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nnectMLS_export (21).XLS" sheetId="1" r:id="rId3"/>
  </sheets>
  <definedNames/>
  <calcPr/>
</workbook>
</file>

<file path=xl/sharedStrings.xml><?xml version="1.0" encoding="utf-8"?>
<sst xmlns="http://schemas.openxmlformats.org/spreadsheetml/2006/main" count="268077" uniqueCount="24703">
  <si>
    <t>Search Price</t>
  </si>
  <si>
    <t>Property Type</t>
  </si>
  <si>
    <t>MLS #</t>
  </si>
  <si>
    <t>Status</t>
  </si>
  <si>
    <t>Contingency Flag</t>
  </si>
  <si>
    <t>Area</t>
  </si>
  <si>
    <t>List Date Received</t>
  </si>
  <si>
    <t>Original List Price</t>
  </si>
  <si>
    <t>Market Time</t>
  </si>
  <si>
    <t>List Price</t>
  </si>
  <si>
    <t>Off-Market Date</t>
  </si>
  <si>
    <t>Listing Market Time</t>
  </si>
  <si>
    <t>Contract Date</t>
  </si>
  <si>
    <t>Finance Code</t>
  </si>
  <si>
    <t>Closed Date</t>
  </si>
  <si>
    <t>Selling Agent ID</t>
  </si>
  <si>
    <t>Selling Office ID</t>
  </si>
  <si>
    <t>Seller Concessions Amount/Points</t>
  </si>
  <si>
    <t>Street Number</t>
  </si>
  <si>
    <t>Street Name</t>
  </si>
  <si>
    <t>Street Suffix</t>
  </si>
  <si>
    <t>City</t>
  </si>
  <si>
    <t>Zip Code</t>
  </si>
  <si>
    <t>Additional Zip</t>
  </si>
  <si>
    <t>Directions</t>
  </si>
  <si>
    <t>Approx Year Built</t>
  </si>
  <si>
    <t>Built Before 1978 (Y/N)</t>
  </si>
  <si>
    <t>Ownership</t>
  </si>
  <si>
    <t>Subdivision</t>
  </si>
  <si>
    <t>Corporate Limits</t>
  </si>
  <si>
    <t>County</t>
  </si>
  <si>
    <t>Township</t>
  </si>
  <si>
    <t>Model</t>
  </si>
  <si>
    <t>Lot Dimensions</t>
  </si>
  <si>
    <t>Acreage</t>
  </si>
  <si>
    <t>Ownership Type</t>
  </si>
  <si>
    <t># Rooms</t>
  </si>
  <si>
    <t># Bedrooms</t>
  </si>
  <si>
    <t># Full Baths</t>
  </si>
  <si>
    <t># Half Baths</t>
  </si>
  <si>
    <t>Master Bedroom Bath</t>
  </si>
  <si>
    <t># Interior Fireplaces</t>
  </si>
  <si>
    <t>Basement</t>
  </si>
  <si>
    <t>Basement Bathrooms (Y/N)</t>
  </si>
  <si>
    <t>Parking</t>
  </si>
  <si>
    <t># Garage Spaces</t>
  </si>
  <si>
    <t># Parking Spaces</t>
  </si>
  <si>
    <t>Waterfront (Y/N)</t>
  </si>
  <si>
    <t>Taxes</t>
  </si>
  <si>
    <t>Tax Year</t>
  </si>
  <si>
    <t>Tax Exemptions</t>
  </si>
  <si>
    <t>Special Assessments</t>
  </si>
  <si>
    <t>Parcel Identification Number</t>
  </si>
  <si>
    <t>Multiple Pin Numbers (Y/N)</t>
  </si>
  <si>
    <t>Approx Sq Ft</t>
  </si>
  <si>
    <t>Sold Price</t>
  </si>
  <si>
    <t>List Date</t>
  </si>
  <si>
    <t>Remarks</t>
  </si>
  <si>
    <t>Elementary School</t>
  </si>
  <si>
    <t>Assessment/Association Dues $</t>
  </si>
  <si>
    <t>Jr High/Middle School</t>
  </si>
  <si>
    <t>High School</t>
  </si>
  <si>
    <t>Frequency</t>
  </si>
  <si>
    <t>North</t>
  </si>
  <si>
    <t>East</t>
  </si>
  <si>
    <t>West</t>
  </si>
  <si>
    <t>South</t>
  </si>
  <si>
    <t>Othr Public Sch</t>
  </si>
  <si>
    <t>Jr High/Middle Dist</t>
  </si>
  <si>
    <t>High Sch Dist</t>
  </si>
  <si>
    <t>Elementary Sch Dist</t>
  </si>
  <si>
    <t>Other Public Sch Dist</t>
  </si>
  <si>
    <t>Living Room Size</t>
  </si>
  <si>
    <t>Living Room Level</t>
  </si>
  <si>
    <t>Living Room Flooring</t>
  </si>
  <si>
    <t>Living Room Window Treatments</t>
  </si>
  <si>
    <t>Master Bedroom Size</t>
  </si>
  <si>
    <t>Master Bedroom Level</t>
  </si>
  <si>
    <t>Master Bedroom Flooring</t>
  </si>
  <si>
    <t>Master Bedroom Window Treatments</t>
  </si>
  <si>
    <t>Dining Room Size</t>
  </si>
  <si>
    <t>Dining Room Level</t>
  </si>
  <si>
    <t>Dining Room Flooring</t>
  </si>
  <si>
    <t>Dining Room Window Treatments</t>
  </si>
  <si>
    <t>2nd Bedroom Size</t>
  </si>
  <si>
    <t>2nd Bedroom Level</t>
  </si>
  <si>
    <t>2nd Bedroom Flooring</t>
  </si>
  <si>
    <t>2nd Bedroom Window Treatments</t>
  </si>
  <si>
    <t>3rd Bedroom Size</t>
  </si>
  <si>
    <t>3rd Bedroom Level</t>
  </si>
  <si>
    <t>3rd Bedroom Flooring</t>
  </si>
  <si>
    <t>3rd Bedroom Window Treatments</t>
  </si>
  <si>
    <t>4th Bedroom Size</t>
  </si>
  <si>
    <t>4th Bedroom Level</t>
  </si>
  <si>
    <t>4th Bedroom Flooring</t>
  </si>
  <si>
    <t>4th Bedroom Window Treatments</t>
  </si>
  <si>
    <t>Kitchen Size</t>
  </si>
  <si>
    <t>Kitchen Level</t>
  </si>
  <si>
    <t>Kitchen Flooring</t>
  </si>
  <si>
    <t>Kitchen Window Treatments</t>
  </si>
  <si>
    <t>Family Room Size</t>
  </si>
  <si>
    <t>Family Room Level</t>
  </si>
  <si>
    <t>Family Room Flooring</t>
  </si>
  <si>
    <t>Family Room Window Treatments</t>
  </si>
  <si>
    <t>New Construction (Y/N)</t>
  </si>
  <si>
    <t>Estimated Occupancy Date</t>
  </si>
  <si>
    <t>Age</t>
  </si>
  <si>
    <t>Kitchen Type</t>
  </si>
  <si>
    <t>Air Conditioning</t>
  </si>
  <si>
    <t>Heat/Fuel</t>
  </si>
  <si>
    <t>Area Amenities</t>
  </si>
  <si>
    <t>Water</t>
  </si>
  <si>
    <t>Appliances</t>
  </si>
  <si>
    <t>Sewer</t>
  </si>
  <si>
    <t>Attic</t>
  </si>
  <si>
    <t>Basement Description</t>
  </si>
  <si>
    <t>General Information</t>
  </si>
  <si>
    <t>Bath Amenities</t>
  </si>
  <si>
    <t>Lot Description</t>
  </si>
  <si>
    <t>Dining Room</t>
  </si>
  <si>
    <t>Lot Size</t>
  </si>
  <si>
    <t>Assessment Includes</t>
  </si>
  <si>
    <t>Electricity</t>
  </si>
  <si>
    <t>New/Proposed Construction Options</t>
  </si>
  <si>
    <t>Equipment</t>
  </si>
  <si>
    <t>Additional Rooms</t>
  </si>
  <si>
    <t>Exterior Building Type</t>
  </si>
  <si>
    <t>Possession</t>
  </si>
  <si>
    <t>Interior Property Features</t>
  </si>
  <si>
    <t>Exterior Property Features</t>
  </si>
  <si>
    <t>Style Of House</t>
  </si>
  <si>
    <t>Fireplace Details</t>
  </si>
  <si>
    <t>Type Detached</t>
  </si>
  <si>
    <t>Garage Details</t>
  </si>
  <si>
    <t>Sale Terms</t>
  </si>
  <si>
    <t>Parking Details</t>
  </si>
  <si>
    <t>Additional Room 1 Name</t>
  </si>
  <si>
    <t>Additional Room 2 Name</t>
  </si>
  <si>
    <t>Additional Room 3 Name</t>
  </si>
  <si>
    <t>Additional Room 4 Name</t>
  </si>
  <si>
    <t>Additional Room 5 Name</t>
  </si>
  <si>
    <t>Additional Room 1 Size</t>
  </si>
  <si>
    <t>Additional Room 1 Level</t>
  </si>
  <si>
    <t>Additional Room 1 Flooring</t>
  </si>
  <si>
    <t>Additional Room 1 Window Treatments</t>
  </si>
  <si>
    <t>Additional Room 2 Size</t>
  </si>
  <si>
    <t>Additional Room 2 Level</t>
  </si>
  <si>
    <t>Additional Room 2 Flooring</t>
  </si>
  <si>
    <t>Additional Room 2 Window Treatments</t>
  </si>
  <si>
    <t>Additional Room 3 Size</t>
  </si>
  <si>
    <t>Additional Room 3 Level</t>
  </si>
  <si>
    <t>Additional Room 3 Flooring</t>
  </si>
  <si>
    <t>Additional Room 3 Window Treatments</t>
  </si>
  <si>
    <t>Additional Room 4 Size</t>
  </si>
  <si>
    <t>Additional Room 4 Level</t>
  </si>
  <si>
    <t>Additional Room 4 Flooring</t>
  </si>
  <si>
    <t>Additional Room 4 Window Treatments</t>
  </si>
  <si>
    <t>Additional Room 5 Size</t>
  </si>
  <si>
    <t>Additional Room 5 Level</t>
  </si>
  <si>
    <t>Additional Room 5 Flooring</t>
  </si>
  <si>
    <t>Additional Room 5 Window Treatments</t>
  </si>
  <si>
    <t>Internet Listing</t>
  </si>
  <si>
    <t>Remarks On Internet? (Y/N)</t>
  </si>
  <si>
    <t>Property Address On Internet? (Y/N)</t>
  </si>
  <si>
    <t>Full Data On mredllc.com (Y/N)</t>
  </si>
  <si>
    <t>Cooperative  Compensation</t>
  </si>
  <si>
    <t>Special Compensation Info.</t>
  </si>
  <si>
    <t>List Office Name</t>
  </si>
  <si>
    <t>List Office ID</t>
  </si>
  <si>
    <t>List Office Phone</t>
  </si>
  <si>
    <t>List Agent Name</t>
  </si>
  <si>
    <t>List Agent ID</t>
  </si>
  <si>
    <t>List Agent Phone Number</t>
  </si>
  <si>
    <t>Co-Lister ID</t>
  </si>
  <si>
    <t>Listing Agent Additional Info</t>
  </si>
  <si>
    <t>Owner's Phone</t>
  </si>
  <si>
    <t>Showing Instructions</t>
  </si>
  <si>
    <t>Agent Owned/Interest (Y/N)</t>
  </si>
  <si>
    <t>Owner's Name</t>
  </si>
  <si>
    <t>Compass Point</t>
  </si>
  <si>
    <t>Expiration Date</t>
  </si>
  <si>
    <t>Virtual Tour</t>
  </si>
  <si>
    <t>Listing Type</t>
  </si>
  <si>
    <t>Status Date</t>
  </si>
  <si>
    <t>Agent Remarks</t>
  </si>
  <si>
    <t>DE</t>
  </si>
  <si>
    <t>CLSD</t>
  </si>
  <si>
    <t>Conventional</t>
  </si>
  <si>
    <t>Warwick</t>
  </si>
  <si>
    <t>AVE</t>
  </si>
  <si>
    <t>Chicago</t>
  </si>
  <si>
    <t>Irving Pk to Melvina - south to Warwick</t>
  </si>
  <si>
    <t>Yes</t>
  </si>
  <si>
    <t>Fee Simple</t>
  </si>
  <si>
    <t>CHICAGO</t>
  </si>
  <si>
    <t>Cook</t>
  </si>
  <si>
    <t>JEFFERSON</t>
  </si>
  <si>
    <t>37X124</t>
  </si>
  <si>
    <t>Full</t>
  </si>
  <si>
    <t>Garage</t>
  </si>
  <si>
    <t>No</t>
  </si>
  <si>
    <t>Fully rehabbed single family home on quiet block w/4BR,3.5 BA. Open concept main level w/huge gourmet kitchen (all Bosch appls), spacious LR &amp; welcoming family room. Fully finished basement w/rec room, laundry room (brand new W/D). All new mechanicals, insulation, plumbing, electrical &amp; more. Professional designer finishes throughout w/custom master closet &amp; custom pantry. New front porch, new deck, new two car grg.</t>
  </si>
  <si>
    <t>SMYSER ELEMENTARY SCHOOL</t>
  </si>
  <si>
    <t>SCHURZ HIGH SCHOOL</t>
  </si>
  <si>
    <t>Not Applicable</t>
  </si>
  <si>
    <t>17X12</t>
  </si>
  <si>
    <t>Main Level</t>
  </si>
  <si>
    <t>Hardwood</t>
  </si>
  <si>
    <t>17X14</t>
  </si>
  <si>
    <t>2nd Level</t>
  </si>
  <si>
    <t>Carpet</t>
  </si>
  <si>
    <t>16X12</t>
  </si>
  <si>
    <t>12X11</t>
  </si>
  <si>
    <t>16X13</t>
  </si>
  <si>
    <t>16X15</t>
  </si>
  <si>
    <t>13X12</t>
  </si>
  <si>
    <t>91-100 Years</t>
  </si>
  <si>
    <t>Eating Area-Breakfast Bar, Island, Pantry-Closet</t>
  </si>
  <si>
    <t>Central Air, Zoned</t>
  </si>
  <si>
    <t>Gas, Forced Air</t>
  </si>
  <si>
    <t>Public</t>
  </si>
  <si>
    <t>Oven/Range, Microwave, Dishwasher, Refrigerator, Washer, Dryer, Disposal</t>
  </si>
  <si>
    <t>Sewer-Public</t>
  </si>
  <si>
    <t>Unfinished</t>
  </si>
  <si>
    <t>Finished</t>
  </si>
  <si>
    <t>Commuter Bus</t>
  </si>
  <si>
    <t>Whirlpool, Double Sink</t>
  </si>
  <si>
    <t>Combined w/ FamRm</t>
  </si>
  <si>
    <t>Less Than .25 Acre</t>
  </si>
  <si>
    <t>None</t>
  </si>
  <si>
    <t>Circuit Breakers</t>
  </si>
  <si>
    <t>Humidifier, Security System, Ceiling Fan, Sump Pump</t>
  </si>
  <si>
    <t>No additional rooms</t>
  </si>
  <si>
    <t>Vinyl Siding</t>
  </si>
  <si>
    <t>Closing</t>
  </si>
  <si>
    <t>Vaulted/Cathedral Ceilings, Hardwood Floors</t>
  </si>
  <si>
    <t>Deck, Porch</t>
  </si>
  <si>
    <t>2 Stories</t>
  </si>
  <si>
    <t>N</t>
  </si>
  <si>
    <t>All</t>
  </si>
  <si>
    <t>3%  -$289 (on Net SP)</t>
  </si>
  <si>
    <t>Prello Realty, Inc.</t>
  </si>
  <si>
    <t>(888) 611-1815</t>
  </si>
  <si>
    <t>Robert Picciariello</t>
  </si>
  <si>
    <t>CALL SELLER @  630-294-8952 OR 847-804-8015 FOR APPT/QUESTIONS</t>
  </si>
  <si>
    <t>Wilt/Timmins</t>
  </si>
  <si>
    <t>W</t>
  </si>
  <si>
    <t>Exclusive Agency</t>
  </si>
  <si>
    <t>FAX OFFERS TO LIST OFFICE 773-472-8988.  PRELLO DOES NOT HOLD EARNEST MONEY</t>
  </si>
  <si>
    <t>Cash</t>
  </si>
  <si>
    <t>Walnut</t>
  </si>
  <si>
    <t>Hanover Park</t>
  </si>
  <si>
    <t>Barrington Rd south of Irving Pk Rd to Walnut(light) east to home.</t>
  </si>
  <si>
    <t>HANOVER HIGHLANDS</t>
  </si>
  <si>
    <t>HANOVER PARK</t>
  </si>
  <si>
    <t>SCHAUMBURG</t>
  </si>
  <si>
    <t>65X120</t>
  </si>
  <si>
    <t>English</t>
  </si>
  <si>
    <t>**Schaumburg schools!**Beautifully updated tri-level w open floor plan, breakfast bar, Bamboo flooring throughout, updated bathrooms, dry wine bar In LL with storage.Check out 4th bedroom in basement w/ French doors! Can also be used as an office. New AC and Furnace, fresh interior and exterior paint. LL full bath is hard to find! Full Fenced in yard.  See featured list in attachments! Hurry up, this wont last long!</t>
  </si>
  <si>
    <t>SCHAUMBURG HIGH SCHOOL</t>
  </si>
  <si>
    <t>18X15</t>
  </si>
  <si>
    <t>Blinds, Curtains/Drapes</t>
  </si>
  <si>
    <t>15X11</t>
  </si>
  <si>
    <t>10X8</t>
  </si>
  <si>
    <t>12X10</t>
  </si>
  <si>
    <t>11X9</t>
  </si>
  <si>
    <t>13X9</t>
  </si>
  <si>
    <t>Lower</t>
  </si>
  <si>
    <t>Ceramic Tile</t>
  </si>
  <si>
    <t>10X10</t>
  </si>
  <si>
    <t>11X18</t>
  </si>
  <si>
    <t>51-60 Years</t>
  </si>
  <si>
    <t>Eating Area-Breakfast Bar, Eating Area-Table Space, Island</t>
  </si>
  <si>
    <t>Central Air</t>
  </si>
  <si>
    <t>Sidewalks, Street Paved</t>
  </si>
  <si>
    <t>Oven/Range, Microwave, Dishwasher, Disposal</t>
  </si>
  <si>
    <t>Combined w/ LivRm</t>
  </si>
  <si>
    <t>100 Amp Service</t>
  </si>
  <si>
    <t>TV-Cable, CO Detectors, Ceiling Fan, Sump Pump</t>
  </si>
  <si>
    <t>Brick</t>
  </si>
  <si>
    <t>Closing, Negotiable</t>
  </si>
  <si>
    <t>Bar-Dry, Hardwood Floors</t>
  </si>
  <si>
    <t>Patio</t>
  </si>
  <si>
    <t>Tri-Level</t>
  </si>
  <si>
    <t>Split Level</t>
  </si>
  <si>
    <t>2.5%-150 (on Net SP)</t>
  </si>
  <si>
    <t>GMC Realty LTD</t>
  </si>
  <si>
    <t>(630) 994-3200</t>
  </si>
  <si>
    <t>Tiffany Murphy</t>
  </si>
  <si>
    <t>email or text LA 630-715-3298</t>
  </si>
  <si>
    <t>OOR</t>
  </si>
  <si>
    <t>Exclusive Right to Sell</t>
  </si>
  <si>
    <t>house was completely redone. Has Ethernet/internet in the entire house. Bamboo floors are beautiful. Nothing to do, move right in. Negotiable items-Fridge, bar stools, washer, dryer, kegarator, futon, mini fridge, Sofa, Chair, Media Center</t>
  </si>
  <si>
    <t>Waverly</t>
  </si>
  <si>
    <t>Streamwood</t>
  </si>
  <si>
    <t>Woodland Hts blvd E of Park then N on Waverly</t>
  </si>
  <si>
    <t>UNK</t>
  </si>
  <si>
    <t>STREAMWOOD</t>
  </si>
  <si>
    <t>HANOVER</t>
  </si>
  <si>
    <t>Move-in ready! 4 bedroom/2 bath raised ranch. 2 1/2 Car Heated Garage.  Fenced Yard with large deck.  Upgraded kitchen, baths, flooring. Freshly painted. Quick close. PRICED TO SELL!  Bring all offers.</t>
  </si>
  <si>
    <t>12X14</t>
  </si>
  <si>
    <t>Wood Laminate</t>
  </si>
  <si>
    <t>11X12</t>
  </si>
  <si>
    <t>10X11</t>
  </si>
  <si>
    <t>14X20</t>
  </si>
  <si>
    <t>26-30 Years</t>
  </si>
  <si>
    <t>Eating Area-Breakfast Bar</t>
  </si>
  <si>
    <t>Lake Michigan, Public</t>
  </si>
  <si>
    <t>Oven/Range, Microwave, Dishwasher, Refrigerator</t>
  </si>
  <si>
    <t>Closing, Immediate</t>
  </si>
  <si>
    <t>Deck</t>
  </si>
  <si>
    <t>Raised Ranch</t>
  </si>
  <si>
    <t>Garage Door Opener(s), Heated</t>
  </si>
  <si>
    <t>2.5%-$100 (on Gross SP)</t>
  </si>
  <si>
    <t>Sommertime Realty</t>
  </si>
  <si>
    <t>(312) 282-7887</t>
  </si>
  <si>
    <t>Daniela Marre</t>
  </si>
  <si>
    <t>(847) 571-8781</t>
  </si>
  <si>
    <t>Property is vacant and easy to show. Call Daniela 847-571-8781 for Lock Box Code</t>
  </si>
  <si>
    <t>Johnson</t>
  </si>
  <si>
    <t>ST</t>
  </si>
  <si>
    <t>Hampshire</t>
  </si>
  <si>
    <t>Rt 72  E of State to Centennial N to Panama R to White Oak L on Johnson</t>
  </si>
  <si>
    <t>White Oak Ponds</t>
  </si>
  <si>
    <t>HAMPSHIRE</t>
  </si>
  <si>
    <t>Kane</t>
  </si>
  <si>
    <t>80X130</t>
  </si>
  <si>
    <t>Full, Walkout</t>
  </si>
  <si>
    <t>Wow! Spacious 2 story has 4 bedrooms, 2.5 baths, formal living spaces, family room w/fireplace, first floor laundry, kitchen w/ island and pantry, loft, full walkout basement waiting to be finished and 2 car attached garage. This is a Fannie Mae HomePath Property.  No personal property included.</t>
  </si>
  <si>
    <t>14X13</t>
  </si>
  <si>
    <t>20X20</t>
  </si>
  <si>
    <t>14X11</t>
  </si>
  <si>
    <t>13X11</t>
  </si>
  <si>
    <t>20X14</t>
  </si>
  <si>
    <t>18X18</t>
  </si>
  <si>
    <t>11-15 Years</t>
  </si>
  <si>
    <t>Eating Area-Table Space, Island, Pantry-Closet</t>
  </si>
  <si>
    <t>Curbs/Gutters, Sidewalks, Street Lights, Street Paved</t>
  </si>
  <si>
    <t>School Bus Service</t>
  </si>
  <si>
    <t>Double Sink</t>
  </si>
  <si>
    <t>Separate</t>
  </si>
  <si>
    <t>Loft</t>
  </si>
  <si>
    <t>Wood Laminate Floors, 1st Floor Laundry</t>
  </si>
  <si>
    <t>Porch</t>
  </si>
  <si>
    <t>Traditional</t>
  </si>
  <si>
    <t>Wood Burning</t>
  </si>
  <si>
    <t>21X20</t>
  </si>
  <si>
    <t>3% (on Net SP)</t>
  </si>
  <si>
    <t>Variable</t>
  </si>
  <si>
    <t>J.Jill Realty Group</t>
  </si>
  <si>
    <t>(815) 991-5405</t>
  </si>
  <si>
    <t>Jill Jacobsen-Haka</t>
  </si>
  <si>
    <t>815-991-5440</t>
  </si>
  <si>
    <t>Use showing assist</t>
  </si>
  <si>
    <t>Fannie Mae</t>
  </si>
  <si>
    <t>Seller directs all offers be submitted at www.homepath.com. All inspections are at buyers expense. Seller will not provide survey. Prorations 100%. Go to www.homepath.com for all forms.</t>
  </si>
  <si>
    <t>FHA</t>
  </si>
  <si>
    <t>Lawler</t>
  </si>
  <si>
    <t>North Ave to Lawler south to Propertyâ€¦.</t>
  </si>
  <si>
    <t>25X125</t>
  </si>
  <si>
    <t>Purely Amazing!! Home totally renovated with quality amenities  thru out!! Features new kitchens with granite counters custom cab and SS appls.  Master suite w/ ample closets huge bedroom and master bath. Excellent floor plan and full fin bsmt used as a rec room or family with with wet bar (granite counters). Maintenance free backyard with 2.5 car garage.  All three floors equipped with built in speaker system!!!</t>
  </si>
  <si>
    <t>15X14</t>
  </si>
  <si>
    <t>16X16</t>
  </si>
  <si>
    <t>12X12</t>
  </si>
  <si>
    <t>16X20</t>
  </si>
  <si>
    <t>Lake Michigan</t>
  </si>
  <si>
    <t>Oven/Range, Microwave, Dishwasher, Refrigerator, All Stainless Steel Kitchen Appliances</t>
  </si>
  <si>
    <t>Separate Shower</t>
  </si>
  <si>
    <t>Circuit Breakers, 200+ Amp Service</t>
  </si>
  <si>
    <t>Enclosed Porch, Enclosed Porch Heated</t>
  </si>
  <si>
    <t>Aluminum Siding</t>
  </si>
  <si>
    <t>Bar-Wet, Hardwood Floors, 1st Floor Bedroom, 1st Floor Full Bath</t>
  </si>
  <si>
    <t>Electric</t>
  </si>
  <si>
    <t>Enclosed Porch Heated</t>
  </si>
  <si>
    <t>Enclosed Porch</t>
  </si>
  <si>
    <t>12X8</t>
  </si>
  <si>
    <t>2.5% - $175 (on Gross SP)</t>
  </si>
  <si>
    <t>Hunter's Realty, Inc.</t>
  </si>
  <si>
    <t>(708) 628-2900</t>
  </si>
  <si>
    <t>Cedrick Hunter, CRB</t>
  </si>
  <si>
    <t>www.hri1.com</t>
  </si>
  <si>
    <t>Select Showing Assist</t>
  </si>
  <si>
    <t>Legal Owner of Record</t>
  </si>
  <si>
    <t>Easy Show. Nice Home....</t>
  </si>
  <si>
    <t>Keating</t>
  </si>
  <si>
    <t>Peterson to Keating which is one block East of Cicero.</t>
  </si>
  <si>
    <t>33X122</t>
  </si>
  <si>
    <t>Homeowner</t>
  </si>
  <si>
    <t>Sauganash!! Bigger than it appears! All good size rooms. Large eat-in kitchen w/ 2 pantrys. Hardwood floors 1st &amp; 2nd level. Third floor Master Suite with WIC and separate tub/shower, + 2 more Bathrooms. Family Room w / fplc and door to backyard. New windows 2012. GFA &amp; Roof 2009. Washer Dryer Refrigerator &amp; Cooktop 2011. Gutter Guards installed. New Carpeting 2013. Foyer with wall of closet. Come see for yourself.</t>
  </si>
  <si>
    <t>SAUGANASH ELEMENTARY SCHOOL</t>
  </si>
  <si>
    <t>17X13</t>
  </si>
  <si>
    <t>3rd Level</t>
  </si>
  <si>
    <t>14X10</t>
  </si>
  <si>
    <t>14X14</t>
  </si>
  <si>
    <t>25X17</t>
  </si>
  <si>
    <t>31-40 Years</t>
  </si>
  <si>
    <t>Eating Area-Table Space, Pantry-Closet</t>
  </si>
  <si>
    <t>Oven/Range, Microwave, Dishwasher, Refrigerator, Freezer, Washer, Dryer</t>
  </si>
  <si>
    <t>Commuter Bus, Interstate Access</t>
  </si>
  <si>
    <t>Whirlpool, Separate Shower, Double Sink</t>
  </si>
  <si>
    <t>L-shaped</t>
  </si>
  <si>
    <t>Circuit Breakers, 100 Amp Service</t>
  </si>
  <si>
    <t>Humidifier, CO Detectors, Ceiling Fan, Sump Pump, Air Cleaner</t>
  </si>
  <si>
    <t>Foyer, Walk In Closet</t>
  </si>
  <si>
    <t>Skylight(s), Hardwood Floors</t>
  </si>
  <si>
    <t>Storms/Screens</t>
  </si>
  <si>
    <t>3 Stories</t>
  </si>
  <si>
    <t>Garage Door Opener(s), Transmitter(s)</t>
  </si>
  <si>
    <t>Foyer</t>
  </si>
  <si>
    <t>Walk In Closet</t>
  </si>
  <si>
    <t>07X06</t>
  </si>
  <si>
    <t>09X08</t>
  </si>
  <si>
    <t>2.5%-$275 (on Net SP)</t>
  </si>
  <si>
    <t>Century 21 McMullen</t>
  </si>
  <si>
    <t>(773) 631-8300</t>
  </si>
  <si>
    <t>Marti Corcoran</t>
  </si>
  <si>
    <t>(773) 802-5092</t>
  </si>
  <si>
    <t>Call Listing Agent</t>
  </si>
  <si>
    <t>Owner of Records</t>
  </si>
  <si>
    <t>Wellington</t>
  </si>
  <si>
    <t>CT</t>
  </si>
  <si>
    <t>Geneva</t>
  </si>
  <si>
    <t>Route 38 (Roosevelt or State St.) to Williamsburg Ave to Sheffield to Colonial Rt to Wellington Ct.</t>
  </si>
  <si>
    <t>WILLIAMSBURG</t>
  </si>
  <si>
    <t>GENEVA</t>
  </si>
  <si>
    <t>HUNTINGTON</t>
  </si>
  <si>
    <t>44X101X78X43X21X129</t>
  </si>
  <si>
    <t>Sought after cul-de-sac location, lovingly maintained &amp; updated w/ quality &amp; style! All baths updated including luxury master bath that was just renovated featuring heated floor, whirlpool, separate shower, double vanity, new transom window, etc! Large eat-in kitchen w/ walk out bay to pretty yard &amp; party sized patio! Kitchen has new granite composite counters, work island, all SS appliances! Finished basement w bath</t>
  </si>
  <si>
    <t>WILLIAMSBURG ELEMENTARY SCHOOL</t>
  </si>
  <si>
    <t>GENEVA MIDDLE SCHOOL</t>
  </si>
  <si>
    <t>GENEVA COMMUNITY HIGH SCHOOL</t>
  </si>
  <si>
    <t>Blinds</t>
  </si>
  <si>
    <t>19X13</t>
  </si>
  <si>
    <t>14X12</t>
  </si>
  <si>
    <t>19X14</t>
  </si>
  <si>
    <t>21-25 Years</t>
  </si>
  <si>
    <t>Eating Area-Table Space, Island</t>
  </si>
  <si>
    <t>Oven/Range, Microwave, Dishwasher, High End Refrigerator, Disposal, All Stainless Steel Kitchen Appliances</t>
  </si>
  <si>
    <t>Partially Finished, Crawl</t>
  </si>
  <si>
    <t>Whirlpool, Separate Shower</t>
  </si>
  <si>
    <t>Cul-de-sac</t>
  </si>
  <si>
    <t>.25-.49 Acre</t>
  </si>
  <si>
    <t>Humidifier, Water-Softener Owned, Ceiling Fan, Sump Pump</t>
  </si>
  <si>
    <t>Eating Area, Game Room, Recreation Room</t>
  </si>
  <si>
    <t>Vinyl Siding, Brick</t>
  </si>
  <si>
    <t>Wood Laminate Floors, Heated Floors, 1st Floor Laundry</t>
  </si>
  <si>
    <t>Patio, Storage Shed</t>
  </si>
  <si>
    <t>Colonial</t>
  </si>
  <si>
    <t>Wood Burning, Attached Fireplace Doors/Screen, Gas Logs</t>
  </si>
  <si>
    <t>Eating Area</t>
  </si>
  <si>
    <t>Recreation Room</t>
  </si>
  <si>
    <t>Game Room</t>
  </si>
  <si>
    <t>16X8</t>
  </si>
  <si>
    <t>20X13</t>
  </si>
  <si>
    <t>15X12</t>
  </si>
  <si>
    <t>2.5 - $150 (on Net SP)</t>
  </si>
  <si>
    <t>Baird &amp; Warner</t>
  </si>
  <si>
    <t>(630) 377-1855</t>
  </si>
  <si>
    <t>Jennifer Biddle</t>
  </si>
  <si>
    <t>(630) 464-4230</t>
  </si>
  <si>
    <t>855-746-9100</t>
  </si>
  <si>
    <t>of record</t>
  </si>
  <si>
    <t>Incl: Rain Barrel &amp; In-Ground Fountain. Some windows added: FR, MBR, up-stairs BR's &amp; Master Ba. Roof &amp; Siding 2005. Furnace '04. A/C '11. Micro &amp; DW '12. Disp. &amp; Fridge '14. Oven '13. Patio '01. Master Ba '14, Hall Ba '08. Basement '03</t>
  </si>
  <si>
    <t>Comstock</t>
  </si>
  <si>
    <t>RD</t>
  </si>
  <si>
    <t>Elgin</t>
  </si>
  <si>
    <t>Nesler Rd to South St, east to Comstock Dr</t>
  </si>
  <si>
    <t>Fee Simple w/ HO Assn.</t>
  </si>
  <si>
    <t>Shadow Hill</t>
  </si>
  <si>
    <t>ELGIN</t>
  </si>
  <si>
    <t>LANCASTER C</t>
  </si>
  <si>
    <t>120X100</t>
  </si>
  <si>
    <t>Full, English</t>
  </si>
  <si>
    <t>SPECTACULAR HOME w/ uncompromising style &amp; integrity. Every upgrade! Pristine decor, plantation shutters, surround sound, wired for theater,French doors, solid core drs thru,brushed nickle hardware,upgraded lighting &amp; fixtures. Stunning custom cabinetry, upgraded appliances-custom Fire-place etc, etc!An incredibly open &amp; spacious flr plan.9 Ft ceilings thru.Lux Master. Deep BSMT w/rough-in bath.Sprinkler, 2+CAR ETC!</t>
  </si>
  <si>
    <t>Monthly</t>
  </si>
  <si>
    <t>10X18</t>
  </si>
  <si>
    <t>Plantation Shutters</t>
  </si>
  <si>
    <t>19X17</t>
  </si>
  <si>
    <t>12X13</t>
  </si>
  <si>
    <t>21X16</t>
  </si>
  <si>
    <t>18X16</t>
  </si>
  <si>
    <t>6-10 Years</t>
  </si>
  <si>
    <t>Park/Playground, Curbs/Gutters, Sidewalks, Street Lights, Street Paved</t>
  </si>
  <si>
    <t>Oven-Double, Microwave, Dishwasher, High End Refrigerator, Disposal, All Stainless Steel Kitchen Appliances</t>
  </si>
  <si>
    <t>Unfinished, Bathroom Rough-In</t>
  </si>
  <si>
    <t>Separate Shower, Double Sink, Soaking Tub</t>
  </si>
  <si>
    <t>Landscaped Professionally</t>
  </si>
  <si>
    <t>CO Detectors, Ceiling Fan, Sump Pump</t>
  </si>
  <si>
    <t>Den, Eating Area, Loft</t>
  </si>
  <si>
    <t>Brick, Frame</t>
  </si>
  <si>
    <t>Vaulted/Cathedral Ceilings, Hardwood Floors, 1st Floor Laundry</t>
  </si>
  <si>
    <t>Deck, Porch, Storms/Screens</t>
  </si>
  <si>
    <t>Gas Logs, Gas Starter</t>
  </si>
  <si>
    <t>Conventional, FHA, VA</t>
  </si>
  <si>
    <t>Den</t>
  </si>
  <si>
    <t>11X10</t>
  </si>
  <si>
    <t>14X18</t>
  </si>
  <si>
    <t>13X10</t>
  </si>
  <si>
    <t>2.5%-$200 (on Net SP)</t>
  </si>
  <si>
    <t>Veronica's Realty</t>
  </si>
  <si>
    <t>(630) 402-0590</t>
  </si>
  <si>
    <t>Veronica Heaton</t>
  </si>
  <si>
    <t>FX 630-405-6789</t>
  </si>
  <si>
    <t>Call Show Time 1800-746-9464 1 hour notice pls</t>
  </si>
  <si>
    <t>Imagemaker 360 + Realtor.com</t>
  </si>
  <si>
    <t>PRISTINE MOVE IN CONDITION WITH EVERY IMAGINABLE UPGRADE. SUPERIOR DECOR</t>
  </si>
  <si>
    <t>Hickory</t>
  </si>
  <si>
    <t>LAKE ST WEST OF BARRINGTON RD TO WALNUT AVE, RIGHT TO HICKORY ST</t>
  </si>
  <si>
    <t>HANOVER TERRACE</t>
  </si>
  <si>
    <t>65 X 120</t>
  </si>
  <si>
    <t>Garage, Exterior Space(s)</t>
  </si>
  <si>
    <t>BARTLETT HIGH SCHOOL DISTRICT. BEAUTIFULLY REMODELED PROPERTY. ALL NEW KITCHEN WITH BEAUTIFUL CABINETS, GRANITE COUNTER TOPS, BACK SPLASH, SS APPLIANCES, CROWN MOLDINGS, CERAMIC FLOOR. ALL BATHROOMS BRAND NEW. NEW PAINT, FLOOR COVERINGS THROUGHOUT, NEW WASHER &amp; DRYER, LIGHT FIXTURES, ALL BASEBOARDS &amp; TRIM. NEW  SIDING, DOORS IN AND OUT, GARAGE DOOR, LANDSCAPING. REFINISHED LARGE DECK. QUALITY WORKMANSHIP THROUGHOUT.</t>
  </si>
  <si>
    <t>ONTARIOVILLE ELEMENTARY SCHOOL</t>
  </si>
  <si>
    <t>TEFFT MIDDLE SCHOOL</t>
  </si>
  <si>
    <t>BARTLETT HIGH SCHOOL</t>
  </si>
  <si>
    <t>22X14</t>
  </si>
  <si>
    <t>10X9</t>
  </si>
  <si>
    <t>41-50 Years</t>
  </si>
  <si>
    <t>Eating Area-Table Space</t>
  </si>
  <si>
    <t>Oven/Range, Microwave, Dishwasher, Refrigerator, Washer, Dryer, Disposal, All Stainless Steel Kitchen Appliances</t>
  </si>
  <si>
    <t>Slab</t>
  </si>
  <si>
    <t>Vaulted/Cathedral Ceilings, Wood Laminate Floors, 1st Floor Laundry</t>
  </si>
  <si>
    <t>Conventional, FHA</t>
  </si>
  <si>
    <t>Driveway</t>
  </si>
  <si>
    <t>2.5% (on Net SP)</t>
  </si>
  <si>
    <t>Charles Rutenberg Realty of IL</t>
  </si>
  <si>
    <t>(630) 929-1100</t>
  </si>
  <si>
    <t>Kristina Bria</t>
  </si>
  <si>
    <t>(630) 709-9890</t>
  </si>
  <si>
    <t>USE SENTRILOCK AFTER TEXT LA AT 630-709-9890 WITH SHOWING TIME &amp; AGENT ID.</t>
  </si>
  <si>
    <t>Owner of Record</t>
  </si>
  <si>
    <t>THE PROPERTY TAX DOES NOT REFLECT HOMEOWNER EXEMPTION</t>
  </si>
  <si>
    <t>Cullom</t>
  </si>
  <si>
    <t>Irving to Ravenswood then north to Cullom then east to 1764</t>
  </si>
  <si>
    <t>LAKE VIEW</t>
  </si>
  <si>
    <t>49 X 93</t>
  </si>
  <si>
    <t>Stylish Contemporary home on ovrszd (49 ft.) wide lot. Large living / kitchen great room w/granite, ss appliances, private gated/ fenced landscaped yard with deck, 3 bed on 2 fl,1 bed/office on 1st fl, master bed &amp; bath, large walk-in closet, dual zoned high efficiency HVAC,(2010) new roof, new windows &amp; new hardwood floors. 2 car garage &amp; full finished basement with spa bath.</t>
  </si>
  <si>
    <t>RAVENSWOOD ELEMENTARY SCHOOL</t>
  </si>
  <si>
    <t>LAKE VIEW HIGH SCHOOL</t>
  </si>
  <si>
    <t>COURTENAY ELEM. LANGUAGE ARTS</t>
  </si>
  <si>
    <t>26X12</t>
  </si>
  <si>
    <t>19X11</t>
  </si>
  <si>
    <t>COMBO</t>
  </si>
  <si>
    <t>12X9</t>
  </si>
  <si>
    <t>20X15</t>
  </si>
  <si>
    <t>Unknown</t>
  </si>
  <si>
    <t>Gas, Forced Air, 2+ Sep Heating Systems, Indv Controls, Zoned</t>
  </si>
  <si>
    <t>Gated Entry</t>
  </si>
  <si>
    <t>Separate Shower, Double Sink</t>
  </si>
  <si>
    <t>Fenced Yard</t>
  </si>
  <si>
    <t>CO Detectors, Sump Pump</t>
  </si>
  <si>
    <t>Bonus, Breakfast Room, Deck, Foyer, Storage</t>
  </si>
  <si>
    <t>Frame, Stone</t>
  </si>
  <si>
    <t>Hardwood Floors, 1st Floor Bedroom, 1st Floor Full Bath</t>
  </si>
  <si>
    <t>Bi-Level</t>
  </si>
  <si>
    <t>Garage Door Opener(s)</t>
  </si>
  <si>
    <t>Breakfast Room</t>
  </si>
  <si>
    <t>Bonus</t>
  </si>
  <si>
    <t>8X5</t>
  </si>
  <si>
    <t>10X5</t>
  </si>
  <si>
    <t>8X6</t>
  </si>
  <si>
    <t>2.5%-$295 (on Net SP)</t>
  </si>
  <si>
    <t>@properties</t>
  </si>
  <si>
    <t>(312) 254-0200</t>
  </si>
  <si>
    <t>Bryan Boomershine</t>
  </si>
  <si>
    <t>(773) 294-3031</t>
  </si>
  <si>
    <t>24 Hr Notice Call or text Bryan Boomershine at 773-294-3031</t>
  </si>
  <si>
    <t>OWNER OF RECORD</t>
  </si>
  <si>
    <t>Thornhill</t>
  </si>
  <si>
    <t>DR</t>
  </si>
  <si>
    <t>I90 TO RANDALL RD SOUTH TO BOWES RD WEST, 2 MILES TO OFFICE.</t>
  </si>
  <si>
    <t>BOWES CREEK COUNTRY CLUB</t>
  </si>
  <si>
    <t>PLATO</t>
  </si>
  <si>
    <t>NORTHWOOD FEDERAL</t>
  </si>
  <si>
    <t>100X134X101X145</t>
  </si>
  <si>
    <t>NEW</t>
  </si>
  <si>
    <t>To Be Built NEW CONSTRUCTION ~ Northwood Federal ~ Homesite #265 ~ TOLL BROTHERS ~ Luxury living in Elgin! 18-hole championship golf course in community. Burlington School District 301.  Dynamic and superior plan only built in IL. Over 3300 sq ft, plus full basement on a homesite with trees. Gorgeous new home at an incredible value! Addtl homesites still available to build your dream home. Pics of similar home.</t>
  </si>
  <si>
    <t>HOWARD B THOMAS GRADE SCHOOL</t>
  </si>
  <si>
    <t>PRAIRIE KNOLLS MIDDLE SCHOOL</t>
  </si>
  <si>
    <t>CENTRAL HIGH SCHOOL</t>
  </si>
  <si>
    <t>Annual</t>
  </si>
  <si>
    <t>Central</t>
  </si>
  <si>
    <t>16X11</t>
  </si>
  <si>
    <t>20X17</t>
  </si>
  <si>
    <t>13X13</t>
  </si>
  <si>
    <t>NEW Proposed Construction</t>
  </si>
  <si>
    <t>Eating Area-Table Space, Island, Pantry-Walk-in</t>
  </si>
  <si>
    <t>Park/Playground, Curbs/Gutters, Sidewalks, Street Lights, Street Paved, Other</t>
  </si>
  <si>
    <t>Other</t>
  </si>
  <si>
    <t>Oven/Range, Microwave, Dishwasher, Disposal, All Stainless Steel Kitchen Appliances</t>
  </si>
  <si>
    <t>Corner</t>
  </si>
  <si>
    <t>200+ Amp Service</t>
  </si>
  <si>
    <t>Bsmnt/Lower Lvl Stubd in Bath, Energy Efficient Package, Exterior Brick/Cedar, Fireplace, Basement, Hardwood/Ceramic Floors</t>
  </si>
  <si>
    <t>TV-Cable, Security System, CO Detectors, Sump Pump</t>
  </si>
  <si>
    <t>Foyer, Office</t>
  </si>
  <si>
    <t>Brick, Cedar, Other</t>
  </si>
  <si>
    <t>Hardwood Floors, 2nd Floor Laundry</t>
  </si>
  <si>
    <t>Heatilator Type System</t>
  </si>
  <si>
    <t>Office</t>
  </si>
  <si>
    <t>7X8</t>
  </si>
  <si>
    <t>3% ON BASE PRICE (on Net SP)</t>
  </si>
  <si>
    <t>Exception(s)</t>
  </si>
  <si>
    <t>Homesmart Connect LLC</t>
  </si>
  <si>
    <t>(847) 495-5000</t>
  </si>
  <si>
    <t>Bill Flemming</t>
  </si>
  <si>
    <t>847-695-4300</t>
  </si>
  <si>
    <t>Call TOLL BROTHERS Sales Office 847-695-4300</t>
  </si>
  <si>
    <t>TOLL BROTHERS</t>
  </si>
  <si>
    <t>To Be Built NEW CONSTRUCTION ~ Northwood Federal ~ Homesite #265 ~ TOLL BROTHERS ~ 3% on base price. Ask about our Realtor Programs. Sales Office Open Daily 10-6. Photos of similar home shown. Addt homesite available.</t>
  </si>
  <si>
    <t>State</t>
  </si>
  <si>
    <t>DeKalb</t>
  </si>
  <si>
    <t>Rt. 38 to Tenth St. North to State St. East.</t>
  </si>
  <si>
    <t>DEKALB</t>
  </si>
  <si>
    <t>De Kalb</t>
  </si>
  <si>
    <t>60X130</t>
  </si>
  <si>
    <t>Charming home on tree lined street offers: 4 bedrooms up, 2 full baths, living &amp; dining Rms, 1st floor den, white &amp; bright kitchen W/Stainless Steel appliances. Large basement.  Oversized garage, Shed, Fenced yard, Custom patio, Central Air, Brand New Roof, newer windows.  Hardwood flrs on 1st level. Seller is flexible on closing date.  Great location close to Rt. 38 &amp; Rt 23 &amp; NIU University-</t>
  </si>
  <si>
    <t>18X13</t>
  </si>
  <si>
    <t>Vinyl</t>
  </si>
  <si>
    <t>Galley</t>
  </si>
  <si>
    <t>Gas</t>
  </si>
  <si>
    <t>Water-Softener Owned, Ceiling Fan</t>
  </si>
  <si>
    <t>Hardwood Floors, Wood Laminate Floors, 1st Floor Full Bath</t>
  </si>
  <si>
    <t>Farmhouse</t>
  </si>
  <si>
    <t>11X8</t>
  </si>
  <si>
    <t>2.5%-$150 (on Net SP)</t>
  </si>
  <si>
    <t>Premier Living Properties</t>
  </si>
  <si>
    <t>(847) 697-2000</t>
  </si>
  <si>
    <t>Tamara O'Connor, CRS,GRI</t>
  </si>
  <si>
    <t>(847) 888-4991</t>
  </si>
  <si>
    <t>WWW.PLPROPERTIES.COM</t>
  </si>
  <si>
    <t>Call 1-855-919-0200 must confirm</t>
  </si>
  <si>
    <t>oor</t>
  </si>
  <si>
    <t>Circlepix</t>
  </si>
  <si>
    <t>regular sale- flexible on closing date- new roof, newer windows -</t>
  </si>
  <si>
    <t>VA</t>
  </si>
  <si>
    <t>Chappel</t>
  </si>
  <si>
    <t>Take E 76th to Chappel, Take Chappel N to House.</t>
  </si>
  <si>
    <t>HYDE PARK</t>
  </si>
  <si>
    <t>This beautiful, recently rehabbed 4 bedroom, 3 bathroom brick bungalow is brimming with special features and brand new additions. The gorgeous kitchen boasts stainless steel appliances and granite counters. The second floor offers a luxurious master suite, and the finished basement offers a laundry room and so much more. With a garage, front stairs in the process of being re-done and so much more, it's a must see.</t>
  </si>
  <si>
    <t>19X15</t>
  </si>
  <si>
    <t>14X9</t>
  </si>
  <si>
    <t>24X20</t>
  </si>
  <si>
    <t>100+ Years</t>
  </si>
  <si>
    <t>Breakfast Room, Office</t>
  </si>
  <si>
    <t>Bungalow</t>
  </si>
  <si>
    <t>1.5 Story</t>
  </si>
  <si>
    <t>7X17</t>
  </si>
  <si>
    <t>15X10</t>
  </si>
  <si>
    <t>2.5% - $200 (on Gross SP)</t>
  </si>
  <si>
    <t>Oak Realty of Chicago, Inc.</t>
  </si>
  <si>
    <t>(773) 779-5500</t>
  </si>
  <si>
    <t>Frank Montro</t>
  </si>
  <si>
    <t>(708) 307-0777</t>
  </si>
  <si>
    <t>Use Showing Assist Below...</t>
  </si>
  <si>
    <t>Owner Of Record</t>
  </si>
  <si>
    <t>S</t>
  </si>
  <si>
    <t>**BONUS $1000 GIFT CARD** Email offers to offers@frankmontrohomes.com or fax to 708-479-3308. EM certified check only. View our other 100+ rehabbed homes at frankmontrohomes.com</t>
  </si>
  <si>
    <t>Malta</t>
  </si>
  <si>
    <t>From I-57 take Halsted Exit, head west on 99th to corner of 99th &amp; Malta St.</t>
  </si>
  <si>
    <t>LAKE</t>
  </si>
  <si>
    <t>45 X 168</t>
  </si>
  <si>
    <t>This beautiful, recently rehabbed 4 bedroom, 3 bathroom 1 1/2 story is brimming with special features and brand new additions. It boasts a new roof, new windows, new hot water heater, new siding and jacuzzi tubs. In addition, its kitchen is outfitted with stainless steel appliances, granite counters and espresso cabinets. In addition, it offers a finished basement, 2 car garage, professional landscaping and more.</t>
  </si>
  <si>
    <t>14X19</t>
  </si>
  <si>
    <t>10X12</t>
  </si>
  <si>
    <t>19X12</t>
  </si>
  <si>
    <t>30X11</t>
  </si>
  <si>
    <t>Whirlpool</t>
  </si>
  <si>
    <t>Frame</t>
  </si>
  <si>
    <t>$1000 bonus to selling agent if closed within 60 days of contract date. Email offers to offers@frankmontrohomes.com or fax to 708-479-3308. EM certified check only. View our other 100+ rehabbed homes at frankmontrohomes.com</t>
  </si>
  <si>
    <t>Jewett</t>
  </si>
  <si>
    <t>WALNUT AVE TO JEWETT ST TO PROPERTY</t>
  </si>
  <si>
    <t>50X149</t>
  </si>
  <si>
    <t>BUILT IN 1997, OPEN FLOOR PLAN WITH BEAUTIFUL KITCHEN, OAK CABINETS, BREAKFAST BAR &amp; PANTRY CLOSET. SPACIOUS LIVING &amp; DINING ROOMS. FAMILY ROOM WITH VAULTED CEILING &amp; GAS FIRE PLACE FOR ENTERTAINMENT. MASTER BR WITH FULL BTH &amp; LOTS OF CLOSET SPACE. FURNACE &amp; A/C REPLACED IN '10. FRESHLY PAINTED. NOTHING TO DO BUT MOVE IN. GREAT LOCATION, CLOSE TO SHOPPING &amp; SCHOOLS. OWNR WILL REPLACE EXISTING STOVE 4 BRND NEW SLIDER!</t>
  </si>
  <si>
    <t>WASHINGTON ELEMENTARY SCHOOL</t>
  </si>
  <si>
    <t>ABBOTT MIDDLE SCHOOL</t>
  </si>
  <si>
    <t>LARKIN HIGH SCHOOL</t>
  </si>
  <si>
    <t>16X18</t>
  </si>
  <si>
    <t>14X16</t>
  </si>
  <si>
    <t>16-20 Years</t>
  </si>
  <si>
    <t>Eating Area-Breakfast Bar, Pantry-Closet</t>
  </si>
  <si>
    <t>Oven/Range, Dishwasher, Refrigerator, Disposal</t>
  </si>
  <si>
    <t>CO Detectors, Ceiling Fan</t>
  </si>
  <si>
    <t>Vaulted/Cathedral Ceilings, 1st Floor Bedroom, 1st Floor Laundry, 1st Floor Full Bath</t>
  </si>
  <si>
    <t>Ranch</t>
  </si>
  <si>
    <t>Gas Logs</t>
  </si>
  <si>
    <t>1 Story</t>
  </si>
  <si>
    <t>2.5% -$150 (on Net SP)</t>
  </si>
  <si>
    <t>Brenda E Puga Alfonzo</t>
  </si>
  <si>
    <t>(224) 356-6750</t>
  </si>
  <si>
    <t>Brenda Puga Alfonzo</t>
  </si>
  <si>
    <t>PLEASE USE LINK BELOW "SCHEDULE A SHOWING"</t>
  </si>
  <si>
    <t>FORTCAMP</t>
  </si>
  <si>
    <t>SELLER WILL REPLACE THE STOVE FOR A BRAND NEW SLIDER. EARNEST MONEY HELD BY SELLER'S ATTORNEY ***BEST AND HIGEST DUE 10/21/14 AT 2pm***</t>
  </si>
  <si>
    <t>112th</t>
  </si>
  <si>
    <t>PL</t>
  </si>
  <si>
    <t>Central Park to 112th Place, west to 3731</t>
  </si>
  <si>
    <t>40X121</t>
  </si>
  <si>
    <t>Beautiful Mt Greenwood brick raised ranch with second story addition. Steps from lovely Mt Greenwood park. Master bedroom features office nook, walk-in closet and bath. Fully finished basement with working gas fireplace. Recently remodeled expanded kitchen with stainless steel appliances, granite counters, oak cabinets, and eat in dining area which opens to your multi-level deck and side drive.</t>
  </si>
  <si>
    <t>22X24</t>
  </si>
  <si>
    <t>11X11</t>
  </si>
  <si>
    <t>18X10</t>
  </si>
  <si>
    <t>44X16</t>
  </si>
  <si>
    <t>61-70 Years</t>
  </si>
  <si>
    <t>Oven/Range, Microwave, Dishwasher, Refrigerator, Washer, Dryer</t>
  </si>
  <si>
    <t>Hardwood Floors</t>
  </si>
  <si>
    <t>Deck, Pool Above Ground</t>
  </si>
  <si>
    <t>2.5% - 200 (on Gross SP)</t>
  </si>
  <si>
    <t>OnLine Realty Professionals.com</t>
  </si>
  <si>
    <t>(773) 239-8100</t>
  </si>
  <si>
    <t>Erin Lorenz</t>
  </si>
  <si>
    <t>USE SHOWING ASSIST</t>
  </si>
  <si>
    <t>2 FURNACES, 2 A/C UNITS. OVERHEAD GARAGE DOOR OPENS MANUALLY ONLY.</t>
  </si>
  <si>
    <t>Addison</t>
  </si>
  <si>
    <t>CICERO WEST TO HOME BEFORE CENTRAL AVENUE</t>
  </si>
  <si>
    <t>This beautiful, recently rehabbed 4 bedroom, brick bungalow is brimming with brand new features and special additions. The first floor offers gleaming hardwood floors. The gorgeous, modern kitchen boasts stainless steel appliances, upgraded cabinets and granite counter tops. With a finished basement, large deck and fenced in backyard, this home is a must-see!</t>
  </si>
  <si>
    <t>21X17</t>
  </si>
  <si>
    <t>21X21</t>
  </si>
  <si>
    <t>Fenced Yard, Landscaped Professionally</t>
  </si>
  <si>
    <t>Standard Chicago Lot</t>
  </si>
  <si>
    <t>Mud Room, Walk In Closet</t>
  </si>
  <si>
    <t>Mud Room</t>
  </si>
  <si>
    <t>11X6</t>
  </si>
  <si>
    <t>USe showing assist</t>
  </si>
  <si>
    <t>EMAIL OFFERS TO OFFERS@FRANKMONTROHOMES.COM OR FAX 708-479-3308. EM CERTIFIED CHECK ONLY. VIEW OUR OTHER 100+ REHABBED HOMES at FRANKMONTROHOMES.COM</t>
  </si>
  <si>
    <t>Winnemac</t>
  </si>
  <si>
    <t>Lawrence Ave East of the Kennedy expy, North on Leclaire Ave, West of Winnemac to address.</t>
  </si>
  <si>
    <t>27 X 125</t>
  </si>
  <si>
    <t>Newly renovated single family home on a quiet Jefferson Park block. New kitchen with white shaker cabs, s/s appliances, granite counters. All new baths with designer finishes. Full unfinished basement.  Deck off of back opens to large yard.  Convenient location, steps to Roberts Square Park, 2 blocks to metra stop and easy access to expressway. Nothing to do but move in!</t>
  </si>
  <si>
    <t>BEAUBIEN ELEMENTARY SCHOOL</t>
  </si>
  <si>
    <t>16X10</t>
  </si>
  <si>
    <t>20X11</t>
  </si>
  <si>
    <t>Island</t>
  </si>
  <si>
    <t>Oven/Range, Microwave, Dishwasher, Refrigerator, Disposal, All Stainless Steel Kitchen Appliances</t>
  </si>
  <si>
    <t>2.5% - $325 (on Net SP)</t>
  </si>
  <si>
    <t>Jameson Sotheby's Intl Realty</t>
  </si>
  <si>
    <t>(312) 751-0300</t>
  </si>
  <si>
    <t>Jason O'Beirne</t>
  </si>
  <si>
    <t>(312) 335-3265</t>
  </si>
  <si>
    <t>Jason: jobeirne@jamesonsir.com</t>
  </si>
  <si>
    <t>Christiana</t>
  </si>
  <si>
    <t>Elston west of Addison, north on Christiana to address.</t>
  </si>
  <si>
    <t>25 X 125</t>
  </si>
  <si>
    <t>Sold before print.</t>
  </si>
  <si>
    <t>16X14</t>
  </si>
  <si>
    <t>NEW Under Construction</t>
  </si>
  <si>
    <t>Gas, Forced Air, Zoned</t>
  </si>
  <si>
    <t>Humidifier, Security System, CO Detectors, Ceiling Fan, Sump Pump</t>
  </si>
  <si>
    <t>Skylight(s), Hardwood Floors, 2nd Floor Laundry</t>
  </si>
  <si>
    <t>35X17</t>
  </si>
  <si>
    <t>GREY FOX</t>
  </si>
  <si>
    <t>Irving park Rd west of 59 to Wildflower N&amp;W to Grey Fox to 101</t>
  </si>
  <si>
    <t>JACOBS FARM</t>
  </si>
  <si>
    <t>CUSTOM</t>
  </si>
  <si>
    <t>148X76X102X56X60</t>
  </si>
  <si>
    <t>Immaculate Home! Just waiting for you. Magnificent kitchen with Island and eating area, Finished Attic, Freshly painted exterior and deck, New washer and dryer, Underground Sprinkler system, Family room W/Brick fireplace,Full Finished English basement W/wet Bar and Full bathroom.</t>
  </si>
  <si>
    <t>HILLTOP ELEMENTARY SCHOOL</t>
  </si>
  <si>
    <t>CANTON MIDDLE SCHOOL</t>
  </si>
  <si>
    <t>STREAMWOOD HIGH SCHOOL</t>
  </si>
  <si>
    <t>15X13</t>
  </si>
  <si>
    <t>Eating Area-Breakfast Bar, Island</t>
  </si>
  <si>
    <t>Oven-Double, Microwave, Dishwasher, Refrigerator, Refrigerator-Bar, Washer, Dryer, Disposal</t>
  </si>
  <si>
    <t>Corner, Cul-de-sac</t>
  </si>
  <si>
    <t>Humidifier, TV Antenna, Security System, CO Detectors, Ceiling Fan, Sump Pump</t>
  </si>
  <si>
    <t>Foyer, Recreation Room</t>
  </si>
  <si>
    <t>Brick, Cedar</t>
  </si>
  <si>
    <t>Vaulted/Cathedral Ceilings, Skylight(s)</t>
  </si>
  <si>
    <t>Deck, Patio</t>
  </si>
  <si>
    <t>Wood Burning, Gas Logs, Gas Starter</t>
  </si>
  <si>
    <t>10X6</t>
  </si>
  <si>
    <t>24X15</t>
  </si>
  <si>
    <t>2.5% (on Gross SP)</t>
  </si>
  <si>
    <t>Charles Rutenberg Realty</t>
  </si>
  <si>
    <t>Dilip Shinde</t>
  </si>
  <si>
    <t>(224) 402-3570</t>
  </si>
  <si>
    <t>Call LA @ 224 402 - 3570</t>
  </si>
  <si>
    <t>Call LA 224 402 - 3570</t>
  </si>
  <si>
    <t>PENSACOLA</t>
  </si>
  <si>
    <t>Pensacola Runs West off of Laramie (1 block south of Montrose).</t>
  </si>
  <si>
    <t>BUNGALOW</t>
  </si>
  <si>
    <t>30 X 125</t>
  </si>
  <si>
    <t>Historically registered bungalow on perfect block. Original features: stained glass windows, french doors, wood trim &amp; HW flrs, subway tile &amp; more. Updated, vintage kit w/granite, walk-in pantry &amp; table space adjoins rear mud rm w/bench seat. 2 bdrm+den lst fl, 2nd fl has 2 big bdrms &amp; newer full bath. Rare radiator HEAT &amp; central air. Walk 2 CTA. Only 4 owners. Classic details w/modern updates. Basement good height</t>
  </si>
  <si>
    <t>PORTAGE PARK ELEMENTARY SCHOOL</t>
  </si>
  <si>
    <t>18X17</t>
  </si>
  <si>
    <t>23X13</t>
  </si>
  <si>
    <t>18X14</t>
  </si>
  <si>
    <t>81-90 Years</t>
  </si>
  <si>
    <t>Eating Area-Table Space, Pantry-Walk-in</t>
  </si>
  <si>
    <t>Gas, Hot Water/Steam</t>
  </si>
  <si>
    <t>Park/Playground, Pool, Tennis Courts</t>
  </si>
  <si>
    <t>Oven/Range, Dishwasher, Refrigerator</t>
  </si>
  <si>
    <t>Finished, Interior Stair</t>
  </si>
  <si>
    <t>Unfinished, Exterior Access</t>
  </si>
  <si>
    <t>Commuter Train, Interstate Access</t>
  </si>
  <si>
    <t>Soaking Tub</t>
  </si>
  <si>
    <t>Oversized Chicago Lot</t>
  </si>
  <si>
    <t>Mud Room, Office</t>
  </si>
  <si>
    <t>Brick Paver Patio, Storms/Screens</t>
  </si>
  <si>
    <t>Decorative Only</t>
  </si>
  <si>
    <t>9X9</t>
  </si>
  <si>
    <t>2.5% - $295 (on Net SP)</t>
  </si>
  <si>
    <t>RE/MAX Exclusive Properties</t>
  </si>
  <si>
    <t>(773) 327-2001</t>
  </si>
  <si>
    <t>Brian Ban</t>
  </si>
  <si>
    <t>(773) 454-7423</t>
  </si>
  <si>
    <t>Text/call: 773-454-7423 - leave cell/agent id</t>
  </si>
  <si>
    <t>Registered w/Chicago Bungalow Association. Steel beam construction. Original blue prints. Large high basement perfect for expansion but a ton of space upstairs. Great yard/garage. Terrific block. Walk to great amenities. Rare opp.</t>
  </si>
  <si>
    <t>KINGS</t>
  </si>
  <si>
    <t>Carpentersville</t>
  </si>
  <si>
    <t>RTE 25 TO KINGS RD TO HOME</t>
  </si>
  <si>
    <t>CARPENTERSVILLE</t>
  </si>
  <si>
    <t>DUNDEE</t>
  </si>
  <si>
    <t>60 X 110</t>
  </si>
  <si>
    <t>Spacious Tri-Level provides you with spacious living arrangement.Large fenced yard,Double Wide Drive way.Great Location.Offered at Great Price.Can't miss it.</t>
  </si>
  <si>
    <t>24X13</t>
  </si>
  <si>
    <t>10X09</t>
  </si>
  <si>
    <t>9X13</t>
  </si>
  <si>
    <t>11X09</t>
  </si>
  <si>
    <t>Oven/Range, Dishwasher, High End Refrigerator, Washer, Dryer, All Stainless Steel Kitchen Appliances</t>
  </si>
  <si>
    <t>2.5% - $200+$500 (on Net SP)</t>
  </si>
  <si>
    <t>Keller Williams Success Realty</t>
  </si>
  <si>
    <t>(847) 381-9500</t>
  </si>
  <si>
    <t>Peilin Li</t>
  </si>
  <si>
    <t>(630) 857-8877</t>
  </si>
  <si>
    <t>Call 866.852.8313 for appointment</t>
  </si>
  <si>
    <t>Great Price, Seller is very motivated,  make an offer and let's make a deal. $500 bonus to selling agent is under contact by 11/30/2014.Seller is IL licensed Realtor.</t>
  </si>
  <si>
    <t>Superior</t>
  </si>
  <si>
    <t>CICERO AVE TO SUPERIOR THEN WEST TO ADDRESS.  1 Block South of Chicago Ave. East of Laramie.</t>
  </si>
  <si>
    <t>WEST CHICAGO</t>
  </si>
  <si>
    <t>Exterior Space(s)</t>
  </si>
  <si>
    <t>LARGE HOME IN UP AND COMING AREA, PROPERTY FEATURES 2 LEVELS OF LIVING SPACE, 4 BEDROOMS 2 FULL BATHS,  LARGE LIVING ROOM AND DINING ROOM, HARD WOOD FLOORS THROUGHOUT, CENTRAL HEAT.   SECOND FLOOR COULD BE USED AS AN INLAW.  .</t>
  </si>
  <si>
    <t>13X15</t>
  </si>
  <si>
    <t>Oven/Range, Refrigerator</t>
  </si>
  <si>
    <t>Vinyl Siding, Frame</t>
  </si>
  <si>
    <t>In-Law Arrangement</t>
  </si>
  <si>
    <t>Off Alley</t>
  </si>
  <si>
    <t>2.5%-299 (on Net SP)</t>
  </si>
  <si>
    <t>RE/MAX Signature</t>
  </si>
  <si>
    <t>(773) 348-8500</t>
  </si>
  <si>
    <t>Adam Rodriguez</t>
  </si>
  <si>
    <t>(312) 286-0887</t>
  </si>
  <si>
    <t>EASY TO SHOW CALL 877-977-1010</t>
  </si>
  <si>
    <t>HERRERA</t>
  </si>
  <si>
    <t>CONVENTIONAL LOANS PREFERRED, HOME HAS 2 KITCHENS AND WONT PASS FHA</t>
  </si>
  <si>
    <t>Cotswold</t>
  </si>
  <si>
    <t>WAY</t>
  </si>
  <si>
    <t>Yorkville</t>
  </si>
  <si>
    <t>Route 71 west of 47 to West Highpoint Rd. to Cotswold Dr. to Cotswold Way</t>
  </si>
  <si>
    <t>COTSWOLD FEN</t>
  </si>
  <si>
    <t>YORKVILLE</t>
  </si>
  <si>
    <t>Kendall</t>
  </si>
  <si>
    <t>FOX</t>
  </si>
  <si>
    <t>177X303X495X2900</t>
  </si>
  <si>
    <t>Homeowner, Other</t>
  </si>
  <si>
    <t>This 4 bdrm home sits on 2+ wooded acres in Cotswold Fen Subdivision,a hidden paradise.Enjoy quiet privacy and an abundance of wild life.The kit features new counters and backsplash.The wood burning stove will keep you warm on a cold winter night.Full part finished basement.Large deck and 3 car garage.Got Stuff?Maybe the shed and outbuilding are your solutions.No worries if the lights go out, the Generac takes over.</t>
  </si>
  <si>
    <t>19X16</t>
  </si>
  <si>
    <t>Pantry-Closet</t>
  </si>
  <si>
    <t>Well-Private</t>
  </si>
  <si>
    <t>Septic-Private</t>
  </si>
  <si>
    <t>Partially Finished</t>
  </si>
  <si>
    <t>Cul-de-sac, Wooded</t>
  </si>
  <si>
    <t>2.0-2.99 Acres</t>
  </si>
  <si>
    <t>Wood Laminate Floors</t>
  </si>
  <si>
    <t>Deck, Porch, Storage Shed</t>
  </si>
  <si>
    <t>Wood Burning Stove</t>
  </si>
  <si>
    <t>Garage Door Opener(s), Transmitter(s), Heated</t>
  </si>
  <si>
    <t>2.5 -$175 (on Net SP)</t>
  </si>
  <si>
    <t>Realty Executives Success</t>
  </si>
  <si>
    <t>(815) 436-6000</t>
  </si>
  <si>
    <t>Bobbie Soris, ABR,CSC</t>
  </si>
  <si>
    <t>(630) 553-8405</t>
  </si>
  <si>
    <t>630-567-5779</t>
  </si>
  <si>
    <t>Call listing office</t>
  </si>
  <si>
    <t>HOPE</t>
  </si>
  <si>
    <t>RT 31 TO WALNUT WEST TO WOODARD NORTH TO HOPE CT.</t>
  </si>
  <si>
    <t>RANCH</t>
  </si>
  <si>
    <t>58X104</t>
  </si>
  <si>
    <t>HUGE TOTALLY REMODELED 4 BEDROOMS AND 2 FULL BATHROOMS HOME.  NEW ROOF, WINDOWS, AIR CONDITIONER, HUGE REMODELED KITCHEN WITH NEW CABINETS, GRANITE COUNTER TOPS AND SS APPLIANCES.  REFINISHED HARDWOOD FLOORS, FRESHLY PAINTED, FULL FINISHED BASEMENT WITH NEW ELECTRIC BOX AND MUCH MORE.</t>
  </si>
  <si>
    <t>13X25</t>
  </si>
  <si>
    <t>15X20</t>
  </si>
  <si>
    <t>Hardwood Floors, In-Law Arrangement</t>
  </si>
  <si>
    <t>2.5% - $200.00 (on Gross SP)</t>
  </si>
  <si>
    <t>N. Z. Homes</t>
  </si>
  <si>
    <t>(224) 653-8091</t>
  </si>
  <si>
    <t>Beatriz Guzman</t>
  </si>
  <si>
    <t>(630) 709-1141</t>
  </si>
  <si>
    <t>SHOWING ASSIST</t>
  </si>
  <si>
    <t>THIS IS A REGULAR SALE.  NO SHORT SALE OR FORECLOSURE.  SELLER IS AN ILLINOIS LICENSE.  LISTING AGENT RELATED TO SELLER.</t>
  </si>
  <si>
    <t>STEWART</t>
  </si>
  <si>
    <t>RT 25 TO STEWART EAST TO PROPERTY</t>
  </si>
  <si>
    <t>25X171</t>
  </si>
  <si>
    <t>Charming 4 BDR/ 2 BA with 2 car detached garage. Sold as is. Please allow 2 - 3 business days for Seller response. Tax is prorated 100%. No survey is provided.</t>
  </si>
  <si>
    <t>Aluminum Siding, Vinyl Siding</t>
  </si>
  <si>
    <t>3% OF THE SALE  PRICE OF THE PROPERTY OR $1500 WHICHEVER IS HIGHER. (on Net SP)</t>
  </si>
  <si>
    <t>RE/MAX Great American North</t>
  </si>
  <si>
    <t>(630) 513-6100</t>
  </si>
  <si>
    <t>Matthew Kombrink, SFR</t>
  </si>
  <si>
    <t>(630) 488-3300</t>
  </si>
  <si>
    <t>Call Appt. Center 855.919.0377</t>
  </si>
  <si>
    <t>BOA, N.A. Assoc and/or bank associates' household members &amp; HTS business partners of the Bank, are prohibited from purchasing REO &amp; auctioned REO properties, either owned or serviced by the Bank, whether directly or indirectly</t>
  </si>
  <si>
    <t>Columbia</t>
  </si>
  <si>
    <t>In between Rt 59 &amp; Liberty st (25). From rt 59 head W on 58 Right on Preston then Right on Columbia</t>
  </si>
  <si>
    <t>132X50</t>
  </si>
  <si>
    <t>Spacious 2 story house situated on park like setting.  Floor plan features living room w/ fire place, separate dining room, and eat-in kitchen on main floor. 4 bedrooms and full bath on 2nd floor. Basement is ready to be finished. Backyard &amp; screened in porch are perfect for this summerâ€™s BBQs and entertaining. Multiple offers highest and best due by 10-29 3pm no later.</t>
  </si>
  <si>
    <t>27X13</t>
  </si>
  <si>
    <t>16X9</t>
  </si>
  <si>
    <t>Forced Air</t>
  </si>
  <si>
    <t>Brokerocity Inc</t>
  </si>
  <si>
    <t>(847) 984-9500</t>
  </si>
  <si>
    <t>Frank Richier</t>
  </si>
  <si>
    <t>(847) 909-0332</t>
  </si>
  <si>
    <t>Call 800-746-9464</t>
  </si>
  <si>
    <t>JP Morgan Chase Bank</t>
  </si>
  <si>
    <t>Please use attached contract.</t>
  </si>
  <si>
    <t>DOGWOOD</t>
  </si>
  <si>
    <t>Deer Park</t>
  </si>
  <si>
    <t>Lake-Cook W. of Quentin to Deer Valley, N. to Dogwood</t>
  </si>
  <si>
    <t>DEER PARK</t>
  </si>
  <si>
    <t>Lake</t>
  </si>
  <si>
    <t>ELA</t>
  </si>
  <si>
    <t>87X140X269X165X219</t>
  </si>
  <si>
    <t>This beautiful 4 bdrm,2.5 ba, over 2,600sqft home is located in a quiet cul-de-sac &amp; is in move in condition! Hrdwd flrs  throughout 1st flr. Modern Kit w/granite ctrs, SS appl. Fireplace in Liv rm &amp; Mstr bdrm. Mstr bdrm has massive WIC! Mstr ba has a lrg soaking tub w/jets &amp; separate shower. Brazilian wood deck wired for speakers and Brick paver patio. Whole house generator. Updates!! Brand new roof &amp; siding r a few</t>
  </si>
  <si>
    <t>ISAAC FOX ELEMENTARY SCHOOL</t>
  </si>
  <si>
    <t>LAKE ZURICH MIDDLE - S CAMPUS</t>
  </si>
  <si>
    <t>LAKE ZURICH HIGH SCHOOL</t>
  </si>
  <si>
    <t>17X15</t>
  </si>
  <si>
    <t>17X11</t>
  </si>
  <si>
    <t>Eating Area-Breakfast Bar, Eating Area-Table Space, Pantry-Closet</t>
  </si>
  <si>
    <t>Park/Playground, Horse-Riding Trails, Street Paved</t>
  </si>
  <si>
    <t>Oven/Range, Microwave, Dishwasher, Refrigerator, Washer, Dryer, Disposal, Compactor-Trash</t>
  </si>
  <si>
    <t>School Bus Service, Commuter Train</t>
  </si>
  <si>
    <t>Cul-de-sac, Landscaped Professionally</t>
  </si>
  <si>
    <t>1.0-1.99 Acres</t>
  </si>
  <si>
    <t>Humidifier, Water-Softener Owned, Security System, Ceiling Fan, Sump Pump, Power Generator</t>
  </si>
  <si>
    <t>Breakfast Room, Deck, Office, Recreation Room, Walk In Closet</t>
  </si>
  <si>
    <t>Aluminum Siding, Brick</t>
  </si>
  <si>
    <t>Vaulted/Cathedral Ceilings, Skylight(s), Hardwood Floors</t>
  </si>
  <si>
    <t>Deck, Patio, Porch, Storage Shed, Brick Paver Patio</t>
  </si>
  <si>
    <t>Wood Burning, Gas Starter</t>
  </si>
  <si>
    <t>28X17</t>
  </si>
  <si>
    <t>6X8</t>
  </si>
  <si>
    <t>10X08</t>
  </si>
  <si>
    <t>25X10</t>
  </si>
  <si>
    <t>Redfin Corporation</t>
  </si>
  <si>
    <t>(847) 908-9040</t>
  </si>
  <si>
    <t>John Malandrino</t>
  </si>
  <si>
    <t>(312) 720-1866</t>
  </si>
  <si>
    <t>call SHOWINGTIME AT 800-746-9464</t>
  </si>
  <si>
    <t>NONMEMBER</t>
  </si>
  <si>
    <t>Paulina</t>
  </si>
  <si>
    <t>FOSTER EAST DR WEST TO PAULINA NORTH TO HOME. CORNER OF PAULINA &amp; BALMORAL.</t>
  </si>
  <si>
    <t>60X127</t>
  </si>
  <si>
    <t>Walkout</t>
  </si>
  <si>
    <t>1880â€™S LIGHT FILLED FARMHOUSE MEETS MODERN GREEN REHAB. SLEEK EXTERIOR, STANDING SEAM METAL ROOF &amp; CLEAN LINES SIT PROUDLY ON OVERSIZED 60X127 CORNER LOT. SIMPLY FINISHED, THIS HIGH PERFORMING ENERGY EFFICIENT 4BD, 2.1BA DEMAND FINE TUNING. UNFINISHED 600 SQFT BONUS RM ON 3RD LEVEL OFFERS MANY FUNCTIONS. UPGRADES INCL. ICYNENE OPEN-CELL SPRAY FOAM INSULATION.TANKLESS H2O HTR, RADIANT OAK FLRS &amp; IMPERVIA PELLA WNDWS.</t>
  </si>
  <si>
    <t>CHAPPELL ELEMENTARY SCHOOL</t>
  </si>
  <si>
    <t>AMUNDSEN HIGH SCHOOL</t>
  </si>
  <si>
    <t>21X12</t>
  </si>
  <si>
    <t>9X06</t>
  </si>
  <si>
    <t>Eating Area-Breakfast Bar, Eating Area-Table Space</t>
  </si>
  <si>
    <t>Gas, Radiant, 2+ Sep Heating Systems, Indv Controls, Zoned</t>
  </si>
  <si>
    <t>Oven/Range, Dishwasher, Refrigerator, Washer, Dryer, Disposal</t>
  </si>
  <si>
    <t>Dormer, Unfinished</t>
  </si>
  <si>
    <t>Separate Shower, Steam Shower, Double Sink</t>
  </si>
  <si>
    <t>Security System, Ceiling Fan</t>
  </si>
  <si>
    <t>Balcony, Bonus, Breakfast Room, Walk In Closet</t>
  </si>
  <si>
    <t>Cedar</t>
  </si>
  <si>
    <t>Sauna/Steam Room, Hardwood Floors, Heated Floors, 2nd Floor Laundry</t>
  </si>
  <si>
    <t>Balcony, Deck</t>
  </si>
  <si>
    <t>Conventional, Other</t>
  </si>
  <si>
    <t>Balcony</t>
  </si>
  <si>
    <t>15X09</t>
  </si>
  <si>
    <t>34X12</t>
  </si>
  <si>
    <t>9X6</t>
  </si>
  <si>
    <t>17X8</t>
  </si>
  <si>
    <t>2.5% -$325 (on Net SP)</t>
  </si>
  <si>
    <t>Berkshire Hathaway HomeServices KoenigRubloff</t>
  </si>
  <si>
    <t>(312) 944-8900</t>
  </si>
  <si>
    <t>Susan Dickman</t>
  </si>
  <si>
    <t>(312) 893-8114</t>
  </si>
  <si>
    <t>JAMES DEMARCO 815-382-3308</t>
  </si>
  <si>
    <t>EMAIL SUSAN SDICKMAN@KOENIGRUBLOFF.COM  EMAIL JAMES JDEMARCO@KOENIGRUBLOFF.COM</t>
  </si>
  <si>
    <t>SOLD "AS IS" AND WORTHY OF YOUR CONSIDERATION. SELLER IS MOTIVATED.</t>
  </si>
  <si>
    <t>CONGRESS</t>
  </si>
  <si>
    <t>PKWY</t>
  </si>
  <si>
    <t>CONGRESS EXPY (290) OFF AT INDEPENDENCE   WEST 2 BLOCKS TO PROP  NORTH SIDE OF EXPRESSWAY</t>
  </si>
  <si>
    <t>YES price is $5  FIRE DAMAGED brick home on large lot. Does not need complete gut but has suffered extensive roof and interior damage. Requires a professional rehab. Very large home with over 3000 sq ft including the ( previously) finished basement.  Can close in 45 days.       ***PICTURES  ARE BEFORE THE FIRE**** drive by. Property is in DEMO COURT. Buyer must provide proof of funds to view.</t>
  </si>
  <si>
    <t>30X17</t>
  </si>
  <si>
    <t>Partially Finished, Exterior Access</t>
  </si>
  <si>
    <t>1st Floor Bedroom</t>
  </si>
  <si>
    <t>$500 (on Net SP)</t>
  </si>
  <si>
    <t>Joyce Durante</t>
  </si>
  <si>
    <t>(312) 685-9339</t>
  </si>
  <si>
    <t>DRIVE BY</t>
  </si>
  <si>
    <t>JOHN STANISZEWSKI</t>
  </si>
  <si>
    <t>Ashwood</t>
  </si>
  <si>
    <t>Sycamore</t>
  </si>
  <si>
    <t>Rt. 23 North, East on Maplewood, South on Martin to Ashwood west to house on the northwest corner.</t>
  </si>
  <si>
    <t>Townsend Woods</t>
  </si>
  <si>
    <t>SYCAMORE</t>
  </si>
  <si>
    <t>79X18X14X113X125</t>
  </si>
  <si>
    <t>Seller hates to leave this 4 bedroom, 3.5 bath home featuring a wraparound porch, formal living room &amp; dining room.  Oak kitchen includes all appliances, has island &amp; table space.  Family room w/gas fireplace.  Vaulted master suite with step-in shower in master bath.  Nice size bedrooms.  Partially finished basement with 3rd bath.  Large deck with maintenance free floor.  Fenced corner lot.  Side apron for addl pkg</t>
  </si>
  <si>
    <t>21X13</t>
  </si>
  <si>
    <t>22X13</t>
  </si>
  <si>
    <t>Park/Playground, Pool, Curbs/Gutters, Sidewalks, Street Lights, Street Paved</t>
  </si>
  <si>
    <t>Oven/Range, Microwave, Dishwasher, Refrigerator, Disposal</t>
  </si>
  <si>
    <t>Corner, Fenced Yard</t>
  </si>
  <si>
    <t>Humidifier, Water-Softener Owned, TV-Cable, CO Detectors, Ceiling Fan, Sump Pump</t>
  </si>
  <si>
    <t>Vaulted/Cathedral Ceilings</t>
  </si>
  <si>
    <t>Coldwell Banker Honig-Bell</t>
  </si>
  <si>
    <t>(815) 756-2557</t>
  </si>
  <si>
    <t>Julie Fabrizius</t>
  </si>
  <si>
    <t>(815) 405-1349</t>
  </si>
  <si>
    <t>Click on Schedule a Showing Below or call CSS 877-977-1010</t>
  </si>
  <si>
    <t>Sherlock</t>
  </si>
  <si>
    <t>Swingset included</t>
  </si>
  <si>
    <t>CANFIELD</t>
  </si>
  <si>
    <t>CIR</t>
  </si>
  <si>
    <t>RANDALL RD TO BOWES RD W PAST NESLER TO CEDAR GROVE</t>
  </si>
  <si>
    <t>CEDAR GROVE</t>
  </si>
  <si>
    <t>NEWCASTLE</t>
  </si>
  <si>
    <t>NEW CONSTRUCTION! SOLD DURING PROCESSING!</t>
  </si>
  <si>
    <t>Park/Playground, Pond/Lake, Curbs/Gutters, Sidewalks, Street Lights, Street Paved</t>
  </si>
  <si>
    <t>Oven/Range, Dishwasher, Disposal</t>
  </si>
  <si>
    <t>School Bus Service, Commuter Train, Interstate Access</t>
  </si>
  <si>
    <t>Separate Shower, Double Sink, Garden Tub</t>
  </si>
  <si>
    <t>Ceiling Fan, Sump Pump, Radon Mitigation System(s)</t>
  </si>
  <si>
    <t>Breakfast Room, Office, Study, Utility Room-1st Floor</t>
  </si>
  <si>
    <t>Brick, Other</t>
  </si>
  <si>
    <t>Contemporary</t>
  </si>
  <si>
    <t>Study</t>
  </si>
  <si>
    <t>13X7</t>
  </si>
  <si>
    <t>3% BASES SALES PRICE (on Net SP)</t>
  </si>
  <si>
    <t>Lifestyles Real Estate Inc.</t>
  </si>
  <si>
    <t>(847) 429-2670</t>
  </si>
  <si>
    <t>Michael Simpson, ABR,GRI,SRS</t>
  </si>
  <si>
    <t>(847) 909-9343</t>
  </si>
  <si>
    <t>847-844-8800</t>
  </si>
  <si>
    <t>NO SHOWINGS - SOLD DURING PROCESSING</t>
  </si>
  <si>
    <t>RYLAND HOMES</t>
  </si>
  <si>
    <t>SOLD DURING PROCESSING</t>
  </si>
  <si>
    <t>Fox Run</t>
  </si>
  <si>
    <t>Rt. 25 To Fox Glen Dr. east to home</t>
  </si>
  <si>
    <t>30X59X49X131X99X188</t>
  </si>
  <si>
    <t>JOHN HENRY BUILDER HOME - Great open floor plan with all the amenities your clients are looking for: 4 bedrooms, 3 baths 2 half, 1st floor laundry and mud room,  area for stackable washer &amp; dryer on 2nd floor. Large SS kitchen with pantry. Hardwood on first floor &amp; 2nd floor hall. FINISHED WALKOUT BASEMENT with 1/2 bath, 3 car garage and a dramatic view of downtown Geneva. Ready for Immediate Occupancy.</t>
  </si>
  <si>
    <t>13X18</t>
  </si>
  <si>
    <t>13X17</t>
  </si>
  <si>
    <t>15X19</t>
  </si>
  <si>
    <t>1-5 Years</t>
  </si>
  <si>
    <t>Oven-Double, Microwave, Dishwasher, Refrigerator, Washer, Dryer, Disposal, All Stainless Steel Kitchen Appliances</t>
  </si>
  <si>
    <t>Sewer-Public, Sewer-Storm</t>
  </si>
  <si>
    <t>Humidifier, CO Detectors, Ceiling Fan, Sump Pump</t>
  </si>
  <si>
    <t>Mud Room, Study</t>
  </si>
  <si>
    <t>Hardwood Floors, 1st Floor Laundry</t>
  </si>
  <si>
    <t>12X5</t>
  </si>
  <si>
    <t>2.5%  ( ON NET SP) (on Net SP)</t>
  </si>
  <si>
    <t>Stonewood Properties and Development LLC</t>
  </si>
  <si>
    <t>(630) 377-2475</t>
  </si>
  <si>
    <t>John Cebrzynski</t>
  </si>
  <si>
    <t>SENTRILOCK, home is vacant show anytime</t>
  </si>
  <si>
    <t>John Henry Builder Developer,Inc.</t>
  </si>
  <si>
    <t>Airlite</t>
  </si>
  <si>
    <t>Randall to Highland east to Airlite South to home</t>
  </si>
  <si>
    <t>117 X 95 X 119 X 74</t>
  </si>
  <si>
    <t>Custom quality built! 3300+ sq. ft of total living  space incl a beautifully finished basement w/wetbar, 4th br/den &amp; bath. Living room w/stone fireplace, HW floors, &amp; built-ins. Gourmet kitchen has ss appliances, cabinets w/pull out shelves, granite &amp; LED recessed/under cab. lighting. Large  dining room. 1st floor luxury master suite. 2 huge bedrooms upstairs. Heated 3C garage. 1st fl. laundry. Move in &amp; Enjoy!</t>
  </si>
  <si>
    <t>14X17</t>
  </si>
  <si>
    <t>13X14</t>
  </si>
  <si>
    <t>Slate</t>
  </si>
  <si>
    <t>21X22</t>
  </si>
  <si>
    <t>12X21</t>
  </si>
  <si>
    <t>13X16</t>
  </si>
  <si>
    <t>15X21</t>
  </si>
  <si>
    <t>Oven/Range, Microwave, Dishwasher, High End Refrigerator, Washer, Dryer, All Stainless Steel Kitchen Appliances</t>
  </si>
  <si>
    <t>Humidifier, Water-Softener Owned, TV-Cable, Security System, CO Detectors, Ceiling Fan, Sump Pump, Air Cleaner</t>
  </si>
  <si>
    <t>Vinyl Siding, Stone</t>
  </si>
  <si>
    <t>Bar-Wet, Hardwood Floors, 1st Floor Bedroom, 1st Floor Laundry, 1st Floor Full Bath</t>
  </si>
  <si>
    <t>Deck, Storage Shed, Storms/Screens</t>
  </si>
  <si>
    <t>Cape Cod</t>
  </si>
  <si>
    <t>Gas Logs, Gas Starter, Includes Accessories</t>
  </si>
  <si>
    <t>Conventional, FHA, VA, Cash Only</t>
  </si>
  <si>
    <t>15X33</t>
  </si>
  <si>
    <t>2.5% - $200.00 (on Net SP)</t>
  </si>
  <si>
    <t>Nan Gagliano, GRI,SFR</t>
  </si>
  <si>
    <t>847-207-5253</t>
  </si>
  <si>
    <t>Call Showing Desk 800-746-9464</t>
  </si>
  <si>
    <t>Too many features to list here!  Please email or call LA for complete feature sheet.</t>
  </si>
  <si>
    <t>35W015</t>
  </si>
  <si>
    <t>Duchesne</t>
  </si>
  <si>
    <t>West Dundee</t>
  </si>
  <si>
    <t>Rt 31 (S of Rt72), W on Boncosky Rd, S on Frontenac West, E on Duchesne to Home</t>
  </si>
  <si>
    <t>FRONTENAC</t>
  </si>
  <si>
    <t>UNINCORPORATED</t>
  </si>
  <si>
    <t>123X175X400X305</t>
  </si>
  <si>
    <t>Beautiful Brick Ranch Home w/Full Finished Bsmt on 1+ Acre Lot, Quiet Street. 100k+ In Recent Updates. 4 Bed, 2.1 Bath. Gorgeous Kitchen w/High End SS Apps, Granite, 42" Cherry Cabs, Wine Cbnt. Hardwood Flrs, Vaulted Ceiling, Skylights, Dual Sided FP, &amp; Much More. Sunroom Too. Fin Bsmt w/Rec Rm, FP, Wet Bar, Storage. Fenced Bkyrd w/Deck, In-Ground Pool, Wooded Area, Prof Landscaping. 2 Car Garage. Close to I90/Metra</t>
  </si>
  <si>
    <t>SLEEPY HOLLOW ELEMENTARY SCHOOL</t>
  </si>
  <si>
    <t>DUNDEE MIDDLE SCHOOL</t>
  </si>
  <si>
    <t>DUNDEE-CROWN HIGH SCHOOL</t>
  </si>
  <si>
    <t>Horse-Riding Trails, Pond/Lake, Street Lights, Street Paved</t>
  </si>
  <si>
    <t>Oven/Range, Dishwasher, Refrigerator, Disposal, All Stainless Steel Kitchen Appliances</t>
  </si>
  <si>
    <t>Cul-de-sac, Fenced Yard, Landscaped Professionally, Water View</t>
  </si>
  <si>
    <t>Bonus, Foyer, Recreation Room, Storage, Sun/Florida Room</t>
  </si>
  <si>
    <t>Vaulted/Cathedral Ceilings, Skylight(s), Bar-Wet, Hardwood Floors, 1st Floor Bedroom, 1st Floor Full Bath</t>
  </si>
  <si>
    <t>Deck, Storms/Screens</t>
  </si>
  <si>
    <t>See through/Multi Sided, Wood Burning, Attached Fireplace Doors/Screen</t>
  </si>
  <si>
    <t>Sun/Florida Room</t>
  </si>
  <si>
    <t>Storage</t>
  </si>
  <si>
    <t>15X6</t>
  </si>
  <si>
    <t>45X14</t>
  </si>
  <si>
    <t>48X12</t>
  </si>
  <si>
    <t>Street Side Realty LLC</t>
  </si>
  <si>
    <t>(630) 688-2345</t>
  </si>
  <si>
    <t>Doug Van Vleet</t>
  </si>
  <si>
    <t>(312) 590-1930</t>
  </si>
  <si>
    <t>Call Doug at 312-590-1930. Some Notice Requested (Dog)</t>
  </si>
  <si>
    <t>See Addtl Info for Survey &amp; Upgrades. Property Line Goes Back Into the Woods Behind Home. In-Ground Pool is 20x16. Jenn-Air &amp; Viking SS Appliances. 3 Skylights w/Rain Sensors. 2-Sided Fireplace</t>
  </si>
  <si>
    <t>Cornelia</t>
  </si>
  <si>
    <t>Austin to Cornelia Ave.</t>
  </si>
  <si>
    <t>30X126</t>
  </si>
  <si>
    <t>Lots of UPDATES &amp; UPGRADES in this all brick 4 bedroom English.  Master BR suite w/sitting area, and newer master bath with a jacuzzi.  Updated main floor bath. Newer kitchen w/ stainless appliances.  Newer tear off roof, windows, and tuck pointing. Hard floors thru-out 1st floor. Full basement partially finished with lots of storage. All new copper plumbing. Large detached garage.  Home shows well."Move Condition"</t>
  </si>
  <si>
    <t>20X12</t>
  </si>
  <si>
    <t>Shades</t>
  </si>
  <si>
    <t>12X09</t>
  </si>
  <si>
    <t>Oven/Range, Dishwasher, Refrigerator, Washer, Dryer, All Stainless Steel Kitchen Appliances</t>
  </si>
  <si>
    <t>Sitting Room</t>
  </si>
  <si>
    <t>Hardwood Floors, 1st Floor Full Bath</t>
  </si>
  <si>
    <t>2.5%-$225 (on Net SP)</t>
  </si>
  <si>
    <t>Coldwell Banker Residential Brokerage</t>
  </si>
  <si>
    <t>(847) 696-0700</t>
  </si>
  <si>
    <t>John Pappas</t>
  </si>
  <si>
    <t>(847) 384-7563</t>
  </si>
  <si>
    <t>Call Showing Time to show 855-746-9200</t>
  </si>
  <si>
    <t>Mendota</t>
  </si>
  <si>
    <t>Caldwell north of Devon to Mendota east 2 blocks to home.</t>
  </si>
  <si>
    <t>Edgebrook</t>
  </si>
  <si>
    <t>RAISED RANCH</t>
  </si>
  <si>
    <t>50 X 125</t>
  </si>
  <si>
    <t>Great Edgebrook value! Easily expandable brick and stone Ranch. Completely updated home with 2 bedrooms &amp; bath on main floor &amp; 2 bedrooms plus bath on Lower Level. Custom kitchen has cherrywood shaker cabinets, granite counters, ss appliances. Lower level has large family room. Hardwood floors. Staircase to attic, Fenced yard. Patio &amp; deck. 1/2 block to Wildwood School (addition ready in 2015) &amp; Park. Walk to Metra.</t>
  </si>
  <si>
    <t>Wildwood Elementary School</t>
  </si>
  <si>
    <t>Porcelain Tile</t>
  </si>
  <si>
    <t>12X7</t>
  </si>
  <si>
    <t>24X12</t>
  </si>
  <si>
    <t>2 (Window/Wall Unit)</t>
  </si>
  <si>
    <t>Park/Playground, Tennis Courts, Sidewalks, Street Lights, Street Paved</t>
  </si>
  <si>
    <t>Oven/Range, Microwave, Dishwasher, Refrigerator, Washer, Dryer, All Stainless Steel Kitchen Appliances</t>
  </si>
  <si>
    <t>Full, Interior Stair, Unfinished</t>
  </si>
  <si>
    <t>Commuter Bus, Commuter Train, Interstate Access</t>
  </si>
  <si>
    <t>Fenced Yard, Wooded</t>
  </si>
  <si>
    <t>Brick, Stone</t>
  </si>
  <si>
    <t>Deck, Patio, Porch</t>
  </si>
  <si>
    <t>(847) 881-0200</t>
  </si>
  <si>
    <t>Jill Cunningham</t>
  </si>
  <si>
    <t>(630) 362-5178</t>
  </si>
  <si>
    <t>Use Showing Time 855-746-9020</t>
  </si>
  <si>
    <t>Great condition! Great location!</t>
  </si>
  <si>
    <t>GROVE</t>
  </si>
  <si>
    <t>ARCHER TO LOCK, NORTH TO GROVE</t>
  </si>
  <si>
    <t>SOUTH CHICAGO</t>
  </si>
  <si>
    <t>PLAN C</t>
  </si>
  <si>
    <t>25.5 X 101</t>
  </si>
  <si>
    <t>WOW!! Price reduced to sell quickly! Lowest price 2 story single family home in Bridgeport!  Build in 2012, this home is practically new but without the new home price tag! 4brs/3.1bths w/full finished bsmt. 2-car brick gar, deck off kitchen, upscale finishes include SS appliances, handcrafted cabinetry, Kohler fixtures, high efficiency furnace, crown molding &amp; hdwd floors....just too much to list! Come see it today!</t>
  </si>
  <si>
    <t>18X11</t>
  </si>
  <si>
    <t>Gas, Indv Controls</t>
  </si>
  <si>
    <t>Curbs/Gutters, Sidewalks, Street Lights</t>
  </si>
  <si>
    <t>Finished, Exterior Access</t>
  </si>
  <si>
    <t>Humidifier</t>
  </si>
  <si>
    <t>Deck, Great Room</t>
  </si>
  <si>
    <t>Great Room</t>
  </si>
  <si>
    <t>16X06</t>
  </si>
  <si>
    <t>31X13</t>
  </si>
  <si>
    <t>2% MINUS $200 (on Net SP)</t>
  </si>
  <si>
    <t>Landmark &amp; Property Group, Inc</t>
  </si>
  <si>
    <t>(773) 299-1228</t>
  </si>
  <si>
    <t>Amy Mei</t>
  </si>
  <si>
    <t>(312) 622-2962</t>
  </si>
  <si>
    <t>CALL/TEXT AMY 312-622-2962</t>
  </si>
  <si>
    <t>CRESTWOOD</t>
  </si>
  <si>
    <t>LN</t>
  </si>
  <si>
    <t>I-90 TO RANDALL ROAD, NORTH TO HUNTLEY RD WEST TO OFFICE</t>
  </si>
  <si>
    <t>WINCHESTER GLEN</t>
  </si>
  <si>
    <t>GREENFIELD</t>
  </si>
  <si>
    <t>118X73X118X73</t>
  </si>
  <si>
    <t>Homeowner, Senior</t>
  </si>
  <si>
    <t>NEW CONSTRUCTION-COMMUNITY CLOSE OUT! BACKS TO NATURE PRESERVE! DESIRABLE COMMUNITY NEAR RANDALL RD SHOPPING CORRIDOR W/114 ACRES OPEN SPACE &amp; WALKING PATHS. HOME TO BE BUILT. SELECT YOUR OWN FINISHES. LIFE-TESTED, CONSUMER INSPIRED FEATURES! BALDWIN IS OPEN FLOOR PLAN W/4 BDRMS, LOFT, FLEX RM, 3 SPACE GARAGE, KITCHEN ISLAND, LGE PANTRY &amp; MORE. PHOTOS OF SIMILAR HOME.</t>
  </si>
  <si>
    <t>LIBERTY ELEMENTARY SCHOOL</t>
  </si>
  <si>
    <t>HAMPSHIRE HIGH SCHOOL</t>
  </si>
  <si>
    <t>11X16</t>
  </si>
  <si>
    <t>16X28</t>
  </si>
  <si>
    <t>Common Insurance, Other</t>
  </si>
  <si>
    <t>Air Purifier/Humidifier, Central Air, Fireplace, Basement, Garage, Hardwood/Ceramic Floors</t>
  </si>
  <si>
    <t>TV-Cable, CO Detectors, Sump Pump</t>
  </si>
  <si>
    <t>Den, Loft</t>
  </si>
  <si>
    <t>1st Floor Laundry</t>
  </si>
  <si>
    <t>11X15</t>
  </si>
  <si>
    <t>3% OF BASE PRICE (SEE AGENT REMARKS) (on Net SP)</t>
  </si>
  <si>
    <t>Pulte Homes Corp. and Del Webb Communities of Illinois</t>
  </si>
  <si>
    <t>(847) 230-5340</t>
  </si>
  <si>
    <t>Maria Wilhelm</t>
  </si>
  <si>
    <t>(630) 404-9976</t>
  </si>
  <si>
    <t>OPEN 10 TO 6 SAT-WED. CALL 847-426-4411.</t>
  </si>
  <si>
    <t>PULTE HOMES</t>
  </si>
  <si>
    <t>3% COMMISSION ON BASE PRICE OF $254,990.</t>
  </si>
  <si>
    <t>Turnberry</t>
  </si>
  <si>
    <t>St. Charles</t>
  </si>
  <si>
    <t>Kirk Rd to Royal Fox Drive to Turnberry.</t>
  </si>
  <si>
    <t>Royal Fox</t>
  </si>
  <si>
    <t>ST. CHARLES</t>
  </si>
  <si>
    <t>88X162X84X143</t>
  </si>
  <si>
    <t>Rare opportunity to own a 3400+ sq. ft. ranch under $400,000 in Royal Fox.  Bring your contractor.  Bring your wallet. Bring your decorating and updating ideas. Needs paint, carpet, deck, windows, front walk, drywall, etc.  Plenty of room.  2nd floor guest/teen/nanny suite with private bath.  Backs to wooded area.  Huge (65x35), full, unfinished, deep pour basement.  3 car garage. Regular sale. Being sold as-is.</t>
  </si>
  <si>
    <t>22X17</t>
  </si>
  <si>
    <t>Clubhouse, Curbs/Gutters, Sidewalks, Street Lights, Street Paved</t>
  </si>
  <si>
    <t>Wooded</t>
  </si>
  <si>
    <t>Water-Softener Owned, TV-Cable, Ceiling Fan, Sump Pump, Sprinkler-Lawn</t>
  </si>
  <si>
    <t>EIFS (e.g. Dryvit)</t>
  </si>
  <si>
    <t>Vaulted/Cathedral Ceilings, Hardwood Floors, 1st Floor Bedroom, In-Law Arrangement, 1st Floor Laundry, 1st Floor Full Bath</t>
  </si>
  <si>
    <t>RE/MAX Excels</t>
  </si>
  <si>
    <t>(630) 208-7400</t>
  </si>
  <si>
    <t>Wayne Reuter</t>
  </si>
  <si>
    <t>(630) 513-3174</t>
  </si>
  <si>
    <t>Call 630-513-3174 24 Hour Notice</t>
  </si>
  <si>
    <t>Home is priced over $100,000 below market value.  Needs work!  Carpet, drywall repair, paint, windows, flooring, landscaping, front walkway, deck, etc. Being sold as-is.  Regular sale-not a short sale.  No Home sale contingency.</t>
  </si>
  <si>
    <t>Olmsted</t>
  </si>
  <si>
    <t>Northwest Hwy to Olympia, south to Olmsted, west (Olmsted is one way westbound on this block).</t>
  </si>
  <si>
    <t>77 X 82</t>
  </si>
  <si>
    <t>VINTAGE VICTORIAN CHARMER IN THE HEART OF EDISON PARK! 2 SIDE YARDS!!;ATT GARAGE OFF ALLEY!!; STEPS TO TRAIN,  SHOPPING, 4 STAR RESTAURANTS &amp; TRANSPORTATION;  HIGH CEILINGS,  METAL LIVING RM CEILING;  HARDWOOD FLRS; 1ST FLR OFFICE LISTED AS 4TH BEDRM;  FULL BATH ON 1ST FLOOR (VINTAGE CLAW FOOT TUB)  ENC/HEATED FRONT PORCH; LOADS OF CLOSET SPACE;, WROUGHT IRON FENCE;  (LOT SIZE INCLUDES 26X82 SIDE LOT-SEP $377/YR TAX.</t>
  </si>
  <si>
    <t>TAFT HIGH SCHOOL</t>
  </si>
  <si>
    <t>Oven/Range, Dishwasher, Refrigerator, Washer, Dryer</t>
  </si>
  <si>
    <t>Exterior Access</t>
  </si>
  <si>
    <t>Whirlpool, Separate Shower, Garden Tub, Soaking Tub</t>
  </si>
  <si>
    <t>TV-Dish, Ceiling Fan, Sump Pump</t>
  </si>
  <si>
    <t>Enclosed Porch, Tandem Room, Walk In Closet</t>
  </si>
  <si>
    <t>Tandem Room</t>
  </si>
  <si>
    <t>15X9</t>
  </si>
  <si>
    <t>1X1</t>
  </si>
  <si>
    <t>2.5 - $200 (on Net SP)</t>
  </si>
  <si>
    <t>Sebastian Co. Real Estate</t>
  </si>
  <si>
    <t>(847) 823-3117</t>
  </si>
  <si>
    <t>Noreen Vonckx, GRI</t>
  </si>
  <si>
    <t>(847) 652-8797</t>
  </si>
  <si>
    <t>Please use Showing Assist/ Please allow ample notice, agt accompanies key - No Sign</t>
  </si>
  <si>
    <t>House pin=51x82x51x78  side lot pin=09-36-416-021-0000=26x83x26x82;  walk in closet could be tandem BR off master BR; Stained Glass stays;  Exterior Camera monitering system; solar lighting around gutters; Permit street parking.</t>
  </si>
  <si>
    <t>Stewart</t>
  </si>
  <si>
    <t>RT 25 (S OF 90) TO STEWART- EAST,  TO HOME</t>
  </si>
  <si>
    <t>4 BEDROOM 2 STORY WITH GARAGE AND GOOD CURB APPEAL IN GREAT LOCATION CLOSE TO I 90.  LOTS OF POSSIBILITIES READY FOR YOUR DECORATING AND REHAB.  CASH BUYER=ALL FUNDS TO CLOSE VERIFIED.  FINANCING=PRE-APPROVAL WITH SOURCE OF FUND VERIFIED.  SOLD AS IS, TAXES AT 100%, NO SURVEY.  SQ FT FROM APPRAISER.  SEE ADDENDUM, DISCLOSURES, AND REO SALES HELP SHEET IN ADDITIONAL INFORMATION-MLS.</t>
  </si>
  <si>
    <t>COLEMAN ELEMENTARY SCHOOL</t>
  </si>
  <si>
    <t>LARSEN MIDDLE SCHOOL</t>
  </si>
  <si>
    <t>ELGIN HIGH SCHOOL</t>
  </si>
  <si>
    <t>22X15</t>
  </si>
  <si>
    <t>11X7</t>
  </si>
  <si>
    <t>18X8</t>
  </si>
  <si>
    <t>Interstate Access</t>
  </si>
  <si>
    <t>3% (on Gross SP)</t>
  </si>
  <si>
    <t>RE/MAX Enterprises</t>
  </si>
  <si>
    <t>(630) 964-3000</t>
  </si>
  <si>
    <t>Marge Pawlak, ABR,CRS,GRI,SFR</t>
  </si>
  <si>
    <t>(630) 971-7654</t>
  </si>
  <si>
    <t>630-964-3000</t>
  </si>
  <si>
    <t>PLEASE READ ALL OF SHOWING ASSIST-EASY TO SHOW</t>
  </si>
  <si>
    <t>SELECT PORTFOLIO SERVICING</t>
  </si>
  <si>
    <t>Bradley</t>
  </si>
  <si>
    <t>County Farm to Arlington east to Andover left to Bradley Ct left to home</t>
  </si>
  <si>
    <t>DuPage</t>
  </si>
  <si>
    <t>BLOOMINGDALE</t>
  </si>
  <si>
    <t>186 X 86 X 150 X 68</t>
  </si>
  <si>
    <t>Shared</t>
  </si>
  <si>
    <t>Nicely updated 4 Bedroom home on a beautiful 1/3rd acre cul-de-sac lot! Freshly painted throughout w/ newly re-done bathrooms &amp; eat in kitchen. The living room features a dramatic vaulted ceiling, and a sliding door from the patio leads to the deck &amp; the huge backyard. Located in the desirable Lake Park - 108 School District. Newer Roof, furnace &amp; A/C in 2012. New Concrete Drive.  Quick Close! Pool one block away!</t>
  </si>
  <si>
    <t>GREENBROOK ELEMENTARY SCHOOL</t>
  </si>
  <si>
    <t>SPRING WOOD MIDDLE SCHOOL</t>
  </si>
  <si>
    <t>LAKE PARK HIGH SCHOOL</t>
  </si>
  <si>
    <t>Clubhouse, Park/Playground, Pool, Tennis Courts, Curbs/Gutters, Sidewalks</t>
  </si>
  <si>
    <t>Finished, Crawl</t>
  </si>
  <si>
    <t>School Bus Service, Interstate Access</t>
  </si>
  <si>
    <t>Clubhouse, Pool, Other</t>
  </si>
  <si>
    <t>Utility Room-Lower Level</t>
  </si>
  <si>
    <t>2.5%-195 (on Gross SP)</t>
  </si>
  <si>
    <t>Teresa Stultz</t>
  </si>
  <si>
    <t>(630) 205-5568</t>
  </si>
  <si>
    <t>Call 855-919-0200 or use showing assist. must confirm.  M-F 9-5 Go &amp; Show, other times 2 Hr Notice</t>
  </si>
  <si>
    <t>This home shows very well, your clients won't be disappointed! Not a short sale or foreclosure. Pool is one block away.  $31 Month fee/includes Pool/clubhouse/Parks/tennis Courts.</t>
  </si>
  <si>
    <t>LARAMIE TO WARWICK, WEST TO PROPERTY</t>
  </si>
  <si>
    <t>30X122</t>
  </si>
  <si>
    <t>This beautiful, recently rehabbed, 4 bedroom, 3.5 bath home is brimming with new features and additions! Gleaming hardwood floors on the first floor! The modern kitchen boasts stainless steel appliances, granite counters and a lovely island! With a finished basement and a 2 car garage, this is a must-see!</t>
  </si>
  <si>
    <t>19X19</t>
  </si>
  <si>
    <t>2.5%-$200 (on Gross SP)</t>
  </si>
  <si>
    <t>Use showing assist below.</t>
  </si>
  <si>
    <t>Monitor</t>
  </si>
  <si>
    <t>cicero to 63rd west to menard n to 62 w to monitor s</t>
  </si>
  <si>
    <t>30X120</t>
  </si>
  <si>
    <t>3 bedroom 1 1/2 bath with 2 car detached garage.  Great space, needs some TLC.  Finished basement with fireplace &amp; partial kitchen.  Great lot fully fenced with newer garage  Make your appointment today and owner will look at all offers.</t>
  </si>
  <si>
    <t>25X20</t>
  </si>
  <si>
    <t>Negotiable</t>
  </si>
  <si>
    <t>2.5% -150 (on Net SP)</t>
  </si>
  <si>
    <t>Century 21 Affiliated</t>
  </si>
  <si>
    <t>(708) 361-0800</t>
  </si>
  <si>
    <t>Karen Gaylord</t>
  </si>
  <si>
    <t>call centralized showing 877-977-1010</t>
  </si>
  <si>
    <t>owner of record</t>
  </si>
  <si>
    <t>Rockwell</t>
  </si>
  <si>
    <t>43RD. ST TO ROCKWELL NORTH TO HOME</t>
  </si>
  <si>
    <t>MCKINLEY/BRIGHTON PARK SINGLE FAMILY FRAME HOUSE WITH FINISHED BASEMENT. FEATURES 4 BEDROOMS, 2 BATHS, AND FENCED YARD. LOTS OF LIVING SPACE IN A GREAT AREA. THIS IS A FANNIE MAE HOMEPATH PROPERTY.</t>
  </si>
  <si>
    <t>18X08</t>
  </si>
  <si>
    <t>13X08</t>
  </si>
  <si>
    <t>15X16</t>
  </si>
  <si>
    <t>1 (Window/Wall Unit)</t>
  </si>
  <si>
    <t>Dormer</t>
  </si>
  <si>
    <t>Step Ranch</t>
  </si>
  <si>
    <t>3 % OR $1000 MINIMUM (ON GROSS SP) (on Gross SP)</t>
  </si>
  <si>
    <t>Castline Properties LLC</t>
  </si>
  <si>
    <t>(773) 996-2653</t>
  </si>
  <si>
    <t>Bradley Cole</t>
  </si>
  <si>
    <t>FANNIE MAE</t>
  </si>
  <si>
    <t>** Multiple Offers Received. Highest and Best Offers due no later than 2:59 PM on Monday, 12/22. ** THIS IS A FANNIE MAE HOMEPATH PROPERTY. ALL OFFERS MUST BE MADE VIA HOMEPATH WEBSITE. USE ATTACHED CONTRACT PACKAGE AND FOLLOW INSTRUCTIONS.</t>
  </si>
  <si>
    <t>SUTTON</t>
  </si>
  <si>
    <t>BRIDGE STREET TO WINDETT RIDGE EAST TO LOT</t>
  </si>
  <si>
    <t>WINDETT RIDGE</t>
  </si>
  <si>
    <t>BRISTOL</t>
  </si>
  <si>
    <t>THE VICTORIA</t>
  </si>
  <si>
    <t>Partial</t>
  </si>
  <si>
    <t>READY TO MOVE INTO!! Distinctive craftsmanship is outstanding &amp; the luxurious 2 story foyer is grand. Custom 2,282 square foot home awaits you w/an enormous kitchen that expands to family room. Elegant home features 4 bedrooms &amp; master suite w/private walk in closet. Features garden master bath, full bsmnt, 9'1st floor ceilings, kitchen island &amp; more.  PRICE IS REFLECTIVE OF USING RYLANDS PREFERRED LENDER.</t>
  </si>
  <si>
    <t>9X14</t>
  </si>
  <si>
    <t>Park/Playground, Sidewalks, Street Lights, Street Paved</t>
  </si>
  <si>
    <t>Oven/Range, Dishwasher</t>
  </si>
  <si>
    <t>Garden Tub</t>
  </si>
  <si>
    <t>3%-$150 *4%-150 + $2000 CONTRACTS B4 10/31 W/2014 CLOSE. 4%-150 CONTRACT B4 11/30 CLOSE 2015 (on Net SP)</t>
  </si>
  <si>
    <t>(630) 553-9000</t>
  </si>
  <si>
    <t>Jane Winninger</t>
  </si>
  <si>
    <t>(630) 364-8849</t>
  </si>
  <si>
    <t>3%-$150 *4%-150 + $2000 CONTRACTS B4 11/30 W/2014 CLOSE. 4%-150 CONTRACT B4 10/31 CLOSE 2015</t>
  </si>
  <si>
    <t>*4% CC &amp; BONUS IF UNDER CONTRACT BY 11/30&amp;  CLOSE BY 12/31/14* PRICE REFLECTS USING PREFERRED LENDER* EVEN IF YOUR CLIENT HAS PREVIOUSLY VISITED A RYLAND COMMUNITY, PLEASE CONTACT THE LIST AGENT OR RYLAND REP @ COMMUNITY  CC ON BASE</t>
  </si>
  <si>
    <t>Prairie</t>
  </si>
  <si>
    <t>Take 75th, St. East or West to Prairie then North to property</t>
  </si>
  <si>
    <t>Impeccable Rehab! Everything has been rehabbed to perfection. Spacious 4 bedrooms and 2 full baths. Eat in Kitchen boast of 42" cabinets, granite counter tops, mosaic  back splash and ceramic/hardwood floors. Basement features a Spa bath complete with whirlpool bath and separate shower. Outstanding community, beautifully rehabbed home with ample room to grow.  must  see this one today.</t>
  </si>
  <si>
    <t>10X15</t>
  </si>
  <si>
    <t>42X20</t>
  </si>
  <si>
    <t>TV-Cable, CO Detectors</t>
  </si>
  <si>
    <t>Bar-Dry, Hardwood Floors, 1st Floor Bedroom, 1st Floor Full Bath</t>
  </si>
  <si>
    <t>Porch, Storms/Screens</t>
  </si>
  <si>
    <t>Conventional, FHA, VA, Other</t>
  </si>
  <si>
    <t>Alex Drew Realty and Property Management</t>
  </si>
  <si>
    <t>(630) 915-5706</t>
  </si>
  <si>
    <t>Andrew Stephens</t>
  </si>
  <si>
    <t>Call (708)567-2322</t>
  </si>
  <si>
    <t>KATE</t>
  </si>
  <si>
    <t>Montgomery</t>
  </si>
  <si>
    <t>Rt 30 W. of Orchard to Griffen S. to Kate</t>
  </si>
  <si>
    <t>ORCHARD PRAIRIE NORTH</t>
  </si>
  <si>
    <t>MONTGOMERY</t>
  </si>
  <si>
    <t>VICTORIA B</t>
  </si>
  <si>
    <t>60X120</t>
  </si>
  <si>
    <t>Ready now! Awesome 4 br, 2 1/2 bath home with large kitchen featuring 42" maple cabinets, stainless steel appliances, island &amp; breakfast room! Hardwood flooring in foyer, kitchen and powder room. Master suite with private bath and walk-in closet. Convenient 2nd floor laundry.</t>
  </si>
  <si>
    <t>BOULDER HILL ELEMENTARY SCHOOL</t>
  </si>
  <si>
    <t>THOMPSON JUNIOR HIGH SCHOOL</t>
  </si>
  <si>
    <t>OSWEGO HIGH SCHOOL</t>
  </si>
  <si>
    <t>16X17</t>
  </si>
  <si>
    <t>10X13</t>
  </si>
  <si>
    <t>10X14</t>
  </si>
  <si>
    <t>NEW Ready for Occupancy</t>
  </si>
  <si>
    <t>Oven/Range, Dishwasher, Disposal, All Stainless Steel Kitchen Appliances</t>
  </si>
  <si>
    <t>Sump Pump</t>
  </si>
  <si>
    <t>Breakfast Room, Study</t>
  </si>
  <si>
    <t>3% ON BASE -$150 (on Net SP)</t>
  </si>
  <si>
    <t>Coldwell Banker Residential</t>
  </si>
  <si>
    <t>(630) 369-9000</t>
  </si>
  <si>
    <t>Susan Baltaragis, CNC,CRS,GRI</t>
  </si>
  <si>
    <t>(630) 637-2523</t>
  </si>
  <si>
    <t>Must register buyer on 1st visit - call Laurie @ 630-897-3800 to schedule or for more information.</t>
  </si>
  <si>
    <t>Rylannd Homes</t>
  </si>
  <si>
    <t>$500 Bonus to Selling Broker Office for sale between 1-19-15 &amp; 2-15-15. Current list price reflects preferred lender incentive of $9340.</t>
  </si>
  <si>
    <t>LASALLE</t>
  </si>
  <si>
    <t>DYAN RYAN 90/94 EAST TO 95th,WEST TO PERRY,NORTH TO 95TH SOUTH TO ADDRESS</t>
  </si>
  <si>
    <t>Recently rehabbed 4 bedroom, 2 bathroom home boasts new kitchen cabinets, new sod and bushes and new windows and air conditioning at closing. In addition, it offers appliances in the kitchen and laundry room, an eat-in kitchen, new plumbing fixtures and so much more. Just a short walk to the 95th St Line Station!</t>
  </si>
  <si>
    <t>24X8</t>
  </si>
  <si>
    <t>38X17</t>
  </si>
  <si>
    <t>Oven/Range, Dishwasher, Washer, Dryer, All Stainless Steel Kitchen Appliances</t>
  </si>
  <si>
    <t>1st Floor Bedroom, 1st Floor Full Bath</t>
  </si>
  <si>
    <t>Email offers to offers@frankmontrohomes.com or fax to 708-479-3308. EM certified check only. View our other 100+ rehabbed homes at frankmontrohomes.com</t>
  </si>
  <si>
    <t>Vincent</t>
  </si>
  <si>
    <t>Rt 31 S to Wing Park W2 Commonwealth S2 High E2 Vincent</t>
  </si>
  <si>
    <t>87X132</t>
  </si>
  <si>
    <t>New roof &amp; gutters, new paint throughout, new SS appliances in kitchen hardwood floors refinished new electrical fixtures new screen doors deck painted retrofitted with central air kitchen &amp; baths were updated recently finished walk up attic rec room &amp; work room in basement old world charm with the modern convenience See attachment for PAS requirements and WFHM offer submittal information in MLS document section</t>
  </si>
  <si>
    <t>28X16</t>
  </si>
  <si>
    <t>25X14</t>
  </si>
  <si>
    <t>Sewer-Storm</t>
  </si>
  <si>
    <t>Finished, Full</t>
  </si>
  <si>
    <t>Breakfast Room, Foyer, Sun/Florida Room</t>
  </si>
  <si>
    <t>15X8</t>
  </si>
  <si>
    <t>Winfield Realty</t>
  </si>
  <si>
    <t>(630) 262-1824</t>
  </si>
  <si>
    <t>Keith Wolf</t>
  </si>
  <si>
    <t>(630) 262-5277</t>
  </si>
  <si>
    <t>gpiske@winfield-realty.com</t>
  </si>
  <si>
    <t>click on schedule a showing link download offer instructions &amp; requirements from MLS</t>
  </si>
  <si>
    <t>Sold AS IS tax pro ration 100% EM held by sellers attorney  Offer must include pre approval from Wells Fargo free prequalification at www.wellsfargo.com or proof of funds for cash offer must state buyer type on offer</t>
  </si>
  <si>
    <t>KILDARE</t>
  </si>
  <si>
    <t>PULASKI TO 55th ST WEST TO KILDARE SOUTH TO HOME</t>
  </si>
  <si>
    <t>CAPE COD</t>
  </si>
  <si>
    <t>30 X 126</t>
  </si>
  <si>
    <t>CLEAN BRICK CAPE COD IN OUTSTANDING LOCATION ADJACENT TO PASTEUR PARK, CLOSE TO ORANGE LINE, MIDWAY AIRPORT, SCHOOLS-BASEMENT IS FINISHED W/ DRY BAR AND 2nd KITCHEN-OVERSIZED GARAGE IS NEWER W/ 8 FT DOOR &amp; 2nd OVERHEAD DOOR LEADING TO YARD- OUTSTANDING DECK W/ACCESS FROM KITCHEN SLIDING DOOR- BED 2 HAS WALK IN CLOSET- MAIN FLOOR CEILING FANS IN BEDROOMS- 2nd FLOOR SHARED CLOSET FOR BOTH BEDS- UNIQUE LAYOUT, MUST SEE!</t>
  </si>
  <si>
    <t>12X15</t>
  </si>
  <si>
    <t>10X20</t>
  </si>
  <si>
    <t>11X17</t>
  </si>
  <si>
    <t>22X25</t>
  </si>
  <si>
    <t>71-80 Years</t>
  </si>
  <si>
    <t>Park/Playground, Tennis Courts, Curbs/Gutters, Sidewalks, Street Lights, Street Paved</t>
  </si>
  <si>
    <t>Oven/Range, Refrigerator, Washer, Dryer</t>
  </si>
  <si>
    <t>School Bus Service, Commuter Bus</t>
  </si>
  <si>
    <t>2nd Kitchen, Office</t>
  </si>
  <si>
    <t>Bar-Dry, 1st Floor Bedroom, 1st Floor Full Bath</t>
  </si>
  <si>
    <t>Deck, Patio, Storms/Screens</t>
  </si>
  <si>
    <t>Garage Door Opener(s), Transmitter(s), 7 Foot or more high garage door</t>
  </si>
  <si>
    <t>2nd Kitchen</t>
  </si>
  <si>
    <t>(708) 424-4000</t>
  </si>
  <si>
    <t>Kai Grant, e-PRO</t>
  </si>
  <si>
    <t>CALL LISTING OFFICE 708-424-4000</t>
  </si>
  <si>
    <t>OF RECORD</t>
  </si>
  <si>
    <t>CASH OR CONVENTIONAL ONLY- BED 4 IS DRYWALLED BUT NOT TAPED OR PAINTED- HOME WILL BE SOLD IN AS-IS CONDITION- AGENTS MUST ACCOMPANY THEIR BUYERS, PRE-APPROVED BUYERS ONLY PLEASE *SUBJECT TO CANCELLATION OF PRIOR CONTRACT*</t>
  </si>
  <si>
    <t>HARDING</t>
  </si>
  <si>
    <t>Pulaski to 106th st. 106th st. east 1 block to Harding. North on Harding to 10526.</t>
  </si>
  <si>
    <t>41X126</t>
  </si>
  <si>
    <t>Location, Location, Location. Private cul-de-sac block located in the hot Mt. Greenwood neighborhood of Chicago. This home boast 3 bedrooms (4th located in the basement) 1.5 baths which both were recently updated. Large open floor plan with plenty of hardwood flooring. Newer windows. This split level home features three floors of living space. Plenty of room inside and out for all your family needs and parties.</t>
  </si>
  <si>
    <t>11X13</t>
  </si>
  <si>
    <t>8X13</t>
  </si>
  <si>
    <t>2.5%-200 (on Gross SP)</t>
  </si>
  <si>
    <t>USE SHOWING ASSIST. Easy Show</t>
  </si>
  <si>
    <t>NO EXEMPTIONS ON THE TAXES</t>
  </si>
  <si>
    <t>Maplewood</t>
  </si>
  <si>
    <t>North Ave to Maplewood Turn South To Home</t>
  </si>
  <si>
    <t>25 X 126</t>
  </si>
  <si>
    <t>Phenomenal value! This extraordinary hm offrs expansive layout, exquisite dsgn &amp; fnshs. LR ftrs ovrszd windws &amp; gas FP w/cstm panel surrnd. DR connects to kitchn thru butlr pntry. Kitch w/horizontally stckd cabs,island &amp; Carrara mrble cntrs. FR opns to lrg deck &amp; back yrd. Huge Mstr suite: Mstr Bath w/free stnd tub &amp; overszd shwr. LL w/flooded w/light rec rm w/wet bar &amp; hm theater. Roof access. 2 blocks frm 606 Trail</t>
  </si>
  <si>
    <t>18X12</t>
  </si>
  <si>
    <t>24X11</t>
  </si>
  <si>
    <t>Eating Area-Table Space, Island, Pantry-Butler</t>
  </si>
  <si>
    <t>Oven-Double, Microwave, Dishwasher, High End Refrigerator, Washer, Dryer, Disposal, All Stainless Steel Kitchen Appliances, Wine Cooler/Refrigerator</t>
  </si>
  <si>
    <t>Recreation Room, Theatre Room</t>
  </si>
  <si>
    <t>Bar-Dry, Hardwood Floors, 2nd Floor Laundry</t>
  </si>
  <si>
    <t>Theatre Room</t>
  </si>
  <si>
    <t>22X23</t>
  </si>
  <si>
    <t>2.5%-325 (on Net SP)</t>
  </si>
  <si>
    <t>(312) 642-1400</t>
  </si>
  <si>
    <t>Ivona Kutermankiewicz</t>
  </si>
  <si>
    <t>(773) 865-5661</t>
  </si>
  <si>
    <t>Use Showing Assist</t>
  </si>
  <si>
    <t>TETON TACK &amp; FEED LLC</t>
  </si>
  <si>
    <t>For interactive click on virtual tour</t>
  </si>
  <si>
    <t>Royal</t>
  </si>
  <si>
    <t>BLVD</t>
  </si>
  <si>
    <t>RANDALL SO. OF I-90 TO ROYAL EAST-PAST LYLE TO HOME.</t>
  </si>
  <si>
    <t>Valley Creek</t>
  </si>
  <si>
    <t>QUEEN ANNE</t>
  </si>
  <si>
    <t>75 X 110</t>
  </si>
  <si>
    <t>King sized master suite with 2 walk in closets. Huge bath with oversized Jacuzzi &amp; shower. Large kitchen and a fireplace in the family room. Recently rehabbed.</t>
  </si>
  <si>
    <t>34X15</t>
  </si>
  <si>
    <t>6X12</t>
  </si>
  <si>
    <t>2.5%-$250 (on Net SP)</t>
  </si>
  <si>
    <t>RE/MAX Horizon</t>
  </si>
  <si>
    <t>(847) 931-7500</t>
  </si>
  <si>
    <t>Esther Zamudio, GRI</t>
  </si>
  <si>
    <t>(847) 429-4228</t>
  </si>
  <si>
    <t>847-514-9869</t>
  </si>
  <si>
    <t>CLO 847-931-7500</t>
  </si>
  <si>
    <t>O.O.R</t>
  </si>
  <si>
    <t>Major</t>
  </si>
  <si>
    <t>60TH TO MAJOR - SOUTH TO HOME</t>
  </si>
  <si>
    <t>33X125</t>
  </si>
  <si>
    <t>WOW! AMAZING 3 TO 4 BR BRICK RAISED RANCH WITH ADDITION! FRESHLY PAINTED! NICE KITCHEN WITH ADJACENT HUGE DINING RM / FAM RM &amp; SHARP APPLIANCES! 3 NICE BEDROOMS! NEWER FURNACE &amp; C/A  NEW WASHER AND DRYER! FULL FINISHED BASEMENT WITH BIG FAMILY ROOM, BONUS RM, GIANT RECREATION ROOM, AND FULL 2ND BATH! IDEAL HOME FOR THE LARGE AND GROWING FAMILY! SUPER YARD W/ A NICE GARAGE W/ COVERED PATIO! NEWER WHEELCHAIR LIFT! WOW!</t>
  </si>
  <si>
    <t>Park/Playground, Landing Strip</t>
  </si>
  <si>
    <t>Oven/Range, Microwave, Refrigerator, Washer, Dryer</t>
  </si>
  <si>
    <t>Commuter Bus, Commuter Train</t>
  </si>
  <si>
    <t>Play Room, Recreation Room</t>
  </si>
  <si>
    <t>Patio, Porch</t>
  </si>
  <si>
    <t>Play Room</t>
  </si>
  <si>
    <t>30X12</t>
  </si>
  <si>
    <t>2.5% - $200 (on Net SP)</t>
  </si>
  <si>
    <t>Niego Real Estate</t>
  </si>
  <si>
    <t>(773) 586-9600</t>
  </si>
  <si>
    <t>Paul Hendershott</t>
  </si>
  <si>
    <t>CALL LISTING OFFICE - AGENTS MUST ACCOMPANY CLIENTS!</t>
  </si>
  <si>
    <t>GREAT HOME AT A GREAT PRICE! AGENTS MUST ACCOMPANY BUYERS! TREAT HOME WITH RESPECT! PROTECT THE KEYS AT ALL TIMES - NEIGHBOR CHECKS HOME AND LOCKBOX AFTER EVERY SHOWING!!</t>
  </si>
  <si>
    <t>INDEPENDENCE</t>
  </si>
  <si>
    <t>Elburn</t>
  </si>
  <si>
    <t>Keslinger Road, south on Blackberry Creek Drive, left on Independence Avenue</t>
  </si>
  <si>
    <t>ELBURN</t>
  </si>
  <si>
    <t>BLACKBERRY</t>
  </si>
  <si>
    <t>LUKE</t>
  </si>
  <si>
    <t>75X120X75X120</t>
  </si>
  <si>
    <t>Wow!!! Extraordinary turn-key ranch, grand open floor plan, professionally finished basement. The PERFECT home for living and entertaining. 4 Beds, 3 Baths, Hardwoods, Granite, Stainless, Tray Ceilings, Plantation Shutters in all rooms, Crown Molding, Columns, Arched Doors, Rounded Corners, Trex Deck, Sprinkler System, Osmosis Water, Professional Landscape, New Carpet &amp; Paint, Gas Fireplace. Beautifully maintained!</t>
  </si>
  <si>
    <t>15X15</t>
  </si>
  <si>
    <t>Eating Area-Table Space, Island, Pantry-Butler, Pantry-Walk-in</t>
  </si>
  <si>
    <t>Park/Playground, Pond/Lake, Curbs/Gutters, Sidewalks, Street Lights</t>
  </si>
  <si>
    <t>Separate Shower, Soaking Tub</t>
  </si>
  <si>
    <t>Common Insurance</t>
  </si>
  <si>
    <t>Humidifier, Water-Softener Owned, TV-Cable, CO Detectors, Ceiling Fan, Sump Pump, Sprinkler-Lawn, Air Cleaner, Backup Sump Pump</t>
  </si>
  <si>
    <t>Bar, Exercise Room, Foyer, Recreation Room, Storage, Workroom</t>
  </si>
  <si>
    <t>Deck, Patio, Porch, Storms/Screens</t>
  </si>
  <si>
    <t>Workroom</t>
  </si>
  <si>
    <t>18X21</t>
  </si>
  <si>
    <t>2.5% - $100 (on Net SP)</t>
  </si>
  <si>
    <t>(630) 232-6900</t>
  </si>
  <si>
    <t>Maureen Christiansen, GRI,SFR</t>
  </si>
  <si>
    <t>(630) 208-6974</t>
  </si>
  <si>
    <t>CALL 877-977-1010; 1 Hr. Notice/Confirm. Sentrilock on iron railing on porch, please leave biz card.</t>
  </si>
  <si>
    <t>Unbelievably wonderful home! Extraordinary floor plan. Pristine sellers that have kept home in exquisite shape. Incredible finished basement with additional 2500 sf of living space. Turn key home, show with confidence. Home Warranty.</t>
  </si>
  <si>
    <t>MOBILE</t>
  </si>
  <si>
    <t>FULLERTON TO MOBILE S.TO PROPERTY</t>
  </si>
  <si>
    <t>30X125</t>
  </si>
  <si>
    <t>BEAUTIFULLY REHABBED ENGLISH STYLE 4 BR HOME FEATURES GORGEOUS HUGE EAT IN KITCHEN W/GRANITE COUNTER, CHERRY CABS &amp; SS APPLS, REFINISHED H/W FLR, FINISHED 2ND FLR W/2 BDRMS, FINISHED BSMT W/HUGE FAMILY RM, REC RM &amp; GORGEOUS SPA LIKE BATH W/ GLASS PEDESTAL SINK &amp; BODY SPRAY SHOWER PANEL, CENTRAL AIR AND A BRAND NEW 2 CAR GARAGE!</t>
  </si>
  <si>
    <t>15X22</t>
  </si>
  <si>
    <t>Full Body Spray Shower</t>
  </si>
  <si>
    <t>8X18</t>
  </si>
  <si>
    <t>2.5-$250 (on Net SP)</t>
  </si>
  <si>
    <t>Realty Partner Networks</t>
  </si>
  <si>
    <t>(630) 460-0377</t>
  </si>
  <si>
    <t>Paul Sanchez</t>
  </si>
  <si>
    <t>Please email request to paulsanchez17@gmail.com</t>
  </si>
  <si>
    <t>Owner of record</t>
  </si>
  <si>
    <t>FHA 203K</t>
  </si>
  <si>
    <t>Talman</t>
  </si>
  <si>
    <t>E/W on 83rd Street to Talman. North on Talman to property on left side of street</t>
  </si>
  <si>
    <t>30X129</t>
  </si>
  <si>
    <t>3 Bedroom, 1 Bath Brick 1.5 story Single Family with a 2 Car detached Garage. Features a full Basement with Family Room and extra Bath. HUD owned property. Sold "AS IS". Case #137-363435. Insured Status: IE. Insured with Escrow. Eligible for 203K Financing.</t>
  </si>
  <si>
    <t>13X19</t>
  </si>
  <si>
    <t>16X22</t>
  </si>
  <si>
    <t>11X20</t>
  </si>
  <si>
    <t>Chicago Realty Partners, Ltd</t>
  </si>
  <si>
    <t>(312) 575-0100</t>
  </si>
  <si>
    <t>Arthur Cirignani, CCIM</t>
  </si>
  <si>
    <t>Showing Assistant Service</t>
  </si>
  <si>
    <t>HUD</t>
  </si>
  <si>
    <t>For more Information go to www.hudpemco.com and To place Bid go to www.HUDHomestore.com.</t>
  </si>
  <si>
    <t>Camden</t>
  </si>
  <si>
    <t>Oswego</t>
  </si>
  <si>
    <t>Route 34 to 71 left to Washington Left to Grove Right to Morgan Valley Right to Camden Circle</t>
  </si>
  <si>
    <t>OSWEGO</t>
  </si>
  <si>
    <t>80 X 134</t>
  </si>
  <si>
    <t>BEAUTIFUL OPEN FLOOR PLAN W/UPGRADES THRUOUT!  HUGE GOURMET KTICHEN COMPLETE W/STAINLESS STEEL APPLIANCES, CENTER ISLAND/BAR &amp; GLEAMING GRANITE - ALL OPEN TO THE FAMILY RM WITH A CUSTOM FIREPLACE AND GORGEOUS HARDWOOD FLOORING. GENEROUS MASTER BR BOASTS A  FIREPLACE AND CUSTOM MASTER BATH.  DYNAMITE FINISHED BASEMENT!  TOP OF THE LINE NEWER WINDOWS, INSULATED 3 CAR GARAGE, TO0 MUCH TO MENTION!  WELCOME HOME!!!</t>
  </si>
  <si>
    <t>PRAIRIE POINT ELEMENTARY SCHOOL</t>
  </si>
  <si>
    <t>TRAUGHBER JUNIOR HIGH SCHOOL</t>
  </si>
  <si>
    <t>20X16</t>
  </si>
  <si>
    <t>23X14</t>
  </si>
  <si>
    <t>Finished, Bathroom Rough-In</t>
  </si>
  <si>
    <t>37X13</t>
  </si>
  <si>
    <t>2.5-$200 (on Net SP)</t>
  </si>
  <si>
    <t>Pam Sidlo, CSC</t>
  </si>
  <si>
    <t>(630) 637-2573</t>
  </si>
  <si>
    <t>PLEASE USE SHOWING ASSIST</t>
  </si>
  <si>
    <t>.</t>
  </si>
  <si>
    <t>38W705</t>
  </si>
  <si>
    <t>SUNSET</t>
  </si>
  <si>
    <t>Randall to 64(west) to Oakwood(south)to Hilltop(first right) to Ridge(3rd left) to Sunset</t>
  </si>
  <si>
    <t>RAINBOW HILLS</t>
  </si>
  <si>
    <t>241X104X236X104</t>
  </si>
  <si>
    <t>CUSTOM HOME IN PARK LIKE SETTING CLOSE TO TOWN! Half acre private lot waiting for your family to move in and start living! Dramatic 2-story entry way, 2-story fam room with skylights and floor to ceiling brick fireplace, catwalk overlooking foyer and family room, large kitch with SS appl and granite counters, 1st flr den/office with custom built-ins,  large master/bath/closet, high ceilings throughout AGENT OWNED</t>
  </si>
  <si>
    <t>Curtains/Drapes</t>
  </si>
  <si>
    <t>Curtains/Drapes, Shades</t>
  </si>
  <si>
    <t>29X17</t>
  </si>
  <si>
    <t>Eating Area-Breakfast Bar, Eating Area-Table Space, Island, Pantry-Butler, Pantry-Walk-in</t>
  </si>
  <si>
    <t>Street Paved</t>
  </si>
  <si>
    <t>Oven-Double, Oven/Range, Microwave, Dishwasher, Refrigerator, Disposal, All Stainless Steel Kitchen Appliances</t>
  </si>
  <si>
    <t>Full, Unfinished</t>
  </si>
  <si>
    <t>Landscaped Professionally, Wooded</t>
  </si>
  <si>
    <t>.50-.99 Acre</t>
  </si>
  <si>
    <t>Humidifier, Water-Softener Owned, Intercom, CO Detectors, Ceiling Fan, Sump Pump</t>
  </si>
  <si>
    <t>Vaulted/Cathedral Ceilings, Skylight(s), Hardwood Floors, 1st Floor Laundry</t>
  </si>
  <si>
    <t>Deck, Dog Run &amp;/or Invisible Fence</t>
  </si>
  <si>
    <t>Jane Ruda</t>
  </si>
  <si>
    <t>Call Showing Time 855-746-9100. 2 hr notice preferred.</t>
  </si>
  <si>
    <t>AGENT OWNED PROPERTY. Make sure cat doesn't get out.  Washer/Dryer not included.  Exterior painted in 2013. No water/septic bill â€“ excellent water treatment system in basement.  Use 6.0 contract.</t>
  </si>
  <si>
    <t>Lotus</t>
  </si>
  <si>
    <t>Belmont, between Central and Laramie, go South on Lotus.</t>
  </si>
  <si>
    <t>STUNNING NEW REHAB IN 2014,  4BR 2.5 BTH ENGLISH BRICK. PORTAGE PARK , METICULOUSLY DONE FROM TOP TO BOTTOM, NEWLY FINISHED HARDWOOD FLOORS ON MAIN FLR,NEW MODERN HUGE EAT-IN KIT WITH SS APPLIANCES,42' MAPLE CABS..GRANITE, 2ND LEVEL With ALL NEW 2BR,A LOFT &amp; A GORGEOUS NEW BATH,2 SEPARATE  HEAT &amp; A/C units.   FINISHED BSMNT WITH FAM-RM, LAUNDRY RM  NEW FIXTURES,</t>
  </si>
  <si>
    <t>14X15</t>
  </si>
  <si>
    <t>25X40</t>
  </si>
  <si>
    <t>Sidewalks, Street Lights</t>
  </si>
  <si>
    <t>Dormer, Finished, Interior Stair</t>
  </si>
  <si>
    <t>Utility Room-2nd Floor</t>
  </si>
  <si>
    <t>Off Street, Zoned Permit</t>
  </si>
  <si>
    <t>2.5%-250 (on Net SP)</t>
  </si>
  <si>
    <t>Capital Real Estate Services</t>
  </si>
  <si>
    <t>(773) 792-2828</t>
  </si>
  <si>
    <t>Robert Tomich</t>
  </si>
  <si>
    <t>(773) 225-5103</t>
  </si>
  <si>
    <t>OWNER OF RECORDS</t>
  </si>
  <si>
    <t>PLENTY OF ROOM TO BUILD A GARAGE. PRICE NEGOTIABLE..BRING ALL OFFERS!!HIGHEST &amp; BEST BY 11/3/14</t>
  </si>
  <si>
    <t>Park</t>
  </si>
  <si>
    <t>Irving Park to Park Blvd N to Home.</t>
  </si>
  <si>
    <t>10377 SQUARE FEET</t>
  </si>
  <si>
    <t>Remodeled in 2010- New kitchen &amp; bath, new floors throughout plus new roof &amp; siding. Interior features exposed ceiling joist in LIV room. Eat-in-area off kitchen leading to rear deck over looking very private backyard. Note: Master bedroom has master bath. Mechanical are also brand new (2010).</t>
  </si>
  <si>
    <t>9X12</t>
  </si>
  <si>
    <t>2.5%-250 (on Gross SP)</t>
  </si>
  <si>
    <t>Short Sale</t>
  </si>
  <si>
    <t>Carby-King Realty</t>
  </si>
  <si>
    <t>(847) 869-2568</t>
  </si>
  <si>
    <t>Paul King</t>
  </si>
  <si>
    <t>(847) 845-2071</t>
  </si>
  <si>
    <t>Call listing office (847) 869-2568</t>
  </si>
  <si>
    <t>CC: Pursuant to Short Sale. EM must be a min. of 3%</t>
  </si>
  <si>
    <t>0N437</t>
  </si>
  <si>
    <t>FEECE (O-15)</t>
  </si>
  <si>
    <t>KESLINGER TO PRAIRIE CLOVER DRIVE GO SOUTH TO DOBSON LANE MAKE LEFT TO FEECE COURT MAKE RIGHT</t>
  </si>
  <si>
    <t>MILL CREEK</t>
  </si>
  <si>
    <t>CUSTOM BROADMOOR</t>
  </si>
  <si>
    <t>120X140</t>
  </si>
  <si>
    <t>SPECTACULAR SJODIN CUSTOM HOME AVAILABLE FOR IMMEDIATE DELIVERY. STUNNING HOMESITE OVERLOOKING NATURE PRESERVE. 3,619 SF + 1,115 SF FINISHED BASEMENT = 5,031 TOTAL LIVING SPACE! ALL CUSTOM FINISHES FROM THE MOMENT YOU STEP FOOT ON THIS PROPERTY. CHEF'S KITCHEN, SCREENED/COVERED PORCH, HEARTH ROOM, BONUS ROOM, EACH BEDROOM HAS A PRIVATE BATHROOM, MORNING BAR IN MASTER BATH. TOO MUCH TO LIST!!</t>
  </si>
  <si>
    <t>17X18</t>
  </si>
  <si>
    <t>Island, Pantry-Butler, Pantry-Walk-in</t>
  </si>
  <si>
    <t>Clubhouse, Park/Playground, Pool, Tennis Courts, Pond/Lake, Sidewalks</t>
  </si>
  <si>
    <t>Well-Community</t>
  </si>
  <si>
    <t>Oven-Double, Microwave, Dishwasher, Disposal</t>
  </si>
  <si>
    <t>No Tub</t>
  </si>
  <si>
    <t>Nature Preserve Adjacent</t>
  </si>
  <si>
    <t>Bsmnt/Lower Lvl Finished, Central Air, Fireplace, Garage, Hardwood/Ceramic Floors, Landscaping</t>
  </si>
  <si>
    <t>CO Detectors, Ceiling Fan, Sprinkler-Lawn, Radon Mitigation System(s)</t>
  </si>
  <si>
    <t>Bonus, Mud Room, Study, Other</t>
  </si>
  <si>
    <t>Stone, Other</t>
  </si>
  <si>
    <t>Porch Screened</t>
  </si>
  <si>
    <t>19X20</t>
  </si>
  <si>
    <t>5X8</t>
  </si>
  <si>
    <t>Olin Ray Realty Partners LLC</t>
  </si>
  <si>
    <t>(630) 989-0524</t>
  </si>
  <si>
    <t>Nathan Amidon</t>
  </si>
  <si>
    <t>PLEASE CALL MILL CREEK SALES OFFICE</t>
  </si>
  <si>
    <t>SHODEEN HOMES</t>
  </si>
  <si>
    <t>PLEASE CONTACT MILL CREEK SALES OFFICE FOR MORE INFORMATION 630-232-8181</t>
  </si>
  <si>
    <t>Columbus</t>
  </si>
  <si>
    <t>Columbus to property</t>
  </si>
  <si>
    <t>Cape Cod home with 4 beds and 2 baths. New siding, roof, freshly painted, refinished floors, remodeled bath. Move in Ready. Very nicely done! See attachment for PAS requirements and WFHM offer submittal information in the MLS document section.</t>
  </si>
  <si>
    <t>20X18</t>
  </si>
  <si>
    <t>2.5% (ON NET SP) (on Net SP)</t>
  </si>
  <si>
    <t>NuVision Real Estate</t>
  </si>
  <si>
    <t>(773) 229-9006</t>
  </si>
  <si>
    <t>Jose de la Torre</t>
  </si>
  <si>
    <t>SEND AN EMAIL TO NUVISIONREFAX@GMAIL.COM</t>
  </si>
  <si>
    <t>Downing</t>
  </si>
  <si>
    <t>Route 38 (west) to Anderson Rd (south) to Prairie Valley(north) to home on corner of PV &amp; Downing</t>
  </si>
  <si>
    <t>PRAIRIE HIGHLANDS</t>
  </si>
  <si>
    <t>CAMPTON</t>
  </si>
  <si>
    <t>From the minute you step onto the wrap around porch, this house feels like HOME! The location is incredible..walking distance to the school &amp; backs to open space for privacy &amp; a beautiful view.  Inside the upgrades phenomenal, especially for this price!!  Hardwood floors &amp; white trim throughout, fireplace w/custom mantle &amp; built-ins, over sized granite island, walk in pantry, &amp; an over-the-top master suite! MUST SEE!</t>
  </si>
  <si>
    <t>JOHN STEWART ELEMENTARY SCHOOL</t>
  </si>
  <si>
    <t>HARTER MIDDLE SCHOOL</t>
  </si>
  <si>
    <t>KANELAND HIGH SCHOOL</t>
  </si>
  <si>
    <t>Water-Softener Owned, Ceiling Fan, Sump Pump</t>
  </si>
  <si>
    <t>Deck, Patio, Porch, Brick Paver Patio, Pool Above Ground, Storms/Screens</t>
  </si>
  <si>
    <t>Gas Starter</t>
  </si>
  <si>
    <t>3.5%-$150 (on Net SP)</t>
  </si>
  <si>
    <t>Stone Tower Properties</t>
  </si>
  <si>
    <t>(630) 262-3720</t>
  </si>
  <si>
    <t>Teresa Keenan</t>
  </si>
  <si>
    <t>(630) 917-2717</t>
  </si>
  <si>
    <t>630-917-2717</t>
  </si>
  <si>
    <t>Call 877.977.1010 to set up an appointment</t>
  </si>
  <si>
    <t>This house shows like a dream!  Please contact me with any questions!</t>
  </si>
  <si>
    <t>East End</t>
  </si>
  <si>
    <t>76th east of Stony Island to East End Ave North to Property.</t>
  </si>
  <si>
    <t>30X109</t>
  </si>
  <si>
    <t>Huge and very spacious total gut rehab with 2fl adddition 4BR,2.5BTH Bungalow with finished basement &amp; 2car garage.Featuring new oak hwd flooring,ceramic tiles,42in kitch cab,granite couter,ss appl. Gorgeous modern style bathr with double vanity,sepera shower,jacuzzi etc. NEW ELECTRIC,PLUMBING,FURNACE WITH AC,ROOF,TUCKPOINTING,DOORS DRYWALL, WALL PANELING,PRIVACY FENCE,LANDSCAPING,CONCRETE SIDEWALKS AND MUCH MORE!!!!</t>
  </si>
  <si>
    <t>21X24</t>
  </si>
  <si>
    <t>19X22</t>
  </si>
  <si>
    <t>11X24</t>
  </si>
  <si>
    <t>19X43</t>
  </si>
  <si>
    <t>Gas, Forced Air, Baseboard</t>
  </si>
  <si>
    <t>Curbs/Gutters, Gated Entry, Sidewalks, Street Lights, Street Paved</t>
  </si>
  <si>
    <t>School Bus Service, Commuter Bus, Commuter Train, Interstate Access</t>
  </si>
  <si>
    <t>Whirlpool, Separate Shower, Double Sink, Soaking Tub</t>
  </si>
  <si>
    <t>Enclosed Porch Heated, Walk In Closet</t>
  </si>
  <si>
    <t>Patio, Storms/Screens</t>
  </si>
  <si>
    <t>3%-125 (on Gross SP)</t>
  </si>
  <si>
    <t>RE/MAX City</t>
  </si>
  <si>
    <t>(773) 775-0600</t>
  </si>
  <si>
    <t>Chris Lebiecki</t>
  </si>
  <si>
    <t>(773) 860-0451</t>
  </si>
  <si>
    <t>Text 773-860-0451 or e-mail clebiecki@gmail.com</t>
  </si>
  <si>
    <t>Walking distance to Jackson Park Hospital</t>
  </si>
  <si>
    <t>Rhodes</t>
  </si>
  <si>
    <t>67TH ST EAST OR WEST TO RHODES NORTH TO HOUSE</t>
  </si>
  <si>
    <t>HANDYMAN SPECIAL ON A 4 BEDROOM HOME WITH ADDITIONAL LIVING SPACE IN THE BASEMENT.</t>
  </si>
  <si>
    <t>9X10</t>
  </si>
  <si>
    <t>Cash Only</t>
  </si>
  <si>
    <t>$1000 (on Gross SP)</t>
  </si>
  <si>
    <t>Realty Plus Chicago Inc.</t>
  </si>
  <si>
    <t>(773) 785-1400</t>
  </si>
  <si>
    <t>Richard Thomas</t>
  </si>
  <si>
    <t>(312) 810-3897</t>
  </si>
  <si>
    <t>Use showing assist or call 1-877-871-9754</t>
  </si>
  <si>
    <t>Jeff BV-Vacant, LLC</t>
  </si>
  <si>
    <t>Provide proof of funds with cash offers. Email offers @ rpchicago453@gmail.com or fax 773-785-5579. ALL OFFERS MUST BE SUBMITTED ON ATTACHED SELLERâ€™S CONTRACT/ADDENDUM.This property is on the DAWG System,for instructions please see add info</t>
  </si>
  <si>
    <t>AINSLIE</t>
  </si>
  <si>
    <t>Lawrence to Hermitage north to Ainslie west to home 1769</t>
  </si>
  <si>
    <t>RAVENSWOOD</t>
  </si>
  <si>
    <t>30 X 120</t>
  </si>
  <si>
    <t>Old ravenswood 4 bedroom 1.1 bath, new copper plumbing, new all copper service 9 years ago, updated electrical, expandable attic, RE-finished HW-floors T/O, new drywall whole 2nd floor, newer kit/granite / butler bar /w  cabinets stainless steal appliances. separate dinning room, full walkout basement /work shop, walking distance to shopping, train, bus, schools great 3year old windows,HVAC 10 years/motor 3years 8HWH</t>
  </si>
  <si>
    <t>MCPHERSON ELEMENTARY SCHOOL</t>
  </si>
  <si>
    <t>8X7</t>
  </si>
  <si>
    <t>21X9</t>
  </si>
  <si>
    <t>Eating Area-Table Space, Galley, Pantry-Butler, Pantry-Closet</t>
  </si>
  <si>
    <t>Park/Playground, Curbs/Gutters, Street Lights</t>
  </si>
  <si>
    <t>Oven/Range, Microwave, Dishwasher, Refrigerator, Washer</t>
  </si>
  <si>
    <t>Humidifier, TV-Cable, TV-Dish, CO Detectors, Ceiling Fan</t>
  </si>
  <si>
    <t>Attic, Recreation Room, Sitting Room, Workroom</t>
  </si>
  <si>
    <t>Queen Anne</t>
  </si>
  <si>
    <t>20X7</t>
  </si>
  <si>
    <t>Walkout Basement</t>
  </si>
  <si>
    <t>2.5%-$300 (on Gross SP)</t>
  </si>
  <si>
    <t>Zel Realty LLC</t>
  </si>
  <si>
    <t>(773) 818-4550</t>
  </si>
  <si>
    <t>Zelimir Stakic</t>
  </si>
  <si>
    <t>call listing agent 773-818-4550</t>
  </si>
  <si>
    <t>owner of recrod</t>
  </si>
  <si>
    <t>great home that can be expanded into attic with stair in smallest bedroom</t>
  </si>
  <si>
    <t>County Line (Set way back)</t>
  </si>
  <si>
    <t>Barrington</t>
  </si>
  <si>
    <t>Lake Cook to split driveway with boulders. Just East of Ela on the South side.  Follow the signs.</t>
  </si>
  <si>
    <t>PALATINE</t>
  </si>
  <si>
    <t>CUSTOM BEAUTY</t>
  </si>
  <si>
    <t>404X664X551X247X100X372</t>
  </si>
  <si>
    <t>EXECUTIVE RETREAT just minutes from downtown Barrington, train &amp; highways!Over 7 ACRES of woods, gardens &amp; PRIVATE LAKE! 4 Beds, 4.1 baths, 7 fireplaces!Cedar VAULTED ceilings, 14 SKYLIGHTS, dramatic OPEN plan! Huge GOURMET kitch,VIKING appls! DRAMATIC glass sunroom! Indoor/Outdoor POOL,hot tub,outdoor kitch! PANORAMIC views from every room!4 car garage! Renowned architect Don Erickson protÃ©gÃ© of FRANK LLOYD WRIGHT!</t>
  </si>
  <si>
    <t>ARNETT C LINES ELEMENTARY SCHOOL</t>
  </si>
  <si>
    <t>BARRINGTON MIDDLE SCHOOL PRAIRIE</t>
  </si>
  <si>
    <t>BARRINGTON HIGH SCHOOL</t>
  </si>
  <si>
    <t>Terracotta</t>
  </si>
  <si>
    <t>31X24</t>
  </si>
  <si>
    <t>24X32</t>
  </si>
  <si>
    <t>Gas, Forced Air, Radiant, Zoned</t>
  </si>
  <si>
    <t>Park/Playground, Pool, Pond/Lake, Water Rights, Street Paved</t>
  </si>
  <si>
    <t>Oven-Double, Microwave, Dishwasher, High End Refrigerator, Freezer, Disposal, Grill-Indoor, All Stainless Steel Kitchen Appliances</t>
  </si>
  <si>
    <t>Whirlpool, Separate Shower, Double Sink, Double Shower</t>
  </si>
  <si>
    <t>Lake Front, Landscaped Professionally, Water View, Wooded</t>
  </si>
  <si>
    <t>6.0-7.99 Acres</t>
  </si>
  <si>
    <t>Lake Rights, Other</t>
  </si>
  <si>
    <t>Exercise Room, Game Room, Great Room, Recreation Room, Sitting Room, Sun/Florida Room Heated</t>
  </si>
  <si>
    <t>Vaulted/Cathedral Ceilings, Skylight(s), Heated Floors, 1st Floor Bedroom, Pool Indoors, 1st Floor Full Bath</t>
  </si>
  <si>
    <t>Balcony, Patio, Hot Tub, Pool In-Ground, Grill-Outdoors, Outdoor Fireplace</t>
  </si>
  <si>
    <t>See through/Multi Sided, Wood Burning Stove, Gas Logs</t>
  </si>
  <si>
    <t>Sun/Florida Room Heated</t>
  </si>
  <si>
    <t>31X25</t>
  </si>
  <si>
    <t>2.5%, - $295 (on Net SP)</t>
  </si>
  <si>
    <t>RE/MAX At Home</t>
  </si>
  <si>
    <t>(847) 255-1000</t>
  </si>
  <si>
    <t>Ginny Opsahl, ABR,CSC,e-PRO,SFR,SRES</t>
  </si>
  <si>
    <t>(847) 255-1287</t>
  </si>
  <si>
    <t>cell 847-732-6072</t>
  </si>
  <si>
    <t>Call Listing Office - 24 hr notice preferred</t>
  </si>
  <si>
    <t>John Hoffman</t>
  </si>
  <si>
    <t>E</t>
  </si>
  <si>
    <t>RENOWN ARCHITECT, DON ERICKSON, PROTEGE OF FRANK LLOYD WRIGHT, 1 OF ONLY 3 ARCHITECTURAL MARVELS IN THE AREA! Most of the home is on one level.  Master suite is 5 steps up. Private drive leads to 30 acre enclave that 4 homes share.</t>
  </si>
  <si>
    <t>ADA</t>
  </si>
  <si>
    <t>115TH WEST OF HALSTED TO ADA NORTH TO 11434</t>
  </si>
  <si>
    <t>60 X 120</t>
  </si>
  <si>
    <t>BRICK 4 BEDROOM HOME HAS HARDWOOD FLOORS, SOME NEWER WINDOWS. ENCLOSED PATIO OFF REAR OF HOUSE. FENCED YARD. SELLERS ARE MOTIVATED. CASH OFFERS NEED PROOF OF FUNDS. SELLER NOT RESPONSIBLE FOR CITY INSPECTIONS.</t>
  </si>
  <si>
    <t>13X8</t>
  </si>
  <si>
    <t>8X8</t>
  </si>
  <si>
    <t>2.5% - $250.00 (on Net SP)</t>
  </si>
  <si>
    <t>RE/MAX Villager</t>
  </si>
  <si>
    <t>(847) 657-9100</t>
  </si>
  <si>
    <t>John Katsafaros</t>
  </si>
  <si>
    <t>CALL LISTING OFFICE</t>
  </si>
  <si>
    <t>CC: Pursuant to Short Sale. 24 hour notice tenants must be notified.</t>
  </si>
  <si>
    <t>Gentle  Breeze</t>
  </si>
  <si>
    <t>TER</t>
  </si>
  <si>
    <t>Rt. 31 north to Gentle Breeze, east to property</t>
  </si>
  <si>
    <t>Lincolnwood Manor</t>
  </si>
  <si>
    <t>60X100</t>
  </si>
  <si>
    <t>Nice home, sold "as is" no survey provided by the seller. A little tlc needed, but overall in good condition.</t>
  </si>
  <si>
    <t>H D JACOBS HIGH SCHOOL</t>
  </si>
  <si>
    <t>9X11</t>
  </si>
  <si>
    <t>None/NA</t>
  </si>
  <si>
    <t>GREAT HOMES REAL ESTATE, INC.</t>
  </si>
  <si>
    <t>(847) 930-5080</t>
  </si>
  <si>
    <t>Monica Vargas</t>
  </si>
  <si>
    <t>(847) 930-5086</t>
  </si>
  <si>
    <t>click below</t>
  </si>
  <si>
    <t>CC: Pursuant to Short Sale. showings after 4.30-8pm M-F Saturday &amp; Sunday by appointment</t>
  </si>
  <si>
    <t>Foxtail</t>
  </si>
  <si>
    <t>Rte 71 south to Reservation Rd left to Foxtail</t>
  </si>
  <si>
    <t>FARM COLONY ESTATES</t>
  </si>
  <si>
    <t>155X300X108X83X61X106X360</t>
  </si>
  <si>
    <t>AMAZING home! This place is in fabulous condition, features 4 BR's 3.5 baths, dual stair case, kitchen has granite counter tops. THIS PROPERTY IS AN ABSOLUTE MUST SEE!!! This is a Fannie Mae HomePath property.</t>
  </si>
  <si>
    <t>Eating Area, Office, Balcony, Loft</t>
  </si>
  <si>
    <t>15X7</t>
  </si>
  <si>
    <t>LABRA GROUP REALTORS</t>
  </si>
  <si>
    <t>(630) 264-1800</t>
  </si>
  <si>
    <t>Larry Shakman</t>
  </si>
  <si>
    <t>(630) 921-0611</t>
  </si>
  <si>
    <t>Use Showing Assist or call 800-746-9464</t>
  </si>
  <si>
    <t>All offers are to be submitted on HomePath.com **BUYER RESPONSIBLE FOR TRANSFER STAMPS  Multiple Offer Deadline  Nov 12,2014, 6:31pm</t>
  </si>
  <si>
    <t>Hollie</t>
  </si>
  <si>
    <t>Kingston</t>
  </si>
  <si>
    <t>Rt 72 West of 23. Left on Glidden Rd. Left on Heath. Right on Hollie.</t>
  </si>
  <si>
    <t>VALLEY VIEW</t>
  </si>
  <si>
    <t>KINGSTON</t>
  </si>
  <si>
    <t>91X187X90X186</t>
  </si>
  <si>
    <t>Low unincorpated taxes in quiet subdivision! Raised Ranch features 3 bdrms up, and 1 bdrm down. Upper level has modern kitchen w mostly stainless aplliances, and double vanity in bthrm. Lower level has family rm w fireplace, and laundry rm, and access to garage. Country lot features multi level deck w two separate sheds for added storage. Newer roof, furnace, CAC, appliances, exterior paint, lwr lvl paint and carpet.</t>
  </si>
  <si>
    <t>HIAWATHA ELEMENTARY SCHOOL</t>
  </si>
  <si>
    <t>HIAWATHA JR AND SR HIGH SCHOOL</t>
  </si>
  <si>
    <t>Parquet</t>
  </si>
  <si>
    <t>Enclosed Porch, Storage, Utility Room-Lower Level</t>
  </si>
  <si>
    <t>Frame, EIFS (e.g. Dryvit), Stone</t>
  </si>
  <si>
    <t>Deck, Porch, Storage Shed, Storms/Screens, Breezeway</t>
  </si>
  <si>
    <t>Garage Door Opener(s), 7 Foot or more high garage door</t>
  </si>
  <si>
    <t>11X5</t>
  </si>
  <si>
    <t>9X7</t>
  </si>
  <si>
    <t>3%-$195 (on Net SP)</t>
  </si>
  <si>
    <t>Apple Creek Realty, LLC.</t>
  </si>
  <si>
    <t>(815) 337-7760</t>
  </si>
  <si>
    <t>John Miller</t>
  </si>
  <si>
    <t>(815) 260-9756</t>
  </si>
  <si>
    <t>CC: Pursuant to Short Sale. This was a former rental. Repairs in process! Owner is reducing his portfolio. It needs some TLC. Owner will make any additional necessary repairs. 2012 taxes based on assessed valuation of $163.7K, can be lowered. BRING ALL OFFERS!</t>
  </si>
  <si>
    <t>3N973</t>
  </si>
  <si>
    <t>WILD ROSE</t>
  </si>
  <si>
    <t>RANDALL RD N OF RT 64 TO RED HAW &amp; E TO WILD ROSE RD (STRAIGHT AT STOP SIGN) TO HOME</t>
  </si>
  <si>
    <t>Wild Rose</t>
  </si>
  <si>
    <t>363X170X363X170</t>
  </si>
  <si>
    <t>EXCEPTIONAL, BEAUTIFULLY MAINTAINED ENGLISH MANOR IN DESIRABLE WILD ROSE SUBDIVISION ON MEANDERING FERSON CREEK WITH FABULOUS VIEWS.  1 1/2 ACRES OF WOODS. DEER &amp; OTHER WILD LIFE ABOUND! ONE OF A KIND DESIGNED HOME WITH STONE TURRET TO 2ND FLOOR.  FAMILY ROOM, 2 TIERED REC ROOM, EXERCISE ROOM, SCREENED PORCH, WALK-OUT BASEMENT, PLAYROOM LOFT, &amp; MUCH, MUCH MORE!</t>
  </si>
  <si>
    <t>25X15</t>
  </si>
  <si>
    <t>Central Air, Zoned, 2 Separate Systems</t>
  </si>
  <si>
    <t>Gas, Forced Air, 2+ Sep Heating Systems, Zoned</t>
  </si>
  <si>
    <t>Park/Playground, Street Paved</t>
  </si>
  <si>
    <t>Oven-Double, Microwave, Dishwasher, Refrigerator, Washer, Dryer, Disposal</t>
  </si>
  <si>
    <t>Finished, Crawl, Exterior Access</t>
  </si>
  <si>
    <t>School Bus Service, Commuter Train, Interstate Access, Flood Zone (Partial)</t>
  </si>
  <si>
    <t>Whirlpool, Steam Shower, Double Sink</t>
  </si>
  <si>
    <t>Horses Allowed, Landscaped Professionally, Stream, Water View, Wooded</t>
  </si>
  <si>
    <t>Humidifier, Water-Softener Owned, Central Vacuum, Security System, CO Detectors, Ceiling Fan, Sump Pump</t>
  </si>
  <si>
    <t>Deck, Exercise Room, Foyer, Game Room, Office, Recreation Room, Screened Porch, Tandem Room, Workroom</t>
  </si>
  <si>
    <t>Cedar, Stone</t>
  </si>
  <si>
    <t>Vaulted/Cathedral Ceilings, Skylight(s), Bar-Wet, Hardwood Floors, 1st Floor Laundry</t>
  </si>
  <si>
    <t>Balcony, Deck, Patio, Porch Screened, Storage Shed, Dog Run &amp;/or Invisible Fence</t>
  </si>
  <si>
    <t>See through/Multi Sided, Wood Burning, Gas Logs</t>
  </si>
  <si>
    <t>Exercise Room</t>
  </si>
  <si>
    <t>20X19</t>
  </si>
  <si>
    <t>Hank Erwin</t>
  </si>
  <si>
    <t>(630) 513-3175</t>
  </si>
  <si>
    <t>CELL PHONE: 630/327-1633</t>
  </si>
  <si>
    <t>Telephone ShowingTime @ 855-746-9093 to show</t>
  </si>
  <si>
    <t>SHOWINGS MUST BE CONFIRMED WITH SELLER.    THIS IMMACULATE HOME ONE OF THE PRETTIEST VIEWS IN THE FOX VALLEY OVERLOOKING FERSON CREEK.</t>
  </si>
  <si>
    <t>ADAM</t>
  </si>
  <si>
    <t>RT. 30 W OF ORCHARD THEN LEFT ON PRESCOTT, L ON ADAM</t>
  </si>
  <si>
    <t>Lakewood Creek West</t>
  </si>
  <si>
    <t>SERENADE</t>
  </si>
  <si>
    <t>60 X 123</t>
  </si>
  <si>
    <t>1ST FLR DEN, 3CAR GARAGE, LOFT OVERLOOKING FMLY RM, BASEMENT, HARDWOOD ENTIRE 1ST FLR THRU LVNGRM W/DINING AREA, KITCHEN, LRG BRKFST RM., FMLYRM &amp; DEN. COMMUNITY POOL, PLAYGROUND &amp; PARK NEARBY. SPACIOUS 4BR'S OFFERS ROOM TO SPARE &amp; COMFORTABLE FAMILY LIVING. MBR FEAT FULL BATH &amp; WIC. 1ST FLR LAUNDRY, ON-SITE ELEM, TRAUGHBER JH &amp; OSWEGO HS. LARGE PAVER PATIO, LNSDCPD &amp; FENCED BACKYARD.</t>
  </si>
  <si>
    <t>LAKEWOOD CREEK ELEMENTARY SCHOOL</t>
  </si>
  <si>
    <t>Eating Area-Breakfast Bar, Eating Area-Table Space, Island, Pantry-Closet</t>
  </si>
  <si>
    <t>Common Insurance, Pool</t>
  </si>
  <si>
    <t>Ceiling Fan, Sump Pump</t>
  </si>
  <si>
    <t>Breakfast Room, Den, Loft</t>
  </si>
  <si>
    <t>David Chally</t>
  </si>
  <si>
    <t>(630) 554-0002</t>
  </si>
  <si>
    <t>Chally 630-554-0002</t>
  </si>
  <si>
    <t>877-977-1010</t>
  </si>
  <si>
    <t>call Centralized showings 877-977-1010</t>
  </si>
  <si>
    <t>CC: Pursuant to Short Sale. addendums, any reduction in commission shall be split between listing &amp; selling brokers    ATTACHED TO THIS LISTING PLEASE FIND DISCLOSURES</t>
  </si>
  <si>
    <t>7N025</t>
  </si>
  <si>
    <t>Gary</t>
  </si>
  <si>
    <t>Route 64 West of Randall to Burlington Rd NW to Silver Glen South to Gary</t>
  </si>
  <si>
    <t>Fannie Mae HomePath Property! 4 bedroom home with fresh paint &amp; new carpet! FP in fam rm. Enclosed porch with attached deck. Almost an acre on corner lot on edge of town.   No personal property included. POF or pre-approval is strongly encouraged w/offers.</t>
  </si>
  <si>
    <t>8X10</t>
  </si>
  <si>
    <t>Crawl</t>
  </si>
  <si>
    <t>Deck, Porch Screened</t>
  </si>
  <si>
    <t>Keller Williams Fox Valley</t>
  </si>
  <si>
    <t>(630) 377-6200</t>
  </si>
  <si>
    <t>Kim DeVincentis</t>
  </si>
  <si>
    <t>(630) 369-4508</t>
  </si>
  <si>
    <t>CAPITAL ASSET GROUP REO TEAM</t>
  </si>
  <si>
    <t>630-369-4508</t>
  </si>
  <si>
    <t>PLEASE CALL CENTRALIZED SHOWINGS 877-977-1010</t>
  </si>
  <si>
    <t>Please see the attached docs. The seller has directed that all offers be made on Homepath.com. Act now - $1000 Buyer's Agent Bonus! Click HomePath.com for details or ask me. Restrictions apply!</t>
  </si>
  <si>
    <t>Carlton</t>
  </si>
  <si>
    <t>Rte 34/Plainfield Rd: (S) on Rte 34 pass Plainfield to Forest (E) to Prairieview (S) to Carlton (W)</t>
  </si>
  <si>
    <t>Deerpath Creek</t>
  </si>
  <si>
    <t>43X168X133X132</t>
  </si>
  <si>
    <t>Perfect cul-de-sac location w/open area behind this well designed home with a newer roof, A/C &amp; sump pump. Hardwood flooring in the foyer, LR, DR, FR &amp; kitchen. 1st flr den &amp; laundry. Newer large sun room addition w/ceramic flooring, ceiling fan &amp; volume ceiling overlooking deck &amp; fenced yard w/swing set &amp; shed. Master w/luxury bath.  Great storage in full, partially finished bsmt too. Shows great! Motivated to sell</t>
  </si>
  <si>
    <t>Oven/Range, Microwave, Dishwasher, Washer, Dryer, Disposal, All Stainless Steel Kitchen Appliances</t>
  </si>
  <si>
    <t>Finished, Unfinished</t>
  </si>
  <si>
    <t>Partially Finished, Bathroom Rough-In</t>
  </si>
  <si>
    <t>Cul-de-sac, Fenced Yard, Irregular, Landscaped Professionally</t>
  </si>
  <si>
    <t>Humidifier, Water-Softener Owned, TV-Cable, TV-Dish, Ceiling Fan, Sump Pump</t>
  </si>
  <si>
    <t>Den, Eating Area, Recreation Room, Sitting Room, Sun/Florida Room, Other</t>
  </si>
  <si>
    <t>7X6</t>
  </si>
  <si>
    <t>20X10</t>
  </si>
  <si>
    <t>2.5% -$200.00 (on Gross SP)</t>
  </si>
  <si>
    <t>Keller Williams Infinity</t>
  </si>
  <si>
    <t>(630) 778-5800</t>
  </si>
  <si>
    <t>Steve Johnstone, CNC,CRS,GRI</t>
  </si>
  <si>
    <t>(630) 441-2684</t>
  </si>
  <si>
    <t>E Fax 630-548-5289</t>
  </si>
  <si>
    <t>Call CSS 877-977-1010</t>
  </si>
  <si>
    <t>Motivated sellers really want to sell.  Very sharp unit on a cul-de-sac backing to open area. Show with confidence.</t>
  </si>
  <si>
    <t>STIRLING</t>
  </si>
  <si>
    <t>ORCHARD RD TO RT30 W TO GORDON N TO SIMPSON PARKWAY E TO STIRLING</t>
  </si>
  <si>
    <t>FOXMOOR</t>
  </si>
  <si>
    <t>SUGAR GROVE</t>
  </si>
  <si>
    <t>72 X 109</t>
  </si>
  <si>
    <t>PROPERTY TO BE SOLD "WITH REPAIR"  SELLER DOES NOT PROVIDE A SURVEY.  TAXES PRORATED AT 100%.  EARNEST MONEY MUST BE IN CERTIFIED FUNDS.  LETTER OF APPROVAL OR PROOF OF FUNDS IS REQUIRED.  HOMESTEPS FINANCING IS AVAILABLE</t>
  </si>
  <si>
    <t>MCDOLE ELEMENTARY SCHOOL</t>
  </si>
  <si>
    <t>22X12</t>
  </si>
  <si>
    <t>21X14</t>
  </si>
  <si>
    <t>Royana Realty, Ltd.</t>
  </si>
  <si>
    <t>(630) 897-4700</t>
  </si>
  <si>
    <t>Kathy Mahoney</t>
  </si>
  <si>
    <t>(630) 338-2320</t>
  </si>
  <si>
    <t>FREDDIE MAC/HOMESTEPS</t>
  </si>
  <si>
    <t>BUYER IS RESPONSIBLE FOR NAY TRANSFER OR EXEMPT STAMPS AS APPLICABLE.</t>
  </si>
  <si>
    <t>Ball</t>
  </si>
  <si>
    <t>Route 25 1/2 mile N. of Rt. 68 on E. side.</t>
  </si>
  <si>
    <t>12853 S.F.</t>
  </si>
  <si>
    <t>EXEMPT</t>
  </si>
  <si>
    <t>Nice 4 bedroom 3 bath home situated in the center of everything the town has to offer! Shopping, entertainment, transportation, nearby swimming pool and even a golf course just blocks away!</t>
  </si>
  <si>
    <t>9X15</t>
  </si>
  <si>
    <t>3+ (Window/Wall Unit)</t>
  </si>
  <si>
    <t>2.0-$200 (on Gross SP)</t>
  </si>
  <si>
    <t>Your Choice Real Estate Serv</t>
  </si>
  <si>
    <t>(847) 426-7899</t>
  </si>
  <si>
    <t>Kenneth McClintock</t>
  </si>
  <si>
    <t>847-452-9945</t>
  </si>
  <si>
    <t>Call L/O</t>
  </si>
  <si>
    <t>Send offers to L/A email address with Pre-approval letter or POF for cash. For sale as-is.</t>
  </si>
  <si>
    <t>CLOVER</t>
  </si>
  <si>
    <t>Randall road to Williamsburg, east to Cambridge, north to Clover, east to home</t>
  </si>
  <si>
    <t>Stonebridge</t>
  </si>
  <si>
    <t>125 X 101</t>
  </si>
  <si>
    <t>Homeowner, Senior, Senior Freeze</t>
  </si>
  <si>
    <t>Beautiful,pristine home located in a wonderful family neighborhood close to shopping,dining and new elementary school.4 spacious bedrooms,formal living &amp; dining room, kitchen opens to dinette and family room.Large pantry.First floor laundry.New roof 2012,newer windows, new granite/backsplash,dishwasher and H20 heater.Brick Fireplace in F/R,crown molding,Patio,Updated full hall bath in June, 2014. Meticulous condition</t>
  </si>
  <si>
    <t>Commuter Train</t>
  </si>
  <si>
    <t>Alison France, CRS,e-PRO,SFR</t>
  </si>
  <si>
    <t>(630) 443-5308</t>
  </si>
  <si>
    <t>630-742-4918</t>
  </si>
  <si>
    <t>855-746-9093. Must confirm</t>
  </si>
  <si>
    <t>Soft window treatments in LR, DR, master and guest room and Dining room chandeliers DO NOT STAY~Motivated sellers! Bring all offers!</t>
  </si>
  <si>
    <t>37TH</t>
  </si>
  <si>
    <t>35th Street East or West to Halsted, South on Halsted to 37th Street, West to 937.</t>
  </si>
  <si>
    <t>DONOVAN PARK COLLECTIONS</t>
  </si>
  <si>
    <t>25 X 147</t>
  </si>
  <si>
    <t>15 new homes right on the park by renowned Morgan Street Development! Beautiful brick faÃ§ade, extra long lot. Upscale finishes, Kohler, Bosch, Jeld-wen, 9'&amp;10' ceiling. Customize your own home w/ handcrafted kitchen cabinets, granite counters, designer style tiles, stained hardwood floor, full finished basement. Dual zone heating/air. Superb construction quality! ONLY 2 LOTS LEFT. Photos from previous models.</t>
  </si>
  <si>
    <t>Eating Area-Breakfast Bar, Island, Pantry-Walk-in</t>
  </si>
  <si>
    <t>Gas, 2+ Sep Heating Systems</t>
  </si>
  <si>
    <t>Central Air, Exterior Brick/Cedar, Basement, Garage, Hardwood/Ceramic Floors, Vaulted/Cathedral Ceiling</t>
  </si>
  <si>
    <t>Humidifier, CO Detectors, Sump Pump</t>
  </si>
  <si>
    <t>Deck, Recreation Room, Walk In Closet</t>
  </si>
  <si>
    <t>Brick, Frame, Stone</t>
  </si>
  <si>
    <t>Vaulted/Cathedral Ceilings, Hardwood Floors, 2nd Floor Laundry</t>
  </si>
  <si>
    <t>13X06</t>
  </si>
  <si>
    <t>14X28</t>
  </si>
  <si>
    <t>14X8</t>
  </si>
  <si>
    <t>Jennifer Liu</t>
  </si>
  <si>
    <t>(312) 335-3274</t>
  </si>
  <si>
    <t>CALL JEN 312-320-3505</t>
  </si>
  <si>
    <t>ONLY 2 LOTS LEFT! Summer &amp; Fall 2014 delivery. Co-op commission on base price only.</t>
  </si>
  <si>
    <t>HUBBELL</t>
  </si>
  <si>
    <t>Barrington Hills</t>
  </si>
  <si>
    <t>Hough/Barrington Rd to 59 south to Dundee Ln to Marbury east to Hubbell left</t>
  </si>
  <si>
    <t>HAWTHORN RIDGE</t>
  </si>
  <si>
    <t>BARRINGTON</t>
  </si>
  <si>
    <t>228X253X247X248</t>
  </si>
  <si>
    <t>BEAUTIFUL HOME SITUATED IN QUIET NEIGHBORHOOD. BUILT 2005. ATTENTION TO DETAIL. HARDWOODS FLRS, VOLUME CEILINGS. EXTENSIVE WHITE MILLWORK PACKAGE. 1ST FLR MSTR W/LUXURY BATH. BRS W/ BATHS. VAULTED GOURMET KITCHEN W/ 48" VIKING STOVE, SUBZERO REFRIGERATOR, CENTER ISLAND. 1ST FLR LIBRARY. WALKOUT LL W/ LG REC RM,THEATER RM, EXERCISE RM, WINE CELLAR, GAME AREA, SUNRM. CLOSE TO VILLAGE &amp; METRA</t>
  </si>
  <si>
    <t>GROVE AVENUE ELEMENTARY SCHOOL</t>
  </si>
  <si>
    <t>Quarterly</t>
  </si>
  <si>
    <t>26X15</t>
  </si>
  <si>
    <t>Eating Area-Table Space, Island, Pantry-Butler, Pantry-Closet</t>
  </si>
  <si>
    <t>Humidifier, Water-Softener Owned, Central Vacuum, Security System, Intercom, CO Detectors, Ceiling Fan, Sump Pump, Air Cleaner, Backup Sump Pump</t>
  </si>
  <si>
    <t>Library, Loft, Recreation Room, Sun/Florida Room Heated, Theatre Room, Other</t>
  </si>
  <si>
    <t>Brick, Cedar, Stone</t>
  </si>
  <si>
    <t>Vaulted/Cathedral Ceilings, Hardwood Floors, 1st Floor Bedroom, 1st Floor Laundry, 1st Floor Full Bath</t>
  </si>
  <si>
    <t>Patio, Brick Paver Patio</t>
  </si>
  <si>
    <t>Conventional, Cash Only</t>
  </si>
  <si>
    <t>Library</t>
  </si>
  <si>
    <t>RE/MAX Central Inc.</t>
  </si>
  <si>
    <t>(630) 980-4440</t>
  </si>
  <si>
    <t>Denise D'Amico</t>
  </si>
  <si>
    <t>(847) 551-9290</t>
  </si>
  <si>
    <t>CALL LO. 24hr notice</t>
  </si>
  <si>
    <t>Exclude sunroom and wine cellar light fixtures, exercise rm TV. Media equipment negotiable. Assoc maintains roads and pond</t>
  </si>
  <si>
    <t>Gallant Fox</t>
  </si>
  <si>
    <t>Randall to Rt20 W to Coombs to Highland Woods to Slate R to Gallant Fox L to home</t>
  </si>
  <si>
    <t>HIGHLAND WOODS</t>
  </si>
  <si>
    <t>JOVAN 2</t>
  </si>
  <si>
    <t>21X28X126X12X50X51X126</t>
  </si>
  <si>
    <t>Choice residence sitting on prime cul-de-sac lot with over 3000 quality-finished sf: formal living &amp; dining rms, chefâ€™s kitchen w/wlk-in pantry &amp; eating area, morning rm, study, great rm, mudroom, master suite w/2 walk-In closets, 2nd fl laundry rm, full finishd bsmnt. Located in Highland Woods:196 lushly landscaped acres, elegant homes, Owners Club, pool, tennis &amp; basketball courts &amp; highly ranked elementary school.</t>
  </si>
  <si>
    <t>COUNTRY TRAILS ELEMENTARY SCHOOL</t>
  </si>
  <si>
    <t>CENTRAL MIDDLE SCHOOL</t>
  </si>
  <si>
    <t>Island, Pantry-Walk-in</t>
  </si>
  <si>
    <t>Park/Playground, Pool, Tennis Courts, Pond/Lake, Sidewalks, Street Paved</t>
  </si>
  <si>
    <t>Oven-Double, Oven/Range, Microwave, Dishwasher, Disposal, All Stainless Steel Kitchen Appliances</t>
  </si>
  <si>
    <t>Cul-de-sac, Fenced Yard</t>
  </si>
  <si>
    <t>Clubhouse, Exercise Facilities, Pool</t>
  </si>
  <si>
    <t>Breakfast Room, Foyer, Mud Room, Study, Sun/Florida Room Heated</t>
  </si>
  <si>
    <t>3%-$295 (on Net SP)</t>
  </si>
  <si>
    <t>(847) 295-0700</t>
  </si>
  <si>
    <t>Joanna Koperski, SFR</t>
  </si>
  <si>
    <t>(847) 668-0096</t>
  </si>
  <si>
    <t>Call 855-746-9020 or Use ShowingAssist - Lockbox on front door, please make sure to close all lights</t>
  </si>
  <si>
    <t>Beautifully maintained newer home in great subdivision! Prime lot, prime upgrades - must see! Please close all lights.</t>
  </si>
  <si>
    <t>Kenilworth</t>
  </si>
  <si>
    <t>Rt 30 to Gordon Rd- North to Simpson Pkwy- East to Kenilworth Lane</t>
  </si>
  <si>
    <t>62X115</t>
  </si>
  <si>
    <t>Large, 4+ bedroom, w/ eat-in kitchen, SGD to paver patio, FP in FR, office OR bedroom on main level, utility/walk-in pantry, full, unfnshd BSMT w/ plumbing, 2nd level has loft which could easily be turned into 5th bedroom, gigantic master suite with dual sinks and vanities, shower, large tub, WIC. Master boasts tandem room with its very own WIC. Could be nursery, workout room, sitting room, etc. Great possibilities!</t>
  </si>
  <si>
    <t>26X21</t>
  </si>
  <si>
    <t>19X29</t>
  </si>
  <si>
    <t>16X30</t>
  </si>
  <si>
    <t>Corner, Pond, Water View</t>
  </si>
  <si>
    <t>1% OR $400 (on Gross SP)</t>
  </si>
  <si>
    <t>Carrington Real Estate Services(US) LLC</t>
  </si>
  <si>
    <t>(708) 590-2423</t>
  </si>
  <si>
    <t>Amie Langus</t>
  </si>
  <si>
    <t>(630) 649-3349</t>
  </si>
  <si>
    <t>Please use Showing Assist</t>
  </si>
  <si>
    <t>Property will be sold through online auction event. See homesearch.com for details. ALL financed offers MUST be pre-qualed through Greenlight loans BEFORE submitting offer. Call 866-250-7143 Pre-auction offers to sales@homesearch.com</t>
  </si>
  <si>
    <t>Countryside</t>
  </si>
  <si>
    <t>Lake Barrington</t>
  </si>
  <si>
    <t>KELSEY RD N OF RT #14 (TURNS INTO RIVER) 2 COUNTRYSIDE DR- ON NORTHWEST CORNER</t>
  </si>
  <si>
    <t>TANGLEWOOD ESTATES</t>
  </si>
  <si>
    <t>LAKE BARRINGTON</t>
  </si>
  <si>
    <t>CUBA</t>
  </si>
  <si>
    <t>249X255X14X28X61X59X213</t>
  </si>
  <si>
    <t>This lovely brick &amp; cedar 4 BR 6.1 BA home is situated on over an acre of prof. landscaped grounds. The light &amp; airy eat in kitchen boasts a center island, high end apps, white cabs &amp; overlooks the fam. room w/vaulted ceiling. Formal living &amp; dining rooms. Spacious master suite w/sitting area, 2 WIC's &amp; lux master bath. All BR's w/full baths.Stunning walk out LL w/media room, game space, 2nd family room &amp; full bath.</t>
  </si>
  <si>
    <t>NORTH BARRINGTON ELEMENTARY SCHOOL</t>
  </si>
  <si>
    <t>BARRINGTON MIDDLE SCHOOL-STATION</t>
  </si>
  <si>
    <t>23X19</t>
  </si>
  <si>
    <t>23X16</t>
  </si>
  <si>
    <t>Dock-Community, Water Rights, Street Paved</t>
  </si>
  <si>
    <t>Oven-Double, Microwave, Dishwasher, Refrigerator, Compactor-Trash, Grill-Indoor, Wine Cooler/Refrigerator</t>
  </si>
  <si>
    <t>Corner, Irregular, Landscaped Professionally</t>
  </si>
  <si>
    <t>Common Insurance, Lake Rights, Other</t>
  </si>
  <si>
    <t>Humidifier, Water-Softener Owned, Central Vacuum, TV-Dish, Security System, Intercom, Fire Sprinklers, CO Detectors, Ceiling Fan, Sump Pump, Air Cleaner</t>
  </si>
  <si>
    <t>Deck, Media Room, Office, Recreation Room, Sitting Room</t>
  </si>
  <si>
    <t>Vaulted/Cathedral Ceilings, Hardwood Floors, Heated Floors, 2nd Floor Laundry, 1st Floor Full Bath</t>
  </si>
  <si>
    <t>Deck, Patio, Brick Paver Patio, Boat Dock/Mooring, Storms/Screens</t>
  </si>
  <si>
    <t>Media Room</t>
  </si>
  <si>
    <t>34X16</t>
  </si>
  <si>
    <t>2.5% - $195 (on Net SP)</t>
  </si>
  <si>
    <t>RE/MAX of Barrington</t>
  </si>
  <si>
    <t>(847) 381-8800</t>
  </si>
  <si>
    <t>Paul Wells, e-PRO,SFR</t>
  </si>
  <si>
    <t>(847) 913-6100</t>
  </si>
  <si>
    <t>Call Listing Office</t>
  </si>
  <si>
    <t>Great condition and a beautiful home!</t>
  </si>
  <si>
    <t>Francisco</t>
  </si>
  <si>
    <t>55TH STREET TO FRANCISCO. NORTH TO PROPERTY</t>
  </si>
  <si>
    <t>APPROVED SHORT-SALE! APPROVED AT LIST PRICE!  BEAUTIFUL BUNGALOW BOASTS NEW ROOF, WINDOWS, HIGH-EFFICIENCY FURNACE, FULL WALK-UP ATTIC, AND FULL FINISHED BASEMENT. GARAGE IS TWO YEARS YOUNG!! HARDWOOD FLOORS AND CERAMIC BATHS.   PROPERTY WILL SELL AS-IS CONDITION. 100% TAX PRORATIONS.  NO SURVEY OR TERMITE INSPECTION.  BUYER RESPONSIBLE FOR ANY LENDER REQUESTED REPAIRS.</t>
  </si>
  <si>
    <t>13X27</t>
  </si>
  <si>
    <t>2.5% -$200 (on Gross SP)</t>
  </si>
  <si>
    <t>RE/MAX 10</t>
  </si>
  <si>
    <t>(708) 857-1500</t>
  </si>
  <si>
    <t>Pablo Galarza</t>
  </si>
  <si>
    <t>773-367-0788</t>
  </si>
  <si>
    <t>CALL LISTING OFFICE. 24 HOUR NOTICE PREFERRED</t>
  </si>
  <si>
    <t>CC: Pursuant to Short Sale. SETERUS SHORT-SALE. ONLY 1 LIEN HOLDER. APPROVED AT LIST PRICE BUT WILL REQUIRE A COUPLE DAYS FOR BUYER SPECIFIC APPROVAL.</t>
  </si>
  <si>
    <t>LOREL</t>
  </si>
  <si>
    <t>Laramie Ave N/S to west on Bloomingdale, one-way south on Lorel</t>
  </si>
  <si>
    <t>30 X 128</t>
  </si>
  <si>
    <t>SFR that is definitely larger than it seems! 4beds, 2full bath, huge front yard on residential street. Full basement, hardwood floors, and big eat-in kitchen. SOLD "AS IS" CONDITION. NO SURVEY/DISCLOSURES. PROOF OF FUND/ PRE-APPROVAL MUST ACCOMPANY ALL OFFERS. ADDENDUM REQUIRED AFTER ACCEPTANCE. EM MUST BE CERT FUNDS. ROOMS, LOT SZE/DETAILS NOT GRNTD.</t>
  </si>
  <si>
    <t>9X8</t>
  </si>
  <si>
    <t>$750 (on Net SP)</t>
  </si>
  <si>
    <t>Rising Realty, LLC</t>
  </si>
  <si>
    <t>(773) 395-9999</t>
  </si>
  <si>
    <t>Jason Shapiro</t>
  </si>
  <si>
    <t>call CSS 877-977-1010</t>
  </si>
  <si>
    <t>Information NOT guaranteed. Offers via email to offers@risingrealty.com. Commission paid off of Net sales price(Gross less concessions/credits given by seller).Tax proration: 100%.</t>
  </si>
  <si>
    <t>Parkside</t>
  </si>
  <si>
    <t>Goodman or Carmen to Parkside</t>
  </si>
  <si>
    <t>Beautiful Jefferson Park Rehab! Large Ktchn W/Breakfast Bar, SS Apps &amp; Granite Cntps. Tons Of Living Space W/ Seprt Dining, Large Family Rm Opening Up To Back Deck. Three Bdrms On Upper Level. Master Suite Has Luxury Bath W/ Corner Jacuzzi, Sep Shower, Glass Vanity. Full Fnshd BSMT W/RCN Room &amp; Updated Bathroom. Over Sized 2 Car Gar. Large Backyard With 30 Ft Wide Lot, &amp; Huge Deck!</t>
  </si>
  <si>
    <t>Oven/Range, Microwave, Dishwasher, Refrigerator, Freezer, Washer, Dryer, Disposal, All Stainless Steel Kitchen Appliances</t>
  </si>
  <si>
    <t>Deck, Recreation Room</t>
  </si>
  <si>
    <t>30X22</t>
  </si>
  <si>
    <t>Ask Nagel</t>
  </si>
  <si>
    <t>(773) 819-9210</t>
  </si>
  <si>
    <t>Greg Nagel, ABR</t>
  </si>
  <si>
    <t>(312) 933-1432</t>
  </si>
  <si>
    <t>Call Greg's Cell @ 312-933-1432</t>
  </si>
  <si>
    <t>Olivia</t>
  </si>
  <si>
    <t>Barrington Rd, north of Irving Park Rd. to Laurie Lane, east to Olivia Lane, south to home</t>
  </si>
  <si>
    <t>60X140</t>
  </si>
  <si>
    <t>Half</t>
  </si>
  <si>
    <t>MULTIPLE OFFERS. HIGHEST &amp; BEST DUE THURS, 10/30/14 BY 12 NOON.Corporate owned property. Home is in need of some TLC. Sold as-is. No disclosures, no survey. Taxes prorated at 100%. Proof of funds or preapproval letter required with all offers. Earnest money 3% of purchase price, 10% required for all cash offers. Earnest money must be certified funds. Buyer responsible for any/all village repairs &amp; inspections.</t>
  </si>
  <si>
    <t>Ceiling Fan</t>
  </si>
  <si>
    <t>Eating Area, Foyer</t>
  </si>
  <si>
    <t>12X6</t>
  </si>
  <si>
    <t>(630) 530-2500</t>
  </si>
  <si>
    <t>Ginny Leamy</t>
  </si>
  <si>
    <t>(708) 205-9541</t>
  </si>
  <si>
    <t>Please use showing link below to schedule appt.</t>
  </si>
  <si>
    <t>MULTIPLE OFFERS. H&amp;B DUE THURS, 10/30/14 BY 12pm. See MLS add'l info for offer instructions &amp; forms needed to submit an off</t>
  </si>
  <si>
    <t>107th</t>
  </si>
  <si>
    <t>103rd Street E to Kedzie Ave S to 107th E to property</t>
  </si>
  <si>
    <t>50X125</t>
  </si>
  <si>
    <t>Opportunity knocks with this 4 bdrm house on biggier lot in Mount  Greenwood community.  Good for handyman or investor.  Seller will not activate utilities.Sold as- is condition.</t>
  </si>
  <si>
    <t>12X16</t>
  </si>
  <si>
    <t>7X12</t>
  </si>
  <si>
    <t>Halina Wisniewska</t>
  </si>
  <si>
    <t>773-680-0798</t>
  </si>
  <si>
    <t>Call LO</t>
  </si>
  <si>
    <t>As of record</t>
  </si>
  <si>
    <t>CC: Pursuant to Short Sale. CC: Pursuant to short sale - all term in the contract subject to bank approval  including commission.</t>
  </si>
  <si>
    <t>Irving Park</t>
  </si>
  <si>
    <t>Irving Park between Bell and Oakley</t>
  </si>
  <si>
    <t>25 X 115</t>
  </si>
  <si>
    <t>Acclaimed Coonley Elementary School! This four bedroom home features great bones and space ready for your ideas! First floor features 2 bed/1 bath with living, dining eat in kitchen, and porch. Interior stairs to second floor with large attic space and two bedroom. Partially finished basement with great ceiling height and plumbing for bath. All this in highly desirable North Center. Walk to schools, shopping and EL.</t>
  </si>
  <si>
    <t>COONLEY ELEMENTARY SCHOOL</t>
  </si>
  <si>
    <t>Pantry-Walk-in</t>
  </si>
  <si>
    <t>Park/Playground, Curbs/Gutters</t>
  </si>
  <si>
    <t>Oven/Range</t>
  </si>
  <si>
    <t>Full, Interior Stair</t>
  </si>
  <si>
    <t>Deck, Enclosed Porch</t>
  </si>
  <si>
    <t>Cottage</t>
  </si>
  <si>
    <t>2.5% -$275 (on Net SP)</t>
  </si>
  <si>
    <t>(773) 549-1855</t>
  </si>
  <si>
    <t>Mark Jak, ABR</t>
  </si>
  <si>
    <t>(773) 883-2911</t>
  </si>
  <si>
    <t>Use Showing Assist 24 hour notice required.</t>
  </si>
  <si>
    <t>Estate Sale: home is sold AS IS</t>
  </si>
  <si>
    <t>Sawyer</t>
  </si>
  <si>
    <t>KEDZIE &amp; 71ST W TO SAWYER S TO 7205</t>
  </si>
  <si>
    <t>BRICK SPLIT LEVEL SINGLE FAMILY HOME WITH FOUR FULL BEDROOMS AND 2 FULL BATHROOMS. A TRUE MASTER SUITE ON THE SECOND FLOOR. AN ENCLOSED BACK PORCH. FULL BASEMENT SEMI-FINISHED. FORCED AIR HEAT. PROPERTY IN NEED OF REPAIR BUT WHITE BOXED FOR YOUR CONVENIENCE. SOLD "AS-IS".</t>
  </si>
  <si>
    <t>25X22</t>
  </si>
  <si>
    <t>$1,500 (on Gross SP)</t>
  </si>
  <si>
    <t>ERA Mi Casa Real Estate</t>
  </si>
  <si>
    <t>(773) 767-1616</t>
  </si>
  <si>
    <t>Joe Castillo, SFR</t>
  </si>
  <si>
    <t>See attachment for PAS requirements &amp; WFHM offer submittal information in MLS document section (ADDITIONAL INFO TAB). Submit all offers to micasaassist@gmail.com.</t>
  </si>
  <si>
    <t>Dunham</t>
  </si>
  <si>
    <t>RTE 64 TO DUNHAM NORTH TO PROPERTY (West side of the street)</t>
  </si>
  <si>
    <t>424X559X732X501</t>
  </si>
  <si>
    <t>COMPLETELY UPDATED &amp; FABULOUS! Beautiful home on 8.5 acres on East side of St. Charles! New amenities thru-out! AMAZING views from every single room! VERY spacious w/ HUGE family room, kitchen, master BR, bonus room &amp; basement. Great screened in porch w/ elegant spiral staircase &amp; views of picturesque yard! Sprawling grounds w/water frontage, waterfall, &amp; tons of gorgeous foliage! TAXES REDUCED 30%-Should be $17K!!</t>
  </si>
  <si>
    <t>26X16</t>
  </si>
  <si>
    <t>17X16</t>
  </si>
  <si>
    <t>23X11</t>
  </si>
  <si>
    <t>39X16</t>
  </si>
  <si>
    <t>Pond/Lake, Street Paved</t>
  </si>
  <si>
    <t>Oven/Range, Microwave, Dishwasher, Washer, Dryer</t>
  </si>
  <si>
    <t>Pond, Stream, Wooded</t>
  </si>
  <si>
    <t>Air Cleaner</t>
  </si>
  <si>
    <t>Bonus, Den, Recreation Room, Screened Porch</t>
  </si>
  <si>
    <t>Stone</t>
  </si>
  <si>
    <t>Screened Porch</t>
  </si>
  <si>
    <t>25X18</t>
  </si>
  <si>
    <t>37X16</t>
  </si>
  <si>
    <t>29X11</t>
  </si>
  <si>
    <t>2.5%-200 (on Net SP)</t>
  </si>
  <si>
    <t>(630) 377-1771</t>
  </si>
  <si>
    <t>Debora McKay</t>
  </si>
  <si>
    <t>(630) 587-4672</t>
  </si>
  <si>
    <t>Call Showing Time @ 855-746-9200 for a confirmed appointment.</t>
  </si>
  <si>
    <t>12th</t>
  </si>
  <si>
    <t>Rt. 64 east of River to 12th Ave. turn north to home.</t>
  </si>
  <si>
    <t>80X175</t>
  </si>
  <si>
    <t>Beautiful Cape Cod style home on extra-large lot! Spacious LR w/built-ins, sep. dining rm w/HWF, Kit w/eat-in area &amp; bay window, great view of garden! 1 first floor BR, 3 add BRs on 2nd floor, 2 full bths, balcony off master suite! Screened in 3 season rm overlooking outdoor brick FP. Quiet street, terrific home w/future add-on potential on beautiful lot! Prof. painted, large LL!  Close to downtown, park &amp; school!</t>
  </si>
  <si>
    <t>LINCOLN ELEMENTARY SCHOOL</t>
  </si>
  <si>
    <t>WREDLING MIDDLE SCHOOL</t>
  </si>
  <si>
    <t>ST CHARLES EAST HIGH SCHOOL</t>
  </si>
  <si>
    <t>35X14</t>
  </si>
  <si>
    <t>Central Air, Space Pac</t>
  </si>
  <si>
    <t>Debra Buresh</t>
  </si>
  <si>
    <t>(630) 913-0524</t>
  </si>
  <si>
    <t>Tenant in home MUST confirm. Call Showing Time: 800-746-9464.</t>
  </si>
  <si>
    <t>Show w/confidence! Roof approx. 8 yrs., HWH replaced '10, prof. painted thru-out, drain tiles in LL. Tenant in home must confirm.</t>
  </si>
  <si>
    <t>WAVERLY</t>
  </si>
  <si>
    <t>FAIRFAX WAY TO SUTTON TO WAVERLY CIRCLE</t>
  </si>
  <si>
    <t>KENDALL</t>
  </si>
  <si>
    <t>NEWLY PAINTED AND CARPETED 2 STORY IN WINDETT RIDGE! FEATURES; VIEW OF POND/WETLAND, MAIN FLOOR OFFICE, BRICK FRONT, 3 CAR GARAGE, LOOK-OUT BASEMENT AND MORE! SELLER DISCLOSURES AVAILABLE AS A DOWNLOAD IN MLS.</t>
  </si>
  <si>
    <t>26X13</t>
  </si>
  <si>
    <t>3.0% (on Net SP)</t>
  </si>
  <si>
    <t>Regional Realty Group</t>
  </si>
  <si>
    <t>(815) 744-6565</t>
  </si>
  <si>
    <t>James Conway, GRI</t>
  </si>
  <si>
    <t>SEE SECURE SHOWING ASSIST</t>
  </si>
  <si>
    <t>EMAIL OFFERS TO: JCONWAYRRG@GMAIL.COM</t>
  </si>
  <si>
    <t>Albany</t>
  </si>
  <si>
    <t>Belmont and Kedzie S. to George E. to Albany N to 3023</t>
  </si>
  <si>
    <t>40X125</t>
  </si>
  <si>
    <t>HIGHEST&amp;BEST DUE 1/13/15! Opportunity to own your own piece of heaven in the Avondale neighborhood of Chicago! Oversized Chicago lot close to expressways, blue line, shopping &amp; schools. Features 4 bedrooms, 1.1 baths, basement &amp; huge yard! Needs TLC- perfect for investors or those looking to make a home uniquely theirs! REO owned, taxes prorated at 100%, survey &amp;/or city/village inspctns is the buyers responsibility</t>
  </si>
  <si>
    <t>16X09</t>
  </si>
  <si>
    <t>Aluminum Siding, Brick, Frame</t>
  </si>
  <si>
    <t>07X08</t>
  </si>
  <si>
    <t>2.5% -$150.00 (on Net SP)</t>
  </si>
  <si>
    <t>(708) 460-1400</t>
  </si>
  <si>
    <t>Amy Wilkes</t>
  </si>
  <si>
    <t>(708) 670-6204</t>
  </si>
  <si>
    <t>call 855.746.9100</t>
  </si>
  <si>
    <t>ooR</t>
  </si>
  <si>
    <t>MULTIPLE OFFER SITUATION- HIGHEST, BEST &amp; FINAL OFFERS DUE BY 1/13/15 AT 5PM- no exceptions  Email list agent all offers</t>
  </si>
  <si>
    <t>Independence</t>
  </si>
  <si>
    <t>Hughes Road West of LaFox Road to Blackberry Creek Drive N2 Independence Avenue E2 Home</t>
  </si>
  <si>
    <t>Blackberry Creek</t>
  </si>
  <si>
    <t>85X120X85X118</t>
  </si>
  <si>
    <t>Gorgeous New Home w/Superb Quality &amp; Upgrades. Extensive Trim Detail.Covered Front Porch!Dramatic 2Sty Foyer!Open Flr Pln w/9ft Ceilings! Arched Doorways!Huge Eat-In Kitchen!Inviting FR w/Custom F/P!Formal L/R &amp; D/R.Hardwood Floors!Lux Master Suite w/Deluxe Bath!Large Bedrooms with WIC's!Numerous Energy Efficient Features!Meets All New Energy Requirements!Granite Tops!SS Appliances!2X6 Construction!Close To Train!</t>
  </si>
  <si>
    <t>22X16</t>
  </si>
  <si>
    <t>22X20</t>
  </si>
  <si>
    <t>Attached Fireplace Doors/Screen, Gas Logs, Gas Starter</t>
  </si>
  <si>
    <t>Whyrent Real Estate Company</t>
  </si>
  <si>
    <t>(630) 608-4777</t>
  </si>
  <si>
    <t>Mark Sannita</t>
  </si>
  <si>
    <t>(630) 262-4315</t>
  </si>
  <si>
    <t>630-267-5091</t>
  </si>
  <si>
    <t>Use Showing Assist. Click On Schedule A Showing.</t>
  </si>
  <si>
    <t>Gorgeous New Construction. Ready 10/31/14.</t>
  </si>
  <si>
    <t>Elston west of Kedzie, north on Christiana to address.</t>
  </si>
  <si>
    <t>Exciting new development in Irving Park. One of five single family homes by highly experienced builder. Perfect layout with 3 beds, 2 baths &amp; full laundry room on upper level. Gorgeous main level with gas fireplace, custom chef's kitchen, stainless Bosch package &amp; quartz counters. Finished lower level with 9â€™ ceilings, great rec room, 4th bed &amp; full bath. Large back deck off family room.</t>
  </si>
  <si>
    <t>5N980</t>
  </si>
  <si>
    <t>Castle</t>
  </si>
  <si>
    <t>Rt64 to Burlington Rd to Empire Rd (W) to Castle (S)</t>
  </si>
  <si>
    <t>143X224</t>
  </si>
  <si>
    <t>Spotless home in perfect condition!Totally updated w/new:kitch,baths,roof,furnace,a/c,flooring,deck &amp; more!Huge eat-in kitch w/42" cherry cabinets w/soft close drawers,ss appliances,corian,breakfast bar--dinette opens to expansive deck!Vaulted fam rm w/skylites &amp; full masonry fp...Mbdrm w/volume ceil,his 'n hers closets &amp; vaulted whirlpool bth!Nicely finished bsmt,private wooded lot...Exceptional decor-Move right in!</t>
  </si>
  <si>
    <t>WASCO ELEMENTARY SCHOOL</t>
  </si>
  <si>
    <t>THOMPSON MIDDLE SCHOOL</t>
  </si>
  <si>
    <t>ST CHARLES NORTH HIGH SCHOOL</t>
  </si>
  <si>
    <t>Oven/Range, Microwave, Dishwasher, All Stainless Steel Kitchen Appliances</t>
  </si>
  <si>
    <t>Water-Softener Owned, CO Detectors, Ceiling Fan, Sump Pump, Backup Sump Pump, Power Generator</t>
  </si>
  <si>
    <t>Exercise Room, Office, Recreation Room</t>
  </si>
  <si>
    <t>Deck, Storage Shed</t>
  </si>
  <si>
    <t>27X17</t>
  </si>
  <si>
    <t>2.5% -$200 (on Net SP)</t>
  </si>
  <si>
    <t>Alex Rullo, ABR</t>
  </si>
  <si>
    <t>(630) 513-1771</t>
  </si>
  <si>
    <t>(630) 272-4310</t>
  </si>
  <si>
    <t>Call 855-919-0377 for Appointment</t>
  </si>
  <si>
    <t>DORR</t>
  </si>
  <si>
    <t>Sugar Grove</t>
  </si>
  <si>
    <t>HANKES 2 NORRIS 2 MCDOLE R 2 CHAPMAN 2 DORR L OR DENNY 2 NORRIS 2 HARKISON 2 MCDOLE R 2 CHAPMAN2DORR</t>
  </si>
  <si>
    <t>WALNUT WOODS</t>
  </si>
  <si>
    <t>CARTWRIGHT C ELEVATION</t>
  </si>
  <si>
    <t>78.83X125X83.67X125</t>
  </si>
  <si>
    <t>SPECTACULAR LOCATION WILL IMPRESS THE MOST ASTUTE BUYER! This fabulous 2936 sq ft RANCH offers the perfect location overlooking a gorgeous pond, lovely park &amp; walking path access. Inside, architectural archways are a theme connecting the flexible floorplan~Gourmet kitchen w/Corian counters, dbl oven &amp; cooktop~Hardwood flooring~Multiple bay windows~Luxury master bath~4BR or 3+Den~FULL walkout basement~3/car garage~10+</t>
  </si>
  <si>
    <t>JOHN SHIELDS ELEMENTARY SCHOOL</t>
  </si>
  <si>
    <t>15X17</t>
  </si>
  <si>
    <t>Unfinished, Exterior Access, Bathroom Rough-In</t>
  </si>
  <si>
    <t>Nature Preserve Adjacent, Landscaped Professionally, Water View</t>
  </si>
  <si>
    <t>Humidifier, Water-Softener Owned, CO Detectors, Ceiling Fan, Fan-Whole House, Sump Pump</t>
  </si>
  <si>
    <t>7X11</t>
  </si>
  <si>
    <t>17X10</t>
  </si>
  <si>
    <t>2.5% -$150 (on Gross SP)</t>
  </si>
  <si>
    <t>RE/MAX All Pro</t>
  </si>
  <si>
    <t>(630) 391-4800</t>
  </si>
  <si>
    <t>Cathy Peters</t>
  </si>
  <si>
    <t>(630) 677-2406</t>
  </si>
  <si>
    <t>Fax: 630-391-4888</t>
  </si>
  <si>
    <t>CALL SHOWING TIME 855-919-0376 MUST CONFIRM - OCCUPIED-SOME NOTICE APPRECIATED</t>
  </si>
  <si>
    <t>Too many features to mention, but be sure buyer sees photo descriptions for more features. Please exclude master bedroom &amp; BR3 (red) curtains &amp; valances. This house shines both inside and out!</t>
  </si>
  <si>
    <t>Lavergne</t>
  </si>
  <si>
    <t>MIWLAUKEE TO BELLE PLAINE. WEST 1 BLOCK TO DICKINSON AVE/PARK. RIGHT TO END TO PARK,LEFT ON LAVERGNE</t>
  </si>
  <si>
    <t>STUNNING 4 BDRM JUMBO BRICK BUNGALOW ON OVRSZD LOT ON LOVELY DICKINSON PARK,JUST WEST OF OLD IRVING. EXTRAORDINARY HOME IN PRISTINE CONDITION W/ORIGINAL WOODWORK, STAINED GLASS, LIGHT FIXTURES. UPDATES INCL NEW KTCHN W/WOLF/SUBZERO/ELECTROLUX APPL; NEW BTHRMS; CUSTOM WINDWS; NEW TILE ROOF. HUGE LOWER LEVL W/FAM RM, PLAYRM, POWDER RM, LAUNDRY&amp; STORAGE. MASTER SUITE W/MRBL BTH, WIC, NURSERY/OFFICE/4thBDRM. DUAL HEAT/AC</t>
  </si>
  <si>
    <t>Gas, Hot Water/Steam, Radiators, 2+ Sep Heating Systems, Zoned</t>
  </si>
  <si>
    <t>Park/Playground</t>
  </si>
  <si>
    <t>Oven-Double, Microwave, Dishwasher, High End Refrigerator, Washer, Dryer, Compactor-Trash</t>
  </si>
  <si>
    <t>Foyer, Mud Room, Play Room, Storage, Sun/Florida Room, Utility Room-Lower Level</t>
  </si>
  <si>
    <t>Hardwood Floors, 1st Floor Bedroom</t>
  </si>
  <si>
    <t>17X5</t>
  </si>
  <si>
    <t>15X5</t>
  </si>
  <si>
    <t>2.75% MINUS $325 (on Net SP)</t>
  </si>
  <si>
    <t>Cindy Wilson</t>
  </si>
  <si>
    <t>(773) 383-9388</t>
  </si>
  <si>
    <t>CALL CINDY 773.383.9388 OR CWILSON@KOENIGRUBLOFF.COM. NOTICE APPRECIATED.</t>
  </si>
  <si>
    <t>METICULOUS RENOVATED, LOVINGLY MAINTAINED HOME W/ONLY 3 OWNERS SINCE 1921! TONS OF SPACE &amp; HIGH QUALITY FOR MUCH LOWER PRICE FOR NEIGHBORHOODS TO EAST. PARK &amp; PLAYGROUND ACROSS STREET. HIDDEN GEM!</t>
  </si>
  <si>
    <t>Harvard</t>
  </si>
  <si>
    <t>South Elgin</t>
  </si>
  <si>
    <t>McLean south of 20 to Lancaster to Harvard</t>
  </si>
  <si>
    <t>Wildmeadow</t>
  </si>
  <si>
    <t>SOUTH ELGIN</t>
  </si>
  <si>
    <t>ASTER</t>
  </si>
  <si>
    <t>77 X 130</t>
  </si>
  <si>
    <t>Beautiful Aster in Wildmeadow. Home totally re done, paint, carpet, counter tops. All new ss appls. Full fin basement, 3 level deck, pool. Fenced yard.. Too much to list so check (add info) they have been posted there. Shows like a model Easy to show  NOTE please don't let kittens out they will run out open doors. Thank you</t>
  </si>
  <si>
    <t>Island, Pantry-Butler, Pantry-Closet</t>
  </si>
  <si>
    <t>Oven/Range, Microwave, Dishwasher, High End Refrigerator, Washer, Dryer, Disposal, All Stainless Steel Kitchen Appliances</t>
  </si>
  <si>
    <t>TV-Cable, TV-Dish, Ceiling Fan, Sump Pump</t>
  </si>
  <si>
    <t>Eating Area, Recreation Room</t>
  </si>
  <si>
    <t>Deck, Pool Above Ground, Storms/Screens</t>
  </si>
  <si>
    <t>12X24</t>
  </si>
  <si>
    <t>2.5% - $250 (on Net SP)</t>
  </si>
  <si>
    <t>Berkshire Hathaway HomeServices Starck Real Estate</t>
  </si>
  <si>
    <t>(847) 310-1886</t>
  </si>
  <si>
    <t>William Ayars</t>
  </si>
  <si>
    <t>(847) 217-7078</t>
  </si>
  <si>
    <t>Call showing desk 888-362-3222; after hrs. call L.A.</t>
  </si>
  <si>
    <t>please review all the upgrades that have been added to this property in additional info</t>
  </si>
  <si>
    <t>Stetzer</t>
  </si>
  <si>
    <t>Keslinger Road West to Route 47 North to Stetzer West</t>
  </si>
  <si>
    <t>COLUMBINE SQUARE</t>
  </si>
  <si>
    <t>Charming Cape Cod on a corner lot. 4 BDR / 2 BA with 2 car garage. Sold as is. Please allow 2 - 3 business days for Seller response. Tax is prorated 100%. No survey is provided</t>
  </si>
  <si>
    <t>14X21</t>
  </si>
  <si>
    <t>15X23</t>
  </si>
  <si>
    <t>Gas, Electric</t>
  </si>
  <si>
    <t>3% OF THE SALES PRICE (on Gross SP)</t>
  </si>
  <si>
    <t>A $1,000.00 lender credit for Closing costs if financed through New Penn Financial. Please contact Svetlana â€œAnnaâ€_x009d_ Miller at 330-241-4823.</t>
  </si>
  <si>
    <t>George</t>
  </si>
  <si>
    <t>DIVERSEY E OF PULASKI N ON RIDGEWAY TO GEORGE W TO PROPERTY</t>
  </si>
  <si>
    <t>Completely upgraded turnkey single family home in Avondale.  This home boasts large eat in kitchen with SS appliances, granite countertops, 42 inch cabinets, 2 pantryâ€™s and garbage disposal.  3 bedrooms on mail level with additional bedroom and full bath in basement.  Large living/dining area with huge family room in the basement.  2 car garage and large back yard.</t>
  </si>
  <si>
    <t>17X09</t>
  </si>
  <si>
    <t>37X15</t>
  </si>
  <si>
    <t>Curbs/Gutters, Sidewalks</t>
  </si>
  <si>
    <t>Brick, Block</t>
  </si>
  <si>
    <t>2.5%-$325 (on Net SP)</t>
  </si>
  <si>
    <t>(312) 266-7000</t>
  </si>
  <si>
    <t>Stephanie Englund Siegel</t>
  </si>
  <si>
    <t>(312) 799-2884</t>
  </si>
  <si>
    <t>CALL STEPHANIE 773.750.6423</t>
  </si>
  <si>
    <t>Sellers do not have a homeowners exemption but have filed the paperwork</t>
  </si>
  <si>
    <t>Pawnee</t>
  </si>
  <si>
    <t>RT 59 NORTH TO INDIAN TRAIL EAST TO PAWNEE (DRIVEWAY IS ON INDIAN TRAIL)</t>
  </si>
  <si>
    <t>Country Squire Estates</t>
  </si>
  <si>
    <t>147X305X120X278</t>
  </si>
  <si>
    <t>Charming 4 bedroom Colonial on beautiful 1 acre wooded lot! Updated kitchen with granite counters! New stainless steel stove, dishwasher, &amp; furnace! Hardwood floors! Updated bathrooms with beautiful marble &amp; tile work! Newer roof! Newer upstairs windows! Newer closet doors &amp; bedroom doors! Deck off living room leads to peaceful, wooded backyard! Newer Pella sliding door! Country-like living in town!</t>
  </si>
  <si>
    <t>Double Sink, Garden Tub</t>
  </si>
  <si>
    <t>Corner, Wooded</t>
  </si>
  <si>
    <t>3% - $299 (on Net SP)</t>
  </si>
  <si>
    <t>North Shore Realty Group</t>
  </si>
  <si>
    <t>(847) 657-7700</t>
  </si>
  <si>
    <t>Winfield Cohen</t>
  </si>
  <si>
    <t>(847) 772-8453</t>
  </si>
  <si>
    <t>Cell 847-772-8453</t>
  </si>
  <si>
    <t>Please call 1-800-SHOWING (1-800-746-9464) or click ICON below.</t>
  </si>
  <si>
    <t>NOTE - 3%CC!!! Please do not lock bottom lock on front door. Lock only top lock. Thank you!</t>
  </si>
  <si>
    <t>Tealwood</t>
  </si>
  <si>
    <t>Fernwood to Winrock to Tealwood</t>
  </si>
  <si>
    <t>Boulder Hill</t>
  </si>
  <si>
    <t>50X100</t>
  </si>
  <si>
    <t>EXTRA CLEAN HOME WITH FOUR BEDROOMS!! Stunning kitchen with granite countertops and honey maple cabinets. VAULTED ceiling in living room!! In the last 3 years there are: White colonist doors,newer central ac, newer windows,updated electric, 2 sets of sliding glass doors, bath with newer fixtures, tub surround and floor. Freshly painted~  Deck with built in seating. Fenced yard too!!</t>
  </si>
  <si>
    <t>Sidewalks, Street Lights, Street Paved</t>
  </si>
  <si>
    <t>Pull Down Stair, Unfinished</t>
  </si>
  <si>
    <t>Utility Room-1st Floor</t>
  </si>
  <si>
    <t>Vaulted/Cathedral Ceilings, Wood Laminate Floors, 1st Floor Bedroom, 1st Floor Laundry, 1st Floor Full Bath</t>
  </si>
  <si>
    <t>United Real Estate-Chicago</t>
  </si>
  <si>
    <t>(630) 748-4660</t>
  </si>
  <si>
    <t>Diana Secor</t>
  </si>
  <si>
    <t>(630) 802-5706</t>
  </si>
  <si>
    <t>DOGS SO NOTICE NEEDED BUT OWNER WILL TRY TO BE AS ACCOMMODATING AS POSSIBLE 630-802-5706 TXT OR CALL</t>
  </si>
  <si>
    <t>DOGS SO SOME NOTICE NEEDED TO SHOW. REGULAR SALE. VERY NICE SUPER CLEAN HOME</t>
  </si>
  <si>
    <t>Highland</t>
  </si>
  <si>
    <t>1 block south of Devon Ave &amp; 1 block east of Clark St.</t>
  </si>
  <si>
    <t>ROGERS PARK</t>
  </si>
  <si>
    <t>25X112</t>
  </si>
  <si>
    <t>Huge price drop in Edgewater Glen! New everything over last 10 yrs! Look inside this exceptional 4br home! Flexible flr pln, granite kitchen with island &amp; 42â€_x009d_ cherry cabinets, SS GE appliances &amp; huge dining area. 3br on 2nd floor! MBR w spa like bath &amp; WIC. Tons of storage, elec fpl, deck &amp; gated yard. 2 zone HVAC &amp; xtra deep 2c garage. Flr pln in Virtual Tour. Walk to New Wholefoods, Starbucks, Loyola, CTA &amp; lake!</t>
  </si>
  <si>
    <t>HAYT ELEMENTARY SCHOOL</t>
  </si>
  <si>
    <t>SENN ACHIEVEMENT ACADEMY HIGH SCHOOL</t>
  </si>
  <si>
    <t>Gas, Forced Air, 2+ Sep Heating Systems</t>
  </si>
  <si>
    <t>Oven/Range, Microwave, Dishwasher, Refrigerator, Washer, Dryer, Disposal, All Stainless Steel Kitchen Appliances, Wine Cooler/Refrigerator</t>
  </si>
  <si>
    <t>Whirlpool, Separate Shower, Soaking Tub</t>
  </si>
  <si>
    <t>Deck, Foyer, Recreation Room, Storage, Utility Room-Lower Level, Walk In Closet</t>
  </si>
  <si>
    <t>Aluminum Siding, Brick, Stucco</t>
  </si>
  <si>
    <t>Lease Back Required</t>
  </si>
  <si>
    <t>9X3</t>
  </si>
  <si>
    <t>8X4</t>
  </si>
  <si>
    <t>16X5</t>
  </si>
  <si>
    <t>6X4</t>
  </si>
  <si>
    <t>2.5%- $295 (ON NET SP) (on Net SP)</t>
  </si>
  <si>
    <t>Ellen Baren</t>
  </si>
  <si>
    <t>(312) 804-1049</t>
  </si>
  <si>
    <t>312-804-1049</t>
  </si>
  <si>
    <t>USE SHOWING TIME . 24 HOUR NOTICE. NO SHOWINGS AFTER 7 PM</t>
  </si>
  <si>
    <t>Narragansett</t>
  </si>
  <si>
    <t>Harwood Heights</t>
  </si>
  <si>
    <t>Montrose to Narragansett. Go North, stay East at fork and gas station. This is one-way side street.</t>
  </si>
  <si>
    <t>HARWOOD HEIGHTS</t>
  </si>
  <si>
    <t>NORWOOD PARK</t>
  </si>
  <si>
    <t>45X128</t>
  </si>
  <si>
    <t>Senior, Senior Freeze</t>
  </si>
  <si>
    <t>Solid brick English in choice location of Harwood Heights. Spacious &amp; bright 4 bdrm home offers LR/DR combo, family room, 2 bdrms &amp; full bath on the main level.  Upstairs offers 2 good size bdrms w/ plenty of storage &amp; half bath.  Full finished basement with great bar for entertaining, possibility for 2nd kitchen, tons of storage and handyman work area.  Great location across from Dunham Park and close to shopping.</t>
  </si>
  <si>
    <t>UNION RIDGE ELEMENTARY SCHOOL</t>
  </si>
  <si>
    <t>RIDGEWOOD COMM HIGH SCHOOL</t>
  </si>
  <si>
    <t>Oven/Range, Dishwasher-Portable, Refrigerator, Washer, Dryer, Wine Cooler/Refrigerator</t>
  </si>
  <si>
    <t>American Realty Network Inc.</t>
  </si>
  <si>
    <t>(847) 302-7653</t>
  </si>
  <si>
    <t>Lynda Nagle</t>
  </si>
  <si>
    <t>(847) 302-9966</t>
  </si>
  <si>
    <t>Call listing agent at 847-302-9966</t>
  </si>
  <si>
    <t>Very recent upgrades include refinished hardwood floors in Living/Dining Room and both bedrooms on main level, freshly painted foyers.  Home is located on the quiet side street of Narragansett.  Listing agent related to seller.</t>
  </si>
  <si>
    <t>Mobile</t>
  </si>
  <si>
    <t>Caldwell to Touhy to Mobile</t>
  </si>
  <si>
    <t>150X100</t>
  </si>
  <si>
    <t>Wildwood School District recent rehab. 4 floors of living area, perfect for growing or large family. All bdrms are located on the 2nd floor with side-by-side Samsung washer/dryer. 1st floor living rm, dining rm, family rm, den/office. Media room on 4th floor. Full finished basement with flood control, large storage area. Dual zone HVAC. Side driveway and rear patio with fenced in backyard. This house is a must see!</t>
  </si>
  <si>
    <t>WILDWOOD ELEMENTARY SCHOOL</t>
  </si>
  <si>
    <t>27X15</t>
  </si>
  <si>
    <t>Den, Office, Recreation Room</t>
  </si>
  <si>
    <t>7X9</t>
  </si>
  <si>
    <t>39X17</t>
  </si>
  <si>
    <t>(773) 472-0200</t>
  </si>
  <si>
    <t>Christopher Norton</t>
  </si>
  <si>
    <t>(773) 490-0631</t>
  </si>
  <si>
    <t>Email chrisnorton@atproperties.com</t>
  </si>
  <si>
    <t>PRAIRIE CROSSING</t>
  </si>
  <si>
    <t>ENTER RAINTREE VILLAGE FROM RT. 126, S OF RT 71.</t>
  </si>
  <si>
    <t>RAINTREE VILLAGE</t>
  </si>
  <si>
    <t>VERON#168</t>
  </si>
  <si>
    <t>90X135</t>
  </si>
  <si>
    <t>Now priced to sell - Hurry!  Great location in Raintree Village - across from school &amp; playground! 2 story family room, hardwood floors, fireplace, 9' first floor ceilings, 1st floor den &amp; a finished basement with wet bar! New carpet &amp; fresh paint throughout! All this in a clubhouse community with onsite school  Bank owned.  Taxes pro-rated at 100%. No survey provided by seller.  No personal property included!</t>
  </si>
  <si>
    <t>Clubhouse, Park/Playground, Pool, Curbs/Gutters, Sidewalks, Street Lights</t>
  </si>
  <si>
    <t>Separate, Combined w/ LivRm</t>
  </si>
  <si>
    <t>Breakfast Room, Den</t>
  </si>
  <si>
    <t>Your Place Realty,  Inc.</t>
  </si>
  <si>
    <t>(630) 554-5700</t>
  </si>
  <si>
    <t>Craig Caffarello, BPOR,CNC,e-PRO,SFR</t>
  </si>
  <si>
    <t>(630) 898-8500</t>
  </si>
  <si>
    <t>Bayview Loan Servicing</t>
  </si>
  <si>
    <t>Bank owned. No survey or disclosures. Taxes pro-rated at 100%. Offers must be submitted on Res.net. Cut/paste the following URL: https://agent.res.net/submitoffer/?returnurl=%2fOffers.aspx%3f-971991</t>
  </si>
  <si>
    <t>WYTHE</t>
  </si>
  <si>
    <t>BRIDGE STREET TO WINDETT RIDGE</t>
  </si>
  <si>
    <t>THE GALVESTON</t>
  </si>
  <si>
    <t>80X140</t>
  </si>
  <si>
    <t>Beautiful Galveston. 2612 Sq Ft. Plan*4 Bedrooms PLUS Study*Soaring 2-Story Foyer w/Winding Staircase, Bkfast Bar &amp; Large Eating Area Adjoins Family Rm*Formal Living &amp; Dining Rms &amp; Study *Lg Master w/Private Bath*3 Add'l Bedrooms+Bath. Garden master bath, oak rails, full bsmt, 9' ceilings. Gorgeous lot with pond view and close to the walking paths. Do not miss out on this one.</t>
  </si>
  <si>
    <t>Breakfast Room, Den, Study, Utility Room-1st Floor</t>
  </si>
  <si>
    <t>5X5</t>
  </si>
  <si>
    <t>3%-$150 *4%-150 + $2000 CONTRACTS B4 11/30 W/2014 CLOSE. (on Net SP)</t>
  </si>
  <si>
    <t>Register Client Windett Ridge Sales Center</t>
  </si>
  <si>
    <t>Ryland Homes</t>
  </si>
  <si>
    <t>**CC on contracts written before 10/31 and closing in 2014*** Price reflected is using builders lender***  EVEN IF YOUR CLIENT HAS PREVIOUSLY VISITED A RYLAND COMMUNITY, PLEASE CONTACT THE LIST AGENT OR RYLAND REPRESENTATIVE. CC ON BASE.</t>
  </si>
  <si>
    <t>5th</t>
  </si>
  <si>
    <t>Route 25, E on S 5th, N to property</t>
  </si>
  <si>
    <t>100 X 50</t>
  </si>
  <si>
    <t>Wonderful opportunity to live in downtown St Charles!! With 3 bedrooms, large kitchen and living room upstairs &amp; bedroom, office and rec room with bar area downstairs it is large enough for all of your needs. This home also has a fenced in backyard and two car attached garage. Walking distance to river, restaurants and all that downtown has to offer.</t>
  </si>
  <si>
    <t>23X10</t>
  </si>
  <si>
    <t>30X19</t>
  </si>
  <si>
    <t>Water-Softener Owned, TV-Cable, CO Detectors, Ceiling Fan</t>
  </si>
  <si>
    <t>3%-$200 (on Net SP)</t>
  </si>
  <si>
    <t>Judith Joss</t>
  </si>
  <si>
    <t>(630) 513-3171</t>
  </si>
  <si>
    <t>855-746-9093</t>
  </si>
  <si>
    <t>Needs a little TLC and finishing but a great house</t>
  </si>
  <si>
    <t>Paxton</t>
  </si>
  <si>
    <t>TAKE 77TH STREET TO PAXTON</t>
  </si>
  <si>
    <t>This beautiful, recently rehabbed 4 bedroom, 2 1/2 bathroom brick bungalow has been polished, upgraded and improved in every way! The gorgeous kitchen boasts stainless steel appliances, granite counters and upgraded cabinets. With gleaming hardwood floors, a finished basement and so much more, it's a must see!</t>
  </si>
  <si>
    <t>25X13</t>
  </si>
  <si>
    <t>6X21</t>
  </si>
  <si>
    <t>Marmora</t>
  </si>
  <si>
    <t>East of Austin, West of Central. 1 way Southbound off of Elston</t>
  </si>
  <si>
    <t>27 X 118</t>
  </si>
  <si>
    <t>PLENTY OF ROOM IN THIS LARGE CHECKERBOARD BRICK BUNGALOW. LEADED STAINED GLASS WINDOWS. MAIN FLR 4TH BR W/ FULL BATH. NEWER APPLS, GRANITE CNTRS, GLASS BKSPLASH, EAT IN KITCHEN OPEN TO FAMILY RM. MBR ENSUITE W/ TRAY CEILINGS, ARCHED WINDOWS, 2 WALK IN CLSTS, FRENCH DRS, DOUBLE VANITY, JACUZZI &amp; SEP SHOWER. DUAL HVAC, 2 WATER HTRS, NEWER PLMBG, ELECTCL, WINDOWS. PAVER PATIO, NEW ROOF &amp; FENCE, 2 DR GARAGE W/ SIDE DRIVE</t>
  </si>
  <si>
    <t>Oven-Double, Oven/Range, Microwave, Dishwasher, Refrigerator, Washer, Dryer</t>
  </si>
  <si>
    <t>Corner, Fenced Yard, Landscaped Professionally</t>
  </si>
  <si>
    <t>Mud Room, Recreation Room, Workroom</t>
  </si>
  <si>
    <t>Vaulted/Cathedral Ceilings, Hardwood Floors, 1st Floor Bedroom, 1st Floor Full Bath</t>
  </si>
  <si>
    <t>Brick Paver Patio</t>
  </si>
  <si>
    <t>8X14</t>
  </si>
  <si>
    <t>22X28</t>
  </si>
  <si>
    <t>2.5% -$250 (on Net SP)</t>
  </si>
  <si>
    <t>(773) 775-1855</t>
  </si>
  <si>
    <t>Nicole Hajdu, ABR,BPOR,SFR</t>
  </si>
  <si>
    <t>(773) 727-2199</t>
  </si>
  <si>
    <t>Call Showing Desk 855-746-9100 to schedule an appt</t>
  </si>
  <si>
    <t>Google Maps Shows Pool That Has Been Taken Out.</t>
  </si>
  <si>
    <t>Kyra</t>
  </si>
  <si>
    <t>Rte 20 W to Nesler( Left) to Gansett( Left) to Pawtucket((Right) to Stratton( Right) to sales office</t>
  </si>
  <si>
    <t>REMINGTON MEADOWS</t>
  </si>
  <si>
    <t>ARLINGTON</t>
  </si>
  <si>
    <t>80 X 125</t>
  </si>
  <si>
    <t>This home is complete with 4 large bedrooms and second floor loft. Home features a master bedroom with dual closets and luxury bath. Country kitchen includes a 6 ft island and a triple slider to make the home very light .Laminate hardwood throughout first floor, ceramic in master. Walkout basement is ready for finishing and includes rough in. This popular home offers so much space  for those that love to entertain.</t>
  </si>
  <si>
    <t>OTTER CREEK ELEMENTARY SCHOOL</t>
  </si>
  <si>
    <t>SOUTH ELGIN HIGH SCHOOL</t>
  </si>
  <si>
    <t>18X24</t>
  </si>
  <si>
    <t>13X20</t>
  </si>
  <si>
    <t>Energy Efficient Package, Garage, Hardwood/Ceramic Floors, Oak Trim/Oak Staircase, Upgrade Carpet/Pad/Vinyl, Upgraded Siding</t>
  </si>
  <si>
    <t>TV-Cable, CO Detectors, Ceiling Fan, Sump Pump, Air Exchanger, Radon Mitigation System(s)</t>
  </si>
  <si>
    <t>Bonus, Breakfast Room</t>
  </si>
  <si>
    <t>Wood Laminate Floors, 2nd Floor Laundry</t>
  </si>
  <si>
    <t>Realtor.com</t>
  </si>
  <si>
    <t>Chris Naatz</t>
  </si>
  <si>
    <t>(847) 521-6251</t>
  </si>
  <si>
    <t>Christopher Naatz</t>
  </si>
  <si>
    <t>(847) 984-4523</t>
  </si>
  <si>
    <t>Sales office open Tues to Sun  10 AM to 6PM , Mon 11AM to 6PM. Office located at 3301 Stratton St</t>
  </si>
  <si>
    <t>D.R. Horton</t>
  </si>
  <si>
    <t>Please call 847-984-4616 to schedule a showing. We are located at 3301 Stratton Street, Elgin. We are open 10AM to 6PM ,Tuesday thru Sun and 11AM to 6PM Mon from 1PM to 6PM. Please ask about financing incentives for using builder's lender</t>
  </si>
  <si>
    <t>62nd</t>
  </si>
  <si>
    <t>61st St to Ellis to 62nd St. East to property.</t>
  </si>
  <si>
    <t>GRAY-STONE ROWHOME</t>
  </si>
  <si>
    <t>SOLD by Hasani Call for others. 4BR/3.1BA Richly Appointed Graystone Rowhome. Stained Hardwood, Elegant Trim Details thruout. Stainless Granite Chefs Kitchen w/xtra 12" Lighted Upper Cabs,Hood,&amp; Built In Microwave. Master Suite w/Luxurious Jaw Dropping Marble Rain Shower Spa, Dual Vanities, Beautiful Mosaics &amp; Designer Chrome. Comfortably  BBQ on XL Deck. Cozy Family Rm w/2nd Entrance, Suite, Bath, Laundry,&amp;Storage.</t>
  </si>
  <si>
    <t>11X14</t>
  </si>
  <si>
    <t>10X16</t>
  </si>
  <si>
    <t>18X9</t>
  </si>
  <si>
    <t>Park/Playground, Curbs/Gutters, Gated Entry, Sidewalks, Street Lights, Street Paved</t>
  </si>
  <si>
    <t>Whirlpool, Separate Shower, Double Sink, Full Body Spray Shower</t>
  </si>
  <si>
    <t>Security System, CO Detectors, Ceiling Fan, Sump Pump</t>
  </si>
  <si>
    <t>Deck, Storage</t>
  </si>
  <si>
    <t>Row House</t>
  </si>
  <si>
    <t>5X11</t>
  </si>
  <si>
    <t>2.5% - $325.00 (ON NET SP) (on Net SP)</t>
  </si>
  <si>
    <t>RE/MAX Premier Properties</t>
  </si>
  <si>
    <t>(312) 475-1717</t>
  </si>
  <si>
    <t>Hasani Steele</t>
  </si>
  <si>
    <t>(877) 724-0070</t>
  </si>
  <si>
    <t>Showing Assist Only (24 Hour Notice)</t>
  </si>
  <si>
    <t>This home does not have a garage. Please note there is permitted reserved parking on Northside of 62nd for dedicated parking for this home.  Appraisers call with questions this was across from large apartment rental; very dense block.</t>
  </si>
  <si>
    <t>0N611</t>
  </si>
  <si>
    <t>Keenan</t>
  </si>
  <si>
    <t>Keslinger W of Randall To Prairie Clover To Berquist To Keenan To Home</t>
  </si>
  <si>
    <t>MILL CREEK OAKMONT</t>
  </si>
  <si>
    <t>82 X 123</t>
  </si>
  <si>
    <t>Better Than New!! 2 Story FR w/ FP. Kitchen has Island, Granite Counters, SS Appliances All Stay, &amp; Staggered Cabinets w/ Backsplash. MBR has Tray Ceiling &amp; Master Bath w/ Separate Shower, Double Sinks, &amp; WI Closet. Fully Fenced Yard w/ Huge Stamped Concrete Patio. Office on Main Level. Hardwood Floors, Transom Pella Windows, Pantry Closet, Full Basement, 3 Car Garage, Covered Front Porch. Much More. Geneva Schools.</t>
  </si>
  <si>
    <t>17X19</t>
  </si>
  <si>
    <t>Clubhouse, Park/Playground, Tennis Courts, Curbs/Gutters, Sidewalks, Street Lights</t>
  </si>
  <si>
    <t>Patio, Stamped Concrete Patio</t>
  </si>
  <si>
    <t>Century 21 Pride Realty</t>
  </si>
  <si>
    <t>(815) 469-4700</t>
  </si>
  <si>
    <t>Jim Sim, GRI,SFR,SRS</t>
  </si>
  <si>
    <t>(708) 337-0820</t>
  </si>
  <si>
    <t>Very Clean Home That is Well Maintained.  Great Home for the Price.</t>
  </si>
  <si>
    <t>Kruger</t>
  </si>
  <si>
    <t>Enter from Elston Ave. only</t>
  </si>
  <si>
    <t>Mayfair brick ranch. Cleaned and ready to move in. Cul-de-Sac street with no through traffic. easy access to Interstates 94. Convenient location. Home has newer roof, bath and decorating. Finished basement.  2-car garage. Priced to sell. Priced to sell now.</t>
  </si>
  <si>
    <t>14X26</t>
  </si>
  <si>
    <t>2.5% -225 (on Net SP)</t>
  </si>
  <si>
    <t>Lichter Realty, Inc.</t>
  </si>
  <si>
    <t>(773) 463-0501</t>
  </si>
  <si>
    <t>William Gibbons</t>
  </si>
  <si>
    <t>(773) 286-5480</t>
  </si>
  <si>
    <t>773-286-5480</t>
  </si>
  <si>
    <t>call LA</t>
  </si>
  <si>
    <t>Brick ranch, 3BR, priced to sell. Needs some work. 203k</t>
  </si>
  <si>
    <t>Eddy</t>
  </si>
  <si>
    <t>Mlwaukee to Pulaski to Eddy</t>
  </si>
  <si>
    <t>41X125</t>
  </si>
  <si>
    <t>Avondale/Old Irving. Nicely renovated single-family on wide 41' lot. Open living dining kitchen with skylit breakfast area. dark mocha floors, white raised-panel cabs, granite &amp; stainless with custom built-in seating. stone baths. bathed in light. tech wire, Nest thermost, huge yard, deck w/built-in stainless grill. two-car garage. excellent location on very pretty block - walk to blue L, Metra &amp; xway off/on blocks.</t>
  </si>
  <si>
    <t>14X09</t>
  </si>
  <si>
    <t>Finished, Full, Interior Stair</t>
  </si>
  <si>
    <t>Deck, Patio, Grill-Outdoors</t>
  </si>
  <si>
    <t>16X08</t>
  </si>
  <si>
    <t>(773) 432-0200</t>
  </si>
  <si>
    <t>Richard Anselmo</t>
  </si>
  <si>
    <t>(312) 953-0150</t>
  </si>
  <si>
    <t>email lister</t>
  </si>
  <si>
    <t>Broering</t>
  </si>
  <si>
    <t>seller motivated. we had a deal w tnt that fell - reportedly asbestos siding under aluminum and non-apparent issue with brk room foundation (a converted porch) please have a qualified professional analyze as seller has not.</t>
  </si>
  <si>
    <t>Foster</t>
  </si>
  <si>
    <t>Foster Ave west of Pulaski, east of Cicero</t>
  </si>
  <si>
    <t>29X126</t>
  </si>
  <si>
    <t>In the family for many years, this attractive brick Bungalow sits across the street, facing the park! Hardwood floors under carpet in LR, DR &amp; 2 first floor bedrooms. Replaced windows, nicely finished enclosed back porch. Two full baths, one being in a wide open, partial finished basement. The home has been well maintained thru the years. 2 car garage &amp; 2 blocks to school. Lovely views of the park from window.</t>
  </si>
  <si>
    <t>PALMER ELEMENTARY SCHOOL</t>
  </si>
  <si>
    <t>Forest Preserve Adjacent</t>
  </si>
  <si>
    <t>Enclosed Porch, Recreation Room</t>
  </si>
  <si>
    <t>18X6</t>
  </si>
  <si>
    <t>(847) 823-4144</t>
  </si>
  <si>
    <t>Patricia Huston</t>
  </si>
  <si>
    <t>(847) 650-4878</t>
  </si>
  <si>
    <t>Call 866-571-7181</t>
  </si>
  <si>
    <t>Mango</t>
  </si>
  <si>
    <t>Higgins east of Austin to Mango, South to Home</t>
  </si>
  <si>
    <t>28X124X70X131</t>
  </si>
  <si>
    <t>SPACIOUS BRICK ENGLISH ON LARGE CORNER LOT. REMODELED 2ND FLOOR, FINISHED BASEMENT &amp; 3 FULL BATHS. 2 BEDROOMS ON MAIN FLOOR, HARDWOOD FLOORS THRUOUT. SEPARATE DINING ROOM. LARGE FAMILY ROOM W/2ND KITCHEN. TONS OF STORAGE. HUGE DECK OFF SUN ROOM, FENCED YARD, &amp; 2-CAR GRG. CLOSE TO JEFFERSON PARK, BUS &amp; TRAIN STATIONS, MILWAUKEE AVE RESTAURANTS. IDEAL LOCATION ON QUIET STREET. SOLD AS-IS.</t>
  </si>
  <si>
    <t>PRUSSING ELEMENTARY SCHOOL</t>
  </si>
  <si>
    <t>Microwave, Dishwasher, Dishwasher-Portable, High End Refrigerator, Refrigerator-Bar, Freezer, Washer, Dryer, Disposal, Compactor-Trash, Grill-Indoor, All Stainless Steel Kitchen Appliances, Wine Cooler/Refrigerator</t>
  </si>
  <si>
    <t>Vaulted/Cathedral Ceilings, Skylight(s), Hardwood Floors, 1st Floor Bedroom, In-Law Arrangement, 1st Floor Full Bath</t>
  </si>
  <si>
    <t>Deck, Porch, Pool Above Ground</t>
  </si>
  <si>
    <t>Tudor</t>
  </si>
  <si>
    <t>Melissa Dondalski</t>
  </si>
  <si>
    <t>(312) 632-0380</t>
  </si>
  <si>
    <t>Please use Showing Assist, Easy to Show!</t>
  </si>
  <si>
    <t>Please use Showing Assist, Easy to Show!    PROPERTY NOW VACANT, BEING SOLD AS IS</t>
  </si>
  <si>
    <t>Douglas</t>
  </si>
  <si>
    <t>On Douglas Road just past Plainfield Road</t>
  </si>
  <si>
    <t>174,178.5 SQ FT</t>
  </si>
  <si>
    <t>Included with this 4 acres of land is a 2,462 sq ft, 4 bedroom home AND a 2,040 sq ft out building!  The home has 2 fireplaces, 2 full bathrooms, 1 half bath, a spacious kitchen with a large eating area, living room, dining room &amp;  family room. The home has a full basement, 2 car, oversized, 696 sq ft attached garage, a backyard shed &amp; your very own pond! So much to see -  just waiting for you to make it your own!</t>
  </si>
  <si>
    <t>GRANDE PARK ELEMENTARY SCHOOL</t>
  </si>
  <si>
    <t>MURPHY JUNIOR HIGH SCHOOL</t>
  </si>
  <si>
    <t>OSWEGO EAST HIGH SCHOOL</t>
  </si>
  <si>
    <t>Oven/Range, Microwave, Dishwasher</t>
  </si>
  <si>
    <t>Pond</t>
  </si>
  <si>
    <t>4.0-4.99 Acres</t>
  </si>
  <si>
    <t>Water-Softener Owned</t>
  </si>
  <si>
    <t>Deck, Porch, Storage Shed, Horse Barn/Pole Barn</t>
  </si>
  <si>
    <t>2.5% - $150 (on Net SP)</t>
  </si>
  <si>
    <t>(630) 778-1855</t>
  </si>
  <si>
    <t>Carol Guist</t>
  </si>
  <si>
    <t>(630) 244-6808</t>
  </si>
  <si>
    <t>CELL: 630-244-6808</t>
  </si>
  <si>
    <t>CALL THE BAIRD &amp; WARNER APPOINTMENT CENTER @ 855-746-9100</t>
  </si>
  <si>
    <t>Home &amp; out bldg carry sep PIN's but are being sold together. Both zoned R3. PIN for home, shed &amp; 1 acre: 03-34-201-009. PIN for out bldg, pond &amp; 3 acres: 03-34-251-001. The Lot/property sz is a combo of both PIN's. Taxes include both PIN's.</t>
  </si>
  <si>
    <t>Bishop</t>
  </si>
  <si>
    <t>Ashland South to 80th, East to Bishop, South to Address</t>
  </si>
  <si>
    <t>33X126</t>
  </si>
  <si>
    <t>BRING ALL OFFERS! Holiday Sale: $3000 credit at closing for buyer w/FULL ask offer. Full rehab, Classic Chicago bungalow! New everything. Hardwood flrs throughout 1st fl. Living, dining room &amp; kitchen comprise 1st level. Decorative fireplace in front room. Kitchen features all new upgrades - SS appliances. Master bdrm located on 2nd level, welcomed by extra wide staircase. Bsmt has huge family room and additional bdr</t>
  </si>
  <si>
    <t>15X55</t>
  </si>
  <si>
    <t>13X23</t>
  </si>
  <si>
    <t>23X21</t>
  </si>
  <si>
    <t>Galley, Pantry-Closet, Pantry-Walk-in</t>
  </si>
  <si>
    <t>Oven/Range, Refrigerator, All Stainless Steel Kitchen Appliances</t>
  </si>
  <si>
    <t>Enclosed Porch, Storage</t>
  </si>
  <si>
    <t>8X21</t>
  </si>
  <si>
    <t>(312) 491-0200</t>
  </si>
  <si>
    <t>Pedro Castaneda</t>
  </si>
  <si>
    <t>(773) 416-4285</t>
  </si>
  <si>
    <t>$2,000 BROKER BONUS w approved contract accepted before 12/31/14. If CASH, Any REASONABLE offer will be ACCEPTED.  AC unit not included in sale, but system is hooked up for unit. Great opp as investment too. Seller very motivated</t>
  </si>
  <si>
    <t>Wood</t>
  </si>
  <si>
    <t>103rd Street to Wood (between Longwood Drive and Vincennes) south to home.</t>
  </si>
  <si>
    <t>61X125</t>
  </si>
  <si>
    <t>Newer mechanicals and roof. Hardwood floors under carpet. Huge lot and large garage off alley. Great floor plan and neighborhood, within walking distance to shopping and Metra. Home lends itself to gracious family living. Second kitchen/in-law/related living on second floor can be updated or modified into bedrooms. All brick. Fireplace in living room. Property being sold in "as-is" condition, but move in ready.</t>
  </si>
  <si>
    <t>Interstate Access, Historical District</t>
  </si>
  <si>
    <t>Hardwood Floors, 1st Floor Bedroom, In-Law Arrangement, 1st Floor Full Bath</t>
  </si>
  <si>
    <t>RE/MAX Professionals Select</t>
  </si>
  <si>
    <t>(630) 904-6400</t>
  </si>
  <si>
    <t>David Shallow</t>
  </si>
  <si>
    <t>(630) 615-2870</t>
  </si>
  <si>
    <t>CSS 877-977-1010 No one day codes. No exceptions.</t>
  </si>
  <si>
    <t>All buyers must be accompanied by their own agent. No one day codes; no exceptions. Please download realtor instructions and disclosures.  No FHA or VA offers accepted.  Requesting highest and best offers by 5:00 PM, Thursday 10/30</t>
  </si>
  <si>
    <t>Litchfield</t>
  </si>
  <si>
    <t>Wolf's Crossing west of Douglas to Southbury Blvd, south to Litchfield.</t>
  </si>
  <si>
    <t>Spring Gate At Southbury</t>
  </si>
  <si>
    <t>HAMPTON</t>
  </si>
  <si>
    <t>147X76</t>
  </si>
  <si>
    <t>Buyers financing fell through,, Semi Custom Home on Premium lot ~ Club House Community~  2 Story Entrance and FR~ Gourmet Eat in  Kitchen offers: Island, Maple Cabinets &amp; Corian Counters  French Doors over looking Pond View~ Family Room has Beautiful Fire Place Vaulted Ceilings~Master Bedroom with Luxury Bath and 2 Walk in Closets~ Great deck ~ Fenced Yard ~ Close to Shopping and Transportation.</t>
  </si>
  <si>
    <t>23X17</t>
  </si>
  <si>
    <t>Clubhouse, Pool</t>
  </si>
  <si>
    <t>2.5-$150.00 (on Net SP)</t>
  </si>
  <si>
    <t>(815) 609-4360</t>
  </si>
  <si>
    <t>Christina Nenoff</t>
  </si>
  <si>
    <t>John &amp; Yvonne Sutton</t>
  </si>
  <si>
    <t>Home shows Beautiful, Please don't let Friendly Cat out</t>
  </si>
  <si>
    <t>Cicero to Palmer, East on Palmer to Keating, North on Keating to property.</t>
  </si>
  <si>
    <t>Opportunity abounds at this 4 bedroom home in Belmont Cragin! Bring your ideas and truly make this house your own. Over 1300SF plus a partial basement provide plenty of flexible living space. This property also has a detached garage and backyard for your enjoyment. This is a Fannie Mae HomePath Property.</t>
  </si>
  <si>
    <t>Well-Shared</t>
  </si>
  <si>
    <t>Aluminum Siding, Vinyl Siding, Steel Siding</t>
  </si>
  <si>
    <t>3% OR $1000, WHICHEVER IS GREATER. (on Net SP)</t>
  </si>
  <si>
    <t>Krain</t>
  </si>
  <si>
    <t>(773) 235-0111</t>
  </si>
  <si>
    <t>John Federici</t>
  </si>
  <si>
    <t>Keys at LO. Call LO: 773-235-0111. See additional documents for permitted access.</t>
  </si>
  <si>
    <t>This is a Fannie Mae HomePath property. Please submit all offers through homepath.com. See additional documents for permitted access. MULTIPLE OFFERS RECEIVED. HIGHEST AND BEST DUE 12/9</t>
  </si>
  <si>
    <t>Palmer</t>
  </si>
  <si>
    <t>California to Palmer. West to 2858.</t>
  </si>
  <si>
    <t>25X100</t>
  </si>
  <si>
    <t>Stylish renovation. 3100 sq ft single family home located in prime Logan Square. Tons of sunlight on all 3 levels. Open living /dining room w/coffered ceilings, modern white kitchen w/adjoining family room. Big deck. Center stairwell w/ a wall of west facing windows. Huge Master suite. 2nd fl. laundry. Dual HVAC, Hardy siding, new water service, flood protection, huge rec room, walk out basement. 90% new.</t>
  </si>
  <si>
    <t>20X8</t>
  </si>
  <si>
    <t>Office, Recreation Room, Utility Room-Lower Level, Walk In Closet</t>
  </si>
  <si>
    <t>Travertine</t>
  </si>
  <si>
    <t>4X3</t>
  </si>
  <si>
    <t>14X6</t>
  </si>
  <si>
    <t>Seth Vamos</t>
  </si>
  <si>
    <t>(773) 704-0123</t>
  </si>
  <si>
    <t>sv@atproperties.com</t>
  </si>
  <si>
    <t>Garage and final touches to be added once under contract. See additional info for floor plans.</t>
  </si>
  <si>
    <t>Elizabeth</t>
  </si>
  <si>
    <t>87TH TO ELIZABETH, ONE WAY NORTH TO PROPERTY ADDRESS.</t>
  </si>
  <si>
    <t>BRING YOUR IDEAS AND UPDATES TO THIS SOLID BRICK 4 BED, 2 BATH BUNGALOW IN AUBURN-GRESHAM. HOME FEATURES CENTRAL AIR, FORCED AIR FURNACE, 1ST FLOOR BEDROOMS AND A FINISHED BASEMENT. This property is now under auction terms. Pre-sale bids should be submitted through â€œAuction dot comâ€_x009d_.  This property is subject to a 5% buyerâ€™s premium pursuant to the Auction Terms &amp; Conditions (minimums may apply).</t>
  </si>
  <si>
    <t>20X22</t>
  </si>
  <si>
    <t>1 % OR $400 MINIMUM (on Gross SP)</t>
  </si>
  <si>
    <t>THIS IS A FANNIE MAE HOMEPATH PROPERTY. Now under auction terms. Pre-sale bids should be submitted through Auction.com.  This property is subject to a 5% buyerâ€™s premium pursuant to the Auction Terms &amp; Conditions (minimums may apply).</t>
  </si>
  <si>
    <t>HOWARD</t>
  </si>
  <si>
    <t>MILWAUKEE TO HOWARD AND WEST TO ADDRESS</t>
  </si>
  <si>
    <t>28 X 125</t>
  </si>
  <si>
    <t>Immaculate recently remodeled Edison Park home! Hardwood and ceramic floors throughout. Great 1st floor offers big inviting LR, 3 BR, and large eat-in Kit with SS appliances and 42" cabinets. Full finished basement has 4th BR/Office + large family room, laundry, sump pump &amp; walkout. Upgraded bath on each level. Fully fenced yard. Low taxes. 2-car garage w easy street access. Shows like a model. Move-in ready.</t>
  </si>
  <si>
    <t>EBINGER ELEMENTARY SCHOOL</t>
  </si>
  <si>
    <t>30X13</t>
  </si>
  <si>
    <t>Water Rights, Curbs/Gutters, Sidewalks, Street Lights, Street Paved</t>
  </si>
  <si>
    <t>Oven/Range, Refrigerator, Washer, Dryer, Disposal, All Stainless Steel Kitchen Appliances</t>
  </si>
  <si>
    <t>TV-Dish, CO Detectors, Ceiling Fan, Sump Pump</t>
  </si>
  <si>
    <t>Owner May Help/Assist</t>
  </si>
  <si>
    <t>Chuck Shields</t>
  </si>
  <si>
    <t>(773) 631-6464</t>
  </si>
  <si>
    <t>Easy  to show. Call Chuck Shields 312-259-4663. If leaving a voice msg, include MLS ID</t>
  </si>
  <si>
    <t>Owner OF Record</t>
  </si>
  <si>
    <t>Re-listing is due to the buyer's financing. A delight to show!</t>
  </si>
  <si>
    <t>Sacramento</t>
  </si>
  <si>
    <t>East/West on Montrose to Sacramento, south to address</t>
  </si>
  <si>
    <t>NORTH CHICAGO</t>
  </si>
  <si>
    <t>*ANOTHER ENZI GROUP PROPERTY* Bring your decorator or developer to this charming century old Cottage that's waiting for your ideas to make it the home you've always wanted. The professionally landscaped yard is the best on the block, ready to entertain or showcase your green thumb. With 2 beds on the second floor and 2 in the finished basement you have ample space. Check the comps, its a steal! Sold As/Is. Come Home</t>
  </si>
  <si>
    <t>12X18</t>
  </si>
  <si>
    <t>Patio, Brick Paver Patio, Storms/Screens</t>
  </si>
  <si>
    <t>Conventional, FHA, Cash Only</t>
  </si>
  <si>
    <t>2% MINUS $150 (on Net SP)</t>
  </si>
  <si>
    <t>Timothy Miller</t>
  </si>
  <si>
    <t>(773) 531-0974</t>
  </si>
  <si>
    <t>Call LA, 24 hr notice rqrd no exception, LA must accompany. Showings available 10-6 M-F, 10-2 Sa-Su</t>
  </si>
  <si>
    <t>Not a short sale or foreclosure. Sold As/Is. No survey, termite or disclosure provided. Conventional or cash preferred. FHA 203K only(No 203b). Showing must be accompanied by Listing Agent, 24 hour notice required.</t>
  </si>
  <si>
    <t>Sangamon</t>
  </si>
  <si>
    <t>HALSTED TO 73RD, 73RD TO SANGAMON TO PROPERTY</t>
  </si>
  <si>
    <t>VACANT EASY TO SHOW////BANK OWNED/FORECLOSED/ SOLD AS IS/NO SURVEY/NO DISCLOSURES/TAXES PRORATED AT 100%/NO TERMITE/ PROVIDE PROOF OF FUNDS WITH ALL OFFERS/PROVIDE A COPY OF A EARNEST MONEY CHECK CERTIFIED FUNDS MADE PAYABLE TO (SEE PARAGRAPH 3 OF SELLERS CONTRACT) MINIMUM EARNEST MONEY $2,500.</t>
  </si>
  <si>
    <t>2.5% OR $1,000. WHICHEVER IS GREATER (on Net SP)</t>
  </si>
  <si>
    <t>Progressive Real Estate Solutions</t>
  </si>
  <si>
    <t>(773) 241-1282</t>
  </si>
  <si>
    <t>Patrick Schaeffer</t>
  </si>
  <si>
    <t>OWNER(S) OF RECORD</t>
  </si>
  <si>
    <t>EMAIL OFFER: agcy@sbcglobal.net download contract under additional information.</t>
  </si>
  <si>
    <t>Bristol</t>
  </si>
  <si>
    <t>rt 68 to wakefield to bristol</t>
  </si>
  <si>
    <t>46X110X153X167</t>
  </si>
  <si>
    <t>Great Raise Ranch with a Four Bedrooms, 1.5 baths, Two Cars attach garage and a wood burning fireplce.</t>
  </si>
  <si>
    <t>Juan Dominguez</t>
  </si>
  <si>
    <t>(847) 429-4237</t>
  </si>
  <si>
    <t>to make an offer copy &amp; paste to your browser:https://agent.res.net/Offers.aspx?-987899"All borrowers MUST be pre-qualified with Todd Bugbee (NMLS #900960) of PennyMac Loan Services, LLC. (NMLS #968858)  [805-330-4716, todd.bugbee@pnmac.com</t>
  </si>
  <si>
    <t>Route 34 to Cannonball South to Independence to Home</t>
  </si>
  <si>
    <t>WALK OUT RANCH</t>
  </si>
  <si>
    <t>81X148</t>
  </si>
  <si>
    <t>STUNNING Custom Built Ranch On Finished Walk-Out Basement Backing Gorgeous Wooded Setting With 3 Car Garage In Cimmaron Ridge! 4 Bedrooms, Plus 1st Fl Den, 3 Full Baths! Offering a SHOWSTOPPING Gourmet Kitchen for Entertaining! Open Floorplan to Fam Rm and Awesome Screened In Porch! Luxury Master Ste! Plus Fin Bsmt w/ Rec Room, Media Rm, Bdrms, Bath &amp; 2nd Utl! TRULY the Best in Ranch Living Under 300K in Yorkville!!!</t>
  </si>
  <si>
    <t>23X22</t>
  </si>
  <si>
    <t>Separate Shower, Double Sink, Full Body Spray Shower</t>
  </si>
  <si>
    <t>Humidifier, Water-Softener Owned, TV-Dish, CO Detectors, Ceiling Fan, Sump Pump</t>
  </si>
  <si>
    <t>Bonus, Den, Eating Area, Mud Room, Screened Porch, Utility Room-Lower Level</t>
  </si>
  <si>
    <t>Deck, Patio, Porch Screened, Storms/Screens</t>
  </si>
  <si>
    <t>Walk-Out Ranch</t>
  </si>
  <si>
    <t>28X10</t>
  </si>
  <si>
    <t>Melissa Garcia</t>
  </si>
  <si>
    <t>(630) 391-4830</t>
  </si>
  <si>
    <t>Call Showing Time 855-919-0376</t>
  </si>
  <si>
    <t>TRULY EXCEPTIONAL!  This is a one-of-a-kind opportunity!  2nd PIN is #  Parcel 02-29-130-015 - lot size 10x81 Taxes reflect total taxes for 2013  Please see MLS for list of Upgrades and Amenities  This is a MUST SEE PROPERTY!</t>
  </si>
  <si>
    <t>Pepper Valley</t>
  </si>
  <si>
    <t>Kaneville to Cambridge (just E of Randall) go N to Pepper Valley Dr, turn R, 1st house.</t>
  </si>
  <si>
    <t>PEPPER VALLEY</t>
  </si>
  <si>
    <t>160 X 120</t>
  </si>
  <si>
    <t>PRIVATE, CONVENIENT AND AFFORDABILITY USUALLY DON'T GO TOGETHER BUT THEY DO HERE!  NO NEIGHBORS ON EITHER SIDE! THIS PEPPER VALLEY HOME BOASTS RICH HARDWOOD FLOORS, A HUGE MASTER SUITE WITH UPDATED MASTER BATH &amp;  A .44 ACRE LOT. NEIGHBORHOOD POOL, TENNIS COURTS &amp; CLUBHOUSE PROVIDES FUN FOR EVERYONE. CLOSE TO DELNOR AND RANDALL RD SHOPPING. HIGHLY RATED GENEVA SCHOOLS - LIVE HERE AND BE PART OF EVERYTHING GENEVA!</t>
  </si>
  <si>
    <t>Humidifier, Water-Softener Owned</t>
  </si>
  <si>
    <t>Office, Recreation Room</t>
  </si>
  <si>
    <t>Patio, Porch, Storage Shed</t>
  </si>
  <si>
    <t>Wood Burning Stove, Gas Logs, Gas Starter</t>
  </si>
  <si>
    <t>14X08</t>
  </si>
  <si>
    <t>30X30</t>
  </si>
  <si>
    <t>CALL CENTRALIZED SHOWING 877-977-1010</t>
  </si>
  <si>
    <t>PLEASE REFER ALL QUESTIONS AND OFFERS TO CO-LIST LAUREN SMITH 630-301-8044</t>
  </si>
  <si>
    <t>Mather</t>
  </si>
  <si>
    <t>Batavia</t>
  </si>
  <si>
    <t>PINE ST TO FOREST AVE TO MATHER LN</t>
  </si>
  <si>
    <t>BATAVIA</t>
  </si>
  <si>
    <t>142X83</t>
  </si>
  <si>
    <t>ENJOY THIS 4 BEDROOM 2.5 BATHROOM LOCATED NEAR BIGWOODS PARK.  SPACIOUS FLOOR PLAN, GREAT SIZED ROOMS, LARGE BACKYARD WITH DECK, 2 CAR GARAGE - THE LIST GOES ON! ALL INFO IS APPROX AND ESTIMATED.  SOLD AS IS. TAXES ARE PRORATED AT 100%. BUYER RESPONSIBLE FOR SURVEY, TRANSFER STAMPS, INSPECTIONS, UTILITIES AND ESCROWS. ADDENDUMS TO FOLLOW ACCEPTANCE OF OFFER.</t>
  </si>
  <si>
    <t>Smith Partners &amp; Associates Inc</t>
  </si>
  <si>
    <t>(630) 810-9260</t>
  </si>
  <si>
    <t>Coya Smith</t>
  </si>
  <si>
    <t>FAX 630-810-9782</t>
  </si>
  <si>
    <t>VERBALLY ACCEPTED OFFER 12/30/2014 PLEASE SUBMIT ALL OFFERS TO OFFERS@SMITHREO.COM / MUST INCLUDE PROOF OF FUNDS.ALL PRE-APPROVED OFFERS MUST BE PRE-APPROVED THROUGH BARBARA JACOBSON / barbara.jacobsen@caliberhomeloans.com, PH: 847-204-9332</t>
  </si>
  <si>
    <t>Cicero Ave S or N to 61st St East to Keating S to property.</t>
  </si>
  <si>
    <t>SPECTACULAR DESIGNED REHAB. GUTTED TO THE STUDS. GIGANTIC BRICK BUNGALOW. NEWLY SAND BLASTED &amp; TUCK POINT, NEW ROOF, WINDOWS, HVAC, PLUMBING, ELECTRIC, BUILT IN WIFI &amp; CABLE. NEW H/W FLOORS, CUSTOM CHAIR RAILS, RECESSED LIGHTING. ALL 2 BATHS EUROPEAN DESIGNED W/ GLASS SINKS. GOURMET KITCHEN W/ CHERRY CABINETS, EURO ISLAND ALL GRANITE &amp; GLASS BACK SPLASH. TOO MUCH TO LIST. YOU HAVE TO SEE IT TO BELIEVE IT!!</t>
  </si>
  <si>
    <t>13X26</t>
  </si>
  <si>
    <t>12X17</t>
  </si>
  <si>
    <t>20X26</t>
  </si>
  <si>
    <t>Whirlpool, Double Sink, Full Body Spray Shower</t>
  </si>
  <si>
    <t>Play Room, Recreation Room, Sitting Room, Utility Room-Lower Level</t>
  </si>
  <si>
    <t>35X20</t>
  </si>
  <si>
    <t>Keller Williams Preferred Rlty</t>
  </si>
  <si>
    <t>(708) 798-1111</t>
  </si>
  <si>
    <t>James Mattz</t>
  </si>
  <si>
    <t>(708) 249-3160</t>
  </si>
  <si>
    <t>CALL SHOWING TIME 855-957-1523</t>
  </si>
  <si>
    <t>HGTV STYLE HOME YOU WONT WANT TO MISS IT!!!!!Please email all offers with offer cover sheet and disclosures to themattzgroup@gmail.com/mattzclosing@gmail.com forms under additional information.</t>
  </si>
  <si>
    <t>Pensacola</t>
  </si>
  <si>
    <t>WESTERN (2400 WEST) TO PENSACOLA (4330 NORTH), WEST TO PROPERTY</t>
  </si>
  <si>
    <t>24 X 125</t>
  </si>
  <si>
    <t>HUGE, HIGHLY UPGRADED HOME ON SERENE TREE-LINED ST IN RED HOT LINCOLN SQUARE! FEATURES LARGE LR W/WBFP &amp; FORMAL DR; GRANITE/SS GOURMET KITCH W/ISLAND &amp; BREAKFAST BAR OPENING TO GREAT RM, DECK FOR GRILLING &amp; LARGE DECK OVER 2-CAR GAR. 3BR/2BTH UP INCL MASTER W/SPA BTH &amp; 2 WALK-IN CLOSETS. LL FEATURES HUGE FAM RM W/WET BAR + 4TH BR &amp; BTH + LNDRY RM. HIGH CEILINGS. H/W FLRS. SURROUND SOUND. SKYLIGHTS. ZONED HEAT &amp; AIR.</t>
  </si>
  <si>
    <t>Humidifier, TV-Cable, Security System, CO Detectors, Ceiling Fan</t>
  </si>
  <si>
    <t>Breakfast Room, Great Room</t>
  </si>
  <si>
    <t>Vaulted/Cathedral Ceilings, Skylight(s), Bar-Wet, Hardwood Floors</t>
  </si>
  <si>
    <t>Ian Schwartz</t>
  </si>
  <si>
    <t>(312) 915-4729</t>
  </si>
  <si>
    <t>EMAIL IAN AT IAN.SCHWARTZ@IANSCHWARTZGROUP.COM</t>
  </si>
  <si>
    <t>WALK TO TRATTORIA TRULLO, CAFÃ‰ SELMARIE, CHICAGO BRAUHAUS, THE CHOPPING BLOCK, THE OLD TOWN SCHOOL OF FOLK MUSIC, STARBUCKS, COREPOWER YOGA, FLEET FEET, WELLES PARK, THE EL &amp; ALL THAT LINCOLN SQUARE HAS TO OFFER!</t>
  </si>
  <si>
    <t>MANGO</t>
  </si>
  <si>
    <t>FULLERTON TO MANGO, SOUTH TO HOME</t>
  </si>
  <si>
    <t>BEAUTIFULLY DONE REHAB,4 BDRM 2 BATHS,  ALL HIGH END FINISHES, RECESS LIGHTS, DECORATIVE MOLDINGS, HIGHLY UPGRADED APPLIANCES, ALL HARDWOOD FLOORS, CHEFS KITCHEN WITH TONS OF CABINET SPACE, QUARTZ COUNTER TOPS, GREAT TILE WORK IN BATHROOMS,SECOND FLOOR LAUNDRY WITH SIDE BY SIE WASHER AND DRYER, 2 CAR GARAGE,SHOWS GREAT,YOU WILL NOT FIND NICER, MORE ELEGANT HOME</t>
  </si>
  <si>
    <t>Joanna Olszynska</t>
  </si>
  <si>
    <t>(847) 312-8005</t>
  </si>
  <si>
    <t>PLEASE TEXT OR CALL JOANNA 847-312-8005 OR EMAIL AT JOLSZYNSKA@JAMESONSIR.COM</t>
  </si>
  <si>
    <t>$1000 BONUS TO COOPERATING BROKER IF CLOSED BY THE END OF THE YEAR</t>
  </si>
  <si>
    <t>BROOKSTONE</t>
  </si>
  <si>
    <t>IRVING PARK RD EAST OF 59 TO WHISPERING TO BROOKSTONE</t>
  </si>
  <si>
    <t>84 X 110</t>
  </si>
  <si>
    <t>Everything is new.2014:Remodeled kitchen-granite counters,ss appls,tile floor,lrg pantry open to family rm.2013:Front &amp; garage doors,electric panel w/whole house surge protector.2012:Remodeled Baths.2011:Siding,kit &amp; fam windows,2009:Roof,H2O,Furnace &amp; AC w/ Lifetime warranty.2008:Sidewalk to yard, Pool.2007:2nd floor windows &amp; Pella SGD.Fenced yard w/2 patios,gardens,storage shed w/electric,beautifully landscaped.</t>
  </si>
  <si>
    <t>HANOVER COUNTRYSIDE ELEMENTARY SCHOOL</t>
  </si>
  <si>
    <t>Curbs/Gutters, Sidewalks, Street Paved</t>
  </si>
  <si>
    <t>Deck, Patio, Porch, Storage Shed, Pool Above Ground</t>
  </si>
  <si>
    <t>23X15</t>
  </si>
  <si>
    <t>Cobalt Real Estate Partners</t>
  </si>
  <si>
    <t>(630) 925-1830</t>
  </si>
  <si>
    <t>David Bulava</t>
  </si>
  <si>
    <t>(630) 529-0022</t>
  </si>
  <si>
    <t>Of Record</t>
  </si>
  <si>
    <t>Download list of upgrades and disclosures from "Additional Information". Please email or fax all offers, disclosures and pre-approval to dave@davebulava.com or 630-390-2333.</t>
  </si>
  <si>
    <t>Presidential</t>
  </si>
  <si>
    <t>RT 34 to Washington St (W) west of Fox River to Presidential Blvd to home!</t>
  </si>
  <si>
    <t>55 X 110</t>
  </si>
  <si>
    <t>Unbelievable price for so much house~4 BR/3.1 BA, new carpeting, volume/vaulted/trey ceilings &amp; hardwood floor~Natural light thru out~Spacious family rm w/fireplace~Great eat-in kitchen w/pantry~Master suite w/private BA, sitting rm &amp; 2 walk-in closets~Finished bsmt offers addt' family/media rm, 4th BR w/WI closet, full BA, laundry rm &amp; storage rm~Enjoy covered porch/deck/park/ponds~Convenient location~Quick closing!</t>
  </si>
  <si>
    <t>Robin Freiman, CNC,CSC</t>
  </si>
  <si>
    <t>(630) 553-9127</t>
  </si>
  <si>
    <t>630-244-1114</t>
  </si>
  <si>
    <t>Traditional sale~Finished bsmt offers approx 900 Sq Ft of addt' living space~There is also a passive radon system!</t>
  </si>
  <si>
    <t>Pine Hollow</t>
  </si>
  <si>
    <t>Randall to Grandview East to Pine Hollow or Sleepy Hollow to Grandview West to Pine Hollow- south</t>
  </si>
  <si>
    <t>KIMBALL FARMS</t>
  </si>
  <si>
    <t>RIDGEWOOD</t>
  </si>
  <si>
    <t>78 X 109 X 81 X 118</t>
  </si>
  <si>
    <t>Extremely well maintained inside &amp; out! Hardwood flooring, SS kitchen, island, upgraded C-tops, custom lighting. FAM RM opens to kitchen, stone FP. MBR w/luxury bath, walk in closet. MTC-free deck, cement patio, fenced yard. Roof &amp; Siding have been replaced. Garage was extended by 2 ft. Parking pad on side of garage. Easy access to Randall Rd &amp; I-90. Great neighborhood, great value for a well-loved home.</t>
  </si>
  <si>
    <t>Humidifier, TV-Dish, CO Detectors, Ceiling Fan, Fan-Attic Exhaust, Sump Pump</t>
  </si>
  <si>
    <t>Vaulted/Cathedral Ceilings, Hardwood Floors, Solar Tubes/Light Tubes, 1st Floor Laundry</t>
  </si>
  <si>
    <t>2.5%-SS NEEDS BANK APPROVAL-ANY COMMISSION REDUCED BY BANK WILL BE SHARED 50/50 BY BOTH BROKERS. (on Net SP)</t>
  </si>
  <si>
    <t>Anne Vodicka</t>
  </si>
  <si>
    <t>(847) 922-5460</t>
  </si>
  <si>
    <t>Call Showing Time 800-746-9464</t>
  </si>
  <si>
    <t>Illinois Licensee</t>
  </si>
  <si>
    <t>CC: Pursuant to Short Sale. SHORT SALE APPROVED 1/21 by Chase Bank at $224,000. Buyer terminated contract. Quick closing possible.  Home is sold "as is", tax pro-rations at 100%. No survey. Very nice short sale.  Electric awning off back deck with remote!</t>
  </si>
  <si>
    <t>Arlington</t>
  </si>
  <si>
    <t>Greenbrook Blvd to Arlington Drive East To Santa Anita</t>
  </si>
  <si>
    <t>GREENBROOK</t>
  </si>
  <si>
    <t>MONTEREY</t>
  </si>
  <si>
    <t>52 X 122</t>
  </si>
  <si>
    <t>WALK 2 MALLARD LAKE PRESERVE &amp; HERITAGE PARK *  LARGE FENCED YARD W/POOL, PATIO &amp; STORAGE SHED! WIDE OPEN FLOOR PLAN! 2S LIVING RM W/SKYLIGHTS! EAT-IN KIT W/GRANITE CTRS &amp; CENTER ISLAND! LARGE FAMILY RM W/BRICK FIREPLACE! SPACIOUS MSTR SUITE W/VAULTED CEILING &amp; MSTR BATH W/WHIRLPOOL TUB! SPACIOUS LOFT OVERLOOKS THE LIVING RM! BEDROOMS W/CEILING FANS! ONE BEDROOM HAS A WALKOUT TO THE BALCONY! 1ST FLOOR LAUNDRY!</t>
  </si>
  <si>
    <t>Oven/Range, Microwave, Dishwasher, Dryer</t>
  </si>
  <si>
    <t>Humidifier, Ceiling Fan</t>
  </si>
  <si>
    <t>RE/MAX Cornerstone</t>
  </si>
  <si>
    <t>(630) 686-7900</t>
  </si>
  <si>
    <t>Cindy Banks, CRS</t>
  </si>
  <si>
    <t>(630) 533-5900</t>
  </si>
  <si>
    <t>Please call 1.855.746.9608 or showingtime.com</t>
  </si>
  <si>
    <t>Kristine</t>
  </si>
  <si>
    <t>RT. 34 W / RT. 31 R/ PARK PLACE L/ CENTURY/ MANHATTAN TO KRISTINE STREET</t>
  </si>
  <si>
    <t>76X123X62X121</t>
  </si>
  <si>
    <t>A lot of house for the $ here! Complete rehab features FOUR bedrooms, 2.1 new baths, new roof, new A/C, new kitchen with granite &amp; SS appliances, new flooring &amp; carpet, new ceiling fans in all bedrooms, family room with fireplace, new water heater, new front door, new garage door, fresh paint throughout &amp; fenced yard adjacent to park! All this PLUS great Oswego 308 schools! Move fast on this one...it won't last long!</t>
  </si>
  <si>
    <t>John G. Palatine</t>
  </si>
  <si>
    <t>Complete rehab...a great buy for your clients!  Disclosures attached to this listing.</t>
  </si>
  <si>
    <t>Kelly</t>
  </si>
  <si>
    <t>Route 47 S of the Fox river to Fox Rd. West to poplar right to Kelly right</t>
  </si>
  <si>
    <t>Beautiful Ranch home located on premium lot. Gorgeous views of stocked pond from huge (60 X 27) stamped concrete patio.  Kitchen with brand new Stainless Steel appliances never used and granite counter tops. Volume ceilings throughout and tray ceiling in master bedroom. Large finished basement with 9 foot ceilings w/ huge Rec/Media room and bar. 4th bedroom with 3rd bath on suite located in the LL.  Really Nice!</t>
  </si>
  <si>
    <t>17X17</t>
  </si>
  <si>
    <t>Landscaped Professionally, Pond, Water View, Wooded</t>
  </si>
  <si>
    <t>Eating Area, Media Room, Recreation Room</t>
  </si>
  <si>
    <t>Vaulted/Cathedral Ceilings, Hardwood Floors, 1st Floor Laundry, 1st Floor Full Bath</t>
  </si>
  <si>
    <t>45X16</t>
  </si>
  <si>
    <t>2%-$295 (on Net SP)</t>
  </si>
  <si>
    <t>James Lowe</t>
  </si>
  <si>
    <t>(312) 401-2101</t>
  </si>
  <si>
    <t>312-401-2101</t>
  </si>
  <si>
    <t>***-***-****</t>
  </si>
  <si>
    <t>Please use Showing assist link</t>
  </si>
  <si>
    <t>Croydon</t>
  </si>
  <si>
    <t>Rt. 34 S/PlFLD, R/GROVE,R/MORGAN VALLEY,R/PRAIRIEVIEW,R/CROYDON CT.</t>
  </si>
  <si>
    <t>80X151X65X147</t>
  </si>
  <si>
    <t>GORGEOUS REMODEL LOCATED ON A CUL DE SAC WITH LARGE FENCED YARD AND STAMPED CONCRETE PATIO. OPEN FLOOR PLAN FEATURES TWO STORY FAM RM WITH STONE F.P. PROFESSIONALLY PAINTED, NEW CARPETING,NEW STAINLESS APPLIANCES, REFINISHED HARDWOOD FLOORING, FINISHED BASEMENT WITH FULL BATH, JUST ABSOLUTELY BEAUTIFUL. LUXURIOUS MASTER BATH W/ WHIRLPOOL AND WIC. AND MANY NEW UPGRADES. QUALITY ABOUNDS IN THIS MOVE IN READY HOME.</t>
  </si>
  <si>
    <t>Wanland &amp; Associates, Inc.</t>
  </si>
  <si>
    <t>(773) 545-3134</t>
  </si>
  <si>
    <t>Edward Wanland</t>
  </si>
  <si>
    <t>(312) 961-4902</t>
  </si>
  <si>
    <t>USE SHOWING ASSISST</t>
  </si>
  <si>
    <t>GC CERTIFIED PROPERTIES LLC</t>
  </si>
  <si>
    <t>HOME SHOWS LIKE A MODEL HOME.</t>
  </si>
  <si>
    <t>68th</t>
  </si>
  <si>
    <t>Pulaski to 38th Place, east to 3801</t>
  </si>
  <si>
    <t>4647 SF (APPROXIMATE)</t>
  </si>
  <si>
    <t>You'll love the traditional layout and in this four bedroom, two bath brick Cape Cod. This home also features hardwood flooring, central AC, a rear porch backyard, a full basement and a two car garage. This is a Fannie Mae HomePath property.</t>
  </si>
  <si>
    <t>Pav Realtors</t>
  </si>
  <si>
    <t>(708) 795-7100</t>
  </si>
  <si>
    <t>Joseph R Pav</t>
  </si>
  <si>
    <t>(708) 785-3950</t>
  </si>
  <si>
    <t>Call 877-977-1010</t>
  </si>
  <si>
    <t>The seller has directed that all offers on this listing should be made online at Homepath.com For help in submitting your offer, call 1-866-218-4446 M-F 8am-8pm. Please review the documents in additional info before submitting an offer.</t>
  </si>
  <si>
    <t>7N430</t>
  </si>
  <si>
    <t>RANDALL TO SILVER GLEN (E) TO WHISPERING TRAIL (N) TO HAMPTON DRIVE (Corner of Hampton &amp; Whispering)</t>
  </si>
  <si>
    <t>SILVER GLEN ESTATES</t>
  </si>
  <si>
    <t>473X374X266X131</t>
  </si>
  <si>
    <t>Back on market!Buyer got cold feet!!Transfer sellers sad to leave! Just spent 20k in upgrades~Big,beautiful home in Premier Silver Glen Estates~3800 sqft~ 5 1/2 granite baths~refinished hardwood flrs~gourmet Maple granite Kitchen~spectacular 2 story Fam. rm w/soaring stone FP~1st flr den/5th bdrm w/full bath adjacent~front/back staircase~Luxury master w/2nd FP~spa bath~Finished bsmt w/full bath/3rd FP~Wooded 1.2 acre</t>
  </si>
  <si>
    <t>Oven-Double, Microwave, Dishwasher, Refrigerator, All Stainless Steel Kitchen Appliances</t>
  </si>
  <si>
    <t>Cul-de-sac, Landscaped Professionally, Wooded</t>
  </si>
  <si>
    <t>Humidifier, Water-Softener Owned, Central Vacuum, Security System, Intercom, Ceiling Fan, Sump Pump</t>
  </si>
  <si>
    <t>Den, Foyer, Recreation Room</t>
  </si>
  <si>
    <t>Vaulted/Cathedral Ceilings, Skylight(s), Hardwood Floors, 1st Floor Bedroom, 1st Floor Laundry, 1st Floor Full Bath</t>
  </si>
  <si>
    <t>56X28</t>
  </si>
  <si>
    <t>Stephanie Doherty</t>
  </si>
  <si>
    <t>(630) 587-4656</t>
  </si>
  <si>
    <t>Call 8557469200</t>
  </si>
  <si>
    <t>Kitchen &amp; dining rm light fixture excluded. Will be replaced with the original ones</t>
  </si>
  <si>
    <t>71st Street go west to Talman</t>
  </si>
  <si>
    <t>GORGEOUS REHABBED CAPE COD ON EXCELLENT BLOCK! PROFESSIONALLY STAGED AND MOVE-IN READY! HARDWOOD FLOORING, GOURMET KITCHEN WITH GRANITE COUNTERS, STAINLESS APPLIANCES. ENORMOUS MASTER SUITE WITH BATHROOM AND PLENTY OF CLOSET SPACE. FINISHED BASEMENT &amp; 2 CAR GARAGE! BRING YOUR FHA BUYERS!!!</t>
  </si>
  <si>
    <t>13X24</t>
  </si>
  <si>
    <t>21X48</t>
  </si>
  <si>
    <t>Central Air, None</t>
  </si>
  <si>
    <t>15X25</t>
  </si>
  <si>
    <t>2.5%-$175 (on Net SP)</t>
  </si>
  <si>
    <t>Prime Real Estate Group Inc</t>
  </si>
  <si>
    <t>(708) 691-0833</t>
  </si>
  <si>
    <t>Peter Chrysanthou</t>
  </si>
  <si>
    <t>QUICK CLOSE POSSIBLE. COMPLETELY REHABBED! FHA READY! AGENTS, GENEROUS COMMISSION!!!</t>
  </si>
  <si>
    <t>KOLIN</t>
  </si>
  <si>
    <t>56TH STREET EAST OR WEST TO KOLIN, NORTH TO ADDRESS</t>
  </si>
  <si>
    <t>LOVELY 4 BEDROOM 2 BATHROOM HOME IN A WONDERFULL AREA ON A WONDERFUL BLOCK.  HOME WAS VERY WELL MAINTAINED. COME SEE THIS HOME AND ADD YOUR PERSONAL TOUCHES TO MAKE THIS A SPECTACULAR HOME</t>
  </si>
  <si>
    <t>24X17</t>
  </si>
  <si>
    <t>At Home Realty Group, Inc.</t>
  </si>
  <si>
    <t>(708) 598-9420</t>
  </si>
  <si>
    <t>Edward Gal</t>
  </si>
  <si>
    <t>(708) 267-6567</t>
  </si>
  <si>
    <t>AGENT OWNED. TEXT LA. USE SHOWING ASSIST FOR NUMBER</t>
  </si>
  <si>
    <t>WRIGHTWOOD</t>
  </si>
  <si>
    <t>Between Halsted and Sheffield on the south side of Wrightwood. Near Jonquil Park!</t>
  </si>
  <si>
    <t>Bright contemporary SF in Alcott School Dist. High ceilings, maple flrs, oversized windows &amp; neutral decor. Kit w/spacious island, SS appliances (SubZero, Wolf, Bosch), wine rm &amp; huge pantry. Family rm w/built-ins. 3 upstairs BRs including a lux master w/walk-in closet + en suite bath w/dual vanities &amp; separate tub/steam shower. LL w/rec rm, 4th BR &amp; large workroom. Dual laundry ctrs. 2 rear decks. 2+ car garage</t>
  </si>
  <si>
    <t>ALCOTT ELEMENTARY SCHOOL</t>
  </si>
  <si>
    <t>LINCOLN PARK HIGH SCHOOL</t>
  </si>
  <si>
    <t>14X22</t>
  </si>
  <si>
    <t>Whirlpool, Separate Shower, Steam Shower, Double Sink</t>
  </si>
  <si>
    <t>Balcony, Deck, Pantry, Recreation Room, Walk In Closet, Workroom</t>
  </si>
  <si>
    <t>Skylight(s), Hardwood Floors, Heated Floors, 2nd Floor Laundry</t>
  </si>
  <si>
    <t>Deck, Roof Deck, Storms/Screens</t>
  </si>
  <si>
    <t>Pantry</t>
  </si>
  <si>
    <t>04X14</t>
  </si>
  <si>
    <t>18X25</t>
  </si>
  <si>
    <t>11X07</t>
  </si>
  <si>
    <t>Jennifer Ames, CRS</t>
  </si>
  <si>
    <t>(312) 440-7525</t>
  </si>
  <si>
    <t>To schedule a showing, please email scheduling@jenniferames.com</t>
  </si>
  <si>
    <t>Garden</t>
  </si>
  <si>
    <t>Bode west of Barrington Rd to Garden Circle South on your right back of Cul-De-Sac.</t>
  </si>
  <si>
    <t>Brookside</t>
  </si>
  <si>
    <t>80 X 60</t>
  </si>
  <si>
    <t>**24 Hour response on all offers* New updated home with new tear off roof, new overhead and service garage door, updated kitchen with S/S appliances, W and D, new update bathrooms, updated electric and plumbing, new floor coverings and much more. Large basement with (2) rooms and family room. Quick close ok. See attached riders. Home has monitored alarm. Backs to Club house and pool and forest preserve across the st.</t>
  </si>
  <si>
    <t>Pantry-Butler</t>
  </si>
  <si>
    <t>Oven/Range, High End Refrigerator, Washer, Dryer, All Stainless Steel Kitchen Appliances</t>
  </si>
  <si>
    <t>Bonus, Recreation Room</t>
  </si>
  <si>
    <t>CNB Property Consultants, Inc</t>
  </si>
  <si>
    <t>(630) 231-4440</t>
  </si>
  <si>
    <t>David Pokorny</t>
  </si>
  <si>
    <t>Greater Chicagoland Fellwoship</t>
  </si>
  <si>
    <t>Email offers to: tgcfc1@sbcglobal.net. Earnest Check for 1K to; Greater Chicagoland Fellowship. Home has monitored alarm. Call before entering.</t>
  </si>
  <si>
    <t>Cuyler</t>
  </si>
  <si>
    <t>Iriving Park to Wolcott. North to Cuyler one block. East to home.</t>
  </si>
  <si>
    <t>Immaculate masonry home in Coonley Schl. Wider than new constr. Dark hrdw flrs on 2 levels. Formal Lr &amp; Dr. All white kitchen w/ss appl/granite counters. Built in banquette. Family rm w/fireplace. 3 bdrms up.  Mstr bath has heated flrs. Mstr suite w/bedtime reading nook. LL has family rm w/built in cabs, tons of storage, 4th bdrm, &amp; mud rm. Deck &amp; YARD. 2 car gar w/strge. Walk to el, parks, fab rests. Great block!</t>
  </si>
  <si>
    <t>15X18</t>
  </si>
  <si>
    <t>Breakfast Room, Mud Room, Office, Recreation Room</t>
  </si>
  <si>
    <t>6X7</t>
  </si>
  <si>
    <t>5X9</t>
  </si>
  <si>
    <t>Kristi Gunther</t>
  </si>
  <si>
    <t>(773) 477-7727</t>
  </si>
  <si>
    <t>Email Kristi at kjgunther@yahoo.com</t>
  </si>
  <si>
    <t>Tons of new and rehabbed homes on this block. Quite a deal for North Center. Open House This SUN 11/23 from 1:00pm - 4:00pm.</t>
  </si>
  <si>
    <t>WESTBOURNE</t>
  </si>
  <si>
    <t>RT47 TO WEST PARK W TO HAMPSTEAD R TO WESTBOURNE R OR 47 TO WHEELER W TO HAMPSTEAD L TO WESTBOURNE L</t>
  </si>
  <si>
    <t>WINDSOR WEST</t>
  </si>
  <si>
    <t>MEREVALE C</t>
  </si>
  <si>
    <t>74X126X23X7X52X133</t>
  </si>
  <si>
    <t>Great Windsor West 4 BR, 2.1 BA home! 2-story entry~formal living rm &amp; dining rm w/bay window~Beautiful kitchen w/island~eat-in area blends into the light &amp; bright sunroom &amp; family rm w/wood burning fireplace~Full basement w/rough-in~Large master &amp; master bath w/soaker tub &amp; sep shower~3 add'l bedrooms + full bath~Great park &amp; path in neighborhood~short sale</t>
  </si>
  <si>
    <t>Eating Area, Sun/Florida Room Heated</t>
  </si>
  <si>
    <t>Wood Burning, Attached Fireplace Doors/Screen, Gas Starter</t>
  </si>
  <si>
    <t>CALL SHOWING TIME 855-919-0376 MUST CONFIRM...MIN 2 HR NOTICE PREFERRED</t>
  </si>
  <si>
    <t>CC: Pursuant to Short Sale. ON OFFERS: NO SURVEY, AS-IS, 100% TAX PRORATION, EM DUE ON ACCEPTANCE, INSPECTION DUE FIRST 5 BUS. DAYS. EXCLUDE ALL CURTAINS &amp; VALANCES (BLINDS STAY) &amp; SURROUND SPEAKERS (WIRING STAYS). LENDER REQUESTED SHORT SALE. SSA IS $0 AND DORMANT.</t>
  </si>
  <si>
    <t>Yorkshire</t>
  </si>
  <si>
    <t>First Street to Taylor Street, West to Kensington Blvd, to Wood Street, turn right to Yorkshire</t>
  </si>
  <si>
    <t>KENSINGTON POINTE</t>
  </si>
  <si>
    <t>59.85X119.05X103.86X138.17</t>
  </si>
  <si>
    <t>This home is move-in ready! Traditional floorplan offers 3 BR, 2 1/2 baths, formal dining, eat-in kitchen, large LR, 2nd floor laundry &amp; full, finished basement w/4th BR, 3rd full bath &amp; great recreation space! The master suite has volume ceiling, WIC &amp; private bath. New carpet throughout. Freshly painted. HUGE fenced lot offers great view of park, deck &amp; paver patio. Convenient to parks, bike paths, shopping &amp; more!</t>
  </si>
  <si>
    <t>12X23</t>
  </si>
  <si>
    <t>11X22</t>
  </si>
  <si>
    <t>Bonus, Foyer, Recreation Room</t>
  </si>
  <si>
    <t>Century 21 Elsner Realty</t>
  </si>
  <si>
    <t>(815) 756-1691</t>
  </si>
  <si>
    <t>Dawn Baker</t>
  </si>
  <si>
    <t>(815) 739-7148</t>
  </si>
  <si>
    <t>Call L/A or Use Showing Assist. Vacant.</t>
  </si>
  <si>
    <t>Front portion of roof new 2013.</t>
  </si>
  <si>
    <t>39W686</t>
  </si>
  <si>
    <t>SCHOOLHOUSE (Y 36)</t>
  </si>
  <si>
    <t>KESLINGER WEST TO FRIENDSHIP WAY SOUTH. FOLLOW AROUND TO SCHOOLHOUSE LANE</t>
  </si>
  <si>
    <t>MILL CREEK TANNA</t>
  </si>
  <si>
    <t>AUGUSTA II</t>
  </si>
  <si>
    <t>75X130</t>
  </si>
  <si>
    <t>BEAUTIFUL AUGUSTA FLOOR PLAN SITUATED ON GREAT CORNER LOT, JUST STEPS AWAY FROM MILL CREEK ELEMENTARY SCHOOL. 2,339 SF OF OPEN LIVING SPACE, 4 BEDROOMS, 2.5 BATHS. 3-CAR GARAGE, HARDWOOD FLOORING, GRANITE KITCHEN COUNTER TOPS, STAINLESS STEEL APPLIANCES, UPGRADED KITCHEN CABINETS, FIREPLACE AND SO MUCH MORE! HOME WILL BE READY FOR DELIVERY AT END OF DECEMBER.  NOTE: SOME PHOTOS ARE OF PREVIOUSLY BUILT HOME.</t>
  </si>
  <si>
    <t>Central Air, Fireplace, Basement, Hardwood/Ceramic Floors</t>
  </si>
  <si>
    <t>Radon Mitigation System(s)</t>
  </si>
  <si>
    <t>Eating Area, Study</t>
  </si>
  <si>
    <t>630-989-0524</t>
  </si>
  <si>
    <t>CALL MILL CREEK SALES CENTER  630-232-8181</t>
  </si>
  <si>
    <t>PLEASE CALL MILL CREEK SALES CENTER FOR MORE INFORMATION 630-232-8181. PLEASE NOTE SOME PHOTOS ARE OF PREVIOUSLY BUILT HOME.</t>
  </si>
  <si>
    <t>Sparkhayes</t>
  </si>
  <si>
    <t>Rt23 To Sparkhayes Dr</t>
  </si>
  <si>
    <t>120X125</t>
  </si>
  <si>
    <t>Nice 4 bedroom 1 bath cape cod located on corner lot. Eat-in kitchen, living room and 3 bedrooms on main level. Large second level with loft and bedroom. Partially fenced yard and attached 2 car garage. See agent remarks for bidding procedures.</t>
  </si>
  <si>
    <t>RE/MAX Classic</t>
  </si>
  <si>
    <t>(815) 784-2800</t>
  </si>
  <si>
    <t>Tammy Engel</t>
  </si>
  <si>
    <t>Secure Showing Assist</t>
  </si>
  <si>
    <t>Commission paid up to 3%. FHA case #137-202268 go to www.HomeTelosfirst.com or www.HUDHomeStore.com for bidding procedures. See add' info for PCR report and Sample contract package.</t>
  </si>
  <si>
    <t>FORESTVIEW</t>
  </si>
  <si>
    <t>RANDALL TO MILLER W TO FORESTVIEW,LEFT TO HOME</t>
  </si>
  <si>
    <t>GLENEAGLE FARMS</t>
  </si>
  <si>
    <t>80X105</t>
  </si>
  <si>
    <t>Shows beautifully!  You will want to see this home; everything has been done!  New paint, new carpet, new light fixtures.  This spotless 4 bd, 2.1 bath has a gorgeous sunroom addition with vaulted ceiling and skylights.  Finished basement.  Professionally landscaped yard.  Conveniently located near Randall Rd corridor, I90, rt 72.  Custom trim &amp; molding.  Very well maintained home.  Truly a must see!</t>
  </si>
  <si>
    <t>TV-Cable, Ceiling Fan, Sump Pump</t>
  </si>
  <si>
    <t>Recreation Room, Storage, Sun/Florida Room</t>
  </si>
  <si>
    <t>Vaulted/Cathedral Ceilings, Skylight(s), 1st Floor Laundry</t>
  </si>
  <si>
    <t>32X30</t>
  </si>
  <si>
    <t>(815) 459-1855</t>
  </si>
  <si>
    <t>Renee Anderson, GRI,SFR</t>
  </si>
  <si>
    <t>Please call 855-746-9100</t>
  </si>
  <si>
    <t>Calumet</t>
  </si>
  <si>
    <t>83rd street east of Dan Ryan to calumet, south to Address</t>
  </si>
  <si>
    <t>30X163</t>
  </si>
  <si>
    <t>BEAUTIFUL NEWLY REHABBED 4BR WITH 3 FULL BATHS. GOURMET KITCHEN W/SOFT CLOSE EXPRESSO CABINETS W/ CROWN MOLDING, GRANITE, &amp; STAINLESS STEEL APPLIANCES. GLEAMING RED OAK HARDWOOD FLOORS. MASTER SUITE W/PRIVATE FULL BATH! FINISHED BSMT WITH FAMILY RM.,  FULL BATH, WET BAR &amp; LAUNDRY ROOM. NEW KITCHEN &amp; BATH W/ JUCUZZI TUB... NEW WINDOWS, ROOF, ETC...! LARGE BACKYARD.</t>
  </si>
  <si>
    <t>All Stainless Steel Kitchen Appliances</t>
  </si>
  <si>
    <t>Bar</t>
  </si>
  <si>
    <t>Bar-Wet, Hardwood Floors</t>
  </si>
  <si>
    <t>Terrell Patterson</t>
  </si>
  <si>
    <t>(773) 407-0005</t>
  </si>
  <si>
    <t>CALL L/A (773) 407-0005</t>
  </si>
  <si>
    <t>Saratoga</t>
  </si>
  <si>
    <t>Rt 47 to W South St to Saratoga to home</t>
  </si>
  <si>
    <t>Great opportunity for sweat equity buyer or investor looking for the next money maker. 3 bedrooms 2 baths with finished basement with bar in rec room additional bedroom and powder room. deep 2 car garage has plenty of room for the toys nice sized yard for summer fun</t>
  </si>
  <si>
    <t>40X15</t>
  </si>
  <si>
    <t>Glen Piske</t>
  </si>
  <si>
    <t>Click on schedule a showing link download offer instructions from MLS</t>
  </si>
  <si>
    <t>Sold AS IS tax pro ration 100% no survey provided by seller offer must include pre approval letter or proof of funds for cash offer sellers attorney holds EM seller addendum post offer acceptance EM must be certified funds</t>
  </si>
  <si>
    <t>Kedzie</t>
  </si>
  <si>
    <t>KEDZIE AVENUE NORTH OR SOUTH TO PROPERTY</t>
  </si>
  <si>
    <t>52X100</t>
  </si>
  <si>
    <t>Beautifully renovated 4bed/2bath brick raised ranch w/ full finished basement &amp; loads of updates! All new kitchen features new stainless steel appliances, raised panel cherry cabinets, granite counters, glass tile back splash, &amp; eat-in table space!  2 fully renovated bathrooms w/ modern vanities &amp; custom tiled showers! Finished basement, white trim package, new fixtures, 2-car garage, spacious backyard, &amp; much more!!</t>
  </si>
  <si>
    <t>10X3</t>
  </si>
  <si>
    <t>2.5% ON NET + $750 BONUS FOR ON TIME CLOSING! (on Net SP)</t>
  </si>
  <si>
    <t>Crosstown Realtors, Inc.</t>
  </si>
  <si>
    <t>(708) 949-4379</t>
  </si>
  <si>
    <t>Chris Fischer</t>
  </si>
  <si>
    <t>Click Showing Assist</t>
  </si>
  <si>
    <t>Imagemaker 360</t>
  </si>
  <si>
    <t>EASY TO SHOW &amp; SELL! EXODUS1 RIDER TO ACCOMPANY CONTRACT. VERY EASY TO SELL. CERTIFIED FUNDS EARNEST $. $750 BONUS PAID only IF CLOSING IS ON TIME (CONTRACT CLOSING DATE). OFFERS-TIM@CROSSTOWNREALTORS.COM</t>
  </si>
  <si>
    <t>Mason</t>
  </si>
  <si>
    <t>Higgins to Mason South to Property</t>
  </si>
  <si>
    <t>BEAUTIFUL 4BR/2BA OCTAGON YELLOW BRICK BUNGALOW IN JEFFERSON PARK. CERTIFIED BY THE HISTORIC CHICAGO BUNGALOW ASSOC.  SEPARATE LIVING AND DINING ROOM, EAT IN KITCHEN W/PANTRY, 1 BEDROOM ON THE MAIN FLOOR HAS EXTRA ATTACHED TANDEM BEDROOM, FULL BASEMENT W/ WET BAR, FAMILY ROOM, AND LAUNDRY ROOM. SUPER SUNNY, CENTRAL AIR, LOTS OF CLOSETS, LANDSCAPED BACKYARD, AND TWO CAR GARAGE. CLOSE TO TRANSPORTATION AND SHOPPING!!!</t>
  </si>
  <si>
    <t>(312) 506-0200</t>
  </si>
  <si>
    <t>Eric Chaplik</t>
  </si>
  <si>
    <t>(773) 406-2621</t>
  </si>
  <si>
    <t>TEXT ONLY ERIC 773.406.2621</t>
  </si>
  <si>
    <t>Laura Thelen</t>
  </si>
  <si>
    <t>To show: TEXT ONLY ERIC 773.406.2621.</t>
  </si>
  <si>
    <t>Muskegon</t>
  </si>
  <si>
    <t>TAKE SOUTH CHICAGO AVE TO 93RD ST. GO WEST 3 BLOCKS TO MUSKEGON.  GO SOUTH TO PROPERTY.</t>
  </si>
  <si>
    <t>35 X125</t>
  </si>
  <si>
    <t>A SOLID BRICK BUNGALOW WITH 4 BEDROOMS AND 1 BATHROOM. A EAT IN KITCHEN. VERY SPACIOUS BEDROOMS ON UPPER FLOOR. 2 CAR GARAGE. PROPERTY NEAR TRINITY HOSPITAL AND SOUTH CHICAGO SHOPPING CENTER.</t>
  </si>
  <si>
    <t>Fuses</t>
  </si>
  <si>
    <t>Bloom/Quintero Realty Co</t>
  </si>
  <si>
    <t>(773) 221-3244</t>
  </si>
  <si>
    <t>Robert Quintero</t>
  </si>
  <si>
    <t>CALL EDWARD    @  773-646-2642</t>
  </si>
  <si>
    <t>GOOD STARTER HOME. IDEAL FOR LARGE FAMILY.   FHA AND VA ACCEPTABLE.</t>
  </si>
  <si>
    <t>AVALON</t>
  </si>
  <si>
    <t>Orchard Rd. to Galena Rd. west to Concord right to Columbia north to AVALON &amp; west to Home.</t>
  </si>
  <si>
    <t>MONTGOMERY CROSSINGS</t>
  </si>
  <si>
    <t>71X120</t>
  </si>
  <si>
    <t>BEAUTIFUL 2-STORY HOME WITH ELEMENTARY SCHOOL 1 BLOCK AWAY! CLOSE TO WALKING TRAILS, PONDS &amp; STORES! 9 FT CEILINGS ON 1ST FLOOR! FAMILY ROOM OPEN TO KITCHEN WITH OAK 42" CABINETS, BUTLER PANTRY &amp; BREAKFAST AREA W/SLIDING DOOR TO FULLY FENCED BACK YARD &amp; CONCRETE PATIO! 1ST FLOOR DEN! MASTER SUITE W/SITTING ROOM! PLUS 3 MORE BEDROOMS &amp; BONUS ROOM THAT COULD BE 5th BEDROOM OR PLAYROOM...</t>
  </si>
  <si>
    <t>Eating Area-Table Space, Pantry-Butler, Pantry-Closet</t>
  </si>
  <si>
    <t>Pond/Lake, Curbs/Gutters, Sidewalks, Street Lights, Street Paved</t>
  </si>
  <si>
    <t>Humidifier, Ceiling Fan, Sump Pump</t>
  </si>
  <si>
    <t>Bonus, Breakfast Room, Den</t>
  </si>
  <si>
    <t>09X07</t>
  </si>
  <si>
    <t>Jose Gonzalez</t>
  </si>
  <si>
    <t>(630) 201-5210</t>
  </si>
  <si>
    <t>Fax 630-658-7373</t>
  </si>
  <si>
    <t>Use Showing Assist.</t>
  </si>
  <si>
    <t>Quick closing possible &amp; fast response from seller. Sold As Is, taxes prorated at 100% &amp; no survey provided.</t>
  </si>
  <si>
    <t>Churchill</t>
  </si>
  <si>
    <t>Rt 71 to Forest south, Rt on Prairieview, Lt on Churchill</t>
  </si>
  <si>
    <t>86 X 136 X 73 X 147</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</si>
  <si>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 &amp; CONVENTIONAL OFFERS. â€œMold has been reportedâ€_x009d_</t>
  </si>
  <si>
    <t>RealHome Services &amp; Solutions Inc.</t>
  </si>
  <si>
    <t>(888) 876-3372</t>
  </si>
  <si>
    <t>Cheryl Rabin</t>
  </si>
  <si>
    <t>See Secure Showing Assist Instructions for LB Code</t>
  </si>
  <si>
    <t>ocwen</t>
  </si>
  <si>
    <t>www.hubzu.com4 start &amp; end times Bank owned AS IS Offers MUST submit www.hubzu.com SELLER WONT ACTIVATE UTILITY 4 inspection.NO FAX/EMAIL OFFER PER SELLER,  View b4 bidding... Fee of $299.00&amp; 4.5%Buyer prem pd@ close by buyer. Mold reported</t>
  </si>
  <si>
    <t>AMSTERDAM</t>
  </si>
  <si>
    <t>Orchard Rd South of Rt 30 to 1st Stoplight at Walgreens (Mayfield) Right to Amsterdam left to Home</t>
  </si>
  <si>
    <t>Saratoga Springs</t>
  </si>
  <si>
    <t>LOOKING TO HAVE IT ALL? This great home offers it ALL with 4 Bedrooms PLUS Loft AND Office AND Sunroom, 2 1/2 Baths, Fenced Yard with beautiful Stamped Concrete Patio &amp; Front Porch, AND, oh yes, a 3 CAR Garage! That's not all..floor to ceiling brick woodburning fireplace, maple cabs, all appliances, luxury master bath with soaker &amp; separate shower, tray ceiling in master &amp; vaulted sunroom. This home is move-in ready!</t>
  </si>
  <si>
    <t>Loft, Office, Sun/Florida Room, Workroom</t>
  </si>
  <si>
    <t>Porch, Stamped Concrete Patio</t>
  </si>
  <si>
    <t>10X23</t>
  </si>
  <si>
    <t>CALL SHOWING TIME AT 855-919-0376. OCCUPIED-MUST CONFIRM....SOME NOTICE APPRECIATED</t>
  </si>
  <si>
    <t>This home truly has it all and is priced to sell. PLEASE EXCLUDE FAMILY RM CURTAINS &amp; GIRLS BEDROOM VALANCE...BLINDS STAY.</t>
  </si>
  <si>
    <t>Farm</t>
  </si>
  <si>
    <t>Rt 71 to Reservation Rd. to Country or Minkler S to Country to Farm Court</t>
  </si>
  <si>
    <t>130X292X231X265</t>
  </si>
  <si>
    <t>MOTIVATED SELLERS...TAKE A LOOK...AWESOME WERNSMAN CUSTOM BRICK RANCH   Ideal Location on Cul-de-Sac features a Fenced Acre Lot w/Mature Trees, Spring Fed Pond, Deck, Shed, 3+ Garage. Interior offers Vaulted Family Rm w/Fireplace &amp; Wall of Built in Cabinets, Eat in Kitchen w/Custom Cabinets,Formal LR &amp; DR, Master w/Private Bath &amp; His &amp; Her Closets, HW &amp; Ceramic FLs through most of 1st FL. 2nd FL Bonus Rm or 4th BR!</t>
  </si>
  <si>
    <t>YORKVILLE MIDDLE SCHOOL</t>
  </si>
  <si>
    <t>YORKVILLE HIGH SCHOOL</t>
  </si>
  <si>
    <t>21X10</t>
  </si>
  <si>
    <t>Park/Playground, Pond/Lake, Water Rights, Street Lights, Street Paved</t>
  </si>
  <si>
    <t>Oven/Range, Microwave, Dishwasher, Refrigerator, Freezer</t>
  </si>
  <si>
    <t>Pond, Wooded</t>
  </si>
  <si>
    <t>Common Insurance, Lake Rights</t>
  </si>
  <si>
    <t>Humidifier, Water-Softener Owned, TV-Cable, Security System, CO Detectors, Ceiling Fan, Sump Pump</t>
  </si>
  <si>
    <t>Breakfast Room, Foyer, Mud Room</t>
  </si>
  <si>
    <t>Deck, Storage Shed, Dog Run &amp;/or Invisible Fence</t>
  </si>
  <si>
    <t>2.5%-$150 (on Gross SP)</t>
  </si>
  <si>
    <t>Kelly Michelson</t>
  </si>
  <si>
    <t>(630) 551-1111</t>
  </si>
  <si>
    <t>630.551.1111</t>
  </si>
  <si>
    <t>Gleneagle</t>
  </si>
  <si>
    <t>Randall Rd to Bowes E to Annandale to Gleneagle</t>
  </si>
  <si>
    <t>GLENS OF COLLEGE GREEN</t>
  </si>
  <si>
    <t>GRANT</t>
  </si>
  <si>
    <t>106 X 114 X 85 X 73 X 99</t>
  </si>
  <si>
    <t>Indulge in the good life with this stunning two-story home! Located in Glens of College Green, this 4 bedroom 2.5 bath property offers over 2300 square feet of living space including separate living and family rooms, sizeable kitchen and open floor plan! Outside the huge yard offers a large swimming pool with huge deck for lots of summer barbecues and parties. Home is close to  Randall Rd., shopping and restaurants.</t>
  </si>
  <si>
    <t>Corner, Fenced Yard, Irregular, Landscaped Professionally</t>
  </si>
  <si>
    <t>TV-Cable, CO Detectors, Ceiling Fan</t>
  </si>
  <si>
    <t>Aluminum Siding, Clad Trim</t>
  </si>
  <si>
    <t>2nd Floor Laundry</t>
  </si>
  <si>
    <t>Deck, Storage Shed, Pool Above Ground, Storms/Screens</t>
  </si>
  <si>
    <t>Realty Executives Cornerstone</t>
  </si>
  <si>
    <t>(815) 788-9000</t>
  </si>
  <si>
    <t>Rick O'Connor, GRI</t>
  </si>
  <si>
    <t>(815) 477-3000x104</t>
  </si>
  <si>
    <t>call CSS  877/977-1010</t>
  </si>
  <si>
    <t>Freddie Mac</t>
  </si>
  <si>
    <t>Freddie Mac First Look-Owner Occupant offers only considered the first 20 days*FMFL expires 11/18*Investors Eligible 11/19*AS IS*100%Tax Proration of most recent full yr tax bill*No Survey or survey affidavit provided*HomeSteps Fin Avail*</t>
  </si>
  <si>
    <t>BIRD</t>
  </si>
  <si>
    <t>Randall (W) Main, (L) Deerpath, (L) Saupp, (R) Deerpath, (L) Kane, (L) Bird - house on right</t>
  </si>
  <si>
    <t>TANGLEWOOD HILLS</t>
  </si>
  <si>
    <t>81X150X127X150</t>
  </si>
  <si>
    <t>See agent remarks!</t>
  </si>
  <si>
    <t>GRACE MCWAYNE ELEMENTARY SCHOOL</t>
  </si>
  <si>
    <t>SAM ROTOLO MIDDLE SCHOOL  OF BATAVIA</t>
  </si>
  <si>
    <t>BATAVIA SR HIGH SCHOOL</t>
  </si>
  <si>
    <t>24X16</t>
  </si>
  <si>
    <t>Clubhouse, Pool, Tennis Courts, Curbs/Gutters, Sidewalks, Street Lights</t>
  </si>
  <si>
    <t>Oven-Double, Microwave, Dishwasher, Refrigerator, Disposal, All Stainless Steel Kitchen Appliances, Wine Cooler/Refrigerator</t>
  </si>
  <si>
    <t>Landscaped Professionally, Park Adjacent</t>
  </si>
  <si>
    <t>Common Insurance, Clubhouse, Pool</t>
  </si>
  <si>
    <t>Humidifier, Water-Softener Owned, Security System, Ceiling Fan, Sump Pump</t>
  </si>
  <si>
    <t>Den, Eating Area, Recreation Room, Sun/Florida Room, Other</t>
  </si>
  <si>
    <t>3% - $150 (on Net SP)</t>
  </si>
  <si>
    <t>Carrie Sebold, CSC,SFR</t>
  </si>
  <si>
    <t>(630) 234-7722</t>
  </si>
  <si>
    <t>Carrie cell - 630-234-7722</t>
  </si>
  <si>
    <t>855-746-9100 - easy show - must confirm</t>
  </si>
  <si>
    <t>Property SOLD for $505,000, however, due to significant inspection issues (and HUD rules), we had to reduce the price to allow for sizable credit to buyers.  Call LA for details.</t>
  </si>
  <si>
    <t>Harper</t>
  </si>
  <si>
    <t>Take 59th street West to Harper,North on Harper,House on East side of street</t>
  </si>
  <si>
    <t>34 X 128</t>
  </si>
  <si>
    <t>Senior</t>
  </si>
  <si>
    <t>Lovely home on campus set on historic Harper Avenue. Original woodwork,wood burning fireplace,large basement,large attic with cathedral ceilings. Walk to 57th street shops ,restaurants,groceries,cafe's. Easy walk to Metra. Great bones for customizing. Nearby Parks include Wooded Island and Jackson Park. This contract is subject to the approval of the Cook County Probate Court.</t>
  </si>
  <si>
    <t>Park/Playground, Sidewalks, Street Lights</t>
  </si>
  <si>
    <t>Deck, Porch, Gazebo</t>
  </si>
  <si>
    <t>Victorian</t>
  </si>
  <si>
    <t>Eva Loseth</t>
  </si>
  <si>
    <t>(312) 768-3952</t>
  </si>
  <si>
    <t>call agent</t>
  </si>
  <si>
    <t>Cranberry</t>
  </si>
  <si>
    <t>LAKE ST W OF BARTLETT RD, E OF 59 TO OLD LAKE ST, R ON ELDERBERRY, L ON CRANBERRY</t>
  </si>
  <si>
    <t>23333 SQ FT</t>
  </si>
  <si>
    <t>You'll be impressed with many custom features of this home on almost 3/4 acre. Fam room &amp; Kiitchen upd(within last yr) w/ 42 in   maple cabs, granite cntrs, custom island, stainless steel appl.(kitchen refrig  &amp; w/d are excluded), sun room, 1st flr lndry.  Large bedrooms, master suite has sitting room, 2 walk in closets master bath with soaker tub &amp; sep shower.  Lower level: media, exercise, play &amp; rec rms. full bath</t>
  </si>
  <si>
    <t>BARTLETT ELEMENTARY SCHOOL</t>
  </si>
  <si>
    <t>EASTVIEW MIDDLE SCHOOL</t>
  </si>
  <si>
    <t>17X29</t>
  </si>
  <si>
    <t>24X18</t>
  </si>
  <si>
    <t>Bar, Den, Exercise Room, Media Room, Play Room, Recreation Room, Sitting Room, Sun/Florida Room</t>
  </si>
  <si>
    <t>Vaulted/Cathedral Ceilings, Bar-Wet, Hardwood Floors, 1st Floor Laundry</t>
  </si>
  <si>
    <t>Deck, Patio, Porch, Brick Paver Patio, Storms/Screens</t>
  </si>
  <si>
    <t>3 Stories, Hillside</t>
  </si>
  <si>
    <t>36X12</t>
  </si>
  <si>
    <t>(847) 392-1855</t>
  </si>
  <si>
    <t>Debbie Geavaras, SFR</t>
  </si>
  <si>
    <t>(847) 818-6036</t>
  </si>
  <si>
    <t>847 818 6036</t>
  </si>
  <si>
    <t>call appt center 855 746 9100 1 hr notice</t>
  </si>
  <si>
    <t>CC: Pursuant to Short Sale. Offer subject to approval by lender.  Any reduction in commission will be split 50/50 between list &amp; coop broker. Experienced CDPE agent negotiates short sale.</t>
  </si>
  <si>
    <t>Belden</t>
  </si>
  <si>
    <t>SACRAMENTO TO BELDEN THEN EAST TO PROPERTY</t>
  </si>
  <si>
    <t>24 X 141</t>
  </si>
  <si>
    <t>Beautiful, like-new, brick SFH on deep lot in Logan Sq near shops, eateries, park, train &amp; hwy. 4 big beds, 3.1 baths, all hdwd upper levels, 2 lndry rms, 2 frplc. Chefâ€™s kitch w/ SS appl, 42â€_x009d_ cabs, 1.25"granite, pantry, wine cooler. 20â€™ wall of wndws in great rm/kitchen &amp; fam rm w/ firepl &amp; wet bar. Master suite-5 closets, vaulted ceilings, skylights, marble bath, dbl vanity, sep shwr &amp; jacuzzi. 2 car gar &amp; big yard</t>
  </si>
  <si>
    <t>30X16</t>
  </si>
  <si>
    <t>Oven-Double, Oven/Range, Microwave, Dishwasher, Refrigerator, Washer, Dryer, Grill-Indoor, All Stainless Steel Kitchen Appliances</t>
  </si>
  <si>
    <t>Balcony, Great Room</t>
  </si>
  <si>
    <t>Aluminum Siding, Vinyl Siding, Brick</t>
  </si>
  <si>
    <t>Vaulted/Cathedral Ceilings, Skylight(s), Bar-Wet, Hardwood Floors, 1st Floor Laundry, 2nd Floor Laundry</t>
  </si>
  <si>
    <t>Balcony, Brick Paver Patio, Storms/Screens</t>
  </si>
  <si>
    <t>(773) 862-0200</t>
  </si>
  <si>
    <t>Janelle Dennis</t>
  </si>
  <si>
    <t>(773) 255-7751</t>
  </si>
  <si>
    <t>Please e-mail janelledennis@atproperties.com</t>
  </si>
  <si>
    <t>2005 new construction, brick front, siding sides, new roof on home &amp; garage in 2011. Your clients will love this extra deep lot with landscaped back yard, like-new finishes, tons of windows, skylights &amp; natural light!</t>
  </si>
  <si>
    <t>Orchard</t>
  </si>
  <si>
    <t>West or East on Wrightwood to Orchard north to property</t>
  </si>
  <si>
    <t>32X108</t>
  </si>
  <si>
    <t>Renovate or tear down zoned Rt4.  Landlocked with no alley access.  Lot 32 x 108.  Million $ homes on the street.  Across the street from Alcott Elementary.  Steps to restaurants, coffee, bars, groceries, parks and night life.</t>
  </si>
  <si>
    <t>22X19</t>
  </si>
  <si>
    <t>35X21</t>
  </si>
  <si>
    <t>Dream Town Realty</t>
  </si>
  <si>
    <t>(773) 326-6500</t>
  </si>
  <si>
    <t>Ramona DeMille</t>
  </si>
  <si>
    <t>(312) 423-9106</t>
  </si>
  <si>
    <t>EMAIL ONLY ramona@dreamtown.com</t>
  </si>
  <si>
    <t>Property is land locked.  Please do all buyer due diligence prior to making an offer.</t>
  </si>
  <si>
    <t>60th</t>
  </si>
  <si>
    <t>59th Street  to Normal Avenue south to 60th Place east to property</t>
  </si>
  <si>
    <t>25 X125</t>
  </si>
  <si>
    <t>$250.00 (on Net SP)</t>
  </si>
  <si>
    <t>Rowhouse Realtors, Ltd.</t>
  </si>
  <si>
    <t>(815) 806-0088</t>
  </si>
  <si>
    <t>Richard Wright CNC</t>
  </si>
  <si>
    <t>Call listing  agent at 708-351-9964</t>
  </si>
  <si>
    <t xml:space="preserve">CC: Pursuant to Short Sale. </t>
  </si>
  <si>
    <t>Carpenter</t>
  </si>
  <si>
    <t>59TH TO CARPENTER - S TO ADDRESS</t>
  </si>
  <si>
    <t>25 X 121</t>
  </si>
  <si>
    <t>4 Bedroom, 1 Bath 1.5 story Bungalow with separate Dining Room, Bay Window and a full finished Basement. Near Schools and Transportation. This is a Fannie Mae HomePath Property.</t>
  </si>
  <si>
    <t>Park/Playground, Curbs/Gutters, Sidewalks, Street Lights</t>
  </si>
  <si>
    <t>$1,000 (on Gross SP)</t>
  </si>
  <si>
    <t>Showing Assistant Servce</t>
  </si>
  <si>
    <t>â€œThe Seller has directed that all offers on this listing be made using the HomePath Online Offer System at www.Homepath.comâ€_x009d_. Also Fax Offers to 312-454-4465. All Owner Occupants must complete attached Owner Occupant Cert. See Attachments</t>
  </si>
  <si>
    <t>Marmora is one way north.</t>
  </si>
  <si>
    <t>28X125</t>
  </si>
  <si>
    <t>Gut rehab and beautifully finished from top to bottom -- every things new! Fully permitted renovation. Nothing to do here but move right in! Open floor plan, new kitchen, two full baths, and four bedrooms make this a perfect family home. Nice yard space and two car garage. Come see this home!</t>
  </si>
  <si>
    <t>8X9</t>
  </si>
  <si>
    <t>Hardwood Floors, 1st Floor Bedroom, 1st Floor Laundry, 1st Floor Full Bath</t>
  </si>
  <si>
    <t>2.5% MINUS $295 (on Net SP)</t>
  </si>
  <si>
    <t>d'aprile properties</t>
  </si>
  <si>
    <t>(312) 492-7900</t>
  </si>
  <si>
    <t>Francis Walker</t>
  </si>
  <si>
    <t>(773) 551-1888</t>
  </si>
  <si>
    <t>Click Schedule a Showing link.</t>
  </si>
  <si>
    <t>Winshire Group</t>
  </si>
  <si>
    <t>LUCCA</t>
  </si>
  <si>
    <t>Randall to Highland East to models 1/2 mile on the right.</t>
  </si>
  <si>
    <t>TUSCAN WOODS</t>
  </si>
  <si>
    <t>81X125</t>
  </si>
  <si>
    <t>This beautiful 4 bdrm, 2.5 bath, 3 car garage, over 2300sqft home in Tuscan Woods is beautiful &amp; in move in condition! This professionally landscaped home has a modern KIT w/SS appl &amp; 42â€_x009d_ cabinets. Hrdwd flrs in the KIT, breakfast &amp; fam rm. Huge MSTR bdrm w/large WIC. 2d flr laundry. Full basement w/ rough-in plumbing.  High efficiency furnace and water heater.  Awesome backyard.  Great location! This is a must see!</t>
  </si>
  <si>
    <t>HILLCREST ELEMENTARY SCHOOL</t>
  </si>
  <si>
    <t>KIMBALL MIDDLE SCHOOL</t>
  </si>
  <si>
    <t>Call 800-746-9464. No lockbox. Once appt is confirmed ring bell. Owner will let you in.</t>
  </si>
  <si>
    <t>Fairfield</t>
  </si>
  <si>
    <t>71ST TO FAIRFIELD, SOUTH TO ADDRESS</t>
  </si>
  <si>
    <t>LOVELY CORNER BRICK CAPECOD, PROFESSIONALLY REMODELED WITH EXQUISITE TOUCHES. 4 BDRMS AND 2 FULL ELEGANT BATHS. HARDWOOD FLOORS THROUGHOUT. KITCHEN EQUIPPED W/ BEAUTIFUL IVORY CABINETS WITH GRANITE COUNTER TOPS, ALL STAINLESS STEEL APPLIANCES. FULL PARTIALLY FINISHED BASEMENT WITH LAUNDRY ROOM. NEW FURNACE AND CENTRAL AIR. WOOD DECK WITH OVERSIZED FENCED BACKYARD. NEWER 2.5 CAR GARAGE W/ CAR PORT.</t>
  </si>
  <si>
    <t>21X19</t>
  </si>
  <si>
    <t>Oven/Range, Microwave, Refrigerator</t>
  </si>
  <si>
    <t>Circuit Breakers, 150 Amp Service</t>
  </si>
  <si>
    <t>Immediate</t>
  </si>
  <si>
    <t>2.5%-$150+$1000 BONUS (on Net SP)</t>
  </si>
  <si>
    <t>New Hope Realty Group, Inc.</t>
  </si>
  <si>
    <t>(773) 581-8600</t>
  </si>
  <si>
    <t>Edgar Garza, CRS,GRI</t>
  </si>
  <si>
    <t>(773) 908-4643</t>
  </si>
  <si>
    <t>LPG PROPERTIES INC</t>
  </si>
  <si>
    <t>YOUR CLIENTS WILL FALL IN LOVE WITH THIS UNIQUE CORNER HOME, SHOWS LIKE NEW</t>
  </si>
  <si>
    <t>Barrington Road to Walnut E to Edgebrook N to property</t>
  </si>
  <si>
    <t>Hanover Highlands</t>
  </si>
  <si>
    <t>STATFORD</t>
  </si>
  <si>
    <t>Needs a bit of work, but come take a peek. Spacious split level with great potential. Close to main roads for easy access to shopping, expressway, etc. Nice sized backyard waits for you and your family.</t>
  </si>
  <si>
    <t>3% - $250 (on Gross SP)</t>
  </si>
  <si>
    <t>RE/MAX Unlimited Northwest</t>
  </si>
  <si>
    <t>(630) 830-9100</t>
  </si>
  <si>
    <t>Laura Resnick, CNC</t>
  </si>
  <si>
    <t>(630) 975-0615</t>
  </si>
  <si>
    <t>630-975-0615</t>
  </si>
  <si>
    <t>call listing office.</t>
  </si>
  <si>
    <t>please turn lights off. don't turn on water. leave card. Registration is free for Agents to submit offers.To submit an offer on the property for consideration,  submit through RES.NET</t>
  </si>
  <si>
    <t>Hermitage</t>
  </si>
  <si>
    <t>Addison or Waveland to Hermitage (1732 West) one way north to 3822 N Hermitage</t>
  </si>
  <si>
    <t>HAMILTON ELEMENTARY SCHOOL</t>
  </si>
  <si>
    <t>31X12</t>
  </si>
  <si>
    <t>Deck, Eating Area, Foyer, Utility Room-Lower Level</t>
  </si>
  <si>
    <t>Immediate, Negotiable</t>
  </si>
  <si>
    <t>Skylight(s), Hardwood Floors, 1st Floor Bedroom</t>
  </si>
  <si>
    <t>Deck, Patio, Brick Paver Patio, Storms/Screens</t>
  </si>
  <si>
    <t>(773) 935-4466</t>
  </si>
  <si>
    <t>Chaz Walters</t>
  </si>
  <si>
    <t>(773) 868-3080</t>
  </si>
  <si>
    <t>48 hour minimum notice required</t>
  </si>
  <si>
    <t>CALLS ONLY Jeff 773.880.7500 please allow minimum 48 hours notice for scheduling.</t>
  </si>
  <si>
    <t>CALLS ONLY Jeff 773.880.7500  Please allow minimum 48 hours notice for scheduling.  Thank you.</t>
  </si>
  <si>
    <t>Springfield</t>
  </si>
  <si>
    <t>Pulaski to 109th Street, east to Springfield, north to 108th Place, left to house</t>
  </si>
  <si>
    <t>2-STORY</t>
  </si>
  <si>
    <t>45X140</t>
  </si>
  <si>
    <t>SHORT SALE! Great location in Mt. Greenwood! Large home features 4 bedrooms (poss. 5th in basement), 3 baths, full unfinished basement. Nice sized fenced yard, 2 car brick garage. All windows replaced in 2007, furnace and C/A in 2004. Hardwood floors under carpet on main floor. Solid home with lots of potential!</t>
  </si>
  <si>
    <t>10X21</t>
  </si>
  <si>
    <t>Patio, Porch, Brick Paver Patio</t>
  </si>
  <si>
    <t>(708) 957-0600</t>
  </si>
  <si>
    <t>Diane Cotter</t>
  </si>
  <si>
    <t>(708) 439-4764</t>
  </si>
  <si>
    <t>Call listing office for l/b code</t>
  </si>
  <si>
    <t>Pruchnicki</t>
  </si>
  <si>
    <t>CC: Pursuant to Short Sale. Pursuant to short sale, please allow time for bank approval. Any reduction in commission will be split 50/50. Use 6.0 contract. EM to be in certified funds made payable to Coldwell Banker. Thanks for showing!</t>
  </si>
  <si>
    <t>POMFRET</t>
  </si>
  <si>
    <t>WOLF'S CROSSING TO SOUTHBURY TO WILLINGTON TO POMFRET</t>
  </si>
  <si>
    <t>SOUTHBURY</t>
  </si>
  <si>
    <t>HAVERFORD</t>
  </si>
  <si>
    <t>80X150</t>
  </si>
  <si>
    <t>LIKE NEW CONDITION WITH FIREPLACE* ENGLISH BASEMENT WITH 9 FOOT CEILINGS*GOURMET KITCHEN*THIS HOME IS NOT TO BE MISSED*DBL CONVECTION OVEN*FULLY APPLIANCED*HW LIV. RM. DINING ROOM AND KITCHEN*BEAUTIFUL MORNING ROOM*TILE BACKSPLASH*HUGE ISLAND*42"CABS W/CROWN MOLDING*F.P. W/GAS LOGS* 1ST FLR DEN*DUAL STAIRCASE*FULL FINISHED LOOKOUT BMT. W/HM THEATRE*MBATH WITH WHIRLPOOL*HIS N'HERS CLOSETS*3 CAR GARAGE. CLOSE TO SCHOOL</t>
  </si>
  <si>
    <t>Gas, Zoned</t>
  </si>
  <si>
    <t>Clubhouse, Pool, Curbs/Gutters, Sidewalks, Street Lights, Street Paved</t>
  </si>
  <si>
    <t>Fan-Whole House, Sump Pump</t>
  </si>
  <si>
    <t>Breakfast Room, Den, Great Room, Theatre Room, Utility Room-1st Floor</t>
  </si>
  <si>
    <t>30X20</t>
  </si>
  <si>
    <t>2.5%-$300 (on Net SP)</t>
  </si>
  <si>
    <t>Vision Realty International</t>
  </si>
  <si>
    <t>(630) 863-4020</t>
  </si>
  <si>
    <t>Andrew Yee</t>
  </si>
  <si>
    <t>VACANT ON SENTRI. PLS REMOVE SHOES AND TURN OFF ALL LTS. THANKS!</t>
  </si>
  <si>
    <t>Millard</t>
  </si>
  <si>
    <t>111TH ST TO MILLARD, N TO ADDRESS</t>
  </si>
  <si>
    <t>THIS IS A FANNIE MAE HOMEPATH PROPERTY.  NOTHING BUT POTENTIAL HERE!  GREAT BLOCK, CLOSE TO AG SCHOOL, PARK SHOPPING AND TRANSPORTATION. LARGE KITCHEN, SPACIOUS ROOM SIZES AND LARGE DECK AT REAR OF PROPERTY. NOTE, PROPERTY HAS BOTH AN ATTACHED AND DETACHED GARAGE</t>
  </si>
  <si>
    <t>26X11</t>
  </si>
  <si>
    <t>P.R.S. Associates, Inc.</t>
  </si>
  <si>
    <t>(773) 233-4700</t>
  </si>
  <si>
    <t>Barbara Thouvenell</t>
  </si>
  <si>
    <t>(773) 677-0917</t>
  </si>
  <si>
    <t>CALL 877 977 1010</t>
  </si>
  <si>
    <t>THE SELLER DIRECTS THAT ALL OFFERS BE SUBMITTED VIA HOMEPATH.COM USE ATTACHED CONTRACT PKG FOR EASE OF SUBMISSION</t>
  </si>
  <si>
    <t>82nd</t>
  </si>
  <si>
    <t>79th To Lawndale, South to 82nd Street East to home</t>
  </si>
  <si>
    <t>Beautifully renovated 4 bdrm/2 bath Raised Ranch with quality finishes. Open floor plan w/ hardwood flrs. Expresso kitchen cabinets w/ island, granite tops, tile back-splash, SS appliances. Gorgeous bathrooms w/ modern tile and fixtures. Huge finished lower level features family room, 4th bdrm laundry and bathroom. New A/C, Windows, CB Electric. Fenced yard for summer gatherings &amp; 2 car garage.</t>
  </si>
  <si>
    <t>42X10</t>
  </si>
  <si>
    <t>Roman Properties, LLC.</t>
  </si>
  <si>
    <t>(773) 661-3331</t>
  </si>
  <si>
    <t>Geraldo Roman</t>
  </si>
  <si>
    <t>(773) 451-8351</t>
  </si>
  <si>
    <t>21ST CENTURY HOYNE LLC #2</t>
  </si>
  <si>
    <t>NOT A SHORT SALE. QUICK CLOSING.</t>
  </si>
  <si>
    <t>89th</t>
  </si>
  <si>
    <t>N or S on Cottage Grove to 89th Place.  West to property.</t>
  </si>
  <si>
    <t>DAUPHIN PARK</t>
  </si>
  <si>
    <t>4836 FT</t>
  </si>
  <si>
    <t>WOW brick home with sleek updates.  Nwr roof, mechanicals, windows. SS appl's plus W/D.  Spacious bdrms, incl master with lg bath and dressing area.  Tons of closet space/storage. Add'l huge bdrm/sitting room off bath on main floor - perfect for related living.  2-car garage, fenced yard, side drive. Unf'd bsmt w/ bath and sep. entrance has potential for man cave or media rm.   $5K CREDIT TO BUYER W/FULL OFFER!</t>
  </si>
  <si>
    <t>Double Sink, Soaking Tub</t>
  </si>
  <si>
    <t>Enclosed Porch, Foyer, Pantry, Other</t>
  </si>
  <si>
    <t>Wood Laminate Floors, 1st Floor Bedroom, 1st Floor Full Bath</t>
  </si>
  <si>
    <t>6X5</t>
  </si>
  <si>
    <t>9X5</t>
  </si>
  <si>
    <t>7X4</t>
  </si>
  <si>
    <t>2.25% (on Gross SP)</t>
  </si>
  <si>
    <t>(773) 451-1200</t>
  </si>
  <si>
    <t>Connie Gibson</t>
  </si>
  <si>
    <t>Connie Gibson, 630.408-0917</t>
  </si>
  <si>
    <t>TELL YOUR CLIENTS: Payments only $1200-$1300/month with low downpayment! Seller will pay 3% closing costs w/full-priced offer.  Bedrooms are perfect for king size bedroom furniture.  Shopping nearby.  Easy show/sell.</t>
  </si>
  <si>
    <t>84th</t>
  </si>
  <si>
    <t>STONEY ISLAND AVE, S TO 84TH PL, PROCEED TO ADDRESS</t>
  </si>
  <si>
    <t>Total gut rehab; 4bed 3.5 bath; brand new 2 level extension; 2 decks; master suite with walk in closet; Granite counter tops;  Brand new stainless steel package included... Spectacular open floor layout...</t>
  </si>
  <si>
    <t>18X22</t>
  </si>
  <si>
    <t>Georgian</t>
  </si>
  <si>
    <t>Dream Spots Leasing Inc</t>
  </si>
  <si>
    <t>(773) 633-2369</t>
  </si>
  <si>
    <t>Perdure Carter</t>
  </si>
  <si>
    <t>(312) 502-7205</t>
  </si>
  <si>
    <t>call listing agent</t>
  </si>
  <si>
    <t>Keeler</t>
  </si>
  <si>
    <t>TAKE 55TH STREET TO KEELER, THEN SOUTH TO PROPERTY.</t>
  </si>
  <si>
    <t>3,780 SQ FT.</t>
  </si>
  <si>
    <t>Price reduced !!! Good looking Brick Cape Cod with 4 bedrooms finished basement and detached 2 car garage in a great area.. Relax in an area close to parks, schools,shopping and public transportation.  This is a Fannie Mae HomePath property  . Come take a look...</t>
  </si>
  <si>
    <t>12X08</t>
  </si>
  <si>
    <t>Showtime Realty, Inc.</t>
  </si>
  <si>
    <t>(773) 581-3456</t>
  </si>
  <si>
    <t>David Padgurskis</t>
  </si>
  <si>
    <t>See additional info " tips for selling agents "  Submit all offer through Homepath.com</t>
  </si>
  <si>
    <t>SCHOOL</t>
  </si>
  <si>
    <t>Narragansett North of Belmont to School st. one way east.</t>
  </si>
  <si>
    <t>Historic Chicago Bungalow on a lovely tree lined street.   4 bedrooms PLUS office, mud room, and immaculate finished basement.  Beautiful re-finished wood trim, hardwood floors throughout, newer kitchen and baths; 3 full baths -  one per floor !  Tons of storage, loads of charm.  Meticulously maintained home.  New windows, new electric, new sump pump, and more! Must see this gem.</t>
  </si>
  <si>
    <t>Enclosed Porch, Office, Recreation Room, Utility Room-Lower Level</t>
  </si>
  <si>
    <t>Karrin Algas</t>
  </si>
  <si>
    <t>(773) 732-6650</t>
  </si>
  <si>
    <t>Please use showing assistant</t>
  </si>
  <si>
    <t>Oak Park</t>
  </si>
  <si>
    <t>South on Oak Park Ave past Irving Park Road</t>
  </si>
  <si>
    <t>Schorsch Village, Brick English Tudor. Needs TLC</t>
  </si>
  <si>
    <t>14X30</t>
  </si>
  <si>
    <t>2% (on Net SP)</t>
  </si>
  <si>
    <t>(773) 935-6450</t>
  </si>
  <si>
    <t>Lori Wyatt</t>
  </si>
  <si>
    <t>(312) 656-9999</t>
  </si>
  <si>
    <t>Text or e-mail LA</t>
  </si>
  <si>
    <t>KEELER</t>
  </si>
  <si>
    <t>PULASKI RD(4000W) TO 80TH PLACE, WEST TO KEELER(4200W).YOU CAN ALSO ENTER OFF 79TH ST AT KARLOV.</t>
  </si>
  <si>
    <t>BOGAN MANOR</t>
  </si>
  <si>
    <t>40 X 125</t>
  </si>
  <si>
    <t>STUNNING RENOVATION! VAULTED LR CEILINGS W/ILLUMINATED DISPLAY AREA.TRAY CEILING IN THE AWESOME KITCHEN W/RICH COFFEE STAINED CABINETRY,GRANITE TOPS &amp; STAINLESS APPLIANCES.VAULTED CEILINGS IN THE BTH.GLEAMING NARROW OAK FLOORS.FINISHED BSMT W/WETBAR AREA, FULL BATH,4TH BDR,LAUNDRY RM &amp; HUGE ENTERTAINING SPC THERMOPANE WINDOWS,HI-EFF PULSE FURNACE PLUS C/A. HOME LOOKS AND FEELS BRAND NEW. SIDE DRIVE,2 CAR GARAGE. WOW!</t>
  </si>
  <si>
    <t>40X13</t>
  </si>
  <si>
    <t>Sewer-Public, Overhead Sewers</t>
  </si>
  <si>
    <t>Vaulted/Cathedral Ceilings, Hardwood Floors, 1st Floor Bedroom, In-Law Arrangement, 1st Floor Full Bath</t>
  </si>
  <si>
    <t>Barry Gaw</t>
  </si>
  <si>
    <t>(708) 280-2800</t>
  </si>
  <si>
    <t>708-921-2100 Cell</t>
  </si>
  <si>
    <t>CALL LISTING OFFICE AT 708-857-1500</t>
  </si>
  <si>
    <t>85th</t>
  </si>
  <si>
    <t>Pulaski to 85th. East on 85th to property.</t>
  </si>
  <si>
    <t>25*125</t>
  </si>
  <si>
    <t>UPDATED FOUR BEDROOM HOME, WITH TWO FULL BATHROOMS! GREAT LOCATION. BEAUTIFUL KITCHEN. FINISHED BASEMENT.</t>
  </si>
  <si>
    <t>10X19</t>
  </si>
  <si>
    <t>13X32</t>
  </si>
  <si>
    <t>2.5% - 200 (on Net SP)</t>
  </si>
  <si>
    <t>Citywide Realty LLC</t>
  </si>
  <si>
    <t>(773) 498-2524</t>
  </si>
  <si>
    <t>Leopoldo Saucedo</t>
  </si>
  <si>
    <t>Sentry Lock Box</t>
  </si>
  <si>
    <t>BRING YOUR BUYER. THIS PROPERTY IS FHA READY. NO WAITING FOR A RESPONSE FROM THE BANK. QUICK RESPONSE AND QUICK CLOSING.</t>
  </si>
  <si>
    <t>BEN</t>
  </si>
  <si>
    <t>Plano</t>
  </si>
  <si>
    <t>RT 34 TO BEN ST NORTH TO HOME.</t>
  </si>
  <si>
    <t>PLANO</t>
  </si>
  <si>
    <t>LITTLE ROCK</t>
  </si>
  <si>
    <t>131X135</t>
  </si>
  <si>
    <t>OWN A PIECE OF HISTORY. VINTAGE  4 BEDROOM 2-STORY HOME BUILT IN THE LATE 1800'S. LARGE LOT SCREENED PORCH, HARDWOOD FLOORS, CENTRAL AIR.   NEEDS SOME WORK, BUT HAS POTENTIAL. SOLD AS-IS.</t>
  </si>
  <si>
    <t>P H MILLER ELEMENTARY SCHOOL</t>
  </si>
  <si>
    <t>PLANO MIDDLE SCHOOL</t>
  </si>
  <si>
    <t>PLANO HIGH SCHOOL</t>
  </si>
  <si>
    <t>Mud Room, Screened Porch</t>
  </si>
  <si>
    <t>Porch, Porch Screened</t>
  </si>
  <si>
    <t>21X11</t>
  </si>
  <si>
    <t>2.5%-$125 (on Net SP)</t>
  </si>
  <si>
    <t>Swanson Real Estate</t>
  </si>
  <si>
    <t>(815) 786-9418</t>
  </si>
  <si>
    <t>Linda Swanson</t>
  </si>
  <si>
    <t>(630) 436-5152</t>
  </si>
  <si>
    <t>630-632-5595</t>
  </si>
  <si>
    <t>USE SHOWING ASSIST OR CALL LO/LA</t>
  </si>
  <si>
    <t>PROPERTY IS IN A TRUST. SOLD AS-IS. VERY MOTIVATED SELLERS. ANY REASONABLE OFFER WILL BE CONSIDERED.</t>
  </si>
  <si>
    <t>Perry</t>
  </si>
  <si>
    <t>north/south on Vincennes to 77th St, east to Perry, 1-way north to property.</t>
  </si>
  <si>
    <t>The last one of its kind! Beautiful 4 bed/1 bath home features hardwood floors. Spacious backyard with oversized deck, great for family gatherings or just relaxing. Detached 2 car garage. Close to public transportation &amp; expressways. Don't miss out! Short sale.</t>
  </si>
  <si>
    <t>25X12</t>
  </si>
  <si>
    <t>Sir Sid Realty, LTD</t>
  </si>
  <si>
    <t>(773) 637-1377</t>
  </si>
  <si>
    <t>Sharon Moore</t>
  </si>
  <si>
    <t>24 hour</t>
  </si>
  <si>
    <t>Kittridge</t>
  </si>
  <si>
    <t>SLEEPY HOLLOW TO KITTRIDGE</t>
  </si>
  <si>
    <t>WEST DUNDEE</t>
  </si>
  <si>
    <t>142X87X125X87</t>
  </si>
  <si>
    <t>FREDDIE MAC HOMESTEPS PROPERTY SOLD AS IS   FIRST LOOK EXPIRES MAY 22 2014  KITCHEN OPENS TO FAMILY ROOM WITH FIREPLACE AND   MASTER BEDROOM HAS SITTING ROOM AND LUXURY MASTER BATH..WALK OUT BASEMENT WITH RECREATION ROOM. WILL NOT PASS FHA</t>
  </si>
  <si>
    <t>Recreation Room, Other</t>
  </si>
  <si>
    <t>Mary Tremonte</t>
  </si>
  <si>
    <t>(630) 624-6574</t>
  </si>
  <si>
    <t>call Baird Warner show desk 855-746-9100</t>
  </si>
  <si>
    <t>FHLMC</t>
  </si>
  <si>
    <t>BARRY WEST TO PAULINA AND NORTH TO THE PROPERTY</t>
  </si>
  <si>
    <t>30 X 110</t>
  </si>
  <si>
    <t>SUNLIGHT POURS INTO THIS EXTRA-WIDE LAKEVIEW HOME LOCATED IN THE BURLEY SCHOOL DIST FEATURING ATTACHED, HEATED GARAGE, LARGE AND SECLUDED BACK YARD/PATIO, LARGE EAT-IN KITCHEN W/WHITE CABINETRY AND GRANITE COUNTERS LEADING TO GREAT ROOM/BACK DECK, 3 LARGE UPSTAIRS BEDROOMS, CUSTOM BUILT-INS &amp; 10' CEILINGS, 4 FIREPLACES, LOWER LEVEL FAMILY ROOM AND GUEST BEDROOM, ABUNDANT STORAGE &amp; HEATED DRIVEWAY. SHOWS BEAUTIFULLY!</t>
  </si>
  <si>
    <t>BURLEY ELEMENTARY SCHOOL</t>
  </si>
  <si>
    <t>Balcony, Deck, Patio, Storage Shed, Dog Run &amp;/or Invisible Fence</t>
  </si>
  <si>
    <t>(312) 264-1200</t>
  </si>
  <si>
    <t>Jeffrey Lowe</t>
  </si>
  <si>
    <t>(312) 264-1122</t>
  </si>
  <si>
    <t>EMAIL SHOWINGS@LOWEGROUPCHICAGO.COM</t>
  </si>
  <si>
    <t>SELLERS HAVE SIGNIFICANTLY UPGRADED HOME. MASONRY WAS TUCKPOINTED/SEALED IN 2011. DRAMATIC YET PRACTICAL HOME W/OVERSIZED 2 CAR ATTACHED GARAGE.</t>
  </si>
  <si>
    <t>Green</t>
  </si>
  <si>
    <t>111TH TO GREEN NORTH TO PROPERTY</t>
  </si>
  <si>
    <t>This beautiful, recently rehabbed 4-bedroom, 2.5 bathroom home is overflowing with special features and new additions. The kitchen boasts stainless steel appliances, granite counters and upgraded cabinets. Gleaming hardwood floors cover the entire first and second floors. With central air conditioning, a 2-car garage, a great price and a whole lot more, this house is certainly a must see.</t>
  </si>
  <si>
    <t>25X11</t>
  </si>
  <si>
    <t>Use showing assist, below.</t>
  </si>
  <si>
    <t>0N564</t>
  </si>
  <si>
    <t>MORRILL</t>
  </si>
  <si>
    <t>KESLINGER W OF RANDALL 2  PRAIRIE CLOVER 2 BERQUIST 2 MORRILL</t>
  </si>
  <si>
    <t>BENJAMIN 2</t>
  </si>
  <si>
    <t>80 X 120</t>
  </si>
  <si>
    <t>SHARP NEWER HOME W/CUSTOM UPGRADES. Quality built in 2009 w/2x6 construct, copper pipes &amp; approx 3000 sqft. Kit w/granite, highend Pyramid cust cab. isld w/bun feet, SS appl. Impressive vault famrm w/plantation shutters. 2 sty foyer w/split staircs. Spacious mast w/2 WIC, vault ceil. 1st flr den w/built-ins. Pella windows. Deep pour plumb. Custom lockers in garage. Fantastic outdr space w/large deck &amp; firepit area.</t>
  </si>
  <si>
    <t>Martha Dorfler</t>
  </si>
  <si>
    <t>(630) 513-3176</t>
  </si>
  <si>
    <t>630-306-1230</t>
  </si>
  <si>
    <t>Call Showing Time 855-746-9093. 2 HR Notice.</t>
  </si>
  <si>
    <t>Aaron</t>
  </si>
  <si>
    <t>47 N of I90 W on Dahmer to stop sign L to Cameron L to Aaron to property</t>
  </si>
  <si>
    <t>RUTLAND</t>
  </si>
  <si>
    <t>125 X 138 X 126 X 27 X 18</t>
  </si>
  <si>
    <t>Absolutely beautiful home in Lakewood Crossing with 4 bedrooms. Backs up to quiet forest preserve like setting. Stunning kitchen with center island &amp; look thru to bright open dining room plus eating area/breakfast room. Neutral through-out entire home. Upstairs masterbath features relaxing whirlpool tub &amp; double sinks. Full unfinished basement. This is a Fannie Mae HomePath property.</t>
  </si>
  <si>
    <t>08X12</t>
  </si>
  <si>
    <t>Tanis Group Realty</t>
  </si>
  <si>
    <t>(847) 594-4215</t>
  </si>
  <si>
    <t>Joseph Mueller</t>
  </si>
  <si>
    <t>Please go to www.homepath.com to submit offers. The attached Fannie Mae Addendum and 6.0 contract must be included with your offer.</t>
  </si>
  <si>
    <t>River Ridge</t>
  </si>
  <si>
    <t>Sleepy Hollow</t>
  </si>
  <si>
    <t>BONCOSKY RD TO RIVER RIDGE</t>
  </si>
  <si>
    <t>SLEEPY HOLLOW</t>
  </si>
  <si>
    <t>100X159X100X169</t>
  </si>
  <si>
    <t>LARGE 4 BEDROOM 3 BATH HOME IN DESIRABLE SLEEPY HOLLOW / HUGE LOT!! BRING YOUR UPDATES AND DECORATING IDEA'S / FAX OFFERS TO OFFICE WITH PRE-APPROVAL / PROOF OF FUNDS / 100% TAX PRORATION / NO SURVEY NOR DISCLOSURES Highest best and final offers due 2/13/15 at 12:00 pm</t>
  </si>
  <si>
    <t>Area Wide Realty</t>
  </si>
  <si>
    <t>(708) 656-3333</t>
  </si>
  <si>
    <t>Michael Olszewski</t>
  </si>
  <si>
    <t>708-656-4444 FAX</t>
  </si>
  <si>
    <t>USE SHOW ASSIST</t>
  </si>
  <si>
    <t>WON'T QUALIFY FHA  â€¢ Employees and family members residing with employees of JPMorgan Chase Bank, N.A, its affiliates or subsidiaries are strictly prohibited from directly or indirectly purchasing any property owned by JPMorgan Chase Bank,</t>
  </si>
  <si>
    <t>FRANCISCO</t>
  </si>
  <si>
    <t>TAKE CALIFORNIA AVE. TO 42ND ST. GO WEST TO FRANCISCO AVE. THEN SOUTH TO ADDRESS</t>
  </si>
  <si>
    <t>SINGLE FAMILY HOME FOR A BIG FAMILY, WITH A LOT OF POTENTIAL. FULL FINISHED BASEMENT. TOTAL OF 3 BATHROOMS AND 4 BEDROOMS. NEW 2ND FL BATH REMODELED. FURNACE 6 YRS. 2 CAR GARAGE. SHORT SALE. SOLD "AS-IS". NO TERMITE, NO SURVEY, TAXES 100%. SHORT SALE APPROVED FOR $94,500. ***PREVIOUS CONTRACT FELL THROUGH DUE TO FINANCING. ***CASH ONLY***</t>
  </si>
  <si>
    <t>2nd Kitchen, Attic</t>
  </si>
  <si>
    <t>0X0</t>
  </si>
  <si>
    <t>2.5%-$100 (ON NET SP) (on Net SP)</t>
  </si>
  <si>
    <t>Su Familia Real Estate</t>
  </si>
  <si>
    <t>(773) 581-9600</t>
  </si>
  <si>
    <t>Irma Salinas</t>
  </si>
  <si>
    <t>(773) 581-9600x118</t>
  </si>
  <si>
    <t>24 HOUR NOTICE REQUIRED. CALL LISTING AGENT 773-848-9718</t>
  </si>
  <si>
    <t>Young</t>
  </si>
  <si>
    <t>Kirk to Pine (north of Rt 56). West on Pine to Lund. Left on Lund to Young. Right to home on right.</t>
  </si>
  <si>
    <t>83 X 293 X 92 X 147 X 50 X 125</t>
  </si>
  <si>
    <t>BIG HOME-LOOK AT THIS LOT SIZE!! Refinished Hardwood Floors, New Carpet and Paint. Big Kitchen, Family Room With Fireplace, 1st Floor Office &amp; Laundry, Master Suite With Separate Sitting Room. Finished Walkout Basement has 2nd Kitchen, 2nd Family Room, 2nd Fireplace, 2 Bedrooms, 2 Full Baths. No Personal Property Included. THIS IS A FANNIE MAE HOMEPATH PROPERTY.</t>
  </si>
  <si>
    <t>2nd Kitchen, Foyer, Great Room, Office, Sitting Room, Utility Room-Lower Level, Other</t>
  </si>
  <si>
    <t>Cedar, Other</t>
  </si>
  <si>
    <t>Vaulted/Cathedral Ceilings, Hardwood Floors, Wood Laminate Floors, In-Law Arrangement, 1st Floor Laundry</t>
  </si>
  <si>
    <t>09X06</t>
  </si>
  <si>
    <t>FAX: 888-465-1411</t>
  </si>
  <si>
    <t>CLICK ON "SCHEDULE A SHOWING" FOR INSTRUCTIONS</t>
  </si>
  <si>
    <t>**Call 630-608-4777 if questions    **NEW CARPET &amp; PAINT - REMOVE SHOES!  **Keybox on front door.     **Please lock all doors &amp; turn off lights.      **SELLER REQUESTS ALL OFFERS SUBMITTED THRU HOMEPATH.COM     **WRITING OFFER? REFER TO INS</t>
  </si>
  <si>
    <t>SAWYER</t>
  </si>
  <si>
    <t>Kedzie North/South to Balmoral. West to Sawyer. South to property. Sawyer is 1-way going South.</t>
  </si>
  <si>
    <t>Wonderfully finished brick raised ranch - Quiet North Park neighborhood. 3BRs on main level all w/ oak hardwood floors. Eat-in kitchen. Newer roof and finished lower level w/ 4th BR/office &amp; open family room. Storage &amp; utility area w/ side by side washer/dryer. Gorgeous west-facing, professionally landscaped back yard. Newly sided 2 car garage. Walk to university, Starbucks, restaurants -</t>
  </si>
  <si>
    <t>PETERSON ELEMENTARY SCHOOL</t>
  </si>
  <si>
    <t>21X15</t>
  </si>
  <si>
    <t>Gas, Hot Water/Steam, Zoned</t>
  </si>
  <si>
    <t>TV-Cable, Security System</t>
  </si>
  <si>
    <t>Christopher Secaur</t>
  </si>
  <si>
    <t>Sanders</t>
  </si>
  <si>
    <t>WATERBURY</t>
  </si>
  <si>
    <t>ROUTE 72 OR HUNTLEY ROAD W OF 31, E OF RANDALL TO TARTANS DRIVE TO WATERBURY COURT</t>
  </si>
  <si>
    <t>HILLS OF WEST DUNDEE</t>
  </si>
  <si>
    <t>QUINCY</t>
  </si>
  <si>
    <t>54X144X129X106</t>
  </si>
  <si>
    <t>ENTER THIS LOVELY HOME WITH HW FLOORS ON QUIET CUL DE SAC THROUGH COVERED PORCH. FLOORPLAN FLOW IS PERFECT FOR ENTERTAINING W/FAMILY ROOM OPEN TO LARGE EAT IN KITCHEN W/ OVERSIZED CENTER ISLAND.FULL ENGLISH BASEMENT WAITING TO BE FINISHED TO YOUR OWN SPECIFICATIONS, DECK OVERLOOKS LARGE YARD W/MOTORIZED SUN AWNING. NEWER ROOF,SIDING,FURNACE &amp; A/C. CONVENIENT TO I90 &amp; RANDALL RD CORRIDOR.CLOSE TO PARK TOO!</t>
  </si>
  <si>
    <t>DUNDEE HIGHLANDS ELEMENTARY SCHOOL</t>
  </si>
  <si>
    <t>Humidifier, TV-Cable, CO Detectors, Ceiling Fan, Sump Pump</t>
  </si>
  <si>
    <t>Skylight(s), Hardwood Floors, 1st Floor Laundry</t>
  </si>
  <si>
    <t>(815) 459-5900</t>
  </si>
  <si>
    <t>Karen Conley</t>
  </si>
  <si>
    <t>(847) 910-7515</t>
  </si>
  <si>
    <t>847-910-7515 CELL</t>
  </si>
  <si>
    <t>USE SHOWING ASSIST OR CALL LO</t>
  </si>
  <si>
    <t>2 HOUR NOTICE PREFERRED. PLEASE KNOCK FIRST, REMOVE SHOES, LEAVE CARD AND BE SURE STORM DOOR IS SECURELY CLOSED.</t>
  </si>
  <si>
    <t>Montana</t>
  </si>
  <si>
    <t>FULLERTON EAST OF CICERO TO KILPATRICK, NORTH TO MONTANA, WEST TO HOME</t>
  </si>
  <si>
    <t>31 X 121</t>
  </si>
  <si>
    <t>LARGE 1.5 STORY 4BR/2BTH BRICK BUNGALOW HAS GREAT BONES AND NEEDS YOUR TLC. FULL BASEMENT AND A DETACHED 2 CAR GARAGE. NICE SIZE YARD. CLOSE TO PUBLIC TRANSPORTATION AND LOCAL SHOPPING. THIS IS A FANNIE MAE HOMEPATH PROPERTY.</t>
  </si>
  <si>
    <t>3% OR $1000.00 WHICHEVER IS GREATER (on Net SP)</t>
  </si>
  <si>
    <t>Beaulieu Real Estate</t>
  </si>
  <si>
    <t>(773) 282-7979</t>
  </si>
  <si>
    <t>Rosemary Signorelli</t>
  </si>
  <si>
    <t>CALL LISTING OFFICE 773-282-7979</t>
  </si>
  <si>
    <t>THE BUYER IS RESPONSIBLE FOR ANY CITY CODE VIOLATIONS, IF ANY. THE SELLER HAS REQUESTED THAT ALL OFFERS BE MADE USING THE HOMEPATH ONLINE OFFER SYSTEM. GO TO HOMEPATH.COM  POF OR PREAPPROVAL TO BE EMAILED TO BROKER.</t>
  </si>
  <si>
    <t>Laflin</t>
  </si>
  <si>
    <t>Ashland to 85th St east to Laflin</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</si>
  <si>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 &amp; CONVENTIONAL OFFERS</t>
  </si>
  <si>
    <t>8X16</t>
  </si>
  <si>
    <t>$1250 (on Net SP)</t>
  </si>
  <si>
    <t>www.hubzu.com4 start &amp; end times Bank owned AS IS Offers MUST submit www.hubzu.com SELLER WONT ACTIVATE UTILITY 4 inspection.NO FAX/EMAIL OFFER PER SELLER,  View b4 bidding... Fee of $299.00&amp; 4.5%Buyer prem pd@ close by buyer</t>
  </si>
  <si>
    <t>Cicero to 81 St, East to Keating, South to address</t>
  </si>
  <si>
    <t>26X115X99</t>
  </si>
  <si>
    <t>........BANK OWNED SOLD AS-IS . BUYER RESPONSIBLE FOR TERMITE AND SURVEY. TAXES PRORATED AT 100% . PROOF OF FUNDS OR PRE-APPROVAL REQUIRED WITH ALL OFFERS . E.M. MUST BE CERTIFIED FUNDS. CONTRACT MUST BE ON A MULTI-BOARD 5.0</t>
  </si>
  <si>
    <t>2.5%-$100 (on Net SP)</t>
  </si>
  <si>
    <t>Mauricio Gonzalez</t>
  </si>
  <si>
    <t>Please Use 'Schedule A Showing", click Below</t>
  </si>
  <si>
    <t>TCF National Bank</t>
  </si>
  <si>
    <t>Email Offers to mauricio@citywide-realty.com.. Contract must be on a Multi-board 5.0. Minimum EM for financed deals is $2500 and $5000 on CASH deals.</t>
  </si>
  <si>
    <t>FARGO</t>
  </si>
  <si>
    <t>RANDALL RD TO FARGO BLVD EAST TO HOME</t>
  </si>
  <si>
    <t>EAGLE BROOK</t>
  </si>
  <si>
    <t>100X136X102X135</t>
  </si>
  <si>
    <t>ALL THIS CAN BE YOURS! Breathtaking private golf course views! Stunning, expansive open floor plan perfect for entertaining~fully equipped kitchen w/granite &amp; stainless appliances~2 story family room w/masonry fireplace &amp; wall of windows~new gleaming hardwoods~front &amp; back staircases~lots of built-ins~master w/sitting area~expansive paver patio with awning~Top rated schools, close to Metra &amp; town~The price is right!</t>
  </si>
  <si>
    <t>WESTERN AVENUE ELEMENTARY SCHOOL</t>
  </si>
  <si>
    <t>Golf Course Lot, Landscaped Professionally, Pond, Water View</t>
  </si>
  <si>
    <t>Humidifier, Water-Softener Owned, Security System, CO Detectors, Ceiling Fan, Sump Pump, Radon Mitigation System(s)</t>
  </si>
  <si>
    <t>Hemming &amp; Sylvester Properties</t>
  </si>
  <si>
    <t>(630) 232-0021</t>
  </si>
  <si>
    <t>Ginny Sylvester, ABR,e-PRO</t>
  </si>
  <si>
    <t>(630) 715-1887</t>
  </si>
  <si>
    <t>630-715-1887</t>
  </si>
  <si>
    <t>PLEASE CALL: 855-917-9150 FOR AN APPOINTMENT</t>
  </si>
  <si>
    <t>DOUGLAS</t>
  </si>
  <si>
    <t>KIMBALL E OF RT.31 TO DOUGLAS L TO PROPERTY</t>
  </si>
  <si>
    <t>99X178</t>
  </si>
  <si>
    <t>One of Elginâ€™s finest Colonial homes built in 1902! Amazing curb appeal. Features include over 3600 sq ft of living space, gourmet kitchen with custom cabinetry, updated bathrooms, arched doorways, 5 bedrooms, enclosed porch &amp; walk up attic. The exterior stone work is jaw dropping. Located in the heart of historical district blocks from downtown &amp; the river.  This is a HomePath property.</t>
  </si>
  <si>
    <t>MCKINLEY ELEMENTARY SCHOOL</t>
  </si>
  <si>
    <t>19X18</t>
  </si>
  <si>
    <t>23X12</t>
  </si>
  <si>
    <t>Gas, Radiators</t>
  </si>
  <si>
    <t>Commuter Train, Historical District</t>
  </si>
  <si>
    <t>Bonus, Foyer</t>
  </si>
  <si>
    <t>Patio, Outdoor Fireplace</t>
  </si>
  <si>
    <t>16X29</t>
  </si>
  <si>
    <t>(847) 381-1855</t>
  </si>
  <si>
    <t>Kim Alden, SFR</t>
  </si>
  <si>
    <t>(847) 254-5757</t>
  </si>
  <si>
    <t>Call 1-855-746-9100 M-Sun 8AM-10PM to schedule appointment</t>
  </si>
  <si>
    <t>Follow instructions UNDER ADDITIONAL INFORMATION tab.visit HomePath.com for 1st Look * Seller directs all Offers to be made online at Homepath.com</t>
  </si>
  <si>
    <t>MASSASOIT</t>
  </si>
  <si>
    <t>AUSTIN TO 62ND - EAST TO MASSASOIT - NORTH TO HOME</t>
  </si>
  <si>
    <t>This home qualifies for special government funding, all buyer needs is $2499 down to buy! No Joke! New roof, siding, furnace and water heater. Refinished HW floors. New carpet and paint. Updated electric and plumbing. Gorgeous kitchen with new cabinets, granite counters, ss appl and modern backsplash. Both baths are brand new. Finished lower level with two extra rooms, bath and laundry. New can lighting.</t>
  </si>
  <si>
    <t>Chase Real Estate, LLC</t>
  </si>
  <si>
    <t>(630) 527-0095</t>
  </si>
  <si>
    <t>Cristy Trepachko</t>
  </si>
  <si>
    <t>(630) 248-3702</t>
  </si>
  <si>
    <t>CENTRALIZED SHOWINGS PH 877-977-1010</t>
  </si>
  <si>
    <t>A/C UNIT WILL BE INSTALLED BEFORE CLOSING. EASY TO SHOW AND SELL. Submit Offer Online using link   https://chaserealestate.knackhq.com/cristy-listings#submitoffer/</t>
  </si>
  <si>
    <t>95th ST TO LOOMIS S. TO 96th ST W. TO BISHOP N. TO 9545</t>
  </si>
  <si>
    <t>32 X 125</t>
  </si>
  <si>
    <t>Impeccable 2 story Ranch featuring finished basement w/ additional bedroom making this a home to be proud of. Master suite w/ vaulted ceilings, sizable back deck, fireplace, Hardwood floors throughout &amp; a detached 2 car garage. 10 minute walk from the RI Rock Island at the 95th St.-Longwood stop &amp; close drive to 94. Nearby parks include Ridge Park, Oakdale Park and Brainerd Park. Sold AS-IS.</t>
  </si>
  <si>
    <t>TV-Cable, Security System, Ceiling Fan, Sump Pump</t>
  </si>
  <si>
    <t>Vinyl Siding, Steel Siding, Brick</t>
  </si>
  <si>
    <t>Deck, Patio, Porch Screened</t>
  </si>
  <si>
    <t>Kale Realty</t>
  </si>
  <si>
    <t>(312) 939-5253</t>
  </si>
  <si>
    <t>Memo Vulic</t>
  </si>
  <si>
    <t>(773) 946-1705</t>
  </si>
  <si>
    <t>Text (773)946-1705 for LB</t>
  </si>
  <si>
    <t>Multiple offers received. Highest &amp; Best due by 3pm 11/9.</t>
  </si>
  <si>
    <t>Spring</t>
  </si>
  <si>
    <t>KIMBALL TO SPRING NORTH TO HOME</t>
  </si>
  <si>
    <t>66X132</t>
  </si>
  <si>
    <t>STUCCO EXTERIOR AMERICAN 4 SQUARE IN THE ELGIN HISTORICAL DISTRICT AREA. PROPERTY LISTED AT A PRICE TO MOVE FAST. SOLD AS-IS. CASH OFFERS ONLY. BUYER RESP FOR THE ELGIN TRANSFEREE ACKNOWLEDGEMENT FORM AND ANY POSSIBLE OPEN CODE CASES. NOT A SHORT SALE OR FORECLOSURE.</t>
  </si>
  <si>
    <t>Historical District</t>
  </si>
  <si>
    <t>Stucco</t>
  </si>
  <si>
    <t>American 4-Sq.</t>
  </si>
  <si>
    <t>Weichert, Realtors-Kingsland Properties</t>
  </si>
  <si>
    <t>(630) 665-1000</t>
  </si>
  <si>
    <t>John Wright</t>
  </si>
  <si>
    <t>REO@WR-KP.COM / FAX: 630-658-0546</t>
  </si>
  <si>
    <t>CALL 855-957-1408 OR CLICK BELOW FOR SHOWING</t>
  </si>
  <si>
    <t>SOLD AS-IS. BUYER RESP FOR ELGIN TRANSFEREE ACKNOWLEDGEMENT FORM + ANY OPEN CODE CASES.TAXES 100%. FAX OFFERS TO 630-658-0546 OR EMAIL TO REO@WR-KP.COM</t>
  </si>
  <si>
    <t>Seminary</t>
  </si>
  <si>
    <t>Seminary one way North from Webster.</t>
  </si>
  <si>
    <t>24X124</t>
  </si>
  <si>
    <t>Exceptional Construction by Crescent Rock and Architects Sullivan, Goullette, &amp; Wilson. Interior Designed. Gorgeous Custom Rehabbed home only 1 year old in highly sought after Lincoln Park/DePaul Area. 10.5' ceilings, custom millwork &amp; cabinetry. All high end finishes in a high end home. Open Family Rm &amp; Kitchen, Butlers Pantry, &amp; En Suite Bedrms. Full finished bsment. Bluestone backyd. Basketball court above garage.</t>
  </si>
  <si>
    <t>OSCAR MAYER ELEMENTARY SCHOOL</t>
  </si>
  <si>
    <t>Gas, Radiant, Zoned</t>
  </si>
  <si>
    <t>Oven/Range, Microwave, Dishwasher, Refrigerator, Refrigerator-Bar, Washer, Dryer, Disposal</t>
  </si>
  <si>
    <t>Sprinkler-Lawn</t>
  </si>
  <si>
    <t>Foyer, Office, Recreation Room</t>
  </si>
  <si>
    <t>Patio, Roof Deck, Grill-Outdoors</t>
  </si>
  <si>
    <t>8X11</t>
  </si>
  <si>
    <t>21X18</t>
  </si>
  <si>
    <t>14X7</t>
  </si>
  <si>
    <t>4 Sale Realty, Inc.</t>
  </si>
  <si>
    <t>(847) 298-4663</t>
  </si>
  <si>
    <t>Quin O'Brien, CNC</t>
  </si>
  <si>
    <t>Fax: 847-986-3520</t>
  </si>
  <si>
    <t>773-294-7309</t>
  </si>
  <si>
    <t>Call owner directly for an appointment @ 773-294-7309 and ask for Amy.</t>
  </si>
  <si>
    <t>Amy &amp; Joe Kartheiser</t>
  </si>
  <si>
    <t>Call owner directly for an appointment @ 773-294-7309 and ask for Amy.  Fax or email offers to listing agent.  Listing company does not hold earnest money.</t>
  </si>
  <si>
    <t>Charlemagne</t>
  </si>
  <si>
    <t>Kirk North of Main to Foxfield  East to Fox Chase Dr to Charlemagne to Home</t>
  </si>
  <si>
    <t>KENWICK</t>
  </si>
  <si>
    <t>75X143X122X130</t>
  </si>
  <si>
    <t>IT SPARKLES! A MUST SEE GEM. BRICK &amp; HARDIBOARD BEAUTY With many Upgrades. Nearly All HARDWOODS on 1st floor. ZODIAC QUARTZ KITCHEN includs all Appliances. Elegant white CROWN Molding, most rooms. Much is NEWER: HB SIDING-08, ROOF &amp; WINDOWS-09, HVAC-02, DRIVE &amp; GARAGE DOOR-08 &amp; more. VAULTED MASTER SUITE has 3 Closets &amp; LUX BATH. 2 BATHS Remod.  Gorgeous FENCED Yard w/ Multi-Level DECK. Near Schools &amp; Shopping. NICE!</t>
  </si>
  <si>
    <t>FOX RIDGE ELEMENTARY SCHOOL</t>
  </si>
  <si>
    <t>Unfinished, Crawl</t>
  </si>
  <si>
    <t>Humidifier, Water-Softener Owned, TV-Cable, Security System, CO Detectors, Ceiling Fan, Sump Pump, Backup Sump Pump</t>
  </si>
  <si>
    <t>2.5-$150 (on Net SP)</t>
  </si>
  <si>
    <t>Ken Ward, CRS,GRI</t>
  </si>
  <si>
    <t>(630) 262-9273</t>
  </si>
  <si>
    <t>www.wardteam.com</t>
  </si>
  <si>
    <t>Call 855-746-9093</t>
  </si>
  <si>
    <t>Ultra Clean, No Kids, No Pets, No Smoke. Shows Great! SIDING is Newer HARDIBOARD composite Cedar. BASEMENT is 1/2 Full &amp; 1/2 crawl. MS &amp; HS kids can walk to school. Quick Closing is OK.</t>
  </si>
  <si>
    <t>TALMAN</t>
  </si>
  <si>
    <t>MARQUETTE RD (67TH ST) TO TALMAN NORTH TO 6625</t>
  </si>
  <si>
    <t>32X125</t>
  </si>
  <si>
    <t>BRICK CAPE COD SPACIOUS 4 BEDROOM, 2 UPDATED BATHS, NEW CARPETING OVER HARDWOOD ON MAIN FLOOR. BRIGHT EAT IN KITCHEN  CLEAN, DRY, PARTIALLY FINISHED BSMT W/SEP LAUNDRY ROOM. ENJOY THIS MOVE IN CONDITION HOME W/NEW CENTRAL AC, NEW ARCHITECTURAL ROOF. TUCKPOINTING.  WELL MAINTAINED LARGE FENCED IN YARD. GREAT LOCATION-JUST A FEW BLOCKS FROM SCHOOLS, CHURCHES, HOSPITAL AND PARK.</t>
  </si>
  <si>
    <t>28X12</t>
  </si>
  <si>
    <t>Oven/Range, Refrigerator, Washer</t>
  </si>
  <si>
    <t>Humidifier, CO Detectors, Ceiling Fan</t>
  </si>
  <si>
    <t>Oscar Campos</t>
  </si>
  <si>
    <t>USE SHOWING ASSIST 24-48 HR NOTICE AFTER 4PM</t>
  </si>
  <si>
    <t>Earnest Money in CERTIFIED FUNDS only made payable to Chicago Title.</t>
  </si>
  <si>
    <t>Raintree</t>
  </si>
  <si>
    <t>Rt 71 to Raintree</t>
  </si>
  <si>
    <t>93X136</t>
  </si>
  <si>
    <t>Beautiful home that has new carpet throughout and has been freshly painted. Open floor plan with big kitchen featuring island and eating area. 4 nice sized bedrooms and 2 1/2 baths. 1st floor laundry. Nice subdivision close to in town amenities.  NO PERSONAL PROPERTY INCL. This is a Fannie Mae HomePath property.</t>
  </si>
  <si>
    <t>Island, Pantry-Closet</t>
  </si>
  <si>
    <t>Clubhouse, Park/Playground, Pool</t>
  </si>
  <si>
    <t>Sandra Ledesma</t>
  </si>
  <si>
    <t>(815) 970-0985</t>
  </si>
  <si>
    <t>815-970-0985</t>
  </si>
  <si>
    <t>Call centralized showing at 877-977-1010</t>
  </si>
  <si>
    <t>ALL OFFERS MUST BE SUBMITTED USING THE HOMEPATH ONLINE OFFER SYSTEM - FOR MORE INFO. VISIT WWW.HOMEPATH.COM. PAPERWORK FOUND IN ADDITIONAL INFO. TO SUBMIT OFFER.</t>
  </si>
  <si>
    <t>Kensington</t>
  </si>
  <si>
    <t>Ogden (Rt 34) to Douglas North to Long Beach E to Kensington North to home</t>
  </si>
  <si>
    <t>FARMINGTON LAKES</t>
  </si>
  <si>
    <t>NEW BAILEY</t>
  </si>
  <si>
    <t>70X140X44X127</t>
  </si>
  <si>
    <t>See attachment for PAS requirements and WFHM offer submittal information in MLS document section. Beautiful 2 Story with hardwood floors, gourmet kitchen, formal living and dining rooms. Large yard that backs up to pond and walking trails. English basement. Sold AS IS Seller Never Occupied No disclosures. Seller will not provide survey/pest report. Final sale subject to corp approval.</t>
  </si>
  <si>
    <t>LONG BEACH ELEMENTARY SCHOOL</t>
  </si>
  <si>
    <t>PLANK JUNIOR HIGH SCHOOL</t>
  </si>
  <si>
    <t>Signorello Realty, Inc.</t>
  </si>
  <si>
    <t>(708) 289-9753</t>
  </si>
  <si>
    <t>Nicholas Signorello</t>
  </si>
  <si>
    <t>Contracts to offers@signorellorealty.com or 630-898-1748. Use show assist below to schedule showing.</t>
  </si>
  <si>
    <t>Wells Fargo</t>
  </si>
  <si>
    <t>See attachment for PAS requirements and WFHM offer submittal information in MLS document section.</t>
  </si>
  <si>
    <t>Kedvale</t>
  </si>
  <si>
    <t>Irving Park to Keeler North to Belle Plaine East 1 block to Kedvale</t>
  </si>
  <si>
    <t>50X174</t>
  </si>
  <si>
    <t>Come see the beautifully remodeled Joseph Wallace House of 1897! The spectacular attention to detail includes top of the line appliances (Wolf, Sub Zero, Miele, Fisher Paykel) and fine finishes. This home has 2 wonderful wrap around porches and a roof deck, in addition to the extra large backyard. Every consideration was made in combining the historic charm with contemporary style and modern conveniences. 50x174' lot</t>
  </si>
  <si>
    <t>24X19</t>
  </si>
  <si>
    <t>Oven/Range, Microwave, Dishwasher, High End Refrigerator, Washer, Dryer, Disposal, All Stainless Steel Kitchen Appliances, Wine Cooler/Refrigerator</t>
  </si>
  <si>
    <t>Humidifier, Central Vacuum, TV-Dish, Security System, Ceiling Fan, Sump Pump, Backup Sump Pump</t>
  </si>
  <si>
    <t>Den, Eating Area, Mud Room</t>
  </si>
  <si>
    <t>See through/Multi Sided, Wood Burning, Attached Fireplace Doors/Screen, Gas Logs, Gas Starter</t>
  </si>
  <si>
    <t>5X7</t>
  </si>
  <si>
    <t>2.5%-$325 (on Gross SP)</t>
  </si>
  <si>
    <t>Cara Buffa</t>
  </si>
  <si>
    <t>(312) 593-2608</t>
  </si>
  <si>
    <t>email CBuffa@koenigrubloff.com, 24 hour notice preferred</t>
  </si>
  <si>
    <t>lotus</t>
  </si>
  <si>
    <t>North Ave, 3 blocks east of Central then south on Lotus.</t>
  </si>
  <si>
    <t>Take advantage of this opportunity!! bungalow style property in need of repairs to be sold in its AS-IS condition. Don't let this diamond in the rough slip thru your fingers!! Hurry before  its gone and schedule your showing today!!!!!!!</t>
  </si>
  <si>
    <t>12X89</t>
  </si>
  <si>
    <t>19X9</t>
  </si>
  <si>
    <t>3 % (on Net SP)</t>
  </si>
  <si>
    <t>RE/MAX Fidelity</t>
  </si>
  <si>
    <t>(773) 524-2545</t>
  </si>
  <si>
    <t>Angel Aguilar</t>
  </si>
  <si>
    <t>(773) 968-4686</t>
  </si>
  <si>
    <t>use showing assist</t>
  </si>
  <si>
    <t>There are multiple offers. Seller has requested highest and best due date to be 10/17/2014 at noon. See additional docs for offer coversheet  and include it with your offer. Email your questions/offers. Selling as-is, where is.</t>
  </si>
  <si>
    <t>Long Common</t>
  </si>
  <si>
    <t>Route 20 West of Randall Road to Longcommon, South to Sales Office</t>
  </si>
  <si>
    <t>PROVIDENCE</t>
  </si>
  <si>
    <t>PRIMROSE PLUS</t>
  </si>
  <si>
    <t>36X53X202X110X204X53</t>
  </si>
  <si>
    <t>Fantastic &amp; move in ready featuring FOUR true bedrooms, 1st floor den AND Large Loft! Immaculate inside &amp; out with lots of great features:  Deep Pour Basement, Island kitchen w/42 inch Expresso cabinetry &amp; walk in pantry, Master suite with spa-like bath &amp; two walk in closets! Large secondary bedrooms! Zoned heating &amp; A/C,  Fantastic .58 acre lot backing to tree line &amp; high end homes! Clubhouse community- 301 Schools</t>
  </si>
  <si>
    <t>PRAIRIE VIEW GRADE SCHOOL</t>
  </si>
  <si>
    <t>Clubhouse, Park/Playground, Tennis Courts, Pond/Lake, Curbs/Gutters, Sidewalks</t>
  </si>
  <si>
    <t>Irregular, Landscaped Professionally</t>
  </si>
  <si>
    <t>Humidifier, Water-Softener Owned, Sump Pump, Radon Mitigation System(s)</t>
  </si>
  <si>
    <t>Breakfast Room, Den, Foyer, Loft</t>
  </si>
  <si>
    <t>855-919-0200 must confirm</t>
  </si>
  <si>
    <t>regular sale- deep pour basement- one of Providence's largest lots backing to Williamsburg Green</t>
  </si>
  <si>
    <t>Laurel</t>
  </si>
  <si>
    <t>Route 25 to Chicago St. West to N. Channing South to Laurel Left to property</t>
  </si>
  <si>
    <t>66X116</t>
  </si>
  <si>
    <t>Extremely well kept prop. that is like new.  Brand new kitchen, newer bath, newer roof, newer furnace.  The main floor has all 10-ft. soaring ceiling heights, and a gas fireplace.  The kitchen includes granite, maple cabs, and S.S appliances.  Upstairs offers dbl. the living space if finished.  The bsmt. is a walk-out w/ an extra bedroom, tool-bench, &amp; dbl. washtub.  Lot is professionally landscaped w/ a new fence</t>
  </si>
  <si>
    <t>School Bus Service, Commuter Bus, Commuter Train</t>
  </si>
  <si>
    <t>Attic, Mud Room</t>
  </si>
  <si>
    <t>Gas Logs, Gas Starter, Heatilator Type System</t>
  </si>
  <si>
    <t>Off Street, Visitor Parking, Driveway</t>
  </si>
  <si>
    <t>38X20</t>
  </si>
  <si>
    <t>10X4</t>
  </si>
  <si>
    <t>Jeff Burnett dba St. Charles Properties</t>
  </si>
  <si>
    <t>(630) 651-8462</t>
  </si>
  <si>
    <t>Jeff Burnett</t>
  </si>
  <si>
    <t>Call Jeff's cell (630)651-8462 an Appt. and Show.</t>
  </si>
  <si>
    <t>Very good curb appeal with a turret in front.  Solid property.  Upstairs has tons of potential to expand.</t>
  </si>
  <si>
    <t>Hamlin</t>
  </si>
  <si>
    <t>26 Street go South on Hamlin St.</t>
  </si>
  <si>
    <t>Little Village</t>
  </si>
  <si>
    <t>TRADITIONAL</t>
  </si>
  <si>
    <t>Beautifully maintained 2 story Brick home  with 4 bedrooms, hardwood floors, formal dining rm. 2.5 baths, full semi-finished  basement, Central air, sun room which overlooks spacious deck,  2 car garage , Iron gate.  Prime location, close to schools,  public transportation and shops.  This house is in move in condition  This is an  Estate Sale.</t>
  </si>
  <si>
    <t>GARY ELEMENTARY SCHOOL</t>
  </si>
  <si>
    <t>Court Approval Required</t>
  </si>
  <si>
    <t>Pronto Realty, Inc.</t>
  </si>
  <si>
    <t>(773) 522-3412</t>
  </si>
  <si>
    <t>Maria Salazar</t>
  </si>
  <si>
    <t>Call Listing Agent at 708 253 9344</t>
  </si>
  <si>
    <t>Subject to Court Approval. send offers to  salazarmaria10@yahoo.com</t>
  </si>
  <si>
    <t>CALUMET</t>
  </si>
  <si>
    <t>95th to Calumet Ave - north to Address</t>
  </si>
  <si>
    <t>4 Bedroom, 2 Bath Brick 1.5 story Single Family with a detached 2 Car Garage. Features Hardwood Floors, full finished basement and a rear Deck. Located near Chicago State University and transportation. HUD owned Home. Sold "AS IS". Case #137-297697. Insured Status: IE (Insured with Escrow). Escrow amount $3,520.</t>
  </si>
  <si>
    <t>$1,250 (on Net SP)</t>
  </si>
  <si>
    <t>102nd</t>
  </si>
  <si>
    <t>Take 103rd Street E/W to State Street go north and make a right on 102nd Place</t>
  </si>
  <si>
    <t>READY FOR RELATED SINGLE FAMILY RESIDENCE SOME WORK DONE COME AND ADD FINISHING TOUCHES.  SOLD AS , NO SURVEY, NO TERMITE TAXES PRORATED AT 100%.  FREDDIE MAC OWNER OCCUPIED 20 DAY PRIORITY BUYING PERIOD EXPIRES 11/26/2014</t>
  </si>
  <si>
    <t>2nd Kitchen, Den</t>
  </si>
  <si>
    <t>$1500 (on Gross SP)</t>
  </si>
  <si>
    <t>Allpoints Realty Group Inc</t>
  </si>
  <si>
    <t>(773) 846-9394</t>
  </si>
  <si>
    <t>Gerald Williams</t>
  </si>
  <si>
    <t>(708) 372-6605</t>
  </si>
  <si>
    <t>CLICK SECURE SHOW</t>
  </si>
  <si>
    <t>FREDDIE MAC HOMESTEPS</t>
  </si>
  <si>
    <t>SEND ALL OFFERS TO gww@allpointsrealtygroup.  Please provide proof of funds or prequal with your offer</t>
  </si>
  <si>
    <t>Circle</t>
  </si>
  <si>
    <t>Boulder Hill Pass to Circle Drive East</t>
  </si>
  <si>
    <t>72 X 125</t>
  </si>
  <si>
    <t>Beautifully renovated, virtually nothing left untouched!  New roof, siding, windows, doors, furnace &amp; air.  Freshly painted &amp; new flooring. Completely remodeled kitchen with new SS appliances.  Both bathrooms have been completely remodeled.  Lower bathroom has built-in laundry closet, perfect space for fullsize stackable washer &amp; dryer(not included).   Start the New Year in your new home!</t>
  </si>
  <si>
    <t>Pull Down Stair</t>
  </si>
  <si>
    <t>(630) 896-3100</t>
  </si>
  <si>
    <t>Brenda Roehl</t>
  </si>
  <si>
    <t>630-947-3863</t>
  </si>
  <si>
    <t>Call CSS @ 877-977-1010</t>
  </si>
  <si>
    <t>Agent owned.  Still a few finishing touches to be completed, any questions please call listing agent.</t>
  </si>
  <si>
    <t>Polk</t>
  </si>
  <si>
    <t>Ashland just South of 290 to Polk East to home</t>
  </si>
  <si>
    <t>26X112X25X112</t>
  </si>
  <si>
    <t>Brace yourself~This could be one of the BEST homes you've ever seen~Every sq in exudes high style &amp; exceptionally good taste~3  finished flrs~Character-rich beyond measure~Custm Mahogany frnt dr~Solid core inter drs w/transom wndws~Crown molding~Tray ceilings~Original stained glass wndws  LR/Mstbrm~Natural Cherry Cabinetry~High-end kitchen appl~Hrdwd &amp; Marble flrng~Outdoor FP~ Thoughtfully &amp; artfully updated~Come see</t>
  </si>
  <si>
    <t>Central Air, 2 Separate Systems</t>
  </si>
  <si>
    <t>Gas, Forced Air, 2+ Sep Heating Systems, Indv Controls</t>
  </si>
  <si>
    <t>Oven/Range, Microwave, High End Refrigerator, Washer, Dryer, Disposal, Wine Cooler/Refrigerator</t>
  </si>
  <si>
    <t>Humidifier, TV-Cable, Security System, Intercom, CO Detectors</t>
  </si>
  <si>
    <t>Breakfast Room, Den, Foyer, Other</t>
  </si>
  <si>
    <t>2.5%-295 (on Net SP)</t>
  </si>
  <si>
    <t>RE/MAX Vision 212</t>
  </si>
  <si>
    <t>(312) 654-9400</t>
  </si>
  <si>
    <t>Rita Neri</t>
  </si>
  <si>
    <t>(630) 774-5042</t>
  </si>
  <si>
    <t>showing assist</t>
  </si>
  <si>
    <t>List of improvements under additional info</t>
  </si>
  <si>
    <t>4N953</t>
  </si>
  <si>
    <t>Brookside West</t>
  </si>
  <si>
    <t>RT 64 West to Brown Road North to Hunters Hill West to Brookside West to property</t>
  </si>
  <si>
    <t>Hunters Hill</t>
  </si>
  <si>
    <t>CAMPTON HILLS</t>
  </si>
  <si>
    <t>290X366X461</t>
  </si>
  <si>
    <t>What a great place to call home!  Recently remodeled kitchen with top of the line SS appliances and granite counters, hardwood flooring on 1st floor, beautiful floor to ceiling stone fireplace in family room, vaulted ceilings and skylights, 1st floor den with custom built-ins, finished English basement with dry bar, awesome brick paver patio overlooking prof landscaped private lot in sought after Hunters Hill!</t>
  </si>
  <si>
    <t>Park/Playground, Tennis Courts, Street Paved</t>
  </si>
  <si>
    <t>Oven-Double, Microwave, Dishwasher, Refrigerator, All Stainless Steel Kitchen Appliances, Wine Cooler/Refrigerator</t>
  </si>
  <si>
    <t>Den, Recreation Room, Other</t>
  </si>
  <si>
    <t>Vaulted/Cathedral Ceilings, Skylight(s), Bar-Dry, Hardwood Floors, 1st Floor Laundry</t>
  </si>
  <si>
    <t>3% - $150.00 (on Net SP)</t>
  </si>
  <si>
    <t>Robin Stoecklin</t>
  </si>
  <si>
    <t>(630) 262-7146</t>
  </si>
  <si>
    <t>ON FILE</t>
  </si>
  <si>
    <t>Call Showing Time 855-746-9100  One Hour Notice Requested</t>
  </si>
  <si>
    <t>On File</t>
  </si>
  <si>
    <t>Relocation -- Additional forms required.  Please use 6.0 contract.</t>
  </si>
  <si>
    <t>Crandon</t>
  </si>
  <si>
    <t>South Chicago Ave E to 83rd N to Crandon</t>
  </si>
  <si>
    <t>125X125</t>
  </si>
  <si>
    <t>My goodness we have out done ourselves with this rehabbed home!  You could say that this is a suburb home in the middle of the city.  Two story home that has customized features all over and HUGE bedroom space. This is truly the cream of the crop in Chicago's South Chicago Neighborhood.  Great location, don't forget the granite, ceramic tile, stainless steel appliances, and finished basement!</t>
  </si>
  <si>
    <t>17X20</t>
  </si>
  <si>
    <t>Whirlpool, Double Sink, Full Body Spray Shower, Soaking Tub</t>
  </si>
  <si>
    <t>2.5 % (on Net SP)</t>
  </si>
  <si>
    <t>Insider Show Homes, LLC</t>
  </si>
  <si>
    <t>(847) 970-0096</t>
  </si>
  <si>
    <t>Pat Cardoni</t>
  </si>
  <si>
    <t>DOBSON</t>
  </si>
  <si>
    <t>87th St to Greenwood, West 2 blocks to Dobson, to 9136</t>
  </si>
  <si>
    <t>Move-in ready!</t>
  </si>
  <si>
    <t>41X14</t>
  </si>
  <si>
    <t>Century 21 S.G.R., Inc.</t>
  </si>
  <si>
    <t>(847) 983-4477</t>
  </si>
  <si>
    <t>Sarah Han, SFR</t>
  </si>
  <si>
    <t>(773) 206-2266</t>
  </si>
  <si>
    <t>CALL 877.977.1010</t>
  </si>
  <si>
    <t>NOTTINGHAM</t>
  </si>
  <si>
    <t>2 BLOCKS EAST OF HARLEM, BETWEEN BELMONT AND ADDISON; NOTTINGHAM IS ONE WAY GOING SOUTH.</t>
  </si>
  <si>
    <t>SCHORSCH VILLAGE</t>
  </si>
  <si>
    <t>BEAUTIFULLY RESTORED TO PERFECTION.ELEGANT, CONTEMPORARY AND SPECTACULAR. IMPRESSIVE OPEN FLR PLAN. SOUND SURROUND SYSTEM, GORGEOUS KIT W/WHITE EUROPEAN CABINTS,SS APPLS &amp; GRANITE C-TOPS + MODERN BKSPLSH. LUXURIOUS BTHS W/HIGH END FIXTURES &amp; JACUZZI. HRDWD FLRS. NICELY FIN BSMT W/AMAZING BATH, ADDITIONAL BDRM &amp; REC RM, LAUNDRY &amp; LOT OF STORAGE. NEW PLUMBING, NEW ELECTRIC, ETC. NICE YARD W/DECK. ABSOLUTELY BEAUTIFUL !</t>
  </si>
  <si>
    <t>Whirlpool, Separate Shower, Double Sink, European Shower, Full Body Spray Shower</t>
  </si>
  <si>
    <t>Security System, Sump Pump, Backup Sump Pump</t>
  </si>
  <si>
    <t>8X12</t>
  </si>
  <si>
    <t>2.5%- $ 275 (on Net SP)</t>
  </si>
  <si>
    <t>Re/Max Landmark</t>
  </si>
  <si>
    <t>(773) 467-8500</t>
  </si>
  <si>
    <t>Elzbieta Zajac</t>
  </si>
  <si>
    <t>(773) 750-5651</t>
  </si>
  <si>
    <t>CALL L.O OR E-MAIL L.A</t>
  </si>
  <si>
    <t>2 SEPERATE HEATING &amp; COOLING SYSTEM, ENERGY-EFFICIENT FURNACE AND WATER HEATER, BRAND NEW FLOOD CONTROL SYSTEM .</t>
  </si>
  <si>
    <t>Maple</t>
  </si>
  <si>
    <t>Barrington Rd to Maple Ave</t>
  </si>
  <si>
    <t>6360 SQ.FT.</t>
  </si>
  <si>
    <t>Very attractive 4 bedrooms 2.1 baths Split level home with a 2 car attached garage. Fenced in private back yard. Built in 1993 home is approx 1964 sq.ft. located in nice suburban neighborhood with parks, schools and shopping near by. See it today! waiting for your offers. Will not pass FHA/VA financing. Highest and best deadline 12/31 at 11:30 AM. Submit disclosure with offer. Sold as is. No repairs.</t>
  </si>
  <si>
    <t>22X18</t>
  </si>
  <si>
    <t>Goodwill Realty Group, Inc</t>
  </si>
  <si>
    <t>(630) 530-9800</t>
  </si>
  <si>
    <t>Saul Zenkevicius</t>
  </si>
  <si>
    <t>PLEASE, CLICK BELOW TO SCHEDULE A SHOWING</t>
  </si>
  <si>
    <t>Highest and best deadline 12/31 at 11:30 AM. Submit disclosure with offer. Will not pass FHA/VA financing guidelines. Sold as is. TO SUBMIT AN OFFER, PLEASE, COPY AND PASTE THIS LINK: http://www.callzteam.net/property_n/1811_MAPLE_AVE</t>
  </si>
  <si>
    <t>STEPHEN</t>
  </si>
  <si>
    <t>ORCHARD 2 COUNTRYSIDE, 2 STEPHENS, 2 HOME</t>
  </si>
  <si>
    <t>BLACKBERRY HEIGHTS</t>
  </si>
  <si>
    <t>AURORA</t>
  </si>
  <si>
    <t>66 X 125</t>
  </si>
  <si>
    <t>WHY RENT WHEN U CAN OWN 4 LESS!!!  PERFECT 4 1ST TIME BUYERS W/2 CAR GARAGE &amp; FIN BSMT! NEW KIT-CABS-CTRS-FLR-ISLAND &amp; ALL APPLS-DARLING! HUGE 24x16 DECK W/PERGOLA-FENCED YARD, PERFECT FOR DOGS OR KIDS. BSMT FEATURES ADD BED-FAM ROOM-TONS OF STORAGE &amp; ROUGH-IN 4 ANOTHER BATH! NEWER ROOF &amp; SIDING. 5 MINUTES TO GROCERY-DINING-MJR HWY-LOW TAXES.  BRING YOUR LANDSCAPING &amp; DECORATING IDEAS &amp; MAKE IT YOUR OWN!  C IT TODAY!</t>
  </si>
  <si>
    <t>NICHOLSON ELEMENTARY SCHOOL</t>
  </si>
  <si>
    <t>WASHINGTON MIDDLE SCHOOL</t>
  </si>
  <si>
    <t>WEST AURORA HIGH SCHOOL</t>
  </si>
  <si>
    <t>26X10</t>
  </si>
  <si>
    <t>Curbs/Gutters, Street Lights, Street Paved</t>
  </si>
  <si>
    <t>(630) 548-1800</t>
  </si>
  <si>
    <t>Gayle Weatherly</t>
  </si>
  <si>
    <t>(630) 553-9660</t>
  </si>
  <si>
    <t>630-546-2296</t>
  </si>
  <si>
    <t>USE SHOWING ASSIST BELOW-24 HRS PREF-DOG</t>
  </si>
  <si>
    <t>RELO ADD APPLY. **NEW FURNACE &amp; HWH 12/23/14**</t>
  </si>
  <si>
    <t>Northgate</t>
  </si>
  <si>
    <t>Randall 2 Huntley(E) 2 Westwood(N) 2 Northgate*OR*Randall 2 Grandview(E) 2 Westwood(S) 2 Northgate!</t>
  </si>
  <si>
    <t>SEDGEWICK</t>
  </si>
  <si>
    <t>Beautifully maintained &amp; designed w/distinction! New roof/siding 2009=peace of mind for yrs to come! Custom Kitchen is unique to what the builder offered for this model! Combo LR/DR greets guests warmly. Open Fam rm/Kitchen is optimal for entertaining! Walk-out to the patio &amp; relax in the shade w/the electric awning! True Master SUITE features private bth &amp; sitting rm too! Location can't be BEAT! Nearby EVERYTHING!!!</t>
  </si>
  <si>
    <t>Whirlpool, Separate Shower, Double Sink, Garden Tub</t>
  </si>
  <si>
    <t>Fenced Yard, Irregular</t>
  </si>
  <si>
    <t>Vaulted/Cathedral Ceilings, 1st Floor Laundry</t>
  </si>
  <si>
    <t>3%-200 (on Gross SP)</t>
  </si>
  <si>
    <t>Baird &amp; Warner Real Estate</t>
  </si>
  <si>
    <t>(847) 426-7510</t>
  </si>
  <si>
    <t>Hilda Jones, CRS,GRI,SFR</t>
  </si>
  <si>
    <t>(847) 987-7089</t>
  </si>
  <si>
    <t>Jenny.Jones@bairdwarner.com</t>
  </si>
  <si>
    <t>Call 855.746.9100 - EZ Show!!!</t>
  </si>
  <si>
    <t>Pristine &amp; really well maintained.  Vacated &amp; ready to go!</t>
  </si>
  <si>
    <t>1N915</t>
  </si>
  <si>
    <t>La Fox</t>
  </si>
  <si>
    <t>S on La Fox Rd from Rt 38</t>
  </si>
  <si>
    <t>1.51 ACRES</t>
  </si>
  <si>
    <t>Country feel with city amenities! 1.5 acres bordered by farmland for the ultimate in privacy and space to stretch out. 2-car attached garage and extra large 2-car detached garage for all your toys and projects. Sprawling brick ranch. 3-season porch. Brick fireplace w/ built in shelves in LR. Partially finished basement. Wet bar. Geneva schools and just a mile from La Fox train station. Horses allowed!</t>
  </si>
  <si>
    <t>Horses Allowed</t>
  </si>
  <si>
    <t>Water-Softener Owned, Sump Pump</t>
  </si>
  <si>
    <t>Skylight(s), Bar-Wet, Hardwood Floors, 1st Floor Bedroom, 1st Floor Laundry, 1st Floor Full Bath</t>
  </si>
  <si>
    <t>Deck, Porch Screened, Storage Shed, Pool Above Ground</t>
  </si>
  <si>
    <t>Schulenburg Realty, Inc</t>
  </si>
  <si>
    <t>(630) 377-7725</t>
  </si>
  <si>
    <t>Nathan Shields</t>
  </si>
  <si>
    <t>630-862-6994</t>
  </si>
  <si>
    <t>Click Schedule a Showing</t>
  </si>
  <si>
    <t>Sold as-is...part of estate. Agent related to seller. Pool damaged. Pool equipment in working order this summer. Enjoy the privacy and convenience of being just minutes from Geneva and Randall Rd amenities.</t>
  </si>
  <si>
    <t>Wayne</t>
  </si>
  <si>
    <t>Webster to Wayne. One way North to home</t>
  </si>
  <si>
    <t>29.6X125.4</t>
  </si>
  <si>
    <t>Completely updated sun drenched extra wide home w/ dramatic 3 story atrium hrdwd flrs w/ modern staircase and wrought iron railings. Open lg LR, sep dramatic DR, open kit w/ granite and new SS apps w/lg great rm &amp; WDBF. Srnd snd and tvs. Large patio &amp; 2 penthouse decks. 4 huge corner beds w/3.5 newer baths, lg W-I closets all org. 2.5 car gar. New HVAC. List goes on and on. Best Lincoln Pk location/layout/finishes!</t>
  </si>
  <si>
    <t>Eating Area-Breakfast Bar, Island, Pantry-Butler, Pantry-Walk-in</t>
  </si>
  <si>
    <t>Oven/Range, Refrigerator, Freezer, Washer, Dryer, Disposal</t>
  </si>
  <si>
    <t>Brick, Limestone</t>
  </si>
  <si>
    <t>Patio, Porch Screened</t>
  </si>
  <si>
    <t>2.5%-$400 (on Net SP)</t>
  </si>
  <si>
    <t>Midtown Realty Group LLC</t>
  </si>
  <si>
    <t>(312) 560-8546</t>
  </si>
  <si>
    <t>Nicole A Schroeder</t>
  </si>
  <si>
    <t>Text Nicole 312.560.8546 or email nicole@midtownrg.com</t>
  </si>
  <si>
    <t>Quality gut rehab. Everything big and little has been done. Show with confidence.</t>
  </si>
  <si>
    <t>Cari</t>
  </si>
  <si>
    <t>N 1st St then East on Buena Vista and North on Cari Ct</t>
  </si>
  <si>
    <t>90X150</t>
  </si>
  <si>
    <t>ALL BRICK GOLF COURSE home with finished walk-out lower level! Professional builder has just beautifully updated this home with new eat-in kitchen featuring granite, ceramic, and SS appliances.  New carpeting and ceramic floors. Formal LR and DR, 2 Family Rooms, 2 Fireplaces, 4 BR, 3.5 BA, Huge Rec Room. 3200 sq. ft. of living space. Perfect for entertaining or large family. Oversized 2.5 Car Gar. w/Golf Cart Door.</t>
  </si>
  <si>
    <t>12X19</t>
  </si>
  <si>
    <t>Golf Course Lot</t>
  </si>
  <si>
    <t>Humidifier, Water-Softener Owned, CO Detectors, Ceiling Fan, Sump Pump</t>
  </si>
  <si>
    <t>Foyer, Great Room, Recreation Room</t>
  </si>
  <si>
    <t>18X27</t>
  </si>
  <si>
    <t>13X28</t>
  </si>
  <si>
    <t>5X12</t>
  </si>
  <si>
    <t>Dennis Maakestad</t>
  </si>
  <si>
    <t>(815) 739-5926</t>
  </si>
  <si>
    <t>815-739-5926</t>
  </si>
  <si>
    <t>Owner has gotten the assessed value lowered from $77,215 in 2013 to $53,900 for 2014 so taxes will go down.</t>
  </si>
  <si>
    <t>MEDINA</t>
  </si>
  <si>
    <t>MILWAUKEE TO MEDINA EAST TO 5929 (BETWEEN ELSTON &amp; MILWAUKEE AVE)</t>
  </si>
  <si>
    <t>SOUTH EDGEBROOK</t>
  </si>
  <si>
    <t>4386 SQ FT</t>
  </si>
  <si>
    <t>Full,Shared</t>
  </si>
  <si>
    <t>Spectacular South Edgebrook English Tudor Completely Remodeled.  Too Many Updates to List! Coved Ceilings in LR and DR.  Hardwood thru-out main floor.  Huge Chefs Kitchen w/all high end appliances and fixtures.  1st floor bedroom/den.  Full bath on each level all new.  French doors leading to custom deck and paver patio.  Huge 2nd floor MB has bamboo flooring &amp; lrg walk in closet.  Pics show it all.  MUST SEE!!</t>
  </si>
  <si>
    <t>26X22</t>
  </si>
  <si>
    <t>31X10</t>
  </si>
  <si>
    <t>Central Air, Space Pac, Zoned, 2 Separate Systems</t>
  </si>
  <si>
    <t>(773) 467-5300</t>
  </si>
  <si>
    <t>Danielle Olsen</t>
  </si>
  <si>
    <t>(773) 467-5337</t>
  </si>
  <si>
    <t>AGENT</t>
  </si>
  <si>
    <t>USE SHOWING ASSIST AGENT TO ACCOMPANY</t>
  </si>
  <si>
    <t>NO SHOWINGS BEFORE 10AM OR AFTER 7PM. AGENT MUST SHOW. $4,000.00 Closing Cost Credit to buyer if under contract by 12/31/2014 from Sirva Relocation.</t>
  </si>
  <si>
    <t>Artesian</t>
  </si>
  <si>
    <t>Western to 81 West to Artesian North to the House</t>
  </si>
  <si>
    <t>THIS IS THE ONE LUXURY REMODEL!!DESIRABLE AREA! BRICK 4 BEDROOMS 2 BATHS W/GORGEOUS KITCHEN W/GRANITE/SS APPLIANCES/BEAUTIFUL HW FLOORS/MODERN BATHS/HUGE FULL FINISHED BASEMENT FENCED IN YARD.CUSTOM PAINT &amp; CEILINGS! NEW,WINDOWS,DOORS,FIXTURES,CUSTOM TILE WORK,</t>
  </si>
  <si>
    <t>2.5 % -100 (on Net SP)</t>
  </si>
  <si>
    <t>Diverse Realty</t>
  </si>
  <si>
    <t>(773) 498-4393</t>
  </si>
  <si>
    <t>Andrei Turcu</t>
  </si>
  <si>
    <t>Call Andrei Turcu @ 773 443 8087</t>
  </si>
  <si>
    <t>40W185</t>
  </si>
  <si>
    <t>JAMES MICHENER</t>
  </si>
  <si>
    <t>RT 64 WEST OF RANDALL TO LAFOX, LEFT TO SCHOOL RD, LEFT TO JAMES MICHENER, LEFT FOR HOME ON RIGHT</t>
  </si>
  <si>
    <t>CAMPTON CROSSINGS</t>
  </si>
  <si>
    <t>85 X 140</t>
  </si>
  <si>
    <t>SUNNY OPEN FLOOR PLAN. NEW CARPET, PAINT, VINYL. LARGE EAT-IN KITCHEN WITH NEW CABINETS AND STAINLESS STEEL APPLIANCES PLUS ACCESS TO BACK YARD PATIO. KITCHEN OVERLOOKS FAMILY ROOM. BIG 1ST FLOOR LAUNDRY. LARGE MASTER SUITE WITH SITTING AREA AND 10X10 WALK-IN CLOSET! 3 ADDTIONAL BEDROOMS PLUS A LARGE LOFT! THIS IS A FANNIE MAE HOMEPATH PROPERTY.</t>
  </si>
  <si>
    <t>Foyer, Loft, Sitting Room, Walk In Closet</t>
  </si>
  <si>
    <t>11X06</t>
  </si>
  <si>
    <t>08X07</t>
  </si>
  <si>
    <t>**Call 630-608-4777 if questions      **NEW CARPET &amp; PAINT - REMOVE SHOES!    **Keybox on front door.       **Please lock all doors &amp; turn off lights.        **SELLER REQUESTS ALL OFFERS SUBMITTED THRU HOMEPATH.COM       **WRITING OFFER? RE</t>
  </si>
  <si>
    <t>32W501</t>
  </si>
  <si>
    <t>Derby</t>
  </si>
  <si>
    <t>Dunham Rd 2 Army Trail(E) 2 Derby(N)</t>
  </si>
  <si>
    <t>WAYNE</t>
  </si>
  <si>
    <t>422X259X104X412</t>
  </si>
  <si>
    <t>Sprawling Ranch in historic Wayne on a private 2-acre lot zoned for  horses!Newly remodeled kitch w/maple cabs &amp; SS appls...Cozy liv rm w/fp...Huge fam rm w/entertainment niche &amp; window seat...Dramatic dining rm w/vaulted beamed ceil &amp; stone floor opens to screened porch!!Mbdrm w/sitting rm...Many recent updates,glistening hardwood floors,spacious floored attic w/stairway for storage...Lots of character &amp; charm too!</t>
  </si>
  <si>
    <t>WAYNE ELEMENTARY SCHOOL</t>
  </si>
  <si>
    <t>Horse-Riding Area, Horse-Riding Trails, Street Paved</t>
  </si>
  <si>
    <t>Oven-Double, Microwave, Dishwasher, Refrigerator</t>
  </si>
  <si>
    <t>Interior Stair</t>
  </si>
  <si>
    <t>Crawl, Slab</t>
  </si>
  <si>
    <t>Horses Allowed, Landscaped Professionally, Wooded</t>
  </si>
  <si>
    <t>Humidifier, Water-Softener Owned, CO Detectors, Ceiling Fan</t>
  </si>
  <si>
    <t>Attic, Screened Porch, Sitting Room</t>
  </si>
  <si>
    <t>Vaulted/Cathedral Ceilings, Skylight(s), 1st Floor Bedroom, In-Law Arrangement, 1st Floor Laundry, 1st Floor Full Bath</t>
  </si>
  <si>
    <t>45X12</t>
  </si>
  <si>
    <t>81st</t>
  </si>
  <si>
    <t>Western North or South to 81st Place; East to address</t>
  </si>
  <si>
    <t>Great Expectations are available in this charming neighborhood called Ashburn. This Luxurious &amp; Livable 4 bedroom;2 bath with 2 car garage offer immediate Equity. Relax in the elegant Living Room, Enjoy cooking in your gourmet kitchen, Rest in your spacious bedrooms and Entertain in your soaring family room. Many nice features left for your surprise therefore don't hesitate lets make a Deal.</t>
  </si>
  <si>
    <t>Screened Patio, Storms/Screens</t>
  </si>
  <si>
    <t>2.5-$495 (on Net SP)</t>
  </si>
  <si>
    <t>Sybil Martin</t>
  </si>
  <si>
    <t>(773) 491-7217</t>
  </si>
  <si>
    <t>773-491-7217</t>
  </si>
  <si>
    <t>773-451-1200</t>
  </si>
  <si>
    <t>Call Sybil (773)491-7217 or Paulette (773)837-0383</t>
  </si>
  <si>
    <t>Triangle</t>
  </si>
  <si>
    <t>LOWELL</t>
  </si>
  <si>
    <t>LAWRENCE TO LOWELL.  ENTER FROM KOSTNER SINCE LOWELL IS A ONE WAY HEADING SOUTH</t>
  </si>
  <si>
    <t>REDUCED TO SELL!  THIS BRIGHT, BEAUTIFUL AND AIRY HOME WAS LOVINGLY RENOVATED IN 2010 WITH NEW PLUMBING, DUCT WORK, ELECTRICAL. ON MAIN LEVEL HARDWOOD FLOORS THROUGHOUT WITH NEW KITCHEN AND BATH. COMPLETE BASEMENT REMODEL WITH ADDITIONAL NEW BATH.  TEAR OFF ROOF IN 2012. THIS HOME IS MAINTENANCE FREE FOR YEARS TO COME. MOVE IN READY WITH ROOM TO EXPAND ON THE 2ND FLOOR.</t>
  </si>
  <si>
    <t>Attic, Enclosed Porch, Storage, Tandem Room, Walk In Closet</t>
  </si>
  <si>
    <t>Skylight(s), Hardwood Floors, 1st Floor Bedroom, In-Law Arrangement, 1st Floor Full Bath</t>
  </si>
  <si>
    <t>2.5% LESS 200 (on Net SP)</t>
  </si>
  <si>
    <t>Maria J Rivera</t>
  </si>
  <si>
    <t>(773) 259-9580</t>
  </si>
  <si>
    <t>Maria Rivera</t>
  </si>
  <si>
    <t>(773) 685-3530</t>
  </si>
  <si>
    <t>CALL OR TEXT L/A @ 773-259-9580</t>
  </si>
  <si>
    <t>ALEGRE</t>
  </si>
  <si>
    <t>Agent must accompany.  24 hour notice is appreciated.  Thank you</t>
  </si>
  <si>
    <t>Ridge Crossing</t>
  </si>
  <si>
    <t>Stearns Rd/Greenbrook to Ridge Crossing South OR County Farm south of Stearns to Sunset East</t>
  </si>
  <si>
    <t>TALL OAKS</t>
  </si>
  <si>
    <t>2STORY</t>
  </si>
  <si>
    <t>8502 SQ FT</t>
  </si>
  <si>
    <t>updated 2story style with full finished bsmt..3.5 baths-updated..kit w/eat-in area, new appls, wood floor..sep din area..2story foyer..family rm w/wood floor and walkout to backyard..master br with private bath..freshly painted..new carpet t/o..4th br + bath in bsmt..newer roof and siding..close to major roads, train, elgin ohare expy, shopping, elementary school..motivated seller.</t>
  </si>
  <si>
    <t>Realcom Realty, Ltd</t>
  </si>
  <si>
    <t>(630) 893-6000</t>
  </si>
  <si>
    <t>Andy Dadlani</t>
  </si>
  <si>
    <t>(708) 912-0601</t>
  </si>
  <si>
    <t>www.andydadlani.com</t>
  </si>
  <si>
    <t>click showing assist link</t>
  </si>
  <si>
    <t>North Aurora</t>
  </si>
  <si>
    <t>Pine Creek Drive, East on Stewart to home</t>
  </si>
  <si>
    <t>NORTH AURORA</t>
  </si>
  <si>
    <t>60X150</t>
  </si>
  <si>
    <t>WOW- Price just reduced!!! Beautiful 4 bedroom/2.5 bathroom home in an excellent location! Well maintained, spacious rooms, spacious yard, 2 car garage, basement..... the list goes on! Priced to sell, this one has it all! Choose FHA financing to qualify for $100 down payment. Ask your Agent for details. Sold as-is. Equal Housing Opportunity</t>
  </si>
  <si>
    <t>12X20</t>
  </si>
  <si>
    <t>Four Seasons Realty, Inc.</t>
  </si>
  <si>
    <t>(847) 934-9100</t>
  </si>
  <si>
    <t>Frank Rusin</t>
  </si>
  <si>
    <t>Showing Assist</t>
  </si>
  <si>
    <t>Case#137-546473.INS.STATUS:IE.Up to 3% co-op Offers 2B submitted on-line Off.must be registered &amp; have a NAID# Go to hudhomestore.com 4 online bidding SEE PCR UNDER ADDENDUMâ€™S TAB.?â€™s to fsrhomes@aol.com.SOLD AS-IS.www.hometelosfirst.com</t>
  </si>
  <si>
    <t>VERNON</t>
  </si>
  <si>
    <t>East 79th Street; 1 block East of Martin Luther King Drive</t>
  </si>
  <si>
    <t>32X124</t>
  </si>
  <si>
    <t>Drive by only; solid brick expanded bungalow with 4 bedrooms and two baths in charming Chatham has large party deck overlooking backyard and two car garage. Survey, Termite &amp; any City Insp/Escrows/Violations are Buyer's obligation. Taxes at 100%. Need Current Proof of funds.  See Occupied Property Addendum.</t>
  </si>
  <si>
    <t>$1,250.00 (on Gross SP)</t>
  </si>
  <si>
    <t>City Suburban Real Estate of IL, Inc.</t>
  </si>
  <si>
    <t>(708) 576-8885</t>
  </si>
  <si>
    <t>Susan Fidler</t>
  </si>
  <si>
    <t>(708) 907-5133</t>
  </si>
  <si>
    <t>DRIVE BY ONLY - DO NOT DISTURB OCCUPANTS</t>
  </si>
  <si>
    <t>Employees &amp; family members residing with employees of JPMorgan Chase Bank, N.A., its affiliates or subsidiaries are strictly prohibited from directly or indirectly purchasing any property owned by JPMorgan Chase Bank, N.A. Sold As-is.</t>
  </si>
  <si>
    <t>WELLINGTON</t>
  </si>
  <si>
    <t>BELMONT TO KOSTNER, 2 BLOCKS SOUTH TO WELLINGTON THEN 1 BLOCK EAST TO ADDRESS.</t>
  </si>
  <si>
    <t>CLASSIC BRICK ENGLISH TUDOR. VERY SUNNY LR W/SOUTHERN EXPOSURE, FORMAL DR. NEW CARPETING. 2 GOOD SIZE BRS, KIT. W/BREAKFAST TABLE, CT BATH, HARDWOOD FLOORS. 2 BRS UPSTAIRS (1 HUGE) W/LARGE CLOSETS. FULL, HIGH BSMT READY TO BE FINISHED. ENCLOSED PORCH. BRAND NEW ROOF &amp; BOILER (2YRS), HW TANK (3YRS). NICE YARD, 2 CAR GAR. QUIET STREET. LOW RE TAXES WITHOUT HO EXEMPTION. NEEDS SOME UPDATES.</t>
  </si>
  <si>
    <t>2.5% - $195 FEE (on Gross SP)</t>
  </si>
  <si>
    <t>Magnet Realty, Inc.</t>
  </si>
  <si>
    <t>(773) 774-6900</t>
  </si>
  <si>
    <t>Janusz Kulesza</t>
  </si>
  <si>
    <t>(773) 505-0260</t>
  </si>
  <si>
    <t>SHOWINGS WILL START SUN. NOV. 9, 12-3PM</t>
  </si>
  <si>
    <t>ESTATE SALE. QUICK CLOSING. SHOWINGS WILL START SUN. NOV. 9TH FROM 12-3PM</t>
  </si>
  <si>
    <t>Becker</t>
  </si>
  <si>
    <t>Somonauk  to Becker Place, turn East</t>
  </si>
  <si>
    <t>RESTON PONDS</t>
  </si>
  <si>
    <t>CORTLAND</t>
  </si>
  <si>
    <t>THE HERON</t>
  </si>
  <si>
    <t>75X120</t>
  </si>
  <si>
    <t>Impeccably maintained 4 bed/ 2.1 bath home w/spacious &amp; open floor plan. Light filled main floor features kitchen w/eating area/island, newer SS appliances, lrg. family room w/fireplace &amp; bright sunroom w/amazing pond views. 2nd floor has 4 bedrooms; xlrg master w/WIC; private ensuite w/dbl sinks, sep. shower &amp; soaking tub. Heated 3 car garage.</t>
  </si>
  <si>
    <t>Eating Area-Breakfast Bar, Eating Area-Table Space, Island, Pantry-Butler</t>
  </si>
  <si>
    <t>Scavenger, Other</t>
  </si>
  <si>
    <t>Sun/Florida Room, Foyer</t>
  </si>
  <si>
    <t>Bar-Dry, 1st Floor Laundry</t>
  </si>
  <si>
    <t>Garage Door Opener(s), Transmitter(s), Heated, Tandem</t>
  </si>
  <si>
    <t>19X7</t>
  </si>
  <si>
    <t>2.5% MINUS $325 (on Net SP)</t>
  </si>
  <si>
    <t>Kelley Lynch</t>
  </si>
  <si>
    <t>(312) 475-4180</t>
  </si>
  <si>
    <t>312.501.1852</t>
  </si>
  <si>
    <t>CALL OR EMAIL KLYNCH@KOENIGRUBLOFF.COM</t>
  </si>
  <si>
    <t>BEAUTIFULLY MAINTAINED HOME; A+ QUALITY FENCED LOT. OPEN HOUSE SUNDAY, NOV 9TH 1:00-3:00PM.</t>
  </si>
  <si>
    <t>Hillside</t>
  </si>
  <si>
    <t>E Schaumburg Rd to S Victoria Ln- S to Hillside Dr</t>
  </si>
  <si>
    <t>Woodland Heights</t>
  </si>
  <si>
    <t>70X120</t>
  </si>
  <si>
    <t>Large 4 bdrm/2 bath Raised Ranch with huge family room addition over large 2 car attached garage in the much sought after Woodland Heights Subdivision.  New Appliances, New Paint, Beautiful, large, fenced in yard w/patio and shed.  A must see!  Bring all Offers!</t>
  </si>
  <si>
    <t>2.5% - $100 (on Gross SP)</t>
  </si>
  <si>
    <t>Call Daniela 847-571-8781 for lockbox code</t>
  </si>
  <si>
    <t>Property is vacant and easy to show.  Call Daniela 847-571-8781 for lockbox code</t>
  </si>
  <si>
    <t>Take S California Ave and Historic U.S. 66 W/W Ogden Ave to S Kedzie Ave</t>
  </si>
  <si>
    <t>Fannie Mae Single Family Brick Row home located on the West Side of Chicago. 2BD/2BA, separate dinning and living room. Investors dream home. Property is located on Kedzie, conveniently close to public transportation.</t>
  </si>
  <si>
    <t>10X17</t>
  </si>
  <si>
    <t>7X7</t>
  </si>
  <si>
    <t>Septic-Shared</t>
  </si>
  <si>
    <t>Newman Realty</t>
  </si>
  <si>
    <t>(773) 313-3901</t>
  </si>
  <si>
    <t>Scott R Newman</t>
  </si>
  <si>
    <t>24 HR Notice M-F Email Crystal@newmanrealtyillinois.com with Disclosure</t>
  </si>
  <si>
    <t>Seller has directed all offers be made via Homepath.com. For more information, please look under additional information tab. Please note buyer and agent will both need to pick keys up from office and both sign a disclosure before confirming</t>
  </si>
  <si>
    <t>SHARON</t>
  </si>
  <si>
    <t>BUTTERFIELD E OF RT 25 TO PINE CREEK N TO SHARON LANE W TO HOME</t>
  </si>
  <si>
    <t>PINE CREEK</t>
  </si>
  <si>
    <t>BEDFORD</t>
  </si>
  <si>
    <t>90X149X85X120</t>
  </si>
  <si>
    <t>HAS IT ALL 4 BEDROOM HOME ON PREMIUM WOODED LOT EAST OF RT 25 IN PINE CREEK, ONLY 3 BLKS FROM GRADE SCH &amp; MINUTES TO I88, AND TRAIN, ALSO BY FOX VALLEY NATURE CTR AND GOLF CLUB, OAK CABINETS IN WARM KITCHEN W/SS, BAY WINDOW IN EATING AREA, CUSTOM WOOD FLOORING ON FIRST FLOOR, FP IN FR, FINISHED BASEMENT, HUGE MASTER CLOSET CAN BE DIVIDED ALREADY PLUMBED FOR MSTR BATH, WOOD FENCED BACKYARD WITH PATIO/SHED</t>
  </si>
  <si>
    <t>SCHNEIDER ELEMENTARY SCHOOL</t>
  </si>
  <si>
    <t>Fenced Yard, Landscaped Professionally, Wooded</t>
  </si>
  <si>
    <t>Water-Softener Owned, TV-Cable, CO Detectors, Ceiling Fan, Sump Pump</t>
  </si>
  <si>
    <t>Foyer, Recreation Room, Utility Room-2nd Floor</t>
  </si>
  <si>
    <t>28X15</t>
  </si>
  <si>
    <t>2.5 % - $150 (on Gross SP)</t>
  </si>
  <si>
    <t>(815) 730-1199</t>
  </si>
  <si>
    <t>Denisse Sommerfeld</t>
  </si>
  <si>
    <t>(815) 545-4390</t>
  </si>
  <si>
    <t>USE CENTRALISED SHOWING SERVICE</t>
  </si>
  <si>
    <t>all bedrooms recently repainted, newer carpet thru out, current owners are relocating and very motivated to sell, bring all offers!</t>
  </si>
  <si>
    <t>Ironwood</t>
  </si>
  <si>
    <t>SHOE FACTORY ROAD WEST TO TOASTMASTER N TO IRONWOOD E TO HOME</t>
  </si>
  <si>
    <t>PRINCETON WEST</t>
  </si>
  <si>
    <t>THE EMORY</t>
  </si>
  <si>
    <t>8718 SQUARE FEET</t>
  </si>
  <si>
    <t>Spacious open floor plan features 2 story foyer, formal dining room, large kitchen with 42" maple cabinets and separate eating area. Adjacent  family room with brick fireplace all stepping out to beautiful brick patio &amp; deck. Master bedroom suite has walk in closets &amp; spacious bath. Finished basement with recreation area, additional bedroom and bath adds excellent living space for any family.</t>
  </si>
  <si>
    <t>Loft, Recreation Room</t>
  </si>
  <si>
    <t>Deck, Brick Paver Patio</t>
  </si>
  <si>
    <t>(847) 255-3900</t>
  </si>
  <si>
    <t>Patricia Faham</t>
  </si>
  <si>
    <t>(847) 485-2181</t>
  </si>
  <si>
    <t>Call 888-362-3222</t>
  </si>
  <si>
    <t>DEMING</t>
  </si>
  <si>
    <t>CICERO TO DEMING WEST TO ADDRESS</t>
  </si>
  <si>
    <t>30X124</t>
  </si>
  <si>
    <t>4 BR, 2 BA Brick 1.5 story Bungalow w/ 2 Car Garage. Hardwood Flrs, sep Dining Rm and a full fin Basement w/Family Rm. Prop sold "AS IS".CASH ONLY OFFERS.</t>
  </si>
  <si>
    <t>Radiators</t>
  </si>
  <si>
    <t>Tenant's Rights</t>
  </si>
  <si>
    <t>Employees and Family members residing with employees of JPMorgan Chase Bank, N.A, its affiliates or subsidiaries are strictly prohibited from directly or indirectly purchasing any property owned by JPMorgan Chase Bank, N.A.</t>
  </si>
  <si>
    <t>Morgan</t>
  </si>
  <si>
    <t>87TH TO VINCENNES TO 90TH TO MORGAN</t>
  </si>
  <si>
    <t>FREDDIE MAC FIRST LOOK OWNER OCCUPANT OFFERS ONLY UNTIL 11/24/2014.  PLEASE SEE ADDITIONAL INFO FOR REQUIRED FREDDIE MAC DOCUMENTS TO ACCOMPANY OFFER.  LARGE 4 BEDROOM 1.5 BATH HOME WAITING FOR YOUR REMODELING.  FAX ALL OFFERS TO OFFICE WITH PRE APPROVAL OR PROOF OF FUNDS.</t>
  </si>
  <si>
    <t>$1500 (on Net SP)</t>
  </si>
  <si>
    <t>Gray</t>
  </si>
  <si>
    <t>Rt31 to Prairie St(W) to 4th St(S) to Gray(W)</t>
  </si>
  <si>
    <t>79X119X80X118</t>
  </si>
  <si>
    <t>Spacious home in perfect condition in popular Davis Area!Newer:furnace,A/C,windows,carpet,fixtures,exterior paint,roof!Flexible floor plan boasts a lower level w/2nd kitch,huge fam rm w/fp,bath &amp; bdrms--ideal in-law arrangement!Open floor plan,awesome granite kitch...Beautifully landscaped private fenced yard w/brick paved patio...Pride of owners shows in this well maintained updated home--Quiet dead-end street too!!</t>
  </si>
  <si>
    <t>Hardwood Floors, In-Law Arrangement, 1st Floor Full Bath</t>
  </si>
  <si>
    <t>Call 855-919-0377 For Appointment - Seller Requires 1 Hour Notice.</t>
  </si>
  <si>
    <t>CUYLER</t>
  </si>
  <si>
    <t>Irving Park to Wolcott, North to Cuyler, East to house.</t>
  </si>
  <si>
    <t>City North Beauty-Like New Residence Exudes Luxury Beyond. Crowned Molding. Kitchen to Die For, Private Master Suite, Open Floor Plan. This 4 Bedroom/4 1/2 Bath is Close to Metra &amp; Brown Line, Restaurants, and All Amenities. Phenomenal Finishes with 2 bedrooms en suite.</t>
  </si>
  <si>
    <t>Skylight(s)</t>
  </si>
  <si>
    <t>35X19</t>
  </si>
  <si>
    <t>Colin Hebson</t>
  </si>
  <si>
    <t>(773) 326-6530</t>
  </si>
  <si>
    <t>Please call ohgshowings@dreamtown.com with 24 hours notice.</t>
  </si>
  <si>
    <t>Please send offers to ohgcontracts@dreamtown.com</t>
  </si>
  <si>
    <t>Robinhood</t>
  </si>
  <si>
    <t>BARRINGTON TO VICTORIA L TO ROBINHOOD R ON ROBINHOOD</t>
  </si>
  <si>
    <t>Great opportunity to own this 4 bedroom 2 bath home that features and open layout, English basement, 2 car detached garage and is located in the heart of Streamwood just minutes from public transportation, expressways and shopping. THIS IS A FANNIE  MAE HOMEPATH PROPERTY. Taxes prorated at 100%, buyer is responsible for survey if required.</t>
  </si>
  <si>
    <t>Scott Schilaci</t>
  </si>
  <si>
    <t>(630) 379-3511</t>
  </si>
  <si>
    <t>please call the showing  desk @ 888-362-3222 or  LO after hours, thanks</t>
  </si>
  <si>
    <t>TAXES 100%, Submit offers to www.HomePath.com, buyer responsible for survey if required, buyer is responsible for any required village repairs.  H&amp;B due 02-05-2015 10a.m.</t>
  </si>
  <si>
    <t>108th</t>
  </si>
  <si>
    <t>From Prospect Ave., north onto Hale then veer right onto 108th Place. Property is on the right.</t>
  </si>
  <si>
    <t>Condo</t>
  </si>
  <si>
    <t>50 X 200</t>
  </si>
  <si>
    <t>NO FHA LOANS. VINTAGE 4 BEDROOM, 2 BATH TWO STORY BRICK HOME WITH DEN ON A HUGE LOT IN MORGAN PARK.  FEATURES INCLUDE TWO WOOD BURNING FIREPLACES, HANDSOME OAK STAIRCASE, ENCLOSED FRONT PORCH, CONCRETE TILE ROOF, DEN HAS BUILT IN BOOKCASES, LEADED GLASS WINDOWS IN LIVING ROOM.  NEW ELECTRIC SERVICE, TONS OF CHARM, BUT NEEDS TLC TO RESTORE ITS GLORY.  AMAZINGLY LONG LUSH BACKYARD.   BEING SOLD "AS-IS".</t>
  </si>
  <si>
    <t>Hot Water/Steam</t>
  </si>
  <si>
    <t>Den, Enclosed Porch, Pantry</t>
  </si>
  <si>
    <t>2.5% - $275 (on Net SP)</t>
  </si>
  <si>
    <t>(312) 640-7010</t>
  </si>
  <si>
    <t>Eric Carlson</t>
  </si>
  <si>
    <t>(773) 758-2883</t>
  </si>
  <si>
    <t>email eric.carlson@bairdwarner.com  24 hour notice required. Showings from 10 am to 3 pm if weekday.</t>
  </si>
  <si>
    <t>Great house that needs some work.  Electric, plumbing, roof, etc. are fine but needs a cosmetic redo.  Basement has some fine cracks and effervescence that need to addressed, making FHA financing difficult. Hardwood floors under carpets.</t>
  </si>
  <si>
    <t>Lot 107</t>
  </si>
  <si>
    <t>Surrey</t>
  </si>
  <si>
    <t>Rt. 23 north to Northgate Dr. to Surrey Street.</t>
  </si>
  <si>
    <t>NORTH GROVE CROSSINGS</t>
  </si>
  <si>
    <t>75X135</t>
  </si>
  <si>
    <t>SEAN KELLY CUSTOM HOMES presents 2-story Craftsman-style custom home with stone exterior accents.  Professionally designed kitchen boasts Schrock cabinetry w/dovetail drawers, granite tops, walk-in pantry, island/bar, butler's station &amp; porcelain tile floor!  Great Rm, Dining Rm &amp; Foyer showcase gleaming wood floors.  Open 2-tiered wrought iron spindled staircase.  Master tiled shower, Andersen windows &amp; 92% furnace!</t>
  </si>
  <si>
    <t>NORTH GROVE ELEMENTARY SCHOOL</t>
  </si>
  <si>
    <t>SYCAMORE MIDDLE SCHOOL</t>
  </si>
  <si>
    <t>SYCAMORE HIGH SCHOOL</t>
  </si>
  <si>
    <t>Eating Area-Breakfast Bar, Eating Area-Table Space, Island, Pantry-Walk-in</t>
  </si>
  <si>
    <t>Eating Area, Foyer, Great Room</t>
  </si>
  <si>
    <t>Closing, Specific Date</t>
  </si>
  <si>
    <t>2.5% ON BASE CONTRACT PRICE (on Net SP)</t>
  </si>
  <si>
    <t>Kelly Miller, ABR,GRI</t>
  </si>
  <si>
    <t>(815) 757-0123</t>
  </si>
  <si>
    <t>815-757-0123</t>
  </si>
  <si>
    <t>Call Listing Agent for Sean Kelly Custom Homes Information, Builder's Brochure and A+ References</t>
  </si>
  <si>
    <t>Sean Kelly Custom Homes, Inc.</t>
  </si>
  <si>
    <t>92% energy efficient furnace, copper three pipe water supply system, Andersen windows, tray ceiling &amp; custom tiled shower in Master Suite, Craftsman-style windows in garage doors.  Sean Kelly Custom Home warranty.</t>
  </si>
  <si>
    <t>Gayle</t>
  </si>
  <si>
    <t>Taylor St. W of First St to Glidden, S to Gayle then W to Home</t>
  </si>
  <si>
    <t>74X131</t>
  </si>
  <si>
    <t>Move in ready 4BR, 1.5 Bath, 2 Car Garage home located on a tree lined cul-de-sac. This home features brand new carpet, fully applianced kitchen w/breakfast bar, thermo pane windows, central air, &amp; crawl storage. Enjoy the beautifully landscaped full fenced backyard from the privacy of the screened porch and concrete patio. Close to NIU. Not a short sale, quick close possible.</t>
  </si>
  <si>
    <t>Screened Porch, Utility Room-Lower Level</t>
  </si>
  <si>
    <t>Storage Shed, Screened Patio</t>
  </si>
  <si>
    <t>10X7</t>
  </si>
  <si>
    <t>Melissa Mobile</t>
  </si>
  <si>
    <t>(815) 501-4011</t>
  </si>
  <si>
    <t>Click on Schedule a Showing below or call 877-977-1010</t>
  </si>
  <si>
    <t>Waters</t>
  </si>
  <si>
    <t>Seller will not provide survey</t>
  </si>
  <si>
    <t>Aster</t>
  </si>
  <si>
    <t>Rt. 71 west of Rt. 47. Right on Walsh, Right on Walsh Circle, Left on Aster.</t>
  </si>
  <si>
    <t>Fantastic 4 bed 2 Â½ bath home, ready for its new owner. This Open floor plan has plenty of sun light boasting from every room, Large eat in kit w/42in maple cabs. Formal dining &amp; living, nice size family room &amp; an amazing sunroom leading to large deck &amp; massive backyard w/ paver patio &amp; 5â€™privacy fence. Master suite w/ walk in closet, private bath w/ separate shower/tub &amp; dual vanities. + Full look out basement</t>
  </si>
  <si>
    <t>Deck, Porch, Brick Paver Patio, Storms/Screens</t>
  </si>
  <si>
    <t>Transmitter(s)</t>
  </si>
  <si>
    <t>(630) 553-9989</t>
  </si>
  <si>
    <t>Kathy Brooks</t>
  </si>
  <si>
    <t>(630) 542-1081</t>
  </si>
  <si>
    <t>Please see showing/assist</t>
  </si>
  <si>
    <t>Beautiful Home, please call LA with questions</t>
  </si>
  <si>
    <t>Loomis</t>
  </si>
  <si>
    <t>87th East or West to Loomis; South to property address</t>
  </si>
  <si>
    <t>Washington Heights is 12 miles S of the Loop. It's bounded by 89th and 107th St and two railroad lines at roughly Ashland Bldv to the West &amp; Stewart Ave to the East.  This updated Chicago Bungalow consist of 4 bedrms, 2.1 bath w/2 car garage. Enjoy the pleasures of all the modern conveniences such as new cab, SS appliances &amp; granite countertops. Very affordably prices therefore take advantage of this outstanding buy.</t>
  </si>
  <si>
    <t>Common Grounds, Fenced Yard</t>
  </si>
  <si>
    <t>2.5%-$495 (on Net SP)</t>
  </si>
  <si>
    <t>773451-1200</t>
  </si>
  <si>
    <t>Loomis Chalupa Land Trust</t>
  </si>
  <si>
    <t>Plainfield</t>
  </si>
  <si>
    <t>Forest Preserve dr. to Plainfield north to home</t>
  </si>
  <si>
    <t>45X120</t>
  </si>
  <si>
    <t>Lovely brick English with side drive on quiet tree lined street feat: bright &amp; open floor plan, gleaming hardwood floors, formal dining room, gourmet kitchen, granite counters, granite backsplash &amp; ss appliances, elegant modern baths, lots of windows, tons of closets/storage, full finished basement, 2 car gar and nice sized back yard w/deck. Multiple offers received. Submit your Highest &amp; Best by WED (11/19) at 6PM.</t>
  </si>
  <si>
    <t>19X10</t>
  </si>
  <si>
    <t>2.5% -200 (on Net SP)</t>
  </si>
  <si>
    <t>RE/MAX Edge</t>
  </si>
  <si>
    <t>(773) 435-1600</t>
  </si>
  <si>
    <t>Marcin Krempa, e-PRO,GRI</t>
  </si>
  <si>
    <t>(773) 719-0584</t>
  </si>
  <si>
    <t>SHOWING SERVICE PLEASE CALL 1-877-977-1010</t>
  </si>
  <si>
    <t>NOT A SHORT SALE OR A FORECLOSURE!</t>
  </si>
  <si>
    <t>MAY</t>
  </si>
  <si>
    <t>E/W ON 63RD ST. TO ABERDEEN, N ON ABERDEEN ST. TO 62ND ST., W ON 62ND ST TO MAY, S ON MAY ST. TO ADD</t>
  </si>
  <si>
    <t>APPROVED SHORT SALE      ***INVESTOR SPECIAL*** HOME IN GOOD CONDITION. NICE SIZED ROOMS WITH TONS OF POTENTIAL. HOME HAS NEWER WINDOWS AND NEWER SIDING. MINUTES FROM KENNEDY KING COLLEGE AND ALSO THE FUTURE SITE OF WHOLE FOODS GROCERY STORE.</t>
  </si>
  <si>
    <t>Tabs Realty Group LLC</t>
  </si>
  <si>
    <t>(773) 488-5100</t>
  </si>
  <si>
    <t>Tabitha Wilkins</t>
  </si>
  <si>
    <t>Contact LA - 708.275.1751</t>
  </si>
  <si>
    <t>CC: Pursuant to Short Sale. COMMISSION MAY BE REDUCED BY LENDER. If Seller's Lender changes compensation, change will be split between offices 50-50</t>
  </si>
  <si>
    <t>Irving Park to Parkside</t>
  </si>
  <si>
    <t>The new portage park has arrived!!! This bungalow has been transformed into something magnificent. With four bedrooms, four full baths, hardwood floors, kitchen boasting new cabinets, stainless steel appliances,  granite countertops, new electric, new plumbing, new HVAC, two car garage with new tear off roof, one car parking pad, and a full finished basement, we usher in a new era. Super close to park.</t>
  </si>
  <si>
    <t>Nicholas Hansen</t>
  </si>
  <si>
    <t>(708) 214-6425</t>
  </si>
  <si>
    <t>Click below and schedule, broker will confirm via email.</t>
  </si>
  <si>
    <t>Please reach out to broker via email.</t>
  </si>
  <si>
    <t>KILBOURN</t>
  </si>
  <si>
    <t>CICERO TO ARMITAGE EAST TO KILBOURN N TO 2043</t>
  </si>
  <si>
    <t>Spacious single family home w/ finished attic. Features hardwood floors throughout, formal dining area, kitchen with S.S. appliances. 2d Floor has 3 good size BR &amp; 1 full bath. 1st  floor has 1 BR and 1 full bath. New Roof, Newer heating system. Master Bedroom w/2 Walking Closets. Newer Windows. Nicely Painted. Unfinished basement with many possibilities. Beautiful backyard &amp; 2 Car Garage. Shows well. Regular Sale.</t>
  </si>
  <si>
    <t>8X17</t>
  </si>
  <si>
    <t>Gas, Hot Water/Steam, Radiators</t>
  </si>
  <si>
    <t>Dormer, Finished, Full</t>
  </si>
  <si>
    <t>Ricardo Morales, ABR</t>
  </si>
  <si>
    <t>(773) 388-8633x2293</t>
  </si>
  <si>
    <t>24Hrs notice please, Call 877-977-1010</t>
  </si>
  <si>
    <t>Windsor</t>
  </si>
  <si>
    <t>Route 71(W) to Plainfield Rd.(E) to Grove to Morgan Valley Drive(W) to Windsor(N)</t>
  </si>
  <si>
    <t>80X166</t>
  </si>
  <si>
    <t>Upgrades galore adorn this beautiful 2 story. Featuring, hardwood floors, vaulted &amp; tray ceilings, granite counters, Stainless Steel appliances &amp; upgraded lighting! Family room w/fireplace opens to eat-in kitchen. Very generous sized bedrooms. Master suite w/luxury bath &amp; walk in closet. Partially finished basement for entertaining. Nice deck w/gazebo &amp; hot tub. Huge fenced yard. Many newer updates including roof.</t>
  </si>
  <si>
    <t>Separate Shower, Double Sink, Full Body Spray Shower, Double Shower, Soaking Tub</t>
  </si>
  <si>
    <t>Humidifier, Water-Softener Owned, Ceiling Fan, Sump Pump, Air Cleaner</t>
  </si>
  <si>
    <t>Bar, Eating Area, Foyer, Office, Recreation Room, Storage</t>
  </si>
  <si>
    <t>Vaulted/Cathedral Ceilings, Skylight(s), Hot Tub, Hardwood Floors, 2nd Floor Laundry</t>
  </si>
  <si>
    <t>Deck, Hot Tub, Gazebo, Storms/Screens</t>
  </si>
  <si>
    <t>2.5%-$100 +$1000 BONUS (on Net SP)</t>
  </si>
  <si>
    <t>(630) 236-6500</t>
  </si>
  <si>
    <t>Erin Hill, ABR,CRS,GRI,SFR</t>
  </si>
  <si>
    <t>(630) 336-5962</t>
  </si>
  <si>
    <t>fax 630-236-2225</t>
  </si>
  <si>
    <t>2Hr notice, must confirm, Use ShowAssist to schedule, click icon below for appointment.</t>
  </si>
  <si>
    <t>$1000 Selling bonus for accepted contract by 3/17/15!! Exclude bedroom drapery, basket ball hoop, basement , freezer, washer &amp; dryer.  Gazebo, Hot tub, garage refrigerator &amp; batter backup sump pump are included!</t>
  </si>
  <si>
    <t>63rd Street East or West to Kedvale Ave North on Kedvale Ave to 6122</t>
  </si>
  <si>
    <t>30' X 126'</t>
  </si>
  <si>
    <t>Beautiful Rehabbed Oversize Kitchen with Maple Kitchen Cabinets and HardWood Floors Separate Dining Room.  Main Level, 2 Bedrooms on  2nd Floor 2 bedrooms and den. Full finished Basement with Outside Access. 2 car garage, roof 2001, Knight energy efficient boiler, newer windows. Pre-Approved Buyers please.</t>
  </si>
  <si>
    <t>Gas, Electric, Radiant</t>
  </si>
  <si>
    <t>Sidewalks, Street Lights, Street Paved, Other</t>
  </si>
  <si>
    <t>Oven/Range, Microwave, Dishwasher, Refrigerator, Dryer</t>
  </si>
  <si>
    <t>Dormer, Finished, Full, Interior Stair</t>
  </si>
  <si>
    <t>Common Grounds</t>
  </si>
  <si>
    <t>Circuit Breakers, 60 Amp Service</t>
  </si>
  <si>
    <t>TV-Cable, TV-Dish</t>
  </si>
  <si>
    <t>Den, Workroom</t>
  </si>
  <si>
    <t>Bar-Dry</t>
  </si>
  <si>
    <t>2.5% - 150 (on Net SP)</t>
  </si>
  <si>
    <t>(773) 735-6000</t>
  </si>
  <si>
    <t>Juanita Flores</t>
  </si>
  <si>
    <t>(773) 501-9349</t>
  </si>
  <si>
    <t>773-501-9349</t>
  </si>
  <si>
    <t>Call listing office easy to show</t>
  </si>
  <si>
    <t>Kenmore</t>
  </si>
  <si>
    <t>BELMONT TO KENMORE (1038 west). ONE-WAY SOUTH TO 3133.</t>
  </si>
  <si>
    <t>Fabulous newer construction home in fantastic Lakeview location- near shops, cafes, transportation, the lake. This is not your cookie cutter home and it has a great vibe. Highly upgraded w/cool architectural details: cherry floors, custom window treatments &amp; built-ins, 2 wet-bars, vaulted ceilings, skylights, radiant heat &amp; roof deck w/planters over 2 car gar. Easy walk to Belmont el &amp; area amenities. A winner!</t>
  </si>
  <si>
    <t>Gas, Forced Air, Radiant, 2+ Sep Heating Systems, Zoned</t>
  </si>
  <si>
    <t>Humidifier, TV-Cable, Security System, Intercom, CO Detectors, Ceiling Fan, Sump Pump</t>
  </si>
  <si>
    <t>Bar-Wet</t>
  </si>
  <si>
    <t>Wood Burning, Gas Logs</t>
  </si>
  <si>
    <t>17X24</t>
  </si>
  <si>
    <t>05X10</t>
  </si>
  <si>
    <t>(773) 404-1144</t>
  </si>
  <si>
    <t>Brad Lippitz</t>
  </si>
  <si>
    <t>Please email: showings@bradlippitz.com</t>
  </si>
  <si>
    <t>71ST</t>
  </si>
  <si>
    <t>E/W ON 71ST ST; S TO 71ST PL; E TO PROPERTY</t>
  </si>
  <si>
    <t>AMAZING HOME WITH ENCLOSED FRONT PORCH THAT LEADS YOU TO A HUGE LIVING AND SEPARATE DINING ROOM WITH 2 FIRST FLOOR BEDROOMS, BATH, KITCHEN AND ENCLOSED BACK PORCH. SECOND FLOOR HAS 2 BEDROOMS, FINISHED BASEMENT HAS PLENTY OF CEILING HEIGHT, KARGE LAUNDRY UTILITY ROOM AND BATHROOM.This is a Fannie Mae HomePath property. See Agent Remarks for more details.</t>
  </si>
  <si>
    <t>RE/MAX Partners</t>
  </si>
  <si>
    <t>(708) 484-2300</t>
  </si>
  <si>
    <t>Allen Snyder</t>
  </si>
  <si>
    <t>CALL OFFICE FOR CODE</t>
  </si>
  <si>
    <t>This is a Fannie Mae HomePath Property. Seller has directed that all offers be submitted via www.HomePath.com. See site for details and to fill out REPA!</t>
  </si>
  <si>
    <t>Bluegrass</t>
  </si>
  <si>
    <t>Rt 34 to Douglas, S to Bluegrass Pkwy to home.</t>
  </si>
  <si>
    <t>Churchill Club</t>
  </si>
  <si>
    <t>GATEDANCER</t>
  </si>
  <si>
    <t>63X109</t>
  </si>
  <si>
    <t>Move in Ready! Traditional sale, quick close. 4 bedroom, loft was converted to a room, 2 car garage, large kitchen, 42" cabinets that overlooks a large eating area, butlers panty into dining room, spectacular wood floors &amp; ceramic tile on the first floor, neutral dÃ©cor &amp; well maintained. Churchill club is a highly sought after Clubhouse Community w/ pools, vball, bball, tennis, trails &amp; ponds to walk.</t>
  </si>
  <si>
    <t>CHURCHILL ELEMENTARY SCHOOL</t>
  </si>
  <si>
    <t>Eating Area-Breakfast Bar, Island, Pantry-Butler, Pantry-Closet</t>
  </si>
  <si>
    <t>Common Insurance, Clubhouse, Exercise Facilities, Pool</t>
  </si>
  <si>
    <t>Humidifier, TV-Dish, CO Detectors, Ceiling Fan, Sump Pump</t>
  </si>
  <si>
    <t>2.5 -$150 (on Net SP)</t>
  </si>
  <si>
    <t>Kelly-Anne Gallo</t>
  </si>
  <si>
    <t>(630) 546-0219</t>
  </si>
  <si>
    <t>Text or Call List Agent for Combo  630-546-0219</t>
  </si>
  <si>
    <t>Easy to Show...quick close...not a short sale or foreclosure</t>
  </si>
  <si>
    <t>Marquette</t>
  </si>
  <si>
    <t>MARQUETTE ROAD AND CICERO EAST TO HOUSE</t>
  </si>
  <si>
    <t>DEAL FELL THROUGH!!!ESTATE SALE "AS IS"  NEW ROOF, A/C, HARDWOOD UNDER CARPETING, HUGE YARD, SIDE DRIVE, RELATED LIVING, SELLER WILL CONSIDER ALL REASONABLE OFFERS!!! FINANCING AVAILABLE, 203K LOAN POSSIBLE.</t>
  </si>
  <si>
    <t>2.25%-$150 (on Net SP)</t>
  </si>
  <si>
    <t>First Rate Realty, Inc.</t>
  </si>
  <si>
    <t>(708) 751-0299</t>
  </si>
  <si>
    <t>Natalie Grisco</t>
  </si>
  <si>
    <t>CALL LA SOME NOTICE MUST ACCOMPANY</t>
  </si>
  <si>
    <t>WOODLAKE</t>
  </si>
  <si>
    <t>ARMY TRAIL TO WOODLAKE N TO HOME</t>
  </si>
  <si>
    <t>WOODLAKE TRAILS</t>
  </si>
  <si>
    <t>TIMBERLAND</t>
  </si>
  <si>
    <t>65X 146</t>
  </si>
  <si>
    <t>Large home with recently updated roof, siding and furnace. The property has a large, fenced back yard. Located in an established area, close to schools, shopping malls and parks. PLEASE, SEE ADDITIONAL INFO ON FINANCING OPTIONS. All closings are subject to the recording of the foreclosure deed. Submitted offers must include buyer-signed contract, proof of funds/pre-approval letter and earnest money check.</t>
  </si>
  <si>
    <t>HAWK HOLLOW ELEMENTARY SCHOOL</t>
  </si>
  <si>
    <t>EAST VIEW MIDDLE SCHOOL</t>
  </si>
  <si>
    <t>25X24</t>
  </si>
  <si>
    <t>Park/Playground, Pond/Lake, Curbs/Gutters, Sidewalks, Street Paved</t>
  </si>
  <si>
    <t>16X6</t>
  </si>
  <si>
    <t>AVS Prime Realty Corporation</t>
  </si>
  <si>
    <t>(630) 626-9858</t>
  </si>
  <si>
    <t>Vytautas Sruoga</t>
  </si>
  <si>
    <t>(773) 983-4544</t>
  </si>
  <si>
    <t>PLEASE, USE SHOWING ASSIST</t>
  </si>
  <si>
    <t>Seller addendums will be provided for signature with accepted offer. To submit offer: https://agent.res.net/Offers.aspx?-1011589 COPY AND PASTE. Registration is free for agents.</t>
  </si>
  <si>
    <t>Burr</t>
  </si>
  <si>
    <t>Orchard to Rt 34 W. on American Way W. to Burr St.</t>
  </si>
  <si>
    <t>70X133</t>
  </si>
  <si>
    <t>Very nice two story with a nice floor plan.  The house features hardwood floors, a fireplace, full unfinished basement. 2nd floor laundry, large master suite with a huge walk in closet.  Fenced back yard.  The house is in good condition with some minor cosmetic interior repairs needed.  Property sold as-is.  No disclosures or survey will be provided.</t>
  </si>
  <si>
    <t>Kettley &amp; Co. Inc.</t>
  </si>
  <si>
    <t>(815) 786-3200</t>
  </si>
  <si>
    <t>Doug Bright, CRB</t>
  </si>
  <si>
    <t>(815) 276-8031</t>
  </si>
  <si>
    <t>USE SHOWING ASSIST BELOW</t>
  </si>
  <si>
    <t>Employees and family members residing with employees of JPMorgan Chase Bank, N.A, its affiliates or subsidiaries are strictly prohibited from directly or indirectly purchasing any property owned by JPMorgan Chase Bank, N.A.</t>
  </si>
  <si>
    <t>3n699</t>
  </si>
  <si>
    <t>Laura Ingalls Wilder</t>
  </si>
  <si>
    <t>RT 38 TO LAFOX RD NORTH TO VACHEL LINDSEY TO LAURA INGALLS</t>
  </si>
  <si>
    <t>FOX MILL</t>
  </si>
  <si>
    <t>CHAGALL</t>
  </si>
  <si>
    <t>83X155X122X171</t>
  </si>
  <si>
    <t>Beautiful View! This spacious Fox Mill home is what you've been looking for! Classic din. room w/ wainscoting &amp; crwn mlding. 1st Flr office w/ built-in bookcases, crown molding. 2 stry fam.rm w/ brick fp, opens to a fully upgraded kitchen-granite, SS appls, &amp; island. Mstr suite w/ luxury bath-whirlpool tub, walk in Shower. Full unfinished basement w/ rough-in. Relax on your large back deck &amp; enjoy the stunning view!</t>
  </si>
  <si>
    <t>Clubhouse, Pool, Curbs/Gutters, Sidewalks, Street Paved</t>
  </si>
  <si>
    <t>Humidifier, Security System, Intercom, CO Detectors, Ceiling Fan, Sump Pump</t>
  </si>
  <si>
    <t>2.5% NET (on Net SP)</t>
  </si>
  <si>
    <t>The HomeCourt Real Estate</t>
  </si>
  <si>
    <t>(630) 232-2045</t>
  </si>
  <si>
    <t>Joyce Courtney, ABR,CRS,GRI</t>
  </si>
  <si>
    <t>(630) 232-2045x102</t>
  </si>
  <si>
    <t>Please call Showing Time @ 855-746-9927 or use Showing Assist</t>
  </si>
  <si>
    <t>Quick Possession Possible.</t>
  </si>
  <si>
    <t>Citation</t>
  </si>
  <si>
    <t>From Arlington Dr E towards Santa Anita Dr Turn right onto Citation Ln</t>
  </si>
  <si>
    <t>REO - BANK OWNED.PROPERTY SOLD â€œAS ISâ€_x009d_ WITHOUT REPAIR, WARRANTY/SELLER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 &amp; CONVENTIONAL OFFERS</t>
  </si>
  <si>
    <t>see Secure Showing Assist Instructions for LB Code</t>
  </si>
  <si>
    <t>Ocwen</t>
  </si>
  <si>
    <t>Western to Chicago-W to Fairfield-N to Address</t>
  </si>
  <si>
    <t>See 'Additional Info' for renderings on coach house. Updated Smith Park brick single family w/ coach house (gutted currently). Main house has 4bed/2bath w/ unfinished basement. Coach house designed to be Net Zero home &amp; designed by world renowned architect Grahm Balkany. Charming street close to Metra, Smith Park, Chicago H.S. for the Arts, many shops &amp; restaurants. If space &amp; location are important, Welcome Home!</t>
  </si>
  <si>
    <t>Vaulted/Cathedral Ceilings, Hardwood Floors, In-Law Arrangement, 1st Floor Laundry, 1st Floor Full Bath</t>
  </si>
  <si>
    <t>Deck, Roof Deck, 2 Houses</t>
  </si>
  <si>
    <t>2 Stories, Coach House</t>
  </si>
  <si>
    <t>(773) 496-4111</t>
  </si>
  <si>
    <t>Ron Knoll</t>
  </si>
  <si>
    <t>Cell 773.330.2353</t>
  </si>
  <si>
    <t>ShowingAssist ONLY!</t>
  </si>
  <si>
    <t>Great Family!</t>
  </si>
  <si>
    <t>MUST see renderings in "Additional Info" to appreciate the uniqueness of the coach house and future development. Nothing like it in Chicago! Most work completed in 2011. Roof brand new Nov. 2014.</t>
  </si>
  <si>
    <t>GRIFFITH</t>
  </si>
  <si>
    <t>KESLINGER W BLACKBERRY CREEK;BLACKBERRY CREEK S TO GRIFFITH; WEST TO HOME</t>
  </si>
  <si>
    <t>BLACKBERRY CREEK</t>
  </si>
  <si>
    <t>Open Floor Plan in pristine condition!!HW floors throughout first floor! 42" cream cabinets; corian counters,SS appliances w/island and additional seating. LR on first floor w/counters&amp;cabinets.Gas fireplace in FR. Beautiful large Master w/sitting area;master bath with separate shower, soaker tub,dual sinks &amp; walkin closet. Fenced in backyard{wrought iron}. Stamped concrete patio. Special fenced section for gardeners</t>
  </si>
  <si>
    <t>BLACKBERRY CREEK ELEMENTARY SCHOOL</t>
  </si>
  <si>
    <t>KANELAND MIDDLE SCHOOL</t>
  </si>
  <si>
    <t>23X18</t>
  </si>
  <si>
    <t>Water-Softener Owned, TV-Dish, CO Detectors, Ceiling Fan, Sump Pump</t>
  </si>
  <si>
    <t>Patio, Porch, Stamped Concrete Patio, Storms/Screens</t>
  </si>
  <si>
    <t>(847) 931-4663</t>
  </si>
  <si>
    <t>Frank Celarek</t>
  </si>
  <si>
    <t>(847) 717-4321</t>
  </si>
  <si>
    <t>CALL SHOWING DESK 888-362-3222</t>
  </si>
  <si>
    <t>Show your clients....you and they will not be disappointed!!! Move In Condition!! Kitchen and all appliances new in 2011!!</t>
  </si>
  <si>
    <t>MONDOVI</t>
  </si>
  <si>
    <t>Rt 34 W 2 Douglas N 2 Old Post W 2 Mondovi W</t>
  </si>
  <si>
    <t>Victoria Meadows</t>
  </si>
  <si>
    <t>70X120X96X118</t>
  </si>
  <si>
    <t>Newly Updated Kitchen..Open &amp; Bright with  4 Bed, 3 Full Baths, 1st flr Den w/adj full bath.  Awesome Opn Flr Plan.. Open Kit Island, Granite, New Cabinets  Dbl Pantries ,Hrdwd floors throughout 1st flr... 2-Story LIV/DR. Finished Bsmt. Large Mstr Suite, Dbl sinks, Sep Shwr,  XL walk in closet  Oversized Fenced Yard , Gazebo , Shed on Cul de sac. New Carpet on second floor. Close to shopping &amp; schools.</t>
  </si>
  <si>
    <t>OLD POST ELEMENTARY SCHOOL</t>
  </si>
  <si>
    <t>Deck, Gazebo, Storage Shed</t>
  </si>
  <si>
    <t>3.0-$250 (on Net SP)</t>
  </si>
  <si>
    <t>john greene, Realtor</t>
  </si>
  <si>
    <t>(630) 820-6500</t>
  </si>
  <si>
    <t>Lou Ann Chambers, CSC</t>
  </si>
  <si>
    <t>(630) 854-6842</t>
  </si>
  <si>
    <t>630-854-6842</t>
  </si>
  <si>
    <t>see showing assist</t>
  </si>
  <si>
    <t>Verbal offer accepted    Relo addendums!</t>
  </si>
  <si>
    <t>Shields</t>
  </si>
  <si>
    <t>W 43rd St to south on Shields, at 44th</t>
  </si>
  <si>
    <t>25 X 114</t>
  </si>
  <si>
    <t>*VERBALLY ACCEPTED OFFER* Newer construction SFR with unique layout and interior. Hardwood floors, large master suite w/fireplace &amp; jacuzzi tub. Full finished basement, nice rear yard w/deck space. SOLD "AS IS" CONDITION. NO SURVEY/DISCLOSURES. PROOF OF FUND/ PRE-APPROVAL MUST ACCOMPANY ALL OFFERS. ADDENDUM REQUIRED AFTER ACCEPTANCE. EM MUST BE CERT FUNDS. ROOMS, LOT SZE/DETAILS NOT GRNTD.</t>
  </si>
  <si>
    <t>45W368</t>
  </si>
  <si>
    <t>Freedom</t>
  </si>
  <si>
    <t>Burlington to Plato Rd to Highland to Freedom Ct</t>
  </si>
  <si>
    <t>BURLINGTON HILLS</t>
  </si>
  <si>
    <t>BURLINGTON</t>
  </si>
  <si>
    <t>76X637X241X596X320</t>
  </si>
  <si>
    <t>AWESOME &amp; UPDATED custom home on 3+ ACRES w/GORGEOUS Views of the Countryside!!! Boasting over 4300 sf w/the beautifully finished basement, this home will WOW even the most discriminating!! Hardwood floors, skylights, gourmet chef's kitchen, 4-5 bedrooms &amp; neutral dÃ©cor thru-out! BEST PART: Bring the RV, Boats, Horses OR build your barn/outbuilding! Fences allowed!! No covenants &amp; restrictions!! Convenient location!</t>
  </si>
  <si>
    <t>24X14</t>
  </si>
  <si>
    <t>Cul-de-sac, Horses Allowed, Landscaped Professionally</t>
  </si>
  <si>
    <t>3.0-3.99 Acres</t>
  </si>
  <si>
    <t>Humidifier, Water-Softener Owned, Central Vacuum, TV-Dish, TV Antenna, CO Detectors, Ceiling Fan, Fan-Whole House, Sump Pump, Radon Mitigation System(s), Power Generator</t>
  </si>
  <si>
    <t>Bonus, Office, Recreation Room, Sitting Room, Theatre Room</t>
  </si>
  <si>
    <t>Skylight(s), Hardwood Floors, Wood Laminate Floors, 1st Floor Laundry</t>
  </si>
  <si>
    <t>Deck, Dog Run &amp;/or Invisible Fence, Storms/Screens</t>
  </si>
  <si>
    <t>Call Showing Time at 855-746-9200 for a confirmed appointment.</t>
  </si>
  <si>
    <t>Furnace is new in 2011. Home recently updated!! You'll be impressed!! I promise!!! Sellers are empty nesters and want to downsize...Great opportunity for buyer!!!</t>
  </si>
  <si>
    <t>Eberhart</t>
  </si>
  <si>
    <t>Take Martin Luther King to 75th, Take 75th E to Eberhart, Take Eberhart S to House</t>
  </si>
  <si>
    <t>This beautiful, recently rehabbed 4 bedroom brick bungalow is overflowing with special features and brand new additions. The luxurious kitchen boasts stainless steel appliances, granite counters and upgraded cabinets. The basement has been completely refinished and the first floor offers gleaming hardwood floors throughout. With a 2-car garage and a great price, it's a must see.</t>
  </si>
  <si>
    <t>12X22</t>
  </si>
  <si>
    <t>BELLE PLAINE</t>
  </si>
  <si>
    <t>IRVING PARK TO KEDZIE NORTH TO BELLE PLAINE WEST</t>
  </si>
  <si>
    <t>Beautifully renovated SFH in Irving Park! Large 4Bed/3.1Bath + office with an open concept floor plan. Dark hardwood flooring and high end finishes throughout. Top of the line kitchen with island, all new stainless steel appliances, granite countertops and 42" cabinets. 3Bed/2Bath located on top level with a master suite. Fully finished basement 1Bed/1Bath, a bonus room and laundry room. New electrical and plumbing.</t>
  </si>
  <si>
    <t>11X19</t>
  </si>
  <si>
    <t>2.5% -$295 (on Net SP)</t>
  </si>
  <si>
    <t>X Plus Real Estate</t>
  </si>
  <si>
    <t>(312) 823-2716</t>
  </si>
  <si>
    <t>Weston Harding</t>
  </si>
  <si>
    <t>CALL or TEXT Weston (312) 823-2716 - Open House Sunday 2/8/14 10am-1pm</t>
  </si>
  <si>
    <t>CALL or TEXT Weston (312) 823-2716</t>
  </si>
  <si>
    <t>WOODLAWN</t>
  </si>
  <si>
    <t>E/W on 95th St. to Woodlawn S. to Address</t>
  </si>
  <si>
    <t>Solid brick home just waiting for your finishing touches.  Enjoy a family room addition.  Additional bedroom and bath in basement. Large Master Bedroom with walk-in like closets. Plenty of storage throughout.This is a Fannie Mae HomePath Property. See Agent Remarks for more info!</t>
  </si>
  <si>
    <t>6X6</t>
  </si>
  <si>
    <t>call office 708-484-2300</t>
  </si>
  <si>
    <t>Cedar Gate</t>
  </si>
  <si>
    <t>Bliss or Galena to Hankes to Winthrop New Rd to Cedar Gate</t>
  </si>
  <si>
    <t>Prestbury</t>
  </si>
  <si>
    <t>83X150X130X166</t>
  </si>
  <si>
    <t>Best value in Prestbury! Solid well built home on a wooded 1/2 acre fenced lot! New: furnace, carpet, paint... Family room w/fp, hardwood floors, spacious bdrms, huge 2-1/2 car garage... Bright finished bsmt w/bath, wet bar &amp; Pergo flooring!! Wonderful neighborhood w/pool, clubhouse, tennis, trails &amp; lakes!! This home needs some updating &amp; vision but it is well built, on a great lot and an outstanding value!!</t>
  </si>
  <si>
    <t>FEARN ELEMENTARY SCHOOL</t>
  </si>
  <si>
    <t>HERGET MIDDLE SCHOOL</t>
  </si>
  <si>
    <t>Clubhouse, Park/Playground, Pool, Tennis Courts, Pond/Lake, Street Paved</t>
  </si>
  <si>
    <t>Cul-de-sac, Fenced Yard, Wooded</t>
  </si>
  <si>
    <t>Clubhouse, Pool, Scavenger, Lake Rights</t>
  </si>
  <si>
    <t>Game Room, Recreation Room</t>
  </si>
  <si>
    <t>Bar-Wet, Hardwood Floors, Wood Laminate Floors</t>
  </si>
  <si>
    <t>3% -$200 (on Net SP)</t>
  </si>
  <si>
    <t>LOCKWOOD</t>
  </si>
  <si>
    <t>LARAMIE TO HURON W 2 BLKS TO LOCKWOOD N TO HOME</t>
  </si>
  <si>
    <t>25 X 133</t>
  </si>
  <si>
    <t>THIS BEAUTIFUL HOME HAS BEEN COMPLETELY REMODELED! HARDWOOD FLOORS THROUGH-OUT FIRST FLOOR, NEW MODERN KITCHEN. FULL FINISHED BASEMENT WITH CERAMIC FLOORING &amp; EXTRA BEDROOM. BATHROOMS ON ALL 3 FLOORS, 5 TOTAL BEDROOMS IN THIS SPACIOUS HOME. SOLD AS-IS.</t>
  </si>
  <si>
    <t>Enclosed Porch, Office</t>
  </si>
  <si>
    <t>Exit Strategy Realty</t>
  </si>
  <si>
    <t>(312) 554-5478</t>
  </si>
  <si>
    <t>Rashida Kharkhariwala</t>
  </si>
  <si>
    <t>(847) 226-2389</t>
  </si>
  <si>
    <t>Easy to show, lockbox</t>
  </si>
  <si>
    <t>This property is being sold via online auction starting on 11/06/2014 and ending on 11/13/2014  Property sold asâ€_x0090_is. Access code OCN Vacant, no appointment required.  For assistance call Customer Care @ 1â€_x0090_855â€_x0090_882â€_x0090_1314 or visit hubzu.com</t>
  </si>
  <si>
    <t>EDGEWOOD</t>
  </si>
  <si>
    <t>HILLTOP</t>
  </si>
  <si>
    <t>HOME SOLD PRIOR TO PROCESSING.</t>
  </si>
  <si>
    <t>SALES CENTER &amp; MODEL OPEN SATURDAY THRU WEDNESDAY 10 TO 5 OR BY APPOINTMENT.  CALL 847-426-4411.</t>
  </si>
  <si>
    <t>3% COMMISSION ON BASE PRICE OF $264,990</t>
  </si>
  <si>
    <t>Sutton</t>
  </si>
  <si>
    <t>Orchard to Galena,West to 47, North to Park, West to Hampstead, Right to Sutton</t>
  </si>
  <si>
    <t>153X140X78X138</t>
  </si>
  <si>
    <t>This home qualifies for special government funding, all buyer needs is $3299 down to buy! No Joke! New carpet and new paint throughout. Stunning kitchen with new ss appliances, corian countertops, new backsplash and wood laminate floors. Master suite with large closet and bath with double sinks and soaking tub. Updated baths. New plumbing and light fixtures.  Huge deck and professionally landscaped yard.</t>
  </si>
  <si>
    <t>Breakfast Room, Mud Room, Sitting Room, Sun/Florida Room Heated</t>
  </si>
  <si>
    <t>Vaulted/Cathedral Ceilings, Wood Laminate Floors</t>
  </si>
  <si>
    <t>4X6</t>
  </si>
  <si>
    <t>EASY TO SHOW AND SELL. NOT A SHORT SALE OR FORECLOSURE. BRING YOUR FHA BUYES. TEXT CO LISTER WITH QUESTIONS 630-334-5355.</t>
  </si>
  <si>
    <t>CALIFORNIA</t>
  </si>
  <si>
    <t>47th St to California Ave</t>
  </si>
  <si>
    <t>WOW, SINGLE FAMILY HOME, SOLD IN A PACKAGE DEAL WITH A LOT NEXT DOOR THAT HAS A TWO CAR GARAGE.THIS SINGLE FAMILY WITH A FORMAL DINING ROOM ON MAIN LEVEL,LOWER LEVEL HAS TWO BED ROOM,BATHROOM AND MUCH MORE. FULL UNFINISHED ATTIC.WALK TO PUBLIC TRANSPORTATION,SCHOOLS AND STORES. DOES NEED SOME TLC.SOLD AS-IS COND.NOT A SHORT SALE WE CAN CLOSE ASAP,CASH OR REHAB LOAN ONLY!!</t>
  </si>
  <si>
    <t>3%-$150 (on Net SP)</t>
  </si>
  <si>
    <t>Salvador Gonzalez</t>
  </si>
  <si>
    <t>(773) 875-9480</t>
  </si>
  <si>
    <t>Per Seller Request Buyers Agent needs to pick up keys @ L/O Please call Office to Set Up Appointment</t>
  </si>
  <si>
    <t>Vournazos</t>
  </si>
  <si>
    <t>Earnest Money in Certified Funds Please made payable to "Chicago Title". PIN 19-01-422-011-000 Taxes $2028.08 and PIN 19-01-422-012-0000 Taxes $542.87</t>
  </si>
  <si>
    <t>MARMORA</t>
  </si>
  <si>
    <t>HIGGINS EAST OF AUSTIN TO MARMORA NORTH TO PROPERTY</t>
  </si>
  <si>
    <t>45X125</t>
  </si>
  <si>
    <t>BEAUTIFUL,HUGE &amp; STUNING !! HIGH QUALITY. FAMILY ROOM ADDITION DONE 3 YEARS AGO. OPEN FLOOR PLAN. HUGE CLOSETS. GEORGOUS KITCHEN WITH  42" CABINETS, SS APPLIANCES, GRANITE COUNTER &amp; MOSAIC. LUXURY BATH W/JACUZZI.OAK FLOORS. FULL FINISHED BSMT W BATH, BDRM, REC ROOM, EXTERIOR ACCESS.SURRAUND SYS. HUGE INSULATED GAR, 8FT HIGH GAR DOOR. NEWER ELECTRIC 200 APT. ROOF, WINDOWS,FURNACE, AC.FENCED EXTRA WIDE LOT 45 FT</t>
  </si>
  <si>
    <t>Eating Area-Table Space, Galley, Pantry-Closet</t>
  </si>
  <si>
    <t>Recreation Room, Utility Room-Lower Level</t>
  </si>
  <si>
    <t>Vaulted/Cathedral Ceilings, Skylight(s), Hardwood Floors, 1st Floor Bedroom, 1st Floor Full Bath</t>
  </si>
  <si>
    <t>Garage Door Opener(s), Transmitter(s), Carport, 7 Foot or more high garage door</t>
  </si>
  <si>
    <t>25X19</t>
  </si>
  <si>
    <t>7X10</t>
  </si>
  <si>
    <t>2.5%-$250 (on Gross SP)</t>
  </si>
  <si>
    <t>Barbara Augustyn Rago, e-PRO,SFR,SRES</t>
  </si>
  <si>
    <t>(847) 606-0080</t>
  </si>
  <si>
    <t>Call or text listing agent 847 606 0080</t>
  </si>
  <si>
    <t>Seller is very motivated. Bring all offers. Open Sunday November 16 from 1Pm to 3Pm.</t>
  </si>
  <si>
    <t>East/West on Fullerton; south to Palmer; West to home</t>
  </si>
  <si>
    <t>SPACIOUS 2 LVL 10 ROOM HM FOR LGE FAMILY! WELL MAINTAINED W/REFINISHED OAK FLOORS &amp; NATURAL WOODWORK THROUGHOUT. FORMAL DIN. RM, WOOD KIT CABINETS, LARGE BTHS, CEILING FANS THROUGHOUT. THERMAL WINDOWS AND FRONT BAY WINDOW OVERLOOKING SPACIOUS DECK. LARGE CEMENTED BACKYARD W/CARPORT-3CAR MOTIVATED SELLER. CALL FOR APPT - WEEKENDS ONLY; SOLD AS IS</t>
  </si>
  <si>
    <t>2nd Kitchen, Storage</t>
  </si>
  <si>
    <t>2.0% - $200 (on Net SP)</t>
  </si>
  <si>
    <t>Windy City Realtors Inc.</t>
  </si>
  <si>
    <t>(312) 332-5252</t>
  </si>
  <si>
    <t>Yolanda Flores</t>
  </si>
  <si>
    <t>(773) 317-7062</t>
  </si>
  <si>
    <t>FIRST SHOWING ON 11/15/14 - - PLEASE TEXT AGENT; WEEKEND SHOWINGS ONLY</t>
  </si>
  <si>
    <t>Damen to Huron, west on Huron to Hoyne, north on Hoyne to Superior, east on Superior to 2045.</t>
  </si>
  <si>
    <t>24 X 94</t>
  </si>
  <si>
    <t>Beautiful &amp; well maintained Ukrn Village home! 4BR's w/3BR's up, great room sizes throughout, kitchen w/high-end Viking appliances, eat-in kitchen area plus front dining room, large living room off kitchen w/ tall ceilings, basement family room, rear deck that leads to garage rooftop deck. Large master suite, cathedral ceilings, 2 fireplaces. Excellent location, phenomenal value, walk to the new Mariano's!!</t>
  </si>
  <si>
    <t>Park/Playground, Sidewalks</t>
  </si>
  <si>
    <t>Oven/Range, Microwave, Dishwasher, Refrigerator, Freezer, Washer, Dryer, Disposal, All Stainless Steel Kitchen Appliances, Wine Cooler/Refrigerator</t>
  </si>
  <si>
    <t>Skylight(s), Bar-Wet, Hardwood Floors</t>
  </si>
  <si>
    <t>Balcony, Deck, Storms/Screens</t>
  </si>
  <si>
    <t>Wood Burning, Gas Logs, Gas Starter, Portable/Ventless</t>
  </si>
  <si>
    <t>Mark Baetzel</t>
  </si>
  <si>
    <t>(773) 968-0210</t>
  </si>
  <si>
    <t>(312) 593-6313</t>
  </si>
  <si>
    <t>Email Pete: pcastaldo@atproperties.com. Sellers prefer no showings between 12-3pm if possible.</t>
  </si>
  <si>
    <t>Sellers have 3 young daughters with various nap times from 12-3pm.  Prefer no showings then but will work with showings that cannot work around those times.</t>
  </si>
  <si>
    <t>MARYLAND</t>
  </si>
  <si>
    <t>83RD TO DREXEL TO 84TH TO MARYLAND TO ADDRESS</t>
  </si>
  <si>
    <t>CORPORATE OWNED.....SOLD AS IS........BUYER PAYS FOR SURVEY, TAXES PRORATED AT 100%.......MOLD PRESENT ON LOWER LEVEL...ENTER AT YOUR OWN RISK.</t>
  </si>
  <si>
    <t>2.5% OR $1000.00 MINIMUM (on Net SP)</t>
  </si>
  <si>
    <t>Tammy Holmes</t>
  </si>
  <si>
    <t>(708) 704-1481</t>
  </si>
  <si>
    <t>L B AND T</t>
  </si>
  <si>
    <t>USE SHOWING ASSIST.......EASY SHOW</t>
  </si>
  <si>
    <t>Sunrise</t>
  </si>
  <si>
    <t>Randall Rd, W on Silver Glen Rd, N on Thornwood Blvd, E on Brookwood to Sunrise N to home</t>
  </si>
  <si>
    <t>THORNWOOD</t>
  </si>
  <si>
    <t>Great cul de sac location in Thornwood pool community with St Charles schools. Light and bright kitchen w/ breakfast bar and hardwood floors. Large family room w/ vaulted ceiling and brick fireplace. Tray ceiling in master bedroom, luxury master bath w/ soaker tub and double vanity. Private yard w/ brick paver patio.</t>
  </si>
  <si>
    <t>FERSON CREEK ELEMENTARY SCHOOL</t>
  </si>
  <si>
    <t>HAINES MIDDLE SCHOOL</t>
  </si>
  <si>
    <t>Clubhouse, Pool, Exterior Maintenance</t>
  </si>
  <si>
    <t>Den, Eating Area</t>
  </si>
  <si>
    <t>3% -$150 (on Net SP)</t>
  </si>
  <si>
    <t>Laura Sanders, CSC,SFR</t>
  </si>
  <si>
    <t>(630) 715-2527</t>
  </si>
  <si>
    <t>Call 855-746-9100</t>
  </si>
  <si>
    <t>Relo addendums apply. Please use Multi-board 6.0 contract</t>
  </si>
  <si>
    <t>106th</t>
  </si>
  <si>
    <t>Western to 107th, E to Wood, N to 106th Street, E to Address</t>
  </si>
  <si>
    <t>41X114</t>
  </si>
  <si>
    <t>Beautifully renovated 4bed/3bath brick bungalow w/ full finished basement!  All new kitchen features new cabinets, granite counters, glass tile back splash, &amp; new stainless steel appliances! Gorgeous hardwood flooring on the main lvl &amp; new carpet on 2nd lvl.  3 fully remodeled baths w/ new modern vanities &amp; custom tiled showers! New roof, enclosed rear porch, new windows, white trim package, 2-car garage! A Must See!</t>
  </si>
  <si>
    <t>23X8</t>
  </si>
  <si>
    <t>2.5% ON NET + $1000 BONUS FOR ON-TIME CLOSING (on Net SP)</t>
  </si>
  <si>
    <t>EXODUS1 RIDER TO ACCOMPANY CONTRACT- SEE ADDTL DOCS. VERY EASY TO SELL. CERTIFIED FUNDS EARNEST $. $1000 BONUS PAID only IF CLOSING IS ON TIME. OFFERS-TIM@CROSSTOWNREALTORS.COM â€œHVAC Condensers to be installed when weather permitsâ€_x009d_.</t>
  </si>
  <si>
    <t>83rd</t>
  </si>
  <si>
    <t>83rd Pl and Kedzie Ave., west to home.</t>
  </si>
  <si>
    <t>36 X 125</t>
  </si>
  <si>
    <t>BACK ON THE MARKET! Great chance to own this very nice 4 bedroom 2 bathroom home, near schools, parks and shopping. Large master bedroom, spacious bedrooms on the 2nd level and attractive flooring throughout. Home also features full unfinished basement and 2.5 car garage. This is a Fannie Mae HomePath property. Fannie Mae First Look Period has expired.</t>
  </si>
  <si>
    <t>3% OR $1,000 WHICH EVER IS GREATER (on Gross SP)</t>
  </si>
  <si>
    <t>RLB Realty Group, Inc.</t>
  </si>
  <si>
    <t>(773) 268-2000</t>
  </si>
  <si>
    <t>Ronald Branch</t>
  </si>
  <si>
    <t>PLEASE CONTACT CENTRALIZED SHOWING SERVICE AT 877-977-1010 TO SCHEDULE AN APPOINTMENT.</t>
  </si>
  <si>
    <t>FANNIE MAE/HOMEPATH</t>
  </si>
  <si>
    <t>The seller has directed that all offers on this listing be made using the HomePath online offer system at the Home Path website at www.homepath.com. No survey/100% tax proration. PLEASE DON'T SUBMITT OFFERS DIRECTLY TO THE LA/LO. See Forms</t>
  </si>
  <si>
    <t>HALSTED STREET TO GREEN STREET, WEST ON GREEN STREET TO PROPERTY ADDRESS.</t>
  </si>
  <si>
    <t>SPACIOUS SINGLE FAMILY HOME LOCATED IN THE ENGLEWOOD NEIGHBORHOOD. CLOSE TO MAJOR STREETS, PUBLIC TRANSPORTATION, NEIGHBORHOOD PARKS AND THE 90/94 EXPY. GREAT OPPORTUNITY! PROPERTY SOLD AS-IS. NO  DISCLOSURES. SELLER WILL NOT PROVIDE SURVEY. LOT &amp; ROOM SIZES APPROXIMATE. PRE-APPROVAL OR PROOF OF FUNDS REQUIRED WITH ALL OFFERS. EARNEST MONEY MUST BE CERTIFIED FUNDS.</t>
  </si>
  <si>
    <t>1%-1% C AGT RMKS (on Gross SP)</t>
  </si>
  <si>
    <t>Domain Realty</t>
  </si>
  <si>
    <t>(773) 235-9142</t>
  </si>
  <si>
    <t>Adam Wavrunek</t>
  </si>
  <si>
    <t>Selling as Quit Claim deed, buyer to pay all other fees. ADDENDUMS REQ. ONCE OFFER IS ACCEPTED. QUESTIONS TO: offers@domainreo.com. PLEASE SUB. OFFERS AT http://TAZAHOMES.com/listing.aspx?GUID=7C0AD856-912F-47AE-9280-1A0E2A2CBF88</t>
  </si>
  <si>
    <t>Peoria</t>
  </si>
  <si>
    <t>111TH STREET TO PEORIA SOUTH TO ADDRESS</t>
  </si>
  <si>
    <t>You very seldom see a home like this available in this particular area. Recently rehabbed ranch sitting perfectly on a quiet cul-de-sac. Has everything. SS kitchen appliances,  recessed lighting throughout, natural hardwood and ceramic tile flooring, newer windows and roof along with a home warranty for your peace of mind. Great home for indoor/outdoor entertaining. A true must see.</t>
  </si>
  <si>
    <t>2.5% + BONUS (on Net SP)</t>
  </si>
  <si>
    <t>Ani Real Estate</t>
  </si>
  <si>
    <t>(773) 599-9537</t>
  </si>
  <si>
    <t>Lutalo McGee, ABR,BPOR,GRI,SFR,SRS</t>
  </si>
  <si>
    <t>(773) 343-8073</t>
  </si>
  <si>
    <t>Text LA 847-924-1596 24hr Notice</t>
  </si>
  <si>
    <t>Selling features: window shutters, designer porch. Patio furniture in garage also included. $1,000 BONUS for full asking offer</t>
  </si>
  <si>
    <t>Lake Shore S</t>
  </si>
  <si>
    <t>Rt. 53 North to Lake Cook Rd West to Cold Spring N. to Lake Shore Dr. E. to property</t>
  </si>
  <si>
    <t>Fox Point</t>
  </si>
  <si>
    <t>2 STY GEORGIAN</t>
  </si>
  <si>
    <t>105X194X105X185</t>
  </si>
  <si>
    <t>LAKE VIEW FROM ALMOST EVERY WINDOW.RECENTLY REMODELED 3700 SQ.FT. 2STY SITS ON THE LAKE IN FOX POINT. SPACIOUS MASTER SUITE OFFERING A FIREPLACE,SITTING AREA &amp; LARGE COVERED PATIO OVERLOOKING THE LAKE. MAIN FLR. OCTAGON OFFICE OFFERS FLR TO CEILING WINDOWS. PERFECT FOR WORKING AT HOME. FULL FINSIHED BASEMENT. 3 CAR GARAGE &amp; PAVER BRICK PATIO. NEW ROOF 2014.TRULY A ONE OF A KIND. RECENT UPGRADES IN "ADDITIONAL INFO"</t>
  </si>
  <si>
    <t>26X20</t>
  </si>
  <si>
    <t>Clubhouse, Park/Playground, Pool, Tennis Courts, Pond/Lake</t>
  </si>
  <si>
    <t>Oven/Range, Dishwasher, High End Refrigerator, Washer, Dryer, Disposal, All Stainless Steel Kitchen Appliances</t>
  </si>
  <si>
    <t>Lake Front</t>
  </si>
  <si>
    <t>Clubhouse, Pool, Lake Rights</t>
  </si>
  <si>
    <t>CO Detectors, Ceiling Fan, Sump Pump, Backup Sump Pump</t>
  </si>
  <si>
    <t>Office, Recreation Room, Utility Room-2nd Floor</t>
  </si>
  <si>
    <t>Balcony, Patio, Dog Run &amp;/or Invisible Fence, Brick Paver Patio, Storms/Screens</t>
  </si>
  <si>
    <t>20X30</t>
  </si>
  <si>
    <t>(815) 485-3401</t>
  </si>
  <si>
    <t>Sharon Ahrweiler, SRES</t>
  </si>
  <si>
    <t>(815) 263-2844</t>
  </si>
  <si>
    <t>Call Centralized Showing 877-977-1010</t>
  </si>
  <si>
    <t>Agent is related to seller. Easy to show.</t>
  </si>
  <si>
    <t>WAUKESHA</t>
  </si>
  <si>
    <t>CALDWELL NORTH TO WAUKESHA EAST</t>
  </si>
  <si>
    <t>48X115</t>
  </si>
  <si>
    <t>SPECTACULAR!  HOME IN GREAT NEIGHBORHOOD, UPDATED KITCHEN,  NEW STAINLESS STEEL APPLIANCES,   UPDATED BATHROOMS, HARDWOOD FLOORS,  PROFESSIONALLY PAINTED, FINISHED BASEMENT, 2 CAR GARAGE, READY TO MOVE-IN</t>
  </si>
  <si>
    <t>2.5% - $295 (on Gross SP)</t>
  </si>
  <si>
    <t>American International Realty Corp</t>
  </si>
  <si>
    <t>(773) 509-9493</t>
  </si>
  <si>
    <t>Robert Lulkiewicz</t>
  </si>
  <si>
    <t>(224) 585-9090</t>
  </si>
  <si>
    <t>OWR</t>
  </si>
  <si>
    <t>Aborn</t>
  </si>
  <si>
    <t>Rt 20 to Longcommon Pkwy South, Right on Waterford Rd, Right on Holden St, Left on Aborn to 625</t>
  </si>
  <si>
    <t>Providence</t>
  </si>
  <si>
    <t>80X125X80X125</t>
  </si>
  <si>
    <t>MOVE RIGHT INTO THIS BRIGHT AND SPACIOUS HOME. FRESHLY PAINTED THROUGHOUT.  BRAND NEW CARPET. LARGE KITCHEN WITH EATING AREA LEADS TO A FAMILY ROOM, SEPARATE LIVING/DINING ROOM, 1ST FLOOR OFFICE, LARGE LOFT ON 2ND FLOOR, ALL BEDROOMS ARE GENEROUSLY SIZED. PROPERTY IS BEING SOLD IN AS-IS CONDITION, 100% TAX PRORATION, NO SURVEY.</t>
  </si>
  <si>
    <t>Eating Area, Foyer, Loft, Office</t>
  </si>
  <si>
    <t>ALL OFFERS MUST BE SUBMITTED BY THE BUYERS AGENT VIA www.offersubmission.com, ID#1010753. NO PAPERWORK REQUIRED UNTIL TERMS ACCEPTED. BUYER PAYS $300 FEE AT CLOSING. NO OFFERS WILL BE RESPONDED WITHIN THE FIRST 10 DAYS OF MARKET TIME.</t>
  </si>
  <si>
    <t>Sudbury</t>
  </si>
  <si>
    <t>Route 38 to Williamsburg south, Cambridge south to Sudbury</t>
  </si>
  <si>
    <t>80X135</t>
  </si>
  <si>
    <t>Great in-town location! Desirable Pepper Valley. Wonderful neighborhood with pool, clubhouse, tennis courts, park &amp; walking trails. Kitchen has vaulted eating area,FR w/FP &amp; built-in bookshelves,sun room,crown molding in LR &amp; DR,basement w/spacious rec room &amp; big office could be bedroom #5. Nice private backyard w/concrete patio. Good value &amp; great potential w/some updating. Close to shopping,dining &amp; train access!</t>
  </si>
  <si>
    <t>TV-Dish, Sump Pump</t>
  </si>
  <si>
    <t>Office, Recreation Room, Sun/Florida Room</t>
  </si>
  <si>
    <t>27X14</t>
  </si>
  <si>
    <t>2.5%-$195 (on Net SP)</t>
  </si>
  <si>
    <t>Anne Ward</t>
  </si>
  <si>
    <t>(630) 464-4488</t>
  </si>
  <si>
    <t>Call 855.746.9093</t>
  </si>
  <si>
    <t>Pine</t>
  </si>
  <si>
    <t>KIRK RD TO PINE STREET WEST TO HOME</t>
  </si>
  <si>
    <t>Breton Manor</t>
  </si>
  <si>
    <t>68 X 140</t>
  </si>
  <si>
    <t>Beautiful split level w/4 spacious bedrooms on a huge wooded lot. Eat in kit w/white cabinets, high end SS refrigerator and HW floors. Huge living room. Lower level family room w/brick fp,WIC and powder room. All br's w/hardwood floors. Newer vinyl siding, roof, furnace, A/C, HWH, refrigerator &amp; carpet. Screened in porch overlooking awesome yard w/ceramic tile flr. 6 panel white doors &amp; trim. Sub bmt partially fin.</t>
  </si>
  <si>
    <t>J B NELSON ELEMENTARY SCHOOL</t>
  </si>
  <si>
    <t>Oven/Range, Microwave, Dishwasher, High End Refrigerator, Washer, Dryer, Disposal</t>
  </si>
  <si>
    <t>Partially Finished, Crawl, Sub-Basement</t>
  </si>
  <si>
    <t>School Bus Service, Commuter Bus, Interstate Access</t>
  </si>
  <si>
    <t>Recreation Room, Screened Porch</t>
  </si>
  <si>
    <t>Porch Screened, Storms/Screens</t>
  </si>
  <si>
    <t>Split Level w/ Sub</t>
  </si>
  <si>
    <t>Pam Burke</t>
  </si>
  <si>
    <t>(630) 935-2777</t>
  </si>
  <si>
    <t>E Fax 781.609.9764</t>
  </si>
  <si>
    <t>Call Showing Time 855.746.9200 1 hour notice</t>
  </si>
  <si>
    <t>1 hour notice evenings and weekends. Dont let the cat out.</t>
  </si>
  <si>
    <t>Marilyn</t>
  </si>
  <si>
    <t>US 30 WEST RIGHT ON GORDON, KENNEDY (l) MARILYN,  (R)</t>
  </si>
  <si>
    <t>FAIRFIELD WAY</t>
  </si>
  <si>
    <t>122.14 X 79.80 X 150 X 120</t>
  </si>
  <si>
    <t>No need to build. This homes has it all.  Six panel doors. Two  fireplaces.  490 square feet of deck. (11x9 hard top gazebo with screens)  10 x 10 shed.  Brand new master bath. Ceramic wall and floors. WI closet 19x7.  Fenced in yard .One of the largest in the subdivision.  All appliances included. 3 car garage. Gorgeous finished basement with bathroom/heated floors. New ejector pump 4/20/14.  Pella sliding door.</t>
  </si>
  <si>
    <t>BRISTOL GRADE SCHOOL</t>
  </si>
  <si>
    <t>Den, Eating Area, Loft, Walk In Closet</t>
  </si>
  <si>
    <t>2.5%-100 (on Gross SP)</t>
  </si>
  <si>
    <t>RE/MAX of Naperville</t>
  </si>
  <si>
    <t>(630) 420-1220</t>
  </si>
  <si>
    <t>Dinorah Hauser</t>
  </si>
  <si>
    <t>Please call LA AT 630-640-2837</t>
  </si>
  <si>
    <t>This home has tons of improvements. Maintained to perfection</t>
  </si>
  <si>
    <t>Wilmette</t>
  </si>
  <si>
    <t>maple lane to wilmette to property</t>
  </si>
  <si>
    <t>NEW CARPET &amp; PAINT MOVE-IN-READY! 4 BEDROOM WITH 2 BATH AND A FINISHED BASEMENT. Home has hardwood floors a large kitchen and huge oak trees.100% tax proration, no survey or disclosures provided.For more information about HomePath homes and incentives, please visit HomePathcom. Room/Lot sizes are approx. POF strongly encouraged with all offers.</t>
  </si>
  <si>
    <t>Buy It Inc</t>
  </si>
  <si>
    <t>(224) 699-2600</t>
  </si>
  <si>
    <t>Kevin Schudel</t>
  </si>
  <si>
    <t>(847) 833-2337</t>
  </si>
  <si>
    <t>SEE Secure Showing Assist Instructions</t>
  </si>
  <si>
    <t>It is strongly encouraged that an offer includes proof of funds or pre approval and is a requirement for seller's final acceptance. All offers must be uploaded on to homepathcom</t>
  </si>
  <si>
    <t>HOUGH</t>
  </si>
  <si>
    <t>HOUGH ST, (BARRINGTON RD) ~ NORTH OF DUNDEE &amp; S OF MAIN ST ~ EAST SIDE OF STREET TO HOME</t>
  </si>
  <si>
    <t>60 X 177 X 61 X 177</t>
  </si>
  <si>
    <t>RECENTLY UPDATED &amp; MOVE-IN READY!! 177' DEEP HOMESITE BACKS TO AWARD WINNING GROVE AVE SCHOOL, FIELD/PARK &amp; PLAYGROUND!! RARELY AVAILABLE 1-LEVEL HOME W/ FFNSHD BASEMENT HAS LG FAM RM, 4TH BDRM/DEN &amp; FULL BTH!! BEAUTIFUL NEW KTCHEN W/ 42" CABS, GRANITE &amp; SS APPLS!! GLEEMING HRDWOOD, NEW A/C, LIGHT FXTURES, HRDWARE, 2 UPDTED BTHS ~ DBL BOWL VANITY &amp; SOAKER TUB!! OVER 2,000 SQ.FT. LIV AREA! TAKE THE TOUR &amp; HURRY OVER!!</t>
  </si>
  <si>
    <t>Storage, Utility Room-Lower Level</t>
  </si>
  <si>
    <t>Storage Shed, Grill-Outdoors</t>
  </si>
  <si>
    <t>Gas Logs, Includes Accessories</t>
  </si>
  <si>
    <t>Right Residential Realty II LLC</t>
  </si>
  <si>
    <t>(847) 884-4806</t>
  </si>
  <si>
    <t>Dawn Neumann</t>
  </si>
  <si>
    <t>(630) 770-8456</t>
  </si>
  <si>
    <t>VACANT ~ EASY TO SHOW, USE SCHEDULE A SHOWING LINK BELOW FOR APPT/COMBO.</t>
  </si>
  <si>
    <t>Right Residential II LLC</t>
  </si>
  <si>
    <t>IMMACULATE, BEAUTIFULLY STAGED ~ SHOWS GREAT. CAN CLOSE QUICKLY!! CALL DAWN (630) 770-8456 WITH ANY QUESTIONS.</t>
  </si>
  <si>
    <t>Olcott</t>
  </si>
  <si>
    <t>Belmont to Olcott South to home at corner of Barry and Olcott - enter on Barry</t>
  </si>
  <si>
    <t>BELMONT HEIGHTS</t>
  </si>
  <si>
    <t>33 X 134</t>
  </si>
  <si>
    <t>This is it!  Ready to move in - 4 bedroom. 2 bath brick bungalow. Refinished hardwood floors, furnace and air 2 years new, kitchen with table space and newer appliances, freshly painted thru-out - 2 first floor and 2 second floor bedrooms, 2 full baths (one on each level) Full, clean basement, nice sized fenced yard with patio and 2 car garage.  Make this your home for the holidays! Great price - great location!</t>
  </si>
  <si>
    <t>Realty World All Pro, Inc.</t>
  </si>
  <si>
    <t>(708) 452-7653</t>
  </si>
  <si>
    <t>Joette Fleming, GRI</t>
  </si>
  <si>
    <t>(708) 452-2249</t>
  </si>
  <si>
    <t>Call L/A</t>
  </si>
  <si>
    <t>Easy to show - neat, clean - refinished floors - move in ready  Newer appliances - Furnace and air - 2 yrs,  roof 12 years  6 years on dormer  newer front and rear doors. Please use 6.0 contract include "AS IS"</t>
  </si>
  <si>
    <t>Merrill</t>
  </si>
  <si>
    <t>JEFFREY TO 79TH ST. EAST TO MERRILL NORTH TO HOME.</t>
  </si>
  <si>
    <t>TWO STORY</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</si>
  <si>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t>
  </si>
  <si>
    <t>Finished, Full, Pull Down Stair</t>
  </si>
  <si>
    <t>Security System</t>
  </si>
  <si>
    <t>47X12</t>
  </si>
  <si>
    <t>Welcome Mat Realty, Inc</t>
  </si>
  <si>
    <t>(773) 720-2856</t>
  </si>
  <si>
    <t>Joyce Johnson</t>
  </si>
  <si>
    <t>Book  thru Schedule a Showing</t>
  </si>
  <si>
    <t>Offers must be submitted via Hubzu.com. Buyer to pay $299 Technology fee to Hubzu.com at closing. Seller will not activate utilities for inspection.</t>
  </si>
  <si>
    <t>OHIO</t>
  </si>
  <si>
    <t>DAMEN TO OHIO EAST TO PROPERTY</t>
  </si>
  <si>
    <t>24X95</t>
  </si>
  <si>
    <t>COMPLETELY RENOVATED NEW CONTEMPORARY STYLE SFH IN UK VILLAGE! BRIGHT OPEN LAY-OUT W/2 STORY ATRIUM IN LR (16FT CEILING HEIGHT), MAPLE HDWD FLRS, CHEFS KITCHEN WITH SS,GRANITE, CHERRY CABINETS, HUGE MASTER SUITE WITH SPA BATHROOM W/OVERFLOW INFINITY TUB &amp; SEP SHOWER,KOHLER SINKS, 2FP, STEAM SHOWER IN 2ND BATHROOM, SURROUND SOUND CUSTOM WINDOW TREATMENTS &amp; CLOSET ORGANIZERS, BACK DECK, 2 CAR GARAGE, A SHOW STOPPER!</t>
  </si>
  <si>
    <t>Curbs/Gutters</t>
  </si>
  <si>
    <t>Oven/Range, Microwave, Dishwasher, Refrigerator, Refrigerator-Bar, Washer, Dryer, Disposal, All Stainless Steel Kitchen Appliances</t>
  </si>
  <si>
    <t>2.5%-$350.00 (on Net SP)</t>
  </si>
  <si>
    <t>Chicago Properties, Inc</t>
  </si>
  <si>
    <t>(312) 829-0088</t>
  </si>
  <si>
    <t>Sam Shaffer</t>
  </si>
  <si>
    <t>(773) 297-9792</t>
  </si>
  <si>
    <t>e-mail sam@chiprop.com open house Sunday, November 16th 11-1pm</t>
  </si>
  <si>
    <t>Glengarry</t>
  </si>
  <si>
    <t>State St(Rte38) west of Kirk; N on Glengarry; home is at the end of the street in the cul-de-sac</t>
  </si>
  <si>
    <t>GLENGARRY</t>
  </si>
  <si>
    <t>56X101X125X183</t>
  </si>
  <si>
    <t>THE BEST OF BOTH WORLDS-IMMACULATE HOME BACKING UP TO THE ILL. PRAIRIE PATH &amp; ON A CUL-DE-SAC, YET CLOSE TO TOWN. SO PRIVATE! HARDIE BOARD SIDING. HUGE FAMILY ROOM &amp; SCRND-IN PORCH OVERLK NATURE AT IT'S BEST. WHOLE HOUSE FAN BRINGS THE BREEZE INSIDE. WALK TO ELEM SCHOOL, PARK, TOWN &amp; TRAIN. A UNIQUE MASONRY FRPLCE, INVITING KITCHEN &amp; WARM COLORS THROUT ARE SO WELCOMING. SIT BACK, RELAX &amp; ENJOY LIFE!$1000 CARPET ALLOW</t>
  </si>
  <si>
    <t>Oven/Range, Microwave, Dishwasher, Washer, Dryer, Disposal</t>
  </si>
  <si>
    <t>TV-Cable, CO Detectors, Ceiling Fan, Fan-Attic Exhaust, Fan-Whole House, Sump Pump</t>
  </si>
  <si>
    <t>Deck, Recreation Room, Screened Porch</t>
  </si>
  <si>
    <t>Hardwood Floors, Wood Laminate Floors</t>
  </si>
  <si>
    <t>Deck, Porch Screened, Storage Shed</t>
  </si>
  <si>
    <t>Miscella Real Estate</t>
  </si>
  <si>
    <t>(630) 232-1570</t>
  </si>
  <si>
    <t>Valerie Farkas</t>
  </si>
  <si>
    <t>(630) 709-9244</t>
  </si>
  <si>
    <t>call CSS 866-275-6319</t>
  </si>
  <si>
    <t>SMOKE FREE, PET FREE TIDY HOME!</t>
  </si>
  <si>
    <t>Edbrooke</t>
  </si>
  <si>
    <t>127th S. Edbrooke N To Property</t>
  </si>
  <si>
    <t>This beautiful recently rehabbed Brick Ranch, feature 4 bedrooms, 2  full bathrooms. Eat in kitchen with new cherry cabinets &amp; stainless steel appliances. The first floor has beautiful hardwood floors through out. The basement is finish with a jumbo family room &amp; a hug bedroom. New roof house and garage, new window, fence yard, A/C will be installed after closing. BE HOME FOR CHRISTMAS.  This home is Gorgeous.</t>
  </si>
  <si>
    <t>21X8</t>
  </si>
  <si>
    <t>32X14</t>
  </si>
  <si>
    <t>2.75% -200 (on Net SP)</t>
  </si>
  <si>
    <t>Cynthia Frye</t>
  </si>
  <si>
    <t>(708) 339-3968</t>
  </si>
  <si>
    <t>EASY TO SHOW, EARNEST MONEY HELD BY SELLER ATTORNEY.  EMAIL OFFER TO CYNTHIAFRYEREALTY@SBCGLOBAL.NET</t>
  </si>
  <si>
    <t>Columbus to 83rd west to address</t>
  </si>
  <si>
    <t>31X128</t>
  </si>
  <si>
    <t>This 4br, 2ba brick home with full brick garage has been meticulously cared for.   This property is much larger than most of the homes in the area, as it has a professionally installed addition.  Updated kitchen, in-law in the basement, bar area, bedroom, large storage room and laundry area.  The backyard has a privacy fence and is great for entertaining or just relaxing.  Home warranty offered.  FHA appraisal done.</t>
  </si>
  <si>
    <t>28X11</t>
  </si>
  <si>
    <t>2nd Kitchen, Bar, Media Room, Storage, Utility Room-Lower Level</t>
  </si>
  <si>
    <t>Bar-Dry, Hardwood Floors, 1st Floor Bedroom, In-Law Arrangement, 1st Floor Full Bath</t>
  </si>
  <si>
    <t>2.50%-$250 (on Net SP)</t>
  </si>
  <si>
    <t>Sonji Woods</t>
  </si>
  <si>
    <t>(773) 624-2111</t>
  </si>
  <si>
    <t>312-608-8038</t>
  </si>
  <si>
    <t>Use Showing Assist - 24 hrs required</t>
  </si>
  <si>
    <t>FHA appraisal has been completed.  Previous buyer could not get financing.</t>
  </si>
  <si>
    <t>ELLIS</t>
  </si>
  <si>
    <t>OAKWOOD TO ELLIS SOUTH TO PROPERTY</t>
  </si>
  <si>
    <t>DON'T MISS OUT!!  THIS HISTORIC HOME BLENDS OLD WORLD CHARM WITH MODERN CONVENIENCES.  GREAT CURB APPEAL IS JUST THE START.  LARGE LIVING ROOM WITH LOTS OF NATURAL LIGHT.  FULL BASEMENT.  GENEROUS SIZED BEDROOMS AND UPGRADED BATHROOMS MAKE THIS A KEEPER!  YOU WON'T BE DISAPPOINTED. All measurements are estimates.  Buyer to verify room size and use</t>
  </si>
  <si>
    <t>Key Realty, Inc.</t>
  </si>
  <si>
    <t>(312) 564-5668</t>
  </si>
  <si>
    <t>Timothy Blomquist</t>
  </si>
  <si>
    <t>Please use showing assist</t>
  </si>
  <si>
    <t>See attachment for PAS requirements and WFHM offer submittal info in MLS doc section. Offer submission instru attached</t>
  </si>
  <si>
    <t>Norwood</t>
  </si>
  <si>
    <t>Clark Street to Norwood, East to Home.</t>
  </si>
  <si>
    <t>25X150</t>
  </si>
  <si>
    <t>This solid brick turn of the century home has been meticulously updated w/modern amenities and high end finishes expected in this ever popular Edgewater Glen neighborhood. 4 generous sized bdrms and 3.5 luxurious bths make this a perfect home for any size family. Original stain glass window in liv rm and beamed ceiling in din rm add character to the semi open floor plan. Finished LL with fam rm, office, &amp; ldry rm</t>
  </si>
  <si>
    <t>PEIRCE ELEMENTARY SCHOOL INTL STUDIES SCHOOL</t>
  </si>
  <si>
    <t>SENN HIGH SCHOOL</t>
  </si>
  <si>
    <t>Full, Pull Down Stair, Unfinished</t>
  </si>
  <si>
    <t>Foyer, Mud Room, Office, Storage, Sun/Florida Room Heated, Walk In Closet</t>
  </si>
  <si>
    <t>Rick Lopez</t>
  </si>
  <si>
    <t>(773) 850-0015</t>
  </si>
  <si>
    <t>jerry@chicagospropertysource.com</t>
  </si>
  <si>
    <t>Call Jerry at 773-505-5442</t>
  </si>
  <si>
    <t>Thank you for all your interest. Multiple offers have been received, Highest and Best to be submitted by5pm today-Tuesday November 18th.</t>
  </si>
  <si>
    <t>Beaver Crossing</t>
  </si>
  <si>
    <t>WASHINGTON BLVD TO BEAVER CROSSING TO OSWEGO</t>
  </si>
  <si>
    <t>65X125</t>
  </si>
  <si>
    <t>GREAT 4 BEDROOM 2 FULL BATHS WAITING FOR YOUR IMPROVEMENTS/ SEND OFFER WITH PRE-APPROVAL OR PROOF OF FUNDS / TAX PRORATION 100% / SOLD AS IS / NO SURVEY NOR DISCLOSURES</t>
  </si>
  <si>
    <t>31X20</t>
  </si>
  <si>
    <t>WON'T FINANCE FHA</t>
  </si>
  <si>
    <t>Westgate</t>
  </si>
  <si>
    <t>Galena Rd to Dickson North to Huntington Right to Westgate (1st Right) to home.</t>
  </si>
  <si>
    <t>HUNTINGTON CHASE</t>
  </si>
  <si>
    <t>70 X 150</t>
  </si>
  <si>
    <t>No SSA! Formal foyer with gleaming hardwood floor welcomes you to this wonderful home. New carpet throughout-freshly painted interior-all exterior trim painted-driveway sealed-new hardware on front door-new lighting in master bath. 1st floor den with closet and adjacent full bath could be 5th bedroom. Vaulted Master bd with luxury bath &amp; large walk-in closet. Full basement w/rough in for bath. Close to park-n-ride</t>
  </si>
  <si>
    <t>BRISTOL BAY ELEMENTARY SCHOOL</t>
  </si>
  <si>
    <t>Humidifier, Security System, CO Detectors, Ceiling Fan, Sump Pump, Backup Sump Pump, Radon Mitigation System(s)</t>
  </si>
  <si>
    <t>2.5% LESS $150. (on Net SP)</t>
  </si>
  <si>
    <t>Leslie Prevett</t>
  </si>
  <si>
    <t>630-660-0091</t>
  </si>
  <si>
    <t>Please call CSS 866-275-6319  2 hr. notice</t>
  </si>
  <si>
    <t>Sellers have only been in the house 6 months. Moving because of a job transfer. Not a short sale. Show with confidence. Home is in pristine condition.</t>
  </si>
  <si>
    <t>UMBDENSTOCK</t>
  </si>
  <si>
    <t>RANDALL TO HOPPS E TO UNBDENSTOCK N TO HOME</t>
  </si>
  <si>
    <t>Fannie Mae Homepath Property!  Large 2 story home with 4 bedrooms, 2.5 baths, Full basement, 3 Car attachd garage, nice yard &amp; more!  No personal property included.  Pre-approval/POF is required w/offers.</t>
  </si>
  <si>
    <t>Please see the attached docs. The seller has directed that all offers be made on Homepath.com.  Please also send the same docs to kim@cag-reos.com and we will confirm receipt.</t>
  </si>
  <si>
    <t>Joseph</t>
  </si>
  <si>
    <t>From Route 30 go to Douglas Rd and turn right, go and turn right on Old Post Rd to the house</t>
  </si>
  <si>
    <t>93X116</t>
  </si>
  <si>
    <t>Vacant. Foreclosure. Sold As Is. Buyer to verify all info.</t>
  </si>
  <si>
    <t>2.75% (on Gross SP)</t>
  </si>
  <si>
    <t>Key Realty Inc</t>
  </si>
  <si>
    <t>(630) 229-0289</t>
  </si>
  <si>
    <t>Shelly Colletti</t>
  </si>
  <si>
    <t>Please call Michelle Colletti at 630-229-0289</t>
  </si>
  <si>
    <t>Lender Owned</t>
  </si>
  <si>
    <t>WINCHESTER</t>
  </si>
  <si>
    <t>WEST CHICAGO AVE. TO WINCHESTER. NORTH TO PROPERTY</t>
  </si>
  <si>
    <t>WICKER PARK</t>
  </si>
  <si>
    <t>Wicker Park/West Town Custom built 4000 square feet 4 bedrooms 4.1 baths traditional red brick and limestone home with attached 2 car garage, spectacular views from penthouse and roof deck, beautiful hardwood floors throughout, tree lined street minutes from boutiques of Damen and division street. Lower level could be separate rental unit if desired.</t>
  </si>
  <si>
    <t>COLUMBUS ELEMENTARY SCHOOL</t>
  </si>
  <si>
    <t>WELLS COMMUNITY ACADEMY SENIOR HIGH SCHOOL</t>
  </si>
  <si>
    <t>31X18</t>
  </si>
  <si>
    <t>10X07</t>
  </si>
  <si>
    <t>Separate Shower, Steam Shower, Double Sink, Double Shower</t>
  </si>
  <si>
    <t>Humidifier, Central Vacuum, TV-Dish, Security System, Intercom, CO Detectors</t>
  </si>
  <si>
    <t>Den, Deck, Enclosed Porch, Media Room</t>
  </si>
  <si>
    <t>Patio, Roof Deck</t>
  </si>
  <si>
    <t>4+ Stories</t>
  </si>
  <si>
    <t>36X14</t>
  </si>
  <si>
    <t>(773) 697-5555</t>
  </si>
  <si>
    <t>Anna Busalacchi</t>
  </si>
  <si>
    <t>(773) 697-5570</t>
  </si>
  <si>
    <t>24hr notice email adrienne.rodriguez@bairdwarner.com or anna.busalacchi@bairdwarner.com</t>
  </si>
  <si>
    <t>LONGWOOD</t>
  </si>
  <si>
    <t>TAKE 107TH ST TO LONGWOOD DRIVE-SOUTH TO HOME</t>
  </si>
  <si>
    <t>42X129</t>
  </si>
  <si>
    <t>YOUR CHANCE TO OWN A HOME ON HISTORIC LONGWOOD DRIVE! THIS 3 BEDROOM, 1 1/2 BATH BRICK RAISED RANCH AWAITS YOU. FEATURES INCLUDE HARDWOOD FLOORS, HUGE EAT-IN KITCHEN, FINISHED BASEMENT WITH FAMILY ROOM, OPTIONAL 4TH BEDROOM AND TOOL ROOM.  LOVELY REAR DECK WITH RETRACTABLE AWNING AND BRICK PATIO IN PEACEFUL YARD. CONCRETE SIDE DRIVE. NEW FURNACE. GREAT HOME IN GREAT AREA!</t>
  </si>
  <si>
    <t>36X13</t>
  </si>
  <si>
    <t>2.5%-$200. (on Net SP)</t>
  </si>
  <si>
    <t>Berkshire Hathaway HomeServices Biros Real Estate</t>
  </si>
  <si>
    <t>(708) 422-0011</t>
  </si>
  <si>
    <t>Robert Fitzpatrick</t>
  </si>
  <si>
    <t>(708) 237-7780</t>
  </si>
  <si>
    <t>USE SHOWING ASSIST; BUYER MUST BE ACCOMPANIED BY THEIR AGENT.</t>
  </si>
  <si>
    <t>EARNEST MONEY TO BE CERTIFIED FUNDS TO BHHS BIROS REAL ESTATE.</t>
  </si>
  <si>
    <t>S RT 25 L2 BANBURY L2 OAK CREST DR L2 TURNBERRY L2 HOME</t>
  </si>
  <si>
    <t>FOX VALLEY COUNTRY CLUB ESTATES</t>
  </si>
  <si>
    <t>103X140</t>
  </si>
  <si>
    <t>Cozy Home w/ Inviting Porch! Large Backyard With Deck For Entertaining. Hardwood Flooring On Main Level. Two Fireplaces Make This Home Extra Welcoming. Spacious Kitchen w/ Tons of Cabinet Space &amp; Island. Huge Master w/ Full Bath &amp; His and Her Walk-In Closets. New Carpet and Paint Throughout. Batavia School District. Great Location on Quiet Street and Minutes to I-88. THIS IS A FANNIE MAE HOMEPATH PROPERTY.</t>
  </si>
  <si>
    <t>**Call  630-608-4777 if questions  **Keybox on front door.   **Please lock all doors &amp; turn off lights.  SELLER REQUESTS ALL OFFERS SUBMIT THRU HOMEPATH.</t>
  </si>
  <si>
    <t>87TH ST EAST OR WEST TO PAXTON SOUTH TO PROPERTY.</t>
  </si>
  <si>
    <t>Stunning Renovation! Not your typical raised ranch. Over 2300 square feet of living space that boasts four bedrooms, two full baths, dining room, eat in kitchen and 1st floor den. Spectacular finished basement with wet bar and plenty of room to entertain!</t>
  </si>
  <si>
    <t>11X21</t>
  </si>
  <si>
    <t>22X32</t>
  </si>
  <si>
    <t>3%-$250 (on Gross SP)</t>
  </si>
  <si>
    <t>Chicagoland Realty &amp; Associates Inc</t>
  </si>
  <si>
    <t>(708) 785-7030</t>
  </si>
  <si>
    <t>Christina Horne</t>
  </si>
  <si>
    <t>Vincennes</t>
  </si>
  <si>
    <t>VINCENNES AVENUE NORTH/SOUTH TO ADDRESS</t>
  </si>
  <si>
    <t>WEST BEVERLY</t>
  </si>
  <si>
    <t>FRAME 2 STORY WITH NEW ROOF, HARDWOOD FLOORS, BALCONY OFF MASTER BEDROOM. SOLD "AS IS", NO DISCLOSURES, SURVEY, TERMITE INSPECTION, REPRESENTATION OR WARRANTIES. See attachment for PAS requirements and WFHM offer submittal information in MLS document section.</t>
  </si>
  <si>
    <t>Balcony, Porch</t>
  </si>
  <si>
    <t>New Birth Realty Group LLC</t>
  </si>
  <si>
    <t>(773) 941-4402</t>
  </si>
  <si>
    <t>Dorothy Garrett</t>
  </si>
  <si>
    <t>(773) 310-2046</t>
  </si>
  <si>
    <t>To report any concerns with a listing broker/agent or to report any property condition or other concern needing escalation, including concerns related to a previously submitted offer/information on how to place an offer, call 1-877-617-5274</t>
  </si>
  <si>
    <t>OCONTO</t>
  </si>
  <si>
    <t>NORTH OF TALCOTT, WEST OF HARLEM</t>
  </si>
  <si>
    <t>33X155</t>
  </si>
  <si>
    <t>NEWEST QUALITY REHAB WITH AN ADDITION IN DESIRABLE NORWOOD PARK LOCATION. 4 BDRMS. FORMAL LIVING AND DINING ROOMS W/CROWN MOLDING. KITCHEN WITH ISLAND OPEN TO BREAKFST AND FAM ROOMS. SS APPLIANCES by BOSH. MASTER BDRM HAS PLENTY OF CLOSETS AND BEAUTIFUL BATH. 1ST FLR BDRM AND FULL BATH. LARGE FINISHED BASEMENT. TWO SEPARATE HEATING AND C/A SYSTEMS. WALK TO METRA, CTA TRAIN AND BUSES. DEEP FENCED IN LOT, NEW GARAGE!</t>
  </si>
  <si>
    <t>NORWOOD PARK ELEMENTARY SCHOOL</t>
  </si>
  <si>
    <t>Breakfast Room, Foyer, Mud Room, Recreation Room</t>
  </si>
  <si>
    <t>2.5%- $290 (on Gross SP)</t>
  </si>
  <si>
    <t>Mark Bystrowicz</t>
  </si>
  <si>
    <t>(773) 418-0955</t>
  </si>
  <si>
    <t>use Showing Assist</t>
  </si>
  <si>
    <t>of Record</t>
  </si>
  <si>
    <t>Paulina north of Diversey</t>
  </si>
  <si>
    <t>21X122</t>
  </si>
  <si>
    <t>Incredible, 4000+ sq. ft. all brick END UNIT row home on coveted block! X-wide interior w/fabulous room sizes. Gorgeous kitchen w/walk-in pantry, built-in desk, white cabs,stone &amp; custom backsplash. Glorious master &amp; bath w/huge glass shower w/body spray, 2 vanities &amp; jacuzzi tub. Fab lower lev w/10' ceils, bar, rec rm, guest rm &amp; large laundry/work rm. Huge gar deck w/benches, planters &amp; speakers. 2 car brick garage</t>
  </si>
  <si>
    <t>PRESCOTT ELEMENTARY SCHOOL</t>
  </si>
  <si>
    <t>17X31</t>
  </si>
  <si>
    <t>Oven-Double, Microwave, Dishwasher, Refrigerator, Freezer, Washer, Dryer, Disposal, All Stainless Steel Kitchen Appliances</t>
  </si>
  <si>
    <t>Common Insurance, Lawn Care, Scavenger, Snow Removal</t>
  </si>
  <si>
    <t>20X21</t>
  </si>
  <si>
    <t>Nancy Tassone</t>
  </si>
  <si>
    <t>(312) 929-1560</t>
  </si>
  <si>
    <t>Please email jleoni@jamesonsir.com</t>
  </si>
  <si>
    <t>Impeccably maintained home.  Whole house audio system. Coveted block of Paulina!</t>
  </si>
  <si>
    <t>Brookhaven</t>
  </si>
  <si>
    <t>TRL</t>
  </si>
  <si>
    <t>Pingree Grove</t>
  </si>
  <si>
    <t>R TO US-20 W STRAIGHT TO Reinking Rd L Wester Blvd 1st right onto Shelter Island Ln TO BROOKHAVEN</t>
  </si>
  <si>
    <t>PINGREE GROVE</t>
  </si>
  <si>
    <t>Nice 4 bedroom 2.1 bath two story home features a full basement, 3 car garage, vaulted ceilings, fireplace, open layout, new carpet and has been freshly painted throughout.  TAXES 100%, This is a homepath property please submit through homepath WEBSITE,  BUYER IS RESPONSIBLE FOR PREVIOUS 6 MONTHS HOA FEES.buyer responsible for survey</t>
  </si>
  <si>
    <t>Common Insurance, Exterior Maintenance</t>
  </si>
  <si>
    <t>3.0% (on Gross SP)</t>
  </si>
  <si>
    <t>PLEASE CALL THE SHOWING DESK AT 888.362.3222 OR LO AFTER HOURS, THANKS</t>
  </si>
  <si>
    <t>TAXES 100%, This is a homepath property please submit through homepath.com  BUYER IS RESPONSIBLE FOR PREVIOUS 6 MONTHS HOA FEES,</t>
  </si>
  <si>
    <t>Wolfram</t>
  </si>
  <si>
    <t>N OF DIVERSY, CENTRAL PARK TO WOLFRAM, EAST TO PROP.</t>
  </si>
  <si>
    <t>24X125</t>
  </si>
  <si>
    <t>Welcome to Logan Square! Come see this beautiful 2400 sqft gut rehab on a quiet residential block. No Details Spared. Gorgeous kitchen with dual quartz counter tops and top of the line whirlpool SS appliances. Gorgeous Hwd floors throughout living rm, dining rm, kitchen, and master br features w/in closet and bath. 2 Tier deck, balcony, and huge backyard - 2 car garage, 7 min walk from blue line.</t>
  </si>
  <si>
    <t>Balcony, Den, Deck, Sun/Florida Room Heated</t>
  </si>
  <si>
    <t>Ryan Lee</t>
  </si>
  <si>
    <t>(312) 520-0053</t>
  </si>
  <si>
    <t>Email Joey   Joeyt@atproperties.com</t>
  </si>
  <si>
    <t>Gut Rehab in Logan Square! Incredible finishes, gorgeous hardwood floors, huge backyard, Spacious living room and dining room, 2 balconies, master bedroom has entire 3rd floor to itself with bathroom and giant walk in closet.</t>
  </si>
  <si>
    <t>Take 95street east to Indiana and make a left on 99th street go over one block and turn onto Calumet</t>
  </si>
  <si>
    <t>Wonderful neighborhood! This is a beautiful home in need of updating and repairs throughout. This is a short sale. Garage is a teardown. Room sizes will need to be verified.</t>
  </si>
  <si>
    <t>30X21</t>
  </si>
  <si>
    <t>Gas, Electric, Forced Air</t>
  </si>
  <si>
    <t>3%  3% (on Gross SP)</t>
  </si>
  <si>
    <t>Ariel Realty</t>
  </si>
  <si>
    <t>(708) 899-1618</t>
  </si>
  <si>
    <t>Tammy Jackson</t>
  </si>
  <si>
    <t>(773) 517-5478</t>
  </si>
  <si>
    <t>Call or Text Listing Agent for Code</t>
  </si>
  <si>
    <t>CC: Pursuant to Short Sale. There is a cat in the house. Please leave the basement door open.</t>
  </si>
  <si>
    <t>Sayre</t>
  </si>
  <si>
    <t>N Harlem @ Diversey, head north, east on W Barry, South on Sayre to address</t>
  </si>
  <si>
    <t>4410 SQ FT</t>
  </si>
  <si>
    <t>Senior, Senior Freeze, Homeowner</t>
  </si>
  <si>
    <t>Solid Brick Bungalow with great potential.  This home features hardwood floors throughout most of the home, 2 bedrooms on the first floor and 2 on the second floor with a 1/2 bath. an Enclosed porch, and 2 car garage.  Quick close possible.selling AS-IS</t>
  </si>
  <si>
    <t>Radiant</t>
  </si>
  <si>
    <t>2.5%-$295 (on Gross SP)</t>
  </si>
  <si>
    <t>(847) 658-3100</t>
  </si>
  <si>
    <t>Susan Ligmanowski</t>
  </si>
  <si>
    <t>(847) 414-3441</t>
  </si>
  <si>
    <t>847-414-3441</t>
  </si>
  <si>
    <t>Please Use Showing Assist</t>
  </si>
  <si>
    <t>Listing agent is related to seller***Multiple Offers-We will be meeting with our clients Sunday 11/14 AM, please send your highest and best by Saturday!</t>
  </si>
  <si>
    <t>Karlov</t>
  </si>
  <si>
    <t>LAWRENCE TO KARLOV NORTH TO 4933</t>
  </si>
  <si>
    <t>Bright and sunny all brick 2 story home in North MAYFAIR. Open &amp; Inviting floor plan. 3 Bedrooms upstairs &amp; one in the basement. Huge Deck off Kitchen. Refinished Hardwood Floors, Eat-In Kitchen w/Granite/SS Apps &amp; Large Living Rm w/Fireplace &amp; Sunroom. Finished Basement w/Full Bathroom. For Efficiency, home has two HVAC units, Ventpro insulation &amp; New windows in '09.</t>
  </si>
  <si>
    <t>09X10</t>
  </si>
  <si>
    <t>Deck, Foyer, Sun/Florida Room Heated</t>
  </si>
  <si>
    <t>06X06</t>
  </si>
  <si>
    <t>2.75% - $295 (on Net SP)</t>
  </si>
  <si>
    <t>Aaron Ruengpinyophun, ABR</t>
  </si>
  <si>
    <t>(773) 615-0726</t>
  </si>
  <si>
    <t>Please call or text listing agent 773.615.0726</t>
  </si>
  <si>
    <t>2014 Assessed Value appeal to lower taxes was recently approved. Motivated Seller-present all offers.</t>
  </si>
  <si>
    <t>SOUTH ON ROUTE 25 (WASHINGTON ST) FROM FABYAN PARKWAY TO DOUGLAS ROAD, EAST TO HOUSE ON RIGHT.</t>
  </si>
  <si>
    <t>BATAVIA HIGHLANDS</t>
  </si>
  <si>
    <t>75X198</t>
  </si>
  <si>
    <t>HOME INSPECTIONS FOR BUYER INFORMATION PURPOSES ONLY. SELLER WILL NOT DO REPAIRS OR CREDIT FOR REPAIRS! RADON MITIGATION SYSTEM IS NEEDED. HOME IS LARGER THEN IT APPEARS! INCLUDES ALL APPLIANCES, GENEVA SCHOOLS, HUGE FENCED YARD,HEATED KITCHEN FLOORS,BONUS ROOM OFF OF ADDITION AND NEWER MECHANICALS!DEEP 2 CAR GARAGE WITH AN EXTERIOR OVERHEAD SERVICE DOOR AS WELL AS A 24X15 MAN CAVE FINISHED ROOM ABOVE IT?</t>
  </si>
  <si>
    <t>MARMION</t>
  </si>
  <si>
    <t>Park/Playground, Street Lights, Street Paved</t>
  </si>
  <si>
    <t>Game Room, Recreation Room, Workroom</t>
  </si>
  <si>
    <t>Hardwood Floors, Heated Floors, 1st Floor Full Bath</t>
  </si>
  <si>
    <t>11X34</t>
  </si>
  <si>
    <t>15X24</t>
  </si>
  <si>
    <t>SEE SECURE SHOWING INSTRUCTIONS</t>
  </si>
  <si>
    <t>PROPERTY IN GREAT SHAPE BUT PLEASE INCLUDE AS-IS RIDER.</t>
  </si>
  <si>
    <t>SHERWIN</t>
  </si>
  <si>
    <t>CALIFORNIA N OF TOUHY TO SHERWIN W TO YOUR NEW HOME.</t>
  </si>
  <si>
    <t>DEAL OF THE YEAR !!! CONTRACTORS,BULDERS,INVESTORS SPECIAL !!! ALMOST 1500 SQF BRICK BUNGALOW ON QUIET RESIDENTIAL STREET.SUPER HIGH BASEMENT. ZONING APPROVED FOR SECOND FLOOR ADDITION OR JUST REMODEL,IMPROVE EXISTING. NO INTERIOR WALLS,ROOMS-OPEN SPACE. CALL FOR MORE DETAILS.  AS-IS . CASH ONLY,PLEASE.</t>
  </si>
  <si>
    <t>Bogdan Lewandowski</t>
  </si>
  <si>
    <t>(773) 505-5640</t>
  </si>
  <si>
    <t>CALL LA 773 5055640</t>
  </si>
  <si>
    <t>AGENT RELATED TO OWNER.MUST ACCOMPANY.ALLOW 24-48 HR NOTICE.</t>
  </si>
  <si>
    <t>NELSON</t>
  </si>
  <si>
    <t>SOUTH OF BELMONT AVE LARAMIE TO NELSON EAST TO PROPERTY.</t>
  </si>
  <si>
    <t>CHARMING 1 STORY BUNGALOW IN THE BELMONT-CRAIGIN AREA WITH FINISHED ATTIC AND BASEMENT. 4 LARGE BEDROOMS/2 FULL BATHS, FORMAL DINING ROOM, ADDITIONAL KITCHENETTE IN ATTIC. BASEMENT ALSO HAS A FULL BATHROOM. FRESHLY PAINTED THROUGHOUT. 2 CAR DETACHED GARAGE. LOADS OF HARDWOOD FLOORING THROUGHOUT. THIS IS A FANNIE MAE HOMEPATH PROPERTY. THIS WON'T LAST, SHOW AND SELL!</t>
  </si>
  <si>
    <t>3% OR $1,000 WHICHEVER IS GREATER (on Net SP)</t>
  </si>
  <si>
    <t>THE BUYER IS RESPONSIBLE FOR CITY CODE VIOLATIONS, IF ANY. THE SELLER HAS REQUESTED THAT ALL OFFERS BE MADE USING THE HOMEPATH ONLINE OFFER SYSTEM. GO TO HOMEPATH.COM POF/PREAPPROVAL TO BE EMAILED TO BROKER. NO PERSONAL PROPERTY INCLUDED.</t>
  </si>
  <si>
    <t>Main Street (Rte 64) to 7th Avenue.  South to South Ave.  Left on South Avenue to property on left.</t>
  </si>
  <si>
    <t>81X100</t>
  </si>
  <si>
    <t>CHARMING CAPE COD JUST THREE BLOCKS FROM LINCOLN ELEMENTARY! Hardwood floors. Arched doorways. Crown molding. Wainscoting. Updated KIT w/SS appliances. Fam Rm features FP, skylights &amp; vaulted ceiling. 2nd FP in partially finished bsmt. Updated baths. Walk-up attic over garage and 24x14 workshop. Beautiful treed lot has privacy fence and separate dog run area. Walk to d'town STC, STC Public Library &amp; History Museum.</t>
  </si>
  <si>
    <t>Wood Burning, Electric</t>
  </si>
  <si>
    <t>Brian Henry</t>
  </si>
  <si>
    <t>(630) 513-3162</t>
  </si>
  <si>
    <t>ShowingTime 855 746-9093</t>
  </si>
  <si>
    <t>61st</t>
  </si>
  <si>
    <t>63rd Street to Springfield, north to 61st Place, west to address</t>
  </si>
  <si>
    <t>BRICK BUNGALOW WITH LARGE LIVING ROOM, KITCHEN AND FORMAL DINING ROOM. 2 BEDROOMS ON FIRST FLOOR, UNFINISHED ATTIC. BASEMENT W/TWO BEDROOMS AND BATH. BANK OWNED - PROPERTY SOLD "AS-IS" WITHOUT REPAIR, WARRANTY OR SELLER DISCLOSURE. NO SURVEY OR TERMITE PROVIDED.</t>
  </si>
  <si>
    <t>Housecenter Realty,Inc.</t>
  </si>
  <si>
    <t>(708) 233-9600</t>
  </si>
  <si>
    <t>John Ligas</t>
  </si>
  <si>
    <t>(708) 341-1388</t>
  </si>
  <si>
    <t>ARNS, Inc.</t>
  </si>
  <si>
    <t>SELLER WILL NOT ACTIVATE UTILITES OR WATER. CASH &amp; CONVENTIONAL OFFERS ONLY. NO FAX/EMAIL OFFERS PER SELLER. BANK OWNED SOLD "AS-IS". OFFERS MUST BE SUBMITTED THROUGHT www.hubzu.com. $299.00 technology fee applies.</t>
  </si>
  <si>
    <t>ASH</t>
  </si>
  <si>
    <t>Huntley Rd west of Sleepy Hollow to Grand Pointe Blvd to Walnut west.</t>
  </si>
  <si>
    <t>GRAND POINTE MEADOWS</t>
  </si>
  <si>
    <t>REO â€“ BANK OWNED Property sold "as is" w/o repair, warranty or seller disclosures. Listing Broker &amp; Seller assume no responsibility &amp; make no guarantees/warranties or representations as to availability or accuracy of property information, photos or other information depicted/described herein. Seller will not activate utilities, no exceptions NO WATER WILL BE TURNED ON.</t>
  </si>
  <si>
    <t>Carrington R E Services LLC</t>
  </si>
  <si>
    <t>Gail Manion, CSC</t>
  </si>
  <si>
    <t>(630) 885-1998</t>
  </si>
  <si>
    <t>Gail.Manion@carringtonres.com</t>
  </si>
  <si>
    <t>SEE SHOWING ASSIST</t>
  </si>
  <si>
    <t>OCWEN</t>
  </si>
  <si>
    <t>UPLOAD YOUR OFFER AT WWW.HUBZU.COM YOU ONLY NEED PROOF OF FUNDS 4 UPLOAD. CUSTOMER SERVICE 855-882-1314 CASH ONLY. SOLD â€œAS ISâ€_x009d_ NO SURVEY TAXES 100% BUYERS PAYS $299 FEE AT CLOSING &amp; 4.5% AUCTION FEES EM: TOâ€_x009d_PREIUM TITLE" AFTER ACCEPT</t>
  </si>
  <si>
    <t>Bartlett Road north of Rt 19/Irving Park to Streamwood Blvd; east to 13</t>
  </si>
  <si>
    <t>WOODLAND HEIGHTS</t>
  </si>
  <si>
    <t>SPLIT</t>
  </si>
  <si>
    <t>62X169X87X10X200</t>
  </si>
  <si>
    <t>NICE HOUSE.HUGE GARAGE.LARGE LOT.One of the largest lots in the area. Huge 24x40 foot heated garage is awesome for landscaping equipment, boat, mechanic,or storage for a contractor.Master suit on the first floor.Updated windows.200Amp electrical panel &amp; 60 Amp panel in heated insulated garage.Attic insulation is R-39. Huge fenced back yard features a large Koi pond.Lower level family room has outside access.</t>
  </si>
  <si>
    <t>OAKHILL ELEMENTARY SCHOOL</t>
  </si>
  <si>
    <t>Skylight(s), Hardwood Floors, Wood Laminate Floors, 1st Floor Bedroom, 1st Floor Full Bath</t>
  </si>
  <si>
    <t>Wood Burning, Heatilator Type System</t>
  </si>
  <si>
    <t>Garage Door Opener(s), Transmitter(s), Heated, Tandem, 7 Foot or more high garage door</t>
  </si>
  <si>
    <t>Call listing ofice</t>
  </si>
  <si>
    <t>Kilpatrick</t>
  </si>
  <si>
    <t>79th Street to Kilpatrick, South to property</t>
  </si>
  <si>
    <t>48X139X42X110</t>
  </si>
  <si>
    <t>REGULAR SALE!! SELLER LOOKING FOR A QUICK CLOSING!!!   BRICK RANCH BUILD ON AN OVERSIZE LOT HAS 4 BEDROOMS, PLUS 24X12 FAMILY ROOM , CENTRAL AIR, ONE CAR GARAGE, HUGE BACK YARD, NICE LAYOUT OPEN SPACE, NEEDS SOME  COSMETIC WORK AND A COAT OF PAINT. EASY TO SHOW USE SHOWING ASSIST.</t>
  </si>
  <si>
    <t>09X09</t>
  </si>
  <si>
    <t>Street Lights, Street Paved</t>
  </si>
  <si>
    <t>Ubaldo Garcia</t>
  </si>
  <si>
    <t>(773) 230-0797</t>
  </si>
  <si>
    <t>EARNEST MONEY IN CERTIFIED FUNDS PAYABLE TO CHICAGO TITLE.</t>
  </si>
  <si>
    <t>White Owl</t>
  </si>
  <si>
    <t>Orchard to Mill, East to Bucktail, left to White Owl Lane, Left on White Owl</t>
  </si>
  <si>
    <t>FOX CHASE OF OSWEGO</t>
  </si>
  <si>
    <t>116 X 160 X 51</t>
  </si>
  <si>
    <t>Come HOME for the holidays! Immaculate  home on one of the largest lots on the block! Freshly painted, hardwood floors, new carpet, full finished basement with tons of storage space,beautifully landscaped and fenced yard, concrete patio with pergola, side walkway, huge walk in closets, new water heater. upgraded light fixtures, 6 panel doors, soaker tub, ceiling fans, extended garage,large shed,</t>
  </si>
  <si>
    <t>FOX CHASE ELEMENTARY SCHOOL</t>
  </si>
  <si>
    <t>Oswego High School</t>
  </si>
  <si>
    <t>Dishwasher, Disposal</t>
  </si>
  <si>
    <t>Jeannie Lamarre</t>
  </si>
  <si>
    <t>630-554-9697</t>
  </si>
  <si>
    <t>Use Showing assist</t>
  </si>
  <si>
    <t>12N649</t>
  </si>
  <si>
    <t>Burlington</t>
  </si>
  <si>
    <t>Plank west of 47 to Burlington (Main) Rd left to home</t>
  </si>
  <si>
    <t>STORY AND A HALF CUSTOM</t>
  </si>
  <si>
    <t>355X128X139X119X119X323</t>
  </si>
  <si>
    <t>OPPORTUNITY KNOCKS CONTRACTORS OWN HOME COMPLETELY REBUILT FROM THE STUDS OUT. NEW WIRING,PLUMBING DRYWALL ETC Cherry cabinetry in Kitchen, 2 fireplaces, 3 full  baths - Huge Master with luxury bath and balcony - 2 1/2 car garage, 6200 SQFT pole bldg thats heated, concrete flooring, ceiling fans, workshop area, ample parking for business!!!  ZONED RESEDENTIAL AND B-1 YOU COULD LIVE AND WORK FROM THIS LOCATION. HURRY!</t>
  </si>
  <si>
    <t>35X12</t>
  </si>
  <si>
    <t>Microwave</t>
  </si>
  <si>
    <t>Cellar</t>
  </si>
  <si>
    <t>Irregular</t>
  </si>
  <si>
    <t>Foyer, Loft</t>
  </si>
  <si>
    <t>Balcony, Patio, Horse Barn/Pole Barn, Brick Paver Patio</t>
  </si>
  <si>
    <t>RE/MAX Plaza</t>
  </si>
  <si>
    <t>(815) 385-6770</t>
  </si>
  <si>
    <t>Scott Hunt, GRI</t>
  </si>
  <si>
    <t>(815) 363-2459</t>
  </si>
  <si>
    <t>SCOTT CELL 815-236-0038</t>
  </si>
  <si>
    <t>LOOS, KATHY &amp; WILLIAM</t>
  </si>
  <si>
    <t>ONE OF THE ONLY PARCELS OF BUSINESS PROPERTY AVAILABLE IN BURLINGTON. ADDITIONAL 2+ ACRES OF B-1 PROPERTY AVAILABLE WITH THIS PROPERTY. UNBELIEVABLE INVESTMENT PARCEL BURLINGTON SOUTHERN BYPASS ROAD WILL GO THROUGH RIGHT NEXT TO THIS PARCEL</t>
  </si>
  <si>
    <t>ROSEDALE</t>
  </si>
  <si>
    <t>Take Glenwood north of Ridge to Rosedale, then turn east (right) to arrive to property</t>
  </si>
  <si>
    <t>Extra-wide 4BR home on Magnolia Glenâ€™s most beautiful tree-lined street! Oversized lot w/large back yard &amp; 2 beautiful Magnolia Trees. Newly refinished hrdwd flrs, spacious living rm w/fireplace, formal dining rm w/original stained glass &amp; new espresso cabinetry in kitchen. 1st flr powder rm &amp; 2nd level w/4 BRâ€™s. New high-efficiency HVAC system w/central air. Great location just steps from shopping, restaurants &amp; L.</t>
  </si>
  <si>
    <t>SWIFT ELEMENTARY SCHOOL SPECIALTY SCHOOL</t>
  </si>
  <si>
    <t>Den, Foyer</t>
  </si>
  <si>
    <t>Closing, Immediate, Negotiable</t>
  </si>
  <si>
    <t>2.5% LESS $275 (on Net SP)</t>
  </si>
  <si>
    <t>Michael Hall</t>
  </si>
  <si>
    <t>(773) 883-2172</t>
  </si>
  <si>
    <t>Olivia Douglas 502-295-5006</t>
  </si>
  <si>
    <t>Please use showing assist.  Need cell phone for confirmation</t>
  </si>
  <si>
    <t>87th St. E/W to Paulina, S to address</t>
  </si>
  <si>
    <t>45 X 125</t>
  </si>
  <si>
    <t>STUNNING REHAB OFFERED AT AN INCREDIBLE VALUE! THIS 4BR,2BTHs,RANCH HAS GLEAMING HWD FLRS,A LARGE OPEN LIV. RM,3 AMPLY SIZED BRs,AN UPDATED KIT. W/GRANITE COUNTERS,2 FULL BTHs,&amp; A FULL,FINISHED BSMT! ADDN'L AMENITIES INCLUDE THE REAR PATIO,FENCED YD,&amp; 1-CAR DET. GAR! UPDATES INCLUDE A NEW ROOF,WINDOWS,FURNACE/AC,FLOORS,&amp; UPDATED ELECTRIC! STAINLESS STEEL KIT. APPLs. &amp; A WASHER/DRYER TO BE INSTALLED PRIOR TO CLOSING!</t>
  </si>
  <si>
    <t>17X40</t>
  </si>
  <si>
    <t>RE/MAX Synergy</t>
  </si>
  <si>
    <t>(708) 798-1333</t>
  </si>
  <si>
    <t>Kelly Jackson</t>
  </si>
  <si>
    <t>(708) 922-1585</t>
  </si>
  <si>
    <t>CALL RE/MAX SYNERGY AT 708-798-1333 FOR APPMT. SELLER WILL MEET AGENTS OR PROVIDE ALARM &amp; LKBX CODE</t>
  </si>
  <si>
    <t>SELLER REQUIRES ANY FINANCE BUYERS BE PRE-APPORVED WITH THEIR PREFERRED LENDER,BILL WESLEY, FROM WELLS FARGO.  BILL'S # IS 708-226-7403. BUYER'S CAN USE LENDER OF THEIR CHOOSING,HOWEVER,SELLER REQUIRES A 2ND OPINION FROM BILL WESLEY. Earnes</t>
  </si>
  <si>
    <t>TOWN CENTER</t>
  </si>
  <si>
    <t>Gilberts</t>
  </si>
  <si>
    <t>RT 72 WEST OF RANDALL RD TO TYRELL RD N TO TOWN CENTER BLVD W TO HOME</t>
  </si>
  <si>
    <t>GILBERTS TOWN CENTER</t>
  </si>
  <si>
    <t>GILBERTS</t>
  </si>
  <si>
    <t>MANSFIELD</t>
  </si>
  <si>
    <t>60 X 135</t>
  </si>
  <si>
    <t>*** Final Opportunity! THIS UPGRADED  MANSFIELD SITS ON A PREMIUM LOT AND FEATURES 4 BEDROOMS, 2 1/2 BATHS,  2 STORY FOYER, 9' 1ST FLOOR CEILINGS, STAINLESS STEEL APPLIANCES + GRANITE COUNTERS + BREAKFAST AREA + CENTER ISLAND, HARDWOOD FLOORS, CENTRAL AIR, BRUSHED NICKEL LIGHTING PACKAGE, 2 CAR GARAGE AND ENGLISH BASEMENT! *** GREAT LOCATION JUST MINUTES FROM RANDALL RD AND I-90! ***</t>
  </si>
  <si>
    <t>GILBERTS ELEMENTARY SCHOOL</t>
  </si>
  <si>
    <t>HAMPSHIRE MIDDLE SCHOOL</t>
  </si>
  <si>
    <t>Wetlands Adjacent, Landscaped Professionally, Pond, Water View</t>
  </si>
  <si>
    <t>3% BASE SALES PRICE - $150 (on Net SP)</t>
  </si>
  <si>
    <t>847-531-5420</t>
  </si>
  <si>
    <t>REGISTER AT RYLAND SALES OFFICE (4087 POMPTON AVE ELGIN)</t>
  </si>
  <si>
    <t>*** AVAILABLE NOW! ***  RYLAND VALUES REALTOR PARTICIPATION; EVEN IF YOUR CLIENT HAS PREVIOUSLY VISITED GILBERTS TOWN CENTER, PLEASE CALL ANN SPODEN AT THE SALES OFFICE OR MICHAEL SIMPSON</t>
  </si>
  <si>
    <t>FRANKLIN</t>
  </si>
  <si>
    <t>RT 25 (LIBERTY) S TO FRANKLIN W TO PROPERTY</t>
  </si>
  <si>
    <t>62X132</t>
  </si>
  <si>
    <t>REO * SOLD â€œAS ISâ€_x009d_  * CASH ONLY* NO repairs, warranty or seller disclosures. Listing Broker &amp; Seller assume no responsibility &amp; make no guarantees/warranties or representations as to availability or accuracy of property information, photos or other information depicted/described herein. Seller will not activate utilities. Appraisal &amp; home inspection must be completed without utilities--no exceptions * CASH ONLY!!</t>
  </si>
  <si>
    <t>GAIL.AMNION@CARRINGTONRES.COM</t>
  </si>
  <si>
    <t>PLEASE SEE SHOWING ASSIST</t>
  </si>
  <si>
    <t>OFFERS: WWW.HUBZU.COM ONLY NEED PROOF OF FUNDS. CUSTOMER SERVICE 855-882-1314. CASH ONLY*NO SURVEY*TAXES 100%* ADDENDUMS*BUYERS PAYS $299 FEE AT CLOSING*CERTIFIED FUNDS*EM*â€_x009d_PREMIUM TITLEâ€_x009d_ ONCE OFFER ACCEPTED</t>
  </si>
  <si>
    <t>109th</t>
  </si>
  <si>
    <t>North or South on Pulaski Road to 109th Street, east to home</t>
  </si>
  <si>
    <t>4625 SQ FT</t>
  </si>
  <si>
    <t>Terrific Mount Greenwood Brick Ranch home.Bright liv rm, formal din rm, cozy kitchen w/pantry.Florida room brings additional living enjoyment to this home.Hard wood floors under LR &amp; 3 BR carpet.Lndry area,cedar closet &amp; 4th BR in full bsmnt.Side drive to 2 car detached garage-no gar transmitter. New roof on home &amp; garage in 2004; new sump pump. Patio. Located close to schools, shopping &amp; transportation. SOLD AS IS.</t>
  </si>
  <si>
    <t>RE/MAX 1st Service</t>
  </si>
  <si>
    <t>(708) 675-1600</t>
  </si>
  <si>
    <t>Marge Marasco, ABR,CRS,GRI</t>
  </si>
  <si>
    <t>(815) 834-9919</t>
  </si>
  <si>
    <t>815-302-2760</t>
  </si>
  <si>
    <t>Call Marge 815-302-2760 to set appointments</t>
  </si>
  <si>
    <t>EARNEST DEPOSIT MUST BE CERTIFIED FUNDS PAYABLE TO RE/MAX 1ST SERVICE. Do not open garage using overhead door - enter through side/service door. All personal belongings in home will be removed within the next few weeks.</t>
  </si>
  <si>
    <t>Washington</t>
  </si>
  <si>
    <t>Western to Washington, West to 2547</t>
  </si>
  <si>
    <t>24 X 126</t>
  </si>
  <si>
    <t>Introducing Metropole Homes Collection, Contemporary 4 Bedroom/3.1 Bath Single Family Home- Brick &amp; Wood FaÃ§ade, Oak Hardwood Floors, Trace Ceilings &amp; Detail, Flat Panel Walnut Cabinets, Quartz Countertops, Full Backsplash, Stainless Appliances. Open Concept on the Main Floor, Three Upstairs Bedrooms, Elegant baths w/Oversized Rain Shower, Fully Finished LL with Large Rec Room and 4th Bed. Deck, Yard &amp; 2 Car Garage!</t>
  </si>
  <si>
    <t>Gated Entry, Sidewalks, Street Lights, Street Paved, Other</t>
  </si>
  <si>
    <t>18X26</t>
  </si>
  <si>
    <t>North Clybourn Group, Inc.</t>
  </si>
  <si>
    <t>(773) 252-0600</t>
  </si>
  <si>
    <t>Karen Biazar</t>
  </si>
  <si>
    <t>(773) 645-7900</t>
  </si>
  <si>
    <t>Email showings@ncgchicago.com</t>
  </si>
  <si>
    <t>Photos are from finished model on site- Semi-Immediate delivery!</t>
  </si>
  <si>
    <t>Kostner</t>
  </si>
  <si>
    <t>Pulaski to 67th W to Kostner, N to Property.</t>
  </si>
  <si>
    <t>30X127</t>
  </si>
  <si>
    <t>Large single family home with 2 car garage, 4 bedrooms, 2 baths. It needs TLC. Great opportunity. Sold as is. PS. 2 dogs in the house.Taxes prorated at 100%, no survey, no termite.</t>
  </si>
  <si>
    <t>Miguel Bermudez</t>
  </si>
  <si>
    <t>(773) 759-6300</t>
  </si>
  <si>
    <t>Use Showing Assist.. AVAILABLE MONDAY-SATURDAY 10AM-2PM NO SUNDAYS</t>
  </si>
  <si>
    <t>CC: Pursuant to Short Sale. Earnest money in CERTIFIED FUNDS please made payable to Chicago Title.</t>
  </si>
  <si>
    <t>Western to Washington, West to 2549</t>
  </si>
  <si>
    <t>Email Karen@ncgchicago.com</t>
  </si>
  <si>
    <t>2N478</t>
  </si>
  <si>
    <t>Beith</t>
  </si>
  <si>
    <t>Route 38 West to Beith then South to Home</t>
  </si>
  <si>
    <t>APPALOOSA WEST</t>
  </si>
  <si>
    <t>214X249X214X249</t>
  </si>
  <si>
    <t>MOVE RIGHT IN - COMPLETE REMODEL - NEW DUAL FRENCH DOORS TO BEAUTIFUL YARD AND TREK DECK/PAVER PATIO WITH A SUN SETTER RETRACTABLE ELECTRIC AWNING - COME HOME AND RELAX - GLEAMING FLOORS - GRANITE COUNTERTOPS - ALL FINISHES ARE TOP SHELF - Zoned for 1 Horse - Beautiful 1.25 Acre Property with room to move! - Gravel side drive for large RV or Trailer with complete gated yard access.</t>
  </si>
  <si>
    <t>Oven/Range, Microwave, Dishwasher, Refrigerator, Refrigerator-Bar, Washer, Dryer, Wine Cooler/Refrigerator</t>
  </si>
  <si>
    <t>Fenced Yard, Horses Allowed</t>
  </si>
  <si>
    <t>Eating Area, Mud Room</t>
  </si>
  <si>
    <t>Deck, Patio, Porch, Storage Shed, Brick Paver Patio, Pool Above Ground</t>
  </si>
  <si>
    <t>(815) 436-2232</t>
  </si>
  <si>
    <t>Nancy Ann Slater</t>
  </si>
  <si>
    <t>(630) 447-0770</t>
  </si>
  <si>
    <t>24-HR NOTICE Preferred - Call Centralized Showing Service 877-977-1010</t>
  </si>
  <si>
    <t>ABSOLUTELY EVERYTHING HAS BEEN UPGRADED - ALL APPLIANCES AND BLINDS STAY (not Curtains or Fireplace Screen) - BEAUTIFUL BUILT INS IN FAMILY ROOM - LARGE FLOOR PLAN - ZONED FOR 1 HORSE</t>
  </si>
  <si>
    <t>Lawndale</t>
  </si>
  <si>
    <t>FULLERTON AVE (2400N) TO LAWNDALE AVE (3700W) SOUTH TO PROPERTY</t>
  </si>
  <si>
    <t>VICTORIAN</t>
  </si>
  <si>
    <t>...Logan Square Beauti...3 bedroom, 2.1bathroom...Oak Doors,  Oak Moldings, Oak Staircase...Vintage Perfection...Modern Open Floor Plan...Hardwood Floors...Gorgeous Custom Kitchen w/Island, w/Skylight &amp; SS Appliances... Beautifully Updated...Extra Wide Lot...</t>
  </si>
  <si>
    <t>School Bus Service, Commuter Bus, Commuter Train, Interstate Access, Historical District</t>
  </si>
  <si>
    <t>Whirlpool, Steam Shower</t>
  </si>
  <si>
    <t>Vinyl Siding, Frame, Concrete</t>
  </si>
  <si>
    <t>American Realty &amp; Associates Inc</t>
  </si>
  <si>
    <t>(773) 775-5500</t>
  </si>
  <si>
    <t>Jolanta Strzelecki</t>
  </si>
  <si>
    <t>(773) 415-4444</t>
  </si>
  <si>
    <t>Call LA @ 773.415.4444</t>
  </si>
  <si>
    <t>CC: 3% for selling office if under contract by January 30th, 2015!</t>
  </si>
  <si>
    <t>Nagle</t>
  </si>
  <si>
    <t>NARRAGANSETT TO NAGLE EAST</t>
  </si>
  <si>
    <t>42 X 123</t>
  </si>
  <si>
    <t>Bring your ideas to this vintage home on a large corner lot with fenced yard! Hardwood floors, basement. PLUMBING DAMAGES-WILL NOT BE DEWINTERIZED FOR INSPECTIONS/APPRAISALS. AS IS. Information not guaranteed. No survey or disclosures. EM must be CERTIFIED funds. Multiple offers- highest and best by 12pm 12/31. See attached form.</t>
  </si>
  <si>
    <t>(847) 724-5800</t>
  </si>
  <si>
    <t>Patti Furman</t>
  </si>
  <si>
    <t>(847) 729-7261</t>
  </si>
  <si>
    <t>Use Showing Assist or Call 855-746-9200</t>
  </si>
  <si>
    <t>Email offer, offer form in additional information, proof of funds/prequal to patti@pattifurman.com.</t>
  </si>
  <si>
    <t>47TH TO PRAIRIE SOUTH</t>
  </si>
  <si>
    <t>18X164</t>
  </si>
  <si>
    <t>BRICK GREY STONE, GREAT FOR INVESTORS AND RENTALS! SOLD "AS-IS" WITH NO SELLER SURVEY OR TERMITE INSPECTION.  TAX PRORATED 100%.  CASH OFFERS OR REHAB LOAN PROOF OF FUNDS</t>
  </si>
  <si>
    <t>Marble</t>
  </si>
  <si>
    <t>Greystone</t>
  </si>
  <si>
    <t>2.5% (ON NET GP) (on Gross SP)</t>
  </si>
  <si>
    <t>Guardian Properties LLC</t>
  </si>
  <si>
    <t>(312) 893-5630</t>
  </si>
  <si>
    <t>Brian Duggan</t>
  </si>
  <si>
    <t>(773) 426-8773</t>
  </si>
  <si>
    <t>Use showing assist for all showings</t>
  </si>
  <si>
    <t>Contact co-list for all questions and offers: mvanvelzel@guardian-cap.com; 773-922-4225</t>
  </si>
  <si>
    <t>Leavitt to Bleden, East to address</t>
  </si>
  <si>
    <t>Gorgeous Bucktown fully renovated single family home!  This 4 bed/3 bath home exudes charm and quality throughout.  Highlights: 3 bedrooms + office nook on 2nd floor,  Full floor master suite, spa bath w/heated floor,  2 story great room, gourmet kitchen + huge pantry, new brick garage with roof deck, custom NuVo stereo system with incognito speakers. Steps to Holstein Park. Close to tansport, exway &amp; retail</t>
  </si>
  <si>
    <t>Park/Playground, Pool, Sidewalks, Street Lights, Street Paved</t>
  </si>
  <si>
    <t>Dormer, Pull Down Stair</t>
  </si>
  <si>
    <t>TV-Cable, Security System, CO Detectors, Sump Pump, Backup Sump Pump</t>
  </si>
  <si>
    <t>Deck, Foyer, Office, Walk In Closet, Other</t>
  </si>
  <si>
    <t>Vaulted/Cathedral Ceilings, Skylight(s), Hardwood Floors, Heated Floors, 1st Floor Full Bath</t>
  </si>
  <si>
    <t>9X22</t>
  </si>
  <si>
    <t>Kimberly Barnett</t>
  </si>
  <si>
    <t>(312) 961-9615</t>
  </si>
  <si>
    <t>24 hour notice please email Kbarnett@atproperties.com</t>
  </si>
  <si>
    <t>This home has been well maintained and is perfect for a family looking for a charming family home with character.</t>
  </si>
  <si>
    <t>Ancient Oak</t>
  </si>
  <si>
    <t>RT 20 (West of Randall RD) To Highland Woods Past Clubhouse/Pool/School to Ancient Oak turn Right</t>
  </si>
  <si>
    <t>JACKSON</t>
  </si>
  <si>
    <t>43X155X83X61X21X148</t>
  </si>
  <si>
    <t>Premium lot-Highland Woods! Across Street highly rated Dist 301 Elem School. Feels Brand New!. 4BR+loft. Gourmet kitchen W/Granite&amp;Stainless+sep bonus sunroom room/eat in area.  Gleaming hardwood. HUGE Mstr BR Suite-luxury bath. 2nd Fl Laundry. FULL Bsmt. Fenced back yard has lots of space,beautiful patio&amp;landscape. 1 Yr Home Warranty includ. HW subdv boasts Community clubhouse,pool,fitness,tennis&amp;more. Quick Close O</t>
  </si>
  <si>
    <t>Fenced Yard, Landscaped Professionally, Park Adjacent</t>
  </si>
  <si>
    <t>Breakfast Room, Loft, Mud Room, Office, Walk In Closet</t>
  </si>
  <si>
    <t>Off Street, Driveway</t>
  </si>
  <si>
    <t>3%-150 (on Net SP)</t>
  </si>
  <si>
    <t>Cindy Pierce, CSC,SFR</t>
  </si>
  <si>
    <t>(630) 718-3469</t>
  </si>
  <si>
    <t>630-669-9849</t>
  </si>
  <si>
    <t>Call the B&amp;W APPOINTMENT CENTER @ 855-746-9100</t>
  </si>
  <si>
    <t>No showings on 3/7/15.  This home shows like a model home.  So many upgrades have been added - especially to the kitchen and back yard.  Seller offering 3%!  Sq footage is based on the most recent appraisal that was done.</t>
  </si>
  <si>
    <t>Linder</t>
  </si>
  <si>
    <t>ELSTON SOUTH TO LINDER TO PROPERTY</t>
  </si>
  <si>
    <t>This beautiful, recently rehabbed 4 bedroom, 3 1/2 bathroom brick Cape Cod is overflowing with special features and brand new additions. The gorgeous kitchen boasts stainless steel appliances, granite counters and upgraded cabinets. With a master suite, a finished basement, a great price and so much more, it's a must see!</t>
  </si>
  <si>
    <t>NEWPORT</t>
  </si>
  <si>
    <t>PULASKI TO NEWPORT W. TO HOME</t>
  </si>
  <si>
    <t>Old Irving perfect starter home.  1st floor features hardwood floors, living, dining, 2 bedrooms, bath, kitchen w/ss appl and enclosed porch.  2nd floor in-law arrangement w/kit, living, bed/bath and full basement w/bath.  30 x 110 lot, new tear off roof 2007, one car garage.  Great location near blue line, 90/94, six corners shopping and dining.</t>
  </si>
  <si>
    <t>Ann Connolly</t>
  </si>
  <si>
    <t>(312) 476-0224</t>
  </si>
  <si>
    <t>Do not use s.a.,email aconnolly@dreamtown.com;M-F 5-7, Sat/Sun ok</t>
  </si>
  <si>
    <t>Open Saturday 1/10, 11:15 - 1:15.  Home is in decent shape, but being sold 'as is'.</t>
  </si>
  <si>
    <t>ALBANY</t>
  </si>
  <si>
    <t>Diversey to Albany north to home</t>
  </si>
  <si>
    <t>Logan Sq/Avondale stunning gut rehabbed 2700sqft 4BR/3.1BA home 3 blks to Logan Sq CTA station. Liv+din rms w/ beaut. stairs &amp; custom millwork. Dream white kitchen w/carrara marble, S/S appl, mosaic tiles &amp; opens to fam rm &amp; large deck. 2nd flr w/ 3 spacious BRs w/ 2 WIC. Striking marble baths w/ gorgeous tiles, soak tub, sep shower, 2x vanities. 1st flr ldy &amp; pantry. Fin bsm rec rm, 4th BR &amp; Ldry. New 2 car garage.</t>
  </si>
  <si>
    <t>Recreation Room, Walk In Closet</t>
  </si>
  <si>
    <t>Vinyl Siding, Brick, Frame</t>
  </si>
  <si>
    <t>Chi Zhang</t>
  </si>
  <si>
    <t>(773) 459-4430</t>
  </si>
  <si>
    <t>Call/Text/Email LA, prefer LA accompany, some notice would be appreciated</t>
  </si>
  <si>
    <t>High quality rehab from experienced builder with full plans &amp; permits. New roof, siding, windows, deck, porch, concrete, elect, plumb, water service, overhead sewer, dual zoned HVAC, walls, flooring, fixtures, kitchen, baths, hardware...</t>
  </si>
  <si>
    <t>IONIA</t>
  </si>
  <si>
    <t>CALDWELL, SOUTH OF TOUHY, EAST TO MENDOTA. (HOUSE ON CORNER OF IONIA AND MENDOTA)</t>
  </si>
  <si>
    <t>EDGEBROOK</t>
  </si>
  <si>
    <t>120 X 45 X 125 X 73 X 45</t>
  </si>
  <si>
    <t>Edgebrook-- Spotless New England Cape Cod built on a large-scale corner lot, great potential for expansion. Home is move-in ready, 4Beds, 2Baths, Loft, formal LvRm/DnRm, and eat-in kitchen. Features: Freshly painted throughout, gleaming hardwood floors, Pella windows, WBFP, cove ceilings, new roof and gutters, zoned GFA. Dry unfinished basement offers endless possibilities. Easy walk to Wildwood School, Metra, Parks.</t>
  </si>
  <si>
    <t>11X4</t>
  </si>
  <si>
    <t>Sandy Brown</t>
  </si>
  <si>
    <t>(773) 484-0990</t>
  </si>
  <si>
    <t>Cell 773-484-0990</t>
  </si>
  <si>
    <t>CALL 855-746-9100</t>
  </si>
  <si>
    <t>Lot size 120X45X125X73X45 (7899 SF), 3rd Bed 16X14 plus alcove (2nd floor), 4rd Bed 16X15 includes alcove (2nd floor).</t>
  </si>
  <si>
    <t>Oak Crest</t>
  </si>
  <si>
    <t>Rt 56,W of Kirk to Hart, N to Wingfoot, W to Oak Crest</t>
  </si>
  <si>
    <t>80X125</t>
  </si>
  <si>
    <t>FRESLY PAINTED INT! NEW SS REF! Spacious 4 Bedroom home in Fox Valley Country Club Estates. Hardwood floors in Kitchen, Hallway &amp; Living Room. Vaulted ceilings in LR. Family Room is wired for Surround sound. Large deck off Kitchen overlooking lovely landscaped fenced yard. lst floor Laundry room. Basement finished with game room and Rec room.  2 car attached garage. Newer roof and driveway. New Hot Water Heater 2014.</t>
  </si>
  <si>
    <t>Water-Softener Owned, Security System, CO Detectors, Ceiling Fan, Sump Pump</t>
  </si>
  <si>
    <t>Deck, Foyer, Game Room, Recreation Room, Utility Room-1st Floor</t>
  </si>
  <si>
    <t>Vaulted/Cathedral Ceilings, Bar-Dry, Hardwood Floors, 1st Floor Laundry</t>
  </si>
  <si>
    <t>12X29</t>
  </si>
  <si>
    <t>(630) 377-9200</t>
  </si>
  <si>
    <t>Carolyn Weinert, ABR,CRB,CRS,GRI,SRES</t>
  </si>
  <si>
    <t>(630) 721-8103</t>
  </si>
  <si>
    <t>Call Showing Desk: 888-362-3222 or LA after hours at 630-721-8103</t>
  </si>
  <si>
    <t>Freshly painted interior! New Stainless Steel Refrigerator. Easy to Show! Relocation Company paperwork required. See Addendum under "Additional Information" tab.</t>
  </si>
  <si>
    <t>Rue Chamonix</t>
  </si>
  <si>
    <t>Long Grove Rd W of Quentin to Rue Chamonix N</t>
  </si>
  <si>
    <t>148 X 204 X 147 X 181</t>
  </si>
  <si>
    <t>Fantastic all brick 2-story4 bedroom home that has been beautifully updated and situated in a very desirable  location!  Hardwood flooring T/O most of 1st &amp; 2nd floors! Living &amp; Family rooms have been opened up into a spectacular "great room" concept!  Generous kitchen/eating area w/granite. Perfect floor plan great for entertaining! Fabulous paver drive and patio plus a 3 car garage. Great Neighborhood and Schools</t>
  </si>
  <si>
    <t>Humidifier, Water-Softener Owned, Central Vacuum, CO Detectors, Ceiling Fan, Sump Pump</t>
  </si>
  <si>
    <t>Eating Area, Foyer, Pantry, Utility Room-1st Floor</t>
  </si>
  <si>
    <t>Patio, Storage Shed, Brick Paver Patio</t>
  </si>
  <si>
    <t>12X07</t>
  </si>
  <si>
    <t>8X20</t>
  </si>
  <si>
    <t>2.5 % -250 (on Net SP)</t>
  </si>
  <si>
    <t>Alan Leibovitz</t>
  </si>
  <si>
    <t>(847) 277-8558</t>
  </si>
  <si>
    <t>call 1-855-746-9100 for appointment</t>
  </si>
  <si>
    <t>Ashton</t>
  </si>
  <si>
    <t>Randall to Silver Glen, W. to Thornwood Blvd, N to W. Thornwood Dr. L to Lansbrook Left on Ashton</t>
  </si>
  <si>
    <t>92 X 145</t>
  </si>
  <si>
    <t>Gorgeous Overstreet built home custom home in Thornwood Pool Community and Award winning St Charles School District! Two-story family room w/cozy stone fireplace and dual staircases. Gourmet kitchen with granite,walk-in pantry and double oven.  Finished basement with large rec room, workout room, kitchen, full bath &amp; custom bar. Outdoor living area with fireplace, built-in grill, brick paver patio and pergola!</t>
  </si>
  <si>
    <t>CORRON ELEMENTARY SCHOOL</t>
  </si>
  <si>
    <t>15X26</t>
  </si>
  <si>
    <t>26X17</t>
  </si>
  <si>
    <t>Clubhouse, Park/Playground, Pool, Tennis Courts, Pond/Lake, Curbs/Gutters</t>
  </si>
  <si>
    <t>Oven-Double, Oven/Range, Microwave, Dishwasher, Refrigerator, Washer, Dryer, Disposal</t>
  </si>
  <si>
    <t>Double Shower, Soaking Tub</t>
  </si>
  <si>
    <t>2nd Kitchen, Den, Exercise Room, Foyer, Recreation Room</t>
  </si>
  <si>
    <t>Vaulted/Cathedral Ceilings, Bar-Wet, Hardwood Floors, 1st Floor Laundry, 1st Floor Full Bath</t>
  </si>
  <si>
    <t>Patio, Grill-Outdoors, Outdoor Fireplace</t>
  </si>
  <si>
    <t>Attached Fireplace Doors/Screen, Gas Logs</t>
  </si>
  <si>
    <t>2.5%-200 (1000 BONUS TO BUYERS AGENT AT CLOSING IF CONTRACT BY 3/20/2015 (on Net SP)</t>
  </si>
  <si>
    <t>Dawn Recchia, CNC,SFR</t>
  </si>
  <si>
    <t>Cell-847-917-5296</t>
  </si>
  <si>
    <t>Please call 855-746-9100. 4 hr notice.</t>
  </si>
  <si>
    <t>Please use multi-board 6.0 contract.</t>
  </si>
  <si>
    <t>Buckthorn</t>
  </si>
  <si>
    <t>South Barrington</t>
  </si>
  <si>
    <t>Barrington Rd south of Algonquin Rd(Rt.62) to Covered Bridge Rd West to Buckthorn Rd south to house</t>
  </si>
  <si>
    <t>SOUTH BARRINGTON</t>
  </si>
  <si>
    <t>200' X 286'</t>
  </si>
  <si>
    <t>ESTATE SALE (NOT SS OR FORECLOSURE) A TRUE DIAMOND IN THE ROUGH! COME SEE THIS 4 BR, 3 BATH, 2 FIREPLACS, 1 STUDY WITH HARDWOOD FLOORS &amp; A FULL BASEMENT HOME IN SUNSET RIDGE FARMS ON A BEAUTIFUL 1.3/AC INTERIOR LOT! BRING YOUR VISION, DECORATING AND POSSIBLE REMODELING IDEA'S TO THIS ORIGINAL OWNER HOME THAT CAN GET YOU INTO THE HOUSE YOU WANT IN SO. BARRINGTON AND AT A GREAT PRICE! BRAND NEW ROOF AND NEWER FURNANCE!</t>
  </si>
  <si>
    <t>BARBARA B ROSE ELEMENTARY SCHOOL</t>
  </si>
  <si>
    <t>BARRINGTON MIDDLE SCHOOL - STATION</t>
  </si>
  <si>
    <t>Enclosed Porch, Study</t>
  </si>
  <si>
    <t>ERA Countrywood Realty, Inc</t>
  </si>
  <si>
    <t>(847) 381-8070</t>
  </si>
  <si>
    <t>Peter Perisin</t>
  </si>
  <si>
    <t>(847) 514-4317</t>
  </si>
  <si>
    <t>Call Showing Time @ 855-957-1347  24 hour notice preferred</t>
  </si>
  <si>
    <t>MOST INEXPENSIVE HOUSE IN SO. BARRINGTON WITH THE MOST POTENTIAL AND NICE LOW TAXES!</t>
  </si>
  <si>
    <t>Kilbourn</t>
  </si>
  <si>
    <t>83rd to Scottsdale, north to 82nd pl, right on Kilbourn to home</t>
  </si>
  <si>
    <t>Scottsdale</t>
  </si>
  <si>
    <t>6588 SQ FT</t>
  </si>
  <si>
    <t>Over sized 4 bedroom, 2 bath home with 13x28 family room in the 2nd floor addition.  This home needs repair but has huge potential.  Being sold in "as is" cond.  Plz note: no survey or termite in spec &amp; taxes R prorated @ 100%.  Seller addm will be forwarded only after an accepted offer.</t>
  </si>
  <si>
    <t>2.5% OR $1500 (WHICHEVER GREATER) (on Gross SP)</t>
  </si>
  <si>
    <t>RE/MAX 10 in the Park</t>
  </si>
  <si>
    <t>(708) 923-0900</t>
  </si>
  <si>
    <t>Paul Booth</t>
  </si>
  <si>
    <t>Call Listing Office (NOT AGENT) Ez Show</t>
  </si>
  <si>
    <t>Home Warranty for Owner occupants Only-See Terms attached. Plz download All Attachd Forms-Requird w/all sales cntrcts. *Email all offers.</t>
  </si>
  <si>
    <t>Euclid</t>
  </si>
  <si>
    <t>79th to Stony Island, east to euclid, two blocks north to property</t>
  </si>
  <si>
    <t>This beautiful, recently rehabbed 4 bedroom, 2 1/2 bathroom brick 2-story is overflowing with special features and brand new additions. The gorgeous kitchen boasts stainless steel appliances, granite counters and upgraded cabinets. The basement has been completely refinished and the outside offers a 2-car garage! It's a must see!</t>
  </si>
  <si>
    <t>17X23</t>
  </si>
  <si>
    <t>9X16</t>
  </si>
  <si>
    <t>Grape Vine</t>
  </si>
  <si>
    <t>N ORCHARD RD TO TUSCANY TRL.  2ND LEFT ON TO GRAPEVINE TR</t>
  </si>
  <si>
    <t>Beautiful Sun Shine filled 2 story home. Home features gorgeous windowscape, Freshly painted interior, new carpet throughout, 4 bedrooms, 2.1 baths, Huge master bedroom with full master Bath, Spacious Kitchen w/ plenty of counter space &amp; Eating area w/ SGD to yard, dining room, Full Unfinished bsmt &amp; 2 car att. garage. TAXES 100%.  Submit offers through HomePath BUYER IS RESPONSIBLE FOR PREVIOUS 6  MONTHS HOA</t>
  </si>
  <si>
    <t>Tony Boccuzzi</t>
  </si>
  <si>
    <t>(630) 669-8131</t>
  </si>
  <si>
    <t>Please call the showing  desk @ 888.362.3222 or  LO after hours, thanks</t>
  </si>
  <si>
    <t>THIS IS A FANNIE MAE HOMEPATH PROPERTY. TAXES 100%.  Submit offers to homepath.com. .  BUYER IS  RESPONSIBLE FOR PREVIOUS 6 MONTHS HOA FEES.</t>
  </si>
  <si>
    <t>Harding</t>
  </si>
  <si>
    <t>Montrose (4400) East to Harding (3930) South to Property</t>
  </si>
  <si>
    <t>COLONIAL 2 STORY</t>
  </si>
  <si>
    <t>PRICED RIGHT FOR QUICK SALE! Attn: Investors ,  2 Story Colonial House in need of TLC. Seller motivated due family illness, will consider all serious offers Fireplace.  Property is on a double lot. Spacious house with lots of potential. 3 bedrooms upstairs. Full finished basement with extra bedroom and half bathroom.</t>
  </si>
  <si>
    <t>2.25%-$250 (on Net SP)</t>
  </si>
  <si>
    <t>Ana Lozano</t>
  </si>
  <si>
    <t>(708) 452-9898</t>
  </si>
  <si>
    <t>CALL OR TEXT LAG 773-715-4652</t>
  </si>
  <si>
    <t>Take 71st to Christiana south to property</t>
  </si>
  <si>
    <t>Great cape cod home, even better neighborhood of homes. Pride of ownership.  4 beds, 2 baths, w 2c garage. Hwd floors thru living areas. nice size rms. partially finished basement. Needs updating, but owner has invested in structural &amp; mechanical improvements over the years.   2004 tear off roof, 1994 whole hse tuck point, 1995 new CA, elec &amp; plumbing, 1 yr hot water heater, short sale, process started with ss atty</t>
  </si>
  <si>
    <t>Wendy Lee</t>
  </si>
  <si>
    <t>(847) 420-5923</t>
  </si>
  <si>
    <t>TEXT listing agent, need 24 hours notice to show</t>
  </si>
  <si>
    <t>mr Eagel</t>
  </si>
  <si>
    <t>LINCOLN AVE TO WELLINGTON EAST TO HOME</t>
  </si>
  <si>
    <t>LAKEVIEW COMMONS</t>
  </si>
  <si>
    <t>GORGEOUS CUSTOM BRICK &amp; LIMESTONE SF HOME IN BURLEY SCHOOL DISTRICT. 3RD FL RFTP PENTHOUSE W/PRIVATE RFTOP DCK W/PERGOLA &amp; CITY VIEWS. ZONED GFA HEAT/AIR &amp; RADIANT FLR HEAT IN LL. HUGE LL FAMILY RM W/FP &amp; BUILT-INS. CHEF'S KITCHN W/LARGE ISLND &amp; VIKING APPLS. WIDE PLANK HARDWD FLRS, CUSTOM MILWORK, CROWN-MOLDING &amp; WINDW TREATMNTS. 2 LAUNDRIES,BUTLER PANTRY. 2 CAR GARGE. STEPS TO STORES, RESTURNTS, PARKS &amp; PUBLIC TRAN</t>
  </si>
  <si>
    <t>18X19</t>
  </si>
  <si>
    <t>Bar-Wet, Hardwood Floors, Heated Floors, 2nd Floor Laundry</t>
  </si>
  <si>
    <t>Deck, Roof Deck</t>
  </si>
  <si>
    <t>Brownstone</t>
  </si>
  <si>
    <t>07X10</t>
  </si>
  <si>
    <t>2.5%-$325 ($10,000 BONUS TO SELLING BROKER WITH ACCEPTED OFFER BY 2/20/2015) (on Net SP)</t>
  </si>
  <si>
    <t>Weichert, REALTORS - First Chicago</t>
  </si>
  <si>
    <t>(312) 467-9900</t>
  </si>
  <si>
    <t>Tara Furnari</t>
  </si>
  <si>
    <t>(312) 519-1200</t>
  </si>
  <si>
    <t>EMAIL TARAFURNARI@YAHOO.COM</t>
  </si>
  <si>
    <t>$10,000 bonus to selling broker with accepted offer by 2/20/2015. Light fixture above dining room table is excluded</t>
  </si>
  <si>
    <t>CRANDON</t>
  </si>
  <si>
    <t>Yates to 79th Street, East to Colfax, South to Property</t>
  </si>
  <si>
    <t>THIS SPACIOUS HOME HAS GREAT POTENTIAL.  4 LARGE BEDROOMS  AND 2 BATHS.  PROPERTY IS ON A OVERSIZED LOT WITH GARAGE.    THIS IS A FANNIE MAE HOME PATH   PROPERTY.  THIS HOME IS LOCATED NEAR SHOPPING AND TRANSPORTATION.  JUST ONE SHOWING WILL CONVINCE YOU THAT THIS IS THE ONE FOR YOU!</t>
  </si>
  <si>
    <t>1% OR $400 MINIMUM WHICHEVER IS GREATER (on Gross SP)</t>
  </si>
  <si>
    <t>THIS PROPERTY NOW UNDER AUCTION TERMS PRESALE OFFERS TO BE SUBMITTED THRU WWW.HUDSONANDMARSHALL.COM PROPERTY SUBJECT TO A 5% BUYER PREMIUM.  THIS IS A RESERVE AUCTION AND ALL OFFERS ARE SUBJECT TO SELLER APPROVAL</t>
  </si>
  <si>
    <t>Valley Stream</t>
  </si>
  <si>
    <t>Rt 72 to Reinking go South, to Cambridge Lakes go Right, L Wester, L on Bay Shore L on Valley Strm</t>
  </si>
  <si>
    <t>58X126X56X126</t>
  </si>
  <si>
    <t>13X09</t>
  </si>
  <si>
    <t>Mont Clare</t>
  </si>
  <si>
    <t>Harlem Avenue to Diversey Avenue.  East to Mont Clare Avenue.  North on Mont Clare Avenue.</t>
  </si>
  <si>
    <t>35X125</t>
  </si>
  <si>
    <t>Beautifully remodeled 4 bedroom, 2 bathroom home on a large corner lot. 42" kitchen cabinets, granite counters, stainless steel appliances, gorgeous wood burning fireplace, freshly painted, new roof on house and garage, re-finished hardwood floors throughout. This house will not disappoint.  Move in without having to do any work.  Home is located in a great neighborhood.</t>
  </si>
  <si>
    <t>Bruno Realty Corporation</t>
  </si>
  <si>
    <t>(708) 453-8959</t>
  </si>
  <si>
    <t>Leonard Smid</t>
  </si>
  <si>
    <t>(708) 257-1548</t>
  </si>
  <si>
    <t>Call/Text/email 708.257.1548.LA will accompany during showings.</t>
  </si>
  <si>
    <t>Listing agent has partial ownership interest in property. Home shows very well.</t>
  </si>
  <si>
    <t>Prescott</t>
  </si>
  <si>
    <t>POTOMAC</t>
  </si>
  <si>
    <t>66 X 122</t>
  </si>
  <si>
    <t>Move in now to this 4 bedroom, 2.5 bath home.Kitchen features a 10 ft island with seating for stools. Breakfast bay provides space for large table. Butlers pantry offers additional storage and makes entertaining a cinch! Separate living and dining room.Mud room off of garage is the perfect place for those wet boots and school bags. Outside access from mud room is great for pets! Incentives for using builder's lender!</t>
  </si>
  <si>
    <t>Eating Area-Breakfast Bar, Eating Area-Table Space, Island, Pantry-Butler, Pantry-Closet</t>
  </si>
  <si>
    <t>Park/Playground, Dock-Community, Curbs/Gutters, Sidewalks, Street Lights, Street Paved</t>
  </si>
  <si>
    <t>Separate Shower, Double Sink, No Tub</t>
  </si>
  <si>
    <t>Central Air, Energy Efficient Package, Basement, Vinyl Clad Windows, Wood Laminate Flooring, Upgraded Insulation</t>
  </si>
  <si>
    <t>TV-Cable, CO Detectors, Sump Pump, Air Exchanger, Radon Mitigation System(s)</t>
  </si>
  <si>
    <t>Breakfast Room, Mud Room</t>
  </si>
  <si>
    <t>Other, Clad Trim</t>
  </si>
  <si>
    <t>7 Foot or more high garage door</t>
  </si>
  <si>
    <t>9X17</t>
  </si>
  <si>
    <t>847-984-4616</t>
  </si>
  <si>
    <t>Please call 847-984-4616 to schedule a showing. We are open daily</t>
  </si>
  <si>
    <t>D. R. Horton</t>
  </si>
  <si>
    <t>Please call sales office at 847-984-4616 to schedule a showing. We are open Monday 1PM - 6PM,Tuesay thru Saturday 10AM - 6PM, Sunday 11AM to 6PM. Sales Office is located at 3301 Stratton Street, Elgin</t>
  </si>
  <si>
    <t>Waterside</t>
  </si>
  <si>
    <t>Randall Road to Silver Glen W to Thornwood Blvd N to Thornwood Dr W to Waterside Dr N to Home</t>
  </si>
  <si>
    <t>Thornwood</t>
  </si>
  <si>
    <t>79 X 124 X 92 X 126</t>
  </si>
  <si>
    <t>GORGEOUS 4 Bed/4 Ba Home Shows Like a Model! Large Open Kit w/Island, Granite &amp; Abundant Cabinet Space.  1st Floor Features HW Floors, 9' Ceilings, Upgraded Trim Detail, Office &amp; Laundry Room.  FR Complete w/ FP &amp; Built-In Entertainment Niche'.  Lovely Turet LR w/Arch Windows &amp; Natural Light. Huge Master w/Vaulted Ceilings. 9' Basement Finished Urban Loft Style. 3-Car Garage &amp; Paver Patio. Excellent Pool Location!</t>
  </si>
  <si>
    <t>Clubhouse, Park/Playground, Pool, Tennis Courts, Sidewalks</t>
  </si>
  <si>
    <t>Oven-Double, Oven/Range, Microwave, Dishwasher, Refrigerator, Disposal</t>
  </si>
  <si>
    <t>Park Adjacent</t>
  </si>
  <si>
    <t>Game Room, Office, Other</t>
  </si>
  <si>
    <t>Patio, Porch, Brick Paver Patio, Storms/Screens</t>
  </si>
  <si>
    <t>Great Western Properties</t>
  </si>
  <si>
    <t>(630) 347-8900</t>
  </si>
  <si>
    <t>Tina Mastrangelo</t>
  </si>
  <si>
    <t>(815) 739-1888</t>
  </si>
  <si>
    <t>2 Hour Notice | Please Call CSS 877-977-1010</t>
  </si>
  <si>
    <t>Kraft</t>
  </si>
  <si>
    <t>Lovely Home...Move-in Ready!  Please Omit Washer/Dryer and Outdoor Speakers. Playset included.</t>
  </si>
  <si>
    <t>School</t>
  </si>
  <si>
    <t>CENTRAL TO SCHOOL WEST TO HOME</t>
  </si>
  <si>
    <t>This is Fannie Mae Homepath property. Brick Specious bungalow- Solid structure, but in needs of TLC- Ready For Your Ideas-Great Buy-Great Price-Convenient location-walking distance to Multiple offers received. Multiple offers received.Multiple Offer Deadline â€“ Feb 01, 2015, 09:16:00 AM (EST)</t>
  </si>
  <si>
    <t>11X08</t>
  </si>
  <si>
    <t>Broz Group Real Estate, Inc.</t>
  </si>
  <si>
    <t>(773) 637-1500</t>
  </si>
  <si>
    <t>Ivelina Stoyanova</t>
  </si>
  <si>
    <t>(312) 493-8327</t>
  </si>
  <si>
    <t>Use showing assistant</t>
  </si>
  <si>
    <t>Seller has instructed that all offers be made online at Homepath.com. Do due diligence with info provided. Email listing agent for more details.</t>
  </si>
  <si>
    <t>7N121</t>
  </si>
  <si>
    <t>Nancy</t>
  </si>
  <si>
    <t>Rte64 to Burlington Rd 2 Nancy Lane(North of Silver Glen Rd)</t>
  </si>
  <si>
    <t>144X237X143X221</t>
  </si>
  <si>
    <t>Totally updated home on a fenced 3/4 acre lot!Newer:roof,windows,furnace,a/c,millwork,cherry hardwood floors,driveway,stamped concrete walkway!!Dream custom kitch-note size-w/maple cabs,granite counters &amp; SS appliances!Great open floor plan w/vaulted living &amp; dining room ceilings...Family rm w/custom stone fireplace...Superior condition &amp; St.Charles schools!</t>
  </si>
  <si>
    <t>Deck, Storage Shed, Pool Above Ground</t>
  </si>
  <si>
    <t>MONTROSE TO KEELER.  SOUTH ON KEELER TO PROPERTY.  WEST SIDE OF STREET.</t>
  </si>
  <si>
    <t>AS-IS SALE.   B  SINGLE FAMILY.  PROPERTY IS IN NEED OF SOME MAJOR UPDATING.  CASH OFFERS OR REHAB/CONSTRUCTION FINANCING ONLY.  2 CAR DETACHED GARAGE.  FULL UNFINISHED BASEMENT.</t>
  </si>
  <si>
    <t>Better Living Realty</t>
  </si>
  <si>
    <t>(312) 330-3730</t>
  </si>
  <si>
    <t>Phillip Buoscio</t>
  </si>
  <si>
    <t>USE SHOWING ASSIST.  PLEASE FILL OUT FORM IN ADDITIONAL INFO. MUST BE DONE BEFORE SHOWING.</t>
  </si>
  <si>
    <t>AS-IS SALE.  PLEASE ASK FOR ADDITIONAL RIDERS AFTER YOU HAVE SHOWN HOME.  All offers received will be held as backups.  FORM MUST BE FILLED OUT IN ADDITIONAL INFO SECTION BEFORE SHOWING. OFFER PAPERWORK IN ADD. INFO SECTION.</t>
  </si>
  <si>
    <t>Mclean</t>
  </si>
  <si>
    <t>FULLERTON W TO LAWNDALE S TO MCLEAN</t>
  </si>
  <si>
    <t>AS-IS SELLER DOES NOT PROVIDE SURVEY, TAXES PRORATED AT 100%. Buyer's Closing Cost Credit negotiable for up to 3% (On Owner-Occ/Financed Deals Only). HomeSteps offers up to $500 towards purchase of warranty or condo credit. Eligible under the Freddie Mac First Look Initiative thru 12/6/14.</t>
  </si>
  <si>
    <t>16X7</t>
  </si>
  <si>
    <t>Re/Max Cityview</t>
  </si>
  <si>
    <t>(773) 631-8260</t>
  </si>
  <si>
    <t>Robert Padron</t>
  </si>
  <si>
    <t>(773) 245-0707</t>
  </si>
  <si>
    <t>Freddie Mac/HomeSteps</t>
  </si>
  <si>
    <t>EMAIL OFFERS TO RAMINAP@REMAX-CITYVIEW.COM. LEAD-BASED PAINT ADDENDUM, SALES WORKSHEET &amp; PROOF OF FUNDS OR PRE-APPROVAL MUST SUBMIT W/OFFER.</t>
  </si>
  <si>
    <t>Deer Run</t>
  </si>
  <si>
    <t>RT 30 to Briarcliff Rd (N) to Deer Run Drive to house</t>
  </si>
  <si>
    <t>SEASONS RIDGE</t>
  </si>
  <si>
    <t>MEADOW WOOD</t>
  </si>
  <si>
    <t>72.28X120.42X80.61X120.4</t>
  </si>
  <si>
    <t>Fabulous ranch w/vaulted ceiling, fireplace &amp; wide plank wood laminate flooring~Finished bsmt offers approx 500 sq ft of addt' living space w/addt' BR &amp; office~Many upgrades thru out~Kitchen offers custom cabinets w/cr molding, tile backsplash, Corian counter tops~Both baths w/ceramic tile floor &amp; new vanity w/granite top/mirror/lighting~Other upgrades include newer furnace/AC/windows/roof/gutters/siding/patio door!</t>
  </si>
  <si>
    <t>Park/Playground, Tennis Courts, Pond/Lake, Curbs/Gutters, Sidewalks, Street Lights</t>
  </si>
  <si>
    <t>Landscaped Professionally, Water View</t>
  </si>
  <si>
    <t>TV-Cable, CO Detectors, Ceiling Fan, Sump Pump, Radon Mitigation System(s)</t>
  </si>
  <si>
    <t>$2.5%-$150 (on Net SP)</t>
  </si>
  <si>
    <t>call CSS 877-977-1010/2 hr notice preferred</t>
  </si>
  <si>
    <t>Must confirm~Quick close possible~Please exclude security system/wine cooler/mini fridge &amp; freezer in bsmt~Cat may be in bsmt utility room</t>
  </si>
  <si>
    <t>St. Louis</t>
  </si>
  <si>
    <t>Kedzie to 109st west to St. Louis then south to home.</t>
  </si>
  <si>
    <t>43X123</t>
  </si>
  <si>
    <t>Nicely rehabbed 4 bedroom. New features include new kitchen w/maple cabinets and granite counter. Remodelled main bath with ceramic fl. and tub surround.  New roof and windows. Finished basement.New standard steel appliances. New concrete walk. Nice lot.  Second full bath. New carpet and refinished Liv. Rm. hardwood floors. Nice tree lined street!!</t>
  </si>
  <si>
    <t>TJB Realty Group</t>
  </si>
  <si>
    <t>(708) 444-2185</t>
  </si>
  <si>
    <t>Thomas Bujnowski</t>
  </si>
  <si>
    <t>(708) 638-2133</t>
  </si>
  <si>
    <t>call listing agent or office</t>
  </si>
  <si>
    <t>Nicely rehabbed home.  Many new features.  Quick closing possible.  Not a short sale or foreclosure</t>
  </si>
  <si>
    <t>TRIPP</t>
  </si>
  <si>
    <t>PULASKI (4000W) TO 60TH ST / WEST TO TRIPP(4232W) N TO 5923. TRIPP IS ONE WAY NORTH</t>
  </si>
  <si>
    <t>LOVELY RAISED RANCH/ 4 BEDROOMS 1.5 BATHS/HARDWOOD FLOORS/OPEN AND AIRY LIGHT FILTERING KITCHEN/UPDATED WINDOWS &amp; DOORS /LARGE OPEN PANELED FINISHED BASEMENT W/PARTY SIZED FAMILY ROOM AND BAR/REC ROOM/VERY CHARMING &amp; SPACIOUS! PLEASING CURB APPEAL/MODERN FINISHES/GREAT LOCATION CLOSE TO SCHOOLS, SHOPPING, TRANSPORTATION, ORANGE LINE, MIDWAY AIRPORT &amp; I-55.</t>
  </si>
  <si>
    <t>24X24</t>
  </si>
  <si>
    <t>Vaulted/Cathedral Ceilings, Bar-Dry, Hardwood Floors</t>
  </si>
  <si>
    <t>2.5% -$195 (on Net SP)</t>
  </si>
  <si>
    <t>Home Sales Realty INC.</t>
  </si>
  <si>
    <t>(773) 735-1300</t>
  </si>
  <si>
    <t>Doris Garcia</t>
  </si>
  <si>
    <t>(773) 757-3316</t>
  </si>
  <si>
    <t>TITLE HOLDER OF RECORD</t>
  </si>
  <si>
    <t>PREVIOUS FINANCING FELL THRU ON OUR WAY TO THE CLOSING TABLE. EVERYTHING IS IN AND READY- APPRAISAL-TITLE-TERMITE-SURVEY-WATER &amp; ZONING CERTS//$1000 BONUS TO CLOSE IN 30 DAYS</t>
  </si>
  <si>
    <t>Jeffery</t>
  </si>
  <si>
    <t>85th TO JEFFERY, SOUTH TO PROPERTY</t>
  </si>
  <si>
    <t>Masterfully renovated 4 bedroom, 2 bathroom raised ranch. This home offers gleaming hardwood floors on first floor and custom designed ceramic tiles in the basement and bathrooms. Modern open white kitchen with granite counters and stainless steel appliances. Large master suite.  New heat, AC windows, roof, and more. Large finished basement with dry bar. Must see!</t>
  </si>
  <si>
    <t>Mark Allen Realty</t>
  </si>
  <si>
    <t>(773) 938-5220</t>
  </si>
  <si>
    <t>Larisa Kenen</t>
  </si>
  <si>
    <t>(773) 412-6176</t>
  </si>
  <si>
    <t>Use ShowingAssist</t>
  </si>
  <si>
    <t>Bryn Mawr</t>
  </si>
  <si>
    <t>North on LSD to Bryn Mawr. 1 mile west to 1668. Just past Ashland.</t>
  </si>
  <si>
    <t>31 X 109</t>
  </si>
  <si>
    <t>Everything is brand new in this tastefully renovated Andersonville graystone on an oversized lot. Extra-wide well-proportioned floorplan with hardwood flrs &amp; recessed lighting. Bright eat-in kitchen w/Wolf &amp; Viking appliances. 4 BRs + an office. 4.5 luxurious contemporary baths. Multiple walk-in closets. Spacious LL rec room. Laundry/mud rooms. Great outdoor space including a fenced yard. 2-car garage w/deck above.</t>
  </si>
  <si>
    <t>08X16</t>
  </si>
  <si>
    <t>Oven-Double, Oven/Range, Microwave, Dishwasher, Refrigerator, High End Refrigerator, Washer, Dryer, Disposal, All Stainless Steel Kitchen Appliances, Wine Cooler/Refrigerator</t>
  </si>
  <si>
    <t>Security System, Sump Pump</t>
  </si>
  <si>
    <t>Balcony, Den, Deck, Mud Room, Office, Recreation Room, Walk In Closet</t>
  </si>
  <si>
    <t>Balcony, Deck, Roof Deck</t>
  </si>
  <si>
    <t>08X11</t>
  </si>
  <si>
    <t>08X06</t>
  </si>
  <si>
    <t>Just 1 1/2 blocks from the 22 Clark and 50 Ashland bus stops.</t>
  </si>
  <si>
    <t>COLUMBUS TO 83RD PL EAST TO 3519</t>
  </si>
  <si>
    <t>55X125</t>
  </si>
  <si>
    <t>Great opportunity to purchase this Fannie Mae/Homepath property.  This solid brick, single family home sits on a double lot.  Tons of space and potential.  2 bedrooms on the main level and 2 upstairs.  Schedule your showing today before its gone.  All information estimated â€“ buyer to verify.</t>
  </si>
  <si>
    <t>Benjamin Beaty</t>
  </si>
  <si>
    <t>(312) 867-2193</t>
  </si>
  <si>
    <t>REO ID: C140C03 See additional information for contract package and instructions. All offers must be submitted on Homepath.com. Email all questions to JAMESONREO@GMAIL.COM. Use showing assist to schedule showings.</t>
  </si>
  <si>
    <t>Larkspur</t>
  </si>
  <si>
    <t>RT 47 to RT 72 E2 Reinking Rd S2 Cambridge Lakes Dr Right 2 Woodfern Left 2 Larkspur CT Right 2 Home</t>
  </si>
  <si>
    <t>ENDICOTT C</t>
  </si>
  <si>
    <t>56X45X165X34X167</t>
  </si>
  <si>
    <t>Beautiful Newer Home in Popular Cambridge Lakes.Great Curb Appeal.Dramatic Open Floor Plan w/ 2 Sty Foyer &amp; 2 Sty LR. 9 Ft Ceilings. Upgraded Kitchen w/ Maple Cabs, Island, Granite Tops, SS Appl's &amp; Eating Area. Inviting FR w/ Woodburning FP. Formal DR.Vaulted Master Suite w/ Luxury Bath &amp; Dbl WIC's. Huge Loft Area.1st Flr Den/BR. Deep Pour Bsmt w/ Roughed-In Plumbing.1st Flr Ldy.Awesome Area w/ Club House &amp; Pool.</t>
  </si>
  <si>
    <t>Clubhouse, Park/Playground, Pool, Pond/Lake, Sidewalks, Street Lights</t>
  </si>
  <si>
    <t>Eating Area, Foyer, Loft</t>
  </si>
  <si>
    <t>Vaulted/Cathedral Ceilings, 1st Floor Bedroom, 1st Floor Laundry</t>
  </si>
  <si>
    <t>Call Showing Time @ 800-746-9464</t>
  </si>
  <si>
    <t>Great Home.</t>
  </si>
  <si>
    <t>Concord</t>
  </si>
  <si>
    <t>North Ave to North Park Ave (1 block west of Wells St), go north to Concord Pl, left to property</t>
  </si>
  <si>
    <t>LANDMARK DISTRICT</t>
  </si>
  <si>
    <t>24X100</t>
  </si>
  <si>
    <t>NEW PRICE! Beautiful full renovation on quiet one way street in Old Town Triangle Historical District neighborhood! DESIRABLE LINCOLN PARK SCHOOLS! 4 bedroom, 3 1/2 baths. This is a gut rehab and addition w/developer warranty. Elegant finishes throughout including white shaker cabinets, granite/quartz counters, spa master bath, wide plank hardwood flooring, new 2 car garage with rooftop deck and pergola.</t>
  </si>
  <si>
    <t>lincolN PARK HIGH SCHOOL</t>
  </si>
  <si>
    <t>Park/Playground, Tennis Courts, Gated Entry, Street Lights</t>
  </si>
  <si>
    <t>Commuter Bus, Commuter Train, Historical District</t>
  </si>
  <si>
    <t>Separate Shower, Double Sink, Full Body Spray Shower, Soaking Tub</t>
  </si>
  <si>
    <t>Humidifier, TV-Cable, Security System, CO Detectors, Ceiling Fan, Sump Pump</t>
  </si>
  <si>
    <t>Bar, Recreation Room</t>
  </si>
  <si>
    <t>Vaulted/Cathedral Ceilings, Bar-Wet, Hardwood Floors, 2nd Floor Laundry</t>
  </si>
  <si>
    <t>Patio, Roof Deck, Storms/Screens</t>
  </si>
  <si>
    <t>Kirsten Stumpf</t>
  </si>
  <si>
    <t>(312) 286-4524</t>
  </si>
  <si>
    <t>Fax 773-466-1520</t>
  </si>
  <si>
    <t>Click on Showing Assist, instructions will be emailed/texted. Please do not call listing office.</t>
  </si>
  <si>
    <t>Listing office does not hold earnest money, make out to "Law Offices of Daniel Hofstetter". AGENT HAS OWNERSHIP. Visit our website www.sky-homes.com for other avail properties.</t>
  </si>
  <si>
    <t>Indiana</t>
  </si>
  <si>
    <t>75TH TO INDIANA S TO PROPERTY</t>
  </si>
  <si>
    <t>31X160</t>
  </si>
  <si>
    <t>Brand new fully rehabbed home on nicest block in the area.  6 foot jacuzzi tubs w customs tile, Custom kitchen w island, SS appliances, custom fireplace w remote, new hardwood stairs, metal spindles, newer roof, new HVAC, shower panels, master bath has kholer toilet, Custom tile work in basement.</t>
  </si>
  <si>
    <t>PLEASE TEXT OR CALL OR EMAIL JOANNA 847-312-8005 JOLSZYNSKA@JAMESONSIR.COM, JOLSZYNSKA@YAHOO.COM</t>
  </si>
  <si>
    <t>$2000 BONUS FOR THE SELLING BROKER</t>
  </si>
  <si>
    <t>Chester</t>
  </si>
  <si>
    <t>FOSTER AVE TO CHESTER AVE, SOUTH ON CHESTER TO PROPERTY ADDRESS.</t>
  </si>
  <si>
    <t>NICE AND SPACIOUS BRICK 4 BEDROOM, 1.5 BATH HOME LOCATED ON THE NORTH WEST SIDE OF CHICAGO/O'HARE NEIGHBORHOOD. FEATURES HARDWOOD FLOORS THROUGHOUT,  CENTRAL AIR, FULL BASEMENT, ENCLOSED YARD AND 1 CAR GARAGE. MINUTES FROM MAJOR STREETS, FOREST PRESERVES, THE 90/94 AND 294 EXPYS. GREAT OPPORTUNITY!!!</t>
  </si>
  <si>
    <t>3% OR $1000 MINIMUM (on Gross SP)</t>
  </si>
  <si>
    <t>ALL OFFERS MUST BE MADE VIA HomePath.com. SEE OFFER PKG UNDER ADDITIONAL INFORMATION B-4 OFFER. E-MAIL QUESTIONS: OFFERS@DOMAINREO.COM. PRE-APP/POF W/ALL OFFERS. EM MUST BE CERTIFIED</t>
  </si>
  <si>
    <t>Western 2 35th St.,west three blocks 2 Maplewood St.  south to house</t>
  </si>
  <si>
    <t>IF YOUR LOOKING FOR "BIG" INSIDE AND OUT LOOK NO FURTHER THAN THIS 4 BEDROOM 2 BATHROOM SETTLED ON A PARK LIKE DOUBLE LOT WITH 5 PARKING SPACES. MAIN FLOOR BOASTS LIVING ROOM FORMAL DINNING ROOM 2 BEDROOMS KITCHEN AND FULL BATH WITH SMALL TERRACE. FINISHED ATTIC WITH BEDROOM, WALK-IN CLOSET AND SPACE FOR AN OFFICE. FULL FINISHED BASEMENT WITH KITCHEN, FAMILY ROOM, AND BEDROOM FOR POSSIBLE IN LAW ARRANGEMENT.</t>
  </si>
  <si>
    <t>13X30</t>
  </si>
  <si>
    <t>Century 21 Hallmark Ltd.</t>
  </si>
  <si>
    <t>(708) 442-8100</t>
  </si>
  <si>
    <t>Anthony NOWAK</t>
  </si>
  <si>
    <t>(708) 244-6540</t>
  </si>
  <si>
    <t>TEXT TONY 708-244-6540   24 HOURS NOTICE</t>
  </si>
  <si>
    <t>NO SHOWINGS UNTIL DEC 9TH 2014</t>
  </si>
  <si>
    <t>THROOP</t>
  </si>
  <si>
    <t>87th St TO THROOP  - SOUTH TO ADDRESS</t>
  </si>
  <si>
    <t>28 X 124</t>
  </si>
  <si>
    <t>4 Bedroom, 1 Bath  Brick 1.5 story Bungalow with a 2 Car detached Garage. Features separate Dining Room,enclosed rear Porch and a full finished Basement with a Family Room and extra Bath.</t>
  </si>
  <si>
    <t>$1,000 (on Net SP)</t>
  </si>
  <si>
    <t>**Multiple offers** Seller is requesting highest and best due no later than 1.9.15 by 10A.M. Please Fax your highest Offer to 312-454-4465, or email martino@chgorealty.com  and state that it is in fact your final and best.</t>
  </si>
  <si>
    <t>CHRISTIANA</t>
  </si>
  <si>
    <t>LAWRENCE TO CHRISTIANA - NORTH TO 4826</t>
  </si>
  <si>
    <t>STUNNING REMODEL ON TREE LINED BLOCK IN ALBANY PARK! ATTENTION TO DETAIL. 2.5 BEAUTIFUL BTHS W/ IMPORTED CUSTOM TILE. OPEN FLR PLAN W/ ISLAND CHEFS KITCHEN, GRANITE, SS APPLCS, CUSTOM 42" MAPLE CABINETS, BACKSPLASH, DESIGNER LIGHTING &amp; FINISHES. GLEAMING HDWD FLRS. 3 BDRMS ON 2ND LVL. LRG LL FAMILY RM OR USE AS HUGE 4TH BDRM/MASTER SUITE! WONDERFUL OPEN FRONT PORCH, REAR DECK W/ BOTH FRNT &amp; BACK YARDS! NICE 2 CAR GAR</t>
  </si>
  <si>
    <t>Double Sink, European Shower</t>
  </si>
  <si>
    <t>Todd Takes</t>
  </si>
  <si>
    <t>(312) 498-6372</t>
  </si>
  <si>
    <t>TEXT PREFERRED W/ FASTEST RESPONSE - TODD TAKES: 312-498-6372 - OR CALL/EMAIL: TODD@CHI-PROPERTY.COM</t>
  </si>
  <si>
    <t>$3,000 BONUS TO SELLING AGENT FOR ACCEPTED CONTRACT BY THANKSGIVING (11/27)!!! HOME IS SITUATED ON A NICE TREE LINED BLOCK. SHORT 1 BLOCK WALK TO BROWN LINE STOP! EASY TO SHOW!</t>
  </si>
  <si>
    <t>Deming</t>
  </si>
  <si>
    <t>North on Clark Street. East on Deming.</t>
  </si>
  <si>
    <t>20X74</t>
  </si>
  <si>
    <t>This S/E LP 4BR+Den/3.5BA Row Home is a beautifully appointed &amp; spacious home in the City. Seller just made significant upgrades with a second level new laundry w/ new brand new W/D, new walk-in master closet &amp; much more. 472 offers a formal L/R &amp; D/R, open eat in kitchen w/ banquette, 12' ceilings, t/o, full basement, recently upgraded addition with huge rooftop deck. 2nd Ext. Parking Spot Addtl. Price. Shows GREAT!</t>
  </si>
  <si>
    <t>19X21</t>
  </si>
  <si>
    <t>Den, Recreation Room, Utility Room-Lower Level</t>
  </si>
  <si>
    <t>Domain Properties LLC</t>
  </si>
  <si>
    <t>(312) 202-3400</t>
  </si>
  <si>
    <t>Joe Chiavaroli</t>
  </si>
  <si>
    <t>(312) 841-9696</t>
  </si>
  <si>
    <t>Please use show assist</t>
  </si>
  <si>
    <t>Will accept back-up offers.</t>
  </si>
  <si>
    <t>Heritage</t>
  </si>
  <si>
    <t>Longcommon to Roundabout and 2nd Exit onto South, Left onto Fountain, that will become Heritage.</t>
  </si>
  <si>
    <t>RUMFORD</t>
  </si>
  <si>
    <t>10000 SQ FT</t>
  </si>
  <si>
    <t>Why Wait for New Construction? Beautiful, Spacious 4BR + Loft Home w/ Full, Walk-Out Basement! Upgraded Eat-In Kitchen Offers 42" Maple Cabinetry, Island w/ Breakfast Bar, Hardwood Flrs, Granite Countertops, SS App, &amp; Opens to Family Room~Perfect for Entertaining! Master Suite Incl. Huge, Private Bath w/ Dual Vanity &amp; Separate Shower &amp; Tub! Spacious Bedrooms + Loft! In Sought After District 301 Schools!</t>
  </si>
  <si>
    <t>Park/Playground, Pond/Lake, Sidewalks, Street Lights, Street Paved</t>
  </si>
  <si>
    <t>Balcony, Patio, Porch, Storms/Screens</t>
  </si>
  <si>
    <t>RE/MAX Suburban</t>
  </si>
  <si>
    <t>(847) 985-7050</t>
  </si>
  <si>
    <t>Sarah Leonard, e-PRO</t>
  </si>
  <si>
    <t>(224) 239-3966</t>
  </si>
  <si>
    <t>Call LO 847-985-7050</t>
  </si>
  <si>
    <t>Tall Oaks</t>
  </si>
  <si>
    <t>Randall Rd- gated entrance ( North of Rt 20 and South of Highland Ave) East side of street</t>
  </si>
  <si>
    <t>OAKS CLUB</t>
  </si>
  <si>
    <t>60X118X93X130</t>
  </si>
  <si>
    <t>Lush landscaping, towering trees, WOW- Stunning! Stand alone home in maintenance free gated community offers oversized 3 car garage, high end features &amp; amenities throughout, Chef's island kitchen w/SS appliances, 40 ft Great rm w/vaulted ceilings &amp; skylights, four season room, 1st floor luxury master suite, loft, huge-secondary bedrooms, Deep pour Prof fin lower with rec room, bedroom, bath &amp;  53x20 storage space!</t>
  </si>
  <si>
    <t>28X20</t>
  </si>
  <si>
    <t>Pond/Lake, Gated Entry, Street Lights, Street Paved</t>
  </si>
  <si>
    <t>Landscaped Professionally, Wooded, Rear of Lot</t>
  </si>
  <si>
    <t>Lawn Care, Scavenger, Snow Removal, Other</t>
  </si>
  <si>
    <t>Eating Area, Enclosed Porch Heated, Foyer, Game Room</t>
  </si>
  <si>
    <t>2.35%-$200 (on Net SP)</t>
  </si>
  <si>
    <t>Call 855-919-0200</t>
  </si>
  <si>
    <t>DANIELLE</t>
  </si>
  <si>
    <t>RT 71 2 RESERVATION, 2 FIELDS, 2 DANIELLE, 2 HOME</t>
  </si>
  <si>
    <t>FIELDS OF FARM COLONY</t>
  </si>
  <si>
    <t>181X253X242X256</t>
  </si>
  <si>
    <t>WOW THIS IS IT! DO U NEED IN-LAW ARRANG-STORAGE 4 TOYS-GARAGE 4 KIDS CARS? HERE U GO! ALL BRCK CUSTM HOME ON OVER AN ACRE FEATRS 2 MSTR BEDS-LNDRY UP &amp; DOWN-HRDWD FLRS &amp; SKYLITES!  SNUGGLE BY FPL THIS WINTER AWAITING SPRING. KIT FEATURES MAPLE CABS-CORIAN-NEW CUST BKSPLSH-ALL APPLS. CK OUT BEDRM SIZES! FRNT PRCH &amp; 3.5 CAR GAR W/RADIANT HEAT. GREAT PATIO 4 SUMMR COOKOUTS &amp; LG YARD 4 KIDS &amp; DOGS (INV. FENCE) C IT NOW!</t>
  </si>
  <si>
    <t>CIRCLE CENTER GRADE SCHOOL</t>
  </si>
  <si>
    <t>Eating Area-Breakfast Bar, Eating Area-Table Space, Pantry-Walk-in</t>
  </si>
  <si>
    <t>Pond/Lake, Water Rights, Street Lights, Street Paved</t>
  </si>
  <si>
    <t>Separate Shower, Double Shower, Soaking Tub</t>
  </si>
  <si>
    <t>Humidifier, Central Vacuum, TV-Cable, Security System, CO Detectors, Ceiling Fan, Sump Pump, Sprinkler-Lawn, Radon Mitigation System(s)</t>
  </si>
  <si>
    <t>Breakfast Room, Loft, Utility Room-2nd Floor</t>
  </si>
  <si>
    <t>Brick, Masonite</t>
  </si>
  <si>
    <t>Skylight(s), Hardwood Floors, 1st Floor Bedroom, 1st Floor Laundry, 2nd Floor Laundry, 1st Floor Full Bath</t>
  </si>
  <si>
    <t>Patio, Porch, Dog Run &amp;/or Invisible Fence</t>
  </si>
  <si>
    <t>4X7</t>
  </si>
  <si>
    <t>4X10</t>
  </si>
  <si>
    <t>USE SHOWING ASSIST - 24 HRS PREF - DOG</t>
  </si>
  <si>
    <t>RELO ADD APPLY.</t>
  </si>
  <si>
    <t>Lewis</t>
  </si>
  <si>
    <t>Route 23 south to Seventh Street to Lewis, East to PIQ</t>
  </si>
  <si>
    <t>62.5X120</t>
  </si>
  <si>
    <t>Family owned home since 1955 features 3-4 BR- 2 BA home. Comfortable front porch opens into spacious foyer entry.  First floor bedroom and bath. Cozy eat in kitchen. Formal Dining area. Upper bedrooms and full bath. Newer roof, furnace, central air, siding and some windows.  Charming older home with great curb appeal. Full basement.  Newer deck and fence. HMS Home Warranty. * RE Taxes reflect Senior and Senior freeze</t>
  </si>
  <si>
    <t>60 Amp Service</t>
  </si>
  <si>
    <t>Water-Softener Rented, Sump Pump</t>
  </si>
  <si>
    <t>2.5-$150 (on Gross SP)</t>
  </si>
  <si>
    <t>Elm Street, REALTORS</t>
  </si>
  <si>
    <t>(815) 895-2789</t>
  </si>
  <si>
    <t>Nancy Edwards, GRI</t>
  </si>
  <si>
    <t>Pesut</t>
  </si>
  <si>
    <t>RT 20 W OF RANDALL 2 WELD N2 COLONIAL E2 HOME</t>
  </si>
  <si>
    <t>Randall Ridge</t>
  </si>
  <si>
    <t>87X159X63X136</t>
  </si>
  <si>
    <t>GOOD INT SUBD LOC! PART BRK FRNT! CVRD FRNT PORCH! 2-STY FYR W/HDWD FLRS! SPAC LR W/FRNCH DR 2 FR! FR W/FRNCH DR 2 NEW CSTM STONE PATIO! BRIGHT EAT-N KTCHN W/GRANITE C-TOPS, EXT OAK CABS, NEW TILE B-SPLASH, WAINSCOTING &amp; ALL APPLS STAY! LRG MBDRM W/WIC, SITTING AREA W/REC LIGHTS &amp; LUX BTH W/SOAKER TUB, SEP SHWR &amp; DBL SINKS! FIN BSMNT W/REC RM &amp; MEDIA AREA! CONVENIENT 1ST FLR LNDRY! 6 PNL DRS! ROOF 5 YRS! FNCD YARD!</t>
  </si>
  <si>
    <t>Eating Area, Recreation Room, Media Room</t>
  </si>
  <si>
    <t>Hardwood Floors, Wood Laminate Floors, 1st Floor Laundry</t>
  </si>
  <si>
    <t>26X14</t>
  </si>
  <si>
    <t>Robert Wisdom</t>
  </si>
  <si>
    <t>(847) 695-8348</t>
  </si>
  <si>
    <t>CALL LO - 847-931-7500</t>
  </si>
  <si>
    <t>FNCD YARD W/NEW STONE PATIO! FIN BSMNT W/REC &amp; MEDIA RMS!</t>
  </si>
  <si>
    <t>Sharp</t>
  </si>
  <si>
    <t>RT 38 to Anderson south to Prairie Valley St right to Sharp Ct</t>
  </si>
  <si>
    <t>PRAIRIE VALLEY</t>
  </si>
  <si>
    <t>135X153X58X110</t>
  </si>
  <si>
    <t>JUST DONE: NEW CARPET. NEUTRAL PAINT. SOME FLOORING/FIXTURES! Wow Change! Cul-de-sac quiet! POND across street. Custom Trim. Inviting Porch. Brick Drive/Walks/Walled Patio. Curb Appeal is a 10!  Split Staircase. NEWER: Furnace/AC, Atrium Door/most Windows, Birch Island Kitch w/SS. Faucets/Light Fixtures thru-out. Built-ins/Raised Hearth FP. 1st Fl Laundry. WELL CARED FOR! Easy to School/Shopping/Library/TRAIN &amp; more!</t>
  </si>
  <si>
    <t>Water-Softener Owned, CO Detectors, Ceiling Fan, Fan-Whole House, Sump Pump</t>
  </si>
  <si>
    <t>Porch, Dog Run &amp;/or Invisible Fence, Brick Paver Patio, Storms/Screens</t>
  </si>
  <si>
    <t>Mary Kay Coleman, CRS,GRI</t>
  </si>
  <si>
    <t>(630) 262-4303</t>
  </si>
  <si>
    <t>Randall Rd to Big Timber - East to Todd Farm - Right to Countryside</t>
  </si>
  <si>
    <t>Century Oaks</t>
  </si>
  <si>
    <t>72 X 129</t>
  </si>
  <si>
    <t>Need a home that offers TONS of living and storage space?? Spacious Rec Rm &amp; Util Rm in bsmt + 2 tall crawls.  Upper level has 2 walk-in closets â€“ 1 w/access to attic storage.  HW flrs in all BRs -Owners Ste w/ full bath &amp; dbl closet.   Stone fireplace, dual patio drs, closet &amp; 1/2 bath in LL.  Newer  furnace,AC &amp; wtr htr.  Ext. kitchen w/butler pantry, newer cntrs/sink.   Minutes to I90, Sherman Hosp, Randall Rd etc</t>
  </si>
  <si>
    <t>CENTURY OAKS ELEMENTARY SCHOOL</t>
  </si>
  <si>
    <t>Eating Area-Table Space, Pantry-Butler</t>
  </si>
  <si>
    <t>Park/Playground, Curbs/Gutters, Sidewalks, Street Paved</t>
  </si>
  <si>
    <t>Oven/Range, Dishwasher, Refrigerator, Freezer, Washer, Dryer, Disposal</t>
  </si>
  <si>
    <t>Quad Level</t>
  </si>
  <si>
    <t>3% - $200 (on Net SP)</t>
  </si>
  <si>
    <t>Bobbi Shick</t>
  </si>
  <si>
    <t>(847) 507-1417</t>
  </si>
  <si>
    <t>Call SHOWING TIME 866-852-8313</t>
  </si>
  <si>
    <t>Please show all the space this home offers. Addl crawl located behind furnace-access left of Furnace behind Util Rm entry dr. Attic storage accessed from door to the right in walk-in clst in craft rm. Owner not filed for tax exemptions</t>
  </si>
  <si>
    <t>Oglesby</t>
  </si>
  <si>
    <t>Jeffrey Blvd(2000E) to 76th Street, East to Oglesby Ave, North to Home</t>
  </si>
  <si>
    <t>SOUTHSHORE</t>
  </si>
  <si>
    <t>77 X 126 (9,673 SQ FT)</t>
  </si>
  <si>
    <t>*Absolutely Amazing* Incredibly Renovated Home on a Huge Fenced Lot, 4 Bdrms &amp; 2 1/2 Baths, Spacious Open Floor Plan, Beautiful Hardwood Floors Thru-out 1st &amp; 2nd Levels, Spectacular Liv Rm has Designer W/B Fireplace &amp; Door Leading to Terrace, Custom Eat-In Kitchen w/Shaker Cabinets, Granite Counters &amp; SS Appliances, Large Master Bdrm w/Sitting Area &amp; Double Closets, Finishd Basmnt, Huge Deck &amp; Brick Paver Patio</t>
  </si>
  <si>
    <t>Whirlpool, Separate Shower, Full Body Spray Shower</t>
  </si>
  <si>
    <t>Deck, Eating Area, Foyer, Terrace</t>
  </si>
  <si>
    <t>Deck, Porch, Brick Paver Patio</t>
  </si>
  <si>
    <t>Terrace</t>
  </si>
  <si>
    <t>Roy Novak</t>
  </si>
  <si>
    <t>(708) 717-6767</t>
  </si>
  <si>
    <t>Use SHOWING ASSIST below</t>
  </si>
  <si>
    <t>EARNEST MONEY TO BE CERTIFIED FUNDS. EMAIL OFFERS TO TheRoyNovakTeam@gmail.com</t>
  </si>
  <si>
    <t>Birchwood</t>
  </si>
  <si>
    <t>HOWARD EAST OF MCCORMICK TO KEDZIE SOUTH TO BIRCHWOOD ,EAST TO HOME</t>
  </si>
  <si>
    <t>PRIME WEST ROGERS PARK,WALK TO MALL , LARGE LIVING RM/DIN RM "L". HARDWOOD FLOORS,NEW ROOF,NEWER AC AND FURNACE,CERAMIC TILED ,BRAND NEW KITCHEN WITH STAINLESS STEEL APPLIANCES,VERY OPEN FLOOR FLAN,NEW FINISH BASEMENT W A BEDROOM AND A BATH W WALK-IN CLOSET,PERFECT IN-LAW ARRANGEMENT . UPDATED BATH. SEPARATE LAUNDRY AREA. NEWER FURNACE.NEWLY PANTED AND NEW DOORS,MOVE IN CONDITION,PRICE TO SELL.EASY TO SHOW.</t>
  </si>
  <si>
    <t>ROGERS ELEMENTARY SCHOOL</t>
  </si>
  <si>
    <t>MATHER HIGH SCHOOL</t>
  </si>
  <si>
    <t>2.5%-$299 (on Net SP)</t>
  </si>
  <si>
    <t>Selective Realty Services Inc</t>
  </si>
  <si>
    <t>(847) 456-4059</t>
  </si>
  <si>
    <t>Farhan Siddique</t>
  </si>
  <si>
    <t>(847) 361-5803</t>
  </si>
  <si>
    <t>CLICK ON SHOWING ASST</t>
  </si>
  <si>
    <t>EASY TO SHOW 2 HOUR NOTICE.</t>
  </si>
  <si>
    <t>MCVICKER</t>
  </si>
  <si>
    <t>IRVING PARK TO MCVICKER NORTH TO 4122</t>
  </si>
  <si>
    <t>BEAUTIFULLY REMODELED,READY TO MOVE IN OVERSIZE BUNGALOW ON TREE-LINED STREET. WALK UP TO FULLY FINISHED 2ND FLOOR AND  30X20 REC RM IN FINISHED BASEMENT .KITCHEN STAINLESS STEEL APP.GRANITE COUNTER TOP ,  6X4 PANTRY &amp; OVERLOOKS LRG. 21X7 PORCH. ALL 3 FULL BATHROOMS BEING UPDATED. ALL NEW WINDOWS, NEW FURNACE,AC UNITE, NEW ELECTRIC AND PLUMBING, BACK-FLOW PREVENTION SEWER SYSTEM AND MANY MORE FEATURES</t>
  </si>
  <si>
    <t>Loft, Recreation Room, Other</t>
  </si>
  <si>
    <t>Vinyl Siding, Other</t>
  </si>
  <si>
    <t>17X9</t>
  </si>
  <si>
    <t>2% - $175 (on Net SP)</t>
  </si>
  <si>
    <t>Hometown Real Estate</t>
  </si>
  <si>
    <t>(773) 625-1121</t>
  </si>
  <si>
    <t>Stan Biel</t>
  </si>
  <si>
    <t>847-710-2220</t>
  </si>
  <si>
    <t>Please  email all offers with per-approval letter to listing agent. Seller is Licensed Realtor in Illinois.</t>
  </si>
  <si>
    <t>Cedarledge</t>
  </si>
  <si>
    <t>Randall to Longmeadow East to Sleepy Hollow South right on Grandview/Kimball</t>
  </si>
  <si>
    <t>65X152X142X111</t>
  </si>
  <si>
    <t>Exquisite 3800 SF 2 story upgraded to the max! Kitchen w/42" cherry cabs, corian cntrs &amp; sliders to large deck. Volume ceilings throughout the open floor plan. 2 story foyer &amp; family rm w/loads of windows. Main flr den-great potential for guest room w/full bath. Dream laundry rm. Master bedroom suite w/luxury bath. Full finished basement. Unbelievable home.</t>
  </si>
  <si>
    <t>WESTFIELD COMMUNITY SCHOOL</t>
  </si>
  <si>
    <t>Oven-Double, Dishwasher, Refrigerator, Disposal</t>
  </si>
  <si>
    <t>Den, Foyer, Mud Room, Recreation Room</t>
  </si>
  <si>
    <t>Vaulted/Cathedral Ceilings, 1st Floor Laundry, 1st Floor Full Bath</t>
  </si>
  <si>
    <t>30X15</t>
  </si>
  <si>
    <t>Freestanding bar in basement not included. Owners will also consider rent, lease purchase, creative financing, contract sale, etc....</t>
  </si>
  <si>
    <t>Lacy</t>
  </si>
  <si>
    <t>Lake street to Park Blvd. North to Lacy East to home</t>
  </si>
  <si>
    <t>Great opportunity to own this 4 bedroom 1 bath ranch home that features an open layout, 1 car attached garage, nice backyard and is just minutes from public transportation, expressways and shopping. Buyer is responsible for any village inspection issues, survey if required and taxes are prorated at 100%.</t>
  </si>
  <si>
    <t>Call showing desk at 888-362-3222</t>
  </si>
  <si>
    <t>Property sold as is, taxes prorated at 100%, buyer is responsible for any village inspection issues and survey. Email all offers to sschilaci@starckrealtors.com.</t>
  </si>
  <si>
    <t>Rt 34 (W of Orchard Rd) To American Way N To Grande Trail W to Burr St S to Home</t>
  </si>
  <si>
    <t>GRANDE RESERVE</t>
  </si>
  <si>
    <t>CORNELL</t>
  </si>
  <si>
    <t>75X156X85X172</t>
  </si>
  <si>
    <t>OVERSIZED LOT,LOW TAXES,NO SSA,OPEN FLOORPLAN,FAM ROOM W/GAS FIRPL OPEN TO KITCHEN W/LARGE ISLAND,42"CABS,SS APPLS,DBL OVEN,MASTER STE OFFERS 2 WALK/INS,DBL VANITY,SOAKING TUB,SEP SHOWER,ALL BEDS W/WALK IN CLOSETS,1ST FLR OFFICE/5TH BED,NEUTRAL DECOR,1367SQFT BSMT W/BATHROOM ROUGH IN,PAVER PATIO,OVERSIZED ATT GARAGE.POOL,CLUBHOUSE,PARK,ONSITE SCHOOL.$250 VISA GIFT CARD TO BUYER AT CLOSE WITH ACCEPTED OFFER BY 1/15/15</t>
  </si>
  <si>
    <t>GRANDE RESERVE ELEMENTARY SCHOOL</t>
  </si>
  <si>
    <t>YORKVI</t>
  </si>
  <si>
    <t>Clubhouse, Park/Playground, Pool, Pond/Lake, Curbs/Gutters, Sidewalks</t>
  </si>
  <si>
    <t>TV-Dish, Ceiling Fan</t>
  </si>
  <si>
    <t>(630) 964-1855</t>
  </si>
  <si>
    <t>Laura Weidner, ABR</t>
  </si>
  <si>
    <t>(708) 288-2894</t>
  </si>
  <si>
    <t>Call 855-746-9100, MUST CONFIRM</t>
  </si>
  <si>
    <t>NEI GLOBAL RELOCATION</t>
  </si>
  <si>
    <t>RELO ADDENDUMS APPLY. LIST SELLER AS NEI GLOBAL RELOCATION, $26,000 SSA WAS PAID IN FULL IN 2008-OTHER HOMES PAYING SSA UNTIL 2034.WALK TO CLUBHSE&amp;PARK.NEUTRAL DECOR, ALL APPL INCLD,SAMSUNG FRONT LOAD W/D,EXTRA SPACE IN GARAGE FOR STORAGE</t>
  </si>
  <si>
    <t>Port Barrington</t>
  </si>
  <si>
    <t>176 to Reoberts Rd E to center W to North Circle</t>
  </si>
  <si>
    <t>FOX RIVER VALLEY GARDENS</t>
  </si>
  <si>
    <t>PORT BARRINGTON</t>
  </si>
  <si>
    <t>Mc Henry</t>
  </si>
  <si>
    <t>ALGONQUIN</t>
  </si>
  <si>
    <t>30X130</t>
  </si>
  <si>
    <t>Freshly painted beautiful home near the Fox River. Home features updated kitchen &amp; hardwood floors. Shed in backyard. Close to Community Boat Launch along with good fishing across the street. This is a Fannie Mae Homepath Property.  **OFFER HAS BEEN VERBALLY ACCEPTED**</t>
  </si>
  <si>
    <t>AMR Properties INC</t>
  </si>
  <si>
    <t>(847) 975-1514</t>
  </si>
  <si>
    <t>Mary Schorr</t>
  </si>
  <si>
    <t>call listing agent at 847-975-1514</t>
  </si>
  <si>
    <t>$1000 agent bonus, offers to be made at homepath, cash offers require 10%em,bonus needs to be entered with offer  ***OFFER HAS BEEN VERBALLY ACCEPTED**</t>
  </si>
  <si>
    <t>Canyon</t>
  </si>
  <si>
    <t>McLean or Randall to Royal to Valley Creek (S) to Canyon (W) to PIQ</t>
  </si>
  <si>
    <t>VALLEY CREEK</t>
  </si>
  <si>
    <t>BLACKHAWK</t>
  </si>
  <si>
    <t>106 X 77</t>
  </si>
  <si>
    <t>Lovely 4 bed, 2 1/2 bath home in popular Valley Creek.  Great location within walking distance to the elementary school.  Large bedroom sizes.  Master Bedroom with walk-in closet and private Master Bath.  Kitchen with hardwood and newer appliances.  Sit by the fire in the Family Room.  SGD leads to large deck in the back!  COME TODAY!</t>
  </si>
  <si>
    <t>Humidifier, TV-Cable, TV-Dish, TV Antenna, Ceiling Fan, Sump Pump</t>
  </si>
  <si>
    <t>Amy Foote, ABR,GRI,SFR</t>
  </si>
  <si>
    <t>(847) 602-9979</t>
  </si>
  <si>
    <t>CC: Pursuant to Short Sale. Any reduction on commission will be split 50/50.  As-Is.  Bank may not approve survey or CC credit.  Agent in direct contact with lender.</t>
  </si>
  <si>
    <t>90th</t>
  </si>
  <si>
    <t>90th south and Jeffery  than two blocks E to 2151</t>
  </si>
  <si>
    <t>BEAUTIFUL REHABBED 4BDR RAISED RANCH* GORGEOUS NEW KITCHEN W/ CHERRY CABINETS* GRANITE COUNTER TOPS* GLASS BACKSPLASH* SS APPLIANCES PACKAGE* OPEN LIVING ROOM W/DECORATIVE CEILINGS AND WALL PANELING*GLEAMING HARDWOOD FLOORS* ELEGANT BATHS W/CUSTOM STONE AND CERAMIC DESIGNS* DOUBLE SINK AND BODY SPRAY* FULLY FINISHED BSM W/FAMILY ROOM* ADDITIONAL ROOM &amp; LAUNDRY*  BRAND NEW GARAGE*NEW ROOF....</t>
  </si>
  <si>
    <t>Skylight(s), Hardwood Floors, 1st Floor Bedroom, 1st Floor Full Bath</t>
  </si>
  <si>
    <t>Classic Realty Group, Inc.</t>
  </si>
  <si>
    <t>(708) 645-8500</t>
  </si>
  <si>
    <t>Kathy Paluch</t>
  </si>
  <si>
    <t>(708) 220-3807</t>
  </si>
  <si>
    <t>CALL LISTING OFFICE AFTER HOUTS L.A.</t>
  </si>
  <si>
    <t>EARNEST MONEY CERTIFIED FUNDS ONLY PAYABLE TO CLASSIC REALTY*  AC WIIL BE INSTALLED  PRIOR CLOSING*</t>
  </si>
  <si>
    <t>Williams</t>
  </si>
  <si>
    <t>S Tyler to Ronzheimer to Williams</t>
  </si>
  <si>
    <t>CAMBRIDGE EAST</t>
  </si>
  <si>
    <t>DUNBRIDGE</t>
  </si>
  <si>
    <t>7185SF</t>
  </si>
  <si>
    <t>Classic Cambridge East 2 story on a tree lined street within an easy walk of Fox Ridge Elementary. New in 2014: AC, wood laminate flooring &amp; master bath shower door. Recent upgrades include the brick paver patio, brick walk, front porch, driveway &amp; refrigerator. 4 bedrooms up, 2.5 baths, fireplace in the family room. Large screened porch. Back yard fenced &amp; full of perennials. Gas log fireplace in the family room</t>
  </si>
  <si>
    <t>Water-Softener Owned, CO Detectors</t>
  </si>
  <si>
    <t>Porch Screened, Brick Paver Patio</t>
  </si>
  <si>
    <t>2.5% - $150.00 (on Net SP)</t>
  </si>
  <si>
    <t>Chris Hansen</t>
  </si>
  <si>
    <t>(630) 262-6543</t>
  </si>
  <si>
    <t>630-674-5565</t>
  </si>
  <si>
    <t>CADDY</t>
  </si>
  <si>
    <t>RTE 25+HAZARD RD E TO CADDY AVE TO #</t>
  </si>
  <si>
    <t>GOLF VIEW HIGHLANDS</t>
  </si>
  <si>
    <t>70X110</t>
  </si>
  <si>
    <t>Partial, English</t>
  </si>
  <si>
    <t>NOT A SHORT SALE***NOT A FORECLOSURE**NEW KITCHEN**NEW BATHROOMS**NEW STAINLESS APPLIANCES**NEW HARDWOOD FLOORS**NEW TILE**NEW  WINDOWS**FINISHED BASEMENT WITH FULL BATH**FRESHLY PAINTED**NEW GARAGE DOOR AND REMOTE OPENER**NOTHING TO DO***READY TO MOVE IN**</t>
  </si>
  <si>
    <t>2.5% -395 (on Net SP)</t>
  </si>
  <si>
    <t>RE/MAX Countryside</t>
  </si>
  <si>
    <t>(847) 934-6600</t>
  </si>
  <si>
    <t>Enrique Aguilar, SFR</t>
  </si>
  <si>
    <t>(847) 293-0501</t>
  </si>
  <si>
    <t>847-293-0501</t>
  </si>
  <si>
    <t>Easy to show</t>
  </si>
  <si>
    <t>DAMEN</t>
  </si>
  <si>
    <t>LONGWOOD TO 100TH STREET, SOUTH TO 10044</t>
  </si>
  <si>
    <t>75 X 135</t>
  </si>
  <si>
    <t>THIS GRACIOUS 4 BEDROOM CENTER ENTRANCE BRICK COLONIAL IN PRIME BEVERLY LOCATION, FEATURES LOVELY L.R. WITH FIREPLACE, LARGE FORMAL D.R., COMPLETELY RENOVATED KITCHEN  WITH CHERRY CABINETS, GRANITE COUNTER TOPS, CENTER ISLAND, STAINLESS APPLIANCES, MASTER BEDROOM WITH MASTER BATH, 3 1/2 BATHS, LARGE FABULOUS SCREENED PORCH, WONDERFUL OUTSIDE SPACE.  COME SEE THIS LOVELY HOME.  PRE-APPROVED BUYERS ONLY.</t>
  </si>
  <si>
    <t>TV Antenna, Ceiling Fan</t>
  </si>
  <si>
    <t>Foyer, Recreation Room, Screened Porch, Sun/Florida Room</t>
  </si>
  <si>
    <t>Kathleen Morgan</t>
  </si>
  <si>
    <t>(773) 238-0700</t>
  </si>
  <si>
    <t>Call listing office during reg business hrs 7732334700 after call 3129521159 or 3124977975</t>
  </si>
  <si>
    <t>CC: Pursuant to Short Sale. Freshly painted first floor exterior. Outside bar and pool (2009). New furnace (2010)</t>
  </si>
  <si>
    <t>Pineridge</t>
  </si>
  <si>
    <t>Mill Rd W of Orchard to Heatherwood L to Pine Ridge dr Corner Lot</t>
  </si>
  <si>
    <t>Gates Creek West</t>
  </si>
  <si>
    <t>86X125</t>
  </si>
  <si>
    <t>BEAUTIFUL HOME IN GATES CREEK STUNNING ENTRY WAY WITH WIC CUSTOM OAK STAIRCASE WITH HAND MADE RAILINGS LRG FAM RM WITH BRICK FIREPLACE &amp; HIGH CEILINGS THIS IS THE HOME YOU HAVE BEEN WAITING FOR HARDWOOD FLOORS THRU/OUT LARGE RMS BEAUTIFUL CROWN MOLDING DBL OVEN/RECESSED LGHTING IN KIT PERFECT FLOW TO THIS HOME 4 LRG BDRMS MASTER HAS COFFERED CEILING &amp; HUGE M/BTH W/SUNK IN WHIRLPOOL TUB &amp; SEP SHWR ABSOLUTELY ELEGANT!</t>
  </si>
  <si>
    <t>Humidifier, TV-Cable, Ceiling Fan, Sump Pump</t>
  </si>
  <si>
    <t>Breakfast Room, Foyer, Office</t>
  </si>
  <si>
    <t>KETTLEY and Company, REALTORS</t>
  </si>
  <si>
    <t>(630) 553-5060</t>
  </si>
  <si>
    <t>Carla Hill, CNC,CRS,CSC,GRI,SFR</t>
  </si>
  <si>
    <t>(630) 558-1729</t>
  </si>
  <si>
    <t>Call LO OR EITHER LISTING AGENT 2 HOUR NOTICE PREFERED BUT OWNER IS FLEXIBLE</t>
  </si>
  <si>
    <t>Laura Flotkoetter</t>
  </si>
  <si>
    <t>Regular Sale, Great Home!</t>
  </si>
  <si>
    <t>Touhy W of Harlem to Olcott (7600) Go North To Home.</t>
  </si>
  <si>
    <t>125X36</t>
  </si>
  <si>
    <t>Impressive Custom built in 2005, this home sits on a corner lot in Edison Pk, close to school, parks, shops &amp; trans.Beautiful kit. w/cherry cabs&amp;granite cntrs, isle&amp; brkfst bar,SS appl. Eating area opens to lrg Fam Rm w/FP. Formal DR.Mstr BR Suite+Jr. Suite w/Jacuzzis&amp;walk-in clsts. Bsmnt is fully fin w/half bath&amp;F/P. Privacy fenced yrd. Att. 2c gar. Freshly painted, new carpet &amp; gleaming floors. A pleasure to show.</t>
  </si>
  <si>
    <t>39X22</t>
  </si>
  <si>
    <t>Den, Office</t>
  </si>
  <si>
    <t>2.0% (on Net SP)</t>
  </si>
  <si>
    <t>PNC Bank</t>
  </si>
  <si>
    <t>ALL OFFERS MUST BE SUBMITTED BY THE BUYERS AGENT VIA OFFERSUBMISSION.COM  ID# [986003]. BUYER PAYS $300 FEE AT CLOSING. NO PAPERWORK REQUIRED UNTIL OFFER ACCEPTED THROUGH WWW.OFFERSUBMISSION.COM.</t>
  </si>
  <si>
    <t>Furlong</t>
  </si>
  <si>
    <t>34 (W) to Fifth St. (S).  Take Yoakum blvd (E) to Bluegrass Pkway (S). Furlong is the first left.</t>
  </si>
  <si>
    <t>CHURCHILL CLUB</t>
  </si>
  <si>
    <t>MAJESTIC PRINCE</t>
  </si>
  <si>
    <t>69X146X72X7X144</t>
  </si>
  <si>
    <t>Sought after Churchill Club! Spacious 3303 sf home w/4 BR, 2.5 BA, 1st floor office &amp; HUGE Bonus Rm~Open floor plan &amp; 9ft ceilings~PREMIUM OVERSIZED LOT-backs to field &amp; fronts park-peaceful! Upgraded kitchen has 42" cabs w/crown molding &amp; center island~Fresh paint &amp; white trim throughout~NEW carpet in FR~Awesome Clubhouse w/Pools-Tennis-Volleyball-Fitness-Business Center! Walk to on-site 308 Grade &amp; Jr. High schls!</t>
  </si>
  <si>
    <t>BROKAW EARLY LEARNING CENTER</t>
  </si>
  <si>
    <t>Laura Bruno, CRS,GRI</t>
  </si>
  <si>
    <t>(630) 718-7513</t>
  </si>
  <si>
    <t>(efax) 323-316-2402</t>
  </si>
  <si>
    <t>2 HR NOTICE ~ CALL B&amp;W SHOWING DESK 855-746-9100</t>
  </si>
  <si>
    <t>Click Add'l info for full list of upgrades and features</t>
  </si>
  <si>
    <t>JEANETTE</t>
  </si>
  <si>
    <t>SOUTH TYLER TO JEANETTE EAST TO 1810 ON THE LEFT</t>
  </si>
  <si>
    <t>72 X 102</t>
  </si>
  <si>
    <t>Come see why Family Circle magazine rated this town the #1 city in America to live. Maple cabinets and Corian counters in the kitchen. Fresh, professional paint inside and out. New since 2012 include windows, a concrete driveway, maintenance free aluminum fence and HWH. Beautifully landscaped with an awesome flagstone patio off the elevated deck. Nationally recognized parks and schools. Quick close possible!</t>
  </si>
  <si>
    <t>Fenced Yard, Landscaped Professionally, Rear of Lot</t>
  </si>
  <si>
    <t>Humidifier, Water-Softener Owned, Ceiling Fan, Fan-Attic Exhaust, Sump Pump</t>
  </si>
  <si>
    <t>2.25% - $150 (on Net SP)</t>
  </si>
  <si>
    <t>(630) 584-7000</t>
  </si>
  <si>
    <t>Dan Rushton</t>
  </si>
  <si>
    <t>(630) 965-7030</t>
  </si>
  <si>
    <t>Use Showing Assist - 3 Hour Notice! Dog.</t>
  </si>
  <si>
    <t>If your clients want move in ready, this is it! Quick closing available!</t>
  </si>
  <si>
    <t>79TH ST TO EUCLID SOUTH TO PROPERTY</t>
  </si>
  <si>
    <t>This beautiful, recently rehabbed 4 bedroom, 2 bathroom brick bungalow is overflowing with special features and brand new additions. The luxurious kitchen boasts stainless steel appliances, granite counters and upgraded cabinets. The first floor offers gleaming hardwood floors throughout, and the basement is completely finished. With a 2-car garage and a great price, it's a must-see!</t>
  </si>
  <si>
    <t>Corner of DeKalb Avenue/Route 23 and Fox</t>
  </si>
  <si>
    <t>150+ X 258.75+</t>
  </si>
  <si>
    <t>RENOVATOR'S DREAM-approx 1 acre park-like setting in Sycamore! 3-story, 4b/2.1 ba Victorian home w/wrap-around porch &amp; beautiful features! 2 Italian marble fireplaces hand-carved in France, hw floors, leaded glass windows, 10' ornate ceilings, woodwork &amp; built-in cabinetry, foyer w/open stairway &amp; gorgeous wooden bannister! 2 staircases! Wonderful location close to schools, shopping, restaurants &amp; more! $100,000/OBO!</t>
  </si>
  <si>
    <t>Attic, Den, Foyer, Office, Sewing Room</t>
  </si>
  <si>
    <t>Porch, Porch Screened, Storage Shed, Storms/Screens</t>
  </si>
  <si>
    <t>Sewing Room</t>
  </si>
  <si>
    <t>25X30</t>
  </si>
  <si>
    <t>17X7</t>
  </si>
  <si>
    <t>Kathleen Hammes</t>
  </si>
  <si>
    <t>(815) 761-1024</t>
  </si>
  <si>
    <t>Call LA for showings</t>
  </si>
  <si>
    <t>Both</t>
  </si>
  <si>
    <t>As Is Newer sewer service, back cement steps, heated ceiling fans on main level. This would be a wonderful family home w/TLC!! Please call LA to schedule showings, 2-4 hours notice preferred. Sellers are MOTIVATED! OBO-All offers welcome!</t>
  </si>
  <si>
    <t>Oxbow</t>
  </si>
  <si>
    <t>Main St (E) of Northwest Highway to Valley (N) to Lake Shore (N) to Oxbow Lane (N) to PIQ</t>
  </si>
  <si>
    <t>FOX POINT</t>
  </si>
  <si>
    <t>99X196X98X194</t>
  </si>
  <si>
    <t>Completely renovated home that backs to Cuba Marsh Conservation Area in beautiful Fox Point subdivision.  Kitchen has french doors to screened in porch and patio. Master has both a walk in shower and whirlpool bath, private porch and large walk in closet.  All new appliances, including washer and dryer. PLEASE NOTE: Basement is  one room suitable to storage, playroom, or workout space.</t>
  </si>
  <si>
    <t>Hardwood Floors, 1st Floor Laundry, 2nd Floor Laundry</t>
  </si>
  <si>
    <t>Balcony, Deck, Patio, Porch, Porch Screened</t>
  </si>
  <si>
    <t>6X14</t>
  </si>
  <si>
    <t>2.5 % -$275 ON NET SP (on Net SP)</t>
  </si>
  <si>
    <t>Laughlin Properties LLC</t>
  </si>
  <si>
    <t>(847) 550-0330</t>
  </si>
  <si>
    <t>Adrienne L Virgilio</t>
  </si>
  <si>
    <t>Vacant.  No approval required.</t>
  </si>
  <si>
    <t>Beautiful move in ready home. PLEASE NOTE: This is a 2550 sq ft home with a one room basement suitable for storage, playroom or workout room.  One year home warranty.  email offers to avirgilio@vbcash4homes.com. Property is Agent Owned</t>
  </si>
  <si>
    <t>millard</t>
  </si>
  <si>
    <t>111  th to Millard which is 3632 West. North to address</t>
  </si>
  <si>
    <t>38 X 132</t>
  </si>
  <si>
    <t>Beautiful Mt Greenwood Cape Cod!! A must see. Nothing to do but move in. Four Bedrooms with 3 baths one on each level. Tons of updates.. Kitchen, Appliances, Countertops, Windows, High Efficency furnace, New roof (2014) for home and the OVERSIZED Garage (26 X 24) with loft storage, Basment remodeled in 2011. oversized private lot with large above ground pool for entertaining.  MOTIVATED SELLER, MAKE OFFER!!</t>
  </si>
  <si>
    <t>MOUNT GREENWOOD ELEMENTARY SCHOOL</t>
  </si>
  <si>
    <t>MORGAN PARK HIGH SCHOOL</t>
  </si>
  <si>
    <t>19X28</t>
  </si>
  <si>
    <t>Humidifier, TV-Cable, Ceiling Fan</t>
  </si>
  <si>
    <t>Deck, Patio, Storage Shed, Pool Above Ground</t>
  </si>
  <si>
    <t>Stapleton Brothers Realty</t>
  </si>
  <si>
    <t>(773) 429-1152</t>
  </si>
  <si>
    <t>Scott Stapleton</t>
  </si>
  <si>
    <t>(708) 359-5955</t>
  </si>
  <si>
    <t>Call Scott (708) 359-5955</t>
  </si>
  <si>
    <t>Garage has 220 circuits. heated pool with new liner. Six foot cedar privacy fence. New front porch</t>
  </si>
  <si>
    <t>William</t>
  </si>
  <si>
    <t>Rt. 64 North on Peace Rd to Freed East on Freed to William</t>
  </si>
  <si>
    <t>80X124</t>
  </si>
  <si>
    <t>MOVE IN CONDITION HOME FEATURING SUNROOM WITH HEATED CERAMIC TILE FLOOR &amp; VAULTED CEILING! Family Room Showcases Brick Wood Burn Fireplace. Formal Dining &amp; Living Room. Convenient 1st Flr Ldy .Finished Basement Offers A 3rd Full Bath &amp; 25'x13' Entertainment Room w/2nd Fireplace. Newer 30 yr Roof, Furnace, C/A Unit &amp; Brick Paver Patio. Backyard Is Fenced, Deck &amp; Above Ground Pool--Sycamore Neighborhood W/School &amp; Park</t>
  </si>
  <si>
    <t>Humidifier, Water-Softener Owned, Central Vacuum, TV-Dish, CO Detectors, Ceiling Fan, Sump Pump</t>
  </si>
  <si>
    <t>Eating Area, Great Room, Sun/Florida Room Heated, Workroom</t>
  </si>
  <si>
    <t>Vaulted/Cathedral Ceilings, Wood Laminate Floors, Heated Floors, 1st Floor Laundry</t>
  </si>
  <si>
    <t>Deck, Porch, Storage Shed, Brick Paver Patio, Pool Above Ground, Storms/Screens</t>
  </si>
  <si>
    <t>Side Apron, Driveway</t>
  </si>
  <si>
    <t>RE/MAX Experience</t>
  </si>
  <si>
    <t>(815) 895-8900</t>
  </si>
  <si>
    <t>Rorry Heide, ABR,GRI</t>
  </si>
  <si>
    <t>(815) 751-4171</t>
  </si>
  <si>
    <t>Please Call Listing Agent For All Showings - Must Confirm - Occupied!</t>
  </si>
  <si>
    <t>Fritz</t>
  </si>
  <si>
    <t>Newer Roof, Furnace, C/A &amp; Backyard Brick Paver Patio. Wonderful Layout &amp; Space. Finished Basement Offer Additional Living Space And A Second Fireplace! Enjoy Days &amp; Evenings In The All Year Around Sunroom Over Looking The Yard!</t>
  </si>
  <si>
    <t>49th</t>
  </si>
  <si>
    <t>East of Halsted Street</t>
  </si>
  <si>
    <t>3000 SQFT</t>
  </si>
  <si>
    <t>1st Owner of a Gorgeous &amp; Extremely Well Maintained Home, Built in 2004 with Huge Formal Dining Room, Master Bedroom with Full Size Bath, Hardwood Floors Thruout Main Level, Central Heating/Cooling, Sump Pump Replaced in 2012, Water Heater Replaced in 2013, A/C Replaced in 2011, Garbage Disposal Installed in 2010, and Big Wooden Back Deck. Too Much to List, Bring Your Buyers to See for Themselves.</t>
  </si>
  <si>
    <t>2% - $150 (on Net SP)</t>
  </si>
  <si>
    <t>Carmen Zhen</t>
  </si>
  <si>
    <t>24 hr Notice, Call or Text Carmen at (312)804-2883</t>
  </si>
  <si>
    <t>Owner or Record</t>
  </si>
  <si>
    <t>Renovation Loan</t>
  </si>
  <si>
    <t>Monticello</t>
  </si>
  <si>
    <t>Irving Park to Monticello (Irving and Elston) south to address</t>
  </si>
  <si>
    <t>50X50X20X125</t>
  </si>
  <si>
    <t>GREAT BONES IN GREAT NEIGHBORHOOD!  LARGE BRICK SINGLE FAMILY ON CORNER LOT WITH SIDE YARD (IRREGULAR) WAITING FOR YOUR IDEAS.  LARGE FOOTPRINT WITH DOUBLE PARLOR AND LARGE DINING ROOM, 4 FULL BEDROOMS UP AND UNFINISHED BASEMENT WITH GOOD CEILING HEIGHT READY TO UTILIZE.  ONE CAR GARAGE.  PROPERTY OWNED BY NEIGHBORING CHURCH WITH EXEMPT TAX STATUS.  SOLD AS IS.  MOTIVATED AND QUICK CLOSE POSSIBLE</t>
  </si>
  <si>
    <t>MURPHY ELEMENTARY SCHOOL</t>
  </si>
  <si>
    <t>Corner, Fenced Yard, Irregular</t>
  </si>
  <si>
    <t>Connie Engel</t>
  </si>
  <si>
    <t>(773) 251-3837</t>
  </si>
  <si>
    <t>Vacant.  Call Centralized Showings Only  877-977-1010.  Email agent if you need a one day code.</t>
  </si>
  <si>
    <t>Great opportunity!</t>
  </si>
  <si>
    <t>Randall 2 W on Silver Glen 2 N on Thornwood 2 W on West Thornwood Drive</t>
  </si>
  <si>
    <t>74 X 125 X 89 X 170</t>
  </si>
  <si>
    <t>Motivated &amp; ready for offer! St. Charles Schools! Lovingly rehabbed, but  transferred! New gourmet Kit w/antique white cabinetry, granite, SS appls, &amp; custom island. New: white trim, refin HW flrs, powder rm, laundry, bsmt carpet, interior painted, water heater, &amp; stairway trim. Nine ft ceilings &amp; HW 1st flr, vltd FR w/FP, &amp; den. Fin bsmt w/theatre rm, rec, &amp; exercise rm. Walking distance to pool/clubhse. Shows well!</t>
  </si>
  <si>
    <t>Oven-Double, Microwave, Dishwasher, Refrigerator, Disposal, All Stainless Steel Kitchen Appliances</t>
  </si>
  <si>
    <t>Den, Exercise Room, Game Room, Theatre Room</t>
  </si>
  <si>
    <t>Lynn Purcell</t>
  </si>
  <si>
    <t>(630) 380-6427</t>
  </si>
  <si>
    <t>Call 855-746-9100 / Easy to show</t>
  </si>
  <si>
    <t>Home is impeccable! Updated and rehabbed to perfection...Nice finished basement w/new carpeting. Trendy gourmet kitchen...Can walk to pool and clubhouse...No home sale contingencies/relocation forms.  Please use 6.0 contract.</t>
  </si>
  <si>
    <t>Route 64 West of River to 5th Street South to Home</t>
  </si>
  <si>
    <t>55X107X78X132</t>
  </si>
  <si>
    <t>Incredible custom Craftsman home. Ideal in-town location &amp; wonderful neighborhood. Over 200K invested to create a luxury, state of the art home inside &amp; out. Dream chef's kitchen, spa-like master bath, gorgeous loft w/custom built-ins, professionally landscaped outdoor haven w/irrigation/lighting/speakers, antique paver driveway/patio, high-end garage finishes/storage. Please see more on list of features/enhancements</t>
  </si>
  <si>
    <t>Oven-Double, Oven/Range, Microwave, Dishwasher, Refrigerator, Washer, Dryer, Disposal, All Stainless Steel Kitchen Appliances, Wine Cooler/Refrigerator</t>
  </si>
  <si>
    <t>400 Amp Service or Greater</t>
  </si>
  <si>
    <t>Humidifier, Water-Softener Owned, Security System, CO Detectors, Ceiling Fan, Sump Pump, Sprinkler-Lawn, Air Cleaner, Air Exchanger, Backup Sump Pump</t>
  </si>
  <si>
    <t>Breakfast Room, Foyer, Loft, Mud Room, Recreation Room</t>
  </si>
  <si>
    <t>Vaulted/Cathedral Ceilings, Bar-Dry, Hardwood Floors, 2nd Floor Laundry</t>
  </si>
  <si>
    <t>Deck, Patio, Brick Paver Patio, Grill-Outdoors</t>
  </si>
  <si>
    <t>35X36</t>
  </si>
  <si>
    <t>Michele Blask</t>
  </si>
  <si>
    <t>(312) 961-6689</t>
  </si>
  <si>
    <t>Call ShowingTime 800.746.9464.  24 hr Notice. Please do not park in neighbors drive north of house</t>
  </si>
  <si>
    <t>Please see Features/Enhancements document under Additional Information section. Aside from obvious luxury details throughout, incredible infrastructure systems and exterior enhancements. No detail overlooked in this amazing home!</t>
  </si>
  <si>
    <t>Ridgeway</t>
  </si>
  <si>
    <t>Montrose East of Pulaski, South on Ridgeway (one way) to address.</t>
  </si>
  <si>
    <t>Contemporary new construction SFH. Light-flooded main level offers generous living space w/modern details &amp; designer finishes throughout. Custom kitchen features Bosch appliances, quartz counters &amp; pantry. Spacious family rm opens to back deck. 3 beds, 2 baths &amp; large laundry on upper level. Fully finished lower level w/rec room, 4th bed &amp; full bath. Wired for sound. Easy walk to Independence Park &amp; train.</t>
  </si>
  <si>
    <t>PATRICK HENRY ELEMENTARY SCHOOL</t>
  </si>
  <si>
    <t>Jason: jobeirne@jamesonsir.com or (773)368-3421</t>
  </si>
  <si>
    <t>HARLEM TO SCHUBERT EAST TO MONTCLARE NORTH TO PROPERTY</t>
  </si>
  <si>
    <t>2 STORY</t>
  </si>
  <si>
    <t>Absolutely Stunning Newer Construction(2007). 2400 SF, 4 Bed, 3 1/2 Bath. Hardwood floors on 1st and 2nd floors.Brand new carpet in lower level.New Custom Master Bath with over sized shower with body spray and large rain shower head.Newer cherry stained maple cabinets , granite tops and Stainless appliances.New landscaping. Newer Hi efficiency dual zone furnace. Awesome home, you will not be disappointed.</t>
  </si>
  <si>
    <t>Oven/Range, Microwave, Refrigerator, Washer, Dryer, All Stainless Steel Kitchen Appliances</t>
  </si>
  <si>
    <t>Re/Max 1st</t>
  </si>
  <si>
    <t>(630) 333-1500</t>
  </si>
  <si>
    <t>Edward Kress</t>
  </si>
  <si>
    <t>(630) 333-4222</t>
  </si>
  <si>
    <t>call Listing office to show 630-333-1500</t>
  </si>
  <si>
    <t>Your buyer will not be disappointed. Owner is related to Listing Agent</t>
  </si>
  <si>
    <t>Madison</t>
  </si>
  <si>
    <t>Rte 64 to 7th Ave(S) to Madison(E)</t>
  </si>
  <si>
    <t>Cambridge</t>
  </si>
  <si>
    <t>63X115X66X125</t>
  </si>
  <si>
    <t>Sharp 4 bedroom Colonial, move-in condition! New carpet &amp; paint, updated baths &amp; fixtures... Newer: windows, furnace &amp; a/c!! Kitchen w/solid surface counters &amp; refaced cabinets... Family room w/fireplace &amp; built-ins opens to covered deck w/vaulted ceiling! Nicely finished basement... Popular neighborhood--Walk to grade school &amp; parks! Close to downtown!!</t>
  </si>
  <si>
    <t>MUNHALL ELEMENTARY SCHOOL</t>
  </si>
  <si>
    <t>Humidifier, CO Detectors, Ceiling Fan, Sump Pump, Backup Sump Pump</t>
  </si>
  <si>
    <t>BYRON</t>
  </si>
  <si>
    <t>LARAMIE TO BYRON S TO PROPERTY.</t>
  </si>
  <si>
    <t>30X122.93</t>
  </si>
  <si>
    <t>GUT REHAB ALL WORK DONE WITH PLANS AND PERMITS OPEN CONCEPT LAYOUT,4 BEDROOMS,3 BATHS, NEW ELECTRICY W/200AMPS,NEW PLUMBING,2 NEW FURNACES,2 A/C,UNITS,NEW WINDOWS, NEW ROOF,NEW SIDDING,NEW DECK,HOT WATER TANK,42" ESPRESSO CABINETS W/GRANITE COUNTERS W/ ISLAND, MASTER BEDROOM W/ON SUITE WHIRPOOL WITH DOUBLE SINK, CLOSE DISTANCE TO EXPRESWAY AND 6 CORNERS</t>
  </si>
  <si>
    <t>Oven/Range, Microwave, Dishwasher, Refrigerator, High End Refrigerator, Washer, Dryer, Disposal, All Stainless Steel Kitchen Appliances</t>
  </si>
  <si>
    <t>Whirlpool, Double Sink, Soaking Tub</t>
  </si>
  <si>
    <t>Hardwood Floors, 2nd Floor Laundry, 1st Floor Full Bath</t>
  </si>
  <si>
    <t>5X10</t>
  </si>
  <si>
    <t>CVN Realty LLC</t>
  </si>
  <si>
    <t>(773) 227-1200</t>
  </si>
  <si>
    <t>Leoncio Macias</t>
  </si>
  <si>
    <t>(773) 865-3717</t>
  </si>
  <si>
    <t>Pleasew call leo at 773-865-3717</t>
  </si>
  <si>
    <t>Liberty</t>
  </si>
  <si>
    <t>Keslinger East of 47 to Liberty</t>
  </si>
  <si>
    <t>86 X132X87X67</t>
  </si>
  <si>
    <t>Fannie Mae Homepath Property!  Large two story home on corner lot with lots of extras: Crown molding, Custom woodwork, Brick patio, Full finished English basement and much more!  Home is located right on bike bath leading to neighborhood elementary school and parks.  Pre-approval or proof of funds required on all offers.  See attached docs prior to submitting an offer on Homepath.</t>
  </si>
  <si>
    <t>18X29</t>
  </si>
  <si>
    <t>Electric, Gas Starter</t>
  </si>
  <si>
    <t>Capital Asset Group REO Team</t>
  </si>
  <si>
    <t>Call Centralized showings 877-977-1010</t>
  </si>
  <si>
    <t>Woodland</t>
  </si>
  <si>
    <t>Batavia Ave(Rt31) south of Main to Merlo Dr, east to Woodland Ave., south to 1104</t>
  </si>
  <si>
    <t>113X406</t>
  </si>
  <si>
    <t>SOLD DURING PROCESSING!</t>
  </si>
  <si>
    <t>ALICE GUSTAFSON ELEMENTARY SCHOOL</t>
  </si>
  <si>
    <t>30X14</t>
  </si>
  <si>
    <t>River Front, Wooded</t>
  </si>
  <si>
    <t>Separate, L-shaped</t>
  </si>
  <si>
    <t>Humidifier, Water-Softener Owned, CO Detectors</t>
  </si>
  <si>
    <t>Storage Shed, Brick Paver Patio, Storms/Screens, Breezeway</t>
  </si>
  <si>
    <t>Kathleen Abernathy, GRI</t>
  </si>
  <si>
    <t>(630) 262-7131</t>
  </si>
  <si>
    <t>630-779-1296</t>
  </si>
  <si>
    <t>no more showings  no more showings</t>
  </si>
  <si>
    <t>39w572</t>
  </si>
  <si>
    <t>Hyde Park</t>
  </si>
  <si>
    <t>Main St to Mill Creek to Hyde Park to home</t>
  </si>
  <si>
    <t>Turn key condition. new roof, new paint &amp; carpet throughout, Hardwood floors re-finished, new appliances basement has rough in for additional bathroom nothing to do but move in and enjoy. See attachment for PAS requirements and WFHM offer submittal information in MLS document section</t>
  </si>
  <si>
    <t>13X21</t>
  </si>
  <si>
    <t>18X20</t>
  </si>
  <si>
    <t>Click on schedule a showing link download owner cert and offer instructions</t>
  </si>
  <si>
    <t>Sold AS IS tax pro ration 100% EM held by sellers attorney Offer must include pre approval from Wells Fargo free  prequalification at www.wellsfargo.com or proof of funds for cash offer must state buyer type on offer</t>
  </si>
  <si>
    <t>Stacy</t>
  </si>
  <si>
    <t>Ogden(34) W to US 30 W to Lakewood Creek L to Stacy L</t>
  </si>
  <si>
    <t>LAKEWOOD CREEK</t>
  </si>
  <si>
    <t>60X130X61X130</t>
  </si>
  <si>
    <t>Great Location! Great Price! Quick close possible. Well maintained 4 bed, 2 1/2 bath. Large diningroom, perfect for the family celebrations, open livingroom w/ bay window, familyroom  &amp; kitchen are perfect for entertaining or enjoy the paver patio in the large fenced yard.  4 Bedroom up, master w/ WIC and bath w/double bowl. seperate. shower. Regular sale.</t>
  </si>
  <si>
    <t>RE/MAX Action</t>
  </si>
  <si>
    <t>(630) 968-2600</t>
  </si>
  <si>
    <t>Julie Carr</t>
  </si>
  <si>
    <t>(630) 363-5955</t>
  </si>
  <si>
    <t>419-656-4559</t>
  </si>
  <si>
    <t>Please use Showing Time 800-746-9464</t>
  </si>
  <si>
    <t>Easy show, quick close, regular sale. Speical Assessment is about $1777 a year. Buyers agent must be present at all showings.  Thank you for showing.</t>
  </si>
  <si>
    <t>Drake</t>
  </si>
  <si>
    <t>ON KIMBALL SOUTH OF MONTROSE TO BELLE PLAINE. HEAD WEST ON BELLE PLAINE THEN NORTH ON DRAKE TO HOME</t>
  </si>
  <si>
    <t>Nice 4 bed, 3 bath 2-story home with gated entry. Featuring 2 main level beds, hardwood floors, kitchen with island and breakfast bar and new interior paint throughout. Second level has master bed, den and full bath. Full, unfinished basement has laundry area, storage and full bath. Exterior has enclosed porch, brick paver patio, detached 2 car garage and fenced-in yard. Walk-over this property and see for yourself!</t>
  </si>
  <si>
    <t>Den, Enclosed Porch</t>
  </si>
  <si>
    <t>Porch, Brick Paver Patio</t>
  </si>
  <si>
    <t>Keller Williams Realty Partners, LLC</t>
  </si>
  <si>
    <t>(847) 685-8300</t>
  </si>
  <si>
    <t>Helen Oliveri</t>
  </si>
  <si>
    <t>(847) 967-0022</t>
  </si>
  <si>
    <t>For Appointments Call Showingtime at 800-746-9464</t>
  </si>
  <si>
    <t>Download use &amp; read contract/addendum package in addl info tab. Seller has directed that all offers must be made online via Homepath.com. $1,000 selling agent bonus maybe available. Contact for details.</t>
  </si>
  <si>
    <t>BOYER</t>
  </si>
  <si>
    <t>Rt.34-Lakewood Springs N-Carry Left-Keller Right Boyer</t>
  </si>
  <si>
    <t>LAFAYETTE</t>
  </si>
  <si>
    <t>70X130</t>
  </si>
  <si>
    <t>LARGE 2-STORY. 4 BEDROOMS 2.5 BATHS.  FIREPLACE.  PROPERTY IS IN AVERAGE CONDITION WITH SOME COSMETIC INTERIOR REPAIRS NEEDED.  PAINT, CARPET, BROKEN WINDOW AND BROKEN GLASS IN SLIDING DOOR.   SOLD AS-IS, SELLER WILL NOT PROVIDE SURVEY OR TERMITE INSPECTION, BUYER RESPONSIBLE FOR ANY/ALL INSPECTIONS.</t>
  </si>
  <si>
    <t>PLEASE EMAIL ALL OFFERS IN PDF FORMAT.  EARNEST MONEY MUST BE IN THE FORM OF A CASHIERS CHECK.  PLEASE INCLUDE PRE-APPROVAL.</t>
  </si>
  <si>
    <t>Ash</t>
  </si>
  <si>
    <t>Rte 31 to Mosedale W to Ash S</t>
  </si>
  <si>
    <t>50X129</t>
  </si>
  <si>
    <t>Simply stunning! If you're looking downtown, this is it! 4BR/3BA rebuilt historical home in downtown St Charles. Builder's home; features quality amenities &amp; attention to detail. Brazilian Cherry hw floors, 5' wainscoting, new electrical, copper plumbing &amp; more! Completely redone from top to bottom! Gourmet kitchen w/granite &amp; stainless. Finished bsmt w/bath, paver patio, new cedar siding, roof, hvac. Move in today!!</t>
  </si>
  <si>
    <t>DAVIS ELEMENTARY SCHOOL</t>
  </si>
  <si>
    <t>19X8</t>
  </si>
  <si>
    <t>Enclosed Porch, Mud Room, Loft, Play Room</t>
  </si>
  <si>
    <t>Porch, Brick Paver Patio, Storms/Screens</t>
  </si>
  <si>
    <t>Wood Burning, Attached Fireplace Doors/Screen</t>
  </si>
  <si>
    <t>miles@kombrink.com</t>
  </si>
  <si>
    <t>Call Showing Time 855-919-0377 *MUST CONFIRM</t>
  </si>
  <si>
    <t>Contact co-lister Miles Tischhauser with questions/offers at 815-739-3458.</t>
  </si>
  <si>
    <t>LAKE TO ARLINGTON SOUTH TO ARLINGTON CIRCLE</t>
  </si>
  <si>
    <t>ATTENTION INVESTORS! 4BR 2BA RAISED RANCH IN QUIET CUL-DE-SAC SUBDIVISION WITH HUGE YARD. FEATURES INCLUDE FIREPLACE, DECK AND ATTACHED GARAGE. PROPERTY SOLD "AS-IS". FLOORING WILL NEED TO BE REPLACED.</t>
  </si>
  <si>
    <t>3% LESS $250 (on Net SP)</t>
  </si>
  <si>
    <t>Gloor Realty Company</t>
  </si>
  <si>
    <t>(708) 524-1100</t>
  </si>
  <si>
    <t>Edward LoBue</t>
  </si>
  <si>
    <t>â€œClick the 'Schedule a Showing link' or call 800-SHOWING (800-746-9464) to schedule a showing.â€_x009d_</t>
  </si>
  <si>
    <t>Throop</t>
  </si>
  <si>
    <t>83rd to Throop (1300 W) South to Address</t>
  </si>
  <si>
    <t>Fannie Mae Single Family home located in Auburn Gresham. Brick home with 3BD/1.5BA with hardwood floor throughout, huge living room space, eat in kitchen and enclosed porch. Full unfinished basement. Nice size back yard. Property is located near lots of public transportation and neighborhood stores.</t>
  </si>
  <si>
    <t>3% OR MIN (on Net SP)</t>
  </si>
  <si>
    <t>Seller has directed all offers to be made via Homepath.com. For additional information, please see additional information tab.</t>
  </si>
  <si>
    <t>Ohio</t>
  </si>
  <si>
    <t>north/south on Ashland to Ohio, west to property.</t>
  </si>
  <si>
    <t>24 X 95</t>
  </si>
  <si>
    <t>Dream Develops presents new construction in West Town. Rare 4 bed/3.1 bath home with oak-stained hdwd flrs, gourmet kitchen with slick design, Thermador appliances, large open liv/din rm, huge family/rec rm, large master suite with extra cabinets, luxurious master bath, steam shower, back deck, roof deck, garage deck, integrated smart home system, &amp; whole home audio. All is unique custom design. Delivery 12/2014.</t>
  </si>
  <si>
    <t>34X18</t>
  </si>
  <si>
    <t>Oven-Double, Oven/Range, Microwave, Dishwasher, Refrigerator, Washer, Dryer, All Stainless Steel Kitchen Appliances, Wine Cooler/Refrigerator</t>
  </si>
  <si>
    <t>Separate Shower, Steam Shower, Double Sink, Full Body Spray Shower, Soaking Tub</t>
  </si>
  <si>
    <t>150 Amp Service</t>
  </si>
  <si>
    <t>Bar-Wet, Hardwood Floors, 2nd Floor Laundry</t>
  </si>
  <si>
    <t>2.5% - $350 (on Net SP)</t>
  </si>
  <si>
    <t>(312) 326-2121</t>
  </si>
  <si>
    <t>Iryna Danyleyko</t>
  </si>
  <si>
    <t>(224) 622-2735</t>
  </si>
  <si>
    <t>Call Listing Agent 224.622.2735.</t>
  </si>
  <si>
    <t>$1,000 bonus if contract by 12/20/2014. See all previous projects at www.dreamdevelops.com.</t>
  </si>
  <si>
    <t>Waters Edge</t>
  </si>
  <si>
    <t>Thornwood drive to Lansbrook West to Waters edge. R to home</t>
  </si>
  <si>
    <t>86X134X115X121</t>
  </si>
  <si>
    <t>Stunning waterfront property in Thornwood Pool Community and St Charles Award Winning School District!Custom Sterling Built home with volume ceilings, dual staircase and LOOKOUT basement! Gourmet kitchen with granite, double oven and water views from wall of windows. Large family room with warm fresh paint and stone fireplace. Transom windows and gleaming hardwood floors! Must see!! 4 car garage!</t>
  </si>
  <si>
    <t>Clubhouse, Park/Playground, Pool, Tennis Courts, Sidewalks, Street Lights</t>
  </si>
  <si>
    <t>Oven-Double, Microwave, Dishwasher</t>
  </si>
  <si>
    <t>Wetlands Adjacent</t>
  </si>
  <si>
    <t>Please call 855-746-9100. 4 hr notice</t>
  </si>
  <si>
    <t>Please remove shoes and leave card! Please use multi-board 6.0 contract.</t>
  </si>
  <si>
    <t>SANGAMON</t>
  </si>
  <si>
    <t>Halsted N/S to Home</t>
  </si>
  <si>
    <t>BRICK CAPE COD ON A VERY NICE BLOCK. THE HOME NEEDS SUBSTANTIAL REHAB, BUT CAN EASILY BE TURNED INTO A PALACE. THE HOME FEATURES FOUR BEDROOMS, TWO BATHS, FULL BASEMENT AND A GARAGE. CLOSING FEE OF 75.00 PAID BY BUYER(DOC FEE) ALL CONTRACTS/OFFERS ARE SUBJECT TO BANK SENIOR APPROVAL &amp; ANY OFFERS OR COUNTER OFFERS BY LENDER ARE NOT BINDING UNLESS THE ENTIRE  AGREEMENT IS RATIFIED BY ALL PARTIES.</t>
  </si>
  <si>
    <t>$1000 FLAT FEE (on Net SP)</t>
  </si>
  <si>
    <t>Applebrook Realty, Inc.</t>
  </si>
  <si>
    <t>(773) 779-8500</t>
  </si>
  <si>
    <t>Gary Weglarz</t>
  </si>
  <si>
    <t>SEE SHOWING ASSISTANT</t>
  </si>
  <si>
    <t>CO-BROKERS-ONEWEST IS COMMITTED TO SWIFT AND ACCUR RESPONSES ON ALL PURCHASE OFFERS. IF YOU HAVE NOT RECVED AN OFFER RESP IN 72 HRS NOT INCLUD WKDS AND HOLIDAYS CALL 877-8851624 LEAVE MESS IDENT THE PROPERTY YOUR PHONE # AND EMAIL ADDRS AND</t>
  </si>
  <si>
    <t>Henderson</t>
  </si>
  <si>
    <t>California N. of Belmont to Henderson W. to home</t>
  </si>
  <si>
    <t>SFH OVERLOOKING BRANDS PARK IN AVONDALE! 2 YR OLD, FULL GUT REHAB 4 BR/3.1 BA SFH HAS UNOBSTRUCTED SOUTH FACING VIEWS ONTO PARK! OPEN FLRPLN FEAT SEP LIV/DIN AREA &amp; EAT IN B-FAST AREA.   BEAUTIFUL HDWD THRU, MILLWORK, GRANITE CNTRS, ISLAND, SS APP, BACK DECK &amp; OPEN YARD.  3 BR INCL MASTER STE ON 2ND FLR.  MSTR BATH FEAT DBL VANITY, W/SEP SHOW &amp; TUB.  LOWER LEVL HAS LARG REC RM, BED, FULL BTH AND LAUNDRY,NEW 2 CAR GAR</t>
  </si>
  <si>
    <t>LINNE ELEMENTARY SCHOOL</t>
  </si>
  <si>
    <t>Park/Playground, Tennis Courts</t>
  </si>
  <si>
    <t>(773) 404-0170</t>
  </si>
  <si>
    <t>Jennifer Mills</t>
  </si>
  <si>
    <t>(773) 914-4422</t>
  </si>
  <si>
    <t>Email Mike: mwade@koenigrubloff.com</t>
  </si>
  <si>
    <t>95th st. to Loomis and South to home.</t>
  </si>
  <si>
    <t>As is as seen reo property, beautiful location, fabulous property, will not last long, run comps and make your offer fast. Brick ranch with garage.</t>
  </si>
  <si>
    <t>22X9</t>
  </si>
  <si>
    <t>Alleman &amp; Alleman Realty</t>
  </si>
  <si>
    <t>(773) 434-4400</t>
  </si>
  <si>
    <t>Mark Alleman</t>
  </si>
  <si>
    <t>To submit an offer on this property for consideration, click on the following link to complete the offer through RES.NET:     https://agent.res.net/Offers.aspx?-1009115    Registration is free for Agents to submit offers. To view a video of</t>
  </si>
  <si>
    <t>MORGAN</t>
  </si>
  <si>
    <t>Route 31 South to Morgan St. West to Home</t>
  </si>
  <si>
    <t>59' X 148'</t>
  </si>
  <si>
    <t>Over 2,000 sq ft for less than $140k! Nice Victorian w/ hardwood floors &amp; original woodwork. Upstairs has a private outside entrance. Full bath on 1st &amp; 2nd floors, laundry hook ups on 2nd floor &amp; basement, ideal in-law arrangement. Large kitchen w/ island, nice deck out back w/ fenced yard, wrap around porch on the front. Large clean basement. New garage Roof. 1st floor Bedroom w/walk in closet &amp; full Bath.</t>
  </si>
  <si>
    <t>LOWRIE ELEMENTARY SCHOOL</t>
  </si>
  <si>
    <t>Humidifier, TV Antenna, Ceiling Fan</t>
  </si>
  <si>
    <t>Hardwood Floors, 1st Floor Bedroom, In-Law Arrangement, 2nd Floor Laundry, 1st Floor Full Bath</t>
  </si>
  <si>
    <t>2.5% - 150 (on Gross SP)</t>
  </si>
  <si>
    <t>Call 855-919-0200 or use showing assist</t>
  </si>
  <si>
    <t>1st floor den could be a bedroom. Not a short sale or foreclosure. homestead exemption not reflected- so taxes will be even lower. Kitchen Island movable. Microwave over stove not working. Wash/dryer in bsemnt not working but upstairs does.</t>
  </si>
  <si>
    <t>Randall Rd 2 Williamsburg (E) 2 Cambridge (S)</t>
  </si>
  <si>
    <t>COLONIAL</t>
  </si>
  <si>
    <t>82X131</t>
  </si>
  <si>
    <t>Enjoy this classic beauty in popular Pepper Valley subdivision. Home features 4 bedrooms, 1st floor laundry, lots of storage including huge walk-in pantry by kitchen, separate dining room, fireplace,  a full basement with large rec. room in basement, fenced in yard, close to major shopping, transportation and health facilities.</t>
  </si>
  <si>
    <t>24X36</t>
  </si>
  <si>
    <t>Helena Kies, CSC</t>
  </si>
  <si>
    <t>(630) 892-6155</t>
  </si>
  <si>
    <t>See Showing Assist</t>
  </si>
  <si>
    <t>The home is occupied but it is easy to show.</t>
  </si>
  <si>
    <t>Deer Valley</t>
  </si>
  <si>
    <t>Lake Cook Rd W of Quentin to Deer Valley N</t>
  </si>
  <si>
    <t>DEER VALLEY ESTATES</t>
  </si>
  <si>
    <t>182X188</t>
  </si>
  <si>
    <t>Conveniently-located, two-story home with basement and three-car attached garage! Huge lot for entertaining! Easy access to interstate and just down the street from Deer Park Mall!</t>
  </si>
  <si>
    <t>Partially Finished, Unfinished</t>
  </si>
  <si>
    <t>2.75% (on Net SP)</t>
  </si>
  <si>
    <t>Cornerstone Realty, Inc.</t>
  </si>
  <si>
    <t>(847) 398-3900</t>
  </si>
  <si>
    <t>Dennis Rusin</t>
  </si>
  <si>
    <t>Email offers to service@reocornerstone.com with prequalification letter or proof of funds.</t>
  </si>
  <si>
    <t>KRISTEN</t>
  </si>
  <si>
    <t>RT34 TO ELDAMAIN N TO HOFFMAN W TO KRISTEN</t>
  </si>
  <si>
    <t>LAKEWOOD SPRINGS</t>
  </si>
  <si>
    <t>HARTFORD</t>
  </si>
  <si>
    <t>Gorgeous 4 bedroom 2 1/2 bath home on a large fenced lot with patio.  Hardwood floors throughout kitchen, hall.  Kitchen features corian counters, center island and plenty of cabinet and counter space.  Cozy brick fireplace in family room.  2 story foyer. Neutral paint throughout.  4 large bedrooms, each with walk in closets.  Full basement ready for your finishing touches.  Fabulous clubhouse community with pool.</t>
  </si>
  <si>
    <t>Clubhouse, Exercise Facilities, Pool, Other</t>
  </si>
  <si>
    <t>(630) 554-4400</t>
  </si>
  <si>
    <t>Kimberly Grant</t>
  </si>
  <si>
    <t>cell-630-251-4244</t>
  </si>
  <si>
    <t>click showing request to request.  2 hour notice required.  have 2 dogs</t>
  </si>
  <si>
    <t>Gorgeous home.  Show with confidence.  Clean and updated.  Seller is including basement refrigerator in sale.</t>
  </si>
  <si>
    <t>Farm View</t>
  </si>
  <si>
    <t>Rt 59 north of Rt 22 to Roberts Road west to Twin Pond Rd right to Farmview Ct right</t>
  </si>
  <si>
    <t>Twin Pond Farms</t>
  </si>
  <si>
    <t>LARGE CUSTOM</t>
  </si>
  <si>
    <t>211X292X42X278X58</t>
  </si>
  <si>
    <t>Tucked back from the street in prime neighborhood location this all brick home is ready for the next generation. Original owners have kept this perfectly maintained home,complete w new roof 2001; 2 furnaces 2010. Easy flow floor plan is perfect for any entertaining occasion. Three season sunporch off the eating area connects to the large deck. Hardwood floors on most of 1st floor; 2 frpl, 3 car gar; 1st fl study.</t>
  </si>
  <si>
    <t>Tennis Courts, Pond/Lake, Street Paved</t>
  </si>
  <si>
    <t>Oven-Double, Dishwasher, Refrigerator, Washer, Dryer</t>
  </si>
  <si>
    <t>Humidifier, Intercom, Ceiling Fan, Fan-Attic Exhaust, Sump Pump</t>
  </si>
  <si>
    <t>Deck, Eating Area, Enclosed Porch, Foyer, Study</t>
  </si>
  <si>
    <t>Deck, Tennis Court(s)</t>
  </si>
  <si>
    <t>(847) 381-0300</t>
  </si>
  <si>
    <t>Kathy Pinkus, SFR</t>
  </si>
  <si>
    <t>(847) 431-2190</t>
  </si>
  <si>
    <t>Call ShowingTime 855-746-9020</t>
  </si>
  <si>
    <t>record</t>
  </si>
  <si>
    <t>Immaculate home that is in a great neighborhood. Neighborhood has its own tennis court and pond...great for fishing and skating. Construction on corner of Roberts Rd and River Rd and is blocked. Come from Rt 59 to Roberts to Twin Pond Rd</t>
  </si>
  <si>
    <t>Elston to Auston North to Peterson East to Marmora North to Address</t>
  </si>
  <si>
    <t>30  X  125</t>
  </si>
  <si>
    <t>Charming spacious brick bungalow on a charming street of South Edgebrook 1 block to Forest Preserve. Beautiful hardwood floors grace the entire home. Large living room adjoins the formal dining room with open stairs to the 2nd level. Nice size updated cabinet kitchen with subzero fridge. 2 bdrms and full bath on 1st floor. 2 large bdrms upstairs with .5 bath. hot tub in finished room off kitchen. Finished basement!</t>
  </si>
  <si>
    <t>26X23</t>
  </si>
  <si>
    <t>Oven-Double, Microwave, Dishwasher, High End Refrigerator, Freezer, Washer, Dryer</t>
  </si>
  <si>
    <t>Deck, Enclosed Porch, Foyer</t>
  </si>
  <si>
    <t>Skylight(s), Hot Tub, Bar-Dry, Hardwood Floors, 1st Floor Bedroom</t>
  </si>
  <si>
    <t>Deck, Hot Tub, Storms/Screens</t>
  </si>
  <si>
    <t>18X7</t>
  </si>
  <si>
    <t>5X3</t>
  </si>
  <si>
    <t>Norbert Mika</t>
  </si>
  <si>
    <t>(773) 406-7116</t>
  </si>
  <si>
    <t>CLICK ON SHOWING ASSIST OR CALL 855-746-9200</t>
  </si>
  <si>
    <t>Great home with brand new roof, new flood control system and new hot water tank. Freshly painted and ready to move in!!</t>
  </si>
  <si>
    <t>One block east of Central on Elston to Armstrong.  Turn on Armstrong to development.</t>
  </si>
  <si>
    <t>HICKORY PLUS</t>
  </si>
  <si>
    <t>52 X 87</t>
  </si>
  <si>
    <t>Edgebrook Glen Hickory Plus-a great, quiet, private residential enclave with own park between Edgebrook and Forest Glen where you can find a new construction home 4 great sized bedrooms in brand new community with today's way of living. Open, bright layout makes great for entertaining. Attached two-car garage.</t>
  </si>
  <si>
    <t>Lawn Care, Snow Removal, Other</t>
  </si>
  <si>
    <t>Humidifier, CO Detectors</t>
  </si>
  <si>
    <t>Please email ohgshowings@dreamtown.com w/24 hrs notice.</t>
  </si>
  <si>
    <t>Please send offers to ohgcontracts@dreamtown.com  Open House Sat &amp; Sun 1 - 4</t>
  </si>
  <si>
    <t>6N385</t>
  </si>
  <si>
    <t>Ferson Woods</t>
  </si>
  <si>
    <t>Burr Road to Foxwood Lane West on Foxwood to Ferson Woods Dr</t>
  </si>
  <si>
    <t>FERSON CREEK WOODS</t>
  </si>
  <si>
    <t>50X80X186X151X205</t>
  </si>
  <si>
    <t>1.3 Acre Wooded lot, Hot tub, recently updated kitchen 3 car garage. Deck with Hot Tub, large backyard with outbuilding.</t>
  </si>
  <si>
    <t>22X11</t>
  </si>
  <si>
    <t>6X10</t>
  </si>
  <si>
    <t>Capital Plus Realty, Inc</t>
  </si>
  <si>
    <t>(630) 584-0042</t>
  </si>
  <si>
    <t>Charles Blood</t>
  </si>
  <si>
    <t>Call Agent 630-816-0614</t>
  </si>
  <si>
    <t>Newland</t>
  </si>
  <si>
    <t>West on Addison, South on Oak Park Ave, west on Roscoe, South on Newland to property.</t>
  </si>
  <si>
    <t>Bank Owned Sold "as-is"</t>
  </si>
  <si>
    <t>Victor Vita</t>
  </si>
  <si>
    <t>(312) 476-0078</t>
  </si>
  <si>
    <t>Please text Kevin at 312-860-4343</t>
  </si>
  <si>
    <t>Prop sold asâ€_x0090_is.Vacant, no appointment required. For assist call Altisource Cust Care @ 1â€_x0090_855â€_x0090_882â€_x0090_1314 or visit Hubzu.com. Per Seller, all bids and offers must be submitted via Hubzu.com. Buyer pays $299 Tech fee and buyers prem at closing</t>
  </si>
  <si>
    <t>FREMONT</t>
  </si>
  <si>
    <t>ARMITAGE TO FREMONT-SOUTH TO HOME</t>
  </si>
  <si>
    <t>Original 1890's workers' cottage. Hugely expanded &amp; fully restored to meet today's lifestyle.  4br &amp; 2bths on 2nd flr, +  a full bth &amp; rm for a 5th br in bsmnt.  Original facade intact, creating a charming impression of an otherwise generously sized home. Exceptional walking neighborhood w/beautiful tree canopy, access to Armitage &amp; Halsted rest/shopping &amp; a pretty walk to the lake/park/zoo.  Coveted Oscar Meyer Elm.</t>
  </si>
  <si>
    <t>31X11</t>
  </si>
  <si>
    <t>Breakfast Room, Great Room, Storage</t>
  </si>
  <si>
    <t>Balcony, Patio</t>
  </si>
  <si>
    <t>(312) 943-1959</t>
  </si>
  <si>
    <t>Rachel Krueger</t>
  </si>
  <si>
    <t>(312) 867-8121</t>
  </si>
  <si>
    <t>Email Preferred, Rachel.krueger@cbexchange.com</t>
  </si>
  <si>
    <t>Lincoln Park High School</t>
  </si>
  <si>
    <t>Hough</t>
  </si>
  <si>
    <t>Hough St S of Main and N of Hillside, east side of str</t>
  </si>
  <si>
    <t>136.4X146.6</t>
  </si>
  <si>
    <t>Presenting the best of both worlds! A historical home restored w/ todayâ€™s floor plan &amp; amenities.Truly inspired &amp; extraordinary. The Cooks Kitchen is outfitted w/ Wolf,Bosch &amp; SubZero. The family rm w/fireplace &amp; views of  double lot ,create the heart of the home.The Master suite w/volume ceilings,walk in closet, fireplace &amp; spa bath complete this custom designed home. Build a pool or guest house too!</t>
  </si>
  <si>
    <t>HOUGH STREET ELEMENTARY SCHOOL</t>
  </si>
  <si>
    <t>16X19</t>
  </si>
  <si>
    <t>Oven/Range, Dishwasher, Refrigerator, Grill-Indoor</t>
  </si>
  <si>
    <t>Humidifier, Fire Sprinklers, Sump Pump</t>
  </si>
  <si>
    <t>Eating Area, Mud Room, Office, Recreation Room, Utility Room-2nd Floor</t>
  </si>
  <si>
    <t>Vaulted/Cathedral Ceilings, Bar-Wet</t>
  </si>
  <si>
    <t>7X13</t>
  </si>
  <si>
    <t>2.5% MINUS $325.00 (on Net SP)</t>
  </si>
  <si>
    <t>Jameson Sotheby's International Realty</t>
  </si>
  <si>
    <t>Judy Gibbons, SFR</t>
  </si>
  <si>
    <t>(847) 274-4983</t>
  </si>
  <si>
    <t>use on line showing assist or call 855-919-0171</t>
  </si>
  <si>
    <t>Continue to show</t>
  </si>
  <si>
    <t>CATAMARAN</t>
  </si>
  <si>
    <t>I-90 TO RANDALL RD N TO RT 72 W TO COMMUNITY ENTRANCE</t>
  </si>
  <si>
    <t>CAMBRIDGE LAKES</t>
  </si>
  <si>
    <t>CASCADE</t>
  </si>
  <si>
    <t>75X135X75X135</t>
  </si>
  <si>
    <t>BEAUTIFUL CASCADE READY FOR A QUICK MOVE-IN!FANTASTIC LOCATION W/ NATURE AREA VIEWS!  4 BEDROOM, FLEX ROOM, BIG 1ST FLOOR DEN, 2-1/2 BATH W/EXTRA DEEP GARAGE.  ENGLISH GARDEN DEEP POUR BASEMENT!  LARGE OPEN KITCHEN HAS ISLAND, LOVELY CABINETRY W/CROWN MOLDING, &amp; SS APPLIANCES.  BLACK MARBLE FIREPLACE.  MASTER SUITE FEATURES LUXURY BATH AND DUAL WALK-IN CLOSETS.  ENERGY EFFICIENT W/92% EFFICIENT FURNACE &amp; 13 SEER A/C.</t>
  </si>
  <si>
    <t>GARY WRIGHT ELEMENTARY SCHOOL</t>
  </si>
  <si>
    <t>CAMBRIDGE LAKES LEARNING CENTER</t>
  </si>
  <si>
    <t>Appliance Package/Allowance, Central Air, Energy Efficient Package, Basement, Upgraded Insulation, Upgraded Cabinets &amp; Counters</t>
  </si>
  <si>
    <t>TV-Cable, CO Detectors, Sump Pump, Air Exchanger</t>
  </si>
  <si>
    <t>Breakfast Room, Den, Study</t>
  </si>
  <si>
    <t>Tandem, 7 Foot or more high garage door</t>
  </si>
  <si>
    <t>847-984-4883</t>
  </si>
  <si>
    <t>SALES CENTER OPEN DAILY - 1331 NEWPORT CT. PLEASE CALL FOR AN APPOINTMENT 847-984-4883</t>
  </si>
  <si>
    <t>DR HORTON</t>
  </si>
  <si>
    <t>SALES CENTER OPEN DAILY - 1331 NEWPORT CT. PLEASE CALL FOR AN APPOINTMENT 847-984-4883 - ADDITIONAL FINANCIAL INCENTIVES WITH BUILDER'S LENDER</t>
  </si>
  <si>
    <t>AMHERST</t>
  </si>
  <si>
    <t>RT71 2 PLAINFLD RD S 2 ANDOVER W (entrance to Deerpath Trails sub) 2 AMHERST CIR</t>
  </si>
  <si>
    <t>DEERPATH TRAILS</t>
  </si>
  <si>
    <t>JAMIE LYNN</t>
  </si>
  <si>
    <t>105X86X74X68X12X121</t>
  </si>
  <si>
    <t>BUILDER'S MODEL FOR SALE!  Prof Finished English Bmt w/Bath! 3380 Sq.Ft! Huge STONE Turret! Custom Curved Staircase 2 Greet You w/Iron Spindles! Upgraded Maple Cabs &amp; Granite In Kit! 2S Fam Rm w/Bay Window &amp; Soaring STONE Fireplace! Spectacular MBth w/Custom 2-Person Shower &amp; Barrel Ceiling Over Whirlpool! 1st FL Mud Rm + 2nd FL Laundry Rm! TREK Deck, Stamped Lower Patio &amp; Sprinkler Sys! Sharp! Ready for Occupancy!</t>
  </si>
  <si>
    <t>Humidifier, TV-Cable, CO Detectors, Ceiling Fan, Sump Pump, Sprinkler-Lawn</t>
  </si>
  <si>
    <t>Breakfast Room, Den, Foyer, Mud Room, Recreation Room, Storage</t>
  </si>
  <si>
    <t>Specific Date</t>
  </si>
  <si>
    <t>Vaulted/Cathedral Ceilings, Skylight(s), Hardwood Floors, Solar Tubes/Light Tubes, 2nd Floor Laundry</t>
  </si>
  <si>
    <t>2.5%-$295 MUST REGISTER BUYER W/ RON@FINDINGAHOME.COM . (on Net SP)</t>
  </si>
  <si>
    <t>Ron Thomas</t>
  </si>
  <si>
    <t>(630) 420-1177</t>
  </si>
  <si>
    <t>630-554-2444</t>
  </si>
  <si>
    <t>Use Showing Link &amp; Put Buyers name in Notes when scheduling. Must Reg Buyer w/Ron@Findingahome.com</t>
  </si>
  <si>
    <t>TJ Baumgartner Custom Homes, Corp</t>
  </si>
  <si>
    <t>MUST REGISTER THE BUYER w/ Ron@FindingAHome.com . Builder's Model 630-554-2444 - Ready for Occupancy. Current Tax Bill Is $2.00 Due To Model Home Exemption.</t>
  </si>
  <si>
    <t>Rood</t>
  </si>
  <si>
    <t>Rt 72 to Glidden Rd, N to Rood Rd (River Oaks Sub) R to North Rood Rd, L to home on right.</t>
  </si>
  <si>
    <t>River Oaks</t>
  </si>
  <si>
    <t>CUSTOM RAN</t>
  </si>
  <si>
    <t>155X218</t>
  </si>
  <si>
    <t>Beautiful ranch with cedar siding &amp; great front porch to relax on! Impressive, open floor plan &amp; lovely decor throughout.  Formal DR w/HW floors, Great room w/FP &amp; cathedral ceiling. Kitchen is the heart of this home w/oak cabinets, SS appliances &amp; triple wide window over the sink &amp; French door to covered deck. Full finished English basement w/BR, bath &amp; exterior access.  Extra 25x28 garage-all on a 3/4 acre lot!</t>
  </si>
  <si>
    <t>DAVENPORT ELEMENTARY SCHOOL</t>
  </si>
  <si>
    <t>GENOA-KINGSTON MIDDLE SCHOOL</t>
  </si>
  <si>
    <t>GENOA-KINGSTON HIGH SCHOOL</t>
  </si>
  <si>
    <t>19X38</t>
  </si>
  <si>
    <t>Park/Playground, Water Rights, Street Paved</t>
  </si>
  <si>
    <t>Great Room, Office</t>
  </si>
  <si>
    <t>Deck, Patio, Hot Tub</t>
  </si>
  <si>
    <t>Century 21 New HeritageII-Hamp</t>
  </si>
  <si>
    <t>(847) 683-2000</t>
  </si>
  <si>
    <t>Dee Wille</t>
  </si>
  <si>
    <t>(815) 739-5717</t>
  </si>
  <si>
    <t>815-739-5717-Cell</t>
  </si>
  <si>
    <t>CLO-Prefers 1 hour notice.  Dogs may be in garage-Don't go in there if the sign is on door.</t>
  </si>
  <si>
    <t>Very Nice Home!  Put this on your list.  The dogs may be in the attached garage.  If there is a sign on the door to the garage, please do NOT open.  We will do our best to remove dogs for 2nd showing.</t>
  </si>
  <si>
    <t>Take 20 W to Nesler Rd. Turn left to Gansett. Take left to sales office at 3301 Stratton St, Elgin</t>
  </si>
  <si>
    <t>CHESAPEAKE</t>
  </si>
  <si>
    <t>This amazing home features 4 bedrooms as well as a large first floor den. Kitchen has twilight oak cabinets and stainless appliances. Breakfast bar seats 4 and is open to  generous sized family room. Living room entry is arched. Separate dining room for entertaining. Full Basement with rough in offers many possibilities. Home is Energy Star certified. Ask about incentives for using builder's lender. Move in NOW!</t>
  </si>
  <si>
    <t>Park/Playground, Tennis Courts, Pond/Lake, Dock-Community, Sidewalks, Street Lights</t>
  </si>
  <si>
    <t>Appliance Package/Allowance, Bsmnt/Lower Lvl Stubd in Bath, Central Air, Energy Efficient Package, Landscaping, Oak Trim/Oak Staircase</t>
  </si>
  <si>
    <t>3% OF NET PRICE AFTER ANY BUILDER /LENDER INCENTIVES (on Net SP)</t>
  </si>
  <si>
    <t>847.984.4616</t>
  </si>
  <si>
    <t>Please contact the sales office at 3301 Stratton STreet to arrange a showing or call 847.984.4616</t>
  </si>
  <si>
    <t>Please visit our sales center at 3301 Stratton Street to schedule a showing or call 847.984.4616. Open daily  Tuesday thru Sat 10-5, Monday 1-5 and Sunday 11-5</t>
  </si>
  <si>
    <t>E/W ON 79 STREET TO AVALON;SOUTH ON AVALON TO PROPERTY</t>
  </si>
  <si>
    <t>SPECTACULAR REHABBED BUNGALOW WITH ALL HIGH END FINISHES! HARDWOOD FLOORING, MOSAIC TILE, GRANITE COUNTERTOPS, STAINLESS STEEL APPLIANCES, FINISHED BASEMENT!  THE HOME ALSO INCLUDES A MASTER UPPER LEVEL WITH JACUZZI TUB AND CUSTOMIZED CERAMIC TILE DESIGNS.</t>
  </si>
  <si>
    <t>Whirlpool, Soaking Tub</t>
  </si>
  <si>
    <t>TEXT RYAN 8476027641</t>
  </si>
  <si>
    <t>Monroe</t>
  </si>
  <si>
    <t>CENTRAL TO MONROE, THEN EAST TO PROPERTY.  MONROE ONE WAY EAST</t>
  </si>
  <si>
    <t>6200SF</t>
  </si>
  <si>
    <t>One of the largest homes in the area !  Total gorgeous renovation.  4 bedrooms/3.5 baths, full finished basement, 3 car garage, fenced yard and much more.  Large lot for your entertainment. Come and be impressed.  This is it !  Bring your offers.</t>
  </si>
  <si>
    <t>34X14</t>
  </si>
  <si>
    <t>23X23</t>
  </si>
  <si>
    <t>46X17</t>
  </si>
  <si>
    <t>Eating Area-Table Space, Galley</t>
  </si>
  <si>
    <t>Chicagoland Brokers, Inc.</t>
  </si>
  <si>
    <t>(773) 745-1000</t>
  </si>
  <si>
    <t>Sylwia Chliborob</t>
  </si>
  <si>
    <t>(847) 845-8382</t>
  </si>
  <si>
    <t>call Agent Sylwia 847-845-8382  -  24hr notice please</t>
  </si>
  <si>
    <t>Motivated seller....bring your offers.</t>
  </si>
  <si>
    <t>Winona</t>
  </si>
  <si>
    <t>Ravenswood to Winona East to Property</t>
  </si>
  <si>
    <t>Andersonville - 3 FLRS of living space!  Meticulously maintained &amp; expertly decorated SF (2000) has 4 BRs, 3.5 BAs &amp; 2 car GAR w/roof top deck &amp; a Pergola.  Main Level has hdwd flrs, LR w/FP, Sep DR, Open kit w/42 inch cabs, SS appls, dbl oven, island, wine fridge &amp; bar/butlers pantry and Fam Room. Lrg Master Suite has 2 WIC's, marble bath  w/dbl vanity &amp; sep shower &amp; tub.  LRG family rm, laundry &amp; 4th BR downstairs.</t>
  </si>
  <si>
    <t>(847) 492-9660</t>
  </si>
  <si>
    <t>Santiago Moreno</t>
  </si>
  <si>
    <t>(312) 388-2479</t>
  </si>
  <si>
    <t>Stephen Phelps &amp; Allen Reed</t>
  </si>
  <si>
    <t>Pride of ownership ABOUNDS.   A pleasure to show.</t>
  </si>
  <si>
    <t>33RD</t>
  </si>
  <si>
    <t>31ST TO RACINE S TO 33RD ST WEST TO HOME</t>
  </si>
  <si>
    <t>26X110</t>
  </si>
  <si>
    <t>ARMOUR SCHL DSTRCT! METICULOUSLY MAINTAINED 4BD+FAM RM+REC RM/3.1BTH BRIDGEPRT VILLGE BRICK HOME ON OVRSIZD 26' LOT (19' WIDE INTRIOR);GRNTE/MPLE/KTCHN AID SS KTCHN OPENS TO LRGE FAM RM &amp; HUGE YRD;FOYR OPENS TO LRGE LIV RM &amp; DIN RM;SOUGHT-AFTER 3BD/2BA (2 ENSUITE) &amp; SD-BY-SD W/D ON 2ND LVL;SPA-CALIBER BATHS INCL INCRD STONE MSTR W/DBLE BOWL VANITY;SEP SHWR &amp; JET TUB;PROF ORG CLSTS T/O;SOUND WRNG IN LL;2-CAR GARAGE!</t>
  </si>
  <si>
    <t>ARMOUR ELEMENTARY SCHOOL</t>
  </si>
  <si>
    <t>TILDEN ACHIEVEMENT ACADEMY HIGH SCHOOL</t>
  </si>
  <si>
    <t>Gas, Forced Air, Indv Controls</t>
  </si>
  <si>
    <t>Oven-Double, Oven/Range, Microwave, Dishwasher, Refrigerator, High End Refrigerator, Washer, Dryer, Disposal, All Stainless Steel Kitchen Appliances</t>
  </si>
  <si>
    <t>Water, Common Insurance, Exterior Maintenance, Lawn Care, Scavenger, Snow Removal</t>
  </si>
  <si>
    <t>Humidifier, TV-Cable, Security System, Ceiling Fan, Sump Pump</t>
  </si>
  <si>
    <t>Recreation Room, Terrace, Walk In Closet</t>
  </si>
  <si>
    <t>06X04</t>
  </si>
  <si>
    <t>05X05</t>
  </si>
  <si>
    <t>Mario Greco</t>
  </si>
  <si>
    <t>(773) 687-4696</t>
  </si>
  <si>
    <t>CALL MARIO @ 773.687.4696 OR MARIO@MGGROUPCHICAGO.COM</t>
  </si>
  <si>
    <t>PLS SEE VIRTUAL TOUR LINK FOR INTERACTIVE FLOOR PLAN</t>
  </si>
  <si>
    <t>Lafayette</t>
  </si>
  <si>
    <t>DAN RYAN EXIT 79TH ST. LAFAYETTE S, 4 BLOCKS</t>
  </si>
  <si>
    <t>HUGE GORGEOUS BLOND BRICK HOME/ PRIVATE FENCED YARD/ NEW ROOF AND WINDOWS/ TUCKPOINTED/ GRANITE KITCHEN, STAINLESS STEEL APPLIANCES/ EURO STYLE BATHROOMS/ ALL NEW ELECTRICAL AND PLUMBING/ INJECTOR PUMP NO FLOODING/ HARDWOOD AND CERAMIC TILE FLOORS/ NEW FURNACE AND HOT WATER HEATER/ FULL FINISHED BASEMENT/ LARGE CLOSETS AND TONS OF STORAGE/ CENTRAL AIR AND PARKING AREA FENCE INSTALLED AT CLOSING.</t>
  </si>
  <si>
    <t>Eating Area, Recreation Room, Workroom</t>
  </si>
  <si>
    <t>6X11</t>
  </si>
  <si>
    <t>CALL 877-977-1010 FOR SHOWING INSTRUCTIONS</t>
  </si>
  <si>
    <t>BUILDING PERMITS ISSUED AND INSPECTED AND APPROVED BY THE CITY OF CHICAGO</t>
  </si>
  <si>
    <t>Highview</t>
  </si>
  <si>
    <t>Rt 31 to West on Mill to River Run entrance. Right on Clearwater. Right on Highview Ct. to home</t>
  </si>
  <si>
    <t>RIVER RUN</t>
  </si>
  <si>
    <t>THE CARRINGTON</t>
  </si>
  <si>
    <t>146X118X127X76</t>
  </si>
  <si>
    <t>FIRST TIME ON MARKET! Built in 2002, this Carrington model boasts 2900 sq. ft of tastefully decorated space. Formal DR &amp; LR directly off kitchen for easy entertaining. Double lot, just under 1/3 of an acre, w/ prof landscaped &amp; fenced yard, 26x16 colored concrete patio for relaxing. FULL unfin basement-- Sitting room or Upstairs loft could be 5th BR. Master has walk-in, full bath &amp; sitting room.</t>
  </si>
  <si>
    <t>Cul-de-sac, Fenced Yard, Landscaped Professionally</t>
  </si>
  <si>
    <t>Loft, Sitting Room</t>
  </si>
  <si>
    <t>2.5% - 100 (on Net SP)</t>
  </si>
  <si>
    <t>Adam T Cooper</t>
  </si>
  <si>
    <t>(630) 401-5792</t>
  </si>
  <si>
    <t>Call LO 815-436-6000. 2 Hour Notice.</t>
  </si>
  <si>
    <t>2 hour notice. Please take off shoes, leave a card, turn off lights and lock the doors. All blinds stay, all drapes DO NOT stay. All appliances stay. Loft or sitting room can be converted into 5th bedroom.</t>
  </si>
  <si>
    <t>RANDALL RD TO FARGO EAST TO BENT TREE SOUTH TO KINGS CT TO HOME.</t>
  </si>
  <si>
    <t>86X150X103X150</t>
  </si>
  <si>
    <t>EXTRAORDINARY PRICE FOR PRIVATE GOLF COURSE VIEWS! This quality J Carl built custom home has detailed trim from top to bottom~situated on a quiet culdesac~backing to a private golf course w/sweeping views enjoyed from the huge deck~built-ins~split staircase~new granite, furnace &amp; roof~gleaming hardwood floors~master with coffered ceiling &amp; huge walk-in closet~guest bedroom with full bath~top rated schools~Perfection!</t>
  </si>
  <si>
    <t>14X23</t>
  </si>
  <si>
    <t>16X21</t>
  </si>
  <si>
    <t>Cul-de-sac, Golf Course Lot, Landscaped Professionally</t>
  </si>
  <si>
    <t>Humidifier, CO Detectors, Ceiling Fan, Fan-Attic Exhaust, Sump Pump</t>
  </si>
  <si>
    <t>Deck, Dog Run &amp;/or Invisible Fence, Storms/Screens, Outdoor Fireplace</t>
  </si>
  <si>
    <t>Aberdeen</t>
  </si>
  <si>
    <t>55th to Aberdeen</t>
  </si>
  <si>
    <t>45X1254</t>
  </si>
  <si>
    <t>Location, Location, Location!!! Close to it all just off the Blvd! A diamond in the rough ready for your ideas. Sold "AS IS" Where is, MLS info estimated, buyer to verify all. Bring your buyers, don't let this one pass you by! Zoning in question. Bank of America, N.A. (the â€œBankâ€_x009d_)  associates and/or Bank associates, household members, HTS business partners of the Bank, are prohibited from purchasing REO property</t>
  </si>
  <si>
    <t>3% OR $1500 (WHICHEVER GREATER) (on Net SP)</t>
  </si>
  <si>
    <t>Jack Kosycarz</t>
  </si>
  <si>
    <t>(773) 616-5225</t>
  </si>
  <si>
    <t>click on show assist</t>
  </si>
  <si>
    <t>email agent with questions, proof of funds or preapproval with all offers, zoning in question? and TBD, MLS info estimated, buyer(s) to verify all info provided.</t>
  </si>
  <si>
    <t>Avenue L</t>
  </si>
  <si>
    <t>Ave O to  134th Ave L to Address</t>
  </si>
  <si>
    <t>31X127</t>
  </si>
  <si>
    <t>Amazing! New Construction, the builder spared no expense. Gorgeous Kitchen has Custom Cabinets;Center Island;Granite tops. Huge master bedroom has sauna, balcony and laundry room. Master Bath has a separate shower. Finished basement with custom bar. Other special features. Pella Windows; Solid 6 panel doors; 2 Furnaces &amp; A/C's. Full House Stereo. Have a look &amp; be impressed. Add. Neighboring Lot available for $30,000.</t>
  </si>
  <si>
    <t>Grinker &amp; Garcia Real Estate</t>
  </si>
  <si>
    <t>(773) 731-8500</t>
  </si>
  <si>
    <t>Rigoberto Garcia</t>
  </si>
  <si>
    <t>CALL LISTING OFFICE FOR APPOINTMENTS (773) 731-8500</t>
  </si>
  <si>
    <t>Grace</t>
  </si>
  <si>
    <t>Laramie south of Irving Park to Grace, East to property</t>
  </si>
  <si>
    <t>PORTAGE PARK ESTATE SALE WITH 4 BEDROOMS, 2.1 BATH,EXTRA SITTING ROOM ON THE 2ND FLOOR.HARDWOOD FLOORS UNDER CARPET.2 CAR GARAGE. NEAR SCHOOL AND PUBLIC TRANSPORTATION. MINUTES FROM THE EXPRESSWAY.  SOLD "AS IS".</t>
  </si>
  <si>
    <t>Enclosed Porch, Sitting Room</t>
  </si>
  <si>
    <t>1st Floor Full Bath</t>
  </si>
  <si>
    <t>Corina Flores-Moradi</t>
  </si>
  <si>
    <t>(773) 388-8546</t>
  </si>
  <si>
    <t>USE SHOWING ASSIST BELOW.EASY TO SHOW. SHORT NOTICE OK</t>
  </si>
  <si>
    <t>ESTATE SALE</t>
  </si>
  <si>
    <t>Mayfield</t>
  </si>
  <si>
    <t>AUSTIN TO 61ST E TO MAYFIELD, N TO ADDRESS</t>
  </si>
  <si>
    <t>OH MY OH MY THIS PROPERTY TURNED OUT FANTASTIC! REHABBED TO PERFECTION WITH STUNNING HARDWOOD FLOORING, AND HIGH END LIGHTING THROUGHOUT THE MAIN LEVEL. EXTRA LONG RANCH WITH ADDITION TO HOME IN BACK MAKES THIS A ONE OF A KIND HOME. CUSTOM PAINT COLORS, AND CERAMIC TILE WORK IN BATHROOMS MAKES YOU FEEL LIKE YOU ARE WALKING THROUGH A MILLION DOLLAR HOME! FINISHED BASEMENT PERFECT TIMING FOR THE HOLIDAY ENTERTAINMENT!</t>
  </si>
  <si>
    <t>Allen</t>
  </si>
  <si>
    <t>Kimball to Allen north to property</t>
  </si>
  <si>
    <t>25X123</t>
  </si>
  <si>
    <t>Stunning 4 bed/3.1 bath new construction single family home. Open floor plan, stylish kitchen with SS appliances, granite counter tops. Large deck off the family room. Spa like master bathroom with a Jacuzzi tub separate shower and double vanities. Walk-in closet. Lower level recreation room. Pre wired for surround sound. Large back yard, 2 car garage. Close to Kennedy Exp, CTA Blue Line</t>
  </si>
  <si>
    <t>2.5%-$295(ON NET SP) (on Net SP)</t>
  </si>
  <si>
    <t>Sergio &amp; Banks Real Estate</t>
  </si>
  <si>
    <t>(773) 235-6100</t>
  </si>
  <si>
    <t>Izabela Sloma</t>
  </si>
  <si>
    <t>(773) 317-0414</t>
  </si>
  <si>
    <t>Please text Izabela @773.317.0414/OPEN SAT &amp; SUN 12-2</t>
  </si>
  <si>
    <t>Ultimate Development &amp; Renovations Inc. # 2147587. Room sizes &amp; finishes are subject to change without notice.</t>
  </si>
  <si>
    <t>WALKER</t>
  </si>
  <si>
    <t>Route 47 south of Route 71, west on Walker Rd(1/4 mile west of Route 47).</t>
  </si>
  <si>
    <t>5.0 ACRES(379X573)</t>
  </si>
  <si>
    <t>5 ACRE PROPERTY WITH A SINGLE FAMILY HOME IN NEED OF REHAB OR TEAR DOWN &amp; BUILD YOUR DREAM HOME IN A COUNTRY SETTING, BUT ONLY WITHIN A FEW MINUTES DRIVE TO ALL AMENITIES THE CITY YORKVILLE HAS TO OFFER. THE VALUE IS IN THE LAND. LARGE POLE BUILDING WITH CONCRETE FLOORING &amp; 4 OTHER BARNS. PROPERTY BEING SOLD IN AS IS CONDITION. BRING YOUR IDEAS &amp; AN OPEN MIND TO IMAGINE THE MANY POSSIBILITIES...</t>
  </si>
  <si>
    <t>Propane, Hot Water/Steam, Radiators</t>
  </si>
  <si>
    <t>Cellar, Exterior Access</t>
  </si>
  <si>
    <t>5.0-5.99 Acres</t>
  </si>
  <si>
    <t>N/A</t>
  </si>
  <si>
    <t>LOCAL BANK OWNED/QUICK RESPONSE/QUICK CLOSING POSSIBLE/CASH OR CONVENTIONAL REHAB LOANS ONLY DUE TO CONDITION/SOLD IN AS IS CONDITION/100% TAX PRO-RATION/NO SURVEY PROVIDED BY SELLER/FOR ZONING &amp; PERMITTED USAGE CONTACT KENDALL COUNTY.</t>
  </si>
  <si>
    <t>KENNETH</t>
  </si>
  <si>
    <t>MARQUETTE TO KOSTNER N. TO 66 W. TO KENNETH S. TO HOME</t>
  </si>
  <si>
    <t>Write your earnest money check, register and submit your offer its as simple as that.  Good location, schools near, transportation near, good curb appeal, drive by, look in the area.. see you at closing</t>
  </si>
  <si>
    <t>1% (on Net SP)</t>
  </si>
  <si>
    <t>Albert Burns</t>
  </si>
  <si>
    <t>(312) 671-0709</t>
  </si>
  <si>
    <t>contingent</t>
  </si>
  <si>
    <t>contingent.</t>
  </si>
  <si>
    <t>WAKEFIELD</t>
  </si>
  <si>
    <t>RT 68 EAST OF RT 25 TO WAKEFIELD N TO HOUSE</t>
  </si>
  <si>
    <t>MORNINGSIDE</t>
  </si>
  <si>
    <t>66X100</t>
  </si>
  <si>
    <t>4 Bedroom recently remodeled home.Newer Kitchen, newer kitchen cabinets. Bathroom recently remodeled. New Furnace and Central air. New Electric panel. Solid Oak Doors throughout home.</t>
  </si>
  <si>
    <t>United Brokers of Illinois</t>
  </si>
  <si>
    <t>(847) 828-7653</t>
  </si>
  <si>
    <t>Jesse Berreles</t>
  </si>
  <si>
    <t>CLO</t>
  </si>
  <si>
    <t>Seller is related to Listing Agent.</t>
  </si>
  <si>
    <t>Eastwood</t>
  </si>
  <si>
    <t>Norridge</t>
  </si>
  <si>
    <t>LAWRENCE TO THATCHER SOUTH TO EASTWOOD EAST</t>
  </si>
  <si>
    <t>NORRIDGE</t>
  </si>
  <si>
    <t>42 X 121</t>
  </si>
  <si>
    <t>Charming ranch with refinished hardwood floors, fresh paint, new a/c, eat-in kitchen, closet organizers, bedroom/family room, full basement, fenced yard with deck! This is a Fannie Mae Homepath property.</t>
  </si>
  <si>
    <t>The seller has directed that all offers on this listing be made using the HomePath Online Offer system at the HomePath website, Homepath.com. Instructions and tips in additional information.</t>
  </si>
  <si>
    <t>Wakefield</t>
  </si>
  <si>
    <t>Shoe factory Rd west of 59 to Wakefield</t>
  </si>
  <si>
    <t>COBBLERS CROSSING</t>
  </si>
  <si>
    <t>71X125X75X133</t>
  </si>
  <si>
    <t>Beautifully maintained inside and out Eclipse model. Lovely two story foyer and family room. Great floor plan offers open living and dining for ease of entertaining. Family room has a brick 2 story fireplace .Four generous size bedrooms 3 with walk in closets. The kitchen offers plenty of cabinet and counter space plus island and planning desk. Newer Marvin windows , brick paver patio, fenced yard plus 3 car garage</t>
  </si>
  <si>
    <t>26X9</t>
  </si>
  <si>
    <t>Jane Corder</t>
  </si>
  <si>
    <t>(847) 815-6484</t>
  </si>
  <si>
    <t>call 855-746-9020 or use showing assist</t>
  </si>
  <si>
    <t>owr</t>
  </si>
  <si>
    <t>Can close quickly</t>
  </si>
  <si>
    <t>Hastings</t>
  </si>
  <si>
    <t>Rt. 20 TO Rt. 25 TO HASTINGS TO HOME</t>
  </si>
  <si>
    <t>55 X 131 X 47 X 130</t>
  </si>
  <si>
    <t>Pondview</t>
  </si>
  <si>
    <t>Army Trail (West of County Farm) to Woodlake-N  to Leeward-W to Pondview-N</t>
  </si>
  <si>
    <t>Woodlake Trails</t>
  </si>
  <si>
    <t>122 X 91</t>
  </si>
  <si>
    <t>BARTLETT HS! OPEN &amp; SPACIOUS 4 BEDRM HOME SITS PROUDLY ON A LARGE QUIET LOT! INVITING FOYER ~ LARGE LIVING ROOM W/BRIGHT WINDOWS ~ SEPARATE DINING RM ~ EAT-IN KITCHEN W/PLANNING DESK, PANTRY + LOTS OF COUNTER SPACE &amp; ALL APPLIANCES INCLUDED! LARGE FAMILY RM W/STONE FP + SGD TO NEW CONCRETE PATIO~MASTER BDRM W/PRIVATE FULL BATH &amp; WALK-IN CLOSET! HALL BATH W/DBL SINKS~WIDE 2 CAR GAR + SHED~1 YR HOME WARRANTY!</t>
  </si>
  <si>
    <t>Patio, Storage Shed, Storms/Screens</t>
  </si>
  <si>
    <t>13X6</t>
  </si>
  <si>
    <t>630-621-5421 - Selena/Co-Lister</t>
  </si>
  <si>
    <t>Click showing link below or call: 1-855-746-9608 to schedule an appointment</t>
  </si>
  <si>
    <t>Oor</t>
  </si>
  <si>
    <t>There is not a current tax exemption. New owner occupants will qualify. Call CO-LISTER Selena w/Offers &amp; Questions at 630-621-5421 Selena.Stloukal@gmail.com - HOME WARRANTY INCLUDED! NEWER ROOF, SOFFITS, A/C, FURNACE, FLOORING &amp; PAINT</t>
  </si>
  <si>
    <t>Imlay</t>
  </si>
  <si>
    <t>Devon to Imlay.  East to property</t>
  </si>
  <si>
    <t>38 X 150</t>
  </si>
  <si>
    <t>Great Norwood Park Bungalow!  Long time family home!  Lovely room sizes.  Separate dining rm and living room w/big picture window.  Enclosed, heated porch.  Wide open basement awaiting your ideas.  Roof (tear off), back porch windows, siding on back of hse (5 yrs).  New plumbing &amp; main lvl bath (2 yrs).  Rare, 38 x 150 lot.  Very near transp, x-way and metra.  Estate sale.  Being sold "as is".</t>
  </si>
  <si>
    <t>Gas, Baseboard</t>
  </si>
  <si>
    <t>Enclosed Porch Heated, Recreation Room, Workroom</t>
  </si>
  <si>
    <t>25X23</t>
  </si>
  <si>
    <t>Cheryl Bellavia, GRI</t>
  </si>
  <si>
    <t>(773) 383-1595</t>
  </si>
  <si>
    <t>Call or text Cheryl @ 773-383-1595</t>
  </si>
  <si>
    <t>8N510</t>
  </si>
  <si>
    <t>Gingerwood</t>
  </si>
  <si>
    <t>Randall to Hopps, West to Stevens, S to Kristen, R to Gingerwood,L</t>
  </si>
  <si>
    <t>QUAD</t>
  </si>
  <si>
    <t>25,265 SQ FT</t>
  </si>
  <si>
    <t>Looking for a move-in ready home with a beautiful 1/2 acre lot? Here it is! High Efficiency HVAC only 2 yrs old and newer driveway. This Charming 4 bed,2.5 bth home includes open floor plan with vaulted ceilings and tons of natural light. Huge family room great for entertaining. Spacious kitchen with stainless appliances and eating area. Great size bedrooms. This home has a ton of living space both inside and out!</t>
  </si>
  <si>
    <t>Nature Preserve Adjacent, Landscaped Professionally</t>
  </si>
  <si>
    <t>Water-Softener Owned, TV-Cable, CO Detectors, Ceiling Fan, Fan-Attic Exhaust, Sump Pump</t>
  </si>
  <si>
    <t>Deck, Eating Area, Foyer, Walk In Closet</t>
  </si>
  <si>
    <t>6X9</t>
  </si>
  <si>
    <t>Cory Jones</t>
  </si>
  <si>
    <t>(630) 488-3306</t>
  </si>
  <si>
    <t>630-400-9009</t>
  </si>
  <si>
    <t>CALL 855-919-0377 OR CLICK SHOWING ASSIST, MUST CONFIRM</t>
  </si>
  <si>
    <t>Architectural roof is 15 years old</t>
  </si>
  <si>
    <t>Oakley</t>
  </si>
  <si>
    <t>Take 70th Street east/west to Oakley. Take Oakley South to property</t>
  </si>
  <si>
    <t>GREAT BUNGALOW HOME WITH LOTS OF POTENTIAL! TWO BEDROOMS ON FIRST AND SECOND LEVEL. BASEMENT UNFINISHED BUT READY FOR YOUR IDEAS! SPACIOUS YARD! Freddie Mac first look initiative for owner occupants expires 09/11/2014. Sold As-Is. taxes prorated at 100%</t>
  </si>
  <si>
    <t>America Real Estate</t>
  </si>
  <si>
    <t>(773) 735-4400</t>
  </si>
  <si>
    <t>Sonia Anaya</t>
  </si>
  <si>
    <t>Freddie Mac / Homesteps</t>
  </si>
  <si>
    <t>Email offers to arce0417@YAHOO.COM Must include: Cover Sheet, Addendum, and Preapproval/POF provided in Add Info. As-Is Sale, taxes prorated 100%. EM Cashier's Check Only</t>
  </si>
  <si>
    <t>W 100th Pl to S Malta. South to address.</t>
  </si>
  <si>
    <t>This beautiful, just rehabbed 4 bedroom, 3 1/2 bathroom 2-story is overflowing with special features and brand new additions. The luxurious kitchen offers stainless steel appliances, granite counters and upgraded cabinets. The basement has been completely refinished, and the entire first floor offers gleaming hardwood floors. With a beautiful deck, a 2-car garage and a great price it's a must-see!</t>
  </si>
  <si>
    <t>MEDILL</t>
  </si>
  <si>
    <t>FULLERTON TO WASHTENAW, SOUTH TO MEDILL EAST</t>
  </si>
  <si>
    <t>THE ARTISAN COLLECTION</t>
  </si>
  <si>
    <t>SOLD BEFORE PRINT***SOLD BEFORE PRINT***SOLD BEFORE PRINT***</t>
  </si>
  <si>
    <t>Oven/Range, Microwave, Dishwasher, Refrigerator, Washer, Dryer, Wine Cooler/Refrigerator</t>
  </si>
  <si>
    <t>Humidifier, Intercom, CO Detectors</t>
  </si>
  <si>
    <t>Melissa Govedarica</t>
  </si>
  <si>
    <t>(630) 973-7745</t>
  </si>
  <si>
    <t>EMAIL MELISSA@SERGIOANDBANKS.COM OR BRIAN@SERGIOANDBANKS.COM</t>
  </si>
  <si>
    <t>2635 MEDILL LLC. #2348885. EMAIL LISTING AGENTS FOR MORE INFORMATION. DELIVERY SPRING 2015. PICTURES ARE OF SIMILAR HOMES  THAT HAVE SOLD. FLOOR PLANS, SPECS AND ROOM DIMENSIONS ARE SUBJECT TO CHANGE WITH OUT NOTICE</t>
  </si>
  <si>
    <t>JONES</t>
  </si>
  <si>
    <t>Rt 34, Left on S. Ben, Right on W. Dearborn, left on S. Cook becomes W Jones</t>
  </si>
  <si>
    <t>60 X 126</t>
  </si>
  <si>
    <t>This Four Bedroom Two full bath home is Bank Owned and is sold "as is".  Fenced in Yard with 2.5 Car Garage.  Full Partially Finished basement. Laundry in basement. Seller does not provide survey or tests and property taxes are prorated at 100%. Please provide proof of funds for cash transaction.</t>
  </si>
  <si>
    <t>(815) 436-4416</t>
  </si>
  <si>
    <t>William Wilson</t>
  </si>
  <si>
    <t>(630) 988-9658</t>
  </si>
  <si>
    <t>Call listing agent. Bill Wilson: (630) 988-9658</t>
  </si>
  <si>
    <t>FNBO</t>
  </si>
  <si>
    <t>Berry</t>
  </si>
  <si>
    <t>Rt. 47 to Kesslinger e to Liberty s to Holbrook w to Berry s</t>
  </si>
  <si>
    <t>77X113</t>
  </si>
  <si>
    <t>Beautiful Spacious Home! Open Floor Plan &amp;Great for Entertaining! Nice Upgrades inc. Hardwood on Main Level, 6-Panel Solid Oak Doors, Hunter Ceiling Fans, Huge Laundry/Pantry, Extensive Master w Full Luxury Bath, Basement, Oak Stairway, Generous Loft, Beautifully Finished Basement, Fenced Yard, Walk to Elementary, Near Highway 88 and 5 Min to Metra!</t>
  </si>
  <si>
    <t>Violet Stameski, CSC</t>
  </si>
  <si>
    <t>(630) 677-4447</t>
  </si>
  <si>
    <t>630-677-4447</t>
  </si>
  <si>
    <t>Call LAat 630-677-4447</t>
  </si>
  <si>
    <t>Back on Market due to buyers financing did not go through; home inspection was fine; radon passed.  Sellers have already bought new home and are anxious for a sale!</t>
  </si>
  <si>
    <t>W. Lake St (Route 20) west of Barrington Rd, right turn on Walnut ave</t>
  </si>
  <si>
    <t>8352 SF</t>
  </si>
  <si>
    <t>Beautiful 4 bed, 2 full bath Quad level. All new windows throughout &amp; patio door. Modern kitchen with SS appliances and beautiful granite countertops. All stairways of 4 levels have been removed and newly built. Modern bathrooms. 2.1 car garage w/ new door.New A/C. Deep fenced in backyard that is great for entertaining and enjoying. New concrete driveway and walkway ordered, just waiting on good weather.  Hurry</t>
  </si>
  <si>
    <t>Central Air, 1 (Window/Wall Unit)</t>
  </si>
  <si>
    <t>LP Properties LLC</t>
  </si>
  <si>
    <t>(773) 385-6500</t>
  </si>
  <si>
    <t>Martin Pietryka</t>
  </si>
  <si>
    <t>(847) 346-2995</t>
  </si>
  <si>
    <t>Call or Text Listing Agent at 630.981.4868. EZ to show</t>
  </si>
  <si>
    <t>Practically everything is brand new. All inspections done with village and permits done. New plumbing and electrical throughout.</t>
  </si>
  <si>
    <t>TAKE 47TH STREET E/W TO VINCENNES GO NORTH TO PROPERTY</t>
  </si>
  <si>
    <t>Prime Bronzeville location, needs some TLC. Contract Accepted</t>
  </si>
  <si>
    <t>Masonite</t>
  </si>
  <si>
    <t>2.5% -250 (on Gross SP)</t>
  </si>
  <si>
    <t>Jasmine Baynes</t>
  </si>
  <si>
    <t>(708) 912-0775</t>
  </si>
  <si>
    <t>Call LA</t>
  </si>
  <si>
    <t>CC: Pursuant to Short Sale. Short Sale</t>
  </si>
  <si>
    <t>CAMPBELL</t>
  </si>
  <si>
    <t>DIVERSEY WEST OF WESTERN TO CAMPBELL - CAMPBELL IS ONE WAY NORTH</t>
  </si>
  <si>
    <t>25X126</t>
  </si>
  <si>
    <t>REHAB OR HANDY MAN SPECIAL. HOME NEEDS COMPLETE UPDATING. FINISHED BASEMENT WITH SEPARATE ENTRANCE WITH BEDROOM AND PLUMBING FOR KITCHEN AND BATH. LOCATED IN AREA OF RECENT REHABS AND NEWER CONSTRUCTION. ESTATE SALE BEING SOLD "AS IS".</t>
  </si>
  <si>
    <t>Enclosed Porch Heated, Other</t>
  </si>
  <si>
    <t>Century 21 Elm, Realtors</t>
  </si>
  <si>
    <t>(847) 692-5522</t>
  </si>
  <si>
    <t>Thomas Iannotti</t>
  </si>
  <si>
    <t>POSSIBLE  BASEMENT APARTMENT PLUMBING IN PLACE</t>
  </si>
  <si>
    <t>Blue Ridge</t>
  </si>
  <si>
    <t>Randall Rd, east on Royal Blvd, right on Valley Creek Dr, right on Shenandoah, &amp; left Blue Ridge Ct.</t>
  </si>
  <si>
    <t>Great Home on a cul-de-sac w/New 2014 Complete Tear Off Roof~New 120 gal Water Heater~HVAC=8yrs old~All Appliances updated 2yrs ago~Freshly Painted &amp; Newly Carpeted throughout 1st &amp; 2nd floor includes: staircase, Liv, Din, Family, &amp; all bdrms~Remodeled bathtub, shower tile, &amp; flooring in master bath &amp; 2nd full bath~New Window Blinds and some new light fixtures installed throughout~New Glass Storm Door~Refinished Deck</t>
  </si>
  <si>
    <t>Angela Lebron Cola</t>
  </si>
  <si>
    <t>FOR SHOWINGS CALL 847-669-9555.</t>
  </si>
  <si>
    <t>FOR SHOWINGS CALL 847-669-9555. PLEASE REMOVE SHOES. LEAVE BUSINESS CARD. TURN OFF ALL LIGHTS. AND PROVIDE FEEDBACK VIA SHOWINGASSIST.</t>
  </si>
  <si>
    <t>Bell</t>
  </si>
  <si>
    <t>115th to Bell, South to Home</t>
  </si>
  <si>
    <t>Bank Owned property sold "AS-IS". Seller will not provide survey or disclosures. The house is tenant occupied at $900 per month and the lease expires 11-30-2015. Buyer must purchase with the current lease. Property is in a great area and has great potential but needs some cosmetic updating.</t>
  </si>
  <si>
    <t>24X9</t>
  </si>
  <si>
    <t>2.5% -$250 (on Gross SP)</t>
  </si>
  <si>
    <t>Chicago Realty Professionals</t>
  </si>
  <si>
    <t>(773) 339-2058</t>
  </si>
  <si>
    <t>Dan Cvejic</t>
  </si>
  <si>
    <t>Please e mail, text 773-339-2058, or call listing agent.  Please allow 48 hours.</t>
  </si>
  <si>
    <t>Willoby</t>
  </si>
  <si>
    <t>Shoe Factory Rd to Cobblers Crossing S to Willoby ln</t>
  </si>
  <si>
    <t>74X116X106X152</t>
  </si>
  <si>
    <t>Home is price accordingly. Needs lots of updating. Priced 70K under market value. Large room sizes. Beautiful cherry hardwood floor in foyer, living room, den, dining room and all bedrooms. 2 story family room with brick fireplace.</t>
  </si>
  <si>
    <t>CHANNING MEMORIAL ELEMENTARY SCHOOL</t>
  </si>
  <si>
    <t>Tim Winfrey</t>
  </si>
  <si>
    <t>(630) 550-5085</t>
  </si>
  <si>
    <t>call office</t>
  </si>
  <si>
    <t>Gregory M Sears</t>
  </si>
  <si>
    <t>Meadows Dr to Gregory M Sears to property</t>
  </si>
  <si>
    <t>New Paint Move in ready! 2 Story home featuring 4 bedrooms 2.5 baths, office huge loft and a oversize two-car garage Spacious gourmet kitchen is perfect for entertaining.large backyard with a pond.100% tax proration, no survey or disclosures provided.For more information about HomePath homes and incentives, please visit HomePathcom. Room/Lot sizes are approx. POF strongly encouraged with all offers</t>
  </si>
  <si>
    <t>Loft, Office</t>
  </si>
  <si>
    <t>SEE Secure Showing Assist Instructions:</t>
  </si>
  <si>
    <t>Somerset</t>
  </si>
  <si>
    <t>Galena Blvd West to Regency North to Somerset.</t>
  </si>
  <si>
    <t>WINDSOR POINTE</t>
  </si>
  <si>
    <t>KENNINGSTON</t>
  </si>
  <si>
    <t>71 X 124</t>
  </si>
  <si>
    <t>Spacious 2-story, 4 bedroom home with 3.1 baths, freshly painted w/new carpeting throughout, family room w/fireplace for entertaining, spacious kitchen w/island and  stainless steel appliances, sliding glass doors lead to deck and fenced in yard with shed, partially finished basement with wet bar!! Close to Sugar Grove forest preserve and dining. This is a Fannie Mae HomePath Property. NO PERSONAL PROPERTY INCLUDED</t>
  </si>
  <si>
    <t>Tandem</t>
  </si>
  <si>
    <t>Use Showing Assist or Call 800-746-9464</t>
  </si>
  <si>
    <t>offers are to be submitted on HomePath.com **BUYER RESPONSIBLE FOR TRANSFER STAMPS IF APPLICABLE. Multiple Offer Deadline â€“ Jan 27, 2015, 1:10PM</t>
  </si>
  <si>
    <t>WEBSTER</t>
  </si>
  <si>
    <t>WEBSTER TO PROPERTY</t>
  </si>
  <si>
    <t>25 X 124</t>
  </si>
  <si>
    <t>INCREDIBLE ALL BRICK 3 LEVEL SINGLE FAMILY HOME LOCATED IN HIGHLY SOUGH AFTER LINCOLN PARK. LOWER LEVEL FEATURES FAMILY ROOM WITH DOUBLE SIDED FIREPLACE, 4TH BEDROOM/BATHROOM, MAIN LEVEL FEATURES 3RD BEDROOM/BATHROOM, OPEN KITCHEN WITH SEATING AREA, LIVINGROOM &amp; LAUNDRY ROOM. UPSTAIRS HAS MASTER SUITE PLUS 2ND BEDROOM WITH JACK &amp; JILL BATHROOM. BACKDECK &amp; TWO CAR GARAGE.</t>
  </si>
  <si>
    <t>Breakfast Room, Den, Sitting Room</t>
  </si>
  <si>
    <t>Gas Logs, Portable/Ventless</t>
  </si>
  <si>
    <t>SOLD BEFORE PRINT</t>
  </si>
  <si>
    <t>Bosworth</t>
  </si>
  <si>
    <t>ASHLAND TO GRACE TO BOSWORTH, ONE WAY SOUTH</t>
  </si>
  <si>
    <t>Move-in ready, completely customized Southport Corridor/Blaine SFH w/ designer touches including gleaming hdwd floors, a chef's kitchen w/ high-end SS appliances, open living spaces, home theater, cathedral ceilings, custom closets  &amp; unique built-ins. Enjoy generous room sizes, 3 BRs on 1 floor, full bed/bath on LL, a bonus/work room &amp; abundance of storage. Incredible outdoor space including garage roof deck &amp; more.</t>
  </si>
  <si>
    <t>BLAINE ELEMENTARY SCHOOL</t>
  </si>
  <si>
    <t>Oven-Double, Oven/Range, Microwave, Dishwasher, Refrigerator, High End Refrigerator, Refrigerator-Bar, Freezer, Washer, Dryer, Disposal, Grill-Indoor, All Stainless Steel Kitchen Appliances, Wine Cooler/Refrigerator</t>
  </si>
  <si>
    <t>Whirlpool, Separate Shower, Steam Shower, Double Sink, Full Body Spray Shower, Soaking Tub</t>
  </si>
  <si>
    <t>Bonus, Deck, Eating Area, Pantry, Recreation Room, Storage, Walk In Closet</t>
  </si>
  <si>
    <t>Vaulted/Cathedral Ceilings, Skylight(s), Bar-Wet, Hardwood Floors, 2nd Floor Laundry</t>
  </si>
  <si>
    <t>Deck, Porch, Roof Deck, Gazebo</t>
  </si>
  <si>
    <t>6X16</t>
  </si>
  <si>
    <t>4X4</t>
  </si>
  <si>
    <t>Belgravia Realty Group, LLC</t>
  </si>
  <si>
    <t>(312) 751-2777</t>
  </si>
  <si>
    <t>Julie Busby</t>
  </si>
  <si>
    <t>(312) 890-4818</t>
  </si>
  <si>
    <t>Email Julie@belgraviagroup.com; 24 hour notice preferred &amp; no showings after 6:30 pm.  Thank you!</t>
  </si>
  <si>
    <t>See features list &amp; floor plan under additional information. A must see in person!</t>
  </si>
  <si>
    <t>W Main</t>
  </si>
  <si>
    <t>Rt 64 Main St. west side, park in rear of home.</t>
  </si>
  <si>
    <t>SEARS BUNGALOW</t>
  </si>
  <si>
    <t>Enjoy the charm of yesteryear with this adorable Sears bungalow. Features include an updated kitchen with stainless steel appliances, slate floors and the bathroom boasts natural stone tile!   Hardwood floors and most original woodwork still exist.  Super fun layout with a sun porch/ breakfast room off of kitchen which leads to deck with fenced in yard!   Be able to walk to river, festivals ~ this is a lifestyle WOW</t>
  </si>
  <si>
    <t>Susie Goldthwaite</t>
  </si>
  <si>
    <t>(630) 306-0410</t>
  </si>
  <si>
    <t>Call BW showing at 855-746-9100</t>
  </si>
  <si>
    <t>2 parking spaces in rear off alley for parking, old and charming! Enjoy! Please use 6.0 Contract.</t>
  </si>
  <si>
    <t>Homer</t>
  </si>
  <si>
    <t>Leavitt south on Homer to proeprty</t>
  </si>
  <si>
    <t>25 X 100</t>
  </si>
  <si>
    <t>99% New Construction Home! Stunning rehab by experienced builder. Attention to detail, everything brand new, 4BR's w/3BR's up, 3.5 BA's.Beautiful dark hw floors, LRG open kitchen w/huge island, butlerâ€™s pantry, highend WOLF/ appl, lvr off kitchen w/back deck &amp; large backyard, new 2car grge. Big master suite w/w.i.c., custom closets thru-out, luxurious bthrms, LRG full bsmt w/wet bar, LL FR &amp; 4th BR 2 HVAC's.Must SEE</t>
  </si>
  <si>
    <t>Oven/Range, Microwave, Dishwasher, High End Refrigerator, Refrigerator-Bar, Washer, Dryer, Disposal, All Stainless Steel Kitchen Appliances, Wine Cooler/Refrigerator</t>
  </si>
  <si>
    <t>Bar-Wet, Hardwood Floors, 1st Floor Laundry</t>
  </si>
  <si>
    <t>37X14</t>
  </si>
  <si>
    <t>Call Jim 847-668-8042</t>
  </si>
  <si>
    <t>Show with confidence.  Your client's will not be dissapointed.</t>
  </si>
  <si>
    <t>HERMITAGE</t>
  </si>
  <si>
    <t>NORTH AVE TO HERMITAGE, NORTH TO PROP/WEST OF ASHLAND</t>
  </si>
  <si>
    <t>23 X 122</t>
  </si>
  <si>
    <t>PREMIUM LOCATION IN BUCKTOWN, AMAZING CONTEMPORARY OPEN FLR PLAN FEATURING FLOATING WOOD STAIRCASE W/CENTER SKYLIGHT, DARK HARDWOODS, CONCRETE RADIANT FLR &amp; LARGE FP W/ SURROUND SOUND ON LL, GOURMET CHEF'S KITCHEN W/ VIKING APPLS &amp; GRANITE BRKFST VAR W/ PREP SINK, MSTR SUITE HAS WIC, STEAM/RAIN SHOWER W/ SEP JACUZZI TUB, ROOFTOP DECK W/ INCREDIBLE VIEWS ONE-OF-A-KIND HOME.  PLENTY OF ROOM IN THIS SHOWCASE HOME.</t>
  </si>
  <si>
    <t>25X16</t>
  </si>
  <si>
    <t>Gas, Forced Air, Radiant</t>
  </si>
  <si>
    <t>Gated Entry, Sidewalks</t>
  </si>
  <si>
    <t>Humidifier, TV-Dish, TV Antenna, Security System, Intercom, CO Detectors, Sump Pump, Sprinkler-Lawn</t>
  </si>
  <si>
    <t>Skylight(s), Bar-Wet</t>
  </si>
  <si>
    <t>Deck, Patio, Roof Deck</t>
  </si>
  <si>
    <t>2.5%-$325 ON SP (on Net SP)</t>
  </si>
  <si>
    <t>Cory Sanders</t>
  </si>
  <si>
    <t>(773) 516-1121</t>
  </si>
  <si>
    <t>CALL LA 773-516-1121</t>
  </si>
  <si>
    <t>Wells</t>
  </si>
  <si>
    <t>north Rt23 to Hopkins, east to Martin then south to Wells</t>
  </si>
  <si>
    <t>75X125</t>
  </si>
  <si>
    <t>Supurb quality executive ranch in newer Sycamore subdivision. Very bright and open floor plan.  Many extra features including 9' ceilings, solid 6-panal doors,  Brazilian Cherry hardwood floors, tile bath floors, quality kitchen cabinets and all new stainless appliances, high efficiency heating and a/c,</t>
  </si>
  <si>
    <t>Breakfast Room, Foyer, Game Room, Recreation Room</t>
  </si>
  <si>
    <t>Bar-Dry, Hardwood Floors, 1st Floor Bedroom, 1st Floor Laundry, 1st Floor Full Bath</t>
  </si>
  <si>
    <t>35X34</t>
  </si>
  <si>
    <t>McCabe REALTORS</t>
  </si>
  <si>
    <t>(815) 756-8505</t>
  </si>
  <si>
    <t>Jerry Wahlstrom</t>
  </si>
  <si>
    <t>(815) 757-7867</t>
  </si>
  <si>
    <t>815-757-7867</t>
  </si>
  <si>
    <t>Barb Squared LLC</t>
  </si>
  <si>
    <t>South on Halsted, West on 100th St, Right on Sangamon St.</t>
  </si>
  <si>
    <t>32X121</t>
  </si>
  <si>
    <t>Homeowner, Senior, Other</t>
  </si>
  <si>
    <t>Brick Bungalow featuring separate living and dining room.  Full finished walk-out basement includes additional bedroom, kitchen, bath, and recreational area.  This home provides ample storage with attic and storage closets in basement.  Well-maintained lawn, exterior storm doors, glass cinder block windows.  A must see!!!</t>
  </si>
  <si>
    <t>10X26</t>
  </si>
  <si>
    <t>Oven/Range, Microwave, Washer, Dryer</t>
  </si>
  <si>
    <t>11X29</t>
  </si>
  <si>
    <t>Cynthia Joiner</t>
  </si>
  <si>
    <t>24 hour notice</t>
  </si>
  <si>
    <t>John Max Dansbie</t>
  </si>
  <si>
    <t>Listing office does not hold earnest money deposit.  Instructions provided upon contract.</t>
  </si>
  <si>
    <t>Oconto</t>
  </si>
  <si>
    <t>W Roscoe St to N Oconto Ave</t>
  </si>
  <si>
    <t>3881 SQ.FT.</t>
  </si>
  <si>
    <t>Beautiful 4 Bedrooms 2 Bathrooms Ranch! 2 car detached garage. Fenced in back yard with a patio. Property features nice big kitchen with granite counters, hardwood floors in living room and bedrooms, 2 fire places. Brick home with a basement. Great location! Near parks and schools, close to dining and shopping. Easy to show.</t>
  </si>
  <si>
    <t>Oven/Range, Washer, Dryer</t>
  </si>
  <si>
    <t>Aiste Buinauskaite</t>
  </si>
  <si>
    <t>Please, email offers to aiste@callzteam.com. Property is being Sold As-IS. Property is well maintained although it needs some work. Cash or FHA 203K only. Traditional sale not an REO or Short Sale.</t>
  </si>
  <si>
    <t>Shenandoah</t>
  </si>
  <si>
    <t>RANDALL 2 HUNTLEY E2 MILLER N2 SHENANDOAH</t>
  </si>
  <si>
    <t>70 X 119.48 X 70.18 X 114.48</t>
  </si>
  <si>
    <t>north/south on Halsted to 76th St, west to Peoria, south to property.</t>
  </si>
  <si>
    <t>40 X 124</t>
  </si>
  <si>
    <t>Come home to your piece of architectural history. This Victorian-inspired home provides you with a piece of history with all of the modern comforts of today. This spacious home has 4 bedrooms, 2.1 baths, formal living/dining room, &amp; much more. This is a Chicago NSP home; qualified buyers may receive funds for closing cost and down-payment assistance.</t>
  </si>
  <si>
    <t>Lisa A Thompson</t>
  </si>
  <si>
    <t>Call CSS 877.977.1010. Showings only Saturdays by appointment.</t>
  </si>
  <si>
    <t>This is a Chicago NSP home; buyer must have household income less than 120%. AMI. Visit www.ChicagoNSP.org.</t>
  </si>
  <si>
    <t>OAKWOOD</t>
  </si>
  <si>
    <t>KING DR TO OAKWOOD EAST TO PROPERTY</t>
  </si>
  <si>
    <t>20X100</t>
  </si>
  <si>
    <t>CHARMING,CLASSIC GREYSTONE,LOCATED ON ONE OF THE MOST POPULAR BOULEVARDS, BUILT NEW FROM AN INSIDE, OPEN FLOOR PLAN, 4 BDRM,3,5 BATHS,ELEGANT KITCHEN WITH UPGRADED APPLIANCES,QUARTZ COUNTER TOPS,ALL HARDWOOD FLOORS, BEAUTIFUL BATHS,FINISHED LOWER LEVEL WITH REC ROOM,FULL BATH,EXTRA BEDROOM,ZONED HTAC,1 CAR GARAGE,STEPS FROM LAKE ,PARKS, BEACHES,10 MIN FROM DOWNTOWN,MINUTES FROM HYDE PARK</t>
  </si>
  <si>
    <t>17X22</t>
  </si>
  <si>
    <t>PLEASE TEXT, CALL OR EMAIL JOANNA AT 847-312-8005 JOLSZYNSKA@JAMESONSIR.COM</t>
  </si>
  <si>
    <t>$2000 Bonus to selling agent.</t>
  </si>
  <si>
    <t>Marshfield</t>
  </si>
  <si>
    <t>Addison to Marshfield, north on Marshfield (one way) 3 blocks to property</t>
  </si>
  <si>
    <t>Lakeview home in Blaine School district. Large living room with fireplace &amp; bay window. Spacious kitchen with huge island [&amp; room for a table] that opens to family room with fireplace, Viking and Bosch appliances &amp; big pantry. Second floor has 3 good size beds, 2baths, master bath has jacuzzi and steam shower. 3rd floor office next to roof deck. LL rec room, 4th bed, storage/workout or could be 5th bed and mud room</t>
  </si>
  <si>
    <t>Oven-Double, Oven/Range, Microwave, Dishwasher, High End Refrigerator, Washer, Dryer, Disposal, Grill-Indoor, All Stainless Steel Kitchen Appliances</t>
  </si>
  <si>
    <t>Separate Shower, Steam Shower</t>
  </si>
  <si>
    <t>Mud Room, Office, Pantry, Recreation Room, Storage</t>
  </si>
  <si>
    <t>Vaulted/Cathedral Ceilings, Bar-Wet, Hardwood Floors</t>
  </si>
  <si>
    <t>Balcony, Deck, Patio, Roof Deck</t>
  </si>
  <si>
    <t>9X19</t>
  </si>
  <si>
    <t>7X14</t>
  </si>
  <si>
    <t>2.5% - $275. (on Net SP)</t>
  </si>
  <si>
    <t>Steve Hobbs</t>
  </si>
  <si>
    <t>(773) 697-5581</t>
  </si>
  <si>
    <t>text steve 773-895-2271 or email steve.hobbs@bairdwarner.com</t>
  </si>
  <si>
    <t>Not much yard space but 5 decks. 2 car garage. Brown line 3 blocks away. Walk to shops on Southport and Trader Joe's just 3 blocks away.</t>
  </si>
  <si>
    <t>14N468</t>
  </si>
  <si>
    <t>Bonnie</t>
  </si>
  <si>
    <t>West on Big Timber off Randall Road. Turn south onto Oliver Drive than onto Bonnie Lane</t>
  </si>
  <si>
    <t>121X229</t>
  </si>
  <si>
    <t>Fannie Mae Homepath Property! Two story home built in 1982 on a large rural lot west of Randall Road on well and septic.  Home has just had cosmetic.  New furnace and ac. All bedrooms are upstairs, living and kitchen on mail level with no basement.  Pre-approval or proof of funds required on all offers.  See attached docs prior to submitting an offer on Homepath.</t>
  </si>
  <si>
    <t>Call Centralized showings at 877-977-1010</t>
  </si>
  <si>
    <t>78th</t>
  </si>
  <si>
    <t>79th street to kostner,north on kostner to 78th, east to  address.</t>
  </si>
  <si>
    <t>TWO STORY RESIDENCE,LOCATED IN A QUIET RESIDENTIAL NEIGHBORHOOD OF WELL MAINTAINED HOMES. CLOSE TO TRANSPORTATION, SCHOOLS SHOPPING  AND  PLACES OF WORSHIP.   PROPERTY BEING SOLD IN "  AS IS CONDITION "  NO DISCLOSURES,NO SURVEY, ALL OFFERS MUST HAVE PROOF OF FUNDS FOR DOWN PAYMENT AND CLOSING COST FOR FINANCED OFFERS, AND PROOF OF FUNDS STATEMENT  FOR CASH OFFER LETS THAN 30 DAYS OLD. EARNEST MONEY CERTIFIED FUNDS.</t>
  </si>
  <si>
    <t>30X18</t>
  </si>
  <si>
    <t>Classic Properties</t>
  </si>
  <si>
    <t>(708) 524-8400</t>
  </si>
  <si>
    <t>A.J. Chandler</t>
  </si>
  <si>
    <t>(708) 705-8700</t>
  </si>
  <si>
    <t>NOP</t>
  </si>
  <si>
    <t>USE SHOWING ASSSIST</t>
  </si>
  <si>
    <t>ALL OFFERS MUST BE SUBMITTED BY THE BUYERS AGENT  VIA OFFERSUBMISSION.COM  ID#( 980969 ) . BUYER PAYS $300 FEE AT CLOSING. NO PAPERWORK REQUIRED UNTIL OFFER ACCEPTED.</t>
  </si>
  <si>
    <t>79th TO FRANCISCO (2900 West), SOUTH TO 8027</t>
  </si>
  <si>
    <t>This sharp, solid brick raised ranch features 4 bedrooms and 2 baths! Modern cabinet kitchen, modern, tiled baths, hardwood floors, full finished basement with 4th bedroom, 2nd bath, and a family room. Fenced yard and a 2 car garage! This is a Fannie Mae HomePath Property! See Agent Remarks for more details.</t>
  </si>
  <si>
    <t>11X30</t>
  </si>
  <si>
    <t>Call listing office at 708-484-2300 for a code</t>
  </si>
  <si>
    <t>This is a Fannie Mae HomePath Property. Seller has directed that all offers be submitted via www.HomePath.com.   See site for details and to fill out REPA!</t>
  </si>
  <si>
    <t>Sienna</t>
  </si>
  <si>
    <t>Rt. 34 to Autumn Way to Sienna</t>
  </si>
  <si>
    <t>91 X 148 X 89 X 147</t>
  </si>
  <si>
    <t>Not a short sale or foreclosure.Can close quickly on this Dorchester model!Gorgeous kitchen w/granite counter tops,island,pantry &amp; stainless steel appliances-including x-large washer &amp; dryer.1st floor den,formal dining room,fireplace,hardwood floors.Master suite w/glass shower &amp; WIC.Nice sized rooms.2 story foyer.Lots of windows.Close to schools,parks &amp; walking trails.Better than new!</t>
  </si>
  <si>
    <t>CRIS REALTY</t>
  </si>
  <si>
    <t>(815) 485-5050</t>
  </si>
  <si>
    <t>David Blair</t>
  </si>
  <si>
    <t>Click on Showing Assist link.</t>
  </si>
  <si>
    <t>Not a short sale or foreclosure. Can close quickly. Taxes prorated at 100%.</t>
  </si>
  <si>
    <t>2 BLOCKS NORTH OF IRVING PARK/SOUTHPORT</t>
  </si>
  <si>
    <t>GRACELAND WEST</t>
  </si>
  <si>
    <t>LESS THAN 1/4 ACRE</t>
  </si>
  <si>
    <t>APPROVED SHORT SALE:QUICK BANK RESPONSE:Stunning Greystone w/newer construction interior in Graceland West. 4 bedrooms,3.5 baths,open kitchen w/Subzero,Wolf,and Fisher Paykel.Formal living and dinning,huger master suite,master bath w/Jacuzzi,body spray glass shower.Huge rec room,roof top deck over garage.Must see.</t>
  </si>
  <si>
    <t>Oven-Double, Oven/Range, Microwave, Dishwasher, Refrigerator, Refrigerator-Bar, Freezer, Washer, Dryer, Disposal, Compactor-Trash</t>
  </si>
  <si>
    <t>Septic-Mechanical</t>
  </si>
  <si>
    <t>Humidifier, Security System, Intercom, CO Detectors, Fan-Whole House, Sump Pump</t>
  </si>
  <si>
    <t>Other, Recreation Room</t>
  </si>
  <si>
    <t>Skylight(s), Sauna/Steam Room, Hot Tub</t>
  </si>
  <si>
    <t>Robert Kohler</t>
  </si>
  <si>
    <t>(773) 983-5797</t>
  </si>
  <si>
    <t>email: robert.kohler@cbexchange.com or text: 773.983.5797</t>
  </si>
  <si>
    <t>CC: Pursuant to Short Sale. email: robert.kohler@cbexchange.com or text: 773.983.5797</t>
  </si>
  <si>
    <t>40W003</t>
  </si>
  <si>
    <t>Berkshire</t>
  </si>
  <si>
    <t>KESLINGER W OF RANDALL TO FRIENDSHIP WAY TO KING TO BERK</t>
  </si>
  <si>
    <t>PAYTON XL</t>
  </si>
  <si>
    <t>64.31X129.21X71.57X121.02</t>
  </si>
  <si>
    <t>PREPARE TO BE "WOWED!" Payton XL with tons of upgrades! 4 full baths!Crown mldg in every single room(even the 2nd floor laundry!)Butler's pantry/SS appliances/granite/42 in cherry cabinets!Pella door &amp; windows!Main floor den with FULL bath adjacent!Oversized lot with irrigations system, perfectly located on a cul-de-sac/court. Short bike ride to MC school!2 min to Lafox Train. NO GOLF BALLS IN THE YARD! Sharp home!!</t>
  </si>
  <si>
    <t>MILL CREEK ELEMENTARY SCHOOL</t>
  </si>
  <si>
    <t>09X16</t>
  </si>
  <si>
    <t>Humidifier, TV-Cable, CO Detectors, Ceiling Fan, Fan-Attic Exhaust, Sump Pump, Sprinkler-Lawn</t>
  </si>
  <si>
    <t>Vaulted/Cathedral Ceilings, 1st Floor Bedroom</t>
  </si>
  <si>
    <t>call showings.com at 877.977.1010 to set up an appointment</t>
  </si>
  <si>
    <t>Your buyer will not be disappointed! It's immaculate and it has tons of bells &amp; whistles! Super Mill Creek location! Priced WAY BELOW replacement!</t>
  </si>
  <si>
    <t>VINCENT</t>
  </si>
  <si>
    <t>RT 31 TO LAWRENCE WEST TO VINCENT RIGHT.</t>
  </si>
  <si>
    <t>53X132</t>
  </si>
  <si>
    <t>Gleaming hardwood floors &amp; original woodwork welcome you to this Federal Style home w/solid brick construction. Updated kitchen w/Viking range &amp; a beautiful eat in area. Living room features a fireplace, and there's 4 bdrooms -  1 w/ a private walkout porch. Large walkup attic could be expanded. Basement is partially finished. New roof, located near the train, I-90, parks, library &amp; more!  Only Blocks from Wing Park!</t>
  </si>
  <si>
    <t>HIGHLAND ELEMENTARY SCHOOL</t>
  </si>
  <si>
    <t>Humidifier, Security System, CO Detectors, Ceiling Fan, Sump Pump, Backup Sump Pump</t>
  </si>
  <si>
    <t>Balcony, Storms/Screens</t>
  </si>
  <si>
    <t>3%-195 (on Gross SP)</t>
  </si>
  <si>
    <t>CLA - 630-205-5568</t>
  </si>
  <si>
    <t>This is a gorgeous house, looks as good in person as the pictures! Not a short sale or foreclosure. Reverse Osmosis! Washer/Dryer Stay! Lots of Pride of Ownership Here!!</t>
  </si>
  <si>
    <t>RT 72(W OF RANDALL) 2 CENTER N2 TOWN CENTER R2 HOME</t>
  </si>
  <si>
    <t>Gilberts Town Center</t>
  </si>
  <si>
    <t>70X135</t>
  </si>
  <si>
    <t>FORMER BUILDERS MODEL WITH ALL THE BELLS AND WHISTLES! BACKS TO POND, BRICK PAVER PATIO W/FIREPIT, 2 STORY FAMILY RM W/FIREPLACE, KITCHEN HAS ISLAND, WALK IN PANTRY, 42" CHERRY CABINETS, DEN WITH CROWN AND B/I CHERRY BOOKCASE, FORMAL LR/DR WITH BUILT IN BOOKCASE, MASTER SUITE W/CATHEDRAL CEILIN, WALK IN, SOAKER TUB, SEP. SHOWER,  DOUBLE SINKS.  SURROUND SYSTEM, OAK RAILS, AND A FINISHED BASEMENT W/WOOD LAMINATE FLOOR</t>
  </si>
  <si>
    <t>Water View</t>
  </si>
  <si>
    <t>3%-$250 (on Net SP)</t>
  </si>
  <si>
    <t>Susan Price</t>
  </si>
  <si>
    <t>(847) 220-3385</t>
  </si>
  <si>
    <t>CALL 888-362-3222</t>
  </si>
  <si>
    <t>Kedzie to 10919</t>
  </si>
  <si>
    <t>Style meets traditional in this Mt Greenwood Renovated Bungalo.  4 bedrooms 2 full bathrooms.   White chef's inspired kitchen with granite counters and stainless appliances.  Spa inspired baths. All new plumbing, electric, HVAC, siding.  New 2 car garage.   Full finished basement with 4th bedroom and 2nd bath.  Mount Greenwood Elementary.   Residential Kedzie.   Over sized back yard.</t>
  </si>
  <si>
    <t>Karen Pence</t>
  </si>
  <si>
    <t>(847) 507-3398</t>
  </si>
  <si>
    <t>Some Notice Required.  USE showing assist</t>
  </si>
  <si>
    <t>RTE 31 N OF MAIN ST TO BLAINE W TO JACKSON S</t>
  </si>
  <si>
    <t>JONES AND ANDERSON</t>
  </si>
  <si>
    <t>75 X 164</t>
  </si>
  <si>
    <t>Well cared for home with beautiful hardwood floors thru out, new oak staircase. New kitchen, baths, built-ins. Master bed features huge walk-in closet. New vinyl siding, roof. Oversized lot, perennial gardens, paver brick patio. Freshly painted, move in condition. Entire 2nd floor new. Siding, roof, heat and a/c. Room for addtl garage w/alley access. VERY REASONABLE TAXES. Motivated sellers.</t>
  </si>
  <si>
    <t>School Bus Service, Historical District</t>
  </si>
  <si>
    <t>Patio, Porch Screened, Brick Paver Patio, Storms/Screens</t>
  </si>
  <si>
    <t>(630) 879-9555</t>
  </si>
  <si>
    <t>Doreen Ray</t>
  </si>
  <si>
    <t>(630) 220-1710</t>
  </si>
  <si>
    <t>Use</t>
  </si>
  <si>
    <t>Lots of storage. Pull down stairs to attic. Zoned heat and a/c. New roof,siding,entire 2nd floor all NEW. Clean bright basement. Take a look. Taxes low for area and  size lot and home, a PLUS for affordability. Agent interest.</t>
  </si>
  <si>
    <t>Crane</t>
  </si>
  <si>
    <t>Randall Rd to Wilson St - go W 2 blocks - turn R on Dixon Dr - home at end of street.</t>
  </si>
  <si>
    <t>213X52X143X199</t>
  </si>
  <si>
    <t>Single-owner Havlicek custom home on oversized, cul-de-sac lot. Home has been lovingly maintained and lavishly upgraded - new roof, new furnace, newer windows. Remodeled kitchen w/granite, SS appliances and professional Viking range+hood. HWD floors throughout first level. First floor master suite with remodeled master bath+whirlpool. Full finished basement w/office. Huge walk-in attic. Absolutely beautiful!</t>
  </si>
  <si>
    <t>Humidifier, Water-Softener Owned, Security System, Ceiling Fan, Air Cleaner, Backup Sump Pump</t>
  </si>
  <si>
    <t>Breakfast Room, Office, Recreation Room</t>
  </si>
  <si>
    <t>31X16</t>
  </si>
  <si>
    <t>2.5% - $299 (on Net SP)</t>
  </si>
  <si>
    <t>(630) 897-4114</t>
  </si>
  <si>
    <t>Eric Rogers</t>
  </si>
  <si>
    <t>(630) 346-1041</t>
  </si>
  <si>
    <t>Call 877-977-1010 - Night before notice</t>
  </si>
  <si>
    <t>Espinar</t>
  </si>
  <si>
    <t>Timbercreek</t>
  </si>
  <si>
    <t>Rt 71 to Timbercreek- take a right at the circle, its the first house on the right</t>
  </si>
  <si>
    <t>TIMBER CREEK</t>
  </si>
  <si>
    <t>156X253X156X261</t>
  </si>
  <si>
    <t>Partial, Walkout</t>
  </si>
  <si>
    <t>Country acre lot in an established neighborhood! Large kitchen has massive island &amp; stainless steel apps. Beautiful fireplace is flanked by built-in bookcases. Updated bathrooms inc Master w/heated tile floor. Walk-out lower level. Roof 8 yrs old, hardwood floors, big shed, great room sizes, lots to love! Sellers offering $4,000 credit to replace current central air unit or convert entire house to gas forced air.</t>
  </si>
  <si>
    <t>Electric, Indv Controls</t>
  </si>
  <si>
    <t>Deck, Patio, Storage Shed, Dog Run &amp;/or Invisible Fence, Pool Above Ground, Storms/Screens</t>
  </si>
  <si>
    <t>Cindy Heckelsberg</t>
  </si>
  <si>
    <t>(630) 253-2997</t>
  </si>
  <si>
    <t>?s Lara 630-253-2995</t>
  </si>
  <si>
    <t>Pls call CSS 877-977-1010 Notice needed!</t>
  </si>
  <si>
    <t>Contact Lara w/?s &amp; offers lara.heckelsberg@coldwellbanker.com  Stove vent fan does not work. Basement freezer does not stay. Oven sold as-is.</t>
  </si>
  <si>
    <t>Wolcott</t>
  </si>
  <si>
    <t>79TH ST WEST TO WOLCOTT(1900 WEST) NORTH TO 7818</t>
  </si>
  <si>
    <t>Contemporary/Extraordinary home with details &amp; movement not commonly found. 4 BEDROOMS â€“ 3 BATHROOMS â€“ HIGHLY UPDATED/RENOVATED: GOURMET CUSTOM KITCHEN W/GRANITE COUNTERS &amp; SS appliances, High end light fixtures. European shower - whirlpool.  Full finished basement with wet bar and wine cooler.  Brick 2 car garage.  Donâ€™t delayâ€¦.. See it todayâ€¦</t>
  </si>
  <si>
    <t>26X18</t>
  </si>
  <si>
    <t>Whirlpool, European Shower, Full Body Spray Shower</t>
  </si>
  <si>
    <t>Agnes Czaja</t>
  </si>
  <si>
    <t>(708) 857-1019</t>
  </si>
  <si>
    <t>CALL LO: 708-857-1500</t>
  </si>
  <si>
    <t>87th St. to Chappel, North to Address.</t>
  </si>
  <si>
    <t>RUN DON'T WALK TO THIS TOTALLY REMODELED BRICK RANCH WITH GREAT TOUCH OF TASTE AND DESIGN! HARDWOOD FLOORS THROUGHOUT, DINNING RM WITH GREAT FINISH CARPENTRY, NEWLY REMODELED KITCHEN WITH CUSTOM CABINETS &amp; GRANITE COUNTER, SS APPLIANCES, ALL BATHS TOTALLY REDONE WITH NEW VANITIES &amp; TILES, BRAND NEW TEAR OFF ROOF &amp; 2.5 CAR GARAGE, FULL FINISHED BASEMENT WITH A LARGE FAMILY ROOM. THIS ONE WILL GO FAST!</t>
  </si>
  <si>
    <t>2.5%-150 (on Gross SP)</t>
  </si>
  <si>
    <t>Bond</t>
  </si>
  <si>
    <t>Kirk to Pine (W) to Hart (S) to Bond</t>
  </si>
  <si>
    <t>FOX TRAIL NORTH</t>
  </si>
  <si>
    <t>107X130X106X130</t>
  </si>
  <si>
    <t>ABSOLUTELY MOVE-IN READY!Backing up to protected/open space &amp; the bike path!You will have privacy &amp; the convenience of being able to ride bikes/walk to downtown Batavia from your back door. Hardwood throughout the main floor, updated kitchen, incredible finished/look out basement w/2nd kitchen &amp; full bath. Custom deck=AMAZING! Quiet living only minutes from I88,Naperville &amp; Geneval too!Quick close is easy for us!</t>
  </si>
  <si>
    <t>LOUISE WHITE ELEMENTARY SCHOOL</t>
  </si>
  <si>
    <t>27X12</t>
  </si>
  <si>
    <t>Oven/Range, Microwave, Dishwasher, Refrigerator, Refrigerator-Bar, Washer, Dryer, All Stainless Steel Kitchen Appliances, Wine Cooler/Refrigerator</t>
  </si>
  <si>
    <t>Corner, Forest Preserve Adjacent</t>
  </si>
  <si>
    <t>Vaulted/Cathedral Ceilings, Hot Tub, Bar-Wet, Hardwood Floors, 1st Floor Laundry</t>
  </si>
  <si>
    <t>23X25</t>
  </si>
  <si>
    <t>Call Showings.com at 877.977.1010 to schedule appointment.. a little notice would be great! Thx!</t>
  </si>
  <si>
    <t>This home shows like a dream! Make sure to point out that the bike path is directly behind the home. Super easy walk to Rotolo Middle School!   Dryvit has been scrupulously maintained/serviced by local stucco contractor in Batavia!</t>
  </si>
  <si>
    <t>Hartwell</t>
  </si>
  <si>
    <t>Dundee Ave to east on Ford Ave, South on Preston to East on Hartwell. Hartwell to home.</t>
  </si>
  <si>
    <t>50X134</t>
  </si>
  <si>
    <t>A wonderful 4 Bedroom 2 Bathroom home located close to Interstate 90! This cozy home has a radiant heating system with a new boiler. There is a ton of storage with a huge detached garage with plenty of room for a workshop! This is a great family home for 1st time buyers. Must See!!</t>
  </si>
  <si>
    <t>2.5  MINUS $195 (on Net SP)</t>
  </si>
  <si>
    <t>Inspire Realty Partners</t>
  </si>
  <si>
    <t>(630) 423-5890</t>
  </si>
  <si>
    <t>Robert Lehner</t>
  </si>
  <si>
    <t>(773) 387-2358</t>
  </si>
  <si>
    <t>Use Showing Assist to schedule all showings.</t>
  </si>
  <si>
    <t>Vacant home easy to sell. Adjacent lot is available at a discounted price if buyer buys both properties.</t>
  </si>
  <si>
    <t>KEDZIE TO 109TH EAST TO ALBANY SOUTH TO ADDRESS</t>
  </si>
  <si>
    <t>50.0 X 133.8</t>
  </si>
  <si>
    <t>Great opportunity.  This farm house sits on a double city lot.  Great rehab or tear down possibility.  Home features 9 rooms, 4 bedrooms and 2.1 bathrooms.  nice 2 car garage with alley access. Selling as is.  Seller will look at all reasonable offers.</t>
  </si>
  <si>
    <t>Hot Water/Steam, Radiators</t>
  </si>
  <si>
    <t>TV Antenna</t>
  </si>
  <si>
    <t>7X15</t>
  </si>
  <si>
    <t>2.25% (on Net SP)</t>
  </si>
  <si>
    <t>Joseph Thouvenell</t>
  </si>
  <si>
    <t>(773) 610-5368</t>
  </si>
  <si>
    <t>CALL 7732334700 SET WITH SEC.</t>
  </si>
  <si>
    <t>AS IS.  PLEASE FAX OR EMAIL OFFERS WITH POF OR PREQUAL FOR REHAB LOAN.  NEEDS REPAIRS THROUGHOUT.</t>
  </si>
  <si>
    <t>38W115</t>
  </si>
  <si>
    <t>Oak</t>
  </si>
  <si>
    <t>Randall Rd to McDonald Rd to Oak Drive.</t>
  </si>
  <si>
    <t>THIS HAS AN ACCEPTED OFFER. Country subdivision home on nearly an acre. Huge Great room, formal dining room, and full bath on first floor. New counter tops, new interior paint and carpet. Car lovers delight 40x40 3 car garage. Freddie Mac First Look Program through December 28th, 2014. Property sold "AS IS". Easy to show.</t>
  </si>
  <si>
    <t>Tom Skora</t>
  </si>
  <si>
    <t>(815) 751-4631</t>
  </si>
  <si>
    <t>Use Listing Showing Button.</t>
  </si>
  <si>
    <t>Write all offers on Modified 5.0 in Additional Information. There are 2 Kane County code issues to be resolved. 1. Remove dumptruck by shed. 2. Need siding on back of home and complete permit for garage. Seller is working on resolving these</t>
  </si>
  <si>
    <t>39W695</t>
  </si>
  <si>
    <t>Goldenrod</t>
  </si>
  <si>
    <t>Randall Rd to Bolcum Rd West to Prarie Lakes Blvd East to Goldenrod</t>
  </si>
  <si>
    <t>PRAIRIE LAKES</t>
  </si>
  <si>
    <t>130X181X79X192</t>
  </si>
  <si>
    <t>Ready for Occupancy. Prairie Lakes Stunner!The Fox Valley's premier home builder Derrico Custom Homes offers over 4400 sq ft of luxury in this beautiful home. Gourmet kitchen w/ custom cabinets, granite tops and w/i pantry.  Wolf and Subzero appliances.Master bath w/ volume ceiling and his &amp; her vanities. Awesome lot overlooking open space and lake. Full walk out bsmt.</t>
  </si>
  <si>
    <t>BELL-GRAHAM ELEMENTARY SCHOOL</t>
  </si>
  <si>
    <t>16X24</t>
  </si>
  <si>
    <t>Oven/Range, Microwave, Dishwasher, High End Refrigerator, Disposal, Wine Cooler/Refrigerator</t>
  </si>
  <si>
    <t>Pond, Water View</t>
  </si>
  <si>
    <t>Foyer, Study</t>
  </si>
  <si>
    <t>2.5 MINUS $200 (on Net SP)</t>
  </si>
  <si>
    <t>CALL 855-919-0377 OR CLICK SHOWING ASSIST,</t>
  </si>
  <si>
    <t>Home is complete and ready for occupancy.</t>
  </si>
  <si>
    <t>3N262</t>
  </si>
  <si>
    <t>Ponderosa</t>
  </si>
  <si>
    <t>Campton Hills Road West of Peck and East of LaFox to Ponderosa North to home.</t>
  </si>
  <si>
    <t>177X277X129X278</t>
  </si>
  <si>
    <t>FABULOUS Dutch Colonial on lovely 1 Acre lot backing to open space. 4 large BRs, 2 1/2 baths, updated Kit with Thomasville custom maple cabinets and New Appliances. Updated bathrooms, full basement with rec room &amp; wet bar, and lots of Storage! Outstanding 3-season porch &amp; large deck for entertaining. VERY well-maintained home. Newer Furnace &amp; Central Air. Great Location - Minutes to train, Randall Rd. shopping...WOW!</t>
  </si>
  <si>
    <t>Gas, Other</t>
  </si>
  <si>
    <t>Nature Preserve Adjacent, Irregular</t>
  </si>
  <si>
    <t>Water-Softener Owned, Central Vacuum, TV-Cable, CO Detectors, Ceiling Fan, Sump Pump, Backup Sump Pump</t>
  </si>
  <si>
    <t>Office, Recreation Room, Sun/Florida Room, Utility Room-1st Floor</t>
  </si>
  <si>
    <t>Deck, Porch, Porch Screened, Storage Shed, Dog Run &amp;/or Invisible Fence, Storms/Screens</t>
  </si>
  <si>
    <t>23X20</t>
  </si>
  <si>
    <t>Joe Kelly, ABR,GRI</t>
  </si>
  <si>
    <t>(630) 408-4400</t>
  </si>
  <si>
    <t>Please Call CSS  877-977-1010 Showings Resume 2-13-15</t>
  </si>
  <si>
    <t>MONITOR</t>
  </si>
  <si>
    <t>Foster (east of Austin) to Monitor South to 5113</t>
  </si>
  <si>
    <t>Gladstone Park</t>
  </si>
  <si>
    <t>125X37</t>
  </si>
  <si>
    <t>Your opportunity to move into this large home in a great area! Motivated sellers will look at all offers...show &amp; sell!Lovely Jefferson Park renovated home has 4 lge BR, 2 fully remodeled baths &amp; spac. kitch w/granite counter tops, SS refrig &amp; newer appl, 2C gar, full fin bmnt &amp; 3rd level w/wood flrs &amp; a bonus rm.Full brick, newer thermo windows, roof, hot H20 heater, boiler, HW flrs in living areas. EZ show</t>
  </si>
  <si>
    <t>Hot Water/Steam, Baseboard</t>
  </si>
  <si>
    <t>Bonus, Eating Area, Recreation Room</t>
  </si>
  <si>
    <t>(847) 524-4444</t>
  </si>
  <si>
    <t>Maria Wildoer, CSC</t>
  </si>
  <si>
    <t>(847) 912-3997</t>
  </si>
  <si>
    <t>Call 1-855-746-9100 for appointment</t>
  </si>
  <si>
    <t>24 hrs needed - no exceptions - confirmation needed</t>
  </si>
  <si>
    <t>10N547</t>
  </si>
  <si>
    <t>RANDALL TO WELD RD WEST TO WILLIAMSBURG</t>
  </si>
  <si>
    <t>WILLIAMSBURG GREEN</t>
  </si>
  <si>
    <t>387 X 287 X 180</t>
  </si>
  <si>
    <t>BEAUTIFULLY REMODELED RANCH on the most quiet &amp; private cul-de-sac lot in Williamsburg Green! Over 4000 sf of living space! Kitchen is GORGEOUS w/all NEW SS Apps! New carpeting &amp; freshly painted thru-out! Volume ceilings, tons of windows w/INCREDIBLE views. Full Finished Walk-Out w/Radiant heated flrs, 2nd kitchen, 4th bedroom/In-Law Suite &amp; sitting area, Billiard/Recreation Room, Wine &amp; Exercise Rms &amp; more!</t>
  </si>
  <si>
    <t>43X13</t>
  </si>
  <si>
    <t>35X25</t>
  </si>
  <si>
    <t>Oven-Double, Microwave, Dishwasher, Refrigerator, Washer, Dryer, All Stainless Steel Kitchen Appliances</t>
  </si>
  <si>
    <t>Separate Shower, Double Sink, Bidet, Soaking Tub</t>
  </si>
  <si>
    <t>Cul-de-sac, Irregular, Landscaped Professionally</t>
  </si>
  <si>
    <t>2nd Kitchen, Den, Exercise Room, Sitting Room</t>
  </si>
  <si>
    <t>Vaulted/Cathedral Ceilings, Heated Floors, In-Law Arrangement, 1st Floor Laundry, 1st Floor Full Bath</t>
  </si>
  <si>
    <t>12 hrs advance ~Must Confirm Call Showing Time @ 855-746-9200</t>
  </si>
  <si>
    <t>Passed Recent Dryvit inspection ~ indicates no defects.</t>
  </si>
  <si>
    <t>Touhy to Mason</t>
  </si>
  <si>
    <t>Great space in this 4 bedroom 3 bath home in North Edgebrook.  New kitchen with SS appliances overlooks family room with WB fireplace and large yard.  Don't miss this great home.  Please allow time for seller to respond to all offers. Sold AS-IS.</t>
  </si>
  <si>
    <t>28X18</t>
  </si>
  <si>
    <t>2.5% - 275.00 (on Gross SP)</t>
  </si>
  <si>
    <t>Sarah Egan Melaniphy</t>
  </si>
  <si>
    <t>(773) 383-8670</t>
  </si>
  <si>
    <t>sarah melaniphy</t>
  </si>
  <si>
    <t>Bennett</t>
  </si>
  <si>
    <t>orchard n of I88 to oak st w to deerpath n to tanner w to bennett n to home</t>
  </si>
  <si>
    <t>Tanner Trails</t>
  </si>
  <si>
    <t>82X173</t>
  </si>
  <si>
    <t>Must sell! Motivated seller! Great home at a great price! Features 4 bedrooms, 2.1 baths, 3 car garage, patio, front porch, full basement with rough-in plumbing ready to be finished! Family room with fireplace! No neighbors in back! All appliances and window treatments included! Kaneland School District 302! New roof, siding and gutters! Home is in move-in ready condition!</t>
  </si>
  <si>
    <t>Carmen Castrejon</t>
  </si>
  <si>
    <t>(815) 514-0080</t>
  </si>
  <si>
    <t>Text 815-514-0080</t>
  </si>
  <si>
    <t>Use showing assist, must confirm.</t>
  </si>
  <si>
    <t>Not a short sale. Sellers are going through a divorce and just want OUT! Disclosures are attached. Email offers. All offers must include disclosures and pre-approval letter. Showings must be confirmed. Text agent for quicker response.</t>
  </si>
  <si>
    <t>92ND</t>
  </si>
  <si>
    <t>SOUTH ON STONY ISLAND THEN EAST ON 92ND.</t>
  </si>
  <si>
    <t>40X126</t>
  </si>
  <si>
    <t>WELL MAINTAINED BRICK BUNGALOW SPLIT LEVEL. WHITE KITCHEN W/ AN ISLAND AND BREAKFAST AREA, THERMOPANE WINDOWS, NICE CARPETING, GAS FORCED AIR AND CENTRAL/AIR, FINISHED LOWER LEVEL, LARGE LOT, CLOSE TO PUBLIC TRANSPORTATION AND THE HIGHWAY. MANY IMPROVEMENTS.</t>
  </si>
  <si>
    <t>Central Air, Partial</t>
  </si>
  <si>
    <t>2.5 %-$325 ON SP (on Net SP)</t>
  </si>
  <si>
    <t>Gregory Viti</t>
  </si>
  <si>
    <t>(312) 867-2132</t>
  </si>
  <si>
    <t>PLEASE TEXT/CALL ALOK 630-674-9436</t>
  </si>
  <si>
    <t>ORCHARD S TO GALENA RD W TO CONCORD N TO Geneva</t>
  </si>
  <si>
    <t>84X120</t>
  </si>
  <si>
    <t>Really nice home that is in move-in condition!  Freshly painted inside and out! New carpeting throughout.  This one is IT!  Wide open floor plan with dual staircase.  Kitchen opens to family room.  Bedrooms are large with great closet space. Lovely home that you can move right in.  Can close quickly.  Not a short sale, just priced to sell!</t>
  </si>
  <si>
    <t>All, Blinds</t>
  </si>
  <si>
    <t>RE/MAX TOWN &amp; COUNTRY</t>
  </si>
  <si>
    <t>(630) 844-2100</t>
  </si>
  <si>
    <t>Kathy Brothers, ABR</t>
  </si>
  <si>
    <t>(630) 201-4664</t>
  </si>
  <si>
    <t>Please call 877-977-1010</t>
  </si>
  <si>
    <t>We believe this home is in excellent condition, but due to the fact that it is being sold through a trust, we are selling it "as is."  Please note that when you are writing an offer!</t>
  </si>
  <si>
    <t>Thunder Gulch</t>
  </si>
  <si>
    <t>Rt. 30 (West of Orchard) to Dickson South to Concord East to Thunder Gulch Right to home</t>
  </si>
  <si>
    <t>BLACKBERRY CROSSING WEST</t>
  </si>
  <si>
    <t>COVENTRY C</t>
  </si>
  <si>
    <t>76X141</t>
  </si>
  <si>
    <t>Beautiful 4Br home built by Ryland in 2010. Home features 9' ft 1st floor ceiling, hardwood on entire 1st floor, kitchen w/granite, 42" cabinets, island w/breakfast bar, SS appliances, recess can lights, white 6 panel doors/trim, large great room &amp; flex room that can be formal DR. &amp; oak railings. Master bath w/double vanity, jetted tub, large WIC &amp; shower w/tile surround. Whole house freshly painted &amp; large yard. A+</t>
  </si>
  <si>
    <t>Eating Area, Other</t>
  </si>
  <si>
    <t>Re/Max Ultimate Professionals</t>
  </si>
  <si>
    <t>(815) 556-1077</t>
  </si>
  <si>
    <t>Sarah Machmouchi</t>
  </si>
  <si>
    <t>(630) 776-9589</t>
  </si>
  <si>
    <t>Fax 630 405-1153</t>
  </si>
  <si>
    <t>Click on Showing Assist</t>
  </si>
  <si>
    <t>Not a short sale or foreclosure.  There is a 6yr builder structural warranty that is transferable to the new buyer. Please use 6.0 contract only (see MLS)</t>
  </si>
  <si>
    <t>111th Street to Talman (2650 west). North to home</t>
  </si>
  <si>
    <t>58 X 127</t>
  </si>
  <si>
    <t>Stately center entrance 2 story with double bay windows on large West Beverly corner lot. 4 large bedrms on 2nd floor, beaut remod kitchen w/ bay window and granite counters, huge formal dining rm, 34' living rm w/ stone frpl and comfortable lower level fam rm w/2nd stone frpl. Features/imprvmts include large whirlpool tub, new water line &amp; pipes, newer furnace and CA, 2-50 gal hot wtr tanks, 2c brk garage &amp; grt yard</t>
  </si>
  <si>
    <t>CLISSOLD ELEMENTARY SCHOOL</t>
  </si>
  <si>
    <t>16X34</t>
  </si>
  <si>
    <t>14X32</t>
  </si>
  <si>
    <t>2.5%-$200; 2%-$200 FOR "EXCLUSIONS" (on Net SP)</t>
  </si>
  <si>
    <t>William Biros</t>
  </si>
  <si>
    <t>(708) 237-7711</t>
  </si>
  <si>
    <t>Use Showing Assist; buyer must be accompanied by their agent.</t>
  </si>
  <si>
    <t>Earnest money must be certified funds payable to BHHS Biros Real Estate.</t>
  </si>
  <si>
    <t>Avalon</t>
  </si>
  <si>
    <t>Galena Rd. to Concord N to Columbia to Avalon W</t>
  </si>
  <si>
    <t>Great spacious home with wonderful indoor &amp; outdoor space. Nice floor plan with plenty of space. Full finished basement with wet bar. 4 good sized bedrooms + a bonus room upstairs. Master bath has soaking tub, dbl vanity &amp; separate shower. Large family room on main level w/fp! Home offers a stamped concrete patio &amp; large deck that overlooks pond! No personal property included. This is a Fannie Mae HomePath property.</t>
  </si>
  <si>
    <t>Bonus, Eating Area, Exercise Room, Office, Recreation Room</t>
  </si>
  <si>
    <t>Bar-Wet, 2nd Floor Laundry</t>
  </si>
  <si>
    <t>Deck, Stamped Concrete Patio</t>
  </si>
  <si>
    <t>29X21</t>
  </si>
  <si>
    <t>Call centralized showing 877-977-1010</t>
  </si>
  <si>
    <t>AUSTIN</t>
  </si>
  <si>
    <t>AUSTIN TO 5630 ON WEST SIDE OF STREET (EAST OF HARLEM WEST OF CENTRAL)</t>
  </si>
  <si>
    <t>COMPLETED REMODELED &amp; GORGEOUS! THIS 4 BR RANCH IN GARFIELD RIDGE IS MOVE IN READY! FEATURES BEAUTIFUL KITCHEN W/GRANITE COUNTERS &amp; SS APPLIANCES. HARDWOOD FLOORS, UPDATED BATHS, FINISHED BASEMENT, FENCED YARD &amp; 2 1/2 CAR GAR. FURNACE NEW IN 2014(WARRANTY INCL), ALL SOUND PROOFED WINDOWS &amp; DOORS-2012. UPDATED PLUMBING TO COPPER &amp; PVC WITHIN THE LAST 5 YEARS, DRAIN TILE SYSTEM TO SUMP PUMP 2 ASSURE FLOOD PROTECTION!</t>
  </si>
  <si>
    <t>Lisa Nowogurski</t>
  </si>
  <si>
    <t>(847) 858-5399</t>
  </si>
  <si>
    <t>CALL SHOWING COORDINATOR 888-362-3222</t>
  </si>
  <si>
    <t>ALL SHOWINGS REQUIRE A 2 HOUR NOTICE!  Buyers changed their mind. Their loss is your gain!</t>
  </si>
  <si>
    <t>Joy</t>
  </si>
  <si>
    <t>Randall to Joy</t>
  </si>
  <si>
    <t>14810 SF</t>
  </si>
  <si>
    <t>Sold during processing</t>
  </si>
  <si>
    <t>Call 1.855.746.9100</t>
  </si>
  <si>
    <t>ADDISON</t>
  </si>
  <si>
    <t>Western to Addison, West to 2422</t>
  </si>
  <si>
    <t>25.6 X 125</t>
  </si>
  <si>
    <t>Spectacular 4 Bed 3 1/2 Bath New Construction Single Family Home in the Bell School District! Elegant Transitional Interior, Wide, Expansive, Dramatic yet Practical Floor Plan. Raised Panel Cabinetry, Quartz, Porcelain Tile &amp; Mosaic, Thermador Appliances, Rich Stained Floors, Fireplace, Main Floor Great Room, Resort Caliber Master Suite, Audio Prewire, Zoned HVAC, Full Finished Rooftop Deck- Delivery Late  Nov 2014!</t>
  </si>
  <si>
    <t>BELL ELEMENTARY SCHOOL</t>
  </si>
  <si>
    <t>Whirlpool, Separate Shower, Steam Shower, Double Sink, Full Body Spray Shower</t>
  </si>
  <si>
    <t>TV-Cable, Intercom, CO Detectors, Sump Pump</t>
  </si>
  <si>
    <t>Breakfast Room, Great Room, Recreation Room</t>
  </si>
  <si>
    <t>Sauna/Steam Room, Bar-Wet, Hardwood Floors, 2nd Floor Laundry</t>
  </si>
  <si>
    <t>Balcony, Roof Deck, Stamped Concrete Patio</t>
  </si>
  <si>
    <t>Portable/Ventless</t>
  </si>
  <si>
    <t>2.5%-$275.00 (on Net SP)</t>
  </si>
  <si>
    <t>Karen@ncgchicago.com</t>
  </si>
  <si>
    <t>1 of 4 Ultra Modern New Construction SF homes located in the Bell School District</t>
  </si>
  <si>
    <t>Cranston</t>
  </si>
  <si>
    <t>Rt 20 west of Randall to Longcommon S to Cranston W to home</t>
  </si>
  <si>
    <t>74X129X78X128</t>
  </si>
  <si>
    <t>Fabulous huge 4 bedroom home! Very Spacious and light kitchen with all new SS appliances, Family room wired with surround and fireplace, 1st floor den, formal living and dining areas, butler pantry and walk-in pantry, huge laundry room, loft, spacious Master with luxury bath - full unfinished basement, new paver brick patio, fully fenced privacy yard - park across the street! Awesome home! Dist 301 schools!</t>
  </si>
  <si>
    <t>Mary Sagan, SFR</t>
  </si>
  <si>
    <t>(847) 712-0812</t>
  </si>
  <si>
    <t>Call LO - notice needed</t>
  </si>
  <si>
    <t>Perry/Colby</t>
  </si>
  <si>
    <t>Claremont</t>
  </si>
  <si>
    <t>Wabansia West of Damen to Claremont, South to 1631</t>
  </si>
  <si>
    <t>Stunning Bucktown Full Chicago Brick Home 4200 sqft, 4 bed/3.1 Bath Gut Renovation w/Full Addition. All 4 Bedrooms on 2nd level. Transitional Open layout- Stained Oak Floors. Formal living &amp; Dining Room, 2 Frplcs, Custom Cabinetry, Pantry, Subzero/Viking Great details for family living; Mud room/Laundry chute. Well equipped w/Steam Shower, Whirlpool, Audio Wired, City Yard and Garage Deck with Pergola &amp; Landscaping!</t>
  </si>
  <si>
    <t>PULASKI INTERNATIONAL</t>
  </si>
  <si>
    <t>Oven-Double, Microwave, High End Refrigerator, Washer, Dryer, Disposal, All Stainless Steel Kitchen Appliances</t>
  </si>
  <si>
    <t>Security System, Intercom, CO Detectors, Sump Pump, Backup Sump Pump</t>
  </si>
  <si>
    <t>Play Room, Recreation Room, Storage</t>
  </si>
  <si>
    <t>Sauna/Steam Room, Hardwood Floors</t>
  </si>
  <si>
    <t>7X32</t>
  </si>
  <si>
    <t>Quaint Cottage faÃ§ade opens to a spacious and well planned home- home is 74' deep- full Chicago brick. Addition and renovation was done in 2011. Please allow 24 hours notice for showing requests.</t>
  </si>
  <si>
    <t>93rd</t>
  </si>
  <si>
    <t>E OR W ON 93RD TO PROPERTY.</t>
  </si>
  <si>
    <t>Bank owned, selling AS-IS, Where-Is. 100% tax proration. Clean kitchen and baths. Finished basement. Home does need TLC</t>
  </si>
  <si>
    <t>36X10</t>
  </si>
  <si>
    <t>Eating Area, Great Room</t>
  </si>
  <si>
    <t>Please return key to lockbox. Entry through backdoor only</t>
  </si>
  <si>
    <t>TAKE PULASKI S TO 31ST THEN E.TO HAMLIN 4 BLKS THEN R.</t>
  </si>
  <si>
    <t>LITTLE VILLAGE</t>
  </si>
  <si>
    <t>SOLD AS-IS, NO CONCESSIONS, NO FINANCE OR INSPECTION CONTINGENCY. 100% TAX PRORATION, NO DISCLOSURES, NO SURVEY. NO FHA, BUYER RESPONSIBLE FOR ANY &amp; ALL INSPECTIONS.BEING SOLD VIA ONLINE AUCTION. BUYER TO PAY $299 PLUS BUYER PREMUIM. MINIMUM STARTING BID IS $27,000.</t>
  </si>
  <si>
    <t>Eating Area, Office</t>
  </si>
  <si>
    <t>2.5% OR $1250 MIN - $175 (on Net SP)</t>
  </si>
  <si>
    <t>Stephne Pettitt-Gaines</t>
  </si>
  <si>
    <t>(773) 612-3942</t>
  </si>
  <si>
    <t>CLICK ON SHOWING ASSIST</t>
  </si>
  <si>
    <t>NO FHA, CASH ONLY, BUYER RESPONSIBLE FOR ANY AND ALL INSPECTIONS. 100% TAX PRORATIONS - NO DISCLOSURES - NO SURVEY. BUYER TO PAY BUYER PREM PLUS $299 TECH FEE AT CLOSING. MIN STARTING BID IS $27,000. AUCTION ON - WWW.HUBZU.COM</t>
  </si>
  <si>
    <t>Catalpa</t>
  </si>
  <si>
    <t>California to Catalpa west on Catalpa to address.</t>
  </si>
  <si>
    <t>BUDLONG WOODS</t>
  </si>
  <si>
    <t>62X129X35X132</t>
  </si>
  <si>
    <t>Lincoln Square Budlong Woods stately beauty on extra-large corner lot. Canoe, run in the park,work out at Galter Life Center are  few of unique amenities of this neighborhood of custom residences. 4 large bedrooms on second, two wood burning fireplaces, large living/dining rooms, and much more living space. 2-car attached garage. Live like a King/Queen in this custom, regal home.</t>
  </si>
  <si>
    <t>Breakfast Room, Foyer, Recreation Room, Storage, Other</t>
  </si>
  <si>
    <t>Balcony, Patio, Roof Deck</t>
  </si>
  <si>
    <t>37X37</t>
  </si>
  <si>
    <t>2.5%-$295 (ON NET SP) (on Net SP)</t>
  </si>
  <si>
    <t>Please email ohgshowings@dreamtown.com with 24 hours notice.</t>
  </si>
  <si>
    <t>A  real beauty with great potential.</t>
  </si>
  <si>
    <t>S on Nesler from US20.  E on South Street.  S on Shadow Hill Drive to Subject Property</t>
  </si>
  <si>
    <t>80 X 165</t>
  </si>
  <si>
    <t>Look no further! Impeccably maintained, fully upgraded 4 BR with office, laundry, fully finished basement and loads of storage. Hardwood floors. Open layout is anchored by the massive kitchen &amp; family room with fireplace. Master BR has huge bathroom and walk-in. Over-sized garage fits it all. Most desirable location in Shadow Hill/Providence area. Gorgeous yard backs to private nature preserve with walking trails</t>
  </si>
  <si>
    <t>Humidifier, TV-Cable, CO Detectors, Ceiling Fan, Sump Pump, Air Cleaner, Radon Mitigation System(s)</t>
  </si>
  <si>
    <t>Breakfast Room, Den, Exercise Room, Loft, Recreation Room, Storage, Workroom</t>
  </si>
  <si>
    <t>Patio, Stamped Concrete Patio, Grill-Outdoors</t>
  </si>
  <si>
    <t>Associates Realty</t>
  </si>
  <si>
    <t>(847) 833-5282</t>
  </si>
  <si>
    <t>Glenn Theriault</t>
  </si>
  <si>
    <t>(815) 751-2680</t>
  </si>
  <si>
    <t>Short notice OK.</t>
  </si>
  <si>
    <t>Quick close possible. Be confident in this home - shows like model.  Agent owned home.</t>
  </si>
  <si>
    <t>Osceola</t>
  </si>
  <si>
    <t>ADDISON TO OSCEOLA NORTH TO PROPERTY</t>
  </si>
  <si>
    <t>Need more room?  This immaculate house is a must see! All New Plumbing, Electric, New Hardwood Floors, Baths, Kitchen w SS APP Granite, New Roof, Windows, Full Finished Basement. Huge home great for entertaining. Main level has cathedral ceilings and a fantastic floor plan. Walk out patio and new garage. This home is ready for you to move in, close to shopping and expressways.  Don't miss out on a fantastic value for</t>
  </si>
  <si>
    <t>Oven-Double, Oven/Range, Microwave, Dishwasher, Refrigerator</t>
  </si>
  <si>
    <t>Nick Libert</t>
  </si>
  <si>
    <t>(312) 493-0920</t>
  </si>
  <si>
    <t>Weekday showings after 6pm- 24hrs notice required- text TONY 248-568-6732</t>
  </si>
  <si>
    <t>Yates</t>
  </si>
  <si>
    <t>79th St. OR 83RD ST. TO YATES ( 2400E) NEAR LAKE MICHIGAN SOUTH or North Respectively TO HOME</t>
  </si>
  <si>
    <t>RAINBOW BEACH</t>
  </si>
  <si>
    <t>44 X 125</t>
  </si>
  <si>
    <t>Professionally remodeled large custom built raised ranch with master bedroom &amp; bath, new roof (w/skylights and custom ceiling), windows, furnace, water tank, electric, doors, refinished hardwood floors, lots of closets. Granite counters, and s/steel appliances. Huge finished basement with overhead plumbing, bedroom wet bar &amp; fireplace. Large side drive with wrought iron gate &amp; nice landscape. You must see this home!</t>
  </si>
  <si>
    <t>Eating Area-Table Space, Galley, Island</t>
  </si>
  <si>
    <t>Whirlpool, Full Body Spray Shower, Soaking Tub</t>
  </si>
  <si>
    <t>Brick, Clad Trim</t>
  </si>
  <si>
    <t>Skylight(s), Bar-Wet, Hardwood Floors, 1st Floor Bedroom, 1st Floor Full Bath</t>
  </si>
  <si>
    <t>Patio, Porch, Storms/Screens</t>
  </si>
  <si>
    <t>Off Alley, Off Street, Side Apron, Driveway</t>
  </si>
  <si>
    <t>Ty Threatt, MRP</t>
  </si>
  <si>
    <t>(773) 960-5000</t>
  </si>
  <si>
    <t>Fax 888 462 3956</t>
  </si>
  <si>
    <t>Call 773.960.5000 for one day code and alarm code.</t>
  </si>
  <si>
    <t>Call LA 773.960.5000 for access .. Please submit contract with premium approval.</t>
  </si>
  <si>
    <t>Seeley</t>
  </si>
  <si>
    <t>95th Street to Seeley, south 2 blocks to address.</t>
  </si>
  <si>
    <t>BEVERLY HILLS</t>
  </si>
  <si>
    <t>50X124</t>
  </si>
  <si>
    <t>Accurately restored and perfectly maintained Prairie Four Square style home in Beverly. Detailed arts and crafts style exudes warmth and comfort. Beautifully landscaped yard can be viewed from rear porch that overlooks additional side yard. Finished heated two car garage can double as work shop. Photographers dark room in basement. Walking distance to Metra, Ridge Park, 95th Street Farmers Market, schools and shoppin</t>
  </si>
  <si>
    <t>KELLOGG ELEMENTARY SCHOOL</t>
  </si>
  <si>
    <t>Space Pac</t>
  </si>
  <si>
    <t>Interior Stair, Unfinished</t>
  </si>
  <si>
    <t>Dark Room, Deck, Enclosed Porch Heated, Foyer, Utility Room-Lower Level</t>
  </si>
  <si>
    <t>Dark Room</t>
  </si>
  <si>
    <t>Plateau Properties LLC</t>
  </si>
  <si>
    <t>(708) 417-6739</t>
  </si>
  <si>
    <t>Andrew Horin</t>
  </si>
  <si>
    <t>Notice required, use showing assist or contact agent.</t>
  </si>
  <si>
    <t>Beautiful home, no work or maintenance required.  All furniture and art work in the home is for sale, separately.  Stain glass windows in bedroom are for sale separately.  Disclosures onsite.</t>
  </si>
  <si>
    <t>Barrington Rd to Buttita West to Woodland Heights (Buttita turns into Woodland Hghts)</t>
  </si>
  <si>
    <t>77X112</t>
  </si>
  <si>
    <t>Hurry to this large custom home that features 2 master suites. Very open floor plan with 9' ceilings first floor and vaulted ceiling on 2nd floor. You'll love the heated bamboo and tile floors on 1st level. Newer kit with cherry cabs, granite and brand new ss appl. All baths have new granite tops. Completely painted t/o and all new carpet. Thermopane casement windows, 6 panel solid core doors. One of a kind home!!!</t>
  </si>
  <si>
    <t>Oven/Range, Microwave, Dishwasher, Refrigerator, Washer, Disposal, All Stainless Steel Kitchen Appliances</t>
  </si>
  <si>
    <t>Vaulted/Cathedral Ceilings, Hardwood Floors, Heated Floors, 1st Floor Laundry</t>
  </si>
  <si>
    <t>Paul Ayers</t>
  </si>
  <si>
    <t>(630) 539-4038</t>
  </si>
  <si>
    <t>vacant call office for combo</t>
  </si>
  <si>
    <t>Home will be staged next Tuesday if you wish to wait and final detailing to kitchen and new doors will be completed on Monday 12/15</t>
  </si>
  <si>
    <t>California</t>
  </si>
  <si>
    <t>Armitage to California, 1 block south to property</t>
  </si>
  <si>
    <t>Fantastic Logan Square Single family home on a corner lot.  Open Floor plan on main level offers wonderful entertaining space.  Deck off kitchen will be great for bbqâ€™s.  Yard is landscaped and leads to a 2 car garage.  3 bedrooms and 2 bathrooms on the 2nd floor.  Lower level is finished with a family room, bedroom and full bath.  Walk to the blue line and all of logan squareâ€™s amazing restaurants.</t>
  </si>
  <si>
    <t>Gas, 2+ Sep Heating Systems, Indv Controls</t>
  </si>
  <si>
    <t>Park/Playground, Tennis Courts, Pond/Lake</t>
  </si>
  <si>
    <t>Oven/Range, Dishwasher, Refrigerator, Washer, Dryer, Compactor-Trash</t>
  </si>
  <si>
    <t>Vinyl Siding, Stucco</t>
  </si>
  <si>
    <t>Skylight(s), Hot Tub, Hardwood Floors, 2nd Floor Laundry</t>
  </si>
  <si>
    <t>Matt Liss</t>
  </si>
  <si>
    <t>(773) 415-4744</t>
  </si>
  <si>
    <t>Please Email MattL@markallenrealty.com</t>
  </si>
  <si>
    <t>Open House Saturday December 13 from 11-1</t>
  </si>
  <si>
    <t>Damen to Argyle, West to Seeley south to home</t>
  </si>
  <si>
    <t>26 X 125</t>
  </si>
  <si>
    <t>Sunny home in popular Lincoln Square! Open floor plan features 4 beds/3.1 baths, hwflrs t/o 1st flr. crown molding, custom blinds, Skylights, spacious kitchen S/S Appliances, Granite, and great room!3 Fireplaces. Lower level w/ 10 ft ceilings, storage. Enjoy the multiple outdoor spaces, front porch, large deck , Close to all just blocks from shops, restaurants, Winnemac Park and metra! 2+car garage with roof deck.</t>
  </si>
  <si>
    <t>Humidifier, Intercom</t>
  </si>
  <si>
    <t>2.5% - $300 (on Net SP)</t>
  </si>
  <si>
    <t>Dave Auffarth</t>
  </si>
  <si>
    <t>(312) 593-2424</t>
  </si>
  <si>
    <t>Cell 312-593-2424</t>
  </si>
  <si>
    <t>EMail ShowMyCity@yahoo.com.  Easy to show</t>
  </si>
  <si>
    <t>East to show.  E-Mail us at ShowMyCity@yahoo.com</t>
  </si>
  <si>
    <t>4N375</t>
  </si>
  <si>
    <t>Babson</t>
  </si>
  <si>
    <t>Randall Rd to Dean St west to Babson Ln north to home</t>
  </si>
  <si>
    <t>Fannie Mae Homepath Property! A must see! 2 story 4 bdrm 2.5 bth on a wooded lot. Granite kitchen countertops. Crown molding. FP in family rm. Extra large rooms with beautiful refinished HW floors throughout. Fresh Paint! Ingound pool.  See attached docs prior to submitting an offer on Homepath.</t>
  </si>
  <si>
    <t>Dishwasher, Washer, Dryer</t>
  </si>
  <si>
    <t>Patio, Pool In-Ground</t>
  </si>
  <si>
    <t>Capital Asset Group 630-369-4508</t>
  </si>
  <si>
    <t>PLEASE CALL CENTRALIZED SHOWING AT 877-977-1010</t>
  </si>
  <si>
    <t>Cornelia to Bell (2232 West). One way south to 3425, on east side of Bell.</t>
  </si>
  <si>
    <t>Beautiful newly renovated 4 BR brick SF in the heart of Roscoe Village. Audubon School Dist. 3,400 sqft of living space. Stunning kit w/Wolf, Bosch &amp; SubZero appliances. 4.5 luxurious baths. Hardwood flrs &amp; recessed lighting. LL w/large rec room w/wet bar. Radiant heat. 2 oversized decks plus a large backyard w/patio pavers. 2-car garage!</t>
  </si>
  <si>
    <t>AUDUBON ELEMENTARY SCHOOL</t>
  </si>
  <si>
    <t>08X14</t>
  </si>
  <si>
    <t>09X19</t>
  </si>
  <si>
    <t>Oven/Range, Microwave, Dishwasher, High End Refrigerator, Disposal, All Stainless Steel Kitchen Appliances, Wine Cooler/Refrigerator</t>
  </si>
  <si>
    <t>Humidifier, Security System</t>
  </si>
  <si>
    <t>Deck, Foyer, Recreation Room, Sun/Florida Room, Walk In Closet</t>
  </si>
  <si>
    <t>Bar-Wet, Hardwood Floors, Heated Floors, 1st Floor Full Bath</t>
  </si>
  <si>
    <t>13X29</t>
  </si>
  <si>
    <t>07X07</t>
  </si>
  <si>
    <t>Berwyn</t>
  </si>
  <si>
    <t>Foster West of Ashland, North on Wolcott, West on Berwyn to address.</t>
  </si>
  <si>
    <t>Fully rehabbed single family home. Open concept main level w craftsman details &amp; designer finishes throughout. Kitchen w gray shaker cabinets &amp; island, Thermador appliances &amp; honed granite counters. Great family room w rear mud room. 3 beds, 2 baths &amp; full laundry on upper level. Fully finished lower level w rec room, 4th bed &amp; full bath. Inviting front porch, rear deck and great yard. New 2 car detached garage.</t>
  </si>
  <si>
    <t>Mud Room, Recreation Room</t>
  </si>
  <si>
    <t>74th Street To Marshfield</t>
  </si>
  <si>
    <t>Nice Frame House IN Need Of Some Repairs. This Property Is Eligible Under The Feddie Mac First Look Initiative  Through January 3rd 2015</t>
  </si>
  <si>
    <t>09X14</t>
  </si>
  <si>
    <t>Aluminum Siding, Vinyl Siding, Frame</t>
  </si>
  <si>
    <t>08X13</t>
  </si>
  <si>
    <t>Midwest Preferred</t>
  </si>
  <si>
    <t>(708) 346-0002</t>
  </si>
  <si>
    <t>James Castello, ABR,CNC</t>
  </si>
  <si>
    <t>(312) 320-0626</t>
  </si>
  <si>
    <t>Contact Listing Office</t>
  </si>
  <si>
    <t>Disclosures Are Located On the MLS</t>
  </si>
  <si>
    <t>Ford</t>
  </si>
  <si>
    <t>Shoe Factory to Blackhawk N to Ford W to Home</t>
  </si>
  <si>
    <t>62 X 120</t>
  </si>
  <si>
    <t>Handyman dream!!Large home in fabulous close to it all location near stores, park &amp; expressway. Large fenced yard with a deck  hardwood floors and 2 car attached garage. Great potential.Sold AS IS. *ALL OFFERS MUST BE SUBMITTED BY THE BUYERS AGENT VIA OFFERSUBMISSION PROP. ID# 947663.  BUYER PAYS $300 FEE AT CLOSING. Bring your offer today!</t>
  </si>
  <si>
    <t>Dimensions to Center of Road</t>
  </si>
  <si>
    <t>(847) 790-8400</t>
  </si>
  <si>
    <t>Teresa Sterna, e-PRO,GRI,SRES,SRS</t>
  </si>
  <si>
    <t>(847) 778-7358</t>
  </si>
  <si>
    <t>847-778-7358</t>
  </si>
  <si>
    <t>Call listing office 847-790-8400 or use showing assist</t>
  </si>
  <si>
    <t>*ALL OFFERS MUST BE SUBMITTED BY THE BUYERS AGENT VIA OFFERSUBMISSION ID# 947663. NO PAPERWORK REQUIRED UNTIL TERMS ACCEPTED. BUYER PAYS $300 FEE AT CLOSING. Handyman dream! Bring all offers. Please call Teresa with questions.</t>
  </si>
  <si>
    <t>Heatherfield</t>
  </si>
  <si>
    <t>LINCOLN HWY TO 1ST NORTH TO DRESSER WEST, LEFT TO DANIEL, TO HEATHER FIELD.</t>
  </si>
  <si>
    <t>125X124</t>
  </si>
  <si>
    <t>4 bedroom, 2.5 bath Great family home, 1st floor laundry,  fireplace,  Master suite, 2 car garage and partially finished basement with plenty of room for storage. Open kitchen lay out</t>
  </si>
  <si>
    <t>Aluminum Siding, Steel Siding, Brick</t>
  </si>
  <si>
    <t>Ben Campbell</t>
  </si>
  <si>
    <t>(630) 229-5375</t>
  </si>
  <si>
    <t>ShowingAssist</t>
  </si>
  <si>
    <t>Please see attachments. Any financed offers require a pre-qual from Greenlight Loans 866-250-7143.  Property is being sold via an online marketing event. Go to auction.com during the bidding period. 5% buyers premium Applies</t>
  </si>
  <si>
    <t>HANBURY</t>
  </si>
  <si>
    <t>Orchard to Galena -west to Concord - right to Hanbury</t>
  </si>
  <si>
    <t>Montgomery Crossings</t>
  </si>
  <si>
    <t>4BR'S PLUS BONUS ROOM &amp; LOWER LEVEL REC RM.  GRANITE COUNTERS, 42" CABS, ISLAND &amp; ALL APPLIANCES INCL. OPEN/SPACIOUS LIVING RM., FAMILY RM &amp; DINING AREA.  MASTER W/FULL BATH &amp; LRG WIC. ON-SITE ELEM SCHOOL/LAKEWOOD CREEK, TRAUGHBER JH &amp; OSWEGO HS. FRONT PORCH, LARGE BACKYARD WITH PATIO &amp; FIREPIT.  2 CAR ATTACHED GARAGE.  MOVE-IN READY!</t>
  </si>
  <si>
    <t>Park/Playground, Curbs/Gutters, Street Lights, Street Paved</t>
  </si>
  <si>
    <t>call centralized 877-977-1010</t>
  </si>
  <si>
    <t>Disclosures Attached to this listing.  Regular Sale!</t>
  </si>
  <si>
    <t>WING PARK</t>
  </si>
  <si>
    <t>LAWRENCE TO WING PARK BLVD N TO 521</t>
  </si>
  <si>
    <t>WING PARK MANOR</t>
  </si>
  <si>
    <t>100X137X100X137</t>
  </si>
  <si>
    <t>Welcome and enjoy the Immaculate brick ranch home located 1/2 block from wing park! 2694 square feet of comfort, with a spacious living area, open floorplan, stainless steel appliances and granite counter top! New carpeting and freshly painted just for you, the Fannie Mae HomePath property will exceed your expectations, taxes are 100% prorated.</t>
  </si>
  <si>
    <t>Oven-Double, Microwave, Dishwasher, Dryer, Disposal</t>
  </si>
  <si>
    <t>Humidifier, Water-Softener Owned, TV-Cable, Security System, CO Detectors, Ceiling Fan</t>
  </si>
  <si>
    <t>Natalee Barracks-Dismuke</t>
  </si>
  <si>
    <t>(847) 931-4663x523</t>
  </si>
  <si>
    <t>Please see attached docs under additional info. All offers be made on HomePath.com. Also, send the same docs to ndismuke@starckrealtors.com &amp; we will confirm receipt. Have your buyer(s) select &amp; INITIAL title option in Section 10.</t>
  </si>
  <si>
    <t>Tripp</t>
  </si>
  <si>
    <t>Foster to Tripp (stop light).  South to home (one way south bound).</t>
  </si>
  <si>
    <t>NORTH MAYFAIR</t>
  </si>
  <si>
    <t>27 X 126</t>
  </si>
  <si>
    <t>Chicago Bungalow in Mayfair. Beautifully renovated 4 BR/2 BA home has NEW white kitchen w/ breakfast area &amp; enclosed porch overlooking newly built two car garage. Chef's appliances featuring french door refrigerator. Original build-ins &amp; stained glass remain in LR. Master suite w/ bonus living area on second level, dual closets and walk-in shower. Finished entertainer's rec room has generous footprint on lower level.</t>
  </si>
  <si>
    <t>Oven/Range, Microwave, Dishwasher, High End Refrigerator, Washer, Dryer</t>
  </si>
  <si>
    <t>2.5% ON NET (on Net SP)</t>
  </si>
  <si>
    <t>Colette Netwig</t>
  </si>
  <si>
    <t>(312) 401-9500</t>
  </si>
  <si>
    <t>Please use showing assist or phone agent: (312) 401-9500.  Use front door key and turn left.</t>
  </si>
  <si>
    <t>Please access the front door key using the lock box, key turns left to open door you can always phone agent: (312) 401-9500.</t>
  </si>
  <si>
    <t>Addison to Sacramento (head North)</t>
  </si>
  <si>
    <t>STUNNING Gut Rehab: 3 Floors of Luxury Living Above Grade; 4 beds 3.1 Baths; HDWD Floors; Custom Kitchen w/ White Shaker Cabinets, Granite Counters, Marble Back Splash, Jenn-Air Appliances; Picture Frame detail, Coffered Ceiling, Crown Molding, Grand Staircase; Master w/HUGE Walk-in Closet &amp; En Suite Bath; HUGE Family Room w/ Mud area &amp; Custom-Built Cubbies; Wine Room; Dual Zoned HVAC; 1st Floor Laundry and MORE!</t>
  </si>
  <si>
    <t>Oven/Range, Microwave, Dishwasher, High End Refrigerator, Freezer, Disposal, All Stainless Steel Kitchen Appliances</t>
  </si>
  <si>
    <t>Balcony, Den, Deck, Sitting Room, Walk In Closet, Other</t>
  </si>
  <si>
    <t>Balcony, Deck, Patio, Porch, Storms/Screens</t>
  </si>
  <si>
    <t>(847) 763-0200</t>
  </si>
  <si>
    <t>Stephanie Andre</t>
  </si>
  <si>
    <t>(312) 371-5940</t>
  </si>
  <si>
    <t>Call Showing Desk 855-746-9020.</t>
  </si>
  <si>
    <t>Easy to show. Everything NEW!: all mechanicals, plumbing, electrical, roof, siding, windows, all bathrooms, fixtures &amp; appliances.</t>
  </si>
  <si>
    <t>Halsted to 111th St.  West to Peoria North on Peoria to Sangamon</t>
  </si>
  <si>
    <t>Professionally remodeled raised ranch, new roof (w/skylights and custom ceilings), windows, water tank, electric, doors, refinished hardwood floors, lots of closets. Granite counters, and upgraded s/steel appliances. Huge finished basement with  bedroom wet bar &amp; fireplace. Nice landscaping, large side drive and secluded fenced yard ready for your barbecues and family gatherings . You must see this home</t>
  </si>
  <si>
    <t>29X13</t>
  </si>
  <si>
    <t>27X20</t>
  </si>
  <si>
    <t>Galley, Island</t>
  </si>
  <si>
    <t>Whirlpool, Full Body Spray Shower</t>
  </si>
  <si>
    <t>2.5% ON NET SALES PRICE (on Net SP)</t>
  </si>
  <si>
    <t>Call Listing Agent at 773.960.5000 for alarm code and one day code or use Sentrilock</t>
  </si>
  <si>
    <t>Call LA at 773.960.5000 Earnest Money to be in certified funds</t>
  </si>
  <si>
    <t>Kate</t>
  </si>
  <si>
    <t>From I-90 take IL Rt. 31 south to Walnut Ave. west to Wilcox Ave. south to Kate St.</t>
  </si>
  <si>
    <t>CLASSIC BUNGALOW</t>
  </si>
  <si>
    <t>66 X 132</t>
  </si>
  <si>
    <t>GREAT OPPORTUNITY TO OWN IN HISTORIC AND AFFORDABLE ELGIN. OLD WORLD CHARM ABOUNDS IN THIS CLASSIC HOME. CUSTOM WOOD WORK THROUGHOUT! NEWER KITCHEN AND BATH. FULL BASEMENT PARTIALLY FINISHED. 4 BEDROOMS - 2 UPSTAIRS WITH ADDITIONAL LOFT AREA. AND 2 ON MAIN LEVEL.COVERED AND HEATED FRONT PORCH WITH 3 CAR GARAGE! EASY ACCESS TO PUBLIC TRANSPORTATION, CLOSE IN TOWN LOCAL! LOTS OF POTENTIAL HERE! COME SEE IT TODAY!</t>
  </si>
  <si>
    <t>ECC</t>
  </si>
  <si>
    <t>Enclosed Porch Heated, Loft, Workroom</t>
  </si>
  <si>
    <t>27X08</t>
  </si>
  <si>
    <t>TIM 847-791-6399 Tim@TimLisack.com</t>
  </si>
  <si>
    <t>CALL CENTRALIZED SHOWINGS 877-977-1010</t>
  </si>
  <si>
    <t>Freddie Mac First Look-Owner Occupant offers only considered the first 20 days*FMFL expires 12/28*Investors Eligible 12/29*AS IS*100%Tax Proration of most recent full yr tax bill*No Survey or survey affidavit provided*</t>
  </si>
  <si>
    <t>Fletcher</t>
  </si>
  <si>
    <t>Damen to Fletcher W to home</t>
  </si>
  <si>
    <t>30X101</t>
  </si>
  <si>
    <t>AMAZING 4-BR 3.5 SF RWHOME ON ONE OF ROSCOE VILLAGE'S BEST CUL-DE-SAC BLOCKS! HIGH-END FINISHES INCL; CHERRY CABS/GRANITE/SSTHERMADORE APPL, 3 WINE FRIDGES, 2 WET BARS, 2 FP, LARGE MSTR W/SPA-LIKE BATH INCL RAIN, STEAM SHOWER, SEP AIR-JET TUB &amp; RAD HEATED FLOORS. RAD-HEAT LOWER LEVEL W/ GUEST STE. PRIV 2-CAR GARAGE, 2 LARGE PRIV DECKS. CUST CLOSETS, WALK TO ALL ROSCOE'S RESTAURANTS, SHOPPING, PARKS AND MORE.</t>
  </si>
  <si>
    <t>Gas, Forced Air, Radiant, 2+ Sep Heating Systems</t>
  </si>
  <si>
    <t>Oven/Range, Microwave, Dishwasher, Refrigerator, High End Refrigerator, Washer, Dryer, Disposal, All Stainless Steel Kitchen Appliances, Wine Cooler/Refrigerator</t>
  </si>
  <si>
    <t>Skylight(s), Sauna/Steam Room, Bar-Wet, Hardwood Floors, Heated Floors, 1st Floor Full Bath</t>
  </si>
  <si>
    <t>Kathryn Deeley</t>
  </si>
  <si>
    <t>(312) 961-1782</t>
  </si>
  <si>
    <t>Katie cell 312-961-1782 Please e-mail kdeeley@atproperties.com OR Derek DiSera ddisera@gmail.com</t>
  </si>
  <si>
    <t>Seller's purchased the unit in May but are being relocated.  Very sad to go.  Shows very well, very highly upgraded throughout &amp; very wide floor plan.</t>
  </si>
  <si>
    <t>La Salle</t>
  </si>
  <si>
    <t>Take 95th Street North, to LaSalle.</t>
  </si>
  <si>
    <t>35 X 125</t>
  </si>
  <si>
    <t>4 Bedroom, 2 bath home in Chicago, IL. Appliances, walls and toilets need to be replaced or fixed. The house is huge, with nice sized bedrooms and a good backyard.</t>
  </si>
  <si>
    <t>GILLESPIE ELEMENTARY SCHOOL</t>
  </si>
  <si>
    <t>HARLAN COMMUNITY ACADEMY SENIOR HIGH SCHOOL</t>
  </si>
  <si>
    <t>$600 (on Gross SP)</t>
  </si>
  <si>
    <t>USRealty.com, LLP</t>
  </si>
  <si>
    <t>(866) 807-9087</t>
  </si>
  <si>
    <t>Ryan Gehris</t>
  </si>
  <si>
    <t>914-372-7516</t>
  </si>
  <si>
    <t>Call owner for showings at 914-372-7516</t>
  </si>
  <si>
    <t>CastleRock</t>
  </si>
  <si>
    <t>Call 914-372-7516 for showings &amp; ?s. W9 form req'd.  Submit offers www.2offer.us - Sold AS-IS WHERE-IS. Seller does not prorate taxes. Buyer pays closing costs including, but not limited to transfer taxes, title, legal, &amp; recording fees.</t>
  </si>
  <si>
    <t>Rt 72(West of Randall) 2 Center 2 Twn Center R 2 Jackson</t>
  </si>
  <si>
    <t>MANCHESTER</t>
  </si>
  <si>
    <t>135X20</t>
  </si>
  <si>
    <t>Enjoy the best life has to offer in this exquisite residence entire home, tray ceilings, fireplace, hardwood floors, 3 car garage insulated &amp; dry walled. Fenced backyard, new vinyl installed (2014)  for 38x20 in-ground pool w/4-8ft diving board &amp; auto. cover, prof landscaped yard &amp; deck and the list goes on and on...sold as-is....</t>
  </si>
  <si>
    <t>Den, Loft, Foyer</t>
  </si>
  <si>
    <t>Deck, Pool In-Ground</t>
  </si>
  <si>
    <t>23X07</t>
  </si>
  <si>
    <t>Phin Chanthaboury</t>
  </si>
  <si>
    <t>(224) 402-0689</t>
  </si>
  <si>
    <t>Please text or call LA (Phin) @224-402-0689.</t>
  </si>
  <si>
    <t>All appliances and window treatments are staying... PLEASE REMOVE SHOES or WEAR SHOES COVERS! Thank you!</t>
  </si>
  <si>
    <t>East Circle</t>
  </si>
  <si>
    <t>I-90 W to W Talcott Ave to Circle Ave</t>
  </si>
  <si>
    <t>55X165</t>
  </si>
  <si>
    <t>Sold before print. Immaculate 4 bedroom, 2.5 bath home located in desirable Old Norwood Park Circle. This home has been upgraded from top to bottom and shows like a model! Beautiful hardwood floors accompany an open concept floor plan that is great for entertaining friends and family! Commuter friendly location near I90, the Harlem-Oâ€™Hare CTA Blue Line Station, and the Norwood Park Metra Station (UP NW Line).</t>
  </si>
  <si>
    <t>Main Street Real Estate Group</t>
  </si>
  <si>
    <t>(773) 799-8042</t>
  </si>
  <si>
    <t>Jeff Bushaw</t>
  </si>
  <si>
    <t>(847) 533-9665</t>
  </si>
  <si>
    <t>Email listing agent</t>
  </si>
  <si>
    <t>Sold before print</t>
  </si>
  <si>
    <t>Summerdale</t>
  </si>
  <si>
    <t>Foster West of Ashland, North on Wolcott, East on Summerdale to address.</t>
  </si>
  <si>
    <t>This house is under contract but a very similar home is nearing completion at 1911 W Berwyn. Feel free to email for further details.</t>
  </si>
  <si>
    <t>107th to Halsted North to 106th to Sangamon</t>
  </si>
  <si>
    <t>This beautiful, recently rehabbed 4 bedroom, 3 bathroom brick bungalow is overflowing with special features and brand new additions. The gorgeous kitchen boasts stainless steel appliances, granite counters and upgraded cabinets. The first floor offers gleaming hardwood floors, and the second floor boasts a master suite. With a finished basement, a 2-car garage and more, it's a must-see.</t>
  </si>
  <si>
    <t>Yale</t>
  </si>
  <si>
    <t>79th to Wentworth , South one block turn West to Yale, Yale is One Way North</t>
  </si>
  <si>
    <t>Cypress</t>
  </si>
  <si>
    <t>Barrington Rd to Walnut. East to Valley View. North to Cypress.</t>
  </si>
  <si>
    <t>66.5 X 120</t>
  </si>
  <si>
    <t>WOW!! REMARKABLE HOME</t>
  </si>
  <si>
    <t>HANOVER HIGHLANDS ELEMENTARY SCHOOL</t>
  </si>
  <si>
    <t>J D Realty</t>
  </si>
  <si>
    <t>(630) 202-1141</t>
  </si>
  <si>
    <t>Daniel Khoury</t>
  </si>
  <si>
    <t>(630) 675-6768</t>
  </si>
  <si>
    <t>Call or text Dan at 630-675-6768</t>
  </si>
  <si>
    <t>Call or text Dan at 630-675-6768. Attorney Steve Nicholas holds earnest money.</t>
  </si>
  <si>
    <t>Foxfire</t>
  </si>
  <si>
    <t>Randall Rd. or Rt. 31 to Fargo Blvd. to Bent Tree Drive to Eldorado Drive to Foxfire Court</t>
  </si>
  <si>
    <t>GR CHATEAU</t>
  </si>
  <si>
    <t>155X207X66X175X230</t>
  </si>
  <si>
    <t>WOW! WHAT A PRICE!! Wonderful brick &amp; cedar custom Eagle Brookhome with some extraordinary features! Scenic views of the 18th hole with pond from a premium oversized lot, cul de sac location. Skylights, tray ceilings, crown molding, dual staircases, gleaming hardwood floors, spa-like master bath, huge walk-in master closet, 2nd floor laundry, full finished basement, deck &amp; patio and plenty of storage. LIVE THE DREAM!</t>
  </si>
  <si>
    <t>Cul-de-sac, Golf Course Lot, Landscaped Professionally, Water View</t>
  </si>
  <si>
    <t>Humidifier, Water-Softener Owned, Central Vacuum, Security System, Intercom, CO Detectors, Ceiling Fan, Sump Pump, Sprinkler-Lawn, Backup Sump Pump, Radon Mitigation System(s)</t>
  </si>
  <si>
    <t>Den, Recreation Room</t>
  </si>
  <si>
    <t>2.8% - $100 (on Net SP)</t>
  </si>
  <si>
    <t>Call CSS at 877-977-1010. PLEASE double check all locks and lights. Leave feedback please.</t>
  </si>
  <si>
    <t>Cartus Financial Corporation</t>
  </si>
  <si>
    <t>Relocation forms required - please see "Additional Information". STATE OF ILLINOIS CONTRACT MUST BE USED ON THIS PURCHASE (not 6.0 Board contract.) Hot tub sold as-is.</t>
  </si>
  <si>
    <t>Hillcrest</t>
  </si>
  <si>
    <t>North on First Street, West on Hillcrest</t>
  </si>
  <si>
    <t>HILLCREST</t>
  </si>
  <si>
    <t>70X140</t>
  </si>
  <si>
    <t>Well maintained home near NIU. Many improvements including new roof in 2014. Home features updated windows, central air, and remodeled kitchen w/ solid surface counters, hardwood flooring and eating area.  Four bedrooms upstairs w/ hardwood flooring under carpeting. Full basement with 3/4 bath, laundry room and storage space. Large screened in porch, deck, paver patio and mature trees in nice size backyard.</t>
  </si>
  <si>
    <t>Water-Softener Owned, TV-Cable, CO Detectors</t>
  </si>
  <si>
    <t>Office, Recreation Room, Screened Porch</t>
  </si>
  <si>
    <t>Deck, Patio, Porch Screened, Brick Paver Patio</t>
  </si>
  <si>
    <t>2-5% - $150.00 (on Net SP)</t>
  </si>
  <si>
    <t>James DuMont</t>
  </si>
  <si>
    <t>(815) 762-0085</t>
  </si>
  <si>
    <t>Alarm -Must Confirm.  Please call 855-746-9100 to schedule appt.</t>
  </si>
  <si>
    <t>Sec sys has 3 year contract @ $49 mth. seller will remove if not wanted. 2nd floor porch can be converted to a deck/outdoor space. See add. info for list of improvements.  Note-city will issue parking permits to residents for street parking</t>
  </si>
  <si>
    <t>Kildare</t>
  </si>
  <si>
    <t>PULASKI TO 55TH ST WEST TO KILDARE SOUTH TO HOME</t>
  </si>
  <si>
    <t>ORIGINAL OWNER. WELL MAINTAINED 4BD. CAPE COD. GREAT LOCATION ACROSS FROM PASTEUR PARK/ ELEMENTARY SCHOOL. WALKING DISTANCE TO ORANGE LINE, MIDWAY AIRPORT. OWNER WILL ENTERTAIN ALL OFFERS.</t>
  </si>
  <si>
    <t>http://connectmls6.mredllc.com/PICS/57CE5D187EBE05</t>
  </si>
  <si>
    <t>Patricia Sandoval</t>
  </si>
  <si>
    <t>SOLD AS-IS. EARNEST MONEY IN CERTIFIED FUNDS PAYABLE TO CHICAGO TITLE.</t>
  </si>
  <si>
    <t>2S182</t>
  </si>
  <si>
    <t>WILLOW CREEK</t>
  </si>
  <si>
    <t>Randall South to Main; West to Rt. 47; south to Willow Creek Drive.</t>
  </si>
  <si>
    <t>LOVELY</t>
  </si>
  <si>
    <t>259X401X193X348</t>
  </si>
  <si>
    <t>Looking for a serene setting?Welcome to a pristine,custom brick home in perfect condition set on a gorgeous, 2 acre (M/L) professionally landscaped wooded lot w/pond!New roof &amp; skylight 2new furnaces,2 new C.A's,new H2O &amp; new softener,new dehumidifier;new sump pump &amp; back-up, new reverse osmosis system;3 new GDO's &amp;the list goes on!Quality construction w/extensive crown molding,6-panel drs,volume ceilings,etc.LOVELY!</t>
  </si>
  <si>
    <t>Oven-Double, Oven/Range, Microwave, Dishwasher, Refrigerator, Freezer, Washer</t>
  </si>
  <si>
    <t>Water-Softener Owned, Central Vacuum, TV-Dish, Intercom, CO Detectors, Ceiling Fan, Backup Sump Pump</t>
  </si>
  <si>
    <t>2.5-$200.00 (on Net SP)</t>
  </si>
  <si>
    <t>Classic Realty</t>
  </si>
  <si>
    <t>(630) 232-4045</t>
  </si>
  <si>
    <t>Carole Miller, CRS,GRI,LTG,SFR</t>
  </si>
  <si>
    <t>Text or Call Carole @ 630-258-7171, 24 Hour Notice Please.</t>
  </si>
  <si>
    <t>Truly a pristine home that has been carefully maintained and prepared for the market. Your Clients will be delighted, I promise. To show it is to sell it! Note detailed list of improvements under "updates." LOVELY!!</t>
  </si>
  <si>
    <t>PULASKI TO 83RD ST, EAST TO 3926, ON LEFT</t>
  </si>
  <si>
    <t>35X128</t>
  </si>
  <si>
    <t>WOW!! ABSOLUTELY BEAUTIFUL RENOVATED COZY 4 BED, 3 BATH, CAPE COD W/CONCRETE DRIVE. ALL NEW WINDOWS, ROOF, AND CENTRAL HEAT/AIR, UPGRADES INCL. HARDWOOD FLRS, GLAZED CABINETS, 1.5 CAR GAR, 14x14 DECK, AND MUCH MORE.  MAKE YOUR APPOINTMENT TODAY TO MAKE THIS HOUSE YOUR HOME :-)</t>
  </si>
  <si>
    <t>Use show assist</t>
  </si>
  <si>
    <t>Agent owned. Use show assist to get lock box code</t>
  </si>
  <si>
    <t>Lucca</t>
  </si>
  <si>
    <t>Randall Rd. north of Rt20 to Highland Av, east to Airlite St, south to Lucca, west to home.</t>
  </si>
  <si>
    <t>Beautiful home located in sought after Tuscan Woods. Large 4br/2.1ba w/1st floor office features many upgrades to include KIT that offers 42" cabinets, SS appl &amp; island. FamRm features wdbn fplc w/gas starter. Hdwd flooring in entry, KIT &amp; EAS. Full, unf bsmt awaits fin touches - offers bath rough-in. High Eff furn &amp; H20 htr &amp; 200amp svc. Outside offers beautiful landscaping, fully fenced for outdoor enjoyment!</t>
  </si>
  <si>
    <t>CO Detectors, Ceiling Fan, Sump Pump, Radon Mitigation System(s)</t>
  </si>
  <si>
    <t>Vaulted/Cathedral Ceilings, Hardwood Floors, Solar Tubes/Light Tubes, 2nd Floor Laundry</t>
  </si>
  <si>
    <t>2.5% - $225 (on Net SP)</t>
  </si>
  <si>
    <t>(847) 301-3100</t>
  </si>
  <si>
    <t>Robert Lindemann, CNC</t>
  </si>
  <si>
    <t>(847) 301-3210</t>
  </si>
  <si>
    <t>Call 855-746-9200 or click the Schedule A Showing Icon</t>
  </si>
  <si>
    <t>Shetland</t>
  </si>
  <si>
    <t>Route 30 West of Orchard to Gordon-North to Simpson- East to Shetland-West to Home</t>
  </si>
  <si>
    <t>Foxmoor</t>
  </si>
  <si>
    <t>73X110</t>
  </si>
  <si>
    <t>Your Dream Home Awaits! This Light &amp; Bright Floorplan is Move In Ready! Ceramic Tile Entry! Eat In Kit Opens to FR! 9ft 1st Flr &amp; Bsmt Ceilings! Huge Laundry Rm w/Cabinets! Partially Fin Bsmt is Awaiting Your Finishing Touches! Roof w/Long Lasting, Architectural Shingles! Surround Sound in MBR &amp; FR. High Eff 2 Stage Furnace! Fenced Yard w/Paver Patio &amp; Shed! Elem School/Park/Pond in Sub! Convenient Location! WOW</t>
  </si>
  <si>
    <t>Recreation Room, Storage, Other</t>
  </si>
  <si>
    <t>Terri Novak</t>
  </si>
  <si>
    <t>(630) 947-4920</t>
  </si>
  <si>
    <t>Call CSS for Appointment 877-977-1010</t>
  </si>
  <si>
    <t>Buyer's Financing Fell Through! Their Loss is Your Gain!</t>
  </si>
  <si>
    <t>Central to Cornelia West</t>
  </si>
  <si>
    <t>AS-IS ATTENTION REHABBERS AND INVESTORS. ESTATE SALE. GREAT HOME NEEDS UPDATING. NEW GARAGE (2006) HARDWOOD FLOORS ALL AROUND. DORMERED 2ND FLOOR.</t>
  </si>
  <si>
    <t>Click Properties</t>
  </si>
  <si>
    <t>(877) 254-2530</t>
  </si>
  <si>
    <t>April Kibler</t>
  </si>
  <si>
    <t>(773) 972-2344</t>
  </si>
  <si>
    <t>24 HOUR NOTICE TEXT 773 972 2344</t>
  </si>
  <si>
    <t>ESTATE SALE - GIVE A COUPLE DAYS ON OFFERS</t>
  </si>
  <si>
    <t>EAST OR WEST ON 83RD 1 BLK EAST OF STONY ISLAND TO 84TH</t>
  </si>
  <si>
    <t>SPACIOUS, BRICK BUNGALOW WITH A SIDE DRIVE! 4 BEDROOMS, FULL BASEMENT, 2 CAR GARAGE, LARGE LOT. THIS IS A FANNIE MAE HOMEPATH PROPERTY!First Look Period Applies: Seller reserves the right to negotiate owner occupant or public entity offers for first 20 days of listing.</t>
  </si>
  <si>
    <t>Baseboard</t>
  </si>
  <si>
    <t>3% OR MIN $1000 (on Net SP)</t>
  </si>
  <si>
    <t>Pearson Realty Group</t>
  </si>
  <si>
    <t>(773) 325-2800</t>
  </si>
  <si>
    <t>Kirby Pearson</t>
  </si>
  <si>
    <t>(773) 325-2800x101</t>
  </si>
  <si>
    <t>The seller has directed that all offers on this listing must be made online via HomePath.com (ID #C140L0J)Taxes prorated at 100%.</t>
  </si>
  <si>
    <t>DICKENS</t>
  </si>
  <si>
    <t>SOUTH OF FULLERTON TO 6404</t>
  </si>
  <si>
    <t>Stunning 4 bedroom 2 bath Complete Rehab in Galewood. The property features gleaming hardwood floors and a Gorgeous gourmet kitchen with white cabinets and granite counter tops and Completely remodeled bathrooms. This property also features new electrical and plumbing. It also has full finished basement. Schedule your Showing before its too late.</t>
  </si>
  <si>
    <t>Realty of Chicago LLC</t>
  </si>
  <si>
    <t>(708) 768-7412</t>
  </si>
  <si>
    <t>Eddie Garcia</t>
  </si>
  <si>
    <t>PLEASE CALL OR TEXT 3125501749 TO SCHEDULE SHOWINGS</t>
  </si>
  <si>
    <t>$2,500 BONUS TO SELLING AGENT FOR FULL LIST PRICE OFFER AND IF CLOSED WITHIN 30 DAYS OF WRITTEN ACCEPTANCE.</t>
  </si>
  <si>
    <t>Kolin</t>
  </si>
  <si>
    <t>Pulaski to 49th West to Kolin north to address</t>
  </si>
  <si>
    <t>This home is beautiful.  Property features include 4 bedrooms with 2 full baths.  Complete renovations include new kitchen with 42'' cabinets, Granite counters Stainless steel appliances New carpet new wood floors new HVAC new baths new trim new doors new windows new carpet.  THIS IS A MUST SEE!!!</t>
  </si>
  <si>
    <t>2.5%-300 (on Gross SP)</t>
  </si>
  <si>
    <t>Fullerton Ave East of Pulaski Rd, South on Hamlin Ave (one way) to address.</t>
  </si>
  <si>
    <t>Contemporary light flooded new construction single family home with 3500sq ft of space. Open concept main floor great for entertaining with chef's kitchen featuring oversized island, Bosch appliances and custom shaker cabinets. Main floor bed and full bath. 3 beds, 2 full baths and laundry on upper level. Huge lower level recreation space w/half bath &amp; 2nd laundry. Modern details and designer finishes throughout.</t>
  </si>
  <si>
    <t>Hardwood Floors, 1st Floor Bedroom, 2nd Floor Laundry, 1st Floor Full Bath</t>
  </si>
  <si>
    <t>56X14</t>
  </si>
  <si>
    <t>Crayton</t>
  </si>
  <si>
    <t>Sycamore Rd or First St to Hillcrest heading West to Crayton Circle West/house on the left.</t>
  </si>
  <si>
    <t>COMFORTABLE, SPACIOUS, FRESH NEW PAINT, CARPET/FLOORING, 2 YR OLD ROOF.  This home offers convenience with first fl mtr bed plus bath(skylight), first fl laundry wood floor foyer leading to LR or FM.  Large eatin kitchen. Bonus room exists on the second floor used as a game room with builtin/this is in addition to the 3 bed/could be used as a 5th bedroom. Whole house fan/filtration system/new stove/washer/dryer.</t>
  </si>
  <si>
    <t>Skylight(s), Hardwood Floors, Wood Laminate Floors, 1st Floor Bedroom, 1st Floor Laundry, 1st Floor Full Bath</t>
  </si>
  <si>
    <t>3%-150 (on Gross SP)</t>
  </si>
  <si>
    <t>Linda Smith</t>
  </si>
  <si>
    <t>(815) 751-2937</t>
  </si>
  <si>
    <t>vacant</t>
  </si>
  <si>
    <t>Do Chanh Q</t>
  </si>
  <si>
    <t>Easy to show/combo box located on the front door.</t>
  </si>
  <si>
    <t>ARCHER AVE TO OAK PARK AVE NORTH ON OAK PARK TO PROPERTY</t>
  </si>
  <si>
    <t>Freddie Mac owned. THIS PROPERTY IS ELIGIBLE UNDER FREDDIE MAC 1ST LOOK INITIATIVE THRU 1/11/2015. in ready cape cod is ready to move into. 1st floor offers a living room, kitchen, bath and two bedrooms. Dormered attic offers two bedrooms and a bath with a roughed in third bedroom. Basement is partially finished with a bath and roughed in bedroom.</t>
  </si>
  <si>
    <t>Edgardo Diaz</t>
  </si>
  <si>
    <t>FREDDIE MAC</t>
  </si>
  <si>
    <t>DOWNLOAD FORMS FROM ADDITIONAL INFO TAB, SEND ALL CONTRACTS TO NUVISIONRE@GMAIL.COM. EARNEST MONEY MUST BE IN THE FORM OF CERTIFIED CHECK ONLY.</t>
  </si>
  <si>
    <t>39W392</t>
  </si>
  <si>
    <t>Curtis</t>
  </si>
  <si>
    <t>SQ</t>
  </si>
  <si>
    <t>Keslinger to Brundige- S to Sulley- E to W Curtis- Left to property</t>
  </si>
  <si>
    <t>Mill Creek</t>
  </si>
  <si>
    <t>HAYES</t>
  </si>
  <si>
    <t>Beautiful home w/awesome kit featuring: Island, Cherry cabinets, granite, SS appl's, WI pantry &amp;  eating area. FR w/fireplace. Prof fin bmt w/9Ft Ceilings, huge recreation rm, wet bar &amp; media rm. MB w/cathedral ceiling, Lux bath &amp; WIC. 2-Sty LR w/Palladium window &amp; vaulted ceiling. 1st Flr laundry &amp; cen. Backs to golf Course with open views.  Large deck. A must see!!</t>
  </si>
  <si>
    <t>Water-Softener Owned, TV-Cable, Ceiling Fan, Sump Pump, Radon Mitigation System(s)</t>
  </si>
  <si>
    <t>Den, Eating Area, Media Room, Recreation Room</t>
  </si>
  <si>
    <t>Vaulted/Cathedral Ceilings, Bar-Wet, 1st Floor Laundry</t>
  </si>
  <si>
    <t>33X14</t>
  </si>
  <si>
    <t>33X13</t>
  </si>
  <si>
    <t>3% -200 (on Net SP)</t>
  </si>
  <si>
    <t>click on showing assist.</t>
  </si>
  <si>
    <t>Altair Global Services</t>
  </si>
  <si>
    <t>Please make sure all doors are locked and lights off. Go on mls connect for relo docs.</t>
  </si>
  <si>
    <t>Corner of 108th &amp; Ridgeway</t>
  </si>
  <si>
    <t>54 X 125</t>
  </si>
  <si>
    <t>MK Real Estate Group, LLC</t>
  </si>
  <si>
    <t>(312) 208-5672</t>
  </si>
  <si>
    <t>Kora Chang</t>
  </si>
  <si>
    <t>cell 312-208-5672</t>
  </si>
  <si>
    <t>call kora 312-208-5672</t>
  </si>
  <si>
    <t>RANDALL/BOWES W2 LNGCOMMON R ON WTRFRD R SHRCK R KELLY</t>
  </si>
  <si>
    <t>WATERFORD</t>
  </si>
  <si>
    <t>Rare Opportunity~Premium Lot tucked away in Private Cul-de-sac on Quiet Street! In Sought After District 301 Schools! Features Incl Soaring 2-Story Foyer, White Trim/Crown Molding, Recessed Lighting, 1st Fl Den &amp; Laundry! Upgraded Eat-In Kitchen Offers 42" Maple Cabinetry, Island w/ Breakfast Bar, Hardwood Flrs, &amp; SS Appl! Huge Master w/ Private Balcony! Bedrooms Have W/I Closets! Oversized 3Car Garage! Great value!</t>
  </si>
  <si>
    <t>2.5 % - 250 (on Net SP)</t>
  </si>
  <si>
    <t>Call listing office 847 985 7050</t>
  </si>
  <si>
    <t>Mustang</t>
  </si>
  <si>
    <t>RT 71 TP PLAINFIELD RD TO GROVE TO MORGAN VALLEY TO MUST</t>
  </si>
  <si>
    <t>MORGAN CROSSING</t>
  </si>
  <si>
    <t>80X138</t>
  </si>
  <si>
    <t>New Price for this Beautiful 4 Bedroom 2 1/2 bath home with finished basement. Great curb appeal with brick front in Morgan Crossing. Fresh paint in carpet ready to move in! Taxes prorated at 100%.*  Buyer pays transfer &amp; tax stamps. *sold AS-IS with repair*</t>
  </si>
  <si>
    <t>Breakfast Room, Game Room, Recreation Room</t>
  </si>
  <si>
    <t>Advantage Realty, Inc</t>
  </si>
  <si>
    <t>(815) 942-5252</t>
  </si>
  <si>
    <t>Tammy Hall</t>
  </si>
  <si>
    <t>(815) 791-9910</t>
  </si>
  <si>
    <t>815-791-9910</t>
  </si>
  <si>
    <t>Freddie Mac HomeSteps</t>
  </si>
  <si>
    <t>To place offer-Property Disc, 1st Look Affidavit Owner Occupancy Form and Buyer offer Worksheet required with all offers **proof of funds/financing req* buyer responsible for any/all city/municipal trans/tax stamps. Documents in Addtl info.</t>
  </si>
  <si>
    <t>Avenue D</t>
  </si>
  <si>
    <t>111th St.  to Avenue D go north to property</t>
  </si>
  <si>
    <t>BUDGET CONSCIOUS?  THIS ESTATE SALE HOME WITH 4 BEDROOMS, 1 1/2 BATHS, IS WAITING FOR YOU.  HARD WOOD FLOORS,NEWER WINDOWS, AND ROOF.  CENTRAL HEATING &amp; AIR CONDITION, AND GOOD LOCATION.  RATE THIS WINTER TODAY!  PRE-QUALIFIED BUYERS ONLY.</t>
  </si>
  <si>
    <t>4th Level</t>
  </si>
  <si>
    <t>Central Realty-Kralj &amp; Sanchez</t>
  </si>
  <si>
    <t>(773) 721-9898</t>
  </si>
  <si>
    <t>Pastora Sanchez</t>
  </si>
  <si>
    <t>773-704-5089</t>
  </si>
  <si>
    <t>Call listing agent</t>
  </si>
  <si>
    <t>83rd to Cregier to</t>
  </si>
  <si>
    <t>Spacious Bungalow with 3 bedrooms on the main level, large living room, updated bath with an additional bedroom and family room upstairs. Hardwood flooring throughout. Sold as is. Freddie Mac First Look Initiative expires January 5th 2015. Seller to contribute up to 3% closing cost credit to owner occupants as well as home warranty. Sold as is.</t>
  </si>
  <si>
    <t>2% (on Gross SP)</t>
  </si>
  <si>
    <t>Chicago Realty &amp; Asset Mgmt</t>
  </si>
  <si>
    <t>(708) 529-7258</t>
  </si>
  <si>
    <t>LaShandria Sanderson</t>
  </si>
  <si>
    <t>click on showing assist below</t>
  </si>
  <si>
    <t>Please submit offer cover sheet with all offers.  Owner occupants only for warranty and closing cost credit.</t>
  </si>
  <si>
    <t>Pecos</t>
  </si>
  <si>
    <t>RTE 30 W OF ORCHARD 2 DICKENS 2 FOSTER 2 PECOS</t>
  </si>
  <si>
    <t>50X95X91X108</t>
  </si>
  <si>
    <t>Beautiful 4 bedroom/2.5 bathroom home in an excellent location! Spacious rooms, well maintained, spacious yard, 2 car garage, basement... the list goes on! Priced to sell! Choose FHA financing to qualify for $100 down payment. Ask your Agent for details. Sold as-is. Equal Housing Opportunity</t>
  </si>
  <si>
    <t>Case#137-481271.INS.STATUS:Insured.Up to 3% co-op Offers 2B put on-line Off.must be registered &amp; have a NAID# Go to hudhomestore.com 4 online bidding SEE PCR UNDER ADDENDUMâ€™S TAB.?â€™s to fsrhomes@aol.com.SOLD AS-IS.www.hometelosfirst.com</t>
  </si>
  <si>
    <t>Kirk Road to Royal Fox (W)</t>
  </si>
  <si>
    <t>89X150X91X159</t>
  </si>
  <si>
    <t>Great value in highly desired Royal Fox subdivision!!  Newly refinished hardwood floors. New carpet thru-out home!!  Nothing to do but move in!  Upstairs features 4 over-sized bedrooms!! Kitchen overlooks family room with 2 story brick fireplace!! All SS appliances stay! **REGULAR SALE**  3 car garage!!  A must see!!  First floor office and first floor full bath!</t>
  </si>
  <si>
    <t>27X16</t>
  </si>
  <si>
    <t>Clubhouse, Pool, Sidewalks, Street Lights, Street Paved</t>
  </si>
  <si>
    <t>Vaulted/Cathedral Ceilings, Skylight(s), Hardwood Floors, 1st Floor Laundry, 1st Floor Full Bath</t>
  </si>
  <si>
    <t>29X37</t>
  </si>
  <si>
    <t>2.5% MINUS $199 (on Net SP)</t>
  </si>
  <si>
    <t>Priced 2 Sell Realty, Inc</t>
  </si>
  <si>
    <t>(630) 805-0077</t>
  </si>
  <si>
    <t>Asif Mohammed</t>
  </si>
  <si>
    <t>(630) 849-1953</t>
  </si>
  <si>
    <t>Select "Showing Assist"</t>
  </si>
  <si>
    <t>Don't waste time with short sales!  No sign at property.  Please email questions or offers to asifsells@yahoo.com.  EM held by seller's attorney Edward Kusta.  Clean and ready home.  Priced2Sell!!</t>
  </si>
  <si>
    <t>36W272</t>
  </si>
  <si>
    <t>HICKORY HOLLOW</t>
  </si>
  <si>
    <t>Dundee</t>
  </si>
  <si>
    <t>SLEEPY HOLLOW RD. TO HICKORY HOLLOW RD WEST TO HOME</t>
  </si>
  <si>
    <t>158X157X169X227</t>
  </si>
  <si>
    <t>Beautifully remodeled with quality appointments thruout! Cherry cabinets w/corian counters, maple floors &amp; new SS appls. Formal LR w/frpl &amp; slider with access to patios. Spacious FMRM w/frpl &amp; sliders to wooded 3/4 acre lot overlooking stream &amp; mature landscape...an Incredible setting!! Loads of natural light thruout, cozy sunroom &amp; much more!</t>
  </si>
  <si>
    <t>Gas, Hot Water/Steam, Baseboard, Radiant</t>
  </si>
  <si>
    <t>Stream, Wooded</t>
  </si>
  <si>
    <t>Larrabee</t>
  </si>
  <si>
    <t>Keslinger to Fisher to Larrabee</t>
  </si>
  <si>
    <t>FISHER FARMS</t>
  </si>
  <si>
    <t>WILLOW</t>
  </si>
  <si>
    <t>55X120</t>
  </si>
  <si>
    <t>Spacious 2 story w/ great curb appeal. Open &amp; bright main floor living, dining, kitchen, family, den. 2nd floor 3 beds plus Master suite features WIC, vaulted ceilings &amp; full bath. Kitch boasts hardwood, island &amp; table space. Laundry on main level. Basement for storage or ready for finishing. Large, private back yard w/ deck makes perfect for entertaining. Agents: see agent remarks for more info and stipulations</t>
  </si>
  <si>
    <t>HEARTLAND ELEMENTARY SCHOOL</t>
  </si>
  <si>
    <t>Humidifier, Water-Softener Owned, Sump Pump</t>
  </si>
  <si>
    <t>Expect Realty</t>
  </si>
  <si>
    <t>(630) 545-0414</t>
  </si>
  <si>
    <t>John Monino</t>
  </si>
  <si>
    <t>OFFER VERBALLY ACCEPTED. Use showing assist</t>
  </si>
  <si>
    <t>OFFER VERBALLY ACCEPTED.EMAIL offers/pre-appr to BPO@expectre.com. SELLER SHALL NOT PROVIDE A SURVEY. Bank of America employees/household members &amp; HTS business partners of Bank, are prohibited from purchasing property directly/indirectly</t>
  </si>
  <si>
    <t>31 to Highland W to Jackson S to South W to home</t>
  </si>
  <si>
    <t>114X97X261X246</t>
  </si>
  <si>
    <t>Half,Shared</t>
  </si>
  <si>
    <t>Really nice Victorian with hardwood floors on approx .6 acre. New since 2013 - boiler, roof and 100 amp electric. Enjoy views of the yard from the large screened porch. Basement has large family room with fireplace. A very cozy home!</t>
  </si>
  <si>
    <t>Eating Area, Pantry, Screened Porch, Storage</t>
  </si>
  <si>
    <t>Off Street</t>
  </si>
  <si>
    <t>Vintage Home Realty</t>
  </si>
  <si>
    <t>(847) 622-8665</t>
  </si>
  <si>
    <t>Thomas Krebsbach, ABR,CRS,e-PRO</t>
  </si>
  <si>
    <t>clo at 847-622-8665-3 hr notice preferred-dog</t>
  </si>
  <si>
    <t>chapman</t>
  </si>
  <si>
    <t>large first floor bath has claw foot tub-not connected but will leave for buyer</t>
  </si>
  <si>
    <t>Da Vinci</t>
  </si>
  <si>
    <t>Route 72 to Romke North to Tuscany West to DaVinci, South to home.</t>
  </si>
  <si>
    <t>TORINO AT TUSCANY WOODS</t>
  </si>
  <si>
    <t>BEECH</t>
  </si>
  <si>
    <t>100X124</t>
  </si>
  <si>
    <t>Tuscany Woods best value with 2775 sq.ft. of brand new living space! Home features a luxury master bath with dual bowl sinks, separate tub and shower. Master bedroom has large sitting area.  Home sides to a pond!</t>
  </si>
  <si>
    <t>HAMPSHIRE ELEMENTARY SCHOOL</t>
  </si>
  <si>
    <t>TV-Cable</t>
  </si>
  <si>
    <t>Breakfast Room, Sitting Room</t>
  </si>
  <si>
    <t>2 1/2% - $200 (on Net SP)</t>
  </si>
  <si>
    <t>Shane Halleman</t>
  </si>
  <si>
    <t>(630) 417-4037</t>
  </si>
  <si>
    <t>Please use showing solutions</t>
  </si>
  <si>
    <t>Forest</t>
  </si>
  <si>
    <t>Kirkland</t>
  </si>
  <si>
    <t>Rt 72 to Pearl St, south to Forest Dr, west to house</t>
  </si>
  <si>
    <t>KIRKLAND</t>
  </si>
  <si>
    <t>80 X 122</t>
  </si>
  <si>
    <t>A large, recently completely remodeled, newer two story home.  Beautiful kitchen with all new stainless appliances.  Huge first floor laundry room with new washer/dryer.  Large family room with gas log fireplace.  22' master bedroom with oversized master bath and walk-in closet.  All freshly painted and new carpeting.  "A real showcase home"</t>
  </si>
  <si>
    <t>Completely remodeled and 'move-in condition'</t>
  </si>
  <si>
    <t>KENWOOD</t>
  </si>
  <si>
    <t>MARQUETTE/ 67th St. EAST OF COTTAGE GROVE TO KENWOOD, NORTH TO ADDRESS</t>
  </si>
  <si>
    <t>TWO STORY BRICK HOME BEING SOLD IN ITS AS IS CONDITION. SOME REPAIRS AND UPDATES NEEDED. THIS PROPERTY IS CURRENTLY TENANT OCCUPIED AND TENANT RIGHTS WILL APPLY.</t>
  </si>
  <si>
    <t>Gazebo</t>
  </si>
  <si>
    <t>Elite Executives Real Estate</t>
  </si>
  <si>
    <t>(773) 892-1740</t>
  </si>
  <si>
    <t>Naomi Brownlow-Nelson</t>
  </si>
  <si>
    <t>(708) 289-4533</t>
  </si>
  <si>
    <t>Please contact LO for showings</t>
  </si>
  <si>
    <t>CC: Pursuant to Short Sale. Lender requires all offer submissions to be placed at www.hubzu.com</t>
  </si>
  <si>
    <t>105th</t>
  </si>
  <si>
    <t>WOODS TO 105TH ST E TO HOUSE</t>
  </si>
  <si>
    <t>This beautiful, recently rehabbed 4 bedroom, 3 1/2 bathroom brick 1 1/2 story is overflowing with special features and brand new additions. The luxurious kitchen boasts stainless steel appliances, granite counters and upgraded cabinets. The first floor offers gleaming hardwood floors and the second floor offers a master suite. With a new roof, a finished basement, a 2-car attached garage and more, it's a must-see!</t>
  </si>
  <si>
    <t>37X20</t>
  </si>
  <si>
    <t>Kimball</t>
  </si>
  <si>
    <t>Montrose to Kimball North</t>
  </si>
  <si>
    <t>37.5 X 125</t>
  </si>
  <si>
    <t>Looking for perfection on an oversized lot blocks from the brown line? You found it. This home has been completely renovated, new roof,New HVAC and AC, completely brand-new kitchen and baths. The upstairs features three beds and two full baths, with tons natural light. Fantastic original woodwork and hutch, plus a two car garage. Simply a gorgeous home.</t>
  </si>
  <si>
    <t>Mariah Dell</t>
  </si>
  <si>
    <t>(312) 264-1125</t>
  </si>
  <si>
    <t>email Mariah@ mdell@koenigrubloff.com</t>
  </si>
  <si>
    <t>Large home on oversized lot! Completely renovated and beautiful. Exclusions: all in one W/D (basement set stays), Z-Wave light switches (will be replaced with regular), Nest /will be replaced with regular thermostat). Negotiable.</t>
  </si>
  <si>
    <t>Phillips</t>
  </si>
  <si>
    <t>87TH TO YATES, N. TO 85TH 1 BLOCK E. TO PHILLIPS</t>
  </si>
  <si>
    <t>SPACIOUS 4 BEDROOM HOME. RECENT ROOF, ALL BRICK AND IN GOOD CONDITION.  THIS HOME IS SOLD AS-IS AND IS VACANT AND EASY TO SHOW.  NO SURVEY WILL BE ISSUED AND NO INSPECTION CONTINGENCY WILL BE CONSIDERED, YOU MUST INSPECT PRIOR TO SUBMITTING AN OFFER.  ROOM SIZES AND COUNTS ARE ESTIMATED.  NOT BANK OWNED, SELLER IS LOCAL AND REASONABLE</t>
  </si>
  <si>
    <t>The Chicagoland RE Auction Co.</t>
  </si>
  <si>
    <t>(312) 334-1307</t>
  </si>
  <si>
    <t>Timothy Gray</t>
  </si>
  <si>
    <t>SOLD AS-IS WITH RIDER 19 NEEDED, NO INSPECTION PROVISION MUST INSPECT PRIOR TO SUBMITTING AN OFFER</t>
  </si>
  <si>
    <t>34W729</t>
  </si>
  <si>
    <t>CLYDE</t>
  </si>
  <si>
    <t>Head e 2nd left onto Seminary Rd,Take the 1st left onto Clyde Pkwy.</t>
  </si>
  <si>
    <t>www.hubzu.com start &amp; end times Bank owned AS IS Offers MUST submit www.hubzu.com SELLER WONT ACTIVATE UTILITY 4 inspection.NO FAX/EMAIL OFFER PER SELLER,  View b4 bidding... Fee of $299.00&amp; 4.5%Buyer prem pd@ close by buyer</t>
  </si>
  <si>
    <t>Central Park</t>
  </si>
  <si>
    <t>IRVING NORTH ON DRAKE, WEST ON BELLE PLAINE, SOUTH ON CENTRAL PARK TO 4028</t>
  </si>
  <si>
    <t>INDEPENDENCE PARK</t>
  </si>
  <si>
    <t>COMPLETELY NEW RENOVATION ON OVERSIZE 37.5x125 LOT IN INDEPENDENCE PARK! OPEN CONCEPT KIT/DR/LR. NEW HDWD FLRS, BEAUT. MILLWORK, DESIGNER FINISHES. COOK'S KITCH W/ BOSCH SS APPLS, QUARTZ, SUBWAY TILE, B'FAST BAR. 3BED/2BA ON 2ND FLR. MASTER SUITE W/ DUAL VANITY, W-I ELFA CLOSET. SKYLT 3RD FL FLEX SPACE! SUNNY FAM RM, 4TH BR + 3RD BA + LAUNDRY DOWN. 2 CAR GAR + 2 PKG SPOTS! HUGE FENCED YARD! WALK TO BLUE, 90-94, PARK!</t>
  </si>
  <si>
    <t>DISNEY II ELEMENTARY MAGNET SCHOOL</t>
  </si>
  <si>
    <t>Oven/Range, Microwave, Dishwasher, Refrigerator, High End Refrigerator, Washer, Dryer, All Stainless Steel Kitchen Appliances</t>
  </si>
  <si>
    <t>Deck, Foyer, Play Room, Utility Room-Lower Level</t>
  </si>
  <si>
    <t>Skylight(s), Hardwood Floors, In-Law Arrangement</t>
  </si>
  <si>
    <t>Balcony, Deck, Porch, Storms/Screens</t>
  </si>
  <si>
    <t>Karl Vogel</t>
  </si>
  <si>
    <t>(773) 610-7050</t>
  </si>
  <si>
    <t>Please all showing time 855-746-9020</t>
  </si>
  <si>
    <t>Karl Vogel - IL LIC RE BROKER</t>
  </si>
  <si>
    <t>Inviting front porch, great back deck. Huge professionally landscaped front &amp; back yard w/ cedar fence. 2 car gar + 2 pkg spaces. Truly 4 floors of finished living space. Nothing like it on market for this price! Agent interest.</t>
  </si>
  <si>
    <t>Royal St. Georges</t>
  </si>
  <si>
    <t>Dunham Rd. to Royal St. George Ct.. E to home</t>
  </si>
  <si>
    <t>201.78X130.07X135.7</t>
  </si>
  <si>
    <t>two story brick home gourmet kitchen see thru fireplace high ceilings wood floors finished basement with exterior exit deck two bed share bath one bed with full bath being sold as is , no survey, inspections, all offers with approval letters/proof of funds earn ALL CONTRACTS/OFFERS ARE SUBJECT TO ONEWEST SENIOR MANAGEMENT APPROVAL AND ANY OFFERS OR COUNTER OFFERS BY ONEWEST ARE NOT BINDING UNLESS THE ENTIRE AGREEMENT</t>
  </si>
  <si>
    <t>Humidifier, Water-Softener Owned, TV-Cable, Security System, CO Detectors, Air Cleaner</t>
  </si>
  <si>
    <t>Diane Laino, BPOR,SFR</t>
  </si>
  <si>
    <t>(847) 254-3873</t>
  </si>
  <si>
    <t>SEE SHOWING ASSIST icon to make appointment</t>
  </si>
  <si>
    <t>CO-BROKERS-ONEWEST IS COMMITTED TO SWIFT AND ACCURATE RESPONSES ON ALL VALID PURCHASE OFFERS. IF YOU HAVE NOT RECEVED A RESPONSE TO YOUR OFFER WITHIN 72 HOURS (NOT INCLUDING WEEKENDS AND HOLIDAYS) YOU MAY CALL 1-877-885-1624 AND LEAVE A MES</t>
  </si>
  <si>
    <t>MILLVIEW</t>
  </si>
  <si>
    <t>RANDALL OR BATAVIA AVE TO MAIN ST TO MILLVIEW SOUTH</t>
  </si>
  <si>
    <t>FAIR MEADOWS</t>
  </si>
  <si>
    <t>85X118</t>
  </si>
  <si>
    <t>LOVELY HOME W/WIDE, ENTRY-HARDW. FLR THRU 1ST LEVEL. DEN/LIVING RM W/BUILT-INS &amp; FRENCH DRS TO FAM.RM W/FP &amp; BUILT IN BOOKCASES.EAT IN KIT W/WET BAR &amp; PLANNING DESK.SEPAR DIN RM &amp; OFF/5TH BEDR W/SKYL &amp; FULL BATH ON 1ST FLR.GREAT YARD W/HUGE DECK BACKING TO OPEN SPACE-TOTAL PRIVACY!MAST BED SUITE W/LUX BATH.WRLPL TUB,SEP SWER,SKYL FULL BSMT WAITING FOR YOUR FINISH TOUCHES! RENOWNED BATAVIA SCHOOLS!CLOSE TO I88 &amp; METRA</t>
  </si>
  <si>
    <t>Oven-Double, Dishwasher, Refrigerator, Washer, Dryer, Disposal</t>
  </si>
  <si>
    <t>Humidifier, TV-Cable, CO Detectors, Ceiling Fan</t>
  </si>
  <si>
    <t>Vaulted/Cathedral Ceilings, Skylight(s), Bar-Wet, 1st Floor Bedroom, 1st Floor Laundry, 1st Floor Full Bath</t>
  </si>
  <si>
    <t>Fox Valley Real Estate</t>
  </si>
  <si>
    <t>(630) 232-3900</t>
  </si>
  <si>
    <t>Kathleen Barkei, SFR</t>
  </si>
  <si>
    <t>(630) 779-0615</t>
  </si>
  <si>
    <t>Fax- 630-557-0141</t>
  </si>
  <si>
    <t>Call 877 404 1743 for Appt- Must Have 24 Hour Notice and Be Confirmed</t>
  </si>
  <si>
    <t>MUST SEE! Great Home w/Lg Rooms &amp; Many Extras-HDW Flrs,New Carpet &amp; Gar Door,Built-Ins,Vlted Ceilings, Skylights,Some New Wind. Newer Roof etc in Great Location/Quiet Strt backing to Open Space- Home does need some TLC &amp; priced accordingly-</t>
  </si>
  <si>
    <t>0N490</t>
  </si>
  <si>
    <t>CHAPMAN</t>
  </si>
  <si>
    <t>KESLINGER TO FRIENDSHIP WAY TO KING TO CHADSWORTH TO CHARLOTTE TO CHAPMAN</t>
  </si>
  <si>
    <t>20X120X109X150</t>
  </si>
  <si>
    <t>TUCKED AWAY ON A QUIET CULDESAC! This "LIKE NEW" home has everything! Open floor plan w/lots of space~HARDWOODS~1ST FLOOR DEN~comfortable family room w/fireplace &amp; surround sound~kitchen w/tons of counter space, GRANITE, new lighting &amp; bayed eating area~patio~relaxing master suite w/dressing area~convenient 2nd floor laundry~deep pour basement w/rough-in~enjoy the sunsets in your very private backyard~Welcome home!!</t>
  </si>
  <si>
    <t>Essex</t>
  </si>
  <si>
    <t>South Chicago to Essex, North to Home on corner</t>
  </si>
  <si>
    <t>Write your earnest money check, prepare and submit your offer, its as simple as that, property sold as is, sharpen your pencil and bring your "A" game, you'll need it, if the numbers make sense, see you at closing</t>
  </si>
  <si>
    <t>clickshow assist</t>
  </si>
  <si>
    <t>MUST submit OFFERS to www.HUBZU.com per SELLER. SELLER WILL NOT ACTIVATE UTILITIES FOR INSPECTION, vacant, no apt required. For assistance call 855-882-1314. Buyer to pay $299 Tech Fee to HUBZU @ closing. SOLD AS IS!! NO REPAIRS</t>
  </si>
  <si>
    <t>Bowen</t>
  </si>
  <si>
    <t>I94 W To I90 Take exit 43rd St-Turn left on St. Lawrence Ave, then a right on Bowen.</t>
  </si>
  <si>
    <t>Brick 2 Story Single Family home located in Hyde Park Area. 4bd/2ba with separate living room and dining room with eat in kitchen. Full unfinished basement  and nice size yard with extra space to build a 2-Car Garage. Investors dream home! Short drive to Lake Shore Dr and Surmac Park. Near lots of public transportation.</t>
  </si>
  <si>
    <t>All offers must be submitted at www.newmanknowschicago.tazahomes.com. Please look under additional info tab for additional offer instructions.</t>
  </si>
  <si>
    <t>83RD STREET TO ELIZABETH NORTH TO ADDRESS.</t>
  </si>
  <si>
    <t>Brick Bungalow features 4 Bdrms, 2 bths, hrdwd flrs, full bsmt, add'l living space &amp; 2 car garage. Property needs repairs throughout &amp; is being sold AS-IS; seller will not provide/pay for a survey/survey affidavit; real estate taxes prorated at 100% based upon the most recent full yr tax bill. . This is a Freddie Mac property. Freddie Mac/HomeSteps 1st Look expires 1/18/2015. HIGHEST &amp; BEST DUE MON 1/26/15 BY 12P.</t>
  </si>
  <si>
    <t>(See forms) Please submit offers with the pre-offer Questionnaire, owner OCC, current POF/pre-approval VIA FAX 773-632-2032 or E-mail sales@rlbrealtygroup.com</t>
  </si>
  <si>
    <t>Sunshine</t>
  </si>
  <si>
    <t>Lake Cook west of Quentin, North on Deer Valley</t>
  </si>
  <si>
    <t>452X213X250X196X216X30</t>
  </si>
  <si>
    <t>Newly updated home with country setting yet near city amenities. Just north of Lake Cook,easy access to Shops, transport, etc. Open floor plan- rear of house faces south, lets sun shine in all winter! Big side yard for play, back pond for ice skating, great patio/firepit entertaining area. Three big bedrooms up- MBR has sitting area w/ FP, could be nursery/study. First floor guest BR, could add shower to half bath</t>
  </si>
  <si>
    <t>Lake Front, Pond, Water Rights, Water View, Wooded</t>
  </si>
  <si>
    <t>Hardwood Floors, 1st Floor Bedroom, In-Law Arrangement, 1st Floor Laundry</t>
  </si>
  <si>
    <t>Patio, Brick Paver Patio, Outdoor Fireplace</t>
  </si>
  <si>
    <t>(847) 441-6300</t>
  </si>
  <si>
    <t>Eileen Campbell</t>
  </si>
  <si>
    <t>(847) 757-5181</t>
  </si>
  <si>
    <t>Call LO at 847.441.6300. After hours text Eileen 847 757 5181</t>
  </si>
  <si>
    <t>Set way back off Sunshine down a long drive. Check map before heading out. Close end of March or later.</t>
  </si>
  <si>
    <t>64th</t>
  </si>
  <si>
    <t>PULASKI TO 64TH STREET EAST TO HOME</t>
  </si>
  <si>
    <t>35X124</t>
  </si>
  <si>
    <t>HUD CASE #137-329190 SELLING IN AS IS CONDITION WITH NO TERMITE OR SURVEY PROVIDED BY THE SELLER TAXES PRORATED AT 100% OWNER OCCUPIED FOR 1ST 15 DAYS.</t>
  </si>
  <si>
    <t>Signature Landmark REO, Inc.</t>
  </si>
  <si>
    <t>(708) 868-3300</t>
  </si>
  <si>
    <t>Shelia Blockson</t>
  </si>
  <si>
    <t>(708) 268-2117</t>
  </si>
  <si>
    <t>SHOWING SELECT</t>
  </si>
  <si>
    <t>MUST HAVE AN ACTIVE NAIDS NUMBER TO SUBMIT OFFER HUD @ www.HUDHomeStore.com.  Homes sold "AS IS" Case #137-329190. NO RENTALS. EM MUST CERTIFIED FUNDS MADE PAYABLE TO THE BUYERS CLOSING AGENT</t>
  </si>
  <si>
    <t>55th to Monitor S to 58th, W to Mayfield, N to address</t>
  </si>
  <si>
    <t>38 X 128</t>
  </si>
  <si>
    <t>Superb is the best way to describe this Professionally rehabbed Gem.  Everything redone from brand new mechanicals to Excellent Finishes.  Deluxe Open concept Stainless Steel Kitchen with granite counters.  Dark Walnut Hardwood floors, skylights and Beautiful tile work in the bathroom and kitchen make this home warm and inviting.  Schedule Your Showing Today!!</t>
  </si>
  <si>
    <t>Skylight(s), Hardwood Floors, 1st Floor Bedroom, 1st Floor Laundry, 1st Floor Full Bath</t>
  </si>
  <si>
    <t>2.5% - $250 (on Gross SP)</t>
  </si>
  <si>
    <t>Parker Pearson</t>
  </si>
  <si>
    <t>(773) 453-1002</t>
  </si>
  <si>
    <t>Submit offers at http://goo.gl/Hpc7vQ (copy and paste)</t>
  </si>
  <si>
    <t>LEWIS</t>
  </si>
  <si>
    <t>RANDALL TO FARGO, WEST TO KANEVILLE, TO LEWIS, RIGHT or Route 38 to Peck, south to Lewis</t>
  </si>
  <si>
    <t>BRENTWOOD PONDS</t>
  </si>
  <si>
    <t>87X149X140X211</t>
  </si>
  <si>
    <t>Welcome Home! 4 bedroom, 2.2 bath home, with hardwood flooring through-out 1st, 2nd level. Large island kitchen with granite, S/S appliances, decorative touches through out!Large luxury master suite,three large bedrooms, bath upstairs!Finished basement with wood laminate floors, bath,room for storage!Step outside to rod iron fenced yard,brick pizza oven, patio,beautiful landscaping!3 car garage!PRICED TO SELL!</t>
  </si>
  <si>
    <t>Humidifier, Water-Softener Owned, TV-Cable, Ceiling Fan, Sump Pump</t>
  </si>
  <si>
    <t>Vaulted/Cathedral Ceilings, Hardwood Floors, Wood Laminate Floors, 1st Floor Laundry</t>
  </si>
  <si>
    <t>Kathy Koca</t>
  </si>
  <si>
    <t>(847) 812-0197</t>
  </si>
  <si>
    <t>1-888-362-3222 Some notice needed.</t>
  </si>
  <si>
    <t>RECENTLY STAGED!! Some notice needed, two small dogs. Yard fenced with rod iron, finished basement, hardwood floors through out!</t>
  </si>
  <si>
    <t>Melody</t>
  </si>
  <si>
    <t>LAKE MARION RD TO WILLIAMS N TO MELODY RT TO KINGS</t>
  </si>
  <si>
    <t>THIS PRICE IS NOT A MIS PRINT .... I MAY NOT BE THE BELLE OF THE BALL. I MAY NEED A FACELIFT AND MANY THINGS BUT ............. I HAVE  4 BR, BASEMENT, LARGE FAMILY ROOM &amp; OFFICE/ 4TH BR IN FINISHED BASEMENT.  I DO NEED ALOT OF WORK .......THIS FREDDIE MAC HOME IS BEING SOLD AS IS WHERE IS . TAXES BEING PRO RATED AT 100 %  THIS HOME IS UNDER THE FREDDIE MAC1 ST LOOK INIATIVE THRU 12/29/2014.</t>
  </si>
  <si>
    <t>PERRY ELEMENTARY SCHOOL</t>
  </si>
  <si>
    <t>CARPENTERSVILLE MIDDLE SCHOOL</t>
  </si>
  <si>
    <t>Water Rights, Street Lights, Street Paved</t>
  </si>
  <si>
    <t>Private Company</t>
  </si>
  <si>
    <t>Corner, Fenced Yard, Wooded</t>
  </si>
  <si>
    <t>Partners Real Estate of IL</t>
  </si>
  <si>
    <t>(847) 301-0300</t>
  </si>
  <si>
    <t>Cathy Lee  Barbaccia</t>
  </si>
  <si>
    <t>Please call centralized showing desk at 877-977-1010 for showing instructions</t>
  </si>
  <si>
    <t>Freddie Mac/ HomeSteps</t>
  </si>
  <si>
    <t>Please email or fax all offers to Domenic at dom1@partnersinre.com or 847-301-0999. any questions on this property to ask if there are other offers e mail dom or call him at 847-301-0300 X11 Proof of funds must accompany all cash offers .</t>
  </si>
  <si>
    <t>Lynn</t>
  </si>
  <si>
    <t>Spring St E of McLean to Lynn S to address</t>
  </si>
  <si>
    <t>GETTYSBURG</t>
  </si>
  <si>
    <t>10339 SQFT</t>
  </si>
  <si>
    <t>Large, well maintained 2-story in popular Gettysburg subdivision. Wonderful floor plan with hardwood flooring throughout. Master bedroom possesses huge walk in closet and master bath with double vanity, tub and separate shower. Large unfinished basement for storage, or your finishing touches. Expansive yard with brick paved patio. A very nice home in wonderful area.</t>
  </si>
  <si>
    <t>WILLARD ELEMENTARY SCHOOL</t>
  </si>
  <si>
    <t>2.5%-275 (on Gross SP)</t>
  </si>
  <si>
    <t>(847) 577-9797</t>
  </si>
  <si>
    <t>Bill Dafnis, ABR,SFR</t>
  </si>
  <si>
    <t>(312) 320-7132</t>
  </si>
  <si>
    <t>call office (847) 577-9797, x0</t>
  </si>
  <si>
    <t>Walsh</t>
  </si>
  <si>
    <t>IL 47 TOWARD WEST FOX ROAD/COUNTY HWY 1 RIGHT TURN ON IL 71/STAGECOACH TRAIL  71 TO WALSH  DR TO CIR</t>
  </si>
  <si>
    <t>SUNFLOWER ESTATES</t>
  </si>
  <si>
    <t>47X210X198X144</t>
  </si>
  <si>
    <t>Lovely subdivision in Yorkville.  Compare to new homes in the area, great bargain for the size of this home! Fantastic 2 story has 4 + bedrooms, full basement, and three car garage. PROPERTY SOLD IN AS-IS CONDITION VIA AN ONLINE MARKETING EVENT / TAXES PRORATED 100% / SELLER WILL NOT PROVIDE A SURVEY</t>
  </si>
  <si>
    <t>1% OR $400 MINIMUM (on Gross SP)</t>
  </si>
  <si>
    <t>Maria Cronin, GRI</t>
  </si>
  <si>
    <t>(773) 617-7010</t>
  </si>
  <si>
    <t>Property is under auction terms at (homesearch.com) 5% Buyers Premium applies. Please check Additional Info Tab for information on the auction process.</t>
  </si>
  <si>
    <t>Western &amp; 91st street E2 Bell N2#</t>
  </si>
  <si>
    <t>61X123</t>
  </si>
  <si>
    <t>English style home w/stunning curb appeal &amp; huge bkyd w/luscious views. Hwd flrs t-out! Foyer open to LR w/hwd flrs, brick fp, southern wndws &amp; moldings. DR w/arched entry &amp; chandelier. Kit w/maple fin cabs, granite c-tops, c-Island w/brkfst bar! FR w/cath ceil, skylight &amp; open to screened-in porch. Mn lvl Br w/full ba! Mstr w/hwd flrs, wic, addt'l Br's share full ba w/tub &amp; sep shwr! Bsmt w/wet bar, FR &amp; addt'l br!</t>
  </si>
  <si>
    <t>Bar, Breakfast Room, Recreation Room, Screened Porch, Tandem Room, Utility Room-Lower Level</t>
  </si>
  <si>
    <t>Porch, Porch Screened, Screened Deck, Storms/Screens</t>
  </si>
  <si>
    <t>Kelley Clute</t>
  </si>
  <si>
    <t>(773) 653-6306</t>
  </si>
  <si>
    <t>KCLUTE@KW.COM</t>
  </si>
  <si>
    <t>Please Text/ Call / Contact Listing agent 773 653 6306</t>
  </si>
  <si>
    <t>Beautiful Home, Huge detached garage! All offers to Kclute@kw.com. Thank you for showing!</t>
  </si>
  <si>
    <t>Clyde</t>
  </si>
  <si>
    <t>N/S Jeffrey to 73rd Street; East to Clyde; South to property</t>
  </si>
  <si>
    <t>This beautiful, recently rehabbed 4 bedroom, 3 1/2 bathroom brick 2-story is brimming with new additions. The roof is new. The windows and mechanicals are new and the exterior will be finished and include brand new 2 car garage as soon as weather permits. Inside, the gorgeous kitchen boasts stainless steel appliances and granite counters, and the first floor offers hardwood floors. With a great price, it's a must see</t>
  </si>
  <si>
    <t>BOUCHET ELEMENTARY SCHOOL MATH &amp; SCIENCE ACAD</t>
  </si>
  <si>
    <t>SCHOOL OF THE ARTS HIGH SCHOOL</t>
  </si>
  <si>
    <t>Shannon</t>
  </si>
  <si>
    <t>Route 47, north of the RR tracks, to Shannon west</t>
  </si>
  <si>
    <t>73 X 173</t>
  </si>
  <si>
    <t>WELCOME HOME! All new inside! New flooring, carpeting, paint, new cabinetry thru-out! Beautiful eat in kitchen with stainless steel appliances, new cabinetry and new counter! Two updated baths. Large great room with door to large deck, opening to fenced yard! Can be four bedrooms, or three with a private office! Full basement! New driveway, new roof, freshly painted exterior! Close to town, entertainment, and metra!</t>
  </si>
  <si>
    <t>Kaneland High School</t>
  </si>
  <si>
    <t>22X21</t>
  </si>
  <si>
    <t>www.GetOconnor.com</t>
  </si>
  <si>
    <t>Montrose to Kostner, then North 3 blocks to home.</t>
  </si>
  <si>
    <t>MAYFAIR</t>
  </si>
  <si>
    <t>JUMBO RAISED RANCH</t>
  </si>
  <si>
    <t>30 X 165</t>
  </si>
  <si>
    <t>Unpretentious LUXURY in Irving! Oversize lot. Natural hardwood trim/floors. Formal DR. Upscale kitchen w/cherry cabs, WOLF, THERMADOR, SUB-ZERO, FISHER-PAYKEL. 2010 bath has heated MARBLE floors and subway tile. Cedar and Trex front porch. Huge back deck and stamped concrete patio. 2.5 car gar w/storage shed/workshop. Wooded pro-landscaped yard. Pella doors/windows. Full unfin basement. 2-zone HVAC. 2 much 2 list.</t>
  </si>
  <si>
    <t>Oven-Double, Oven/Range, Microwave, Dishwasher, High End Refrigerator, Washer, Dryer, Disposal, All Stainless Steel Kitchen Appliances</t>
  </si>
  <si>
    <t>Partially Finished, Unfinished, Exterior Access</t>
  </si>
  <si>
    <t>Breakfast Room, Deck, Office</t>
  </si>
  <si>
    <t>Deck, Patio, Porch, Storage Shed, Stamped Concrete Patio, Storms/Screens</t>
  </si>
  <si>
    <t>(773) 275-0300</t>
  </si>
  <si>
    <t>Glen Tomlinson, CIPS,GRI,SRES</t>
  </si>
  <si>
    <t>(773) 807-1109</t>
  </si>
  <si>
    <t>773-807-1109</t>
  </si>
  <si>
    <t>Please use ShowingTime link.</t>
  </si>
  <si>
    <t>LAG must accompany. Make appointments thru Showingtime. Priced to sell. Email LAG for extensive list of upgrades. Home needs paint, carpeting, cosmetic refining and buyer would have instant equity. Home Warranty is being offered to buyer.</t>
  </si>
  <si>
    <t>CULLERTON</t>
  </si>
  <si>
    <t>EAST ON 18TH TO LOOMIS, SOUTH 3 BLOCKS AND E ON CULLERTON</t>
  </si>
  <si>
    <t>Location, location, location.... hot Pilsen/UIC property. Near everything and your getting a nice home with a Coach House, two for one! This a Fannie Mae Homepath Property. Proof of Funds with all offers.</t>
  </si>
  <si>
    <t>Better Homes For America, LLC</t>
  </si>
  <si>
    <t>(773) 572-9550</t>
  </si>
  <si>
    <t>Gerard Lewis</t>
  </si>
  <si>
    <t>Call Css for access &amp; code 877-977-1010.</t>
  </si>
  <si>
    <t>The seller has directed that all offers on this listing be made using the HomePath Online Offer system at the HomePath website www.homepath.com. Please download Owner Occupancy Cert.</t>
  </si>
  <si>
    <t>Woodland Park</t>
  </si>
  <si>
    <t>Randall Rd S of I-90 to Big Timber, W to Timber Trails, N to Woodland Park Circle, W</t>
  </si>
  <si>
    <t>Timber Trails</t>
  </si>
  <si>
    <t>PRESCOTT A</t>
  </si>
  <si>
    <t>100 X 134 X 77 X 132</t>
  </si>
  <si>
    <t>HANDY DANDY SPECIAL! SELLER SAYS S-E-L-L! Open flr plan. 1st flr den, generous kitchen w/eating area opens to 1st flr fam rm,ceramic tile fireplace/wood mantle, surround sound incl speakers. Vaulted master bedrm &amp; garden bath w/walk-in closet &amp; 2nd closet. Central air,upgraded lighting, 1st flr laundry rm, basement, 4th bdrm/loft option. Whole house water filtration system.Exterior rear lamp post.Must-C! Quick close!</t>
  </si>
  <si>
    <t>Separate Shower, Double Sink, Garden Tub, Soaking Tub</t>
  </si>
  <si>
    <t>Den, Eating Area, Foyer</t>
  </si>
  <si>
    <t>2.5 %-$150 (on Net SP)</t>
  </si>
  <si>
    <t>Rita Landem, GRI</t>
  </si>
  <si>
    <t>(847) 930-6188</t>
  </si>
  <si>
    <t>847-927-4221</t>
  </si>
  <si>
    <t>Call 855-919-0200 NOTE Always prefer 24 hr notice; Show Tues- Sat after 12; &amp; anytime Sun &amp; Mon</t>
  </si>
  <si>
    <t>Douglas Hagen</t>
  </si>
  <si>
    <t>Sold "As Is" .   Needs some TLC. All offers considered! - please do NOT let cats out, Do NOT lock in room or closet. Hot tub sold as is not working. Diamond in the rough! Excellent opportunity! Designer custom lighting foyer, custom railing</t>
  </si>
  <si>
    <t>CENTRAL</t>
  </si>
  <si>
    <t>Central Avenue [5600W], parking also on 62nd or 61st Streets</t>
  </si>
  <si>
    <t>25' X 124'</t>
  </si>
  <si>
    <t>CLEARING - Rare Related Living Availability - This lovely maintained home has newer kitchen w/dishwasher and moveable island. New tile and carpet thruout, oak doors, remodeled baths, newer insulated windows, attic insulated, large closets w/custom organizers, lighting on dimmers. Finished basement set up as 1-bedroom related living, or live in entire home. Garage off alley. Great location near everything convenient!</t>
  </si>
  <si>
    <t>09X12</t>
  </si>
  <si>
    <t>09X13</t>
  </si>
  <si>
    <t>Oven/Range, Microwave, Dishwasher, Refrigerator, High End Refrigerator, Washer, Dryer</t>
  </si>
  <si>
    <t>2nd Kitchen, Eating Area</t>
  </si>
  <si>
    <t>(219) 865-9911</t>
  </si>
  <si>
    <t>Michael Wolski</t>
  </si>
  <si>
    <t>(219) 865-5913</t>
  </si>
  <si>
    <t>773-814-4520</t>
  </si>
  <si>
    <t>click showing assist</t>
  </si>
  <si>
    <t>MOCKUS</t>
  </si>
  <si>
    <t>Easy to show... Move-in condition... Show and sell !!!</t>
  </si>
  <si>
    <t>GEORGE</t>
  </si>
  <si>
    <t>LARAMIE TO GEORGE WEST TO PROPERTY</t>
  </si>
  <si>
    <t>REGULAR SALE BRICK BUNGALOW WITH NEW HARDWOOD FLOOR, NEW WINDOWS, NEW FORCE AIR FURNACE AND AC. NEW TANKLESS HOT WATER HEATER, NEW COPPER PLUMBING NEW ELECTRIC, 2.5 CAR BRICK GARAGE. BUT PROPERTY SOLD AS IS COND. NEED SOME WORK. KITCHEN &amp; BATHROOM NEED WORK. CASH OR 203K. THANK YOU FOR SHOWING. 24 HRS PLEASE</t>
  </si>
  <si>
    <t>Israel Nieves</t>
  </si>
  <si>
    <t>(773) 447-1178</t>
  </si>
  <si>
    <t>CALL L/A 24 HRS PLEASE @ 773-447-1178</t>
  </si>
  <si>
    <t>LOTS WORK HAS BEEN DONE. BUT SOME MORE. MAJORITY OF WORK HAS BEEN DONE. STILL A GOOD PROPERTY FOR THE MONEY. PURCHASER RESPONSILBE FOR CITY VIOLATIONS.</t>
  </si>
  <si>
    <t>Route 14, North on Ela to Hillcrest Dr, West</t>
  </si>
  <si>
    <t>Thunderbird Estates</t>
  </si>
  <si>
    <t>190X139X168X78X67X97</t>
  </si>
  <si>
    <t>SELLER SAYS BRING OFFERS! Wooded Lot in the Heart of Makray Golf Course. Open Vaulted Floor Plan, Freshly Painted &amp; Neutral Carpeting. FR features Corner Wood Burning Fireplace Accented by Brick &amp; Slate Foyer. Finished LL w Office. Attached Workshop &amp; Outdoor Fireplace Offers the Perfect Setting for those Evening Sunsets! Roof, Furnace  &amp; Water Softener less than 5 yrs old. Hardwood under BR carpets. Updates needed.</t>
  </si>
  <si>
    <t>14X25</t>
  </si>
  <si>
    <t>Oven-Double, Oven/Range, Microwave, Dishwasher, Washer, Dryer, Disposal, Compactor-Trash</t>
  </si>
  <si>
    <t>Office, Recreation Room, Utility Room-Lower Level, Workroom</t>
  </si>
  <si>
    <t>Patio, Storage Shed, Storms/Screens, Outdoor Fireplace</t>
  </si>
  <si>
    <t>2.5%- $150 (on Net SP)</t>
  </si>
  <si>
    <t>Mary Hamrick, SFR</t>
  </si>
  <si>
    <t>(847) 471-6102</t>
  </si>
  <si>
    <t>Call showing desk 877 746-9204 or use showing dssk on line</t>
  </si>
  <si>
    <t>Slider is difficult to close. Some updates needed. Selling as is.</t>
  </si>
  <si>
    <t>Fullerton to Karlov, head South. West of Pulaski</t>
  </si>
  <si>
    <t>Beautifully appointed 4B/2B Brick Bungalow on oversized lot. Large Room Sizes, Mocha stained Oak and Maple Hardwood Floors, Original well-maintained wood work, Large eat-in kitchen with breakfast room and Large Pantry, Separate Dining Room, Tall Ceilings, Ample Storage, Gas Forced Heat, Clean and Large Unfinished Basement with good Ceiling height, Green Backyard 2 car garage. 3 Block Walk to Metra Milwkee North Line</t>
  </si>
  <si>
    <t>Deck, Storage, Sun/Florida Room</t>
  </si>
  <si>
    <t>Mitchell Gardberg</t>
  </si>
  <si>
    <t>(773) 732-0196</t>
  </si>
  <si>
    <t>Mitch@dreamtown.com  24 Hour Notice-Nap Time 12-3pm</t>
  </si>
  <si>
    <t>Exclusions: Curtains and Curtain Rods, Bose Speakers, attached hooks, Deep Freezer.</t>
  </si>
  <si>
    <t>University</t>
  </si>
  <si>
    <t>STONY ISLAND TO 67TH W TO UNIVERSITY OR COTTAGE GROVE TO 67TH EAST TO UNIVERISITY</t>
  </si>
  <si>
    <t>PERMITTED REHAB W/ADDITION</t>
  </si>
  <si>
    <t>Sold By Hasani! Hyde Park Township, Picture perfect 4BR, 3.1BA Bungalow gutted w/new FP, windows, electric, plumbing, HW, Fplc. Stainless Gourmet kitchen w/High End appliances, coffered ceil &amp; richly appointed designer lighting thruout.  Vaulted Master w/soaring sun-drenched marble spa w/Rainshower.  Min 2 Golf, Museums, Beach, Bike, Public Trans. 2 Car Gar.</t>
  </si>
  <si>
    <t>Security System, CO Detectors</t>
  </si>
  <si>
    <t>Den, Deck, Foyer, Other</t>
  </si>
  <si>
    <t>Gas Logs, Gas Starter, Portable/Ventless</t>
  </si>
  <si>
    <t>14X5</t>
  </si>
  <si>
    <t>Use Showing Assist Only</t>
  </si>
  <si>
    <t>Market Maker Hasani Steele. Embracing All RE "N-S-E-W". SC Integrity; Brand of Innovative Quality that sells 4More - Consulting from Vision, Concept, Architectural FP, Construction, Finish, Delivery, Pre-Sales/Marketing. Multiple Offers!</t>
  </si>
  <si>
    <t>55th St to Kostner, North to property</t>
  </si>
  <si>
    <t>29 X 125</t>
  </si>
  <si>
    <t>Brick 4 bedroom cape cod in the same family for over 5 decades. Spacious living room with brand new carpeting, ample eat in kitchen. Home has been freshly painted &amp; several updates including hot water heater, furnace, roof &amp; AC condenser. Perfect entertainment space in basement with bar &amp; pool table. EZ show &amp; Sold "as is"</t>
  </si>
  <si>
    <t>Erika Villegas</t>
  </si>
  <si>
    <t>(773) 618-9018</t>
  </si>
  <si>
    <t>EM in certified funds payable to CHICAGO TITLE.</t>
  </si>
  <si>
    <t>OLCOTT</t>
  </si>
  <si>
    <t>TOUHY TO OLCOTT SOUTH TO HOME</t>
  </si>
  <si>
    <t>50 X 147</t>
  </si>
  <si>
    <t>SOLD BEFORE PRINT. CUSTOM NEW CONSTRUCTION</t>
  </si>
  <si>
    <t>Oven-Double, Microwave, Dishwasher, High End Refrigerator, Washer, Dryer, All Stainless Steel Kitchen Appliances</t>
  </si>
  <si>
    <t>Breakfast Room, Deck, Exercise Room, Mud Room, Recreation Room, Storage, Utility Room-Lower Level, Walk In Closet, Other</t>
  </si>
  <si>
    <t>Brick, Stone, Concrete</t>
  </si>
  <si>
    <t>32X17</t>
  </si>
  <si>
    <t>10X05</t>
  </si>
  <si>
    <t>Sylvia Nowicki</t>
  </si>
  <si>
    <t>(773) 732-7400</t>
  </si>
  <si>
    <t>CALL L.O.</t>
  </si>
  <si>
    <t>Francis</t>
  </si>
  <si>
    <t>Kirk Rd to Majestic Oaks to E. Francis</t>
  </si>
  <si>
    <t>MAJESTIC OAKS</t>
  </si>
  <si>
    <t>GRAND CHATEAU</t>
  </si>
  <si>
    <t>102X133X68X125</t>
  </si>
  <si>
    <t>Looking to get into Majestic Oaks for under $550,000? Looking to be 2 blocks from high school and middle school? How about 2 homes away from the neighborhood park? How about a home that shows like a model?  How about a home that is pet and smoke free? Look no further! One owner home that has been meticulously maintained! 1st floor full bath with adjoining den. Possible in-law opportunity.  A great home!!</t>
  </si>
  <si>
    <t>Water-Softener Owned, TV-Cable, CO Detectors, Ceiling Fan, Sump Pump, Air Cleaner</t>
  </si>
  <si>
    <t>Call 1-855-746-9093</t>
  </si>
  <si>
    <t>Please exclude light sconces and mirror in 1st floor bath. (Family gift). This home shows better than new! Neighborhood park 200 feet to the north. (See photo 25).</t>
  </si>
  <si>
    <t>Cicero to 51st turn left go to Lawler then left to 5142</t>
  </si>
  <si>
    <t>Large 4 bedroom Cape cod with a main level Family room with bay window. Harwood floors in Living and lower bedroom, spacious closets. Eat in Kitchen. 2 bedroom upper level with a 1/2 bath. newer furnace and A/C, windows and roof. 2 car garage Estate Sale selling as is</t>
  </si>
  <si>
    <t>Finished, Partially Finished, Exterior Access</t>
  </si>
  <si>
    <t>2.5 - $250 (on Net SP)</t>
  </si>
  <si>
    <t>Sheryl Falls</t>
  </si>
  <si>
    <t>(708) 267-4845</t>
  </si>
  <si>
    <t>Call listing Office</t>
  </si>
  <si>
    <t>earnest money to be in form of certified check.</t>
  </si>
  <si>
    <t>5n512</t>
  </si>
  <si>
    <t>Hidden Springs</t>
  </si>
  <si>
    <t>Empire to Ravine L on Jens Jensen to L on Hidden Springs Drive to home.</t>
  </si>
  <si>
    <t>THE WINDINGS OF FERSON CREEK</t>
  </si>
  <si>
    <t>153X236X135X248</t>
  </si>
  <si>
    <t>Pristine inside &amp; out very private, wooded yard &amp; beautiful landscaping. Porch, deck, balcony offers year round enjoyment. Updated kit w/ corian counters, cooktop, island, pantry, h/w flr. F/r has f/p, h/w flr. 1st flr laundry, ceramic flr. 1st flr den. Huge M/br. Updated M/bath has sitting rm &amp; f/p, tub, walk in shower, tile.  4th b/r so large could be bonus rm. Updated mechanicals. Charming. Close to Elburn train.</t>
  </si>
  <si>
    <t>LILY LAKE GRADE SCHOOL</t>
  </si>
  <si>
    <t>Pool, Tennis Courts, Pond/Lake</t>
  </si>
  <si>
    <t>Landscaped Professionally, Stream, Wooded</t>
  </si>
  <si>
    <t>Clubhouse, Pool, Lake Rights, Other</t>
  </si>
  <si>
    <t>Humidifier, Water-Softener Owned, Security System, CO Detectors, Ceiling Fan, Sump Pump</t>
  </si>
  <si>
    <t>Den, Eating Area, Foyer, Sitting Room</t>
  </si>
  <si>
    <t>Vaulted/Cathedral Ceilings, Hardwood Floors, 1st Floor Bedroom, 1st Floor Laundry</t>
  </si>
  <si>
    <t>Kelly Crowe, ABR,CRS,GRI</t>
  </si>
  <si>
    <t>(630) 624-8096</t>
  </si>
  <si>
    <t>Cell: 630-624-8096</t>
  </si>
  <si>
    <t>855-746-9100 for app. 2 hr notice, must confirm. Security system will be turned off.</t>
  </si>
  <si>
    <t>For everyone's enjoyment there is a swimming pool, tennis courts, clubhouse, fishing pond, sledding hill &amp; acres of green space &amp; hiking trails. Easy access to Great Wester Bike Path. Extra wide driveway. Close to the Elburn train station.</t>
  </si>
  <si>
    <t>Berenice</t>
  </si>
  <si>
    <t>Central South to Berenice West bound only to home</t>
  </si>
  <si>
    <t>33X123</t>
  </si>
  <si>
    <t>Another Wonderful project from Borter-z.  This beautiful four square is bigger than it looks, 4 bedrooms, With a MASTER SUITE. Full finished basement with drain tile and overhead sewers,  New Plumbing, New 200 amp Electrical service,  dedicated mudroom off the back with ample closets.  42" custom cabinets with granite counters, custom back splash, stainless appliances. New Garage..Nothing to do but move in....</t>
  </si>
  <si>
    <t>Organic Realty</t>
  </si>
  <si>
    <t>(888) 588-8808</t>
  </si>
  <si>
    <t>Richard Mell</t>
  </si>
  <si>
    <t>(773) 259-6976</t>
  </si>
  <si>
    <t>Borter-z Inc</t>
  </si>
  <si>
    <t>SEEKONK</t>
  </si>
  <si>
    <t>Rt 20 to Nesler Rd, south to Gansett Prkwy, east to Chalkstone Ave, north to Seekonk, east to home</t>
  </si>
  <si>
    <t>New Carpet &amp; paint MOVE-IN-READY 4 BEDROOM, 3 1/2 BATH HOME BACKING TO WETLAND .GREAT FLOOR PLAN. FIRST FLOOR OFFICE AND LAUNDRY, NICE DECK, FENCED IN BACKYARD. 301 SCHOOLS.100% tax proration, no survey or disclosures provided.For more information about HomePath homes and incentives, please visit HomePathcom. Room/Lot sizes are approx. POF strongly encouraged with all offers.</t>
  </si>
  <si>
    <t>Bonus, Exercise Room, Recreation Room</t>
  </si>
  <si>
    <t>15X29</t>
  </si>
  <si>
    <t>see Secure Showing Assist Instructions:</t>
  </si>
  <si>
    <t>Barrington Rd, East on Walnut Ave, N on Highland St to home on right.</t>
  </si>
  <si>
    <t>Sought-after Schaumburg school dist. More updated than appears in photos..just finish w/new kitchen cabinet doors. Larger than most Raised Ranches: Above ground lower level has 2 large family rooms; 4th bedrm; &amp; updated full bath w/heated flrs, updated fixtures &amp; cabinets, full body spray shower. Maintenance free deck w/awning. Landscaped yard(removable pool). New furnace 2015. Condition of home great + home warranty</t>
  </si>
  <si>
    <t>ROBERT FROST JUNIOR HIGH SCHOOL</t>
  </si>
  <si>
    <t>Separate Shower, Full Body Spray Shower</t>
  </si>
  <si>
    <t>Humidifier, CO Detectors, Ceiling Fan, Fan-Whole House, Sump Pump, Backup Sump Pump</t>
  </si>
  <si>
    <t>Wood Laminate Floors, Heated Floors, 1st Floor Bedroom, 1st Floor Full Bath</t>
  </si>
  <si>
    <t>Deck, Patio, Pool Above Ground, Storms/Screens</t>
  </si>
  <si>
    <t>2.5% - $275 + $1000 BONUS IF UNDER CONTRACT BY 2/15/15 (on Net SP)</t>
  </si>
  <si>
    <t>Executive Realty Group LLC</t>
  </si>
  <si>
    <t>(630) 894-1030</t>
  </si>
  <si>
    <t>Lexie Lyons</t>
  </si>
  <si>
    <t>(630) 853-7183</t>
  </si>
  <si>
    <t>630-853-7183</t>
  </si>
  <si>
    <t>Call CSS 877-977-1010.</t>
  </si>
  <si>
    <t>$1000 BONUS IF UNDER CONTRACT BY 2/15/15. LIST OFFICE DOES NOT HOLD EARNEST MONEY - BUYER'S BROKERAGE TO HOLD EARNEST MONEY. Murphy bed &amp; sauna are not included. Email offers to LexFindsHomes@gmail.com, then call LA to notify of offer.</t>
  </si>
  <si>
    <t>BURR OAK</t>
  </si>
  <si>
    <t>LAKE ST. TO WALNUT TO HICKORY (R) TO BURR OAK</t>
  </si>
  <si>
    <t>145X123X102X145</t>
  </si>
  <si>
    <t>Best Value In Subdivision~You Can't Beat This One For Value~Generous Raised Ranch To Call Home~Lower Level Wants Your Decorating Ideas~You'll Love The Shaded Yard &amp; Deck~New Appliances &amp; Paint~Close to Shopping and Expressways~This is a Fannie Mae Home Path Property.</t>
  </si>
  <si>
    <t>LAUREL HILL ELEMENTARY SCHOOL</t>
  </si>
  <si>
    <t>Gloria Tomaras, ABR,CNC,SFR</t>
  </si>
  <si>
    <t>(630) 878-4407</t>
  </si>
  <si>
    <t>All offers must be made on HomePath. Please download pg  8 of the 6.0 along w/instructions prior to submitting offers. No survey.  No Personal Property No survey Multiple offers by 2/5/15 noon</t>
  </si>
  <si>
    <t>Hale</t>
  </si>
  <si>
    <t>108th pl to Hale to home</t>
  </si>
  <si>
    <t>40X148</t>
  </si>
  <si>
    <t>Beautiful 4 beds and 2 baths Chicago classic bungalow. New Kitchen cabinets, counters, and baths. New roof&amp;gutters, new windows. Freshly painted, sealed bsmt walls, new carpeting, some new interior doors, new appliances, some new fans/lights. See attachment for PAS requirements and WFHM offer submittal information in the MLS document section.</t>
  </si>
  <si>
    <t>Columbine</t>
  </si>
  <si>
    <t>Randalle Rd S of Rt 20 to College Green (R) to Red Barn to Columbine, Property on right</t>
  </si>
  <si>
    <t>10400 SQ FT</t>
  </si>
  <si>
    <t>This amazing home could be yours.  Open floor plan with new paint, carpet and appliances.  Awesome finished basement with rec room, bedroom and full bath.  This is a Fannie Mae HomePath property. Buyer responsible for all permit/inspections/stamps.  Seller does not provide survey/disclosures.**Room sizes are approximte**</t>
  </si>
  <si>
    <t>3%, MINIMUM $1000 (on Gross SP)</t>
  </si>
  <si>
    <t>Beth Colen, SFR</t>
  </si>
  <si>
    <t>(847) 804-3828</t>
  </si>
  <si>
    <t>Showing desk 866-852-8313</t>
  </si>
  <si>
    <t>U/C No more showings...All offers must be submitted via the HomePath website</t>
  </si>
  <si>
    <t>Cortland</t>
  </si>
  <si>
    <t>ARMITAGE OR MOFFAT WEST TO CAMPBELL TO CORTLAND EAST</t>
  </si>
  <si>
    <t>Spacious West Bucktown custom 4 bedroom home. The best of an open floor plan &amp; eat-in chef's kitchen w separate dining area. Professionally landscaped front &amp; back yards. 3 large bedrooms upstairs. Beautifully finished lower level family area has 9' ceilings, 4th bedroom, full bath, separate large laundry/mudroom &amp; access to the backyard. 2 car garage, walk to the blue line.</t>
  </si>
  <si>
    <t>Eating Area-Breakfast Bar, Pantry-Walk-in</t>
  </si>
  <si>
    <t>Skylight(s), Hot Tub, Bar-Wet, Hardwood Floors</t>
  </si>
  <si>
    <t>Jason Finn</t>
  </si>
  <si>
    <t>(773) 797-9499</t>
  </si>
  <si>
    <t>Please Use ShowingAssist Exclusively</t>
  </si>
  <si>
    <t>WOLCOTT</t>
  </si>
  <si>
    <t>DAMEN TO SUNNYSIDE. EAST TO WOLCOTT. SOUTH TO 4453.</t>
  </si>
  <si>
    <t>STUNNING!</t>
  </si>
  <si>
    <t>21X50</t>
  </si>
  <si>
    <t>X-wide brick &amp; stone SFH built by well-respected Mangan Builders. Elegant &amp; upgraded features incl: 3 bedrms up (plus 4th down), stone bths (master w/steam shower, whirpool tub &amp; htd flrs), chef's kitch w/ssteel Wolf &amp; Subzero apps, sep dining rm, lRG dck, mudrm, 2-car att gar outfitted by White Rabbit &amp; more. Near El, Metra, new Lycee Francais, Welles, Chase &amp;Winnemac Parks, LSquare, N. Center &amp; Andersonville</t>
  </si>
  <si>
    <t>Park/Playground, Pond/Lake</t>
  </si>
  <si>
    <t>Oven/Range, Microwave, Dishwasher, Refrigerator, Refrigerator-Bar, Freezer, Washer, Dryer, Disposal</t>
  </si>
  <si>
    <t>Lawn Care, Scavenger, Snow Removal</t>
  </si>
  <si>
    <t>Conlon: A Real Estate Company</t>
  </si>
  <si>
    <t>(312) 733-7201</t>
  </si>
  <si>
    <t>Jean Metzler, ABR</t>
  </si>
  <si>
    <t>Email JMetzler@ConlonRealEstate.com</t>
  </si>
  <si>
    <t>LISTING ENTRY COMPLETED AFTER ACCEPTED CONTRACT. All info deemed reliable but not guaranteed.</t>
  </si>
  <si>
    <t>CALIFORNIA EAST ON 60TH ST NORTH ON FAIRIELD TO ADDRESS</t>
  </si>
  <si>
    <t>BRICK BUNGALOW THAT IS CLOSE TO SCHOOLS AND TRANSPORTATION. THIS HOME IS A GREAT STARTER HOME FOR A LARGE FAMILY. HUD CASE #137-414840</t>
  </si>
  <si>
    <t>3% OR $1250 WHICH EVER IS GREATER (on Gross SP)</t>
  </si>
  <si>
    <t>Lindbergh</t>
  </si>
  <si>
    <t>Rt 14 2 Kelsey Rd N passed RT22 to Arch L to N Summit L at W Lindbergh</t>
  </si>
  <si>
    <t>SHADY HILL</t>
  </si>
  <si>
    <t>100X120</t>
  </si>
  <si>
    <t>Nice blend of rustic &amp; traditional features in this Shady Hill home with access to  community beach &amp; dock.Great room w/cathedral ceiling &amp; wood burning fireplace.Master bdr with deck to screened in porch.Finished lower level with loads of storage space.Fenced yard.Maintainence free deck.Great, solid home. sold as is.</t>
  </si>
  <si>
    <t>Barrington HIGH SCHOOL</t>
  </si>
  <si>
    <t>30X23</t>
  </si>
  <si>
    <t>Park/Playground, Dock-Community, Water Rights</t>
  </si>
  <si>
    <t>Water-Softener Owned, Ceiling Fan, Fan-Attic Exhaust, Fan-Whole House</t>
  </si>
  <si>
    <t>Deck, Patio, Gazebo, Storage Shed</t>
  </si>
  <si>
    <t>2.5%-100 (on Net SP)</t>
  </si>
  <si>
    <t>Not a short sale or foreclosure.Can close quickly.Taxes prorated at 100%.</t>
  </si>
  <si>
    <t>Lincoln ave north to Winona St, one way East on Winona to 2425.</t>
  </si>
  <si>
    <t>25'X112'</t>
  </si>
  <si>
    <t>SOLD before print</t>
  </si>
  <si>
    <t>15X27</t>
  </si>
  <si>
    <t>Oven-Double, Oven/Range, Microwave, Dishwasher, Refrigerator, Refrigerator-Bar, Washer, Dryer, Disposal, All Stainless Steel Kitchen Appliances</t>
  </si>
  <si>
    <t>Bar-Dry, Bar-Wet, Hardwood Floors, 2nd Floor Laundry</t>
  </si>
  <si>
    <t>Cecily Crowther, GRI</t>
  </si>
  <si>
    <t>(312) 342-9333</t>
  </si>
  <si>
    <t>312.342.9333</t>
  </si>
  <si>
    <t>SOLD before LIST</t>
  </si>
  <si>
    <t>SOLD BEFORE LIST</t>
  </si>
  <si>
    <t>79St to Kostner S To 81st left to property</t>
  </si>
  <si>
    <t>Beautiful property invites your offer. Please allow time for SS approval.</t>
  </si>
  <si>
    <t>2.5%-$120 (on Net SP)</t>
  </si>
  <si>
    <t>Lydia Memeti</t>
  </si>
  <si>
    <t>(708) 267-0971</t>
  </si>
  <si>
    <t>Saturday before 2:00pm ONLY text Alex with agent id and showing instruction at 773 273 1591.</t>
  </si>
  <si>
    <t>CC: Pursuant to Short Sale. Experienced attorney handling the SS process. Send all offers to chicagotoprealtor@gmail.com</t>
  </si>
  <si>
    <t>Parnell</t>
  </si>
  <si>
    <t>Halsted to 91st East To Parnell</t>
  </si>
  <si>
    <t>Beautifully Rehabbed home! This home is rehabbed to perfection.     Sold before print</t>
  </si>
  <si>
    <t>Oven/Range, Refrigerator, Washer, All Stainless Steel Kitchen Appliances</t>
  </si>
  <si>
    <t>Whirlpool, Separate Shower, Full Body Spray Shower, Soaking Tub</t>
  </si>
  <si>
    <t>(773) 941-8804</t>
  </si>
  <si>
    <t>Celeste Pearson-Dixon</t>
  </si>
  <si>
    <t>Corner of Rt 25 and Columbia Ave</t>
  </si>
  <si>
    <t>48 X 132</t>
  </si>
  <si>
    <t>LOT OF HOUSE FOR THE MONEY! THIS FOUR BEDROOM HOME IS BEING SOLD AS IS, NO DISCLOSURES, NO SURVEY, 100% TAX PRORATION.</t>
  </si>
  <si>
    <t>22X6</t>
  </si>
  <si>
    <t>Mary Roberts</t>
  </si>
  <si>
    <t>CALL THE SHOWING DESK: 888-362-3222</t>
  </si>
  <si>
    <t>EMAIL ALL OFFER TO MROBERTS@STARCKREALTORS.COM  Highest and best due to me by 9:00 AM on the 23rd of December.</t>
  </si>
  <si>
    <t>Hermosa</t>
  </si>
  <si>
    <t>VINCENNES TO MONTEREY, WEST TO HERMOSA NORTH TO ADDRESS.</t>
  </si>
  <si>
    <t>50X150</t>
  </si>
  <si>
    <t>Great opportunity to own this 4 bdrm/2 ba home on over-sized lot. Located nears schools and Metra. REO-bank owned property sold "as-is" without repairs, warranty or seller disclosures.  Seller will not activate any utilities.  Listing broker and Seller assume no responsibility and make no guarantees/warranties or representations as to the availability or accuracy of information.</t>
  </si>
  <si>
    <t>3% OR $1250 MIN (on Net SP)</t>
  </si>
  <si>
    <t>Spartan Real Estate &amp; Dev.</t>
  </si>
  <si>
    <t>(630) 545-1111</t>
  </si>
  <si>
    <t>John Parrish</t>
  </si>
  <si>
    <t>Cell:  630-551-5544 or 630-551-5744</t>
  </si>
  <si>
    <t>Pre-approval or verified funds must accompany all offers.  Earnest money must be certified funds.  A Lender Addendum required after offer accepted.  SOLD AS-IS, NO REPAIRS</t>
  </si>
  <si>
    <t>KARLOV</t>
  </si>
  <si>
    <t>2 BLOCKS WEST OF PULASKI ON KARLOV AVE</t>
  </si>
  <si>
    <t>Beautiful remodeled single home with finished attic and finished basement.  New roof on house and garage. new siding on garage.  New and spacious kitchen with stainless steel appliances. Main floor 2 bedrooms, living room with laminated floors, kitchen with ceramic floor.  Finished basement with a full bath.</t>
  </si>
  <si>
    <t>ArCo Realty</t>
  </si>
  <si>
    <t>(773) 247-8000</t>
  </si>
  <si>
    <t>Araceli Corral</t>
  </si>
  <si>
    <t>Regular sale !!!!!!  Your buyers wil Love the property !!</t>
  </si>
  <si>
    <t>CORNELIA</t>
  </si>
  <si>
    <t>CICERO TO CORNELIA, WEST TO PROPERTY</t>
  </si>
  <si>
    <t>33 X 125</t>
  </si>
  <si>
    <t>AMAZING JUMBO BUNGALOW! Home sports 4 BR, 2.5 baths,  Large kitchen w/ breakfast bar. Master suite w/ tandem 4th bedroom. Home is freshly painted, newly refinished HW floors. Enormous basement w/ bar great for entertaining guests! Windows and roof replaced just last year! Best deal in the neighborhood!! Must come see!!!</t>
  </si>
  <si>
    <t>Nivar Property Investments LLC</t>
  </si>
  <si>
    <t>(773) 701-3493</t>
  </si>
  <si>
    <t>Rafael Nivar</t>
  </si>
  <si>
    <t>Text/email agent</t>
  </si>
  <si>
    <t>All offers must be submitted with Pre-approval/POF. EM must be certified funds. 24 hour noticed preferred.</t>
  </si>
  <si>
    <t>Nelson</t>
  </si>
  <si>
    <t>Austin south of Belmont to Nelson</t>
  </si>
  <si>
    <t>Short sale,   Spacious oversized bungalow in Belmont Cragin, hardwood floors, formal dining, great for large family, related living in basement, needs repairs and remodeling, some ceiling leaking due to roof.  Bring your ideas. Pipes recently froze and busted radiators, new heating system required...As-Is .... CASH ONLY</t>
  </si>
  <si>
    <t>1 (Window/Wall Unit), None</t>
  </si>
  <si>
    <t>2.5% - $325 MLS (on Net SP)</t>
  </si>
  <si>
    <t>Monica Walsh</t>
  </si>
  <si>
    <t>(312) 731-1010</t>
  </si>
  <si>
    <t>CC: Pursuant to Short Sale. Listing Agent has extensive short sale experience, Short Sale attorneys negotiate. Short Sale in process.- 1 Loan</t>
  </si>
  <si>
    <t>IRVING PARK RD. OR MONTROSE TO MELVINA than west TO CUYLER HOUSE #6234</t>
  </si>
  <si>
    <t>Spacious and updated house features:3 Bdrm+1 in lower level,4 Baths,hardwood floors,open concept kitchen w/maple cabinets, granite C-tops &amp; breakfast bar,skylights and lot's of closets, new doors and trims,lighting,extra insulated walls,full finished bsmt w/bar, family room &amp; separate entrance, wooden deck&amp; fenced yard for summer fun! This property has a great potential for first time buyers or large family.</t>
  </si>
  <si>
    <t>Eating Area-Breakfast Bar, Pantry-Butler</t>
  </si>
  <si>
    <t>Gas, Forced Air, Radiators</t>
  </si>
  <si>
    <t>Great Room, Sun/Florida Room</t>
  </si>
  <si>
    <t>Vaulted/Cathedral Ceilings, Skylight(s), Bar-Wet, Hardwood Floors, 1st Floor Bedroom</t>
  </si>
  <si>
    <t>Arc Realtors, Inc</t>
  </si>
  <si>
    <t>(773) 303-7416</t>
  </si>
  <si>
    <t>Ilona Kapustka</t>
  </si>
  <si>
    <t>(773) 716-4700</t>
  </si>
  <si>
    <t>text 773 716-4700</t>
  </si>
  <si>
    <t>PLEASANT</t>
  </si>
  <si>
    <t>7TH AVE TO JEWEL TO PLEASANT</t>
  </si>
  <si>
    <t>SPLIT LEVEL SFR WITH 3 BEDROOM, 3 BATH, FAMILY ROOM, CENTRAL AIR, FENCE, POND.**Sold as-is. Seller does not provide survey, termite or disclosures. Tax proration 100%. It is strongly encouraged that an offer includes Pre-qual or proof of funds. Addendum's to follow accepted offer. Buyer to verify all info.</t>
  </si>
  <si>
    <t>Compass REO Incorporated</t>
  </si>
  <si>
    <t>(630) 859-8966</t>
  </si>
  <si>
    <t>Marisa Barragan, CRB</t>
  </si>
  <si>
    <t>Secure Showing Assist, click on schedule a showing.</t>
  </si>
  <si>
    <t>Submit offers to WWW.OFFERRUNWAY.COM Property is being sold subject to 24 CFR 206. PROPERTY MUST SELL FOR THE FULL APPRAISED VALUE, THE APPRAISED VALUE IS THE LIST PRICE, See disclosures in Add InformationEMD to be held at Sellers Title Co.</t>
  </si>
  <si>
    <t>HAMLIN</t>
  </si>
  <si>
    <t>PULASKI TO 71ST  EAST TO HAMLIN SOUTH TO HOME</t>
  </si>
  <si>
    <t>Move in ready! Plenty of space for the whole family.BRICK CAPE COD W/4 BDRMS AND 2 BATHS, LARGE EAT-IN KITCHEN HARDWOOD FLRS, DECK OVERLOOKING BACK YARD.List Broker/Seller make no guarantees/rep to accuracy of info in MLS.No Survey-100% tax prorate. This is a Fannie Mae HomePath property.</t>
  </si>
  <si>
    <t>3.00% (on Net SP)</t>
  </si>
  <si>
    <t>Royal Service Realty Chicago Metro Properties</t>
  </si>
  <si>
    <t>(773) 769-2210</t>
  </si>
  <si>
    <t>Stanislaw Krozel, CSC</t>
  </si>
  <si>
    <t>630-820-9400</t>
  </si>
  <si>
    <t>SUPER EZ/Use Show Assist to register OR Email -DO not call LA. Email request to:  RoyalServiceFANNIE</t>
  </si>
  <si>
    <t>As IS Condition-Docs Uploaded in MLS.Seller has directed all offers on this listing be made using the HomePath Online Offer system www.homepath.com.No offers reviewed 1st 48 hrs/donâ€™t forget 1st look period (shown on HomePath.com) 20 days o</t>
  </si>
  <si>
    <t>Kewanee</t>
  </si>
  <si>
    <t>Elston North of Montrose, Northeast on Kennicott, Northwest on Kelso, Northeast on Kewanee to house</t>
  </si>
  <si>
    <t>28X128</t>
  </si>
  <si>
    <t>Contemporary light-flooded new construction SFH on charming Mayfair block. Open concept main floor great for entertaining. Great kitchen with quartz counters, Bosch appliances &amp; custom shaker cabinetry. Main floor bed &amp; full bath. 3 beds, 2 baths &amp; laundry on upper level. Huge lower level recreation space w/half bath &amp; 2nd laundry. Modern details &amp; designer finishes throughout. New 2-car garage, great back yard.</t>
  </si>
  <si>
    <t>55X13</t>
  </si>
  <si>
    <t>Lake Run</t>
  </si>
  <si>
    <t>88 TO ORCHARD NORTH TO OAK W TO DEERPATH W TO TANNER N TO WESTERN</t>
  </si>
  <si>
    <t>LAKE RUN ESTATES</t>
  </si>
  <si>
    <t>COLUMBIA FEDERAL</t>
  </si>
  <si>
    <t>171X141</t>
  </si>
  <si>
    <t>Previous Toll Brothers Model Home!! 2-Story FR w/Custom Trim Design/Fl to Ceiling Stone FP &amp; Windows Overlooking Forest Preserve~LR &amp; DR w/Crown Molding &amp; Hand Scrapped Hardwood Floors~Kitchen w/Glazed Cabinetry/High End SS Appls/Breakfast Bar/Island &amp; Wine Bar~Laundry w/Pet Shower~Office w/Custom Built-Ins~Luxurious Mstr Ste w/Tray Ceiling/Sitting Rm/Huge Walk-In~Fenced Yard/Brick Paver Patio w/Gas Firepit</t>
  </si>
  <si>
    <t>Oven/Range, Microwave, Dishwasher, Refrigerator, Disposal, All Stainless Steel Kitchen Appliances, Wine Cooler/Refrigerator</t>
  </si>
  <si>
    <t>Corner, Fenced Yard, Forest Preserve Adjacent</t>
  </si>
  <si>
    <t>Humidifier, Central Vacuum, Security System, Intercom, CO Detectors, Ceiling Fan, Sump Pump, Sprinkler-Lawn</t>
  </si>
  <si>
    <t>Office, Sitting Room, Walk In Closet</t>
  </si>
  <si>
    <t>Rhonda Yedinak</t>
  </si>
  <si>
    <t>(630) 464-1241</t>
  </si>
  <si>
    <t>CALL B&amp;W SHOWING DESK @ 855.746.9100</t>
  </si>
  <si>
    <t>Please see attachment of all features under additional information</t>
  </si>
  <si>
    <t>57th</t>
  </si>
  <si>
    <t>PULASKI TO 57TH ST, EAST TO PROPERTY</t>
  </si>
  <si>
    <t>WOW! BEAUTIFUL SINGLE FAMILY HOME WITH FRONT PORCH, UPDATED BATHROOM NICE HARDWOOD FLOORS BEAUTIFUL BIG KITCHEN WITH STAINLESS STEEL APPLIANCES. BASEMENT WITH EXTRA TWO BEDROOMS WITH NEW CARPET FULL ATTIC READY FOR YOUR IDEAS, BIG YARD AND TWO CAR GARAGE THIS WON'T LAST BRING YOUR CLIENT TODAY!!!</t>
  </si>
  <si>
    <t>Aluminum Siding, Frame</t>
  </si>
  <si>
    <t>Ruiz Realty, Inc.</t>
  </si>
  <si>
    <t>(773) 767-9470</t>
  </si>
  <si>
    <t>Rafael Ruiz</t>
  </si>
  <si>
    <t>PLEASE FAX OR E-MAIL YOUR OFFER TO:  RUIZ.REALTY@YAHOO.COM OR 773-767-9472.</t>
  </si>
  <si>
    <t>Navy</t>
  </si>
  <si>
    <t>Randall to Bowes, E to Umbdenstock,S to Spinnaker,E to Navy Ct.</t>
  </si>
  <si>
    <t>WILLOW BAY</t>
  </si>
  <si>
    <t>STERLING</t>
  </si>
  <si>
    <t>63 X 136 X 126 X 117</t>
  </si>
  <si>
    <t>PREMIUM LOCATION ON CUL-DE-SAC IN WILLOW BAY! BIG YARD OPENS TO A HUGE GREENERY AREA LITERALLY LIKE HAVING YOU OWN FOREST PRESERVE BEHIND YOUR PROPERTY. OPEN FLOOR PLAN W/9 FT CEILINGS. 2 STORY FOYER AND FAMILY ROOM WITH BEAUTIFUL FIREPLACE. BIG KITCHEN WITH PLENTY OF CABINETS, COUNTER AND PREP SPACE OPENS TO FAMILY ROOM. DEN/OFICE ON 1ST FLOOR 4 LARGE BEDROOMS 2 BATHS UPSTAIRS MASTER HAS PRIVATE BATH.   2 CAR GARAGE</t>
  </si>
  <si>
    <t>FOX MEADOW ELEMENTARY SCHOOL</t>
  </si>
  <si>
    <t>KENYON WOODS MIDDLE SCHOOL</t>
  </si>
  <si>
    <t>Cul-de-sac, Nature Preserve Adjacent</t>
  </si>
  <si>
    <t>Den, Eating Area, Exercise Room, Foyer, Mud Room</t>
  </si>
  <si>
    <t>Use Showing Assist. Appointment needed weekday evenings or anytime weekends or call 855-746-9200</t>
  </si>
  <si>
    <t>CC: Pursuant to Short Sale. Already approved at the asking price.  Very experienced short sale attorney team already has go ahead from lender to close!!</t>
  </si>
  <si>
    <t>Isleview</t>
  </si>
  <si>
    <t>Plainfield Road to Grove Road to Morgan Valley (w) to Isleview (n)</t>
  </si>
  <si>
    <t>DEERPATH CREEK</t>
  </si>
  <si>
    <t>81X139X79X138</t>
  </si>
  <si>
    <t>Close to the park! This Cape-Cod inspired, 4BR 2.1BA home, has inviting covered porch. Large, professionally landscaped yard w/ mature trees, patio, fire pit, &amp; fence. Oak floors flow from 2 story foyer to kitchen and eating area. Great entertaining space connects Kitchen &amp; FR. Sunken FR features abundant nature light, vaulted ceiling, &amp; fireplace. Full Basement is pro-finished: Surround sound, built-ins, &amp; storage!</t>
  </si>
  <si>
    <t>Humidifier, CO Detectors, Ceiling Fan, Sump Pump, Radon Mitigation System(s)</t>
  </si>
  <si>
    <t>Eating Area, Game Room, Play Room, Storage</t>
  </si>
  <si>
    <t>24X23</t>
  </si>
  <si>
    <t>Ryan Kurtz, CNC</t>
  </si>
  <si>
    <t>(630) 251-5386</t>
  </si>
  <si>
    <t>Please Click Showing Link Below</t>
  </si>
  <si>
    <t>Kyle &amp; Heather Pitzer</t>
  </si>
  <si>
    <t>Easy To Show. Questions Call either LA or Co-LA. Please Exclude Cabinets in Garage, Drapes, Playset, TV on Wall in Basement and Surround Speakers. (Surround sound wiring will remain)</t>
  </si>
  <si>
    <t>South of Wilson and North of Sunnyside.  Corner of Wilson and Lawndale. Corner home.</t>
  </si>
  <si>
    <t>5494 SQ FT</t>
  </si>
  <si>
    <t>Spacious home in Albany Park with so much potential! The home features a huge foyer, wide staircase, generous sized rooms, and full walk out basement. Park and school are across the street. Walk to the grocery store, restaurants, and public transportation. This is a Fannie Mae HomePath property.</t>
  </si>
  <si>
    <t>SR Realty Group Inc.</t>
  </si>
  <si>
    <t>(847) 878-1610</t>
  </si>
  <si>
    <t>Jaunice Salgado</t>
  </si>
  <si>
    <t>Use Showing Assistance</t>
  </si>
  <si>
    <t>Seller has instructed all offers be submitted online at www.HomePath.com on the HomePath Online Offer</t>
  </si>
  <si>
    <t>59th street to Kildare south to 6030</t>
  </si>
  <si>
    <t>BEAUTIFUL QUALITY REHABBED 4 BDRS RAISED RANCH*  GORGEOUS OPEN KITCHEN W/42" CABINETS* GRANITE COUNTER TOPS* GLASS BACK SPLASH* SS. APPL.PACKAGE*  HUDGE LIVING ROOM W/VAULTED CEILINGS, SKYLIGHTS, CROWN MOLDINGS AND WALL PANELING* GLEAMING HARDWOOD FLOORS*ELEGANT LUXURY BATHS W/ CUSTOM STONE AND CERAMIC DESIGNS* SHOWER W/BODY SPRAY*  FULLY FINISHED BSM. W/ ADDITIONAL ROOMS* NEW WINDOWS NEW FURNACE NEW.... AND MORE</t>
  </si>
  <si>
    <t>Gated Entry, Sidewalks, Street Lights, Street Paved</t>
  </si>
  <si>
    <t>708-220-3807</t>
  </si>
  <si>
    <t>CALL LISTING OFFICE/AFTER HOURS L.A.</t>
  </si>
  <si>
    <t>EARNEST MONEY CERTIFY FUNDS PAYABLE TO CLASSIC REALTY*</t>
  </si>
  <si>
    <t>95th Street to Prairie, Prairie to property</t>
  </si>
  <si>
    <t>This beautifully renovated, reconstructed home awaits the savvy buyer.  Newer roof, windows, electrical.  Hardwood floors, granite countertop, ceramic floors, and lots of spaces for storage.</t>
  </si>
  <si>
    <t>Oven/Range, Dishwasher, Wine Cooler/Refrigerator</t>
  </si>
  <si>
    <t>2.5% - $175 (on Net SP)</t>
  </si>
  <si>
    <t>Shaun Pinkston</t>
  </si>
  <si>
    <t>(630) 538-3932</t>
  </si>
  <si>
    <t>Fax  866-721-0107</t>
  </si>
  <si>
    <t>Use Show Assist</t>
  </si>
  <si>
    <t>White Pine</t>
  </si>
  <si>
    <t>Higgins Rte 72 to Richard J Brown Blvd south to Wester east to Birchwood north to White Pine Trail.</t>
  </si>
  <si>
    <t>TUSCAN</t>
  </si>
  <si>
    <t>Tuscan Model. Selling strictly in AS-IS condition. Special addendum required on final sales contract. Buyer responsible for survey. Taxes Pro/Rated 100%. Pre/Approved buyers only. Cash Offers must be verified. Earnest Money must be certified.</t>
  </si>
  <si>
    <t>Dishwasher</t>
  </si>
  <si>
    <t>Conventional, Cash Only, Other</t>
  </si>
  <si>
    <t>Realty Executives Premiere</t>
  </si>
  <si>
    <t>(630) 668-1199</t>
  </si>
  <si>
    <t>Steve Bihun, e-PRO,SFR</t>
  </si>
  <si>
    <t>(630) 632-1968</t>
  </si>
  <si>
    <t>Use Showing Assist:</t>
  </si>
  <si>
    <t>Please submit all offers to stevebihun@gmail.com</t>
  </si>
  <si>
    <t>Daytona</t>
  </si>
  <si>
    <t>Rt 72 to Wester Blvd. to Lighthouse to Daytona to home</t>
  </si>
  <si>
    <t>Cambridge Lakes</t>
  </si>
  <si>
    <t>DALTON</t>
  </si>
  <si>
    <t>77X120X57X122</t>
  </si>
  <si>
    <t>LIKE A BRAND NEW HOME! Squeaky CLEAN, Move-In Ready, This one offers LARGE ROOMS, LOFT, SUNNY WINDOWS, VAULTS &amp; HUGE KITCHEN W/ CASUAL DINING. The CHEFS KITCHEN offers 8 Ft CENTER ISLAND, all APPLIANCES &amp; TILE floor. Vaulted MASTER BR incl LUXURY BATH &amp; LRG WIC. 4 BIG Br's &amp; a LOFT. Full deep basement is roughed-in for Bath. Brick/vinyl exter w/ FRONT PORCH. Excellent community w/ pool, Clubhouse &amp; Space</t>
  </si>
  <si>
    <t>Eating Area, Loft</t>
  </si>
  <si>
    <t>3%-$250. (on Net SP)</t>
  </si>
  <si>
    <t>go and show</t>
  </si>
  <si>
    <t>Pre-listing home inspection available for buyers review. Quick Close possible. Note CC. Very attractive price for this home.</t>
  </si>
  <si>
    <t>Knights Bridge</t>
  </si>
  <si>
    <t>rt34 to Pearces Ford, north to Waubonsee, east to Knights Bridge, south to home.</t>
  </si>
  <si>
    <t>Mill Race Creek</t>
  </si>
  <si>
    <t>224X76X191X76</t>
  </si>
  <si>
    <t>Great 4 bdrm, 2.5 bath home located on a quiet cul-de-sac street. New roof, back to open area, porch, hardwood floors, fire place, granite. Close to schools, shopping and major transportation. This is a Fannie Mae HomePath property.</t>
  </si>
  <si>
    <t>Kevin Rampersad</t>
  </si>
  <si>
    <t>(630) 632-0050</t>
  </si>
  <si>
    <t>LA Sell 630-632-0050</t>
  </si>
  <si>
    <t>555-555-5555</t>
  </si>
  <si>
    <t>Schedule using showing assist</t>
  </si>
  <si>
    <t>FNMA</t>
  </si>
  <si>
    <t>Submit offers on HomePath.com website-For help call 866.218.4446. Email POF/pre-app to Broker. Buyer responsible for inspections, survey, 6 mts past due HOA dues/fees &amp; trans stamps if applicable. 100% tax pro-rations.</t>
  </si>
  <si>
    <t>Whipple</t>
  </si>
  <si>
    <t>Addison west of Sacramento, south on Whipple to address.</t>
  </si>
  <si>
    <t>Complete rehab by experienced developer on wide lot. All new floor plan with 3 beds 2 baths &amp; laundry up, great main floor with chef's kitchen, large living/dining room and separate family room, and mud room. Rear deck &amp; large back yard. Fully finished lower level with rec room, 4th bed and full bath. Professional designer finishes throughout. All new electric, plumbing, mechanicals, flood proofing and more.</t>
  </si>
  <si>
    <t>Foyer, Mud Room, Recreation Room</t>
  </si>
  <si>
    <t>St Lawrence</t>
  </si>
  <si>
    <t>King Drive South to 43rd Street East to St Lawrence South to 4546</t>
  </si>
  <si>
    <t>SC INTEGRITY TRANSITIONAL</t>
  </si>
  <si>
    <t>Absolutely Stunning SC Integrity Series; Stunning Remodel w/Full Plans &amp; Permits 100% Gut. Transitional DÃ©cor w/ Open Layout, Stainless Gourmet Kitchen Feat: State-of-The-Art Appliances, Granite Back-splash w/Breakfast Bar Island, Built-In Pantry,Under Cabinet Lighting. Luxurious Master Suite w/Sconces &amp; Marble Spa. Lavishly Entertain in XLRG Rec Rm &amp; Optional Theater!  Host BBQs on Lrg Deck w/Yard.  New 2 Car Garage</t>
  </si>
  <si>
    <t>2.5% - $325 (NET SP) (on Net SP)</t>
  </si>
  <si>
    <t>Use showing assist - 24 Hours required</t>
  </si>
  <si>
    <t>Call 4 Others - SC Integrity Project; Consulting from Conception, Design layout,Flrplan,Finish,Construction,thru delivery; Hasani Steele. This property is fully upgraded shows as nice as marketing. FHA, VA Approval. Call 4 others</t>
  </si>
  <si>
    <t>Exciting new development in Irving Park. First of five single family homes just completed by highly experienced builder. Great layout with 3 beds, 2 baths &amp; full laundry room on upper level. Gorgeous main level with fireplace, custom kitchen, Bosch package &amp; quartz counters. Finished lower level with 9â€™ ceilings, great rec room, 4th bed &amp; full bath. Nice back deck off family room.</t>
  </si>
  <si>
    <t>2.5% -$375 (on Net SP)</t>
  </si>
  <si>
    <t>Model in exciting 5 single family home development project.</t>
  </si>
  <si>
    <t>Martin</t>
  </si>
  <si>
    <t>Rt. 23 north to Mt. Hunger Rd. to Martin St., turn north.</t>
  </si>
  <si>
    <t>TOWNSEND WOODS</t>
  </si>
  <si>
    <t>80X125X92.79X125</t>
  </si>
  <si>
    <t>STUNNING!   Brick arched entryway welcomes you into 2-story foyer displaying dramatic window arrangement.  New granite tops, gorgeous tile backsplash, Kohler cast iron sink, 'touch' faucet system &amp;  pantry complete the Kitchen.  Wood floors &amp; elegant Dining Rm.  Master Suite boasts whirlpool, shower, 2-sinks &amp; tray ceiling.  Basement Family Rm, 4th Bath &amp; 4th Bedrm!  24' round heated pool, deck, brick patio &amp; fence!</t>
  </si>
  <si>
    <t>Humidifier, Water-Softener Rented, TV-Cable, CO Detectors, Ceiling Fan, Sump Pump</t>
  </si>
  <si>
    <t>Deck, Storage Shed, Brick Paver Patio, Pool Above Ground, Pool In-Ground, Storms/Screens</t>
  </si>
  <si>
    <t>Must have owner approval.  4 hour notice please.  Call 877-977-1010</t>
  </si>
  <si>
    <t>Patrick L. &amp; Kristin D. Perez</t>
  </si>
  <si>
    <t>ITEM INCLUDED:  24' round - 4.5' deep pool, all equipment &amp; gas heater.  Wall mounted T.V. brackets.  Fence and storage shed.  A+ condition!</t>
  </si>
  <si>
    <t>0S155</t>
  </si>
  <si>
    <t>WILLIS</t>
  </si>
  <si>
    <t>Fabyan w2 Hughes r2 Herrington n2 N Hathaway w2 Willis l2 home</t>
  </si>
  <si>
    <t>HAWTHORNE</t>
  </si>
  <si>
    <t>PERFECT LOCATION! Popular Hawthorne model on stunning premium lot backing to common area and Park~Amazing open floorplan~Front/back staircase~Hardwood flrs~1st flr den &amp; office~Huge cooks granite kit w/large seated island/backsplash/SS Appl~Dramatic fam.rm w/soaring masonry FP/wall of windows~Gigantic vaulted master w/awesome bath/dual head shower~English bsmt~central vac/sprinkler system~minutes to metra~</t>
  </si>
  <si>
    <t>Oven/Range, Microwave, Dishwasher, Refrigerator, Disposal, Compactor-Trash, All Stainless Steel Kitchen Appliances</t>
  </si>
  <si>
    <t>Cul-de-sac, Landscaped Professionally, Park Adjacent</t>
  </si>
  <si>
    <t>Humidifier, Water-Softener Owned, Central Vacuum, Ceiling Fan, Sump Pump, Sprinkler-Lawn</t>
  </si>
  <si>
    <t>Den, Foyer, Office, Walk In Closet</t>
  </si>
  <si>
    <t>Cell: 630.643.3602</t>
  </si>
  <si>
    <t>Book through Connect MLS</t>
  </si>
  <si>
    <t>Please remove shoes then turn off all lights after showing</t>
  </si>
  <si>
    <t>COLUMBUS DR (SOUTHWEST HIGHWAY) TO PROPERTY</t>
  </si>
  <si>
    <t>125X31</t>
  </si>
  <si>
    <t>COZY BRICK CAPE COD THAT FEATURES 4 BEDROOMS, 2.5 BATHS, FULL BASEMENT, AND A 2 CAR  DETACHED GARAGE. SOLD AS IS. BUYER TO TAKE ON CITY REPAIRS &amp; PUT UP ESCROW IF REQUIRED. NO DISCLOSURES, NO SURVEY OR TERMITE PROVIDED. PRESENT DETAILED PRE-QUAL OR PROOF OF FUNDS WITH OFFER. EM CERTIFIED FUNDS ONLY.</t>
  </si>
  <si>
    <t>10X22</t>
  </si>
  <si>
    <t>(708) 889-1500</t>
  </si>
  <si>
    <t>Jeff Mrozek</t>
  </si>
  <si>
    <t>FAX 708-418-8269</t>
  </si>
  <si>
    <t>DO NOT DISTURB OCCUPANTS, OFFERS WRITTEN SIGHT UNSEEN, CASH ONLY OFFERS. DO NOT EMAIL OFFERS, FAX OVER ALL OFFERS</t>
  </si>
  <si>
    <t>Bloomfield Lot#97</t>
  </si>
  <si>
    <t>Orchard to Autumn Gate</t>
  </si>
  <si>
    <t>Autumn Gate at Southbury</t>
  </si>
  <si>
    <t>KEATING-C</t>
  </si>
  <si>
    <t>95X167X89X142</t>
  </si>
  <si>
    <t>Exciting New Construction "Autumn Gate at Southbury" 9Ft. Ceilings Main Level. Kitchen w/Island. Hardwood Flr. Family Rm w/Frpl.  Stained Rails &amp; Spindles. M/Suite w/Lux Bth. 8Ft. Full Basement. 100% Energy Star. 30 Yr. Transferable Structural Warranty. Photos Are of the "Keating" Model. Style Smart Select Included * * CURRENTLY BEING USED AS THE COMMUNITY MODEL HOME * * Call For More Details</t>
  </si>
  <si>
    <t>SOUTHBURY ELEMENTARY SCHOOL</t>
  </si>
  <si>
    <t>Clubhouse, Park/Playground, Pool, Tennis Courts</t>
  </si>
  <si>
    <t>Microwave, Dishwasher, Disposal, All Stainless Steel Kitchen Appliances</t>
  </si>
  <si>
    <t>Brick, Stone, Other</t>
  </si>
  <si>
    <t>Attached Fireplace Doors/Screen</t>
  </si>
  <si>
    <t>3%-$200 ON BASE PRICE+$5000 REALTOR BONUS IF CLOSED BY 3/31/15! (on Net SP)</t>
  </si>
  <si>
    <t>Little Realty</t>
  </si>
  <si>
    <t>(630) 416-9000</t>
  </si>
  <si>
    <t>Cheryl Bonk</t>
  </si>
  <si>
    <t>331-999-5717</t>
  </si>
  <si>
    <t>Please call Maureen 331-999-5717 or use Showing Assist</t>
  </si>
  <si>
    <t>M/I Homes of Chicago, LLC</t>
  </si>
  <si>
    <t>Agent must accompany buyers on first visit. Commission paid on base price. Register your clients with Maureen upon arrival.</t>
  </si>
  <si>
    <t>Amarillo</t>
  </si>
  <si>
    <t>North on Rt 25, Left on Kings, Left on Amarillo</t>
  </si>
  <si>
    <t>Tons of space in this home!  First floor bedroom with 3 closets and built in storage bench!  Living room has vaulted ceilings and lots of windows.  Kitchen with lots of cabinets and separate dining room with sliders leading to enclosed porch.  3 additional bedrooms on the 2nd level, and partially finished lower level with an additional full bath.  2 car attached garage!</t>
  </si>
  <si>
    <t>Please Use Showing Assist.</t>
  </si>
  <si>
    <t>sold as is, with all faults*for showing remarks see addnt info***visit hudhomestore.com and hometelosfirst.com for offer submisson***Case #  137-590714*all city inspects/system test/utility activation are buyers expense/responsibility.</t>
  </si>
  <si>
    <t>LUNA</t>
  </si>
  <si>
    <t>INDIAN ROAD TO LUNA SOUTH TO HOME</t>
  </si>
  <si>
    <t>42 X 191</t>
  </si>
  <si>
    <t>ENGLISH BRICK IN INDIAN WOODS. HUGE LOT--EXTRA WIDE AND EXTRA LONG. BEAUTIFUL FIRST FLOOR FAMILY ROOM. 4TH BEDROOM IS ROUGHED IN AND HAS A CEDAR CLOSET.</t>
  </si>
  <si>
    <t>FARNSWORTH ELEMENTARY SCHOOL</t>
  </si>
  <si>
    <t>Skylight(s), 1st Floor Bedroom, 1st Floor Full Bath</t>
  </si>
  <si>
    <t>Ambassador Real Estate Group</t>
  </si>
  <si>
    <t>(847) 763-6464</t>
  </si>
  <si>
    <t>Jim Oehler</t>
  </si>
  <si>
    <t>(773) 550-9074</t>
  </si>
  <si>
    <t>HALSTED TO 105TH WEST TO PROPERTY</t>
  </si>
  <si>
    <t>150X180</t>
  </si>
  <si>
    <t>Needs rehabbing, with additional living space in basement. This property has great potentional.</t>
  </si>
  <si>
    <t>Jeff BV - Commerical, LLC</t>
  </si>
  <si>
    <t>Provide proof of funds with cash offers. Email offers @ rpchicago453@gmail.com or fax 773-785-5579. ALL OFFERS MUST BE SUBMITTED ON ATTACHED SELLERâ€™S CONTRACT/ADDENDUM. This property is on the DAWG System instructions is in additional info.</t>
  </si>
  <si>
    <t>Pontiac</t>
  </si>
  <si>
    <t>Cumberland Ave to Forest Preserve Drive East to Pontiac South</t>
  </si>
  <si>
    <t>30 X 119</t>
  </si>
  <si>
    <t>Excellent 203K Opportunity! Rock solid Chicago Bungalow w/ brand new hardwood floors in living &amp; dining room, &amp; brand new carpet in all bedrooms. Updated roof, windows, tuck pointing-the list goes on! Large eat-in kitchen great for entertaining. First floor bedroom has tandem room great for office or play room. Basement provides in-law arrangement w/ full kitchen, family room, bedroom, &amp; 2 full baths. Close to I90!</t>
  </si>
  <si>
    <t>2nd Kitchen, Eating Area, Foyer, Tandem Room</t>
  </si>
  <si>
    <t>6X3</t>
  </si>
  <si>
    <t>2.5% -$295 (on Gross SP)</t>
  </si>
  <si>
    <t>Keller Williams TEAM Realty</t>
  </si>
  <si>
    <t>(847) 241-2200</t>
  </si>
  <si>
    <t>Mark Rantis, SFR,SRES</t>
  </si>
  <si>
    <t>(847) 606-5272</t>
  </si>
  <si>
    <t>Please call ShowingTime 855-746-9843 or click icon below</t>
  </si>
  <si>
    <t>For all offers please use 6.0 contract. Also find list of updates under additional docs.</t>
  </si>
  <si>
    <t>45th</t>
  </si>
  <si>
    <t>42nd St to Union, south on Union to 45th St east to 448</t>
  </si>
  <si>
    <t>Very well kept 3 bed 2 bath brick home in Canaryville. House features a finished basement, hardwood floors, new tear off roof, new high efficiency furnace, AC, and a 2.5 car garage.</t>
  </si>
  <si>
    <t>Anuar Mendez</t>
  </si>
  <si>
    <t>(312) 451-9317</t>
  </si>
  <si>
    <t>TEXT 312-451-9317 for showings.</t>
  </si>
  <si>
    <t>Agent is related to seller.</t>
  </si>
  <si>
    <t>Spruce</t>
  </si>
  <si>
    <t>Barrington S of Irving park Rd to Hillcrest E to Valley View S to Spruce to home</t>
  </si>
  <si>
    <t>7800 SQ FT</t>
  </si>
  <si>
    <t>Complete brand new rehab! w/brand new Roof, Windows t/o. All flooring has been replaced. Trim and doors are all new. Kitchen is new with ceramic backsplash. Both baths are stunning with ceramic baths. Fresh paint t/o.  Bsmt and 4th bedroom in lower level were not forgetten either. All brick FP in FR. Garage is 1.5 car with storage.  Yard has been cleared, wide open and fenced. Excellent district 211 schools.</t>
  </si>
  <si>
    <t>Combined w/ LivRm, L-shaped</t>
  </si>
  <si>
    <t>Francois Moret, GRI</t>
  </si>
  <si>
    <t>(847) 241-2411</t>
  </si>
  <si>
    <t>O.O.R.</t>
  </si>
  <si>
    <t>KEDZIE SOUTH TO 59TH ST-EAST TO CALIFORNIA-SO TO HOME</t>
  </si>
  <si>
    <t>Spacious, brick bungalow with a full basement. 5 beds, 2 baths, detached 2 car garage.THIS IS A FANNIE MAE HOMEPATH PROPERTY! First Look Period Applies: Seller reserves the right to negotiate owner occupant or public entity offers for first 20 days of listing.</t>
  </si>
  <si>
    <t>The seller has directed that all offers on this listing must be made online via HomePath.com (ID #C140L3D)Taxes prorated at 100%.</t>
  </si>
  <si>
    <t>MOODY</t>
  </si>
  <si>
    <t>Corner of Foster and Moody. Three blocks from Foster/Austin Park. Six blocks from 90/94.</t>
  </si>
  <si>
    <t>BRICK 2-STORY</t>
  </si>
  <si>
    <t>28 X 145</t>
  </si>
  <si>
    <t>Amazing Gut Rehab in the heart of Jefferson Park just waiting for you! Complete with second floor dormer this beauty features a designer kitchen with 42" cabinets,  SS appliances, custom tile work and island bar. Gleaming HW floors, Spa Master Bath w/separate vanities and skylight! Large deck off kitchen and large backyard for summer fun! 4th bedroom in basement and office/den! A MUST SEE!!</t>
  </si>
  <si>
    <t>HITCH ELEMENTARY SCHOOL</t>
  </si>
  <si>
    <t>Curbs/Gutters, Sidewalks, Street Lights, Street Paved, Other</t>
  </si>
  <si>
    <t>Oven/Range, Microwave, Dishwasher, High End Refrigerator, Freezer, Washer, Dryer, Disposal, All Stainless Steel Kitchen Appliances</t>
  </si>
  <si>
    <t>Bonus, Utility Room-Lower Level, Walk In Closet</t>
  </si>
  <si>
    <t>Vaulted/Cathedral Ceilings, Skylight(s), Hardwood Floors, 1st Floor Full Bath</t>
  </si>
  <si>
    <t>Deck, Porch, Storms/Screens, Grill-Outdoors</t>
  </si>
  <si>
    <t>4X9</t>
  </si>
  <si>
    <t>7X5</t>
  </si>
  <si>
    <t>2.5%-250.00 (on Gross SP)</t>
  </si>
  <si>
    <t>M.A.G. Realty Inc.</t>
  </si>
  <si>
    <t>(773) 647-1446</t>
  </si>
  <si>
    <t>Maggie Antillon</t>
  </si>
  <si>
    <t>(773) 988-1688</t>
  </si>
  <si>
    <t>CLICK SHOWING ASSIST</t>
  </si>
  <si>
    <t>AMAZING HOME JUST IN TIME FOR THE HOLIDAYS! SHOW AND SELL.</t>
  </si>
  <si>
    <t>Russell</t>
  </si>
  <si>
    <t>Hough St. south of Main to Russell</t>
  </si>
  <si>
    <t>BARRINGTON VILLAGE</t>
  </si>
  <si>
    <t>50X131X51X131</t>
  </si>
  <si>
    <t>Charming Village Home!  Home is a commuter's dream located less than a block from downtown and train. Beautifully updated throughout with renovated kitchen, stainless steel appliances, hardwood floors throughout and updated bathrooms.  Screened porch, patio and a great fenced yard perfect for entertaining.  New roof in 2014.  Come see this home - you will fall in love.</t>
  </si>
  <si>
    <t>Judy Ann Bruce</t>
  </si>
  <si>
    <t>Call Showing Time</t>
  </si>
  <si>
    <t>Dining Room Chandelier, Washer and Dryer are excluded.  Home is beautiful to show.</t>
  </si>
  <si>
    <t>8N142</t>
  </si>
  <si>
    <t>Ickenham</t>
  </si>
  <si>
    <t>Rt 47 &amp; McDonald, East to Brierwood, Right to Ickenham to property</t>
  </si>
  <si>
    <t>Brierwood</t>
  </si>
  <si>
    <t>199X348X195X330</t>
  </si>
  <si>
    <t>Beautiful Custom Home tucked away on Private, 1.5 Acre Wooded Lot! Over 3,600 sq ft living space w/ Partially Finished Basement! Upgrades include Solid Wood Doors, Crown Molding, New Lighting, Carpet &amp; Paint! Updated Kitchen opens to Spacious Family Room w/ Cozy Wood Burning Fireplace. Vaulted Sun Room w/ peaceful Views! Large Bedrooms with Abundant Closet &amp; Storage Space. Huge 2nd flr Loft/Game Room! Don't Miss Out!</t>
  </si>
  <si>
    <t>Water-Softener Owned, Central Vacuum, Security System, Intercom, Ceiling Fan, Fan-Whole House, Sump Pump, Backup Sump Pump</t>
  </si>
  <si>
    <t>Loft, Recreation Room, Sun/Florida Room Heated</t>
  </si>
  <si>
    <t>Brick, Cedar, Stucco</t>
  </si>
  <si>
    <t>Wood Burning Stove, Attached Fireplace Doors/Screen</t>
  </si>
  <si>
    <t>Owners Built Home~Never Pets or Smokers in the house. Work Bench and Cabinets Stay in Garage</t>
  </si>
  <si>
    <t>OTTAWA</t>
  </si>
  <si>
    <t>TOUHY WEST OF HARLEM TO OTTAWA SOUTH. CORNER TOUHY &amp; OTTAWA.</t>
  </si>
  <si>
    <t>42X138</t>
  </si>
  <si>
    <t>REHAB WORK HAS JUST BEEN COMPLETED ON THIS WONDERFUL HOME. OPEN FLOOR PLAN ON MAIN FLOOR-  PERFECT FOR FAMILY GET TOGETHERS &amp; PARTIES PLUS YOU HAVE ADDITIONAL SPACE IN FINISHED BASEMENT OR GO OUT TO THE FENCED BACKYARD FOR A BBQ! NEUTRAL COLORS, FINISHES &amp; FIXTURES- YOU JUST NEED TO ADD YOUR OWN TOUCHES TO MAKE THIS HOME! THIS PROPERTY HAS BEEN PERMITTED/INSPECTED BY CITY OF CHICAGO &amp; COMES WITH 1 YR HWA WARRANTY!</t>
  </si>
  <si>
    <t>The G-Slow Team</t>
  </si>
  <si>
    <t>(815) 277-2480</t>
  </si>
  <si>
    <t>George Slowinski</t>
  </si>
  <si>
    <t>EARNEST MONEY TO BE PAID IN CERTIFIED FUNDS TO THE G-SLOW TEAM. PLEASE NOTE - THIS PROPERTY COMES WITH A ONE YEAR HWA WARRANTY. PROPERTY INFO SHEET FOR YOUR CLIENT UNDER ADDITIONAL INFORMATION.</t>
  </si>
  <si>
    <t>Boulder Hill Pass to Circle Drive West to Property.</t>
  </si>
  <si>
    <t>BOULDER HILL</t>
  </si>
  <si>
    <t>90X104X69X121.52</t>
  </si>
  <si>
    <t>***STUNNING, RENOVATED BRICK RANCH*** Prime location, a few blocks from the civic center/bike path!! Features, all new gorgeous kitchen, with shaker style white cabs, granite, and SS appliances, full finished basement w/ 4th bed, rec room, and work shop area! Has new roof, gutters, garage door, carpet, fresh paint, remodeled baths, updated electric.  Come see this one before its gone!!  Welcome home...</t>
  </si>
  <si>
    <t>Recreation Room, Workroom</t>
  </si>
  <si>
    <t>HomeLITE Real Estate Services</t>
  </si>
  <si>
    <t>(630) 385-8929</t>
  </si>
  <si>
    <t>Jeremy McCalmont</t>
  </si>
  <si>
    <t>(630) 479-1346</t>
  </si>
  <si>
    <t>Easy show - Click 'Schedule a showing'</t>
  </si>
  <si>
    <t>Radon tested above limit and radon mitigation system will be installed</t>
  </si>
  <si>
    <t>St Louis</t>
  </si>
  <si>
    <t>79TH E/W TO SAINT LOUIS SOUTH TO ADDRESS</t>
  </si>
  <si>
    <t>Luxury Remodeled. 4 Bedrooms &amp; 3 Full Baths.Gorgeous Kitchen w/ granite countertops, new stainless appliances, beautiful hardwood floors. New doors, windows, drywall, electric, plumbing, copper piping, siding. New garage. Full finished basement w/ fireplace. Laundry room w/ brand new washer &amp; dryer.</t>
  </si>
  <si>
    <t>2.5%- $200 (on Net SP)</t>
  </si>
  <si>
    <t>Pro 1 Realty Inc</t>
  </si>
  <si>
    <t>(630) 395-9690</t>
  </si>
  <si>
    <t>Klaudia Bosek</t>
  </si>
  <si>
    <t>(708) 269-2926</t>
  </si>
  <si>
    <t>Please txt or call 708-269-2926</t>
  </si>
  <si>
    <t>9N890</t>
  </si>
  <si>
    <t>Chapman</t>
  </si>
  <si>
    <t>N. Burlington Rd to E. Ellithorpe Rd then South on Chapman Rd.</t>
  </si>
  <si>
    <t>1742400 SQFT</t>
  </si>
  <si>
    <t>Gorgeous gated country estate on 40.88 acres w/ Victorian 5,000 SqFt 4 bdrm home, 5 stall-horse barn, , 1600 SqFt heated outbuilding, 10 acre hayfield, one acre fully stocked pond. Koi pond and waterfall. Incredible home offers a 2-story kitchen w/Viking cook top &amp; granite counters. Dramatic 2-story FR w/FP. First flr master suite. Huge brick patio w/ Built in Viking gas grill, gazebo, hot tub &amp; FP. 4 car garage</t>
  </si>
  <si>
    <t>20X23</t>
  </si>
  <si>
    <t>Propane, Forced Air</t>
  </si>
  <si>
    <t>Horse-Community Barn, Horse-Riding Area, Pond/Lake, Gated Entry, Street Paved</t>
  </si>
  <si>
    <t>Horses Allowed, Landscaped Professionally, Paddock, Pond, Stream</t>
  </si>
  <si>
    <t>10+ Acres</t>
  </si>
  <si>
    <t>Humidifier, Water-Softener Owned, TV-Dish, Security System, Intercom, CO Detectors, Ceiling Fan, Sump Pump</t>
  </si>
  <si>
    <t>Office, Sun/Florida Room Heated</t>
  </si>
  <si>
    <t>Vaulted/Cathedral Ceilings, Skylight(s), Bar-Dry, Hardwood Floors, 1st Floor Bedroom, 1st Floor Laundry</t>
  </si>
  <si>
    <t>Porch, Hot Tub, Gazebo, Horse Barn/Pole Barn, Brick Paver Patio, Outdoor Fireplace</t>
  </si>
  <si>
    <t>Conventional, Contract (Articles) for Deed, Trade/Exchange</t>
  </si>
  <si>
    <t>48X30</t>
  </si>
  <si>
    <t>2.5% PLUS $5000 BONUS FOR ACCEPTED OFFER (on Net SP)</t>
  </si>
  <si>
    <t>Kevin Kemp</t>
  </si>
  <si>
    <t>(630) 940-0138</t>
  </si>
  <si>
    <t>kevinlkemp@remax.net</t>
  </si>
  <si>
    <t>Call LA-2 hour notice</t>
  </si>
  <si>
    <t>Lockwood</t>
  </si>
  <si>
    <t>Archer Avenue to Lockwood (5400west). North to 4918</t>
  </si>
  <si>
    <t>STICKNEY</t>
  </si>
  <si>
    <t>31 X 125</t>
  </si>
  <si>
    <t>Very affordable 4 bedroom, 2 bath home located in a desirable area of unincorporated Stickney Township! Features a big kitchen, family room, 2 car garage and a fenced yard. This is a Fannie Mae HomePath Property.</t>
  </si>
  <si>
    <t>8X15</t>
  </si>
  <si>
    <t>Use Sentri Keycard or call LO for a one day code: 708-484-2300</t>
  </si>
  <si>
    <t>This Fannie Mae HomePath property.  Seller has directed that all offers be uploaded via www.HomePath.com. Fill out REPA on line and upload along with contract.</t>
  </si>
  <si>
    <t>Hamilton</t>
  </si>
  <si>
    <t>Damen to Ainslie to Hamilton south to 4850</t>
  </si>
  <si>
    <t>Brand new restoration of this tastefully renovated Lincoln Square home on an oversized lot. This home's redesigned floor plan will suit today's modern buyer with 4 bedrooms upstairs and 4.5 contemporary baths;  loads of custom features: acacia hardwood floors, custom Amish cabinetry, quartz counter tops, whole house surround sound. All this with plenty of outdoor space and near the Metra, EL and Lincoln Square.</t>
  </si>
  <si>
    <t>Steam Shower, Double Sink</t>
  </si>
  <si>
    <t>TV-Dish, Security System, Fire Sprinklers, CO Detectors, Ceiling Fan, Sump Pump, Sprinkler-Lawn</t>
  </si>
  <si>
    <t>Deck, Foyer, Mud Room, Play Room, Workroom</t>
  </si>
  <si>
    <t>Masonite, Stone</t>
  </si>
  <si>
    <t>Vaulted/Cathedral Ceilings, Skylight(s), Bar-Wet, Hardwood Floors, Heated Floors, 2nd Floor Laundry</t>
  </si>
  <si>
    <t>Use Showing Assist 24 hour notice please</t>
  </si>
  <si>
    <t>Over $500K in upgrades including new plumbing, new electric, new service line. Please see feature sheet for complete details.</t>
  </si>
  <si>
    <t>Kirk Road; West on Pine; South on Woodland Hills; Left on Orchard Court.  940 Orchard Court.</t>
  </si>
  <si>
    <t>Woodland Hills</t>
  </si>
  <si>
    <t>85X190</t>
  </si>
  <si>
    <t>Great location for commuters! Beautiful home w/ Greenhouse on 1/3 acre featuring perennial and vegetable gardens, large shed,  deck and workshop in basement. New roof and siding in 2008, new windows in 2000, new driveway in 2001, and located on cul de sac road. Spacious kitchen with HICKORY cabinets opens to the Formal Dining Room and Family Room. Perfect location near 88, shopping, schools and dining.</t>
  </si>
  <si>
    <t>Gas, Forced Air, Hot Water/Steam</t>
  </si>
  <si>
    <t>Humidifier, Water-Softener Owned, TV-Cable, TV-Dish, Sump Pump</t>
  </si>
  <si>
    <t>Atrium, Workroom</t>
  </si>
  <si>
    <t>Deck, Patio, Porch, Greenhouse, Storage Shed, Brick Paver Patio</t>
  </si>
  <si>
    <t>Atrium</t>
  </si>
  <si>
    <t>Royal Real Estate of IL, LLC</t>
  </si>
  <si>
    <t>(630) 377-1114</t>
  </si>
  <si>
    <t>Elyece Miller</t>
  </si>
  <si>
    <t>(630) 364-9119</t>
  </si>
  <si>
    <t>Call Showings.com 877-977-1010 or showings.com (24/7)</t>
  </si>
  <si>
    <t>New roof and siding in 2008, replaced windows in 2000, ne driveway in 2001; Pull down stairs to attic in garage; Greenhouse heated by boiler; 3 cats in house, please be careful not to let outside, thank you:)</t>
  </si>
  <si>
    <t>Reserve</t>
  </si>
  <si>
    <t>Randall to Silver Glen to Reserve Ct to home</t>
  </si>
  <si>
    <t>â€œBank of America, N.A. employees and employeesâ€™ household members (including persons deriving their primary means of financial support from a Bank employee), and HTS business partners of the bank are prohibited from purchasing this property, whether directly or indirectlyâ€_x009d_ great opportunity for investor or sweat equity buyer some discoloration in home no testing has been done</t>
  </si>
  <si>
    <t>Den, Eating Area, Sitting Room</t>
  </si>
  <si>
    <t>Click on schedule a showing link download offer instructions</t>
  </si>
  <si>
    <t>BENNETT</t>
  </si>
  <si>
    <t>Jeffery to 84th west on block north to property</t>
  </si>
  <si>
    <t>LIGHT, BRIGHT &amp; SPACIOUS 4 BED, 2BATH, BASEMENT &amp; 1 CAR GARAGE SINGLE FAMILY HOUSE. LARGE EAT-IN KITCHEN, SPACIOUS LR&amp;DR. HW FLOORS T-OUT.  VACANT EASY TO SHOW, FORECLOSURE, BANK OWNED, SOLD AS IS.NO SURVEY OR TERMITE, NO DISCLOSURES.TAXES PRO-RATED 100%, POF NEEDED FOR CASH OFFERS.</t>
  </si>
  <si>
    <t>TV-Cable, Security System, Sump Pump</t>
  </si>
  <si>
    <t>RE/MAX 1st Class</t>
  </si>
  <si>
    <t>(847) 674-9797</t>
  </si>
  <si>
    <t>Nona Lisitza, SFR</t>
  </si>
  <si>
    <t>(847) 204-1776</t>
  </si>
  <si>
    <t>VACANT. CALL 877-977-1010</t>
  </si>
  <si>
    <t>REO</t>
  </si>
  <si>
    <t>VACANT - EASY TO SHOW</t>
  </si>
  <si>
    <t>FAGAN</t>
  </si>
  <si>
    <t>Main st to Millview - S to Towne - W to Fagan - S</t>
  </si>
  <si>
    <t>HARVELL FARMS</t>
  </si>
  <si>
    <t>83X120X88X120</t>
  </si>
  <si>
    <t>Beautifully maintained brick/cedar home in Harvell Farms.  Features include: 4 bdrs, 2.1 bth., separate LR &amp; DR, 1st flr den, 1st flr laundry, newer kitchen w/ white cabinetry, solid surface &amp; Granite countertops, newer appliances, hardwood floors,  2 story FR w/ floor to ceiling fireplace, updated master bath. Newer: 90% efficiency furnace, AC, water softener, roof, hot water heaters, carpet, exterior painted.</t>
  </si>
  <si>
    <t>Donna Sweda</t>
  </si>
  <si>
    <t>(630) 513-3161</t>
  </si>
  <si>
    <t>CALL 855 746 9093</t>
  </si>
  <si>
    <t>Halsted to 100th Street W. to Carpenter N. to property</t>
  </si>
  <si>
    <t>3780 SF</t>
  </si>
  <si>
    <t>This beautiful, recently rehabbed 4 bedroom, 3 bathroom Cape Cod is overflowing with special features and brand new additions. The luxurious kitchen boasts stainless steel appliances, granite counters and upgraded cabinets. The basement has been completely refinished and the first floor offers gleaming hardwood floors. With a 2-car garage and a great price, it's a must-see!</t>
  </si>
  <si>
    <t>Halsted to 100th, West to Peoria North to Home</t>
  </si>
  <si>
    <t>37 X 120</t>
  </si>
  <si>
    <t>Beautifully Renovated Bungalow. Everything Brand New !! Stainless Steel Kitchen with Marble Counter-tops, Upgraded Cabinetry and recessed lighting.  Hardwood Floors.  All Marble Baths on Main floor and additional powder room in lower level.  Everything New Throughout.  Great area on a quiet Tree-Lined street with Easy Access to Public Transportation and Highways. A definite Must See! Schedule a showing Today!</t>
  </si>
  <si>
    <t>Humidifier, Security System, CO Detectors, Ceiling Fan</t>
  </si>
  <si>
    <t>Bonus, Enclosed Porch</t>
  </si>
  <si>
    <t>2.5%- $250 (on Gross SP)</t>
  </si>
  <si>
    <t>Submit all offers at http://goo.gl/IcM8n7 (copy and paste)</t>
  </si>
  <si>
    <t>Red Oak</t>
  </si>
  <si>
    <t>East on Rt 64 to Surrey Woods Dr, turn Left.  Go to Red Oak Ln and turn Left to home.</t>
  </si>
  <si>
    <t>SURREY WOODS</t>
  </si>
  <si>
    <t>EAST SIDE BEAUTY IN EXCLUSIVE SURREY WOODS. BRICK GEORGIAN ON ENCHANTING, WOODED LOT W/CUL-DE-SAC ON SIDE. HARD/W UP &amp; DOWN,FLOWING FL PLAN. VAULTED FAM &amp; EXPANSIVE KIT IS THE NUCLEUS OF HOME. WALLS OF WINDOWS &amp; SKY-LITES - WOODED VIEWS.1ST FL DEN W/FRENCH DRS &amp; 1ST FL LAUND.WALK-IN PANTRY.VAULTED LUX MASTER SUITE W/HIS &amp; HER WALK-INS.VERY BIG BEDS.STAINLESS/GRANITE/NEWER MECHANICS/ROOF.BEAUTIFUL DECOR.PART FIN BSMT.</t>
  </si>
  <si>
    <t>Septic-Mechanical, Sewer-Public</t>
  </si>
  <si>
    <t>Water-Softener Owned, CO Detectors, Ceiling Fan, Sump Pump</t>
  </si>
  <si>
    <t>Deck, Eating Area, Foyer, Office, Pantry, Recreation Room, Utility Room-Lower Level, Walk In Closet</t>
  </si>
  <si>
    <t>15X30</t>
  </si>
  <si>
    <t>fax 630-405-6789</t>
  </si>
  <si>
    <t>Call Showing-time 1-800-746-9464  1 hour notice</t>
  </si>
  <si>
    <t>SELLER IS WILLING TO MOVE FAST</t>
  </si>
  <si>
    <t>63RD ONE BLOCK EAST OF CICERO</t>
  </si>
  <si>
    <t>Beautiful Chicago Bungalow! Features gorgeous kitchen, finished basement,  professional waterproofing system, additional sunroom overlooks gorgeous park-like yard with pool, formal dining room, built-in bookcases, partially fin. attic w/ 4th bedroom + storage! Newer roof, newer electric, newer furnace &amp; central air, newer sound proof windows, possible 1/2 bath in basement, make an offer!</t>
  </si>
  <si>
    <t>Pool Above Ground</t>
  </si>
  <si>
    <t>2.25%-100 (on Net SP)</t>
  </si>
  <si>
    <t>Home Sellers Realty Inc.</t>
  </si>
  <si>
    <t>(773) 586-7003</t>
  </si>
  <si>
    <t>Tamara Wiggins</t>
  </si>
  <si>
    <t>(708) 426-8176</t>
  </si>
  <si>
    <t>USE SHOWING ASSIST; AGENTS MUST ACCOMPANY CLIENTS!</t>
  </si>
  <si>
    <t>CAFFREY</t>
  </si>
  <si>
    <t>Lexington</t>
  </si>
  <si>
    <t>BARRINGTON ROAD TO BODE E TO WILLIAMSBURG S TO LEXINGTON (ON CORNER)</t>
  </si>
  <si>
    <t>NEW ENGLAND VILLAGE</t>
  </si>
  <si>
    <t>WARWICK-4BR 2STORY W/BSMT</t>
  </si>
  <si>
    <t>70 X 80</t>
  </si>
  <si>
    <t>Come see this large 4 BR, 2 1/2 bath, 2Story with first floor family room and full basement in school Dist. 54/211! Great floorplan with eat-in kitchen overlooking nice family room with newer sliding door that leads to fenced yard. Newer windows + doors! Beautiful updated baths! Full basement ready to finish how you want. Laundry chute!  Close to bike trails, parks, expressways + shopping. Priced right to sell quick!</t>
  </si>
  <si>
    <t>ALBERT EINSTEIN ELEMENTARY SCHOOL</t>
  </si>
  <si>
    <t>JANE ADDAMS JUNIOR HIGH SCHOOL</t>
  </si>
  <si>
    <t>HOFFMAN ESTATES HIGH SCHOOL</t>
  </si>
  <si>
    <t>Corner, Cul-de-sac, Fenced Yard</t>
  </si>
  <si>
    <t>Bob Brandt</t>
  </si>
  <si>
    <t>(847) 230-7303</t>
  </si>
  <si>
    <t>fax to 847-985-8029</t>
  </si>
  <si>
    <t>100% tax proration, no survey provided, no bill of sale given. Sold AS-IS. Please provide recent preapproval or proof of funds when you email the offer.</t>
  </si>
  <si>
    <t>Spaulding</t>
  </si>
  <si>
    <t>KEDZIE TO 19TH TO SPAULDING, NORTH TO PROPERTY ADDRESS.</t>
  </si>
  <si>
    <t>137X78X125X22</t>
  </si>
  <si>
    <t>AMAZING POTENTIAL IN THIS NEWER BUILT HUGE 4 BED SINGLE FAMILY HOME IN NORTH LAWNDALE. HOME FEATURES 2 FIREPLACES, MASTER SUITE, 2ND FLOOR LAUNDRY ROOM AND DETACHED 3 CAR GARAGE. BATHROOM LAYOUTS PROVIDE ENOUGH SPACE FOR DOUBLE VANITIES. THIS IS A FANNIE MAE HOMEPATH PROPERTY.</t>
  </si>
  <si>
    <t>3 % OR $1000 MINIMUM (on Gross SP)</t>
  </si>
  <si>
    <t>**Multiple High/Best offers received by deadline 12/30, 8:30PM. Seller has accepted an owner-occ offer received prior to deadline** THIS IS A FANNIE MAE HOMEPATH PROPERTY. ALL OFFERS MUST BE SUBMITTED VIA HOMEPATH WEBSIT</t>
  </si>
  <si>
    <t>0N703</t>
  </si>
  <si>
    <t>KING</t>
  </si>
  <si>
    <t>Keslinger W of Randall to Friendship Wy South to King Dr - turn right to first home on left.</t>
  </si>
  <si>
    <t>Mill Creek Tanna</t>
  </si>
  <si>
    <t>PEACHTREE III</t>
  </si>
  <si>
    <t>70 X 120</t>
  </si>
  <si>
    <t>Open floor plan has AMAZING golf course/pond views! Full front porch &amp; 3 car garage,upgraded kitchen w/Granite ctrs, upgrd cabs, island w/overhang, SS Apps. HW floors in KIT, DIN, FOY&amp;NOOK. FP w/switch! Master suite features tray &amp; vaulted ceilings, soaking tub &amp; HUGE XL DUAL WALK-IN  CLOSET.Ceramic in baths.Brick paver patio w/firepit. Finished bsmnt.w/bar &amp; bath!</t>
  </si>
  <si>
    <t>Park/Playground, Pool, Tennis Courts, Curbs/Gutters, Sidewalks, Street Lights</t>
  </si>
  <si>
    <t>Fenced Yard, Golf Course Lot, Wetlands Adjacent, Landscaped Professionally</t>
  </si>
  <si>
    <t>Breakfast Room, Study, Walk In Closet</t>
  </si>
  <si>
    <t>Jeffrey Jordan</t>
  </si>
  <si>
    <t>(630) 262-4370</t>
  </si>
  <si>
    <t>PLEASE CALL 855-746-9093</t>
  </si>
  <si>
    <t>122nd</t>
  </si>
  <si>
    <t>Michigan E to 122nd St.</t>
  </si>
  <si>
    <t>4 Bds/3 baths, 2400 sq ft. like new construction rehabbed home, features new hardwood flrs, that flow into open concept kitchen/vaulted/skylight ceilings/ 14' cabinets/ large Island w/granite counters. Recessed lightning throughout. Neighborhood is quiet w/ manicured curb appeal/Active Block.  Basement is finished to perfection/cedar closets and designer baths. 3rd bd on main flr wall by kitchen was removed.</t>
  </si>
  <si>
    <t>Dormer, Full, Pull Down Stair</t>
  </si>
  <si>
    <t>Attic, Walk In Closet</t>
  </si>
  <si>
    <t>3X5</t>
  </si>
  <si>
    <t>$2.5-100 (on Net SP)</t>
  </si>
  <si>
    <t>Andretta Pierce, ABR</t>
  </si>
  <si>
    <t>(708) 774-1485</t>
  </si>
  <si>
    <t>708-774-1485</t>
  </si>
  <si>
    <t>CROFTON</t>
  </si>
  <si>
    <t>Rt 34 or Rt 25 to Boulder Hill Pass to Crofton</t>
  </si>
  <si>
    <t>47X110X162X168</t>
  </si>
  <si>
    <t>IMMEDIATE POSSESSION! NEW CARPET/PAINT, UPDATES TO INCL WINDOWS, BATHS, CAC&amp;FURN, KITCH CNTRS. RANCH OFFERS FIN LL 4TH BR, FULL BATH &amp; PLAY RM. KITCH W/CUST B-I'S &amp; APPLIANCES. MBR INCL SIT RM &amp; HEATED FLS/BATH. SPACIOUS FMLY RM. &amp; FORM DR W/ACCESS TO LARGE DECK &amp; MATURE LNDSCP YARD. 2.5 CAR W/NEW DR&amp;OPENER. CUL-DE-SAC ON QUIET INNER-CIRCLE STREET. MINUTES TO JR &amp; BIKE/REC PATHS.</t>
  </si>
  <si>
    <t>Game Room, Sitting Room</t>
  </si>
  <si>
    <t>call Centralized Showings 877-977-1010</t>
  </si>
  <si>
    <t>Disclosures attached</t>
  </si>
  <si>
    <t>74th</t>
  </si>
  <si>
    <t>Yates to 74th, east to Phillips, south to 74th Place</t>
  </si>
  <si>
    <t>SPECTACULAR BRICK CHICAGO BUNGALOW, TOTALLY RENOVATED FROM THE STUDS. NEW ROOF, WINDOWS, ELEC, PLUMBING, FURNACE, C/A, &amp; HW TANK. FORMAL LIVING ROOM AND DINING ROOM, NEWLY SANDED HARDWOOD FLOORS. BONUS OFFICE SPACE. EAT IN KITCHEN W/ EURO CABINETS, GRANITE TOPS, GLASS BACK SPLASH, &amp; CUSTOM SS APPLIANCES. BRAND NEW BATHS. NESTLED ON DOUBLE LOT ENTIRELY FENCED IN W/ ROD IRON. OWNER WILL CONSIDER ALL OFFERS.</t>
  </si>
  <si>
    <t>ALARM ON PROPERTY. PLEASE SUBMIT ALL OFFERS WITH DISCLOSURES AND COVER LETTER UNDER ADDITIONAL INFO TO MATTZCLOSING@GMAIL.COM/THEMATTZGROUP@GMAIL.COM.</t>
  </si>
  <si>
    <t>Luella</t>
  </si>
  <si>
    <t>Jeffery Blvd to 72nd Street, East 5 blocks to Luella</t>
  </si>
  <si>
    <t>Magnificent Brick 4 Bdrm, 3.5 Bath House on Large Corner Lot. Kitchen Features Viking SS Appliances, Cherrywood 42"Cabinets and Beautiful Granite Counters. Hardwood Floors Throughout, Custom Designed Living Room With Built-In Fireplace &amp; Shelving. Huge Master Bdrm w/Jacuzzi Tub, Steam Shower &amp; Walk-In Closet. Other Features; Intercom &amp; Video Surveillance System, Zoned Cent. Air, Fin. Basement, Underground Sprinklers</t>
  </si>
  <si>
    <t>Granite</t>
  </si>
  <si>
    <t>Breakfast Room, Media Room, Office</t>
  </si>
  <si>
    <t>Hardwood Floors, 1st Floor Bedroom, In-Law Arrangement, 2nd Floor Laundry</t>
  </si>
  <si>
    <t>Unassigned, Off Street</t>
  </si>
  <si>
    <t>2.5%-$150.00 (on Gross SP)</t>
  </si>
  <si>
    <t>Angela Cichorz-Epstein</t>
  </si>
  <si>
    <t>(630) 415-8252</t>
  </si>
  <si>
    <t>CC: Pursuant to Short Sale. Property Being Sold "As Is"-Lender Approval Neede -Agent Has 10 Years Experience Negotiating Short Sales - Professional Negotiated by ATC Mitigation Services. Home Square Footage is Approximate Total Living Space. Owners Licensed IL Brokers</t>
  </si>
  <si>
    <t>Mozart</t>
  </si>
  <si>
    <t>take 83rd Street 1 block west of California and go south.</t>
  </si>
  <si>
    <t>SCOTTSDALE</t>
  </si>
  <si>
    <t>Remodeled throughout 3 bedrooms.Newer furnace a/c electronic humidifier. Nice yard with privacy fence and 2 car garage.</t>
  </si>
  <si>
    <t>11X0</t>
  </si>
  <si>
    <t>32X20</t>
  </si>
  <si>
    <t>Office, Storage</t>
  </si>
  <si>
    <t>08X05</t>
  </si>
  <si>
    <t>30X04</t>
  </si>
  <si>
    <t>$250 (on Net SP)</t>
  </si>
  <si>
    <t>Alberto Avila</t>
  </si>
  <si>
    <t>79TH TO MAPLEWOOD S TO ADDRESS</t>
  </si>
  <si>
    <t>BRICK CAPE COD WITH SUPERB POTENTIAL, NEEDS EXTENSIVE WORK INSIDE.  BUYER TO TAKE SUBJECT TO ALL EXISTING CODE VIOLATIONS.  DONT LET THIS GREAT OPPORTUNITY PASS YOU BY!</t>
  </si>
  <si>
    <t>EMAIL OFFERS TO BARB@PRSREALTORS.COM.  USE ATTACHED COVERSHEET WITH OFFER.@@@@BRING FLASHLIGHT NO ELECTRIC USE CAUTION</t>
  </si>
  <si>
    <t>Lamon</t>
  </si>
  <si>
    <t>3 blocks north of Armitage on Lamon Ave</t>
  </si>
  <si>
    <t>Updated brick home with newer bathroom and kitchen. Newer plumbing and hrdwd floors. Two bedrooms in 1st fl and 2 more upstairs. Take advantage and use your own decor to finish the bone dried unfinished basement.</t>
  </si>
  <si>
    <t>Luis Tello</t>
  </si>
  <si>
    <t>(773) 983-7641</t>
  </si>
  <si>
    <t>wkdays after 4pm. wkends any time. CLA or TLA or ELA</t>
  </si>
  <si>
    <t>Bilarda</t>
  </si>
  <si>
    <t>Route 38 to Kaneville to Country Club to Bilarda</t>
  </si>
  <si>
    <t>70X140X127X184X78</t>
  </si>
  <si>
    <t>Spacious 4BR/3BA ranch on peaceful cul-de-sac lot with native plantings, oversize 2-car garage, tasteful dÃ©cor &amp; natural light throughout, gorgeous views, skylights, hardwood floors, den w/French doors could be BR5, kitchen features soapstone counters and gleaming cherry cabinets, delightful sunroom, new HVAC, excellent Geneva schools, outstanding location!</t>
  </si>
  <si>
    <t>Den, Sun/Florida Room</t>
  </si>
  <si>
    <t>Vaulted/Cathedral Ceilings, Skylight(s), Hardwood Floors, Wood Laminate Floors, 1st Floor Bedroom, 1st Floor Full Bath</t>
  </si>
  <si>
    <t>Hot Tub, Storms/Screens</t>
  </si>
  <si>
    <t>See through/Multi Sided, Gas Logs</t>
  </si>
  <si>
    <t>Call Showing Time 855-919-0377</t>
  </si>
  <si>
    <t>DAKIN</t>
  </si>
  <si>
    <t>IRVING PARK RD (4000N) TO AUSTIN AVE (6000W), SOUTH TO DAKIN ST (3920N),ONE WAY WEST, WEST TO 6047.</t>
  </si>
  <si>
    <t>30 X 122</t>
  </si>
  <si>
    <t>Professionally Rehabbed Home with great attention to detail, remodeled with a new designer kitchen and 2 full remodeled baths. Extensive use of granite, porcelain and hardwood. The home also has New Windows, New Tear off Roof, Garage door and siding, New Furnace, AC unit and water heater. Basement with separate entrance, family room,  1 bedrooms, great for an in-law. This home is not one to be missed.</t>
  </si>
  <si>
    <t>(630) 894-1900</t>
  </si>
  <si>
    <t>Tracy Tran</t>
  </si>
  <si>
    <t>(630) 890-8947</t>
  </si>
  <si>
    <t>Please call the showing desk at 888-362-3222 to show.  Thanks!</t>
  </si>
  <si>
    <t>14th</t>
  </si>
  <si>
    <t>Rt23 N to Dresser, East to 14th, South to house</t>
  </si>
  <si>
    <t>58.20 X 187.30</t>
  </si>
  <si>
    <t>Large (over 1800 sq.ft) home offers a fenced rear yard &amp; deck, a large living/dining combo, nice kitchen, beautiful vaulted/beamed family room, upper level loft area &amp; nice sized bedrooms. Additional bedroom, bath &amp; laundry in lower level. Main floor is also plumbed for laundry. April Air system. Updates include, asphalt drive, windows, well pump, fresh paint, new carpet, new refrigerator. Move in and enjoy!</t>
  </si>
  <si>
    <t>Humidifier, Water-Softener Owned, TV-Dish</t>
  </si>
  <si>
    <t>Conventional, FHA, VA, Lease/Purchase, Owner May Help/Assist</t>
  </si>
  <si>
    <t>Castle View Real Estate</t>
  </si>
  <si>
    <t>(815) 748-4663</t>
  </si>
  <si>
    <t>Thomas Vierig</t>
  </si>
  <si>
    <t>(815) 508-1918</t>
  </si>
  <si>
    <t>Call listing Broker or office.</t>
  </si>
  <si>
    <t>Flanigan</t>
  </si>
  <si>
    <t>Easy to show. Private well has newer pressure tank and pump. Garage has gas line connection for heat. Outdoor play set stays. Move in ready. Motivated Seller!</t>
  </si>
  <si>
    <t>Moody</t>
  </si>
  <si>
    <t>AUSTIN TO 55TH - WEST TO MOODY - SOUTH TO HOME</t>
  </si>
  <si>
    <t>32X122</t>
  </si>
  <si>
    <t>WOW! WONDERFUL 4BR  BRICK CAPE COD IN THE HEART OF GARFIELD RIDGE!  NEW HIGH END SOUNDPROOFED THERMAL-PANE WINDOWS AND DOORS! NEW ROOF! VERY NICE PAINTED THROUGHOUT! GLEAMING HARDWOOD FLOORS! GORGEOUS CORNER LOT W/ PLENTY OF ROOM FOR THOSE SUMMER BBQ'S! BIG OPEN BASEMENT WAITING FOR YOUR FINISHING TOUCH! JUST MOVE RIGHT IN! WOW!</t>
  </si>
  <si>
    <t>KENNEDY HIGH SCHOOL</t>
  </si>
  <si>
    <t>2.5% - $125 (on Net SP)</t>
  </si>
  <si>
    <t>HOME IN AMAZING SHAPE BUT BEING SOLD AS-IS. TRULY A GREAT MOVE-IN CONDITION HOME W/ NEW ROOF &amp; NEW SOUNDPROOFED WINDOWS! WOWEEE!!!</t>
  </si>
  <si>
    <t>I90 to Randall Rd North, Carrington East, Somerset South</t>
  </si>
  <si>
    <t>CARRINGTON RESERVE</t>
  </si>
  <si>
    <t>CARRINGTON-5</t>
  </si>
  <si>
    <t>103X126X58X137</t>
  </si>
  <si>
    <t>FHA Assumable - GREAT Terms/GREAT Location! 4 bed 2.1 bath home nestled in the heart of the subdivision. Immaculate condition. Modern eat-in kitchen with all appliances, glass tile backsplash, extra tall 42â€_x009d_ maple cabinets with crown molding, kitchen island and pantry, updated recessed lighting and opens to a backyard patio perfect for entertaining. Close to I90 for easy commute anywhere in Chicagoland area. 10+ Home</t>
  </si>
  <si>
    <t>Oven/Range, Microwave, Dishwasher, Refrigerator, Dryer, Disposal</t>
  </si>
  <si>
    <t>TV-Cable, Fire Sprinklers, Ceiling Fan, Sump Pump, Radon Mitigation System(s)</t>
  </si>
  <si>
    <t>Eating Area, Foyer, Utility Room-1st Floor</t>
  </si>
  <si>
    <t>Wood Burning, Attached Fireplace Doors/Screen, Gas Logs, Gas Starter</t>
  </si>
  <si>
    <t>Conventional, FHA, VA, Assumption-FHA, Lease/Purchase, Rent w/ Option</t>
  </si>
  <si>
    <t>2.250%-$200 (on Net SP)</t>
  </si>
  <si>
    <t>Randy Schulenburg</t>
  </si>
  <si>
    <t>(224) 805-2616</t>
  </si>
  <si>
    <t>Click 'Schedule a Showing' button below.</t>
  </si>
  <si>
    <t>Nemec</t>
  </si>
  <si>
    <t>Association Assessment: $40/month (covers professional maintenance of all common areas â€“ marshland, ponds, etc. + lawn fertilization 3 times/year).</t>
  </si>
  <si>
    <t>WESTER BLVD TO SHELTER ISLAND LN TO BROOKHAVEN TRAIL TO PROPERTY</t>
  </si>
  <si>
    <t>NEW CARPET &amp; PAINT MOVE-IN-READY 4 BDRMS, 1ST FLR DEN/OFFICE, &amp; A HUGE 2ND FLR LOFT. KIT W CENTER ISLAND,LARGE MASTER BDRM, FANTASTIC COMMUNITY W/PARKS, POOLS, FITNESS CENTER!100% tax proration, no survey or disclosures provided.For more information about HomePath homes and incentives, please visit HomePath. Room/Lot sizes are approx. POF strongly encouraged with all offers</t>
  </si>
  <si>
    <t>ACORN</t>
  </si>
  <si>
    <t>RTE 72 E2 SLEEPY HOLLOW RD N2 OAK W2 ACORN N2 HOME</t>
  </si>
  <si>
    <t>Grand Pointe Meadows</t>
  </si>
  <si>
    <t>MERRILEE-A</t>
  </si>
  <si>
    <t>NEW CARPET &amp; PAINT HUGE HOME HDWD FROM FOYER TO KITCHEN &amp; OCTAGON DINETTE.CORIAN W/UPGRD CABS,2 STRY ENTRY RM.MSTR STE W/TRAY CEIL, LUX BATH, W/ LARG W/I CLSTS,STONE &amp; PAVER WLKWYS,PATIO &amp; WLK/OUT BASMENT W/BTH ROUGH-IN.100% tax proration, no survey or disclosures provided.For more information about HomePath homes and incentives, please visit HomePath. Room/Lot sizes are approx. POF strongly encouraged</t>
  </si>
  <si>
    <t>CATHLU</t>
  </si>
  <si>
    <t>SEE Secure ShowingAssist Instructions</t>
  </si>
  <si>
    <t>Dobbins</t>
  </si>
  <si>
    <t>Route 34 to ELDAMAIN, south to CUMMINS, west to FOLI, south to DOBBINS, west to HOME</t>
  </si>
  <si>
    <t>70 X 120 X 82 X 120</t>
  </si>
  <si>
    <t>Gorgeous inside and out! Enjoy three levels of finished living space in this freshly painted, smoke/pet-free, move-in ready home w/ full bath (heated floors) and bedroom in finished 600 square foot basement. Classy from top to bottom includes upgraded fireplace, master bath, fenced yard, large deck and patio in clubhouse community with 2 pools, tennis courts and more! LOW taxes and FREE Home Warranty - WELCOME HOME!!</t>
  </si>
  <si>
    <t>23X9</t>
  </si>
  <si>
    <t>Parking, Common Insurance, Clubhouse, Pool</t>
  </si>
  <si>
    <t>Foyer, Office, Recreation Room, Storage</t>
  </si>
  <si>
    <t>Heated Floors, In-Law Arrangement, 1st Floor Laundry</t>
  </si>
  <si>
    <t>Ann Moehring</t>
  </si>
  <si>
    <t>(630) 631-8248</t>
  </si>
  <si>
    <t>TEXT for FAST REPLY: 630-631-8248</t>
  </si>
  <si>
    <t>Home Warranty included - basement bathroom has heated ceramic flooring - smoke free/ pet free home - show with confidence!</t>
  </si>
  <si>
    <t>Tuscany</t>
  </si>
  <si>
    <t>RT72 to Romke North to Tuscany, West to home.</t>
  </si>
  <si>
    <t>MAGNOLIA</t>
  </si>
  <si>
    <t>98X127</t>
  </si>
  <si>
    <t>Beautiful New Home! Kitchen features stainless steel appliances and granite countertops! Upgraded 6 panel doors &amp; white trim package. 1st floor den, huge mudd room off of 3 car garage. Luxury master suite with soaking tub, separate shower, double bowl vanity.  Basement is rough-in for bath and is wrapped and ready to finish!</t>
  </si>
  <si>
    <t>Den, Mud Room</t>
  </si>
  <si>
    <t>TAKE 67TH AVE TURN (N) ON KOLIN 2 BLKS TO HOME</t>
  </si>
  <si>
    <t>BRICK SINGLE FAMILY HOUSE IN WEST LAWN.  PROPERTY HAS 4 BEDROOMS, 2 BATHROOMS, A FULL BASEMENT AND A 2 CAR GARAGE.  LOCATED ON A NICE RESIDENTIAL BLOCK CLOSE TO PUBLIC TRANSPORTATION. This is a Fannie Mae HomePath Property.</t>
  </si>
  <si>
    <t>Seller has directed that offers be made on the Homepath Online Offer System at the HomePath website. Buyer resp. for termite insp. and survey; taxes 100%. ***VERBALLY ACCEPTED***</t>
  </si>
  <si>
    <t>Barnaby</t>
  </si>
  <si>
    <t>RT.34 W to DOUGLAS N PAST OLD POST (1ST L IS BARNABY)</t>
  </si>
  <si>
    <t>VICTORIA MEADOWS</t>
  </si>
  <si>
    <t>70X128</t>
  </si>
  <si>
    <t>BEAUTIFUL MOVE-IN READY HOME! Cozy fmly rm w/gas fp, new windows &amp; custom built-ins. 1st flr full bath, lndry &amp; den. Den could be 5th bdrm on 1st flr. Huge kit. w/island, eat-in area, pantry closets &amp; new slider to patio. Mstr suite w/walk-in clst, lux bath w/sep shr &amp; jetted tub. Full, fin. bsmnt w/bar, media, play, &amp; pool tbl area. 3 car gar! Fenced in huge yard w/stamped cncrt. patio w/fire pit. Backs 2 bike path.</t>
  </si>
  <si>
    <t>Humidifier, Water-Softener Rented, Security System, CO Detectors, Ceiling Fan, Sump Pump, Backup Sump Pump</t>
  </si>
  <si>
    <t>Den, Media Room, Recreation Room</t>
  </si>
  <si>
    <t>Vaulted/Cathedral Ceilings, Bar-Dry, Wood Laminate Floors, 1st Floor Laundry, 1st Floor Full Bath</t>
  </si>
  <si>
    <t>Stamped Concrete Patio, Storms/Screens</t>
  </si>
  <si>
    <t>Alexa Wagner</t>
  </si>
  <si>
    <t>(630) 460-6256</t>
  </si>
  <si>
    <t>Call Centralized Showings (877) 977-1010</t>
  </si>
  <si>
    <t>Please exclude all draperies &amp; hardware for them.   2 parks nearby. Close to elementary school. Addl. storage in basement unfinished area. Newer windows in basement.  Den could be 5th bedroom as it has a closet.</t>
  </si>
  <si>
    <t>St Andrews</t>
  </si>
  <si>
    <t>Randall Rd to College Green East To St. Andrews s to home</t>
  </si>
  <si>
    <t>COLLEGE GREEN</t>
  </si>
  <si>
    <t>EBONY</t>
  </si>
  <si>
    <t>Outstanding setting that backs to wooded area for ultimate privacy &amp; seclusion + Large 6ft privacy fence/oversized deck. Four bedrooms are all great sizes! Two separate master suites: one private &amp; one with direct access to hall bath. FP in Fam Rm, eat-in kitchen. Nicely Fin basement has recreation area, game room, wet bar &amp; bath. Lots of updates- Newer roof, siding and windows- Great house in true move in condition!</t>
  </si>
  <si>
    <t>Foyer, Game Room, Recreation Room</t>
  </si>
  <si>
    <t>Call 855-919-0200-Must confirm-Dogs</t>
  </si>
  <si>
    <t>showings easiest on weekends and M-F after 3.  Other times available with advance notice... (dogs).</t>
  </si>
  <si>
    <t>KING DR. NORTH OR SOUTH TO 99TH PL WEST ON 99TH PL- 1 BLK TO CALUMET, NORTH ON CALUMET TO ADDRESS</t>
  </si>
  <si>
    <t>Nice home on a quiet block.  Connected addition was built as a large photo studio but has 1 bedroom, bathroom and small kitchenette.  Home does need a bit of TLC but the potential will be plan to see.  This is a short sale.</t>
  </si>
  <si>
    <t>2.0%-$150.00 (on Net SP)</t>
  </si>
  <si>
    <t>Beals Verdin &amp; Company LTD</t>
  </si>
  <si>
    <t>(708) 433-0300</t>
  </si>
  <si>
    <t>Kristin Collins</t>
  </si>
  <si>
    <t>(773) 206-7927</t>
  </si>
  <si>
    <t>Call/text Kristin 773-206-7927  Easy to show</t>
  </si>
  <si>
    <t>CC: Pursuant to Short Sale. Large home but last tenants left home in need of work. Home has a lot of potential.</t>
  </si>
  <si>
    <t>Weaver</t>
  </si>
  <si>
    <t>Randall to McKee West to Wilson South to Weaver West to Home</t>
  </si>
  <si>
    <t>WEAVER LANDING</t>
  </si>
  <si>
    <t>CUSTOM RANCH</t>
  </si>
  <si>
    <t>54X134X257X267</t>
  </si>
  <si>
    <t>Immaculate custom ranch w/walkout finished basement at end of cul-de-sac half acre private lot in Weaver Landing.  3 bedrooms + 1 in basement, elegant woodwork &amp; trim throughout entire home, custom chef's kitchen w/Thermador appliances, gleaming hardwood throughout most of main floor, fantastic laundry center.  Basement with fabulous game area, family room, office, exercise &amp; craft room, bedroom &amp; bathroom.  A dream!</t>
  </si>
  <si>
    <t>Curtains/Drapes, Plantation Shutters</t>
  </si>
  <si>
    <t>Oven-Double, Microwave, High End Refrigerator, Washer, Dryer, Disposal</t>
  </si>
  <si>
    <t>Cul-de-sac, Nature Preserve Adjacent, Wetlands Adjacent, Irregular, Landscaped Professionally</t>
  </si>
  <si>
    <t>Humidifier, Water-Softener Owned, CO Detectors, Ceiling Fan, Sump Pump, Backup Sump Pump, Radon Mitigation System(s)</t>
  </si>
  <si>
    <t>Eating Area, Exercise Room, Foyer, Game Room, Great Room, Office, Sewing Room, Sitting Room</t>
  </si>
  <si>
    <t>Deck, Brick Paver Patio, Storms/Screens</t>
  </si>
  <si>
    <t>Christa Max, CNC,CSC</t>
  </si>
  <si>
    <t>(630) 337-4304</t>
  </si>
  <si>
    <t>855-919-0200; Must Confirm w/LA, 2-hr notice required</t>
  </si>
  <si>
    <t>Hot Tub and Sauna do not convey</t>
  </si>
  <si>
    <t>Diversey to Francisco right follow road to Mozart</t>
  </si>
  <si>
    <t>Hot logan square location. Single family home features 4 bedrooms/ 3 bathroom. 2 car detached garage, spacious living room, hardwood floors, large sized bedrooms. *Please include the disclosures found under the additional information tab with all offers.* **sold as is , no survey**</t>
  </si>
  <si>
    <t>1% (on Gross SP)</t>
  </si>
  <si>
    <t>Resurrecting Real Estate</t>
  </si>
  <si>
    <t>(708) 323-2824</t>
  </si>
  <si>
    <t>Rosario Terracciano</t>
  </si>
  <si>
    <t>CLICK â€œSCHEDULE A SHOWINGâ€_x009d_</t>
  </si>
  <si>
    <t>This property is now under auction terms. Offers should be submitted through www.Auction.com.</t>
  </si>
  <si>
    <t>12N110</t>
  </si>
  <si>
    <t>Berner</t>
  </si>
  <si>
    <t>RT 58 (summit) to Berner or Golf to Berner</t>
  </si>
  <si>
    <t>BERNER ESTATES</t>
  </si>
  <si>
    <t>150X644</t>
  </si>
  <si>
    <t>Rural Elgin with easy access to I 90 and 59! Custom home situated on 2+ acres of woods &amp; ponds! Wrap around porch &amp; deck too! 1st floor den/office/5th BR has closet. MBR suite features 2 WIC - private bath w/ step up soaker tub &amp; sep. shower!  Gorgeous oak woodwork abounds! Spacious &amp; bright! Private &amp; Serene! Bank Owned- Home in good condition, but sold as-is. US Bank/LO/LAG make no representations or warranties</t>
  </si>
  <si>
    <t>17X21</t>
  </si>
  <si>
    <t>Water-Softener Owned, Security System, Ceiling Fan, Sump Pump</t>
  </si>
  <si>
    <t>Hardwood Floors, 1st Floor Bedroom, 1st Floor Laundry</t>
  </si>
  <si>
    <t>Melissa Somone-Graham</t>
  </si>
  <si>
    <t>(708) 692-1841</t>
  </si>
  <si>
    <t>US Bank</t>
  </si>
  <si>
    <t>EMD held by Atty Skoubis Mantas, LLC. Offers- email to LAG or https://agent.res.net/submitoffer/?returnurl=%2fOffers.aspx%3f-991845</t>
  </si>
  <si>
    <t>11th</t>
  </si>
  <si>
    <t>N.on Peace rd. Right on Pleasant  then right on N. 11th to property.</t>
  </si>
  <si>
    <t>50X212.50</t>
  </si>
  <si>
    <t>This 4BR-2BA 2 story home is ready for your expert touch. Features enclosed front porch. Some original hardwood flooring throughout. Spacious kitchen w/ separate dining. Detached 1 car garage with add-on space behind. Deep Yard. Close to park, school and shopping. This is a Fannie Mae HomePath property.   See â€œAdditional Informationâ€_x009d_ for documents needed to submit offer.</t>
  </si>
  <si>
    <t>75X23</t>
  </si>
  <si>
    <t>Use Show assist</t>
  </si>
  <si>
    <t>Lawler (5000 W), to property.</t>
  </si>
  <si>
    <t>Tim Litchford</t>
  </si>
  <si>
    <t>(770) 933-6671</t>
  </si>
  <si>
    <t>Vacant,no app req.Go to www.hubzu.com for more info &amp; to SUBMIT OFFER,Use search function,Buyer will pay $299  Web Trans Fee to www.hubzu.com at close. For assistance call 18558821314. â€œSELLER WILL NOT ACTIVATE UTILITIESâ€_x009d_</t>
  </si>
  <si>
    <t>7th Ave to Madison E to home.</t>
  </si>
  <si>
    <t>CAMBRIDGE</t>
  </si>
  <si>
    <t>63X114X70X108</t>
  </si>
  <si>
    <t>Priced to sell! Gorgeous all updated 4BR Colonial. Large fenced yard w/ deck &amp; shed.  H/w on 1st flr. New kit: "42 maple cab, glass &amp; tile backsplash, SS app, eat in area. Formal d/r w/chair rail &amp; crown. Family rm w/ custom f/p &amp; built in bookshelves. Formal l/r. Large bedroom sizes. All bathrooms updated. Finished bsmt w/rec room &amp; playroom.  White trim &amp; 6 panel doors, '03 windows, '12 furnace, a/c, H20 heater.</t>
  </si>
  <si>
    <t>855-746-9100 for app. Must confirm 1 hr. No showings before 10am please.</t>
  </si>
  <si>
    <t>Fabulous updating in whole inside. No washer/dryer.All TV brackets stay but no TV's. 2 H2O heaters. Installed security system on all exterior exits attached to any computer device for viewing &amp; stays. Some furniture can be included. Use 6.0</t>
  </si>
  <si>
    <t>FLETCHER</t>
  </si>
  <si>
    <t>BELMONT TO LECLAIRE (S) TO FLETCHER ( W)</t>
  </si>
  <si>
    <t>Wonderful classic bungalow rehab. This is the Henry A. Scheafer original home for which the street is named. The home has brought to modern glory for its next family.  New Baths, Kitchen and Garage! All updated plumbing and electric with New Gas forced air heat and New AC.  Two bedrooms on main level and two up.  Enclosed heated back porch. Basement full and ready for your finishing touches to make home even better.</t>
  </si>
  <si>
    <t>08X15</t>
  </si>
  <si>
    <t>Solid Realty Services</t>
  </si>
  <si>
    <t>(312) 224-2702</t>
  </si>
  <si>
    <t>Mary McIntire Petri</t>
  </si>
  <si>
    <t>(773) 590-6500</t>
  </si>
  <si>
    <t>773-594-0418 home</t>
  </si>
  <si>
    <t>773-590-6500</t>
  </si>
  <si>
    <t>Register with showing assist then call agent.</t>
  </si>
  <si>
    <t>Please register with showing assist first.  Easy to show.  On lock box.  Please leave card in kitchen and shut off lights.</t>
  </si>
  <si>
    <t>Pulaski to 83rd St, West to Kostner, North to 81st Place, West to home</t>
  </si>
  <si>
    <t>4,538 SQ FT</t>
  </si>
  <si>
    <t>INCREDIBLY REHABBED BRICK RAISED RANCH W/ 4 BDRMS &amp; 2 BATHS. BEAUTIFUL HARDWOOD FLRS THRU-OUT MAINLEVEL. STUNNING EAT-IN KITCHEN W/ESPRESSO CABINETS, GRANITE COUNTERS, RECESSED LIGHTS &amp; SS APPLIANCES. TWO NEW BATHS W/ WHIRLPOOL TUB &amp; SEATED SHOWER W/ BODYSPRAYERS. MAGNIFICIENTLY FINISHED BASEMENT W/HUGE FAMILY RM, BDRM, FULL BATH &amp; FINISHED LAUNDRY. HUGE YARD, SIDE DRIVE W/ NEW GARAGE, NEW CENTRAL AC AT CLOSING</t>
  </si>
  <si>
    <t>24X22</t>
  </si>
  <si>
    <t>Aspen</t>
  </si>
  <si>
    <t>Schaumburg Rd W of Barrington to East S to Aspen</t>
  </si>
  <si>
    <t>THE MEADOWS</t>
  </si>
  <si>
    <t>BARTLETT</t>
  </si>
  <si>
    <t>55 * 155</t>
  </si>
  <si>
    <t>Totally remodeled property. Stunning new espresso kitchen with new SS appliances, designer counters, and SS sink/faucet. Premium lighting throughout. Designer Benjamine Moore interior paint. New carpet and tile. New washer &amp; dryer. Luxurious rehabbed bathrooms. Upstairs bedrooms are huge. Awesome deck for entertaining and grilling. Close to schools and parks. Owner has real estate license.</t>
  </si>
  <si>
    <t>Berg Properties</t>
  </si>
  <si>
    <t>(888) 276-9959</t>
  </si>
  <si>
    <t>Michael Berg</t>
  </si>
  <si>
    <t>312-493-6605</t>
  </si>
  <si>
    <t>Text owner for showings 312-493-6605 for showings, inspections, appraisals and all access requ</t>
  </si>
  <si>
    <t>Text owner for showings 312-493-6605 for showings and all access requests. Email offers to email sales@bergproperties.com or Fax offers to (888) 615-0169.</t>
  </si>
  <si>
    <t>St Paul</t>
  </si>
  <si>
    <t>Cicero past North Avenue to St Paul, West to Property.</t>
  </si>
  <si>
    <t>30X150</t>
  </si>
  <si>
    <t>Great opportunity to own this SPACIOUS bungalow located in Chicago's Austin neighborhood.  Previous rehab has been started-just bring your design ideas!  Exposed brick in the living room. Spacious bedroom on first level.  This is a Fannie Mae HomePath property.</t>
  </si>
  <si>
    <t>3% OR $1000 MIN (on Net SP)</t>
  </si>
  <si>
    <t>The Sokol Group</t>
  </si>
  <si>
    <t>(312) 421-2525</t>
  </si>
  <si>
    <t>Andy Sokol</t>
  </si>
  <si>
    <t>(312) 404-2639</t>
  </si>
  <si>
    <t>Please email matt@thesokolgroup.com for showing instructions. Please include agent ID and day.</t>
  </si>
  <si>
    <t>Please use offer package under additional information &amp; upload on homepath.com. It is strongly encouraged that an offer includes proof of funds (if cash offer), or pre-approval (if financing) and is a requirement for sellerâ€™s final accept.</t>
  </si>
  <si>
    <t>Erie</t>
  </si>
  <si>
    <t>Just West of Western Ave. (Erie is ONE WAY heading East). Take Huron to Campbell, then East to home</t>
  </si>
  <si>
    <t>24X124.35</t>
  </si>
  <si>
    <t>Smith Park 4bd/3.5 bath Modern Luxury 2012 SFH by Noah Properties! Stunning custom contemporary home, Wolf &amp; Bosch Gourmet SS white kitchen w/addtnl rear rec area. Din/Liv rm w/firepl. Master Bdrm w/ensuite spa-shower &amp; soaking tub. 3 bedrms &amp; 2nd bath all on 2nd level. Designer tile basement w/storage, 4th Bed, full bath &amp; laundry rm. Rear deck overlooks fenced-in grass backyard w/2 car garage. Tons of closet space!</t>
  </si>
  <si>
    <t>Park/Playground, Pool, Tennis Courts, Sidewalks, Street Lights</t>
  </si>
  <si>
    <t>Humidifier, Security System, Intercom, CO Detectors, Sump Pump</t>
  </si>
  <si>
    <t>Deck, Pantry, Recreation Room</t>
  </si>
  <si>
    <t>5X6</t>
  </si>
  <si>
    <t>Brian Grossman</t>
  </si>
  <si>
    <t>(773) 616-4663</t>
  </si>
  <si>
    <t>Text 773-616-4663 w/ Name, Agent ID, Showing Day/time. *If Monday, after 2pm, If Thurs after 6:30pm</t>
  </si>
  <si>
    <t>This is must show home in the hot Ukrainian Village/ Smith Park neighborhood! The highest quality of construction, built by quality builder, Noah! Home has designer finishes throughout, Shows like a model! Exclusions are Window Treatments</t>
  </si>
  <si>
    <t>Natoma</t>
  </si>
  <si>
    <t>ADDISON JUST EAST OF OAK PARK TO NATOMA SOUTH TO 3522</t>
  </si>
  <si>
    <t>Lovely bungalow on quiet tree lined street feat: gleaming hardwood floors, gourmet kitchen w/granite counters &amp; brand new ss appliances, elegant modern baths, lots of windows, skylights, tons of closets/storage, full-floor master suite on 2nd floor, full finished basement, brand new roof and water heater, 2 car garage &amp; much more! Prime location, close to schools, shopping &amp; &amp; transportation.</t>
  </si>
  <si>
    <t>Gas, Radiant</t>
  </si>
  <si>
    <t>Utility Room-Lower Level, Walk In Closet, Workroom</t>
  </si>
  <si>
    <t>WESTWOOD</t>
  </si>
  <si>
    <t>SLEEPY HOLLOW TO GRANDVIEW W TO WESTWOOD</t>
  </si>
  <si>
    <t>7801 SQ FT</t>
  </si>
  <si>
    <t>Updated, Spacious &amp; Ready for New Owners! Upgraded Kitchen w/ 42" Cabinetry, Stainless steel appliances &amp; eat-in area with door to backyard. Soaring 2 Story family room has brick fireplace &amp; wall of windows allowing for plenty of natural light! Three huge bedrooms PLUS bright &amp; airy loft or 4th bedroom. Finished basement offers Rec room, bedroom &amp; storage! New hardwood floors on main level plus 1st floor bedroom/den!</t>
  </si>
  <si>
    <t>Security System, CO Detectors, Sump Pump</t>
  </si>
  <si>
    <t>Den, Loft, Recreation Room</t>
  </si>
  <si>
    <t>Vaulted/Cathedral Ceilings, Hardwood Floors, 1st Floor Bedroom</t>
  </si>
  <si>
    <t>2.5% - 250 (on Net SP)</t>
  </si>
  <si>
    <t>Tallgrass</t>
  </si>
  <si>
    <t>Rt 71 to Minkler S to Country to Tallgrass, or Rt 71 to Reservation to Foxtail to Tallgrass</t>
  </si>
  <si>
    <t>62X97X282X156X304</t>
  </si>
  <si>
    <t>JUST LISTED! Designed for Year 'Round Entertaining! 4500 SF + a Finished Lower Level, In-Ground Pool, Screened-in, &amp; Covered Front Porch &amp; Gazebo, 2nd FL Outdoor Balcony on a Beautiful Acre Lot in Farm Colony. Awesome Country Kitchen Opens to Breakfast &amp; Family Rm, Formal LR &amp; DR's, Dual Staircase, 1st FL Office/5th BR, Bonus Rm, Master Suite w/Sitting Rm &amp; 2nd FP, 3 Add'l BR's w/Walk-in Closets &amp; Private Baths. Wow!</t>
  </si>
  <si>
    <t>14X27</t>
  </si>
  <si>
    <t>Zoned, 2 Separate Systems</t>
  </si>
  <si>
    <t>Park/Playground, Pond/Lake, Street Lights, Street Paved</t>
  </si>
  <si>
    <t>Humidifier, Water-Softener Owned, TV-Cable, Ceiling Fan</t>
  </si>
  <si>
    <t>Bar, Bonus, Breakfast Room, Enclosed Balcony, Exercise Room, Foyer, Office, Recreation Room, Screened Porch, Workroom</t>
  </si>
  <si>
    <t>Vaulted/Cathedral Ceilings, Skylight(s), Hardwood Floors, 1st Floor Bedroom, In-Law Arrangement, 1st Floor Laundry</t>
  </si>
  <si>
    <t>Balcony, Patio, Porch, Gazebo, Stamped Concrete Patio, Pool In-Ground</t>
  </si>
  <si>
    <t>9X18</t>
  </si>
  <si>
    <t>EZ to show.  Call Centralized Showings 877-977-1010</t>
  </si>
  <si>
    <t>The pics are from the fall when the sellers knew they would be moving.</t>
  </si>
  <si>
    <t>Irving Park, North on Marmora to 4235</t>
  </si>
  <si>
    <t>The best of modern finishes meets the perfect Portage Park Bungalo.  All new electric, plumbing, HVAC, roof.  Inviting Living room and dining room with gleaming hardwood floors.  White kitchen with all stainless appliances, granite counters, and breakfast area.  Walk out to an over sized back yard thru french doors.  Master suite featuring large walk in closet with spa inspired bathroom.   Full finished basement.</t>
  </si>
  <si>
    <t>22X10</t>
  </si>
  <si>
    <t>Some notice required. USE showing assist</t>
  </si>
  <si>
    <t>Washington Park</t>
  </si>
  <si>
    <t>KING DR TO 49TH, E TO VINCENNES, S TO 50TH ST, W TO WASHINGTON PK CT, N TO PROPERTY</t>
  </si>
  <si>
    <t>22X125</t>
  </si>
  <si>
    <t>THIS BEAUTIFUL HOME IS NEWLY REHABBED WITH GORGEOUS HARDWOOD FLOORS THAT COMPLIMENT THE DESIGNER COLORS &amp; FINISHES. ADDING TO THE CHARM ARE UNIQUE ARCHITECTURAL FEATURES THRUOUT HOME &amp; A FIREPLACE IN THE MASTER BEDROOM. THERE'S EVEN A SEPARATE DINING ROOM PLUS FULL FINISHED BASEMENT! THIS PROPERTY PERMITTED &amp; INSPECTED BY CITY OF CHICAGO, COMES WITH 1 YR  HWA WARRANTY! A PARKING PAD WITH FENCING IS TO BE ADDED.</t>
  </si>
  <si>
    <t>EARNEST MONEY TO BE PAID IN CERTIFIED FUNDS TO THE G-SLOW TEAM. PLEASE NOTE THAT THERE IS A 1 YEAR HWA WARRANTY ON THIS PROPERTY. PROPERTY SPEC LIST FOUND UNDER ADDITIONAL INFORMATION.</t>
  </si>
  <si>
    <t>DEVONSHIRE</t>
  </si>
  <si>
    <t>N. MCLEAN BLVD TO FOREST DR TO SHEFFIELD DR TO DEVONSHIRE CIR.</t>
  </si>
  <si>
    <t>Century Oaks West</t>
  </si>
  <si>
    <t>113 X 100 X 77 X 72 X 65</t>
  </si>
  <si>
    <t>This home qualifies for special government funding, all buyer needs is $2189 down to buy! No Joke! NEW WINDOWS! NEW KITCHEN WITH NEW SS APPLIANCES.  UPDATED BATHS, NEW CARPET, PAINT AND WATER HEATER. 4 OVER SIZED BEDROOMS WITH WALK IN CLOSETS.  UPPER WRAP AROUND WOOD DECK. FAMILY ROOM WITH BUILT INS AND BRICK FIREPLACE. SLIDERS LEAD TO LOWER DECK AND SECLUDED BACK YARD.</t>
  </si>
  <si>
    <t>Centralized Showings Ph 877-977-1010</t>
  </si>
  <si>
    <t>Easy to show and sell. Not a short sale or foreclosure. Bring your FHA buyers. Text co lister with questions 630-334-5355.</t>
  </si>
  <si>
    <t>DEMPSEY</t>
  </si>
  <si>
    <t>ROUTE 38 TO BRICHER TO BLACKBERRY TO DEMPSEY PLACE</t>
  </si>
  <si>
    <t>60X235X148X157</t>
  </si>
  <si>
    <t>BEAUTIFUL 2 STORY! CHEF DESIGNED KITCHEN W/GRANITE C-TOPS,CUSTOM ALDER CABINETRY, HUGE ISLAND/B-FAST BAR, WOLF COOKTOP, WINE FRIDGE &amp; WARMING DRAWER.FAM RM W/BAMBOO HW FLOORS, BRICK FP, BUILT-IN BOOKSHELVES &amp; SURROUND SOUND, PWDR RM W/CUSTUM MAPLE VANITY/GRANITE C-TOP. MBR W/STNG AREA &amp; LUXURY BATH.REMODELED HALL BATH. GREAT SCREENED IN PORCH O/LOOKS STUNNING YARD &amp; PAVER PATIO/WALKWAYS! BIG FRONT PORCH &amp;  ED.</t>
  </si>
  <si>
    <t>28X14</t>
  </si>
  <si>
    <t>Oven/Range, Microwave, Refrigerator, Disposal, Wine Cooler/Refrigerator</t>
  </si>
  <si>
    <t>Screened Porch, Sitting Room, Study</t>
  </si>
  <si>
    <t>Porch, Porch Screened, Storage Shed, Brick Paver Patio</t>
  </si>
  <si>
    <t>ORR</t>
  </si>
  <si>
    <t>Balmoral</t>
  </si>
  <si>
    <t>Foster to Ravenswood, north to Balmoral, east to 1734.</t>
  </si>
  <si>
    <t>Meticulous, newly renovated classic brick home w/high quality finishes in popular Andersonville! Extra-wide, bright home w/cherry flrs, sunrm off large liv/dining rms, Artemide ltg. New cook's kitchen w/stainless appl, huge quartz waterfall island, open to fam rm and landscaped deck/yard. 3 large gracious bedrooms on second flr, enormous 4th bedrm suite in LL used as media room w/2nd kit, plus recreation rm w/1/2 ba.</t>
  </si>
  <si>
    <t>Finished, Exterior Access, Other</t>
  </si>
  <si>
    <t>Double Shower</t>
  </si>
  <si>
    <t>Sharon Gillman</t>
  </si>
  <si>
    <t>(312) 981-2831</t>
  </si>
  <si>
    <t>Email -  sharon.gillman@bairdwarner.com</t>
  </si>
  <si>
    <t>Meticulous, renovated home in fabulous Andersonville. Absolutely perfect! Walk to restaurants, stores, transp.</t>
  </si>
  <si>
    <t>34W527</t>
  </si>
  <si>
    <t>Colley</t>
  </si>
  <si>
    <t>RT 25 to Courier W to Fox River S to Colley</t>
  </si>
  <si>
    <t>100X142</t>
  </si>
  <si>
    <t>DARE TO COMPARE ~ Incredible use of space in the adorable, affordable &amp; totally updated Ranch style home on huge lot in St. Charles. Vaulted, beamed ceilings, huge windows. Open, flr plan.Open FAM Rm  w/FP &amp; custom built-ins~ thru.  Awesome KIT overlooking spectacular fenced yard. Large BEDS. Updated Bathrooms. Upgrades. Full FIN BSMT - LAUND w/cab &amp; utility. Huge Pantry. Storage. 2++ Garage. Check surrounding homes</t>
  </si>
  <si>
    <t>Water-Softener Owned, TV-Cable, Ceiling Fan</t>
  </si>
  <si>
    <t>Deck, Office, Pantry, Recreation Room, Walk In Closet</t>
  </si>
  <si>
    <t>Vaulted/Cathedral Ceilings, Skylight(s), Hardwood Floors, Wood Laminate Floors, In-Law Arrangement, 1st Floor Full Bath</t>
  </si>
  <si>
    <t>1 hour notice, must confirm</t>
  </si>
  <si>
    <t>THIS IS REALLY REALLY CUTE! EASY TO SHOW</t>
  </si>
  <si>
    <t>AVENUE O</t>
  </si>
  <si>
    <t>EAST/WEST ON 106TH TO AVENUE O, SOUTH TO ADDRESS</t>
  </si>
  <si>
    <t>TURN-KEY; PROPERTY ZONED SINGLE FAMILY BUT CONVERTED TO "IN-LAWS" ARRANGEMENT WITH EACH FLOOR HAVING OWN KITCHEN/BATHROOM/LIVING AREA AND SEPARATE ENTRANCES; FIRST FLOOR RENTED AT $800/MO; SECOND FLOOR VACANT, FRESHLY PAINTED; CASH ONLY, AS-IS SALE; BALANCED LOCAL MARKET IS IDEAL FOR OWNER-OCCUPANT OR INVESTOR; QUICK CLOSE WITH CLEAN TITLE</t>
  </si>
  <si>
    <t>2nd Kitchen, Great Room</t>
  </si>
  <si>
    <t>$3000 BY 2/15/2015, $2250 THEREAFTER (on Gross SP)</t>
  </si>
  <si>
    <t>Avian Realty</t>
  </si>
  <si>
    <t>(630) 677-7076</t>
  </si>
  <si>
    <t>Jerry Stoev</t>
  </si>
  <si>
    <t>(312) 493-4410</t>
  </si>
  <si>
    <t>CALL 312-493-4410 FOR EZ SHOWS</t>
  </si>
  <si>
    <t>PLEASE ALLOW SEVERAL HOURS TO NOTIFY TENANTS; VARIABLE COMPENSATION; $3000 IF CONTRACTED BY 2/15/2015, $2250 THEREAFTER; PROPERTY SHOWS GREAT</t>
  </si>
  <si>
    <t>ROYAL AND ANCIENT</t>
  </si>
  <si>
    <t>Dunham Rd to Royal Fox Dr to Royal and Ancient</t>
  </si>
  <si>
    <t>ROYAL FOX</t>
  </si>
  <si>
    <t>116X111</t>
  </si>
  <si>
    <t>LARGE SPACIOUS HOME WAITING FOR YOUR IDEAS! LARGE MASTER SUITE! FINISHED BASEMENT WITH FULL BATHROOM! SUN ROOM AND BEAUTIFUL VIEWS ALL AROUND! THIS ONE WONT LAST! ALL CONTRACTS/OFFERS ARE SUBJECT TO ONEWEST SENIOR  MANAGEMENT APPROVAL AND ANY OFFERS OR COUNTER OFFERS BY ONEWEST ARE NOT BINDING UNLESS THE ENTIRE AGREEMENT IS  RATIFIED BY ALL PARTIES.THERE IS A $75.00 BUYER PAID DOC FEE PAID AT CLOSING</t>
  </si>
  <si>
    <t>Clubhouse, Pool, Pond/Lake, Curbs/Gutters, Sidewalks, Street Lights</t>
  </si>
  <si>
    <t>Cul-de-sac, Golf Course Lot, Pond, Water View</t>
  </si>
  <si>
    <t>Vaulted/Cathedral Ceilings, 1st Floor Bedroom, In-Law Arrangement</t>
  </si>
  <si>
    <t>Mutual Realty LLC</t>
  </si>
  <si>
    <t>(630) 595-5725</t>
  </si>
  <si>
    <t>Anjum Chohan</t>
  </si>
  <si>
    <t>PLEASE USE SHOWING ASSIST TO SCHEDULE YOUR SHOWING</t>
  </si>
  <si>
    <t>EMAIL ALL OFFERS TO MUTUAL_REO@MUTUALREO.COM WITH PROOF OF FUNDS.ONE WEST IS COMMITTED TO SWIFT  RESPONSES. IF NO RESPONSE WITHIN 72 HOURS (EXCEPT WEEKENDS,HOLIDAYS) CALL 1-877-885-1624.</t>
  </si>
  <si>
    <t>Endicott</t>
  </si>
  <si>
    <t>RT68 E OF RT25 TO WAKEFIELD N TO ENDICOTT E TO HOME</t>
  </si>
  <si>
    <t>100.12X87.86X100X82.92</t>
  </si>
  <si>
    <t>Beautifully remodeled home with new kitchen cabinets, counter top, and appliances. Full bath completely redone. Freshly painted inside. New laminate floors in the livingroom and  kitchen. New carpet in the bedrooms and lower level. Sold AS-IS/Agent Owned. Taxes do not reflect Homestead Exemption.</t>
  </si>
  <si>
    <t>Platinum Realty Services Inc.</t>
  </si>
  <si>
    <t>(847) 622-5800</t>
  </si>
  <si>
    <t>Juan Carlos Giraldo</t>
  </si>
  <si>
    <t>(630) 742-0515</t>
  </si>
  <si>
    <t>Email offers to carlosgiraldo@comcast.net. Earnest money check made out to sellers attorney: Arturo Gonzalez. Note: Taxes do not reflect Homestead Exemption.</t>
  </si>
  <si>
    <t>FAIRWAY</t>
  </si>
  <si>
    <t>RANDALL TO FARGO EAST TO KEIM CI TO FAIRWAY TO HOME.</t>
  </si>
  <si>
    <t>72X128X84X49X150</t>
  </si>
  <si>
    <t>SIMPLY STUNNING! EVERYTHING IS IN IMPECCABLE CONDITION &amp; MOVE IN READY! New:Pella windows &amp; doors, hardwoods, appliances, carpet, roof, landscaping, lighting, updated baths &amp; much more! Nestled on a quiet circle w/spectacular views of the private golf course~open floor plan is perfect for entertaining~freshly painted inside &amp; out (new siding)~Great neighborhood &amp; top rated schools! Absolutely remarkable-A must see!</t>
  </si>
  <si>
    <t>Golf Course Lot, Landscaped Professionally</t>
  </si>
  <si>
    <t>Humidifier, CO Detectors, Ceiling Fan, Sump Pump, Backup Sump Pump, Radon Mitigation System(s)</t>
  </si>
  <si>
    <t>Game Room, Office, Recreation Room, Sitting Room</t>
  </si>
  <si>
    <t>Brick, Cedar, EIFS (e.g. Dryvit)</t>
  </si>
  <si>
    <t>16X23</t>
  </si>
  <si>
    <t>2.5% +$2000 BUYER'S BROKER BONUS W/ACCEPTED CONTRACT BY 2/15/15 (on Net SP)</t>
  </si>
  <si>
    <t>PLEASE CALL 855-917-9150 FOR AN APPOINTMENT</t>
  </si>
  <si>
    <t>See CC: $2000 bonus!!!  Small amount of EIFS on front of home. A complete/clean EIFS inspection was recently done &amp; report is available.</t>
  </si>
  <si>
    <t>Drexel</t>
  </si>
  <si>
    <t>75th EAST PAST COTTAGE GROVE TO DREXEL SOUTH TO HOME</t>
  </si>
  <si>
    <t>TENANT OCCUPIED FORECLOSURE/BANK OWNED/FORECLOSED/ SOLD AS IS/NO SURVEY/NO DISCLOSURES/TAXES PRORATED AT 100%/NO TERMITE/BUYER RESPONSIBLE FOR ALL CITY VIOLATIONS/ (IF ANY) PROVIDE PROOF OF FUNDS WITH ALL OFFERS/PROVIDE A COPY OF A EARNEST MONEY CHECK CERTIFIED FUNDS MADE PAYABLE TO (SEE PARAGRAPH 3 OF SELLERS CONTRACT) MINIMUM $2500. CONVENTIONAL OR CASH ONLY!!!</t>
  </si>
  <si>
    <t>Closing, Immediate, Tenant's Rights</t>
  </si>
  <si>
    <t>24 HOUR NOTICE CALL AGENT 773-241-1282</t>
  </si>
  <si>
    <t>JEFF BV- COMMERCIAL,LLC</t>
  </si>
  <si>
    <t>TENANT OCCUPIED PAYING $800.00 RENT... EMAIL OFFER: agcy@sbcglobal.net download contract under additional information.</t>
  </si>
  <si>
    <t>Meadowrue</t>
  </si>
  <si>
    <t>Wilson to Woodland Hills to Meadowrue, turn right to home.</t>
  </si>
  <si>
    <t>WOODLAND HILLS</t>
  </si>
  <si>
    <t>105 X 202 X 125 X 162</t>
  </si>
  <si>
    <t>MOTIVATED SELLERS! Extraordinary home on almost HALF AN ACRE-Gorgeous 4 BR, 2.1 BTH Colonial- 3000 sq ft of total living space. MANY RECENT IMPROVEMENTS-sump pump, wsher/dryer, gutters,windows, Elec panel &amp; Hdwd Flrs are newly refinished on 2nd level. Cozy FP in Fam Rm,DECK leads to awesome private YARD.Finished bsmt offers addit'l fab space. Great schools &amp; park district. Just unpack &amp; enjoy! Home warranty included.</t>
  </si>
  <si>
    <t>Blinds, Plantation Shutters</t>
  </si>
  <si>
    <t>Brick, Cedar, Clad Trim</t>
  </si>
  <si>
    <t>29X15</t>
  </si>
  <si>
    <t>Rosemarie Hoffmann, BPOR,SFR</t>
  </si>
  <si>
    <t>(847) 627-0039</t>
  </si>
  <si>
    <t>Call ShowingTime at 855-746-9100</t>
  </si>
  <si>
    <t>Many recent improvements include: Newer roof, windows,gutters,ac'14, 100 amp panel'14, sump pump'14, Washer/dryer '14</t>
  </si>
  <si>
    <t>KEDZIE</t>
  </si>
  <si>
    <t>KEDZIE TO 10934</t>
  </si>
  <si>
    <t>50 X 300</t>
  </si>
  <si>
    <t>LOOKING FOR SUBURBAN LIVING IN CHICAGO WITH SPACIOUS LOT? *4BEDRMS*2 UPDATED BATHS W/WHIRLPOOL TUB &amp; STEAM SHOWER *REMODELLED KITCHEN WITH SS APPLIANCES*CATHERAL CEILINGS*FLORIDA ROOM WITH HEATED FLOORS OVERLOOKING OVERSIZED DECK WITH WET BAR FOR SUMMER ENTERTAINING*DOUBLE SIDED FIREPLACE*PARTIAL FINISHED BASEMENT WITH OFFICE*NEW WINDOWS** 2 1/2 CAR BRICK GARAGE*  VERY UNIQUE HOME! 1YR HOME WARRANTY OFFERED.</t>
  </si>
  <si>
    <t>Oven-Double, Dishwasher, Refrigerator, Washer, Dryer, Disposal, All Stainless Steel Kitchen Appliances</t>
  </si>
  <si>
    <t>Whirlpool, Separate Shower, Steam Shower</t>
  </si>
  <si>
    <t>Bonus, Deck, Sun/Florida Room Heated</t>
  </si>
  <si>
    <t>Vaulted/Cathedral Ceilings, Hardwood Floors, Heated Floors, 1st Floor Full Bath</t>
  </si>
  <si>
    <t>Deck, Gazebo, Storms/Screens</t>
  </si>
  <si>
    <t>See through/Multi Sided, Wood Burning</t>
  </si>
  <si>
    <t>11X25</t>
  </si>
  <si>
    <t>15X45</t>
  </si>
  <si>
    <t>Angela Shervino, CSC</t>
  </si>
  <si>
    <t>(773) 718-0588</t>
  </si>
  <si>
    <t>HOME WARRANTY OFFERED THRU AMERICAN HOME SHIELD $610 MAX.</t>
  </si>
  <si>
    <t>Quail Cove</t>
  </si>
  <si>
    <t>Randall N of I-90 to W on Miller, becomes Woodside, L on Forestview to 1st L on Quail Cove to Hs</t>
  </si>
  <si>
    <t>8712 SQ FT--46X100X106X100</t>
  </si>
  <si>
    <t>!!Priced To Sell!! Wonderful opportunity. Beautiful home on cul-de-sac in highly sought-after Gleneagle Farms subdivision. Borders Forest Preserve. 2620 sq ft liv space! Sellers planned Lng-Trm, upgrading thru-out. Kitch fantastic, w/new granite cntrtps/appl's/re-fin cab's. All paint/carpeting new. Vaulted ceilings. All new hrdwr. New deck/roof. Lots closet space. Bsmnt TV and couch can stay. Truly move-in ready!</t>
  </si>
  <si>
    <t>Vaulted/Cathedral Ceilings, Bar-Dry, Wood Laminate Floors, 1st Floor Laundry</t>
  </si>
  <si>
    <t>27X35</t>
  </si>
  <si>
    <t>Select a Fee RE System</t>
  </si>
  <si>
    <t>(312) 421-1000</t>
  </si>
  <si>
    <t>George Ayling</t>
  </si>
  <si>
    <t>(708) 466-4093</t>
  </si>
  <si>
    <t>CO-LA E-M: lukeb@selectafee.com</t>
  </si>
  <si>
    <t>CALL 877-977-1010</t>
  </si>
  <si>
    <t>Disclosures online. Email with Multi-Board 6.0 contract to LA &amp; Co-LA, Luke Brown, lukeb@selectafee.com. Call to confirm receipt.</t>
  </si>
  <si>
    <t>Maple Park</t>
  </si>
  <si>
    <t>Route 38 to County Line Rd N, to Ashton E, to Settlement E, to Walnut N</t>
  </si>
  <si>
    <t>THE SETTLEMENT</t>
  </si>
  <si>
    <t>MAPLE PARK</t>
  </si>
  <si>
    <t>VIRGIL</t>
  </si>
  <si>
    <t>75X134.71</t>
  </si>
  <si>
    <t>PRISTINE &amp; LIKE-NEW, THIS A+ HOME BOASTS 2-TIERED DECK, ABUNDANT LANDSCAPING &amp; CUSTOM PLAYHOUSE!  Kitchen showcases island-breakfast bar, walk-in pantry, new Ceramica premium flooring, all appliances &amp; pendant lighting!  NEW carpeting &amp; walk-in closets throughout. Laundry Room features pantry shelving, closet, hooks, washer &amp; dryer.  Master Suite boasts 13'x8' walk-in closet, 2 sinks, linen shelves &amp; deep soaker tub.</t>
  </si>
  <si>
    <t>Eating Area-Breakfast Bar, Eating Area-Table Space, Pantry-Butler, Pantry-Walk-in</t>
  </si>
  <si>
    <t>Deck, Porch, Storage Shed, Storms/Screens</t>
  </si>
  <si>
    <t>24 Hours Notice 'Preferred.'  Call CSS to schedule a showing at:  877-977-1010.</t>
  </si>
  <si>
    <t>Jacob H. and Janee M. Kazda</t>
  </si>
  <si>
    <t>Contract MUST show seller as:  State Farm Mutual Automobile Insurance Company.  No home sale contingencies; will consider a home-to-close contingency.  Need preapproval &amp; copy of earnest money. Relocation paperwork to be signed by buyer(s).</t>
  </si>
  <si>
    <t>Irving Park to Hermitage- North to Home</t>
  </si>
  <si>
    <t>26.66 X 164.87</t>
  </si>
  <si>
    <t>Marlene Granacki</t>
  </si>
  <si>
    <t>(773) 520-7447</t>
  </si>
  <si>
    <t>email Marlene malrenegranacki@realtor.com</t>
  </si>
  <si>
    <t>Grenshaw</t>
  </si>
  <si>
    <t>Roosevelt Road to Campbell North to Grenshaw West</t>
  </si>
  <si>
    <t>Beautiful 7 year old single family home.  Features 4 bedrooms with one located in basement, 2 story family room, 3.5 baths, fireplace, granite kitchen, hardwood floors, 9 ft. ceilings,  2nd floor laundry, patio, 2 car garage.  Conveniently located to the Medical District.</t>
  </si>
  <si>
    <t>Exclusive Real Estate, Ltd.</t>
  </si>
  <si>
    <t>(847) 918-9000</t>
  </si>
  <si>
    <t>Kevin Maloney</t>
  </si>
  <si>
    <t>(312) 656-8500</t>
  </si>
  <si>
    <t>Call/Text Matt @ 847-630-4300 OR email   : ms.chicago@yahoo.com</t>
  </si>
  <si>
    <t>Investor owned.  Home is in pristine condition and ready to move in condition.</t>
  </si>
  <si>
    <t>83RD STREET TO AVALON NORTH TO 82ND PLACE RIGHT TO 1134</t>
  </si>
  <si>
    <t>FRAME 1.5 STORY HOME THAT FEATURES 4 BEDROOMS, 2 BATHS, FULL BASEMENT, HARDWOOD FLOORS THROUGHOUT. SOLD AS IS. BUYER TO TAKE ON CITY REPAIRS &amp; PUT UP ESCROW IF REQUIRED. NO DISCLOSURES, NO SURVEY OR TERMITE PROVIDED. PRESENT DETAILED PRE-QUAL OR PROOF OF FUNDS WITH OFFER. EM CERTIFIED FUNDS ONLY. CASH OFFER ONLY. OFFERS WRITTEN SITE UNSEEN.</t>
  </si>
  <si>
    <t>Emp/fam. memb. residing w/emp of JPMorgan Chase Bank, N.A, its affiliates or subsidiaries are strictly prohibited from directly/indirectly purch. any prop owned by JPMorgan Chase Bank, N.A. *** DO NOT DISTURB OCCUPANTS***</t>
  </si>
  <si>
    <t>HUNT CLUB</t>
  </si>
  <si>
    <t>RT 34 TO HWY 71 SW TO ORCHARD/MINKLER RD SOUTH TO HUNT CLUB E TO HUNT CLUB CT</t>
  </si>
  <si>
    <t>MELBOURNE</t>
  </si>
  <si>
    <t>166X112X144X98</t>
  </si>
  <si>
    <t>Popular Melbourne plan in Clubhouse community.4 bedrooms plus loft.  Beautifully upgraded kitchen w/ stainless steel appliances, hardwood floors and granite counters. Open layout is great for entertaining.  Master bedroom w/ tray ceiling, private bath with large garden tub, separate shower, double sinks and HUGE walk in closet. English basement w/ plumbing rough in. Cul de sac location convenient to park and school.</t>
  </si>
  <si>
    <t>HUNT CLUB ELEMENTARY SCHOOL</t>
  </si>
  <si>
    <t>Unfinished, Crawl, Bathroom Rough-In</t>
  </si>
  <si>
    <t>Breakfast Room, Loft</t>
  </si>
  <si>
    <t>Schedule thru showing assist.  2 hour notice required</t>
  </si>
  <si>
    <t>Great clubhouse community with onsite school.  If client is interested in touring clubhouse also, please let me know and I can make arrangements to tour. **basement wine refrigerator and swingset not included**</t>
  </si>
  <si>
    <t>South on Western Avenue to 65th, then west to Artesian, North to property</t>
  </si>
  <si>
    <t>HARLEM TO SCHOOL EAST TO 7027.</t>
  </si>
  <si>
    <t>THIS BRICK CAPE COD FEATURES FOUR BEDROOMS, TWO BATHS, FINISHED BASEMENT AND TWO CAR BRICK GARAGE. THIS HOME HAS POTENTIAL BUT IN NEED OF CLEANING, UPDATING AND REMOVAL OF CLUTTER. OFFERED AS-IS.</t>
  </si>
  <si>
    <t>Szabo Realty, Inc.</t>
  </si>
  <si>
    <t>(773) 282-0070</t>
  </si>
  <si>
    <t>Tivadar Szabo</t>
  </si>
  <si>
    <t>ESTATE SALE. SOLD AS-IS. REMOVAL OF CLUTTER WILL BE BUYER'S RESPONSIBILITY. POSSIBLE SHORT SALE. ANY REDUCTION IN COMMISSION WILL BE SPLIT 50/50 BETWEEN OFFICES.</t>
  </si>
  <si>
    <t>Leavitt</t>
  </si>
  <si>
    <t>belomont to leavitt</t>
  </si>
  <si>
    <t>Excellent property in convenient location. Fully gut rehab: new plumbing, electrical, flooring, windows, high eff. HVAC, kitchen and baths. Boosting 4 bedrooms 2.1 baths. Plenty of space to live and entertain. Granite countertop with eating peninsula. Close to expressway, trains, and archer. Do not niss this unique floor plan. Brand new 2 car garage for Chicago winter.</t>
  </si>
  <si>
    <t>2.0% - $250 (on Net SP)</t>
  </si>
  <si>
    <t>Power Realty LLC</t>
  </si>
  <si>
    <t>(312) 933-5312</t>
  </si>
  <si>
    <t>Gary Wong</t>
  </si>
  <si>
    <t>Text LA (312)927-1673 or email garyw.realestate@gmail.com</t>
  </si>
  <si>
    <t>Seller attorney holds earnest money</t>
  </si>
  <si>
    <t>Kenwood</t>
  </si>
  <si>
    <t>87TH TO KIMBARK, KIMBARK ONE BLOCK SOUTH, EAT TO KENWOOD, NORTH TO PROPERTY</t>
  </si>
  <si>
    <t>XP CONSTRUCTION STUNNING RE-DESIGN. SUPERIOR QUALITY AND TOP OF THE LINE FINISHES! OPEN FLOOR CONCEPT, HARDWOOD FLOORING THROUGHOUT MAIN LEVEL. LARGE OPEN KITCHEN WITH GRANITE COUNTERS, HIGH END STAINLESS APPLIANCES, CROWN MOULDING. CUSTOM TILE WORK. SECOND LEVEL MASTER SUITE WITH HUGE WALK-IN CLOSETS! FULL FINISHED BASEMENT WITH BATH, BEDROOM, AND LAUNDRY ROOM. WILL NOT LAST!</t>
  </si>
  <si>
    <t>Oven/Range, Microwave, Dishwasher, High End Refrigerator, All Stainless Steel Kitchen Appliances</t>
  </si>
  <si>
    <t>ATTACHED ADDENDUM MUST BE INCLUDED WITH OFFER TO BE CONSIDERED. TURNKEY PROPERTY....QUICK CLOSE POSSIBLE!...SHOW WITH CONFIDENCE! EMAIL OFFERS TO PETER@PRIMEREALESTATE.COM OR FAX TO 773-526-7500. â€‹ Seller does not provide survey, taxes pro</t>
  </si>
  <si>
    <t>Leamington</t>
  </si>
  <si>
    <t>West to Leamington south to 4639</t>
  </si>
  <si>
    <t>This beautiful, recently rehabbed 4 bedroom, 2 bathroom brick ranch is overflowing with special features and brand new additions. The gorgeous kitchen offers stainless steel appliances, granite counters and upgraded cabinets. The basement has been completely refinished and the outside offers a 2-car garage! With a great price, it's a must-see!</t>
  </si>
  <si>
    <t>Central Park Ave South of Armitage, West on Cortland, North on Lawndale to address.</t>
  </si>
  <si>
    <t>25 X 125.5</t>
  </si>
  <si>
    <t>Be the first to see this new construction single family home! Clean lines and thoughtful design throughout. 3 beds 2 baths &amp; laundry on upper level, sprawling open-concept main floor great for entertaining &amp; fully finished lower level with 4th bed, full bath &amp; the perfect rec room already prewired for your media needs. Generous outdoor space in front and rear of the home including a great back deck.</t>
  </si>
  <si>
    <t>Latrobe</t>
  </si>
  <si>
    <t>North Av to Laramie, N on Laramie to Wabansia, W on Wabansia 1 blk to Latrobe , S on Latrobe to prop</t>
  </si>
  <si>
    <t>Lovely completely rehabbed single-family home featuring hard wood floors, new kitchen &amp; bath, stainless steel appliances, fire-place, &amp; finished basement. Plus New living room &amp; dining room set!</t>
  </si>
  <si>
    <t>LEWIS ELEMENTARY SCHOOL</t>
  </si>
  <si>
    <t>FOREMAN HIGH SCHOOL</t>
  </si>
  <si>
    <t>Storage, Walk In Closet</t>
  </si>
  <si>
    <t>3X8</t>
  </si>
  <si>
    <t>Narcissus</t>
  </si>
  <si>
    <t>IRVING PARK W OF BARRINGTON RD TO EAST S TO NARCISSUS</t>
  </si>
  <si>
    <t>WOW!!!  4 BEDROOMS HUGE RAISED RANCH HOME. HUGE 2 CAR GARAGE! NICE FENCED IN BACKYARD!OWNER IS IL LICENSED AGENT</t>
  </si>
  <si>
    <t>09X11</t>
  </si>
  <si>
    <t>Call or Text Dan at 630-675-6768</t>
  </si>
  <si>
    <t>Home shows great!! Agent Owned! Steve Nicholas holds earnest money!</t>
  </si>
  <si>
    <t>Western</t>
  </si>
  <si>
    <t>North of Lawrence on Western</t>
  </si>
  <si>
    <t>25X147</t>
  </si>
  <si>
    <t>This is a great opportunity to own a home in the Lincoln Square area of the City of Chicago. The home is a 4 bedroom 2 bath with a lot to offer. This home has a spacious layout and is located near schools, parks, retail, and public transportation. The home is a HomePath Property and buyer to verify room sq. ft.</t>
  </si>
  <si>
    <t>27X11</t>
  </si>
  <si>
    <t>Stratos Rounis</t>
  </si>
  <si>
    <t>Please Contact 877-977-1010.</t>
  </si>
  <si>
    <t>Seller has instructed all offers be submitted online at www.HomePath.com on the HomePath Online Offer System.</t>
  </si>
  <si>
    <t>62ND EAST OR WEST TO KILDARE THEN SOUTH TO ADDRESS.</t>
  </si>
  <si>
    <t>***VERY CUTE RENOVATED BRICK RANCH AT VERY AFFORDABLE PRICE*** 4 TOTAL BEDROOMS, 2 FULL BATHS, MODERN KITCHEN WITH GRANITE COUNTER TOP, FINISHED BASEMENT WITH FAMILY ROOM, 2 BEDROOMS, AND ADDITIONAL DINING AREA, CUSTOM 2 CAR GARAGE WITH BRAND NEW AUTOMATIC OPENER, VERY LARGE YARD FOR YOUR SUMMER COOK OUTS, NOTHING TO DO JUST MOVE IN, earnest money payable to CHICAGO TITLE. (Subject to cancel the prior contract)</t>
  </si>
  <si>
    <t>Angel Martinez</t>
  </si>
  <si>
    <t>(773) 983-5964</t>
  </si>
  <si>
    <t>Use Showing Assists..</t>
  </si>
  <si>
    <t>LOCK BOX, AND ALARM PAD AT THE FRONT DOOR. TURN LIGHTS OFF, AND RE-SET THE ALARM AFTER YOUR SHOWING. PLEASE REPORT ANY SECURITY ISSUES TO THE LISTING AGENT 773 983 5964</t>
  </si>
  <si>
    <t>Gurler</t>
  </si>
  <si>
    <t>South on Route 23 to Right on Gurler to House</t>
  </si>
  <si>
    <t>300X300</t>
  </si>
  <si>
    <t>Affordable country property outside of DeKalb City Limits. Home in need of TLC. Hardwood floors; two baths; large bedrooms; walk up attic. Land includes 26x32 Corn crib.  Zoned Ag. Bring your horse and enjoy. Short sale. Home sold AS-IS. No survey. Taxes at 100%.</t>
  </si>
  <si>
    <t>Water-Softener Owned, CO Detectors, Ceiling Fan, Sump Pump, Radon Mitigation System(s)</t>
  </si>
  <si>
    <t>Maria Pena Graham, GRI,SFR</t>
  </si>
  <si>
    <t>(815) 757-3529</t>
  </si>
  <si>
    <t>Call L/O or L/A</t>
  </si>
  <si>
    <t>CC: Pursuant to Short Sale. Any and all commission is based on bank approval. If reduced, both sides will cooperate in reduction. Sold AS-IS. No survey. Taxes at 100%. Needs work.</t>
  </si>
  <si>
    <t>Randall RD to McDonald west to Thornwood N to home</t>
  </si>
  <si>
    <t>75X164</t>
  </si>
  <si>
    <t>STC Schools and Thornwood Pool Community! Dramatic 2-Story entry w/ arched recessed panel columns to Liv Rm &amp; Dining Rm. Upgraded Kit with Zodiac quartz countertops &amp; limestone tile bksplsh. Private office &amp; TONS of storage. Spacious FAM Rm w/fireplace and wall of windows! Master Suite w/volume ceiling &amp; 2 walk-in closets w/cstm closet org system. Walk-in closets in BR 2,3,4. Huge fenced backyard w/paver brk patio.</t>
  </si>
  <si>
    <t>TV-Cable, Ceiling Fan</t>
  </si>
  <si>
    <t>Exercise Room, Foyer, Loft, Office, Recreation Room</t>
  </si>
  <si>
    <t>20X6</t>
  </si>
  <si>
    <t>Please call 855-746-9100 4 hr notice</t>
  </si>
  <si>
    <t>Please use 6.0 Contract</t>
  </si>
  <si>
    <t>Julie</t>
  </si>
  <si>
    <t>I88 2 ORCHARD S 2 RT 30W 2 DICKSON 2 Julie</t>
  </si>
  <si>
    <t>Huntington Chase</t>
  </si>
  <si>
    <t>FOXRIDGE</t>
  </si>
  <si>
    <t>201X97X106X195X70</t>
  </si>
  <si>
    <t>This large home is in excellent condition, and is tastefully decorated. Hardwood Floors throughout first level. Lg rooms flow together nicely. Gourmet kitchen with Granite Counter tops and island.Unbelievable large backyard w Deck off Breakfast area. Formal Dining Rm and Living Rm, Master suite is enormous! Convenient Washer Dryer on 2nd Level, All bedrooms are really large with great closet space. Tandem 3car Garage</t>
  </si>
  <si>
    <t>Jason Palermo</t>
  </si>
  <si>
    <t>email la</t>
  </si>
  <si>
    <t>Cloud Croft</t>
  </si>
  <si>
    <t>Rt 30 &amp; Dickson rd // Dickson Rd (South) to Foster Dr (West) to Cloud Croft Ct (West) to home</t>
  </si>
  <si>
    <t>5,200 SQ FT</t>
  </si>
  <si>
    <t>Beautiful 2-story home located on a quiet, picture-esque cull-de-sac. Large master bedroom with walk-in closet and soothing, full master bathroom. Large kitchen opens to dining room. 1st floor laundry conveniently located next to the kitchen. 2nd level features 4 oversized bedrooms and full bathroom. EQUAL HOUSING OPPORTUNITY</t>
  </si>
  <si>
    <t>Christian Chase</t>
  </si>
  <si>
    <t>FAX 630-701-1030</t>
  </si>
  <si>
    <t>Lockbox on front door. BID GO TO www.OforiREO.com NAID# REGISTRATION  www.HUDHomeStore.com  FHA Uninsured (UI) SOLD AS-IS CASE# 137-428279 SQ FT 1881 HUD HOTLINE 630-701-1798  UP TO 3% CC. $100.00 DOWN PYMT (See Over Bid Rules)</t>
  </si>
  <si>
    <t>West on Armitage, South on Mozart</t>
  </si>
  <si>
    <t>4 bedroom, 3.5 bathroom home built with sustainable &amp; functional living in mind just steps from the Bloomingdale Trail. Sunny and spacious floorplan with custom kitchen, spa-caliber bathroom, fully upgraded with wet bar, built in desk area, surround sound. Energy efficient appliances, tankless water heater, low-flow fixtures &amp; modern finishes with touches of â€œgreenâ€_x009d_ throughout. 2 car garage with roof deck &amp; yard!</t>
  </si>
  <si>
    <t>34X17</t>
  </si>
  <si>
    <t>Oven/Range, Microwave, Dishwasher, Refrigerator, Freezer, Disposal, All Stainless Steel Kitchen Appliances</t>
  </si>
  <si>
    <t>Kelly Parker</t>
  </si>
  <si>
    <t>Contact listing agent</t>
  </si>
  <si>
    <t>Sold before print. *Photos are from previous model, layout and style of finishes is nearly identical.</t>
  </si>
  <si>
    <t>KOMENSKY</t>
  </si>
  <si>
    <t>PULASKI TO 65TH KOMENSKY 1/2 BLK WEST TO KOMENSKY N TO 6447</t>
  </si>
  <si>
    <t>BRING OFFERS PROPERTY IN SOUTH WEST HOME EQUITY ASSURANCE PLAN. EXCELLENT CONDITION 4 BEDROOM 2.5 BATH BRICK CAPE COD. MAIN LEVEL ADDITION USED AS DINING ROOM HAS PATIO DOORS TO DECK. FULL FINISHED BASEMENT WITH FULL BATH. HARDWOOD FLOORS, MAIN LEVEL LIV RM &amp; BEDRMS. GFA HEAT WITH NEWER C/A UNIT. NEWER GARAGE W PARTY DOOR TO YARD. NEW ROOF 2013/NEW FRONT WINDOWS AND PATIO DOORS 2013!</t>
  </si>
  <si>
    <t>(773) 847-5100</t>
  </si>
  <si>
    <t>Bill Erdman, SFR</t>
  </si>
  <si>
    <t>(773) 315-5101</t>
  </si>
  <si>
    <t>Call Listing Agent or Text 773-315-5101  24 Hours Notice</t>
  </si>
  <si>
    <t>PROPERTY IS IN THE SOUTHWEST HOME EQUITY ASSURANCE PLAN...NEW APPRAISAL HAS BEEN ORDERED. BRING REASONABLE OFFERS AND THEY WILL BE SUBMITTED FOR APPROVAL UP TO 7 DAYS FOR RESPONSE. EM CERTIFIED FUNDS</t>
  </si>
  <si>
    <t>PLEASANT PLAINS</t>
  </si>
  <si>
    <t>Rt 64 West of Randall to Campton Hills Rd to Tower Hill Rd to Pleasant Plains Rd</t>
  </si>
  <si>
    <t>TRADITIONS AT HARVEST HILLS</t>
  </si>
  <si>
    <t>BAKER</t>
  </si>
  <si>
    <t>7516 SQ FT</t>
  </si>
  <si>
    <t>START PACKING! This beautiful four bedroom home with finished basement is priced to sell! Fully applianced Kitchen features 42" cabinets, solid surface countertops, island and stainless steel stove and microwave! High end washer and dryer stay! Nearby shopping and restaurants! Close to Otter Cove Water Park and so much more! Too much to list so make your appointment to see this home, before it's too late!</t>
  </si>
  <si>
    <t>Patio, Porch, Pool Above Ground</t>
  </si>
  <si>
    <t>24X21</t>
  </si>
  <si>
    <t>2.5 -$200 (on Net SP)</t>
  </si>
  <si>
    <t>Christopher Bishop</t>
  </si>
  <si>
    <t>(630) 750-9255</t>
  </si>
  <si>
    <t>Muzi</t>
  </si>
  <si>
    <t>2 Hour notice is appreciated. Thank you!</t>
  </si>
  <si>
    <t>55th</t>
  </si>
  <si>
    <t>Take 55th St to property.</t>
  </si>
  <si>
    <t>37X125</t>
  </si>
  <si>
    <t>Brick bungalow with drive way.</t>
  </si>
  <si>
    <t>47X21</t>
  </si>
  <si>
    <t>Carlos Patino</t>
  </si>
  <si>
    <t>(773) 818-9779</t>
  </si>
  <si>
    <t>Earnest Money in CERTIFIED FUNDS only made payable to Chicago Title</t>
  </si>
  <si>
    <t>3N984</t>
  </si>
  <si>
    <t>Walt Whitman</t>
  </si>
  <si>
    <t>Rt. 64 to Fox Mill Blvd to Walt Whitman</t>
  </si>
  <si>
    <t>The exquisite exterior on this custom home is brick &amp; stone w/detailed siding accents.It features a two story foyer w/iron staircase. There are two 92% efficiency 3 zone furnaces,two air conditioning units &amp; water heater.  This home features 3916 sq ft of living space w/9 ft 1st floors, 4 BDR &amp; 3.5 BA. This home includes a large fam rm w/masonry fp open to the spacious breakfast area &amp; kitchen.</t>
  </si>
  <si>
    <t>Refer to Co-lister Chris Lobrillo</t>
  </si>
  <si>
    <t>Full EM must be in cert funds &amp; due at time of accept. To learn more about builder's custom homes at www.sebernhomes.com.Builder reserves the right to modify elevations, floor plans,&amp; spec w/o notice.Contact co-lister lobrillo@kombrink.com</t>
  </si>
  <si>
    <t>OAKDALE</t>
  </si>
  <si>
    <t>RACINE TO OAKDALE, WEST TO PROPERTY</t>
  </si>
  <si>
    <t>25'X122'</t>
  </si>
  <si>
    <t>SUNNY, SPACIOUS HOME WITH CLASSY BLEND OF ORIGINAL CHARACTER &amp; NEW UPDATES. NEWER EAT-IN KITCHEN W/DEN AND BREAKFAST NOOK, WOOD-BURNING FIREPLACE IN LR, FORMAL DR, 1ST FLOOR OFFICE/LIBRARY. LARGE DECK AND YARD W/PERENNIALS. 3 BEDROOMS &amp; 2 BATHS UPSTAIRS, 4TH BEDROOM, FULL BATH, LARGE FAMILY ROOM, AND LAUNDRY IN LOWER LEVEL. ZONED HVAC, NEW ROOF SHINGLES AND WINDOWS. WALK TO BROWN LINE, SOUTHPORT, BLUE PARK, AGASSIZ.</t>
  </si>
  <si>
    <t>AGASSIZ ELEMENTARY SCHOOL</t>
  </si>
  <si>
    <t>28X19</t>
  </si>
  <si>
    <t>Breakfast Room, Den, Deck, Office, Storage, Walk In Closet</t>
  </si>
  <si>
    <t>Matt Shrake</t>
  </si>
  <si>
    <t>(773) 294-2667</t>
  </si>
  <si>
    <t>PLEASE USE Showing Assist</t>
  </si>
  <si>
    <t>FROM MICHIGAN AVE, EAST ON 105TH ST, SOUTH ON EDBROOKE AVE TO SUBJECT PROPERTY</t>
  </si>
  <si>
    <t>Property is Neighborhood Lending Services REO. New construction, built in last 10 years. Just needs a little TLC. Close to Michigan Ave, Metra, Walmart, and Bishop Ford Fwy. Sold As-Is. No Survey/No Disclosures. Buyer to verify room size/count. Proof of funds with all offers.</t>
  </si>
  <si>
    <t>Off Alley, Off Street</t>
  </si>
  <si>
    <t>2.5% OR $1000 MIN (on Net SP)</t>
  </si>
  <si>
    <t>NHSRC Initiatives Inc</t>
  </si>
  <si>
    <t>(773) 568-1020</t>
  </si>
  <si>
    <t>David Dinoff</t>
  </si>
  <si>
    <t>(773) 341-3178</t>
  </si>
  <si>
    <t>use ShowingAssist</t>
  </si>
  <si>
    <t>Neighborhood Lending Services</t>
  </si>
  <si>
    <t>Sold as-is. No disclosures or survey. Proof of funds required. Earnest money must be certified funds. Taxes pro-rated 100%. Will not turn on power/water for inspection. Highest and best due 5pm 1/16/2015.</t>
  </si>
  <si>
    <t>Troy</t>
  </si>
  <si>
    <t>Irving Park to Troy, south to Address</t>
  </si>
  <si>
    <t>Property is now under auction terms.    Offer has been accepted by Auction company</t>
  </si>
  <si>
    <t>Alice Jennett, CRS,GRI</t>
  </si>
  <si>
    <t>(312) 759-0163</t>
  </si>
  <si>
    <t>Auction terms apply</t>
  </si>
  <si>
    <t>email only; ajennett@koenigrubloff.com. leave ALL agent info - date  24 hrs to confirm</t>
  </si>
  <si>
    <t>Citimortgage, Inc</t>
  </si>
  <si>
    <t>This property is now under auction terms. Presale offers should be submitted through Bid Now at www.hudsonandmarshall.com. Commission paid at escrow on auction properties is a minimum of 2% to the cooperating broker. There is not a set mini</t>
  </si>
  <si>
    <t>3rd</t>
  </si>
  <si>
    <t>3rd St. is on west side of river. Anderson Blvd. in Geneva  becomes 3rd st. in St. Charles.</t>
  </si>
  <si>
    <t>What a great family home! Location - walking distance to town w/all the shops, restaurants, bike paths, river! Original hardwood flooring/woodwork in top condition. 2 newly redone baths. Huge garage that is heated + skylights...a guy's dream. Lovely pond for  summer enjoyment. Big surprise is huge 4th bedroom on 3rd flr. or  playroom, office + loads of storage. Lovely park a few feet away. Beautifully maintained!</t>
  </si>
  <si>
    <t>Corner, Fenced Yard, Pond</t>
  </si>
  <si>
    <t>Foyer, Screened Porch</t>
  </si>
  <si>
    <t>Heated, 7 Foot or more high garage door</t>
  </si>
  <si>
    <t>9X20</t>
  </si>
  <si>
    <t>Kathy Robertson</t>
  </si>
  <si>
    <t>(630) 386-2900</t>
  </si>
  <si>
    <t>Easy to show. Do not close door on front porch if you go out there. It does not open from the outside. Entrance to garage  is side door by pond. Do not lock. New stucco applied 2009 for $16K. Pls. remove shoes. LBX located on back door.</t>
  </si>
  <si>
    <t>Honore</t>
  </si>
  <si>
    <t>87ST TO 1900 WEST SOUTH TO ADDRESS</t>
  </si>
  <si>
    <t>Auburn Gresham has a new rehabbed home! This beauty offers 4 bedrooms (1 below level), full finished basement, hardwood floors, granite countertops, stainless steel appliances &amp; so much more to list. The seller has designed this home for a Gracious &amp; Healthy Lifestyle! Schedule your appt. today!</t>
  </si>
  <si>
    <t>Dormer, Finished</t>
  </si>
  <si>
    <t>2.5% - $100 (ON NET SP) (on Net SP)</t>
  </si>
  <si>
    <t>Veronica Cepeda, ABR,BPOR,e-PRO,SFR</t>
  </si>
  <si>
    <t>(708) 655-8800</t>
  </si>
  <si>
    <t>Click on link below.</t>
  </si>
  <si>
    <t>CURRENTLY UNDER CONTRACT BUT IN PROCESS OF CANCELATION, BUYER DID NOT QUALIFY FOR THE LOAN.</t>
  </si>
  <si>
    <t>SPRINGFIELD</t>
  </si>
  <si>
    <t>IRVING PARK ROAD @ 4000N TO SPRINGFIELD @ 3900W, THEN NORTH TO 4038</t>
  </si>
  <si>
    <t>36 X 128</t>
  </si>
  <si>
    <t>OPPORTUNITY IN WEST WALKER/INDEPENDENCE PARK - BELDING SCHOOL! HOME HAS BEAUTIFUL NATURAL TRIM, HARDWOOD FLOORS THROUGHOUT &amp; AN EXTRA WIDE LOT! JUST 1/2 A BLOCK FROM INDEPENDENCE PARK ITSELF! EAT-IN KITCHEN OPENS TO A SMALL DECK, GREAT PATIO AND GARDEN AREA AND GRASSY YARD NEXT TO THE TWO CAR GARAGE. ENJOY CHICAGO'S SEASONS WHILE RELAXING ON THE ENCLOSED FRONT PORCH. JUST 2 BLOCKS TO METRA, BLUE LINE &amp; 90/94 ACCESS!</t>
  </si>
  <si>
    <t>BELDING ELEMENTARY SCHOOL</t>
  </si>
  <si>
    <t>Park/Playground, Pool, Tennis Courts, Curbs/Gutters, Sidewalks, Street Paved</t>
  </si>
  <si>
    <t>Frame, Other</t>
  </si>
  <si>
    <t>Patio, Porch, Porch Screened, Storms/Screens</t>
  </si>
  <si>
    <t>Keller Williams Rlty Partners</t>
  </si>
  <si>
    <t>Tom Brandt, CRS</t>
  </si>
  <si>
    <t>(773) 230-6997</t>
  </si>
  <si>
    <t>CALL/TEXT TOM'S CELL, 773-230-6997, W/ NAME, ID, AND TIME - SOME NOTICE PREFERRED</t>
  </si>
  <si>
    <t>BASEMENT BEDROOM CURRENTLY USED AS HOME OFFICE AND BASEMENT REC ROOM BEING USED FOR STORAGE. 3RD BR ON 2ND FLOOR HAS HAD WALL OPENED AND IS USED AS A SITTING ROOM - RESTORE WALL FOR THIRD BR USE.</t>
  </si>
  <si>
    <t>Secretariat</t>
  </si>
  <si>
    <t>I-88 2 ORCHARD S 2 RT30 W 1 1/2 MI 2 GORDON L 2 Secretariat</t>
  </si>
  <si>
    <t>BARCLAY</t>
  </si>
  <si>
    <t>77X130</t>
  </si>
  <si>
    <t>Gorgeous Barclay Model. 2687 Sq Ft 4 Bedroom with a den. 2-Story Foyer w/oak rails, central air, garden Master Bath w/sep shower w/ceramic tile. Hardwood Floors, island kitchen upgraded cabs &amp; Stainless appl, bkfast bar, large eating area opens to the family Rm, formal living &amp; Dining Room with built ins. Study with built ins. Professionally landscaped yard, paver patio, 3-car garage. Many more upgrades, a must see!</t>
  </si>
  <si>
    <t>Jed Parish</t>
  </si>
  <si>
    <t>630-688-6672</t>
  </si>
  <si>
    <t>Call CSS for all showings 877-977-1010</t>
  </si>
  <si>
    <t>This is the cleanest home I have ever listed. The home is spotless. You will not be disappointed showing this home. MUST REMOVE SHOES showing this home. Floor plan, survey, upgrades and landscape plans in additional information.</t>
  </si>
  <si>
    <t>127th to Yale north to property</t>
  </si>
  <si>
    <t>Gorgeous 3+1 Bedroom/ 2 bath home.  Features include new hardwood floors, new windows, new kitchen with stainless steel appliances, new bathrooms, new furnace, A/C, fixtures ..... TOO MANY TO NAME!  Beautiful touches throughout... A MUST SEE!!!!</t>
  </si>
  <si>
    <t>Ursula Shine</t>
  </si>
  <si>
    <t>(708) 655-4751</t>
  </si>
  <si>
    <t>Text 708-655-4751; short notice is ok</t>
  </si>
  <si>
    <t>Agent Remarks:  Very nice home, bring your clients!!!  SELLER WILL GIVE SELLING AGENT $1000 BONUS WITH APPROVED OFFER THAT CLOSE! BRING ALL CLIENTS! VERY BEAUTIFUL HOME  ***MULTIPLE OFFERS*** HIGHEST AND BEST DUE MONDAY, MARCH 9TH AT 3PM!</t>
  </si>
  <si>
    <t>Foxpointe</t>
  </si>
  <si>
    <t>DeKalb Avenue (Rt 23) - south on Foxpointe Drive (near corner of Hathaway)</t>
  </si>
  <si>
    <t>78 X 120</t>
  </si>
  <si>
    <t>Expect to be impressed in this FOXPOINTE Beauty. Fantastic curb appeal w/ wrap around front porch. 4 BR~2.5 BA built by Carlos Woolbright. Formal LR &amp; DR. Open kitchen, dining &amp; FR w/WB fireplace. Rear deck great for grilling off bayed dining.  2nd floor boasts vaulted master suite w/extra large/deep whirlpool tub. New carpeting, newer appliances, lighting, &amp; ceiling paint. Full basement, 2 car garage. MUST SEE HOME!</t>
  </si>
  <si>
    <t>Humidifier, Sump Pump</t>
  </si>
  <si>
    <t>Call listing office. Seller Confirmation Required</t>
  </si>
  <si>
    <t>Exterior updated with newer Architectural roof (2010), Vinyl siding, HIGH EFFICIENCY windows (2012). Furnace (2006) and water heater (2011). New carpeting, bath counter tops and faucets (2014) and rear deck rebuilt/stained (2014)</t>
  </si>
  <si>
    <t>59th west to hermitage</t>
  </si>
  <si>
    <t>4 bed 2 bath home with tons of potential. Priced to sell. Buyer to verify room counts and dimensions.</t>
  </si>
  <si>
    <t>$1000 FLAT (on Gross SP)</t>
  </si>
  <si>
    <t>APA Realty</t>
  </si>
  <si>
    <t>(708) 213-7944</t>
  </si>
  <si>
    <t>Angela Howard</t>
  </si>
  <si>
    <t>call / text or email angie 773-562-6590</t>
  </si>
  <si>
    <t>Western to Addison, West to 2418</t>
  </si>
  <si>
    <t>NONE</t>
  </si>
  <si>
    <t>Spectacular 4 Bed 3 1/2 Bath New Construction Single Family Home in the Bell School District! Elegant Transitional Interior, Wide, Expansive, Dramatic yet Practical Floor Plan. Raised Panel Cabinetry, Quartz, Porcelain Tile &amp; Mosaic, Thermador Appliances, Rich Stained Floors, Fireplace, Main Floor Great Room, Resort Caliber Master Suite, Audio Prewire, Zoned HVAC, Full Finished Rooftop Deck- Delivery Late Dec 2014!</t>
  </si>
  <si>
    <t>Email karen@ncgchicago.com</t>
  </si>
  <si>
    <t>00N300</t>
  </si>
  <si>
    <t>Il Route 47</t>
  </si>
  <si>
    <t>WEST SIDE OF RTE 47, SOUTH OF KESLINGER ROAD</t>
  </si>
  <si>
    <t>150 X 400</t>
  </si>
  <si>
    <t>Large 4 bdrm // 3 bath home on 1.5 acres.  Home features formal living &amp; dining rooms, first floor den, partially finished basement, fireplace, 2 story foyer, 2 car garage and 3500+ finished living area.  Spacious kitchen, family room, bedrooms, and master bath.  List price reflects AS-IS sale.</t>
  </si>
  <si>
    <t>Michael Zwemke</t>
  </si>
  <si>
    <t>(224) 201-0884</t>
  </si>
  <si>
    <t>Property in need of cosmetic renovations.  Contact agent Mike Zwemke 224-201-0884. H&amp;B offer by 01/20/2015 4pm</t>
  </si>
  <si>
    <t>LAKEVIEW</t>
  </si>
  <si>
    <t>RTE 59 TO ANDERSON RD TO LAKELAND, RIGHT AT FORK</t>
  </si>
  <si>
    <t>LAKELAND ESTATES</t>
  </si>
  <si>
    <t>WAUCONDA</t>
  </si>
  <si>
    <t>125X356X160X401</t>
  </si>
  <si>
    <t>PREMIUM LAKE LIFESTYLE! SWIM, FISH, BOAT &amp; RELAX! UPGRADES GALORE INCL NEW ROOF, FRESH PAINT &amp; MORE. FOY OPENS TO GRT ROOM W/GAS LOG FP &amp; VAULTED DEN. UPGRADED XL EAT-IN KIT W/NEW GRANITE CTOPS;EAS OPENS TO DECK.FORMAL DR. CEDAR SCRN PORCH W/WATER VIEW.1ST FL 1/2 BA &amp; LNDRY.MSTR STE W/WIC &amp; PVT BA W/WRLPOOl+3 BRS W/HALL BA ON 2ND LVL; 1BR/OFFICE W/PVT EXT ACCESS!FULL FIN ENG BSMT W/NEW CPT. 2+ C ATT GAR.</t>
  </si>
  <si>
    <t>WAUCONDA ELEMENTARY SCHOOL</t>
  </si>
  <si>
    <t>WAUCONDA MIDDLE SCHOOL</t>
  </si>
  <si>
    <t>WAUCONDA COMM HIGH SCHOOL</t>
  </si>
  <si>
    <t>Pond/Lake, Water Rights, Street Paved</t>
  </si>
  <si>
    <t>Fenced Yard, Landscaped Professionally, Water Rights, Water View</t>
  </si>
  <si>
    <t>Humidifier, Water-Softener Owned, Security System, Ceiling Fan, Sump Pump, Air Cleaner</t>
  </si>
  <si>
    <t>Den, Foyer, Great Room, Recreation Room, Screened Porch</t>
  </si>
  <si>
    <t>RE/MAX Top Performers</t>
  </si>
  <si>
    <t>(847) 295-0800</t>
  </si>
  <si>
    <t>Jane Lee, ABR,CRS,GRI</t>
  </si>
  <si>
    <t>(847) 668-3294</t>
  </si>
  <si>
    <t>847-668-3294 DIRECT</t>
  </si>
  <si>
    <t>CALL LO AT 847-295-0800 FOR INSTRUCTIONS. PLEASE REMOVE SHOES/LEAVE CARD</t>
  </si>
  <si>
    <t>DISCLOSURES IN MLS</t>
  </si>
  <si>
    <t>Irving Park to Kilbourn. South on Kilbourn to Property.</t>
  </si>
  <si>
    <t>47 X 150</t>
  </si>
  <si>
    <t>Charming 4Bed/2Bath SFH in Irving Park.Updated Kitchen Features Granite Counters, SS appls &amp; Custom Cabinets. Impressive details like 2 Decorative FP, HDWD Floors Throughout &amp; Exposed Brick. 2nd Level Includes 4 Spacious Bedrooms. Spa Like Bath Boasts Sep. Steam Shower &amp; Stand-Alone Tub. An Unfinished Attic Offers Tons of Potential w/ Interior Stairs. Full Partially Finished Bsmt. Large Deck &amp; Fenced Backyard.</t>
  </si>
  <si>
    <t>Separate Shower, Steam Shower, Double Sink, Soaking Tub</t>
  </si>
  <si>
    <t>Attic, Deck, Recreation Room, Workroom</t>
  </si>
  <si>
    <t>25X33</t>
  </si>
  <si>
    <t>06X29</t>
  </si>
  <si>
    <t>16X26</t>
  </si>
  <si>
    <t>07X12</t>
  </si>
  <si>
    <t>Leigh Marcus</t>
  </si>
  <si>
    <t>(312) 447-6741</t>
  </si>
  <si>
    <t>To Schedule a Showing a TEXT JC 773-647-7564. 24 Hours Notice Please</t>
  </si>
  <si>
    <t>Roof, Soffit, Facia and Gutters were replaced in the fall of 2013. The roof was a complete tear off.</t>
  </si>
  <si>
    <t>55TH ST. TO KEELER, SOUTH TO ADDRESS.</t>
  </si>
  <si>
    <t>Long</t>
  </si>
  <si>
    <t>Central Ave to Augusta East to Long (on corner).</t>
  </si>
  <si>
    <t>140X25</t>
  </si>
  <si>
    <t>Must see. To many updates to list. Great rehab W/3 bdrms, 3 baths, large size Living Rm and open kitchen w/stainless steel appliances, granite counter tops. Updates include electric, plumbing, hardwood floors, windows, roof, furnace and water heater. Finished basement with laundry, 1 bedrm, and rec area. Brand new 2.5 car corner side garage.</t>
  </si>
  <si>
    <t>Frame, Stucco</t>
  </si>
  <si>
    <t>Hardwood Floors, Wood Laminate Floors, 1st Floor Bedroom</t>
  </si>
  <si>
    <t>EHomes Realty, Ltd</t>
  </si>
  <si>
    <t>(773) 392-5741</t>
  </si>
  <si>
    <t>Martin Rojas</t>
  </si>
  <si>
    <t>(773) 620-2976</t>
  </si>
  <si>
    <t>24 hrs notice - Call L/A (773)620-2976</t>
  </si>
  <si>
    <t>north or south bound on Pulaski Rd. to west bound Iowa to Kolin</t>
  </si>
  <si>
    <t>PROPERTY SOLD â€œAS ISâ€_x009d_ WITHOUT WARRANTY, REPAIR OR SELLER DISCLOSURE. â€œSELLER WILL NOT PAY ANY INSPECTION FEES, ACTIVATE ANY UTILTIES, NO SURVEYSâ€_x009d_ Listing Broker &amp; Seller assume no responsibility &amp; make no guarantees/warranties or representations as to the availability or accuracy of the property information, photographs or other information depicted/described herein. *SEE CITY WEBSITE*BUYER HAS TO ASSUME ANY &amp; ALL CO</t>
  </si>
  <si>
    <t>3% OR $1000 MIN (ON GROSS SP) (on Gross SP)</t>
  </si>
  <si>
    <t>Jabez Realty &amp; Construction Inc</t>
  </si>
  <si>
    <t>(773) 261-7500</t>
  </si>
  <si>
    <t>Helen Terrell</t>
  </si>
  <si>
    <t>All offers will be considered. Email all offers to jabezrealty@att.net along with proof of funds.   EARNEST MONEY will be held by sellers closing attorney; certified cashierâ€™s check only**  Buyer MUST PAY any &amp; all inspection fees</t>
  </si>
  <si>
    <t>Silver Charm</t>
  </si>
  <si>
    <t>RT 30 TO GORDON L/SECRETARIAT L WHITE ROSE R TO SILVER C</t>
  </si>
  <si>
    <t>PRIMROSE</t>
  </si>
  <si>
    <t>82X126</t>
  </si>
  <si>
    <t>GREAT LOCATION! ELEGANT PRIMROSE MODEL PROFESSIONALLY DECORATED &amp; LANDSCAPED. FEATURING BRICK ELEVATION, FABULOUS 2-STORY FOYER, 9' FIRST FLOOR CEILINGS, VERY LARGE KITCHEN WITH FAMILY ROOM, GREAT RM WITH EAT-IN AREA &amp; FORMAL DINING, LARGE MASTER SUITE W/ LUXURY BATH, 1ST FLOOR STUDY, VERY SPACIOUS LOFT, WALK-IN CLOSETS IN ALL BDRMS, 3 CAR GARAGE, FULL  BASEMENT &amp; A FENCED YARD WITH BRAND NEW DECK! OSWEGO SCHOOLS</t>
  </si>
  <si>
    <t>27X19</t>
  </si>
  <si>
    <t>Oven/Range, Dishwasher, Washer, Dryer, Disposal</t>
  </si>
  <si>
    <t>Faith Staudenbaur, CNC,SFR</t>
  </si>
  <si>
    <t>(630) 264-6114</t>
  </si>
  <si>
    <t>630-853-8755</t>
  </si>
  <si>
    <t>please Text 630 853 8755,</t>
  </si>
  <si>
    <t>Outstanding Beautiful Home!!Basket Ball hoop will be remove at the closing.</t>
  </si>
  <si>
    <t>Roscoe</t>
  </si>
  <si>
    <t>Belmont or Addison West to Kilbourn, East to site</t>
  </si>
  <si>
    <t>LOVELY HOME ON OVERSIZED LOT OVERLOOKING PARK. GREAT LOOKING HARDWOOD FLOORS, STAINED GLASS, EAT IN KITCHEN, MUD ROOM, WALK IN PANTRY, FULL FINISHED BASEMENT WITH NEWLY CARPETED FAMILY ROOM, FULL ATTIC FOR EXPANSION, DECK, HUGE YARD-MOVE IN CONDITION.</t>
  </si>
  <si>
    <t>2.5% -175 (on Gross SP)</t>
  </si>
  <si>
    <t>Raminder Chadha</t>
  </si>
  <si>
    <t>(773) 531-3388</t>
  </si>
  <si>
    <t>Text/Call agent at 773.531.3388</t>
  </si>
  <si>
    <t>ONE BLOCK N FROM IRVING PK RD ON KIMBALL EAST ON CUYLER</t>
  </si>
  <si>
    <t>Beautiful like new construction home. Contemporary 4BR/3.1 BA . Wide open flr plan. State of the art lighting. modern design with cathedral ceilings. Full sized FR w/fireplace &amp; direct access to deck. Dbl kitchen cabinets, oversized island, quartz countertop, top of the line appls. Hand scrapped hardwd floor. Spacious Master Suite w/2 wlk-in closets &amp; luxuries Spa Bath. 3500 sqf w/fully finished bsmt -bar&amp;media</t>
  </si>
  <si>
    <t>Roosevelt High School</t>
  </si>
  <si>
    <t>Sidewalks</t>
  </si>
  <si>
    <t>Microwave, Dishwasher, Refrigerator, Refrigerator-Bar, Disposal, All Stainless Steel Kitchen Appliances, Wine Cooler/Refrigerator</t>
  </si>
  <si>
    <t>Separate Shower, Double Sink, European Shower, Soaking Tub</t>
  </si>
  <si>
    <t>Chicago Brokers Corp.</t>
  </si>
  <si>
    <t>(773) 205-6060</t>
  </si>
  <si>
    <t>Elizabeth Stolarczuk</t>
  </si>
  <si>
    <t>(847) 767-7578</t>
  </si>
  <si>
    <t>CALL/TEXT ELIZABETH 847/767-7578</t>
  </si>
  <si>
    <t>Western, just south of Belmont,  to Fletcher west to home</t>
  </si>
  <si>
    <t>24X117</t>
  </si>
  <si>
    <t>New Const in Roscoe Village! Top Class finishes &amp; custom millwork, cabs &amp; closets thru out. Valuable upgrades thruout. Gourmet kitch (Viking &amp; Bosch) brkfst bar &amp; table space w/ lighted accent cabs. Luxury mstr suite w/ top class mstr bth (Jaczi, sep seated steam shower, dual sink, htd flrs, etc). LL rec rm w/ wet bar &amp; radiant heat ready. Prewir for sound. Large brk paved patio. Gar rooftop ready. Great opportunity</t>
  </si>
  <si>
    <t>Bar, Foyer, Recreation Room</t>
  </si>
  <si>
    <t>Eileen Marie O'Grady</t>
  </si>
  <si>
    <t>(773) 406-2216</t>
  </si>
  <si>
    <t>773-406-2216</t>
  </si>
  <si>
    <t>Use Showing Assist. Listing Agent to Accompany</t>
  </si>
  <si>
    <t>Great House ! Agent May Accompany. Pics of Previous Job, but nearly identical home.</t>
  </si>
  <si>
    <t>Navajo</t>
  </si>
  <si>
    <t>NORTH OF CALDWELL, EAST OF CENTRAL</t>
  </si>
  <si>
    <t>ARCHITECTURALLY SIGNIFICANT CUSTOM BLT CONTEMPORARY STYLE HOME MODELED AFTER THE FRANK LLOYD WRIGHT ROBIE HOME LOCATED IN SOUGHT AFTER EDGEBROOK*ELEGANT LV RM HAS VAULTED CEILINGS &amp; FRPLC THAT OPENS TO BOTH LV RM &amp; FRML DINING RM*SPECTACULAR WOODWK, GLASS BLOCK,EXPOSED BRICK &amp; HDWD FLS THRU-OUT*STUNNING KITCHEN WITH ALL THE BELLS AND WHISTLES*MASTER SUITE WITH WALK IN CLOSET AND RECENTLY REMOLDED MASTER BATH*MUST SEE</t>
  </si>
  <si>
    <t>EDGEBROOK ELEMENTARY SCHOOL</t>
  </si>
  <si>
    <t>Humidifier, TV-Cable, TV-Dish, Security System, Intercom, CO Detectors, Ceiling Fan, Sump Pump</t>
  </si>
  <si>
    <t>Vaulted/Cathedral Ceilings, Bar-Wet, Hardwood Floors, Heated Floors</t>
  </si>
  <si>
    <t>Deck, Storms/Screens, Outdoor Fireplace</t>
  </si>
  <si>
    <t>See through/Multi Sided</t>
  </si>
  <si>
    <t>Heated</t>
  </si>
  <si>
    <t>Nicole Flores</t>
  </si>
  <si>
    <t>(773) 467-3369</t>
  </si>
  <si>
    <t>Call or Text Nicole: 773-816-9264</t>
  </si>
  <si>
    <t>WALNUT</t>
  </si>
  <si>
    <t>RT 72 TO PEARL S TO FORREST TO WALNUT</t>
  </si>
  <si>
    <t>73 X 120</t>
  </si>
  <si>
    <t>TAKE ADVANTAGE OF RENOVATION IN PROGRESS TO REALIZE THE HOME OF YOUR DREAMS! MAIN LEVEL TRANSFORMED WITH BAMBOO HARDWOOD FLOORING, 6-PANEL DOORS, GRANITE COUNTERTOPS, CUSTOM CABINETRY AND NEW APPLIANCES! SPARKLING! FULLY FENCED YARD. INSULATED GARAGE WITH INTERIOR AND EXTERIOR DOG RUNS. FOUR FULL BEDROOMS W/ SPACIOUS MASTER SUITE! LOCATED EQUIDISTANT FROM DEKALB AND ROCKFORD. LOADS OF HOME TASTEFULLY PRESENTED. COME!</t>
  </si>
  <si>
    <t>Eating Area-Breakfast Bar, Eating Area-Table Space, Island, Pantry-Closet, Pantry-Walk-in</t>
  </si>
  <si>
    <t>Dog Run &amp;/or Invisible Fence</t>
  </si>
  <si>
    <t>2.5-$295 (on Gross SP)</t>
  </si>
  <si>
    <t>(815) 444-6100</t>
  </si>
  <si>
    <t>Tyler Lewke</t>
  </si>
  <si>
    <t>(815) 444-6790</t>
  </si>
  <si>
    <t>PLEASE CALL 866-852-8313 TO SCHEDULE A SHOWING</t>
  </si>
  <si>
    <t>GARAGE HAS WALL OF WORKROOM CABINETS THAT CAN BE REMOVED WITH CONTRACT TO FACILITATE 2-CAR. GARAGE ALSO HAS INTERIOR DOG-RUN WITH ACCESS TO EXTERIOR RUN.</t>
  </si>
  <si>
    <t>Ilehamwood</t>
  </si>
  <si>
    <t>First St. W on Ilehamwood to end of block</t>
  </si>
  <si>
    <t>27.42X73.42X89X150.52X139.33</t>
  </si>
  <si>
    <t>Architecturally striking open floor plan, floor-to-ceiling fireplace, wall of windows with sliding glass door opening on to a layered deck.  Upstairs hallway to bedrooms  even looks over great room.  Kitchen and baths with marble countertops.   Finished walk-out basement with sliding doors to cozy patio.</t>
  </si>
  <si>
    <t>Humidifier, Water-Softener Owned, TV Antenna, Ceiling Fan, Sump Pump</t>
  </si>
  <si>
    <t>Linda Tillis</t>
  </si>
  <si>
    <t>(815) 751-3159</t>
  </si>
  <si>
    <t>Call Listing Office Must Have Confirmation</t>
  </si>
  <si>
    <t>2 furnaces, 2 air conditioner units</t>
  </si>
  <si>
    <t>Westlake</t>
  </si>
  <si>
    <t>Prairie Valley to Shepherd to Westlake</t>
  </si>
  <si>
    <t>Prairie Valley</t>
  </si>
  <si>
    <t>This is a homeowner's dream! Completely redone custom home! All new flooring, w/elegant trim finishes. Remodeled kitchen w/granite, opens to warm family room &amp; overlooks gorgeous, private, fenced bkyd.w/trees &amp; prof. ldscaping. Study features built in desk, wainscoting, crown moulding. Newer carpet. Master suite with vltd.ceiling, and lux. mstr. bath. Custom staircase w/iron balusters. Quiet street. Walk to school.</t>
  </si>
  <si>
    <t>Water-Softener Owned, TV-Dish, Security System, CO Detectors, Ceiling Fan, Sump Pump</t>
  </si>
  <si>
    <t>Exercise Room, Office</t>
  </si>
  <si>
    <t>Vaulted/Cathedral Ceilings, Hot Tub, Hardwood Floors, 1st Floor Laundry</t>
  </si>
  <si>
    <t>2.5%-$150. (on Net SP)</t>
  </si>
  <si>
    <t>Kelly Durbala, SFR</t>
  </si>
  <si>
    <t>630.338.2049</t>
  </si>
  <si>
    <t>Please call 1.855.746.9100 to schedule showings. One hour notice preferred.</t>
  </si>
  <si>
    <t>Washer/dryer excluded. Window treatments are excluded in: dining room, master bedroom and kids rooms. Motivated sellers! Please use 6.0 Contract</t>
  </si>
  <si>
    <t>Campbell</t>
  </si>
  <si>
    <t>79TH ST TO CAMPBELL (2Blks West  of Western) SOUTH TO ADDRESS</t>
  </si>
  <si>
    <t>HSBC</t>
  </si>
  <si>
    <t>Paradise</t>
  </si>
  <si>
    <t>Rt 34 to Rt 71 to Paradise to Home</t>
  </si>
  <si>
    <t>Arbor Gate</t>
  </si>
  <si>
    <t>Charming 4 bedroom 2.1 bath home.  Home has dramatic 2 story family room with fireplace, spacious bedrooms, and large eat in kitchen.  Home has been rehabbed and ready to move in.  Large yard with oversized deck great for entertaining.  This is a Fannie Mae HomePath property.</t>
  </si>
  <si>
    <t>Shirley Guercio, BPOR,CNC</t>
  </si>
  <si>
    <t>(630) 302-2371</t>
  </si>
  <si>
    <t>The seller has directed that all offers on this listing be made using the HomePath Online Offer System @ the HomePath.com website." Please see attachment-MUST USE PG 8-NO PERSONAL PROPERTY INCL. EM MUST BE CERTIFIED FUNDS (10% for cash).</t>
  </si>
  <si>
    <t>Meade</t>
  </si>
  <si>
    <t>Foster to Meade South to 5014</t>
  </si>
  <si>
    <t>33 X 121</t>
  </si>
  <si>
    <t>Beautiful Brick English with Charming Front Porch, Deck and Double Dormer Addition. Enjoy 4 Beds - 3 Baths and 3 Levels of Updated Living Space. Nice Layout Feat. LR w/Fireplace, Dining Rm, Large Kitchen with Island, Lots of Cabinets &amp; SS Appls. Full Finished Basement with Theatre Set-Up, Laundry, Storage &amp; More. Great Yard &amp; Dream Garage with Office, Tool Shed, Party Door, Patio, AC, Electric &amp; Heat Incld. NEW ROOF!</t>
  </si>
  <si>
    <t>Double Sink, Full Body Spray Shower</t>
  </si>
  <si>
    <t>2.5 % - $295 (ON NET SP) (on Net SP)</t>
  </si>
  <si>
    <t>Lisa Sanders</t>
  </si>
  <si>
    <t>(773) 398-0378</t>
  </si>
  <si>
    <t>Use SA then Text Lisa 773.398.0378 NOTE: YOU WILL NOT BE CONFIRMED UNTIL YOU TEXT LISA.</t>
  </si>
  <si>
    <t>Needs Some Touch Up Paint Other than that PERFECTION. All New Water Service, Copper Plumbing &amp; HVAC (2 Systems).  Owner is an Illinois Licensed Realtor.</t>
  </si>
  <si>
    <t>McVicker</t>
  </si>
  <si>
    <t>FULLERTON TO MCVICKER, NORTH TO PROPERTY</t>
  </si>
  <si>
    <t>3630 SF</t>
  </si>
  <si>
    <t>Bank owned needs some repairs lead base paint disclosure only.  Great for investor or owner occupied.</t>
  </si>
  <si>
    <t>Eagle Realty Partners LLC</t>
  </si>
  <si>
    <t>(708) 442-1300</t>
  </si>
  <si>
    <t>Joseph Denk</t>
  </si>
  <si>
    <t>(630) 688-7116</t>
  </si>
  <si>
    <t>Call Showingtime 8007469464</t>
  </si>
  <si>
    <t>BMO Harris Bank NA</t>
  </si>
  <si>
    <t>Email offers to joe@joedenk.com</t>
  </si>
  <si>
    <t>Prairieview</t>
  </si>
  <si>
    <t>Rt. #71 to Forest to Prairieview</t>
  </si>
  <si>
    <t>Desirable Lakeview Estates. Open floor plan.  Master boasts vaulted ceiling, master bath and WIC.  Formal living and dining room. Hardwood on 1st floor. Professionally finished basement with bedroom, full bath and family room.  Windows replaced in 2012.  Fully fenced backyard.</t>
  </si>
  <si>
    <t>Microwave, Dishwasher</t>
  </si>
  <si>
    <t>Denise M Brown, CRB,CRS,GRI</t>
  </si>
  <si>
    <t>(630) 546-6099</t>
  </si>
  <si>
    <t>CALL SHOWING DESK AT 1-877-977-1010</t>
  </si>
  <si>
    <t>OAKLEY</t>
  </si>
  <si>
    <t>JUST S OF CORNER OF HURON &amp; OAKLEY</t>
  </si>
  <si>
    <t>30X110</t>
  </si>
  <si>
    <t>WALK TO CHICAGO/DIVISION &amp; ALL THAT UKRAINIAN VILLGE/WICKER PRK HAVE TO OFFER FROM THIS ALL-BRICK XTRA-WDE (22' INTERIOR) 4BD+FAM RM/3.1BA MAGZINE-CALIBR 4500 SQFT MASTERPIECE W/RARE 3BD/2BA &amp; LNDRY UP ON 30' LOT W/INCRD MULTPLE OUTDR SPCS INCL ROOF DECK,PROF LNDSCPD GRGE DECK &amp; PATIO;PROF-GRDE GRNTE/DACOR/LG KTCHN OPENS TO MASSIVE FAM RM;SPA-CALIBR BTHS T/O INCL MSTR W/SEP JET TUB &amp; O'SZD SHOWR W/SPRAYS;2-CAR GRGE!</t>
  </si>
  <si>
    <t>MITCHELL ELEMENTARY SCHOOL</t>
  </si>
  <si>
    <t>Foyer, Deck, Terrace, Walk In Closet, Utility Room-Lower Level, Recreation Room</t>
  </si>
  <si>
    <t>Deck, Patio, Roof Deck, Storms/Screens</t>
  </si>
  <si>
    <t>20X08</t>
  </si>
  <si>
    <t>22X06</t>
  </si>
  <si>
    <t>3.0%-$325 (on Net SP)</t>
  </si>
  <si>
    <t>NEW ROOF ON HOME (2014); NEW GARAGE DECK (2013);NEW CARPET (2014); NEW BAMBOO FLOORS (2012); PLS SEE VIRTUAL TOUR LINK FOR INTERACTIVE FLOORPLAN</t>
  </si>
  <si>
    <t>Hankes to Winthrop New to N Buckingham to Walnut Circle to Ashwood Ct</t>
  </si>
  <si>
    <t>112X137</t>
  </si>
  <si>
    <t>Beautiful home has been fully updated.  New Furnace, A/C, Gutters, Siding, Roof &amp; Windows!  Kitchen has granite counters, backsplash &amp; new ss appliances.  You'll love the bright sun room.  Large family has built-in bookcases flanking the fireplace.  Finished basement has half bath/possible inlaw.  Master bedroom has luxury bath with separate shower. Sprinkler system!  Prestbury is a pool, clubhouse, tennis community.</t>
  </si>
  <si>
    <t>Humidifier, Water-Softener Owned, Central Vacuum, CO Detectors, Ceiling Fan, Sump Pump, Sprinkler-Lawn</t>
  </si>
  <si>
    <t>Breakfast Room, Den, Recreation Room, Sun/Florida Room</t>
  </si>
  <si>
    <t>Wood Burning Stove, Gas Logs</t>
  </si>
  <si>
    <t>22X26</t>
  </si>
  <si>
    <t>Suzanne Rizek, CRS</t>
  </si>
  <si>
    <t>(630) 753-1397</t>
  </si>
  <si>
    <t>630-258-5389</t>
  </si>
  <si>
    <t>CALL APPOINTMENT DESK 800-977-1010</t>
  </si>
  <si>
    <t>Wayne &amp; Jackie Pauley</t>
  </si>
  <si>
    <t>Super easy to show.  Cooperative seller will take dog out for showings - even on short notice.</t>
  </si>
  <si>
    <t>Thorndale</t>
  </si>
  <si>
    <t>SCHAUMBURG RD W, WALNUT SOUTH TO THORNDALE</t>
  </si>
  <si>
    <t>FAIR OAKS</t>
  </si>
  <si>
    <t>WOW!! INCREDIBLE HOME WITH SO MUCH TO OFFER. HOME FEATURES BRAND NEW CABINETS, GRANITE COUNTER TOPS, STAINLESS STEEL APPLIANCES, CROWN MOLDING, TONS OF CANNED LIGHTING, BRAZILIAN WALNUT FLOORING, NEW TILE, NEW CARPET, COMPLETELY REMODELED BATH. NOW FOR THE EXTRAS... LARGE FOYER, OFFICE NOOK, WINE BAR WITH TONS OF CABINETS, SUNROOM THAT COULD BE USED AS FORTH BEDROOM, FIREPLACE, LOCATED IN A CUL DE SAC AND BY A PARK!!</t>
  </si>
  <si>
    <t>2.5%-195 (on Net SP)</t>
  </si>
  <si>
    <t>Call or Text Dan for code at 630-675-6768</t>
  </si>
  <si>
    <t>HOME IS BEAUTFULLY REMODELED AND STAGED!! ALL NEIGHBORS VERY NICE AND MANY STOPPED BY AND CHECKED IN ON THE REHAB!! NOTE: LOW TAXES</t>
  </si>
  <si>
    <t>95th st to Avalon, south to property.</t>
  </si>
  <si>
    <t>SPECTACULAR REHAB to this 4-Bdrm/3 Bath home in excellent location!  Home is updated with Granite, SS applies, skylight, jaciuzzi tub, tray ceilings! Walk-in organizer closets on 2nd levels. Taxes DO NOT reflect homeowners exemption!</t>
  </si>
  <si>
    <t>(630) 225-2117</t>
  </si>
  <si>
    <t>Vivienne Rose Taylor</t>
  </si>
  <si>
    <t>(773) 854-7141</t>
  </si>
  <si>
    <t>FAX 773-442-0671</t>
  </si>
  <si>
    <t>Call LA 773-895-3591</t>
  </si>
  <si>
    <t>This property is priced to sell now!!</t>
  </si>
  <si>
    <t>Stafford</t>
  </si>
  <si>
    <t>South First St. to Charter st. go to corner of Stafford and Charter. Brick Home on corner.</t>
  </si>
  <si>
    <t>100 X 125</t>
  </si>
  <si>
    <t>Rambling updated brick ranch w/fenced yard &amp; Shed,Sunroom,2 Fireplaces,4 car deep Garage, 2 patios, hardwood flrs, Family Room, Living Room with an adjoining Dining Room. Updated eat in kitchen with granite counter tops, SS appliances and hardwood floor.Basement with bedroom,family room,laundry &amp; work area with additional work out room and storage room. Newer furnace and drive. New roof/gutters to be done in May 2015</t>
  </si>
  <si>
    <t>21X23</t>
  </si>
  <si>
    <t>Water-Softener Owned, TV-Cable, CO Detectors, Ceiling Fan, Sump Pump, Backup Sump Pump</t>
  </si>
  <si>
    <t>Deck, Exercise Room, Game Room, Storage, Sun/Florida Room, Workroom</t>
  </si>
  <si>
    <t>Hardwood Floors, Wood Laminate Floors, 1st Floor Bedroom, 1st Floor Full Bath</t>
  </si>
  <si>
    <t>Deck, Patio, Storage Shed, Storms/Screens</t>
  </si>
  <si>
    <t>2.5% -200 (on Gross SP)</t>
  </si>
  <si>
    <t>Signature Real Estate</t>
  </si>
  <si>
    <t>(815) 754-5050</t>
  </si>
  <si>
    <t>Carrie Ottum</t>
  </si>
  <si>
    <t>(815) 739-1275</t>
  </si>
  <si>
    <t>Must confirm.  Call office</t>
  </si>
  <si>
    <t>Carson</t>
  </si>
  <si>
    <t>Curtains in living room and bedroom do to stay.  Pool table included</t>
  </si>
  <si>
    <t>Butterfield Rd 2 Pinecreek Dr(N) 2 Pinehurst(E) (Becomes Oak Crest)</t>
  </si>
  <si>
    <t>118X75X129X124</t>
  </si>
  <si>
    <t>Great home on a cul-de-sac lot!Kitch w/hwds &amp; NEW granite counters &amp; walk-out bay that opens to patio &amp; private yard...Fam rm w/fireplace &amp; hwd flooring...Master bdrm-note size-w/high volume ceil,big walk-in closet &amp; whirlpool bath!Nice size bdrms,3-car garage,nicely finished bsmt w/lots of recessed lighting,wide cased openings,glistening hwd floors,freshly painted...Move-in condition!Walk to parks,close to I-88!</t>
  </si>
  <si>
    <t>27X21</t>
  </si>
  <si>
    <t>Call; 855-919-0377 for Appointment</t>
  </si>
  <si>
    <t>CENTRAL TO BARRY W TO LONG S TO NELSON E</t>
  </si>
  <si>
    <t>List price just reduced 10k!   Classic brick 4/5 BR  bungalow with perfect blend of vintage charm and high end updates.  LR &amp; DR feature hardwood flrs, custom blinds &amp; original stained glass windows.  5 yr new custom kitchen w/stainless appliances, granite counters, wine cooler, b/i spice rack. Brick 2 car garage, carport, tiered deck in back.  Also a loft and fin basement.  Must see!</t>
  </si>
  <si>
    <t>2nd Kitchen, Enclosed Porch, Loft, Office</t>
  </si>
  <si>
    <t>(630) 752-2900</t>
  </si>
  <si>
    <t>Deborah Nelson, CSC</t>
  </si>
  <si>
    <t>Must have confirmed appointment.  Please use Showing Assist.</t>
  </si>
  <si>
    <t>Furnace, A/C, Roof 5/6 years new..Hot water heater 1 year new. Chimney completely rebuilt 1 year</t>
  </si>
  <si>
    <t>36W227</t>
  </si>
  <si>
    <t>Hollowside</t>
  </si>
  <si>
    <t>RT 31 TO MILLER WEST TO SLEEPY HOLLOW NORTH TO HOLLOWSIDE</t>
  </si>
  <si>
    <t>WOODLAND SPRINGS</t>
  </si>
  <si>
    <t>144 X 225 X 179 X 190</t>
  </si>
  <si>
    <t>Custom, Gourmet kitchen with extended cabinets, upgraded appliances.  Recently remodeled.  1st floor bedroom, massive family room.  3 fireplaces. 2nd floor master suite with huge closet &amp; private luxury bathroom.  Hardwood flooring.  Energy saving, on demand hot water heater, Ace battery backup. 3 car garage, fenced yard. Partially finished, full basement.  Perfect setting, many upgrades and amenities.</t>
  </si>
  <si>
    <t>Humidifier, Central Vacuum, CO Detectors, Ceiling Fan, Sump Pump, Backup Sump Pump</t>
  </si>
  <si>
    <t>2.5%-$295. (on Net SP)</t>
  </si>
  <si>
    <t>Tony Bellino, ABR</t>
  </si>
  <si>
    <t>(847) 343-2342</t>
  </si>
  <si>
    <t>847-343-2342</t>
  </si>
  <si>
    <t>Call Re/Max office  847-381-8800  do not call list agent  Call Re/Max office  847-381-8800</t>
  </si>
  <si>
    <t>Steffans</t>
  </si>
  <si>
    <t>Menard</t>
  </si>
  <si>
    <t>Central West on Altgeld North on Menard to 2534</t>
  </si>
  <si>
    <t>38 X 124</t>
  </si>
  <si>
    <t>Modern meets traditional in this Belmont Cragin English Bungalo. Rich wood floors. White chefs kitchen w/crystal quartz counters and stainless appliances. 4 beds and 3 full baths. 2nd floor Master suite with Spa inspired bath. Full finished basement with Recreation room, full bathroom, laundry and a Den. Roof top deck off top bedroom. Large yard and 2 car garage. This is the perfect entertaining home!</t>
  </si>
  <si>
    <t>Oven/Range, Dishwasher, Refrigerator, All Stainless Steel Kitchen Appliances</t>
  </si>
  <si>
    <t>Den, Deck, Recreation Room, Utility Room-Lower Level</t>
  </si>
  <si>
    <t>Some notice required. Use showing assist</t>
  </si>
  <si>
    <t>91st</t>
  </si>
  <si>
    <t>Take Cottage Grove to 91st, 91st E to House.</t>
  </si>
  <si>
    <t>This beautiful 4 bedroom, 3 bathroom brick and vinyl 2-Story is overflowing with special features and stunning details. The first floor offers gleaming hardwood floors throughout. The gorgeous kitchen boasts stainless steel appliances, granite counter tops and shaker style cabinets. Brand new 2.5 car garage. With a finished basement and lovely deck, this home is a must see!</t>
  </si>
  <si>
    <t>from Damen or Ashland to 1763, just East of Ravenswood</t>
  </si>
  <si>
    <t>27X90</t>
  </si>
  <si>
    <t>Back on market, professional rehab, no detail overlooked.  Highest qulty workmanship &amp; finishes in &amp; out.  Extra wide (27' lot=20'+ inside) 3 large BR + Den/2 BA up.  Big, beautiful Kitchen w/ island, commercial SS appliances, granite.  FR + 4th BR downstairs, see floor plan.  Walk to it all: Andersonville, Lincoln Square, Winnemac Park, Metra, L &amp; more!  Small yard, 2 car garage.  OH Sat 1/31 &amp; Sun 2/1 both 12-2</t>
  </si>
  <si>
    <t>Den, Study</t>
  </si>
  <si>
    <t>2.5% - $295. (on Net SP)</t>
  </si>
  <si>
    <t>Chris Sears</t>
  </si>
  <si>
    <t>(312) 298-9099</t>
  </si>
  <si>
    <t>please call (800) 746-9464. On Sentrilock, ask for 1 day code if needed.</t>
  </si>
  <si>
    <t>Incredible re-do. Too much to list. Great house, with extremely functional floor plan. New: windows, roof, insulation, siding, kit, BA, electric, interior plumbing, landscaping. Garage in good shape but as-is. Agent Interest.</t>
  </si>
  <si>
    <t>Brookstone</t>
  </si>
  <si>
    <t>Irving Park to Whispering to Brookstone Dr.</t>
  </si>
  <si>
    <t>84X110</t>
  </si>
  <si>
    <t>Nice neighborhood, four bedroom two and a half bath house with partial finished basement.  Corner lot , large backyard. New SS stove, recently updated kitchen. Some final touches needed.  Sold in "as-is" condition.</t>
  </si>
  <si>
    <t>Amber Realty Inc.</t>
  </si>
  <si>
    <t>(847) 660-6020</t>
  </si>
  <si>
    <t>Ellen Vasiliauskiene, GRI</t>
  </si>
  <si>
    <t>PLEASE CALL SHOWING SERVICE AT 877-977-1010</t>
  </si>
  <si>
    <t>Please email offers to amberrealty@gmail.com or fax 847 660 6023. Pre-approval letter or proof funds should accompany all offers;  100% tax proration; no survey provided by the seller.</t>
  </si>
  <si>
    <t>Wooden Bridge</t>
  </si>
  <si>
    <t>Route 47 or 71 to Route 126 to Wooden Bridge</t>
  </si>
  <si>
    <t>CROOKED CREEK WOODS</t>
  </si>
  <si>
    <t>77X291X280X120X378</t>
  </si>
  <si>
    <t>This lovely home is located on 1.75 Ac of wooded bliss with a meandering bubbling creek, if you are a gardener or naturalist you will fall in love, This sprawling Ranch sports a new roof, new landscaping, new furnace, new AC, new carpet and new paint, its ready for you and your family to enjoy the quite surroundings, Finished basement, large Master with sitting area, large Kitchen, and guys a large 3.5 car garage+++</t>
  </si>
  <si>
    <t>Nature Preserve Adjacent, Irregular, Landscaped Professionally, Stream, Water View, Wooded</t>
  </si>
  <si>
    <t>Fuses, 100 Amp Service</t>
  </si>
  <si>
    <t>Breakfast Room, Recreation Room, Sitting Room</t>
  </si>
  <si>
    <t>27X23</t>
  </si>
  <si>
    <t>Jeffrey Reach</t>
  </si>
  <si>
    <t>(815) 546-9659</t>
  </si>
  <si>
    <t>Centralized Showing 877-977-1010</t>
  </si>
  <si>
    <t>The best lot in the subdivision!!!!</t>
  </si>
  <si>
    <t>WASHINGTON TO LOCKWOOD THEN NORTH TO PROPERTY</t>
  </si>
  <si>
    <t>SOLD â€œAS ISâ€_x009d_ NO WARRANTY, REPAIR OR SELLER DISCLOSURE. â€œSELLER WILL NOT PAY ANY INSPECTION FEES, ACTIVATE ANY UTILTIES, NO SURVEYSâ€_x009d_ Listing Broker &amp; Seller assume no responsibility &amp; make no guarantees/warranties or representations as to the availability or accuracy of the property information, photographs or other information depicted/described herein. BUYER HAS TO ASSUME ANY &amp; ALL CODE VIOLATIONS*if any*SPECIAL ADE</t>
  </si>
  <si>
    <t>Refrigerator, Washer, Dryer</t>
  </si>
  <si>
    <t>Attic, Enclosed Porch, Foyer</t>
  </si>
  <si>
    <t>Ridgeview</t>
  </si>
  <si>
    <t>1-88 West to IL-56 Exit towards US-30/IL-47/Sugar Grove.  Continue on US 30.  Turn left on Indigo Dr</t>
  </si>
  <si>
    <t>Prairie Glen</t>
  </si>
  <si>
    <t>CARLISLE</t>
  </si>
  <si>
    <t>126X85</t>
  </si>
  <si>
    <t>Gorgeous 4-bedroom home, the Carlisle, in the brand new Prairie Glen community! Family room, dining room, study, flex room, vaulted family room, dual stairs, 2-car garage. Many opportunities for lookout and walkout locations. Prairie restoration, bike and walking trails.  Excellent Kaneland Schools and minutes from I-88, shopping and amenities.</t>
  </si>
  <si>
    <t>3%-$195 (on Gross SP)</t>
  </si>
  <si>
    <t>Move-up America, LLC</t>
  </si>
  <si>
    <t>(512) 217-3680</t>
  </si>
  <si>
    <t>John Horton</t>
  </si>
  <si>
    <t>Call Abby to set up an appointment. 630.465.5658</t>
  </si>
  <si>
    <t>Orleans Homes</t>
  </si>
  <si>
    <t>La Crosse</t>
  </si>
  <si>
    <t>47TH STREET SOUTH TO PROPERTY(ONE WAY SOUTH).</t>
  </si>
  <si>
    <t>VERY NICE RANCH HOUSE!.NEEDS LITTLE WORK IN GOOD CONDITION!.2 BEDROOM IN BASEMENT FOR A TOTAL OF 4 BEDROOMS, 2 CAR GARAGE NEAR TRANSPORTATION AND SHOPPING!.$2,000 E.M. CERTIFIED FUNDS PROOF OF FUNDS PRE-APPROVAL CONTACT LISTING OFFICE FOR SELLER DISCLOSURE FORM PRIOR TO WRITING AN OFFER SELLER REQUIRES THAT POTENTIAL BUYERS EXECUTE THE DISCLOSURE AND SUBMIT WITH THEIR OFFER IN ORDER TO BE CONSIDERED E-MAIL ALL OFFERS</t>
  </si>
  <si>
    <t>F.J. Williams Realty</t>
  </si>
  <si>
    <t>(708) 499-5600</t>
  </si>
  <si>
    <t>Frank Williams, ABR,CRB,CRS,GRI,SRES</t>
  </si>
  <si>
    <t>773.737.9571 Fax</t>
  </si>
  <si>
    <t>CALL LISTING OFFICE (708) 499-5600</t>
  </si>
  <si>
    <t>$2,000. E.M. CERTIFIED FUNDS/ E-MAIL ALL OFFERS.</t>
  </si>
  <si>
    <t>NORTH OF DIVERSEY WEST OF CICERO AVE.</t>
  </si>
  <si>
    <t>THIS SINGLE FAMILY BRICK BUNGALOW IS PERFECT FOR YOUR FIRST TIME HOMEBUYER!  NEW ROOF, NEW BOILER AND NEW PLUMBING.  HARDWOOD FLOORS THROUGHOUT.  LOFT STYLE ATTIC CAN BE USED AS MASTER SUITE.  TWO BEDROOMS ON THE MAIN LEVEL AND TWO BEDROOMS ON THE SECOND LEVEL.  FULL FINISHED BASEMENT PRIMED AND READY FOR YOUR BUYERS FINISHING TOUCHES.  2 CAR GARAGE HAS NEW ROOF.   GREAT STARTER HOME.</t>
  </si>
  <si>
    <t>Chicago Premier Realty, Inc.</t>
  </si>
  <si>
    <t>(773) 395-8230</t>
  </si>
  <si>
    <t>Teresa Ramirez</t>
  </si>
  <si>
    <t>(312) 524-7734</t>
  </si>
  <si>
    <t>CALL/TEXT LISTING AGENT</t>
  </si>
  <si>
    <t>NOT A SHORT SALE OR FORECLOSURE.  MOTIVATED SELLER.    OPEN HOUSE SATURDAY JANUARY 24TH BETWEEN 1:00 AND 3:00 P.M.</t>
  </si>
  <si>
    <t>Nottingham</t>
  </si>
  <si>
    <t>HEAD WEST ON ADDISON, TURN LEFT (SOUTH) ON TO NOTTINGHAM.</t>
  </si>
  <si>
    <t>INCREDIBLE REHAB THAT YOU DON'T WANT TO MISS! OPEN LAYOUT PERFECT FOR ENTERTAINING OR FAMILY-GET-TOGETHERS. HIGH-END DESIGNER FINISHES &amp; QUALITY WORK T/O. DEFINITELY NOT A COOKIE CUTTER. MSTR BDRM W/MSTR BATH ON 1ST FLOOR. FULL FINISHED WALK-OUT BSMT W/FAMILY RM, ADDITIONAL BDRM &amp; FULL BATH. NICE BACKYARD W/FLOWER BEDS &amp; PORCH/DECK. LOCATED ON A VERY QUIET STREET, CONVENIENT TO PUBLIC TRANSPORTATION.</t>
  </si>
  <si>
    <t>Deck, Utility Room-Lower Level</t>
  </si>
  <si>
    <t>2.5% - $225 (ON NET SP) (on Net SP)</t>
  </si>
  <si>
    <t>(847) 222-5000</t>
  </si>
  <si>
    <t>Lidia Chodzen-Syrwid</t>
  </si>
  <si>
    <t>(847) 222-8704</t>
  </si>
  <si>
    <t>Call 855-746-9200 to schedule a showing appointment</t>
  </si>
  <si>
    <t>IF YOU HAVE A CLIENT WHO IS LOOKING FOR QUALITY, BRING THEM ON - YOU WON'T BE DISAPPOINTED. PLEASE REFER TO THE BROCHURE FOR ALL THE AMENITIES THAT THE HOUSE HAS TO OFFER!</t>
  </si>
  <si>
    <t>Langley</t>
  </si>
  <si>
    <t>47th St. to Langley, South to property.</t>
  </si>
  <si>
    <t>125X18</t>
  </si>
  <si>
    <t>Beautifully restored home with plans and permits. Open layout, high ceilings, 8' doors, new water and electric service. Modern kitchen with stainless steel appliances, granite countertop , lighted cabinets, farmers sink. Luxuries custom baths, master with body sprays and lighted rainshower. Plenty of space. Full finish basement.</t>
  </si>
  <si>
    <t>Whirlpool, Separate Shower, Double Sink, Full Body Spray Shower, Soaking Tub</t>
  </si>
  <si>
    <t>TV-Cable, Security System, CO Detectors, Ceiling Fan</t>
  </si>
  <si>
    <t>Electric, Decorative Only</t>
  </si>
  <si>
    <t>City Realty, LLC</t>
  </si>
  <si>
    <t>(847) 318-1460</t>
  </si>
  <si>
    <t>Andrzej Jacak</t>
  </si>
  <si>
    <t>(847) 293-5203</t>
  </si>
  <si>
    <t>Book thru Showing Assist or call 847 293 5203</t>
  </si>
  <si>
    <t>44th</t>
  </si>
  <si>
    <t>King Drive or Cottage Grove to 44th, east or west to address</t>
  </si>
  <si>
    <t>Dabuilder stuff don't sit on the mls? It sales. New construction family home in Bronzeville by JACOB DA BUILDER "THE REAL TREND SETTER" top-of-the-line luxury finishes with exceptional craftsmanship in this 4br/3.1ba home.  Open floor plan with coffered ceilings, plank hardwood floors, luxurious custom baths, graciously appointed kitchen with oversize island, and full finished basement. 47 closed doing the  recession</t>
  </si>
  <si>
    <t>Appliance Package/Allowance, Fireplace, Basement, Hardwood/Ceramic Floors, Vaulted/Cathedral Ceiling</t>
  </si>
  <si>
    <t>TV-Cable, Security System, CO Detectors, Ceiling Fan, Sump Pump</t>
  </si>
  <si>
    <t>Real People Realty, Inc.</t>
  </si>
  <si>
    <t>(815) 469-7449</t>
  </si>
  <si>
    <t>Sawsan Jawdat</t>
  </si>
  <si>
    <t>(312) 532-8091</t>
  </si>
  <si>
    <t>call or text listing agent</t>
  </si>
  <si>
    <t>Spacious home on an extra wide lot, private fence call listing agent for more details and showing instructions. There are multiple offers, please submit highest and best offer</t>
  </si>
  <si>
    <t>WINGFOOT</t>
  </si>
  <si>
    <t>RTE 56 (BUTTERFIELD RD) TO HART RD, N. TO WINGFOOT</t>
  </si>
  <si>
    <t>HARTFIELD ESTATES</t>
  </si>
  <si>
    <t>PENDLETON</t>
  </si>
  <si>
    <t>81 X 125</t>
  </si>
  <si>
    <t>Impeccable, move-in ready home in desirable Heartfield Est! 4 bdrm (or 1st flr den) 2.5 bath. Kitch has 42" oak cabs, solid oak flrs &amp; cntr islnd w/brkfst bar. FamRm w/crwn mldg, blt in bookcases, fplce,w/surround sound.  Combo Lvg/Dng Rm w/crwn mldg. Mstr Bdrm w/dbl door entry &amp; priv. sitting rm. Cstm Mstr Bath w/skylite; 3 car insulatd gar. Finshd bsmt w/ample storage. Prof. lndscpd. w/open, spacious backyard.</t>
  </si>
  <si>
    <t>JEWEL MIDDLE SCHOOL</t>
  </si>
  <si>
    <t>Humidifier, TV-Dish, Security System, Ceiling Fan, Sump Pump</t>
  </si>
  <si>
    <t>Eating Area, Office, Recreation Room, Sitting Room</t>
  </si>
  <si>
    <t>Vaulted/Cathedral Ceilings, Skylight(s), Hardwood Floors, 1st Floor Bedroom, 1st Floor Laundry</t>
  </si>
  <si>
    <t>Patio, Dog Run &amp;/or Invisible Fence, Storms/Screens</t>
  </si>
  <si>
    <t>(630) 789-8280</t>
  </si>
  <si>
    <t>Donna Wright</t>
  </si>
  <si>
    <t>text or call 312-823-4110</t>
  </si>
  <si>
    <t>2 Hour notice please.  Two dogs.  Call LA 312-823-4110</t>
  </si>
  <si>
    <t>East to show; motivated seller.  You can show this great listing with pride.</t>
  </si>
  <si>
    <t>72nd</t>
  </si>
  <si>
    <t>71st to StLouis south to 72nd place west to address</t>
  </si>
  <si>
    <t>BRICK CAPE-COD WITH 4 BEDROOM IN EXCELLENT CONDITIONS,  HARDWOOD FLOORS. FRESHLY PAINTED. A FULL BASEMENT ARE JUST A FEW OF THE FEATURES THAT ARE WAITING FOR YOU. FENCED IN YARD.   NEW ROOF HOUSE/GARAGE...EASY TO SHOW</t>
  </si>
  <si>
    <t>Dormer, Full</t>
  </si>
  <si>
    <t>Maria Castillo</t>
  </si>
  <si>
    <t>HOLDER OF RECORD</t>
  </si>
  <si>
    <t>Earnest Money in CERTIFIED FUNDS only made payable to Chicago Tiyle</t>
  </si>
  <si>
    <t>Pratt</t>
  </si>
  <si>
    <t>Sheridan Rd West on Pratt (Just West of the Red Line Tracks)</t>
  </si>
  <si>
    <t>East Rogers Park- Beautiful Victorian on 2 Full City Lots, Charming Throughout. Well Cared Through the Years, Impeccable Maintenance. Updated Electrical &amp; Plumbing, Newer Roof and HVAC. Wide Footprint Allows Circular Floor-plan and Dual Staircases; Large Bedrooms and Bright Finished Attic. Fast Appreciating Rogers Park, Walk to Red Line, Glenwood Arts District and The Lake, Minutes to LSD, Andersonville and Evanston!</t>
  </si>
  <si>
    <t>KILMER ELEMENTARY SCHOOL</t>
  </si>
  <si>
    <t>SULLIVAN HIGH SCHOOL</t>
  </si>
  <si>
    <t>Oven/Range, Microwave, Dishwasher, Refrigerator, Washer, Dryer, All Stainless Steel Kitchen Appliances, Wine Cooler/Refrigerator</t>
  </si>
  <si>
    <t>Great Room, Loft, Sun/Florida Room</t>
  </si>
  <si>
    <t>EIFS (e.g. Dryvit), Stucco</t>
  </si>
  <si>
    <t>2.5% $250 (on Net SP)</t>
  </si>
  <si>
    <t>Santiago Valdez</t>
  </si>
  <si>
    <t>(773) 858-2410</t>
  </si>
  <si>
    <t>FAX 800-627-0132</t>
  </si>
  <si>
    <t>Through Showing Assist, Call 877-977-1010 or showings.com</t>
  </si>
  <si>
    <t>Archer to Kilpatrick Ave north to property</t>
  </si>
  <si>
    <t>SOLID BRICK RAISED RANCH VERY WELL CARED FOR.  3 BEDROOMS 2 BATHS. 2 CAR GARAGE. FULL FINISHED BASEMENT. BEAUTIFUL HARDWOOD FLOORS THROUGH OUT 1ST FLOOR. ALL NEW WINDOWS. NEW FURNACE AND C/A. EXCELLENT LOCATION WALKING DISTANCE TO ARCHER.</t>
  </si>
  <si>
    <t>Solution Key Realty LLC</t>
  </si>
  <si>
    <t>(708) 598-1144</t>
  </si>
  <si>
    <t>Vicky Franos</t>
  </si>
  <si>
    <t>24 HOURS NOTICE. TEXT AGENT AT 708 203-6089</t>
  </si>
  <si>
    <t>Rita</t>
  </si>
  <si>
    <t>Rt. 64 west of Kirk to Tyler; south to South Tyler; south to Rita. House on corner</t>
  </si>
  <si>
    <t>100X86X103X84</t>
  </si>
  <si>
    <t>GREAT LOCATION AND EVERYTHING'S NEW! Beautiful home w/new roof, siding, windows, and baths. Updated kitchen with Corian countertops and all appliances stay! Crown molding, chair rails, wainscoting, new light fixtures. Pristine condition and very pretty! Fenced yard with LOADS of perennials, patio and privacy trellis. Recessed lights, wtr sftner, radon mitigation system, extra storage in garage! Truly move-in ready!</t>
  </si>
  <si>
    <t>Water-Softener Owned, CO Detectors, Sump Pump, Radon Mitigation System(s)</t>
  </si>
  <si>
    <t>Marie Ziegler, ABR,CRS</t>
  </si>
  <si>
    <t>(630) 262-4393</t>
  </si>
  <si>
    <t>(630) 638-1029</t>
  </si>
  <si>
    <t>Pristine! You will not be disappointed! Absolutely NOT A THING LEFT TO DO!</t>
  </si>
  <si>
    <t>Augusta (1000N) to Keeler(4200W) South to Property</t>
  </si>
  <si>
    <t>Brick 4 bedroom single family home with open floor plan. 3 full bathrooms. Stained Dark Wood floors throughout 1st floor. Kitchen consist of 42in cabinetry. Master bedroom with open master bath. Full finished basement with full bathroom. Laundry area.</t>
  </si>
  <si>
    <t>20X09</t>
  </si>
  <si>
    <t>09X35</t>
  </si>
  <si>
    <t>Prime Properties Inc</t>
  </si>
  <si>
    <t>(773) 775-2500</t>
  </si>
  <si>
    <t>Sebastian J Hernandez, ABR,e-PRO,SFR</t>
  </si>
  <si>
    <t>(773) 354-7780</t>
  </si>
  <si>
    <t>Use Showing Assist!</t>
  </si>
  <si>
    <t>Listing Office does not hold Earnest Money. Showing needs to be confirmed by listing agent.  Alarm system installed. Seller willing to close off Master Bedroom.</t>
  </si>
  <si>
    <t>DANFORTH</t>
  </si>
  <si>
    <t>RANDALL RD. TO MAIN ST. E TO MILLVIEW S TO DANFORTH W TO 1221</t>
  </si>
  <si>
    <t>86X107X84X122</t>
  </si>
  <si>
    <t>2758 SQ/FT BRICK AND CEDAR COLONIAL BACKING TO OPEN SPACE IN A GREAT BATAVIA NEIGHBORHOOD! 4 BEDROOMS, 2 1/2 BATHS, NICE SIZED BASEMENT, DECK OVERLOOKING VAST OPEN SPACE, SOLID WOOD SIX PANEL DOORS THRUOUT, QUALITY WOOD TRIM AND FINISH WORK, FRONT PORCH...A GREAT FAMILY HOME IN A GREAT LOCATION.</t>
  </si>
  <si>
    <t>Gordon Gromer</t>
  </si>
  <si>
    <t>(847) 812-6468</t>
  </si>
  <si>
    <t>ESTATE SALE IS COMPLETE...WE'RE CLEANING OUT AND CLEANING UP...LOOKING FOR A BUYER.....MAKE AN OFFER!</t>
  </si>
  <si>
    <t>Rosemary</t>
  </si>
  <si>
    <t>RT 30 to Lakewood Creek DR..left on Oakmont Rd. and right on Caliendo Cir. to Rosemary Ct.</t>
  </si>
  <si>
    <t>86X119X60X120</t>
  </si>
  <si>
    <t>BEST VALUE ON LAKE w/3600 SQ FT finished living space &amp; QUALITY UPGRADES! Cul-de-sac home has it all...hardwood on 1st floor+stairs+large loft. Upgraded trim/moldings. Main flr office w/custom built-in's. Dream mudroom w/lit storage lockers/cubbies &amp; seating w/storage. AWESOME Full finished bsmnt w wet bar +fridge/micro/wine cooler/tv + large game rm +4th bdrm,3rd full bath. Paradise in your backyard...A DREAMHOME!!!</t>
  </si>
  <si>
    <t>Oven/Range, Microwave, Dishwasher, Refrigerator, Refrigerator-Bar, Disposal, Wine Cooler/Refrigerator</t>
  </si>
  <si>
    <t>Separate Shower, Steam Shower, Double Sink, Garden Tub</t>
  </si>
  <si>
    <t>Cul-de-sac, Fenced Yard, Lake Front, Pond, Water View, Rear of Lot</t>
  </si>
  <si>
    <t>TV-Cable, Fire Sprinklers, CO Detectors, Ceiling Fan, Sump Pump, Radon Mitigation System(s)</t>
  </si>
  <si>
    <t>Bar, Eating Area, Foyer, Game Room, Loft, Mud Room, Office, Recreation Room</t>
  </si>
  <si>
    <t>Sauna/Steam Room, Bar-Wet, Hardwood Floors</t>
  </si>
  <si>
    <t>Patio, Porch, Brick Paver Patio, Storms/Screens, Grill-Outdoors</t>
  </si>
  <si>
    <t>Elena Gamboa, CSC</t>
  </si>
  <si>
    <t>(630) 201-5007</t>
  </si>
  <si>
    <t>Call CSS 1-877-977-1010</t>
  </si>
  <si>
    <t>***CONTRACT**WAITING ON SIGNATURES***...details usually found in custom homes. This turn-key home is waiting for your personal touches. Freshly painted &amp;loaded w/all the good goodies** CHANDELIER DOES NOT STAY!Sauna as-is</t>
  </si>
  <si>
    <t>90/94 to 71st east toDrexel South to Address</t>
  </si>
  <si>
    <t>TENANT OCCUPIED (SECTION 8) NEED 24 HOUR NOTICE FOR SHOWINGS///FORECLOSURE/BANK OWNED/FORECLOSED/ SOLD AS IS/NO SURVEY/NO DISCLOSURES/TAXES PRORATED AT 100%/NO TERMITE/PROVIDE PROOF OF FUNDS WITH ALL OFFERS/PROVIDE A COPY OF A EARNEST MONEY CHECK CERTIFIED FUNDS MADE PAYABLE TO (SEE PARAGRAPH 3 OF SELLERS CONTRACT) MINIMUM $2500.</t>
  </si>
  <si>
    <t>Assigned Spaces</t>
  </si>
  <si>
    <t>CALL AGENT 773-846-9662</t>
  </si>
  <si>
    <t>Old Mill</t>
  </si>
  <si>
    <t>Lake Cook Between NW Hwy &amp; Ela, South on South Valley to home on corner at 300 Old Mill Rd.</t>
  </si>
  <si>
    <t>CHATHAM + SUNROOM</t>
  </si>
  <si>
    <t>111 X 190 X 87 X 187</t>
  </si>
  <si>
    <t>LOCAL LENDER OWNED, NO SURVEY, TAXES AT 100%, "AS IS" SALE, NEITHER REALTOR OR SELLER RESPONSIBLE FOR ACCURACY OF INFORMATION, BUYER RESPONSIBLE FOR ANY CITY INSPECTIONS AND FEES. CASH MUST HAVE PROOF OF FUNDS, FINANCING MUST HAVE STRONG APPROVAL LETTER, 2 TO 4 BUSINESS DAYS FOR OFFER RESPONSE, CASH OFFERS CLOSE IN 30 DAYS OR LESS, FINANCING CLOSE IN 45 DAYS OR LESS.</t>
  </si>
  <si>
    <t>Deck, Sun/Florida Room</t>
  </si>
  <si>
    <t>2.5%-$250.00 (on Net SP)</t>
  </si>
  <si>
    <t>RE/MAX Advantage Realty</t>
  </si>
  <si>
    <t>(847) 395-3000</t>
  </si>
  <si>
    <t>Larry Fales</t>
  </si>
  <si>
    <t>(847) 812-9500</t>
  </si>
  <si>
    <t>847-812-9500</t>
  </si>
  <si>
    <t>USE SHOWINGASSIST OR CALL LO 847-395-3000</t>
  </si>
  <si>
    <t>EMAIL OFFERS TO CALL@LARRYFALES.COM, NO FAXES, PLEASE TEXT/CALL FROM YOUR CELL PHONE, HOA BOARD MEETING ON 1/21/15, FEES EXPECTED TO GO UP TO $926 PER YEAR.</t>
  </si>
  <si>
    <t>Cicero Ave to Addison Ave, then east to property.</t>
  </si>
  <si>
    <t>Great opportunity to own a 1.5 story single family property in Portage Park! This home is ready for the savvy buyer. Selling AS-IS, Room measurements are estimated. Don't let this one slip thru your fingers, hurry before is gone!!</t>
  </si>
  <si>
    <t>Email offers to listing. Property does not qualify for FHA or conventional financing. Cash or Rehabs loans only. Please download the offer coversheet and include it with your offer</t>
  </si>
  <si>
    <t>Canterbury</t>
  </si>
  <si>
    <t>Higgins East of 47 to Richard Brown Blvd South to Wester E to Bay shore S to Dover E to Canterbury</t>
  </si>
  <si>
    <t>CLEARVIEW</t>
  </si>
  <si>
    <t>57 X 123</t>
  </si>
  <si>
    <t>Smoking Hot Deal on this Awesome Home! Why wait for NEW construction when this is ready to go now! All appliances included here! Concrete patio, landscaping and window treatments are done too! Super spacious great versatile floor plan! Four bedrooms and a loft! Luxury bath with soaker tub, separate shower and dual sinks! FULL unfinished basement ready to go with roughed in plumbing! Club house pools and parks galore!</t>
  </si>
  <si>
    <t>Cambridge Lakes Learning Center</t>
  </si>
  <si>
    <t>2.5%-$200.00 (on Gross SP)</t>
  </si>
  <si>
    <t>(630) 980-4000</t>
  </si>
  <si>
    <t>Angela Lotz</t>
  </si>
  <si>
    <t>(630) 439-1115</t>
  </si>
  <si>
    <t>630-640-4026</t>
  </si>
  <si>
    <t>Call 855-919-0376</t>
  </si>
  <si>
    <t>4 hour notice for showings evening before would be amazing</t>
  </si>
  <si>
    <t>I-94 TO 87TH ST, EAST OF JEFFERY, NORTH TO HOME</t>
  </si>
  <si>
    <t>PROPERTY BEING SOLD  "AS-IS" , WHERE IS WITH NO WARRANTIES OR GUARANTEES./ ADDENDUM REQUIRED/ NO SURVEY NOR DISCLOSURES / VERIFICATION OF FUNDING MUST ACCOMPANY ALL OFFERS   (EARNEST MONEY MUST BE   C E R T I F I E D  F U N D S  ONLY) OFFERS/CONTRACTS ARE NOT BINDING UNTIL ENTIRE AGREEMENT IS EXECUTED BY ALL PARTIES. 100% TAX PRORATION.</t>
  </si>
  <si>
    <t>32X22</t>
  </si>
  <si>
    <t>Aluminum Siding, Stucco</t>
  </si>
  <si>
    <t>22X08</t>
  </si>
  <si>
    <t>$1000 (on Net SP)</t>
  </si>
  <si>
    <t>Berger &amp; Co. Realtors Ltd</t>
  </si>
  <si>
    <t>(773) 792-8800</t>
  </si>
  <si>
    <t>Tom Szymanski</t>
  </si>
  <si>
    <t>Cell: 773-814-3228</t>
  </si>
  <si>
    <t>Call L.A at 773-814-3228</t>
  </si>
  <si>
    <t>Commission will be based on sales price after seller concessions. Offers will not be reviewed until the entire agreement is executed by all parties.</t>
  </si>
  <si>
    <t>Keslinger to Liberty to Holbrook to Berry.</t>
  </si>
  <si>
    <t>Move in condition 4 bedroom with new carpet and interior paint.  Family room with fireplace. Master suite. 1st floor laundry. Large eat-in kitchen. Freddie Mac Owner Occupied First Look Program through February 7th, 2015. Property sold "AS IS". Easy to show.</t>
  </si>
  <si>
    <t>Write all offers on Modified 5.0 in Additional Information.</t>
  </si>
  <si>
    <t>Chestnut</t>
  </si>
  <si>
    <t>Barrington Rd S of Irving Pk to Sycamore, West to Chestnut N to Home</t>
  </si>
  <si>
    <t>BILEVEL</t>
  </si>
  <si>
    <t>Bi-level home with a 2 car,detached garage, 4 bedrooms and 2 baths. Home has been beautifully rehabbed with granite counter tops in the kitchen and baths, new flooring, stainless steel appliances, freshly done bathrooms. Not a single thing to do. Just bring in your stuff and make it your own! BEING SOLD AS-IS, NO SURVEY, TAXES PRORATED At 100%.</t>
  </si>
  <si>
    <t>Tina Jagshi</t>
  </si>
  <si>
    <t>(630) 303-7731</t>
  </si>
  <si>
    <t>KYC Investment Group, INC.</t>
  </si>
  <si>
    <t>EM MUST be in CERTIFIED FUNDS NO PERSONAL CHECKS ACCEPTED &amp; made out to Keller Williams Realty Infinity.Pre-approval/POF, offer &amp; signed disclosures should be a single file. ALL DATA MUST BE CONFIRMED BY BUYER'S AGENT</t>
  </si>
  <si>
    <t>Silver Glen west of Randall N to Thornwood W on Brookwood S on Parkview to Sutton</t>
  </si>
  <si>
    <t>162 X 80</t>
  </si>
  <si>
    <t>This is a beautiful 4 bed 3.1 bath home with a full finished basement is beautifully maintained. It boasts a Gourmet kitchen with granite, 9 ft ceilings, 2 fireplaces, new carpeting, freshly painted and open floorplan. Eating area with wall of windows open to waterfall. Inground sprinkler, separate entrance to office.  Move in and enjoy.</t>
  </si>
  <si>
    <t>Oven-Double, Microwave, Dishwasher, Refrigerator, Washer, Dryer</t>
  </si>
  <si>
    <t>Den, Eating Area, Recreation Room, Other</t>
  </si>
  <si>
    <t>2.5-150 (on Net SP)</t>
  </si>
  <si>
    <t>630-263-5709 cell</t>
  </si>
  <si>
    <t>Call Showing Solutions:  877-977-1010</t>
  </si>
  <si>
    <t>This is a great home with a wonderful deck overlooking a beautiful waterfall and lots of landscaping.  Large park across the street filled with children and many activities throughout the year.  Lots of upgrades and special features</t>
  </si>
  <si>
    <t>Sheridan</t>
  </si>
  <si>
    <t>Sheridan Road to property</t>
  </si>
  <si>
    <t>23X151</t>
  </si>
  <si>
    <t>East Lakeview two-story custom home with 4BR/4.5BA and 4600 s.f. of open space, upgraded features w/2 WBFPs &amp; 3 outdoor areas, steps to the Park! Granite foyer &amp; all hdwd floors.Skylit atrium. LR w/lg hearth &amp; built-ins opens to solarium &amp; brick Patio.Kitchen appls, mechanicals, fixtures not included Marble, natural stone &amp; mosaic bths. 2nd flr laundry. 2.5 car gar. As Is. Significant damage/repairs needed: roof, etc</t>
  </si>
  <si>
    <t>43X20</t>
  </si>
  <si>
    <t>Galley, Island, Pantry-Closet</t>
  </si>
  <si>
    <t>Oven/Range, Microwave, Dishwasher, Refrigerator, Refrigerator-Bar, Washer, Dryer</t>
  </si>
  <si>
    <t>Humidifier, TV-Cable, Security System, CO Detectors</t>
  </si>
  <si>
    <t>Atrium, Breakfast Room, Deck, Foyer, Office</t>
  </si>
  <si>
    <t>Brick, EIFS (e.g. Dryvit)</t>
  </si>
  <si>
    <t>Transmitter(s), Heated</t>
  </si>
  <si>
    <t>15X07</t>
  </si>
  <si>
    <t>Brent J. Rosenbower</t>
  </si>
  <si>
    <t>(773) 255-9388</t>
  </si>
  <si>
    <t>Call Brent 773-255-9388</t>
  </si>
  <si>
    <t>CC: Pursuant to Short Sale. Allow time for lender approval. Sold without any personal property interior features and fixtures.</t>
  </si>
  <si>
    <t>Giles</t>
  </si>
  <si>
    <t>South on State to 35th South, then East to 35th Street and South to 3548</t>
  </si>
  <si>
    <t>Sold as Is. A townhouse in bronzeville with two lots attached that are also for sale. This property is great for rehabbing into your dream home,  Please bring your offers.</t>
  </si>
  <si>
    <t>Enclosed Porch, Pantry</t>
  </si>
  <si>
    <t>2.5%-125 (on Net SP)</t>
  </si>
  <si>
    <t>James Eggleston</t>
  </si>
  <si>
    <t>Call listing office.</t>
  </si>
  <si>
    <t>Please call listing office to show property.</t>
  </si>
  <si>
    <t>115TH TO TALMAN/ NORTH TO ADDRESS.</t>
  </si>
  <si>
    <t>4232 SQ FT</t>
  </si>
  <si>
    <t>Come take a look at this brick, 2 story Georgian. 4 bedrooms, 2.5 baths. Open floor plan. Spacious rooms. Deck for summer enjoyment. 2 car garage. This is Fannie Mae HomePath property.</t>
  </si>
  <si>
    <t>3% OR $1000 MINIMUM (on Net SP)</t>
  </si>
  <si>
    <t>REO@PEARSONREALTYGROUP.COM</t>
  </si>
  <si>
    <t>USE SHOWING ASSIST OR CALL 1-800-SHOWING</t>
  </si>
  <si>
    <t>The seller has directed that all offers on this listing must be made online via HomePath.com (ID #C1303J1 ).  Taxes prorated at 100%.</t>
  </si>
  <si>
    <t>Justine</t>
  </si>
  <si>
    <t>87th. Street West to Justine South to 8749 Justine</t>
  </si>
  <si>
    <t>CHICAGO BUNGALOW//4 BDRMS//2 BATH, FULL BASEMENT//HRDWD FLRS//LARGE LVG RM//FORMAL DINING ROOM//FIREPLACE//NEWER FURNACE//NEWER HOT WATER TANK//ROOF LESS THAN 10 YEARS//SHORT SALE..MOVE IN CONDITION</t>
  </si>
  <si>
    <t>Karmen Spears</t>
  </si>
  <si>
    <t>24-48 HR NOTICE: 708-466-9128</t>
  </si>
  <si>
    <t>CC: Pursuant to Short Sale. PROPERTY APPRAISED AT $83K</t>
  </si>
  <si>
    <t>Moffat</t>
  </si>
  <si>
    <t>Western to Moffat W. to Property</t>
  </si>
  <si>
    <t>Logan Square single family home impeccably maintained, like new construction   All masonry home and garage Garage has rooftop deck  Open yard between home and garage. Open floor plan on first level makes entertaining easy  Cherry kitchen cabinets with GE Monogram Appliances Two fireplaces with gas logs  Low level media room with elegant custom bar Sound system thru-out. Hunter Douglas window treatments A Must see</t>
  </si>
  <si>
    <t>Security System, Intercom</t>
  </si>
  <si>
    <t>Media Room, Other</t>
  </si>
  <si>
    <t>Block, Stone</t>
  </si>
  <si>
    <t>Electric, Gas Logs</t>
  </si>
  <si>
    <t>2.5% -$ 300 (on Net SP)</t>
  </si>
  <si>
    <t>Chicago Home Estates, Inc</t>
  </si>
  <si>
    <t>(773) 525-7800</t>
  </si>
  <si>
    <t>Joseph Pinto</t>
  </si>
  <si>
    <t>(773) 975-3100</t>
  </si>
  <si>
    <t>Call or text Joe for showing 773-343-2923</t>
  </si>
  <si>
    <t>Just East of Kedzie - South of Pratt to Parkside Estates</t>
  </si>
  <si>
    <t>83X52X82X52</t>
  </si>
  <si>
    <t>SHORT SALE APPROVED! CAN CLOSE QUICKLY. As is</t>
  </si>
  <si>
    <t>Clubhouse, Park/Playground, Pool, Curbs/Gutters, Street Lights, Street Paved</t>
  </si>
  <si>
    <t>Disposal</t>
  </si>
  <si>
    <t>Water, Common Insurance, Lawn Care, Scavenger, Snow Removal</t>
  </si>
  <si>
    <t>34X13</t>
  </si>
  <si>
    <t>call 877-977-1010  CLICK ON SHOWING ASSIST</t>
  </si>
  <si>
    <t>LEGAL OWNER OF RECORD</t>
  </si>
  <si>
    <t>CC: Pursuant to Short Sale. SHORT SALE. AS IS. ALL TERMS &amp; COMMISSIONS ARE SUBJECT TO LENDER'S APPROVAL</t>
  </si>
  <si>
    <t>Stonewood Glen</t>
  </si>
  <si>
    <t>Randall Rd. to Fargo W. to Kaneville to Stonewood Glen Dr.</t>
  </si>
  <si>
    <t>85X134X85X134</t>
  </si>
  <si>
    <t>IMMEDIATE OCCUPANCY....BEST OF NEW CONSTRUCTION- GREAT PRICE. John Henry home in terrific neighborhod. Great open floor and priced to sell.. 3 car garage, 3.5 baths, 4 bedrooms, 1st. floor laundry and mud room, area for stackable washer and dryer on 2nd floor. Wonderful Kitchen with Autumn Woods cabinetry, and SS appliances, 1 st. floor den, hardwood floors on 1st floor and 2nd floor hallway</t>
  </si>
  <si>
    <t>Lawn Care</t>
  </si>
  <si>
    <t>show anytime</t>
  </si>
  <si>
    <t>Lee</t>
  </si>
  <si>
    <t>Rt 34 to Lew, North to Lee, East to home</t>
  </si>
  <si>
    <t>Nice home with plenty of character. Fine oak flooring on the first floor with built in cabinets. 3 bedrooms on second floor and an additional in the lower level. Sliding glass doors lead to the patio. Remodeled kitchen along with many other upgrades.</t>
  </si>
  <si>
    <t>Water-Softener Owned, TV-Dish, Ceiling Fan</t>
  </si>
  <si>
    <t>8N595</t>
  </si>
  <si>
    <t>GINGERWOOD</t>
  </si>
  <si>
    <t>RANDALL TO HOPPS, WEST TO STEVENS, SOUTH TO KRISTEN, WEST TO GINGERWOOD</t>
  </si>
  <si>
    <t>21780 SQ FT</t>
  </si>
  <si>
    <t>**HIGHEST BEST AND FINAL OFFERS DUE BY 10AM ON 09/08/2014 SPACIOUS HOME WITH A TON OF POTENTIAL / FOUR LARGE BEDROOMS / TWO FULL BATHROOMS AND TWO HALF BATHROOMS/ COZY FIREPLACE IN LIVING ROOM / FULL BASEMENT / TWO CAR GARAGE / CLOSE TO SCHOOLS AND PARKS / SOLD AS IS / PROOF OF FUNDING MUST ACCOMPANY ALL OFFERS / PLEASE SUBMIT THE PURCHASE OFFER FORM LOCATED UNDER ADDITIONAL INFO / PLEASE FAX ALL OFFERS.****CASH</t>
  </si>
  <si>
    <t>32X16</t>
  </si>
  <si>
    <t>FAX (708)656-4444</t>
  </si>
  <si>
    <t>HILLS &amp; DALES</t>
  </si>
  <si>
    <t>Otis Rd to Hills &amp; Dales, south to property.</t>
  </si>
  <si>
    <t>BARRINGTON HILLS</t>
  </si>
  <si>
    <t>302X759X300X711</t>
  </si>
  <si>
    <t>BANK ALREADY APPROVED SHORT SALE AT EVEN LOWER PRICE-BUYER FELL THROUGH! Best opportunity in Barrington Hills.  Next to 1.6M home. 4 Bdr, Beautiful eat-in kitchen, 5 acres, horse barn-Hurry Call me for more details-wont last.</t>
  </si>
  <si>
    <t>COUNTRYSIDE ELEMENTARY SCHOOL</t>
  </si>
  <si>
    <t>Oven-Double, Oven/Range, Dishwasher, Refrigerator</t>
  </si>
  <si>
    <t>Eating Area, Foyer, Office, Recreation Room, Other</t>
  </si>
  <si>
    <t>Patio, Horse Barn/Pole Barn</t>
  </si>
  <si>
    <t>2.5%-$250 CC SUBJECT TO LENDER APPROVAL ANY REDUCTIONS SHARED 50/50 (on Net SP)</t>
  </si>
  <si>
    <t>The Messina Group</t>
  </si>
  <si>
    <t>(847) 372-7197</t>
  </si>
  <si>
    <t>Michael Messina</t>
  </si>
  <si>
    <t>Call listing agent-12 HR Notice due to pets.</t>
  </si>
  <si>
    <t>CC: Pursuant to Short Sale. Short Sale - CC subject to lender approval to be split 50/50 including reductions. Taxes prorated at 100% house sold "AS-IS" "WHERE IS" Terrific buy. Tenant has no lease can vacate in 14 days.</t>
  </si>
  <si>
    <t>Oakland</t>
  </si>
  <si>
    <t>SCHAUMBURG ROAD TO PARK BLVD SOUTH TO OAKLAND</t>
  </si>
  <si>
    <t>AMPLE FRAME RANCH WITH FOUR BEDROOM, LIVINGROOM, DINING ROOM , KITCHEN, LAUNDRY ROOM. SOLD AS IS. SUBJECT TO LENDER APPROVAL.</t>
  </si>
  <si>
    <t>12X26</t>
  </si>
  <si>
    <t>Felmar Realty, Inc.</t>
  </si>
  <si>
    <t>(773) 267-4040</t>
  </si>
  <si>
    <t>Martha Pineres</t>
  </si>
  <si>
    <t>CALL LISTING OFFICE - 24HR NOTICE REQUIRED</t>
  </si>
  <si>
    <t>CC: Pursuant to Short Sale. "LENDER REQUIRES ALL OFFERS BE SUBMITTED AT WWW.HUBZU.COM</t>
  </si>
  <si>
    <t>PERSIMMON</t>
  </si>
  <si>
    <t>MCDONALD TO THORNWOOD WAY S TO THORNWOOD DR S TO LANSBROOK W TO PERSIMMON</t>
  </si>
  <si>
    <t>57X135X66X129</t>
  </si>
  <si>
    <t>EXECUTIVE HOME WITH OPEN FLOOR PLAN! FORMAL LIVING RM &amp; DINING RM! TWO STORY FOYER! ELEGANT STAIRCASE W/IRON BALUSTERS! FIRST FLOOR DEN &amp; FULL BATH! ARCHITECTURAL UPGRADES INCLUDE TRIM, DESIGNER CEILINGS, PALLADIANS &amp; ARCHES! GOURMET KITCHEN W/GRANITE COUNTERS &amp; STAINLESS APPLIANCES!HARDWOOD FLOORS!  LUXURY MASTER SUITE! FULL BASEMENT W/EXTERIOR ENTRY TO GARAGE!</t>
  </si>
  <si>
    <t>Rose Pagonis, CRS,GRI</t>
  </si>
  <si>
    <t>(630) 904-4519</t>
  </si>
  <si>
    <t>CELL 630-248-5475</t>
  </si>
  <si>
    <t>SHOWING ASSIST- OVERNIGHT NOTICE!</t>
  </si>
  <si>
    <t>CC: Pursuant to Short Sale. THANK YOU FOR SHOWING OUR LISTING. SHORT SALE INSTRUCTIONS IN ADDITIONAL INFO. FULL TIME SHORT SALE NEGOTIATOR ON TEAM.</t>
  </si>
  <si>
    <t>Renee</t>
  </si>
  <si>
    <t>2R0andall-Williamsburg E to Cambridge left to Renee or Rt 38 to Williamsburg-Cambridge right to Rene</t>
  </si>
  <si>
    <t>124X121X103X119</t>
  </si>
  <si>
    <t>Corner cul-de-sac lot in Stonebridge w/fin basement. Large front porch. Fenced side yard. Newer roof, siding, carpet, Living Rm Hardwood.  Fam Rm w/beamed ceiling. Eat in Kitchen w/Island &amp; Desk. 1st floor Laundry. Master Suite w/jacuzzi tub &amp; separate shower, vaulted ceiling &amp; skylight. BR 2 has sitting Rm &amp; vaulted ceiling. Deck &amp; Patio. Great sized home for buyer to put in a little TLC. A/C needs work.</t>
  </si>
  <si>
    <t>Humidifier, Water-Softener Owned, Security System, Intercom, CO Detectors, Ceiling Fan, Sump Pump</t>
  </si>
  <si>
    <t>Recreation Room, Sitting Room, Study, Workroom, Other</t>
  </si>
  <si>
    <t>06X09</t>
  </si>
  <si>
    <t>25X21</t>
  </si>
  <si>
    <t>2 1/2 - $100 (on Net SP)</t>
  </si>
  <si>
    <t>Pam Murray</t>
  </si>
  <si>
    <t>(630) 660-5193</t>
  </si>
  <si>
    <t>Call Centralized Showing at 1-877-977-1010 *dogs-please give a little notice*</t>
  </si>
  <si>
    <t>CC: Pursuant to Short Sale. Sold as-is, seller does not provide survey, 100% tax pro-ration. **Cash buyer could not come up with cash last minute.</t>
  </si>
  <si>
    <t>RANDALL TO HUNTLEY RD, EAST TO GRAND POINTE, SOUTH TO ASH, WEST TO WALNUT DR TO HOME.</t>
  </si>
  <si>
    <t>70X143</t>
  </si>
  <si>
    <t>TWO STORY HOME FEATURING FOUR BEDROOMS, 2.5 BATHS, KITCHEN WITH ISLAND &amp; HARDWOOD FLRS, BREAKFAST ROOM, DINING ROOM, FAMILY ROOM W/FIREPLACE, LAUNDRY ROOM ON 2ND LEVEL, MASTER BEDROOM W/MASTER BATH, CENTRAL AIR, FORCED AIR HEAT, 2 CAR ATTACHED GARAGE. SHORT SALE!  2/6/15 - price approved by bank. 60 day close possible</t>
  </si>
  <si>
    <t>Lonny Miller</t>
  </si>
  <si>
    <t>(847) 347-4666</t>
  </si>
  <si>
    <t>CALL SHOWINGTIME- 800-746-9464, MUST CONFIRM NO SAME DAY APPTS. M-F 10-3PM &amp; 7-8PM, SA/SUN ANYTIME!</t>
  </si>
  <si>
    <t>CC: Pursuant to Short Sale. *Prequalification Required by our preferred lender on all offers. Call Chris Gnutek @312-758-9457* Agent is a Short Sale EXPERT. Buyers agent holds earnest money, incl disclosures + copy of earnest money w/offers. www.shortsaleschicago.com</t>
  </si>
  <si>
    <t>88th</t>
  </si>
  <si>
    <t>Take Martin Luther King Drive to 88th, Take 88th to House</t>
  </si>
  <si>
    <t>This beautiful, recently rehabbed 4 bedroom, 3 bathroom brick bungalow has been completely redone and improved in every way. The gorgeous kitchen boasts stainless steel appliances and granite counters. The first floor offers gleaming hardwood floors throughout, and the finished basement includes a laundry room, an office and more. With a 2 car garage, a master suite and a great price, this house is a must see.</t>
  </si>
  <si>
    <t>EMAIL OFFERS TO OFFERS@FRANKMONTROHOMES.COM OR FAX 708-479-3308. EM CERTIFIED CHECK ONLY. VIEW OUR OTHER 100+ REHABBED HOMES @ FRANKMONTROHOMES.COM</t>
  </si>
  <si>
    <t>11N246</t>
  </si>
  <si>
    <t>ROMEO</t>
  </si>
  <si>
    <t>ROUTE 20 WEST TO PLANK RD LEFT TO RUSSELL TO VERONA (LEFT) TO JULIET (LEFT) TO ROMEO LEFT TO HOUSE</t>
  </si>
  <si>
    <t>MONTAGUE FOREST</t>
  </si>
  <si>
    <t>39,020 SQ.FT.</t>
  </si>
  <si>
    <t>WOW!!!!  Almost everything is new inside &amp; out!  New kitchen! New baths! New roof, siding &amp; windows! New floors, doors &amp; trim! New furnace, central ac &amp; hotwater heater! New well pump! New iron filter system! New electric panel! Just move in and enjoy this beautiful home on a peaceful wooded .88 acre site!  Desirable 301 district schools!  5 total levels!  This house is huge! Taxes do not include homeowner exemption.</t>
  </si>
  <si>
    <t>Unfinished, Sub-Basement</t>
  </si>
  <si>
    <t>Residential Real Estate Svcs</t>
  </si>
  <si>
    <t>(630) 830-8160</t>
  </si>
  <si>
    <t>Lori Cromie</t>
  </si>
  <si>
    <t>(312) 848-8191</t>
  </si>
  <si>
    <t>fax:  224-238-7498</t>
  </si>
  <si>
    <t>Use show assist or call 800-showing - call 800-showing for one day codes</t>
  </si>
  <si>
    <t>CROMIE REALTY INC</t>
  </si>
  <si>
    <t>Beautiful house!  Total gut rehab inside and out!  Thanks for showing!</t>
  </si>
  <si>
    <t>172 X 105</t>
  </si>
  <si>
    <t>Beautiful home with an oversized backyard!!! 4 bedrooms , huge loft, 2.5 baths and deep pour walkout basement with rough in. Kitchen features a large walk in pantry, triple slider door to take advantage of the sunshine, and a six foot island so perfect for entertaining. The 2878 sq ft home includes solid hardwood floors, white maple cabinets, and a luxury master bath!  Nothing to think about here! Move in now!</t>
  </si>
  <si>
    <t>Central Air, Energy Efficient Package, Garage, Hardwood/Ceramic Floors, Oak Trim/Oak Staircase, Upgrade Carpet/Pad/Vinyl</t>
  </si>
  <si>
    <t>Shakes, Other</t>
  </si>
  <si>
    <t>Please contact sales office at 847-984-4616 to schedule a showing.Open daily .</t>
  </si>
  <si>
    <t>Please call 847.984.4616 to schedule a showing. Our office is located at 3301 Stratton Street, Elgin, Il. Open daily from 10AM to 5PM, Sundays 11AM to 5PM, Mondays 1PM to 5 PM. Ask about financing incentives for using builder's lender( DHI)</t>
  </si>
  <si>
    <t>Lowe</t>
  </si>
  <si>
    <t>87TH STREET TO LOWE AVENUE SOUTH TO ADDRESS</t>
  </si>
  <si>
    <t>This house is very spacious and has a lot of character.  This would be perfect for someone looking for an investment property, home was rehabbed completely less then 4 years ago. Home has skylights, granite counter tops, newer roof, etc. But will need some TLC/Repairs to make this house a home. Conventional, Cash or 203K FIN Only</t>
  </si>
  <si>
    <t>30X9</t>
  </si>
  <si>
    <t>2.25%-$150 (ON NET SP) (on Net SP)</t>
  </si>
  <si>
    <t>Horton Realty Group</t>
  </si>
  <si>
    <t>(773) 320-8643</t>
  </si>
  <si>
    <t>Letoya Horton</t>
  </si>
  <si>
    <t>Call Listing Agent Letoya Horton 773-320-8643 with 24 hour notice</t>
  </si>
  <si>
    <t>Settlers</t>
  </si>
  <si>
    <t>RANDALL TO RT 20 (W) TO LONGCOMMON TO CRANSTON (R) TO SETTLERS (R) TO HOME</t>
  </si>
  <si>
    <t>BRICK HAVEN</t>
  </si>
  <si>
    <t>13949 SF</t>
  </si>
  <si>
    <t>Spacious home features 4 bedrooms plus a main floor den. Oak kitchen with center island is open to the family room.  Bright English basement offers more possiblities. This is a Homepath property.  100% tax proration, no survey, room sizes approx.</t>
  </si>
  <si>
    <t>Anita Holt</t>
  </si>
  <si>
    <t>(815) 757-4018</t>
  </si>
  <si>
    <t>Use 5.0 contract and attached REO Pkg in MLS, Go to homepath.co to submit offer. Up to 3.5% closing cost assistance offered on this property if close by 5/30/2014</t>
  </si>
  <si>
    <t>39W097</t>
  </si>
  <si>
    <t>REVERE HOUSE</t>
  </si>
  <si>
    <t>RANDALL TO MAIN ST W TO MILLCREEK N TO HYDE PARK E TO REVERE HOUSE LN N TO HOME</t>
  </si>
  <si>
    <t>80 X 145</t>
  </si>
  <si>
    <t>PROPERTY TO BE SOLD "AS IS".  SELLER DOES NOT PROVIDE A SURVEY.  TAXES PRORATED AT 100%.  EARNEST MONEY MUST BE IN CERTIFIED FUNDS,  LETTER OF APPROVAL OR PROOF OF FUNDS IS REQUIRED.  SAMPLE ADDENDA AND GUIDELINES ARE ATTACHED.</t>
  </si>
  <si>
    <t>BUYER IS RESPONSIBLE FOR ANY TRANSFER OR EXEMPT STAMPS AS APPLICABLE</t>
  </si>
  <si>
    <t>Wabash</t>
  </si>
  <si>
    <t>STATE TO 68TH TO WABASH TO HOME</t>
  </si>
  <si>
    <t>AMBASSADOR</t>
  </si>
  <si>
    <t>160X25X160X25</t>
  </si>
  <si>
    <t>Sold Before print</t>
  </si>
  <si>
    <t>BROWNELL ELEMENTARY SCHOOL</t>
  </si>
  <si>
    <t>DENEEN ELEMENTARY SCHOOL</t>
  </si>
  <si>
    <t>ROBESON HIGH SCHOOL</t>
  </si>
  <si>
    <t>David Olaoye</t>
  </si>
  <si>
    <t>(708) 261-6204</t>
  </si>
  <si>
    <t>CAll David 708 261 6204</t>
  </si>
  <si>
    <t>63rd street to Rockwell. south to property.</t>
  </si>
  <si>
    <t>YELLOW CHICAGO BRICK OCTAGON BUNGALOW. HOUSE FEATURES HARDWOOD FLOORS, FORMAL DINING ROOM, LIVING ROOM, 4 BEDROOMS, 3 BATHROOMS. FINISHED ATTIC AND SEMI FINISHED BASEMENT.  LARGE BACK YARD.  EASY TO SHOW. This is a Fannie Mae HomePath Property.</t>
  </si>
  <si>
    <t>USE SHOWING ASSIST***VERBALLY ACCEPTED***</t>
  </si>
  <si>
    <t>Seller has directed that offers be made on the Homepath.com Offer System at the HomePath website. Buyer resp. for termite insp &amp; survey; taxes 100%. THIS IS A FANNIE MAE FIRST LOOK PROPERTY UNTIL 4/29/15 EM to be payable to the Title Compan</t>
  </si>
  <si>
    <t>Knox</t>
  </si>
  <si>
    <t>79TH STREET SOUTH ON KILPATRICK LEFT ON 79TH PLACE TO KNOX TO ADDRESS</t>
  </si>
  <si>
    <t>GREAT DEAL*GREAT LOCATION*VERY WELL MAINTAINED*READY TO MOVE IN*SPACIOUS BRICK RANCH WITH FINISHED BASEMENT*LARGE LIVING ROOM/DINING ROOM COMBO,GREAT SPACE FOR ENTERTAINING*FOUR BEDROOMS*TWO FULL BATHROOMS*SUMMER KITCHEN WITH SINK*1 CAR GARAGE WITH NEW DOOR*LARGE YARD WITH PATIO*</t>
  </si>
  <si>
    <t>Fatima Ortiz</t>
  </si>
  <si>
    <t>(773) 663-0922</t>
  </si>
  <si>
    <t>773-663-0922</t>
  </si>
  <si>
    <t>CLICK ON Showing Assist FOR INSTRUCTIONS</t>
  </si>
  <si>
    <t>NOT AN REO OR SHORT SALE*QUICK CLOSING</t>
  </si>
  <si>
    <t>NORTH AVE TO TRIPP</t>
  </si>
  <si>
    <t>BRIGHT AND SPACIOUS 4 BEDROOM 2 BATH HOME. NICE YARD, LARGE GARAGE. GREAT HOME TO CUSTOMIZE TO YOUR OWN TASTE!</t>
  </si>
  <si>
    <t>14X24</t>
  </si>
  <si>
    <t>Rakesh Parikh</t>
  </si>
  <si>
    <t>SOLD"AS IS". NO DISCLOSURES, **PREAPPROVAL/POF WITH ALL  OFFERS** ROOM SIZES ARE ESTIMATED. EMAIL OFFERS TO SALES@1CAPREALTY.COM.  ***HIGHEST &amp; BEST OFFER DUE 4/20/15 AT 9AM. ***</t>
  </si>
  <si>
    <t>LAKE COOK TO COLD SPRING, RT ON LAKE SHORE, RT ON OXBOW</t>
  </si>
  <si>
    <t>102X194X100X193</t>
  </si>
  <si>
    <t>SOLD DURING PROCESSING! Views of the nature preserve from the expansive Great Room addition w/ bay windows, skylights, vaulted ceiling &amp; hardwood floors. 2 fireplaces. Updated kitchen open to Great Room. Newer windows. 2014 roof, gutters, &amp; shutters. Quiet street, brick paver patio in serene yard backing to preserve.</t>
  </si>
  <si>
    <t>Park/Playground, Pool, Tennis Courts, Pond/Lake, Water Rights, Street Lights</t>
  </si>
  <si>
    <t>Nature Preserve Adjacent, Landscaped Professionally, Water Rights</t>
  </si>
  <si>
    <t>Common Insurance, Pool, Lake Rights</t>
  </si>
  <si>
    <t>Humidifier, Water-Softener Owned, Fan-Whole House, Sump Pump</t>
  </si>
  <si>
    <t>13X5</t>
  </si>
  <si>
    <t>Patricia Thalheimer, SFR</t>
  </si>
  <si>
    <t>(847) 656-6853</t>
  </si>
  <si>
    <t>847-656-6853</t>
  </si>
  <si>
    <t>call 866-852-8313</t>
  </si>
  <si>
    <t>or record</t>
  </si>
  <si>
    <t>Backs to forest preserve!  Great design for families and entertaining! Private lot in great neighborhood! Brass moveable screen and andirons excluded.</t>
  </si>
  <si>
    <t>38W565</t>
  </si>
  <si>
    <t>Cloverfield</t>
  </si>
  <si>
    <t>Randall to Silver Glen W2 Stevens N2 Stevens Glen W2 Cloverfield L2 home</t>
  </si>
  <si>
    <t>THREE LAKES</t>
  </si>
  <si>
    <t>416X245X235X251</t>
  </si>
  <si>
    <t>Wow, this one is a stunner! Vacation at home in this Three Lakes executive home. Home sits on a private 2 acres and features an outdoor living space with pergola overlooking in-ground pool with auto cover, outdoor fireplace, built in grill, paver patio, stream, pond &amp; waterfall! And the interior is a dream with so much new! 4 BRs up, den on main floor could be 5th BR. Full and half bath on main floor, fin Eng. bsmt.</t>
  </si>
  <si>
    <t>Humidifier, Water-Softener Owned, Security System, Intercom, CO Detectors, Ceiling Fan, Sump Pump, Sprinkler-Lawn, Backup Sump Pump, Radon Mitigation System(s)</t>
  </si>
  <si>
    <t>Attic, Bonus, Den, Eating Area, Foyer, Game Room, Mud Room, Recreation Room, Sitting Room, Workroom</t>
  </si>
  <si>
    <t>Cedar, Frame</t>
  </si>
  <si>
    <t>Vaulted/Cathedral Ceilings, Bar-Wet, Hardwood Floors, 1st Floor Bedroom, 1st Floor Laundry, 1st Floor Full Bath</t>
  </si>
  <si>
    <t>Deck, Patio, Brick Paver Patio, Pool In-Ground, Grill-Outdoors, Outdoor Fireplace</t>
  </si>
  <si>
    <t>Marsha Wallace</t>
  </si>
  <si>
    <t>(630) 232-3908</t>
  </si>
  <si>
    <t>Call 877-404-1743, Must Confirm, 24 hr notice preferred M-F</t>
  </si>
  <si>
    <t>Sold during processing.</t>
  </si>
  <si>
    <t>Husking Peg</t>
  </si>
  <si>
    <t>Randall to Keslinger west to Fisher right to Larabee left to Daniels right to Husking Peg</t>
  </si>
  <si>
    <t>THIS IS IT! Great Willow model offers premium location: culdesac and backing to open field at Heartland Elementary~Hardwood thruout most of 1st floor~Fresh paint~Newer carpet~1st floor den adjacent to full bath~Custom wall of built-ins in FR w/ hook-up for wall mount TV~Completely remodeled master bath is a wow~Updated hall bath too~Finished basement~Amazing deck with covered arbor~2 paver patios~Fenced yard~Hurry!</t>
  </si>
  <si>
    <t>Oven/Range, Microwave, Dishwasher, Refrigerator, Freezer, Disposal</t>
  </si>
  <si>
    <t>Den, Eating Area, Exercise Room, Recreation Room</t>
  </si>
  <si>
    <t>Katie Hemming, ABR,CSC</t>
  </si>
  <si>
    <t>(630) 212-6165</t>
  </si>
  <si>
    <t>630-212-6165 cell</t>
  </si>
  <si>
    <t>Please call 855-917-9150 - 2 hour notice  Sentrilock on bell on porch</t>
  </si>
  <si>
    <t>This is the best of everything: floor plan, upgrades &amp; location!!</t>
  </si>
  <si>
    <t>WILSON</t>
  </si>
  <si>
    <t>94 EXIT TO WILSON EAST TO PROPERTY</t>
  </si>
  <si>
    <t>BEAUTIFUL NEW CONSTRUCTION HOME BUILT W/ATTENTION TO DETAILS! WALK TO METRA.</t>
  </si>
  <si>
    <t>Breakfast Room, Deck, Foyer, Great Room, Media Room, Mud Room, Play Room, Storage, Utility Room-Lower Level, Walk In Closet</t>
  </si>
  <si>
    <t>Vinyl Siding, Brick, Block</t>
  </si>
  <si>
    <t>11X04</t>
  </si>
  <si>
    <t>CLICK BELOW</t>
  </si>
  <si>
    <t>113th to Stewart</t>
  </si>
  <si>
    <t>40X136</t>
  </si>
  <si>
    <t>4 Bedroom 1.5 story; possible 5th bedroom 2nd level. SOLD AS IS</t>
  </si>
  <si>
    <t>$1500 FLAT FEE (on Gross SP)</t>
  </si>
  <si>
    <t>RE/MAX 1st SERVICE</t>
  </si>
  <si>
    <t>Steve Brashler</t>
  </si>
  <si>
    <t>708-912-0842</t>
  </si>
  <si>
    <t>Call Showing Assist  855-746-9858</t>
  </si>
  <si>
    <t>SOLD AS IS</t>
  </si>
  <si>
    <t>Union</t>
  </si>
  <si>
    <t>WENTWORTH TO 99TH</t>
  </si>
  <si>
    <t>This beautiful, recently rehabbed 4 bedroom, 2 1/2 bathroom brick ranch is overflowing with special features and brand new additions. The first floor offers gleaming hardwood floors and a gorgeous kitchen complete with stainless steel appliances and granite counters. The basement has been completely refinished, and there's even a master suite! With a great price and a 2-car garage, it's a must-see!</t>
  </si>
  <si>
    <t>39X12</t>
  </si>
  <si>
    <t>AUSTIN TOWARDS GEORGE ST WEST TO PROPERTY</t>
  </si>
  <si>
    <t>........BANK OWNED SOLD AS-IS . BUYER RESPONSIBLE FOR TERMITE AND SURVEY. TAXES PRORATED AT 100% . PROOF OF FUNDS OR PRE-APPROVAL REQUIRED WITH ALL OFFERS . E.M. MUST BE CERTIFIED FUNDS.</t>
  </si>
  <si>
    <t>PLEASE USE â€œSCHEDULE A SHOWINGâ€_x009d_, CLICK BELOW</t>
  </si>
  <si>
    <t>TCF NATIONAL BANK</t>
  </si>
  <si>
    <t>Email Offers to mauricio@citywide-realty.com.... Minimum EM for financed deals is $2500 and $5000 on CASH deals.  H&amp;B due 4-24-15 @ Noon</t>
  </si>
  <si>
    <t>WEST ON 83RD SOUTH ON PEORIA TO 85TH</t>
  </si>
  <si>
    <t>FANTASTIC 4 BED 2 BATH, 2 STORY HOME. HARDWOOD FLOORS IN LIVING ROOM,  SPACIOUS BEDROOMS, NICE LARGE YARD YARD. SOME TLC NEEDED.  PERFECT FIRST STARTER HOME.</t>
  </si>
  <si>
    <t>OWNER OCCUPANTS ONLY IN FIRST 20 DAYS.  ROOM SIZES ARE ESTIMATED.  SUBMIT ALL OFFERS VIA HOMEPATH.COM.  LOOK UNDER ADDNTL INFO TAB FOR OFFERS INSTRUCTION.  PREAPPROVAL OR POF WITH ALL OFFERS.</t>
  </si>
  <si>
    <t>MEADE</t>
  </si>
  <si>
    <t>DIVERSEY (2800N) TO MEADE (6100W), NORTH TO HOME</t>
  </si>
  <si>
    <t>FRAME SIDED BUNGALOW WITH 4+ BEDROOMS AND 1-1/2 BATHROOMS.  NEWER ROOF.  HARDWOOD FLOORS.  FULL BASEMENT.  NEEDS COMPLETE RENOVATION BUT ABUNDANT EXISTING SQUARE FOOTAGE TO WORK WITH.  CASH ONLY.</t>
  </si>
  <si>
    <t>(773) 637-6500</t>
  </si>
  <si>
    <t>George Ristau</t>
  </si>
  <si>
    <t>(708) 205-3868</t>
  </si>
  <si>
    <t>CALL GEORGE 708-205-3868 -- SEE AGENT REMARKS FOR SHOWING TIMES</t>
  </si>
  <si>
    <t>From Central, West on Eastwood, 2 West of Menard and across from Prussing elementary</t>
  </si>
  <si>
    <t>Beautifully renovated, brick home in Prime Jefferson Park.  Functional floorplan w/ stunning front rooms + space for family lvg.  GORGEOUS, huge KIT w/ cust cabinetry, stone ctrs, deluxe SS appliances &amp; bâ€™fast bar - opens to FR.  2 BR + BA on main lvl + 2 more up.  Large, comfy FR down + big/bright ldy.  Nice yard, 2 car gar, storage galore.  Walk to school, park, dâ€™twon Jeff Park.  Designer finishes, move in ready.</t>
  </si>
  <si>
    <t>Storage, Utility Room-Lower Level, Workroom, Recreation Room</t>
  </si>
  <si>
    <t>Please click showing assist below or call please call (800) 746-9464</t>
  </si>
  <si>
    <t>Truly a stunning renovation not to be missed.  Agent interest.</t>
  </si>
  <si>
    <t>Fullerton to Hamlin, north to property</t>
  </si>
  <si>
    <t>Bright and spacious home with 2 car garage. Huge spacious living and dining areas , hardwood floors, lovely eat-in kitchen.*Please include the disclosures found under additional info tab  with all offers .* Multiple offers received Highest and best offers are due before April  28, 2015 by 12;00 PM CST Please include the multiple offer form found under the Additional Information tab when submitting offers*</t>
  </si>
  <si>
    <t>*MEMBERS OF SELLING ENT. MAY BE IL.REAL ESTATE LIC.COMM PAID OFF NET SALES$(GROSS LESS  CONCESSIONS/CREDITS BY SELLER).100%TAX PRO *submit offer through this link https://www.tfaforms.com/forms/view/342853?tfa_41=a0Ed00000141nYx</t>
  </si>
  <si>
    <t>Chicago to Rockwell South on Rockwell to Superior East on Superior</t>
  </si>
  <si>
    <t>123 X 25</t>
  </si>
  <si>
    <t>Stunning modern single family home almost 4000SQFT of living space, great outdoor space open layout with luxurious finishes custom kitchen with quartz tops spa-like master.</t>
  </si>
  <si>
    <t>Central Air, Basement, Garage</t>
  </si>
  <si>
    <t>Call/Text Iryna 224-622-2735</t>
  </si>
  <si>
    <t>Owner is a licensed real estate agent of IL</t>
  </si>
  <si>
    <t>16N895</t>
  </si>
  <si>
    <t>Prairie Farm</t>
  </si>
  <si>
    <t>Route 20 West to Allen Road to Prairie Farm Dr</t>
  </si>
  <si>
    <t>2.6 ACRES</t>
  </si>
  <si>
    <t>Looking for Land~Don't Miss this Incredible Opportunity for this Custom 4BR Home on 2+ Acres! Updated Kitchen Features an Abundance of Solid Cabinetry, Granite Countertops, &amp; Stainless Appliances! Family room w/ Cozy Fireplace &amp; Door to Huge Deck! 4 Spacious Bedrooms! Detached 3 1/2 car Garage is fully insulated w/ electric &amp; water! Lot is zoned for horses!</t>
  </si>
  <si>
    <t>Unfinished, Crawl, Exterior Access, Bathroom Rough-In</t>
  </si>
  <si>
    <t>Horses Allowed, Irregular</t>
  </si>
  <si>
    <t>Call LO 847-985-7050 LB is on front thermostat and goes to the back door</t>
  </si>
  <si>
    <t>Oleander</t>
  </si>
  <si>
    <t>NORTHWEST HWY TO OLIPHANT NORTH TO PROPERTY</t>
  </si>
  <si>
    <t>EDISON PARK PLACE</t>
  </si>
  <si>
    <t>55X147</t>
  </si>
  <si>
    <t>HISTORIC PROPERTY SITS ON A 55X147 LOT. BRING YOUR REHAB IDEAS OR BUILD BRAND NEW ON THIS HUGE LOT. JUST 1 BLOCK FROM HOT EDISON PARK NIGHT LIFE, TOWN, TRAIN AND EASY ACCESS TO THE HIGHWAY AS WELL. THIS CORNER LOT HAS OUTSTANDING EXPOSURE AND MAKES THIS PROPERTY UNIQUE. NEWER ROOF, FASCIA AND GUTTERS.</t>
  </si>
  <si>
    <t>Den, Screened Porch, Storage, Utility Room-Lower Level</t>
  </si>
  <si>
    <t>2.5%-$275 (on Gross SP)</t>
  </si>
  <si>
    <t>RE/MAX Properties Northwest</t>
  </si>
  <si>
    <t>(847) 698-7000</t>
  </si>
  <si>
    <t>Danny McGovern</t>
  </si>
  <si>
    <t>(847) 692-6369</t>
  </si>
  <si>
    <t>CALL LISTING OFFICE 24 HOUR NOTICE REQUIRED</t>
  </si>
  <si>
    <t>Avenue O</t>
  </si>
  <si>
    <t>106th  St. to Avenue  O  go South to property</t>
  </si>
  <si>
    <t>CORNER BRICK HOME, IN GREAT SHAPE, JUST WAITING FOR THE RIGHT OWNERS! HARDWOOD FLOORS THRU-OUT, DINING RM, 4TH BEDROOM IN BASEMENT, NEWER WINDOWS, NEWER CENTRAL HEATING AND AIR CONDITION UNITS, NEWER ROOF 2012. READY TO MOVE IN CONDITION. QUALIFY BUYERS ONLY. BANK OWNED AND READY FOR A DEAL!!! THIS IS A ONE IN A MILLION...BANK WILL CONSIDER FINANCING!!!</t>
  </si>
  <si>
    <t>Hoff, Realtors</t>
  </si>
  <si>
    <t>(708) 403-4444</t>
  </si>
  <si>
    <t>Chet Mirus</t>
  </si>
  <si>
    <t>(312) 805-4231</t>
  </si>
  <si>
    <t>312-805-4231</t>
  </si>
  <si>
    <t>Call listing agent only!!! 312-805-4231</t>
  </si>
  <si>
    <t>Tara</t>
  </si>
  <si>
    <t>Randall to Highland E to Airlite S to Country Knoll, W to William N to Knollwood W to Tara</t>
  </si>
  <si>
    <t>NORTH COUNTRY KNOLLS</t>
  </si>
  <si>
    <t>105 X 140</t>
  </si>
  <si>
    <t>DEFINITELY, THE QUIETEST STREET IN ELGIN!  NEWLY REMODELED KITCHEN, COUNTERTOPS, ISLANDS &amp; LOTS OF CABINETS. 4 LARGE BEDROOMS &amp; 3 FULL BATHS. 2.5 CAR GAR. LG SUNRM OPENS TO DECK.  NEW(2014) 2-ZONED A/C &amp; HEATING. NEW ANDERSON WINDOWS. 2 FIREPLACES.FRESHLY PAINTED. 30" OF INSULATION. LARGE PATIO &amp; POND. HEAVILY WOODED LOT NEAR HAWTHORN WOODS.  SECURITY SYSTEM &amp; PLENTY OF STORAGE. CLOSE TO RANDALL &amp; RT 20</t>
  </si>
  <si>
    <t>Hot Water/Steam, Baseboard, Radiant, Indv Controls, Zoned</t>
  </si>
  <si>
    <t>Foyer, Screened Porch, Sun/Florida Room</t>
  </si>
  <si>
    <t>Vaulted/Cathedral Ceilings, Skylight(s), Heated Floors, Solar Tubes/Light Tubes</t>
  </si>
  <si>
    <t>Deck, Patio, Hot Tub, Porch Screened, Storms/Screens</t>
  </si>
  <si>
    <t>Wood Burning, Wood Burning Stove</t>
  </si>
  <si>
    <t>Mitchell Jacobs</t>
  </si>
  <si>
    <t>(847) 707-5162</t>
  </si>
  <si>
    <t>call listing agent Mitch 847-707-5162 must confirm no lockbox</t>
  </si>
  <si>
    <t>Hot tub/Spa as-is.  Owner is licensed realtor</t>
  </si>
  <si>
    <t>Kirk Rd. South to Pine Street West to home</t>
  </si>
  <si>
    <t>130X176X56X159</t>
  </si>
  <si>
    <t>You have found the one to call home! Beautiful 4 bdrm colonial w/a front porch! Large LR &amp; DR for entertaining! Stunning kitchen w/ SS appliances &amp; spacious eating area. FR w/FP &amp; great views of yard. 1st flr office w/double sided FP! Master w/remodeled bath! 3 additional bdrms! Partially finished bsmt! 3 car garage! Stunning yard w/ large deck, fire pit, shed &amp; gazebo. New roof &amp; windows. Selling in AS IS Condition.</t>
  </si>
  <si>
    <t>Kari Kohler</t>
  </si>
  <si>
    <t>(630) 673-4586</t>
  </si>
  <si>
    <t>Call ShowingTime at 800-746-9464. No showings until Sunday.</t>
  </si>
  <si>
    <t>Kitchen SS refrigerator will be replaced w/ SS refrigerator currently in garage. Seller is leaving all window treatments, gazebo, flower pots, rubber matt in bonus rm.  Not included: kitchen island &amp; flag pole. Selling in AS IS Condition.</t>
  </si>
  <si>
    <t>MOOSEHEART</t>
  </si>
  <si>
    <t>RANDALL 2 OAK W2 DEERPATH N2 MOOSEHEART E2 HOME</t>
  </si>
  <si>
    <t>MIRADOR</t>
  </si>
  <si>
    <t>HAMPDEN</t>
  </si>
  <si>
    <t>Gorgeous Home on Private lot backing to open space! Shows like new~Brazilian Cherry floors~Big Kit has island w/veggie sink/Butler pantry/backsplash..so nice~Stunning sunroom~Fam rm w/FP~1st flr den~Perfect master w/sitting rm/awesome bath w/glass block shower/dual head/body massagers/whirlpool~Walkin closet w/cherry organizers~J&amp;J bath~4th bdrm w/private bath~Epoxy 3 car gar~Brick front~Security sys~walk to park</t>
  </si>
  <si>
    <t>Oven-Double, Microwave, Dishwasher, Refrigerator, Disposal</t>
  </si>
  <si>
    <t>Whirlpool, Separate Shower, Double Sink, European Shower, Full Body Spray Shower, Double Shower</t>
  </si>
  <si>
    <t>Security System, Ceiling Fan, Sump Pump</t>
  </si>
  <si>
    <t>Den, Foyer, Sitting Room, Sun/Florida Room</t>
  </si>
  <si>
    <t>Garage Door Opener(s), Transmitter(s), Tandem</t>
  </si>
  <si>
    <t>CC: Pursuant to Short Sale. "AS IS" 100% prorations. If commission is reduced it will be reduced equally. Please remove shoes and shut off all lights after showing</t>
  </si>
  <si>
    <t>Laramie</t>
  </si>
  <si>
    <t>SOUTH OF NORTH AVE,1ST BLOCK</t>
  </si>
  <si>
    <t>Single family with great potential! 2 baths, Full basement with exterior access , spacious back yard. SUBMIT EARNEST MONEY AS CERTIFIED FUNDS. PROVIDE PROOF OF FUNDS OR PRE-APPROVAL. INFORMATION NOT GUARANTEED. TAX PRORATION 100%.AS-IS.</t>
  </si>
  <si>
    <t>SUBMIT OFFERS AT goo.gl/HH4jxI . Due to a city injunction, any potential buyer will need to be made a party to the injunction and be willing to continue the work with the city following the purchase/sale of the property.</t>
  </si>
  <si>
    <t>Magnuson</t>
  </si>
  <si>
    <t>PENNY RD W OF RT 59 S ON POND GATE E ON MAGNUSON.</t>
  </si>
  <si>
    <t>Pond Gate Farms</t>
  </si>
  <si>
    <t>VERONICA</t>
  </si>
  <si>
    <t>651 X 329</t>
  </si>
  <si>
    <t>WOW! NEWER 5000+ SQUARE FOOT HOME ON 5 ACRES IN BARRINGTON HILLS. 36X36 BARN/GARAGE W/WATER &amp; STORAGE LOFT. HUGE ROOMS. 2 STORY FAMILY ROOM &amp; FOYER. 1ST FLOOR BEDROOM/OFFICE W/ADJACENT FULL BATH. 9FT CEILINGS, 2 STAIRCASES, WALK-OUT BASEMENT. HORSES ALLOWED. MINUTES TO I-90 AND SHOPPING.</t>
  </si>
  <si>
    <t>26X24</t>
  </si>
  <si>
    <t>Cul-de-sac, Horses Allowed</t>
  </si>
  <si>
    <t>Deck, Porch, Gazebo, Horse Barn/Pole Barn</t>
  </si>
  <si>
    <t>Dean Tubekis</t>
  </si>
  <si>
    <t>(847) 809-8070</t>
  </si>
  <si>
    <t>CALL 855-957-1347</t>
  </si>
  <si>
    <t>Honeysuckle</t>
  </si>
  <si>
    <t>Rt 47 to Rt 10/Cannonball Tr Wst to Alice Ave turn Rt, to Alandale Ln turn Rt to Honeysuckle to Home</t>
  </si>
  <si>
    <t>WHISPERING MEADOWS</t>
  </si>
  <si>
    <t>Stunning 2 Story Home in Whispering Meadows with 4 Bedrooms plus Loft and 2 1/2 Baths. This Home features  Huge Sunlit rooms, 3 car garage, Incredible Gigantic fenced in yard and much more. Gorgeous views, close to Schools, Parks, Shopping and Transportation. Enjoy Neighborhood pool, Clubhouse, Fitness room AND all this in the perfect Yorkville location. Already Approved Short Sale no long wait. Hurry!</t>
  </si>
  <si>
    <t>2.5% -$225 (on Net SP)</t>
  </si>
  <si>
    <t>Rod Rivera</t>
  </si>
  <si>
    <t>(630) 207-1200</t>
  </si>
  <si>
    <t>CALL CSS TO SCHEDULE APPT 877-977-1010</t>
  </si>
  <si>
    <t>CC: Pursuant to Short Sale. SOLD AS-IS, SURVEY NOT INCLUDED, TAXES PRORATED AT 100% &amp; PRE-APPROVAL OR POF REQUIRED W OFFER. THANK YOU! FOR HOA INFO: 1.630.206.1515</t>
  </si>
  <si>
    <t>Cleveland</t>
  </si>
  <si>
    <t>Fullerton, South on Cleveland to 2327</t>
  </si>
  <si>
    <t>30X197</t>
  </si>
  <si>
    <t>Mid-century modern designed East Lincoln Park home/classical/timeless interior. Custom center metal floating staircase allows for open space/flow between rooms. Open kitch w/island/large working counter space/brkfst room. Multiple skylights thruout home. Master suite w/2 WICs/extensive built-ins. Huge prof landscaped front/back yards/custom lighting. 3 car heated gar. Walk to Lincoln Elem/Lincoln HS/Francis Parker.</t>
  </si>
  <si>
    <t>Whirlpool, Separate Shower, Steam Shower, Double Sink, Bidet</t>
  </si>
  <si>
    <t>Humidifier, Sump Pump, Air Cleaner</t>
  </si>
  <si>
    <t>Den, Exercise Room, Media Room, Mud Room, Office, Screened Porch, Study</t>
  </si>
  <si>
    <t>Balcony, Screened Patio, Brick Paver Patio, Storms/Screens, Grill-Outdoors</t>
  </si>
  <si>
    <t>2.5%- $275 (on Net SP)</t>
  </si>
  <si>
    <t>Millie Rosenbloom</t>
  </si>
  <si>
    <t>(312) 980-1517</t>
  </si>
  <si>
    <t>Email Millie, millierosenbloom@gmail.com</t>
  </si>
  <si>
    <t>Visit www.millierosenbloom.com.</t>
  </si>
  <si>
    <t>Hoyne</t>
  </si>
  <si>
    <t>Hoyne (2100 west) south of Addison (3600 north)</t>
  </si>
  <si>
    <t>30X72</t>
  </si>
  <si>
    <t>Single Family Rowhomes-no association/no assessment. This is southern END home. All brick and stone. Large rooms in efficient 29â€™ wide layout. 3 bed+2 bath+laundry on one level. Choose finishes-natural stones, real hwfl, top of the line appliances, wet bar. Big closets, storage, skylights, big rooftop space, large deck, front yard&amp;3 car attached garage! 1/2 block to Audubon School, 3 blocks to El. Ready summer 14</t>
  </si>
  <si>
    <t>Humidifier, TV-Cable, Security System, CO Detectors, Sump Pump</t>
  </si>
  <si>
    <t>Balcony, Bar, Foyer, Great Room, Storage, Utility Room-Lower Level, Walk In Closet, Other</t>
  </si>
  <si>
    <t>Skylight(s), Sauna/Steam Room, Bar-Wet, Hardwood Floors, Heated Floors, 2nd Floor Laundry</t>
  </si>
  <si>
    <t>CALL Jeff at 773.880.7500. No email, no text, do not call office, no carrier pigeon, no smoke signal</t>
  </si>
  <si>
    <t>Hoyne Rowhomes LLC</t>
  </si>
  <si>
    <t>*Four bedroom&amp;three and a half bath with three bedrooms and two full baths+laundry on one level* Please CALL Jeff to schedule an in-person presentation. One of owners/developers is an IL licensed broker.</t>
  </si>
  <si>
    <t>45TH</t>
  </si>
  <si>
    <t>KING DRIVE TO 45TH PL EAST</t>
  </si>
  <si>
    <t>120X16</t>
  </si>
  <si>
    <t>TENANT OCCUPIED 48 HOUR NOTICE FOR ALL SHOWINGS/////LEASE ENDS 01/31/2015...FORECLOSURE/BANK OWNED/FORECLOSED/ SOLD AS IS/NO SURVEY/NO DISCLOSURES/TAXES PRORATED AT 100%/NO TERMITE/ PROVIDE PROOF OF FUNDS WITH ALL OFFERS/PROVIDE A COPY OF A EARNEST MONEY CHECK CERTIFIED FUNDS MADE PAYABLE TO (SEE PARAGRAPH 3 OF SELLERS CONTRACT) MINIMUM $2,500.</t>
  </si>
  <si>
    <t>Gas, Electric, Forced Air, Indv Controls</t>
  </si>
  <si>
    <t>Curbs/Gutters, Gated Entry</t>
  </si>
  <si>
    <t>Humidifier, Intercom, CO Detectors, Ceiling Fan</t>
  </si>
  <si>
    <t>14X07</t>
  </si>
  <si>
    <t>CALL AGENT 773-241-1282 SHOWINGS  48 HOURS NOTICE</t>
  </si>
  <si>
    <t>Occupants WILL NOT BE EVICTED PRIOR TO CLOSING!!!!!EMAIL OFFERS TO: agcy@sbcglobal.net Download Sellers contract under additional info...please make sure all fields are filled in. Multi-board contract not needed.</t>
  </si>
  <si>
    <t>72 to RJ Brown S2 Wester L2 Bayshore R2 Dover R2 Bristol and L2 Home</t>
  </si>
  <si>
    <t>Nice Located Property, Short Sale, sold as is</t>
  </si>
  <si>
    <t>2.-$250 (ON NET) (on Net SP)</t>
  </si>
  <si>
    <t>RE/MAX United</t>
  </si>
  <si>
    <t>(847) 215-5555</t>
  </si>
  <si>
    <t>Luigui Corral</t>
  </si>
  <si>
    <t>(847) 236-0000</t>
  </si>
  <si>
    <t>Call Centralized Showings 877-977-1010</t>
  </si>
  <si>
    <t>CC: Pursuant to Short Sale. Send Contract using multiboard 5.0 along pof or pre-approval, 100% proration, no survey, as is</t>
  </si>
  <si>
    <t>Glenbrook</t>
  </si>
  <si>
    <t>Randall South of I90 to Big Timber West to Timber Glen North to Glenbrook Left.</t>
  </si>
  <si>
    <t>TIMBER GLEN</t>
  </si>
  <si>
    <t>Large two story home located in "Timber Glen" subdivision. Hardwood flooring in the kitchen, Full basement, open and airy feeling through out. The subdivision offers many amenities such as: Parks, walking paths and ponds. This is a HomePath property.</t>
  </si>
  <si>
    <t>Call 1-855-746-9100 Mon - Sun 8am to 10pm</t>
  </si>
  <si>
    <t>Follow instructions UNDER ADDITIONAL INFORMATION tab. Visit HomePath.com   *Seller directs offer to be made online at HomePath.com.</t>
  </si>
  <si>
    <t>LAWNDALE</t>
  </si>
  <si>
    <t>109th St to Lawndale Ave (3700 W)</t>
  </si>
  <si>
    <t>SUPER NICE FOUR BEDROOM, SHINY HARDWOOD FLOORS, FRESHLY PAINTED, NEW CARPET, NEW KITCHEN AND APPLIANCES, NEW FURNACE, EXTRA HALF BATH IN BASEMENT AND MUCH MORE. THIS IS A GREAT HOME ON A LARGE LOT AND SHOWS WELL. YOU WON'T BE DISAPPOINTED.</t>
  </si>
  <si>
    <t>2.5% AND $1000 BONUS (on Gross SP)</t>
  </si>
  <si>
    <t>Sally Crachy</t>
  </si>
  <si>
    <t>USE SENTRI CARD OR SEE SHOWING ASSIST</t>
  </si>
  <si>
    <t>FAX ALL OFFERS TO 773-779-8505</t>
  </si>
  <si>
    <t>Oak Creek</t>
  </si>
  <si>
    <t>Genoa</t>
  </si>
  <si>
    <t>Rte. 72 W, Madison S, Walnut W, Oak Creek S.</t>
  </si>
  <si>
    <t>GENOA</t>
  </si>
  <si>
    <t>SS approved at the current list price.  One lender that has proven easy to work with...NOT one of the big lenders!  Roomy ranch with full finished basement w/4th bedroom, bathroom, wet bar, huge family room and bonus room. First floor laundry, eat-in kitchen, oak cabinets and trim.  Large 17x13 master bedroom with 8x10 walk-in closet (could easily be made into master bathroom).  Approx. 2350 sq.ft. total sq. ft.</t>
  </si>
  <si>
    <t>Microwave, Dishwasher, Disposal</t>
  </si>
  <si>
    <t>Bar-Wet, 1st Floor Bedroom, 1st Floor Laundry, 1st Floor Full Bath</t>
  </si>
  <si>
    <t>Storage Shed, Storms/Screens</t>
  </si>
  <si>
    <t>2.5-150% (on Gross SP)</t>
  </si>
  <si>
    <t>(815) 784-4582</t>
  </si>
  <si>
    <t>Judy Lacefield</t>
  </si>
  <si>
    <t>815-985-1042</t>
  </si>
  <si>
    <t>Call CSS at 877-977-1010 for all showings.  Short notice OK</t>
  </si>
  <si>
    <t>CC: Pursuant to Short Sale. CC: Pursuant to Short Sale.  The property may continue to be shown for 90 days.   Any reduction in commission will be split evenly.  No survey or pest inspection.  Taxes prorated at 100%.  SS approved at list price!  Bring us the offer!</t>
  </si>
  <si>
    <t>RTE 59 SOUTH OF SCHAUMBURG RD TO LARKSPUR WEST</t>
  </si>
  <si>
    <t>63X120X88X110</t>
  </si>
  <si>
    <t>CONTEMPORARY FLOOR PLAN HAS 4 BEDROOMS AND 2-1/2 BATH. HOME FEATURES MODERN CURVED STAIRCASE, MASTER BATH W SOAKING TUB AND OVER SIZED SHOWER, NEW CARPETING AND FRESHLY PAINTED THROUGHOUT. KITCHEN HAS NEW DISHWASHER AND STOVE, SUNKEN FAMILY ROOM. BRIGHT AND AIRY FLOOR PLAN.  MUST SEE!</t>
  </si>
  <si>
    <t>Jax Realtors</t>
  </si>
  <si>
    <t>(630) 250-4513</t>
  </si>
  <si>
    <t>Michael Fields</t>
  </si>
  <si>
    <t>SEE SHOWING INSTRUCTIONS BELOW</t>
  </si>
  <si>
    <t>HOMESTEPS</t>
  </si>
  <si>
    <t>ELIGIBLE UNDER FREDDIE MAC 1ST LOOK THRU 03/29/14. SOLD AS IS. NO SURVEY, NOR DISC. TAXES PRORATED 100%. PAL/POF TO ACCOPMANY OFFER. FAX TO 630-250-4516. 1K BONUS TO SA FOR OWN OCC OFFERS IF SUBMITTED BY 04/15/14 AND CLOSED BFORE 05/30/14</t>
  </si>
  <si>
    <t>Mc Glashen</t>
  </si>
  <si>
    <t>From Mundhank W of Barrington Rd.  Go S on Lake Adalyn.  E on Rose.  N of McGlashen to house.</t>
  </si>
  <si>
    <t>The Glen</t>
  </si>
  <si>
    <t>124X80X306X191X252</t>
  </si>
  <si>
    <t>Approved Short Sale at list Price, Quick Close!  This all brick palace boasts a soaring domed foyer, Bridal Staircase.  Heated marble floors. Every bedroom has its own suite with full bath.  Expansive master Suite with dressing room and built ins galore.  Walk out basement is ready to be finished with radiant heat in the floors,roughed in bath, and full basements under both Garages. Approved at list Price</t>
  </si>
  <si>
    <t>18X30</t>
  </si>
  <si>
    <t>Park/Playground, Pond/Lake, Gated Entry, Street Paved</t>
  </si>
  <si>
    <t>Whirlpool, Separate Shower, Double Sink, Bidet, Full Body Spray Shower, Soaking Tub</t>
  </si>
  <si>
    <t>Lawn Care, Snow Removal</t>
  </si>
  <si>
    <t>Humidifier, Water-Softener Owned, Central Vacuum, TV-Cable, Security System, CO Detectors, Ceiling Fan, Fan-Attic Exhaust, Sump Pump, Sprinkler-Lawn, Air Cleaner</t>
  </si>
  <si>
    <t>Bonus, Foyer, Loft, Office, Walk In Closet</t>
  </si>
  <si>
    <t>Vaulted/Cathedral Ceilings, Skylight(s), Heated Floors, 1st Floor Bedroom, 1st Floor Laundry</t>
  </si>
  <si>
    <t>Roger H Evans, REALTOR, Inc</t>
  </si>
  <si>
    <t>(847) 705-9066</t>
  </si>
  <si>
    <t>Charles Evans</t>
  </si>
  <si>
    <t>(847) 951-8972</t>
  </si>
  <si>
    <t>Agent Accompany Call Chad 847-951-8972</t>
  </si>
  <si>
    <t>CC: Pursuant to Short Sale. Approved at List Price! Quick Close.</t>
  </si>
  <si>
    <t>Wood Oaks</t>
  </si>
  <si>
    <t>Algonquin West to Route 59, then South past Penny Rd to Wood Oaks on Left. Second house on Right.</t>
  </si>
  <si>
    <t>THE WOODS OF SOUTH BARRINGTON</t>
  </si>
  <si>
    <t>ELLSWORTH</t>
  </si>
  <si>
    <t>183X109X164X111</t>
  </si>
  <si>
    <t>Beautiful Ellsworth model, just one year old. Elegant designer kitchen, two story great room, dark hardwood floors throughout. First floor laundry and large mud room. Immense custom paver deck with firepit overlooking protected wetlands. Master bedroom with four walking closets complete with built ins.  Full finished basement with added full bath with game and viewing areas. Completely ready for you to move in.</t>
  </si>
  <si>
    <t>Park/Playground, Tennis Courts, Pond/Lake, Street Paved</t>
  </si>
  <si>
    <t>Common Insurance, Exterior Maintenance, Lawn Care</t>
  </si>
  <si>
    <t>15X47</t>
  </si>
  <si>
    <t>Hunter's Fairway Sotheby's International Realty</t>
  </si>
  <si>
    <t>(847) 381-2049</t>
  </si>
  <si>
    <t>George P Broustis</t>
  </si>
  <si>
    <t>(847) 971-9136</t>
  </si>
  <si>
    <t>Showing Time for appointment @ 1.877.746.9205.</t>
  </si>
  <si>
    <t>Job transfer is providing one of the very best resale homes ever available in The Woods. This home is only a year old, decorated impeccably and ready for your own finishing touches. Convenient for your kids who'll be attending Barbara Rose.</t>
  </si>
  <si>
    <t>HADDON</t>
  </si>
  <si>
    <t>Division to Washtenaw, South to Haddon, West to home OR Western to Haddon, one way west to home.</t>
  </si>
  <si>
    <t>Stunning! Prudently built 4 comfort, designed 2 entertain.  Spacious gourmet kitch boasts Italian Aran World cabs w/frstd glass drs, Wolf/Bosch appl, Granite cntertps. Superb Mstr Suite has huge closet, sep shower, corner whirlpool tub. Unique â€œWall of Glassâ€_x009d_ brings light 2 all flrs. LL incl Fam Rm, Rec Rm, wet bar, surr sound, plus a 4th bdrm, &amp; full spa bath. Playful PH w/roof deck and More! Prepare 2 B impressed!</t>
  </si>
  <si>
    <t>Deck, Eating Area, Foyer, Pantry, Recreation Room, Walk In Closet, Other</t>
  </si>
  <si>
    <t>(708) 352-4840</t>
  </si>
  <si>
    <t>Steve Siciliano</t>
  </si>
  <si>
    <t>708.712.9482</t>
  </si>
  <si>
    <t>Seller says get it sold!  This home is beautiful and spacious with a ton of storage and cool features.  Give me a call for more info.</t>
  </si>
  <si>
    <t>INDIANA</t>
  </si>
  <si>
    <t>NORTH OR SOUTH ON KING DR. WEST ON 41ST, NORTH ON INDIANA TO PROPERTY</t>
  </si>
  <si>
    <t>25 X 160</t>
  </si>
  <si>
    <t>YOUR CHANCE TO OWN YOUR DREAM HOME-BRAND NEW CONSTRUCTION IN THE UP &amp; COMING BRONZEVILLE AREA. MODERN, CONTEMPORARY FEEL WITH OPEN FLOOR PLAN! LOADS OF SPACE WITH A MAIN FLOOR PERFECT FOR ENTERTAINING &amp; DAY TO DAY LIVING, SLEEPING ON THE SECOND FLOOR &amp; FULLY FINISHED BASEMENT TO USE HOWEVER YOU LIKE. BUY NOW &amp; YOU WILL HAVE THE OPPORTUNITY TO CHOOSE AN INTERIOR DESIGN PACKAGE! 1 YEAR HWA INCLUDED.</t>
  </si>
  <si>
    <t>29X14</t>
  </si>
  <si>
    <t>Cedar, Limestone</t>
  </si>
  <si>
    <t>12X4</t>
  </si>
  <si>
    <t>DRIVE BY - CALL OFFICE WITH QUESTIONS</t>
  </si>
  <si>
    <t>EARNEST MONEY TO BE PAID IN CERTIFIED FUNDS TO THE G-SLOW TEAM. PLEASE NOTE - THIS PROPERTY COMES WITH A ONE YEAR HWA HOME WARRANTY.</t>
  </si>
  <si>
    <t>Michigan n/s to 125 w to wabash n to property</t>
  </si>
  <si>
    <t>Move Right In.  Newly rehabbed throughout.  Hardwood floors and new carpet.  Finished basement.  Newer garage, windows, and roof.  New furnace, hot water heater, private fence and central air unit.  Alarm system, electrical upgrades and lots more.</t>
  </si>
  <si>
    <t>American Group Realty, Inc.</t>
  </si>
  <si>
    <t>(773) 660-1710</t>
  </si>
  <si>
    <t>Grethel Hogg</t>
  </si>
  <si>
    <t>(773) 339-1934</t>
  </si>
  <si>
    <t>Call Carey at 312 498-4655</t>
  </si>
  <si>
    <t>Fox Crossing</t>
  </si>
  <si>
    <t>Randall 2 Mooseheart E 2 Deer Trail Right 2 Moose Lake left 2 Sycamore right 2 Fox Crossing left</t>
  </si>
  <si>
    <t>MOOSE LAKE ESTATES</t>
  </si>
  <si>
    <t>RIVERSTONE</t>
  </si>
  <si>
    <t>80 X 175</t>
  </si>
  <si>
    <t>ALL THE EXTRAS! 150K+ IN UPGRADES! WHY WAIT FOR NEW CONSTRUCTION? 4 CAR GARAGE. WRAP AROUND DECK. DOZENS OF TREES &amp; BUSHES. HWD FLOORS. COLUMNS. ARCHES. OPEN FABULOUS FLOOR PLAN. FABULOUS TRIM. CUSTOM CHERRY 42â€_x009d_ KITCHEN: VIKING WOW APPLS, BUTLERS PANTRY, GLASS DOORS, WINE RACK, GRANITE. CLASSIC STONE FP. TRANSOMS. SCONCES. LOFT, PANELED OFFICE, MBR W/SITTING ROOM. ZONED HEAT/AC. A GREAT OPPORTUNITY! CLOSE TO I-88.</t>
  </si>
  <si>
    <t>20X27</t>
  </si>
  <si>
    <t>Humidifier, Intercom, CO Detectors, Ceiling Fan, Sump Pump, Air Cleaner</t>
  </si>
  <si>
    <t>Breakfast Room, Foyer, Loft, Sitting Room, Study</t>
  </si>
  <si>
    <t>Attached Fireplace Doors/Screen, Gas Starter</t>
  </si>
  <si>
    <t>CALL 855-746-9093</t>
  </si>
  <si>
    <t>SEE ADDT'L INFO FOR LONG LIST OF EXTRAS!! Paid 593K &amp; they paid for the upgrades above a more comprehensive â€œbase pricedâ€_x009d_ home with many more inclusions than the builder offers now.  Compare &amp; you will see what a REAL VALUE this IS TODAY!</t>
  </si>
  <si>
    <t>7N946</t>
  </si>
  <si>
    <t>Northern Dancer</t>
  </si>
  <si>
    <t>Randall Rd to Silver Glen Rd W to Stevens Rd N to McDonald Rd W to Phar Lap Dr S to Northern Dancer</t>
  </si>
  <si>
    <t>295X100</t>
  </si>
  <si>
    <t>Fannie Mae Homepath Property! 4 bedroom home on over one acre. Fresh Paint &amp; New Carpet! Vaulted ceilings. FP in fam rm. Large paver patio.  No personal property included.  POF is strongly encouraged w/offers.</t>
  </si>
  <si>
    <t>PLEASE CALL CENTRALIZED SHOWING 877-977-1010</t>
  </si>
  <si>
    <t>Property was temp off market for minor repairs.  These repairs have been completed.</t>
  </si>
  <si>
    <t>NORTHWEST HWY WEST TO OLYMPIA SOUTH TO OLMSTED TO PROPERTY</t>
  </si>
  <si>
    <t>52X87X51X83</t>
  </si>
  <si>
    <t>A GREAT INVESTMENT OPPORTUNITY! THE REHAB WORK WAS STARTED AND IS 50% COMPLETE. ROOM SIZES HAVE BEEN TAKEN FROM PROPOSED PLANS TO SHOW YOU WHAT CAN BE DONE WITH THIS SPACE. PROPERTY IS BEING SOLD "AS-IS" AND ARCHITECTURAL PLANS ARE AVAILABLE -FIND THEM FOR PREVIEW UNDER ADDITONAL INFORMATION. USE YOUR IMAGINATION AND PICTURE WHAT A WONDERFUL FAMILY HOME THIS WILL MAKE.</t>
  </si>
  <si>
    <t>Pantry, Walk In Closet</t>
  </si>
  <si>
    <t>9X4</t>
  </si>
  <si>
    <t>3X3</t>
  </si>
  <si>
    <t>EARNEST MONEY TO BE PAID IN CERTIFIED FUNDS TO THE G-SLOW TEAM. PLEASE NOTE THAT THIS IS AN 'AS IS' PROPERTY.</t>
  </si>
  <si>
    <t>St Charles</t>
  </si>
  <si>
    <t>Rt.  25 2 Villa St. E 2 St. Charles S 2 property</t>
  </si>
  <si>
    <t>This charming 2 story home has a lot to offer! Beautiful details with the luxury of a recently renovated home. Updated bathroom with travertine tile. Updated kitchen with granite counter tops and ss appliances. Basement is finished with full bath and bedroom. 2nd flr has large rooms and loft space. Large front porch. This house is a must see!</t>
  </si>
  <si>
    <t>Galley, Pantry-Closet</t>
  </si>
  <si>
    <t>Clad Trim</t>
  </si>
  <si>
    <t>Roman Realty Group</t>
  </si>
  <si>
    <t>(773) 278-3030</t>
  </si>
  <si>
    <t>Robert Kopp</t>
  </si>
  <si>
    <t>(630) 651-3722</t>
  </si>
  <si>
    <t>Please Call Centralized Showings: 877-977-1010</t>
  </si>
  <si>
    <t>IRVING PARK TO WOLCOTT, NORTH TO CUYLER, EAST TO PROPERTY</t>
  </si>
  <si>
    <t>25X120</t>
  </si>
  <si>
    <t>Completely rehabbed single family home in walk-to-every thing location! Features sunny, open layout; Huge gourmet eat-in kitchen with stainless steel appliances opening to  deck and  landscaped yard; large family room;  new baths; custom paint &amp; lighting; Newer hardwood floors;   lots of storage &amp; two-car garage! Ideal for entertaining! Inlaw-Teen Lower level 2nd Kit. Full Bath, 2 Bed. Fam.Rm 2nd laund. Very rentable</t>
  </si>
  <si>
    <t>Humidifier, TV-Dish, CO Detectors, Ceiling Fan</t>
  </si>
  <si>
    <t>Vaulted/Cathedral Ceilings, In-Law Arrangement</t>
  </si>
  <si>
    <t>Deck, Patio, Brick Paver Patio</t>
  </si>
  <si>
    <t>William Wilton</t>
  </si>
  <si>
    <t>(630) 306-1625</t>
  </si>
  <si>
    <t>Call, Text or email L.A. Bill 630-306-1625</t>
  </si>
  <si>
    <t>PRICE REDUCED TO LAND VALUE!!  NOTE CC. SELLER WILL CONSIDER ALL OFFERS. Lower level is sep. metered / has own HVAC - Washer/Dryer. &amp; Kit. - Lower Level is vacant &amp; flexible layout could be further improved.  Lots of possibilities!!</t>
  </si>
  <si>
    <t>Armitage</t>
  </si>
  <si>
    <t>North of North Ave. East of Harlem</t>
  </si>
  <si>
    <t>27X129</t>
  </si>
  <si>
    <t>Unique Galewood ranch. 2nd owner. Builder's home. Looking for space? This is it! Large, bright rooms. Lath and plasters. Eat-in kitchen. Den or 4th bedroom. Bsmt has lots of potential. Wood paneled, bath w shower, bar, rec room, and more.  Hardwood floors under carpet. Cabinet kitchen w dinette. Taxes prorated at 100% of last bill. Can be sold with 6924 Armitage.</t>
  </si>
  <si>
    <t>Bar-Wet, Hardwood Floors, 1st Floor Full Bath</t>
  </si>
  <si>
    <t>Nikki Mayer</t>
  </si>
  <si>
    <t>Wilcox</t>
  </si>
  <si>
    <t>Madison west to Sacramento south to Wilcox to property.</t>
  </si>
  <si>
    <t>Two Story home with 2 Bedrooms and 2 bath. Good Opportunity for development. Sold as A Short Sale. Short Sale already Approved by Bank. Quick Closing.</t>
  </si>
  <si>
    <t>Century 21 Affiliated Maki</t>
  </si>
  <si>
    <t>(847) 336-7333</t>
  </si>
  <si>
    <t>Lorenze Platt</t>
  </si>
  <si>
    <t>(708) 743-3135</t>
  </si>
  <si>
    <t>CALL SHOWING TIME @ 855-957-1312</t>
  </si>
  <si>
    <t>CC: Pursuant to Short Sale. Approved Short Sale. Can Close quickly. COOP COMMISSION SUBJECT TO SELLERS LENDER APPROVAL.</t>
  </si>
  <si>
    <t>BRICKVILLE</t>
  </si>
  <si>
    <t>PEACE RD TO FREED RD, EAST TO  BRICKVILLE, SOUTH TO HOUSE</t>
  </si>
  <si>
    <t>.5 ACRE</t>
  </si>
  <si>
    <t>DON'T JUDGE A BOOK BY IT'S COVER! UNIQUE HOME WALKING DISTANCE TO DOWNTOWN SYCAMORE. THIS HOME BOASTS 4 BEDS, 3 BATHS, BEAUTIFUL HARDWOOD FLOORS, SOARING FIREPLACES, 2 CAR GARAGE &amp; FULL PART FINISHED BAS. KITCHEN W/HICKORY CABINETS, CORIAN COUNTER TOPS, SKY LIGHT,WALK IN PANTRY.MASTER BED HAS FP, HIGH CEIL W/WOOD BEAM, WIC &amp; MASTER BATH. GORGEOUS LANDSCAPING W/BRICK PATIO ON A 1/2 ACRE! COME SEE SOON! **SOLD AS IS**</t>
  </si>
  <si>
    <t>24X25</t>
  </si>
  <si>
    <t>See through/Multi Sided, Wood Burning, Wood Burning Stove</t>
  </si>
  <si>
    <t>Suzi Warner, GRI</t>
  </si>
  <si>
    <t>(815) 766-1014</t>
  </si>
  <si>
    <t>CALL 1-855-746-9200;* MUST CONFIRM*  Schedule a Showing</t>
  </si>
  <si>
    <t>**AGENTS PLEASE NOTE CC IS 3%**MUST CONFIRM**0629451024 &amp; 0629451009 ARE THE OTHER PARCELS.THERE ARE FRUIT TREES, BERRY BUSHES &amp; HARD TO FIND PERRENIALS. SELLER REQUESTS DIGGER RIGHTS.**SOLD AS IS**</t>
  </si>
  <si>
    <t>From Montrose, head north on Kimball, then east on Sunnyside Ave, then south on Spaulding to 4436</t>
  </si>
  <si>
    <t>ANOTHER GEM BY AMBROSIA HOMES IN HOT IRVING PARK/ ALBANY PARK AREA. EVERYTHING NEW IN THIS COMPLETE GUT REHAB/ NEW CONSTRUCTION 4 BR 3 FULL 1 HALF BA 2 CAR, 9' CEILINGS, MODERN OPEN LAYOUT, 3 BEDS ON 2ND FLR, CHEFS KITCHEN, GLASS TILE, S.S. APPLS, FLAT PANEL CABINETS, GRANITE, OAK HARDWD, JACUZZI, MSTR BDRM SUITE W/DUAL VANITIES, WALK-IN CLOSET, 2ND FLR LNDRY, GIANT PATIO, BLDR WRRNTY. WALK TO BROWN LINE EL.</t>
  </si>
  <si>
    <t>Combined w/ LivRm, Combined w/ FamRm</t>
  </si>
  <si>
    <t>2.5% LESS $295 (on Net SP)</t>
  </si>
  <si>
    <t>Absolute Pin, Inc.</t>
  </si>
  <si>
    <t>(312) 437-8292</t>
  </si>
  <si>
    <t>Timothy Pomaville</t>
  </si>
  <si>
    <t>USE SHOWING ASSIST! DON'T CALL LISTING AGENT! REQUEST BUILDER CONTRACT</t>
  </si>
  <si>
    <t>USE SHOWING ASSIST, DO NOT CALL LISTING AGENT!  REQUEST A BUILDERS CONTRACT.  EMAIL OFFERS TO TIM.POMAVILLE@GMAIL.COM.  GO TO AMBROSIAHOMESINC.COM TO LEARN ABOUT OTHER HOMES AVAILABLE BY THIS BUILDER.</t>
  </si>
  <si>
    <t>Osprey</t>
  </si>
  <si>
    <t>Peck to Lewis E. to Osprey Ct. N. to home</t>
  </si>
  <si>
    <t>Brentwood Ponds</t>
  </si>
  <si>
    <t>98X122X146X156</t>
  </si>
  <si>
    <t>Impressive ALL BRICK beauty walking distance to the park. 3300 sqft~Hardwood flrs~ Fam rm w/arched brick/stone FP &amp;wall of builtins~Bright sunroom~Cooks Island granite kit w/planning desk~Executive Massive master suite w/sitting rm &amp; loft areas~ Spacious bath w/whirlpool tub/double basins~Big bdrms~2nd flr Ldy~Full bsmt w/bath rough W/2nd FP~Exterior brick pillars/patio~Close Proximity to  Metra &amp; downtown Geneva!!!</t>
  </si>
  <si>
    <t>Loft, Sitting Room, Sun/Florida Room</t>
  </si>
  <si>
    <t>Vaulted/Cathedral Ceilings, Skylight(s), Hardwood Floors, 2nd Floor Laundry</t>
  </si>
  <si>
    <t>Call (855)746-9200 - Easy to show</t>
  </si>
  <si>
    <t>Madden</t>
  </si>
  <si>
    <t>From RT 47 East to Autumn Creek left on Crimson and left on Emerald</t>
  </si>
  <si>
    <t>Autumn Creek</t>
  </si>
  <si>
    <t>BIRMINGHAM</t>
  </si>
  <si>
    <t>Absolutely stunning home that is better than new.  Grand 2 story entry with formal living areas on either side. 2 story family room with fireplace opens to gorgeous kitchen and eating area. Open  stairway overlooks family room. Kitchen with beautiful cabinetry and plenty of room. Sliding doors leading to large back yard with no one behind you!!</t>
  </si>
  <si>
    <t>call CSS at 1-877-977-1010</t>
  </si>
  <si>
    <t>40W876</t>
  </si>
  <si>
    <t>WHITNEY</t>
  </si>
  <si>
    <t>Rt 64 to Burlington N to Whitney</t>
  </si>
  <si>
    <t>264 X 777 X 262 X 817</t>
  </si>
  <si>
    <t>5 spectacular lakefront acres!You must come and experience the amazing views and the gardens along the 260ft shoreline!Newer home offers 1st flr master suite.Gorgeous vaulted fam rm w/wall of windows overlooking your private retreat!Lovely granite kit w/gorgeous sunroom adjacent!Fabulous 2nd flr w/unique design.Huge walkout bsmt w/2nd fp!Greenhouse &amp; garden shed too~St,Charles schools</t>
  </si>
  <si>
    <t>29X18</t>
  </si>
  <si>
    <t>Beach, Lake Front, Landscaped Professionally, Water Rights, Water View, Wooded</t>
  </si>
  <si>
    <t>Bonus, Foyer, Loft, Office, Sun/Florida Room</t>
  </si>
  <si>
    <t>Porch, Greenhouse, Storage Shed</t>
  </si>
  <si>
    <t>36X19</t>
  </si>
  <si>
    <t>call 8557469200. 24 hr notice must confirm</t>
  </si>
  <si>
    <t>CC: Pursuant to Short Sale. sold as is. buyer to pay for survey.if commissions reduced by lender will be split 50/50 between listing and selling agent.Paperwork sent to lender already by short sale attorney</t>
  </si>
  <si>
    <t>BUTLER-LOT210</t>
  </si>
  <si>
    <t>RT 34 TO HWY 71 SW TO MINKLER RD SOUTH TO SALES CENTER</t>
  </si>
  <si>
    <t>FOXWOOD</t>
  </si>
  <si>
    <t>APPROX .25 ACRES</t>
  </si>
  <si>
    <t>BEAUTIFUL FOXWOOD MODEL AT HUNT CLUB IN OSWEGO!  SOLD BEFORE PROCESING</t>
  </si>
  <si>
    <t>3% OF BASE -$200 (on Net SP)</t>
  </si>
  <si>
    <t>Debra Jurgensen</t>
  </si>
  <si>
    <t>(630) 803-7388</t>
  </si>
  <si>
    <t>REGISTER CLIENT AT FIRST VISIT</t>
  </si>
  <si>
    <t>K HOVNANIAN</t>
  </si>
  <si>
    <t>Heather</t>
  </si>
  <si>
    <t>Rt 30 to Prescott south to Heather west to home</t>
  </si>
  <si>
    <t>LAKEWOOD CREEK WEST</t>
  </si>
  <si>
    <t>GRAHAM</t>
  </si>
  <si>
    <t>65X120X64X120</t>
  </si>
  <si>
    <t>Welcome home! Spacious Eat in Kitchen w/Hdwd flrs, new SS appls, under cab lighting &amp; new fixtures! Opens to Lg Fam Rm &amp; SGD to Deck overlooking the Fenced Yard. Great for Entertaining! Formal Liv Rm &amp; sep Din Rm. Master Bdrm features Vltd Ceiling, private bath &amp; WIC. Partially finished Basement lets the kids enjoy their own space. Tons of storage. Pool/clubhouse community - great schools &amp; No SSA! Move in ready! A+</t>
  </si>
  <si>
    <t>Park/Playground, Pool, Pond/Lake, Curbs/Gutters, Sidewalks</t>
  </si>
  <si>
    <t>Ceiling Fan, Sump Pump, Backup Sump Pump</t>
  </si>
  <si>
    <t>Kathryn Melone, CNC,CSC</t>
  </si>
  <si>
    <t>(630) 699-3256</t>
  </si>
  <si>
    <t>for appt call 866-571-7181 ~ MUST CONFIRM ~ short notice required</t>
  </si>
  <si>
    <t>Terry</t>
  </si>
  <si>
    <t>Route 25 South to Butterfield to Pinecreek to Terry</t>
  </si>
  <si>
    <t>WELCOME HOME!! BRAND NEW siding/gutters/ext.trim &amp; insulation. Stunning 4 bedroom home with Living room features French doors, DR w/ upgraded trim. Kitchen w/ center island. New stove, dishwasher.. Master Ste w/ tray ceiling, private bath, 2 sinks, wall &amp; walk/in closet. Family room features fireplace w/ gas starter, bay window. Opens to kitchen. First floor laundry/mudroom. English bsmt w/ partially finished rec roo</t>
  </si>
  <si>
    <t>Humidifier, TV Antenna, CO Detectors, Sump Pump</t>
  </si>
  <si>
    <t>Call Showing Time @855-746-9927 or use Showing Assist</t>
  </si>
  <si>
    <t>Immediate Possession!</t>
  </si>
  <si>
    <t>WEAVER-LOT 70</t>
  </si>
  <si>
    <t>THIS BEAUTIFUL FOXWOOD MODEL IS BEING BUILT NOW AND AVALABLE IN JUNE! FEATURES 4 BDRMS, 2.5 BATHS, 2ND FLR BONUS RM &amp; 3 CAR GARAGE.2ND FLR LDRY RM. UPGRADES GALORE INCL STAINLESS APPL, 42" CABS, GRANITE C-TOPS, HARDWOOD FLRS, FULL BSMT,ULTRA MSTR BATH SUITE, HIGHEST GRADE EXTERIOR &amp; MORE! NEW COMMUNITY POOL &amp; CLUBHOUSE. PHOTOS ARE OF MODEL HOME NOT ACTUAL HOME! PRICING &amp;PROMOTIONS SUBJECT TO CHANGE W/O NOTICE.</t>
  </si>
  <si>
    <t>3% + $1000 OF BASE - $200 (on Net SP)</t>
  </si>
  <si>
    <t>630-551-7060</t>
  </si>
  <si>
    <t>MUST REGISTER CLIENT AT FIRST VISIT AT SALES OFFICE!</t>
  </si>
  <si>
    <t>W on Higgins to Shoe Factory Rd, to Prestbury. to Willoby</t>
  </si>
  <si>
    <t>Very well maintained large 4 bedroom 3 bath welcomes you home with tons of storage, a deck off the kitchen for grilling, walkout full finished basement with 2nd full kitchen is perfect for related living.  Central Vac, Fenced Yard.  Lincoln Elementary is close to home. Updates include: Windows, Siding, HVAC all within last 2 years. Pride of ownership shines in this home.</t>
  </si>
  <si>
    <t>Pond/Lake, Sidewalks, Street Lights, Street Paved</t>
  </si>
  <si>
    <t>Humidifier, Central Vacuum, Intercom, CO Detectors, Ceiling Fan, Sump Pump, Radon Mitigation System(s)</t>
  </si>
  <si>
    <t>2nd Kitchen, Den, Foyer, Office</t>
  </si>
  <si>
    <t>Exit Realty Redefined</t>
  </si>
  <si>
    <t>(630) 480-4555</t>
  </si>
  <si>
    <t>Katie Skomorowski</t>
  </si>
  <si>
    <t>(630) 723-7999</t>
  </si>
  <si>
    <t>Please use showing assist - 24 hours notice please</t>
  </si>
  <si>
    <t>Enclave</t>
  </si>
  <si>
    <t>Sales Office Located at 135 Park Avenue, Downtown Barrington</t>
  </si>
  <si>
    <t>ENCLAVE OF HERITAGE ESTATES</t>
  </si>
  <si>
    <t>221X283</t>
  </si>
  <si>
    <t>SOLD BEFORE PRINT Gorgeous Gated Community,Barrington School Dist 220,1+ Acre (L25).ELEGANT CUSTOM BUILT HOME w/full rounded turret @ entry, 3-Car Garage, 9' Ceilings, 2-Story Foyer &amp; Great Rm, Hardwood FL, Masonry FP, CUSTOM CHEF'S KITCHEN w/Pantry &amp; Butler's Pantry, Pooja Rm, Full Bath Rm on 1st Floor, Master Suite w/10'x7' Entry Foyer &amp; 12'x11' 5-PC Master Bath, Oak Staircase, Full Basement, Crown Molding Thru Out</t>
  </si>
  <si>
    <t>ROSLYN ROAD ELEMENTARY SCHOOL</t>
  </si>
  <si>
    <t>Breakfast Room, Foyer, Great Room, Library, Loft, Mud Room, Pantry, Walk In Closet, Other</t>
  </si>
  <si>
    <t>2.5%-$200 ON BASE PRICE (on Net SP)</t>
  </si>
  <si>
    <t>Kinzie Brokerage LLC</t>
  </si>
  <si>
    <t>(312) 464-8800</t>
  </si>
  <si>
    <t>Steven Maher</t>
  </si>
  <si>
    <t>(847) 208-4450</t>
  </si>
  <si>
    <t>Visit our Sales Center, 135 Park Ave, Barrington. We are open M/Tu/S/S and by appt.</t>
  </si>
  <si>
    <t>Our Sales Center is now open Monday, Tuesday, Saturday and Sunday or by appointment. We are located at 135 Park Ave, Barrington. The Maple Model is under construction and is available to view by appointment. $2,000 HOA start up fee.</t>
  </si>
  <si>
    <t>Hawks Nest</t>
  </si>
  <si>
    <t>SPRUCE</t>
  </si>
  <si>
    <t>378X283X354X72</t>
  </si>
  <si>
    <t>SOLD BEFORE PRINT,Gorgeous Gated Community,Barrington School Dist 220 (1+ Acre, Lot16).This Elegant 1st Fl Master Ste Home w/3-Car Garage,9' Ceilings 1st &amp; 2nd Floors,2-Story Foyer &amp; Fam Rm,Hardwood Floors,Masonry FP,SS Appl,Gourmet Kitchen,42" Upper Cabinets,Granite,Oak Staircase,Full Basement,Crown Molding.  Located in a spectacular setting.Opt Customization Avail.To Be Built to 5-Star Energy Rated!</t>
  </si>
  <si>
    <t>Oven-Double, Microwave, Dishwasher, All Stainless Steel Kitchen Appliances</t>
  </si>
  <si>
    <t>Bsmnt/Lower Lvl Finished, Deck/Patio/Screened Porch, Hot Tub/Pool, Roof Cedar/Shakes/Tile, Skylight/s, Floor Plan Modifications Allowed</t>
  </si>
  <si>
    <t>Breakfast Room, Library, Mud Room</t>
  </si>
  <si>
    <t>2.5%-$200 ON BASE PRICE (ON NET SP) (on Net SP)</t>
  </si>
  <si>
    <t>Christine Lutz</t>
  </si>
  <si>
    <t>(312) 719-0650</t>
  </si>
  <si>
    <t>Visit our Sales Center, 135 Park Ave, Barrington, Open M/Tu/S/S and by appointment</t>
  </si>
  <si>
    <t>Our Sale Center is now open Monday, Tuesday, Saturday and Sunday or by appointment.  We are located at 135 Park Ave, Barrington. The Maple Model is under construction and is available to view by appointment.  $2,000 HOA start up fee.</t>
  </si>
  <si>
    <t>OGLESBY</t>
  </si>
  <si>
    <t>YATES S TO 78TH ST., W TO OGLESBY NORTH TO ADDRESS</t>
  </si>
  <si>
    <t>50X110</t>
  </si>
  <si>
    <t>Nice sized Bungalow on great block. Oversized rooms, and tons of space to live comfortably. Bring in all offers, short sale, sold as-is</t>
  </si>
  <si>
    <t>call showing time 855-957-1523</t>
  </si>
  <si>
    <t>SOUTHERLAND-LOT 44</t>
  </si>
  <si>
    <t>BUILD THIS BEAUTIFUL MELBOURNE MODEL AT HUNT CLUB IN OSWEGO! HOME FEATURES 4 BDRMS, 2.5 BATHS, 2ND FLR LOFT &amp; 2 CAR GAR. MSTR BDRM HAS LGE WALK-IN CLOSET &amp; PRIVATE BATH.  2ND FLR LNDRY RM. 1ST FLR FEATURES LIVING RM, FAM RM, DINING RM,KITCH W/ BREAKFAST NOOK &amp; WALK IN PANTRY &amp; POWDER ROOM. NEW COMMUNITY POOL &amp; CLUBHOUSE. NOTE:PHOTOS ARE OF MODEL HOME NOT ACTUAL HOME! PRICING &amp; PROMOTIONS SUBJECT TO CHANGE W/O NOTICE</t>
  </si>
  <si>
    <t>Beverly</t>
  </si>
  <si>
    <t>LAKE TO GREENBROOK S TO ARLINGTON RD TO ANDOVER TO BEVERLY</t>
  </si>
  <si>
    <t>Terrific 4 bedroom 2.1 bath two story home in move in condition featuring a 2 car garage, fireplace, new carpet and has been freshly painted throughout. Just minutes from public transportation, expressways and is located in a cul-de-sac.</t>
  </si>
  <si>
    <t>Common Insurance, Exterior Maintenance, Lawn Care, Snow Removal</t>
  </si>
  <si>
    <t>TAXES 100%, submit through homepath.com</t>
  </si>
  <si>
    <t>Kennedy</t>
  </si>
  <si>
    <t>RT 72 TO PEARL SOUTH TO KENNEDY WEST (R) TO 1402</t>
  </si>
  <si>
    <t>COUNTRY MEADOWS</t>
  </si>
  <si>
    <t>80X164X81X177</t>
  </si>
  <si>
    <t>ONE OF THE LARGER FLOOR PLANS THAT KENNEDY OFFERED W/OPTIONAL 3RD GARAGE AND SUN ROOM. OPEN FLOOR PLAN. MASTER SUITE W/FIREPLACE, SEP WHIRLPOOL TUB AND SHOWER &amp; A 12x12 WARDROBE RM! LOFT/REC RM UP AND ALL BDRMS HAVE WALK IN CLOSETS. BEAUTIFUL KITCHEN WITH CORIAN COUNTERS, ISLAND AND BREAKFAST AREA. LARGE FAMILY ROOM WITH FIREPLACE OPENS TO RARELY SEEN OPTIONAL SUN ROOM THAT LEADS TO DECK. FULL BSMT~LOW PROPERTY TAX!</t>
  </si>
  <si>
    <t>Unfinished, Crawl, Exterior Access</t>
  </si>
  <si>
    <t>Humidifier, Water-Softener Owned, TV-Cable, Security System, Ceiling Fan, Sump Pump, Air Cleaner, Radon Mitigation System(s)</t>
  </si>
  <si>
    <t>Breakfast Room, Loft, Sitting Room, Sun/Florida Room Heated</t>
  </si>
  <si>
    <t>Variable, Short Sale</t>
  </si>
  <si>
    <t>Terri Tillinghast, BPOR,e-PRO</t>
  </si>
  <si>
    <t>(847) 980-0359</t>
  </si>
  <si>
    <t>CALL LISTING OFFICE=NEEDS OWNER CONFIRMATION</t>
  </si>
  <si>
    <t>CC: Pursuant to Short Sale. SHORT SALE PROCESS STARTED.</t>
  </si>
  <si>
    <t>Willington</t>
  </si>
  <si>
    <t>Wolf Rd to Southbury Blvd south to Willington Way west to 280 Willington on your left.</t>
  </si>
  <si>
    <t>SUMMER GATE AT SOUTHBURY</t>
  </si>
  <si>
    <t>STARLING</t>
  </si>
  <si>
    <t>93 X 147 X 55 X 147</t>
  </si>
  <si>
    <t>NEW! Ready to close! Looks like a model!- 2805 SF 4 Brms 2.5 baths plus loft/ 2nd family room. Open floorplan. Upgraded kitchen w staggered 36/42" Glazed Cabinets w crown, SS appliances, pendant lights, wood/laminate floors. Large master brm w 2 walk in closets and luxury bath with upgraded ceramic.  Full basement and 3 Car+ Garage.  Closing cost credit w builder lender! Club/ Pool community.  On site elem school</t>
  </si>
  <si>
    <t>3% (ON NET SALES PRICE) (on Net SP)</t>
  </si>
  <si>
    <t>Jennifer 847-984-4615</t>
  </si>
  <si>
    <t>847-984-4615</t>
  </si>
  <si>
    <t>Register client on 1st visit at sales office. Jennifer 847-984-4615</t>
  </si>
  <si>
    <t>D R Horton</t>
  </si>
  <si>
    <t>Register client on 1st visit at sales office 204 Bolton Ct.  847-984-4615.  Tue- Sat 10-5pm, Sun 11-5, Monday 1-5pm  Closing cost credit w builder lender! Move in ready!</t>
  </si>
  <si>
    <t>E/W on 83rd. St to St. Lawrence; S on St. Lawrence to 8112</t>
  </si>
  <si>
    <t>3720 SQ. FT</t>
  </si>
  <si>
    <t>GREAT OPPORTUNITY!! VERY SPACIOUS FOUR BEDROOM BUNGALOW IN CHATHAM!! ORIGINAL HARDWOOD FLOORS IN MOST OF HOME (SOME UNDER CARPET); NOTE THE ROOM SIZES; PARTIALLY FINISHED BASEMENT;WALK IN CLOSETS IN THREE OF BEDROOMS.THIS VINTAGE HOME AWAITS YOUR IDEAS AND SPECIAL TOUCHES!! NICE TREE LINED BLOCK,CLOSE TO SCHOOLS,TRANSPORTATION. PROPERTY BEING SOLD AS-IS!!</t>
  </si>
  <si>
    <t>Enclosed Porch, Utility Room-Lower Level, Other</t>
  </si>
  <si>
    <t>Sharon Averhart</t>
  </si>
  <si>
    <t>(773) 732-7296</t>
  </si>
  <si>
    <t>Call Listing Agent. 24 Hrs Notice</t>
  </si>
  <si>
    <t>40W155</t>
  </si>
  <si>
    <t>Sturbridge</t>
  </si>
  <si>
    <t>RANDALL RD TO BOWES RD WEST TO CORRON RD TO STURBRIDGE WAY</t>
  </si>
  <si>
    <t>124X240X243X16X365</t>
  </si>
  <si>
    <t>Stunning! The property sits on 1.23 acres &amp; The spacious interior features hardwood flooring on the main level with an open floor plan, the hardwood pillars give the property a unique touch.  The Master Suite has Cathedral Ceilings &amp; Much More, the finished basement is designed for an In-Law-Arrangement.  Fannie Mae HomePath Property  100% tax proration!</t>
  </si>
  <si>
    <t>Dishwasher, Refrigerator</t>
  </si>
  <si>
    <t>Den, Recreation Room, Game Room, Foyer</t>
  </si>
  <si>
    <t>Please see attached docs under additional info. All offers be made on Homepath.com. Also, send same doc to ndismuke@starckrealtors.com &amp; we will confirm receipt. Have your buyer(s) select &amp; initial title option in Section 10.</t>
  </si>
  <si>
    <t>KEDVALE</t>
  </si>
  <si>
    <t>63RD ST TO KARLOV, SOUTH TO 64TH ST;WEST TO KEDVALE...NORTHWEST CORNER HOME</t>
  </si>
  <si>
    <t>36' X 125'</t>
  </si>
  <si>
    <t>UNIQUE &amp; RARE FIND QUEEN ANNE ARCHITECTURE;ALL BRICK &amp; FIT FOR A KING!TOTAL 4 B/R 1.5 BATHS;2 W/B FIREPLACES;VINTAGE H/W FLRS MAIN FLR;WINDOWS,ROOF,A/C REPLACED;TCKPNTD/CHMNY REBLT;ATT.2 CAR GARAGE W/BREEZEWAY;HUGE DECK AND PRIVACY FNCD YARD,ABV GRND POOL;NEWER CARPET ON 2ND FLR;UPDATED KITCHEN;TONS OF STORAGE;CLOSE TO TRANS,SHOPPING. 1500 SQ FT PLUS FIN BSMNT;VERY EXCELLENT CONDITION! AS-IS SALE,NO SRVY,100% TAX PRO</t>
  </si>
  <si>
    <t>Deck, Patio, Roof Deck, Pool Above Ground, Storms/Screens, Breezeway</t>
  </si>
  <si>
    <t>Deborah Laskowski</t>
  </si>
  <si>
    <t>(773) 485-9303</t>
  </si>
  <si>
    <t>773-485-9303</t>
  </si>
  <si>
    <t>CALL 1-855-746-9858</t>
  </si>
  <si>
    <t>CC: Pursuant to Short Sale. CC: Pursuant to Short Sale. SHORT SALE OFFERING, COMMISSION WILL BE SPLIT 50/50 ON WHAT BANK APPROVES. PARTIES INVOLVED ARE PROFESSIONAL,EXPERT AND MOTIVATED.</t>
  </si>
  <si>
    <t>MONTGOMERY W2 DOUGLAS S2 RT 30 W2 LAKEWOOD CREEK LEFT</t>
  </si>
  <si>
    <t>Fresh paint floor to ceiling! Brand new carpet throughout entire home! 4 Spacious Bedrooms, 2 Full Baths, 1 half bath, 2 car attached garage! Oak cabinets!  **NO PERSONAL PROPERTY INCLUDED** This is a Fannie Mae HomePath Property.</t>
  </si>
  <si>
    <t>Woodhall Midwest Properties LTD</t>
  </si>
  <si>
    <t>(630) 219-0181</t>
  </si>
  <si>
    <t>Roseanna Gomer</t>
  </si>
  <si>
    <t>(630) 301-9688</t>
  </si>
  <si>
    <t>Click "Schedule a Showing"</t>
  </si>
  <si>
    <t>Multiple Offer Deadline â€“ H&amp;B Due- 10-8-14 @ 4PM Submit offer HomePath.com. Please Email POF/preapproval to Broker. For assistance w/ offer call 866.218.4446. No survey provided. Cashiers- EM to Codilis &amp; Associates, 10% on cash purchase.</t>
  </si>
  <si>
    <t>McDuffee</t>
  </si>
  <si>
    <t>Tanner to Meade to Berman to McDuffee, go right to home</t>
  </si>
  <si>
    <t>TANNER TRAILS</t>
  </si>
  <si>
    <t>WASHINGTON</t>
  </si>
  <si>
    <t>85X170</t>
  </si>
  <si>
    <t>Home features large kitchen w/ new SS stove and dishwasher. Separate dining rm. 4 BR's and 4 full baths! Freshly painted and new carpeting throughout. This is a Fannie Mae HomePath property.</t>
  </si>
  <si>
    <t>All offers are to be submitted on HomePath.com **BUYER RESPONSIBLE FOR TRANSFER STAMPS IF APPLICABLE</t>
  </si>
  <si>
    <t>Cottage Grove to 83rd; East to Maryland</t>
  </si>
  <si>
    <t>Limited Service Listing. Buyer to pay $299.00 Technology Fee at closing.  SELLER WILL NOT ACTIVATE UTILITIES FOR INSPECTION.  Agent must accompany buyer.  Property has been vandelized.  Cash or conventional loans only.</t>
  </si>
  <si>
    <t>2.5% OR $1,250 LESS $175.00 (on Net SP)</t>
  </si>
  <si>
    <t>Rhonda Rogers</t>
  </si>
  <si>
    <t>(708) 439-8365</t>
  </si>
  <si>
    <t>See Remarks</t>
  </si>
  <si>
    <t>2.5% or $1.250.00 whichever is higher minus $175.00 admin fee.  For assistance call Altisource Customer Care at 855-882-1314.  Per Seller, offers must be submitted to www.HUBZU.com.</t>
  </si>
  <si>
    <t>Seaton</t>
  </si>
  <si>
    <t>Rt47 2 HughesRd(E) 2AndersonRd(N) 2 Independence(W) 2 Seaton(N)</t>
  </si>
  <si>
    <t>80X122</t>
  </si>
  <si>
    <t>Better than new home w/exceptional trim &amp; detail,bay windows,9ft &amp; volume ceils,2-story foyer w/leaded glass door...Quality finished bsmt w/full bath &amp; blt-ins...Beautifully landscaped private fenced yard!!Huge Corian kitch(note size) w/SS appls,Maple cabs,blt-in ovens,dinette w/full walkout bay to amazing yard!Fam rm w/floor to ceil stone fp...Mbdrm w/luxurious bath &amp; wic...Perfect condition &amp; very tasteful decor!!</t>
  </si>
  <si>
    <t>Humidifier, Water-Softener Owned, Security System, CO Detectors, Ceiling Fan, Sump Pump, Backup Sump Pump</t>
  </si>
  <si>
    <t>28X28</t>
  </si>
  <si>
    <t>Call 855-919-0377 For Appointment</t>
  </si>
  <si>
    <t>Avenue M</t>
  </si>
  <si>
    <t>Take 95th St to Avenue M, then South to property</t>
  </si>
  <si>
    <t>Fair Elms</t>
  </si>
  <si>
    <t>48 X 124</t>
  </si>
  <si>
    <t>Very nice brick ranch house with full finished basement. Double sized lot. Lg 2.5 car heated garage in back with side driveway, fenced yard. Big family room, bonus room, full bathroom and extra bedroom in basement. Jetted bathtub in basement bath. House is in good, solid condition. Many upgrades already done. Buyer can buy and remodel all in one loan with 3.50% down and get a grant to help with closing costs.</t>
  </si>
  <si>
    <t>15X28</t>
  </si>
  <si>
    <t>Bonus, Breakfast Room, Foyer</t>
  </si>
  <si>
    <t>Hardwood Floors, Solar Tubes/Light Tubes, 1st Floor Bedroom, 1st Floor Full Bath</t>
  </si>
  <si>
    <t>Joe Held, BPOR,GREEN</t>
  </si>
  <si>
    <t>(773) 828-8410</t>
  </si>
  <si>
    <t>Second tax PIN 26-05-321-020-0000, 2013 tax=$493 (w/Homestead exemption). -Contact Perry Farella, AmeriFirst regarding renovation loan options.</t>
  </si>
  <si>
    <t>kostner</t>
  </si>
  <si>
    <t>Cermak Rd (2200 South) East of Pulaski to Kostner, Kostner South to Address</t>
  </si>
  <si>
    <t>Make this your new home plenty of space 4 Bedrooms 2 Full baths. House features 3 levels for living, new furnace, new 2 car garage and wonderful neighborhood to call home. This is a short sale worth the wait!!!</t>
  </si>
  <si>
    <t>Gloria Simpson, ABR,e-PRO,SFR</t>
  </si>
  <si>
    <t>(708) 628-2900x13</t>
  </si>
  <si>
    <t>CC: Pursuant to Short Sale. short sale</t>
  </si>
  <si>
    <t>Ewing</t>
  </si>
  <si>
    <t>Go South on Ewing Avenue to Property</t>
  </si>
  <si>
    <t>31 X 116</t>
  </si>
  <si>
    <t>Beautiful Four bedroom 2 and a half bath brick bungalow meticulously clean and well maintained. Hardwood floors in the living room and the upper level bedrooms,  Ceramic floor in the updated kitchen. Finished basement with a large family room and a full bath.  Nice large laundry room. Maintenance free exterior with a  sturdy wrought iron fence.  Fenced yard with large concrete patio and a detached 2 car brick garage.</t>
  </si>
  <si>
    <t>41X12</t>
  </si>
  <si>
    <t>Fred Sosinski, ABR</t>
  </si>
  <si>
    <t>(708) 473-8500</t>
  </si>
  <si>
    <t>Call Listing Office 708-798-1333</t>
  </si>
  <si>
    <t>Sam Sarcinella</t>
  </si>
  <si>
    <t>Earnest Money must be in certified funds payable to RE/MAX Synergy, Remitter must be buyer. E-Mail offers to fredsosinski@remax.net or fax to 708-572-0371. Please use disclosures found on the MLS under the additional information section.</t>
  </si>
  <si>
    <t>41W039</t>
  </si>
  <si>
    <t>Mulhern</t>
  </si>
  <si>
    <t>W on Route 38, S on La Fox Road, W on Dillionfield, S on Mulhern to Home.</t>
  </si>
  <si>
    <t>DILLONFIELD</t>
  </si>
  <si>
    <t>240X517X80X511</t>
  </si>
  <si>
    <t>GENEVA SCHOOLS! Custom built home with open floor plan sits on 1.9 acres. Eat-in kitchen opens to Great Room with hardwood floors and stone fireplace. 2 1st floor offices. Master suite w/ luxury bath and walk-in closets. 2nd floor laundry. Finished basement with wet bar, media room, 4th bedroom and half bath. Large deck and backs to open space. 3 car garage. Walk to the LaFox Train.</t>
  </si>
  <si>
    <t>Game Room, Media Room, Office, Recreation Room, Study, Sun/Florida Room Heated</t>
  </si>
  <si>
    <t>2.5-$295 (on Net SP)</t>
  </si>
  <si>
    <t>Pat Moran</t>
  </si>
  <si>
    <t>(847) 707-4084</t>
  </si>
  <si>
    <t>Call 855-746-9100 for appointment.</t>
  </si>
  <si>
    <t>Geneva school district.</t>
  </si>
  <si>
    <t>North or South on Austin to Cornelia, west on Cornelia to 6216.</t>
  </si>
  <si>
    <t>Spacious and Well Maintained 4/5 Bedroom, 3 Full Bath Home on a beautiful tree lined street!!  GFA/CA, 2nd Level has in law quarters with second kitchen.  Hardwood Floors, Large back deck and yard, 2 Car Garage.  Move in condition or update for the long run!!!</t>
  </si>
  <si>
    <t>2nd Kitchen, Bonus, Den</t>
  </si>
  <si>
    <t>Jakubco Development, Inc</t>
  </si>
  <si>
    <t>(708) 744-8617</t>
  </si>
  <si>
    <t>Nicholas Jakubco</t>
  </si>
  <si>
    <t>Call LA.  24 hours notice required.</t>
  </si>
  <si>
    <t>CC: Pursuant to Short Sale. Experienced Short Sale Broker. Great House.  Taxes 100% No Survey!! As-Is Purchase.  Closing cannot occur before June 30th, 2014!!</t>
  </si>
  <si>
    <t>BICKFORD-LOT 5</t>
  </si>
  <si>
    <t>FOXWOOD MODEL AT HUNT CLUB IN OSWEGO. SOLD BEFORE PROCESSING</t>
  </si>
  <si>
    <t>3% OF BASE - $200 (on Net SP)</t>
  </si>
  <si>
    <t>MUST REGISTER CLIENT ON FIRST VISIT AT SALES OFFICE</t>
  </si>
  <si>
    <t>69th</t>
  </si>
  <si>
    <t>SOUTH TO 69TH WEST TO 1410</t>
  </si>
  <si>
    <t>EXCEPTIONAL OPPORTUNITY FOR INVESTORS. NEWER CONSTRUCTION, 4 BEDROOMS, 3 1/2 BATHROOMS AND 2 CAR GARAGE..LOTS OF UPGRADES HARDWOOD FLOORS GRANITE COUNTERTOPS, FIREPLACE, SKYLIGHTS, ALL BEDROOMS WITH WALK-IN CLOSETS AND FULL FINISHED BASEMENT..A MUST SEE..LONG TERM TENANT CURRENTLY OCCUPIES HOME AND WOULD LIKE THE CHANCE TO STAY.</t>
  </si>
  <si>
    <t>WENTWORTH ELEMENTARY SCHOOL</t>
  </si>
  <si>
    <t>HARPER HIGH SCHOOL</t>
  </si>
  <si>
    <t>Kim Lotka</t>
  </si>
  <si>
    <t>(630) 533-8800</t>
  </si>
  <si>
    <t>Jim@lotkagroup.com 630-776-2354</t>
  </si>
  <si>
    <t>CALL CENTRALIZED SHOWING 877-977-1010 - 24 HOUR NOTICE REQUIRED</t>
  </si>
  <si>
    <t>CALL CENTRALIZED SHOWING 877-977-1010 - 24 HOUR NOTICE REQUIRED - TENANT OCCUPIED - BANK OWNED - SOLD AS-IS - GREAT OPPORTUNITY WITH TONS OF POTENTIAL</t>
  </si>
  <si>
    <t>Winthrop</t>
  </si>
  <si>
    <t>Wolf's Crossing to Southbury Blvd-S to Willington Way R on Winthrop</t>
  </si>
  <si>
    <t>72 X 150 X 91 X 150</t>
  </si>
  <si>
    <t>The STARLING at Southbury- Ready to close!  Tons of space!  4BR plus loft, full basement, 3 car garage.  Gorgeous kitchen with huge island and walk in pantry, painted/ glazed Maple cabinets, SS appliances, wood floors.  Master suite with luxury bath and upgraded tile. .  Clubhouse community w pool!  On site elem school.  Closing cost credit w our lender! Photos of actual home- shows like a model!</t>
  </si>
  <si>
    <t>Register on 1st visit at sales office- 847-984-4615 Jennifer. Open daily 10-6, except Monday 1-6pm</t>
  </si>
  <si>
    <t>Please register client on 1st visit at sales office- 204 Bolton Ct.  847-984-4615. Tue- Sat 10-5pm, Sun 11-5, Monday 1-5pm. Home is complete- ready to close!  Beautiful upgrades chosen</t>
  </si>
  <si>
    <t>72 to Sleepy Hollow North to Oak Drive West - Around Traffic Circle - Continue on Oak Drive to Home</t>
  </si>
  <si>
    <t>Best Location in Subdivision!Beautiful Lake Views in Front .Entertaining-Size Covered Front Porch.Huge Home!10ft Ceilings on 1st floor.Gourmet Kitchen w/42"Cabs.Granite,Butler Pantry,Walk-in Food Pantry.Extra Wide Halls.2nd Floor Laundry.All Hardwood on 1st Floor.Brick Wood/Burn FP.Luxury Master Bed/Bath w/His&amp;Her Walk-In Closets,Jet Tub.Full Base w/Full Bath Rough-in.Extra Long Driveway.Pro-Landscaped.0ver 30 Trees!</t>
  </si>
  <si>
    <t>Eating Area-Breakfast Bar, Pantry-Butler, Pantry-Walk-in</t>
  </si>
  <si>
    <t>Wetlands Adjacent, Lake Front, Landscaped Professionally, Pond, Water View</t>
  </si>
  <si>
    <t>Humidifier, TV-Cable, TV-Dish, Fire Sprinklers, Radon Mitigation System(s)</t>
  </si>
  <si>
    <t>Vinyl Siding, Cedar, Stucco</t>
  </si>
  <si>
    <t>2.5% MINUS $250 (on Net SP)</t>
  </si>
  <si>
    <t>Giving Tree Real Estate Company</t>
  </si>
  <si>
    <t>(847) 844-0459</t>
  </si>
  <si>
    <t>Paula Maggiore</t>
  </si>
  <si>
    <t>(630) 715-2740</t>
  </si>
  <si>
    <t>Call Paula - 630-715-2740 - EASY!</t>
  </si>
  <si>
    <t>CC: Pursuant to Short Sale. Professionally negotiated Short Sale.  Answer Quick.  Bring all Offers.</t>
  </si>
  <si>
    <t>1 BLOCK N. OF NORTH AVE</t>
  </si>
  <si>
    <t>WOW MUST SEE THIS BEAUTIFUL BRICK SINGLE FAMILY HOME WITH 4 BEDROOMS, MASTER BEDROOM WITH FULL BATHROOM. 3 BEDROOM ON 2ND FLOOR MASTER ON FIRST FLOOR. CENTRAL AIR CONDITIONER. NEWER 2 CAR GARAGE WITH ELECTRIC DOOR OPENER.  PRE-FORECLOURE SHORT SALE.  SOLD AS IS CONDITION.  TAX PRORATED @100% SELLER DOES NOT PROVIDE SURVEY OR TERMITE INSPECTION.</t>
  </si>
  <si>
    <t>2.5% -$200.00 (on Net SP)</t>
  </si>
  <si>
    <t>Angel Navarro</t>
  </si>
  <si>
    <t>(773) 388-8540</t>
  </si>
  <si>
    <t>Please call L/A  312-259-0655</t>
  </si>
  <si>
    <t>6N393</t>
  </si>
  <si>
    <t>CREEKSIDE</t>
  </si>
  <si>
    <t>BURR RD NORTH OF BOLCUM TO CREEKSIDE</t>
  </si>
  <si>
    <t>92X529X200X391</t>
  </si>
  <si>
    <t>LOOKING FOR A WOODED LOT?  LOOKING FOR 2 ACRES?  LOOKING FOR A TRANQUIL CREEK RUNNING THROUGH YOUR BACK YARD?  HOW ABOUT A FIRST FLOOR MASTER SUITE? HOW ABOUT A FINISHED LOOKOUT LOWER LEVEL WITH FULL BATH, REC ROOM AND THEATER ROOM? LOOK NO FURTHER! STUNNING HOME CLOSE TO TOWN AND WALKING DISTANCE TO NEIGHBORHOOD ELEMENTARY SCHOOL! GOURMET KITCHEN WITH GRANITE, MAPLE CABINETS AND SS APPLIANCES!  A GREAT HOME!!</t>
  </si>
  <si>
    <t>Corner, Stream, Water View, Wooded</t>
  </si>
  <si>
    <t>Water-Softener Rented, TV-Cable, CO Detectors, Ceiling Fan, Sump Pump</t>
  </si>
  <si>
    <t>CALL 1-855-746-9093 24 Hr Notice</t>
  </si>
  <si>
    <t>CC: Pursuant to Short Sale. Short Sale. Any reductions in commission will be split 50/50.  No showings on Tuesdays or Thursdays.</t>
  </si>
  <si>
    <t>36W481</t>
  </si>
  <si>
    <t>Hunters Gate</t>
  </si>
  <si>
    <t>Randall Rd to Crane Rd East, to Old Farm Rd North, Dover Hill Rd West, to Hunters Gate Rd East</t>
  </si>
  <si>
    <t>Crane Road Estates</t>
  </si>
  <si>
    <t>1.596 ACRES</t>
  </si>
  <si>
    <t>Absolute elegance &amp; refinement in this fabulous Avondale home! Unparalleled, old-world charm &amp; tremendous attention to detail have created the perfect master piece! Gourmet kitchen w/Crystal cabinetry, top of the line appliances &amp; great eating area w/tremendous views of scenic lot. Large, saltwater pool, built-in fire pit &amp; access to private Bass stocked pond &amp; fishing dock! Truly breathtaking offering only the best!</t>
  </si>
  <si>
    <t>WILD ROSE ELEMENTARY SCHOOL</t>
  </si>
  <si>
    <t>Pool, Pond/Lake, Curbs/Gutters, Street Lights, Street Paved</t>
  </si>
  <si>
    <t>Oven-Double, Microwave, Dishwasher, High End Refrigerator, Freezer, Washer, Dryer, Disposal</t>
  </si>
  <si>
    <t>Heat, Water, Common Insurance, Snow Removal, Other</t>
  </si>
  <si>
    <t>Humidifier, Water-Softener Owned, Sump Pump, Sprinkler-Lawn, Air Cleaner, Power Generator</t>
  </si>
  <si>
    <t>Vaulted/Cathedral Ceilings, Hardwood Floors, 1st Floor Bedroom, 1st Floor Laundry, 2nd Floor Laundry, 1st Floor Full Bath</t>
  </si>
  <si>
    <t>Agent Assist~ Call The McKay Group @ 630-587-4672</t>
  </si>
  <si>
    <t>Possible in-law-arrangement in 3rd BR.  Plus ENORMOUS, unfinished 2nd flr rooms could be bedrooms &amp; upstairs FR. Please find list of exclusions under documents.</t>
  </si>
  <si>
    <t>Austin</t>
  </si>
  <si>
    <t>Austin is 6100 West to 1023 South</t>
  </si>
  <si>
    <t>38X127</t>
  </si>
  <si>
    <t>Beautiful Home,huge brick bungalow; Recenthly remodeled with brand new kitchen,including granite counter tops,stainless steel appliances.Master bedroom with private bath.Huge semifinish attic and finish basement. A MUST SEE.  Short sale subject to 3rd party approval.</t>
  </si>
  <si>
    <t>57X10</t>
  </si>
  <si>
    <t>Haydee Salamanca</t>
  </si>
  <si>
    <t>(847) 338-4037</t>
  </si>
  <si>
    <t>Call Listing Agent 847-338-4037</t>
  </si>
  <si>
    <t>CC: Pursuant to Short Sale. Short Sale. Price and Commission subject to third party approval.</t>
  </si>
  <si>
    <t>7N968</t>
  </si>
  <si>
    <t>Brittany</t>
  </si>
  <si>
    <t>Randall to Mcdonald, West to Cloverfield, South to Brittany</t>
  </si>
  <si>
    <t>CRANSTON MEADOWS</t>
  </si>
  <si>
    <t>296X257X57X314</t>
  </si>
  <si>
    <t>Privacy on large Cul-De-Sac lot in Cranston Meadows. Relax in the great rm. with vaulted celings, skylights, an fireplace.  Windows surround sun rm. adjacent to the great rm. Large   20x14 deck off the kitchen. Swing set stays. New  furnace, 1st floor laundry room, partially finished basement,  master bedroom with vaulted ceilings an whirlpool. St. Charles " Blue Ribbon Schools "  PRICED TO SELL</t>
  </si>
  <si>
    <t>Eating Area, Sun/Florida Room</t>
  </si>
  <si>
    <t>Skylight(s), 1st Floor Laundry</t>
  </si>
  <si>
    <t>Vestuto Real Estate Corp</t>
  </si>
  <si>
    <t>(630) 377-2336</t>
  </si>
  <si>
    <t>Marvin Vestuto</t>
  </si>
  <si>
    <t>(630) 986-2200</t>
  </si>
  <si>
    <t>CC: Pursuant to Short Sale. Call listing office to show. Home shows well, lots of privacy.</t>
  </si>
  <si>
    <t>87th Street to Kilbourn, north to address</t>
  </si>
  <si>
    <t>BRICK SPLIT LEVEL IN DESIRABLE LOCATION. ALL 4 BEDROOMS UPSTAIRS!!! BEING SOLD "AS IS", NO DISCLOSURES, TERMITE OR SURVEY.  TAXES PRORATED 100%. DETACHED 2 CAR GARAGE. GREAT OPPORTUNITY TO GET INTO A GREAT NEIGHBORHOOD.  ALL ROOM SIZES ARE ESTIMATED AND NOT GUARANTEED.</t>
  </si>
  <si>
    <t>28X13</t>
  </si>
  <si>
    <t>Jill Drebing</t>
  </si>
  <si>
    <t>WILL NOT QUALIFY FOR FHA DUE TO MISSING FIXTURES IN BATHROOMS</t>
  </si>
  <si>
    <t>40W857</t>
  </si>
  <si>
    <t>Rt 38 to LaFox Rd. (S) to Dillonfield (W) to Mulhern</t>
  </si>
  <si>
    <t>97X99X646X450X369</t>
  </si>
  <si>
    <t>Wow!  3 acres of land, Award Winning Geneva Schools, 1 mile from the Metra Station!  Hardwood floors in living and dining rooms, sun porch, high eff furnace and a/c 2 yrs old, new kitchen cook top, mature landscaping. 2nd floor loft and storage room or compact office Detached 2nd garage (28x30) with space for two cars and storage. 8 minutes from Randall Road shopping.</t>
  </si>
  <si>
    <t>TV-Cable, TV-Dish, CO Detectors, Ceiling Fan, Sump Pump</t>
  </si>
  <si>
    <t>Loft, Office, Sun/Florida Room</t>
  </si>
  <si>
    <t>Karen Douglas Realty</t>
  </si>
  <si>
    <t>(630) 232-1234</t>
  </si>
  <si>
    <t>Peggy Cain</t>
  </si>
  <si>
    <t>(630) 269-6945</t>
  </si>
  <si>
    <t>630-269-6945</t>
  </si>
  <si>
    <t>Call 877-977-1010 for appointment</t>
  </si>
  <si>
    <t>Lyman Loop</t>
  </si>
  <si>
    <t>34 east of Bristol Ridge to American Way, north to Grande Trail, left to Burr St, left to Lyman Loop</t>
  </si>
  <si>
    <t>78X140</t>
  </si>
  <si>
    <t>You will love this spacious home! Plenty of upgrades and tastefully decorated.  Beautiful hardwood floors welcome you in the foyer and run to the kitchen and through the dining room.  2 Story family room with attractive fireplace. Large kitchen with tons of cabinets that won't disappoint.  Large stamped concrete patio in the fenced back yard. Nice sized bedrooms including quite large master suite. Home is a must see!</t>
  </si>
  <si>
    <t>YORKVILLE INTERMEDIATE SCHOOL</t>
  </si>
  <si>
    <t>19X23</t>
  </si>
  <si>
    <t>Clubhouse, Park/Playground, Pool, Sidewalks, Street Lights, Street Paved</t>
  </si>
  <si>
    <t>Brian Hauser</t>
  </si>
  <si>
    <t>(630) 551-7868</t>
  </si>
  <si>
    <t>call showing desk 877-977-1010</t>
  </si>
  <si>
    <t>CC: Pursuant to Short Sale. contract subject to bank approval, any reduction in commission to be split 50/50 with listing office and selling office.  ***SSA is included in the tax bill***  Lender requires all offer submissions to be placed at www.hubzu.com</t>
  </si>
  <si>
    <t>Merrimac</t>
  </si>
  <si>
    <t>3 blocks East of Nagle, North of Strong, South of Foster and Higgins</t>
  </si>
  <si>
    <t>35 X 124</t>
  </si>
  <si>
    <t>Excellently maintained fully expanded two story, 4 bedroom home with inviting rehabbed front porch $20K. First floor bedroom and full bath. Open kitchen with walk-in pantry. Large deck off of kitchen with above ground pool. Full basement with rec. room &amp; 1/2 bath. 6 ft. Heritage Vinyl Fence $11K, Anderson windows, $8k. Solid Oak floors in hallway and dining room. Convenient Jefferson Park location; quality features.</t>
  </si>
  <si>
    <t>GARVEY ELEMENTARY SCHOOL</t>
  </si>
  <si>
    <t>Foyer, Storage</t>
  </si>
  <si>
    <t>Bar-Wet, Hardwood Floors, Wood Laminate Floors, 1st Floor Bedroom, 1st Floor Full Bath</t>
  </si>
  <si>
    <t>Deck, Porch, Storage Shed, Pool Above Ground, Storms/Screens</t>
  </si>
  <si>
    <t>4X12</t>
  </si>
  <si>
    <t>(847) 259-0202</t>
  </si>
  <si>
    <t>Mary Childers, CNC</t>
  </si>
  <si>
    <t>(847) 322-3885</t>
  </si>
  <si>
    <t>847.322.3885, cell/txt</t>
  </si>
  <si>
    <t>Call Listing Office to schedule, easy to show 847.259.0202</t>
  </si>
  <si>
    <t>Use 6.0 Contract.  Over 1700 square feet of living space plus finished basement. Solid Oak under laminate flooring in hallway and dining room. ELFA shelving and head rails will be removed. Weber gas grill to stay. Pool incld, can be removed</t>
  </si>
  <si>
    <t>OLSON</t>
  </si>
  <si>
    <t>RANDALL RD 2 MILL E2 HAINES E2 OLSON DR S2 OLSON CT</t>
  </si>
  <si>
    <t>BRAEBURN</t>
  </si>
  <si>
    <t>GLENDALE</t>
  </si>
  <si>
    <t>116X155X90X134</t>
  </si>
  <si>
    <t>CUSTOMIZED GLENDALE MODEL W/NEW SIDING &amp; ROOF IN 2007.HARDWD FLRS FROM FOYER THRU KITCHEN.L/R W/ARCHED OPENING TO FAMILY RM W/CUSTOM ENTERTAINMENT CTR.D/R W/CROWN MLDG.KITCHEN W/SGD TO DECK W/PERGOLA.MBR W/TRAY CLG, WIC AND LUXURY BATH.BRS 2&amp;3 W.CUSTOM CEILING TRTMTS.FNSHD BSMT W/2ND KITCHEN, REC RM AND WORKSHOP.NEWER A/C &amp; FURNACE.PROF LNDSCPD YARD HAS SHED W/ELECTRIC.CENTRAL VAC &amp; REVERESE OSMOSIS WTR FILTER.</t>
  </si>
  <si>
    <t>Humidifier, Water-Softener Owned, Central Vacuum, Ceiling Fan, Sump Pump</t>
  </si>
  <si>
    <t>SHOWS GREAT, SUPER CLEAN!FABULOUS YARD!</t>
  </si>
  <si>
    <t>83RD</t>
  </si>
  <si>
    <t>KEDZIE TO 83RD PLACE, WEST TO ADDRESS.</t>
  </si>
  <si>
    <t>Very Fine Brick Georgian W/OPEN FLOOR PLAN AND CUSTOM FINISHES.BATHROOMS WITH PORCELAIN TILE,WHIRLPOOL TUB &amp;GREAT CLOSET SPACE.NEW KITCHEN W/MODERN CABINETRY,GRANITE CTOPS&amp;SS APPLIANCES,NEW BATHS Modern FINISHES.CUSTOM BUILT STAIRCASE,FORMAL DINING ROOM,Family rrom.NEW WINDOWS,DOORS&amp;TRIM,RECESSED LIGHT,New Furnance &amp; Air,landscaped. Corner-Lot Privacy  Fence &amp; 2-car Garage.</t>
  </si>
  <si>
    <t>Brakie Realty, Inc.</t>
  </si>
  <si>
    <t>(708) 748-8500</t>
  </si>
  <si>
    <t>Patrick Brakie</t>
  </si>
  <si>
    <t>(773) 854-7474</t>
  </si>
  <si>
    <t>Call listing Office 24 hr Notice</t>
  </si>
  <si>
    <t>WESTERN AVE TO 103RD ST. EAST TO BELL. SOUTH TO ADDRESS.</t>
  </si>
  <si>
    <t>Uniquely beautiful, spacious family home filled with warmth &amp; love. Beautiful lot:recently pruned plus new plantings. Extraordinary architectural &amp; artistic detail throughout. Sculpted plaster walls, stunning fireplace mantles &amp; unbelievable walnut trim. Large bright kitchen with great work space adjoins a beautiful and serene breakfast room overlooking yard. Generous room sizes and unbelievable storage. A Must See!</t>
  </si>
  <si>
    <t>2nd Kitchen, Breakfast Room, Foyer, Gallery, Office, Recreation Room, Storage, Utility Room-Lower Level, Other</t>
  </si>
  <si>
    <t>Wood Burning, Decorative Only</t>
  </si>
  <si>
    <t>Molloy &amp; Associates, Inc.</t>
  </si>
  <si>
    <t>(773) 779-9898</t>
  </si>
  <si>
    <t>Bernadette Molloy</t>
  </si>
  <si>
    <t>Buyer agent must accompany</t>
  </si>
  <si>
    <t>Sioux</t>
  </si>
  <si>
    <t>Rt 25 to Helm Rd, east to Papoose, north to Sioux, east to listing</t>
  </si>
  <si>
    <t>60X104</t>
  </si>
  <si>
    <t>2397.8-</t>
  </si>
  <si>
    <t>4 Bedroom bi-level w 2 car det garage. Needs some work.  Freddie Mac HomeSteps Property sold as-is. No disclosures/survey. Pro-Rations will be made at 100%. Pre approval/POF must accompany all offers. Special addendums required. Up to $500 for owner occupant home warranty. Owner/Occupant First Look period good through 10/13/2014.</t>
  </si>
  <si>
    <t>Call Showing Time 1 855 746-9100</t>
  </si>
  <si>
    <t>HomeSteps Freddie Mac</t>
  </si>
  <si>
    <t>c Attached Forms. Sold as-is 100% tax, no disc. POF/preapp w/offers. Proof of Cert. EM w/offer. Owner Occupant First Look Period through 10/13/2014. Discoloration on basement walls Please use Multi-board 6.0 contract.</t>
  </si>
  <si>
    <t>Lynwood</t>
  </si>
  <si>
    <t>Rt 34 W edge of Plano to Little Rock south to Griswold Springs  W to Lynwood, N to home on right</t>
  </si>
  <si>
    <t>160X339X140X299</t>
  </si>
  <si>
    <t>Great home &amp; location, sits on over 1 acre, wooded lot, very private, nature setting, Hugh garage, &amp; sheds, LOT OF ROOM in this home &amp; yard. Finished lower lever, with bedroom &amp; full bath, Many improvements include air cond, ss stove, painted, well tank, soffits, gutters, has central vac, generous room sizes, open &amp; very clean,radon mid sys installed. Must see, will not disappoint, Ms. CLEAN lives here, Price to sell</t>
  </si>
  <si>
    <t>33X15</t>
  </si>
  <si>
    <t>Oven/Range, Dishwasher, Refrigerator, Freezer, Washer, Dryer</t>
  </si>
  <si>
    <t>Water-Softener Owned, Central Vacuum, Ceiling Fan, Fan-Whole House, Radon Mitigation System(s)</t>
  </si>
  <si>
    <t>Vaulted/Cathedral Ceilings, 1st Floor Full Bath</t>
  </si>
  <si>
    <t>2.5% - 150.00 (on Net SP)</t>
  </si>
  <si>
    <t>Patricia Miller</t>
  </si>
  <si>
    <t>(815) 378-8952</t>
  </si>
  <si>
    <t>call listing office or listing agent</t>
  </si>
  <si>
    <t>(1) YEAR HOME WARRANTY TO THE BUYER AT CLOSINGS - NOT TO EXCEED $425.00 .   Rural Housing Eligible(USDA)  - could mean no down payment required.</t>
  </si>
  <si>
    <t>44W510</t>
  </si>
  <si>
    <t>Main Street</t>
  </si>
  <si>
    <t>Main Street Rd west of Rt 47, north side of street</t>
  </si>
  <si>
    <t>246 X 970 X 231 X 969</t>
  </si>
  <si>
    <t>Priced to sell!!! Custom 4 Bed, 3 bath home sits on 5.1 acres, amazing 2 story Family Room w/ brick, wood-burning fireplace,  2-story Foyer w/ elegant staircase, gourmet Kitchen w/ walnut cabinets &amp; granite counter tops, open flr plan, spacious bedrms, deluxe Master Bath w/ whirlpool &amp; separate shower, finished basement w/ 9' ceilings, plenty of room for a barn &amp; horses, easy access 2 Metra &amp; I 88.</t>
  </si>
  <si>
    <t>Well-Private Company</t>
  </si>
  <si>
    <t>Water-Softener Owned, TV-Cable, Intercom, CO Detectors, Ceiling Fan, Sump Pump</t>
  </si>
  <si>
    <t>Kathy Huml, ABR,BPOR,CSC,e-PRO,SFR</t>
  </si>
  <si>
    <t>(630) 975-2227</t>
  </si>
  <si>
    <t>630-975-2227</t>
  </si>
  <si>
    <t>call 855-746-9100, 4 hour notice required, must confirm</t>
  </si>
  <si>
    <t>Open floor plan, with bridge above family room. Large property, horses ok.  Please use 6.0 contract.</t>
  </si>
  <si>
    <t>UNION</t>
  </si>
  <si>
    <t>43RD ST W 2 UNION AVE 2 4521 S UNION</t>
  </si>
  <si>
    <t>Gr8 house in Canaryville  neighborhood. Everything new in this 2 story 4 bedroom 3 bath single family home with master bath and a balcony of master bedroom, full English basement and detached 2 car garage. Custom kitchen with granite countertops, SS appliances. Welcome Home!!!</t>
  </si>
  <si>
    <t>Vinyl Siding, Frame, Stucco</t>
  </si>
  <si>
    <t>Personal Realtors INC</t>
  </si>
  <si>
    <t>(630) 455-9999</t>
  </si>
  <si>
    <t>Nerijus Makselis</t>
  </si>
  <si>
    <t>CAL MAX 630 455 9999</t>
  </si>
  <si>
    <t>SHOW WITH CONFIDENCE</t>
  </si>
  <si>
    <t>Western Ave. to 91st st.  East to Leavitt, North to 90th, East to Hamilton and address.</t>
  </si>
  <si>
    <t>51 X 133</t>
  </si>
  <si>
    <t>Classic two story residence.  All hardwood  floors newly refinished &amp; interior &amp; exterior newly painted. Ample room sizes with four bedrooms plus first floor den. Living room boasts woodburning fireplace and adjoins enclosed patio.  Formal dining room with built ins.  Two full baths with unique tile work .Finishing touches will make this a dream come true. Conveniently located to shopping and transporotation.</t>
  </si>
  <si>
    <t>Washer, Dryer</t>
  </si>
  <si>
    <t>Breakfast Room, Den, Recreation Room</t>
  </si>
  <si>
    <t>Call Listing office.  Buyer agent must accompany.</t>
  </si>
  <si>
    <t>97th</t>
  </si>
  <si>
    <t>Halsted to 97th.street east to property.</t>
  </si>
  <si>
    <t>Spring is here and this 4 bedroom briick home is waiting for a new owner.Ultra modern cabinet kitchen  with granite counter tops and stainless steel appliances.Beautiful hardwood floors ,2 full baths jacuzzi tub for relaxing. Family room for entertaining large back yard for summer barbeques plus 2 car garage. Anxious owner just dropped price . Don!t miss out see it today!!!!!!!!</t>
  </si>
  <si>
    <t>2.5%-$100 +$1,000 BONUS (on Net SP)</t>
  </si>
  <si>
    <t>Anita Cirrintano</t>
  </si>
  <si>
    <t>call listing office  there is an alarm</t>
  </si>
  <si>
    <t>Very nice rehabbed property and priced to sell.</t>
  </si>
  <si>
    <t>63rd</t>
  </si>
  <si>
    <t>63rd st . to lawndale-3700-west,gosouth to63rd plwest to address</t>
  </si>
  <si>
    <t>MUST SEE THIS 4 BEDROOM BRICK.RAISED-RANCH IN MOVE IN CONDITION .BASEMENT FEATURE EXTRA BEDROOM ,FAMILY RM,AND A FULL BATH,NICE YARD AND A 2.1/2 CAR GARAGE,VERY CLOSE TO TRANSPORTATION EEEEEEEEEEEEZZZZZZZZZZZSSSSSSHHHHHOOOOOWWWWW</t>
  </si>
  <si>
    <t>45X18</t>
  </si>
  <si>
    <t>Felipe Garcia</t>
  </si>
  <si>
    <t>JANINA</t>
  </si>
  <si>
    <t>Earnest money in CERTIFIED FUNDS please made payable to Chicago Title.</t>
  </si>
  <si>
    <t>Weymouth</t>
  </si>
  <si>
    <t>Long Common South of US 20 to Gansett (Right) to Chalkstone (Left) to Weymouth (Right)</t>
  </si>
  <si>
    <t>COPPER SPRINGS</t>
  </si>
  <si>
    <t>ALCOT</t>
  </si>
  <si>
    <t>The BEST Ranch Model on the Market - Features: Front Porch Elevation, 4 Bedrooms including Master Suite w/ Walk in Closet Master Bath w/ Separate Shower Double Sink Vanity. Gourmet Kitchen w/ Stainless Steel Appliances, 42" Maple Cabinets &amp; Granite Counter Tops, Fire Place &amp; Vaulted Ceilings in Family Room, Hardwood Floors, Ceramic Tiles, Full Finished Basement, Brick Paver Patio &amp; Fenced Yard.Located in District 301</t>
  </si>
  <si>
    <t>Gino Metallo, CNC,SFR</t>
  </si>
  <si>
    <t>630-688-2345</t>
  </si>
  <si>
    <t>Easy and a Pleasure to Show!</t>
  </si>
  <si>
    <t>Kimbark</t>
  </si>
  <si>
    <t>Lake Shore Drive to 47th, West to Woodlawn, South to 48th, East to Kimbark, South to property</t>
  </si>
  <si>
    <t>Charming Victorian 3-story home is located on the most desirable, kid-friendly block in historic South Kenwood. Lovingly maintained, this delightful family home combines many vintage details (hardwood floors throughout, original woodwork and fireplaces) with numerous upgrades. Gracious modern floor plan with sunny spacious rooms. Updated eat-in kitchen. Central A/C. Spacious backyard.</t>
  </si>
  <si>
    <t>43X35</t>
  </si>
  <si>
    <t>Breakfast Room, Den, Foyer, Walk In Closet</t>
  </si>
  <si>
    <t>Brick, Stucco</t>
  </si>
  <si>
    <t>2.5 % MINUS $325 (on Net SP)</t>
  </si>
  <si>
    <t>(312) 368-5300</t>
  </si>
  <si>
    <t>Robert Sullivan</t>
  </si>
  <si>
    <t>(312) 268-0719</t>
  </si>
  <si>
    <t>24-hour notice with confirmation.  Use Showing Assistant.</t>
  </si>
  <si>
    <t>Note 2nd PIN Number: 20-11-203-018-0000 for vacant parcel included.  Add'l property tax included in total.</t>
  </si>
  <si>
    <t>FOREST GLEN</t>
  </si>
  <si>
    <t>Barrington Rd, north of Irving Pk to Walnut west to Pinetree north to Forest Glen west to property</t>
  </si>
  <si>
    <t>86X109X120X131</t>
  </si>
  <si>
    <t>EXTENDED HUGE HOME WITH 2 FAMILY ROOMS AND 2 FIREPLACE. TOTALLY REMODELED WITH NEW ROOF, WINDOWS, DOORS,FLOORS, CARPET, FURNACE AND AIR CONDITIONER. FRESHLY PAINTED INSIDE AND OUTSIDE. REMODELED BATHROOMS AND KITCHEN WITH NEW CABINETS, GRANITE COUNTER TOPS, STAINLESS STEEL APPLIANCES.  HUGE BACK YARK WITH NEW CONCRETE PATIO AND MUCH MORE.</t>
  </si>
  <si>
    <t>Bonus, Sitting Room</t>
  </si>
  <si>
    <t>SHOWING ASSIST.</t>
  </si>
  <si>
    <t>QUICK CLOSING POSSIBLE NOT A SHORT SALE OR FORECLOSURE. OWNER IS AN ILLINOIS LICENSE.  AGENT RELATED TO OWNER.</t>
  </si>
  <si>
    <t>MERRIMAC</t>
  </si>
  <si>
    <t>DIVERSEY, E OF NARRAGANSETT TO MERRIMAC, N TO PROPERTY.</t>
  </si>
  <si>
    <t>LARGE BRICK OCTAGON CHICAGO STYLE BUNGALOW. SEP LIVNG &amp; DINING RMS. FULL BATH ON MAIN &amp; UPPER LEVELS. FINISHED ATTIC W/ 2 BR'S. PARTIALLY FINISHED BSMT W/ EXTRA BR'S. DETACHED 2 C GARAGE. GREAT REHAB OPPORTUNITY! BRING YOUR IDEAS AND TURN THIS INTO YOUR DREAM HOME. THIS IS A FANNIE MAE HOMEPATH PROPERTY.</t>
  </si>
  <si>
    <t>Hot Water/Steam, Radiant</t>
  </si>
  <si>
    <t>(847) 677-1200</t>
  </si>
  <si>
    <t>Steve Rotblatt</t>
  </si>
  <si>
    <t>(847) 370-6294</t>
  </si>
  <si>
    <t>847-677-1200</t>
  </si>
  <si>
    <t>CALL CENTRALIZED SHOWING AT 877-977-1010</t>
  </si>
  <si>
    <t>THE SELLER HAS DIRECTED THAT OFFERS ON THIS PROPERTY BE SUBMITTED ON THE HOMEPATH WEBSITE.</t>
  </si>
  <si>
    <t>Michigan</t>
  </si>
  <si>
    <t>79th Street East to Michigan, North to Property.</t>
  </si>
  <si>
    <t>Excellent opportunity to own a large brick home in Chatham.  The property is sold in its "as is" condition.  Property listed IE. Repair amount $ 330.  Equal Housing Opportunity.  HUD Case # 137-545024.</t>
  </si>
  <si>
    <t>Royal Crest Realty, Inc.</t>
  </si>
  <si>
    <t>(773) 995-6000</t>
  </si>
  <si>
    <t>Andre Bennett</t>
  </si>
  <si>
    <t>HUD Case # 137-545024.  Go to www.HUDHomeStore.com to submit bid and for additional information.  Property listed IE. Repair amount $ 330.  Equal Housing Opportunity.</t>
  </si>
  <si>
    <t>Jackson</t>
  </si>
  <si>
    <t>5 minutes from the Randall Road/Route 72 intersection</t>
  </si>
  <si>
    <t>SOUTH HILL MODEL</t>
  </si>
  <si>
    <t>6897 SQ FT</t>
  </si>
  <si>
    <t>Opportunity! No houses in local market like it! Compare to new builder pricing &amp; get much more! Boasting NEW kitchen w/42" maple cabinets, ss appls &amp; butler pantry. New carpet, fresh paint &amp; new lighting makes this 3176 SF home a true beauty. Sought after South Hill Model; move-in ready. 1st flr den, high ceiling fam rm, phenomenal mstr suite &amp; 2nd bdrm is full bath princess suite. Add'l 1628 high ceiling basement.</t>
  </si>
  <si>
    <t>Park/Playground, Pond/Lake, Sidewalks, Street Paved</t>
  </si>
  <si>
    <t>TV-Dish, Ceiling Fan, Sump Pump, Backup Sump Pump, Radon Mitigation System(s)</t>
  </si>
  <si>
    <t>Metro Realty Inc.</t>
  </si>
  <si>
    <t>(630) 599-8600</t>
  </si>
  <si>
    <t>Melanie Broderick</t>
  </si>
  <si>
    <t>815-382-5804</t>
  </si>
  <si>
    <t>Call Seller at 815-382-5804 for showings/inquiries</t>
  </si>
  <si>
    <t>Casey Szczepaniak</t>
  </si>
  <si>
    <t>Fax all offers to (630) 599-8604 or email support@aflatfee.com</t>
  </si>
  <si>
    <t>Big Timber West of Tyrell to Meadows North</t>
  </si>
  <si>
    <t>TIMBER TRAILS</t>
  </si>
  <si>
    <t>COVENTRY</t>
  </si>
  <si>
    <t>NEW CARPET AND PAINT MOVE-IN-READY WITH MANY UPGRADES,  PATIO, &amp; FINISHED BASEMENT.100% tax proration, no survey or disclosures provided.For more information about HomePath homes and incentives, please visit HomePathcom. Room/Lot sizes are approx. POF strongly encouraged with all offers.</t>
  </si>
  <si>
    <t>See Secure Showing Assist Instructions Below:</t>
  </si>
  <si>
    <t>Edgewood</t>
  </si>
  <si>
    <t>Bliss to East on Denny, Right on Black Walnut Dr., Right on Pembridge Pl, Left on Edgewood.</t>
  </si>
  <si>
    <t>BLACK WALNUT TRAILS</t>
  </si>
  <si>
    <t>90 X 135</t>
  </si>
  <si>
    <t>Home sweet CUSTOM HOME! Beautifully updated, superbly maintained.   Fantastic kitchen with granite, stainless, hardwood floors. Vaulted family room. Spacious dining &amp; living rooms. Main level den &amp; laundry. Fantastic master suite with volume ceiling, granite countertops.  2nd level bonus room/office. Finished basement. Nice deck, yard with mature trees. New roof, gutters, furnace, a/c.  Black Walnut Trails near I88.</t>
  </si>
  <si>
    <t>Park/Playground, Pond/Lake, Water Rights, Sidewalks, Street Lights</t>
  </si>
  <si>
    <t>Den, Bonus, Recreation Room</t>
  </si>
  <si>
    <t>25X26</t>
  </si>
  <si>
    <t>Linda Hoss</t>
  </si>
  <si>
    <t>(630) 606-7362</t>
  </si>
  <si>
    <t>Call Showing Service  877-977-1010</t>
  </si>
  <si>
    <t>Shows beautifully.  Roof &amp; gutters summer 2014.  Furnace Nov 2014, a/c around 2012. Upstairs front windows 2014.</t>
  </si>
  <si>
    <t>TRUMBULL</t>
  </si>
  <si>
    <t>51ST TO TRUMBULL , THEN SOUTH TO PROPERTY</t>
  </si>
  <si>
    <t>CLASSIC BUNGALOW , NEEDS TLC, THIS IS A SHORT SALE, NO SURVEY, BUYER IS RESPONSIBLE OF ALL INSPECTIONS, BEING SOLD IN AS IS CONDITION  SHORT SALE SUBJECT TO LENDER APPROVAL.</t>
  </si>
  <si>
    <t>2.5% SUBJECT TO LENDER APPROVAL-$275.00 (on Net SP)</t>
  </si>
  <si>
    <t>I.D.S. Realty, Inc.</t>
  </si>
  <si>
    <t>(773) 927-5300</t>
  </si>
  <si>
    <t>Magali Miranda</t>
  </si>
  <si>
    <t>CALL LISTING AGENT 312-515-0056 PLEASE ALLOW 24 HOURS TO SCHEDULE 5 TO 7 PM ONLY</t>
  </si>
  <si>
    <t>MAXIMINO BRAULIO</t>
  </si>
  <si>
    <t>CC: Pursuant to Short Sale. PLEASE ALLOW 24 HOURS TO SCHEDULE APPOINTMENTS ONLY FROM 5 TO 7 PM THANKS.     NO SATURDAY APPOINTMENTS</t>
  </si>
  <si>
    <t>Armitage to Rockwell, south to Cortland</t>
  </si>
  <si>
    <t>125X25</t>
  </si>
  <si>
    <t>CITY LIVING AT IT'S FINEST! THIS SINGLE FAMILY HOME HAS A GREAT ROOM WITH 11 FT. CEILINGS INCLUDING A  KITCHEN, DINING AREA, FIREPLACE AND FAMILY ROOM WHICH OVERLOOKS THE BACK DECK.  2 CAR GARAGE AND FENCED YARD. THE LOWER LEVEL HAS A LARGE MEDIA ROOM WITH A FIREPLACE AND WINE BAR, A FULL BATH AND LARGE 4TH BEDROOM. THE LOVELY MASTER SUITE HAS VAULTED CEILINGS, SKYLIGHTS, A BALCONY AND JACUZZI TUB.</t>
  </si>
  <si>
    <t>(847) 866-8200</t>
  </si>
  <si>
    <t>Sunny Masur</t>
  </si>
  <si>
    <t>(847) 425-3798</t>
  </si>
  <si>
    <t>Please call Showingtime at 855-746-9200 or click the Schedule a Showing icon below.</t>
  </si>
  <si>
    <t>Mcgill</t>
  </si>
  <si>
    <t>Heating and AC were replaced in 2012.</t>
  </si>
  <si>
    <t>FAIRFIELD</t>
  </si>
  <si>
    <t>79TH STREET EST OR WEST TO FAIRFIELD, North TO PROPERTY</t>
  </si>
  <si>
    <t>SUPERB OPPORTUNITY.  GREAT BRICK HOME ON A PRETTY BLOCK.  CONVENIENT LOCATION CLOSE TO MAJOR SHOPPING AND TRANSPORTATION. THIS PROPERTY IS BEING SOLD OCCUPIED, THERE WILL BE NO ACCESS TO INTERIOR. BUYER BUYS SIGHT UNSEEN.  ALL INFORMATION ON THIS LISTING IS TAKEN FROM OLD MLS AGENT HAS HAD NO ACCESS. DO NOT RING DOORBELL OR TRY AND GAIN ACCESS.</t>
  </si>
  <si>
    <t>DRIVE BY ONLY</t>
  </si>
  <si>
    <t>EMAIL OFFERS TO BARB@PRSREALTORS.COMâ€¢         Employees and family members residing with employees of JPMorgan Chase Bank, N.A, its affiliates or subsidiaries are strictly prohibited from directly or indirectly purchasing any property owned</t>
  </si>
  <si>
    <t>103rd</t>
  </si>
  <si>
    <t>103rd street east or west to address</t>
  </si>
  <si>
    <t>60 X 131</t>
  </si>
  <si>
    <t>Great Location near schools, churches, and shopping. Many amenities such as Paved rear parking area as well as side drive. Rear deck, large back yard. All new windows. Property sold in as-is condition</t>
  </si>
  <si>
    <t>Balcony, Deck, Foyer, Sun/Florida Room, Tandem Room</t>
  </si>
  <si>
    <t>Off Alley, Off Street, Driveway</t>
  </si>
  <si>
    <t>Ellen Turner REALTORS, Inc.</t>
  </si>
  <si>
    <t>(773) 683-5905</t>
  </si>
  <si>
    <t>Dorothy E Turner</t>
  </si>
  <si>
    <t>Spacious living at its best. Three levels of living space plus a large partially finished basement. Property being sold in As -is Condition.</t>
  </si>
  <si>
    <t>W. 95th ST. to Racine Ave N to W. 90th ST. E to May ST. S to home</t>
  </si>
  <si>
    <t>This one is a treasure! 4 bedroom brick bungalow built in 1922 but interior is flawless with granite counters, ceramic tile plus 4th bedroom in the finished basement. 3 full baths (one on each level)! No seller disclosures. HUD HOME SOLD AS-IS. INFORMATION DEEMED RELIABLE BUT NOT GUARANTEED. SELLING BROKER TO VERIFY ALL INFORMATION. BIDS OVER AS-IS VALUE W/FHA REQUIRES CASH PAID AT CLOSING FOR OVERBID AMOUNT</t>
  </si>
  <si>
    <t>Case #137-632460. Insured Status: IE. $2,200 Repair Escrow Up to 3% Co-op. Offers submitted on-line. Office must be HUD registered. See attached HUD Guidelines. Go to HUDhomestore.com and hudpemco.com.  Questions? HUD@tanisgroupllc.com.</t>
  </si>
  <si>
    <t>Luna</t>
  </si>
  <si>
    <t>Addison to Central, 1 block east to Luna to 3604 N. Luna</t>
  </si>
  <si>
    <t>Short Sale, please allow plenty of time for Bank response. 4 bedroom 2 bath brick bungalow, hardwood floors, semi finished basement for a bit more space. Close to Transportation, Schools, Shopping. As-IS condition. NO FHA.</t>
  </si>
  <si>
    <t>9X50</t>
  </si>
  <si>
    <t>6X18</t>
  </si>
  <si>
    <t>2.5%-175 (on Net SP)</t>
  </si>
  <si>
    <t>E-Professional Realty</t>
  </si>
  <si>
    <t>(312) 730-8875</t>
  </si>
  <si>
    <t>Juan Espinosa</t>
  </si>
  <si>
    <t>24 hour notice a must. Schedule on showing assist.</t>
  </si>
  <si>
    <t>Mr. Seller</t>
  </si>
  <si>
    <t>CC: Pursuant to Short Sale. Short Sale-</t>
  </si>
  <si>
    <t>MAPLE</t>
  </si>
  <si>
    <t>North of Lake Street - East of Park Ave</t>
  </si>
  <si>
    <t>Lakewood Streams</t>
  </si>
  <si>
    <t>61 X 114 X 57 X 114</t>
  </si>
  <si>
    <t>EXTREMELY WELL MAINTAINED 2 STORY!! ENTIRE INTERIOR FRESHLY PAINTED, BRAND NEW CARPET, GLEAMING HARDWOOD FLOORS, WHITE TRIM, 6 PANEL WHITE DOORS. OPEN AND AIRY FLOOR PLACE, WINDOW ABOVE KITCHEN SINK &amp; TONS OF NATURAL LIGHT! Air CONDTIONER CONDENSOR NOT WORKING. DECK, 2 GARAGE &amp; FRONT COVERED PORCH!!**FANNIE MAE HOMEPATH PROPERTY ~ NO PERSONAL PROPERTY CONVEYEDED ~ BUYER PAYS ANY TRANSFER FEES**</t>
  </si>
  <si>
    <t>HERITAGE ELEMENTARY SCHOOL</t>
  </si>
  <si>
    <t>Field Street Properties, LLC</t>
  </si>
  <si>
    <t>(630) 613-9390</t>
  </si>
  <si>
    <t>Mia Micaletti</t>
  </si>
  <si>
    <t>CLICK OR CALL SHOWING TIME 877-402-2373</t>
  </si>
  <si>
    <t>INFO NOT GUARANTEED.  Need help? 866.218.4446.  Contract Package Attached.EM ($) Held by Seller Atty. BUYER RESPONSIBLE VILLAGE REPAIRS.Check Additional  Information for List.</t>
  </si>
  <si>
    <t>Polo Club</t>
  </si>
  <si>
    <t>RT 47 to Fox, West to Polo, North to house</t>
  </si>
  <si>
    <t>200X220</t>
  </si>
  <si>
    <t>Great ranch home on an acre+ lot! Open floor plan, Great room with vaulted ceilings, brick fireplace and bamboo flooring! Eat in kitchen w/granite countertops, cherry cabinets and new SS appliances! Master bedroom w/ master bath! Full finished basement w/ rec room, 4th bedroom or office and full bath! New high efficiency furnace, AC, Water heater! Deck! Quick close ok!</t>
  </si>
  <si>
    <t>Breakfast Room, Recreation Room, Utility Room-1st Floor</t>
  </si>
  <si>
    <t>Ellen Williams, ABR,CRS,GRI,SFR</t>
  </si>
  <si>
    <t>(815) 483-5788</t>
  </si>
  <si>
    <t>Sacramento to Palmer West to property.</t>
  </si>
  <si>
    <t>50 X 124.5</t>
  </si>
  <si>
    <t>Historical Palmer Blvd.  Single family brick home on a 50 x 124.5 wide lot.  Side drive with 2 car brick garage.  House features Hardwood floors thru out.  Coved wood moldings. Formal dinning room and sun room off the living room.  3 bdrms on first floor and one on second floor attic  with half  bath. Full bsmnt.  long time owner.</t>
  </si>
  <si>
    <t>Illinois Home Realty Inc</t>
  </si>
  <si>
    <t>(773) 463-5555</t>
  </si>
  <si>
    <t>Victor Mitry</t>
  </si>
  <si>
    <t>(773) 463-4310</t>
  </si>
  <si>
    <t>Call 773-463-4310 for all showings and inquiry.</t>
  </si>
  <si>
    <t>Dean</t>
  </si>
  <si>
    <t>Randall Road to Dean St, east to listing</t>
  </si>
  <si>
    <t>55X181X53X205</t>
  </si>
  <si>
    <t>4 br, 3.5 ba. 13x10 patio, 14x5 cedar clst, 13x10 shed on slab w/electric. Freddie Mac HomeSteps Property sold as-is. No disclosures/survey. Pro-Rations will be made at 100%. Pre approval/POF must accompany all offers. Special addendums required. Up to $500 for owner occupant home warranty. Owner/Occupant First Look period good through 12/24/2014. Multiple offers. Highest and best due no later than 3/11/15 at 5 p.m.</t>
  </si>
  <si>
    <t>Whirlpool, Separate Shower, Double Sink, Bidet</t>
  </si>
  <si>
    <t>Eating Area, Media Room, Mud Room, Recreation Room, Tandem Room, Walk In Closet</t>
  </si>
  <si>
    <t>C. Attached. Sold as-is 100% tax, no disc. POF/preapp w/offers. Proof of Cert. EM w/offer. HomeSteps financing available. First Look period good through 12/24/2014. Multiple offers. Highest and best due no later than 3/11/15 at 5 p.m.</t>
  </si>
  <si>
    <t>Hennig</t>
  </si>
  <si>
    <t>Big Timber West of Rt 47 to Ridgecrest right to Ross right to Hennig left.</t>
  </si>
  <si>
    <t>lakewood crossing</t>
  </si>
  <si>
    <t>70X115</t>
  </si>
  <si>
    <t>Nature Lovers Dream! This massive 3000 sqft beauty features a wooden arbor that leads to a concrete sidewalk to the scenic, fenced backyard w/gorgeous views of nature and wildlife. Open flr plan includes main fl office, stone fireplace in family rm, huge loft area that could be 5th bedrm, 2nd fl lndry, huge master suit w/balcony. English basement features glass block windows, roughed in bath and plenty of storage.</t>
  </si>
  <si>
    <t>Fenced Yard, Nature Preserve Adjacent, Wetlands Adjacent, Landscaped Professionally, Water View</t>
  </si>
  <si>
    <t>Vaulted/Cathedral Ceilings, 2nd Floor Laundry</t>
  </si>
  <si>
    <t>Lynn Klein</t>
  </si>
  <si>
    <t>(847) 812-2981</t>
  </si>
  <si>
    <t>LisaRossow.com</t>
  </si>
  <si>
    <t>Call listing office or use showing assist</t>
  </si>
  <si>
    <t>Randall Rd to Fargo Rd East to St. Andrews Circle in the back on the course</t>
  </si>
  <si>
    <t>79X149X130X139</t>
  </si>
  <si>
    <t>AWARD WINNING WOW FLOOR PLAN. PANORAMIC VIEWS OF CREEK &amp; 10TH HOLE. 1ST FL MSTR SUITE w/Sunroom/Office-opens to newer Deck. NEW MBA w/Deep Shower. OPEN INVITING FEEL! Split Staircase. 3 Big BRs Up w/2 NEW Full BAs! ENGLISH BSMT. REC ROOM w/2nd FP. GAME RM w/Bar &amp; THEATRE ROOM+2 Big Bsmt rooms. CUSTOM TRIM &amp; VOLUME CEILINGS. Gleaming HWD flrs. CLASSY UPDATES IN THE LAST FEW YEARS. Quiet Circle Street. Eagle Brook GEM!</t>
  </si>
  <si>
    <t>17X26</t>
  </si>
  <si>
    <t>Microwave, Dishwasher, Refrigerator, Refrigerator-Bar, Disposal, All Stainless Steel Kitchen Appliances</t>
  </si>
  <si>
    <t>Whirlpool, Separate Shower, Double Sink, Double Shower, Soaking Tub</t>
  </si>
  <si>
    <t>Golf Course Lot, Landscaped Professionally, Stream, Water View</t>
  </si>
  <si>
    <t>Security System, Ceiling Fan, Sump Pump, Radon Mitigation System(s)</t>
  </si>
  <si>
    <t>Deck, Eating Area, Game Room, Recreation Room, Sun/Florida Room Heated, Theatre Room</t>
  </si>
  <si>
    <t>Vaulted/Cathedral Ceilings, Skylight(s), Bar-Wet, Hardwood Floors, 1st Floor Bedroom, 1st Floor Laundry</t>
  </si>
  <si>
    <t>See through/Multi Sided, Attached Fireplace Doors/Screen, Gas Logs</t>
  </si>
  <si>
    <t>SEE ADDITIONAL INFO FOR LIST OF UPGRADES AND IMPROVEMENTS.</t>
  </si>
  <si>
    <t>Chippewa</t>
  </si>
  <si>
    <t>I90 to Rte 25 S to Congdon E to Chippewa S to home</t>
  </si>
  <si>
    <t>Lords Park Manor</t>
  </si>
  <si>
    <t>81 X 121</t>
  </si>
  <si>
    <t>SHORT SALE!!! SHORT SALE!!! OWNERS HATE TO LEAVE PROPERTY HAS TOO MUCH TO OFFER. NEW ROOF AND SIDING IN 2010, NICE HARD WOOD FLOORS IN ALL BEDROOMS, NICE ENCLOSED PORCH, EXTRA ROOM IN THE BASEMENT FOR AN OFFICE. TOO MUCH TO MENTION COME AND SEE FOR YOURSELF.</t>
  </si>
  <si>
    <t>Enclosed Porch, Other</t>
  </si>
  <si>
    <t>Patio, Porch Screened, Storage Shed</t>
  </si>
  <si>
    <t>2.5 (on Net SP)</t>
  </si>
  <si>
    <t>Universal Real Estate LLC</t>
  </si>
  <si>
    <t>(847) 426-6600</t>
  </si>
  <si>
    <t>Sergio Berrios</t>
  </si>
  <si>
    <t>(847) 489-1252</t>
  </si>
  <si>
    <t>TWO HOURS NOTICE CAL LISTING OFFICE.</t>
  </si>
  <si>
    <t>CC: Pursuant to Short Sale. PLEASE ALLOW TIME FOR SHOWING AND PLEASE BE CAREFUL WITH THE OWNER'S CAT, DO NOT LET HIM OUT!!</t>
  </si>
  <si>
    <t>Washtenaw</t>
  </si>
  <si>
    <t>47TH ST WEST OR EAST TO WASHTENAW (2700w) ONE WAY</t>
  </si>
  <si>
    <t>SHORT SALE**NEWER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t>
  </si>
  <si>
    <t>17X08</t>
  </si>
  <si>
    <t>Gated Entry, Sidewalks, Street Paved</t>
  </si>
  <si>
    <t>Axel Juarez</t>
  </si>
  <si>
    <t>Easy to show. Call or text  773-403-0512</t>
  </si>
  <si>
    <t>CC: Pursuant to Short Sale. Bank approved $146,000. Serious buyers only $5,000 earnest money.</t>
  </si>
  <si>
    <t>Grange</t>
  </si>
  <si>
    <t>Go S on Annie Glidden to S Malta Rd to Devonaire Parkway to Farmstead Ln. to Grange Rd. to Grange Ct</t>
  </si>
  <si>
    <t>DEVONAIRE FARMS</t>
  </si>
  <si>
    <t>52.78X142.29X75.81X95.76X128.29</t>
  </si>
  <si>
    <t>AMAZING PROPERTY PACKAGE INCLUDES CUL-DE-SAC LOCATION NESTLED ON .34 ACRE WITH HUGE CONCRETE PATIO AND 24' PART IN-GROUND SWIMMING POOL!  New Feldco energy efficient windows, oak trim and doors warm this charming home.  Kitchen presents pantry, island, breakfast bar, butler's station and is fully applianced.  First floor Den and Foyer with hardwood floor!  3-car garage and garden shed are additional valued features!</t>
  </si>
  <si>
    <t>Patio, Storage Shed, Pool Above Ground, Pool In-Ground, Storms/Screens</t>
  </si>
  <si>
    <t>Easy to show.  Click on 'Schedule a Showing' below or call 877-977-1010.</t>
  </si>
  <si>
    <t>Mark E. &amp; Jennifer L. Slowinski</t>
  </si>
  <si>
    <t>CC: Pursuant to Short Sale. SOLD AS-IS, NO SURVEY OR PEST. ANY LENDER INDUCED REDUCTION IN COMMISSION SPLIT 50/50.   24' round semi-inground swimming pool, electricity to pool, concrete patio, newer Feldco energy efficient windows, all window treatments stay.</t>
  </si>
  <si>
    <t>Moate</t>
  </si>
  <si>
    <t>Lake Cook Rd. to Meadow Hill Road to Moate Lane.</t>
  </si>
  <si>
    <t>263X660X231X661</t>
  </si>
  <si>
    <t>Fabulous brick Georgian on 5-acres.  Timeless home with circular drive, 2-story Foyer w/ marble flooring, palladian windows, FR w/ stone FP and built-ins, volume ceilings, hwd. floors, first floor study, screened porch, brick patio, spacious maple Kitchen with granite, 2nd floor Master Suite + 3 BRs ensuite, front &amp; back staircase, finished LL &amp; 3-car garage. Great condition!</t>
  </si>
  <si>
    <t>BARRINGTON MIDDLE SCHOOL - STATION CAMPUS</t>
  </si>
  <si>
    <t>Horse-Riding Trails</t>
  </si>
  <si>
    <t>Common Insurance, Snow Removal</t>
  </si>
  <si>
    <t>Mimi Burke</t>
  </si>
  <si>
    <t>Cell 847-421-2836</t>
  </si>
  <si>
    <t>Appointment only</t>
  </si>
  <si>
    <t>CC: Pursuant to Short Sale. Priced to sell, sold "as is"; tax proration 100%; buyer to pay for survey; any lender reduction in commission to be split 50/50 between listing &amp; selling broker.  (Assoc. Fees Snow removal for Moate Rd. &amp; Ascot Rd., driveway is separate)</t>
  </si>
  <si>
    <t>Church</t>
  </si>
  <si>
    <t>Wilson East of downtown Batavia, N on Prairie, E on Church to home</t>
  </si>
  <si>
    <t>168X338</t>
  </si>
  <si>
    <t>Spacious 4 bedroom home on incredibly large lot! Enjoy this beautiful yard full of perennials on the oversized front porch or quaint backyard patio. HW floors, 6 panel doors, first floor laundry and half bath off master bedroom. Oversized kitchen features nostalgic St Charles Era cabinets! Partially finished basement with custom built bar. Tons of storage space! Included flag lot is buildable! Kit fridge not included</t>
  </si>
  <si>
    <t>Oven/Range, Microwave, Dishwasher, Washer, Dryer, Compactor-Trash</t>
  </si>
  <si>
    <t>Bar-Dry, Hardwood Floors, Wood Laminate Floors, 1st Floor Laundry, 1st Floor Full Bath</t>
  </si>
  <si>
    <t>Marie Krolikowski</t>
  </si>
  <si>
    <t>Call Showing Time at 855-746-9100. 1 hr. notice required</t>
  </si>
  <si>
    <t>Property has two pin numbers: 12-14-377-004 and 005. List price includes very large adjacent flag lot: over 39,000 sq ft.  Flag lot can be built on with access from Church Rd.  Taxes reflect both parcels of land. SELLERS CONTINUING TO SHOW</t>
  </si>
  <si>
    <t>South to Pulaski East to Harding south To Property</t>
  </si>
  <si>
    <t>** BACK ON THE MARKET ...... due to Previous Buyer Financing Great Opportunity to own an Affordable property in Desirable Location - Property is available for FHA Financing. NOT A SHORT SALE - Owner RELOCATING</t>
  </si>
  <si>
    <t>2.5% -175 (on Net SP)</t>
  </si>
  <si>
    <t>A &amp; G Realty Inc.</t>
  </si>
  <si>
    <t>(773) 450-1002</t>
  </si>
  <si>
    <t>Gerardo Robledo</t>
  </si>
  <si>
    <t>CALL DAN @ 708-829-0065 or EMAIL @ DanVillasenor@msn.com to Confirm Showings</t>
  </si>
  <si>
    <t>Use 5.0 Contract - REGULAR SALE *** NOT A SHORT SALE ** FAST CLOSING</t>
  </si>
  <si>
    <t>Nathan Lattin</t>
  </si>
  <si>
    <t>Plank Rd. East to Luther Lowell, South, East on Nathan Lattin</t>
  </si>
  <si>
    <t>Heron Creek</t>
  </si>
  <si>
    <t>Custom blt Patrick Home,4 bed,2.5 bath W/ full lookout basement &amp; Den.Grand 2 story entrance.Beautiful hrdwd flooring, arched doorways, wainscotting and custom millwork through out.Eat in kitchen with breakfast bar,recessed lighting, maple cabinets,Fam Room fireplace.Custom built bookcases &amp; upgraded lighting.Second Floor laundry.Vaulted master suite.Surround Sound &amp;Security throughout. Deck w/landscaped yard.</t>
  </si>
  <si>
    <t>Humidifier, TV-Dish, Security System, CO Detectors, Ceiling Fan, Sump Pump, Air Cleaner</t>
  </si>
  <si>
    <t>Call Listing Office or Agent</t>
  </si>
  <si>
    <t>Morgan to 81st Street</t>
  </si>
  <si>
    <t>Reduced in Price by $20K for a quick sale - AS-IS.  Please tell Clients we're looking for asking price on this one.  Beautifully Rehabbed Brick Bungalow in Beautiful Auburn Gresham Neighborhood.  Full Basement, Two Car Garage, 2,115 Square Feet, 2.5 Baths, Living Room, Dining Room, Kitchen.  This is a great deal.  FHA, Conventional, IHDA Funds, call if you have any questions.  Showing Assist for VPS Color Combo.</t>
  </si>
  <si>
    <t>Andrew Tyler</t>
  </si>
  <si>
    <t>1-651-756-0184 or 1-630-426-9850</t>
  </si>
  <si>
    <t>630-426-9850</t>
  </si>
  <si>
    <t>Please View Showing Instructions for VPS System Combo</t>
  </si>
  <si>
    <t>Zhang</t>
  </si>
  <si>
    <t>Reduced in Price.  Rehabbed to the full and turn-key for your Clients.  Call Andrew if you have any questions.</t>
  </si>
  <si>
    <t>Windstar</t>
  </si>
  <si>
    <t>RANDALL RD TO HUNTLEY RD TO WESTWOOD DR TO GRANDVIEW DR TO PINEHOLLOW TO WINDSTAR</t>
  </si>
  <si>
    <t>155X132X171X65</t>
  </si>
  <si>
    <t>Two story towering home w/ lots of designer touches done in the living and family rooms. Formal dining room. Bright open kitchen has an island and loads of cabinet space. Spacious bedrooms on the 2nd level. Full basement adds a ton of storage space. Private master bath. Two car attached garage. Back yard fenced. Sold As-Is. Taxes 100%. Special Addendums required after offer is accepted.</t>
  </si>
  <si>
    <t>Storage Shed, Brick Paver Patio</t>
  </si>
  <si>
    <t>This property is placed in upcoming event. Next bidding period starts 10/25/14. All bids should be submitted @ homesearch.com. Submit pre-event offers to sales@homesearch.com. Offers will be reviewed and responded to within 3 business days.</t>
  </si>
  <si>
    <t>JUDITH</t>
  </si>
  <si>
    <t>Rt 34 to Pearces Ford L on Old Post  R on Judith</t>
  </si>
  <si>
    <t>PONDS AT MILL RACE CREEK</t>
  </si>
  <si>
    <t>This is an Awesome House. 4 bedrooms 3 Â½ baths. Hardwood floors in kitchen &amp; neutral colors make this home 'move in readyâ€™! Quiet Street and walking distance to the Elementary School and Park. Professionally painted throughout the house with granite countertops in kitchen and bathrooms. Master BR with Vaulted Ceiling and Fan and custom closets. NEW Furnace and Air conditoner. Newer carpeting</t>
  </si>
  <si>
    <t>Jeffrey Guenther</t>
  </si>
  <si>
    <t>(312) 615-7627</t>
  </si>
  <si>
    <t>Call Listing Agent 312-615-7627 for Appt. 2 hr notice appreciated</t>
  </si>
  <si>
    <t>Washer, Dryer and refrigerator stay.  AC/Heat New   Sump Pump and Thruster Pump New.  Replaced as preventative maintenance</t>
  </si>
  <si>
    <t>Bloomfield</t>
  </si>
  <si>
    <t>Wolf's Crossing to Southbury to Colchester to Bloomfield to home.</t>
  </si>
  <si>
    <t>HUDSON-D LOT#95</t>
  </si>
  <si>
    <t>78 X 134 X 137 X 96</t>
  </si>
  <si>
    <t>Exciting New Construction "Autumn Gate at Southbury" Soaring 9Ft. Ceilings Main Level. Kit Features Island, Butler Pantry &amp; Bay+Granite. Vol Ceiling M/ Br w/Dbl Doors &amp; Lux Bath. 8 Ft. Full Bmt. Stained Rails &amp; Spindles.100% Energy Star. 30 Yr. Transferable Structural Warranty. ALL Photo's are of the "Hudson" Home Plan, Hurry In Today Subject Home Ready For Delivery NOW</t>
  </si>
  <si>
    <t>Oven-Double, Dishwasher, Disposal, All Stainless Steel Kitchen Appliances</t>
  </si>
  <si>
    <t>Central Air, Basement, Vinyl Clad Windows</t>
  </si>
  <si>
    <t>Breakfast Room, Den, Mud Room</t>
  </si>
  <si>
    <t>3%-$200 ON BASE PRICE+$5000 REALTOR BONUS IF CLOSED BY 4/30/15 (on Net SP)</t>
  </si>
  <si>
    <t>331-999-3914</t>
  </si>
  <si>
    <t>Please call Nicolle Gardiner 847-220-3439 or use Showing Assist</t>
  </si>
  <si>
    <t>Agent must accompany buyers on first visit. Commission paid on base price. Register your clients with Nicolle, at Sales office at The Oaks at Churchill Club. Subject Home Is Ready NOW</t>
  </si>
  <si>
    <t>Colchester</t>
  </si>
  <si>
    <t>Wolfs Crossing to Southbury to Colchester to Redding Court</t>
  </si>
  <si>
    <t>JOURDAN-C LOT#03</t>
  </si>
  <si>
    <t>82X156X102X172</t>
  </si>
  <si>
    <t>Exciting New Construction "Autumn Gate at Southbury" 9 Ft Ceilings. Kit Ftrs Granite &amp; SS Appls! Master Br w/Pvt Lux Bth. Family Room with Fireplace. 1st Floor Laundry w/Tub. Stained Rails+Spindles. 1st Flr Study.  8 Ft. Full Bmt. 100% Energy Star. 30 Yr. Transferable Structural Warranty Lot #3 Photo's Are of A Model Fall Completion INCENTIVES OFFERED BY THE BUILDER * $3000 Closing Cost Credit or Smart Rate Special *</t>
  </si>
  <si>
    <t>3%-$200 ON BASE PRICE+$5000 BONUS IF CLOSED BY JANUARY 2015! (on Net SP)</t>
  </si>
  <si>
    <t>Please call Maureen Parotto 331-999-5717 or use Showing Assist</t>
  </si>
  <si>
    <t>Poplar View Bend</t>
  </si>
  <si>
    <t>RT 19 2 ROHRSSEN RD N2 CARDINAL DR E2 CHAPEL HILL S2 POPLAR VIEW BEND 2 HOME</t>
  </si>
  <si>
    <t>CHAPEL CREEK</t>
  </si>
  <si>
    <t>147X298X145X297</t>
  </si>
  <si>
    <t>BTFL ESTATE HOME BACKS 2 FOREST PRESERVE! 2-STY FYR W/OAK STAIRS! SOARING 2-STY LR W/MASSIVE BRK FP &amp; WALL OF WNDWS! HUGE GOURMET KTCHN W/BRKFST BAR ISLAND, QUARTZ C-TOPS, TILE B-SPLASH, PLAN DESK &amp; CHERRY CABS! SEP FRML DR! 1ST FLR MBDRM W/DBL DR ENTRY, CATH CLNGS &amp; LUX BTH W/WHIRLPOOL TUB, WIC &amp; DBL VANITIES! 1700 SQ FT FIN WLKOUT BSMNT W/5TH BDRM, FULL BTH, REC RM W/BRK FP &amp; ADDITIONAL LIV AREA! BTFL INGROUND POOL</t>
  </si>
  <si>
    <t>Oven-Double, Dishwasher, Refrigerator, Washer, Dryer, All Stainless Steel Kitchen Appliances</t>
  </si>
  <si>
    <t>Fenced Yard, Forest Preserve Adjacent</t>
  </si>
  <si>
    <t>Humidifier, Water-Softener Owned, TV-Cable, Security System, Ceiling Fan, Fan-Attic Exhaust, Sump Pump</t>
  </si>
  <si>
    <t>Recreation Room, Den, Media Room, Other</t>
  </si>
  <si>
    <t>Deck, Patio, Pool In-Ground</t>
  </si>
  <si>
    <t>1ST FLR LNDRY! ZONED HEATING &amp; COOLING! NEWER ANDERSON WNDWS! PART BRK FRNT!</t>
  </si>
  <si>
    <t>Leclaire</t>
  </si>
  <si>
    <t>North Avenue turn South to Lemoyne East to Leclaire</t>
  </si>
  <si>
    <t>34X126</t>
  </si>
  <si>
    <t>Brick Bungalow in good condition, semi finished basement, low taxes. Short Sale has started.</t>
  </si>
  <si>
    <t>Bonus, Utility Room-Lower Level</t>
  </si>
  <si>
    <t>Wendy Tanaschuk</t>
  </si>
  <si>
    <t>(773) 682-6882</t>
  </si>
  <si>
    <t>Schedule showing assist 24 hr notice</t>
  </si>
  <si>
    <t>Indian Cliffs</t>
  </si>
  <si>
    <t>ORCHARD TO GALENA RD TO DICKSON TO FOSTER TO PECOS TO INDIAN CLIFFS LN</t>
  </si>
  <si>
    <t>BALMOREA</t>
  </si>
  <si>
    <t>Fresh paint floor to ceiling! Brand new carpet throughout entire home! 4 Spacious Bedrooms, 2 Full Baths, 1 half bath, 2 car attached garage!  **NO PERSONAL PROPERTY INCLUDED** This is a Fannie Mae HomePath Property.</t>
  </si>
  <si>
    <t>EM in Certified funds to Codilis &amp; Assoc. Submit offer to HomePath.com. Please Email POF/preapproval to Broker. For assistance w/process call 866.218.4446. sizes approx. No survey provided.</t>
  </si>
  <si>
    <t>LAKE BLUFF</t>
  </si>
  <si>
    <t>RT 47 TO RT 72 (EAST) TO WESTER (SOUTH) TO LOOKOUT TO LAKE BLUFF TO HOME</t>
  </si>
  <si>
    <t>69X120X60X120</t>
  </si>
  <si>
    <t>Stunning home in Cambridge Lakes~2-story foyer~Spacious kitchen w/hi-grade s/s appl, corian counters, island, cherry cabinet~Hardwood t/o most of main level~Bay windows in kitchen/din ms~1st fl laundry~4 beds/loft on 2nd level~Grand mbs w/walk-in &amp; luxury bath~Furniture included~Full base w/rough-in~Fenced yard w/inground pool, firepit~Large grassy area behind~Parks/ponds/fitness/courts/school &amp; more! Quick closing!</t>
  </si>
  <si>
    <t>Porch, Stamped Concrete Patio, Brick Paver Patio, Pool In-Ground, Storms/Screens</t>
  </si>
  <si>
    <t>Joanne Spagnola</t>
  </si>
  <si>
    <t>(630) 661-1222</t>
  </si>
  <si>
    <t>Call Showing Time @1-855-746-9100 For Confirmed Appointment! Easy to show!</t>
  </si>
  <si>
    <t>Show this home with confidence~Absolutely beautiful~The in-ground swimming pool is salt water and maintenance free. All pool supplies and equipment stay. All furniture will remain.  Please use 6.0 contract.</t>
  </si>
  <si>
    <t>4N362</t>
  </si>
  <si>
    <t>Mark Twain</t>
  </si>
  <si>
    <t>Route 64 to LaFox South to Samuel Clemens East to Mark Twain South to property</t>
  </si>
  <si>
    <t>59X140X63X140</t>
  </si>
  <si>
    <t>I'm bigger than I appear! 4400 sf of finished living area on 3 levels. 3 car garage tandem! Lookout LL features Theater Rm w/tiered recliner seating for 9! 110" projection TV, wet bar, wine room, 3rd bath w/steam shower. Gourmet kitchen w/maple cabinets, quartz, tumbled marble opens to 1st floor FR &amp; to large refinished deck~paver patio on LL, mature prof. landscaping, 2nd fl bonus rm. Good Feng Shui/Vastu energy*</t>
  </si>
  <si>
    <t>Fenced Yard, Forest Preserve Adjacent, Landscaped Professionally</t>
  </si>
  <si>
    <t>Bonus, Breakfast Room, Foyer, Office, Recreation Room, Theatre Room, Walk In Closet</t>
  </si>
  <si>
    <t>Skylight(s), Bar-Wet, Hardwood Floors, 2nd Floor Laundry</t>
  </si>
  <si>
    <t>3%-200 (on Net SP)</t>
  </si>
  <si>
    <t>Jodi Sagil</t>
  </si>
  <si>
    <t>(630) 587-4638</t>
  </si>
  <si>
    <t>630-334-2763</t>
  </si>
  <si>
    <t>Call 855-746-9200 for appoint OR use showing assist~MUST CONFIRM~PROVIDE 1 HOUR NOTICE</t>
  </si>
  <si>
    <t>Relo addendums required, no house to sell contingency please</t>
  </si>
  <si>
    <t>6N760</t>
  </si>
  <si>
    <t>Virginia</t>
  </si>
  <si>
    <t>Rt 25 To Courier to Illinois to Virginia up the Hill</t>
  </si>
  <si>
    <t>225 X 241</t>
  </si>
  <si>
    <t>Vacation Resort Lifestyle! Perfectly Located High Up on Hill~ Walk to River and Bike Path! Beautiful Views from Gorgeous Windows. Upgraded Kitchen has Beautiful Cabinetry &amp; Island. See through FP! First Floor Master w/Lux bath~ WIC &amp; Slider to Bal Deck. 1728 sq ft Full Fin Walk-Out LL. Easy Work from home with Studio Above Gar with Sep Entrance &amp; Bath. Large Deck, Brick Paver Patio, Forested Lot.  Brand New Roof! 10+</t>
  </si>
  <si>
    <t>ANDERSON ELEMENTARY SCHOOL</t>
  </si>
  <si>
    <t>All, Curtains/Drapes</t>
  </si>
  <si>
    <t>Dock-Community</t>
  </si>
  <si>
    <t>Water View, Wooded</t>
  </si>
  <si>
    <t>Bonus, Breakfast Room, Deck, Enclosed Porch, Exercise Room, Great Room, Loft, Office, Recreation Room, Screened Porch, Walk In Closet</t>
  </si>
  <si>
    <t>Balcony, Deck, Screened Deck, Brick Paver Patio</t>
  </si>
  <si>
    <t>Bridget Wagner</t>
  </si>
  <si>
    <t>Call Showingtime 1-855-746-9200 24hr notice preferred.</t>
  </si>
  <si>
    <t>This home has already been inspected. Beautiful Custom Home! Must See... perfect for hobbyist or at home business/office.  Tranquil Beautiful Setting. Fishing~Biking~Boating~Hiking~ Impressive</t>
  </si>
  <si>
    <t>Glen Oak</t>
  </si>
  <si>
    <t>West on 72, left on Locust, right on Winmoor, left on Glen Oak</t>
  </si>
  <si>
    <t>152X240X93X253</t>
  </si>
  <si>
    <t>Great location near I-90, preschool, elementary school, bird sanctuary, pool, tennis &amp; basketball courts. Remodeled kitchen &amp; bathrooms w/granite counters &amp; pantry/mud room. Spacious master bath w/tile floor/shower. Beautiful bamboo floors. Roof (50 year warranty) ventilation, and gutters 2006. Water heater, heater &amp; who house humidifier 2011. Insulation 2012. Insulated garage door &amp; sump pump 2013.</t>
  </si>
  <si>
    <t>Sustainable</t>
  </si>
  <si>
    <t>Park/Playground, Pool, Tennis Courts, Horse-Community Barn, Pond/Lake</t>
  </si>
  <si>
    <t>Humidifier, TV-Cable, TV Antenna, Ceiling Fan, Sump Pump</t>
  </si>
  <si>
    <t>3% -$289 (on Net SP)</t>
  </si>
  <si>
    <t>CALL SELLER @ 224-698-9539 FOR APPT/INQUIRIES</t>
  </si>
  <si>
    <t>Curtis, Derek &amp; Colby</t>
  </si>
  <si>
    <t>FAX OFFERS TO LIST OFFICE 773-472-8988</t>
  </si>
  <si>
    <t>Lusted</t>
  </si>
  <si>
    <t>Randall to Main, W to Deerpath south to Lusted, w to home.</t>
  </si>
  <si>
    <t>129X234X161X266</t>
  </si>
  <si>
    <t>Premium wooded lot backing to private green space. Walk out bsmt opens to stone patio. Grand front entrance &amp; porch into foyer. 1st flr master b/r, unbelievable custom closet, sitting rm. Master bath w/ steam shower, radiant flrs, granite, jet tub, dual sinks. Open kit w/ everything you'd want in your dream kitchen. Eat in area, sun rm, 2 story f/r w/ f/p. Each b/r w/ private bath. 2 laundry rms. Pristine condition.</t>
  </si>
  <si>
    <t>Oven-Double, Oven/Range, Microwave, Dishwasher, Refrigerator, Refrigerator-Bar, Freezer, Disposal, Compactor-Trash, All Stainless Steel Kitchen Appliances, Wine Cooler/Refrigerator</t>
  </si>
  <si>
    <t>Partially Finished, Exterior Access, Bathroom Rough-In</t>
  </si>
  <si>
    <t>Humidifier, Water-Softener Owned, Central Vacuum, TV-Cable, Security System, Intercom, CO Detectors, Ceiling Fan, Sump Pump, Sprinkler-Lawn, Air Exchanger</t>
  </si>
  <si>
    <t>Bonus, Eating Area, Foyer, Loft, Sitting Room, Sun/Florida Room, Utility Room-2nd Floor, Walk In Closet</t>
  </si>
  <si>
    <t>19X08</t>
  </si>
  <si>
    <t>24 hr must confirm. Agent must accompany. Call 855-746-9100 to schedule.</t>
  </si>
  <si>
    <t>Living rm designed so you could add 5th b/r/office above it.2nd flr huge bonus rm could be used for many purposes/it was mainly designed for in law quarters w/a placement of elevator in garage.Whole bsmt studded out w/working office.Use 6.0</t>
  </si>
  <si>
    <t>Pensacola to address</t>
  </si>
  <si>
    <t>House needs alot of work and is being sold "as is".  Great area, corporate owned but not a short sale or foreclosure.  Response to offers will be immediate. Seller is willing to make some repairs but must be negotiated with sale price.</t>
  </si>
  <si>
    <t>Homesellers Realty</t>
  </si>
  <si>
    <t>(773) 888-3693</t>
  </si>
  <si>
    <t>Edward Enright</t>
  </si>
  <si>
    <t>call Alan 847 544-0114</t>
  </si>
  <si>
    <t>Value Properties</t>
  </si>
  <si>
    <t>$2,000 bonus if under contract by 1/31/15.  To be paid at closing</t>
  </si>
  <si>
    <t>ROCKWELL</t>
  </si>
  <si>
    <t>western n or s to 73rdst,west to rockwell,north to7204</t>
  </si>
  <si>
    <t>Brick Bungalow,Newer Kitchen,Updated Bathroom,Fine Hardwood Floors,Decorated with Style. Replacement windows  Central-Air. Concrete Patio, fenced yard. Garage. Boarded-up  to protect foreclosed property. Sharp interior ready to move-in  condition with just a little work.Landscaped property.Selling  as-is,cash or Rehab loan. Great home for Home owner or Investor.</t>
  </si>
  <si>
    <t>Humidifier, TV-Dish, Security System, CO Detectors, Ceiling Fan, Sump Pump</t>
  </si>
  <si>
    <t>6X22</t>
  </si>
  <si>
    <t>Call Listing Office 24hrs.</t>
  </si>
  <si>
    <t>Douglas Rd South to Wolf Crossing rd West to Southbury Blvd south to Willington west to Bolton Ct.</t>
  </si>
  <si>
    <t>80 X 147</t>
  </si>
  <si>
    <t>Cascade w/ Craftsman style exterior!  This home has it all- Full basement w/ rough in.  Luxury custom Serenity Shower in Master Bath with granite dual vanities &amp; upgraded tile. Gorgeous upgraded kitchen w/ granite, dark staggered cabinets w crown, upgraded lighting, stainless steel.  Wood floors- foyer, kitchen, breakfast, powder &amp; great room. Pool/ Club community, on site elementary</t>
  </si>
  <si>
    <t>Vinyl Siding, Shakes, Stone</t>
  </si>
  <si>
    <t>Register client at sales office on 1st visit.  Mon 1-6, tues- at 10-6, sun 11-6. 847-984-4615</t>
  </si>
  <si>
    <t>DR Horton</t>
  </si>
  <si>
    <t>Home is complete,  ready for early Oct closing.  Addl closing cost credit w DHI mtg. Register client at sales office Jennifer 847-984-4615.  Mon 1-5, Tues- Sat 10-5, Sun 11-5</t>
  </si>
  <si>
    <t>Sangamon is three blocks west of Halsted Street;</t>
  </si>
  <si>
    <t>Four bedroom, brick bungalow that needs your finishing touch. Located on a quiet, tree-lined street. Close to expressway, bus routes, shopping &amp; schools.</t>
  </si>
  <si>
    <t>Angela T Pettis</t>
  </si>
  <si>
    <t>708-205-3728</t>
  </si>
  <si>
    <t>Call 1-855-746-9100</t>
  </si>
  <si>
    <t>Motivated seller. House needs work, lots of space. Need 24 hour notice to show.</t>
  </si>
  <si>
    <t>Deer Pointe</t>
  </si>
  <si>
    <t>Randall Rd, East on Lake, South on Raymond St., East on Wyndham Dr, North on Prairie Point Dr.</t>
  </si>
  <si>
    <t>Prairie Pointe</t>
  </si>
  <si>
    <t>BETONY B</t>
  </si>
  <si>
    <t>135X76</t>
  </si>
  <si>
    <t>K. Hovnanian's Grand Opening of South Elginâ€™s newest community~Prairie Pointe! Build your dream home. Only 61 single family home sites available. The Betony model has 2638 sf of living space, 4 bedrooms plus a loft, &amp; 2.5 baths! Gourmet kitchen, all ss appliances, birch 42â€_x009d_ cabinets &amp; granite counter tops. Oak hardwood on first floor. Home includes full basement. Photos are of model home that shows upgrades &amp; options</t>
  </si>
  <si>
    <t>Clinton Elementary School</t>
  </si>
  <si>
    <t>Kenyon Woods Middle School</t>
  </si>
  <si>
    <t>South Elgin High School</t>
  </si>
  <si>
    <t>Call sales office @ 847-717-4270 for details</t>
  </si>
  <si>
    <t>K. Hovnanian</t>
  </si>
  <si>
    <t>Commission Paid on Base Selling Price Register clients on 1st visit â€“ no co-op commission paid without valid registration. Registration must precede any offer to purchase.</t>
  </si>
  <si>
    <t>Tonty</t>
  </si>
  <si>
    <t>Northwest on Caldwell to Tonty northeast home</t>
  </si>
  <si>
    <t>WILDWOOD</t>
  </si>
  <si>
    <t>45 X 152</t>
  </si>
  <si>
    <t>Amazing home, bigger than it looks! Four bedroom home with 3 full baths. Tremendous view off the chef's kitchen with top of the line appliances. Separate dining room perfect for entertaining. Lot's of specials, sauna, wet bar, wine cellar, wired for sound throughout, &amp; so much more! Yard is fully lit and a great place to escape on a warm evening. This lovely home is ready for your family to call home!</t>
  </si>
  <si>
    <t>Septic-Shared, Sewer-Public</t>
  </si>
  <si>
    <t>Full Body Spray Shower, Soaking Tub</t>
  </si>
  <si>
    <t>Skylight(s), Sauna/Steam Room, Bar-Wet, Hardwood Floors, 1st Floor Full Bath</t>
  </si>
  <si>
    <t>Deck, Porch, Storage Shed, Storms/Screens, Grill-Outdoors</t>
  </si>
  <si>
    <t>Robbin Frey</t>
  </si>
  <si>
    <t>(773) 443-5447</t>
  </si>
  <si>
    <t>Please call or text for showings 773.443.5447</t>
  </si>
  <si>
    <t>Exclude dining room light fixture and hutch</t>
  </si>
  <si>
    <t>N425</t>
  </si>
  <si>
    <t>Sulley</t>
  </si>
  <si>
    <t>Fabyn Pkwy to Mill Creek to Herrington to Terney to Sulley Dr</t>
  </si>
  <si>
    <t>Fannie Mae Homepath Property! Spacious 4 Bdrm, 3.5 Bth. Fresh paint. New carpet. HW floors &amp; vaulted ceilings. Full finished English bsmt w/bar and built ins. Great deck &amp; patio.  No personal property included.  POF is strongly encouraged w/offers.</t>
  </si>
  <si>
    <t>Exercise Room, Recreation Room</t>
  </si>
  <si>
    <t>Vaulted/Cathedral Ceilings, Hardwood Floors, 1st Floor Laundry, 2nd Floor Laundry</t>
  </si>
  <si>
    <t>3.0 % (on Net SP)</t>
  </si>
  <si>
    <t>BRIGHAM</t>
  </si>
  <si>
    <t>Randall Rd, Fargo East to Brigham Way</t>
  </si>
  <si>
    <t>Sunset Meadows</t>
  </si>
  <si>
    <t>130X150 + ADDITIONAL PARCEL</t>
  </si>
  <si>
    <t>QUALITY CUSTOM ALL BRICK/STONE HOME,AMENITIES ABOUND! 2 STORY ENTRY W/CURVED STAIRCASE,GOURMET KIT W/GRANITE,ISLAND W/BRKFAST BAR &amp; WALK-IN PANTRY,SUNKEN COFFERED FR W/WETBAR,MASTER W/FP,SITTING RM,LUX MARBLE BATH &amp; 13x10 WIC,BDRM #2 W/PRIV BATH,EXT MILLWORK &amp; BLT-INS T/O,PART FIN BSMT W/WINE CELLAR,REC RM W/FP &amp; SLATE WALLS,SUNRM,IN-GRND POOL,SLATE PATIO &amp; BLKS TO EL SCHL. MANY SPECIAL AMENITIES BUT NEEDS SOME WORK.</t>
  </si>
  <si>
    <t>Oven-Double, Microwave, Dishwasher, Refrigerator, High End Refrigerator, Refrigerator-Bar, Disposal, All Stainless Steel Kitchen Appliances</t>
  </si>
  <si>
    <t>Humidifier, Water-Softener Owned, TV-Cable, TV-Dish, Security System, Intercom, CO Detectors, Ceiling Fan, Sump Pump, Sprinkler-Lawn, Backup Sump Pump, Radon Mitigation System(s)</t>
  </si>
  <si>
    <t>Den, Game Room, Recreation Room, Sitting Room, Sun/Florida Room, Walk In Closet, Other</t>
  </si>
  <si>
    <t>Vaulted/Cathedral Ceilings, Skylight(s), Bar-Wet, Heated Floors, In-Law Arrangement, 1st Floor Laundry</t>
  </si>
  <si>
    <t>Patio, Brick Paver Patio, Pool In-Ground, Storms/Screens</t>
  </si>
  <si>
    <t>call 855.746.9093</t>
  </si>
  <si>
    <t>Builder blt for himself. Top qual materials &amp; amenities. Addtll parcel 12-09-402-008 makes this appox .5 acre.Brk paver walkway,retractable chandelier,transoms &amp; french drs. Uniquely fin bsmt but parts need completion.</t>
  </si>
  <si>
    <t>Austin Ave. West on 60th to property</t>
  </si>
  <si>
    <t>40X155</t>
  </si>
  <si>
    <t>brick 4 bedroom raised ranch w/side drive on 38x155 lot  hardwood floors thru-out. large kitchen-dinette. newer windows,roof  overhead sewers and pump  2 car brick garage</t>
  </si>
  <si>
    <t>Hot Tub</t>
  </si>
  <si>
    <t>Nowak Realty</t>
  </si>
  <si>
    <t>(773) 767-2600</t>
  </si>
  <si>
    <t>Mark Nowak</t>
  </si>
  <si>
    <t>use assist a show</t>
  </si>
  <si>
    <t>Wolf's Crossing to Southbury Blvd -South to Willington Way Turn Right</t>
  </si>
  <si>
    <t>75 X 147</t>
  </si>
  <si>
    <t>NEW! Ready to close! TUSCAN: 4BR, bonus loft, 2.5 baths, FULL BSMT  3 CAR! Huge kitchen: 36/42" Espresso cabinets w. crown, Island, Breakfast Bar, SS appliances, and Walk-in pantry. No carpet on 1st floor- all wood laminate! Master Suite has a walk in Serenity Shower: dual vanities, upgraded tile.  Upgraded carpeting/pad. Clubhouse/ Pool community! On site elem school. Addl Closing cost incentive w builder lender!</t>
  </si>
  <si>
    <t>Register client on 1st visit at sales office.  204 Bolton Ct, Oswego 847-984-4615</t>
  </si>
  <si>
    <t>Home complete- ready to close!    Closing cost credit with DHI mortgage (builder's lender).  Register client at sales office, open daily- 847-984-4615 204 Bolton ct.</t>
  </si>
  <si>
    <t>Wolfs Crossing to Southbury to Colchester to Bloomfield Circle to home</t>
  </si>
  <si>
    <t>MONROE-D LOT#115</t>
  </si>
  <si>
    <t>58X143X49X48X147</t>
  </si>
  <si>
    <t>New Construction "Autumn Gate at Southbury" 9Ft Ceilings 1st Flr Tray Ceiling Din Rm, Gourmet Kit Ftrs 36" Tiered Cabs, Granite, SS Appls, Dbl Door Entry to Tray Ceiling Master Br w/Lux Bath w/Walk in Shower. Stained Rails &amp; Spindles. 1st Flr Den, + Loft 30 Year Transferable Structural Warranty, 100% Energy Star, Lot # 115 Photo's are of Subject Home Ready For Immediate Delivery.</t>
  </si>
  <si>
    <t>Eating Area, Loft, Study</t>
  </si>
  <si>
    <t>3%-$200 ON BASE PRICE +$5000 REALTOR BONUS IF CLOSED BY 3/31/15! (on Net SP)</t>
  </si>
  <si>
    <t>Please call Nicole Gardiner 847-220-3439 or use Showing Assist</t>
  </si>
  <si>
    <t>Agent must accompany buyers on first visit. Commission paid on base price. Register your clients with Nicolle, at the Sales office at the Oaks at Churchill Club.</t>
  </si>
  <si>
    <t>Harbor</t>
  </si>
  <si>
    <t>Take Rt. 31 N from Rt. 72, W on Huntley Rd., North on Harbor to 418 Harbor</t>
  </si>
  <si>
    <t>NEWPORT COVE</t>
  </si>
  <si>
    <t>78'X126'X49'X116'X20'X22'</t>
  </si>
  <si>
    <t>SHORT SALE .. LENDER APPROVAL REQUIRED!  Super Great Location and Lot for this 4 br, 2.2 ba home .. vinyl sided and in very good shape!  Nice sized rms on all 3 levels.  Mstr Bath has separate shower, all Moen fixtures, double sink w/granite cntrs, large soaking tub. Huge Fenced Backyard with 15x35 foot deck.  Lower Level offers so much more space with rec and exercise rooms.  All Stainless KT Appls.  Selling "AS IS"</t>
  </si>
  <si>
    <t>Cul-de-sac, Fenced Yard, Nature Preserve Adjacent, Landscaped Professionally</t>
  </si>
  <si>
    <t>Deck, Eating Area, Exercise Room, Recreation Room</t>
  </si>
  <si>
    <t>Vaulted/Cathedral Ceilings, Skylight(s), Wood Laminate Floors</t>
  </si>
  <si>
    <t>15X35</t>
  </si>
  <si>
    <t>Cindie Patterson, SFR</t>
  </si>
  <si>
    <t>(847) 344-8480</t>
  </si>
  <si>
    <t>Click on "Schedule a Showing" button or call listing office (847) 381-8800</t>
  </si>
  <si>
    <t>CC: Pursuant to Short Sale. CC:  Pursuant to Short Sale.  Experienced short sale title company.  Seller has nearly completed all short sale paperwork for lender and title company.  Lender approval required.  Any lender imposed reduction in commission will be shared.</t>
  </si>
  <si>
    <t>Mcclure</t>
  </si>
  <si>
    <t>Highland ave to Mc Clure north</t>
  </si>
  <si>
    <t>HISTORIC</t>
  </si>
  <si>
    <t>132 X 149</t>
  </si>
  <si>
    <t>The historical home features 2 entrances: a gentleman's porch &amp; the main entryway w/ original hand operated door bell.  The original craftsmanship is outstanding w/ serving quarters is located off the spacious kitchen.  There are 4 fireplaces, 3 LR, recess lighting, &amp; upstairs laundry. Fannie Mae HomePath Property ,100% tax proration.</t>
  </si>
  <si>
    <t>Island, Pantry-Butler</t>
  </si>
  <si>
    <t>Please see all doc under additional information, All offers made through HomePath.com and send the same doc's to my email and I will confirm receipt. Have your buyer(s) select &amp; initial title option in section 10. Thank You</t>
  </si>
  <si>
    <t>Jefferyto7600 South eat to yates (2400 east) so to home</t>
  </si>
  <si>
    <t>Could say needs a lot or work, but would rather say a savvy investor's dream. 4 spacious bedrooms , enclosed porch heated, plus 2 bedrms in expanded attic. Formal dining rm. 2 bedrms main level full basement with bath. Possible mold in basement. Need release before  viewing call office. Garage need work. Check comps for area could be a great investment.  To show call office or agent</t>
  </si>
  <si>
    <t>Delores Houston</t>
  </si>
  <si>
    <t>(708) 989-2814</t>
  </si>
  <si>
    <t>000-000-0000</t>
  </si>
  <si>
    <t>call office need mold realase before entering</t>
  </si>
  <si>
    <t>owner of records</t>
  </si>
  <si>
    <t>Seller motivated will look at all offers. . Call Mrs Houston 708-989-2814</t>
  </si>
  <si>
    <t>Irving Park Rd To Orchard South To Home</t>
  </si>
  <si>
    <t>2.5% - 125 (on Net SP)</t>
  </si>
  <si>
    <t>Johanna Cruz</t>
  </si>
  <si>
    <t>(773) 507-3900</t>
  </si>
  <si>
    <t>Call Listing Office - Showings After 5pm Monday - Friday. Weekends By Appt 24hrs Notice</t>
  </si>
  <si>
    <t>CC: Pursuant to Short Sale. Short Sale Started By Experience Attorney.</t>
  </si>
  <si>
    <t>Foxpointe Dr S to Hathaway Dr W to Bristol Dr E to home</t>
  </si>
  <si>
    <t>FOXPOINTE</t>
  </si>
  <si>
    <t>64X20X144X58X144</t>
  </si>
  <si>
    <t>Custom Built &amp; Designed for Easy Living!  Move In Ready Now!!  Open floorplan offers a dramatic great room w/brick fireplace, 10' ceilings &amp; HW flrs.  Cooks kitchen w/hickory cabinetry, ss appliances &amp; center island. DR offers room to expand as needed.  Enclosed porchw/vaulted ceilings adds a vacation feel.  Master BR suite, 1st Flr laundry &amp; finished lookout basement w/rec room, 4th BR &amp; full bath.</t>
  </si>
  <si>
    <t>27X18</t>
  </si>
  <si>
    <t>Humidifier, TV-Dish, Ceiling Fan, Sump Pump</t>
  </si>
  <si>
    <t>Enclosed Porch, Foyer, Recreation Room</t>
  </si>
  <si>
    <t>Porch, Screened Deck, Storms/Screens</t>
  </si>
  <si>
    <t>38X24</t>
  </si>
  <si>
    <t>7X16</t>
  </si>
  <si>
    <t>Susan Elsner, ABR,CRB,SFR</t>
  </si>
  <si>
    <t>Move In Ready, Quick Close Possible!  Sellers are motivated, show with confidence!</t>
  </si>
  <si>
    <t>Walk west on W Catherine Ave towards Courtland Ave/N Pioneer Ave, Turn right onto Courtland Ave/N Pi</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</si>
  <si>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 OFFERS,MOLD REPORTED!</t>
  </si>
  <si>
    <t>www.hubzu.com4 start &amp; end times Bank owned AS IS Offers MUST submit www.hubzu.com SELLER WONT ACTIVATE UTILITY 4 inspection.NO FAX/EMAIL OFFER PER SELLER,  View b4 bidding... Fee of $299.00&amp; 4.5%Buyer prem pd@ close by buyer MOLD REPORTED!</t>
  </si>
  <si>
    <t>42W412</t>
  </si>
  <si>
    <t>Sylvan</t>
  </si>
  <si>
    <t>RT 64 W OF RANDALL N ON BURLINGTON W ON EMPIRE S ON ARBO</t>
  </si>
  <si>
    <t>This 4 bedroom 2.5 bath Colonial is truly one of a kind. Huge living room and dining room. French doors lead into large family room with custom book shelves around fireplace. Large kitchen with S.S and Black Apl with bump out dinette area .Master suite has two walk-in closets and private bath with DBL sink and tile shower. 2nd floor offers private sundeck. U shaped Driveway,newer roof,over 1/2 acre 3 car garage.</t>
  </si>
  <si>
    <t>Eating Area-Breakfast Bar, Eating Area-Table Space, Pantry-Closet, Pantry-Walk-in</t>
  </si>
  <si>
    <t>Water-Softener Owned, TV-Cable, Sump Pump</t>
  </si>
  <si>
    <t>Please call 1.855.746.9100 to schedule showings.</t>
  </si>
  <si>
    <t>Show with confidence. This home is very well maintained!</t>
  </si>
  <si>
    <t>6N264</t>
  </si>
  <si>
    <t>Weber</t>
  </si>
  <si>
    <t>Route 25 to Pineland Road (just north of Red Gate Bridge) Left to Weber, Right to home.</t>
  </si>
  <si>
    <t>153X212X25X50X209</t>
  </si>
  <si>
    <t>HOME FOR THE HOLIDAYS! BEAUTIFUL FOX RIVER ESTATES HOME ON OVER 1/2 ACRE, OFFERING BOAT LAUNCH ACCESS/CLUBHOUSE.  RECENT UPGRADES THRU-OUT! SS APPLIANCES &amp; CORIAN COUNTERTOP.  LUX. MASTER STE. NEWER FURNACE &amp; ROOF, POLYMAR SIDING. ENJOY SCENIC VIEWS - FULL WALL OF WINDOWS ON ENCLOSED FRONT PORCH &amp; PRIVATE BACK DECK. OVER-SIZED DRIVEWAY. NEAR BIKE PATH, PARKS, WOODS, FOX RIVER.  DIST 303.-WALK TO ELEMENTARY SCHL!</t>
  </si>
  <si>
    <t>Park/Playground, Tennis Courts, Sidewalks, Street Paved</t>
  </si>
  <si>
    <t>CO Detectors, Ceiling Fan, Fan-Whole House, Backup Sump Pump</t>
  </si>
  <si>
    <t>Deck, Enclosed Porch, Foyer, Office, Sun/Florida Room, Walk In Closet</t>
  </si>
  <si>
    <t>46X23</t>
  </si>
  <si>
    <t>29X7</t>
  </si>
  <si>
    <t>Flanagan Realty, LLC.</t>
  </si>
  <si>
    <t>(630) 791-0505</t>
  </si>
  <si>
    <t>Cathy Kelley</t>
  </si>
  <si>
    <t>(630) 337-5697</t>
  </si>
  <si>
    <t>Use Showing Assist or Call 855-746-9253 - EZ SHOW</t>
  </si>
  <si>
    <t>All new driveway 2014! Note: Pictures of Living Room and Dining Room have rooms used reversed.  Backs to open field - Anderson School.  So much to love about this hidden treasure! Call for additional details.</t>
  </si>
  <si>
    <t>Clark to Arlington (1 block north of Fullerton). One way east to 440.</t>
  </si>
  <si>
    <t>20 X 77</t>
  </si>
  <si>
    <t>Mint condition East Lincoln Park historic row house. Wonderful open floorplan on the main level. Includes hardwood flrs, leaded glass windows, pocket shutters &amp; other vintage features. Kit w/SS appliances including Viking range. 3 BRs + 2 newer baths are together on the 2nd flr. PH family rm w/vaulted ceiling &amp; roof deck. LL rec rm + 4th BR. Huge storage room. Permit pkg in front. Leased/owned gar options close by.</t>
  </si>
  <si>
    <t>18X31</t>
  </si>
  <si>
    <t>Deck, Recreation Room, Storage</t>
  </si>
  <si>
    <t>There is no onsite pkg, but deeded gar pkg is available for sale around the corner at 2431 Clark &amp; there are leased options nearby. The home is partially air conditioned. The estimated cost to add central a/c on the other levels is $15k.</t>
  </si>
  <si>
    <t>Wren</t>
  </si>
  <si>
    <t>RT. 25 TO ROBIN E TO WREN RD L TO HOME</t>
  </si>
  <si>
    <t>107 X 60</t>
  </si>
  <si>
    <t>4 Bedroom 1 bath ranch with country character in Carpentersville. Nice sized living room features picture window with view to large front yard. Spacious galley kitchen with ceramic tile and table space eating area. Separate dining room.  Sold As-Is. No seller disclosures. Equal Housing Opportunity.</t>
  </si>
  <si>
    <t>CC: Pursuant to Short Sale. Case #137-432744. Insured Status:IE. $4,400 Repair Escrow Up to 3% Co-op. Offers submitted on-line. Office must be HUD registered. See attached HUD Guidelines. Go to HUDhomestore.com and oforireo.com. Questions? HUD@tanisgroupllc.com.</t>
  </si>
  <si>
    <t>Primrose</t>
  </si>
  <si>
    <t>Long Grove Rd E of Ela to Laurel to Fairview to Primrose</t>
  </si>
  <si>
    <t>DEER PATH ESTATES</t>
  </si>
  <si>
    <t>75X381X452X248</t>
  </si>
  <si>
    <t>Fabulous New England Colonial on wooded cul-de-sac with walk-out LL plus pool &amp; hot tub! Newer hwd. floors, KI w/granite &amp; newer SS appl., plantation shutters, crown moldings, MBR suite w/ tray ceiling, large wic, brand new MBA. Spacious LL features 5th BR option + BA, new carpet, brick FP &amp; bar plus walk-out to patio &amp; fenced pool. Also, newer roof, windows, deck &amp; prof. landscaped.  Convenient Deer Park locati</t>
  </si>
  <si>
    <t>BARRINGTON MIDDLE SCHOOL-PRAIRIE</t>
  </si>
  <si>
    <t>Curbs/Gutters, Street Paved</t>
  </si>
  <si>
    <t>Oven-Double, Oven/Range, Microwave, Dishwasher, Refrigerator, Freezer, Washer, Dryer, All Stainless Steel Kitchen Appliances</t>
  </si>
  <si>
    <t>Attic, Office, Recreation Room</t>
  </si>
  <si>
    <t>Skylight(s), Bar-Wet, Hardwood Floors, In-Law Arrangement, 1st Floor Laundry</t>
  </si>
  <si>
    <t>Deck, Patio, Hot Tub, Dog Run &amp;/or Invisible Fence, Pool In-Ground</t>
  </si>
  <si>
    <t>32X25</t>
  </si>
  <si>
    <t>35X15</t>
  </si>
  <si>
    <t>Use link below or call office at 847-381-8800.</t>
  </si>
  <si>
    <t>Office used as 5th BR - septic system allows for 4 BRs to be recognized. Pls exclude:  Invisible Fence control box &amp; collars.</t>
  </si>
  <si>
    <t>0N707</t>
  </si>
  <si>
    <t>Keslinger Rd to Brundige Rd S to Sulley E to Curtis Sq</t>
  </si>
  <si>
    <t>The BEST that Mill Creek has to offer..! Backing to the golf course for AMAZING Views, this Franklin Model home has a park across the street, too! Recently remodeled with NEW Designer White Kitchen including glass front cabinets, spacious Contrasting Island &amp; SS Apps! Updated laundry/mud room with built-ins, gorgeous baths, HW floors &amp; NEW carpet! Fabulous finished Walk-out lower level opens to fenced back yard! 10+!</t>
  </si>
  <si>
    <t>Golf Course Lot, Park Adjacent</t>
  </si>
  <si>
    <t>Den, Game Room, Recreation Room</t>
  </si>
  <si>
    <t>33X12</t>
  </si>
  <si>
    <t>Book through connect. Please turn off lights and lock doors.</t>
  </si>
  <si>
    <t>Small portion of EIFS on front of home has been inspected and passed with flying colors. Report available in MLS.</t>
  </si>
  <si>
    <t>WEST OF HARLEM, SOUTH OF ADDISON</t>
  </si>
  <si>
    <t>50X131</t>
  </si>
  <si>
    <t>Don't miss out on 3 homes for the price of one!  Main house-4 beds/3baths &amp;  unfinished bsmt.  Balcony off huge 2nd flr master suite w/full bath &amp; skylights.  Living rm w/WB fireplace &amp; patio doors that open to deck.  Extra wide side drive leads to TWO 3/1/1 coach houses. Perfect for home office/related living. Taxes reflect no exemptions, under appeal.</t>
  </si>
  <si>
    <t>DEVER ELEMENTARY SCHOOL</t>
  </si>
  <si>
    <t>Legal Non-Conforming</t>
  </si>
  <si>
    <t>Balcony, 2 Houses</t>
  </si>
  <si>
    <t>Century 21 Grande Realty</t>
  </si>
  <si>
    <t>(708) 867-5454</t>
  </si>
  <si>
    <t>Sarai Acevedo-Schwocher</t>
  </si>
  <si>
    <t>(773) 343-7355</t>
  </si>
  <si>
    <t>Motivated Seller will listen to all reasonable offers. E-Mail to saraxace@gmail.com Property taxes under appeal.</t>
  </si>
  <si>
    <t>HANKES</t>
  </si>
  <si>
    <t>Galena Blvd. or Bliss Rd. to Hankes to Home (across from Bliss Creek Golf Course)</t>
  </si>
  <si>
    <t>85X150</t>
  </si>
  <si>
    <t>Unique flr plan provides dramatic entry that leads to Formal LR &amp; DR. Huge Kit flows into 2 sty. FRw/brk FP, custm Oak Entertainment Center &amp; solid oak paneled walls. Mstr Suite has "Everything". 1st flr Study/Guest Rm w/hall bth. Unique 2nd flr. Loft w/FP &amp; Wet Bar leads to 2 upper BRs &amp; Hall Bath. Solid Oak Drs thruout. Full unfnshed bsmnt, new brk patio in bk yd. Golf course views across the street.New roof 2014</t>
  </si>
  <si>
    <t>Dormer, Pull Down Stair, Unfinished</t>
  </si>
  <si>
    <t>Golf Course Lot, Wooded, Rear of Lot</t>
  </si>
  <si>
    <t>Common Insurance, Security, Clubhouse, Pool, Lake Rights</t>
  </si>
  <si>
    <t>Humidifier, TV-Cable, TV-Dish, Security System, Ceiling Fan, Sump Pump, Radon Mitigation System(s)</t>
  </si>
  <si>
    <t>Attic, Foyer, Loft, Storage, Utility Room-1st Floor, Walk In Closet</t>
  </si>
  <si>
    <t>Vaulted/Cathedral Ceilings, Bar-Wet, Wood Laminate Floors, 1st Floor Bedroom, 1st Floor Laundry, 1st Floor Full Bath</t>
  </si>
  <si>
    <t>Wood Burning, Attached Fireplace Doors/Screen, Electric, Gas Logs, Heatilator Type System</t>
  </si>
  <si>
    <t>45X30</t>
  </si>
  <si>
    <t>2.5 %-200 (on Gross SP)</t>
  </si>
  <si>
    <t>Joel Klecka</t>
  </si>
  <si>
    <t>(630) 466-8369</t>
  </si>
  <si>
    <t>Call LA to set all appointments</t>
  </si>
  <si>
    <t>Appliances all appx 3 yrs old, new outside AC unit on lrg system,new faucets,newer kit floor. lots of upgrades. New roof and gutters August 2014.  CONTINUE TO SHOW, 48 HR KICKOUT CLAUSE. CALL AGENT FOR MORE DETAILS</t>
  </si>
  <si>
    <t>PINE HOLLOW</t>
  </si>
  <si>
    <t>RANDALL NORTH OF 72 TO GRANDVIEW EAST TO PINE HOLLOW S</t>
  </si>
  <si>
    <t>APPROVED SHORT SALE 260,000!!!SOLD-AS-IS...LOCAL BANK, QUICK CLOSE POSSIBLE!!!WESTCHESTER-D MODEL IN KIMBALL FARMS SUBDIVISION. 4 BEDROOMS, 2.1 BATHS, LOFT, DEN, LARGE KITCHEN WITH BREAKFEST BAR. HARDWOOD FLOORS, AMAZING FOYER, BEAUTIFUL KITCHEN W/MAPLE CABINETS AND LARGE BREAKFAST BAR, HUGE MASTER SUITE &amp; BATH, MOVE-IN CONDITION!!!</t>
  </si>
  <si>
    <t>Den, Sitting Room</t>
  </si>
  <si>
    <t>2.5 % -350 (on Net SP)</t>
  </si>
  <si>
    <t>Short Sale, Variable</t>
  </si>
  <si>
    <t>Muntie Leschewski, ABR,CNC,CSC,SFR</t>
  </si>
  <si>
    <t>(630) 664-1967</t>
  </si>
  <si>
    <t>CALL LISTING OFFICE 630-333-1500</t>
  </si>
  <si>
    <t>CC: Pursuant to Short Sale. SHORT SALE SOLD-AS-IS...SUBJECT TO LENDER APPROVAL... LOCAL BANK QUICK RESPONSE!!BRING OFFERS!!!AGENT RELATED TO SELLER</t>
  </si>
  <si>
    <t>Montclair</t>
  </si>
  <si>
    <t>Randall to Sterns e to Umbdenstock to Montclair to PIQ</t>
  </si>
  <si>
    <t>This 4 bedroom 2.5 bath home is located in Mulberry Grove and cul de sac. Partial unfinished basement, french doors to the master bedroom, brick paver off sliding glass door of eating area, living room and dining room. Home is a Short sale. SS Approved at list price.</t>
  </si>
  <si>
    <t>Brenda Rodgers</t>
  </si>
  <si>
    <t>(847) 630-8614</t>
  </si>
  <si>
    <t>(847) 931-9191</t>
  </si>
  <si>
    <t>Call listing agent for showings</t>
  </si>
  <si>
    <t>CC: Pursuant to Short Sale. If commission is lowered it will reflect in final commission paid to agent.</t>
  </si>
  <si>
    <t>Martin Luther King Drive to 72nd street east to Prairie south to house</t>
  </si>
  <si>
    <t>This dynamite recently rehabbed 4 bedroom, 3 bathroom home has been completely updated, polished, and refinished. The gorgeous kitchen will make the original Iron Chef jealous! At a great price, this house will blow you away!</t>
  </si>
  <si>
    <t>Use Showing Assist Below</t>
  </si>
  <si>
    <t>Email offers to offers@frankmontrohomes.com or fax to 708-479-3308. EM certified funds only. View our other 100+ rehabbed homes at frankmontrohomes.com</t>
  </si>
  <si>
    <t>State Route 23</t>
  </si>
  <si>
    <t>Route 23, 5 miles North of Sycamore</t>
  </si>
  <si>
    <t>519X227X434X119X132</t>
  </si>
  <si>
    <t>Beautiful Georgian 4 BR home on 2.51 acres. Orig. pocket doors, wood deck, 3 garages (1 heated att &amp; 2 det). Many updates past 4 yrs: both baths, counters &amp; flooring in kitchen, bamboo flooring in FR, carpet in BR's, upstairs gas furnace &amp; a/c, interior painting, elec. CB box, windows, roof, blacktop driveways. 1st floor sunroom or office, open staircase, FP, very spacious home on a beautiful lot w/many mature trees!</t>
  </si>
  <si>
    <t>Corner, Irregular</t>
  </si>
  <si>
    <t>Mud Room, Sun/Florida Room</t>
  </si>
  <si>
    <t>Peggy Ireton</t>
  </si>
  <si>
    <t>Peggy Ireton 815-751-4123</t>
  </si>
  <si>
    <t>CONTINUE TO SHOW</t>
  </si>
  <si>
    <t>Archer East or West to Meade Avenue,  North to home.</t>
  </si>
  <si>
    <t>.25-.49 ACRE</t>
  </si>
  <si>
    <t>Newly remodeled 2 story home with double lot in the Garfield Ridge neighborhood. A former Cape Cod style home is now a modern trendy home with an attached garage and a separate additional 2-car garage located off the alley. This 3,000 sq ft beauty is wrapped in hardwood floors, fireplace and granite tops in the kitchen and in the 3.5 baths. Appliances are all stainless steel and brand-new! Call Now.</t>
  </si>
  <si>
    <t>Vinyl Siding, Brick, Stone</t>
  </si>
  <si>
    <t>Offers 847-986-3520</t>
  </si>
  <si>
    <t>773-640-4994</t>
  </si>
  <si>
    <t>Call owner directly for an appointment @ 773-640-4994 and ask for Dom Pyrz.</t>
  </si>
  <si>
    <t>Jon &amp; Donna Pyrz</t>
  </si>
  <si>
    <t>Call owner directly for an appointment @ 773-640-4994 and ask for Dom Pyrz.  Fax offers to 847.986.3520 (or email to listing agent.  Listing company does not hold earnest money.</t>
  </si>
  <si>
    <t>Exit 75th North or South; proceed straight on Wells to 78th Street; West to property address</t>
  </si>
  <si>
    <t>HOME</t>
  </si>
  <si>
    <t>Nothing compares to this GEM, you'll feel right at home the moment you step into this 3+1 bedrm;2.5 bath with panoramic grounds &amp; a 2 car garage. Picture Yourself In This elegant setting for those who prefer entertaining in this oversize living/dining rm with a completely modernized spacious kitchen. Spread out in these spacious bedrms and enjoy the Rec Rm, Theater &amp; office. The possibility are unlimited. Rare Treat.</t>
  </si>
  <si>
    <t>Common Grounds, Corner, Fenced Yard, Landscaped Professionally</t>
  </si>
  <si>
    <t>EPM</t>
  </si>
  <si>
    <t>Call Sybil (773)491-7217 or Paulette (773)837-0383 - Preferred Lender: Prospect Mortgage - Jarrod Greer (708)250-3990 or Wintrust Mortgage</t>
  </si>
  <si>
    <t>0N105</t>
  </si>
  <si>
    <t>Forbes</t>
  </si>
  <si>
    <t>Fabyan to Mill Creek Blvd North to Washburn Left to Forbes</t>
  </si>
  <si>
    <t>HUBBARD 4</t>
  </si>
  <si>
    <t>110X130</t>
  </si>
  <si>
    <t>STUNNING FORMER MODEL HOME SHOWS BEAUTIFULLY WITH EXTENSIVE PAINTED TRIM. METICULOUSLY MAINTAINED BY ORIGINAL OWNER. KITCHEN SHOWS OFF SS APPL. GRANITE , CENTER ISLAND AND BAY DOORWAY LEADING TO LARGE DECK. MASTER BEDROOM HAS TRAY CEILING , EXTRA LARGE WALK-IN CLOSET AND SITTING AREA. LUXURY MASTER BATH WITH VAULTED CEILING, SKYLIGHT. SERENE  BEAUTIFUL GARDENS. GREAT COMMUNITY GOLF , POOL ,WALKING / BIKING TRAILS</t>
  </si>
  <si>
    <t>Den, Game Room, Recreation Room, Sitting Room</t>
  </si>
  <si>
    <t>2.5 % -150 (on Net SP)</t>
  </si>
  <si>
    <t>Debbie Conrad</t>
  </si>
  <si>
    <t>(630) 292-7152</t>
  </si>
  <si>
    <t>630-292-7152</t>
  </si>
  <si>
    <t>Call 1-855-746-9100  must confirm</t>
  </si>
  <si>
    <t>BACK ON MARKET , BUYER WALKED WEEK BEFORE CLOSING ! NOTHING WRONG ! THRID CAR BAY IN GARAGE COULD BE TURNED BACK INTO LARGE SPACE , NOW IT'S SMALL CAR SPACE WITH GARDEN ROOM BEHIND. LAUNDRY TUB COULD BE PUT BACK IN LNDRY ROOM ALSO.</t>
  </si>
  <si>
    <t>Brower</t>
  </si>
  <si>
    <t>Somonauk to Becker (East) to Bailey (South) to Brower, home is on the left.</t>
  </si>
  <si>
    <t>72.18X122.26X90.62X135.91</t>
  </si>
  <si>
    <t>This 2400 sq. ft home features 4BR, 2.5 baths, 2 car garage and a full basement. There is a formal LR and DR that leads to the spacious open kitchen with an island, eating area &amp; sliding glass door to the yard that backs to a farm field. The family room features a tile surround gas fireplace. First floor laundry, large master bedroom w/walk-in closet, separate shower, soaker tub and double sinks.</t>
  </si>
  <si>
    <t>Scavenger</t>
  </si>
  <si>
    <t>Please click on showing assist below</t>
  </si>
  <si>
    <t>CC: Pursuant to Short Sale. This is a short sale, agent is very experienced with short sales. Any reduction of income will be split 50/50 by listing agent and selling agent. Sold as-is, 100% tax proration, no pest inspection or survey.</t>
  </si>
  <si>
    <t>42W778</t>
  </si>
  <si>
    <t>Campton Hills</t>
  </si>
  <si>
    <t>Route 64 to Town Hall S to Campton Hills W, or Route 64 to Anderson S to Campton Hills E</t>
  </si>
  <si>
    <t>Over 7 acres and set back from the street gives you a quiet private country setting. Updated kitchen with granite and updated  baths too. Circular driveway and three car attached garage and 3 car detached garage with 8 foot doors to store your toys. Power generator works with propane tank (on property) as a backup energy source. 1 year Home warranty too. This home is ready for you to move in.</t>
  </si>
  <si>
    <t>Oven/Range, Dishwasher, Washer, Dryer</t>
  </si>
  <si>
    <t>Water-Softener Owned, Central Vacuum, TV-Dish, CO Detectors, Ceiling Fan, Sump Pump, Power Generator</t>
  </si>
  <si>
    <t>Balcony, Patio, Storms/Screens</t>
  </si>
  <si>
    <t>Dennis Toomey, ABR,CRS,GRI</t>
  </si>
  <si>
    <t>(847) 338-0180</t>
  </si>
  <si>
    <t>Fax 888-207-0410</t>
  </si>
  <si>
    <t>Use Showing Assist or Call ShowingTime - 800-746-9464 Need 1 hour notice.</t>
  </si>
  <si>
    <t>RACE</t>
  </si>
  <si>
    <t>Laramie, S of Cicero, W on Race to 5240</t>
  </si>
  <si>
    <t>4565 SQ.FT.</t>
  </si>
  <si>
    <t>Great opportunity to own a single family home in Austin. 4 Bedrooms. 2 Bath home in move in condition. Master bedroom has master bath. Formal living room and dining room. Nice size backyard for entertaining. Nice block. Seller willing to contribute up to 6 percent for closing cost assistance!!! Call today.</t>
  </si>
  <si>
    <t>2.5 - $175 (on Gross SP)</t>
  </si>
  <si>
    <t>Tiauna Perkins</t>
  </si>
  <si>
    <t>(773) 531-4423</t>
  </si>
  <si>
    <t>24 hr notice.Call listing office. After hours, (5pm) call listing agent directly.</t>
  </si>
  <si>
    <t>Anthony</t>
  </si>
  <si>
    <t>Bartram</t>
  </si>
  <si>
    <t>Orchard road to Oak, west to Deerpath, north to Tanner, west to Bennet, north to Bartram</t>
  </si>
  <si>
    <t>Mirador</t>
  </si>
  <si>
    <t>THE OGILVY</t>
  </si>
  <si>
    <t>91X142X91X142</t>
  </si>
  <si>
    <t>Just like Brand New! This home was built in 2012 and has beautiful hardwood floors, white trim and blinds on all the windows. The kitchen features 42â€_x009d_ maple cabinets, closet pantry and stainless steel appliances. The master bedroom has its own bath and a huge walk in closet. Three out of the four bedroom have ceilings fans. The huge yard has been fenced in and new trees have been planted. Near I88 ramp and shopping.</t>
  </si>
  <si>
    <t>Breakfast Room, Walk In Closet</t>
  </si>
  <si>
    <t>Diane Anderson</t>
  </si>
  <si>
    <t>(630) 373-1793</t>
  </si>
  <si>
    <t>Cell 630.373.1793</t>
  </si>
  <si>
    <t>Call 855.746.9100 or call Diane after hours.</t>
  </si>
  <si>
    <t>Like brand new! Basement is full and insulated. Quick close possible! Move in ready! Exterior is completely maintenance free. Please use Multi-board 6.0 contract.</t>
  </si>
  <si>
    <t>Base Line</t>
  </si>
  <si>
    <t>Rte 64 to N on Glidden Rd to W on Baseline Rd or Rte 72 to S on Glidden Rd. to W on Baseline Rd.</t>
  </si>
  <si>
    <t>MAYFIELD</t>
  </si>
  <si>
    <t>225X775</t>
  </si>
  <si>
    <t>RECENTLY CONSTRUCTED HOME ON 4 ACRES-NEW 50X70 SHOP! Kitchen showcases cherry cabinets, granite &amp; SS appliances. Gleaming hardword floors. 1st floor suite is handicap accessible. Expansive upper Master Suite w/ 15x23 closet. Impressive Master Bath featuring His &amp; Her sinks with spa like shower. Large loft area on 2nd floor. Many unique touches thru-out! 53x22 4-car garage. Closed loop Geo-Thermal Heat-NO LP for heat!</t>
  </si>
  <si>
    <t>Whirlpool, Separate Shower, Handicap Shower, Double Sink, Double Shower</t>
  </si>
  <si>
    <t>Circuit Breakers, 400 Amp Service or Greater</t>
  </si>
  <si>
    <t>Foyer, Loft, Walk In Closet</t>
  </si>
  <si>
    <t>Hardwood Floors, 1st Floor Bedroom, 1st Floor Laundry, 2nd Floor Laundry, 1st Floor Full Bath</t>
  </si>
  <si>
    <t>Jennifer Daring</t>
  </si>
  <si>
    <t>815-761-6592</t>
  </si>
  <si>
    <t>Call CBRB Appt Dest at 855-746-9200.</t>
  </si>
  <si>
    <t>Myelle</t>
  </si>
  <si>
    <t>Energy efficient items - spray foam installation &amp; Pella Proline Triple Pane-Triple Glaze Windows. LP on site runs garage heater. Windows have integrated blinds &amp; screens.  Landscaping &amp; trees planted. Washer/Dryer hookup in master closet.</t>
  </si>
  <si>
    <t>0S480</t>
  </si>
  <si>
    <t>Ellithorp</t>
  </si>
  <si>
    <t>Fabyan west to Mill Creek Dr., south to Ellithorp</t>
  </si>
  <si>
    <t>80 X 130</t>
  </si>
  <si>
    <t>MINT CONDITION &amp; SO MUCH NEW! Wide &amp; open kit w/brand new SS appl, granite. Hrdwd flrs thru most of 1st flr. Liv &amp; din rms feat crown mould &amp; hardwd. Lrge mast w/double dr entry, lrge lux ba. Newer 2nd flr carpet. Brand new wash/dryer. Fin base great for entertain. 1st FLR DEN. Enjoy the outdrs on the SCREENED DECK! Lush landscp, LAWN SPRNK SYS &amp; deep lot. Just 1 home to park &amp; 1 block to Geneva elem schl. Appr 2900s</t>
  </si>
  <si>
    <t>Humidifier, TV-Cable, CO Detectors, Ceiling Fan, Sump Pump, Sprinkler-Lawn, Radon Mitigation System(s)</t>
  </si>
  <si>
    <t>Deck, Screened Deck</t>
  </si>
  <si>
    <t>13X35</t>
  </si>
  <si>
    <t>Call 855-746-9093 Prefers after 3:00 for Monday, other days ok anytime. 3 hr notice</t>
  </si>
  <si>
    <t>Great value! Compare the square footage. Real pride of ownership here. Shows great- No need to preview. Geneva schools.</t>
  </si>
  <si>
    <t>King James</t>
  </si>
  <si>
    <t>Kirk Rd north of Rt 64 to Foxfield Dr east to King Edward north to King James</t>
  </si>
  <si>
    <t>KINGSWOOD</t>
  </si>
  <si>
    <t>70 X 133 X 80 X 131</t>
  </si>
  <si>
    <t>Welcome home to this Russell built beauty on a private wooded lot in Kingswood with room to play! Plenty of HW floors,crown mldng,new carpet &amp; fresh paint. Kitchen features SS appliances,granite c-tops,42" cabs + large eating area. Master suite has tray ceiling,luxury bath &amp; WIC. Finished basement w/den &amp; plenty of storage. Spacious patio overlooks professionally landscaped yard. Move in ready &amp; quick close possible.</t>
  </si>
  <si>
    <t>NORTON CREEK ELEMENTARY SCHOOL</t>
  </si>
  <si>
    <t>Wooded, Rear of Lot</t>
  </si>
  <si>
    <t>Humidifier, Water-Softener Owned, CO Detectors, Sump Pump</t>
  </si>
  <si>
    <t>Stamped Concrete Patio</t>
  </si>
  <si>
    <t>Molloy Bolz Realty LLC</t>
  </si>
  <si>
    <t>(630) 863-1565</t>
  </si>
  <si>
    <t>Amy Dillenburg</t>
  </si>
  <si>
    <t>(630) 309-4367</t>
  </si>
  <si>
    <t>Call or text list agent at (630) 309-4367  Must confirm</t>
  </si>
  <si>
    <t>Seller is licensed IL broker</t>
  </si>
  <si>
    <t>archer to narragansett n to 54th w to nagle n</t>
  </si>
  <si>
    <t>THIS 4 BEDROOM 4 BATH BEAUTY HAS EVERYTHING YOU'RE LOOKING FOR! CONCRETE SIDE DRIVE LEADS TO WONDERFUL BACK YARD WITH PRIVACY FENCE. MAIN FLOOR SPORTS HARDWOOD FLOORS, GRANITE COUNTERS, OVERSIZE TRIM. NEWER ADDITION FEATURES HUGE MASTER SUITE WITH PRIVATE BATH, THAT INCLUDES WHIRLPOOL AND SEPARATE SHOWER. HUGE WALK-IN CLOSET! 2ND FAMILY ROOM! BALCONIES! VAULTED CEILINGS, WET BAR, CUSTOM WINDOWS! FULL FINISHED BSMT!</t>
  </si>
  <si>
    <t>Vaulted/Cathedral Ceilings, Skylight(s), Bar-Wet, Hardwood Floors, Wood Laminate Floors, In-Law Arrangement</t>
  </si>
  <si>
    <t>2.25% -$150 (on Gross SP)</t>
  </si>
  <si>
    <t>William Foley</t>
  </si>
  <si>
    <t>CALL LO</t>
  </si>
  <si>
    <t>TRUST</t>
  </si>
  <si>
    <t>EARNEST MONEY MUST BE CERTIFIED FUNDS PER OFFICE POLICY.</t>
  </si>
  <si>
    <t>Shaugnessy</t>
  </si>
  <si>
    <t>I90 to Randall Rd south to Bowes Rd west 2 miles to Bowes Creek Blvd. south to office.</t>
  </si>
  <si>
    <t>NANTUCKET NEW ENGLAND</t>
  </si>
  <si>
    <t>126 X 70 X 125 X 49</t>
  </si>
  <si>
    <t>To Be Built ~ Homesite#255- Oct 2014 ~ Nantucket New England ~ Luxury living in Elgin! 18-hole championship golf course in community. Burlington School Dist 301. 2400 sq ft+, plus full basement. Gorgeous new home at an incredible value! Addtl homesites available - build your dream TOLL BROTHERS home!  Pictures are of similar home.</t>
  </si>
  <si>
    <t>33X20</t>
  </si>
  <si>
    <t>Bsmnt/Lower Lvl Stubd in Bath, Energy Efficient Package, Exterior Brick/Cedar, Fireplace, Basement, Garage</t>
  </si>
  <si>
    <t>3% ON BASE (on Net SP)</t>
  </si>
  <si>
    <t>Call TOLL BROTHERS Sales Ofc 847-695-4300. Model open daily 10-6. Must register client on 1st visit.</t>
  </si>
  <si>
    <t>To Be Built ~ Homesite#255- Oct 2014 ~ Nantucket New England ~  3% on base price. Ask about our Realtor Programs. Photos of similar home shown. DECORATED MODEL and SALES OFFICE at 3656 Congressional Parkway.</t>
  </si>
  <si>
    <t>RICHMOND</t>
  </si>
  <si>
    <t>55TH TO RICHMOND SOUTH TO PROPERTY.</t>
  </si>
  <si>
    <t>Back on the market! Short sale approved at $110,000. FHA 203K might work since garage needs repairs. Well maintained 3 bedroom bungalow in excellent location. The home is very clean and in move in condition. Basement is finished w/ family room, one bedroom, a bath, and a small kitchen for potential related living. 2 car garage w/double overhead doors. Great starter and affordable home.</t>
  </si>
  <si>
    <t>12X32</t>
  </si>
  <si>
    <t>2.5-$75 (on Net SP)</t>
  </si>
  <si>
    <t>Luciano Rodriguez</t>
  </si>
  <si>
    <t>(773) 443-8077</t>
  </si>
  <si>
    <t>E-mail L/A. Need 24 hours notice.</t>
  </si>
  <si>
    <t>Ramirez, Bernabe&amp;Aida</t>
  </si>
  <si>
    <t>CC: Pursuant to Short Sale. Listing agent must accompany. Need at least 24 hours prior notice for all showings. E-mail L/A.</t>
  </si>
  <si>
    <t>87TH</t>
  </si>
  <si>
    <t>87TH ST TO EAST END SO. TO 87TH PL. EAST TO HOUSE</t>
  </si>
  <si>
    <t>PILL HILL VALLEY</t>
  </si>
  <si>
    <t>DON'T MIS OUT!  LOOK AT THE CURB APPEAL.  HUGE UPSIDE POTENTIAL ON THIS RANCH HOME WITH A FENCED YARD.  GREAT FLOOR PLAN WITH A FULL BASEMENT FOR POSSIBLE EXPANDED LIVING SPACE.  LARGE LIVING ROOM AND OPEN KITCHEN.  This is a Fannie Mae Homepath property.  All measurements are estimates only.   Buyer to verify room size and use</t>
  </si>
  <si>
    <t>22X8</t>
  </si>
  <si>
    <t>This property is now under auction terms. Presale bids should be submitted through www.auction.com. this property is subject to a 5% buyer premium pursuant to the Auction terms &amp; conditions. minimums may apply</t>
  </si>
  <si>
    <t>WESTHAVEN</t>
  </si>
  <si>
    <t>ROUTE 38 TO PECK RD. SOUTH TO HEARTLAND EAST TO WESTHAVEN CIR. SOUTH TO HOME</t>
  </si>
  <si>
    <t>98X142X138X135</t>
  </si>
  <si>
    <t>GORGEOUS!!CURB APPEAL 10+ IMPECCABLY CARED FOR WESTHAVEN HOME,HARDWOOD FLOORS THRU-OUT MAIN FLOOR.MULTI-PIECE CROWN MOLDING, BIG FRONT PORCH WITH WOOD FLOOR AND REC LITES.1ST FLR DEN W/BLT-INS.MASTER SUITE W/SITTING AREA AND LUXURY BATH.THREE BIG SECONDARY BEDROOMS. FULL FINISHED BASEMENT W/FULL BATH.PAVER FRONT WALKWAY AND ALSO PATIO.DECK W/RETRACTABLE AWNING.PROF. LNDSCPG, CONVENIENT LOCATION!</t>
  </si>
  <si>
    <t>20X9</t>
  </si>
  <si>
    <t>Bonus, Den, Recreation Room</t>
  </si>
  <si>
    <t>EXCEPTIONAL HOME! EASY TO SHOW.</t>
  </si>
  <si>
    <t>Paulina just south of Diversey</t>
  </si>
  <si>
    <t>24.67 X 122</t>
  </si>
  <si>
    <t>Extra wide single family with many custom features. Sunny, Bright,  Four bedrooms 3.5 bathrooms.  Deluxe gourmet kitchen with quality finishes.  Lower level has a large recreation room,  music room, bedroom and bath. High ceilings on all levels, Hardwood floors on two levels, Organized closets. Surround sound.  Two car garage, with roof top deck and yard.  You'll love this home</t>
  </si>
  <si>
    <t>Linda Broznowski, CRS</t>
  </si>
  <si>
    <t>(312) 254-0267</t>
  </si>
  <si>
    <t>Call or text Kim 773 294-6234</t>
  </si>
  <si>
    <t>This is an end unit that is wider and longer than interior units.  It has windows on three sides it feels like a single family.</t>
  </si>
  <si>
    <t>Brookmont</t>
  </si>
  <si>
    <t>North Barrington</t>
  </si>
  <si>
    <t>Rt 59 to Miller, East to Kimberly, South to Brookmont</t>
  </si>
  <si>
    <t>BILTMORE</t>
  </si>
  <si>
    <t>NORTH BARRINGTON</t>
  </si>
  <si>
    <t>103X352X94X170X186</t>
  </si>
  <si>
    <t>Classic Biltmore colonial. Well Maintained 4br, 2.1 bath home with updated spacious open kitchen with granite counters. New Brazilian wood flooring, Inviting family room with fire place and beautiful views of the spectacular private, wooded lot  with meandering stream and mature hardwoods.  tranquil patio perfect for alfresco dinning. enjoy all that this peaceful setting and fabulous neighborhood have to offer</t>
  </si>
  <si>
    <t>Humidifier, Water-Softener Rented, Sump Pump</t>
  </si>
  <si>
    <t>(847) 382-3600</t>
  </si>
  <si>
    <t>Meg Cleavenger</t>
  </si>
  <si>
    <t>(847) 212-0917</t>
  </si>
  <si>
    <t>Please call (855)746-9200 for appointments</t>
  </si>
  <si>
    <t>Sawgrass</t>
  </si>
  <si>
    <t>RT. 72 TO PRAIRIEVIEW PKWY, N TO WOODSIDE, W 2 SAWGRASS</t>
  </si>
  <si>
    <t>Hampshire Prairie</t>
  </si>
  <si>
    <t>98X130</t>
  </si>
  <si>
    <t>Superb Curb Appeal w/Full Brick Front! Open Floor Plan w/Oak Stair Case, Morning Stairs, Crown Molding, Oak Trim, 9' Ceilings &amp; Six Panel Doors! Arched Door Openings. Sunny &amp; Bright Kitchen w/Island &amp; 42â€_x009d_ Cabinets! Sep. Dining Rm w/Tray Ceiling! Sun Room &amp; Patio! Large Bedrms &amp; Spacious Master Suite, w/Tray Ceiling &amp; WIC, MBR Bath Whirlpool Tub, Sep Shower &amp; DBL Sinks! Full Basmnt w/Rough in! Home Backs to Open Area!</t>
  </si>
  <si>
    <t>Golden Roof Realty</t>
  </si>
  <si>
    <t>(630) 247-0094</t>
  </si>
  <si>
    <t>Robert Gorkowski, GRI</t>
  </si>
  <si>
    <t>Autumn Ridge</t>
  </si>
  <si>
    <t>Rt 30- Briarcliff N- Timber Lane- Autumn Ridge Dr</t>
  </si>
  <si>
    <t>66X127X85X120</t>
  </si>
  <si>
    <t>Great 2 story home w/space for everyone! Formal living &amp; dining room has soaring ceilings. Eat-in kitchen w/lots of cabinets, counter space &amp; pantry. Family room offer great backyard views. 4 Generous sized bedrooms w/large closets. Master bedroom has walk in closet &amp; full luxury bath! Full finished basement. Beautiful yard &amp; large deck for outdoor entertaining! Loaded w/updates- siding, HVAC, hot water heater, etc!</t>
  </si>
  <si>
    <t>2.5% -$100 (on Net SP)</t>
  </si>
  <si>
    <t>Use ShowAssist to Schedule. Click Icon Below to schedule appt.</t>
  </si>
  <si>
    <t>Harold W Peterson Trust</t>
  </si>
  <si>
    <t>all window drapery belongs to agent and will not remain with the home. Only blinds stay.</t>
  </si>
  <si>
    <t>Rt 20 to Nesler Rd to South St, south on Shadow Hill</t>
  </si>
  <si>
    <t>OXFORD</t>
  </si>
  <si>
    <t>Incredible Beauty boasting 4 Bedrooms, 2.5 Baths, lge Loft, huge Family Rm, Fireplace, Den, Gorgeous Kitchen with tons of upgraded Maple Cabs, granite, stainless appliances; open-winding 2-story Staircase, second rear Staircase! Fabulous hardwood floors most of 1st floor, 3 Car Garage, full Basement, Fenced Yard, &amp; nestled on an interior lot! "Amazing curb appeal w/sm porch &amp; bold columns" say a warm "Welcome Home!</t>
  </si>
  <si>
    <t>Oven-Double, Oven/Range, Refrigerator, Disposal, Wine Cooler/Refrigerator</t>
  </si>
  <si>
    <t>Breakfast Room, Den, Foyer, Loft, Walk In Closet</t>
  </si>
  <si>
    <t>Rose Hollis, ABR,CRS,GRI</t>
  </si>
  <si>
    <t>(630) 267-1736</t>
  </si>
  <si>
    <t>Jerry 630-5717</t>
  </si>
  <si>
    <t>24 hr if poss; plse remove shoes/sm child; call 630-267-1736 &amp; Thankyou</t>
  </si>
  <si>
    <t>CC: Pursuant to Short Sale. CC: Pursuant to Short Sale. Any reduction in CC required by lender w/be split 50/50 btw Brokers. "AS IS SHORT SALE"! Tax proration 100%. Earnest Money, Attorney Review &amp; Home Inspection to be done within 5 business days of SELLER ACCEPTANC</t>
  </si>
  <si>
    <t>KOSTNER TO 82ND PL THEN EAST TO KILDARE AND NORTH TO ADDRESS.</t>
  </si>
  <si>
    <t>OVERSIZED FENCED IN LOT ON A QUITE WINDING STREET . ALL BRICK RANCH IN GOOD CONDITION. A LITTLE TLC WILL GO A LONG WAY. MAIN LEVEL W/ 3 BEDRMS, LIVING RM, KITCHEN AND 1 BATHRM. FINISHED BSMNT W/1 BEDRM, HUGE FAMILY RM, 1 BATHRM &amp; SEPARATE LAUNDRY RM. THIS IS A FANNIE MAE HOMEPATH PROPERTY.</t>
  </si>
  <si>
    <t>3% ($1,000 BONUS SELLING AGENT) (on Net SP)</t>
  </si>
  <si>
    <t>Alberto Diaz</t>
  </si>
  <si>
    <t>TAXES PRORATED 100%,SELLER WILL NOT PROVIDE SURVEY,10% E.M ON CASH OFRS, SUBMIT OFFERS THROUGH HOMEPATH.COM.</t>
  </si>
  <si>
    <t>GULF KEYS</t>
  </si>
  <si>
    <t>ROUTE 59 SOUTH OF IRVING PARK ROAD TO GULF KEYS WEST</t>
  </si>
  <si>
    <t>SARASOTA TRAILS</t>
  </si>
  <si>
    <t>87X165XX87X158</t>
  </si>
  <si>
    <t>CUSTOM BUILT 4 BEDROOM 2.5 BATH HOME WITH FULL BASEMENT 3 CAR GARAGE W/CIRCULAR DRIVEWAY GAZABO AND DECK. SPACIOUS KITCHEN, 1ST FLOOR MASTER SUITE WITH JACUZZI &amp; WALK IN CLOSET.  FAMILY ROOM W/VAULTED CEILINGS-SKYLIGHTS &amp; FIREPLACE.OAK FLOORS, TRIM, MOLDING &amp; 6 PANEL DOORS. 3 BEDROOMS ON 2ND LEVEL AND FULL BATH.  SECLUDED LOCATION BUT CONVENIENT TO SCHOOLS, SHOPPING AND TRANSPORTATION.</t>
  </si>
  <si>
    <t>Central Vacuum, TV-Cable, Security System, Intercom, CO Detectors, Ceiling Fan, Sump Pump, Backup Sump Pump</t>
  </si>
  <si>
    <t>Bernadette Carter</t>
  </si>
  <si>
    <t>(708) 912-2769</t>
  </si>
  <si>
    <t>USE SHOWING ASSIST.</t>
  </si>
  <si>
    <t>PLEASE NOTE: HOT TUB AND LAWN SOAKER SYSTEM IS "AS IS". HOT TUB HAS NOT BEEN USED IN YEARS AND LAWN SOAKER SYSTEM HAS NEVER WORKED.</t>
  </si>
  <si>
    <t>15N130</t>
  </si>
  <si>
    <t>WEST ON RT 72 TO SLEEPY HOLLOW RD SOUTH TO HOME</t>
  </si>
  <si>
    <t>25,486 SQ FT</t>
  </si>
  <si>
    <t>Spacious brick ranch features 4 bedrooms with 2 1/2 baths. Bring all offers!! Attach pre/qual proof of funds and earnest money check with offer package. No survey by seller, buyer pays for survey. Room sizes are approximate.</t>
  </si>
  <si>
    <t>Kristine Mulcahy</t>
  </si>
  <si>
    <t>(847) 401-3304</t>
  </si>
  <si>
    <t>Kris Mulcahy</t>
  </si>
  <si>
    <t>SEND OFFERS TO OFFERS@TCR123.COM. DO NOT SEND TO ANY OTHER LOCATION. ALL COMMUNICATION SHOULD GO TO OFFERS@TCR123.COM OR (847)870-1155.</t>
  </si>
  <si>
    <t>Emily</t>
  </si>
  <si>
    <t>RT 71 to Hilltop to Fields to Emily</t>
  </si>
  <si>
    <t>Fields of Farm Colony</t>
  </si>
  <si>
    <t>26X41X25X145X271X90X291</t>
  </si>
  <si>
    <t>Impressive home sitting on a gorgeous acre lot in a community with walking paths &amp; ponds. 2 story foyer displaying the incredible oak millwork &amp; open stairway. Office W/ detailed trim and beautiful  doors. Soaring GRT RM with pond views. Upstairs W/ MST suite with 3 additional large bedrooms. Many upgrades including solid 6 panel doors, custom blinds, large deck. Full walk-out basement ready for finishing. Must See!</t>
  </si>
  <si>
    <t>Park/Playground, Pond/Lake, Street Paved, Other</t>
  </si>
  <si>
    <t>Cul-de-sac, Landscaped Professionally, Water View</t>
  </si>
  <si>
    <t>Glenbriar</t>
  </si>
  <si>
    <t>Army Trail to Fox Glen Dr. to Glenbriar Ct.</t>
  </si>
  <si>
    <t>Woods of Fox Glen</t>
  </si>
  <si>
    <t>90X200X192X226X209</t>
  </si>
  <si>
    <t>Nestled in The Sanctuary of Woods of Fox Glen this idyllic setting is truly one of a kind!  Custom built by Havlicek w/10,000 sf &amp; the allure of a genteel, yet sophisticated estate. The fine design and uncompromising features compare to a Ritz Carlton with its high-end quality craftsmanship and timeless understated elegance. Wide-plank Walnut flooring, arched doorways, six fireplaceâ€™s, honed granite &amp; so much more!</t>
  </si>
  <si>
    <t>Finished, Partially Finished</t>
  </si>
  <si>
    <t>Humidifier, Central Vacuum, Security System, Ceiling Fan, Sprinkler-Lawn</t>
  </si>
  <si>
    <t>Bar, Den, Eating Area, Exercise Room, Foyer, Game Room, Mud Room, Recreation Room, Sitting Room, Sun/Florida Room Heated</t>
  </si>
  <si>
    <t>Sauna/Steam Room, Bar-Dry, Bar-Wet, Hardwood Floors, 1st Floor Laundry, 1st Floor Full Bath</t>
  </si>
  <si>
    <t>See through/Multi Sided, Gas Logs, Gas Starter</t>
  </si>
  <si>
    <t>Agent Assist ~ Must Confirm</t>
  </si>
  <si>
    <t>Agent Assist ~ Call The McKay Group to Schedule 630-587-4672</t>
  </si>
  <si>
    <t>Agent Assist ~  Home is Fabulous!  Pre-inspected &amp; ready for new owners . . .  Definitely One of a Kind!!  Some Furniture is Negotiable.    Taxes do reflect a Homestead Exemption.</t>
  </si>
  <si>
    <t>Amethyst</t>
  </si>
  <si>
    <t>Ogden Avenue (Rt 34) south to 30 west to Goodwin Drive to home</t>
  </si>
  <si>
    <t>Marquis Pointe</t>
  </si>
  <si>
    <t>RUBY</t>
  </si>
  <si>
    <t>75 X 120</t>
  </si>
  <si>
    <t>*MODEL HOME FOR SALE - NEW MODELS COMING SOON!* Home has a large **FINISHED WALK-OUT BASEMENT** with FULL bathroom!  Hardwood floors, quartz countertop and center island. Stay warm this winter with a cozy fireplace in the spacious family room. Convenient 2nd floor laundry room with laundry tub and ceramic tile flooring. Available for immediate delivery. Fantastic buy, near the Montgomery Library and area shopping.</t>
  </si>
  <si>
    <t>TV-Cable, Sump Pump, Sprinkler-Lawn</t>
  </si>
  <si>
    <t>Balcony, Porch, Storms/Screens</t>
  </si>
  <si>
    <t>2.5% ON BASE (on Net SP)</t>
  </si>
  <si>
    <t>Cheryl Thomas</t>
  </si>
  <si>
    <t>(630) 788-5050</t>
  </si>
  <si>
    <t>(630)788-5050</t>
  </si>
  <si>
    <t>630-228-3425</t>
  </si>
  <si>
    <t>**MUST ACCOMPANY AND REGISTER CLIENTS ON FIRST VISIT**</t>
  </si>
  <si>
    <t>HARTZ HOMES</t>
  </si>
  <si>
    <t>SALES OFFICE IS OPEN MON, TUES, FRID, SAT:  10:00AM - 5:00PM AND OPEN SUN 11:00 - 5:00PM (CLOSED WED &amp; THURS) MUST REGISTER CLIENTS ON FIRST VISIT.</t>
  </si>
  <si>
    <t>41W560</t>
  </si>
  <si>
    <t>RUSSELL</t>
  </si>
  <si>
    <t>Plato Center</t>
  </si>
  <si>
    <t>RT 20 TO PLANK TO RUSSELL RD TO PLATO CENTER</t>
  </si>
  <si>
    <t>PLATO CENTER</t>
  </si>
  <si>
    <t>PARTIALLY REHABBED 4BR NEWER KITCHEN,PARTIALLY  FINISHED ATTIC, SAUNA IIN BASEMENT, 2 CAR GAR,  EXTA STORAGE IN HEATED BACK PORCH AND LAUNDRY  ROOM. LOTS OF SPACE LARGER THAN ITS LOOKS.</t>
  </si>
  <si>
    <t>Gas, Hot Water/Steam, Baseboard</t>
  </si>
  <si>
    <t>Humidifier, Water-Softener Rented, TV-Cable</t>
  </si>
  <si>
    <t>3 (on Net SP)</t>
  </si>
  <si>
    <t>Wise Real Estate Online, Inc</t>
  </si>
  <si>
    <t>(847) 212-5120</t>
  </si>
  <si>
    <t>Ruth Stephens</t>
  </si>
  <si>
    <t>(847) 888-1764</t>
  </si>
  <si>
    <t>708-642-8188</t>
  </si>
  <si>
    <t>CALL LISTING AGENT 708-642-8188</t>
  </si>
  <si>
    <t>OWN</t>
  </si>
  <si>
    <t>CC: Pursuant to Short Sale. CALL LISTING  AGENT   TO SHOW  708-642-8188</t>
  </si>
  <si>
    <t>59ST TO SAWYER(3300) NORTH TO 5651</t>
  </si>
  <si>
    <t>Parkvue Realty Corporation</t>
  </si>
  <si>
    <t>(312) 788-4040</t>
  </si>
  <si>
    <t>Anthony Disano</t>
  </si>
  <si>
    <t>COOLIDGE</t>
  </si>
  <si>
    <t>64 WEST TO SOMONAUK SOUTH TO EAST BECKER PLACE MAKE A LEFT.</t>
  </si>
  <si>
    <t>PALMETTO III</t>
  </si>
  <si>
    <t>62X105X138</t>
  </si>
  <si>
    <t>BEAUTIFUL 2 STORY HOME IN RESTON PONDS.  4 BEDROOMS, 3 BATHS,  2ND FLOOR LAUNDRY ROOM.  BEAUTIFUL GOURMET KITCHEN WITH HARDWOOD FLOORS, GRANITE COUNTER TOPS, BUTLER PANTRY, AND SS APPLIANCES. A MUST SEE!</t>
  </si>
  <si>
    <t>Oven-Double, Microwave, Dishwasher, Disposal, All Stainless Steel Kitchen Appliances</t>
  </si>
  <si>
    <t>Bsmnt/Lower Lvl Finished, Central Air, Garage, Hardwood/Ceramic Floors, Landscaping</t>
  </si>
  <si>
    <t>CALL RESTON PONDS SALES OFFICE AT 877-901-5151</t>
  </si>
  <si>
    <t>65th and Pulaski, several blocks west</t>
  </si>
  <si>
    <t>42X120</t>
  </si>
  <si>
    <t>Great opportunity for sweat equity buyer or investor looking for the next money maker. Baths have been updated. Larger than it looks. 1st floor bedroom with 3 more bedrooms and bath on 2nd floor. Basement has rec room, bonus room and additional bathroom. 2 car garage, fenced yard. Hurry before this gem is gone. Subject to cancellation of prior contract.</t>
  </si>
  <si>
    <t>Fax offer 630-313-5957</t>
  </si>
  <si>
    <t>Click on schedule a showing link download instructions for submitting offer from Connect MLS</t>
  </si>
  <si>
    <t>Sarasota</t>
  </si>
  <si>
    <t>I-90W to Rt.47 Go South to Rt.72 Turn East on 72 Community will be on the right side of the rd Rt 72</t>
  </si>
  <si>
    <t>VISTA</t>
  </si>
  <si>
    <t>75X159</t>
  </si>
  <si>
    <t>**IMMEDIATE MOVE IN**3-Car Garage! Spectacular with a huge country kitchen -  island-stainless steel appliances and tall upgraded Birch cabinets. This home has large open family room and a roomy living room/dining room area. Upstairs has a huge second family room (14x21) with upstairs laundry and 4 spacious bedrooms. Live in a clubhouse community in a beautiful new Energy star rated home- minutes from the expressway.</t>
  </si>
  <si>
    <t>Cambridge Lakes Charter School</t>
  </si>
  <si>
    <t>Central Air, Garage, Hardwood/Ceramic Floors, Upgrade Carpet/Pad/Vinyl, Wood Laminate Flooring, Upgraded Insulation</t>
  </si>
  <si>
    <t>Bonus, Den, Eating Area</t>
  </si>
  <si>
    <t>must be with clint on initial visit- call 847-984-4883 to set appointment</t>
  </si>
  <si>
    <t>Must be with client on initial visit - call 847-984-4883 to set appointment. Open daily till 6 pm.</t>
  </si>
  <si>
    <t>BICKFORD-LOT 3</t>
  </si>
  <si>
    <t>BEAUTIFUL MELBOURNE MODEL AT HUNT CLUB. SOLD BEFORE PROCESSING</t>
  </si>
  <si>
    <t>CALL SALES OFFICE</t>
  </si>
  <si>
    <t>Giese</t>
  </si>
  <si>
    <t>Take Kirk Rd south of Pine St to Giese Rd, West to home.</t>
  </si>
  <si>
    <t>Cherry Park</t>
  </si>
  <si>
    <t>LEXINGTON</t>
  </si>
  <si>
    <t>80X119</t>
  </si>
  <si>
    <t>All ready to move in! New carpet &amp; fresh paint! Gleaming hardwood floors in family room. Expansive master suite,sitting area,dressing area,walk in closet &amp; master bath. Guest suite w/private bath access. Fabulous spacious deck for entertaining &amp; enjoying private, mature yard. New siding 2010-newer windows w/e-glass-30 yr roof installed 2004 (complete tear off), partial fenced yard. Minutes to I-88, shopping &amp; school.</t>
  </si>
  <si>
    <t>26X19</t>
  </si>
  <si>
    <t>Attic, Deck, Foyer</t>
  </si>
  <si>
    <t>Carolyn Leard</t>
  </si>
  <si>
    <t>(630) 476-1740</t>
  </si>
  <si>
    <t>Send text message to listing agent 630-476-1740</t>
  </si>
  <si>
    <t>Of record</t>
  </si>
  <si>
    <t>Easy to show! Great neighborhood. Well maintained throughout. Insulated garage &amp; garage door, transferrable warranty for AC/furnace, water heater 2008, 8x10 shed. Large bsmt for work room &amp; storage. Traditional sale, quick close possible.</t>
  </si>
  <si>
    <t>Brighton</t>
  </si>
  <si>
    <t>Go W on I-90 to Rt.47. South on 47 to Rt.72 go East on 72 community on the right side of 72 -1/4 mi</t>
  </si>
  <si>
    <t>First thing to welcome you is the porch on this Vista 2799 sq ft home on a cul de sac.. Large country kitchen has tall upgraded cabinets SS appliances and huge island w/laminate wood flooring. Perfect for family gatherings. Offers 4 roomy bedrooms upstairs and a second family room for a growing family activities. Walkout basement with r/i plumbing a plus! -Join the Cambridge Lakes community</t>
  </si>
  <si>
    <t>Cambridge Lakes Early Learning Ctr</t>
  </si>
  <si>
    <t>Central Air, Energy Efficient Package, Basement, Upgrade Carpet/Pad/Vinyl, Wood Laminate Flooring, Upgraded Insulation</t>
  </si>
  <si>
    <t>Bonus, Eating Area</t>
  </si>
  <si>
    <t>Call sales at 847-984-4883</t>
  </si>
  <si>
    <t>Must accompany client on first visit. Come to sales center at 1331 Newport Ct  for assistance</t>
  </si>
  <si>
    <t>D.R.Horton</t>
  </si>
  <si>
    <t>Please register client upon first visit to receive compensation  For further details or to set an appointment- please call 847-984-4883. Open daily until 6. Sales office located at 1331 Newport Ct.</t>
  </si>
  <si>
    <t>14N869</t>
  </si>
  <si>
    <t>CASTLE</t>
  </si>
  <si>
    <t>East Dundee</t>
  </si>
  <si>
    <t>RT 25 S TO ALBERT E TO CASTLE</t>
  </si>
  <si>
    <t>4 SQUARE</t>
  </si>
  <si>
    <t>17424 SQ FT</t>
  </si>
  <si>
    <t>PRICED TO SELL NOW!!!!LARGE AMERICAN 4-SQUARE,4 BR, 2.1 BA, 2+ CAR GARAGE W/ WORKSHOP,LARGE LOT IN UNINCORPORATED DUNDEE. NEEDS TLC, BUT LOTS OF POTENTIAL. THIS IS A FANNIE MAE HOMEPATH PROPERTY. BUYER/AGENT RESP FOR ALL PERMITS/INSP/STAMPS</t>
  </si>
  <si>
    <t>3% OR MINIMUM $1000 (on Gross SP)</t>
  </si>
  <si>
    <t>U/C no more showings....The seller directs that all offers to be submitted on the HomePath Online Offer</t>
  </si>
  <si>
    <t>Dartmouth</t>
  </si>
  <si>
    <t>Barrington N of 19, to Yorkshire east, to Dartmouth.</t>
  </si>
  <si>
    <t>40X112X140X147</t>
  </si>
  <si>
    <t>Home sold as is and needs work.  Great starter home or condo alternative.  Conveniently located for shopping, highway.  Short sale previously approved at 145,000.  Buyer couldn't get financing.  Quick close possible.</t>
  </si>
  <si>
    <t>call 855 746 9100     2 hr notice owner must confirm large pet</t>
  </si>
  <si>
    <t>CC: Pursuant to Short Sale. CC: Pursuant to Short Sale. Any lender reduction in commission paid shall be shared equally between the listing company and the co-op company. See offer/ss faqs under add'l info.  In-house negotiator allow 90-120 days, Any ? email only</t>
  </si>
  <si>
    <t>Waveland</t>
  </si>
  <si>
    <t>ADDISON TO LAMON N. TO WAVELAND EAST TO HOME</t>
  </si>
  <si>
    <t>ENGLISH</t>
  </si>
  <si>
    <t>37 X127</t>
  </si>
  <si>
    <t>REDUCED BY 80+K BRICK ON A WIDE LOT  3+1 BEDS + 3 FULL NEWER  BATHS W/GREAT TILE WORK ON EACH FLOOR! NEW ROOF 2YR., &amp; MECHANICAL.  BIG EAT IN KITCHEN W/ MARBLE BACK SPLASH, GRANITE, BRICK ADDITION FAMILY RM. LEADS  TO YOUR PRIVATE OASIS W/ROOF TOP DECK ON TOP OF BIG   BRICK GARAGE &amp; PATIO. LARGE FINISHED BASEMENT WITH  WET BAR, FIREPLACE, BEDROOM. UTILITY ROOM.  SHORT  SALE 3RD. PARTY APPROVAL. SOLD  "AS-IS"</t>
  </si>
  <si>
    <t>Humidifier, TV-Cable, CO Detectors, Ceiling Fan, Fan-Whole House</t>
  </si>
  <si>
    <t>Conventional, FHA, Other</t>
  </si>
  <si>
    <t>2.25%-$325.00 (on Net SP)</t>
  </si>
  <si>
    <t>Real People Realty Inc</t>
  </si>
  <si>
    <t>Daniel Mooney</t>
  </si>
  <si>
    <t>(312) 307-9237</t>
  </si>
  <si>
    <t>312.307.9237</t>
  </si>
  <si>
    <t>See showing assist</t>
  </si>
  <si>
    <t>OWNERS OF RECORD</t>
  </si>
  <si>
    <t>CC: Pursuant to Short Sale. SHORT SALE! EXPERIENCED ATTORNEY AND AGENT, ATTORNEY HOLDS EARNEST MONEY THRU CITY WIDE TITLE.   A. V. PANZICA</t>
  </si>
  <si>
    <t>KILPATRICK NORTH TO 49TH EAST TO KNOX SOUTH TO HOME</t>
  </si>
  <si>
    <t>SPACIOUS BRICK BUNGALOW THAT FEATURES 4 BEDROOMS, 2 BATHS, HARDWOOD FLOORS THROUGHOUT, FULL BASEMENT AND A 2 CAR DETACHED GARAGE. SOLD AS IS. BUYER TO TAKE ON CITY REPAIRS &amp; PUT UP ESCROW IF REQUIRED. NO DISCLOSURES, NO SURVEY OR TERMITE PROVIDED. PRESENT DETAILED PRE-QUAL OR PROOF OF FUNDS WITH OFFER. EM CERTIFIED FUNDS ONLY. PLEASE DO NOT EMAIL OFFERS, FAX OVER ALL OFFERS</t>
  </si>
  <si>
    <t>Daniel Robinson</t>
  </si>
  <si>
    <t>105TH</t>
  </si>
  <si>
    <t>WENTWORTH TO 105TH PLACE, WEST TO PROPERTY</t>
  </si>
  <si>
    <t>SPACIOUS HOME/TONS OF POTENTIAL/FOUR LARGE BEDROOMS/ONE FULL BATH/ONE HALF BATH/SHORT DISTANCE TO I-57 AND I-94/NEARBY PARKS/SOLD AS IS / PROOF OF FUNDING MUST ACCOMPANY ALL OFFERS / PLEASE SUBMIT THE PURCHASE OFFER FORM LOCATED UNDER ADDITIONAL INFO WITH ALL OFFERS / PLEASE FAX ALL OFFERS TO THE OFFICE.SELLER WILL NOT RESPOND TO OFFERS UNTIL THE PROPERTY HAS BEEN ON THE MARKET 8-10 DAYS.</t>
  </si>
  <si>
    <t>FAX (708) 656-4444</t>
  </si>
  <si>
    <t>EMPLOYEES AND FAMILY MEMBERS RESIDING WITH EMPLOYEES OF JPMORGAN CHASE BANK, N.A, ITS AFFILIATES OR SUBSIDIARIES ARE STRICTLY PROHIBITED FROM DIRECTLY OR INDIRECTLY PURCHASING ANY PROPERTY OWNED BY JPMORGAN CHASE BANK, N.A.</t>
  </si>
  <si>
    <t>Weld</t>
  </si>
  <si>
    <t>RANDALL S2 RT 20 W2 WELD N2 HOME</t>
  </si>
  <si>
    <t>RANDALL RIDGE</t>
  </si>
  <si>
    <t>75X110</t>
  </si>
  <si>
    <t>WOW! EVERYTHING'S BEEN DONE FOR YOU! 2-STY FYER W/OAK RAILINGS &amp; NWR CHANDELIER! FRML LR &amp; DR W/GLEAMING HDWD FLRS! GORG KTCHN W/GRANITE C-TOPS, SS APPLS, CSTM TILE BACKSPLASH, REC LIGHTS &amp; HDWD FLRS! MBDRM W/DBL DR ENTRY &amp; SEP BATH W/GRANITE C-TOPS W/DBL SINKS &amp; CSTM TILED SHWR &amp; FLR! FIN BSMNT W/LRG REC RM! NWR ROOF! NEW SIDING '13!</t>
  </si>
  <si>
    <t>Eating Area, Foyer, Recreation Room</t>
  </si>
  <si>
    <t>26X26</t>
  </si>
  <si>
    <t>16X05</t>
  </si>
  <si>
    <t>USE SHOWING ASSIST OR CALL LO - 847-931-7500</t>
  </si>
  <si>
    <t>CC: Pursuant to Short Sale. NEW SIDING 2013! NWR ROOF! **SHORT SALE - ALLOW TIME FOR LENDER APPROVAL** COMMISSION SPLIT 50/50 ON LENDER IMPOSED REDUCTION **SHORT SALE APPROVED AT LIST PRICE!!**</t>
  </si>
  <si>
    <t>Kelley</t>
  </si>
  <si>
    <t>Randall Road to Orchard W to Oak R to Deerpath N to Tanner L to Meade R to Bauer L to Kelley to Home</t>
  </si>
  <si>
    <t>82X175</t>
  </si>
  <si>
    <t>Beautiful 4 Bedroom with loft.  Home has been rehabbed and ready to move in- new A/C, carpet, paint, appliances and more.  Large living room/family room, spacious bedrooms and full finished basement.  Great yard for entertaining.This is a Fannie Mae HomePath property.</t>
  </si>
  <si>
    <t>Act Now- $1000 Buyers Agent Bonus - Restrictions apply - Submit offers on Homepath.com. Please see attachment-MUST USE PG 8-NO PERSONAL PROPERTY INCL. EM MUST BE CERTIFIED FUNDS (10% for cash).</t>
  </si>
  <si>
    <t>Deere Pointe</t>
  </si>
  <si>
    <t>PRAIRIE POINTE</t>
  </si>
  <si>
    <t>CLOVER B</t>
  </si>
  <si>
    <t>K. Hovnanian's Grand Opening of South Elginâ€™s newest community~Prairie Pointe! Build your dream home. Only 61 single family home sites available. The Clover model has 2330 sf of living space, 4 bedrooms plus a loft, &amp; 2.5 baths! Second floor laundry. Master bedroom feature a large WIC with additional closet and private bathroom. Home includes full basement. Photos are of model home that shows upgrades &amp; options.</t>
  </si>
  <si>
    <t>Cindy Schmalz, SFR</t>
  </si>
  <si>
    <t>(630) 386-0866</t>
  </si>
  <si>
    <t>Call sales office @ 847-717-4270</t>
  </si>
  <si>
    <t>Commission Paid on Base Selling Price Register clients on 1st visit â€“ no co-op commission paid without valid registration. Registration must preced any offer to purchase.</t>
  </si>
  <si>
    <t>Avenue C</t>
  </si>
  <si>
    <t>110th St. to Avenue  C  go south to property</t>
  </si>
  <si>
    <t>THIS IS A FANNIE MAE HOMEPATH PROPERTY. SUCH A SWEET HOME ON A NICE BLOCK TOO.  SPECIAL FEATURES INCLUDE REAR DECK, , COVENIENT KITCHEN WITH BREAKFAST BAR, SPACIOUS YARD LARGE GARAGE</t>
  </si>
  <si>
    <t>1% OR $400 WHICHEVER IS GREATER (on Gross SP)</t>
  </si>
  <si>
    <t>THIS PROPERTY IS NOW UNDER AUCTION TERMS. SUBMIT ALL OFFERS TO WWW.AUCTION.COM.  THIS PROPERTY IS SUBJECT TO A 5% BUYERS PREMIUM. COMMISSION PERCENTAGES MAY CHAGNE DURING THE AUCTION PROCESS</t>
  </si>
  <si>
    <t>Crofton</t>
  </si>
  <si>
    <t>Route 34 to Boulder Hill Pass north to Crofton Rd. east to home.</t>
  </si>
  <si>
    <t>77X144X86X176</t>
  </si>
  <si>
    <t>Stunning home with space for everyone in Oswego.  Mature landscaping.  Gleaming hardwood floors, fresh carpeting, updated kitchen, 1st floor laundry, all appliances, finished basement and 2 master suites upstairs.  Fabulous 3 season room and a fenced wrap around deck with awning off the eat-in kitchen. 2 big beds on main,  Workshop, 2nd kitchen, rec room in the finished basement.  Oswego Police and Fire Protection.</t>
  </si>
  <si>
    <t>Oven/Range, Microwave, Dishwasher, Refrigerator, Freezer, Washer, Dryer, Disposal</t>
  </si>
  <si>
    <t>2nd Kitchen, Bonus, Deck, Office, Recreation Room, Storage, Sun/Florida Room, Workroom</t>
  </si>
  <si>
    <t>Skylight(s), Bar-Wet, 1st Floor Bedroom, 1st Floor Laundry, 1st Floor Full Bath</t>
  </si>
  <si>
    <t>Nancy Bamforth, CNC,CSC</t>
  </si>
  <si>
    <t>(630) 542-8050</t>
  </si>
  <si>
    <t>Call CSS 1-877-977-1010 to schedule a showing.</t>
  </si>
  <si>
    <t>Keeley</t>
  </si>
  <si>
    <t>Richmond</t>
  </si>
  <si>
    <t>CLOVER A</t>
  </si>
  <si>
    <t>K. Hovnanian's Grand Opening of South Elginâ€™s newest community~Prairie Pointe! Build your dream home. Only 61 single family home sites available. The Clover model has 2330 sf of living space, 4 bedrooms plus a loft, &amp; 2.5 baths! Second floor laundry. Master bedroom feature a large WIC with additional closet and private bathroom. Home includes partial basement. Photos are of model home that shows upgrades &amp; options.</t>
  </si>
  <si>
    <t>NA</t>
  </si>
  <si>
    <t>Commission Paid on Base Selling Price Register clients on 1st visit â€“ no co-op commission paid without valid registration. Registration  must precede any offer to purchase.</t>
  </si>
  <si>
    <t>Avenue N</t>
  </si>
  <si>
    <t>1 Block East of Ave O, go east at 134th</t>
  </si>
  <si>
    <t>Solid brick 4 BR 2 BA home w/full basemt. Huge Garage. Awesome updates: Kitchen (Hickory cabinets-courian counter tops-wood lam flr &amp; appli), Baths, Doors/Trim entry &amp; storm doors, wood floor under New Carpet, Spacious Master BR &amp; Storage galore. NEWER ROOF. Fenced yard w/nice lot. Super clean home. Must see! Home warranty included.</t>
  </si>
  <si>
    <t>3% + $1,000 (on Gross SP)</t>
  </si>
  <si>
    <t>Kent Magnuson</t>
  </si>
  <si>
    <t>(708) 889-2656</t>
  </si>
  <si>
    <t>$1,000 bonus to selling office.</t>
  </si>
  <si>
    <t>Senour</t>
  </si>
  <si>
    <t>HALSTED TO ARCHER, WEST TO SENOUR, NORTH ON SENOUR THEN TO 2506</t>
  </si>
  <si>
    <t>33X50</t>
  </si>
  <si>
    <t>Tastefully decorated SF w/ new updates: refinished hardwood floor with dark stain 1st &amp; 2nd fl; new tiles &amp; vanity in 1st fl bath; built-in book shelves in living room; new carpet on 3rd fl; new paint. Kitchen w/ 42" upper cabinets &amp; granite counter, SS appliances, breakfast bar, fireplace. First floor bedroom &amp; bath! Attached garage! Play ground and parks nearby, walk to Orange Line, mins to I90/94/55!</t>
  </si>
  <si>
    <t>312-320-3505</t>
  </si>
  <si>
    <t>Call/Email/Text Jennifer 312-320-3505 with 24hrs notice</t>
  </si>
  <si>
    <t>Seller is IL licensed broker. Master bedroom curtains excluded.</t>
  </si>
  <si>
    <t>Diversey to Wolcott, North to Landmark Village South Gate.</t>
  </si>
  <si>
    <t>Landmark Village</t>
  </si>
  <si>
    <t>60X40</t>
  </si>
  <si>
    <t>Come Discover Landmark Village. 3 bedroom, 3 bath single family home includes a backyard w a large deck in a gated community. S/S appliances in the eat in kitchen. First floor has hardwood floors throughout and a large fire place in the living room. This home has an open finished basement. 1 car garage with driveway. Family friendly neighborhood and walking distance from many parks</t>
  </si>
  <si>
    <t>JAHN ELEMENTARY SCHOOL</t>
  </si>
  <si>
    <t>Water, Scavenger, Snow Removal</t>
  </si>
  <si>
    <t>Peter Krika</t>
  </si>
  <si>
    <t>(312) 523-6667</t>
  </si>
  <si>
    <t>Call John Lyons @ 773-558-7133</t>
  </si>
  <si>
    <t>NOTE 2845 N Wolcott UNIT E</t>
  </si>
  <si>
    <t>Schaumburg Rd to Ridge South on Ridge to Streamwood Blvd Rt on Streamwood to 822 E. Streamwood Blvd</t>
  </si>
  <si>
    <t>9454 SF</t>
  </si>
  <si>
    <t>Want to be an Investor?? Great opportunity!! This home is already leased! No need to look for reliable tenant. Currently leased at $1650 per month until Aug 31 2015  Tenent pays all utilities 4 Bed 2 Bath Home on Corner Lot Beautiful fenced side and back yard with shed Newly painted foyer and hall New floor in Kitchen Hardwood Floors under carpet in LR DR Hall and 1 Bedroom</t>
  </si>
  <si>
    <t>2.5 % -250 (on Gross SP)</t>
  </si>
  <si>
    <t>Solid Realty Services Inc</t>
  </si>
  <si>
    <t>(773) 281-1000</t>
  </si>
  <si>
    <t>Barbara Balik</t>
  </si>
  <si>
    <t>(773) 625-4747</t>
  </si>
  <si>
    <t>Tenent 24Hr Notice Agent will accompany call Barbara 773 625 4747</t>
  </si>
  <si>
    <t>Great Investment Opportunity Tenant already in place rents now at $1650 tenant pays utilities Call me for details  24 Notice to show  I WILL OPEN UP HOME</t>
  </si>
  <si>
    <t>Take S South Chicago Avenue to 83rd, Take 83rd E to Paxton, take Paxton S to house.</t>
  </si>
  <si>
    <t>This beautiful, recently rehabbed 4 bedroom, 3 bathroom brick Cape Code has been completely updated and refinished. The roof is new. The mechanicals are new. It even boasts a brand new two car garage. With professional landscapping, a gorgeous kitchen that boasts stainless steel appliances and granite counters, gleaming hardwood floors and a finished basement with laundry room, this house is truly a must see.</t>
  </si>
  <si>
    <t>**BONUS $1000 GIFT CARD**EMAIL OFFERS TO OFFERS@FRANKMONTROHOMES.COM OR FAX 708-479-3308. EM CERTIFIED CHECK ONLY. VIEW OUR OTHER 100+ REHABBED HOMES at FRANKMONTROHOMES.COM</t>
  </si>
  <si>
    <t>2S575</t>
  </si>
  <si>
    <t>Deerpath</t>
  </si>
  <si>
    <t>Main St South of Randall to Deerpath. Follow Jogs on Deerpath</t>
  </si>
  <si>
    <t>377X221X299X104</t>
  </si>
  <si>
    <t>Country retreat &amp; close to EVERYTHING! Enjoy sunsets on the covered wrap around porch! Kitchen boasts granite, stainless, island cooktop, planning desk and tons of cabinets. 1st fl laundry. Year round sunroom w skylights opens to patio, gardens and custom gazebo.  Solid 6 panel doors and crown molding T/O! Basement is mostly finished w wet bar and cabinets for storage. 3+ car garage. NEW TEAR OFF ROOF too! CONV. SALE</t>
  </si>
  <si>
    <t>Vaulted/Cathedral Ceilings, Skylight(s), Bar-Wet, Hardwood Floors, Wood Laminate Floors, 1st Floor Laundry</t>
  </si>
  <si>
    <t>Patio, Porch, Hot Tub, Gazebo, Brick Paver Patio</t>
  </si>
  <si>
    <t>Results Realty Illinois, Inc</t>
  </si>
  <si>
    <t>(630) 377-5500</t>
  </si>
  <si>
    <t>Sharon Mennerick</t>
  </si>
  <si>
    <t>(630) 408-5844</t>
  </si>
  <si>
    <t>Use Showing Assist Prefer 1 hour notice</t>
  </si>
  <si>
    <t>Not A Short Sale Quick Close Possible.  Hot tub as is. EM must be cert funds. New Roof!</t>
  </si>
  <si>
    <t>DAN RYAN EXP SOUTH TO 87W TO ELIZABETH SOUTH TO 8930</t>
  </si>
  <si>
    <t>GREAT OPPORTUNITY TO OWN AN AFFORDABLE SINGLE FAMILY HOME IN THE CHICAGO AREA. PROPERTY IS NOT AVAILABLE FOR TRADITIONAL FHA FINANCING BUT ELIGIBLE FOR 203K. FHA CASE #131-858627 . SOLD AS-IS. "UI" REPAIR ESCROW $0.0. EQUAL HOUSING OPPORTUNITY.</t>
  </si>
  <si>
    <t>USE THE SHOWING ASSISTS SERVICES TO OBTAIN THE LOCKBOX COMBO.</t>
  </si>
  <si>
    <t>Hud Home. Go to www.HUDHOMESTORE.com or www.BIDSELECT.com for Instructions to submit offer.Owner Occupants, Nonprofits and Government Agencies only until June 15, 2014.</t>
  </si>
  <si>
    <t>39W775</t>
  </si>
  <si>
    <t>Terney</t>
  </si>
  <si>
    <t>Randall to Keslinger W to Brundige to Sulley W to Terney</t>
  </si>
  <si>
    <t>90X80X110X80</t>
  </si>
  <si>
    <t>New roof, new carpeting, fresh paint, new maple kitchen with granite tops. New lighting throughout. Full finished basement with potential 4th bedroom/office and full bath. Not a short sale or foreclosure. Quick close possible.</t>
  </si>
  <si>
    <t>Susan Adelizzi</t>
  </si>
  <si>
    <t>(630) 615-9500</t>
  </si>
  <si>
    <t>Call LA for showing instructions 630-615-9500</t>
  </si>
  <si>
    <t>630-615-9500 for showing instructions</t>
  </si>
  <si>
    <t>Gerry</t>
  </si>
  <si>
    <t>Plank Rd to Gerry Lane.</t>
  </si>
  <si>
    <t>159.63 X 119.59 X424.53 X 490.10</t>
  </si>
  <si>
    <t>This captivating and sprawling ranch features 4 bedrooms, 2 baths, w/ elegant hardwood trim &amp; solid oak floors &amp; 9ft ceilings. A fireplace in the living room perfect for winter. Granite counter tops in the kitchen are a nice touch! Master suite has his &amp; hers sinks, &amp; whirlpool tub w/ separate shower. Bedroom 2 has vaulted wood ceilings. Rear deck large to entertain guests, all on 1.47 acres</t>
  </si>
  <si>
    <t>Propane</t>
  </si>
  <si>
    <t>2% - $150 (on Gross SP)</t>
  </si>
  <si>
    <t>Must have Confirmation</t>
  </si>
  <si>
    <t>Lot will accommodate a third stall attached to existing 2 car garage.</t>
  </si>
  <si>
    <t>Arneita</t>
  </si>
  <si>
    <t>North Route 23, RT at Mt Hunger, LT at Martin, RT on Arnieta</t>
  </si>
  <si>
    <t>75X148</t>
  </si>
  <si>
    <t>Beautiful Home with loads of upgrades.... Hardwood Floors, Stainless Steel  Appliances, 4 season room, Cathedral Ceilings and so much more. Sold AS-IS... Short Sale in Process*** One lender***</t>
  </si>
  <si>
    <t>A Premier Realty Group of IL</t>
  </si>
  <si>
    <t>(630) 913-8308</t>
  </si>
  <si>
    <t>Jeannine Prombo</t>
  </si>
  <si>
    <t>Showing between 1-5 pm Call JEANNINE 630-913-8038</t>
  </si>
  <si>
    <t>CC: Pursuant to Short Sale. Great Home ...Some Handicap Accessibility (showers) &amp; railings.</t>
  </si>
  <si>
    <t>South Hills</t>
  </si>
  <si>
    <t>Tower Lakes</t>
  </si>
  <si>
    <t>Route 59 to Kelsey West to South Hills North.  Stay right at split in the road.</t>
  </si>
  <si>
    <t>TOWER LAKES</t>
  </si>
  <si>
    <t>151X157X164X201</t>
  </si>
  <si>
    <t>Attention rehabbers &amp; investors! One of a kind lake front 8485 sq.ft. home. Very large rooms, 4 bedrooms, 4 baths, enclosed porch, 5 fireplaces, vaulted beamed ceilings, two family rooms.  Finished LL with the second family room, rec room/bar area, play room, storage &amp; full bathroom.  Spacious study adjacent to private master suite.  Over 150â€™ of shoreline.  Swim, boat, fish!  Home needs some updating and repairs.</t>
  </si>
  <si>
    <t>Park/Playground, Tennis Courts, Pond/Lake, Water Rights</t>
  </si>
  <si>
    <t>Humidifier, Water-Softener Owned, Central Vacuum, TV-Cable</t>
  </si>
  <si>
    <t>Bar, Breakfast Room, Deck, Enclosed Porch, Foyer, Play Room, Recreation Room, Study, Storage, Other</t>
  </si>
  <si>
    <t>Vaulted/Cathedral Ceilings, Skylight(s), Bar-Wet, 1st Floor Bedroom, 1st Floor Full Bath</t>
  </si>
  <si>
    <t>32X8</t>
  </si>
  <si>
    <t>Marian Malmborg, GRI</t>
  </si>
  <si>
    <t>(847) 269-1855</t>
  </si>
  <si>
    <t>Call Showing Desk at 855-746-9100 for appointment</t>
  </si>
  <si>
    <t>Randall to Fargo West to Lewis L. Home is on SW corner of Fargo &amp; Lewis.</t>
  </si>
  <si>
    <t>Randall Square</t>
  </si>
  <si>
    <t>115X102X140X120</t>
  </si>
  <si>
    <t>Beautiful brick Georgian with a rare side load garage located on a lovely oversized corner lot. Fresh paint downstairs. Front and rear brick walks wind through the yard. Hardwood floors, wood burning fireplace. Deck with retractable awning and huge garden shed nestled in the backyard. So close to schools, Randall Road shopping, downtown, Delnor Hospital and the commuter train. Make Geneva your home for under 300k!</t>
  </si>
  <si>
    <t>Charles Kirkwood</t>
  </si>
  <si>
    <t>(630) 715-5714</t>
  </si>
  <si>
    <t>630-715-5714</t>
  </si>
  <si>
    <t>4N470</t>
  </si>
  <si>
    <t>ANDERSON</t>
  </si>
  <si>
    <t>RTE 38 TO ANDERSON N2 HOME</t>
  </si>
  <si>
    <t>130X319X130X321</t>
  </si>
  <si>
    <t>PRICE INCLUDES BUILDABLE LOT TO THE NORTH OF THE HOME! WHAT A BEAUTIFUL SETTING! CHARMING COURTYARD LEADS TO FRONT DOOR. AWESOME UPDATED KITCHEN, BIG LIVING ROOM. FAMILY ROOM W/FIREPLACE AND SGD TO DECK OPENS TO KITCHEN.2 CAR ATTACHED GARAGE.BASEMENT READY FOR FINISHING WITH TONS OF STORAGE.MASTER SUITE W/PRIVATE BATH.2 CAR GARAGE W/EDO.GORGEOUS MATURE TREES! CONVENIENT LOCATION!</t>
  </si>
  <si>
    <t>Lenox</t>
  </si>
  <si>
    <t>Orchard Rd South to Galena, West on Galena to Concord, North on Concord to Lenox  House on NE Corner</t>
  </si>
  <si>
    <t>70 X 130</t>
  </si>
  <si>
    <t>Price Reduced! Seller Says SELL!  Home Warranty included! 2 Story w/Large Corner Lot! White Trim and 6 Panel Doors thru out! Gleaming HW Floors in Kitchen, Foyer, Hall &amp; 1/2 Bath. Kitchen has Unique Floor Plan w/42" Maple Cabinets &amp; Island. Large Bedrooms! Ceramic Master Bath w/Soaking Tub! Extra Large Laundry Rm w/Lots of Shelving. Beautiful Paver Patio! Seller says Kitchen Table, Patio Table &amp; Grill Can Stay!</t>
  </si>
  <si>
    <t>Clubhouse, Park/Playground, Curbs/Gutters, Sidewalks, Street Lights, Street Paved</t>
  </si>
  <si>
    <t>Corner, Nature Preserve Adjacent</t>
  </si>
  <si>
    <t>Darla Najarian</t>
  </si>
  <si>
    <t>(630) 677-1357</t>
  </si>
  <si>
    <t>1 Hour Notice Please, Call Listing Agent to Confirm, Remove Shoes, Leave Card</t>
  </si>
  <si>
    <t>1 Hour Notice Please!  Please Schedule your Showing Appointment Time w/ShowingTime.  Remove Shoes, Leave Card and PLEASE Provide Feedback.</t>
  </si>
  <si>
    <t>Mill St. East of Orchard, West of Rt. 31 to Fox Chase Drive North, Left on Deerpath</t>
  </si>
  <si>
    <t>80X137</t>
  </si>
  <si>
    <t>One of a kind STUNNING home! Original owners recently added a huge luxury master suite that is just GORGEOUS!  The kitchen &amp; both other baths have also been remodeled w all upscale finishes including granite &amp; marble. The main level  upper levels feature hardwood floors, the oversized front porch is welcoming and charming! The backyard is fully fenced and is your perfect oasis. OWNERS MOTIVATED &amp; READY FOR AN OFFER!</t>
  </si>
  <si>
    <t>Park/Playground, Pool, Curbs/Gutters, Sidewalks, Street Lights</t>
  </si>
  <si>
    <t>Oven/Range, Microwave, Washer, Dryer, Disposal, All Stainless Steel Kitchen Appliances</t>
  </si>
  <si>
    <t>Patio, Porch, Storage Shed, Brick Paver Patio, Storms/Screens</t>
  </si>
  <si>
    <t>Joanne Grzetic, CSC,SFR</t>
  </si>
  <si>
    <t>(630) 235-4610</t>
  </si>
  <si>
    <t>This house has more space than you think.  It is just gorgeous with all of the high end finishes.  Bring your fussiest buyers, they will love it!</t>
  </si>
  <si>
    <t>72ND</t>
  </si>
  <si>
    <t>ASHLAND N OR S TO 72ND STREET THEN EAST  TO PROPERTY</t>
  </si>
  <si>
    <t>TENANT OCCUPIED PAYING $900 PER MONTH, 4 BEDROOMS, 1 FULLBATH, KITCHEN AND FORMAL DINING WITH A FULL BASEMENT, FENCED IN YARD AND 2 CAR GARAGE.  SOLD AS-IS/WHERE-IS. NO SURVEY.</t>
  </si>
  <si>
    <t>2.5 % (on Gross SP)</t>
  </si>
  <si>
    <t>Email all requests to team@pvrco.com</t>
  </si>
  <si>
    <t>JEFF BV Commercial,</t>
  </si>
  <si>
    <t>REQUIRED OFFER COVER SHEET UNDER ADDITIONAL INFORMATION. SUBMIT ALL OFFERS TO SALES@PVRCO.COM. MINIMUM 2500 EARNEST MONEY.</t>
  </si>
  <si>
    <t>BENT TREE</t>
  </si>
  <si>
    <t>RT 34 TO PEARCES FORD TO BENT TREE CT</t>
  </si>
  <si>
    <t>MILL RACE CREEK</t>
  </si>
  <si>
    <t>55X165X33X137X31X139</t>
  </si>
  <si>
    <t>Gorgeous home on a beautiful pond!Cul-de-sac location, walking trail and park close by! New roof 2012, granite &amp; SS appliances 2012, gorgeous kitchen, &amp; new windows 2010 &amp; 2011! Beautiful hardwood! Finished walk-out basement with new carpeting in 2013! Large deck overlooks the pond. Spacious 2.5 car garage!  This home has been meticulously cared for! Storage galore! Exterior repainted 2012.</t>
  </si>
  <si>
    <t>Cul-de-sac, Pond, Water View</t>
  </si>
  <si>
    <t>Humidifier, Water-Softener Owned, TV-Cable, Ceiling Fan, Sump Pump, Sprinkler-Lawn</t>
  </si>
  <si>
    <t>Eating Area, Foyer, Office</t>
  </si>
  <si>
    <t>Berkshire Hathaway HomeServices MAC Real Estate</t>
  </si>
  <si>
    <t>(815) 436-5300</t>
  </si>
  <si>
    <t>Karyn Drost</t>
  </si>
  <si>
    <t>(815) 693-3333</t>
  </si>
  <si>
    <t>815-693-3333</t>
  </si>
  <si>
    <t>WEST OF PULASKI- IRVING TO AVONDALE-SOUTH TO KEDVALE- WEST ON GRACE TO KEELER-ONE WAY NORTH</t>
  </si>
  <si>
    <t>OLD IRVING</t>
  </si>
  <si>
    <t>50 X 156</t>
  </si>
  <si>
    <t>OLD IRVING SPACIOUS STUCCO VICTORIAN- VINTAGE CHARM &amp; TODAY'S AMENITIES- GRACIOUS FOYER- AMAZING WALNUT STAIRCASE- HUGE DOUBLE PARLOR LR- WDBNING FRPL- FORMAL DR- GREAT LIBRARY BUILT INS OR FAM RM- SHARP CHERRY &amp; GRANITE KIT W SS APPLS-INVITING BREAKFAST RM- FABULOUS MASTER BDRM- HUGE  W/I CLOSET W ORNATE DRS- 3 MORE BDRMS &amp; TANDEM RM UP- PATIO DRS TO NEW DECK &amp; LOVELY YARD- FIN BASMT REC RM- WRAP AROUND FRONT PORCH</t>
  </si>
  <si>
    <t>Breakfast Room, Foyer, Recreation Room, Tandem Room</t>
  </si>
  <si>
    <t>08X08</t>
  </si>
  <si>
    <t>Irene Yungerman</t>
  </si>
  <si>
    <t>(773) 315-5874</t>
  </si>
  <si>
    <t>CALL IRENE 773-315-5874</t>
  </si>
  <si>
    <t>95TH TO CALUMET NORTH TO HOME</t>
  </si>
  <si>
    <t>Beautiful, recently rehabbed 4 bedroom, 2 bathroom brick ranch brimming with new additions and pristine details. Gorgeous kitchen boasts stainless steel appliances and granite counters. Entire 1st floor offers gleaming hardwood floors, and finished basement includes a large family room and a laundry room. With a 2 1/2 car garage, central air and a whole lot more, this house is a must see. Recently appraised:$165,000</t>
  </si>
  <si>
    <t>MOORFIELD</t>
  </si>
  <si>
    <t>North of I-88. Orchard to white Oak south o Hawksley east to Ritter to Moorfield.</t>
  </si>
  <si>
    <t>Randall Highlands</t>
  </si>
  <si>
    <t>DIRKSEN</t>
  </si>
  <si>
    <t>77X137X97X125</t>
  </si>
  <si>
    <t>New construction ready in October! Awesome community near I-88 &amp; Orchard! Wonderful floor plan features a large gourmet kitchen with granite, 42 in. birch cabs, hardwd &amp; SS appliances. Brkfst rm opens to family rm. Formal dining rm. 4 bedrms plus huge loft! Lg master suite w/2 walk in closets and ultra master bath. Full bsmt, front porch, 3 car tandem. Price subj to change w/out notice. Photos of model home</t>
  </si>
  <si>
    <t>1X16</t>
  </si>
  <si>
    <t>3% - $150 ON BASE PRICE (on Net SP)</t>
  </si>
  <si>
    <t>Cindy Carlson, CRS</t>
  </si>
  <si>
    <t>(630) 637-2538</t>
  </si>
  <si>
    <t>630-240-9623</t>
  </si>
  <si>
    <t>630-340-5795</t>
  </si>
  <si>
    <t>Home under const. Visit builder sales ofc at 1201 Kilbery to see model. Sales ofc open daily 11-6</t>
  </si>
  <si>
    <t>K.Hovnanian Homes</t>
  </si>
  <si>
    <t>Must register your client on the first visit. Pricing and promotions subject to change with no notice. Photos of the model home. Visit the sales office at 913 Mirador, open daily 11-6. Pricing reflects the use of K. Hovnanian Mortgage.</t>
  </si>
  <si>
    <t>Locust</t>
  </si>
  <si>
    <t>E  Main St to S Locust</t>
  </si>
  <si>
    <t>66X140</t>
  </si>
  <si>
    <t>Farm house style home, large covered front porch, living and dining room, main floor bedroom, 3 bedrooms up with loft area, super sized garage. Being sold "as is".</t>
  </si>
  <si>
    <t>51-60 Years, 61-70 Years, 71-80 Years, 81-90 Years, 91-100 Years</t>
  </si>
  <si>
    <t>Berkshire Hathaway HomeServices Crosby Starck Real Estate</t>
  </si>
  <si>
    <t>(815) 544-1005</t>
  </si>
  <si>
    <t>Debbie Carlson</t>
  </si>
  <si>
    <t>(815) 544-8848</t>
  </si>
  <si>
    <t>Use Online Showing Assist</t>
  </si>
  <si>
    <t>Green River Capital</t>
  </si>
  <si>
    <t>Schedule showings online, fax all offers to 815-231-8295.   Buyer must be pre-qualified by Caliber Mortgage 773-899-5100 rick.pantoga@caliberhomeloans.com</t>
  </si>
  <si>
    <t>Archer to Leamington North to Home.</t>
  </si>
  <si>
    <t>250X180</t>
  </si>
  <si>
    <t>Opportunity knocks with this 4 bedroom 2 baths all brick property in GARFIELD RIDGE. Fantastic for handyman or investor. Property has original hardwood floors full unfinished basement, large size yard with two car garage. **Rehabbers Dream** Property Sold As-Is seller will not activate utilities. Current proof of funds for all CASH OFFERS</t>
  </si>
  <si>
    <t>Call office for all showings 773-735-6000</t>
  </si>
  <si>
    <t>Property Sold As-IS email offer to premierteam@live.com</t>
  </si>
  <si>
    <t>Juneway</t>
  </si>
  <si>
    <t>Juneway is 1 block long &amp; one way going east. Enter off Ashland...Mapquest it. Great home!</t>
  </si>
  <si>
    <t>40X220</t>
  </si>
  <si>
    <t>Sounds of Lake Michigan &amp; outstanding craftsmanship surround you in this extra wide &amp; sunny, prairie style home! Preserved &amp; pristine, sitting on a huge lot (40â€™x220â€™) featuring: gorgeous woodwork, beamed ceilings, original stained glass, hardwood floors, wood burning fireplace, 2 enclosed sun rooms, sleeping porch, organic garden, walk up attic &amp; a newer 2 Â½ car garage! Great closets, storage &amp; transportation! :) :)</t>
  </si>
  <si>
    <t>Pantry-Butler, Pantry-Closet</t>
  </si>
  <si>
    <t>Dormer, Full, Interior Stair, Unfinished</t>
  </si>
  <si>
    <t>Partially Finished, Unfinished, Bathroom Rough-In</t>
  </si>
  <si>
    <t>Fenced Yard, Nature Preserve Adjacent</t>
  </si>
  <si>
    <t>Attic, Breakfast Room, Dark Room, Enclosed Porch Heated, Foyer, Mud Room, Pantry, Sitting Room, Workroom</t>
  </si>
  <si>
    <t>28X21</t>
  </si>
  <si>
    <t>Click schedule a showing.  24 hour notice.</t>
  </si>
  <si>
    <t>24 hour notice. Use showing assist &amp; email Ellen with questions. Rare opportunity to own on this exclusive, serene street in Rogers Park...Huge cemetery across the alley is very much a nature preserve with hugh trees, and lots of wild life!</t>
  </si>
  <si>
    <t>Big Timber west of route 47 to Ridgecrest right to Lakewood Crossing Subdivision</t>
  </si>
  <si>
    <t>Lakewood Crossing</t>
  </si>
  <si>
    <t>THE TAHOE</t>
  </si>
  <si>
    <t>Largest design in The Meadows series. The massive 2455 SQFT offers 3 Elevations to choose from,4 bedrooms,w/his/hers walk in closets in the master suite, &amp; additional walkin closets in 2 of the secondary bedrooms!Garden Expanded basement and The kitchen features a kitchen island and a limitless space that extends to the family room.Must finance w/Ryland pref. lender to receive price &amp; incentive</t>
  </si>
  <si>
    <t>Oven-Double, Dishwasher</t>
  </si>
  <si>
    <t>3%-$150 ON BASE SALE (on Net SP)</t>
  </si>
  <si>
    <t>847-683-4200</t>
  </si>
  <si>
    <t>Ryland Homes values Realtor participation.Even if your client has previously visited Lakewood Crossing, please call Sarah Leslie at the sales office or Natalee Dismuke, Listing agent.</t>
  </si>
  <si>
    <t>GREENVIEW</t>
  </si>
  <si>
    <t>WRIGHTWOOD TO GREENVIEW, NORTH TO EMBASSY CLUB ENTER COMPLEX &amp; TURN LEFT-PARK ALONG STREET</t>
  </si>
  <si>
    <t>EMBASSY CLUB</t>
  </si>
  <si>
    <t>30X88.41</t>
  </si>
  <si>
    <t>Extra wide brick SFH within beautifully landscaped Embassy Club -1 of 7 free standing homes! Lovingly maintained by original owners. Main level renovated in 2012 incl stunning chef's kitchen w/premium finishes: Subzero, Wolf, Miele. 3 lvls of expansive lvng space! Lrg mstr ste incl abundant clsts, opulent mbth, stm shw &amp; jacuzzi. Fam rm w/wbfp, full bth, 4th br cnvrtd to office w/blt-ins. Att 2-car gar+pad for 2 add</t>
  </si>
  <si>
    <t>Breakfast Room, Foyer</t>
  </si>
  <si>
    <t>Monica Canellis</t>
  </si>
  <si>
    <t>(312) 893-1337</t>
  </si>
  <si>
    <t>SHOWING ASSIST PREFERRED-24 HR NOTICE</t>
  </si>
  <si>
    <t>SMALL ASSOC FEE OF $190/MONTH - NEWER WINDOWS, FRONT DOOR, SECURITY SYSTEM, 2012 WATER HEATER &amp; CENTRAL HUMIDIFIER, 2007 MODIFIED-BITUMEN ROOF. EXCLUSIONS: DINING ROOM CHANDELIER &amp; FLATSCREEN TVâ€™S. FLOOR PLAN UNDER ADDITIONAL INFORMATION</t>
  </si>
  <si>
    <t>Cheever</t>
  </si>
  <si>
    <t>Rt31, north on 3rd St. to West on Cheever</t>
  </si>
  <si>
    <t>STUNNING</t>
  </si>
  <si>
    <t>50 X 179</t>
  </si>
  <si>
    <t>OH MY! HOW ABOUT LOCATION,CONDITION &amp; PERFECTION !! WALK TO IN-TOWN GENEVA IN A MIN. TOTAL REHAB W/STUNNING DETAIL. AN ARCHITECTURAL GENIUS. HARDWOOD THRU, SKYLIGHTS, EXPOSED BRICK, BUILT-INS, GALLERY WINDOW, VAULTED WINDOWS, BOWED WINDOW. LUXURY MASTER, GENEROUS ROOMS, GOURMET KIT, PROFESSIONAL DECOR &amp; GRACIOUS FLOW. SUN RM, BRICK PATIO, LARGE, WOODED &amp; FENCED YARD. FIN BSMT, STORAGE. and WALK TO TOWN, TRAIN &amp; RIVER</t>
  </si>
  <si>
    <t>Park/Playground, Pool, Tennis Courts, Street Paved</t>
  </si>
  <si>
    <t>Sitting Room, Sun/Florida Room Heated</t>
  </si>
  <si>
    <t>Grill-Outdoors</t>
  </si>
  <si>
    <t>PLEASE CALL 800-746-9464 - 1 HR. NOTICE PREFERRED!</t>
  </si>
  <si>
    <t>A MUST SEE HOME! YOU WILL LOVE THE UPDATES</t>
  </si>
  <si>
    <t>41W981</t>
  </si>
  <si>
    <t>Oak Hill</t>
  </si>
  <si>
    <t>Rt64 W of Randall to Brown N to Hunters Hill W2 Oak Hill R to home</t>
  </si>
  <si>
    <t>HUNTERS HILL</t>
  </si>
  <si>
    <t>306X187X283X184</t>
  </si>
  <si>
    <t>Brick front beauty on 1.25 acre in great area~Spectacular yard w/extensive pavers surrounding the inviting INGROUND POOL~Island kit w/granite counters/new SS appl~Sunken fam rm w/Wall of builtins &amp; tremendous palladium windows~1st flr 5th bdrm w/adjacent full bath~Hardwood Master w/sitting rm/walkin closet/bonus rm~Finished bmst w/bath/steam shower/sauna~Rev.osmosis~New water softener~One Block to park/prairie path!!</t>
  </si>
  <si>
    <t>Den, Foyer, Game Room, Recreation Room, Sitting Room</t>
  </si>
  <si>
    <t>Sauna/Steam Room, Hardwood Floors, 1st Floor Bedroom, 1st Floor Laundry, 1st Floor Full Bath</t>
  </si>
  <si>
    <t>Dog Run &amp;/or Invisible Fence, Brick Paver Patio, Pool In-Ground</t>
  </si>
  <si>
    <t>53X20</t>
  </si>
  <si>
    <t>35X13</t>
  </si>
  <si>
    <t>call 855-746 9200 must confirm Dog</t>
  </si>
  <si>
    <t>Invisible fence as is..</t>
  </si>
  <si>
    <t>CHEEVER</t>
  </si>
  <si>
    <t>RT 38 (STATE ST) &amp; RT 31 (1ST ST), S ON 1ST ST 2 3RD ST, RT ON 3RD TO CHEEVER, LEFT ON CHEEVER TO #</t>
  </si>
  <si>
    <t>96 X 201 X 98 X 200</t>
  </si>
  <si>
    <t>FANTASTIC LOCATION! WALKING DISTANCE TO PARKS, POOL, SHOPPING &amp; TRAIN! THIS SOLID BRICK HOME HAS BEEN IN THE SAME FAMILY SINCE BUILT IN 1951! MUCH LARGER THAN IT LOOKS DUE TO HUGE FAMILY ROOM &amp; 4TH BEDROOM/OFFICE ADDITION. 2 FIREPLACES! UPDATING IN PROGRESS, INCLUDING NEWLY REFINISHED HARDWOOD FLOORS, INTERIOR REPAINTING, NEW CARPET, NEW TUB SURROUND, ETC. SOLD AS-IS.</t>
  </si>
  <si>
    <t>Park/Playground, Pool, Tennis Courts, Street Lights, Street Paved</t>
  </si>
  <si>
    <t>Mud Room, Office, Recreation Room</t>
  </si>
  <si>
    <t>Skylight(s), Hardwood Floors, 1st Floor Full Bath</t>
  </si>
  <si>
    <t>20X24</t>
  </si>
  <si>
    <t>RE/MAX Center</t>
  </si>
  <si>
    <t>(847) 223-7878</t>
  </si>
  <si>
    <t>Dan Bundy, CNC,SFR</t>
  </si>
  <si>
    <t>(847) 231-7603</t>
  </si>
  <si>
    <t>LA CELL 847-867-5722</t>
  </si>
  <si>
    <t>THERE IS A LOT OF CLUTTER REMAINING, SO PLEASE BE CAREFUL WHEN VIEWING.</t>
  </si>
  <si>
    <t>North of I-88. Orchard to White Oak south to Hawksley east to Ritter to Moorfield.</t>
  </si>
  <si>
    <t>EDGAR</t>
  </si>
  <si>
    <t>93X13X74X130</t>
  </si>
  <si>
    <t>Under construction, ready in October. Exciting new community by K. Hovnanian Homes. Ideally located near I-88 &amp; Orchard. Fantastic floor plan. Huge kitchen with hardwood flooring, granite counters &amp; island opens to family room. 1st flr den. Formal living &amp; dining rms w/hardwd. Master suite w/2 walk in closets and luxury bath! 2nd flr. bonus room. 3 car garage. Full bsmt. Large interior lot. Photos of a model home.</t>
  </si>
  <si>
    <t>3% - $150 ON BASE PRICE PLUS $2000 BONUS (on Net SP)</t>
  </si>
  <si>
    <t>Home under construction. Go to Builder's sales office at 1201 Kilbery to get info. Open daily 11-6</t>
  </si>
  <si>
    <t>K. Hovnanian Homes</t>
  </si>
  <si>
    <t>Must register client on first visit. Price reflects incentive if using Builder's Lender. Prices and promos subject to change without notice. This home is not yet built. Still time to choose options or other floor plans.</t>
  </si>
  <si>
    <t>Vana</t>
  </si>
  <si>
    <t>ROUTE 72 TO ROUTE 31 NORTH TO MAIN ST EAST TO LORD NORTH TO OAK EAST TO VANA NORTH</t>
  </si>
  <si>
    <t>OAK MEADOWS</t>
  </si>
  <si>
    <t>BEAUTIFUL RANCH HOME IN OAK MEADOWS WITH A TRANQUIL CUL-DE-SAC LOCATION! SO MANY GREAT FEATURES INCLUDING: VAULTED CEILING, FINISHED BASEMENT, NEWLY REMODELED KITCHEN &amp; BATH, PORCELAIN TILE, NEWER DOUBLE HUNG TRIPLE PANE WINDOWS, PAVER PATIO, NEWER HOT WATER HEATER, TWO STORAGE SHEDS - ONE ON A CONCRETE SLAB WITH ELECTRIC &amp; A LOFT, AND THE LIST GOES ON!!! JUST MOVE IN AND ENJOY THIS WONDERFUL SPRAWLING RANCH HOME!!</t>
  </si>
  <si>
    <t>TV-Dish, TV Antenna, Ceiling Fan, Sump Pump, Backup Sump Pump</t>
  </si>
  <si>
    <t>Storage Shed, Dog Run &amp;/or Invisible Fence, Brick Paver Patio, Storms/Screens</t>
  </si>
  <si>
    <t>(847) 658-5000</t>
  </si>
  <si>
    <t>Lynn Loukota, GRI</t>
  </si>
  <si>
    <t>(847) 854-3551</t>
  </si>
  <si>
    <t>847-507-1685</t>
  </si>
  <si>
    <t>Call CSS 877/977-1010 to make showing appointments</t>
  </si>
  <si>
    <t>Pioneer</t>
  </si>
  <si>
    <t>North Grove Crossings  Route 23 to Northgate East to Pioneer left north</t>
  </si>
  <si>
    <t>VARNER</t>
  </si>
  <si>
    <t>75X130.31X75X130.27</t>
  </si>
  <si>
    <t>The wait is over Silverthorne Builders presents the Varner Model and will be ready for occupancy mid January. Spacious living room, kitchen with dovetail cabinets,  dishwasher, oven/range, microwave &amp; hardwood floors, master bedroom suite, master bath features walk in shower, double bowl sinks,  ceramic flooring, full basement with rough in bath and 3 car attached garage.  Lots still available for build to suit!</t>
  </si>
  <si>
    <t>CO Detectors</t>
  </si>
  <si>
    <t>Katie Morsch</t>
  </si>
  <si>
    <t>(815) 739-6694</t>
  </si>
  <si>
    <t>Silverthorne Development Corp</t>
  </si>
  <si>
    <t>Pix are of previously built. All buyers must be pre-approved and agent must register.All homes come with 1 yr builder workmanship, 2 yr fixtures and 10 yr structural warranty.</t>
  </si>
  <si>
    <t>8N681</t>
  </si>
  <si>
    <t>RANDALL RD 2 HOPPS W2 WILDWOOD S2 HOME</t>
  </si>
  <si>
    <t>WESTSCOTT ESTATES</t>
  </si>
  <si>
    <t>this property is now under auction terms. Pre-sale bids should be submitted through the auction website. This property is subject to a 5% buyerâ€™s premium pursuant to the Auction Terms &amp; Conditions (minimums may apply). Please note that the commission percentages may change between the pre-sale and auction periods so please contact listing agent to verify exact commission terms. See agent remarks for website info.</t>
  </si>
  <si>
    <t>Pond/Lake, Sidewalks, Street Paved</t>
  </si>
  <si>
    <t>Lake Front, Water View</t>
  </si>
  <si>
    <t>Foyer, Recreation Room, Utility Room-Lower Level</t>
  </si>
  <si>
    <t>49X22</t>
  </si>
  <si>
    <t>This property is now under auction terms. Pre-sale bids should be submitted through www.Auction.com. This property is subject to a 5% buyerâ€™s premium pursuant to the Auction Terms &amp; Conditions (minimums may apply).</t>
  </si>
  <si>
    <t>Addison (3600N) to Damen (2000W) north to Grace (3800N) west on Grace to home.</t>
  </si>
  <si>
    <t>Beautiful and charming Victorian in Bell School Dist! Many recent updates and move-in ready. Great yard with oversized deck and balcony off 3rd bedroom. Full finished basement with bedroom and full bath.  Spacious master bedroom, hardwood floors throughout main level, spacious attic for storage or expansion.  Walk to Brown line, shops, grocery and dining. This is the one you've been waiting for!</t>
  </si>
  <si>
    <t>Attic, Utility Room-Lower Level</t>
  </si>
  <si>
    <t>32X23</t>
  </si>
  <si>
    <t>21X44</t>
  </si>
  <si>
    <t>(847) 869-7300</t>
  </si>
  <si>
    <t>Scott Shapiro</t>
  </si>
  <si>
    <t>Fays</t>
  </si>
  <si>
    <t>Route 30 to Dugan Rd to Fays Lane to Home</t>
  </si>
  <si>
    <t>Dugan Woods</t>
  </si>
  <si>
    <t>22,651 SQ FT</t>
  </si>
  <si>
    <t>Welcome Home To Dugan Woods! Great 2 Story - 4 Bdrm, 3 Bath Beauty on Gorgeous .50 Acre Wooded Lot!  Original Owners! Sunny Eat In Kitchen Open to Family Rm w. Fireplace &amp; AWESOME Sunroom w. Vaulted Ceilings &amp; FABULOUS Views! Formal Liv Rm &amp; Din Rm, 1st Fl Full Bath &amp; Utl Rm! Master Ste w/ Private Lux Bath &amp; W/I/C! 3 More Generous Bdrms &amp; Guest Bath! Full Bsmt! Att Garage! Deck! See List of Amenities! IT'S A KEEPER!!</t>
  </si>
  <si>
    <t>Vaulted/Cathedral Ceilings, Skylight(s), 1st Floor Laundry, 1st Floor Full Bath</t>
  </si>
  <si>
    <t>12X0</t>
  </si>
  <si>
    <t>Call Appt Desk 855-919-0376</t>
  </si>
  <si>
    <t>See list of Upgrades and Amenities in MLS Addtl Info  Great home and location! Non Distressed Sale!</t>
  </si>
  <si>
    <t>Foster west of I94, to Lockwood South to 5042</t>
  </si>
  <si>
    <t>Wonderful Jefferson Park neighborhood-4 BR, 2 BTH. Double wide Chicago lot. Updates 12 yrs ago incl: 200 amps, HVAC, roof, windows &amp; kitchen. Luxurious whirlpool tub, main flr BR, huge Kitchen/Dining space, ceiling fans in all BR's. Above grade windows in bsmt. Deck off encl porch 2 car garage. Close proximity to public transp, xway and 1 block to Beaubien School.</t>
  </si>
  <si>
    <t>847-627-0039</t>
  </si>
  <si>
    <t>call showing desk 855-746-9100</t>
  </si>
  <si>
    <t>FREMONT IS ONE WAY SOUTH.  HALSTED TO DICKENS TO FREMONT.</t>
  </si>
  <si>
    <t>25.5X125</t>
  </si>
  <si>
    <t>Stunning perfection. 3 flat converted to fabulous single family home on best/charming Fremont Street. Built to the very highest quality. Amazing materials and finishes, gorgeous kitchen. Limestone countertops, huge family room. 4 fireplaces, 5 skylights, 2 car heated garage. 3 heating/cooling zones. Smashing new lower level dug out and finished in 2012. Set up as great room but could be guest suite. Fabulous yard.</t>
  </si>
  <si>
    <t>2X16</t>
  </si>
  <si>
    <t>Oven/Range, Microwave, Dishwasher, Refrigerator, High End Refrigerator, Refrigerator-Bar, Freezer, Washer, Dryer, Disposal, All Stainless Steel Kitchen Appliances, Wine Cooler/Refrigerator</t>
  </si>
  <si>
    <t>Security System, Sump Pump, Air Exchanger</t>
  </si>
  <si>
    <t>Great Room, Storage, Utility Room-Lower Level</t>
  </si>
  <si>
    <t>10X28</t>
  </si>
  <si>
    <t>Suzanne Gignilliat</t>
  </si>
  <si>
    <t>(312) 475-3134</t>
  </si>
  <si>
    <t>EMAIL SUZANNE. BROKERS' OPEN TUES 2/10 11:30AM-1PM.</t>
  </si>
  <si>
    <t>Currently set up as a 3 bed, plus office, and LL great room (but could be guest suite). Home could easily be 4 or 5 bedrooms. Close to transportation. Exclude DR/FR chandeliers, MBR drapes.</t>
  </si>
  <si>
    <t>PANAMA</t>
  </si>
  <si>
    <t>ROUTE 72 TO CENTENNIAL DRIVE TO PANAMA TO 335 PANAMA AVENUE</t>
  </si>
  <si>
    <t>67' X 127'</t>
  </si>
  <si>
    <t>THE PRIDE OF OWNERSHIP SHINES THROUGHOUT THIS STUNNING SPLIT LEVEL HOME FEATURING 4 BEDROOMS, 2.5 BATHS, 2 CAR GARAGE, PARTIALLY FINISHED BASEMENT, CERAMIC FLOORING, HARDWOOD FLOORING, CHERRY OAK CABINETS, GRANITE COUNTERTOP, MAYTAG STAINLESS STEEL APPLIANCES, STAINLESS STEEL KITCHEN SINK, WASHER &amp; DRYER, WHIRLPOOL TUB, FIREPLACE, CEILING FANS, 90% HIGH EFFICIENCY FURNACE, 50 GALLON WATER HEATER, DECK,SHED &amp; WARRANTY</t>
  </si>
  <si>
    <t>Partially Finished, Unfinished, Crawl</t>
  </si>
  <si>
    <t>Humidifier, TV-Cable, TV-Dish, CO Detectors, Ceiling Fan, Sump Pump</t>
  </si>
  <si>
    <t>Deck, Porch, Gazebo, Storms/Screens</t>
  </si>
  <si>
    <t>RealNet (Vendor Contract Needed)</t>
  </si>
  <si>
    <t>2.5% - $295.00 (on Net SP)</t>
  </si>
  <si>
    <t>Huntley Realty</t>
  </si>
  <si>
    <t>(847) 669-4010</t>
  </si>
  <si>
    <t>Thomas Hall, CRB</t>
  </si>
  <si>
    <t>(847) 669-4010x5005</t>
  </si>
  <si>
    <t>847-669-4010</t>
  </si>
  <si>
    <t>CALL SHOWINGTIME TO SHOW AT 1-800-SHOWING</t>
  </si>
  <si>
    <t>EASY TO SHOW THIS BEAUTIFUL SPLIT LEVEL. ADDITIONAL FEATURES ARE 90% EFFICIENT RHEEM FURNACE, 50 GALLON WATER HEATER, HUMIDIFIER &amp; MUCH MORE.  CALL 1-800-SHOWING TO SHOW.</t>
  </si>
  <si>
    <t>Harlem south of Belmont to Wellington east to Nottingham north to 3011</t>
  </si>
  <si>
    <t>32X146</t>
  </si>
  <si>
    <t>Bigger than it looks! Move in ready with spacious living/dining room, updated kitchen with cherry cabinets. 2 beds on and full bath on 1st floor. Plus room off kitchen could be sunroom, eating area or den! 2 beds &amp; loft on 2nd floor w/good ceiling height. Finished bsmt w/wet bar, recreation room, 2nd full bath. 2 furnaces &amp; 2 air conditioners.  Newer water heater, a/c, windows. Oversized lot with huge back yard!</t>
  </si>
  <si>
    <t>Bar, Loft, Recreation Room, Sun/Florida Room, Utility Room-Lower Level</t>
  </si>
  <si>
    <t>Mary Beirne</t>
  </si>
  <si>
    <t>(773) 435-4326</t>
  </si>
  <si>
    <t>773-775-7434 cell</t>
  </si>
  <si>
    <t>Use showing Assist or call 866-571-7181</t>
  </si>
  <si>
    <t>Dog in house. Please allow time for showing notifications.</t>
  </si>
  <si>
    <t>east/west on 63rd St to Kilbourn, 1-way north to property.</t>
  </si>
  <si>
    <t>Short sale. Brick 4 bed/2 bath ranch with family room &amp; full finished basement. Detached 2 car garage. Sold as-is. No survey or termite inspection.</t>
  </si>
  <si>
    <t>Taurino Morales, SFR</t>
  </si>
  <si>
    <t>(773) 931-8198</t>
  </si>
  <si>
    <t>24 hour notice. Text/email Listing Agent 773.931.8198 | tmorales@century21.com.</t>
  </si>
  <si>
    <t>CC: Pursuant to Short Sale. 24 hour notice for showings. Showings only Mon 5pm-8pm &amp; Wed 12pm-4pm.</t>
  </si>
  <si>
    <t>34W636</t>
  </si>
  <si>
    <t>Country Club</t>
  </si>
  <si>
    <t>DUNHAM OR RTE 25 TO COUNTRY CLUB, HOUSE ON N SIDE OF ROAD, SHARED DRIVEWAY</t>
  </si>
  <si>
    <t>283X559X314X559</t>
  </si>
  <si>
    <t>CHARMING FARMSTYLE HOME IN HISTORIC WAYNE ON 4+ ACRE WOODED LOT, ST. CHARLES SCHOOLS!FULL FNSHD WALK-OUT BASEMENT, PLMBD FOR BATH.3 FIREPLACES.KITCHEN W/BEAMED CLG, SS APPCS THAT INCL THERMADOR OVEN RANGE.MASTER W/PRIVATE BATH.BALCONY OFF SECONDARY BEDRM. ZONED FOR HORSES. BEAUTIFUL WINDING DRIVEWAY, VERY PRIVATE WOODED LOT.HARDWOOD FLRS, CENTRAL VAC. TONS OF STORAGE.</t>
  </si>
  <si>
    <t>Propane, Zoned</t>
  </si>
  <si>
    <t>Horse-Riding Area, Horse-Riding Trails</t>
  </si>
  <si>
    <t>Oven-Double, Refrigerator, Washer, Dryer, Disposal</t>
  </si>
  <si>
    <t>Nature Preserve Adjacent, Horses Allowed, Wooded</t>
  </si>
  <si>
    <t>Water-Softener Owned, Central Vacuum, Intercom, CO Detectors, Ceiling Fan, Sump Pump</t>
  </si>
  <si>
    <t>Den, Recreation Room, Sun/Florida Room, Other</t>
  </si>
  <si>
    <t>Balcony, Deck, Dog Run &amp;/or Invisible Fence, Storms/Screens</t>
  </si>
  <si>
    <t>9X24</t>
  </si>
  <si>
    <t>19X35</t>
  </si>
  <si>
    <t>Lathem</t>
  </si>
  <si>
    <t>Kirk to Wilson W to Prairie N, to  Lathem E.</t>
  </si>
  <si>
    <t>94 X 151</t>
  </si>
  <si>
    <t>Prime location across from park w/tennis/playground/base/basketball, path &amp; more! Custom, quality, maintenance free Ranch!  Sunny kitchen w/granite, island, all appliances &amp; SGD to private patio overlooking tranquil fenced yard.  Master BR w/bth &amp; 2 WIC! Great 1st floor laundry, lots of cabs. Party size  finished Recreation room, w/ can lights, &amp; a 4th BR/den plus bath. Ton's of storage! Many upgrades! GREAT value!!</t>
  </si>
  <si>
    <t>Park/Playground, Tennis Courts, Street Lights, Street Paved</t>
  </si>
  <si>
    <t>Fenced Yard, Landscaped Professionally, Park Adjacent, Wooded</t>
  </si>
  <si>
    <t>Humidifier, Water-Softener Owned, TV-Dish, Security System, CO Detectors, Ceiling Fan, Sump Pump</t>
  </si>
  <si>
    <t>Wood Laminate Floors, 1st Floor Bedroom, In-Law Arrangement, 1st Floor Laundry, 1st Floor Full Bath</t>
  </si>
  <si>
    <t>2.5-$100 (on Net SP)</t>
  </si>
  <si>
    <t>Marsha Kelleher</t>
  </si>
  <si>
    <t>(630) 527-1892</t>
  </si>
  <si>
    <t>See showing assit</t>
  </si>
  <si>
    <t>back up offers use 6.0 contract and must have pre-approval letter</t>
  </si>
  <si>
    <t>81st St to S Kedzie Ave, North on Spaulding</t>
  </si>
  <si>
    <t>VERBALLY ACCEPTED OFFER ** Bring this Brick Cape, that sits on a beautiful quiet neighborhood street, back to life. The house has a large open concept Living RM/Dining RM, Large eat in kitchen, bath, and 3 beds on the 1st floor, plus 2 large beds and ample closets on the 2nd floor. Semi finished, full basement with wet bar and bath.</t>
  </si>
  <si>
    <t>Subject to HUD Guidelines: 24 CFR 206.125. Only full priced offers can be accepted for first 180 days. Reverse Mortgage REO. EMD Made out to Stuart Kessler, PC &amp; received within 48hrs of acceptance. AS/IS, no repairs-CCC paid by Seller.</t>
  </si>
  <si>
    <t>May</t>
  </si>
  <si>
    <t>S Racine to W 90th, W 90th to S. May, S. May to House.</t>
  </si>
  <si>
    <t>This beautiful, recently rehabbed 4 bedroom, 2 1/2 bathroom brick cape cod is brimming with brand new additions. The roof, hardwood floors and mechanicals are new. Even the 2 1/2 car garage is brand new. In addition, it offers a gorgeous kitchen with stainless steel appliances and granite counters, a large finished basement and so much more. At a great price, this house is a must see that will go quickly.</t>
  </si>
  <si>
    <t>Oven/Range, Microwave, Dishwasher-Portable, Refrigerator, All Stainless Steel Kitchen Appliances</t>
  </si>
  <si>
    <t>SUMMIT TO PRESTON SOUTH TO OAKLAND EAST TO HOME</t>
  </si>
  <si>
    <t>Completed remodeled and ready for the new owner.  Bedrooms all have walk-in closets.  New roof &amp; furnace.  Some windows have been replaced about half.  New front concrete stoop.  Inside plaster was removed and drywall installed.  Extra parking in rear of home next to garage.  Close to Lords Park and is located on dead end street.  Large yard for the kids.  You won't regret seeing this one!!!</t>
  </si>
  <si>
    <t>LORDS PARK ELEMENTARY SCHOOL</t>
  </si>
  <si>
    <t>ELLIS MIDDLE SCHOOL</t>
  </si>
  <si>
    <t>Ronald Ewing, e-PRO,GRI,SFR</t>
  </si>
  <si>
    <t>(847) 429-4253</t>
  </si>
  <si>
    <t>Cell 630-215-6600</t>
  </si>
  <si>
    <t>Call Listing Office - Easy to Show</t>
  </si>
  <si>
    <t>Luis Martinez</t>
  </si>
  <si>
    <t>Deshannon</t>
  </si>
  <si>
    <t>Kirk Rd. W on Geise, S on Beckman, W on Deshannon</t>
  </si>
  <si>
    <t>95 X 151</t>
  </si>
  <si>
    <t>Fabulous brick 2 story situated on a huge lot tucked away on a cul-de-sac! Gorgeous natural cherry kitchen w/granite, large breakfast bar, eat-in kitchen with table space, ss appliances.  Cozy family room/w gas fireplace, large laundry room with folding area &amp; exterior exit. Professionally landscaped with deck and multi-level entertaining brick paver patio. Full daylight basement with high ceilings. A great home!!</t>
  </si>
  <si>
    <t>Humidifier, Water-Softener Owned, Security System, Ceiling Fan, Sump Pump, Sprinkler-Lawn</t>
  </si>
  <si>
    <t>Vinyl Siding, Brick, Cedar</t>
  </si>
  <si>
    <t>Call 1-855-746-9093 24 Hr Notice Weekdays</t>
  </si>
  <si>
    <t>Great home on a great lot!</t>
  </si>
  <si>
    <t>Chapin</t>
  </si>
  <si>
    <t>Wolf's Crossing just west of RT 30 to Devoe to Chapin</t>
  </si>
  <si>
    <t>PRESCOTT MILL</t>
  </si>
  <si>
    <t>DORCHESTER</t>
  </si>
  <si>
    <t>92'X122 X  93'X124</t>
  </si>
  <si>
    <t>Nothing to do, just move in! All new kitch w/ SS appl/granite/hdwd floors/pantry/bfast island &amp; eating area. Spacious fam room w hdwd, living/dining room, 1st flr den. 4 BDRMS up w ceiling fans, 2.5 bath. Basement just waiting to be finished, plumbed for bath. 3 car garage, sec system. Prof landscape w/both patio and deck. Fenced in yard. Community offers walking path/playground &amp; is right across from Oswego East HS.</t>
  </si>
  <si>
    <t>Corner, Landscaped Professionally</t>
  </si>
  <si>
    <t>Tess Miller</t>
  </si>
  <si>
    <t>Please text or call LA, Tess to set appointment 217-201-8000.</t>
  </si>
  <si>
    <t>Daniel Ames</t>
  </si>
  <si>
    <t>40W555</t>
  </si>
  <si>
    <t>Fox Creek</t>
  </si>
  <si>
    <t>Rt64 to LaFox Road(S) to Fox Creek Drive(W)</t>
  </si>
  <si>
    <t>105X157</t>
  </si>
  <si>
    <t>Exceptional home on a picturesque private lot backing to acres of preserved land w/water views!Extensive woodwork &amp; architectural detail thru-out!Impressive granite kitch w/commercial grade SS appls,huge island &amp; wine bar--Opens to vaulted sunrm w/spectacular views!Fam rm w/wall of blt-ins...Mbdrm suite w/luxurious bth &amp; 30x9 walk-in closet...All bdrms w/volume ceils &amp; wics...Finished bsmt w/bth...Like new condition!</t>
  </si>
  <si>
    <t>Oven/Range, Microwave, Dishwasher, Refrigerator, High End Refrigerator, Refrigerator-Bar, Disposal, All Stainless Steel Kitchen Appliances</t>
  </si>
  <si>
    <t>Humidifier, Security System, CO Detectors, Ceiling Fan, Sump Pump, Sprinkler-Lawn</t>
  </si>
  <si>
    <t>Den, Recreation Room, Sun/Florida Room Heated</t>
  </si>
  <si>
    <t>West on 115th to Carpenter, south to 116th, west to Aberdeen, north to address</t>
  </si>
  <si>
    <t>3750 SQ FEET</t>
  </si>
  <si>
    <t>NOT A FORECLOSURE****NOT A SHORT SALE....LONG TERM OWNER WELL-MAINTAINED this Brick Raised Ranch on Quiet Block near Kroc Center and Marshfield Plaza featuring: 3BRs, Hardwood Floors, Newer Furnace, Sump Pump, Full Bsmt w/4th Bedroom, Family Room, 1/2 Bath &amp; Rear Patio. Investors,THIS IS AN EASY ONE! Homeowners, THIS CAN BE YOURs FOR LESS THAN RENT! SOLD AS-IS, NO TERMITE NOR SURVEY, 100% TAX Proration</t>
  </si>
  <si>
    <t>Earick Rayburn</t>
  </si>
  <si>
    <t>(773) 968-6263</t>
  </si>
  <si>
    <t>Call LO: 708-798-1333</t>
  </si>
  <si>
    <t>EM TO BE CERTIFIED FUNDS MADE PAYABLE TO RE/MAX SYNERGY. EMAIL or FAX offers to erayburn78@gmail.com or 773-966-2747</t>
  </si>
  <si>
    <t>Gregory</t>
  </si>
  <si>
    <t>WASHTENAW TO GREGORY EAST TO 2607</t>
  </si>
  <si>
    <t>PROFESSIONAL REHAB. ALL BRICK 4 BD/ 3 BATH W/ FINISHED BASEMENT. VERY LARGE KITCHEN W/ STAINLESS STEEL GE APPLIANCES AND  CERAMIC FLOORING. 1ST FLOOR FEATURES; LR, DR, FULL BATH, BD#4. 2ND FLR FEATURES; 3 BD/ HRDWD FLOOR BEAUTIFULLY RE-FINISHED, MASTR BD W/ ATTACHED BATH, AND HALL COMMON BATH. BASEMENT FEATURES; VERY SPACIOUS PLAY ROOM, FR, AND LAUNDRY. 2 CAR GARAGE TO BUILT NEW WEATHER PERMITTING INCLD IN LIST PRICE</t>
  </si>
  <si>
    <t>James Bellavia</t>
  </si>
  <si>
    <t>(847) 641-8414</t>
  </si>
  <si>
    <t>SHOW WITH CONFIDENCE. 2 CAR GARAGE TO BUILT NEW WEATHER PERMITTING INCLUDED IN LIST PRICE</t>
  </si>
  <si>
    <t>Eisenhower to Homan, West to Central Park, right to address</t>
  </si>
  <si>
    <t>Geraldine Blair</t>
  </si>
  <si>
    <t>(312) 730-4299</t>
  </si>
  <si>
    <t>Contact agent 312 730-4299</t>
  </si>
  <si>
    <t>WHIPPLE</t>
  </si>
  <si>
    <t>Armitage Avenue West, past Humboldt Blvd and then South on Whipple</t>
  </si>
  <si>
    <t>25 X 150</t>
  </si>
  <si>
    <t>Well appointed 4BR/3.1 Bath home on 25x150 deep lot in Logan Square. Upgraded kitchen w/42" cabinets, granite &amp; GE Monogram SS appliances. Family room off kitchen leads to deck. Pantry closets for plenty of storage. Spacious master suite w/fireplace &amp; large spa bath. Home features HW floors on main level &amp; bedrooms. 2nd floor laundry room. Lower level rec room with radiant heat, wet bar &amp; fridge. Block to 606 Trail!</t>
  </si>
  <si>
    <t>18X09</t>
  </si>
  <si>
    <t>Ken Jungwirth</t>
  </si>
  <si>
    <t>(773) 398-5585</t>
  </si>
  <si>
    <t>773-398-5585 CELL</t>
  </si>
  <si>
    <t>Call or text Ken at 773-398-5585 or email kjungwirth@atproperties.com</t>
  </si>
  <si>
    <t>Well maintained home with newer roof (2 years old), sump pump, and great curb appeal. All Pella windows and great quality finishes throughout. Floorplan is located in the additional information tab.</t>
  </si>
  <si>
    <t>Trumbull</t>
  </si>
  <si>
    <t>5900 S , E or W to Trumbull , North to address</t>
  </si>
  <si>
    <t>PRICE REDUCED !!  Solid brick bungalow style home with upper level . Features include formal dining room, hardwood floors, finished basement  extended exterior bricked patio and detached 2 car garage. This is a Fannie Mae HomePath property.</t>
  </si>
  <si>
    <t>read additional information: read tips for selling agents, Include LBP in all offers.</t>
  </si>
  <si>
    <t>Fullerton to Central Park South to Belden West to Monticello North.</t>
  </si>
  <si>
    <t>4687 SQUARE FEET</t>
  </si>
  <si>
    <t>This lovely, recently rehabbed 4 bedroom, 4 bathroom home is filled with special features and new additions. The kitchen boasts stainless steel appliances, granite counters and upgraded cabinets. Hardwood floors cover the entire first and second floors. With central air conditioning, a 2-car garage, a great price and a whole lot more, this house is truly a must-see.</t>
  </si>
  <si>
    <t>Medford</t>
  </si>
  <si>
    <t>ROUTE 31 SOUTH OF SPRING STREET TO CONCORD WEST TO MEDFORD NORTH TO HOME</t>
  </si>
  <si>
    <t>WILDMEADOW</t>
  </si>
  <si>
    <t>BLUEBIRD</t>
  </si>
  <si>
    <t>Meticulously maintained 4 bdrm 2 story with full finished basement and 3 car garage.  Sun drenched kitchen with SS appliances, formal dining room, 1st floor family room, 2 in-home offices, giant sized rec room in basement and more! New windows throughout, custom-designed patio with awning and gas-grill for entertaining.  Private master suite with luxury bath. Home shows pride of ownership throughout. Normal Sale.</t>
  </si>
  <si>
    <t>CLINTON ELEMENTARY SCHOOL</t>
  </si>
  <si>
    <t>Washer, Dryer, Disposal, All Stainless Steel Kitchen Appliances</t>
  </si>
  <si>
    <t>Vinyl Siding, Cedar</t>
  </si>
  <si>
    <t>Vaulted/Cathedral Ceilings, Skylight(s), Bar-Wet, Wood Laminate Floors</t>
  </si>
  <si>
    <t>Kevin Forkin</t>
  </si>
  <si>
    <t>630-830-9100</t>
  </si>
  <si>
    <t>CALL LISTING OFFICE 630-830-9100</t>
  </si>
  <si>
    <t>THOMAS HITE</t>
  </si>
  <si>
    <t>PULASKI SOUTH OF ADDISON TO EDDY</t>
  </si>
  <si>
    <t>BEAUTIFUL SFH. 4BR/3.1BA &amp; 2 CAR GAR. LARGE OPEN FLOOR PLAN.  EAT-IN KITCHEN W/COOKTOP ISL, 42"CHERRY CABINETS, GRANITE COUNTERS &amp; SS APPLS. STEP DOWN FAMILY ROOM W/FIREPLACE &amp; LARGE DECK. HDWD FLOORS THRUOUT. MSTR SUITE W/2 LARGE HIS/HER WALK-IN CLOSETS, BALCONY, JACUZZI, SEP SHOWER &amp; DOUBLE VANITY. LOWER LEVEL REC RM W/FPL, BAR. FULL BATH W/DOUBLE SHOWER. GREAT LOCATION, CLOSE TO HIGHWAY &amp; WALK TO BLUE LINE TRAIN.</t>
  </si>
  <si>
    <t>Skylight(s), Bar-Dry, Hardwood Floors, 2nd Floor Laundry</t>
  </si>
  <si>
    <t>45X17</t>
  </si>
  <si>
    <t>Kyle Jamicich</t>
  </si>
  <si>
    <t>(773) 220-2402</t>
  </si>
  <si>
    <t>Email Kyle.Jamicich@CBExchange.com with showing request</t>
  </si>
  <si>
    <t>Nick and Nikki Cioffi</t>
  </si>
  <si>
    <t>WHIRLAWAY</t>
  </si>
  <si>
    <t>Orchard Rd S to Rt. 30 W to Gordon S to Secreteriat W to Whirlaway</t>
  </si>
  <si>
    <t>Welcome Home!! Gorgeous Home Offering 4 Bedrooms, Plus 1st Floor Office/Den &amp; 2nd Flr Loft! Gourmet Kitchen w/ Hardwood Flrs, Granite, Upgraded Appls, Custom Cabinetry, Lighting &amp; Island! Family Rm w/ Fireplace! 2 Story Formal Living Room, Formal Dining &amp; 1st Fl Office &amp; Utility Room! Huge Master Ste w/ WIC &amp; Lux Master Bath! Over 3100 Sq Ft of Living Space in Turn Key Condition! Full Unfin Bsmt &amp; 3 Car Garage! WOW!</t>
  </si>
  <si>
    <t>Den, Foyer, Loft, Utility Room-1st Floor</t>
  </si>
  <si>
    <t>6X20</t>
  </si>
  <si>
    <t>Call Showing time 855-919-0376</t>
  </si>
  <si>
    <t>IMPRESSIVE HOME FOR THE PRICE! Standard sale - show with CONFIDENCE!! Garage Shelving excluded please. See Additional Upgrades in MLS ** Ask About Buyer Broker Bonus for Accepted Offer by 4/30/2015***</t>
  </si>
  <si>
    <t>Armitage to Fremont one way south to 1834</t>
  </si>
  <si>
    <t>Larger than it looks! Move right in to this stunning &amp; adorable brick house in A+ Lincoln Pk location*Updated finishes throughout*Open chefâ€™s kitchen featuring Viking/Sub-Zero/Bosch and eat-in corner banquet walks out to Fabulous backyard w/awesome two level patio/garage rooftop deck*Dramatic 2nd floor family rm w/vaulted ceilings*Sumptuous master bath-Jacuzzi &amp; steam*Surround sound*Walk to it all!</t>
  </si>
  <si>
    <t>Balcony, Deck, Gallery, Walk In Closet</t>
  </si>
  <si>
    <t>Vaulted/Cathedral Ceilings, Skylight(s), Hardwood Floors, 1st Floor Bedroom, 2nd Floor Laundry, 1st Floor Full Bath</t>
  </si>
  <si>
    <t>Balcony, Deck, Patio, Porch, Roof Deck, Storms/Screens</t>
  </si>
  <si>
    <t>Wood Burning, Attached Fireplace Doors/Screen, Gas Starter, Decorative Only</t>
  </si>
  <si>
    <t>Garage Door Opener(s), Heated, 7 Foot or more high garage door</t>
  </si>
  <si>
    <t>Gallery</t>
  </si>
  <si>
    <t>Scott Stavish</t>
  </si>
  <si>
    <t>(773) 879-4444</t>
  </si>
  <si>
    <t>LR f-place decorative only*DR Chandelier EXCL*Easement for 1836 Fremont to alley*Bsmt is exterior access only*Unfinished appx 6' ceiling height*floor plans on additional info tab</t>
  </si>
  <si>
    <t>E 100th St to S Calumet Ave. South to address.</t>
  </si>
  <si>
    <t>This beautiful, recently rehabbed 4 bedroom, 3 bathroom brick Cape Cod is overflowing with new features and special additions. The gorgeous kitchen offers stainless steel appliances, granite counters and upgraded cabinets. The second floor features a large master suite, and the basement has been completely refinished. With a 2-car garage and all the bells and whistles, it's a must-see!</t>
  </si>
  <si>
    <t>Broadland</t>
  </si>
  <si>
    <t>***QUICK MOVE IN*! Impressive 2799 sq. ft.home w/large country kitchen w/huge island-stainless steel appliances and tall upgraded cabinets. This home has large open family room a roomy living room/dining room area. Upstairs has a private master bedroom w/ 5 ft.shower second family room (14x21) with upstairs laundry and 4 spacious bedrooms. Live in a clubhouse community in a beautiful new- minutes from the expressway</t>
  </si>
  <si>
    <t>Central Air, Garage, Upgrade Carpet/Pad/Vinyl, Wood Laminate Flooring, Upgraded Insulation</t>
  </si>
  <si>
    <t>Call 847-984-4883</t>
  </si>
  <si>
    <t>come to sales center upon fist visit. Schedule a showing call 847-984-4883. Located @ 1331 Newport C</t>
  </si>
  <si>
    <t>Please register clients on first visit on first visit. Please call for further information 847-984-4883. Open daily. Sales center located at 1331 Newport Ct in Pingree Grove</t>
  </si>
  <si>
    <t>CHESNEY</t>
  </si>
  <si>
    <t>RT47 2 WHEELER 2 HAMPSTEAD 2 VALE TURNS INTO CHESNEY OR RT47 2 W PARK 2 HAMPSTEAD 2 OXFORD 2 CHESNEY</t>
  </si>
  <si>
    <t>Windsor West</t>
  </si>
  <si>
    <t>NORWICH</t>
  </si>
  <si>
    <t>LOCATION LOCATION! Welcome to this 4 bedroom 2 1/2 bath 3/car garage home with full English basement backing to the park, playground &amp; walking path~Formal living &amp; dining rms w/butler pantry~Spacious kitchen w/Maple cabs, island, planning desk, stainless appl &amp; tile floors~Family rm w/fireplace overlooks the fenced yard &amp; acres of park &amp; open space~Master Bedroom w/huge WIC &amp; luxury bath~convenient to shopping &amp; I88!</t>
  </si>
  <si>
    <t>Fenced Yard, Park Adjacent</t>
  </si>
  <si>
    <t>CALL SHOWING TIME AT 855-919-0376 MUST CONFIRM - OCCUPIED - PREFER SOME NOTICE FOR PET</t>
  </si>
  <si>
    <t>This house has been very gently lived in and is a blank pallet for your buyer, like new construction would be....but more affordable with the upgrades and location compared to new! SSA is dormant and $0 and shows in taxes yearly as $0.</t>
  </si>
  <si>
    <t>ODELL</t>
  </si>
  <si>
    <t>ADDISON TO ODELL NORTH TO PROPERTY</t>
  </si>
  <si>
    <t>Here it is, Gorgeous newer construction home! 2 story brick features 4 br's, 3.5 bth's.1st= Open floor plan ,Kitchen with SS Appliances, Island, 42" Designer Cabinets,Slider to deck,Powder Room,Fireplace, Beautiful Hdwd floors through out. 2nd = 3 Bedrooms,Master and a Full Bath with high end Tiles and Fixtures. Finished Lower has 1 bedroom full bath ,very nice.Huge garage ,Dual zoned HVAC, Central Vac, huge closets!</t>
  </si>
  <si>
    <t>20X42</t>
  </si>
  <si>
    <t>15X42</t>
  </si>
  <si>
    <t>Humidifier, Central Vacuum, Security System, Intercom, CO Detectors, Sump Pump</t>
  </si>
  <si>
    <t>2.25%- 175 (on Net SP)</t>
  </si>
  <si>
    <t>Hometown Real Estate Group LLC</t>
  </si>
  <si>
    <t>George Khalaf</t>
  </si>
  <si>
    <t>(773) 590-6272</t>
  </si>
  <si>
    <t>call LA-773-590-6272</t>
  </si>
  <si>
    <t>0wner of record</t>
  </si>
  <si>
    <t>Lovely newer home with modern amenities. A pleasure to show. Intercom, central vac, alarm system. Your buyer will love the finished lower level as well.</t>
  </si>
  <si>
    <t>Washburn</t>
  </si>
  <si>
    <t>Mclean Blvd go east on Lillian St, south on S. commonwealth Ave, east on washburn st</t>
  </si>
  <si>
    <t>66' X 138'</t>
  </si>
  <si>
    <t>WOW!! Beautiful remodeled four bedroom home. Brand new windows, architectural shingles, water heater, stainless steel appliances, counters tops with back splash, bathrooms fully tiled, and carpet. Full finished basement and a huge fenced in back yard with extra storage. Don't miss your opportunity, will go fast!</t>
  </si>
  <si>
    <t>32X13</t>
  </si>
  <si>
    <t>Grid 7 Properties</t>
  </si>
  <si>
    <t>(800) 581-2471</t>
  </si>
  <si>
    <t>Christopher Davis</t>
  </si>
  <si>
    <t>(847) 489-3476</t>
  </si>
  <si>
    <t>click schedule a showing</t>
  </si>
  <si>
    <t>vacant and very easy to show. No FHA contracts in till 4/7/15 due to new anti flip rule. Property is Agent owned!</t>
  </si>
  <si>
    <t>Glenwood</t>
  </si>
  <si>
    <t>Irving to Orchard South To Countryside West to Glenwood, South</t>
  </si>
  <si>
    <t>50X120</t>
  </si>
  <si>
    <t>Bank owned, as is. Bank financing available for qualified buyers!</t>
  </si>
  <si>
    <t>BANK WILL RESPOND SAME DAY. AGENT COMMISSION GUARANTEED. BUYER RESPONSIBLE FOR ANY FEES INCURRED FOR INSPECTIONS/WINTERIZING/DE-WINTERIZING. SEND ALL OFFERS TO LOBRILLO@KOMBRINK.COM</t>
  </si>
  <si>
    <t>HARLEM AVENUE NORTH OF BELMONT TO SCHOOL, EAST TO PROPERTY</t>
  </si>
  <si>
    <t>LARGE BRICK 1 STORY WITH VAULTED CEILINGS AND HARDWOOD FLOORING THROUGHOUT. 4 BEDROOMS, 3 FULL BATHS, FINISHED BASEMENT AND A DETACHED 2 CAR GARAGE.  FRESHLY PAINTED, NEWER APPLIANCES AND 42" OAK KITCHEN CABINETRY. FINISHED BASEMENT HAS A KITCHEN, FULL BATHROOM, REC ROOM.  THIS IS A FANNIE MAE HOMEPATH PROPERTY. SHOW AND SELL!</t>
  </si>
  <si>
    <t>BUYER IS RESPONSIBLE FOR ANY CITY CODE VIOLATIONS, IF ANY. THE SELLER HAS REQUESTED THAT ALL OFFERS BE MADE USING THE HOMEPATH ONLINE OFFER SYSTEM. GO TO HOMEPATH.COM PLEASE EMAIL POF/APPROVAL TO AGENT.</t>
  </si>
  <si>
    <t>Wilson</t>
  </si>
  <si>
    <t>Wilson Ave. (4600N) west of Western (2400W). SE corner of Artesian.</t>
  </si>
  <si>
    <t>*LINCOLN SQUARE* Sunny corner lot w/big yard. 1904 farmhouse just vacated by long-time owner. 2200sf + full bsmt + full walk-up attic. Rehab it for its 2nd 100 yrs! Stained &amp; leaded glass, hardwood floors, oak staircase, hi ceilings. South facing master w/its own private deck. Each bdrm w/large closets. Wide corner lot + wrap-around porch = abundant sunshine.</t>
  </si>
  <si>
    <t>WATERS ELEMENTARY SCHOOL</t>
  </si>
  <si>
    <t>NORTHSIDE COLLEGE PREPARATORY SENIOR HIGH SCHOOL</t>
  </si>
  <si>
    <t>Balcony, Deck, Porch</t>
  </si>
  <si>
    <t>Mary Nack, CRS,GRI</t>
  </si>
  <si>
    <t>(773) 837-7008</t>
  </si>
  <si>
    <t>Property sold "As Is" "Where Is"</t>
  </si>
  <si>
    <t>KEYSTONE</t>
  </si>
  <si>
    <t>KEYSTONE IS 1-WAY NORTH FROM WILSON</t>
  </si>
  <si>
    <t>24.5X125</t>
  </si>
  <si>
    <t>ANOTHER JUST COMPLETED INSITE DEVEL. HOME! STEPS TO SHOPS/RESTAURANTS &amp; EZ ACCESS TO XPRSWY,EL ETC FROM THIS NEW CONSTR 4BD+FAM RM+REC RM+DEN/3.1BA X-WDE HOME IN HOT MAYFAIR W/3BDS/2BA &amp; LNDRY UP W/GREAT CLSTS;HDWD FLRS T/O MAIN LIV AREA;CSTM MPLE/GRNT/SS KIT OPNS TO LRGE FAM RM;SPA-CLBR STNE BTHS T/O INCL MSTR W/SEP SHWR &amp; JET TUB;LRG BACK YD &amp; DECK;2-CAR GAR;LL W/ REC ROOM &amp; 4TH BDRM+DEN;ASK ABOUT OTHER ADDRESSES!</t>
  </si>
  <si>
    <t>HAUGAN ELEMENTARY SCHOOL</t>
  </si>
  <si>
    <t>ROOSEVELT HIGH SCHOOL</t>
  </si>
  <si>
    <t>Gas, Forced Air, Indv Controls, Zoned</t>
  </si>
  <si>
    <t>Central Air, Hardwood/Ceramic Floors, Landscaping, Upgrade Carpet/Pad/Vinyl, Upgrade Interior/Exterior Doors, Zoned Heating/Cooling</t>
  </si>
  <si>
    <t>Den, Deck, Utility Room-Lower Level, Walk In Closet, Terrace, Recreation Room, Foyer</t>
  </si>
  <si>
    <t>06X05</t>
  </si>
  <si>
    <t>17X06</t>
  </si>
  <si>
    <t>PLS SEE VIRTUAL TOUR LINK FOR INTERACTIVE FLOOR PLAN;ASK ABOUT OTHER UPCOMING ADDRESSES BY INSITE DEVELOPMENT</t>
  </si>
  <si>
    <t>ROYAL OAKS</t>
  </si>
  <si>
    <t>RT 34 TO BRISTOL RIDGE RD  TO ROYAL OAKS DRIVE</t>
  </si>
  <si>
    <t>WOODS OF BLACKBERRY OAKS</t>
  </si>
  <si>
    <t>1.3 ACRES</t>
  </si>
  <si>
    <t>CUSTON HOME ON 1.3 ACRE CUL-DE-SAC LOT ADJACENT TO BLACKBERRY OAKS GOLF COURCE.90 ACRE CONSERVATORY BACKS TO THE PROPERTY. 2 STORY FOYER,VAULTED FAMILY RM,KITCHEN HAS GRANITE AND SS/APPLIANCES. NEW PAINT AND CARPET,FIRST FL DEN,LARGE MASTER SUITE WITH PRIVATE DECK, FULL FINISHED LOOKOUT BASEMENT W WET BAR AND MEDIA AREA, 3.5 BATHS,HEATED 3 CAR GARAGE, NEW DECKS,ALL ON THE BEST LOT IN THE SUBDIVISION STUNNING VIEWS</t>
  </si>
  <si>
    <t>Cul-de-sac, Landscaped Professionally, Stream, Water View, Wooded</t>
  </si>
  <si>
    <t>Mary Beth Schultz</t>
  </si>
  <si>
    <t>(630) 637-2591</t>
  </si>
  <si>
    <t>630.637.2591</t>
  </si>
  <si>
    <t>Please call agent to show 630.637.2591</t>
  </si>
  <si>
    <t>110th st to Sawyer. Sawyer South to Home.</t>
  </si>
  <si>
    <t>40X134</t>
  </si>
  <si>
    <t>This 4 Bedroom 3 Bath house has it all.  Plenty of updates including new paint, hardwood floors refinished, and new bathroom.  Plenty of entertaining in the walk out basement that features a wet bar.  The back yard features a pool (gas line for heater), deck and a 3 car garage (gas line for heat).  The master bedroom features vaulted ceiling, a walk in closet with 2 additional closet and a master bath!!!!</t>
  </si>
  <si>
    <t>Nicholas Sellis</t>
  </si>
  <si>
    <t>(773) 616-7362</t>
  </si>
  <si>
    <t>Lydigsen &amp; Zaro</t>
  </si>
  <si>
    <t>86th</t>
  </si>
  <si>
    <t>East or west on 87th street to Lawndale, north on lawndale, East on 86th st</t>
  </si>
  <si>
    <t>EYE CANDY ADMAZING REHABBED PROPERTY W/ 4 BDRMS &amp; 1 FULL BATHROOM, , BEAUTIFUL BAMBOO HARDWOOD FLRS ON KITCHEN AND LIVINGROOM. STUNNING KITCHEN W/, GRANITE COUNTERS &amp; SS APPLIANCES. LOW TAXES. GREAT PROPERTY FOR GREAT PRICE.</t>
  </si>
  <si>
    <t>2.5 % - 200 (on Net SP)</t>
  </si>
  <si>
    <t>CALL LISTING AGENT AT 773-936-0854</t>
  </si>
  <si>
    <t>KING TO 100TH W TO FOREST S TO ADDRESS</t>
  </si>
  <si>
    <t>THIS COULD BE A SHINING GEM! GREAT HOME WITH NICE CURB APPEAL, GREAT BLOCK, NICE LAYOUT  NEEDS WORK BUT ONE LOOK WILL CONVINCE YOU TO MAKE THIS YOUR OWN.  PROPERTY SUBJECT TO FREDDIE MAC FIRST LOK PROPGRAM THRU 3/14/2015.  THE SELLER HAS NOW VERBALLY ACCEPTED AN OFFER</t>
  </si>
  <si>
    <t>CALL 773 233 4700</t>
  </si>
  <si>
    <t>EMAIL OFFERS TO BARB@PRSREALTORS.COM USE ATTACHED CONTRACT PACKAGE. ALL PERSONS WHO ENTER PROPERTY MUST SIGN HOLD HARMLESS FOR DISCOLORATION IN PROPERTY</t>
  </si>
  <si>
    <t>63RD TO TROY</t>
  </si>
  <si>
    <t>SOLD BEFORE PROCESSING</t>
  </si>
  <si>
    <t>Wilk Real Estate</t>
  </si>
  <si>
    <t>(815) 230-5356</t>
  </si>
  <si>
    <t>Sebastian Kupiec</t>
  </si>
  <si>
    <t>SOLD</t>
  </si>
  <si>
    <t>OWNER ON RECORD</t>
  </si>
  <si>
    <t>Rt 72 to Tyrrell Rd to Town Center Blvd to Jackson Ct.</t>
  </si>
  <si>
    <t>HAS VERBALLY ACCEPTED OFFER.  Exceptional 4 bedroom with loft. Cul de Sac location backing up to open land area. Home in excellent location with hardwood flooring, granite kitchen counters, new carpet, and interior paint. Family room with fireplace. Master suite. Lookout basement ready for finishing. Freddie Mac Owner occupied First Look Program through March 19th, 2015. Home sold "AS IS".</t>
  </si>
  <si>
    <t>Central Vacuum, TV-Cable, TV-Dish, Security System, CO Detectors, Ceiling Fan, Sump Pump</t>
  </si>
  <si>
    <t>Easy to Show. Use Listing Showing Button.</t>
  </si>
  <si>
    <t>Write all offers on Modified 6.0 Contract in Additional Information.</t>
  </si>
  <si>
    <t>NATOMA</t>
  </si>
  <si>
    <t>ON THE CORNER OF ADDISON AND NATOMA</t>
  </si>
  <si>
    <t>BANK OWNED NEWER CONSTRUCTION 2 STORY BRICK CORNER HOUSE. HOME FEATURES 4 BEDROOMS, 3.5 BATH, FINISHED BASEMENT, REAR DECK AND 2 CAR GARAGE. PROPERTY NEEDS WORK. SOLD "AS IS" CONDITION WITH NO WARRANTIES/ REPRESENTATIONS BY SELLER &amp; LISTING OFFICE. SELLER DOES NOT PROVIDE DISCLOSURES. PROOF OF FUNDS/PRE-APPROVAL MUST BE SUBMITTED WITH OFFERS. SELLER'S ADDENDUMS REQUIRED AFTER ACCEPTANCE. TAXES PRORATED 100%</t>
  </si>
  <si>
    <t>Exception(s), Variable</t>
  </si>
  <si>
    <t>Mera Kordic, SFR</t>
  </si>
  <si>
    <t>(773) 388-8505</t>
  </si>
  <si>
    <t>Offer verbally accepted. Paperwork pending. CLICK ON SCHEDULE A SHOWING BELOW</t>
  </si>
  <si>
    <t>BANK OWNED</t>
  </si>
  <si>
    <t>SEE ADDITIONAL INFO TAB FOR OFFER INSTRUCTIONS. Seller requested buyer contact designated Chase LO,Dominic Condotti at 773.283.4380 for mortgage pre-qual. Plumbing missing at time of listing, property cannot be dewinterized.</t>
  </si>
  <si>
    <t>Leona</t>
  </si>
  <si>
    <t>Caldwell west of Cicero or East of Central to Leona</t>
  </si>
  <si>
    <t>WARM AND INVITING HOME IN EDGEBROOK! HARDWOOD FLS  THROUGHOUT. CHARMING DETAILS -COVED CEILING, ARCHED DOORWAYS. FAMILY ROOM WITH ADORABLE VINTAGE STONE FIREPLACE. LARGE UPDATED KITCHEN PERFECT FOR ENTERTAINING WITH GRANITE COUNTER TOPS, SS APPL AND EAT IN AREA. GENEROUS SIZE MASTER BR WITH SITTING AREA.  BEAUTIFULLY LANDSCAPED BACKYARD WITH BRICK PAVERS PATIO. IDEAL LOCATION CLOSE TO EXPRESSWAY,METRA AND GOLF COURSE</t>
  </si>
  <si>
    <t>Full, Pull Down Stair</t>
  </si>
  <si>
    <t>Landstar Realty Group Inc.</t>
  </si>
  <si>
    <t>(847) 847-1210</t>
  </si>
  <si>
    <t>Maria Carabetta</t>
  </si>
  <si>
    <t>(847) 878-6342</t>
  </si>
  <si>
    <t>Use showing/assist or call LA</t>
  </si>
  <si>
    <t>Blossom</t>
  </si>
  <si>
    <t>RT 34 TO RT 71 TO PARADISE PKWY- TERRACE-CARNATION W TO BLOSSOM</t>
  </si>
  <si>
    <t>ARBOR GATE</t>
  </si>
  <si>
    <t>RAINTREE</t>
  </si>
  <si>
    <t>69.33X19.25X143.62X70.31X42.45X107.5</t>
  </si>
  <si>
    <t>WOW! Thats all you can say about this completely updated home. Features r bedrooms, 2.1 baths, fireplace, full basement and 2 car attached garage. New kitchen flooring, cabinets, appliances and granite counters. New fireplace facade, new hardwood flooring, carpeting and half bath on the first floor. Updated railing with iron balusters. The master bath has been updated with leather granite, walk-in shower. Must see!</t>
  </si>
  <si>
    <t>New England</t>
  </si>
  <si>
    <t>OAK PK N. TO BLOOMINGDALE, W TO NEW ENGLAND N TO PROPERTY</t>
  </si>
  <si>
    <t>JUMBO BRICK SINGLE FAMILY. LARGE L/R W F/P. FORMAL D/R. FULL BSMT, LOTS OF STORAGE SPACE. 2 CAR GAR.</t>
  </si>
  <si>
    <t>Peter Koconis</t>
  </si>
  <si>
    <t>(773) 897-0610</t>
  </si>
  <si>
    <t>EMAIL occ@risingrealty.com with Agent ID, date/time of showing.</t>
  </si>
  <si>
    <t>Offers via email to offers@risingrealty.com. Information NOT guaranteed.</t>
  </si>
  <si>
    <t>Arch</t>
  </si>
  <si>
    <t>Archer Ave. to Lock St to Lyman; East on Lyman to Arch St; North to Home; Arch St. is One Way North.</t>
  </si>
  <si>
    <t>24X98</t>
  </si>
  <si>
    <t>Brand new solid brick home, Close to Archer. 2 zone heating and cooling. Hardwood floor and stairs thru. out first and second floor. Master bathroom with whirlpool and separate shower. Finished basement.  2 car garage.</t>
  </si>
  <si>
    <t>2%-$250 (on Net SP)</t>
  </si>
  <si>
    <t>Alice Tse</t>
  </si>
  <si>
    <t>Call office or email: alice@landmarkproperty.net, 24 hrs notice</t>
  </si>
  <si>
    <t>Andrew</t>
  </si>
  <si>
    <t>RT30 TO LAKEWOOD CREEK L OAKMONT R CALIENDO R ROSEMARY</t>
  </si>
  <si>
    <t>60.42X126.47X58,16X25.83X129.27</t>
  </si>
  <si>
    <t>This Home Has It All! Huge Floorplan offering almost 2500 sq ft AND a Finished Basement! Eat In Kit Opens to FR! Fresh Paint &amp; Carpeting in BRs, LR, DR, &amp; Den! Private Mstr Ste w/Deluxe Bath! Fin Bsmnt boasts Large Rec Room with Built-In Cabinetry, Office &amp; 1/2 Bath! Enjoy Entertaining in the Fenced Backyard with Paver Patio!  Pool/Clubhouse/Tennis/Parks &amp; Elementary in the Subdivision! District #308 School</t>
  </si>
  <si>
    <t>Call 877-977-1010 for appointment.</t>
  </si>
  <si>
    <t>QUICK before it's gone!  Being Sold as-is.  SA tax until 2030. SA Bill for 2015 $1,792. Combined taxes for property for 2013 was $7,115. Quick Close!</t>
  </si>
  <si>
    <t>I-90/94 to N CICERO AVE to W GRACE ST to HOME</t>
  </si>
  <si>
    <t>3720SQFT</t>
  </si>
  <si>
    <t>Location, Location, Location. Amazing complete rehab featuring dark hardwoods, new front porch, gorgeous kitchen and baths, and an incredible amount of flex space for added bedrooms, family room, office space, studio. On a quiet street, spacious yard with privacy fence, and a two car garage.  New mechanicals, windows and fixtures.  Close to Six Corners shopping &amp; restaurants, Portage Park, Metra, 90/94, schools.</t>
  </si>
  <si>
    <t>Loft, Sun/Florida Room Heated</t>
  </si>
  <si>
    <t>60X10</t>
  </si>
  <si>
    <t>Steven Schnur</t>
  </si>
  <si>
    <t>(312) 560-4288</t>
  </si>
  <si>
    <t>Please use Showing Assist for showings.  Email LA with any questions.</t>
  </si>
  <si>
    <t>Settlement</t>
  </si>
  <si>
    <t>Route 38 to North on County Line Rd to East on Ashton Dr to Settlement</t>
  </si>
  <si>
    <t>134X75</t>
  </si>
  <si>
    <t>OPEN FLOOR PLAN ideal for entertaining. Kitchen boasts Cherry cabinetry. Opens to family room w/fireplace. Spacious pantry/laundry &amp; office on main level. Master suite features  master bath w/double sinks &amp; 2 WALK-IN CLOSETS! 2nd level offers second suite w/bath &amp; walk-in closet. All bedrooms have walk-in closets! Large loft w/2 storage closets! MISSION STYLE windows &amp; custom window treatments. 3530sqft of living spc</t>
  </si>
  <si>
    <t>Handicap Shower, Double Sink</t>
  </si>
  <si>
    <t>Estate Trustee approval needed on offers.   Trustee is very easy to work with - Make offer with confidence.  All appliances are AS-IS.</t>
  </si>
  <si>
    <t>LYMAN LOOP</t>
  </si>
  <si>
    <t>RT. 34/AMERICAN/GRANDE LEFT/BURR LEFT/LYMAN LOOP LEFT</t>
  </si>
  <si>
    <t>79X153X36X76X103</t>
  </si>
  <si>
    <t>YOU WILL LOVE THIS SPACIOUS, OPEN FLOOR PLAN! GORGEOUS HOME W/HUGE, FENCED YARD BACKING TO A POND!  FORMAL LIV/DINING RMS W/HARDWOOD FLRS. 9 FOOT CEILINGS, UPGRADED DOORS &amp; HARDWARE. 1ST FLR DEN/5TH BDRM.  BIG FMLY RM W/FIREPLACE. GREAT KITCHEN W/CENTER ISLAND, SS APPL &amp; TONS OF CABINET SPACE. HUGE MSTR W/2 WIC'S &amp; LUX BATH.  BDRMS 2 &amp; 3 HAVE WIC'S. FULL, ENGLISH BSMT! POOL, CLUBHOUSE &amp; PARK IN SUBDIV. WARRANTY INC.</t>
  </si>
  <si>
    <t>Fenced Yard, Pond, Water View</t>
  </si>
  <si>
    <t>Den, Utility Room-1st Floor</t>
  </si>
  <si>
    <t>RE/MAX Ultimate Professionals</t>
  </si>
  <si>
    <t>Angela Faron, ABR,GRI</t>
  </si>
  <si>
    <t>(815) 351-0689</t>
  </si>
  <si>
    <t>CALL CSS @ 877-977-1010. SOME NOTICE IF POSSIBLE PLEASE.</t>
  </si>
  <si>
    <t>HOME WARRANTY INCLUDED THROUGH HWA. CAN CLOSE QUICKLY.</t>
  </si>
  <si>
    <t>MELVINA</t>
  </si>
  <si>
    <t>Foster to Melvina-North or Gregory to Melvina South</t>
  </si>
  <si>
    <t>Beautifully Updated Brick English with 3 Floors of Finished Living Space. Enjoy the Great Layout with 4 Beds/2 Baths, Sunny LR, Eat-In  Kitchen &amp; Cozy Enclosed Porch. Full Finished Basement with Laundry, Bath, Playroom and Family Room. New Roof, Tuckpointing and Custom Landscaping. Cute Yard w/2.5 Car Garage. Close to Transportation.</t>
  </si>
  <si>
    <t>Use SA then Text Lisa 773.398.0378 NOTE: YOU WILL NOT BE CONFIRMED UNTIL YOU TEXT LISA</t>
  </si>
  <si>
    <t>Very Cute &amp; Charming.</t>
  </si>
  <si>
    <t>LeMoyne</t>
  </si>
  <si>
    <t>Kedzie south of North Ave to Lemoyne, West to 3336</t>
  </si>
  <si>
    <t>Green Living just off Humboldt Park! Introducing An Ultra Modern New Construction Sustainable, Attainable SmartTech Home. SM Energy Star 3.0 Rated 4 Bdrm/2.1 Bath Single Family Home. SOLD BEFORE PRINT.</t>
  </si>
  <si>
    <t>15X32</t>
  </si>
  <si>
    <t>Curbs/Gutters, Gated Entry, Sidewalks, Other</t>
  </si>
  <si>
    <t>Huron</t>
  </si>
  <si>
    <t>Ashland to Huron, East to Huron, Huron one way.</t>
  </si>
  <si>
    <t>Hot West Town! Gorgeous 4b/3b SFH with 3 beds on 2nd, 1 on main. Hardwood floors throughout. Kitchen boasts custom Unico Italian Cabinetry.  Huge island wrapped in White Quartz &amp; built-in Bosch DW, DBL Oven, DBL Hidden Fridge. Open 1st floor w/xtra sitting area, full bath. Huge mstr bed w/ sm deck. 2-car garage, fenced yard. Near Mariano's, Root's Pizza, Chicago Ave restaurants/shopping. Perfect home!</t>
  </si>
  <si>
    <t>TALCOTT ELEMENTARY SCHOOL</t>
  </si>
  <si>
    <t>32X11</t>
  </si>
  <si>
    <t>Eating Area-Breakfast Bar, Island, Pantry-Butler</t>
  </si>
  <si>
    <t>Skylight(s), Hardwood Floors, 1st Floor Bedroom, 2nd Floor Laundry, 1st Floor Full Bath</t>
  </si>
  <si>
    <t>2.5%-295.00 (on Net SP)</t>
  </si>
  <si>
    <t>Text or email sfeezor@dreamtown.com 773-206-4569. 24 hour notice preferred. Older, nice dog.</t>
  </si>
  <si>
    <t>Open House 3/14 1pm-3pm and 3/15 11am-12:30pm. Sellers are motivated. Good offers welcome. Please note- no basement.</t>
  </si>
  <si>
    <t>31W162</t>
  </si>
  <si>
    <t>Wolsfeld</t>
  </si>
  <si>
    <t>Rt 58 (Golf) to Rohrssen Rd, S to Wolsfeld Rd, W to home.</t>
  </si>
  <si>
    <t>711X310X708X310</t>
  </si>
  <si>
    <t>Sprawling updated ranch on a 5 acre wooded lot. Horses allowed. Home offers: open floor plan, family room w/vaulted ceiling and fp, Master suite w/luxury bath, HW flooring, Oak 6 panel doors/trim. Dining room has stone fp. Liv rm w/built in book shelves. New electric &amp; plumbing. 2nd house w/stone fp and garage. Can be used for personal use. Foundation for 2 stall barn. Electric and water to site. Kit w/ss appl's. Wow</t>
  </si>
  <si>
    <t>TIMBER TRAILS ELEMENTARY SCHOOL</t>
  </si>
  <si>
    <t>Horse-Riding Trails, Street Paved</t>
  </si>
  <si>
    <t>Horses Allowed, Wooded</t>
  </si>
  <si>
    <t>Vaulted/Cathedral Ceilings, Hot Tub, Hardwood Floors, 1st Floor Bedroom, 1st Floor Laundry, 1st Floor Full Bath</t>
  </si>
  <si>
    <t>Deck, Patio, Storage Shed, Storms/Screens, 2 Houses</t>
  </si>
  <si>
    <t>Call Showing Time 855.746.9200</t>
  </si>
  <si>
    <t>Don't let friendly cats out.  Septic field is to the west of the home on side of house.   Land goes 2 acres behind trees. Well is under patio by mud room/salon.    Hot tub sold as-is</t>
  </si>
  <si>
    <t>Wagner</t>
  </si>
  <si>
    <t>Kirk S to Wind Energy W to Wagner N to house on left</t>
  </si>
  <si>
    <t>KIRKLAND CHASE</t>
  </si>
  <si>
    <t>85X160</t>
  </si>
  <si>
    <t>Outstanding 4 Bedroom home w/finished basement on a beautiful lot w/mature trees. Open concept kitchen w/new SS appliances &amp; two-story family room w/fireplace; first floor office plus separate living and dining rooms. Fabulous English basement w/rec, play &amp; exercise areas plus wet bar.  Four generous bedrooms w/walk-in closets.  Two-tiered cedar deck with pergola and awning to enjoy those outdoor Spring nights. A 10+</t>
  </si>
  <si>
    <t>Oven-Double, Microwave, Dishwasher, Refrigerator, Washer, Dryer, Disposal, All Stainless Steel Kitchen Appliances, Wine Cooler/Refrigerator</t>
  </si>
  <si>
    <t>Humidifier, Water-Softener Owned, Ceiling Fan, Sump Pump, Backup Sump Pump</t>
  </si>
  <si>
    <t>Bar, Eating Area, Exercise Room, Mud Room, Office, Play Room, Recreation Room</t>
  </si>
  <si>
    <t>855-919-0200; min 2-hr notice required; must confirm</t>
  </si>
  <si>
    <t>Basement professionally finished recently; new SS appliances; 2 cats in house, please do not let out.</t>
  </si>
  <si>
    <t>NOBLE</t>
  </si>
  <si>
    <t>Chicago Ave East/West to Noble, Noble North to Property</t>
  </si>
  <si>
    <t>26X108</t>
  </si>
  <si>
    <t>Charming Victorian exterior w/ big sunny RMS Great 4 entertaining. LR/DR - window seat, oak mantled FP &amp; LG dining area. Restaurant sized KIT w huge island, commercial range endless cabs &amp; granite counters + huge deck for parties 2nd fl-3 large BR 1 lux BTH &amp; W/D.  2 FL Feat. 3 BD one w/ large deck. Top FL 2 room master suite w FP, skylights, W-I closet &amp; LG full bath. 2 Car GAR. OPEN HSE SUN 12-2PM FEB 15</t>
  </si>
  <si>
    <t>Microwave, Dishwasher, Refrigerator, Washer, Dryer, Disposal</t>
  </si>
  <si>
    <t>(312) 242-1000</t>
  </si>
  <si>
    <t>Connie Atterbury, CRS,GRI</t>
  </si>
  <si>
    <t>(312) 502-3520</t>
  </si>
  <si>
    <t>EMAIL CONNIE@DREAMTOWN.COM</t>
  </si>
  <si>
    <t>Much larger than house appears on outside. OH SAT 11-1</t>
  </si>
  <si>
    <t>Dakin</t>
  </si>
  <si>
    <t>ONE WAY WEST OFF OF CICERO SOUTH OF IRVING PARK</t>
  </si>
  <si>
    <t>Now THIS is what the market needs: stability (not a short sale), affordability, charm and pizazz! Note the large room sizes, separate dining room, unfinished basement waiting for your finishing touches. Bonus enclosed porch off of kitchen and tons of storage. 2 car garage built in 2008. Easy access to shopping and transportation. Stop by, fall in love and make this your home!</t>
  </si>
  <si>
    <t>OWNER OCCUPIED-SOME NOTICE PLEASE</t>
  </si>
  <si>
    <t>ATWELL</t>
  </si>
  <si>
    <t>RANDALL ROAD TO ROUTE 20 WEST TO GANSETT PARKWAY.</t>
  </si>
  <si>
    <t>LONGFELLOW</t>
  </si>
  <si>
    <t>101X125X90X125</t>
  </si>
  <si>
    <t>Gorgeous 4 bedroom home w/all the upgrades! Stone facade &amp; large front porch, enter to an impressive 2 story foyer &amp; beautiful new hardwood floors. Gourmet kitchen w/granite, stainless appliances &amp; butler's pantry. Formal dining room w/Trey ceiling, 1st floor den. The master suite has a huge sitting room, spa like bathroom &amp; walk in closet. Deep pour basement w/bath rough in, 3 car tandem garage. 301 Schools.</t>
  </si>
  <si>
    <t>Security System, Intercom, CO Detectors, Sump Pump</t>
  </si>
  <si>
    <t>Den, Eating Area, Foyer, Loft</t>
  </si>
  <si>
    <t>Garage Door Opener(s), Tandem</t>
  </si>
  <si>
    <t>2.5% - 250 (on Gross SP)</t>
  </si>
  <si>
    <t>Call 855-919-0200 2 hr notice preferred</t>
  </si>
  <si>
    <t>Former model, your clients won't be disappointed! Many additional upgrades since new. Refrigerator negotiable Sprinkler System and invisible fence Yard is larger than it appears, check the survey Street behind is very quiet!</t>
  </si>
  <si>
    <t>Route 34 to Arbor Lane North to Bayberry Drive Right to Spruce Court Right</t>
  </si>
  <si>
    <t>Gates Creek</t>
  </si>
  <si>
    <t>89X115X89X116</t>
  </si>
  <si>
    <t>Look No More! This Home Features a Large List of Amenities:,Freshly Painted,First Floor Den,Large Kitchen with Island,Granite Counter tops,Stainless Steel Appliances,Vaulted Ceiling in Family Room, Fireplace,Large Master Suite with WIC,Luxury Master Bath With Tub and Separate Shower,20 X 20 Stamped Concrete Patio, Exterior Gas line for Outdoor Grill,In-ground Sprinkler System.</t>
  </si>
  <si>
    <t>Scott Gerami, ABR,CSC,e-PRO,GRI</t>
  </si>
  <si>
    <t>(630) 357-8200</t>
  </si>
  <si>
    <t>Home listed also as rental MLS# 08869163</t>
  </si>
  <si>
    <t>1st</t>
  </si>
  <si>
    <t>72 to First Street (South) to home. *OR* 31 to South St. (East) to First St (South) to home.</t>
  </si>
  <si>
    <t>OLD WEST DUNDEE</t>
  </si>
  <si>
    <t>Woah! Stunning Victorian home in the heart of Historic West Dundee offers vintage flare &amp; contemporary conveniences unlike any other!! Upgraded throughout! Master suite w/private bth is stunning &amp; unique for an 1890's home! Fireplace, surround sound, partially finished BSMT, Sunroom, 3 full baths, Zoned HVAC, updated windows, 2 decks, Firepit, fully fenced yard...the list goes on &amp; on!! Don't let this one get away!!</t>
  </si>
  <si>
    <t>Library, Loft, Sun/Florida Room</t>
  </si>
  <si>
    <t>jenny.jones@bairdwarner.com</t>
  </si>
  <si>
    <t>Must Confirm. Call 855.746.9100!</t>
  </si>
  <si>
    <t>Walking distance to elementary school, parks, bars, etc.  Gorgeous inside &amp; all around. *Newer Items* Windows, Sunroom, firepit, freshly painted exterior and so much more. Your buyer will NOT be disappointed.</t>
  </si>
  <si>
    <t>President</t>
  </si>
  <si>
    <t>Keslinger to Liberty S. to Gray W to President S. (Gray curves and turns into President)</t>
  </si>
  <si>
    <t>70X115X71X116</t>
  </si>
  <si>
    <t>Truly a move in ready home! Gorgeous and well kept, describes this 2700 sq. ft. two story home in desirable Blackberry Creek. Walking distance to elementary school. Cozy living room with fireplace, perfect for entertaining. 4th bedroom in basement with full bath, media room/play/rec area. Master Bedroom boasts a large walk in closet and luxurious full bath. Expanded deck with extra deep 2.5 car garage. Don't miss!!</t>
  </si>
  <si>
    <t>Exterior Maintenance</t>
  </si>
  <si>
    <t>TV-Cable, Ceiling Fan, Sump Pump, Radon Mitigation System(s)</t>
  </si>
  <si>
    <t>Deck, Loft, Mud Room</t>
  </si>
  <si>
    <t>Wood Laminate Floors, In-Law Arrangement, 2nd Floor Laundry</t>
  </si>
  <si>
    <t>Please call 1.855.746.9100 to schedule showings. Two hour notice preferred.</t>
  </si>
  <si>
    <t>Please bring your fussiest buyers! Super clean and in great condition. Please use 6.0 Contract.</t>
  </si>
  <si>
    <t>Venetian</t>
  </si>
  <si>
    <t>Rte 30 to Gordon S to Concord R to Venetian Way L</t>
  </si>
  <si>
    <t>74X130X86X130</t>
  </si>
  <si>
    <t>Meticulous 4BR/3.1BA home in Blackberry Crossing West. Fenced landscaped yard w/stamped concrete patio &amp; hot tub. Step inside to find wood laminate floors, 9' ceilings and an open floor plan throughout the main level. Gourmet eat-in kitchen, granite, stainless, walk-in pantry. Family room w/gas log fp. Den. Vaulted master w/walk-in closet &amp; private bath. Full finished bsmt includes rec room, game room &amp; bonus room.</t>
  </si>
  <si>
    <t>Den, Recreation Room, Game Room, Bonus</t>
  </si>
  <si>
    <t>Vaulted/Cathedral Ceilings, Bar-Wet, Wood Laminate Floors, 1st Floor Laundry</t>
  </si>
  <si>
    <t>Porch, Hot Tub, Stamped Concrete Patio, Storms/Screens</t>
  </si>
  <si>
    <t>Trampoline, curtains in boys bedroom, master and office, basement speakers excluded.</t>
  </si>
  <si>
    <t>Grand Avenue to Narragansett</t>
  </si>
  <si>
    <t>All Brick 2 story home.  Sold As-Is.  Needs work, but great potential.</t>
  </si>
  <si>
    <t>20X25</t>
  </si>
  <si>
    <t>Dapper Crown</t>
  </si>
  <si>
    <t>(630) 330-0313</t>
  </si>
  <si>
    <t>Philip DeFrancesco</t>
  </si>
  <si>
    <t>12 Hr Notice - Please email Philip.  Email is padxco@gmail.com</t>
  </si>
  <si>
    <t>Owner</t>
  </si>
  <si>
    <t>Sold As-Is.  Has some good potential!</t>
  </si>
  <si>
    <t>Ashland to Wellington, east to property</t>
  </si>
  <si>
    <t>Great all-brick home in the "Burley" school district - 4 bedrooms - 3.2 baths - 2 laundry - Oversized 2 car garage featuring a roof deck - yard - custom millwork - and TONS of closets &amp; storage. Large rooms - beautiful hardwood floors - multiple living rooms - lower level wet bar - high ceilings - entertainer's dream. Landscaped yard - security cameras - very wide interiors - sky lights &amp; side lights - very bright</t>
  </si>
  <si>
    <t>Oven-Double, Microwave, Dishwasher, High End Refrigerator, Washer, Dryer, Disposal, All Stainless Steel Kitchen Appliances</t>
  </si>
  <si>
    <t>Deck, Eating Area, Recreation Room</t>
  </si>
  <si>
    <t>Skylight(s), Hardwood Floors, 1st Floor Laundry, 2nd Floor Laundry</t>
  </si>
  <si>
    <t>19X25</t>
  </si>
  <si>
    <t>Sophia Klopas</t>
  </si>
  <si>
    <t>(312) 927-0334</t>
  </si>
  <si>
    <t>24H preferred but not required - email ONLY KSteamShowings@KoenigRubloff.com</t>
  </si>
  <si>
    <t>owner on record</t>
  </si>
  <si>
    <t>Beautiful home - sellers are ready to go on this - priced to sell</t>
  </si>
  <si>
    <t>38W735</t>
  </si>
  <si>
    <t>HOPPS</t>
  </si>
  <si>
    <t>RANDALL TO HOPPS, W</t>
  </si>
  <si>
    <t>MITAWA</t>
  </si>
  <si>
    <t>85X268X296X290</t>
  </si>
  <si>
    <t>WOOD DOORS AND TRIM, WOOD FLOORING IN FOYER, KITCHEN AND DINING ROOM.  GRANITE COUNTERS IN KITCHEN, BUILT IN OVENS AND COOK TOP, BAY WINDOWS, BRICK FIREPLACE IN FAMILY ROOM, LARGE LIVING ROOM, FULL BASEMENT PARTIALLY FINISHED, CUL-DE-SAC LOCATION. APPROXIMATELY 1 ACRE.  ABOVE GROUND POOL INCLUDED WITH ALL EQUIPMENT AND OUTDOOR PLAYSET INCLUDED TOO.</t>
  </si>
  <si>
    <t>Oven-Double, Oven/Range, Dishwasher, Refrigerator, Washer, Dryer, Disposal, All Stainless Steel Kitchen Appliances</t>
  </si>
  <si>
    <t>Humidifier, Water-Softener Rented, CO Detectors, Ceiling Fan, Sump Pump</t>
  </si>
  <si>
    <t>Bonus, Foyer, Mud Room, Recreation Room, Other</t>
  </si>
  <si>
    <t>CALL RITA</t>
  </si>
  <si>
    <t>YOUNG</t>
  </si>
  <si>
    <t>38W709</t>
  </si>
  <si>
    <t>Seavey</t>
  </si>
  <si>
    <t>Main Street West to Nelson Lake South to Seavey West to 38W709</t>
  </si>
  <si>
    <t>248X526X248X520</t>
  </si>
  <si>
    <t>Looking for an affordable piece of country living? Bring your sweat equity and make this 3 acre, 2900+ sq. ft. complete with pond and 36'X40' pole barn with water, electric &amp; 4 stalls. This location cannot be beat. Easy access to I-88 and all the Randall Road corridor has to offer. The estate is looking for cash offers due to the deferred maintenance. This could be a dream property, but needs work. Bring your ideas!</t>
  </si>
  <si>
    <t>13X22</t>
  </si>
  <si>
    <t>Pond/Lake</t>
  </si>
  <si>
    <t>Horses Allowed, Pond</t>
  </si>
  <si>
    <t>Horse Barn/Pole Barn</t>
  </si>
  <si>
    <t>Karen Yoch</t>
  </si>
  <si>
    <t>630.624.8818</t>
  </si>
  <si>
    <t>do not show when dark- call 877.977.1010</t>
  </si>
  <si>
    <t>Maravolo</t>
  </si>
  <si>
    <t>This property is in an estate and will be conveyed as is. Due to no water presently in the home, looking for cash offer. Please call for further explanation. Estate sale 2/20-2/21.</t>
  </si>
  <si>
    <t>ARROW</t>
  </si>
  <si>
    <t>N RT 25 R ON HELM L HOPI KEEP R, R CHEROKEE L ARROW</t>
  </si>
  <si>
    <t>6120 SQ FT</t>
  </si>
  <si>
    <t>* INCREDIBLE 4 BEDROOM 2 BATH BARRINGTON SCHOOL DIST EXPANDED 1700 SQ FT RANCH * NEW ROOF * NEW SIDING * NEW FURNACE * NEW GRANITE COUNTER TOPS * 2 NEW FULL BATHS * NEW FLOORING * NEW PAINT * NEW DOORS  * NEW TRIM * PRIVATE MASTER BEDROOM BATH * FIREPLACE * NEW APPLIANCES * 2 CAR 25 X 10 TANDEM GARAGE * DOUBLE WIDE DRIVE * BEAUTIFUL TILE * ATTENTION TO DETAIL *</t>
  </si>
  <si>
    <t>Wood Laminate Floors, 1st Floor Bedroom, 1st Floor Laundry, 1st Floor Full Bath</t>
  </si>
  <si>
    <t>Dick West Real Estate</t>
  </si>
  <si>
    <t>(847) 426-6800</t>
  </si>
  <si>
    <t>Patrick West</t>
  </si>
  <si>
    <t>(847) 809-8734</t>
  </si>
  <si>
    <t>CALL LIST OFFICE</t>
  </si>
  <si>
    <t>WITHELD</t>
  </si>
  <si>
    <t>Devonaire</t>
  </si>
  <si>
    <t>Annie Glidden South to S. Malta Road turn right to Devonaire Parkway turn right to home on right.</t>
  </si>
  <si>
    <t>PERFECT RANCH LAYOUT!  4 bedrooms, 3 baths, 3 car garage, 1734 sq.ft up, 1000 sq.ft. in finished lower level w/lookout windows. Open foyer.  Cozy living room w/gas fireplace &amp; tray ceiling.  First floor mud/laundry room w/pantry &amp; cabinets.  SS appliances in kitchen w/accented cherry cabinets. 9' ceilings. Built-in Honeywell Allergy system.  Lower level features bedroom, rec room, game room, full ba. Perfect setup.</t>
  </si>
  <si>
    <t>22X40</t>
  </si>
  <si>
    <t>Snow Removal, None</t>
  </si>
  <si>
    <t>Hardwood Floors, In-Law Arrangement, 1st Floor Laundry</t>
  </si>
  <si>
    <t>2.5%-$150.00 (on Net SP)</t>
  </si>
  <si>
    <t>Nancy Watson, CRS,GRI,SFR,SRS</t>
  </si>
  <si>
    <t>(815) 757-5470</t>
  </si>
  <si>
    <t>Click on Schedule a showing.</t>
  </si>
  <si>
    <t>INCLUDED:  Bose Surround Sound Speakers, Sub-Floor ventilation system, NOT INCLUDED:  refrigerator in basement, pool table, Water falls Lighthouse.  Back yard features stamped patio and fenced in yard.  Overlooks prairie grasses.</t>
  </si>
  <si>
    <t>RACINE N/S TO 52ND ST, E TO MAY &amp; SOUTH TO PROPERTY</t>
  </si>
  <si>
    <t>25X124</t>
  </si>
  <si>
    <t>This NEW CITY 2 Story home is the perfect investment for the right buyer!!! The home is currently occupied. Call today to put your bid in at this price it WILL NOT LAST LONG.</t>
  </si>
  <si>
    <t>Provide proof of funds with cash offers and Pre-approval for all financed deals. Email offers @ rpchicago453@gmail.com or fax 773-785-5579. ALL OFFERS MUST BE SUBMITTED ON ATTACHED SELLERâ€™S CONTRACT/ADDENDUM</t>
  </si>
  <si>
    <t>Peace Rd to Hathaway E to Bristol S to Camden Ct</t>
  </si>
  <si>
    <t>2.93X86.01X4.20X146.62X63.09X194.49</t>
  </si>
  <si>
    <t>Quality built 4 bd/2.1 bath home in Foxpointe. HW floors on main level. Eat in kitchen w/new stove &amp; DW; separate DR; &amp; custom mud room. WB FP in FR (can be converted to gas). MB suite w/private bath &amp; custom shelving in WIC. Partially finished basement w/custom media ctr; game room; exercise space &amp; Â½ bath. Dual HVAC; 2.5 car garage; fully fenced yard complete with deck, patio &amp; pool! Located on cul-de-sac</t>
  </si>
  <si>
    <t>Cul-de-sac, Fenced Yard, Irregular</t>
  </si>
  <si>
    <t>Mud Room, Recreation Room, Game Room, Exercise Room</t>
  </si>
  <si>
    <t>Unassigned</t>
  </si>
  <si>
    <t>5X4</t>
  </si>
  <si>
    <t>Call L/O or L/A. Confirmation needed.</t>
  </si>
  <si>
    <t>Brannstrom</t>
  </si>
  <si>
    <t>Pool and accessories included.  Home in great shape, but sold as-is.</t>
  </si>
  <si>
    <t>Medinah</t>
  </si>
  <si>
    <t>RANDALL S OF RTE 20 TO BOWES, EAST TOP ANNANDALE, S TO MEDINAH, W</t>
  </si>
  <si>
    <t>59 X 137 X 98 X 120</t>
  </si>
  <si>
    <t>LEADED GLASS ENTRANCE, 2-STORY FOYER W/OAK RAILINGS, BAY WINDOW,FORMAL LIVING RM, SEPARATE DINING ROOM,CHEERFUL KITCHEN W/ISLAND &amp; GENEROUS EATING AREA, NEW OVEN RANGE &amp; RANGE HOOD, UPDATED LIGHTING, 1ST FLR FAMILY RM W/FIREPLACE, FRENCH DOORS. MASTER SUITE W/PRIVATE GARDEN BATH/SEPARATE SHOWER/DUAL VANITY. FINISHED BASEMENT/W NEW CARPET, REC RM, WET BAR, &amp; BONUS RM! PROF PAINTED T/0! I'M GORGEOUS! ROOF/SIDING 2011</t>
  </si>
  <si>
    <t>Bar, Foyer, Recreation Room, Other</t>
  </si>
  <si>
    <t>Vaulted/Cathedral Ceilings, Bar-Wet, Wood Laminate Floors</t>
  </si>
  <si>
    <t>CALL 855-919-0200. PLEASE REMOVE SHOES. Do not let cat out of   basement,keep door closed, leave car</t>
  </si>
  <si>
    <t>BACH</t>
  </si>
  <si>
    <t>Newer water heater, and new carpet in lower level recreation room and bonus room, newer carpet on 1st floor, newer kitchen flooring, newer master bathroom sinks, faucets, and lighting. Newer kitchen upgraded appliances, and lighting.</t>
  </si>
  <si>
    <t>Wolf's Crossing to 5th North to Bluegrass Pkwy W to home</t>
  </si>
  <si>
    <t>PLSNT CLNY</t>
  </si>
  <si>
    <t>Move-in ready home in highly sought after Churchill Club subdivision!  4BR, 2.1BA + large 1st flr office.  Almost 3k sq ft!    Kitchen boasts upgraded cabs, corian countertops, oak hw floors.  SS appliances.  MBR overlooks wetlands.  Huge MBA w/ sep shower and soaking tub.  Walk to onsite schools. Beautiful paver patio &amp; firepit.  Offer verbally accepted.  Just waiting on  Relo  and FR dept!</t>
  </si>
  <si>
    <t>Landscaped Professionally, Pond, Water View</t>
  </si>
  <si>
    <t>Ayers Realty Group</t>
  </si>
  <si>
    <t>(630) 410-9601</t>
  </si>
  <si>
    <t>Richard Ayers, ABR,CRB,CRS,e-PRO,GRI,SFR</t>
  </si>
  <si>
    <t>Cell:  630-430-5927</t>
  </si>
  <si>
    <t>Use Showing Assist, call 800-Showing or use mobile app</t>
  </si>
  <si>
    <t>Relo sign off completed 3/11/14.</t>
  </si>
  <si>
    <t>1/4 BLOCK NORTH OF IRVING PARK. ON EAST SIDE OF THE STREET.</t>
  </si>
  <si>
    <t>37 X 127</t>
  </si>
  <si>
    <t>NEWLY REMODELED! THIS HOME BOASTS AN OPEN FLOOR PLAN W/LIVING/DINING COMBO NEW EAT-IN KITCHEN W/BREAKFAST BAR, SS APP. 2 BDRMS, 1 FULL BA ON 1ST FLR.  2ND FLR HAS CATHEDRAL CEILINGS, HUGE MASTER BDRM W/2 WALK-IN CLOSETS, FULL BATH &amp; FAMILY RM AND OVERSIZED OFFICE, DUAL ZONED HVAC. BASEMENT IS FULLY FINISHED W/IN LAW ARRANGEMENT. 2 CAR GARAGE &amp; PARKING PAD ON THIS OVERSIZED LOT. BE PREPARED TO BE IMPRESSED.</t>
  </si>
  <si>
    <t>2nd Kitchen, Enclosed Porch, Office, Recreation Room</t>
  </si>
  <si>
    <t>Vaulted/Cathedral Ceilings, Hardwood Floors, In-Law Arrangement</t>
  </si>
  <si>
    <t>Rose M Alvarez</t>
  </si>
  <si>
    <t>(312) 264-1195</t>
  </si>
  <si>
    <t>LAG MUST ACCOMPANY. NEED 24 HR NOTICE. PLEASE USE SHOWING DESK LINK</t>
  </si>
  <si>
    <t>CLEAN, BRIGHT. BEST HOME IN THE AREA.</t>
  </si>
  <si>
    <t>Belmont to St. Louis South to Address</t>
  </si>
  <si>
    <t>25 X 130</t>
  </si>
  <si>
    <t>Avondale Luxury Massive New Construction 4 Bd/3.5 Ba SFH. Custom Wood Trim and Moldings, Marble FirePl, High End Kitchen with Italian 2 Tone Cabs, Bkfst Bar with Hood, Quartz Counters, SS Apps, Backsplash, 11 Ft. Ceilings in Bsmnt, Skylights, Master Bath w/Designer Tile,   Oversized Walk in Closet, LG Bedrooms, Dual Zoned HVAC w/Radiant Heat in Bsmnt, Great Size Back Deck + Yard. Walk to Blue Line. Delivery in April.</t>
  </si>
  <si>
    <t>Central Air, Deck/Patio/Screened Porch, Fireplace, Garage, Hardwood/Ceramic Floors, Skylight/s</t>
  </si>
  <si>
    <t>Vinyl Siding, Frame, Other</t>
  </si>
  <si>
    <t>Vaulted/Cathedral Ceilings, Skylight(s), Hardwood Floors, Heated Floors</t>
  </si>
  <si>
    <t>A-Frame</t>
  </si>
  <si>
    <t>John Huebner</t>
  </si>
  <si>
    <t>(773) 558-9216</t>
  </si>
  <si>
    <t>Please email John at admin@thirdblvd.com</t>
  </si>
  <si>
    <t>Currently under construction, recently finished project at 1724 N Drake will be the model home for this listing. Please email admin@thirdblvd.com for more information.</t>
  </si>
  <si>
    <t>Smith</t>
  </si>
  <si>
    <t>Route 31 to Main Street West to Millview Dr South to Towne Ave East to Smith Court.</t>
  </si>
  <si>
    <t>46X135X40X134X109 + 46X134</t>
  </si>
  <si>
    <t>Beautiful Updated Kitchen with built in appliances including Full size refrig&amp;Full size freezer! Granite cntr.tops, large island&amp;5 burner cooktop. Hardwood floors throughout 1st flr. 4 bedrooms PLUS loft w/built-in bookcse/desk. Built-in cabinets on both sides of fireplace in family rm. Updated master bathroom with 5' shower&amp;heated floor. Fnishd bsmnt, deck&amp;gazebo. Additnl. PIN for rear lot (47x134)-incld. in price!!</t>
  </si>
  <si>
    <t>Gas, Electric, Forced Air, Baseboard</t>
  </si>
  <si>
    <t>Oven/Range, Microwave, Dishwasher, Refrigerator, High End Refrigerator, Refrigerator-Bar, Freezer, Washer, Dryer, Disposal, All Stainless Steel Kitchen Appliances</t>
  </si>
  <si>
    <t>Vaulted/Cathedral Ceilings, Bar-Wet, Hardwood Floors, Heated Floors, 1st Floor Laundry</t>
  </si>
  <si>
    <t>Deck, Patio, Porch, Gazebo</t>
  </si>
  <si>
    <t>2.5% MINUS $150. (on Gross SP)</t>
  </si>
  <si>
    <t>Kimberly Newby</t>
  </si>
  <si>
    <t>(630) 764-3460</t>
  </si>
  <si>
    <t>Call Showing Desk @ 1-888-362-3222</t>
  </si>
  <si>
    <t>Please make sure all doors are locked&amp;lights are off. Black rope system in garage is for bike storage. Workbench, bar refrig, bar stereo system&amp;speakers stay. Walking path behind house goes directly to Grade School--lot goes back to path.</t>
  </si>
  <si>
    <t>King Richard</t>
  </si>
  <si>
    <t>Kirk to Foxfield (E) to King Richard.</t>
  </si>
  <si>
    <t>LARGE SQUIRE</t>
  </si>
  <si>
    <t>OMG! Outstanding curb appeal for this STUNNING Russell built home on east side of St. Charles! Features a 2Â½ car OVERSIZED garage on a beautifully manicured, mature lot! Gorgeous dÃ©cor! This PRISTINE home has extensive millwork &amp; crown moldings, hardwood floors, Transoms, custom built-ins, volume &amp; tray ceilings. Gourmet kitchen w/island &amp; butlerâ€™s pantry! Incredible finished basement w/rec room, wet bar &amp; â€œday bedâ€_x009d_!</t>
  </si>
  <si>
    <t>Oven-Double, Microwave, Dishwasher, Refrigerator, Refrigerator-Bar, Washer, Dryer, Disposal, Compactor-Trash</t>
  </si>
  <si>
    <t>Nature Preserve Adjacent, Landscaped Professionally, Wooded</t>
  </si>
  <si>
    <t>Humidifier, Water-Softener Owned, TV-Cable, Sump Pump</t>
  </si>
  <si>
    <t>Bar, Game Room, Office, Workroom</t>
  </si>
  <si>
    <t>15X08</t>
  </si>
  <si>
    <t>Please call Showing Time @ 855-746-9200 for a confirmed showing.</t>
  </si>
  <si>
    <t>TAKE RIDGE AVE NORTH TO WAYNE AVE. TURN RIGHT. NORTH TO ADDRESS. BETWEEN ARDMORE &amp; EARLY ON WAYNE.</t>
  </si>
  <si>
    <t>MAGNOLIA GLEN</t>
  </si>
  <si>
    <t>37 X 122</t>
  </si>
  <si>
    <t>THIS 4BR/3BA MAGNOLIA GLEN CHARMER SITS ON AN OVERSIZED LOT &amp; FEATURES A MAGNIFICENT EAT-IN KITCHEN W/A VIKING COOKTOP, DOUBLE OVENS, WINE FRIDGE AND A PREP SINK ON ISLAND. MASTER SUITE HAS A LUXURIOUS BATH &amp; WALK-IN CLOSET. THE 2ND BR HAS A SMALL STAIR THAT LEADS TO AN ATTIC "SECRET" PLAYROOM. THE MAIN FLOOR BEDROOM IS EN SUITE &amp; USED AS A DEN. LOWER LEVEL REC ROOM PROVIDES LOTS OF SPACE TO SPREAD OUT.</t>
  </si>
  <si>
    <t>Oven-Double, Microwave, Dishwasher, Refrigerator, Washer, Dryer, All Stainless Steel Kitchen Appliances, Wine Cooler/Refrigerator</t>
  </si>
  <si>
    <t>TV-Dish, Security System, Ceiling Fan</t>
  </si>
  <si>
    <t>Deck, Mud Room, Office, Play Room, Recreation Room, Storage, Utility Room-Lower Level</t>
  </si>
  <si>
    <t>Kim Biggs</t>
  </si>
  <si>
    <t>TEXT OR EMAIL 24 HR NOTICE PLS. SMALL CHILDREN. 773.865.4290 / KIM@KIMBIGGS.COM</t>
  </si>
  <si>
    <t>WALK TO LAKEFRONT, WHOLE FOODS, ANDERSONVILLE, RED LINE. FANTASTIC LOCATION! RE-WIRED, CENTRAL A/C, NEWER BATHROOMS, NEWER WINDOWS, SECURITY SYSTEM, 37' WIDE LOT. FLOOR PLANS ALSO IN ADDITIONAL INFO TAB.</t>
  </si>
  <si>
    <t>Lynch</t>
  </si>
  <si>
    <t>Elston to Long, south to Lynch, right to home.</t>
  </si>
  <si>
    <t>122 X 25</t>
  </si>
  <si>
    <t>Same owner 60 yrs Spacious brick home 2 fl Addition done 1992. 1st fl 2 BR, LR, DR, HW, full bath, large kit, eating area, island, mud room, deck. 2nd fl has 2 BR, full bath &amp; unf attic great to expand to master suite. Sep Heating Full unf bsmt with full bath, work &amp; lndry area. Famly rm and 2 stg rooms. Det garage.Close to shop, trains, x-ways, schools pks. Sold AS-IS. Home Warranty incl and $1,000 credit at close.</t>
  </si>
  <si>
    <t>27X10</t>
  </si>
  <si>
    <t>Gas, Forced Air, Hot Water/Steam, 2+ Sep Heating Systems</t>
  </si>
  <si>
    <t>Attic, Deck, Eating Area, Mud Room, Storage, Other</t>
  </si>
  <si>
    <t>Patricia Liput</t>
  </si>
  <si>
    <t>(773) 858-8927</t>
  </si>
  <si>
    <t>Call Listing Agent. 24 Hr Notice Required.</t>
  </si>
  <si>
    <t>Regular Sale.  Storage Galore.  Additional storage 12X20 under back room.  GFA on 2nd floor. A/C broken.  1st floor boiler no A/C.  Shared Laundry/Workroom in basement. Great home must see.  Home warranty and $1,000 credit at closing.</t>
  </si>
  <si>
    <t>South of Devon On Troy St. Just East of Kedzie.</t>
  </si>
  <si>
    <t>RECENTLY UPDATED 2 STORY HOUSE WITH 4 LARGE BEDROOMS, 2 UPDATED FULL BATHS, &amp; FULL UNFINISHED BASEMENT. NEW WINDOWS AND ROOF. HUGE EAT-IN KITCHEN WITH NEW CABINETS &amp; APPLIANCES(FRIG, DISHWASHER, OVER/STOVE, MICROWAVE), SEPARATE LIVING AND DINING ROOM, REFINISHED HARDWOOD FLOORS, NEW CARPET IN BEDROOMS, FRESHLY PAINTED, &amp; WASHER/DRYER HOOKUPS IN BASEMENT.  THIS HOUSE IS A MUST SEE.</t>
  </si>
  <si>
    <t>Oven/Range, Microwave, Dishwasher, Refrigerator, Freezer, Washer, Dryer, All Stainless Steel Kitchen Appliances</t>
  </si>
  <si>
    <t>Michael Vesole</t>
  </si>
  <si>
    <t>(773) 454-4714</t>
  </si>
  <si>
    <t>Grove</t>
  </si>
  <si>
    <t>Rt. 31 to Main St. to Grove St</t>
  </si>
  <si>
    <t>117X60</t>
  </si>
  <si>
    <t>3 bedroom 1st floor and 2 bedrooms on the second floor. Newer furnace and electrical. A little work will go far to have a money maker!!!. Sold as is. Show and sell!</t>
  </si>
  <si>
    <t>2.5% -150 (on Gross SP)</t>
  </si>
  <si>
    <t>Choice Realty Group Inc.</t>
  </si>
  <si>
    <t>(773) 353-9177</t>
  </si>
  <si>
    <t>David Williamson</t>
  </si>
  <si>
    <t>(847) 556-3197</t>
  </si>
  <si>
    <t>Lucille</t>
  </si>
  <si>
    <t>N IL 25 L2 GILBERT ST R2 LUCILLE ST L2 HOME</t>
  </si>
  <si>
    <t>83X121</t>
  </si>
  <si>
    <t>Roomy Ranch! Hardwood Floors in Bedrooms. Tons of Windows For Natural Light. Partially Finished Basement With Lots of Potential. Spacious Backyard That Sits on a Corner Lot. 2 Car Detached Garage. Park Directly Across the Street With Unlimited Amounts of Walking Trails. Close to Downtown South Elgin. Close to Schools and Shopping! THIS IS A FANNIE MAE HOMEPATH PROPERTY. CASH OFFERS ONLY! WATER WILL NOT BE TURNED ON.</t>
  </si>
  <si>
    <t>Eating Area, Workroom</t>
  </si>
  <si>
    <t>CALL 630-608-4777 IF QUESTIONS AFTER SHOWING PROPERTY. *PLEASE TURN OFF ALL LIGHTS &amp; LOCK DOORS BEFORE LEAVING* SELLER REQUIRES ALL OFFERS SUBMITTED THRU HOMEPATH.COM.</t>
  </si>
  <si>
    <t>Patten</t>
  </si>
  <si>
    <t>Kaneville to Sterling to Patten</t>
  </si>
  <si>
    <t>Sterling Manor</t>
  </si>
  <si>
    <t>130X98X144X104</t>
  </si>
  <si>
    <t>Light &amp; bright! Two story entry. First floor office. Kitchen w/ island, pantry, granite counters &amp; eating area. Family room is warm &amp; welcoming with fireplace and lots of windows. Large living room and dining room. Wood floors on first floor. Master with large master bath and walk in closet. Fresh paint, newly installed carpet. Bedrooms are generous in size. Nice finished basement. First Floor laundry. Good storage!</t>
  </si>
  <si>
    <t>Susan Schiesser</t>
  </si>
  <si>
    <t>Call 855-746-9100  Appointment Required</t>
  </si>
  <si>
    <t>Please use 6.0 contract.  Taxes reflect no homestead exemption.</t>
  </si>
  <si>
    <t>Rt34/71 to Plainfield Rd south to Grove southwest to Morgan Valley west to Windsor to Cambridge Ct.</t>
  </si>
  <si>
    <t>66 X 192 X 124 X 136</t>
  </si>
  <si>
    <t>Former builder's model loaded w/updates &amp; upgrades. Open floor plan boasts gourmet kitchen w/maple cabs, stainless appliances incl double oven, island &amp; planning desk. Eating area opens to large family room w/brick fireplace. Master w/lux bath &amp; walk-in closet. 2nd floor loft + 1st floor den &amp; laundry. Loads of trim &amp; millwork. Full basement w/rough-in. Great cul-de-sac lot w/HUGE fenced yard &amp; paver patio w/firepit.</t>
  </si>
  <si>
    <t>Kevin Dahm</t>
  </si>
  <si>
    <t>(630) 718-3463</t>
  </si>
  <si>
    <t>Cell 815.280.9233</t>
  </si>
  <si>
    <t>Call the B&amp;W Appointment Center @ 855.746.9100 w/1 hour notice. Occupied, MUST confirm.</t>
  </si>
  <si>
    <t>New high efficiency furnace. Please kindly exclude the washer/dryer and soft window treatments in bedrooms. Book cases in living room and playset are negotiable.</t>
  </si>
  <si>
    <t>Halsted to Wellington west to property</t>
  </si>
  <si>
    <t>Completely renovated, one of a kind brownstone with over 5,000 sq. ft. of living space.  Property boasts 4 br., 3.5 ba., formal LR/DR/FR w/ a 2nd FR upstairs. One of a kind LARGE rooftop deck with views and unique enclosed atrium.  Perfect for entertaining! Huge master BR with enclosed suite and WIC.  Beautiful kitchen w/Sub-Zero and Wolf apl. 3 wood-burning fireplaces. Speaker/intercom/security systems.  Phenomenal!</t>
  </si>
  <si>
    <t>Oven-Double, Oven/Range, Microwave, Dishwasher, High End Refrigerator, Refrigerator-Bar, Washer, Dryer, Disposal, All Stainless Steel Kitchen Appliances, Wine Cooler/Refrigerator</t>
  </si>
  <si>
    <t>Whirlpool, Separate Shower, Steam Shower, Double Sink, European Shower, Full Body Spray Shower</t>
  </si>
  <si>
    <t>Atrium, Deck, Foyer, Play Room, Recreation Room, Walk In Closet</t>
  </si>
  <si>
    <t>Stone, Limestone</t>
  </si>
  <si>
    <t>20X60</t>
  </si>
  <si>
    <t>Dimitris Mellos</t>
  </si>
  <si>
    <t>(847) 668-8042</t>
  </si>
  <si>
    <t>Call Dimitris @ 847-668-8042</t>
  </si>
  <si>
    <t>Truly a beautiful home.  Your clients will not be disappointed.</t>
  </si>
  <si>
    <t>JEFFREY TO 77 STREET EAST TO MERRILL N TO ADD</t>
  </si>
  <si>
    <t>33 X 126</t>
  </si>
  <si>
    <t>sold before print</t>
  </si>
  <si>
    <t>2.0% (on Gross SP)</t>
  </si>
  <si>
    <t>(773) 667-6666</t>
  </si>
  <si>
    <t>Gwendolene Newton</t>
  </si>
  <si>
    <t>(773) 263-6013</t>
  </si>
  <si>
    <t>none</t>
  </si>
  <si>
    <t>Walt Frazier</t>
  </si>
  <si>
    <t>CC: Pursuant to Short Sale. sold for print</t>
  </si>
  <si>
    <t>Racine to Garfield street, May is one block East</t>
  </si>
  <si>
    <t>Brick Multi Level Single Family home right off Garfield Blvd. 4-Bedrooms 1-Bath. Huge back yard and full unfinished basement. Home is near Sherman Park and  lots of public transportation.</t>
  </si>
  <si>
    <t>2.5% OR 1K (on Gross SP)</t>
  </si>
  <si>
    <t>Property is being sold subject to HUD Guidelines 24 CFR 206.125. All offers are to be submitted via newmanknowschicago.tazahomes.com</t>
  </si>
  <si>
    <t>MAJOR</t>
  </si>
  <si>
    <t>FULLERTON TO MAJOR, 2 BLOCKS W OF CENTRAL</t>
  </si>
  <si>
    <t>125 X 30</t>
  </si>
  <si>
    <t>SINGLE FAMILY HOME IN MOVE IN CONDITION.  PROPERTY BOASTS 3 BATHROOMS AND 4 BEDROOMS. HARDWOOD FLOORS THROUGHOUT.  ORIGINAL OAK TRIM, BATH W/CERAMIC TILE &amp; JACUZZI TUB. DECK OFF KITCHEN W/ROD IRON FENCE. NICE FULL FINISHED BASEMENT W/WET BAR &amp; FULL BATH.  THIS IS A FANNIE MAE HOMEPATH PROPERTY.</t>
  </si>
  <si>
    <t>Todd Stack</t>
  </si>
  <si>
    <t>TEXT OR CALL CO-LISTER FOR ACCESS 773-930-7068</t>
  </si>
  <si>
    <t>SELLER DIRECTS ALL OFFERS BE SUBMITTED THROUGH HOMEPATH WEBSITE. PLEASE USE PACKAGE UNDER ADDITIONAL INFO FOR PROPER SUBMISSION.</t>
  </si>
  <si>
    <t>WEST ON NORTH AVE TO RICHMOND, NORTH TO PROPERTY</t>
  </si>
  <si>
    <t>HUMBOLDT PARK â€œhottestâ€_x009d_ HOOD IN CHICAGO! SIDE ENTRY, NEW CONST 4+BED 3.5 BATH, 2 CAR GAR SLEEK MODERN DESIGN WIDE OPEN FLOORPLAN/HIGH CEILINGS HW FLRS THRU-OUT. HIGH END KIT W/CUSTM CABS,TOP OF THE LINE SS APP PACK, &amp; SILESTONE CTS. PORCELAIN TILED BTHS, SPACIOUS MSTR BTH W/HUGE SHOWER/ DBL BOWL VANITY. LARGE DECK OFF FAMILY RM, LOWER LEVEL MEDIA &amp; REC RM'S.</t>
  </si>
  <si>
    <t>Double Sink, Double Shower</t>
  </si>
  <si>
    <t>Media Room, Recreation Room</t>
  </si>
  <si>
    <t>2.5% (-$325) (on Net SP)</t>
  </si>
  <si>
    <t>(312) 751-9100</t>
  </si>
  <si>
    <t>Hunter Andre</t>
  </si>
  <si>
    <t>(312) 440-7516</t>
  </si>
  <si>
    <t>Hunter's cell 773.474.2753</t>
  </si>
  <si>
    <t>Please use showing assist, thank you.</t>
  </si>
  <si>
    <t>Lake Bluff</t>
  </si>
  <si>
    <t>72 to Richard JBrown Blvd, Wester R, Lookout R, Lake Bluff R</t>
  </si>
  <si>
    <t>81 X 120 X 81 X 118</t>
  </si>
  <si>
    <t>LUXURY AT ITS FINEST! EVERYTHING HAS BEEN UPGRADED-PROFES PAINTED~NEWER WOOD FLRS~CUSTOM STAIRCASE~CHEF KITCH FEATURES LRGE SUN RM W/SGD~SS APPL~GRANITE CTOPS~TWO STRY LVNG RM W/WALL OF WDWS &amp; 2ND STRY LOFT~FAMILY RM W/STONE FRPL~MASTER SUITE~SPACIOUS BDRMS~ROUGHED IN PLUMBING IN BSMT~OVERSIZED PAVER PATIO~FENCED YARD W/SPECTACULAR WATER &amp; SUNSET VIEWS~3000+SQ FT OF LUXURY(SELECTED FURNITURE IS INCLUDED IN THE SALE)</t>
  </si>
  <si>
    <t>ON-SITE CHARTER SCHOOL</t>
  </si>
  <si>
    <t>Eating Area, Gallery, Loft, Utility Room-1st Floor</t>
  </si>
  <si>
    <t>CALL LO TO SCHEDULE 847-669-9555</t>
  </si>
  <si>
    <t>CALL LO TO SHOW 847-669-9555. Furniture is negotiable with the right offer.</t>
  </si>
  <si>
    <t>Ludlam</t>
  </si>
  <si>
    <t>N Elston Ave to N Ludlam Ave</t>
  </si>
  <si>
    <t>3720 SQ.FT.</t>
  </si>
  <si>
    <t>Gorgeous Oversized Chicago bungalow! 4 bedrooms 3 full baths home w/full basement! Features hardwood floors, gourmet kitchen w/oak cabinets and stainless steel appliances, plenty of storage, custom made beautiful baths! Radiant heat in the bathroom &amp; porch floors. Detached 2 cars garage. Great location! Walking distance to Farnsworth school, Mariano's on Elston, Jeff Park mass transit station. Easy access to I-90/94.</t>
  </si>
  <si>
    <t>630-742-4065</t>
  </si>
  <si>
    <t>Please, email your offers to saul@callzteam.com. Multiple offer situation -  seller is calling for highest and best offers by 3/9/2015 5pm.</t>
  </si>
  <si>
    <t>ERICKSON</t>
  </si>
  <si>
    <t>Rt 56 (Butterfield Rd) to Mitchell (past Farnsworth)  south to Stewart to Erickson</t>
  </si>
  <si>
    <t>Chesterfield</t>
  </si>
  <si>
    <t>61 X 167</t>
  </si>
  <si>
    <t>Things I want in my new home. Fenced cul-de-sac lot backing to open area (x). Open floor plan with 9 foot ceilings (x). Kitchen with granite and all appliances (x). First floor den or huge loft (x). Master bedroom to fit a king size bed (x). Luxury bath with whirlpool (x). Finished basement for entertaining friends. A basement bath is a plus (x). Close to highway and shopping (x) Looks like I have found it!  ï€ </t>
  </si>
  <si>
    <t>Cul-de-sac, Fenced Yard, Nature Preserve Adjacent</t>
  </si>
  <si>
    <t>Bar, Loft, Recreation Room</t>
  </si>
  <si>
    <t>2.5- $200 (on Net SP)</t>
  </si>
  <si>
    <t>Julie Brown</t>
  </si>
  <si>
    <t>(630) 648-2042</t>
  </si>
  <si>
    <t>Call B&amp;W showing desk 1-855-746-9100 must have confirmation 1 hr notice</t>
  </si>
  <si>
    <t>Need one hour notice, buyers agent must accompany client</t>
  </si>
  <si>
    <t>ADAMSON</t>
  </si>
  <si>
    <t>Randall Rd to Keslinger W to Fisher to Adamson stay rt to Adamson to lovely home</t>
  </si>
  <si>
    <t>Fisher Farms</t>
  </si>
  <si>
    <t>132 X 65</t>
  </si>
  <si>
    <t>Must See! 3400+ sq ft w/finished W/O Bsmt. Gourmet Island Kit w/ 42"  upper cabinets, granite counters &amp; SS appls. MSTR STE has vaulted ceilings &amp; a spa-like bath. Freshly painted,  stainless appliances, new solid interior 6-panel doors, gas F/P logs, addl full bth in bsmt. Storage cabinets in BMT &amp; storage cubes in laundry . Battery Back up sump. Walk to elm school, shopping, dining. garage fridge as is. Bike path</t>
  </si>
  <si>
    <t>Humidifier, TV-Cable, Ceiling Fan, Sump Pump, Backup Sump Pump, Radon Mitigation System(s)</t>
  </si>
  <si>
    <t>Den, Eating Area, Exercise Room, Recreation Room, Other</t>
  </si>
  <si>
    <t>Deck, Patio, Porch, Brick Paver Patio</t>
  </si>
  <si>
    <t>Platinum Partners Realtors</t>
  </si>
  <si>
    <t>(630) 435-3500</t>
  </si>
  <si>
    <t>Sue Kenealy, CNC,SFR</t>
  </si>
  <si>
    <t>(630) 435-3577</t>
  </si>
  <si>
    <t>Call CSS 877-977-1010. 1 Hour Notice Please</t>
  </si>
  <si>
    <t>Move in ready. Quick close possible. All Buyers must be accompanied by Buyers Agent. If writing an offer put Altair Global Relocation as the seller</t>
  </si>
  <si>
    <t>Octavia</t>
  </si>
  <si>
    <t>Belmont 2 blocks West of Harlem to Octavia Ave South to 3134</t>
  </si>
  <si>
    <t>30X133</t>
  </si>
  <si>
    <t>Price To Sell! Beautiful Brick Ranch.  Gourmet modern kitchen w/granite counters, new SS fridge.  Whole house freshly painted.  Elegant new bathroom.  Gleaming hardwood floors throughout.  Full Finished Basement.  In-Law Arrangement w/Full Kitchen, Family room and Bathroom.  New Water Heater, A/C, washer and dryer 2014, newer roof and windows.  A lot of closet/storage space.  Big, professionally landscaped yard.</t>
  </si>
  <si>
    <t>2nd Kitchen, Bar, Pantry</t>
  </si>
  <si>
    <t>(773) 282-8100</t>
  </si>
  <si>
    <t>Anna Maziarz</t>
  </si>
  <si>
    <t>(708) 269-1574</t>
  </si>
  <si>
    <t>SENTRI LOCK.</t>
  </si>
  <si>
    <t>Easy to show. Sentri Lock.  PLEASE PUT THE SHOE GUARDS ON AND TURN OFF THE LIGHTS.   Please call LA Anna if any questions.  SELLER MOTIVATED!  Bring Offers - Gorgeous Home in Great Location.</t>
  </si>
  <si>
    <t>95th street to Harvard, south to property</t>
  </si>
  <si>
    <t>WOW!!! INCREDIBLY REMODELED BRICK RAISED RANCH FT: NEW ESPRESSO KITCHEN CABINETS, EXOTIC GRANITE TOPS, BACKSPLASH &amp; SS APPLIANCES. VAULTED CEILINGS, NEW RECESSED LIGHTING, BEAUTIFUL HARDWOOD FLOORS THROUGHOUT, NEW TRIMS &amp; DOORS. NEW BATHS W/CUSTOM TILE DESIGNS, SHOWER &amp; MODERN VANITIES. FULL FINISHED BASEMENT W/HUGE FAMILY ROOM, WET BAR, BATH. NEW WINDOWS,ELECTRIC SERVICE&amp;MUCH MORE!!! A/C AT CLOSING.</t>
  </si>
  <si>
    <t>31X14</t>
  </si>
  <si>
    <t>Whirlpool, Separate Shower, Double Sink, European Shower</t>
  </si>
  <si>
    <t>Slawomir Nowak</t>
  </si>
  <si>
    <t>Cell 773-837-4815</t>
  </si>
  <si>
    <t>Please call or text LA at 773-837-4815</t>
  </si>
  <si>
    <t>39th</t>
  </si>
  <si>
    <t>CALIFORNIA SOUTH TOWARDS 39TH PLACE WEST TO PROPERTY</t>
  </si>
  <si>
    <t>11X28</t>
  </si>
  <si>
    <t>Email Offers to mauricio@citywide-realty.com... Minimum EM for financed deals is $2500 and $5000 on CASH deals</t>
  </si>
  <si>
    <t>Upper Pond</t>
  </si>
  <si>
    <t>MUNDHANK RD TO WITT N TO WATERGATE W TO UPPER POND</t>
  </si>
  <si>
    <t>THE COVES</t>
  </si>
  <si>
    <t>187X218X176X279</t>
  </si>
  <si>
    <t>Owner's Loss. They said sell this vacant all brick ranch home that backs up to Stillman Nature Preserve . Oak hardwood floors on first floor. Cherry cabinet kitchen with Corian countertops.Finished partial basement with tile floors. Cathredral ceiling in LR.Family room has brick wall wood burning fireplace that leads to private patio.Access to 85 acre Coves lake for your swimming,boating and fishing family recreation</t>
  </si>
  <si>
    <t>Humidifier, Water-Softener Owned, Central Vacuum, TV-Cable, CO Detectors, Backup Sump Pump</t>
  </si>
  <si>
    <t>Eating Area, Foyer, Game Room, Recreation Room</t>
  </si>
  <si>
    <t>Vaulted/Cathedral Ceilings, Bar-Dry, Hardwood Floors, 1st Floor Laundry, 1st Floor Full Bath</t>
  </si>
  <si>
    <t>Bill LaMack, CRB</t>
  </si>
  <si>
    <t>(847) 809-8071</t>
  </si>
  <si>
    <t>Call Showing Time @ 855-746-9200</t>
  </si>
  <si>
    <t>This all brick ranch backs up to 60 acre Stillman Nature Center. Private location.Some updating needed in baths. Solid home with much potential.Bring your creative ideas. Cathredral ceilings in Living room.Hardwood  floors in all bedrooms.</t>
  </si>
  <si>
    <t>Ivy</t>
  </si>
  <si>
    <t>Lancaster to Camden W to Ivy Ct</t>
  </si>
  <si>
    <t>81X107X96X130</t>
  </si>
  <si>
    <t>Completely Gorgeous Home on Cul De Sac! Dist 303 Schools!!  Quality High End Finishes Throughout!  Every Room on Every Level has been Tastefully Upgraded! Terrific Open Floor Plan! Beautiful Kitchen with Granite &amp; Stainless! 1st Flr Den! Large Cozy Family Room! Luxurious Master Suite! Full Finished Basement is Fantastic and ready for use! Large Fenced Yard With Patio w/Outdoor Fireplace! Meticulously Maintained! WOW!</t>
  </si>
  <si>
    <t>Bonus, Den, Game Room, Play Room, Recreation Room, Other</t>
  </si>
  <si>
    <t>G Real Estate Co.</t>
  </si>
  <si>
    <t>(630) 854-1100</t>
  </si>
  <si>
    <t>John Greco, CSC</t>
  </si>
  <si>
    <t>24 hr notice please Showings after 3pm Weekdays-After 11 Sat Must Confirm!</t>
  </si>
  <si>
    <t>New Roof, Siding and Gutters in 2010!  Hardwood Flooring!    Such a Great Package!</t>
  </si>
  <si>
    <t>77th Street to Hermitage, north to home</t>
  </si>
  <si>
    <t>30X124 (APPROX)</t>
  </si>
  <si>
    <t>Excellent opportunity to own this sharp brick bungalow at an affordable price. This four bedroom home features hardwood flooring, a decorative fireplace in the living room, a full basement, an oak cabinet kitchen, an enclosed porch and a fenced yard.</t>
  </si>
  <si>
    <t>NEWLAND</t>
  </si>
  <si>
    <t>IRVING PARK TO SAYRE TO BYRON EAST TO NEWLAND HOUSE ON CORNER</t>
  </si>
  <si>
    <t>28X124</t>
  </si>
  <si>
    <t>WOW!!! RECENTLY RENOVATED RANCH. ALL NEW WINDOWS, BRAND NEW ROOF, SOFFIT, GUTTERS, NEW 200 AMP ELECTRIC SERVICE, HARWOOD FLOOR ON MAIN LEVEL, HIGH CEILING IN FINISHED BASEMENT. TOO MUCH TO LIST!!! MUST SEE</t>
  </si>
  <si>
    <t>BRIDGE ELEMENTARY SCHOOL</t>
  </si>
  <si>
    <t>Park/Playground, Pool, Tennis Courts, Sidewalks, Street Lights, Street Paved</t>
  </si>
  <si>
    <t>Whirlpool, Separate Shower, European Shower, Soaking Tub</t>
  </si>
  <si>
    <t>Justyna Czechura</t>
  </si>
  <si>
    <t>LA (773) 733 1477</t>
  </si>
  <si>
    <t>CALL LO (773)775-5500 or call/text LA (773)733-1477</t>
  </si>
  <si>
    <t>LISTING AGENT IS RELATED TO THE OWNER</t>
  </si>
  <si>
    <t>EW ON 99 ST TO CLAREMONT N TO HOUSE</t>
  </si>
  <si>
    <t>34X22</t>
  </si>
  <si>
    <t>BEAUTIFULLY REMODELED 4 BEDROOM 2 FULL BATHROOM ALL BRICK HOME ON GORGEOUS TREE LINED STREET. FULL FINISHED BASEMENT WITH FULL BATH AND BEDROOM. HARDWOOD AND CERAMIC TILE FLOORING. KITCHEN W/ GRANITE COUNTERTOPS AND TILE BACKSPLASH AND SS APPLIANCES. REPLACEMENT WINDOWS THROUGHOUT. 2 CAR PULL THROUGH ALL BRICK GARAGE. WALK TO SUTHERLAND SCHOOL. NEWER ROOF, WINDOWS, FURNACE, CENTRAL AIR, GARAGE DOORS! JUST MOVE IN!</t>
  </si>
  <si>
    <t>SUTHERLAND ELEMENTARY SCHOOL</t>
  </si>
  <si>
    <t>Porch, Storage Shed</t>
  </si>
  <si>
    <t>(708) 429-4300</t>
  </si>
  <si>
    <t>Rory Wilfong</t>
  </si>
  <si>
    <t>(708) 218-7653</t>
  </si>
  <si>
    <t>CALL LISTING OFFICE 708-429-4300</t>
  </si>
  <si>
    <t>EM in certified funds ReMax Synergy. Email offers to rorywilfong@remax.net and include POF or Approval.</t>
  </si>
  <si>
    <t>Damen to Huron, West to 2148</t>
  </si>
  <si>
    <t>24.7 X 121</t>
  </si>
  <si>
    <t>East Ukrainian Village South Facing Wide Expansive 3800 Square Foot + 4 bedroom 3 1/2 Bath Single Family Home Circa 2003 Set on Tranquil Huron St. Full Roof Deck with sweeping views, Oak Flooring w/ Cherry Inlay,  Sub Zero, Thermador, Dacor, Central Vac System, Dual Zoned HVAC, High Definition Wiring Speakers, Fireplace, Steam Shower, Mud Room, Walk out Patio, Steps To Vibrant Chicago Ave Restaraunts, Art &amp; Marianos</t>
  </si>
  <si>
    <t>Central Vacuum, TV-Cable, Security System, CO Detectors, Ceiling Fan, Sump Pump, Backup Sump Pump</t>
  </si>
  <si>
    <t>Deck, Mud Room, Office, Storage</t>
  </si>
  <si>
    <t>Vaulted/Cathedral Ceilings, Skylight(s), Sauna/Steam Room, Hardwood Floors</t>
  </si>
  <si>
    <t>49X21</t>
  </si>
  <si>
    <t>Please allow 24 hour notice for showing requests!</t>
  </si>
  <si>
    <t>North Ave to Drake, Drake to Address</t>
  </si>
  <si>
    <t>25 X 177</t>
  </si>
  <si>
    <t>Logan Luxury Massive New Construction SFH on 177ft Lot Steps from the 606 Bloomingdale Trail. Custom Wood Trim and Moldings, Marble FirePl, High End Kitchen with Italian 2 Tone Cabs, Bkfst Bar with Hood, Quartz Counters, SS Apps, Backsplash, 11 Ft. Ceilings in Bsmnt, Skylights, Master Bath w/Designer Tile,   Oversized Walk in Closet, LG Bedrooms, Dual Zoned HVAC w/Radiant Heat in Bsmnt, Amazing 18Ft Back Deck + Yard</t>
  </si>
  <si>
    <t>Email admin@thirdblvd.com Open House 2/22 12-1pm please email to confirm attendance</t>
  </si>
  <si>
    <t>Quality Builders and 1 Yr Home Warranty</t>
  </si>
  <si>
    <t>From Western Ave. turn west on Grenshaw St</t>
  </si>
  <si>
    <t>New construction, 4 single family homes in a row and more to come  - immediate and summer deliver. Unusually energy efficient, certified Energy Star 3.0 rated, tank-less water heater, high efficiency furnace, fresh air system. 4 bdrms, 3.1 luxury baths. Beautiful gourmet kitchen. Oak floors. Finished lower level. Fenced yard and 2 car garage. Great value, great neighborhood. Fully staged home looks great!</t>
  </si>
  <si>
    <t>Separate Shower, Double Sink, European Shower</t>
  </si>
  <si>
    <t>Humidifier, CO Detectors, Ceiling Fan, Sump Pump, Air Exchanger</t>
  </si>
  <si>
    <t>Scott Berg</t>
  </si>
  <si>
    <t>(708) 763-8674</t>
  </si>
  <si>
    <t>773-252-3177</t>
  </si>
  <si>
    <t>contact owner at 773-252-3177 for showings.</t>
  </si>
  <si>
    <t>contact owner at 773-252-3177 for showings. Email offers to email sales@bergproperties.com or Fax offers to (888)615-0169</t>
  </si>
  <si>
    <t>42w285</t>
  </si>
  <si>
    <t>Foxfield</t>
  </si>
  <si>
    <t>IL RT64 WEST TO FOXFIELD SOUTH TO HOME</t>
  </si>
  <si>
    <t>FOXFIELD</t>
  </si>
  <si>
    <t>200X400</t>
  </si>
  <si>
    <t>Great opportunity to live in the country but still be close enough to town. Huge fenced yard for summer fun, basement with wet bar and work room,</t>
  </si>
  <si>
    <t>25X27</t>
  </si>
  <si>
    <t>Click on schedule a showing link down load offer instructions from Connect MLS</t>
  </si>
  <si>
    <t>43W495</t>
  </si>
  <si>
    <t>Hawkeye</t>
  </si>
  <si>
    <t>RT 38 W to Anderson Rd N to Hawkeye OR RT 64 W to Anderson Rd S to Hawkeye. West to Home</t>
  </si>
  <si>
    <t>OAK OPENINGS</t>
  </si>
  <si>
    <t>175X228X210X207</t>
  </si>
  <si>
    <t>Not your normal Tri! INVITING! Maple/SS/Granite/island WOW Kitchen. Vaulted LR w/FP &amp; Skylights. 2 Newer Sliders Open to PARTY SIZED Walled Stone Paver Patios w/Fire Pit. Perfect Gathering Space w/Fenced Yard, Raised Bed Gardens-Backs to Farm. Real BSMT space too! See ADDTL INFO for list of newer: Wide Driveway. HW Floors/Carpet. Stairs/Railings. Paint in/&amp; out. Mechanicals. 2 BAs Up. PEACEFUL LIFE+ Metra in Elburn!!</t>
  </si>
  <si>
    <t>Humidifier, Water-Softener Owned, TV-Cable, CO Detectors, Ceiling Fan, Fan-Whole House, Sump Pump, Air Cleaner</t>
  </si>
  <si>
    <t>Patio, Porch, Brick Paver Patio, Storms/Screens, Outdoor Fireplace</t>
  </si>
  <si>
    <t>Curtains in MBR &amp; Front BR, valences Kitchen/DR (4) - Do Not Stay.     Quiet Oak Openings.  Wonderful country property.  Beautiful HWD flooring.  WORTH THE TRIP - A REALLY AMAZING SETTING.</t>
  </si>
  <si>
    <t>Dante</t>
  </si>
  <si>
    <t>E 86th St to S Dante Ave. South to address.</t>
  </si>
  <si>
    <t>This beautiful, recently rehabbed 4 bedroom, 2 bathroom brick ranch is overflowing with special features. The gorgeous kitchen offers stainless steel appliances, granite counters and upgraded cabinets. The living room offers a fireplace, and the basement has been completely refinished. With a 2-car garage and a great price, it's a must-see! Appliances being installed Feb 4th.</t>
  </si>
  <si>
    <t>Take Route 22 and head South on Harbor, then make a Left on Brookside. Home is in the cul-de-sac.</t>
  </si>
  <si>
    <t>BROOKSIDE RIDGE EAST</t>
  </si>
  <si>
    <t>Bright, Beautiful and Open Floor Plan! Freshly painted In &amp; Out.  Kit w/Brand NEW SS app &amp; Brand NEW granite opens to FR w/FP. Hdwd flrs, 9 ft ceilings &amp; triple crown moldings thruout 1st fl - 1sr fl den/office! Huge LL. Newer carpeting, A/C, some new windows &amp; new shake roof! Pool for added enjoyment! Located on a quite cul-de-sac. Motivated sellers are offering buyers $5000 closing cost credit. WOW! A Must See!</t>
  </si>
  <si>
    <t>14X31</t>
  </si>
  <si>
    <t>Humidifier, Water-Softener Owned, Central Vacuum, Security System, Intercom, CO Detectors, Ceiling Fan, Sump Pump</t>
  </si>
  <si>
    <t>Den, Deck, Eating Area, Foyer, Game Room, Recreation Room, Storage</t>
  </si>
  <si>
    <t>Deck, Patio, Porch, Pool In-Ground, Storms/Screens</t>
  </si>
  <si>
    <t>31X17</t>
  </si>
  <si>
    <t>Gigi Poteracki</t>
  </si>
  <si>
    <t>(847) 277-2725</t>
  </si>
  <si>
    <t>Please call (855) 746-9200 for appointments</t>
  </si>
  <si>
    <t>NW</t>
  </si>
  <si>
    <t>This house does not disappoint! Bring your fussiest buyer! :) NEW - $5000 closing cost credit to buyers plus $1000 buyer's agent office bonus for closed transaction by 4/1!! -  Alarm activated- please confirm appt to receive code- THX!</t>
  </si>
  <si>
    <t>111TH STREET E/W TO MORGAN NORTH TO PROPERTY</t>
  </si>
  <si>
    <t>45X130</t>
  </si>
  <si>
    <t>WHY RENT WHEN YOU CAN OWN A 3 BED 2 BATH RANCH IN THE MORGAN PARK AREA! HOME NEEDS A FEW MINOR UPDATES BUT IS WORTH TAKING A LOOK.  THIS IS NOT A SHORTSALE SO THERE IS NO LONG  WAITING AT THIS PRICE.  PROPERTY IS BEING SOLD AS IS SELLER TO MAKE NO REPAIRS. BUYER TO BUYER ROOM COUNT/SIZES. EARNEST MONEY MUST BE CERTIFIED FUNDS AND ALL OFFERS TO INCLUDE PROOF OF FUNDS/FINANCING.</t>
  </si>
  <si>
    <t>GREATER OF 3% OR $1000 (on Net SP)</t>
  </si>
  <si>
    <t>Trademarks &amp; Associates</t>
  </si>
  <si>
    <t>(708) 576-8535</t>
  </si>
  <si>
    <t>Tamika Marks</t>
  </si>
  <si>
    <t>(773) 656-9895</t>
  </si>
  <si>
    <t>PLEASE USE SHOWING ASSIST AND REMEMBER TO RETURN THE KEY AND SCRAMBLE THE CODE</t>
  </si>
  <si>
    <t>THERE IS STANDING WATER IN THE BASEMENT AND SELLER IS WORKING TO HAVE THE WATER REMOVED.</t>
  </si>
  <si>
    <t>0N696</t>
  </si>
  <si>
    <t>Fieldstone</t>
  </si>
  <si>
    <t>Keslinger W of Randall to Friendship to Schoolhouse.  S on Fieldstone</t>
  </si>
  <si>
    <t>PARKER III</t>
  </si>
  <si>
    <t>83 X 112 X 82 X 113</t>
  </si>
  <si>
    <t>BEAUTIFUL PARKER III FLOOR PLAN FEATURING MANY CUSTOM UPGRADES.   HARDWOOD FLOORING, LARGE GRANITE ISLAND &amp; COUNTER TOPS, TILE BACKSPLASH, UPGRADED CABINETS, CROWN MOLDING, CHAIR RAIL WAINSCOTING, BAY WINDOW, GAS START/WOOD BURNING FP, SURROUND SOUND IN LR &amp; BASEMENT, FINISHED ENGLISH BSMNT, PELLA WINDOWS, WALK IN CLOSETS WITH BUILT-INS, WALK-IN ATTIC, FENCED YARD, PROF LANDSCAPING WITH FIRE PIT &amp; MORE. MUST SEE!</t>
  </si>
  <si>
    <t>Attic, Exercise Room, Office, Play Room, Recreation Room, Walk In Closet</t>
  </si>
  <si>
    <t>Deck, Patio, Brick Paver Patio, Storms/Screens, Outdoor Fireplace</t>
  </si>
  <si>
    <t>Amy Olson</t>
  </si>
  <si>
    <t>(630) 377-3959</t>
  </si>
  <si>
    <t>Contact Centralized Showing.  1-877-977-1010</t>
  </si>
  <si>
    <t>IMMACULATE HOME WITH TONS OF UPGRADES!  Basement speakers, MB curtains, and bedroom wall desk not included.  Backyard play set can stay or go at buyer's discretion.</t>
  </si>
  <si>
    <t>Carlisle</t>
  </si>
  <si>
    <t>Orchard to Oak (W) to Deerpath(N) to Tanner (W) to Western (N) to Carlisle (W)</t>
  </si>
  <si>
    <t>Remington Landing</t>
  </si>
  <si>
    <t>80X182X80X184</t>
  </si>
  <si>
    <t>Stunning home w/great curb appeal &amp; the interior to match! 2-S foyer w/split staircase. HW floors. Large kit w/42" maple cab's, island, granite, SS appl's &amp; butlers pantry. Master suite has tray ceil., balcony, His-N-Her closets &amp; lux. bath w/dbl.van, sep tub &amp; shower. Fabulous fin. bsmt: rec rm, den &amp; 1/2 bath. NEW roof, garage doors, shutters &amp; all ext.trim painted. Fenced yard w/huge paver patio. Kaneland schools.</t>
  </si>
  <si>
    <t>Eating Area-Breakfast Bar, Eating Area-Table Space, Pantry-Butler, Pantry-Closet</t>
  </si>
  <si>
    <t>Heidi Mittelstaedt</t>
  </si>
  <si>
    <t>(630) 220-8983</t>
  </si>
  <si>
    <t>Please call CSS 877-977-1010. Please give 4+ hour notice.</t>
  </si>
  <si>
    <t>Remodeled laundry room and powder room - 2013.</t>
  </si>
  <si>
    <t>Head south on  IL-47 S, Turn right onto Cross St, Turn left onto S Main St,Turn right onto Maple St</t>
  </si>
  <si>
    <t>King Drive to 34th St W to Prairie</t>
  </si>
  <si>
    <t>17X125</t>
  </si>
  <si>
    <t>LUXURIOUS BROWNSTONE IN THE GAP CHICAGO'S PREMIER URBAN ENCLAVE! MIN FROM THE LOOP, LAKE MICHIGAN, &amp; US CELLULAR FIELD! REHABBED FROM THE STUD! NEW ROOF, ELECTRIC, PLUMBING, HVAC, WINDOWS. FORMAL LIVING AND DINING ROOM 10FT CEILINGS, GOURMET KITCHEN W/ MAPLE CABINETS, GRANITE TOPS, &amp; SS APPLIANCES. SPACIOUS MSTR BDRM SUTIE WITH SITTING AREA &amp; GLAMOUR SPA. DARK HDWD FLOORS THROUGHOUT. REAR DECK ON EACH LEVEL!</t>
  </si>
  <si>
    <t>Oven-Double, Oven/Range, Microwave, Dishwasher, Refrigerator, Washer, Dryer, All Stainless Steel Kitchen Appliances</t>
  </si>
  <si>
    <t>Den, Mud Room, Utility Room-Lower Level</t>
  </si>
  <si>
    <t>Hot Tub, Hardwood Floors, 2nd Floor Laundry</t>
  </si>
  <si>
    <t>CALL SHOWING TIME 855-957-1523 24 HOUR NOTICE</t>
  </si>
  <si>
    <t>Please send all offers to mattzclosing@gmail.com/themattzgroup@gmail.com with offer cover sheet and disclosures under additional information</t>
  </si>
  <si>
    <t>MARSHFIELD</t>
  </si>
  <si>
    <t>ONE WAY NORTH FROM ADDISON OR GRACE, ONE BLK WEST OF ASHLAND</t>
  </si>
  <si>
    <t>25 X 123</t>
  </si>
  <si>
    <t>BEAUTIFUL, FULLY RENOVATED SFH IN BLAINE SCHOOL DISTRICT. SUPERB CRAFTSMANSHIP W/ELEGANT  TRADITIONAL DETAILS THRUOUT. WIDEPLANK HRWD FLRS, SOLID CHERRY DRS, CUSTOM BUILT-INS, WAINSCOTING. INVITING CHEFS KIT OFFERS ISLAND, WALK-IN PANTRY, BRKFST RM. 3 LRG BRMS + LAUNDRY RM ON 2ND FLR. 3RD FLR FAMILY RM, OFFICE &amp; 4TH BR W/FULL BA. FULL FINISHED BASEMENT INCLS REC RM, BAR, FULL BA, MUD RM &amp; ABUNDANT STORAGE. AN A+ HOME</t>
  </si>
  <si>
    <t>Oven/Range, Microwave, Dishwasher, Refrigerator, Refrigerator-Bar, Washer, Dryer, Disposal, All Stainless Steel Kitchen Appliances, Wine Cooler/Refrigerator</t>
  </si>
  <si>
    <t>Eating Area, Recreation Room, Office, Mud Room, Bar, Pantry, Storage</t>
  </si>
  <si>
    <t>Marianne Piazzi</t>
  </si>
  <si>
    <t>(312) 318-5800</t>
  </si>
  <si>
    <t>USE SHOWING ASSIST; 24 HRS APPRECIATED.</t>
  </si>
  <si>
    <t>PRICED TO SELL - DON'T WAIT!</t>
  </si>
  <si>
    <t>Summit</t>
  </si>
  <si>
    <t>Route 59 to Roberts West to West Lake Shore South. Stay Left at split, Right on Summit. Home on Left</t>
  </si>
  <si>
    <t>IRREGULAR</t>
  </si>
  <si>
    <t>Artistic blend of cottage and traditional along with a Pottery Barn flair makes this a truly special home. It features the warmth of wood, cozy fireplaces, quaint sun room and natural stone patio with lake views. Fresh decor throughout, spacious rooms, great workshop and storage. Situated on a private, peaceful wooded lot with treetop views of the lake.Close to playground, boat launch, lake. Swim, boat, fish!</t>
  </si>
  <si>
    <t>Water Rights, Water View, Wooded</t>
  </si>
  <si>
    <t>Lake Rights</t>
  </si>
  <si>
    <t>Game Room, Storage, Sun/Florida Room, Workroom</t>
  </si>
  <si>
    <t>2 Stories, Hillside</t>
  </si>
  <si>
    <t>2.5-$300 (on Net SP)</t>
  </si>
  <si>
    <t>Valerie Gleason</t>
  </si>
  <si>
    <t>(847) 341-1856</t>
  </si>
  <si>
    <t>Call Showing Desk at 855-746-9100</t>
  </si>
  <si>
    <t>****SOLD IN PROCESSING****</t>
  </si>
  <si>
    <t>31 to Kimball E to Douglas N to home</t>
  </si>
  <si>
    <t>66 X 165</t>
  </si>
  <si>
    <t>Fabulous brick home in Elgin's Gold Coast. Character you would expect includes hardwood floors,french doors,crown moldings &amp; nice woodwork. Major restoration brought this home into the 21st century! Improvements in last 2 years include roof,gutters &amp; downspouts,2 heat &amp; a/c units,all plumbing &amp; 200 amp electric,kitchen &amp; more. Third floor framed &amp; insulated for master suite with half bath and laundry. Ready to finish</t>
  </si>
  <si>
    <t>Bonus, Foyer, Sun/Florida Room Heated</t>
  </si>
  <si>
    <t>clo 847-622-8665 - 24 hr notice due to active family with dogs, kids &amp; at-home offices</t>
  </si>
  <si>
    <t>LARKSPUR</t>
  </si>
  <si>
    <t>SCHAUMBURG/SUTTON RD (59) SOUTH THEN WEST ON LARKSPUR LN TO HOME</t>
  </si>
  <si>
    <t>SURREY MEADOWS</t>
  </si>
  <si>
    <t>7920 SQ. FT.</t>
  </si>
  <si>
    <t>STUNNING IMMACULATE 4 BEDROOM, 2.1 BATH HOUSE W/NEW WOOD LAMINATE FLOORS T/O 1ST FLOOR. LARGE FAMILY AND LIVING ROOMS. SEPARATE DINING ROOM AND BREAKFAST ROOM. MASTER BEDROOM HAS FULL BATH AND WALK-IN CLOSET. FULL BASEMENT, 2 CAR GARAGE. FENCED BACKYARD. CLOSE TO SCHOOL, SHOPPING &amp; TRANSPORTATION. SHOW &amp; SELL!!</t>
  </si>
  <si>
    <t>Century 21 1st Class Homes</t>
  </si>
  <si>
    <t>(847) 882-4855</t>
  </si>
  <si>
    <t>Kalidas Salvi</t>
  </si>
  <si>
    <t>(847) 882-4855x3225</t>
  </si>
  <si>
    <t>CALL LO - 2 hour notice please</t>
  </si>
  <si>
    <t>Alexandria</t>
  </si>
  <si>
    <t>Sleepy Hollow to Alexandria west to 5411</t>
  </si>
  <si>
    <t>SHENANDOAH</t>
  </si>
  <si>
    <t>66X112X82X124</t>
  </si>
  <si>
    <t>This lovely home in Shenandoah will surely impress with its 2-story foyer, recessed lighting and large fam rm which is wired for tv/audio. Eat-in kit w/42" cabinets &amp; tile backsplash. Center island, pantry and under cab lighting. Huge master suite w/walk-in closet. Mstr bath with soaker tub, sep shower &amp; double vanity. 2nd &amp; 3rd bedrooms w/walk-ins. Furnace '13, roof '14, vertical blinds '12, new gar door opener.</t>
  </si>
  <si>
    <t>Humidifier, Water-Softener Rented, TV-Cable, TV-Dish, Security System, CO Detectors, Ceiling Fan, Sump Pump</t>
  </si>
  <si>
    <t>Connect Realty.com, Inc.</t>
  </si>
  <si>
    <t>(630) 935-8400</t>
  </si>
  <si>
    <t>Kathleen Stelton</t>
  </si>
  <si>
    <t>(847) 414-0102</t>
  </si>
  <si>
    <t>Call CSS at 877-977-1010</t>
  </si>
  <si>
    <t>Pet and smoke free home. Naturescape fertilizing incl for 2015. All bathroom toilets equipped with bidet systems. Dishwasher is not in good working order.</t>
  </si>
  <si>
    <t>Stonehaven</t>
  </si>
  <si>
    <t>Randall to Highland W to Stonehaven.</t>
  </si>
  <si>
    <t>HIGHLAND GLEN</t>
  </si>
  <si>
    <t>41X163X155X110</t>
  </si>
  <si>
    <t>Meticulously maintained home. You feel the open floor plan as you enter in the 2 story foyer, to the right is an inviting living room &amp; dining room, to the left a lovely office or den, past that is a large family room with 2 story ceiling &amp; fireplace. You will fall in love with the huge eat-in kitchen with breakfast bar/center island and large pantry. Great bedroom space &amp; exceptionaly finished bsmt. Pool &amp; deck.</t>
  </si>
  <si>
    <t>CREEKSIDE ELEMENTARY SCHOOL</t>
  </si>
  <si>
    <t>Den, Foyer, Game Room, Media Room, Recreation Room</t>
  </si>
  <si>
    <t>Deck, Patio, Pool Above Ground</t>
  </si>
  <si>
    <t>Preferred Homes Realty</t>
  </si>
  <si>
    <t>(847) 695-6040</t>
  </si>
  <si>
    <t>Jeff Kellenberger</t>
  </si>
  <si>
    <t>(847) 695-6040x207</t>
  </si>
  <si>
    <t>Call CSS at 877-977-1010. Remove shoes.</t>
  </si>
  <si>
    <t>Owner is relocating. Swimming Pool is included. Basement TV, receiver, speakers and DVD player all stay. Pool table is negotiable.</t>
  </si>
  <si>
    <t>Halsted to 109th St, W to Green St, S to address</t>
  </si>
  <si>
    <t>This beautiful, recently rehabbed 4 bed, 2.5 bath, over-sized, brick Georgian is overflowing with new features and additions! New cement drive and new sidewalks! Newly tuckpointed! Gleaming hardwood on the first and second floor! Gorgeous kitchen with stainless steel appliances, granite counters and upgraded cabinets! With a completely refinished basement and a great price, it's a must-see!</t>
  </si>
  <si>
    <t>BELDEN</t>
  </si>
  <si>
    <t>LOGAN SQUARES NEWEST DEVELOPMENT "THE ARTISAN COLLECTION" BY NOAH PROPERTIES***FEATURING 14 ELEGANTLY DESIGNED SINGLE FAMILY HOMES***OPEN BRIGHT FLOOR PLAN, GOURMET KITCHENS, LARGE BEDROOMS, LUXURIOUS MASTER BATHS, HARDWOOD FLOORS, CUSTOM APPOINTED FINISHES, FIREPLACE, HIGH QUALITY APPLINACES, BEAUTIFUL MILLWORK AND EXPERT CRAFTSMANSHIP. DELIVERY APRIL 2015. MODEL AVAILABLE NOW.</t>
  </si>
  <si>
    <t>EMAIL MELISSA@SERGIOANDBANKS.COM OR   BRIAN@SERGIOANDBANKS.COM OPEN HOUSES SAT/SUN 11-1</t>
  </si>
  <si>
    <t>2635 MEDILL LLC #2348885.  APRIL DELIVERY. MODEL AVAILABLE TO SEE NOW.</t>
  </si>
  <si>
    <t>Devon to Glenwood, north</t>
  </si>
  <si>
    <t>Gorgeous renovated 4 bedroom/2 bath home. Beautiful newer kitchen with family room, new bath, high ceilings, fireplace, elegant details. Full basement and walk-up attic for expansion/storage. Great front porch, large yard with deck, 2.5 car garage plus covered car port. Walk to beach and train. 5 minutes to Lake Shore Drive.</t>
  </si>
  <si>
    <t>Paul Gorney</t>
  </si>
  <si>
    <t>(312) 268-0635</t>
  </si>
  <si>
    <t>Email/Call/Text 773-914-0023</t>
  </si>
  <si>
    <t>55TH ST EAST OR WEST, THEN NORTH TO ADDRESS</t>
  </si>
  <si>
    <t>Multiple offers do by Tuesday 12noon ***AMAZING HUGE BRICK BUNGALOW ONE BLOCK WAY FROM THE SCHOOL*** TOTAL OF 4 BEDROOMS, UPDATED KITCHEN,  2 FULL BATHS, SEPARATE DINING ROOM, GLEAMING HARDWOOD &amp; CERAMIC FLOORS, FINISHED BASEMENT WITH A HUGE FAMILY ROOM, LAUNDRY, AND STORAGE AREA. ROOF ONLY ABOUT 3 YEARS OLD, HIGH QUALITY WINDOWS, 2 CAR BRICK GARAGE, SET UP YOUR SHOWINGS BEFORE IS GONE. THANKS FOR SHOWING MY LISTING.</t>
  </si>
  <si>
    <t>31X21</t>
  </si>
  <si>
    <t>773 983 5964</t>
  </si>
  <si>
    <t>USE SHOWING ASSIST..</t>
  </si>
  <si>
    <t>EARNEST MONEY PAYABLE TO CHICAGO TITLE, GOOD CONDITION, BUT SALE AS IS CONDITION AGENTS PLEASE MAKE SURE TO CLOSE ALL DOORS &amp; TURN OFF LIGHTS AFTER YOUR SHOWING. ANY SECURITY ISSUES PLEASE REPORT TO THE LISTING AGENT. 773 983 5964 THANKS.</t>
  </si>
  <si>
    <t>Preakness</t>
  </si>
  <si>
    <t>RT 34 TO 5th St, S to Yoakum, L to Bluegrass, R to home</t>
  </si>
  <si>
    <t>ALYSHEBA</t>
  </si>
  <si>
    <t>75X134</t>
  </si>
  <si>
    <t>This home has it ALL!  3200+ sq ft, 4BR, 3.1BA, 1st flr office, FULL FINISHED BSMT w/ full custom bath, full bar area &amp; stamped concrete patio!  Gourmet Kit w granite ctrs, 42" maple cabinets and large eating area + island.  4 oversized bedrooms! Large fenced yard. 6 panel doors/white trim. Walk to onsite grade/middle schools!  Enjoy Oswego's PREMIER clubhouse comm w/ pools, walking paths, tennis/bball/vball courts!</t>
  </si>
  <si>
    <t>Bar, Breakfast Room, Office, Play Room, Recreation Room</t>
  </si>
  <si>
    <t>Use Showing Assist, call 800-showing or use mobile app</t>
  </si>
  <si>
    <t>Awesome move in ready home.  You will LOVE the finished basement!</t>
  </si>
  <si>
    <t>Snow</t>
  </si>
  <si>
    <t>Randall to Main, E to Millview, S to Towne, W to McClurg, S  to Buttermilk, E to Snow Ct. on left</t>
  </si>
  <si>
    <t>60 X 65 X 130 X 120 X 107</t>
  </si>
  <si>
    <t>EXCEPTIONAL CUSTOM home on QUIET CUL-DE-SAC, w/upgraded MILLWORK, tray ceilings &amp; skylights. LIGHT &amp; BRIGHT, youâ€™ll LOVE the UNIQUE OPEN LAYOUT. Dramatic, 2 story fam rm FLOWS to lovely kitchen w/GRANITE, DBL OVENS &amp; island! LUXURIOUS NEW MASTER BATH w/HEATED FLRS, jacuzzi, DOUBLE SHOWER + DUAL vanities w/GRANITE! MASSIVE, FINISHED BSMT ADDS 1118 sq ft! CUSTOM GARAGE STORAGE. METICULOUSLY CARED FOR! MOVE IN &amp; ENJOY!</t>
  </si>
  <si>
    <t>Oven-Double, Microwave, Dishwasher, Refrigerator, Freezer, Washer, Dryer, Disposal</t>
  </si>
  <si>
    <t>Humidifier, Water-Softener Owned, Security System, CO Detectors, Ceiling Fan, Sump Pump, Sprinkler-Lawn, Backup Sump Pump</t>
  </si>
  <si>
    <t>Vaulted/Cathedral Ceilings, Skylight(s), Hardwood Floors, Heated Floors, 1st Floor Bedroom, 1st Floor Laundry</t>
  </si>
  <si>
    <t>Dog Run &amp;/or Invisible Fence, Brick Paver Patio, Storms/Screens</t>
  </si>
  <si>
    <t>25X35</t>
  </si>
  <si>
    <t>Tiffany Riehle</t>
  </si>
  <si>
    <t>630-715-2423</t>
  </si>
  <si>
    <t>Call BHHS Showing Desk 888-362-3222.  After hours call Listing Agent Cell 630-715-2423</t>
  </si>
  <si>
    <t>Relocation home.  Show with confidence!  Many architectural upgrades throughout.  1st floor Den could be 5th bedroom.  Pre-inspected and ready to sell!</t>
  </si>
  <si>
    <t>West on Chicago Ave. to N. Mozart St.</t>
  </si>
  <si>
    <t>24X85</t>
  </si>
  <si>
    <t>New construction, modern single family home. Unusually energy efficient and certified Energy Star 3.0 rated - extra thick walls tank-Less water heater, high efficiency furnace. 4 bdrms, 3.1 luxury baths. Beautiful, expertly planned kitchen. Hardwood floors and stunning floating oak staircase. Completely finished lower level. 2 car garage with full roof deck. One of six homes in a row in a great neighborhood.</t>
  </si>
  <si>
    <t>Double Sink, European Shower, Full Body Spray Shower</t>
  </si>
  <si>
    <t>Humidifier, TV-Cable, Security System, CO Detectors, Ceiling Fan, Sump Pump, Air Exchanger</t>
  </si>
  <si>
    <t>Contact owner at 773-252-3177 for showings.</t>
  </si>
  <si>
    <t>Contact owner at 773-252-3177 for showings. Email offers to email sales@bergproperties.com or Fax offers to (888) 615-0169.</t>
  </si>
  <si>
    <t>NICKERSON</t>
  </si>
  <si>
    <t>NW Hwy to Sayre South over RR tracks to Nickerson</t>
  </si>
  <si>
    <t>50 X 195</t>
  </si>
  <si>
    <t>Beautiful American 4 Square Completely Gutted &amp; Rehabbed on Big Lot in the Heart of Old Norwood. Enjoy the  Nice Layout, Formal Living Rm &amp; Dining Rm, Office/MudRm, Chef's Kitchen w/ Custom Cabinetry &amp; High-End Appls. Large Family Rm Addition Overlooking Yard, Kids Room w/Loft Space, Master Suite. All New-47 Anderson Windows, Siding, 2 Furnances, H2O Tanks, Copper Plumbing Thru-Out, Electric &amp; Pkg Pad. Walk to Metra.</t>
  </si>
  <si>
    <t>20X01</t>
  </si>
  <si>
    <t>High End Refrigerator, All Stainless Steel Kitchen Appliances</t>
  </si>
  <si>
    <t>Foyer, Loft, Storage, Walk In Closet, Other</t>
  </si>
  <si>
    <t>Steel Siding</t>
  </si>
  <si>
    <t>Deck, Storms/Screens, Grill-Outdoors</t>
  </si>
  <si>
    <t>Pretty Cool! Perfect for Families w/Ball Pit Slide-Playroom, BBall Hoop &amp; Treehouse/Side off Deck.</t>
  </si>
  <si>
    <t>Avenue L TO 106TH STREET, EAST TO AVENUE N, NORTH TO PROPERTY.</t>
  </si>
  <si>
    <t>1.5 story Cape Cod, aluminum sided, second level fiished with 2 bedrooms, unfinished basement.  Needs work.  Sold "as is."</t>
  </si>
  <si>
    <t>Bev Labuda</t>
  </si>
  <si>
    <t>(708) 205-3711</t>
  </si>
  <si>
    <t>Call Listing Office Apt. Desk 708-429-4300</t>
  </si>
  <si>
    <t>E.M. must be in Cashier's Check payable to RE/MAX Synergy.  Addendums on MLS.</t>
  </si>
  <si>
    <t>Whitney</t>
  </si>
  <si>
    <t>Main street East of NW HWY West of Ela to Whitney</t>
  </si>
  <si>
    <t>85X132</t>
  </si>
  <si>
    <t>AMAZING VILLAGE LOCATION! TOP Schools! NEW roof (2013) New siding (2015) New gutters/soffits (2015) Chefs kitchen w/Sub Zero, Viking, granite counters &amp; island. Highly upgraded offering 4 generous bedrooms 2.1 baths plus 1st floor office and finished basement! Open plan w/gleaming hardwood, huge master suite boasting a bath w/whirlpool tub, separate shower. Large deck, huge mud room! Welcome Home!</t>
  </si>
  <si>
    <t>Microwave, Dishwasher, Refrigerator, High End Refrigerator, Washer, Dryer, Disposal, All Stainless Steel Kitchen Appliances</t>
  </si>
  <si>
    <t>Common Grounds, Landscaped Professionally</t>
  </si>
  <si>
    <t>Deck, Office, Recreation Room, Storage, Walk In Closet</t>
  </si>
  <si>
    <t>Holly Connors</t>
  </si>
  <si>
    <t>(773) 383-2490</t>
  </si>
  <si>
    <t>773-383-2490</t>
  </si>
  <si>
    <t>RT 71 S ON FOREST W ON PRAIRIEVIEW S ON PARKSIDE</t>
  </si>
  <si>
    <t>LAKEVIEW ESTATES</t>
  </si>
  <si>
    <t>WATERFIELD</t>
  </si>
  <si>
    <t>64X125X106X125</t>
  </si>
  <si>
    <t>2,670 SF!  NEWER ITEMS:  Interior painting, carpet in family room, kitchen appliances, exterior siding w double insulation (2009)!  4 Bedrooms, 2.1 Baths!  3 seasons room with radiant floor heat (ready to be connected)!  Formal LR &amp; DR.  Kitchen is open to the eating area and the family room - great for entertaining!  Full basement, partially finished w full bath rough in'd waiting to be completed! 3C gar, HOME WARR!</t>
  </si>
  <si>
    <t>Breakfast Room, Sun/Florida Room</t>
  </si>
  <si>
    <t>Hot Tub, Hardwood Floors, 1st Floor Laundry</t>
  </si>
  <si>
    <t>Patio, Hot Tub</t>
  </si>
  <si>
    <t>2  2.5%-$150.00 (on Net SP)</t>
  </si>
  <si>
    <t>Tammy Sartain</t>
  </si>
  <si>
    <t>(630) 774-5317</t>
  </si>
  <si>
    <t>Use show assist - Go, Show and Sell!</t>
  </si>
  <si>
    <t>North Avenue to Albany then North to Property</t>
  </si>
  <si>
    <t>25X118</t>
  </si>
  <si>
    <t>New construction in hot Humboldt Park!  Contemporary design with open floor plan, master suite and full/finished basement. Steps from Humboldt Park and new Bloomingdale Trail.  Custom finishes throughtout.</t>
  </si>
  <si>
    <t>18X23</t>
  </si>
  <si>
    <t>2.5%-300 (on Net SP)</t>
  </si>
  <si>
    <t>Gregory T. Mizen</t>
  </si>
  <si>
    <t>(630) 358-9508</t>
  </si>
  <si>
    <t>Gregory Mizen</t>
  </si>
  <si>
    <t>Route 30 to Treasure, west to Essex, north to property</t>
  </si>
  <si>
    <t>BRIGHTON MEADOWS</t>
  </si>
  <si>
    <t>48 X 150 X 96 X 131</t>
  </si>
  <si>
    <t>This one has everything on your wish list!  Big sun drenched rooms with gleaming hardwood floors, soaring vaulted ceilings, new carpeting and a gorgeous brick fireplace. The spacious kitchen boasts top of the line granite countertops and backsplash,maple cabinets with SS appliances. Master bath has granite vanity tops with a soaking tub/ separate shower. Finished basement  with a wet bar, media room and rec room</t>
  </si>
  <si>
    <t>Bar, Breakfast Room, Media Room, Recreation Room</t>
  </si>
  <si>
    <t>Vaulted/Cathedral Ceilings, Bar-Wet, Hardwood Floors, Wood Laminate Floors, 1st Floor Laundry</t>
  </si>
  <si>
    <t>Patio, Porch, Storage Shed, Pool Above Ground, Storms/Screens</t>
  </si>
  <si>
    <t>14X29</t>
  </si>
  <si>
    <t>Martha McDuffie, MRP</t>
  </si>
  <si>
    <t>(630) 746-1225</t>
  </si>
  <si>
    <t>eFax 630-566-4297</t>
  </si>
  <si>
    <t>Call CSS 877-977-1010 to schedule showings Please remove shoes</t>
  </si>
  <si>
    <t>All Blinds will stay. The curtain panels in the bedrooms will be removed before closing. Relo addendums apply please see additional info. Washer/dryer and refrigerator not included. Please have buyers remove shoes.</t>
  </si>
  <si>
    <t>MARION</t>
  </si>
  <si>
    <t>DIVISION TO WOOD WEST ON ELLEN SOUTH ON MARION</t>
  </si>
  <si>
    <t>25 X 107</t>
  </si>
  <si>
    <t>CONTEMPORARY HOME IN A+ LOCATION! LR CENTERED AROUND SPARK RIBBON FRPLC FEATURES ESPRESSO-STAINED HRDWD FLRS &amp; CUSTOM STAIRCASE. SUPERB FINISHES: ITALIAN ARAN CABS, COSENTINO QUARTZ COUNTRS, BATHS W/DURAVIT, LACAVA, HANS GROHE &amp; ITALIAN PORCELAIN TILE. SMARTHOME AUTOMATION SYSTEM BY SCITECH; OUTDOOR GARDENS &amp; ROOFTOP DECK WITH FANTASTIC VIEWS. STEPS AWAY FROM SHOPPING, BEST RESTAURANTS, WALKING DISTANCE TO BLUE LINE</t>
  </si>
  <si>
    <t>PRITZKER ELEMENTARY SCHOOL</t>
  </si>
  <si>
    <t>Breakfast Room, Deck, Game Room</t>
  </si>
  <si>
    <t>See through/Multi Sided, Gas Starter</t>
  </si>
  <si>
    <t>FOR INTERACTIVE FLOORPLAN, CLICK ON VIRTUAL TOUR OR DOWNLOAD IN ADDITIONAL INFO.</t>
  </si>
  <si>
    <t>ST GEORGES</t>
  </si>
  <si>
    <t>CALIFORNIA SOUTH OF MILWAUKEE TO STAVE EAST TO ST GEORGES</t>
  </si>
  <si>
    <t>49 X 55</t>
  </si>
  <si>
    <t>Pride Of Ownership! Move In Ready, So Many Updates. HWF Thru Out, Updated Kitchen W/SS Appliances, New W/D, Boiler, H20 Tank, Newer Windows, Central Air, Roof. Great Lower Level With High Ceilings &amp; Walk Out to Yard, Brick Paver Patio, Trek Decking. Location, Location, Location!</t>
  </si>
  <si>
    <t>20X29</t>
  </si>
  <si>
    <t>Deck, Patio, Storage Shed, Brick Paver Patio, Storms/Screens, Grill-Outdoors</t>
  </si>
  <si>
    <t>Robin Allotta</t>
  </si>
  <si>
    <t>(312) 437-7777</t>
  </si>
  <si>
    <t>EMAIL ALLOTTAREALTYGROUP@CONLONREALESTATE.COM</t>
  </si>
  <si>
    <t>Showing sat and sun 10-1130</t>
  </si>
  <si>
    <t>Winnebago</t>
  </si>
  <si>
    <t>Fabyan to Western S to Crestview E to Winnebago</t>
  </si>
  <si>
    <t>CRESTVIEW MEADOWS</t>
  </si>
  <si>
    <t>75X144X99X140</t>
  </si>
  <si>
    <t>4BR/3.5BA 2-story, so clean, fresh dÃ©cor, beautiful kitchen that opens to family room with stunning fireplace, generous room sizes, French doors, hardwood, custom tile work, finished basement with gorgeous full bath, huge rec room, covered entry, patio, great storage, natural light, mature landscaping, completely updated!  This is the ideal family homeâ€¦see it now!</t>
  </si>
  <si>
    <t>H C STORM ELEMENTARY SCHOOL</t>
  </si>
  <si>
    <t>Aluminum Siding, Cedar</t>
  </si>
  <si>
    <t>Vaulted/Cathedral Ceilings, Skylight(s), Hardwood Floors, Wood Laminate Floors</t>
  </si>
  <si>
    <t>Friendly dog, Bandit, in house.</t>
  </si>
  <si>
    <t>Giddings</t>
  </si>
  <si>
    <t>Wilson To Seeley, North To Giddings, East to property</t>
  </si>
  <si>
    <t>37 X 123</t>
  </si>
  <si>
    <t>Fantastic 4-bed/3.5-bath home on oversized lot in Lincoln Square. Home offers a great layout with large rooms; formal living/dining and kitchen with attached family room on main level; 3 beds/2 baths up; large lower level with recreation room and wet bar, plus guest bed/bath. A wrap-around front porch, deck off master, 2 fireplaces and 3-car garage are a few of the extras. Walk to El, Metra and Mariano's. Call today!</t>
  </si>
  <si>
    <t>Recreation Room, Utility Room-Lower Level, Walk In Closet</t>
  </si>
  <si>
    <t>32X19</t>
  </si>
  <si>
    <t>Rizwan Gilani</t>
  </si>
  <si>
    <t>(773) 326-6534</t>
  </si>
  <si>
    <t>Email riz@dreamtown.com</t>
  </si>
  <si>
    <t>Tay River</t>
  </si>
  <si>
    <t>31 N to Huntley W to Harbor N to Anchor E to Tay River</t>
  </si>
  <si>
    <t>Newport Cove</t>
  </si>
  <si>
    <t>70X127X67X136</t>
  </si>
  <si>
    <t>HUGE addition (5 yrs!) which included a new kitchen, master suite with luxury bath, family room, loft, roof, and mechanicals to name a few! Open floor plan includes gourmet custom kitchen, spacious loft, additional en suite and large bedrooms.  Brazilian walnut HdWd floors throughout first floor and Pella windows! Must see property! Close to shopping, I-90 and Raceway Woods. Great schools!</t>
  </si>
  <si>
    <t>2.5 -$250 (on Net SP)</t>
  </si>
  <si>
    <t>Claire Einhorn, ABR</t>
  </si>
  <si>
    <t>(630) 935-5020</t>
  </si>
  <si>
    <t>EZ - Call 1-800-746-9464 or click showing assist</t>
  </si>
  <si>
    <t>Friendly dogs in crates may bark for a few minutes.  Please leave a card and provide feedback.</t>
  </si>
  <si>
    <t>Conley</t>
  </si>
  <si>
    <t>IL 38 east of IL 47 to Anderson south to Prairie Valley west to Conley north to home</t>
  </si>
  <si>
    <t>77X147X92X136</t>
  </si>
  <si>
    <t>Beautifully maintained 4 bdrm home in wonderful subdivision just two blocks from Grade school~3000 sqft of living space~Vaulted living rm w/hardwood flrs~Eat in kit w/tile floor/new dishwasher~Den could be formal dining rm~1st flr master suite w/Garden tub/separate shower/double basin/walkin closet~3 spacious bedrms on 2nd flr~All appl stay~Finished bsmt w/bath rough in(2 rooms need final touches)Just minutes 2 metra</t>
  </si>
  <si>
    <t>Den, Exercise Room, Media Room, Office, Recreation Room</t>
  </si>
  <si>
    <t>Call 855-746-9200</t>
  </si>
  <si>
    <t>***SOLD BEFORE PRINT***SOLD BEFORE PRINT***SOLD BEFORE PRINT***SOLD BEFORE PRINT***SOLD BEFORE PRINT***SOLD BEFORE***</t>
  </si>
  <si>
    <t>EMAIL MELISSA@SERGIOANDBANKS.COM</t>
  </si>
  <si>
    <t>2635MEDILL LLC #2348885, DELIVERY SPRING 2015. PICTURES ARE OF SIMILAR HOMES THAT HAVE SOLD. FLOOR PLANS AND ROOM DIMENSIONS ARE SUBJECT TO CHANGE WITH OUT NOTICE.Commission on base price.</t>
  </si>
  <si>
    <t>Minkler</t>
  </si>
  <si>
    <t>Route 71 to Minkler/Orchard, Head south for 3.5miles to address...just west of Hilltop Road.</t>
  </si>
  <si>
    <t>227X583</t>
  </si>
  <si>
    <t>Country is Calling! Peace, Privacy, and Parking galore. Zoned Agricultural. Bring your horses! This 1,648 sqft 4 bedroom ranch with full basement sits on a full 3 acres (227'x583'). The land is bordered by hundreds of pine trees. Metal pole barn w/concrete floor is approx 1800 SqFt and features: Side 1- HEATED 13'Wx8'H door, 8' ceilings, 23'Wx40'L; Side 2-10'Wx7'H door, 19'Wx40'L. Carport is 26'Lx11'Wx9'H. Sold AS IS</t>
  </si>
  <si>
    <t>Vaulted/Cathedral Ceilings, 1st Floor Bedroom, 1st Floor Full Bath</t>
  </si>
  <si>
    <t>Garage Door Opener(s), Transmitter(s), Carport, Heated</t>
  </si>
  <si>
    <t>CLICK ON SHOWING ASSIST BELOW</t>
  </si>
  <si>
    <t>Charles L &amp; Mable Greer</t>
  </si>
  <si>
    <t>Tremendous Value. Assessed at 265K last year and 245K this year.  For barn specs, please email listing agent. Barn can now be viewed on 1st showing.</t>
  </si>
  <si>
    <t>Archer to Oak Park North to home</t>
  </si>
  <si>
    <t>Senior Freeze</t>
  </si>
  <si>
    <t>Great Location...4 bedrooms possible 5th, 2 baths, large kitchen/dinette, small deck, 1st floor freshly painted,hardwood floors. stove and ref stays. immediate possession. close to I-55 and archer ave.</t>
  </si>
  <si>
    <t>Oven-Double, Dishwasher, Refrigerator</t>
  </si>
  <si>
    <t>Overhead Sewers</t>
  </si>
  <si>
    <t>2.50% (on Net SP)</t>
  </si>
  <si>
    <t>In Realty</t>
  </si>
  <si>
    <t>(773) 582-9300</t>
  </si>
  <si>
    <t>Mary Ann Dybala</t>
  </si>
  <si>
    <t>312-315-5269</t>
  </si>
  <si>
    <t>Cash or conventional only....regular sale</t>
  </si>
  <si>
    <t>Dickens</t>
  </si>
  <si>
    <t>ARMITAGE TO LEAVITT NORTH TO DICKENS.  GO EAST TO HOME.</t>
  </si>
  <si>
    <t>AWESOME SINGLE FAMILY IN THE HEART OF BUCKTOWN! FEATURES INCL: ALL NEW JEDLWEN WINDOWS, NEW ROOF, CUSTOM CABINETRY, HIGH END MIELE AND SUB ZERO APPLIANCES, DARK STAINED HARDWOODS THROUGHOUT, WIRED FOR SOUND, TWO FIREPLACES, DESIGNER BATHS, ROOFTOP DECK ON 2 CAR GARAGE! LARGE FINISHED BASEMENT WITH NEW CARPET, SAUNA, FULL BATH.</t>
  </si>
  <si>
    <t>Southgate Course</t>
  </si>
  <si>
    <t>Main St(Rt 64) to Dunham N to Fox Chase Blvd W to Southgate Course S to Home.</t>
  </si>
  <si>
    <t>Hunters Woods</t>
  </si>
  <si>
    <t>122X73</t>
  </si>
  <si>
    <t>Welcome home to this light, bright &amp; airy 4 bedroom offering lots of Updates. Updated Kit w/ Breakfast Bar &amp; eating area, Updated baths throughout, Hardwood flooring in Hall, Entry, Family Room, &amp; Kitchen. Spacious Master Bedroom &amp; Bath with W/I/C. Full basement. Lots of storage. Newer windows, roof, siding, furnace, A/C &amp; Driveway. Relax in the beautiful landscaped backyard. Close to schools/shopping!</t>
  </si>
  <si>
    <t>Bonus, Foyer, Recreation Room, Sitting Room</t>
  </si>
  <si>
    <t>Hardwood Floors, Solar Tubes/Light Tubes</t>
  </si>
  <si>
    <t>Personal Touch Realty Inc</t>
  </si>
  <si>
    <t>(630) 443-7011</t>
  </si>
  <si>
    <t>Beth Ciszek</t>
  </si>
  <si>
    <t>(630) 625-2823</t>
  </si>
  <si>
    <t>Call Showing Desk 1-855-953-8158. 2 Hr Notice.</t>
  </si>
  <si>
    <t>Oketo</t>
  </si>
  <si>
    <t>FOREST PRESERVE WEST OF HARLEM TO OKETO - SOUTH TO ADDRESS</t>
  </si>
  <si>
    <t>30 X 127</t>
  </si>
  <si>
    <t>Large 4 Bedroom, 2.5 Bath 1.5 story Single Family with a 2 Car detached Garage. Freshly Painted and refinished Floors. Features Hardwood Floors, Eat-in Kitchen, separate Dining Room, rear Deck and a full unfinished Basement. This property is eligible for the Freddie Mac First Look Initiative through 3/16/15. Homesteps Financing is available.</t>
  </si>
  <si>
    <t>Freddie Mac/Homesteps</t>
  </si>
  <si>
    <t>**Multiple offers** Seller is requesting highest and best due no later than 3.20.15 by 10A.M. Please Fax your highest Offer to 312-454-4465, or email martino@chgorealty.com  and state that it is in fact your final and best.</t>
  </si>
  <si>
    <t>PACIFIC</t>
  </si>
  <si>
    <t>BELMONT TO PACIFIC, NORTH TO PROPERTY</t>
  </si>
  <si>
    <t>SINGLE FAMILY HOME WITH AN IN-LAW ON SECOND FLOOR! PROPERTY IS CURRENTLY IN THE PROCESS OF BEING ZONED AS A 2 FLAT. REMODELED WITH HARDWOOD FLOORS, GRANITE COUNTERS AND BACKSPLASH. EACH FLOOR OFFERS A LIVING ROOM, DINING ROOM, KITCHEN, 2 BEDROOMS AND 1 BATH! PARTIALLY FINISHED BASEMENT WITH BATHROOM. BRICK 2 CAR GARAGE. A TRUE MUST SEE! PERFECT FOR THE LARGE FAMILY!</t>
  </si>
  <si>
    <t>2nd Kitchen, Other</t>
  </si>
  <si>
    <t>Avenue 1 Realty Group</t>
  </si>
  <si>
    <t>(773) 622-4663</t>
  </si>
  <si>
    <t>Ray Casali</t>
  </si>
  <si>
    <t>(312) 671-0777</t>
  </si>
  <si>
    <t>SELLERS ATTORNEY HOLDS EARNEST</t>
  </si>
  <si>
    <t>FABYAN TO RT25 S TO LATHEM E TO HOME</t>
  </si>
  <si>
    <t>AWESOME</t>
  </si>
  <si>
    <t>79X141</t>
  </si>
  <si>
    <t>**STUNNING! IMMACULATE! EVERY ATTENTION TO DETAIL!!** 4 BEDS, 2.1 BATH. Newer Everything!! **Roof, Gutters, Siding, Windows, Mechanics, Electrical, Plumbing, Baths &amp; Kitchen!*** INCREDIBLE 4 CAR GARAGE - tandem, heated, insulated. SHED w/Gutters &amp; window! PERENNIAL PARADISE Waterfall, 2 Ponds - Walk- Bridge. Cedar Fence. Beautifully updated, Thoroughly Maintained. Hardwood, Tile, Decor! THIS WILL KNOCK YOUR SOCKS OFF</t>
  </si>
  <si>
    <t>Fenced Yard, Pond</t>
  </si>
  <si>
    <t>Humidifier, Water-Softener Owned, Air Cleaner, Radon Mitigation System(s)</t>
  </si>
  <si>
    <t>Patio, Gazebo, Storage Shed, Grill-Outdoors, Outdoor Fireplace</t>
  </si>
  <si>
    <t>Garage Door Opener(s), Heated, Tandem, 7 Foot or more high garage door</t>
  </si>
  <si>
    <t>FAX 630-405-6789</t>
  </si>
  <si>
    <t>CALL SHOWING TIME 855-919-0434 MUST CONFIRM. PLS ALLOW 1 HR</t>
  </si>
  <si>
    <t>THIS IS PRETTY AWESOME - NOTHING LEFT UNDONE  GAS TO GRILL WILL BE CAPPED  APP NEGOTIABLE</t>
  </si>
  <si>
    <t>Kedzie to 111th (West) to Trumbull (South) to home</t>
  </si>
  <si>
    <t>Solid Brick Home In Desirable Mt. Greenwood Under $200k!  Bright &amp; Sunny Home W/Great Bones &amp; LOTS Of Potential!  Beautiful Hardwood Under Carpet In Bedrooms &amp; Living Room.  Boiler &amp; Hot Water Heater 2010, Large Bedrooms, Black Walnut Paneling In Basement, Zoned Heating Upstairs &amp; Down, Heated Basement Floors, Fenced Yard, Spacious Eat-in Kitchen, Large 2 1/2 Car Garage.  A Must See!</t>
  </si>
  <si>
    <t>(708) 460-4700</t>
  </si>
  <si>
    <t>Amy Hensley</t>
  </si>
  <si>
    <t>Agent Cell 708-878-9690</t>
  </si>
  <si>
    <t>Call List Agent 708-878-9690</t>
  </si>
  <si>
    <t>Flowers</t>
  </si>
  <si>
    <t>Lake St to Park N to Lacy rt to Stowell rt to Flowers rt to home</t>
  </si>
  <si>
    <t>120 X 50 X 48 X 125 X 95</t>
  </si>
  <si>
    <t>Buy her Flowers that Last - 800 Flowers! Nicely updated 4 Bedroom home with a huge fenced yard. Large eat in kitchen w/laminate floor. The family room features an impressive stone fireplace and bar. Large laundry room with plenty of storage space. Relax on the two tier deck overlooking the yard with above ground pool and storage shed. Newer Roof &amp; Siding, updated electrical. Nothing to do here but move in and enjoy!</t>
  </si>
  <si>
    <t>PARKWOOD ELEMENTARY SCHOOL</t>
  </si>
  <si>
    <t>Bar-Dry, Wood Laminate Floors</t>
  </si>
  <si>
    <t>2.5% - $195 (on Gross SP)</t>
  </si>
  <si>
    <t>Call 855-919-0200 - 1 hour notice preferred</t>
  </si>
  <si>
    <t>This homes shows as nice as the pictures! Fridge and Hot tub not included, Fridge in garage is included. Swing set included</t>
  </si>
  <si>
    <t>Ellis</t>
  </si>
  <si>
    <t>95TH STREET TO ELLIS SOUTH TO HOME</t>
  </si>
  <si>
    <t>100X37</t>
  </si>
  <si>
    <t>Rehabbed with the quality Walton Contractors is known for. The luxury you want at the price you want. Notice the living room/dinning room combo size!! Large family room with wet bar and fire place. Walking distance to Chicago State University and other amenities.</t>
  </si>
  <si>
    <t>Rafael Coreas</t>
  </si>
  <si>
    <t>Call Listing Agent 773-983-6111</t>
  </si>
  <si>
    <t>Earnest Money must be Certified Funds ONLY made payable to Century 21 Affiliated</t>
  </si>
  <si>
    <t>chad</t>
  </si>
  <si>
    <t>Route 30 West 1 mile to Prescott.  South to Adam, right on Adam, right on Chad Court</t>
  </si>
  <si>
    <t>Former model home with nice upgrades on a cul-de-sac lot that backs to open space! Features an upgraded front elevation with porch &amp; stone, 4 bedrooms, 3.1 baths, sunroom, family room with fireplace, formal living &amp; dining rooms, intercom system &amp; a partially finished basement with full bath. Clubhouse community with pool! Oswego 308 schools too! This is a Fannie Mae Homepath property. No personal property included.</t>
  </si>
  <si>
    <t>Pool</t>
  </si>
  <si>
    <t>Foyer, Sun/Florida Room Heated</t>
  </si>
  <si>
    <t>***ACCEPTED OFFER 4/6 - PAPERWORK PENDING**Use Showing Assist</t>
  </si>
  <si>
    <t>SUBMIT OFFERS @ HOMEPATH.COM USING ONLINE OFFER SYSTEM*USE ATTACHED CONTRACTS TO SUBMIT OFFERS*NO SURVEY*NO PERSONAL PROPERTY*TAXES PRO-RATED @ 100%*BUYER PAYS TRANSFER STAMPS*SELLER'S ATTORNEY HOLDS EARNEST MONEY*</t>
  </si>
  <si>
    <t>RTE 72 to Reinking Rd (R) to Wester Blvd (L) to Bay Shore Drive (L) to Valley Stream Drive (L)</t>
  </si>
  <si>
    <t>50X75</t>
  </si>
  <si>
    <t>3000+ sq foot home / 4 bedroom / 2.5 bath / loft / office / full basement.      Home features great floorplan, custom master closet, LARGE master suite, newer carpeting &amp; front porch.    Concrete stamped patio to enjoy premium lot backing to open area and nearby pond.      Cambridge Lakes features a community center with an outdoor pool and fitness center. Onsite charter school &amp; walking trails.</t>
  </si>
  <si>
    <t>Call, text or email listing agent (MIKE 224-201-0884).</t>
  </si>
  <si>
    <t>W&amp;D excluded from sale.</t>
  </si>
  <si>
    <t>KEDZIE TO BERTEAU TO SAWYER TO PROPERTY</t>
  </si>
  <si>
    <t>EXQUISITE NEWLY BUILT PROPERTY ON A OVERSIZED CHI LOT.GREAT LIVING SPACE OF 4 BEDRMS /3.1 BATHS FEATURES ASIAN TEAK HARDWOOD FLOOR,KITCHEN W/CSTM MADE ITALIAN 42'' CABINETS, QUARTZ COUNTERS,BI-ZONED HEAT&amp;A/C, 2 LAUNDRY, 2 FIRE PLACES. EXTREMELY LARGE FAMILYRM, WET BAR WITH/WINE COOLER, REFRIGERATOR AND ICEMAKER. MODERN SLICK LINES IN ALL BATHS. GREAT OUTSIDE ENTERTAINMENT AREA WITH LARGE DECK&amp; GRILL.2CAR GARAGE+ 2SP</t>
  </si>
  <si>
    <t>City Habitat Realty LLC</t>
  </si>
  <si>
    <t>(773) 856-0552</t>
  </si>
  <si>
    <t>Cristian Merdariu</t>
  </si>
  <si>
    <t>(773) 501-6879</t>
  </si>
  <si>
    <t>use showing assist 24 hrs notice</t>
  </si>
  <si>
    <t>Oversized lot!Incredible energy efficient allowing savings up to 50% in heating and cooling costs due to closed-cell spay foam insulation. A truly one of the kind home.</t>
  </si>
  <si>
    <t>From Western Ave, turn west on Grenshaw St.</t>
  </si>
  <si>
    <t>New Construction, 4 single family homes in a row and more to come, Immediate and summer deliver. Unusually energy efficient certified Energy Star 3.0 rated tank less water heater, high efficiency furnace, fresh air system. 4 bedrooms, 3.1 luxury baths. Beautiful gourmet kitchen. Oak floors. Finished lower level. Fenced yard and 2 car garage. Great value, great neighborhood. Staged home.</t>
  </si>
  <si>
    <t>Humidifier, Ceiling Fan, Sump Pump, Air Exchanger</t>
  </si>
  <si>
    <t>Oven/Range, Microwave, Dishwasher, Dishwasher-Portable, Refrigerator, Disposal, All Stainless Steel Kitchen Appliances</t>
  </si>
  <si>
    <t>east or west on north ave to moody and north to home</t>
  </si>
  <si>
    <t>Recently Renovated and fully furnished house for sale. Gutted to the brick and totally redone including new 2nd story addition. Home features box and tray ceilings new custom cabinets, electric sky lights and basement movie theater. Master bedroom w/designer closets. Basement w/master bedroom and lounge and theater w/Wet bar on back porch and 2.5 garage. Unfurnished 279,900. 3,000 closing credit till 3/25 full offer</t>
  </si>
  <si>
    <t>Nicole Gooden</t>
  </si>
  <si>
    <t>call agent at 7732439557</t>
  </si>
  <si>
    <t>Marcy Jackson</t>
  </si>
  <si>
    <t>Call agent or text 7732439557</t>
  </si>
  <si>
    <t>Randall to Silver Glen west to Reserve Ct. north. 1st house on the left.</t>
  </si>
  <si>
    <t>THORNWOOD RESERVE</t>
  </si>
  <si>
    <t>66X66X130X117X158</t>
  </si>
  <si>
    <t>Live like nobility in this fabulous French Country home on a wooded lot! Unique custom design w/incredible detail &amp; million $ quality - extensive prof landscape &amp; tumbled brick/cedar exterior, sublime interior w/natural stone thruout, oak flrs, Crystal &amp; Brakur cabinets... Walls of windows &amp; vol clgs create bright, open spaces. 1st flr BR4 used as Study.  Thornwood amenities, St. Charles schools.  Regular sale!</t>
  </si>
  <si>
    <t>Clubhouse, Park/Playground, Pool, Pond/Lake, Curbs/Gutters, Street Lights</t>
  </si>
  <si>
    <t>Humidifier, TV-Cable, Security System, CO Detectors, Ceiling Fan, Sump Pump, Sprinkler-Lawn</t>
  </si>
  <si>
    <t>French Provincial</t>
  </si>
  <si>
    <t>Call 1-855-746-9093  2Hr Notice Please</t>
  </si>
  <si>
    <t>Doyle</t>
  </si>
  <si>
    <t>Beautiful Home. Regular Sale. Quick close ok!</t>
  </si>
  <si>
    <t>Silver Glen to Thornwood to Thornwood drive and turn left at pool.</t>
  </si>
  <si>
    <t>83X125X73X125</t>
  </si>
  <si>
    <t>Reese Custom Home in Thornwood Pool Community and Award Winning St Charles School Dist. Large open floor plan with vaulted ceilings columns, 2 story foyer and FULL bath on main level.Open kitchen with double oven, granite, custom cherry cabinetry and walk in pantry! Large finished basement with workout room or 5th bedroom, bar, music room and rec room! Relax on brick patio with retaining wall and fenced yard! Use 6.0</t>
  </si>
  <si>
    <t>Humidifier, Security System, Ceiling Fan, Sump Pump, Sprinkler-Lawn</t>
  </si>
  <si>
    <t>Den, Eating Area, Recreation Room</t>
  </si>
  <si>
    <t>Vaulted/Cathedral Ceilings, Skylight(s), Bar-Dry, Hardwood Floors, 1st Floor Laundry, 1st Floor Full Bath</t>
  </si>
  <si>
    <t>2.5% -$200 +$500 IF CONTRACT BY 3/30/15 AT CLOSING (on Net SP)</t>
  </si>
  <si>
    <t>Please call 1-855-746-9100 4 hr. notice</t>
  </si>
  <si>
    <t>McLean</t>
  </si>
  <si>
    <t>Damen to Mclean (one block north of Armitage, one way west to 2027)</t>
  </si>
  <si>
    <t>BUCKTOWN</t>
  </si>
  <si>
    <t>23 X 100</t>
  </si>
  <si>
    <t>Immaculate Bucktown single family home on great one way street. Sunny main level w/large living/dining room and kitchen w/all new appls, new countertops, breakfast bar, &amp; eat-in spc. Adjacent greatroom w/frplc, custom built-ins, &amp; access to the landscaped outdoor space &amp; garage deck. 3 brâ€™s on 2nd lvl incldg lux master suite w/new bath. LL fam rm w/wet bar &amp; guest bed/bath. PH rec rm w/wet bar &amp; two decks. 2 car gar.</t>
  </si>
  <si>
    <t>Gas, Forced Air, Radiant, 2+ Sep Heating Systems, Indv Controls, Zoned</t>
  </si>
  <si>
    <t>Great Room, Recreation Room</t>
  </si>
  <si>
    <t>Emily Sachs Wong</t>
  </si>
  <si>
    <t>(312) 286-0800</t>
  </si>
  <si>
    <t>Email ESWshowings@atproperties.com Nap time 12:30 - 3:30</t>
  </si>
  <si>
    <t>Exclusions: Master bath chandelier, pink curtains in from bedroom, chandeliers in both kid's rooms, two baby gates on main level.</t>
  </si>
  <si>
    <t>Longcommon</t>
  </si>
  <si>
    <t>Rte 20 W of Randall to Longcommon Pky (Providence)</t>
  </si>
  <si>
    <t>NEWBURY</t>
  </si>
  <si>
    <t>153X237X133X303</t>
  </si>
  <si>
    <t>True North Semi Custom Home Located in Providence. The Lot is just over a Half Acre.  The Home Features: Gourmet Kitchen with Stainless Steel Appliances and an island, Spacious Family Room with Stone Fireplace, Large Bonus Room, First Floor Den, Master Bedroom with Huge Walk In Closet and Ultra Bath, Deep Pour Basement with Rough In Plumbing, 3 Car Garage,  Brick Paver Patio and Fenced Backyard.</t>
  </si>
  <si>
    <t>Clubhouse, Park/Playground, Tennis Courts, Pond/Lake, Sidewalks, Street Lights</t>
  </si>
  <si>
    <t>Central Vacuum, Security System, CO Detectors, Ceiling Fan, Sump Pump, Air Cleaner, Radon Mitigation System(s)</t>
  </si>
  <si>
    <t>Bonus, Eating Area, Office</t>
  </si>
  <si>
    <t>Call Gino 630-688-2345</t>
  </si>
  <si>
    <t>32nd</t>
  </si>
  <si>
    <t>31ST ST TO RACINE, SOUTH TO 32ND PL, WEST TO 1319, IN CUL-DE-SAC</t>
  </si>
  <si>
    <t>25X110</t>
  </si>
  <si>
    <t>Fantastic brick home in coveted Bridgeport Village. This spacious 3200SF 4BR/3.5BA in a quiet cul-de-sac is steps from large common yard &amp; river walk. Luxury finishes incl hardwood floors, granite kitchen w/42" cabs, new SS appliances &amp; granite fp. Large master suite w/organized closets, double vanity &amp; slate shower. Spacious BRs w/2nd fl w side-by-side w/d, 2 car garage &amp; large deck. Walk to El &amp; minutes to Loop.</t>
  </si>
  <si>
    <t>Oven/Range, Microwave, Dishwasher, Refrigerator, High End Refrigerator, Freezer, Washer, Dryer, Disposal, All Stainless Steel Kitchen Appliances</t>
  </si>
  <si>
    <t>Cul-de-sac, River Front</t>
  </si>
  <si>
    <t>K. C. Lau</t>
  </si>
  <si>
    <t>(312) 315-7163</t>
  </si>
  <si>
    <t>312.315.7163</t>
  </si>
  <si>
    <t>SEE AGENT REMARKS. 24HR NOTICE! Call/email KC 312.315.7163/kclau@atproperties.</t>
  </si>
  <si>
    <t>ALL SHOWINGS MUST END BY 7PM. MON, WED, THUR SHOWINGS ANY TIME. TUES &amp; FRI SHOWINGS 4PM-7PM. WEEKEND SHOWINGS 10:30AM-12:30PM &amp; 3PM-7PM.</t>
  </si>
  <si>
    <t>Rt 31 South of Spring Street to Concord west to Medford North to Home</t>
  </si>
  <si>
    <t>Many recent improvements here in this popular bluebird model.    BEST PART--CHEF's custom dream kitchen!! W/ over 50 cabinets &amp; 40 feet of beautiful granite!  Enjoy new hardwood floors, carpet, baths and painted rooms.  This 4 BR, 3Car Garage offers a full basement whole house water filtration system, above ground pool, fenced yard and so much more!!</t>
  </si>
  <si>
    <t>Patio, Pool Above Ground</t>
  </si>
  <si>
    <t>Gloria Santaniello</t>
  </si>
  <si>
    <t>(630) 546-1697</t>
  </si>
  <si>
    <t>CALL SHOWING DESK-888-362-3222.</t>
  </si>
  <si>
    <t>Do not let cat out.</t>
  </si>
  <si>
    <t>Randall Rd to Royal Blvd, E to home.</t>
  </si>
  <si>
    <t>75' X 110'</t>
  </si>
  <si>
    <t>Well maintained &amp; updated four bdrm.  French doors from living rm to formal dining rm, updated eat in kitchen w/Corian counters &amp; new flooring in '07. Family rm w/fireplace &amp; crown molding, 1st floor laundry. Updated en suite master bath w/whirlpool tub w/new ceramic surround, double bowl vanity &amp; separate shower. Three skylights, finished bsmt w/rec rm &amp; bath. New energy efficient furnace &amp; c/a in '06. Deck &amp; gazebo</t>
  </si>
  <si>
    <t>Humidifier, TV-Cable, CO Detectors, Ceiling Fan, Sump Pump, Air Cleaner</t>
  </si>
  <si>
    <t>Deck, Gazebo</t>
  </si>
  <si>
    <t>32X21</t>
  </si>
  <si>
    <t>Bruce Wascher,  GRI,CRS</t>
  </si>
  <si>
    <t>(847) 429-4209</t>
  </si>
  <si>
    <t>847-309-2022</t>
  </si>
  <si>
    <t>Call listing office, 847-931-7500</t>
  </si>
  <si>
    <t>STAGECOACH</t>
  </si>
  <si>
    <t>MODEL &amp; SALES: I-90 TO RANDALL RD; SO. TO RTE 20; W TO NESLER; SO. TO GANSETT, LEFT 2 BLKS TO MODEL</t>
  </si>
  <si>
    <t>SHADOW HILL</t>
  </si>
  <si>
    <t>RIVERTON</t>
  </si>
  <si>
    <t>115X95</t>
  </si>
  <si>
    <t>BEAUTIFUL RIVERTON SPEC HOME.  FULL UNFIN. BSMNT. FIREPLACE! SS APPLS, 42" MPL CABS, GRANITE C-TOPS, OVERSIZE KIT ISLAND, PENDANT &amp; CAN LIGHTING, LGE WALK-IN PANTRY. HDWD FLOORS IN FOYER, GRT RM, KITCHEN, POWDER RM. TILE FLOOR MSTR BATH, LGE WALK-IN SHOWER, DBL BWL VANITY. 3-CAR TANDEM GARAGE; MANY OTHER UPGRADES! LOT 92, PHOTOS OF SIMILAR HOME. READY FOR EARLY SPRING MOVE-IN!</t>
  </si>
  <si>
    <t>Breakfast Room, Den, Great Room, Loft</t>
  </si>
  <si>
    <t>3% COMMISSION ON BASE PRICE (SEE AGENT REMARKS) (on Net SP)</t>
  </si>
  <si>
    <t>FOR SHOWING APPOINTMENT PLEASE CALL 224-856-5384</t>
  </si>
  <si>
    <t>3% COMMISSION PAID ON BASE PRICE OF $309,990.  HOME READY FOR LATE MARCH CLOSING!</t>
  </si>
  <si>
    <t>Cardinal</t>
  </si>
  <si>
    <t>Rte 19 (Irving Park Rd) east of Rte 59 to Merry Oaks, south to Cardinal Ct on west side.</t>
  </si>
  <si>
    <t>Willow Pond</t>
  </si>
  <si>
    <t>THOREAU</t>
  </si>
  <si>
    <t>43X132X77X107X120</t>
  </si>
  <si>
    <t>IMPRESSIVE, MOVE-IN READY! 2 story Entry, 9 ft. ceilings &amp; Hardwood 1st floor, deep pour full fin. basemt w/Bedrm &amp; full bath, 2 frplc, 42" maple cabs., Corian Kitchen countertops, Island, Pantry, 1st flr Den or Bedroom, wired for surround sound, recessed lights thruout. Loft with walk-closet,  Updated Roof, Siding, Some Windows, Gutters, Paint. Shed for extra storage.  ALL THIS on  CUL DE SAC lot and HOME WARRANTY!</t>
  </si>
  <si>
    <t>Bonus, Eating Area, Game Room, Loft, Recreation Room, Storage</t>
  </si>
  <si>
    <t>(847) 991-5000</t>
  </si>
  <si>
    <t>Mary Honaker, ABR,GRI,SFR</t>
  </si>
  <si>
    <t>(847) 934-5088</t>
  </si>
  <si>
    <t>call 855-746-9100</t>
  </si>
  <si>
    <t>1st FLR Den or Bdrm.  Mgmt. Co. handles HOA matters.  Vill. of Streamwood SSA is $158.58  INCLUDED IN CUR. TAX BILL.  Billed on RE tax bill for open area maintenance.  Wood playset &amp; shed remain. Loft curtains EXCL.  See Addl Info  Upgrades</t>
  </si>
  <si>
    <t>LYLE</t>
  </si>
  <si>
    <t>RANDALL 2 ROYAL E2 LYLE N2 HOME</t>
  </si>
  <si>
    <t>90 X 110</t>
  </si>
  <si>
    <t>MINT COND! INGROUND POOL! CVRD FRNT PORCH! HUGE LR W/NEW HDWD FLRS &amp; PIC WNDW! BRIGHT EAT-N KTCHN W/NWR C-TOPS, RAISED OAK CABS, TIN TILE B-SPLASH, NWR APPLS &amp; SLDR 2 PATIO! SNKN FR W/CSTM OAK BLT-NS &amp; COZY FP! SPAC MBDRM W/CLNG FAN, 2 CLSTS &amp; PRVT BTH! BDRM 4 WITH NEW BAMBOO HDWD FLRS! PART FIN BSMNT W/REC RM! CONVENIENT 1ST FLR LNDRY! 1ST FLR W/NEW HDWD FLRS! NEW SIDING! NWR ROOF! NEW A/C! NWR FURN! FNCD YARD!</t>
  </si>
  <si>
    <t>Humidifier, TV-Cable, Ceiling Fan, Sump Pump, Air Cleaner</t>
  </si>
  <si>
    <t>HTD INSULATED GARAGE! NWR APPLS! NEW SIDING, FURN &amp; A/C! NWR ROOF!</t>
  </si>
  <si>
    <t>Austin 1st St S of Addison. East 1/2 block to 5916</t>
  </si>
  <si>
    <t>Look No further this lovely &amp; beautiful house is remodeled and ready to occupy. Gorgeous hardwood floors grace the entire 1st floor with large  formal dining rooms brand new kitchen with cherry wood cabinets, granite counters &amp; SS appliances. New windows,  full finished basement. 12 months home warranty provided.</t>
  </si>
  <si>
    <t>2.5% -$300 (on Net SP)</t>
  </si>
  <si>
    <t>Monica Luterek</t>
  </si>
  <si>
    <t>(773) 520-7780</t>
  </si>
  <si>
    <t>CALL LISTING OFFICE , EASY TO SHOW</t>
  </si>
  <si>
    <t>Thoria</t>
  </si>
  <si>
    <t>Fabyan to Thoria</t>
  </si>
  <si>
    <t>Stop the car! Welcome Home - everything has been done for you. Be the Proud owner of this 3+ bedrooms, hardwood floors, top of the line kitchen with granite counter tops, stainless steel appliances, full finished basement fun for entertaining. Private office and large extra bedroom. Backyard has been professionally landscaped with stamped concrete patio and fully fenced in yard. Spacious 2 car garage A True 10+ Home!</t>
  </si>
  <si>
    <t>Karen Parent, CRS,SRES,SRS</t>
  </si>
  <si>
    <t>(630) 690-5811</t>
  </si>
  <si>
    <t>3 Hour Notice - Click below and wait for confirmation please.</t>
  </si>
  <si>
    <t>This is a Lovely Home - Show with confidence - regular sale.  ***NO showings on Mondays all day. NO Showings after 2pm on Tuesdays.</t>
  </si>
  <si>
    <t>KEDZIE TO 63RD PLACE WEST TO 3415</t>
  </si>
  <si>
    <t>Nostalgic 4 bed 2 bath West Lawn/Marquette park diamond in the rough!    PROPERTY SOLD â€œAS ISâ€_x009d_ WITHOUT REPAIR, WARRANTY OR SELLER DISCLOSURE. â€œSELLER WILL NOT ACTIVATE ANY UTILITIESâ€_x009d_. Cash or Rehab loans.</t>
  </si>
  <si>
    <t>Text Memo @ (773)946-1705 w/ agent ID and showing instructions</t>
  </si>
  <si>
    <t>Multiple offers received. Highest &amp; best due Monday 3/16 @ Noon.</t>
  </si>
  <si>
    <t>Route 31 or La Fox to Hancock West to Thorndale Ln North to #</t>
  </si>
  <si>
    <t>RIVER RIDGE</t>
  </si>
  <si>
    <t>CUMBERLAND</t>
  </si>
  <si>
    <t>135X65</t>
  </si>
  <si>
    <t>ST. CHARLES SCHOOLS &amp; THIS UPGRADED CUMBERLAND with incredible back yard/READY FOR SUMMER with pool &amp; 20x20 Deck/Brick Patio/Trellis/Fenced/FULL BASEMENT FINISHED with rec room &amp; Game room + BATH/OPEN FLOOR PLAN/Vaulted ceil in MASTER BEDRM/LUX BATH/Wood FLrs/Fireplace/GRANITE COUNTERS STAINLESS APPL/1st flr Laundry/LOFT can be 5th bedrm/sprinkler system/Oak cabinets/oak trim/some built in blinds/MUST SEE GREAT HOUSE</t>
  </si>
  <si>
    <t>Foyer, Game Room, Loft, Recreation Room</t>
  </si>
  <si>
    <t>Deck, Patio, Storage Shed, Brick Paver Patio, Pool Above Ground, Storms/Screens</t>
  </si>
  <si>
    <t>Berkshire Hathaway HomeServices Visions Realty</t>
  </si>
  <si>
    <t>(847) 806-8440</t>
  </si>
  <si>
    <t>Cornelia Wismer, e-PRO</t>
  </si>
  <si>
    <t>(847) 778-4127</t>
  </si>
  <si>
    <t>847-778-4127</t>
  </si>
  <si>
    <t>Great home, tons of upgrades, wonderful yard get ready for a great summer with 24' POOL/Liner/heater/pump  years old/ HOT TUB NEGOTIABLE/ POOL TABLE NEGOTIABLE/ AIR HOCKEY NEGOTIABLE. ONE OF THE LARGER LOTS. Come and Play!</t>
  </si>
  <si>
    <t>Huntley Road East of Randall East to Miller Northeast to Shenandoah South to Alexandria</t>
  </si>
  <si>
    <t>Applewood</t>
  </si>
  <si>
    <t>Barrington Rd to Laurie Ln EAST to Applewood Ct SOUTH to home</t>
  </si>
  <si>
    <t>8148 SQ FT</t>
  </si>
  <si>
    <t>Gorgeous 2-Story remodeled 4BR/2.1Bth home on cul-de-sac street! 4 BRs UP, Master BR w/ 1/2 bath. Updated eat-in kitch w/ SS appls &amp; breakfast bar. Open &amp; bright Great room addition w/ vaulted ceilings perfect for family entertaining. FR sliders open to sprawling landscapd &amp; fenced yard w/patio, swimming pool, storage shed &amp; firepit. See "Property Feat" for addt'l info. Great location - close to school, parks &amp; shops</t>
  </si>
  <si>
    <t>Vaulted/Cathedral Ceilings, Skylight(s), Wood Laminate Floors, 1st Floor Laundry, 1st Floor Full Bath</t>
  </si>
  <si>
    <t>Patio, Storage Shed, Pool Above Ground, Storms/Screens</t>
  </si>
  <si>
    <t>RCI Preferred Realty</t>
  </si>
  <si>
    <t>(773) 220-4421</t>
  </si>
  <si>
    <t>John Gall, ABR,SFR</t>
  </si>
  <si>
    <t>Use Showing Assist. Some notice preferred (dog)</t>
  </si>
  <si>
    <t>See Property Features Doc under Addt'l Info Tab</t>
  </si>
  <si>
    <t>E.or W.ON 79 Street to Richmond,south to property.</t>
  </si>
  <si>
    <t>GORGEOUS NEWLY RENOVATED BRICK RANCH ON A NICE BLOCK. FOUR BEDROOMS, NICE GARAGE, FULL BASEMENT, NEW ROOF, CABINETRY, GRANITE COUNTER TOPS, APPLIANCES, HARDWOOD FLOORS, DRYWALL, AND MUCH MORE! THE AREA SPEAKS FOR ITSELF AND SHOPPING AND TRANSPORTATION ARE NEARBY. GOOD FOR A STARTING FAMILY! BRING QUALIFIED BUYERS.</t>
  </si>
  <si>
    <t>Brandusa Lupancu</t>
  </si>
  <si>
    <t>(773) 406-8772</t>
  </si>
  <si>
    <t>Call Alex 773 469-4364</t>
  </si>
  <si>
    <t>Richmond Land Trust 7920</t>
  </si>
  <si>
    <t>W Logan BlVD to Maplewood, South on Maplewood to property</t>
  </si>
  <si>
    <t>ANOTHER GEM BY AMBROSIA HOMES INC IN HOT LOGAN SQUARE,  SOLD BEFORE MLS, NEW CONSTRUCTION SINGLE FAMILY 4 BR 3 BA 2 CAR.  LOOK AT BUILDERS WEBSITE FOR OTHER HOMES UNDER CONSTRUCTION NEARBY BEFORE ON MLS OR CALL/EMAIL LISTING AGENT.  BROKERS WELCOME</t>
  </si>
  <si>
    <t>Vinyl Siding, Concrete, Other</t>
  </si>
  <si>
    <t>2.5% LESS $295 (ON NET SP) (on Net SP)</t>
  </si>
  <si>
    <t>SOLD BEFORE MLS.  EMAIL OR CALL TIM.POMAVILLE@GMAIL.COM OR 312-437-8292 FOR OTHER HOMES NEARYBY</t>
  </si>
  <si>
    <t>SOLD BEFORE MLS. EMAIL TIM.POMAVILLE@GMAIL.COM, CALL 312-437-8292, OR GO TO AMBROSIAHOMESINC.COM TO LEARN ABOUT OTHER HOMES AVAILABLE BY THIS BUILDER BEFORE MLS</t>
  </si>
  <si>
    <t>BARTRAM</t>
  </si>
  <si>
    <t>DEERPATH TO TANNER W TO BENNETT N TO BARTRAM E</t>
  </si>
  <si>
    <t>HUNTLEIGH</t>
  </si>
  <si>
    <t>Located within the ~302~school district.This Tanner Trails home boasts an expansive wrap -around porch and is nestled on a premiuim lot.Elegant two story foyer,sweeping staircase and exotic acacia hardwood flooring adorn the interior.Kitchen delights with its wealth of dark cherry cabinetry,granite counters and travertine backsplash.Stone fireplace,incredible views of the fenced yard and pond.Finished basement.WOW!</t>
  </si>
  <si>
    <t>Nature Preserve Adjacent, Pond, Water View</t>
  </si>
  <si>
    <t>Porch, Storage Shed, Brick Paver Patio</t>
  </si>
  <si>
    <t>Gregory Teets</t>
  </si>
  <si>
    <t>(630) 940-0127</t>
  </si>
  <si>
    <t>CELL 630-779-0000</t>
  </si>
  <si>
    <t>SHOWING TIME 855-919-0377</t>
  </si>
  <si>
    <t>SUPER CLEAN,SHOWS GREAT.  look for list of improvements under additional information -----HOT TUB,WASHER AND DRYER DO NOT STAY-----</t>
  </si>
  <si>
    <t>Sacramento Ave two blocks south of Fullerton to Belden make left. (East) 2857</t>
  </si>
  <si>
    <t>24 X 142.5</t>
  </si>
  <si>
    <t>Beautiful, open 4 bed 3.1 bath new construction home by Denmax in prime Logan Square location! Luxury contemporary finishes throughout with quartz counters, Bosch appliances and double stacked cabinetry.  Floating vanities and porcelain tiled baths. South facing family room flooded with light, additional living room on lower level. Garage roof deck.  Still time to select some finishes.</t>
  </si>
  <si>
    <t>Sam Jenkins</t>
  </si>
  <si>
    <t>(312) 451-2411</t>
  </si>
  <si>
    <t>Showings@samjenkinsgroup.com</t>
  </si>
  <si>
    <t>Pictures from previous project. 30 day delivery</t>
  </si>
  <si>
    <t>Damen to Barry East to Honore South to Property</t>
  </si>
  <si>
    <t>25 X 111</t>
  </si>
  <si>
    <t>Beautiful One Of A Kind Gut Rebuild Just Finished, Gourmet Kit Viking, Sub Zero, Hansgrohe, Jenn air, Bowling Lane Island Top, Granite, Wlk in Pantry, 48 in Cab. Main Flr Boasts 9.5 ft Ceilings, Boxed Beam Ceilings, FP, Huge Deck w/ Trellis, Bamboo in Lrg Yard. Mstr w/ Vaulted Ceilings, Wlk in Clst, Spa Bath w/ Heated Flrs, Kohler in all Baths, Home is Soundproofed, Fantastic Location!</t>
  </si>
  <si>
    <t>Double Sink, European Shower, Full Body Spray Shower, Double Shower</t>
  </si>
  <si>
    <t>Bonus, Pantry, Walk In Closet</t>
  </si>
  <si>
    <t>Vaulted/Cathedral Ceilings, Hardwood Floors, Heated Floors, 1st Floor Bedroom, 2nd Floor Laundry, 1st Floor Full Bath</t>
  </si>
  <si>
    <t>22X38</t>
  </si>
  <si>
    <t>Please email allottarealtygroup@conlonrealestate.com</t>
  </si>
  <si>
    <t>First showings Sat March 21st and Sun March 22nd 11-1230pm</t>
  </si>
  <si>
    <t>RT 38  TO SANDHOLM SOUTH TO SPRING</t>
  </si>
  <si>
    <t>80X225X75X188</t>
  </si>
  <si>
    <t>GORGEOUS TWO STORY LOCATED ON A BEAUTIFUL LARGE LOT NEAR DOWNTOWN GENEVA. ANOTHER RENOVATION by AARON THOMAS. Amazing decorators fixtures through out, Stone Fireplace in Family Room with incredible indirect lighting,  space is well planned with plenty of usage storage space, large well organized and usable laundry room, Finished basement with additional Full bath, office, craft-room. ........ THIS IS A MUST SEE</t>
  </si>
  <si>
    <t>HARRISON STREET ELEMENTARY SCHOOL</t>
  </si>
  <si>
    <t>2.5% - 195 (on Net SP)</t>
  </si>
  <si>
    <t>John Sommer</t>
  </si>
  <si>
    <t>(630) 269-0202</t>
  </si>
  <si>
    <t>call centralized 877-977-1010 or log on to showings.com</t>
  </si>
  <si>
    <t>Silver Glen to Thornwood Blvd, N to Brookwood, W to Parkview, Left to Sutton, Right to 2215.</t>
  </si>
  <si>
    <t>SAVANNAH</t>
  </si>
  <si>
    <t>.29 ACRES</t>
  </si>
  <si>
    <t>GREAT CURB APPEAL &amp; inviting flrplan in popular Savannah model by Clearwater Custom Homes! Gleaming hrdwd floors, new crptng, granite c-tops &amp; beautiful cabinetry/wdwrk! 1st flr library/parlor &amp; lndry, spacious fam rm w/bay window, crown mldg &amp; FP. Tray ceiling, W-I closet, jetted tub &amp; sep shwr in MBR suite! Wonderful fin bsmt features rec &amp; game rms, bar area &amp; ofc/den! Linear park adjacent! X-deep, wide garage!</t>
  </si>
  <si>
    <t>Clubhouse, Park/Playground, Pool, Tennis Courts, Pond/Lake, Street Lights</t>
  </si>
  <si>
    <t>Oven-Double, Microwave, Dishwasher, Refrigerator, High End Refrigerator, Washer, Dryer, Disposal, All Stainless Steel Kitchen Appliances</t>
  </si>
  <si>
    <t>Bar, Game Room, Library, Recreation Room, Storage</t>
  </si>
  <si>
    <t>Brian Knott, GRI</t>
  </si>
  <si>
    <t>847-269-9870</t>
  </si>
  <si>
    <t>Call Listing Office.</t>
  </si>
  <si>
    <t>High end Stainless Steel GE 'Cafe' appliances! Relax &amp; entertain on rear patio w/direct access from kitchen!</t>
  </si>
  <si>
    <t>Mclaren</t>
  </si>
  <si>
    <t>Rte. 71 to Orchard/Minkler Rd.  South on Minkler to Hunt Club Dr.  Left to McLaren. Left on McLaren</t>
  </si>
  <si>
    <t>QUAIL</t>
  </si>
  <si>
    <t>79X145X88X145</t>
  </si>
  <si>
    <t>So much home for the price!  Beautiful kitchen with 42" cabinets, ss appliances, island and hardwood floors throughout the first floor.  Large laundry room leads to 3 car garage. 4 generous sized bedrooms and a bonus room over garage. Upgraded master bath with separate shower and soaking tub.  Patio in back perfect for entertaining.   Dual zone HVAC. School on site, walking trails, clubhouse w/ pool. Regular sale.</t>
  </si>
  <si>
    <t>cell 630-251-4244</t>
  </si>
  <si>
    <t>click on showing assist. 2 hour notice</t>
  </si>
  <si>
    <t>This is a great value- priced around $82/ square ft!</t>
  </si>
  <si>
    <t>BRYN MAWR WEST OF ELSTON TO LINDER, SOUTH TO HOME</t>
  </si>
  <si>
    <t>Great investment opportunity 4 bdr 3 bath brick bungalow. House needs major rehab. Property being sold As Is, no survey, no disclosures or termite. Buyer to verify room sizes and responsible for any city violation.  CASH only!!!</t>
  </si>
  <si>
    <t>Mud Room, Sitting Room</t>
  </si>
  <si>
    <t>Kathy Galdyn</t>
  </si>
  <si>
    <t>(773) 209-9898</t>
  </si>
  <si>
    <t>Show assist</t>
  </si>
  <si>
    <t>Agent Owned please call if any questions city violations in add info (porch has been taken down by previous owner, kitchen in the bsmt needs to be removed) Seller will not turn on any utilities</t>
  </si>
  <si>
    <t>BETWEEN SOUTHPORT &amp; ASHLAND</t>
  </si>
  <si>
    <t>Renovated Victorian SFH on O/S lot in Ravenswood Elementary. Bright 4bd/2.5ba home features welcoming foyer, large living, sep dining + LL fam room. Granite islnd kitch w/maple cabs &amp; upgraded SS appl. Great ceiling heights, hdwd &amp; surround sound. Lux master suite w/WIC &amp; spa-like bath. Vintage details &amp; too many updates to list. Front porch, two-tier deck &amp; huge yard. 2 Car Garage. Walk to Everything Location.</t>
  </si>
  <si>
    <t>Fenced Yard, Irregular, Landscaped Professionally</t>
  </si>
  <si>
    <t>Deck, Foyer</t>
  </si>
  <si>
    <t>Amanda McMillan</t>
  </si>
  <si>
    <t>(773) 537-1300</t>
  </si>
  <si>
    <t>EMAIL: CHPSHOWINGS@ATPROPERTIES.COM (EMAIL ONLY! 24-HOUR NOTICE REQUIRED! NO CALLS PLS!)</t>
  </si>
  <si>
    <t>CALIENDO</t>
  </si>
  <si>
    <t>RT 30 to GRIFFIN to William to CALIENDO CIRCLE</t>
  </si>
  <si>
    <t>60X130X60X130</t>
  </si>
  <si>
    <t>PRISTINE HOME IN IDEAL LOCATION! HARDWOOD floors thru-out main level. Kitchen accented with OAK CABINETRY &amp; open floor plan to family room. Spacious formal living &amp; dining space. Home appointed w/modern fixtures. Master Suite features double sinks &amp; walk-in closet. Addtl bedrooms are generously sized.  Convenient 2nd floor laundry. Located directly across from park &amp; sport courts. Fenced backyard for added privacy.</t>
  </si>
  <si>
    <t>Call CBRB Appointment Center 855-746-9200.   Confirmation Required.</t>
  </si>
  <si>
    <t>Tobin/Galster</t>
  </si>
  <si>
    <t>Home is currently tenant occupied.  Tenants are in the processing of packing to move at the end of March.  Owner will make necessary repairs &amp; cleaning after tenants move out. Show and make offer with confidence!</t>
  </si>
  <si>
    <t>Orange</t>
  </si>
  <si>
    <t>RT. 31 NORTH OF RT. 20 TO ORANGE ST. WEST TO HOME</t>
  </si>
  <si>
    <t>7260 SQ. FT.</t>
  </si>
  <si>
    <t>Great home with lots of options! Main level bedroom and main level full bathroom or the bedroom could be your office. The very large dining room could be split into a dining room and family room. Kitchen has eat in table space and pantry. Hardwood floors in most rooms. Full finished basement gives lots of options as well. Crawl under garage. Attic space in master could be walk in closet. Newer roof and furnace.</t>
  </si>
  <si>
    <t>HARRIET GIFFORD ELEMENTARY SCHOOL</t>
  </si>
  <si>
    <t>Karen Ringquist, ABR</t>
  </si>
  <si>
    <t>(847) 204-6273</t>
  </si>
  <si>
    <t>Call the Showing Service 855-746-9200</t>
  </si>
  <si>
    <t>Great house --move in ready!!</t>
  </si>
  <si>
    <t>Sharon</t>
  </si>
  <si>
    <t>Lake Cook East of Northwest Hwy. to Wesley North. to Sharon.</t>
  </si>
  <si>
    <t>137X89</t>
  </si>
  <si>
    <t>Oven/Range, Microwave, Dishwasher, Refrigerator, Refrigerator-Bar</t>
  </si>
  <si>
    <t>Kenneth Rusin</t>
  </si>
  <si>
    <t>owner of record.</t>
  </si>
  <si>
    <t>Cortland, East of Damen, South of Armitage.</t>
  </si>
  <si>
    <t>26X126</t>
  </si>
  <si>
    <t>XTRA WIDE 22â€™ FT INTERIOR IN PRIME BUCKTOWN LOCAL. HIGHLY UPGRADED EAT-IN KITCHEN W/ WOLF &amp; SUBZERO. 3 BD/3 BTH ON 2ND FLOOR. LL W/ 11FT CEILINGS AND RADIANT HEATED FLRS. STATE-OF-THE-ART MEDIA ROOM. SMART HOME TECH, 1-TOUCH LIGHTING &amp; SPEAKERS THROUGHOUT. OUTDOOR FIRE PIT, OVERSIZED 2 CAR GARAGE W/ATTIC.</t>
  </si>
  <si>
    <t>Oven-Double, Microwave, Dishwasher, High End Refrigerator, Refrigerator-Bar, Disposal, All Stainless Steel Kitchen Appliances, Wine Cooler/Refrigerator</t>
  </si>
  <si>
    <t>Deck, Media Room, Recreation Room</t>
  </si>
  <si>
    <t>Brick, Block, Limestone</t>
  </si>
  <si>
    <t>Marianne Colon</t>
  </si>
  <si>
    <t>(773) 727-5362</t>
  </si>
  <si>
    <t>Do not use show assist. Call listing agent 773-727-5362</t>
  </si>
  <si>
    <t>Too many upgrades to list. Please note width of home &amp; room sizes. Not to be included:  1. Projector and screen in media room  2. Washer and dryer</t>
  </si>
  <si>
    <t>Patterson</t>
  </si>
  <si>
    <t>Addison to Lincoln, north on Lincoln one block, west on Patterson (one-way) to 1834.</t>
  </si>
  <si>
    <t>Beautiful home in North Ctr/Roscoe Vill. 4 above-grade bedrooms. Recent addition incl master bdrm and family room off kitchen. Extensive recent upgrades include new Marvin windows and solid core doors, zoned HVAC, new fireplace, Trex decking, landscaping, drainage, new carpeting and much more. Recreation room with wet bar and wine cellar. Short walk to Brown Line and Trader Joeâ€™s. Pristine home, lovingly maintained</t>
  </si>
  <si>
    <t>Humidifier, Security System, Ceiling Fan</t>
  </si>
  <si>
    <t>Deck, Recreation Room, Storage, Walk In Closet</t>
  </si>
  <si>
    <t>James Horwath</t>
  </si>
  <si>
    <t>(312) 420-2792</t>
  </si>
  <si>
    <t>Cell:  312-420-2792</t>
  </si>
  <si>
    <t>Please use Showing Assist. 24-hr notice requested. Open house 1-3 March 8th.</t>
  </si>
  <si>
    <t>RT38 to KIRK N. (OR) RT 64 to KIRK S. to Geneva Dr.* W. to Kingston * N. to Home</t>
  </si>
  <si>
    <t>Fields of Geneva</t>
  </si>
  <si>
    <t>FULTON</t>
  </si>
  <si>
    <t>65X122X66X135</t>
  </si>
  <si>
    <t>Transferred owners hate to leave!  New deck adds tons of space to enjoy the large, fenced yard w/ play set &amp; storage shed. Formal Living &amp; Dining Rooms.  Updated, stainless steel Kitchen w/ separate Eating Area.  Lots of light fills the Family Room &amp; features gas F.P.  The private Master Suite features full bath &amp; double closets. Large bedrooms!  Close to train, shopping, highway access, parks, splash pool &amp; more!</t>
  </si>
  <si>
    <t>Circuit Breakers, 200+ Amp Service, 100 Amp Service</t>
  </si>
  <si>
    <t>Humidifier, Water-Softener Owned, TV-Dish, CO Detectors, Ceiling Fan, Sump Pump, Radon Mitigation System(s)</t>
  </si>
  <si>
    <t>Jeffrey Cadwallader, ABR</t>
  </si>
  <si>
    <t>(630) 254-4734</t>
  </si>
  <si>
    <t>Verbally negotiated offer, waiting for signatures</t>
  </si>
  <si>
    <t>Altair Global Relocation</t>
  </si>
  <si>
    <t>Neenah</t>
  </si>
  <si>
    <t>HIGGINS, WEST OF NAGLE TO NEENAH NORTH TO 5303</t>
  </si>
  <si>
    <t>29X124X30X124</t>
  </si>
  <si>
    <t>ENGLISH STYLE 4 BEDROOMS HOME READY FOR A NEW OWNER. HARDWOOD FLOORS THROUGHOUT. NICE SIZE KITCHEN WITH EATING AREA LEADING TO NEWER 14X08 PORCH FOR SUMMER ENJOYMENT. BEAUTIFUL YARD. 2.5 CAR GARAGE. TEAR-OFF ROOF IN 2012. FURNACE AND A/C 8 YEARS OLD.  UNFINISHED BASEMENT 36X22 WAITING TO BE FINISHED.CONVENIENT LOCATION, CLOSE TO HWY 90 &amp; 94. PLEASURE TO SHOW !</t>
  </si>
  <si>
    <t>GARVY ELEMENTARY SCHOOL</t>
  </si>
  <si>
    <t>Grazyna Jankowska</t>
  </si>
  <si>
    <t>(847) 361-0516</t>
  </si>
  <si>
    <t>CLICK ON SHOWING ASSISSTANCE</t>
  </si>
  <si>
    <t>OPEN  HOUSE ON SUNDAY MARCH 22 BETWEEN 1 - 4 PM</t>
  </si>
  <si>
    <t>Murcer</t>
  </si>
  <si>
    <t>Randall to Big Timber E to Lyle N to Murcer</t>
  </si>
  <si>
    <t>CENTURY OAKS WEST</t>
  </si>
  <si>
    <t>79X135X83X106</t>
  </si>
  <si>
    <t>Fabulous home in Mint condition &amp; great location! Beautiful Eat-in Ktchn w/custom Cbnt, Grnt Cntr Tps, SS Applncs, Tiled Bck Splsh &amp; flrs. Frml Lvg Rm, Stunning Full Fin BMT W/Stone FPLC, Lrg Fmly Rm, Kitchenette, BR/Den, workout area, Full Bth, &amp; loads of strge! Mstr suite w/full Bth. Awesome bonus Rm Addtn, Updtd bths, new fence, Deep Heated Grg, ultraviolet lght systm, Nest thrmstt, Clst Orgnzrs, &amp; so much more!</t>
  </si>
  <si>
    <t>Gas, 2+ Sep Heating Systems, Other</t>
  </si>
  <si>
    <t>2nd Kitchen, Bonus, Exercise Room, Workroom</t>
  </si>
  <si>
    <t>Ralph Binetti</t>
  </si>
  <si>
    <t>(630) 707-1776</t>
  </si>
  <si>
    <t>Call LO (847) 985-7050</t>
  </si>
  <si>
    <t>Foster to Natoma and South to address</t>
  </si>
  <si>
    <t>Beautiful, big 1340 s.f. and completely rehabbed raise ranch in Big Oaks.4 beds, 2 full bahts &amp; full finished basement will impress you with quality &amp; craftsmanship. Brand new garage 22x20 with 8 ft.door. Nice layout with so many great upgrades, incl: quartz c-tops, modern bathrooms &amp; kitchen with 42"cabinets, subway back splash,ss appl.Just look at the pictures.Walking distance to cta,schools,shopping etc. Low taxes</t>
  </si>
  <si>
    <t>Water Rights, Curbs/Gutters, Gated Entry, Sidewalks, Street Lights, Street Paved</t>
  </si>
  <si>
    <t>Bar, Den, Great Room, Storage, Workroom, Other</t>
  </si>
  <si>
    <t>Adam Matuszek</t>
  </si>
  <si>
    <t>(847) 791-9033</t>
  </si>
  <si>
    <t>PLEASE CALL  L.A ADAM  @ 1.847.791.9033</t>
  </si>
  <si>
    <t>6 chairs in the kitchen are excluded....  Disclosures attached under additional information...any questions please call or text Listing Agent Adam @ 847.791.9033</t>
  </si>
  <si>
    <t>Escanaba</t>
  </si>
  <si>
    <t>83rd Street to Escanaba then south to Property</t>
  </si>
  <si>
    <t>Excellent investment opportunity. Seller Motivated.  Property sold is is.</t>
  </si>
  <si>
    <t>2.25%-$100 (on Gross SP)</t>
  </si>
  <si>
    <t>Unique Real Estate Inc.</t>
  </si>
  <si>
    <t>(773) 288-7100</t>
  </si>
  <si>
    <t>Jean Gareave</t>
  </si>
  <si>
    <t>(773) 627-6243</t>
  </si>
  <si>
    <t>24 Hours notice</t>
  </si>
  <si>
    <t>Property sold as is</t>
  </si>
  <si>
    <t>Ottawa</t>
  </si>
  <si>
    <t>Touhy to Ottawa North to Property</t>
  </si>
  <si>
    <t>5625SQFT</t>
  </si>
  <si>
    <t>Multiple Offers. Please present your highest and best offer by 5PM Wed. March 11. Please included completely filled out offer and recent Pre Approval or Proof of Funds</t>
  </si>
  <si>
    <t>David McIntosh</t>
  </si>
  <si>
    <t>(847) 899-5626</t>
  </si>
  <si>
    <t>32W028</t>
  </si>
  <si>
    <t>ARMY TRAIL</t>
  </si>
  <si>
    <t>Army Trail Rd West of 59 or East of Dunham Rd.</t>
  </si>
  <si>
    <t>192X239X182X232</t>
  </si>
  <si>
    <t>Historic and charming Queen Anne farmhouse with beautiful molding on windows, baseboards and above doorways.  The home has the original oak staircase, front door and most hardware. Lovingly cared for and maintained, it is located in town on 1.5 acres with in-ground pool and beautiful gardens which offer privacy. Quaint screened porch and attached garage.</t>
  </si>
  <si>
    <t>Unfinished, Cellar</t>
  </si>
  <si>
    <t>Den, Foyer, Office</t>
  </si>
  <si>
    <t>Porch, Pool In-Ground</t>
  </si>
  <si>
    <t>5X15</t>
  </si>
  <si>
    <t>Driftwood</t>
  </si>
  <si>
    <t>RT 59; W on RT 22 to Harbor S; W on Brookside Way; OR 59 W on Cuba Rd; N on Harbor 2 Brookside Way W</t>
  </si>
  <si>
    <t>234 X239 X33 X101 X308</t>
  </si>
  <si>
    <t>Rare opportunity! Are you ready 2 fall in love? Open floor plan, hardwood floors, granite, huge pantry, vaulted ceilings, stunning remodeled baths, extra-wide crown moldings +16' screened gazebo &amp; deck 4 entertaining! Oversize master suite w/separate large his/hers closets.Awesome finished LL w/lg rec &amp; exercise rooms +sauna &amp; steam shower.The expensive updates have been done;newer mechanicals; outdoor sprinkler sys.</t>
  </si>
  <si>
    <t>Whirlpool, Separate Shower, Steam Shower, Double Sink, Double Shower</t>
  </si>
  <si>
    <t>Humidifier, Water-Softener Owned, TV-Cable, Security System, Ceiling Fan, Sump Pump, Sprinkler-Lawn, Air Cleaner, Radon Mitigation System(s), Power Generator</t>
  </si>
  <si>
    <t>Eating Area, Foyer, Office, Pantry, Recreation Room, Other</t>
  </si>
  <si>
    <t>Vaulted/Cathedral Ceilings, Sauna/Steam Room, Hardwood Floors, 1st Floor Bedroom, 1st Floor Laundry, 1st Floor Full Bath</t>
  </si>
  <si>
    <t>30X24</t>
  </si>
  <si>
    <t>2.5% - $225 (on Gross SP)</t>
  </si>
  <si>
    <t>Carol Best, ABR,CIPS,CRS,e-PRO,GREEN,TRC</t>
  </si>
  <si>
    <t>(773) 799-5939</t>
  </si>
  <si>
    <t>773-799-5939</t>
  </si>
  <si>
    <t>2 hr notice pls. Click Showing Icon below or call 855-746-9464 - LL TV &amp; Surround Sound is included!</t>
  </si>
  <si>
    <t>E-Z to show; son is living at the house - small dog will be gone. PLS DO NOT TOUCH THE SAUNA CONTROLS. SS outdoor grill is not included. Steam shower. Back yard does not back or side to Harbor Rd. LL finished sq. ft. is: 1,697 - NO SIGN</t>
  </si>
  <si>
    <t>KEDZIE TO 60TH, WEST TO PROPERTY</t>
  </si>
  <si>
    <t>LARGE HOME WITH POTENTIAL JUST WAITING FOR YOUR IDEAS. 4BEDROOM 1BATH AND PLENTY OF STORAGE SPACE.  SOLD "AS IS". NO SURVEY/DISCLOSURES,ROOMS, LOT SIZE &amp; DETAILS NOT GUARANTEED.BUYER RESPONSIBLEFOR ANY &amp; ALL CITY LIENS/VIOLATIONS IF ANY.</t>
  </si>
  <si>
    <t>2.5% OR $1500 WHICHEVER IS GREATER (on Gross SP)</t>
  </si>
  <si>
    <t>Info NOT guaranteed. Offers via email to offers@risingrealty.com &amp; include cover page under addt'l info. Tax pro 100%. Per FirstLook, seller will not entertain Investor offers until 3/30/15.</t>
  </si>
  <si>
    <t>Irving Park to Kilpatrick south to Waveland east to property</t>
  </si>
  <si>
    <t>Stunning 4 bed/3.1 bath new construction single family home. Occupancy Apr/May 2015. Open floor plan, stylish kitchen with SS appliances, granite counter tops. Large deck off the family room. Spa like master bathroom with a Jacuzzi tub separate shower and double vanities. Walk-in closet. Lower level recreation room. Pre wired for surround sound. Large back yard, 2 car garage.</t>
  </si>
  <si>
    <t>call/text Izabela @ 773.317.0414</t>
  </si>
  <si>
    <t>Ultimate Development &amp; Renovations Inc. # 2147587. Room sizes &amp; finishes are subject to change without notice. Pictures are from similar property built by the developer.</t>
  </si>
  <si>
    <t>Rt 72 East of rt47 to Richard Brown left to Wester Blvd left to Birchwood Dr. left to White Pine</t>
  </si>
  <si>
    <t>65X128X61X128</t>
  </si>
  <si>
    <t>Move right in &amp; enjoy this Cambridge Lakes beauty w/ 10' ceilings, gorgeous HW floors &amp; two-story foyer. The light, bright, gourmet kitchen features granite countertops, center island, large pantry &amp; terrific eat-in space. Open floor plan offers a spacious family room w/ beautiful fireplace.  Master suite boasts walk-in closet, luxury bath w/ separate tub &amp; shower. Large loft provides great space for office or play!</t>
  </si>
  <si>
    <t>Cindy Eich, GRI</t>
  </si>
  <si>
    <t>847-721-5580</t>
  </si>
  <si>
    <t>Call Listing Office 847-255-1000</t>
  </si>
  <si>
    <t>W Arthington St N on Kedvale Ave</t>
  </si>
  <si>
    <t>3125 SQ.FT.</t>
  </si>
  <si>
    <t>Very attractive 4 bedrooms Single Family Home with full basement! Built in 1890 brick home is approx 960 sq.ft. located in nice area with parks, schools and shopping near by. Property was built prior to 1978 and lead based paint potentially exists. See it today! Waiting for your offers! Won't pass FHA financing. Sold as is. Highest and best deadline 3/18 at 5PM. Submit all disclosures with offer.</t>
  </si>
  <si>
    <t>Dustin Mayes</t>
  </si>
  <si>
    <t>H&amp;B due 3/18 @ 5PM Sellerâ€™s name is Secretary of Veterans Affairs. Seller does not pay customary closing costs: including title policy, escrow fees, survey or transfer fees. To submit an offer: www.callzteam.net/property_n/822_S_KEDVALE_AVE</t>
  </si>
  <si>
    <t>HARLEM TO ADDISON, WEST TO OSCEOLA, 1 BLOCK NORTH</t>
  </si>
  <si>
    <t>Recently foreclosed home. Great northside location. Cheapest one on the market today. Expandable upstairs. Low real estate taxes. Tear down and build your dream home or rehab and dormer second foor for additional living space. Being sold as is where is. Buyer must accompany all offers with prequalification letter, proof of funds and as is rider.</t>
  </si>
  <si>
    <t>2.5% -$350 (on Gross SP)</t>
  </si>
  <si>
    <t>Schein Realty LLC</t>
  </si>
  <si>
    <t>(773) 516-4257</t>
  </si>
  <si>
    <t>Don Schein</t>
  </si>
  <si>
    <t>(773) 718-1952</t>
  </si>
  <si>
    <t>call Don</t>
  </si>
  <si>
    <t>need complete rehab</t>
  </si>
  <si>
    <t>Howard</t>
  </si>
  <si>
    <t>Rt 31 to Prairie w to Howard w to house</t>
  </si>
  <si>
    <t>194 X 69</t>
  </si>
  <si>
    <t>Nothing to do but move into this totally updated Split level with Sub. 4 levels!! Freshly painted.  Light and bright kitchen with all new stainless steel appliances, granite, back splash with sliding door to patio, opening to huge yard with new stained fence. Master bedroom bath.  Newer mechanicals and roof.  Brand new sump pump and carpet. Walking distance to downtown St. Charles and close to shopping.  Must see.</t>
  </si>
  <si>
    <t>Finished, Sub-Basement</t>
  </si>
  <si>
    <t>2.5%-$195 (on Gross SP)</t>
  </si>
  <si>
    <t>Exit Real Estate Partners</t>
  </si>
  <si>
    <t>(630) 967-0400</t>
  </si>
  <si>
    <t>Diane Ochsner</t>
  </si>
  <si>
    <t>(708) 268-0188</t>
  </si>
  <si>
    <t>Text or Call LA 708-268-0188</t>
  </si>
  <si>
    <t>Must use 6.0 sales contract.</t>
  </si>
  <si>
    <t>RANDALL TO SILVER GLEN W TO RESERVE N. JUST PAST THORNWOOD.</t>
  </si>
  <si>
    <t>Thornwood Reserve</t>
  </si>
  <si>
    <t>100X188X103X167</t>
  </si>
  <si>
    <t>Incredible custom built Bellefluer home- a must see! Gleaming oak HW floors, Kohler plumbing thru-out, Pella windows &amp; doors &amp; new carpeting! Gourmet kitchen &amp; eating area w/granite counters, cherry cabinets, double oven, 2-drawer dishwasher &amp; much more! Tranquil 3-season room w/picturesque views of Ottercreek wetlands! Fabulous finished walk-out bsmt w/HUGE recreation room, bar area, wine cellar and tons of storage!</t>
  </si>
  <si>
    <t>Clubhouse, Pool, Tennis Courts, Curbs/Gutters, Sidewalks, Street Paved</t>
  </si>
  <si>
    <t>Humidifier, Water-Softener Owned, Central Vacuum, Sprinkler-Lawn</t>
  </si>
  <si>
    <t>Bar, Office, Recreation Room, Sun/Florida Room, Utility Room-Lower Level, Other</t>
  </si>
  <si>
    <t>Ramblewood</t>
  </si>
  <si>
    <t>BARRINGTON RD S OF SCHAUMBURG RD, N OF IRVING PARK RD TO RAMBLEWOOD DR, E TO HOME</t>
  </si>
  <si>
    <t>118X80</t>
  </si>
  <si>
    <t>**SPACIOUS RANCH READY FOR YOUR IDEAS** HUGE KITCHEN! MASSIVE FIREPLACE IN  THE FAMILY ROOM! LARGE BEDROOMS AND A GREAT LOCATION! SOLD AS-IS. ALL INFORMATION DEEMED RELIABLE BUT NOT GUARANTEED. INSURED ESCROW $ 495.00</t>
  </si>
  <si>
    <t>Ryan Hill Realty, LLC</t>
  </si>
  <si>
    <t>(630) 276-7572</t>
  </si>
  <si>
    <t>Teresa Ryan, ABR,SFR</t>
  </si>
  <si>
    <t>CALL 800-746-9464</t>
  </si>
  <si>
    <t>Owner Occupts, NPOs &amp; Gov't Agencies bidding @ www.hudhomestore.com ref. 137-980647 IE 495.00 Up to 3% CC. NAID# needed to bid. Daily bidding if available. More info @ www.hudpemco.com. VERBALLY ACCEPTED OFFER AS OF 3/23</t>
  </si>
  <si>
    <t>Kirk Rd to Tyler, W2 Midway, S2 Williams</t>
  </si>
  <si>
    <t>100X87X113X65</t>
  </si>
  <si>
    <t>THIS IS A FANNIE MAE HOMEPATH PROPERTY! GREAT PROPERTY WITH FRESH PAINT, CARPETING, NEW KITCHEN AND MANY OTHER NEW UPGRADES! CHECK THIS ONE OUT, YOUR BUYERS WILL LOVE IT! FIREPLACE AND FENCED YARD.</t>
  </si>
  <si>
    <t>GREAT HOME! CHECK THIS ONE OUT! CALL 630-601-1300 IF QUESTIONS ABOUT SHOWINGS OR OFFERS. PLEASE LOCK ALL DOORS AND TURN OFF ALL LIGHTS! SELLER REQUESTS ALL OFFERS BE SUBMITTED THRU HOMEPATH.COM. CALL AGENT IF ISSUES WITH HOMEPATH</t>
  </si>
  <si>
    <t>Devon</t>
  </si>
  <si>
    <t>DEVON WEST OF MILWAUKEE, EAST OF HARLEM</t>
  </si>
  <si>
    <t>WONDERFUL BRICK HOME IN GREAT NORWOOD PARK LOCATION. HARDWOOD FLOORS THROUGHOUT. SPACIOUS EAT-IN KITCHEN. 2 BEDS ON MAIN LEVEL, &amp; 2 BEDS UPSTAIRS. NEWER ROOF, WINDOWS, FURNACE, AC, AND WATER HEATER. NEW WASHER &amp; DRYER. ALL THE BIG TICKET ITEMS ARE ALREADY TAKEN CARE OF. BRING SOME UPDATING IDEAS AND THIS HOME WILL BE PERFECT! VERY CONVENIENT TO EVERYTHING!</t>
  </si>
  <si>
    <t>Oven/Range, Microwave, Refrigerator, Freezer, Washer, Dryer</t>
  </si>
  <si>
    <t>Dormer, Interior Stair</t>
  </si>
  <si>
    <t>Fergal Tierney, e-PRO</t>
  </si>
  <si>
    <t>(773) 710-5630</t>
  </si>
  <si>
    <t>EMAIL: FTIERNEY@CONLONREALESTATE.COM</t>
  </si>
  <si>
    <t>Lawrence w to Canfield n to Winnemac west to 8028</t>
  </si>
  <si>
    <t>75X136</t>
  </si>
  <si>
    <t>Recently updated 4 Bedroom, 2 Bath Ranch. This home features newly refinished hardwood floors, new kitchen granite, SS appliances, new garage roof and great backyard. House is bright with lots of natural light and plentiful storage space.</t>
  </si>
  <si>
    <t>2.5%- $295 (on Net SP)</t>
  </si>
  <si>
    <t>@properties Commercial</t>
  </si>
  <si>
    <t>(847) 432-0700</t>
  </si>
  <si>
    <t>Stephanie Sadoff</t>
  </si>
  <si>
    <t>(312) 254-0209</t>
  </si>
  <si>
    <t>Call Showing Time to Schedule Appointments 855-746-9020</t>
  </si>
  <si>
    <t>See additional information tab. Agent Owned Interest</t>
  </si>
  <si>
    <t>California to Thorndale (5900N), east to Fairfield, one-way north.</t>
  </si>
  <si>
    <t>All brick bungalow on wide lot in tasteful move-in condition. Remodeled kitchen with SS appliances and granite countertops, spacious breakfast bar. Hardwood floors on main level, great heated sunroom/office overlooking backyard. Two bedrooms on main level, finished 2nd floor w two large bedrooms and half bath. Full unfinished basement = great potential. New tear-off roof in 2012.</t>
  </si>
  <si>
    <t>Craig Easly</t>
  </si>
  <si>
    <t>(312) 451-4018</t>
  </si>
  <si>
    <t>Notice required please use Showing Assist</t>
  </si>
  <si>
    <t>Shows beautifully.  Open House Sunday Mar 8, 12pm - 2pm  No showings Fridays.</t>
  </si>
  <si>
    <t>Oak Park Ave to Bloomington, West to New England, South to address</t>
  </si>
  <si>
    <t>Jumbo Bungalow in beautiful Galewood, just North of Oak Park and a short distance to the Metra. 4 bedrooms, &amp; 1 full bath, and 2 Â½ baths. A large L/R with formal D/R, full basement, lots of storage. 2 car garage. Classic vintage detail throughout, including hdwd floors, Stain glass windows, many original fixture, and beautiful natural wood trim. Just bring your updating talents to make this house the perfect home.</t>
  </si>
  <si>
    <t>Gas, Radiators, Space Heater/s</t>
  </si>
  <si>
    <t>Enclosed Porch, Office, Play Room, Storage</t>
  </si>
  <si>
    <t>2.5% LESS 250.00 (on Net SP)</t>
  </si>
  <si>
    <t>Gagliardo Realty Associates LLC</t>
  </si>
  <si>
    <t>(708) 771-8040</t>
  </si>
  <si>
    <t>Joe Cibula</t>
  </si>
  <si>
    <t>go and show sentri box</t>
  </si>
  <si>
    <t>Quick to close, easy to show, property sold â€œAS ISâ€_x009d_.  Needs updating, house has great bones. Submit 6.0 contract please, discls under addâ€™l info</t>
  </si>
  <si>
    <t>Orchard N to L on Oak, R on Deerpath, L on Westover, R on Mirador, L on Bartram to home</t>
  </si>
  <si>
    <t>90X138X90X140</t>
  </si>
  <si>
    <t>Beautifully finished home located near Orchard &amp; I-88. Hardwood floors throughout the first floor, granite counters, SS appliances and upgraded light fixtures. Second floor laundry and HUGE bonus room will not disappoint. Boasts a finished 3 car tandem garage and large front porch. Full, deep pour basement waiting for your finishing touches.</t>
  </si>
  <si>
    <t>Ceiling Fan, Air Exchanger</t>
  </si>
  <si>
    <t>Breakfast Room, Loft, Mud Room</t>
  </si>
  <si>
    <t>Garage Door Opener(s), Transmitter(s), Tandem, 7 Foot or more high garage door</t>
  </si>
  <si>
    <t>2.5% LESS $250 (on Net SP)</t>
  </si>
  <si>
    <t>Dan Chidley</t>
  </si>
  <si>
    <t>630-636-8926</t>
  </si>
  <si>
    <t>Call the B&amp;W Appointment Center @ 855.746.9100. Please give 2-hour notice</t>
  </si>
  <si>
    <t>Beautifully updated home that your buyer's will love! This home looks like a model, show with confidence. Please exclude wine cooler, basement fridge, garage fridge, garage heater, and home theater.</t>
  </si>
  <si>
    <t>Irving park to Hamlin south to Byron west to Springfield south to 3855</t>
  </si>
  <si>
    <t>39 X 126</t>
  </si>
  <si>
    <t>Beautiful Independence Park home! On oversized lot. Steps to Park, blue line, Metra, Disney Magnet. Large floor plan/ first floor master bedroom/walk in closet&amp; bath! Some new &amp; newers  Furnace/AC. Tear off roof, windows, carpeting, hardwood floors, paint, bathrooms, rear addition including basement ,sump pump, new concrete walkways, privacy fence, R43 insulation in attic, updated electrical 200 amp service.</t>
  </si>
  <si>
    <t>Separate Shower, Handicap Shower</t>
  </si>
  <si>
    <t>Attic, Foyer, Walk In Closet</t>
  </si>
  <si>
    <t>2.5 LESS $175.00 (on Net SP)</t>
  </si>
  <si>
    <t>Carin Powell</t>
  </si>
  <si>
    <t>(630) 973-7369</t>
  </si>
  <si>
    <t>please use showing assist</t>
  </si>
  <si>
    <t>Not a drive by.  home very well maintained in good condition with nice updates, but estate sale so sold AS IS</t>
  </si>
  <si>
    <t>Lincoln</t>
  </si>
  <si>
    <t>RT. 38 TO ANDERSON/N. TO CENTER/N. TO LINCOLN/N.</t>
  </si>
  <si>
    <t>60X124</t>
  </si>
  <si>
    <t>Distinctive Cape Cod in-town Charming Geneva. Total Rehab in 2002 w/Distinctive Features.Pitched Roof, Dormers &amp; Shutters. Hard/w thru.Trad 'center' of home opens into Great Room - 'Hearth of the Home'. Tall ceilngs,rich wood fls,walls of windows &amp; custom brick Fire Place. Sensational KIT w/hand-scraped wood flr. Every Imaginable Upgrade! Proff Decor. Breathtaking Master Suite.Incredible FIN Bsmt.Prof Land/s. A 10+++</t>
  </si>
  <si>
    <t>Oven-Double, Microwave, Dishwasher, High End Refrigerator, All Stainless Steel Kitchen Appliances</t>
  </si>
  <si>
    <t>Bar, Great Room, Mud Room</t>
  </si>
  <si>
    <t>Stamped Concrete Patio, Brick Paver Patio, Storms/Screens</t>
  </si>
  <si>
    <t>3X4</t>
  </si>
  <si>
    <t>SHOWING TIME 855-919-0434 MUST CONFIRM. 2 HOURS NOTICE PLS</t>
  </si>
  <si>
    <t>Relo Rider attached. No HS CTG Pre-Approval must state 'Not Contingent upon sale of current home' Pre-Approval must state loan approval amount.</t>
  </si>
  <si>
    <t>107th Street to Hermosa Ave, South to Address</t>
  </si>
  <si>
    <t>51 X 150</t>
  </si>
  <si>
    <t>Beautiful, recently rehabbed, 4 bed, 2.5 bath, 3 story home is brimming with brand new features and additions! 1st floor w/ hardwood floors &amp; spacious, 9' foot ceilings! Gorgeous kitchen w/ espresso cabinets, granite counters &amp; stainless steel appliances! Private master bath w/ dual sinks &amp; seated shower. Lg bedrooms/closets. Finished basement &amp; laundry. New deck, lg fenced yard, 2 car garage &amp; new high eff furnace!</t>
  </si>
  <si>
    <t>Deck, Eating Area, Mud Room, Sitting Room, Utility Room-Lower Level, Walk In Closet</t>
  </si>
  <si>
    <t>2S715</t>
  </si>
  <si>
    <t>ROUTE 47 TO OAK LEAF DR WEST TO OAKWOOD TERRACE RIGHT. HOUSE IS ON NE CORNER OF OAK LEAF &amp; OAKWOOD</t>
  </si>
  <si>
    <t>NOTTINGHAM WOODS</t>
  </si>
  <si>
    <t>101X17X21X195X125X220</t>
  </si>
  <si>
    <t>Spacious Charm! You'll LOVE inside &amp; out of this .63 acre 4 BR 3 1/2 BA ranch home tucked back on a beautiful corner in Nottingham Woods~Gorgeous Cherry &amp; Maple floors~Generous Living &amp; Dining Rms~Eat-in Kitchen~Sunken Family Rm w/brick fireplace &amp; access to heated Sunroom~Fin. basement w/rec rm, BR4 &amp; full bath~3 BR &amp; 2.1 updated baths on 1st fl~48x27 Paver Patio~11x21 shed~Central Vac~New Roof '13~96%Eff Furn/AC'10</t>
  </si>
  <si>
    <t>Humidifier, Water-Softener Owned, Central Vacuum, CO Detectors, Ceiling Fan, Sump Pump, Backup Sump Pump</t>
  </si>
  <si>
    <t>Recreation Room, Sun/Florida Room Heated</t>
  </si>
  <si>
    <t>28X31</t>
  </si>
  <si>
    <t>Call Showing Time 855-919-0376 Must Confirm-M-F til 4:30 seller will be working at home in office</t>
  </si>
  <si>
    <t>Heated Garage~Lots of updates over past 5 yrs. INCLUDED: Bmt Frig, Freezer, Pool Table &amp; Book Cases. EXCLUDED: All Curtains...blinds &amp; hardware stay. Capped Gasline to FP never used~Inv Fence never used As-Is~No front or patio door keys</t>
  </si>
  <si>
    <t>LOGAN SQUARES NEWEST DEVELOPMENT "THE ARTISAN COLLECTION" ***FEATURING 14 ELEGANTLY DESIGNED SINGLE FAMILY HOMES***OPEN BRIGHT FLOOR PLAN, GOURMET KITCHENS, LARGE BEDROOMS, LUXURIOUS MASTER BATHS, HARDWOOD FLOORS, CUSTOM APPOINTED FINISHES, FIREPLACE, HIGH QUALITY APPLINACES, BEAUTIFUL MILLWORK AND EXPERT CRAFTSMANSHIP. DELIVERY SPRING 2015***ONLY 4 HOMES LEFT***</t>
  </si>
  <si>
    <t>2635 MEDILL LLC#2348885. DELIVERY LATE APRIL. THE EXTERIOR AND  PHOTO OF THIS LISTED HOME IS THE MODEL HOME AT 2628 W BELDEN.</t>
  </si>
  <si>
    <t>Sparrow</t>
  </si>
  <si>
    <t>RT. 25 TO ROBIN, E TO WREN, LEFT TO SPARROW, ON LEFT</t>
  </si>
  <si>
    <t>MEADOWDALE</t>
  </si>
  <si>
    <t>Kemper Park is your backyard!!! Hard to find 3 Bedroom home w/addition &amp; over sized garage!  Updated kitchen w/cabinets, counters &amp; appliances!    RARE dining area w/shelving nook!  Bonus room w/HUGE closet and sliders to the fenced backyard! Hardwood in bedrooms &amp; family room!  Master w/dual closets! Front load washer/dryer! Newer siding &amp; roof!</t>
  </si>
  <si>
    <t>MEADOWDALE ELEMENTARY SCHOOL</t>
  </si>
  <si>
    <t>Central Air, 1 (Window/Wall Unit), None</t>
  </si>
  <si>
    <t>Angela Bjork</t>
  </si>
  <si>
    <t>(847) 845-4974</t>
  </si>
  <si>
    <t>847-845-4974</t>
  </si>
  <si>
    <t>HESS</t>
  </si>
  <si>
    <t>DOGS IN CRATES</t>
  </si>
  <si>
    <t>Dorr</t>
  </si>
  <si>
    <t>L ON MCDOLE R ON BOYCE L ON DORR</t>
  </si>
  <si>
    <t>Nearly 4,000 SF executive home in Walnut Woods! 4 beds (2 with Jack &amp; Jill bath), 4 baths, 1st floor den, gourmet kitchen with island &amp; granite counters, SS appliances &amp; wood flooring. HUGE master suite with luxury bath &amp; dual vanity. Family room with fireplace &amp; a large WALKOUT basement! Don't forget the 3 car garage! See this one today! This is a Fannie Mae HomePath property. No personal property included.</t>
  </si>
  <si>
    <t>**OFFER ACCEPTED 4/3 - PAPERWORK PENDING**Use Showing Assist</t>
  </si>
  <si>
    <t>SUBMIT OFFERS @ HOMEPATH.COM USING ONLINE OFFER SYSTEM*USE ATTACHED CONTRACTS TO SUBMIT OFFERS*NO SURVEY*NO PERSONAL PROPERTY**BUYER PAYS TRANSFER STAMPS*Act now-$1000 Buyer's Agent Bonus! Click HomePath.com for details. Restrictions apply.</t>
  </si>
  <si>
    <t>Windett</t>
  </si>
  <si>
    <t>Randall Road to Bricher Road west to Fisher Drive South to Fieldstone Drive west to Windett Lane</t>
  </si>
  <si>
    <t>YORK</t>
  </si>
  <si>
    <t>56.93X119.89X76.74X100.20</t>
  </si>
  <si>
    <t>Vaulted ceilings,2 story familyroom,open kitchen w/loads of counter space &amp; lots of windows are just a few of the +'s.New granite,stainless steel appliances,lights,fans,doors,trim,carpet.Updated bathrooms w/new tile,granite,plumbing fixtures.Refinished hardwood floors.Awesome fin. bsmt w/custom tiled bar,huge rec room,new carpet.Close to school,parks,shopping &amp; highways!Move right in!</t>
  </si>
  <si>
    <t>Bar, Office, Recreation Room</t>
  </si>
  <si>
    <t>Not a short sale or foreclosure.Can close quickly. Taxes prorated at 100%.back patio will be corrected when weathe allows.</t>
  </si>
  <si>
    <t>HOBART</t>
  </si>
  <si>
    <t>HARLEM TO TALCOTT (5700 N) EAST TO NEW HAMPSHIRE; NORTH (L) ON NEW HAMPSHIRE; EAST (R) ON HOBART</t>
  </si>
  <si>
    <t>33 X 202 X 25 X 202</t>
  </si>
  <si>
    <t>Meticulously Maintained Open Floor Plan Home in Old Norwood. This Home Features: 4 Bedrooms 2 Full Bathrooms, Large Eat in Kitchen w/ Skylights, 3 Year Old Anderson Windows, Refinished Hardwood Floors, 5 Year Old Architectural  Shingle Roof, Newer Boiler, Newer Hot Water Tank, Newer 2 Car Garage with Additional 2 Car Pad, Tuck-Pointing in 2014, Over Sized 33 x 202 Lot, Fully Fenced Backyard. This is a MUST SEE Home!</t>
  </si>
  <si>
    <t>Gas, Radiators, 2+ Sep Heating Systems, Other</t>
  </si>
  <si>
    <t>Please Exclude the Following: 2 Rose Bushes, Kitchen Island and Hanging Pot Rack.</t>
  </si>
  <si>
    <t>Armitage to Keeler, south to address</t>
  </si>
  <si>
    <t>H&amp;B 3/25/15 noon; sold as is; use forms on MLS; POF must be in buyer' name;  Review Seller disclosure form prior to writing an offer. Seller requires that potential buyers execute the disclosure and submit with their offer in order to be considered." Buyer responsible for any utility connections if needed; buyer responsible for all inspections, if needed</t>
  </si>
  <si>
    <t>EMAIL ONLY LISTING AGENT; Lve agent name, comp name and phone, mls ID#</t>
  </si>
  <si>
    <t>Use forms on MLS; sold as is ; allow 24 hr for appt confirmation; EM by cashier's check or wire; Current POF in US $$ in Buyer's name; IF LLC, provide doc with offer; no end of month closings</t>
  </si>
  <si>
    <t>Alta Vista</t>
  </si>
  <si>
    <t>ALTA VISTA TERRACE IS ONE-WAY SOUTHBOUND. ENTER FROM BYRON OR PARK ON GRACE AND WALK NORTH TO HOME.</t>
  </si>
  <si>
    <t>24 X 40</t>
  </si>
  <si>
    <t>Beautiful Greystone on charming Alta Vista. Seller just installed a gorgeous new master bath, added powder room to main floor, built a one car garage, finished lower level, reconfigured entrance to deck on first level w/ new built-in bbq &amp; custom built a huge closet in master bed. Home is one of only 4 on the block with a 3rd floor. Each floor has fantastic outdoor decks. Home is 3377 sq ft. Gorgeous and charming!</t>
  </si>
  <si>
    <t>GREELEY ELEMENTARY SCHOOL</t>
  </si>
  <si>
    <t>Den, Deck, Eating Area, Foyer, Office, Sitting Room, Storage, Walk In Closet</t>
  </si>
  <si>
    <t>Brick, Stone, Limestone</t>
  </si>
  <si>
    <t>Vaulted/Cathedral Ceilings, Skylight(s), Sauna/Steam Room, Bar-Wet, Hardwood Floors</t>
  </si>
  <si>
    <t>24X6</t>
  </si>
  <si>
    <t>Laura Rubin</t>
  </si>
  <si>
    <t>(312) 981-2828</t>
  </si>
  <si>
    <t>Please email, text or call laura rubin 312 217 4444 or laura@laurarubin.com</t>
  </si>
  <si>
    <t>Property went under contract before listed.  Currently in A/I period.</t>
  </si>
  <si>
    <t>0N406</t>
  </si>
  <si>
    <t>Keslinger (W) to Friendship Way (S) to Chadsworth (W) to Charlotte (S) to Eastwood Court on the west</t>
  </si>
  <si>
    <t>PAYTON III</t>
  </si>
  <si>
    <t>8400SF</t>
  </si>
  <si>
    <t>THIS IS THE HOME YOU'VE BEEN WAITING TO COME ON THE MARKET! Located on a quiet cul de sac in highly desireable neighborhood, this home is upgraded to the HILT!  Move in ready is an understatement...see the photos! Granite counters, stainless appliances, a main floor full bath &amp; office that can be used as 5th bedroom, extraordinary finished basement w/half bath, irrigation system, custom millwork everywhere! Must see!</t>
  </si>
  <si>
    <t>Water-Softener Owned, Security System, CO Detectors, Ceiling Fan, Sump Pump, Sprinkler-Lawn, Radon Mitigation System(s)</t>
  </si>
  <si>
    <t>Den, Play Room, Recreation Room, Other</t>
  </si>
  <si>
    <t>call 877.977.1010 to schedule a showing</t>
  </si>
  <si>
    <t>STRATFORD</t>
  </si>
  <si>
    <t>I-90 TO RANDALL RD NORTH TO HUNTLEY RD WEST TO COMMUNITY</t>
  </si>
  <si>
    <t>WESTCHESTER</t>
  </si>
  <si>
    <t>71X125X90X125</t>
  </si>
  <si>
    <t>BEAUTIFUL BUILDER'S MODEL FOR SALE ! DESIRABLE COMMUNITY NEAR RANDALL RD SHOPPING W/114 ACRES OPEN SPACE &amp; WALKING PATHS. LIFE-TESTED, CONSUMER INSPIRED FEATURES! WESTCHESTER IS AN OPEN FLOOR PLAN, 4 BDRMS, LOFT, FLEX RM, PULTE PLANNING CTR, LGE OWNER'S ENTRY, 3-SPACE GARAGE, OVERSIZE KIT.ISLAND; LGE WALK-IN PANTRY &amp; MORE! MORE UPGRADES!  PHOTOS OF ACTUAL HOME. QUICK CLOSE !</t>
  </si>
  <si>
    <t>Den, Loft, Sun/Florida Room Heated</t>
  </si>
  <si>
    <t>Maria P Ruiz</t>
  </si>
  <si>
    <t>(815) 236-1543</t>
  </si>
  <si>
    <t>LOGAN SQUARES NEWEST DEVELOPMENT "THE ARTISAN COLLECTION" ***FEATURING 14 ELEGANTLY DESIGNED SINGLE FAMILY HOMES***OPEN BRIGHT FLOOR PLAN, GOURMET KITCHENS, LARGE BEDROOMS, LUXURIOUS MASTER BATHS, HARDWOOD FLOORS, CUSTOM APPOINTED FINISHES, FIREPLACE, HIGH QUALITY APPLINACES, BEAUTIFUL MILLWORK AND EXPERT CRAFTSMANSHIP. DELIVERY SPRING 2015 ***ONLY 4 HOMES LEFT***</t>
  </si>
  <si>
    <t>2635 MEDILL LLC #2348885. PHOTOS ARE OF A SIMILAR HOME BUILT AND ARE NOT EXACT REPRESENTATIONS OF THE LISTED HOME.Commission on base price.</t>
  </si>
  <si>
    <t>NAVARRE</t>
  </si>
  <si>
    <t>Raven to Navarre</t>
  </si>
  <si>
    <t>35 X 169</t>
  </si>
  <si>
    <t>Beautifully Rehabbed Home Featuring 4 Beds/2 Baths on Large Lot in Great Location of Norwood Park. Enjoy the Sunny LR w/ Fireplace &amp; Bay Window, 2 New Baths, Chefs Kitchen w/Island Overlooking Family Rm Leading to Deck &amp; Landscaped Yard. Full Finished Basement with Rec Room, Office, Bed, Storage &amp; Laundry. New Dream 3 Car Garage w/Large Loft, Party Door &amp; Elec .  NEW MECHANICALS &amp; ROOF. Walk to Metra, Shops &amp; Parks.</t>
  </si>
  <si>
    <t>ONAHAN ELEMENTARY SCHOOL</t>
  </si>
  <si>
    <t>ALL NEW MECHANICALS, ROOF, SIDEWALKS, DECK AND GARAGE.</t>
  </si>
  <si>
    <t>Pinehurst</t>
  </si>
  <si>
    <t>Butterfield East of Rt 25 to Pine Creek, North to Pinehurst, East to 618</t>
  </si>
  <si>
    <t>77X110</t>
  </si>
  <si>
    <t>This open concept home features vaulted ceilings and many recent upgrades! Remodels include the tile floors in the bathrooms, s/s appliances, hot water heater, washer &amp; dryer. Exterior upgrades recently done include the shutters, roof, gutters and exterior trim paint. The huge yard has many perennials, partially fenced, and many trees! The master bedroom has a luxurious suite! Each bedroom is very spacious! Must See</t>
  </si>
  <si>
    <t>2.5%-199 (on Gross SP)</t>
  </si>
  <si>
    <t>Adam Stary</t>
  </si>
  <si>
    <t>(630) 615-2881</t>
  </si>
  <si>
    <t>three sided fence can easily be closed off with two gates. garage floor being repainted. seller will remove pool in spring if buyer doesnt want, only needs a new liner. Snow blower can also stay.</t>
  </si>
  <si>
    <t>DAN RYAN SO TO 75TH WEST TO PERRY</t>
  </si>
  <si>
    <t>Beautiful, recently rehabbed, 4 bedroom, 3 full bath, bungalow brimming with new features! First floor offers gleaming hardwood floors! Gorgeous kitchen w/ stainless steel appliances, upgraded cabinets and granite counter tops! All new mechanicals! Central air w/ dormered, 2nd level master suite! With a finished basement, a 2 car garage, and a nice location on a quiet one way, it's a must see!</t>
  </si>
  <si>
    <t>10X38</t>
  </si>
  <si>
    <t>Kristen</t>
  </si>
  <si>
    <t>Rt 34 to Lakewood Springs N to Carey E to Kristen N</t>
  </si>
  <si>
    <t>65X130</t>
  </si>
  <si>
    <t>Gorgeous home boasting custom detail w/vaulted ceiling, elegant millwork, granite counters, SS appliances, upgraded cherry maple cabinetry, oak rails, fireplace, the list goes on! Huge master suite w/walk-in closet &amp; luxury bath. Generous sized bedrooms. 1st floor office. Formal living &amp; dining rooms for entertaining. Situated on great lot w/pond next door. Lushly landscaped yard! Great pool &amp; clubhouse community.</t>
  </si>
  <si>
    <t>TV-Cable, Sump Pump</t>
  </si>
  <si>
    <t>Use ShowAssist to schedule, 4 hour notice required</t>
  </si>
  <si>
    <t>Please keep everybody away from the birds, they bite. The seller will be splitting some of the outdoor landscaping, as it will need to be thinned to maintain proper growth. Front flagpole is excluded from sale</t>
  </si>
  <si>
    <t>89TH</t>
  </si>
  <si>
    <t>SOUTH ON KING DRIVE TO 89TH ST EAST TO PROPERTY</t>
  </si>
  <si>
    <t>4687 SQFT</t>
  </si>
  <si>
    <t>DO NOT MISS THIS OPPORTUNITY TO OWN THIS RECENTLY REMODELED SINGLE FAMILY HOME. SOME OF THE HIGHLIGHTS INCLUDE: KITCHEN (CHERRY CABINETS, STAINLESS APPL, GRNT COUNTERS, BACKSPLASH), CERAMIC TILE, HARDWOOD FLOORS, WAINSCOTING &amp; A FULL FINISHED LOWER LEVEL. BATHROOMS FEATURE CUSTOM TILE WORK, WHAT A GORGEOUS HOME!</t>
  </si>
  <si>
    <t>Emelin Brown</t>
  </si>
  <si>
    <t>(708) 646-8264</t>
  </si>
  <si>
    <t>CALL CENTRALIZED SHOWING AT 877.977.1010</t>
  </si>
  <si>
    <t>SUBMIT ALL OFFERS VIA FACSIMILE TO 773.304.1946 OR VIA E-MAIL TO EMELIN@ROMANREALTY.COM</t>
  </si>
  <si>
    <t>Head east on W Irving Park Rd to N Long Ave. Right on N Long Ave. Left on W Grace St. Home on right.</t>
  </si>
  <si>
    <t>31X125</t>
  </si>
  <si>
    <t>If you love to entertain then this is the home for you! The bright &amp; open floor plan is inviting &amp; when it's time to unwind you can relax in the sunroom, the enclosed porch or take a steam shower. You'll be amazed by the elegant finishes throughout, hardwood floors &amp; the fully finished basement - it will be the perfect spot to watch "the big game". Tons of storage, a workshop &amp; fenced in back yard. Come take a look!!</t>
  </si>
  <si>
    <t>Enclosed Porch, Foyer, Sun/Florida Room Heated, Workroom</t>
  </si>
  <si>
    <t>Call Showing Time at (855) 746-9843 (24 Hr Notice)</t>
  </si>
  <si>
    <t>All offers must be on Multi Board 6.0</t>
  </si>
  <si>
    <t>MARIEMONT</t>
  </si>
  <si>
    <t>Gordon to Settlers Blvd to Gillett St left to Mariemont right.</t>
  </si>
  <si>
    <t>SETTLERS RIDGE</t>
  </si>
  <si>
    <t>60 X 129</t>
  </si>
  <si>
    <t>Entertainers Delight in this Fresh Open Floorplan! Beautifully upgraded 4 BR 2 1/2 BA home backing to open space~Gorgeous hardwood flooring~Stunning kitchen w/granite ctrs, maple cabs w/pull-outs, all stainless appl. &amp; lots of work space~Eating area has 21x14 deck off of it &amp; adjoins family rm w/2-story ceiling &amp; stone fireplace~Luxury master w/sitting area~WIC in every bedroom~Full English bmt~Parks, ponds &amp; paths!</t>
  </si>
  <si>
    <t>Park/Playground, Pond/Lake, Curbs/Gutters, Street Lights, Street Paved</t>
  </si>
  <si>
    <t>Eating Area, Loft, Sitting Room</t>
  </si>
  <si>
    <t>Call Showing Time 855-919-0376 Must Confirm-Day before notice M-F for pet. weekend more flexible</t>
  </si>
  <si>
    <t>This home shines and is completely move in ready! Has Hardi Plank siding! Exclude Washer &amp; Dryer. Subdivision has 2 great parks, lots of paths &amp; a couple ponds plus great access to I88! SSA is dormant and $0 in tax bill.</t>
  </si>
  <si>
    <t>Rt 31 to Concord</t>
  </si>
  <si>
    <t>CONCORD HIGHLANDS</t>
  </si>
  <si>
    <t>CUSTOM SPLIT LEVEL</t>
  </si>
  <si>
    <t>75X121</t>
  </si>
  <si>
    <t>Great 3-4 BR Split Level home offers spacious sun filled rooms!  Large Living Rm &amp; Formal dining Rm.  Attractive eat-in kitchen, 3 Full Baths- all updated with dark stained cabinets &amp; beautiful tile work! Lower level has recreation Rm, den or 4th Br, Laundry RM, storage space and direct access to oversized garage.  Fenced yard with deck, pool &amp; Shed- with mature trees for privacy! Close to Metra, I90, Rt 31 &amp; Randall</t>
  </si>
  <si>
    <t>Call 855-919-0200. Easy</t>
  </si>
  <si>
    <t>LOGAN SQUARES NEWEST DEVELOPMENT "THE ARTISAN COLLECTION" ***FEATURING 14 ELEGANTLY DESIGNED SINGLE FAMILY HOMES***OPEN BRIGHT FLOOR PLAN, GOURMET KITCHENS, LARGE BEDROOMS, LUXURIOUS MASTER BATHS, HARDWOOD FLOORS, CUSTOM APPOINTED FINISHES, FIREPLACE, HIGH QUALITY APPLINACES, BEAUTIFUL MILLWORK AND EXPERT CRAFTSMANSHIP. DELIVERY SPRING 2015.</t>
  </si>
  <si>
    <t>2.5%-$295/COMMISSION ON BASE PRICE. (on Net SP)</t>
  </si>
  <si>
    <t>2635 MEDILL LLC#2348885 EMAIL LISTING AGENTS FOR MORE INFORMATION. DELIVERY SPRING 2015. PHOTOS ARE OF A SIMILAR HOME BUILT AND ARE NOT AN EXACT REPRESENTATION. FLOOR PLANS &amp; ROOM DIMENTIONS ARE SUBJECT TO CHANGE WITH OUT NOTICE. MODEL</t>
  </si>
  <si>
    <t>BELL</t>
  </si>
  <si>
    <t>NORTH AVE TO BELL, NORTH TO HOME</t>
  </si>
  <si>
    <t>UNPARALLELED CHARACTER MATCHED W/ MODERN SYTLE IN THIS COMPLETE GUT ON BUCKTOWN'S BEST BLOCK. GLAMOROUS DETAILS INCL. REFINISHED HDWD FLRS, 11' CEILINGS, CUSTOM FIREPLACE, LRG OPEN KITCHEN W/ ISLAND, SS APPLS. NEW LIGHTING T/O. LARGE LR/DR, 4TH BED + FAM. RM ROUND OUT 1ST FL. 3 BEDS, LAUNDRY + NURSERY UP. MSTR W/ WIC, MARBLE BATH. NEW PLUMB + ELECT. 25x125 LOT W/ 2 CAR GARAGE. STEPS TO BLUE LINE + NEW 606 ENTRANCE</t>
  </si>
  <si>
    <t>CLEMENTE COMMUNITY ACADEMY SENIOR HIGH SCHOOL</t>
  </si>
  <si>
    <t>Oven/Range, Microwave, Dishwasher, Refrigerator, Freezer, Washer, Dryer, All Stainless Steel Kitchen Appliances, Wine Cooler/Refrigerator</t>
  </si>
  <si>
    <t>Nursery</t>
  </si>
  <si>
    <t>Balcony, Deck, Patio, Porch</t>
  </si>
  <si>
    <t>J Maggio, SFR</t>
  </si>
  <si>
    <t>(312) 450-0012</t>
  </si>
  <si>
    <t>EMAIL jmaggio@atproperties.com SHOWINGS SATURDAY 3/28 AM, SUNDAY 3/29 BY APPT. ONLY.</t>
  </si>
  <si>
    <t>SHELVES IN 4TH BEDROOM NOT STAYING. CURRENTLY USED AS OFFICE. PLEASE SEE FLOOR PLANS IN VIRTUAL TOUR.</t>
  </si>
  <si>
    <t>Pulaski Rd. to Marquette Rd. the West to property</t>
  </si>
  <si>
    <t>Solid brick 4 bedroom.  big unfinished basement. big garage.  well maintained, new windows, doors, roof newer central air compressor. great location. priced right</t>
  </si>
  <si>
    <t>McNamara Real Estate</t>
  </si>
  <si>
    <t>(773) 507-7461</t>
  </si>
  <si>
    <t>William McNamara</t>
  </si>
  <si>
    <t>call listing office</t>
  </si>
  <si>
    <t>EVERGREEN</t>
  </si>
  <si>
    <t>RTE 25 TO ROBIN EAST TO HAZARD TO EVERGREEN HOME ON RIGHT</t>
  </si>
  <si>
    <t>* REMODELED 4 BEDROOM 2 CAR GARAGE RANCH * REFINISHED HARDWOOD FLOORS THROUGHOUT *BEAUTIFUL KITCHEN W/ NEW BREAKFAST ISLAND *  NEWER COUNTER TOPS * NEWER FURNACE * NEW VANITY * NEW DOORS * NEW TRIM * NEW FLOORING * NEW CEILING FANS * NEW APPLIANCES * FRESHLY PAINTED * NEWER HWH * THERMO PAYNE WINDOWS * 25 X 12 WOOD DECK * FENCED IN YARD * VALUE PRICED * SEPARATE LAUNDRY ROOM * HOME WILL SELL FAST * HURRY *</t>
  </si>
  <si>
    <t>3%-100 (on Gross SP)</t>
  </si>
  <si>
    <t>* VALUED PRICED REMODELED RANCH * 4 BEDROOMS * 2 CAR GARAGE * HOME IN GREAT CONDITION * REFINISHED HARDWOOD FLOORS * THERMO  PAYNE WINDOWS * NEW DOORS * NEW FLOORING * STAINLESS STEEL APPLIANCES * ALL APPLIANCES STAY * FENCED IN YARD *</t>
  </si>
  <si>
    <t>Rt.47 to 34 to Sycamore to Chestnut to home.</t>
  </si>
  <si>
    <t>Fox Hill</t>
  </si>
  <si>
    <t>82X161X84X146</t>
  </si>
  <si>
    <t>Immaculate &amp; spacious describe this gorgeous two story home in desirable Fox Hill neighborhood. HUGE kitchen with bright, natural light. Planning desk in kitchen. Neutral decor. Family room boasts a wood burning fireplace and built in bookcase. Perfect space for relaxing or entertaining! Open floor plan. Basement waiting to be finished. Truly a move in ready home. Private corner lot that backs to a field. Don't miss!</t>
  </si>
  <si>
    <t>Motivated Sellers.  Please use 6.0 contract.</t>
  </si>
  <si>
    <t>Potomac</t>
  </si>
  <si>
    <t>WEST on Division, NORTH on Kedzie, WEST on Potomac</t>
  </si>
  <si>
    <t>COMPLETE GUT IN HUMBOLDT PARK - A MODERN SINGLE FAMILY TWIST TO A HISTORIC BRICK 2FLAT. OVER 3000 SQFT WITH OPEN FLR PLAN AND HW FLRS. MAIN FLR 10FT CLNGS - SEP FAM &amp; LIVING RM W/ BRKFST AREA, WHT CABINETS, SS APPL. TOP FLR 10FT CLNGS - 3BDS/2BTHS, LUX MSTR SHWR &amp; DBL VNTIES, LNDRY RM. L/LVL - 1BD/1BTH, REC RM, LNDRY RM, FLOOD PREV. CONTACT AGENT FOR CUSTOMIZATION OPTIONS (WET BAR, DECK, PANTRY). DELIVERY JAN 2015.</t>
  </si>
  <si>
    <t>Breakfast Room, Den, Recreation Room, Utility Room-Lower Level</t>
  </si>
  <si>
    <t>Hardwood Floors, Heated Floors, 1st Floor Laundry, 2nd Floor Laundry</t>
  </si>
  <si>
    <t>Kok Keng Goh</t>
  </si>
  <si>
    <t>(312) 569-0010</t>
  </si>
  <si>
    <t>Book thru schedule a showing or call agent @ 312-569-0010</t>
  </si>
  <si>
    <t>ADDISON ONE BLOCK EAST OF CICERO THEN SOUTH.</t>
  </si>
  <si>
    <t>38X184</t>
  </si>
  <si>
    <t>Updated home in hot Kilbourn Park brims w/ charm. Fab open kitchen/fam rm looks out on huge lot with prof landscaping &amp; 3 car garage. Great front porch opens to LR. DR w/ bay windows. 2 beds + full new bath on 1st flr. 2 beds, full new bath + sitting area on 2nd. Bsmt w/ drain tile &amp; sump pump framed out ready for drywall. New elec, Hardie board siding, windows &amp; more in 2008. Short walk to Grayland Metra &amp; 6 Corners</t>
  </si>
  <si>
    <t>Den, Deck, Utility Room-Lower Level</t>
  </si>
  <si>
    <t>Christopher Gaggero</t>
  </si>
  <si>
    <t>(773) 715-1479</t>
  </si>
  <si>
    <t>Click "Schedule a Showing" or call ShowingTime 855-746-9020. 24 hrs preferred, short notice possible</t>
  </si>
  <si>
    <t>PLAINFIELD TO PROPERTY</t>
  </si>
  <si>
    <t>Master piece! Spectacularly remodeled mansion with 4BD/3.5BATHS, stunning and modern open floor plan,versatile,sunny LVR&amp;DR, surround system. Luxury finished interior with  9'cathedral  ceilings, custom 42"kitchen cabinets, gleaming hardwood floors, designer tiles, granite counter tops, new SS appliances.Huge master suite with walk-in closet and balcony. All new plumbing, heating and electric. One year home warranty.</t>
  </si>
  <si>
    <t>Oven/Range, Microwave, Dishwasher, High End Refrigerator, Refrigerator-Bar, Washer, Dryer, Disposal, All Stainless Steel Kitchen Appliances</t>
  </si>
  <si>
    <t>Balcony, Foyer, Office, Walk In Closet</t>
  </si>
  <si>
    <t>Vaulted/Cathedral Ceilings, Bar-Wet, Hardwood Floors, 1st Floor Bedroom, 2nd Floor Laundry</t>
  </si>
  <si>
    <t>Jolanta Wilkowska</t>
  </si>
  <si>
    <t>Call listing agent @ 773 480 6667</t>
  </si>
  <si>
    <t>Gorgeous house with fully finished lower level with a family room, bathroom and wet bar.   Extras include a huge balcony and office. A pleasure to show! This one won't last long!</t>
  </si>
  <si>
    <t>SACRAMENTO</t>
  </si>
  <si>
    <t>63 ST E OR W TO SACRAMENTO, N TO PROPERTY</t>
  </si>
  <si>
    <t>HISTORIC CHICAGO BRICK BUNGALOW IN GREAT CONDITION. MANY VINTAGE FEATURES HAVE BEEN PRESERVED IN THIS LOVELY HOME.  HARDWOOD FLOORS DECORATIVE FIREPLACE, IRON SECURITY FENCE.  SPACIOUS ROOMS AND GREAT FLOOR PLAN</t>
  </si>
  <si>
    <t>PLEASE EMAIL OFFERS TO BARB@PRSREALTORS.COM USE ATTACHED COVERSHEET WITH OFFEREmployees of Bank of America or its affiliates or subsidiaries are strictly prohibited from directly or indirectly purchasing any property owned by Bank of Americ</t>
  </si>
  <si>
    <t>Leland</t>
  </si>
  <si>
    <t>Lawrence south on Major, east on Leland</t>
  </si>
  <si>
    <t>Completely Remodeled Queen Anne in Quiet Neighborhood. New roof, siding, furnace, kitchen with Granite counters and SS appliances, and bathrooms (whirlpool, separate custom shower, double sink). Oversized lot with new fence, garage and car port, and spacious yard. Ready to Move in!!</t>
  </si>
  <si>
    <t>STEINMETZ ACADEMIC CENTRE SENIOR HIGH SCHOOL</t>
  </si>
  <si>
    <t>Enclosed Balcony, Enclosed Porch, Foyer</t>
  </si>
  <si>
    <t>Off Street, Side Apron</t>
  </si>
  <si>
    <t>Enclosed Balcony</t>
  </si>
  <si>
    <t>Daniel Nierman</t>
  </si>
  <si>
    <t>(847) 601-9359</t>
  </si>
  <si>
    <t>847-231-5945 - Fax</t>
  </si>
  <si>
    <t>Call owner directly for showings: Krunoslav - 309.750.9376</t>
  </si>
  <si>
    <t>Sara Carrera</t>
  </si>
  <si>
    <t>Call owner directly for showings: Krunoslav - 309.750.9376. Fax or Email offers to listing agent. Listing company DOES NOT hold earnest money.</t>
  </si>
  <si>
    <t>Fargo and Francisco</t>
  </si>
  <si>
    <t>Crown Heights Realty</t>
  </si>
  <si>
    <t>(312) 440-7000</t>
  </si>
  <si>
    <t>Andrew Glatz</t>
  </si>
  <si>
    <t>(773) 860-8770</t>
  </si>
  <si>
    <t>N of Addison W of Western 1-Way North</t>
  </si>
  <si>
    <t>Bell school district single family home on an over sized lot! Great development or extensive rehab opportunity. There's no kitchen cabinets, fixtures or bathroom fixtures.  Not livable in current condition. Newer roof. lovely backyard and 2 car garage. New $1M+ homes on block and surrounding area. Prime location. Sold as is.</t>
  </si>
  <si>
    <t>Deck, Eating Area, Foyer, Office</t>
  </si>
  <si>
    <t>07X04</t>
  </si>
  <si>
    <t>Park Place Real Estate Services</t>
  </si>
  <si>
    <t>(773) 857-5990</t>
  </si>
  <si>
    <t>Jill Halpern</t>
  </si>
  <si>
    <t>(312) 543-4900</t>
  </si>
  <si>
    <t>Please text Jill 312-543-4900</t>
  </si>
  <si>
    <t>Johnson Woods</t>
  </si>
  <si>
    <t>Kirk to Wilson W to Johnson Woods Dr South</t>
  </si>
  <si>
    <t>98X120</t>
  </si>
  <si>
    <t>WOW!! STEP INTO YOUR FULLY RENOVATED 3400 SQ FT BATAVIA HOME WITH LUXURY AMENITIES LOCATED ON A SPACIOUS CORNER LOT. OPEN CONCEPT LAYOUT CREATES AN ENGAGING SPACE TO ENTERTAIN &amp; CREATE MEMORIES. YOUR MASTER SUITE IS THE PERFECT OASIS.  FULLY FINISHED BASEMENT, GOURMET KITCHEN W/STAINLESS STEAL APPLIANCES, VAULTED CEILINGS, GORGEOUS HARDWOOD FLOORS, FIREPLACE AND 3 CAR GARAGE MAKE FOR A PERFECT SPACE TO ENJOY.</t>
  </si>
  <si>
    <t>Robert Miller, CNC</t>
  </si>
  <si>
    <t>(708) 372-0505</t>
  </si>
  <si>
    <t>PLEASE USE SHOWING ASSIST.</t>
  </si>
  <si>
    <t>Can close Fast!! Sentrilock located on front door. Any questions call, text or email. 708-372-0505 ask for Bob. Thank you for showing.</t>
  </si>
  <si>
    <t>TOWNSEND</t>
  </si>
  <si>
    <t>Somonauk St. to Reckitt E to Townsend S to home</t>
  </si>
  <si>
    <t>50X135</t>
  </si>
  <si>
    <t>3 BR 1 BA updated ranch. Large 2+ car detached garage w/ alley access.  Fenced back yard w/ patio area.  Newer house &amp; garage roofs. Newer furnace, C/A, water heater, refrigerator, micro, tile, laminate flooring, cabinets, tops, and much more. New windows w/ lifetime warranty. New oven, dishwasher, and Moen faucets. Finished basement with large open room, 4th bedroom, and hobby area.</t>
  </si>
  <si>
    <t>J &amp; A Real Estate</t>
  </si>
  <si>
    <t>(815) 970-0679</t>
  </si>
  <si>
    <t>Jeff Patton</t>
  </si>
  <si>
    <t>Call listing agent or use showing assist</t>
  </si>
  <si>
    <t>Patton</t>
  </si>
  <si>
    <t>Nice home in a great Sycamore neighborhood</t>
  </si>
  <si>
    <t>Roscoe (3400 N) to Marshfield (1650 W) North to home</t>
  </si>
  <si>
    <t>Deck, Foyer, Office, Recreation Room</t>
  </si>
  <si>
    <t>email Marlene- marlenegranacki@gmail.com</t>
  </si>
  <si>
    <t>RED BARN</t>
  </si>
  <si>
    <t>ROUTE 20 TO RANDALL S TO COLLEGE GREEN DRIVE WEST TO RED BARN</t>
  </si>
  <si>
    <t>SIERRA</t>
  </si>
  <si>
    <t>75X133</t>
  </si>
  <si>
    <t>A lovely home with SS appliances, intercom, security system, central vac, UV light in furnace, carbon filtered water system, sunsetters awning on deck so you can sit &amp; enjoy sunsets or view the kid proof pool in the fenced yard. The family room fireplace adds warmth to activities. Master suite with luxury bath &amp; WIC. A Finished walkout lower level offers rec-room, bedroom and full bath to complete this home.</t>
  </si>
  <si>
    <t>Loft, Eating Area, Recreation Room</t>
  </si>
  <si>
    <t>Wood Laminate Floors, 1st Floor Laundry, 1st Floor Full Bath</t>
  </si>
  <si>
    <t>12X28</t>
  </si>
  <si>
    <t>2.5%- $250 (on Net SP)</t>
  </si>
  <si>
    <t>Wanda Brost, GRI</t>
  </si>
  <si>
    <t>(630) 707-4663</t>
  </si>
  <si>
    <t>Invisible fence across back yard line will stay. Play set does not stay</t>
  </si>
  <si>
    <t>RT 34 TO WASHINGTON SE TO ASHLAND E TO POLK N TO HOME</t>
  </si>
  <si>
    <t>68X133X67X134</t>
  </si>
  <si>
    <t>FABULOUS IMMACULATE 4 LEVEL SPLIT CLOSE TO DOWNTOWN OSWEGO. JUST BLOCKS TO SCHOOLS, LIBRARY &amp; DINING.NEW GARAGE DOOR &amp; WATER SOFTNER.OPEN FLOOR PLAN W/VAULTED CEILING AND SKYLIGHTS ON MAIN LEVEL. EAT-IN FULLY APPLIANCED KITCHEN.3 BED/2 FULL BTHS UP.FAM RM W/GAS FIREPLACE &amp; ACCESS TO PATIO &amp; YARD. FIN BSMT WITH EXERCISE ROOM &amp; 4TH BEDROOM. OSWEGO 308 SCHOOLS. OSWEGO HIGH SCHOOL.</t>
  </si>
  <si>
    <t>Water-Softener Owned, TV-Cable, Security System, CO Detectors, Ceiling Fan, Sump Pump</t>
  </si>
  <si>
    <t>Julie Kaczor, ABR</t>
  </si>
  <si>
    <t>(630) 718-3508</t>
  </si>
  <si>
    <t>630 399-9399</t>
  </si>
  <si>
    <t>CALL BAIRD WARNER APPOINTMENT DESK 855-746-9100</t>
  </si>
  <si>
    <t>GREAT LOCATION, SO CLOSE TO DOWNTOWN OSWEGO.</t>
  </si>
  <si>
    <t>Pulaski (4000 W) to 79th street to kedvale to address</t>
  </si>
  <si>
    <t>scottsdale</t>
  </si>
  <si>
    <t>40X130</t>
  </si>
  <si>
    <t>Charming newly remodeled 4 bed 1.1 bath split-level featuring all new kitchen, plush carpeting throughout basement, finished family room downstairs, ample closet space and 5th bedroom. Heated garage and large backyard! Cute and quaint Scottsdale Chicago neighborhood. Nearby parks include Rainey Park, Bogan Park and Durkin Park.</t>
  </si>
  <si>
    <t>Cagan Realty</t>
  </si>
  <si>
    <t>(847) 679-3080</t>
  </si>
  <si>
    <t>Text (773)946-1705 w/ showing instructions and agent Id</t>
  </si>
  <si>
    <t>Multiple offers received. Highest &amp; best due by 12 noon 3/23/15.</t>
  </si>
  <si>
    <t>Deborah</t>
  </si>
  <si>
    <t>Randall Rd South of I90 and N of Rt 20 to Royal Blvd East to Deborah South To home</t>
  </si>
  <si>
    <t>EAGLE HEIGHTS</t>
  </si>
  <si>
    <t>85X130</t>
  </si>
  <si>
    <t>WOW this one owner home is immaculate! Great floor plan offers large Living Rm that opens onto Dining Rm and Retro Kitchen.  A delightful Sun Room is off the Dining Rm and is the perfect place for casual entertaining and just enjoying the private yard.  Three bedrooms and 1.1 baths are on the main level.  The lower level is finished with a big Family Rm with FP, Full Bath, Game area, 4th BR &amp; utility Rm- 2 car garage</t>
  </si>
  <si>
    <t>Foyer, Game Room, Sun/Florida Room</t>
  </si>
  <si>
    <t>Call 855-919-0200. must have confirmed appt.</t>
  </si>
  <si>
    <t>one owner home- in immaculate condition- property is in an estate being sold as is (microwave is as is)</t>
  </si>
  <si>
    <t>Take Jeffery North or South to 91st st East to Chappel Ave then R.</t>
  </si>
  <si>
    <t>Great opportunity to purchase this Fannie Mae/Homepath property.  This brick, single family home has a ton of space.  3 full bedrooms on the main floor with in-law suite in lower level.  Schedule your showing today!  All information estimated â€“ buyer to verify.</t>
  </si>
  <si>
    <t>30X10</t>
  </si>
  <si>
    <t>Hardwood Floors, Wood Laminate Floors, In-Law Arrangement, 1st Floor Full Bath</t>
  </si>
  <si>
    <t>REO ID: C1502NZ See additional information for contract package and instructions. All offers must be submitted on Homepath.com. Email all questions to JAMESONREO@GMAIL.COM. Use showing assist to schedule showings</t>
  </si>
  <si>
    <t>Thomas</t>
  </si>
  <si>
    <t>Route 34 to Mitchell, south to Eileen to Thomas Ct</t>
  </si>
  <si>
    <t>Lakewood Springs</t>
  </si>
  <si>
    <t>73X125</t>
  </si>
  <si>
    <t>Pride of ownership in this move in ready home. Neutral decor, upgraded new hardwood floors in dining room. Partially finished basement with full bath and ample storage. Large master suite with full bathroom and walk in closet. 2nd floor laundry for easy access. Spacious kitchen w/island, new stove, under cabinet lighting, back splash and lots of cabinets. Large fenced back yard. Extended driveway.</t>
  </si>
  <si>
    <t>Oven/Range, Microwave, Refrigerator, Washer, Dryer, Disposal</t>
  </si>
  <si>
    <t>Michele McComb</t>
  </si>
  <si>
    <t>(630) 479-8151</t>
  </si>
  <si>
    <t>Jeffery Blvd to 77th Street, East to Paxton Ave, South to Home</t>
  </si>
  <si>
    <t>36X125</t>
  </si>
  <si>
    <t>INCREDIBLY RENOVATED BRICK 2-STORY FEATURES 4 BDRMS &amp; 4 BATHS, BEAUTIFUL HARDWOOD FLOORS THROUGHOUT MAIN LEVEL, BEAUTIFUL CURVED HARWD STAIRCASE, LARGE LIVING RM W/ WOODBURNING FIRPLACE, SEP DINING RM, GORGEOUS KITCHEN W/ GRANITE COUNTERS, ESPRESSO CABINETS &amp; SS APPLIANCES, HUGE MASTER SUITE W/ PRIVATE BATH, STUNNING NEW BATHS W/ SEP SHOWER, WHIRLPOOL TUB &amp; DOUBLE SINKS, FINISHED BASEMENT</t>
  </si>
  <si>
    <t>MERRILL NEW</t>
  </si>
  <si>
    <t>47 TO BLISS TO HANKES, LEFT ON MERRILL NEW</t>
  </si>
  <si>
    <t>95 X 135</t>
  </si>
  <si>
    <t>True custom beauty w/WALKOUT basement! A must see, impeccably maintained! Chef's delight kit. w/lg. island, granite, SS appliances (LG), cherry cabs. w/slide out shelves, under cab. lights! Open to fabulous fam. rm. w/masonry fireplace (gas logs). Unique/private mid-level den, master suite has custom walk-in &amp; bath features you want! The best, huge laundry room! Trex deck, paver patio, unique front porch. A REAL 10!!</t>
  </si>
  <si>
    <t>Park/Playground, Tennis Courts, Pond/Lake, Sidewalks, Street Lights, Street Paved</t>
  </si>
  <si>
    <t>Berkshire Hathaway HomeServices Elite Realtors</t>
  </si>
  <si>
    <t>(630) 388-2000</t>
  </si>
  <si>
    <t>Mary Claire Blohm</t>
  </si>
  <si>
    <t>(630) 205-2150</t>
  </si>
  <si>
    <t>1 hr. notice, call CSS 877-977-1010</t>
  </si>
  <si>
    <t>Seller requests one hr. notice if possible. Do not hesitate to show this one....a beauty!!! All the bells and whistles here.</t>
  </si>
  <si>
    <t>ELSTON TO LUDLAM TO ADDRESS</t>
  </si>
  <si>
    <t>WELL MAINTAINED 8 ROOMS, 4 BEDROOMS, 1.5 BATH JEFFERSON PARK BEAUTY.  HUGE LIVING ROOM/DINING ROOM WITH HARDWOOD FLOORS UNDER CARPET PLUS FAMILY ROOM OFF KITCHEN.  2.5 CAR GARAGE.  SELLER WILL CONSIDER ALL OFFERS.</t>
  </si>
  <si>
    <t>Lawrence Lynch</t>
  </si>
  <si>
    <t>(773) 419-5296</t>
  </si>
  <si>
    <t>24 HOUR NOTICE CALL LISTING AGENT LARRY @ 773.419.5296</t>
  </si>
  <si>
    <t>CHURCHILL</t>
  </si>
  <si>
    <t>DAMEN TO CHURCHILL (WEST), BETWEEN ARMITAGE AND NORTH</t>
  </si>
  <si>
    <t>28 X 100</t>
  </si>
  <si>
    <t>Sophisticated X-wide 4 BR, 3 1/2 bath on one of Bucktown's best blocks. Walk to hotspots, parks, The 606, &amp; Blue line. Nicely appointed w/ cohesive floor plan perfect for living and entertaining. 4 large BR all above grade. Including Master Ste w/ den &amp; deck. Attached garage and 3 huge decks. Lge family rm w/ radiant heated floors &amp; 2nd laundry rm. Trex. Wolf &amp; Subzero. Hdwd &amp; Surround Sound Thru out. WBFP. Perfect!</t>
  </si>
  <si>
    <t>Den, Deck, Foyer, Storage, Utility Room-Lower Level, Walk In Closet</t>
  </si>
  <si>
    <t>Skylight(s), Bar-Wet, Hardwood Floors, Heated Floors, 1st Floor Laundry, 2nd Floor Laundry</t>
  </si>
  <si>
    <t>Melissa Edidin</t>
  </si>
  <si>
    <t>(312) 254-0335</t>
  </si>
  <si>
    <t>Please use showing assist. Appt. req. Sat. 3/21 11:30-3, Sun OH 12-3. Please make appt.</t>
  </si>
  <si>
    <t>2nd bedroom can be divided into two for a total of 5 bedrooms. Floor plans under additional information.</t>
  </si>
  <si>
    <t>Bedford</t>
  </si>
  <si>
    <t>Greenbrook Blvd to Arlington Drive to Andover to Beverly Circle to Beverly Ct.</t>
  </si>
  <si>
    <t>66X133X65X138</t>
  </si>
  <si>
    <t>So much room to roam in this large Monterey model! Most mechanicals replaced within the last 10 years: furnace, roof, appliances, water heater &amp; garage door opener.  Our 4/5 bdrm home features: vinyl siding, granite kitchen counter tops, family room off of kitchen, loft area was closed off with the 4th bedroom to make a double room teen retreat!  Conveniently located to expressway/shopping. Area pool for summer fun!</t>
  </si>
  <si>
    <t>Century 21 ABC Schiro</t>
  </si>
  <si>
    <t>(847) 985-9700</t>
  </si>
  <si>
    <t>Pamela Stanish, CSC</t>
  </si>
  <si>
    <t>(847) 650-9227</t>
  </si>
  <si>
    <t>847-650-9227</t>
  </si>
  <si>
    <t>Call Centralized Showings for appointments 877-977-1010</t>
  </si>
  <si>
    <t>All Showings are to be made through Centralized Showings 877-977-1010, No showings before 2:30 pls, day sleeper</t>
  </si>
  <si>
    <t>34W746</t>
  </si>
  <si>
    <t>RT 25 TO SEMINARY WEST TO CLYDE LEFT TO SECOND HOUSE ON RIGHT</t>
  </si>
  <si>
    <t>SKYLINE ESTATES</t>
  </si>
  <si>
    <t>80 X 105</t>
  </si>
  <si>
    <t>WOW!! COMPLETELY REMODELED INSIDE &amp; OUT! GORGEOUS EXPANDED 4 BEDROOM RANCH ~ BRIGHT LIVING RM W/BAMBOO FLOORS ~ OPEN KITCHEN W/STAINLESS STEEL APPLIANCES + WALK-IN PANTRY ~ SEPARATE DINING AREA ~ LARGE FAMILY RM W/VAULTED CEILING + FIREPLACE ~ HUGE MASTER W/VAULTED CEILING, SITTING AREA + DOUBLE CLOSETS ~ PRIVATE YARD W/LARGE PATIO + FIREPIT ~ 2 CAR GARAGE ~ST. CHARLES SCHOOLS ~CLOSE TO FOX RIVER, PRAIRIE PATH &amp; TOWN</t>
  </si>
  <si>
    <t>630-621-5421</t>
  </si>
  <si>
    <t>Please call 1-855-746-9608 or click below to schedule an appointment</t>
  </si>
  <si>
    <t>Call Co-Lister Selena w/Any questions &amp; Offers - 630-621-5421 Selena.Stloukal@gmail.com  *Stove conveyed as is - works great, just the display clip broke  *Concrete Driveway as-is</t>
  </si>
  <si>
    <t>39W655</t>
  </si>
  <si>
    <t>Carney</t>
  </si>
  <si>
    <t>Fabyan to Hughes Rd to Herrington Dr(N) to Carney(W)</t>
  </si>
  <si>
    <t>90X146X94X130</t>
  </si>
  <si>
    <t>Better than new home on a golf course lot!French doors,exceptional trim &amp; detail thru-out...Scenic yard w/covered deck,stone patio,firepit &amp; pond!!Granite kitch w/maple cabs &amp; high-end SS appls...Huge fam rm w/full wall bay window...Mbdrm &amp; luxury bth w/volume ceils &amp; big wic w/lots of blt-ins!!Quality finished deep pour bsmt w/bath!!All bdrms w/wics,in-ground sprinkler,stone walkway...Exceptional condition &amp; decor!!</t>
  </si>
  <si>
    <t>Golf Course Lot, Landscaped Professionally, Pond</t>
  </si>
  <si>
    <t>Humidifier, Security System, CO Detectors, Ceiling Fan, Sump Pump, Sprinkler-Lawn, Backup Sump Pump</t>
  </si>
  <si>
    <t>Foyer, Den, Game Room, Recreation Room, Exercise Room</t>
  </si>
  <si>
    <t>Deck, Porch, Roof Deck, Dog Run &amp;/or Invisible Fence, Brick Paver Patio</t>
  </si>
  <si>
    <t>North Ave to Laramie. Laramie (north) to Wabansia. West on Wabansia to Lockwood (south to property)</t>
  </si>
  <si>
    <t>Exquisitely rehabbed home on a nice tree lined cul-de-sac street. Spacious &amp; sunny home features 4 bedrooms / 2.5 baths with tub &amp; shower mosaic glass tile in-lays, custom kitchen w/maple cabinets, separate dining rm, granite countertops &amp; SS appliances, HW floors, new electric, plumbing &amp; HVAC, and full unfinished basement with walkout. Exterior features: new roof, siding, new windows, 2 car garage and fenced yard</t>
  </si>
  <si>
    <t>Premier Real Estate Ventures</t>
  </si>
  <si>
    <t>(312) 829-3380</t>
  </si>
  <si>
    <t>Bene Dituri</t>
  </si>
  <si>
    <t>Email or text listing broker at 312-446-1145 with 24hrs advance notice</t>
  </si>
  <si>
    <t>True 2 story Chicago bungalow home with full walk-out basement that has half bath, laundry area and plenty of storage. Nicely sized yard and 2 car garage. Great value!</t>
  </si>
  <si>
    <t>Archer to Austin, South on Austin to 56th, West on 56th to Meade, North on Meade to property.</t>
  </si>
  <si>
    <t>Great 4 BR Brick Cape Cod, New Paint, New Carpet, Unfinished Basement. Sold as-is. Tax proration 100%. No disclosure, no survey, no warranties provided by seller. Addendum after offer acceptance.</t>
  </si>
  <si>
    <t>Chicago Area Realty Inc</t>
  </si>
  <si>
    <t>(773) 545-5300</t>
  </si>
  <si>
    <t>Grazyna Przybysz</t>
  </si>
  <si>
    <t>(773) 343-2551</t>
  </si>
  <si>
    <t>Through Showing Assist</t>
  </si>
  <si>
    <t>Email OFFERS to reochicagoarea@comcast.net. All borrowers MUST be pre-qualified with Todd Bugbee (NMLS #900960) of PennyMac Loan Services, LLC. (NMLS #968858) [805-330-4716, todd.bugbee@pnmac.com], prior to offer submission.</t>
  </si>
  <si>
    <t>CHASEWOOD</t>
  </si>
  <si>
    <t>Randall to Silver Glen W/Thornwood R/Brookwood R/Chase L</t>
  </si>
  <si>
    <t>Beautiful home in Thornwood pool community w/ open floor plan. Beautiful light-filled 2-story entry,Masonry gas log FP,large kitchen w/butlers pantry,silestone countertops and stainless appliances. Large bayed dinette leads to two-tiered deck and lowerd brick patio and firepit  Roomy 1st fl office and also playroom. Lovely master suite w/trayed ceiling~spa lux bath. All BR's have a WIC. New windows last year</t>
  </si>
  <si>
    <t>Water-Softener Owned, TV-Dish, Ceiling Fan, Sump Pump</t>
  </si>
  <si>
    <t>Please exclude garage fridge and fabric window treatments as well. Thanks!    Please use 6.0 Contract</t>
  </si>
  <si>
    <t>71st</t>
  </si>
  <si>
    <t>TAKE PULASKI TO 71ST. PLACE EAST TO PROPERTY</t>
  </si>
  <si>
    <t>BEAUTIFULL REMODELED CAPE CODE BRICK HOUSE, EVERYTHING NEW, LIKE HEATER, WINDOWSM BEAUTIFULL GRANITE COUNTERS, WOOD CABINETS I  THEKITCHEN,  NEW CERAMIC AND GRANITE BATH THIS HOUSE OFFER 4 BEDROOMS, FULL FINISHED BASEMENT TWO CAR GARAGE, GREAT LOCATION CLOSE TO SCHOOLS AND TRANSPORTATION.</t>
  </si>
  <si>
    <t>3% - $ 200.00 + $ 2,500.00 BONUS (on Gross SP)</t>
  </si>
  <si>
    <t>Maria Galindo, ABR,SFR,SRS</t>
  </si>
  <si>
    <t>(708) 296-3388</t>
  </si>
  <si>
    <t>CALL, TEXT OR EMAIL L.A.</t>
  </si>
  <si>
    <t>Agents, bonus are payable if the we have a closing no later than May 15, 2015.</t>
  </si>
  <si>
    <t>Willowbrook</t>
  </si>
  <si>
    <t>Peck Rd to Prairie View, E to Willowbrook Way, right to home.</t>
  </si>
  <si>
    <t>PRAIRIEVIEW ESTATES</t>
  </si>
  <si>
    <t>77X180X174X149</t>
  </si>
  <si>
    <t>MAGNIFICENT Home, it SPARKLES! Squeaky Clean, Top Upgrades, Lovely Decor &amp; Room-to-Roam. Attractive CENTER ISLAND Kitchen offers GRANITE, Blk/SS Appliances &amp; more. C-Tile Entry-Kitchen. Dramatic 2 Story Family Rm has STACKED WINDOWS &amp; FIREPLACE. Huge MASTER BR w/2 WIC &amp; SPA BATH. FULL unfin WALKOUT Basmnt opens to a 1/2 ACRE PRIVATE YARD. 2x ZONED HVAC. IN-LAW/AUPAIR Bed &amp; Bath. Top Location &amp; Schools, Its All Here!</t>
  </si>
  <si>
    <t>Vaulted/Cathedral Ceilings, 1st Floor Bedroom, In-Law Arrangement, 1st Floor Laundry, 1st Floor Full Bath</t>
  </si>
  <si>
    <t>Call 855-746-9093 pref 2 hour Notice.</t>
  </si>
  <si>
    <t>Beautiful Home, Lot and Location!! Private "Au Pair" or In-Law Bedrm &amp; Bath. Brand New Carpeting t/o. NEWER: Granite, upgraded toilets, Pella SGD with blinds. Unfinished Walkout Basemnt has Bath rough-in. Private .46 acre Wooded Lot.</t>
  </si>
  <si>
    <t>290,exit Austin(N),take to Huron(E), Huron is one way st</t>
  </si>
  <si>
    <t>Homeowner, Senior Freeze</t>
  </si>
  <si>
    <t>Newer roof, hot water boiler, and windows in this classic Chicago home in excellent location; walking distance from West Suburban Hospital &amp; Oak Park; spacious front porch, hardwood floors, ss appliances, separate dining room, and great storage.  Perfect investor opportunity with lots of potential. Sold as-is, but needs only cosmetics.</t>
  </si>
  <si>
    <t>Off Alley, Visitor Parking</t>
  </si>
  <si>
    <t>25X9</t>
  </si>
  <si>
    <t>MaryAnn Marsh</t>
  </si>
  <si>
    <t>(773) 719-5383</t>
  </si>
  <si>
    <t>List agent must accompany; 24 hours notice requested.</t>
  </si>
  <si>
    <t>None.</t>
  </si>
  <si>
    <t>Fabyan or State St to Route 25 to Fox Run entrance.  Left to house.</t>
  </si>
  <si>
    <t>Enjoy in-town Geneva amenities in this upgraded John Henry built home in walk to train neighborhood.  Formal 2story foyer, arched doorways, 3piece crown moulding, hardwood flrs, 2story fam room w/stone FP, 1st flr den, stunning kitchen w/built-ins, custom Cherry cabs, large eating area. Master suite with huge closet, luxury bath. bedroom 2 w/ private bath, bedrooms 3 &amp; 4 w/ full bath. Lg yard w/brick paver patio.</t>
  </si>
  <si>
    <t>Humidifier, Water-Softener Owned, TV-Cable, Security System, Ceiling Fan, Sump Pump, Radon Mitigation System(s)</t>
  </si>
  <si>
    <t>Must Confirm Call 855-746-9200</t>
  </si>
  <si>
    <t>Bellon</t>
  </si>
  <si>
    <t>Take Western to 67th Street, turn west to maplewood, turn north to property</t>
  </si>
  <si>
    <t>1 (Window/Wall Unit), 2 (Window/Wall Unit)</t>
  </si>
  <si>
    <t>Paul Rakowski</t>
  </si>
  <si>
    <t>ARNS (RESI)</t>
  </si>
  <si>
    <t>Manton</t>
  </si>
  <si>
    <t>Central to Ardmore - East to Home. (Just off Elston)</t>
  </si>
  <si>
    <t>31 X 126</t>
  </si>
  <si>
    <t>CONSIDER THE POTENTIAL...CONSIDER THE LOCATION! INDIAN WOODS "DIAMOND IN THE ROUGH" DESIRABLE QUIET LOCATION.1510 SQ FT WITH 4 BEDRMS &amp; 2 BATHRMS.NEW ELECTRIC, NEWER WATER HEATER, BOILER, DOORS AND WINDOWS. SEPARATE ELECTRIC HEATING ON THE 2 FLOOR.NEW HOT WATER PIPES.BASEMENT WAITING TO BE FINISHED. BEAUTIFUL LARGE LOT WITH POTENTIAL TO BUILD NEW GARAGE. WALK TO  STORES, PARK, SCHOOL,TRANSPT.</t>
  </si>
  <si>
    <t>2.5%-295 (on Gross SP)</t>
  </si>
  <si>
    <t>ANOTHER INSITE DEVEL. HOME! ONLY 1 LEFT! STEPS TO SHOPS/RESTAURANTS &amp; EZ ACCESS TO XPRSWY,EL ETC FROM THIS NEW CONSTR 4BD+FAM RM+REC RM+DEN/3.1BA X-WDE HOME IN HOT MAYFAIR W/3BDS/2BA &amp; LNDRY UP W/GREAT CLSTS;HDWD FLRS T/O MAIN LIV AREA;CSTM MPLE/GRNT/SS KIT OPNS TO LRGE FAM RM;SPA-CLBR STNE BTHS T/O INCL MSTR W/SEP SHWR &amp; JET TUB;LRG BACK YD &amp; DECK;2-CAR GAR;LL W/ REC ROOM &amp; 4TH BDRM+DEN;ASK ABOUT OTHER ADDRESSES!</t>
  </si>
  <si>
    <t>W on Butterfield to Hart Rd. N to Fox Trail W to Derby Drive S to home</t>
  </si>
  <si>
    <t>Fox Trail</t>
  </si>
  <si>
    <t>Gorgeous and immaculate home in Fox Trail close to park, bike trail and Fox River! Updated kitchen w/eating area features hardwood floor, granite, center island and birch cabinets. Relax in the lovely 3-season room that overlooks beautiful wooded back yard and brick patio. Family room w/vaulted ceiling, skylights and fireplace; full basement has 3 finished rooms plus ample storage. Just perfect--a must-see!</t>
  </si>
  <si>
    <t>Bonus, Eating Area, Foyer, Game Room, Recreation Room, Storage, Sun/Florida Room</t>
  </si>
  <si>
    <t>Porch Screened, Brick Paver Patio, Storms/Screens</t>
  </si>
  <si>
    <t>Pete Economos, CRS</t>
  </si>
  <si>
    <t>Contract before processing</t>
  </si>
  <si>
    <t>Magnolia</t>
  </si>
  <si>
    <t>WRIGHTWOOD TO MAGNOLIA, NORTH TO PROPERTY. OR DIVERSEY TO MAGNOLIA SOUTH TO PROPERTY</t>
  </si>
  <si>
    <t>INCREDIBLE 3500SQFT LINCOLN PARK SFH LOCATED ON BEAUTIFUL TREE LINED ST BUILT BY ENVIRONS. THIS SUN FILLED HOME FEATURES 4 BDRM/3.1 BTHRMS, MAIN LEVEL HAS LIVING/DINING RM COMBO WITH HARDWOOD FLOORING AND WBFP, LARGE EAT-IN KITCHEN WITH FLR 2 CEILING ATRIUM LEADING TO LANDSCAPED BACKYARD. UPSTAIRS FEATURES 3 LARGE BDRMS/ 2 BTHRMS. PLUSH MASTER SUITE W/ JULIET BALCONY, CATHEDRIAL CEILING, 2 CAR GARAGE WITH FULL ATTIC!</t>
  </si>
  <si>
    <t>Utility Room-Lower Level, Walk In Closet</t>
  </si>
  <si>
    <t>E-MAIL bturbowrealestate@gmail.com OPEN HOUSE SUNDAY, MARCH 29TH 1-3PM</t>
  </si>
  <si>
    <t>FLOOR PLAN AND DISCLOSURES UNDER ADDITIONAL INFO</t>
  </si>
  <si>
    <t>Brandywine</t>
  </si>
  <si>
    <t>Rte 31 to Midway, West to Brandywine, Left to Home</t>
  </si>
  <si>
    <t>Close to park on a quiet street.  Nice size family room.  Great backyard.  Two and half car garage.  Home needs work.  Price reflects home being sold "AS IS".</t>
  </si>
  <si>
    <t>Mary Brauer, GRI</t>
  </si>
  <si>
    <t>(630) 267-1879</t>
  </si>
  <si>
    <t>Use Showing Assist - 2 Hour Notice</t>
  </si>
  <si>
    <t>Ada</t>
  </si>
  <si>
    <t>TAKE 87TH ST TO RACINE. GO S.  TO 89TH ST.,GO WEST (ONE WAY) ALONG TRACKS TO ADA (1350W), N. TO 8817</t>
  </si>
  <si>
    <t>REMODELED RAISED RANCH</t>
  </si>
  <si>
    <t>Looking for "move-in" ready and affordable? You'll love this  gorgeous 4 bedrm 2 full bath brick home. Granite counter tops, gleaming hardwood floors, neutral colors and new carpeting too. Full finished basement gives you plenty of room to entertain or relax. Double overhead garage doors,  fenced yard and nicely landscaped add to the appeal of this totally rehabbed home. Down payment assistance(IHDA $7,500) available</t>
  </si>
  <si>
    <t>2.5%-$200.00 (on Net SP)</t>
  </si>
  <si>
    <t>(815) 485-4421</t>
  </si>
  <si>
    <t>Stan Wertelka, ABR,e-PRO</t>
  </si>
  <si>
    <t>(815) 955-8893</t>
  </si>
  <si>
    <t>815-955-8893 cell</t>
  </si>
  <si>
    <t>815-485-4421</t>
  </si>
  <si>
    <t>Call listing office. E-z show.</t>
  </si>
  <si>
    <t>with held</t>
  </si>
  <si>
    <t>This home will pass an Fha/Va inspection no problem.  Nicely done rehab including both bathrooms and kitchen.  New landscaping, fence and more.</t>
  </si>
  <si>
    <t>Country</t>
  </si>
  <si>
    <t>Rt 71 to Reservation East (Van Emmon is west) turn left onto Country Lane.</t>
  </si>
  <si>
    <t>335.19X366.85X55.55X260.19</t>
  </si>
  <si>
    <t>Beautifully updated &amp; in move-in condition! The wrap around porch offers a shady spot to enjoy the beautifully landscaped yard &amp; gardens. The kitchen w/granite &amp; updated appliances, is open to the family room. The 2 story addition just 10 yrs ago increased the main floor family room &amp; the Master Bathroom above which features a sep. tile shower, whirlpool tub, dual sinks, &amp; skylight. Doors &amp; windows have been updated!</t>
  </si>
  <si>
    <t>Irregular, Wooded</t>
  </si>
  <si>
    <t>Water, Other</t>
  </si>
  <si>
    <t>Humidifier, Central Vacuum, TV Antenna, Security System, Ceiling Fan, Sump Pump</t>
  </si>
  <si>
    <t>Patio, Porch, Storage Shed, Storms/Screens</t>
  </si>
  <si>
    <t>2.5 -$150.00 (on Net SP)</t>
  </si>
  <si>
    <t>630-253-2997 cell</t>
  </si>
  <si>
    <t>2 hour notice req'd &amp; showing must be confirmed by seller. Call CSS 1-877-977-1010 to schedule shwng</t>
  </si>
  <si>
    <t>$150.00 per quarter association fee takes care of the common area landscaping, &amp; the community well. The water is $40.00 per quarter &amp; 3/10th of a cent per gallon of water used. Alarm system &amp; radon reduction system in place.</t>
  </si>
  <si>
    <t>Pierpoint</t>
  </si>
  <si>
    <t>Rt 47 S to Galena, E to Rosenwinkel, N to Bertram, E to Harrison</t>
  </si>
  <si>
    <t>76X136X75X132</t>
  </si>
  <si>
    <t>GREAT OPEN LAYOUT IN THIS 4 BEDROOM 2.5 BATH HOME WITH FORMAL LIVING &amp; DINING ROOM. UPGRADED KITCHEN CABINETRY, EAT-IN KITCHEN OPENS TO FAMILY ROOM.  MASTER SUITE WITH PRIVATE BATH.  HOA includes use of swimming pool &amp; clubhouse*Close to Raging Waves Water Park, major highways &amp; shopping! FANNIE MAE HOMEPATH PROPERTY.</t>
  </si>
  <si>
    <t>Clubhouse, Park/Playground, Pool, Curbs/Gutters, Sidewalks, Street Paved</t>
  </si>
  <si>
    <t>3% + $1000 BONUS, LIMITED TIME OFFER, MUST REQUEST ON HOMEPATH DURING TIME OF OFFER (on Net SP)</t>
  </si>
  <si>
    <t>Sue Vidmar</t>
  </si>
  <si>
    <t>(630) 388-0144</t>
  </si>
  <si>
    <t>CALL CSS: 877-977-1010 OR WWW.SHOWINGS.COM</t>
  </si>
  <si>
    <t>NO PERSONAL PROP INC, NO TERMITE, SURVEY, WARRANTIES. VISIT HOMEPATH.COM FOR INCENTIVES &amp; BONUSES. SEE OFFER BINDER IN ADD INFO. ALL OFFERS MUST BE MADE ONLINE AT HOMEPATH.COM  Offers or questions please e-mail reo@bhhseliterealtors.com</t>
  </si>
  <si>
    <t>WINTERTHUR GREEN</t>
  </si>
  <si>
    <t>THE RALEIGH</t>
  </si>
  <si>
    <t>NEW CONSTRUCTION!  2907 SQUARE FEET FEATURES 4 BEDROOMS, 2 1/2 BATHS.  9' FIRST FLOOR CEILINGS.  FIRST FLOOR STUDY.  FORMAL LIVING &amp; DINING ROOMS.  SPACIOUS KITCHEN WITH BREAKFAST AREA.  3-CAR GARAGE &amp; FULL BASEMENT!  GARDEN MASTER BATH, OAK RAILS, 9' 1ST FLOOR CEILINGS, 42"maple kitchen cabinets.  Hrdwd in kitchen, powder room &amp; foyer.  Ceramic in baths.  July delivery! Seller pays closings costs w/preferred lender.</t>
  </si>
  <si>
    <t>3% OF ELEVATION A BASE PRICE-$150 (on Net SP)</t>
  </si>
  <si>
    <t>CALL OR VISIT RYLAND SALES CENTER AT 2422 WYTHE PLACE: 630-553-5084</t>
  </si>
  <si>
    <t>PHOTOS ARE OF MODEL HOME, HOME CURRENTLY UNDER CONSTRUCTION FOR JULY DELIVERY. CALL RYLAND SALES OFFICE 630-553-5084 TO SCHEDULE A SHOWING WITH TERI SANCHEZ. AGENT REGISTRATION FORM ATTACHED IN "ADDITIONAL INFO".</t>
  </si>
  <si>
    <t>35W281</t>
  </si>
  <si>
    <t>Country School</t>
  </si>
  <si>
    <t>Route 31 to Country School Rd West to Home</t>
  </si>
  <si>
    <t>178X384</t>
  </si>
  <si>
    <t>A Mid-Century Dream ready for you! A fantastic blend of home and nature in this 1.5 acre wooded lot with a stream and footbridge! Vintage charm and quality, this home has so many special features like Terrazzo and cork floors, a St. Charles Kitchen and 2 wood burning fireplaces. Awesome views of the tall trees and hear the stream running behind the house. This is a house you must see to really enjoy what it offers.</t>
  </si>
  <si>
    <t>Gas, Hot Water/Steam, Radiant, Zoned</t>
  </si>
  <si>
    <t>Landscaped Professionally, Stream, Water View, Wooded</t>
  </si>
  <si>
    <t>Eating Area, Screened Porch</t>
  </si>
  <si>
    <t>Greenhouse, Porch Screened, Storage Shed, Brick Paver Patio</t>
  </si>
  <si>
    <t>Wood Burning, Includes Accessories</t>
  </si>
  <si>
    <t>Dream Real Estate, Inc.</t>
  </si>
  <si>
    <t>(815) 331-9520</t>
  </si>
  <si>
    <t>Shawn Strach, GRI</t>
  </si>
  <si>
    <t>(815) 790-0833</t>
  </si>
  <si>
    <t>www.GetTheDreamTeam.com</t>
  </si>
  <si>
    <t>Please use showing assist or call 800-746-9464</t>
  </si>
  <si>
    <t>Liperti</t>
  </si>
  <si>
    <t>One of a kind home meticulously cared for!</t>
  </si>
  <si>
    <t>WABANSIA</t>
  </si>
  <si>
    <t>EAST OF LARAMIE. 1 WAY EAST</t>
  </si>
  <si>
    <t>25X130</t>
  </si>
  <si>
    <t>**GREAT INVESTMENT OPPORTUNITY FOR THE SAVVY INVESTOR SOLD IN "AS IS" CONDITION, NO REPAIR CREDIT OFFERED, NO SURVEY OR TERMITE INSPECTION, TAX PRORATIONS 100%, BUYER TO VERIFY ROOM COUNT AND ALL SQ FOOTAGE. PROOF OF FUNDING/PRE APPROVAL LETTER MUST ACCOMPANY ALL OFFERS &amp; EARNEST MONEY MUST BE IN CERTIFIED FUNDS**</t>
  </si>
  <si>
    <t>**HIGHEST AND BEST DUE WED 07/16/14 AT 5PM** SUBMIT ALL OFFERS VIA FACSIMILE TO 773.304.1946 OR VIA E-MAIL TO EMELIN@ROMANREALTY.COM</t>
  </si>
  <si>
    <t>ADDISON ST TO LARAMIE AVE SOUTH TO NEWPORT AVE EAST TO PROPERTY</t>
  </si>
  <si>
    <t>Large classic Chicago bungalow in Portage Park. Back on the market with new furnace and A/C unit. Brand new stainless steel appliances. New bathrooms, newer kitchen, refinished hardwood floors &amp; new laminated floors on second floor. Entire home freshly painted. Some new windows. Basement remodeled as recreational area and storage room. 2-car garage &amp; back side slab for extra parking. Big back yard. Regular Sale!!!</t>
  </si>
  <si>
    <t>2.5% +$500 IF CLOSED BEFORE 10/15/14 (on Net SP)</t>
  </si>
  <si>
    <t>Interstate Team Realty LLC</t>
  </si>
  <si>
    <t>(773) 282-9946</t>
  </si>
  <si>
    <t>Petro Escobar</t>
  </si>
  <si>
    <t>773-282-9946</t>
  </si>
  <si>
    <t>Click Showing Assist. Then, call or email L.A. Petro 773-282-9946 p.escobar@comcast.net</t>
  </si>
  <si>
    <t>All offers are welcomed. Regular sale. $500 bonus if closed before 10/15/14. Short notice O.K. Email offers to p.escobar@comcast.net</t>
  </si>
  <si>
    <t>SENECA</t>
  </si>
  <si>
    <t>RT.34 W. TO BOULDER HILL PASS R. TO SENECA R.</t>
  </si>
  <si>
    <t>95X127X60X125</t>
  </si>
  <si>
    <t>OPENING BID PRICE 97,500.PROPERTY MAY BE SOLD ANY TIME PRIOR TO AUCTION EVENT.ALL SHOWINGS SEE AGENT REMARKS.BUYERS FEE EQUAL TO 2% OR $2,000,WHICHEVER IS GREATER,TO BE ADDED TO HIGH BID TO DETERMINE FINAL SALE PRICE.NONREFUNDABLE EM OF 5% OF FINAL SALE PRICE DUE ON DAY OF AUCTION/OFFER. BANK OWNED &amp; SOLD AS-IS,WHERE-IS. SEE BIDDER PACKET AT MICOLEY WEBSITE FOR DETAILS/DISCLOSURES. OFFERS SUBJECT TO SELLERS APPROVAL.</t>
  </si>
  <si>
    <t>1.75% (on Net SP)</t>
  </si>
  <si>
    <t>Ida Hand</t>
  </si>
  <si>
    <t>(630) 803-9511</t>
  </si>
  <si>
    <t>CALL JIMMY 866-344-2108</t>
  </si>
  <si>
    <t>ALL SHOWINGS MUST CALL JIMMY AT 866-344-2108. ANY QUESTIONS SEE BIDDERS PACKET @ WWW.MICOLEY.COM</t>
  </si>
  <si>
    <t>Quark</t>
  </si>
  <si>
    <t>Wilson to Prairie. South on Prairie. L on Pine, R on Hart, R on Fox Trail, L one Sauk, R on Quark Ct</t>
  </si>
  <si>
    <t>FOX TRAIL</t>
  </si>
  <si>
    <t>Totally remodeled PLUS new furnace, newer A/C and hot water heater, and new windows in 2009!  Remodeled kitchen w/granite, cherry cabinets, tile back splash. Stunning updated master bath w/luxury shower. Hardwood on first floor, new carpet in entire upstairs. Entire home freshly painted in a neutral color. Back deck w/beautiful yard.  Cul de sac location. Nothing in this price compares. Perfect!! Quick close ok.</t>
  </si>
  <si>
    <t>Humidifier, Water-Softener Owned, Ceiling Fan, Sump Pump, Sprinkler-Lawn</t>
  </si>
  <si>
    <t>See through/Multi Sided, Wood Burning, Gas Starter</t>
  </si>
  <si>
    <t>Call Showing Time 855-746-9100. 1 hr notice preferred</t>
  </si>
  <si>
    <t>Show with confidence!! Quick close ok. Garage is wider &amp; longer than most 2 1/2 car garages. Nice bathroom with shower in basement. Taxes were temporarily reduced due to remodeling/rehabbing. 2012 Taxes were $8726.34  Sprink Sys as is</t>
  </si>
  <si>
    <t>Biltmore</t>
  </si>
  <si>
    <t>Lake W of 59 to Lambert Ln South</t>
  </si>
  <si>
    <t>CASTLE CREEK</t>
  </si>
  <si>
    <t>80X142</t>
  </si>
  <si>
    <t>Impressive~Stunning~Gorgeous Describe This Home~2 Story Foyer~Gleaming Hardwood Floors~Lots of Natural Light~New Carpet &amp; Paint~Kitchen w/Island &amp; Desk~Mini Butler Station~22x15 First Fl Family Rm w/Fireplace~1st Fl Den~Walk-In Closets~Complete LL To Awesome~Paver Patio In Great Yard~This is a Fannie Mae Home Path Property.</t>
  </si>
  <si>
    <t>All offers must be made on HomePath. Please download pg  8 of the 6.0 along w/instructions prior to submitting offers. No survey.   Buyer responsible for 6 months HOA per Illinois State Statue. No Personal Property. Sold as is.</t>
  </si>
  <si>
    <t>41W668</t>
  </si>
  <si>
    <t>Rt. 64 west of Randall to Brown North to Hunters Hill West to home</t>
  </si>
  <si>
    <t>147 X 296 X 200 X 351</t>
  </si>
  <si>
    <t>Come relax on this 1.25 acre wooded retreat backing to the Prairie Path. All rooms wonderfully updated,Gourmet Kitchen w/granite, wood floors, and oversized Eating Area. Comfortable Family Room w/fireplace and beam ceiling. French doors leading to formal Living Room and adjacent Study w/fireplace. Master Suite w/Sitting Area &amp; fireplace. Luxury Master Bath. Huge deck overlooking the wooded retreat. 3-car garage.</t>
  </si>
  <si>
    <t>Forest Preserve Adjacent, Wooded</t>
  </si>
  <si>
    <t>2.5% - $150 (on Gross SP)</t>
  </si>
  <si>
    <t>David Dornbos, GRI</t>
  </si>
  <si>
    <t>(630) 631-2314</t>
  </si>
  <si>
    <t>Use ShowAssist. Must confirm.</t>
  </si>
  <si>
    <t>Beautiful, meticulous home on an extraordinary 1+ acre lot backing to the Prairie path.</t>
  </si>
  <si>
    <t>East or West on Irving Park Rd to Kimbal North to property</t>
  </si>
  <si>
    <t>Ranch with 4BR's and 2 full updated BTHS. Updated kitchen and finished basement. Short Sale, being sold AS-IS.</t>
  </si>
  <si>
    <t>Rick Panlilio</t>
  </si>
  <si>
    <t>(312) 371-6946</t>
  </si>
  <si>
    <t>Please call LA 24 hours notice required</t>
  </si>
  <si>
    <t>CC: Pursuant to Short Sale. Professionally negotiated by experienced SS Attorney and team. If commission is reduced by lender, then split will be 50/50.</t>
  </si>
  <si>
    <t>Kimbal to Douglas &amp; North to 716</t>
  </si>
  <si>
    <t>GOLD COAST</t>
  </si>
  <si>
    <t>55 X 132</t>
  </si>
  <si>
    <t>Turn of the Century Beauty in the "Gold Coast". 4 bdrms up plus sitting rm off Mstr bdrm &amp; bonus rm/maids rm. Liv  rm, Fam rm with frplc and dining rm w/ powder rm and updated kitchen w/ new stove. Refinished hardwood floors, plumbing &amp; electric updated, new water htr (2010) and high - efficiency Furnace &amp; AC. 300 sq.' of living space in bsmnt w/ full bath &amp; laundry. New fence in 2012 and professionally landscaped.</t>
  </si>
  <si>
    <t>Foyer, Mud Room, Office, Tandem Room, Walk In Closet</t>
  </si>
  <si>
    <t>6X15</t>
  </si>
  <si>
    <t>2 1/2% - $200.00 (on Net SP)</t>
  </si>
  <si>
    <t>Clinnin Associates, Inc.</t>
  </si>
  <si>
    <t>(847) 975-5800</t>
  </si>
  <si>
    <t>Jerry Clinnin, ABR,e-PRO,SRES</t>
  </si>
  <si>
    <t>Cooper</t>
  </si>
  <si>
    <t>Lot of improvement such as roofs on house &amp; garage stripped &amp; replaced. 1 room in walk out basement used as bedroom as well as an office rm and additional storage. Residents gain access to the garage from the alley. House is in great shape.</t>
  </si>
  <si>
    <t>RT64 to Kirk N2 Royal Fox E2 home</t>
  </si>
  <si>
    <t>212X139X199X135</t>
  </si>
  <si>
    <t>St.Charles Signiture eastside Royal Fox community! Stunning private .65 acre lot backs to woods &amp; Park district(no Neighbor behind)~Lovingly maintained by original owner~4 sided brick~4365 sq ft w/amazing floorplan~Curved staircase~Huge hardwood Island Kit w/10x9 walkin pantry~Gigantic beamed vaulted Fam.rm w/skylights/builtins/2 story Brick FP~Luxury Master w/sitting rm~Loft~English bsmt~sprinkler/security~Pristine</t>
  </si>
  <si>
    <t>Forest Preserve Adjacent, Wooded, Rear of Lot</t>
  </si>
  <si>
    <t>Water-Softener Owned, Security System, Intercom, Ceiling Fan, Sump Pump, Sprinkler-Lawn</t>
  </si>
  <si>
    <t>Den, Deck, Foyer, Loft, Mud Room, Pantry, Sitting Room, Utility Room-1st Floor</t>
  </si>
  <si>
    <t>23X05</t>
  </si>
  <si>
    <t>10X04</t>
  </si>
  <si>
    <t>Call 855-746-9200 must confirm</t>
  </si>
  <si>
    <t>Arnold</t>
  </si>
  <si>
    <t>RT 34 TO AMERICAN WAY N TO BURR ST L TO LYMAN LOOP</t>
  </si>
  <si>
    <t>Beautiful Grand Reserve Home! Hardwood Floors, Finished Walk Out Basement! Full Basement Bathroom! Elevated Deck with Beautiful Pond View! Fresh paint floor to ceiling! Brand new carpet throughout entire home! Master Suite and 3 Spacious Bedrooms, 2.5 Baths! This is a Fannie Mae HomePath Property.</t>
  </si>
  <si>
    <t>Clubhouse, Park/Playground, Pool, Pond/Lake</t>
  </si>
  <si>
    <t>***Please note Agent Notices*** Submit offer HomePath.com. Please Email POF/preapproval to Broker. For assistance w/ offer call 866.218.4446. No survey provided. Cashiers- EM to Freedman, Anselmo &amp; Lindberg, 10% on cash purchase.</t>
  </si>
  <si>
    <t>Rutherford</t>
  </si>
  <si>
    <t>Harlem to Diversy East to Oak Park South to Wrightwood South on Rutherford to Home.</t>
  </si>
  <si>
    <t>40 X 127</t>
  </si>
  <si>
    <t>This Chicago bungalow is for you! This lovely home has been recently painted &amp; has many upgrades. Neighborhood features quick &amp; easy access to a plethora of schools, great shopping districts and main roads. This charmer has a 2-car garage, full basement, 2 bathrooms, and awesome curb appeal. Spend some time in the relaxing oasis of a yard. Work downtown? The commute will be a breeze! Move in-ready &amp; NOT a short sale.</t>
  </si>
  <si>
    <t>2nd Kitchen, Enclosed Porch</t>
  </si>
  <si>
    <t>Scott De La Bruere, GRI,SFR</t>
  </si>
  <si>
    <t>One day notice please. Call showing desk 888-362-3222</t>
  </si>
  <si>
    <t>Owner has cats. Please make sure they do not get out when showing the home. Sentrilock on the front door. Leave a card and provide feedback.</t>
  </si>
  <si>
    <t>Randall to Huntley Rd West to Deerpath to Carlisle</t>
  </si>
  <si>
    <t>Winchester Glen</t>
  </si>
  <si>
    <t>BIRMINGHAM EXTENDED</t>
  </si>
  <si>
    <t>79X148X80X161</t>
  </si>
  <si>
    <t>Welcome Home to this sunshine bright, better than new home with sprawling space.  Enjoy the gourmet kitchen w/cherry cabinets and Corian counters, walk in pantry and planning desk adjacent to the family with volume ceilings and dramatic fireplace.  Master suite offers a large W/I closet, trey ceiling, private bath w/ raised double bowl vanity, separate shower and large garden tub. You will not be disappointed!</t>
  </si>
  <si>
    <t>Oven/Range, Dishwasher, Refrigerator, Washer, Dryer, Disposal, All Stainless Steel Kitchen Appliances</t>
  </si>
  <si>
    <t>Berkshire Hathaway HomeServices American Heritage</t>
  </si>
  <si>
    <t>(847) 364-6030</t>
  </si>
  <si>
    <t>Vassi Saviano, ABR,GRI</t>
  </si>
  <si>
    <t>(847) 806-8328</t>
  </si>
  <si>
    <t>Please use Showing Assist or call LO</t>
  </si>
  <si>
    <t>Additional features: Canned lighting, panel doors, custom blinds, palladium windows, architectural columns and trim....Designated for Hampshire H.S. .....Bring your offer.... motivated seller!</t>
  </si>
  <si>
    <t>CENTRAL AVE TO DAKIN-WEST TO 5640</t>
  </si>
  <si>
    <t>This is an excellent opportunity to own a beautiful home with nothing to do but move in. This updated 4 bedroom 1.5 bathroom home has a new kitchen,appliances,etc. This an REO property and offers will be responded within 24-48 hours by the seller.Buyerâ€™s to verify sqft,sold as is.Conventional / FHA / VAâ€_x009d_ Buyer(s) must obtain free PRE-APPROVAL by the LendingDivision of Kondaur Capital Corporation,PRIOR TO OFFER ACCEPT</t>
  </si>
  <si>
    <t>Call (888)972-8537 to apply. If Kondaur financing is chosen; Buyer(s) receive lender credit up to 1% of loan to reduce closing costs. Buyer(s) offer: (1)Proof of Funds and complete DU approval, -OR- (2)Proof of Funds, FICO,Pre-Approval.</t>
  </si>
  <si>
    <t>Wickenden</t>
  </si>
  <si>
    <t>Route 20 West of Randall Road to Longcommon, South to Gansett, West to Wickenden, right to 3079.</t>
  </si>
  <si>
    <t>COLCHESTER</t>
  </si>
  <si>
    <t>88 X 125</t>
  </si>
  <si>
    <t>Great 4 Bedroom home in Providence. Large eat in kitchen w/island, stainless appliances &amp; plenty of cabinet space, open to family room.  Master Suite w/huge walk in closet, plus another 3 generous sized bedrooms, full bath and Loft. Walk out basement is partially finished with a half bath w/room to add a shower. Near parks and the clubhouse, with convenient access to 90 and Metra. 301 School District.</t>
  </si>
  <si>
    <t>Clubhouse, Park/Playground, Tennis Courts, Pond/Lake</t>
  </si>
  <si>
    <t>Breakfast Room, Loft, Recreation Room</t>
  </si>
  <si>
    <t>2.5% - 195 (on Gross SP)</t>
  </si>
  <si>
    <t>Call 855-919-0200 or use showing assist. Must Confirm</t>
  </si>
  <si>
    <t>Very nice home, not a short sale or foreclosure! Afternoon &amp; Evening showings only M-F, anytime on weekends, prefer 24 hour notice</t>
  </si>
  <si>
    <t>HOME SOLD PRIOR TO PROCESSING. PHOTOS OF MODEL.</t>
  </si>
  <si>
    <t>Great Room, Loft</t>
  </si>
  <si>
    <t>3% OF BASE PRICE (C AGT RMKS) (on Net SP)</t>
  </si>
  <si>
    <t>FOR INFORMATION CALL 847-426-4411</t>
  </si>
  <si>
    <t>HOME SOLD PRIOR TO PROCESSING.  BASE PRICE OF HOME IS $284,990.</t>
  </si>
  <si>
    <t>Vernon</t>
  </si>
  <si>
    <t>87th to Vernon N to address</t>
  </si>
  <si>
    <t>This beautiful, recently rehabbed 4 bedroom, 2 bathroom brick ranch is overflowing with brand new additions and special features. The gorgeous kitchen boasts stainless steel appliances, granite counters and upgraded cabinets. The entire first floor offers gleaming hardwood floors, and the bathroom contains a large jacuzzi tub. With a 2 car garage and a great price, it's a must see.</t>
  </si>
  <si>
    <t>71ST TO SAN LOUIS THEN TO 72ND THEN TO PROPERTY</t>
  </si>
  <si>
    <t>Very nice Cape Cod with 4 bedroom and 2.5 baths, and a 2 car garage. Freshly painted and in move in condition. THIS IS A FANNIE MAE HOMEPATH PROPERTY.</t>
  </si>
  <si>
    <t>FANNIE MAE FIRST LOOK PROGRAM,1ST 20 DAYS OWNER OCCUPANTS OR NSP BUYERS ONLY. SELLER TAXES PRORATED AT 100%, SELLER WILL NOT PROVIDE SURVEY/TERMITE. SUBMIT OFFERS THRU HOMEPATH.COM.</t>
  </si>
  <si>
    <t>Pleasure</t>
  </si>
  <si>
    <t>Rt 34 to Game Farm Rd S2 Pleasure Street L2 home on right side.</t>
  </si>
  <si>
    <t>COUNTRYSIDE</t>
  </si>
  <si>
    <t>157 X 100 X 157 X 97</t>
  </si>
  <si>
    <t>Nice Brick Ranch In Quiet Neighborhood. Great Open Floor Plan. Large Living Room With Wood Burning Stove. Hardwood Floors. Master With Private Bath and New Carpet. Eat-In Kitchen With Table Space &amp; Huge Pantry. Private Fenced Back Yard With Patio. Oversized Garage With Workshop. THIS IS A FANNIE MAE HOMEPATH PROPERTY.</t>
  </si>
  <si>
    <t>Click "Schedule a Showing" to get instructions.</t>
  </si>
  <si>
    <t>##NEW CARPET-REMOVE SHOES AT DOOR!!  GO TO ADDTL INFO TAB FOR OFFER DIRECTIONS. CALL 630-608-4777 AFTER SHOWING IF ??s. SELLER REQUESTS ALL OFFERS SUBMITTED THRU HOMEPATH.COM.</t>
  </si>
  <si>
    <t>5TH</t>
  </si>
  <si>
    <t>Main St East of River to 5th N2 Home on Right</t>
  </si>
  <si>
    <t>60.3 X 132</t>
  </si>
  <si>
    <t>What a charmer! Motivated Seller! Walking Distance to Downtown St. Charles &amp; Pottawattamie Park! Elegant L/R w/Fpl &amp; Bkcase Columns. Formal D/R.Hdwd Flrs in LR, DR, 2 BRs &amp; Hall.All Baths Updated.Renovated Kitchen Cherry Cabinets &amp; Stylish Subway Tile Back Splash.Finished Bsmt w/Fam Rm, Office, Large LDY, Full Bath &amp; Table Area. Updated Copper Pipes! Newer Mechanicals! List of all upgrades under add'l info.</t>
  </si>
  <si>
    <t>Bonus, Enclosed Porch, Loft, Office, Play Room, Screened Porch</t>
  </si>
  <si>
    <t>1st Floor Bedroom, In-Law Arrangement</t>
  </si>
  <si>
    <t>Porch Screened, Storage Shed</t>
  </si>
  <si>
    <t>RE/MAX Destiny</t>
  </si>
  <si>
    <t>(847) 352-5200</t>
  </si>
  <si>
    <t>Liz Szymanski, ABR,BPOR,CRS,GRI,SFR</t>
  </si>
  <si>
    <t>(630) 258-6665</t>
  </si>
  <si>
    <t>Email/text 630-258-6665</t>
  </si>
  <si>
    <t>CHANDLER</t>
  </si>
  <si>
    <t>KiRK ROAD TO GENEVA W2 CHANDLER N2 HOME</t>
  </si>
  <si>
    <t>FIELDS OF GENEVA EAST</t>
  </si>
  <si>
    <t>57X92X47X90</t>
  </si>
  <si>
    <t>Light and Bright immaculate home with over 2600 sq ft of finished living space. Gleaming Hardwood floors.Updated kit w/new samsung and bosch appls, updated baths, Oversize Master bedroom &amp; bath, cathedral ceiling with sky lights. Walk in closet with new organizers. Fabulous family room will full bath and walk out.New siding plus insulation.New driveway and garage door.Great deck and fire pit for entertaining. 10++</t>
  </si>
  <si>
    <t>Vaulted/Cathedral Ceilings, Skylight(s), Hardwood Floors, Wood Laminate Floors, Solar Tubes/Light Tubes</t>
  </si>
  <si>
    <t>Paul Chadwick, SFR</t>
  </si>
  <si>
    <t>(630) 802-9406</t>
  </si>
  <si>
    <t>630-802-9406</t>
  </si>
  <si>
    <t>Dining area is currently being used as sitting area. Please use Multi-board 6.0 contract.</t>
  </si>
  <si>
    <t>Peace North turn right on Hathaway turn right on Bristol.</t>
  </si>
  <si>
    <t>61'91+2'16X131'26X96'X127'38</t>
  </si>
  <si>
    <t>STUNNING WINNING DESIGN FOXPOINTE TWO STORY!  Offers 4 bedrooms, 4.1 baths, bright open foyer w/transom windows.  Hardwood floors. 2 fireplaces.  Formal living room &amp; dining room great for entertaining.  Wonderful spacious kitchen offers granite counters, eating island, breakfast area, desk,  stone backsplash, palladium window over kitchen sink, ss appliances.  1st floor family room w/masonary brick fireplace.</t>
  </si>
  <si>
    <t>Water-Softener Rented, Ceiling Fan, Sump Pump</t>
  </si>
  <si>
    <t>Click on Schedule a showing. or call 877-977-1010.</t>
  </si>
  <si>
    <t>Full finished basement with direct vent fireplace,  rec room, wet bar, storage area, bath. Garage has a large kick back area for a shop or extra storage. Beautiful private back yard with deck/brick paver patio/fenced lots of perenials.</t>
  </si>
  <si>
    <t>Thomas Barclay</t>
  </si>
  <si>
    <t>ARCHER TO LOOMIS N. (turn left on first street) TO THOMAS BARCLAY DR. RIGHT AFTER UNDERPASS</t>
  </si>
  <si>
    <t>25.6 X 108</t>
  </si>
  <si>
    <t>BEAUTIFUL BRIDGEPORT BRICK HOME. MAPLE FLOORS THROUGHOUT LIVING ROOM &amp; UPPER LEVEL. MARBLE FLOORS IN KITCHEN BATHRM &amp; DINING RM. 2 FIREPLACES,  SPACIOUS MASTER BEDROOM SUITE , FINISHED LOWER LEVEL, 2 CAR HEATED GARAGE, GRANITE COUNTERS IN KITCHEN AND BATHS, 12FT. CEILINGS ON 1ST FLOOR. EASY ACCESS TO EXWYS, LOOP, &amp; CHINATOWN. 2 FURNACES &amp; 2 A/C.</t>
  </si>
  <si>
    <t>Leda Quiaro, CNC,SRS</t>
  </si>
  <si>
    <t>(630) 638-4272</t>
  </si>
  <si>
    <t>From RT 31 to Big Timber to McLean Blvd. to Forest W. to Home sweet Home.</t>
  </si>
  <si>
    <t>Century oaks</t>
  </si>
  <si>
    <t>TRI LEVEL</t>
  </si>
  <si>
    <t>126X265</t>
  </si>
  <si>
    <t>NEW PRICE Great Location for this home in a friendly cul de sac @ Century Oaks. Convenience 2 schools/ shopping/I 90&amp;train station. Tri level home with a Huge Great room&amp; tons of storage beautiful kitchen. 2nd level 2 full bathroom 4 Bedrooms w/ hardwood floors.Lower level has Lg. Family rm /brick Fireplace!&amp; exercise room 2 car garage!+ xtra space x parking newer mechanical and roof,  SHORT SALE APPROVED don't wait</t>
  </si>
  <si>
    <t>Exercise Room, Great Room</t>
  </si>
  <si>
    <t>Steel Siding, Brick</t>
  </si>
  <si>
    <t>Vaulted/Cathedral Ceilings, Skylight(s), Hardwood Floors, 1st Floor Bedroom</t>
  </si>
  <si>
    <t>2.5 % - 275 (on Net SP)</t>
  </si>
  <si>
    <t>Bonifacio Mondragon, e-PRO</t>
  </si>
  <si>
    <t>(847) 875-5770</t>
  </si>
  <si>
    <t>CC: Pursuant to Short Sale. Short Sale has been approved at listing price</t>
  </si>
  <si>
    <t>MENARD</t>
  </si>
  <si>
    <t>Division to Menard (5800 W) Go around the block. One Way to North.</t>
  </si>
  <si>
    <t>Spacious brick bungalow features original hardwood floors and woodwork throughout + stained glass windows in foyer and living room; 4 bedrooms, plus sitting room and bonus room. Eat-in kitchen has undermount sink; granite counters; Thomasville glass front cabinets with slide-out shelves; new H2O heater 2013; Whole house fan keeps AC bills low;dry basement with plenty of storage;  Â½ block to public transportation</t>
  </si>
  <si>
    <t>Sitting Room, Tandem Room</t>
  </si>
  <si>
    <t>Baird &amp; Warner, Inc.</t>
  </si>
  <si>
    <t>(708) 697-5900</t>
  </si>
  <si>
    <t>Linda Von Vogt</t>
  </si>
  <si>
    <t>(847) 456-3376</t>
  </si>
  <si>
    <t>Call 855-746-9100 or use Showing Assist</t>
  </si>
  <si>
    <t>Orchard Rd S to Galena Rd W to Concord N, First Left on Concord Court</t>
  </si>
  <si>
    <t>66 X 115</t>
  </si>
  <si>
    <t>A MUST SEE! LOADS OF SPACE IN FORMER BUILDERS MODEL ON CULDESAC &amp; ENDLESS VIEWS OF NATURAL PRAIRIE &amp; POND~4 BEDROOMS~HUGE BONUS ROOM~DEN~LOFT W/BUILT-IN OFFICE NICHE~FORMAL LIVING &amp; DINING ROOMS W/BAY WINDOWS~HUGE FAMILY ROOM W/FIREPLACE~ATTRACTIVE KITCHEN W/42"MAPLE CABINETS &amp; STAINLESS APPLIANCES~SPLIT STAIRCASE~MASTER SUITE W/ LUXURY BATH &amp; POND VIEWS~2ND FLOOR LAUNDRY~TREK DECK~FENCE~OSWEGO 308 SCHOOLS</t>
  </si>
  <si>
    <t>Partially Finished, Crawl, Bathroom Rough-In</t>
  </si>
  <si>
    <t>Cul-de-sac, Fenced Yard, Nature Preserve Adjacent, Landscaped Professionally, Pond</t>
  </si>
  <si>
    <t>Bonus, Breakfast Room, Den, Foyer, Loft</t>
  </si>
  <si>
    <t>2.5%-150.00 (on Gross SP)</t>
  </si>
  <si>
    <t>Joanne LaVia, CSC,SFR</t>
  </si>
  <si>
    <t>(630) 267-7564</t>
  </si>
  <si>
    <t>fax#630-896-3357</t>
  </si>
  <si>
    <t>Call CSS 877-977-1010, Evenings after 5 &amp; Weekends for showings, seller needs to remove dog.</t>
  </si>
  <si>
    <t>NICE BIG HOME! EVENINGS &amp; WEEKEND SHOWINGS OR 24 HOUR NOTICE TO REMOVE DOG FOR SHOWINGS. Small SSA line item on tax bill $194.41/year for upkeep of ponds &amp; prairie lands.</t>
  </si>
  <si>
    <t>Berteau</t>
  </si>
  <si>
    <t>N/S On Lincoln Ave, West on Berteau to 2147</t>
  </si>
  <si>
    <t>Value is in the location of this listing.</t>
  </si>
  <si>
    <t>Negotiable, Specific Date</t>
  </si>
  <si>
    <t>$7000.00 (on Net SP)</t>
  </si>
  <si>
    <t>CR Realty Group Inc.</t>
  </si>
  <si>
    <t>(773) 747-8200</t>
  </si>
  <si>
    <t>(312) 662-3638</t>
  </si>
  <si>
    <t>SUNDAYS ONLY, CALL AGENT</t>
  </si>
  <si>
    <t>ALFONSO TOBAR</t>
  </si>
  <si>
    <t>CC: Pursuant to Short Sale. Property is being sold for land value, showings on Sundays only</t>
  </si>
  <si>
    <t>71st to Bennett, South to address</t>
  </si>
  <si>
    <t>PRICED TO SELL QUICKLY! THIS HOME HAS LOCATION &amp; PRIDE OF OWNERSHIP. BEAUTIFULLY REMODELED SPACIOUS  BUNGALOW ON QUIET BLOCK IN SOUTH SHORE. MODERN OPEN FLOOR PLAN W/LARGE KITCHEN W/BREAKFAST BAR, GRANITE COUNTER, MAPLE CABINETS AND SS APPLIANCES. PERFECT FOR LIVING &amp; ENTERTAINING. 9 FOOT CEILINGS. FULL FINISHED BASEMENT WITH EXTERIOR ACCESS, BAR, FULL BATH AND BEDROOM. PRIVATE FENCED BACKYARD WITH 2-CAR NEW GARAGE.</t>
  </si>
  <si>
    <t>Enclosed Porch, Utility Room-Lower Level</t>
  </si>
  <si>
    <t>Bar-Dry, Hardwood Floors, Wood Laminate Floors, 1st Floor Bedroom, 1st Floor Full Bath</t>
  </si>
  <si>
    <t>3% - $195 (on Net SP)</t>
  </si>
  <si>
    <t>Tadeusz Dolecki</t>
  </si>
  <si>
    <t>(847) 318-7004</t>
  </si>
  <si>
    <t>CALL TAD 847/917-7622</t>
  </si>
  <si>
    <t>CLARENCE</t>
  </si>
  <si>
    <t>DEVON EAST OF CANFIELD &amp; WEST OF HARLEM TO ORIOLE, SOUTH TO CLARENCE, EAST TO HOUSE</t>
  </si>
  <si>
    <t>EDISON PARK EXPANDED BRICK RANCH ACROSS THE STREET FROM PARK &amp; HALF BLOCK TO "THOMAS EDISON" GRADE SCHOOL! RARE 4 BRS &amp; 2 FULL BATHS ON 1ST FLR INCLUDING MSTR BATH,HARDWOOD FLRS,REPLACEMENT WINDOWS,FULL BASEMENT,1 YEAR HOME WARRANTY,NEW DISHWASHER &amp; DRYER,FENCED YARD,PAVED ALLEY,CENTRAL AIR,POSSIBLE IN-LAW ARRANGEMENT,4TH BR IS TANDEM,ESTATE SALE, SOLD "AS IS",BSMT FRESHLY PAINTED,FHA DOWN PAYMENT ONLY $11,546....</t>
  </si>
  <si>
    <t>EDISON PARK ELEMENTARY SCHOOL</t>
  </si>
  <si>
    <t>2.5% $225 (on Net SP)</t>
  </si>
  <si>
    <t>John Forsythe</t>
  </si>
  <si>
    <t>(847) 384-7572</t>
  </si>
  <si>
    <t>USE SHOWING ASSIST OR CALL SHOWING TIME AT 855-746-9200</t>
  </si>
  <si>
    <t>ESTATE SALE, SOLD "AS IS".  1 YEAR HOME WARRANTY, FHA DOWN PAYMENT ONLY $11,546.</t>
  </si>
  <si>
    <t>Quinlan</t>
  </si>
  <si>
    <t>Take Rich rd. to River Mist to Quinlan</t>
  </si>
  <si>
    <t>BRIDGES OF RIVERMIST</t>
  </si>
  <si>
    <t>80X198</t>
  </si>
  <si>
    <t>Beautiful Hardwood Floors Greet you in Dining rm, Kitchen &amp; Family Rm! Lovely Kitchen with Maple Cabinetry with Crown molding! Granite Counter tops with rounded edges! Island! Stainless Steel Appliances! Pantry! First Floor Master Bedroom with Trey Ceiling &amp; Sitting Area!  Luxury Master Bath and Huge Walk in Closet! Family Rm Vaulted Ceiling,  French Doors to Patio! Central Vac! 3 Car Garage! some Photos from 2006</t>
  </si>
  <si>
    <t>Humidifier, Central Vacuum, TV-Cable, Intercom, CO Detectors, Ceiling Fan, Sump Pump</t>
  </si>
  <si>
    <t>Lisa Sweeney, ABR</t>
  </si>
  <si>
    <t>(847) 542-8786</t>
  </si>
  <si>
    <t>847-542-8786</t>
  </si>
  <si>
    <t>Call Office to set up appointment , if after hours please call agent to set up appointment</t>
  </si>
  <si>
    <t>Lovely home with first floor Master,  Any questions please call Lisa 847-542-8786  Now Vacant and  some rooms freshly painted  Owner just contested taxes so they will be adjusted</t>
  </si>
  <si>
    <t>92nd</t>
  </si>
  <si>
    <t>92nd place to address</t>
  </si>
  <si>
    <t>100X31</t>
  </si>
  <si>
    <t>Affordable 4 bedroom 2 story home waiting for your decorating ideas! Nice sized eat in kitchen large back yard, Large bedrooms and much more! Bring your offers! Home sold as is.</t>
  </si>
  <si>
    <t>Prestige Partners Realty, Inc.</t>
  </si>
  <si>
    <t>(708) 891-5380</t>
  </si>
  <si>
    <t>Kason Wallace</t>
  </si>
  <si>
    <t>Go to www.hudhomestore.com to submit offers. Look up case#131-467426. Co-op commission up to 3%. NAID # Registration required. Please refer to the Property Condition Report and Summary in hudhomestore.com for potential disclosures.</t>
  </si>
  <si>
    <t>Fairfax</t>
  </si>
  <si>
    <t>Route 59 North of Route 14 to Covington, East to Fairfax Court.</t>
  </si>
  <si>
    <t>STEEPLECHASE</t>
  </si>
  <si>
    <t>220113X148X78</t>
  </si>
  <si>
    <t>Stunning Colonial on Premium Private Park like lot backing to Jewel Park! Village location...close to library, grocery, schools, etc! Over 100k in upgrades..magnificue! Classy custom kitchen open to Family Room with built in bookcases, finished Lower Level w/Great Room, surround sound, TV area, Ultra Master bath! Approx 2600 sq ft + basement. Quiet cul de sac. Brand new roof &amp; gutters  ! An 11+</t>
  </si>
  <si>
    <t>Breakfast Room, Exercise Room, Recreation Room</t>
  </si>
  <si>
    <t>29X28</t>
  </si>
  <si>
    <t>2.5% MINUS $200 (on Net SP)</t>
  </si>
  <si>
    <t>Patty Ancona</t>
  </si>
  <si>
    <t>(847) 217-2514</t>
  </si>
  <si>
    <t>847-217-2514</t>
  </si>
  <si>
    <t>Call 866-852-8313 to schedule showing</t>
  </si>
  <si>
    <t>Excluding Living Room, Dining Room and Master Bedroom drapes.</t>
  </si>
  <si>
    <t>EAST OR WEST ON GRAND AVE TO MENARD NORTH TO PROPERTY</t>
  </si>
  <si>
    <t>Deal fell through. This is a Fannie Mae HomePath property. 2 bedrooms upstairs &amp; 2 bedrooms downstairs, full bathroom on each level, additional kitchen in the basement.</t>
  </si>
  <si>
    <t>Offers must be made via the HomePath Online Offer system. Taxes prorated at 100% &amp; Seller does not provide survey. Buyer responsible for all inspections, escrows, repairs &amp; transfer stamps.</t>
  </si>
  <si>
    <t>KAINER</t>
  </si>
  <si>
    <t>Lake Cook East of Northwest Highway, to Kainer, south to home</t>
  </si>
  <si>
    <t>60 X 135 X 60 X 135</t>
  </si>
  <si>
    <t>After 30 years, owners hate to leave their spacious Village home on tree lined street with wonderful neighbors!   The convenient location is close to downtown, train, shopping &amp; schools.  Features include hardwood floors on both levels, fireplace,vaulted sun room, large fenced yard, newer boiler and air.  The kitchen and baths are waiting for for updating ideas.  Large basement has cemented crawl space.</t>
  </si>
  <si>
    <t>Bonus, Recreation Room, Storage</t>
  </si>
  <si>
    <t>2.5% - $275 (on Gross SP)</t>
  </si>
  <si>
    <t>Marilyn Dopler, ABR,CRS,GRI,PMN,SFR,SRES</t>
  </si>
  <si>
    <t>(847) 385-3028</t>
  </si>
  <si>
    <t>Call LO (847) 577-9797 X0</t>
  </si>
  <si>
    <t>Owners of Record</t>
  </si>
  <si>
    <t>108th St. to Avenue  N  go south to property</t>
  </si>
  <si>
    <t>ENERGY-EFFICIENT E.S. CAPE COD STYLE HOME.  6 ROOMS, 4 BEDROOMS, UP-DATED BATH, MODERN KITCHEN WITH GRANATE COUNTER TOPS AND BAMBOO FLOOR. INCLUDING NEWER APPLIANCES  FULL BASEMENT WITH WORK SHOP ROOM, CENTRAL HEATING &amp; AIR CONDITION UNITS. NEWER WINDOWS AND SECURITY DOORS.  FINANCING LOOKS GREAT TOO!  PRE-QUALIFY BUYERS ONLY.</t>
  </si>
  <si>
    <t>Please call 24th hours before showing</t>
  </si>
  <si>
    <t>BISHOP</t>
  </si>
  <si>
    <t>WEST ON 87TH TO BISHOP, SOUTH TO PROPERTY</t>
  </si>
  <si>
    <t>3875 SQFT</t>
  </si>
  <si>
    <t>RECENTLY REMODELED 4 BEDROOM SINGLE FAMILY HOME SOME OF THE HIGHLIGHTS INCLUDE: KITCHEN (ESPRESSO CABINETS, STAINLESS APPL, GRNT COUNTERS, BACK SPLASH, CERAMIC TILE) &amp; SO MUCH MORE. SHOW &amp; SELL!</t>
  </si>
  <si>
    <t>Microwave, Dishwasher, Refrigerator, All Stainless Steel Kitchen Appliances</t>
  </si>
  <si>
    <t>Glenside</t>
  </si>
  <si>
    <t>BARRINGTON TO YORKSHIRE EAST TO NORTHWAY SOUTH TO GLENSIDE CT</t>
  </si>
  <si>
    <t>80 X 113 X 96 X 135</t>
  </si>
  <si>
    <t>SCHAUMBURG SCHOOL DISTRICT &amp; MAGNIFICENT HUNTINGTON MODEL WITH CUL-DE-SAC LOCATION. FEATURING A HUGE KITCHEN W/TONS OF CABINETS. SPACIOUS ROOMS T/O AND AN INVITING FENCED YARD W/PATIO. WHAT'S NEW 2012 ROOF, DOORS, TRIM &amp; FLOORS THROUGHOUT, BOTH BATHROOMS, EPOXY GARAGE FLOOR. 2009 SEWER PIPES FROM HOUSE TO STREET. NEWER HVAC &amp; AC. NEWER KITCHEN CABINETS AND APPLIANCES TOO. JUST MOVE INTO THIS WELL CARED FOR HOME.</t>
  </si>
  <si>
    <t>ANNE FOX ELEMENTARY SCHOOL</t>
  </si>
  <si>
    <t>Use Showing Assist or Call ShowingTime - 800-746-9464 - Allow 1 hour notice</t>
  </si>
  <si>
    <t>Sutherland</t>
  </si>
  <si>
    <t>Inverness</t>
  </si>
  <si>
    <t>PALATINE E OF BARRINGTON 2 INVERNESS RIDGE ENTRANCE ON S</t>
  </si>
  <si>
    <t>INVERNESS</t>
  </si>
  <si>
    <t>COMMON</t>
  </si>
  <si>
    <t>Microwave, Dishwasher, Disposal, Compactor-Trash</t>
  </si>
  <si>
    <t>Utopia Real Estate Inc.</t>
  </si>
  <si>
    <t>(847) 758-2100</t>
  </si>
  <si>
    <t>Jong Kim</t>
  </si>
  <si>
    <t>(312) 217-7406</t>
  </si>
  <si>
    <t>Call 847-812-8116</t>
  </si>
  <si>
    <t>CC: Pursuant to Short Sale. .</t>
  </si>
  <si>
    <t>Route 38 to County Line Rd. North to Ashton Dr. to Geneva St.</t>
  </si>
  <si>
    <t>125X80</t>
  </si>
  <si>
    <t>Charming and Spacious, this 10 year LIKE NEW Ranch has been lovingly cared for. New carpet and hardwood flooring throughout. Vaulted Great Room, tray ceilings in Master Suite, fenced yard with patio, firepit and mature trees. These are just a few of the luxuries that this lovely ranch affords. The finished basement is a whole new living area, and the neighbors are a blessing in this multi-generational neighborhood.</t>
  </si>
  <si>
    <t>Great Room, Office, Recreation Room, Storage, Other</t>
  </si>
  <si>
    <t>Blank Check Realty Group</t>
  </si>
  <si>
    <t>(630) 849-6242</t>
  </si>
  <si>
    <t>Beth Blank-Johnson</t>
  </si>
  <si>
    <t>CALL OR TEXT AGENT 630-849-6242</t>
  </si>
  <si>
    <t>63ST EAST OR WEST TO 6142 S NEENAH</t>
  </si>
  <si>
    <t>38X125</t>
  </si>
  <si>
    <t>BEATIFUL TWO-STORY RANCH OFFERS FOUR NICE-SIZED BR /W PLENTY OF CLOSETS SPACE,TWO FULL CERAMIC BATH, LARGE KITCHEN W/LOTS OF CABINETS&amp;COUNTER SPACE  ,HARDWD FLRS ON 1ST FL, ON 2ND CHERY &amp; OAK WOOD PANELS, NEW 2.5 CAR GARAGE, 16x8 OVERHEAD GARAGE DOOR, 24x12 DECK, SIDEWALKS, NEW 100AMP ELECTICAL SERVICE, HEATING &amp;COOLNG SYSTEM,  HOUSE IS REMODELED FROM TOP TO BOTTOM,  BEATIFUL LANDSCAPING,VERY GOOD SCHOOL,</t>
  </si>
  <si>
    <t>DORE ELEMENTARY SCHOOL</t>
  </si>
  <si>
    <t>Goral Real Estate Inc.</t>
  </si>
  <si>
    <t>(773) 586-6000</t>
  </si>
  <si>
    <t>Katarzyna Zalinski</t>
  </si>
  <si>
    <t>(773) 619-6880</t>
  </si>
  <si>
    <t>call or text katie 773-619-6880</t>
  </si>
  <si>
    <t>Seller open to all offers!!!!! needs to sell fast!!!! come and see it today   thank you :) seller offers   1,000 bonus for selling agent if under a contract by 10-15-14     Last couple weeks on the market!!! OPEN HOUSE SUNDAY OCT 6TH 12-3PM</t>
  </si>
  <si>
    <t>take 99th st to 2600(Talman)Go south to the property adress</t>
  </si>
  <si>
    <t>Welcome to your new home. This 3/4 bedroom Brick Cape Cod is a pleasure to show. It is in move in condition.Hardwood floors Cabinet Kitchen, Formal Dining Room, Full Basement, Central Air Large, Yard with two car garage. This property is priced to sell.  Home Warranty will be included</t>
  </si>
  <si>
    <t>Daniel Brace</t>
  </si>
  <si>
    <t>call listing officed</t>
  </si>
  <si>
    <t>A pleasure to show</t>
  </si>
  <si>
    <t>Congressional</t>
  </si>
  <si>
    <t>PARKER MANOR</t>
  </si>
  <si>
    <t>88 X 125 X 80 X 163</t>
  </si>
  <si>
    <t>To Be Built ~ Parker Manor by TOLL BROTHERS ~ Homes Site #229 ~ Move In Jan '15. Luxury living in Elgin! 18-hole championship golf course in community. Burlington School Dist 301.  Dynamic Parker  floorplan. 2880 sq ft, plus full basement. This gorgeous new home at an incredible value features an inviting front porch. Pics of similar home shown.</t>
  </si>
  <si>
    <t>Energy Efficient Package, Fireplace, Basement, Garage, Hardwood/Ceramic Floors</t>
  </si>
  <si>
    <t>Call TOLL BROTHERS Sales Office 847-695-4300. Must accompany client on 1st visit.</t>
  </si>
  <si>
    <t>To Be Built ~ Parker Manor ~ Homesite #229 - March '15 delivery. 3% on base price. Realtor Programs available! Call TOLL BROTHERS Sales Office 847-695-4300. Pics of similar home shown. Decorated Model &amp; Sales Office at 3656 Congressional</t>
  </si>
  <si>
    <t>Willowwood</t>
  </si>
  <si>
    <t>Orchard to Mill East to Gates Creek Drive to Willowwood</t>
  </si>
  <si>
    <t>GATES CREEK</t>
  </si>
  <si>
    <t>72X127X103X116</t>
  </si>
  <si>
    <t>Rare walk out fully finished basement, one of the best lots in Gates Creek, backing to open wooded  area, over 3800 sf living space.   Hdwd flooring, crown mouldings, vaulted ceilings, screened porch.  Luxury master w/ walk in cl, double bowl vanity, whirlp, bedrms w/ ceiling fans,  enormous br4.  LL w/ media rm, computer rm, office , wet bar, full bth &amp; door to paver patio! Agent owned AHS Home Warranty provided</t>
  </si>
  <si>
    <t>Oven/Range, Microwave, Dishwasher, Refrigerator-Bar, Disposal</t>
  </si>
  <si>
    <t>Water-Softener Owned, TV-Cable, TV-Dish, Security System, CO Detectors, Ceiling Fan, Radon Mitigation System(s)</t>
  </si>
  <si>
    <t>Office, Recreation Room, Screened Porch, Workroom</t>
  </si>
  <si>
    <t>Deck, Patio, Porch Screened, Storage Shed</t>
  </si>
  <si>
    <t>Wood Burning, Electric, Gas Logs</t>
  </si>
  <si>
    <t>3%-$200 (on Gross SP)</t>
  </si>
  <si>
    <t>Sherry Litherland, CSC</t>
  </si>
  <si>
    <t>(630) 229-2244</t>
  </si>
  <si>
    <t>Use Showing Asst. Vacant go and show</t>
  </si>
  <si>
    <t>Maninder and Ritika Chadha</t>
  </si>
  <si>
    <t>Relocation property, relocation addendums apply, seller will be Paragon Relocation resources, AHS core home warranty provided, $439</t>
  </si>
  <si>
    <t>HALSTED T0 101ST, W TO GREEN, S TO PROPERTY.</t>
  </si>
  <si>
    <t>40X124</t>
  </si>
  <si>
    <t>Recently renovated brick Cape Cod. lovely curb appeal! This home has 4br 2.5 baths,  an abundance of space for a growing family, 2 car garage, partially finished basement and so much more.  This is a Fannie Mae Homepath Property.</t>
  </si>
  <si>
    <t>3% + BUYING AGENT BONUS (on Gross SP)</t>
  </si>
  <si>
    <t>Call Css for Access &amp; Code at 877-977-1010.</t>
  </si>
  <si>
    <t>The seller has directed that all offers on this listing be made using HomePath website www.homepath.com. Please download Owner Occupancy Cert. Act now - $1000 Buyer's Agent Bonus! Click HomePath.com for details. Restrictions apply.</t>
  </si>
  <si>
    <t>9th</t>
  </si>
  <si>
    <t>64 to 10th s to south rt to 9th</t>
  </si>
  <si>
    <t>property is total rehab, there is a foundation that could be structural.  The home will need a new roof to occupy, master bath ceiling has caved in and mold is present.</t>
  </si>
  <si>
    <t>American National Realty LLC</t>
  </si>
  <si>
    <t>(630) 443-0586</t>
  </si>
  <si>
    <t>James Dean Peters</t>
  </si>
  <si>
    <t>(630) 327-4183</t>
  </si>
  <si>
    <t>Newcastle</t>
  </si>
  <si>
    <t>Archer East or West to Newcastle, north to property.</t>
  </si>
  <si>
    <t>OPEN/HOUSE SUNDAY 12 TO 3 10/26/2014. 2 story home in the heart of Garfield Ridge. Many updates, Freshly painted, nothing 2 do but move in &amp; enjoy! 1st flr living rm, kit/dining rm combo, bath &amp; 1 bdrm. 2nd for, 3 bdrms &amp; full bath. Bsmnt offers open flr plan/ family rm, bath, storage &amp; ldy rm. All apliances stay, S.S Refridgerator, Stove, Microwave, Dishawasher, Washer, Dryer. Heaters &amp; AC"s are 2 yrs old</t>
  </si>
  <si>
    <t>5X14</t>
  </si>
  <si>
    <t>OWENR OF RECORD</t>
  </si>
  <si>
    <t>NOT A SHORT SALE NOR BANK OWNED.</t>
  </si>
  <si>
    <t>6N600</t>
  </si>
  <si>
    <t>FOLEY</t>
  </si>
  <si>
    <t>Randall or Rt. 31 to Silver Glen to Foley</t>
  </si>
  <si>
    <t>SILVER RIDGE</t>
  </si>
  <si>
    <t>137X369X332X332</t>
  </si>
  <si>
    <t>Impressive curb appeal! So much living space! Open foyer greets you, french doors lead into office &amp; formal LR w/ one of 3 fireplaces! Sunny kitchen w/ center island &amp; cheery eating area. Full finished basement has large seating area w/ fireplace, rec room area w/ wet bar, craft area, sauna, full bathroom &amp; BR!  Luxurious &amp; spacious master suite w/ views. Some new carpet. Private backyard w/firepit, patio plus deck!</t>
  </si>
  <si>
    <t>Oven-Double, Microwave, Dishwasher, Refrigerator, Refrigerator-Bar, Disposal, Wine Cooler/Refrigerator</t>
  </si>
  <si>
    <t>Humidifier, Water-Softener Rented, TV-Cable, Security System, CO Detectors, Ceiling Fan, Sump Pump, Backup Sump Pump</t>
  </si>
  <si>
    <t>Den, Eating Area, Exercise Room, Foyer, Game Room, Office, Recreation Room</t>
  </si>
  <si>
    <t>Vaulted/Cathedral Ceilings, Sauna/Steam Room, Bar-Wet, Hardwood Floors, 1st Floor Laundry</t>
  </si>
  <si>
    <t>Deck, Dog Run &amp;/or Invisible Fence, Stamped Concrete Patio</t>
  </si>
  <si>
    <t>Wood Burning, Attached Fireplace Doors/Screen, Electric, Gas Logs, Gas Starter</t>
  </si>
  <si>
    <t>call 1-855-746-9100</t>
  </si>
  <si>
    <t>Please use 6.0 contract.</t>
  </si>
  <si>
    <t>BALDWIN</t>
  </si>
  <si>
    <t>HOME SOLD PRIOR TO PROCESSING.  PHOTOS OF SIMILAR HOME.</t>
  </si>
  <si>
    <t>FOR INFORMATION CALL 847-426-4411.</t>
  </si>
  <si>
    <t>HOME SOLD PRIOR TO PROCESSING.  BASE PRICE OF HOME IS $244,990 PLUS LOT PREMIUM IF ANY.</t>
  </si>
  <si>
    <t>43W504</t>
  </si>
  <si>
    <t>Otter</t>
  </si>
  <si>
    <t>Route 47 to Empire Rd. East to Sunset Views Dr. North to Autumn Ln East to Otter Ln to Property</t>
  </si>
  <si>
    <t>SUNSET VIEWS</t>
  </si>
  <si>
    <t>270X219X275X219</t>
  </si>
  <si>
    <t>Spectacular custom built home! Home is practically brand new! Gorgeous 1.42 acre corner lot. Perfect entertaining floor plan. Hardwood thru out main living areas, whole house surround sound system, Anderson windows, enormous lookout basement w/so much potential, top of the line kitchen, master suite w/huge closet space &amp; dream shower, mud room &amp; laundry w/convenient storage &amp; so much more! Have to see to appreciate!!</t>
  </si>
  <si>
    <t>Breakfast Room, Foyer, Great Room, Mud Room</t>
  </si>
  <si>
    <t>21X6</t>
  </si>
  <si>
    <t>Suburban Life Realty, Ltd</t>
  </si>
  <si>
    <t>(847) 363-0990</t>
  </si>
  <si>
    <t>Matthew Lysien</t>
  </si>
  <si>
    <t>(847) 309-6939</t>
  </si>
  <si>
    <t>Call Showing Desk at 855-917-1422 or click Schedule a Showing</t>
  </si>
  <si>
    <t>Must Confirm. Please allow 2 hour notice</t>
  </si>
  <si>
    <t>Burr Oak</t>
  </si>
  <si>
    <t>14 &amp; Lake Cook go east on Lake Cook to North Valley (N) to Burr Oak (W) to home</t>
  </si>
  <si>
    <t>Lovely Fox Point 4 bedroom, 2.1 bath home sits on a great lot, BRAND NEW ROOF, SIDING, GARAGE DOOR, EXTERIOR LIGHTS,SHUTTERS, GUTTERS, freshly painted inside, center entry colonial, brick paver patio, hardwood flooring everywhere, it may be original but in excellent condiiton, granite counter tops in kitchen and baths,newer windows, Fox Point is a great place to call home.</t>
  </si>
  <si>
    <t>Park/Playground, Pool, Tennis Courts, Water Rights, Curbs/Gutters, Street Lights</t>
  </si>
  <si>
    <t>Water Rights</t>
  </si>
  <si>
    <t>Common Insurance, Pool, Lake Rights, Other</t>
  </si>
  <si>
    <t>Tennis Court(s), Brick Paver Patio, Storms/Screens</t>
  </si>
  <si>
    <t>2.5% -250 (on Net SP)</t>
  </si>
  <si>
    <t>Debra Hallberg Palmer</t>
  </si>
  <si>
    <t>call 855-746-9100 - 1 hour notice minimum</t>
  </si>
  <si>
    <t>RYAN</t>
  </si>
  <si>
    <t>ROUTE 31 TO STROM DRIVE E WHICH TURNS INTO RYAN LANE TO RYAN COURT</t>
  </si>
  <si>
    <t>42X113X133X146</t>
  </si>
  <si>
    <t>LUCKY BUYER GETS A LARGE, LOVELY HOME ON CUL DE SAC. FABULOUS KITCHEN ISLAND W/NEW COOKTOP AND SS HOOD, NEWER DISHWASHER, HARDWOOD FLOORS, GLASS TILE BACKSPLASH &amp; ALL APPLIANCES. UPDATED MAIN BATH W/LAUNDRY SHOOT &amp; SOLAR TUBE. SOLID OAK DOORS &amp; ORIGINAL HW FLOORS UNDER CARPET ON MAIN LEVEL. NEWER ROOF, DECK, EXTERIOR PAINT &amp; SOME PELLA WINDOWS. EASY TO MAKE AN INLAW ARRANGEMENT. WALK TO NEIGHBORHOOD SCHOOL &amp; PARK.</t>
  </si>
  <si>
    <t>Humidifier, TV-Cable</t>
  </si>
  <si>
    <t>Eating Area, Recreation Room, Tandem Room</t>
  </si>
  <si>
    <t>Deck, Patio, Storage Shed</t>
  </si>
  <si>
    <t>2 HOUR NOTICE PREFERRED,KNOCK FIRST, REMOVE SHOES AND LEAVE CARD.PLEASE NOTE HARDWOOD FLOORS UNDER ALL UPSTAIRS CARPET</t>
  </si>
  <si>
    <t>Addison to Melvina (6200 West) North 1 block to Patterson and Left to 6235</t>
  </si>
  <si>
    <t>35X123</t>
  </si>
  <si>
    <t>This is the ONE !   Great Family Home!  Modern Kitchen (21' x 12)  Hardwood Floors,  Newer Windows, Roof, Central Air.   Full Finished Basement High and Dry With Laundry.  This Home is on a 35'x123' lot with a 2 1/2 Car Garage and a Huge Back and Side Yard For Your Enjoyment.</t>
  </si>
  <si>
    <t>2.5 - $200 (on Gross SP)</t>
  </si>
  <si>
    <t>Kent Realty Co.</t>
  </si>
  <si>
    <t>(773) 935-6642</t>
  </si>
  <si>
    <t>Daniel O'Malley</t>
  </si>
  <si>
    <t>John Lohenry</t>
  </si>
  <si>
    <t>Call John Lohenry at Kent Reality 773 935 6642</t>
  </si>
  <si>
    <t>This is a Well Maintained Home and in Move in Condition</t>
  </si>
  <si>
    <t>EMERALD</t>
  </si>
  <si>
    <t>Halsted to 96th Street, east to Emerald Avenue, south to property.</t>
  </si>
  <si>
    <t>Brick cape cod style home.  The home is in overall average condition, but is in need of several repairs.  Some work required, but a nice four bedroom home for the money.  The property is bank owned and is sold in "as is" condition without disclosures. Home has a termite problem estimated at 3 to 5K</t>
  </si>
  <si>
    <t>2.5% OR $1000 WHICHEVER IS GREATER (on Net SP)</t>
  </si>
  <si>
    <t>Call Showingtime.  1-800-746-9464.</t>
  </si>
  <si>
    <t>Please email offers to joe@joedenk.com.  Please include proof of funds with all offers.  Thank you.</t>
  </si>
  <si>
    <t>PULASKI TO WABANSIA WEST TO KEDVALE NORTH TO HOME</t>
  </si>
  <si>
    <t>PROPERTY HAS BEEN WELL KEPT. NEEDS SOME COSMETIC WORK BUT HAS A LOT OF POTENTIAL. PROPERTY FEATURES 4 BEDROOMS + 2 BATHS SIDING + ROOF IN GOOD CONDITIONS. THIS IS A SHORT SALE ALLOW TIME FOR LENDERS APPROVAL</t>
  </si>
  <si>
    <t>Alcides Rodriguez</t>
  </si>
  <si>
    <t>(773) 573-9798</t>
  </si>
  <si>
    <t>TEXT OR EMAIL L/A FOR APPTS (773) 573-9798 OR ALROD.C21@GMAIL.COM</t>
  </si>
  <si>
    <t>CC: Pursuant to Short Sale. PURSUANT TO SHORT SALE</t>
  </si>
  <si>
    <t>63RD ST EAST/WEST TO AUSTIN,WEST TO 6014 SOUTH TO 64TH PLACE,</t>
  </si>
  <si>
    <t>COME SEE THIS  4 TOTAL BEDROOMS AND 2.5 BATH GEM IN THE  CLEARING AREA.BRAND NEW WINDOWS ARE DOORS (INSTALLED THROUGH AIRPORT PROGRAM),UPDATED 200 AMP ELECTRICAL PANEL,FULL FINISHED BASEMENT WITH FAMILY ROOM,BEDROOM,LAUNDRY ROOM AND FULL BATH.WALK UP ATTIC FOR STORAGE,SUMP PUMP AND OVERHEAD SEWERS,2 CAR GARAGE,APPROX 40 FT LOT,VERY WELL KEPT.COME SEE TODAY!</t>
  </si>
  <si>
    <t>Brian Schultz</t>
  </si>
  <si>
    <t>(773) 841-9059</t>
  </si>
  <si>
    <t>ROUTE 47 SOUTH OF 71 TO WINDETT RIDGE TO HOME</t>
  </si>
  <si>
    <t>80 X 182 X 107 X 210</t>
  </si>
  <si>
    <t>PROPERTY TO BE SOLD "WITH REPAIR". SELLER DOES NOT PROVIDE A SURVEY. TAXES PRORATED AT 100%. EARNEST MONEY MUST BE IN CERTIFIED FUNDS. LETTER OF APPROVAL OR PROOF OF FUNDS IS REQUIRED. SAMPLE ADDENDA AND GUIDELINES ARE ATTACHED.</t>
  </si>
  <si>
    <t>FREDDIE MAC / HOMESTEPS</t>
  </si>
  <si>
    <t>BUYER IS RESPONSIBLE FOR ANY TRABSFER OR EXEMPT STAMPS AS APPLICABLE. COMMISSION IS $1,500 OR 2.5% WHICHEVER IS GREATER. YORKVILLE SSA 03-101 FIR 2013 IS $2146.86 AND IN TAXES</t>
  </si>
  <si>
    <t>NORTH OR SOUTH ON CENTRAL WEST ON LEMOYNE TO PROPERTY</t>
  </si>
  <si>
    <t>3968 SQ FT</t>
  </si>
  <si>
    <t>IMAGINE THE POSSIBILITIES!  CORNER BRICK BUNGALOW, GENEROUS SIZE ROOMS, HARDWOOD UNDER CARPET, 2 BDRMS 1ST FL, 2 BDRMS 2ND FL, EXTRA ROOMS &amp; BATH IN BSMNT, ENCLOSED BACK PORCH &amp; DETACHED GARAGE. THIS IS A FANNIE MAE HOMEPTAH PROPERTY.</t>
  </si>
  <si>
    <t>All offers must be made online at HomePath Online Offer system. Taxes prorated at 100%. Buyer responsible for all inspections, escrows, repairs, survey &amp; transfer stamps. PROPERTY HAS CODE VIOLATIONS BUYER TAKES RESPONSIBILITY OF VIOLATIONS</t>
  </si>
  <si>
    <t>RT 30 TO GORDON N TO FOXMOOR E TO HOME</t>
  </si>
  <si>
    <t>80X120</t>
  </si>
  <si>
    <t>GREAT SIZED 4 BEDROOM, 2 1/2 BATH IN FOXMOOR BACKS UP TO WALKPATH AND POND. MAIN LEVEL INCLUDES LR/DR, FORMAL KITCHEN, SUNROOM AND FAMILY ROOM W/BR FIREPLACE. 4 BEDROOMS ON 2ND FLOOR AND PARTIAL BASEMENT WITH CRAWL. YARD HAS DECK AND STAMPED CONCRETE WALK. SOLD IN AS-IS CONDITION. SELLER WILL NOT PROVIDE SURVEY OR TERMITE AND TAXES ARE PRORATED AT 100%.</t>
  </si>
  <si>
    <t>Sitting Room, Sun/Florida Room</t>
  </si>
  <si>
    <t>Brent Wilk</t>
  </si>
  <si>
    <t>815-230-5356</t>
  </si>
  <si>
    <t>CALL CSS AT 877-977-1010</t>
  </si>
  <si>
    <t>10 DAY MARKET TIME REQUIRED PRIOR TO OFFER CONSIDERATION. SUBMIT ALL OFFERS ON WWW.OFFERSUBMISSION.COM. USE ID#965483. PAPERLESS OFFER UNTIL ACCEPTANCE. BUYER PAYS $300 FEE UPON SUCCESSFUL CLOSING.</t>
  </si>
  <si>
    <t>fullerton to Karlov,karlov to home</t>
  </si>
  <si>
    <t>Look no further this is a beautiful home well taken care of, move in ready. This is a shortsale please allow some time for lenders response.  Sellers attorney is an expert at shortsale negotiations.</t>
  </si>
  <si>
    <t>2.5%-$2.75 (on Net SP)</t>
  </si>
  <si>
    <t>Pedro J Velez</t>
  </si>
  <si>
    <t>(773) 988-6543</t>
  </si>
  <si>
    <t>Previous buyer walked their lost is someone else gain. Bank approved at $140,000. This is a Short Sale.</t>
  </si>
  <si>
    <t>84 Th</t>
  </si>
  <si>
    <t>Pulaski to 84th west to house</t>
  </si>
  <si>
    <t>Short Sale. four bedrooms 1.5 baths hardwood floors .  Currently rented. Call agent for showings.</t>
  </si>
  <si>
    <t>Joan Frausto-Majer</t>
  </si>
  <si>
    <t>(773) 612-5994</t>
  </si>
  <si>
    <t>24 hr. notice- Call 773-612-5994</t>
  </si>
  <si>
    <t>CC: Pursuant to Short Sale. Short sale. Lender requires all offers submissions to be placed at www.hubzu.com</t>
  </si>
  <si>
    <t>59 North to Miller, East to Kimberly, South to Brookmont &amp; turn left.  3rd house on left.</t>
  </si>
  <si>
    <t>128X329X130X349</t>
  </si>
  <si>
    <t>*CLASSIC BILTMORE*Fabulous 1+ ACRE WOODED Lot With BABBLING BROOK, BRIDGE*2-Story COLONIAL With COZY Front Porch*COMPLETELY Remodeled GOURMET Kit, CUSTOM Cabinetry, GRANITE &amp; SS Appliances*Formal Dining &amp; Living*FAMILYRM With Fireplace*Hardwood or Stone/Tile Floors Throughout*Newly EXPANDED MSTR SUITE includes SITTING ROOM LUXURY WHIRLPL BATH, DOUBLE Custom Vanities, GRANITE,  Yard  Partially Fenced*PARK-LIKE VIEWS*</t>
  </si>
  <si>
    <t>Fenced Yard, Stream, Wooded</t>
  </si>
  <si>
    <t>Water-Softener Owned, CO Detectors, Ceiling Fan, Sump Pump, Backup Sump Pump</t>
  </si>
  <si>
    <t>Hardwood Floors, 1st Floor Laundry, 1st Floor Full Bath</t>
  </si>
  <si>
    <t>15X4</t>
  </si>
  <si>
    <t>(847) 438-6200</t>
  </si>
  <si>
    <t>Cherie Smith Zurek, ABR,CRS,GRI,SFR,SRES</t>
  </si>
  <si>
    <t>(847) 778-8618</t>
  </si>
  <si>
    <t>Call Listing Office 847-438-6200 For Appointments</t>
  </si>
  <si>
    <t>Denise Casey</t>
  </si>
  <si>
    <t>Please send offer to 847-637-2069 (E-fax) or email to remaxcsz@aol.com, then please call Cherie to confirm receipt 847-778-8618*Please review disclosures before writing an offer*</t>
  </si>
  <si>
    <t>DEERPATH</t>
  </si>
  <si>
    <t>I-88 to Orchard Road exit north to Oak west to Deerpath north.</t>
  </si>
  <si>
    <t>190X240X203X240</t>
  </si>
  <si>
    <t>Brand new construction by K. Hovnanian Homes ready now! Ideally located near I-88 &amp; Orchard. Fantastic open floor plan. Huge kitchen with hardwood flooring, granite counters &amp; island opens to family room. 1st floor study. Formal living &amp; dining rooms. Master suite w/2 walk in closets and luxury bath! 2nd floor bonus room. 2nd floor laundry. 3 car garage. Full basement. Large one acre homesite!</t>
  </si>
  <si>
    <t>Fearn Elementary School</t>
  </si>
  <si>
    <t>Herget Middle School</t>
  </si>
  <si>
    <t>West Aurora High School</t>
  </si>
  <si>
    <t>Central Air, Basement, Garage, Hardwood/Ceramic Floors</t>
  </si>
  <si>
    <t>3% ON BASE - $150 + $2000 BONUS IF UNDER CLOSED BY 10/31/14 (on Net SP)</t>
  </si>
  <si>
    <t>On Sentrilock. Visit sales ofc at 1201 Kilbery Ln to get info. Open daily 11-6</t>
  </si>
  <si>
    <t>Must register client on first visit. Price reflects incentive if using builder's Lender. Prices and promos subject to change without notice.</t>
  </si>
  <si>
    <t>To Be Built ~ Homesite#230 - March 2015 ~ Nantucket New England ~ Luxury living in Elgin! 18-hole championship golf course in community. Burlington School Dist 301. 2400 sq ft+, plus full basement. Gorgeous new home at an incredible value! Addtl homesites available - build your dream TOLL BROTHERS home!  Pictures are of similar home.</t>
  </si>
  <si>
    <t>Bsmnt/Lower Lvl Stubd in Bath, Energy Efficient Package, Fireplace, Basement, Garage</t>
  </si>
  <si>
    <t>Call TOLL BROTHERS Sales Office 847-695-4300. Must accompany clients on first visit.</t>
  </si>
  <si>
    <t>To Be Built. Homesite#230. 3% on base price. Ask about our Realtor Programs. Photos of similar home shown. DECORATED MODEL and SALES OFFICE at 3656 Congressional Parkway.</t>
  </si>
  <si>
    <t>Ashland</t>
  </si>
  <si>
    <t>RT 31 N OF RT 20 2 HARDING E2 ASHLAND S2 HOME</t>
  </si>
  <si>
    <t>42X132</t>
  </si>
  <si>
    <t>OWNR HATES 2 LEAVE! FEATURED IN "ARCHITECTURAL IMPORTANCE OF ELGIN MAGAZINE" DEEP LOT! BRIGHT KTCHN W/SS APPLS, OAK CABS, BLT-N SHLVING &amp; WOOD LAM FLR! OVERSIZE DR! 1ST FLR BDRM! LR W/BLT-NS &amp; HDWD FLR! 9' CLNGS! 2ND FLR W/BAMBOO FLR! SEP LOFT AREA-GREAT 4 COMPUTER AREA! NWR FURN &amp; A/C! NEW WNDWS '04! 6 PNL DRS! MOVE IN READY W/FRSHLY PNTD INT! CLOSE 2 SHOPS &amp; TRANSPORTATION!</t>
  </si>
  <si>
    <t>Oven/Range, Refrigerator, Disposal, All Stainless Steel Kitchen Appliances</t>
  </si>
  <si>
    <t>FEATURED IN "ARCHITECTURAL IMPORTANCE OF ELGIN MAGAZINE" DEEP LOT! 1ST FLR BDRM &amp; FULL BTH!</t>
  </si>
  <si>
    <t>Persimmon</t>
  </si>
  <si>
    <t>Route 25 to Stonehedge east to Persimmon Dr. south to home.</t>
  </si>
  <si>
    <t>PERSIMMON FIELDS</t>
  </si>
  <si>
    <t>135X199X206X210</t>
  </si>
  <si>
    <t>Beautiful lot in Persimmon Fields. Home has screened porch off family room. Kitchen has white cabinets and hardwood flooring. 4 Big bedrooms upstairs, office/den or 5th bedroom on 1st floor. Finished basement needs updating has large rec room and office w/hardwood flooring. 2nd floor has bonus room over garage w/access thru bedroom 4. A great deal for this area. Needs some TLC. Short Sale.</t>
  </si>
  <si>
    <t>Oven/Range, Dishwasher, Refrigerator, Washer, Dryer, Disposal, Grill-Indoor</t>
  </si>
  <si>
    <t>Humidifier, Water-Softener Owned, Central Vacuum, Intercom, Ceiling Fan, Sump Pump</t>
  </si>
  <si>
    <t>Bonus, Den, Office, Recreation Room, Screened Porch</t>
  </si>
  <si>
    <t>Tom Gancer, ABR,CSC,GRI,SFR</t>
  </si>
  <si>
    <t>(630) 943-2212</t>
  </si>
  <si>
    <t>630-430-5162</t>
  </si>
  <si>
    <t>Call Showing Time 855-746-9093</t>
  </si>
  <si>
    <t>CC: Pursuant to Short Sale. Short sale. As-is.</t>
  </si>
  <si>
    <t>LAWNDALE AVE SOUTH OR NORTH TO 69TH THEN WEST</t>
  </si>
  <si>
    <t>Home for SALE! Hardwood floors and ceramic tile in the bathrooms. 4 bedrooms and 2 baths with full basement. Spacious back yard with car garage. SUBMIT OFFERS now!</t>
  </si>
  <si>
    <t>Great Room, Storage</t>
  </si>
  <si>
    <t>CHI Properties Inc.</t>
  </si>
  <si>
    <t>(773) 904-2007</t>
  </si>
  <si>
    <t>Stephany Oliveros</t>
  </si>
  <si>
    <t>Please call Centralized Showing 877-977-1010</t>
  </si>
  <si>
    <t>This property is now under auction terms. Pre-sale bids should be submitted through www.Auction.com. This property is subject to a 5% buyerâ€™s premium pursuant to the Auction Terms &amp; Conditions (minimums may apply). *SEE DOCS FOR MORE INFO*</t>
  </si>
  <si>
    <t>From S Woodlawn Ave towards E 69th St Turn right onto E 69th St</t>
  </si>
  <si>
    <t>Rt 31 to Highland west to Hamilton south to home.</t>
  </si>
  <si>
    <t>TUDOR</t>
  </si>
  <si>
    <t>130 X 50</t>
  </si>
  <si>
    <t>Remarkable Curb Appeal! This Charming Classic 1933 Tudor Style home is perfectly located on one of the prettiest streets in Elgin. This 4 bed, 2 bath, All Brick Beauty has Quaint Updated Kitchen open to lovely Sunrm. Large living rm with fireplace, combined with dining room. Giant Master Bedrm!  This home has a lovely, fully fenced yard with patio. Basement is fully finished with Rec Rm, Full Bathrm, and Laundry Rm.</t>
  </si>
  <si>
    <t>Foyer, Recreation Room, Sun/Florida Room Heated</t>
  </si>
  <si>
    <t>630-400-0658</t>
  </si>
  <si>
    <t>Call Showingtime for appointment 1-855-746-9200.  12 hour notice preferred.  Thanks!</t>
  </si>
  <si>
    <t>Thank you for showing.  Please turn off lights and lock doors. 12 hour notice preferred, dog.</t>
  </si>
  <si>
    <t>Jeffery to 74th street east to Merrill north to 7324</t>
  </si>
  <si>
    <t>Estate Sale, brick house on lovely block. 3 bedrooms, 2 bathrooms, dining &amp; living room, natural brick fireplace, sun parlor and central air. Also, family room, bedroom, bathroom, laundry area and storage rooms in basement.Large home in move in condition. Come view the property and make an offer. MOTIVATED SELLER! ALL OFFERS CONSIDERED</t>
  </si>
  <si>
    <t>16X40</t>
  </si>
  <si>
    <t>Enclosed Porch, Foyer, Pantry, Storage, Sun/Florida Room</t>
  </si>
  <si>
    <t>10X29</t>
  </si>
  <si>
    <t>General Realty &amp; Bldg. Co.</t>
  </si>
  <si>
    <t>(773) 955-0900</t>
  </si>
  <si>
    <t>Adrienne Hill</t>
  </si>
  <si>
    <t>(773) 667-6277</t>
  </si>
  <si>
    <t>312-502-1366</t>
  </si>
  <si>
    <t>Call 312-502-1366 for appointment</t>
  </si>
  <si>
    <t>PLEASE PROOF OF FUNDS AND PRE-APPROVAL WITH ALL OFFERS</t>
  </si>
  <si>
    <t>Andover</t>
  </si>
  <si>
    <t>COUNTY FARM 2 ARLINGTON E2 ANDOVER W L2 HOME</t>
  </si>
  <si>
    <t>89X182X43X166</t>
  </si>
  <si>
    <t>*NOT A SHORT SALE*NOT A FORECLOSURE**OUTSTANDING LOCATION**GREAT CONDITION**NEWER SIDING**NEWER ROOF**NEWER WINDOWS**ENORMOUS LIVING ROOM WITH BUILT IN BOOK SHELVES***FAMILY ROOM WITH FIREPLACE**TWO TIER DECK**MOVE IN CONDITION**AND THE LIST GOES ON**MUST SEE!!!</t>
  </si>
  <si>
    <t>Clubhouse, Park/Playground, Pool, Sidewalks, Street Lights</t>
  </si>
  <si>
    <t>2.5 % -295 (on Net SP)</t>
  </si>
  <si>
    <t>USE SHOWING ASSIST. EASY TO SHOW</t>
  </si>
  <si>
    <t>Easy to show!</t>
  </si>
  <si>
    <t>Randall to Huntley Rd. East to Inlet on L, then left to Harbor Dr right to home on Left.</t>
  </si>
  <si>
    <t>80 X 125 X 80 X 25</t>
  </si>
  <si>
    <t>BEAUTIFUL RANCH!  BACKS TO RACEWAY WOODS. VAULTED CEILINGS. 3 BEDROOMS W/ FINISHED BASEMENT. OPTIONAL BEDROOM OR OFFICE AND WET BAR. NEW ROOF, NEWER FURNACE/AIR, BACKUP SUMP PUMP SYSTEM, DECK, FRESHLY PAINTED INTERIOR, HARDWOOD FLOORS IN MAIN AREAS. UPDATED KITCHEN, NEWER STAINLESS STEEL APPLIANCES!  CONCRETE FLOOR IN CRAWL SPACE FOR STORAGE.   MINUTES TO I-90 AND 35 MINUTES TO O'HARE. CLOSE RANDALL RD SHOPPING</t>
  </si>
  <si>
    <t>Humidifier, Backup Sump Pump</t>
  </si>
  <si>
    <t>30X25</t>
  </si>
  <si>
    <t>2.5-$250 (on Gross SP)</t>
  </si>
  <si>
    <t>James Sances, SFR</t>
  </si>
  <si>
    <t>(847) 207-2889</t>
  </si>
  <si>
    <t>Book through schedule showing</t>
  </si>
  <si>
    <t>24 HR NOTICE TO SHOW. RANCH/BACKS TO RACEWAY WOODS. NEW ROOF, FRESHLY PAINTED INSIDE, NEWER MECHANICS, FINISHED BASEMENT WITH FULL WET BAR /MEDIA AREA AND BEDROOM OR OFFICE. PETS ARE LEAVING AND CARPET TO BE PROFESSIONALLY CLEANED.</t>
  </si>
  <si>
    <t>Glenlake</t>
  </si>
  <si>
    <t>West on Peterson from Cicero to Monticello.  North on Monticello to GlenLake.</t>
  </si>
  <si>
    <t>40'X125'</t>
  </si>
  <si>
    <t>Beautifully well kept brick two story.  3 baths on 2nd floor.  Built-in closets in all rooms with a large walk-in closet in master bed.  Great kitchen space.  Finished basement with full bath.  Nice porch off master bed.</t>
  </si>
  <si>
    <t>First National Realty Group</t>
  </si>
  <si>
    <t>(312) 683-9444</t>
  </si>
  <si>
    <t>Laura McNellis</t>
  </si>
  <si>
    <t>Text or call the listing agent.  708.227.2418.</t>
  </si>
  <si>
    <t>OPEN HOUSE ON THURSDAY EVENING - 5-7 PM.  OPEN HOUSE ON SUNDAY - 10-11:30 AM.</t>
  </si>
  <si>
    <t>Sheffield</t>
  </si>
  <si>
    <t>Rte 38 to Williamsburg, go south to Sheffield, then west to house</t>
  </si>
  <si>
    <t>9375 SQUARE FEET</t>
  </si>
  <si>
    <t>Fabulous home in a fabulous neighborhood! Wait until you see the special touches in this kitchen and sunroom-not to be believed! Crown molding, birch hardwood floors, a double microwave, lots of closet space. Sitting room attached to the master can work as nursery, work out area, office-you name it!Please note--the basement contains a "working" wood shop-all will be removed prior to close. Quick close possible!</t>
  </si>
  <si>
    <t>Sitting Room, Sun/Florida Room Heated, Utility Room-2nd Floor</t>
  </si>
  <si>
    <t>Lori Linkimer, ABR</t>
  </si>
  <si>
    <t>(630) 841-3278</t>
  </si>
  <si>
    <t>Call 888-362-3222-must confirm-two hours notice</t>
  </si>
  <si>
    <t>Nystrom</t>
  </si>
  <si>
    <t>Sentrilock box on pole to the right of the front door</t>
  </si>
  <si>
    <t>63rd To keeler south to property</t>
  </si>
  <si>
    <t>3 bedroom english  tudor with fully expandable attic. LR/DR with crown molding also features wood burning fire place. In-law basement   It a short sale sold as is</t>
  </si>
  <si>
    <t>2-1/2%-$400 (on Net SP)</t>
  </si>
  <si>
    <t>Wish Realty Inc.</t>
  </si>
  <si>
    <t>(708) 837-3301</t>
  </si>
  <si>
    <t>Ercilia Wish-Soto</t>
  </si>
  <si>
    <t>please contact agent and 24 hours notice 708 8373301</t>
  </si>
  <si>
    <t>on record</t>
  </si>
  <si>
    <t>79TH ST TO TALMAN SOUTH TO PROPERTY</t>
  </si>
  <si>
    <t>United Real Estate - Chicago</t>
  </si>
  <si>
    <t>Sheryl Ware-Reed</t>
  </si>
  <si>
    <t>(708) 692-1917</t>
  </si>
  <si>
    <t>CALL LISTING AGENT 24HR NOTICE</t>
  </si>
  <si>
    <t>TANIA COLEMAN</t>
  </si>
  <si>
    <t>CC: Pursuant to Short Sale. PLEASE MAKE EARNEST CHECKS OUT TO SELLER'S ATTORNEY ANTHONY Panzica</t>
  </si>
  <si>
    <t>87th Street West of Pulaski to Karlov Avenue North to 8521 S Karlov</t>
  </si>
  <si>
    <t>This lovely bungalow has curb appeal and a full basement, which comes with various upgrades from 2011 to 2013:  roof, windows, counter tops, sink, and hardwood floors. Furnace in 2005 was replaced with a high efficiency 90%, with humidifier, ultra violet light which kills bacteria.  The A/C is a 13 seer which was installed in 2006 also high efficiency. In addition this home has a Whale House Fan, which draws the cool</t>
  </si>
  <si>
    <t>12X43</t>
  </si>
  <si>
    <t>200+ Amp Service, 100 Amp Service</t>
  </si>
  <si>
    <t>(708) 460-4900</t>
  </si>
  <si>
    <t>Kathleen Close</t>
  </si>
  <si>
    <t>(708) 274-7947</t>
  </si>
  <si>
    <t>708-274-7947</t>
  </si>
  <si>
    <t>John Gertos</t>
  </si>
  <si>
    <t>This lovely bungalow has curb appeal and a full basement, which comes with various upgrades from 2011 to 2013:  roof, windows, counter tops, sink, and hardwood floors. Furnace in 2005 was replaced with a high efficiency 90%, with humidifier</t>
  </si>
  <si>
    <t>HOPEWELL</t>
  </si>
  <si>
    <t>RTE 20 2 COOMBS N2 HIGHLAND WOODS W2 GOODFELD N2 HOPEWELL W2 HOME</t>
  </si>
  <si>
    <t>PRICED TO SELL! DEAD END STREET LOCATION! GREAT CURB APPEAL! HDWD ENTRY! FRML LIV RM! BRIGHT EAT-N KTCHN W/ GRANITE C-TOPS, SS APPLS, CSTM TILE B-SPLASH &amp; SLDER 2 BRK PATIO &amp; FNCD YARD! GREAT VIEWS OF RETENTION POND!! FRML DIN RM W/CRWN MLDING &amp; HDWD FLRS! SPAC FAM RM! 1ST FLR MUD RM W/BLT-N CUBBIES! 2ND FLR LNDRY! GOOD SZ MBDRM W/2 WLK-N CLSTS &amp; PRVT BTH W/RAISED VANITY! COVERED PORCH! JUST LIKE NEW!</t>
  </si>
  <si>
    <t>Cul-de-sac, Fenced Yard, Wetlands Adjacent</t>
  </si>
  <si>
    <t>JUST LIKE NEW!  GREAT VIEWS!  UPGRADES GALORE!</t>
  </si>
  <si>
    <t>BRIDLEWOOD</t>
  </si>
  <si>
    <t>Algonquin Rd west of Barrington Rd to Bridlewood, go south</t>
  </si>
  <si>
    <t>152X3189X365X288</t>
  </si>
  <si>
    <t>Exquisite custom home in Bridlewood. 2-Story fam rm &amp; foyer w/ bridal staircase. Gourmet kit w/ cherry cabs, granite, center island &amp; breakfast bar, SS appls.  Huge office w/ cherry paneled wall, fireplace. Private mstr suite w/ sitting area, fireplace &amp; luxury bath. Bonus rm. Fin Eng. bsmt w/ wet bar, full bath, game area, exercise rm/5th bedrm. Dual staircases, 10ft ceilings on 1st flr. Paver patio w/ pond views.</t>
  </si>
  <si>
    <t>35X18</t>
  </si>
  <si>
    <t>Landscaped Professionally, Park Adjacent, Water View</t>
  </si>
  <si>
    <t>Humidifier, Water-Softener Owned, Central Vacuum, TV-Cable, Security System, Intercom, CO Detectors, Ceiling Fan, Sump Pump, Backup Sump Pump</t>
  </si>
  <si>
    <t>Bonus, Eating Area, Exercise Room, Foyer, Office, Recreation Room</t>
  </si>
  <si>
    <t>32X18</t>
  </si>
  <si>
    <t>41X18</t>
  </si>
  <si>
    <t>41X38</t>
  </si>
  <si>
    <t>Call LO. 2 HR Notice. Must Accompany</t>
  </si>
  <si>
    <t>Lakeview</t>
  </si>
  <si>
    <t>KELSEY &amp; OLD BARRINGTON EAST TO LAKEVIEW</t>
  </si>
  <si>
    <t>FLINT LAKE ESTATES</t>
  </si>
  <si>
    <t>225' X  180'</t>
  </si>
  <si>
    <t>Exceptionally well maintained solid brick 4 BD, 3.1 BA home. 2 story marble Entry w/beautiful curved staircase. Recently remodeled in last 3/4 yrs: Kitchen, All Baths, Laundry rm &amp; Basement, plus Hardwood floors added &amp; refininished.  Spacious rm sizes t/o. LL has full bar, home ofc, exercise room plus full Bath. Professionally landscaped including beautiful new paver brick patio w/fire pit. Roof,soffits,gutters~3yrs</t>
  </si>
  <si>
    <t>Voluntary</t>
  </si>
  <si>
    <t>Corner, Landscaped Professionally, Wooded</t>
  </si>
  <si>
    <t>Humidifier, Water-Softener Owned, TV-Cable, Ceiling Fan, Fan-Attic Exhaust, Sump Pump, Air Cleaner, Radon Mitigation System(s)</t>
  </si>
  <si>
    <t>Eating Area, Exercise Room, Foyer, Office, Recreation Room</t>
  </si>
  <si>
    <t>39X23</t>
  </si>
  <si>
    <t>Melanie Parsons</t>
  </si>
  <si>
    <t>(847) 772-7179</t>
  </si>
  <si>
    <t>847-772-7179</t>
  </si>
  <si>
    <t>Call showing desk: 866-852-8313</t>
  </si>
  <si>
    <t>Solid home is turn key ready for your buyers! Park like grounds! Current owner chooses to use family room area open to Kitchen as informal dining space. However, there is also a small, but adequate table space on the other side of kitchen!</t>
  </si>
  <si>
    <t>PULASKI TO 71ST EAST TO SPRINGFIELD SOUTH TO PROPERTY</t>
  </si>
  <si>
    <t>2588,23</t>
  </si>
  <si>
    <t>Must see to appreciate! This professional remodeled house with addition, is like a new constr. New: plumb, H/AC, electr with new serv, can lighting, windows, doors, roofing, garage door, roofed patio, designed hardw fl, granite kitchen with 42" cabinets and S.S/appl, front load laundry. Lg living room, dining rm. with waist coating and crown moulding.  Travertine bthr. with whirlpool &amp; XL shower,wet bar. Show @ sale!</t>
  </si>
  <si>
    <t>Security System, Backup Sump Pump</t>
  </si>
  <si>
    <t>Nicholas Confederat</t>
  </si>
  <si>
    <t>(773) 895-9495</t>
  </si>
  <si>
    <t>Call  LAG Nick 773-895-9495</t>
  </si>
  <si>
    <t>Esmond</t>
  </si>
  <si>
    <t>I-57 to 111th St, south to Monterey, west to Esmond</t>
  </si>
  <si>
    <t>Great Beginnings.   Newly Rehabbed Home!  All stainless steel appliances, granite counter tops, 42 inch cabinets.  Hardwood floors,  2 bedrooms on the first floor and 2 additional rooms on the lower level one full bath on the first floor one full bath on the lower level. Large fenced in yard, enclosed porch. Dinner at eight! Formal dining room with space for 8.   Water proofed lower level.</t>
  </si>
  <si>
    <t>14X3</t>
  </si>
  <si>
    <t>$2.5 -$150 (on Net SP)</t>
  </si>
  <si>
    <t>Sophia C Ojukwu</t>
  </si>
  <si>
    <t>(312) 428-0613</t>
  </si>
  <si>
    <t>call Listing Office remove shoes, turn off all lights and and lock all doors. Do not forget to put b</t>
  </si>
  <si>
    <t>Please remove shoes, turn off all lights and lock all doors.</t>
  </si>
  <si>
    <t>Ambrose</t>
  </si>
  <si>
    <t>Barrington Rd S to Mundhank E to "The Glen" thru Gate-Ambrose</t>
  </si>
  <si>
    <t>THE GLEN</t>
  </si>
  <si>
    <t>276X300X200X311</t>
  </si>
  <si>
    <t>Lovely brick Georgian in the heart of The Glen, South Barrington's prestigious gated community. Circular driveway, 2-story foyer, spacious rooms sizes, 3FPs, hwd. floors, curved front staircase, library w/ wall of built-ins, high ceilings, FP in MBR, huge bonus room, back staircase, large deck overlooks private yard. Enjoy Lake Adalyn for fishing, swimming &amp; boating or walk to S. Barr Park Dist. Easy access to Expway</t>
  </si>
  <si>
    <t>Pond/Lake, Water Rights, Gated Entry, Street Paved</t>
  </si>
  <si>
    <t>Oven-Double, Oven/Range, Dishwasher, Refrigerator, Freezer, Washer, Dryer, Disposal</t>
  </si>
  <si>
    <t>Common Insurance, Security, Lake Rights</t>
  </si>
  <si>
    <t>Bonus, Eating Area, Library</t>
  </si>
  <si>
    <t>Please click link below or call office at 847-381-8800.</t>
  </si>
  <si>
    <t>Please Exclude:  Gold mirrors in 2 Bathrooms; LR mirrors &amp; drapery panels</t>
  </si>
  <si>
    <t>Normal</t>
  </si>
  <si>
    <t>87th to Normal</t>
  </si>
  <si>
    <t>28X126</t>
  </si>
  <si>
    <t>4 bed, 2 bath, Chicago, IL, home. Floors and walls will need repairs also will need appliances. Brick home with spacious rooms, garage out back will need some repairs. This home will need some work before move in ready.</t>
  </si>
  <si>
    <t>Call owner at: 914-372-7516</t>
  </si>
  <si>
    <t>CastleRock REO</t>
  </si>
  <si>
    <t>Call owner for showings, and questions at: 914-372-7516. W-9 form required from selling broker with seller acceptance.  Submit offers at: www.2offer.us.</t>
  </si>
  <si>
    <t>Holly</t>
  </si>
  <si>
    <t>Butterfield Rd &amp; Kirk Rd // Butterfield Rd (West) to Pinecreek Dr (North) to Holly Ct (East) to home</t>
  </si>
  <si>
    <t>10,999 SQ FT</t>
  </si>
  <si>
    <t>Beautiful 2-story home. Open kitchen with lots of cabinets, pantry &amp; great view of the backyard. Spacious master bed with refreshing master bath. Office on 1st level possible extra bed. Full bsmt with lots of extra living space, roughed-in bath. Fantastic, fenced backyard with patio, pool &amp; cabana. This home qualifies for FHA Financing! EQUAL HOUSING OPPORTUNITY.</t>
  </si>
  <si>
    <t>Bonus, Office, Other</t>
  </si>
  <si>
    <t>Lockbox on front door. BID GO TO www.OforiREO.com NAID# REGISTRATION www.HUDHomeStore.com  FHA Insured w/Escrow (IE) $1815 SOLD AS-IS CASE# 137-232058 SQ FT 2316 HUD HOTLINE 630-701-1798 UP TO 3% CC. $100.00 DOWN PYMT (See Over Bid Rules)</t>
  </si>
  <si>
    <t>Rt. 31 South To State St. East to East Ave. South 2 Home</t>
  </si>
  <si>
    <t>75 X 150</t>
  </si>
  <si>
    <t>New Roof, New paint on interior &amp; exterior and new carpet. Owner occupants eligible for Home Warranty not to exceed $500. Owner occupants FreddieMac/HomeSteps First Look expires 12-5-14. Property eligible for HomeSteps Financing. Sold "AS IS". No survey. Taxes prorated at 100%. See mls additional info.</t>
  </si>
  <si>
    <t>Corner, Fenced Yard, Water View</t>
  </si>
  <si>
    <t>Ronald Dutner</t>
  </si>
  <si>
    <t>(847) 923-6925</t>
  </si>
  <si>
    <t>847-899-7888 cell</t>
  </si>
  <si>
    <t>FreddieMac/HomeSteps</t>
  </si>
  <si>
    <t>SHOW FOR BACK UP ONLY --  Required docs in additional info. Pre-approval or proof of funds must be submitted w/offer.Earnest money must be certified /cashiers check only.</t>
  </si>
  <si>
    <t>Wilson to Woodland Hills Road, south</t>
  </si>
  <si>
    <t>115X222X120X224</t>
  </si>
  <si>
    <t>Gorgeous gem:UPDATED baths, kitchen,hardwood!NEWER ROOF, SIDING, FURNACE, WINDOWS! Cheery kitchen open to family rm. Awesome .6 acre lot, fenced,+ privacy tree line. Newer custom 42"kitchen cabinets, Corian counters, new hardwood, open family room &amp; fireplace. Like-new baths w travertine,Italian terrazo &amp; glass shower,whirlpool. Huge screen porch. Across from park! E Z drive to I-88/ trains.Beautiful home&amp; yard!A 10!</t>
  </si>
  <si>
    <t>CO Detectors, Ceiling Fan, Fan-Whole House, Sump Pump</t>
  </si>
  <si>
    <t>Porch, Porch Screened, Storms/Screens</t>
  </si>
  <si>
    <t>2.5%-$150 ON NET SP (on Net SP)</t>
  </si>
  <si>
    <t>call Showing Time 855-746-9100</t>
  </si>
  <si>
    <t>Lovingly cared for home w/lots of hardwood, &amp; low-maint. exterior. Big-ticket items have been taken care of. Enjoy great fenced yard in awesome neighborhood! Ready for move-in.Meticulous owner offers Home Warranty!  Please use 6.0 contract.</t>
  </si>
  <si>
    <t>Take the 2nd left onto W Irving Park Rd,Right to N California Ave,Right to W Diversey Ave</t>
  </si>
  <si>
    <t>3150 SQ.FT.</t>
  </si>
  <si>
    <t>Nice single family with 4 bedrooms 2 baths, 2 car garage. Dormer attic with 3 bedrooms, family room and bath. Deck ideal for BBQ. Termo windows all around. Great location: close to shopping, quick access to 90/94 expressway, blue line and bus. Great investment. Do not loose this opportunity.</t>
  </si>
  <si>
    <t>33X18</t>
  </si>
  <si>
    <t>Oven/Range, Refrigerator, Freezer, Washer, Dryer</t>
  </si>
  <si>
    <t>Enclosed Porch, Enclosed Porch Heated, Foyer, Recreation Room</t>
  </si>
  <si>
    <t>David Fuentes</t>
  </si>
  <si>
    <t>(773) 716-8199</t>
  </si>
  <si>
    <t>Texr Listing Agent at 773-716-8199  - office &amp; name***24 hrs notice</t>
  </si>
  <si>
    <t>Huntsman</t>
  </si>
  <si>
    <t>34 to Sandy Bluff (N) to Frazier (E) To Huntsman to Home!</t>
  </si>
  <si>
    <t>377.99X357.70</t>
  </si>
  <si>
    <t>On 3 Acres!  Recently Updated/Upgraded 2,860 Sq Ft Sprawling Ranch w/4 Bedrooms &amp; 3 Full Baths &amp; Enormous Full Basement!  Great for Related Living or Guests!  Open Concept Kitchen &amp; Great Room w/Vaults!  Dramatic See-Thru F/P to Formal Living Room!  Dining Room! Decadent Master Suite! 1st Floor Laundry!  Amazing Paver Driveway! Spectacular Sunset Views!  52x43 Outbuilding! Perfect for a "Hobbiest" &amp; Zoned for Horses!</t>
  </si>
  <si>
    <t>SANDWICH MIDDLE SCHOOL</t>
  </si>
  <si>
    <t>SANDWICH COMMUNITY HIGH SCHOOL</t>
  </si>
  <si>
    <t>Breakfast Room, Foyer, Recreation Room, Workroom</t>
  </si>
  <si>
    <t>Patio, Porch, Storage Shed, Horse Barn/Pole Barn, Storms/Screens</t>
  </si>
  <si>
    <t>Garage Door Opener(s), Transmitter(s), Heated, 7 Foot or more high garage door</t>
  </si>
  <si>
    <t>Terry Anderson</t>
  </si>
  <si>
    <t>(630) 294-6378</t>
  </si>
  <si>
    <t>630.294.6378</t>
  </si>
  <si>
    <t>Call "Anderson Team" @ 630.450.6193 to Schedule Showings</t>
  </si>
  <si>
    <t>Beacon Hill</t>
  </si>
  <si>
    <t>Bartlett Rd N of Penny Rd to Beacon Hill E</t>
  </si>
  <si>
    <t>SPRING CREEK</t>
  </si>
  <si>
    <t>164X309X203X290</t>
  </si>
  <si>
    <t>All brick home. Beautiful high ceilings &amp; lots of windows  create light &amp; bright spaces!  Owners have really cared for this lovely home. First floor master suite with updated bath. Functional layout. Quality construction, school right down the street. Minutes to I-90, train &amp; shopping.</t>
  </si>
  <si>
    <t>Oven-Double, Microwave, Dishwasher, Refrigerator, High End Refrigerator, Washer, Dryer, Disposal</t>
  </si>
  <si>
    <t>Water-Softener Owned, Central Vacuum, TV Antenna, Security System, Ceiling Fan, Sump Pump</t>
  </si>
  <si>
    <t>Foyer, Game Room, Office, Recreation Room, Storage</t>
  </si>
  <si>
    <t>25X8</t>
  </si>
  <si>
    <t>36X25</t>
  </si>
  <si>
    <t>Call Showing Time @ 855-957-1347</t>
  </si>
  <si>
    <t>100th</t>
  </si>
  <si>
    <t>TAKE STATE STREET SOUTH TO 100TH STREET EAST TO PROPERTY.</t>
  </si>
  <si>
    <t>Corporate Owned. Not a foreclosure or short sale. Property being sold â€œAS-ISâ€_x009d_. Seller will not provide survey or disclosures. Taxes pro-rated at 100%. Cash only. Send proof of funds with all offers. Room sizes estimated.</t>
  </si>
  <si>
    <t>Fuqua Real Estate Services LLC</t>
  </si>
  <si>
    <t>(708) 808-9776</t>
  </si>
  <si>
    <t>Kaeva Powell</t>
  </si>
  <si>
    <t>(708) 653-8464</t>
  </si>
  <si>
    <t>CONTACT LISTING AGENT</t>
  </si>
  <si>
    <t>DISCOLORATION RELEASE MUST BE SIGNED AND EMAILED TO KAEVAPOWELL@GMAIL.COM.  ONCE PROVIDED SHOWING INSTRUCTIONS WILL BE PROVIDED.</t>
  </si>
  <si>
    <t>The Home you've been searching for..! Located in the Pool/Clubhouse/Tennis/Golf Community of Prestbury, this wonderful 4 bdrm, 2.1 bath home features Large Kitchen w/Granite &amp; SS appliances, Breakfast area w/additional sunroom w/skylights, FR w/brick gas FP, Built in shelving, 1st Flr Den, Lovely Detailed Trim, Full Fin. Bsmt, large bdrms w/WI Closets, BRAND NEW ROOF,GUTTERS &amp; SIDING BEING DONE NOW!  Like Brand NEW!</t>
  </si>
  <si>
    <t>Humidifier, Water-Softener Owned, Central Vacuum, Security System, CO Detectors, Ceiling Fan, Sump Pump, Sprinkler-Lawn</t>
  </si>
  <si>
    <t>Breakfast Room, Recreation Room, Sun/Florida Room</t>
  </si>
  <si>
    <t>2.5% LESS $250 (on Gross SP)</t>
  </si>
  <si>
    <t>Keith Dickerson</t>
  </si>
  <si>
    <t>(888) 777-1165</t>
  </si>
  <si>
    <t>Fax 630-735-5105</t>
  </si>
  <si>
    <t>Call showing company 877-977-1010 1 hr show please</t>
  </si>
  <si>
    <t>Take S State to 107th, Take 107th E to Forest, Take Forest S to House.</t>
  </si>
  <si>
    <t>This beautiful, recently rehabbed 4 bedroom, 3 bathroom Cape Cod is brimming with special features and brand new additions. The stunning kitchen boasts stainless steel appliances, granite counters and upgraded cabinets. The basement has been completely refinished and offers a laundry room, bonus bedroom and family room. With gleaming hardwood floors, a 2-car garage and a great price, it's a must see!</t>
  </si>
  <si>
    <t>Kedzie to 78 W. to Spaulding S. to property</t>
  </si>
  <si>
    <t>3750 SF</t>
  </si>
  <si>
    <t>Brick 1 Story close to transportation, schools &amp; shopping. This is a great starter home. Bank owned..being sold in "as-is" condition. Plz Note: No survey or termite inspection &amp; taxes R prorated 100%. Buyers responsible for all city requirements, if any. Sellers Addendums will B forwarded only after an accepted offer. *Seller does not guaranty vacancy at close of escrow.</t>
  </si>
  <si>
    <t>Negotiable, Tenant's Rights</t>
  </si>
  <si>
    <t>Call Listing Office (NOT AGENT) Need 48hrs Notice- Tenant Occupied.</t>
  </si>
  <si>
    <t>Plz download All Attached Forms-Required w/all sales contracts. *Email all offers. **Tenant Occupied- Need 48hrs Notice for all showings.**</t>
  </si>
  <si>
    <t>115th</t>
  </si>
  <si>
    <t>115th St to St Louis south to 115th Pl West to home</t>
  </si>
  <si>
    <t>Solid brick home with two car garage on an oversize Chicago lot just waiting for you to make it your own.  Quick and easy show. Newly remodeled tub and surround in main bathroom! Recent improvements to kitchen!  Must See!!!</t>
  </si>
  <si>
    <t>Pool, Curbs/Gutters, Sidewalks, Street Lights, Street Paved</t>
  </si>
  <si>
    <t>TV-Cable, TV Antenna, Ceiling Fan</t>
  </si>
  <si>
    <t>Pool Above Ground, Storms/Screens</t>
  </si>
  <si>
    <t>2.75-$175 (on Net SP)</t>
  </si>
  <si>
    <t>HomeSmart Realty Group</t>
  </si>
  <si>
    <t>(708) 320-0002</t>
  </si>
  <si>
    <t>James Baker</t>
  </si>
  <si>
    <t>(708) 935-6151</t>
  </si>
  <si>
    <t>Easy show - Sentrilock</t>
  </si>
  <si>
    <t>Tub and surround just remodeled! Improvements made to kitchen!</t>
  </si>
  <si>
    <t>Windmill</t>
  </si>
  <si>
    <t>County Farm N to Schick W to Windmill Left to home</t>
  </si>
  <si>
    <t>MEADOWS</t>
  </si>
  <si>
    <t>SWEETBRIAR</t>
  </si>
  <si>
    <t>Approved short sale for list price. Awesome well kept 2 story with interior lot. Custom kitchen with newer maple cabinets, granite counters, ceramic backsplash and floor, SS sink and newer appliances. Living room with can lights. Master with WIC and master bath with soaking tub and separate shower. Large deck and fenced in yard. Partially finished basement. Minutes to everything.</t>
  </si>
  <si>
    <t>ELSIE JOHNSON ELEMENTARY SCHOOL</t>
  </si>
  <si>
    <t>STRATFORD MIDDLE SCHOOL</t>
  </si>
  <si>
    <t>GLENBARD NORTH HIGH SCHOOL</t>
  </si>
  <si>
    <t>45X11</t>
  </si>
  <si>
    <t>Call office</t>
  </si>
  <si>
    <t>25  X 159</t>
  </si>
  <si>
    <t>Call David 708 261 6204 or Davidolaoye10@gmail.com</t>
  </si>
  <si>
    <t>Chicago Street to Villa Street South to St. Charles Street, Corner of St. Charles and Watch Street</t>
  </si>
  <si>
    <t>72 X 82 X 72 X 90</t>
  </si>
  <si>
    <t>Great opportunity to own this 4 bedroom 1.1 bath two story home with basement that features an open layout, terrific front porch and tons of potential. Just minutes from public transportation, expressways and shopping.  TAXES PRORATED AT 100%, BUYER IS RESPONSIBLE FOR SURVEY IF REQUIRED.</t>
  </si>
  <si>
    <t>GARFIELD ELEMENTARY SCHOOL</t>
  </si>
  <si>
    <t>CALL SHOWING DESK AT 888-362-3222 OR LO AFTER 5 PM</t>
  </si>
  <si>
    <t>TAXES PRORATED AT 100%, BUYER IS RESPONSIBLE FOR SURVEY IF REQUIRED. BUYER IS RESPONSIBLE FOR VILLAGE INSPECTION REPAIRS FOUND UNDER ADDTIONAL INFORMATION.  H&amp;B due 02-18-2015 3 pm.</t>
  </si>
  <si>
    <t>AUSTIN TO ROSCOE ,SOUTH TO PROPERTY</t>
  </si>
  <si>
    <t>SPECTACULAR,NEWLY REMODELED large Georgian. Open floor plan. Hardwood floors 1st &amp; 2nd floor.New:windows, arch doors, trims, cherry kitchen w/granite,breakfast bar,ss appliances.Updated baths w/new fixtures &amp; tile work.Refinished dry basement w/new carpet: family room,office &amp; laundry.New:roof, HVAC, H2O heater, washer/dryer,paint,patio.Updated electric &amp; plumbing fixtures.Flood prevention installed for peace of mind</t>
  </si>
  <si>
    <t>17X25</t>
  </si>
  <si>
    <t>Smart Investment Realty</t>
  </si>
  <si>
    <t>(224) 723-5412</t>
  </si>
  <si>
    <t>Jane Rapoport</t>
  </si>
  <si>
    <t>(847) 341-7090</t>
  </si>
  <si>
    <t>Use Schedule a Showing button below, or text @847-341-7090, or e-mail: jra0055@gmail.com</t>
  </si>
  <si>
    <t>Listing broker is partial owner. This is NOT a foreclosure, and NOT a short sale - can close ASAP.   House is near Chopin Park, sign is in the window. Please us MLS 5.0 or MLS 6.0 contract.</t>
  </si>
  <si>
    <t>ASHLAND TO ALTGELD (2500N) WEST TO MARSHFIELD, NORTH TO PROPERTY</t>
  </si>
  <si>
    <t>Impeccably maintained SFH in great Lincoln Park location. Graciously sized rms w/hdwd flrs &amp; detailed finishes thruout, incldg 6 skylights that provide an abundance of nat light. Main lvl serves as an entertainerâ€™s paradise w/open floorplan &amp; chefâ€™s kit. Huge mstr ste w/balc, WIC &amp; luxe ba w/spa shwr &amp; sep tub. Fab LL w/wet bar, frplc &amp; addtl bed/ba. Gorgeous 2 lvl deck provides plenty of outdr spc for entertaining.</t>
  </si>
  <si>
    <t>Whirlpool, Separate Shower, Double Sink, Full Body Spray Shower, Double Shower</t>
  </si>
  <si>
    <t>Email ESWshowings@atproperties.com</t>
  </si>
  <si>
    <t>Exclusions: Master bedroom light fixture and living room light fixture.</t>
  </si>
  <si>
    <t>CARPENTER-LOT 266</t>
  </si>
  <si>
    <t>LANSING</t>
  </si>
  <si>
    <t>APPROX .75 ACRES</t>
  </si>
  <si>
    <t>BUILD THIS BEAUTIFUL LANSING MODEL. PRICING &amp; PROMOTIONS SUBJECT TO CHANGE W/O NOTICE.  SOLD BEFORE PROCESSING</t>
  </si>
  <si>
    <t>Breakfast Room, Den, Mud Room, Sitting Room</t>
  </si>
  <si>
    <t>Rt. 20 W of Randall to Nesler S2 South Street E2 Mooresfield R2 Primrose L2 Home</t>
  </si>
  <si>
    <t>WILKINSON</t>
  </si>
  <si>
    <t>66X125</t>
  </si>
  <si>
    <t>Large Home w/ 2.5 Car Garage.Great Condition.Open Flr Pln. Large L/R and D/R.1st Flr Den. Inviting F/R w/ Stone F/P.Huge Eat-In Kitchen w/ Upgraded Cabs,Island &amp; SS Appliances. Brand new granite kitchen and bathroom counters. Elevated Deck Overlooking Beautiful Landscaped Back Yard w/ Outdoor F/P. Master Suite w/ Private Bath &amp; 2 Closets. Right by a park, close to I-90 and 301 Burlington School District!</t>
  </si>
  <si>
    <t>Oven/Range, Microwave, Dishwasher, Refrigerator-Bar, Washer, Dryer</t>
  </si>
  <si>
    <t>Deck, Outdoor Fireplace</t>
  </si>
  <si>
    <t>3% - $295 (ON NET SP) (on Net SP)</t>
  </si>
  <si>
    <t>Allen Lau</t>
  </si>
  <si>
    <t>CALL LO 847-931-7500</t>
  </si>
  <si>
    <t>New paint and granite counter tops.</t>
  </si>
  <si>
    <t>4N565</t>
  </si>
  <si>
    <t>Snowbird</t>
  </si>
  <si>
    <t>Rte 64 W of Lafox Rd to Snowbird N</t>
  </si>
  <si>
    <t>235X266X160X262</t>
  </si>
  <si>
    <t>Tastefully updated horse property on 1.24 acres includes full service barn &amp; pastures. Across from 300 acre riding trail! Hardwood throughout entire home! Gourmet kitchen w/granite counters &amp; pro grade stainless appliances. Vaulted &amp; beamed family room, huge living room &amp; formal dining room. Master w/private bath. Wraparound front porch, two backyard decks, firepit, pond w/fountain. Nothing to do but move in &amp; enjoy!</t>
  </si>
  <si>
    <t>Corner, Fenced Yard, Horses Allowed, Landscaped Professionally, Paddock, Pond</t>
  </si>
  <si>
    <t>Deck, Porch, Horse Barn/Pole Barn, Storms/Screens, Outdoor Fireplace</t>
  </si>
  <si>
    <t>Call 855-919-0377</t>
  </si>
  <si>
    <t>Washer included as-is.</t>
  </si>
  <si>
    <t>Deerpoint</t>
  </si>
  <si>
    <t>RT 71 TO RAINTREE L TO PARKSIDE L TO DEERPOINT</t>
  </si>
  <si>
    <t>Raintree Village</t>
  </si>
  <si>
    <t>90X132</t>
  </si>
  <si>
    <t>WANT A NEW HOME FOR THE HOLIDAYS? We are ready to go! New carpet, fresh paint!   9' Ceilings on main floor and full walk-out basement with so much potential!  Vaulted Master Suite with walk in closet and private bath! 1st floor laundry/mud room off garage.  Pool and clubhouse community, middle school on site. Check the comps this is a great price! SSA tax collected in tax bill. This is a Fannie Mae Homepath property.</t>
  </si>
  <si>
    <t>Karen Robertson, BPOR,e-PRO,GRI,SRS</t>
  </si>
  <si>
    <t>(815) 482-8734</t>
  </si>
  <si>
    <t>As is 100% prorations, no survey/termite, buyer pays transfer tax.SSA in tax bill PLEASE MAKE SURE YOUR BUYER AND THEIR LENDER KNOW WHAT THIS IS! "Act now - $1000 Buyer's Agent Bonus! MUST ASK FOR AT OFFER- Click HomePath.com for detail</t>
  </si>
  <si>
    <t>Sterling</t>
  </si>
  <si>
    <t>Thornwood Drive to Lansbrook (W) to Sterling (N) to House</t>
  </si>
  <si>
    <t>Custom Sterling built home in Lansbrook of Thornwood w/3car side load garage, brk front, cedar siding &amp; wd shake roof. Open floor plan w/2sty foyer, vaulted LR ceiling and hardwood floors. Gourmet cherry cabinet kit. Spacious FR w/vaulted ceiling &amp; gorgeous masonry FP.  Whirlpool tub and separate sitting room in the master suite. Brick paver patio and backing to green belt. Expansive tray ceilings in all BRs.</t>
  </si>
  <si>
    <t>19X24</t>
  </si>
  <si>
    <t>Recreation Room, Sitting Room, Other</t>
  </si>
  <si>
    <t>20X37</t>
  </si>
  <si>
    <t>Realty Professionals Inc</t>
  </si>
  <si>
    <t>(847) 931-7988</t>
  </si>
  <si>
    <t>Lee Ovington</t>
  </si>
  <si>
    <t>(847) 931-7988x101</t>
  </si>
  <si>
    <t>Call Showings.com 877-977-1010</t>
  </si>
  <si>
    <t>4th</t>
  </si>
  <si>
    <t>Randall Rd. to Rt.64 East to 7Th St. south to  Prairie east  to 4th Street south to home</t>
  </si>
  <si>
    <t>50' X 132'</t>
  </si>
  <si>
    <t>HUGE PRICE DROP!BEAUTIFUL NEW CONSTRUCTION in town St.Charles! Minutes to Metra, schools, Shopping &amp; down town Geneva!.EnergyStar Built Home has 2x6 construction, 10' 1st Fl.Walls, 8' 1st Fl. Interior Doors, Oversized Crown, Base &amp; Casings.Gorgeous kitchen!Hdw. Fls. 1st. &amp; 2nd Fl. foyer!4 bed rms., 3.5 Baths w/Granite, Custom Kitchen Cabinets w/Granite &amp; SS Appliances, LR w/french doors/den! Rear Patio &amp;3 Car Garage</t>
  </si>
  <si>
    <t>Breakfast Room, Foyer, Pantry, Walk In Closet</t>
  </si>
  <si>
    <t>To schedule showing use showing assist button</t>
  </si>
  <si>
    <t>Emerald Homes</t>
  </si>
  <si>
    <t>Beautiful new construction! Please remove shoes, leave card, make sure all lights are off and doors secure. Stunning Energy Star custom home! Incentive for buyers using DHI Mortgage. Emerald Homes contract MUST be used after 5.0 received.</t>
  </si>
  <si>
    <t>63RD STREET TO MENARD NORTH TO HOME.</t>
  </si>
  <si>
    <t>RANCH/BMT</t>
  </si>
  <si>
    <t>BEAUTIFUL FULLY RENOVATED HOME FEATURES 4 BEDROOMS AND 3 BATHROOMS, BRAND NEW HARDWOOD FLOORS, LARGE FINISHED BASEMENT, 2 CAR GARAGE, AND A BEAUTIFUL NEW WOOD DECK.  MUST SEE TODAY!</t>
  </si>
  <si>
    <t>Anna Rafacz</t>
  </si>
  <si>
    <t>(773) 814-5042</t>
  </si>
  <si>
    <t>CALL L.A. ANNA 773-814-5042</t>
  </si>
  <si>
    <t>EXPERT RENOVATIONS LTD</t>
  </si>
  <si>
    <t>HALSTED NORTH OR SOUTH TO 91ST EAST TO UNION</t>
  </si>
  <si>
    <t>25X 125</t>
  </si>
  <si>
    <t>BANK OWNED HOME, LOWER PRICE FOR QUITE SALE. BRICK/FRAME 3+1 BR AND 3.1 BATH WITH OPEN KITCHEN, GRANITE COUNTER TOPS AND CUSTOM CABINETS.</t>
  </si>
  <si>
    <t>2% -200 (on Net SP)</t>
  </si>
  <si>
    <t>Anchor Realty Group, Inc</t>
  </si>
  <si>
    <t>(773) 768-8300</t>
  </si>
  <si>
    <t>Harriett Martin</t>
  </si>
  <si>
    <t>Chase</t>
  </si>
  <si>
    <t>TOUHY TO ALBANY.  ALBANY NORTH TO CHASE. EAST TO 3046</t>
  </si>
  <si>
    <t>JUMBO RANCH</t>
  </si>
  <si>
    <t>SPACIOUS RANCH ON MOST DESIRABLE STREET!!! READY FOR YOUR CREATIVE IDEAS.  THIS HUGE RANCH HAS SO MUCH POTENTIAL TO BECOME AN EVEN BIGGER HOME ON AN OVERSIZED 40 FOOT LOT IN THE CITY!!SIDE DRIVE TO A BACK YARD 2-CAR GARAGE WITH PLENTY OF YARD LEFT OVER!SPACIOUS EAT-IN KITCHEN/HWD FLOORS THRUOUT. 2 BATHS, EXTRA 2 BEDRMS WITH PLAYROOMS IN FINISHED BASEMENT. BONUS RM IN BAS., LG MASTER BDRM. SELLER MUST SELL NOW!</t>
  </si>
  <si>
    <t>Enclosed Porch, Office, Utility Room-Lower Level, Other</t>
  </si>
  <si>
    <t>Prop R T Group</t>
  </si>
  <si>
    <t>(773) 294-0966</t>
  </si>
  <si>
    <t>Suzanne Ballew</t>
  </si>
  <si>
    <t>CALL BARB AT 847 962 -9491 TO SEE OR SHOW THRU DECEMBER</t>
  </si>
  <si>
    <t>GOLDBLATT</t>
  </si>
  <si>
    <t>THIS HOME IS A SLEEPER-MUCH MORE SPACE THAN APPEARS-HAS GREAT POTENTIAL FOR ADDING ON AND UP-EVEN NEW CONSTRUCTION/  DO NOT MISS THE OPPORTUNITY ON A TRULY GREAT STREET--LOCATION!LOCATION!LOCATION!!</t>
  </si>
  <si>
    <t>Stott</t>
  </si>
  <si>
    <t>S Stott St to address</t>
  </si>
  <si>
    <t>100X150</t>
  </si>
  <si>
    <t>1536 Sq Ft 2 Story home with 4 bedrooms and 1 bath. Covered front porch. Has a detached 3 car garage. Hardwood flooring through out. Separate dining room. Located close to Rt 72.</t>
  </si>
  <si>
    <t>3.0% C AGT RMKS (on Gross SP)</t>
  </si>
  <si>
    <t>Key Realty Inc.</t>
  </si>
  <si>
    <t>(815) 713-1100</t>
  </si>
  <si>
    <t>John Murray</t>
  </si>
  <si>
    <t>Use automated showing system.</t>
  </si>
  <si>
    <t>C/O LISTING OFFICE</t>
  </si>
  <si>
    <t>Submit offers to www.offerrunway.com. Buyer to verify all information. Min Commission $1500. Employees of Bank of  America or its affiliates/subsidiaries are strictly prohibited from directly/indirectly purchasing any property owned by BOA.</t>
  </si>
  <si>
    <t>Cold Spring</t>
  </si>
  <si>
    <t>Lake Cook Rd. W of Ela to Coldspring Rd.</t>
  </si>
  <si>
    <t>224X110X280X138</t>
  </si>
  <si>
    <t>Fabulous Fox Point Georgian! New high-end Pella windows, new roof, gutters/downspouts .  Wonderful, deep and park-like back yard.   Kitchen with stainless refrigerator and range just waiting for your new ideas. NEW: electric panel, hot water heater, furnace/humidifier, water softener, outdoor spigots, shut off valves and all entry doors. Terrific basement, recently finished with high-end flooring.</t>
  </si>
  <si>
    <t>Clubhouse, Park/Playground, Pool, Tennis Courts, Pond/Lake, Water Rights</t>
  </si>
  <si>
    <t>Humidifier, Water-Softener Owned, TV-Cable, Security System, CO Detectors, Sump Pump, Backup Sump Pump</t>
  </si>
  <si>
    <t>Bar-Dry, Hardwood Floors, 1st Floor Laundry</t>
  </si>
  <si>
    <t>Kari Frankenberg, e-PRO,SFR</t>
  </si>
  <si>
    <t>(847) 477-1553</t>
  </si>
  <si>
    <t>call LO 847-381-8800 or schedule a showing</t>
  </si>
  <si>
    <t>Please exclude washer, dryer and basement refrigerator, and curtains in upstairs bedrooms/baths.  New roof, gutters and downspouts just added Sept. 2014!</t>
  </si>
  <si>
    <t>MCDOLE</t>
  </si>
  <si>
    <t>HANKES TO NORRIS TO MCDOLE TO HOME</t>
  </si>
  <si>
    <t>11194 SQ FT</t>
  </si>
  <si>
    <t>BEAUTIFUL SPACIOUS HOME/FOUR LARGE BEDROOMS/TWO AND A HALF BATHROOMS/TWO CAR ATTACHED GARAGE/FIREPLACE/HUGE BACKYARD/FULL UNFINISHED BASEMENT/NEAR I-88/SOLD AS IS/PROOF OF FUNDS REQUIRED/SUBMIT THE PURCHASE OFFER FORM UNDER ADDITIONAL INFO WITH ALL OFFERS/FAX OFFERS TO THE OFFICE/SELLER WILL NOT RESPOND TO OFFERS UNTIL THE PROPERTY HAS BEEN ON THE MARKET FOR 8-10 DAYS.</t>
  </si>
  <si>
    <t>75TH STREET, EAST OR WEST TO MARYLAND, SOUTH TO PROPERTY</t>
  </si>
  <si>
    <t>Gently handled gated home is equipped with bells and whistles; 4 HUGH BRs w/berber carpet (3up/1 down); 3 full baths&amp; a powder room; Hardwood floors, recessed lighting, crown molding, closets galore, fireplace, high end Aristokraft cabinets in kitchen/baths, granite countertops, island &amp; breakfast bar, walk-in pantry, skylight. Privacy fence, deck and 2.5 car garage. "Short Sale" all reasonable offers considered.</t>
  </si>
  <si>
    <t>Enterprise R.E. Consortium LLC</t>
  </si>
  <si>
    <t>(312) 835-5345</t>
  </si>
  <si>
    <t>Erma Davis</t>
  </si>
  <si>
    <t>(312) 519-3468</t>
  </si>
  <si>
    <t>Call Erma @ 312-519-3468</t>
  </si>
  <si>
    <t>Chesapeake</t>
  </si>
  <si>
    <t>Randall or Rt 31 to Red Gate Rd to Chesapeake to 3606</t>
  </si>
  <si>
    <t>RED GATE</t>
  </si>
  <si>
    <t>124X228X84X229</t>
  </si>
  <si>
    <t>Like new and ready to move into immediately! Custom 1 owner J Carl home in Red Gate.  Close to North High School.  New paint, new carpet, refinished hardwood floors, newer roof (2012) , newer HVAC (2011), newer ss appliances. This home boasts a front and back staircase, 4 bedrooms and 3 full bathrooms on the 2nd floor. A full deep pour english basement plus a 4 car garage. Huge 1/2 acre lot. City water &amp; sewer.</t>
  </si>
  <si>
    <t>TV-Cable, TV-Dish, Security System, Sump Pump</t>
  </si>
  <si>
    <t>Immediate Occupancy.</t>
  </si>
  <si>
    <t>Wynstone</t>
  </si>
  <si>
    <t>2.5 miles N of Rte 22 on Rand Rd (Rte 12)past Miller to Wynstone Service Entrance (Main gate closed)</t>
  </si>
  <si>
    <t>WYNSTONE</t>
  </si>
  <si>
    <t>ULTIMATE UPDATE!</t>
  </si>
  <si>
    <t>162 X 278 X 163 X 273</t>
  </si>
  <si>
    <t>The Heartland, innovative, renovated &amp; definitely custom farmhouse complete with a white picket fence and paver porch &amp; old fashion Butler Room! The white kitchen w granite counters and top of the line SS appliances beckons the family for supper before retiring within 1 of 4 enormous bedrooms. Hardwood floors t/o. New Roof 7/14, updated baths w cherry vanities w granite, oil rub bronze hardware, 2 bars, crisp &amp; new</t>
  </si>
  <si>
    <t>Park/Playground, Pond/Lake, Curbs/Gutters, Gated Entry, Street Lights, Street Paved</t>
  </si>
  <si>
    <t>Oven-Double, Microwave, Dishwasher, High End Refrigerator, Refrigerator-Bar, Washer, Dryer, Disposal, All Stainless Steel Kitchen Appliances</t>
  </si>
  <si>
    <t>Chain of Lakes Frontage, Cul-de-sac, Landscaped Professionally, Wooded</t>
  </si>
  <si>
    <t>Humidifier, Water-Softener Owned, Security System, CO Detectors, Sump Pump, Backup Sump Pump</t>
  </si>
  <si>
    <t>Deck, Eating Area, Foyer, Gallery, Game Room, Pantry, Recreation Room</t>
  </si>
  <si>
    <t>35X30</t>
  </si>
  <si>
    <t>30X6</t>
  </si>
  <si>
    <t>2.5%-$250  SELLING AGENT MUST PHYSICALLY VIEW THE PROPERTY IN ORDER TO BE COMPENSATED. (on Gross SP)</t>
  </si>
  <si>
    <t>Marsha Ulbrich</t>
  </si>
  <si>
    <t>847-344-8630</t>
  </si>
  <si>
    <t>Appointment required, call 847-43806200, Agent accompany, call agent direct after hours 847-344-8630</t>
  </si>
  <si>
    <t>Southern exposure, ginormous English, ample storage, new inside and out, top to bottom, 2 newer hvacs, PIPED central vac, 22 x 10 laundry room, fab millwork w box beam foyer, 22x10 laundry room. great yard for flashlight tag &amp; tag football!</t>
  </si>
  <si>
    <t>Gorgeous stone exterior with front porch on this 4 bedroom, 2.5 bath home with deep pour basement.Kitchen features many upgrades - stainless appliances, birch  staggered cabinets with crown molding ,10 ft quartz island.  Butlers pantry between kitchen and dining room provides a nice serving area as well as extra storage. Oak rails add to the upscale look. Luxury master bath. Master Closet is Amazing. WOW! Ready now!</t>
  </si>
  <si>
    <t>Shakes, Stone, Other</t>
  </si>
  <si>
    <t>Please stop by sales center at 3301 Stratton Street to register client. We are open daily.</t>
  </si>
  <si>
    <t>Please register client at sales center located at 3301 Stratton Street, Elgin. Phone number  is (847) 984-4616. We are open from 10Am to 6PM daily, except Monday from 1PM to 6PM. Ask about financing incentives for using builder's lender.</t>
  </si>
  <si>
    <t>Halsted</t>
  </si>
  <si>
    <t>Halsted to 87th south to address</t>
  </si>
  <si>
    <t>SUPERB MAINTENACE FREE EXTERIOR AND GREAT CURB APPEAL HERE!  CLOSE TO TRANSPORTATION TOO!  CONVENIENT COMFY KITCHEN, SPACIOUS ROOMS AND FLEXIBLE FLOOR PLAN  MAKE THIS A REAL WINNER</t>
  </si>
  <si>
    <t>3% OR 1250$ WHICHEVER IS GREATER (on Gross SP)</t>
  </si>
  <si>
    <t>EMAIL OFFERS TO BARB@PRSREALTORS.COM  USE ATTACHED COVERSHEET WITH YOUR OFFEREmployees and family members residing with employees of JPMorgan Chase Bank, N.A, its affiliates or subsidiaries are strictly prohibited from directly or indirectl</t>
  </si>
  <si>
    <t>Devoe</t>
  </si>
  <si>
    <t>Rt 30 &amp; Rt 34 (Ogden), S on Rt 30 to split onto Harvey Rd. East on Townsend, N on Devoe to address.</t>
  </si>
  <si>
    <t>BUCKINGHAM</t>
  </si>
  <si>
    <t>51X116X159X20X164</t>
  </si>
  <si>
    <t>Immaculate home with Beautiful view of Lake, Playground and Walking Trails. 4 bedroom, 2.1 bath with 1st fl Den/Office. 9ft ceiling on 1st fl, deep pour basement, Hdwd fls, 42â€_x009d_ cherry cabinets with SS appliances. Custom Paver Patio with built in fire pit and seat walls.  Expd Family room with fireplace.</t>
  </si>
  <si>
    <t>Cul-de-sac, Irregular, Water View</t>
  </si>
  <si>
    <t>Sump Pump, Backup Sump Pump, Radon Mitigation System(s)</t>
  </si>
  <si>
    <t>Brick Paver Patio, Storms/Screens, Outdoor Fireplace</t>
  </si>
  <si>
    <t>Carla Tsoris</t>
  </si>
  <si>
    <t>(630) 337-5440</t>
  </si>
  <si>
    <t>Use show assist or call LA 630-337-5440. 2 hrs notice please</t>
  </si>
  <si>
    <t>June</t>
  </si>
  <si>
    <t>Route 14 W of Lake Cook Road to June Left</t>
  </si>
  <si>
    <t>66X139</t>
  </si>
  <si>
    <t>Charming updated Dutch Colonial is just a short walk to town. Features recently updated kitchen with granite counters and SS appliances, updated baths, hardwood floors, huge family room addition with french doors to large deck. Mud room off kitchen, office with built in shelving and cabinets, bonus 3rd level tandem bedrooms. Large landscaped backyard with mature trees. A must see.</t>
  </si>
  <si>
    <t>Michael Pochron, CNC</t>
  </si>
  <si>
    <t>(708) 707-9411</t>
  </si>
  <si>
    <t>Showing assist</t>
  </si>
  <si>
    <t>Broker related to seller. Sold before processing.</t>
  </si>
  <si>
    <t>Hendee</t>
  </si>
  <si>
    <t>RT 31  SOUTH OF CHICAGO TO WALNUT EAST TO HENDEE SOUTH TO HOME.</t>
  </si>
  <si>
    <t>130X50</t>
  </si>
  <si>
    <t>SPACIOUS HOME ON BEAUTIFUL LANDSCAPED CORNER LOT THAT OFFERS BRAND NEW KITCHEN CABINETS, SS APPLIANCES, CERAMIC TILE, WINDOWS, PLUMBING, ELECTRICAL PANEL, GUTTERS, GARAGE DOOR OPENER, WATER HEATER &amp; CARPET. HARDWOOD FLOORS WERE REFURBISHED. FRESHLY PAINTED INSIDE AND OUT.</t>
  </si>
  <si>
    <t>10X25</t>
  </si>
  <si>
    <t>2.5%-$175.00 ADMIN FEE (on Gross SP)</t>
  </si>
  <si>
    <t>Fern Niewinski</t>
  </si>
  <si>
    <t>FNIEWINSKI@GMAIL.COM</t>
  </si>
  <si>
    <t>CALL LISTING AGENT AT 630-546-2495; take off shoes, leave card-AGENT MUST ACCOMPANY!</t>
  </si>
  <si>
    <t>CALL OR TEXT LISTING AGENT FOR APPT. 630-546-2495  INCLUDE OFFICE, NAME AND AGENT ID IN TEXT</t>
  </si>
  <si>
    <t>WALSH</t>
  </si>
  <si>
    <t>RT 47 2 GREENBRIAR RD W2 WALSH DRIVE N2 HOME</t>
  </si>
  <si>
    <t>GREENBRIAR</t>
  </si>
  <si>
    <t>HERITAGE</t>
  </si>
  <si>
    <t>109X105X312,47,375</t>
  </si>
  <si>
    <t>LOOK WHAT WE HAVE HERE!!! Better than NEW &amp; Ready for YOU!  This Stylish Crestview Built Home on near acre offers Beautiful Spaces...The Foyer features a Turned Staircase &amp; Hardwood Floors, &amp; Opens to a Formal Dining, &amp; 27' Great Room. Spacious Kitchen features Custom Maple Cabinets, Island, &amp; Breakfast Rm which leads to Paver Patio.  4 BR's includes a Master Bath Suite w/2 WI Closets. Professionally Landscaped too!</t>
  </si>
  <si>
    <t>Breakfast Room, Foyer, Great Room</t>
  </si>
  <si>
    <t>Attached Fireplace Doors/Screen, Gas Logs, Heatilator Type System</t>
  </si>
  <si>
    <t>Fabric Window Treatment not included, but all the Wood Blinds &amp; Rods will stay.</t>
  </si>
  <si>
    <t>2635 MEDILL LLC#2348885. DELIVERY APRIL 2015. PHOTOS ARE OF A SIMILAR HOME BUILT AND ARE NOT AN EXACT REPRESENTATION OF THE LISTED HOME.Commission on base price.</t>
  </si>
  <si>
    <t>16 ST  TO KEELER   SOUTH ON EAST SIDE OF STREET</t>
  </si>
  <si>
    <t>MOVE  RIGHT IN  ////   FRESH PAINT ///   NEW CARPET  ///  NEW KITCHEN CABINETS ///  ALSO A   GREAT  INVESTMENT  ///   BUYERS AGENT MUST GO WITH BUYER FOR THE SHOWING  ///  " AS - IS "</t>
  </si>
  <si>
    <t>Joe Mitchell</t>
  </si>
  <si>
    <t>(224) 828-8969</t>
  </si>
  <si>
    <t>224.828.8969</t>
  </si>
  <si>
    <t>GO AND SHOW AGENT MUST ACCOMPANY CLIENT</t>
  </si>
  <si>
    <t>OOF</t>
  </si>
  <si>
    <t xml:space="preserve"> AS IS  $ 500 BOUNS IF SOLD BY 4-15 2015</t>
  </si>
  <si>
    <t>IRVING PARK EAST OF AUSTIN TURN NORTH ON MANGO</t>
  </si>
  <si>
    <t>PORTGAGE PARK ESTATE SALE-READY FOR A QUICK CLOSE!!!LARGE 2 STORY  SINGLE FAMILY HOME WITH A LAYOUT OF 2 FLAT OFFERS OVER 1700 SQFT OF LIVING SPACE .2 BEDROOMS ON EACH FLOOR WITH SEPARATE LIVING/DINING ROOMS,LARGE KITCHENS.HARDWOOD FLOORS UNDER CARPETING,1-ST FLOOR 9 FT CEILINGS,NATURAL WOODWORK.FULL  UNFINISHED BASEMENT,FENCED YARD WITH 2 CAR GARAGE.HOME NEEDS LITTLE TLC AND SELLS AS-IS DUE TO ESTATE.</t>
  </si>
  <si>
    <t>2nd Kitchen, Eating Area, Recreation Room</t>
  </si>
  <si>
    <t>3%-250 (on Net SP)</t>
  </si>
  <si>
    <t>Joanna Obara, SRES</t>
  </si>
  <si>
    <t>(773) 594-7650</t>
  </si>
  <si>
    <t>FAX 708-667-7006</t>
  </si>
  <si>
    <t>CALL L/O EASY TO SHOW</t>
  </si>
  <si>
    <t>BROKER AND OWNER DO NOT REPRESENT THE LEGALITY OF THE 2ND FLOOR APARTMENT.PROPERTY IS CURRENTLY TAXED AS A SINGLE FAMILY HOME.  SELLS AS-IS DUE TO ESTATE!!!SORRY,NO FHA LOANS!!!</t>
  </si>
  <si>
    <t>Matena</t>
  </si>
  <si>
    <t>Douglas to Old Post to Matena</t>
  </si>
  <si>
    <t>126X69</t>
  </si>
  <si>
    <t>Spacious 4 bedroom with remodeled bathrooms. Large fenced backyard  featuring a perennial garden backs to walking/bike path. 2 blocks from Old Post Elem. Nice flow throughout. Upgraded eat in kitchen features new appliances, large island &amp; gorgeous tile. Gleaming hardwood on the first floor, remodeled dining room,neutral living and fam. room make for a warm welcome.Tons of storage and entertaining space in basement.</t>
  </si>
  <si>
    <t>Rebecca Cavins</t>
  </si>
  <si>
    <t>630-340-0901</t>
  </si>
  <si>
    <t>USE "SCHEDULE A SHOWING" Remove shoes and secure property.</t>
  </si>
  <si>
    <t>The 2nd bedroom next to the master is used as a sitting room for the master. The doors are in the basement and the current homeowners installs them when company visits to use the 2nd bedroom as a guest room with pull out couch.</t>
  </si>
  <si>
    <t>BETWEEN DEVON &amp; NORTHWEST HWY</t>
  </si>
  <si>
    <t>46X125</t>
  </si>
  <si>
    <t>NORWOOD PARK!! EXCEPTIONAL SUNNY 4 BEDROOM RAISED RANCH! REMODELED EAT IN  KITCHEN, NEWER WINDOWS, NEWER ROOF, HARDWOOD FLOORS. SPECTACULAR FINISHED BASEMENT HAS WET BAR, FULL BATH, LAUNDRY &amp; 4TH BEDROOM. HOME SITUATED ON A LARGE CORNER LOT AT NAGLE &amp; SIDE STREET NEWBURG, SO PLENTY OF SIDE STREET PARKING! CHARMING LANDSCAPED YARD. BRING YOUR FUSSIEST BUYERS!!</t>
  </si>
  <si>
    <t>Dympna Fay-Hart</t>
  </si>
  <si>
    <t>ROSEBUSH</t>
  </si>
  <si>
    <t>RT 71 TO PARADISE PKWY TO CARNATION L TO ROSEBUSH RT</t>
  </si>
  <si>
    <t>LINDEN B</t>
  </si>
  <si>
    <t>76X147X76X141</t>
  </si>
  <si>
    <t>PRICE REDUCED! Welcome to this updated home in a peaceful location. Large kitchen w/eating area~island~new quartz counters~newer appliances, new plank laminate flooring, updated lighting, 2 story fam room w/fireplace, hall bath &amp; powder room updated, large basement w/concrete crawlspace, brick paver patio, backs to field, more! Close to schools, shopping, golf, fishing, etc. Quick close!</t>
  </si>
  <si>
    <t>3.0% - $200 (on Net SP)</t>
  </si>
  <si>
    <t>Richard Vesely, CNC</t>
  </si>
  <si>
    <t>(630) 364-0877</t>
  </si>
  <si>
    <t>Agents note 3% CC. Priced to sell. Not a short sale......you will get paid. Quick close, too.</t>
  </si>
  <si>
    <t>40W456</t>
  </si>
  <si>
    <t>Big timber road to Damisch road to Harper</t>
  </si>
  <si>
    <t>153X265X169X247</t>
  </si>
  <si>
    <t>OWNERS HATE 2 LEAVE this X-LRG home w/ 1 acre lot feat a kitchen straight f/ a magazine cover! Granite sink &amp; c-tops, under &amp; inside cabinet lighting, tile backsplash, Delta touch faucet, soft close cherry cabinets w crown, LG appliances &amp; more! LUXURIOUS Master bed suite w/ giant spa-like tub &amp; huge deck!Pella windows '04, whole house vacuum system, Screened porch, partially finished basement, Wooded lot &amp; near I-90</t>
  </si>
  <si>
    <t>Partially Finished, Sub-Basement</t>
  </si>
  <si>
    <t>Balcony, Porch Screened, Storage Shed, Storms/Screens</t>
  </si>
  <si>
    <t>3% -$250 (on Net SP)</t>
  </si>
  <si>
    <t>Call listing office - 1 hour notice preferred</t>
  </si>
  <si>
    <t>Marsha K Davis Trust</t>
  </si>
  <si>
    <t>NEGOTIABLE ITEMS: Deep Freezer, Basement refrigerator, Floor materials for family room, Washer &amp; Dryer.  ~INCLUDED: Swing set, play fort, drapes in living room &amp; Dining room, 4 den bar stools.  ~NOT INCLUDED: horse swing &amp; bedroom curtains</t>
  </si>
  <si>
    <t>E. 106th to Escanaba to 98th St. to Address</t>
  </si>
  <si>
    <t>28X138</t>
  </si>
  <si>
    <t>Nice Curb Appeal Close to School and Park. Priced to Sell.</t>
  </si>
  <si>
    <t>CALLl LISTING OFFICE FOR APPOINTMENTS (773)731-8500</t>
  </si>
  <si>
    <t>Dekalb</t>
  </si>
  <si>
    <t>Rte. 64 to Somonauk, S. to Elm, Right onto Dekalb Ave. Corner of Washington &amp; Dekalb Ave</t>
  </si>
  <si>
    <t>153 X 52</t>
  </si>
  <si>
    <t>Turn of the century 2100 sq. ft home full of historical charm! Original hardwood floors, beautiful wood trim throughout, 9 ft. ceilings, wooden staircase &amp; pocket door. Hardwood ceiling in DR &amp; Kitch. Mstr. bdrm. sitting area could easily be converted to lge WIC. Full bathroom has been updated. Newer elec., &amp; many new windows. Front porch, deck, brick paver patio + 1 car garage. Located near town, schools and parks!</t>
  </si>
  <si>
    <t>Deck, Foyer, Pantry, Sitting Room</t>
  </si>
  <si>
    <t>Please Call 855-746-9100 to Schedule a Showing.  Must Confirm</t>
  </si>
  <si>
    <t>Please Note -Lock Box is located on the back door.....See Attached paperwork and Offer Instructions. Please use 6.0 Contract.</t>
  </si>
  <si>
    <t>Evergreen</t>
  </si>
  <si>
    <t>Rt 72 east of Rt 47 to Richard Brown Blvd (S) to Wesler Blvd (E) to Birchwood (N) to Evergreen (W)</t>
  </si>
  <si>
    <t>STARLING E</t>
  </si>
  <si>
    <t>63 X 120</t>
  </si>
  <si>
    <t>WOW! STEP INTO YOUR FULLY RENOVATED CAMBRIDGE LAKES OF PINGREE GROVE HOME WITH LUXURY AMENITIES LOCATED ON A SPACIOUS LOT. OPEN CONCEPT LAYOUT CREATES AN ENGAGING SPACE TO ENTERTAIN &amp; CREATE MEMORIES. YOUR MASTER SUITE IS THE PERFECT OASIS. GOURMET KITCHEN WITH GRANITE COUNTER TOPS AND GORGEOUS HARDWOOD FLOORS AND BRAND NEW CARPET THROUGHOUT. 2 CAR GARAGE. EVERYTHING IS BRAND NEW. A PERFECT SPACE TO ENJOY.</t>
  </si>
  <si>
    <t>Cambridge Lakes Charter</t>
  </si>
  <si>
    <t>Can close Fast!! Sentrilock located on front door. Any questions call, text or email. 708-372-0505 ask for Bob. Thank you for showing. ***PLEASE CONTINUE TO SHOW***</t>
  </si>
  <si>
    <t>CUMBERLAND TO ADDISON (E) TO PACIFIC - 1-Way North to Address</t>
  </si>
  <si>
    <t>ADORABLE ALL BRICK CAPE COD w/4 BRs, 2 Full Baths, Full Basement, &amp; 2 Car Garage! Lg Bay Window in LR w/NEW Carpet. 1st Flr MBR w/WIC. Newly remodeled Bath w/ceramic Flr &amp; Wall tiles. Bright Kit w/Lg Eating Area. 2 Upstairs BR's w/Full Shower Bath.New 6-panel White Drs. Newer Alum Windows. Finished FamRm &amp; 4th BR (All Purpose Rm) in LL. Spacious 18x22 Unfin Basemt w/W&amp;D &amp; access to Fenced in Bckyd w/Patio.SHOW &amp; SELL</t>
  </si>
  <si>
    <t>Finished, Partially Finished, Unfinished</t>
  </si>
  <si>
    <t>Eating Area, Utility Room-Lower Level</t>
  </si>
  <si>
    <t>Karen Reicher, CNC</t>
  </si>
  <si>
    <t>(630) 202-2686</t>
  </si>
  <si>
    <t>Karen Cell:630-202-2686</t>
  </si>
  <si>
    <t>630-202-2686</t>
  </si>
  <si>
    <t>ANYTIME After Leaving Agent ID,Ph,Day&amp; Time of ShShowing on Agent Cell. Sentrilock on Front Railing.</t>
  </si>
  <si>
    <t>ANYTIME After Leaving VM or Text on Karen's Cell: 630-202-2686 of your ID,Ph,Day &amp; Time. Sentrilock on Front Railing. Plz Leave Business Card. REG SALE! SHOW &amp; SELL....</t>
  </si>
  <si>
    <t>STONY ISLAND TO 93RD ST HEAD EAST TO PROPERTY</t>
  </si>
  <si>
    <t>This beautiful, recently rehabbed 4 bedroom, 2 bathroom brick ranch is overflowing with special features and brand new additions. The gorgeous kitchen boasts stainless steel appliances, granite counters and upgraded cabinets. With a completely refinished basement, a 2-car garage and a great price, this is a must see!</t>
  </si>
  <si>
    <t>5726 W Waveland on one way going East</t>
  </si>
  <si>
    <t>This remarkable property has been completed with an exquisite touch. Boasting dark stained hardwood floors, detailed millwork, new kitchen with Shaker Style Cabinets, Carrera Marble Counters, stainless appliances.  All new baths with Italian Porcelain and subway tile, full finished basement w Side by Side W/D. The size of this home will fulfill your living and entertainment needs. With two car garage and large yard</t>
  </si>
  <si>
    <t>Please use showing assist.</t>
  </si>
  <si>
    <t>Front &amp; Back yard will be landscaped now that snow has melted.</t>
  </si>
  <si>
    <t>Wolf Crossing and Harvey Rd</t>
  </si>
  <si>
    <t>Prescott Mill</t>
  </si>
  <si>
    <t>118 X 90</t>
  </si>
  <si>
    <t>SPECTACULAR  3,350 SQ FT HOME IN PRESCOTT MILL! 4 BED/2.1 BATH W/NEW PAINT/CARPET/LT FIXTURES &amp; REFINISHED HRDWD FLRS*2 STORY FOYER &amp; FAM ROOM W/FIREPLACE &amp; SURROUND SOUND**GOURMET KIT. W/GLAZED 42" GLAZED CHERRY CABINETS/ISLAND/ QUARTZ/SS APPLIANCES*1ST FLR DEN*HUGE MASTER SUITE W/2 WALK IN CLOSETS/LUXURY BATH W/DUAL VANITY*9'BASEMENT W/ROUGH IN*CUSTOM BLINDS THRUOUT*EPOXY GARAGE FLR*FENCED YARD*WALK TO PARK &amp; LAKE!</t>
  </si>
  <si>
    <t>Kelley Cammack</t>
  </si>
  <si>
    <t>(815) 325-2747</t>
  </si>
  <si>
    <t>TEXT LISTING AGENT W/ INFO AT 815-325-2747</t>
  </si>
  <si>
    <t>Melrose</t>
  </si>
  <si>
    <t>Melrose is just north of Belmont between Lincoln Ave and Damen.</t>
  </si>
  <si>
    <t>106X26</t>
  </si>
  <si>
    <t>Prepare to be amazed walking through the front door! Beautiful quality throughout, offering an inviting Liv Rm w/ detailed woodwork &amp; wbfp, open floor plan w/ high end Kitchen, &amp; Family Rm accessing back deck &amp; patio &amp; 2 car gar! Hardwood flrs on 2 levels, Upstairs 3 BRs &amp; 2 baths, Lower level is spectacular w/ heated slate flrs &amp; very desired space w/ 4th BR or Den! This home is stellar, professionally landscaped!!!</t>
  </si>
  <si>
    <t>Oven-Double, Oven/Range, Microwave, Dishwasher, Refrigerator, Washer, Dryer, Disposal, All Stainless Steel Kitchen Appliances</t>
  </si>
  <si>
    <t>09X04</t>
  </si>
  <si>
    <t>2.5% - $325                  2.5% - $325 (on Net SP)</t>
  </si>
  <si>
    <t>Pamela Rueve</t>
  </si>
  <si>
    <t>(312) 867-8114</t>
  </si>
  <si>
    <t>Call Pam @ 312-867-8114. Do not text or email showing requests.</t>
  </si>
  <si>
    <t>Knollwood</t>
  </si>
  <si>
    <t>Lyle to Country Knolls to Williams to Knollwood</t>
  </si>
  <si>
    <t>Country Knolls</t>
  </si>
  <si>
    <t>QUAD LEVEL</t>
  </si>
  <si>
    <t>90 X 140</t>
  </si>
  <si>
    <t>Beautifully remodeled! 4000 sqft of an amazingly unique layout.  2 master bedrooms, each w full private bath.  Entertain in a custom designed new kitchen, granite, dbl oven, hickory cabinets, gorgeous ceramic floor design.  Hardwood flooring.  Walk out basement w fireplace &amp; wet bar.  Huge closets &amp; lots of storage space.  Wooded lot in a desirable subdivision.  Alarm &amp; Intercom system in place.</t>
  </si>
  <si>
    <t>25X29</t>
  </si>
  <si>
    <t>Finished, Crawl, Sub-Basement</t>
  </si>
  <si>
    <t>Foyer, Recreation Room, Walk In Closet</t>
  </si>
  <si>
    <t>Deck, Patio, Dog Run &amp;/or Invisible Fence, Storms/Screens</t>
  </si>
  <si>
    <t>2.50%-350 (on Net SP)</t>
  </si>
  <si>
    <t>Tami Badalamenti</t>
  </si>
  <si>
    <t>(630) 272-1178</t>
  </si>
  <si>
    <t>Call LA 630-272-1178</t>
  </si>
  <si>
    <t>FOSTER EAST OF CICERO TO  TRIPP SOUTH TO 5148</t>
  </si>
  <si>
    <t>HISTORIC CHICAGO BRICK BUNGALOW ON OVERSIZED LOT â€“ 1st flr features large foyer, living rm with wb fireplace, formal dining rm, eat-in kitchen, full bth and 3 bedrms. Unfinished attic w/ interior staircase has lots of potential for expansion.  Full finished basement features rec rm with dry bar, 4th bedrm and full updated bath.  Nice yard with deck and 2 car garage.  Close to park, public transportation, expressways!</t>
  </si>
  <si>
    <t>2.5% -$350 (ON NET SP) (on Net SP)</t>
  </si>
  <si>
    <t>Joshua Kirchner</t>
  </si>
  <si>
    <t>Text/Email Josh -773-573-3168 / jkirchner@remax.net</t>
  </si>
  <si>
    <t>Listing agent must accompany all showings per sellers request, 24hrs notice appreciated.  They prefer no showings on Mondays, but can accommodate with notice.</t>
  </si>
  <si>
    <t>WEST ON W FULLERTON AVE. SUOTH ON N MEADE AVE TO PROPERTY</t>
  </si>
  <si>
    <t>SPACIOUS 4BR HOUSE W/DEN OR SITTING RM OFF OF KIT.HIGH CEILINGS,FORMAL DR,HDWD FLRS THRU-OUT.  SOLD "AS IS" CONDITION. NOSURVEY/DISCLOSURES.PROOF OF FUND/ PRE-APPROVAL MUST ACCOMPANY ALL OFFERS. ADDENDUM REQUIRED AFTER ACCEPTANCE.EM MUST BE CERT FUNDS.ROOMS, LOT SZE/DETAILS NOT GRNTD. Property is at Auction, all Auction terms apply.</t>
  </si>
  <si>
    <t>1% OR $400 WHICHEVER IS GREATER (on Net SP)</t>
  </si>
  <si>
    <t>Jacob Jacob</t>
  </si>
  <si>
    <t>(312) 823-2460</t>
  </si>
  <si>
    <t>Email OCC@risingrealty.com with Agent ID and showing request</t>
  </si>
  <si>
    <t>Property is at Auction, visit Homesearch.com for more info. Any financed offers require a pre-qual from Greenlight Loans888-668-5832.offers prior to Auction please send to sales@homesearch.com. Info not guaranteed.</t>
  </si>
  <si>
    <t>Meredith</t>
  </si>
  <si>
    <t>Central between Elston and Caldwell to Louise or Prescott into neighborhood</t>
  </si>
  <si>
    <t>150 X 70 X 150 X 100 CORNER LOT</t>
  </si>
  <si>
    <t>Live in the exclusive Historic district of "Old Edgebrook." Beautiful 4 bedroom 5 bath home on oversized corner lot, rarely available. Formal living and dining room with wood burning fireplace beautiful crown molding, overlooks golf course. Eat-in kitchen, 1st fl den and sun porch. Master bed/suite. Full basement. Slate roof, newer furn/hw heater, flood control, fenced yard, alarm sys, side drive 2 car garage.</t>
  </si>
  <si>
    <t>Oven/Range, Microwave, Dishwasher, Refrigerator, Freezer, Washer, Dryer, Disposal, Compactor-Trash</t>
  </si>
  <si>
    <t>Commuter Bus, Commuter Train, Interstate Access, Historical District</t>
  </si>
  <si>
    <t>Corner, Fenced Yard, Forest Preserve Adjacent, Golf Course Lot, Landscaped Professionally, Wooded</t>
  </si>
  <si>
    <t>Den, Enclosed Porch Heated, Foyer</t>
  </si>
  <si>
    <t>Balcony, Patio, Porch, Roof Deck</t>
  </si>
  <si>
    <t>2% - 275 (on Net SP)</t>
  </si>
  <si>
    <t>text sarah 773-383-8670</t>
  </si>
  <si>
    <t>Elma</t>
  </si>
  <si>
    <t>Shoe Factory/Congdon to Cobblers Crossing, North to Elma East to home.</t>
  </si>
  <si>
    <t>Cobblers Crossing</t>
  </si>
  <si>
    <t>Beautifully Maintained and Updated home in Cobblers Crossing Featuring 4 bed, 3.1 baths, New Finished basement and Full Bath 2008, New Siding 2010, New Garage Door 2011, New Water Heater New Air Conditioning and Windows 2013-14, New Carpet Hardwood Flooring Updated Kitchen and Baths 2014/15, Fireplace, 2 Story Fam Room, Huge Kitchen, Attached Screened Porch Great for entertaining! Come see too much to list!</t>
  </si>
  <si>
    <t>Pond/Lake, Curbs/Gutters, Street Lights, Street Paved</t>
  </si>
  <si>
    <t>Den, Eating Area, Enclosed Porch, Loft, Recreation Room</t>
  </si>
  <si>
    <t>Deck, Porch Screened, Storms/Screens, Grill-Outdoors</t>
  </si>
  <si>
    <t>33X36</t>
  </si>
  <si>
    <t>Cove Realty Inc</t>
  </si>
  <si>
    <t>(847) 381-4753</t>
  </si>
  <si>
    <t>Susan Jensen</t>
  </si>
  <si>
    <t>Cell 847-571-8990</t>
  </si>
  <si>
    <t>Call LO 847-571-8990</t>
  </si>
  <si>
    <t>1 Hour Notice Please (Children), Please Remove Shoes, Freezer in Laundry Room and Refridgerator in Garage Not Included, Central Vac Not In Working Order.</t>
  </si>
  <si>
    <t>Kasson</t>
  </si>
  <si>
    <t>Lawrence to Lowell South to corner of Kasson and Lowell</t>
  </si>
  <si>
    <t>Extra WIDE 4BR Brick Bungalow corner lot in Mayfair.  This classic style home offers 2BR on main level plus 2BR on 2nd FL w/office/den. HUGE LR &amp; Family RM combo w/decorative fireplace.  Original dark wood crown molding frames entire 1st FL living area.  Separate formal DR.  Hardwood flrs thru-out main level under carpet.  Full unfinished basement w/toilet, laundry &amp; storage. Some updating needed. Great Potential.</t>
  </si>
  <si>
    <t>Den, Enclosed Porch, Recreation Room, Storage</t>
  </si>
  <si>
    <t>27X27</t>
  </si>
  <si>
    <t>iTown Realty</t>
  </si>
  <si>
    <t>(773) 592-3088</t>
  </si>
  <si>
    <t>Jefferey Dyra</t>
  </si>
  <si>
    <t>773-592-3088</t>
  </si>
  <si>
    <t>Text/Email 773.592.3088 jdyra@itownrealty.com</t>
  </si>
  <si>
    <t>Ingemunson</t>
  </si>
  <si>
    <t>ROUTE 71, EAST OF 47 TO RAINTREE VILLAGE</t>
  </si>
  <si>
    <t>90X144X90X146</t>
  </si>
  <si>
    <t>4 bed, 2.1 bath home in Raintree Village.  Nice amenities in this community including a clubhouse, playground and community school.  No survey or disclosures provided by seller.  Taxes pro-rated at 100%. Room sizes estimated.  Buyer to verify all listing information.</t>
  </si>
  <si>
    <t>LOMITAS REAL ESTATE</t>
  </si>
  <si>
    <t>(630) 851-9595</t>
  </si>
  <si>
    <t>Malanie Moreno</t>
  </si>
  <si>
    <t>(630) 669-4344</t>
  </si>
  <si>
    <t>BAYVIEW LOAN SERVICING LLC</t>
  </si>
  <si>
    <t>POF /PREAPPROVAL WITH ALL OFFERS, ALL INFORMATION IS ESTIMATED BUYER TO VERIFY</t>
  </si>
  <si>
    <t>Ogden Ave. (Rte.34) to Rte. 30 West To Gordon Rd. S.(L) to Concord Rd. W (R) To Thunder Gulch Right</t>
  </si>
  <si>
    <t>Blackberry Crossing West</t>
  </si>
  <si>
    <t>WESTON</t>
  </si>
  <si>
    <t>77X134X77X133</t>
  </si>
  <si>
    <t>Better Than New! Just Under 2 Years Old. The Spacious Weston Model Has Dramatic 9' 1st Floor Ceilings, 1st Floor Den, Great Kitchen Open To Family Room With Fireplace. 2 Sty. Foyer, Four Spacious Bedrooms &amp; Master Has 2 Walk-In Closets! Ceramic Tile Floors in Bathrooms, ADT Security System,  Stainless Appliances With 5 Burner Stove, Hardwood In Foyer and Kitchen/Dinette. Huge Full Basement with Rough In. Fenced Yard!</t>
  </si>
  <si>
    <t>TV-Dish, Security System, Ceiling Fan, Sump Pump</t>
  </si>
  <si>
    <t>2.5-$200 (on Gross SP)</t>
  </si>
  <si>
    <t>Carole L Swedo, GRI</t>
  </si>
  <si>
    <t>(630) 212-2499</t>
  </si>
  <si>
    <t>3 Hour Notice Please.  text or call agent 630 212-2499 W/Name, Agent ID &amp; Company, Day And Time.</t>
  </si>
  <si>
    <t>Kindly Give 3 Hour Notice  (Small Child)  No showings after 6:30 p.m. School Bus stops in Front of home ðŸ˜Š  Kindly Exclude All Fabric Drapes  Please note tax not fully assessed til next bill June 2015. It is estimated to be about $9,125</t>
  </si>
  <si>
    <t>PRICE</t>
  </si>
  <si>
    <t>Bliss to Denny E to Norris S to McDole right to Price</t>
  </si>
  <si>
    <t>Walnut Woods</t>
  </si>
  <si>
    <t>37X165X188X199</t>
  </si>
  <si>
    <t>Open floor plan Ranch on spectacular lot features 4/5 bedrooms, 3 baths, Finished Basement &amp; related living arrangement!  Quiet cul-de-sac backing to natural prairie&amp; pond! Huge vaulted FR wired for sound. Eat-in kitchen w/tile floors &amp; 42" cabinetry. Sunroom w/peaceful views &amp; door to Trex deck. Vaulted master suite w/luxury private bath &amp; WIC. 3-car garage w/mudroom. Media and Recreation Room! Awesome Home!</t>
  </si>
  <si>
    <t>Cul-de-sac, Nature Preserve Adjacent, Landscaped Professionally, Park Adjacent, Pond, Water View</t>
  </si>
  <si>
    <t>Eating Area, Exercise Room, Media Room, Mud Room, Recreation Room, Sun/Florida Room</t>
  </si>
  <si>
    <t>Edward Hall, CRB,CRS</t>
  </si>
  <si>
    <t>(630) 205-4700</t>
  </si>
  <si>
    <t>CELL 630-205-4700</t>
  </si>
  <si>
    <t>CALL CSS 877-977-1010, 2 HR NOTICE REQUIRED</t>
  </si>
  <si>
    <t>Awesome home on a spectacular lot, and a professionally fnished basement with all the bells and whistles! Visit www.901price.com for more info! Also full brochure under additional info!</t>
  </si>
  <si>
    <t>Republic</t>
  </si>
  <si>
    <t>RANDALL TO FABYAN,  E TO VAN NORTWICK, S TO SHABBONA TRAIL, E TO REPUBLIC</t>
  </si>
  <si>
    <t>CARRIAGE CREST</t>
  </si>
  <si>
    <t>82 X 120 X 82 X 120</t>
  </si>
  <si>
    <t>Just redecorated+some new carpeting in this immaculate home located in one of the best Batavia neighborhoods. Eat-in kitchen+3 seasons porch with lg fenced-in yd. Finished basmnt w outside access, could be in-law arrangement (was at one time). New or newer tear-off roof, furnace &amp; A/C, hot water htr, water softener, garage door, whole house fan+attic fan, insul garage w/floored storage &amp; pull down stairs. 24x11 patio</t>
  </si>
  <si>
    <t>Water-Softener Owned, CO Detectors, Ceiling Fan, Fan-Attic Exhaust, Fan-Whole House, Sump Pump, Radon Mitigation System(s)</t>
  </si>
  <si>
    <t>Aluminum Siding, Brick, Cedar</t>
  </si>
  <si>
    <t>Patio, Porch, Porch Screened, Storage Shed, Storms/Screens</t>
  </si>
  <si>
    <t>CALL 855-746-9093 TO SHOW</t>
  </si>
  <si>
    <t>Many, many upgrades &amp; recent remodeling, too many to mention here.</t>
  </si>
  <si>
    <t>TEAL</t>
  </si>
  <si>
    <t>CUBA RD SW OF 12 TO PHEASANT SE TO TEAL CT</t>
  </si>
  <si>
    <t>SQUIRES</t>
  </si>
  <si>
    <t>LARGE SPLIT WITH 3 CAR GAR</t>
  </si>
  <si>
    <t>Big, bright and on a cul-de-sac.  Almost an acre with pond view in Winter. 2 full,2 half baths. Vaulted ceilings. Newer hardwood floors LR/DR/HALL. Giant kitchen with granite counters. Freshly painted. Master suite with large bath/dressing area--Roman tub, sep shower, 2 sinks.  3 car garage. 1st floor laundry.  New carpet in L.L.  Finished bonus room on English level.  Walkout lower level. Newer furnace, air, roof.</t>
  </si>
  <si>
    <t>LAKE ZURICH MIDDLE - N CAMPUS</t>
  </si>
  <si>
    <t>Foyer, Recreation Room, Other</t>
  </si>
  <si>
    <t>Wood Burning, Gas Logs, Gas Starter, Includes Accessories</t>
  </si>
  <si>
    <t>HIGHEST AND BEST BY NOON 3/19 Great big home &amp; Lot. Estate Sale - Sold As Is. Bath on every floor. Original builder said 3327 square feet. Great lower level for parties and exercise rooms. Great price for all this room and will sell quick.</t>
  </si>
  <si>
    <t>Constance</t>
  </si>
  <si>
    <t>E 77th St to S Constance Ave. North to address.</t>
  </si>
  <si>
    <t>This beautiful, recently rehabbed, 4 bed, 3 bath 2-Story is overflowing w/ special features &amp; brand new additions! First floor has gleaming hardwood floors. The gorgeous kitchen boasts stainless steel appliances, granite counters &amp; upgraded cabinets. 2nd floor offers a jumbo master suite. With a finished basement and all the bells and whistles, it's a must-see! Construction not completed. Garage being built.</t>
  </si>
  <si>
    <t>56th</t>
  </si>
  <si>
    <t>SOUTH PULASKI EAST ON 56TH TOWARDS PROPERTY</t>
  </si>
  <si>
    <t>05X15</t>
  </si>
  <si>
    <t>Email Offers to mauricio@citywide-realty.com.... Minimum EM for financed deals is $2500 and $5000 on CASH deals.</t>
  </si>
  <si>
    <t>Route 34 to Douglas North to Long Beach Right to Kensington Left to home.</t>
  </si>
  <si>
    <t>Farmington Lakes</t>
  </si>
  <si>
    <t>RIVERWOOD</t>
  </si>
  <si>
    <t>55 X 145 X 132 X 119</t>
  </si>
  <si>
    <t>One of the prettiest homes in Oswego! Hardwood Flrs ~ Lr &amp; Dr ~ Eat-in Kitchen w/raised Breakfast Bar ~ Glass backsplash ~  Double Oven ~ 1st Flr Den ~ Spacious FR ~ King Size Master ~ Luxury Bath w/double sink, Soaking Tub, &amp; Sep Shower ~ All Br's have Ceiling Fans ~ Knock-out Finished Bsmt w/Kitchen, Media Rm, Game Rm, Full bath, &amp; Storage Rm ~ 2x6 Construction ~ Premium Lot backs to corn field ~ Brick Paver Patio!</t>
  </si>
  <si>
    <t>Humidifier, Water-Softener Owned, TV-Cable, CO Detectors, Ceiling Fan, Sump Pump, Backup Sump Pump</t>
  </si>
  <si>
    <t>2nd Kitchen, Den, Game Room, Recreation Room, Storage</t>
  </si>
  <si>
    <t>Carla Heitz</t>
  </si>
  <si>
    <t>630-306-3745</t>
  </si>
  <si>
    <t>Click Showing Assist ~ 2 hr notice</t>
  </si>
  <si>
    <t>Small Dog may be gated in utility room ~ Please Lock up &amp; Leave Card.</t>
  </si>
  <si>
    <t>Take Cottage Grove to 79th, Take 79th E To Kenwood, Take Kenwood S to House.</t>
  </si>
  <si>
    <t>This beautiful, recently rehabbed 4 bedroom, 2 bathroom brick bungalow is overflowing with special features and brand new upgrades. The luxurious kitchen boasts stainless steel appliances, granite counters and upgraded cabinets. The roof, windows and mechanicals are all brand new. With a finished basement, a 2 car garage, gleaming hardwood floors, a laundry room and so much more, it's a must see!</t>
  </si>
  <si>
    <t>Sandra</t>
  </si>
  <si>
    <t>Rt. 72 to Windhaven Estates to Sandra Street</t>
  </si>
  <si>
    <t>WINDHAVEN</t>
  </si>
  <si>
    <t>100X139.99X100X140.18</t>
  </si>
  <si>
    <t>NESTLED ON NEARLY 1/3 ACRE, THIS CHARMING HOME SHOWCASES A SCREENED-IN PORCH WITH VAULTED TONGUE &amp; GROOVE WOOD CEILING, BRICK &amp; CONCRETE PATIOS, &amp; SHED... A WONDERFUL BACKYARD RETREAT!  Wainscoting &amp; crown molding displayed throughout.  Kitchen presents bbar, pantry &amp; appliances.  Living Rm boasts wood laminate flooring. Family Rm features lookout windows.  Custom tiled shower &amp; pedestal sink!  Master walk-in closet!</t>
  </si>
  <si>
    <t>Patio, Porch Screened, Storage Shed, Brick Paver Patio, Storms/Screens</t>
  </si>
  <si>
    <t>24 Hour Notice Preferred. Click on 'Schedule a Showing' below or call 877-977-1010.</t>
  </si>
  <si>
    <t>Stephen P. &amp; Heather A. Zapatka</t>
  </si>
  <si>
    <t>Ceiling-light fans in all bedrooms.  Charter is the cable company.  Wood outdoor playset included.  Not included:  Attached decorative shelving.  T.V. antenna As-Is; owners' never used it.</t>
  </si>
  <si>
    <t>Rt 71 to Country Hills Dr. to Hampton</t>
  </si>
  <si>
    <t>EISLEY</t>
  </si>
  <si>
    <t>MOVE RIGHT IN &amp; ENJOY! SUPER STYLISH Home on Large Fenced Lot w/Paver Patio &amp; Firepit! Beautiful Spaces throughout include a 2-Story Foyer w/Turned Staircase, HW FL's, Formal Living &amp; Dining, Spacious Kitchen w/Center Island, Sleek Granite &amp; Glass Back Splash, Family Rm w/Fireplace, Finished Basement w/Bath, Master Bed &amp; Bath Suite w/2WI Closets. Located in Raintree Pool &amp; Clubhouse Community. RELO Add's Apply.</t>
  </si>
  <si>
    <t>Breakfast Room, Office, Play Room, Recreation Room</t>
  </si>
  <si>
    <t>2013 year the SSA was $1954.  Included in Taxes.  Fabric Window Treatments not included, but rods stay.  Pool Table and Outdoor Playset Negotiable.</t>
  </si>
  <si>
    <t>Deerpath to Tanner, W To Bennett North to home or Deerpath to Westover south to home</t>
  </si>
  <si>
    <t>NEWBERRY C</t>
  </si>
  <si>
    <t>82X172</t>
  </si>
  <si>
    <t>What a great home perfect like-new condition:nice upgrades and quality throughout.Brazilian Cherry Hardwood floors,1st floor study,soaring ceilings,3 car garage.Enjoy the large luxury master bath,convenient 2nd floor laundry room located adjacent to large walk-in closet.Nice deck off the back and full front porch to enjoy the warm weather.English basement with deep pour and bath rough-in.Brand new roof,siding,gutters</t>
  </si>
  <si>
    <t>Water-Softener Owned, TV-Cable, TV-Dish, CO Detectors, Sump Pump</t>
  </si>
  <si>
    <t>John Gamble, e-PRO,GRI</t>
  </si>
  <si>
    <t>(630) 761-9550</t>
  </si>
  <si>
    <t>Call (855) 746-9093 or click below would prefer some notice</t>
  </si>
  <si>
    <t>Fields</t>
  </si>
  <si>
    <t>9N974</t>
  </si>
  <si>
    <t>Trails End</t>
  </si>
  <si>
    <t>Randall S of I-90 to W on Bowes to R on Longcommon, to L on Beckman,  to  L on Trails Ends, hs on L</t>
  </si>
  <si>
    <t>Noble Manor</t>
  </si>
  <si>
    <t>116X252X202X323</t>
  </si>
  <si>
    <t>Remodeled, Gorgeous, Spacious, Custom home, on unbelievably Beautiful, Tranquil 1 acre lot. 1st Flr Mstr Ste w/Rmdld bath. New granite in Kitch. New Crpt thru-out. Hrdwd, nice Frplc in lrg Great Rm. 2 big BR's upstairs &amp; room to add 1 over Htd 3-car garage if desired. W/O Bsmnt has 2nd kitch-2nd W/D, Lrg Fam Rm, BR. Tiered decks w/LT finsh overlook Prof Lnscpd yard. Partial fence a great idea. Burlington 301 Schools!</t>
  </si>
  <si>
    <t>Humidifier, Water-Softener Owned, Central Vacuum, TV-Cable, Security System, CO Detectors, Ceiling Fan, Sump Pump, Air Cleaner, Backup Sump Pump</t>
  </si>
  <si>
    <t>2nd Kitchen, Den, Deck, Exercise Room, Foyer, Great Room, Loft, Workroom</t>
  </si>
  <si>
    <t>Hardwood Floors, 1st Floor Bedroom, In-Law Arrangement, 1st Floor Laundry, 1st Floor Full Bath</t>
  </si>
  <si>
    <t>Wood Burning, Attached Fireplace Doors/Screen, Gas Starter, Heatilator Type System</t>
  </si>
  <si>
    <t>Disclosures online. E-mail with Multi-Board 6.0 Contract to LA &amp; Co-LA, Luke Brown, lukeb@selectafee.com. Call to confirm receipt. Built-in Shelving/Bkcase, TV in Great Room sold w/house. Many other items can be bought outside contract.</t>
  </si>
  <si>
    <t>This beautiful, recently rehabbed 4 bedroom, 3 bathroom brick Cape Cod is overflowing with special features and new additions. The luxurious kitchen offers stainless steel appliances, granite counters and upgraded cabinets. The second floor offers a larger master suite, and the first floor boasts gleaming hardwood floors. With a finished basement and a 2-car garage, it's a must-see!</t>
  </si>
  <si>
    <t>AUSTIN (6000 WEST) TO WILSON (4600N) EAST TO 5824</t>
  </si>
  <si>
    <t>English Tudor Masterfully Renovated Blending the Best of All Worlds. Hrdwd Thruout. Updtd Kitch Feat. KraftMaid Cabs, New/er Stnlss Appl, Granite Cntrs. Open to Lrg FR w/FP &amp; Sliders to Deck &amp; Yard. Spac LR &amp; DR +1st Flr. Bedrm/Den. Mstr BR w/Great Closts &amp; Bath w/ Jetted Tub &amp; Sep. Shwr, 2 More Big BR's Up. Full Fnshd Bsmnt w/1/2 Bth, Gas Firplc, Lndry Rm &amp; Gr8 Storge. New Boilr/Cent. A/C, Wndws Too Much New to List</t>
  </si>
  <si>
    <t>TV-Cable, TV Antenna, Ceiling Fan, Sump Pump</t>
  </si>
  <si>
    <t>28X23</t>
  </si>
  <si>
    <t>(847) 835-6000</t>
  </si>
  <si>
    <t>Michael Mitchell, ABR</t>
  </si>
  <si>
    <t>(847) 910-0146</t>
  </si>
  <si>
    <t>Please use Show Assist or Call ShowingTime 855 746 9200</t>
  </si>
  <si>
    <t>Too Much New to List! Please Look Under Additional Information for Complete Details. Also Click Virtual Tour for Interactive Floor-Plan with Many More Photos!</t>
  </si>
  <si>
    <t>WEST ON BRYN MAWR NORTH ON KARLOV TO PROPERTY</t>
  </si>
  <si>
    <t>BRYNFORD</t>
  </si>
  <si>
    <t>Beautiful! Newer completely renovated 4 bed, 3 1/2 bath, luxury in sought after SAUGANASH SCHOOL DISTRICT! Sun-filled home w/perfect layout inc: Fully upgrd chef's Kit w/Bosch apps, brkfast bar+eat-in area &amp; back deck!Oak hrdwood.Beaut crown molding/millwork thru-out.Dry Lower level w/radiant floor,Lndry Rm. Surround sound. En Suite Master Bed w/dble vanity, spa shower &amp; WIC. Charming front porch. Not a thing to do.</t>
  </si>
  <si>
    <t>Deck, Eating Area, Recreation Room, Walk In Closet</t>
  </si>
  <si>
    <t>Skylight(s), Hardwood Floors, Heated Floors</t>
  </si>
  <si>
    <t>Patrick McEneely</t>
  </si>
  <si>
    <t>(773) 718-2323</t>
  </si>
  <si>
    <t>Please use showing assist. Agent accompanied.</t>
  </si>
  <si>
    <t>Window treatments thru-out,surround sound, dining room chand, ceil fans in 3 upstairs bedrooms, newer upgrd faucets in master bath and kitchen, basement bath new vanity and mirrror.</t>
  </si>
  <si>
    <t>Alfred</t>
  </si>
  <si>
    <t>McLean N of Highland to Lawrence East to Alfred north to PIQ on the right.</t>
  </si>
  <si>
    <t>MID-CENTURY RANCH</t>
  </si>
  <si>
    <t>140 X 101</t>
  </si>
  <si>
    <t>Classic mid-century ranch within walking distance to Wing Park and Kimball middle school. Great west Elgin location. Sought after features include birch trim/doors, hardwoods, roomy kitchen with glass front cabinets and stately white brick fireplace.You'll love the awesome 3 season room. The 4th BR with a private bath could be an in-law situation or a family room.  Remodeled bath has sep. tub and shower &amp; 2 vanities.</t>
  </si>
  <si>
    <t>Cindy Strahota, ABR</t>
  </si>
  <si>
    <t>(630) 624-9246</t>
  </si>
  <si>
    <t>Call centralized Showings 877-977-1010</t>
  </si>
  <si>
    <t>Humidifier &amp; security System as is. Only 1 garage door opener.</t>
  </si>
  <si>
    <t>Bliss Rd, East on Windstone, R on Merrill New, L on Evergreen to home</t>
  </si>
  <si>
    <t>90 X 130</t>
  </si>
  <si>
    <t>This beauty sits on a premium lot with an open backyard.  Tandem 3 car garage for plenty of storage.  Gorgeous fireplace and a breakfast room with lots of windows to enjoy the view. Master Bedroom with a luxury bath and wait until you see the walk in closet!  First floor laundry, and a beautiful paver patio with firepit.  All the big ticket items are new - Furnace, AC and Roof!</t>
  </si>
  <si>
    <t>Humidifier, Water-Softener Rented, TV-Cable, TV-Dish, CO Detectors, Ceiling Fan, Sump Pump, Backup Sump Pump, Radon Mitigation System(s)</t>
  </si>
  <si>
    <t>Breakfast Room, Foyer, Office, Walk In Closet</t>
  </si>
  <si>
    <t>Patio, Dog Run &amp;/or Invisible Fence, Brick Paver Patio, Storms/Screens, Outdoor Fireplace</t>
  </si>
  <si>
    <t>4 hour notice preferred - 877/977-1010</t>
  </si>
  <si>
    <t>Direct all inquiries and offers to Co-Lister Julie Fiorito 630-201-6140 Julie@KathyBrothersTeam.com</t>
  </si>
  <si>
    <t>From S Park Blvd to E Streamwood Blvd to left onto Chase Terrace</t>
  </si>
  <si>
    <t>109 X 82</t>
  </si>
  <si>
    <t>BEAUTIFULLY REMODELED RAISED RANCH WITH 2 CAR GARAGE. PASSED VILLAGE INSPECTION. ALL NEW KITCHEN WITH MAPLE CABINETS/GRANITE COUNTERS/STAINLESS STEEL APPLIANCES. STUNNING CERAMIC BATHS. ALL NEW DOORS. NEW LAMINATE FLOORING AND CARPETING. ALL NEW VYNAL WINDOWS. NEW FURNACE AND WATER HEATER. FRESHLY PAINTED IN BEAUTIFUL COLORS. JUST MOVE RIGHT IN.</t>
  </si>
  <si>
    <t>American Dream Homes Realty, I</t>
  </si>
  <si>
    <t>(773) 801-5566</t>
  </si>
  <si>
    <t>Kailash Prasad</t>
  </si>
  <si>
    <t>DONALD RUSSO</t>
  </si>
  <si>
    <t>EMAIL ALL QUESTIONS/OFFERS</t>
  </si>
  <si>
    <t>SEATON</t>
  </si>
  <si>
    <t>RANDALL RD TO FABYAN PKWY WEST*RT ON HUGHES RD*ANDERSON RT*SEATON LEFT</t>
  </si>
  <si>
    <t>63X125X123X125</t>
  </si>
  <si>
    <t>CUSTOM RANCH WITH CROWN MLDG,WAINSCOTTING*GRAND 14 FT FOYER*PRIV VIEW OF PRESERVE ACROSS BACK OF HOME*GRANITE KIT COUNTERS,STAINLESS APPLS,42" CUSTOM CABINETS &amp; WALK- IN PANTRY*14FT GREAT RM W/STONE FACE FP*PRIV MSTR SUITE W/ WALK-IN &amp; ORGANIZERS*LUX BTH W/SEP SHOWER*JACK/JILL BATH*BEAUTIFULLY FINISHED BASEMENT WITH WET BAR/WINE COOLER/GRANITE COUNTERS,  BEDROOM AND FULL BATH, FAMILY RM/ BONUS RM &amp; OFF, 3 CAR GARAGE</t>
  </si>
  <si>
    <t>34X27</t>
  </si>
  <si>
    <t>Oven-Double, Oven/Range, Microwave, Dishwasher, Refrigerator, High End Refrigerator, Disposal, All Stainless Steel Kitchen Appliances</t>
  </si>
  <si>
    <t>Humidifier, Security System, CO Detectors, Ceiling Fan, Fan-Attic Exhaust, Sump Pump, Air Cleaner, Backup Sump Pump</t>
  </si>
  <si>
    <t>Bonus, Play Room, Recreation Room</t>
  </si>
  <si>
    <t>Gas Logs, Heatilator Type System</t>
  </si>
  <si>
    <t>Elizabeth Scheffler</t>
  </si>
  <si>
    <t>(847) 263-3101</t>
  </si>
  <si>
    <t>24 hR NOTICE CALL SHOWING TIME 855-957-1312</t>
  </si>
  <si>
    <t>Liz's Cell 847-542-7016 - This is a relocation move, allow time for relocation to sign, must use corporate contract  Garage is heated</t>
  </si>
  <si>
    <t>Prairie Ridge</t>
  </si>
  <si>
    <t>Randall Rd to Mooseheart Rd E to Quail St S to Pheasant Hill Dr to Prairie Ridge Ln</t>
  </si>
  <si>
    <t>Fannie Mae Homepath Property! Beautiful executive home in Moose Lake Estates. All new SS kitchen appliances. Kitchen opens to large family room w/tons of windows &amp; brick fireplace. Separate dining rm w/wainscoting. Fresh Paint! New Carpet! Full unfinished basement. Large deck. 3 car attached garage. See attached docs prior to submitting an offer on Homepath.</t>
  </si>
  <si>
    <t>Please see the attached docs. The seller has directed that all offers be made on Homepath.com.  Pre-approval/POF required with all offers.</t>
  </si>
  <si>
    <t>8N665</t>
  </si>
  <si>
    <t>RANDALL 2 MCDONALD W2 KENDALL N2 TALL PINE W2 EDGEWOOD 2 HOME</t>
  </si>
  <si>
    <t>The Woodlands</t>
  </si>
  <si>
    <t>214X305X200X13X308</t>
  </si>
  <si>
    <t>Majestic Private lush 1.5 acre!Scenic from every window~Magazine worthy interior~outstanding quality~Grand curved staircase~Stunner 2 story fam.rm w/catwalk~Maple Kit w/new SS appl~Master w/dual head/body spray~Over 125K in finished bsmt w/curved cherry granite wet bar/full bath/2nd FP/2nd kit/2nd Ldy~33x29 deck w/BI grill/frig/unique firepit~4 car htd gar(20x15 outbldg)whole house generator~New Drive/AC~A true 10!!!</t>
  </si>
  <si>
    <t>Oven-Double, Dishwasher, Refrigerator, Compactor-Trash, All Stainless Steel Kitchen Appliances</t>
  </si>
  <si>
    <t>Humidifier, Water-Softener Owned, Central Vacuum, Security System, CO Detectors, Ceiling Fan, Sump Pump, Sprinkler-Lawn, Power Generator</t>
  </si>
  <si>
    <t>2nd Kitchen, Bar, Deck, Foyer, Game Room, Recreation Room</t>
  </si>
  <si>
    <t>Vaulted/Cathedral Ceilings, Bar-Wet, Hardwood Floors, 1st Floor Bedroom, 1st Floor Laundry</t>
  </si>
  <si>
    <t>33X29</t>
  </si>
  <si>
    <t>Call 855=746-9200 4hr notice must confirm</t>
  </si>
  <si>
    <t>Popp</t>
  </si>
  <si>
    <t>This home is amazing! I promise your buyers will not be disappointed!</t>
  </si>
  <si>
    <t>Western Ave to Palmer or Shakespeare, east to Claremont.</t>
  </si>
  <si>
    <t>LESS THAN .25 ACRE</t>
  </si>
  <si>
    <t>Stunning custom built home on quiet Bucktown st. Lrg custom kitchen w/ Carrera Marble counters opens to family rm &amp; deck.  2nd  level - two beds plus luxurious master suite w/ fireplace, private loft, &amp; rooftop deck.  LL- huge fam rm,, 4th bedrm &amp; 3rd full bath. Exquisite lighting, high-end tile, stone &amp; marble throughout. Fabulous location just steps to Holstein Park, public trans, &amp; all that Bucktown has to offer!</t>
  </si>
  <si>
    <t>Space Pac, 2 Separate Systems</t>
  </si>
  <si>
    <t>Emily Smart LeMire</t>
  </si>
  <si>
    <t>(312) 867-8149</t>
  </si>
  <si>
    <t>email: smartlemiregroup@cbexchange.com</t>
  </si>
  <si>
    <t>Do you love to entertain, have a large family or just like your space, then this is the home for you. 4 bedrooms and a large loft upstairs. The combined living room/dining room that flows into the kitchen and family room contribute to the open feel. This 2900 sq ft home has a 6 ft kitchen island and triple slider, corner sink with window and a walk in pantry. Hardwood floors throughout main level. Upgraded cabinets.</t>
  </si>
  <si>
    <t>Bsmnt/Lower Lvl Stubd in Bath, Central Air, Deck/Patio/Screened Porch, Energy Efficient Package, Upgraded Siding, Upgraded Insulation</t>
  </si>
  <si>
    <t>Please call our sales office at 847-984-4616 or visit us at 3301 Stratton St to schedule a showing.</t>
  </si>
  <si>
    <t>Please call our sales office at 847-984-4616 or visit us at 3301 Stratton St, Elgin to schedule a showing. Open Sun from 11AM to 6PM, Mon from 1PM to 6PM and Tuesday thru Saturday from 10AM to 6PM</t>
  </si>
  <si>
    <t>32w057</t>
  </si>
  <si>
    <t>ARMY TRAIL RD. TO POWIS RD. SOUTH TO CHURCHILL LN. WEST</t>
  </si>
  <si>
    <t>272X164X272X167</t>
  </si>
  <si>
    <t>Beautiful custom home on a tranquil Culdesac Gorgeous Mill work, multi dimensional crown molding and customized over-sized base &amp; window casings.Granite counter tops with lots of work space. Maple cabinets ,plenty of storage. Over 1 acre of property backs to wooded property. Enjoy the outdoors under the pergola on the Uni-lock paver patio or 3 season screened in porch or sit by the fire pit. Exercise area in basement</t>
  </si>
  <si>
    <t>Horse-Riding Area, Horse-Riding Trails, Curbs/Gutters, Street Lights, Street Paved</t>
  </si>
  <si>
    <t>Humidifier, Central Vacuum, TV-Cable, Security System, Intercom, CO Detectors, Ceiling Fan, Sump Pump, Power Generator</t>
  </si>
  <si>
    <t>Den, Eating Area, Foyer, Screened Porch</t>
  </si>
  <si>
    <t>Porch Screened, Brick Paver Patio, Grill-Outdoors</t>
  </si>
  <si>
    <t>Patrick Picchietti</t>
  </si>
  <si>
    <t>Please call showing desk 855-746-9100.</t>
  </si>
  <si>
    <t>Pictures taken when home was occupied,Storm windows for screened in porch are in the basement. Natural gas generator runs 80% of home. Heated garage. Motivated Seller. Quick close possible. Please use 6.0 Contract</t>
  </si>
  <si>
    <t>Race</t>
  </si>
  <si>
    <t>DAMEN TO RACE EAST TO HOME</t>
  </si>
  <si>
    <t>24 X 90</t>
  </si>
  <si>
    <t>RECENTLY UPDATED 4 BR, 3.2 BTH SF IN WEST TOWN W/4 OUTDR SPACES W/UNOBSTRCTD SKYLINE VIEWS. CHEF'S KIT W/42" CABS, GRNTE, PROF SS APPL, OVRSZD ISLND/BRKFST BAR &amp; GRLLNG DECK. MSTR STE W/WALK-IN CLST, MRBLE BTH W/DBL VAN, JET TUB &amp; SEP SHWR. LNDRY ON 2ND FLR. TOP FLR MEDIA/REC RM W/BTH. OPEN LR/DR HAS WBFP. LL FAM RM. HRWD THRU-OUT, 10' CEILING, WIRED FOR SOUND, CUST LGHTNG, BLNDS &amp; STAIRS. 2 CAR GAR W/STRG &amp; RF DECK.</t>
  </si>
  <si>
    <t>Oven/Range, Microwave, Dishwasher, High End Refrigerator, Freezer, Disposal, All Stainless Steel Kitchen Appliances, Wine Cooler/Refrigerator</t>
  </si>
  <si>
    <t>Balcony, Deck, Recreation Room, Terrace</t>
  </si>
  <si>
    <t>Michael Shenfeld</t>
  </si>
  <si>
    <t>(312) 475-4563</t>
  </si>
  <si>
    <t>EMAIL: Michael@theshenfeldgroup.com with Agent ID &amp; Contact details</t>
  </si>
  <si>
    <t>STONEY ISLAND TO 83RD PL E TO ADDR.</t>
  </si>
  <si>
    <t>Great opportunity to own this large and bright 4-bed, 3-bath home! Spacious bedrooms, full basement, 2 car detached garage and much more! SOLD AS-IS/WHERE-IS.</t>
  </si>
  <si>
    <t>2.5%- $150 (on Gross SP)</t>
  </si>
  <si>
    <t>Click on â€œSchedule a Showingâ€_x009d_ below:</t>
  </si>
  <si>
    <t>PLEASE SEE ADDITIONAL INFORMATION FOR REQUIRED OFFER COVER SHEET.</t>
  </si>
  <si>
    <t>67th</t>
  </si>
  <si>
    <t>67th Street to Lawndale (3700W) south to 67th Place, then west to 3816 (67th PL one-way west)</t>
  </si>
  <si>
    <t>33X124</t>
  </si>
  <si>
    <t>Oversized solid brick expandable. Long time owner. Main level offers living rm, eat-in cabinet kitchen, two large bdrms, full bath &amp; enclosed rear porch. Upper level has two large bedrms, closets, &amp; full bath. Partially finished base w/laundry &amp; storage. Rear deck. Lovely yard. Two-car detached garage.  Ideal location near all schools, public trans, medical facil, shopping, etc. Immediate possession.</t>
  </si>
  <si>
    <t>(708) 424-1199</t>
  </si>
  <si>
    <t>John Kmiecik, CRB</t>
  </si>
  <si>
    <t>(773) 580-7900</t>
  </si>
  <si>
    <t>773-580-7900</t>
  </si>
  <si>
    <t>Call/TEXT John C. Kmiecik - offer verbally accepted.</t>
  </si>
  <si>
    <t>EM to be certified funds payable to C21 Affiliated. Longtime owner. Fresh &amp; clean! Lovely woodwork. Large eat-in kitch dinette. Enclosed rear porch. Large rooms. LA to meet with keys. House in good condition, but to be sold "as is" only.</t>
  </si>
  <si>
    <t>Western to 77th (W) to Maplewood (N) to home</t>
  </si>
  <si>
    <t>Luxury remodeled spacious brick Georgian located in Ashburn area. 4 bedrooms. Gorgeous Kitchen w/ granite countertops, new stainless appliances, beautiful hardwood floors. Full finished basement w/ granite countertop bar. Everything has been meticulously picked out for you so you can just move-in! Two car detached garage, spacious yard.</t>
  </si>
  <si>
    <t>Txt Listing Agent 708-269-2926 (Agent ID, Time, Date)</t>
  </si>
  <si>
    <t>Cregier</t>
  </si>
  <si>
    <t>LSD to Jeffery Blvd, west onto 75th Street, south onto Ridgeland, east onto 77th, north onto Cregier</t>
  </si>
  <si>
    <t>This beautiful, recently rehabbed 4 bedroom, 3 bathroom brick bungalow is overflowing with special features and brand new additions. The gorgeous kitchen boasts stainless steel appliances, granite counters and upgraded cabinets. The second floor is one giant master suite, and the basement has been completely refinished. With gleaming hardwood floors, a laundry room, an office and a great price, it's a must-see!</t>
  </si>
  <si>
    <t>take pulaski to 78th, 78th east to property</t>
  </si>
  <si>
    <t>40X101</t>
  </si>
  <si>
    <t>Ranch home with finished attic! 4 bedroom home with lots of potential! Just needs some TLC! Freddie Mac first look initiative available until 04/15/2015.  verbally accepted offer 4/9/15</t>
  </si>
  <si>
    <t>FEDERAL LOAN HOME MORTGAGE</t>
  </si>
  <si>
    <t>Email offers to arce0417@YAHOO.COM Must include: Cover Sheet, Addendum, and Preapproval/POF provided in Add Info. As-Is Sale, taxes prorated 100%. EM Cashier's Check Only. verbally accepted offer 4/9/15</t>
  </si>
  <si>
    <t>Stony Island Ave to 90th St, East to Cregier Ave, North to Home</t>
  </si>
  <si>
    <t>INCREDIBLY REHABBED BRICK ENGLISH TUDOR W/ 4 BDRMS, 3 BATHS. BEAUTIFUL HARDWOOD FLOORS THRU-OUT MAIN LEVEL. STUNNING KITCHEN W/ ESPRESSO CABINETS, GRANITE COUNTERS, ISLAND &amp; SS APPLIANCES, DINING ROOM W/ BEVERAGE CENTER/WETBAR, NEW BATHS W/WHIRLPOOL TUB, DOUBLE SINKS, SEATED SHOWER &amp; BODYSPRAYERS, FINISHD BASEMENT W/ FAMILY RM, BDRM, BATH &amp; LARGE LAUNDRY, 2 CAR GARAGE, NEW CENTRAL AC AT CLOSING</t>
  </si>
  <si>
    <t>***MULTIPLE OFFERS RECEIVED H&amp;B DUE BY 4/7 @ 5PM***STEP INTO THIS ABSOLUTELY STUNNING XP CONSTRUCTION REDESIGNED RAISED RANCH WITH TOP OF THE LINE FINISHES &amp; INCREDIBLE CRAFTSMANSHIP! SOARING CEILINGS THRUOUT MAIN LEVEL. OPEN CONCEPT KITCHEN W/ SS APPLIANCES, 40" SOFT-CLOSE CABINETS, GRANITE &amp; B-SPLASH! GLEAMING DARK WALNUT HARDWOOD FLOORS! FIN BASEMENT WITH LARGE REC ROOM FULL BATH &amp; BEDROOM WITH WALK-IN CLOSET!</t>
  </si>
  <si>
    <t>2.5% MINUS $175 (on Net SP)</t>
  </si>
  <si>
    <t>Stunning designer finishes, top of the line craftsmanship and attention to detail, uncompromised quality.</t>
  </si>
  <si>
    <t>BERENICE</t>
  </si>
  <si>
    <t>Irving park to Long ,S to Berenice west to property. Berenice is a one way going West</t>
  </si>
  <si>
    <t>35X121</t>
  </si>
  <si>
    <t>PORTAGE PARK!!! Beautifully Remodeled 2 Story Brick Bungalow Home on Over Sized Lot with 4 Beds/3 Full Bath and 2 Kitchens Offers: EVERYTHING NEW!  2 New Electric Panels with New Wiring, New Copper Plumbing, 2 New Zoned Furnaces with 2 AC Units, 2 New Water Heater, 2 Mew Kitchens with Top of the Line New SS Appliances and a Granite Kitchen, New Hard Wood Flooring, New Doors, New Windows and Full Finished Basement .</t>
  </si>
  <si>
    <t>Century 21 Universal</t>
  </si>
  <si>
    <t>(773) 465-0300</t>
  </si>
  <si>
    <t>Sam Tousi</t>
  </si>
  <si>
    <t>(847) 962-8400</t>
  </si>
  <si>
    <t>Text Sam 847-962-8400 W/agent ID ,Time,day</t>
  </si>
  <si>
    <t>New Washer, Dryer, Floor to Ceiling Ceramic Tile Bath Rooms with New Vanities and Much More......A MUST SEE.</t>
  </si>
  <si>
    <t>66X140X108X141</t>
  </si>
  <si>
    <t>**MUST SEE** Stunning executive home loaded with premium upgrades!!  Features, cherry kitchen cabinets with beautiful granite counters and designer backsplash, all stainless aplcs, maple hwd floors, elegant cust trim package t/o, vaulted master suite/bath with double bowl, sep tub/shower, 9' deep pour basement, front porch, lrg 2-tier iron railed deck, first floor den, upgr and rec lighting t/o.  Welcome home!</t>
  </si>
  <si>
    <t>Den, Foyer, Loft</t>
  </si>
  <si>
    <t>Easy show - use showing assist</t>
  </si>
  <si>
    <t>Not a short sale or bank owned home.  Easy straightforward sale.  Can close quick.</t>
  </si>
  <si>
    <t>DREXEL AVE TO 44TH ST, GO EAST TO PROPERTY</t>
  </si>
  <si>
    <t>2132 SQ. FT.</t>
  </si>
  <si>
    <t>Renovated Historical Vintage Row House. Features 4 BR, 5 FPâ€™S, brand new kitchen, HW Floors throughout, new master bath, finished basement, 2 car garage, and fenced yard.  This classic located on a quiet Cul-De-Sac is minutes away from downtown &amp; easy access to schools and shopping.  See attachment for PAS requirements and WFHM offer submittal information in MLS document section.</t>
  </si>
  <si>
    <t>09X15</t>
  </si>
  <si>
    <t>Foyer, Other</t>
  </si>
  <si>
    <t>05X09</t>
  </si>
  <si>
    <t>Sheri Kamikow, CRS</t>
  </si>
  <si>
    <t>(312) 324-4807</t>
  </si>
  <si>
    <t>Cell (312) 324-4807</t>
  </si>
  <si>
    <t>SHOWINGS@SHERIKAMIKOW.COM WITH AGENT ID, DATE,TIME AND 24 HR NOTICE PLEASE</t>
  </si>
  <si>
    <t>BUYER SHOULD OBTAIN A PRE QUAL LETTER FROM WELLS FARGO SARA JAFFE 312-274-4131</t>
  </si>
  <si>
    <t>Hough ST. south to Hillside, west to Summit, south to property on east side of street.</t>
  </si>
  <si>
    <t>49X124</t>
  </si>
  <si>
    <t>Stunning new construction home exudes a feeling of warmth, beauty and timelessness. Evident in its architectural design and fine details throughout every thoughtfully planned space, the use of the finest materials and craftsmanship tie together seamlessly to create a beautiful backdrop for today's lifestyle. Features include: custom kitchen, hardwood floors, high-end appliances, elegant fixtures &amp; DaVinci slate roof.</t>
  </si>
  <si>
    <t>Humidifier, Water-Softener Owned, Central Vacuum, Fire Sprinklers, CO Detectors, Sump Pump</t>
  </si>
  <si>
    <t>Library, Media Room, Workroom</t>
  </si>
  <si>
    <t>Tara Kelleher, SFR</t>
  </si>
  <si>
    <t>(847) 826-2178</t>
  </si>
  <si>
    <t>Email agent tara@tarakelleher.com for inquiries</t>
  </si>
  <si>
    <t>NO SIGN.</t>
  </si>
  <si>
    <t>Belmont to Keating. South to 2836</t>
  </si>
  <si>
    <t>MARVELOUS OPPORTUNITY FOR THE INVESTOR OR OWNER OCCUPANT!!  BRICK BUNGALOW UNFINISHED BASEMENT, FINISHED ATTIC AND A 2 CAR GARAGE. IT FEATURES SPACIOUS ROOMS AND HARDWOOD FLOORS. SELLER DOES NOT PROVIDE SURVEY OR DISCLOSURES. A MUST SEE!!</t>
  </si>
  <si>
    <t>USE SHOWING ASSIT</t>
  </si>
  <si>
    <t>Please download offer pack and include with your offer. Due to condition, cash or rehabs loans only. Room count and size estimated.</t>
  </si>
  <si>
    <t>Hollywood</t>
  </si>
  <si>
    <t>Hollywood is one way east on this block. Access from Hermitage</t>
  </si>
  <si>
    <t>25 X 108</t>
  </si>
  <si>
    <t>Do not miss this Andersonville/Edgewater home on quiet street. Open and versatile floor plan. Tastefully remodeled throughout with large kitchen w/granite and plenty of cabinets and counter space. Recently updated baths, hrd. floors th.rt. Gorgeous hardscaped/landscaped back/front yard w/ outdoor kitchen! Finished basement with good sized ceilings and full bedroom and bath. Many improvements. Move in condition!</t>
  </si>
  <si>
    <t>28X9</t>
  </si>
  <si>
    <t>Breakfast Room, Recreation Room, Storage, Workroom</t>
  </si>
  <si>
    <t>Linette Thompson, CRS,GRI</t>
  </si>
  <si>
    <t>(773) 858-3080</t>
  </si>
  <si>
    <t>Edgewater Hospital to be developed into a condo building, park and 19 single family homes. New Metra stop @ Peterson/Ravenswood. Floor plans under additional info.</t>
  </si>
  <si>
    <t>Juniper</t>
  </si>
  <si>
    <t>Randall East on Oak North on Juniper to Home</t>
  </si>
  <si>
    <t>Willow Lakes</t>
  </si>
  <si>
    <t>70X173</t>
  </si>
  <si>
    <t>Stunning Waterfront Sunsets! Recent Updates Include New Roof,  Vinyl Siding, Gutters/Guards, H20 Heater, Carpet, All Appliances, Newer Windows &amp; More! Entertain in Your Massive Fenced Yard w/2 Tiered Deck, Above Ground Pool Hide the Toys in the Huge Shed!Fnshd Bsmnt! 2 Master Beds, Main w/WIC, Dual Vanity, Jacuzzi Tub &amp; Tile Surround Shower, Cath. Ceiling! Eat-In Kitchen w/Backspash, St. Steel Apps! Walk to the Park!</t>
  </si>
  <si>
    <t>GOODWIN ELEMENTARY SCHOOL</t>
  </si>
  <si>
    <t>Fenced Yard, Landscaped Professionally, Pond, Water View</t>
  </si>
  <si>
    <t>Water-Softener Owned, CO Detectors, Ceiling Fan</t>
  </si>
  <si>
    <t>3.5%-$200 (on Net SP)</t>
  </si>
  <si>
    <t>Advantage Realty Group</t>
  </si>
  <si>
    <t>(630) 778-7653</t>
  </si>
  <si>
    <t>Ben Kastein</t>
  </si>
  <si>
    <t>Fax 630-369-4563</t>
  </si>
  <si>
    <t>Charles</t>
  </si>
  <si>
    <t>99th Street to Charles South to 9913</t>
  </si>
  <si>
    <t>121 X 40</t>
  </si>
  <si>
    <t>Modern Meets Traditional in this Renovated Beverly Bungalo. 4 bedrooms and 2 full baths. Large inviting living room.  Chef inspired kitchen with breakfast nook. 42" white cabinets with granite counters. Stainless steel appliances. Spa inspired bathrooms. Full finished basement with 4th bedroom and 2nd full bath. All new furnace,Plumbing and electric.  New 2 car garage.  Large Back yard. Highest and best due 3/30 5 pm</t>
  </si>
  <si>
    <t>Breakfast Room, Recreation Room, Utility Room-Lower Level</t>
  </si>
  <si>
    <t>Use Showing Assistant.  Some notice required</t>
  </si>
  <si>
    <t>Listing agent is not owner of property.  Shareholder in owner is licensed Illinois broker.</t>
  </si>
  <si>
    <t>Woodrow</t>
  </si>
  <si>
    <t>Route 31 south from RT 20 to Woodrow - east to home</t>
  </si>
  <si>
    <t>60 X 100</t>
  </si>
  <si>
    <t>Cute Ranch near the River! Built in 2010. Loaded with upgrades. Stainless Steel Appliances. Granite Counter Tops in kitchen. Hardwood Floors. Upgraded Maple Cabinets. Full bath in Master Bedroom. His and Hers closets. Architectural Shingles. Upgraded Hardwood Boarding. Fully Fenced Back Yard. Awesome Brick Paver Patio and Fire Pit. Just cute as can be. Shows like a model home!</t>
  </si>
  <si>
    <t>Porch, Brick Paver Patio, Storms/Screens, Outdoor Fireplace</t>
  </si>
  <si>
    <t>3.5% - $250 (on Net SP)</t>
  </si>
  <si>
    <t>William F. Crane</t>
  </si>
  <si>
    <t>(847) 658-7555</t>
  </si>
  <si>
    <t>Mark Dante</t>
  </si>
  <si>
    <t>(847) 420-1056</t>
  </si>
  <si>
    <t>Easy Show. Call Listing Agent 847-420-1056.</t>
  </si>
  <si>
    <t>Hanbury</t>
  </si>
  <si>
    <t>Route 30 to Orchard Road South, Galena Road West to Concord, to Hanbury</t>
  </si>
  <si>
    <t>125X60</t>
  </si>
  <si>
    <t>Move-in ready, beautifully decorated and updated 4 bedroom 2.1 bath home with large bonus room and 2 car extended garage. Kitchen recently remodeled with updated fixtures, butcher block island and backsplash. Large 24x17 composite maintenance free deck great for outdoor entertaining. Landscaped backyard and playset stays! Finished basement with approx. 550 sqft extra living space. Broker owned.</t>
  </si>
  <si>
    <t>Trisha Lustig</t>
  </si>
  <si>
    <t>Appointment required, 3 hour notice needed for pets &amp; children.</t>
  </si>
  <si>
    <t>Please submit all offers to Stephen Haas (co-lister) shaas@koenigrubloff.com, 630-675-8400.</t>
  </si>
  <si>
    <t>North Ave. to Austin Blvd South to Property. 1/2 Block South of North Ave.</t>
  </si>
  <si>
    <t>3,075 SQ. FT.</t>
  </si>
  <si>
    <t>Hone Stop The Car! A must see!  Brick raised ranch. All the bells &amp; whistles. 4 Bedroom, 2 Full Baths, Whirlpool Tub, New 200 AMP Electric, New HVAC, Hardwood Floors and Central Air. Finish Basement with many more updates to mention. Broker owned</t>
  </si>
  <si>
    <t>Bernard Galloway</t>
  </si>
  <si>
    <t>Select Showing Assist  Listing Agent Must Accompany</t>
  </si>
  <si>
    <t>Melvina</t>
  </si>
  <si>
    <t>MONTROSE TO MELVINA NORTH</t>
  </si>
  <si>
    <t>BRICK FRONT WITH NEWER VINYL SIDING-NEWER ROOF &amp; WINDOWS-NEW FURNACE,HUMID&amp;EXTERIOR DOORS IN 14-HW IN LR,DR +UNDER CARPET IN 2 1ST FLOOR BDRMS-WALKOUT BSMT INCLUDES 2 ADDITIONAL BDRMS, FR,&amp;SITTING AREA-BOTH BTHS REMOD W/TALLER VANITIES&amp;GORGEOUS WALK-IN SHOWER ON MAIN FL-HUGE POTENTIAL FOR ADD 850 SQFT IF YOU FINISH THE 39X22 ATTIC AREA-EVEN ENOUGH ROOM FOR AN ADDITIONAL BTH-EASY ACCESS OFF ALLEY TO 1 1/2 CAR GARAGE</t>
  </si>
  <si>
    <t>Attic, Bonus, Enclosed Porch, Sitting Room</t>
  </si>
  <si>
    <t>Kathy Wood</t>
  </si>
  <si>
    <t>(847) 502-0275</t>
  </si>
  <si>
    <t>CALL SHOWING DESK AT 888-362-3222 AFTER 5PM CALL LA</t>
  </si>
  <si>
    <t>NORTH TO SOUTHPORT TO GEORGE, WEST TO 1442</t>
  </si>
  <si>
    <t>ELEGANT FOUR BEDROOM HOME BUILT BY ENVIRON IN 1997. SPACIOUS &amp; BRIGHT IN EXCELLENT CONDITION OFFERS A FANTASTIC FLOOR PLAN FOR FAMILY LIVING &amp; ENTERTAINING. MANY OUTSTANDING FEATURES  . HARDWOOD FLOORS, 3 WBFPS, CROWN MOLDINGS, ELEGANT MASTER SUITE, LARGE GRANITE KITCHEN &amp; FR. FINISHED LOWER LEVEL W/4TH BR, MEDIA RM &amp; FULL NEW BTH &amp; WET BAR. GORGEOUS BUILT-INS, BACKYARD W/SPRINKLER SYSTEM, 2 CAR GAR!</t>
  </si>
  <si>
    <t>Oven/Range, Microwave, Dishwasher, Dishwasher-Portable, Refrigerator, Washer, Dryer, Disposal</t>
  </si>
  <si>
    <t>TV-Dish, Security System, Sump Pump, Sprinkler-Lawn</t>
  </si>
  <si>
    <t>Robin Phelps</t>
  </si>
  <si>
    <t>(773) 469-5423</t>
  </si>
  <si>
    <t>Thelin</t>
  </si>
  <si>
    <t>Main Street or Rt 31 to Millview - West on Thelin Ct</t>
  </si>
  <si>
    <t>83X195X132X154</t>
  </si>
  <si>
    <t>One Owner Lovingly Maintained Custom Georgian! Huge Fenced Yard-2011. 20x21 "Trex" Deck/Railings-2010. Furnace-2012. Roof-2008.  Granite/SS/HWD/Island Kitchen. MBA ++ Redo-2012. Pella Windows. Updated Light Fixtures. Vaulted Office. Door-out to Deck Laundry. Huge Vaulted MBR w/16' Closet + 2nd Closet Behind. Short Quiet cul de sac. Close to Grade School, HS &amp; Shopping.  Back Yard Faces Open Yards. REALLY NICE!</t>
  </si>
  <si>
    <t>Office, Play Room, Recreation Room</t>
  </si>
  <si>
    <t>Fullerton to McVicker. North to 2631.</t>
  </si>
  <si>
    <t>Large 1.5 story 4BR/2BA brick bungalow. Estate sale. Needs updating but has great bones. Hdwd floors.Full basement. Detached 2.1 car garage. Great yard. Enclosed rear porches.  Upstairs set-up for in-law arrangement. Not a short sale. Sold as-is. Agent interest. No FHA.</t>
  </si>
  <si>
    <t>Gas, Oil</t>
  </si>
  <si>
    <t>2nd Kitchen, Den, Enclosed Porch, Pantry, Sun/Florida Room</t>
  </si>
  <si>
    <t>10X06</t>
  </si>
  <si>
    <t>Rosanne O'Donnell</t>
  </si>
  <si>
    <t>(847) 733-2873</t>
  </si>
  <si>
    <t>Call Listing Agent - Rosanne - 847-254-3434. or text.</t>
  </si>
  <si>
    <t>Set up for related living.</t>
  </si>
  <si>
    <t>Potawatomie</t>
  </si>
  <si>
    <t>Cumberland, West on Lawrence, S on Potawatomie</t>
  </si>
  <si>
    <t>Absolutely Stunning.  Updated ranch in a beautiful and quiet neighborhood in Chicago.  Some of the recent updates include completely remodeled bathrooms, Energy Efficient Furnace and A/C (2010), Tearoff roof from 2006, completely finish basement with full bathroom and Jacuzzi tub.  Large above ground pool in the back perfect in time for summer.  MUST SEE.  Call today.</t>
  </si>
  <si>
    <t>DIRKSEN ELEMENTARY SCHOOL</t>
  </si>
  <si>
    <t>Deck, Patio, Brick Paver Patio, Pool Above Ground</t>
  </si>
  <si>
    <t>Enterprise Realty Brokers Inc</t>
  </si>
  <si>
    <t>(708) 955-7950</t>
  </si>
  <si>
    <t>Dusko Cuckovic</t>
  </si>
  <si>
    <t>Use Showing Assist.  1HR Notice Required.  2 large dogs have to be removed before showing.</t>
  </si>
  <si>
    <t>Beautiful Home.  1 Hr notice required.  Freezer and Fridge in the basement are excluded.  Fridge in the kitchen will be replaced with another SS side-by-side fridge.</t>
  </si>
  <si>
    <t>WEST OF HARLEM, NORTH OF BELMONT - OCONTO IS ONE WAY GOING SOUTH</t>
  </si>
  <si>
    <t>EXTRAORDINARY &amp; EXTRA CLEAN FOUR BEDROOM RANCH WITH TWO BATHS ON THE 1ST FLOOR.  GREAT HOME FEATURES HW FLOORS THRU-OUT, EAT-IN KITCHEN W/GRANITE COUNTERS AND SS APPLIANCES.  FANTASTIC FINISHED BASEMENT WITH A WET BAR, FULL BATH INCLUDING A STEAM SHOWER &amp; ONE BEDROOM.  2.5 CAR GARAGE, CEMENT PATIO.  OVERHEAD SEWERS. THE LIST GOES ON AND ON.....</t>
  </si>
  <si>
    <t>Bob Labbe</t>
  </si>
  <si>
    <t>(773) 914-8111</t>
  </si>
  <si>
    <t>CALL LAG BOB LABBE 773-914-8111  24 HOUR NOTICE REQUIRED</t>
  </si>
  <si>
    <t>SEE HOME IMPROVEMENT LIST IN ADDITIONAL INFO.</t>
  </si>
  <si>
    <t>PATTERSON</t>
  </si>
  <si>
    <t>ADDISON TO MOBILE North to Patterson WEST TO PROPERTY  Near Patterson and Nagle</t>
  </si>
  <si>
    <t>HISTORIC BRICK BUNGALOW</t>
  </si>
  <si>
    <t>Beautiful Certified Historic Bungalow! Large living Room With original Stained Glass Windows. Formal dining room and beautiful hardwood floors. Large newer Expanded Kitchen with Granite counters. Anderson patio drs leading to Deck+Pergola. dormers=Enormous master retreat, full Bath + 4th Bdrm. 2 full baths, Huge finished DRY basement,3 zone boiler,New Wooden Windows, Workshop.Sweet New Garage. New Roof. Mr+Mrs Clean!</t>
  </si>
  <si>
    <t>Deck, Eating Area, Storage</t>
  </si>
  <si>
    <t>Tony Kyriazes</t>
  </si>
  <si>
    <t>(773) 909-2277</t>
  </si>
  <si>
    <t>call showing time 855-746-9100</t>
  </si>
  <si>
    <t>Gropp</t>
  </si>
  <si>
    <t>Super Clean your clients will love this Charmer that looks staged but it is just how these people live. New in last few months...Complete tear-off Roof, New Granite, Paint, Carpets Cleaned, Custom backsplash all new S.S. Kitchen appliances</t>
  </si>
  <si>
    <t>Jamestowne</t>
  </si>
  <si>
    <t>Randall Rd. to Saddleclub E. Lest on Arlington Pkwy to Left on Belmont Pkwy and Right on Jamestowne</t>
  </si>
  <si>
    <t>Home needs TLC to finish the beautiful Hardwood Flooring on the main floor.   This was Custom Built with 4 large bedrooms, Along with a special sitting room off the Master Bedroom.  There are 3.1 baths and a 3 car garage.  The basement is Semi Finished and needs your special touch to be beautiful.  It is within a few miles of I-90 for easy travel time to work.  Home is being Sold "AS IS"  100% tax proration.</t>
  </si>
  <si>
    <t>Jill Insco</t>
  </si>
  <si>
    <t>(630) 209-8451</t>
  </si>
  <si>
    <t>CALL SHOWING DESK  888-362-3222</t>
  </si>
  <si>
    <t>email offers to listing Agent.  Please see additional info addendums also include those with the offer.  Proof of funds or Pre Approval for financing needed with ALL offers.</t>
  </si>
  <si>
    <t>Ogden Falls</t>
  </si>
  <si>
    <t>RT.34 WEST TO RT. 30 GO LEFT ON OGDEN FALLS TO HOME ON LEFT</t>
  </si>
  <si>
    <t>OGDEN FALLS</t>
  </si>
  <si>
    <t>70 X 91</t>
  </si>
  <si>
    <t>This open &amp; airy home features a family room with fireplace &amp; built in bookcases with window seat. Large master bedroom with walk in closet. Fresh paint, new carpet &amp; new HVAC system!  Close to schools, shopping, nearby parks &amp; major roadways. All this and a great price too!  Hurry!  No personal property included.  This is a Fannie Mae HomePath property.</t>
  </si>
  <si>
    <t>****OFFER ACCEPTED 4/5 - PAPERWORK PENDING****Use Showing Assist</t>
  </si>
  <si>
    <t>SUBMIT OFFERS @ HOMEPATH.COM USING ONLINE OFFER SYSTEM*USE ATTACHED CONTRACTS TO SUBMIT OFFERS*1ST 20 DAYS OPEN TO OWNER OCCUPANT ONLY*CHECK HOMEPATH FOR REMAINING 1ST LOOK DAYS*NO SURVEY-TAXES PRO-RATED @ 100%-BUYER PAYS TRANSFER STAMPS.</t>
  </si>
  <si>
    <t>TAKE 35TH EAST OR WEST TO CALUMET AVE, NORTH TO PROPERTY</t>
  </si>
  <si>
    <t>20X125</t>
  </si>
  <si>
    <t>Welcome home to this spectacular state of the art grey stone in the historical GAP area, designed by Jacobdabuilder spacious 4 bedrooms 5baths breath taking rooftop deck on the 3rd fl master spa bathrooms with body sprayers soak in tub elegant kitchen hardwood floor throughout home custom tile and ceilings new 2 car garage you really have to see this home in person, minutes away, Lake Michigan, and the new Mariano's</t>
  </si>
  <si>
    <t>Please call or text listing agent</t>
  </si>
  <si>
    <t>Sold well below appraised value - no backyard space and a shared easement.</t>
  </si>
  <si>
    <t>Kolmar</t>
  </si>
  <si>
    <t>Addison (3600N) to Kolmar (4600W) South to property.</t>
  </si>
  <si>
    <t>Meticulous rehab of adorable Chicago cottage on quiet street in area of much new construction. New kitchen w/42" cabs, granite tops, glass subway tile backsplash &amp; brand new stainless applnces. "Adult playroom" LL w/2 person spa. Charming backyard w/brick pavers &amp; pergola. All new windows. Fully insulated w/vented architectural tile roof (50 yr warranty!) 2 sep HVAC systems. Nothing to do but move in &amp; enjoy.</t>
  </si>
  <si>
    <t>SCAMMON ELEMENTARY SCHOOL</t>
  </si>
  <si>
    <t>Whirlpool, Garden Tub</t>
  </si>
  <si>
    <t>Use Showing Assistant. Short notice OK.</t>
  </si>
  <si>
    <t>Main</t>
  </si>
  <si>
    <t>Rt 47 to Fox Rd west to Main St south</t>
  </si>
  <si>
    <t>66X133</t>
  </si>
  <si>
    <t>Welcome to this charming home in the heart of Yorkville. Lots of living space, new roof 2014, updated interior paint~carpet, updated bathrooms &amp; electrical w/circuit breakers, large 2nd floor bedrooms w/walk in closets, 4th bedroom on main floor, fans in all bedrooms, full basement w/shower &amp; ready for toilet, some new windows, more! Close to schools, shopping, dining, Fox River, 13 month HWA home warranty, too!</t>
  </si>
  <si>
    <t>Shakes</t>
  </si>
  <si>
    <t>Wood Laminate Floors, 1st Floor Bedroom</t>
  </si>
  <si>
    <t>Agents note 3% CC. Quick close possible.</t>
  </si>
  <si>
    <t>Seneca</t>
  </si>
  <si>
    <t>Boulder Hill Pass to Seneca Dr. Close to the Boulder Hill Grade School.</t>
  </si>
  <si>
    <t>80X118X95X24X123</t>
  </si>
  <si>
    <t>Nice 4 bedroom Split-Level home close to grade school.  This home has an extra large lot.  New carpeting in family room and 4th. bedroom. This home shows well and is ready for immediate occupancy.  This is a nice home.  Listing Agent is Managing Broker.</t>
  </si>
  <si>
    <t>08X09</t>
  </si>
  <si>
    <t>WEIS REAL ESTATE</t>
  </si>
  <si>
    <t>(630) 554-9202</t>
  </si>
  <si>
    <t>Jack Weis</t>
  </si>
  <si>
    <t>(630) 730-7556</t>
  </si>
  <si>
    <t>630-730-7556</t>
  </si>
  <si>
    <t>Text Listing Agent, Jack Weis at 630-730-7556. Usually can be shown on short notice.</t>
  </si>
  <si>
    <t>Earnest Money to be held by Buyers Broker's Office or Sellers' Atty., ( Law Office of Mark Shea, P.C. Client Trust Account ) All Disclosures on Connect MLS. No Property Disclosure because home is in an Estate.  L. A. is Managing Broker.</t>
  </si>
  <si>
    <t>73rd Street to Clyde, Clyde south to the property.</t>
  </si>
  <si>
    <t>35 X 135</t>
  </si>
  <si>
    <t>Investors Dream! This 2-Story Brick Bungalow is spacious and full of vintage charm.  Located just minutes from the lake front, steps away from public transit &amp; schools, and easy access to LSD &amp; Expressways.  It needs total rehab but has all the ingredients for making the perfect home.  This is a must see, priced to sell, and WILL NOT last long.  (This is not a short sell or distressed property).</t>
  </si>
  <si>
    <t>2.75% MINUS $150 (on Gross SP)</t>
  </si>
  <si>
    <t>Victor Jones</t>
  </si>
  <si>
    <t>(708) 288-4882</t>
  </si>
  <si>
    <t>Text 708-288-4882</t>
  </si>
  <si>
    <t>Need experienced investor/buyer. Rehabbed it could bring over 225K. Please note: Multi Offers. Showings on Sentry lock box until 6 pm Saturday 11th. Lockbox will be removed and decision made. Email Jones745@aol.com</t>
  </si>
  <si>
    <t>Mission Hills</t>
  </si>
  <si>
    <t>RANDALL RD TO MISSION HILLS TO ADDRESS</t>
  </si>
  <si>
    <t>63X134X75X140</t>
  </si>
  <si>
    <t>4 BEDROOM WITH BIG BACKYARD WAITING FOR YOUR UPDATES / FAX OFFERS TO LISTING OFFICE WITH PRE-APPROVAL OR PROOF OF FUNDS / SOLD AS IS / NO SURVEY NOR DISLCOUSRES / 100% TAX PRORATION</t>
  </si>
  <si>
    <t>Highest best and final due 4/10/15 at 11:00 am</t>
  </si>
  <si>
    <t>Butterfield West to Hart North, to Hartfield go L, to Fairfield go R, to Aster Ct. go R, to home</t>
  </si>
  <si>
    <t>Hartfield Estates</t>
  </si>
  <si>
    <t>70X135X70X128</t>
  </si>
  <si>
    <t>This home could be on HGTV! Shows like NEW! 4 beds, 2.5 baths. Tons of Upgrades. Jaw dropping Master Suite &amp; Bath. Kitchen has granite, S/S, &amp; wine fridge. NEW sliding glass doors/roof/AC/water heater. Hardwood in most of home. Bedrooms feature cove ceilings, built-ins, custom wainscoting. Professionally landscaped. Fully fenced-in yard with brick paver patio &amp; shed. Fully finished basement. Includes home warranty.</t>
  </si>
  <si>
    <t>Eating Area-Breakfast Bar, Eating Area-Table Space, Pantry-Butler</t>
  </si>
  <si>
    <t>Oven/Range, Microwave, Dishwasher, Washer, Dryer, Disposal, All Stainless Steel Kitchen Appliances, Wine Cooler/Refrigerator</t>
  </si>
  <si>
    <t>Humidifier, Water-Softener Owned, TV-Cable, Ceiling Fan, Sump Pump, Radon Mitigation System(s)</t>
  </si>
  <si>
    <t>Vaulted/Cathedral Ceilings, Bar-Dry, Hardwood Floors, Wood Laminate Floors, 1st Floor Laundry</t>
  </si>
  <si>
    <t>36X29</t>
  </si>
  <si>
    <t>(630) 964-9696</t>
  </si>
  <si>
    <t>Carol Madey</t>
  </si>
  <si>
    <t>630-730-3083</t>
  </si>
  <si>
    <t>Must Confirm Appointment. Call/Text Listing Agent 630-730-3083</t>
  </si>
  <si>
    <t>House in great shape but buyers want to sell AS IS. Please remove shoes/Turn off lights/leave card. EXCLUSIONS: Refrigerator &amp; Drapes. Rods and Blinds STAY. NO HS CTG.</t>
  </si>
  <si>
    <t>Lindsay</t>
  </si>
  <si>
    <t>RT 72 to TARTANS right to Home</t>
  </si>
  <si>
    <t>Tartans Glen</t>
  </si>
  <si>
    <t>125 X 85</t>
  </si>
  <si>
    <t>BEAUTIFUL 4 BEDROOM 2 1/2 BATH ~ FINISHED BASEMENT ~ NEW HARDWOOD FLOORS, CARPETING, REFRIGERATOR, DISHWASHER, WASHER and DRYER ~ FRESHLY PAINTED THROUGHOUT ~ ROOF IS ONLY 5 YRS OLD ~ WALKING DISTANCE TO PARK ~ FENCED YARD ~ OVER SIZED 2 CAR GARAGE.</t>
  </si>
  <si>
    <t>2.5% -$250.00 (on Net SP)</t>
  </si>
  <si>
    <t>William Squires</t>
  </si>
  <si>
    <t>(847) 809-0054</t>
  </si>
  <si>
    <t>CALL CSS 1-877-977-1010</t>
  </si>
  <si>
    <t>ANDREW FOHR</t>
  </si>
  <si>
    <t>BEAUTIFUL HOME, WELL KEPT</t>
  </si>
  <si>
    <t>WASHTENAW</t>
  </si>
  <si>
    <t>103rd TO TALMAN. SOUTH TO 107st. RIGHT TO WASHTENAW. LEFT TO 10829.</t>
  </si>
  <si>
    <t>WONDERFUL FAMILY HOME IN A GREAT LOCATION ON A BEAUTIFUL BLOCK. 4 LARGE BEDROOMS AND A DEN OR COMPUTER ROOM. REMODELED BATHROOMS WITH CERAMIC TILE. SHARP KITCHEN WITH GRANITE COUNTERTOPS  OPENS TO A COMFORTABLE FAMILY ROOM. FORMAL DINING ROOM AND LIVING ROOM WITH CROWN MOLDING AND HARDWOOD FLOORS REFINISHED THROUGHOUT THE HOME. PARTIALLY FINISHED BASEMENT. HUGE DECK OVERLOOKS SPACIOUS BACK YARD. APPLIANCES STAY.NICE</t>
  </si>
  <si>
    <t>Oven/Range, Refrigerator, Washer, Dryer, All Stainless Steel Kitchen Appliances</t>
  </si>
  <si>
    <t>11X05</t>
  </si>
  <si>
    <t>Steven Graves, CNC,e-PRO</t>
  </si>
  <si>
    <t>(773) 216-5818</t>
  </si>
  <si>
    <t>CALL LISTING AGENT 773-216-5818</t>
  </si>
  <si>
    <t>GARCIA</t>
  </si>
  <si>
    <t>GREAT PLACE TO RAISE A FAMILY.</t>
  </si>
  <si>
    <t>NARRAGANSETT TO 60TH - EAST TO MELVINA - SOUTH TO HOME</t>
  </si>
  <si>
    <t>WOW!! BEAUTIFUL 4BR BRICK CAPE COD IN PRISTINE MOVE-IN CONDITION! GLEAMING HW FLOORS THROUGHOUT! NEWER THERMOPANE WINDOWS! BIG ROOMY SUNNY EAT-IN-KITCHEN WITH OAK CABINETS AND NEW FLOORING! BIG LIVING ROOM! 4 ROOMY BEDROOMS &amp; FRESHLY PAINTED THROUGHOUT! MODERN BATH! GORGEOUS YARD PERFECT FOR THOSE SUMMER BBQ'S!!! NICE 2 CAR GARAGE!! WOW!! CLOSE TO PARK, SCHOOLS, SHOPPING &amp; TRANSPORTATION!! A 10+ HURRY!</t>
  </si>
  <si>
    <t>Oven/Range, Refrigerator, Freezer, Washer</t>
  </si>
  <si>
    <t>EASY TO SHOW - CALL LISTING OFFICE!</t>
  </si>
  <si>
    <t>FRESHLY UPDATED &amp; SPARKLES!!! BRING YOUR FUSSIEST BUYERS!!!</t>
  </si>
  <si>
    <t>Cornell</t>
  </si>
  <si>
    <t>South St to Gale S to Cornell</t>
  </si>
  <si>
    <t>70 X 110</t>
  </si>
  <si>
    <t>Gorgeous home with fenced yard, new appliances, flooring, garage door, roof and fresh paint! Located within walking distance to college and shopping. Parks and access to major highways close by. So much home for the money! See attachment for PAS requirements and WFHM offer submittal information in MLS document section H&amp;B due by 5 pm today.</t>
  </si>
  <si>
    <t>Results Realty Illinois INC</t>
  </si>
  <si>
    <t>Catherine Moore</t>
  </si>
  <si>
    <t>(630) 417-8058</t>
  </si>
  <si>
    <t>Buyer should obtain a preapvl from Wells Pls see attached INSTRUCTIONS.To report any concerns with a listing broker/agent or to report any property condition or other concern needing escalation please call877-617-5274</t>
  </si>
  <si>
    <t>Mapquest .com or Google maps</t>
  </si>
  <si>
    <t>4125 SF</t>
  </si>
  <si>
    <t>MULTIPLE OFFERS RECEIVED, H&amp;B DUE 4/10. Foreclosed property. Great opportunity in this large brick cape cod with "real" second floor bedrooms and room for expansion. Needs rehab but has good bones. Sold AS-IS. Taxes prorated 100%. No survey or termite inspection provided.Cash only! ROOM SIZES ESTIMATED.</t>
  </si>
  <si>
    <t>Remar Realty Group Inc</t>
  </si>
  <si>
    <t>(708) 691-9582</t>
  </si>
  <si>
    <t>Ioana Juravle</t>
  </si>
  <si>
    <t>8504 S Justine Land Trust</t>
  </si>
  <si>
    <t>Archer East of Oak Park to Natoma and South.</t>
  </si>
  <si>
    <t>41 X 135</t>
  </si>
  <si>
    <t>Sought after Garfield Ridge Cape Cod that boasts first floor and basement laundries along with new concrete driveway and back-up generator.  Hardwood floors, cedar closet,  screened in porch and a backyard deck which is ideal for holidays and parties.  Less than a 10 minute drive to Midway Airport and CTA's Orange Line along with plenty of shopping and restaurants along Archer Ave to the north makes this a home a 10.</t>
  </si>
  <si>
    <t>BYRNE ELEMENTARY SCHOOL</t>
  </si>
  <si>
    <t>Oven/Range, Dishwasher, Refrigerator, Washer</t>
  </si>
  <si>
    <t>Hardwood Floors, Wood Laminate Floors, 1st Floor Bedroom, 1st Floor Laundry, 1st Floor Full Bath</t>
  </si>
  <si>
    <t>Realty Executives Midwest</t>
  </si>
  <si>
    <t>(630) 969-8880</t>
  </si>
  <si>
    <t>Joe Kenny</t>
  </si>
  <si>
    <t>(630) 334-2858</t>
  </si>
  <si>
    <t>Please Click Showing Assist Below</t>
  </si>
  <si>
    <t>Lenora Welko</t>
  </si>
  <si>
    <t>Damen</t>
  </si>
  <si>
    <t>87th street to Damen and north to property</t>
  </si>
  <si>
    <t>Lovely well maintained raised ranch in a great area!Home boasts large living room, formal dining room, and eat -in kitchen and hard wood floors. There are three bedrooms and 1 and a half baths. Home includes a 25x125 lot.</t>
  </si>
  <si>
    <t>Karen Weed</t>
  </si>
  <si>
    <t>(708) 828-5567</t>
  </si>
  <si>
    <t>Braemar</t>
  </si>
  <si>
    <t>ELA N OF CUBA TO BRAEMAR N</t>
  </si>
  <si>
    <t>BRAEMAR</t>
  </si>
  <si>
    <t>LAKE ZURICH</t>
  </si>
  <si>
    <t>182X48X144X171</t>
  </si>
  <si>
    <t>Exceptional home.Huge cul-de-sac lot.Fantastic neighborhood with park. Across from Cuba Marsha and trails. $50K in recent improvements incl. premium windows,siding,solid core doors,new granite counters,refinished hardwood floors, fresh paint plus newer roof, a/c, furnace, sump, waterheater ,dishwasher, landscaping &amp; so much more. Finished basement, deck, fenced yard. Near Deer Park for shopping &amp; all conveniences.</t>
  </si>
  <si>
    <t>Corner, Cul-de-sac, Fenced Yard, Irregular</t>
  </si>
  <si>
    <t>Recreation Room, Storage</t>
  </si>
  <si>
    <t>34X24</t>
  </si>
  <si>
    <t>24X10</t>
  </si>
  <si>
    <t>(847) 367-8686</t>
  </si>
  <si>
    <t>Marco Amidei</t>
  </si>
  <si>
    <t>(847) 367-4886</t>
  </si>
  <si>
    <t>Anita@HomesByMarco.com</t>
  </si>
  <si>
    <t>CALL L/O 847-367-8686 **1 hour notice required**</t>
  </si>
  <si>
    <t>Please direct all inquiries to the co-list, Anita Sullivan, 630-878-0170</t>
  </si>
  <si>
    <t>ANGLE TARN</t>
  </si>
  <si>
    <t>Rt. 31 to Boncosky, W to Fairhills to Angle Tarn</t>
  </si>
  <si>
    <t>FAIRHILLS OF CANTERFIELD</t>
  </si>
  <si>
    <t>GEORGIAN</t>
  </si>
  <si>
    <t>83X150X147X143</t>
  </si>
  <si>
    <t>Big &amp; Beautiful! 4BR, 3-1/2BA plus finished basement! 2-story foyer, sep. LR w/crown molding &amp; DR w/tray ceil! Updated island kit. w/42 in. maple cabs, stone backsplash, granite tops, SS appl, recessed lites! Huge bright FR w/vaulted ceil, FP, 9' ceils &amp; maple flrs thru-out 1st flr! Luxury MBR suite w/maple flrs, dbl sinks, granite, sep. soaking tub&amp; shower! New carpet in BR's. Fin bsmt w/bath! Fantastic deck &amp; yard!</t>
  </si>
  <si>
    <t>32X15</t>
  </si>
  <si>
    <t>Breakfast Room, Recreation Room</t>
  </si>
  <si>
    <t>40X18</t>
  </si>
  <si>
    <t>Susan Pickard, ABR,CNC,CRS,GRI,SRES</t>
  </si>
  <si>
    <t>(847) 955-9290</t>
  </si>
  <si>
    <t>Call LO 847-577-9797 x0</t>
  </si>
  <si>
    <t>HOMAN</t>
  </si>
  <si>
    <t>103RD STREET TO HOMAN AVE (3400 W) SOUTH TO 10564</t>
  </si>
  <si>
    <t>58 X 135</t>
  </si>
  <si>
    <t>CALLING ALL INVESTORS-OPPORTUNITY TO REHAB OR RE-BUILD ON A HARD TO FIND OVERSIZED LOT IN A PREMIER LOCATION.   SOLD AS-IS</t>
  </si>
  <si>
    <t>Sub-Basement</t>
  </si>
  <si>
    <t>2 Stories, Tear Down</t>
  </si>
  <si>
    <t>22X7</t>
  </si>
  <si>
    <t>Re/Max Synergy</t>
  </si>
  <si>
    <t>(815) 277-2858</t>
  </si>
  <si>
    <t>Carol O'Neill</t>
  </si>
  <si>
    <t>(708) 870-6631</t>
  </si>
  <si>
    <t>EARNEST MONEY MUST BE CERTIFIED FUNDS</t>
  </si>
  <si>
    <t>GIDDINGS</t>
  </si>
  <si>
    <t>South on Austin to Giddings East</t>
  </si>
  <si>
    <t>30X166</t>
  </si>
  <si>
    <t>PERFECT 2 STORY INVESTMENT PROPERTY IS LOCATED IN AN UPCOMING AREA ON BIG LOT 30 X 160 . THE BUILDING FEATURES FOUR BEDROOMS AND IT HAS PLENTY OF POTENTIAL. LOTS OF UPGRADES INCL: REMODELED BATHS, KITCHENS, HIGH EFFIC. FURNACE ETC. NEITHER THE SELLER NOR THE BROKER MAKE ANY REPRES AS TO THE 2ND FLOOR KITCHEN. CLOSE TO X-WAY, MAIN STREET, SCHOOLS ETC...IN GOOD SHAPE BUT SOLD AS-IS. LOW TAXES...LAND LACK .</t>
  </si>
  <si>
    <t>Enclosed Porch Heated, Recreation Room, Storage, Utility Room-Lower Level, Walk In Closet</t>
  </si>
  <si>
    <t>Use showing assist.</t>
  </si>
  <si>
    <t>Disclosures under additional information. Any questions please call or text listing agent Adam @ 1.847.791.9033</t>
  </si>
  <si>
    <t>Boulder Hill Pass</t>
  </si>
  <si>
    <t>Rt 34 to Boulder Hill Pass</t>
  </si>
  <si>
    <t>80.74X139.43X61.4X3.55X138.22</t>
  </si>
  <si>
    <t>Adorable and spacious- All of the work has been done for you! The kitchen was just finished with new counters &amp; stainless steel appliances, plus it has extra cabinets &amp; counter space. Exterior has been freshly painted, new roof 2013, fully fenced yard, large shed is the size of a one car garage, double wide driveway. Love the new foyer with hardwood floor. Updated baths. Close to school, park district, river &amp; paths!</t>
  </si>
  <si>
    <t>Storage Shed</t>
  </si>
  <si>
    <t>Pls Call CSS 877-977-1010</t>
  </si>
  <si>
    <t>Contact Lara w/?s, offer lara.heckelsberg@coldwellbanker.com 630-253-2995  HIGHEST/BEST OFFERS DUE BY 5:00 PM APRIL 9TH!</t>
  </si>
  <si>
    <t>Lincoln Hwy (38) to Annie Glidden S to to Taylor E to Glidden Ave S to Gayle</t>
  </si>
  <si>
    <t>78 X 133</t>
  </si>
  <si>
    <t>Almost completely NEW 4 bedroom,  2 bath home!  New roof, furnace, central air, flooring, gutters and downspouts, hot water heater, bathrooms, lights, fixtures, appliances, concrete and more!   Spacious yard, 80% fenced in, new poured walkway and porch.  Extra clean storage and Bonus Room with wet bar.</t>
  </si>
  <si>
    <t>Kristin Young</t>
  </si>
  <si>
    <t>Hearthstone</t>
  </si>
  <si>
    <t>Orchard or Randall to Oak to Windstone Dr. to Hearthstone Lane.</t>
  </si>
  <si>
    <t>WINDSTONE PLACE</t>
  </si>
  <si>
    <t>69X177</t>
  </si>
  <si>
    <t>Great Home with large Great Room with vaulted ceilings. Enjoy the spacious separate dining room. The large eat in Kitchen gives you plenty of cabinets. Plenty of windows will brighten your day. Also enjoy the first floor private den. The Master Bedroom Suite. Home being sold occupied.  Currently tenant occupied.</t>
  </si>
  <si>
    <t>Matt Grander</t>
  </si>
  <si>
    <t>(630) 470-3800</t>
  </si>
  <si>
    <t>CSS at 877-977-1010</t>
  </si>
  <si>
    <t>Caddy</t>
  </si>
  <si>
    <t>Rt. 25 Right onto Ball Ave. Right onto Caddy Ave.</t>
  </si>
  <si>
    <t>72X112</t>
  </si>
  <si>
    <t>GREAT 4 BEDROOM 2 BATH 1 CAR GARAGE HOME. LARGE FENCED YARD.  CLOSE TO SHOPPING. NEEDS TLC. NO FHA.</t>
  </si>
  <si>
    <t>36X24</t>
  </si>
  <si>
    <t>2% -$225 (on Net SP)</t>
  </si>
  <si>
    <t>Judy Cox, ABR,CNC,CRS,GRI,PMN,SFR,SRES</t>
  </si>
  <si>
    <t>(630) 546-7276</t>
  </si>
  <si>
    <t>630-546-7276</t>
  </si>
  <si>
    <t>PLEASE SEE SHOW ASSIST</t>
  </si>
  <si>
    <t>QUEENS PARK OVAL ASSET HOLDING</t>
  </si>
  <si>
    <t>HOME SOLD AS IS.  NO PLAT OF SURVEY PROVIDED. TAXES PRORATED AT 100%.  NO FHA.</t>
  </si>
  <si>
    <t>Green Bay</t>
  </si>
  <si>
    <t>E. 106th to 104TH Green Bay to Address</t>
  </si>
  <si>
    <t>31X112</t>
  </si>
  <si>
    <t>Nice and Neat split level in Great Condition. Nicely decorated. Many updates including Thermo Windows. High Efficiency Furnace &amp; AC. Newer high Grade Roof. Private Yard. Priced to sell quick.</t>
  </si>
  <si>
    <t>Call Listing Office For Appointment (773) 731-8500</t>
  </si>
  <si>
    <t>Schrader</t>
  </si>
  <si>
    <t>Deerpath Rd to Tanner to Bennett Dr to Bauer to Schrader to home.</t>
  </si>
  <si>
    <t>THE RESERVES</t>
  </si>
  <si>
    <t>Absolutely FABULOUS!! This house has it all..exceptional quality built home featuring 5000 sq feet of luxury! Open floor plan w/ gleaming hdwd flrs, front &amp; back staircases, true gourmet kitch w/ Quartz tops, gorgeous cabinetry, all SS appl. including dbl ovens. 4 large bdrms includes master suite &amp; bath Fantastic full fin bsmt w/ full bath! 3 car garage, paver patio, extensive landscaping, all on a great cul de sac</t>
  </si>
  <si>
    <t>Den, Eating Area, Foyer, Office, Play Room, Recreation Room, Other</t>
  </si>
  <si>
    <t>Jennifer Bennett, ABR</t>
  </si>
  <si>
    <t>(630) 262-6505</t>
  </si>
  <si>
    <t>855-746-9093 for all showings</t>
  </si>
  <si>
    <t>99TH OR 103RD TO LEAVITT (2150 W)</t>
  </si>
  <si>
    <t>48 X 171 X 53 X 171</t>
  </si>
  <si>
    <t>IN THE HEART OF BEVERLY! THIS CLASSIC TRADITIONAL HOME IS BEAUTIFULLY DECORATED &amp; OFFERS A GRACIOUS LIVING RM , COVE MOLDINGS, STUNNING FIREPLACE,  OPENS TO WONDERFUL SIT RM , NEWER CUSTOM DESIGNED  OPEN KITCHEN W/ CENTER ISLAND, SS APPLS, GRANITE, OPENS TO HEATED SUN RM. MASTER BATH, WINDOWS REPLACED, ELEC 200 AMP, ZONED CA, 2 PAVER PATIOS, LUSCIOUS HUGE YARD. 1 BLK TO SUTHERLAND, WALKING TO METRA, PARK. PERFECTION!</t>
  </si>
  <si>
    <t>Recreation Room, Sitting Room, Storage, Sun/Florida Room Heated, Tandem Room, Utility Room-Lower Level, Workroom</t>
  </si>
  <si>
    <t>Mediter./Spanish</t>
  </si>
  <si>
    <t>Nancy Hotchkiss</t>
  </si>
  <si>
    <t>(312) 339-3405</t>
  </si>
  <si>
    <t>USE SHOWING ASSIST. BUYER MUST BE ACCOMPANIED BY THEIR AGENT.</t>
  </si>
  <si>
    <t>EARNEST MONEY TO BE CERTIFIED FUNDS PAYABLE TO BHHS BIROS REAL ESTATE.</t>
  </si>
  <si>
    <t>COUNTY FARM TO ARLINGTON EAST TO FRANKLIN CT</t>
  </si>
  <si>
    <t>GREAT BUY IN POPULAR AREA! NEEDS COSMETICS BUT HAS SO MUCH TO OFFER!! 4BR, 2 BATHS AND A 2 CAR ATTACHED GARAGE! NICE SIZE FENCED YARD! LOCATED CLOSE TO THE SUBDIVISION POOL (THERE IS AN ASSOCIATION FEE FOR POOL)! SOLD AS IS.NO DISCLOSURES. ADDENDUM AFTER ACCEPTANCE, MIN 1% EMD    MULTIPLE OFFERS PLEASE SUBMIT H&amp;B BY MONDAY 4/20/15 BY 3PM</t>
  </si>
  <si>
    <t>John Tillotson</t>
  </si>
  <si>
    <t>CALL OFFICE OR USE SHOWING ASST EASY</t>
  </si>
  <si>
    <t>WENTWORTH</t>
  </si>
  <si>
    <t>SOUTH ON SOUTH WENTWORTH AVE TO 10245 TO HOME</t>
  </si>
  <si>
    <t>LOVELY BRICK CAPE COD HOME HAS FOUR BEDROOMS, AN FULL BASEMENT AND A GREAT YARD. IT IS LOCATED ON A BEAUTIFUL BLOCK. THIS IS A REVERSE MORTGAGE FORECLOSURE. PROPERTY IS BEING SOLD â€œAS ISâ€_x009d_. SELLER DOES NOT PROVIDE SURVEY OR TERMITE INSPECTION.</t>
  </si>
  <si>
    <t>CONTRACT PACKAGE AND EMD TO BE AT LISITNG OFFICE WITHIN 24 HOURS OF ACCEPTANCE. THE HOME IS SOLD AS IS-NO REPAIRS-NO CLOSING COSTS-NO EXCEPTIONS</t>
  </si>
  <si>
    <t>County Farm to Stairway to Cinema</t>
  </si>
  <si>
    <t>12,279 SQ FT</t>
  </si>
  <si>
    <t>Bright, spacious, and move-in ready 4 bedroom, 2 bath home. Corner lot,  updated kitchen with stainless steel appliances, corian counter-tops, updated bathrooms. Sliding doors lead to a HUGE backyard with fire pit, shed, swing set,  new 6 foot privacy fence, over sized  driveway. Bartlett High School, close to Metra, and shopping mall. Quite cul de sac street. Tons of storage space! Full attic for future expansion.</t>
  </si>
  <si>
    <t>HORIZON ELEMENTARY SCHOOL</t>
  </si>
  <si>
    <t>Bartlett High School</t>
  </si>
  <si>
    <t>Clubhouse, Scavenger, Snow Removal</t>
  </si>
  <si>
    <t>2.5% - 295 (on Net SP)</t>
  </si>
  <si>
    <t>Yolanda Rivera</t>
  </si>
  <si>
    <t>(773) 805-6971</t>
  </si>
  <si>
    <t>Call or Text LA 773-805-6971/ Some Notice is Required</t>
  </si>
  <si>
    <t>36W526</t>
  </si>
  <si>
    <t>72 west of Randall to Sleepy Hollow Rd (right) to Hickory Hollow (right) to house on right</t>
  </si>
  <si>
    <t>110 X 244</t>
  </si>
  <si>
    <t>Enjoy nature from your large front wrap around porch and backyard deck overlooking a private wooded view.   Inside features a versatile floor plan with many flex spaces.  Hardwood floors throughout most of the home.  Fresh neutral paint makes move your move-in simpler.  Quiet "dead end" neighborhood with no thru traffic.  This home can easily be a 2.5 bath home!  This is a Fannie Mae HomePath Property</t>
  </si>
  <si>
    <t>Den, Eating Area, Study</t>
  </si>
  <si>
    <t>Vinyl Siding, Brick, Clad Trim</t>
  </si>
  <si>
    <t>3% OF SP (on Gross SP)</t>
  </si>
  <si>
    <t>High4homes@yahoo.com</t>
  </si>
  <si>
    <t>CALL CENTRALIZED 877-977-1010.  Call Tara if making offer 630-730-6003</t>
  </si>
  <si>
    <t>Check HomePath.com for First Look period* Follow offer instructions in MLS saved in additional info tab*Seller has directed offers to be made at HomePath.com. CALL CO-AGENT BEFORE WRITING OFFER TO CHECK AVAILABILTY</t>
  </si>
  <si>
    <t>9N915</t>
  </si>
  <si>
    <t>Koshare</t>
  </si>
  <si>
    <t>Randall Rd West on Bowes to North on Koshare</t>
  </si>
  <si>
    <t>CATATOGA</t>
  </si>
  <si>
    <t>112X319X221</t>
  </si>
  <si>
    <t>Best kept secret-Beautiful, tranquil, private neighborhood,yet close to I90 n Randall Rd. Great home~perfect for everyday living n entertaining! Gorgeous updated kitchen w granite and SS appliances. Bright and inviting sunroom w sliders to gardens &amp; professionally landscaped property w open views of tree lined property to enjoy. Brick pavers walk ways in front and back~One of a kind~Priced to sell!</t>
  </si>
  <si>
    <t>Oven-Double, Microwave, Dishwasher, Refrigerator, Refrigerator-Bar, Washer, Dryer, All Stainless Steel Kitchen Appliances</t>
  </si>
  <si>
    <t>Dark Room, Eating Area, Recreation Room, Sun/Florida Room Heated</t>
  </si>
  <si>
    <t>Storage Shed, Brick Paver Patio, Storms/Screens</t>
  </si>
  <si>
    <t>22X22</t>
  </si>
  <si>
    <t>Susan Brill</t>
  </si>
  <si>
    <t>Showing begins Friday 4/17/15 after 5 pm show w confidence - priced to sell - will go fast</t>
  </si>
  <si>
    <t>LAKE SHORE DR TO 47TH ST, WEST TO LAKE PARK AVE, SOUTH TO 48TH ST, WEST TO DORCHESTER AVE</t>
  </si>
  <si>
    <t>3294 SQ FT</t>
  </si>
  <si>
    <t>SPACIOUS TWO STORY HOME WITH A TON OF POTENTIAL / FOUR LARGE BEDROOMS / TWO AND A HALF BATHROOMS / COZY FIREPLACE IN LIVING ROOM / BALCONY / GARAGE / CLOSE TO SCHOOL AND PARKS / SOLD AS IS / PROOF OF FUNDING MUST ACCOMPANY ALL OFFERS / PLEASE SUBMIT THE PURCHASE OFFER FORM LOCATED UNDER ADDITIONAL INFO WITH ALL OFFERS / PLEASE FAX ALL OFFERS TO THE OFFICE.</t>
  </si>
  <si>
    <t>**Multiple Offers-Highest,Best&amp;Final Offers due 2/18/14 at 2 PM.**</t>
  </si>
  <si>
    <t>87th St. two blocks west of Western Ave. to Washtenaw Ave. north to 85th St. west to home</t>
  </si>
  <si>
    <t>46 X 120</t>
  </si>
  <si>
    <t>Finally Back On Market! As-Is Estate Sale. Large &amp; well-built 4 bedroom, 2 bath quad-level brick home in Ashburn. Soaring vaulted ceilings w/beams. Gorgeous gleaming hardwood floors all refinished in last 3yrs. Well-equipped kitchen w/eat-in area. All appliances stay. Wood-burning fireplace w/gas starter. Central A/C and furnace only 4yrs old. Beautiful new privacy fence. Partially finished sub-basement with storage.</t>
  </si>
  <si>
    <t>Mike McCatty</t>
  </si>
  <si>
    <t>(708) 945-2121</t>
  </si>
  <si>
    <t>Tom's Cell 708-267-6725</t>
  </si>
  <si>
    <t>Call Centralized Showings: 877-977-1010</t>
  </si>
  <si>
    <t>Estate Sale being sold As-Is.  Was Temporarily Off the Market for family reasons over 300 days, thus reflecting the LONG market-time. Show with confidence. Call co-lister Tom Morrison with all questions/offers: 708-267-6725</t>
  </si>
  <si>
    <t>Seminole</t>
  </si>
  <si>
    <t>Route 25 to Helm Road, East to Papoose, North To Seminole, East to home</t>
  </si>
  <si>
    <t>Continue to show.............Raise a family here! Very well maintained raised ranch in School District #220. Great upper level layout with new flooring, and a full refinished bath. Private separate lower level living area, bedroom, full bath, family room and set up for kitchen. Extended Family? Newer windows and water heater. Wonderful whole house fan. Security system. Large back yard with beautiful perennials.</t>
  </si>
  <si>
    <t>Dishwasher, Refrigerator, Washer, Dryer</t>
  </si>
  <si>
    <t>Security System, Fan-Whole House</t>
  </si>
  <si>
    <t>Georgiana Sinnett, SFR</t>
  </si>
  <si>
    <t>(847) 533-6912</t>
  </si>
  <si>
    <t>Call 1.855.746.9100 to make an appointment</t>
  </si>
  <si>
    <t>Great home in wonderful condition.</t>
  </si>
  <si>
    <t>PARADISE</t>
  </si>
  <si>
    <t>RT 71 W OF PLAINFIELD RD TO PARADISE PRKWY S TO HOME</t>
  </si>
  <si>
    <t>BAYBERRY</t>
  </si>
  <si>
    <t>103 X 162 X 41 X 158</t>
  </si>
  <si>
    <t>THIS PROPERTY IS NOW UNDER AUCTION TERMS.</t>
  </si>
  <si>
    <t>ALL OFFERS MUST BE PLACED ON WWW.REALTYBID.COM.</t>
  </si>
  <si>
    <t>Ashlawn</t>
  </si>
  <si>
    <t>RT34 TO BOULDER HILL N TO CIRCLE DR WEST TO ASHLAWN</t>
  </si>
  <si>
    <t>79 X 130 X 81 X 130</t>
  </si>
  <si>
    <t>Short Sale. Pre-approved list price by lender.  Being Sold As-Is.</t>
  </si>
  <si>
    <t>Claudia Germann, GRI</t>
  </si>
  <si>
    <t>(630) 927-7377</t>
  </si>
  <si>
    <t>630-927-7377</t>
  </si>
  <si>
    <t>Call B&amp;W Showing Assist 1-855-746-9100</t>
  </si>
  <si>
    <t>CC: Pursuant to Short Sale. Short Sale. Pre-approved list price by lender. Buyers agent must accompany all showings</t>
  </si>
  <si>
    <t>Shoe Factory 2 Cobblers Crossing S to Hampshire W to Home</t>
  </si>
  <si>
    <t>72 X 107</t>
  </si>
  <si>
    <t>Nicely maintained one-Owner Home in family-friendly Cobblers Crossing. Close to Shopping, parks, The Centre and  Elgin Symphony, and Home to Elgin Academy Schools.  Concrete driveway &amp; brick paver patio. Newer Marvin windows upstairs and rear, plus new patio &amp; front doors. Spacious room sizes throughout. Eat-in kitchen with a bay window that overlooks spectacular gardens.</t>
  </si>
  <si>
    <t>ELGIN ACADEMY</t>
  </si>
  <si>
    <t>Donna Larrabee</t>
  </si>
  <si>
    <t>(847) 977-5564</t>
  </si>
  <si>
    <t>847-977-5564</t>
  </si>
  <si>
    <t>Call Listing Agent:  Donna Larrabee 847-977-5564</t>
  </si>
  <si>
    <t>2 Hour Notice.  Please leave a business card.  Watch for a shy but friendly cat - don't leave doors open.  Please exclude the stone bench in the garden. New Multi-board 6.0 contract is under "Additional Information" No sign on property</t>
  </si>
  <si>
    <t>RUTHERFORD</t>
  </si>
  <si>
    <t>NORTH OF NORTH AVE TO CORTLAND E TO RUTHERFORD S TO PROPERTY</t>
  </si>
  <si>
    <t>HI TECH MEETS HIGH TOUCH IN GALEWOOD! TOTALLY REHABBED BRICK ENGLISH HOME W/HARDWOOD FLOORS &amp; NATURAL WOODWORK THROUGHOUT. OPEN FLOOR PLAN. BEAUTIFUL HICKORY KITCHEN W/ TOP OF THE LINE SS APPLIANCES &amp; GRANITE COUNTERTOPS. MARBLE BATHROOMS W/GROHE &amp; KOHLER FIXTURES, FULL FINISHED BASEMENT W/SLATE TILES, GAS FIREPLACE, NEWER ELECTRIC, WINDOWS, PLUMBING, HVAC, ROOF. NEW DECK OFF OF KITCHEN.BRICK 2.5 C GAR-A PERFECT 10!</t>
  </si>
  <si>
    <t>Realty Zone, LLC</t>
  </si>
  <si>
    <t>(773) 481-5050</t>
  </si>
  <si>
    <t>Jessie Leszanczuk</t>
  </si>
  <si>
    <t>(847) 400-6060</t>
  </si>
  <si>
    <t>Use showing assistant - 24 hours notice Sat &amp; Sun Only!</t>
  </si>
  <si>
    <t>Beautiful house in move-in condition. Regular sale, can close quickly. Please request showings via showing assistant ONLY and direct all questions to the listing broker and not the tenant. Seller is licensed realtor. Thank you for showing.</t>
  </si>
  <si>
    <t>40W261</t>
  </si>
  <si>
    <t>PALMER (Y179)</t>
  </si>
  <si>
    <t>KESLINGER ROAD WEST OF RANDALL, TO FRIENDSHIP LANE, TO KING DRIVE,TO PALMER RD.</t>
  </si>
  <si>
    <t>PALMETTO II</t>
  </si>
  <si>
    <t>PICTURESQUE GOLF COURSE VIEWS FROM THIS STUNNING TWO STORY HOME!  NEW CONSTRUCTION WITH ALL THE BELLS AND WHISTLES.  4 BED/3.1 BATH WITH 3 CAR GARAGE, FIREPLACE, COVERED FRONT PORCH, PLUS A GREAT GOURMET KITCHEN W/ GRANITE KITCHEN COUNTETOPS, STAINLESS STEEL APPLIANCES, UPGRADED CABINETS AND HARDWOOD FLOORS. A MUST SEE!</t>
  </si>
  <si>
    <t>Park/Playground, Pool, Tennis Courts, Pond/Lake, Sidewalks, Street Lights</t>
  </si>
  <si>
    <t>Central Air, Fireplace, Basement, Garage, Hardwood/Ceramic Floors, Landscaping</t>
  </si>
  <si>
    <t>Humidifier, CO Detectors, Radon Mitigation System(s)</t>
  </si>
  <si>
    <t>PLEASE CALL MILL CREEK SALES CENTER AT 630-232-8181</t>
  </si>
  <si>
    <t>PLEASE CONTACT MILL CREEK SALES CENTER FOR INFORMATION 630-232-8181.</t>
  </si>
  <si>
    <t>Cicero to 53rd then west to Kilpatrick</t>
  </si>
  <si>
    <t>SPLIT LEVE</t>
  </si>
  <si>
    <t>short sale needing 3 rd partyt approval  good basic house needs minor cosmetics</t>
  </si>
  <si>
    <t>Michael Milcarek</t>
  </si>
  <si>
    <t>(224) 456-5152</t>
  </si>
  <si>
    <t>call LA 224-456-5152</t>
  </si>
  <si>
    <t>CC: Pursuant to Short Sale. subject to bank approval  no more showings per seller</t>
  </si>
  <si>
    <t>66th</t>
  </si>
  <si>
    <t>Marquette Rd (6700S) to Springfield (3900W) North to 66th Pl West to Property</t>
  </si>
  <si>
    <t>MUST SEE ****COMPLETELY REMODELED BRICK CAPE COD,FEATURE TOTAL OF 4 BED ROOMS 2 FULL BATHS,NEW KITCHEN CABINET,GRANITE TOPS,BACKSPLASH,SS APPLIANCES,CUSTOM TILES DESIGN,RECESSED LIGHTING,HARD WOOD FLOORING THRU-OUT, CENTRAL HEATING UNIT,NEW WINDOW, FULL FINISHED BASEMENT AND A NEW 2 CAR GARAGE.,,,,,, EASY SHOW ,,,,,,,,,,,,</t>
  </si>
  <si>
    <t>2.5%-$75 (on Net SP)</t>
  </si>
  <si>
    <t>MARIA</t>
  </si>
  <si>
    <t>EASY SHOW</t>
  </si>
  <si>
    <t>Lawrence to Central Park. North 2 blocks  to Argyle. West 1 block to Lawndale.</t>
  </si>
  <si>
    <t>Winning recipe: start with a 30 foot wide lot on a cul de sac near Eugene Field  Park and Brown line train. Add classic brick bungalow with oak &amp; maple floors on the 1st. level, formal dining, 21' living room w/ gas fireplace,fired up kitchen w/ granite, stainless, &amp; center island.  2nd. floor master bath, central air, and rec area w/ pool table &amp; hi grade laundry. Party sized patio. 1 yr. warranty policy .  Enjoy</t>
  </si>
  <si>
    <t>Off Alley, Side Apron</t>
  </si>
  <si>
    <t>2.5% -$275. (on Net SP)</t>
  </si>
  <si>
    <t>John Byrne</t>
  </si>
  <si>
    <t>(312) 859-0368</t>
  </si>
  <si>
    <t>Please allow 24 hour notice. To show, call or text John.  312  859-0368.</t>
  </si>
  <si>
    <t>1 year home warranty policy to buyer at time of closing. Approx. $ 375. value.   Sellers request home be sold as-is.</t>
  </si>
  <si>
    <t>Montrose</t>
  </si>
  <si>
    <t>Central to Montrose. Montrose west to home. No sign.</t>
  </si>
  <si>
    <t>Well cared for 4 bed, 2 bath Portage Park brick ranch with huge fully renovated basement inc bedroom and full bath, countertop w/sink,etc! Ideal for larger family or in-law arrangement. Hardwood floors on first level.Dry lower level has tile floor and space to add additional bedroom or office. Open/Eat-in Kitchen. Small back porch and beautifully maintained back yard. Newer 2 car garage. Easy access to expressway.</t>
  </si>
  <si>
    <t>Please Use Showing Assist. Agent accompanied.</t>
  </si>
  <si>
    <t>On Montrose but home is very quiet. Ideal for those who want quick walk to shopping &amp; easy acces to bus. Huge Fully renov full finished bsmt w/full bath &amp; bedrm, sink, rec rm. Could be ideal for in-law arrangement, etc.</t>
  </si>
  <si>
    <t>Route 34 to Douglas to Bluegrass Parkway to Julep Ave. before Wolfs Crossing Road.</t>
  </si>
  <si>
    <t>The Oaks At Churchill Club</t>
  </si>
  <si>
    <t>EVERETT-B LOT#68</t>
  </si>
  <si>
    <t>51X155X147X119</t>
  </si>
  <si>
    <t>The Oaks at Churchill Club New Construction! 9' Ceilings &amp; Hardwood Flrs on Main Level, Grand 2S Foyer, Kit Ftrs Breakfast Bay + Granite + SS Appl's, 1st Flr Ldy/Mudroom &amp; Den! Master Br w/Pvt Lux Bath. Stained Rails &amp; Spindles, Upper Level.  100% Energy Star. 30 year Structural Transferrable Builder Warranty, The Photos Are of the Subject Home Ready For Immediate Occupancy! 3 Car Garage Is Tandem/Pool &amp; Clubhouse</t>
  </si>
  <si>
    <t>3%-$200 ON BASE PRICE (on Net SP)</t>
  </si>
  <si>
    <t>Agent must accompany buyers on first visit. Commission paid on base price. Register your clients upon arrival at the Sales office with Nicolle.</t>
  </si>
  <si>
    <t>CENTRAL AVE SOUTH TO 51ST ST. EAST TO LOCKWOOD. SOUTH TO PROPERTY.</t>
  </si>
  <si>
    <t>DEAL FELL - MAJOR PRICE REDUCTION - LARGE  BRICK CAPE COD FEATURES 4 BEDROOMS &amp; 3 FULL BATHS HARDWOOD FLS THROUGHOUT. UPDATED KIT. REMODELED BASEMENT INCLUDES A JUNIOR SUITE, FAMILY/TV ROOM, CRAFT ROOM, LAUNDRY ROOM AND A LOT OF STORAGE . OUTSIDE FEATURES A PARTIALLY SHADED NEWER DECK (23X10), ASTROTURF AREA AND 2-CAR GARAGE. POSSIBLE IN-LAW ARRANGEMENT</t>
  </si>
  <si>
    <t>Deck, Other</t>
  </si>
  <si>
    <t>Absolute Realty Source Corp.</t>
  </si>
  <si>
    <t>(708) 749-4111</t>
  </si>
  <si>
    <t>Gladis Beirne</t>
  </si>
  <si>
    <t>TEXT LA FIRST 708-528-4111 - SHORT NOTICE OKAY</t>
  </si>
  <si>
    <t>Subject to Court Approval. PRICE HAS BEEN REDUCED TO SELL.</t>
  </si>
  <si>
    <t>HOME SOLD PRIOR TO PROCESSING. PHOTOS OF SIMILAR MODEL.</t>
  </si>
  <si>
    <t>FOR INFORMATION PLEASE CALL 847-426-4411.</t>
  </si>
  <si>
    <t>HOME SOLD PRIOR TO PROCESSING.  BASE PRICE OF HOME IS $274,990 PLUS LOT PREMIUM IF ANY.</t>
  </si>
  <si>
    <t>West on North to Richmond, north to property</t>
  </si>
  <si>
    <t>WEST BUCKTOWN/HUMBOLDT PARK! NEW CONST 4+BED 3.5 BATH, 2 CAR GAR SLEEK MODERN DESIGN WIDE OPEN FLOORPLAN/HIGH CEILINGS HW FLRS THRU-OUT. HIGH END KIT W/WHITE CUSTOM CABS,TOP OF THE LINE SS APP PACK, &amp; SILESTONE CTS. PORCELAIN TILED BTHS, SPACIOUS MSTR BTH W/HUGE SHOWER/ DBL BOWL VANITY. JACK/JILL BTH FOR 2ND FLR BR.GREAT OUTDOOR SPACE ACCESS TO LARGE DECK OFF FAMILY ROOM.LOWER LEVEL MEDIA AND REC ROOM WITH WET BAR</t>
  </si>
  <si>
    <t>Humidifier, TV-Cable, Sump Pump</t>
  </si>
  <si>
    <t>Hunter's cell: 773.474.2753</t>
  </si>
  <si>
    <t>Kedzie St to 72nd Street West to Home</t>
  </si>
  <si>
    <t>Well Maintained Home with Many Upgrades. Brick Cape Cod with 4 Beds, 2 Baths, Freshly Painted, Ready to Move In. Hardwood Fl on First Floor. Large Eat-in Kitchen. Great Room sizes, Lots of Closet Space.  Newer Windows ( 5yrs), Roof, Furnace and A/C Windows ( 8Yrs) Full High Basement Partially Finished. Great Yard, and 1.5 Car Garage. Close to Shopping, Transportation, etc. Not a Short Sale or Foreclosure.</t>
  </si>
  <si>
    <t>Cornelia Matache</t>
  </si>
  <si>
    <t>(773) 456-1514</t>
  </si>
  <si>
    <t>Quick Close/ Possession possible.</t>
  </si>
  <si>
    <t>Lancaster</t>
  </si>
  <si>
    <t>7th Ave to Madison Ave east to Lexington Ave north to Lancaster Ave west</t>
  </si>
  <si>
    <t>65 X 100</t>
  </si>
  <si>
    <t>Fannie Mae Homepath Property! Bright &amp; Spacious 2 Story home with 4 Bedrooms, 1.5 baths, NEW carpet &amp; fresh paint, New kitchen appliances, French doors to living room, HW floors AND SGD to patio!  Seller will be replacing the furnace and A/C.   No personal property included.  POF is strongly encouraged w/offers.</t>
  </si>
  <si>
    <t>CAPITAL ASSET GROUP 630-369-4508</t>
  </si>
  <si>
    <t>Seller will be replacing the furnace and A/C.  Please see the attached docs. The seller has directed that all offers be made on Homepath.com.</t>
  </si>
  <si>
    <t>Boxwood</t>
  </si>
  <si>
    <t>RANDALL TO WINHAVEN L TO COLONIAL L TO BOXWOOD</t>
  </si>
  <si>
    <t>PORTSMOUTH</t>
  </si>
  <si>
    <t>60X196X141X153</t>
  </si>
  <si>
    <t>STATELY BRICK FRONT GEORGIAN, LARGE PROFESSIONALY LANDSCAPED LOT WITH PRIVATE FENCED YARD , BRICK PAVER PATIO, GARDEN WITH SWING, 2 SHEDS FOR EXTRA STORAGE. IMPRESSIVE 2 STORY FOYER. PRIVATE MASTER SUITE W/ LUXURY BATH. FINISHED BASEMENT WITH FULL BATH AND REC ROOM. SPRIKLER SYSTEM.</t>
  </si>
  <si>
    <t>3.0% - $175 (on Net SP)</t>
  </si>
  <si>
    <t>M. Araseli Cabral</t>
  </si>
  <si>
    <t>(847) 489-4842</t>
  </si>
  <si>
    <t>SOUTHERLAND - LOT 39</t>
  </si>
  <si>
    <t>RTE 34 To HWY 71, SW To Minkler Rd, S To Sales Center</t>
  </si>
  <si>
    <t>ELKRIDGE</t>
  </si>
  <si>
    <t>.25 ACRE +</t>
  </si>
  <si>
    <t>REGISTER CLIENT ON FIRST VISIT AT SALES OFFICE</t>
  </si>
  <si>
    <t>0N615</t>
  </si>
  <si>
    <t>King (Y-117)</t>
  </si>
  <si>
    <t>KESLINGER ROAD WEST OF RANDALL, TO FRIENDSHIP LANE TO KING DRIVE.</t>
  </si>
  <si>
    <t>PEACHTREE II</t>
  </si>
  <si>
    <t>96 X 120 X 83 X 120</t>
  </si>
  <si>
    <t>NEW CONSTRUCTION AT ITS BEST!  SHODEEN HOMES PEACHTREE MODEL IS SURE TO PLEASE W/ 2,603 SF AND 4 BEDROOMS/ 2.5 BATHS. THIS BEAUTIFUL HOME SITS ON A CORNER LOT W/ A FRONT COVERED PORCH AND 3 CAR GARAGE. INTERIOR FINISHES WILL INCLUDE A FIREPLACE,  HARDWOOD FLOORS, UPGRADED 42" KITCHEN CABINETS, GRANITE KIT CTRTPS, STAINLESS STEEL KITCHEN APPL. READY FOR IMMEDIATE DELIVERY!</t>
  </si>
  <si>
    <t>CO Detectors, Radon Mitigation System(s)</t>
  </si>
  <si>
    <t>PLEASE CONTACT SHODEEN SALES CENTER AT 630-232-8181</t>
  </si>
  <si>
    <t>HOME IS READY FOR IMMEDIATE OCCUPANCY. REALTOR BONUS OF $2,014 IF HOME CLOSES BEFORE END OF THE YEAR.  PLEASE CONTACT MILL CREEK SALES CENTER FOR INFORMATION 630-232-8181. CURRENT PROMOTION IS REFLECTED IN LIST PRICE.</t>
  </si>
  <si>
    <t>FAIRBANKS-C LOT#38</t>
  </si>
  <si>
    <t>79X129X79X127</t>
  </si>
  <si>
    <t>Fairbanks New Construction 9' Ceilings 1st Flr, Grand 2S Foyer, Gourmet Kitchen Ftrs Hardwood Flrs, Granite Counters, Center Island, Stainless Steel Appliances &amp; Breakfast Bay, 1st Flr Ldy, M/Suite w/Lux Bath, Study On 1st Flr, Stained Rails &amp; Spindles, 8 Ft. Bmt, 30 Year Transferable Structural Builder Warranty, 100% Energy Star Certified, Photos of Subject Home Ready NOW/Pool &amp; Clubhouse Community</t>
  </si>
  <si>
    <t>847-220-3439</t>
  </si>
  <si>
    <t>Please call Nicolle Gardiner  847-220-3439 or use Showing Assist</t>
  </si>
  <si>
    <t>Agent must accompany buyers on first visit. Commission paid on base price.  Be sure to register your clients upon arrival with Nicolle.</t>
  </si>
  <si>
    <t>Randall Rd to Main St, E to Millview, R to Lockwood Ln, R to home on Right.</t>
  </si>
  <si>
    <t>Beautiful home in Millcreek features great curb appeal, nice landscaping &amp; concrete drive. Many updates including newer roof, gutters, windows &amp; skylights, A/C, &amp; more! Traditional floor plan~large formal DR &amp; LR, Family Room with brick FP, built in bookshelves &amp; French door to patio &amp; lovely, private back yard. Large kitchen with dining area, island &amp; all appliances. 1st floor laundry &amp; den.  Great home &amp; location!</t>
  </si>
  <si>
    <t>Water-Softener Owned, TV-Cable, CO Detectors, Ceiling Fan, Sump Pump, Radon Mitigation System(s)</t>
  </si>
  <si>
    <t>Skylight(s), Wood Laminate Floors, 1st Floor Laundry</t>
  </si>
  <si>
    <t>Needs 24 Hour Notice-Call Listing Office or call Agent if after hours.</t>
  </si>
  <si>
    <t>North Ave to Cicero, North to Concord, West to property</t>
  </si>
  <si>
    <t>Exquisitely rehabbed home on a nice tree lined street. Spacious &amp; south facing home features 4 bedrooms / 2.5 elegant baths with mosaic glass tile in-lays, custom kitchen w/maple cabinets, granite countertops &amp; stainless appliances, HW floors, new electric, plumbing &amp; HVAC, and a full finished basement with 700 sf. of bonus area. Exterior features: new roof, siding, new windows, 2 car garage and fenced yard.</t>
  </si>
  <si>
    <t>10X40</t>
  </si>
  <si>
    <t>9X21</t>
  </si>
  <si>
    <t>Email bdituri@premierreventures.com with 24hrs advance notice</t>
  </si>
  <si>
    <t>40W160</t>
  </si>
  <si>
    <t>PALMER (Y275)</t>
  </si>
  <si>
    <t>KESLINGER ROAD TO FRIENDSHIP LANE GO NORTH TO KING LANE MAKE RIGHT TO PALMER ROAD MAKE RIGHT</t>
  </si>
  <si>
    <t>Breathtaking golf course views from this beautiful 2,751SF 4 Bedroom/3.5 Bath home. New construction estimated completion end of October. Home features 3 car garage, fireplace, hardwood floors, granite kit counters, stainless steel appliances and many other upgrades.  Each bedroom has an oversized walk-in closet, along with separate his &amp; hers closets in the master bedroom.  A must see!</t>
  </si>
  <si>
    <t>Separate Shower, Garden Tub</t>
  </si>
  <si>
    <t>PLEASE CALL SHODEEN SALES CENTER AT 630-232-8181</t>
  </si>
  <si>
    <t>SHODEEN HOME</t>
  </si>
  <si>
    <t>PLEASE CONTACT MILL CREEK SALES CENTER FOR INFORMATION 630-232-8181. CURRENT PROMOTION IS REFLECTED IN LIST PRICE.</t>
  </si>
  <si>
    <t>Route 38 to South 5th Street.</t>
  </si>
  <si>
    <t>66 X 156</t>
  </si>
  <si>
    <t>Charming home and a short walk from downtown Dekalb.  Hardwood floors in brs (and under LR and DR carpet)  &amp; beautiful wood trim throughout. Spacious kitchen &amp; lrg. pantry. Dual staircases, circuit breakers and large walk up attic.  Welcome to yesteryear...located on a brick street...sit back and enjoy on the large front porch or the screened in side porch. Large corner lot w/2 car garage. Home is freshly painted!</t>
  </si>
  <si>
    <t>Call Showing Time at 1-855-746-9100</t>
  </si>
  <si>
    <t>Home has been freshly painted and is in good condition.  Easy to show! Please use Multi-board 6.0 contract.</t>
  </si>
  <si>
    <t>DIVERSEY TO ROCKWELL, N ON ROCKWELL, W ON GEORGE, N ON WASHTENAW</t>
  </si>
  <si>
    <t>Newest Addition to the Indigo Homes Collection. 4 Bdrm/3.5 Bth Built with Sustainable &amp; Functional Living in Mind.  Sunny &amp; Spacious Flrpln, Custom Kitchen &amp; Baths, Energy Efficient Appliances, Tankless Wtr Heater, Low-Flow Fixtures &amp; Modern Finishes w/Touches of â€œgreenâ€_x009d_ Thruout, 2 Car Garage, Wet Bar &amp; Huge Backyard. Photos of Model Home Next Door, Completion Date November 2014- still time to select all finishes!</t>
  </si>
  <si>
    <t>Email Kellyparker@atproperties.com</t>
  </si>
  <si>
    <t>This is one of 4 new Indigo Homes on this block.  Lots of new construction in the area.  Model located at 2925 N. Washtenaw. Scheduled Completion Fall 2014</t>
  </si>
  <si>
    <t>GLEN COVE</t>
  </si>
  <si>
    <t>RT 72 TO RICHARD J. BROWN TO WESTER LEFT TO BAY SHORE LEFT TO GLEN COVE RIGHT</t>
  </si>
  <si>
    <t>53X120X73X120</t>
  </si>
  <si>
    <t>NICE CLEAN HOME IN REALLY GREAT AREA! LARGE FLOOR PLAN W/4 BEDROOMS, 2.5 BATHS! NICE BONUS ROOM W/FRENCH DOORS! LARGE EAT IN KITCHEN OPEN TO FAMILY ROOM! LUXURY MASTER SUITE WITH PRIVATE BATH &amp; SEPARATE TUB/SHOWER &amp; WALK IN CLOSET! CLUBHOUSE COMMUNITY W/YEAR ROUND ACTIVITIES! QUIET STREET!</t>
  </si>
  <si>
    <t>Clubhouse, Exercise Facilities</t>
  </si>
  <si>
    <t>Bonus, Den</t>
  </si>
  <si>
    <t>CLICK "SCHEDULE SHOWING" BELOW</t>
  </si>
  <si>
    <t>CC: Pursuant to Short Sale. THANK YOU FOR SHOWING OUR LISTING. SHORT SALE PROCESS HAS BEEN STARTED. VERY COOPERATIVE SELLERS. FULL TIME NEGOTIATOR ON OUR TEAM! **BUYER LOST HIS JOB SO HOUSE IS BACK ON THE MARKET***</t>
  </si>
  <si>
    <t>from Kedzie (3200W) E on 107th St to Sacramento (3000W) N to 10514</t>
  </si>
  <si>
    <t>37X100X38X99</t>
  </si>
  <si>
    <t>Refurbished front porch ... Lovely neutral decor 4-bdrm home ---since 2012, TTO roof, windows, remodeled bath w/skylight, staircase, hardwood floors, finished basement has laundry area-crawl storage area under kitchen, bsmt &amp; kit rewired...move-in ready...deck off kitchen,underground sprinklers...Pre-approved buyers, 24-hr notice...</t>
  </si>
  <si>
    <t>2.3% (on Gross SP)</t>
  </si>
  <si>
    <t>Cleary Realty, Inc.</t>
  </si>
  <si>
    <t>(708) 425-7000</t>
  </si>
  <si>
    <t>Cynthia Nieckula</t>
  </si>
  <si>
    <t>call L/A 773-988-1106 - 24 hr notice</t>
  </si>
  <si>
    <t>Ryan</t>
  </si>
  <si>
    <t>Great starter home - front porch w/be repaired, conditioned &amp; painted</t>
  </si>
  <si>
    <t>Central to School east to property</t>
  </si>
  <si>
    <t>Classic. Clean. Careful not to wait! Spacious well maintained bungalow features original wood work in great shape, beautiful built in cabinets, and a 2+ size garage. The den on the first floor can be converted back to a bedroom making 3 on the main level and 2 upstairs. Clean and open basement with a bathroom and exterior entrance door. Newer siding on the garage and back porch. Located near schools &amp; transportation.</t>
  </si>
  <si>
    <t>RLTR MBA, Inc.</t>
  </si>
  <si>
    <t>(708) 533-7908</t>
  </si>
  <si>
    <t>Christopher Doyle</t>
  </si>
  <si>
    <t>Click on Showing Assist or Text/Call 708.533.7908</t>
  </si>
  <si>
    <t>very solid property in a great location.</t>
  </si>
  <si>
    <t>Rt 34 to Hale St S. Property on E side of road</t>
  </si>
  <si>
    <t>326X400</t>
  </si>
  <si>
    <t>Great house in the country but close to in town amenities. 4 bedrooms and 2 full baths. Full finished basement with huge family room. Home has been freshly painted and has new carpet. Note large room sizes. Home sits on approx 3 acres! 3 car garage. NO PERSONAL PROPERTY INCL. This is a Fannie Mae HomePath property.</t>
  </si>
  <si>
    <t>Bar, Breakfast Room</t>
  </si>
  <si>
    <t>3% + $1000 BONUS (on Gross SP)</t>
  </si>
  <si>
    <t>Call Centralized Showing Service 877-977-1010</t>
  </si>
  <si>
    <t>ALL OFFERS MUST BE SUBMITTED USING THE HOMEPATH ONLINE OFFER SYSTEM - SEE WWW.HOMEPATH.COM. PAPERWORK FOUND IN ADDITIONAL INFO. TO SUBMIT OFFER. $1000 Buyer's agent bonus, restrictions apply. See homepath.com.</t>
  </si>
  <si>
    <t>5N200</t>
  </si>
  <si>
    <t>Grey Barn</t>
  </si>
  <si>
    <t>Randall N of Rte 64 to Crane west to Grey Barn</t>
  </si>
  <si>
    <t>The Maples</t>
  </si>
  <si>
    <t>187X345X185X342</t>
  </si>
  <si>
    <t>Beautiful retreat on 1.5 acres! Relax in the gorgeous family room with built in bookcases &amp; window seat where you'll take in sensational panoramic views! Woodcased openings, crown, chair rail, quality throughout. Stunning master with sitting area with views of backyard, luxury step down master bath with vaulted ceiling, skylight and whirlpool tub! Mature landscaping, large deck, firepit and it backs to open space-WOW</t>
  </si>
  <si>
    <t>Humidifier, Water-Softener Owned, Security System, Ceiling Fan, Fan-Attic Exhaust, Sump Pump</t>
  </si>
  <si>
    <t>Post</t>
  </si>
  <si>
    <t>Rt 64 to Tyler Rd(N) to Wing(E) to Post(N)</t>
  </si>
  <si>
    <t>Surrey Hill</t>
  </si>
  <si>
    <t>Charming  updated home w/lots of character on a private wooded lot in popular Surrey Hill!Open floor plan w/impressive 32x17 great rm...Cozy fam rm w/fp...Spacious "L" shaped kitch w/SS appls opens to sunroom...Dining rm w/bay window...Mbdrm w/dressing area-Huge bdrms all w/hwd floors!!Newer:furnace,a/c,roof,vinyl siding,windows,patio,fixtures!!Prime East Side location in a special enclave neighborhood!!</t>
  </si>
  <si>
    <t>Humidifier, Water-Softener Owned, CO Detectors, Ceiling Fan, Sump Pump, Backup Sump Pump</t>
  </si>
  <si>
    <t>Eating Area, Recreation Room, Sun/Florida Room</t>
  </si>
  <si>
    <t>Call 855-919-0377 for Appointment, Sellers Require 1 Hour Notice</t>
  </si>
  <si>
    <t>MONT CLARE</t>
  </si>
  <si>
    <t>FULLERTON W TO HARLEM, E ON ALTGELD, NORTH TO MONTCLARE</t>
  </si>
  <si>
    <t>WELL MAINTAINED SPLIT RANCH FEATURES 2 BR'S 1 BATH ON MAIN LEVEL + 2 BR'S 1 BATH &amp; KITCHEN AREA ON LOWER LEVEL. HARDWOOD FLRS, ENCLOSED FRONT &amp; REAR PORCHES. LOWER LEVEL HAS SEP ENTRANCE. HOUSE IS IN GOOD CONDITION. NICE COVERED REAR DECK &amp; DETACHED GARAGE. THIS IS A FANNIE MAE PROPERTY.</t>
  </si>
  <si>
    <t>Oven/Range, Microwave</t>
  </si>
  <si>
    <t>39w198</t>
  </si>
  <si>
    <t>Chisholm</t>
  </si>
  <si>
    <t>US20 W of Randall to Coombs North to Chisholm West to home 39w198</t>
  </si>
  <si>
    <t>WILDWOOD WEST</t>
  </si>
  <si>
    <t>117 X 363 X 299 X 163</t>
  </si>
  <si>
    <t>Nice Home Sitting on a Picturesque 1.18 Acre Lot. Home Features: Zoned Heating &amp; Air; w/ 2 Newer Furnaces &amp; Electronic Air Filters Air Condition Units Newer Humidifiers Newer High Efficiency Hot Water Tank Brand New Windows &amp; Bathrooms New Closet Organizers Freshly Painted Newer Pergo Floors Ceramic Tiles &amp; Carpet. Basement Partially Finished. Unbelievable Outdoor Basketball Court - Playset &amp; Invisible Fence Included</t>
  </si>
  <si>
    <t>Den, Eating Area, Game Room</t>
  </si>
  <si>
    <t>Use ShowingAssist - then call Gino 630-688-2345</t>
  </si>
  <si>
    <t>41W750</t>
  </si>
  <si>
    <t>Griffin</t>
  </si>
  <si>
    <t>RT 64 WEST TO GRIFFIN NORTH TO HOME</t>
  </si>
  <si>
    <t>BROOKSIDE MEADOWS</t>
  </si>
  <si>
    <t>171X654X185X731</t>
  </si>
  <si>
    <t>One-of-a-kind, custom home on 2+ acres of picturesque land! Incredible interior w/trendy finishes &amp; fixtures, white oak &amp; slate floors. Fabulous kitchen w/ granite counters, Wolf Oven/Range &amp; all other SS Apps. Inviting FR w/wood beamed ceilings &amp; unique wood burning FP. Grand master bath w/soaking tub, sep. shower &amp; heated floors. Walk-out basement w/access to patio &amp; sprawling grounds of meadows, woods &amp; wetlands!</t>
  </si>
  <si>
    <t>Water-Softener Owned, Air Cleaner</t>
  </si>
  <si>
    <t>Foyer, Recreation Room, Workroom</t>
  </si>
  <si>
    <t>Hardwood Floors, Heated Floors</t>
  </si>
  <si>
    <t>Randall Rd. to Main (W) to Deerpath to Kane Lane</t>
  </si>
  <si>
    <t>Custom home w/gourmet kit featuring: Thermador stainless appliances, granite breakfast bar,lspacious eating area. Porch w/vaulted ceiling. Family room w/wall of windows, back staircase and FP. Master suite with sitting area, glass block 2 person shower,whirlpool and dual vanities.3rd floor bonus room.Grand foyer w/iron balusters.  Unfinished English basement. Clubhouse, pool and tennis courts. Quick close OK</t>
  </si>
  <si>
    <t>Clubhouse, Park/Playground, Pool, Tennis Courts, Sidewalks, Street Paved</t>
  </si>
  <si>
    <t>Landscaped Professionally, Park Adjacent, Wooded</t>
  </si>
  <si>
    <t>Bonus, Breakfast Room, Foyer, Den, Screened Porch, Sitting Room</t>
  </si>
  <si>
    <t>Vaulted/Cathedral Ceilings, Skylight(s), Bar-Wet, Hardwood Floors, 1st Floor Laundry, 1st Floor Full Bath</t>
  </si>
  <si>
    <t>3.0%-200 (on Net SP)</t>
  </si>
  <si>
    <t>click on showing assist</t>
  </si>
  <si>
    <t>Graebel Relocation Services</t>
  </si>
  <si>
    <t>Please lock all doors and turn off lights.</t>
  </si>
  <si>
    <t>Vienna</t>
  </si>
  <si>
    <t>Sycamore Road to Dresser, rght on Sunrise, left on  Vienna.</t>
  </si>
  <si>
    <t>77X104</t>
  </si>
  <si>
    <t>Four-bedroom home with private backyard adjacent to forest preserve. 1.5 car extra-deep garage with attached sunroom/greenhouse. Eat-in kitchen. Hardwood floors and woodburning fireplace. Full basement.  property sold as-is.</t>
  </si>
  <si>
    <t>TV-Dish, CO Detectors, Sump Pump</t>
  </si>
  <si>
    <t>Secure ShowingAssist</t>
  </si>
  <si>
    <t>Please email all offers on a 5.0 contract and also include POF buyer ack needed with all offers see in documents.</t>
  </si>
  <si>
    <t>87th to Vernon, ( 1 East of King ) then North to home</t>
  </si>
  <si>
    <t>150 X 82</t>
  </si>
  <si>
    <t>large family home, deep drive way, put a pool and still have room to roam in this huge yard, master bedrm with his n her closet n full bath, 3 more bedrms and 2 full baths on 2nd fl. w/ exit to balcony, circular staircase, leading to 1st fl. foyer, step down to living rm and back up to dining rm, 1st fl family room n 2 kitchens.w 2 more baths .great floor plan, awesome home, hardwood floors under carpet, c/ brk</t>
  </si>
  <si>
    <t>Handicap Shower</t>
  </si>
  <si>
    <t>2.5% - $150. (on Net SP)</t>
  </si>
  <si>
    <t>Alma Garcia</t>
  </si>
  <si>
    <t>USE SHOWING ASSIST 24HR a must</t>
  </si>
  <si>
    <t>Reg Sale... Can close quick// lots of goodies that I didnt have room for, great home, earnest money in certied funds made out to Chicago Title ,window shutters not included,sold as is... lister will set all appoinments</t>
  </si>
  <si>
    <t>Homestead</t>
  </si>
  <si>
    <t>Miller NE of Huntley to Shenandoah to Homestead Ct</t>
  </si>
  <si>
    <t>132X28X40X35X52X111X24X25</t>
  </si>
  <si>
    <t>SHORT SALE DEAL! 4 bedroom, 3 Â½ bath home in sought after Shenandoah! Spacious, gourmet kitchen lined w/ gorgeous cabinets, and open to the Family Room! Spacious Master Suite w/ vaulted ceilings, huge walk-in closet &amp; a large, private Master Bath with stunning walk-in shower!  Large partially finished basement with lots of potential! Mega-convenient location close to everything! Very cooperative lender!</t>
  </si>
  <si>
    <t>Eating Area, Foyer, Loft, Mud Room, Recreation Room</t>
  </si>
  <si>
    <t>Vaulted/Cathedral Ceilings, Wood Laminate Floors, 2nd Floor Laundry</t>
  </si>
  <si>
    <t>CC: Pursuant to Short Sale. As-Is; no survey; any reduction in commission by lender will be split 50/50.  No refrigerator will stay. Putting green is NOT staying.  Agent in direct contact with lender.  Seller pre-approved to short sell...process started!</t>
  </si>
  <si>
    <t>39W384</t>
  </si>
  <si>
    <t>Longmeadow</t>
  </si>
  <si>
    <t>Randall North to Bolcum West to Prairie Lakes Blvd to Longmeadow</t>
  </si>
  <si>
    <t>34219 SQ FT</t>
  </si>
  <si>
    <t>Distinguished French country design w/classic appointments &amp; extraordinary finishes. Dramatic 2-story foyer opens to custom library w/built-ins.  Elegantly appointed kitchen boasting Thermadoor appliances &amp; glazed high-end cabinetry. Wide plank hrdwd flrs! Huge master w/luxurious spa like bath. 2nd flr game rm.  Elaborate &amp; oversized moldings.  HOME IS 90% COMPLETE! Photos are of homes builder previously completed.</t>
  </si>
  <si>
    <t>Breakfast Room, Foyer, Game Room, Mud Room, Office, Walk In Closet</t>
  </si>
  <si>
    <t>Call Kari at 630-673-4586 for your private tour!</t>
  </si>
  <si>
    <t>Stunning new construction home ... Ready for occupancy!!  Please call Kari at 630-673-4586 w/questions &amp; to arrange your private tour of this beautiful home.</t>
  </si>
  <si>
    <t>Stonewood</t>
  </si>
  <si>
    <t>Route 25 or Dunham to Country Club to Stonewood Dr. right across from St. Charles Country Club entry</t>
  </si>
  <si>
    <t>67X276X243X250</t>
  </si>
  <si>
    <t>Secluded wooded setting on the end of a private drive!  In-ground heated pool w/ automatic cover &amp; hot tub for water lovers! Screened porch &amp; deck for nature &amp; outdoor enjoyment.  Large room sizes, quality built, great floor plan, 2 story entry! Fresh carpet and paint.  Updating needed, but very livable w/ loads of potential-bring ideas &amp; make this incredible home yours!  7 yr roof, new driveway.  18'x37' heated pool</t>
  </si>
  <si>
    <t>Den, Deck, Screened Porch</t>
  </si>
  <si>
    <t>Deck, Porch Screened, Pool In-Ground, Storms/Screens</t>
  </si>
  <si>
    <t>Pool approx 15 yrs old. Cover 2 yrs, heater 1 yr, pump 1 yr. 18'x37'. Wrought Iron Fence encloses. 8'deep-2 1/2 ' in shallow  Hot tub stays All equipment. Please use 6.0 contract.</t>
  </si>
  <si>
    <t>Crestview</t>
  </si>
  <si>
    <t>North of Rte 14 on Rte 59 to Columbus on right. Left at T, house on left.</t>
  </si>
  <si>
    <t>Fairhaven</t>
  </si>
  <si>
    <t>135X244X135X244</t>
  </si>
  <si>
    <t>Renovated brick home: Large living areas. All new kitchen: Cherry Cabinets, Stainless Samsung Appliances, Granite Counter Top With Stainless Sink, Ceramic Floor and room for full sized table. All Bathrooms have new high end cabinets, toilets, shower, floors. Refinished oak floors and tile throughout. New: Furnace, A/C, Water Tank, Driveway, Garage Door, Light Fixtures. All on a 0.75 acre lot in town.</t>
  </si>
  <si>
    <t>Barrington Realty Company</t>
  </si>
  <si>
    <t>(847) 382-9100</t>
  </si>
  <si>
    <t>Corinne Guest</t>
  </si>
  <si>
    <t>(847) 363-3686</t>
  </si>
  <si>
    <t>BAUM</t>
  </si>
  <si>
    <t>36W450</t>
  </si>
  <si>
    <t>Rt #31 to Silver Glen Rd (W) to Whispering Trail (N) to Bristol</t>
  </si>
  <si>
    <t>142 X 327 X 99 X 202 X 232</t>
  </si>
  <si>
    <t>Stunning brk hme w/almost 7000 sq ft in exclusive Silver Glen Estates. Remodeled to perfection in 2010 w/over $200K of extensive millwrk, gourment kit w/cherry cabinets, granite &amp; SS appls. New HW flrs. Two EF furnaces &amp; A/C. Architectural shingle roof, &amp; beautiful new landscaping w/new Trek deck. Features grand 2-sty foy, spacious BRS, bonus rm, &amp; lower level w/bar, exercise rm, full bath w/steam shower! A must see!</t>
  </si>
  <si>
    <t>Humidifier, Water-Softener Owned, TV-Cable, Intercom, CO Detectors, Ceiling Fan, Sump Pump, Sprinkler-Lawn</t>
  </si>
  <si>
    <t>Bonus, Den, Exercise Room, Recreation Room</t>
  </si>
  <si>
    <t>47X43</t>
  </si>
  <si>
    <t>855 746-9100 / Prefer 2 hr notice / Must confirm</t>
  </si>
  <si>
    <t>Transferred owners hate to leave. Home shows extremely well. Open, airy floor plan w/ton of upgrades and updates...A true pleasure to show...</t>
  </si>
  <si>
    <t>Halsted to 97th Street, East to Yale, South to address</t>
  </si>
  <si>
    <t>This 4-bedroom raised ranch is in a lovely neighborhood and has been beautifully rehabbed with rich, pecan-colored flooring.  The kitchen has granite, a breakfast bar and SS appliances.  There's a full bath, wet bar and a 4th bedroom in the finished basement.  The backyard is very large and a great place for summer fun. Seller is providing a 13 months home warranty.  Don't miss out on this fabulous place.</t>
  </si>
  <si>
    <t>Patricia Hights</t>
  </si>
  <si>
    <t>773/390-0657</t>
  </si>
  <si>
    <t>Call Pat Hights, 773/390-0657</t>
  </si>
  <si>
    <t>Please allow 24 hours to show.  No Sunday Showings.</t>
  </si>
  <si>
    <t>BI-LEVEL STYLE WITH DETACHED GARAGE.  2BEDROOMS + BATH ON EACH FLOOR.  SOLD AS-IS, NO SURVEY, TAXES PRORATED AT 100%.  This property is to be placed in an upcoming event.  All pre-event or post-event offers will be reviewed and responded to within 3 business days.  All properties are subject to a 5% buyerâ€™s premium pursuant to the Event Agreement and Terms &amp; Conditions (minimums will apply).</t>
  </si>
  <si>
    <t>CLICK SHOWING ASSIST LINK</t>
  </si>
  <si>
    <t>SUBJECT TO AUCTION TERMS THAT REQUIRE NEW OFFERS AND COUNTEROFFERS BE SUBMITTED VIA WWW.HOMESEARCH.COM. FINANCED OFFERS-PREQUAL FROM GREENLIGHT LOANS(8886685832).PRE OR POST EVENT OFFERS TO SALES@HOMESEARCH.COM. bid start-11/15,ends-11/18.</t>
  </si>
  <si>
    <t>Rt. 30 to Gordon, north to Simpson, east to 2nd Cambridge Lane, right to home</t>
  </si>
  <si>
    <t>71 X 110</t>
  </si>
  <si>
    <t>How about a new home for the holidays? Move right in to this well maintained home!  Welcome guests in your spacious foyer and entertain in either the formal living and dining areas or relax in the family room with a cozy fire.  Looking for office space? Fenced yard? Check, check! Basement is partially finished, allowing you to complete as desired.  Established neighborhood with nearby elem school and park. Must see!</t>
  </si>
  <si>
    <t>Leslie Layne, CNC</t>
  </si>
  <si>
    <t>(630) 567-8906</t>
  </si>
  <si>
    <t>630-567-8906</t>
  </si>
  <si>
    <t>A real pleasure to show!  No HOA, but small SSA (between $147 and $252 per year) for the Village of Montgomery to maintain common areas of the subdivision.  Please note: mailbox fell victim to the snowplow; will be replaced in the spring.</t>
  </si>
  <si>
    <t>Aldon</t>
  </si>
  <si>
    <t>Rt 25 to Boulder Pass to Aldon Rd to Aldon Ct</t>
  </si>
  <si>
    <t>Very nice home that has been freshly painted with new light fixtures, vanity, etc. Home is move in ready.  4 bedrooms with 1 1/2 baths. Nice size yard and located in cul-de-sac. 1 car attached garage.  NO PERSONAL PROPERTY INCL. This is a Fannie Mae HomePath property. Oswego school district.</t>
  </si>
  <si>
    <t>Corner, Cul-de-sac, Irregular</t>
  </si>
  <si>
    <t>ALL OFFERS MUST BE SUBMITTED USING THE HOMEPATH ONLINE OFFER SYSTEM - FOR MORE INFO. VISIT WWW.HOMEPATH.COM. PAPERWORK FOUND IN ADDITIONAL INFO. TO SUBMIT OFFER. $1000 BUYER'S AGENT BONUS, RESTRICTIONS APPLY. SEE WWW.HOMEPATH.COM.</t>
  </si>
  <si>
    <t>BARNES</t>
  </si>
  <si>
    <t>RT 20 W OF RANDALL 2 WELD  N2 BARNES W2 HOME</t>
  </si>
  <si>
    <t>64X187X117X201</t>
  </si>
  <si>
    <t>PART BRK FRNT! 2-STY FYR W/PLNT SHLF &amp; OAK RAILS! SPAC FR W/SLDR 2 PATIO! BRIGHT OVERSIZE EAT-N KTCHN W/EXTRA REC LIGHTS, OAK CABS, SS APPLS &amp; HDWD FLRS! SEP FRML LR &amp; DR! LRG MBDRM W/WIC &amp; PRVT BTH W/TILE FLR, SKR TUB &amp; SEP SHWR! 6 PNL DRS! ADDITIONAL LNDRY HOOKUP IN BSMNT! 3 CAR GARAGE! FNCD YARD W/DOG RUN, PATIO &amp; STG SHED! BURLINGTON SCHOOLS - DIST 301!</t>
  </si>
  <si>
    <t>Patio, Storage Shed, Dog Run &amp;/or Invisible Fence</t>
  </si>
  <si>
    <t>FNCD YARD W/PATIO &amp; DOG RUN! 3 CAR GARAGE! PART BRK FRNT!</t>
  </si>
  <si>
    <t>69th St., East subject address 352 E. 69th St.</t>
  </si>
  <si>
    <t>This property is a total rehab.No survey or termite inspec. Buyer responsible for any/all inspec., compliances or escrows as needed. Proof of funds, if cash. Pre-qual reqâ€™d  with all offers, addendums follow accepted offer. Buyer acknowledgement</t>
  </si>
  <si>
    <t>Village Realty Shoppe</t>
  </si>
  <si>
    <t>(815) 485-1212</t>
  </si>
  <si>
    <t>Jana Foreman</t>
  </si>
  <si>
    <t>(708) 945-8411</t>
  </si>
  <si>
    <t>Bank of America, N.A. employees and employeesâ€™ household members (including persons deriving their primary means of financial support from a Bank employee), and HTS business partners of the Bank, are prohibited from purchasing this property</t>
  </si>
  <si>
    <t>Thatcher</t>
  </si>
  <si>
    <t>Rte. 72 West to Sleepy Hollow Rd. North to Kittridge Dr. to Thatcher Trail.</t>
  </si>
  <si>
    <t>Hills Of West Dundee</t>
  </si>
  <si>
    <t>HILLS OF WEST DUNDEE BEAUTIFUL BEDFORD MODEL. 4 BDRMS, 2.5 BATHS,  STUNNING KITCHEN WITH AN ISLAND GRANITE COUNTERTOPS. SPACIOUS BREAKFAST AREA WITH A SLIDER TO A GORGEOUS 3-SEASON PORCH.  FAMILY ROOM WITH A COZY BRICK FIREPLACE AND A CUSTOM BUILT ENTERTAINMENT CENTER. BATHROOM IN THE MASTER BEDROOM IS A MUST SEE WITH SKYLIGHT. FULL ENGLISH BASEMENT READY FOR YOUR FINISHING TOUCH. ROOF, SIDING AND GUTTERS 2 YEARS OLD</t>
  </si>
  <si>
    <t>Breakfast Room, Other</t>
  </si>
  <si>
    <t>Patio, Porch Screened, Storms/Screens</t>
  </si>
  <si>
    <t>Conventional, FHA, Owner May Help/Assist, Cash Only</t>
  </si>
  <si>
    <t>Mr. &amp; Mrs. Williams</t>
  </si>
  <si>
    <t>OPEN HOUSE TODAY, TUE, 8/12/14 FROM 10 A.M. TO 1 P.M.!!! WE WILL BE DRAWING A $100 GIFT CARD TO JIMMY'S CHARHOUSE.</t>
  </si>
  <si>
    <t>CICERO TO FLETCHER WEST TO 4917</t>
  </si>
  <si>
    <t>35X120</t>
  </si>
  <si>
    <t>Totally rehabbed SF home on X-Large lot. 4 beds, 3 full baths. Bed rooms offer full ceiling height. Master w/ large WIC &amp; private bath. Kitchen w/ new SS appliances &amp; granite. Formal Living &amp; dining room. Extra room can be a study rm. Hardwood flrs throughout. New plumbing,electric, HVAC. Clean, dry basement. Great space to spread out &amp; enjoy!</t>
  </si>
  <si>
    <t>Anthony Cort</t>
  </si>
  <si>
    <t>(312) 608-8203</t>
  </si>
  <si>
    <t>easy to show. on lock box. must accompany client. Text/email/call listing agent to schedule.  Open house sun 8/24 1-3</t>
  </si>
  <si>
    <t>Archer Avenue or 55th St. to Austin(6000W), South to 56th St, East to Mayfield(5900W), SE corner!</t>
  </si>
  <si>
    <t>1&amp;1/2 STORY BRK EXPANDABLE</t>
  </si>
  <si>
    <t>38'X126'</t>
  </si>
  <si>
    <t>CaptivatingCornerCapeCod! Attractive curb appeal awaits: 38ft privacy fenced yd/walk-out deck/2car brk garage w/storage/workrm extension/Main flr hdwd flrs(laminate in bright/spacious eat-in Kitchen)loads of cabinets/all appl. incl. mike &amp; dishwasher/Vinyl thermalpanes thruout/bsmt gls blks/Lg Bdrms up(tandem)w/closets/full bath/Fin bsmt w/FR/Ofc/HiEff GFA, 3/4 bath/Roofs-2008/Archer-Jewel:2blks/You're not here yet??</t>
  </si>
  <si>
    <t>KINZIE ELEMENTARY SCHOOL</t>
  </si>
  <si>
    <t>Archer Realty West</t>
  </si>
  <si>
    <t>(773) 585-7800</t>
  </si>
  <si>
    <t>John Spradley</t>
  </si>
  <si>
    <t>(773) 519-4353</t>
  </si>
  <si>
    <t>(773)519-4353</t>
  </si>
  <si>
    <t>Call Listing Office;after hours-call listing agent</t>
  </si>
  <si>
    <t>some notice for showings appreciated. Traditional Sale-Priced reasonably to be Sold: "AS-IS". Buyer's agent Must accompany showing(s), home inspection &amp; final walk-thru-NO exceptions. Buyer pre-qual/pre-approval &amp; disclosures with contract.</t>
  </si>
  <si>
    <t>Orchard to White Oak West to Wilkonson North to Patterson</t>
  </si>
  <si>
    <t>ORCHARD ESTATES</t>
  </si>
  <si>
    <t>Great location that is close to everything. Formal living &amp; dining rooms. Large kitchen w/island, pantry &amp; lots of cabinet space.  All this on a premium lot with water views! Bank owned. Sold as is, no survey, taxes prorated at 100% &amp; no personal property conveyed. Room sizes estimated. Listing information not guaranteed. Buyer to verify all information.</t>
  </si>
  <si>
    <t>Fenced Yard, Wetlands Adjacent, Water View</t>
  </si>
  <si>
    <t>In process of having roof leak repaired.  Offers must be submitted on Res.net. Cut/paste the following URL: https://agent.res.net/submitoffer/?returnurl=%2fOffers.aspx%3f-950911</t>
  </si>
  <si>
    <t>Belmont</t>
  </si>
  <si>
    <t>Wolfs Crossing to Cardinal North to Belmont East to home</t>
  </si>
  <si>
    <t>75X145</t>
  </si>
  <si>
    <t>Stunning move-in ready home in Churchill Club! Modern distressed hardwd floors flowing thru 2 stry entry &amp; updated kitchen! 42" cabinetry &amp; custom butcher block island! Butlers pantry! Beautiful open flrpln w/custom lighting, white trim/drs, 1st flr office! Master suite w/hardwd, luxury bath &amp; walkin closet! Partially finished bsmt w/tons of storage! Private fenced yard &amp; deck! Walk 2 elementary, JHS, pool &amp; clubhse!</t>
  </si>
  <si>
    <t>Jennifer Conte</t>
  </si>
  <si>
    <t>(630) 615-2810</t>
  </si>
  <si>
    <t>SARASOTA</t>
  </si>
  <si>
    <t>72 E of 47 to Cambridge &amp; Lake to Weston to Lighthouse S to Sarasota</t>
  </si>
  <si>
    <t>VISTA A</t>
  </si>
  <si>
    <t>43X120X44X138</t>
  </si>
  <si>
    <t>VISTA MODEL W/4 BEDROOMS~1ST FLR DEN~HUGE 2ND FLOOR LOFT~2.5 BTHS~NEWER BAMBOO HARDWOOD FLOORS IN LIVING ROOM~DINING ROOM~FAMILY ROOM &amp; DEN~FULL BSMT W/ROUGH IN~3 CAR GARAGE~EPOXY FLR~SS KITCHEN W/42" CHERRY CABINETS, CERAMIC FLOORS~STONE FIREPLACE W/GAS LOGS IN FAMILY ROOM~6 CEILING FAN~WHOLE HOUSE WIRED FOR INTERNET OWNERS RELOCATING~QUICK CLOSE~SELLER OFFERING $2,000 DECORATING ALLOWANCE!</t>
  </si>
  <si>
    <t>13X07</t>
  </si>
  <si>
    <t>(847) 802-4000</t>
  </si>
  <si>
    <t>Mimi Geiger</t>
  </si>
  <si>
    <t>(847) 302-3991</t>
  </si>
  <si>
    <t>Please Call Listing Office. After Hours Please Call Mimi Geiger</t>
  </si>
  <si>
    <t>EERNISSE</t>
  </si>
  <si>
    <t>QUICK CLOSE POSSIBLE!</t>
  </si>
  <si>
    <t>Amberside</t>
  </si>
  <si>
    <t>ROUTE 20 (W OF ELGIN) 2 SHANNON E2 E AMBERSIDE</t>
  </si>
  <si>
    <t>Sandy Creek</t>
  </si>
  <si>
    <t>65 X 126 APPR</t>
  </si>
  <si>
    <t>Purchase this stunning Builder's model home w/ HUGE finished basement! Soaring 2-story family room opens to the upgraded, eat-in kitchen which offers Granite countertops &amp; custom cabinetry w/crown molding. First floor den, Beautiful Morning Room, &amp; convenient 2nd floor laundry rm. Spacious master w/walk-in closet &amp; luxury bath w/double vanity! Quality home builder offers 92% efficiency to help keep utility costs down</t>
  </si>
  <si>
    <t>3%-$275 OF BASE PRICE (on Net SP)</t>
  </si>
  <si>
    <t>(847)5301211</t>
  </si>
  <si>
    <t>William Ryan Homes</t>
  </si>
  <si>
    <t>BELMONT TO NARRAGANSETT SOUTH TO PROPERTY.</t>
  </si>
  <si>
    <t>Great opportunity to own a spacious bungalow on a wide lot!   4 beds and 2 baths, full basement and detached garage.</t>
  </si>
  <si>
    <t>Frame, Masonite</t>
  </si>
  <si>
    <t>email offers to reo@pearsonrealtygroup.com. Please review attached building court violations on MLS. Buyer must purchase as-is subject to all violations.</t>
  </si>
  <si>
    <t>TAKE I-94 TO 95TH EAST TO PRAIRIE</t>
  </si>
  <si>
    <t>Bank owned house sold "AS-IS" the seller will not provide survey and disclosures. House is currently occupied on a 1 year lease. The house is in good shape but will need some updating. 3 bedrooms + 1 in basement &amp; 2.5 bathrooms.  House is near highway and transportation and on a great block. 2 car detached garage and a nicely landscaped back yard. This is a great opportunity to live in or investment.</t>
  </si>
  <si>
    <t>Enclosed Porch, Foyer</t>
  </si>
  <si>
    <t>04X05</t>
  </si>
  <si>
    <t>2.5% -$100 (on Gross SP)</t>
  </si>
  <si>
    <t>Please call, text, e mail the listing agent, 773-339-2058. Tenant occupied please allow 48 hours.</t>
  </si>
  <si>
    <t>Great opportunity. Agent is still waiting for a copy of the lease.</t>
  </si>
  <si>
    <t>MCLEAN BLVD TO LILLIAN TO SOUTH STREET 1107 ~ SOUTH SIDE OF STREET</t>
  </si>
  <si>
    <t>SUNSET PARK</t>
  </si>
  <si>
    <t>50X130</t>
  </si>
  <si>
    <t>TAXES WILL B LOWER W/HOMEOWNER EXEMPT~LARGE SHADED FENCED YARD~ALL NEW GORGEOUS KITCHEN GRANITE/CUSTOM MOSAIC BACK SPLASH/ALL NEW APPLNC'S~1ST FLR BDRM/OPTIONAL DINING RM~PELLA WDWS/UPDATED PLUMBG/ELECTRIC/BRUSHED NICKEL FIXTURES/CEILING FANS~GLEAMING HANDSTAINED HARDWD FLRS/ARCH DRWAYS~NEW TRIM/DRS/HARDWARE/BATHROOMS TOILETS/VANITIES/FAUCETS/FIXTURES/FLRING~2ND FLR NEW CARPET~BASEMENT FAMILY RM~NEWER ROOF/FURN/AC</t>
  </si>
  <si>
    <t>Side Apron</t>
  </si>
  <si>
    <t>2.50%-250 (on Net SP)</t>
  </si>
  <si>
    <t>Karin Zimmerman, GRI</t>
  </si>
  <si>
    <t>(630) 816-9940</t>
  </si>
  <si>
    <t>CALL L/O EASY TO SHOW  use back door combo...DO NOT USE SENTRILOCK</t>
  </si>
  <si>
    <t>MOVE IN READY..SHOW AND SELL..  KITCHEN WALL CAN BE OPENED UP INTO BEDROOM FOR MINIMAL CHARGE..</t>
  </si>
  <si>
    <t>KENSINGTON</t>
  </si>
  <si>
    <t>MILLER RD. WEST OF 59 OR EAST OF KELSEY TO WEDGEWOOD TRAILS TO KENSINGTON</t>
  </si>
  <si>
    <t>WEDGEWOOD TRAILS</t>
  </si>
  <si>
    <t>195X70X125X340</t>
  </si>
  <si>
    <t>Love-This-Home! Classic Floor Plan Updated With "All The Right Stuff." Rich HW Flrs. Gourmet Kitchen Features Custom Cabs, Wolf Range, SS Appl. Fam. Rm. Features Focal Pt. Firplc. &amp; Overlooks Beautiful Private Yard. Lrg. Frmal Din. Rm W/Wainscot Trim. Mstr Suite W/Spa Style Bath, Sitting Rm, Walk-In Closet. 2nd Flr. Office W/Glass French Drs. Finished Bsemnt! 1st Fl. Laundry. Plantation Shutters. This One Is Special</t>
  </si>
  <si>
    <t>Oven/Range, Microwave, Dishwasher, Refrigerator, Washer, Dryer, Disposal, Wine Cooler/Refrigerator</t>
  </si>
  <si>
    <t>Eating Area, Foyer, Game Room, Office, Recreation Room, Sitting Room</t>
  </si>
  <si>
    <t>27X25</t>
  </si>
  <si>
    <t>Century 21 American Sketchbook</t>
  </si>
  <si>
    <t>(847) 726-2100</t>
  </si>
  <si>
    <t>Stephanie Seplowin</t>
  </si>
  <si>
    <t>(847) 561-1008</t>
  </si>
  <si>
    <t>847-561-1008</t>
  </si>
  <si>
    <t>Call Listing Office, Notice Is Required</t>
  </si>
  <si>
    <t>AGENTS:  Please Contact Stephanie Before Writing An Offer, This Is a Cartus Corporate Relocation Additional Paperwork Will Be Required.</t>
  </si>
  <si>
    <t>NORTH TO LEAVITT</t>
  </si>
  <si>
    <t>HISTORIC DISTRICT VICTORIAN BUILT IN 2005 WITH ARCHITECTURAL INTEGRITY AND ARTISAN CRAFTSMANSHIP THAT CONVEY WARMTH, CLASS AND STYLE OF THE HOMEOWNER. THE ANSWER TO YOUR PATIENT WAIT FOR A PERFECT LOCATION WITH NO COMPROMISE IN QUALITY OF FINISH OR UPGRADE. THIS 10 YEAR OLD HOME CAPTURES THE ESSENCE OF WICKER PARK. A CLASSIC CHICAGO HISTORICAL DESIGN AND A VIBRANT MODERN FLOOR PLAN.</t>
  </si>
  <si>
    <t>Steam Shower, Full Body Spray Shower, Soaking Tub</t>
  </si>
  <si>
    <t>Bar, Library, Media Room, Pantry</t>
  </si>
  <si>
    <t>Balcony, Deck, Patio, Porch, Grill-Outdoors, Breezeway</t>
  </si>
  <si>
    <t>Joseph Schiller</t>
  </si>
  <si>
    <t>(312) 404-8850</t>
  </si>
  <si>
    <t>SHOWINGS ONLY THROUGH SHOWING TIME..NOTHING ELSE ACCEPTED.</t>
  </si>
  <si>
    <t>PREQUALIFIED ONLY, MUST USE SHOW ASSIST, NO SHORT NOTICE, NO SHOWINGS AFTER</t>
  </si>
  <si>
    <t>Merrill New</t>
  </si>
  <si>
    <t>47 TO BLISS, N TO WINDSTONE, ENTRANCE TO MERRIL NEW</t>
  </si>
  <si>
    <t>BEAUTIFUL 2 STORY HOME IN THE WINDSTONE SUBDIVISION. PROPERTY FEATURES 4 BEDROOMS, 2 FULL BATHS AND 2 HALF BATHS, BIG KITCHEN WITH TABLE SPACE FOR DINING, SLIDING GLASS DOOR TO BACK YARD PATIO, BIG MASTER BEDROOM WITH MASTER BATH WITH WHIRLPOOL TUB, FULL PARTIAL BASEMENT, 2 CAR ATTACHED GARAGE. TAXES 100%  THIS IS A FANNIE MAE HOMEPATH PROPERTY.  NO PERSONAL PROPERTY INCLUDED.</t>
  </si>
  <si>
    <t>Please call the showing desk at 888.362.3222 or LO after hours, thanks</t>
  </si>
  <si>
    <t>TAXES 100% ALL OFFERS TO BE SUBMITTED THROUGH HOMEPATH WEBSITE.BUYER IS RESPONSIBLE FOR  PREVIOUS 6 MONTHS HOA FEES.  NO PERSONAL PROPERTY INCLUDED. this is a homepath property.</t>
  </si>
  <si>
    <t>Caliendo</t>
  </si>
  <si>
    <t>Head south on Orchard Rd towards Base Line Rd, left to Griffin Dr, the traffic circle, take the 2nd</t>
  </si>
  <si>
    <t>Common Insurance, Clubhouse, Exercise Facilities, Other</t>
  </si>
  <si>
    <t>Elston Ave bet. Milwaukee &amp; Austin Aves. to Matson/McVicker left to house across from park</t>
  </si>
  <si>
    <t>Large solid home in South Edgebrook, across from Indian Road Park &amp; down the block from Edgebrook Golf Course. Improvements include: complete tuckpointing; Furnace('11);Central Air('04); Flood Control('02); Stainless Fridge &amp; Stove ('12) Brand new 2-car garage door &amp; opener. Hardwood floors on 1st floor except in eat-in kitchen. Awaiting your updating ideas with 13-month HWA Home Warranty.</t>
  </si>
  <si>
    <t>Oven/Range, Refrigerator, Freezer, Washer, All Stainless Steel Kitchen Appliances</t>
  </si>
  <si>
    <t>Recreation Room, Sun/Florida Room, Utility Room-Lower Level, Workroom</t>
  </si>
  <si>
    <t>Ilisa Farrell, ABR,GRI,SRES</t>
  </si>
  <si>
    <t>(847) 657-3776</t>
  </si>
  <si>
    <t>847-971-7296</t>
  </si>
  <si>
    <t>Call Coldwell Banker Showing Assist 855-746-9200</t>
  </si>
  <si>
    <t>87th to St. Lawrence -(S) to 92nd Place -(R) to 641</t>
  </si>
  <si>
    <t>4 bedroom, 2 story single family home for sale. this home is being sold as-is, so you must view before submitting an offer and no offers with inspection contingencies will be considered.  home is in good condition and needs minor repair. vacant and east to show with a motivated seller.  special warranty deed at closing - no tax prorations but all tax that is due will be paid in full.</t>
  </si>
  <si>
    <t>use showing assist anytime</t>
  </si>
  <si>
    <t>WHEELER FINANCIAL</t>
  </si>
  <si>
    <t>no tax prorations, no inspection contingency.</t>
  </si>
  <si>
    <t>Sugar Grove N on US-47 to R on Bliss rd to R on Windstone  turn R on Merrill to Carlisle</t>
  </si>
  <si>
    <t>94X126X100X158</t>
  </si>
  <si>
    <t>Winner Of The Gallery Of Homes, This One Is Not To Be Missed. Distinctive Mill Work At Every Turn From Coffered &amp; Tray Ceilings, To Transoms, Wide Profile Trim &amp; More. Gourmet Kit w Dbl. Oven, Cooktop, Corian Counters &amp; Custom Cabs. 2 Story Fam Rm, Stately 2 Sided Fp, Gleaming Hdwd Throughout. 1st Flr Den w Adjacent Full Bath. Retreat To The Lux Master &amp; Grand Ensuite. Wait Until You See The Walk-In! Deep Pour Bsmt</t>
  </si>
  <si>
    <t>Park/Playground, Pond/Lake, Sidewalks, Street Lights</t>
  </si>
  <si>
    <t>Meghan Bailey, ABR,CNC,CSC</t>
  </si>
  <si>
    <t>(630) 669-9422</t>
  </si>
  <si>
    <t>Confirm W LA At 630-669-9422</t>
  </si>
  <si>
    <t>Whispering</t>
  </si>
  <si>
    <t>Irving Park Rd East Of 59 To Whispering Dr. North</t>
  </si>
  <si>
    <t>WHISPERING PONDS</t>
  </si>
  <si>
    <t>70X119X70X112</t>
  </si>
  <si>
    <t>A great find in Whispering Ponds! Backs to Hoosier Grove Park! Beautiful hwood flrs throughout main level! New carpet upstairs! Kitchen has new counters &amp; newer appliances, sunny eat area &amp; lgr pantry! Spacious fam rm w/2 sets of glass sliders to big yard! Vaulted master offers walk in closet &amp; bth w/whrlpl tub, sep shower &amp; dual sinks! Bdrm 2 w/access to full hall bth! Bsmt for you to finish! Newer a/c &amp; furnace too</t>
  </si>
  <si>
    <t>Alise@HomesByMarco.com</t>
  </si>
  <si>
    <t>CALL L/O 847-367-8686</t>
  </si>
  <si>
    <t>Please direct all inquiries to the co-list, Alise Luke, 847-668-6197</t>
  </si>
  <si>
    <t>4N117</t>
  </si>
  <si>
    <t>ARBOR CREEK</t>
  </si>
  <si>
    <t>RTE 64 TO ARBOR CREEK RD S2 HOME</t>
  </si>
  <si>
    <t>143X304X145X281</t>
  </si>
  <si>
    <t>BEAUTIFUL LOT WITH IN-GROUND POOL IN ARBOR CREEK! 4 BIG BEDROOMS, FINISHED BASEMENT, FAMILY ROOM W/BRICK F/P, FIRST FLOOR DEN &amp; UTILITY ROOM. GREAT CLOSET SPACE THROUGHOUT. FRESHLY PAINTED DECK AND REFINISHED HARDWOOD FLOORS LOOK GREAT!KITCHEN OFFERS BIG ISLAND/BREAKFAST BAR.FORMAL LIVING &amp; DINING ROOMS. MASTER SUITE W/PRIVATE LUXURY BATH. GREAT OPPORTUNITY!</t>
  </si>
  <si>
    <t>GETZELMAN</t>
  </si>
  <si>
    <t>ROUTE 72 TO GETZELMAN ROAD, SOUTH TO HOME</t>
  </si>
  <si>
    <t>HAMPSHIRE FIELDS</t>
  </si>
  <si>
    <t>100X137X99X135</t>
  </si>
  <si>
    <t>INCREDIBLE PRICE~WONDERFUL HOME W/GREAT WRAP AROUND FRONT PORCH, SPACIOUS YARD, DECKS &amp; SHED.  FAMILY ROOM HAS BRICK/WOODBURNING FP &amp; OPEN TO SPACIOUS KITCHEN W/HARDWOOD FLOORS. OAK TRIM, FORMAL LR &amp; DR &amp; SPACIOUS BEDROOMS. VAULTED CEILINGS IN MASTER BR &amp; PRIVATE DECK. ENGLISH BASEMENT W/FULL BATH, REC AREA OR ANOTHER POSSIBLE BR, ACCESS TO GARAGE, NICE LAUNDRY AREA W/LOTS OF SHELVING &amp; PLENTY OF STORAGE.</t>
  </si>
  <si>
    <t>Balcony, Deck, Storage Shed</t>
  </si>
  <si>
    <t>Anna Coleman</t>
  </si>
  <si>
    <t>(847) 769-2989</t>
  </si>
  <si>
    <t>Call listing office, after hours call agent.</t>
  </si>
  <si>
    <t>PRICED TO SELL!!! THIS IS A LOT OF HOUSE FOR THE MONEY! GENEROUS ROOM SIZES, NICE YARD, GREAT SPACE.  Quick closing possible.</t>
  </si>
  <si>
    <t>Byron</t>
  </si>
  <si>
    <t>IRVING PARK RD TO MELVINA (6200W) SOUTH TO BYRON EAST TO 6115</t>
  </si>
  <si>
    <t>122 X 33</t>
  </si>
  <si>
    <t>SPACIOUS FOUR BEDROOM TWO BATH BRICK BUNGALOW FEATURES BRIGHT LIVING/DINING ROOM WITH HARDWOOD FLOORS &amp; WOOD TRIM, BRIGHT EAT-IN KITCHEN. ENCLOSED BACK PORCH COULD SERVE AS FAMILY ROOM OR BEDROOM. FINISHED BASEMENT OFFERS FAMILY ROOM, FULL BATH, ADDITIONAL ROOM WHICH COULD BE USED AS DEN. YARD OFFERS COVERED PATIO, TWO AND A HALF CAR GARAGE. PLENTY OF STORAGE. NEWER ROOF, CONVENIENT TO SHOPPING &amp; TRANSPORTATION.</t>
  </si>
  <si>
    <t>Den, Enclosed Porch, Mud Room</t>
  </si>
  <si>
    <t>59TH STREET TO RICHMOND SOUTH TO HOME</t>
  </si>
  <si>
    <t>SPACIOUS BRICK SINGLE FAMILY HOME.  4 BEDROOMS, LIVING ROOM, FORMAL DINING ROOM AND SPACIOUS NEWER KITCHEN NEW THERMALPANE WINDOWS.  FULL FINISHED BASEMENT AND A 2 CAR GARAGE.</t>
  </si>
  <si>
    <t>Dormer, Full, Interior Stair</t>
  </si>
  <si>
    <t>CERTIFIED EARNEST MONEY ONLY!! GREAT LOCATION</t>
  </si>
  <si>
    <t>98TH</t>
  </si>
  <si>
    <t>95TH ST TO RACINE S TO 98TH ST W TO PROPERTY</t>
  </si>
  <si>
    <t>Lender Owned Nice Four Bedroom, Two Bath Home Located in the Washington Heights/Brainerd Area.  House Needs a Little TLC, but a Great Starter for a Large Family. Survey, Termite any City Inspections/Escrows are Buyer's Responsibility. Taxes at 100%.</t>
  </si>
  <si>
    <t>Frankie Lovett, ABR</t>
  </si>
  <si>
    <t>773-960-3626</t>
  </si>
  <si>
    <t>CALL LISTING AGENT 773-960-3626</t>
  </si>
  <si>
    <t>FAX ALL OFFERS WITH PROOF OF FUNDS TO 781-609-1478.</t>
  </si>
  <si>
    <t>WESTERN TO 63ND WEST  2 BLKS TO CAMPBELL(1-WAY SOUTH). EAST OF CALIFORNIA TO CAMPBELL</t>
  </si>
  <si>
    <t>29X125</t>
  </si>
  <si>
    <t>THIS GRACIOUSLY 4 BEDROOM, 3 BATH BUNGALOW IS NOW AVAILABLE!!!!  GORGEOUS KITCHEN AND GLEAMING HARDWOOD FLOORS THROUGHOUT.  PERFECTLY SITUATED CLOSE TO SCHOOLS, PARKS, SHOPPING AND TRANSPORTATION, MAKES THIS A GREAT OPPORTUNITY!!  SET UP YOUR PRIVATE VIEWING TODAY!! Short Sale.</t>
  </si>
  <si>
    <t>2.5 % - $150 (on Net SP)</t>
  </si>
  <si>
    <t>Prospect Equities Real Estate</t>
  </si>
  <si>
    <t>(312) 202-0006</t>
  </si>
  <si>
    <t>Gerardo Gonzalez</t>
  </si>
  <si>
    <t>(773) 316-4230</t>
  </si>
  <si>
    <t>Holder of Records</t>
  </si>
  <si>
    <t>CC: Pursuant to Short Sale. Short sale and commission subject to bank approval. Otherwise 50 and 50 % to both offices of paid commission - 150 selling office</t>
  </si>
  <si>
    <t>Irving Park West of Cicero, South on Linder, West on Warwick (one way) to address.</t>
  </si>
  <si>
    <t>32X128</t>
  </si>
  <si>
    <t>Portage Park full rehab down to the studs. Oversized lot and amazing light. Beautiful kitchen with 42' custom cabs, stainless Bosch appliances and quartz counters. Brand new floor plan with 3 beds 2 baths &amp; laundry rm on 2nd level. Large master suite with designer bath. Fully finished lower level with rec room, 4th bed and full bath. Back deck and huge back yard. Landscaping to be completed in spring.</t>
  </si>
  <si>
    <t>Mud Room, Recreation Room, Storage</t>
  </si>
  <si>
    <t>Lawrence Ave west of Central Park Ave, one way north</t>
  </si>
  <si>
    <t>BACK ON THE MARKET, BUYER COULDN'T CLOSE. VINTAGE FAN? LOOKING FOR AMAZING SPACE? ONE-OF-A-KIND RAMBLING OVERSIZED HISTORIC BUNGALOW ON A 40' LOT. 2100+ SQ FT ON MAIN FLOOR, LOTS MORE UP &amp; DOWN! GREAT RETRO KITCHEN W/BREAKFAST NOOK, HUGE FORMAL DR, BUTLER'S PANTRY, SUNROOM. MANY RECENT UPDATES (PELLA WINDOWS, TUCKPOINTING, GUTTERS) BUT STILL MUCH POTENTIAL FOR SWEAT EQUITY.  PATIO, GATED PARKING.  WALK TO BROWN LINE.</t>
  </si>
  <si>
    <t>Breakfast Room, Enclosed Porch, Sun/Florida Room</t>
  </si>
  <si>
    <t>(773) 551-0516</t>
  </si>
  <si>
    <t>Use showing assist or email, johnmurrayrealtor@yahoo.com</t>
  </si>
  <si>
    <t>Solid, unique house, perfect for a buyer not afraid of tackling a few projects or putting in some elbow grease. Priced well below market for the square footage &amp; appraised for above asking price.  Taxes do not reflect homeowner's exemption.</t>
  </si>
  <si>
    <t>irving park to lavergne south to patterson west to 5030</t>
  </si>
  <si>
    <t>GORGEOUS PROFESSIONALLY DESIGNED BRAND NEW HOME WITH HIGH END FINISHES HARDWOOD T/ OUT. 42" ANTIQUE WHITE COLOR CABS,GRANITE C-TOPS,HIGH END SS APPLS, STONE &amp; GLASS BACK SPLASH,HARDWD FLRS, CROWN MOLDINGS OVER-SIZED TRIM WORK, CUSTOM LIGHTS PACKAGE, BREATH TAKING MASTER BATHRM, CUSTOM VANITYS, LARGE FINISHED BASEMENT.NEW PLUMBING &amp; NEW ELECTRICAL, NEW WINDOWS, NEW INSULATION &amp; WATER SERVICE</t>
  </si>
  <si>
    <t>GRAY ELEMENTARY SCHOOL</t>
  </si>
  <si>
    <t>Exercise Room, Foyer, Recreation Room, Sitting Room, Utility Room-Lower Level</t>
  </si>
  <si>
    <t>Chel Group Realty</t>
  </si>
  <si>
    <t>(847) 348-0174</t>
  </si>
  <si>
    <t>Alexander Doroshko</t>
  </si>
  <si>
    <t>(847) 452-5584</t>
  </si>
  <si>
    <t>CALL 847-452-5584</t>
  </si>
  <si>
    <t>EZ CALL CENTRALIZED SHOWING SERVICE 877-977-1010</t>
  </si>
  <si>
    <t>USE PREFERRED LENDER AND GET UP TO $2500 CLOSING COST CREDIT TO QUALIFIED BUYERS. GO TO WWW.CHELGROUP.COM TO SEE MORE PROPERTIES PRESENTED BY THE CHELGROUP BOTH ACTIVE AND "TO BE COMPLETED" PROJECTS. CUSTOM BUILD AS WELL</t>
  </si>
  <si>
    <t>87th East to Michigan, North to Address</t>
  </si>
  <si>
    <t>30 X 160</t>
  </si>
  <si>
    <t>Beautiful cottage in desired Chatham neighborhood. This 4 bedroom, 3 bathroom house offers plenty of space to accommodate your family. Seller has began updating the home and is also providing a home warranty.  Buy this home and add your finishing touches.  Newly finished basement is perfect for entertaining. New windows, two sump pumps, water-proofed basement, roof replaced in 2013.</t>
  </si>
  <si>
    <t>34X21</t>
  </si>
  <si>
    <t>Bar-Dry, Hardwood Floors, 1st Floor Bedroom</t>
  </si>
  <si>
    <t>Leslie Levy</t>
  </si>
  <si>
    <t>Contact listing office</t>
  </si>
  <si>
    <t>Western Ave N/S to 66th St, E 2 Claremont N To Address</t>
  </si>
  <si>
    <t>Private seller - fast response to your offers.  Add this property now to your rental portfolio for a great yield!  Property is being sold AS IS WHERE IS.  Buyer must take subject to any and all violations and housing court case.</t>
  </si>
  <si>
    <t>TV-Dish</t>
  </si>
  <si>
    <t>$1000 FLAT (on Net SP)</t>
  </si>
  <si>
    <t>REO Plus LLC</t>
  </si>
  <si>
    <t>(312) 559-5555</t>
  </si>
  <si>
    <t>Thomas Kraley</t>
  </si>
  <si>
    <t>see schedule a showing tab</t>
  </si>
  <si>
    <t>AS IS WHERE IS SALE.  Tax proration 100%.  Seller does not provide survey.  Property needs some repair work.  No reps or warranties provided.  Please email offers to tkraley@gmail.com or call 3125027900 with any questions that you may have.</t>
  </si>
  <si>
    <t>Torrington</t>
  </si>
  <si>
    <t>Wolf's Crossing to Southbury Blvd -South. Right on Willington, left on Winthrop, right on Torrington</t>
  </si>
  <si>
    <t>89 X 167 X 72 X 155</t>
  </si>
  <si>
    <t>NEW! Ready now! TUSCAN: 4BR, bonus loft, den, 2.5 baths, FULL BSMT and 3 CAR! Huge kitchen: 36/42" cabinets w. crown, Island, Breakfast Bar, SS appliances, hardwood floors and Walk-in pantry.  Master Suite has a luxury bath w soaker tub, sep shower, dual vanities, upgraded tile. Rails w iron spindles. Premium cul de sac location. Pool/Club community! On site Elem school. Closing credit w our lender!</t>
  </si>
  <si>
    <t>Register client on 1st visit at sales office, 204 Bolton Ct.  Call Jennifer for appt 847-984-4615</t>
  </si>
  <si>
    <t>Register client at sale office on 1st visit- 204 Bolton Ct.  Tue-Sat 10-5, Sun 11-5, Mon 1-5 or appt.  Home is complete &amp; ready to close.  Decorated model on site of same floorplan also. Closing cost credit w builder's lender</t>
  </si>
  <si>
    <t>79TH STREET TO RICHMOND STREET (2900 WEST)  SOUTH TO 8035</t>
  </si>
  <si>
    <t>1ST ON YOUR LIST TO SHOW 4 BEDROOMS HOME, 1 ST FLOOR WITH LIVING ROOM, KITCHEN &amp; 2 BEDROOMS WITH HARDWOOD FLOORS, 2ND FLOOR WITH 2 BEDROOMS WITH CARPET, UNFINISHED BASEMENT WITH BAR SET UP, "AS IS" MOTIVATED SELLER, SHORT SALE W/ASSIGNED NEGOTIATOR.</t>
  </si>
  <si>
    <t>American Land Realty, Ltd.</t>
  </si>
  <si>
    <t>(773) 927-0707</t>
  </si>
  <si>
    <t>Juan C Hernandez</t>
  </si>
  <si>
    <t>(773) 507-4238</t>
  </si>
  <si>
    <t>SHOWINGS AFTER 8/15/2014</t>
  </si>
  <si>
    <t>HARDING IS 1-WAY SOUTH. ENTER FROM ELSTON TO BELLE PLAIN, WEST TO HARDING THEN SOUTH, HSE IS ON CORN</t>
  </si>
  <si>
    <t>Gorgeous, totally redone home in Independence Park/Old Irving. This 4 bedrm 2bath home sits on a corner 50x125 lot. New heat/air. LEED Hrdwd firs. WBFP in LR. Formal DR. Designer kitchen w/all the bells &amp; whistles. Gr8 family/rec rm on lower level w/poss for addtl bthrm. Upgraded electrical. 2.5 C garage. Roof replaced in 2010. Water htr 2008. Profess landscaped w/ sprinkler system.5 yr warranty on all work. Turn key</t>
  </si>
  <si>
    <t>39X19</t>
  </si>
  <si>
    <t>Deck, Screened Porch, Enclosed Porch</t>
  </si>
  <si>
    <t>Deck, Porch, Porch Screened</t>
  </si>
  <si>
    <t>19X09</t>
  </si>
  <si>
    <t>24X09</t>
  </si>
  <si>
    <t>Susan Landsman</t>
  </si>
  <si>
    <t>(312) 915-4721</t>
  </si>
  <si>
    <t>Use Showing Assist or Text Suzi at 773-419-1901</t>
  </si>
  <si>
    <t>25 yr warranty on tear off roof. New Refrig (2014) installed. Newer copper piping. Professionally landscaped yard with sprinkler system on front lawn. Enclosed back porch and lovely front porch. Two bedroom up and 2 on the first floor.</t>
  </si>
  <si>
    <t>57 Memphis, Exit 111, Go W, N on Vincennces, E 105th St. S on Martin St to Address</t>
  </si>
  <si>
    <t>Beverly Ridge is a Development of 88 sophisticated 2 story single family new construction homes. The development will offer 7 different floor plans of 3 and 4 bedrooms with 2 car detached garages. The homes will feature high quality standard finishes and may offer option to customize. The central park located in Beverly ridge creates a real neighborhood setting for the homes.</t>
  </si>
  <si>
    <t>Eating Area-Breakfast Bar, Eating Area-Table Space, Galley, Island, Pantry-Closet</t>
  </si>
  <si>
    <t>Robert Blaszkiewicz</t>
  </si>
  <si>
    <t>(708) 574-5766</t>
  </si>
  <si>
    <t>Text L/A (708) 574-5766 or email robertblask@atproperties.com</t>
  </si>
  <si>
    <t>4N420</t>
  </si>
  <si>
    <t>Randal North to Dean West to Babson North to home</t>
  </si>
  <si>
    <t>157X316X175X303</t>
  </si>
  <si>
    <t>A GARDENER'S PARADISE! ENJOY THE COLORS OF EVERY SEASON!  This rambling ranch,  nestled amid flowering plants, trees and shrubs at the edge of Otter Creek, awaits the updating touches of its new owner.  The  ponds, (one with several Koi) and waterfall provide a bucolic setting just minutes from parks, shopping and the Great Western Trail.  IF GARDENING IS YOUR PASSION, THIS IS YOUR NEXT HOME!</t>
  </si>
  <si>
    <t>Landscaped Professionally, Stream</t>
  </si>
  <si>
    <t>Water-Softener Rented, Ceiling Fan, Sump Pump, Air Exchanger, Power Generator</t>
  </si>
  <si>
    <t>19X6</t>
  </si>
  <si>
    <t>39X14</t>
  </si>
  <si>
    <t>630-363-2307</t>
  </si>
  <si>
    <t>Call 888-362-3222 to schedule a showing.  This is a Must Confirm.  Please allow some notice.</t>
  </si>
  <si>
    <t>Hein, Rolland &amp; Dorothy</t>
  </si>
  <si>
    <t>This home features an efficient kitchen layout with eating area; step down living room and separate dining room.  The four season sun room provides colorful views of the surrounding plantings. Motivated sellers! Mid-November close possible.</t>
  </si>
  <si>
    <t>Rt 72 to Kingston to 5 points rd S W on Wolf rd or Cherry Valley Rd to Kingston Rd</t>
  </si>
  <si>
    <t>1.22 ACRE</t>
  </si>
  <si>
    <t>Nice home in the country on 1.22 acre. Large kitchen. Fireplace in living room. Main floor master. Room sizes, Square footage is approx. This is a Homepath property.</t>
  </si>
  <si>
    <t>$1000 BUYERS AGENT BONUS MAY APPLY IF ACTIVE ON HOMEPATH GO TO HOMEPATH.COM AND CHECK FOR ANY APPLICABLE INCENTIVE OFFERS. RESTRICTIONS APPLY. Use 6.0 contract, go to homepath.co download addendums and owner occupancy cert and submit offer.</t>
  </si>
  <si>
    <t>Avenue G</t>
  </si>
  <si>
    <t>north/south on Indianapolis to Avenue G, 1-way south to property.</t>
  </si>
  <si>
    <t>4575 SQ FT</t>
  </si>
  <si>
    <t>Spacious 4 bed/2 bath brick bungalow with so much living space. Finished attic &amp; basement. Nice yard. A must see! Needs some updating. This is a Fannie Mae HomePath property.</t>
  </si>
  <si>
    <t>3% OR $1,000; WHICHEVER IS GREATER. (on Gross SP)</t>
  </si>
  <si>
    <t>Victoria Silvano, CRS</t>
  </si>
  <si>
    <t>(773) 848-1201</t>
  </si>
  <si>
    <t>Call CSS 877.977.1010.</t>
  </si>
  <si>
    <t>ACT NOW: $1,000 buyer's agent bonus. Click www.HomePath.com for details or ask me. Restrictions apply. Submit offers @ www.homepath.com. USE ATTACHED PACKAGE. 100% tax proration. Buyer pays survey &amp; transfer tax.</t>
  </si>
  <si>
    <t>106TH</t>
  </si>
  <si>
    <t>GRAND AVE TO OAKLEY BLVD NORTH TO HOME</t>
  </si>
  <si>
    <t>23X100</t>
  </si>
  <si>
    <t>HOT WEST TOWN! NEW 4BD/3.1BA SFH. IDEAL FOR ENTERTAINING INDOOR &amp; OUTDOOR.CONTEMPORARY HOME IS FLOODED W/LIGHT, ESPRESSO HRDWD FLRS, DESIGNER LIGHTING. KITCH W/OVERSIZED ISLAND, BOSCH APPLS, QUARTZ COUNTRS. MSTR BED W/WIC. BTHS W/PORCLN TILES, CUSTOM VANITIES. WET BAR IN LL, TREX DECK ON GAR ROOF, PNTHS W/ROOF ACCESS, NEST ZONED HVAC, XTRA STORAGE, ATTCHD 2.5 CAR GAR. .2 MILES TO METRA TRAIN &amp; SMITH PARK.</t>
  </si>
  <si>
    <t>Bsmnt/Lower Lvl Finished, Central Air, Garage, Hardwood/Ceramic Floors, Zoned Heating/Cooling</t>
  </si>
  <si>
    <t>Humidifier, Intercom, CO Detectors, Sump Pump</t>
  </si>
  <si>
    <t>Bonus, Deck, Office, Utility Room-Lower Level</t>
  </si>
  <si>
    <t>3%-$325 (on Net SP)</t>
  </si>
  <si>
    <t>Danielle Dowell</t>
  </si>
  <si>
    <t>(773) 360-3694</t>
  </si>
  <si>
    <t>email - ddowell@koenigrubloff.com</t>
  </si>
  <si>
    <t>Stunning home with great space! Short drive to downtown via Grand or 1.5 blocks to Metra train and 2 blocks to Smith Park. OPEN HOUSE SUN 10.12 11A-1P.</t>
  </si>
  <si>
    <t>35th to Praire, south to 3632</t>
  </si>
  <si>
    <t>Updated kitchen w/white cabinets, subway tile backsplash &amp; new granite countertops. Refinished dark hardwood floors throughout main floor.  Finished lower level w/family room, full bath &amp; 4th bedroom. Walking distance to public transportation (bus/red &amp; green lines) &amp; IIT Campus.  New SFH Construction happening on street &amp; Mariano's coming to 39th &amp; King! New pedestrian bridge under construction to lakefront at 35th.</t>
  </si>
  <si>
    <t>Security System, CO Detectors, Ceiling Fan</t>
  </si>
  <si>
    <t>Carol Ann Walls-Sandell</t>
  </si>
  <si>
    <t>(312) 636-9614</t>
  </si>
  <si>
    <t>Please use Showing Assist or text 312-636-9614</t>
  </si>
  <si>
    <t>IL LICENSED BROKER</t>
  </si>
  <si>
    <t>see additional information for floor plans and disclosures</t>
  </si>
  <si>
    <t>106 St. to Avenue N  go North to property</t>
  </si>
  <si>
    <t>BRICK RANCH!  THIS HOME IS LOCATED ON CHICAGO SOUTH EAST SIDE.  THIS AREA HAS SHOPPING AND TRANSPORTATION WALKING DISTANCE FROM THIS HOME.  THIS IS A FANNIE MAE HOMEPATH PROPERTY.  THIS HOME CAN BE PURCHASED FOR AS LITTLE AS 5% DOWN.</t>
  </si>
  <si>
    <t>Cheryl Gordon</t>
  </si>
  <si>
    <t>Rt 34  to rt 31 to Mill left west to Heatherwood right on Pineridge to home</t>
  </si>
  <si>
    <t>GATES CREEK WEST</t>
  </si>
  <si>
    <t>Wonderful 4 Br home offering new carpeting throughout home! Freshly painted! kitchen features new SS stove and dishwasher. Close to shopping center. This is a Fannie Mae HomePath property.</t>
  </si>
  <si>
    <t>WILTON</t>
  </si>
  <si>
    <t>Wolfs Crossing to Southbury, to Willington, W to Winthrop, S to Wilton Court</t>
  </si>
  <si>
    <t>28 X 22 X 168 X 75 X 132 X 142</t>
  </si>
  <si>
    <t>Spacious 4 bedroom, 2.75 bath home in Southbury! Features fresh paint, new carpet, appliances, zoned HVAC, gas fireplace, HUGE loft &amp; master with tray ceiling. All this on one of the largest cul-de-sac lots in the community &amp; great 308 schools too! This is a Fannie Mae HomePath property.</t>
  </si>
  <si>
    <t>In-Law Arrangement, 1st Floor Laundry, 1st Floor Full Bath</t>
  </si>
  <si>
    <t>***ACCEPTED OFFER - WAITING ON SIGNED CONTRACT***Must Use Showing Assist</t>
  </si>
  <si>
    <t>OFFERS MUST BE SUBMITTED USING THE HOMEPATH ONLINE OFFER SYSTEM*MUST USE PAPERWORK IN ADDITIONAL INFO TO SUBMIT OFFERS*1ST 20 DAYS OPEN TO OWNER OCCUPANT ONLY.**CHECK HOMEPATH FOR REMAINING 1ST LOOK DAYS**NO SURVEY. TAXES PRO-RATED @ 100%.</t>
  </si>
  <si>
    <t>LOVEJOY</t>
  </si>
  <si>
    <t>MILWAUKEE TO CATALPA TO LOVEJOY SOUTH</t>
  </si>
  <si>
    <t>2 STORY  LARGE HOME IN MOVE IN CONDITION IN JEFFERSON PARK!!!  4 BR ,2 BATHS PLUS 2 OFFICES ONE ON EACH FLOOR !!  PERFECT FOR GROWING  FAMILY !!  WALKING DISTANCE TO PUBLIC TRANSPORTATION!!! SHORT SALE,SUBJECT TO LENDER APPROVAL/ SOLD IN AS-IS/ TAX PRORATION AT 100%/  SURVEY NOT PROVIDED/ONE LENDER. ALLOW 90-120 DAYS FOR APPROVAL.SHOWS NICE AND EASY TO SHOW.</t>
  </si>
  <si>
    <t>2nd Kitchen, Office, Recreation Room</t>
  </si>
  <si>
    <t>2.5%- 250 (on Net SP)</t>
  </si>
  <si>
    <t>Jolanta Brosko-Osika</t>
  </si>
  <si>
    <t>(773) 519-1353</t>
  </si>
  <si>
    <t>6 HR NOTICE CALL LISTING OFFICE 773-775-0600</t>
  </si>
  <si>
    <t>OWNER OF TITLE</t>
  </si>
  <si>
    <t>CC: Pursuant to Short Sale. ALL DISCLOSURES ARE UPLOADED, MUST BE SIGNED WITH ALL OFFERS</t>
  </si>
  <si>
    <t>Hialeah</t>
  </si>
  <si>
    <t>W OF GARY, ARLINGTON S, WEST ON ST.ANITA, S ON HIALEAH</t>
  </si>
  <si>
    <t>Nicole</t>
  </si>
  <si>
    <t>SOMONAUK TO TURNER TO NICOLE PLACE.</t>
  </si>
  <si>
    <t>48X193X175X125</t>
  </si>
  <si>
    <t>It Just feels like home! Enjoy over 2000 sq ft of living space in This Beautiful 4 Br 3 bath ranch, Full Finished "Walk Out" basement. 2 Fp's, Screened porch over looking the amazing in-ground pool, Still has large yard for family and friends. Granite Counter Tops in Fully Applianced SS kitchen. HW floors, Cathedral Ceiling in Great Room. Home is situated on Cul-De-Sac. YOU WILL BE IMPRESSED!</t>
  </si>
  <si>
    <t>39X13</t>
  </si>
  <si>
    <t>Patio, Porch Screened, Storage Shed, Pool In-Ground</t>
  </si>
  <si>
    <t>2% -$150.00 (on Gross SP)</t>
  </si>
  <si>
    <t>Glenda Beall</t>
  </si>
  <si>
    <t>815-761-1221</t>
  </si>
  <si>
    <t>Use Show Assist- Min 3 hour notice Required</t>
  </si>
  <si>
    <t>The in-ground pool has been professionally maintained. Seller is leaving All appliances. Show with Confidence on This one! Sellers will be moving out of state- Many of the furnishings are negotiable, Please add as separate addendum.</t>
  </si>
  <si>
    <t>Ben</t>
  </si>
  <si>
    <t>Rte. 34 to Ben St. South-on right</t>
  </si>
  <si>
    <t>143X160</t>
  </si>
  <si>
    <t>Very cozy and spacious home. Features 2 master bedrooms one with additional room for office or nursery plus an additional bath. Hardwood floors, brick fireplace, knotty pine paneling, huge kitchen, newer appliances, laundry with double sink, heated floors in lower level, 2 1/2 car garage, patio, deck,1/2 acre wooded lot. Must see to appreciate all it has to offer.</t>
  </si>
  <si>
    <t>Eating Area-Table Space, Pantry-Closet, Pantry-Walk-in</t>
  </si>
  <si>
    <t>Bonus, Office, Sitting Room</t>
  </si>
  <si>
    <t>Hardwood Floors, Heated Floors, 1st Floor Bedroom, In-Law Arrangement, 1st Floor Laundry, 1st Floor Full Bath</t>
  </si>
  <si>
    <t>Veronica Berkeland</t>
  </si>
  <si>
    <t>(630) 292-4122</t>
  </si>
  <si>
    <t>24 hr. notice please-call Veronica 630 292 4122</t>
  </si>
  <si>
    <t>Very nice unique home--please show.</t>
  </si>
  <si>
    <t>FLINT</t>
  </si>
  <si>
    <t>RTE 22 TO KELSEY N TO OLD BARRINGTON RD TO WOODLAND RIGHT  TO FLINT RIGHT</t>
  </si>
  <si>
    <t>ALL BRICK RANCH HOME IN DESIRABLE FLINT LAKE ESTATES ON GORGEOUS 1 ACRE LOT, CUL DE SAC LOCATION. BRAND NEW ROOF!!  CROWN MOLDING T/O, UPDATED KITCH &amp; BATH.  NEW HW ENTRY THRU TO KITCH &amp; FAM RM W/STONE FIREPL.  HUGE FIN BASEMENT W/BEDRM, FULL BATH, BAR &amp; WORKROOM (ADDIT. 1,842 SQ FT)  SCREENED IN PORCH OVERLOOKING HUGE DECK &amp; LARGE YARD.  GREAT OPPORTUNITY TO LIVE IN WONDERFUL COMMUNITY! GREAT BARRINGTON SCHOOLS!</t>
  </si>
  <si>
    <t>Humidifier, Water-Softener Rented, TV-Cable, Security System, CO Detectors, Sump Pump, Backup Sump Pump, Power Generator</t>
  </si>
  <si>
    <t>Deck, Eating Area, Play Room, Recreation Room, Screened Porch, Workroom</t>
  </si>
  <si>
    <t>Deck, Porch Screened, Dog Run &amp;/or Invisible Fence</t>
  </si>
  <si>
    <t>22X31</t>
  </si>
  <si>
    <t>Roberta Bralich</t>
  </si>
  <si>
    <t>(847) 658-2863</t>
  </si>
  <si>
    <t>CELL  224-623-5656</t>
  </si>
  <si>
    <t>Call CSS 877/977-1010 to schedule showings</t>
  </si>
  <si>
    <t>MOVE IN READY. AVAIL IMMEDIATELY.  NEW ROOF TO BE INSTALLED ANY DAY. MATERIALS ON DRIVEWAY.</t>
  </si>
  <si>
    <t>Hulmes</t>
  </si>
  <si>
    <t>Rt 23 (Sycamore Road) to East on East Dresser Road to North on Sunrise Drive to Hulmes Drive</t>
  </si>
  <si>
    <t>60X124.65X110X75X137.75</t>
  </si>
  <si>
    <t>This is not a drive-by! You have to see to appreciate! Lovely 4 BR, 2 bath home w/over 1800 sq ft! Formal LR/DR combination &amp; huge FR open to kitchen &amp; informal dining space. Settle in to the screened porch or paver patio with a good book &amp; enjoy the private, fenced, serene back yard. Oversized 2 car garage. Many updates await you in this charming cottage style home. Convenient to shopping, restaurants, parks &amp; more!</t>
  </si>
  <si>
    <t>1st Floor Bedroom, 1st Floor Laundry, 1st Floor Full Bath</t>
  </si>
  <si>
    <t>Porch Screened, Storage Shed, Brick Paver Patio</t>
  </si>
  <si>
    <t>Dawn Baker 815-739-7148</t>
  </si>
  <si>
    <t>Call L/O or L/A. 2 hour notice preferred. Confirmation needed.</t>
  </si>
  <si>
    <t>Much larger than it looks from outside! Gorgeous park-like back yard! Electric is 3-100 amp servers. Recent updates include front door, some windows, carpet in 2 bedrooms, cedar fence, exterior paint &amp; more. Home warranty included.</t>
  </si>
  <si>
    <t>RT 34 TO RT 47 SOUTH TO RT 71 EAST TO RAINTREE SUB</t>
  </si>
  <si>
    <t>97 X 215 X 87 X 234</t>
  </si>
  <si>
    <t>Impeccable Home Maintained to Perfection &amp; Recent Updates. Open Airy Floor Plan with Neutral DÃ©cor, New Carpets, SS Appls, Granite, Glass Block Backsplash &amp; Maple Cabinetry throughout Home. Cozy Family Rm w Fireplace. Full Bath 1st Floor/Bed. .47 Acre Yard Fenced w Paver Patio/Sidewalk to Side Gar Door. Beautifully Landscaped. XL Master Suite w Fantastic Bath/Closets. 2nd Floor Loft/Ceiling Fans in Bedrooms. Hurry!!!</t>
  </si>
  <si>
    <t>3.0%-$200 (on Net SP)</t>
  </si>
  <si>
    <t>Lori Gaul, CNC</t>
  </si>
  <si>
    <t>(630) 650-1134</t>
  </si>
  <si>
    <t>Call 1-877-977-1010 2 hour notice please</t>
  </si>
  <si>
    <t>Motivated Seller w quick close.</t>
  </si>
  <si>
    <t>Lawrence East of Western, North on Leavitt (one way) to address.</t>
  </si>
  <si>
    <t>Stunning SFH full rehab w 2nd floor addition on extra wide lot across from park. Extensive millwork &amp; designer finishes. Hardwood on main &amp; upper levels. Chef's kitchen features Thermador appliances, granite counters, butler's pantry w wine fridge, walk-in pantry and oversized island. 3 beds, 2 full baths &amp; laundry room on upper level. 4th bed, full bath and spacious rec room on lower level. Great deck &amp; yard</t>
  </si>
  <si>
    <t>BATEMAN ELEMENTARY SCHOOL</t>
  </si>
  <si>
    <t>Breakfast Room, Deck, Recreation Room</t>
  </si>
  <si>
    <t>TURNBERRY</t>
  </si>
  <si>
    <t>RANDALL TO FABYAN PARKWAY TO WESTERN AVE., TO EAGLEBROOK DR. TURN L TO TURNBERRY CT. TURN L TO HOME.</t>
  </si>
  <si>
    <t>73X139X97X135</t>
  </si>
  <si>
    <t>BEAUTIFUL HOME W/LOTS OF NEW! 2-STORY SUN RM W/VIEW OF THE GOLF COURSE~ NEW DECK &amp; PAVER PATIO~HUGE UPDATED KIT W/GRANITE, HDWD FLRS &amp; PLANT SHUTTERS~FAMILY RM W/BUILT-INS &amp; MASONRY FIREPLACE FORMAL DINING RM W/TRAY CEILING~FIRST FLR FULL BATH~UPDATED BATHS &amp; ALL NEW MASTER BATH~6 YEAR OLD MECHANS~CROWN MOLDING THRU-OUT~STUNNING MASTER~NEW PAINT &amp; NEW CARPET~GREAT LOCATION:WALK TO SCHOOL, PARK, TOWN.  $$,$$$$ OF NEW!</t>
  </si>
  <si>
    <t>Conventional, VA</t>
  </si>
  <si>
    <t>3% - $200 -- $2,000 BONUS TO SELLING AGENT (on Net SP)</t>
  </si>
  <si>
    <t>Wendy Pekarscik, CSC</t>
  </si>
  <si>
    <t>PLEASE CALL OR TEXT LA WENDY 815/531-7816 TO SCHEDULE APPT. AND SHE WILL CONFIRM.</t>
  </si>
  <si>
    <t>James and Dawn Puff</t>
  </si>
  <si>
    <t>$2,000 Bonus to Selling Agent!!!  This is a beautiful home.  Relocation Addendums to Apply.  They are under additional information.</t>
  </si>
  <si>
    <t>W 95th Street to Ashland Ave, north to 91st, west to Paulina, south to property</t>
  </si>
  <si>
    <t>This beautiful, recently rehabbed 4 bedroom, 2 1/2 bathroom brick bungalow is gorgeous and has been completely refinished. The stunning kitchen boasts stainless steel appliances, granite counters and upgraded cabinets. The entire basement has been refinished. The first floor offers gleaming hardwood floors, and with a great price, it's a must see!</t>
  </si>
  <si>
    <t>31X26</t>
  </si>
  <si>
    <t>Neva</t>
  </si>
  <si>
    <t>Located near Harlem Ave and Lawrence</t>
  </si>
  <si>
    <t>Spacious and beautiful!! TOTALLY RENOVATED PROPERTY! BRAND NEW SS APPLIANCES, NEW AC, GRANITE COUNTER TOPS, NEW PLUMBING, NEW ELECTRIC, NEW GARAGE DOOR, 4TH BEDROOM IN BASEMENT, TOTALLY FINISHED BASEMENT. A MUST SEE!!!</t>
  </si>
  <si>
    <t>Gil &amp; Gil Group Corp.</t>
  </si>
  <si>
    <t>(773) 463-7700</t>
  </si>
  <si>
    <t>Kinda Cutts</t>
  </si>
  <si>
    <t>Click on schedule a showing/ code</t>
  </si>
  <si>
    <t>CLICK ON SCHEDULE A SHOWING FOR LOCK BOX CODE</t>
  </si>
  <si>
    <t>PEAK FIVE LLC</t>
  </si>
  <si>
    <t>CLICK ON SCHEDULE A SHOWING FOR LOCK BOX CODE. BOX IS ON THE FRONT DOOR.</t>
  </si>
  <si>
    <t>S. Lake Shore Dr to 53rd, W to Lake Park, S to 56th, turn right &amp;right again on Harper, N to 5504</t>
  </si>
  <si>
    <t>E1</t>
  </si>
  <si>
    <t>Great canvas for rehab:popular E 1 town house with 4 bedrooms and 2 and a half baths. Bright and sunny 3 level house with central air. Separate dining room/ kitchen potential for LL media room to open into your backyard with landscaping. Reserved parking for one car in lot, shared fenced-in play lot. Walk to University,grocery store, post office, restaurants, cafe's,  shopping and Transit</t>
  </si>
  <si>
    <t>BRET HARTE ELEMENTARY SCHOOL</t>
  </si>
  <si>
    <t>CANTER MIDDLE SCHOOL</t>
  </si>
  <si>
    <t>KENWOOD ACADEMY HIGH SCHOOL</t>
  </si>
  <si>
    <t>Parking, Common Insurance, Exterior Maintenance, Scavenger, Snow Removal</t>
  </si>
  <si>
    <t>Skylight(s), Hardwood Floors, 1st Floor Bedroom, 1st Floor Laundry</t>
  </si>
  <si>
    <t>Assigned Spaces, Off Street</t>
  </si>
  <si>
    <t>please email Eva</t>
  </si>
  <si>
    <t>Great canvas for customizing to your clients particular taste. Rehabbers dream...Oh the places you'll go...</t>
  </si>
  <si>
    <t>**IMMEDIATE MOVE IN! ***Spectacular floorplan with a huge country kitchen -  island-stainless steel appliances and tall upgraded Birch cabinets. This home has large open family room and a roomy living room/dining room area. Upstairs has a huge second family room (14x21) with upstairs laundry and 4 spacious bedrooms. Live in a clubhouse community in a beautiful new Energy star rated home- minutes from the expressway.</t>
  </si>
  <si>
    <t>Go to 1331 Newport Ct to get into this home. Sales center open daily</t>
  </si>
  <si>
    <t>D.R. Horton Homes</t>
  </si>
  <si>
    <t>Must accompany client on the first visit. Come to sales center at 1331 Newport Ct in Pingree Grove,Il. Call for additional info at 847-984-4883 or to make an appointment to see this home. Open daily</t>
  </si>
  <si>
    <t>MONTROSE</t>
  </si>
  <si>
    <t>Montrose Ave, between Cicero and Milwaukee Ave. on the North side of the street</t>
  </si>
  <si>
    <t>50 X 126</t>
  </si>
  <si>
    <t>VERY LARGE CLASSIC AMERICAN 4 SQUARE LOADED WITH BEAUTIFUL NATURAL WOOD WORK EVEN POCKET DOORS!! THIS PROPERTY IS BEGGING FOR SOMEONE TO COME AND RESTORE IT. SPACIOUS LIVING AND FORMAL DINING ROOMS BIG FOYER WITH OPEN STAIRCASE TO 4 BEDROOMS AND FULL BATH UPSTAIRS. THIRD LEVEL CAN EVEN BE FINISHED. FULL HIGH BASEMENT TANKLESS HW HEATER NEWER TEAR OFF ROOF GAS FORCED AIR WITH CA PLUMBING AND ELECTRIC UPDATED. HUGE LOT</t>
  </si>
  <si>
    <t>SHOWING ASSIST OR CALL 855-746-9200</t>
  </si>
  <si>
    <t>Go Won I-90 to Rt.47. South on 47 to Rt.72 go East on 72 community on the right side of 72 -1/4 mile</t>
  </si>
  <si>
    <t>68X120</t>
  </si>
  <si>
    <t>First thing to welcome you is the covered porch and double gables on this Vista 2799 sq ft home.  Four roomy bedrooms upstairs and a second family is perfect for a growing family. Large country kitchen is loaded w/upgraded cabinets SS appliances and big island and laminate wood flooring with the family room off kitchen. Living room and dining room is perfect for get togethers. the 3 car garage a must for home on slab</t>
  </si>
  <si>
    <t>Central Air, Energy Efficient Package, Upgrade Carpet/Pad/Vinyl, Wood Laminate Flooring, Upgraded Insulation</t>
  </si>
  <si>
    <t>call 847-984-4883 to set appointment</t>
  </si>
  <si>
    <t>W Milwaukee Ave to Talman, north on Talman to Property</t>
  </si>
  <si>
    <t>ANOTHER GEM BY AMBROSIA HOMES IN HOT LOGAN SQUARE/BUCKTOWN AREA. MORE HOMES BY THIS BUILDER ON ITS WEBSITE.</t>
  </si>
  <si>
    <t>Bsmnt/Lower Lvl Finished, Deck/Patio/Screened Porch, Hardwood/Ceramic Floors, Skylight/s, Whirlpool Tub, Zoned Heating/Cooling</t>
  </si>
  <si>
    <t>Vinyl Siding, Frame, Masonite</t>
  </si>
  <si>
    <t>USE SHOWING ASSIST! DON'T CALL LISTING AGENT!</t>
  </si>
  <si>
    <t>Other homes by this builder, AMBROSIAHOMESINC.COM FOR OTHER HOMES BY THIS BUILDER BEFORE MLS.</t>
  </si>
  <si>
    <t>36W850</t>
  </si>
  <si>
    <t>Red Gate</t>
  </si>
  <si>
    <t>Randall To Ridgewood Dr. E To RDGWD to Red Gate ct.</t>
  </si>
  <si>
    <t>RED GATE RIDGE</t>
  </si>
  <si>
    <t>258X283X155X250</t>
  </si>
  <si>
    <t>Beautiful home, boasting with fabulous upgrades ,from hardwood floors, unique fixtures to an expansive kitchen w/granite counters, SS appliances. Large FR w/FP, vaulted ceiling &amp; a dual  staircase.  Private 1st flr office with French drs! Master suite w/huge walk-in closet and private bath.  Princess room w/ private bath + 2 other bedrooms w/jack &amp; Jill. Perfect location come see your new home ENJOY! SOLD ASIS.</t>
  </si>
  <si>
    <t>Please see showing Assist for all showings,</t>
  </si>
  <si>
    <t>Proud</t>
  </si>
  <si>
    <t>Route 23 to Northgate Dr. Turn left on Pioneer Way</t>
  </si>
  <si>
    <t>North Grove Crossings</t>
  </si>
  <si>
    <t>CRAFTSMAN</t>
  </si>
  <si>
    <t>74X130X83X131</t>
  </si>
  <si>
    <t>TBD</t>
  </si>
  <si>
    <t>Silverthorne Builders presents the CRAFTSMAN...exceptional design &amp; square footage is just the beginning, main level features HW in formal living areas &amp; kitchen, kitchen with raised panel cabinetry, ss appliances, island &amp; sep. eating area, family rm features wood burning fireplace &amp; coffered ceiling,  master bedroom suite with tray ceiling and master bath with ceramic tile,  soaker tub and separate sink areas.</t>
  </si>
  <si>
    <t>Central Air, Fireplace, Hardwood/Ceramic Floors, Landscaping, Upgraded Insulation, Upgraded Cabinets &amp; Counters</t>
  </si>
  <si>
    <t>Silverthorne Dev Corp</t>
  </si>
  <si>
    <t>Please register your pre-approved clients prior to meeting w/ the builder to discuss options. All homes come with 1 yr builder workmanship, 2 yr fixtures and 10 yr structural warranty.</t>
  </si>
  <si>
    <t>Kedzie South to 10629 (Address)</t>
  </si>
  <si>
    <t>27X101</t>
  </si>
  <si>
    <t>CHURCH</t>
  </si>
  <si>
    <t>RT34 TO LEW ST TURN NORTH TO CHURCH TURN RIGHT TO ADDRESS</t>
  </si>
  <si>
    <t>FRESH PAINT AND CARPETING MAKE THIS 4 BEDROOM RANCH MOVE IN READY! MATURE TREES AND LARGE BACKYARD No survey/survey affidavit provided. Taxes prorated at 100%.*Buyer pays transfer &amp; tax stamps. *sold AS-IS REPAIRED.</t>
  </si>
  <si>
    <t>Highest and best due 10/2 3:00pm Property Disc, 1st Look Affidavit Owner Occupancy Form,â€“ attached to this listing. **proof of funds/financing req* buyer responsible for any/all city/municipal trans/tax stamps.</t>
  </si>
  <si>
    <t>IL RT23 (SYCAMORE RD), S ON 9TH ST OR IL RT38 TO 10TH, N TO SHIPMAN W TO 9TH N TO PROPERTY</t>
  </si>
  <si>
    <t>HUD FORECLOSURE SALE CASE#137-476746, SOLD "AS-IS", CODE "IE" INSURED W/ESCROW, BUYER RESPON FOR $4950 ESCROW (SEE ADDENDA). 203K ELIG SBJCT TO FHA APPRAISAL. OWNER OCCUPANTS, NONPROFITS &amp; GOVERNMENT AGENCIES ONLY THRU 8/21/14. . 4 BED/2 BA, FULL BASEMENT, HARDWOOD FLRS, STONE FPLC. 1ST FLR BEDRM AND UPSTAIRS MSTR STE W/WALK-IN CLST. FENCED YARD, 2 CAR GAR W/ATTACHED 3 SEASON ROOM. ****EQUAL HOUSING OPPORTUNITY****</t>
  </si>
  <si>
    <t>3% SEE AGENT REMARKS (on Net SP)</t>
  </si>
  <si>
    <t>CLICK BELOW FOR INSTRUCTIONS</t>
  </si>
  <si>
    <t>HUD OWNED</t>
  </si>
  <si>
    <t>ENTER COOPERATIVE COMPENSATION AMUNT WHEN PLACING BID. HUD CASE#137-476746, SOLD "AS-IS" , GOTO HUDHOMESTORE.COM OR OFORIREO.COM FOR BIDDING INFO</t>
  </si>
  <si>
    <t>5N523</t>
  </si>
  <si>
    <t>Quail</t>
  </si>
  <si>
    <t>64 to Burlington to Empire L to Cranberry L to Jens Jensen. Home is on the corner of Quail Ct</t>
  </si>
  <si>
    <t>26924 SQ FT</t>
  </si>
  <si>
    <t>Character throughout this great 4bd/2.5bth home~Stunning great room w new hardwood floors &amp; a wall of windows! 1st floor MBR w french doors to deck &amp; 3 generous bds up plus loft w great view &amp; juliet balcony~DR w french doors to deck is perfect for entertaining~Corner lot w incredible privacy &amp; 3 decks from which to enjoy the view! Nice sized den in basement w stone fireplace~Unique and charming and practical too!</t>
  </si>
  <si>
    <t>Well-Community, Well-Private Company</t>
  </si>
  <si>
    <t>Oven-Double, Oven/Range, Dishwasher, Refrigerator, Disposal</t>
  </si>
  <si>
    <t>Corner, Cul-de-sac, Irregular, Landscaped Professionally</t>
  </si>
  <si>
    <t>Common Insurance, Clubhouse, Pool, Other</t>
  </si>
  <si>
    <t>Humidifier, Water-Softener Owned, CO Detectors, Ceiling Fan, Fan-Attic Exhaust, Sump Pump, Backup Sump Pump</t>
  </si>
  <si>
    <t>Den, Foyer, Great Room, Loft</t>
  </si>
  <si>
    <t>Sue Stalzer</t>
  </si>
  <si>
    <t>(630) 345-7767</t>
  </si>
  <si>
    <t>Agent cell-248-390-6044</t>
  </si>
  <si>
    <t>855-746-9100 Some notice appreciated. Please do not use deadbolt.</t>
  </si>
  <si>
    <t>Many updates to electrical and plumbing systems, all mechanicals newly serviced, new landscaping, back brick walk, new paint, all decks freshly stained. Lots of value! Use6.0</t>
  </si>
  <si>
    <t>Hall</t>
  </si>
  <si>
    <t>N on Norris to Mcdole to Dorr to Hall</t>
  </si>
  <si>
    <t>84 X130</t>
  </si>
  <si>
    <t>Walnut Woods 4bed/2.5 bath w/unfinished basement*Nice curb appeal*Formal LR/DR/FR w/fireplace + main floor den*Kit w/ breakfast bar &amp; eating area*Mstr w/priv bath &amp; soaker tub**double vanity*Interior lot*Original owner home in need of some updating/TLC**1 lender ss required*bid w/confidence=listing agent has closed 100â€™s of short sales to date*Low Taxes too!</t>
  </si>
  <si>
    <t>KANELAND NORTH ELEMENTARY SCHOOL</t>
  </si>
  <si>
    <t>Bert Gor</t>
  </si>
  <si>
    <t>(630) 615-2897</t>
  </si>
  <si>
    <t>FAX 630-206-0694</t>
  </si>
  <si>
    <t>Call Centralized Showing Service 877-977-1010 w/ 2 hour notice</t>
  </si>
  <si>
    <t>CC: Pursuant to Short Sale. Show &amp; Bid w/confidence! LA has closed 100â€™s of short sales to date*CC will NOT be reduced*sold as-is due to SS w/all clean disclosures from seller*100%-taxes*buyer pays survey*90 days for appl*MUST use 6.0 contract for offer*No Docusign</t>
  </si>
  <si>
    <t>NICHOLE</t>
  </si>
  <si>
    <t>KIRK N OF RTE 38 TO DIVISION, W TO NICHOLE</t>
  </si>
  <si>
    <t>FIELDS OF GENEVA</t>
  </si>
  <si>
    <t>BELFOUR</t>
  </si>
  <si>
    <t>92X50</t>
  </si>
  <si>
    <t>FANNIE MAE HOMEPATH PROPERTY! BRIGHT &amp; SPACIOUS 2 STORY HOME FEATURES 4 BDRMS, 2.5 BATHS, LARGE FAMILY RM W/ BRICK FP, HARDWOOD FLOORS, BIG KITCHEN, MASTER BR HAS VAULTED CEILINGS, LUXURY BATH W/ SKYLIGHT &amp; WALK-IN CLOSET, FINISHED BSMT W/ BUILT IN BAR, GREAT YARD W/ A LARGE PATIO!</t>
  </si>
  <si>
    <t>Water-Softener Owned, TV-Cable, TV-Dish, Sump Pump</t>
  </si>
  <si>
    <t>Vaulted/Cathedral Ceilings, Skylight(s), Bar-Dry</t>
  </si>
  <si>
    <t>CAPITAL ASSET GROUP, INC</t>
  </si>
  <si>
    <t>Please see the attached docs. The seller has directed that all offers be made on Homepath.com.  Please also send the same docs to kim@cag-reos.com and we will confirm receipt. Please check first look period on Homepath website.</t>
  </si>
  <si>
    <t>Oak Ridge</t>
  </si>
  <si>
    <t>Irving Park Rd (Rt 19) east of 59 to Oak Ridge S to home</t>
  </si>
  <si>
    <t>OAK RIDGE TRAILS</t>
  </si>
  <si>
    <t>80X170X60X115X95</t>
  </si>
  <si>
    <t>Best lot in the neighborhood! Enjoy the private, wooded  yard and serene view! Enter in to the Soaring Vaulted Ceilings w/ Skylights! Convenient 1st Floor Master Bedroom PLUS optional Second floor bedroom suite! Large family room off the kitchen is perfect for entertaining!  Full Basement. Newer Driveway &amp; Garage Door, &amp; Roof. Oversized 2.5 Car Garage!</t>
  </si>
  <si>
    <t>Humidifier, Water-Softener Owned, Sump Pump, Air Cleaner</t>
  </si>
  <si>
    <t>Stucco, Stone</t>
  </si>
  <si>
    <t>PULASKI TO MARQUETTE RD(6700S) EAST TO HAMLIN RIGHT TO 67THPLACE WEST TO HOME</t>
  </si>
  <si>
    <t>LOCATION, LOCATION, LOCATION! 4 BEDROOMS, 1 BATH ON EACH LEVEL.  SHORT SALE OPPORTUNITY. LARGE HOME WITH 4 BEDROOMS. NEEDS SOME WORK. SOLD AS-IS. NO TERMITE NO SURVEY. TAXES AT 100%</t>
  </si>
  <si>
    <t>Nelly Lara, ABR,CRB,SFR</t>
  </si>
  <si>
    <t>(773) 581-9600x110</t>
  </si>
  <si>
    <t>24 HOUR NOTICE EMAIL NELLY.SFR@GMAIL.COM</t>
  </si>
  <si>
    <t>Martin Luther King Jr.</t>
  </si>
  <si>
    <t>65th East of State to King Drive South On King Drive to property</t>
  </si>
  <si>
    <t>4 bedroom, 2 bathroom brick home. Property features a full basement, 2 car detached garage and deck. Sold as-is. This is an equal housing opportunity. Case # 137-484349. Listed uninsured. Water heater, drywall, plumbing, and heating repairs needed. This is a buyer select property.</t>
  </si>
  <si>
    <t>Robins Realty, LLC</t>
  </si>
  <si>
    <t>(708) 960-4359</t>
  </si>
  <si>
    <t>Kandice Robins</t>
  </si>
  <si>
    <t>See showing assistant</t>
  </si>
  <si>
    <t>HUD owned</t>
  </si>
  <si>
    <t>Please submit all offers through www.hudhomestore.com Only.</t>
  </si>
  <si>
    <t>Barrington Rd N of Schaumburg Rd but S of Irving Park Rd go East on Yorkshire Dr home on the right</t>
  </si>
  <si>
    <t>7,800 SQFT</t>
  </si>
  <si>
    <t>THIS 3 BEDROOM (4TH BEDROOM IN LOWER LEVEL), 2 BATH SPLIT LEVEL NEEDS SOME TLC, BUT WILL BE A GORGEOUS HOME WITH INSTANT EQUITY.  HOME BACKS UP TO PARK AND CLOSE TO EVERYTHING!  DEFINITELY WORTH A LOOK!!  SOLD AS-IS!!</t>
  </si>
  <si>
    <t>Rozar Realty, Inc.</t>
  </si>
  <si>
    <t>(773) 774-5444</t>
  </si>
  <si>
    <t>Vito Partipilo</t>
  </si>
  <si>
    <t>LESLIE@ALLREOS.NET</t>
  </si>
  <si>
    <t>EMAIL LESLIE@ALLREOS.NET FOR ALL SHOWINGS AND INQUIRIES!!</t>
  </si>
  <si>
    <t>HIGHEST AND BEST DUE BY 12:00PM AUGUST 1ST.PROPERTY IS BANK OWNED.  BANK DOES NOT SUPPLY SURVEY OR DISCLOSURES.  EMAIL ALL OFFERS TO LESLIE@ALLREOS.NET.  PROPERTY SOLD AS-IS!!</t>
  </si>
  <si>
    <t>Kamerling</t>
  </si>
  <si>
    <t>Pulaski North Or South to Kamerling West To Property.</t>
  </si>
  <si>
    <t>Fannie Mae owned property being sold as is.Perfect for the handyman owner occupant to add value with improvements and repair for nice home close to all needs and services, transportation ,shopping.Very good deal for large family home.</t>
  </si>
  <si>
    <t>Charles Michalak</t>
  </si>
  <si>
    <t>(708) 565-6973</t>
  </si>
  <si>
    <t>Seller has instructed that all offers be made online at Homepath.com. Do due diligence with info provided.</t>
  </si>
  <si>
    <t>Dunhill</t>
  </si>
  <si>
    <t>2.5 miles N of Rte 22 on Rand Rd, just North of Miller Rd turn Left in Wynstone and go to gatehouse.</t>
  </si>
  <si>
    <t>MAINTENANCE FREE</t>
  </si>
  <si>
    <t>80X161X90X60X175</t>
  </si>
  <si>
    <t>Sophisticated, â€˜Maintenance Free,â€™ jewel in the award winning gated â€˜Enclaveâ€™ at Wynstone. This home exudes class from the exquisite 1100 bottle Wine Cellar to the high-ceilinged, wood-paneled library. The serene flagstone patio is ready for you to enjoy with a good book or with friends and is immediately accessible from the first floor master, the uplifting sunroom and the 22â€™ high great room. Available immediately!</t>
  </si>
  <si>
    <t>Clubhouse, Park/Playground, Pool, Tennis Courts, Pond/Lake, Gated Entry</t>
  </si>
  <si>
    <t>Oven-Double, Microwave, Dishwasher, High End Refrigerator, Refrigerator-Bar, Freezer, Washer, Dryer, Disposal, All Stainless Steel Kitchen Appliances</t>
  </si>
  <si>
    <t>Overhead Sewers, Other</t>
  </si>
  <si>
    <t>Common Grounds, Cul-de-sac, Landscaped Professionally</t>
  </si>
  <si>
    <t>Common Insurance, Security, Lawn Care, Snow Removal</t>
  </si>
  <si>
    <t>Humidifier, Water-Softener Owned, Central Vacuum, TV-Cable, TV-Dish, Security System, CO Detectors, Ceiling Fan, Sump Pump, Sprinkler-Lawn, Backup Sump Pump</t>
  </si>
  <si>
    <t>Great Room, Library, Loft, Recreation Room, Sun/Florida Room Heated</t>
  </si>
  <si>
    <t>Patio, Dog Run &amp;/or Invisible Fence, Storms/Screens, Grill-Outdoors</t>
  </si>
  <si>
    <t>40X30</t>
  </si>
  <si>
    <t>(847) 381-7100</t>
  </si>
  <si>
    <t>Connie Antoniou, CIPS,CRS,GREEN,GRI,SFR</t>
  </si>
  <si>
    <t>(847) 508-7775</t>
  </si>
  <si>
    <t>847.508.7775 Connie's cell</t>
  </si>
  <si>
    <t>Please call Showing Time at 877.746.9205</t>
  </si>
  <si>
    <t>The most secluded of all Enclave homes, ultimate privacy, located at the end of the cul-de-sac. Gorgeous perennial gardens &amp; slate floors. Show with confidence! Refer to wynstonepoa.com, and wynstonegolfclub.com to become a Wynstone Expert!</t>
  </si>
  <si>
    <t>Rich</t>
  </si>
  <si>
    <t>North on First Street to Rich Road turn west, first house west of Annie Glidden</t>
  </si>
  <si>
    <t>3.7 ACRES</t>
  </si>
  <si>
    <t>Quality and charm abound in this completely renovated home . 20x30 family room added in '05 w/in flr. heat &amp; fp. Extensive millwork has been refinished. 3 pocket doors, lrg. kitch. island, walk up attic, brick patio, swing set, shed &amp; pool. 42x30 3 car garage added in '05 w/heated flrs, storage, and bsmt. access. New roof, a/c, windows, electric &amp; furnace in '01. Zoned climate control. 3.7 acres with great views!</t>
  </si>
  <si>
    <t>Propane, Radiant, 2+ Sep Heating Systems, Indv Controls, Zoned</t>
  </si>
  <si>
    <t>Water-Softener Owned, Security System, CO Detectors, Ceiling Fan, Sump Pump, Radon Mitigation System(s)</t>
  </si>
  <si>
    <t>Attic, Foyer, Office</t>
  </si>
  <si>
    <t>Vaulted/Cathedral Ceilings, Hardwood Floors, Heated Floors, 1st Floor Bedroom</t>
  </si>
  <si>
    <t>29X27</t>
  </si>
  <si>
    <t>Please call Showing Time at 855-746-9100</t>
  </si>
  <si>
    <t>Home is impeccably maintained &amp; top quality. Your clients will not be disappointed. Newer appliances, 2 sump pumps, Radon system, ADT security system, 10 ceiling fans.  Please exclude curtains,bsmt fridge &amp; freezer, washer and dryer. Use6.0</t>
  </si>
  <si>
    <t>Kenneth</t>
  </si>
  <si>
    <t>63rd st to Kenneth, south to property</t>
  </si>
  <si>
    <t>BEAUTFIUL CAPE COD BRICK HOME CLOSE TO MIDWAY AIRPORT AND CONVENIENT SHOPPING NEARBY  GREAT BRICK HOME WITH SUPERB POTENTIAL THROUGHOUT.  SDEE IT TODAY</t>
  </si>
  <si>
    <t>AUTUMN CREEK</t>
  </si>
  <si>
    <t>RTE 34 &amp; ORCHARD RD - GO W.ON RTE 34, 1.2 MILES TO AUTUMN CREEK BLVD, TURN RIGHT TO SALES OFFICE.</t>
  </si>
  <si>
    <t>101X150</t>
  </si>
  <si>
    <t>NEW HILLTOP PLAN! GREAT HOMESITE! LOOK OUT BASEMENT OVERLOOKS POND!  NEAR AC ELEMENTARY SCHOOL! 4 BDRMS, 2 AND 1 HALF BATHS; SUN ROOM, SEPARATE DINING ROOM, LGE GREAT ROOM OPEN TO KITCHEN AND EATING AREA! GRANITE C-TOPS, SS APPLS, 42" MAPLE CABS; HDWD FLOORS IN KITCHEN FOYER &amp; POWDER RM; TANDEM 3-CAR GARAGE AND MORE!  HOMESITE 269. PHOTOS OF SIMILAR HOME.  HOME TO BE BUILT, CALL FOR DETAILS.</t>
  </si>
  <si>
    <t>AUTUMN CREEK ELEMENTARY SCHOOL</t>
  </si>
  <si>
    <t>Den, Great Room, Loft, Sun/Florida Room Heated</t>
  </si>
  <si>
    <t>FOR INFORMATION OR APPOINTMENT PLEASE CALL 630-553-4300.</t>
  </si>
  <si>
    <t>HOME TO BUILT.  CALL FOR DETAILS AND APPOINTMENT. 3% COMMISSION PAID ON BASE PRICE OF HOME $219,990 .</t>
  </si>
  <si>
    <t>Morgan Valley</t>
  </si>
  <si>
    <t>Route 71, Left on Plainfield, Right on Grove, Left on Morgan Valley, Home on Right</t>
  </si>
  <si>
    <t>Morgan Crossing</t>
  </si>
  <si>
    <t>This custom-built home is located on a private, oversized lot backing to a pond with incredible views which you will enjoy from your 37X17 two tiered deck. The inside is loaded with custom upgrades and touches including oversized moldings, crown moldings, chair rails, built-in storage and organizers in the laundry room and a MASTER SUITE FIT FOR A KING! The kitchen is a Mom's dream, So much more, TRULY A MUST SEE!!</t>
  </si>
  <si>
    <t>Please call CSS 1-877-977-1010</t>
  </si>
  <si>
    <t>Back on the market, owners are ready to move.  This is a stunning home!</t>
  </si>
  <si>
    <t>TIMBER OAKS</t>
  </si>
  <si>
    <t>Oak Street to Timber Oaks Dr, West to Wildwood, Rt to Second Timber Oaks, Left to home</t>
  </si>
  <si>
    <t>Timber Oaks</t>
  </si>
  <si>
    <t>OAKTON IV</t>
  </si>
  <si>
    <t>100X110</t>
  </si>
  <si>
    <t>THIS ONE STANDS HIGH ABOVE THE REST! Even from the curb youâ€™ll see-This home offers intrinsic features that set it apart from the others. Gigantic, fenced corner lot w/lots of mature trees &amp; perennials. Multi-level maintenance free deck, unilock paver patio &amp; sidewalks. Full walk-out BSMT w/R-I plumbing for full bath. Four spacious bedrooms PLUS a loft. Neutral dÃ©cor. Great location. New roof before closing-GET HERE!</t>
  </si>
  <si>
    <t>Park/Playground, Sidewalks, Street Paved</t>
  </si>
  <si>
    <t>Breakfast Room, Foyer, Loft</t>
  </si>
  <si>
    <t>Lisa Byrne, CSC</t>
  </si>
  <si>
    <t>(630) 670-1580</t>
  </si>
  <si>
    <t>630-670-1580</t>
  </si>
  <si>
    <t>CALL THE B&amp;W APPT CENTER @ 855-746-9100.  AFTER HOURS CALL LA.</t>
  </si>
  <si>
    <t>WEAR</t>
  </si>
  <si>
    <t>SHOW THIS HOME WITH COMPLETE CONFIDENCE. LOTS OF SPACE FOR THE GROWING FAMILY!  ABOVE GROUND POOL IS DISMANTLED &amp; IN THE BASEMENT BUT WORKS GREAT &amp; WILL STAY WITH THE HOME.</t>
  </si>
  <si>
    <t>St George</t>
  </si>
  <si>
    <t>California to Stave, turn left on St Georges Ct. to house</t>
  </si>
  <si>
    <t>25X90</t>
  </si>
  <si>
    <t>New construction, ready to move in! 4 bed 3 1/2 bath, contemporary urban design with attached garage &amp; nice back yard. Exceptional layout w/3 bedrooms upstairs. Luxury finishes:  HW floors, steel railings, 42" espresso cabinets, quartz counters, spa bath, pre-wire, SS appliances. Only 1 block to El train! ALSO FOR RENT.</t>
  </si>
  <si>
    <t>18X5</t>
  </si>
  <si>
    <t>Click on Showing Assist,  instructions will be  emailed/texted. Please do  not call listing office.</t>
  </si>
  <si>
    <t>Listing office does not hold earnest money, make out to "Law Offices of Daniel Hofstetter". Agent has ownership interest. Visit our website www.sky-homes.com for other avail properties</t>
  </si>
  <si>
    <t>Whitetail Crossing</t>
  </si>
  <si>
    <t>Orchard Rd to Mill Rd East to Fox Chase Dr N to Whitetail Crossing</t>
  </si>
  <si>
    <t>45X20X30X113X81X132</t>
  </si>
  <si>
    <t>Easy to show but please give notice.  A really nice home!</t>
  </si>
  <si>
    <t>SOUTH WEST HWY TO TRUMBULL NORTH TO PROPERTY</t>
  </si>
  <si>
    <t>Beautifully updated 4 bed 2 bath brick home with garage! Close to Metra! Gorgeous hardwood floors! New carpet and paint! Kitchen with new granite counters and ss appliances. Updated baths. Nice sized bedrooms. Plenty of storage. Finished basement great for entertaining. Patio overlooks large fenced in yard. Just move in!</t>
  </si>
  <si>
    <t>PLEASE REMOVE SHOES. EASY TO SHOW AND SELL. NOT A SHORT SALE OR FORECLOSURE. BRING YOUR FHA BUYERS. LENDER MUST SIGN LOAN DISCLOSURE. TEXT CO LISTER WITH QUESTIONS 630-334-5355.</t>
  </si>
  <si>
    <t>COUNTRY HILLS</t>
  </si>
  <si>
    <t>ROUTE 71 TO COUNTRY HILLS</t>
  </si>
  <si>
    <t>104X121X103X113</t>
  </si>
  <si>
    <t>LOOK WHAT WE HAVE HERE! You'll Love the Location &amp; Private Yard, Mature Trees, Perennials, Deck &amp; Shed. Bright Kitchen w/ Granite Top &amp; Spacious Breakfast Rm overlooking a huge Great Room w/Brick Fireplace. Finished Lower Level, &amp; Lg Storage Space. Vaulted Master w/Whirlpool Tub, Sep. Shower, &amp; Dual Vanity. Walk to Neighborhood Park, Middle School, &amp; Trails. Sellers Transferred, Relo Addendums Apply. $1500 Buy Credit</t>
  </si>
  <si>
    <t>TV-Cable, Ceiling Fan, Sump Pump, Backup Sump Pump, Radon Mitigation System(s)</t>
  </si>
  <si>
    <t>Call Centralized Showing Service @ 877.977.1010</t>
  </si>
  <si>
    <t>one block west of cottage grove and 92nd place.</t>
  </si>
  <si>
    <t>Bank owned in great condition and in move-in condition kitchen has spacious room with granite and custom cabinets, four bedrooms with bathroom on every floor. If you have a big family this is the  house for you at a low price. Call listing Agent</t>
  </si>
  <si>
    <t>Call Listing Agen</t>
  </si>
  <si>
    <t>Call Listing Agent for showing</t>
  </si>
  <si>
    <t>HIGHLAND WEST OF RT 31 VINCENT PL N TO OAKLEY RT</t>
  </si>
  <si>
    <t>161X51</t>
  </si>
  <si>
    <t>GORGEOUS NEIGHBORHOOD TO CALL HOME, SPACIOUS ROOM SIZES, PERFECT FOR THE LARGEST FAMILY, FINISHED BASEMENT TOO, POTENTIAL GALORE!!A LITTLE TLC AND YOU'LL HAVE A SWEET DEAL!! SOLD "AS IS", NO SURVEY, NO DISCLOSURES,TAXES PRORATED AT 100%.ADDENDUMS TO FOLLOW ACCEPTED OFFER, PROOF OF FUNDS REQUIRED FOR ALL TRANSACTIONS, BUYER TO ASSUME ALL CITY REPAIRS OR VIOLATIONS, SEE MLS FOR OFFER INSTRUCTIONS.</t>
  </si>
  <si>
    <t>(847) 874-6800</t>
  </si>
  <si>
    <t>Cris Sallmen</t>
  </si>
  <si>
    <t>(847) 650-5352</t>
  </si>
  <si>
    <t>CALL  866-571-7181 FOR APPT</t>
  </si>
  <si>
    <t>SEE MLS FOR OFFER INSTRUCTIONS</t>
  </si>
  <si>
    <t>E/W ON 103RD NORTH ON CARPENTER</t>
  </si>
  <si>
    <t>SPACIOUS 4 BED, 2 BATH HOME WITH GREAT POTENTIAL! FULL UNFINISHED BASEMENT, DETACHED GARAGE. NEEDS WORK. ***CORPORATE OWNED REO*** SOLD AS-IS/WHERE-IS. NO SURVEY/TERMITE. *BUYER RESPONSIBLE FOR TRANSFER STAMPS* - Highest and Best Due 1/29/15 @ 10:30AM</t>
  </si>
  <si>
    <t>Submit all offers to sales@pvrco.com.  Required Offer Cover Sheet under Additional Information.   $150 Transaction Fee charged to Selling Agent at closing. *BUYER RESPONSIBLE FOR TRANSFER STAMPS* BUYER TO VERIFY ROOM COUNT/DIMENSIONS</t>
  </si>
  <si>
    <t>Rt38 N on Randal to Prairie, E on Prairie, to 16th St, N on 16 to island veer right to 14th culdesac</t>
  </si>
  <si>
    <t>MILLBURN</t>
  </si>
  <si>
    <t>59X126X108X130</t>
  </si>
  <si>
    <t>Lovely Colonial. Stone gas FP in lge fam room w/sliding glass to mature tree-filled backyard + lge patio. Updated eat-in kitchen w/shrock maple cabinets + built in pantry. New triple paned, vinyl clad energy rated windows. Newer appliances, new Pergo floor in living + dining rooms. Oak hardwood floors in all bedrooms. Light, clean partially refinished full basement. Prof landscaped. Int/Ext all newly painted.</t>
  </si>
  <si>
    <t>Humidifier, Water-Softener Owned, CO Detectors, Fan-Attic Exhaust, Sump Pump</t>
  </si>
  <si>
    <t>Charter Realty Group, Ltd.</t>
  </si>
  <si>
    <t>(630) 291-7956</t>
  </si>
  <si>
    <t>Raymond W Stauber Jr.</t>
  </si>
  <si>
    <t>630-721-1009</t>
  </si>
  <si>
    <t>No showings before 9am. 6 hr. telephone notice to owner 630-721-1009</t>
  </si>
  <si>
    <t>Harvey</t>
  </si>
  <si>
    <t>RT34 TO RT30 EST TO WOLF CROSSINGS RD WST TO HARVEY SOUT</t>
  </si>
  <si>
    <t>***Fannie Mae HomePath Property*** Spacious Ranch with Acreage! 3 FULL ACRES! 4 Bedrooms, 2 Full Baths, 1 Half Bath, Tons of Space in Attached Garage with office space easily converted to more garage space! Even more storage in Pole Barn! Wood Floors, Full Basement w/ Fireplace!</t>
  </si>
  <si>
    <t>Gas, Hot Water/Steam, Radiant</t>
  </si>
  <si>
    <t>Offers go to HomePath.com. Please Email POF/preapproval to Broker. For assistance w/ process call 866.218.4446. No survey provided.Earnest Money in Cert. Fund to: Pierce &amp; Assoc. 10% EM on Cash Trans. sizes approx</t>
  </si>
  <si>
    <t>80th</t>
  </si>
  <si>
    <t>79TH/LAWNDALE S/80TH PLACE E TO HOME</t>
  </si>
  <si>
    <t>Luxuriously updated, larger than average raised ranch , finished basement , white glazed cabinetry,stainless appliances, granite counter tops, marvelous millwork, hardwood floors, travertine and mosaic tile baths w/whirlpool tub, a must see... agent related to seller.</t>
  </si>
  <si>
    <t>2.5-$200.00 (on Gross SP)</t>
  </si>
  <si>
    <t>Elzbieta Kobylarczyk</t>
  </si>
  <si>
    <t>(815) 603-3488</t>
  </si>
  <si>
    <t>Pro 1 Realty does nor hold earnest money, please make check payable to attorney Thaddeus Kowalczyk</t>
  </si>
  <si>
    <t>James</t>
  </si>
  <si>
    <t>RT 72 TO CENTENNIAL TO JAKE, to James to Home</t>
  </si>
  <si>
    <t>HAMPSHIRE HIGHLANDS</t>
  </si>
  <si>
    <t>ROUSSEAU</t>
  </si>
  <si>
    <t>Newer 4 Bedroom Home w/ Open Floor Plan! Eat-In Kitchen w/ Center Island &amp; Breakfast Bar, Black Appliances, &amp; Upgraded Cabinetry Opens to Family Room w/ Cozy Fireplace. Huge Master Suite w/ Vaulted Ceilings, &amp; Sitting Area, Plus Luxury Bath w/ Separate Tub &amp; Shower, &amp; Dual Vanities! Features Include Hardwood Flooring, 2 Story Living Room, 1st Floor Den, &amp; White Trim &amp; Doors. Short Sale~Bid With Confidence.</t>
  </si>
  <si>
    <t>27X24</t>
  </si>
  <si>
    <t>Avenue H</t>
  </si>
  <si>
    <t>107th Street to Avenue H  go north to property</t>
  </si>
  <si>
    <t xml:space="preserve"> Miss America Rates ( very attractive! ) FRAME BUNGALO STYLE HOME.  FORMAL DINING ROOM, EAT-IN KITCHEN, REAR ENCLOSED PORCH, EXPANDABLE ATTIC, AND HARD WOOD FLOORS.  4 BEDROOMS, 2 BATHS, FULL FINISH BASEMENT, CENTRAL HEATING &amp; AIR CONDITION, SOME NEWER WINDOWS, NEWER ROOF 2014, NEWER CEMENTED SIDE WALKS.  CAME SEE HOW WELL IT FITS!  PRE-QUALIFY BUYERS ONLY.</t>
  </si>
  <si>
    <t>Please call 24 to 48 hours before showing</t>
  </si>
  <si>
    <t>BAILEY</t>
  </si>
  <si>
    <t>Route 34 to Mitchell Drive to Blake (rt) to Bailey (rt) to home</t>
  </si>
  <si>
    <t>69 X 160 X 80 X 150</t>
  </si>
  <si>
    <t>Lakewood Valley Newcastle model home features 4 large bedrooms, loft, 2.1 baths, 1st floor den could double as a 5th bedroom, huge eat in kitchen w/SGD to huge Fenced in yard, spacious family room. Full unfinished basement has lots of potential for future finishing w/rough in plumbing for additional bath.PROPERTY TAXES 100% THIS IS A FANNIE MAE HOMEPATH PROPERTY.</t>
  </si>
  <si>
    <t>2 Separate Systems</t>
  </si>
  <si>
    <t>Common Insurance, Clubhouse</t>
  </si>
  <si>
    <t>Water-Softener Owned, CO Detectors, Sump Pump</t>
  </si>
  <si>
    <t>Den, Loft, Sitting Room</t>
  </si>
  <si>
    <t>Please call the showing desk at 888.362.3222or LO after hours, thanks</t>
  </si>
  <si>
    <t>please submit all offers through homepath website TAXES 100%,BUYER IS RESPONSIBLE FOR PREVIOUS 6 MONTHS HOA FEES.</t>
  </si>
  <si>
    <t>Wynstone North</t>
  </si>
  <si>
    <t>Rand Rd 1/2 mi N of Miller to Wynstone gated entry, W 1 block to N Wynstone to 117 on right.</t>
  </si>
  <si>
    <t>138X318X165X307</t>
  </si>
  <si>
    <t>Beautiful New Construction in Wynstone! Motivated seller wants an offer.  This luxury home is gorgeous. It is move in ready. Old charm and wood work. Massive ceilings, 3 FP. Adjacent to this property is an open nature park that will not be built on.  The home offers an open plan, 1st flr master suite w/sitting rm, and an office plus formal and informal areas. Be impressed! See this home today. Gated community!</t>
  </si>
  <si>
    <t>SETH PAINE ELEMENTARY SCHOOL</t>
  </si>
  <si>
    <t>Clubhouse, Pool, Tennis Courts, Gated Entry, Street Lights, Street Paved</t>
  </si>
  <si>
    <t>Oven-Double, Dishwasher, High End Refrigerator, Freezer, Washer, Dryer, Disposal, All Stainless Steel Kitchen Appliances</t>
  </si>
  <si>
    <t>Bonus, Breakfast Room, Foyer, Media Room, Office, Sitting Room</t>
  </si>
  <si>
    <t>2.5 - $275 (on Gross SP)</t>
  </si>
  <si>
    <t>Knoll Realty Services, Inc</t>
  </si>
  <si>
    <t>(847) 359-5966</t>
  </si>
  <si>
    <t>Kathy Knoll</t>
  </si>
  <si>
    <t>(847) 774-7712</t>
  </si>
  <si>
    <t>Kathy1022@aol.com</t>
  </si>
  <si>
    <t>847-359-5588</t>
  </si>
  <si>
    <t>CALL OR TEXT MESSAGE 847-774-7712</t>
  </si>
  <si>
    <t>NEW CONSTRUCTION AND MOTIVATED SELLER. HOME HAS BEEN STAGED AND LOOKS GREAT. NEWLY LANDSCAPED. SEE THIS HOME TODAY. STONE WRK IS AMAZING. BONUS ROOM CAN BE 5TH BDRM W/FULL BATH.  HUGE BASEMENT W/PRE PLUMBING FOR FULL BATH.</t>
  </si>
  <si>
    <t>36W456</t>
  </si>
  <si>
    <t>River Grange</t>
  </si>
  <si>
    <t>Rt 64 To RT31 N to River Grange W to home</t>
  </si>
  <si>
    <t>RIVER GRANGE LAKES</t>
  </si>
  <si>
    <t>281X151X263X150</t>
  </si>
  <si>
    <t>Pristine condition &amp; move in ready!Amazing wooded acre(.98)FULLY FENCED &amp; Private~Newer carpeting~spacious 24x14 Granite kit w/Pergo flr &amp; Hearthroom adjacent w/FP~Dramatic sunken 23x19 Vaulted Fam rm w/New windows/2nd FP~Master suite w/ whirlpool/corion/Dual head European shower~Finished bsmt w/rec rm/office/builtin cabinets/micro/frig/shower~Screened porch~Paver patio/deck~shed~htd garage~Newer roof~Security system</t>
  </si>
  <si>
    <t>Whirlpool, Separate Shower, European Shower, Double Shower</t>
  </si>
  <si>
    <t>Deck, Office, Recreation Room, Screened Porch, Other</t>
  </si>
  <si>
    <t>Deck, Patio, Porch, Porch Screened, Storage Shed, Brick Paver Patio</t>
  </si>
  <si>
    <t>call 855-746-9200 show after 6pm Mon/tues/wed/thurs..anytime Friday/sat/sunday/must confirm</t>
  </si>
  <si>
    <t>Rt 25 to Ford east to 688</t>
  </si>
  <si>
    <t>50 X 91</t>
  </si>
  <si>
    <t>2 story home with a great yard. Patio and deck. 2 car attached garage and a detached garage too. 2 kitchens for possible in law arrangement. Make this your new home.</t>
  </si>
  <si>
    <t>6% LESS $1250-SELLING OFFICE &amp; LISTING OFFICE TO SPLIT BALANCE. (on Net SP)</t>
  </si>
  <si>
    <t>Robyn Huffar</t>
  </si>
  <si>
    <t>(847) 426-8230</t>
  </si>
  <si>
    <t>All offers must be submitted by the buyersâ€™ agent via offersubmission.com, id# 964651.  Buyer pays $300 offer.submission transaction fee at closing. View Elgin inspection under Addt'l Info.</t>
  </si>
  <si>
    <t>Sauganash</t>
  </si>
  <si>
    <t>Central north of Devon to Sauganash west</t>
  </si>
  <si>
    <t>Edgebrook stunning 4 bedroom ranch with 1.5 baths on the main floor. Remodeled kitchen with granite counters and eating area. Custom built plantation blinds on windows.  Hardwood floors. Finished lower level has family room, bedroom and bar. Large storage area and laundry room. New windows. Newer roof, furnace and A/C. Well-maintained home. Easy walk to Metra, award-winning Edgebrook School.</t>
  </si>
  <si>
    <t>10X35</t>
  </si>
  <si>
    <t>2.5 %- $150.00 (on Net SP)</t>
  </si>
  <si>
    <t>Cavan Realty Incorporated</t>
  </si>
  <si>
    <t>(847) 577-7060</t>
  </si>
  <si>
    <t>Andrew Clancy</t>
  </si>
  <si>
    <t>(773) 895-6471</t>
  </si>
  <si>
    <t>Call L/A 24 Hour Notice 773-895-6471</t>
  </si>
  <si>
    <t>Halsted and 115th Street to Michigan South to Address</t>
  </si>
  <si>
    <t>Perfection! This beautifully renovated 4 bed/2 bath home is just awaiting your arrival. Nothing has been left undone. This home features hardwood floors throughout, stainless appliances (fridge, stove/oven, microwave, dishwasher), &amp; washer/dryer. Walk out to the spacious backyard, &amp; you will find a 2 car garage. Up to $35,000 purchase subsidies available for qualified buyers. This home is for owner occupancy only.</t>
  </si>
  <si>
    <t>Call CSS at 877-977-1010 to schedule. You can also schedule at www.showings.com</t>
  </si>
  <si>
    <t>This home is being marketed and sold via the Chicago NSP program. Eligible buyer's income can't exceed 120% AMI  (ChicagoNSP.org) . Buyer will receive Down-payment assistance and closing cost. As listing agent for more details.</t>
  </si>
  <si>
    <t>ADDISON WEST TO OAK PARK NORTH TO PROPERTY</t>
  </si>
  <si>
    <t>3694 SQ FT</t>
  </si>
  <si>
    <t>Spacious brick bungalow with a full basement. 4 bedrooms, 2 baths, spacious deck in the back, 2 car garage.SOLD AS-IS. SUBMIT EARNEST MONEY AS CERTIFIED FUNDS. PROVIDE PROOF OF FUNDS OR PRE-APPROVAL. INFORMATION NOT GUARANTEED. TAX PRORATION 100%.AS-IS. FIRST LOOK INITIATIVE FOR OWNER OCCUPANTS ONLY THROUGH 09/07/2014.</t>
  </si>
  <si>
    <t>2.5% OR MIN $1500 (on Net SP)</t>
  </si>
  <si>
    <t>CASH ONLY. Highest &amp; Best by 02/10/15 by 4PM. VISIT ADDITIONAL INFO FOR SELLER FORMS/SUBMIT OFFERS to http://goo.gl/163bFL AND ALL QUESTION PLEASE DIRECT TO REO@PEARSONREALTYGROUP.COM /HOMESTEPS.COM FOR PROMOS/SEE ALL ATTACHED FOR</t>
  </si>
  <si>
    <t>37W316</t>
  </si>
  <si>
    <t>Randall Road to Red Gate Rd W to home</t>
  </si>
  <si>
    <t>CROSSINGS AT RED GATE</t>
  </si>
  <si>
    <t>Executive home with 4 bedrooms &amp; 4.2 baths! Opens to beautiful curved staircase in two story foyer! Great floor plan! Interior has been updated w/all NEW kitchen &amp; SS appliances! NEW carpet &amp; Fresh paint throughout! Finished walkout bsmt w/ full bath! All NEW electrical! So much to offer! See attachment for PAS requirements &amp; WFHM offer submittal information in MLS document section.  See agent remarks for more info.</t>
  </si>
  <si>
    <t>Premiere Asset Services</t>
  </si>
  <si>
    <t>Buyers MUST obtain a prequalification letter from Wells Fargo Home Mortgage to submit all offers.</t>
  </si>
  <si>
    <t>Peterson</t>
  </si>
  <si>
    <t>Nagle N of NW Hwy or S of Devon to Peterson, E</t>
  </si>
  <si>
    <t>59X85X63X103</t>
  </si>
  <si>
    <t>This 4 bdrm, 2 &amp; 1/2 bath home is situated on an over-sized lot on a quiet residential street in Norwood Park. Beautiful hardwood floors. Office tandem room off bdrm. Newer windows &amp; roof. Full, finished basement. Lushly landscaped yard w/covered patio. Garage w/attached storage building, plus off-street parking for 3 additional cars. Steps to Rosedale Park. Near shopping, restaurants, transportation, I-90 and METRA.</t>
  </si>
  <si>
    <t>2.5% PLUS $500 BONUS (on Net SP)</t>
  </si>
  <si>
    <t>Steven Heilig, GREEN,GRI,SRES</t>
  </si>
  <si>
    <t>(312) 307-1855</t>
  </si>
  <si>
    <t>Use Showing Assist or Call 855-746-9100</t>
  </si>
  <si>
    <t>99TH OR 103RD TO TALMAN ( 2632W) , NORTH OR SOUTH TO HOME.</t>
  </si>
  <si>
    <t>53 X 73 X 62 X 105</t>
  </si>
  <si>
    <t>GREAT LOCATION! THIS EXPANDED GEORGIAN FEATURES A GREAT MAIN LEVEL FAMILY ROOM WITH VAULTED CEILING. OPENS TO SUNLIT DINING ROOM, KITCHEN FEATURES BREAKFAST BAR,  4 GENEROUS SIZED BEDROOMS, 2 FULL BATHS, DECK, CENTRAL AIR, DON'T MISS IT. SHORT SALE SUBJECT TO LENDER APPROVAL.</t>
  </si>
  <si>
    <t>CC: Pursuant to Short Sale. BEING SOLD "AS IS". EARNEST MONEY TO BE IN CERTFIED FUNDS PAYABLE TO BHHS BIROS REAL ESTATE.</t>
  </si>
  <si>
    <t>Highgate</t>
  </si>
  <si>
    <t>Randall to Huntley to Westwood Breezeland to Highgate to home.</t>
  </si>
  <si>
    <t>Kimball Farms</t>
  </si>
  <si>
    <t>Nothing to do but move in. Remodeled with new kitchen cabinets, SS appliances, carpet paint, doors, electrical fixtures, new water heater. The list goes on. Run don't walk to this beauty before its gone. Full basement just waiting for your ideas. School in subdivision, all the shopping you could want is just a short drive away.</t>
  </si>
  <si>
    <t>630-262-1824</t>
  </si>
  <si>
    <t>Click on schedule a showing link download offer instructions from connect MLS</t>
  </si>
  <si>
    <t>Sold AS IS tax pro ration 100% no survey provided by seller offer must include pre approval letter or proof of funds for cash offer remove shoes submit offer to propoffer.com and email to gpiske@winfield-realty.com</t>
  </si>
  <si>
    <t>Ronzheimer</t>
  </si>
  <si>
    <t>Rt64 or Kirk to Tyler Rd, to Midway, South to Ronzheimer</t>
  </si>
  <si>
    <t>70X100</t>
  </si>
  <si>
    <t>Spacious home in St. Charles School district.  Kitchen with sliding-glass-doors to deck overlooking fenced yard. Saint Charles downtown historical area features shopping, dining and the Fox River Trail (biking, hiking, fishing &amp; nature paths). Home has a Large master bedroom with bath, big Family room and Living Room. Close to Fox Ridge Elementary School.  Minutes to Metra.</t>
  </si>
  <si>
    <t>Foyer, Utility Room-Lower Level</t>
  </si>
  <si>
    <t>Sharon Bus, CSC,GRI,SFR</t>
  </si>
  <si>
    <t>(630) 212-7531</t>
  </si>
  <si>
    <t>Fax 630-445-4007</t>
  </si>
  <si>
    <t>Please use 6.0 contract.  Earnest money must be in the form of a Certified Check.</t>
  </si>
  <si>
    <t>OAKVIEW</t>
  </si>
  <si>
    <t>RT.72 TO MADISON S 2 ELLWOOD GREENS RT 2 OAKVIEW L</t>
  </si>
  <si>
    <t>GENOA WOODS</t>
  </si>
  <si>
    <t>101.44X140X181.20X60.45</t>
  </si>
  <si>
    <t>Gorgeous custom brick home that backs to wooded conservation area! Home features vaulted ceilings, hardwood floors, granite counters/island, SS appliances, fireplace, dual vanities in master bath, 6 panel doors, loft, dual zoned heating/air, deep pour basement, and convenient 2nd floor laundry room! Enjoy the peace &amp; tranquility from the large screened in porch. Home has been impeccably maintained by original owner!</t>
  </si>
  <si>
    <t>Disposal, All Stainless Steel Kitchen Appliances</t>
  </si>
  <si>
    <t>Enclosed Porch, Foyer, Loft</t>
  </si>
  <si>
    <t>Cell 815-762-0085</t>
  </si>
  <si>
    <t>Call 855-746-9100 to Schedule a showing.  Must Confirm: 4 hour notice is preferred.</t>
  </si>
  <si>
    <t>Home is in excellent condition - bring your buyers! Please exclude curtain/drapery rods in 2nd &amp; 3rd Bedrooms and in the Kitchen eating area. Please use Multi-board 6.0 contract.</t>
  </si>
  <si>
    <t>WOODSIDE</t>
  </si>
  <si>
    <t>FOR INFORMATION CALL SALES OFFICE @ 847-426-4411.</t>
  </si>
  <si>
    <t>HOME SOLD PRIOR TO PROCESSING.  3% COMMISSION ON BASE PRICE OF $264,990.</t>
  </si>
  <si>
    <t>Greenview</t>
  </si>
  <si>
    <t>Ashland to Wilson, East to Greenview, South to property.</t>
  </si>
  <si>
    <t>26X159</t>
  </si>
  <si>
    <t>Amazing opportunity to purchase this Fannie Mae/Homepath single family home.  Bring your ideas to turn this into your dream home.  Tons of space and close to what you need.  Walk to the park, shopping, entertainment and more!  This will not last long.  Schedule your showing today before its gone!  All information estimated â€“ buyer to verify.</t>
  </si>
  <si>
    <t>REO ID: C140510 See additional information for contract package and instructions. All offers must be submitted on Homepath.com. Email all questions to JAMESONREO@GMAIL.COM. Use showing assist to schedule showings.</t>
  </si>
  <si>
    <t>59th. St. to Mozart, south to Property.</t>
  </si>
  <si>
    <t>ESTATE SALE OPPORTUNITY!!!  TO BE SOLD IN " AS IS CONDITION" 3 BEDROOMS ON MAIN LEVEL, LIVING ROOM, FORMAL DINING ROOM, KITCHEN. ATTIC HAS 1 ROOM, FULL PARTIALLY FINISHED BASEMENT W/2 ROOMS. BUYER WILL BE RESPONSIBLE FOR ANY REPAIRS AND OR INSPECTIONS THAT MAY BE NEEDED.</t>
  </si>
  <si>
    <t>Bonus, Enclosed Porch, Tandem Room</t>
  </si>
  <si>
    <t>2.5%-100. (on Net SP)</t>
  </si>
  <si>
    <t>First Rate Properties</t>
  </si>
  <si>
    <t>(708) 484-9900</t>
  </si>
  <si>
    <t>Silvia Fonseca, CSC,GRI,SFR,SRES</t>
  </si>
  <si>
    <t>(708) 785-6956</t>
  </si>
  <si>
    <t>DIRECT 708 785 6956</t>
  </si>
  <si>
    <t>EARNEST MONEY IN CERT.FUNDS, USE CONTRACT 5.0,  PROPERTY WILL NOT PASS FHA, CONVENTIONAL AND CASH ONLY. INCLUDE LOAN PRE-APPROVAL OR POF WITH OFFERS.</t>
  </si>
  <si>
    <t>90 X 143</t>
  </si>
  <si>
    <t>GREAT OPPORTUNITY TO DESIGN THE INTERIOR OF YOUR DREAMS OR FOR AN INVESTMENT.  PROPERTY IS UNFINISHED AND WILL NEED TO BE COMPLETED TO OCCUPY. PROPERTY FEATURES 4 BD, 2.1 BATHS, VAULTED CEILING ENTRANCE, SPACIOUS KITCHEN, GRAND FAMILY ROOM WITH FIREPLACE, MAIN LEVEL LAUNDRY, 2 CAR ATTACHED GARAGE &amp; UNFINISHED BSMT. . TAXES 100%, BUYER IS RESPONSIBLE FOR PREVIOUS 6 MONTHS HOA FEES</t>
  </si>
  <si>
    <t>please call the showing desk @ 888-362-3222 or LO after hours, thanks</t>
  </si>
  <si>
    <t>please submit all offers through homepath website. TAXES 100%, BUYER IS RESPONSIBLE FOR PREVIOUS 6 MONTHS HOA FEES this is a homepath property.</t>
  </si>
  <si>
    <t>CONGDON/SHOEFACTORY 2 COBBLERS CROSSINGS S 2 WILLOBY LN</t>
  </si>
  <si>
    <t>HEEDUM</t>
  </si>
  <si>
    <t>TERRIFIC DEAL! SOUGHT AFTER COBBLERS CROSSINGS. THIS GORGEOUS HOME FEATURES: 4 GOOD SIZE BRMS W/LOTS OF CLOSET SPACE,2.2 BATHS, NEW WINDOWS THROUGH-OUT,NEW ROOF,UPDATED AND EXPANDED KITCHEN WITH GRANITE COUNTER TOPS &amp; SS APPLNCS,NICE CERAMIC FLOOR TILES, FULL FINISHED BASEMENT WITH HALF A BATH &amp; ADDITIONAL CRAWL SPACE.GREAT LOCATION. MUST SEE! .BRING OFFERS!</t>
  </si>
  <si>
    <t>18X32</t>
  </si>
  <si>
    <t>Exclusive Realty Group, Inc.</t>
  </si>
  <si>
    <t>(847) 612-9760</t>
  </si>
  <si>
    <t>Douglas Palomo</t>
  </si>
  <si>
    <t>(847) 454-9180</t>
  </si>
  <si>
    <t>EMAIL LISTING AGENT AT douglaspalomo@gmail.com</t>
  </si>
  <si>
    <t>MUST SEE!  CAN CLOSE RIGHT AWAY.</t>
  </si>
  <si>
    <t>Milwaukee, north of Montrose to Wilson, east to house.</t>
  </si>
  <si>
    <t>35 X 125 FT</t>
  </si>
  <si>
    <t>JUMBO PRAIRIE STYLE BUNGLAOW ON OVERSIZED LOT!  LARGE LIVING ROOM WITH SUN ROOM &amp; WOOD FIREPLACE.    HARDWOOD FLOORS.   NEWER MAIN FLOOR BATH &amp; UPDATED CABINET KITCHEN.   FULL BATH UP PLUS MASTER BR SUITE WITH OFFICE &amp; 4TH BR  &amp; NEWER WINDOWS.   RARELY AVAILABLE 3 CAR GARAGE!  SUPER JEFFERSON PARK LOCATION, QUIET RESIDENTIAL STREET, WALK TO METRA &amp; BLUE LINE.   EASY ACCESS TO KENNEDY &amp; EDENS EXPRESSWAYS</t>
  </si>
  <si>
    <t>Park/Playground, Pool, Tennis Courts, Sidewalks</t>
  </si>
  <si>
    <t>2.5% - $290 (on Net SP)</t>
  </si>
  <si>
    <t>Richard Raap, CRS,GRI,SRES</t>
  </si>
  <si>
    <t>(773) 401-7350</t>
  </si>
  <si>
    <t>Use Showing Assist.  Minimum 4 Hr notice</t>
  </si>
  <si>
    <t>Manning</t>
  </si>
  <si>
    <t>Not a short sale or REO.</t>
  </si>
  <si>
    <t>Wallace</t>
  </si>
  <si>
    <t>47th or 43rd Street to Wallace then to address.  East of Halsted - West of Canal Street.</t>
  </si>
  <si>
    <t>BRICK RAISED RANCH</t>
  </si>
  <si>
    <t>New Construction now under Roof, Beautiful 4 Bdrm/Brick Raised Ranch - Vaulted 11-12ft Ceilings 1st Flr &amp; finished Bsmt w/ 9 Ft Ceilings.  Early enough to pick out your own Cabinets, Flooring, counters, etc..  Garage.  Builder adding Cameras, surround sound.  New Style &amp; Design.  Corner Lot location.  Right across from St. Gabriel Rectory.  Don't Miss Out!  Quality work.  More details available. 65 Ft Long House.</t>
  </si>
  <si>
    <t>Bsmnt/Lower Lvl Finished, Central Air, Basement, Hardwood/Ceramic Floors, Vaulted/Cathedral Ceiling</t>
  </si>
  <si>
    <t>Bricks Realty LLC</t>
  </si>
  <si>
    <t>(773) 376-4945</t>
  </si>
  <si>
    <t>Nancy J Hawes</t>
  </si>
  <si>
    <t>(773) 320-2113</t>
  </si>
  <si>
    <t>Stop by and view new construction or call/text Agent - Nancy @ 773-320-2113</t>
  </si>
  <si>
    <t>Gorman</t>
  </si>
  <si>
    <t>Time to Change some floor plans - 2 Bdrms 1st Level, 2 Bdrms Lower, 3 Full Baths.  Garage is an option.  Pick your Flooring, Counters, Cabinets, Basement Carpeting NOW.  High Vaulted Ceilings &amp; High Basement Ceilings.  One of a Kind home.</t>
  </si>
  <si>
    <t>SONORA</t>
  </si>
  <si>
    <t>Rte 20 W of Randall Rd to Nesler Rd, S to South St. E to Shadow Hill Rd, N to Sonora, Left to home.</t>
  </si>
  <si>
    <t>99 X 125 X 91 X 124</t>
  </si>
  <si>
    <t>Sprawling 2-story w/open floor plan &amp; lots of natural light. Gourmet kitchen features stainless steel appliances, granite counters, hardwood floor &amp; tons of cabinets, plus a closet pantry, &amp; opens to a large eating area &amp; spacious family rm. Upstairs offers a huge master bedrm w/luxury full bath, three additional bedrms and a big loft. The walkout basement has space galore, plus 2nd kitchen and play/exercise rm.</t>
  </si>
  <si>
    <t>2nd Kitchen, Eating Area, Exercise Room, Foyer, Loft, Office, Recreation Room, Storage</t>
  </si>
  <si>
    <t>46X19</t>
  </si>
  <si>
    <t>Robert Dohn</t>
  </si>
  <si>
    <t>(847) 971-9902</t>
  </si>
  <si>
    <t>Call Coldwell Banker Appointment Center 855-746-9200</t>
  </si>
  <si>
    <t>Anthony M and Michelle M Passi</t>
  </si>
  <si>
    <t>Easy to show. Please be sure all doors are locked &amp; lights out when leaving. NOTE: Ref/stove in downstairs kitchen &amp; washer/dryer in laundry rm not included</t>
  </si>
  <si>
    <t>Rt 47 to Cannonball Trail W to Alice W to Alan Dale N to Goldenrod E</t>
  </si>
  <si>
    <t>Beautiful spacious home with 4 bedrooms and 3 full baths in Whispering Meadows. Home has new carpet, has been freshly painted and has brand new CA unit.  This home is move in ready. Great subdivision with pool and clubhouse. Note large room sizes. Close to schools, shopping and easy access to I-88. No SSA!  NO PERSONAL PROPERTY INCL. This is a Fannie Mae HomePath Property.</t>
  </si>
  <si>
    <t>1st Floor Laundry, 1st Floor Full Bath</t>
  </si>
  <si>
    <t>ALL OFFERS MUST BE SUBMITTED USING THE HOMEPATH ONLINE OFFER SYSTEM - VISIT WWW.HOMEPATH.COM. PAPERWORK FOUND IN ADDITIONAL INFO. TO SUBMIT OFFER. $1000 buyer's agent bonus, restrictions apply. See homepath.com.</t>
  </si>
  <si>
    <t>111X253X293X220</t>
  </si>
  <si>
    <t>Basement 1110 sq. livable 1 full bath w tile flooring. Nice large 3 car garage 839 sq.  Interested parties must verify all room dimensions as data might not be correct</t>
  </si>
  <si>
    <t>17X45</t>
  </si>
  <si>
    <t>Michael Mills</t>
  </si>
  <si>
    <t>(630) 890-4029</t>
  </si>
  <si>
    <t>630 890 4029</t>
  </si>
  <si>
    <t>Offers must be submitted via Hubzu.com. Buyer pays $299 technology fee &amp; Buyer's premium to Hubzu.com. See website for details. Seller WILL NOT activate utilities. Offers with FHA financing will not be considered by sellers. SOLD AS-IS!!</t>
  </si>
  <si>
    <t>ASHLAND</t>
  </si>
  <si>
    <t>ASHLAND AND COLUMBIA</t>
  </si>
  <si>
    <t>Lg prairie style home on beautiful residential st w new hwfls, bath, kitchen, windows/doors, water heater, cen heat/air, some elec, plumbing &amp; insulation from 2010-14. Very generous room sizes, tall ceilings, wbfp and great floor plan. Private master ste w/ 2 walk in cls. Huge tree covered lot w beautifully landscaped gardens makes this home feel like an urban oasis! Close to beach, metra, el, restaurants &amp; more</t>
  </si>
  <si>
    <t>Deck, Foyer, Storage, Sun/Florida Room</t>
  </si>
  <si>
    <t>22X07</t>
  </si>
  <si>
    <t>My Town Realty Group Inc</t>
  </si>
  <si>
    <t>(773) 360-0456</t>
  </si>
  <si>
    <t>Jerome Witte</t>
  </si>
  <si>
    <t>Text Meghan at 773-633-0673 or email Meghan@mytownrealtygroup.com with agent ID and cell</t>
  </si>
  <si>
    <t>Broker owned.</t>
  </si>
  <si>
    <t>Airport</t>
  </si>
  <si>
    <t>Bethany Rd. to Airport Road North</t>
  </si>
  <si>
    <t>100X181</t>
  </si>
  <si>
    <t>A Must See Home !!! 1/2 acre lot with mature trees and fenced yard, large deck area with sun room attached....home backs up to huge green space owned by the park district.  Lots of space to grow,  hardware floors in living room w/ woodburing fireplace and so much more.</t>
  </si>
  <si>
    <t>Water-Softener Rented, TV-Dish, Ceiling Fan</t>
  </si>
  <si>
    <t>CALL AGENT TO SHOW *** EASY TO SHOW ****</t>
  </si>
  <si>
    <t>CC: Pursuant to Short Sale. SHORT SALE IN PROCESS *** 1 LIEN HOLDER**** AGENT EXPERIENCED WITH SHORT SALES</t>
  </si>
  <si>
    <t>Kirk Rd to Giese Rd R on Woodland Hills to Property</t>
  </si>
  <si>
    <t>14375 SQFT</t>
  </si>
  <si>
    <t>Freshly painted 4 BR home, 2.5 baths!! Nice kitchen w/ breakfast area and bay window overlooking backyard. Large backyard w/ storage shed. Sun rm offers backyard view. Attached 2 car garage. This is a Fannie Mae HomePath property. NO PERSONAL PROPERTY INCLUDED</t>
  </si>
  <si>
    <t>BACKS TO NATURE PRESERVE; INCLUDES LOOK-OUT BASEMENT - NEW CONSTRUCTION-COMMUNITY CLOSE OUT! HOME TO BE BUILT, SELECT YOUR OWN FINISHES. BUILD TIME 6 MONTHS. LIFE-TESTED, CONSUMER INSPIRED FEATURES.  HILLTOP HAS OPEN FLOOR PLAN; 4 BDRMS, LOFT, FORMAL DINING RM, FLEX RM, 3-SPACE GARAGE, KITCHEN ISLAND, OVERSIZED PANTRY AND MUCH MORE~ LOT 196. PHOTOS OF SIMILAR PLAN.</t>
  </si>
  <si>
    <t>OPEN SATURDAY THRU WEDNESDAY 10 TO 6; CALL SALES OFFICE 847-426-4411 FOR SHOWING INFORMATION</t>
  </si>
  <si>
    <t>HOME TO BE BUILT. BUYER CAN SELECT INTERIOR FINISHES. COMMISSION IS 3% OF BASE PRICE WHICH IS $264,990 FOR THIS HOUSE.  LOT PREMIUM MAY APPLY.</t>
  </si>
  <si>
    <t>Narragansett  to Berteau Ave East to Home</t>
  </si>
  <si>
    <t>Immaculate 4 Bedrm, 3 Bath Brick English Home with Second Flr Addition. It's Larger Then It Looks from Outside!! Features LR w/Bay Window,  D Rm , Beautiful Kitchen W/Eat-In Area, Hardwd Flrs ,Remodeled Baths,2 Bedrms w/New Carpet and Large Jacuzzi Bath on the Second Flr. High, Fin. Bsmt w/ Extended Living/Family Rm, Kitchen, Bedrm, Bath. 2.5 Car Garage. Furnace, Wdws, HWT,Roof, Electric Replaced (3-5Yrs). Great Home</t>
  </si>
  <si>
    <t>Skylight(s), Hot Tub, Hardwood Floors, 1st Floor Bedroom, In-Law Arrangement, 1st Floor Laundry</t>
  </si>
  <si>
    <t>Sherry Prus</t>
  </si>
  <si>
    <t>773-255-5895</t>
  </si>
  <si>
    <t>Call Showing Time 855-746-9200</t>
  </si>
  <si>
    <t>rutherford</t>
  </si>
  <si>
    <t>archer to normandy north to 5300 west to rutherford south to home.</t>
  </si>
  <si>
    <t>40X129</t>
  </si>
  <si>
    <t>LocationLocation, 4 possible 5 bedrooms 1!/2 story brick-gleaming hardwood floors except kitchen,all large rooms,loads of closets space,6 yr old tear off roof,gfa/ca 200 amps circuit breakers,semi finished basment,side drive-garage is a tear down,sold as  estate sale.13 month home warranty. make that appt today. close to archer and I-55 just  minutes away.</t>
  </si>
  <si>
    <t>calling listing office</t>
  </si>
  <si>
    <t>dudek</t>
  </si>
  <si>
    <t>PLease make sure your clients are pre approved</t>
  </si>
  <si>
    <t>Kedzie to 59th, East to Albany, North to Property</t>
  </si>
  <si>
    <t>Great opportunity to purchase this Fannie Mae/Homepath home.  This brick bungalow has 2 levels of living with a partially finished basement.  Make this your home!  Schedule your showing today before its gone!  All information estimated â€“ buyer to verify.</t>
  </si>
  <si>
    <t>$1000 Buyer's Agent Bonus! Ask for details. Restrictions apply. MUST REQUEST BONUS WITH INITIAL OFFER.C140B8Z See additional information for contract package and instructions. All offers must be submitted on Homepath.com.</t>
  </si>
  <si>
    <t>13th</t>
  </si>
  <si>
    <t>Route 38 to Anderson North to Horne West to 13th Street</t>
  </si>
  <si>
    <t>139X81X121X63</t>
  </si>
  <si>
    <t>Spectacular intown setting 4 blocks to Davis Grade schl!Approx.2750 sqft~4 bdrms 3 baths~Hardwood flrs~Eatin island Kit w/SS appl~Master suite w/full bath &amp; private entry to deck~Finished Walkout bsmt w/huge fam rm/bdrm/bath/office(teen/inlaw)?Gigantic 40x14 Pergola deck~Huge patio off Walkout~Stunning landscaped large fenced yard w/16x10 shed~Htd oversized 2 car gar~Newer roof/siding/furnace/air/water softener!!!!!!</t>
  </si>
  <si>
    <t>28X22</t>
  </si>
  <si>
    <t>Oven/Range, Microwave, Dishwasher, High End Refrigerator, Washer, Dryer, Disposal, Compactor-Trash</t>
  </si>
  <si>
    <t>Deck, Foyer, Office</t>
  </si>
  <si>
    <t>Vaulted/Cathedral Ceilings, Hardwood Floors, Wood Laminate Floors, In-Law Arrangement</t>
  </si>
  <si>
    <t>Deck, Patio, Porch, Storage Shed</t>
  </si>
  <si>
    <t>Call 855-746-9200 2hr notice must confirm</t>
  </si>
  <si>
    <t>Board</t>
  </si>
  <si>
    <t>31 TO Fabyan E TO THORIA SOUTH TO HOUSE.</t>
  </si>
  <si>
    <t>175X90</t>
  </si>
  <si>
    <t>BEAUTIFUL AND WELL CARED FOR HOME, IN GEVENA TOWNSHIP, THIS HOUSE OFFERS IT ALL. BIG BEAUTIFUL LANDSCAPING YARD.  4 BEDROOM WITH A FINISHED BASEMENT.  PLENTY OF ROOM TO GROW. OWNERS HATE TO LEAVE THIS HOME, WON'T LAST LONG.</t>
  </si>
  <si>
    <t>PLEASE CALL 1-888-362-3222</t>
  </si>
  <si>
    <t>CO-LISTER IS RELATED TO OWNER. Owner will pay up to 400.00 for a home warranty. also the riding lawn mower, push mower in garage can stay with the home</t>
  </si>
  <si>
    <t>Coral</t>
  </si>
  <si>
    <t>RTE 34 TO AUTUMN CREEK BLVD TO CORAL</t>
  </si>
  <si>
    <t>73X150X87X160</t>
  </si>
  <si>
    <t>ALMOST 2800 S.F. ABSOLUTELY GORGEOUS RE-MODEL BRING YOUR FUSSIEST BUYERS, A SOLID 10! GREAT LOCATION. REDUCED PRICE OFFERS EXCELLENT VALUE!! NEW AND NEWER UPDATES INCLUDE STAINLESS APPLIANCES, VERSAY CARPETING CUSTOM PAINT,  REFINSHED HARDWOOD FLOORING, NEW LIGHT FIXTURES W. LIGHT AND FAN CONTROLS, MOEN FAUCETS, CORIAN COUNTERS, STUBBED IN BASEMENT BATH. BUYER CONCESSIONS TO BUILD A DECK , ADD A FENCE IS POSSIBLE.</t>
  </si>
  <si>
    <t>A PERFECT 10 GREAT LOCATION FANTASTIC CURB APPEAL.</t>
  </si>
  <si>
    <t>KEDZIE TO 72ND ST. WEST TO SAWYER SOUTH TO HOME</t>
  </si>
  <si>
    <t>MUST SEE!!! 4 BEDROOM BRICK RANCH HOME. 2 CAR DETACHED GARAGE. TWO BEDS ON FIRST FLOOR AND TWO ON SECOND FLOOR. PARTIALLY FINISHED BASEMENT. THIS IS A FANNIE MAE HOMEPATH PROPERTY.</t>
  </si>
  <si>
    <t>see showing assist link below</t>
  </si>
  <si>
    <t>The seller has directed that all offers on this listing must be made online via HomePath.com (ID #C140KLX). Owner occupant offers considered first 20 days. Taxes prorated at 100%.</t>
  </si>
  <si>
    <t>BURKHART</t>
  </si>
  <si>
    <t>W. ON RT 34 S. ON DOUGLAS RD, E. ON WOLF RD, S. ON DOUGLAS RD, E. ON BURKHART DR. TO HOME</t>
  </si>
  <si>
    <t>63X78X520X410X576</t>
  </si>
  <si>
    <t>LARGE HOME LOCATED ON A CUL-DE-SAC WITH 3.5 ACRES / 4 BEDROOMS, 2 1/2 BATHS AND OVER 2000 SQ FT OF LIVING SPACE  / LARGE DECK OFF OF KITCHEN / 2 CAR GARAGE / MUST SEE!!! /  BUYER RESPONSIBLE FOR VILLAGE REQUIREMENTS. TAXES PRORATED AT 100%. SOLD â€œAS ISâ€_x009d_ SELLER DOES NOT PROVIDE SURVEY OR TERMITE INSPECTION.</t>
  </si>
  <si>
    <t>Sun/Florida Room, Other</t>
  </si>
  <si>
    <t>Deck, Horse Barn/Pole Barn</t>
  </si>
  <si>
    <t>2.5% OR $1500 MINIMUM (on Gross SP)</t>
  </si>
  <si>
    <t>Kennedy Connection Realtors</t>
  </si>
  <si>
    <t>(708) 546-3000</t>
  </si>
  <si>
    <t>Jim Kennedy</t>
  </si>
  <si>
    <t>(708) 689-1003</t>
  </si>
  <si>
    <t>OFFERS.KENNEDYREO@GMAIL.COM</t>
  </si>
  <si>
    <t>SUBMIT OFFERS TO OFFERS.KENNEDYREO@GMAIL.COM DOWNLOAD DISC AND SUBMIT COVER LETTER W/ OFFER EM MUST BE CERTIFIED FUNDS. THIS PROPERTY IS ELIGIBLE UNDER THE FREDDIE MAC FIRST LOOK FOR OWNER OCCUPIED PURCHASERS INITIATIVE THRU 09/06/2014</t>
  </si>
  <si>
    <t>Wind Energy Pass to Wagner, North to Larkspur to home</t>
  </si>
  <si>
    <t>CHERRY PARK</t>
  </si>
  <si>
    <t>48X118X57X49X59X115</t>
  </si>
  <si>
    <t>WOW! This home has it all! New Family Room addition, New Kitchen and New Master Bath! Finished basement! Beautiful new wood floors. Beautiful stamped concrete patio in the private ,fenced-in yard with mature trees on a cul-de-sac lot. HVAC, Roof, Windows, Water heater, Driveway all updated. Walk to Hoover Wood grade school. Near Prairie Path, Shopping, I88, Schools. Move in ready with a quick close possible.</t>
  </si>
  <si>
    <t>HOOVER WOOD ELEMENTARY SCHOOL</t>
  </si>
  <si>
    <t>Oven-Double, Oven/Range, Microwave, Dishwasher</t>
  </si>
  <si>
    <t>Storage Shed, Stamped Concrete Patio</t>
  </si>
  <si>
    <t>Please call Showdesk 855.746.9100</t>
  </si>
  <si>
    <t>No need to preview! Home shows like a model. Addition &amp; Kitchen was completed in 2008, new driveway 2014, new water heater 2014, newer windows, new garage door opener. HVAC 2008, roof 2005, no work needs to be done! Move right in! Use 6.0</t>
  </si>
  <si>
    <t>2S701</t>
  </si>
  <si>
    <t>Bliss</t>
  </si>
  <si>
    <t>Fabyan to Main to Bliss</t>
  </si>
  <si>
    <t>88X215X125X257</t>
  </si>
  <si>
    <t>Grand old 2 story, wooded, fenced. 2 pondsw/waterfall, paver patio, deck, 2-car gar., flagstone walks. Pro-landscaping. Kit. w/granite, stainless steel, glass-front cabs, island, DR has chair rail, crown, wainscoting, woodbrng stove.  Master suite, hwd floors, 1st flr ldry, encl. porch, pull-down stairs to attic in upper hall, full unfin. bmt. Charming family home, great location! Roof 10 y.o., siding/windows 5 y.o.</t>
  </si>
  <si>
    <t>Fenced Yard, Landscaped Professionally, Pond, Wooded</t>
  </si>
  <si>
    <t>Porch, Storage Shed, Brick Paver Patio, Storms/Screens</t>
  </si>
  <si>
    <t>Hillcrest to Garden North</t>
  </si>
  <si>
    <t>80X139.90X73X141.25</t>
  </si>
  <si>
    <t>Spacious 4 bedroom, 3 bath home in established neighborhood that features formal living spaces, private master bath, bonus room that could be den/office/5th bedroom, fireplace, nice size yard with mature trees and 2 car garage. Walking distance to NIU. This is a Fannie Mae HomePath Property.</t>
  </si>
  <si>
    <t>Seller directs all offers be submitted at www.homepath.com. All inspections are at buyers expense. Seller will not provide survey. Prorations 100%. Go to www.homepath.com for directions and forms.</t>
  </si>
  <si>
    <t>Wolfs Crossing(west of rt.30) to Devoe to Chapin.</t>
  </si>
  <si>
    <t>Remodeled and Ready to move in to! Beautiful 3226 square foot 2 story! 2 story foyer and familyroom with fireplace and wall of windows.Plenty of kitchen cabinets,island,stainless steel appliances, walk-in pantry.Main floor den could be used as a bedroom.Seperate dining room.Dual staircase.Master bath w/Whirlpool tub.Generous room sizes through-out.New carpet,paint,fixtures,etc.!paver patioand fenced yard!.Super sharp</t>
  </si>
  <si>
    <t>2.5% - 100. (on Net SP)</t>
  </si>
  <si>
    <t>Not a short sale or foreclosure.Taxes prorated at 100%.</t>
  </si>
  <si>
    <t>Rt 23 to Plank Rd East to Lindgren (Right) to Republic (Left) to Ford St (Right)</t>
  </si>
  <si>
    <t>Vaulted ceilings and a flowing open floor plan welcome you into this move-in ready Sycamore beauty! Custom built by Sean Kelly Custom Homes featuring a first floor laundry, custom kitchen cabinets with granite tops, a stunning master bedroom suite with tray ceiling and illuminating crown moldings, heatilator gas fireplace, finished basement, spacious 3-car garage. Walk to North Grove Elementary School! A MUST SEE!!!</t>
  </si>
  <si>
    <t>Water-Softener Owned, TV-Cable, Security System, CO Detectors, Ceiling Fan, Sump Pump, Radon Mitigation System(s)</t>
  </si>
  <si>
    <t>13X37</t>
  </si>
  <si>
    <t>Anthony Cvek, BPOR,CNC,SFR,SRES</t>
  </si>
  <si>
    <t>Fax:630-689-9416 Cell:630-816-7500</t>
  </si>
  <si>
    <t>Call Centralized Showings to schedule all showings 877-977-1010</t>
  </si>
  <si>
    <t>Traditional sale! SALE DOES NOT INCLUDE: any flat screen tv's, washer/dryer, picture style bathroom mirrors, garage heater, or backyard playset. SHOW WITH CONFIDENCE AND SELL IT!</t>
  </si>
  <si>
    <t>West of Central Avenue. South of Belmont Avenue. Major is a one-way traveling north.</t>
  </si>
  <si>
    <t>BELMONT CENTRAL</t>
  </si>
  <si>
    <t>30 X 124</t>
  </si>
  <si>
    <t>Well maintained historic Chicago bungalow owned by the same family for over 40 years! New boiler in 2009. New water heater in 2010. Finished attic with recent insulation / air sealing. Partially finished basement with in-law suite. Close to schools, parks, shopping and transportation. Freshly painted! Ready for your ideas and sweat equity!</t>
  </si>
  <si>
    <t>2nd Kitchen, Den, Enclosed Porch, Foyer, Mud Room, Pantry, Sitting Room, Utility Room-Lower Level</t>
  </si>
  <si>
    <t>Big Shoulders Realty, LLC</t>
  </si>
  <si>
    <t>(773) 481-0244</t>
  </si>
  <si>
    <t>John Balmer</t>
  </si>
  <si>
    <t>(773) 617-9844</t>
  </si>
  <si>
    <t>Call listing agent (773) 617-9844</t>
  </si>
  <si>
    <t>Rte. 25 to Stonehedge east to Persimmon, north to house.</t>
  </si>
  <si>
    <t>persimmon woods</t>
  </si>
  <si>
    <t>164X174X185X84X144</t>
  </si>
  <si>
    <t>In town Persimmon Woods Perfection! Kitchen designed by Past Basket w/top of the line appls., Thermador, Fisher &amp; Paykel, SubZero, custom cabs, granite, center island breakfast bar &amp; more. 1st flr. master bedrm w/luxury Past Basket master bath!  Lovely atrium overlooking prof. landscaped private back yard w/access to master bdrm, LR &amp; den! 2 FPs, hwd flrs., elegant trimwork &amp; more! Walk to town,river,parks! A "10+"</t>
  </si>
  <si>
    <t>Oven-Double, Microwave, Dishwasher, High End Refrigerator, Disposal, Wine Cooler/Refrigerator</t>
  </si>
  <si>
    <t>Atrium, Breakfast Room, Foyer, Office</t>
  </si>
  <si>
    <t>Jane Pickle</t>
  </si>
  <si>
    <t>(630) 262-7169</t>
  </si>
  <si>
    <t>630-542-5001</t>
  </si>
  <si>
    <t>Call Showing Time-1-855-746-9100/Must Confirm</t>
  </si>
  <si>
    <t>Antique andirons do not stay!!!  Please use 6.0 contract.</t>
  </si>
  <si>
    <t>Alexis</t>
  </si>
  <si>
    <t>34 to Lakewood Springs Dr to Carey St to Alexis St to Prop</t>
  </si>
  <si>
    <t>136X99</t>
  </si>
  <si>
    <t>Beautiful large 4 bed 2.1 bath. Full master bath. Bright and spacious bedrooms. Full unfinished basement. Short Sale.</t>
  </si>
  <si>
    <t>TO SCHEDULE A SHOWING PLEASE USE THE SHOWINGASSIST ICONâ€™ EZ TO SHOW</t>
  </si>
  <si>
    <t>CC: Pursuant to Short Sale. *Prequalification Required by our preferred lender on all offers. Call Chris Gnutek @312-758-9457* Agent is a Short Sale EXPERT. Buyers agent holds earnest money. www.shortsaleschicago.com</t>
  </si>
  <si>
    <t>KOSTNER</t>
  </si>
  <si>
    <t>LAWRENCE TO KOSTNER NORTH TO PROPERTY</t>
  </si>
  <si>
    <t>ESTATE SALE IN NORTH MAYFAIR. BRICK BUNGALOW 2 BLOCKS AWAY FROM FOREST PRESERVE, 1 BLOCK AWAY FROM PALMER ELEMENTARY SCHOOL. MINUTES AWAY FROM EDENS EXPRESSWAY, CLOSE TO BUS STOP LEADING TO BLUE LINE, CLOSE TO PUBLIC PARK, SWIMMING POOL, TENNIS COURTS AND A FISHING LAGOON.</t>
  </si>
  <si>
    <t>Enclosed Porch, Foyer, Pantry, Sitting Room</t>
  </si>
  <si>
    <t>4X5</t>
  </si>
  <si>
    <t>Zaim Durovic</t>
  </si>
  <si>
    <t>(847) 344-4155</t>
  </si>
  <si>
    <t>CALL LISTING AGENT 847-344-4155 TO ACCOMPANY</t>
  </si>
  <si>
    <t>Webster</t>
  </si>
  <si>
    <t>Racine South To Webster East</t>
  </si>
  <si>
    <t>GREAT LINCOLN PARK LOCATION. CONTEMPORARY, ARTISTIC AND  OPEN FLOOR PLAN SUITABLE FOR ENTERTAINING. THIS 'ONE OF A KIND' MULTI-LEVEL HOME OFFERS MANY SKYLIGHTS, PLENTY OF WINDOWS, KITCHEN WITH OVERSIZED ISLAND, A PRIVATE TERRACE AND A ROOF TOP DECK. SOME REPAIRS/UPGRADES NEEDED. PROPERTY IS BEING SOLD IN AS-IS CONDITION, 100% TAX PRORATION, NO SURVEY</t>
  </si>
  <si>
    <t>Oven-Double, Oven/Range, Dishwasher, Refrigerator, High End Refrigerator, Refrigerator-Bar, Washer, Dryer, Disposal</t>
  </si>
  <si>
    <t>Sump Pump, Backup Sump Pump</t>
  </si>
  <si>
    <t>Bonus, Eating Area, Foyer, Loft</t>
  </si>
  <si>
    <t>Skylight(s), Bar-Wet, Elevator, Hardwood Floors, 1st Floor Bedroom, 1st Floor Full Bath</t>
  </si>
  <si>
    <t>ALL OFFERS MUST BE SUBMITTED BY THE BUYERS AGENT VIA www.offersubmission.com, ID#970937. NO PAPERWORK REQUIRED UNTIL TERMS ACCEPTED. BUYER PAYS $300 FEE AT CLOSING. NO OFFERS WILL BE RESPONDED WITHIN THE FIRST 10 DAYS OF MARKET TIME.</t>
  </si>
  <si>
    <t>Two miles North of Route 22 on Route 12 to Wynstone entrance</t>
  </si>
  <si>
    <t>73X178X49X188</t>
  </si>
  <si>
    <t>New Look! Sophisticated home with views of Wynstone practice range.Two story great room, library with built-ins, gourmet kitchen with hearth eating area, screen porch, second floor office, master suite with luxurious bath, exercise area, dressing area, deck, English lower level includes recreation room, bedroom and full bath, spacious closet, radiant heated floor, 3-car garage.  Seller will lease with option to buy.</t>
  </si>
  <si>
    <t>Park/Playground, Gated Entry, Street Lights, Street Paved</t>
  </si>
  <si>
    <t>Microwave, Dishwasher, Refrigerator, Washer, Dryer, Disposal, Compactor-Trash</t>
  </si>
  <si>
    <t>Water-Softener Owned, Central Vacuum, Security System, Sump Pump, Sprinkler-Lawn</t>
  </si>
  <si>
    <t>Game Room, Library, Recreation Room, Screened Porch</t>
  </si>
  <si>
    <t>Donna Lavin, CRS,GRI,SRES</t>
  </si>
  <si>
    <t>(847) 525-1788</t>
  </si>
  <si>
    <t>Seller has painted inside and outside and updated it to show how beautiful this home should look. No Closing No Commission.</t>
  </si>
  <si>
    <t>SPACIOUS HOME ON A CORNER LOT THAT OFFERS BRAND NEW KITCHEN CABINETS, SS APPLIANCES, CERAMIC TILE, WINDOWS, PLUMBING, ELECTRICAL PANEL, GUTTERS, WATER HEATER, CARPET, AND LIGHT FIXTURES.  HARDWOOD FLOORS WERE REFURBISHED.  FRESHLY PAINTED OUTSIDE AND IN.</t>
  </si>
  <si>
    <t>Michael Padron</t>
  </si>
  <si>
    <t>(562) 335-1256</t>
  </si>
  <si>
    <t>Leave Business Card</t>
  </si>
  <si>
    <t>Quick to Close.</t>
  </si>
  <si>
    <t>Pointe</t>
  </si>
  <si>
    <t>Rt 59 to Miller W to Hillfarm S to Lookout to N. Pointe</t>
  </si>
  <si>
    <t>ESTATES AT LAKE BARRINGTON</t>
  </si>
  <si>
    <t>193X363X313X108</t>
  </si>
  <si>
    <t>Grand 2-story in Estates of Lake Barrington! Kitchen w/cherry cabs, granite counters &amp; SS appliances. Dual staircases, oversized FR w/ brick FP, 1st floor den; MB w/separate sitting room &amp; 2 huge W/I closets; large bedrooms w/ jack 'n jill baths! HW floors &amp; floor to ceiling windows on main level. 1.2 acre lot backs to woods &amp; walking distance to park; English basement w/rough-in plumbing, 3-car side load garage</t>
  </si>
  <si>
    <t>Humidifier, Water-Softener Owned, Security System, CO Detectors, Ceiling Fan, Sump Pump, Sprinkler-Lawn, Air Cleaner, Backup Sump Pump</t>
  </si>
  <si>
    <t>Breakfast Room, Den, Foyer, Sitting Room</t>
  </si>
  <si>
    <t>John Morrison, SFR</t>
  </si>
  <si>
    <t>(847) 409-0297</t>
  </si>
  <si>
    <t>Call Showing Time 855-746-9020</t>
  </si>
  <si>
    <t>Kedzie to Berteau. Go S. one block, then North on Sawyer 1.5 blocks. Sawyer is one way Northbound</t>
  </si>
  <si>
    <t>Beautiful 4bed 2bath totally rehabbed and updated property. a must see !! Brand new roof!Brand new Windows! Brand new central furnace and AC ! Brand New SS appliances! Finished Basement! New Carpet! Brand new washer and dryer. Close to shopping, public transportation and highways.  You will fall in love with this property! check pictures out!</t>
  </si>
  <si>
    <t>TV-Dish, CO Detectors</t>
  </si>
  <si>
    <t>Garage Door Opener(s), Carport</t>
  </si>
  <si>
    <t>312-498-8888</t>
  </si>
  <si>
    <t>CLICK ON SCHEDULE A SHOWING FOR SHOWING INSTRUCTION. email me or call if you have any questions.</t>
  </si>
  <si>
    <t>N Central Park Ave to E on W Ohio St to N Drake Ave</t>
  </si>
  <si>
    <t>3335 SQ.FT.</t>
  </si>
  <si>
    <t>Attractive 4 Bedrooms 2 full baths Single Family Home in Chicago! 2 car detached garage, full basement. 2nd kitchen and family room on the upper level Built in 1905 home is approx 1008 sq.ft. conveniently located near to everything. Property is being sold "as is" and is subject to HUD Guidelines 24 CFR 206.125. It is not eligible for the Fannie Mae Home Path Program. See it today!</t>
  </si>
  <si>
    <t>Utilities will not be turned on for inspection. To submit an offer, please, copy and paste this link: http://www.callzteam.net/property_n/548_N_DRAKE_AVE</t>
  </si>
  <si>
    <t>McLean N of Stearns to S. Landcaster to Camdon to Cornell Ct.</t>
  </si>
  <si>
    <t>86X136X61X122</t>
  </si>
  <si>
    <t>Location-Location-Location, this updated home sits on one of the largest lots in Sugar Ridge. A great value.</t>
  </si>
  <si>
    <t>Violet Wozniczka, SRES</t>
  </si>
  <si>
    <t>(847) 722-2302</t>
  </si>
  <si>
    <t>call 855 746 9843</t>
  </si>
  <si>
    <t>CC: Pursuant to Short Sale. CC:Pursuant to short sale-any commission reduction by lender shall be split 50/50 between brokers.</t>
  </si>
  <si>
    <t>Troon</t>
  </si>
  <si>
    <t>RT 30 to PRESCOTT L  (Lakewood creek west)   left on Troon</t>
  </si>
  <si>
    <t>Great location Great floor Plan  simply beautiful, morning room,9ft ceiling upstairs has 4 bed room plus loft large family room open to the kitchen, formal dining  full basement with rough plumb in. NO SSA! All offers subject  to bank approval.</t>
  </si>
  <si>
    <t>Clubhouse</t>
  </si>
  <si>
    <t>call 1 877 977 1010</t>
  </si>
  <si>
    <t>CC: Pursuant to Short Sale. Great home for the price!!Short sale!</t>
  </si>
  <si>
    <t>Richmond (Lot 65)</t>
  </si>
  <si>
    <t>JASMIN D</t>
  </si>
  <si>
    <t>K. Hovnanian's Grand Opening of South Elginâ€™s newest community~Prairie Pointe! Build your dream home. Only 61 single family home sites available. The Jasmin model has 3145 sf of living space, 4 bedrooms, bonus room, &amp; 2.5 baths! Spacious master suite includes private bathroom and 2 WIC's. 2nd floor laundry. 3 car tandem garage. Home includes partial basement. Photos are of model home that shows upgrades &amp; options.</t>
  </si>
  <si>
    <t>Commission Paid on Base Selling Price Register clients on 1st visit â€“ no co-op commission paid without valid registration. Registration must precede any offer to purchase</t>
  </si>
  <si>
    <t>55th &amp; Mason (5932 W) South on one way street to property address.</t>
  </si>
  <si>
    <t>33 X125</t>
  </si>
  <si>
    <t>Very well priced, well maintained brick ranch in lovely Garfield Ridge area. Large living room. Good size kitchen with adjacent utility room. 2 bedrooms on 1st floor. 3rd, possible 4th bedroom on 2nd floor. 2 car garage. 1 YEAR HOME WARRANTY! Buy with confidence. Immediate possession. Easily shown. First time on the market.</t>
  </si>
  <si>
    <t>2.0%-$150 (on Net SP)</t>
  </si>
  <si>
    <t>Rossi Realty, Inc.</t>
  </si>
  <si>
    <t>(708) 636-9999</t>
  </si>
  <si>
    <t>Joseph Rossi</t>
  </si>
  <si>
    <t>Earnest money must be certified or cashier's check.</t>
  </si>
  <si>
    <t>Wolf's Crossing to Southbury Blvd -right on Willington, left on Winthrop to home on left</t>
  </si>
  <si>
    <t>75 X 150 X 96 X 150</t>
  </si>
  <si>
    <t>NEW Ready now! TUSCAN: 4BR, bonus loft, 2.5 baths, FULL BSMT  3 CAR! Huge kitchen: 36/42" Painted/ glazed cabinets w. crown, granite, Island, Breakfast Bar, SS appliances, hardwood floors and Walk-in pantry. Master Suite has a custom walk in Serenity Shower: dual vanities, upgraded tile.  Wood Rails w iron spindles, upgraded carpeting. Clubhouse community! Some photos of model, some of subject</t>
  </si>
  <si>
    <t>Register client at slaes office on 1st visit,  204 Bolton Ct.</t>
  </si>
  <si>
    <t>Register client at sales office on 1st visit- 204 Bolton Ct.  Tue-Sat 10-5, Sun 11-5, Mon 1-5 or appt.  Ready now!  Closing cost credit w builder lender. Beautiful kitchen</t>
  </si>
  <si>
    <t>67th west of Pulaski, to Kedvale</t>
  </si>
  <si>
    <t>BRICK TUDOR SINGLE FAMILY HOME WITH 4 BEDROOMS, 2.1 AND FULL BASEMENT INCLUDES MANY UPGRADES: NEW WINDOWS, NEWER FURANCE, REFINISHED HARDWOOD FLOORS ON THE FIRST LEVEL. CONVENIENT LOCATION, MUST SEE!!</t>
  </si>
  <si>
    <t>Best Choice Realty, Inc.</t>
  </si>
  <si>
    <t>(630) 379-9527</t>
  </si>
  <si>
    <t>Vibha Dave</t>
  </si>
  <si>
    <t>PL USE SHOWING ASSISTANCE</t>
  </si>
  <si>
    <t>Motivated Seller. Easy to show.</t>
  </si>
  <si>
    <t>Fargo</t>
  </si>
  <si>
    <t>Randall to Fargo to house</t>
  </si>
  <si>
    <t>Eagle Brook</t>
  </si>
  <si>
    <t>100 X 135</t>
  </si>
  <si>
    <t>Wonderful John Henry built home backing to 6th tee! Over 3200 square feet of living space plus finished basement! Large kitchen w/custom cabs., island, planning desk, &amp; all appls. Formal LR &amp; DR, 1st floor den &amp; laundry, T-staircase, hwd flrs., vaulted &amp; tray clgs! Family rm w/brick FP, bay window area &amp; built in cabs. &amp; shelves! Finished bsmt. features bar in recreation rm, built-ins, craft rm &amp; full bath!</t>
  </si>
  <si>
    <t>Humidifier, Water-Softener Owned, TV-Cable, CO Detectors, Sump Pump</t>
  </si>
  <si>
    <t>Exercise Room, Game Room, Recreation Room</t>
  </si>
  <si>
    <t>Patio, Dog Run &amp;/or Invisible Fence</t>
  </si>
  <si>
    <t>Call Showing Time-1-855-746-9100/Must Confirm/1 hour notice</t>
  </si>
  <si>
    <t>CC: Pursuant to Short Sale. AS IS SALE. Reduction in CC reqd. by lender to be split equally btw Brokers. No Survey; 100% tax proration. E Money, Attny Review &amp; Home Insp to be completed within 5 business days of SELLER acceptance. Please use 6.0 contract.</t>
  </si>
  <si>
    <t>Majestic</t>
  </si>
  <si>
    <t>Randall Rd to Grandview to Majestic Way to Home</t>
  </si>
  <si>
    <t>60X115</t>
  </si>
  <si>
    <t>Algonquin Schools!, Premium Lot On Water w/Natural Views &amp; Awesome Sunsets. Perfect For The Nature Lover!  Magnificent 2 Story Family Rm W/Wall of Windows Overlooking Water. Giant Kitchen, W/Large Island, Hardwood Floors, Newer Grantite Counter Tops, &amp; Fixtures Compliment the Kitchen. Master Suite is Beyond Compare, Opens to 2nd Story Covered Porch, Master Bath Offers SoakerTub W/Water View! New Patio w/Fire Pit</t>
  </si>
  <si>
    <t>Park/Playground, Pond/Lake, Water Rights, Sidewalks, Street Lights, Street Paved</t>
  </si>
  <si>
    <t>Landscaped Professionally, Pond</t>
  </si>
  <si>
    <t>CO Detectors, Ceiling Fan, Sump Pump, Backup Sump Pump, Radon Mitigation System(s)</t>
  </si>
  <si>
    <t>Five Star Realty, Inc</t>
  </si>
  <si>
    <t>(847) 658-6556</t>
  </si>
  <si>
    <t>Jaime Silva, ABR,BPOR,CRS,e-PRO,SFR</t>
  </si>
  <si>
    <t>(847) 791-5843</t>
  </si>
  <si>
    <t>Cell 847-791-5843</t>
  </si>
  <si>
    <t>Easy to Show Small notice Need</t>
  </si>
  <si>
    <t>Great Deal!  Relo property addendum will be required. Weight Gym in basement will stay with the property if desired by buyer!  3% Commission!  New Patio W/ Built in Lighting! New Granite, Lighting, Custom Blinds Stay! Main Floor BR possible</t>
  </si>
  <si>
    <t>RANGE</t>
  </si>
  <si>
    <t>SALES CNTR: I-90 TO RANDALL RD, NO. TO HUNTLEY RD WEST TO OFFICE</t>
  </si>
  <si>
    <t>GREENFIELD PLAN.  HOME SOLD PRIOR TO PROCESSING.  PHOTO OF SIMILAR MODEL.</t>
  </si>
  <si>
    <t>Den, Great Room, Loft</t>
  </si>
  <si>
    <t>Brick, Concrete</t>
  </si>
  <si>
    <t>FOR SHOWING APPT / INFO CALL @224-856-5384</t>
  </si>
  <si>
    <t>HOME SOLD PRIOR TO PROCESSING.  3% COMMISSION ON BASE PRICE OF $289,990.</t>
  </si>
  <si>
    <t>HOME SOLD PRIOR TO PROCESSING.  RIVERTON PLAN. PHOTOS OF SIMILAR HOME.</t>
  </si>
  <si>
    <t>FOR SHOWING APPT / INFO CALL 224-856-5384</t>
  </si>
  <si>
    <t>CENTEX</t>
  </si>
  <si>
    <t>HOME SOLD PRIOR TO PROCESSING.  HOME TO BE BUILT. PHOTOS OF SIMILAR HOME. 3% COMMISSION ON BASE PRICE OF $309,990.</t>
  </si>
  <si>
    <t>OZARK</t>
  </si>
  <si>
    <t>HARLEM TO BELMONT EAST OF CUMBERLAND TO OZARK NORTH TO 3543 NORTH OZARK AVENUE</t>
  </si>
  <si>
    <t>BEAUTIFUL HOME WITH UPDATED KITCHEN AND BATHS. HARDWOOD FLOORS LOOK NEW. STAINLESS STEEL APPLIANCES AND GRANITE COUNTER TOPS. FULL FINISHED BASEMENT WITH A NICE KITCHEN. ONE BEDROOM IN THE BASEMENT. NEWER WINDOWS AND DOORS. ALL BRICK. ENCLOSED REAR PORCH. COVERED PATIO BEHIND A LARGE 2 CAR GARAGE. A PRIVACY FENCE SURROUNDS THE YARD. GREAT LOCATION CLOSE TO PUBLIC TRANSPORTATION AND SHOPPING. READY TO MOVE IN!!</t>
  </si>
  <si>
    <t>Windsor Real Estate Services, Inc.</t>
  </si>
  <si>
    <t>(630) 267-5047</t>
  </si>
  <si>
    <t>John Cartina</t>
  </si>
  <si>
    <t>CALL JOHN AT 630-267-5047</t>
  </si>
  <si>
    <t>GREAT HOUSE WITH A FULL FINISHED BASEMENT.</t>
  </si>
  <si>
    <t>Richmond (Lot 70)</t>
  </si>
  <si>
    <t>YORKSHIRE B</t>
  </si>
  <si>
    <t>K. Hovnanian's Grand Opening of South Elginâ€™s newest community~Prairie Pointe! Build your dream home. Only 61 single family home sites available. The Yorkshire model has 3208 sf of living space, 4 bedrooms plus a bonus room, a den &amp; 2.1 baths! Master suite features private bath and two WIC. Flowing first layout. 3 car garage. Home includes partial basement. Photos are of model home that shows upgrades &amp; options.</t>
  </si>
  <si>
    <t>Call sales office @ 847-717-4270.</t>
  </si>
  <si>
    <t>DRAKE</t>
  </si>
  <si>
    <t>MONTROSE TO DRAKE, NORTH TO HOME</t>
  </si>
  <si>
    <t>ARE YOU READY TO FALL IN LOVE WITH THIS PERFECT 10? SOME OF THE HIGHLIGHTS OF THIS 4 BEDROOM (1 LOWER BEDROOM) LOCATED IN ALBANY PARK INCLUDE: KITCHEN (WHITE CABINETS, STAINLESS APPL, GRNT COUNTERS, BACK SPLASH, CERAMIC TILE) HARDWOOD FLOORS, FIREPLACE, WAINSCOTING &amp; A FULL FINISHED LOWER LEVEL. BATHROOMS FEATURE CUSTOM TILE WORK, ABSOLUTELY GORGEOUS!</t>
  </si>
  <si>
    <t>17X28</t>
  </si>
  <si>
    <t>Enclosed Porch, Utility Room-Lower Level, Walk In Closet</t>
  </si>
  <si>
    <t>*HIGHEST &amp; BEST IS DUE MON, FEB 2ND @ 12PM* **PARDON OUR DUST A NEW GARAGE IS BEING BUILT! **SUBMIT ALL OFFERS VIA FACSIMILE TO 773.304.1946 OR VIA E-MAIL TO EMELIN@ROMANREALTY.COM.</t>
  </si>
  <si>
    <t>Rt 22 or Kelsey Rd to Old Barrington Rd to Lakeview Dr</t>
  </si>
  <si>
    <t>180X225</t>
  </si>
  <si>
    <t>Sprawling ranch home with completely updated interior, new hardwood floors, granite kitchen and 3 bathrooms, two stone fireplaces, a spacious basement w/finished rec room and tons of storage. Large deck overlooking a peaceful yard. Country retreat walkable to forest preserve trails &amp; tennis courts. Easy commute to Chicago &amp; other major routes. Great schools, area holds value with reasonable taxes.</t>
  </si>
  <si>
    <t>Cul-de-sac, Nature Preserve Adjacent, Landscaped Professionally, Water View, Wooded</t>
  </si>
  <si>
    <t>Humidifier, Water-Softener Owned, TV-Cable, TV-Dish, Security System, CO Detectors, Ceiling Fan, Sump Pump</t>
  </si>
  <si>
    <t>Hardwood Floors, Heated Floors, 1st Floor Bedroom, 1st Floor Laundry, 1st Floor Full Bath</t>
  </si>
  <si>
    <t>2%  -$289 (on Net SP)</t>
  </si>
  <si>
    <t>CALL SELLER @ 847-528-5099 OR 815-245-0455 FOR APPT/QUESTIONS</t>
  </si>
  <si>
    <t>Epona Investments, LLC</t>
  </si>
  <si>
    <t>FOR ADDITIONAL INFO GO TO  WWW.LAKEBARRINGTONDREAMHOUSE.COM</t>
  </si>
  <si>
    <t>IRVING PARK RD TO DRAKE, NORTH TO PROPERTY</t>
  </si>
  <si>
    <t>IRVING PARK MANOR</t>
  </si>
  <si>
    <t>Irving Park full gut rehab in 2012! Stunning finishes &amp; great floorplan! Large &amp; open gourmet kit w/ backsplash, cherry cabs, granite, ss, &amp; brkfast bar.  3 full spa baths; master bath w/ corner whirlpool tub &amp; sep shower!  Custom rod iron staircase, wainscoting on first floor, finished walkout basement. Charming front porch &amp; great back deck , back yard, 2 car garage, &amp; fully fenced yard! Close to Metra, Blue Line!</t>
  </si>
  <si>
    <t>MARSHALL MIDDLE SCHOOL</t>
  </si>
  <si>
    <t>Office, Deck</t>
  </si>
  <si>
    <t>Stephanie Cutter</t>
  </si>
  <si>
    <t>(312) 475-3274</t>
  </si>
  <si>
    <t>HIGGINS TO MASON, SOUTH TO HOME</t>
  </si>
  <si>
    <t>FULL DORMERED ENGLISH TUDOR BUILT W/SPACE FOR 2 FAMILIES. HUGE FULL BSMNT W/SEP ENTRANCE, NEW BAY WINDOW+THERMAL DOORS. 1ST FLR: KIT W/48" SS PROFES RANGE+36" SS FRIGIDAIRE. 2ND FLR HAS FULL HEIGHT CEIL+KIT, MANY CLOSETS. NEWLY CARPETED FLRS+STAIRS. 2002 OVERSIZED 2 CAR GARAGE W/TALL DOOR FOR SUV+NEW CEMENT PKG PAD. NEW TRU LINK FENCING. QUICK POSSESSION AVAILABLE.</t>
  </si>
  <si>
    <t>Oven/Range, Dishwasher-Portable, Refrigerator, Washer, Dryer</t>
  </si>
  <si>
    <t>2nd Kitchen, Eating Area, Sitting Room</t>
  </si>
  <si>
    <t>Property Economics Inc.</t>
  </si>
  <si>
    <t>(847) 863-5295</t>
  </si>
  <si>
    <t>Andrew Lichterman</t>
  </si>
  <si>
    <t>(847) 650-0075</t>
  </si>
  <si>
    <t>E-fax (847) 770-4943</t>
  </si>
  <si>
    <t>CC: Pursuant to Short Sale. Seller's attorney will hold Earnest Money. (1) MBC (2) Disclosures &amp; (3) Earnest money Info are online under additional info tab. Please text at 630.283.2111 for any questions/concerns.</t>
  </si>
  <si>
    <t>Astor</t>
  </si>
  <si>
    <t>East on Goethe. One-way south on Astor.</t>
  </si>
  <si>
    <t>25 X 113</t>
  </si>
  <si>
    <t>Historic freestanding Gold Coast SF home. Elegant architectural details including original moldings, staircase &amp; mantles. Hardwood flrs. Spacious LR &amp; separate DR. Newer eat-in kit opens to a deck &amp; private yard. 2nd level is a full floor master ste w/potential for an additional BR. Top level offers 3 BRs. LL rec room, laundry &amp; storage. This property is landlocked. Leased gar pkg nearby. Sold in as is condition.</t>
  </si>
  <si>
    <t>OGDEN ELEMENTARY SCHOOL</t>
  </si>
  <si>
    <t>20X28</t>
  </si>
  <si>
    <t>08X20</t>
  </si>
  <si>
    <t>14X43</t>
  </si>
  <si>
    <t>Den, Sitting Room, Library, Utility Room-1st Floor</t>
  </si>
  <si>
    <t>2.05%-$325 (on Net SP)</t>
  </si>
  <si>
    <t>To schedule a showing, email scheduling@jenniferames.com</t>
  </si>
  <si>
    <t>JPMorgan Chase Bank</t>
  </si>
  <si>
    <t>Bank owned. Being sold in "as is" condition. Photos are a couple years old. List Date: 8/21/2014.</t>
  </si>
  <si>
    <t>36th Street and north to Normal Street</t>
  </si>
  <si>
    <t>Brand new construction on quite cul-de sac. Newer homes around. Fireplace in living room. Still could select your choice of kitchen cabinet and granite before mid. September. Large rear composite deck. Finished basement and rear access to yard. 2 car detached garage.</t>
  </si>
  <si>
    <t>Call office or email: alice@landmarkproerty.net, 24 hrs notice</t>
  </si>
  <si>
    <t>Kirk Rd to Tyler to Midway to Williams E to Home</t>
  </si>
  <si>
    <t>Cambridge East</t>
  </si>
  <si>
    <t>CRANBROOK</t>
  </si>
  <si>
    <t>72X103X65X106</t>
  </si>
  <si>
    <t>Charming &amp; Affordable Ranch on a Quiet Street! Squeaky Clean Just Move-In. A Finish basmnt includes Rec/Game Rms &amp; office/4th bedrm. Also,Spa bath. Much is newer: 1st Flr carpets-13, driveway-12,windows-10, furnace-08, V-siding-06, roof-05, Ref, DW-09 entry door-06. Baths remodl-13&amp;14. Kitch offers newer Maple cabnts, counter &amp; sink. Nice fenced yard w/deck. Kids walk 1 blck to school. Well-kept, Updated, Come See!</t>
  </si>
  <si>
    <t>Water-Softener Owned, TV-Cable, CO Detectors, Ceiling Fan, Fan-Whole House, Sump Pump</t>
  </si>
  <si>
    <t>630-262-9273</t>
  </si>
  <si>
    <t>2 hr notice: 855-746-9093</t>
  </si>
  <si>
    <t>A Lot of House In a Wonderful Neighborhood. Close to Fox Ridge School. Perfect Starter Home.</t>
  </si>
  <si>
    <t>CALL SALES CENTER @ 847-426-4411 FOR INFORMATION</t>
  </si>
  <si>
    <t>HOME SOLD PRIOR TO PROCESSING.  3% COMMISSION ON BASE PRICE OF $284,990. LOT PREMIUM MAY APPLY.</t>
  </si>
  <si>
    <t>SALES MODEL: I-90 TO RANDALL RD, SO. TO RTE 20; W. TO NESLER; SO. TO GANSETT,  LEFT 2 BLKS TO MODEL.</t>
  </si>
  <si>
    <t>WESTCHESTER PLAN TO BE BUILT. CAN SELECT INTERIOR FINISHES. INC. FULL UNFIN. BASEMENT; KITCHEN HAS MERRILAT CABS, WHIRLPOOL INC. APPLS. SS DBL BWL SINK, LGE WALK-IN PANTRY, OVERSIZE KIT.ISLAND. PLANNING CTR. DBL BOWL VAN. IN MSTR BATH, SEP. SHWR W/GLASS DOOR, DESIGNER MIRRORS, CORIAN TOPS; LGE OWNER'S ENTRY; SPACIOUS FOYER; OPEN FLOOR PLAN W/LGE GRT RM. HOME SITE 96. PHOTOS OF MODEL.</t>
  </si>
  <si>
    <t>HOME TO BE BUILT. MODEL TO VIEW. BUYER CAN SELECT FROM MANY INTERIOR FINISHES. 3% COMMISSION ON BASE PRICE OF $319,990. LOT PREMIUM MAY APPLY.</t>
  </si>
  <si>
    <t>SHADY</t>
  </si>
  <si>
    <t>Lake Cook West to Dundee Ave. South, Right on Tower, Left on Orchard, First Right on Shady Lane</t>
  </si>
  <si>
    <t>GLEN ACRES</t>
  </si>
  <si>
    <t>118 X 172 X 118 X 166</t>
  </si>
  <si>
    <t>This classic dutch colonial revival is the perfect blend of casual comfort &amp; formal living. A dramatic 1000 sq ft addition features a stunning solarium w/ volume &amp; architectural windows, while the open kit &amp; great room showcase skylights &amp; a wall of windows with tree-top views. Refreshing new features include a rich cherry &amp; granite kitchen, new baths, interior painting &amp; newly painted exterior. DESIRABLE GLEN ACRES</t>
  </si>
  <si>
    <t>Den, Eating Area, Foyer, Sun/Florida Room Heated</t>
  </si>
  <si>
    <t>Donna Veller, SFR</t>
  </si>
  <si>
    <t>(847) 826-1530</t>
  </si>
  <si>
    <t>ATTENTION REALTORS! A RARE OPPORTUNITY in a neighborhood of $1.2 million (sold 7/14). Not to be missed!</t>
  </si>
  <si>
    <t>43rd</t>
  </si>
  <si>
    <t>HALSTED TO 43RD PLACE</t>
  </si>
  <si>
    <t>Recent construction Raised ranch, ready for some TLC.</t>
  </si>
  <si>
    <t>33X17</t>
  </si>
  <si>
    <t>Donald Driessen</t>
  </si>
  <si>
    <t>(773) 791-8134</t>
  </si>
  <si>
    <t>USE SHOWING ASSIST NO CALLS EMAIL COMM ONLY</t>
  </si>
  <si>
    <t>Bank of America</t>
  </si>
  <si>
    <t>please send offers with  POF or Preapproval...property is as is .....taxes prorated at 100%.</t>
  </si>
  <si>
    <t>Carmen</t>
  </si>
  <si>
    <t>Foster to Oketo South to Carmen West to Home</t>
  </si>
  <si>
    <t>134X39</t>
  </si>
  <si>
    <t>Spotless and ready to move in! Ideally located near highway and shopping. SS Appliances, huge Kitchen. Large rooms. Full finished basement. Zoned HVAC. Heated 2.5 car garage. Concrete drive. Located in Maine South School District!</t>
  </si>
  <si>
    <t>PENNOYER ELEMENTARY SCHOOL</t>
  </si>
  <si>
    <t>MAINE SOUTH HIGH SCHOOL</t>
  </si>
  <si>
    <t>11X23</t>
  </si>
  <si>
    <t>Central Air, Zoned, None</t>
  </si>
  <si>
    <t>Century 21 Langos &amp; Christian</t>
  </si>
  <si>
    <t>(847) 593-3460</t>
  </si>
  <si>
    <t>Bob Nowak</t>
  </si>
  <si>
    <t>Call Office. 2 hour notice needed, please.</t>
  </si>
  <si>
    <t>When submitting a Purchase Contract: Make Earnest Money payable to PRECISION TITLE.</t>
  </si>
  <si>
    <t>Winter Hill</t>
  </si>
  <si>
    <t>Route 30 - Briarcliff (N) - Winter Hill Circle (L) - Winter Hill Court (L)</t>
  </si>
  <si>
    <t>150X150</t>
  </si>
  <si>
    <t>WHAT A GREAT DEAL IN SEASONS RIDGE - 4 LARGE BEDROOMS - KITCHEN WITH GRANITE COUNTERTOPS - PARTIALLY FINISHED BASEMENT - NEWER ROOF WITH ARCHITECTURAL SHINGLES - GORGEOUS SETTING WITH TWO TIERED DECK IN BACK YARD - PLENTY OF TREES FOR SHADE AND A HUGE LOT - CUL-DE-SAC LOCATION CAN'T BE BEAT - NO TRAFFIC AT ALL - PLENTY OF PRIVACY - THIS IS A MUST SEE HOME AND IT'S PRICED TO SELL NOW</t>
  </si>
  <si>
    <t>David Richert</t>
  </si>
  <si>
    <t>(630) 906-7266</t>
  </si>
  <si>
    <t>630.906.7266</t>
  </si>
  <si>
    <t>Worked with the Assessor and next year's assessed value will be $233,000 - That should equate to about $1200 less than current tax bill - Please call with any questions regarding this.  Thanks!</t>
  </si>
  <si>
    <t>HONORE</t>
  </si>
  <si>
    <t>87TH ST  SOUTH TO ASHLAND SO TO 88TH WEST TO HONORE NORTH</t>
  </si>
  <si>
    <t>BRICK BUNGALOW WITH LIVING ROOM, DINNING ROOM, KITCHEN, 2 BEDROOMS ON 1ST LEVEL AND A HUGE SPACE FOR ADDITIONAL BEDROOM SPACE OR RECREATION SPACE ON 2ND LEVEL.  ONE FULL BATH ON 1ST LEVEL AND A HALF BATH IN BASEMENT.  PROPERTY BEING SOLD VIA AUCTION 1/6/15 - 1/9/15.  PROPERTY IS BEING SOLD AS IS WHERE IS BUYER TO VERIFY ALL INFORMATION. SELLER IS OFFERING A BUYER INCENTIVE AT CLOSING</t>
  </si>
  <si>
    <t>2% OR $400 MINIMUM (on Net SP)</t>
  </si>
  <si>
    <t>Nationstar</t>
  </si>
  <si>
    <t>PROPERTY UNDER AUCTION TERMS HOMESEARCH.COM.  AUCTION DATES 1/6/15-1/9/15. PLEASE CALL IF YOU HAVE ANY QUESTIONS. BUYER TO RECEIVE $1000 INCENTIVE AT CLOSING.</t>
  </si>
  <si>
    <t>Keim</t>
  </si>
  <si>
    <t>Dunham to Fox Chase Blvd to Keim Trl</t>
  </si>
  <si>
    <t>Hunt Club</t>
  </si>
  <si>
    <t>129X145X101X145</t>
  </si>
  <si>
    <t>WITHOUT A DOUBT-THE BEST VALUE in Hunt Club on beautiful Keim Trail! Meticulously maintained w/over 3363 sqft, HW floors, finished basement w/theater &amp; entertainment areas. Vaulted &amp; beamed FR w/oversize fireplace opens to gourmet kitchen w/SS appliances. Luxury master suite, large deck, paver patio, professional landscaping &amp; lighting on gorgeous, wooded .38 ac lot within walking distance to Wredling MS &amp; STCE High!</t>
  </si>
  <si>
    <t>Call Showing Time at 855-746-9200.</t>
  </si>
  <si>
    <t>Home theater projector, surround sound speakers &amp; HIGH-END theater seating included. Pool table, all pool table accessories &amp; the light above the pool table=INCLUDED. Extensive list of improvements of $150K. Relo addendums may apply.</t>
  </si>
  <si>
    <t>Contract</t>
  </si>
  <si>
    <t>Galena</t>
  </si>
  <si>
    <t>Big Rock</t>
  </si>
  <si>
    <t>Route 30 in Big Rock IS ALSO Galena Blvd. Home is on the North side of Route 30/Galena Blvd.</t>
  </si>
  <si>
    <t>BIG ROCK</t>
  </si>
  <si>
    <t>1.44 ACRES</t>
  </si>
  <si>
    <t>AMAZING OPPORTUNITY to own a piece of History in this 3000+ SF Victorian on 1.44 ACRES w/SO MANY OPTIONS! Gorgeous Hrdwd floors, natural wdwork, pocket doors, volume ceilings, lots of closets, stunning open staircase. 2nd kitchen &amp; setup for INLAW quarters. EXCELLENT MOVE-IN CONDITION. 3-story, 3-Car Garage, paver patio &amp; firepit. Zoned B3- Live here and/or Run your business here! (Busns/Res) Easy Access to Tollway.</t>
  </si>
  <si>
    <t>2nd Kitchen, Bonus, Foyer, Sitting Room</t>
  </si>
  <si>
    <t>Patio, Storage Shed, Brick Paver Patio, Storms/Screens</t>
  </si>
  <si>
    <t>Jayne Menne</t>
  </si>
  <si>
    <t>(815) 739-2499</t>
  </si>
  <si>
    <t>FAX:  815.754.0005</t>
  </si>
  <si>
    <t>TEXT or Call Jayne at 815.739.2499 - EASY TO SHOW!</t>
  </si>
  <si>
    <t>WARD</t>
  </si>
  <si>
    <t>No exemptions now so taxes will be different w/owner-occupied. Owner is licensed Realtor. Barn/Garage has water/heat/sewer. Live here and/OR run a business here! See Addl Docs for B3 Zoning, $680 Drainage Assessment incl in tax bill.</t>
  </si>
  <si>
    <t>Addison to Keeler north to 3905</t>
  </si>
  <si>
    <t>Gorgeous Old Irving Victorian home in prime location.  4bed/2.5 bathrooms, hardwood floors throughout, newer windows, front porch and large back patio, all four bedrooms on upper level, gourmet kitchen with all modern amenities, full unfinished basement, and huge back yard.</t>
  </si>
  <si>
    <t>2.5%-$395 (on Net SP)</t>
  </si>
  <si>
    <t>George Selas</t>
  </si>
  <si>
    <t>(312) 925-7666</t>
  </si>
  <si>
    <t>Email gselas@dreamtown.com  24 hours notice please</t>
  </si>
  <si>
    <t>Property is landlocked and does not have a garage.  Ample parking on Keeler.</t>
  </si>
  <si>
    <t>1N500</t>
  </si>
  <si>
    <t>Shade Tree</t>
  </si>
  <si>
    <t>Keslinger Rd. to Shade Tree Lane go North to the end of the road</t>
  </si>
  <si>
    <t>KANEVILLE</t>
  </si>
  <si>
    <t>433X994X433X994</t>
  </si>
  <si>
    <t>Very private 10 acres with mature trees and wooded areas with large oaks and pines, set far off the road. Zoning allows horses. Huge family room with vaulted ceiling, large kitchen with pantry, abundance of cabinets, center island , counter with breakfast bar plus big dinette area. There is a screened porch for summer enjoyment and an extra 2 car detached garage/workshop. A  wildlife and nature lovers paradise.</t>
  </si>
  <si>
    <t>15X31</t>
  </si>
  <si>
    <t>29X22</t>
  </si>
  <si>
    <t>8.0-9.99 Acres</t>
  </si>
  <si>
    <t>Den, Foyer, Loft, Screened Porch</t>
  </si>
  <si>
    <t>Lori Maddox</t>
  </si>
  <si>
    <t>(630) 262-7133</t>
  </si>
  <si>
    <t>630-336-7936</t>
  </si>
  <si>
    <t>Please use Multi-board 6.0 contract.</t>
  </si>
  <si>
    <t>PT</t>
  </si>
  <si>
    <t>ROUTE 31 TO BIG TIMBER RD. WEST TO MORNINGSIDE NORTH TO MORNINGSIDE POINT EAST</t>
  </si>
  <si>
    <t>MORNINGSIDE ESTATES</t>
  </si>
  <si>
    <t>41X42X143X190X196X44X70</t>
  </si>
  <si>
    <t>UPDATED HOME WITH REMODELD BATHROOMS INCLUDING GRANITE COUNTERTOPS, NEW FIXTURES. HARDWOOD FLOORS WITH WALNUT INLAY. DRESSING AREA WITH GRANITE COUNTERTOPS IN MASTER BEDROOM. CROWN MOLDING. BRICK RAISED HEARTH FIREPLACE IN FAMILY ROOM. FINISHED BASEMENT.  FANTASTIC PRIVATE 2 LEVEL DECK. GREAT FOR ENTERTAINING. WRAP AROUND FRONT PORCH. LOCATED ON QUIET CUL-DU-SAC WITH PRIVATE WOODED LOT. MINUTES TO THE TOLLWAY.</t>
  </si>
  <si>
    <t>Cul-de-sac, Irregular</t>
  </si>
  <si>
    <t>22X33</t>
  </si>
  <si>
    <t>Pheasant Hill</t>
  </si>
  <si>
    <t>S RT 31 TO R MOOSEHEART RD TO L QUAIL ST TO L MOOSE LAKE DR TO CONTINUE ON PHEASANT HILL DR R2 HOME</t>
  </si>
  <si>
    <t>85X175</t>
  </si>
  <si>
    <t>Gorgeous Ready To Move In Home! 2 Story Family Room With Brick Wood Burning Fireplace. Huge Kitchen With Lots of Cabinet Space &amp; Island. Hardwood Floors and Laundry Room On Main Level. French Door Opens Out Onto Brick Patio and Very Private Backyard. Large Master Bedroom Has Walk-In Closet and Attached Bath With Jetted Tub. NO PERSONAL PROPERTY INCLUDED. THIS IS A FANNIE MAE HOMEPATH PROPERTY.</t>
  </si>
  <si>
    <t>Eating Area, Office, Walk In Closet</t>
  </si>
  <si>
    <t>CLICK ON "SCHEDULE A SHOWING" FOR INFORMATION</t>
  </si>
  <si>
    <t>Call 630-608-4777 if questions AFTER showing property. SELLER REQUIRES ALL OFFERS SUBMITTED THRU HOMEPATH.COM. **ACT NOW - $1000 Buyers Agent Bonus! Click Homepath.com for Details or Ask Me. Restrictions Apply. Buyers Agent Must Request!</t>
  </si>
  <si>
    <t>Kingsbury</t>
  </si>
  <si>
    <t>Barrington Rd S of Sch. Rd 2 Weathersfield E Kingsbury</t>
  </si>
  <si>
    <t>65 123</t>
  </si>
  <si>
    <t>Nice 4 bedroom 2.1 bath two story home that features hardwood floors, 2 fireplaces, 2 car garage, new room, new carpet and has been freshly painted throughout. Just minutes form public transportation, expressways and shopping.buyer responsible for survey</t>
  </si>
  <si>
    <t>please call the showing desk at 888.362.3222 or LO after hours, thanks</t>
  </si>
  <si>
    <t>Leadville</t>
  </si>
  <si>
    <t>Big Timber (W) of Tyrell to Timber Trails (N) to Woodland Park Cir (W) to Leadville Lane, right</t>
  </si>
  <si>
    <t>PRESCOTT</t>
  </si>
  <si>
    <t>68X197X67X185</t>
  </si>
  <si>
    <t>Beautiful 4 bedrm, 2 1/2 bath Prescott Model w/ 1st flr den &amp; finished, full basement. Over 2300 sq ft.  New carpeting &amp; freshly painted. Gourmet sized Kitchen w/ 42" Cabinets &amp; Island. Formal Living &amp; Dining Rms. Relax in the huge Family Rm.  Finished LL Rec Rm &amp; insulated music room. Custom pergola on a huge stamped concrete patio. Premium extra deep fenced Lot. Professionally landscaped. Surround sound wired.</t>
  </si>
  <si>
    <t>Bonus, Den, Foyer, Recreation Room</t>
  </si>
  <si>
    <t>Patio, Stamped Concrete Patio, Storms/Screens, Grill-Outdoors</t>
  </si>
  <si>
    <t>Cheryi Gatti</t>
  </si>
  <si>
    <t>(630) 222-2445</t>
  </si>
  <si>
    <t>call showing assist, 855-746-9200, 24 hr notice preferred</t>
  </si>
  <si>
    <t>email offers with preapproval or POF to cheryi.gatti@coldwellbanker.com, traditional sale, quick close ok</t>
  </si>
  <si>
    <t>87TH ST TO 89TH PL, RIGHT ON 89TH PL TO PROPERTY.</t>
  </si>
  <si>
    <t>122X25</t>
  </si>
  <si>
    <t>BRICK BUNGALOW FEATURING 4 BEDROOMS (2 IN BASEMENT), 2 BATHS, EAT-IN KITCHEN, SEPARATE DINING ROOM, HARDWOOD FLOORS, FAMILY ROOM, LAUNDRY ROOM, FULL BASEMENT, PARKING OFF STREET. EXCLUDE: APPLIANCES. SHORT SALE!</t>
  </si>
  <si>
    <t>CALL SHOWINGTIME -800-746-9464 or click link below</t>
  </si>
  <si>
    <t>RC</t>
  </si>
  <si>
    <t>CC: Pursuant to Short Sale. *Prequalification Required by our preferred lender on all offers. Call Chris Gnutek @312-758-9457* Agent is a Short Sale EXPERT. Buyers agent holds EM, please include copy of EM with all offers. www.shortsaleschicago.com</t>
  </si>
  <si>
    <t>Addison to Sawyer then North or Irving to Sawyer then South</t>
  </si>
  <si>
    <t>31 X 124</t>
  </si>
  <si>
    <t>Pursuant to Short Sale.  Adorable single family on lovely Sawyer street. Bright open floorplan, hardwood throughout, separate dining area, updated kitchen with granite/stainless/maple. 4 bedrooms on 2nd level! 2 full bath, mudroom/office &amp; lower level recreation room. Great home with many updates including new exterior siding. Very close to expressway &amp; Blue Line. Quiet residential street. Easy to show.</t>
  </si>
  <si>
    <t>Foyer, Mud Room</t>
  </si>
  <si>
    <t>12X06</t>
  </si>
  <si>
    <t>Sean Glascott</t>
  </si>
  <si>
    <t>(773) 551-7168</t>
  </si>
  <si>
    <t>Text Sean @ 773.551.7168 include agent ID</t>
  </si>
  <si>
    <t>CC: Pursuant to Short Sale. Any lender commission reduction will be shared equally between listing broker and coop broker</t>
  </si>
  <si>
    <t>Merrywell</t>
  </si>
  <si>
    <t>RANDALL RD TO HUNTLEY RD TO WESTWOOD DR TO MERRYWELL CT</t>
  </si>
  <si>
    <t>25X109X37X75X124</t>
  </si>
  <si>
    <t>LARGE 2 STORY HOME LOCATED ON A CUL DE SAC-THIS PROPERTY FEATURES A FINISHED BASEMENT WITH EXTRA FULL BATH/1ST FLOOR LAUNDRY ROOM/GREAT BACKYARD WITH BRICK PATIO/FAMILY ROOM HAS STONE FIREPLACE/CERAMIC AND LAMINATE FLOORING ON THE 1ST FLOOR/2 CAR GARAGE/MASTER BEDROOM OFFERS PRIVATE LUXURY BATH/BANK OWNED HOME BEING SOLD IN AS-IS CONDITION / PRE-APPROVAL OR POF DATED WITHIN THE LAST 30 DAYS REQUIRED WITH ALL OFFERS</t>
  </si>
  <si>
    <t>RE/MAX Professionals</t>
  </si>
  <si>
    <t>(630) 759-2850</t>
  </si>
  <si>
    <t>Edward Lukasik Jr</t>
  </si>
  <si>
    <t>(630) 679-5417</t>
  </si>
  <si>
    <t>CELL 630-768-5175</t>
  </si>
  <si>
    <t>CALL SHOWING TIME 800-746-9464</t>
  </si>
  <si>
    <t>EMAIL ALL OFFERS IN PDF FORMAT ONLY/SELLER DOES NOT PROVIDE SURVEY/TAXES PRORATED AT 100%</t>
  </si>
  <si>
    <t>LIBERTY</t>
  </si>
  <si>
    <t>KESLINGER RD TO LIBERTY S 2 HOME</t>
  </si>
  <si>
    <t>85X121</t>
  </si>
  <si>
    <t>SHORT SALE.THE MOST OVER IMPROVED HOME YOU HAVE EVER SEEN!TRANSFERRED OWNER WAS PLANNING ON BEING HERE FOREVER.SOMEONE IS GOING TO GET A LOT OF HOME FOR THE $.COMPLETELY REMODELED MBR SUITE W/CUSTOM CLOSET,FIREPLACE &amp; BALCONY OVERLOOKING FIRE PIT,POND &amp; OPEN AREA.DECK W/GAZEBO (WITH A/C), &amp; GRANITE BAR W/FRIDGE &amp; JENN-AIRE GRILL.1ST FLR ALL NEW MILLWORK,DOORS &amp; FLOORS.HEATED 3 CAR GARAGE.IMMACULATE CONDITION.</t>
  </si>
  <si>
    <t>Oven/Range, Microwave, High End Refrigerator, Disposal, All Stainless Steel Kitchen Appliances</t>
  </si>
  <si>
    <t>Balcony, Deck, Gazebo, Dog Run &amp;/or Invisible Fence, Grill-Outdoors</t>
  </si>
  <si>
    <t>CC: Pursuant to Short Sale. IF COMMISSION IS REDUCED BY LENDER IT WILL BE SPLIT 50/50 BETWEEN BROKERS.  PHOTOS WERE TAKEN WHEN OWNER STILL OCCUPIED THE HOME. IT IS NOW VACANT AND OWNER HAS REMOVED ITEMS</t>
  </si>
  <si>
    <t>Route 47 to Bliss, Windstone into Lakes of Bliss, right on Spruce to home.</t>
  </si>
  <si>
    <t>LAKES OF BLISS WOODS</t>
  </si>
  <si>
    <t>Extraordinary people deserve extraordinary homes!  This unique &amp; rustic Cape Cod boasts a charming FRONT PORCH, vaulted ceilings w/ exposed beams, 1ST FLOOR MASTER, pine doors, FINISHED BASEMENT w/ bar, PLUS a bonus room perfect for movie night, home office, or 5th Bedroom.  Relish in 1/2 acre of professional landscaping, private waterfalls, &amp; the ultimate kick-up-your-heels patio.  Breathtaking...a true masterpiece.</t>
  </si>
  <si>
    <t>Oven/Range, Microwave, Dishwasher, Refrigerator, Refrigerator-Bar, Disposal</t>
  </si>
  <si>
    <t>Bar, Bonus, Foyer, Great Room</t>
  </si>
  <si>
    <t>Vaulted/Cathedral Ceilings, Bar-Dry, Wood Laminate Floors, 1st Floor Bedroom, 1st Floor Laundry, 1st Floor Full Bath</t>
  </si>
  <si>
    <t>2.5 % LESS $150 (on Net SP)</t>
  </si>
  <si>
    <t>Southwestern Real Estate, Inc.</t>
  </si>
  <si>
    <t>(630) 510-3190</t>
  </si>
  <si>
    <t>Sarah Goss, BPOR,CSC,SFR</t>
  </si>
  <si>
    <t>(630) 202-3531</t>
  </si>
  <si>
    <t>EARNEST HELD BY SELLER'S ATTORNEY</t>
  </si>
  <si>
    <t>Call or text Sarah to confirm time at 630.202.3531.  Showing Assist available.</t>
  </si>
  <si>
    <t>New roof!  Sellers are offering one year of free-maintnance on pond.  *Please note* the pond can stay or go...buyers decide!  If clients have kids that stay or visit, be sure to find the secret fort in the back yard.  Such a FUN home!</t>
  </si>
  <si>
    <t>6N724</t>
  </si>
  <si>
    <t>Mallard Lake</t>
  </si>
  <si>
    <t>Randall to Silver Glen to Burr Rd. to Heritage Oaks (becomes Mallard Lake)</t>
  </si>
  <si>
    <t>Gourmet kitchen; formal dining area; sitting room with fireplace. First floor master bedroom. Amazing spiral stairway leads to large loft with 3 bedrooms on second floor. Large den/office on first floor. Built-in pool; deck; flower garden; paver brick patio and more! See Offer Instructions under additional information. See attachment for PAS requirements and WFHM offer submittal information in MLS document section.</t>
  </si>
  <si>
    <t>Water-Softener Owned, Central Vacuum, Ceiling Fan, Sump Pump</t>
  </si>
  <si>
    <t>Den, Foyer, Loft, Mud Room, Sun/Florida Room, Tandem Room</t>
  </si>
  <si>
    <t>Deck, Patio, Brick Paver Patio, Pool In-Ground</t>
  </si>
  <si>
    <t>Click on the Schedule a Showing link.</t>
  </si>
  <si>
    <t>Buyer should obtain a preapvl from Wells Alphie 630-587-3606 Please see attached INSTRUCTIONS.To report any concerns with a listing broker/agent or to report any property condition or other concern needing escalation please call877-617-5274</t>
  </si>
  <si>
    <t>BACKS TO NATURE PRESERVE, NEW CONSTRUCTION-COMMUNITY CLOSE OUT! HOME TO BE BUILT; SELECT YOUR OWN FINISHES. BUILD TIME 6 MONTHS. LIFE-TESTED, CONSUMER INSPIRED FEATURES. WESTCHESTER IS AN OPEN FLOOR PLAN W/4 BDRMS, LOFT, FLEX RM, PULTE PLANNING CTR, HUGE OWNER'S ENTRY, 3 SPACE GARAGE, OVERSIZE KITCHEN ISLAND AND LARGE WALK-IN PANTRY. LOT 276. MODEL OF THIS HOME TO VIEW.</t>
  </si>
  <si>
    <t>OPEN SATURDAY THRU WEDNESDAY 10 TO 6 OR CALL SALES OFFICE 847-426-4411 FOR INFORMATION</t>
  </si>
  <si>
    <t>HOME TO BE BUILT. BUYER CAN SELECT INTERIOR FINISHES. MODEL OF THIS HOME TO VIEW. COMMISSION IS 3% OF BASE PRICE OF $284,990. LOT PREMIUM MAY APPLY.</t>
  </si>
  <si>
    <t>OAK PARK TO ADDISON W TO NEWLAND N TO 3658</t>
  </si>
  <si>
    <t>BEAUTIFULLY REMODELED BRICK ENGLISH ON CORNER LOT W/2.1-CAR GARAGE &amp; LARGE, COVERED DECK. WALNUT-STAINED HW FLOORS, WOOD BURNING FIREPLACE, WINESCOTING IN SEP. DINING ROOM, GORGEOUS EAT-IN KITCHEN W/S.S. APPLIANCES, GLASS BACKSPLASH &amp; GRANITE COUNTERS, NEWLY FIN., WALK-OUT BASEMENT, NEW ELECTRICAL INCL. WIRING, NEW/NEWER WINDOWS, NEWER ROOF, NEW COPPER PLUMBING, OVERHEAD SEWERS &amp; DRAIN TILES. READY FOR A FAST CLOSE!</t>
  </si>
  <si>
    <t>Oven/Range, Microwave, Dishwasher, Refrigerator, Washer, All Stainless Steel Kitchen Appliances</t>
  </si>
  <si>
    <t>Humidifier, TV-Cable, CO Detectors, Sump Pump</t>
  </si>
  <si>
    <t>Waldemar Smolinski</t>
  </si>
  <si>
    <t>(773) 594-4364</t>
  </si>
  <si>
    <t>ALSO NEW: INTERIOR &amp; EXTERIOR DOORS, BACKYARD SOD, GARAGE OPENER, CAC UNIT. WORK DONE W/PERMITS!</t>
  </si>
  <si>
    <t>LIBERTY(RT 25 S OF VILLA) TO W ON SHERMAN TO S ON ARLING</t>
  </si>
  <si>
    <t>50 X 132</t>
  </si>
  <si>
    <t>Oozing with charm...this spacious 4 bedroom home offers all of the historic details...an enormous front porch, side porch, and back porch (perfect mud rm), gorgeous wdwork &amp; staircase, hardwd flrs, lrg bedrms, main-flr den/playrm, stunning din rm, and partially fin bmt! Incredible garage (could fit 3 cars), fenced yard, kitchen with built-ins, walk-up expandable attic, ldy shute, Newer roof! Some new windows! SS</t>
  </si>
  <si>
    <t>Den, Enclosed Porch, Recreation Room</t>
  </si>
  <si>
    <t>Caroline Ellsworth</t>
  </si>
  <si>
    <t>(847) 514-8595</t>
  </si>
  <si>
    <t>Call Listing Office 847-931-7500</t>
  </si>
  <si>
    <t>CC: Pursuant to Short Sale. SHORTSALE...Commission is contingent upon bank approval.  Any reduction will be split equally.</t>
  </si>
  <si>
    <t>Cambridge Lakes Drive to Wester L to Bayshore R to Dover L to Canterbury R to Brighton L.</t>
  </si>
  <si>
    <t>120X57</t>
  </si>
  <si>
    <t>Better than new &amp; ready now!Upgraded with fenced rear yard,deck,paver patio,landscaping.Merillat kitchen cabinets,granite,stainless steel appliances,ceramic tile.Updated bathrooms w/new vanities,granite,tile flooring,faucets,lights.Fresh paint &amp;new carpet throughout.Familyroom w/fireplace.2nd floor den-perfect media room/playroom.2nd floor laundry.Master bdr w/vaulted ceiling &amp; full bath.Super sharp! Canclosequickly</t>
  </si>
  <si>
    <t>On-Site Charter</t>
  </si>
  <si>
    <t>Clubhouse, Park/Playground, Pool, Pond/Lake, Sidewalks, Street Paved</t>
  </si>
  <si>
    <t>3%-100 (on Net SP)</t>
  </si>
  <si>
    <t>3% commission.Not a short sale,not bank owned. standard sale.quick response to offers and quick close possible..Taxes prorated at 100%. Quick close possible.</t>
  </si>
  <si>
    <t>RANDALL ROAD NORTH TO ROYAL BLVD EAST TO VALLEY CREEK DRIVE</t>
  </si>
  <si>
    <t>79X145X147X90</t>
  </si>
  <si>
    <t>ck the comps and run right over to this great value of a home-Terrific huge home located on a cul de sac with large wrap around porch!  Note Large bedrooms- Large unfinished basement with plumbing for 3rd bath-Large 2nd bedroom with full bathroom access.  Dining room opens  to fwrap around front porch-Open kitchen to family room that features a corner fireplace. Ceiling fans in most rooms Windows with built in blinds</t>
  </si>
  <si>
    <t>Chicagoland Realty, LLC</t>
  </si>
  <si>
    <t>(847) 749-3738</t>
  </si>
  <si>
    <t>Carole ONeill, CRS,GRI</t>
  </si>
  <si>
    <t>CLICK ON SHOWING ASSISTANT</t>
  </si>
  <si>
    <t>Bank owned - Please use contract and addendums under add't info- NOTE lender requires prequal by Caliber home loans before looking at offers MUST get preapproval see add't infor for name and number -seller would requests 3% e/m</t>
  </si>
  <si>
    <t>4N650</t>
  </si>
  <si>
    <t>PHEASANT RUN</t>
  </si>
  <si>
    <t>DEAN ST TO PHEASANT RUN</t>
  </si>
  <si>
    <t>92X440X497X118X445X535</t>
  </si>
  <si>
    <t>DIAMOND IN THE ROUGH WITH A MILLION DOLLAR SETTING AND LONG WINDING DRIVE!!COOL CONTEMPORARY HOME WITH FLOOR TO CEILING WINDOWS IN MANY ROOMS!SCREENED PORCH &amp; WRAP AROUND DECKS OVERLOOK HEAVILY WOODED 6.8 ACRES!UNLIMITED POTENTIAL HERE!ROLLING SECLUDED ACREAGE IS ABSOLUTELY GORGEOUS!HOME NEEDS WORK, SOLD AS-IS.</t>
  </si>
  <si>
    <t>Screened Porch, Storage, Workroom</t>
  </si>
  <si>
    <t>WOODFERN TO REINKING TO LARKSPUR</t>
  </si>
  <si>
    <t>BRING YOUR UPDATES AND REMODELING IDEAS TO THIS GREAT 4 BEDROOM HOME. PROPERTY REQUIRES REHAB AND WILL NOT FINANCE FHA. SEND YOUR PROOF OF FUNDS / PRE-APPROVED OFFERS TODAY. SELLER REQUIRES 8-10 MARKETING TIME BEFORE RESPONDING TO OFFERS.</t>
  </si>
  <si>
    <t>Highest, best and final offers due by 11/24/14 at 10:00 am</t>
  </si>
  <si>
    <t>Plantation</t>
  </si>
  <si>
    <t>Randall Rd to Miller east to Sleepy Hollow-south to Alexandria and left on Plantation.</t>
  </si>
  <si>
    <t>Come see this Hanover model in sought after Shenandoah.  The interior boasts an open, spacious  floor plan. New carpet, vinyl and paint.  Full basement waiting to be finished. Private fenced yard.  This is a Fannie Mae HomePath property. Buyer resp for all permits, inspect/stamps. Tax Proration 100%. Seller does not provide survey.</t>
  </si>
  <si>
    <t>Up to $1000 Selling Agent bonus may be available on this property! Ask the Listing Agent. Eligibility restrictions apply.All offers to be submitted on HomePath website.</t>
  </si>
  <si>
    <t>NEW ENGLAND</t>
  </si>
  <si>
    <t>Belmont --  New England --  South to 3112 (near Barry)</t>
  </si>
  <si>
    <t>MONTECLARE</t>
  </si>
  <si>
    <t>Great single family 4 bedrooms, 2 baths. Great location,close to transportation, schools, parks. This is a Fannie Mae HomePath property.SEE ADDIT DOCS FOR MULTIPLE OFFER SHEET&amp;OFFER INSTRUCTIONS.</t>
  </si>
  <si>
    <t>Riklin Realty</t>
  </si>
  <si>
    <t>(847) 588-1118</t>
  </si>
  <si>
    <t>Richard Wolnik</t>
  </si>
  <si>
    <t>reomaggie@riklinrealty.net</t>
  </si>
  <si>
    <t>Schedule showing using Showing Assist.</t>
  </si>
  <si>
    <t>The seller has directed that all offers on this listing be made using the HomePath Online Offer system at the HomePath website, at www.homepath.com. All commission will be paid directly from final settlement proceeds.</t>
  </si>
  <si>
    <t>CASSIDY</t>
  </si>
  <si>
    <t>RT 20 W OF RANDALL RD TO NESLER S TO SOUTH E TO SHADOW HILL S PAST ROTARY TO CASSIDY W</t>
  </si>
  <si>
    <t>66X125X105X44X132</t>
  </si>
  <si>
    <t>TRULY AMAZING SAYS IT ALL! LARGE OPEN FLOOR PLAN,DREAM KITCHEN WITH ALL THE UPGRADES!FAMILY ROOM WITH FIREPLACE,FORMAL DINING AREA,LARGE ROOMS,BEAUTIFUL BRICK PATIO, FULL BASEMENT, 3 CAR GARAGE,NEW PAINT, NEW CARPETS, ITS ALL DONE!THIS BEAUTIFUL HOME IS READY NOW! This home is a HomePath Property.</t>
  </si>
  <si>
    <t>Tim847-791-6399 Tim@TimLisack.com</t>
  </si>
  <si>
    <t>This is a HomePath Property - Check HomePath.com for First Look period*Follow offer instructions in MLS*Seller has directed offers to be made at HomePath.com. CALL CO-AGENT B4 WRITING OFFER</t>
  </si>
  <si>
    <t>NORMAL</t>
  </si>
  <si>
    <t>95th Street to Perry, North to Property</t>
  </si>
  <si>
    <t>GREAT LOCATION!! CLOSE TO INTERSTATE &amp; PUBLIC TRANSPORTATION. LARGE HOME WITH FOUR BEDROOMS WITH TWO FULL BATHS HAS A TWO CAR GARAGE AND A LARGE LOT. THE HOME HAS TONS OF POTENTIAL AND LOTS OF SPACE. LOT/ROOM SIZES ESTIMATED.</t>
  </si>
  <si>
    <t>4N414</t>
  </si>
  <si>
    <t>Rte 64 W to Fox Mill to Carl Sandburg W to School N</t>
  </si>
  <si>
    <t>Fox Mill</t>
  </si>
  <si>
    <t>85X131</t>
  </si>
  <si>
    <t>Drop dead gorgeous 4BR/4BA Georgian on well manicured lot. Backs to open space &amp; trails. All the amenities, extensive trim work throughout, newer roof, inground sprinkler, tiered patio w/grilling station, invisible pet fence. Gourmet eat-in kitchen w/granite &amp; stainless, faux finished walls, 1st flr den w/built-in bookcases. Master suite w/spa bath. Tons of closet space, full finished bsmt. Quick Close!!</t>
  </si>
  <si>
    <t>Humidifier, Water-Softener Owned, Security System, Ceiling Fan, Fan-Attic Exhaust, Sump Pump, Sprinkler-Lawn</t>
  </si>
  <si>
    <t>Sitting Room, Den, Exercise Room, Game Room, Recreation Room</t>
  </si>
  <si>
    <t>Call 855-919-0377 *MUST CONFIRM</t>
  </si>
  <si>
    <t>Basement refrigerator NOT included.</t>
  </si>
  <si>
    <t>Rt. 72 to Van Buren (E of river) N to Wilmette, stay L on Wilmette to home on R</t>
  </si>
  <si>
    <t>LAKEWOOD ESTATES</t>
  </si>
  <si>
    <t>94X139X85X140</t>
  </si>
  <si>
    <t>Look out over the tree tops from your LR!  New kitchen has lots of hickory cabinets and corian counters, including pantry with roll out shelves. Doors lead to nice deck overlooking great yard &amp; to patio. Large LR has sliders to wraparound deck. Big bedrooms, &amp; closets are spacious with organizers. FR in lower level is highlighted w/FP and rustic feel. Full, updated bath on each level. BR &amp; den in LL. In a quiet area.</t>
  </si>
  <si>
    <t>LAKEWOOD ELEMENTARY SCHOOL</t>
  </si>
  <si>
    <t>Den, Foyer, Workroom</t>
  </si>
  <si>
    <t>(815) 455-5700</t>
  </si>
  <si>
    <t>Marj Carpenter, CRS,GRI</t>
  </si>
  <si>
    <t>(815) 444-6275</t>
  </si>
  <si>
    <t>Cell 815-444-6275</t>
  </si>
  <si>
    <t>CLO Day before notice preferred. Check anyway.</t>
  </si>
  <si>
    <t>Don't miss the laundry/workshop off the garage. Roof new in '12, fridge '12, DW '11. New windows, sliders, doors.</t>
  </si>
  <si>
    <t>39W829</t>
  </si>
  <si>
    <t>Hathaway</t>
  </si>
  <si>
    <t>Fabyan Pkwy to N Mill Creek Drive W on Warner S on Sheldon N on Matthewson and turns into N Hathaway</t>
  </si>
  <si>
    <t>SEQUIOA</t>
  </si>
  <si>
    <t>STUNNING NEW SEQUOIA FLOOR PLAN IN BEAUTIFUL HILLCREST NEIGHBORHOOD OF MILL CREEK.  4 BED, 4.5 BATHS OVER 3,370 SF W/ 2ND FLOOR BONUS RM PLUS A FINISHED BASEMENT!  BRICK FRONT EXT W/ LP SmartSide LAP SIDING AND 3-CAR SIDE LOAD ENTRY.  ELEGANT INTERIOR W/ GOURMET KITCHEN, CUSTOM CABS, GRANITE KIT COUNTERS, HDWD FLOORS, FIREPLACE, STAINLESS STEEL APPLIANCES, CROWN MOLDING AND SO MUCH MORE!</t>
  </si>
  <si>
    <t>19X27</t>
  </si>
  <si>
    <t>Humidifier, CO Detectors, Sump Pump, Radon Mitigation System(s)</t>
  </si>
  <si>
    <t>Bonus, Eating Area, Study</t>
  </si>
  <si>
    <t>630-232-8181</t>
  </si>
  <si>
    <t>Call Mill Creek Sales Center 630-232-8181</t>
  </si>
  <si>
    <t>MASON</t>
  </si>
  <si>
    <t>55th STREET TO MASON (APPROX 5950W), THEN SOUTH TO PROPERTY.</t>
  </si>
  <si>
    <t>BRICK 2 STORY W/POSSIBLE RELATED LVG. NEW TEAR OFF ROOF! HRDWD FLRS IN ALL 4 BDS &amp; 1ST FLR LIV RM. 1ST FLR: LIV RM, 3 BDS, FULL BTH &amp; EAT-IN KITCH. 2ND FLR:2ND LIV RM, 4TH BDRM, FULL BTH, 2ND EAT-IN KITCH &amp; ENCLSD PORCH. BRING YOUR FINISHING IDEAS TO THE 23'X44' WALK-OUT BSMT. FRESHLY PAINTED. NEW WINDOWS-1ST &amp; 2ND FLRS IN â€˜11. C/A &amp; FURNACE NEW IN '09. NEW FRONT &amp; REAR DOORS. SIDE DRIVE + ALLEY ACCESS TO 2 CAR GAR.</t>
  </si>
  <si>
    <t>Unassigned, Off Street, Side Apron, Driveway</t>
  </si>
  <si>
    <t>Courtney Sinisi</t>
  </si>
  <si>
    <t>(708) 372-8740</t>
  </si>
  <si>
    <t>Efax 708-234-7111</t>
  </si>
  <si>
    <t>CALL LISTING OFFICE 708-857-1500</t>
  </si>
  <si>
    <t>SEE ATTCH'D LIST UNDER ADD'L INFO FOR RECENT UPDATES *New tear-off sloped roof OCT '14 &amp; New flat roof '14!* *New windows including the front &amp; rear bsmt windows '11.*The rear porch brick-rebuilt in '14.*Newer siding &amp; overhead door on Gar</t>
  </si>
  <si>
    <t>Laramie to Race, west to Lockwood</t>
  </si>
  <si>
    <t>Large and spacious 2 story home awaits your personal touch.  Great opportunity for a spacious house.  Sold as-is, no survey, no disclosures, taxes at 100%, EMD in certified funds.  Buyer responsible for verification of all information, inspections, requirements and full due diligence prior to submission of offer.</t>
  </si>
  <si>
    <t>$1062.50 (on Net SP)</t>
  </si>
  <si>
    <t>Midwest Realty Services, Inc.</t>
  </si>
  <si>
    <t>(630) 986-7500</t>
  </si>
  <si>
    <t>Joseph Rihani</t>
  </si>
  <si>
    <t>(630) 986-7500x133</t>
  </si>
  <si>
    <t>PLEASE SUBMIT ALL OFFERS ON WWW.PROPOFFERS.COM Do not email or fax offers.  Buyer responsible for verification of all information, requirements, and full due diligence prior to submission of offer</t>
  </si>
  <si>
    <t>Mooresfield</t>
  </si>
  <si>
    <t>Nesler Rd to South Street to to Mooresfield</t>
  </si>
  <si>
    <t>CULLEN</t>
  </si>
  <si>
    <t>New paint, carpet, kitchen. 4 BR 2.5 Ba. Backs to conservancy area. Freddie Mac HomeSteps Property sold as-is. No disclosures/survey. Pro-Rations will be made at 100%. Pre approval/POF must accompany all offers. Special addendums required. Up to $500 for owner occupant home warranty. Owner/Occupant First Look period good through 2/1/2015. Buyer is responsible for all city required repairs.</t>
  </si>
  <si>
    <t>Eating Area, Sitting Room, Walk In Closet</t>
  </si>
  <si>
    <t>HomeSteps FreddieMac</t>
  </si>
  <si>
    <t>C Attached Forms. Sold as-is 100% tax, no disc. POF/preapp w/offers. Proof of Cert. EM w/offer. Owner Occupant First Look Period through 2/1/2015. HomeSteps financing available.  Still need to sign but has passed Elgin inspectn  6.0 please</t>
  </si>
  <si>
    <t>Rt 71 to Paradise South to Home</t>
  </si>
  <si>
    <t>56.68X161.23X60.09X153X34.6</t>
  </si>
  <si>
    <t>Welcome to this 4 bedroom home in Oswego.The home features large hardwood floored foyer, formal living room, formal dining room, eat-in kitchen with an island, all appliances included. Family room has a fireplace and newer carpet. First floor laundry and den off the foyer. Large master with walk-in closet. The home also features a finished basement with bar area. 2-car attached garage and large backyard.</t>
  </si>
  <si>
    <t>Call agent directly for all showings 630-688-6672</t>
  </si>
  <si>
    <t>Nice clean home in Arbor Gate subdivision.</t>
  </si>
  <si>
    <t>42W647</t>
  </si>
  <si>
    <t>Empire W2 Arboretum S2 Jens Jensen Rt2 Paddock S2 Steeplechase L2 Home</t>
  </si>
  <si>
    <t>94X277X118X216</t>
  </si>
  <si>
    <t>Huge Ranch w/Cul-De-Sac Location.1/2+ Ac Lot.Great Floor Plan.Updated Kitchen.Large L/R w/Brick F/P &amp; SGD To Elevated Deck. Family Room w/ Woodburning Stove &amp; SGD To 2nd Deck. Formal D/R.Huge Fin Walk-Out Bsmt w/ Rec Rm,Brick F/P,Workshop,Exercise Rm,B/R &amp; Bath.Poss In-Law? Numerous Updates Including Siding, Windows, SGD's,Roof,Furnace,Paint &amp; Carpet.Extremely Private Bk Yd.Community Clbhse,Pool,Tennis Cts &amp; Trails.</t>
  </si>
  <si>
    <t>Central Vacuum, Sump Pump</t>
  </si>
  <si>
    <t>Bar, Exercise Room, Foyer, Recreation Room, Utility Room-Lower Level, Workroom</t>
  </si>
  <si>
    <t>Bar-Wet, Wood Laminate Floors, 1st Floor Bedroom, In-Law Arrangement, 1st Floor Laundry, 1st Floor Full Bath</t>
  </si>
  <si>
    <t>Wood Burning, Wood Burning Stove, Attached Fireplace Doors/Screen, Gas Starter</t>
  </si>
  <si>
    <t>38X16</t>
  </si>
  <si>
    <t>20X07</t>
  </si>
  <si>
    <t>Click On Schedule A Showing</t>
  </si>
  <si>
    <t>Great Home. Move-In Ready. Many Updates.</t>
  </si>
  <si>
    <t>FOR INFORMATION PLEASE CALL 847-426-4411</t>
  </si>
  <si>
    <t>HOME SOLD PRIOR TO PROCESSING. 3% COMMISSION ON BASE PRICE OF $254,990.</t>
  </si>
  <si>
    <t>IRVING PARK TO KILBOURN SOUTH TO PROPERTY</t>
  </si>
  <si>
    <t>Beautifully remodeled Old Irving Park home with 4 spacious bedrooms and 3 stunning full baths!   7,500 Sq Ft Lot, New roof, windows, plumbing, 200amp electrical, HVAC. Huge yard with outdoor deck for entertaining. Walking distance to Metra, Blue Line, 90/94 which all serve great access to downtown, burbs &amp; O'Hare airport. Close to Disney II</t>
  </si>
  <si>
    <t>Gas, Forced Air, Space Heater/s</t>
  </si>
  <si>
    <t>P. Julian Realtors Inc.</t>
  </si>
  <si>
    <t>(708) 714-3001</t>
  </si>
  <si>
    <t>Brian Passmore</t>
  </si>
  <si>
    <t>(312) 437-2808</t>
  </si>
  <si>
    <t>Call Marcelo at (312) 952-0088</t>
  </si>
  <si>
    <t>83rd street e or w to throop s to address</t>
  </si>
  <si>
    <t>33 X 124</t>
  </si>
  <si>
    <t>FHA APPROVED!!!Stunning rehab! Come show your buyers the American Dream! Everything new with custom tile and mosaic. Granite countertop and top of the line appliances. Awesome bar in the finished basement. This property will not disappoint - show with confidence.</t>
  </si>
  <si>
    <t>Manage Chicago, Inc.</t>
  </si>
  <si>
    <t>(773) 303-6728</t>
  </si>
  <si>
    <t>Chris Amatore</t>
  </si>
  <si>
    <t>(773) 569-7325</t>
  </si>
  <si>
    <t>Call Leon 773-708-7331 or Chris 773-569-7325</t>
  </si>
  <si>
    <t>FHA APPROVED!!!</t>
  </si>
  <si>
    <t>stoney Island to 83rd east to gated community  inside  gate go to back street to home</t>
  </si>
  <si>
    <t>HERITAGE PLACE</t>
  </si>
  <si>
    <t>SPACE TO ROAM1   Gated Community, huge kitchen, perfect for that large  family gathering. upstairs family room w/ gas fireplace  deck overlooking park, full basement waiting for your -personal touch. 3 baths sooooo much more.    THIS ONE WILL NOT LAST.3 full baths  4 bedrooms no snow to shovel,grass to cut,or basic cable to pay, no water to pay, all in the assessments.</t>
  </si>
  <si>
    <t>Park/Playground, Pool, Tennis Courts, Gated Entry, Sidewalks, Street Lights</t>
  </si>
  <si>
    <t>Oven/Range, Microwave, Refrigerator, Washer, Dryer, Disposal, All Stainless Steel Kitchen Appliances</t>
  </si>
  <si>
    <t>Water, Common Insurance, TV/Cable, Lawn Care, Scavenger, Snow Removal</t>
  </si>
  <si>
    <t>Vaulted/Cathedral Ceilings, Skylight(s), 1st Floor Bedroom, 1st Floor Full Bath</t>
  </si>
  <si>
    <t>Barbara Johnson</t>
  </si>
  <si>
    <t>(773) 933-1042</t>
  </si>
  <si>
    <t>LOLITA fENNER</t>
  </si>
  <si>
    <t>CC: Pursuant to Short Sale. nOT A FORECLOSURE, SELLER DOWNSIZING. THIS ONE  WILL NOT LAST LONG. unit 179  Gated community for code  call agent</t>
  </si>
  <si>
    <t>116th</t>
  </si>
  <si>
    <t>Halsted to 116th Street, East to Address</t>
  </si>
  <si>
    <t>DON'T MISS OUT! CHARMING BRICK SINGLE FAMILY HOME LOCATED ON A LOW TRAFFIC STREET, YET CLOSE ENOUGH TO THE FREEWAY ACCESS. DETACHED GARAGE, LOTS OF CURB APPEAL AND A LARGE YARD. POSSIBLE EXPANDED LIVING SPACE IN THE FULL BASEMENT. EXCELLENT FLOORPLAN WOULD MAKE THIS A ROOMY HOME OR HIGH DEMAND RENTAL. This is a Fannie Mae Homepath property. All measurements are estimates. Buyer to verify room size and use</t>
  </si>
  <si>
    <t>This property is now under auction terms. Presale bids should be submitted through www.auction.com. This property is subject to a 1% buyer premium pursuant to the Auction terms &amp; conditions. Minimums may apply.</t>
  </si>
  <si>
    <t>Fox Dr. or Rte. 71 to Pavillion Rd. to Highview Dr.</t>
  </si>
  <si>
    <t>PAVILLION HEIGHTS</t>
  </si>
  <si>
    <t>158X267X170X272</t>
  </si>
  <si>
    <t>Country quiet but only minutes from town. Spacious home w/4 bedrms, bonus rm, 3 baths on beautifully landscaped acre. Huge sun room with wall of windows overlooking yard with dozens of fruit trees. Stone patio with fire pit to enjoy the seasons. 1st-floor den/study. Full finished basement with 30x21 family room and rec area w/wet bar. Shop/storage area plus wine cellar.  Check the greenhouse &amp; large shed w/man cave</t>
  </si>
  <si>
    <t>Water-Softener Owned, TV-Dish, Security System, CO Detectors, Ceiling Fan, Sump Pump, Backup Sump Pump</t>
  </si>
  <si>
    <t>Bonus, Den, Sun/Florida Room</t>
  </si>
  <si>
    <t>Vinyl Siding, Stone, Clad Trim</t>
  </si>
  <si>
    <t>Patio, Porch, Greenhouse, Storage Shed, Brick Paver Patio</t>
  </si>
  <si>
    <t>See through/Multi Sided, Wood Burning Stove, Attached Fireplace Doors/Screen, Gas Logs, Gas Starter</t>
  </si>
  <si>
    <t>Don Wiley</t>
  </si>
  <si>
    <t>(815) 210-6021</t>
  </si>
  <si>
    <t>Need notice. Call listing agent at 815-210-6021</t>
  </si>
  <si>
    <t>Offer accepted, getting final initials.</t>
  </si>
  <si>
    <t>94th st to May north to address</t>
  </si>
  <si>
    <t>GREAT OPPORTUNITY TO OWN AN AFFORDABLE SINGLE FAMILY HOME IN THE RIVERDALE AREA. PROPERTY IS AVAILABLE FOR TRADITIONAL FHA FINANCING AND ELIGIBLE FOR 203K. FHA CASE #137-435953 SOLD AS-IS. "IE" REPAIR ESCROW $$1265. EQUAL HOUSING OPPORTUNITY.</t>
  </si>
  <si>
    <t>Showing Assists</t>
  </si>
  <si>
    <t>Evidence of possible mold.Go to www.HUDHOMESTORE.com for Instructions to submit offer.  Owner Occupants, Nonprofits and Government Agencies only until Sept 10, 2014.</t>
  </si>
  <si>
    <t>BLUEGRASS</t>
  </si>
  <si>
    <t>5TH TO BLUEGRASS E</t>
  </si>
  <si>
    <t>SILVER CHARM</t>
  </si>
  <si>
    <t>75 X 132</t>
  </si>
  <si>
    <t>Beautiful upgraded home in Churchill Club!!!  2 story entry way with dual staircases!  NEW Kitchen cabinets with granite countetops~Tile backsplash~SS appliances!!  Upgrades thru-out~porcelin tiles!  First floor features open layout with separate laundry room!  Upstairs features huge bedrooms with massive closets!  ***REGULAR SALE***  Walkout basement ready to be finished!!  Too much to list.  Come see for yourself~</t>
  </si>
  <si>
    <t>Clubhouse, Pool, Tennis Courts, Sidewalks, Street Lights, Street Paved</t>
  </si>
  <si>
    <t>Vaulted/Cathedral Ceilings, Bar-Dry, 1st Floor Laundry</t>
  </si>
  <si>
    <t>3%-$199 (on Net SP)</t>
  </si>
  <si>
    <t>Don't waste your client's time with short sales!  EM held by seller's attorney Edward Kusta. Please email questions or offers to asifsells@yahoo.com.  LA is related to seller.  NO sign at property.Great home!!</t>
  </si>
  <si>
    <t>Five Points</t>
  </si>
  <si>
    <t>Genoa Road or Glidden Road to Cherry Valley Road to Five Points Rd to home (Bridge out N of 72)</t>
  </si>
  <si>
    <t>158.25X190</t>
  </si>
  <si>
    <t>Looking for a 4 Bedroom, 2 Bath home on large country lot?  Here it is!!  Nice living space with a new large deck off dining room for outdoor entertaining.  Home has new well pump. Yard includes beautiful flower gardens and lots of shade trees.  Fully appliances with IMMEDIATE OCCUPANCY.  Home being sold "as is".</t>
  </si>
  <si>
    <t>Joline Latimer</t>
  </si>
  <si>
    <t>Call CSS at 877.977.1010</t>
  </si>
  <si>
    <t>Schoo</t>
  </si>
  <si>
    <t>Property being sold "as is".  Easy to Show.</t>
  </si>
  <si>
    <t>Hawley</t>
  </si>
  <si>
    <t>Rt. 38 to Rt. 31. South to Hawley. Turn left. Follow to the end.</t>
  </si>
  <si>
    <t>160X158XX158X148</t>
  </si>
  <si>
    <t>Incredible and Stunningly Beautiful! Tucked away on a private deadend street this Gorgeous all brick Georgian home awaits. Fabulous Foyer w/Marble floors, crystal chandelier &amp; double staircase. Amazing Kitchen w/tons of cabinets. First floor full bath! Hardwood floors &amp; extensive millwork throughout. Butlers pantry. Den features French doors &amp; box beamed ceiling. Full finished English basement w/wet bar &amp; fireplace!</t>
  </si>
  <si>
    <t>Oven-Double, Microwave, Dishwasher, Refrigerator, Refrigerator-Bar, Disposal, All Stainless Steel Kitchen Appliances</t>
  </si>
  <si>
    <t>Humidifier, Water-Softener Owned, Security System, Fire Sprinklers, CO Detectors, Ceiling Fan, Sump Pump, Radon Mitigation System(s)</t>
  </si>
  <si>
    <t>Den, Eating Area, Exercise Room, Foyer, Media Room, Recreation Room</t>
  </si>
  <si>
    <t>36X44</t>
  </si>
  <si>
    <t>Please call Showing Time @ 855-746-9200</t>
  </si>
  <si>
    <t>East on 79th St. S to 7948 S. Anthony</t>
  </si>
  <si>
    <t>This beautiful, recently rehabbed 4 bedroom, 3 bathroom brick bungalow has been upgraded and redone extensively. The gorgeous kitchen boasts stainless steel appliances, granite counters and upgraded cabinets. The second floor offers a jumbo master suite. The first floor boasts gleaming hardwood floors throughout, and the basement has been completely refinished. With a 2-car garage and great price, it's a must see!</t>
  </si>
  <si>
    <t>Email offers to offers@frankmontrohomes.com or fax to 708-479-3308. View our other 100+ rehabbed homes at frankmontrohomes.com</t>
  </si>
  <si>
    <t>4N468</t>
  </si>
  <si>
    <t>Robert Frost</t>
  </si>
  <si>
    <t>Rte 64 W to Fox Mill Blvd S to Carl Sandburg W to Robert Frost</t>
  </si>
  <si>
    <t>98X151X98X170</t>
  </si>
  <si>
    <t>3,500 sq ft Fox Mill home on quiet corner lot. Paver walkways, large deck, newer roof. 2-sty clgs, open floorplan, neut. decor, absolute mint! Gourmet eat-in kit. w/granite &amp; stainless, family room w/b-i benches w/storage. 2 fpls, 1st floor master suite w/spa bath! 3 bedrooms &amp; loft upstairs. Full fin. bmt w/full bath &amp; rec room. Ingrd sprinklers. Award-winning St Charles schools! Showstopper!</t>
  </si>
  <si>
    <t>Pool, Other</t>
  </si>
  <si>
    <t>35X28</t>
  </si>
  <si>
    <t>37W355</t>
  </si>
  <si>
    <t>MISSION HILLS</t>
  </si>
  <si>
    <t>RANDALL RD TO BOLCUM (W) TO CRANE (N) TO MISSION HILLS</t>
  </si>
  <si>
    <t>245X313X212X373</t>
  </si>
  <si>
    <t>Great floorplan with 4390 sq. ft. of space on 1.5+ acres - Kitchen open to Fam RM w/stone FP. 1st FLR Den/Office w/custom built-ins, exceptional trim package, spacious 1st FLR laundry. Spacious Master Suite with generous closet space plus, 2nd FLR Bonus room for media/sitting room. The English Lower Level has extensive windows for natural light, FP and is roughed in for a full bath. Call for 35 PG eBrochure.</t>
  </si>
  <si>
    <t>Bonus, Library</t>
  </si>
  <si>
    <t>Jay Rodgers, CIPS</t>
  </si>
  <si>
    <t>(630) 377-1400</t>
  </si>
  <si>
    <t>Call 855-746-9093.</t>
  </si>
  <si>
    <t>7N544</t>
  </si>
  <si>
    <t>Randall Rd to Silver Glen Rd W to Falcons Trail to Cloverfield Cir to Home.</t>
  </si>
  <si>
    <t>Cranston Meadows</t>
  </si>
  <si>
    <t>156X325X218X305</t>
  </si>
  <si>
    <t>Country living at it's best! Wonderful home on over an acre, beautifully landscaped with large deck in rear great for summer entertaining! New Tiger Wood flrs. in foyer, dining rm., powder rm., and kitchen! Large kitchen with granite counters, island, pantry, planning desk and more! Master bedroom with brick fireplace and luxury master bath! Huge second floor bonus room, 3 full baths!Newer cent-air, roof &amp; furnace!!</t>
  </si>
  <si>
    <t>Stream, Rear of Lot</t>
  </si>
  <si>
    <t>Humidifier, Water-Softener Rented, Central Vacuum, TV-Cable, TV-Dish, CO Detectors, Ceiling Fan, Fan-Whole House, Sump Pump</t>
  </si>
  <si>
    <t>Call Showing Time 1-855-746-9100/Must Confirm</t>
  </si>
  <si>
    <t>GILLENWATER</t>
  </si>
  <si>
    <t>KIRK TO WIND ENERGY W TO GILLENWATER S TO HOME</t>
  </si>
  <si>
    <t>Kirkland Chase</t>
  </si>
  <si>
    <t>100X130X110X132</t>
  </si>
  <si>
    <t>Luxurious east side Batavia home. New 1st level Hdwd flrs &amp; staircase with iron balusters. Formal LR &amp; DR with tray clngs. Large kit w/maple cabs &amp; eating area, granite counters &amp; ss appls. Soaring 2 story FR w/custom FP. New carpet throughout 2nd floor. Dbl doors to master suite w/large wic &amp; luxe bath w/oversized shower, clawfoot tub, &amp; his &amp; hers vanities. Fenced backyard w/brick paver patio backs to open space</t>
  </si>
  <si>
    <t>Separate Shower, Double Sink, Bidet</t>
  </si>
  <si>
    <t>Humidifier, Ceiling Fan, Sump Pump, Sprinkler-Lawn, Backup Sump Pump</t>
  </si>
  <si>
    <t>6X13</t>
  </si>
  <si>
    <t>(630) 718-0424</t>
  </si>
  <si>
    <t>Steve Hequembourg</t>
  </si>
  <si>
    <t>(630) 886-6105</t>
  </si>
  <si>
    <t>Call Listing Agent (630-886-6105). Easy to show, short notice ok. Sentrilock.</t>
  </si>
  <si>
    <t>Brand new hardwood floors, staircase &amp; carpeting installed Aug. 2014. Great location backing to open space.  Quick close possible. Original offer fell through prior to inspection due to 1st time home buyer remorse. NEWLY STAGED THROUGHOUT!</t>
  </si>
  <si>
    <t>Pulaski Rd to 61st St. East to address</t>
  </si>
  <si>
    <t>This is the one your clients have been looking for. It is ready to move in. This is a Retail sale so we can close quickly.</t>
  </si>
  <si>
    <t>Please use "Schedule A Showing", click below</t>
  </si>
  <si>
    <t>Please make sure doors are locked.</t>
  </si>
  <si>
    <t>Western to 91st East to Claremont Ave, South to Address</t>
  </si>
  <si>
    <t>120X44</t>
  </si>
  <si>
    <t>INCREDIBLE CUSTOM BRICK RANCH IN EXCLUSIVE NORTH BEVERLY NESTLED ON CULD DE SAC CORNER LOT. TOTAL RENOVATION INCLUDING ROOF, WINDOWS, &amp; PLUMBING. NEW GOURMET EAT-IN KITCHEN W/ PORCELAIN FLOORS, MAPLE CABINETS W/ GRANITE TOPS. CUSTOM SS APPLIANCES, BRICK BAR, &amp; 3 NEW CUSTOM BATHS W/ CUSTOM SINKS. HUGE FORMAL LIVING &amp; DINING ROOM. NEWLY PAINTED THROUGHOUT. GRANITE FIRE PLACE W/ WET BAR. LOTS OF STORAGE, SPRINKLERS.</t>
  </si>
  <si>
    <t>TV-Cable, Security System, CO Detectors, Ceiling Fan, Sprinkler-Lawn</t>
  </si>
  <si>
    <t>Bar, Bonus, Recreation Room, Storage, Utility Room-Lower Level</t>
  </si>
  <si>
    <t>28X27</t>
  </si>
  <si>
    <t>Royal Ashdown</t>
  </si>
  <si>
    <t>Kirk Rd to Royal Fox to Royal Ashdown to property</t>
  </si>
  <si>
    <t>95X130</t>
  </si>
  <si>
    <t>Tons of space! Come see this home with 4 bedrooms, full unfinished basement and large lot tucked in the Royal Fox subdivision. Large kitchen. Vaulted ceilings. Family room has fireplace. 3 car attached garage. Dual staircases to basement and upper floor. Beautiful deck. Sold as is and subject to auction terms, to be sold during an on-line marketing event beginning 2/21 through 2/27. See agent remarks.</t>
  </si>
  <si>
    <t>1% ON NET SP (on Net SP)</t>
  </si>
  <si>
    <t>To be featured in an upcoming online auction via homesearch.com. subject to a 5% buyerâ€™s premium pursuant to the Event Agreement and T&amp;C. (minimums will apply). Greenlight Loans pre-qual 866-250-7143 req. at time of offer submission to LA</t>
  </si>
  <si>
    <t>Bellevue</t>
  </si>
  <si>
    <t>One block north of Oak between Rush and Lake Shore Drive</t>
  </si>
  <si>
    <t>129.3 X 22</t>
  </si>
  <si>
    <t>2.0%-295 (on Net SP)</t>
  </si>
  <si>
    <t>Chicagoland Realty Services LLC</t>
  </si>
  <si>
    <t>(312) 733-1300</t>
  </si>
  <si>
    <t>Joseph Alfe</t>
  </si>
  <si>
    <t>(312) 437-0290</t>
  </si>
  <si>
    <t>CC: Pursuant to Short Sale. No showings, as-is. Partially gutted interior. Short sale with special agreements and addendum's.</t>
  </si>
  <si>
    <t>Edinburgh</t>
  </si>
  <si>
    <t>Rt 72 to Tartans Glen, north to Edinburgh, east to home</t>
  </si>
  <si>
    <t>TARTANS GLEN</t>
  </si>
  <si>
    <t>DANBURY</t>
  </si>
  <si>
    <t>25X112X159X52X155X24</t>
  </si>
  <si>
    <t>Lg 4 BR with light and bright sun room &amp; 3 car garage! Lg custom deck.  Great curb appeal on cul de sac. Beautifully landscaped yard backs to open farmland. New in 2013- Siding, &amp; gutters.  New in 2012- Roof &amp; furnace. Hot tub in sun room has ozinator &amp; room features exhaust fans. Lg MBR with vaulted ceiling and walk in.  Stereo system t/o home.  Custom mirrors in DR and artist designed stained glass on front door.</t>
  </si>
  <si>
    <t>Vaulted/Cathedral Ceilings, Skylight(s), Hot Tub</t>
  </si>
  <si>
    <t>(847) 991-5100</t>
  </si>
  <si>
    <t>Lee Bialek</t>
  </si>
  <si>
    <t>(847) 348-1232</t>
  </si>
  <si>
    <t>847-508-8467 cell</t>
  </si>
  <si>
    <t>847-991-5100</t>
  </si>
  <si>
    <t>Home is priced to reflect replacing skylights &amp; windows, great location &amp; yard, rare sun room adds a lot to home</t>
  </si>
  <si>
    <t>8N431</t>
  </si>
  <si>
    <t>Sunny Hill</t>
  </si>
  <si>
    <t>Randall to McDonald West to Kendall North to Tall Pines West to Sunny Hill to home</t>
  </si>
  <si>
    <t>70X302X157X212X230</t>
  </si>
  <si>
    <t>Exquisite brick home boasting an incredibly beautiful setting! Grand 2 story foyer! Expansive kitchen w/granite counters, center island &amp; eating area w/stunning views!  FR w/brick surround gas FP. Private den w/French door. Master suite featuring an ultra luxurious bath. English bsmt w/brick bar, game &amp; rec. rm. Flagstone path to fire pit &amp; sprawling brick paver patio. Custom window treatments! Beautiful condition!</t>
  </si>
  <si>
    <t>Cul-de-sac, Irregular, Landscaped Professionally, Wooded</t>
  </si>
  <si>
    <t>Humidifier, Water-Softener Rented, Security System, Intercom, CO Detectors, Ceiling Fan, Sump Pump, Backup Sump Pump</t>
  </si>
  <si>
    <t>Den, Eating Area, Foyer, Game Room, Recreation Room</t>
  </si>
  <si>
    <t>Call Shwoingtime at 855-746-9093. 12 hours notice required.</t>
  </si>
  <si>
    <t>Meticulously maintained, one owner home! NEW roof, complete tear off, 2009. NEW sump pump &amp; backup sump pump 2014. NEW AC/furnace in 2012. 10 NEW trees planted. Too many upgrades to mention. Call this one home!</t>
  </si>
  <si>
    <t>WRIGHTWOOD TO RIDGEWAY, NORTH TO ADDRESS</t>
  </si>
  <si>
    <t>Gut Rehab in the Heart Of Logan Square. Home features large master suite with 3 total bedrooms on the second floor including laundry. Versatile Floor Plan on main floor with chef's kitchen featuring Bamboo Cabinets Samsung Energy Star Appliances as well as Quartz Countertops.  Full finished basement for additional living. Brand new garage and spacious deck and back yard.</t>
  </si>
  <si>
    <t>Email Listing Agent</t>
  </si>
  <si>
    <t>Owner or Frecord</t>
  </si>
  <si>
    <t>Open House from 12-2 on September 6th, 2014.  Please email listing agent for all showing requests.</t>
  </si>
  <si>
    <t>Schubert ave west to Newcastle north to 2754</t>
  </si>
  <si>
    <t>Largest home on the block.  priced below market. Diamond in the ruff. 2 bedroom home with 2 bedroom in-law on 2nd floor and an unfinished basement.</t>
  </si>
  <si>
    <t>2.5 %-150 (on Gross SP)</t>
  </si>
  <si>
    <t>Ziggy Realty and Builders</t>
  </si>
  <si>
    <t>(773) 545-4400</t>
  </si>
  <si>
    <t>Carlos Saldana</t>
  </si>
  <si>
    <t>Call  Chuck @ (773) 203-1423</t>
  </si>
  <si>
    <t>showing on weekends</t>
  </si>
  <si>
    <t>north on Dan Ryan to 76th St, right turn on 76th St right turn on Wabash</t>
  </si>
  <si>
    <t>This beautiful, recently rehabbed 4 bedroom, 3 bathroom brick bungalow is brimming with special features and brand new additions. The gorgeous kitchen boasts stainless steel appliances and granite counters. The second floor offers a luxurious master suite. With a finished basement, a garage, and so much more, it's a must see.</t>
  </si>
  <si>
    <t>59th street to Kenneth south to property</t>
  </si>
  <si>
    <t>THIS 4 BED/ 3 BATH BRICK HOME FEATURES WAINSCOTING, CAN LIGHTING, GRANITE COUNTER-TOPS, STAINLESS STEEL APPLIANCES, NEW CABINETS, FRESH MODERN BATHS, AND A FINISHED BASEMENT ARE JUST SOME OF THE LUXURIES.</t>
  </si>
  <si>
    <t>Microwave, Dishwasher, Refrigerator, Washer, Dryer, All Stainless Steel Kitchen Appliances</t>
  </si>
  <si>
    <t>Humidifier, TV Antenna</t>
  </si>
  <si>
    <t>*Secure Showing Assist Instructions:</t>
  </si>
  <si>
    <t>GREAT DEAL, BRING YOUR OFFERS TODAY.</t>
  </si>
  <si>
    <t>GRAPE VINE</t>
  </si>
  <si>
    <t>Rt 30 - Orchard South - Tuscany West to Grape Vine South</t>
  </si>
  <si>
    <t>BLACKBERRY KNOLL</t>
  </si>
  <si>
    <t>61X110</t>
  </si>
  <si>
    <t>IN FANTASTIC NEIGHBORHOOD.  HIGHLY UPGRADED HOME WITH ATENTION TO DETAIL IN EVERY ROOM  4BEDROOM/2.5 BATH, 2 CAR GARAGE, UN-FINISHED BASEMENT, 9FT CEILINGS, 42 IN CABS, MASSIVE W/D ROOM, PRVTE YARD BACKING UP TO FIELD, CUSTOM PAINT, DESIGNER WINDOW TREATMENTS, ENLARGED KITCHEN WITH ROOM FOR EATING TABLE AND WORK STATION.  LARGE MASTER WITH VAULTED CEILINGS.</t>
  </si>
  <si>
    <t>Michael Gentile</t>
  </si>
  <si>
    <t>(773) 255-9815</t>
  </si>
  <si>
    <t>mgentile@atproperties.com</t>
  </si>
  <si>
    <t>CC: Pursuant to Short Sale. PLEASE ALLOW 3-4 MONTHS TO CLOSE.WORKING WITH A DEDICATED ATTORNEY TO SECURE CLOSE.CC subject to lender approval. Any lender commission reduction will be shared equally between listing broker and coop broker.</t>
  </si>
  <si>
    <t>Austin to Fillmore left on Monitor to home</t>
  </si>
  <si>
    <t>This is a great, 4-bedroom, 2 bathroom home in good condition! Enter into a large LR/DR area just a few steps away from a nicely-sized kitchen. Enjoy two (2) bathrooms too! All bedrooms are spacious with ample closet space. Close to schools, shopping and transportation. This is a quiet neighborhood!  A must see. A 10! Show and sell.</t>
  </si>
  <si>
    <t>Keller Williams Realty Ptnr,LL</t>
  </si>
  <si>
    <t>Peter Drossos</t>
  </si>
  <si>
    <t>(773) 593-5626</t>
  </si>
  <si>
    <t>Click below on "Schedule a Showing."</t>
  </si>
  <si>
    <t>All offers must be made using the HomePath Online Offer system at www.HomePath.com; all forms are on-line.  Call 1-866-218-4446 for help. Questions?  Email or text.  Transfer stamps are a buyer charge.</t>
  </si>
  <si>
    <t>DEVON TO NEWARK, EAST ON IMLAY TO NEW ENGLAND</t>
  </si>
  <si>
    <t>BEAUTIFUL NORWOOD PARK RE-CONSTRUCTION WITH NO EXPENSE SPARED!  SPACIOUS OPEN VERSATILE FLOOR PLAN IS AN ENTERTAINERS DREAM!    CHEFS KITCHEN, NEWLY FINISHED LOWER LEVEL FOR ADDITIONAL LIVING SPACE, AND AN ABUNDANCE OF CLOSETS AND STORAGE GALORE.  HIGHLY RATED SCHOOLS AND CLOSE TO EVERYTHING LOCATION, MAKE THIS THE PERFECT FAMILY HOME.</t>
  </si>
  <si>
    <t>Mary Robbins</t>
  </si>
  <si>
    <t>(773) 851-4500</t>
  </si>
  <si>
    <t>EMAIL:  MARY. ROBBINS@BAIRDWARNER.COM</t>
  </si>
  <si>
    <t>Denver</t>
  </si>
  <si>
    <t>Lake Marian Rd to Tulsa Ave to Denver Dr or Kings Road to Tulsa Ave to Denver Dr</t>
  </si>
  <si>
    <t>WOW, A Carpentersville bi-level with additional square footage for the larger kitchen/dining, 2 family rooms, 2 full baths and very large 2 car garage on a double lot.  Check out home and lot square footage.  NEW carpet, paint, blinds, appliances, flooring and garage doors.</t>
  </si>
  <si>
    <t>Vaulted/Cathedral Ceilings, Wood Laminate Floors, 1st Floor Full Bath</t>
  </si>
  <si>
    <t>Russ Morehead</t>
  </si>
  <si>
    <t>(847) 826-2355</t>
  </si>
  <si>
    <t>Fax 816-222-0784</t>
  </si>
  <si>
    <t>First American Bank</t>
  </si>
  <si>
    <t>A very nice home with 2 lots, 2 pin numbers 2 full bathrooms and a 2 car garage. Additional Pin #03-11-481-007</t>
  </si>
  <si>
    <t>Kateland</t>
  </si>
  <si>
    <t>Randall Rd to Thornwood Ave, left Thornwood Dr, right on Waterside, left on Kateland</t>
  </si>
  <si>
    <t>Large open floor plan in this almost 4000 sq ft home in Thornwood pool/clubhouse community &amp; St Charles school district. Dramatic open plan perfect for entertaining w/ 2 story entry and family room w/ beautiful 2 sided stone fireplace. First floor den/5th bedroom and newly updated full bath. New Karastan carpet 1st floor. Custom Hunter Douglas window treatments. Dual zoned heat/air. Spacious brick paver patio.</t>
  </si>
  <si>
    <t>Ravenswood</t>
  </si>
  <si>
    <t>Addison To Ravenswood. Head North to Property.</t>
  </si>
  <si>
    <t>25 X 110</t>
  </si>
  <si>
    <t>Light-Filled 4 Bed/3.1 Bath SFH in the Heart of Lakeview. Updated Kitchen Features Maple Cabinets, SS Appl, Granite Counters, Large Island,  Built-In Desk &amp; Eating Area. Spacious Living/Dining Rm w/ Gas FP. Large Family Rm Includes Wet Bar &amp; Gas FP. Master Suite Boasts Vaulted Ceilings, PRVT Deck, &amp; Bath w/ Dbl Sinks, Whirlpool, Sep. Shower &amp; Skylight. Generous Deck off Kitchen Plus HUGE Garage Roof Deck. 2 Car Garag</t>
  </si>
  <si>
    <t>Deck, Foyer, Pantry, Terrace, Utility Room-Lower Level, Walk In Closet</t>
  </si>
  <si>
    <t>To Schedule A Showing TEXT Grahm 312-694-3750. 24 Hours Notice.</t>
  </si>
  <si>
    <t>BERWYN</t>
  </si>
  <si>
    <t>Foster to Wolcott (1900 W.) North to 2nd street, Berwyn, East to 1815.</t>
  </si>
  <si>
    <t>25'X 126'</t>
  </si>
  <si>
    <t>Brand new inside &amp; out close to Andersonville &amp; Lincoln Square. Total gut rehab w/multi-story addition. Featuring quality finishes throughout, generous kitchen with large breakfast bar, high end appliances open to large family room, huge laundry room, hardwood floors 1st &amp; 2nd levels, master w/3 closets, soaking tub, lower level w/rec. room, 4th BR &amp; abundant storage.  Large deck &amp; garage. Plans under additional info</t>
  </si>
  <si>
    <t>Deck, Recreation Room, Utility Room-Lower Level</t>
  </si>
  <si>
    <t>This is a quality home with wonderful finishes.</t>
  </si>
  <si>
    <t>Harlem to Gunnison, East to Neva - corner house on the left.</t>
  </si>
  <si>
    <t>BIG OAKS</t>
  </si>
  <si>
    <t>125 X 40</t>
  </si>
  <si>
    <t>Move In Ready 4 BR 2-1/2 BA Raised Brick Ranch in Chicago-Norwood Park! 2 levels of living space &amp; great outdoors for extended family. 1st FL has real hrdwd flrs, master BR bath, eat-in kitchen &amp; screened porch leading to huge wrap around deck. Fin high ceiling bsmt, large FR, 4th BR-office, wet bar, cedar-brick walls, wired surround soundâ€¦ Lots of storage &amp; closet space, overhead sewer, new sump pump-ejector &amp; roof!</t>
  </si>
  <si>
    <t>TV-Cable, Security System, Ceiling Fan, Sump Pump, Sprinkler-Lawn, Backup Sump Pump</t>
  </si>
  <si>
    <t>Bar, Enclosed Porch</t>
  </si>
  <si>
    <t>Textting Accepted</t>
  </si>
  <si>
    <t>Use showing assistant - easy to show</t>
  </si>
  <si>
    <t>Regular Sale you can close quickly! Affordable house in nice location, 2 separate security alarm systems on house and garage. New sump pump and ejector - 2014, newer tear off roof - 2010. Motivated seller, disclosures on line, offer by e-m</t>
  </si>
  <si>
    <t>Sunnyside</t>
  </si>
  <si>
    <t>Central Avenue north of Montrose to Sunnyside west.</t>
  </si>
  <si>
    <t>37.5 X 115</t>
  </si>
  <si>
    <t>Spacious well-maintained Portage Park all brick two story on quiet street.  Gleaming hardwood through out first floor.  Large updated kitchen with island &amp; eating area.  First floor full bath and bedroom/den. French doors lead to beautiful composite deck.  Upstairs has three bedrooms and a full bathroom.  Finished basement with wet bar, surround sound speakers, and a full bath. 2.5 car heated garage w/side drive.</t>
  </si>
  <si>
    <t>(847) 359-4600</t>
  </si>
  <si>
    <t>David Weiner</t>
  </si>
  <si>
    <t>224-456-4838</t>
  </si>
  <si>
    <t>Call Showing Desk 888-362-3222.  No lockbox, owner will provide access after appt. is confirmed</t>
  </si>
  <si>
    <t>Many upgrades.  Two separate forced air systems and separate hot water heat for basement Rec Room.  Inground sprinkler system for the front yard.  Full kitchen in Rec Room</t>
  </si>
  <si>
    <t>Avenue E</t>
  </si>
  <si>
    <t>110th St.  to Avenue  E  go north to property</t>
  </si>
  <si>
    <t>BACK-ON-MARKET.. BUYER DIDN'T QUALIFY. BEAUTIFULLY APPOINTED CUSTOM BUILT QUAD LEVEL HM. VERY SPACIOUS RM SIZES. HOME FEATURES: 4-BDRMS, 2-BTHS, WHIRLPOOL TUB, SKYLITES, CATHEDRAL CEILINGS, FAMILY RM.WTH FIRPLC. LOVELY KITHN WTH ALL APPLIANCES. LOCATED ON A CUL-DE-SAC STREET. FENCED YARD, WROUGHT IRON GATE. CONCRETE SIDE DRIVE. ROUGHED-IN BATH LOWER LEVEL. HUGE CONCRETE CRWL FOR STRG. OWNER OFFERING HOME WARRANTY.</t>
  </si>
  <si>
    <t>Unfinished, Crawl, Sub-Basement</t>
  </si>
  <si>
    <t>Vaulted/Cathedral Ceilings, Skylight(s), Wood Laminate Floors, In-Law Arrangement</t>
  </si>
  <si>
    <t>Cookie Zeleznik</t>
  </si>
  <si>
    <t>(708) 334-4157</t>
  </si>
  <si>
    <t>708-334-4157</t>
  </si>
  <si>
    <t>CALL LISTING OFFICE 708-889-2600 OR 219-865-9911</t>
  </si>
  <si>
    <t>SHOW GREAT, VERY WELL KEPT HOME.</t>
  </si>
  <si>
    <t>9n044</t>
  </si>
  <si>
    <t>Oak Bluff</t>
  </si>
  <si>
    <t>Randall Road to Bowes Rd west to Crawford rd south to Lenz west to Oak Bluff north to house on left.</t>
  </si>
  <si>
    <t>163X333X129X329</t>
  </si>
  <si>
    <t>Beautiful country living on a huge piece of land almost 2 acres. This 4 bedroom, 3 full bathroom Ranch has a full finished basement and a 3 car attached garage. It also has a separate 2 car garage and workshop with an extra driveway for tons of parking. This house needs a little TLC and new carpeting throughout the entire house. But it has a new roof and new Pella windows But  some work needs to be finished off.</t>
  </si>
  <si>
    <t>Deck, Game Room, Recreation Room</t>
  </si>
  <si>
    <t>Craig Roe, BPOR,SFR</t>
  </si>
  <si>
    <t>(847) 287-8742</t>
  </si>
  <si>
    <t>Please use Showing Assist or text LA at 847-287-8742</t>
  </si>
  <si>
    <t>CC: Pursuant to Short Sale. "AS IS" Sale. Any lender imposed comm reduction will be split 50/50 btw Brokers. Earnest Money, Attorney review &amp; Home Insp. to be done within 5 bus. days of SELLER acceptance. Earnest money held by Sellers attorney. See Additional Info</t>
  </si>
  <si>
    <t>Damen, South of Armitage to Churchill, West to 2122</t>
  </si>
  <si>
    <t>Best location Bucktown has to offer.  Steps to Damen shopping and restaurants, parks, Blue Line.  Great house with everything you could ask for-outdoor space, spacious living/dining area to entertain, enormous lower level with 4th bedroom/full bath.  3 beds up, large master suite, lots of natural light.  Two car garage with extra room for storage.</t>
  </si>
  <si>
    <t>17X32</t>
  </si>
  <si>
    <t>Balcony, Deck, Patio</t>
  </si>
  <si>
    <t>312.479.4848</t>
  </si>
  <si>
    <t>email kbishop@atproperties.com</t>
  </si>
  <si>
    <t>Conifer</t>
  </si>
  <si>
    <t>3% LESS BASE SALES PRICE (on Net SP)</t>
  </si>
  <si>
    <t>one block south and three blocks west of the intersection of Harlem ave. and Foster Ave.</t>
  </si>
  <si>
    <t>Move right in! Spacious 4 bedroom two bath home. Maine South School District! First floor has open layout, hardwood floors, formal dining rm, living rm with gas fireplace, &amp; updated kitchen opens to bright family room. Kitchen has maple cabinets, island, granite counter tops &amp; ss appliances. Both baths recently updated, one with claw foot spa tub! Two car garage &amp; fenced back yard. Close to transportation &amp; shopping!</t>
  </si>
  <si>
    <t>(847) 491-1855</t>
  </si>
  <si>
    <t>Jessa Strasse</t>
  </si>
  <si>
    <t>Call Showing Time 855-746-9200, 24 hr notice</t>
  </si>
  <si>
    <t>Owners willing to sell dining room table for $500 (original retail price ~$1200). Mirror in first floor bathroom, curtains in family room, and hanging system in garage are not included.</t>
  </si>
  <si>
    <t>Wessex</t>
  </si>
  <si>
    <t>Rt 72(E) of Randall(W) of Rt31 to Carrington(S) to Wessex(W)</t>
  </si>
  <si>
    <t>GOLDING</t>
  </si>
  <si>
    <t>83X122X44X117</t>
  </si>
  <si>
    <t>Rare 2 story. 1st floor master suite w/walk in closet,ultra bath&amp;whirlpool tub. 9ft ceilings. Hardwood floors in foyer, library, fmly rm, kit &amp; sun rm. Kit w/all SS appliances &amp; granite counters. Bsmt w/kit area, bar, entertainment area, surround sound, 1/2 ba, 2 storage areas, built-in book cases &amp; 4th bdrm. Deck &amp; paver brick patio overlooking nature preserve. Neighborhood of 87 homes, open spaces &amp; walking trails.</t>
  </si>
  <si>
    <t>Oven/Range, Microwave, Dishwasher, Refrigerator, Refrigerator-Bar, Disposal, All Stainless Steel Kitchen Appliances</t>
  </si>
  <si>
    <t>TV-Cable, Security System, CO Detectors, Ceiling Fan, Sump Pump, Sprinkler-Lawn, Radon Mitigation System(s)</t>
  </si>
  <si>
    <t>Eating Area, Foyer, Library, Sun/Florida Room</t>
  </si>
  <si>
    <t>Ginner McGraw</t>
  </si>
  <si>
    <t>(847) 217-2453</t>
  </si>
  <si>
    <t>efax 323 230-4273</t>
  </si>
  <si>
    <t>847 524-4444</t>
  </si>
  <si>
    <t>Call 855 746-9100</t>
  </si>
  <si>
    <t>$20,000 price reduction. Disclosures and floor plans in Additional fields. Feature sheet in home.</t>
  </si>
  <si>
    <t>Oltendorf</t>
  </si>
  <si>
    <t>Schaumburg East of Bartlett to Oltendorf Rd to house</t>
  </si>
  <si>
    <t>90 X 90</t>
  </si>
  <si>
    <t>Reqular sale. Not a foreclosure or short sale. Recently updated home. Large ranch home featuring four bedrooms and 1.5 baths. New roof, new siding, new carpeting and freshly painted.</t>
  </si>
  <si>
    <t>Julian Mendoza</t>
  </si>
  <si>
    <t>(847) 204-6600</t>
  </si>
  <si>
    <t>Julio Mendoza</t>
  </si>
  <si>
    <t>Rebecca Reth</t>
  </si>
  <si>
    <t>Owner will respond promptly to offers. Easy to Show. Quick closing welcome.</t>
  </si>
  <si>
    <t>LAUGHTON</t>
  </si>
  <si>
    <t>RT 34 TO HWY 71 SW TO MINKLER RD SOUTH TO HUNT CLUB DR-TO LAUGHTON</t>
  </si>
  <si>
    <t>HURRY-THIS FULLY LOADED MODEL HOME IS NOW FOR SALE-UPGRADES GALORE! 2ND FL BONUS RM &amp; 3 CAR GARAGE-MASTER HAS 2 LGE WALK IN CLOSETS &amp; PRIVATE LUX BATH-FULL DEEP POUR LOOKOUT BSMNT-2ND FL LDRY RM-GOURMET KIT W SS APPLIANCES &amp; GRANITE-POOL &amp; CLUBHOUSE COMM W/SCHOOL ON SITE-LAST HOME AVAILABLE IN HUNT CLUB-PRICE REFLECTS  PROMO WHEN USING KHAM LENDER-PRICES &amp; PROMOS SUBJECT TO CHANGE WITHOUT NOTICE</t>
  </si>
  <si>
    <t>3% OF BASE-200 +2000 (on Net SP)</t>
  </si>
  <si>
    <t>Robin Pietrini</t>
  </si>
  <si>
    <t>(630) 854-5913</t>
  </si>
  <si>
    <t>630-854-5913</t>
  </si>
  <si>
    <t>630-466-4733</t>
  </si>
  <si>
    <t>Call Robin 630-854-5913</t>
  </si>
  <si>
    <t>K HOVANIAN</t>
  </si>
  <si>
    <t>NOTE: COMMISSION IS PAID ON BASE PRICE WHICH IS 253,495 NOT SALE PRICE! PRICE REFLECTS 30K PROMOTION MUST USE KHAM LENDER TO RECEIVE -BUILDERS CONTRACT WILL BE USED-CALL VERONICA 630-466-4733 FOR APPT TO WRITE CONTRACT</t>
  </si>
  <si>
    <t>IVY</t>
  </si>
  <si>
    <t>RT 30 TO GORDON N TO SIMPSON W TO IVY TO CUL-DE-SAC</t>
  </si>
  <si>
    <t>Fairfield Way</t>
  </si>
  <si>
    <t>Beautiful four bedroom 2.5 bath home.  Large living room/DR combo, Separate Family room, eat in kitchen and spacious bedrooms.  Home has been repaired with flooring, paint and more.  Large yard for entertaining.This is a Fannie Mae HomePath property.</t>
  </si>
  <si>
    <t>The seller has directed that all offers on this listing be made using the HomePath Online Offer System @ the HomePath.com website. NO PERSONAL PROPERTY INCL. EM MUST BE CERTIFIED FUNDS (10% for cash). Download from drop down box all forms</t>
  </si>
  <si>
    <t>Cicero to Lawrence to Menard to Leland to #</t>
  </si>
  <si>
    <t>45X83</t>
  </si>
  <si>
    <t>Newly painted and refinished floors since listed,central air and fenced yard next to the school and park!Brick, great location, see the park from the kitchen window!Basement steps lead to back yard. 2 car side entry garage with patio area for entertaining. Best value in this lovable neighborhood. Walk to stores, quick access to transportation, schools, parks, recreation. Brisk showings, hurry! shows easily, call now!</t>
  </si>
  <si>
    <t>Corner, Fenced Yard, Park Adjacent</t>
  </si>
  <si>
    <t>2.5%-225 (on Net SP)</t>
  </si>
  <si>
    <t>(847) 362-7300</t>
  </si>
  <si>
    <t>Renee O'Brien</t>
  </si>
  <si>
    <t>(847) 687-1954</t>
  </si>
  <si>
    <t>call showing time or click link  855-746-9200</t>
  </si>
  <si>
    <t>Please turn off lights and LOCK CAREFULLY!</t>
  </si>
  <si>
    <t>WESTERN TO HURON W TO 2556 W HURON</t>
  </si>
  <si>
    <t>PURSUANT TO SHORT SALE  SHOWINGS ON WEEKEND ONLY,   PLEASE ALLOW 24 HOURS TO CONFIRM</t>
  </si>
  <si>
    <t>33X19</t>
  </si>
  <si>
    <t>2.5% -$500.00 (on Gross SP)</t>
  </si>
  <si>
    <t>Elite Real Estate and Mgmt Co.</t>
  </si>
  <si>
    <t>(847) 292-6040</t>
  </si>
  <si>
    <t>Oksana Prus</t>
  </si>
  <si>
    <t>(773) 744-1540</t>
  </si>
  <si>
    <t>Call or Text LA at 773-744-1540</t>
  </si>
  <si>
    <t>ORCHARD RD TO GALENA RD WEST TO CONCORD DRIVE</t>
  </si>
  <si>
    <t>Blackberry Knoll</t>
  </si>
  <si>
    <t>WHITE PINE</t>
  </si>
  <si>
    <t>Wanskuck</t>
  </si>
  <si>
    <t>RANDALL 2 RT 20 W2 NESLER S2 GANSETT E2 PAWTUCKET S2 WANSKUCK 2 HOME</t>
  </si>
  <si>
    <t>Remington at Providence</t>
  </si>
  <si>
    <t>OPPORTUNITY KNOCKS! CVRD FRNT PORCH-GREAT 4 SUMMER NITES! LRG LR W/GAS FP, HDWD FLRS &amp; CLNG FAN! CSTM KTCHN W/BRKFST BAR, SS APPLS, GRANITE C-TOPS, STAGGERED CABS, BUTLER BAR &amp; SLDR 2 DECK! FRLM DR W/ARCHED ENTRY! 1ST FLR DEN W/DBL FRNCH DR ENTRY &amp; REC LIGHTS! SPAC MBDRM W/TRAY CLNG &amp; PRVT GARDEN BTH W/WHIRLPOOL TUB, DBL SINKS, TILE FLR &amp; HUGE WIC! FIN WLKOUT BSMNT W/REC LIGHTS &amp; WALL NICHE!</t>
  </si>
  <si>
    <t>38X18</t>
  </si>
  <si>
    <t>Bonus, Variable</t>
  </si>
  <si>
    <t>GRAPHIC PACKAGING INTERNATIONAL</t>
  </si>
  <si>
    <t>RELO ADDENDUMS TO FOLLOW ACCEPTED OFFER</t>
  </si>
  <si>
    <t>POMPTON</t>
  </si>
  <si>
    <t>AUBURN</t>
  </si>
  <si>
    <t>10000 SFT</t>
  </si>
  <si>
    <t>3% BASE SALES PRICE (on Net SP)</t>
  </si>
  <si>
    <t>Winrock</t>
  </si>
  <si>
    <t>Douglas 2 Ferndale 2 Winrock</t>
  </si>
  <si>
    <t>5,715 SQ FT.</t>
  </si>
  <si>
    <t>Cozy 4 bedroom ranch home in Boulder Hill subdivision.  Property has been freshly painted and new carpeting installed throughout.  Property features Open kitchen with table space, SGD to back yard, Spacious living room, fenced in yard, and a 1 car attached garage.  This is a Fannie Mae HomePath Property.</t>
  </si>
  <si>
    <t>TAXES 100%, SUBMIT OFFERS TO WWW.HOMEPATH.COM.</t>
  </si>
  <si>
    <t>Wabansia to Claremont. Claremont one way going south</t>
  </si>
  <si>
    <t>Extra wide brick Victorian Row house in Bucktown, 4br/3.5ba, over 3400 sqft newly renovated, 1st flr is open flr plan for modern living while still retaining all the vintage charm:oak hrdwd flrs thruout, 42â€_x009d_cherry kit, custom quartz countrs, SS appls, 3br on 1 level, huge mstr ste w/enormous closet &amp; sep sitting rm, theater room, 2 large decks &amp; newly finished unilock patio, all new wndow, detached 2 car gar.</t>
  </si>
  <si>
    <t>Deck, Sitting Room, Terrace</t>
  </si>
  <si>
    <t>24hr notice Call Adrienne @ 312.980.1555</t>
  </si>
  <si>
    <t>Randall 2 Mooseheart E to Quail to Pheasant Hill S to Prairie Ridge R to home on left (no sign)</t>
  </si>
  <si>
    <t>Moose Lake Estates</t>
  </si>
  <si>
    <t>CRESTONE</t>
  </si>
  <si>
    <t>82X192X80X211</t>
  </si>
  <si>
    <t>Hardwood flooring throughout entire 1st floor living area. 1st floor den. Good sized bedrooms. Volume ceilings. Home needs repair/ and work. Selling in AS-IS condition. Special addendum on final sales contract required. Buyer responsible for survey. Pre/approved buyers only, cash offers must be verified. Certified funds only for earnest money. Taxes pro rated 100%. Great for rehabber/handyman/investor.</t>
  </si>
  <si>
    <t>Humidifier, Water-Softener Owned, Security System, Sump Pump</t>
  </si>
  <si>
    <t>8X32</t>
  </si>
  <si>
    <t>Use showing assist:</t>
  </si>
  <si>
    <t>Submit all offers to stevebihun@gmail.com. Employees and family members residing with employees of JPMorgan Chase Bank, N.A, its affiliates or subsidiaries are strictly prohibited from directly or indirectly purchasing any property owned by</t>
  </si>
  <si>
    <t>59th Street to Trumbull north to address</t>
  </si>
  <si>
    <t>Gorgeous Chicago Style Brick Bungalow. Completely rehabbed from top to bottom, 4 bedroom 2 bath with formal dining room, kitchen features brand new cabinets, stainless steel appliances, full finished basement.</t>
  </si>
  <si>
    <t>Oven/Range, Microwave, Refrigerator, All Stainless Steel Kitchen Appliances</t>
  </si>
  <si>
    <t>Gerardo Perez</t>
  </si>
  <si>
    <t>(708) 913-7008</t>
  </si>
  <si>
    <t>Please email Gerry@atproperties.com for showings</t>
  </si>
  <si>
    <t>126th</t>
  </si>
  <si>
    <t>127th St to Wentworth North to Brayton East to 126th Pl to address</t>
  </si>
  <si>
    <t>INCREDIBLE CUSTOM BRICK RANCH NESTLED ON QUIET CORNER LOT. BREEZEWAY FAMILY ROOM TO 2 CAR GARAGE! AWESOME CURB APPEAL W/ BEAUTIFUL LANDSCAPE &amp; SPRINKLERS. UPDATED EAT IN KITCHEN. NEWLY RENOVATED W. FINISHED BASEMENT W/ 2ND KITCHEN. BATH W/ JACUZZI. NEWER FURNACE, H/W TANK. THIS IS A DEAL. WONT LAST. EASY TO SHOW!  OWNER WILL CONSIDER ALL OFFERS!</t>
  </si>
  <si>
    <t>2nd Kitchen, Recreation Room</t>
  </si>
  <si>
    <t>1st Floor Bedroom, In-Law Arrangement, 1st Floor Full Bath</t>
  </si>
  <si>
    <t>Patio, Storms/Screens, Breezeway</t>
  </si>
  <si>
    <t>Please email all offers with offer cover sheet and disclosures to themattzgroup@gmail.com/mattzclosing@gmail.com forms under additional information.</t>
  </si>
  <si>
    <t>Plank Rd &amp; 23.East Plank Rd to Gerry Lane North to home or Plank from Burlington W to Gerry Ln N</t>
  </si>
  <si>
    <t>SHEARONS WOODS</t>
  </si>
  <si>
    <t>117X120X258X195X183</t>
  </si>
  <si>
    <t>Wooded Retreat! Custom built home sitting on 1.09 Acres of natural beauty &amp; privacy with majestic oaks at the back of a cul-de-sac. LR w/wood FP opens to formal DR for entertaining. Beautiful updated kitchen w/Corian counters, island &amp; SS Appliances. FR has a rustic feel w/a log cabin look &amp; patio doors to the deck. Large master suite &amp; 3 additional BRs, bath &amp; laundry on 2nd floor. English basement &amp; 3 car garage!</t>
  </si>
  <si>
    <t>NORTH ELEMENTARY SCHOOL</t>
  </si>
  <si>
    <t>Septic-Mechanical, Septic-Private</t>
  </si>
  <si>
    <t>Humidifier, Water-Softener Rented, TV-Dish, CO Detectors, Ceiling Fan, Fan-Whole House, Sump Pump</t>
  </si>
  <si>
    <t>Easy to show. Call Listing Office</t>
  </si>
  <si>
    <t>This is a lovely home with towering trees &amp; nature at your door step. If you have a client that's looking for privacy, this is it!</t>
  </si>
  <si>
    <t>Randall to McDonald west to Thornwood Way south</t>
  </si>
  <si>
    <t>87X141X70X135</t>
  </si>
  <si>
    <t>Beautiful Custom Home in Thornwood Pool Community and St Charles School District! Gourmet kitchen with custom cabinetry, granite, stainless and custom window treatments.  Two story family room with floor to ceiling masonry fireplace. Gorgeous master suite with walk in closet and also private dressing room.  Finished basement w/bar. Brick patio with firepit and pergola!</t>
  </si>
  <si>
    <t>Humidifier, Security System, Ceiling Fan, Sump Pump, Sprinkler-Lawn, Air Cleaner</t>
  </si>
  <si>
    <t>36X32</t>
  </si>
  <si>
    <t>Cell 847-917-5296</t>
  </si>
  <si>
    <t>Please call 855-746-9100 4 hr notice.</t>
  </si>
  <si>
    <t>Berman</t>
  </si>
  <si>
    <t>Orchard to Oak St. West to Deerpath North to Tanner Road to Meade to Berman</t>
  </si>
  <si>
    <t>82 X 172</t>
  </si>
  <si>
    <t>Beautiful Colonial in Tanner Trails. Spacious Lot with Patio &amp; Fire Pit. Kitchen Has Maple Cabinets &amp; Opens Up To Generous Family Room With Gas Fireplace. Hardwood Floors, Walk-In Pantry &amp; Laundry on 1st Floor. Large Master Bedroom Has Vaulted Ceilings &amp; Bath With Jetted Tub. 3rd Bedroom Has Vaulted Ceilings &amp; Palladium Window. Lots of Space! THIS IS A FANNIE MAE HOMEPATH PROPERTY.</t>
  </si>
  <si>
    <t>SEE ADDTL INFO FOR DOC SUBMISSION. CALL 630-608-4777 IF ??s AFTER VIEWING PROPERTY. New Carpet, take off shoes. SELLER REQUESTS ALL OFFERS SUBMITTED THRU HOMEPATH.com</t>
  </si>
  <si>
    <t>CICERO TO 83RD ST. E-SCOTTSDALE(4630W)N-8125</t>
  </si>
  <si>
    <t>You'll love the space and value offered in this four bedroom, two bath brick ranch. This home is located in the desirable Scottsdale subdivision and features hardwood flooring, a wood burning fireplace, an addition off the rear and central AC. This is a Fannie Mae HomePath property.</t>
  </si>
  <si>
    <t>3% ACT NOW - $1000 BUYER'S AGENT BONUS! CLICK HOMEPATH.COM FOR DETAILS OR ASK ME. RESTRICTIONS APPLY (on Gross SP)</t>
  </si>
  <si>
    <t>79th To St. Louis north to 76th east to Trumbull</t>
  </si>
  <si>
    <t>40 X 132</t>
  </si>
  <si>
    <t>Excellent condition, Brick Ranch, featuring 4 Bedrooms full finish basement, 2.1 Bth, SS appliances , in a quiet area, What else can you ask for? don't wait till tomorrow, Schedule your appointment to show and sell</t>
  </si>
  <si>
    <t>45X15</t>
  </si>
  <si>
    <t>Humberto Santillanes</t>
  </si>
  <si>
    <t>(708) 878-9830</t>
  </si>
  <si>
    <t>Although is a Regular Sale we do ask for a 24hr Notice</t>
  </si>
  <si>
    <t>Times available for Showings:Monday - Friday 5:30 Until 8:00 PM  Saturday and Sunday any time</t>
  </si>
  <si>
    <t>Kennedy to Emerald Left to Madden. Corner Lot</t>
  </si>
  <si>
    <t>APPROX 115X151</t>
  </si>
  <si>
    <t>Large open floor plan awaits your personal touches. Vaulted ceilings in Family Room. Large master bedroom with separate shower and jetted tub and walk in closet.  4 bedrooms and an additional office/den on first floor with a full bath.  First floor laundry and even more space in the full unfinished basement. 3 car garage. Fully fenced backyard on larger than most lot*Short Sale* Only 1 loan. *Sold As-Is*</t>
  </si>
  <si>
    <t>Microwave, Dishwasher, Washer, Dryer</t>
  </si>
  <si>
    <t>Please call agent at 630 723 7999</t>
  </si>
  <si>
    <t>CC: Pursuant to Short Sale. We are still taking back up offers. Please show.</t>
  </si>
  <si>
    <t>2 miles north of Rt 22 on Rt 12 (Rand Rd) to gate</t>
  </si>
  <si>
    <t>438X137X138X339X70</t>
  </si>
  <si>
    <t>Surrounded by majestic trees on the 16th hole of prestigious Wynstone golf course, this home has unmatched curb appeal!  Entertainers dream w/ open floor plan, oversized foyer &amp; curved staircase with wrought iron railing; gourmet kitchen with glazed cabs, granite, SS, breakfast nook turret w/ unparalleled views &amp; custom laid HW floors; 2-story DR; second staircase; theater room; library w/ FP; 3.5 car garage</t>
  </si>
  <si>
    <t>Oven-Double, Oven/Range, Microwave, Dishwasher, Refrigerator, High End Refrigerator, Refrigerator-Bar, Washer, Dryer, Disposal</t>
  </si>
  <si>
    <t>Bar, Breakfast Room, Exercise Room, Foyer, Game Room, Library, Recreation Room, Theatre Room</t>
  </si>
  <si>
    <t>EIFS (e.g. Dryvit), Stone</t>
  </si>
  <si>
    <t>847-409-0297</t>
  </si>
  <si>
    <t>CALL SHOWING TIME 855-746-9020. List agent must accompany, please give notice for appt</t>
  </si>
  <si>
    <t>SEE ADDITONAL INFO SECTION FOR HOME FEATURES LIST!  100% dryvit, approx. $80,000 to remove</t>
  </si>
  <si>
    <t>HEARTLAND</t>
  </si>
  <si>
    <t>RT 34 to McHugh to Heartland Subdivision</t>
  </si>
  <si>
    <t>BEST PRICE IN HEARTLAND! Quick Possession on this AMB Custom Home! Check out the Quality Features Here...Fluted Columns, Wainscoting, Arched Doorways, Wide Trim, 9' Ceiling, 2-Story FR w/Custom FP, &amp; 2nd Staircase, Formal LR &amp; DR w/Built in Buffet, Kitchen w/Breakfast Bar, 1st FL Den or 5th BR, Private Yard w/Paver Patio, Mature Trees &amp; 3-Car Gar. Priced to SELL! Close Proximity &amp; Everything Great Yorkville Offers!</t>
  </si>
  <si>
    <t>Park/Playground, Pool, Water Rights, Curbs/Gutters, Street Lights, Street Paved</t>
  </si>
  <si>
    <t>Humidifier, Water-Softener Owned, TV-Cable, TV-Dish, CO Detectors, Ceiling Fan, Sump Pump</t>
  </si>
  <si>
    <t>Please Call Centralized Showing Service @ 877.977.1010</t>
  </si>
  <si>
    <t>This really is a GREAT HOME!!!  Dare to compare to the cost of building new.    Seller is very motivated to get this home closed.</t>
  </si>
  <si>
    <t>East on Foster, south on Western</t>
  </si>
  <si>
    <t>Beautiful, well maintained home in Lincoln Square. Freshly painted, 4 bedrooms, kitchen big enough for a eat in table. Full clean basement that has never flooded. Hardwood floors underneath carpet. Move in condition. Close to transportation, shopping, and restaurants, a must see!!!</t>
  </si>
  <si>
    <t>Enclosed Porch Heated, Mud Room, Walk In Closet</t>
  </si>
  <si>
    <t>(773) 465-4200</t>
  </si>
  <si>
    <t>Brendaly Sarmiento</t>
  </si>
  <si>
    <t>Please allow 24hr notice, text listing agent 773-603-5866</t>
  </si>
  <si>
    <t>Dresser</t>
  </si>
  <si>
    <t>First Street to east on Dresser to home on left</t>
  </si>
  <si>
    <t>TILTON PARK</t>
  </si>
  <si>
    <t>Three bedroom ranch with hardwood floors throughout.  Eat-in kitchen includes all appliances.  Finished basement with family room, office, bedroom &amp; 3/4 bath.  Spacious utility area for storage and includes washer/dryer.  1-1/2 car attached garage.  Patio and fenced yard with lots of natural privacy.</t>
  </si>
  <si>
    <t>Click on Schedule a Showing Below or Call CSS 877-977-1010</t>
  </si>
  <si>
    <t>Wiesner</t>
  </si>
  <si>
    <t>PLYMOUTH</t>
  </si>
  <si>
    <t>RTE 68 TO WAKEFIELD GO ALL THE WAY DOWN TO PLYMOUTH</t>
  </si>
  <si>
    <t>* ORIGINAL OWNERS * 4 BEAUTIFUL BEDROOMS * 2 FULL BATHROOMS *FANTASTIC CURB APPEAL * HUGE 25 X 18 FAMILY ROOM * LARGE 19 X 13 KITCHEN * BIG 18 X 12 LIVING ROOM * QUALITY THERMO PAYNE WINDOWS THROUGHOUT * HOME IN GREAT CONDITION * LOWER LEVEL WALK OUT * LARGE DOUBLE WIDE CEMENT DRIVE * 2 CAR GARAGE * ALL CENTRAL SYSTEMS HAVE BEEN UPGRADED * FENCED IN YARD * ALL APPLIANCES STAY * INCREDIBLE ONE OF A KIND HOME * HURRY *</t>
  </si>
  <si>
    <t>06X03</t>
  </si>
  <si>
    <t>2.5%-175 (on Gross SP)</t>
  </si>
  <si>
    <t>$ 750 SALES BONUS * ORIGINAL OWNERS * FANTASTIC HOME * 4 BEDROOMS * 2 FULL BATHS * 2 CAR GARAGE * DOUBLE WIDE CEMENT DRIVE * NICE THERMO PAYNE WINDOWS * LARGE FAMILY ROOM * BIG KITCHEN * NICE SIZED LIVING ROOM * LOWER LEVEL WALK OUT *</t>
  </si>
  <si>
    <t>IRVING PARK W OF 94 S ON TRIPP</t>
  </si>
  <si>
    <t>BEST TREE LINED ST. IN OLD IRVING.  2 STORY SFH ON LARGE SUNNY LOT.  MOVE IN OR CREATE A NEWER 4 BR 2.5 BA SFH WITH A LITTLE TLC.  NICE ENTRY WITH HIGH CEILINGS, UPDATED BATHS &amp; KITCHEN, HARDWOOD FLRS THRU OUT. CENTRAL H/AIR, NEWER WINDOWS, QUAINT FRONT PORCH O/L YARD.  HUGE BACK YARD W/ 2 CAR GARAGE. NOT A TEAR DOWN!!  PAINT AND MOVE IN A WONDERFUL HOME IN ONE OF CHICAGO'S BEST NHOODS W/GREAT SCHOOLS. PKG FOR 3 CARS</t>
  </si>
  <si>
    <t>DISNEY MAGNET SCHOOL</t>
  </si>
  <si>
    <t>2nd Kitchen, Bonus, Enclosed Porch</t>
  </si>
  <si>
    <t>2.5% -299 (on Net SP)</t>
  </si>
  <si>
    <t>Mark R. Cahan Realty</t>
  </si>
  <si>
    <t>(773) 549-6500</t>
  </si>
  <si>
    <t>Mark Cahan</t>
  </si>
  <si>
    <t>PLEASE PROVIDE 24 HR NOTICE</t>
  </si>
  <si>
    <t>Rt 72 to Glidden South, to Heath Rd Left, to Hollie Ln Left, to Cambridge Right, to your new Home.</t>
  </si>
  <si>
    <t>93X174</t>
  </si>
  <si>
    <t>Beautiful tri-level home sitting on a large lot in a peaceful neighborhood. Newer roof, siding, seamless gutters, Andersen windows, garage door and opener, large family room w/a stone fireplace not vented yet, just for show for now.A nice asphalt  driveway, Large bi-level deck overlooks the beautiful back yard and open prairie. The home is in need of some TLC and a little care. Sold "As Is" Perfect to raise a family.</t>
  </si>
  <si>
    <t>Space Pac, 1 (Window/Wall Unit)</t>
  </si>
  <si>
    <t>Electric, Baseboard</t>
  </si>
  <si>
    <t>Water-Softener Rented, CO Detectors, Ceiling Fan, Sump Pump, Backup Sump Pump</t>
  </si>
  <si>
    <t>Attached Fireplace Doors/Screen, Decorative Only</t>
  </si>
  <si>
    <t>call 877-977-1010 to schedule apt, 2 hour notice appreciated</t>
  </si>
  <si>
    <t>Easy to show, short notice requested</t>
  </si>
  <si>
    <t>Tyler</t>
  </si>
  <si>
    <t>Route 71 to Washington St, north to Tyler, left to home</t>
  </si>
  <si>
    <t>What a great home for the price!  Absolutely beautiful back yard with well maintained inground pool.  Inside there are 4 nice sized bedrooms, living and dining room that look out over the pool.  Kitchen with breakfast bar and walk out to nice deck.  Lower level includes large family room with brick fireplace.  For entertaining, there is a bar room, that could easily be a den or 5th bedroom.</t>
  </si>
  <si>
    <t>12X96</t>
  </si>
  <si>
    <t>Humidifier, Water-Softener Owned, Ceiling Fan</t>
  </si>
  <si>
    <t>Deck, Patio, Storage Shed, Pool In-Ground</t>
  </si>
  <si>
    <t>Huntington</t>
  </si>
  <si>
    <t>Devon to Milwaukee South to Huntington, West to #</t>
  </si>
  <si>
    <t>45X129X40X129</t>
  </si>
  <si>
    <t>Extra wide lot, versatile house, good basement, brand new flood control (August 2014). Newly refin HW flrs main rms, fresh paint.  Lg front porch, wood doors, foyer, good coat closet, Lg LR/DR, 2 main beds, 3-4 potential upstairs, lg walk in closets &amp; built in dressers.  Vinyl Thermopane windows on 1st &amp; 2nd except LR/DR. LL Rec Rm + Lg Storage + Work Rm + Ldy Rm.  Concrete patio, nice back &amp; side yards, port fenced.</t>
  </si>
  <si>
    <t>Bonus, Enclosed Porch, Foyer, Mud Room, Recreation Room, Storage, Tandem Room, Walk In Closet, Workroom</t>
  </si>
  <si>
    <t>(847) 446-4000</t>
  </si>
  <si>
    <t>Denise M Kellar</t>
  </si>
  <si>
    <t>(847) 784-7316</t>
  </si>
  <si>
    <t>Call Showing Desk, Make Appointment, Agent will confirm</t>
  </si>
  <si>
    <t>Delightful neighborhood, wonderful additional land (side yard) plus back yard and patio.  Convenient location for school, stores, Metra, restaurants, you name it!  One owner 40+ years.  Amazing storage 2nd floor+bsmt.  HW floor in 1 bed up.</t>
  </si>
  <si>
    <t>40W259</t>
  </si>
  <si>
    <t>NAPLETON (Y186)</t>
  </si>
  <si>
    <t>KESLINGER TO FRIENDSHIP WAY SOUTH TO KING RIGHT TO PALMER RIGHT TO CHARLOETTE RIGHT TO NAPLETON LEFT</t>
  </si>
  <si>
    <t>PEACHTREE</t>
  </si>
  <si>
    <t>24X125X150X125</t>
  </si>
  <si>
    <t>QUIET CUL-DE-SAC LOCATION!  NEW CONSTRUCTION BY SHODEEN HOMES.  BEAUTIFUL PEACHTREE FLOOR PLAN WITH 2,603 SF, 4 BED, 2.5 BATHS.  NICELY APPOINTED WITH FIREPLACE, UPGRADED CABINETRY, STAINLESS STEEL APPLIANCES, GRANITE KIT COUNTERS, HARDWOOD FLOORS AND MUCH MORE!  ESTIMATED COMPLETION OF CONSTRUCTION IN NOVEMBER.  ASK ABOUT OUR CURRENT PROMOTIONS!  PICTURES MAY BE OF PREVIOUSLY BUILT HOME.</t>
  </si>
  <si>
    <t>CALL MILL CREEK SALES OFFICE 630-232-8181</t>
  </si>
  <si>
    <t>REALTOR BONUS OF $2,014 IF HOME CLOSES BEFORE END OF THE YEAR.  PLEASE CONTACT MILL CREEK SALES CENTER FOR INFORMATION 630-232-8181. CURRENT PROMOTION IS REFLECTED IN LIST PRICE.</t>
  </si>
  <si>
    <t>CORNELIA TO BELL NORTH TO 3427</t>
  </si>
  <si>
    <t>ROSCOE VILLAGE UPDATED 4 BED/2.1 BATH SFH IN AUDOBON.GORGEOUS FINISHES THRUOUT INCLUDING STUNNING KITCHEN W/BLACK HONED GRANITE,SS BOSCH APPS,56" CABS W/UPPER &amp; LOWER LIGHTING, UNDER-MOUNT SINGLE BASIN SINK,GROHE FAUCET &amp; UNDER-MOUNT SOAP DISPENSER.UPDATED BATHS W/THASOS TILE IN SHOWER,SILESTONE COUNTERS, DOUBLE UNDER-MOUNT SINKS &amp; HANSGROHE FAUCETS.NEW A/C,GAS LINE FOR GRILL,DIMMERS THRUOUT,STAMPED CONCRETE PATIO!</t>
  </si>
  <si>
    <t>Deck, Eating Area, Other</t>
  </si>
  <si>
    <t>Richard Kasper</t>
  </si>
  <si>
    <t>(773) 919-4333</t>
  </si>
  <si>
    <t>CALL/EMAIL DIANA 847.312.8037 DIANA@CONLONREALESTATE.COM</t>
  </si>
  <si>
    <t>O</t>
  </si>
  <si>
    <t>CALL/EMAIL DIANA 847.312.8037 OR DIANA@CONLONREALESTATE.COM</t>
  </si>
  <si>
    <t>PULASKI TO 83 STREET WEST TO KOMENSKY SOUTH TO PROPERTY</t>
  </si>
  <si>
    <t>SUPER ATTRACTIVE BRICK SPLIT LEVEL AND IT IS LOCATED ON A NICE BLOCK. GREAT SCHOOLS AND SHOPPING ARE NEARBY. THE HOME FEATURES FOUR BEDROOMS, 1.5 BATHS, REC ROOM, HARDWOOD FLOORS, A GREAT GARAGE AND PLENTY OF SPACE. THIS HOME IS PRICED TO SELL AND HAS TONS OF POTENTIAL!! LOT/ROOM SIZES ESTIMATED. PREQUAL AND/OR PROOF OF FUNDS MUST ACCOMPANY OFFER---NO EXCEPTIONS. FHA OFFERS SHOULD BE 203K.</t>
  </si>
  <si>
    <t>SPECIAL CONTRACT REQUIRED WHEN OFFER IS ACCEPTED</t>
  </si>
  <si>
    <t>6N734</t>
  </si>
  <si>
    <t>Henricksen</t>
  </si>
  <si>
    <t>RANDALL 2 SILVER GLEN W 2 BURR S 2 HERITAGE OAKS W 2 HENRICKSEN LEFT TO LAST HOUSE ON RIGHT</t>
  </si>
  <si>
    <t>HERITAGE ON THE BURR</t>
  </si>
  <si>
    <t>208X342X209X220</t>
  </si>
  <si>
    <t>Another amazing professional remodel by Grandview Homes! Completely updated baths and kitchen and interior finishes including new lighting and flooring. This home is eligible for below market interest rates being offered by the sellerâ€™s preferred lender.   Call agent for details</t>
  </si>
  <si>
    <t>34X19</t>
  </si>
  <si>
    <t>Full Earnest money must be in certified funds and due at time of acceptance.  To see more Grandview homes visit www.gvcproperty.com or learn about builder's custom homes at www.sebernhomes.com</t>
  </si>
  <si>
    <t>W ARMITAGE AVE., N PULASKI RD., W WABANSIA AVE., N RIDGEWAY AVE.</t>
  </si>
  <si>
    <t>This is a great opportunity to own a spacious home in the Humboldt Park area of the City of Chicago. This spacious 4 bedroom 2 bathroom home needs some updating. The home is a Homepath property,and buyer to verify room sq. ft.</t>
  </si>
  <si>
    <t>Please complete disclosure and email srrealtygroup@gmail.com for instructions.</t>
  </si>
  <si>
    <t>Seller has instructed offers be submitted online at www.HomePath.com on the HomePath Online Offer System. Call 1-866-218-4446 if any assistance is needed.</t>
  </si>
  <si>
    <t>Haddon</t>
  </si>
  <si>
    <t>North Ave West of Milwaukee Ave, South on Western Ave, West on Haddon Ave to address.</t>
  </si>
  <si>
    <t>24X120</t>
  </si>
  <si>
    <t>Custom new construction SFH. Open concept main level with generous living space &amp; modern details. Large kitchen features contemporary flat panel cabinets, oversized island, SS Bosch appliances and granite counters. 3 beds, 2 baths and laundry on upper level. Fully finished lower level with huge rec room, 2nd laundry, 4th bed and full bath. Large back patio, 2 car garage and professional landscaping complete the look.</t>
  </si>
  <si>
    <t>KING DRIVE NORTH OR SOUTH TO 6919</t>
  </si>
  <si>
    <t>4 BED/1 BATH BRICK HOME SOLD AS-IS. CORPORATE OWNED WITH NO DISCLOSURES, SURVEYS, OR INSPECTION CONTINGENCY. BEAUTIFUL HOME!!  PARK MANOR AREA, SOLID EXTERIOR AND TONS OF POTENTIAL. NOT BANK OWNED AND NOT A SHORT SALE, SELLER IS LOCAL AND REASONABLE.  THIS HOME HAS BEEN VERY WELL CARED FOR. MAKE AN OFFER TODAY. NO TAX PRORATIONS! ALL TAX OWED WILL BE PAID BUT NO CREDITS.</t>
  </si>
  <si>
    <t>no 2014 tax prorations.  Special warranty deed at closing , sold as-is. no offers will be reviewed with inspection contingency, must view before submitting an offer, sold as-is - means "as-is"!</t>
  </si>
  <si>
    <t>SPRING ST. EAST OF MCLEAN TO LEXINGTON S TO 36</t>
  </si>
  <si>
    <t>LEXINGTON HIGHLANDS</t>
  </si>
  <si>
    <t>66X150</t>
  </si>
  <si>
    <t>4 BEDROOM HOME IN A GREAT NEIGHBORHOOD....DELUXE KITCHEN, SOLID OAK DOORS AND TRIM, LARGE YARD WITH SHED. BRING YOUR IDEAS,  ESTATE SALE.</t>
  </si>
  <si>
    <t>Sedgwick</t>
  </si>
  <si>
    <t>West on North, North on Sedgwick to property</t>
  </si>
  <si>
    <t>Contemporary urban oasis w/ unique architectural touches &amp; finishes! Truly one-of-a-kind! Located in Lincoln school district, this 4 bedroom 3.1 bath home is across from a park. Top of the line deluxe kitchen w/ custom cabinetry, Viking &amp; Miele appliances, &amp; concrete counters. Brazilian cherry floors, 3 fireplaces! Enjoy multiple decks, a serene private yard, &amp; attached 2 car garage w/ heated private driveway!</t>
  </si>
  <si>
    <t>Separate Shower, Steam Shower, Soaking Tub</t>
  </si>
  <si>
    <t>Block, Glass, Concrete</t>
  </si>
  <si>
    <t>Wood Burning, Gas Starter, Portable/Ventless</t>
  </si>
  <si>
    <t>2.25% -$325 (on Gross SP)</t>
  </si>
  <si>
    <t>Joanne Nemerovski</t>
  </si>
  <si>
    <t>(312) 264-1100</t>
  </si>
  <si>
    <t>Please call Joanne O: 312.264.1100 or C:312.720.4505</t>
  </si>
  <si>
    <t>Unique and attractive layout. Three car parking available in the driveway. ALA Award winner and featured in many magazines!</t>
  </si>
  <si>
    <t>HOWE</t>
  </si>
  <si>
    <t>LK CK RD EAST OF 14 TO HOWE TERRACE IN HILLCREST ACRES ON SOUTH SIDE OF LK CK RD &amp; WEST OF ELA RD</t>
  </si>
  <si>
    <t>HILLCREST ACRES</t>
  </si>
  <si>
    <t>151X318X150X308</t>
  </si>
  <si>
    <t>WELCOME HOME...NICELY MAINTAINED RANCH W/ WALKOUT LOWER LEVEL...NEW 5 BEDROOM SEPTIC SYSTEM IN 2009= EXPANSION POSSIBILITIES...WEST WINDOWS OVERLOOKING POND...3 BEDROOMS ON MAIN FLR &amp; 1 BEDROOM IN W/OUT LL PLUS AN OFFICE, LARGE FAMILY ROOM &amp; W/B FIREPLACE..2ND W/B FPLC IN LR...TWO CAR ATTACHED GARAGE...GREAT YARD &amp; PATIO...ROOM TO RUN OR GARDEN...WALK TO SCHOOL THROUGH 8TH GRADE...YOU WILL LOVE LOCATION &amp; LOW TAXES !</t>
  </si>
  <si>
    <t>BARRINGTON MIDDLE SCHOOL OOL(STATION)</t>
  </si>
  <si>
    <t>Oven/Range, Dishwasher-Portable, Washer, Dryer</t>
  </si>
  <si>
    <t>Water-Softener Owned, TV-Cable, CO Detectors, Sump Pump, Backup Sump Pump</t>
  </si>
  <si>
    <t>Carol McGregor, GRI</t>
  </si>
  <si>
    <t>(847) 533-1213</t>
  </si>
  <si>
    <t>cell   847.533.1213</t>
  </si>
  <si>
    <t>call remax of barrington (847.381.8800)..confirm appt...use sentrilock box on front right railing...</t>
  </si>
  <si>
    <t>mrs nancy arndtsen (IRA ROTH )</t>
  </si>
  <si>
    <t>PROPERTY DOES NOT EXTEND TO EDGE OF POND TO WEST OF HOME...JUST ENJOY THE VIEW...GREAT LOCATION W/ EASY ACCESS TO TOLL ROADS, OHARE OR METRA TRAIN TO CHICAGO....</t>
  </si>
  <si>
    <t>Fieldpoint</t>
  </si>
  <si>
    <t>Rt 34 to Boulder Hill Pass to Fieldpoint</t>
  </si>
  <si>
    <t>68 X 140 X 85 X 130</t>
  </si>
  <si>
    <t>Simply THE Best! Fabulous Ranch on Fin Bsmt! Sunny Kitchen w/ Tile Flrs, Pretty Cabinets &amp; Backsplash! Opens to Large Dining Area! Family Rm w/ New Carpet, Skylights &amp; Flat Screen TV Incld!  Liv Rm w/ Bow Window &amp; Hardwood Flrs! Master Bdrm w/ Access to Enclosed Porch/Hot-Tub Rm! Fin Bsmt w/ Rec Rm, Bar Area 4th Bdrm &amp; Bath! 2+ Car Garage! Ultimate Yard! Multi-Level Decks, Pool, Shed, Garden Area! YOUR SEARCH IS OVER</t>
  </si>
  <si>
    <t>Bar, Enclosed Porch, Recreation Room</t>
  </si>
  <si>
    <t>Absolutely lovely home - very well cared for - pride of ownership shines here!</t>
  </si>
  <si>
    <t>RANDALL TO OAK WEST  WHITE OAK S  PINEHILL W  PRAIRIE</t>
  </si>
  <si>
    <t>93X120X124X104</t>
  </si>
  <si>
    <t>Cul de sac location with full, finished basement! Fenced yard, composite decking &amp; patio for outdoor enjoyment! This home has been meticulously maintained. The interior will win you over: hardwood floors lead you to the kitchen w/ island, eating area and patio view.  Vaulted family rm. Private master suite w/ full bath &amp; WIC. Rec room &amp; 4th bedroom adds tons of living space. Neutral decor. 1 mile to I-88! See today!</t>
  </si>
  <si>
    <t>Tigi Tasso, SFR</t>
  </si>
  <si>
    <t>(630) 973-0577</t>
  </si>
  <si>
    <t>Please use 6.0 Contract. EM in certified funds. Exclude Fridge in basement and freezer in garage. The humidifier and water softener are in home but are disconnected.</t>
  </si>
  <si>
    <t>Thorobred</t>
  </si>
  <si>
    <t>Rt 72 to Locust South to Hillcrest to Thorobred</t>
  </si>
  <si>
    <t>70X68X234X224X74</t>
  </si>
  <si>
    <t>Welcome home! 4 bedroom, 2 1/2 bathroom ranch on large professionally landscaped lot. Living room w/hardwood floor, fireplace &amp; large windows. Separate dining room, kitchen opens up to family room &amp; screened in porch. Master suite w/updated bath &amp; sliding glass door to outdoor sitting area. Large concrete patio in rear &amp; large spacious yard and mature trees. A true treat &amp; a must see!  NEW ROOF OCT 2014!!</t>
  </si>
  <si>
    <t>Patio, Screened Patio, Storms/Screens</t>
  </si>
  <si>
    <t>Wenzel Select Properties, Ltd.</t>
  </si>
  <si>
    <t>(630) 430-4797</t>
  </si>
  <si>
    <t>Lisa Wenzel, ABR,GRI,SRS</t>
  </si>
  <si>
    <t>PLEASE USE SHOWING ASSIST - 24 Hour notice required</t>
  </si>
  <si>
    <t>THREE CATS AT PROPERTY DO NOT LET OUT. PLEASE PARK IN DRIVEWAY - POLICE ARE ISSUING TICKETS FOR PARKING ON STREET. NEW ROOF OCT. 2014! STRUCTURAL ENGINEER REPORT UNDER ADDITIONAL INFO.</t>
  </si>
  <si>
    <t>W Schaumburg Rd toward Barrington Rd,R Barrington Rd, left onto Bode Rd, L Garden cir</t>
  </si>
  <si>
    <t>Terrific opportunity to own this 4 bedroom 2.1 bath two story home that features a walk out basement, 2 car garage, vaulted ceilings, fireplace and is just minutes from public transportation, expressways and shopping.</t>
  </si>
  <si>
    <t>TOUHY WEST OF HARLEM TO OVERHILL NORTH 5 BLOCKS TP FARGO WEST TO HOME.</t>
  </si>
  <si>
    <t>42X125</t>
  </si>
  <si>
    <t>EXCLUSIVE BEAUTIFUL SOUGHT AFTER ALL BRICK RANCH HOME IN EDISON PARK Tree lined Streets..Features: 4 Bedrooms, Hardwood Floors, New Roof (2 Yrs),updated Kitchen has Maple Cabinets with Corian Counters, Fireplace, Newer Windows, Full Unfinished Basement with Bathroom, Two and a Half Car Garage with Driveway, Large Lot 42 X 125. Easy Access to Expressway, Train, Airport and City!! Suburban Life in the City!!          .</t>
  </si>
  <si>
    <t>2.5%-325 (on Gross SP)</t>
  </si>
  <si>
    <t>Patrick Fraticola</t>
  </si>
  <si>
    <t>USE SHOWING ASSIST TEXT OR CALL PATRICK 708-906-3304 2 HOUR NOTICE</t>
  </si>
  <si>
    <t>PRICED TO SELL. QUICK CLOSE POSSIBLE.</t>
  </si>
  <si>
    <t>Weston</t>
  </si>
  <si>
    <t>RT 47 S. TO RT 71 E. TO RAINTREE RD RT TO HAZELTINE WAY RT TO WESTON ON CORNER</t>
  </si>
  <si>
    <t>100X138X122X112</t>
  </si>
  <si>
    <t>VERY SPACIOUS 2 STORY HOME (3300 SQ FT) WITH 4 BDRMS, 2 1/2 BATHS AND 1ST FLOOR DEN. MASTER BEDROOM WITH 2 WALK-IN CLOSETS. FORMAL DINING AND FORMAL LIVING RM. CUSTOM DESIGNED KITCHEN WITH HDWD FLOORS AND CENTER ISLAND. 1ST FLOOR FAMILY ROOM WITH FIREPLACE. 1ST FLOOR LAUNDRY ROOM WITH DOOR TO 3 CAR GARAGE. FULL FENCED BACK YARD AND BRICK PATIO. CORNER LOT, .39 OF AN ACRE.</t>
  </si>
  <si>
    <t>2.5% LESS $150 (on Gross SP)</t>
  </si>
  <si>
    <t>Connie Carls Ott, CNC,GRI,SRES</t>
  </si>
  <si>
    <t>(815) 378-8359</t>
  </si>
  <si>
    <t>Call LA 815-378-8359 Day prior please, must confirm</t>
  </si>
  <si>
    <t>WRIGHTWOOD TO MAJOR (5700 WEST) THEN NORTH TO HOME.</t>
  </si>
  <si>
    <t>GREAT SHORT SALE DEAL !! AMAZING HUGE BRICK HOME! GREAT LOCATION!HOME FEATURES HUGE 4BDRMS &amp; 2.5 BATHS,GREAT LIVING AREA HUGE FAMILY,DIN,LIV,BASEMENT,GREAT KITCHEN &amp; MUCH MORE! HOME IS ALMOST LIKE NEW !NEW ER ROOF,NEW FURNACE,TUCKPOINTING,NEW LOWER  LEVEL !WELL KEPT WITH LOVE &amp; CARE BRING UR FINAL TOUCHES AND MAKE THIS YOUR DREAM HOME! OMG ADMIRE THAT AMAZING YARD!.CLOSE TO ALL!! COME&amp;SEE THIS! YOU'RE GOING LOVE IT !</t>
  </si>
  <si>
    <t>Closing, Immediate, Negotiable, Other</t>
  </si>
  <si>
    <t>Garage Door Opener(s), Transmitter(s), Carport</t>
  </si>
  <si>
    <t>2.5% -350 (on Net SP)</t>
  </si>
  <si>
    <t>Interdome Realty</t>
  </si>
  <si>
    <t>(773) 792-1600</t>
  </si>
  <si>
    <t>Greg Cirone</t>
  </si>
  <si>
    <t>(708) 415-6755</t>
  </si>
  <si>
    <t>EMAIL GREGSHOWINGS@YAHOO.COM / SOME NOTICE IF POSSIBLE</t>
  </si>
  <si>
    <t>CC: Pursuant to Short Sale. GREAT SHORT SALE DEAL !! SS IS IN PROCESS BY A WELL KNOWN ATTONERY W/GREAT TEAM . COMMISSION IS BASE ON BANK APPROVAL . BRING YOUR BEST OFFER</t>
  </si>
  <si>
    <t>EICHLER</t>
  </si>
  <si>
    <t>ROUTE 31, S. TO EICHLER, E. TO HOME</t>
  </si>
  <si>
    <t>DUNDEE HIGHLANDS</t>
  </si>
  <si>
    <t>NOTHING TO DO BUT MOVE IN...WELL KEPT HOME IN DUNDEE HIGHLANDS.  GORGEOUS LANDSCAPED YARD, PATIO, SHED. MANY LEVELS OF LIVING SPACE. MAIN LEVEL - KITCHEN W/PARQUET FLRS, FORMAL D.R. W/ FRENCH DOORS, LARGE L.R. 2ND LVL OFFERS LARGE BEDROOMS AND LOTS OF CLOSET SPACE.  SKYLIGHTS. LOWER LEVEL FEATURES WET BAR, 4th BEDROOM OR OFFICE, 1/2 BATH, LARGE F.R. BASEMENT FEATURES LARGE REC ROOM, STORAGE. MANY UPDATES...</t>
  </si>
  <si>
    <t>Humidifier, CO Detectors, Ceiling Fan, Fan-Whole House, Sprinkler-Lawn</t>
  </si>
  <si>
    <t>Katie Holmes</t>
  </si>
  <si>
    <t>(847) 961-8088</t>
  </si>
  <si>
    <t>Call 866-852-8313</t>
  </si>
  <si>
    <t>Please exclude hallway &amp; dining room light fixtures from sale.  HUMIDIFIER is sold AS IS.  MANY UPDATES INCLUDE 2001: ROOF, HWH, SKYLIGHTS IN KITCHEN/BATHS, HEARTY BOARD SIDING.  FRESHLY PAINTED.</t>
  </si>
  <si>
    <t>GREEN</t>
  </si>
  <si>
    <t>Rt 25 to Hazard,  East to Caddy,  South to Green,  East to home.</t>
  </si>
  <si>
    <t>60X108</t>
  </si>
  <si>
    <t>***AMAZING EXPANDED REMODELED RANCH*NEW KITCHEN CABINETS*COUNTERS*RICH LAMINATE WOOD FLOORS*CARPETS*ROOF*SIDING*WINDOWS*INTERIOR TRIMS*DOORS*ELECTRICAL*PLUMBING*FRONT WINDOW TREATMENTS*APPLIANCES*BATHROOM*INSULATION*HIGH E FURNACE* A/C* THIS MOVE IN READY (NOW) RANCH HAS IT ALL.  SAVE HUGE ON ENERGY COSTS*COMPLETE REMODEL RECENTLY. DON'T LET THIS ONE SLIP BY YOU. THIS WILL GO FAST***</t>
  </si>
  <si>
    <t>Peter Farris</t>
  </si>
  <si>
    <t>COMBINATION BOX ON FRONT DOOR 6163</t>
  </si>
  <si>
    <t>First American Bank, as Trustee</t>
  </si>
  <si>
    <t>CALLING ALL REALTOR'S, YOU MUST SEE THIS GEM. HUGE EXPANDED RANCH WITH 4-2 AND EVERYTHING NEWER AND NEW INCLUDING A NEW ROOF. THIS WILL NOT LAST. OPEN CONCEPT FLOOR PLAN. AGENT HAS INTEREST IN PROPERTY.</t>
  </si>
  <si>
    <t>39W205</t>
  </si>
  <si>
    <t>Bartelt</t>
  </si>
  <si>
    <t>Keslinger to Brundige left to Weaver left, to Bartelt left, to home on right.</t>
  </si>
  <si>
    <t>PARKER</t>
  </si>
  <si>
    <t>7900 SQ. FEET</t>
  </si>
  <si>
    <t>BEST BUY IN GENEVA! Desirable Parker Model in Mill Creek backs to golf course!Gourmet Kit. w/upgraded dbl conv ovens,5 burner stove,granite counters.Open fl. plan w/extended fam room w/fpl.Master w/vaulted ceiling, bath w/whirlpool tub,sep shower,&amp; dbl vanity,walkin closet. All secondary beds w/wic.Fin bsmt w/built cabs&amp;counter + storage.Deck w/power awning &amp; fenced yard.Extended garage w/custom fl. Motivated seller!</t>
  </si>
  <si>
    <t>Fenced Yard, Golf Course Lot</t>
  </si>
  <si>
    <t>Bar, Exercise Room, Recreation Room, Storage</t>
  </si>
  <si>
    <t>Kozar Real Estate Group</t>
  </si>
  <si>
    <t>(630) 833-4663</t>
  </si>
  <si>
    <t>Kristie Majewski</t>
  </si>
  <si>
    <t>(630) 965-4373</t>
  </si>
  <si>
    <t>Beautiful home; motivated seller bring us an offer! Quick close possible!</t>
  </si>
  <si>
    <t>5N460</t>
  </si>
  <si>
    <t>Hanson</t>
  </si>
  <si>
    <t>Rt 64 to Hanson Rd. North to property on left or Rt 47 to Empire Rd. to Hanson Rd, property on right</t>
  </si>
  <si>
    <t>Fox Wilds</t>
  </si>
  <si>
    <t>LILY LAKE</t>
  </si>
  <si>
    <t>412X70X297X191</t>
  </si>
  <si>
    <t>Must see inside to appreciate this spacious 4 bedroom home located on .92 acre in Central School District #301! Kitchen w/ SS appliances, separate dining room with built in buffet, bedrooms with walk-in closets, newer furnace &amp; A/C, siding, roof, storage shed. 1st floor laundry with washer &amp; dryer located off of kitchen. Close to Great Western Bike &amp; Walking Trail. Immediate occupancy. Short distance to Metra.</t>
  </si>
  <si>
    <t>Brenda Henke</t>
  </si>
  <si>
    <t>(815) 739-5222</t>
  </si>
  <si>
    <t>call CSS at 877-977-1010</t>
  </si>
  <si>
    <t>Easy to show; Vacant. Not a short sale or REO property. Quick close.  Property in good condition with little work needed.</t>
  </si>
  <si>
    <t>RANDALL S OF RT 20 2 HOPPS E2 UMBDENSTOCK S2 HOME</t>
  </si>
  <si>
    <t>WOODBRIDGE</t>
  </si>
  <si>
    <t>87X142X86X140</t>
  </si>
  <si>
    <t>HURRY! VERY OPEN FLR PLAN! 2-STORY FR W/FP &amp; MARBLE SURROUND! BRIGHT EAT-N KTCHN W/NWR SS APPLS, BRKFST BAR &amp; SLIDERS TO 2-TIER DECK W/GAZEBO &amp; PROF LANDSCAPED YARD! 2-STORY LR! SPACIOUS MBDRM W/3 CLOSETS &amp; SEP BATH W/DBL SINKS! FULL FIN BSMNT W/REC RM &amp; MEDIA RM! NWR GARAGE &amp; FRONT DOORS! NWR FIXTURES! 1ST FLR LNDRY! NWR HDWD FLRS IN LR, FR &amp; DR! NEW HDWD FLR IN BDRMS! KTCHN &amp; FOYER W/NWR CERAMIC TILE FLRS!</t>
  </si>
  <si>
    <t>VERY OPEN FLOOR PLAN! LRG CSTM DECK W/GAZEBO! PROF LANDSCAPING!</t>
  </si>
  <si>
    <t>W 71st street, turn to S May St</t>
  </si>
  <si>
    <t>Excellent opportunity to breathe new life into this frame 4 bed, 2 bath home. Repairs are needed. This is a Freddie Mac HomeSteps Property.  First look period for owner occupants for first 20 days on market - expires on 9/23/14.</t>
  </si>
  <si>
    <t>Email signed "Hold Harmless" (See Additional Info) with request to sales@pvrco.com</t>
  </si>
  <si>
    <t>PLEASE SEE ADDITIONAL INFORMATION FOR REQUIRED OFFER COVER SHEET AND HOLD HARMLESS.  THIS IS A FREDDIE MAC HOMESTEPS PROPERTY.</t>
  </si>
  <si>
    <t>15th</t>
  </si>
  <si>
    <t>RANDALL TO OAK EAST TO 15TH, SOUTH ACROSS HOWARD TO 15TH COURT</t>
  </si>
  <si>
    <t>21X114X12X112X16X119X25</t>
  </si>
  <si>
    <t>GREAT HOME ON QUIET CUL-DE-SAC FEATURES 4 BEDROOMS, 2.1 BATHS &amp; HARDWOODS ON 1ST &amp; 2ND FLOORS. FAMILY ROOM HAS WOOD BURNING FIREPLACE PERFECT FOR COLD WINTER NIGHTS! MATURE TREES SURROUND THE 1/4 ACRE LOT. UPDATES IN PAST 7 YRS INCLUDE FRESHLY PAINTED WALLS, WINDOWS, ROOF, GUTTERS W/GUARDS, FURNACE, HOT WATER HEATER &amp; CONCRETE DRIVEWAY.  GREAT OPPORTUNITY TO BRING YOUR CREATIVE IDEAS TO COMPLETE THE TRANSFORMATION.</t>
  </si>
  <si>
    <t>Conventional, FHA, Assumption-FHA</t>
  </si>
  <si>
    <t>Cydney McCabe, CNC,CRS,CSC</t>
  </si>
  <si>
    <t>(630) 258-0303</t>
  </si>
  <si>
    <t>CELL PHONE 630-258-0303</t>
  </si>
  <si>
    <t>TIMOTHY SPECIALE</t>
  </si>
  <si>
    <t>ASSUME THIS FHA LOAN AT 3.25% -  LOAN BALANCE AVAILABLE UPON REQUEST. GREAT OPPORTUNITY TO BUY AT HISTORICALLY LOW INTEREST RATE - AGENT RELATED TO SELLER</t>
  </si>
  <si>
    <t>59th St to Racine south to 60th right to Elizabeth North to property</t>
  </si>
  <si>
    <t>25X128</t>
  </si>
  <si>
    <t>Bank owned Property Sold "As Is" Buyer resposible for survey Taxes prorated at 100% Please allow 2-3 business days for seller response. large 4 bedroom home Need work. Cash Only Proof of funds required</t>
  </si>
  <si>
    <t>Larry Anderson, ABR</t>
  </si>
  <si>
    <t>(773) 858-1022</t>
  </si>
  <si>
    <t>Call Showing Desk 888-362-3222</t>
  </si>
  <si>
    <t>Bank Owned</t>
  </si>
  <si>
    <t>TAX PRORATED AT 100%. bUYER RESPONSIBLE FOR SURVEY  BUTER RESPOSIBLE FOR ANY INSPECTIONS</t>
  </si>
  <si>
    <t>Valley View</t>
  </si>
  <si>
    <t>BARRINGTON RD, S OF 19- HILCREST E TO VALLEY VIEW NORTH</t>
  </si>
  <si>
    <t>Great opportunity to own this 4 bedroom 1.1 bath ranc home that features an open layout, big backyard, 1 car garage and has very good potential. This property is just minutes from public transportation, expressways and shopping.</t>
  </si>
  <si>
    <t>TAXES 100%,  Submit offers to www.HomePath.com</t>
  </si>
  <si>
    <t>GLENLAKE</t>
  </si>
  <si>
    <t>Clark St to Glenlake Ave, East to Property</t>
  </si>
  <si>
    <t>EDGEWATER GLEN</t>
  </si>
  <si>
    <t>AMERICAN FOURSQUARE</t>
  </si>
  <si>
    <t>'HISTORICALLY SIGNIFICANT' early 1900's American Foursquare in the Craftsman Style. PEIRCE Int'l School. Quiet, tree-lined street.ORIGINAL: HW fl under carpt/stained glass/doors/knobs/fixtures/built-ins. 5th br/offc+storage in attic. Grand frt porch+gated frt. Create a garden oasis in the bkyard. There's a story here and you feel it from the moment you step inside. Walk to beach/train/Aville-/parks/schools</t>
  </si>
  <si>
    <t>Bonus, Foyer, Pantry, Storage, Sun/Florida Room, Utility Room-Lower Level</t>
  </si>
  <si>
    <t>(847) 272-9880</t>
  </si>
  <si>
    <t>Betty Holmes, SFR</t>
  </si>
  <si>
    <t>(773) 255-4151</t>
  </si>
  <si>
    <t>Text LA 773.255.4151</t>
  </si>
  <si>
    <t>One day code will be issued.</t>
  </si>
  <si>
    <t>'ORANGE' CLASSIFICATION on this property with City of Chicago Landmarks Office. Screw in bulb in foyer if too dark, not on switch. Bring flashlight if coming in evening. Door is tricky so push and please lock upon leaving.</t>
  </si>
  <si>
    <t>W Route 71, N on Plainfield Rd, R on Grove Rd, L on Deerpath, L on Andover</t>
  </si>
  <si>
    <t>Deerpath Trails</t>
  </si>
  <si>
    <t>80 X 150</t>
  </si>
  <si>
    <t>Stunning executive home! Beautiful two story foyer w decorative molding, arched doorways, formal living &amp; dining room, walk thru butler to gourmet kitchen w double ovens, granite, large island, open to family room w decorative ceiling, fireplace, den w french doors, master suite w dual shower heads/body spray, walk-in closet, jack/jill bath, guest room w private bath, bonus room, huge laundry, deep english basement</t>
  </si>
  <si>
    <t>Humidifier, Central Vacuum, Security System, CO Detectors, Ceiling Fan, Sump Pump, Sprinkler-Lawn, Air Cleaner, Backup Sump Pump</t>
  </si>
  <si>
    <t>Bonus, Deck, Foyer, Office, Walk In Closet</t>
  </si>
  <si>
    <t>2.75%-$250 (on Net SP)</t>
  </si>
  <si>
    <t>Kelly Bitto, SFR</t>
  </si>
  <si>
    <t>(630) 484-8785</t>
  </si>
  <si>
    <t>OFFERS 866-754-1518</t>
  </si>
  <si>
    <t>630-484-8785</t>
  </si>
  <si>
    <t>One Hour Notice, Call CSS 877-977-1010</t>
  </si>
  <si>
    <t>Taxes do not include homeowner exemption, new buyer will have lower tax. So many upgrades, can't build for list price! If seen before take another look - quick close possible! Please leave business card, secure all doors &amp; turn off lights.</t>
  </si>
  <si>
    <t>BLISS TO HANKES TO MERRILL NEW TO GREENFIELD OR BLISS TO WINDSTONE DR TO MERRILL NEW TO GREENFIELD</t>
  </si>
  <si>
    <t>80X160</t>
  </si>
  <si>
    <t>Spectacular Custom beauty with upgrades galore! Impressive 4br 3 1/2ba home with lots of forethought while building~10ft 1st fl &amp; 9ft 2nd fl ceilings~Pella windows~9ft deep pour basement~Brazilian Cherry flrs~Glazed Maple soft close cabs w/granite &amp; stainless appl~3/car garage~New roof &amp; New Hardiboard siding~Stone fireplace~1st fl master w/handicap access &amp; 4-season sunroom~See Notes on photos for Features...a 10+!</t>
  </si>
  <si>
    <t>Gas, Forced Air, Heat Pump, 2+ Sep Heating Systems, Indv Controls</t>
  </si>
  <si>
    <t>Unfinished, Other, Bathroom Rough-In</t>
  </si>
  <si>
    <t>Whirlpool, Separate Shower, Handicap Shower, Double Sink, Full Body Spray Shower, Soaking Tub</t>
  </si>
  <si>
    <t>Bonus, Breakfast Room, Sun/Florida Room Heated</t>
  </si>
  <si>
    <t>CALL SHOWING TIME 855-919-0376 MUST CONFIRM</t>
  </si>
  <si>
    <t>Energy saving features! GREAT for needing an in-law arrangement, as there is a first &amp; 2nd floor master, and the first flr &amp; br on 1st fl are all wheel chair accessible. Hanging garage storage units excluded &amp; Not all window treatments stay</t>
  </si>
  <si>
    <t>Lawrence to Kildare North to Home</t>
  </si>
  <si>
    <t>HISTORIC NORTH MAYFAIR SPACIOUS 4BDRM BRICK BUNGALOW! MANY RECENT UPDATES! MAIN FL OFFERS EXTRA SPACE W/BRIGHT SUN RM AND FAM RM ADDITION OFF UPDATED KITCHEN. CROWN MLD, FP. NEW WINDOWS &amp; VINTAGE FRENCH WINDOWS.  2ND FLR OFFERS 2BR, NEW 3/4BTH, LG SITTING RM &amp; HDWD FLRS. FULL-FIN BSMT W/REC RM, WET BAR, STG RM, WORK RM, LAUNDRY. ROOF 2012. HW HTR 2013 2.5 GRG.  CLOSE TO BLUE LINE 90/94 GOMPERS PK LAGOON. AGENT OWNED</t>
  </si>
  <si>
    <t>Baseboard, Radiant</t>
  </si>
  <si>
    <t>Oven/Range, Microwave, Dishwasher, Refrigerator-Bar, Washer, Dryer, Disposal</t>
  </si>
  <si>
    <t>Bar, Pantry, Recreation Room, Sitting Room, Storage, Sun/Florida Room, Workroom</t>
  </si>
  <si>
    <t>Heather Davern</t>
  </si>
  <si>
    <t>Call 855-746-9100. 2 Hour notice preferred.  Must Confirm.</t>
  </si>
  <si>
    <t>Agent Owned.</t>
  </si>
  <si>
    <t>Valley</t>
  </si>
  <si>
    <t>Lake Cook (Main St.) to N. Valley to N. Valley Ct. (right)</t>
  </si>
  <si>
    <t>104X219X24X161X191</t>
  </si>
  <si>
    <t>Picturesque views of the lake from immaculate Fox Point all brick ranch will be enjoyed year round! Open floor plan + updates make this home shine above the rest! Hwd. &amp; limestone floors, updated KI w/ lakeview open to FR w/stone FP,  Lux MBA, 2000 SF fin. bsmt. w/ REC &amp; Exer., new windows &amp; doors, new mech. Outdoor living...2 decks &amp; patio + $50K in landscape. Enjoy pool, tennis, lake, walk to schools, train &amp; town!</t>
  </si>
  <si>
    <t>Clubhouse, Pool, Tennis Courts, Pond/Lake, Street Lights, Street Paved</t>
  </si>
  <si>
    <t>Double Sink, Full Body Spray Shower, Double Shower</t>
  </si>
  <si>
    <t>Cul-de-sac, Water View</t>
  </si>
  <si>
    <t>Eating Area, Exercise Room, Foyer, Recreation Room, Workroom</t>
  </si>
  <si>
    <t>Skylight(s), Bar-Dry, Hardwood Floors, 1st Floor Bedroom, 1st Floor Laundry, 1st Floor Full Bath</t>
  </si>
  <si>
    <t>Deck, Patio, Dog Run &amp;/or Invisible Fence</t>
  </si>
  <si>
    <t>26X38</t>
  </si>
  <si>
    <t>Click link below or call office at 847-381-8800</t>
  </si>
  <si>
    <t>Turn key ready for your picky buyers; neutral decor; great location; 4th BR being used as study; new windows, hardscape, high effic. furnace, water softener, R/O system,</t>
  </si>
  <si>
    <t>Rt 23 ( S. 4th St.) to Ball to Property</t>
  </si>
  <si>
    <t>57X140</t>
  </si>
  <si>
    <t>Move In Ready! 4 bedroom, 1.5 bath features hardwood floors, new paint, kitchen with eating area, full unfinished basement, 1 car heated attached garage, patio, and shed. Established neighborhood. This is a Fannie Mae HomePath Property.</t>
  </si>
  <si>
    <t>Seller directs all offers be submitted at www.homepath.com. All inspections are at buyers expense. Seller will not provide survey. Prorations 100%. See  homepath.com for directions and forms</t>
  </si>
  <si>
    <t>Western north of Lawrence, east on Winnemac, north on Claremont to address.</t>
  </si>
  <si>
    <t>Superior quality full rehab of enormous SFH in Lincoln Square. Main floor features magnificent kitchen with Viking appliances, large dining room, living room w fireplace. 2nd floor includes 3 beds, 2 baths &amp; laundry.  Huge master suite with sep shower, soaking tub and 2 walk in closets. Bsmt with 8 ft ceilings features 4th bed, full bath and huge rec room w dry bar. Brick paver patio in back w pro landscaping.</t>
  </si>
  <si>
    <t>Ashcroft</t>
  </si>
  <si>
    <t>Route 71 to Plainfield Rd, South to Linden, right to Ashcroft Lane, right to home</t>
  </si>
  <si>
    <t>ASHCROFT</t>
  </si>
  <si>
    <t>LAUREL</t>
  </si>
  <si>
    <t>75X133.5</t>
  </si>
  <si>
    <t>Hurry to show this Laurel model in Ashcroft of Oswego. Freshly painted and ready for new owners. Large, 4 bedroom home with 2 extra rooms off the back stairway to accommodate many purposes. Master suite is quite large with 2 closets and spacious bath. Full unfinished basement to meet anyone's storage needs. Outside, has cozy front porch, handy dog run, and incredible landscaping that can be enjoyed all in all seasons</t>
  </si>
  <si>
    <t>Den, Eating Area, Office</t>
  </si>
  <si>
    <t>Patio, Dog Run &amp;/or Invisible Fence, Brick Paver Patio, Pool Above Ground</t>
  </si>
  <si>
    <t>Must have permission due to dogs</t>
  </si>
  <si>
    <t>Channing</t>
  </si>
  <si>
    <t>Villa Street to Channing to listing</t>
  </si>
  <si>
    <t>44X170</t>
  </si>
  <si>
    <t>4 bedroom 2 story  in Historic District. Freddie Mac HomeSteps Property sold as-is. No disclosures/survey. Pro-Rations will be made at 100%. Pre approval/POF must accompany all offers. Special addendums required. Up to $500 for owner occ. home warranty. Owner/Occ First Look period good through 12/01/2014. Buyer is responsible for all city required repairs. MULTIPLE OFFERS highest and best due by 10 a.m. on 11/19.</t>
  </si>
  <si>
    <t>Forms. Sold as-is 100% tax, no disc. POF/preapp w/offers. Proof of Cert. EM w/offer. Owner Occupant First Look Period through 12/01/2014. Buyer is resp. for all city required repairs.  No FHA. MULTIPLE OFFERS h&amp;B due by 10 a.m. on 11/19/14</t>
  </si>
  <si>
    <t>Mac Kenzie</t>
  </si>
  <si>
    <t>Grove Road to Chicago Road to Plattville Road to Mackenzie OR Rt. 52 to Church to Plattville to Home</t>
  </si>
  <si>
    <t>LISBON</t>
  </si>
  <si>
    <t>264 X 155 X 311 X 105</t>
  </si>
  <si>
    <t>Staycation home located close to City, yet away from it all.  This 4 bedroom; 3 bath home has it all.  First floor master with additional first floor den.  Separate dining area.  Living room with fireplace.  Kitchen is eat-in with sliding patio doors to deck with pool (slide also) and outdoor access bathroom.  Full basement is ready to be finished.  3 car garage and large driveway.  Tons of space and charm!</t>
  </si>
  <si>
    <t>2.5% - 250.00 (on Net SP)</t>
  </si>
  <si>
    <t>Laura Edward, ABR,GRI</t>
  </si>
  <si>
    <t>(630) 336-5206</t>
  </si>
  <si>
    <t>24 hour notice required.</t>
  </si>
  <si>
    <t>2 blks East of Cicero 1 1/2 blks North of Fullerton</t>
  </si>
  <si>
    <t>SFH recently rehabbed, new kitchen with SS appliances, new bathroom with hot tub, new copper plumbing throughout and new electrical wiring. New furnace HVC/AC  Very low taxes. Take advantage and buy low now before prices rise, once the new Bloomindale trail bike path gets built.</t>
  </si>
  <si>
    <t>Raul I Lopez</t>
  </si>
  <si>
    <t>(773) 552-3027</t>
  </si>
  <si>
    <t>Text/E-mail LA @ 773-552-3027</t>
  </si>
  <si>
    <t>Property was rehabbed a year ago. Close to public transportation and schools.</t>
  </si>
  <si>
    <t>Leavitt to Race, West to 2213</t>
  </si>
  <si>
    <t>25 X 90</t>
  </si>
  <si>
    <t>Modern New Construction in West Town, 4 bdrm 3 1/2 Bath Single Family from ZOV Development. Glass, Brick &amp; Hardie Exterior, Stained Hdwd Floors, Open Floor Plan, Flat Panel Cabinets, Bosch, Quartz, Porcelain, Wired for Whole Home Audio, Spa Baths w/Heated Floors &amp; Rain Showers, High Efficiency Zoned HVAC, Decked Garage &amp; Penthouse Room w/Dual Roof Decks, Late Fall Delivery!</t>
  </si>
  <si>
    <t>Curbs/Gutters, Gated Entry, Sidewalks, Street Lights, Street Paved, Other</t>
  </si>
  <si>
    <t>Humidifier, Security System, CO Detectors, Sump Pump</t>
  </si>
  <si>
    <t>Bonus, Great Room</t>
  </si>
  <si>
    <t>16X27</t>
  </si>
  <si>
    <t>Please email for full presentation package- Delivery Late Fall 2014</t>
  </si>
  <si>
    <t>W Diversey Ave to south on Drake, just east of Central Park</t>
  </si>
  <si>
    <t>125X31X125X31</t>
  </si>
  <si>
    <t>Newly remodeled, gut rehab- your brand new home! Right next to I-94 &amp; Logan Square Blue line!</t>
  </si>
  <si>
    <t>Bonus, Den, Mud Room</t>
  </si>
  <si>
    <t>2.5%-$295 (ON GSP) (on Gross SP)</t>
  </si>
  <si>
    <t>Ryan Casper</t>
  </si>
  <si>
    <t>(773) 307-0439</t>
  </si>
  <si>
    <t>Email rcrshowings@daprileproperties.com</t>
  </si>
  <si>
    <t>Take 77th street to Perry go north to 7646</t>
  </si>
  <si>
    <t>This is a fabulous home with loads of potential. it has 4 bedrooms, formal dining room, huge living room. Two bedrooms and a bathroom. There is an eat-in kitchen and believe it or not an attached 2 car garage. It is being sold as is and will make a great home for a first time buyer.</t>
  </si>
  <si>
    <t>26.2 Realty</t>
  </si>
  <si>
    <t>(773) 253-8873</t>
  </si>
  <si>
    <t>Sheila Barney-Shannon</t>
  </si>
  <si>
    <t>call listing office not on lockbox</t>
  </si>
  <si>
    <t>This home is being sold As-is. The basement does have water damage. 24 hrs notice required for all showings.</t>
  </si>
  <si>
    <t>from 87 th St.  E or W to Knox (4632W), N to home</t>
  </si>
  <si>
    <t>36X126X39X126</t>
  </si>
  <si>
    <t>Awesome RR , beautiful hardwood floors, kitchen &amp; appliances (2010), in the past few years-house rewired, refinished floors, remodeled bathrooms, new doors, bsmt fam rm-unique flrng, (4th bdrm w/closet), new bdrm &amp; bsmt windows  ... great yard/deck, hot tub, pool w/heater, gas hook-up for grill, 4 outdoor speakers, garage has OHD facing yard ... nothing to do for your pre-approved buyers but move-in!</t>
  </si>
  <si>
    <t>15X37</t>
  </si>
  <si>
    <t>Bar-Dry, Hardwood Floors, 1st Floor Full Bath</t>
  </si>
  <si>
    <t>2.4% (on Gross SP)</t>
  </si>
  <si>
    <t>call L/A 773-988-1106,anytime S&amp;S,M-F prefer aft 4:30, some notice please</t>
  </si>
  <si>
    <t>Nice rehab !!!   Chandelier in baby's room does not stay - will be replaced</t>
  </si>
  <si>
    <t>Conveniently located 4 bedroom, 2-1/2 bath home near clubhouse, walking paths, pool and lakes. This home offers an open floor plan with good sized bedrooms and a dedicated 1st flr. laundry room.  Property is being offered â€œAS IS, WHERE ISâ€_x009d_.</t>
  </si>
  <si>
    <t>Please see attachments. Any financed offers require a pre-qual from Greenlight Loans 866-250-7143.</t>
  </si>
  <si>
    <t>North or south on Western Ave. to Le Moyne St. (1500N), West to Rockwell, north to property.</t>
  </si>
  <si>
    <t>ATTENTION!! HUGE PRICE REDUCTION!! Excellent 12  years old SFH, sitting on 2 CITY LOTS of huge value in the rapidly changing East Humboldt Park! Great opportunity for those with creative ideas. 4 (5) Bedroom; 2 (3) Bath, in this 3 level home. All it needs is some TLC/light remodeling. Sold "As Is". Very close to Wicker Park and Bucktown restaurants and nightlife! Come take a close look!</t>
  </si>
  <si>
    <t>Brick, Block, Concrete</t>
  </si>
  <si>
    <t>Augusto Torres</t>
  </si>
  <si>
    <t>(773) 457-3377</t>
  </si>
  <si>
    <t>Please call listing agent at 773-457-3377</t>
  </si>
  <si>
    <t>See attached Plat of Survey under the column "additional information"</t>
  </si>
  <si>
    <t>Fellows</t>
  </si>
  <si>
    <t>3rd to Fellows, west to home</t>
  </si>
  <si>
    <t>Great location &amp; fantastic lot! Home has 4 BDs, 2 baths each fully updated. Kitchen has been completely redone w/ granite counters &amp; appliances. Lower level has nice family room w/ fireplace! The backyard is huge, fully fenced w in-ground pool, paver patio and two level deck! Plenty of room for family &amp; friends both inside &amp; out. Directly across from Davis Park! So close to both Geneva and St. Charles! GREAT BUY!!</t>
  </si>
  <si>
    <t>Deck, Storage Shed, Brick Paver Patio, Pool In-Ground, Storms/Screens</t>
  </si>
  <si>
    <t>855-746-9100~~24 Hours requested but not required. Some notice needed for dog.</t>
  </si>
  <si>
    <t>Great home in even better location. Please show! Please use Multi-board 6.0 contract.</t>
  </si>
  <si>
    <t>Halsted to 105th st W To Peoria S To Home</t>
  </si>
  <si>
    <t>The newly remodeled 4 bedroom, 2 bathroom raised ranch is full of  special features and new additions. The kitchen boasts stainless steel appliances, granite counters and upgraded cabinets.  The house offers some hardwood, central air conditioning, and a 2-car garage. There's a lot this home offers, so take a look!</t>
  </si>
  <si>
    <t>38W779</t>
  </si>
  <si>
    <t>Brindlewood</t>
  </si>
  <si>
    <t>Highland W. to Coombs, W. to Brindlewood, Rt. (1st home on right)</t>
  </si>
  <si>
    <t>Wildwood Valley</t>
  </si>
  <si>
    <t>CONTEMPORARY</t>
  </si>
  <si>
    <t>181X135X39X141X35X62</t>
  </si>
  <si>
    <t>Original Owners...Admired one-of-a-kind contemporary...oozing with custom top-of-the line details! Nestled atop 1/2 acre of rolling mature landscape &amp; trees...features are too many to list! mature landscape w/waterfall, hot tub, a deck/balcony/patio from every rm, in-law poss, quartz &amp; hickory lux kit, plantation shutters, unbelievable master suite w/walk-in cl &amp; full ba "out of a mag", main fl br &amp; full ba, wet bar!</t>
  </si>
  <si>
    <t>Oven/Range, Microwave, Dishwasher, Refrigerator, Refrigerator-Bar, Washer, Dryer, Disposal, Compactor-Trash</t>
  </si>
  <si>
    <t>Bar, Eating Area, Foyer, Loft</t>
  </si>
  <si>
    <t>Hot Tub, Bar-Wet, Hardwood Floors, 1st Floor Bedroom, In-Law Arrangement, 1st Floor Full Bath</t>
  </si>
  <si>
    <t>Balcony, Deck, Patio, Hot Tub, Brick Paver Patio, Storms/Screens</t>
  </si>
  <si>
    <t>Listing Agent Related to Seller.  Kitchen light fixture and bedroom ceiling fans do not stay.</t>
  </si>
  <si>
    <t>Pheasant</t>
  </si>
  <si>
    <t>RAND RD TO CUBA RD LEFT TO PHEASANT LEFT TO HOME</t>
  </si>
  <si>
    <t>254 X 207 X 220 X 74</t>
  </si>
  <si>
    <t>Spacious split level situated on park-like setting. Floor plan features living rm, dining rm, kitchen, &amp; laundry on main floor. 3 bedrms plus master suite on 2nd floor. Lower level makes perfect family room with fireplace, bath, &amp; office. Kitchen w/center island &amp; breakfast bar opens to eat-in area w/ Walkout. Large private lot viewing water is perfect for this summerâ€™s BBQs and entertaining. Agents: see agent remark</t>
  </si>
  <si>
    <t>Forest Preserve Adjacent, Pond, Water View, Wooded</t>
  </si>
  <si>
    <t>Send offers &amp; POF/preapprv to BPO@expectre.com /Fax# 630-480-0921. Allow time for seller response. AGENTS PLEASE LOCK UP AND PUT KEYS BACK INTO LOCK BOX. SELLER SHALL NOT PROVIDE A SURVEY. SPECIAL ADDENDUMâ€™S SENT AFTER OFFER IS ACCEPTED.</t>
  </si>
  <si>
    <t>Exchange</t>
  </si>
  <si>
    <t>Route 47 (south of river) to Fox Road, West to Morgan, North to home.</t>
  </si>
  <si>
    <t>132 X 66</t>
  </si>
  <si>
    <t>Walk to downtown Yorkville! Bi-level located in nice neighborhood. This 4 bedroom, 2 bath Bi-level has a brand new roof, new A/C and just newly refinished hardwood floors. There is one year old carpet in the rest of the home. 2 car attached garage and a huge side yard that can be fenced. Very friendly neighbors! The big walnut tree out front keeps the home cool in the summer. Just move in. Realtor owned. Act quickly!</t>
  </si>
  <si>
    <t>Patrick McNamara</t>
  </si>
  <si>
    <t>(630) 553-2737</t>
  </si>
  <si>
    <t>(630) 913-2730</t>
  </si>
  <si>
    <t>O-O-R</t>
  </si>
  <si>
    <t>Financing fell through for buyers. The lower level bath is a 3/4 bath. Can close quickly. The seller will 1031 tax free exchange this property, there is a document for the buyer to sign.</t>
  </si>
  <si>
    <t>Addison east of Kedzie south on Albany to address. Albany runs one way south.</t>
  </si>
  <si>
    <t>25 X 127</t>
  </si>
  <si>
    <t>Gorgeous fully rehabbed SFH w/open concept living space. Large living/dining area w/fireplace and craftsman details throughout. Spacious kitchen features shaker-style cabinetry, oversized island w wine rack, SS Bosch appliances &amp; granite counters. 3 beds, 2 baths &amp; laundry on upper level. Fully finished lower level w/rec room, wet bar, 4th bed and full bath. Back yard with great deck, large yard.</t>
  </si>
  <si>
    <t>Western to 68th, west to Maplewood, south to property</t>
  </si>
  <si>
    <t>3150SQFT</t>
  </si>
  <si>
    <t>Great opportunity to buy a fully redeveloped home at a great price. This spacious home features 4 bedroom 2 baths. Currently under construction to include new kitchen, baths, flooring, and much more!</t>
  </si>
  <si>
    <t>38X15</t>
  </si>
  <si>
    <t>Oak Park Avenue Realty, LTD</t>
  </si>
  <si>
    <t>(855) 888-6225</t>
  </si>
  <si>
    <t>John Gutman</t>
  </si>
  <si>
    <t>(888) 458-9570</t>
  </si>
  <si>
    <t>Please call 855-222-6225</t>
  </si>
  <si>
    <t>Currently under construction</t>
  </si>
  <si>
    <t>Dorchester</t>
  </si>
  <si>
    <t>LSD to 53rd, W to Dorchester, S to corner of 58th.  Property is within townhouse complex.</t>
  </si>
  <si>
    <t>Best University of Chicago &amp; LAB School location! This well-designed 4-bedroom, 3 full bath campus townhome has it all: great family-friendly layout, gorgeous eat-in kitchen with granite and stainless steel Jenn-Air and Bosch appliances, stunning new master bath, spacious deck off the master BR, huge lower-level family room, loads of storage and TWO parking spaces.</t>
  </si>
  <si>
    <t>31X15</t>
  </si>
  <si>
    <t>Parking, Common Insurance, Exterior Maintenance, Lawn Care, Scavenger, Snow Removal</t>
  </si>
  <si>
    <t>Breakfast Room, Deck</t>
  </si>
  <si>
    <t>24-hour notice with confirmation. Use Showing Assistant.</t>
  </si>
  <si>
    <t>North Ave to Laramie, N to property</t>
  </si>
  <si>
    <t>Brick single family house with full basement and attic</t>
  </si>
  <si>
    <t>Diaz Homes Realty</t>
  </si>
  <si>
    <t>(773) 622-9930</t>
  </si>
  <si>
    <t>Francisco Diaz</t>
  </si>
  <si>
    <t>(773) 593-7203</t>
  </si>
  <si>
    <t>e-mail, text or call listing agent</t>
  </si>
  <si>
    <t>5N759</t>
  </si>
  <si>
    <t>IRONWOOD</t>
  </si>
  <si>
    <t>From Empire/Burlington, head west on Empire, then L on Arboretum, R on Jens-Jensen, R on Ironwood</t>
  </si>
  <si>
    <t>164X227X120X160</t>
  </si>
  <si>
    <t>Over 1/2 acre on cul-de-sac lot in one of St. Charles' best communities - The Windings of Ferson Creek.  Beautifully updated home includes kitchen with stainless steel appliances and granite counters. Finished basement with huge rec room. Living room with fireplace. 4 beds on 2nd floor. Office on 1st floor. Neighborhood features swimming pool, tennis courts, hiking trails, sledding hill, fishing pond, clubhouse.</t>
  </si>
  <si>
    <t>Cody Salter</t>
  </si>
  <si>
    <t>Call Listing Agent (Cody) at 630-347-8900.  Must confirm.</t>
  </si>
  <si>
    <t>Shows Immaculately.</t>
  </si>
  <si>
    <t>31st St to Union, North on Union. House is at SE corner of 30th &amp; Union</t>
  </si>
  <si>
    <t>2928SF</t>
  </si>
  <si>
    <t>Nice corner 2-story home+potential income unit in the back w/ separate entrance! Home needs some TLC. Lots of potential &amp; great location in Bridgeport! AS IS condition. Bring Qualified OFFERS! Seller in negotiable.</t>
  </si>
  <si>
    <t>HEALY ELEMENTARY SCHOOL</t>
  </si>
  <si>
    <t>Den, Pantry, Storage, Walk In Closet</t>
  </si>
  <si>
    <t>1.5 Story, Coach House</t>
  </si>
  <si>
    <t>2% -$200 (on Gross SP)</t>
  </si>
  <si>
    <t>Nicholas Clancy</t>
  </si>
  <si>
    <t>(312) 217-3237</t>
  </si>
  <si>
    <t>Call Nick 312.217.3237</t>
  </si>
  <si>
    <t>Bring Offers, seller is negotiable!</t>
  </si>
  <si>
    <t>Mair</t>
  </si>
  <si>
    <t>Fabyan to Western S to Lundberg E to Paddock to Mair Ct</t>
  </si>
  <si>
    <t>84X94X137X126</t>
  </si>
  <si>
    <t>Well maintained home on quiet culdesac with private back yard and mature landscaping. Newer roof and siding. Large kitchen with slider door to wonderful screened porch with vaulted ceiling and separate deck area. Large master with vaulted ceiling and luxury bath. Cozy familyroom with gas fireplace. Partially finished basement with ventless fireplace and plenty of storage room. Motivated seller.</t>
  </si>
  <si>
    <t>Deck, Porch Screened, Storage Shed, Storms/Screens</t>
  </si>
  <si>
    <t>cell 630-336-7936</t>
  </si>
  <si>
    <t>Nice home, shows well. Storage shed included. Beauty shop equipment in basement is negotiable. Please use Multi-board 6.0 contract.</t>
  </si>
  <si>
    <t>MARQUETTE ST. TO TALMAN, N. TO PROPERTY</t>
  </si>
  <si>
    <t>FORECLOSED PROPERTY AWAITING NEW OWNERS UNIT APPEARS TO BE IN GOOD CONDITION BRING YOUR APPROVED BUYERS. SELLERS REQUIRE ALL BUYERS TO VIEW THE HOME BEFORE SUBMITTING AN OFFER.</t>
  </si>
  <si>
    <t>Illinois Premier Homes</t>
  </si>
  <si>
    <t>(630) 613-9556</t>
  </si>
  <si>
    <t>Corey Scott</t>
  </si>
  <si>
    <t>(773) 418-0412</t>
  </si>
  <si>
    <t>JEFF BV SFH LLC</t>
  </si>
  <si>
    <t>SOLD AS IS/EMAIL ALL OFFERS TO: PEPREMIERBPOS@GMAIL.COM/ MUST USE SELLER CONTRACT UNDER ADDITIONAL INFO/ EM MINIMUM $2500 IN CERTIFIED FUNDS UPON ACCEPTANCE/SELLER WILL NOT ENTERTAIN ANY CONTINGENCIES/TAXES PRORATED AT 100%</t>
  </si>
  <si>
    <t>Lake Ridge</t>
  </si>
  <si>
    <t>Randall to  SilvrGlen W to Thornwood N to Thornwood R to LKRDG L</t>
  </si>
  <si>
    <t>124 X 111 X 21 X 63 X 134</t>
  </si>
  <si>
    <t>Quality rehab 4 BDR /2.1 BA.  Two Story home on a huge corner lot in Thornwood.  Spacious kitchen for entertaining. Fresh paint and carpet.  Finished basement.</t>
  </si>
  <si>
    <t>ASHLAND TO 90TH WEST to Marshfield and South to property.</t>
  </si>
  <si>
    <t>NOT A SHORT SALE- Property is in good shape.  Was rehabbed a few year ago. Maybe painting and new carpet.  Large Unfinished Basement. About 400 sq ft.  Finished Attic- 2 additional bedrooms upstairs.</t>
  </si>
  <si>
    <t>2.5% OF NET SALES PRICE (on Net SP)</t>
  </si>
  <si>
    <t>Elaine Dubois</t>
  </si>
  <si>
    <t>(708) 602-4812</t>
  </si>
  <si>
    <t>Call Front desk for appointment.</t>
  </si>
  <si>
    <t>THIS IS NOT A SHORT SALE OR FORECLOSURE.  HOME IS IN GOOD SHAPE.  ONLY NEED PAINTING AND CARPETING.  THERE ARE HARDWOOD FLOOR UNDER THE CARPETS.</t>
  </si>
  <si>
    <t>ROUTE 47, E ON KESLINGER, S ON BLACKBERRY CREEK DRIVE, E ON SPALDING TO ORLEANS SALES OFFICE</t>
  </si>
  <si>
    <t>120X80</t>
  </si>
  <si>
    <t>Shiny...NEW...love it!  Embrace Spring by purchasing a home with heart-melting views.  At the end of a long day, come home to an impressive craftsman-style exterior, 3 car garage, open design, cozy fireplace, hardwood floors, gourmet kitchen w/ granite counters, luxury master bath, full basement w/ deep pour, and private views.  All new and all yours!</t>
  </si>
  <si>
    <t>Play Room, Sitting Room</t>
  </si>
  <si>
    <t>3%-$195 FEE (on Net SP)</t>
  </si>
  <si>
    <t>Call Eva at the Orleans sales office on site 847-961-8322</t>
  </si>
  <si>
    <t>ORLEANS HOMES</t>
  </si>
  <si>
    <t>Attrill</t>
  </si>
  <si>
    <t>California, south of Milwaukee to Stave. Turn SE on Stave to Attrill, turn NE on Attrill St.</t>
  </si>
  <si>
    <t>25X143</t>
  </si>
  <si>
    <t>Amazing new construction! 4 bed 3 1/2 bath contemporary urban design with spacious back yard, Xtra deep 143' lot.  Exceptional spacious layout and luxury finishes including HW floors, steel railings, 42" espresso cabinets, quartz counters, spa-like bath, pre-wiring, 2 HVAC zoned systems, and SS appliances. WALK to train, parks, restaurants and all that Bucktown/Logan Square/Palmer Square have to offer. ALSO FOR RENT.</t>
  </si>
  <si>
    <t>CHASE ELEMENTARY SCHOOL</t>
  </si>
  <si>
    <t>Click on showing assist, instructions will be texted/emailed. Please do not call listing office.</t>
  </si>
  <si>
    <t>Listing office does not hold earnest money, make to "Law Offices of Daniel Hofstetter". AGENT HAS OWNERSHIP INTEREST. Visit our website www.sky-homes.com for other properties as well.</t>
  </si>
  <si>
    <t>Cicero Ave to 46th St. West to Leclaire N to property.</t>
  </si>
  <si>
    <t>31 X 126 X 30 X 126</t>
  </si>
  <si>
    <t>Solid Brick Ranch with 4 bdrms, 2 up. 2 down. 2 baths. Home is in need of rehab and repair. Being offered to investors or contractors as part of package with 4601 S. Leamington. Handy man special in excellent location for city services and conveniences. Newer furnace, garden window in kitchen, fenced yard. Detached 2 car garage.</t>
  </si>
  <si>
    <t>FHA, Cash Only</t>
  </si>
  <si>
    <t>R M Post Realtors</t>
  </si>
  <si>
    <t>(708) 429-5300</t>
  </si>
  <si>
    <t>Brian Marton</t>
  </si>
  <si>
    <t>Call listing Office. EZ show.</t>
  </si>
  <si>
    <t>Titleholder of Record</t>
  </si>
  <si>
    <t>Subject to Court Approval. Handyman, contractor or investor special. Home needs rehab.</t>
  </si>
  <si>
    <t>95TH ST WEST OF STONEY ISLAND TO AVALON SOUTH TO HOME</t>
  </si>
  <si>
    <t>RECENTLY REMODELED 4 BEDROOM (1 LOWER BEDROOM) SINGLE FAMILY HOME IN THE PULLMAN NEIGHBORHOOD. SOME OF THE HIGHLIGHTS INCLUDE: KITCHEN (ESPRESSO CABINETS, STAINLESS APPLIANCES, GRANITE COUNTERS, BACK SPLASH, CERAMIC TILE) HARDWOOD FLOORS, WAINSCOTING, A FULL FINISHED LOWER LEVEL &amp; SO MUCH MORE. SHOW &amp; SELL!</t>
  </si>
  <si>
    <t>10X39</t>
  </si>
  <si>
    <t>106th St east to Ave L</t>
  </si>
  <si>
    <t>Charming 1.5 story all brick home, recently renovated attic/3rd bedroom is blank slate make it your own. Roof&amp;garage roof-'08,windows-'09&amp;'11, heat/central air-'08, front steps,back porch-'10,attic-'14 all newer in the last 6 yrs. Very clean and well cared for live in ready. Absolutely impeccable condition with lots of natural light. Walking distance to retail, schools and transportation. A must see on the East Side.</t>
  </si>
  <si>
    <t>12X35</t>
  </si>
  <si>
    <t>Call or TEXT Agent: Traci Dosen 708-935-4739</t>
  </si>
  <si>
    <t>Call or text for appointment   Traci Dosen  708-935-4739  2008-new roof and new heating and air  2009 &amp; 2011 All new windows thru out entire house  2010 all new cement sidewalks and front&amp;back porch</t>
  </si>
  <si>
    <t>Pulaski to 82nd East to property</t>
  </si>
  <si>
    <t>Beautiful ranch sitting atop oversized Chicago lot updated with 4BR/2BTH, refinished hardwood floors, custom kitchen cabinets, granite counter tops, stainless steel appliances, finished basement and more! Make this house your home!</t>
  </si>
  <si>
    <t>Text listing agent @ 773-406-8772</t>
  </si>
  <si>
    <t>Our office does not hold E.M.</t>
  </si>
  <si>
    <t>51ST TO TROY, SOUTH TO PROPERTY</t>
  </si>
  <si>
    <t>CORNER RAISED RANCH BRICK HOUSE IN EXCELLENT CONDITION. LIVING ROOM ANS 3 BEDROOMS ALL HARDWOOD FLOORS, KITCKEN AND LIVIGN ROOM NORMAL FLOORS. FRONT AND STORM DOORS NEW, NEW IRON FENCE AND SOME NEW WINDOWS AROUND THE HOUSE. NEW KITCHEN CABINETS AND COUNTER TOPS. STAINLESS STEEL APPLIANCES AND WINDOW TREATMENTS STAYING.</t>
  </si>
  <si>
    <t>37X12</t>
  </si>
  <si>
    <t>2.50%- $100 (on Net SP)</t>
  </si>
  <si>
    <t>Griselda Chaidez</t>
  </si>
  <si>
    <t>(773) 416-2470</t>
  </si>
  <si>
    <t>773-416-2470 griselda.sfr@gmail.com</t>
  </si>
  <si>
    <t>EMAIL LISTING OFFICE 24 HOUR NOTICE: PULASKI.SFR@GMAIL.COM</t>
  </si>
  <si>
    <t>Subject to Court Approval. Appointments on weekdays only after 6PM and weekends any time.</t>
  </si>
  <si>
    <t>Madison to Lexington to Lancaster to Liberty</t>
  </si>
  <si>
    <t>71X103X62X101</t>
  </si>
  <si>
    <t>Absolutely beautiful 4BR/2.1BA home on wooded landscaped lot backing to Rotary Park! Neutral decor, large room sizes &amp; hardwood floors. Inviting living room, formal dining room, eat-in kitchen w/solid surface countertops. Spacious family room w/floor-to-ceiling brick fp &amp; slider to deck w/built-in seating. Generous bedroom sizes, master w/walk-in closet &amp; private bath. Finished bsmt w/rec room &amp; office. Move-in ready</t>
  </si>
  <si>
    <t>Recreation Room, Office</t>
  </si>
  <si>
    <t>Hutchinson</t>
  </si>
  <si>
    <t>Central N of Irving S of Montrose to Hutchinson East</t>
  </si>
  <si>
    <t>Jumbo octagon brick bungalow! 4 bedrooms; 3 on main level and 4th in attic. Vintage features include stained glass, hardwood floors, decorative fireplace and original fixtures. Partially finished basement with rough-in bath. Updated electric. 2 car detached garage. Located on a quiet street. This is a must see!!</t>
  </si>
  <si>
    <t>William Karner</t>
  </si>
  <si>
    <t>(773) 983-3576</t>
  </si>
  <si>
    <t>Text listing agent to show (773) 983-3576</t>
  </si>
  <si>
    <t>Forsythe</t>
  </si>
  <si>
    <t>North on First Street to Forsythe</t>
  </si>
  <si>
    <t>123X148</t>
  </si>
  <si>
    <t>ALL BRICK! Spacious ranch with many updates.  Located in a very well established neighborhood. FOUR nice sized bedrooms. Master has private bath and 2nd bed has private bath as well. Quartz Counters, Bamboo hardwood, picture windows, stone fireplace(gas), stainless appliances. 1st floor laundry and large mud room. 3 full and 1 half bath. Beautiful backyard.  Great house for growing families and empty nesters alike!</t>
  </si>
  <si>
    <t>Shows Great!  Solid well cared for home....your clients will not be disappointed. Please use Multi-board 6.0 contract.</t>
  </si>
  <si>
    <t>Point</t>
  </si>
  <si>
    <t>CALIFORNIA NORTH OR SOUTH TO (2100) POINT EAST TO ADDRESS</t>
  </si>
  <si>
    <t>23X125</t>
  </si>
  <si>
    <t>SINGLE FAM HOME IN THE BUCK TOWN/LOGAN SQUARE AREA NEAR THE BLUE LINE AND 90/94 ESPRESSWAY. THREE FLOORS OF LIVING SPACE. PLENTY OF ENTERTAINING WITHIN WALKING DISTANCE. FULL PARTIAL FINISHED BASEMENT WITH FULL BATHROOM. CALL FOR YOUR APPOINTMENT.</t>
  </si>
  <si>
    <t>2%-200 (on Net SP)</t>
  </si>
  <si>
    <t>Homevine Real Estate</t>
  </si>
  <si>
    <t>(773) 770-6090</t>
  </si>
  <si>
    <t>Armando Nevarez</t>
  </si>
  <si>
    <t>BLUE LINE ONLY TWO BLOCKS FROM PROPERTY</t>
  </si>
  <si>
    <t>Rt. 31 S to Washburn St. W to home</t>
  </si>
  <si>
    <t>170 X 50</t>
  </si>
  <si>
    <t>Adorable 4 bedroom stucco bungalow built with exceptional quality. 4 season porch wrapped in windows. Lustrous wood trim &amp; crown molding accents entire first floor. Very spacious size rooms. Modern kitchen finished with vibrant colors &amp; shining wood flooring. Full unfinished basement convenient for storage. Windows galore! Central air. Storage shed. Sold As-Is. No seller disclosures. Equal Housing Opportunity.</t>
  </si>
  <si>
    <t>Case #137-464165. Insured Status:IE. $2,200 Repair Escrow Up to 3% Co-op. Offers submitted on-line. Office must be HUD registered. See attached HUD Guidelines. Go to HUDhomestore.com and oforireo.com. Questions? HUD@tanisgroupllc.com.</t>
  </si>
  <si>
    <t>Division Street to S. Tyler Road.  North to Rita.  Rt on Rita to Weber.</t>
  </si>
  <si>
    <t>61X100X88X108</t>
  </si>
  <si>
    <t>GREAT EAST SIDE LOCATION JUST MINUTES TO FOX RIDGE ELEMENTARY SCHOOL!  Dramatic family room w/vaulted ceiling.  Hardwood in kitchen and separate eating area.  Spacious master bedroom with walk-in closet.  Crown molding.  Ceiling fans/lights.  Partially finished basement. Short sale.</t>
  </si>
  <si>
    <t>Water-Softener Owned, TV-Cable</t>
  </si>
  <si>
    <t>ShowingTime 855.746.9093</t>
  </si>
  <si>
    <t>PARK</t>
  </si>
  <si>
    <t>At Rt.34W &amp; Rt. 71, remain on Rt. 34, then L/Park</t>
  </si>
  <si>
    <t>Great freshly painted 4 BR home. Kitchen offers new stove and dishwasher. This is a Fannie Mae HomePath property.</t>
  </si>
  <si>
    <t>EAST VIEW ELEMENTARY SCHOOL</t>
  </si>
  <si>
    <t>E/M must be certified funds. All offers are to be submitted on HomePath.com **BUYER RESPONSIBLE FOR TRANSFER STAMPS IF APPLICABLE</t>
  </si>
  <si>
    <t>Montrose East or West to Kostner Ave (4400W), north to address</t>
  </si>
  <si>
    <t>52 X 170</t>
  </si>
  <si>
    <t>Gorgeous South Mayfair jumbo bungalow awaits your design ideas.   This huge family home sits on an immense lot (52 x 170) on a quiet tree lined street. Masonry house has large rooms, finished attic with half bath and a full basement with half bath.  There are hardwood floors throughout.  Private side drive. Minutes to the expressway, short walk to the blue line.</t>
  </si>
  <si>
    <t>32X12</t>
  </si>
  <si>
    <t>Tara Leinenweber</t>
  </si>
  <si>
    <t>(773) 983-1230</t>
  </si>
  <si>
    <t>Call/text LA- 773.983.1230</t>
  </si>
  <si>
    <t>State St (Rt. 38) to Bennett (Rt. 25) North to home on River side of street.</t>
  </si>
  <si>
    <t>77X170X79X183</t>
  </si>
  <si>
    <t>Awesome location overlooking the Fox River.  Walking distance to Downtown Geneva and St. Charles. Light &amp; bright Kitchen w/newer cabinets &amp; all appliances.  Hardwood floors thru-out rest of 1st floor.  LL walkout could be Inlaw suite.  Main &amp; LL=3022 sq ft. as per assessor.  Recent improvements: driveway, french drainage system, walk, retaining walls &amp; freshly painted interior.  Walk to town &amp; Metra Train Station.</t>
  </si>
  <si>
    <t>Street Lights</t>
  </si>
  <si>
    <t>River Front, Water View</t>
  </si>
  <si>
    <t>Call Centralized Showings at 1-877-9771010</t>
  </si>
  <si>
    <t>This is a great property priced to sell, located walking distance to downtown Geneva or St. Charles.  Property not in flood zone.</t>
  </si>
  <si>
    <t>Use showing Assist. List Agent to accompany.</t>
  </si>
  <si>
    <t>Great House! Agent may accompany. View interactive floorplan/pics. This is a great home! Value in the finish! See additional info for information on removal of Western viaduct!</t>
  </si>
  <si>
    <t>Hill</t>
  </si>
  <si>
    <t>Main St west of Randall to Deerpath, S to Limestone to left on Bird to R on Twin Elms to R on Hill</t>
  </si>
  <si>
    <t>54 X 150 X 102 X 150</t>
  </si>
  <si>
    <t>Home reflects the very best, feels hardly lived in. This kitchen includes everything on a wish list extraordinary amount of handsome cabinets, SS appliances, convection, plate warmer, backsplash. Family Rm w/soaring ceiling, enormous FP &amp; windows galore. Freshly painted, impressive condition, new carpet, sun-room, sitting room in master w/large dual master closets, paver patio,deep pour basement! Backs to open area.</t>
  </si>
  <si>
    <t>Humidifier, Water-Softener Owned, TV-Cable, Security System, CO Detectors, Ceiling Fan, Sump Pump, Sprinkler-Lawn</t>
  </si>
  <si>
    <t>Foyer, Office, Sitting Room, Sun/Florida Room Heated</t>
  </si>
  <si>
    <t>Chris Kohlhagen</t>
  </si>
  <si>
    <t>(630) 768-8317</t>
  </si>
  <si>
    <t>call centralized Showings 877-977-1010</t>
  </si>
  <si>
    <t>This home is for your pickiest buyers! Intercom as-is.</t>
  </si>
  <si>
    <t>Draper</t>
  </si>
  <si>
    <t>Access off of Racine only-Racine to Draper and west to property. Draper is one block S of Wrightwood</t>
  </si>
  <si>
    <t>33 X 60</t>
  </si>
  <si>
    <t>Lincoln Pk-Renovated 4BR/2Bth vintage gem on ultra quiet block. Hi ceilings w/crown, espresso hrdwd flrs thru out, WBFP w/gas birch logs, zoned HVAC and spacious deck off kitchen.  Eat in kitchen, cozy den on main level, 4BRS up and full bsmt for expansion,side drive for 2 cars. Oscar Meyer district, very popular kiddy playlet + Starbucks at corner and short walk to Fullerton stop.  Phenom place to live!  Agent owned</t>
  </si>
  <si>
    <t>Oscar Meyer</t>
  </si>
  <si>
    <t>Janice Smith</t>
  </si>
  <si>
    <t>(773) 230-0839</t>
  </si>
  <si>
    <t>text or call Jan at 773 230 0839</t>
  </si>
  <si>
    <t>J A Smith</t>
  </si>
  <si>
    <t>Rogers Ave-7500 N-to Paulina 1700 W-South to home.</t>
  </si>
  <si>
    <t>156 X 133 X 94</t>
  </si>
  <si>
    <t>HUGE PRICE DROP! GORGEOUS VICTORIAN HOME ON A CORNER OVERSIZED LOT. NEEDS TLC. 4 SPACIOUS BEDROOMS, SEPARATE LR/DR, REAR PORCH. FENCED IN YARD. WON'T LAST LONG!! SOLD AS-IS - BANK OF AMERICA, N.A. EMPLOYEES AND EMPLOYEES' HOUSEHOLD MEMBERS (INCLUDING PERSONS DERIVING THEIR PRIMARY MEANS OF FINANCIAL SUPPORT FROM A BANK EMPLOYEE) AND HTS BUSINESS PARTNERS OF THE BANK, ARE PROHIBITED FROM PURCHASING THIS PROPERTY.</t>
  </si>
  <si>
    <t>Jay C Realty, Inc.</t>
  </si>
  <si>
    <t>(847) 673-2000</t>
  </si>
  <si>
    <t>Jay Chandran, GRI,SFR</t>
  </si>
  <si>
    <t>Please call 1-877-977-1010</t>
  </si>
  <si>
    <t>PLEASE VERIFY ALL INFORMATION. SOLD SUBJECT TO VIOLATIONS, IF ANY. TAXES PRORATED AT 100%. SOLD AS-IS. NO SURVEY - OFFER COVER LETTER REQUIRED! SEE ADDTL INFORMATION TAB. EM MUST BE CERTIFIED. **HIGHEST &amp; BEST DUE 12/15/14 @ 10AM CST**</t>
  </si>
  <si>
    <t>38W530</t>
  </si>
  <si>
    <t>Callighan</t>
  </si>
  <si>
    <t>Randall Rd * West on Keslinger* South on Prairie Clover * East on Callighan Pl</t>
  </si>
  <si>
    <t>104X130X93X104</t>
  </si>
  <si>
    <t>Prepare to be blown away! This home is gorgeous inside &amp; out~Over 3200 sq ft of quality craftsmanship~Hdwd floors~XL gourmet kitchen~Coffered ceilings in family room~Wood burning fp~9 foot ceilings on main level~Open floor plan~wrt iron staircase~All Bdrms nice size w/WIC's~ Master bdrm w/HUGE WIC w/island~Master bath w/soaker tub and separate shower~2nd Flr Laundry~Big fenced backyard w/ lush landscaping~Its an 11!</t>
  </si>
  <si>
    <t>Humidifier, Water-Softener Owned, CO Detectors, Ceiling Fan, Sump Pump, Sprinkler-Lawn</t>
  </si>
  <si>
    <t>Den, Walk In Closet</t>
  </si>
  <si>
    <t>Jennifer Rasmussen</t>
  </si>
  <si>
    <t>(630) 849-8972</t>
  </si>
  <si>
    <t>Call H &amp; S showingdesk -1-855-917-9150</t>
  </si>
  <si>
    <t>BRAND new water heater, sump pump, and kitchen fridge! Pull down staircase to attic in laundry area~Extra 2 foot bump out in garage. EXCLUDE All Curtains, trampoline,cabs in garage, fridge &amp; freezer in garage, &amp; mini fridge.</t>
  </si>
  <si>
    <t>Roslyn</t>
  </si>
  <si>
    <t>Rt72 W of Rt25, E of the Fox River to Van Buren, N past Barrington to Roslyn E to property</t>
  </si>
  <si>
    <t>Lakewood Lodge Estates</t>
  </si>
  <si>
    <t>EAST DUNDEE</t>
  </si>
  <si>
    <t>123X146</t>
  </si>
  <si>
    <t>Looking for a buyer who recognizes a good value.  This property offers a  P R I V A T E,  Wooded Setting Minutes to the Tollway, Bike Path, &amp; the Quaint Downtown with coffee shops, local eateries and community activities!  This B R I C K  Ranch has "Great Bones" and is waiting for a new owner that has the vision to give it new life!  Totally livable As Is located in an area that supports higher values! As-Is</t>
  </si>
  <si>
    <t>PARKVIEW ELEMENTARY SCHOOL</t>
  </si>
  <si>
    <t>Kate Schumacher, GRI,LTG,SFR</t>
  </si>
  <si>
    <t>(847) 624-3153</t>
  </si>
  <si>
    <t>Call 1.855.746.9100 M-Sat 8am-9pm/Sun 8am-6pm Seller would prefer 24 hr notice but same day may b ok</t>
  </si>
  <si>
    <t>Continue to show for backup offers. Property could be remodeled to be a Mid Century Modern design.  Property being sold as-is.  PLEASE MAKE SURE DOORS ARE LOCKED AND ALL LIGHTS ARE OFF WHEN DONE SHOWING.  THANK YOU.</t>
  </si>
  <si>
    <t>SPARKLE</t>
  </si>
  <si>
    <t>RT 34 TO OGDEN FALLS LEFT ON YOAKUM LEFT ON SPARKLE</t>
  </si>
  <si>
    <t>200X145X90</t>
  </si>
  <si>
    <t>Attractive Ogden Falls home that needs and new owner &amp; some TLC*Home has solid bones and a really great floor plan plus a bonus sunroom off kitchen/4 season room*4 full beds/2.5 baths+ unfin bsmnt*Interior location w/fully fenced lot*Upgraded mstr bath w/sep showr &amp; tub &amp; double vanity*Bid w/confidence as Listing Agent has closed 100â€™s of short sales to date.</t>
  </si>
  <si>
    <t>Foyer, Sun/Florida Room</t>
  </si>
  <si>
    <t>2.5% -295 (on Net SP)</t>
  </si>
  <si>
    <t>FOSTER TO KIMBALL. NORTH TO 5521</t>
  </si>
  <si>
    <t>Certified Bungalow in North Park.  Two bedrooms and one bath on main level, two bedrooms and bath on lower, formal dining room, enclosed back porch.  Plenty of room to expand in full unfinished attic.  Spacious room sizes, new two car garage, new roof, new windows, central HVAC, decorative FP in LR.  Convenient location, close to transportation and North Park University.</t>
  </si>
  <si>
    <t>Oven/Range, Refrigerator, Washer, Dryer, Disposal</t>
  </si>
  <si>
    <t>James Moser</t>
  </si>
  <si>
    <t>(312) 915-4622</t>
  </si>
  <si>
    <t>USE SHOWING ASSIST. 24 HOURS NOTICE PREFERRED</t>
  </si>
  <si>
    <t>71ST - W TO WOLCOTT - S TO ADDRESS</t>
  </si>
  <si>
    <t>4 Bedroom, 2 Bath frame 1.5 story Single Family with a full unfinished Basement, separate Dining Room and an enclosed rear Porch. Close to Schools, Dining and Shopping. This is a Fannie Mae HomePath Property.</t>
  </si>
  <si>
    <t>â€œThe Seller has directed that all offers on this listing be made using the HomePath Online Offer System at www.Homepath.comâ€_x009d_. All Owner Occupants must complete attached Owner Occupant Cert. See Attachments.</t>
  </si>
  <si>
    <t>Belmont to Kolmar(4500w) south to 2910</t>
  </si>
  <si>
    <t>30 X 231</t>
  </si>
  <si>
    <t>Jumbo,modern 4 bed/4 bath has gleaming hardwd flrs,nat. wdwk,oak stairs &amp; fresh paint.Large eat-in kit. has cherry cabinets,granite counters,c/t floor and fireplace.Master bed has vaulted ceilings,skylights,c/t bath &amp;sgd leading to balcony.Finished basement has c/t floor and full bath.Deck overlooks spacious yard and six car brick garage.Newer electric,copper plumbing.Steps to grammar school,shopping &amp; CTA.Hurry!</t>
  </si>
  <si>
    <t>3%-$275 (on Net SP)</t>
  </si>
  <si>
    <t>Michael McLenighan</t>
  </si>
  <si>
    <t>(312) 307-5087</t>
  </si>
  <si>
    <t>Note: Co-Op, Home Warranty included.  New front windows and master bath vanity will be installed soon.</t>
  </si>
  <si>
    <t>I-94 to 111th ST, W to FORRESTVILLE AVE, S to 111th PL, to SAINT LAWRENCE AVE (oneway northbound)</t>
  </si>
  <si>
    <t>SKILLED CRAFTSMAN ROWHOUSE</t>
  </si>
  <si>
    <t>20X124</t>
  </si>
  <si>
    <t>PULLMAN HISTORIC DISTRICT! Seller wants SOLD, make an offer! Prime Hotel Florence location. Large "Skilled Craftsman" rowhouse w/2 full baths, 4 large bedrooms, extra closets, office, vintage features preserved incl orig marble fireplace mantel. New hot water tank. Newer garage. One block to Metra. Near new comm dev at i-94 &amp; 111th St. Loc in a Chicago Landmark and in the Pullman National Historic Landmark District.</t>
  </si>
  <si>
    <t>POE ELEMENTARY SCHOOL CLASSICAL SCHOOL</t>
  </si>
  <si>
    <t>PULLMAN ELEMENTARY SCHOOL</t>
  </si>
  <si>
    <t>BROOKS COLLEGE PREP ACADEMY HIGH SCHOOL</t>
  </si>
  <si>
    <t>Gas, Hot Water/Steam, Baseboard, Heat Pump, Radiators</t>
  </si>
  <si>
    <t>Den, Enclosed Porch, Foyer, Mud Room, Walk In Closet</t>
  </si>
  <si>
    <t>Porch Screened, Brick Paver Patio, Storms/Screens, Grill-Outdoors</t>
  </si>
  <si>
    <t>06X13</t>
  </si>
  <si>
    <t>04X15</t>
  </si>
  <si>
    <t>04X09</t>
  </si>
  <si>
    <t>05X13</t>
  </si>
  <si>
    <t>Annemarie Stramacchia</t>
  </si>
  <si>
    <t>(312) 209-8698</t>
  </si>
  <si>
    <t>West of Austin on Addison to Property</t>
  </si>
  <si>
    <t>Beautiful 2 story home w/open floor plan.  Large kit w/pantry, living and dining rooms with hardwood flrs and full bath on the 1st floor.  4 bedrms and recently updated bathroom on the 2nd flr.  Spacious finished basement with new flood control system.  Central AC, new hot water heater, new high end SS Appl &amp; newer high efficiency furnace. Rear deck, privacy fenced yard and 2 car garage.  Move in ready! Come and See!</t>
  </si>
  <si>
    <t>08X10</t>
  </si>
  <si>
    <t>Eight Corners Realty Inc</t>
  </si>
  <si>
    <t>(312) 842-2800</t>
  </si>
  <si>
    <t>James Luk</t>
  </si>
  <si>
    <t>24 Hour Notice Please. Call Agent At (312) 636-3188</t>
  </si>
  <si>
    <t>Earnest Money to be held by the Seller's attorney.  No showings after 6pm</t>
  </si>
  <si>
    <t>Roosevelt Rd to Independence Blvd N to property</t>
  </si>
  <si>
    <t>Beautiful Large Home 3 levels of living for the growing family, 2 full baths and 1 half, hardwood floors and ceramic tile, nice kitchen with dinning room. Space to build the garage, close to 290 and I 55 expressways. Please give 24hr notice for showings.</t>
  </si>
  <si>
    <t>3X6</t>
  </si>
  <si>
    <t>Alicia Muratalla</t>
  </si>
  <si>
    <t>(708) 288-7864</t>
  </si>
  <si>
    <t>Please call L.A.</t>
  </si>
  <si>
    <t>Regular sale. Download disclosures from additional information tab.</t>
  </si>
  <si>
    <t>0N150</t>
  </si>
  <si>
    <t>Keslinger to Brundgie to Armstrong to Yates</t>
  </si>
  <si>
    <t>125X40X134X85X152</t>
  </si>
  <si>
    <t>VACATION AT HOME IN THIS HOME WITH GORGEOUS LIVING SPACE. NEW HVAC-2014. RENOVATED KITCHEN W/AMISH CABINETRY,SS APPL,GRANITE.OPENS TO FAMILY RM &amp; BRIGHT CUSTOM SUNROOM. MSTR STE W/SITTING ROOM,NEW LUXURY BATH. NEW LIGHTING.1ST FL STUDY W/ VLTED CLG. FANTASTIC LOWER LEVEL W/ FULL BAR,GAME ROOM, FULL BATH,WORKSHOP. HUGE PRIVATE LOT W/FANTASTIC POOL, ENTERTAINMENT AREA.EPOXY GARAGE. PAVER WALKWAYS,CUL DE SAC LOCATION.</t>
  </si>
  <si>
    <t>Water-Softener Owned, CO Detectors, Ceiling Fan, Sump Pump, Sprinkler-Lawn</t>
  </si>
  <si>
    <t>Foyer, Game Room, Office, Recreation Room, Sitting Room, Sun/Florida Room</t>
  </si>
  <si>
    <t>Move in ready, show w/ confidence. Flexible close.</t>
  </si>
  <si>
    <t>king drive to 88th street</t>
  </si>
  <si>
    <t>LOVELY 1.5 STORY HOME, HAS FOUR BEDROOMS, TWO BATHS, FULL BASEMENT AND MORE. IT IS LOCATED ON A BEAUTIFUL BLOCK. THIS IS A REVERSE MORTGAGE FORECLOSURE. BUYER IS RESPONSIBLE FOR ANY AND ALL VILLAGE REQUIREMENTS, INSPECTIONS. PROPERTY IS BEING SOLD â€œAS ISâ€_x009d_. PROPERTY IS BEING SOLD SUBJECT TO 24 CFR 206.125 SELLER DOES NOT PROVIDE SURVEY OR TERMITE INSPECTION.</t>
  </si>
  <si>
    <t>SEE DOC POSTER FOR ADDITIONAL BUYER FEES AND REVERSE MORTGAGE INFORMATION  BEST &amp; HIGHEST IS DUE BY 9/22/14 2:00PM NO EXCEPTIONS.</t>
  </si>
  <si>
    <t>Odell</t>
  </si>
  <si>
    <t>IRVING PARK TO ODELL NORTH TO HOME</t>
  </si>
  <si>
    <t>40X133</t>
  </si>
  <si>
    <t>GORGEOUS ALL BRICK 4BR, 4 BTH, 2 STORY HOME IN GREAT AREA. LARGE LV RM W/ FIREPLACE, COMBO W/DN RM. BEAUTIFUL KC W/42"CUSTOM MAPLE CABTS, GRANITE CNTER, ISLAND, SS APPLNCES, EAT-IN AREA DOOR LEAD TO DECK. GLEAMING HARDWD FLRS THRU OUT. SPECTACULAR MSTR SUITE W/WALKIN CLST,BTH W/JACUZZI,SEP SHWR, DBL VANITY, MARBLE TILES &amp; BALCONY. FINISHED BASEMENT W/FAM RM, FULL BT, 2ND KC, LNDRY, FURNACE RM. 2 CAR GAR W/SIDE DRIVE.</t>
  </si>
  <si>
    <t>2nd Kitchen, Balcony, Deck, Utility Room-Lower Level, Walk In Closet</t>
  </si>
  <si>
    <t>08X04</t>
  </si>
  <si>
    <t>VNT Realty</t>
  </si>
  <si>
    <t>(773) 334-3900</t>
  </si>
  <si>
    <t>Ngocmai Huynh</t>
  </si>
  <si>
    <t>(773) 983-7010</t>
  </si>
  <si>
    <t>please click on showing assist then call or text listing agent Mai at 773-983-7010</t>
  </si>
  <si>
    <t>THE APPIANCES IN THE BASEMENT ARE WHITE EXCEPT THE MICROWAVE.  PLEASE PRE-APPROVED BUYER. OFFER MUST INCLUDE PRE-APPROVED LETTER AND COPY OF EARNEST MONEY CHECK.  LISTING AGENT IS RELATED TO SELLER.</t>
  </si>
  <si>
    <t>NORTH OR SOUTH ON HARLEM AVE TO DIVERSEY AVE (2800 N) EAST 1 BLOCK TO NEVA AVE THEN SOUTH TO 2733.</t>
  </si>
  <si>
    <t>21X125</t>
  </si>
  <si>
    <t>BRAND NEW CONSTRUCTION 2 STORY BRICK, STONE &amp; FRAME HOME W/ BASEMENT &amp; 2 CAR GARAGE ON QUIET 1 WAY STREET OF MONTCLARE.  WALK TO METRA STATION, BUSES &amp; HARLEM AVE SHOPPING, RESTAURANTS &amp; CAFES.  HOME FEATURES OPEN FLOOR PLAN AT 1ST FLR, W/ CUSTOM KITCHEN, FULL BATH &amp; EXTERIOR WOOD DECK.  CUSTOM STAIRS LEAD TO 2ND FLOOR 3 BEDROOMS,  2 FULL BATHS &amp; LAUNDRY.  FINISHED BSMNT W/ PLAY ROOM, ADD'L BEDROOM &amp; ROUGHED-IN BATH</t>
  </si>
  <si>
    <t>Breakfast Room, Recreation Room, Walk In Closet</t>
  </si>
  <si>
    <t>Vaulted/Cathedral Ceilings, Hardwood Floors, 2nd Floor Laundry, 1st Floor Full Bath</t>
  </si>
  <si>
    <t>Peter Sterniuk</t>
  </si>
  <si>
    <t>(773) 802-9937</t>
  </si>
  <si>
    <t>EMAIL OR CALL LISTING AGENT.</t>
  </si>
  <si>
    <t>PHOTOS OF IDENTICAL MODEL NEXT DOOR AT 2731 N NEVA RECENTLY SOLD.  HOME JUST COMPLETED READY FOR THE BUYER, COME AND VIEW IT BEFORE SPRING MARKET PRICING KICKS IN.</t>
  </si>
  <si>
    <t>JESSAMINE</t>
  </si>
  <si>
    <t>WOLFS CROSSING/SECRETARIAT LN/JESSAMINE TO ADDRESS</t>
  </si>
  <si>
    <t>96 X134</t>
  </si>
  <si>
    <t>PHENOMENAL HOME! Featuring 4 BR's, 2.5 baths! NEW carpeting throughout the home. Freshly painted. Family rm w/ FP! This is a Fannie Mae HomePath property.</t>
  </si>
  <si>
    <t>Breakfast Room, Den, Other</t>
  </si>
  <si>
    <t>Harvest Ridge</t>
  </si>
  <si>
    <t>Randall to Williamsburg Dr. (W) to Fisher (S or left) to Heartland (R) to Planters Row (R) to home</t>
  </si>
  <si>
    <t>HARVEST RIDGE</t>
  </si>
  <si>
    <t>Truly amazing!The moment you walk through the double front doors into the 2-story entry way, you'll feel the luxury.Tasteful &amp; loaded w/upgrades.Rich,dark hardwood floors, dramatic rod iron staircase, open, spacious layout, beautiful white trim, spacious kitchen w/upgraded maple cabinets, granite counters, main floor office w/private access to flagstone patio. Stunning finished basement adds 1000+SF of living space!</t>
  </si>
  <si>
    <t>CO Detectors, Ceiling Fan, Sump Pump, Sprinkler-Lawn, Backup Sump Pump</t>
  </si>
  <si>
    <t>Exercise Room, Office, Recreation Room, Theatre Room, Walk In Closet</t>
  </si>
  <si>
    <t>33X24</t>
  </si>
  <si>
    <t>terra@stonetowerpropeties.com</t>
  </si>
  <si>
    <t>call showings.com at 877.977.1010 to schedule an appointment</t>
  </si>
  <si>
    <t>On corner of Harvest Ridge &amp; Planters Row. One of the largest lots in neighborhood. Behind it is a protected natural area that will never be built upon.Hot tub does NOT stay &amp; fridge will be swapped out.</t>
  </si>
  <si>
    <t>East 95th St. to Prairie, North to property</t>
  </si>
  <si>
    <t>GORGEOUS PROFESSIONALLY DESIGNED BRAND NEW HOME WITH HIGH END FINISHES. COFFE COLOR 42" CABS,GRANITE C-TOPS,HIGH END SS APPLS, STONE &amp; GLASS BACK SPLASH,HARDWD FLRS, CROWN MOLDINGS OVER-SIZED TRIM WORK, BREATH TAKING MASTER BATHRM, CUSTOM VANITYS, LARGE FINISHED BASEMENT. NEWER HVAC &amp; WATER HEATER, NEW PLUMBING, NEW ELECTRICAL, NEWER WINDOWS, NEW GUTTERS &amp; BRAND NEW 2 GARAGE BRAND NEW HOUSE!! LIKE NEW CONSTRUCTION!</t>
  </si>
  <si>
    <t>CO Detectors, Ceiling Fan, Fan-Attic Exhaust, Sump Pump</t>
  </si>
  <si>
    <t>*SELLER IS LOOKING FOR AN OFFER*  USE PREFERRED LENDER AND GET UP TO $2500 CLOSING COST CREDIT TO QUALIFIED BUYERS.</t>
  </si>
  <si>
    <t>0S926</t>
  </si>
  <si>
    <t>Skyline</t>
  </si>
  <si>
    <t>Randall  to McKee ~ West to Skyline ~ North to Home</t>
  </si>
  <si>
    <t>Spring Green</t>
  </si>
  <si>
    <t>199X231X261X246</t>
  </si>
  <si>
    <t>Open Design Ranch on  acre plus lot. Country-like Lifestyle with 30'X60' Steel Roof Cement Flr Barn w/9 &amp; 12 ft drs for your cars/toys/hobbies. In-Ground Pool, Hot Tub. Sun-drenched Fmly/Grt Rm w/Stone/Brk Fireplace &amp; Wall of Windows open to Updated Kitchen w/ Breakfast Bar, SS Appls, Dining Area &amp; adjacent to Enclosed Porch. Mbr Ste, 1st Fl Lndry, Hdwd Flrs. Finished Bsmnt w/Rec &amp; Craft Rm. Shopping+Batavia Schools!</t>
  </si>
  <si>
    <t>Water-Softener Owned, TV-Cable, CO Detectors, Ceiling Fan, Fan-Whole House, Sump Pump, Backup Sump Pump, Power Generator</t>
  </si>
  <si>
    <t>Eating Area, Enclosed Porch, Recreation Room, Sewing Room, Storage, Other</t>
  </si>
  <si>
    <t>Hot Tub, Bar-Wet, Hardwood Floors, 1st Floor Bedroom, 1st Floor Laundry, 1st Floor Full Bath</t>
  </si>
  <si>
    <t>Patio, Porch Screened, Horse Barn/Pole Barn, Brick Paver Patio, Pool In-Ground, Storms/Screens</t>
  </si>
  <si>
    <t>Wood Burning, Attached Fireplace Doors/Screen, Heatilator Type System</t>
  </si>
  <si>
    <t>Teresa Kolinek</t>
  </si>
  <si>
    <t>(630) 262-7182</t>
  </si>
  <si>
    <t>Teresa's Cell 630-926-4615</t>
  </si>
  <si>
    <t>Call Showing Time-1855-746-9100/Must Confirm/ 1 Hr Notice Please</t>
  </si>
  <si>
    <t>Wood Barn has blt in cabinets/loft. Electric to barn being repaired. Barn htr disconnected/AS IS. Pool w/newer liner,pool htr/AS IS. Dining Rm used as office. Additional features &amp; zoning under information. Property Zoned F. Please use 6.0</t>
  </si>
  <si>
    <t>Fairview to Heritage to Devonshire to Berkshire</t>
  </si>
  <si>
    <t>HERITAGE RIDGE</t>
  </si>
  <si>
    <t>.34 ACRE</t>
  </si>
  <si>
    <t>Beautiful Colonial with approximately 3,000 Sq Ft~4 Bedrooms, 3.1 baths, full English basement on .3 acre lot! This home offers office/bed on 1st Fl. Formal Liv Rm w/FP &amp; built ins. Formal Dining Rm w/tray ceiling, HWF. Kitchen has newer appliances and eating area. Master Bed w/tray ceiling, WIC; Master Bath w/whirlpool tub, sep shower. New Roof &amp; Siding(North &amp; Back of house). Fenced. Covered Deck. Close to I88/NIU</t>
  </si>
  <si>
    <t>HUNTLEY MIDDLE SCHOOL</t>
  </si>
  <si>
    <t>DE KALB HIGH SCHOOL</t>
  </si>
  <si>
    <t>CALL 1-855-746-9200; Must Confirm Pet &amp; Small Child</t>
  </si>
  <si>
    <t>Please give some notice...small child and pet.  List of Updates in Additional Info. Washer &amp; Dryer are not included.</t>
  </si>
  <si>
    <t>CICERO AVE TO 83RD EAST TO 4612</t>
  </si>
  <si>
    <t>5500 SQ. FT.</t>
  </si>
  <si>
    <t>Nice brick ranch style single family residence across from Scottdale Park features 4 bedrooms and 1 bathroom. There is a nice rear patio and good size back yard with storage shed. Oversized Chicago lot. Soldâ€_x009d_as-isâ€_x009d_ condition. Seller does not provide survey/disclosures. POF or pre-approval must be submitted with all offers. Addendum required after acceptance. Taxes pro-rated 100%. EM in cert. funds.</t>
  </si>
  <si>
    <t>Andy Kordic</t>
  </si>
  <si>
    <t>(312) 501-0014</t>
  </si>
  <si>
    <t>Email offers to andyreoagent@gmail.com. For special financing and incentives, seller requests potential buyers contact Chase Mortgage Banker Dominic Condotti (NMLS ID 443908) at 773.283.4380</t>
  </si>
  <si>
    <t>Rt 71 to Plainfield Rd. Rt 126 to Plainfield Rd</t>
  </si>
  <si>
    <t>942 X 386 X 904 X 356</t>
  </si>
  <si>
    <t>Beautiful four bedroom one bath home on 7 acres.  Home has large living room/Family room, spacious bedrooms, eat in kitchen and huge lot with pole barn.  Home has been repaired and ready to move in. This is a Fannie Mae HomePath property.</t>
  </si>
  <si>
    <t>Act Now- $1000 Buyers Agent Bonus - Restrictions apply - Submit offers on Homepath.com with bonus request and form at initial offer. Please see attachment-MUST USE PG 8-NO PERSONAL PROPERTY INCL. EM MUST BE CERTIFIED FUNDS (10% for cash).</t>
  </si>
  <si>
    <t>43W033</t>
  </si>
  <si>
    <t>Thorndon Ridge</t>
  </si>
  <si>
    <t>Rt. 47 (south of Rt. 38) E. on Smith Rd. right on Thorndon Ridge, follow around curve to house.</t>
  </si>
  <si>
    <t>Donny Hill Meadows</t>
  </si>
  <si>
    <t>44370 SQ. FT.</t>
  </si>
  <si>
    <t>Pride of ownership inside and out! Beautiful 2 story home with hardwood floors on half of the main level. Spacious living room, perfect for entertaining. Cozy family room with fieldstone fireplace &amp; antique barn wood walls.  Finished basement with huge rec room. Gorgeous, private yard on 1+ acre, with mature trees. Two sheds on the property, backing to wooded area. Privacy and tranquility surround this property!</t>
  </si>
  <si>
    <t>Pond/Lake, Street Lights, Street Paved</t>
  </si>
  <si>
    <t>Humidifier, Water-Softener Owned, Sump Pump, Power Generator</t>
  </si>
  <si>
    <t>28X24</t>
  </si>
  <si>
    <t>Laundry room and family room walls are finished in barn wood. Please use Multi-board 6.0 contract.</t>
  </si>
  <si>
    <t>39W463</t>
  </si>
  <si>
    <t>MALLORY</t>
  </si>
  <si>
    <t>FABYAN TO SOUTH MILL CREEK BLVD (S) TO WEST MALLORY (W) TO HOME</t>
  </si>
  <si>
    <t>70X129X54X130</t>
  </si>
  <si>
    <t>WELCOME HOME! Perfect family home w/fenced in backyard &amp; patio~prof landscaped &amp; new roof~freshly painted~new carpet~gleaming hardwood floors throughout 1st floor~new stainless appliances, 42" cabinets &amp; butler's pantry~updated lighting~bayed living room &amp; eating area~immaculate &amp; bright w/open floor plan~master bed &amp; bath w/tray ceilings &amp; walk-in closet, sitting room~Walk to park! Open the door to your new home!!</t>
  </si>
  <si>
    <t>Clubhouse, Park/Playground, Pond/Lake, Curbs/Gutters, Sidewalks, Street Paved</t>
  </si>
  <si>
    <t>THREE PERCENT! -$200 (on Net SP)</t>
  </si>
  <si>
    <t>PLEASE CALL855-917-9150 FOR AN APPOINTMENT</t>
  </si>
  <si>
    <t>CHICAGO ST (RT 19) 2 LIBERTY N2 HOME</t>
  </si>
  <si>
    <t>66X161</t>
  </si>
  <si>
    <t>GRAND VICTORIAN! FEATURED ON SEVERAL HOUSE WALKS! DBL BUTLER DR ENTRY! STAINED GLASS WNDWS! FYR W/CSTM OAK STAIRS! FR W/FP &amp; CSTM MANTLE! REMOD KTCHN W/NWR HDWD FLRS &amp; GRANITE TILE C-TOPS! FRML DR W/CSTM POCKET DRS &amp; CRVD BAY NOOK! SPAC MBDRM W/FP &amp; HDWD FLR W/INLAYS! 2ND BTH W/CLAWFOOT TUB &amp; WAINSCOTING! SPAC BDRMS! OVERSZ MLDGS THRU OUT! OVERSZ 3 CAR GARAGE! NEW ROOF '09!</t>
  </si>
  <si>
    <t>Screened Porch, Foyer</t>
  </si>
  <si>
    <t>Frame, Shakes</t>
  </si>
  <si>
    <t>21X06</t>
  </si>
  <si>
    <t>17X07</t>
  </si>
  <si>
    <t>BTFL GRAND VICTORIAN! STAINED GLASS WNDWS! OVERSZ 3 CAR GARAGE! MAY B ELIGIBLE 4 CITY GRANTS 4 FUTURE REMODEL WRK!</t>
  </si>
  <si>
    <t>Dover</t>
  </si>
  <si>
    <t>Route 72 (Higgins) to Reinking Rd to Webster left to Bay Shore left to Dover</t>
  </si>
  <si>
    <t>63X120X65X120</t>
  </si>
  <si>
    <t>Welcome Home! This spacious 2 story has 4 bedrooms, 2.5 baths and features new carpet and paint, kitchen with some new appliances, formal living spaces, family room with fireplace, fist floor laundry, sliders to backyard, full unfinished basement, and 2 car attached garage. This is a Fannie Mae HomePath Property.</t>
  </si>
  <si>
    <t>Seller directs all offers be submitted at www.homepath.com. All inspections are at buyers expense. Seller will not provide survey. Prorations 100%. See Add'l info.</t>
  </si>
  <si>
    <t>BELMONT TO LEAVITT, SOUTH ON LEAVITT TO HOME</t>
  </si>
  <si>
    <t>CHECK OUT THIS BEAUTIFUL ROSCOE VILLAGE HOME ON A 37.5' LOT!  NEWER BRICK HOME WITH A MAJOR RENOVATION THAT INCLUDES A HUGE CHEFS KITCHEN WITH CUSTOM BUILT CABINETS, WOLF, SUB-ZERO  BOSH APPLIANCES, GIANT ISLAND FOR ENTERTAINING.  CUSTOM MILL-WORK AND BUILT-INS, NEW FLOORING, PAINT, AND A LUXURIOUS MASTER BATH! GIANT BACK YARD WITH 3 CAR GARAGE! STEPS FROM SHOPPING, TRANSPORTATION, PARK AND POOL. 2 LAUNDRY ROOMS TOO!</t>
  </si>
  <si>
    <t>Park/Playground, Pool</t>
  </si>
  <si>
    <t>Whirlpool, Double Sink, Full Body Spray Shower, Double Shower</t>
  </si>
  <si>
    <t>Living Easy Realty LLC</t>
  </si>
  <si>
    <t>(630) 712-2400</t>
  </si>
  <si>
    <t>Michael Cordaro</t>
  </si>
  <si>
    <t>Please call text or email Laura at 773-510-7271 or lauram.cordaro@gmail.com</t>
  </si>
  <si>
    <t>Beautiful property with tons of natural light, extra side yard could be used for garden, dog run, etc.  Won't last long!</t>
  </si>
  <si>
    <t>RED GATE TO CHESAPEAKE</t>
  </si>
  <si>
    <t>100X225X98X231</t>
  </si>
  <si>
    <t>4 BEDROOM BRICK AND CEDAR 2 STORY IN RED GATE! FEATURES; IN-GROUND POOL, LARGE DECK AND PATIO, ENGLISH BASEMENT, VAULTED FAMILY ROOM, FIRST AND SECOND FLOOR LAUNDRYS, MAIN FLOOR OFFICE/DEN, 4.1 BATHS, 2 FIREPLACES, FINISHED BASEMENT, NEAR HIGH SCHOOL AND MUCH, MUCH MORE! SELLER DISCLOSURES AVAILABLE AS A DOWNLOAD</t>
  </si>
  <si>
    <t>Greenleaf</t>
  </si>
  <si>
    <t>Harlem S of Touhy to Greenleaf W 1 block</t>
  </si>
  <si>
    <t>Gorgeous 4 BR Edison Park Colonial in prime location. Large formal dining room &amp; living room w/wood burning fireplace. Kitchen opens to sun-filled family room w/glass sliders leading to a huge wrap around deck. Thermal windows &amp; refinished hardwood floors throughout. Inviting  fenced backyard. Alley to 2.5 garage w/loft space. Near Brooks Park, Pioneer Park, St Juliana, Ebinger, CTA bus stop, restaurants &amp; shopping</t>
  </si>
  <si>
    <t>Jack Guest</t>
  </si>
  <si>
    <t>(773) 443-8300</t>
  </si>
  <si>
    <t>thehouseguests.com</t>
  </si>
  <si>
    <t>Rosedale</t>
  </si>
  <si>
    <t>BRYN MAWR or RIDGE RD TO GLENWOOD AVE, THEN NORTH to ROSEDALE AVE Turn Right (One way EAST)</t>
  </si>
  <si>
    <t>33' BY 127'</t>
  </si>
  <si>
    <t>Extra-wide 4BR, 2.5BTH home on Magnolia Glenâ€™s most beautiful tree-lined street! Solid home w/tons of potential to make it your own. Oversized lot w/nicely sized back yard &amp; deck. Spacious living rm w/adjacent den &amp; fireplace, formal dining rm w/original french drs, lrge kitchen w/eat-in space, 1st flr powder rm &amp; 4 BRâ€™s &amp; 2 BTHâ€™s all on 2nd level. Great location just steps from shopping, restaurants, the â€œLâ€_x009d_ &amp; lake!</t>
  </si>
  <si>
    <t>Den, Deck, Sun/Florida Room</t>
  </si>
  <si>
    <t>Please Use Showing Assist- Leave Cell Phone for Confirmation</t>
  </si>
  <si>
    <t>Estate of Geraldine Harrington</t>
  </si>
  <si>
    <t>This home has great bones... and lots of potential.  Boiler was replaced in 2013... many, but not all windows have been replaced as well.</t>
  </si>
  <si>
    <t>42W150</t>
  </si>
  <si>
    <t>Hughes</t>
  </si>
  <si>
    <t>Randall to Fabyan, west to Hughes</t>
  </si>
  <si>
    <t>426X524X334X310X224</t>
  </si>
  <si>
    <t>INCREDIBLE Ranch on 5 ACRES backing to FOREST PRESERVE &amp; Riding Trails! The best part: This Ranch has been COMPLETELY Updated! First Class all the way for this PRISTINE home AND a HUGE BARN for Horse Lover, Car Collector, Hobbyist or anything else that suits you! FABULOUS kitchen w/granite &amp; SS apps. Open floor plan w/STUNNING VIEWS, finished walk-out lower level, deck &amp; large patio! Additional acreage availableâ€¦</t>
  </si>
  <si>
    <t>Propane, Forced Air, Radiant</t>
  </si>
  <si>
    <t>Forest Preserve Adjacent, Horses Allowed, Paddock, Park Adjacent, Stream, Wooded</t>
  </si>
  <si>
    <t>Eating Area, Foyer, Recreation Room, Other</t>
  </si>
  <si>
    <t>Bar-Wet, Hardwood Floors, Heated Floors, 1st Floor Bedroom, 1st Floor Laundry, 1st Floor Full Bath</t>
  </si>
  <si>
    <t>Deck, Horse Barn/Pole Barn, Stamped Concrete Patio</t>
  </si>
  <si>
    <t>See through/Multi Sided, Wood Burning, Attached Fireplace Doors/Screen, Gas Starter</t>
  </si>
  <si>
    <t>2.5%-$200 (ON NET SP) (on Net SP)</t>
  </si>
  <si>
    <t>Selling price included all 20 acres.</t>
  </si>
  <si>
    <t>EASTSIDE DR TO DIVISION TO SOUTH TYLER TO CAMBRIDGE</t>
  </si>
  <si>
    <t>90X102X17X102X103</t>
  </si>
  <si>
    <t>4 BR CAPE COD HOME IN POPULAR CAMBRIDGE EAST!! X-TRA LARGE MASTER BEDROOM! HARDWOOD FLOORS IN MAIN FLOOR BEDROOMS. NICE KITCHEN W/ROOM FOR TABLE &amp; SGD TO PATIO. F/P IN LIVING RM. PARTIALLY FINISHED  BASEMENT W/BIG REC ROOM AND LAUNDRY. NEWER WINDOWS, ROOF, FURNACE &amp; HOT WATER HEATER.PATIO W/PERGOLA, NICE CORNER LOT. ESTATE AS-IS.</t>
  </si>
  <si>
    <t>Ceiling Fan, Fan-Whole House</t>
  </si>
  <si>
    <t>Winterberry</t>
  </si>
  <si>
    <t>Rt 56 to Hart Rd, North to Hartfield to Meadow to Winterberry</t>
  </si>
  <si>
    <t>169X111X47X178</t>
  </si>
  <si>
    <t>Great location! Minutes to I-88, parks, Fox Valley Bike Path.  Full finished basement, fenced yard with backyard patio, extra deep 2 car garage for additional storage, Tons of closet space thru-out, first floor laundry, master suite with whirlpool tub/separate shower and walk-in closet. Breakfast nook in kitchen. FANNIE MAE HOMEPATH PROPERTY.</t>
  </si>
  <si>
    <t>NO PERSONAL PROPERTY INCLUDED, TAX PRORATIONS 100%, NO TERMITE, SURVEY, OR WARRANTIES. VISIT HOMEPATH.COM FOR INCENTIVES &amp; BONUSES. SEE OFFER BINDER IN ADDITIONAL INFORMATION. ALL OFFERS AT HOMEPATH.COM -QUESTIONS REO@BHHSELITEREALTORS.COM</t>
  </si>
  <si>
    <t>79th</t>
  </si>
  <si>
    <t>WESTERN TO 79TH PL EAST TO PROPERTY</t>
  </si>
  <si>
    <t>20X120</t>
  </si>
  <si>
    <t>$2,500 CLOSING COST CREDIT! **MUST SEE** Beautiful rehab from top to bottom! Brick raised ranch with NEW plumbing, electric, furnace, hot water tank and bathrooms. Kitchen with SS appliances and HW floors throughout first floor.</t>
  </si>
  <si>
    <t>Andrea DeLaTorre</t>
  </si>
  <si>
    <t>(630) 802-9727</t>
  </si>
  <si>
    <t>Hartfield</t>
  </si>
  <si>
    <t>RT 30 E of Rt 47 to Gordon S2 Galena E2 Concord N2 Hartfield</t>
  </si>
  <si>
    <t>Blackberry Crossing</t>
  </si>
  <si>
    <t>BRIDGEPORT</t>
  </si>
  <si>
    <t>138X66</t>
  </si>
  <si>
    <t>PRISTINE!Beautiful Bridgeport model in popular Blackberry Crossings~3500 sqft~Hardwood on 1st flr~Island kit w/Granite counters/stone backsplash/walkin pantry~Extended Fam rm w/FP~1st flr Den~Huge vaulted 17x17 master w/bamboo flr/bath w/dual sink/soaker tub/shower~large walkin closet~Finished Walkout bsmt w/rec rm/game rm/full bath~Deck/stamped concrete patio~fenced yard w/playset~All appl stay~2yr new Pella windows</t>
  </si>
  <si>
    <t>Humidifier, Water-Softener Owned, Ceiling Fan, Fan-Attic Exhaust, Sump Pump, Radon Mitigation System(s)</t>
  </si>
  <si>
    <t>Den, Exercise Room, Game Room, Recreation Room</t>
  </si>
  <si>
    <t>Call 855-746-9200 2 hr notice must comfirm</t>
  </si>
  <si>
    <t>37W568</t>
  </si>
  <si>
    <t>Rt64 to Randall Rd(N) 2 Crane Rd(W) 2 Grey Barn</t>
  </si>
  <si>
    <t>256X272X371X286</t>
  </si>
  <si>
    <t>Quality built 4800 sq ft home on a private lot backing to acres of preserved land!Grand foyer w/curved stairway,extensive millwork &amp; volume ceils thruout!Huge granite kitch w/SS ovens &amp; built-in buffet...Dramatic fam rm w/22ft ceil &amp; soaring fp opens to vaulted 4-season sunrm!Liv rm w/fp...Mbdrm w/newly remodeled luxurious bth--Bdrm2 w/full bth...Nicely finished bsmt w/wet bar,fp &amp; bth...Expansive deck w/spa-Perfect!</t>
  </si>
  <si>
    <t>29X19</t>
  </si>
  <si>
    <t>Oven-Double, Microwave, Dishwasher, Refrigerator, Freezer, Washer</t>
  </si>
  <si>
    <t>Den, Exercise Room, Foyer, Game Room, Recreation Room, Sun/Florida Room Heated</t>
  </si>
  <si>
    <t>Vaulted/Cathedral Ceilings, Skylight(s), Hot Tub, Bar-Wet, 1st Floor Laundry, 1st Floor Full Bath</t>
  </si>
  <si>
    <t>Deck, Hot Tub</t>
  </si>
  <si>
    <t>38W082</t>
  </si>
  <si>
    <t>Kristin</t>
  </si>
  <si>
    <t>RANDALL 2 HOPPS W2 STEVENS RD S2 KRISTIN E2 HOME</t>
  </si>
  <si>
    <t>203X141X203X143</t>
  </si>
  <si>
    <t>PERFECTLY MAINTAINED SPRWLING RANCH ON BTFL MANICURED 3/4 ACRE LOT! HDWD ENTRY! BRIGHT OPEN KTCHN W/NWR CABS W/CRWN, TILE B-SPLASH, PLAN DESK &amp; SOLID BRK FP! EXPANSIVE VLTD FR ADD W/T&amp;G CLNG, TRIANGLE WNDWS &amp; ACCESS 2 CSTM MAINT FREE DECK! SEP FRML DR &amp; LR! REMOD BTHS! MBDRM W/PRVT BTH! HUGE BSMNT W/BOULDER FP, WET BAR, 4TH BDRM/DEN &amp; LNDRY! IMMACULATE GARAGE W/EPOXY FLR! ROOF &amp; SIDING '05! NWR WNDWS! 10+!</t>
  </si>
  <si>
    <t>Media Room, Play Room, Recreation Room, Eating Area</t>
  </si>
  <si>
    <t>NWR ROOF, SIDING &amp; WNDWS! 3 CAR GARAGE W/EPOXY FLR! 10+!!</t>
  </si>
  <si>
    <t>Wing</t>
  </si>
  <si>
    <t>Route 64 to South Tyler- North on South Tyler to Wing Lane- East on Wing Lane to 407</t>
  </si>
  <si>
    <t>SURREY HILL</t>
  </si>
  <si>
    <t>12X81X55X109X45X161X55</t>
  </si>
  <si>
    <t>Corner lot home in the revered Surrey Hill neighborhood is AVAILABLE! Absolutely, one of the most beautiful, lovingly maintained hms in the vicinity. This 4 bed/2.5 bath home projects feelings of warmth and strength- Laced w/tasteful decor, gleaming hardwood flrs, cstm trim wrk, one of a kind cabinetry, tray ceilings and 2 breathtaking sun rooms. Thoughtfully landscaped w/intricate paver stone paths. 13MO HM WRNTY!!</t>
  </si>
  <si>
    <t>Humidifier, Water-Softener Owned, TV-Cable, CO Detectors, Ceiling Fan, Fan-Attic Exhaust, Fan-Whole House, Sump Pump</t>
  </si>
  <si>
    <t>Eating Area, Foyer, Recreation Room, Sun/Florida Room Heated, Utility Room-Lower Level</t>
  </si>
  <si>
    <t>2.5%  MINUS 200 (on Net SP)</t>
  </si>
  <si>
    <t>Bill Brooks III</t>
  </si>
  <si>
    <t>Use Showing assist -OR- call Bill Brooks III 630.826.4190 for appointment. 2hr notice- MUST CONFIRM</t>
  </si>
  <si>
    <t>Basement crawl (below both sunroom additions) has huge amounts of storage. Basement- Pool table and couch stay. ALL basement shelving &amp; wrk rm cabinets / storage cabinets stay.</t>
  </si>
  <si>
    <t>33W510</t>
  </si>
  <si>
    <t>HUB</t>
  </si>
  <si>
    <t>Rte 64/Main St to Kirk north/turns into Dunham Rd, west on Surrey, north on Hub, drive is at mirror</t>
  </si>
  <si>
    <t>219X187X548X272X460</t>
  </si>
  <si>
    <t>Location, location, beautiful location! 4 private acres in historic Wayne â€“ bring your horses, 4 allowed!  Direct access to horse riding trails, 2 stall barn with tack room already here! St. Charles schools! Solid house lovingly built by original owner â€“ needs updating, but good bones.  HW flrs thru-out, radiant heat in bsmt flr, new roof 2013.  Remodel/add on, or build your own dream home! This is a piece of heaven!</t>
  </si>
  <si>
    <t>Gas, Baseboard, Radiant</t>
  </si>
  <si>
    <t>TV Antenna, CO Detectors</t>
  </si>
  <si>
    <t>Porch, Horse Barn/Pole Barn</t>
  </si>
  <si>
    <t>Becky Didier, AHWD,CNC</t>
  </si>
  <si>
    <t>(630) 715-1240</t>
  </si>
  <si>
    <t>630-715-1240</t>
  </si>
  <si>
    <t>Call CSS 877-977-1010. Owner may be home - elderly gal, not driving.</t>
  </si>
  <si>
    <t>Great property, needs some TLC but POTENTIAL! As-is. Annual assessment for common road maintenance - $300-$600 annual.  Boiler serviced annually, just done Sept 2014.</t>
  </si>
  <si>
    <t>Colfax</t>
  </si>
  <si>
    <t>95th to South on Colfax</t>
  </si>
  <si>
    <t>DRIVE-BY ONLY. NO INTERIOR ACCESS PERMITTED DUE TO SEVERE MOLD ISSUE. GREAT OPPORTUNITY FOR A SAVOY INVESTOR. PROPERTY REQUIRES A COMPLETE RENOVATION. 3 BEDROOMS UP AND 1 IN THE FINISHED LOWER LEVEL. INFORMATION IS ESTIMATED AND NOT GUARANTEED. INTERIOR INFORMATION IS BASED ON PREVIOUS MLS INFO. List price in the MLS is the minimum bid &amp; is subject to change w/ the start of bidding.  Special terms &amp; conditions apply.</t>
  </si>
  <si>
    <t>3% OF THE WINNING BID, OR $400 MINIMUM - MUST MEET AUCTION GUIDELINES-SEE SITE/CALL AUCTION (on Net SP)</t>
  </si>
  <si>
    <t>RE/MAX Properties</t>
  </si>
  <si>
    <t>(708) 246-6300</t>
  </si>
  <si>
    <t>Dominic Diorio</t>
  </si>
  <si>
    <t>(708) 497-6310</t>
  </si>
  <si>
    <t>NO ENTRY - DRIVE-BY ONLY DUE TO SEVERE MOLD ISSUE - VACANT</t>
  </si>
  <si>
    <t>This property is available exclusively thru an online auction at www.genesisauctions.com on 11/4/14  Broker participation is welcomed!!   Please contact Auction Services at Genesis Auctions at 818-661-1778 x261 for info on how to register</t>
  </si>
  <si>
    <t>Adams</t>
  </si>
  <si>
    <t>RT 64(North Ave) TO 10th AVE SOUTH TO ADAMS EAST TO 1347</t>
  </si>
  <si>
    <t>HEATHFIELD</t>
  </si>
  <si>
    <t>66X100X66X100</t>
  </si>
  <si>
    <t>VERY SHARP 4 BEDROOM Cambridge Colonial ADJACENT to 5   ACRE PARK-ONE OWNER ! Freshly painted interior &amp; garage.  New concrete patio. NEW A/C. New dishwasher &amp; new wholehouse humidifer. New ceiling fans in all bedrooms. Garage  insulated,drywall &amp; new overhead door plus storage cabinets.  NEW ROOF. ALL BATHROOMS UPDATED ! !</t>
  </si>
  <si>
    <t>Humidifier, TV-Cable, TV Antenna, CO Detectors, Ceiling Fan, Fan-Attic Exhaust, Fan-Whole House, Sump Pump, Air Cleaner, Radon Mitigation System(s)</t>
  </si>
  <si>
    <t>2.5%-$200(ON NET SP) (on Net SP)</t>
  </si>
  <si>
    <t>Clark Andrews</t>
  </si>
  <si>
    <t>(630) 262-7148</t>
  </si>
  <si>
    <t>855-746-9100 for APPOINMENT</t>
  </si>
  <si>
    <t>EXCEPTIONALLY CLEAN &amp; ATTRACTIVE--GREAT LOCATION ! ! ! Please use Multi-board 6.0 contract.</t>
  </si>
  <si>
    <t>Point is one way going south. Take California (N) to Point (S)</t>
  </si>
  <si>
    <t>25 X 132</t>
  </si>
  <si>
    <t>NEWEST ADDITION TO THE INDIGO HOMES COLLECTION~Stylishly Modern New Construction SFH w/ Touches of â€œGREENâ€_x009d_ thruout~ 4 Bed 3.5 Bath~Stunning Exterior, Modern Interior with Elevated Ceilings, Oak Hardwood Floors, Designer Finishes~Custom Kitchen, Bosch Appliances,tankless h20htr,NEST Thermostat, Whole Home Audio~Penthouse w/Bar &amp; Roof Access, Rear Deck, 2 Laundry Rooms &amp; 2 Car Garage. VISIT OUR WEBSITE 4 MORE</t>
  </si>
  <si>
    <t>Oven-Double, Oven/Range, Microwave, Dishwasher, High End Refrigerator, Refrigerator-Bar, Freezer, Washer, Dryer, Disposal, All Stainless Steel Kitchen Appliances, Wine Cooler/Refrigerator</t>
  </si>
  <si>
    <t>Separate Shower, Steam Shower, Double Sink, Full Body Spray Shower, Double Shower, Soaking Tub</t>
  </si>
  <si>
    <t>Bonus, Deck</t>
  </si>
  <si>
    <t>Bar-Dry, Bar-Wet, Hardwood Floors, 1st Floor Laundry, 2nd Floor Laundry</t>
  </si>
  <si>
    <t>Email Kellyparker@atproperties.com to schedule a walk through</t>
  </si>
  <si>
    <t>Easy to show. Email agent for specifications and design packet  Currently in the drywall process.  Still time for buyers to make selections!</t>
  </si>
  <si>
    <t>RT 71 TO PLAINFIELD (S) TO GROVE ROAD TO COLLINS</t>
  </si>
  <si>
    <t>75X158X71X153</t>
  </si>
  <si>
    <t>Park your car this is it! Beautiful 2 Story Traditional home in Morgan Crossing Sub. Property Features Open Modern floor plan W/ spacious kitchen,Big island,2 story family room W/ FP, dining, living room, Master bedroom W/ full bath amenities, full unfinished basement to add your personal touch, &amp; att. 3 car.</t>
  </si>
  <si>
    <t>TAXES 100%,  Submit offers to www.HomePath.com,this is a homepath property.</t>
  </si>
  <si>
    <t>Schubert</t>
  </si>
  <si>
    <t>Cicero to Drummond. West to Lamon. North to Schubert East. Schubert is one way going east.</t>
  </si>
  <si>
    <t>BRICK BUNGALOW.  FIRST FLOOR FEATURES LIVING ROOM AND DINING ROOM, KITCHEN AND TWO BEDROOMS.  HARDWOOD FLOORS. SECOND FLOOR FEATURES TWO BEDROOMS. SELLER DOES NOT PROVIDE SURVEY, TERMITE OR DISCLOSURES. THIS PROPERTY IS UNDER AUCTIONS TERMS. 5% BUYERS PREMIUM PURSUANT TO AUCTION TERMS.</t>
  </si>
  <si>
    <t>1% OR A MINIMUM OF $400.00 (on Net SP)</t>
  </si>
  <si>
    <t>River Elm Properties</t>
  </si>
  <si>
    <t>(708) 456-9200</t>
  </si>
  <si>
    <t>Debra Braglia, SFR</t>
  </si>
  <si>
    <t>(708) 373-8451</t>
  </si>
  <si>
    <t>HSSS</t>
  </si>
  <si>
    <t>AUCTION 11-3-2014 AND ENDS 11-4-2014. SUBMIT ANY OFFERS PRE-EVENT(OR POST EVENT) TO SALES@HOMESEARCH.COM. ALL PRE-EVENT OR POST-EVENT OFFERS WILL BE REVIEWED AND RESPONDED TO WITHIN 3 BUSINESS DAYS. CONTACT LA FOR DETAILS AND COMISSION PAID</t>
  </si>
  <si>
    <t>Devon to Sayre, South to 6342.  East of Harlem</t>
  </si>
  <si>
    <t>40 X 200</t>
  </si>
  <si>
    <t>Norwood Park 2 story on oversize lot. Well maintained by long time owners. Oak flrs/stairs/nat wdwk/built-ins. New wiring t/o. Anderson wdws.  1st fl bath whirlpool tub. Full bsmt below addition.  Strip off roof 2006. Boiler 1 month old. 6'7" LL ceiling hgt. Elec awning over deck. Super yard w/fish pond, firepit, shed. 29 X 28 htd concrete gar w/220, steel beam &amp; 8 ft party door.  Easy walk to Norwood Metra."AS IS"</t>
  </si>
  <si>
    <t>Gas, Hot Water/Steam, Baseboard, Zoned</t>
  </si>
  <si>
    <t>Bonus, Foyer, Loft, Recreation Room, Other</t>
  </si>
  <si>
    <t>Cedar, Stucco</t>
  </si>
  <si>
    <t>Deck, Patio, Storage Shed, Outdoor Fireplace</t>
  </si>
  <si>
    <t>Janet Robertson</t>
  </si>
  <si>
    <t>(773) 251-7433</t>
  </si>
  <si>
    <t>Use Showing Desk Link</t>
  </si>
  <si>
    <t>Note: 2 burners in cook top do not work. Property sold as is condition as is rider required on all offer</t>
  </si>
  <si>
    <t>North Ave, West of Central Park to Lawndale then north</t>
  </si>
  <si>
    <t>Great Opportunity to own this spacious 4 bedroom, 2 bath, home in HOT Humboldt Park area.  Main floor, living room, dining room.  HVAC 7 yrs. Finished attic and semi-finished basement. Close to transportation, entertainment, park and much more.  REGULAR SALE!!  Great potential, and a great investment.</t>
  </si>
  <si>
    <t>Maria Rios</t>
  </si>
  <si>
    <t>(773) 441-3678</t>
  </si>
  <si>
    <t>Call or text listing agent 24hr 773-441-3678</t>
  </si>
  <si>
    <t>Arrieta</t>
  </si>
  <si>
    <t>Showings after 4p.m. Mon-Thurs and Fri-Sun anytime!!</t>
  </si>
  <si>
    <t>5N255</t>
  </si>
  <si>
    <t>ARMY TRAIL W OF RT 59 TO HERITAGE N</t>
  </si>
  <si>
    <t>BEAUTIFUL SUNNY EQUESTRIAN PROPERTY OFFERS SECLUSION &amp; PRIVACY..RECENT REHAB..KITCHEN FEATURES CHERRY CABINETS,GRANITE,SLATE BACKSPLASH,SS APPLICANCES..FAMILYROOM OPEN TO KITCHEN W/HARDWOOD FLOORS &amp; FIREPLACE..1ST FLOOR DEN..1ST &amp; 2ND FL LDRY ROOMS..MASTER SUITE RETREAT W/ PRIVATE BATH FEATURING DBL SINK,SEPERATE SHOWER,SOAKER TUB &amp; WIC..CIRCLE DRIVEWAY..6 STALL HORSE BARN W/INDOOR EXERCISE AREA COULD HAVE MANY USES</t>
  </si>
  <si>
    <t>Cul-de-sac, Fenced Yard, Horses Allowed</t>
  </si>
  <si>
    <t>Den, Foyer, Walk In Closet</t>
  </si>
  <si>
    <t>2.5% LESS $200 (on Net SP)</t>
  </si>
  <si>
    <t>Realty Group Marino</t>
  </si>
  <si>
    <t>(630) 483-2000</t>
  </si>
  <si>
    <t>Melissa Marino-Bowers, CNC</t>
  </si>
  <si>
    <t>(630) 253-0094</t>
  </si>
  <si>
    <t>PLEASE REMOVE YOUR SHOES!!NEW CARPET IN HOME..PLEASE MAKE SURE ALL LIGHT ARE OFF AND HOME IS SECURE</t>
  </si>
  <si>
    <t>114TH ST WEST TO CAMPBELL SOUTH TO 11414</t>
  </si>
  <si>
    <t>43X124</t>
  </si>
  <si>
    <t>LOOKING FOR THAT HARD TO FIND 4 BEDROOM, 2 1/2 BATH HOME IN WEST BEVERLY?? THIS OVERSIZED GEORGIAN WITH A HUGE 2 STORY ADDITION (AND DUG-OUT BASEMENT!!) "FITZ" THE BILL!! THIS HOME OFFERS A LARGE LR, FORMAL DR, SUNKEN FR/FRENCH DOORS TO THE WONDERFUL BACKYARD, OFFICE NOOK, PLAY ROOM, 4 BRS INCLUDE LARGE MASTER SUITE/2 WALK-IN CLOSETS&amp;PRIVATE BATH,2ND FLR LAUNDRY ROOM,FIN BSMT. CLOSE TO PARK, SCHOOLS, TRANSPORTATION.</t>
  </si>
  <si>
    <t>2.5%-$200 ON NET (on Net SP)</t>
  </si>
  <si>
    <t>Fitzgerald Real Estate Inc.</t>
  </si>
  <si>
    <t>(773) 779-6085</t>
  </si>
  <si>
    <t>Mary Ellen Fitzgerald</t>
  </si>
  <si>
    <t>(773) 909-1792</t>
  </si>
  <si>
    <t>USE SHOWING ASSIST. BUYER'S AGENT MUST ACCOMPANY</t>
  </si>
  <si>
    <t>GREAT SPACE! GREAT YARD! GREAT LOCATION!</t>
  </si>
  <si>
    <t>Connolly</t>
  </si>
  <si>
    <t>Randall S of Rte 72 to Carrington E to Connolly or Rte 72 E of Randall to Carrington S to Connolly</t>
  </si>
  <si>
    <t>BIRMINGHAM-4</t>
  </si>
  <si>
    <t>118X91</t>
  </si>
  <si>
    <t>Like brand new~original owner &amp; barely lived in. Lots of upgrades &amp; ready for immediate occupancy. Brick front w/3 car insulated garage. Deep pour BSMT w/rough in. Spacious foyer w/volume ceilings &amp; hardwood floors. Dining room w/dry bar. 1st floor den. Kitchen open to family room w/2-story ceiling &amp; (never used) fireplace. Kitchen w/planning desk, pantry, island, 42" maple cabs &amp; so much more. See brochure in home</t>
  </si>
  <si>
    <t>Humidifier, TV-Dish, Security System, Fire Sprinklers, CO Detectors, Sump Pump, Radon Mitigation System(s)</t>
  </si>
  <si>
    <t>call co-list Rita Moehler 847-417-5264 with any questions</t>
  </si>
  <si>
    <t>Southampton</t>
  </si>
  <si>
    <t>Kaneville Road to Southampton or South Street to Southampton</t>
  </si>
  <si>
    <t>106X158X38X138</t>
  </si>
  <si>
    <t>Super Clean! New in last year+/-.Siding, Front Door Set, Painting, 2 Baths, Driveway, Brick Walk, Sump, EDO &amp; Trex deck. NEW LAST WEEK:  Neutral Carpet on Stairs/Hall/All BRs.  Furnace/AC 2010. Roof 2008.  Inviting Landscaping w/Perennials &amp; Mature Trees. 22' Kitchen=Many Options. Workshop &amp; separate storage room. Nice Neighborhood of Quality Well-Kept Homes. Walk to Pool, Parks &amp;Train. Easy to Shopping /Town.</t>
  </si>
  <si>
    <t>Irregular, Landscaped Professionally, Wooded</t>
  </si>
  <si>
    <t>Eating Area, Office, Recreation Room</t>
  </si>
  <si>
    <t>8 fluorescent fixtures do not stay. 4/shop, 4/garage</t>
  </si>
  <si>
    <t>39W210</t>
  </si>
  <si>
    <t>FABYAN PKWY TO MILL CREEK S TO E. MALLORY DR. LEFT TO HOME</t>
  </si>
  <si>
    <t>ARMSTRONG II</t>
  </si>
  <si>
    <t>58 X 147</t>
  </si>
  <si>
    <t>This property is priced WELL below market value!Use the equity to make it your own. Located prem lot w/relaxing views from anywhere in the home hardwood floors,NEW carpeting thru out,neutral decor,SS kitch w/ brkfst bar/eating area,mstr BR w/bath,walk-in closet Full fin walk-out bsmnt features den,game rm, office,&amp;kitchenette 2.5 car grg, large back yard Backs to pond</t>
  </si>
  <si>
    <t>FABYAN ELEMENTARY SCHOOL</t>
  </si>
  <si>
    <t>Dishwasher, Refrigerator, Disposal, All Stainless Steel Kitchen Appliances</t>
  </si>
  <si>
    <t>Eating Area, Foyer, Game Room, Office, Recreation Room</t>
  </si>
  <si>
    <t>GC Realty Development, LLC</t>
  </si>
  <si>
    <t>(630) 796-2656</t>
  </si>
  <si>
    <t>Mary Torgerson</t>
  </si>
  <si>
    <t>(630) 816-6969</t>
  </si>
  <si>
    <t>VACANT SCHEDULE AND GO</t>
  </si>
  <si>
    <t>Disclosures are uploaded under "Additional Information"</t>
  </si>
  <si>
    <t>Behrens</t>
  </si>
  <si>
    <t>Route 47 N of river to Main Street E to Oakwood to Behrens</t>
  </si>
  <si>
    <t>105 X 150</t>
  </si>
  <si>
    <t>WOW!!! STEP INSIDE &amp; BE AMAZED!  Nearly 5000 SF of Custom Living Space~You'll Love Holiday Entertaining! 2-Story Family Rm Addition~Gorgeous Kitchen w/Hearth Room~Finished Lower w/Bar, Pub, 2nd Family Rm, Full Bath w/Multi Jetted  Shower, &amp; 5th BR. Features include 3 Real Fireplaces, Superb Trim &amp; Hardwood Floors~Stunning Master Bed &amp; Bath Retreat~Freshly Painted Exterior, Deck, &amp; Patio! Better Than New! Don't Miss!</t>
  </si>
  <si>
    <t>Bar, Den, Foyer, Game Room, Library, Media Room, Office</t>
  </si>
  <si>
    <t>Call Centralized Showings at 877977-1010</t>
  </si>
  <si>
    <t>Bring your Buyers who Expect the BEST...On a Scale of 1-10...this is a 12!</t>
  </si>
  <si>
    <t>Pulaski to S 57th Place, west to address.</t>
  </si>
  <si>
    <t>Great starter home. Brick, 4 bedrooms, unfinished basement, spacious porch. Hardwood floors on main level and upstairs. Sold "AS-IS". House needs some TLC... lots of potential!</t>
  </si>
  <si>
    <t>Conventional, FHA, VA, Owner May Help/Assist</t>
  </si>
  <si>
    <t>Christopher Makowski</t>
  </si>
  <si>
    <t>(773) 758-2200</t>
  </si>
  <si>
    <t>Text your name, ID and date time to LAG at 773-758-2200</t>
  </si>
  <si>
    <t>Not REO, not Short Sale. Price is attractive, but firm.</t>
  </si>
  <si>
    <t>RT 20 TO ARLINGTON DR S TO SANTA ANITA TO HIALEAH</t>
  </si>
  <si>
    <t>GRANDA II</t>
  </si>
  <si>
    <t>NICE 4BR 2BA RANCH HOME W/A BRIGHT &amp; OPEN FLOOR PLAN. TAKE A LOOK AT THESE LARGE ROOM SIZES.  . 2C GAR, FENCED YARD, HUGE DECK &amp; SHED. HOUSE SHOWS GREAT.</t>
  </si>
  <si>
    <t>Fannie Mae/HomePath</t>
  </si>
  <si>
    <t>Agents to submit offers through HomePath Online Offers System. At Homepath.com</t>
  </si>
  <si>
    <t>39W983</t>
  </si>
  <si>
    <t>WELLINGTON (y143)</t>
  </si>
  <si>
    <t>KESLINGER TO FRIENDSHIP WAY SOUTH TO KING DRIVE RIGHT TO WELLINGTON WAY LEFT</t>
  </si>
  <si>
    <t>AUGUSTA</t>
  </si>
  <si>
    <t>70X70X120</t>
  </si>
  <si>
    <t>Spacious Augusta Model under construction with expected delivery in December. Home is situated on Golf Course Home Site w/ 4 Bedrooms 2.5 Baths at 2,339 SF. Includes 3 Car Garage, Hardwood Floors, Fireplace, Granite Kitchen Countertops, Stainless Steel Appliances and so much more.  Full Covered Front Porch and complete landscape package.  A Must See!</t>
  </si>
  <si>
    <t>2.5%  2.5% (on Net SP)</t>
  </si>
  <si>
    <t>CALL MILL CREEK SALES CENTER 630-232-8181</t>
  </si>
  <si>
    <t>PLEASE CONTACT MILL CREEK SALES CENTER FOR MORE INFORMATION 630-232-8181. LIST PRICE REFLECTS CURRENT PROMOTION.</t>
  </si>
  <si>
    <t>Market</t>
  </si>
  <si>
    <t>Rt 34 to 5th St. (left) to Versailles Pkwy (right) to Bonaventure Dr (left) to Market</t>
  </si>
  <si>
    <t>Phenomenal 2 stry home! Features 4BR's, 2.5 baths. 2 car Attached garage! New carpet throughout. Freshly painted. This is a Fannie Mae HomePath property.</t>
  </si>
  <si>
    <t>All offers are to be submitted on HomePath.com **BUYER RESPONSIBLE FOR TRANSFER STAMPS IF APPLICABLE. Multiple Offer Deadline â€“ Dec 03, 2014, 9:29am</t>
  </si>
  <si>
    <t>East side of Cumberland North of Irving Park</t>
  </si>
  <si>
    <t>25' X 125'</t>
  </si>
  <si>
    <t>WELL MAINTAINED GEORGIAN IN DUNNING. NOT A SHORT SALE OR FORECLOSURE. MOTIVATED SELLER. THIS PROPERTY IS PRICED TO MOVE. OLDER MECHANICALS &amp; ROOF. BUT ALL HAVE BEEN MAINTAINED. PROPERTY BEING SOLD "AS IS", &amp; NO SURVEY PROVIDED.</t>
  </si>
  <si>
    <t>2.5% LESS $175 (on Net SP)</t>
  </si>
  <si>
    <t>Randy Lancaster</t>
  </si>
  <si>
    <t>(773) 828-8669</t>
  </si>
  <si>
    <t>Call Co-Lister 847-757-5035</t>
  </si>
  <si>
    <t>DISCLOSURES UNDER ADDITIONAL INFORMATION</t>
  </si>
  <si>
    <t>Milwaukee to Bryn Mawr (east) to Menard. (House is on NE Corner of Menard &amp; Bryn Mawr)</t>
  </si>
  <si>
    <t>32 X 127</t>
  </si>
  <si>
    <t>Beautiful &amp; well-designed 4BD/2BA home ideal for entertaining &amp; family enjoyment. Complete renovation. Gourmet KIT w/42" custom cabinets/top-of-the-line new SS appls/granite/marble-opens to deck. New hardwd flrs, high cathedral ceilings! FP. Luxury BA w/dble sink, whirlpool. Huge finished 1000 SqFt walk-out BSMT w/wet bar. Thermal windows. Fenced. Walk to shops, restaurants, top schools, Metra. 1YR Warranty KIT appls</t>
  </si>
  <si>
    <t>Park/Playground, Other</t>
  </si>
  <si>
    <t>Oven/Range, Dishwasher, Refrigerator, High End Refrigerator, Refrigerator-Bar, All Stainless Steel Kitchen Appliances, Wine Cooler/Refrigerator</t>
  </si>
  <si>
    <t>Intercom, CO Detectors</t>
  </si>
  <si>
    <t>Bar, Deck, Play Room, Recreation Room</t>
  </si>
  <si>
    <t>Vaulted/Cathedral Ceilings, Bar-Wet, Hardwood Floors, 1st Floor Bedroom, 1st Floor Full Bath</t>
  </si>
  <si>
    <t>708-257-3307</t>
  </si>
  <si>
    <t>For Showings/Inquiries call Seller directly at 708-257-3307</t>
  </si>
  <si>
    <t>Magdalena Maslikiewicz</t>
  </si>
  <si>
    <t>For Showings/Inquiries call Seller directly at 708-257-3307. All offers to Listing Office via email support@aflatfee.com or fax 630-599-8604. We do NOT hold Earnest Money. **1 Year Warranty for Kitchen Appliances.**</t>
  </si>
  <si>
    <t>Central E to 47th Leclaire N to 45th E to Lawler</t>
  </si>
  <si>
    <t>110X110</t>
  </si>
  <si>
    <t>Kazaam! This property will zip zap and slam your head around with amazement and bring you to your knees in happiness!  The home will be complete with 4 bedrooms 2 full bathrooms, a finished basement, customized bathrooms and kitchen, and full finished basement.  Hardwood flooring on main level with ceramic tile kitchen.  Cherry oak kitchen cabinets and stainless steel appliances. Master bed in basement plus more!</t>
  </si>
  <si>
    <t>For a list of other rehabbed homes visit InsiderShowHomes.com</t>
  </si>
  <si>
    <t>BELMONT AVE TO ODELL NORTH TO HOME</t>
  </si>
  <si>
    <t>This stunning4bed,4bathSingleFamily home is perfect for big family.Large lot with:Side drive,2car garage,large wooden deck overlooking a spacious back-yard.Hard-wood floors and Italian porcelain tiling throughout,and completely finished basement.Newly completed TopToBottom rehab includes:All new windows,roof,plumbing,brand-new dual-zone furnace,all new electric200AMPservice panel and new overhead sewer&amp;drainageSystem</t>
  </si>
  <si>
    <t>22X36</t>
  </si>
  <si>
    <t>2.5%-$175 (ON NET SP) (on Net SP)</t>
  </si>
  <si>
    <t>Joanna Zatorska</t>
  </si>
  <si>
    <t>(773) 501-3395</t>
  </si>
  <si>
    <t>send email to joannazat@gmail.com</t>
  </si>
  <si>
    <t>Recent Rehab, All New, You will not be disappointed, Bring us an offer!!!</t>
  </si>
  <si>
    <t>Rt56(W of Kirk Rd) 2 Hart Rd(N) 2 Fox Trail(W) 2 Sauk(S) 2 Derby Drive(E)</t>
  </si>
  <si>
    <t>87X128X145X121</t>
  </si>
  <si>
    <t>Dramatic home w/contemporary flair on a one of a kind scenic wooded lot backing to acres of preserved land!Mbdrm w/tray ceil &amp; newly remodeled luxury bth!Enormous granite kitch w/tons of cabinets...Soaring 2 story liv rm w/fp &amp; transom windows...Grand foyer,expansive upper and lower decks,look-out bsmt,3 car garage...Totally updated,very clean neutral dÃ©cor,pride of owners shows!!Quick access to I-88 &amp; prairie path!!</t>
  </si>
  <si>
    <t>Call 1-855-919-0377</t>
  </si>
  <si>
    <t>CICERO TO 49TH ST, WEST TO LACROSSE, SOUTH TO HOME</t>
  </si>
  <si>
    <t>short sale..4 bedrooms 2 bath semi finished basement. 2 car garage.</t>
  </si>
  <si>
    <t>West Town Realty, Inc.</t>
  </si>
  <si>
    <t>(312) 647-6905</t>
  </si>
  <si>
    <t>Jessica Barrera</t>
  </si>
  <si>
    <t>(773) 370-1478</t>
  </si>
  <si>
    <t>TEXT CESAR 773-370-1478</t>
  </si>
  <si>
    <t>CC: Pursuant to Short Sale. SHORT SALE IN PROCESS DEALING WITH SHORT SALE NEGOTIATOR. AS IS CASH OR CONVENTIONAL PREFERRED....</t>
  </si>
  <si>
    <t>North to Maplewood Ave. Head North 1 Block to Property.</t>
  </si>
  <si>
    <t>Stunning 4 Bed/3.5 Bath Bucktown SFH w/ Brick &amp; Stone Exterior. Custom Kitchen Features Granite Counters, SS Appl &amp; Built-In Bar. Open to Spacious Living/Dining Rm &amp; Family Rm Including WBFP w/ Gas Start. Master Suite Boasts Vaulted Ceilings, 2 WIC, Balcony &amp; Spa-Like Bath w/ Whirlpool, Sep. Shower, Double Sinks &amp; Skylight. Xtra Large Rec Rm. Mud Rm w/ 2nd W/D Hook-Up. Large Deck Overlooking Fenced Yard. 2 Car Garage</t>
  </si>
  <si>
    <t>MOOS ELEMENTARY SCHOOL</t>
  </si>
  <si>
    <t>Balcony, Deck, Foyer, Mud Room, Recreation Room, Walk In Closet</t>
  </si>
  <si>
    <t>Vaulted/Cathedral Ceilings, Skylight(s), Bar-Dry, Hardwood Floors, 2nd Floor Laundry</t>
  </si>
  <si>
    <t>To Schedule A Showing TEXT JC at 773-647-7564</t>
  </si>
  <si>
    <t>. Master Bedroom drapes excluded</t>
  </si>
  <si>
    <t>5N425</t>
  </si>
  <si>
    <t>Cochise</t>
  </si>
  <si>
    <t>From Rt. 64 and Rt. 47 go north on 47 to the IC Trail; west to Cochise; south to property.</t>
  </si>
  <si>
    <t>INDIAN CREEK</t>
  </si>
  <si>
    <t>142X237X200X250</t>
  </si>
  <si>
    <t>NEED SPACE and NO WORK TO DO? YOU HAVE FOUND IT! COMPLETELY remodeled 4-bdr home w/new roof, new furnace, updated eat-in kit &amp; baths, 2 patios (one COVERED), deck &amp; concrete drive! Beautiful maple cabinetry in kitchen w/pull-outs, breakfast bar, B/I micro, gorgeous tiled backsplash, oil-rubbed bronze fixtures &amp; all applncs incl! Large fam rm w/woodburning FP, garage w/built-in cabs. Cfans, shed, swingset, fire pit...</t>
  </si>
  <si>
    <t>Pristine! You will not be disappointed!</t>
  </si>
  <si>
    <t>Grand</t>
  </si>
  <si>
    <t>on Grand Ave. just East of Narragansett</t>
  </si>
  <si>
    <t>Call Today! Make your appt.to see this gorgeous 4 bdrm, 2 bath brick ranch in move in condition! Lvg room flr just finished, updated kitchen w/custom cabinetry &amp; granite counter tops. Massive finished bsmt with large rec room, full bath &amp; 2nd kit and 4th bdrm. This beauty is loaded with updates, newer c/a &amp; furnace, new windows and brand new 2 car garage. Great location near Public trans,walk to Riis park.</t>
  </si>
  <si>
    <t>Ivan Santiago</t>
  </si>
  <si>
    <t>(773) 837-0430</t>
  </si>
  <si>
    <t>Text or call Ivan @ 773-837-0430</t>
  </si>
  <si>
    <t>EZ to show:) Property has been well maintained and shows well, sold  "AS IS".</t>
  </si>
  <si>
    <t>39W053</t>
  </si>
  <si>
    <t>SHANNON</t>
  </si>
  <si>
    <t>FABYAN W TO S MILL CREEK TO E MALLORY L TO SHANNON SQ LEFT</t>
  </si>
  <si>
    <t>55X163X143X176</t>
  </si>
  <si>
    <t>Wonderful 4BRw/Luxury Master Suite and Terrific Floorplan! Situated on a premium lot w/Panoramic Views overlooking the nature preserve! Hardwood floors! Volume Ceilings!, Gourmet Kitchen w/Island open to Outstanding Family Room w/Beautiful Fireplace! MBR suite with Volume Clg &amp; Deluxe Private bath.  2nd Floor Laundry, Excellent Batavia Schools! Finished Look Out Lower Level with Full Bath! Both Private &amp; Convenient!!</t>
  </si>
  <si>
    <t>Park/Playground, Pool, Pond/Lake, Curbs/Gutters, Sidewalks, Street Lights</t>
  </si>
  <si>
    <t>Forest Preserve Adjacent, Water View</t>
  </si>
  <si>
    <t>Dale Grischow</t>
  </si>
  <si>
    <t>(630) 997-8841</t>
  </si>
  <si>
    <t>Call Showing Time 1-855-746-9093</t>
  </si>
  <si>
    <t>McDonough</t>
  </si>
  <si>
    <t>Great Home! Walk Out Brand New Sliding Doors to Terrific Private Setting Backing to Nature Preserve and Pond! Grat Home &amp; Location!</t>
  </si>
  <si>
    <t>Limerick</t>
  </si>
  <si>
    <t>Randall to Bowes (W), R on Longcommon , R on Waterford, R on Shamrock, L on Limerick</t>
  </si>
  <si>
    <t>Waterford</t>
  </si>
  <si>
    <t>BRISTEL II</t>
  </si>
  <si>
    <t>72X139X79X49X95</t>
  </si>
  <si>
    <t>Beautiful Home in 301 school District!  Spacious, open floor plan perfect for entertaining~Gourmet kitchen w/an abundance of maple cabinetry~Grand Master Suite With cathedral ceilings, walk-in closets and Luxury Master Bath~Generously sized Bedrooms/Crown Molding~Fabulous Loft area~Deep Pour English Basement~Wired for Home Security~Community Pool, Parks, Walking paths~Don't miss this Wonderful Family Home!!</t>
  </si>
  <si>
    <t>12X27</t>
  </si>
  <si>
    <t>24 Hr. Notice  No showing M-F 11-2  Call 855-746-9200 to schedule</t>
  </si>
  <si>
    <t>CC: Pursuant to Short Sale. -Sold as is- Paper work submitted - experienced SS attorney-Any commission changes split 50/50 - Taxes 100%  Exclusions: 2 refrigerators, Washer, TV's, Cornice in Pink Bedroom.</t>
  </si>
  <si>
    <t>Panama</t>
  </si>
  <si>
    <t>ADDISON TO PANAMA NORTH TO PROPERTY</t>
  </si>
  <si>
    <t>30 X 123</t>
  </si>
  <si>
    <t>GREAT LOCATION! Totally remodeled Chicago Bungalow with New Kitchen, both baths, front door, carpeting in 2nd floor bedrooms, appliances and freshly painted; also newer windows and refinished hardwood floors. Lower level is finished with bath.  Great use of space t/o this home.  Nothing to do but move in!</t>
  </si>
  <si>
    <t>2.5% -$250.00 (on Gross SP)</t>
  </si>
  <si>
    <t>Gateway Realty &amp; Builders Inc.</t>
  </si>
  <si>
    <t>(773) 775-4440</t>
  </si>
  <si>
    <t>Mark Chereso</t>
  </si>
  <si>
    <t>(773) 719-7732</t>
  </si>
  <si>
    <t>Call-text listing agent or office for instructions</t>
  </si>
  <si>
    <t>FK Investments, LLC</t>
  </si>
  <si>
    <t>This is a pleasure to show, it is move in ready!!  The seller request that all buyers get preapproval through David Weinberg at Perl Mortgage (see additional information for his contact information)</t>
  </si>
  <si>
    <t>Pulaski to 71st st. east to Central Park, south to 71st pl, west to home!</t>
  </si>
  <si>
    <t>SHORT SALE APPROVED AT LIST PRICE****4 bedroom bungalow, 2 full bath plus 1/2 bath in Basement.Hardwood floors.   Finished basement with bar. Nice kitchen cabinets. Short sale sold as is. No survey, no termite, buyer responsible for any repairs/violations if any.  Taxes at 100%  STILL TIME TO MOVE IN BEFORE THE NEW YEAR!  SHORT SALE APPROVED.</t>
  </si>
  <si>
    <t>24 hr notice send email to Nelly.sfr@gmail.com</t>
  </si>
  <si>
    <t>CC: Pursuant to Short Sale. BIG DOG IN HOUSE, NEED NOTICE</t>
  </si>
  <si>
    <t>Jeffery Ave to 91st Street. Turn East on 91st to Crandon.  Turn South on Crandon.</t>
  </si>
  <si>
    <t>Beautifully rehabbed 4 bedroom, 2 bath, brick ranch in Pill Hill.  The gorgeous eat-in kitchen boasts stainless steel appliances &amp; granite counters.  Hardwood floors throughout main floor.   Finished basement features a spacious rec room,  full bath, laundry room, and bonus room.  2 car garage.  Can walk to elementary school.  Can walk to Advocate Hospital. Seller will pay 3% towards buyer's closing costs.</t>
  </si>
  <si>
    <t>Aaron Franklin</t>
  </si>
  <si>
    <t>(773) 412-8088</t>
  </si>
  <si>
    <t>773-412-8088</t>
  </si>
  <si>
    <t>Call Agent. Aaron Franklin.  773-412-8088</t>
  </si>
  <si>
    <t>54th</t>
  </si>
  <si>
    <t>TAKE WOODLAWN TO 54TH ST. (NOT PLACE) EAST HALF BLOCK TO 1221 ON SOUTH SIDE STREET</t>
  </si>
  <si>
    <t>CAMPUS HYDE PARK</t>
  </si>
  <si>
    <t>LIMESTONE</t>
  </si>
  <si>
    <t>150X22</t>
  </si>
  <si>
    <t>LOOK AT A PICTURE OF THIS HOUSE AND YOU KNOW YOU ARE IN HYDE PARK. STEPS FROM THE U OF C.  THE FIRST LEVEL HAS A DOUBLE PARLOR LIVING ROOM FRAMED IN WOODTRIM. A  BAY WINDOW AND FIREPLACE STOVE. LOTS OF ROOM FOR MANY SEATING AREAS.  GREAT COOKING KITCHEN. FORMAL DINING ROOM AND BIG SUNNY FAMILY ROOM OVERLOOKING A MOST BEAUTIFUL GARDEN &amp; YARD &amp; 2 CAR GARAGE. UPDATED BATHS.  AND 4 BEDROOMS IN THE TREE TOPS.CENTRAL A/C</t>
  </si>
  <si>
    <t>29X16</t>
  </si>
  <si>
    <t>Brick, Limestone, Concrete</t>
  </si>
  <si>
    <t>Heatilator Type System, Decorative Only</t>
  </si>
  <si>
    <t>2.25 -$275 (on Net SP)</t>
  </si>
  <si>
    <t>MetroPro Realty LLC</t>
  </si>
  <si>
    <t>(773) 667-1000</t>
  </si>
  <si>
    <t>Donna Schwan</t>
  </si>
  <si>
    <t>(312) 203-4246</t>
  </si>
  <si>
    <t>CALL LISTING AGENT</t>
  </si>
  <si>
    <t>THIS HOUSE COMFORTABLE AND BEAUTIFUL WITH A GREAT SENSE OF PRIVACY.  IT IS MOVE IN CONDITION.  THE BASEMENT CAN BE FINISHED. ALL OF THE WALLS AJD FLOORS HAVE BEEN REFINISHED.  BATHS HAVE ALL BEEN UPGRADED.  JUST MOVE IN AND ENJOY LIVING.</t>
  </si>
  <si>
    <t>Central Ave  Between Belmont and Addison to School Then East.</t>
  </si>
  <si>
    <t>GUT REHAB EVERYTHING NEW PLUMBING,ELECTRIC,ROOF WINDOWS.BEATIFULL NEW KITCHEN GRANITE COUNTERTOPS           SS APPLIANCES .ALL NEW BATHROOMS.FINISHED BASMENT WITH EXTRA BEDROOM AND BATH.NEW WOODEN PRIVACY FENCE.EVERYTHING DONE WITH CITY OF CHICAGO PERMITS</t>
  </si>
  <si>
    <t>16X44</t>
  </si>
  <si>
    <t>Prospect Equities-Infiniti</t>
  </si>
  <si>
    <t>(708) 206-3000</t>
  </si>
  <si>
    <t>Dorota Krajewska</t>
  </si>
  <si>
    <t>(708) 261-7172</t>
  </si>
  <si>
    <t>CALL LISTING AGENT 708-261-7172</t>
  </si>
  <si>
    <t>40W915</t>
  </si>
  <si>
    <t>Campton Meadows</t>
  </si>
  <si>
    <t>Rt.38 West of Randall to Lafox N to Campton Hills W to Campton Woods N to Campton Meadows E to Home</t>
  </si>
  <si>
    <t>Campton Woods</t>
  </si>
  <si>
    <t>204.84X377.16X138.52X342.0</t>
  </si>
  <si>
    <t>Sprawling open floor plan ranch located on a 1.77 acre lot in prestigious Campton Hills subdivision. A must see home featuring soaring vaulted ceilings w/ skylights, huge eat-in kitchen with granite counters, main level laundry, main level family room, sun room, &amp; study. Master bed with tray ceiling, W/I closet, and private full bath. Finished basement living space with rec room, full bath, and 4th bed.</t>
  </si>
  <si>
    <t>2nd Kitchen, Great Room, Office, Recreation Room, Sun/Florida Room</t>
  </si>
  <si>
    <t>(630) 469-1855</t>
  </si>
  <si>
    <t>Neil Verhagen</t>
  </si>
  <si>
    <t>(630) 668-8343</t>
  </si>
  <si>
    <t>Call showing desk 855-746-9100</t>
  </si>
  <si>
    <t>Please provide all lender contact information and/or POF letter with all offers.</t>
  </si>
  <si>
    <t>RTE 25 TO LAKE MARIAN RD (W) TO SEDGEWICK (S) TO HOME.</t>
  </si>
  <si>
    <t>50X114X110</t>
  </si>
  <si>
    <t>Great floor plan! Newer construction. Sold in "as-is" condition. Freddie Mac owned. This property is eligible under Freddie Mac 1st look initiative through 10/04/2014. 100% tax proration. The seller will not provide or pay for survey. Pre-approval letter or  proof of funds should accompany all offers.</t>
  </si>
  <si>
    <t>Egle Vasiliauskiene, GRI</t>
  </si>
  <si>
    <t>PLEASE CALL SHOWING VICE AT 877-977-1010</t>
  </si>
  <si>
    <t>Home Steps/ Freddie Mac</t>
  </si>
  <si>
    <t>Please email offers to amberrealty@gmail.com or fax 847 660 6023. Earnest money (after offer acceptance) must be cashier's check. H&amp;B by 09/23/14 at 3:00PM</t>
  </si>
  <si>
    <t>Avers</t>
  </si>
  <si>
    <t>Roscoe east to Avers West</t>
  </si>
  <si>
    <t>Beautifully maintained one owner home in Hot Avondale.  3 blocks to Blue line and Kennedy expressway .  4 nice size bedrooms and a big High  ceiling basement with overhead sewer  ready for finishing.This is a real nice house! Newer roof and furnace. Red oak floors and staircase. Sold as is.</t>
  </si>
  <si>
    <t>American Realty Services, Inc.</t>
  </si>
  <si>
    <t>(773) 631-0909</t>
  </si>
  <si>
    <t>Sean O'Neill, e-PRO,GRI</t>
  </si>
  <si>
    <t>(312) 656-3380</t>
  </si>
  <si>
    <t>Call Sean 312 656 3380</t>
  </si>
  <si>
    <t>This is a nice clean property. Move right in.  Easy to show.</t>
  </si>
  <si>
    <t>Wingfoot</t>
  </si>
  <si>
    <t>Route 25 to Banbury, to Oak Crest, left to Wingfoot</t>
  </si>
  <si>
    <t>This home offers so much! Full 3 car garage~Large lot with fenced in backyard with lovely stamped concrete patio and trees~Gleaming hardwood in the Kitchen, Living Room and Dining Room~Full finished basement~Large bedrooms~Master suite with full bath~2nd floor laundry~Tons of storage space~New roof and siding~So much more!  Convenient location, close to schools, shopping and transportation.  Move in and Enjoy!</t>
  </si>
  <si>
    <t>Julie Goodyear</t>
  </si>
  <si>
    <t>(630) 781-9028</t>
  </si>
  <si>
    <t>PLEASE CALL 855-746-9100 TO MAKE APPOINTMENT</t>
  </si>
  <si>
    <t>Central Park to Cortland west to home.</t>
  </si>
  <si>
    <t>Large brick bungalow on a double lot featuring 2 floors of living space in Humboldt Park. 4 bedrooms, 3 baths, full finished basement and a 2 car garage. Landscaped front and side garden(s) enclosed by an iron fence. Walk to CTA, YMCA, trendy shops and the soon to be Bloomngdale Trail. Next door lot is included in price and may be buildable.  Empty lot PIN# 1335305040000</t>
  </si>
  <si>
    <t>Millennial Realty Inc</t>
  </si>
  <si>
    <t>(773) 294-0070</t>
  </si>
  <si>
    <t>Ernesto Escalante</t>
  </si>
  <si>
    <t>Tuesday Wednesday Friday 5pm-7pm Sat 10am-5pm Email or Text Josh</t>
  </si>
  <si>
    <t>King Drive on 103RD ST, West to Indiana Ave. South to 10568</t>
  </si>
  <si>
    <t>4 bedroom home with separate living and dining rooms. Nice big backyard with enclosed privacy fency. Show and sell the former home of Larry "Flash" Jenkins, Acclaimed Actor.  THIS HOME IS BEING SOLD AS-IS AND IS IN NEED OF REPAIRS BUT WOULD MAKE A GREAT HOME FOR A LARGER FAMILY.</t>
  </si>
  <si>
    <t>no survey, sold as-is.  no 2014 tax proration or credit but seller has paid all taxes that are payable</t>
  </si>
  <si>
    <t>MAJESTIC</t>
  </si>
  <si>
    <t>RANDALL 2 GRANDVIEW E 2 MAJESTIC WAY N</t>
  </si>
  <si>
    <t>70 X 118</t>
  </si>
  <si>
    <t>Upgrades galore! 4 BD+den 2.1 BTH home boasts open layout. Immaculate kitchen remodel (2014) with SS appliances, 42â€_x009d_ cabinets, GE Cafe fridge, wine fridge, undermount lighting. Stunning new handscraped hardwood floor throughout 1st level (2014). 2 story family rm w/fireplace . Spacious rooms throughout w/master suite w/full bth and balcony. Huge tiled patio &amp; fenced yd. Finished basement w/backup sump pump. Must see!</t>
  </si>
  <si>
    <t>Den, Foyer, Game Room, Recreation Room</t>
  </si>
  <si>
    <t>Vaulted/Cathedral Ceilings, Bar-Dry, Hardwood Floors, 1st Floor Bedroom, 1st Floor Laundry</t>
  </si>
  <si>
    <t>36X16</t>
  </si>
  <si>
    <t>David Crampton</t>
  </si>
  <si>
    <t>(630) 433-1037</t>
  </si>
  <si>
    <t>Call LA 630-433-1037 for appt.</t>
  </si>
  <si>
    <t>Buyers must be accompanied by their agent for all showings.</t>
  </si>
  <si>
    <t>35W490</t>
  </si>
  <si>
    <t>Chateau</t>
  </si>
  <si>
    <t>Rte 31 North of I-90 West on Bocosky to South on Frontenac to Chateau</t>
  </si>
  <si>
    <t>291X166X342X106X33X250</t>
  </si>
  <si>
    <t>Exquisite wooded seclusion*Set nearby ALL the conveniences &amp; commuter arteries you want...but tucked back in an area of estate homes*Sprawling Brick front ranch offers 3000sqft &amp; more than an acre of mature landscape*Grand foyer opens to a huge Atrium fraught w/foliage &amp; enhanced by skylights*Stunning Cherry &amp; Granite Kitchen*Gigantic cedar screened porch*Cathedral Fam rm w/Fplc*Finished Bsmt*  Brand New Roof!!!</t>
  </si>
  <si>
    <t>Atrium, Game Room, Recreation Room, Screened Porch</t>
  </si>
  <si>
    <t>Seller just put on a New roof</t>
  </si>
  <si>
    <t>Spires</t>
  </si>
  <si>
    <t>Rt. 34 to 5th St. South to Versallies West to Bonaventure N to Spires W to home</t>
  </si>
  <si>
    <t>62X112</t>
  </si>
  <si>
    <t>Phenomenal 4 BR 2.5 baths home. Family rm with FP. New Carpeting throughout. Freshly Painted! 2 Car Attached Garage This is a Fannie Mae HomePath property.</t>
  </si>
  <si>
    <t>TIMBER</t>
  </si>
  <si>
    <t>SCHAUMBURG RD TO BARTLETT RD S. TO TIMBER TRL WEST TO PROPERTY</t>
  </si>
  <si>
    <t>100X60</t>
  </si>
  <si>
    <t>A must see! Spacious 4 bedroom/1 bathroom home in a great location! Spacious fenced in yard, 1 car garage.... this one has it all! Priced to sell! Choose FHA financing to qualify for $100 down payment. Ask your Agent for details. Sold as-is. Equal Housing Opportunity</t>
  </si>
  <si>
    <t>Case#137-500681 .INSURED STATUS:Insured w/escrow.. Up to 3% co-op Offers 2B submitted on-line Off. must be reg. &amp; have a NAID# Go to hudhomestore.com 4 online bidding info/details .?'s fsrhomes@aol.com SOLD AS-IS www.hometelosfirst.com</t>
  </si>
  <si>
    <t>Hampton</t>
  </si>
  <si>
    <t>Rt 19 to Shales to Maroon to Hampton to Home</t>
  </si>
  <si>
    <t>SUMMERHILL</t>
  </si>
  <si>
    <t>Four bedroom home newly painted and carpeted. Faces an open field. 2 car garage. This is a Fannie Mae HomePath property. Tax proration 100%, no disclosures/survey</t>
  </si>
  <si>
    <t>HUFF ELEMENTARY SCHOOL</t>
  </si>
  <si>
    <t>Call 866-852-8313 to schedule appt.</t>
  </si>
  <si>
    <t>Central Ave to School St W to Home</t>
  </si>
  <si>
    <t>This classic 4 bed/ 2 bath with additional 1 bedroom in  basement brick bungalow has lots of charm and was rehabbed in 2005 and well maintained by long time owners. Newer features include:"Ridge"roof shingles, windows w/ life warranty, 2 separate furnance/water heaters for better efficiency, original trims high quality woodwork. Second level with elegant wood burning fireplace and skylights. Ask for home warranty.</t>
  </si>
  <si>
    <t>Skylight(s), Bar-Dry, Hardwood Floors, 1st Floor Bedroom, In-Law Arrangement, 1st Floor Full Bath</t>
  </si>
  <si>
    <t>2.25%-$295 (on Net SP)</t>
  </si>
  <si>
    <t>Jacek Piktel</t>
  </si>
  <si>
    <t>(773) 655-7597</t>
  </si>
  <si>
    <t>Call Listing Agent 773.655.7597</t>
  </si>
  <si>
    <t>East or west on 83rd st to Washtenaw north to address.</t>
  </si>
  <si>
    <t>STUNNING REHAB ON A GREAT BLOCK IN ASHBURN!CLOSE TO EVERYTHING. NEW ROOF WITH ARCHITECTURAL SHINGLES, NEW WINDOWS, NEWER ELECTRIC, KITCHEN,BATHS. LARGE LIVING ROOM WITH SEP DINING THAT IS FLOODED WITH NATURAL LIGHT. CHEF'S KITCHEN WITH SS APP, WINE FRIDGE &amp; BRKFST BAR. ALL 4 BEDS ARE UP. FRONT LOADER W/D HAS BEEN RELOCATED UPSTAIRS CLOSE TO BEDROOMS. FINISHED BASEMENT IS YOUR NEW MEDIA ROOM. PATIO. NEW 2.5 GARAGE!</t>
  </si>
  <si>
    <t>Hardwood Floors, 1st Floor Bedroom, 2nd Floor Laundry</t>
  </si>
  <si>
    <t>2.5%- $195 + $750 BONUS W/CONTRACT BY 11/30/14. (on Net SP)</t>
  </si>
  <si>
    <t>Seng Phosaraj</t>
  </si>
  <si>
    <t>(773) 485-1749</t>
  </si>
  <si>
    <t>Seng.Phosaraj@carringtonres.com</t>
  </si>
  <si>
    <t>EASY TO SHOW. CLICK ON SHOWING ASSIST.</t>
  </si>
  <si>
    <t>$750 BONUS IF UNDER CONTRACT BY 11/30/14! This is a stunning rehab. It is 99% completed. Look at the comps. IDHA STILL HAS GRANTS FOR FIRST TIME BUYERS OR VA FOR DOWN PAYMENT ASSISTANCE. EMAIL AGENT for faster response.Agent has an interest</t>
  </si>
  <si>
    <t>IL RT 23 (Peace Rd N or IL RT 64 S) to Foxpointe Drive E to Home</t>
  </si>
  <si>
    <t>Amazing 4 Bedroom/3.1 Bath in "Foxpointe". Features to boast on incl.: Hardwood Flooring &amp; Many Updates. New Roof, Windows, Exterior Paint, H20 Softener, Oven, Fridge, HVAC (furnace &amp; A/C) &amp; Active Radon Sys.! Family Room w/Gas Start/Wood Burning FPL. Living Room w/French Doors. 2nd Level Features: Nicely Sized Bedrooms &amp; Full Bath. Large Master w/New Bath. Full/Fin. BSMT w/Full Bath &amp; Laundry! Great Yard &amp; Deck!</t>
  </si>
  <si>
    <t>Christopher Tenggren, ABR,CRS,GREEN,GRI,SRES</t>
  </si>
  <si>
    <t>(630) 408-2750</t>
  </si>
  <si>
    <t>Call Appt. Center at: 855-919-0377 for Instructions!</t>
  </si>
  <si>
    <t>Tons of Updates &amp; Upgrades!  SIRVA RELO Docs. &amp; Disclosures required to be completed by Buyer as needed!</t>
  </si>
  <si>
    <t>IRVING PARK RD TO LARAMIE AVE, NORTH TO CUYLER AVE, WEST TO PROPERTY</t>
  </si>
  <si>
    <t>UPDTD THRU-OUT! SPCS FLR PLN. HRDWD FLR THRU-OUT. FYR W/BLT-IN NICHE &amp; OPN TO HUGE LR W/HUGE PCTR WINDWS. GRMT KIT W/GRNT SURFACE, CHRRY CABS, TILE BCK SPLSH, SS APPS, BUTLR PNTRY AND PASS-THRU W/PNDNT LGHTNG. EATNG AREA W/RCSSD LGHTNG, BLT-IN CHRRY BNCH &amp; FRENCH DRS TO DECK. MN LVL HAS 2 ADDTNL BDRMS SHARE MAIN LVL FULL BTH. MSTR SUITE W/TONS OF CLST SPACE, PRIVATE ACCESS TO MSTR BTH. LL REC RM W/DRY BAR &amp; FULL BTH.</t>
  </si>
  <si>
    <t>Bonus, Eating Area, Foyer, Recreation Room</t>
  </si>
  <si>
    <t>Bar-Dry, Hardwood Floors, Wood Laminate Floors, 1st Floor Bedroom, 2nd Floor Laundry, 1st Floor Full Bath</t>
  </si>
  <si>
    <t>26X7</t>
  </si>
  <si>
    <t>40X20</t>
  </si>
  <si>
    <t>Keller Williams Premier Realty</t>
  </si>
  <si>
    <t>(847) 383-6600</t>
  </si>
  <si>
    <t>Pamela Saul</t>
  </si>
  <si>
    <t>(847) 268-4911</t>
  </si>
  <si>
    <t>Pamela Saul Cell 773.710.8363</t>
  </si>
  <si>
    <t>CALL SHOWINGTIME 855-746-9976</t>
  </si>
  <si>
    <t>PLEASE SUBMIT ALL OFFERS TO PAMSAUL@SIGNATUREPLUSTEAM.COM OR REALTOR INQUIRIES TO 847-268-4910, SQ FT is estimated, buyer or buyer's agent to verify. Seller and Realtor not deemed liable.</t>
  </si>
  <si>
    <t>OAK PARK AVE TO MONTROSE, WEST TO NEW ENGLAND SOUTH TO HOME</t>
  </si>
  <si>
    <t>37X127</t>
  </si>
  <si>
    <t>SPACIOUS, BRIGHT &amp; SUNNY 4BDRM, 2BTH W/OPEN FLR PLAN. LIVING RM W/HRDWD FLR, HGE WINDOWS. KIT &amp; EATNG AREA W/TILE FLR &amp; BCKSPLSH &amp; EXT ACCESS TO BCKYRD. ADDNL BDRMS W/HRDWD OR PRQT FLRS &amp; WALL CLSTS. FULL HALL BTH W/TILE FLR &amp; SURROUND, TUB/SHWR COMBO, OAK FNSHD VANITY. FNSHD BSMNT INCLDES TILE FLR, DRY BAR, FULL BTH W/SHWR, STRG, LNDRY RM &amp; WRKSHP. FENCED-IN BCKYD W/DETACHED GARAGE W/COVERED PORCH. GREAT OPPORTUNITY</t>
  </si>
  <si>
    <t>Call ShowingTime 855-746-9976</t>
  </si>
  <si>
    <t>Please Submit All offers/applications to PamSaul@SignaturePlusTeam.com or any realtor inquires to 847.268.4910</t>
  </si>
  <si>
    <t>MULBERRY</t>
  </si>
  <si>
    <t>IRVING PARK RD TO PARK NORTH TO MULBERRY EAST</t>
  </si>
  <si>
    <t>UPDATED RANCH-4 BEDROOMS + 2 FULL BATHS.  NEWER ROOF &amp; SIDING, NEWER WINDOWS, FRESHLY PAINTED, NEW CARPET, UPDATED BATHS, NEW APPLS.  EAT-IN KIT + SEP DIN AREA.  FENCED-IN YARD.</t>
  </si>
  <si>
    <t>Unassigned, Driveway</t>
  </si>
  <si>
    <t>E MAIN ST GOING EAST OR MAPLE AVE GOING WEST TO N GREEN ST N TO HOME</t>
  </si>
  <si>
    <t>60X136X61X136</t>
  </si>
  <si>
    <t>HERE IS YOUR OPPORTUNITY TO OWN YOUR 4BR WELL CARED FOR HOME!! BEAUTIFUL ORIG TRIM THRU OUT* GLASS ENTRY DOOR* CLEAN AND READY TO MOVE IN TO* 9FT CEILINGS* GENEROUS SIZED ROOMS* WOOD DOORS* GORGEOUS 2 STORY FOYER WITH WINDING STAIRCASE* ARCHED DOORWAYS TO LR* WATER HEATER, ROOF AND WINDOWS NEW WITHIN LAST 5 YRS* WHOLE HOUSE FAN* FRESHLY PAINTED EXT &amp; BASMT* OVER-SIZED 1 CAR GARAGE WITH SHED IN BACK* POND &amp; FNCD YARD!</t>
  </si>
  <si>
    <t>Mark Goff</t>
  </si>
  <si>
    <t>(847) 429-4257</t>
  </si>
  <si>
    <t>MUST SEE! ! BIGGER THAN IT LOOKS WITH FAMILY ROOM OFF KITCHEN, VERY WELL KEPT HOME! ! THIS ONE WILL GO QUICKLY! !    ****SALE IS AS-IS SETTLING ESTATE****</t>
  </si>
  <si>
    <t>Peterson Avenue to Central Park; south on Central Park.</t>
  </si>
  <si>
    <t>59 X 126</t>
  </si>
  <si>
    <t>Unique mid-century 2-story brick trimmed in glass block--lots of natural light on a wide (59 foot) DOUBLE lot. Not a hemmed in feeling here!  Freshly plastered &amp; painted living areas, oak hardwood floors; gracious formal dining has bay windows; all white kitchen w/island &amp; Corian countertops; redecorated family room w/ WBFP overlooking amazing yard.  Newly painted en suite MBR w/solarium--16 newly re-glazed windows.</t>
  </si>
  <si>
    <t>Humidifier, CO Detectors, Ceiling Fan, Fan-Whole House, Backup Sump Pump</t>
  </si>
  <si>
    <t>Janet Belieff</t>
  </si>
  <si>
    <t>(773) 770-7021</t>
  </si>
  <si>
    <t>Call Janet 773-852-3489 - 24 hr. notice preferred.</t>
  </si>
  <si>
    <t>Owner of  Record</t>
  </si>
  <si>
    <t>Family room, Master BR &amp; solarium photos do not reflect improvements. New full-size washer &amp; dryer. Fantastic yard!   Second PIN # 13-02-400-014-0000. OPEN HOUSE: Sunday 4/19 11-1PM.</t>
  </si>
  <si>
    <t>OLD POST</t>
  </si>
  <si>
    <t>Rt. 34, North on Douglas, West on Old Post Rd.</t>
  </si>
  <si>
    <t>EQUESTRIAN</t>
  </si>
  <si>
    <t>71X208X114X121</t>
  </si>
  <si>
    <t>Location, Location, Location! Don't wait to see this 4 bedroom, 2.1 bath home in Mill Race Creek! Enjoy awesome pond views plus a location only 1 block from Old Post Elementary! Move in ready! This is a Fannie Mae HomePath property.</t>
  </si>
  <si>
    <t>***OFFER ACCEPTED - WAITING FOR SIGNED CONTRACT***Use Showing Assist</t>
  </si>
  <si>
    <t>Edison</t>
  </si>
  <si>
    <t>Anderson north of Rt 38 to Eklund. East on Eklund to Edison. House on corner lot.</t>
  </si>
  <si>
    <t>This Property is Now Under Auction Terms. This Property is Subject to a 5% Buyer's Premium Pursuant to the Auction Terms &amp; Conditions (minimums may apply). All Auction Assets Will Be Sold Subject to Seller Approval.</t>
  </si>
  <si>
    <t>Enclosed Porch, Workroom</t>
  </si>
  <si>
    <t>Pre-Sale Bids Should Be Submitted Through www.Auction.com. Please Note That The Commission Percentages May Change Between the Pre-Sale and Auction Periods, So Please Contact Listing Agent to Verify Exact Commission Terms.</t>
  </si>
  <si>
    <t>NORDICA</t>
  </si>
  <si>
    <t>HIGGINS EAST OF HARLEM TO NORDICA NORTH TO HOME</t>
  </si>
  <si>
    <t>Norwood Park  2008 gut rehab 2 story contemporary home. Features include all brick exterior, hardwood flrs t/o, deluxe baths w/heated floors, surround sound wiring &amp; zoned heating. Kitchen features maple/granite/stainless. 4th bdrm + full bath on first floor. Bsmt features a rec room, wet bar, full bath, laundry &amp; walk out to yard. Side Drive, fenced yard &amp; 2 car garage. Metra, Blue Line and I90 all closeby.</t>
  </si>
  <si>
    <t>21X25</t>
  </si>
  <si>
    <t>Finished, Exterior Access, Bathroom Rough-In</t>
  </si>
  <si>
    <t>Skylight(s), Bar-Wet, Hardwood Floors, Heated Floors, 1st Floor Bedroom, 1st Floor Full Bath</t>
  </si>
  <si>
    <t>Cathy Byrne</t>
  </si>
  <si>
    <t>(312) 618-6764</t>
  </si>
  <si>
    <t>Call LA 312-618-6764</t>
  </si>
  <si>
    <t>Exclude bsmt refrigerator, bsmt speakers, shelving in LivRm &amp; Mstr Br, tv &amp; mount in mstr bdrm.</t>
  </si>
  <si>
    <t>Prairie Pointe (Lot 33)</t>
  </si>
  <si>
    <t>JASMIN A</t>
  </si>
  <si>
    <t>TAKE GRAND AVE TO NOBLE (1400W) NORTH TO OHIO, THEN WEST 1/2 BLOCK TO PROPERTY.</t>
  </si>
  <si>
    <t>Meticulously Designed Estate on 3 City Lots (76x126)!  Stunning floor plan features a gallery, 4 bedrooms plus loft &amp; over 100' of floor-to-ceiling windows overlooking private yard w/putting green &amp; custom limestone grotto. Ceiling heights from 15'-35,' w/Luminaire recessed lighting &amp; extensive millwork.  Chef's kitchen w/Traulsen refrigeration. All baths Urban Archaeology. 2.5-car attached garage w/street entrance.</t>
  </si>
  <si>
    <t>56X19</t>
  </si>
  <si>
    <t>Curbs/Gutters, Gated Entry, Sidewalks, Street Lights</t>
  </si>
  <si>
    <t>Oven/Range, Microwave, Dishwasher, Refrigerator, Washer, Dryer, Disposal, Grill-Indoor</t>
  </si>
  <si>
    <t>Foyer, Gallery, Utility Room-2nd Floor</t>
  </si>
  <si>
    <t>Vaulted/Cathedral Ceilings, Skylight(s), Hot Tub, Hardwood Floors, 1st Floor Bedroom, 1st Floor Full Bath</t>
  </si>
  <si>
    <t>2.50%-$325 (on Net SP)</t>
  </si>
  <si>
    <t>Requires 24-hr notice.  Call Joseph Gasbarra at (312) 623-2103.</t>
  </si>
  <si>
    <t>Ashbury</t>
  </si>
  <si>
    <t>Western Avenue to Country Squire to Ashbury Court</t>
  </si>
  <si>
    <t>48X145X54X141X109</t>
  </si>
  <si>
    <t>SIMPLY THE BEST LOCATION! Close to schools, downtown Geneva! Graced with tall trees on a superb small cul de sac~Joe Keim built this classic ALL brick Georgian!  Many updates~hand scraped hardwood thruout 1st floor, painted kitchen cabinets, SS app. &amp; silestone countertops~All newer bathrooms~Crown molding &amp; fresh decorator colors~FP w/ builtins~1st floor laundry w/ outside access~Painted basement. Huge backyard!</t>
  </si>
  <si>
    <t>07X14</t>
  </si>
  <si>
    <t>Call CSS: 877-977-1010  short notice ok</t>
  </si>
  <si>
    <t>Brookfield Global Relocation</t>
  </si>
  <si>
    <t>Easy to show anytime....on Sentrilock. Please remove shoes for showings and turn off all lights!</t>
  </si>
  <si>
    <t>Riverwood</t>
  </si>
  <si>
    <t>RTE 31 OR 25 TO RTE 34 OGDEN WEST TO RIVERWOOD DR KEEP LEFT. ORCHARD SOUTH TO RTE 34 WEST</t>
  </si>
  <si>
    <t>208X392X229X425</t>
  </si>
  <si>
    <t>GREAT, WARM CUSTOM BLT STONE/CEDAR HOME ON 2+ ACRES SURROUNDED BY LUSH LANDSCAPING W/ALL AMENITIES. 1ST FLR MASTER BEDRM AND BATH, LRGE FAMILY RM W VAULTED CEILING, STONE FIREPLACE, LRGE KITCHEN W EAT IN, FORMAL DINING, OFFICE/DEN, HUGE ABOVE GRND POOL, NICE DECK. FULL BASMNT W FINISHED REC RM W/ GAS GREEN ENAMEL FP. OUT BUILDING STORAGE W/ CONCRETE FLR. COUNTRY LIVING W MODERN CONVENIENCE! PRICED 2 SELL! SOLD AS IS.</t>
  </si>
  <si>
    <t>Eating Area, Foyer, Recreation Room, Storage</t>
  </si>
  <si>
    <t>Deck, Hot Tub, Storage Shed, Dog Run &amp;/or Invisible Fence, Pool Above Ground, Grill-Outdoors</t>
  </si>
  <si>
    <t>Wood Burning, Gas Logs, Gas Starter, Heatilator Type System</t>
  </si>
  <si>
    <t>Dean Bisconti</t>
  </si>
  <si>
    <t>(630) 205-5701</t>
  </si>
  <si>
    <t>CC: Pursuant to Short Sale. EXPERIENCED SHORT SALE ATTORNEY ON FILE. HOT TUB NOT INCLUDED IN SALE.</t>
  </si>
  <si>
    <t>AVENUE L</t>
  </si>
  <si>
    <t>108th  St to Avenue L go south to the property</t>
  </si>
  <si>
    <t>PROPERTY SOLD AS IS CONDITION.  SHORT SALE SUBJECT TO BANK APPROVAL.  NO SURVEY, TERMITE INSPECTION, OR DISCLOSURES WILL BE GIVEN BY THE SELLER.  E.M. CERTIFIED CHECK AND PROOF OF FUNDS WITH ALL OFFERS.</t>
  </si>
  <si>
    <t>Call 24 to 48 hours</t>
  </si>
  <si>
    <t>RANDALL TO KESLINGER, WEST TO FISHER DR, NORTH TO ADAMSON DR, WEST TO CORNWALL LN, S TO HUSKING PEG.</t>
  </si>
  <si>
    <t>66 X 133</t>
  </si>
  <si>
    <t>SUNNY HOME WITH NICE FLOOR PLAN. FORMAL LIVING ROOM AND DINING ROOM, LARGE FAMILY ROOM OFF EAT-IN KITCHEN WITH NEW STOVE &amp; DISHWASHER. NEW CARPET &amp; PAINT. 1ST FLOOR OFFICE NEXT TO HALF BATH WITH ROOM FOR SHOWER. VAULTED MASTER SUITE. LARGE BASEMENT. 2-CAR SIDE LOAD GARAGE. BIG YARD. GREAT LOCATION. THIS IS A FANNIE MAE HOMEPATH PROPERTY.</t>
  </si>
  <si>
    <t>##SHOWS GREAT - WILL SELL ITSELF## SEE ADDTL INFO FOR DOC SUBMISSION. CALL 630-608-4777 IF ??s AFTER SHOWING. SELLER REQUESTS ALL OFFERS SUBMITTED THRU HOMEPATH.COM.</t>
  </si>
  <si>
    <t>GARFIELD WEST TO HOYNE NORTH TO 54TH PLACE WEST TO ADDRESS</t>
  </si>
  <si>
    <t>SOLID FRAME HOME. PROPERTY IS OCCUPIED. PROPERTY IS SOLD AS-IS/WHERE-IS. NO SURVEY/DISCLOSURES. ***BANK OWNED***  BUYER TO VERIFY ROOM DIMENSIONS/COUNT.</t>
  </si>
  <si>
    <t>Email sales@pvrco.com -- MIN 72hr notice required.</t>
  </si>
  <si>
    <t>JEFF BV COMMERCAIL, LLC</t>
  </si>
  <si>
    <t>REQUIRED OFFER COVER SHEET AND SALES CONTRACT UNDER ADDITIONAL INFORMATION. SUBMIT ALL OFFERS TO SALES@PVRCO.COM</t>
  </si>
  <si>
    <t>Archer Avenue to Kostner (4400W) then north to 4801 or 47th Street to Kostner then south to 4801.</t>
  </si>
  <si>
    <t>27X126</t>
  </si>
  <si>
    <t>STUNNING REHAB,IMPECCABLY REMODELED THROUGHOUT THIS ALL RICK CAPE CODE OFFERS 4 BEDROOMS AND 3 FULL BATHS.LARGE KITCHEN IS COMBINED WITH DINING ROOM. KITCHEN HAS 42"CABINETS,STAINLESS APPLIANCES AND GRANITE COUNTER TOPS. ALL NEW INTERIOR DOORS AND TRIM.MAIN LEVEL HARDWOOD FLOORS. GORGEOUS FINISHED BASEMENT WITH EXTRA BEDROOM AND FAMILY ROOM. SEPARATE  LAUNDRY ROOM. NEW ROOF AND ALL WINDOWS. BRAND NEW 2 CAR GARAGE.</t>
  </si>
  <si>
    <t>Dormer, Finished, Full, Interior Stair, Unfinished</t>
  </si>
  <si>
    <t>Halina Novakovich</t>
  </si>
  <si>
    <t>(773) 316-6733</t>
  </si>
  <si>
    <t>Call Showing Time at 855-746-9100</t>
  </si>
  <si>
    <t>Armitage to Central Pk, to Cortland to address</t>
  </si>
  <si>
    <t>Employees of Bank of America or its affiliates or subsidiaries are strictly prohibited from directly or indirectly purchasing any property owned by Bank of America. The Grantee(s) or purchaser(s), of the Property cannot-resell, record an additional conveyance document, or otherwise transfer title to the Property within 60 days following the Grantorâ€™s execution of this deed.  NO BLIND OFFERS ; pls show</t>
  </si>
  <si>
    <t>email only: ajennett@koenigrubloff.com 24 hr; lve name, company name and phone; mlsID; date and time</t>
  </si>
  <si>
    <t>NEW PRICE!! use forms on MLS - email: questions, offers, comments-ajennett@koenigrubloff.com; USE CAR contract; em by cashier's check or wire; CURRENT POF in US $ with offers; no survey, termite - delete; buyer resspon for insp/ utilities</t>
  </si>
  <si>
    <t>OPEN 10 TO  6. CLOSED THURSDAY &amp; FRIDAY. CALL 847-426-4411 FOR INFORMATION.</t>
  </si>
  <si>
    <t>HOME SOLD PRIOR TO PROCESSING.  3% COMMISSION ON BASE PRICE OF $284,990.</t>
  </si>
  <si>
    <t>79TH EAST OR WEST TO DAMEN TO ADDRESS</t>
  </si>
  <si>
    <t>THIS PROPERTY IS ELIGIBLE UNDER THE FREDDIE MAC FIRST LOOK INITIATIVE  THROUGH 10/07/2014. BRICK 4 BEDROOM HOUSE. SOLD WITH REPAIR IN THAT SELLERS WILL INSTALL NEW HOT WATER  HEATING SYSTEM.</t>
  </si>
  <si>
    <t>Disclosures Are Located On MLS; Selling Agent Incentive $1000 effective 09/17/2014 thru 12/08/2014</t>
  </si>
  <si>
    <t>Higgins or Foster to  Meade south to 5020</t>
  </si>
  <si>
    <t>Pristine Jefferson Park bungalow available NOW! 4 BR's, 2 BA's.  Full finished basement makes wonderful family room.  Eat-in kitchen.  Hardwood under carpet on 1st floor. Large fenced yard w underground sprinkler system.  Detached 2-car garage. Minutes away from all transportation.  Lots of space and wonderful opportunity. Bring us an offer!</t>
  </si>
  <si>
    <t>Humidifier, Ceiling Fan, Air Cleaner</t>
  </si>
  <si>
    <t>Deborah Richwine</t>
  </si>
  <si>
    <t>(847) 702-4633</t>
  </si>
  <si>
    <t>call Showing Desk 855-746-9020</t>
  </si>
  <si>
    <t>Needs some updating but good bones.  Lovely, quiet street.</t>
  </si>
  <si>
    <t>SOUTHPORT</t>
  </si>
  <si>
    <t>WEST OF RACINE, NORTH OF WRIGHTWOOD, SOUTH OF DIVERSEY ACROSS FROM THE EMBASSY CLUB.</t>
  </si>
  <si>
    <t>Exceptional Lincoln Park single family home with a transitional flair and an extra large yard.  Newly refinished with hip appointments throughout. Sun drenched rooms with 50 windows and skylights. Wonderful kitchen/greatroom with attached outdoor space. Three bedrooms on top floor and one on first level. Master suite with luxe bath, fab closet, and sitting room. Attached 2 car garage with mud room.</t>
  </si>
  <si>
    <t>Den, Great Room, Mud Room, Sitting Room, Walk In Closet</t>
  </si>
  <si>
    <t>Stucco, Concrete</t>
  </si>
  <si>
    <t>SUDBURY</t>
  </si>
  <si>
    <t>S/GROVE RD, R/COLLINS, R/BLUE HERON, R/SUDBURY</t>
  </si>
  <si>
    <t>ESSEX</t>
  </si>
  <si>
    <t>UPGRADES &amp; UPDATED - 4BR, 2.5 BATH, 3 CAR, 1ST FLR DEN, FULL BASEMENT(PLUMBED FUTURE BATH), PROF LANDSCAPED &amp; MOVE IN READY!  RECENT UPDTS/UPGRDS INCL INT PAINT/EXT TRIM; NEW CARPET/FLRNG &amp; REFIN HRDWD; NEW CEDAR DECK, NEW WH, LUX WHRLP MASTER BR; UPDTD VANITY TOPS/SINKS; CUST FP INSERT; NEW GAR DR OPENER, UPGRD WNDW BLINDS, SEC SYS, HUMDFR. QUIET INNER-STREET LOCATION NEAR WALKING PATHS, NATURE AREA &amp; PLAYGROUND.</t>
  </si>
  <si>
    <t>Call Centralized Showing, 877-977-1010</t>
  </si>
  <si>
    <t>seller, mold, radon discls attached to this listing</t>
  </si>
  <si>
    <t>OKETO</t>
  </si>
  <si>
    <t>Harlem to Addison West to oketo South to home</t>
  </si>
  <si>
    <t>50X175</t>
  </si>
  <si>
    <t>*SHORT SALE* 2 STORY BRICK AND FRAME SINGLE FAMILY HOME WITH DRIVEWAY AND 2 CAR GARAGE. PROPERTY HAS GOOD SPACE JUST NEEDS SOME TLC. PROPERTY IS BEING SOLD IN AS IS CONDITION. BUYER TO TAKE OVER ANY CITY VIOLATIONS IF ANY. SELLER WILL NOT PROVIDE SURVEY NOR INSPECTIONS.</t>
  </si>
  <si>
    <t>RE/MAX Loyalty</t>
  </si>
  <si>
    <t>(773) 772-6969</t>
  </si>
  <si>
    <t>Mark Santoyo, SFR</t>
  </si>
  <si>
    <t>(708) 268-1302</t>
  </si>
  <si>
    <t>use showing assist 24hr notice</t>
  </si>
  <si>
    <t>From Rt. 31 Head west on Morgan to subject.</t>
  </si>
  <si>
    <t>50 X 148</t>
  </si>
  <si>
    <t>Charm Abounds in this vintage home in the heart of Elgin!Every room full of amazing character!Enclosed Front porch with French doors! Hardwood floors in Living, Dining and Family room! First Floor bedrooms, Full Bath! Beautifully re-done kitchen with stainless steel appliances and door to backyard deck overlooking fenced in yard. 2nd Floor Master Suite with charming architectural detail. Basement w/full bath!</t>
  </si>
  <si>
    <t>Amy Kite, ABR,CRS,e-PRO,SRES,TRC</t>
  </si>
  <si>
    <t>(847) 877-9881</t>
  </si>
  <si>
    <t>847-877-9881</t>
  </si>
  <si>
    <t>Showing Time 800-746-9464</t>
  </si>
  <si>
    <t>Please use 6.0 contract for all offers  Please exclude refrigerator in the kitchen</t>
  </si>
  <si>
    <t>47TH E OR W TO SHIELDS, SOUTH TO ADDRESS</t>
  </si>
  <si>
    <t>3382 SF</t>
  </si>
  <si>
    <t>Spacious 3 Bedroom Split Level Ranch near public transportation and expressway.  Seller provides no warranties expressed or implied. Seller provides no disclosures, pest inspections, or survey. Proof of funds or pre-approval letter required. Addendum to contract will apply. Buyer to verify all MLS Data. Buyer responsible for all City inspections and repair escrow if any.</t>
  </si>
  <si>
    <t>24HomeSale.com, Inc.</t>
  </si>
  <si>
    <t>(708) 247-3888</t>
  </si>
  <si>
    <t>Leo Lopez</t>
  </si>
  <si>
    <t>Use Showing Assist. Wait for confirmation with lock box code.</t>
  </si>
  <si>
    <t>Corporate Owned</t>
  </si>
  <si>
    <t>Email offers to offers@24homesale.com</t>
  </si>
  <si>
    <t>TAKE FULLERTON AVE. TO MEADE SOUTH TO PROPERTY</t>
  </si>
  <si>
    <t>125X30</t>
  </si>
  <si>
    <t>remodeled 1 1/2 story home. Ideal for a large family.   many improvement like windows,roof,electricity,floors,siding,plumbing-basement finished has 2 beds.-1 b-Attic has 2 rooms ,Seller makes no representation selling As-is.condition. seller offering $1000 incentive to buyer at closing and 2%  commission to the buyer's agent.</t>
  </si>
  <si>
    <t>1%-175 (on Net SP)</t>
  </si>
  <si>
    <t>Habib Raja</t>
  </si>
  <si>
    <t>(773) 616-7252</t>
  </si>
  <si>
    <t>All offers to be submitted to www.homesearch.com.  Buyer to verify rm count, zoning/dim, school distr, inspections, compliance etc. Commissions is based on the winning bid amount. PRE-APPROVAL BY GREEN LIGHT LOANS REQUIRED call.888-668-583</t>
  </si>
  <si>
    <t>87TH ST TO INDIANA S TO 88TH E TO MICHIGAN-N</t>
  </si>
  <si>
    <t>Here is another amazing Luxury Home.  This home boast a large Kitchen living room combo with all stainless steel appliances and amazing Granite counter tops there are hardwood floors throughout this beautiful home which is complete with two full baths a full finished basement, new furnace, hot water tank , central air unit and a 40 inch flat screen tv!</t>
  </si>
  <si>
    <t>Reginald Rawden</t>
  </si>
  <si>
    <t>(312) 671-7133</t>
  </si>
  <si>
    <t>Cherry</t>
  </si>
  <si>
    <t>Kirk (W) Giese, (L) Larkspur, (L) Hillsboro, follow around to Cherry</t>
  </si>
  <si>
    <t>135X80</t>
  </si>
  <si>
    <t>Move right in to this beautifully appointed &amp; completely updated home! Crown molding, newer flooring thru-out, beautiful lighting, prof finished basement. Quality SS appliances. So much value! Huge fenced-in yard with mature trees allowing for privacy. Great entertaining on the expansive deck. The home offers a great layout for today's living style. New roof 2014, new siding &amp; furnace 2010! Quick close possible.</t>
  </si>
  <si>
    <t>Eating Area, Game Room, Office, Recreation Room</t>
  </si>
  <si>
    <t>The laundry has been moved to the basement, however, the hookups are still available on the first floor off of the kitchen. Please use Multi-board 6.0 contract.</t>
  </si>
  <si>
    <t>IOWA</t>
  </si>
  <si>
    <t>CENTRAL TO IOWA E TO PROPERTY</t>
  </si>
  <si>
    <t>UPDATED 4 BEDROOM, 2.5 BATH, HRDWD FLRS THROUGHOUT, NEWER HEATING, PIPING, ROOF (10 YRS), ATTIC PLUMBED FOR BATH, SPACIOUS, SECURITY SYSTEM, BALCONY OFF BACK ROOMS..NOT A SS OR FORECLOSURE,,</t>
  </si>
  <si>
    <t>36W575</t>
  </si>
  <si>
    <t>Oak Pointe</t>
  </si>
  <si>
    <t>Silver Glen E of Randall to Whispering Trail N to Oak Pointe</t>
  </si>
  <si>
    <t>274X116X333X188X47</t>
  </si>
  <si>
    <t>REFRESHING FLOOR PLAN &amp; built w/ sophisticated architecture~Amazing trim detail &amp; amenities make this home stand out~Brazilian cherry thruout most of 1st floor~Stunning 2 story great room w/gorgeous stone FP &amp; built-ins~Gourmet kitchen w/ granite &amp; SS app~Vaulted breakfast room~1st floor master suite w/fab bath~Vaulted den (4th bedroom) w/ adjacent full bath~2nd floor bonus room offers endless possibilities~STUNNING!</t>
  </si>
  <si>
    <t>Humidifier, Water-Softener Owned, Security System, CO Detectors, Ceiling Fan, Sump Pump, Sprinkler-Lawn</t>
  </si>
  <si>
    <t>Bonus, Deck, Foyer, Great Room, Loft, Sun/Florida Room, Walk In Closet</t>
  </si>
  <si>
    <t>20X49</t>
  </si>
  <si>
    <t>Please Call 855-917-9150 Must Confirm!</t>
  </si>
  <si>
    <t>A floor plan that makes perfect sense for how we live!</t>
  </si>
  <si>
    <t>Fairview</t>
  </si>
  <si>
    <t>Randall to Keslinger, west to Fisher, turn left to Westhaven, turn right to Fairview Court</t>
  </si>
  <si>
    <t>31X152X93X122X133</t>
  </si>
  <si>
    <t>One of the best Geneva lots! Cul-de-sac with mature trees &amp; large paver patio with hot tub backing to bike path~Walk to Elementary school, park &amp; Geneva Commons~Convenient to both Geneva or LaFox Metra stations~New kitchen with granite and upscale stainless appliances~Beautiful butler's pantry with glass cabinets~9' ceilings on first floor~Master has 2 walk-in closets, bonus room &amp; 48" flat screen TV stays~much more!</t>
  </si>
  <si>
    <t>Please call 855-746-9100 to book showing</t>
  </si>
  <si>
    <t>RT. 59 N OF 22 TO GOLFVIEW EAST TO CORNER OF WOODLAND</t>
  </si>
  <si>
    <t>149X106X162X129</t>
  </si>
  <si>
    <t>Timeless &amp; elegant, this Cape Cod is nestled on a corner lot made private by the mature trees &amp; the beautiful gardens thru out the entire property. Step inside to the well-appointed 1st flr that includes hrdwd flrs, distinctive built-ins &amp; trim work, sunroom w/dramatic ceiling &amp; bedroom &amp; full bath. 2nd flr suprises-a master bath w/an incredible walk in closet &amp; bonus room. Full rec room for more living space too!</t>
  </si>
  <si>
    <t>Double Sink, No Tub</t>
  </si>
  <si>
    <t>Water-Softener Owned, Ceiling Fan, Sump Pump, Backup Sump Pump</t>
  </si>
  <si>
    <t>Foyer, Screened Porch, Sun/Florida Room, Other</t>
  </si>
  <si>
    <t>Catherine Schmidt</t>
  </si>
  <si>
    <t>(847) 828-1277</t>
  </si>
  <si>
    <t>Please call listing office</t>
  </si>
  <si>
    <t>CHEYENNE</t>
  </si>
  <si>
    <t>RANDALL TO ROYAL EAST TO CHEYENNE LN. N TO CHEYENNE COURT TO 753</t>
  </si>
  <si>
    <t>100X103X110X102</t>
  </si>
  <si>
    <t>A GREAT FAMILY HOME! 2412 SQ/FT. (PLUS A FULL BASEMENT) 4 BEDROOM 2 1/2 BATH COLONIAL WITH A 3 CAR GARAGE ON A QUIET CUL- DE-SAC IN A CONVENIENT LOCATION CLOSE TO RANDALL RD., I-90 &amp; METRA STATION! WELL MAINTAINED WITH NEWER CORIAN KITCHEN COUNTERS, ROOF, HVAC, EXTRA INSULATION, INTERIOR PAINT AND LANDSCAPING. QUALITY OAK TRIM AND FINISH WORK THRUOUT... MOVE IN AND ENJOY!</t>
  </si>
  <si>
    <t>Humidifier, TV-Cable, Intercom, CO Detectors, Ceiling Fan, Sump Pump</t>
  </si>
  <si>
    <t>CLO....MUST CONFIRM, SOME NOTICE PLEASE, USE DEADBOLT LOCK ONLY</t>
  </si>
  <si>
    <t>Fitch</t>
  </si>
  <si>
    <t>West of California and South of Touhy one block.</t>
  </si>
  <si>
    <t>Wonderful 1990 2 story home. Open Living Room/Dining area with sliding doors to bricked patio. Red Oak Hardwood floors throughout. Master Bedroom with walk in closet. 2 1/2 car garage. Newer Roof,AC,Windows &amp; Doors, Newer furnace,75 gal water heater and front stairs. Pull down attic stairs for storage. Partially finished basement to complete as you wish + bdrm.  Home warranty included. Price is firm.</t>
  </si>
  <si>
    <t>Register with Showing Assist and then call agent.</t>
  </si>
  <si>
    <t>Continue to show during A/I</t>
  </si>
  <si>
    <t>Burling</t>
  </si>
  <si>
    <t>HALSTED TO BELDEN, EAST TO BURLING WHICH IS A ONE WAY HEADING SOUTH...</t>
  </si>
  <si>
    <t>21X126</t>
  </si>
  <si>
    <t>HIGHLY SOUGHT AFTER 4BR/3.1BTH ROW HOME ON PRIME EAST LINCOLN PARK BLOCK. SUN DRENCHED W/ORIGINAL MOLDINGS &amp; INLAID FLOORING IN LR/DR, EAT-IN KITCHEN W/GRANITE OPENS TO FR W/WBFP OVERLOOKING LARGE BACKYARD &amp; 2 CAR GAR. 2ND LVL FEATURES A GRACIOUS MASTER SUITE W/WIC, LIMESTONE BATH W/WHIRLPOOL/SEP SHOWER + 2 ADDT BR'S &amp; BATH. LOWER LVL PLAY RM, KITCHENETTE, LAUNDRY, BR &amp; BATH. STEPS TO EVERYTHING. LINCOLN SCHOOL DIST.</t>
  </si>
  <si>
    <t>Email: Rachel.Krueger@cbexchange.com</t>
  </si>
  <si>
    <t>LOVELY HOME ON A+ BLOCK. PLEASE INQUIRE ABOUT CURRENT ARCHITECTURAL PLANS. A MUST SEE...</t>
  </si>
  <si>
    <t>California to Fletcher, one-way going West.</t>
  </si>
  <si>
    <t>Hot Avondale area! Beautiful 4br, 3.1ba home. Large Lr/Dr with WBFP, oak floors. Kitchen opens to family room and deck. 42' cabinets, granite counter tops, stainless apps. 2nd level has huge en-suite master,2 additional brs and bath. 4th br, bath, family rm and laundry on lower lever w/8' ceilings. 2 zone HVAC. Add'l w/d hookup on 2nd level. Large 2 car garage. Yard. Close to Kennedy Exp.</t>
  </si>
  <si>
    <t>Attic, Breakfast Room, Deck, Recreation Room</t>
  </si>
  <si>
    <t>4X26</t>
  </si>
  <si>
    <t>Phil Moss</t>
  </si>
  <si>
    <t>(312) 981-2381</t>
  </si>
  <si>
    <t>Call or test Phil: 312-719-2700.</t>
  </si>
  <si>
    <t>Holbrook</t>
  </si>
  <si>
    <t>Milwaukee (S of Devon ) to Holbrook West to home</t>
  </si>
  <si>
    <t>43X125</t>
  </si>
  <si>
    <t>All brick bungalow on an over size lot located on a quiet residential st, Many updates throughout the house, Roof 2010, Windows -10 yrs old, Furnace - 8 yrs old, HWH - 4 yrs old, Full bath -updated 8 years ago, New security storm door, front steps cemented 3 yrs ago, house recently painted, bsmt shower updated, some new landscaping,  Hardwood floors under carpet, Close to shops,metra ,transportation &amp; park- must see!</t>
  </si>
  <si>
    <t>Vipin Gulati, GRI</t>
  </si>
  <si>
    <t>(630) 747-5066</t>
  </si>
  <si>
    <t>please click on showing assist</t>
  </si>
  <si>
    <t>house has been winterized **  please do not turn on the water **    thank you,</t>
  </si>
  <si>
    <t>Touhy (w) to Osceola (s) to home</t>
  </si>
  <si>
    <t>50X147</t>
  </si>
  <si>
    <t>**Classic Charm &amp; Character** greets you to this lovely Edison Park home. Very well cared for w/newer roof, attic fan, copper plumbing, boiler &amp; C/A space pac. Beautiful cedar deck over looking over sized yard. Hrdwd under crpt. Timeless butler pantry with built ins leading into lrg formal dining rm. Large bsmnt with workshop, office and rec area. Awesome 3 car garage plus shed. No Hassles here, QUICK close OK!!</t>
  </si>
  <si>
    <t>Balcony, Office, Recreation Room, Workroom</t>
  </si>
  <si>
    <t>William Ehlers</t>
  </si>
  <si>
    <t>(847) 312-7653</t>
  </si>
  <si>
    <t>Use Showing Assist-Some notice Please</t>
  </si>
  <si>
    <t>Owner or record</t>
  </si>
  <si>
    <t>Listing office does not hold earnest money, to be held by sellers attorney. Some notice please when scheduling appointments, thank you.</t>
  </si>
  <si>
    <t>WILMOT</t>
  </si>
  <si>
    <t>ARMITAGE TO HOYNE SOUTH TO WILMOT RIGHT THEN TO 1759</t>
  </si>
  <si>
    <t>30X132</t>
  </si>
  <si>
    <t>STUNNING 6500 SQFT CONTEMPORARY SINGLE FAMILY HOME ON EXTRA WIDE LOT. THIS RESIDENCE OFFERS 4 BEDS, 4.2 BATHS, 6 PRIVATE OUTDOOR SPACES, 3 CAR GARAGE AND PRIVATE GATED ALLEY. CHEFS EAT-IN KITCHEN WITH HIGH-END STAINLESS APPLIANCES, MASTER SUITE WITH WALK-IN CLOSET, SPA LIKE MASTER BATH AND PRIVATE BALCONY. STATE OF THE ART 3-D HOME THEATRE, WINE CELLAR &amp; GYM. ALL THIS AND SWEEPING VIEWS OF THE BLOOMINGDALE TRAIL.</t>
  </si>
  <si>
    <t>Park/Playground, Gated Entry</t>
  </si>
  <si>
    <t>Oven-Double, Oven/Range, Microwave, Dishwasher, High End Refrigerator, Washer, Dryer, Disposal, All Stainless Steel Kitchen Appliances, Wine Cooler/Refrigerator</t>
  </si>
  <si>
    <t>Common Insurance, Security, Snow Removal</t>
  </si>
  <si>
    <t>Deck, Breakfast Room, Recreation Room, Media Room, Bonus</t>
  </si>
  <si>
    <t>Block, Concrete</t>
  </si>
  <si>
    <t>Vaulted/Cathedral Ceilings, Sauna/Steam Room, Hot Tub, Bar-Dry, Hardwood Floors, 2nd Floor Laundry</t>
  </si>
  <si>
    <t>Balcony, Deck, Patio, Hot Tub, Roof Deck</t>
  </si>
  <si>
    <t>Donald Hughes</t>
  </si>
  <si>
    <t>(773) 255-1264</t>
  </si>
  <si>
    <t>CALL OR EMAIL DON HUGHES @ 773-255-1264; DHUGHES@KOENIGRUBLOFF.COM</t>
  </si>
  <si>
    <t>INDOOR/OUTDOOR LANDSCAPING, MULTI-ZONE AUDIO SYSTEM, UPGRADED SECURITY SYSTEM AND CAMERAS, CUSTOM CLOSET INSTALLATIONS THRUOUT, CUSTOM CABINETRY, HOME WAS SEALED 1 YR AGO WITH DOW ALLGUARD SILICONE.</t>
  </si>
  <si>
    <t>State to 124th W,  to Perry S</t>
  </si>
  <si>
    <t>5032 SF</t>
  </si>
  <si>
    <t>Spectacular renovation by a reputable North Shore company. Open floor plan with volume ceilings, loads of beautiful finishes everywhere. Designer kitchen with  granite c-tops,  ss appliances,  bathrooms with high grade tiles and fixtures, LR  fireplace. Luxury baths w. jacuzzi and sep shower. Porcelain floor in FR, wet bar. New concrete around the house &amp; garage slab.    Extra wide. lot, large 2 c garage + 3rd spot.</t>
  </si>
  <si>
    <t>Vaulted/Cathedral Ceilings, Skylight(s), Bar-Dry, Hardwood Floors</t>
  </si>
  <si>
    <t>3% -$295 (on Net SP)</t>
  </si>
  <si>
    <t>Eric Berger</t>
  </si>
  <si>
    <t>call 773 396 2534</t>
  </si>
  <si>
    <t>$1.000  selling office bonus if closed in 2014.     Shows better then you see on pictures, solid approval needed with all offers.</t>
  </si>
  <si>
    <t>BELMONT EAST OF HARLEM TO NORDICA, NORTH TO PROPERTY</t>
  </si>
  <si>
    <t>BRING YOUR REMODELING IDEAS. BUNGALOW, GREAT LOCATION, GREAT OPPORTUNITY. NEAR HIGHWAY, SHOPPING AND TRANSPORTATION. BRING YOUR REMODELING IDEAS.  CHECK BUILDING VIOLATIONS.   AS-IS.</t>
  </si>
  <si>
    <t>3% - 200 (on Net SP)</t>
  </si>
  <si>
    <t>Quick Sale Realty, Inc.</t>
  </si>
  <si>
    <t>(773) 704-1205</t>
  </si>
  <si>
    <t>Gia Costa</t>
  </si>
  <si>
    <t>EMAIL OR CALL LISTING AGENT 773-704-1205</t>
  </si>
  <si>
    <t>SELL AS- IS , CHECK BUILDING VIOLATIONS</t>
  </si>
  <si>
    <t>CLARK TO CORNELIA, WEST TO HOME</t>
  </si>
  <si>
    <t>Spacious 4br home on 44â€™ wide lot in Nettlehorst! Curr avail for rent or live-in owner! Brick path leads to an urban oasis at rear of the lot, large front yard &amp; patio. 3 brs up; master bath w/dbl sinks, sep shower &amp; whirlpool tub! Large lr, formal dr, eat-in kit w/granite, maple cabs, ss, &amp; deck access. Family rm &amp; large 4th br/rec rm w/en-suite bath. Detached 1.5 car garage. Incls add'l rental income of $3725/mo!</t>
  </si>
  <si>
    <t>NETTELHORST ELEMENTARY SCHOOL</t>
  </si>
  <si>
    <t>Maura Vrabel</t>
  </si>
  <si>
    <t>(312) 915-4614</t>
  </si>
  <si>
    <t>SHOW ASSIST. Coach house OK to show w/short notice. 3-flat must have 48 hrs notice, 2nd show only</t>
  </si>
  <si>
    <t>LECLAIRE IS ONE WAY SOUTH. SOUTH OF BELLEPLAINE</t>
  </si>
  <si>
    <t>LOVELY BLOCK OF EAST PORTAGE PARK.  MOVE-IN CONDITION, HIGH CEILINGS. UPDATED KITCHEN &amp; BATHS. EATING AREA OVERLOOKS PORCH. SPACIOUS ROOMS. CLOSE TO HIGHWAY, PARKS, METRA, EL &amp; RESTAURANTS. FANNIE MAE HOMEPATH PROPERTY.</t>
  </si>
  <si>
    <t>3% OR $1000, WHICHEVER IS GREATER (on Net SP)</t>
  </si>
  <si>
    <t>Submit offers to www.homepath.com</t>
  </si>
  <si>
    <t>Parker</t>
  </si>
  <si>
    <t>Diversey and Cicero, S on Cicero to Parker, W to Property</t>
  </si>
  <si>
    <t>Janice Corley</t>
  </si>
  <si>
    <t>(773) 230-8700</t>
  </si>
  <si>
    <t>call la 48 hr notice</t>
  </si>
  <si>
    <t>N on Rt 47, W on Big Timber Rd, R on Ridgecrest, R on Ross, L on Hennig</t>
  </si>
  <si>
    <t>MANCHESTER C</t>
  </si>
  <si>
    <t>Manchester Model in Lakewood Crossing!Spacious living room &amp; dining room.Kitchen has 42" cherry cabs, w/ center island,pantry,planning desk &amp; hardwood floors.Family room has cozy fireplace.Master suite has 2 walk in closets,double bowl vanity,linen closet &amp; jacuzzi tub.4 large bedrooms and a 2nd floor loft.Great 2nd floor laundry room w/ a utility tub. Basement plumbing is roughed in.1stfloor den,fenced yard,patio</t>
  </si>
  <si>
    <t>for offer submission and important info see addn. info**all city inspections/system tests/utility activation are buyers expense/responsibility***Case #137-466737</t>
  </si>
  <si>
    <t>39W354</t>
  </si>
  <si>
    <t>OLINGER</t>
  </si>
  <si>
    <t>FABYAN PKWY W OF RANDALL TO MILL CREEK N TO WARNER W TO FORBES N TO OLINGER W TO HOME</t>
  </si>
  <si>
    <t>90X130</t>
  </si>
  <si>
    <t>PSSSTT...THIS IS ONE NOT TO MISS! Exterior is freshly painted &amp; new roof~inside is spotless &amp; bright~white trim &amp; 6 panel doors~French doors from living to family room~gorgeous kitchen w/granite, huge island &amp; 2 sinks~vaulted den overlooks peaceful, beautiful backyard~huge master ste w/sitting room &amp; large walk-in closet~dive into your own pool, relax on the deck &amp; enjoy a backyard big enough for lots of activities!!</t>
  </si>
  <si>
    <t>Clubhouse, Park/Playground, Tennis Courts, Sidewalks, Street Paved</t>
  </si>
  <si>
    <t>Den, Eating Area, Game Room, Recreation Room</t>
  </si>
  <si>
    <t>Deck, Dog Run &amp;/or Invisible Fence, Pool Above Ground, Storms/Screens</t>
  </si>
  <si>
    <t>PLEASE CALL:  855-917-9150 FOR AN APPOINTMENT</t>
  </si>
  <si>
    <t>Irving Park to Kolmar north to property.</t>
  </si>
  <si>
    <t>25 X 134</t>
  </si>
  <si>
    <t>Welcome to Old Irving Park. This 4 bdrm, 3.5 bath, features hrdwd flrs, crown molding, 2 fireplaces, zone system, tech center, wire for sound thru-out, media rm, washer/dryer 2nd flr., Kitchen w/ 42" cherry cabinets, s/s appliance, granite counter, pantry. Master bdrm w/vaulted ceilings, walk in closet, master bth w/marble flrs, separate shower, tub, dual sink, closet organizers, 2 massive decks in back. Agent owned</t>
  </si>
  <si>
    <t>Vinyl Siding, Cedar, Frame</t>
  </si>
  <si>
    <t>Eduardo Martinez</t>
  </si>
  <si>
    <t>(773) 490-6501</t>
  </si>
  <si>
    <t>Call or text Ed at 773-490-6501</t>
  </si>
  <si>
    <t>Agent owned, 1st time on market. Tons of upgrades including two rear decks for plenty of outdoor gatherings. Hardwood floors were just redone, freshly painted, carpets where just cleaned, Shows well.</t>
  </si>
  <si>
    <t>55th st to Christiana (3 blk. west of Kedzie ) then North to home</t>
  </si>
  <si>
    <t>Fannie Mae Homepath and Homepath Renovation approved. Single Family 4bd/2ba Single Family home, with in law suite. Home features Full unfinished basement, with 2-car garage. With a little TLC this home could be your dream home. Property is also near lots of public transportation and about 10 minutes away from Midway Airport. Orange Line Train Stop minutes away. Local convenient stores near by.</t>
  </si>
  <si>
    <t>Seller has directed that all offers are made via Homepath.com. Please see additional information, under additional information Tab.</t>
  </si>
  <si>
    <t>From Montrose and Laramie, head south to Pensacola.  Turn right heading west to Lockwood.</t>
  </si>
  <si>
    <t>Beautiful spacious Portage Park corner octagon bungalow, many upgrades. 2 1st fl bedrooms + office. Large living &amp; dining rooms. 2 bedrooms upstairs + large family room &amp; luxurious bathroom w/ jacuzzi. Full high basement, over sized garage &amp; nicely landscaped yards w/ new privacy fence. Recent upgrades: tear-off roof, zoned Central AC, high-efficiency boiler, H20 heater, appliances, structured media wiring panel, etc</t>
  </si>
  <si>
    <t>Central Air, Space Pac, Zoned</t>
  </si>
  <si>
    <t>Enclosed Porch, Foyer, Office</t>
  </si>
  <si>
    <t>Lee Diamond</t>
  </si>
  <si>
    <t>(773) 255-6347</t>
  </si>
  <si>
    <t>SPINNAKER</t>
  </si>
  <si>
    <t>RANDALL RD TO BOWES RD. TO E TO UMDENSTOCK R TO SPINNAKER</t>
  </si>
  <si>
    <t>60 X 110 X 90 X 130</t>
  </si>
  <si>
    <t>WOW - Breathtaking from the first step into the beautiful foyer. Family room features towering ceilings with open views. Finished basement with unbelievable entertainment area. Located in welcoming cul-de-sac. This property is eligible for Freddie Mac First Look program good through 10/13/14. Sold As-Is. Special Addendums required after offer is accepted. Cash Offers must have verification of funds. Taxes at 100%.</t>
  </si>
  <si>
    <t>Den, Eating Area, Foyer, Theatre Room</t>
  </si>
  <si>
    <t>SUBMIT ALL OFFERS TO WWW.TANISOFFERS.COM. Proof of Funds/Pre-Approval Required. SEE ADDITIONAL INFO FOR CURRENT FREDDIE MAC OFFER CONTRACT PACKAGE!!!  HIGHEST AND BEST DUE BY 1PM 10-31 SEE MO FORM IN CONTRACT PKG H&amp;B DUE 3PM 12/9</t>
  </si>
  <si>
    <t>Please contact Brett- brett.bucholz@cbexchange.com or Cell  630.335.3959</t>
  </si>
  <si>
    <t>Northfield Group has successfully completed over 200 homes since 2001. Please bring your clients we'll make them happy!</t>
  </si>
  <si>
    <t>Ream</t>
  </si>
  <si>
    <t>rt 38 w to 1st st n to walker w to snow n. to ream</t>
  </si>
  <si>
    <t>Prairie Highlands north</t>
  </si>
  <si>
    <t>Bank owned and ready for sale... Large 4 bedroom 3.5 bath model that backs open space.  Will be freshly painted and ready for your family.  Finished basement, attached garage.  Quality home in Quality subdivision.</t>
  </si>
  <si>
    <t>23X28</t>
  </si>
  <si>
    <t>2.5% MINUS $250.00 (on Gross SP)</t>
  </si>
  <si>
    <t>Robert Hart</t>
  </si>
  <si>
    <t>(708) 369-5440</t>
  </si>
  <si>
    <t>vacant call office to show</t>
  </si>
  <si>
    <t>property being sold as is.......earnest money in the form of a cashier check to Classic Realty Group</t>
  </si>
  <si>
    <t>COLONY</t>
  </si>
  <si>
    <t>ROUTE 71 TO RESERVATION S. TO COUNTRY RD. TO COLONY CT.</t>
  </si>
  <si>
    <t>140X542X75X105X710</t>
  </si>
  <si>
    <t>This stunning home features a brand new roof, Hardi cement type siding, 4 season room overlooking a heated in-ground pool! Spacious open floor plan, volume ceilings, stone FP, updated Maple kitchen w/pull-outs, granite, cherry &amp; tile floors. 1st Flr Den/5th Br. Master w/sitting rm, &amp; lux bath. Walk-out basement w/bath, family room w/2nd FP &amp; wet bar. Located on a wooded cul-de-sac lot w/a creek. Zoned HVAC. 3 Car Gar</t>
  </si>
  <si>
    <t>Cul-de-sac, Landscaped Professionally, Stream, Wooded</t>
  </si>
  <si>
    <t>Humidifier, Water-Softener Owned, TV-Cable, Security System, CO Detectors, Ceiling Fan, Sump Pump, Radon Mitigation System(s)</t>
  </si>
  <si>
    <t>Office, Recreation Room, Sitting Room, Sun/Florida Room</t>
  </si>
  <si>
    <t>Call CSS 877-977-1010, 24 hr notice required &amp;/or night before possible.</t>
  </si>
  <si>
    <t>Two Parcel Identification Numbers/tax bill amounts have been combined under taxes. Appliances included (new 'fridge, DW, and washer &amp; dryer) Updated window treatments. New pool pump.</t>
  </si>
  <si>
    <t>Auburn</t>
  </si>
  <si>
    <t>Bridge (RT 47) or McHugh to Spring east to Omaha Left to Auburn</t>
  </si>
  <si>
    <t>Heartland Circle</t>
  </si>
  <si>
    <t>RANCH II</t>
  </si>
  <si>
    <t>93 X 112 X 96 X 122</t>
  </si>
  <si>
    <t>Spacious Ranch has Open Floor Plan &amp; Architectural Details~Arches, Trey Ceilings, Crown Mold &amp; Columns. Eat-in Kit w/Maple Cabs, HWD Floor, Island &amp; FP.  Family has Stone side of See-thru FP.  Master Suite~WIC &amp; Lux Bath (dual sinks, Jacuzzi Tub &amp; Sep Shower).  Main Floor Continues w/DR, 2 more BDRMS &amp; Utility. Fin BSMT Perfect for In-Law Apt w/Great Room, Bed, WIC, Full Bth w/Jacuzzi Tub &amp; Sep Shower. Great Loc ++</t>
  </si>
  <si>
    <t>Humidifier, TV-Cable, CO Detectors, Ceiling Fan, Sump Pump, Radon Mitigation System(s)</t>
  </si>
  <si>
    <t>Foyer, Great Room, Storage</t>
  </si>
  <si>
    <t>42X22</t>
  </si>
  <si>
    <t>Paula Schatz</t>
  </si>
  <si>
    <t>(630) 251-5155</t>
  </si>
  <si>
    <t>12 HOUR NOTICE, NO SHOWINGS BEFORE NOON, CONFIRM CSS 877-977-1010</t>
  </si>
  <si>
    <t>Wheel Chair Friendly with many features to appreciate. Please give ample time for seller to vacate home for showings.</t>
  </si>
  <si>
    <t>Ellsworth</t>
  </si>
  <si>
    <t>RT 34 (Ogden Ave) to American Way to Grande Trail R to Ellsworth</t>
  </si>
  <si>
    <t>80 X 154</t>
  </si>
  <si>
    <t>4 Bed 2.5 Bath White Pine Model with upgraded cherry cabinets in kitchen with eating area and island open to family room. 9' ceilings on main level.   Full unfinished basement.  Backyard backs to treeline adding tranquility and privacy.</t>
  </si>
  <si>
    <t>Sump Pump, Radon Mitigation System(s)</t>
  </si>
  <si>
    <t>PLEASE CALL SHOWING ASSIST 1-800-746-9464</t>
  </si>
  <si>
    <t>Owner Occupts, NPOs &amp; Gov't Agencies bidding @ www.hudhomestore.com ref. 137-357560. Up to 3% CC. NAID# needed to bid. Exclusive  bidding thru 10/5/2014. Daily after if available. More info @ www.hudpemco.com. ALL BIDDERS AFTER 10/10/2014.</t>
  </si>
  <si>
    <t>5N388</t>
  </si>
  <si>
    <t>RANDALL RD. TO BURR N. TO FAIRWAY W. TO LAKEVIEW</t>
  </si>
  <si>
    <t>230 X 252 X 234 X 271</t>
  </si>
  <si>
    <t>Brick 4 bedroom home in St. Charles sits distinguished in private golf club community. 2 story, 4.1 baths, 5 fireplaces. Soaring vaulted ceilings &amp; bright skylights. Large center island in kitchen. Wall of windows in family room with wooded view. Huge private yard with deck &amp; patio. Sold As-Is. Taxes 100%. Special Addendums required after offer is accepted.</t>
  </si>
  <si>
    <t>Clubhouse, Pool, Tennis Courts, Pond/Lake, Sidewalks, Street Paved</t>
  </si>
  <si>
    <t>Corner, Golf Course Lot, Wooded</t>
  </si>
  <si>
    <t>Submit all offers to www.tanisoffers.com. Seller encourages buyers to prequalify W/pref lender: 800-621-0894 or apply TO www.reo.ditech.com. Free financial analysis provided, competitive rates &amp; terms.</t>
  </si>
  <si>
    <t>RT 30 WEST OF ORCHARD TO GORDON, NORTH TO SIMPSON, RT TO CAMBRIDGE, RIGHT TO HOME.</t>
  </si>
  <si>
    <t>SUNNY 4 BEDROOM HOME SHOWS GREAT-YOU'LL LOVE IT! BEAUTIFUL FENCED BACK YARD WITH LARGE PATIO. COVERED PORCH. NEW CARPET. NEW PAINT. BRIGHT KITCHEN WITH PANTRY CLOSET. 1ST FLOOR WITH HARDWOOD. 1ST FLOOR LAUNDRY. LARGE MASTER SUITE WITH JETTED TUB &amp; WALK-IN CLOSET. 2-STORY ENTRY. WALK TO COMMUNITY POND. THIS IS A FANNIE MAE HOMEPATH PROPERTY.</t>
  </si>
  <si>
    <t>CLICK ON "SCHEDULE A SHOWING" FOR INSTRUCTIONS.</t>
  </si>
  <si>
    <t>SEE ADDTL INFO FOR DOC SUBMISSION. CALL 630-608-4777 IF QUESTIONS AFTER VIEWING PROPERTY. SELLER REQUESTS ALL OFFERS BE SUBMITTED THRU HOMEPATH.COM.</t>
  </si>
  <si>
    <t>Acorn</t>
  </si>
  <si>
    <t>Randall  to Huntely E  to Grand Point Blvd turn right to Karen left turn then right on Acorn Ct.</t>
  </si>
  <si>
    <t>83X159X85X163</t>
  </si>
  <si>
    <t>This home has an updated kitchen with eating area. Which flows into a open floor plan family room with a fireplace.   The first floor has a separate office with French doors.  The second level has three bedrooms, and a Master Bedroom Suite which contains a sitting area, and large spa bath with a walk-in closet. The basement is fully finished 1600 SQFT and walks out to a beautifully landscaped back yard.</t>
  </si>
  <si>
    <t>Oven-Double, Microwave, Dishwasher, Refrigerator, Freezer, Disposal, All Stainless Steel Kitchen Appliances</t>
  </si>
  <si>
    <t>Eating Area, Game Room, Office, Pantry, Recreation Room, Storage, Walk In Closet, Workroom</t>
  </si>
  <si>
    <t>(815) 459-9300</t>
  </si>
  <si>
    <t>Jay Menzel</t>
  </si>
  <si>
    <t>Two Hour Notice Required - CALL CSS 1-877-977-1010</t>
  </si>
  <si>
    <t>ood</t>
  </si>
  <si>
    <t>Open floor plan home with a updated kitchen and walk out second story deck.   Huge Master Bedroom w a sitting area and spa bath..  The Walk Out Basement is fully finished with possible 5th bedroom.   There is a Park across the street.</t>
  </si>
  <si>
    <t>LANGSTON</t>
  </si>
  <si>
    <t>95X130X95X132</t>
  </si>
  <si>
    <t>BETTER THAN NEW~ALL THE WORK IS DONE~4 BDRM, 2.1 BTH PLUS DEN~UPGRADED GOURMET KITCHEN~FULL BSMT W/ROUGH IN~GORGOUS PAVER PATIO W/LIGHTS, KNEE WALLS~PROFESSIONALLY LANDSCAPED YARD~BRICK ELEVATION~TREY CEILING IN MSTR~CUSTOM DESIGNER W/I SHOWER THAT MUST BE SEEN~CLOSET ORGANIZERS IN MASTER~3 CAR GARAGE~ALL SS KITCHEN~HARDWOOD~6 CEILING FANS~THE LIST GOES ON~SEE SPECIAL FEATURE SHEET IN HOME~HWA 13 MO WARRANTY INCLUDED</t>
  </si>
  <si>
    <t>CLO Some Notice Required After Hours call Agent</t>
  </si>
  <si>
    <t>MANCINI</t>
  </si>
  <si>
    <t>PlS EXCLUDE LIGHT FIXTURE OVER KITCHEN TABLE AND PLAYSET IN YARD.  SHOW W/CONFIDENCE!</t>
  </si>
  <si>
    <t>Redbud</t>
  </si>
  <si>
    <t>Cannonball North of 34 / West of Rte 47 to Alice / to Redbud</t>
  </si>
  <si>
    <t>Whispering Meadows</t>
  </si>
  <si>
    <t>85X140</t>
  </si>
  <si>
    <t>Wow - Over 3400 Sq Ft of Upscale Designer Living | 9' ceilings | Hardwood Floors | Wide Arched Doorways | Hub of the Home -  Entertainers Kitchen w 42" Hickory Cabinets, double oven . . . | Tranquil Master Retreat | 4 bedrooms plus loft w 3 full baths on 2nd floor | Office &amp; Laundry on 1st floor | Fenced yard w 2 tiered deck, patio, firepit raised gardens &amp; trees | 3 car garage w 8 ft doors | Worth waiting Short Sale</t>
  </si>
  <si>
    <t>28X26</t>
  </si>
  <si>
    <t>Clubhouse, Park/Playground, Pool, Curbs/Gutters, Sidewalks</t>
  </si>
  <si>
    <t>Common Insurance, Clubhouse, Exercise Facilities, Pool, Other</t>
  </si>
  <si>
    <t>3% - $200 | REDUCED IF BANK REDUCES COMMISSION (on Gross SP)</t>
  </si>
  <si>
    <t>Carolyn Duffy</t>
  </si>
  <si>
    <t>(630) 605-3500</t>
  </si>
  <si>
    <t>630.276.7661</t>
  </si>
  <si>
    <t>Use Showing Assist Online - 3 hour notice appreciated monday to friday.  Weekend shorter works</t>
  </si>
  <si>
    <t>CC: Pursuant to Short Sale. Great Home with great spaces.  This is a short sale.  Worth the wait.</t>
  </si>
  <si>
    <t>5N370</t>
  </si>
  <si>
    <t>Kingfisher</t>
  </si>
  <si>
    <t>Rt64 W of Randall to Burlington R to Campton Oaks Dr N2 Deer Run R. to Kingfisher Ct.</t>
  </si>
  <si>
    <t>DEER RUN CREEK</t>
  </si>
  <si>
    <t>325XX379X222X81</t>
  </si>
  <si>
    <t>Solid Brick home nestled on lovely quiet culdesac 1.3 acre lot! Original owner~Huge home for the $$ w/3206 sqft~All flooring Hardwood/Pergo~Sunken Liv rm~Vaulted family rm w/beamed ceiling~Large Kit w/tile flr/newer frig/dishwasher~First flr master~Gigantic Bdrms on 2nd flr &amp; loft~1st flr ldy~Basement is framed in w/full bath already in~35x24 deck~Roof 06/heat/air 09~New sump/H20 htr~St.Charles schls~Home sold as is</t>
  </si>
  <si>
    <t>Deck, Foyer, Loft</t>
  </si>
  <si>
    <t>Vaulted/Cathedral Ceilings, Hardwood Floors, Wood Laminate Floors, 1st Floor Bedroom, 1st Floor Laundry, 1st Floor Full Bath</t>
  </si>
  <si>
    <t>35X24</t>
  </si>
  <si>
    <t>$2.5-$200 (on Net SP)</t>
  </si>
  <si>
    <t>Book thru connect MLS</t>
  </si>
  <si>
    <t>Please lock up and shut off lights after showing. the Hot tub is sold as is. As far as the seller knows its working but did not use it this year.</t>
  </si>
  <si>
    <t>31st Street to Parnell, South to Address</t>
  </si>
  <si>
    <t>Beautiful 4 BR, 4 BA on the best block in Bridgeport...nice &amp; quiet location with all new homes &amp; cul-de-sac block!  All new updates were completed in 2007...roof, Marvin windows, Hunter Douglas blinds, elite stainless steel appliances, granite kitchen, furnace, A/C unit, GORGEOUS bathrooms out of a magazine, cedar closet, huge laundry room, heated basement floors, 2 surround sound systems &amp; decks lead to yard!</t>
  </si>
  <si>
    <t>Hardwood Floors, Heated Floors, 1st Floor Bedroom, 1st Floor Full Bath</t>
  </si>
  <si>
    <t>2%-$125 (on Net SP)</t>
  </si>
  <si>
    <t>Nicole Pusateri</t>
  </si>
  <si>
    <t>Please allow 24-48 hour notice</t>
  </si>
  <si>
    <t>Please email, call, or text agent</t>
  </si>
  <si>
    <t>Redding  Lot#65</t>
  </si>
  <si>
    <t>JOURDAN-E</t>
  </si>
  <si>
    <t>82X146X118X148</t>
  </si>
  <si>
    <t>New Construction "Autumn Gate at Southbury" 9Ft Ceilings + Wood Flrs on 1st Flr! Granite Kit w/BI Dbl Oven/Cook Top &amp; Micro+Pantry/Bay in Brkfst Rm! Tray Ceil Din Rm+Bay! Vol Ceiling M/Br w/Pvt Lux Bth! Frpl/Stained Rails+Spindles! 1st Flr Den w/Dbl Drs! 9Ft. Full Bmt. 100% Energy Star. 30 Yr. Transferable Structural Warranty Ready NOW!  HURRY In Today.........................</t>
  </si>
  <si>
    <t>Agent must accompany buyers on first visit.  Commission paid on base price. Please register your clients on first visit with Nicolle, at Sales office at the Oaks at Churchill Club. Model home is ready NOW!</t>
  </si>
  <si>
    <t>Randall to Orchard W to White Oak West to Wilkonson left to Patterson Left on patterson</t>
  </si>
  <si>
    <t>orchard estates</t>
  </si>
  <si>
    <t>71X129</t>
  </si>
  <si>
    <t>Looks like a Model. Just move in and enjoy the views of the pond and enjoy the quiet location. New paint and carpet, new roof.   Large kitchen w/ island and stainless appliances. Nice deck in a private back yard. Great curb appeal. Full basement ,no crawl. Good size bedrooms. Mater w/ a beautiful bathroom and walk in closet. This is a very nice home and the seller is looking for a quick close! Easy to show</t>
  </si>
  <si>
    <t>2.5% - $200. (on Net SP)</t>
  </si>
  <si>
    <t>Williams Real Estate Group</t>
  </si>
  <si>
    <t>(847) 452-6993</t>
  </si>
  <si>
    <t>Tom Williams</t>
  </si>
  <si>
    <t>call list agt Tom 847-452-6993 or Desiree 773-575-7417</t>
  </si>
  <si>
    <t>Owner made this home show wonderful. Wants a Quick close. Two cats inside but probably won't see them, friendly</t>
  </si>
  <si>
    <t>Grassmere</t>
  </si>
  <si>
    <t>Randall Rd. to Grandview E to Pine Hollow S to Grassmere Ln.</t>
  </si>
  <si>
    <t>54 X 116 X 63 X 119</t>
  </si>
  <si>
    <t>Stunning contemporary style home features 4 bedrooms all on the 2nd level, formal dining &amp; living rooms with towering ceilings &amp; built ins! Spacious, bright kitchen with island, pantry closet &amp; ceramic tile.  Sliding doors lead to awesome backyard patio with hot tub. Finished basement features custom oak bar in family room + half bath. Sold As-Is. Taxes 100%. Special Addendums required after offer is accepted.</t>
  </si>
  <si>
    <t>Patio, Porch, Hot Tub</t>
  </si>
  <si>
    <t>Submit all offers to www.tanisoffers.com. Seller encourages buyers to prequalify W/preferred lender: contact 800-621-0894 or 657-218-2312 or apply on line @: http://hls.ditech.com/caesar.gomez.</t>
  </si>
  <si>
    <t>EW on 107th Street, S onto Church St to address</t>
  </si>
  <si>
    <t>QUAINT HOME BEING TOTALLY REDEVELOPED. THIS TWO STORY HOME FEATURES 4 SPACIOUS BEDROOMS. HUGE MASTER SUITE. COZY WD BURNING FIREPLACE IN LR. NEW KITCHEN. LOT FENCED IN W/ AUTO GARAGE. THIS IS A MUST SEE PROPERTY IN CONVENIENT LOCATION!</t>
  </si>
  <si>
    <t>Vaulted/Cathedral Ceilings, Hardwood Floors, Heated Floors, 1st Floor Bedroom, 1st Floor Full Bath</t>
  </si>
  <si>
    <t>PLEASE CALL 855-222-6225</t>
  </si>
  <si>
    <t>CURRENTLY UNDER CONSTRUCTION</t>
  </si>
  <si>
    <t>ON WEST SIDE OF ASHLAND BETWEEN IRVING AND MONTROSE</t>
  </si>
  <si>
    <t>25 X 155</t>
  </si>
  <si>
    <t>BEAUTIFULLY RENOVATED RAVENSWOOD ROWHOME W/VICTORIAN CHARM ON OVERSIZED LOT. ORIG WOODWORK THROUGHOUT, INCL GRAND STAIRCASE. DOUBLE PARLORS W/WOODBURNING FIREPLACE. FORMAL DINING RM W/BUILT-IN HUTCH, UPDATED CHERRY/GRANITE/STAINLESS KTCHN W/ISLAND/BRKFST BAR &amp; TABLE OR TV AREA, LEADING TO HUGE DECK &amp; PATIO/OUTDOOR AREA. ALL 4 BDRMS UPSTAIRS. PLAYROOM, TONS OF STORAGE IN LOWER LEVEL. MONTROSE EL, METRA, RSTRNTS NEARBY</t>
  </si>
  <si>
    <t>CALL CINDY 773.383.9388 OR CWILSON@KOENIGRUBLOFF.COM</t>
  </si>
  <si>
    <t>What a deal for this price point! A huge amount of space on a 155 ft lot. Urban oasis...you'd never know you're on Ashland. Note CC!</t>
  </si>
  <si>
    <t>McKinley</t>
  </si>
  <si>
    <t>Bartlett to Jefferson West to McKinley</t>
  </si>
  <si>
    <t>SPRINGBROO</t>
  </si>
  <si>
    <t>ENJOY AN INCREDIBLE LOCATION, BREATHTAKING &amp; SERENE GOLF COURSE VIEWS OFF DECK, ALL THIS IN A VERSATILE OPEN FLOOR PLAN DESIGNED FOR THE BUSY FAMILY, NEWER LAMINATE FLOORS,SS APPLIANCES, CENTER ISLAND,UPDATED BATHS, SIDING &amp; ROOF REPLACED, FINISHED BASEMENT  (OR MAN CAVE) WITH 4 TH BEDROOM WILL MAKE A GREAT HANG OUT FOR THE KIDS &amp; GREAT STORAGE, FENCED YARD AND SO MUCH MORE!!</t>
  </si>
  <si>
    <t>CLICK BELOW OR CALL SHOWING DESK 866-571-7181</t>
  </si>
  <si>
    <t>County Farm to Cinema, right on Curtis</t>
  </si>
  <si>
    <t>THE TREND</t>
  </si>
  <si>
    <t>87X118X78X130</t>
  </si>
  <si>
    <t>One story ranch home with 4 bedrooms, 2 baths, Huge family Rm addition. Kitchen open to Large living rm and so much more! Spacious yard with custom, close to Metra, shopping and O'Hare-Elgin Expressway. Home needs some TLC, priced well below market value.</t>
  </si>
  <si>
    <t>Sauna/Steam Room</t>
  </si>
  <si>
    <t>Not a short sale or foreclosure. If close can be scheduled by November 15, the owners will give $1,500 towards closing costs.  Management Company: Dandre Management (630) 351-5600</t>
  </si>
  <si>
    <t>LaCrosse</t>
  </si>
  <si>
    <t>47th Street  to to La Crosse, La Crosse South to address (1 Blk West of Cicero)</t>
  </si>
  <si>
    <t>3540 SQ. FT.</t>
  </si>
  <si>
    <t>ANOTHER MACK ESTATES BEAUTY! FULLY REDEVELOPED MOVE-IN READY BUNGALOW. NEW MECHANICALS, NEW WINDOWS,NEW SIDING, TUCK-POINTING, CROWN MOULDING, NEW ESPRESSO HARDWOOD FLOORS, CARPETING, BATHROOMS, CHERRY CABINETS, GRANITE, HIGH-END SS APPLIANCES, MASSIVE  LOWER LEVEL MASTER SUITE WITH SEP SHOWER AND SOAKING TUB. IF YOU ARE LOOKING FOR A MAINTENANCE FREE, THIS IS YOUR HOME. NEW GARAGE!</t>
  </si>
  <si>
    <t>MUST EMAIL PRE-QUALIFICATION ALONG WITH SHOWING DAY/TIME REQUEST TO KEITHT@IBUYMACK.COM</t>
  </si>
  <si>
    <t>2ND</t>
  </si>
  <si>
    <t>From Rtes 31 &amp; 72, go east on 72 to 2ND St. Turn right/south on 2nd St.</t>
  </si>
  <si>
    <t>59 X 150</t>
  </si>
  <si>
    <t>Live in one of the Best Neighborhoods in America! Wonderful street located so close to grade school, parks, restaurants, bike path, mall and downtown shops! Covered front porch, patio and fenced yard. This one is looking for the love of a new owner. Bring your remodeling ideas and this spacious home will be fantastic!  New Roof 2014.</t>
  </si>
  <si>
    <t>Patio, Porch, Storage Shed, Storms/Screens, Grill-Outdoors</t>
  </si>
  <si>
    <t>Betty Shattuck</t>
  </si>
  <si>
    <t>(847) 791-1341</t>
  </si>
  <si>
    <t>bshattuck@firstpru.com</t>
  </si>
  <si>
    <t>Call Listing Office or Use Showing Assist</t>
  </si>
  <si>
    <t>Great Investment Purchase.  Bathrooms &amp; Kitchen are functional but need refurbishing.</t>
  </si>
  <si>
    <t>HALSTED TO 107 ST, W TO GREEN (830W), SOUTH TO HOUSE</t>
  </si>
  <si>
    <t>A BEAUTIFULLY RENOVATED 4BEDROOM/2FULL-BATH CAPE COD EQUIPPED WITH GORGEOUSLY REFINISHED HARDWOOD FLOORS SURROUNDED IN CLASSIC WHITE TRIM, BRAND NEW CHERRY KITCHEN CABINETS, STAINLESS STEEL APPLIANCES, FRESH NEW CARPETING IN THE MASTER BEDROOM, EACH BATHROOM IS FURNISHED WITH NEW VANITIES AND TILED SHOWER, CERAMIC TILE FINISHED BASEMENT, CEILING FANS IN BEDROOMS ALONG WITH NEW LIGHT FIXTURES IN KITCHEN. A MUST SEE!</t>
  </si>
  <si>
    <t>38X14</t>
  </si>
  <si>
    <t>ELSTON TO MATSON- NORTH ON MEADE- WEST ON HUNTINGTON- SOUTH ON MOODY TO HOME</t>
  </si>
  <si>
    <t>30 X 130</t>
  </si>
  <si>
    <t>SOUTH EDGEBROOK- EXCEPTIONAL EXPANDED GEORGIAN OFFERS SUNLIT MASTER BDRM SUITE &amp; FABULOUS 1ST FLR FAM RM- LOVELY LR BAY &amp; WDBN FRPL- MAPLE CABINET KIT- BREAKFAST ISLAND- INVITING DINING AREA- 2ND FLR: 4 BDRMS &amp; 2 SHARP FULL BATHS- GREAT CLOSET SPACE- REC RM PLUMBED FOR BAR- LAUNDRY &amp; WORK RM- ENJOY CANOPIED DECK- 2C BRK GAR- ZONED HVAC- FLOOD CONTROL- PERIMETER DRAIN TILE- (2) 50 GAL WTR HTRS- NEWER WINDOWS- HURRY!</t>
  </si>
  <si>
    <t>CALL IRENE 773-315-5874 LISTER TO ACCOMPANY</t>
  </si>
  <si>
    <t>Rt 72 (west of Randall) to Tyrell Rd North (R) to Town Center Blvd West (L) to sales office</t>
  </si>
  <si>
    <t>9583 SFT</t>
  </si>
  <si>
    <t>*** BUILDER'S MODEL NOW AVAILABLE! *** Upgraded to the max! Furnishings included! Premium lot backs to pond and wetland area! 4 full baths, 9â€™ 1st floor ceilings, 2-story foyer, 1st floor study, formal living &amp; dining rooms, oversized 2-story family room, double island kitchen + breakfast area, oversized master bedroom suite + garden bath!</t>
  </si>
  <si>
    <t>4% BASE SALES PRICE-$150+$2000 BONUS THRU 10/31 CLOSE IN '14;4% BASE SALES PRICE-$150 CLOSE IN '15 (on Net SP)</t>
  </si>
  <si>
    <t>REGISTER AT RYLAND SALES OFFICE</t>
  </si>
  <si>
    <t>NO LOCKBOX - MUST ENTER THRU SALES OFFICE - PROPERTY TAXES ARE NOT FULLY ASSESSED - DECEMBER DELIVERY</t>
  </si>
  <si>
    <t>113th st east to avenue H south to home</t>
  </si>
  <si>
    <t>100X43</t>
  </si>
  <si>
    <t>This gorgeous, recently rehabbed brick Cape Cod is overflowing with brand new additions and beautiful upgrades. The luxurious kitchen boasts stainless steel appliances, granite counters and upgraded cabinets. With gleaming hardwood floors, a finished basement, a 2 1/2 car garage and so much more, this house is a must see!</t>
  </si>
  <si>
    <t>Illinois</t>
  </si>
  <si>
    <t>Main St (Route 64) to 10th - South to Illinois</t>
  </si>
  <si>
    <t>54 X 132</t>
  </si>
  <si>
    <t>THIS ONE IS GOING TO GO QUICK!! LOCATED JUST FEET AWAY FROM SCHOOL!!TONS OF OPPORTUNITY IN THIS CHARMING SPLIT LEVEL! SPACIOUS FAMILY ROOM W/ PICTURE WINDOWS, OPEN &amp; AIRY KITCHEN W/ WINDOW, GENEROUS SIZED BEDROOMS W/ DBL WINDOWS &amp; BRIGHT BASEMENT. FENCED IN BACKYARD &amp; LOADS OF MATURE TREES. **FANNIE MAE HOMEPATH PROPERTY--NO PERSONAL PROPERTY CONVEYED--BUYER PAYS ANY APPLICABLE TRANSFER FEES**</t>
  </si>
  <si>
    <t>MULTIPLE OFFERS RECEIVED. UPLOAD H&amp;B TO HOMEPATH.COM BY 02/26/15 AT 145pm. INFO NOT GUARANTEED. Need help? 866-218-4446. Contract Package Attached. Atty holds EM.</t>
  </si>
  <si>
    <t>Archer to Linder (5500West). North to 5254.</t>
  </si>
  <si>
    <t>Beautifully looking house. Like new. Totally remodel. New roof , framing drywall , electric, plumbing. New hardwood floors throughout the house . New kitchen cabinets with stainless steel appliances. All work was done by license contractors.  All permits was applied for . One of a kind . Won't last long.</t>
  </si>
  <si>
    <t>2.5 %-$100 (on Gross SP)</t>
  </si>
  <si>
    <t>Jacek Mlynarczyk</t>
  </si>
  <si>
    <t>(773) 491-7216</t>
  </si>
  <si>
    <t>PLEASE CALL LISTING AGENT</t>
  </si>
  <si>
    <t>GREAT LOOKING HOUSE IN A GREAT LOCATION .</t>
  </si>
  <si>
    <t>Spring Creek</t>
  </si>
  <si>
    <t>I 90 to Rt. 25 South 2 Elma East 2 Cobblers Crossing Rd. turn right to Spring Creek N</t>
  </si>
  <si>
    <t>90X100</t>
  </si>
  <si>
    <t>Great Home located in Cobblers Crossing close to schools, I 90xpressway&amp;shopping .Home is built on a oversized premium lot &amp; has been well maintained! Updates include newer roof (5 years)/Brand New Windows/new carpet/Fresh paint + more. Lower Level is finished with 4th Bedroom &amp; Office (could be possible 5th Bedroom). Lower Level has fireplace &amp;walkout to oversized yard&amp; beautiful 2 story deck. 2 car attached garage</t>
  </si>
  <si>
    <t>Margie McGuire, ABR,SFR</t>
  </si>
  <si>
    <t>(847) 334-5022</t>
  </si>
  <si>
    <t>847-334-5022</t>
  </si>
  <si>
    <t>847-931-7500</t>
  </si>
  <si>
    <t>Call Listing Office Must confirm</t>
  </si>
  <si>
    <t>Lot is approximately 1/2 Acre</t>
  </si>
  <si>
    <t>Call agent for directions</t>
  </si>
  <si>
    <t>APPROVED SHORT SALE!!  4 BDRM 3.1 BTH,  FEATURING A UNIQUE FLOOR PLAN .THIS HOUSE FAUTURES 2 CAR GARAGE. HDWD FLRS, SS APPLS, RCSSD LIGHTS, CABINETS, CATHEDRAL CEILINGS, FULL FINISHED BSMNT. BEAUTIFUL GRMT KTCHN W/ GRANITE COUNTERS TOPS, MSTR BTH INCLDS SEP SHWR, JACUZZI, DBL SINK, &amp; MORE. THIS HOUSE IS A MUST SEE!</t>
  </si>
  <si>
    <t>Text 708 261 6204 or email davidolaoye10@gmail.com</t>
  </si>
  <si>
    <t>RT 34 to Game Farm Rd to Pleasure Dr to Prairie Lane (L) to home</t>
  </si>
  <si>
    <t>80X148X80X153</t>
  </si>
  <si>
    <t>New price~Spacious home w/lovely hardwood flooring thru out most of the main level, including BRs~Updated kitchen w/42" cabinets, recessed lighting &amp; breakfast bar~Newer window &amp; roof~Premium lot w/mature trees, large fenced yard, huge deck &amp; patio~Heated 2-car garage &amp; detached 1-car garage perfect for a workshop/extra storage~Security system~Great location, close to schools/parks/shopping~Move-in ready/quick close!</t>
  </si>
  <si>
    <t>Water-Softener Owned, TV-Cable, Security System, Ceiling Fan, Sump Pump, Radon Mitigation System(s)</t>
  </si>
  <si>
    <t>Sentrilock (sorry 1-day codes no longer available)~Please remove shoes/wear booties, turn off lights &amp; secure home after showing~Thanks!</t>
  </si>
  <si>
    <t>Saint Paul</t>
  </si>
  <si>
    <t>South of Bloomingdale, West of Laramie.</t>
  </si>
  <si>
    <t>Well maintained and updated 4 bedrooms (total), 2 bath home. Newer roof, windows, mechanicals, central air, granite counters, stainless steele appliances, Private yard. Quite Tree line street, Great block!  Great home!</t>
  </si>
  <si>
    <t>2% - $250 (on Net SP)</t>
  </si>
  <si>
    <t>Baxtie Rodriguez</t>
  </si>
  <si>
    <t>(773) 724-0878</t>
  </si>
  <si>
    <t>FAX:  773.938.1328</t>
  </si>
  <si>
    <t>call showing desk at 877-977-1010 24 hour notice please</t>
  </si>
  <si>
    <t>24 hour notice required. owners will grant access. owner has large dog.</t>
  </si>
  <si>
    <t>Agatite</t>
  </si>
  <si>
    <t>One block North of Montrose, just east of Central</t>
  </si>
  <si>
    <t>NO MORE SHOWINGS!  Brick bungalow near Portage Park. 2 bedrooms with in-law arrangement on first floor, burning fireplace. Partially finished basement and 2 car garage. NO MORE SHOWINGS!</t>
  </si>
  <si>
    <t>Andrea Seeley</t>
  </si>
  <si>
    <t>(773) 593-6994</t>
  </si>
  <si>
    <t>Call Raul Lopez 773-552-3027 or email raul.lopez@cbexchange.com</t>
  </si>
  <si>
    <t>CC: Pursuant to Short Sale. CC: Pursuant to Short Sale. Please allow time for lender approval. LA is Advance Certified Distressed Property Expert. NO MORE SHOWINGS!</t>
  </si>
  <si>
    <t>Sandstone</t>
  </si>
  <si>
    <t>SILVER GLEN RD W OF RANDALL 2 THORNWOOD BLVD RIGHT TO BROOKWOOD DR, 1ST RIGHT ON LEGACY TO SANDSTONE</t>
  </si>
  <si>
    <t>77X144X67X142</t>
  </si>
  <si>
    <t>FANNIE MAE HOMEPATH PROPERTY! BEAUTIFUL 2 STORY HOME WITH 4 BDRMS, 3.5 BATHS, SEP DINING ROOM, FRENCH DOORS TO LIVING ROOM, KITCHEN WITH PLENTY OF CABINETS &amp; ALL APPLIANCES, FULL FINISHED BASEMENT WITH BAR, LARGE DECK &amp; MUCH MORE!  SEE ATTACHED DOCS PRIOR TO SUBMITTING OFFERS ON HOMEPATH.  PRE-APPROVAL/POF REQUIRED WITH ALL OFFERS.</t>
  </si>
  <si>
    <t>Please see the attached docs. The seller has directed that all offers be made on Homepath.com.  Please also send the same docs to kim@cag-reos.com and we will confirm receipt.  Have your buyer(s) select &amp; initial title option in section 10</t>
  </si>
  <si>
    <t>Randall to Bowes E to Annendale to Gleneagle</t>
  </si>
  <si>
    <t>Welcome Home! Beautiful Franklin Model in the Glens of College Greens Features: Fresh Paint Throughout! Gleaming Hardwd Flrs 1st Level, Stairs &amp; Hall '09, Newer Carpet in Bedrms! New Light Fixtures &amp; Doors! Totally Remodeled Kitchen: Custom 42" Cherry Cabinets, Granite Counter Tops, New Appliances! Bathrms ALL Remodeled! New Furnace '12, Roof, Siding, Gutters '11, Garage Door '12, Shed '12, Pavers '14, New Fence '12!</t>
  </si>
  <si>
    <t>Microwave, Dishwasher, Washer, Dryer, Disposal</t>
  </si>
  <si>
    <t>Den, Foyer, Sun/Florida Room</t>
  </si>
  <si>
    <t>Patio, Screened Patio</t>
  </si>
  <si>
    <t>Lucy Rodriguez</t>
  </si>
  <si>
    <t>(847) 207-1306</t>
  </si>
  <si>
    <t>847-207-1306</t>
  </si>
  <si>
    <t>Will be ready to show 10/10/14 - Sellers require at least a days notice, Please Call: 888-362-3222</t>
  </si>
  <si>
    <t>Acevedo</t>
  </si>
  <si>
    <t>Will be ready to show 10/10/14! Refrigerator and Stove are Negotiable, they are Brand new less than 1 year old. Seller offering home warranty, home sold as is.</t>
  </si>
  <si>
    <t>Wetlands</t>
  </si>
  <si>
    <t>Randall Road to Route 20 West to Highland Woods Dr. to Wetlands Dr.</t>
  </si>
  <si>
    <t>Highland Woods</t>
  </si>
  <si>
    <t>CUSTOM BUILT FOR SELLER</t>
  </si>
  <si>
    <t>95X125</t>
  </si>
  <si>
    <t>Expanded &amp; Customized KCB Resale that has barely been lived in!  Prime location backs up to water/open space! 2nd floor w/ 3 full baths, larger rooms all have walk-in closets. Impressive Master Suite! Gorgeous Hardwood floors in Foyer, DR &amp; Kitchen.  2 Story Great Room features fireplace w/ gas logs, coffered ceiling. Kitchen boasts granite, all SS appliances, double oven, walk-in pantry, large island &amp; butler pantry</t>
  </si>
  <si>
    <t>Wetlands Adjacent, Pond, Water View</t>
  </si>
  <si>
    <t>Breakfast Room, Library</t>
  </si>
  <si>
    <t>Concrete</t>
  </si>
  <si>
    <t>3.0 - $150 (on Net SP)</t>
  </si>
  <si>
    <t>NEI Global Relocation</t>
  </si>
  <si>
    <t>Relocated Seller hated to leave their dream home! Their loss is your gain! Highland Woods offers Owners Club, Pool, Tennis Courts, Exercise Room, Parks, Bike Trails, Elementary School on site! Energy Recovery Ventilator, dual heat &amp; air</t>
  </si>
  <si>
    <t>NASHVILLE</t>
  </si>
  <si>
    <t>ARCHER TO NATOMA SOUTH TO 57TH STREET EAST TO NASHVILLE  AV. NORTH TO HOME</t>
  </si>
  <si>
    <t>39X125</t>
  </si>
  <si>
    <t>GREAT HOME, 4 BEDROOMS 3 AND ONE HALF BATHS, NO SMALL TOUCHES LEFT OUT OAK TRIM, OAK FLOORS, EXTRA WIDE OAK STAIRS , SIX PANEL OAK DOORS, 2 FIREPLACES, MASTER SUITE WITH JACUZZI AND VAULTED CEILINGS, GOURMET KITCHEN, LARGE CLOSETS IN ALL ROOM ALLOWS PLENTY OF STORAGE, FULLY FINISHED BASEMENT, SUMP PUMP SYSTEM, INTERNET CONTROLLED THERMASTAT, DECK, SIDE DRIVE, 2 CAR FINISHED GARAGE, IF YOU WANT LUXURY THIS ONE IS IT!</t>
  </si>
  <si>
    <t>(815) 577-9400</t>
  </si>
  <si>
    <t>John S Harris</t>
  </si>
  <si>
    <t>(630) 247-4522</t>
  </si>
  <si>
    <t>3N282</t>
  </si>
  <si>
    <t>Mary</t>
  </si>
  <si>
    <t>Rt. 64 W of Randall to Campton Hills Rd right on W Mary Lane. Across from park.</t>
  </si>
  <si>
    <t>120X258</t>
  </si>
  <si>
    <t>Sanctuary in the woods! Professionally landscaped yard with spectacular views of private lake! Highly desired Lake Charlotte community only minutes to downtown St. Charles. 4 season/sun room with views to woods. Master bathroom w/whirlpool bath and walk-in closet with built-ins. All bedrooms w/hardwood floors. Brick paved patio and driveway.</t>
  </si>
  <si>
    <t>Balcony, Brick Paver Patio</t>
  </si>
  <si>
    <t>26X33</t>
  </si>
  <si>
    <t>2.5%-$100 ON NET SELLING PRICE (on Net SP)</t>
  </si>
  <si>
    <t>Melinda Harshbarger</t>
  </si>
  <si>
    <t>Call 1-877-977-1010 for appointment</t>
  </si>
  <si>
    <t>Living in community includes lake rights</t>
  </si>
  <si>
    <t>Frm I-90 take 59 Exit &amp; go(S),(R)Irving Rd(L)Blue Ridge</t>
  </si>
  <si>
    <t>BUCKINGHAM WOODS</t>
  </si>
  <si>
    <t>Simply Stunning Home in Serene Wooded Setting. Dramatic 2-story Foyer opens to Formal LR/DR. Columns/Wainscoting/Fresh Paint. 2-Sty Fam Room w/soaring FP w/custom wood surround. Gourmet kit w/quartz, SS appls,  42" cabs/island/backsplash. MBR w/tray ceiling &amp; large private bath w/Jacuzzi tub. Elevated deck &amp; views of nature sanctuary. Full English bsmt w/rough-in plumbing/9' Ceiling. Bike path &amp; Park. Immaculate!</t>
  </si>
  <si>
    <t>Liz Neilson, ABR</t>
  </si>
  <si>
    <t>MONTCLAIR</t>
  </si>
  <si>
    <t>Orchard to Galena W2 Concord right to Montclair. OR Orchard to 30 W2 Lakewood Creek S2 Montclair</t>
  </si>
  <si>
    <t>60 X 125</t>
  </si>
  <si>
    <t>ABSOLUTELY BEAUTIFUL! Light and bright 4 bedroom 2.1 bath home in scenic Montgomery Crossings. Highlights include: lovely living room, spacious kitchen with island breakfast bar, sun drenched family room, large master with WIC and private bath, enormous 4th bedroom/bonus room, 2nd floor laundry, full basement, front porch,  stamped concrete patio and 2 car garage.</t>
  </si>
  <si>
    <t>Porch, Stamped Concrete Patio, Storms/Screens</t>
  </si>
  <si>
    <t>2.5% MINUS $150 (on Net SP)</t>
  </si>
  <si>
    <t>Sheila Zisk</t>
  </si>
  <si>
    <t>(630) 204-8546</t>
  </si>
  <si>
    <t>630-204-8546</t>
  </si>
  <si>
    <t>Use Showing Desk or call 855-919-0376</t>
  </si>
  <si>
    <t>Really nice home. Please turn lights off and lock up.</t>
  </si>
  <si>
    <t>8th</t>
  </si>
  <si>
    <t>Between Prairie and Horne on 8th St. near Davis School.</t>
  </si>
  <si>
    <t>KEHOE HEATH PARK</t>
  </si>
  <si>
    <t>Great home in a fabulous location close to Davis School &amp; Park w/finished bsmt. Eat in kitchen w/bay windows. Lge BR's-Hardwood. Recent updates: carpet, kitchen &amp; hall flooring, freshly painted, door knobs, vanities &amp; faucets, H/W heater. Nice back yard partially fenced. You will love sitting on the large front porch enjoying the seasons. 2 car garage. Just blocks to restaurants, shops, Fox River, bike/walking trail.</t>
  </si>
  <si>
    <t>This is now an Estate Sale.</t>
  </si>
  <si>
    <t>W on Irving Park Rd, North on N Melvina, West on W Cuyler to Home</t>
  </si>
  <si>
    <t>ENJOY THIS THREE BEDROOM THREE BATHROOM BRICK PORTAGE PARK GEM! FEATURING A THREE CAR GARAGE, UPDATED BATHROOM, MANY EXTRAS IN KITCHEN, IN LAW ARRANGEMENT ON 2ND FLOOR - THE LIST GOES ON! WAITING FOR YOUR PERSONAL UPDATES AND FINISHING TOUCHES!  TAXES ARE PRORATED AT 100%. BUYER RESPONSIBLE FOR SURVEY, TRANSFER STAMPS, INSPECTIONS, UTILITIES AND ESCROWS.</t>
  </si>
  <si>
    <t>FAX: 630 810 9782</t>
  </si>
  <si>
    <t>SELLER HAS VERBALLY ACCEPTED AN OFFER 11/18/2014.    EMAIL ALL OFFERS TO OFFERS@SMITHREO.COM , MUST INCLUDE UPDATED PRE APPROVAL LETTER AND/OR PROOF OF FUNDS. Buyer must complete the required OFAC form found under additional information</t>
  </si>
  <si>
    <t>Royal Oaks</t>
  </si>
  <si>
    <t>RTE 34 (WEST OF ORCHARD, EAST OF RTE 47) TO BRISTOL RIDGE RD, NORTH TO ROYAL OAKS DRIVE, EAST TO HM</t>
  </si>
  <si>
    <t>120X316X162X323</t>
  </si>
  <si>
    <t>WELCOME TO SPECTACULAR! Youâ€™re going to love everything about this dynamite exec home situated on 1.25 acres of perfectly manicured bliss. The home, the grounds, the golf course views, the neighborhoodâ€“all unparalleled. Not a detail has been missed. 1st flr master*Generous room sizes*Decorative ceilings in every room*Fin BSMT w/workshop*Sunroom &amp; patio to enjoy pro landscaped yd &amp; easy outdoor entertaining*TOP NOTCH*</t>
  </si>
  <si>
    <t>19X30</t>
  </si>
  <si>
    <t>Oven-Double, Oven/Range, Microwave, Dishwasher, High End Refrigerator, Disposal, All Stainless Steel Kitchen Appliances, Wine Cooler/Refrigerator</t>
  </si>
  <si>
    <t>School Bus Service, Flood Zone (Partial)</t>
  </si>
  <si>
    <t>Whirlpool, Double Sink, Double Shower</t>
  </si>
  <si>
    <t>Golf Course Lot, Landscaped Professionally, Stream, Wooded</t>
  </si>
  <si>
    <t>Humidifier, Water-Softener Owned, Security System, Ceiling Fan, Fan-Whole House, Sump Pump, Sprinkler-Lawn, Backup Sump Pump, Radon Mitigation System(s)</t>
  </si>
  <si>
    <t>Bonus, Breakfast Room, Den, Exercise Room, Recreation Room, Sun/Florida Room, Walk In Closet, Workroom</t>
  </si>
  <si>
    <t>CALL THE B&amp;W APPT CENTER @ 855-746-9100.  AFTER HOURS, CALL LA.</t>
  </si>
  <si>
    <t>JOHNSON</t>
  </si>
  <si>
    <t>**SELLER WILL INCLUDE A 2015 GOLF MEMBERSHIP TO BLACKBERRY OAKS GOLF CLUB IF CONTRACT REC'D BY 10/31/14**  Less than 10% of this lot was recently found to be in a flood plain.  Owner is disputing.  Show with confidence!  Call LA w/questions</t>
  </si>
  <si>
    <t>CRYSTAL</t>
  </si>
  <si>
    <t>NEAR CORNER OF CRYSTAL AND WOOD ST.</t>
  </si>
  <si>
    <t>24 X 100</t>
  </si>
  <si>
    <t>NEW CONSTRUCTION</t>
  </si>
  <si>
    <t>Property Consultants Realty</t>
  </si>
  <si>
    <t>(773) 489-4444</t>
  </si>
  <si>
    <t>Anthony Zaskowski, CCIM,CIPS,GREEN</t>
  </si>
  <si>
    <t>(773) 328-7686</t>
  </si>
  <si>
    <t>EMAIL LA</t>
  </si>
  <si>
    <t>BEVERLY</t>
  </si>
  <si>
    <t>Beverly to 9755</t>
  </si>
  <si>
    <t>SUPER ATTRACTIVE 1.5 STORY HAS NICE SIDING AND IS LOCATED ON A GREAT BLOCK. HOME FEATURES A HUGE YARD, FOUR BEDROOMS, 1.5 BATHS AND FULL BASEMENT. THE AREA SPEAKS FOR ITSELF AND SHOPPING AND TRANSPORTATION ARE NEARBY. HOME IS PRICED TO SELL AND HAS TONS OF POTENTIAL!!  LOT/ROOM SIZES ESTIMATED. THIS IS A HOMEPATH PROPERTY. ADDENDUMS MUST ACCOMPANY ALL OFFERS.</t>
  </si>
  <si>
    <t>3.0% AND $1000 BONUS (on Net SP)</t>
  </si>
  <si>
    <t>SELLER HAS DIRECTED THAT ALL OFFERS ON THIS LISTING BE MADE USING THE HOMEPATH ONLINE OFFER SYSTEM AT THE HOMEPATH. WEBSITE ACT NOW-$1000 BUYER'S AGENT BONUS. RSTRCTNS APPLY" BONUS NOTIFICATION MUST BE PRESENT WITH ORIGINAL OFFER. DOC PSTR</t>
  </si>
  <si>
    <t>Rumsford</t>
  </si>
  <si>
    <t>20 TO NESLER 2 GANSETT LEFT 2 PAWTUCKET TO RUMSFORD 2 HOME</t>
  </si>
  <si>
    <t>Fully approved short sale! Close in 30-45 days! No long wait! Total move-in condition Waverly model w/4 full beds, main flr den &amp; fin bsmnt*Featuring a â€œGorâ€_x009d_geous kit w/hrdwd flrs, granite counters, big island w/breakfast bar, SS appliances, dark maple cabinetry, tile back splash &amp; canned lighting*large vaulted master w/ LUX bath, dbl vanity, sep shower &amp; soaker tub*VERY nice bsmnt! Really can close in 45 or less!</t>
  </si>
  <si>
    <t>CC: Pursuant to Short Sale. Approved short sale! Show &amp; Bid w/confidence! LA has closed 100â€™s of short sales to date*CC will NOT be reduced*sold as-is due to SS w/all clean disclosures from seller*100%-taxes*buyer pays survey*MUST use 6.0 contract *No Docusign-HURRY!</t>
  </si>
  <si>
    <t>49th EAST OR WEST TO INDIANA TO THE PROPERTY</t>
  </si>
  <si>
    <t>25X160</t>
  </si>
  <si>
    <t>ANOTHER LOVELY JACOBDABUILDER 2 STORY NEW CONSTRUCTION HOME ON A QUIET BLOCK WITH FINE FINISHINGS THROUGHOUT THE KITCHEN AND BATHROOMS, FINISHED BASEMENT WITH DESIGNED CEILINGS OPEN SPACE HOME WITH A SPACIOUS CHEF KITCHEN FOR ENTERTAINING, AND MUCH MORE.  THIS IS THE BEST TIME TO SEE THIS HOME PICK OUT PAINT AND FLOORING WITH JACOBDABUILDER TO CUSTOMIZE YOUR NEW HOME, GREAT AND TALENTED BUILDER TO WORK WITH.</t>
  </si>
  <si>
    <t>ANOTHER PROPERTY THAT WILL NOT LAST LONG WITH ALL THE GREAT FINISHES OF JACOBDABUILDER VERY SPACIOUS AND BIG YARD WITH FINISHED BASEMENT</t>
  </si>
  <si>
    <t>Kirk to Wilson to Woodland Hills to Meadowrue right to home</t>
  </si>
  <si>
    <t>100X209X100X193</t>
  </si>
  <si>
    <t>ALL REDONE HW UP! Deep yard/New driveway. Vltd addition opens to deck on 3 sides=a 27â€™ kitchen w/eating bar. Table space too. Two sided FP in 2 sty LR/FR. OPEN FLOOR PLAN. 3 BRs up. FIRST FLOOR MASTER! All 3 BAs nicely redone. Gorgeous interior doors. 2 NEW 95% HE furnaces-2013. Inviting wooded back yard. HWD floors! Enjoy the unique floor planâ€“perfect for entertaining or large family. 1 of prettiest streets in town!</t>
  </si>
  <si>
    <t>Chest freezer does stay.   UPSTAIRS HWD FLOORS ALL JUST REFINISHED !!!!  City water is available for hook up in the front yard. Well tank is newer and all works fine. Just an FYI if you need the info.</t>
  </si>
  <si>
    <t>CENTRAL TO MANTON, WEST ON MANTON</t>
  </si>
  <si>
    <t>31X126</t>
  </si>
  <si>
    <t>GORGEOUS GUT REHAB IN SOUTH EDGEBROOK FEATURES HARDWOOD FLOORS, GRANITE COUNTERS, CUSTOM DESIGNED KITCHEN AND BATHS, FIRST FLOOR LAUNDRY. GRAND STAIRCASE LEADS TO BEAUTIFUL MASTER SUITE WITH STUNNING BATH AND HUGE WALK IN CLOSET. 2ND STORY HAS 2 MORE BEDS AND BONUS ROOM. ***BUILDER OFFERING CUSTOM CLOSET BUILT INS UP TO $1000***</t>
  </si>
  <si>
    <t>Bonus, Mud Room</t>
  </si>
  <si>
    <t>Lindsey Richter</t>
  </si>
  <si>
    <t>(773) 835-2868</t>
  </si>
  <si>
    <t>Text LA</t>
  </si>
  <si>
    <t>Owner4 of Record</t>
  </si>
  <si>
    <t>This is not your typical rehab! Builder has added high end finishes and fixtures, 90% efficient, american standard furnace and solid doors. Brand new roof on house and garage!</t>
  </si>
  <si>
    <t>Indian Trail</t>
  </si>
  <si>
    <t>Rt 59 N. of Miller Rd to Indian Trail E. to home</t>
  </si>
  <si>
    <t>257X375X309X381</t>
  </si>
  <si>
    <t>Bankruptcy Trustee wants this sold! A private sanctuary of over 9,000 sqft on 2+acres by Harris Builders. Milled library, 2 story great rm, wet bar, 1st floor guest en suite, gourmet kitchen, 2nd floor laundry, master has sitting rm, spa &amp; walk-in closet, Walkout LL, steam shower, radiant heated floors, recreation area, stairs to 4 car garage. Shuttered gazebo.  As is. Subject to court approval in bankruptcy case.</t>
  </si>
  <si>
    <t>Gas, Forced Air, Radiant, Indv Controls, Zoned</t>
  </si>
  <si>
    <t>Oven-Double, Oven/Range, Microwave, Dishwasher, Refrigerator, High End Refrigerator, Refrigerator-Bar, Washer, Dryer, Disposal, All Stainless Steel Kitchen Appliances, Wine Cooler/Refrigerator</t>
  </si>
  <si>
    <t>Whirlpool, Separate Shower, Steam Shower, Double Sink, Bidet, Full Body Spray Shower</t>
  </si>
  <si>
    <t>Humidifier, Water-Softener Owned, Central Vacuum, TV-Cable, TV-Dish, Security System, Intercom, CO Detectors, Ceiling Fan, Sump Pump, Sprinkler-Lawn</t>
  </si>
  <si>
    <t>2nd Kitchen, Eating Area, Foyer, Mud Room, Recreation Room, Screened Porch, Sitting Room, Study, Theatre Room, Walk In Closet</t>
  </si>
  <si>
    <t>Vaulted/Cathedral Ceilings, Bar-Wet, Heated Floors, 1st Floor Bedroom, 2nd Floor Laundry, 1st Floor Full Bath</t>
  </si>
  <si>
    <t>Patio, Porch, Porch Screened, Gazebo, Brick Paver Patio, Storms/Screens</t>
  </si>
  <si>
    <t>Attached Fireplace Doors/Screen, Electric, Gas Logs, Gas Starter</t>
  </si>
  <si>
    <t>69X49</t>
  </si>
  <si>
    <t>3% ON ONE MILLION &amp; 2.5% OVER-$225 (on Net SP)</t>
  </si>
  <si>
    <t>Bev Bedoe, ABR,SFR</t>
  </si>
  <si>
    <t>(847) 875-7511</t>
  </si>
  <si>
    <t>Call Showing Time 855-746-9200  24 Hour Notice/Agent Must Accompany Bev Bedoe's cell:847-875-7511</t>
  </si>
  <si>
    <t>Mark Hivon</t>
  </si>
  <si>
    <t>Subject to Court Approval. Subject to Court Approval in bankruptcy case. As Is. Information not guaranteed. No survey or disclosures provided.</t>
  </si>
  <si>
    <t>Massasoit</t>
  </si>
  <si>
    <t>WEST ARCHER AVE NORTH MASSASOIT AVE</t>
  </si>
  <si>
    <t>THIS BEAUTIFUL HOME LOCATED IN CHICAGO'S GARFIELD RIDGE NEIGHBORHOOD HAS BEEN COMPLETELY RENOVATED, IT FEATURES FOUR FULL SIZED BEDROOMS, THE MASTER FEATURES A WALK IN CLOSET, THREE FULL BATHROOMS, GLEAMING HARDWOOD FLOORS THROUGHOUT, GRANITE COUNTER TOPS AND VANITIES, STAINLESS STEEL APPLIANCES, A FINISHED BASEMENT.  THIS PROPERTY SITS ON TWO CITY LOTS AND OFFERS A 2.5 CAR GARAGE ALONG WITH A CARPORT.  A MUST SEE!!!</t>
  </si>
  <si>
    <t>European Shower, Soaking Tub</t>
  </si>
  <si>
    <t>Andrzej Opacian</t>
  </si>
  <si>
    <t>AGENT OWNED</t>
  </si>
  <si>
    <t>OPACIAN</t>
  </si>
  <si>
    <t>AGENT OWNED, PLEASE USE SHOWING ASSIST.</t>
  </si>
  <si>
    <t>LARAMIE</t>
  </si>
  <si>
    <t>Kennedy Expressway North to Central to Elston to Armstrong.</t>
  </si>
  <si>
    <t>45X90</t>
  </si>
  <si>
    <t>New Construction, stunning, extra large 4 bedroom home is situated in Edgebrook Glen's private enclave of new construction residence. This highly upgraded residence features vaulted ceilings, nature, white kitchen and spacious rooms. Immediate Availability. Area is Hidden Treasure.</t>
  </si>
  <si>
    <t>Email ohgshowings@dreamtown.com with 24 hours notice.</t>
  </si>
  <si>
    <t>Please email offers to ohgcontracts@dreamtown.com</t>
  </si>
  <si>
    <t>PRINCETON</t>
  </si>
  <si>
    <t>IRVING PARK TO NORTHWAY TO PRINCETON TO HOME.</t>
  </si>
  <si>
    <t>65X139.43X134.71</t>
  </si>
  <si>
    <t>HURRY! THIS ONE WON'T LAST, 4 BEDROOM RANCH WITH ATTACHED GARAGE.  NEWLY REHABBED! NEW KITCHEN WITH MAPLE CABINETS, GRANITE COUNTER TOPS, STAINLESS STEEL APPLIANCE, &amp; GLASS BACKSPLASH.  LAMINATED FLOORING THRUOUT,  LARGE FAMILY ROOM ADDITION. MASTER BATH UPDATED AND HALLWAY BATH TOTALLY REDONE.  NEW WINDOW TREATMENTS, LARGE FENCED IN BACKYARD WITH SHED.  SCHAUMBURG SCHOOL DISTRICT.  CHARMING, PRIDE OF OWNERSHIP.</t>
  </si>
  <si>
    <t>Conventional, FHA, VA, Owner May Help/Assist, Cash Only</t>
  </si>
  <si>
    <t>2.5% -$300.00 (on Net SP)</t>
  </si>
  <si>
    <t>Garry Real Estate</t>
  </si>
  <si>
    <t>(630) 893-2600</t>
  </si>
  <si>
    <t>Mohammed Akuly</t>
  </si>
  <si>
    <t>Cell Phone 847-312-0157</t>
  </si>
  <si>
    <t>847-312-0157</t>
  </si>
  <si>
    <t>Book thru Schedule Showing Assistant link</t>
  </si>
  <si>
    <t>Please email offers to bashir.akuly@gmail.com Make sure to turn off all lights and lock doors after showing.</t>
  </si>
  <si>
    <t>TAKE 68TH ST TO CALUMET AVE.  PROCEED SOUTH ON CALUMET AVE TO THE ADDRESS.</t>
  </si>
  <si>
    <t>25X178</t>
  </si>
  <si>
    <t>SELLER IS READY TO REVIEW ALL OFFERS IMMEDIATELY FOR THIS REASONABLY PRICED BRICK 4 BED 2 BATH HOME.  FEATURES INCLUDE A FORMAL DINING ROOM,  ENCLOSED REAR PORCH, AND A OVERSIZED LOT.  OPPORTUNITY EXISTS TO MAKE THIS A GREAT STARTER HOME OR AN IDEAL RENTAL FOR RESIDUAL INCOME.  PROPERTY IS BEING SOLD AS IS.  BUYER TO VERIFY ZONING AND ASSUME VIOLATIONS (IF ANY).  RM SIZES/COUNT ARE ESTIMATES.</t>
  </si>
  <si>
    <t>GREATER OF 3% OR $1000.00 (on Net SP)</t>
  </si>
  <si>
    <t>PLEASE USE SHOWING ASSIST ***HIGHEST AND BEST CALLED FOR DUE BY 1/6/15 5P****</t>
  </si>
  <si>
    <t>BAYVIEW LOAN SERVICING</t>
  </si>
  <si>
    <t>To submit an offer on this property for consideration, click on the following link to complete the offer through RES.NET: https://agent.res.net/Offers.aspx?-910519  Registration is free for Agents to submit offers.</t>
  </si>
  <si>
    <t>Wabansia</t>
  </si>
  <si>
    <t>Damen to Wabansia, East to 1821</t>
  </si>
  <si>
    <t>24.21 X 80.26</t>
  </si>
  <si>
    <t>Bucktown New Construction Single Family- 4 Bedroom/3.1 Bath- Every Detail Designed for High Impact, Hardwood Floors, Built-In Fireplace, Flat Panel &amp; Aluminum Cabinetry w/Cedar Wrapped Island in Sensational Kitchen Featuring Viking/Thermador/Miele Coffee Maker, Spa Inspired Master Bath w/Roman Tub &amp; Shower, Radiant Heat LL w/Sealed Concrete, Dual Wet Bars, PH Room with Roof Deck &amp; Garage Deck, Home Audio!</t>
  </si>
  <si>
    <t>BURR ELEMENTARY SCHOOL</t>
  </si>
  <si>
    <t>Park/Playground, Gated Entry, Sidewalks, Street Lights, Street Paved</t>
  </si>
  <si>
    <t>Double Sink, Full Body Spray Shower, Soaking Tub</t>
  </si>
  <si>
    <t>Bonus, Deck, Foyer</t>
  </si>
  <si>
    <t>Aluminum Siding, Brick, Other</t>
  </si>
  <si>
    <t>E-mail Karen@ncgchicago.com</t>
  </si>
  <si>
    <t>This home is finished and ready for occupancy! Please email for full presentation package.</t>
  </si>
  <si>
    <t>Bliss Rd to Windstone west(or Lakes of Bliss Woods entrance) to Elm left to Willow left to Oak right</t>
  </si>
  <si>
    <t>This impeccable, inviting custom ranch with great floor plan, hardwood floors, volume ceilings &amp; neutral colors is calling you home!  Great kitchen design.  Fantastic private yard backing to trees can be enjoyed from lovely screened porch and finished English basement. Main level laundry room.  4th bedroom and full bath in basement.  Brand new roof and siding. Perfect blend of comfort and beauty! Near I-88 and train.</t>
  </si>
  <si>
    <t>Call Showing Service 877-977-1010</t>
  </si>
  <si>
    <t>Certainly no need to preview here.  Your clients will love the porch and private back yard!   Quality built home.</t>
  </si>
  <si>
    <t>Anderson Blvd. to Gray St. to 9th N to Home</t>
  </si>
  <si>
    <t>Westfield Park</t>
  </si>
  <si>
    <t>65X103X98X135</t>
  </si>
  <si>
    <t>Fannie Mae Homepath Property!  Split level with TONS of space! Large family room with fireplace, game room &amp; laundry room.  4 spacious bedrooms, 2.5 baths, separate dining room, Large Kitchen with stainless steel appliances!  Fenced yard with patio &amp; in-ground pool.  NEW carpet &amp; fresh paint!  Pre-approval/Proof of funds required with all offers. See attached docs prior to submitting offers on Homepath.</t>
  </si>
  <si>
    <t>Foyer, Game Room</t>
  </si>
  <si>
    <t>Pool needs repairs.  Brand new cover on pool installed September 2014. Please see the attached docs. The seller has directed that all offers be made on Homepath.com.</t>
  </si>
  <si>
    <t>Wilson to Woodland Hills, south to Meadowrue, right to home.</t>
  </si>
  <si>
    <t>110X219X65X234</t>
  </si>
  <si>
    <t>Beautiful, large &amp; private Woodland Hills lot! Spacious two story has gracious entry, big 1st floor den plus 4 generous upstairs bedrooms.  Hardwood floors throughout living room, dining room, entire 2nd floor! Family room &amp; peninsula kitchen w/ views of towering backyard trees. Deep side load garage, 1st floor laundry/mud room. So much potential here! Convenient eastside Batavia. Nice condition but selling "As, Is".</t>
  </si>
  <si>
    <t>Public, Well-Private</t>
  </si>
  <si>
    <t>Oven-Double, Dishwasher, Refrigerator, Freezer, Washer, Dryer, Disposal</t>
  </si>
  <si>
    <t>Porch, Breezeway</t>
  </si>
  <si>
    <t>Nancy Cox, ABR</t>
  </si>
  <si>
    <t>(630) 262-7154</t>
  </si>
  <si>
    <t>Cell 630-732-6829</t>
  </si>
  <si>
    <t>Call 855-746-9100 for appt. Easy to show. Please turn off lights.</t>
  </si>
  <si>
    <t>Tear off roof~2007, HWH~2006. City water, but private well for garden. Home sold as is, but everything working at time of listing, except H20 softnr. Bsmt walls at N window wells stained but never leaked. Very minor seepage repair 2014.</t>
  </si>
  <si>
    <t>IRVING W OF BARTLETT RD TO MERRY OAKS S TO EVERGREEN</t>
  </si>
  <si>
    <t>AUTUMN CHASE</t>
  </si>
  <si>
    <t>39 X 102 X 117 X 88</t>
  </si>
  <si>
    <t>ABSOLUTELY STUNNING RAISED RANCH. RECENT GUT REHAB WITH OPEN FLOOR PLAN. 2464 SQ FOOTAGE INCLUDES LOWER LEVEL. BRAND NEW STAINLESS STEEL APPLIANCES, GRANITE COUNTER TOPS, LIGHT FIXTURES, FRONT DOOR, SIX PANEL RAISED DOORS, AND CARPETING. NEW OAK FLOORS THROUGH-OUT KITCHEN &amp; LIVING ROOM. NEW FURNACE &amp; ELECTRICAL UPGRADED TO 200AMP SERVICE. NICEST RAISED RANCH IN SOUGHT AFTER AUTUMN CHASE SUBDIVISION AVAILABLE.</t>
  </si>
  <si>
    <t>Mid Level</t>
  </si>
  <si>
    <t>Annette Saeli</t>
  </si>
  <si>
    <t>(630) 973-0289</t>
  </si>
  <si>
    <t>CALL SHOWING DESK @ 888.362.3222</t>
  </si>
  <si>
    <t>123 Third St LLC</t>
  </si>
  <si>
    <t>PLEASE REMOVE SHOES. VACANT &amp; READY TO SHOW. FEEDBACK IS GREATLY APPRECIATED.</t>
  </si>
  <si>
    <t>114th</t>
  </si>
  <si>
    <t>Kedzie to 114st then west to Spaulding.  House sits on the northwest corner.</t>
  </si>
  <si>
    <t>60X123</t>
  </si>
  <si>
    <t>Beautiful -exquisite brick- renovated 4 bdrm, 2 bath Two Story house on rare 60' lot. Features include new windows,gutters,furnace,A/C,electric service,etc. Beautiful new ceramic bathrooms. New light bright ceramic kitchen has 42" maple cabinets and granite counter.  Natural woodwork throughout. Refinished hardwood floors.  Huge backyard. Lots of parking!!</t>
  </si>
  <si>
    <t>Nice home on a great lot.  All new stainless steel appliances. Lots of parking. Fenced yard.</t>
  </si>
  <si>
    <t>76th</t>
  </si>
  <si>
    <t>South Shore North or South to 76th Street, West to property</t>
  </si>
  <si>
    <t>4 bedroom SINGLE FAMILY home right off the METRA!  Amazing opportunity to own this property!  Hardwood flooring throughout.  Unfinished basement with extra storage space.  2 FULL BATHROOMS!  Steps away from South Shore drive and the Lake.  Make your viewing appointment today! This is a Fannie Mae HomePath property.</t>
  </si>
  <si>
    <t>3% OR $1,000 MIN (on Net SP)</t>
  </si>
  <si>
    <t>ORIOLE</t>
  </si>
  <si>
    <t>Lawrence Ave to Oriole South to Address</t>
  </si>
  <si>
    <t>43 X 134</t>
  </si>
  <si>
    <t>Perfectly located - Center of Norridge brick ranch with side drive and just a few years old 2.5 Car Garage. Steps from playground, schools and newly built Mariano's store. Hardwood floors under the carpet. House has a lot of potential. Roof, Front Door - 2008 year, Furnace - 2000 year, and  Vinyl Windows. Sprinkler-lawn system. Sold As-is.</t>
  </si>
  <si>
    <t>JAMES GILES ELEMENTARY SCHOOL</t>
  </si>
  <si>
    <t>Barbara Januszewski</t>
  </si>
  <si>
    <t>(773) 590-0091</t>
  </si>
  <si>
    <t>TEXT BARB 773-590-0091</t>
  </si>
  <si>
    <t>Easy to show. Text listing agent.</t>
  </si>
  <si>
    <t>HAMLIN NORTH OF LAWRENCE</t>
  </si>
  <si>
    <t>38 X 125</t>
  </si>
  <si>
    <t>THIS IS A MUST SEE VINTAGE 4 SQUARE STYLE HOME, THE PROPERTY FEATURES 4 SPACIOUS BEDROOMS, FULL BASEMENT, AMAZING FLOOR PLAN. INTERIOR NEEDS UPDATES BUT POTENTIAL IS THERE. AMAZING LOCATION.  This is a Fannie Mae HomePath property.</t>
  </si>
  <si>
    <t>PLEASE USE CONNECT MLS SHOWING ASSIST</t>
  </si>
  <si>
    <t>SELLER HAS VERBALLY ACCEPTED AN OFFER 11/17/2014.  All offers on this listing must be submitted online via Homepath.com. Buyer for survey and taxes prorated at 100%</t>
  </si>
  <si>
    <t>KOSTNER (4400W) TO CRYSTAL (1250N) WEST TO PROPERTY.</t>
  </si>
  <si>
    <t>4 Bed Home on a DOUBLE LOT. Complete Rehab. Open staircase in living room. Hardwood Floors throughout the house. Finished basement with laundry area, bathroom in each floor, central Air/Heat, new electric, new plumbing, new siding, new windows, new rear porch, kitchen consist of granite counter top with dark maple cabinets, an island, and backsplash. Storage area. 2 car garage with extra lot next to fit more cars.</t>
  </si>
  <si>
    <t>Use Showing Assist. 24hr notice please.</t>
  </si>
  <si>
    <t>Disclosures under Additional Information. Listing Office does not hold Earnest Money. Lot pin# 16-03-230-039-0000</t>
  </si>
  <si>
    <t>RT34 W 2 RT71 2 PARADISE PARKWAY S 2 HOME</t>
  </si>
  <si>
    <t>80X126X21X65X142</t>
  </si>
  <si>
    <t>***DON"T MISS OUT***Stunningly beautiful home, on a premium pond view lot!! Fully renovated, features dark stained kitchen cabinets, granite counters, new SS appliances, rubbed oil bronze lighting, ceramic tiled floors, luxury master suite w/ separate tub/shower, grand 2-story entry, all new carpet/paint t/o, finished basement!! premium iron fenced lot, brick paver patio and service walk.  An absolute must see!!</t>
  </si>
  <si>
    <t>Landscaped Professionally, Park Adjacent, Pond, Water View, Rear of Lot</t>
  </si>
  <si>
    <t>Recreation Room, Utility Room-1st Floor</t>
  </si>
  <si>
    <t>Easy Show - Use Showing Assist</t>
  </si>
  <si>
    <t>**Not a short sale or foreclosure** Easy straight forward sale.  Can close quick!</t>
  </si>
  <si>
    <t>111th north to Vincennes west on 110th next block over at corner</t>
  </si>
  <si>
    <t>125X 30</t>
  </si>
  <si>
    <t>This beautiful, 4-bedroom, 3-bathroom home has been recently rehabbed and is overflowing with brand new features. With gleaming hardwood floors, stainless steel appliances, granite countertops and updated cabinets, this home is truly a must-see. It boasts a brand new roof, brand new windows, new siding and more. With a 2-car garage and a great price, it's truly a must-see!</t>
  </si>
  <si>
    <t>Catamaran</t>
  </si>
  <si>
    <t>Take I-90 West to Rt. 47 Exit. Go South on 47 to Rt.72. Go east on 72. Community is on the right</t>
  </si>
  <si>
    <t>Popular Tuscan floorplan on a GREAT SITE overlooking  beautiful nature area!  Extended garage &amp; deep pour English Garden Basement!  Huge peninsula Kitchen w/Granite, stainless steel appliances, crown molding, island, walk-in pantry &amp; wood  floors. 4 bedrooms, large Master w/ private luxury master bath.  Oak stair rails grace the 2-story family room.  Move in ready!  Energy Star w/ 92% furnace and 13 SEER A/C.</t>
  </si>
  <si>
    <t>Clubhouse, Park/Playground, Pool, Pond/Lake, Sidewalks</t>
  </si>
  <si>
    <t>European Shower</t>
  </si>
  <si>
    <t>Nature Preserve Adjacent, Pond</t>
  </si>
  <si>
    <t>Central Air, Energy Efficient Package, Basement, Garage, Hardwood/Ceramic Floors, Vaulted/Cathedral Ceiling</t>
  </si>
  <si>
    <t>SALES CENTER OPEN DAILY - 1331 NEWPORT CT.  PLEASE CALL FOR AN APPOINTMENT 847-984-4883</t>
  </si>
  <si>
    <t>SALES CENTER OPEN DAILY - PLEASE CALL FOR AN APPOINTMENT 847-984-4883 - ADDITIONAL FINANCING INCENTIVES AVAILABLE WITH BUILDER'S LENDER</t>
  </si>
  <si>
    <t>FERDINAND</t>
  </si>
  <si>
    <t>Route 30 west, 2 Gordon South, 2 Secretariat west, 2 Ferdinand Left Home.</t>
  </si>
  <si>
    <t>featuring 4 bedrooms, 2.1 baths, 2 story foyer, 1st floor den, oversized family room, kitchen w/island, upgraded  42" cabinets, Granite  Countertops, &amp; separate eating area. Master suite w/2 walk-in closets &amp; luxury bath w/soaker tub, separate shower, dual sinks. 3 car garage! Basement walls studded waiting for your finishing touches,  worth the wait! This is a Short Sale</t>
  </si>
  <si>
    <t>Bathroom Rough-In</t>
  </si>
  <si>
    <t>Please see showing assist for all showings must have a 24  hour notice.</t>
  </si>
  <si>
    <t>CC: Pursuant to Short Sale. Must confirm appointment,  large dog Home is occupied. This is a short sale.  Any reduction in commission will be split equally. home with tons of upgrades. Worth the wait!  Sold ASIS, 100% Tax proration's</t>
  </si>
  <si>
    <t>WEBSTER TO LEAVITT;N TO MEDILL; WEST TO ADDRESS</t>
  </si>
  <si>
    <t>RARE OPPRTNTY TO OWN HISTORICALLY SIGNIFICANT/RECENT HEIRLOOM-CALIBR RENOV OF A 4000SQFT 4BD+FAM RM/4.1BTH BUCKTWN ROWHME STEPS FROM HOLSTEIN PRK ON PREMIER MEDILL;WALNUT-STND HRDWD FLRS T/O &amp; SOUGHT-AFTER 3BD/2BA &amp; LNDRY UP;PROF-GRDE GRNTE/SS KTCHN OPENS TO FAM RM &amp; EATING AREA;LUXE MRBLE BTHS INCL MSTR W/STEAM-SPRAY SHWR &amp; SEP AIR TUB;TRI-ZONED HVAC;3 AMAZING OUTDR SPACES INCL 2 ROOF DECKS &amp; DECK ABOVE 2-CAR GRGE!</t>
  </si>
  <si>
    <t>Bar, Den, Deck, Media Room, Recreation Room, Storage, Walk In Closet, Utility Room-1st Floor</t>
  </si>
  <si>
    <t>CALL SCHEDULING DESK @ 773.687.4696 OR EMAIL MGSCHEDULER@KOENIGRUBLOFF.COM</t>
  </si>
  <si>
    <t>TRULY INCREDIBLE RENOVATION W/WAY TOO MUCH TO LIST; PLS SEE VIRTUAL TOUR LINK FOR INTERACTIVE FLOOR PLAN. DINING ROOM LIGHT FIXTURE EXCLUDED.</t>
  </si>
  <si>
    <t>Erika</t>
  </si>
  <si>
    <t>Randall Road West to Huntley Rd to Deerpath Road, to Erika Ln to property</t>
  </si>
  <si>
    <t>WILSHIRE</t>
  </si>
  <si>
    <t>9,000 SQ FT</t>
  </si>
  <si>
    <t>Contemporary Winchester Glen 4bd, 2.1 bath home w/open floorplan, 42" maple cabinets w/corian counters  &amp; SS appliances, Family room w/FP and hardwood floors throughout main floor.Master Suite w/huge walk in closet and luxurious MB. Front brick exterior w/fence in yard that opens to field. Easy access to Randall Rd, shopping, schools, METRA and I-90. Located in 114 acres of preservation. Move in your dream home today</t>
  </si>
  <si>
    <t>2.5%-$200 IN NET SP (on Net SP)</t>
  </si>
  <si>
    <t>Maria Ruiz</t>
  </si>
  <si>
    <t>Showings only after 5:30 pm and Weekends Call 1.855.746.9100</t>
  </si>
  <si>
    <t>Showings only after 5:30 pm or weekends. There are 2 dogs in the home. Please exclude Washer and Dryer. Basketball System and curtains and curtains rods.</t>
  </si>
  <si>
    <t>Rt. 72 to Reinking Rd to Wester Blvd to Shelter Island to Westport</t>
  </si>
  <si>
    <t>6817 SQ FT</t>
  </si>
  <si>
    <t>Move In Ready! Spacious 2 story features 4 bedrooms, 2.5 baths, new paint, carpet and vinyl, formal living spaces, 2nd floor laundry, eat-in kitchen has some appliances, sliders to backyard, and 2 car attached garage. This is a Fannie Mae HomePath Property.</t>
  </si>
  <si>
    <t>Bonus, Other</t>
  </si>
  <si>
    <t>Seller directs all offers be submitted at www.homepath.com. All inspections are at buyers expense. Seller will not provide survey. Prorations 100%.  No Personal Property Included. Go to www.homepath.com for all forms and directions</t>
  </si>
  <si>
    <t>Ridgemont</t>
  </si>
  <si>
    <t>Rte. 30 To Briarcliff Rd., (N) To Red Fox Run To Ridgemont Ct.</t>
  </si>
  <si>
    <t>48X132X145X29X159</t>
  </si>
  <si>
    <t>Traditional 2 Story w/Front Porch, Located on an Awesome Over-sized Fenced Cul-De-Sac Lot! Enjoy the Great FR w/FP! Kitchen w/Island &amp; Eat In Area! Granite Counter Tops/HW Floors, Pantry &amp; SS Appl. Lovely LR &amp; DR w/HW Floors &amp; Crown Molding! Large Sized Bedrooms! Newly Updated Powder Room! MB w/Tray Ceiling! Part. Fin. Base. New Windows &amp; Front Door w/Transferable Warranty! Large Deck!(Deck in process of Rehab).</t>
  </si>
  <si>
    <t>(815) 556-3333</t>
  </si>
  <si>
    <t>Deborah Kantor</t>
  </si>
  <si>
    <t>(630) 404-4435</t>
  </si>
  <si>
    <t>815-609-5668</t>
  </si>
  <si>
    <t>Call B&amp;W appt. desk. 1-855-746-9100 (Must Have Confirmation)</t>
  </si>
  <si>
    <t>Must Have confirmed appt. Sellers have small children and Dog. Please try to give a 2 hour notice if possible. Swing Set Stays. (NO SIGN) Sentrilock on Swing located on Front Porch. Deck in process of replacing boards &amp; Paint. Leave Card.</t>
  </si>
  <si>
    <t>austin to 5527</t>
  </si>
  <si>
    <t>35 X 130</t>
  </si>
  <si>
    <t>Hidden gem will not last long at this price. SFH with 3 bedrooms upstairs, 2 bedrooms on main floor and 1 bathroom. 1+ car garage. Full size lot (35x130) on tree lined street. All hardwood under carpet. 1st floor has A/C. Newer mechanicals. Short sale approved at list price, no offers under list will be considered. Can close in 30 days.</t>
  </si>
  <si>
    <t>CALL SHOWINGTIME - 800-746-9464 or click below</t>
  </si>
  <si>
    <t>CC: Pursuant to Short Sale. *Prequalification Required by our preferred lender on all offers. Call Chris Gnutek @312-758-9457** Agent is a Short Sale EXPERT. Buyers agent holds earnest money. www.shortsaleschicago.com</t>
  </si>
  <si>
    <t>Indian Wells</t>
  </si>
  <si>
    <t>Mclean Blvd S of Route 20 to Bowes Rd to Annandale Dr to Indian Wells</t>
  </si>
  <si>
    <t>Fannie Mae Homepath Property!  2 Story home with 4 bedrooms, 2.5 baths, Open floor plan with a big kitchen, ALL appliances including washer/dryer, Fresh paint &amp; NEW carpet, Full finished basement, fenced yard &amp; More!  See attached docs prior to submitting offers on Homepath.</t>
  </si>
  <si>
    <t>1N080</t>
  </si>
  <si>
    <t>Pouley</t>
  </si>
  <si>
    <t>Route 47 to Keslinger Road, East to Pouley, North to property</t>
  </si>
  <si>
    <t>STILL MEADOWS</t>
  </si>
  <si>
    <t>172X303X170X309</t>
  </si>
  <si>
    <t>Great opportunity to own an affordable home in the country! Not far from downtown Elburn. Property sold "as is". 100% tax pro-ration. No seller survey.</t>
  </si>
  <si>
    <t>PILMER REAL ESTATE, INC</t>
  </si>
  <si>
    <t>(630) 897-3211</t>
  </si>
  <si>
    <t>Linda Pilmer, ABRM,CRB,CRS,GRI</t>
  </si>
  <si>
    <t>(630) 844-8050</t>
  </si>
  <si>
    <t>Agent must include REO Purchaser and Acknowledgement Form singed by all buyers when submitting an offer--this form is included under the Additional Information in the MLS. Contact Listing Agent with any questions.</t>
  </si>
  <si>
    <t>*** BUILDERS MODEL NOW AVAILABLE! *** Too many upgrades to list! Furnishings included! Premium lot backs to pond and wetland area! This fabulous home features 9â€™ first floor ceilings, 2-story foyer, 1st floor study, bonus loft, formal living &amp; dining rooms, oversized family room, gourmet island kitchen + breakfast area, 42â€_x009d_ cabinets, oversized master bedroom suite/bath and solid doors/white trim thruout!</t>
  </si>
  <si>
    <t>23X7</t>
  </si>
  <si>
    <t>4% BASE SALES PRICE-$150+$2000 BONUS THRU 11/30 CLOSE IN '14;4% BASE SALES PRICE-$150 CLOSE IN '15 (on Net SP)</t>
  </si>
  <si>
    <t>Addison E of Harlem To Newcastle, nort to home.</t>
  </si>
  <si>
    <t>STUNNING , PROFESSIONALLY GUT REHABBED HOME WITH 4 BDRMS AND 3 FULL BTHS. LUXURIOUS FINISHES THROUGHOUT INCLUDE "42" KITCHEN CABINETS W/GRANITE &amp; ISLAND , TOP OF THE LINE SS APPLIANCES,  AND LOT OF LIGHTS. MASTER SUITE HAS SKYLIGHTS, WALKIN CLOSET, GLASS SEPARATE SHOWER, DOUBLE VANITY. FULL FIN BSMNT W/MASSIVE FAMILY RM &amp; FULL BATH, BAR, EXTRA BDRM. AMAZING FENCED YARD W/HUGE DECK. 2.5 CAR GARAGE. MUST SEE !!!</t>
  </si>
  <si>
    <t>2.25% - $ 275 (on Gross SP)</t>
  </si>
  <si>
    <t>CALL L.O OR E-MAIL L.A WITH AGENT ID# -A MUST ( 24 HRS NOTICE)</t>
  </si>
  <si>
    <t>*************ALARM SYSTEM***********</t>
  </si>
  <si>
    <t>E OR W ON 103RD TO PERRY N TO ADDRESS</t>
  </si>
  <si>
    <t>This beautiful, recently rehabbed 4 bedroom, 3 bathroom Cape Cod is brimming with brand new features! The furnace and hot water heater are brand new! The kitchen boasts stainless steel appliances and granite counters. The bathroom offers a comfy whirlpool tub! With refinished hardwood floors, a garage with overhang and patio and scores of additional upgrades, this house is a must see! A short walk to 89 St Metra too!</t>
  </si>
  <si>
    <t>Lawndale North or South to 66th Street, East to Property.  66th Street is a one way heading West.</t>
  </si>
  <si>
    <t>THIS IS A FANNIE MAE HOMEPATH PROPERTY. LOVELY SINGLE FAMILY HOME WITH UPDATED KITCHEN, CLOSE TO SHOPPING AND TRANSPORTATION, AND CONVENIENT TO MIDWAY AIRPORT.  SPACIOUS ROOMS NICE YARD, SEE IT TODAY BEFORE ITS TOO LATE!!</t>
  </si>
  <si>
    <t>THE SELLER DIRECTS THAT ALL OFFERS BE SUBMITTED VIA HOMEPATH.COM  USE THE ATTACHED CONTRACT PKG FOR EASE OF SUBMISSION</t>
  </si>
  <si>
    <t>State St.To Address</t>
  </si>
  <si>
    <t>Stunning Brick Quad in prime area of Chatham. Gut Rehabbed in 2008 w/new plumbing, electric, windows, roof, furnace, HWH, c/a, newly sanded hardwood floors, gourmet kitchen with maple cabinets. larger bed room has huge walk in closet. New 2.5 garage. EZ access and the seller will consider all offers!</t>
  </si>
  <si>
    <t>NEIL ELEMENTARY SCHOOL</t>
  </si>
  <si>
    <t>SIMEON CAREER ACADEMY HIGH SCHOOL</t>
  </si>
  <si>
    <t>Call Showing Time 855-957-1523</t>
  </si>
  <si>
    <t>Please submit all offers to themattzgroup@gmail.com &amp; mattzclosing@gmail.com PLEASE SUBMIT ALL OFFERS WITH DISCLOSURES AND OFFER COVER LETTER</t>
  </si>
  <si>
    <t>Newton</t>
  </si>
  <si>
    <t>Rt. 31 to Millview W Follow to Newton L Home on R</t>
  </si>
  <si>
    <t>130X80</t>
  </si>
  <si>
    <t>Fannie Mae Homepath Property! 2 story home with 4 bedrooms. 2 car garage. Fireplace. Most of this home is gutted. No repairs are being done to property. No personal property included.  POF is strongly encouraged w/offers.</t>
  </si>
  <si>
    <t>RT 34 to Autumn Creek Drive to Coral Dr E to Home on corner Lot</t>
  </si>
  <si>
    <t>EXPANDED DORCHESTER</t>
  </si>
  <si>
    <t>68X144X87X157</t>
  </si>
  <si>
    <t>GORGEOUS! LIKE NEW DESIRABLE DORCHESTER PLAN WITH GLEAMING HARDWOOD FLOORS ON MOST OF MAIN LEVEL~INVITING CATHEDRAL CEILING ENTRY W/ATTRACTIVE SPINDLE STAIRCASE~LARGE FAMILY ROOM W/EXTENSION UPGRADE~9 FT CEILINGS~ISLAND KITCHEN W/RECESSED LIGHTING, CORIAN COUNTERS, 42"CABINETS~MAIN FL DEN~GENEROUS SIZE BEDROOMS~MASTER SUITE OFFERS VAULTED CEILING, HUGE WALK-IN &amp; LUXURY BATH~STAMPED CONCRETE PATIO~PARK,TRAILS &amp; SCHOOL</t>
  </si>
  <si>
    <t>FAX#630-896-3357</t>
  </si>
  <si>
    <t>CALL CSS 877-977-1010, NEED SOME NOTICE PLS</t>
  </si>
  <si>
    <t>AGENTS, PLEASE NO LOW OFFERS, PRICED TO SELL! Very nice home &amp; attractive community with on site elementary, ponds, trails, park and skate park!</t>
  </si>
  <si>
    <t>Pimlico</t>
  </si>
  <si>
    <t>Randall Rd to Arlington Parkway East to Pimlico</t>
  </si>
  <si>
    <t>SADDLE CLUB ESTATES</t>
  </si>
  <si>
    <t>165X186X166X170</t>
  </si>
  <si>
    <t>Open, flowing floor plan on this meticulously maintained Ranch home on over an acre lot...Comtemporary flair..living room w/cathedral ceiling &amp; fireplace. Updated kitchen w/maple cabinets &amp; corian counters w/slider to multi tier deck &amp; sunsetter awning. Master suite w/luxury bath. Full finished basement. Major updates include furnace, A/C, roof, windows, baths &amp; much more! A rare find &amp; priced to sell!</t>
  </si>
  <si>
    <t>Game Room, Office</t>
  </si>
  <si>
    <t>Archer to Austin make a right to home</t>
  </si>
  <si>
    <t>MUCH DESIRED AREA...GEORGEOUS 2 STORY HOME BEAUTIFULLY MAINTAINED AND UPDATED!  LONG TIME OWNERS HAVE METICIOUSLY MAINTAINED BOTH INSIDE AND OUT.  4 BEDROOMS, 3 BATHS NEWER HARDWOOD FLOORS (APPALACIAN OAK), NEWER WINDOWS, DOORS, FURNACE AND CENTRAL AIR, PLUMBING AND ELECTRIC. SEMI FINISHED DRY BASEMENT, TREX DECKING WITH POOL AND 2.5 CAR GARAGE W/8FT DOOR AND SECOND FL STORAGE. 24X10 PATIO OFF GARAGE. CREAM PUFF!!</t>
  </si>
  <si>
    <t>20X36</t>
  </si>
  <si>
    <t>2.5-$295.00 (on Net SP)</t>
  </si>
  <si>
    <t>Failla Realty</t>
  </si>
  <si>
    <t>(708) 485-6606</t>
  </si>
  <si>
    <t>Norine Torres</t>
  </si>
  <si>
    <t>(708) 785-9121</t>
  </si>
  <si>
    <t>CALL FRANK 708-785-5198</t>
  </si>
  <si>
    <t>SHOW TO YOUR FUSSIEST BUYERS. OWNER HATES TO MOVE BUT NEEDS 1 FLOOR</t>
  </si>
  <si>
    <t>RT 30 - Dickson - Huntington</t>
  </si>
  <si>
    <t>Beautiful four bedroom home in the Huntington Chase subdivision.  Home large Living Room, FR w Fireplace, sep DR, large eat in kitchen w island, spacious bedrooms and loft, finished basement and great yard w pavers patio for entertaining. Fresh paint, carpet and more.This is a Fannie Mae HomePath property.</t>
  </si>
  <si>
    <t>37W786</t>
  </si>
  <si>
    <t>McKee</t>
  </si>
  <si>
    <t>Randall to McKee west to home</t>
  </si>
  <si>
    <t>210X229</t>
  </si>
  <si>
    <t>Custom built. 1+ acre w/ trees, perennials, garden, fruit trees. 16x24 shed w/ 220V electric &amp; concrete foundation just right for any hobby. Traditional flr plan: formal l/r, d/r, eat in kit. Lge f/r w/ f/p. Huge m/bedroom w/ walk in closet, vaulted ceiling.  M/bath w/ dual sinks, sep shower, tub. Generous size b/rs. Exterior access in full bsmt. Could add 3rd garage. 1st flr laundry. Nice size deck. Great shape.</t>
  </si>
  <si>
    <t>Water-Softener Owned, Central Vacuum, TV-Cable, CO Detectors, Ceiling Fan, Sump Pump, Radon Mitigation System(s)</t>
  </si>
  <si>
    <t>Call 855-746-9100. 1 hour notice.</t>
  </si>
  <si>
    <t>No sign on property. Home has been pre inspected 9/30/14 so no worries.  Roof 2011, plans for a 3rd car garage in MLS, radon system. Very good condition.</t>
  </si>
  <si>
    <t>Damen to Eddy East to Address or Addison to Wolcott South to 1st Street East to Address</t>
  </si>
  <si>
    <t>18 X 124</t>
  </si>
  <si>
    <t>Roscoe Village 3 Story Vintage Row House In Family A Long Time, Needs Attention Updating. 3rd Floor Would Make Grand Master Suite. Some Vintage Details Present, Formal Dining Room, Generous Size Bed Room's Interior Stair to Basement No Garage But Possible, Close to El, Park, Roscoe Village Main Street, Hamilton School. Sold As Is.</t>
  </si>
  <si>
    <t>Office, Pantry</t>
  </si>
  <si>
    <t>Menard Johnson &amp; Associates</t>
  </si>
  <si>
    <t>(773) 472-6016</t>
  </si>
  <si>
    <t>Allen Johnson</t>
  </si>
  <si>
    <t>Call LA To Show 773-472-6016 x15, Please No Emails Or Texts</t>
  </si>
  <si>
    <t>Trust</t>
  </si>
  <si>
    <t>PIPPIN</t>
  </si>
  <si>
    <t>PULASKI 2 HAYFORD EAST 2 LAWNDALE SOUTH 2 PIPPIN GO WEST</t>
  </si>
  <si>
    <t>THIS SHORT SALE HAS..HARDWOOD FLS, HUGH KITCHEN WITH LOT OF CABINETS, 4 BEDROOMS, A  FINISH BASEMENT, 2 FULL BATH, ENTER HOME FROM ATTACHE GARAGE WITH AUTOMATIC DOOR OPENER. HOME IS BEING SOLD AS-IS.</t>
  </si>
  <si>
    <t>Gallery Realty Inc.</t>
  </si>
  <si>
    <t>(773) 874-1550</t>
  </si>
  <si>
    <t>Angela Moore</t>
  </si>
  <si>
    <t>(630) 688-8811</t>
  </si>
  <si>
    <t>630-688-8811</t>
  </si>
  <si>
    <t>CALL AGENT FIRST/ON LOCKBOX</t>
  </si>
  <si>
    <t>Bliss Road to Denny Rd/Pine - go W - take first L into Sub - L on Oak, R on Cherry to home</t>
  </si>
  <si>
    <t>149X77</t>
  </si>
  <si>
    <t>Lovely custom home bargain priced to move fast in exclusive Lakes of Bliss Creek. Hardwood &amp; wrought iron foyer leads into formal dining room. Spacious kitchen with all the upgrades - SS appliance package, butler's pantry, granite. First floor office w/vaulted ceilings. Huge master suite with luxury master bath - whirlpool soaker tub. Private yard next to Bliss Park - neighbors on only one side and lots of space.</t>
  </si>
  <si>
    <t>Aluminum Siding, Stone</t>
  </si>
  <si>
    <t>Kathy Grabow, SFR</t>
  </si>
  <si>
    <t>All offers must be accompanied by pre-approval from Greenlight Mortgage per seller. Sold as-is, no survey, no termite.</t>
  </si>
  <si>
    <t>40W705</t>
  </si>
  <si>
    <t>Grand Monde</t>
  </si>
  <si>
    <t>Rte 38 to La Fox N to Grand Monde</t>
  </si>
  <si>
    <t>284X163X195X180</t>
  </si>
  <si>
    <t>Beautifully secluded 4BR/4BA home on acre lot with 1st floor master suite! St Charles Schools! Totally updated including newer roof, new HVAC, appliances, reverse osmosis &amp; driveway. New carpet in 2nd floor bonus room &amp; updated light fixtures. Eat-in kitchen, huge living room w/fp. Enclosed porch, formal dining room &amp; 2 bedrooms on 1st floor. 2nd floor w/2 addt'l bedrooms &amp; bonus room. Full bsmt, 2-car garage, patio.</t>
  </si>
  <si>
    <t>Breakfast Room, Sitting Room, Enclosed Porch, Bonus</t>
  </si>
  <si>
    <t>Balcony, Porch, Porch Screened, Brick Paver Patio, Storms/Screens</t>
  </si>
  <si>
    <t>Bluff City</t>
  </si>
  <si>
    <t>Rt 25 S to Bluff City East to Property.</t>
  </si>
  <si>
    <t>50X113</t>
  </si>
  <si>
    <t>Beautiful Ranch that offers 4 bedrooms.  It has brand new kitchen cabinets, SS appliances, ceramic tile, light fixtures, and carpet.  Bathroom was completely remodeled.  House was freshly painted outside and in.</t>
  </si>
  <si>
    <t>Please Call or Text LA.</t>
  </si>
  <si>
    <t>Augusta to Francisco, South to #928</t>
  </si>
  <si>
    <t>26 X 123</t>
  </si>
  <si>
    <t>Green Living in Hot Augusta/California Corridor ! Ultra Modern New Construction Sustainable, Attainable SmartTech Home. Energy Star 3.0 Rated 4 Bdrm 2.1 Bath Single Family Home. LOBA Sealed Oak Hdwd Floors, Lo VOC Paint, Tankless H20, HRV System, Endless LEED Appointments, Floating Staircase, European Horizontal &amp; Glass Kitchen Cabinetry, Resort Spa Baths, Audio Pre-Wire, Fenced Yard, Detached 2 Car Garage!</t>
  </si>
  <si>
    <t>13X33</t>
  </si>
  <si>
    <t>This SmartTech home is currently under construction- Expected Delivery Late November/Early December. Please contact for Open House details, floor plan and specifications. Photos from Developer's past projects</t>
  </si>
  <si>
    <t>63rd St to Mason South to 64th Pl corner house</t>
  </si>
  <si>
    <t>Corner Lot, 4 bedrooms, beautiful landscaped home.  Newer/updated kitchen with appliances. New roof. Furnace only 2 years old.</t>
  </si>
  <si>
    <t>Fireside Realty</t>
  </si>
  <si>
    <t>(773) 585-2064</t>
  </si>
  <si>
    <t>Gayle Greear, GRI</t>
  </si>
  <si>
    <t>Newly insulated attic.  Insulated bricks.  Stove, refridgerator, washer and dryer.  Move in condition.</t>
  </si>
  <si>
    <t>I-94 TO 51ST EAST TO MICHIGAN SOUTH TO ADDRESS</t>
  </si>
  <si>
    <t>25X161</t>
  </si>
  <si>
    <t>BEAUTIFULLY RENOVATED 3400 SQ FT HOME ON DEEP LOT(25x161) WITH ADJACENT LOT AVAILABLE (25x161). 4 BDRMS, 3.5 BTHS, FIREPLACE, HARDWOOD FLRS &amp; FINISHED BASEMENT; UPDATED KITCHEN W/ CHEERY CABINETS, GRANITE &amp; STAINLESS STEEL APPL. OPEN KITCHEN, DINING &amp; LIVING SPACE. MSTR. SUITE W/ OFFICE, HUGE CLOSETS. NEW PLUMBING, ELECTRICAL, MECHANICALS, CENTRAL A/C, W/D &amp; ROOF DECK OVERLOOKING HUGE BACK YARD. 2 CAR GARAGE.</t>
  </si>
  <si>
    <t>7X24</t>
  </si>
  <si>
    <t>2.5% -$300 (on Gross SP)</t>
  </si>
  <si>
    <t>Royal Realty, Inc.</t>
  </si>
  <si>
    <t>(847) 630-2700</t>
  </si>
  <si>
    <t>Nancy Levinson</t>
  </si>
  <si>
    <t>(847) 630-1951</t>
  </si>
  <si>
    <t>To Show Call:Todd Smith - 773.330.7772</t>
  </si>
  <si>
    <t>Fax offers to: Royal Realty at: (815) 301-3430</t>
  </si>
  <si>
    <t>First</t>
  </si>
  <si>
    <t>Route 31 (First Street) two blocks south of State Street</t>
  </si>
  <si>
    <t>100X70</t>
  </si>
  <si>
    <t>Absolutely charming Geneva home! Walk two blocks to downtown and six blocks to the train! Gorgeous hardwood floors and incredible woodwork throughout. Updated kitchen with huge built-in butler pantry. Two newer baths plus one with original tile. Sun room has exterior access and makes a great home office. Basement with both interior and exterior access. Nice yard with brick walkways and patio with fire pit. Sweet home</t>
  </si>
  <si>
    <t>Jeri Skelton</t>
  </si>
  <si>
    <t>(630) 262-7143</t>
  </si>
  <si>
    <t>Call 1-855-746-9100 for confirmed appt.</t>
  </si>
  <si>
    <t>FOSTER EAST OF I-94 TO KENNETH THEN SOUTH.</t>
  </si>
  <si>
    <t>50X132</t>
  </si>
  <si>
    <t>BRIGHT, FRESH, VINTAGE BRICK BUNGALOW ON EXTRA WIDE LOT. NEW WINDOWS 2010, NEW ROOF 2014, NEW BOILER AND NEWLY FINISHED BASEMENT (2013) W/LARGE FAMILY ROOM, BATH, BEDROOM AND OFFICE. HUGE UNFINISHED ATTIC SPACE. WONDERFUL LOCATION NEAR TRANSPORTATION, PARKS, SCHOOL.</t>
  </si>
  <si>
    <t>Betsy Burke</t>
  </si>
  <si>
    <t>(847) 565-4264</t>
  </si>
  <si>
    <t>CALL LISTING OFFICE.</t>
  </si>
  <si>
    <t>AGENT RELATED TO SELLER. TAXES REFLECT 2 PIN NUMBERS. SECOND PIN FOR VACANT LAND.</t>
  </si>
  <si>
    <t>LAWNDALE TO 80TH STREET EAST TO ADDRESS</t>
  </si>
  <si>
    <t>40 X125</t>
  </si>
  <si>
    <t>Beautiful raised ranch with a side drive. New: driveway, roof, windows, AC unit ,siding on garage. Stunning kitchen with white glazed cabinets, ss appliances, island and granite tops. Travertine tile bath with whirlpool. Hardwood floors, vaulted ceilings and custom trim. New brick on front of house and recent tuckpointing done. agent related to seller.</t>
  </si>
  <si>
    <t>Pro 1 REALTY,Inc. does not hold earnest money. Please make check out to Attorney Thaddeus Kowalczyk.</t>
  </si>
  <si>
    <t>Lawrence</t>
  </si>
  <si>
    <t>Between Austin and Nagle, Lawrence is NOT a busy street here and is one way East</t>
  </si>
  <si>
    <t>32.5 X 143.5</t>
  </si>
  <si>
    <t>Newly rehabbed Portage Park home with over 2,100 square feet on 3 levels of living space. The 4 bedroom 2.5 bathroom home has a brand new kitchen, quartz counters, stainless steel appliances, and porcelain tile floors. The home features hardwood floors, new windows, plumbing, and electrical. Large finished basement is great for entertaining. Downpayment assistance available. 1.4 miles to Metra and I90</t>
  </si>
  <si>
    <t>2.5% LESS $325 (on Net SP)</t>
  </si>
  <si>
    <t>Jeffrey Nobleza</t>
  </si>
  <si>
    <t>Email suzanne.niersbach@bairdwarner.com - Agent Needs to Accompany, need notice</t>
  </si>
  <si>
    <t>Chicago Metropolitan Properties</t>
  </si>
  <si>
    <t>Info from cloned listing, deemed accurate but not guaranteed, buyer and their broker to verify. A minority investor has broker license.</t>
  </si>
  <si>
    <t>43X120X70X70X120</t>
  </si>
  <si>
    <t>SPACIOUS AND WELL MAINTAINED 2 STORY WITH OPEN FLOOR PLAN. 4 MASTER BEDROOM SUITE, 2 STORY FOYER, STAMPED CONCRETE PATIO, DESIRABLE SUBDIVISION, SHOW WITH CONFIDENCE. SHORT SALE STARTED BRING YOUR OFFER.</t>
  </si>
  <si>
    <t>TV-Cable, TV-Dish, CO Detectors, Ceiling Fan</t>
  </si>
  <si>
    <t>Century 21 TK  Realty</t>
  </si>
  <si>
    <t>(630) 543-7000</t>
  </si>
  <si>
    <t>Oralia Herrera, CIPS,SFR</t>
  </si>
  <si>
    <t>CC: Pursuant to Short Sale. SHORT SALE EARNEST MONEY CERTIFIED FUNDS PAYABLE TO SELLERS ATTORNEY.</t>
  </si>
  <si>
    <t>NW CORNER OF STATE AND GRANT, DRIVEWAY IS ON GRANT</t>
  </si>
  <si>
    <t>SANSONE</t>
  </si>
  <si>
    <t>108X161X109X144</t>
  </si>
  <si>
    <t>SPECTACULAR HOME IN THE HEART OF GENEVA!NOT YOUR TYPICAL CAPE COD. ABSOLUTELY EVERYTHING NEW!KITCHEN OF YOUR DREAMS W/AUTUMN WOODS CABINETRY &amp; SOAP STONE C-TOPS.NEW PELLA WNDWS &amp; ENTRY DOORS THRU-OUT.NEW INTERIOR DOORS &amp; HRDWRE.NEW HVAC, ELECTRIC, COPPER PLMBG, ETC..MASTER BATH W/ONYX FLRS &amp; TERAZZO WALLS.ELFA CLOSET ORGANIZERS.BEAUTIFUL YARD W/3 CUSTOM FENCE PANELS.ONLY BLKS FROM GENEVA HIGH SCHOOL. 31X9 SCRND PORCH</t>
  </si>
  <si>
    <t>Vaulted/Cathedral Ceilings, Hardwood Floors, 1st Floor Bedroom, 2nd Floor Laundry, 1st Floor Full Bath</t>
  </si>
  <si>
    <t>31X09</t>
  </si>
  <si>
    <t>HIGH END REMODEL, THIS HOME IS AMAZING, EXCEPTIONAL CONDITION.NO DETAIL LEFT UNDONE!</t>
  </si>
  <si>
    <t>45X87</t>
  </si>
  <si>
    <t>New construction for immediate occupancy is awaiting your furniture. If you miss out on this home, we have 5 more in this beautiful Edgebrook Glen private enclave. Bright layout makes the Hickory Plus great for entertaining. Attached 2-car garage. Private-Hidden Treasure.</t>
  </si>
  <si>
    <t>Please send showings to ohgshowings@dreamtown.com with 24 hours notice.</t>
  </si>
  <si>
    <t>Please send offers to ohgcontracts@dreamtown.com Open House Sundays 5706 N Lockwood 1-3.</t>
  </si>
  <si>
    <t>75th st East or west to Eberhart then north to 7327</t>
  </si>
  <si>
    <t>Beautiful, recently rehabbed 4 bedroom, 2 bathroom brick bungalow brimming w/ special features &amp; new additions. First floor offers gleaming hardwood. Gorgeous kitchen boasts beautiful cabinets, stainless steel appliances &amp; granite counters. Home comes complete w/ a 40 in flat screen TV. Finished basement offers a laundry room &amp; much more. With a spacious living room, enclosed back porch, &amp; much more, itâ€™s a must see!</t>
  </si>
  <si>
    <t>Mark</t>
  </si>
  <si>
    <t>Rt 47 to west on Rt 72 - North on Centennial Dr - Right on Jake Ln - Right on Mark Ln</t>
  </si>
  <si>
    <t>Gorgeous 4BR-2.5BA home. Vaulted entry. Upscale kitchen with granite ctops and ss appliances. Master suite includes walk-in closets, whirlpool tub, and sep shower. Fresh paint throughout. Generous room sizes. Intercom system/video monitoring system. Large deck overlooking beautiful corner lot. 3 car garage. First Look Initiative through 10/29/2014. Sold "AS-IS".  No survey or disclosures. Taxes prorated at 100%.</t>
  </si>
  <si>
    <t>Use Show Assist. Call Listing Office if not a sentricard user</t>
  </si>
  <si>
    <t>Pre-Approval/POF &amp; copy of EM required with offer. Contract docs in "Additional informationâ€_x009d_. Home Steps Financing available.  1 year Home Warranty available to owner occupying buyers NTE $500. Property winterized.</t>
  </si>
  <si>
    <t>Kildare is one way north between Lawrence &amp; Foster</t>
  </si>
  <si>
    <t>Oversized brick bungalow, recently renovated w/ 3-baths. Located on desirable block in Historic North Mayfair. As featured on HGTV, this 20â€™s home has historic character w/ modern appeal: Sunroom w/ org. French windows open to spacious living room, new Elec thruout, C/A, Lang Ext. windows, vented skylts, walk-in closet, slipper claw-foot tub. SS Kitchen w/ Silestone tops, K-Aid appl, updated LL Ldry.. Home Warr. Incl</t>
  </si>
  <si>
    <t>23X09</t>
  </si>
  <si>
    <t>Clubhouse, Park/Playground, Pool, Tennis Courts, Other</t>
  </si>
  <si>
    <t>2nd Kitchen, Media Room, Sitting Room, Sun/Florida Room Heated, Workroom</t>
  </si>
  <si>
    <t>4%-295 (on Net SP)</t>
  </si>
  <si>
    <t>Nabla Realty, Inc.</t>
  </si>
  <si>
    <t>(847) 729-5134</t>
  </si>
  <si>
    <t>Bistra Kangrga</t>
  </si>
  <si>
    <t>(847) 370-4553</t>
  </si>
  <si>
    <t>LA will accompany 847 370 4553</t>
  </si>
  <si>
    <t>1000+ sq. ft. lower level has cafe/bistro kitchenette, laundry room, bathroom, two partially finished bonus rooms, separate entrance.</t>
  </si>
  <si>
    <t>Burke</t>
  </si>
  <si>
    <t>McLean Blvd to Jenna Dr. W to Angeline Dr S to Burke or Hopps to Hobart N to Burke.</t>
  </si>
  <si>
    <t>Heartland Meadows</t>
  </si>
  <si>
    <t>62 X 123</t>
  </si>
  <si>
    <t>Lovely 2 story 4 bdrm home. Modern kitchen with open floor plan to table area &amp; fam rm. Master bdrm w/pvt bath &amp; 2 closets. 1 Bdrm w/built in shelf. Roof less 5 yrs old. Unfinished bsmt for growing fam. 4 ft high crawl space for storage. Nice size fenced yard w/above ground pool, dbl deck &amp; shed. Walking distance to park and school. Close to Randall Rd stores &amp; college. 20 min +/- to Bartlett Metra &amp; I90/Jane Addams</t>
  </si>
  <si>
    <t>2.50% - $225 (on Net SP)</t>
  </si>
  <si>
    <t>Aida Roman Rojas, CSC,SFR</t>
  </si>
  <si>
    <t>(847) 923-5010</t>
  </si>
  <si>
    <t>Call 1-855-746-9100 for appt.</t>
  </si>
  <si>
    <t>Motivated seller.  Sliding glass door to be replaced 10/17.  Please use 6.0 contract under "Addl Info" section. Disclosures also posted.</t>
  </si>
  <si>
    <t>Eisenhower</t>
  </si>
  <si>
    <t>At Rt 34 &amp; 31 continue straight on Washington. First left Presidential to Taft (L) to Eisenhower (L)</t>
  </si>
  <si>
    <t>OSWEGO VILLAGE SQUARE</t>
  </si>
  <si>
    <t>65X148X63X144</t>
  </si>
  <si>
    <t>Wonderful 4 bedroom, 2.5 bath home in Oswego SD. Just off RT34, located in a cul-de-sac across from pond. Relaxing front porch, 2400SF, NEW carpet. Kitchen w/island, eating area &amp; pantry. Large bedrooms, most have walk-in closets. Mstr bedroom has access to large balcony &amp; bath offers dual sinks, sep shower &amp; Jacuzzi tub. Fenced in back yard w/large brick paver patio w/firepit. 2.5 car garage w/storage. Full basement</t>
  </si>
  <si>
    <t>Cul-de-sac, Fenced Yard, Pond</t>
  </si>
  <si>
    <t>Balcony, Foyer, Loft</t>
  </si>
  <si>
    <t>7X20</t>
  </si>
  <si>
    <t>Holli Thurston, CSC</t>
  </si>
  <si>
    <t>(630) 718-2307</t>
  </si>
  <si>
    <t>CALL B&amp;W SHOWING DESK @855-746-9100*24HR notice</t>
  </si>
  <si>
    <t>2 large dogs. Must have 24 hour notice Mon-Fri NO exceptions. Having open house first 2 weekends Sat &amp; Sun 1-3 to help w/showings. Buyers MUST be pre-approved with Key Mortgage per sellers. See addendum in "additional info"</t>
  </si>
  <si>
    <t>84TH</t>
  </si>
  <si>
    <t>KEDZIE TO 84TH WEST TO HOME (3511W).</t>
  </si>
  <si>
    <t>38X126</t>
  </si>
  <si>
    <t>WOW!!!! STUNNING GUT REHAB!. 4BR 3BA SPACIOUS GEORGIAN ON OVRSIZ LOT. EXQUISITE FINISHES!! HUGE KITCHEN W/ ISLND/BFAST BAR. GRANITE COUNT, 42" MAPL CAB, HIGH END SS APPL. SEP DIN RM. GORGEOUS MOSAIC KITCHEN/BATH TILES, JCUZZ TUB, RAIN SHOWER, HUGE MASTER BR. CUSTOM HW FLRS, CRWN MLDING, WAINSCOAT. HUGE WRAP-AROUND DECK. DRY BAR IN BSMT. BRAND NEW 1CG. LOCATED NEAR END OF QUIET CUL-DE-SAC BLOCK</t>
  </si>
  <si>
    <t>2.25% - $250 (on Gross SP)</t>
  </si>
  <si>
    <t>Noel Baker</t>
  </si>
  <si>
    <t>(847) 530-6253</t>
  </si>
  <si>
    <t>Call Listing Agent at 847-530-6253.</t>
  </si>
  <si>
    <t>Winchester</t>
  </si>
  <si>
    <t>35th St to Winchester (1900 west) south to home 3622</t>
  </si>
  <si>
    <t>McKINLEY GARDENS</t>
  </si>
  <si>
    <t>Beautifully &amp; Very Well Maintained Brick Home in McKinley Park; 2 bedrooms on Main Floor and 2 in Attic; 2 baths; Newly Remodeled with Wood Laminate Floor; Ceramic Tiles in Kitchen &amp; Baths; Full Unfinished Basement; 2.5 car garage 20'x30' with remote control; All Appliances.</t>
  </si>
  <si>
    <t>Kam L. Liu Realty</t>
  </si>
  <si>
    <t>(312) 285-0728</t>
  </si>
  <si>
    <t>Kam Liu</t>
  </si>
  <si>
    <t>312-225-0200</t>
  </si>
  <si>
    <t>Call/Text L.A. Kam 630-202-9688</t>
  </si>
  <si>
    <t>Somonauk to Becker to Home (on the left)</t>
  </si>
  <si>
    <t>81.70X120</t>
  </si>
  <si>
    <t>LAND</t>
  </si>
  <si>
    <t>Brand New Home in new Phase of community! This 2527 Sq. Ft. "Peachtree" model features 4 BR, 2.5 Baths with a serene pond view. The main floor boasts a den, spacious FR with gas fireplace, eating area and open kitchen. Kitchen boasts granite ctrs, island w/bkfst bar and all SS appliances. The master bedroom features his and hers WIC, private master suite with dbl sinks, separate shower and soaking tub.</t>
  </si>
  <si>
    <t>For showing requests, please call 877.901.5151 or email info@shodeenhomes.com</t>
  </si>
  <si>
    <t>BRAND NEW HOME IN NEW PHASE OF COMMUNITY WITH POND VIEW! LOT PREMIUM WAIVED AND NEW AMAZING LIST PRICE MAKES THIS A MUST SHOW! PICS OF EXTERIOR AND POND VIEW ACTUAL HOME</t>
  </si>
  <si>
    <t>4N459</t>
  </si>
  <si>
    <t>ROUTE 64 TO LAFOX RD - SOUTH TO SCHOOL RD - EAST TO HOME</t>
  </si>
  <si>
    <t>140' X 190'</t>
  </si>
  <si>
    <t>OVER 1/2 ACRE LOT &amp; CLOSE TO SCHOOL &amp; SHOPPING! INCREDIBLE WOODWORK &amp; SPACE SAVING BUILT-INS ARE PLENTIFUL. AMPLE STORAGE SPACE, GRANITE CNTRS., NEWER SS APPLS., MAPLE HW FLRS. &amp; NEWER FURNACE &amp; A/C! GENEROUS BEDROOM SIZES &amp; PAINTED IN DESIGNER COLORS.FIN. BASEMENT W/ADDL. BUILT-INS ADDS EXC. RM., GAME RM., REC. RM. &amp; MEDIA CENTER! FOX MILL SUB-DIV. INCLS. POOL, CLUBHOUSE &amp; NEIGHBORHOOD ACTIVITIES. EZ ACCESS TO I-90!</t>
  </si>
  <si>
    <t>Eating Area, Game Room, Media Room, Office, Play Room, Recreation Room</t>
  </si>
  <si>
    <t>3%-$150 (on Gross SP)</t>
  </si>
  <si>
    <t>Weichert Realtors-Kingsland Properties</t>
  </si>
  <si>
    <t>(630) 416-4340</t>
  </si>
  <si>
    <t>Steve Beach</t>
  </si>
  <si>
    <t>PLEASE CLICK ON SCHEDULE A SHOWING BELOW</t>
  </si>
  <si>
    <t>OFFERED AS-IS, AS-VACANT BUT IN EXCELLENT SHAPE-RELO ADDENDUMS TO FOLLOW ACCEPTED OFFER. 1 YR. HOME WARRANTY INCLUDED</t>
  </si>
  <si>
    <t>Kedzie To 81st West to Christiana South</t>
  </si>
  <si>
    <t>BRICK CAPE COD WITH 4 BEDROOM AND FULL BASEMENT GREAT LOCATION CLOSE TO SHOPPING METRA EXPRESSWAYS WALKING DISTANCE TO SCHOOLS MUST SEE!!</t>
  </si>
  <si>
    <t>Michael Nardella</t>
  </si>
  <si>
    <t>(708) 220-7906</t>
  </si>
  <si>
    <t>Contact Listing Agent 312-564-5165;708-220-7906</t>
  </si>
  <si>
    <t>BRICK CAPE COD WITH 4 BEDROOM AND FULL BASEMENT</t>
  </si>
  <si>
    <t>ASHLAND TO 51ST E TO JUSTINE S TO ADDRESS</t>
  </si>
  <si>
    <t>ITS A WINNER!  BRICK SINGLE FAMILY HOME IN THE HEART OF THE CITY! GREAT CURB APPEAL, CONVENIENT LOCATION. PROPERTY IS BEING SOLD AS IS AND IS SUBJECT TO HUD GUIDELINES 24CFR 206.125</t>
  </si>
  <si>
    <t>CALL (773)233-4700   MUST SIGN HOLD HARMLESS UNDER ADDITIONAL DOCUMENTS</t>
  </si>
  <si>
    <t>EMAIL OFFERS TO BARB@PRSREALTORS.COM  USE ATTACHED COVERSHEET WITH YOUR OFFER</t>
  </si>
  <si>
    <t>ST LOUIS</t>
  </si>
  <si>
    <t>79TH STREET EAST OR WEST TO ST LOUIS, NORTH TO 7709</t>
  </si>
  <si>
    <t>CHARMING CONTEMPORARY HOME!LOVELY LIVING RM W/NEUTRAL DECOR&amp;WDWRK THRU-OUT!4 NICE SIZE BEDRMS W/CLOSETS (2 ON MAIN FLR&amp;2 UP)!FULL BATHRM!COZY KTCHN W/LOTS OF CBNTS,NEW FLOORING &amp;DINING AREA THAT LEADS TO LARGE FAMILY RM W/DRS TO NICE DECK &amp;HUGE FENCED YRD FOR ENTERTAINING! FULL PARTIALLY FNSHD BSMNT W/SMALL WORKSHOP RM!FRESHLY PAINTED,NEWER CARPET,CRT BRKRS, C/A,FURNACE-12/14,ETC!STEPS TO NEW SCHOOLS!SELLING AS IS!</t>
  </si>
  <si>
    <t>Century 21 House of Sales</t>
  </si>
  <si>
    <t>(708) 425-9800</t>
  </si>
  <si>
    <t>Pamela Walsh</t>
  </si>
  <si>
    <t>(708) 425-9800x242</t>
  </si>
  <si>
    <t>773-817-4429</t>
  </si>
  <si>
    <t>CALL LISTING OFFICE-24 HOURS NOTICE</t>
  </si>
  <si>
    <t>SELLER IS SELLING AS IS!LIONEL HAMPTON FINE&amp;PERFORMING ARTS SCHOOL AT NORTH END OF STREET&amp;SARAH GOODE STEM ACADEMY HIGH SCHOOL AT CORNER OF 77TH&amp;HOMAN!FLOWERS OUTSIDE DO NOT STAY(HOSTAS,SUNRISE LILLIES&amp;CLEMANTIS).</t>
  </si>
  <si>
    <t>47/Cannonball 2 Alice N2 Faxon L to High Ridge L to Canyon to home</t>
  </si>
  <si>
    <t>KYLYNS RIDGE</t>
  </si>
  <si>
    <t>TIMSBERLAND - CUSTOM</t>
  </si>
  <si>
    <t>80 X 147 X 80 X 148</t>
  </si>
  <si>
    <t>Don't miss out on this expanded semi-custom home in desirable Kylyn's Ridge. Beautiful expanded kitchen and dinette with tons of storage, back-splash and SS appliances. 9' ceilings and 2 story vaulted family room. Newer light fixtures throughout home. Large Master with w/in closet.  Incredible paver patio on large landscaped lot with dog run. Near park and shopping. Garage has an additional 3 ft added.*** NO SSA!!</t>
  </si>
  <si>
    <t>Dog Run &amp;/or Invisible Fence, Brick Paver Patio</t>
  </si>
  <si>
    <t>Christina Miller</t>
  </si>
  <si>
    <t>(630) 479-4825</t>
  </si>
  <si>
    <t>Call Baird &amp; Warner Appointment Center 855-746-9100</t>
  </si>
  <si>
    <t>Relo Addendums Apply.</t>
  </si>
  <si>
    <t>31 to Chicago E to Hill N to home</t>
  </si>
  <si>
    <t>66 X 138</t>
  </si>
  <si>
    <t>Awesome restoration of 1885 Victorian in Elgin historic district. Everything has been done on exterior - roof, paint,porches rebuilt,driveway,storms. Inside just as nice-new kitchen with s/s appls, baths, furnace,C/A,electric,plumbing, paint &amp; more. Heated sunroom &amp; 2nd floor laundry. Winner of 2014 Painted Lady Contest. Professionally landscaped. One of the best restorations you have ever seen!</t>
  </si>
  <si>
    <t>Foyer, Mud Room, Office, Sitting Room, Sun/Florida Room Heated</t>
  </si>
  <si>
    <t>Patio, Porch, Roof Deck</t>
  </si>
  <si>
    <t>Gorgeous restoration</t>
  </si>
  <si>
    <t>87TH ST TO LAWNDALE. NORTH TO 86TH ST. WEST TO HOME</t>
  </si>
  <si>
    <t>BEAUTIFUL UPDATED 4BR 1.5 BATH CAPE COD ON AN EXCELLENT BLOCK! UPDATES INCLUDE NEWER ROOF, WINDOWS,  BEAUTIFUL EAT-IN KITCHEN WITH MAPLE CABINETS, CERAMIC TILE FLOORING, HOT WATER HEATER,  INTERIOR AND EXTERIOR PAINT, HARDWOOD FLOORS ON MAIN LEVEL. HUGE LOT WITH DECK AND 2 CAR GARAGE. BRING YOUR FHA BUYERS! THIS WILL NOT LAST!</t>
  </si>
  <si>
    <t>EMAIL PETER@PRIMEREALESTATE.COM</t>
  </si>
  <si>
    <t>NOT A SHORT SALE OR FORECLOSURE. CAN CLOSE QUICKLY. HOUSE IS VACANT AND ON AN ALARM. SHORT NOTICE IS FINE BUT ALARM NEEDS TO BE DE-ACTIVATED FIRST. LIST OFFICE DOES NOT HOLD EARNEST MONEY.</t>
  </si>
  <si>
    <t>Iroquois</t>
  </si>
  <si>
    <t>Cannonball to Alice to Faxon to High Ridge to Iroquois</t>
  </si>
  <si>
    <t>Kylyns Ridge</t>
  </si>
  <si>
    <t>80 X 165 X 80 X 164</t>
  </si>
  <si>
    <t>Great Kylyns Ridge home. 4 bed 2.1 bath home with 2950 square feet. Home features Open floor plan with vaulted ceilings in the family room. Large open kitchen with, eat-in area, great for entertaining. Large bedrooms, master suite with walk in closet, separate bath and shower. 3 car over-sized garage with additional sq ft from builder plan. Custom play house with electric in large, private backyard. Home shows great</t>
  </si>
  <si>
    <t>Nathan Stillwell</t>
  </si>
  <si>
    <t>(815) 762-1325</t>
  </si>
  <si>
    <t>Call LA or text. 815-762-1325.Some notice needed</t>
  </si>
  <si>
    <t>Great home with 3 car oversized garage. Relocation addendum after acceptance. Family room and dinning room drapes excluded. Blinds will stay. Shears from guest bedroom and valance from kids bedroom excluded. AHS homes warranty included</t>
  </si>
  <si>
    <t>Rt 71 - Rt Plainfield/Grove Rd - Left Collins - Left Buckskin - Rt Chestnut</t>
  </si>
  <si>
    <t>80X137X83X126</t>
  </si>
  <si>
    <t>BRICK FRONT 2 STORY HOME W/3 CAR GARAGE, 9 FT CEILINGS (1ST FLOOR), HARDWOOD IN KITCHEN &amp; FOYER. FAMILY RM W/FIREPLACE &amp; DEN. MASTER W/TRAY CEILING, WALK IN CLOSET &amp; LUXURY BATH W/SOAKING TUB &amp; SHOWER. FENCED YARD &amp; BRICK PATIO. NEW ROOF 2011. THIS HOME IS IN GOOD CONDITION!  PROPERTY SOLD AS-IS.  NO DISCLOSURES OR SURVEY WILL BE PROVIDED.</t>
  </si>
  <si>
    <t>Damen to Ohio West 2 blocks to property</t>
  </si>
  <si>
    <t>UKRAINIAN VILLAGE</t>
  </si>
  <si>
    <t>24X123</t>
  </si>
  <si>
    <t>4 BED/3.1 BATH, RECENTLY CONSTRUCTED, TRANSITIONAL GEM.  LIMESTONE FACADE + INCR OUTDOOR SPACE W/GAR TOP DECK + RFDECK W/SKYLINE VW.  WELL PROPRTND FLOORPLAN FEAT SOUTH FACING EXP, CHEF'S KITCHEN W/SUBZ &amp; 48" RANGE/DOUBLE OVEN, TALL CEILINGS, LARGE FAM ROOM OFF KITCHEN, SPA MASTER BA W/STEAM &amp; RAIN, GREAT SIZED BR'S, UNUSUALLY LARGE LL LR W/INCREDIBLE LIGHT + FAB WET BAR.  CLOSE TO MARIANO'S, SMITH PARK &amp; METRA.  A+</t>
  </si>
  <si>
    <t>17X35</t>
  </si>
  <si>
    <t>Forced Air, Radiant, 2+ Sep Heating Systems, Zoned</t>
  </si>
  <si>
    <t>Limestone, Other</t>
  </si>
  <si>
    <t>Quest Realty Group</t>
  </si>
  <si>
    <t>(312) 850-2620</t>
  </si>
  <si>
    <t>Jason Vondrachek</t>
  </si>
  <si>
    <t>EMAIL FOR SHOWINGS. JASON@QUESTCHICAGO.COM - JASON CELL 312.342.9655**OPEN HOUSE SUN 2/8 NOON-1:30PM</t>
  </si>
  <si>
    <t>**OPEN HOUSE SUN 2/8 FROM NOON-1:30PM** FULLY WIRED FOR SOUND, DUAL HVAC, 2 LAUNDRY CENTERS, 2.5 CAR GARAGE, RECENTLY SEALED BLOCK, DECKS JUST POWER WASHED/SEAL, CLOSE TO MITCHELL ELEMENTARY (FAST RISING MAGNET SCHOOL),  CLIENTS RELOCATING.</t>
  </si>
  <si>
    <t>Avenue A</t>
  </si>
  <si>
    <t>E 112th St East to Avenue A then North to home.</t>
  </si>
  <si>
    <t>34 X 123</t>
  </si>
  <si>
    <t>Nice brick Cape Cod. Hardwood floors on main level. Full finished attic with 2 bedrooms and additional bath. full partially finished basement with dry bar. Ample storage throughout. Estate sale, sold as is.  PLEASE  LEAVE BUSINESS CARD.</t>
  </si>
  <si>
    <t>Meeker Real Estate Inc</t>
  </si>
  <si>
    <t>(708) 418-5908</t>
  </si>
  <si>
    <t>Timothy Sherwood</t>
  </si>
  <si>
    <t>(708) 224-8038</t>
  </si>
  <si>
    <t>Estate Sale. Email offers to timsherwood60@gmail.com, or fax to 708-394-0262.</t>
  </si>
  <si>
    <t>I-290 Exit Homan, south to Polk, right to 3531</t>
  </si>
  <si>
    <t>Homan Square</t>
  </si>
  <si>
    <t>33 X 75</t>
  </si>
  <si>
    <t>* Short Sale * Great opportunity to own this gorgeous 2006 brick 4BR/3Bath spacious home in desirable Homan Square! Contemporary, open layout, chef's kitchen w/ granite island. Master BR suite. Granite &amp; stone finished baths. Hardwood floors. In-unit, side-by-side W/D. Central heat and A/C. Attached 1-car garage with enclosed driveway for addt'l pkg. Great location! Near I-290/Loop.</t>
  </si>
  <si>
    <t>Exercise Facilities, Exterior Maintenance, Lawn Care, Scavenger, Snow Removal</t>
  </si>
  <si>
    <t>Realty Executives Source One</t>
  </si>
  <si>
    <t>(312) 619-0014</t>
  </si>
  <si>
    <t>Use showing Assist</t>
  </si>
  <si>
    <t>CC: Pursuant to Short Sale. * Broker very experienced in Short Sales * Any commission reductions will be reduced equally 50/50 between Brokerages * Submit offers w/ confidence *** Taxes prorated at 100% ***</t>
  </si>
  <si>
    <t>Lake shore</t>
  </si>
  <si>
    <t>59 N. of Miller to Indian Trail to Oakwood-turns into LSD</t>
  </si>
  <si>
    <t>TIMBERLAKE ESTATES</t>
  </si>
  <si>
    <t>142X754X162X273X716</t>
  </si>
  <si>
    <t>Extraordinary mid-century modern nestled on a magnificent wooded site of 3 acres. Vaulted ceilings and open floor plan are ideal for entertaining. Walls of windows provide views of nature, stream and koi pond. 2 decks and a patio for outdoor enjoyment. Roof, septic, windows updated within 5-8 yrs. Prof. landscaping and Greenhouse att. to garage for gardening. More than meets the eye. Timberlake beach and comm. events</t>
  </si>
  <si>
    <t>Barrington High School</t>
  </si>
  <si>
    <t>Park/Playground, Pond/Lake, Water Rights, Street Paved</t>
  </si>
  <si>
    <t>Pond, Stream, Water View, Wooded</t>
  </si>
  <si>
    <t>Humidifier, Water-Softener Owned, TV-Dish, TV Antenna, CO Detectors, Ceiling Fan</t>
  </si>
  <si>
    <t>Study, Storage, Terrace, Utility Room-Lower Level, Deck</t>
  </si>
  <si>
    <t>Deck, Patio, Greenhouse, Storage Shed, Dog Run &amp;/or Invisible Fence</t>
  </si>
  <si>
    <t>Christine Rubin, e-PRO</t>
  </si>
  <si>
    <t>(847) 886-9664</t>
  </si>
  <si>
    <t>630-533-9664</t>
  </si>
  <si>
    <t>24 hr notice please.  Call 855.746.9100 to schedule appointment.</t>
  </si>
  <si>
    <t>Truly a unique property. Versatile design and use of space.  GPS try: 25719 N. East Lake Shore Drive, Barrington, Lake county</t>
  </si>
  <si>
    <t>Century</t>
  </si>
  <si>
    <t>Rt 72 to Centennial N to Jake E to White Oak N to Johnson R to Century E to PIQ</t>
  </si>
  <si>
    <t>WHITE OAK PONDS</t>
  </si>
  <si>
    <t>105 X 130 X 106 X 130</t>
  </si>
  <si>
    <t>Tons of Potential Here! Well over 2500 square feet. Beautiful hrdwd flrs, inviting fireplace, large rms, eat in kitchen with additional formal dining room. Huge master suite w/Giant walk in closet &amp; Master Bath. Fenced yard w/paver patio &amp; above ground pool for your backyard oasis. Pool comes with all accessories, new liner and pump motor in 2013.  This is a short sale, so must wait for bank approval.</t>
  </si>
  <si>
    <t>Deck, Porch, Brick Paver Patio, Pool Above Ground, Outdoor Fireplace</t>
  </si>
  <si>
    <t>CENTURY 21 New Heritage</t>
  </si>
  <si>
    <t>(815) 568-8093</t>
  </si>
  <si>
    <t>Lisa Rossow</t>
  </si>
  <si>
    <t>(847) 875-4960</t>
  </si>
  <si>
    <t>CC: Pursuant to Short Sale. This is a short sale, any reduction in commission will be split between the listing and selling agent.</t>
  </si>
  <si>
    <t>Crooked Creek</t>
  </si>
  <si>
    <t>Lake Cook Rd to Crooked Creek Trail to Porperty</t>
  </si>
  <si>
    <t>163X225</t>
  </si>
  <si>
    <t>Very spacious 4 bed 2.1 bath home in Barrington. Hardwood floors and carpet throughout. Full unfinished basement with 9'6" ceilings, ready for your personal touch. 3 car attached garage. Large yard on 0.9 acres of land. Furnace, water heater and sump pump all new in 2013. Short Sale.</t>
  </si>
  <si>
    <t>WALTER R SUNDLING JUNIOR HIGH SCHOOL</t>
  </si>
  <si>
    <t>PALATINE HIGH SCHOOL</t>
  </si>
  <si>
    <t>Well-Community, Well-Private</t>
  </si>
  <si>
    <t>Septic-Private, Septic-Shared</t>
  </si>
  <si>
    <t>CLICK ICON OR CALL SHOWINGTIME - 800-746-9464. NO SAME DAY SHOWINGS, MUST CONFIRM!</t>
  </si>
  <si>
    <t>South entrance to Knolls off Annie Glidden to Larsen, right to Ryan Ct, right</t>
  </si>
  <si>
    <t>THE KNOLLS</t>
  </si>
  <si>
    <t>80X123X125.43X125</t>
  </si>
  <si>
    <t>Great location close to shopping, restaurants &amp; more on a quiet cul-de-sac. This ranch home hosts an open floor plan with vaulted ceiling and patio off the eat-in area. Lovely landscaped yard. Playset stays. 10x12 storage shed. Full finished basement with great family room, office, bedroom &amp; large storage area.</t>
  </si>
  <si>
    <t>Office, Foyer</t>
  </si>
  <si>
    <t>Linda Swenson</t>
  </si>
  <si>
    <t>815-739-9582</t>
  </si>
  <si>
    <t>Call L/O or L/A. 24 hr notice. Confirmation needed.</t>
  </si>
  <si>
    <t>Coyote</t>
  </si>
  <si>
    <t>Off Mill (betwn Orchard &amp; 31) - just W of 31 -  go S onto Fox Chase Dr. S &amp; Left onto Coyote Ct</t>
  </si>
  <si>
    <t>NORMANDIE</t>
  </si>
  <si>
    <t>83.79 X 121.22 X 84.66 X 130</t>
  </si>
  <si>
    <t>The charming front porch leads into this well maintained 4 bedroom, 2.5 bath home complete w/new carpet &amp; fresh paint. The welcoming living rm flows to the dining rm &amp; into the easy to entertain kitchen. The eating area opens to the family rm w/ brick fireplace. Upstairs you'll find 4 bedrooms, 2 full baths, &amp; 2 WICs. Backyard has deck, gazebo, fence &amp; no backyard neighbors! Full basement waiting for your creativity!</t>
  </si>
  <si>
    <t>2.5% (-$150 ON NET SALES PRICE) (on Net SP)</t>
  </si>
  <si>
    <t>IRVING PRK RD EAST OR WEST TO ALBANY NORTH TO HOUSE</t>
  </si>
  <si>
    <t>34 X 125</t>
  </si>
  <si>
    <t>FULL GUT REHAB W BEAUTIFUL NEW BRICK FACADE IN IRVING PARK ON WIDE LOT! MODERN FL PLAN W 4 BED, 3.5 BATH &amp; LAUNDRY ON UPPER LEVEL. GOURMET KITCHEN W THERMADOR APPLIANCES &amp; LARGE ISLAND, LIVING, DINING AND FAMILY ROOM ALL ON MAIN LEVEL. HUGE MASTER BATH FEATURES CUSTOM SHOWER AND LARGE WIC. FULLY FINISHED LOWER LEVEL W HUGE REC ROOM, 4TH BED, FULL BATH. LARGE YARD AND 2 C GARAGE. WALK TO BATEMAN SCHOOL &amp; HORNER PAR</t>
  </si>
  <si>
    <t>McHugh Development, Inc.</t>
  </si>
  <si>
    <t>(312) 850-4663</t>
  </si>
  <si>
    <t>Julie Norris</t>
  </si>
  <si>
    <t>(312) 720-1371</t>
  </si>
  <si>
    <t>PLEASE CONTACT JULIE FOR SHOWING INSTRUCTIONS @ 312-720-1371.</t>
  </si>
  <si>
    <t>THIS IS THE HOME YOUR CLIENT HAS BEEN LOOKING FOR! BEAUTIFUL HOME READY FOR BUYER!</t>
  </si>
  <si>
    <t>MARIGOLD</t>
  </si>
  <si>
    <t>IRVING PARK RD - W OF BARRINGTON RD - S TO EAST AVENUE - TO MARIGOLD LANE</t>
  </si>
  <si>
    <t>HANOVER GARDENS</t>
  </si>
  <si>
    <t>Great ranch offers 2 BRs on main level, 2 BRs in Bsmt &amp; 2 full bathrooms.. lots of space! However property is being sold as is! Buyer to pay for village of Hanover Park Transfer stamp tax. Earnest money must be Certified funds.  seller looking for a cash offer.</t>
  </si>
  <si>
    <t>Crosstown Realty</t>
  </si>
  <si>
    <t>(847) 640-9530</t>
  </si>
  <si>
    <t>Arcenio Salinas</t>
  </si>
  <si>
    <t>FMAC / Homesteps</t>
  </si>
  <si>
    <t>Seller looking for cash offers  Please send all offers to arcenio@crosstown-realty.com  Please to include FMAC forms in additional info tab along with pre approval / prequel letter with all initial offer</t>
  </si>
  <si>
    <t>Arbor</t>
  </si>
  <si>
    <t>Rt 34 to Arbor S</t>
  </si>
  <si>
    <t>282X188X264X189</t>
  </si>
  <si>
    <t>Nice cape cod style home that sits on 1.18 acres. Very spacious home with nice room sizes. 4 bedrooms and 2 1/2 baths. New carpet and paint throughout. Close to the Fox river and Metra park and ride. Large deck off back of home for your outdoor enjoyment. NO PERSONAL PROPERTY INCL. This is a Fannie Mae HomePath Property.</t>
  </si>
  <si>
    <t>call centralized showing at 877-977-1010</t>
  </si>
  <si>
    <t>ALL OFFERS MUST BE SUBMITTED USING THE HOMEPATH ONLINE OFFER SYSTEM AT WWW.HOMEPATH.COM. PAPERWORK FOUND IN ADDITIONAL INFO. TO SUBMIT OFFER.</t>
  </si>
  <si>
    <t>40W665</t>
  </si>
  <si>
    <t>FOX CREEK</t>
  </si>
  <si>
    <t>RT 64 W OF RANDALL TO LAFOX (L) TO FOX CREEK (R) TO HOME</t>
  </si>
  <si>
    <t>110X150</t>
  </si>
  <si>
    <t>This is a SPECTACULAR Fox Creek residence &amp; is sited on the BEST lot backing to OPEN SPACE for Amazing Views &amp; Privacy! Featuring the ABSOLUTE finest upgrades &amp; amenities thru-out! Designer lighting, extensive millwork, hardwood floors (1st &amp; 2nd floor), custom niches &amp; built-ins. Gourmet kitchen w/Viking, Thermador, oversized island &amp; pantry. Luxurious master bedroom, bath &amp; dream closet! Sun Room &amp; Trex deck..!</t>
  </si>
  <si>
    <t>Nature Preserve Adjacent, Landscaped Professionally, Park Adjacent</t>
  </si>
  <si>
    <t>Humidifier, Security System, Sump Pump</t>
  </si>
  <si>
    <t>2.5%-$200 + $5K BROKER BONUS FOR CONTRACT BY 12/31/14 (on Net SP)</t>
  </si>
  <si>
    <t>Pulver</t>
  </si>
  <si>
    <t>This home is SOOO beautiful! Sellers have put SOOO much $$$ into this home after they bought new construction!!  $5000 bonus to agent who brings contract by 12/31/2014! HoHoHo!!!</t>
  </si>
  <si>
    <t>Pulaski Rd to 67th. West to Keeler South to property</t>
  </si>
  <si>
    <t>Great Cape Cod with 4 bedrooms and 2 baths awaits your savvy buyer or investor to bring it back to life. Newer windows, roof and doors. CB electric and A/C. 2 car garage. Great yard for summer gatherings. Sold As-Is.</t>
  </si>
  <si>
    <t>2010 R.E. Foreclosure LLC</t>
  </si>
  <si>
    <t>NOT A SHORT SALE. QUICK CLOSE.</t>
  </si>
  <si>
    <t>83RD. STREET TO TRHOOP, THROOP TO ADDRESS</t>
  </si>
  <si>
    <t>WOW!!! HUGE MAGNIFICENTLY REMODELED BRICK CAPE COD W/4 BDRMS &amp; 2.5 BATHS FT: NEW ESPRESSO KITCHEN CABINETS W/ISLAND, EXOTIC GRANITE TOPS, BACKSPLASH &amp; NEW SS APPLIANCES. NEW BATHS W/JACUZZI, EUROPEAN SHOWER, CUSTOM TILES DESIGNS &amp; MODERN VANITIES. CUSTOM MOLDINGS/TRIMS, RECESSED LIGHTING. GLEAMING HARDWOOD FLOORS THROUGHOUT. FULL FINISHED BASEMENT WITH HUGE FAMILY ROOM, WET BAR &amp; ADDT'L BED/BATH AND MUCH MORE!!!!!!</t>
  </si>
  <si>
    <t>Whirlpool, Double Sink, European Shower</t>
  </si>
  <si>
    <t>Augusta to Francisco, South to 835</t>
  </si>
  <si>
    <t>Expertly Conceived Renovation of a Chicago Classic off Booming California Corridor* 4Bdrm/3.1 Bath Single Family Home *Full Brick*Bay Window* Stained Oak Flooring*True Chef's Kitchen w/Beverage Cooler &amp; Built-Ins*Modern Shaker Cabinets*Full Backsplash* Fireplace*Fine Detail w/ Wallpaper &amp; Tile Accents* Three Bedrooms on Second Level with Laundry* Full Lower Level Family Room* Rear Deck with Full Yard* 2 Car Garage!</t>
  </si>
  <si>
    <t>E-mail for specifications.</t>
  </si>
  <si>
    <t>SOUTH CHICAGO SE/SW TO 85TH ST EAST TO LUELLA, NORTH TO 8443</t>
  </si>
  <si>
    <t>Fantastic 4 bedroom, 2 bathroom brick bungalow.  Large rooms and a formal dining room.  This home has been rehabbed.  Newly finished hardwood flooring, freshly painted, new appliances and mechanicals.  Walking distance to transportation and shopping! See attachment for PAS requirements and WFHM offer submittal information in MLS document section.</t>
  </si>
  <si>
    <t>See attachment for PAS requirements and WFHM offer submittal information in MLS document section.  FAX OR EMAIL OFFERS.</t>
  </si>
  <si>
    <t>7336 B</t>
  </si>
  <si>
    <t>Rt 34</t>
  </si>
  <si>
    <t>Rt 34 west or Orchard to Dove Hill on the left</t>
  </si>
  <si>
    <t>255X518X210X472</t>
  </si>
  <si>
    <t>Tucked away on 2.57 secluded acres, w/210' of Fox River Frontage, is this once in a lifetime opportunity! Completely transformed into a luxurious cottage w/an open family room divided by a fieldstone FP, Gourmet kitchen, &amp; Dining Rm, &amp; 1st floor Master Bedroom w/luxurious bath, all w/river views! An office, studio, &amp; 3 additional bedrooms complete the home. Can be purchased alone or with 7336A Rt 34 MLS#08744922.</t>
  </si>
  <si>
    <t>23X26</t>
  </si>
  <si>
    <t>Water Rights, Street Paved</t>
  </si>
  <si>
    <t>Oven/Range, Microwave, Dishwasher, High End Refrigerator</t>
  </si>
  <si>
    <t>Separate Shower, Double Sink, Double Shower, Soaking Tub</t>
  </si>
  <si>
    <t>River Front</t>
  </si>
  <si>
    <t>Game Room, Mud Room, Office, Sewing Room, Walk In Closet</t>
  </si>
  <si>
    <t>Cedar, Shakes</t>
  </si>
  <si>
    <t>Deck, Storms/Screens, 2 Houses</t>
  </si>
  <si>
    <t>Off Street, Side Apron, Driveway</t>
  </si>
  <si>
    <t>33X11</t>
  </si>
  <si>
    <t>2.5% -$150.00 (on Gross SP)</t>
  </si>
  <si>
    <t>Call LA to schedule 630-253-2997</t>
  </si>
  <si>
    <t>Walton</t>
  </si>
  <si>
    <t>Austin Blvd. to Augusta. E to Monitor. S to Walton. W to property.</t>
  </si>
  <si>
    <t>beautifully rehabbed 2 story plus finished attic.  Owner spared no expenses.  Spacious home w/ one of a kind master suite w/ Jacuzzi tub &amp; walk in shower.  Heated bath floor.  2nd bath on 2nd level plus nice guest rooms.  3rd bed has carpeting.  4th bed in finished attic. Kitchen has its own separate eating/dining area. Spacious LR/FR &amp; bath on 1st fl. Double lot w/ 2c garage w/ mud room over garage. private back yar</t>
  </si>
  <si>
    <t>Vaulted/Cathedral Ceilings, Skylight(s), Wood Laminate Floors, Heated Floors, 1st Floor Full Bath</t>
  </si>
  <si>
    <t>Baker-Spencer Realty, LLC</t>
  </si>
  <si>
    <t>(773) 887-3077</t>
  </si>
  <si>
    <t>Gloria Spencer-McGee</t>
  </si>
  <si>
    <t>use showing assist and call LA  773 673 7347</t>
  </si>
  <si>
    <t>LEGAL OOR</t>
  </si>
  <si>
    <t>Classic Character in this North Austin beauty.  Live near Oak Park and enjoy all its amneties without paying the Oak Park taxes.  Park the car and walk to  hospital, transportation, dining, &amp; more. closing costs assistance. A/C installed</t>
  </si>
  <si>
    <t>Fox Hollow</t>
  </si>
  <si>
    <t>Cuba Rd West of 59 to Fox Hollow south. Second house on the left</t>
  </si>
  <si>
    <t>LARGE CUSTOM HOME</t>
  </si>
  <si>
    <t>390X276</t>
  </si>
  <si>
    <t>Great opportunity for a buyer that seeks value! Live in a home valued in the mid $900's with huge chef's kitchen, updated granite and creamy cabinets.Each bedroom connects to a bath, while convenience is yours with second floor laundry. Smashing L/L is finished with fireplace, spa bath and bar.Fin bonus room and large fin media room allows so much home for the money! 9ft ceilings first floor, generous room sizes! WOW</t>
  </si>
  <si>
    <t>Water-Softener Owned, Central Vacuum, Security System, Intercom, Ceiling Fan, Sump Pump, Backup Sump Pump</t>
  </si>
  <si>
    <t>Bonus, Eating Area, Exercise Room, Foyer, Media Room, Recreation Room, Study</t>
  </si>
  <si>
    <t>Vaulted/Cathedral Ceilings, Bar-Wet, Hardwood Floors, In-Law Arrangement, 2nd Floor Laundry, 1st Floor Full Bath</t>
  </si>
  <si>
    <t>59X16</t>
  </si>
  <si>
    <t>Call showing desk at 855.746.9020</t>
  </si>
  <si>
    <t>Howard St. West of Milwaukee ave to Octavia to home</t>
  </si>
  <si>
    <t>LOCATION AND CONDITION COMBINED MAKE THIS A GREAT VALUE!  SOLID  ALL BRICK 3 BEDROOM,  2 BATH RANCH  WITH ENCLOSED BACK PORCH AND 2 CAR GARAGE. NEWER UPDATES INCLUDE ROOF (2012), FULL BATH W/WHIRLPOOL (2013), FURNACE (2005), A/C (2005).  HARDWOOD FLOORS IN LR, AND BDRMS. MOVE RIGHT IN AND MAKE THIS ONE YOUR OWN.  ADORABLE AND AFFORDABLE!!! DON'T DELAY. Sellers Motivated!!!!!</t>
  </si>
  <si>
    <t>Charmaine Wagenaar</t>
  </si>
  <si>
    <t>Call or Text LA / 630-302-9385 - 3 hour notice</t>
  </si>
  <si>
    <t>HOME TO BE SOLD "AS ".</t>
  </si>
  <si>
    <t>Route 25 to Stonehedge to Persimmon left to house</t>
  </si>
  <si>
    <t>143X254X115X198X45X47X48</t>
  </si>
  <si>
    <t>Exquisite French Country home backing to St.Charles CC w/over 5000 sq.ft. of living space! Dream kitchen w/cherry cabs.,SS appls.,granite, 2 huge islands &amp; pantry! 1st flr. master w/luxury bath &amp; huge 22x10 closet! Features include hwd.flrs., trim work, built-ins, skylights,  &amp; 2nd flr. bonus rm.!  4.2 baths, 3 FPs, 4 car garage &amp; finished basement! Beautiful landscaping, brick paver patio, and screened gazebo! WOW!</t>
  </si>
  <si>
    <t>Oven/Range, Microwave, Dishwasher, Refrigerator, Washer, Dryer, Disposal, Compactor-Trash, All Stainless Steel Kitchen Appliances, Wine Cooler/Refrigerator</t>
  </si>
  <si>
    <t>Humidifier, Central Vacuum, Security System, Intercom, Ceiling Fan, Sump Pump, Sprinkler-Lawn, Backup Sump Pump, Radon Mitigation System(s)</t>
  </si>
  <si>
    <t>Bonus, Den, Exercise Room, Foyer, Play Room, Walk In Closet</t>
  </si>
  <si>
    <t>Balcony, Gazebo, Brick Paver Patio</t>
  </si>
  <si>
    <t>Please use 6.0 contract. Sinks in master bath will be removed and replaced.</t>
  </si>
  <si>
    <t>South on Damen, West on 64th, South on Seeley to property</t>
  </si>
  <si>
    <t>24X126</t>
  </si>
  <si>
    <t>Quaint bungalow in West Englewood. 4 bed, 2 bath. Ready for your tool belt &amp; ideas! Customize your next home. Property is close to public transportation, schools, amenities &amp; more! This is a Fannie Mae HomePath property.</t>
  </si>
  <si>
    <t>Zoned</t>
  </si>
  <si>
    <t>Call LA 773-235-0111. Waiver REQUIRED to access property.</t>
  </si>
  <si>
    <t>Property is now under auction terms. Pre-sale bids should be submitted through www.hudsonandmarshall.com. Property is subject to a 5% buyer's premium pursuant to the Auction Terms &amp; Conditions (minimums may apply). Commission may change, so</t>
  </si>
  <si>
    <t>Viking</t>
  </si>
  <si>
    <t>Wilson E to prarie S to Pine E to Viking Ct. or Kirk S of Wilson to Pine W to Viking Ct.</t>
  </si>
  <si>
    <t>45X131X146X146</t>
  </si>
  <si>
    <t>Beautiful home on cul-de-sac. Enjoy the private back yard &amp; brick patios from your screened porch. Interior, warm and family orintated w/crown molding throughout.  4 very liveable levels w/sub basement for additional storage.Kitchen w/hardwood, granite&amp; glass front cabinates</t>
  </si>
  <si>
    <t>Robert Riley</t>
  </si>
  <si>
    <t>(630) 842-4208</t>
  </si>
  <si>
    <t>Call Showing Time 855-746-9100</t>
  </si>
  <si>
    <t>Eliot</t>
  </si>
  <si>
    <t>Golf &amp; Rohrssen S. to Bode W. to Brittany N. to Eliot W.</t>
  </si>
  <si>
    <t>Country Trails</t>
  </si>
  <si>
    <t>67X130</t>
  </si>
  <si>
    <t>Nice clean home with newer hardwood floors, granite countertops, marble floors, upgraded lighting with dimmers &amp; security system. 2story foyer with large front window for natural lighting! Master bedroom with vaulted ceiling and walk in closet. Good size brick patio. New siding &amp; roof 2009. Good size back yard and fully fenced! Nicely landscaped. Great location near highway and shopping.</t>
  </si>
  <si>
    <t>Kenneth Lemberger</t>
  </si>
  <si>
    <t>(630) 205-8340</t>
  </si>
  <si>
    <t>630-980-4440</t>
  </si>
  <si>
    <t>CALL OFFICE-EASY TO SHOW</t>
  </si>
  <si>
    <t>Southwind</t>
  </si>
  <si>
    <t>Heading North on Western, right on Gentle Breeze Terrace. Left on Riversview, Right on Southwind.</t>
  </si>
  <si>
    <t>63X100X61X100</t>
  </si>
  <si>
    <t>Home being sold "As-Is!" There is mold along the baseboard and drywall throughout the basement from Sump Pump failure in the past. Rehab property with Aggressive Pricing, Lowest Priced home in the neighborhood! Pursuant to Short Sale with experienced short sale team. 2 Bedrooms on the main level, 3 on the lower. Could be turned into a large family room in basement and 4 bedroom home. Large 2.5 car detached garage.</t>
  </si>
  <si>
    <t>Weichert, Realtors - Goodchild Homes</t>
  </si>
  <si>
    <t>(847) 670-1500</t>
  </si>
  <si>
    <t>Joe Tortorici</t>
  </si>
  <si>
    <t>(847) 670-1500x115</t>
  </si>
  <si>
    <t>Do Not Use Showing Assist. Please Call/Text Joe Tortorici. All Showings must be Confirmed 8473632884</t>
  </si>
  <si>
    <t>CC: Pursuant to Short Sale. Pursuant to Short Sale with and Experienced Short Sale Team. Home being sold "As-Is." All offers to be sent to jgtorto@gmail.com</t>
  </si>
  <si>
    <t>Route 30 West of Orchard to Gordon South to Secretariat Ln Right to 3140</t>
  </si>
  <si>
    <t>77 X 128</t>
  </si>
  <si>
    <t>2 Story Foyer leads to Open Floor Plan! Beautiful Laminated Floors thru-out the main level. Spacious LR can be Office, Separate DR off Kitchen which features: Center Island, Cherry Cabinets, SS Appl's, and large Breakfast area! Br's 3&amp;4 have walk-in closets. Large MBR has Huge Walk-in &amp; Luxury Bath. Metal Balisters on Stairway. Finished Bsmt has the Matrix System walls (mold &amp; water proof) Stamped patio w/Firepit.</t>
  </si>
  <si>
    <t>Humidifier, TV-Cable, TV-Dish, Security System, CO Detectors, Ceiling Fan, Sump Pump</t>
  </si>
  <si>
    <t>Click Showing Assist ~ Must Confirm, Dog ~ 2 hr notice</t>
  </si>
  <si>
    <t>Highland to Trinity Terrace, N2 Valley Creek, E2 Shenandoah, N2 your new home</t>
  </si>
  <si>
    <t>70 X 115</t>
  </si>
  <si>
    <t>Great Valley Creek subdivision. Near Randall Road, shopping, dining, Metra. Freshly painted, new lighting, most windows 2013. Four bedrooms including  master w/private bath; 2nd bedroom has access to hall bath. Sun room addition with slider to deck and landscaped yard. Full basement is partially finished. Two-car garage. Lots of space! Priced to move.</t>
  </si>
  <si>
    <t>2.5-$125 (on Net SP)</t>
  </si>
  <si>
    <t>Eileen Price, SFR</t>
  </si>
  <si>
    <t>(630) 232-3929</t>
  </si>
  <si>
    <t>630-638-9909</t>
  </si>
  <si>
    <t>Click Showing Assist below for easy confirmation.</t>
  </si>
  <si>
    <t>Full basement; crawl only under sunroom addition.</t>
  </si>
  <si>
    <t>CAMDEN</t>
  </si>
  <si>
    <t>RT 34/RT 71 To PLAINFIELD RD S To GROVE RD Rt To MORGAN VALLEY DR W ON CAMDEN N</t>
  </si>
  <si>
    <t>NEW Granite in Kitchen! Custom Deerpath Creek 4Bed Rm Home! Fin Rec Rm &amp; 2nd FL Bonus/Play Rm! New Carpet/Fresh Paint!. NEW Granite &amp; Stainless Sink in Kit! Fam Rm w/Vaulted Ceiling &amp; Fireplace! MBR w/Whirlpool &amp; Sep Shower! Stained Trim &amp; 6 Panel Doors. NEW Ext Doors! 2S Foyer. Wood Casement Windows! Full Bsmt w/Rec Rm,Game Area,Workshop &amp; Addit Storage. Huge Custom Deck! Sprinkler SYS &amp; Extensive Landscaping!</t>
  </si>
  <si>
    <t>Humidifier, Water-Softener Owned, CO Detectors, Ceiling Fan, Sump Pump, Sprinkler-Lawn, Backup Sump Pump</t>
  </si>
  <si>
    <t>Breakfast Room, Game Room, Play Room, Recreation Room</t>
  </si>
  <si>
    <t>www.findingahome.com</t>
  </si>
  <si>
    <t>Use Showing Link - 2 Hr Notice Please</t>
  </si>
  <si>
    <t>Immaculate Home That is in move in condition.  Nothing to do here! Great Lot! Motivated Seller.</t>
  </si>
  <si>
    <t>LOGAN SQUARES NEWEST DEVELOPMENT "THE ARTISAN COLLECTION" BY NOAH PROPERTIES***FEATURING 14 ELEGANTLY DESIGNED SINGLE FAMILY HOMES***OPEN BRIGHT FLOOR PLAN, GOURMET KITCHENS, LARGE BEDROOMS, LUXURIOUS MASTER BATHS, HARDWOOD FLOORS, CUSTOM APPOINTED FINISHES, FIREPLACE, HIGH QUALITY APPLINACES, BEAUTIFUL MILLWORK AND EXPERT CRAFTSMANSHIP. DELIVERY SPRING 2015. PLEASE CONTACT LISTING AGENTS FOR FURTHER INFORMATION.</t>
  </si>
  <si>
    <t>EMAIL BRIAN@SERGIOANDBANKS.COM OR MELISSA@SERGIOANDBANKS.COM/OPEN SAT 11-2</t>
  </si>
  <si>
    <t>2635 MEDILL LLC #2348885. EMAIL LISTING AGENTS FOR MORE INFORMATION. DELIVERY SPRING 2015. PICTURES ARE OF SIMILAR HOMES THAT HAVE SOLD LAST YEAR. FLOOR PLANS AND ROOM DIMENSIONS ARE SUBJECT TO CHANGE WITHOUR NOTICE.</t>
  </si>
  <si>
    <t>State (IL 31) west on Highland</t>
  </si>
  <si>
    <t>127X177X124</t>
  </si>
  <si>
    <t>4 bedroom, 2 bath home with a full basement.</t>
  </si>
  <si>
    <t>Lagestee-Mulder Rlty &amp; Inv.</t>
  </si>
  <si>
    <t>(630) 325-8338</t>
  </si>
  <si>
    <t>Tad Lagestee</t>
  </si>
  <si>
    <t>(708) 713-2211</t>
  </si>
  <si>
    <t>Contact Martha Winter 630-560-2902</t>
  </si>
  <si>
    <t>Please contact Martha Winter for showings and questions. 630-560-2902 or MARTHA@LMTEAM.COM</t>
  </si>
  <si>
    <t>Laramie to Berenice, west to property</t>
  </si>
  <si>
    <t>Rare 1923 vintage bungalow has original charm/character preserved: wdwork, crown molding, sconces, stained glass, leaded bkcase, hdwd flrs.  2 Brs + tandem on main. Sec flr finished with 2 Brs + space for play/media/office. Updated kitchen w/mixture of classics. Clean, dry, unfin bsmt w/8' ceilings, kitchen mechanicals, sep. entr. Tranquil backyd w/mature Colorado spruce.  Orig. owner. Estate sale. Portage Park gem!</t>
  </si>
  <si>
    <t>Enclosed Porch, Foyer, Loft, Tandem Room</t>
  </si>
  <si>
    <t>Porch, Grill-Outdoors</t>
  </si>
  <si>
    <t>Pontarelli Associates</t>
  </si>
  <si>
    <t>(773) 631-6121</t>
  </si>
  <si>
    <t>Claire Deane, SRES</t>
  </si>
  <si>
    <t>(773) 573-0238</t>
  </si>
  <si>
    <t>773-573-0238</t>
  </si>
  <si>
    <t>Listing agent must accompany.</t>
  </si>
  <si>
    <t>Ideal transportation options...Irving Park Bus to METRA, Blue Line, near Xpressway.  Walk/jog to Portage Park (Olympic size pool).  Close to Six Corners...restaurants/shopping/ theater.  Estate Sale.</t>
  </si>
  <si>
    <t>Marguerite</t>
  </si>
  <si>
    <t>RT 20 TO RT 31 N TO MORGAN W TO MARGUERITE S TO 514</t>
  </si>
  <si>
    <t>SHORT SALE ALLOW AMPLE TIME FOR A RESPONSE FROM THE BANK. GREAT LOCATION!!! WEST SIDE HOME WITH 4 BEDROOM, FINISHED BASEMENT, FENCED BACKYARD AND 1 CAR DETACHED GARAGE. HOME IS BEING SOLD IN AS-IS CONDITIONS.  EM MUST BE IN CERTIFIED FUNDS, TAXES AT 100%, PRE-QUAL OR POF REQUIRED WITH ALL OFFERS.</t>
  </si>
  <si>
    <t>Class Realtors</t>
  </si>
  <si>
    <t>(847) 697-4069</t>
  </si>
  <si>
    <t>Ignacio Alvarez</t>
  </si>
  <si>
    <t>(847) 754-5950</t>
  </si>
  <si>
    <t>USE SHOWING ASSIST, 24 HRS IN ADVANCE PLEASE.</t>
  </si>
  <si>
    <t>CC: Pursuant to Short Sale. IF CC IS REDUCED BY THE BANK, WE'LL SPLIT 50/50.</t>
  </si>
  <si>
    <t>Foxgrove</t>
  </si>
  <si>
    <t>Rt. 64 to 31 North to Reserve Dr., West to Foxgrove, North to home.</t>
  </si>
  <si>
    <t>RESERVE OF ST. CHARLES</t>
  </si>
  <si>
    <t>108X167</t>
  </si>
  <si>
    <t>Brand new custom home w/gleaming hardwood floors, high ceilings, 8' doors, spacious &amp; open entry on 1st floor. Gourmet kitchen w/island, granite tops, custom vent fan, butlers pantry &amp; much more. Luxury master suite, large den or 1st floor bedroom. Deep pour basement, perfect for media or rec rm. Oversized 3-car garage.4-full bathrms. Walk to St. Charles North. Custom fireplace.</t>
  </si>
  <si>
    <t>Den, Foyer, Utility Room-1st Floor</t>
  </si>
  <si>
    <t>Vaulted/Cathedral Ceilings, 1st Floor Laundry, 2nd Floor Laundry</t>
  </si>
  <si>
    <t>Transmitter(s), 7 Foot or more high garage door</t>
  </si>
  <si>
    <t>3%-$225 (on Net SP)</t>
  </si>
  <si>
    <t>(630) 653-1900</t>
  </si>
  <si>
    <t>Fred Nelson</t>
  </si>
  <si>
    <t>(630) 868-6336</t>
  </si>
  <si>
    <t>cell 630-248-4293</t>
  </si>
  <si>
    <t>Call listing office for appointment 630-653-1900 ext.0</t>
  </si>
  <si>
    <t>Laundry on 2nd floor or 1st floor. Basement bath roughed-in. Extra kitchen lights.</t>
  </si>
  <si>
    <t>MELROSE</t>
  </si>
  <si>
    <t>Belmont Ave 1 block N on Austin Ave  W  2 Home</t>
  </si>
  <si>
    <t>CLASSIC OCTAGON</t>
  </si>
  <si>
    <t>Registered historic brick octagon bungalow with enclosed porch and brick 2 car garage. Beautiful all original woodwork throughout, plaster crown moldings and fireplace. Newer windows, roof, water heater, nice looking hardwood floors under the carpet. Full spacious 52 x 24ft. basement w/ laundry and 2 storage rooms waiting for new owner.</t>
  </si>
  <si>
    <t>Gas, Hot Water/Steam, Space Heater/s</t>
  </si>
  <si>
    <t>TV Antenna, CO Detectors, Ceiling Fan</t>
  </si>
  <si>
    <t>call LA 773 655 7597</t>
  </si>
  <si>
    <t>Organs and TV is excluded.</t>
  </si>
  <si>
    <t>30W721</t>
  </si>
  <si>
    <t>Army Trail</t>
  </si>
  <si>
    <t>RTE 59 TO ARMY TRAIL WEST TO HOME</t>
  </si>
  <si>
    <t>282X344</t>
  </si>
  <si>
    <t>TUCKED AWAY IN THE COUNTRY BUT CONVENIENT TO EVERYTHING! Remodeled home on over 2 acres w/2 stall barn/loft~circular driveway leads up to front porch~much updating has been done: New hardwood flooring throughout main floor~complete new kitchen w/granite &amp; SS appliances~2 new full baths~new furnace, paint, carpet &amp; much more...extensive paver work throughout property~in-ground pool~close to Pratt Woods~Great price!!</t>
  </si>
  <si>
    <t>Porch, Horse Barn/Pole Barn, Brick Paver Patio, Pool In-Ground, Storms/Screens, Outdoor Fireplace</t>
  </si>
  <si>
    <t>2.5%-$200+$1500 BUYER'S AGENT BONUS W/ACCEPTED CONTRACT BY 1/15/15!! (on Net SP)</t>
  </si>
  <si>
    <t>Pool is non-operational. Seller has cost to repair estimate from pool contractor 0f $10K. $1500 agent bonus w/accepted contract by 1/15/15!!</t>
  </si>
  <si>
    <t>On West Augusta Blvd. Turn South onto N Drake Ave.</t>
  </si>
  <si>
    <t>Showing 2/28 from 9:30 am-10:00 am. MULTIPLE OFFERS RECEIVED. Highest and best requested by 3/1/15 at 3:00 pm. Price recently reduced to reflect completed Bank appraisal! Lovely cared for large Brick Single Family Home in Humboldt Park. Large Kitchen space. Move-in condition with great potential. 4 beds/2 baths. 3rd bathroom in basement needs some repairs. Brick Garage. Pursuant to Short Sale. Sold As-Is. No Survey.</t>
  </si>
  <si>
    <t>Miguel A Nogueras, AHWD,SRS</t>
  </si>
  <si>
    <t>(773) 851-6154</t>
  </si>
  <si>
    <t>Use "Schedule a Showing" link below. 24 hour notice requested</t>
  </si>
  <si>
    <t>CC: Pursuant to Short Sale. Sold As-Is. Bank appraisal completed. Submit offers with attached disclosures and short sale addendum under additional info to: sheianderson@cbzhomes.com. Any commission reduction is to be split 50/50 between agents.</t>
  </si>
  <si>
    <t>Barrington Rd N of Lake, S of Irving Park to Walnut, E to home</t>
  </si>
  <si>
    <t>66 X 127 X 64 X 127</t>
  </si>
  <si>
    <t>Awesome family home has been customized and lovingly cared for. Fireplace, cabinetry &amp; crown molding in living room, archway to kitchen area w/expanded dining area &amp; sunroom. Custom closets &amp; pendants in master. Rare lower lev full bath. 4 BR, 2  new, full baths, fin lower level w fam rm &amp; ldy. New upper roof, sump, carpet in 2 upstairs BR. Large yard w shed.  Schaumburg HS dist 211, elem/mid sch dist 54</t>
  </si>
  <si>
    <t>Call Troy, 630-564-7310, Must Confirm</t>
  </si>
  <si>
    <t>Lowell</t>
  </si>
  <si>
    <t>RT 25 TO GOLFVIEW LN TO TEE LN TO LOWELL SOUTH</t>
  </si>
  <si>
    <t>66 X 100</t>
  </si>
  <si>
    <t>Spacious raised ranch with wood floors, finished lower level, screened porch, large yard! AS IS. PLEASE DO NOT TRY TO USE ELEVATOR. Information not guaranteed. No survey or disclosures. EM must be CERTIFIED funds.</t>
  </si>
  <si>
    <t>PLEASE DO NOT TRY TO USE ELEVATOR. Email offer, offer form in additional information, proof of funds/prequal to patti@pattifurman.com.</t>
  </si>
  <si>
    <t>Vermillion</t>
  </si>
  <si>
    <t>R ON GRANART.  L ON CENTER.  R ON VERMILLION</t>
  </si>
  <si>
    <t>Beautiful 2 story home in Lakewood Springs Sub. Property Features 4 bedrooms, 2.5 baths with a modern floor plan formal D/R w/ spacious family room connected to kitchen w/ island, SGD off kitchen to back yard,2 car attached garage,&amp; an unfinished Bsmt to add your personal Touches TAXES 100%.  This is a Fannie Mae HomePath property. Submit offers through HomePath BUYER IS RESPONSIBLE FOR PREVIOUS 6  MONTHS HOA FEES</t>
  </si>
  <si>
    <t>TAXES 100%.  Submit offers to homepath.com BUYER IS  RESPONSIBLE FOR PREVIOUS 6 MONTHS HOA FEES.  H&amp;B 3-7-15 @ 5p.m.</t>
  </si>
  <si>
    <t>Irving Park (4000) to Long (5400) South to Dakin (3932N) West to 5431.</t>
  </si>
  <si>
    <t>29 X 120</t>
  </si>
  <si>
    <t>PERFECT BRICK BUNGALOW 1 BLCK OFF PORTAGE PARK - INCRDBLE LOCATION. 4 BED/2BTH HOME W/ MNY UPDTES. NEW ELCTRC,PLMBNG,WNDWS, CNTRL HEAT/AIR.1ST FLR W/ BRGHT FAMLY RM- OPNS UP 2 LRG DNING RM. OPEN KTCHN W/ WLKIN PNTRY &amp; INCSLD PRCH. 2 BDRMS ON 1ST FLR W/ FULL BTH.  NEW 2ND FLR- LRG MST W/ HUGE FULL BTH. 2ND FLR FNISHED W/ 2ND BDRM &amp; STDY AREA. L/LEVL W/ FLL SZE FMLY RM W/ BAR &amp; WKR/LNDRY RM. INCRDBL BCKYRD W/ RM 2 RLAX</t>
  </si>
  <si>
    <t>Enclosed Porch, Recreation Room, Storage</t>
  </si>
  <si>
    <t>Bar-Dry, Hardwood Floors, Heated Floors, 1st Floor Bedroom, 1st Floor Full Bath</t>
  </si>
  <si>
    <t>24H KSTeamShowings@KoenigRubloff.com ONLY</t>
  </si>
  <si>
    <t>HOUSE WAS RENOVATED 2 YEARS AGO.  SEE ADDITIONAL INFO TAB FOR ALL WORK DONE/COSTS - FULL FLOOR PLAN.  GREAT STARTER THAT IS ONE BLOCK OFF THE PARK.  DEAL FELL THRU FROM A BUYERS WORK ISSUE</t>
  </si>
  <si>
    <t>Kirk Road to Pine Street West to Woodland Hills.  South to home.</t>
  </si>
  <si>
    <t>79X179X92X182</t>
  </si>
  <si>
    <t>A NEW HOME FOR THE HOLIDAYS! LOOKING FOR LOTS OF ROOM TO ROAM..YOU FOUND IT!  4 LEVELS OF LIVING SPACE. LARGE EAT-IN KITCHEN. SEPARATE DINING ROOM.  HARDWOOD FLOORS.  4 NICE SIZED BEDRMS.  DBLE SINK in BATH. LL FAMILY RM WITH CANNED LIGHTING &amp; EXT. ACCESS THRU LAUNDRY/MUD RM PLUS FINISHED REC RM IN SUB-BSMNT.  HUGE FENCED YARD.  EXTRA DEEP 2 CAR GAR.  EXPANSIVE DRIVEWAY.  DIST 101 SCHOOLS!  SS.  BRING ALL OFFERS!</t>
  </si>
  <si>
    <t>2.5% + $500 (on Net SP)</t>
  </si>
  <si>
    <t>Use Showing Assist or Call 855-746-9253 - Must Confirm.  Sorry no showings Saturday, Dec 4th.</t>
  </si>
  <si>
    <t>CC: Pursuant to Short Sale. "As is" - 100% Tax Proration - No Survey.  SS - Any Lender required commission reduction will be shared 50/50.  Room sizes are estimate.</t>
  </si>
  <si>
    <t>4N012</t>
  </si>
  <si>
    <t>Rt. 64 W. Of Rt. 47 to Meredith Rd. to property.</t>
  </si>
  <si>
    <t>1329X546X1327X541</t>
  </si>
  <si>
    <t>Horse lovers paradise! 15 acre ranch w/ 72'x36' pole barn has 5 stalls, (poss 9), tack rm-water and loft-2 paddocks, 2 pastures, 160x80 sand arena, all pvc 4 rail fenced &amp; gated,  kitchen w/ granite, eating area overlooks serene grounds, family room with fireplace and built ins. 1st flr master w/  luxurious master bath. 1st floor den, with built ins, large secondary bedrooms, w/guest suite, private bath &amp; jack-n-Jill</t>
  </si>
  <si>
    <t>Horse-Riding Area, Street Paved</t>
  </si>
  <si>
    <t>Horses Allowed, Landscaped Professionally, Paddock</t>
  </si>
  <si>
    <t>Den, Sun/Florida Room, Utility Room-1st Floor</t>
  </si>
  <si>
    <t>Vaulted/Cathedral Ceilings, Bar-Dry, Hardwood Floors, 1st Floor Bedroom, 1st Floor Laundry, 1st Floor Full Bath</t>
  </si>
  <si>
    <t>Patio, Horse Barn/Pole Barn, Storms/Screens</t>
  </si>
  <si>
    <t>3%-$150. (on Net SP)</t>
  </si>
  <si>
    <t>Relocation Docs to follow.  Please use 6.0 contract.</t>
  </si>
  <si>
    <t>W. on Rt.72 to Richard Brown Drive-turn right into community. Right on Wester ton Lighthouse to</t>
  </si>
  <si>
    <t>PARAMOUNT</t>
  </si>
  <si>
    <t>60X125</t>
  </si>
  <si>
    <t>Ready in Nov. Paramount floor plan is 3018 sq. ft. of awesome! The minute you pull up and see the welcoming porch you w Large family room off the huge kitchen with stainless steel appliances , upgraded cabinets plus the wood floors , including a separate formal dining room. Upstairs has 4 bedrooms with plenty of room for family plus a loft. Come enjoy the Cambridge lifestyle of our pools, clubhouse and fitness ctr</t>
  </si>
  <si>
    <t>Central Air, Energy Efficient Package, Basement, Garage, Hardwood/Ceramic Floors, Upgrade Carpet/Pad/Vinyl</t>
  </si>
  <si>
    <t>Come to sales office at 1331 Newport Ct to register client. Please call 8947-984-4883 for apt daily</t>
  </si>
  <si>
    <t>Open daily - PLEASE BRING CLIENT UPON FIRST VISIT.  Call for more information or for an appointment please call 847-984-4883. Ready to move in VA-FHA- Conventional  mortgages available. Ask us about our lender incentives!</t>
  </si>
  <si>
    <t>Cookson</t>
  </si>
  <si>
    <t>RT20 TO LONGCOMMON TO CRANSTON TO SETTLERS L TO COOKSON</t>
  </si>
  <si>
    <t>2 Story home featuring 4 bedrooms and den, oversize two-car garage and 9-foot first floor ceilings. Spacious gourmet kitchen is perfect for entertaining. Paver patio and a large backyard.Burlington Schools!100% tax proration, no survey or disclosures provided.For more information about HomePath homes and incentives, please visit HomePathcom. Room/Lot sizes are approx. POF strongly encouraged with all offers.</t>
  </si>
  <si>
    <t>Clubhouse, Other</t>
  </si>
  <si>
    <t>It is strongly encouraged that an offer includes proof of funds or Pre approval and is a requirement for seller's final acceptance. Fannie Mae offers NEED TO BE UPLOADED ON HomePathcom</t>
  </si>
  <si>
    <t>75TH</t>
  </si>
  <si>
    <t>PULASKI SOUTH OF 71ST TO 75TH EAST TO PROPERTY</t>
  </si>
  <si>
    <t>ARE YOU READY TO FALL IN LOVE? SOME OF THE HIGHLIGHTS OF THIS 4 BEDROOM (1 LOWER BEDROOM) KITCHEN (CHERRY CABINETS, STAINLESS APPL, GRNT COUNTERS, BACK SPLASH, HARDWOOD FLOORS) HARDWOOD FLOORS, CARPET &amp; A FULL FINISHED LOWER LEVEL. BATHROOMS FEATURE CUSTOM TILE WORK, ABSOLUTELY BEAUTIFUL!</t>
  </si>
  <si>
    <t>NORTH AVE TO CAMPBELL NORTH TO PROPERTY</t>
  </si>
  <si>
    <t>Hot west bucktown 2000 sq ft 95% remodeled, great kitchen w a high end stove, granite flr, newer windows, newer oak flrs, cathedral ceilings in bedrooms, marble bath w body sprays and steam shower, sliding glass doors of kitchen to deck, house needs a little tender loving care, priced really well.</t>
  </si>
  <si>
    <t>Oven/Range, Dishwasher, Dishwasher-Portable</t>
  </si>
  <si>
    <t>Marc Devereux</t>
  </si>
  <si>
    <t>(773) 968-7323</t>
  </si>
  <si>
    <t>CALL MARC SHORT NOTICE OK</t>
  </si>
  <si>
    <t>Leon</t>
  </si>
  <si>
    <t>Rt 59 to Roberts West to Circle Right to Tomahawk Right to Leon</t>
  </si>
  <si>
    <t>144X372X115X337</t>
  </si>
  <si>
    <t>Exciting tree top waterfront contemporary in beautiful, ever popular Tower Lakes. Sandy beach along shore, vacation feeling everyday. Dramatic entry, multi-level home with tons of glass, cathedral ceilings, skylights, wrap around deck, 2 master suites, 3.5 car garage, treehouse, gazebo w/4 sides of screens, set on quiet cul-de-sac. Enjoy all the amazing amenities of Tower Lakes.</t>
  </si>
  <si>
    <t>39X20</t>
  </si>
  <si>
    <t>Security System, Intercom, Ceiling Fan</t>
  </si>
  <si>
    <t>Foyer, Great Room</t>
  </si>
  <si>
    <t>Vaulted/Cathedral Ceilings, Skylight(s), Sauna/Steam Room, Bar-Wet, Hardwood Floors, In-Law Arrangement</t>
  </si>
  <si>
    <t>Balcony, Deck, Patio, Porch Screened, Gazebo, Grill-Outdoors</t>
  </si>
  <si>
    <t>Call 866-852-8313 to schedule appt. We are continuing to show</t>
  </si>
  <si>
    <t>We are continuing to show! Sauna "as is"--Water softener "as is" (owned)--  2nd refrigerator in garage stays</t>
  </si>
  <si>
    <t>BALLARD RD TO COMSTOCK DR</t>
  </si>
  <si>
    <t>Employees of Bank of America or its affiliates or subsidiaries are strictly prohibited from directly or indirectly purchasing any property owned by Bank of Amererica PROPERTY NEEDS WORK / BRING YOUR CONV. OFFERS OR CASH WITH PRE-APPROVAL / PROOF OF FUNDS / AS IS / 100% TAX PRORATION / NO SURVEY NOR DISCLOSURES / FAX OFFERS TO OFFICE</t>
  </si>
  <si>
    <t>708-656-4444</t>
  </si>
  <si>
    <t>USE SHOW ASSIT</t>
  </si>
  <si>
    <t>Higest, best and final due 12/1/14 at 1:00 pm</t>
  </si>
  <si>
    <t>HARLEM AV. TO 72ND ST. EAST TO HOME</t>
  </si>
  <si>
    <t>SPLIT LEVEL</t>
  </si>
  <si>
    <t>26 X 134</t>
  </si>
  <si>
    <t>READY TO MOVE IN, CUTE 4 BEDROOMS, 1.5 BATH.   3 BEDROOMS UPSTAIRS AND ADDITIONAL ONE IN THE LOWER LEVEL, GARDEN LEVEL. FORMAL DINING ROOM, NEW OAK KITCHEN CABINETS, GRANITE COUNTER TOP. COME AND SEE IT BEFORE IT IS TOO LATE.    BURBANK SCHOOL DISTRICT</t>
  </si>
  <si>
    <t>2.5%+ $500 BONUS BEFORE 10/31/14 -$225 ON NET SP (on Net SP)</t>
  </si>
  <si>
    <t>Ofelia Fonseca</t>
  </si>
  <si>
    <t>(773) 977-3443</t>
  </si>
  <si>
    <t>CALL L. AGENT FOR CODE 773-977-3443</t>
  </si>
  <si>
    <t>West on Armitage, South on Mozart to property.</t>
  </si>
  <si>
    <t>WEST BUCKTOWN/HUMBOLDT PARK! NEW CONST 4+BED 3.5 BATH, 2 CAR GAR SLEEK MODERN DESIGN WIDE OPEN FLOORPLAN/HIGH CEILINGS HW FLRS THRU-OUT. HIGH END KIT W/WHITE CUSTOM CABS,TOP OF THE LINE SS APP PACK, &amp; SILESTONE CTS. PORCELAIN TILED BTHS, SPACIOUS MSTR BTH W/HUGE SHOWER/ DBL BOWL VANITY. 2ND FLR BRâ€™S SHARE LG BTH W/ DBL VANITY &amp; SOAKER TUB. GREAT OUTDOOR SPACE ACCESS TO LG DECK OFF FAMILY RM.LOWER LEVEL MEDIA &amp; REC RM</t>
  </si>
  <si>
    <t>Delivery in the Fall. Photos are from a previous project (2703 W. Wabansia). No on-site showings until drywall is up. Northfield Group has successfully completed over 200 homes since 2001. Please bring your clients we'll make them happy!</t>
  </si>
  <si>
    <t>Ponchartrain</t>
  </si>
  <si>
    <t>Lehigh or Caldwell North from Devon or South from Touhy to Ponchartrain.</t>
  </si>
  <si>
    <t>60 X 118</t>
  </si>
  <si>
    <t>Stately all brick Colonial Home situated on a very attractive block of homes.  A two story addition was added to the original home 15 years ago.  This brought the home to today's lifestyle.  Expansive kitchen and family room w/ fireplace.  Doors open to the patio.  Four bedrooms with laundry on 2nd floor.  Three full baths on second floor.  Located conveniently to METRA and shopping a few blocks away.</t>
  </si>
  <si>
    <t>Exercise Room, Mud Room, Recreation Room</t>
  </si>
  <si>
    <t>Call Showing Assist</t>
  </si>
  <si>
    <t>Windows were replaced in the original part of the home in 1999. 1 GFA in 1999, 1 GFA in 2013, Roof in 1999. New hot water heater 2012.</t>
  </si>
  <si>
    <t>Natchez</t>
  </si>
  <si>
    <t>GRAND TO NATCHEZ GOING SOUTH</t>
  </si>
  <si>
    <t>BANK OWNED. SELLER DOES NOT PROVIDE SURVEY.  SOLD "AS IS".</t>
  </si>
  <si>
    <t>Felix Ruiz</t>
  </si>
  <si>
    <t>(773) 914-4040</t>
  </si>
  <si>
    <t>MORSE</t>
  </si>
  <si>
    <t>EAST ON PRATT TO RIDGE,NORTH ON RIDGE TO W.MORSE</t>
  </si>
  <si>
    <t>92X34</t>
  </si>
  <si>
    <t>Great opportunity to purchase this Fannie Mae/Homepath property.  This single family home has tons of potential.  Bring your ideas and make an offer today.  Canâ€™t beat this price for a single family home in Rogers Park.  Schedule your showing today before its gone.  All information estimate â€“ buyer to verify.</t>
  </si>
  <si>
    <t>REO ID: C130GT6 See additional information for contract package and instructions. All offers must be submitted on Homepath.com. Email all questions to JAMESONREO@GMAIL.COM. Use showing assist to schedule showings.</t>
  </si>
  <si>
    <t>KANEVILLE ROAD TO CAMBRIDGE, NORTH TO HOME</t>
  </si>
  <si>
    <t>FANNIE MAE HOMEPATH PROPERTY!  BEAUTIFUL HOME LOCATED IN PEPPER VALLEY!  OPEN AND BRIGHT WITH PLENTY OF SPACE FOR THE WHOLE FAMILY!  HOME FEATURES 4 BEDROOMS, 3.1 BATHS, LARGE KITCHEN W/ GRANITE COUNTER TOPS &amp; NEW SS APPLIANCES, HARDWOOD FLOORS THROUGHOUT, FINISHED BSMT, 3 CAR GARAGE, PRIVATE YARD &amp; PATIO, CONVENIENT LOCATION &amp; SO MUCH MORE!  MUST SEE!!</t>
  </si>
  <si>
    <t>Please see the attached docs. The seller has directed that all offers be made on Homepath.com.</t>
  </si>
  <si>
    <t>WESTERN TO PRATT; WEST TO ADDRESS</t>
  </si>
  <si>
    <t>26.5 X 140</t>
  </si>
  <si>
    <t>**SHORT SALE** PRICE IS NOT APPROVED AT THIS TIME. MOVE IS CONDITION SOLD AS IS. SUBJECT TO SHORT SALE APPROVAL OF SELLERS SATISFACTION. OPEN FLOOR PLAN W/4 LRG BEDS, 3.1 BATHS. KIT INCLUDES PROFESSIONAL GRADE APPS, DETAILED CABINETRY &amp; GRANITE COUNTERS. LARGE MSTR SUITE, MARBLE BATH, JACUZZI &amp; STEAM SHOWER. LOWER LEVEL FAM RM WET BAR &amp; FPL. BACK DECK &amp; YARD. PURCHASER MUST BE PREAPPROVED BY SELLERS PREFERRED LENDER.</t>
  </si>
  <si>
    <t>Balcony, Deck, Great Room</t>
  </si>
  <si>
    <t>Vinyl Siding, Brick, Limestone</t>
  </si>
  <si>
    <t>(312) 651-6363</t>
  </si>
  <si>
    <t>Stephanie Crosby</t>
  </si>
  <si>
    <t>(312) 550-0879</t>
  </si>
  <si>
    <t>CC: Pursuant to Short Sale. PURCHASER MUST BE PRE-APPROVED BY SELLERS PREFERRED LENDER. ATTORNEY IS HIGHLY EXPERIENCED IN NEGOTIATING SHORT SALES. TWO LOANS TO NEGOTIATE BOTH LOANS BOA.</t>
  </si>
  <si>
    <t>LINDER</t>
  </si>
  <si>
    <t>E/W ON DIVERSEY TO LINDER NORTH TO ADDRESS</t>
  </si>
  <si>
    <t>STUNNING 4BR PLUS DEN/3BA GUT REHAB. BEAUTIFUL CRAFTSMANSHIP THROUGHOUT W/CUSTOM WAINSCOTING AND MAHOGANY OAK WOOD FLOORS. OPEN FLOOR PLAN W/ SEPARATE DINING ROOM. MODERN KITCHEN W/GRANITE COUNTERTOPS,42"EXPRESSO CABINETS, SS APPLIANCES AND FRENCH DOORS THAT OPENS UP TO COVERED DECK AND SPACIOUS BACKYARD. CLOSING COSTS CREDIT AVAILABLE &amp; 3-YEAR WARRANTY INCLUDED WITH PRICE**! MUST SEE!!!</t>
  </si>
  <si>
    <t>Conventional, FHA, VA, Cash Only, Other</t>
  </si>
  <si>
    <t>2.5% -$275.00 (on Net SP)</t>
  </si>
  <si>
    <t>Catherine Pabatao</t>
  </si>
  <si>
    <t>(312) 401-7878</t>
  </si>
  <si>
    <t>OTHER OFF THE MARKET BUNGALOWS AVAILABLE IN THE PRE-CONSTRUCTION/REHAB PHASE. STILL HAVE TIME TO PICK FINISHES. PLEASE CONTACT ME FOR MORE INFORMATION.</t>
  </si>
  <si>
    <t>Division to Rockwell, North to 1342</t>
  </si>
  <si>
    <t>33.5 X 54</t>
  </si>
  <si>
    <t>Unique New Smart Tech Design! Ultra Modern New Construction Sustainable, Attainable SmartTech Home. Energy Star 3.0 Rated Highly Efficient Home- 4 Bdrm 3.1 Bath Single Family Home. LOBA Sealed Oak Hdwd Floors, Lo VOC Paint, Tankless H20, HRV System, Endless LEED Appointments, European Horizontal &amp; Glass Kitchen Cabinetry, Resort Spa Baths, Audio Pre-Wire, Fenced Yard, Attached &amp; Decked 1.5 Car Garage! Ready to Close!</t>
  </si>
  <si>
    <t>Common Grounds, Fenced Yard, Irregular</t>
  </si>
  <si>
    <t>Please contact for Open House details, floor plan and specifications- Virtual Tour of Actual Home! Ready for occupancy! Fourth Bedroom is flexible option- builder will include if requested- location noted on floor plan</t>
  </si>
  <si>
    <t>SANTA FE</t>
  </si>
  <si>
    <t>East of 25 -- North of Helm</t>
  </si>
  <si>
    <t>60 X 105</t>
  </si>
  <si>
    <t>TONS OF OPPORTUNITY IN THIS PROPERTY!! HARDWOOD FLOORS, TILED BATHROOM, LOADS OF NATURAL LIGHT &amp; SPACIOUS SIZED BEDROOMS. FENCED IN BACKYARD, TREE LINED STREET &amp; SHED**FANNIE MAE HOMEPATH PROPERTY~NO PERSONAL PROPERTY CONVEYED~BUYER PAYS ANY TRANSFER FEES**</t>
  </si>
  <si>
    <t>MULTIPLE OFFERS RECEIVED. UPLOAD H&amp;B TO HOMEPATH.COM BY 11/25/14 AT 12PM. INFO NOT GUARANTEED.  If property states UNDER CONTRACT, website will not allow uploads. Need help? 866-218-4446. Contract Package Attached. Atty holds EM</t>
  </si>
  <si>
    <t>King Drive to 73 St, east 1 blk to Vernon, so to 7426</t>
  </si>
  <si>
    <t>PARK MANOR</t>
  </si>
  <si>
    <t>Amazing Rehab! This home has it all! Hardwood floors stainless steel appliances full finished basement With plenty of space awesome full size baths  and beutiful cabinetry The open Concept is great for Entertaining or Quiet family time . A Must See!</t>
  </si>
  <si>
    <t>Leon Ivy</t>
  </si>
  <si>
    <t>(773) 708-7331</t>
  </si>
  <si>
    <t>Seller can close quickly. central air added at closing.</t>
  </si>
  <si>
    <t>DIVERSEY N TO LAWNDALE</t>
  </si>
  <si>
    <t>Brick Single Family Ranch. Hardwood floors through out home. 3BD/2BA. Full Finished basement with 1 below grade bedroom. Property contains 2-car garage with spacious yard for family gatherings. Home is near Kosciusko Park and public transportation. Also near local markets and restaurants.</t>
  </si>
  <si>
    <t>24 HR NOTICE EMAIL Crystal@newmanrealtyillinois.com @Jacie@newmanrealtyillinois.com</t>
  </si>
  <si>
    <t>This is a Fannie Mae HomePath Property. Offers must be submitted on Homepath.com.</t>
  </si>
  <si>
    <t>Rt 72 West to South St South</t>
  </si>
  <si>
    <t>140X73</t>
  </si>
  <si>
    <t>Tons of updates in this lovely split level home with 4 bedrooms and 1.5 baths. New roof, completely new furnace and duct work, new carpet and tile throughout the house, new paint, new granite countertops, stainless steel appliances and much more. This home has  eat in kitchen and lower level family rm.attached garage, shed and large fenced yard.</t>
  </si>
  <si>
    <t>2.5%-$150...PLUS $5000 BONUS TO ACCEPTED OFFER BY FEB. 20TH (on Net SP)</t>
  </si>
  <si>
    <t>(815) 708-7154</t>
  </si>
  <si>
    <t>Carinne Price-Kuehl</t>
  </si>
  <si>
    <t>(815) 751-5689</t>
  </si>
  <si>
    <t>Carinne Price Kuehl</t>
  </si>
  <si>
    <t>call or text Carinne 815-751-5689</t>
  </si>
  <si>
    <t>$5000 bonus for accepted offer by Feb 20, 2015</t>
  </si>
  <si>
    <t>Rockport</t>
  </si>
  <si>
    <t>Big Timber west of route 47 to Ridgecrest right to Cameron to Rockport</t>
  </si>
  <si>
    <t>67X135X64X143</t>
  </si>
  <si>
    <t>Like new popular Victoria open flr plan w/ island kitchen, grand foyer, 1st floor study &amp; full basmt  Stunning kitchen feat 42 inch cabs with marble look high end courian counters, recessd lighting, stainless French door fridge &amp; convec microwave, gorgeous hardwood floors in kitchen, hall,  foyer &amp; 1/2 bath, a  pretty fireplace with additional windows in fam rm and a front porch. Window trtms &amp; invis fence.</t>
  </si>
  <si>
    <t>Breakfast Room, Foyer, Study</t>
  </si>
  <si>
    <t>Porch, Dog Run &amp;/or Invisible Fence</t>
  </si>
  <si>
    <t>(847) 884-8870</t>
  </si>
  <si>
    <t>Patti Boulahanis</t>
  </si>
  <si>
    <t>(847) 230-7008</t>
  </si>
  <si>
    <t>call office 847-884-8870 x0</t>
  </si>
  <si>
    <t>Please make sure your apt is confirmed.  Large dog may be home if so he will be crated.</t>
  </si>
  <si>
    <t>Ainslie</t>
  </si>
  <si>
    <t>HARLEM TO AINSLIE West</t>
  </si>
  <si>
    <t>132 X 44</t>
  </si>
  <si>
    <t>RARE 4 BEDROOM Harwood Heights split level with finished English basement. Main floor addition with bedroom, family room/w fireplace and full bath.  Updated kitchen.   Newer appliances, all stay.  Large closets including cedar closet and floored attic storage.  All new copper pipes and newer roof (4yrs).  2.5 car garage. Maintenance-free exterior.  Maine South high school.  Walk to CTA. Great for commuting. Estate sa</t>
  </si>
  <si>
    <t>Eating Area-Breakfast Bar, Galley</t>
  </si>
  <si>
    <t>Rozanski Realty</t>
  </si>
  <si>
    <t>(630) 904-8438</t>
  </si>
  <si>
    <t>Brad Moss</t>
  </si>
  <si>
    <t>(630) 579-5925</t>
  </si>
  <si>
    <t>(630)244-2777</t>
  </si>
  <si>
    <t>no more showings at this time</t>
  </si>
  <si>
    <t>Estate sale. fast close. All disclosures on MLS. Email offers to brad@teammoss.com</t>
  </si>
  <si>
    <t>pulaski NORTH to 71st Place EAST to property</t>
  </si>
  <si>
    <t>GREAT SINGLE FAMILY HOME WITH SO MUCH POTENTIAL! HOME NEEDS SOME TLC. PROPERTY SOLD AS-IS, TAXES PRORATED AT 100%. Property is available for Owner Occupants only during the Freddie Mac First Look Initiative that expires 11/04/2014**Please be advised there is a verbally accepted offer as of 11/14/2014**</t>
  </si>
  <si>
    <t>Email offers directly to arce0417@YAHOO.COM -Must include: Cover Sheet, Addendum, and Preapproval/POF provided in Add Info. As-Is Sale, taxes prorated 100%. E.M. must be Cashier's Check. H&amp;B due 11/5/14 5pm!!* VERBALLY ACCEPTED OFFER*</t>
  </si>
  <si>
    <t>Pratt to Whipple. Whipple to 6606</t>
  </si>
  <si>
    <t>121 X 33</t>
  </si>
  <si>
    <t>West Rogers Park English style bungalow needs a rehabber or builder to finish this project. House gutted down to the studs.  Proposed 4 bedroom, 4 bath home when completed.  Plans will be included with sale and permits are already applied for. Buy it, work on it for the next few months &amp; bring it to market in time for Spring! Room sizes quoted are approx. &amp; taken from the plans. Cash offers only.  Sold as is.</t>
  </si>
  <si>
    <t>Susan Oleksy</t>
  </si>
  <si>
    <t>(773) 467-5320</t>
  </si>
  <si>
    <t>Use ShowingAssist for easy instructions</t>
  </si>
  <si>
    <t>Sold as is.  House is gutted down to studs. If showing in evening bring a flashlight!  Architect drawings in listing office. Make an appointment with listing agent to come to office &amp; view the drawings. Sue Oleksy 773-230-4143</t>
  </si>
  <si>
    <t>Jay</t>
  </si>
  <si>
    <t>Route 64 East to 7th Ave (Right) to Jewel (Left) to Jay (Right)</t>
  </si>
  <si>
    <t>Deck, Eating Area</t>
  </si>
  <si>
    <t>Hot Tub, Hardwood Floors, 1st Floor Bedroom, 1st Floor Full Bath</t>
  </si>
  <si>
    <t>Kelly West</t>
  </si>
  <si>
    <t>(847) 962-4656</t>
  </si>
  <si>
    <t>MUST See!!! Easy to show but owner has to remove dogs so will need a little bit of notice. Hardwood floors under carpet in main floor bedrooms.</t>
  </si>
  <si>
    <t>BROADWAY TO GLENLAKE THEN WEST TO 1309 GLENLAKE</t>
  </si>
  <si>
    <t>33X124.53</t>
  </si>
  <si>
    <t>Bright &amp; spacious Arts &amp; Crafts home in Edgewater Glen with gracious rooms, vintage details &amp; modern features.  WBFP in LR &amp; beamed ceiling in DR. Enormous kitchen w/ BlueStar range, island with seating, butlers pantry &amp; adjoining breakfast room.  Three large bedrooms on 2nd floor &amp; a master retreat in the finished attic.  New garage, deck and windows, newer bathrooms. Whole Foods (2015) around the corner.</t>
  </si>
  <si>
    <t>Breakfast Room, Foyer, Deck</t>
  </si>
  <si>
    <t>EMAIL OR TEXT KIM 773.865.4290 OR KIM@KIMBIGGS.COM</t>
  </si>
  <si>
    <t>DANTE</t>
  </si>
  <si>
    <t>87th. street to Dante, north to address.</t>
  </si>
  <si>
    <t>30X140</t>
  </si>
  <si>
    <t>INCREDIBLY REHABBED BRICK HOME WITH 4 BEDROOMS &amp; 3 FULL BATHS, HARDWOOD FLOORS THRU-OUT MAIN LEVEL. STUNNING KITCHEN W/ 42" ESPRESSO CABINETS, GRANITE TOPS, ISLAND, SS APPLIANCES. FABULOUS MASTER SUITE W/ DESIGNER PRIVATE BATH. NEW BATHS W/DOUBLE SINKS, SEATED SHOWR, WHIRLPOOL TUB &amp; BODY SPRAYERS. HUGE FINISHED BASEMENT W/ FAMLY ROOM, DEN,LAUNDRY. PLENTY OF CLOSETS. 2 CAR GARAGE,NEW CENTRAL AIR UNIT ON CLOSING.</t>
  </si>
  <si>
    <t>Oven/Range, Dishwasher, High End Refrigerator, All Stainless Steel Kitchen Appliances</t>
  </si>
  <si>
    <t>Stages Real Estate LLC</t>
  </si>
  <si>
    <t>(260) 782-4371</t>
  </si>
  <si>
    <t>Robin Saka</t>
  </si>
  <si>
    <t>(708) 243-8752</t>
  </si>
  <si>
    <t>ORD</t>
  </si>
  <si>
    <t>THIS IS A VERY BEAUTIFUL HOME WITH LARGE ROOMS AND IT HAS BEEN TOTALLY REHABBED.</t>
  </si>
  <si>
    <t>Guth</t>
  </si>
  <si>
    <t>Rt. 72 to VanBuren, North to Barrington Ave., East to Guth.</t>
  </si>
  <si>
    <t>53 X 189</t>
  </si>
  <si>
    <t>Meticulously maintained 'Laura Ashley' style decorating. Four bdrms with Lg closets. Huge mstr bath. Kit has newer appliances, pantry w/pull out shelves, island and eating area. Designer under/over cab. lighting. Lg laundry rm. Cozy family room, w/ FP. Wired for sound syst. Digital ant., overlooks beautiful yard. Whole house water filter syst. Some new wind. Sec. Syst. Too many 'tech' features to list. MOVE-IN-COND!!</t>
  </si>
  <si>
    <t>Salvatore Chereso</t>
  </si>
  <si>
    <t>Phone #  773-719-7734</t>
  </si>
  <si>
    <t>Pride of ownership abounds! Loads of closets and storage. Newer landscaping with ambient lighting around home. Newer sliding glass patio door leads to double level deck! Retractable awning off top deck. Hard wired smoke/CO detectors.</t>
  </si>
  <si>
    <t>Montrose E of Austin and W of Central to Monitor South</t>
  </si>
  <si>
    <t>Portage Park brick bungalow with central air. Hardwood floors throughout. 1st floor has office off of Living room, large formal dining room, 2 bedrooms with tandem room off of back bedroom perfect for nursery or computer room. Two spacious 2nd floor bedrooms. Full basement with bar, full bathroom, ample storage and laundry area with exterior access. 2 car garage with alley access.</t>
  </si>
  <si>
    <t>Recreation Room, Tandem Room</t>
  </si>
  <si>
    <t>Property is in good shape and is an estate sale, use AS-IS paragraph for contracts.</t>
  </si>
  <si>
    <t>Tuscan View</t>
  </si>
  <si>
    <t>Bowes W.of Randall to DelWebb Blvd,thru guard gate to Edgewater (by lodge)R. to Tuscan View, right</t>
  </si>
  <si>
    <t>EDGEWATER BY DEL WEBB</t>
  </si>
  <si>
    <t>SOMERSET</t>
  </si>
  <si>
    <t>65X112</t>
  </si>
  <si>
    <t>SOMERSET MODEL WITH 3 BDRMS UP AND ONE DOWN! $40,000 FINISHED BSMT. WITH FULL BATH AND HUGE STORAGE/WORKSHOP AREA! EXTRA 4 FT.WITH EXTENDED GARAGE,EPOXY FLRS,FINISHED &amp; PAINTED WALLS!UPGRADE OF BAY WINDOWS IN MASTER BDRM &amp; KIT!HDWD.FLRS IN KIT!PAVER PATIO IN REAR AND PAVERS IN FRONT ALSO!HUGE DEN W/GLASS DOORS &amp; TRANSOM WINDOW!NEW POOL TABLE ('08) WILL STAY! EXTRA BONUS OF 22' &amp; EXTRA TREES BEHIND,EDGEWATER MAINTAINS</t>
  </si>
  <si>
    <t>Clubhouse, Pool, Tennis Courts, Gated Entry, Sidewalks, Street Paved</t>
  </si>
  <si>
    <t>Adult Community</t>
  </si>
  <si>
    <t>Common Insurance, Security, Clubhouse, Exercise Facilities, Pool, Lawn Care, Snow Removal</t>
  </si>
  <si>
    <t>Humidifier, TV-Cable, CO Detectors, Sump Pump, Backup Sump Pump</t>
  </si>
  <si>
    <t>Breakfast Room, Den, Exercise Room, Game Room, Great Room, Recreation Room, Storage, Sun/Florida Room Heated</t>
  </si>
  <si>
    <t>Lauren Dettmann, GRI,SFR,SRES</t>
  </si>
  <si>
    <t>(847) 219-9893</t>
  </si>
  <si>
    <t>847-219-9893</t>
  </si>
  <si>
    <t>Call Showing Time 855-746-9100(notice please) Show guard your card</t>
  </si>
  <si>
    <t>Email contract to Lauren at realtorlauren@comcast.net  Please give Lauren a "heads up" call at 847-219-9893 when sending over contract  One of the owners needs to be 55 yrs. old to live in Edgewater. HWA Warranty to buyer at closing.</t>
  </si>
  <si>
    <t>63rd to Kildare South to home.</t>
  </si>
  <si>
    <t>This fantastic brick bungalow features a large and bright living room, formal dining room, 3 bedrooms, bathroom, and beautiful hardwood floors and woodwork throughout the house. The full basement and attic offer a lot of space and await your ideas. Also includes a private fenced-in yard and a 2 car garage. Walking distance to shopping and public transportation.</t>
  </si>
  <si>
    <t>28X09</t>
  </si>
  <si>
    <t>Rosie Gonzalez, CSC</t>
  </si>
  <si>
    <t>(708) 785-7653</t>
  </si>
  <si>
    <t>E-Fax (781) 609-1084</t>
  </si>
  <si>
    <t>Click on showing assist.</t>
  </si>
  <si>
    <t>Property has an alarm system. Please make sure you are confirm before you show it.</t>
  </si>
  <si>
    <t>LEAVITT</t>
  </si>
  <si>
    <t>91ST STREET TO LEAVITT SOUTH TO PROPERTY.</t>
  </si>
  <si>
    <t>43' X 131'</t>
  </si>
  <si>
    <t>NEWLY RMDLD 4 BDRM, 2 BATH ALL BRICK ENGLISH BRICK HOME IN PRIME BEVERLY LOCATION.  REFINISHED HRDWD &amp; NEW TILE FLRS.  GORGEOUS NEWER KIT. W/ MAPLE CABS/ GRN CTRS/ SS APPLS W/ ADJ DR.  NEW BATHS. NEW LIGHTING &amp; DOORS.  NEWLY RMDLD DRY BSMT W/ HUGE FMRM. UPDATED ELEC. NEWER GARAGE.  FENCED YRD.   BEAUTIFUL WALLED ENGLISH GARDEN WITH FLAGSTONE FLOOR.  ACROSS FROM PARK.  MOVE-IN TO YOUR DREAM HOME BEFORE THE HOLIDAYS!</t>
  </si>
  <si>
    <t>James A. Kolar III</t>
  </si>
  <si>
    <t>(773) 988-9308</t>
  </si>
  <si>
    <t>James Kolar</t>
  </si>
  <si>
    <t>PLEASE USE SHOWING ASSIST WEBSITE. MAY CONTACT LISTING AGENT AT 773-988-9308 W/ ANY QUESTIONS.</t>
  </si>
  <si>
    <t>INVESTOR OWNED. 100% TAX PRO-RATION. EARNEST MONEY TO SELLER'S ATTORNEY "FRENZEL LAW LLC". NOT SHORT SALE/REO.</t>
  </si>
  <si>
    <t>23 to Hillcrest west to Garden Rd.</t>
  </si>
  <si>
    <t>66X305</t>
  </si>
  <si>
    <t>Beautiful Brick ranch close to NIU. This 3 bd rm 2.5 bth ranch home has it all with kitchen that has stainless steel refrigerator, dbl oven, cooktop,2 pantries, dishwasher &amp; garbage disp. The Dng rm has sliding doors to one of 2 patio's. The lvng rm has vaulted ceilings with a brick fireplace. There is a den with sliders to the 2nd patio that leads to this huge beautifully landscaped yard. Don't forget the sauna!</t>
  </si>
  <si>
    <t>Electric, Heat Pump</t>
  </si>
  <si>
    <t>Oven-Double, Microwave, Dishwasher, High End Refrigerator, Disposal</t>
  </si>
  <si>
    <t>Vaulted/Cathedral Ceilings, Sauna/Steam Room, 1st Floor Bedroom, 1st Floor Full Bath</t>
  </si>
  <si>
    <t>Laurie Rhodes, CSC,GRI</t>
  </si>
  <si>
    <t>(630) 965-8883</t>
  </si>
  <si>
    <t>call l/a 630-965-8883 2 dogs need to be put away.</t>
  </si>
  <si>
    <t>This shows beautifully. Her mother will be there to secure the dogs. Please don't ask the mother questions about the house. She doesn't live there. Direct all questions to l/a . Pool Table stays. The microwave is also a convection oven.</t>
  </si>
  <si>
    <t>Cicero to St Paul. West to address</t>
  </si>
  <si>
    <t>SOLID BRICK BUNGALOW ON OVERSIZED LOT W/ GATED DRIVEWAY. NATURAL COLOR HARDWOOD FLOORS &amp; NEWER WINDOWS THROUGH-OUT. SPACIOUS KITCHEN W/ EATING AREA. FIRST-FLOOR MASTER. ENCLOSED TV-ROOM/DEN LEADS UPSTAIRS TO TWO X-LARGE BEDROOMS AND 1/2 BATH. FULL SIZE BASEMENT &amp; ROOM TO BUILD EXTRA BEDROOM OR ORGANIZATIONAL STORAGE CLOSET. WIDE GATED BACKYARD W/ ATTACHED SPACIOUS DECK FOR ENTERTAINING. SHORT SALE OPPORTUNITY</t>
  </si>
  <si>
    <t>Fenced Yard, Rear of Lot</t>
  </si>
  <si>
    <t>Off Alley, Driveway</t>
  </si>
  <si>
    <t>Crystal Tran</t>
  </si>
  <si>
    <t>(312) 404-5994</t>
  </si>
  <si>
    <t>CONTACT LISTING OFFICE</t>
  </si>
  <si>
    <t>CC: Pursuant to Short Sale. CC: Pursuant to Short Sale. BANK APPROVAL REQUIRED. ADDITIONAL FEES WILL BE SPLIT BETWEEN LIST &amp; SELLING BROKER. LENDER REQUIRES ALL OFFER SUBMISSIONS TO BE PLACED AT WWW.HUBZU.COM</t>
  </si>
  <si>
    <t>Fullerton to Campbell. Go south</t>
  </si>
  <si>
    <t>40X195</t>
  </si>
  <si>
    <t>Beautiful home in Logan Square with massive yardâ€¦.front, side and back yard.    Rarely found.  House fools you from exterior...10 ft ceiling height, flooded w/ light, large living spaces. Ready to move in.   Update the kitchen and baths and you are in a $800,000 home.   2 blocks from Western Blue Line, easy access to 90/94.   5 blocks from new 606 Trail.   Move right in w/ 4 bed/3baths, 2 car garage.</t>
  </si>
  <si>
    <t>Related Realty</t>
  </si>
  <si>
    <t>(312) 832-2300</t>
  </si>
  <si>
    <t>Patrick Ryan</t>
  </si>
  <si>
    <t>(773) 383-7689</t>
  </si>
  <si>
    <t>Email patrick.ryan@related.com or call/text 773.383.7689</t>
  </si>
  <si>
    <t>Normandy</t>
  </si>
  <si>
    <t>Near Grand &amp; Oak Park</t>
  </si>
  <si>
    <t>33X150</t>
  </si>
  <si>
    <t>Opportunity is here!  Solid 4-bedroom brick home is ready for for new owners to update &amp; enjoy.  Two large bedrooms upstairs with large walk-in closets.  Large lot and yard.  Walk to transportation, shopping, park, hospital and more! Duct work ready for central A/C per owner.     Sold-as is.</t>
  </si>
  <si>
    <t>2.5% - 175 (on Net SP)</t>
  </si>
  <si>
    <t>ISE Realty</t>
  </si>
  <si>
    <t>(847) 384-2210</t>
  </si>
  <si>
    <t>Vincent LaVecchia</t>
  </si>
  <si>
    <t>(773) 742-3059</t>
  </si>
  <si>
    <t>Please call or text agent: 773-742-3059.  Some notice please.  Home is occupied, do not disturb.</t>
  </si>
  <si>
    <t>Sold as-is. Can close quick.  Please do not disturb person living in home.  Please provide notice before showing.</t>
  </si>
  <si>
    <t>GRANVILLE TO MAGNOLIA, NORTH TO PROPERTY</t>
  </si>
  <si>
    <t>Amazing total gut rehab on Edgewater Glen's best block! New home feat; chef's kitchen w/ custom cabinets, granite,  subway tile backsplash &amp; SS KitchenAid appl, spa-like marble master bath w/ rain-head shower. New roof, siding, garage, alumin-clad wood windows, zoned hvac, plumbing &amp; 200 amp electric svc. Excellent location, walk 2 blocks to EL &amp; all the area restaurants, Starbucks &amp; Metropolis coffee, beach &amp; more!</t>
  </si>
  <si>
    <t>Deck, Foyer, Recreation Room</t>
  </si>
  <si>
    <t>Derek Disera</t>
  </si>
  <si>
    <t>(773) 255-1550</t>
  </si>
  <si>
    <t>email only ddisera@gmail.com</t>
  </si>
  <si>
    <t>North Ave to Paulina (1700W).  Turn east to 1515 N. Paulina</t>
  </si>
  <si>
    <t>Newly renovated SFH in heart Wicker Park. SS gourmet kitchen w/Bosch &amp; SubZero appliances, counter seating &amp; WI pantry. 2 WB fireplaces. Top floor boasts large master ensuite w/ample storage &amp; 2 addtl beds connected by Jack&amp;Jill bath. LL has huge guest ensuite w/private entry &amp; large rec room open to 1st fl.  Attached 2 car garage w/3rd outdoor parking pad spot.  Several finished outdoor areas w/rooftop city views!</t>
  </si>
  <si>
    <t>Eating Area-Breakfast Bar, Island, Pantry-Closet, Pantry-Walk-in</t>
  </si>
  <si>
    <t>Bigfoot Realty, Inc.</t>
  </si>
  <si>
    <t>(312) 735-3130</t>
  </si>
  <si>
    <t>Michelle Berger</t>
  </si>
  <si>
    <t>(917) 362-4355</t>
  </si>
  <si>
    <t>Pls call or text Michelle at 917-362-4355 for showings.</t>
  </si>
  <si>
    <t>Additional 3rd Parking space outside of garage on uncovered parking pad.  Pls call or text Michelle at 917-362-4355 for showings.</t>
  </si>
  <si>
    <t>Scarsdale</t>
  </si>
  <si>
    <t>Boulder Hill Pass to Circle Drive West to Scarsdale.  House on corner.</t>
  </si>
  <si>
    <t>TRI-LEVEL</t>
  </si>
  <si>
    <t>Move-In Ready!  New Carpet, Freshly Cleaned &amp; Painted! 4 BR, Tri-Level Home!  Pergo-Style Floors Accent Liv, Din, Kit &amp; Foyer! Lower Level = Lg Fam Rm, 4th Br, 1/2 Bth &amp; Laundry.  Upper = Includes 3 BRs &amp; Full Bth w/Ceramic Flr!   Mature, Corner Lot!  Add'l Prkg Side Apron! Private Patio Area! Quick Close! NOT Short Sale or Bank Owned!  All Appliances Stay! Pics Taken When Seller Lived There.</t>
  </si>
  <si>
    <t>Lauralee McElroy, SFR</t>
  </si>
  <si>
    <t>(630) 669-8806</t>
  </si>
  <si>
    <t>EveryHomeSold.com</t>
  </si>
  <si>
    <t>Call Lauralee For Code  630-669-8806. Easy Show!</t>
  </si>
  <si>
    <t>Please note: Taxes will be lower w/Homeowner's exemption.  Pictures taken when seller lived there.   Freshly Painted, New Carpet!</t>
  </si>
  <si>
    <t>CEDAR</t>
  </si>
  <si>
    <t>East of Bartlett Rd -- South of Schaumburg Rd</t>
  </si>
  <si>
    <t>90 X 119 X 43 X 103</t>
  </si>
  <si>
    <t>WELL MAINTAINED RAISED RANCH!! FRESHLY PAINTED, BRAND NEW CARPET, MODERN KITCHEN W/ WHITE CABINETS, LAMINATE FLOORING &amp; TILED BACKSPLASH. SPA LIKE BATH FEATS; TILED SHOWER SURROUND, FLOORING &amp; NEWER FIXTURES. FINISHED BASEMENT W/ FIREPLACE, BEDROOMS, LAUNDRY ROOM &amp; BATH. 2 GARAGE, DECK AND FENCED IN BACKYARD. **FANNIE MAE HOMEPATH PROPERTY ~ NO PERSONAL PROPERTY CONVEYED ~ BUYER PAYS ANY TRANSFER FEE**</t>
  </si>
  <si>
    <t>Buyer may need to sign village affidavit and perform village required repairs. INFO NOT GUARANTEED.  Need help? 866-218-4446. Contract Package Attached. Atty holds EM.</t>
  </si>
  <si>
    <t>Fremont</t>
  </si>
  <si>
    <t>Webster to Fremont - South to Property</t>
  </si>
  <si>
    <t>RARELY AVAILABLE HISTORIC END UNIT ROWHOUSE IN LINCOLN PARK W/EXTRA WIDTH, WINDOWS ON 3 SIDES, FAB DECK, PATIO &amp; 2-CAR GAR. ORIGINAL HOME WAS EXTENDED CREATING GENEROUS LIVING SPACE. MAIN FLOOR WHICH IS IDEAL FOR ENTERTAINING HAS HDWD FLR, HIGH CEILING, FORMAL DR, LARGE KIT WHICH OPENS TO BRKFST RM OVERLOOKING YARD. 2ND LEVEL HAS MST BR STE W/LRG WIC, 2 ADDTL BDRMS &amp; BATH. LL HAS BDRM, OFFICE/BDRM, BATH &amp; STG RM.</t>
  </si>
  <si>
    <t>Office, Breakfast Room, Foyer</t>
  </si>
  <si>
    <t>Eudice Fogel, CRS</t>
  </si>
  <si>
    <t>(312) 368-5342</t>
  </si>
  <si>
    <t>EMAIL JAYME @ JSLATE@KOENIGRUBLOFF.COM OR CONTACT EUDICE</t>
  </si>
  <si>
    <t>Bayside</t>
  </si>
  <si>
    <t>ARMY TRAIL (W. OF COUNTY FARM) TO BAYSIDE, N.</t>
  </si>
  <si>
    <t>73X140</t>
  </si>
  <si>
    <t>Wow! Gorgeous rehab in Bartlett schools! Open floorplan. Beautiful HWD flrs. Light &amp; bright dÃ©cor &amp; lots of windows. Spacious living rm. Formal dining rm. New kitchen w/lots of cabinets, granite counters &amp; SS appls. Huge Family rm w/FP. Big master w/priv bath. Good sized add'l BRs. Sep ldy room. New screened porch, deck, furnace, AC, drive, doors, trim, fixtures, carpet, &amp; more. Big fenced yard. Walk to parks &amp; more.</t>
  </si>
  <si>
    <t>Deck, Porch Screened, Storms/Screens</t>
  </si>
  <si>
    <t>Realstar Realty, Inc</t>
  </si>
  <si>
    <t>(630) 420-7400</t>
  </si>
  <si>
    <t>John Wilt, CNC</t>
  </si>
  <si>
    <t>(630) 337-8000</t>
  </si>
  <si>
    <t>630-337-8000</t>
  </si>
  <si>
    <t>1-877-977-1010</t>
  </si>
  <si>
    <t>CENTRAL NORTH OR SOUTH TO OHIO EAST TO PROP</t>
  </si>
  <si>
    <t>A. Vision Realty and Mgmt Co.</t>
  </si>
  <si>
    <t>(708) 236-5111</t>
  </si>
  <si>
    <t>Billy Smith, ABR,CRS,GRI</t>
  </si>
  <si>
    <t>(708) 359-6613</t>
  </si>
  <si>
    <t>RANDALL RD TO WILLIAMSBURG EAST TO CAMBRIDGE NORTH TO HOUSE</t>
  </si>
  <si>
    <t>75X266</t>
  </si>
  <si>
    <t>BEAUTIFUL HOUSE IN STONEBRIDGE. BRAND NEW WINDOWS, GRANITE, SS APPLIANCES. REFINISHED WOOD FLOOR AND ALL NEW CARPET TOPPED OFF WITH A FRESH COAT OF PAINT MAKE THIS HOME MOVE IN READY. DEEP TREED LOT FOR PRIVACY, ENJOY ENTERTAINING FROM HUGE DECK. WET BAR IN FINISHED BASEMENT. RETREAT TO GIGANTIC MASTER SUITE WITH WHIRLPOOL, DOUBLE VANITY &amp; SEPARATE SHOWER. SUPER LOCATION TO SHOPPING AND DOWNTOWN GENEVA.</t>
  </si>
  <si>
    <t>Oven/Range, Dishwasher, All Stainless Steel Kitchen Appliances</t>
  </si>
  <si>
    <t>Coldwell Banker Gladstone</t>
  </si>
  <si>
    <t>(630) 960-3700</t>
  </si>
  <si>
    <t>Heidi Bolger</t>
  </si>
  <si>
    <t>(312) 404-8280</t>
  </si>
  <si>
    <t>Bank owned and rehabbed. Deep lot with mature trees makes for a lovely peaceful yard.</t>
  </si>
  <si>
    <t>Sales Model @ 3066 Gaylord, Montgomery~Rt. 30 W of Orchard to Gordon to Secretariat to Gaylord</t>
  </si>
  <si>
    <t>ONTARIO</t>
  </si>
  <si>
    <t>Ready Now! Darling home features 4 bedrooms and 2 1/2 baths!Master suite has private bath and walk-in closet. Spacious kitchen with stainless steel appliances &amp; breakfast room. Hardwood flooring in foyer and kitchen. Large family room. Great location with easy access to I88, shopping and more!</t>
  </si>
  <si>
    <t>Breakfast Room, Utility Room-1st Floor</t>
  </si>
  <si>
    <t>4%-$150+$2000 ON BASE IF CONTRACT BY 10-31-14 AND CLOSED IN 2014 (on Net SP)</t>
  </si>
  <si>
    <t>Randy Malleos</t>
  </si>
  <si>
    <t>(630) 292-4194</t>
  </si>
  <si>
    <t>630-637-2523</t>
  </si>
  <si>
    <t>630-897-3800</t>
  </si>
  <si>
    <t>Agent must register client 1st visit~call Ryland @ 630-897-3800 for hours and availability</t>
  </si>
  <si>
    <t>SSA included on tax bill approx $240 year.Price reflects $3823 preferred lender incentive..EVEN IF YOUR CLIENT HAS PREVIOUSLY VISITED A RYLAND COMMUNITY, CONTACT THE LISTING AGENT OR RYLAND REP@ COMMUNITY IF INTEREST TO REGISTER YOUR CLIENT</t>
  </si>
  <si>
    <t>archer ave. to austin north to location</t>
  </si>
  <si>
    <t>3SX125</t>
  </si>
  <si>
    <t>WOW! SUPER UPDATED 3/4 BEDROOM RAISED RANCH WITH NEWLY FINISHED BASEMENT AND 1/2 BATH! OVERHEAD SEWERS! 2YR OLD FURNACE!  5YR OLD CENTRAL AIR, ROOF 7YRS OLD ON HOME AND GARAGE! SUMP PUMP WITH BACK UP BATTERY! CB'S!  REMODELED KITCHEN W/ NICE CABINETS AND CERAMIC FLOOR. ALL SOUND PROOF WINDOWS AND DOORS! MAINTENANCE FREE EAVES, SOFFIT, &amp; GUTTERS ON HOME &amp; GARAGE. 3 SEASONS RM! 51ST &amp; AUSTIN IS A QUIET NON-BUSY STREET!</t>
  </si>
  <si>
    <t>Oven/Range, Dishwasher-Portable, Refrigerator, Refrigerator-Bar, Washer, Dryer</t>
  </si>
  <si>
    <t>TV-Cable, Security System, Ceiling Fan, Fan-Attic Exhaust</t>
  </si>
  <si>
    <t>20X06</t>
  </si>
  <si>
    <t>AMAZING HOME! ONE LOOK AND YOU'LL FALL IN LOVE WITH US!</t>
  </si>
  <si>
    <t>RANDALL S of Rt 72 TO CARRINGTON DR E TO BRADFORD LN TO DARTMOUTH</t>
  </si>
  <si>
    <t>81 X 121 X 67 X 119</t>
  </si>
  <si>
    <t>Very practical 2 story home in Carrington Reserve subdivision. 4 spacious bedrooms with 2 1/2 baths. Kitchen has table space eating area, center island &amp; pantry closet. Master bath features double sinks &amp; oversized tub. Full english basement has plenty of storage space. Convenient first floor laundry. Attached 3 car garage. Close to great shopping &amp; dining. This is a Fannie Mae HomePath property. Sold as-is.</t>
  </si>
  <si>
    <t>Please go to www.homepath.com to submit offers. The attached Fannie Mae Addendum and 6.0 contract must be included with your offer. HIGHEST AND BEST DUE BY 12NOON 1/30 PLS USE FORM FOUND IN THE CONTRACT PACKAGE UNDER ADD INFO</t>
  </si>
  <si>
    <t>GAYLORD</t>
  </si>
  <si>
    <t>GALVESTON</t>
  </si>
  <si>
    <t>Beautiful Galveston2612 Sq Ft. Plan*4 Bedrooms PLUS Study*Soaring 2-Story Foyer w/Winding Staircase, Bkfast Bar &amp; Large Eating Area Adjoins Family Rm*Formal Living &amp; Dining Rms &amp; Study *Lg Master w/Private Garden Bath*3 Add'l Bedrooms+Bath. Front porch &amp; brick front. 1, 2, &amp; 10 Year Warranty Included* Call Now for additional special incentives!Price reflects $8575 preferred lender incentive. Estimated del. 1/15</t>
  </si>
  <si>
    <t>Breakfast Room, Study, Utility Room-1st Floor</t>
  </si>
  <si>
    <t>3% - $150 ON BASE (on Net SP)</t>
  </si>
  <si>
    <t>SENTRILOCK - Register client 1st visit @ model ~ call 630-897-3800 for hours and availability</t>
  </si>
  <si>
    <t>List price reflects incentive of $8575 for using Preferred lender~$500 Bonus to Selling Broker Office for sale between 1-19-15 &amp; 2-15-15. Even if your client has previously registered at a Ryland Community contact listing agent or sales rep</t>
  </si>
  <si>
    <t>Winnemac to Leavit, north to Wnona west to home</t>
  </si>
  <si>
    <t>29X132</t>
  </si>
  <si>
    <t>Let your imagination run wild and take full advantage of this splendid bungalow in a wonderful neighborhood. Bring your renovation ideas and make this what you have always wanted. Hardwood floors, four bedrooms, three full baths. This has the makings for a wonderful home.</t>
  </si>
  <si>
    <t>Office, Sun/Florida Room</t>
  </si>
  <si>
    <t>Secure Showing Assist Instructions:</t>
  </si>
  <si>
    <t>Please call 773.358.4226 for any details. For lending needs please contact John Drivas Vice President Gold Coast Bank 312.587.3200</t>
  </si>
  <si>
    <t>Big Timber W of Randall to Timber Trails</t>
  </si>
  <si>
    <t>70X141X99X131</t>
  </si>
  <si>
    <t>Gorgeous inside and out. UNBELIEVABLE FENCED IN YARD  Excellent schools , close to transportation ,better than new  All fresh paint , window treatments and appliances are here  already. Nothing to do , but move in and enjoy this spacious , warm , inviting home. You won't be disappointed.  4 bedrooms 2.1 baths large loft upstairs besides the 4 bedrooms &amp; each bedroom has a walk in closet. Open kitchen to family room .</t>
  </si>
  <si>
    <t>Betty Cunningham, ABR,CSC,e-PRO</t>
  </si>
  <si>
    <t>(847) 619-0234</t>
  </si>
  <si>
    <t>call showing solutions  855-746-9200</t>
  </si>
  <si>
    <t>Shows like a model home , a must see for the price!!!</t>
  </si>
  <si>
    <t>W Addison to N Major head East on W Waveland. Near N Central Ave and W Waveland.</t>
  </si>
  <si>
    <t>Beautiful gut rehab in Portage Park. 3 beds 2 baths &amp; laundry on upper level. Master suite with his and hers closets, separate shower and tub and double sink vanity. Open concept main level w amazing chef's kitchen, living, dining &amp; family room. Finished lower level w 2nd laundry, spacious rec room, 4th bed and full bath. Two story deck. Designer finishes and attention to detail throughout. 60" 1080p T.V. included.</t>
  </si>
  <si>
    <t>REINBERG ELEMENTARY SCHOOL</t>
  </si>
  <si>
    <t>16X25</t>
  </si>
  <si>
    <t>Double Sink, European Shower, Soaking Tub</t>
  </si>
  <si>
    <t>2.5% - 299 (on Net SP)</t>
  </si>
  <si>
    <t>Wright Group Chicago, LLC</t>
  </si>
  <si>
    <t>(312) 238-9775</t>
  </si>
  <si>
    <t>Steven Wright</t>
  </si>
  <si>
    <t>(312) 566-1076</t>
  </si>
  <si>
    <t>Call, Text, Email Steve @ 312-566-1076 steve@wrightgroupchicago.com</t>
  </si>
  <si>
    <t>HUGE GUT RENOV ON OVERSIZED LOT (33 X 125). JUST COMPLETED... CALL ABOUT OTHER AVAILABLE PROPERTIES* FULL PERMITS &amp; ARCHITECTURAL PLANS. 1 Â½ INCH WATER SUPPLY. 60" 1080p FLAT SCREEN INCLUDED!</t>
  </si>
  <si>
    <t>Windett Ridge</t>
  </si>
  <si>
    <t>RT. 47 south of Rt. 71 east on windett ridge to home</t>
  </si>
  <si>
    <t>windett ridge</t>
  </si>
  <si>
    <t>ADAMS</t>
  </si>
  <si>
    <t>65X167X62X57X160</t>
  </si>
  <si>
    <t>Super nice Windett Ridge 4 full bdrm, 2.5 bath home w/lots of nice builder upgrades*Kit has 42â€_x009d_ maple cabs, stainless steel appliances, hardwood flrs*Custom wood blinds throughout 1st flr, open staircase to bsmnt w/9ft celings*FR w/FP*Master bath w/sep shower &amp; tub, dbl vanity*fully fenced backyard*1 lender short sale required-bid w/confidence LA has closed 100â€™s to date*Very nice! Hurry on this one!</t>
  </si>
  <si>
    <t>CC: Pursuant to Short Sale. Show &amp; Bid w/confidence! LA has closed 100â€™s of short sales to date*CC will NOT be reduced*sold as-is due to SS w/all clean disclosures from seller*100%-taxes*buyer pays survey*60 days for appl*MUST use 6.0 contract for offer*No Docusign</t>
  </si>
  <si>
    <t>MONTROSE TO WHIPPLE GO SOUTH. WHIPPLE IS ONE WAY GOING SOUTH</t>
  </si>
  <si>
    <t>37.5X125</t>
  </si>
  <si>
    <t>OLD WORLD CHARM ABOUNDS THIS HUGE ALUM SIDED HOME. 1ST FLR HAS HARDWOOD FLS, ALL NAT WOOD TRIM, DIN RM HAS BUILT IN ORIGINAL NATURAL WOOD HUTCH, LIBRARY OR STUDY OFF OF LIV RM, HUGE EAT IN KIT W/WALK IN PANTRY, FULL BATH ON 1ST FL, 2ND FL HAS LOFT, 2 BEDRMS + BATH W/SHOWER, HUGE WALK IN CLOSETS, FULL BSMT W/BATHRM, REAR WOOD DECK, NICE YARD, 2 CAR GAR.</t>
  </si>
  <si>
    <t>Library, Loft</t>
  </si>
  <si>
    <t>Marilyn Clemen</t>
  </si>
  <si>
    <t>(773) 413-3432</t>
  </si>
  <si>
    <t>CALL LISTER 708-975-0528</t>
  </si>
  <si>
    <t>LISTING AGENT IS DAUGHTER IN LAW TO SELLER. RE TAXES ARE UNDER A SENIOR FREEZE.</t>
  </si>
  <si>
    <t>PRAIRIEVIEW</t>
  </si>
  <si>
    <t>Rt. 34, Rt. 71 S, Forest S, Prairieview W</t>
  </si>
  <si>
    <t>114X99X126X84</t>
  </si>
  <si>
    <t>Great curb appeal! 2-story foyer w/turned staircase. Arched opening between LR &amp; DR. Updated eat-in kit w/SS appls, granite, island w/brk bar, soffit removed &amp; crown molding added. Large vault. FR. 1st flr den/4th BR. Stunning master suite has vaulted BR ceil. &amp; huge walk-in closet. Remodeled MBTH w/dbl van, whirl tub &amp; sep shower. Huge 20x12 loft room could be converted to 4/5 bedroom. Nice patio &amp; large side yards.</t>
  </si>
  <si>
    <t>Vaulted/Cathedral Ceilings, Wood Laminate Floors, 1st Floor Bedroom, 1st Floor Laundry</t>
  </si>
  <si>
    <t>Please call CSS for appt. 877-977-1010</t>
  </si>
  <si>
    <t>Route 31 to Kimball St turn left on Douglas Ave home is on right.</t>
  </si>
  <si>
    <t>MULTIPLE OFFERS RECEIVED!  HIGHEST &amp; BEST DUE BY 9AM ON 11/17/2014.  SEE ATTACHED REQUIRED DOC!  Architectural Gem located in the historical area of Elgin!   This beautifully remodeled Home has tons of charm with original woodwork inside!   See attachment for PAS requirements &amp; WFHM offer submittal information in MLS document section. See agent remarks for more info.</t>
  </si>
  <si>
    <t>Breakfast Room, Foyer, Sitting Room, Sun/Florida Room</t>
  </si>
  <si>
    <t>Wells Fargo Bank</t>
  </si>
  <si>
    <t>Buyers must obtain a pre-approval from Wells Fargo to submit an offer.  See attached MLS requirements Form for contact info and required docs. Verbal offer accepted on 10/27/14 waiting for signatures.</t>
  </si>
  <si>
    <t>Route 64 to Hunt Club Drive to Persimmon; west to home (across from park)</t>
  </si>
  <si>
    <t>100 X 167 X 73 X 172</t>
  </si>
  <si>
    <t>Fabulously updated in Hunt Club with view of park, walk / bike to Delnor Woods and downtown St Charles! On-trend dÃ©cor includes remodeled kitchen with Jenn-Air appliances,center island, deep copper sink. New hardwood throughout first floor. Remodeled master bath, 5-head shower. Surround sound in family room. 2 fireplaces. 3-car side load. Large deck and nice sized back yard. Nothing to do but move in and enjoy! SD303</t>
  </si>
  <si>
    <t>Oven-Double, Oven/Range, Microwave, Dishwasher, High End Refrigerator, Disposal</t>
  </si>
  <si>
    <t>Edie Glenn</t>
  </si>
  <si>
    <t>(630) 587-4614</t>
  </si>
  <si>
    <t>630-330-1080</t>
  </si>
  <si>
    <t>Call Showing Time Appointment Center 855-746-9200</t>
  </si>
  <si>
    <t>Shows great.Major upgrades! Driveway sealed &amp; entire radon system replaced Oct 2014;Water softener 2013;  5 windows in front &amp; 2 on side replaced May 2012; high efficiency furnace 5 years old.Play set &amp; garage workbench stay.Relo docs req'd</t>
  </si>
  <si>
    <t>Jordan</t>
  </si>
  <si>
    <t>ROYAL TO LYLE N TO JORDAN W TO 2166 JORDAN ON RIGHT</t>
  </si>
  <si>
    <t>80X109X77X109</t>
  </si>
  <si>
    <t>WONDERFUL TWO STORY COLONIAL HOME IN VALLEY CREEK WITH GENEROUSLY SIZED RMS INCLUDING FORMAL LVRM, DNRM, FAMILY RM WITH VAULTED CEILING, TWO STORY BRICK FIREPLACE FLANKED BY CUSTOM SHELVING, OAK MANTLE, RECESSED LIGHTING &amp; A FULL BRICK HEARTH.  EAT-IN KIT.,  1ST FLOOR LAUNDRY WITH LOADS OF CABINETS, COUNTER SPACE, CLOSET AND SINK.  TWO OF THE FOUR BEDROOMS ARE OVER SIZED. ENTRY, KIT.,LAUNDRY 1/2 BATH FRESHLY PAINTED.</t>
  </si>
  <si>
    <t>Linda Prindle</t>
  </si>
  <si>
    <t>(847) 650-7466</t>
  </si>
  <si>
    <t>call for appointment 1-855-746-9100</t>
  </si>
  <si>
    <t>Dennis Peotter</t>
  </si>
  <si>
    <t>MARKET</t>
  </si>
  <si>
    <t>Rt. 38 to North on 7th St to east on Market St.</t>
  </si>
  <si>
    <t>40 X 190</t>
  </si>
  <si>
    <t>Spacious 4 bedroom home offering large living w/ built in shelving, 1st floor bedroom and  eat-in kitchen, Open family room/sun room. Detached 2 car garage and partially fenced yard. See agent remarks for bidding procedures.</t>
  </si>
  <si>
    <t>Secure Showing Assist MRED</t>
  </si>
  <si>
    <t>Commission paid up to 3%. FHA Case #137-349323 Go to www.HomeTelosFirst.com or www.HudHomeStore.com for bidding procedures. Contract sample, PCR report in additional info.</t>
  </si>
  <si>
    <t>Omaha</t>
  </si>
  <si>
    <t>Rt34 to Mchugh left 2 Spring left 2 Omaha left 2 home</t>
  </si>
  <si>
    <t>Heartland</t>
  </si>
  <si>
    <t>SCARBOROUG</t>
  </si>
  <si>
    <t>81X179X107X171</t>
  </si>
  <si>
    <t>Former Builders model in highly desired Heartland Subdivision!! Subdivision features pool~walking paths and is in right in the heart of Yorkville.  Upstairs features 4 huge bedrooms and all rooms have Walk in closets.  Chefs kitchen with granite countertops and SS appliances stay!!  **REGULAR SALE**  First floor office~Open floor plan!!  Must see this great home.  Enclosed Sun room great for year round use!</t>
  </si>
  <si>
    <t>Breakfast Room, Den, Foyer, Sun/Florida Room</t>
  </si>
  <si>
    <t>Select "ShowingAssist"</t>
  </si>
  <si>
    <t>Great home for price!!  Tons of upgrades!!  No sign at property.  EM held by seller's attorney Edward Kusta.  Please email questions or offers to asifsells@yahoo.com.  Regular sale!!  Quick close possible.  Quick response.  Move in ready.</t>
  </si>
  <si>
    <t>Catherine</t>
  </si>
  <si>
    <t>OGDEN AVE. (RT 34) TO PEARCE'S FORD RD N TO WATERFORD W TO CATHERINE CT N</t>
  </si>
  <si>
    <t>JAMESTON</t>
  </si>
  <si>
    <t>45X115X41X152X170</t>
  </si>
  <si>
    <t>FABULOUS UPGRADED ALMOST 3000 SQ FT HOME W/POND VIEW LOT. CUSTOM WHITE MILLWORK INCLUDES MULTIPIECE CROWN THROUGHOUT 1ST FLR AND 6 PANEL DRS. GOUR KIT W/RAISED PNL CABS, NEW HIGH END SS APPS, HRDWD FLR &amp; CENTER ISLAND. FAM RM W/STONE FP &amp; CUSTM MANTEL. 1ST FLR FULL BTH &amp; DEN/BDRM, MBR SUITE W/DBL VANITIES, W/P TUB &amp; WIC. 2.5 CAR GAR. PAVER PATIO W/AWESOME VIEWS OF POND, LARGE FENCED YARD. OSWEGO SCHOOLS</t>
  </si>
  <si>
    <t>Cul-de-sac, Fenced Yard, Landscaped Professionally, Pond, Water View</t>
  </si>
  <si>
    <t>Bar-Wet, Hardwood Floors, 1st Floor Bedroom, In-Law Arrangement, 1st Floor Laundry, 1st Floor Full Bath</t>
  </si>
  <si>
    <t>CALL BAIRD &amp; WARNER APPOINTMENT DESK 855-746-9100</t>
  </si>
  <si>
    <t>THE PONDS @ MILL RACE CREEK IS A SINGLE FAMILY COMMUNITY WITH MULTIPLE PONDS AND WATER FEATURES.</t>
  </si>
  <si>
    <t>16N615</t>
  </si>
  <si>
    <t>SUMTER</t>
  </si>
  <si>
    <t>ROUTE 72 (E OF RANDALL) N2 RICHMOND R2 SUMTER</t>
  </si>
  <si>
    <t>LAKE TARA</t>
  </si>
  <si>
    <t>90 X 150 X 200 X 251</t>
  </si>
  <si>
    <t>IMMACULATE HOME IN LAKE TARA &amp; THIS ONE IS A BEAUTY-LOCATED AMONGST THE TOWERING OAKS THIS CUSTOM BLT HOME FEATURES A GORGEOUS UPDATED KTCHN W/CHERRY CBTS/GRANITE CTPS/VIKING STOVE-MAPLE HRDWD FLRS-NEW WDWS-OPEN FLR PLAN W/MASONRY FRPL IN THE FAM RM-SUN RM W/LAKE VIEW-MSTR SUITE W/FRPL-UPDATED LUX BTH-SPACIOUS SECONDARY BDRMS-HEATED GRGE-BSMT-DECK TO ENJOY THE WOODED ACRE+ LOT- LAKE (GREAT FOR FISHING) IN THE AREA</t>
  </si>
  <si>
    <t>Humidifier, Water-Softener Owned, Central Vacuum, TV Antenna, Security System, Ceiling Fan</t>
  </si>
  <si>
    <t>Sharon Gidley, GRI</t>
  </si>
  <si>
    <t>(847) 854-3573</t>
  </si>
  <si>
    <t>(847)812-5081</t>
  </si>
  <si>
    <t>MACEDON</t>
  </si>
  <si>
    <t>Oak Park to Schubert, west to Newcastle, north to address</t>
  </si>
  <si>
    <t>Won't be disappointed - 4 bedroom property in excellent condition, oversized Chicago lot  with side drive to the garage. Roof 8 years old, hot water tank new, hardwood floors under the carpeting. Bath each floor. Full, partially finished basement. House is located within walking distance to school and close to Brickyard.</t>
  </si>
  <si>
    <t>7X2</t>
  </si>
  <si>
    <t>2.5% - $ 275 (on Net SP)</t>
  </si>
  <si>
    <t>Joanna Winiarski</t>
  </si>
  <si>
    <t>(773) 671-0992</t>
  </si>
  <si>
    <t>e-mail agent at jwwiniarski@yahoo.com</t>
  </si>
  <si>
    <t>13N538</t>
  </si>
  <si>
    <t>W Highland Ave to Coombs Rd, N to Chisholm Trl, W around curve to home.</t>
  </si>
  <si>
    <t>155'X155'X303'X210'X277'</t>
  </si>
  <si>
    <t>Custom built ranch situated on a beautiful corner lot that gives privacy to enjoy the 2.13 acres! Newer top of the line ss appliances. New roof in 2010, Rewired well 2014, New water softener, New sump 2010. Plus much more is new!  Large master suite with plenty of closet space. Second bdrm with lovely bay window. Finished bsmt w/family rm, 4th bdrm &amp; shower bath. Beautifully landscaped. 301 schools Priced to Sell</t>
  </si>
  <si>
    <t>Kelly Johnson</t>
  </si>
  <si>
    <t>Call Showing Time  1-855-746-9200</t>
  </si>
  <si>
    <t>This home is very charming.   High quality construction, just needs some updating. The location is wonderful, no one backs up to the home.  We're priced to sell. Don't hesitate to show your clients.</t>
  </si>
  <si>
    <t>Altgeld</t>
  </si>
  <si>
    <t>Racine to Altgeld, west to property.</t>
  </si>
  <si>
    <t>30X100</t>
  </si>
  <si>
    <t>All brick LP home w/ striking finishes and details thruout. Formal dining room, separate living room, large kitchen w/ professional grade appliances leads to large great room and 29x19 roof deck. Custom millwork, crown moldings, and dramatic staircase which leads to large master. 2nd floor ldry room. Radiant heat in LL loaded with storage. This is the place for all lifestyles. O Mayer and LPHigh dist. 3 CAR GARAGE</t>
  </si>
  <si>
    <t>Oven-Double, Oven/Range, Microwave, Dishwasher, High End Refrigerator, Refrigerator-Bar, Freezer, Washer, Dryer, All Stainless Steel Kitchen Appliances, Wine Cooler/Refrigerator</t>
  </si>
  <si>
    <t>Deck, Media Room, Mud Room, Office</t>
  </si>
  <si>
    <t>Skylight(s), Bar-Wet, Heated Floors, 2nd Floor Laundry</t>
  </si>
  <si>
    <t>Mary Quincannon, CRS</t>
  </si>
  <si>
    <t>(312) 254-0260</t>
  </si>
  <si>
    <t>Call listing agent 312.254.0260. 24 hours notice required.</t>
  </si>
  <si>
    <t>Home Services Relocation MUST be reflected as the seller on all offers. Relocation Rider and Radon Hold Harmless (downloaded on MLS) must be attached to all offers.</t>
  </si>
  <si>
    <t>Western to 91st, East to Leavitt, North to 90th St., East to Damen, South to 9145.</t>
  </si>
  <si>
    <t>CORPORATE</t>
  </si>
  <si>
    <t>185X76</t>
  </si>
  <si>
    <t>Great, large, family home located on beautiful North Beverly block. Home features living room (fireplace); formal dining room; eat in kitchen; 1st floor family room (2nd fireplace); front and back porches; 3-4 bedrooms (4th is tandem); 3.5 baths; full basement; side drive; 2 car garage; sold "as is."</t>
  </si>
  <si>
    <t>Call listing office to make an appointment, AFTER HOURS CALL (312)497*7975</t>
  </si>
  <si>
    <t>Large, well built home. Needs TLC. Easy to show. Earnest money in certified funds, please.</t>
  </si>
  <si>
    <t>Horizon</t>
  </si>
  <si>
    <t>Annie Glidden South to S Malta Rd to Devonaire Parkway, Right to Horizon</t>
  </si>
  <si>
    <t>67X109X148X121</t>
  </si>
  <si>
    <t>Spacious 4 bedroom/2.1 bath home.  Large bedrooms upstairs, formal living room and dining room. Living room with gas fireplace.  Eat-in kitchen with SS appliances.  Lots of room to roam in this one.  Full, unfinished basement with roughed in plumbing.  Large yard that backs up to retention pond.  No neighbors!  Come take a look at this one.</t>
  </si>
  <si>
    <t>Call L/O or L/A. 24 hr notice preferred.</t>
  </si>
  <si>
    <t>Nice, clean home.</t>
  </si>
  <si>
    <t>Popular Tuscan floorplan on a GREAT SITE overlooking  beautiful nature area!  Huge peninsula Kitchen w/Granite, stainless steel appliances, crown molding, island, walk-in pantry &amp; wood laminate floors. 4 bedrooms, large Master w/ private luxury master bath.  Oak stair rails grace the 2-story family room.  Move in ready!  Energy Star w/ 92% furnace and 13 SEER A/C.</t>
  </si>
  <si>
    <t>SALES CENTER OPEN DAILY - 1331 NEWPORT CT.  CALL FOR AN APPOINTMENT 847-984-4883</t>
  </si>
  <si>
    <t>SALES CENTER OPEN DAILY - 1331 NEWPORT CT.  CALL FOR AN APPOINTMENT 847-984-4883 - ADDITIONAL FINANCING INCENTIVES WITH BUILDER'S LENDER</t>
  </si>
  <si>
    <t>Lake Shore</t>
  </si>
  <si>
    <t>Lake Cook to Cold Spring to Lake Shore, right to home.</t>
  </si>
  <si>
    <t>58+68X231X100X246</t>
  </si>
  <si>
    <t>Best deal in sought after Fox Point!! Meticulous 4BR all brick Ranch, cul-de-sac setting, many updates, inviting courtyard entry, brand new roof &amp; gutters 2014, newer windows, hwd floors, updated KI w/ granite opens to FR w/ brick FP, 3 bay windows, Pella sliding door to oversized park-like yard, paver patio. Close to town &amp; train.  Wonderful neighborhood amenities-New Pool 2015, lake, tennis cts. &amp; social events!</t>
  </si>
  <si>
    <t>Park/Playground, Pool, Tennis Courts, Pond/Lake, Dock-Community, Street Paved</t>
  </si>
  <si>
    <t>Pool, Lake Rights, Other</t>
  </si>
  <si>
    <t>Click link below or call office at 847-381-8800.</t>
  </si>
  <si>
    <t>Just right!  Perfect Ranch floor plan for you clients.  Excellent condition, show with pride!</t>
  </si>
  <si>
    <t>Eldorado</t>
  </si>
  <si>
    <t>RANDALL TO FARGO EAST TO BENT TREE SOUTH TO ELDORADO</t>
  </si>
  <si>
    <t>106X125X64X125</t>
  </si>
  <si>
    <t>Custom Home in desirable Eagle Brook w/fin bmt. Liv rm w/12' ceil's. Spacious gourmet kitchen opens to eating area and family rm w/ vltd clg, bay window &amp; fireplace. Master suite w/ 3 closets, tray ceiling &amp; updated bath! All bedrooms w/baths. Bmt feat: wet bar,rec and exercise rooms. Professionally landscaped private backyard w/gazebo,walk to park,new ac,blinds,gdo,faucets &amp; landscaping. Quick close OK.</t>
  </si>
  <si>
    <t>Humidifier, Water-Softener Owned, Central Vacuum, TV-Dish, Security System, CO Detectors, Ceiling Fan, Sump Pump, Sprinkler-Lawn, Backup Sump Pump</t>
  </si>
  <si>
    <t>Bar, Breakfast Room, Den, Foyer, Game Room, Recreation Room</t>
  </si>
  <si>
    <t>Bonus of 3k if accepted contract by 11 /13-11/26, 2k 11/27-12/11.  and close by 12/31/14.    Please make sure all doors are locked and lights off.    Professionally staged!</t>
  </si>
  <si>
    <t>Prospect</t>
  </si>
  <si>
    <t>Go West on Rt 72 -1/4 mile past Reinking Rd turn L on Richard  Brown Dr. follow signs to sales centr</t>
  </si>
  <si>
    <t>57X120</t>
  </si>
  <si>
    <t>*** IMMEDIATE MOVE IN READY**Our Clearview floorplan welcomes you with a large porch This 2117 sq. ft. home is perfect with 4 bedrooms and loft,  The kitchen has stainless steel appliances, tall cabinets and eat in area. as well as roomy living room/ dining room combo. Upstairs the master bedroom has huge closets as well as a bath that is a private oasis to relax because you also have a second bath for family.</t>
  </si>
  <si>
    <t>Central Air, Energy Efficient Package, Basement, Garage</t>
  </si>
  <si>
    <t>Must come to sales center to register client at 1331 Newport Ct. Please call 847-984-4883 for appt</t>
  </si>
  <si>
    <t>OPEN DAILY - Please ask for information on incentives on financing Quick close available. Call 847-984-4883 for further info.  Sales center is located at : 1331 Newport Ct</t>
  </si>
  <si>
    <t>Barrington Rd. S. of Golf to Greenmeadows. W. to W. Greenmeadows</t>
  </si>
  <si>
    <t>WOW!! Completely remodeled home with SO much to offer. Exterior offers a Huge 3 car garage, large yard, great shed, brand new driveway, and freshly landscaped. Interior features awesome Kitchen cabinets, SS appliances, granite counter tops, with a super fancy back splash. Remodeled bath, New plumbing, electric panel, windows, doors, trim, Brazilian walnut flooring, hvac, water heater, carpet... and so much MORE!!!!</t>
  </si>
  <si>
    <t>Aluminum Siding, Other</t>
  </si>
  <si>
    <t>Call or Text Brian at 630-523-4608 for combo</t>
  </si>
  <si>
    <t>Home shows great! Attorney Steve Nicholas holds earnest money.</t>
  </si>
  <si>
    <t>Kedzie to 85 W to your Home!</t>
  </si>
  <si>
    <t>THIS IS THE BEST OF THE BEST !!!!!ABSOLUTELY STUNNING!! INCREDIBLY REMODEL BRICK SPLIT LEVEL 4 BEDROOMS &amp; 2 BTH!  ALL NEW WINDOWS !!WITH CUSTOM KITCHEN CABINETS, EXOTIC GRANITE TOPS, BACKSPLASH &amp;SS APPLIANCES. BEAUTIFUL HARDWOOD FLOORS THROUGHOUT. NEW BATHS CUSTOM TILE DESIGNS &amp; MODERNS VANITIES. FULL FINISHED BASEMENT W/HUGE FAMILY ROOM /SIDE DRIVE BRICK GARAGE ! CALL  ANDREI ! ASAP</t>
  </si>
  <si>
    <t>Call Andrei Turcu @ 773 443-8087 cell</t>
  </si>
  <si>
    <t>103RD STREET TO CALIFORNIA, NORTH TO 102ND PLACE, WEST TO HOUSE</t>
  </si>
  <si>
    <t>35X103</t>
  </si>
  <si>
    <t>WONDERFUL, ONE-OWNER BRICK HOME FEATURING 4 BEDROOMS, 2 1/2 BATHS, FIRST FLOOR FAMILY ROOM, LARGE LIVING ROOM AND FORMAL DINING ROOM. HUGE EAT-IN KITCHEN. LOTS OF CLOSET SPACE, BEAUTIFULLY REFINISHED HARDWOOD FLOORS, SECOND FLOOR BATH HAS BEEN BEAUTIFULLY UPDATED!!SOME NEW WINDOWS, BRAND NEW SIDING, 1 1/2 CAR BRICK GARAGE WITH SIDE DRIVE. FULL UNFIN BSMT...JUST NEEDS A FEW OF YOUR DECORATING TOUCHES TO MAKE IT SHINE!</t>
  </si>
  <si>
    <t>USE SHOWING ASSIST..BUYER'S AGENT MUST ACCOMPANY</t>
  </si>
  <si>
    <t>WELL LOVED AND CARED FOR HOME..</t>
  </si>
  <si>
    <t>Versailles</t>
  </si>
  <si>
    <t>Route 34 or Wolf Crossing to 5th Avenue to Versailles Parkway</t>
  </si>
  <si>
    <t>SPECTACULAR BID</t>
  </si>
  <si>
    <t>129X125X110X127</t>
  </si>
  <si>
    <t>METICULOUS HOME IN CHURCHILL CLUB WITH MANY UPGRADES!!BEAUTIFUL HARDWOOD FLOORING THROUGHOUT FIRST FLOOR!GORGEOUS KITCHEN WITH CUSTOM UPGRADED 42 IN MAPLE CABINTERY,ISLAND,BLACK APPLCS!INCREDIBLE BONUS ROOM/OR 5TH BEDROOM!WOW!GREAT LOT WITH PROF LANDSCP AND AMAZING PAVER PATIO!! UPGRADED MASTER BATH WITH SOAKING TUB DOUBLE SINKS AND SEPARATE SHOWER!UPGD 6 PANEL DRS &amp; BASE! UPGD LIGHTING!  LIGHT &amp; BRIGHT!3 CAR TANDEM!</t>
  </si>
  <si>
    <t>Bonus, Den, Utility Room-2nd Floor</t>
  </si>
  <si>
    <t>Joy Mulder</t>
  </si>
  <si>
    <t>(630) 602-6062</t>
  </si>
  <si>
    <t>CALL BAIRD &amp; WARNER APPOINTMENT CENTER  855-746-9100 OR CLICK LINK BELOW</t>
  </si>
  <si>
    <t>PLEASE SCHEDULE APPOINTMENT WITH BW APPOINTMENT CENTER MUST HAVE APPOINTMENT</t>
  </si>
  <si>
    <t>FORRESTVILLE</t>
  </si>
  <si>
    <t>47 TO FORRESTVILLE, SOUTH TO ADDRESS</t>
  </si>
  <si>
    <t>2812 SQ FT</t>
  </si>
  <si>
    <t>as is condition</t>
  </si>
  <si>
    <t>Negotiable Realty Services, In</t>
  </si>
  <si>
    <t>(773) 282-5050</t>
  </si>
  <si>
    <t>Janusz Luterek</t>
  </si>
  <si>
    <t>email</t>
  </si>
  <si>
    <t>WEST ON 51ST ST TO KENNETH THEN NORTH TO HOME</t>
  </si>
  <si>
    <t>BEAUTIFUL 1 STORY HOME W/4 BEDROOMS AND 2 BATHS. FEATURES: OPEN FLOOR PLAN WITH NICE BIG LIVING ROOM, MODERN KITCHEN W/ GRANITE CTOP AND SS APPLIANCES. BEAUTIFUL HARDWOOD FLOORS. 2 BEAUTIFUL NEW BATHS. NEW INTERIOR AND EXT. DOORS. NICE BACK YARD WITH DECK AND 2.5 CAR GARAGE. CALL NOW!!!</t>
  </si>
  <si>
    <t>Nicoleta Calini</t>
  </si>
  <si>
    <t>(708) 822-9060</t>
  </si>
  <si>
    <t>CALL LISTING AGENT 708.822.9060</t>
  </si>
  <si>
    <t>LISTING OFFICE DOESN'T HOLD E.M. SEE ADD'L INFO DOWNLOAD PROPERTY DISCLOSURES. L/A RELATED TO SELLER. PLEASE E-MAIL ALL OFFERS.</t>
  </si>
  <si>
    <t>North of Armitage to Palmer East 1 Block to Keating Ave., Left (North) to property at 2236</t>
  </si>
  <si>
    <t>BRICK BUNGALOW WITH HARDWOOD FLOORS, 2 CAR DETACHED GARAGE, FULL UNFINISHED BASEMENT. NEWER WINDOWS. SELLER DOES NOT PROVIDE SURVEY, TERMITE OR DISCLOSURES. THIS PROPERTY IS UNDER AUCTIONS TERMS. 5% BUYERS PREMIUM PURSUANT TO AUCTION TERMS.  CASH ONLY.</t>
  </si>
  <si>
    <t>HSSS, LLC</t>
  </si>
  <si>
    <t>GO TO AUCTION.COM FOR DETAILS.  AUCTION DATE PENDING. $1,000 Buyer's Incentive</t>
  </si>
  <si>
    <t>LUCILLE</t>
  </si>
  <si>
    <t>County Farm South of Stearns to Sunset East to Lucille</t>
  </si>
  <si>
    <t>DEVIN</t>
  </si>
  <si>
    <t>22X30</t>
  </si>
  <si>
    <t>Fabulous living in Tall Oaks of Hanover Park!  Plenty of room to roam around in this 4 bedrooms, 2Â½ bath &amp; 3 car garage  with two story foyer with spiral staircase ~ Well maintained inside &amp; out ~ Kitchen with stainless steel appliances &amp; granite counter ~ Sunny family room with brick wall fireplace ~ Laminated wood floors,  with full finished basement ~ Newer roof, siding, all windows, washer &amp; dryer.</t>
  </si>
  <si>
    <t>Vaulted/Cathedral Ceilings, Skylight(s), Wood Laminate Floors, 1st Floor Laundry</t>
  </si>
  <si>
    <t>Sharlet Hakimi, e-PRO,SFR,SRES</t>
  </si>
  <si>
    <t>(847) 217-6147</t>
  </si>
  <si>
    <t>Call Showingtime at 855-746-9100</t>
  </si>
  <si>
    <t>No exemption on this property for 2013 ~ Just put in new sump pump.</t>
  </si>
  <si>
    <t>Fairmont</t>
  </si>
  <si>
    <t>First Street to Hillcrest then West to Fairmont on corner</t>
  </si>
  <si>
    <t>30X76X182X90X225</t>
  </si>
  <si>
    <t>New 2 1/2 bathrooms, kitchen, 2 sliding doors, ceramic tile, carpet, light fixtures, paint &amp; appliances.  4 bedrooms, 2 large separate living spaces, 2 storage rooms, large garage 27x20. Northern Illinois University North 40 is adjacent to your backyard. Just move in.</t>
  </si>
  <si>
    <t>Hillside, Raised Ranch</t>
  </si>
  <si>
    <t>Dan McClure</t>
  </si>
  <si>
    <t>Dan McClure 815-757-1691</t>
  </si>
  <si>
    <t>Call L/O or L/A. Vacant. Make appointment and show.</t>
  </si>
  <si>
    <t>Montrose to 7962 (Corner of Montrose and Executive Ct.</t>
  </si>
  <si>
    <t>48 X 103</t>
  </si>
  <si>
    <t>Donâ€™t miss this one of a kind - 4 bedroom home with 2 full baths â€“ Modern eat-in kitchen with Corian counter tops, island and ceramic tile flooring â€“ tons of storage.  Solid home with newer windows, furnace and roof. Great corner lot, centrally located near schools, park and shopping.</t>
  </si>
  <si>
    <t>JOHN V LEIGH ELEMENTARY SCHOOL</t>
  </si>
  <si>
    <t>2.5 % -225 (on Gross SP)</t>
  </si>
  <si>
    <t>Anthony Nasca, e-PRO</t>
  </si>
  <si>
    <t>(847) 384-7538</t>
  </si>
  <si>
    <t>Call Showing Assist - 855-746-9200</t>
  </si>
  <si>
    <t>AUSTIN TO 60TH ST EAST ONE STREET TO MASON SOUTH TO HOME.</t>
  </si>
  <si>
    <t>AMAZING UPDATED RAISED RANCH WITH FULL FINISHED BASEMENT! 3/4 BEDROOMS PLUS 2 FULL UPDATED BATHS! BRAND NEW KITCHEN WITH MAPLE CABINETS AND GRANITE COUNTER TOPS! 3 YEAR OLD FURNACE AND CENTRAL AIR. STAINLESS STEEL APPLIANCES! WOW! BUILT-IN DISHWASHER AND MICROWAVE! DECORATIVE TILE BACK SPLASH. GLEAMING HARDWOOD FLOORS THROUGHOUT. PROFESSIONALLY PAINTED! NEW FRONT PORCH &amp; DECK! WOW! NEW FLOOD CONTROL SYSTEM! WOWEE!</t>
  </si>
  <si>
    <t>WOW! WONDERFUL HOME WITH LOTS OF UPDATES! A 10+++</t>
  </si>
  <si>
    <t>CHELSEA</t>
  </si>
  <si>
    <t>RT 47 to Cross Street E  to Chelsea</t>
  </si>
  <si>
    <t>Chelsea Meadows</t>
  </si>
  <si>
    <t>78X128</t>
  </si>
  <si>
    <t>Large home - Finished basement - 4 Bedrooms-2-1/2 baths  fireplace - home needs TLC - BEING SOLD"- AS IS"-  NEEDS CARPETING AND PAINTING - TAXES AT 100% -</t>
  </si>
  <si>
    <t>2.5% -100 (on Gross SP)</t>
  </si>
  <si>
    <t>Peggy Feichten-Beiner, GRI</t>
  </si>
  <si>
    <t>(630) 357-1937</t>
  </si>
  <si>
    <t>call listing agent -630-292-1341 first</t>
  </si>
  <si>
    <t>KNOX</t>
  </si>
  <si>
    <t>Peterson East of Cicero, Knox South to home</t>
  </si>
  <si>
    <t>5959 SF</t>
  </si>
  <si>
    <t>Absolutely charming 4BR Tudor Style Home in Sauganash. This lovely home features many fine architectural appointments. Spacious formal LR &amp; DR w/arched doorways &amp; windows, coved ceilings, built-ins, kitchen has granite counters &amp; SS appliances leading into family room, Master Suite has walk-in closet, 1st floor bedroom &amp; full bath, hardwood floors throughout, newer windows, brand new concrete driveway.</t>
  </si>
  <si>
    <t>07X16</t>
  </si>
  <si>
    <t>Yvonne Antonacci</t>
  </si>
  <si>
    <t>(773) 818-0778</t>
  </si>
  <si>
    <t>Call listing agent at 773.818.0778</t>
  </si>
  <si>
    <t>SOUTH 55TH STREET TO MOODY SOUTH TO ADDRESS</t>
  </si>
  <si>
    <t>30X151</t>
  </si>
  <si>
    <t>3+ BED, 2 BATH, BRICK CAPE COD. ALL NEW REHAB FEATURES LOTS OF UPDATES: CENTRAL HEAT/AIR, AND MORE... DESIGNER FINISHES, HARDWOOD FLRS THRU-OUT, RECESSED LIGHTING THRU-OUT, CUSTOM KIT W/TOP OF THE LINE CABINETS, FINISHED BASEMENT AND MORE. WOW!! ABSOLUTELY STUNNING!! MANY FEATURES!YOU MUST SEE THIS HOME.</t>
  </si>
  <si>
    <t>1.75% (on Gross SP)</t>
  </si>
  <si>
    <t>Golden Enterprise Realty Inc</t>
  </si>
  <si>
    <t>(773) 523-8000</t>
  </si>
  <si>
    <t>Rosalie Diaz</t>
  </si>
  <si>
    <t>(773) 916-6418</t>
  </si>
  <si>
    <t>CALL, TEXT 773-916-6418 OR EMAIL realtyconnectnbroker@gmail.com</t>
  </si>
  <si>
    <t>EASY TO SHOW!</t>
  </si>
  <si>
    <t>ST ANDREWS</t>
  </si>
  <si>
    <t>RANDALL * EAST on FARGO *  East on ST. ANDREWS CIR</t>
  </si>
  <si>
    <t>90X145X89X137</t>
  </si>
  <si>
    <t>WOW! This home has it all! 3475 sq ft of Living Space, PLUS a Full Fin Bsmt*Newly Updated Kitchen &amp; Baths w/glazed cabinet*Hdwd Flrs*Granite Counters*SS Apps*Wrought Iron Spindles*XL Ldry w/Sink &amp; Front Loaders*2 story FR w/Masonry Stone FP &amp; Wet Bar*Lrg Master w/Sitting Area*Gorgeous Master Bath w/Jacuzzi Tub &amp; Sep Shower*1st Flr Den*$35,000 in NEW MARVIN Windows &amp; Skylights*Sprinkler Sys*Sec Sys*Big Bckyd!*Quiet St</t>
  </si>
  <si>
    <t>Humidifier, Central Vacuum, Security System, Intercom, CO Detectors, Ceiling Fan, Sprinkler-Lawn</t>
  </si>
  <si>
    <t>Bar, Den, Media Room, Recreation Room, Sitting Room, Workroom</t>
  </si>
  <si>
    <t>2.5%- $200 ON NET SALES PRICE (on Net SP)</t>
  </si>
  <si>
    <t>Please Schedule Through H&amp;S showing desk:1-855-917-9150</t>
  </si>
  <si>
    <t>The home has been meticulously maintained over the years: newly stained deck, painted exterior 2011, sealed cedar shingles. Awesome neighborhood w/tons of families. Quiet street yet seconds from everything.Former model with great floor plan</t>
  </si>
  <si>
    <t>Spinnaker</t>
  </si>
  <si>
    <t>Randall to Bowes east to Umdenstock south to Spinnaker and 1043</t>
  </si>
  <si>
    <t>Willow Bay</t>
  </si>
  <si>
    <t>136 X 84 X 135 X 47</t>
  </si>
  <si>
    <t>Beautiful, ready for you to move in! Cathedral foyer greets you as you enter this huge 4 bed, 2.1 bath home. Formal LR and DR. Family room w/cathedral ceiling, huge windows. Adjacent kitchen with center island, ss appliances, hardwood floor, butlerâ€™s pantry, office nook and glass doors to patio. 1st floor library easily converts to bedroom. Luxury mst suite w/WIC, soaker tub, sep shower, 2 vanities. Closets galore!</t>
  </si>
  <si>
    <t>Breakfast Room, Foyer, Library, Pantry, Walk In Closet</t>
  </si>
  <si>
    <t>Hugo Rodriguez</t>
  </si>
  <si>
    <t>(773) 878-9373</t>
  </si>
  <si>
    <t>Please click on "schedule a showing" and follow instructions. Thank you.</t>
  </si>
  <si>
    <t>Great home and community.  Occupied but easy to show, some notice needed.  Not a short sale or foreclosure, close as your buyers want/need.</t>
  </si>
  <si>
    <t>from W Marquette Rd turn to S Lawndale Ave then turn to W 60th Pl</t>
  </si>
  <si>
    <t>Gorgeous colonial type property with almost 1800 sq ft of living area! With a lovely porch in front, 4 spacious bedrooms and 2.5 bathrooms! Living room with hardwood floors and a Spacious backyard great for outdoor entertainment and more! Must See!</t>
  </si>
  <si>
    <t>3% ON GROSS SP (on Gross SP)</t>
  </si>
  <si>
    <t>Daniel J. Keltner</t>
  </si>
  <si>
    <t>(708) 336-3592</t>
  </si>
  <si>
    <t>Daniel Keltner, ABR</t>
  </si>
  <si>
    <t>Seller directed that all offers be made using the online offer system at www.homepath.com. Fannie Mae HomePath property. For offer submission tips, please see attached file.</t>
  </si>
  <si>
    <t>KEDZIE AVE. TO 108TH PLACE, WEST TO 3251 W. 108TH PLACE.</t>
  </si>
  <si>
    <t>WORTH</t>
  </si>
  <si>
    <t>41 X 121</t>
  </si>
  <si>
    <t>Beautiful 10+ rm, 3 or 4 bdrm. brk. split-lvl, fin sub-bsmt, 1 3/4 bths, incl. MBR shared bth w/Jacuzzi tub, updated kitch w/upgraded cabinetry, granite counters, lge fam rm w/nat firpl, oak trim, 6 panel drs. hdwd flrs, separate office/den off fam rm, gorgeous 3 season rm, 2 1/2 garage, shed, full fenced yd!  This one has it all!  + 13 mo. home warranty!  No Cont on Sale contracts. EM to be certified funds.</t>
  </si>
  <si>
    <t>Oven/Range, Microwave, Dishwasher, Dishwasher-Portable, Refrigerator, Washer, Dryer</t>
  </si>
  <si>
    <t>Exercise Room, Study, Sun/Florida Room</t>
  </si>
  <si>
    <t>Kagan Real Estate, Inc.</t>
  </si>
  <si>
    <t>(708) 448-6800</t>
  </si>
  <si>
    <t>Edmund Kagan</t>
  </si>
  <si>
    <t>708 612-2426</t>
  </si>
  <si>
    <t>24 HOUR NOTICE TO SHOW.  CALL LISTING OFFICE FOR APPOINTMENTS AT 708 448-6800</t>
  </si>
  <si>
    <t>Kimball to Foster, 2 blocks west to St. Louis Ave.</t>
  </si>
  <si>
    <t>41X130X38X129</t>
  </si>
  <si>
    <t>Brick home that features vintage charm. This property features a grand size living room, with a rare and unique terra-cotta fireplace. Original doors, refinished hardwood floors, freshly painted and new carpet on second level. This home offers a lot of storage, a full bathroom on first and second level, headed 3 car garage, and unfinished basement that is the length and width of this home. Has a lot of potential.</t>
  </si>
  <si>
    <t>American Patriot Realty, Inc.</t>
  </si>
  <si>
    <t>(815) 679-0684</t>
  </si>
  <si>
    <t>Shena Omotola</t>
  </si>
  <si>
    <t>(708) 203-9133</t>
  </si>
  <si>
    <t>Contact LA via text or email, Shena 708-203-9133, Shena@UCanDoRealEstate.com</t>
  </si>
  <si>
    <t>SELLER WILL GIVE $5,000 CLOSING COST CREDIT FOR EXECUTABLE AND/OR CLOSE BEFORE JAN. 1ST. Motivated Seller &amp; Pre-approved buyers ONLY! Agents MUST accompany ALL buyers. FHA Streamline can be used for this property for cosmetic updates.</t>
  </si>
  <si>
    <t>Bloomfield Lot#19</t>
  </si>
  <si>
    <t>Wolf's Crossing to Southbury to Colchester Bloomfield to home.</t>
  </si>
  <si>
    <t>KEATING-D</t>
  </si>
  <si>
    <t>Exciting New Construction "Autumn Gate at Southbury" 9Ft. Ceil on 1st Flr, Kit Ftrs 36" Tiered Cabs+Granite. Hardwood Flooring in Foyer. Family Rm w/Frpl. Stained Rails &amp; Spindles, Master Suite w/Lux MBath, 8Ft Full Basement 100% Energy Star. 30 Yr. Transferable Structural Warranty. Photos of Model.   Hurry............</t>
  </si>
  <si>
    <t>3%-$200 ON BASE PRICE +$5000 REALTOR BONUS IF CLOSED BY 4/30/15 (on Net SP)</t>
  </si>
  <si>
    <t>Agent must accompany buyers on first visit. Register with Nicolle. Commission paid on base price</t>
  </si>
  <si>
    <t>Meadow Trail East</t>
  </si>
  <si>
    <t>Rt 23 to Bethany to Meadow Trail East to House</t>
  </si>
  <si>
    <t>82X130</t>
  </si>
  <si>
    <t>A beautiful home on a lovely pond access lot. Great curb appeal, 4 BR, 2.5 baths. Home boasts lg. formal LR &amp; DR, big eat-in kitchen w/wonderful corian countertops, molded sink &amp; more! Lg. 1st floor FR &amp; great finished rec area in the basement. Good sized bedrooms include master w/vaulted ceilings, master bath w/whirlpool, 2 sinks. Lots of storage. Workroom w/benches, 2 car garage, 24x48 deck w/arbor. Great home!</t>
  </si>
  <si>
    <t>Gayle Wuori</t>
  </si>
  <si>
    <t>(815) 757-1107</t>
  </si>
  <si>
    <t>815-757-1107</t>
  </si>
  <si>
    <t>Newer Marvin windows. Nearly new exterior paint, new water softener, 2 new water heaters, new furnace, AC &amp; Aprilaire, new 6-panel doors on 2nd floor. New custom entry door. Firepit new in 2013, new top-quality garage door opener Jan, 2015.</t>
  </si>
  <si>
    <t>CANYON</t>
  </si>
  <si>
    <t>Randall 2 Royal Blvd E2 Valley Creek S2 Canyon</t>
  </si>
  <si>
    <t>WEDGEWOOD</t>
  </si>
  <si>
    <t>77X109</t>
  </si>
  <si>
    <t>This home is like-new and ready to go!Bamboo floors t/o 1st level gleam as you enter 2-story foyer. New Kitchen boasts new cabs, granite, island, walk-in pantry, and SS appliances. Walk out to private patio and fenced yard. Newer HVAC w/air cleaner, windows, roof and HWH. Formal DR w/wet bar; MBR suite with dbl bowl sink, sep shower,w/i closet; Fenced yard;Huge concrete patio; 3+car garage; Better than new !!!</t>
  </si>
  <si>
    <t>Cindi Cook, ABR,e-PRO</t>
  </si>
  <si>
    <t>(847) 707-8777</t>
  </si>
  <si>
    <t>CICERO AVE TO 59TH STREET EAST TO TRIPP N TO ADDRESS</t>
  </si>
  <si>
    <t>Room to Roam in the Spacious Rehabbed Brick Bungalow. First Floor Features Living Room, Formal Dining Room, Eat In Kitchen w/Marble Counter Tops, Bedroom, &amp; Enclosed Porch, Hardwood Floors Throughout. 2 Bedrooms Upstairs with Walk In Closets. Basement w/Large Family Room, Separate Bedroom, Full Bath, &amp; Laundry Room. Bathrooms w/Granite Vanities. All New Windows/Doors/AC/Furnace/Kitchen/Baths/Flooring/Carpet/Lighting.</t>
  </si>
  <si>
    <t>PASTEUR ELEMENTARY SCHOOL</t>
  </si>
  <si>
    <t>HANCOCK COLLEGE PREPARATORY SENIOR HIGH SCHOOL</t>
  </si>
  <si>
    <t>Jennifer Tapia</t>
  </si>
  <si>
    <t>(773) 339-6564</t>
  </si>
  <si>
    <t>Kedzie to Potomac to 3357</t>
  </si>
  <si>
    <t>25 X 123.74</t>
  </si>
  <si>
    <t>Gorgeous Gut Rehab! Hot Humboldt Park! 4 Bed/3.1 Bath. Spacious Living with Top Notch Finishes! Features Include: Hardwood Floors, Gorgeous Kitchen w/Stainless Steel Appliances &amp; Pantry, Yard, Two Car Garage, Master Suite with Walk In Closet. MBA w/Double Bowl Vanity. Large Rec Room, Laundry Room and Extra Storage in Lower Level. Completion end of July. This home qualifies for tax smart MCC</t>
  </si>
  <si>
    <t>Sergio &amp;  Banks Real Estate</t>
  </si>
  <si>
    <t>(773) 625-7653</t>
  </si>
  <si>
    <t>Diana Morales</t>
  </si>
  <si>
    <t>(773) 744-2240</t>
  </si>
  <si>
    <t>call Diana 773-744-2240</t>
  </si>
  <si>
    <t>$2,000 BONUS TO SA IF EXECUTED CONTRACT BY 10/31</t>
  </si>
  <si>
    <t>Elston East of Kimball to Christiana North to Home</t>
  </si>
  <si>
    <t>NEW CONST w/timeless elegance. Rarely avail rooftop on home from 3rd fl wet bar! High end SS kitchen w lge island, breakfast bar &amp; true kit table space and full dining room.Highly upgraded master spa w/ seated steam shower, double vanity and Jacuzzi. 2 wet bars, 3 heating systems (incl radiant in bsmnt). Sound wired thruout.  Home is 62ft long! This home will not disappoint, value in the sq footage &amp; detailed finish!</t>
  </si>
  <si>
    <t>CLEVELAND ELEMENTARY SCHOOL</t>
  </si>
  <si>
    <t>Bar, Eating Area, Recreation Room</t>
  </si>
  <si>
    <t>Not Your Average New Construction - Roof top on House with Bar!</t>
  </si>
  <si>
    <t>Between Diversey and Wellington-one blk west of Central</t>
  </si>
  <si>
    <t>BRK BNGLOW</t>
  </si>
  <si>
    <t>SHORT SALE//Brk Bungalow with plenty of room for a large family in need of repairs//SOLD BEFORE PRINTED//subject to lender approval</t>
  </si>
  <si>
    <t>Baseboard, Other</t>
  </si>
  <si>
    <t>2.5%-275 (on Net SP)</t>
  </si>
  <si>
    <t>ABC REALTORS, Inc.</t>
  </si>
  <si>
    <t>(773) 404-7000</t>
  </si>
  <si>
    <t>Elva Martinez</t>
  </si>
  <si>
    <t>(773) 386-1898</t>
  </si>
  <si>
    <t>lister to accompany</t>
  </si>
  <si>
    <t>owners of records</t>
  </si>
  <si>
    <t>CC: Pursuant to Short Sale. SHORT SALE MUST BE APPROVED BY LENDER//SUBJECT TO LENDER APPROVAL//SOLD BEFORE PRINTED</t>
  </si>
  <si>
    <t>Route 34 to Wolf Crossing Road, E on Wolf Crossing, R on Southbury, L on Willington Way.</t>
  </si>
  <si>
    <t>100X145X58X145</t>
  </si>
  <si>
    <t>Beautiful 4000 SF home and all newly renovated. Spacious kitchen features beautiful granite counter tops, tile backsplash and all ss appliances. Vaulted ceilings in family room and living room. First floor laundry. Full basement is plumbed for bath. Generous room sizes throughout the home.  3 car garage.</t>
  </si>
  <si>
    <t>One way south from Bryn Mawr between Clark and Broadway.  3 blocks north of Foster.</t>
  </si>
  <si>
    <t>LAKEWOOD BALMORAL</t>
  </si>
  <si>
    <t>37.5X123</t>
  </si>
  <si>
    <t>Investment opportunity in desirable Lakewood Balmoral Historic District.  There are 3 floors of living space above grade and an unfinished basement. The  home needs a complete gut rehab but the architecture is charming and it sits on an oversized 37.5 X 123 lot.  Tremendous value potential.</t>
  </si>
  <si>
    <t>School Bus Service, Commuter Bus, Commuter Train, Historical District</t>
  </si>
  <si>
    <t>Aluminum Siding, Block, Stone</t>
  </si>
  <si>
    <t>Maureen Murnane</t>
  </si>
  <si>
    <t>(312) 927-1661</t>
  </si>
  <si>
    <t>312-927-1661</t>
  </si>
  <si>
    <t>North or South on Elston to Winona, west on Winona to 4959.</t>
  </si>
  <si>
    <t>MASSIVE PRICE REDUCTION!!! Classic Brick Bungalow on great block!! 4 Bed, 2 Bath classic floor plan with updated Kitchen and Bath!!!  Full unfinished basement for more room to expand!! Updated Electric, Fenced Yard, Formal Living Room and Dining Room!! Walk-In Pantry and enclosed finished porch!! Hardwood Floors, 2 Beds/1 Bath on Second Floor, 2 Bed/1 Bath on 1st Floor, 2 Car garage.</t>
  </si>
  <si>
    <t>Call Listing Agent. 24 hours notice for all showings.</t>
  </si>
  <si>
    <t>Great Property  move in ready.  Updated kitchen and baths and a full unfinished basement for your ideas!!  Property is currently rented through 10/31/14.  House is also available for rent at $2000 p/m. Garage at $200 p/m.</t>
  </si>
  <si>
    <t>Stony Island To 83rd ST West To Dorchester South To Home</t>
  </si>
  <si>
    <t>Location! Location! Location! This beautifully remodeled Georgian located in pristine Avalon Park features new windows, hardwood floors, crown molding, coffered ceilings, espresso cabinets, stainless steel appliances, mosaic tile, Jacuzzi tub, new electric, new plumbing, new hot water tank, new furnace, French patio doors leading to double entry deck and a finished basement.  This property is a must see, call today!</t>
  </si>
  <si>
    <t>Bar-Dry, Hardwood Floors, Wood Laminate Floors</t>
  </si>
  <si>
    <t>Enterprise Realty Power Broker</t>
  </si>
  <si>
    <t>(773) 221-8550</t>
  </si>
  <si>
    <t>James Bohannon</t>
  </si>
  <si>
    <t>(773) 671-9569</t>
  </si>
  <si>
    <t>Call listing office for showing</t>
  </si>
  <si>
    <t>FULLERTON TO KEELER - 3 BLOCKS WEST OF PULASKI ST.</t>
  </si>
  <si>
    <t>Huge Single Family house! Needs some work but has LOTS of potential! Freddie Mac first look initiative for owner occupants expires 11/07/2014. Sold As-Is. Taxes prorated at 100% *Please be advised as of 10/23/14 seller has verbally accepted an offer, we are waiting for final addendums to be signed.*</t>
  </si>
  <si>
    <t>EMAIL OFFERS TO MARTIN.AURORA35@GMAIL.COM Offers MUST include: Cover Sheet, Addendum, and Preapproval/POF. AS-IS SALE. TAXES PRORATED AT 100%. EARNEST MONEY MUST BE CASHIER'S CHECK (no personal check or money order).</t>
  </si>
  <si>
    <t>53rd Street West to Kenwood, North to property</t>
  </si>
  <si>
    <t>Light filled Victorian brick house meticulously renovated by The Schwebel Company. Perfect combination of restored vintage features and modern comfort.New kitchen&amp; family room addition.Third floor master suite with designer walk-in closet and luxurious bathroom.All systems are new or updated, including 2 separate HVAC systems3 bdrms and 2 baths on the second floor.Landscaped rear yard with 1 parking space.</t>
  </si>
  <si>
    <t>Lilianna Sekula-Lark</t>
  </si>
  <si>
    <t>(773) 501-1913</t>
  </si>
  <si>
    <t>Please text or call the listing agent. 24 hours notice required</t>
  </si>
  <si>
    <t>111th to Hoyne, north to address</t>
  </si>
  <si>
    <t>50 X 196</t>
  </si>
  <si>
    <t>Beautiful home on tree lined street in Beverly/Morgan Park. Refinished hardwood floors, detailed millwork everywhere. Bright enclosed front porch, quaint side patio, eat in kitchen with walk in pantry. Landscaped yard.  Enter from mudroom or rare attached 2.5 car, heated garage. Well maintained. New roof 2013, boiler 2009. circuit breakers 2006.  Walking distance to great schools, Metra, CTA, Library, Arts Center</t>
  </si>
  <si>
    <t>Enclosed Porch, Foyer, Mud Room, Office, Pantry, Sewing Room</t>
  </si>
  <si>
    <t>7X21</t>
  </si>
  <si>
    <t>4X8</t>
  </si>
  <si>
    <t>Use showing assist or call agent at 708-417-6739</t>
  </si>
  <si>
    <t>Agent must occupy client.  Disclosures onsite.</t>
  </si>
  <si>
    <t>Wilson to Woodland Hills Road to Pine</t>
  </si>
  <si>
    <t>172X74X168X90</t>
  </si>
  <si>
    <t>Warm and inviting home ready for new family~Newer kitchen with Corian and stainless appliances~Fabulous sunroom with 3 walls of windows walks out to deck overlooking fenced in yard~family room w/brick fireplace &amp; built in bookshelves~formal living and dining rooms~4 bedrooms~New tile in bathrooms~large unfinished basement with endless possibilities~Large yard with tons of privacy and shed~Great house at a Great Price</t>
  </si>
  <si>
    <t>Stephanie Gosselin</t>
  </si>
  <si>
    <t>(630) 262-4350</t>
  </si>
  <si>
    <t>630-292-9828</t>
  </si>
  <si>
    <t>call showing desk 855-746-9093</t>
  </si>
  <si>
    <t>Not a distressed sale.  Priced to move quickly for the estate.  Being sold as/is.</t>
  </si>
  <si>
    <t>DAMEN TO OHIO,WEST 1/2 BLOCK TO PROPERTY</t>
  </si>
  <si>
    <t>EAST VILLAGE</t>
  </si>
  <si>
    <t>24 X 122</t>
  </si>
  <si>
    <t>Limestone &amp; masonry 3 level SF in hot East Village among Million $ Homes! Approx 4000sf minutes to downtown, METRA/expressway!! Smart  flr plan w/large living spaces designed for today's homeowner. Contemp finishes inc steel cabled staircase w/skylight. Huge master suite, Kitchen w/granite, ss appliances, dual zone, 2 C garage. Huge LL perfect for nanny or extended family.</t>
  </si>
  <si>
    <t>09X18</t>
  </si>
  <si>
    <t>Forced Air, Zoned</t>
  </si>
  <si>
    <t>Masonite, Stone, Limestone</t>
  </si>
  <si>
    <t>Anne Rodia, GRI</t>
  </si>
  <si>
    <t>(312) 893-3592</t>
  </si>
  <si>
    <t>773-720-1616 cell</t>
  </si>
  <si>
    <t>CALL OR EMAIL ANNE / 773-720-1616 | arodia@koenigrubloff.com</t>
  </si>
  <si>
    <t>House was built &amp; completed in 2002  Dishwasher &amp; dryer have been replaced 2-3 yrs ago. Roof work was done 2 years ago &amp; sealing all at the same time with a 10 year warranty thru A-1 roofing.  No HO exemption on taxes</t>
  </si>
  <si>
    <t>Rt 34 to Tuma Rd to Dakota to Heartland</t>
  </si>
  <si>
    <t>Wonderful floor plan with all the right upgrades: Maple cabinets, granite counters, hardwood floors, crown molding, wainscoting, French doors on den, raised hearth brick fireplace, stamped concrete patio, large 2nd floor laundry. Finished basement. Home has been freshly painted &amp; has new carpet. 4 nice sized bedrooms &amp; 2 1/2 baths. NO PERSONAL PROPERTY INCL. This is a Fannie Mae homepath property.</t>
  </si>
  <si>
    <t>Clubhouse, Park/Playground, Pool, Sidewalks, Street Lights, Other</t>
  </si>
  <si>
    <t>Den, Office, Play Room, Recreation Room, Other</t>
  </si>
  <si>
    <t>Call centralized showing at 877-977-1010.</t>
  </si>
  <si>
    <t>ALL OFFERS MUST BE SUBMITTED USING THE HOMEPATH ONLINE OFFER SYSTEM - WWW.HOMEPATH.COM. PAPERWORK FOUND IN ADDITIONAL INFO. TO SUBMIT OFFER. $1000 Buyer's Agent Bonus, restrictions apply. See homepath.com and bonus form in additional info.</t>
  </si>
  <si>
    <t>Barrington Rd south of Algonquin Rd to Mundhank W to Woodhaven Dr to Berkshire Ct</t>
  </si>
  <si>
    <t>WOODHAVEN</t>
  </si>
  <si>
    <t>110X167X298X254X228</t>
  </si>
  <si>
    <t>Well built brick house with private wooded backyard, cul-de-sac location. 1st floor office or 5th bedroom, full bath on 1st floor. Vaulted family room w/ wet bar, see-thru gas fireplace to kitchen. Large master bedrm w/ sitting rm, fireplace &amp; balcony plus bonus rm/exercise room. 2 Staircases to basement with fireplace and roughed-in plumbing. Tree-lined yard.</t>
  </si>
  <si>
    <t>Oven-Double, Microwave, Dishwasher, Refrigerator, Refrigerator-Bar, Washer, Dryer, Compactor-Trash</t>
  </si>
  <si>
    <t>Exercise Room, Sitting Room, Study, Sun/Florida Room</t>
  </si>
  <si>
    <t>Call LO.</t>
  </si>
  <si>
    <t>Being sold AS-IS</t>
  </si>
  <si>
    <t>118th</t>
  </si>
  <si>
    <t>Western to 118th Street. West to 2547</t>
  </si>
  <si>
    <t>4270 SQ FT</t>
  </si>
  <si>
    <t>Looking for a dynamic home that needs just a little bit of updating to make it a palace? This is the one for you! 4 Bedroom/2 Bath that features nice sized living room, huge eat in kitchen, sizable bedrooms and closets, big backyard and wood trim! Basement: 7 foot ceiling! AFFORDABLE price!     2 deck ramp for wheelchair access. Priced to sell! 2006- New Roof, Furnace, HWH and AC! AS IS! Short Sale Approval Required!</t>
  </si>
  <si>
    <t>2nd Kitchen, Deck, Tandem Room</t>
  </si>
  <si>
    <t>Using Showing Assist!</t>
  </si>
  <si>
    <t>CC: Pursuant to Short Sale. COOP Commission Subject to Lender Approval. Any reductions will be split 50/50 between listing agent and buyer agent. Email all offers to LutaloMcGee@AniRealEstate.com!</t>
  </si>
  <si>
    <t>PARKSIDE</t>
  </si>
  <si>
    <t>ORCHARD S*RT 71 WEST*SCHOOLHOUSE RD LT*PRAIRIE CROSS DR RT*DEERPOINT LN RT*PARKSIDE LT</t>
  </si>
  <si>
    <t>126X105X128X89</t>
  </si>
  <si>
    <t>RECENTLY APPRAISED AT $198,000* 2 STRY FOYER-GLEAMING HDWD FLRS*SPLIT 'T' STAIRCASE*EAT-IN KIT W/ALL APPLS,CNTR ISLAND,GLASS TILE BACKSPLASH,UPGRADED CABS &amp; LIGHTING,HUGE WALK-IN PANTRY*COZY FIREPL IN FAM RM*2 STRY LIV RM*ELEGANT DIN RM*1ST FLR DEN*9FT 1ST FLR*DBL DOOR ENTRY TO LUX MSTR SUITE-CATHEDRAL CEILNGS,DEEP WALK-IN CLOSET &amp; PRIV SPA-LIKE BATH W/DBL SINKS,SOAKING TUB,&amp; SEP SHWR*FRAMED BSMT-RDY TO FINISH</t>
  </si>
  <si>
    <t>Clubhouse, Pool, Tennis Courts</t>
  </si>
  <si>
    <t>Linda Price, ABR,CRS,e-PRO,GRI,SRES</t>
  </si>
  <si>
    <t>(630) 753-1333</t>
  </si>
  <si>
    <t>630-753-1333</t>
  </si>
  <si>
    <t>DO NOT TEXT*CALL LA TO SHOW*2 HR NOTICE PREFERRED</t>
  </si>
  <si>
    <t>PARAGON RELOCATION RESOURCES, INC</t>
  </si>
  <si>
    <t>3.5% COMMISSION! *RELO WILL ACCEPT HOME TO CLOSE CTG-NOT HOME TO SELL* PARAGON RELOCATION RESOURCES, INC MUST APPEAR AS SELLER ON CONTRACT*RELO ADDENDS REQUIRED</t>
  </si>
  <si>
    <t>RT 31 2 BONCOSKY W2 RIVER RIDGE N2 KATRINA N2 ACORN E2 HOME</t>
  </si>
  <si>
    <t>SURREY RIDGE</t>
  </si>
  <si>
    <t>185X162X176X164</t>
  </si>
  <si>
    <t>HURRY! BTFL ESTATE HOME ON PROF MANICURED 3/4 ACRE LOT! COZY FR W/BTFL BRK FP, HDWD FLRS &amp; CRWN! BRIGHT EAT-N KTCHN W/GRANITE C-TOPS, BRKFST BAR ISLAND, CSTM TILE B-SPLASH &amp; UPGRADED OAK CABS! SEP FRML DR W/BAY AREA &amp; CRWN OPENS 2 FRML LR! HUGE MSTR SUITE W/SIT AREA, VLTD CLNG, 3 CLSTS &amp; LUX BTH W/OVERSZ WHIRLPOOL TUB, DBL SINK VANITY &amp; REC LIGHTS! FIN BSMNT W/LRG REC RM &amp; EXTRA STG ROOM! NEW ROOF 2011! MINT COND!</t>
  </si>
  <si>
    <t>Oven-Double, Microwave, Dishwasher, Washer, Dryer, All Stainless Steel Kitchen Appliances</t>
  </si>
  <si>
    <t>Humidifier, CO Detectors, Ceiling Fan, Fan-Whole House, Sump Pump, Radon Mitigation System(s)</t>
  </si>
  <si>
    <t>Eating Area, Recreation Room, Sitting Room</t>
  </si>
  <si>
    <t>Deck, Patio, Gazebo</t>
  </si>
  <si>
    <t>29X24</t>
  </si>
  <si>
    <t>NEW ROOF 2011! GRACIOUS SZ BDRMS! CONVENIENT 1ST FLR LNDRY!</t>
  </si>
  <si>
    <t>COUNTY FARM RD TO STEARNS TO NEWPORT CR.</t>
  </si>
  <si>
    <t>OAKWOOD LANDING</t>
  </si>
  <si>
    <t>STATLER</t>
  </si>
  <si>
    <t>PRICED TO SELL...LARGEST MODEL IN OAKWOOD LANDING FEATURES...3YR. NEW ROOF &amp; SIDINGS, HARDWOOD FLOORING IN LIVING, FORMAL DINING &amp; FAMILY ROOM, STAIRS &amp; 2ND FLOOR HALLWAY, KITCHEN WITH GRANITE COUNTERTOP &amp; CERAMIC BACKSPLASH, BREAKFAST RM WITH BOW WINDOW, FINISHED BASEMENT WITH WET BAR AND CRAWL SPACE FOR STORAGE, LARGE WIC IN MASTERBEDRM, CONCRETE PATIO/DECK</t>
  </si>
  <si>
    <t>Investors Realty Ltd.</t>
  </si>
  <si>
    <t>(708) 764-6446</t>
  </si>
  <si>
    <t>Juliet Borja, ABR,GRI</t>
  </si>
  <si>
    <t>(630) 362-9841</t>
  </si>
  <si>
    <t>PLS TEXT LA - 630-362-9841</t>
  </si>
  <si>
    <t>PLEASE ALLOW 2HRS BEFORE SHOWING, SMALL DOG BARKS A LOT</t>
  </si>
  <si>
    <t>110th</t>
  </si>
  <si>
    <t>WESTERN TP 110TH ST E TO ADDRESS</t>
  </si>
  <si>
    <t>50X140</t>
  </si>
  <si>
    <t>THIS IS A FANNIE MAE HOMEPATH PROPERTY.  LARGE FRAME 4 SQUARE HOME, A BEVERLY PAINTED LADY.  NEEDS A KITCHEN, AND WORK INSIDE.  THE SPACE IS AMAZING AND IT IS CLOSE TO DINING AND SHOPPING.  DIRECTLY ACROSS FROM CLISSOLD SCHOOL THIS IS A REAL WINNER</t>
  </si>
  <si>
    <t>THE SELLER DIRECTS THAT ALL OFFERS BE SUBMITTED VIA HOMEPATH.COM  USE ATTACHED CONTRACT PKG FOR EASE OF SUBMISSION</t>
  </si>
  <si>
    <t>Ashland to Wrightwood, west to Marshfield, north to property-on west side of street</t>
  </si>
  <si>
    <t>Lincoln Park Extra wide-open interior floorplan. Over 3800 square feet. Beautiful finishes include custom built-ins throughout home. Amazing closet space and storage throughout. Open kitchen w/GE profile, SS, dbl oven, Newer Bosch DW, &amp; Pantry. Nice Crown moldings throughout. Lower level w/entertainment blt-in. Pella Windows. Back Deck off Great Room, 2+ car gar. w/attic storage. Amazing location close to everything!</t>
  </si>
  <si>
    <t>19X26</t>
  </si>
  <si>
    <t>Deck, Great Room, Pantry, Play Room</t>
  </si>
  <si>
    <t>Harry Maisel</t>
  </si>
  <si>
    <t>(773) 502-7622</t>
  </si>
  <si>
    <t>Tenants 25 hours notice required - Text Harry Maisel at 773-502-7622</t>
  </si>
  <si>
    <t>Owner is IL. Licensed Real Estate Broker. Owner will be providing a credit to buyer wanting a white kitchen.  See bonus of $5000 for co-op agent</t>
  </si>
  <si>
    <t>BLUE RIDGE</t>
  </si>
  <si>
    <t>RT 34 WEST TO OGDEN FALLS BLVD TO BLUE RIDGE LFT TO HOME</t>
  </si>
  <si>
    <t>HIGHLANDS AT OGDENFALLS</t>
  </si>
  <si>
    <t>77X143X70X151</t>
  </si>
  <si>
    <t>Great location close to tons of shopping and highways!  Open floor plan with huge kitchen!!!  Kitchen features island and brand new fridge!!  **REGULAR SALE**  Upstairs features 4 big bedrooms with tons of closet space.  Huge basement that is ready to be finished!!!  Home has been upkept and is ready for a new family!!  3 car attached garage!!</t>
  </si>
  <si>
    <t>Email questions or offers to asifsells@yahoo.com.  EM held by seller's attorney Edward Kusta.  Regular sale/Quick close possible.  Room sizes not verified.</t>
  </si>
  <si>
    <t>STATE</t>
  </si>
  <si>
    <t>MAIN STREET EAST TO 7TH/ 7TH STREET NORTH TO STATE/ STATE STREET WEST TO PROPERTY.</t>
  </si>
  <si>
    <t>SPACIOUS FOUR BEDROOM AND THREE BATHROOM SINGLE FAMILY HOME. VERY BEAUTIFUL HOME. SOLD AS IS / PROOF OF FUNDING MUST ACCOMPANY ALL OFFERS / PLEASE SUBMIT THE PURCHASE OFFER FORM LOCATED UNDER ADDITIONAL INFO WITH ALL OFFERS / PLEASE FAX ALL OFFERS TO THE OFFICE. SELLER WILL NOT RESPOND TO OFFERS UNTIL THE PROPERTY HAS BEEN ON THE MARKET 8-10 DAYS</t>
  </si>
  <si>
    <t>SELLER SAYS CASH ONLY</t>
  </si>
  <si>
    <t>13N443</t>
  </si>
  <si>
    <t>Plank Rd to Main St (Burlington Rd) go North to Property.</t>
  </si>
  <si>
    <t>162X232X160X226</t>
  </si>
  <si>
    <t>Plenty of living space to spread out and make your own. Nearly 4,000 square ft. Family room with stone fireplace.  Large private lot.  Great country setting.  Living room with fireplace as well. Formal dining room. Easy to show. Back up offer only at this time.</t>
  </si>
  <si>
    <t>Den, Loft, Recreation Room, Sun/Florida Room Heated</t>
  </si>
  <si>
    <t>12X30</t>
  </si>
  <si>
    <t>2.5% OR MINIMUM 1500 (on Gross SP)</t>
  </si>
  <si>
    <t>Easy to show. Use listing showing button.</t>
  </si>
  <si>
    <t>Write all offers on Modified 5.0 Contract. Contact agent before writing offer.</t>
  </si>
  <si>
    <t>Clark</t>
  </si>
  <si>
    <t>RT 31 2 WING ST W2 CLARK N2 HOME</t>
  </si>
  <si>
    <t>HURRY! GREAT OPP! DEEP FNCD LOT! NEW WNDWS '09! FURNACE '06! UPDATED ELEC! SPAC LR W/HDWD FLRS! BRIGHT EAT-N KTCHN W/TILE FLR, WHITE CABS &amp; ALL APPLS STAY! REMODELED BTH W/NWR TILE FLR, VANITY &amp; FIXTURES! 2ND FLR BDRMS W/SLOPED CLNGS! EXTRA STG! SEMI FIN BSMNT W/EXTRA 1/2 BTH! EXPERIENCED SS REP WILL GET THIS DONE!</t>
  </si>
  <si>
    <t>CC: Pursuant to Short Sale. **SHORT SALE - ALLOW TIME FOR LENDER APPROVAL** COMMISSION SPLIT 50/50 ON LENDER IMPOSED REDUCTION</t>
  </si>
  <si>
    <t>83rd to Aberdeen North to 82nd, East to Carpenter, and South to address.</t>
  </si>
  <si>
    <t>35X 123</t>
  </si>
  <si>
    <t>Brick bungalow  with side entrance in need of repair &amp; updating.  4th(&amp; possible 5th) bedroom is reflected in the unfinished walk up attic.  This home hasn't been for sale since it was built.  3 bedrooms, LR, DR, kitchen &amp; bath on main floor.  Look at what could be in MLS# 08474327.</t>
  </si>
  <si>
    <t>Gas, Radiant, Radiators</t>
  </si>
  <si>
    <t>Jean Reedy</t>
  </si>
  <si>
    <t>312-662-3333</t>
  </si>
  <si>
    <t>smith</t>
  </si>
  <si>
    <t>FHA won't work unless experienced 203K.</t>
  </si>
  <si>
    <t>WESTPORT</t>
  </si>
  <si>
    <t>RT72 E OF RT47 TO WESTER TO SHELTER ISLAND TO BROOKHAVEN TO WESTPORT</t>
  </si>
  <si>
    <t>38 X 155 X 137 X 131</t>
  </si>
  <si>
    <t>*SHORT SALE ** HARDWD FLRS THROUGHOUT! SOUGHT AFTER MODEL W/ 1ST FLR OFFICE &amp;  ENGLISH BSMT!  REMODELED IN 2006! GOURMET KITCH W/ MAPLE &amp; GRANITE OPENS TO FAM RM W/ CUSTOM STONE FIREPLACE &amp; BUILT-INS! SLIDING DRS TO DECK &amp; LARGE YD THAT BKS TO PARK! SOUGHT AFTER MAIN FLR OFFICE/PLAYRM! HUGE MSTR SUITE W/ LUXURY REMODELED BTH &amp; WLK-IN CLOSET! PLEASE ALLOW EXTENDED TIME FOR APPROVAL.</t>
  </si>
  <si>
    <t>Cul-de-sac, Park Adjacent</t>
  </si>
  <si>
    <t>Deenie Pomilia, ABR,GRI</t>
  </si>
  <si>
    <t>(847) 533-6605</t>
  </si>
  <si>
    <t>CALL LISTING OFFICE OR SHOWING ASSIST</t>
  </si>
  <si>
    <t>CC: Pursuant to Short Sale. *SHORT SALE** PLEASE ADVISE CLIENTS OF THE PROCESS &amp; EXTENDED APPROVAL TIME REQUIRED. EXPERIENCED SHORT TEAM*  *FHA APPRAISAL STILL ON RECORD - WILL SAVE YOUR FHA BUYER APPRAISAL COST.*</t>
  </si>
  <si>
    <t>From Southport East On Grace North on Wayne To House</t>
  </si>
  <si>
    <t>37.5X120</t>
  </si>
  <si>
    <t>Extraordinary Environs Built Single Family on oversized lot 37.5 feet wide! Could be up to 6 bedrooms but currently lives as 4 beds plus office and wood paneled library. Dble roof decks including magnificent loggia complete with fireplace, chandelier and ceiling fans. LL has radiant floors, fam room w/ kitchen and guest suite. 3 car garage. Home is 6210 sq ft plus 1119 sq ft in outdoor space! Magnificent home.</t>
  </si>
  <si>
    <t>Oven-Double, Microwave, Dishwasher, Refrigerator, High End Refrigerator, Refrigerator-Bar, Freezer, Washer, Dryer, Disposal, All Stainless Steel Kitchen Appliances, Wine Cooler/Refrigerator</t>
  </si>
  <si>
    <t>Exercise Room, Library, Office, Recreation Room</t>
  </si>
  <si>
    <t>Call text or email Laura Rubin 312 217 4444 or laura@laurarubin.com</t>
  </si>
  <si>
    <t>Extraordinary Environ's built home reduced in price $400k! Located on magnificent Wayne street in Southport corridor! Blaine School District. Some lighting exclusions - please verify with listing agent.</t>
  </si>
  <si>
    <t>Prairie Crossing</t>
  </si>
  <si>
    <t>Orchard to Galena W to Concord to Prairie Crossing Right</t>
  </si>
  <si>
    <t>BLACKBERRY CROSSING</t>
  </si>
  <si>
    <t>61 X 140</t>
  </si>
  <si>
    <t>BEAUTIFUL 4 BEDROOM HOME NICELY DECORATED &amp; IMMACULATE! GLEAMING HARDWOOD &amp; 9FT CEILINGS AS YOU ENTER~FORMAL LIVING &amp; DINING ROOM~LARGE ISLAND KITCHEN W/CORIAN COUNTERS, 42" CABINETS, WALK-IN PANTRY &amp; FULLY APPLIANCED~OPEN FLOOR PLAN TO FAMILY ROOM W/FIREPLACE &amp; FRENCH DOOR ENTRY TO DEN~ROOMY 2ND LEVEL W/SUPERSIZE MASTER SUITE, LUXURY BATH &amp; HUGE CLOSET~MATURE LANDSCAPED FENCED YARD W/DECK~FULL BASEMENT~308 SCHOOLS</t>
  </si>
  <si>
    <t>Humidifier, Sump Pump, Radon Mitigation System(s)</t>
  </si>
  <si>
    <t>2.5-$150.00 (on Gross SP)</t>
  </si>
  <si>
    <t>FAX 630-896-3357</t>
  </si>
  <si>
    <t>CC: Pursuant to Short Sale. VERY WELL MAINTAINED SHORT SALE!**SOLD AS-IS**Any lender imposed reduction to commission will be split equally between brokers.</t>
  </si>
  <si>
    <t>Oakdene</t>
  </si>
  <si>
    <t>Main St. west to Oakdene South</t>
  </si>
  <si>
    <t>OAKDENE</t>
  </si>
  <si>
    <t>287X479X487X499</t>
  </si>
  <si>
    <t>Best location for the $ in Barrington Hills....5 rolling acres close to the Village, schools &amp; metra train.  Charming 4/5BR, 3 BA home wtih pool, 2 screen porches and private yard.  Bring your design &amp; updating choices...Here's your chance to live in Barrington Hills where neighboring homes $1M+.</t>
  </si>
  <si>
    <t>Space Pac, Zoned</t>
  </si>
  <si>
    <t>Gas, Baseboard, Radiant, Zoned</t>
  </si>
  <si>
    <t>Pool, Horse-Riding Area, Horse-Riding Trails</t>
  </si>
  <si>
    <t>Den, Eating Area, Game Room, Recreation Room, Screened Porch</t>
  </si>
  <si>
    <t>Patio, Porch, Porch Screened, Horse Barn/Pole Barn, Pool In-Ground, Storms/Screens</t>
  </si>
  <si>
    <t>Call office to show.</t>
  </si>
  <si>
    <t>CC: Pursuant to Short Sale. CC: Pursuant to Short Sale. Sold "AS IS"; Taxes pro-rated at 100%; No Survey; Prequal required; Offers &amp; Co-op Comm. subject to 3rd party approval.   FYI, bank reply timing is uncertain.</t>
  </si>
  <si>
    <t>RT 34 TO HWY 71 SW TO MINKLER RD SOUTH TO HUNT CLUB (L) RIGHT ON MCLAREN</t>
  </si>
  <si>
    <t>66X139X102X141</t>
  </si>
  <si>
    <t>Better than new home in Hunt Club! Why buy new when these owners have added so many new home essentials including a large patio, fenced yard, partially finished basement, washer/dryer &amp; a $5k whole house H2O treatment system! All in this new clubhouse community w/on-site school! This is a short sale due to job transfer but rest assured, we have a 100% success rate with our short sales! All paperwork submitted!</t>
  </si>
  <si>
    <t>Kevin Buehner</t>
  </si>
  <si>
    <t>CC: Pursuant to Short Sale. This is a nice, clean home at a good value in Hunt Club. All paperwork has been submitted to lender.  Short sale due to job transfer. Disclosures attached to this listing. Please include disclosures and SS addendum with your offer.</t>
  </si>
  <si>
    <t>Racine south to 5300 then east 1 block to May then north to property.</t>
  </si>
  <si>
    <t>New City complete rehab. Gutted and ready for rehab. Waiver needed for all entering. Sold AS-IS. Verify ALL info. Enter at your own risk. Formal dining rooms, eat in kitchens, pantry, some built ins. Call listing office for additional info.</t>
  </si>
  <si>
    <t>Liz Dudeck &amp; Assoc.</t>
  </si>
  <si>
    <t>(773) 509-0199</t>
  </si>
  <si>
    <t>Elizabeth Dudeck</t>
  </si>
  <si>
    <t>See Showing Assist.</t>
  </si>
  <si>
    <t>As-is. Buyer to verify rm count, zoning/dim, school district, inspections, compliance, liens, escrows. WAIVER FOR ALL SHOWINGS. NO ATTIC WALK THRU.. DANGEROUS!!! Drive by showings preferred.</t>
  </si>
  <si>
    <t>Higgins (West of Nagle) to Normandy North</t>
  </si>
  <si>
    <t>Norwood Park opportunity 4 beds, 2.5 baths brick, just completed! Open floor plan, gorgeous finishes throughout, crown molding, chair rail, attention to detail. Classic, neutral kitchen w/granite and Merillat cabinets, ss appliances. Split level bonus room; ample closet space.Large family room w/beverage center.Dual zoned furnace/AC. Easy access to I-90, Norwood Park Metra Train Station and CTA Blue Line!  Must see!</t>
  </si>
  <si>
    <t>11X31</t>
  </si>
  <si>
    <t>Bonus, Study</t>
  </si>
  <si>
    <t>MCM Realty, Ltd.</t>
  </si>
  <si>
    <t>(773) 342-8200</t>
  </si>
  <si>
    <t>Aneta Korzec</t>
  </si>
  <si>
    <t>(847) 341-3401</t>
  </si>
  <si>
    <t>CALL LA</t>
  </si>
  <si>
    <t>65th</t>
  </si>
  <si>
    <t>Pulaski to 65th street east to 3709.</t>
  </si>
  <si>
    <t>4446 SQ FT</t>
  </si>
  <si>
    <t>PRICE REDUCTION !! Newly improved Huge 4 bedroom brick bungalow ! This is a Fannie Mae HomePath Property, Living room / dining room combo , large eat in kitchen . Upper level has  2 bedrooms and rec room with additional heating 2 car det garage, This is a large comfortable home to accommodate any family. This is a Fannie Mae HomePath property</t>
  </si>
  <si>
    <t>Include LBP in all offers. Submit offers through HomePath on line offers.  Read tips for selling agents in additional info</t>
  </si>
  <si>
    <t>Bonaventure</t>
  </si>
  <si>
    <t>Rt. 34 or Wolf Crossing to 5th Street to Bluegrass W to Bonaventure R to home</t>
  </si>
  <si>
    <t>63 X 113 X 61 X 114</t>
  </si>
  <si>
    <t>Immaculate Churchill Club 2700+SF home w/4 full beds + full basement ready to be finished*Original owner w/lots of builder upgrades such as 42â€™ Oak cabinets, large breakfast bar + eating area, computer work space, blk appliances package*formal FR &amp; LR*Nicely upgraded master bath w/separate shower, soaker tub &amp; double vanity*Well taken care of home in pool community*SS required LA has closed 100â€™s successfully! EZ sho</t>
  </si>
  <si>
    <t>CC: Pursuant to Short Sale. Show &amp; Bid w/confidence! LA has closed 100â€™s of short sales to date*CC will NOT be reduced*sold as-is due to SS w/all clean disclosures from seller*100%-taxes*buyer pays survey*60-90 days for appl*MUST use 6.0 contract for offer*No Docusig</t>
  </si>
  <si>
    <t>Olin H Smith</t>
  </si>
  <si>
    <t>ROUTE 64 TO ROUTE 23, NORTH TO PEACE, LEFT TO FRANTUM, LEFT TO OLIN H. SMITH DRIVE, LEFT TO 465.</t>
  </si>
  <si>
    <t>.49-.99 ACRES</t>
  </si>
  <si>
    <t>Gorgeous move in ready custom home, freshly painted on main floor, granite counters, walk-in pantry, butlers pantry, beautiful columns, stone fire place, upstairs loft area for   extra living space, finished basement w/ bar, amazing neighborhood w/ bike path, park &amp; 5 acres unbuildable behind you, add additional trees or enjoy the open field for the perfect space w/o the maintenance,  perfect  patio for entertaining.</t>
  </si>
  <si>
    <t>Loft, Walk In Closet</t>
  </si>
  <si>
    <t>2%-$200 (on Net SP)</t>
  </si>
  <si>
    <t>815-766-1803</t>
  </si>
  <si>
    <t>Call owner directly for an appointment @ 815-766-1803 or 815-766-1198 and ask for Jason or Bridget.</t>
  </si>
  <si>
    <t>Jason &amp; Bridget Funderburg</t>
  </si>
  <si>
    <t>Call owner directly for an appointment @ 815-766-1803 or 815-766-1198 and ask for Jason or Bridget.  Fax or email offers to listing agent.  Listing company does not hold earnest money.</t>
  </si>
  <si>
    <t>Central ave between Belmont and Addison to school east</t>
  </si>
  <si>
    <t>Wow, you need to see this beautiful 4 Bed/3 Bath designer modern home. Beautiful dark refinished hardwood floors throughout, custom paint, new windows, new roof, designer white gloss kitchen ss appliances and carerra marble ctrs, full finished basement with potential wine cellar. This home shows beautiful, move in ready! 1 Car Garage</t>
  </si>
  <si>
    <t>CLYBOURN TO WAYNE, NORTH TO 2142. WAYNE IS A QUIET ONE WAY STREET</t>
  </si>
  <si>
    <t>Absolutely STUNNING Fully Renovated Brick 4BR/3.1BA 3600 SQFT Lincoln Park SFH! Mayer School! $300,000+of UPGRADED Details in Exquisite Taste! Quality Finishes T/O, Rich Mldg,Built-ins,FAB Custom Kitchen, Viking Range, Pot Filler, Sound System W/Flush Mntd Speakers, 2 FP's, Lavish Master Ste, Stone Spa Bath, Air Jet Tub, Steam, Htd floors! Prof Outfitted Closets, Huge LL Rec Rm, Gar Deck &amp; Gardens! Breathtaking!</t>
  </si>
  <si>
    <t>Oven/Range, Dishwasher, Washer, Dryer, Disposal, All Stainless Steel Kitchen Appliances</t>
  </si>
  <si>
    <t>Deck, Foyer, Recreation Room, Walk In Closet, Other</t>
  </si>
  <si>
    <t>2.25% - $325 (on Net SP)</t>
  </si>
  <si>
    <t>24 HOURS NOTICE REQUIRED: Email Jennifer: jmills@koenigrubloff.com</t>
  </si>
  <si>
    <t>Halsted to 95th St, East to Lowe Ave, South to Home</t>
  </si>
  <si>
    <t>INCREDIBLY REHABBED BRICK RAISED RANCH W/ 4 BDRMS &amp; 2 FULL BATHS, YOU'LL BE AMAZED WHEN YOU ENTER THIS HOME, BEAUTIFUL HARDWOOD FLRS THROUGHOUT AWESOME OPEN FLOORPLAN, SOARING CEILINGS IN LIVING RM &amp; STUNNING EAT-IN KITCHEN W/ SKYLIGHT, GRANITE COUNTERS &amp; SS APPLIANCES, NEW BATHS W/ WHIRLPOOL TUB &amp; SEATED SHOWR, FINISHED BASEMENT W/ FAMILY RM, BDRM, BATH &amp; LAUNDRY</t>
  </si>
  <si>
    <t>EARNEST MONEY TO BE CERTIFIED FUNDS. EMAIL OFFERS TO ROY.NOVAK@COMCAST.NET</t>
  </si>
  <si>
    <t>PERSHING</t>
  </si>
  <si>
    <t>Just west of Ashland on Pershing Rd.</t>
  </si>
  <si>
    <t>2429,94</t>
  </si>
  <si>
    <t>An historically beautiful McKinley Park home located in a community oriented neighborhood.  This timeless 4 bedroom 3 bath has a lot to offer.  Decorated with fresh paint and covered in new flooring. This treasure boasts a new roof, siding and windows. Not to mention a spacious yard for parties and enjoyment, plus a sunroom to enjoy those upcoming spring and summer days!</t>
  </si>
  <si>
    <t>Foyer, Storage, Sun/Florida Room</t>
  </si>
  <si>
    <t>Wood Laminate Floors, 1st Floor Bedroom, 1st Floor Laundry</t>
  </si>
  <si>
    <t>TEXT L/A WITH ID, DATE AND TIME</t>
  </si>
  <si>
    <t>SELER REQUEST NO FHA LOANS  SELLER LICENSED ILLLINOIS REAL ESTATE BROKER.  LISTING AGENT NOT SELLER.</t>
  </si>
  <si>
    <t>Highwood</t>
  </si>
  <si>
    <t>ROUTE 20 (W OF ELGIN) 2 SHANNON 2 W AMBERSIDE</t>
  </si>
  <si>
    <t>80 X 128 APPRX</t>
  </si>
  <si>
    <t>Almost new home in Sandy Creek! Bank owned, this is a nice home and should qualify for financing. Taxes pro rated at 100% sold as is where is no survey provided.</t>
  </si>
  <si>
    <t>Secretary of Veterans Affairs</t>
  </si>
  <si>
    <t>Use attached VA contract only</t>
  </si>
  <si>
    <t>Rt 20 West of Randall Rd to Shannon Pkwy NORTH to  East Amberside EAST</t>
  </si>
  <si>
    <t>SANDY CREEK</t>
  </si>
  <si>
    <t>82 X 145 X 83 X 146</t>
  </si>
  <si>
    <t>Gorgeous â€œlike newâ€_x009d_ home offering Pottery Barn flair &amp; open floor plan. Spacious eat in kitch has 42â€_x009d_ wood cabs, loads of counter space, center island w/breakfast bar, &amp; breakfast room w/vaulted ceiling. FP in FR. 1st floor office. Master bed w/dbl WICs &amp; full bath. Huge upstairs loft. 2nd floor laundry. Unfinished basement w/9â€™ ceilings. Beautiful circular patio. Pristine condition! Amazing place to call home!</t>
  </si>
  <si>
    <t>Eating Area, Foyer, Loft, Office, Walk In Closet</t>
  </si>
  <si>
    <t>Royal Hartwig</t>
  </si>
  <si>
    <t>(847) 985-0200</t>
  </si>
  <si>
    <t>847-985-0200</t>
  </si>
  <si>
    <t>Call Showing Time @ 1-800-746-9464</t>
  </si>
  <si>
    <t>For information call co-lister Wendy Cox at 847-310-2038. Regular seller. Please email offers to Wendy@RealEstateFamily.net  Thanks!</t>
  </si>
  <si>
    <t>4n745</t>
  </si>
  <si>
    <t>IL64 to Foxfield s2 Citation r2 home</t>
  </si>
  <si>
    <t>365X240</t>
  </si>
  <si>
    <t>All new carpeting~Hardwood flrs refinished~Interior/exterior painted~3600 sqft~Crown molding/transoms~Lovely Hickory cabinets w/new granite/double oven~Stunning vaulted fam rm w/skylights/soaring FP~1st flr den/5th bdrm~Amazing huge master w/sitting rm/luxury bath amenities/large walk in/awesome bonus area~English bsmt studded w/bath rough in</t>
  </si>
  <si>
    <t>Humidifier, Intercom, Ceiling Fan, Sump Pump</t>
  </si>
  <si>
    <t>Bonus, Den, Foyer, Sitting Room, Walk In Closet</t>
  </si>
  <si>
    <t>From Irving Park head North on Bartlett, Right on Edgewood Drive to home.</t>
  </si>
  <si>
    <t>Well maintained and move in ready! This 4 bedroom Ranch has been updated inside and out. Kitchen boasts 42" maple cabinetry and a separate dining area with sliders to patio. Perfectly manicured yard with shed and cement patio is great for entertaining. Good sized bedrooms and neutral decor throughout. Master bedroom is currently being used as family room. Double wide driveway is a plus. You Must See and Offer Today!</t>
  </si>
  <si>
    <t>WOODLAND HEIGHTS ELEMENTARY SCHOOL</t>
  </si>
  <si>
    <t>First Class Realty</t>
  </si>
  <si>
    <t>(224) 444-8366</t>
  </si>
  <si>
    <t>Jacqueline Casino, CSC</t>
  </si>
  <si>
    <t>(847) 752-4003</t>
  </si>
  <si>
    <t>847-962-4360</t>
  </si>
  <si>
    <t>Call Showing Time 855-746-9805</t>
  </si>
  <si>
    <t>Town Center</t>
  </si>
  <si>
    <t>RT 72 WEST OF RANDALL RD TO TYRELL RD N TO TOWN CENTER BLVD W TO SALES OFFICE</t>
  </si>
  <si>
    <t>4% BASE SALES PRICE (on Net SP)</t>
  </si>
  <si>
    <t>Randall Road to Carrington Dr to Huntington</t>
  </si>
  <si>
    <t>Carrington Reserve</t>
  </si>
  <si>
    <t>CUL-DE SAC SETTING BACKS TO THE PRESERVE AREA HOME BOASTS AN OPEN FL PLAN, 2 STORY FAM RM &amp; AN UNFINISHED WALK-OUT BSMT ISLAND KTCH W HW FLRS, MSTR BR W/WALK-IN CLST &amp; VAULTED CEILING.100% tax proration, no survey or disclosures provided.For more information about HomePath homes and incentives, please visit HomePath. Room/Lot sizes are approx. POF strongly encouraged with all offers.</t>
  </si>
  <si>
    <t>Rutland</t>
  </si>
  <si>
    <t>N First St., W on Bethany Rd., N on Tygert, L on Larking, R on Comstock, R on Rutland to home.</t>
  </si>
  <si>
    <t>84X142</t>
  </si>
  <si>
    <t>Gorgeous 4 bed/3.5 bath ranch home has hardwood floors, maple cabinets, granite, SS appliances, and 2 fireplaces. Beautiful upgraded doors and trim work. Vaulted ceilings and wrought iron stair rail. Full finished basement has 2000 sq ft of living space--huge rec room, craft/sewing room, full bath, den/bedroom, and game room. 3 car garage; professionally landscaped yard with fire pit off patio. Must see!</t>
  </si>
  <si>
    <t>18X1</t>
  </si>
  <si>
    <t>Den, Game Room, Recreation Room, Sewing Room</t>
  </si>
  <si>
    <t>Premier Property Group of IL</t>
  </si>
  <si>
    <t>(815) 756-7119</t>
  </si>
  <si>
    <t>Kristen Burns</t>
  </si>
  <si>
    <t>(815) 501-9554</t>
  </si>
  <si>
    <t>Use show assist.</t>
  </si>
  <si>
    <t>Must have confirmation for showing.  Agent owned.</t>
  </si>
  <si>
    <t>105th St to Sacramento, north to property.  Sacramento is "one way" north</t>
  </si>
  <si>
    <t>Judy</t>
  </si>
  <si>
    <t>N First St then West on Ridge Dr and N on Judy</t>
  </si>
  <si>
    <t>85 X 15.7 X 113.4 X 65.1 X 88</t>
  </si>
  <si>
    <t>Beautiful two story with ceramic entry, large living room (HW), family room w/high efficiency fireplace, sun room (vaulted), eat-in kitchen (HW &amp; bay window) and Â½  bath on first floor.  Upstairs has new carpeting, huge master bedroom and bath with vaulted ceilings, 3 more bedrooms, and hall bath.  Basement has rec room, office, and laundry room.  Attached 2 car insul. gar. and fenced back yard with nice paver patio.</t>
  </si>
  <si>
    <t>Sun/Florida Room Heated, Recreation Room, Office</t>
  </si>
  <si>
    <t>Vaulted/Cathedral Ceilings, Hardwood Floors, Wood Laminate Floors</t>
  </si>
  <si>
    <t>Call L/O or if after hours call L/A. Easy to show.</t>
  </si>
  <si>
    <t>Kolb</t>
  </si>
  <si>
    <t>Electric baseboard heat was greatly enhanced with the addition of the high efficiency gas fireplace in 2011.   2002 New roof, Pella windows, and siding + MBR addition.  C/A system has UV filter.  Energy Usage Rept. included with Disclosures</t>
  </si>
  <si>
    <t>West on Harlem to Bryn Mawr, North of Bryn Mawr to Oketo</t>
  </si>
  <si>
    <t>40 X 186</t>
  </si>
  <si>
    <t>Stunning 4BR &amp; 2 full Bath, recently remodeled Raised Ranch with attached garage in sought after Norwood Park neighborhood! Rare Huge lot 40 x 184 sqft with possible garage in the backyard. High end SS appliances, whirlpool tub, brand new washer &amp; dryer, full finished basement with 2nd kitchen for possible in-law arrangement. New Water Heater &amp; New Furnace. Close to Blue Line, O'hare &amp; Hospital</t>
  </si>
  <si>
    <t>RubyJean Castelar</t>
  </si>
  <si>
    <t>(773) 744-9673</t>
  </si>
  <si>
    <t>Seller is willing to give up to $5,000 buyer's closing cost credit if close by end of February.</t>
  </si>
  <si>
    <t>Krpan</t>
  </si>
  <si>
    <t>Rt 23 to Foxpointe turn South to Borden to corner of Borden and Krpan Drive</t>
  </si>
  <si>
    <t>110X121</t>
  </si>
  <si>
    <t>Space, space, the final frontier. Krpan-built home, right across from Prairie South Elementary School.  Newly painted, hard wood floors, sunroom room with blinds built into windows, master bedroom with fireplace, and finished basement rec room. New carpet throughout main and second levels.</t>
  </si>
  <si>
    <t>37X11</t>
  </si>
  <si>
    <t>Foyer, Sun/Florida Room, Office, Recreation Room</t>
  </si>
  <si>
    <t>Linda Tillis 815-751-3159</t>
  </si>
  <si>
    <t>Call L/A 815-751-3159 or L/O for LB combination</t>
  </si>
  <si>
    <t>New roof, 2006; new furnace &amp; air, hot water heater, 2007; new electrical box, 2012, new garbage disposal, 2014; new stove , 2010.  Security System installed. Must be activated by ADT. Dining table &amp; chairs included if buyer wants.</t>
  </si>
  <si>
    <t>Belmont to Nordica to Henderson.</t>
  </si>
  <si>
    <t>ENGLISH T</t>
  </si>
  <si>
    <t>31X124</t>
  </si>
  <si>
    <t>Priced to sell Make offer!  Schorsch Village English T. newer wndows, oak Kitch cab, HW flrs 1st flr, upd ceramic full bths(3) on each flrs, lrg bed rms, sitting area betwen 2nd flr bed rms, LL rec rm. 2 zone heat/air. Great flr plan/solid home. Just sand flrs and paint and this house will be a showplace! Best House Schorsch Village dont take my word come see it! Great cond/sold as is. Estate sale. Inc Home Warranty.</t>
  </si>
  <si>
    <t>Chiappetta Realty Group</t>
  </si>
  <si>
    <t>(630) 560-9185</t>
  </si>
  <si>
    <t>Dan Chiappetta, e-PRO</t>
  </si>
  <si>
    <t>(847) 542-2076</t>
  </si>
  <si>
    <t>This house needs minor updating all baths are done. Estate sale. Great house but being sold as is. Office does not hold earnest money. I know you heard this before, but motivated seller!!</t>
  </si>
  <si>
    <t>Belle Plaine</t>
  </si>
  <si>
    <t>2 blocks north of Irving Park, one way east of Damen. Home is 4th house west of the EL tracks.</t>
  </si>
  <si>
    <t>30' X 125'</t>
  </si>
  <si>
    <t>Wonderful North Center classic Chicago home on beautiful block. Renovate or build new on this wide 30x125 lot. Large eat-in kitchen, sunny living room with south facing windows. Great location, near Metra Ravenswood station and Brown Line EL, North Center / Lincoln Square / Lakeview's shops and restaurants!  Click on 'additional information' for floor plan and survey.  Home is 4th house west of the EL tracks.</t>
  </si>
  <si>
    <t>Mud Room, Office, Tandem Room</t>
  </si>
  <si>
    <t>Edward Watts</t>
  </si>
  <si>
    <t>(847) 869-9494</t>
  </si>
  <si>
    <t>Click on 'Schedule a showing'.</t>
  </si>
  <si>
    <t>Kenneth Colbert</t>
  </si>
  <si>
    <t>To be sold in 'as-is' condition.  Please note, home is 4th house west of the EL tracks.  Some rooms do not have lamps or lights, so show during daylight hours only please.</t>
  </si>
  <si>
    <t>email Emily @ emilyackerman@atproperties.com</t>
  </si>
  <si>
    <t>Photos are from previous model, layout and style of finishes are nearly identical.</t>
  </si>
  <si>
    <t>NORMANDY</t>
  </si>
  <si>
    <t>Rt.35(Roberts) N take Rt.44(Rawson Bridge) L to Riverwalk L to Farnsworth R to Normandy (corner lot)</t>
  </si>
  <si>
    <t>RIVERWALK</t>
  </si>
  <si>
    <t>NUNDA</t>
  </si>
  <si>
    <t>132X98</t>
  </si>
  <si>
    <t>Walk right in to this stunning 2 Story &amp; make it yours! Enjoy the open flr plan, spacious 4 beds &amp; full unfinished basement. Lrg Kitchen w/eating area overlooks stamped concrete patio w/gas stub &amp; immense 1/4 acre corner lot perfect for outdoor fun! Luxurious Mstr Suite w/walk in closet &amp; en suite has soaking tub &amp; sep. shower. New paint, new window treatments, deep 2.5 car garage. Taxes don't reflect HO exemption!</t>
  </si>
  <si>
    <t>COTTON CREEK SCHOOL</t>
  </si>
  <si>
    <t>MATTHEWS MIDDLE SCHOOL</t>
  </si>
  <si>
    <t>WAUCONDA COMMUNITY HIGH SCHOOL</t>
  </si>
  <si>
    <t>Humidifier, Water-Softener Owned, TV-Dish, Ceiling Fan, Sump Pump</t>
  </si>
  <si>
    <t>Eating Area, Foyer, Utility Room-Lower Level</t>
  </si>
  <si>
    <t>Patio, Dog Run &amp;/or Invisible Fence, Stamped Concrete Patio</t>
  </si>
  <si>
    <t>Daniel Drake</t>
  </si>
  <si>
    <t>Use link below. Please turn off lights and lock doors.</t>
  </si>
  <si>
    <t>Regular seller. Please email offers to dandrake.re@gmail.com. For additional information contact Dan Drake at 847-347-3484. Taxes do not reflect the Home Owners Exemption. 2014 will be significantly less.</t>
  </si>
  <si>
    <t>E OF KOSTNER N AT AUGUSTA</t>
  </si>
  <si>
    <t>GREAT SF BRICK, 4 BED 3 BATH, 2 CAR GARAGE, FINISH BSMT, PRIVATE YARD. PROPERTY IS SOLD "AS IS". TAXES PRORATED 100% PRE-APROVAL/PROOF OF FUNDS MUST ACCOMPANY ALL OFFERS/ EARNEST MONEY MUST BE CASHIERâ€™S CHECK ONLY NO EXCEPTIONS. Property Subject To Freddie Mac First Look Program Until 2/3/2015  Buyer responsible to verify information provided. Highest and Best is on 01/26/2015 at 9:00 am.</t>
  </si>
  <si>
    <t>Panamerican Real Estate Inc</t>
  </si>
  <si>
    <t>(773) 622-4444</t>
  </si>
  <si>
    <t>Juan Peralta</t>
  </si>
  <si>
    <t>Any questions or offers please e-mail. Please download additional forms from MLS and attach to your offer. Please call to verify when sending offers, sometimes the emails go to Spam.</t>
  </si>
  <si>
    <t>EDGEWATER</t>
  </si>
  <si>
    <t>Edgewater is one way East! Ashland to Rosehill, South on Hermitage. East on Edgewater.</t>
  </si>
  <si>
    <t>ANDERSONVILLE</t>
  </si>
  <si>
    <t>Exceptional Andersonville 4 BR/3.5 BA newer construction SFH. Main level boasts large LR; spacious DR; stainless kitchen w/42" cabs, pantry &amp; granite breakfast bar opening to lrg separate family rm. 3 BR/2 BA upstairs. King-sized master w/vaulted ceiling, WIC, dbl vanity bath w/glass enclosed shower &amp; sep soaking tub. Finished LL w/huge rec rm, 8â€™ ceilings, 4th BR &amp; lrg storage. 2 fireplaces, back deck, 2 car garage.</t>
  </si>
  <si>
    <t>Foyer, Recreation Room, Storage</t>
  </si>
  <si>
    <t>Deck, Porch, Dog Run &amp;/or Invisible Fence, Storms/Screens</t>
  </si>
  <si>
    <t>Amie Klujian</t>
  </si>
  <si>
    <t>(312) 320-5339</t>
  </si>
  <si>
    <t>Email showings@swakegroup.com with Agent ID &amp; Cell Number</t>
  </si>
  <si>
    <t>Few blocks to new Edgewater Metra stop being built in 2015 at Ridge/Peterson/Ravenswood</t>
  </si>
  <si>
    <t>DIVISION TO HAMLIN SOUTH TO PROPERTY</t>
  </si>
  <si>
    <t>25 125</t>
  </si>
  <si>
    <t>FANTASTIC STARTER HOME. 4 BED 1 BATH, FRONT YARD, LARGE  GARAGE, INVESTOR'S DREAM! SOME TLC NEEDED.</t>
  </si>
  <si>
    <t>Gravity Air</t>
  </si>
  <si>
    <t>ONLY OWNER OCCUPANTS WILL BE CONSIDERED IN FIRST 20 DAYS. RM SIZES ARE ESTIMATED. SUBMIT ALL OFFERS VIA HOMEPATH.COM LOOK UNDER ADDTL INFO TAB FOR OFFER INSTR.</t>
  </si>
  <si>
    <t>ARCHER  AVE TO RUTHERFORD ,SOUTH TO THE HOUSE</t>
  </si>
  <si>
    <t>LOCATION,LOCATION,LOCATION IN THE HEART OF GARFIELD RIDGE.  PERFECT FOR ALL CITY WORKERS AND OTHER PEOPLE TOO.ONLY ONE BLOCK TO ARCHER AVE..EASE COMMUTE TO DOWN TOWN BY BUS,TRAIN  OR I-55.TOTAL REMODELED  4 BEDROOM RANCH ON GORGEOUS 40 FOOT LOT WITH SIDE DRIVE.2 CAR GARAGE AND PLENTY OF PARKING SPACE.SUBURBAN LIVING IN THE CITY.MODERN KITCHEN WITH A NEW CABINETS GRANITE COUNTER TOPS S.S. APPLIANCES.COME SEE IT TODAY</t>
  </si>
  <si>
    <t>Stan Harla</t>
  </si>
  <si>
    <t>(630) 201-3539</t>
  </si>
  <si>
    <t>BOOK TRUE SCHEDULE A SHOWING AND CALL OR TEXT L/A 630-201-3539 TO CONFIRM</t>
  </si>
  <si>
    <t>PRE-APPROVAL LETTER OR PROOF OF FUNDS PLEASE</t>
  </si>
  <si>
    <t>AUGUSTA BLVD TO MAYFIELD AVE. 2 BLOCKS EAST OF AUSTIN BLVD</t>
  </si>
  <si>
    <t>AUSTIN VILLAGE</t>
  </si>
  <si>
    <t>TERRIFIC OPPORTUNITY FOR THE FIRST TIME HOME BUYERS OR INVESTORS,  CONVENIENT AUSTIN AREA JUST 2 BLOCKS FROM AUSTIN BLVD.  4 BEDROOM 2 FULL BATH BRICK HOME.  PROPERTY NEEDS WORK BRING YOUR UPDATING IDEAS. PROPERTY FEATURES, HARDWOOD FLOORS,SEPARATE DINING ROOM, NEWER REAR PORCH WITH DECK AREA. CENTRAL HEAT,  FULL UNFINISHED BASEMENT</t>
  </si>
  <si>
    <t>SENTENO</t>
  </si>
  <si>
    <t>BUYERS AGENT MUST ACCOMPANY ALL SHOWINGS,  OWNERS WILL BE MONITORING ALL SHOWINGS.</t>
  </si>
  <si>
    <t>Madison St to Albany, S on Albany to property</t>
  </si>
  <si>
    <t>22X100</t>
  </si>
  <si>
    <t>Bungalow in East Garfield Park! This property has four full bedrooms, hardwood floors, a detached garage, and a lovely front porch. Close to restaurants, parks, and public transit! This is a Fannie Mae Homepath Property. This property is eligible under the First Look Initiative through 2/6/15.</t>
  </si>
  <si>
    <t>3% OR $1,000, WHICHEVER IS GREATER (on Net SP)</t>
  </si>
  <si>
    <t>Submit offers on homepath.com.</t>
  </si>
  <si>
    <t>Harlem to Fitch, First street south of Touhy  west to 7246</t>
  </si>
  <si>
    <t>Edison Park Estate Sale. Clean Home with tear off roof on house and garage, new aluminum trim and siding on back porch, all done in last 3 years. Spacious 2nd floor bedrooms with high ceilings. Nice hardwood floors on the first floor.Full basement. Great neighborhood. Bring your decorating ideas. Estate sale "as is condition"</t>
  </si>
  <si>
    <t>Jolanta Kazimierski</t>
  </si>
  <si>
    <t>(773) 742-7936</t>
  </si>
  <si>
    <t>Estate sale.</t>
  </si>
  <si>
    <t>WESTERN TO 107TH EAST TO PROSPECT THEN SOUTH TO HOME</t>
  </si>
  <si>
    <t>200X50</t>
  </si>
  <si>
    <t>Gorgeous Totaly remodeled home on a Big Fenced in lot with lots of improvements. New Roof,Windows,siding, gutters,sofet,facia. 2 Sept.Heating,Cooling Systems. Home has 4 bed &amp; 4.1 Bath. Full funished basement. Each leval has a Full Bath and master bedroom has own bath also. Hardwood floors throughout house. Huge beautiful kitchen with island &amp; SS appliances with slider door to deck. Shows Like a Model !!</t>
  </si>
  <si>
    <t>Office, Recreation Room, Sitting Room</t>
  </si>
  <si>
    <t>2%-100 (on Gross SP)</t>
  </si>
  <si>
    <t>RE/MAX AllStars</t>
  </si>
  <si>
    <t>(847) 965-5544</t>
  </si>
  <si>
    <t>Barbara Florczyk</t>
  </si>
  <si>
    <t>(847) 507-5050</t>
  </si>
  <si>
    <t>Call Barb</t>
  </si>
  <si>
    <t>Big and Beautiful Home, Come and see for yourself !</t>
  </si>
  <si>
    <t>Osage</t>
  </si>
  <si>
    <t>TAKE BELMONT TO OSAGE AVE THEN NORTH TO PROPERTY.</t>
  </si>
  <si>
    <t>Attention Rehabbers. Cash offers only. House needs work. Demolition work was started, plans and permits provided. House sold "as is" where is. Buyer to verify room count and dimensions. Dimensions given off of plans</t>
  </si>
  <si>
    <t>M&amp;M Realty INC</t>
  </si>
  <si>
    <t>(773) 499-3192</t>
  </si>
  <si>
    <t>Monika Zalachowski</t>
  </si>
  <si>
    <t>Call/Text Email LA 773 499-3192</t>
  </si>
  <si>
    <t>Not short sale or foreclosure. Brink flashlight and use caution when entering. Showings are monitored so please return the keys. Part Owner is a licensed Real Estate Broker.</t>
  </si>
  <si>
    <t>SHOE FACTORY RD W OF RT 59 TO COBBLERS CROSSING SOUTH TO 1045</t>
  </si>
  <si>
    <t>THIS HOME FEATURES 4 BED WITH A FIRST FLOOR DEN LARGE KITCHEN WITH LOADS OF CABINET AND COUNTER SPACE AND PLANNING DESK SLIDING GLASS DOORS TO BEAUTIFUL 2 TIERED  DECK AREA. BRIGHT 2 STORY FAMILY ROOM WITH GAS START 2 STORY F/P AND WINDOWS FLOWS INTO KITCHEN AREA. MASTER BEDROOM IS SPACIOUS WITH A LARGE CLOSET AND NICE SIZE MASTER BATH.. NICE SIZE UNFINISHED BASEMENT HOME WARRANTY INCLUDED</t>
  </si>
  <si>
    <t>Susan Maday</t>
  </si>
  <si>
    <t>(630) 460-6778</t>
  </si>
  <si>
    <t>630-460-6778</t>
  </si>
  <si>
    <t>Please remove your shoes... Call showing desk to set appointment</t>
  </si>
  <si>
    <t>Diane</t>
  </si>
  <si>
    <t>McLean Blvd to Royal Blvd, W to Diane, N to 887.</t>
  </si>
  <si>
    <t>80X132</t>
  </si>
  <si>
    <t>AMAZING QUALITY &amp; FUNCTIONALITY must be seen to appreciate!!!  Gleaming hardwood floors, open floorplan &amp; family room addition highlight 1st flr of this contemporary ranch! Numerous updates incl thermopane windows, newer roof, furnace, water heater, sewer line &amp; radon mitigation! Bsmt level wet bar, bold shower bath, recessed lighting, 4th BR &amp; finished laundry will inspire your guests! Wonderful fenced yard w/patio!</t>
  </si>
  <si>
    <t>TV-Cable, Security System, CO Detectors, Ceiling Fan, Air Exchanger, Radon Mitigation System(s)</t>
  </si>
  <si>
    <t>Stainless steel appliances &amp; corian c-tops, custom window treatments, newer garage door &amp; opener. Exclude bsmt wall speakers.  A pleasure to show!!!</t>
  </si>
  <si>
    <t>RT34 TO OGDEN FALLS BLVD TO TREASURE, RIGHT TO RAINTREE</t>
  </si>
  <si>
    <t>Beautiful home in highly desirable Oswego East High School.  New paint throughout first floor.  Large kitchen with stainless appliances, center island,  separate eating area and breakfast bar.  Sunroom off kitchen allows for ample natural light.   First floor den.  4 Generous sized bedrooms.  Master bedroom has his/hers closets, bath w/ separate shower/jacuzzi tub and dbl sinks.  Well maintained!</t>
  </si>
  <si>
    <t>Humidifier, TV-Dish, TV Antenna, Ceiling Fan, Sump Pump, Backup Sump Pump</t>
  </si>
  <si>
    <t>click showing assist to scheduled showing</t>
  </si>
  <si>
    <t>Easy to show!  picnic table and portable grill can stay.  Stack of wood for fireplace stays.  Upstairs window treatments negotiable.</t>
  </si>
  <si>
    <t>81ST</t>
  </si>
  <si>
    <t>LAWNDALE TO 81ST PL W. TO PROPERTY</t>
  </si>
  <si>
    <t>WONDERFULLY REHABBED 3 BDRM RAISED RANCH READY TO MOVE IN. MAIN LEVEL FEATURES LIVING RM W/ CROWN MOLDING &amp; RECESSED LIGHTING, SPACIOUS KITCHEN W/ GRANITE, SS APPLIANCES, TILE BACK-SPLASH. HRWD FLRS THROUGH-OUT. FULL FINISHED BSMT W/ FAMILY RM, FULL BATH AND ADDITIONAL BDRM. NEW IMPROVEMENTS ALSO CONCRETE AND WINDOWS. 2 CAR GARAGE &amp; NICE YARD. YOUR BUYER WILL LOVE IT.</t>
  </si>
  <si>
    <t>3851 81ST SERIES LLC</t>
  </si>
  <si>
    <t>South Shore</t>
  </si>
  <si>
    <t>north/south on South Shore to property.</t>
  </si>
  <si>
    <t>Exceptional opportunity with this spacious 4 bed/2 bath home, that's set up as a 2-flat. Great rental opportunity! Full unfinished basement with a bath. Detached 2 car garage. 2nd floor has updated kitchen &amp; bath. Property needs some work, especially in basement. This is a Fannie Mae HomePath property. Buyer to verify all info.</t>
  </si>
  <si>
    <t>Submit offers @ www.homepath.com via HomePathOnlineOffers system. Include POF/pre-approval &amp; EM copy with your offer. USE ATTACHED CONTRACT PACKAGE FORMS. 10% EM on all cash offers. 100% tax proration. Buyer pays survey &amp; transfer tax.</t>
  </si>
  <si>
    <t>PULASKI RD N OR S TO 27TH ST WEST TO KOMENSKY SOUTH TO HOME</t>
  </si>
  <si>
    <t>RARE HUGE BRICK BUNGALOW LOCATED IN LITTLE VILLAGE 4 BEDROOMS HUGE MASTER SUITE W/ATTACHED FULL BATH  FULL UPDATED KITCHEN W/ISLAND AND DINING AREA HW FLOORS THROUGH OUT FENCED IN YARD NEW GARAGE W/DOUBLE OVERHEAD DOOR AND ATTACHED COVERED PATIO SEMI-FINISHED BASEMENT WITH FULL BATH READY FOR YOUR IDEAS NEAR: CTA STOP, I-55, MIDWAY, PULASKI RD SHOPPING STRIP, SCHOOLS. MUST SEE!</t>
  </si>
  <si>
    <t>Andres Figueroa</t>
  </si>
  <si>
    <t>(773) 552-1910</t>
  </si>
  <si>
    <t>CALL LISTING AGENT 773-552-1910 24HR NOTICE REQUIRED</t>
  </si>
  <si>
    <t>KELSO</t>
  </si>
  <si>
    <t>LAWRENCE TO KARLOV S TO SLIGHT RIGHT TO KENNICOTT TO RIGHT TO KELSO TO HOME</t>
  </si>
  <si>
    <t>BRICK STEP RANCH IN MAYFAIR AREA. FULL FINISHED BASEMENT WITH BEDROOM, BATHROOM, OFFICE, AND FAMILY ROOM; 2 CAR DETACHED GARAGE.  PROPERTY IS SOLD IN AS-IS CONDITION, 100% TAX PRORATION, NO SURVEY, NO DISCLOSURE. ALL PROSPECTIVE BUYERS ARE ENCOURAGED TO BE PREQUALIFIED THROUGH DITECH, SELLER PREFERRED LENDER, PRIOR TO AN OFFER BEING ACCEPTED;</t>
  </si>
  <si>
    <t>Office, Walk In Closet</t>
  </si>
  <si>
    <t>3% (OR $1000 MINIMUM WHICH EVER IS GREATER) (on Net SP)</t>
  </si>
  <si>
    <t>CALL 800.621.0894 OR APPLY ONLINE AT www.reo.ditech.com, DITECH PROVIDES "FREE FINANCIAL ANALYSIS", COMPETITIVE RATES, TERMS, LOW-MONEY DOWN PROGRAMS, GUARANTEED ON-TIME CLOSING, AND MAY OFFER CLOSING COST ASSISTANCE. GET PRE-APPROVED TODAY</t>
  </si>
  <si>
    <t>WELD</t>
  </si>
  <si>
    <t>RT 20 W OF RANDALL TO WELD N TO HOME</t>
  </si>
  <si>
    <t>BEAUTIFULLY MAINTAINED &amp; UPDATED BY ORIGINAL OWNERS. LAMINATE FLOORS IN FOYER HALLWAY &amp; KITCHEN. NEW STAINLESS STEEL APPLIANCES, REFACED KITCHEN CABINETS. WHITE 6 PANEL DOORS. MASTER BATH WITH SEPARATE TUB &amp; SHOWER . DOUBLE SINKS AND WINDOW IN BATHROOM. LIGHT AND BRIGHT HOME. FINISHED BASEMENT AND EXTRA STORAGE ROOM.  2 CAR GARAGE AND  LARGE LOT MAKE THIS HOME A MOST SEE ! 24 HOUR NOTICE TO SHOW.</t>
  </si>
  <si>
    <t>2.5 % - $250.00 (on Net SP)</t>
  </si>
  <si>
    <t>Ann Digioia</t>
  </si>
  <si>
    <t>(847) 274-2808</t>
  </si>
  <si>
    <t>call office 847-985-7050</t>
  </si>
  <si>
    <t>PLEASE REMOVE SHOES</t>
  </si>
  <si>
    <t>Grand View</t>
  </si>
  <si>
    <t>Rte 31 to Red Gate to Tradition to Grand View</t>
  </si>
  <si>
    <t>TRADITION</t>
  </si>
  <si>
    <t>75X205X148X151</t>
  </si>
  <si>
    <t>Walk to North High School!Super access to Bike trails,Dog park, Shopping and Major highways! Salt Water Pool w/Stone waterfall.  3900 Sq. Ft. John Hall built Home on professionally landscaped cul-de-sac-lot in Traditions. Offers Hardwood floors, Moldings, Large family room, Den, Built-in shelving, Gourmet kitchen, Luxury Master suite, Fully finished bsmt with rec area, large wet bar, &amp; full bath. 3 Car garage!</t>
  </si>
  <si>
    <t>Cul-de-sac, Fenced Yard, Landscaped Professionally, Wooded</t>
  </si>
  <si>
    <t>Den, Sitting Room, Recreation Room, Bar, Game Room</t>
  </si>
  <si>
    <t>Deck, Dog Run &amp;/or Invisible Fence, Brick Paver Patio, Pool In-Ground, Storms/Screens</t>
  </si>
  <si>
    <t>33X16</t>
  </si>
  <si>
    <t>mdc4remax@aol.com</t>
  </si>
  <si>
    <t>Contact co-lister Michelle Collingbourne with questions/offers at 630-688-8207.</t>
  </si>
  <si>
    <t>PEACH TREE</t>
  </si>
  <si>
    <t>Barrington Rd. TO Walnut (w) to Peach Tree</t>
  </si>
  <si>
    <t>Hanover Gardens</t>
  </si>
  <si>
    <t>Great updates; Newly Painted, New Appliances in Kitchen, Washer-Dryer about 3 years old, Main Floor Laminated wood. Kitchen and Baths have Ceramic tiles. Various Fans and Electric fixtures replaced.  Roof, new concrete walk, stoop,driveway and patio about 7 years ago;4th bdrm and Family room in lower level. Fantastic fenced yard plus deck. A definite must see to appreciate!</t>
  </si>
  <si>
    <t>2.5%-$225 (on Gross SP)</t>
  </si>
  <si>
    <t>Madan Khatri</t>
  </si>
  <si>
    <t>(847) 530-1550</t>
  </si>
  <si>
    <t>Show it to appreciate. Please remove shoes or wear booties and turn off lights before you leave.</t>
  </si>
  <si>
    <t>marshfield to 89th south to address</t>
  </si>
  <si>
    <t>45X205</t>
  </si>
  <si>
    <t>****APPROVED FOR $68,000****....WOW,BI-LEVEL ON A PARK LIKE LOT WITH 4 bedroom all brick bi-level in need of TLC. driveway 2 car garage , deck, monster yard, oak floors, finished basement,  forced air, central air,</t>
  </si>
  <si>
    <t>2.5 -$130 (on Net SP)</t>
  </si>
  <si>
    <t>Cesar Caballero, ABR</t>
  </si>
  <si>
    <t>(773) 517-7424</t>
  </si>
  <si>
    <t>CALL L/O ONLY 773-775-0600</t>
  </si>
  <si>
    <t>CC: Pursuant to Short Sale. AGENTS THIS SHORT SALE IS COMPLETELY APPROVED FOR $68,000 CASH ONLY MUST CLOSE BEFORE 1/31/15</t>
  </si>
  <si>
    <t>RT 59 to Kelsey west to White Pine Point to Chippewa CT to home</t>
  </si>
  <si>
    <t>199 X 420 X 197 X 403</t>
  </si>
  <si>
    <t>Stunningly Beautiful 4 Bedroom Ranch Completely Remodeled on 1.9 Acres with Pond Setting. Gourmet Chef's Kitchen with 42" Cherry Cabinets, Granite and Stainless Appliances, Overlooks Gorgeous Professionally Landscaped Lot. Totally Remodeled Bathrooms Featuring Custom Cabinetry, Travertine, and Heated Flooring. Gorgeous Hardwood Flooring Throughout the Home. Updated Mechanicals. Newer Roof. Huge 4 Car Garage. Wow!</t>
  </si>
  <si>
    <t>Microwave, Dishwasher, Refrigerator, Washer, Dryer, Disposal, All Stainless Steel Kitchen Appliances</t>
  </si>
  <si>
    <t>Cul-de-sac, Pond, Wooded</t>
  </si>
  <si>
    <t>Humidifier, Water-Softener Owned, TV-Dish, CO Detectors, Ceiling Fan</t>
  </si>
  <si>
    <t>1 Story, Hillside</t>
  </si>
  <si>
    <t>Mark Munro, ABR,SRES</t>
  </si>
  <si>
    <t>(847) 477-6937</t>
  </si>
  <si>
    <t>SentriLock. 2 hour notice.</t>
  </si>
  <si>
    <t>Dacor oven range is negotiable. Invisible fence dog collars are excluded. Master bedroom and guest bedroom curtains and window treatments are excluded.</t>
  </si>
  <si>
    <t>Nesler S of Rt 20 to South St E to Shadow Hill S to Comstock W</t>
  </si>
  <si>
    <t>86 X 125 X 87 X 125</t>
  </si>
  <si>
    <t>Prepare to be Impressed! This +3100 sft is almost completely updated! 2013 updates incl custom engineered bamboo, decorative tile, carpet, ss appliances incl wine cooler/refrigerator, maintenance free deck, fence, custom window treatments, hot water heater, ceiling fans, bathrooms &amp; security system with camera! NEW garage doors 2014! Surround sound! French doors! Custom built-in organizer! Burlington schools! Wow!</t>
  </si>
  <si>
    <t>Oven/Range, Microwave, Dishwasher, High End Refrigerator, Washer, Dryer, All Stainless Steel Kitchen Appliances, Wine Cooler/Refrigerator</t>
  </si>
  <si>
    <t>3% - $199 (on Gross SP)</t>
  </si>
  <si>
    <t>CALL 877-977-1010 TO CONFIRM SHOWING</t>
  </si>
  <si>
    <t>Garfield Blvd West to Throop, south to home.</t>
  </si>
  <si>
    <t>20X160</t>
  </si>
  <si>
    <t>Purchase this 4 bedroom home in time for Spring!! Great for  Investor. Tenant Occupied. Currently receiving $999 for rent. The tenant is great and perfect for investor who wants to start with income ready property. Property is part of a inventory liquidation sale. You can buy one or more.  Proof of funds and copy of earnest money are req. The seller does not provide survey, termite inspection, or tax proration credit</t>
  </si>
  <si>
    <t>Ideal Real Estate, LLC</t>
  </si>
  <si>
    <t>(773) 904-0408</t>
  </si>
  <si>
    <t>Desmonmyawn Smith, ABR</t>
  </si>
  <si>
    <t>(773) 919-3374</t>
  </si>
  <si>
    <t>Use Showing Assist to schedule</t>
  </si>
  <si>
    <t>This property is available with a group of units. You can purchase one or more. Contract package must include 6.0, current proof of funds, and copy of earnest money. The seller does not provide survey, termite inspection, or tax proration c</t>
  </si>
  <si>
    <t>Stone Island to 79th St East to Clyde South to House</t>
  </si>
  <si>
    <t>Fabulous Solid Brick 4BR Hm-3Baths.Totally Updated. New Roof,New Windows.Kit w/granite &amp;SS Appl.All baths gutted &amp; all New.  New Fin.Basmt.2 firepl.Solid Brick Garage. One of only hms on blck w/side Dr.Georgeous Florida RM+ New Roof Top Deck.Awesome Lite up Showerhead, Whirlpool Walk out Basmt. Has a 1st Fl BR  .Big Yard. Dbl closets in Bedrms .One look &amp;You are hooked. Super Sharp Home!</t>
  </si>
  <si>
    <t>Oven/Range, Microwave, Dishwasher, Refrigerator, High End Refrigerator, All Stainless Steel Kitchen Appliances</t>
  </si>
  <si>
    <t>Roof Deck, Porch Screened</t>
  </si>
  <si>
    <t>John Schaefer</t>
  </si>
  <si>
    <t>(708) 707-4488</t>
  </si>
  <si>
    <t>773-419-8631</t>
  </si>
  <si>
    <t>Call Seller Directly</t>
  </si>
  <si>
    <t>John</t>
  </si>
  <si>
    <t>Earnest Money must be Cashier's Check</t>
  </si>
  <si>
    <t>Cole</t>
  </si>
  <si>
    <t>Randall Road to McDonald West to Thornwood Dr. Left 2 Stop Sign turn Left again to Cole R to 509</t>
  </si>
  <si>
    <t>80'X130'</t>
  </si>
  <si>
    <t>Beautiful Home in St. Charles School didn't. Professionally Landscaped Private Fenced back yard. Many new Upgrades...Carpet, Paint, Cabinets, Sliding Door to Deck that was stained and old boards replaced. Great open floor plan with First Floor Laundry and Office. Hardwood Floors through out 1st.floor. Separate Dining and Living Room. Security System, FP with Gas Log. Huge shade trees in rear yard. A Jewel</t>
  </si>
  <si>
    <t>Fenced Yard, Landscaped Professionally, Wooded, Rear of Lot</t>
  </si>
  <si>
    <t>Office, Recreation Room, Storage</t>
  </si>
  <si>
    <t>23X31</t>
  </si>
  <si>
    <t>2.5% -$250. (on Net SP)</t>
  </si>
  <si>
    <t>Graff &amp; Associates, Inc.</t>
  </si>
  <si>
    <t>(630) 232-8383</t>
  </si>
  <si>
    <t>Molly Graff</t>
  </si>
  <si>
    <t>630-745-1559</t>
  </si>
  <si>
    <t>Text LA 630-745-1559 1 Hr Notice pls...Two small friendly dogs,</t>
  </si>
  <si>
    <t>Text LA 630-745-1559  no more showings</t>
  </si>
  <si>
    <t>VINCENNES TO 105TH PLACE WEST TO PROPERTY</t>
  </si>
  <si>
    <t>THIS LOVELY SINGLE FAMILY BUNGALOW IS NEWLY REHABBED! A SPACIOUS KITCHEN THAT OPENS UP TO THE LIVING SPACE MAKES IT A PERFECT AREA FOR ENTERTAINING GUESTS! YOU'LL ENJOY THE DESIGNER SELECTED COLORS &amp; FINISHES, HARDWOOD FLOORS AND LOVELY CUSTOM TILE WORK IN THE BATHROOMS AS WELL AS A FULL, FINISHED BASEMENT. THIS PROPERTY HAS BEEN PERMITTED &amp; INSPECTED BY CITY OF CHICAGO &amp; COMES WITH 1 YR HWA WARRANTY!</t>
  </si>
  <si>
    <t>33X10</t>
  </si>
  <si>
    <t>EARNEST MONEY TO BE PAID IN CERTIFIED FUNDS TO THE G-SLOW TEAM. PLEASE NOTE - THERE IS A 1 YEAR HWA WARRANTY ON THIS PROPERTY. PROPERTY SPECS LIST FOUND UNDER ADDITIONAL INFORMATION.</t>
  </si>
  <si>
    <t>RANDALL ROAD NORTH TO WILLIAMSBURG EAST TO BEDFORD LANE SOUTH TO HOME</t>
  </si>
  <si>
    <t>80X136X79X126</t>
  </si>
  <si>
    <t>SPACIOUS BI-LEVEL HOME IN SOUGHT AFTER PEPPER VALLEY!BEAUTIFULLY UPDATED HOME! GORGEOUS KITCHEN REMODEL W/CHERRY CABINETS,GRANITE, SS APPLCS, BREAKFAST BAR &amp; BUILT-IN HUTCH. BIG LOWER LEVEL WITH FAMILY RM, BEDROOM, WORK OUT AREA AND LAUNDRY RM.MASTER SUITE W/PRIVATE UPDATED BATH. BIG YARD &amp; PATIO.CONVENIENT LOCATION. EXCEPTIONAL CONDITION!NEWER FURNACE &amp; A/C. AWESOME NEIGHBORHOOD POOL AND PARKS ARE CLOSE BY!</t>
  </si>
  <si>
    <t>SQUARE FOOTAGE ON ASSESSORS SITE DOES NOT INCL HUGE FINISHED LOWER LEVEL.</t>
  </si>
  <si>
    <t>LEAVITT TO RACE, THEN EAST TO PROPERTY</t>
  </si>
  <si>
    <t>25' X 90'</t>
  </si>
  <si>
    <t>STUNNING BRICK/LIMESTONE SFH IN UKRAINIAN VILLAGE!! GREAT OPEN FLOOR PLAN W/ 11' CEILINGS. STAIRCASE LIKE NO OTHER. GLEAMING HD FLOORS. KITCHEN FEATURES CHERRY CABINETS, SS APPLIANCES, GRANITE COUNTERS, &amp; BREAKFAST BAR. SPACIOUS FAMILY ROOM W/ FIREPLACE. MASTER SUITE W/ JULIET BALCONY. ROOFTOP DECK ON BRAND NEW GARAGE. LL REC ROOM W/ WET BAR. ZONED HVAC. BASEMENT BEDROOM W/ FULL BATH. PHENOMENAL LOCATION &amp; VALUE.</t>
  </si>
  <si>
    <t>Andrzej Szorc</t>
  </si>
  <si>
    <t>(773) 517-1224</t>
  </si>
  <si>
    <t>Multiple Offer Situation. Highest and Best due Tuesday 1/27/15 by 5pm.</t>
  </si>
  <si>
    <t>Drive North on King Drive to 76th and Right to Rhodes</t>
  </si>
  <si>
    <t>Rehabbed bungalow with all of the finishes you want! Hardwood flooring throughout the main level,.Crown molding living room. Two bedrooms on main level along with 1st floor full bathroom and amazing kitchen.  Kitchen includes 42 inch cabinets, stainless steel appliances, and granite counter-tops. Finished basement, perfect for entertainment! Master bedroom with 4 closets and Jacuzzi tub in bathroom!</t>
  </si>
  <si>
    <t>Text Ryan 8476027641</t>
  </si>
  <si>
    <t>Wilson to 2616 W</t>
  </si>
  <si>
    <t>Ravenswood Gardens</t>
  </si>
  <si>
    <t>ONE OF CHICAGOâ€™S FAVORITE NEIGHBORHOODS AND ONE OF ITâ€™S CLASSIC HISTORIC BUNGALOWS.  THE COMBINATION IS IRRESISTBLE!  GORGEOUS RAVENSWOOD GARDENS HOUSE-4 BEDROOM, 2  BATH, UPDATED, METICULOUSLY MAINTAINED AND WELL LOCATED.  HARDWOOD THROUGHOUT.  HUGE WALK UP ATTIC -PRIME FOR MASTER BEDROOM ADDITION.  GREAT STORAGE, UPDATED MECHANICALS, NEWER GARAGE. STEPS TO THE BROWN LINE, CLOSE TO ALL LINCOLN SQUARE HAS TO OFFER.</t>
  </si>
  <si>
    <t>Attic, Den, Foyer, Workroom</t>
  </si>
  <si>
    <t>63X24</t>
  </si>
  <si>
    <t>Elizabeth Bleeker, SRES</t>
  </si>
  <si>
    <t>(773) 720-9211</t>
  </si>
  <si>
    <t>LIST OF IMPROVEMENTS, FLOOR PLANS IN THE DROP DOWN. DEN IS 3 SEASONS-NOT HEATED. SELLER IS TRAVELING WITHOUT SERVICE AND WILL NOT BE AVAILABLE TO REVIEW OFFERS UNTIL 2.18.15. PLEASE CONSULT WITH LISTING AGENT ON OFFER SUBMISSION PROCEDURES.</t>
  </si>
  <si>
    <t>ST GERMAIN</t>
  </si>
  <si>
    <t>RT 64  W TO RENAUX MANOR S 1ST LEFT</t>
  </si>
  <si>
    <t>RENAUX MANOR</t>
  </si>
  <si>
    <t>WOODSAGE</t>
  </si>
  <si>
    <t>72X117</t>
  </si>
  <si>
    <t>Gorgeous 4BR/2.1BA Renaux Manor Colonial backing to pond! Hdwd floors, 9' ceilings &amp; more. Inviting living room w/French doors to den. Gourmet eat-in kitchen w/granite, stainless &amp; 42" custom cabinetry. HUGE family room w/peaceful pond views. 1st floor laundry. Master suite w/walk-in closet &amp; private bath. Finished basement includes bonus room &amp; rec room. Great location, newer AC, paver patio, 2.5-car garage &amp; more!</t>
  </si>
  <si>
    <t>Fenced Yard, Landscaped Professionally, Pond</t>
  </si>
  <si>
    <t>Water-Softener Owned, Security System, CO Detectors, Sump Pump</t>
  </si>
  <si>
    <t>Contact co-lister Miles Tischhauser at 815-739-3458 with questions/offers.</t>
  </si>
  <si>
    <t>LOWE</t>
  </si>
  <si>
    <t>E/W ON 87TH ST, TWO BLOCKS EAST OF HALSTED, SOUTH ON LOWE TO PROPERTY</t>
  </si>
  <si>
    <t>NICE HOME, GORGEOUS TOTAL REHAB, A TRUE MUST SEE, 3 BDRM, 2 BATHS, UPDATED KITCHEN WITH GRANITE COUNTER TOPS, CERAMIC TILE, UPDATED BATHS, NEUTRAL COLOR PAINT, SS APPLS, GLEAMING HARDWOOD FLOORS, CENTRAL AIR AND WASHER AND DRYER WILL BE ADDED BEFORE CLOSING, SEE THIS ONE TODAY YOU WONT BE DISAPPOINTED.</t>
  </si>
  <si>
    <t>3.5%-$195 +$1,000 BONUS (on Net SP)</t>
  </si>
  <si>
    <t>Danny Ross</t>
  </si>
  <si>
    <t>(708) 774-9087</t>
  </si>
  <si>
    <t>CALL LIST AGENT.ALARM ON PROPERTY.SHORT NOTICE OK</t>
  </si>
  <si>
    <t>3.5% PLUS $1000 BONUS FOR BUYERS AGENT!!!</t>
  </si>
  <si>
    <t>NORTH AVENUE TO SAWYER, NORTH TO PROPERTY</t>
  </si>
  <si>
    <t>CALL CENTRALIZED SHOWING 877.977.1010</t>
  </si>
  <si>
    <t>SUBMIT ALL OFFERS VIA FACSIMILE TO 773.304.1946 OR VIA E-MAIL TO EMELIN@ROMANREALTY.COM PLEASE MAKE SURE AS IS ADDENDUM IS INCLUDED WITH CONTRACT.</t>
  </si>
  <si>
    <t>IRVING PARK TO PARK AVE-NORTH, THEN CRESTWOOD -LEFT TO PARKSIDE , AND LEFT TO CRESTWOOD</t>
  </si>
  <si>
    <t>65X110</t>
  </si>
  <si>
    <t>Expanded ranch in excellent condition. Property features 4 bedrooms and 2 full updated baths. Cozy fireplace in the living room. New A/C, furnace and newer roof and windows. Property has been very well maintained buy the current owner. Move in condition!</t>
  </si>
  <si>
    <t>Carport</t>
  </si>
  <si>
    <t>Jack Domanski, BPOR,SFR</t>
  </si>
  <si>
    <t>(847) 337-5694</t>
  </si>
  <si>
    <t>Email listing agent for access at jaceksellshomes@gmail.com</t>
  </si>
  <si>
    <t>0N745</t>
  </si>
  <si>
    <t>RANDALL RD W TO KESSLINGER S TO BARTELT</t>
  </si>
  <si>
    <t>FOWLER</t>
  </si>
  <si>
    <t>IMPECCABLE STYLE &amp; UNCOMPROMISING INTEGRITY ~ RARE FOWLER MODEL. TRUE FR PORCH, DBL ENTRY. H/W THRU. OPEN FL. PLAN W/ GREAT RM. WALLS O/WINDOWS. PANORAMIC VIEWS. CUSTOM DREAM KIT~W/IN PANT, SS, W/BAR. EVERY ATT TO DETAIL!! 1ST FL LUX MASTER. HUGE BEDS, W/BLINDS, WALK-INS. PROF DECOR. WALK-OUT BSMT. CUST WET BAR. FULL BATH. SO MUCH..SKY-LITES, PLANT/SHUT, TRANSOMS, S/SOUND, RECESS, CRWN, 6"TRIM, HUGE DECK, 2 BR PATIOS</t>
  </si>
  <si>
    <t>All, Shades</t>
  </si>
  <si>
    <t>Clubhouse, Park/Playground, Pool, Curbs/Gutters</t>
  </si>
  <si>
    <t>Golf Course Lot, Nature Preserve Adjacent</t>
  </si>
  <si>
    <t>Bar, Deck, Eating Area, Game Room, Great Room, Office, Recreation Room, Sun/Florida Room</t>
  </si>
  <si>
    <t>Vaulted/Cathedral Ceilings, Skylight(s), Bar-Wet, Hardwood Floors, In-Law Arrangement, 1st Floor Laundry</t>
  </si>
  <si>
    <t>Call Showingtime for appointment 1-800-746-9464 MUST CONFIRM. 2 HOUR NOTICE PLS</t>
  </si>
  <si>
    <t>BRING YOUR FUSSIEST BUYERS - EVERY DETAIL IS ATTENDED! TRULY SUPERIOR</t>
  </si>
  <si>
    <t>Haverhill</t>
  </si>
  <si>
    <t>Route 31, Head West on Hancock, then South to 555 N Haverhill Lane</t>
  </si>
  <si>
    <t>129X91X112X79</t>
  </si>
  <si>
    <t>PERFECT 4 BED/2.1 SPACIOUS CUMBERLAND MODEL IN RIVER RIDGE ON CORNER LOT.  ST. CHARLES SCHOOLS!  2-STY FOYER WELCOMES YOU TO THIS BEAUTIFUL HOME W/GRAND DUAL STAIRCASE. GREAT FLOORPLAN - EAT IN KITCHEN W/42" OAK CABS &amp; ISLAND THAT OPENS TO FAMILY ROOM.  HUGE MSTR BED W/WIC.  MSTR W/DUAL VAN &amp; SEP SHWR. NICE SIZED BEDROOMS. PARTIALLY FIN BSMT PERFECT FOR ENTERTAINING.  YARD W/INVISIBLE FENCE.  MOVE RIGHT IN!!</t>
  </si>
  <si>
    <t>Eating Area, Foyer, Loft, Sitting Room</t>
  </si>
  <si>
    <t>Dog Run &amp;/or Invisible Fence, Storms/Screens</t>
  </si>
  <si>
    <t>Beth Repta</t>
  </si>
  <si>
    <t>(847) 668-2384</t>
  </si>
  <si>
    <t>Call Showing desk - 2 HR Notice Req'd</t>
  </si>
  <si>
    <t>Washer/Dryer &amp; Basement Refrigerator Excluded.  Collar for Invisible Fence Excluded.  Friendly, Hypoallergenic Dog will be Kept in Laundry Room for Showings.</t>
  </si>
  <si>
    <t>Ashland to Berwyn, West to 1751</t>
  </si>
  <si>
    <t>27X 125</t>
  </si>
  <si>
    <t>Andersonville stunning renovation w/discerning custom finishes. Open concept main level boasts liv/din/fam/kitch w/Zecchinon Ital. cabinetry, Viking/Smeg apps, Caesarstone quartz counters &amp; artisan crafted hrdwd flrs. Upstairs features 3br/2ba. Lower rec rm, bedrm+full bath. All new systems, roof, Marvin windows,Hardie board exterior w/Ipe wood. Cedar fenced yrd w/deck &amp; 2 car garage w/bonus loft. Chappell Elem=9/10!</t>
  </si>
  <si>
    <t>Bonus, Deck, Recreation Room, Storage, Utility Room-Lower Level, Walk In Closet</t>
  </si>
  <si>
    <t>Vaulted/Cathedral Ceilings, Skylight(s), Bar-Dry, Hardwood Floors, In-Law Arrangement, 2nd Floor Laundry</t>
  </si>
  <si>
    <t>Call or Text Amie at 312-320-5339</t>
  </si>
  <si>
    <t>The north side's most stunning home! 425 sq. ft heated bonus room/loft above garage. Elementary school is Chappell--A level 1 ranked school with greatschools.org score 9 out of 10.</t>
  </si>
  <si>
    <t>HOUGH STREET SOUTH OF LAKE COOK ROAD, WEST ON LINCOLN, HOME ON LEFT</t>
  </si>
  <si>
    <t>64X132X64X132</t>
  </si>
  <si>
    <t>MEANDER INTO THE VILLAGE FOR DINNER W/FRIENDS AFTER WINE ON YOUR FRONT PORCH! VINTAGE DETAILS MELD SEAMLESSLY W/TODAY'S UPGRADES.KITCHEN W/WOOD-MODE CABINETS,GRANITE,THERMADOR DOUBLE OVENS/WARMING DRAWER &amp; TIN CEILING!NEWLY REFINISHED HARDWOODS THRUOUT,NEW DOORS &amp; MILLWORK,NEWER ELEC/PLUMBING,HI-EFF HVAC,MARVIN WINDOWS!!LARGE FENCED YARD!WALK TO HOUGH ST SCHOOL/METRA!</t>
  </si>
  <si>
    <t>Pam Jacobs</t>
  </si>
  <si>
    <t>(847) 756-7620</t>
  </si>
  <si>
    <t>FAX 888-400-0599</t>
  </si>
  <si>
    <t>USE SHOWING ICON OR CALL LISTING OFFICE 847-381-8800</t>
  </si>
  <si>
    <t>63rd St to Keating Ave, South to address</t>
  </si>
  <si>
    <t>Brick exterior Single Family Home that features four bedrooms, two baths hardwood, carpet, ceramic and tile flooring, 2 car garage, unfinished full basement and much more. House is located on a residential block and awaits your finishing touches. Freddie Mac/Home Steps 1st Look applies to 01/28/2015. HomeSteps Financing is available. AS-IS.</t>
  </si>
  <si>
    <t>Please contact Centralized Showing Services 877-977-1010</t>
  </si>
  <si>
    <t>(See forms) Please submit offers with the pre-offer Questionnaire, owner OCC, current POF/pre-approval VIA FAX 773-632-2032 or E-mail sales@rlbrealtygroup.com.</t>
  </si>
  <si>
    <t>Rte 47 to Park E to Berkshire</t>
  </si>
  <si>
    <t>HIGHCLERE</t>
  </si>
  <si>
    <t>125X75X122X69</t>
  </si>
  <si>
    <t>Look no further, your new home is here! Eco-friendly, low-maintenance home close to parks, shopping &amp; I-88. Commercial grade &amp; hdwd flrs, huge master suite w/sitting room, walk-in closet &amp; private bath. Reverse osmosis in kitchen, 42" cabinets, stainless steel appliances. Full bsmt w/rough-in for bath &amp; new water softener staged &amp; ready to install. 3-car tandem garage w/high ceiling &amp; attic storage. Move-in ready!</t>
  </si>
  <si>
    <t>EAST/WEST ON NORTH AVE TO MOODY 1 WAY NORTH TO PROPERTY</t>
  </si>
  <si>
    <t>Originally Built in 1920, masterfully expanded and renovated in 2014.  Gutted to the 'brick' and totally redone including new 2nd story addition. Home features box and tray ceilings new custom cabinets, wainscoting, newly built 20ft tall family room with sky lights. Huge Master bedroom features full bath 12 ft ceilings. fin bsmt with full bath. Brand new2.5 car gar, expanded front porch, a pleasure to show...</t>
  </si>
  <si>
    <t>5N130</t>
  </si>
  <si>
    <t>PERCHERON</t>
  </si>
  <si>
    <t>ARMY TRAIL TO POWIS SOUTH TO PERCHERON EAST TO PROPERTY</t>
  </si>
  <si>
    <t>174.84 X 249.88</t>
  </si>
  <si>
    <t>2014 taxes will be lowered!  Absolutely gorgeous country home, 1 acre lot, full mature trees, professional land spacing, Windows top to bottom in family room to enjoy the beautiful view! Grand entrance with marble flooring, leading to an open family room! 1st Floor master, or second floor master, you choose! Office can be used has a 5th bedroom.  Newer roof, light fixtures, windows, furnace, fresh paint.</t>
  </si>
  <si>
    <t>Snow Removal</t>
  </si>
  <si>
    <t>Bonus, Office, Sun/Florida Room, Other</t>
  </si>
  <si>
    <t>Vaulted/Cathedral Ceilings, Skylight(s), Bar-Wet, 1st Floor Bedroom, In-Law Arrangement</t>
  </si>
  <si>
    <t>Patti O'Malley</t>
  </si>
  <si>
    <t>(630) 715-1403</t>
  </si>
  <si>
    <t>2014 TAXES HAVE BEEN DISPUTED AND WILL BE LOWERED APX 12% THIS WILL DEPEND ON THE MULTIPLIER</t>
  </si>
  <si>
    <t>42W200</t>
  </si>
  <si>
    <t>Keslinger</t>
  </si>
  <si>
    <t>Keslinger Road West of Bunker Road and East of Route 47</t>
  </si>
  <si>
    <t>399X481X469X401X108</t>
  </si>
  <si>
    <t>SPECTACULAR PRIVATE 5 ACRE ESTATE SURROUNDED BY NATURE~3 STORY GREAT ROOM W/STONE FIREPLACE~CHEF'S KITCHEN W/GRANITE, CHERRY CABINETS, SS APPLICANCES &amp; BREAKFAST BAR~HUGE DINING RM~1ST FLOOR OFFICE~PRIVATE MASTER W/SITTING RM &amp; BATH~FINISHED BASEMENT~1ST FLR BEDROOM W/PRIVATE BATH~BUILT-IN POOL, SPA &amp; GAS GRILL W/BAR~HARDWOOD THROUGH-OUT~TWO PATIOS &amp; BARN~YOUR OPPORTUNITY FOR COUNTRY LIVING &amp; 5 MIN ACCESS TO TRAIN!</t>
  </si>
  <si>
    <t>Pool, Gated Entry</t>
  </si>
  <si>
    <t>Forest Preserve Adjacent, Nature Preserve Adjacent, Horses Allowed, Landscaped Professionally, Wooded</t>
  </si>
  <si>
    <t>Humidifier, Water-Softener Owned, CO Detectors, Ceiling Fan, Sump Pump, Power Generator</t>
  </si>
  <si>
    <t>Foyer, Great Room, Mud Room, Office, Recreation Room, Sitting Room, Storage</t>
  </si>
  <si>
    <t>Patio, Hot Tub, Horse Barn/Pole Barn, Stamped Concrete Patio, Pool In-Ground, Grill-Outdoors</t>
  </si>
  <si>
    <t>21X29</t>
  </si>
  <si>
    <t>Sevenoaks Realty</t>
  </si>
  <si>
    <t>(630) 377-4333</t>
  </si>
  <si>
    <t>Peggy Brown, SFR</t>
  </si>
  <si>
    <t>Motivated Seller...Listing Office does not hold earnest money</t>
  </si>
  <si>
    <t>MICHIGAN</t>
  </si>
  <si>
    <t>VILLA TO LAKE STREET TO MICHIGAN</t>
  </si>
  <si>
    <t>50 X 70</t>
  </si>
  <si>
    <t>HOME TO BE SOLD IN AS IS CONDITION, NO DISCLOSURES  NO SURVEY  TAXES BASED AT 100%  EARNEST MONEY MUST BE CERTIFIED FUNDS</t>
  </si>
  <si>
    <t>CALL SHOWING DESK AT 888-362-3222</t>
  </si>
  <si>
    <t>EMAIL OFFER TO MROBERTS@STARCKREALTORS.COM</t>
  </si>
  <si>
    <t>WINDSOR</t>
  </si>
  <si>
    <t>ROUTE 71-PLAINFIELD-GROVE-MORGAN VALLEY, W. TO WINDSOR</t>
  </si>
  <si>
    <t>120X103X130X87</t>
  </si>
  <si>
    <t>Sought after neighborhood. Walk to parks, grade school w/ courts, skate/splash parks. Brick front Colonial w/porch. Updated landscaping. All newer: HWD Floors, Granite Kitchen w/ Huge Island &amp; Ceramic Back Splash, Carpet, Paint, Laundry storage bench! JACK &amp; JILL + Hall BA &amp; Luxury MBA w/Brand New Updates! Tray &amp; Volume Ceilings. Window Seat in Stairwell. Inviting basement. Deck. Corner lot! Radon system. A winner!</t>
  </si>
  <si>
    <t>Humidifier, Security System, CO Detectors, Ceiling Fan, Sump Pump, Radon Mitigation System(s)</t>
  </si>
  <si>
    <t>24X30</t>
  </si>
  <si>
    <t>South of Peterson</t>
  </si>
  <si>
    <t>Large 4 bedroom ranch features beautiful hardwood floors in living room and dining room, family size eat in kitchen, three bedroom on main floor and a huge basement that has recreation room, 4th bedroom, half bath, large utility jroom and storage room. There is a screened porch, a large backyard and many replacement windows.</t>
  </si>
  <si>
    <t>Recreation Room, Screened Porch, Utility Room-Lower Level</t>
  </si>
  <si>
    <t>Phyllis Smith</t>
  </si>
  <si>
    <t>call Centralized Showings @ 877-977-1010</t>
  </si>
  <si>
    <t>Large rooms</t>
  </si>
  <si>
    <t>Leroy</t>
  </si>
  <si>
    <t>Caldwell west of 94 to Leroy north</t>
  </si>
  <si>
    <t>Spectacular Edgebrook Georgian built in 1998. Great flow, open pattern. Living room opens to dining room. Kitchen has island, large table space &amp; opens to Great Room with fireplace. 4 bedrooms up include master suite. Wonderful vaulted ceiling screened porch &amp; deck. Completely finished huge lower level family room with full bath. Quiet tree-lined street. Walk to award-winning Edgebrook School, Metra, library, shops.</t>
  </si>
  <si>
    <t>Edgebrook Elementary School</t>
  </si>
  <si>
    <t>37X23</t>
  </si>
  <si>
    <t>Call Showing Desk 855-746-9020</t>
  </si>
  <si>
    <t>Immaculate Edgebrook home!</t>
  </si>
  <si>
    <t>ARCHER TO MENARD (5800W) THEN NORTH TO PROPERTY</t>
  </si>
  <si>
    <t>GARFIELD RIDGE BEAUTY. TOTALLY REMODELED. 4 BIG BEDRMS, 2 FULL BATHS, FORMAL DINING RM &amp; FULL BASEMENT. HOUSE SITS ON 2 CITY LOTS. ALL NEW WINDOWS &amp; ELECTRIC, GLEAMING HARDWOOD FLS. NEW KITCHEN CABINETS W/ STAINLESS STEEL APPLIANCES. ONLY 5 MIN TO MIDWAY &amp; I-55. WALK TO ARCHER AVE. A REAL PLEASURE TO SHOW. NOT A DISTRESS SALE. WE CAN CLOSE IN WEEKS.</t>
  </si>
  <si>
    <t>Antonio Castaneda</t>
  </si>
  <si>
    <t>(312) 388-1882</t>
  </si>
  <si>
    <t>Send email request to pulaski.sfr@gmail.com</t>
  </si>
  <si>
    <t>DOWNLOAD DISCLOSURES FROM ADDITIONAL INFO TAB</t>
  </si>
  <si>
    <t>SOUTH OF ARMITAGE, 2 BLOCKS WEST OF WESTERN. ONE WAY EAST.</t>
  </si>
  <si>
    <t>25X125X50</t>
  </si>
  <si>
    <t>West Bucktown SF on oversized lot. 1 block to Armitage/Western El Stop. 4BR/3.5BA, SS Appliances, granite counters, hardwood floors &amp; master bath w/whirlpool, sep shower, dbl vanity, master closet w/wood built-ins. Zoned heating w/2furnaces. Bottom level is 1BR in-law apt w/prvt entrance (can be deconverted) large yard &amp; Oversized garage - developer built for himself.</t>
  </si>
  <si>
    <t>09X17</t>
  </si>
  <si>
    <t>Vicki Petritz</t>
  </si>
  <si>
    <t>(312) 315-0080</t>
  </si>
  <si>
    <t>EMAIL OR TEXT TO SHOW. 312-315-0080. VICKIPETRITZ@HOTMAIL.COM</t>
  </si>
  <si>
    <t>Lake Cook between Ela &amp; NW Hwy.  S on S Valley, quick L on Old Mill; corner of Oak Ridge &amp; Old Mill</t>
  </si>
  <si>
    <t>121X150X114X148</t>
  </si>
  <si>
    <t>REMODEL-NEW-UPDATED  Stunning remodel in Fox Point. Paintâ€™s barely dry. Shows like a model. From stainless &amp; marble to refinished hdwds, new baths, freshly painted inside &amp; out. Pella windows, New cedar deck, interior location.  Enjoy the Fox Pt amenities; pool, tennis &amp; lake + a short walk to school path for Award Winning Schools K-8. Welcome to Barrington ranked in top 12 of Chicago magazineâ€™s best places to live.</t>
  </si>
  <si>
    <t>Park/Playground, Pool, Tennis Courts, Pond/Lake, Water Rights, Curbs/Gutters</t>
  </si>
  <si>
    <t>Oven-Double, Dishwasher, Washer, Dryer, Disposal, All Stainless Steel Kitchen Appliances</t>
  </si>
  <si>
    <t>Corner, Landscaped Professionally, Water Rights</t>
  </si>
  <si>
    <t>Deck, Eating Area, Foyer</t>
  </si>
  <si>
    <t>2.5%-250.00 (on Net SP)</t>
  </si>
  <si>
    <t>Nora Brown, SFR</t>
  </si>
  <si>
    <t>(847) 710-0827</t>
  </si>
  <si>
    <t>Easy to show!!!  Quick close possible. Large dry basement waiting for your ideas.  Call listing agents with any questions.</t>
  </si>
  <si>
    <t>IRVING PARK TO RICHMOND</t>
  </si>
  <si>
    <t>RAVENSWOOD MANOR</t>
  </si>
  <si>
    <t>THIS IS A LARGE BRICK AND FRAME BUNGALOW WITH A SPACIOUS 2ND FLOOR MASTER SUITE ADDITION. THE HOME WAS IN PROCESS OF RENOVATION, ITEMS ARE NEEDED BUT POTENTIAL IS THERE. THE HOME HAS A FINISHED BASEMENT, NEWER GARAGE, ADD YOUR PERSONAL TOUCHES FOR YOUR DREAM HOME. THIS IS A FANNIE MAE HOMEPATH PROPERTY, ALL INFORMATION IS ESTIMATED. TAXES PRO RATED AT 100%</t>
  </si>
  <si>
    <t>Smith Partners &amp; Associates</t>
  </si>
  <si>
    <t>(773) 273-6099</t>
  </si>
  <si>
    <t>Ryan Smith</t>
  </si>
  <si>
    <t>SELLER HAS VERBALLY ACCEPTED AN OFFER 2/9/2015.  PLEASE SUBMIT OFFERS ON HOMEPATH.COM</t>
  </si>
  <si>
    <t>Center</t>
  </si>
  <si>
    <t>RT34 TO CENTER ST S TO HOME</t>
  </si>
  <si>
    <t>This 2 story home is bigger than it looks with 4 bedrooms and 3.1 baths. A Finished basement offers the 4th bedroom, 3rd full bath, recreation room and den. The crawl space has a concret floor for great storage. An open concept first floor with vaulted ceilings in the family room.  The kitchen has great table space and a pantry closet. It's master bedroom has its own balcony. Fenced in back yard and above ground pool</t>
  </si>
  <si>
    <t>(630) 553-8400</t>
  </si>
  <si>
    <t>New Central Air in 2013. New water softener in 2014.</t>
  </si>
  <si>
    <t>39W548</t>
  </si>
  <si>
    <t>Rt. 64 West to Fox Mill Blvd go left to Walt Whitman go left to home.</t>
  </si>
  <si>
    <t>130X120X113X160</t>
  </si>
  <si>
    <t>Step into a new level of luxury in this exquisite Fox Mill 4 bdrm/5 bath home. Gorgeous kitchen w/granite, upgraded SS appl. &amp; walk in pantry. Grand 2 story FR featuring a stone FP. Ultra luxurious master suite w/sitting rm &amp; FP. Extraordinary finished bsmt w/ striking bar, wine cellar &amp; billiard rm!  Stunning brick paver patio w/built in grill &amp; fire pit!  Live the lifestyle you deserve w/every imaginable upgrade.</t>
  </si>
  <si>
    <t>Humidifier, Central Vacuum, Intercom, CO Detectors, Ceiling Fan, Sump Pump, Sprinkler-Lawn</t>
  </si>
  <si>
    <t>Bar, Bonus, Eating Area, Exercise Room, Foyer, Game Room, Loft, Recreation Room, Sitting Room</t>
  </si>
  <si>
    <t>Patio, Dog Run &amp;/or Invisible Fence, Grill-Outdoors, Outdoor Fireplace</t>
  </si>
  <si>
    <t>Call Showingtime at 855-746-9093.</t>
  </si>
  <si>
    <t>INCLUDED IN SALE: attached TVs, bsmt appliances in bar area &amp; wine unit. NOT INCLUDED in sale: bsmt fridge in storage area, garage fridge, dog collars, speakers &amp; FP screens. Shows like a dream!!!</t>
  </si>
  <si>
    <t>Clearwater</t>
  </si>
  <si>
    <t>RT 19  TO WHISPERING N-BROOKSTONE E-CLEARWATER</t>
  </si>
  <si>
    <t>An Exquisite 4 bedroom home in a CUL_DE_SAC location with a FULL FINISHED BASEMENT and a HUGE BACK YARD. UPDATED KITCHEN with GRANITE Counters, STAINLESS Steel APPLIANCES, CERAMIC Back Splash.  BATHROOMS with NEW Cabinets, Sinks, Faucets, Toilets, Granite Counters and CERAMIC Floors.  Freshly Painted and NEW laminate FLOORS.  Close to Shopping, and Metra. Great Home that is a must see.</t>
  </si>
  <si>
    <t>Vaulted/Cathedral Ceilings, Bar-Dry, Wood Laminate Floors</t>
  </si>
  <si>
    <t>Conventional, FHA, VA, Purchase Money Mortgage, Cash Only</t>
  </si>
  <si>
    <t>Vikram Sagar</t>
  </si>
  <si>
    <t>(847) 372-8293</t>
  </si>
  <si>
    <t>CALL 847 255 1000.  NEED NOTICE</t>
  </si>
  <si>
    <t>LEDEUX</t>
  </si>
  <si>
    <t>CLEAN HOME.  SHOWS WELL.</t>
  </si>
  <si>
    <t>Frederick</t>
  </si>
  <si>
    <t>PARK BLVD. TO LACY EAST TO FREDERICK</t>
  </si>
  <si>
    <t>Homeowner, None</t>
  </si>
  <si>
    <t>TONS OF SPACE ...... NICE AND SPACIOUS raised ranch single family home being sold as is where is . Large 4 BR- 2 1/2 BATHS, formal living rm and dining rm, 3 Season Room , lower level family room , sunny kitchen , and  large Fenced in yard plus an oversized 2 car attached garage. Great deal, great location!!taxes being pro rated at 100%.</t>
  </si>
  <si>
    <t>Sun/Florida Room, Utility Room-1st Floor</t>
  </si>
  <si>
    <t>Agents to submit offers through HomePath Online Offers System. At Homepath.com Any questions regarding contracts/ offers please email Domenic at Dom1@partnersinre.com</t>
  </si>
  <si>
    <t>HOLLY</t>
  </si>
  <si>
    <t>IRVING 2 PARK N 2 STREAMWOOD BLVD W 2 HOLLY S 2 PIQ</t>
  </si>
  <si>
    <t>Motivated Seller, needing to move on to his next project. This spacious four bedroom one bath homes has been completely remodeled.New flooring through out. Kitchen has new cabinets with granite counter tops and SS appliances. The home has new electric and HVAC and central air. Don't miss out on this great home. This one will not last.</t>
  </si>
  <si>
    <t>Jorge Delgado</t>
  </si>
  <si>
    <t>(773) 865-8604</t>
  </si>
  <si>
    <t>630-247-0801</t>
  </si>
  <si>
    <t>Call Owner 630-247-0801</t>
  </si>
  <si>
    <t>Tom Gonzalez</t>
  </si>
  <si>
    <t>Please submitt all offers to jorge@delgadosellshomes.com</t>
  </si>
  <si>
    <t>Cottage Grove Ave to 106th. West to Rhodes. North to the property.</t>
  </si>
  <si>
    <t>This beautiful, recently rehabbed 4 bedroom brick ranch is overflowing with special features and brand new additions. The gorgeous kitchen boasts stainless steel appliances, granite counters and upgraded cabinets. The basement has been completely refinished, and the outside sports a 2-car garage. With gleaming hardwood floors, a laundry room and a great price, it's a must-see!</t>
  </si>
  <si>
    <t>Halsted South to 108th</t>
  </si>
  <si>
    <t>STEP RANCH</t>
  </si>
  <si>
    <t>Richly Appointed FULLY REMODELD 4BR/2BTH Near Chicago's Own Jackie Robinson Baseball Team! Transitional DÃ©cor w/Open Layout, Gleaming Hardwood, Tiled Fireplace, Ample lighting, Stunning Wainscoting/Trim Detail. Stainless Gourmet Granite Kitchen w/Back-splash, XLRG Rec Rm Perfect For Entertaining w/Body Spray Spa Bath. Brand New Garage &amp; Concrete Walkways, w/Freshly Sodded Yard &amp; Landscaping. Minutes to I-57 &amp; I-94</t>
  </si>
  <si>
    <t>12X37</t>
  </si>
  <si>
    <t>2.5% - $325 (ON NET SP) (on Net SP)</t>
  </si>
  <si>
    <t>Showing Assist (24 hours Notice Required)</t>
  </si>
  <si>
    <t>Huntington LLC</t>
  </si>
  <si>
    <t>SOLD! Multiple Offers - Super quiet block and great craftsmanship.  All new Concrete, brand new garage and all landscaping.  Fully Gutted and remodeled.  This is it!!</t>
  </si>
  <si>
    <t>PINERIDGE</t>
  </si>
  <si>
    <t>ORCHARD RD TO MILL W TO PINERIDGE S TO PROPERTY</t>
  </si>
  <si>
    <t>JAMES</t>
  </si>
  <si>
    <t>Stop by and enjoy the new home scent in this extra large, contemporary beauty with panel doors throughout, great room with towering ceiling and brick fireplace, brand new kitchen cabinets/appliances/fixtures, fresh neutral carpeting and paint throughout, palatial master suite with drive-in closet and luxury bath amenities, deep/unfinished basement; awaiting your finishing touches! The list goes on; take a tour! :)</t>
  </si>
  <si>
    <t>Den, Eating Area, Utility Room-1st Floor</t>
  </si>
  <si>
    <t>Providence Realty Group</t>
  </si>
  <si>
    <t>(630) 853-3804</t>
  </si>
  <si>
    <t>Anthony Lilja, ABR</t>
  </si>
  <si>
    <t>SCHEDULE USING SHOWING ASSIST OR CALL/E-MAIL/TEXT LISTING BROKER</t>
  </si>
  <si>
    <t>All offers to include buyer signed/dated seller disclosures, which are attached. Please fax all offers to (630) 405-6795.</t>
  </si>
  <si>
    <t>Jarlath</t>
  </si>
  <si>
    <t>TOUHY TO SACRAMENTO. NORTH TO JARLATH, THEN EAST TO PROPERTY</t>
  </si>
  <si>
    <t>COMPLETE REHABBED FROM TOP TO BOTTOM BEAUTIFUL BRICK GEORGIAN HOUSE IN GREAT NEIGHBORHOOD. 4 BRS, 1 &amp; HALF BT. GUEST BR ON 1ST FL. NEW ROOF. NEW FURNACE. NEW AC. NEW KITCHEN W/NEW APPLIANCES, NEW CABS, NEW FL. NEW BATH RMS. NEW FINISHED BASMENT W/ RECESS LIGHT &amp; PORCELAIN FL, FAMILY RM &amp; BAR OR OFFICE. ALL NEW DOORS. GLEAMING REFINISHED HARDWOOD FL. NEWER WINDOWS. NEW PAINTING. LARGE YARD, PLENTY RM FOR GAR. NICE!!!!</t>
  </si>
  <si>
    <t>Bar, Foyer, Utility Room-Lower Level</t>
  </si>
  <si>
    <t>PLEASE TEXT MAI @ 7739837010.  NEED NAME, PHONE, AGENT ID #, TIME &amp; DATE SHOWING.</t>
  </si>
  <si>
    <t>PLEASE TURN OFF LIGHTS AND LOCK DOORS.  PLEASE PRE-APPROVED BUYER. AGENT IS RELATED TO SELLER</t>
  </si>
  <si>
    <t>Rt 23 or Rt 64 to Fair Turn E on Esther to West St Right</t>
  </si>
  <si>
    <t>60X110</t>
  </si>
  <si>
    <t>Beautiful front porch entry awaits your buyers! Great four bedroom, 3 bath home ready to move into! Large open living room/dining room leads to island kitchen with hard wood flooring and plenty of storage!! New updates thru-out!Newer mechanicals! Large yard with above ground pool and brick paver patio! Oversize garage with workshop! Extra long driveway! Close to schools and downtown Sycamore! LOW TAXES!  Sold as-is.</t>
  </si>
  <si>
    <t>Vaulted/Cathedral Ceilings, Hot Tub</t>
  </si>
  <si>
    <t>KATHI</t>
  </si>
  <si>
    <t>From Rt 20 &amp; rt 72 go W on Rt 72 to Centennial N to Jake E to Kathi N to home</t>
  </si>
  <si>
    <t>ROUSSEAU-B</t>
  </si>
  <si>
    <t>Stunning 2 Story! 3200 sqft, 4 bed, open flr plan w/all the extras! This one is ready to move in. Hardwd throughout main flr, wd burning fireplace, main flr office, new kitchen stainless stl appliances, gorgeous 3 season rm off of the ktch are some upgrades. Also includes 2nd flr laundry, master suite w/sitting rm, double walk in closets, double vanities in bath. Backyard w/paver patio plus irrigation system in yard.</t>
  </si>
  <si>
    <t>Humidifier, Ceiling Fan, Sump Pump, Sprinkler-Lawn</t>
  </si>
  <si>
    <t>Foyer, Office, Play Room, Recreation Room, Sitting Room, Sun/Florida Room, Theatre Room</t>
  </si>
  <si>
    <t>Call listing office or text agent after hours</t>
  </si>
  <si>
    <t>Don't miss this one, it won't disappoint.</t>
  </si>
  <si>
    <t>Take Kedzie North to 87th; Go West to Central Park; Go North to 86th; Go west to property</t>
  </si>
  <si>
    <t>Remodeled 1.5 story cape cod features 4 bed rooms,  1.5 bathrooms, and a two car garage near transprotation, schools, and shopping centers!</t>
  </si>
  <si>
    <t>Steel Siding, Frame</t>
  </si>
  <si>
    <t>BRING YOUR FHA BUYERS. THIS RECENTLY REMODELED PROPERTY IS AFFORDABLE, LOW TAXES AND WILL PASS FHA FINANCING.</t>
  </si>
  <si>
    <t>50th</t>
  </si>
  <si>
    <t>51 St. to Hoyne N. to 50TH PL., W to Property</t>
  </si>
  <si>
    <t>SPACIOUS 4-BED, 2-BATH HOME WITH GREAT POTENTIAL! EXTRA LARGE CORNER LOT. ***CORPORATE OWNED REO*** SOLD AS-IS/WHERE-IS. NO SURVEY/TERMITE.  UTILITIES WILL NOT BE ACTIVATED.  PLUMBING DOES NOT HOLD PRESSURE. *BUYER RESPONSIBLE FOR TRANSFER STAMPS* - HIGHEST AND BEST DUE 1-28-2015 @ 3:30PM</t>
  </si>
  <si>
    <t>Submit all offers to sales@pvrco.com.  Required Offer Cover Sheet under Additional Information.   Buyers agent will pay $150 fee to Pyramid Platform at closing.</t>
  </si>
  <si>
    <t>Logan</t>
  </si>
  <si>
    <t>Route 38 West of River to Logan Avenue North on Logan</t>
  </si>
  <si>
    <t>79 X 132</t>
  </si>
  <si>
    <t>Large Home at a Great Price! West side of Geneva near High School. Close to parks, downtown, and bike trails. Private yard with paver patio. Oak floors and trim. Six panel doors. Dining/Media room w/built-in shelves and computer nook. Finished basement w/family room and home theater. Luxury Master Bath has whirlpool, double sinks and separate shower. 3 full baths and 1st floor laundry. New Stainless Appliances!</t>
  </si>
  <si>
    <t>Humidifier, Water-Softener Owned, TV-Cable, CO Detectors, Ceiling Fan, Fan-Attic Exhaust, Sump Pump, Backup Sump Pump</t>
  </si>
  <si>
    <t>Storage, Theatre Room</t>
  </si>
  <si>
    <t>Kanute Real Estate</t>
  </si>
  <si>
    <t>(630) 377-6100</t>
  </si>
  <si>
    <t>Michael Vanthournout</t>
  </si>
  <si>
    <t>(630) 886-6043</t>
  </si>
  <si>
    <t>Cell 630-886-6043</t>
  </si>
  <si>
    <t>Call Centralized Showings 1-877-977-1010 to make appointment.</t>
  </si>
  <si>
    <t>Girardot</t>
  </si>
  <si>
    <t>Home is much bigger than it looks! This is a lot of home for the price in Downtown Geneva. Plan to park in the driveway as a resident permit is required to park on the street during the school day. Owners can always park in front of home.</t>
  </si>
  <si>
    <t>83rs.Street E/W to Perry North to Address</t>
  </si>
  <si>
    <t>Newly Rehabbed Classic Oversized Brick Bungalow.Boasts 4 bedrooms ,3 full baths . Custom Spa bath on the second Level! w/ Huge Master Suite. Gorgeous  kitchen with Stainless Steel Appliances, Granite Counters and Upgraded 42'inchCabinets. First Flr with New Hwd Flrs. Finished Basement New furnace, HWA.Central air, Overhead  Sewers and new Drain tile. New DeckPrivacy Fence to be installed-Cashier's Check/Remax Synergy</t>
  </si>
  <si>
    <t>3.5%-$250 (on Gross SP)</t>
  </si>
  <si>
    <t>Priscilla Ball</t>
  </si>
  <si>
    <t>(708) 937-3055</t>
  </si>
  <si>
    <t>text listing agent 708 937 3055</t>
  </si>
  <si>
    <t>Privacy Fence , Stainless Steel Appliances and New Garage Door still being Installed .Seller can convert UL 2nd. Bedrm to Huge Walk in closet Earnest Money made out to Remax Synergy /Cashiers Check Only.</t>
  </si>
  <si>
    <t>LAKE SHORE DRIVE TO 31ST STREET. WEST TO CALUMET SOUTH TO 3369</t>
  </si>
  <si>
    <t>GRACIOUS 1885 GRAYSTONE HOME, LOCATED MINUTES FROM MUSEUMS, 31ST HARBOR, LAKE, TRANSPORTATION AND DOWNTOWN. ENJOY THE COMFORTS OF LIVING AND ENTERTAINING WELL. THIS VINTAGE HOME WAS RENOVATED IN 1989 WITH A FLOOR PLAN THAT PROVIDES FOR GREAT SPACE AND VALUE. LARGE BEDROOMS, 5 FIREPLACES, LIBRARY, FINISHED BASEMENT AND 2 DECKS, 1 WITH VIEWS OF DOWN TOWN.</t>
  </si>
  <si>
    <t>Deck, Library, Media Room, Other</t>
  </si>
  <si>
    <t>Jeanette Gregg</t>
  </si>
  <si>
    <t>(312) 399-0147</t>
  </si>
  <si>
    <t>btuggle@koenigrubloff.com</t>
  </si>
  <si>
    <t>JEANETTE 312-399-0147, BILL OR PAM TUGGLE 312-952-5647 OR 312-952-5648</t>
  </si>
  <si>
    <t>MUST HAVE 24 HOURS ADVANCE NOTICE.</t>
  </si>
  <si>
    <t>103rd TO CALIFORNIA, NORTH TO 102ND PLACE WEST TO HOME</t>
  </si>
  <si>
    <t>THIS IS A FANNIE MAE REVERSE MORTGAGE FORECLOSURE.  VERY LARGE, 4 BEDROOM, 2 1/2 BATH HOME LOCATED IN FABULOUS WEST BEVERLY. LARGE LIVING ROOM, FORMAL DINING ROOM, HUGE EAT-IN KITCHEN, FIRST FLOOR FAMILY ROOM, FINISHED BASEMENT. SIDE DRIVE TO 1 1/2 CAR GARAGE. HARDWOOD FLOORS. SOLD AS IS. PROPERTY IS BEING SOLD SUBJECT TO HUD GUIDELINES 24 CFR 206.125.  EM ON CASH OFFERS MUST BE 10% OF PURCHASE PRICE</t>
  </si>
  <si>
    <t>25X47</t>
  </si>
  <si>
    <t>Division</t>
  </si>
  <si>
    <t>Route 59 (Hough St.) S. to Hillside, E. on Hillside to Division, S. on Division to home on right.</t>
  </si>
  <si>
    <t>126 X 66 X 126 X 64</t>
  </si>
  <si>
    <t>Outstanding in-town home just blocks to transportation, award winning schools, shopping, dining &amp; Bakerâ€™s Lake! Exceptional architecture includes stone &amp; cedar exterior, oak hardwood flooring, volume ceilings, skylights, recessed lighting, beautiful natural cherry chefâ€™s kitchen w/ stainless appliances &amp; granite counters opens to family rm, stone fireplace, 1st fl. office, crown molding, deck &amp; prof. landscaped yard.</t>
  </si>
  <si>
    <t>Humidifier, Water-Softener Owned, TV-Cable, Security System, Fire Sprinklers, CO Detectors, Ceiling Fan, Sump Pump, Backup Sump Pump</t>
  </si>
  <si>
    <t>Bonus, Eating Area, Exercise Room, Foyer, Office, Recreation Room, Utility Room-Lower Level, Walk In Closet</t>
  </si>
  <si>
    <t>31X40</t>
  </si>
  <si>
    <t>Call 1-855-746-9020 or schedule online through Showing Assist.</t>
  </si>
  <si>
    <t>Laporte</t>
  </si>
  <si>
    <t>West of Cicero Ave To LaPorte S</t>
  </si>
  <si>
    <t>Wonderfully rehabbed Garfield Ridge ranch with giant master bedroom suite! We pulled out all of the stops to make this property stand out.  Hardwood flooring on the main level compliments the customized can lighting.  Open concept kitchen with granite countertops, stainless steel appliances, mosaic back-splash, and ceramic tile flooring. Finished basement with entertainment area, ceramic tile flooring, and can lights</t>
  </si>
  <si>
    <t>87th STREET TO KARLOV NORTH TO ADDRESS</t>
  </si>
  <si>
    <t>WOW!!! ABSOLUTELY STUNNING!!! HUGE MAGNIFICENTLY REMODELED BRICK SPLIT LEVEL W/DRIVEWAY. 4 BEDROOMS &amp; 2.5 BEDROOMS. NEW WHITE VINTAGE KITCHEN CABINETS W/INLAND, GRANITE TOPS, BACKSPLASH &amp; TOP OF THE LINE SS APPLIANCES. BEAUTIFUL GLEAMING HARDWOOD FLOORS THROUGHOUT. NEW BATHS W/JACUZZI, CUSTOM TILE DESIGN &amp; DOUBLE SINK. HUGE FAMILY ROOM. NEW WINDOWS, FURNACE, TRIMS, DOORS, GARAGE DOOR/OPENER &amp; MUCH MORE!! AGENT OWNED</t>
  </si>
  <si>
    <t>Foster west of Cicero to Tripp, right to property</t>
  </si>
  <si>
    <t>Vintage tan brick octagon bungalow w/ fnshd dormer* Original feat. on the main flr* Lighting fixtures* Stained glass*Faux fireplace*Mud room*hardwd flr, pantry...etc. * Full 2nd flr dormer is huge fnshd space ( could be 3 bdrms easily with 2 bath)* Lots of light... Brick 2 car gar* One block to forest preserves* Hghwy access too! Over 2,000 sq. ft. to enjoy in great Gompers Park Area. Park and Swimming pool nearby</t>
  </si>
  <si>
    <t>Enclosed Porch, Mud Room</t>
  </si>
  <si>
    <t>2.5%-$250(ON GROSS) (on Gross SP)</t>
  </si>
  <si>
    <t>Alana Golubic</t>
  </si>
  <si>
    <t>(773) 467-5343</t>
  </si>
  <si>
    <t>Diamond in the rough. Waiting to be finished by new owners.</t>
  </si>
  <si>
    <t>Ashland to 87th St., West to Wood, South to Property.</t>
  </si>
  <si>
    <t>Great Opportunity to purchase a property in Auburn Gresham.  The property is in need of repairs and is sold in its "As Is" condition.  Property is being sold subject to the HUD Guidelines 24 CFR 206.125.  (Only required during the HUD Marketing Period and must be removed upon the expiration of the HUD Marketing Period).  A proof of funds or letter of preapproal is required with all offers.</t>
  </si>
  <si>
    <t>Seaview</t>
  </si>
  <si>
    <t>County Farm N of Army Trail to Windjammer E to Seaview Dr</t>
  </si>
  <si>
    <t>Arbors</t>
  </si>
  <si>
    <t>Fannie Mae Homepath Property!  Bi-Level home with 4 bdrms, 3 full bths. New SS kitchen appliances. Fresh Paint! New Carpet! FP in fam rm. Patio. 2 car attached garage. Pre-approval or proof of funds required on all offers.  See attached docs prior to submitting an offer on Homepath.</t>
  </si>
  <si>
    <t>Bede</t>
  </si>
  <si>
    <t>Rt 56 (West of Kirk Rd) to Pinecreek (N) to  Bede Circle (E)</t>
  </si>
  <si>
    <t>68X139X71X132</t>
  </si>
  <si>
    <t>Wonderful 2 story home w/hardwoods on entire 1st floor--You will love the beautifully landscaped fenced yard w/32x16 covered brick paved patio w/fire pit!! Kitch w/solid surface counters, breakfast bar &amp; bayed dinette... Fam rm w/custom rounded hearth fireplace... Spacious bedrooms... Nicely finished basement w/rec rm &amp; bdrm/den... Great neighborhood close to parks, school &amp; quick access to I-88!!</t>
  </si>
  <si>
    <t>Call 855-919-0377 for Appointment - No Showings After 7pm.</t>
  </si>
  <si>
    <t>BEAUTIFUL CLEAN, BRIGHT, REMODELED 4 BEDROOM 2 STORY HOME. IN GREAT LOCATION. CLOSE TO I-90. REMODELED BATHROOMS, FRESHLY PAINTED, NEW FLOORS, WINDOWS, SIDING, DOORS, REMODELED KITCHEN. WITH NEW CABINETS, GRANITE COUNTER TOPS, SS APPLIANCES, NEW GARAGE DOOR AND MUCH MORE.</t>
  </si>
  <si>
    <t>Curbs/Gutters, Street Lights</t>
  </si>
  <si>
    <t>***THIS IS NOT A SHORT SALE OR FORECLOSURE***  QUICK CLOSING POSSIBLE. OWNER AN ILLINOIS LICENSE. LISTING AGENT RELATED TO OWNER.</t>
  </si>
  <si>
    <t>ROUTE 60 N/S TO BRAEMAR W TO SUBJECT</t>
  </si>
  <si>
    <t>This gorgeous 4-bed, 3.5-bath shows like a model!  Spacious rooms, gleaming hardwood floors, new carpet, fresh paint, stainless appliances, screened porch and much more!  Move right in.  Corporate-owned.  Buyer responsible for transfer stamps.  $150 admin fee charged to Buyer's agent. Highest and Best due 8AM - 3/23/2015</t>
  </si>
  <si>
    <t>Click on "Schedule a Showing" below:</t>
  </si>
  <si>
    <t>Submit all offers to sales@pvrco.com. Required Offer Cover Sheet under Additional Information. $150 Transaction Fee charged to Selling Agent at closing. *BUYER RESPONSIBLE FOR TRANSFER STAMPS* BUYER TO VERIFY ROOM COUNT/DIMENSIONS</t>
  </si>
  <si>
    <t>76th Street to Carpenter south to home</t>
  </si>
  <si>
    <t>3720 SQ FT</t>
  </si>
  <si>
    <t>DROP DEAD GORGEOUS! NEW ROOF/ TUCK POINTED/ NEW LANDSCAPING/FENCED YARD WITH PATIO/ GRANITE KITCHEN WITH STAINLESS STEEL APPLIANCES/ EURO STYLE BATHROOMS/HARDWOOD FLOORS/CERAMIC TILE FLOORS/ UPGRADED ELECTRIC WITH RECESSED LIGHTS AND CEILINGS FANS/UPGRADED PLUMBING/NEW FUNRACE AND HOT WATER HEATER/ HUGE FINISHED BASEMENT/SECURITY SYSTEM/ CENTRAL AIR INSTALLED AT CLOSING/"HAS SECURED PRIVATE PARKING AREA IN BACK YARD"</t>
  </si>
  <si>
    <t>6X24</t>
  </si>
  <si>
    <t>CALL 877-977-1010 FOR SHOWINGS</t>
  </si>
  <si>
    <t>BUILDING PERMITS ISSUED BY THE CITY OF CHICAGO. I AM CURRENTLY REHABBING THE HOME NEXT DOOR AT 7606 S CARPENTER.</t>
  </si>
  <si>
    <t>Route 31 N of Lake Street (Route 20) to Orange, west to home</t>
  </si>
  <si>
    <t>65X85</t>
  </si>
  <si>
    <t>WHAT A FIND! LARGE CORNER LOT! 4 BEDROOMS, 1 1/2 BATHS, FULL BASEMENT, ONE CAR GARAGE THAT IS BUILT WITH SHED DESIGN, TO ALLOW YOUR CHOICE OF USE!NEW FLOORING, FIXTURES, PAINT, BEAUTIFUL! UPSTAIRS HAS TWO BEDROOMS, LOFT, 1/2 BATH. TWO BEDROOMS FIRST FLOOR! TWO PORCH ENTRIES, GREAT LOCATION! HURRY,A MUST SEE! GREAT COMMUTER LOCATION! CLOSE TO SCHOOLS, SHOPPINGS, RT 31 AND RT 20! TRAIN!Exterior to be grey and white.</t>
  </si>
  <si>
    <t>Park/Playground, Curbs/Gutters, Sidewalks</t>
  </si>
  <si>
    <t>1-888-362-3222</t>
  </si>
  <si>
    <t>RBG Properties</t>
  </si>
  <si>
    <t>$1,000 bonus on beautiful home by RBG for contract by 3/15/15 Please remove shoes, leave card, turn off lights and secure all doors.  Thank you for showing!!!</t>
  </si>
  <si>
    <t>Ashland to Altgeld east or Wrightwood to Altgeld south</t>
  </si>
  <si>
    <t>Must see sunny SFH (approx 3600 sq/ft) 4BR/3.5B near Prescott Elementary &amp; 3 parks.  Private urban oasis on quiet tree lined Lincoln Park st. New oversized deck w/ beautiful built-in flower boxes, gorgeous trees off kitchen/family rm. Open flr plan w/ skylights perfect for entertaining. Custom designed kitchen w/ espresso cabinets, marble counter tops &amp; Wolf/Sub-Zero appliances.  XL Master w/whirlpool. 5 min from hwy</t>
  </si>
  <si>
    <t>Microwave, Dishwasher, Refrigerator, Washer, Dryer</t>
  </si>
  <si>
    <t>Den, Deck</t>
  </si>
  <si>
    <t>(312) 810-4165</t>
  </si>
  <si>
    <t>Email chris.doyle@related.com</t>
  </si>
  <si>
    <t>112TH</t>
  </si>
  <si>
    <t>Wentworth to 112th Place, West to 317 West.</t>
  </si>
  <si>
    <t>Great Investment! Large Single Family Residence with Full Basement.  This property is a Freddie Mac Homesteps Property.  Special Addendums required after acceptance of offer.  Sold AS-IS.  Seller does not provide survey or termite.  Earnest Money to be in Cashiers Check only.  Proof of funds required with all offers.</t>
  </si>
  <si>
    <t>Equitable Investment Group Inc</t>
  </si>
  <si>
    <t>(708) 466-2919</t>
  </si>
  <si>
    <t>Anthony Davis</t>
  </si>
  <si>
    <t>Call L/A @ 773-392-8849</t>
  </si>
  <si>
    <t>This property is eligible under the Freddie Mac Homesteps First Initiative through 02/12/2015.</t>
  </si>
  <si>
    <t>71st Street East or West to Hermitage South to Address</t>
  </si>
  <si>
    <t>Investors and Rehabbers! Single Family needs full Rehab! . (Cash or Rehab Loans Only) Property sold â€œas isâ€_x009d_ Buyer responsible for title insurance cost. No tax pro-rations. No Disclosurs/Survey or Termite Inspection provided by Seller. Buyer responsible of all inspections.</t>
  </si>
  <si>
    <t>$1500 ON NET SALE (on Net SP)</t>
  </si>
  <si>
    <t>(312) 664-2121</t>
  </si>
  <si>
    <t>Andre L Furcron, SFR</t>
  </si>
  <si>
    <t>(773) 851-1061</t>
  </si>
  <si>
    <t>Call Agent - Access with drill gun</t>
  </si>
  <si>
    <t>No tax pro-rations. No Disclosures/Survey or Termite Inspection</t>
  </si>
  <si>
    <t>North of Devon, West of Harlem in Edison Park</t>
  </si>
  <si>
    <t>YOU GET AN IDEAL LAYOUT IN THIS MODERNLY DECORATED FAMILY HOME. NOT YOUR TYPICAL BUNGALOW! 4 BEDROOMS, 3 FULL BATHS - ONE ON EACH FLOOR - FAMILY ROOM WITH FIREPLACE AND LARGE DECK. KITCHEN WITH STAINLESS STEEL APPLIANCES AND LARGE ISLAND WITH SEATING AREA. 1ST FLOOR BEDROOM AND FULL BATH, PERFECT FOR GUESTS OR DEN. DOWN THE BLOCK FROM SCHOOL AND PARKS. WALK TO RESTAURANTS, SHOPS, AND TRANSPORTATION.</t>
  </si>
  <si>
    <t>Loft, Recreation Room, Walk In Closet</t>
  </si>
  <si>
    <t>Sue Hall</t>
  </si>
  <si>
    <t>CALL LISTING OFFICE 847.692.5522</t>
  </si>
  <si>
    <t>DAMEN TO BERTEAU EAST ON BERTEAU</t>
  </si>
  <si>
    <t>Beautiful, single family on a wide lot in desired Coonley school district.  home has a formal entry leading into an ideal lay out w/top of the line finishes, &amp; great attention to detail. 4 br upstairs, &amp; addl 3+ in the lower level, kitchen w/2 dishwashers, large island, butlers pantry &amp; an eat-in dinette, huge family rm, large rms w/a lot of natural light, tons of storage.</t>
  </si>
  <si>
    <t>Deck, Eating Area, Foyer, Great Room, Mud Room, Office, Storage</t>
  </si>
  <si>
    <t>Laura Topp, ABR,ABRM</t>
  </si>
  <si>
    <t>(773) 419-0076</t>
  </si>
  <si>
    <t>CALL OR EMAIL TAIRA 773-419-6026</t>
  </si>
  <si>
    <t>NEW CONSTRUCTION.</t>
  </si>
  <si>
    <t>EGGLESTON</t>
  </si>
  <si>
    <t>Halsted East to Eggleston. South to 11220</t>
  </si>
  <si>
    <t>Spacious well taken care of home with new roof, newer windows, high efficiency furnace, mud room and cherry blossom tree in the backyard. Priced to sell quick!!</t>
  </si>
  <si>
    <t>Denise Foote</t>
  </si>
  <si>
    <t>(708) 203-1131</t>
  </si>
  <si>
    <t>Call listing office or use showing assist and appointment staff will contact you. 24 hour notice</t>
  </si>
  <si>
    <t>Foster to Newcastle, Newcastle is a one-way going north</t>
  </si>
  <si>
    <t>Big Oaks</t>
  </si>
  <si>
    <t>A rare find! This 64 year old home was owned by one owner and it shows the pride of ownership. Very well maintained and upgraded including recent roof, recent heat and air conditioning, newer windows, and recently refinished hardwood floors. Natural woodwork throughout. Excellent location: expressways, the Blue Line, schools nearby. Owner says: Bring me an offer!</t>
  </si>
  <si>
    <t>American Advantage Realty Inc.</t>
  </si>
  <si>
    <t>(773) 777-8988</t>
  </si>
  <si>
    <t>Joseph Schiavone</t>
  </si>
  <si>
    <t>(773) 230-6115</t>
  </si>
  <si>
    <t>Call listing agent Joe 773-230-6115</t>
  </si>
  <si>
    <t>TEE</t>
  </si>
  <si>
    <t>RTE 25 TO GOLF VIEW TO TEE RD - VR ON TEE LN HOME ON RIGHT SIDE</t>
  </si>
  <si>
    <t>* REMODELED 4 BEDROOM 2 BATH 1700 SQ FT TRI LEVEL * 15 X 13 MASTER BEDROOM W/PRIVATE BATH - INCREDIBLE TILE WORK &amp; WALK IN SHOWER W/ GLASS DOORS - GRANITE VANITY LARGE BATH CLOSET * 2ND BATH W/ LARGE WALK IN TILED SHOWER W/ GRANITE VANITY * LARGE 24 X 15 FAMILY ROOM W/ STONE FIREPLACE * WOOD FLOORING * BEAUTIFUL KITCHEN W/ NEW CABINETS-PORCELAIN TILE &amp; GLASS TILE BACK SPLASH * NEWER FURNACE * CANNED LIGHTING * HURRY</t>
  </si>
  <si>
    <t>3%-175 (on Gross SP)</t>
  </si>
  <si>
    <t>* ONE OF A KIND * MASTER BEDROOM W/ THE BATH IS OVER THE TOP * 2ND BATH IS INCREDIBLE * LARGE 24 X 15 FAMILY ROOM W/ STONE FIREPLACE * HARDWOOD FLOORING * NEW KITCHEN * NEW FURNACE * NEW HWH * FANTASTIC FLOOR PLAN * SO MUCH HERE</t>
  </si>
  <si>
    <t>Joseph Sixbury</t>
  </si>
  <si>
    <t>Rte. 23 N to Heron Creek right to Joseph Sixbury left.</t>
  </si>
  <si>
    <t>HERON CREEK</t>
  </si>
  <si>
    <t>This spacious 4 bedroom, 3.5 bath in Heron Creek features granite countertops, all stainless steel appliances, tiled backsplash, floor-to-ceiling brick wood burning fireplace and hardwood floors throughout the first floor.  The Master BR features private bath, with double sinks, whirlpool tub and WIC.  All 4 bedrooms are spacious and three have large WIC.  Full finished lower level with 3/4 bathroom.</t>
  </si>
  <si>
    <t>24X27</t>
  </si>
  <si>
    <t>Seller says bring an offer, shows well!</t>
  </si>
  <si>
    <t>Damen to Ohio, west to 2039</t>
  </si>
  <si>
    <t>24 X 92</t>
  </si>
  <si>
    <t>Stunning &amp; beautiful UK Village SFH! Built in 2008, this stylish home has been barely lived in and feels like new construction. With tall ceilings &amp; tons of windows, the home is flooded with light throughout. Upgraded w/custom finishes everywhere, great room sizes, large master suite w/brand new bathroom, steam shower, heated floors. Rooftop deck spanning entire house w/phenomenal city views! Great location &amp; value!!</t>
  </si>
  <si>
    <t>Balcony, Deck, Pantry, Walk In Closet</t>
  </si>
  <si>
    <t>Email Pete:  pcastaldo@atproperties.com</t>
  </si>
  <si>
    <t>WHITETAIL RIDGE</t>
  </si>
  <si>
    <t>RT.34 W TO RT.71 TO 126TH TO WHITETAIL.</t>
  </si>
  <si>
    <t>WHITETAIL RIDGE GOLF COURSE</t>
  </si>
  <si>
    <t>NA-AU-SAY</t>
  </si>
  <si>
    <t>110 X 300</t>
  </si>
  <si>
    <t>QUALITY CONSTRUCTION LOADED W UPGRADES! Located on the highest pt of Whitetail subdivision. BACKS TO THE 15TH HOLE! High end stainless steel appliances with wide-plank teak flooring. Full masonry fireplaces. DREAM KITCHEN w 09x04 island, dbl oven &amp; warming drwr!  Upgraded granite &amp; cabinets. Master suite w steam shower &amp; balcony overlooking golf course!High end Baldwin locks, sec sys, sprinkler sys, wine cooler &amp; MOR</t>
  </si>
  <si>
    <t>Clubhouse, Pond/Lake, Water Rights, Curbs/Gutters, Sidewalks, Street Lights</t>
  </si>
  <si>
    <t>Oven-Double, Oven/Range, Microwave, Dishwasher, Refrigerator, Disposal, All Stainless Steel Kitchen Appliances, Wine Cooler/Refrigerator</t>
  </si>
  <si>
    <t>Balcony, Bonus, Mud Room, Office, Other</t>
  </si>
  <si>
    <t>2.5%-150.00 (on Net SP)</t>
  </si>
  <si>
    <t>EASY TO SHOW!  USE SHOW ASSIST!  READ SPECIAL INSTRUCTIONS FOR ENTRY</t>
  </si>
  <si>
    <t>Too many features to list!  Full Feature sheet at the home.</t>
  </si>
  <si>
    <t>Take Randall Rd to 20W to Nesler .Left to Gansett, left to Pawtucket, right at Stratton.</t>
  </si>
  <si>
    <t>NANTUCKET</t>
  </si>
  <si>
    <t>This 4 bedroom , 2.5 bath home has it all- Granite  and stainless kitchen with maple cabinets, large island and sunny breakfast area. Oversize kitchen pantry. Arched flex space with columns perfect for dining table or office. All bedrooms have walk in closets. Master bedroom has coffee bar, luxury bath. Full basement ready to finish. Front exterior has porch to enjoy. Move in now! Financing incentives available!</t>
  </si>
  <si>
    <t>Park/Playground, Tennis Courts, Dock-Community, Curbs/Gutters, Sidewalks, Street Lights</t>
  </si>
  <si>
    <t>Appliance Package/Allowance, Central Air, Energy Efficient Package, Basement, Oak Trim/Oak Staircase, Upgrade Carpet/Pad/Vinyl</t>
  </si>
  <si>
    <t>Please call the sales center at 847-984-4616 for access. Located at 3301 Stratton, Elgin</t>
  </si>
  <si>
    <t>Please call 847-984-4616 or visit the sales office at 3301 Stratton St to register your client. Open  Sunday 11 AM to 5PM,Monday 1PM to 5PM, Tuesday to Saturday 10AM to 5PM.</t>
  </si>
  <si>
    <t>Bickford</t>
  </si>
  <si>
    <t>RT 34 TO HWY 71 SW TO MINKLER RD SOUTH TO HUNT CLUB DRIVE EAST TO BICKFORD NORTH</t>
  </si>
  <si>
    <t>FAIRFAX A</t>
  </si>
  <si>
    <t>NEW CONSTUCTION HOME TO BE COMPLETED APRIL 2015-LAST HOME AVAILABLE-FULL LOOK OUT BASEMENT- ELEVATION A-HARDWOOD FLS IN KIT BREAKFAST RM LIVING RM &amp; FOYER-4 BEDROOMS &amp; LOFT-PICTURES OF MODEL &amp; UPGRADED ELEVATION-2,000 CLOSING COST CREDIT-PRICES &amp; PROMOTIONS SUBJECT TO CHANGE WITHOUT NOTICE-PRICE REFLECTS PROMOTION USING BUILDERS LENDER-</t>
  </si>
  <si>
    <t>3% OF BASE-$150 (on Net SP)</t>
  </si>
  <si>
    <t>DRIVE BY ONLY-CALL VERONICA 630-466-4733 TO WRITE CONTRACT</t>
  </si>
  <si>
    <t>KHOVANIAN HOMES VERONICA</t>
  </si>
  <si>
    <t>PRICE REFLECT INCENTIVE WITH KHAM LENDER-COMMISSION PAID ON BASE PRICE-MUST REGISTER CLIENT PRIOR TO WRITTING BUILDERS CONTRACT-PRICES COMMISSION PROMOS SUBJECT TO CHANGE WITHOUT NOTICE CALL VERONICA 630-466-4733</t>
  </si>
  <si>
    <t>Gentle Breeze</t>
  </si>
  <si>
    <t>Rte 31 to Gentle Breeze East to home</t>
  </si>
  <si>
    <t>66X100 &amp; 60X100(DOUBLE LOT)</t>
  </si>
  <si>
    <t>Great 4 bedroom home located on a double lot (separate PIN #) adjacent to forest preserve! Spacious LR-updated kitchen w/oak refaced cabinets &amp; access to large deck! FR in English bsmt-white doors &amp; trim-recent updates includes siding, windows, roof, wood laminate floors throughout &amp; more. Beautiful fenced lot w/loads of perennials.</t>
  </si>
  <si>
    <t>Microwave, Refrigerator, Washer, Dryer</t>
  </si>
  <si>
    <t>Fenced Yard, Forest Preserve Adjacent, Wooded</t>
  </si>
  <si>
    <t>Deal shakey, looking for back up offers. Electric range top only &amp; toaster oven  Taxes reflect multiple PIN numbers</t>
  </si>
  <si>
    <t>WINDFIELD</t>
  </si>
  <si>
    <t>PEACE ROAD  TO FREED E. TO WINDFIELD S. FIRST HSE ON LEFT</t>
  </si>
  <si>
    <t>WINDFIELD MEADOWS</t>
  </si>
  <si>
    <t>60X22X22X39X85X110X75</t>
  </si>
  <si>
    <t>Spacious home w/6 panel doors, hardwood flrs &amp; beautiful floor to ceiling brick fireplace. Large mstr ste incl/ mstr bath w/whirlpool, separate shower &amp; 13x13 attached rm. with WB stove. Enjoy the comfort &amp; efficiency of 2 furnaces &amp; 2 A/C units. Add'l features incl/ 2 H2O heaters, 3 car gar w/one 10 ft door &amp; 2nd entrance to bsmt. Full unfinished bsmt w/toilet (plumbed for full bath) &amp; WB stove. Deep pour basement.</t>
  </si>
  <si>
    <t>Eating Area, Sitting Room</t>
  </si>
  <si>
    <t>Wood Burning, Wood Burning Stove, Gas Starter</t>
  </si>
  <si>
    <t>Sharon Sperling, SFR</t>
  </si>
  <si>
    <t>(815) 793-3030</t>
  </si>
  <si>
    <t>815-793-3030</t>
  </si>
  <si>
    <t>CALL L.O. OR L.A. 24 HRS PREFERRED BUT WILL WORK WITH SHORTER NOTICE</t>
  </si>
  <si>
    <t>TERRY &amp; SANDRA EVANS</t>
  </si>
  <si>
    <t>Full set of Pella replacement wdws in bsmt stay with house. All new smoke/carbon monoxide detectors throughtout. Ideal closing 6/15 but negotiable.</t>
  </si>
  <si>
    <t>79TH ST WEST TO CAMPBELL SOUTH TO HOUSE</t>
  </si>
  <si>
    <t>BRICK CAPE COD FT: KITCHEN CABINETS, GRANITE TOPS, BACKSPLASH &amp; SS APPLS. BATHS W/ TILES &amp; VANITIES. HARDWOOD FLOORS THROUGHOUT. COME MAKE THIS HOUSE YOUR HOME!!!! EXCELLENT LOCATION !!!</t>
  </si>
  <si>
    <t>I88 2 ORCHARD S 2 RT 30W 2 DICKSON 2 HUNTINGTON</t>
  </si>
  <si>
    <t>WILLOW A</t>
  </si>
  <si>
    <t>This 4 bedroom 2.5 bath home inlcudes many upgrades: Master volume cielings in bedroom and bathroom, Fireplace, hardwoord floors, Kitchen with Island and 42"  Cabinets. Taxes prorated at 100%.* Freddie Mac 1st Look Initiative (owner occupied) through 2/4/2015.â€_x009d_ Buyer pays transfer &amp; tax stamps. *sold AS-IS with repair*</t>
  </si>
  <si>
    <t>Breakfast Room, Den, Foyer</t>
  </si>
  <si>
    <t>Vacant on Sentrilock</t>
  </si>
  <si>
    <t>Verbally accepted offer pending paperwork. To place offer -Property Disc,Buyer offer Worksheet required with all offers **proof of funds/financing req* buyer responsible for any/all city/municipal trans/tax stamps. Documents in Addtl info</t>
  </si>
  <si>
    <t>Bluebell</t>
  </si>
  <si>
    <t>Route 72 to reinking to Cambridge lakes right to woodfern left to larkspur right to bluebell</t>
  </si>
  <si>
    <t>CARILLON AT CAMBRIDGE LAKES</t>
  </si>
  <si>
    <t>7829 SQ FT</t>
  </si>
  <si>
    <t>Lovely home, freshly painted, new carpet, refinished hardwood floors. New stainless steel appliances. New lighting fixtures. Large patio and fenced yard. Don't miss out on this great home. Sold as is, no survey, 100% tax pro. See attachment for PAS requirements and WFHM offer submittal information in MLS document section</t>
  </si>
  <si>
    <t>All Homes Realty Inc</t>
  </si>
  <si>
    <t>(847) 414-5050</t>
  </si>
  <si>
    <t>Laura Owens, ABR</t>
  </si>
  <si>
    <t>clo</t>
  </si>
  <si>
    <t>See attachment for PAS requirements and WFHM offer submittal information in MLS document section</t>
  </si>
  <si>
    <t>West on Schaumberg Rd. to Knollwood (S) to Weathersfield (E) to Kensington (S).</t>
  </si>
  <si>
    <t>70'X122'</t>
  </si>
  <si>
    <t>Charming Ranch home with spacious open floor plan, huge Family Room with Fireplace off the kitchen. Additional dry bar also off kitchen.  Master Bedroom, Three season Sun Room, connects to a fabulous patio for out door entertainment. Newer siding and roof. Two Separate furnaces, main house A/C. Close to Schools, Parks, Shopping, and major Highways.</t>
  </si>
  <si>
    <t>Mud Room, Sun/Florida Room, Workroom</t>
  </si>
  <si>
    <t>Skylight(s), Bar-Dry, 1st Floor Bedroom, 1st Floor Laundry, 1st Floor Full Bath</t>
  </si>
  <si>
    <t>Robert Lucas</t>
  </si>
  <si>
    <t>(847) 392-3900</t>
  </si>
  <si>
    <t>847-553-8413</t>
  </si>
  <si>
    <t>Call Showing Desk Coordinator for appointment. (888)362.3222</t>
  </si>
  <si>
    <t>Skylight, Bar-Dry, 1st Floor Laundry, 1st Floor 2 Full Baths.  Main house furnace replaced late 2014.  All respectable offers will be taken into consideration.</t>
  </si>
  <si>
    <t>59TH TO ADA, S TO ADDRESS</t>
  </si>
  <si>
    <t>THIS IS A FANNIE MAE HOMEPATH PROPERTY! START OFF YOUR VISIT HERE BY ADMIRING THE GRACIOUS FRONT PORCH, WHICH IS PERFECT FOR ENTERTAINING! SPACIOUS ROOMS, UPDATED KITCHEN, LARGE PRETTY YARD, AND A NICE DETACHED GARAGE MAKE THIS ONE A TOTAL WINNER</t>
  </si>
  <si>
    <t>THE SELLER DIRECTS THAT ALL OFFERS BE SUBMITTED VIA HOMEPATH.COM  USE THE ATTACHED CONTRACT PKG PLEASE.</t>
  </si>
  <si>
    <t>RT 31 to Hancock West to N. Thorndale North</t>
  </si>
  <si>
    <t>62X143X140X72</t>
  </si>
  <si>
    <t>Beautiful 4 bedroom home located in River Ridge (St. Charles school district). Spacious eat in Kitchen with center island, quartz counter tops and travertine back splash, as well as 2 pantry closets. Excellent floor plan &amp; neutral decor.  Exceptional storage in the full basement.  Enjoy entertaining &amp; grilling on the large deck.  Home is located a short distance to the park.  Motivated Sellers!  eBrochure available.</t>
  </si>
  <si>
    <t>Humidifier, Ceiling Fan, Sump Pump, Backup Sump Pump</t>
  </si>
  <si>
    <t>prefer 24 hr notice, not mandatory</t>
  </si>
  <si>
    <t>Contact co-lister for information</t>
  </si>
  <si>
    <t>Alyssa</t>
  </si>
  <si>
    <t>Rt 34 to Mitchell to Eileen to Alyssa</t>
  </si>
  <si>
    <t>Kincaid</t>
  </si>
  <si>
    <t>Route 38 to County Line Rd north to Ashton west to Kincaid north</t>
  </si>
  <si>
    <t>80 X 132</t>
  </si>
  <si>
    <t>This is the one! Wide open ranch, with finished, sprawling basement! Nothing to do but move in! Livingroom, diningroom, kitchen all open with vaulted ceiling! Kit has b'fast bar &amp; SS appliances! Master suite feat walkin closet, jetted tub, sep shower, his/her sinks! FULL fin bsmt w/ 4th bedroom, den, rec room, bar, &amp; full bath! Amazing outdoor space feat fireplace, brick paver, and amazing sunsets! Home warranty too!</t>
  </si>
  <si>
    <t>Bar, Den, Foyer, Recreation Room, Utility Room-1st Floor</t>
  </si>
  <si>
    <t>Patio, Porch, Brick Paver Patio, Outdoor Fireplace</t>
  </si>
  <si>
    <t>Ron Donavon</t>
  </si>
  <si>
    <t>(630) 740-5093</t>
  </si>
  <si>
    <t>Cell 630-740-5093</t>
  </si>
  <si>
    <t>6N811</t>
  </si>
  <si>
    <t>Foxborough</t>
  </si>
  <si>
    <t>Randall to Silver Glen E. to Foxborough S.</t>
  </si>
  <si>
    <t>FOXBOROUGH GROVE</t>
  </si>
  <si>
    <t>252X335X227X180</t>
  </si>
  <si>
    <t>Lots of space with open airy floor plan nestled on a scenic 1.25 acre lot this custom built home has been loved by it's original owners.  Familyrm with floor to ceiling fireplace-huge master-vaulted ceilings-inviting sun room to relax and enjoy the quiet. Lower level waiting to be finished has rough in fireplace, there is also a sub basement. Beautifully landscaped yard with 3 car attached and 2 car detached garages.</t>
  </si>
  <si>
    <t>Humidifier, Water-Softener Owned, Central Vacuum, TV-Cable, Intercom, CO Detectors, Ceiling Fan, Sump Pump</t>
  </si>
  <si>
    <t>Foyer, Recreation Room, Sun/Florida Room</t>
  </si>
  <si>
    <t>630-336-7936 cell</t>
  </si>
  <si>
    <t>OOR listing agent related</t>
  </si>
  <si>
    <t>Very well cared for home with 5 car garage. Well worth looking at. Please use 6.0 contract.</t>
  </si>
  <si>
    <t>Rt 47 to Galena Rd E to Big Bend Dr N to Foster E to Pecos E</t>
  </si>
  <si>
    <t>Nice floor plan in this home, freshly painted, new carpet! 4 bedrooms and 2 1/2 baths. Sunroom overlooking pond! Unfinished basement. Yorkville schools, Montgomery address. Easy access to I-88 for your commute. This is a Fannie Mae HomePath property. No personal property included.</t>
  </si>
  <si>
    <t>ALL OFFERS MUST BE SUBMITTED USING THE HOMEPATH ONLINE OFFER SYSTEM - FOR MORE INFO. VISIT WWW.HOMEPATH.COM. PAPERWORK FOUND IN ADDITIONAL INFO. TO SUBMIT OFFER</t>
  </si>
  <si>
    <t>Kedzie two blocks south of Belmont.</t>
  </si>
  <si>
    <t>25X122</t>
  </si>
  <si>
    <t>Everything new in this spectacular home, from the foundation to the roof. Big open floorplan and chef's kitchen await your ideas. Cathedral ceilings in upstairs bedrooms are skylit and filled with light. Meticulous attention to detail throughout all three levels of this home. 3 BRs on 2nd fl; 4th in lower level. Steps from Logan, Blue Line, xpway. This is a beautiful home not to be missed.</t>
  </si>
  <si>
    <t>Foyer, Mud Room, Sitting Room, Storage</t>
  </si>
  <si>
    <t>Click on "Schedule a Showing" link below.</t>
  </si>
  <si>
    <t>3046 N Kedzie, LLC.</t>
  </si>
  <si>
    <t>Fully planned and permitted renovation. Don't miss this one!</t>
  </si>
  <si>
    <t>51st  to Wolcott - S to Address</t>
  </si>
  <si>
    <t>4 Bedroom, 2 Bath 1.5 story Single Family with a Parking Pad in rear for 2 Cars. Features Hardwood Floors, separate Dining Room, enclosed Porch and a full unfinished Basement. Near Shopping, Schools and Transportation. This is a Fannie Mae HomePath Property.</t>
  </si>
  <si>
    <t>2nd Kitchen, Sitting Room</t>
  </si>
  <si>
    <t>Rt 72 to Warner, N to Julie Ln, R to home on Right.</t>
  </si>
  <si>
    <t>Old Mill Manor</t>
  </si>
  <si>
    <t>80X127</t>
  </si>
  <si>
    <t>Great ranch with open floor plan.  Well maintained and ready for a new owner.  This property has vaulted ceilings.  Newer French Doors to huge deck and Sun Setter awning.  Master bedroom has on-suite.  Finished basement with large bar.  Very large garage for all the toys and extra car.  Lot's of square footage here for everyone.  Roof replaced in 2008, Concrete drive in 2005, Furnace 2013, H20 Heater 2010.</t>
  </si>
  <si>
    <t>Oven/Range, Dishwasher, Refrigerator, Refrigerator-Bar, Washer, Dryer, Disposal</t>
  </si>
  <si>
    <t>Vaulted/Cathedral Ceilings, Bar-Wet, Wood Laminate Floors, 1st Floor Bedroom, 1st Floor Full Bath</t>
  </si>
  <si>
    <t>21X28</t>
  </si>
  <si>
    <t>Call Listing Office - Easy to show</t>
  </si>
  <si>
    <t>Don &amp; Lois Hennig</t>
  </si>
  <si>
    <t>CHRISTOPHER</t>
  </si>
  <si>
    <t>Rt 22 West of Rt 12 to Rainbow South to Christopher</t>
  </si>
  <si>
    <t>300X122X531X56X489X64X28</t>
  </si>
  <si>
    <t>MAGNIFICENT HOME IN NORTH BARRINGTON SITUATED ON OVER 3 WOODED ACRES. WONDERFUL FLOOR PLAN WITH NEUTRAL DÃ‰COR. BEAUTIFUL VIEW OF THE WOODS AND NATURE! FAMILY RM W/ BAY &amp; BRICK FIREPLACE. LARGE KITCHEN W/ ISLAND, GRANITE, SS APPL, &amp; BREAKFAST RM. HARDWOOD T/O 1ST FLR. 4 HUGE BEDRMS ON 2ND FLR.  MASTER SUITE W/ TRAY CEILING AND EXSQUITE MASTER BATHROOM . FINISHED WALKOUT W/ REC RM, MEDIA ROOM, AND 2ND OFFICE W/ FP.</t>
  </si>
  <si>
    <t>Eating Area, Media Room, Office, Recreation Room, Other</t>
  </si>
  <si>
    <t>RE/MAX Showcase</t>
  </si>
  <si>
    <t>(847) 596-6100</t>
  </si>
  <si>
    <t>Scott Collins, ABR,e-PRO</t>
  </si>
  <si>
    <t>(847) 308-6550</t>
  </si>
  <si>
    <t>Rt 30 to Briarcliff Rd right to Fernwood Rd right to Greenbriar Rd right to Circle Dr E left</t>
  </si>
  <si>
    <t>79X130</t>
  </si>
  <si>
    <t>Fannie Mae Homepath Property! 2 Story home w/4 bdrms, 2.5 bths. Fresh Paint! New Carpet! Full unfinished bsmt. Fenced yard. 2 car attached garage. Pre-approval or proof of funds required on all offers.  See attached docs prior to submitting an offer on Homepath.</t>
  </si>
  <si>
    <t>Milwaukee ave to Melvina  North to Huntington</t>
  </si>
  <si>
    <t>Beautifully remodeled 4 bedroom home. Hardwood floors through out first floor, Natural wood six panel doors, new wood trim, newer furnace  and  roof (all in the last 5 years) Replacement windows through out the house( except Master bedroom)Flood control system, security system, 6' privacy fence. 2nd floor full bath with new tile. New maple kitchen cabinets with granite counter top.Full dry basement with high ceiling.</t>
  </si>
  <si>
    <t>24 hrs notice preferred , text or call listing agent 847-757-1027</t>
  </si>
  <si>
    <t>California North or South to 57th Street, West to property.</t>
  </si>
  <si>
    <t>Great opportunity to own this HUGE BRICK BUNGALOW located in Chicago's near South Side.  Detached 2-car garage. Solid structure with extra living space in basement.  Needs work but imagine the potential!  Hardwood flooring through living area.  Make your showing appointment today!  This is a Fannie Mae HomePath property.</t>
  </si>
  <si>
    <t>Please email matt@thesokolgroup.com for showing instructions. Please include agent ID and day/time.</t>
  </si>
  <si>
    <t>Elston to Markham west l block to Manton south to home</t>
  </si>
  <si>
    <t>Stunning Spacious Bungalow w/ Modern Upgrades. Kitchen w/BRAND NEW STAINLESS STEAL APPLIANCES! Granite Counters, 42" Wood Cabs, Stone Backsplash, Solarium Window. Deck to Enjoy Just off Kitchen! New Interior Doors &amp; all Baths have been Updated! New 2nd Floor half Bath! Finished Basement w/ Full Granite walk-in Shower! 2.5 Car Garage &amp; Just off 90 Expressway! Around the Corner from Edgebrook Woods- Perfect for Hiking!</t>
  </si>
  <si>
    <t>Deck, Nursery, Recreation Room, Screened Porch</t>
  </si>
  <si>
    <t>Deck, Screened Deck, Storms/Screens</t>
  </si>
  <si>
    <t>2.5% - $295 (ON GSP) (on Gross SP)</t>
  </si>
  <si>
    <t>Email rcrshowings@daprileproperties.com; owner occupied</t>
  </si>
  <si>
    <t>Rt. 71 to Plainfield Rd. to South on Grove to Morgan Valley East</t>
  </si>
  <si>
    <t>Welcome Home! This home is move in ready &amp; has much to offer NOT a foreclosure or short sale.  CAN CLOSE QUICK!  All Appliances Included. Large modern Kitchen that opens to the Family Room w/beautiful fireplace. 9' ceilings on the main floor, Master Suite has vaulted ceiling &amp; deluxe bath, 2 walk-in-closets, shower &amp; soaker tub.  Gorgeous finished basement features a wet bar &amp; fridge. Neutral colors in all rooms.</t>
  </si>
  <si>
    <t>Bar-Wet, 1st Floor Laundry</t>
  </si>
  <si>
    <t>Daniel Firks</t>
  </si>
  <si>
    <t>(630) 637-9009</t>
  </si>
  <si>
    <t>Call CSS 877-977-977-1010</t>
  </si>
  <si>
    <t>Traditional Sale! Remove shoes, turn off lights, leave card and give feedback.  Water/Sewer: $100 Gas: $60 Electric: $75</t>
  </si>
  <si>
    <t>FOREST RIDGE</t>
  </si>
  <si>
    <t>Rt 64 to Dunham north to Fairfax west to Forest Ridge</t>
  </si>
  <si>
    <t>HUNTERS FIELDS</t>
  </si>
  <si>
    <t>75X168.24X131.48X80.56X98.</t>
  </si>
  <si>
    <t>Great 4 bedroom in desirable Hunters Fields on beautiful private &amp; wooded cul de sac lot. So many new amenities: finished basement,bathrooms,gleaming hardwood floors,SS fridge &amp; DW,hi eff furnace &amp; AC,H2O heater,softener,roof,spacious deck,brick patio,shed,driveway &amp; front door.2nd floor laundry.Perfectly located just blocks to middle &amp; high schls,parks,shopping &amp; restaurants.Quick possession possible.Move right in!</t>
  </si>
  <si>
    <t>Deck, Storage Shed, Brick Paver Patio</t>
  </si>
  <si>
    <t>Please be sure back door is locked. Nicely finished open &amp; bright basement. The bedrooms that were blue &amp; green are now neutrally painted. Great neighborhood on St. Charles convenient east side.</t>
  </si>
  <si>
    <t>77th</t>
  </si>
  <si>
    <t>Pulaski to 79th St, West to Karlov, North to Komensky, Turn right on Komensky to house in Cul-De-Sac</t>
  </si>
  <si>
    <t>33X112X102X150</t>
  </si>
  <si>
    <t>INCREDIBLY REHABBED BRICK RAISED RANCH W/ 4 BDRMS &amp; 2 FULL BATHS, YOU'LL BE AMAZED WHEN YOU ENTER THIS HOME, BEAUTIFUL HARDWOOD FLRS THROUGHOUT AWESOME OPEN FLOORPLAN, SOARING CEILINGS IN LIVING RM. STUNNING KITCHEN W/ BREAKFAST BAR, GRANITE COUNTERS &amp; SS APPLIANCES, NEW BATHS W/ WHIRLPOOL TUB &amp; SEATED SHOWR, FINISHED BASEMENT W/FAMILY RM, BDRM, BATH &amp; LAUNDRY. FENCED YARD, NEW CENTRAL AC AT CLOSING</t>
  </si>
  <si>
    <t>Electric, Heatilator Type System</t>
  </si>
  <si>
    <t>Rugby</t>
  </si>
  <si>
    <t>Miller Road East of 59 to Kimberly, S on Kimberly to Rugby (stop sign), left to end of cul-de-sac</t>
  </si>
  <si>
    <t>164 X 258 X 168 X 262</t>
  </si>
  <si>
    <t>Wonderful floor plan with 9' ceilings on the 1st floor, vaulted ceiling in the kitchen, triple crown molding.  First floor den with custom bookcases, opens to a peaceful screened porch.  Spacious deck and an incredibly private lot.  Full finished English lower level with wet bar and lots of built ins.  5 fireplaces, 3 car garage and an amazing master suite with vaulted ceilings and huge bath. Nice place to call HOME!</t>
  </si>
  <si>
    <t>Oven-Double, Microwave, Dishwasher, Refrigerator, Washer, Dryer, Compactor-Trash, Grill-Indoor</t>
  </si>
  <si>
    <t>Humidifier, Water-Softener Owned, Central Vacuum, TV-Cable, Intercom, CO Detectors, Ceiling Fan, Sump Pump, Backup Sump Pump</t>
  </si>
  <si>
    <t>Breakfast Room, Deck, Loft, Office, Recreation Room, Screened Porch, Workroom</t>
  </si>
  <si>
    <t>See through/Multi Sided, Wood Burning, Attached Fireplace Doors/Screen, Gas Logs</t>
  </si>
  <si>
    <t>30X29</t>
  </si>
  <si>
    <t>Mark Kolar, SFR</t>
  </si>
  <si>
    <t>Call L.O. for an appointment</t>
  </si>
  <si>
    <t>What a house!!! Nestled in the trees with so many features. 5 firplaces, full finished English basement.  Front and rear stairs, 2 powder rooms on the first floor.  Located on a cul-de-sac, this is a great value.</t>
  </si>
  <si>
    <t>Halsted to 106th, west to Sangamon, South to home</t>
  </si>
  <si>
    <t>This beautiful, recently rehabbed 4 bedroom, 3 bathroom brick bungalow is brimming with special features and brand new additions. The gorgeous kitchen boasts stainless steel appliances and granite counters. The second floor offers a jumbo master suite and a den, and the basement has been completely finished and even offers a laundry room! With a great price, it's a must see! List price based on FHA appraisal!</t>
  </si>
  <si>
    <t>PULASKI TO 67TH ST WEST TO KOMENSKY  NORTH TO HOME</t>
  </si>
  <si>
    <t>BRICK 4 BEDROOM 2.5 BATH HOME IN WEST LAWN!  , FULL UNFINISHED BASMENT 2 CAR DETACHED GARAGE, FENCED YARD, ENCLOSED SUMMER PORCH,  BASEMENT 1/2 BATH LAUNDRY ROOM, PLENTY OF SPACE FOR FAMILY ROOM,  CIRCUIT BREAKERS, GFA HEATING! . CITY BUS NEARBY, WESTLAWN PARK A FEW BLOCKS WEST, HOME BEING SOLD "AS IS". ESTATE SALE</t>
  </si>
  <si>
    <t>Rafael Alvarado</t>
  </si>
  <si>
    <t>(773) 791-8198</t>
  </si>
  <si>
    <t>TENANT OCCUPIED NEED NOTICE TEXT OR EMAIL LISTING AGENT</t>
  </si>
  <si>
    <t>Subject to Court Approval. NO VERBAL OFFERS CONSIDERED. PLEASE GIVE 24 HOUR NOTICE DUE TO TENANT</t>
  </si>
  <si>
    <t>55TH ST EAST OR WEST TO KEDVALE NORTH TO PROPERTY</t>
  </si>
  <si>
    <t>MULTIPLE OFFER SITUATION HIGHEST AND BEST BY 6PM TODAY!!!NO EXCEPTIONS!!!!!!!!!!!!BEAUTIFUL RAISED RANCH LOOKS LIKE A BUILDERS MODEL!! TWO BRAND NEW FLOORS OF LIVING SPACE, CUSTOM KITCHEN CABINETS WITH GRANITE TOPS AND SS APPLIANCES, TOP OF THE LINE TILE AND FIXTURES, CATHEDRAL CEILINGS, BEAUTIFUL WALNUT HARDWOOD FLOORS.  FULL FINISHED BASEMENT WITH A BAR. NEW ROOF AND WINDOWS.</t>
  </si>
  <si>
    <t>3% + $ 1000 (on Gross SP)</t>
  </si>
  <si>
    <t>Lukasz Zahradnicek</t>
  </si>
  <si>
    <t>708-259-7776</t>
  </si>
  <si>
    <t>MULTIPLE OFFER SITUATION HIGHEST AND BEST BY 6PM TODAY!!!!!!!!!!!!  NO EXCEPTIONS!!!!!!!!!!!!!!</t>
  </si>
  <si>
    <t>Wildflower</t>
  </si>
  <si>
    <t>IRVING WEST OF RT 59 TO WILDFLOWER-N-FOXGLOVE-W-ARBOR</t>
  </si>
  <si>
    <t>83X100X104X111</t>
  </si>
  <si>
    <t>Run to this majestic solid brick colonial priced to sell.  Motivated sellers enjoyed this spacious floor plan, 4 bedroom, vaulted master bedroom and family room, 2.5 car garage, cozy family room with 2 story brick fireplace, custom window treatments, entertaining backyard with a 700 sq ft cedar deck with 12*12 octagon screened gazebo and huge, professionally landscaped backyard. Close to parks.</t>
  </si>
  <si>
    <t>3% - $295 (on Net SP)</t>
  </si>
  <si>
    <t>Weichert REALTORS Goodchild Homes</t>
  </si>
  <si>
    <t>Elizabeth Goodchild, ABR,CRS,GRI,SRES</t>
  </si>
  <si>
    <t>Wooded corner lot amongst homes $400,000 and above.  Enjoy this wonderful community so close to the parks and all of lifeâ€™s conveniences.</t>
  </si>
  <si>
    <t>Kainer</t>
  </si>
  <si>
    <t>Barrington Road North to Lake Cook Road East 1/2 mile to Kainer Ct. North (Left), to 118.</t>
  </si>
  <si>
    <t>HOMES AT KAINER COURT</t>
  </si>
  <si>
    <t>SHERIDAN</t>
  </si>
  <si>
    <t>75X120 APPR.</t>
  </si>
  <si>
    <t>Incredible opportunity for new construction in the Village of Barrington. 3 car tandem garage. Two story foyer, open floor plan with chef's kitchen, quartz counter tops, 42" cabinetry, and hardwood floors throughout first floor. High end finishes are standard in this beautiful home. Full basement with roughed in bathroom. Walk to train, restaurants, shopping and schools. Must see!</t>
  </si>
  <si>
    <t>3.5% ON BASE SALE PRICE (on Net SP)</t>
  </si>
  <si>
    <t>Cooper Raynor, SFR</t>
  </si>
  <si>
    <t>(312) 399-2299</t>
  </si>
  <si>
    <t>Call LO for Instructions</t>
  </si>
  <si>
    <t>February estimated completion and move in. Builder fast cash program -1/2 of commission at non-contingent contract.</t>
  </si>
  <si>
    <t>WASHINGTON ST. TO ASHLAND</t>
  </si>
  <si>
    <t>100X200</t>
  </si>
  <si>
    <t>Convenient downtown location in town of Oswego.  Park nearby, post office, shopping and restaurants .Neutral entryway with hardwood flooring that continues into the living room.  1st floor master and sunroom.  Fireplace with gas log in living room. 2nd floor has another 3 bedrooms. Detached 2 car garage. Newer roof. Very easy to show. GREAT value for the size and location of this home. EASY to show!!</t>
  </si>
  <si>
    <t>CALL SHOWING DESK AT 1-877-977-1010 (Use address when setting up)</t>
  </si>
  <si>
    <t>WHEN SETTING UP ON CENTRALIZE SHOWING USE PROPERTY ADDRESS NOT LISTING #</t>
  </si>
  <si>
    <t>Irving Park to Natchez S to Byron and W to Home</t>
  </si>
  <si>
    <t>4763 SQFT</t>
  </si>
  <si>
    <t>Great cul de sac location! Freshly painted with new carpet in finished basement! Nice open floor plan, Master suite features full master bath! Living room with beautiful brick fireplace, nice loft with closet,  Large kitchen with island and nice cabinetry work! Eating area with sliding door to spacious deck, and 3 car garage! Conveniently located close to dining and shopping. This is a Fannie Mae HomePath property.</t>
  </si>
  <si>
    <t>Island, Eating Area-Table Space</t>
  </si>
  <si>
    <t>Brick, Vinyl Siding</t>
  </si>
  <si>
    <t>Offers are to be submitted on HomePath.com **BUYER RESPONSIBLE FOR TRANSFER STAMPS IF APPLICABLE</t>
  </si>
  <si>
    <t>NORTHAMPTON</t>
  </si>
  <si>
    <t>Route 34 to Boulder Hill Pass, west to Lombardy, south to (2nd) Northampton</t>
  </si>
  <si>
    <t>WINDCREST</t>
  </si>
  <si>
    <t>Fabulous location for this lovely, well maintained home with charming front porch &amp; huge deck overlooking the park! Wonderful floor plan! Some special amenities include family room with fireplace; huge master bedroom with 2 walk-in closets, vaulted ceiling &amp; luxury bath; &amp; fully excavated basement, finished into rec room with bar, leaving plenty of room for storage! Roof reshingled. Newer windows &amp; soffits! More!</t>
  </si>
  <si>
    <t>Bar, Breakfast Room, Deck, Recreation Room, Storage</t>
  </si>
  <si>
    <t>Leslie McKenzie, CNC,CRS,CSC,GRI</t>
  </si>
  <si>
    <t>(630) 373-3338</t>
  </si>
  <si>
    <t>Please use ShowingAssist</t>
  </si>
  <si>
    <t>0N742</t>
  </si>
  <si>
    <t>KING (Y258)</t>
  </si>
  <si>
    <t>KESLINGER WEST TO FRIENDSHIP WAY GO SOUTH TO KING DRIVE MAKE RIGHT</t>
  </si>
  <si>
    <t>PEACHTREE I</t>
  </si>
  <si>
    <t>70X70X124</t>
  </si>
  <si>
    <t>OUTSTANDING GOLF COURSE LOCATION!!! NEW CONSTRUCTION PEACHTREE FLOOR PLAN FEATURES 2 STORY 4 BED, 2.5 BATH WITH 2,575 SQUARE FEET. HOME IS LOADED WITH MANY UPGRADES. FIREPLACE, HARDWOOD FLOORS, STAINLESS STEEL APPLIANCES, GRANITE COUNTERTOPS IN KITCHEN AND A 3 CAR GARAGE.  THIS ONE YOU DON'T WANT TO MISS!!!</t>
  </si>
  <si>
    <t>Central Air, Fireplace, Basement, Hardwood/Ceramic Floors, Landscaping</t>
  </si>
  <si>
    <t>Vinyl Siding, Shakes</t>
  </si>
  <si>
    <t>PLEASE CONTACT MILL CREEK SALES OFFICE 630-232--8181</t>
  </si>
  <si>
    <t>PLEASE CONTACT MILL CREEK SALES OFFICE FOR ADDITIONAL INFORMATION 630-232-8181</t>
  </si>
  <si>
    <t>75th to Rhodes South to property</t>
  </si>
  <si>
    <t>This beautiful, recently rehabbed 4 bedroom, 3 bathroom brick bungalow is brimming with brand new features. The gorgeous kitchen boasts stainless steel appliances and granite counters. The second floor offers a jumbo master suite, and the finished basement contains a laundry room and so much more. With a 2 car garage, gleaming hardwood floors and more, it's truly a must see. RENT-TO-OWN available! $4k down $1500/mo.</t>
  </si>
  <si>
    <t>JUST NORTH OF IRVING</t>
  </si>
  <si>
    <t>*** SOLD BEFORE PRINT *** WALK TO IT ALL INCL PUB TRANS/LAKE FROM THIS GRACELAND WEST X-WDE (20' INTRIOR)/BRIGHT/MAGAZNE-CALBR 3100SQFT 4BD+DEN/3.1BA ALL-BRCK ROWHME W/2-CAR ATTCHD GRGE,3BD/2BA ON 2ND FLR &amp; MULTI OUTDR SPCS INCL FRONT YRD &amp; ROOF DCK W/CITY VWS;LRGE LR W/TRUE SEP DIN AREA;PROF-GRDE EAT-IN CHRY/THERMADR/SUBZ CHEF'S KTCHN;SPA-CALIBR MRBLE BTHS INCL MSTR W/SEP SHWR &amp; JET TUB;CSTM MLLWRK &amp; SND WRNG T/O!</t>
  </si>
  <si>
    <t>Park/Playground, Tennis Courts, Curbs/Gutters, Gated Entry, Sidewalks, Street Lights</t>
  </si>
  <si>
    <t>Oven/Range, Microwave, Dishwasher, Refrigerator, High End Refrigerator, Refrigerator-Bar, Washer, Dryer, Disposal, All Stainless Steel Kitchen Appliances</t>
  </si>
  <si>
    <t>Humidifier, TV-Cable, Security System, Ceiling Fan, Sprinkler-Lawn</t>
  </si>
  <si>
    <t>Deck, Foyer, Terrace</t>
  </si>
  <si>
    <t>*** SOLD BEFORE PRINT *** PLS SEE VIRTUAL TOUR LINK FOR INTERACTIVE FLOOR PLAN</t>
  </si>
  <si>
    <t>COUNTY FARM (S OF SCHICK RD) 2 WINDMILL W2 ST CLAIR N</t>
  </si>
  <si>
    <t>This is it!! Beautiful 2-story home with updated kitchen incl stainless steel appliances, 4 bedrooms with 2.5 baths in a great location! Spacious rooms, family room with fireplace and a 2 car garage. This home is ready to move-in buy it today!</t>
  </si>
  <si>
    <t>Signature Properties &amp; RE, Inc</t>
  </si>
  <si>
    <t>(312) 388-9700</t>
  </si>
  <si>
    <t>John Hu</t>
  </si>
  <si>
    <t>(847) 226-0993</t>
  </si>
  <si>
    <t>24hr notice required, please call John 847/226-0993</t>
  </si>
  <si>
    <t>Western to Winnemac, between Lawrence and Foster. One way east on Winnemac</t>
  </si>
  <si>
    <t>New construction 4 bed 3.5 bath home. Thoughtful design, high end finishes, energy efficient tech. Steps to the Winnemac park. Classic style great for family and entertaining. Open Floor Plan w/ High Ceilings, Hdwd fls, Chefs Kitchen, Great room. Master suite with Marble Spa Bath.  features : Loft, dble laundry, Mud Room, Custom closets, fire place. Pre-wired Security, technology, Sound. Walk to Lincoln Square &amp; EL</t>
  </si>
  <si>
    <t>Humidifier, TV-Cable, TV-Dish, Security System, CO Detectors, Ceiling Fan</t>
  </si>
  <si>
    <t>Loft, Mud Room, Walk In Closet</t>
  </si>
  <si>
    <t>Vaulted/Cathedral Ceilings, Hardwood Floors, Heated Floors, 1st Floor Laundry, 2nd Floor Laundry</t>
  </si>
  <si>
    <t>2.5%-$295 (NET SP) (on Net SP)</t>
  </si>
  <si>
    <t>Mark Cohen</t>
  </si>
  <si>
    <t>(312) 878-0463</t>
  </si>
  <si>
    <t>Call Mark 312 878 0463</t>
  </si>
  <si>
    <t>BARNABY</t>
  </si>
  <si>
    <t>Rt. 34 TO HERITAGE DR TO BARNABY TO HOME</t>
  </si>
  <si>
    <t>HERITAGE OF OSWEGO</t>
  </si>
  <si>
    <t>CHASEMORE</t>
  </si>
  <si>
    <t>22 X 25 X 40 X 114 X 53 X 138</t>
  </si>
  <si>
    <t>HUD FORECLOSURE SALE CASE #137-392655  INSURED STATUS:  IE  REPAIR AMOUNT $1540  203K ELIGIBLE TO BE SOLD "AS IS"  NO SURVEY PROVIDED  TAXES PRORATED AT 100%  LETTER OF APPROVAL OR PROOF OF FUNDS IS REQUIRED  EM MUST BE IN CERTIFIED FUNDS MADE OUT TO ROYANA REALTY, LTD  FOR DETAILS, PROCEDURES AND ELECTRONIC BIDDING INFO SEE HUD HOMESTORE  EQUAL OPPORTUNITY HOUSING  NOTE!! GAS METER IS MISSING</t>
  </si>
  <si>
    <t>$1.00 (on Net SP)</t>
  </si>
  <si>
    <t>Ana Wubker</t>
  </si>
  <si>
    <t>(630) 675-6000</t>
  </si>
  <si>
    <t>BUYER IS RESPONSIBLE FOR ANY TRANSFER OR EXEMPT STAMPS.  HUD WILL PAY UP TO 3% SELLING COMMISSION IF ENTERED ON CONTRACT AT TIME OF OFFER</t>
  </si>
  <si>
    <t>Archer to Drake North to 4319</t>
  </si>
  <si>
    <t>BRICK HOME LIKE NEW! WITH FINISHED BSMT. 4 BEDROOMS, 2 BATHROOMS,KITCHEN WITH BREAKFAST BAR. VAULTED CEILINGS. OAK HARDWOOD FLOORS THUR-OUT. BASEMENT HAS HUGH FAMILY ROOM, BEDROOM, LAUNDRY &amp; BATHROOM. 8FT CEILING BASEMENT. LARGE BACKYARDWTH 2 CAR DETACHED GARAGE &amp; MUCH MORE!</t>
  </si>
  <si>
    <t>Skylight(s), Hardwood Floors, 1st Floor Bedroom, In-Law Arrangement</t>
  </si>
  <si>
    <t>Mona Jee</t>
  </si>
  <si>
    <t>(773) 550-6689</t>
  </si>
  <si>
    <t>Randall to Keslinger west to S Fisher Right to Larabee Right to Daniels Right to Husking Peg Ln</t>
  </si>
  <si>
    <t>Fannie Mae Homepath Property!  Gorgeous 2 story home in Fisher Farms!  Home features 4 bedrooms, 2.5 baths, beautiful kitchen w/ island &amp; eating area, separate dining room, Office on main floor, family room w/ built in bookshelves &amp; fireplace, vaulted ceilings, hardwood floors, unfinished basement. Adjacent to bike path. Paver Patio. See attached docs prior to submitting an offer on Homepath.</t>
  </si>
  <si>
    <t>Dishwasher/range not included. Please see the attached docs. The seller has directed that all offers be made on Homepath.com.  Please also send the same docs to kim@cag-reos.com and we will confirm receipt.</t>
  </si>
  <si>
    <t>OAK PARK SOUTH OF BELMONT TO WELLINGTON WEST TO NEWCASTLE NORTH TO HOME</t>
  </si>
  <si>
    <t>3,762 SQ. FT</t>
  </si>
  <si>
    <t>GREAT LOCATION! NEWLY REMODELED ENGLISH. OPEN FLOOR PLAN. ALL SS APPLIANCES. 42 KITCHEN CABINETS WITH MARBLE BACKSPLASH AND GRANITE COUNTERTOPS. NEWER ROOF AND TUCK POINT. HARDWOOD FLOORS. FULL FINISH WALK OUT BASEMENT WITH 4TH BEDROOM. NEW SIDEWALK AND STAIRS.  PORCH OFF KITCHEN. NEW HEATING, A/C, AND ELECTRIC SERVICE. ALL NEW WINDOWS AND DOORS. BELL PARK ACROSS STREET.</t>
  </si>
  <si>
    <t>Iwona M Karon, CSC</t>
  </si>
  <si>
    <t>(847) 712-1948</t>
  </si>
  <si>
    <t>847-712-1948</t>
  </si>
  <si>
    <t>No more showings.</t>
  </si>
  <si>
    <t>MAPLEWOOD</t>
  </si>
  <si>
    <t>North Ave to Maplewood. Head South To Property</t>
  </si>
  <si>
    <t>Stunning 4 Bed/3.1 Bath Bucktown SFH w/ Brick &amp; Stone Exterior. Custom Kitchen Features Granite Counters, SS Appl &amp; Built-In Desk. Open to Spacious Living/Dining Rm &amp; Family Rm Including WBFP w/ Gas Start. Master Suite Boasts Vaulted Ceilings,WIC, Juliet Balcony &amp; Spa-Like Bath w/ Whirlpool Tub &amp; Sep Shower. Xtra Large Rec Rm. Laundry RM with W&amp;D &amp; Exterior Access. Large Deck Overlooking Fenced Yard. 2 Car Garage.</t>
  </si>
  <si>
    <t>Deck, Foyer, Recreation Room, Walk In Closet</t>
  </si>
  <si>
    <t>05X07</t>
  </si>
  <si>
    <t>05X11</t>
  </si>
  <si>
    <t>17X27</t>
  </si>
  <si>
    <t>To Schedule A Showing TEXT JC 773-647-7564.</t>
  </si>
  <si>
    <t>Open House Saturday 2/21 from 10-Noon.</t>
  </si>
  <si>
    <t>Pawtucket</t>
  </si>
  <si>
    <t>So much curb appeal with the Craftsman exterior of this home with stunning stone and front porch. Four bedrooms and 2.5 baths. Kitchen is a chefs dream with 10 ft granite island and butlers pantry ideal for serving and storage. Oak rails, staggered cabinets with hardware, and upgraded flooring add to this homes upscale look. Plenty of space to entertain including the deep pour lookout basement. Ready to close in Feb.</t>
  </si>
  <si>
    <t>Bsmnt/Lower Lvl Stubd in Bath, Energy Efficient Package, Hardwood/Ceramic Floors, Vinyl Clad Windows, Upgraded Insulation, Upgraded Cabinets &amp; Counters</t>
  </si>
  <si>
    <t>Please call sales office at 847-984-4616 to schedule a showing. Open daily.</t>
  </si>
  <si>
    <t>Please call the sales office at 847-984-4616 to schedule a showing or stop by at 3301 Stratton St, Elgin. Open Tuesday thru Saturday from 10AM to 5PM,Sunday 11AM to 5PM and Monday , 1PM to 5PM. Financing incentive if use  builders lender.</t>
  </si>
  <si>
    <t>DEERFIELD</t>
  </si>
  <si>
    <t>RANDALL RD TO KANEVILLE E2 CAMBRIDGE N2 DEERFIELD</t>
  </si>
  <si>
    <t>ABSOLUTELY GORGEOUS PEPPER VALLEY HOME! TOTALLY UPDATED, KITCHEN W/CHERRY CABS, SS APPLCS, GRANITE, VLTD CLG, ETC..NEW HARDI BOARD SIDING, SOFFITS,FRONT DOOR, GARAGE DOOR ETC IN 2010. MASTER SUITE W/PRIV. BATH. FULL FNSHD BASEMENT (2009). NEW HVAC 2007.ALL BATHS UPDATED.ADDED HARDWOOD FLRS IN L/R, D/R, UPSTRS HALL &amp; MASTER BR. CONVENIENT LOCATION, CLOSE TO EVERYTHING!PROF. LNDSCPD YARD.</t>
  </si>
  <si>
    <t>Recreation Room, Sun/Florida Room</t>
  </si>
  <si>
    <t>NO SHOWINGS UNTIL 2/3/15, afternoon.</t>
  </si>
  <si>
    <t>107th to Morgan, South to property</t>
  </si>
  <si>
    <t>Incredibly rehabbed brick ranch in wonderful Morgan Park. Open layout, amazing kitchen with modern white cabinets, Samsung SS appliances, huge island,granite counters &amp; convenient pantry. Enormous recreation room in basement, 4h bedroom, large bathroom &amp; walk in closet/storage. Large corner fenced yard, side drive to 2car newer garage. High efficiency furnace, new A/C unit at closing. Location, space, quality &amp; tast!</t>
  </si>
  <si>
    <t>Ewa Zalupska</t>
  </si>
  <si>
    <t>(312) 720-8866</t>
  </si>
  <si>
    <t>Call LA at 312-720-8866</t>
  </si>
  <si>
    <t>Alarm system not included.</t>
  </si>
  <si>
    <t>South on Lake Shore Drive. Continue S on Jeffrey. Right on 78th. Right on Bennett to address.</t>
  </si>
  <si>
    <t>6094 SQ FT</t>
  </si>
  <si>
    <t>Beautiful brick Colonial 4-square with huge backyard on corner lot with wrought iron fencing. 1.5 car garage with stone patio adjacent. Huge finished basement with space for entertaining and storage. Hardwood under carpet throughout. Quiet, tree-lined street close to shopping, parks, lake shore, and South Shore International College Prep. The perfect family home.</t>
  </si>
  <si>
    <t>2.5% ON NET SALE PRICE (LESS $295) (on Net SP)</t>
  </si>
  <si>
    <t>Urban Search Corp Of Chicago</t>
  </si>
  <si>
    <t>(312) 337-2400</t>
  </si>
  <si>
    <t>Jennifer Bosch</t>
  </si>
  <si>
    <t>Listing agent must accompany. 24 hours notice required. Call agent mobile: 773.484.6296</t>
  </si>
  <si>
    <t>HARLEM (7200W) TO HOWARD (7600N) WEST TO PROPERTY</t>
  </si>
  <si>
    <t>Newly remodeled home with 4 bedrooms 3 bathrooms in great Far Northwest Side location. Upstairs 3 bedrooms, large family bathroom. Main level features living room, family room kitchen and dining area and bathroom. Basement is finished with family room, bedroom, bathroom &amp; laundry. New appliances, new bathroom fixtures, new drywall in basement. Floors refinished throughout.</t>
  </si>
  <si>
    <t>20X35</t>
  </si>
  <si>
    <t>Grace Higgins</t>
  </si>
  <si>
    <t>(312) 385-9797</t>
  </si>
  <si>
    <t>call listing agent for a showing. property is not on a lockbox</t>
  </si>
  <si>
    <t>Mondovi</t>
  </si>
  <si>
    <t>Rt 34 to Douglas Rd Left on Old Post to Mondovi</t>
  </si>
  <si>
    <t>85X101.15X85.42X109.88</t>
  </si>
  <si>
    <t>New SS appliances are included with this happening low-maintenance 2-story home only a 1-minute walk to Local Park.  District #308 schools blocks away.  Has gleaming hardwood floors throughout, designer kitchen with granite, spacious family room with stone fireplace. Master suite with dual sinks, privacy room, walk-in closet.  All new windows, fresh paint.  Nothing to do but move in!  Call now to set up showing.</t>
  </si>
  <si>
    <t>Park/Playground, Pond/Lake, Curbs/Gutters, Sidewalks, Street Lights, Other</t>
  </si>
  <si>
    <t>Bryan Cool</t>
  </si>
  <si>
    <t>(847) 894-7089</t>
  </si>
  <si>
    <t>847-894-7089</t>
  </si>
  <si>
    <t>Capitol Shield Financial LLC</t>
  </si>
  <si>
    <t>EM Certified funds only.</t>
  </si>
  <si>
    <t>Emerald</t>
  </si>
  <si>
    <t>Go west on 87th Street from the Dan Ryan Expressway turn one way south to the property.</t>
  </si>
  <si>
    <t>Great Chicago Bungalow! Four bedrooms, 1.5 baths, back yard, and garage.</t>
  </si>
  <si>
    <t>Charlotte Rehman</t>
  </si>
  <si>
    <t>(773) 369-4092</t>
  </si>
  <si>
    <t>Short Notice Ok.</t>
  </si>
  <si>
    <t>Seller will assist with closing costs. Home recently passed FHA loan inspection. NOT A SHORT SALE!</t>
  </si>
  <si>
    <t>63RD ST TO DAMEN S TO ADDRESS</t>
  </si>
  <si>
    <t>LOTS OT CHEER ABOUT IN THIS FINE HOME.  HARDWOOD FLOORS, NEWER WINDOWS AND SIDING, UPDATED BATHS. NEEDS SOME PLUMBING WORK, BUT JUST ONE LOOK WILL CONVINCE YOU THAT THIS IS A GREAT HOME.  THIS IS A FANNIE MAE HOMEPATH PROPERTY!</t>
  </si>
  <si>
    <t>THE SELLER DIRECTS THAT ALL OFFERS BE SUBMITTED VIA HOMEPATH.COM.  USE ATTACHED CONTRACT PKG WITH YOUR OFFER FOR EASE OF SUBMISSION</t>
  </si>
  <si>
    <t>Hunter</t>
  </si>
  <si>
    <t>Douglas south of Rt. 30 to Fernwood West to Hunter North</t>
  </si>
  <si>
    <t>63 X 105</t>
  </si>
  <si>
    <t>Owners have LOVINGLY cared for this home! MANY updates includg new vinyl siding, soffits, gutters &amp; roof (tear off) in '13. Updated baths, newer carpet, new insulated front entry door &amp; overhead garage door, 6-panel oak trim &amp; doors main level, updated lighting &amp; new energy efficient windows throughout + bsmt. Huge family room, 4 bedrms, 2 1/2 bath. SGD from  kitchen leads to deck for outdoor entertaining. MUCH MORE!</t>
  </si>
  <si>
    <t>Oven/Range, Microwave, Dishwasher, Refrigerator, Freezer, Dryer, Disposal</t>
  </si>
  <si>
    <t>Patty DeGarmo 630.263.6426</t>
  </si>
  <si>
    <t>Call CSS 877-977-1010; prior day notice please.</t>
  </si>
  <si>
    <t>? Contact co-list Patty 630-263-6426. Disclosures attachd to listing. Bookshelves next to fireplace stay; 2 flat screen TVs &amp; mounting brackets in bedrms stay. See attached for list of &amp; improvements.No washer; dryer &amp; freezer can stay</t>
  </si>
  <si>
    <t>IRVING PARK RD EAST OR WEST TO ALBANY NORTH TO HOUSE</t>
  </si>
  <si>
    <t>Complete Gut-Rehab in '12. SFH 4 bed and 3,5 bath near Horner Park. On wider lot, open floor layout.  Richly stained White Oak floors . Custom stairs railings. Fireplace. Custom CoPat Italian kitchen, quartz countertops, ss appl.  Master Bath heated floor,  separate shower and Jacuzzi tub. Audio Pre Wire, High efficiency zoned hvac., Tankless H20. Large yard and deck . 2 car garage with add. parking space. Broker own</t>
  </si>
  <si>
    <t>Vaulted/Cathedral Ceilings, Hardwood Floors, Heated Floors</t>
  </si>
  <si>
    <t>Unlimited Realty Inc</t>
  </si>
  <si>
    <t>(773) 844-4464</t>
  </si>
  <si>
    <t>Lawrence Zukas</t>
  </si>
  <si>
    <t>24 hr. Notice. Please text, email, call ph. 773-844-4464. NO SIGN ON THE PROPERTY.</t>
  </si>
  <si>
    <t>Gut-rehab 2012. All new modern touches. Shows very well. Bring your clients. Agent co-op 3%.</t>
  </si>
  <si>
    <t>Ebony</t>
  </si>
  <si>
    <t>34 TO FIFTH AVE TO BLUGRASS W2 EBONY S</t>
  </si>
  <si>
    <t>Large Open Concept Home! Huge Family Room Overlooks Kitchen With Island. Kitchen Has Tons of Cabinet Space, Walk-In Pantry &amp; Butlers Pantry. First Floor Laundry By Garage. Spacious Bedrooms With Walk-In Closets. Master Has On Suite With Soaking Tub. Close to Route 59 &amp; Shopping! Oswego School District! THIS IS A FANNIE MAE HOMEPATH PROPERTY.</t>
  </si>
  <si>
    <t>**Call 630-608-4777 if questions  **Keybox on front door.  **Please lock all doors &amp; turn off lights. SELLER REQUESTS ALL OFFERS SUBMITTED THRU HOMEPATH.COM</t>
  </si>
  <si>
    <t>Montrose (W) of Kimball to St. Louis</t>
  </si>
  <si>
    <t>25X121</t>
  </si>
  <si>
    <t>NEW COMPLETE GUT &amp; REHAB IN HOT IRVING PARK AREA! QUALITY FINISHES &amp; READY FOR MOVE-IN!!*10' CEILINGS ON 1ST FLR*RECESSED LIGHTING*ALL NEW ELECTRICAL &amp; PLUMBING*ZONED HEAT &amp; AIR**GRANITE TOPS T/O*KIT W/STAINLESS APPL, ISLAND W/BRKST BAR*BAY WINDOWS* GAS FP*HRDWD FLRS*FAM RM W/DR TO DECK &amp; YARD*MBR STE W/VAULTED CEILING, WIC &amp; PRIV BTH W/MARBLE FLR &amp; SURROUND*LL REC RM, 4TH BR, STORAGE, &amp; FULL BTH! HARDIE SIDING</t>
  </si>
  <si>
    <t>Recreation Room, Storage, Utility Room-Lower Level, Foyer</t>
  </si>
  <si>
    <t>Tim Binning</t>
  </si>
  <si>
    <t>(630) 339-4011</t>
  </si>
  <si>
    <t>COMPLETE GUT REHAB!! HIGH QUALITY!! JUST FINISHED &amp; READY FOR IMMEDIATE OCCUPANCY!!</t>
  </si>
  <si>
    <t>Stirrup Cup</t>
  </si>
  <si>
    <t>Rt 64 to Dunham to Fox Chase to Aintree to Stirrup Cup</t>
  </si>
  <si>
    <t>Aintree</t>
  </si>
  <si>
    <t>115X180X99X59X118</t>
  </si>
  <si>
    <t>Easy commute from the East side of St. Charles! New upscale island Kitchen w/SS appliances, family room w/stone FP, formal dining with bay, Formal living room, Main floor Den, Sunny Four Season Sun Room overlooks private yard, relaxing master suite with fireplace, spa bath and private deck. All bedrooms are generous sized!  1/2 acre lot on private cul-de-sac!  Brick paver patio, walkways and beautiful plantings</t>
  </si>
  <si>
    <t>Den, Eating Area, Foyer, Sun/Florida Room</t>
  </si>
  <si>
    <t>Balcony, Patio, Porch Screened, Brick Paver Patio</t>
  </si>
  <si>
    <t>call 855-919-0200</t>
  </si>
  <si>
    <t>Rt.30(West Orchard) to Dickson South to Concord East to Thunder Gulch Right to home</t>
  </si>
  <si>
    <t>76X154X79X179</t>
  </si>
  <si>
    <t>4 Bedroom, 2.5 bath with basement. New carpet and freshly painted. Spacious rooms with a 3 car attached garage. Great location. This property is under the FIRST LOOK program until 02/09/2015 Sold As-Is.</t>
  </si>
  <si>
    <t>2.5% ON GROSS (on Gross SP)</t>
  </si>
  <si>
    <t>SOLD AS IS. NO DISCLOSURES/SURVEY. PRO-RATIONS 100%. PRE-APPROVAL/POF &amp; OFFER SUBMISSION FORM AT TIME OF OFFER. SAMPLE ADDENDUMS IN ADDTIONAL INFORMATION. offers to reooffers@ryanhillrealty.com Buyer responsible for village escrow</t>
  </si>
  <si>
    <t>55TH STREET TO KILDARE(4300 West), SOUTH TO HOME</t>
  </si>
  <si>
    <t>LOVELY SPARKLING DIAMOND! PROFESSIONAL UPGRADE WELL CARED BRICK HOUSE WITH THREE FLOORS OF LIVING SPACE, (3)FOUR BEDROOMS, NEWER KITCHEN AND THREE FULL BATHROOMS W/CERAMIC TILE, THIS  HOUSE LOOKS LIKE A MODEL! HARDWOOD FLOORS, THERMAL WINDOWS, CENTRAL AIR COND.  1ST FL LAUNDRY ROOM, JUDGE BY YOURSELF, REGULAR SALE! JUST MINUTES FROM THE EXPRESSWAY, THE PERFECT HOME SWEET HOME FOR ANYONE TO ENJOY.</t>
  </si>
  <si>
    <t>2.5%+ $ 1500 IF CLOSE BEFORE 3/27/15 (on Net SP)</t>
  </si>
  <si>
    <t>USE SHOWING ASSISTANT</t>
  </si>
  <si>
    <t>Austin south of belmont</t>
  </si>
  <si>
    <t>Solid 4-bed, 1-bath brick bungalow with hardwood flooring and excellent potential!  2-car detached garage.  Steps to shopping and entertainment.    This is a Freddie Mac HomeSteps Property. Highest and Best Due 1/28/2015 @ 3:30PM</t>
  </si>
  <si>
    <t>PLEASE SEE ADDITIONAL INFORMATION FOR REQUIRED OFFER COVER SHEET AND LEAD PAINT DISCLOSURE.</t>
  </si>
  <si>
    <t>Parkview</t>
  </si>
  <si>
    <t>Silver Glen to Thornwood to Brookwood Left to W Parkview</t>
  </si>
  <si>
    <t>95X110X95X125</t>
  </si>
  <si>
    <t>BANK WILL RESPOND SAME DAY. AGENT COMMISSION GUARANTEED. BUYER RESPONSIBLE FOR ANY FEES INCURRED FOR INSPECTIONS/WINTERIZING/DE-WINTERIZING.  SEND ALL OFFERS TO LOBRILLO@KOMBRINK.COM</t>
  </si>
  <si>
    <t>THORIA</t>
  </si>
  <si>
    <t>Fabyan W to Surrey S to Thoria Rd W to home</t>
  </si>
  <si>
    <t>Batavia Highlands</t>
  </si>
  <si>
    <t>140X85</t>
  </si>
  <si>
    <t>Fully remodeled &amp; move-in ready w/ new energy code insulation throughout! New kitchen w/ maple cabinetry, large breakfast bar, granite counter tops &amp; stainless steel appliances. New hardware, light fixtures &amp; plumbing fixtures throughout! Re-finished hardwood floors. Updated bathrooms. Freshly painted throughout! New water heater. New garage door &amp; opener. Geneva school district! Great location close to everything!</t>
  </si>
  <si>
    <t>Foundation Real Estate Co.</t>
  </si>
  <si>
    <t>(630) 882-5840</t>
  </si>
  <si>
    <t>Aaron Westerfield</t>
  </si>
  <si>
    <t>Aaron Westerfield (239684)</t>
  </si>
  <si>
    <t>Call 800-SHOWING (800-746-9464) to schedule a showing. Email all offers to offers@foundation-rec.com</t>
  </si>
  <si>
    <t>Kendall Partners, Ltd.</t>
  </si>
  <si>
    <t>Fully permitted job by the city of Batavia**Email all offers to offers@foundation-rec.com.** Contact listing agent for more homes coming soon!!</t>
  </si>
  <si>
    <t>111th Street east or west to Washtenaw (2700 w), North to home (corner of 110th &amp; Washtenaw)</t>
  </si>
  <si>
    <t>33X134</t>
  </si>
  <si>
    <t>West Beverly Georgian with all the space that you need.  This home offers 4 bedrooms, 2 1/2 baths and first floor family room looking over deck and pool. This home has been exceptionally taken care of including the whole house painted last year and newer windows thru out home.  Huge finished basement with 4th bed with own 1/2 bath and extra staircase plus rec room, laundry room and storage area. Check it out today.</t>
  </si>
  <si>
    <t>clissold elementary school</t>
  </si>
  <si>
    <t>Loris Ryan</t>
  </si>
  <si>
    <t>(708) 237-7713</t>
  </si>
  <si>
    <t>Use showing Assist; buyer must be accompanied by their agent.</t>
  </si>
  <si>
    <t>Earnest money must be certified funds to BHHS Biros Real Estate.</t>
  </si>
  <si>
    <t>Montrose to Richmond north to property (SE corner of Richmond &amp; Sunnyside)</t>
  </si>
  <si>
    <t>Ravenswood Manor</t>
  </si>
  <si>
    <t>Signature Ravenswood Manor corner home sitting on an extra wide lot this all face brick home is a beauty. Faithfully restored original features including: subway tile, hardwood floors, moldings &amp; light fixtures, all better than the facsimiles found in new construction. 4 good sized bedrooms on second level, custom kitchen with Viking stove &amp; chef's hood. Perenial garden &amp; waterfall. 2-blocks to "L". Waters School</t>
  </si>
  <si>
    <t>Park/Playground, Tennis Courts, Curbs/Gutters, Sidewalks, Street Lights</t>
  </si>
  <si>
    <t>Breakfast Room, Enclosed Porch</t>
  </si>
  <si>
    <t>7X19</t>
  </si>
  <si>
    <t>Michael McCallum</t>
  </si>
  <si>
    <t>(773) 883-2175</t>
  </si>
  <si>
    <t>use showing assist or call 855-746-9100, listing agent accompanies notice prefered.</t>
  </si>
  <si>
    <t>WILDFLOWER</t>
  </si>
  <si>
    <t>59 TO SCHAUMBURG RD WEST TO WILDFLOWER WAY S TO HOME. SIGN IN WINDOW</t>
  </si>
  <si>
    <t>STERLING OAKS</t>
  </si>
  <si>
    <t>127X82</t>
  </si>
  <si>
    <t>PRESTIGIOUS STERLING OAK SUBDIVISION! FABULOUS CURB APPEAL.$80K+ IN IMPROVEMENTS IN PAST 6 YRS!  IMMACULATE 4 BEDROOM/3.5 BATH  HIGHLY UPGRADED. HOME FEATURES A GOURMET KITCHEN, GRANITE COUNTER W FULL/BACKSPLASH, 2/STORY FAMILY ROOM W/POND VIEWS. CUSTOM $25K TREX DECK W/LIGHTING. 1ST FLOOR OFFICE, DUAL STAIRCASE + PRINCESS SUITE W/NEW BATH. UPDATED HALL BATH, NEWER CARPET, 3 C/GARAGE W/NEW DOORS, BRICK WALKS &amp; MORE.</t>
  </si>
  <si>
    <t>Oven-Double, Microwave, Dishwasher, Washer, Dryer, Disposal</t>
  </si>
  <si>
    <t>Nature Preserve Adjacent, Landscaped Professionally, Pond, Water View</t>
  </si>
  <si>
    <t>3%-225 (on Gross SP)</t>
  </si>
  <si>
    <t>Janet Sasso, CRS</t>
  </si>
  <si>
    <t>(847) 417-3886</t>
  </si>
  <si>
    <t>CALL SHOWING TIME 855-746-9200</t>
  </si>
  <si>
    <t>LASKEN/BECKER</t>
  </si>
  <si>
    <t>TAXES CURRENTLY BEING CONTESTED.      RELOCATION ADDENDUMS,       CUSTOM MILLWORK THRU-OUT 1ST FLOOR, GORGEOUS!</t>
  </si>
  <si>
    <t>Berkeley</t>
  </si>
  <si>
    <t>45TH TO BERKELEY NORTH</t>
  </si>
  <si>
    <t>ELEGANT, REHABBED 2 STORY WITH FINISHED BASEMENT HOME, 4 BDRMS, 3,5 BTHS, CONTEMPORARY KITCHEN WITH QUARTZ COUNTER TOPS,GREAT BATHS, HARDWOOD FLOORS, 2 CAR GARAGE,</t>
  </si>
  <si>
    <t>PLEASE TEXT OR CALL  JOANNA 847-312-8005 OR EMAIL JOLSZYNSKA@JAMESONSIR.COM</t>
  </si>
  <si>
    <t>Wolf Rd. to Secretariat N to Bluegrass R or 34 to Douglas S to Bluegrass E to home</t>
  </si>
  <si>
    <t>BOLD RULER</t>
  </si>
  <si>
    <t>85X117</t>
  </si>
  <si>
    <t>Beautiful 3152 sq.ft home in clubhouse community offers pools,gym,tennis*Hdwd flrs on1st flr,stairs&amp;2nd flr hallway*Gourmet kitchen offers granite, tile backsplash,brkfst bar,dbl oven,planning desk,can lights*Mstr suite w/tray ceiling,&amp;luxury ba*2nd flr bonus rm offers built in cabinetry*Built in whole home&amp;patio audio system*Brick paver patio*Huge bsmnt has work rm w/utility tub,locked closet*3car tandem w/heater*</t>
  </si>
  <si>
    <t>Garage Door Opener(s), Heated, Tandem</t>
  </si>
  <si>
    <t>Dee Hoffner</t>
  </si>
  <si>
    <t>(630) 788-6469</t>
  </si>
  <si>
    <t>Call B&amp;W appt. center - 855-746-9100</t>
  </si>
  <si>
    <t>This is a Relocation. Additional addendums will be required. Large dog, Hanna, may be in cage in dining room.</t>
  </si>
  <si>
    <t>RT38 TO KIRK RD(N) TO HILL RD(W) TO GREENFIELD</t>
  </si>
  <si>
    <t>GREEN WILLOW</t>
  </si>
  <si>
    <t>125X95</t>
  </si>
  <si>
    <t>Imagine yourself relaxing with your family or entertaining friends in this beautiful, well maintained, spacious 4 BR Raised Ranch located in the Green Willow subdivision on the East side of Geneva, IL on a spacious .27 acre professionally landscaped corner lot with a brick paver patio, storage shed, redwood deck and balcony. This immaculate home is move-in ready.</t>
  </si>
  <si>
    <t>Balcony, Deck, Storage Shed, Brick Paver Patio</t>
  </si>
  <si>
    <t>Dennis Dobbs, SRS</t>
  </si>
  <si>
    <t>(630) 877-1680</t>
  </si>
  <si>
    <t>Book through Showing Time 855-746-9200</t>
  </si>
  <si>
    <t>Coyle</t>
  </si>
  <si>
    <t>COYLE EAST BOUND ONE WAY. ACCESS FROM WASHTENAW FROM LUNT TO N OR PRATT TO S</t>
  </si>
  <si>
    <t>fall in love w/ gracious updated bungalow! 43-feet wide lot leaves you w/ a spacious home with vintage refinement + upgrades like new kitchen + new baths. you'll never want to leave. enjoy resonant hardwoods + multi-panel solid doors and space pac ac + ductless hvac in finished attic. one of west ridge's best streets + block from indian boundary park. enormous carpeted basement, front drive + 2 car garage. hurry!</t>
  </si>
  <si>
    <t>BOONE ELEMENTARY SCHOOL</t>
  </si>
  <si>
    <t>Radiators, 2+ Sep Heating Systems</t>
  </si>
  <si>
    <t>Skylight(s), Bar-Dry, Hardwood Floors, 1st Floor Bedroom</t>
  </si>
  <si>
    <t>Tom McCarey</t>
  </si>
  <si>
    <t>(773) 848-9241</t>
  </si>
  <si>
    <t>Cell - 773.848.9241</t>
  </si>
  <si>
    <t>tmccarey@atproperties.com or 773.848.9241</t>
  </si>
  <si>
    <t>brand new kitchen + 2 new baths and newer third bath. space pac and andersen windows. this place is a great deal!</t>
  </si>
  <si>
    <t>From Exway take Diversey west to Richmond and head north.</t>
  </si>
  <si>
    <t>WOW! Lots of space for the money. New Upgrades throughout.  New Stainless appls, backsplash, granite..new fireplace in L/R, New bath on main level. This is a well maintained single family.  4 + Den+family rm. all good sizes and 3.5 baths.  2 Car Garage and heated Pool to relax in.  Great Logan Square Neighborhood and easy commutes to the city and burbs. A must see. Occupied so need 48 hrs notice to show.</t>
  </si>
  <si>
    <t>Den, Deck, Sitting Room</t>
  </si>
  <si>
    <t>Holly Hetzel</t>
  </si>
  <si>
    <t>(773) 837-9711</t>
  </si>
  <si>
    <t>Please Email Holly to show with 48 hrs notice.</t>
  </si>
  <si>
    <t>This is such a spacious single family with lots of upgrades, new/newer kitchen, L/R, 1st bath, roof, windows, etc. Showings on SAT 2/7, 10 AM to 12:30.</t>
  </si>
  <si>
    <t>87th Street South East or West to Essex</t>
  </si>
  <si>
    <t>RT 34 TO LEW R ON LEE TO EAST TO HOME</t>
  </si>
  <si>
    <t>Need space look no further, this trilevel is located on a corner lot with a fenced yard and attached garage. Brick FP, SOLD AS IS 100% TAX PRO/NO SURVEY/NO TERMITE. PREAPPROVAL AND POF WITH ALL OFFERS</t>
  </si>
  <si>
    <t>SOLD AS IS ALL MEASUREMENTS ARE ESTIMATED BUYER TO VERIFY ALL INFO.PREAPPROVAL POF WITH ALL OFFERS PLEASE ALLOW TIME FOR SELLER RESPONSE</t>
  </si>
  <si>
    <t>Rt. 23 north of downtown Sycamore.  Turn east at Heron Creek Drive.  Left at Joseph Sixbury St.</t>
  </si>
  <si>
    <t>STUNNING &amp; IMMACULATE HERON CREEK GEM!  Hardwood flooring, glass front cabinetry &amp; stainless steel appliances accent the Kitchen.  11'x11' FABULOUS Laundry-Mud Room!  Brick woodburn fireplace w/gas logs warms the Family Room.  French doors open into elegant Living Rm.  GORGEOUS Bedrooms!  Dining Room too!  Abundant landscaping, custom playhouse, look-out basement, Certified Energy Star home &amp; HUGE 684 sq. ft. garage!</t>
  </si>
  <si>
    <t>Must have owner approval. 3 hour notice please. Call 877-977-1010</t>
  </si>
  <si>
    <t>John R. and Kay C. Robben</t>
  </si>
  <si>
    <t>Seller on purchase contract: NEI Global Relocation; additional signed paperwork required.   Architecturally designed playhouse is insulated w/carpeting!  Certified Energy Star construction.  3-car garage is converted to 2.5 car + shelving!</t>
  </si>
  <si>
    <t>Belmont to Kolmar - go Left</t>
  </si>
  <si>
    <t>126 X 30</t>
  </si>
  <si>
    <t>Gorgeous updated bungalow on rare one-way boulevard! Beautiful HW floors thru-out.Huge living rm w/stained glass windows,decorative FP &amp; mantle.Updated eat-in kitchen w/SS appliances.Attic is rehabbed to private master suite w/skylights.Additional second flr 5th bedroom is built out-just waiting for walls and floors.Full finished basement w/4th bedroom and full bath. Newer roof,fence,garage,boiler.All 3 ext.doors new</t>
  </si>
  <si>
    <t>Attic, Sun/Florida Room Heated, Utility Room-Lower Level</t>
  </si>
  <si>
    <t>Skylight(s), Bar-Dry, Hardwood Floors, 1st Floor Bedroom, 1st Floor Full Bath</t>
  </si>
  <si>
    <t>(847) 510-5000</t>
  </si>
  <si>
    <t>Jennifer Place</t>
  </si>
  <si>
    <t>(847) 964-1553</t>
  </si>
  <si>
    <t>Call Showing Desk at 866-571-7181</t>
  </si>
  <si>
    <t>This can't be missed! Sellers ready to go! Basement bath to be touched up and painted before sale. Pickiest buyer will love it! PLEASE WATCH OUT FOR CAT AND DON'T LET IT OUT!</t>
  </si>
  <si>
    <t>Liszka</t>
  </si>
  <si>
    <t>Plainfield to Linden to Liszka</t>
  </si>
  <si>
    <t>ASHCROFT PLACE</t>
  </si>
  <si>
    <t>76X132</t>
  </si>
  <si>
    <t>Fantastic updated home! 2story Living Room w/ natural light and new carpeting! DR has new hardwood flooring w/ butlers pantry.Family room with fireplace +new carpeting! Gourmet kitchen w/island,SS appliances and breakfast room! New tile in kitchen,laundry and 1/2 bath!Large master bedroom w/luxury master bath and walk in closet! Home has two dens,full unfinished basement and 3 car garage! Fenced yard! Immaculate!</t>
  </si>
  <si>
    <t>3.0-$295 (on Net SP)</t>
  </si>
  <si>
    <t>Nancy Churik, CSC</t>
  </si>
  <si>
    <t>(630) 750-4830</t>
  </si>
  <si>
    <t>Call the BW appointment center at 1-855-746-9100</t>
  </si>
  <si>
    <t>Showings after 1:30 everyday and anytime Friday,Saturday or Sunday.  NEW CARPETING entire house. New Paint,lighting fixtures,and new SS appliances. New cedar fence. Extensive landscaping. Bring your buyers!  Relo addendum.</t>
  </si>
  <si>
    <t>Mallard</t>
  </si>
  <si>
    <t>Rt. 47 to Prairie - E. to Mallard Lane R. to home.</t>
  </si>
  <si>
    <t>Mallard Point</t>
  </si>
  <si>
    <t>PEMBROOK</t>
  </si>
  <si>
    <t>140 X 114</t>
  </si>
  <si>
    <t>Exquisite 2 story home is waiting for you to call it "Home"! Enter the 2 story Foyer with expansive views of Living Room, Dining Room &amp; lovely dual  staircase leading to upper level with private Bedroom area. Stunning Family Room with fireplace leads to Dinette area thru beautiful Arch which showcases the inviting Kitchen area. Enjoy the many amenities of Sugar Grove with "Small Town" charm &amp; immediate access to I88!</t>
  </si>
  <si>
    <t>Pond/Lake, Curbs/Gutters, Sidewalks, Street Lights</t>
  </si>
  <si>
    <t>Fenced Yard, Wetlands Adjacent</t>
  </si>
  <si>
    <t>Foyer, Utility Room-1st Floor</t>
  </si>
  <si>
    <t>Edie Jahn, ABR,e-PRO,GREEN</t>
  </si>
  <si>
    <t>(630) 391-4824</t>
  </si>
  <si>
    <t>Call Showing Time @ (855) 919-0376</t>
  </si>
  <si>
    <t>This exquisite home shows wonderfully and is ready for quick close.  Little dogs are in their cages in 2nd bedroom</t>
  </si>
  <si>
    <t>87TH STREET TO KEDZIE, NORTH TO 84TH STREET WEST TO ADDRESS.</t>
  </si>
  <si>
    <t>37X128</t>
  </si>
  <si>
    <t>4 Bedroom, 1.5 Bath Brick 2 story Single Family with a 2 Car detached Garage. Features  Hardwood Floors, 1st floor Family Room, full finished Basement, rear Deck and Balcony.</t>
  </si>
  <si>
    <t>All offers must be submitted on PropOffers.com. All counter offers will also be entered on PropOffers.com by Buyer's Agent directly. Buyer's Agent is to pay a $150. offer management fee at closing. Fax 312-454-4465.</t>
  </si>
  <si>
    <t>E/W 95TH St. to Eggleston, south to 97th west to property.</t>
  </si>
  <si>
    <t>25' X 129'</t>
  </si>
  <si>
    <t>Charming Ranch has updated kitchen, bathrooms, and basement with Family room and generous 4th bedroom. Basement bathroom with walk in shower. Enjoy summer relaxation on back yard patio. Location is close to public park, CTA Red line, and 90/94 expressway. Newer roof, furnace, and hot water tank.</t>
  </si>
  <si>
    <t>All About You Realty, Inc</t>
  </si>
  <si>
    <t>(773) 522-0733</t>
  </si>
  <si>
    <t>Derrick Carpenter, ABR</t>
  </si>
  <si>
    <t>(773) 791-0593</t>
  </si>
  <si>
    <t>CO Detectors, Sump Pump, Radon Mitigation System(s)</t>
  </si>
  <si>
    <t>Longwood</t>
  </si>
  <si>
    <t>111th STREET TO LONGWOOD DRIVE, SOUTH TO HOME</t>
  </si>
  <si>
    <t>50 X 300 (15,000 SQ FT)</t>
  </si>
  <si>
    <t>INCREDIBLY REHABBED 4 BDRM BRICK BUNGALOW W/ DORMER, BEAUTIFUL HARDWOOD FLOORS &amp; 9' CEILINGS THROUGHOUT 1ST FLOOR, HUGE LIVING RM &amp; DINING RM, GORGEOUS EAT-IN KITCHEN W/ ESPRESSO/WHITE CABINETS, GRANITE COUNTERS, ISLAND &amp; SS APPLIANCES, LARGE BDRMS &amp; WALK-IN CLOSET, 3 FULL BATHS W/ WHIRLPOOL TUB &amp; SEATED SHOWER, FINISHD BSMNT W/ HUGE FAM RM, BDRM, FINISHED LAUNDRY &amp; FULL BATH, NEW CENTRAL AC AT CLOSING</t>
  </si>
  <si>
    <t>DIVERSEY TO MELVNA TO NELSON</t>
  </si>
  <si>
    <t>BEAUTIFULLY REMODELED BRICK ENGLISH, NEW KITCHEN, GRANITE CNTPS, APPLIANCES, NEW BATHROOMS, ALL NEW HARDWOOD FLOORS, NEW ELECTRIC, PLUMBING, HEATING AND AC, NEW GARAGE, NEW DECK</t>
  </si>
  <si>
    <t>12X36</t>
  </si>
  <si>
    <t>Agnieszka Kowalska</t>
  </si>
  <si>
    <t>(708) 336-9321</t>
  </si>
  <si>
    <t>CALL AGENT</t>
  </si>
  <si>
    <t>LARCHMONT</t>
  </si>
  <si>
    <t>IRVING PARK, WEST OF PULASKI, TO KOLMAR (4500 W)</t>
  </si>
  <si>
    <t>50X98</t>
  </si>
  <si>
    <t>Exceptional newer home on double lot in the heart of Old Irving Park! 4br, 3.5ba feat; 3,200sf of light-filled space w/ attached 2 car garage. Excellent open floor plan w/ living, dining, large chef's kitchen &amp; family room on main floor. Hwd floors, 2 FP &amp; huge great rm. Fantastic outdoor space w/ paver patio &amp; landscaped yards. Easy access to 90/94 &amp; walk to all the great area restaurants, blue line, metra &amp; more!</t>
  </si>
  <si>
    <t>Christie Ascione</t>
  </si>
  <si>
    <t>(773) 655-7156</t>
  </si>
  <si>
    <t>email cascione@atproperties.com</t>
  </si>
  <si>
    <t>Seller is down sizing. Furniture for sale.</t>
  </si>
  <si>
    <t>39W663</t>
  </si>
  <si>
    <t>Randall Rd., to Keslinger west, (L) on Brundige, (R) on Armstrong, (R) on Herrington, (R) on Carney.</t>
  </si>
  <si>
    <t>STUNNING HOME ON A HUGE LOT WITH REMARKABLE GOLF COURSE VIEWS FROM EVERY WINDOW! OPEN FLOOR PLAN W/HARDWOODS &amp; CUSTOM STONE FP. ALL SS KITCHEN, GRANITE COUNTERS &amp; CHERRY CABINETS. 1ST FLOOR OFFICE WITH FRENCH DOORS. MSTR W/TRAY CEILING. FIN ENG BSMNT W/BUILT-INS &amp; WINE ROOM. STORAGE GALORE. AQUASCAPE POND/BROOK. FIREPIT. DECK/PAVER PATIO. OUTDOOR BASKETBALL COURT. PROF LANDSCAPING. SPRINKLER SYSTEM &amp; ELECTRIC FENCE.</t>
  </si>
  <si>
    <t>PLEASE WEAR BOOTIES OR REMOVE SHOES</t>
  </si>
  <si>
    <t>HAMILTON</t>
  </si>
  <si>
    <t>KIRK - BUTTERFIELD (W) - PINECREEK (L) - HAMILTON (R)</t>
  </si>
  <si>
    <t>CHESTERFIELD</t>
  </si>
  <si>
    <t>HEATHERWOOD</t>
  </si>
  <si>
    <t>58 X 142 X 70 X 143</t>
  </si>
  <si>
    <t>BEAUTIFUL BRICK FRONT 4 BEDROOM HOME ON CUL-DE-SAC LOT - 1/2 BLOCK FROM PARK &amp; EZ ACCESS TO I88 - MATURE OAK TREES PROVIDE PERFECT AMOUNT OF SHADE AND BEAUTY - HOME IS GORGEOUS &amp; METICULOUSLY MAINTAINED - NOT A THING NEEDED TO MOVE RIGHT IN - ALMOST 3000 SQ FT W/ UPDATES TO KITCHEN &amp; BATHROOMS - FIRST FLOOR OFFICE - LARGE SITTING AREA IN MASTER BEDROOM - MASTER BATHROOM W/ SEPARATE SHOWER &amp; TUB - ALL APPLIANCES STAY</t>
  </si>
  <si>
    <t>Common Grounds, Cul-de-sac, Park Adjacent</t>
  </si>
  <si>
    <t>Foyer, Office, Sitting Room</t>
  </si>
  <si>
    <t>Patio, Grill-Outdoors</t>
  </si>
  <si>
    <t>BRING YOUR PICKIEST BUYERS HERE - METICULOUS HOME - NO JUNK FEES IN COMMISSION - FULL 2.5% - ANY QUESTIONS, PLEASE CONTACT ME</t>
  </si>
  <si>
    <t>Nordica</t>
  </si>
  <si>
    <t>Addison to Nordica North to Home</t>
  </si>
  <si>
    <t>DUNNING SQUARE</t>
  </si>
  <si>
    <t>Charming Brick English situated on a extra large lot. Perfect for extended family.First Floor features hardwood floors under carpet in living room, two bedrooms, full bathroom,kitchen with eatin area and a enclosed porch. 2nd Floor Living quarters feature family room,two bedrooms,full bathroom and a 2nd Kitchen.Full basement with exterior access,two car detached brick garage.Updates include roof,windows and boiler.</t>
  </si>
  <si>
    <t>2nd Kitchen, Enclosed Porch, Recreation Room</t>
  </si>
  <si>
    <t>40X24</t>
  </si>
  <si>
    <t>Century 21 Rainbo Realty, Inc</t>
  </si>
  <si>
    <t>(773) 631-2400</t>
  </si>
  <si>
    <t>Richard Babula</t>
  </si>
  <si>
    <t>(847) 366-7559</t>
  </si>
  <si>
    <t>Armitage wast to Rockwell north to property</t>
  </si>
  <si>
    <t>25X105</t>
  </si>
  <si>
    <t>NEW CONSTRUCTION SINGLE FAMILY OCCUPANCY MAR/APR 2015. EXCEPTIONAL CRAFTSMANSHIP! OPEN FLR PLAN, LIVING ROOM WITH FIREPLACE OPENS TO FRONT BALCONY, SPECTACULAR KIT W/SS APP &amp; CUSTOM BASCKSPLASH, LARGE MASTER BEDROOM, MSTR BTH W/DEEP SOAK TUB AND SEPARATE SHOWER WITH BODYSPRYS,  LDY RM, DRYBAR, LOADS OF CLOSETS, ATTACHED 2CAR GAR. ROOF TOP ACCESS. BACK DECK, GREAT BACKYARD</t>
  </si>
  <si>
    <t>Park/Playground, Curbs/Gutters, Gated Entry, Sidewalks, Street Lights</t>
  </si>
  <si>
    <t>Please text Kate @ 773 208 2528</t>
  </si>
  <si>
    <t>Ultimate Development &amp; Renovations Inc. # 2147587. Pictures are of similar home previously built by the developer, room sizes &amp; finishes are subject to change without notice.</t>
  </si>
  <si>
    <t>67TH ST. E/W TO ST. LAWRENCE N TO PROPERTY</t>
  </si>
  <si>
    <t>MUST SEE BRICK BUNGALOW! 4 BEDROOM 2 FULL BATH BEAUTY IN WOODLAWN. SPACIOUS LOT WITH LOTS OF POTENTIAL! THIS IS A FANNIE MAE HOMEPATH PROPERTY.</t>
  </si>
  <si>
    <t>3% OR MIN. $1000 (on Net SP)</t>
  </si>
  <si>
    <t>SEE SHOWING ASSIST LINK BELOW</t>
  </si>
  <si>
    <t>The seller has directed that all offers on this listing must be made online via HomePath.com (ID #C140L13).</t>
  </si>
  <si>
    <t>Argyle</t>
  </si>
  <si>
    <t>EXIT 84 on 1/90, Lawrence. Take Leclaire Ave north, turn L on Ainslie, R on N Laramie, R on Argyle</t>
  </si>
  <si>
    <t>Amazing value!! New Const.  Brick and Hardiboard faÃ§ade &amp; exterior, Granite, SS appl, large island, 8ft doors &amp; hdwd flrs on 1st floor. Beautiful staircase,  Large master w/ tray ceilings. Dbl bowl sink in master bath. 3 large bedrooms up. Easy expressway access for O Hare or suburbs. Walk to blue line &amp; Metra. Large deck &amp; yard. 2 C- garage. 12 month warranty.  Available immediately. Across from Beaubien Elem.</t>
  </si>
  <si>
    <t>Patrick Santry</t>
  </si>
  <si>
    <t>(312) 475-3229</t>
  </si>
  <si>
    <t>www.patricksantry.com</t>
  </si>
  <si>
    <t>EMAIL:  PATRICK@PATRICKSANTRY.COM</t>
  </si>
  <si>
    <t>EXPERIENCED BUILDER WITH GLOWING PAST REFERENCES. HOME IS COMPLETED AND AVAILABLE IMMEDIATELY.</t>
  </si>
  <si>
    <t>85TH</t>
  </si>
  <si>
    <t>87TH STREET TO HAMLIN, NORTH TO 85TH PLACE, WEST TO 3817.</t>
  </si>
  <si>
    <t>Homeowner, Senior, Senior Freeze, Other</t>
  </si>
  <si>
    <t>THIS IS AN ESTATE SALE.  4 BEDROOM,1.5 BATH,GALLEY KITCHEN,LIVING ROOM,DINING ROOM PLUS FAMILY ROOM ADDITION WITH WOOD BURNING STOVE AND FULL BASEMENT.FULLY FENCED YARD WITH PATIO.TWO CAR DETACHED GARAGE.    WATER IS SHUT OFF LEAKING PIPE UP STAIRS POWER ROOM.    HOME BEING SOLD AS-IS.   NOT FOR RENT...........    SEND OFFERS TO MY OFFICE.</t>
  </si>
  <si>
    <t>2.5%-$250. (on Net SP)</t>
  </si>
  <si>
    <t>James Thomas</t>
  </si>
  <si>
    <t>(708) 774-1600</t>
  </si>
  <si>
    <t>CALL OFFICE</t>
  </si>
  <si>
    <t>KENNEDY</t>
  </si>
  <si>
    <t>THIS IS AN ESTATE SALE. SOLD AS-IS USE RIDER.    WATER IS SHUT OFF LEAK IN UP STAIRS POWER ROOM?    FAMILY ROOM ADDITION WITH WOOD BURNING STOVE.    FULLY FENCED YARD. 2 CAR DETACHED GARAGE.</t>
  </si>
  <si>
    <t>Foxwood</t>
  </si>
  <si>
    <t>Eastside Drive to Longmeadow to Foxwood Circle</t>
  </si>
  <si>
    <t>Wow! Almost everything is under 10 years old: cherry cab kitchen w/ stainless appliances and granite, furnace, AC, Pella windows, bathrooms, roof, deck, flagstone patio, new landscaping...all mechanicals! Brand new carpet; hardwood throughout main floor; kitchen with tile. Great floor plan with kitchen opening to living and dining areas. Utility room, big garage. Great deck overlooks mature yard, firepit! Nice!</t>
  </si>
  <si>
    <t>Ceiling Fan, Radon Mitigation System(s)</t>
  </si>
  <si>
    <t>Call 1-855-746-9100 for confirmed appt. Prefer 3 hour notice.</t>
  </si>
  <si>
    <t>Seller takes care of children in her home, so appreciates 3 hour notice if possible. Thanks for your consideration. This home shows GREAT and is so updated! Great lot! No need to preview! Please use Multi-board 6.0 contract.</t>
  </si>
  <si>
    <t>Irving Park to Melvina South to Berenice West to Home</t>
  </si>
  <si>
    <t>30X121</t>
  </si>
  <si>
    <t>Location, Location, Location!! Close to it all in the neighborhood you want!  Don't miss this unbelievable house. A diamond in the rough. Bring your ideas! AS IS WHERE IS sale, MLS info estimated buyer to verify all info. multiple offers. Bank of America, N.A. employees, employeesâ€™ household members   and HTS business partners of the Bank are prohibited from purchasing this property, whether directly or   indirectly</t>
  </si>
  <si>
    <t>click on show assist below</t>
  </si>
  <si>
    <t>email agent with questions, disclosure must be signed, seller had deed issues in past, hence listing was canceled, offer accepted at this time</t>
  </si>
  <si>
    <t>Belmont to Kenneth</t>
  </si>
  <si>
    <t>Registered Historic Bungalow w/original woodwork updated over the years. Lg kitchen w/eating area, granite counters, SS appliances. Lg bath w/sep shower/whirlpool tub. LR w/fireplace. Sep dining rm. Full open finished basement w/high ceilings for entertaining that also has a 2nd kitchen/bath. Open staircase leads to 2 lg bedrooms on 2nd fl. Enclosed back porch leads to lg deck. All copper plumbing.</t>
  </si>
  <si>
    <t>Gas, Radiators, 2+ Sep Heating Systems</t>
  </si>
  <si>
    <t>42X23</t>
  </si>
  <si>
    <t>Chicago Realty Associates Inc</t>
  </si>
  <si>
    <t>(312) 733-0700</t>
  </si>
  <si>
    <t>Philip Sencer</t>
  </si>
  <si>
    <t>Email agent. 24hr notice</t>
  </si>
  <si>
    <t>Seller is willing to leave the pool table and 3 attached TVâ€™s-negotiable</t>
  </si>
  <si>
    <t>RANDALL RD N OF HUNTLEY TO GRANDVIEW E TO KIMBALL LN L TO HOME</t>
  </si>
  <si>
    <t>65 X 135</t>
  </si>
  <si>
    <t>Looking for a dream house - this one is it! Soaring ceilings, arched - pillared doorways, wall to ceiling windows! Country kitchen with huge center island finished with granite countertops. 4 bedrooms with vibrant colors &amp; hardwood flooring. Masterbath with relaxing whirlpool tub &amp; decorative flooring. 3 car garage. Patio + gazebo out back. This is a Fannie Mae HomePath property. Sold as-is. Taxes at 100%.</t>
  </si>
  <si>
    <t>Patio, Gazebo</t>
  </si>
  <si>
    <t>Please go to www.homepath.com to submit offers. The attached Fannie Mae Adden &amp; 6.0 contract must be included. Current pre-appr or proof of funds required. HIGHEST AND BEST DUE 5pm SUNDAY 3/29 MUL OFFER FORM IN CONTRACT PACKAGE REQUIRED</t>
  </si>
  <si>
    <t>Mill</t>
  </si>
  <si>
    <t>Rt 20 to South on Rt 31 to East On State St. to North on Gilbert St. to East On Mill house on left.</t>
  </si>
  <si>
    <t>Great home with tons of extras and upgrades! Home was built in 2006 and offers: granite counter tops, hardwood floors through out first floor, zoned heating and cooling w/high eff furnace and a/c, heated over sized garage, whole house back up gen., and Finished Basement.  Shed can double as a workshop (insulated and has power) Professional landscaping with huge patio. Home is move in ready! - Agent Owned</t>
  </si>
  <si>
    <t>Humidifier, Water-Softener Owned, Central Vacuum, TV-Dish, Intercom, CO Detectors, Ceiling Fan, Fan-Attic Exhaust, Sump Pump, Air Cleaner, Air Exchanger, Power Generator</t>
  </si>
  <si>
    <t>2.5% -$200 ON NET SP (on Net SP)</t>
  </si>
  <si>
    <t>Chris Erickson</t>
  </si>
  <si>
    <t>(847) 875-5847</t>
  </si>
  <si>
    <t>Call or Text Chris 847-875-5847 to schedule showings and for further instructions.</t>
  </si>
  <si>
    <t>Agent Owned - Please call or text Chris for showing times and instructions - large dog at residence - best showing times are evenings or weekends.</t>
  </si>
  <si>
    <t>Western to Addison, West to 2416</t>
  </si>
  <si>
    <t>Spectacular 4 Bed 3 1/2 Bath New Construction Single Family Home in the Bell School District! Elegant Transitional Interior, Wide, Expansive, Dramatic yet Practical Floor Plan. Raised Panel Cabinetry, Quartz, Porcelain Tile &amp; Mosaic, Thermador Appliances, Rich Stained Floors, Fireplace, Main Floor Great Room, Resort Caliber Master Suite, Audio Prewire, Zoned HVAC, Full Finished Rooftop Deck- Delivery March 2015!</t>
  </si>
  <si>
    <t>Please email for full presentation package- Delivery March 2015. Photos from 2422 W Addison. Full rooftop deck included- garage prepared or deck as upgrade. Four homes being built on site. Home nearly finished and walkable.</t>
  </si>
  <si>
    <t>55TH ST TO KOLIN TO PROPERTY</t>
  </si>
  <si>
    <t>EXCELLENT LOCATION WELL MAINTAIN PROPERTY RECENTLY PAINTED. MAIN LEVEL HAS 2 BDRMS, LIVING ROOM W HARDWOOD FLOORS. KITCHEN W EATING AREA. FULL FINISHED BASEMENT W 2 BDRMS A FULL BATHROOM W JACUZZI ALSO AN  EATING AREA AND A FAMILY ROOM. 2 CAR GARAGE. REGULAR SALE W CAN CLOSE IN 30 DAYS</t>
  </si>
  <si>
    <t>2.5% -$150+$1000 BONUS (on Net SP)</t>
  </si>
  <si>
    <t>Martha Lopez</t>
  </si>
  <si>
    <t>(773) 569-0026</t>
  </si>
  <si>
    <t>PROPERTY IN EXELLENT CONDITION BUT SOLD AS-IS APPLIANCES ARE ALSO AS-IS CONDITION.</t>
  </si>
  <si>
    <t>Kostner, south of Belmont and north of Diversey.</t>
  </si>
  <si>
    <t>Great opportunity. 3br, 2 full bath brick bungalow. Brand new kitchen and appliances. Formal dining room. Hardwood floors. Full finished basement with 3rd full bath. 2 car garage. Plumbing and heat systems might need some repairs and will not be On for inspections. This is a Fannie Mae Homepath property.</t>
  </si>
  <si>
    <t>Prospective Realty</t>
  </si>
  <si>
    <t>(847) 498-4422</t>
  </si>
  <si>
    <t>Talla Zhitnitsky</t>
  </si>
  <si>
    <t>(847) 727-2244</t>
  </si>
  <si>
    <t>Use Showing Assistant</t>
  </si>
  <si>
    <t>WATER AND HEAT WILL NOT BE "ON" FOR BUYERS AND LENDERS INSPECTIONS. ALL OFFERS SHOULD HAVE PRE-APPROVAL LETTER WITH CONFIRMATION THAT LENDER WILL NOT REQUEST WATER AND HEAT "ON".  Please submit all offers to Homepath.com</t>
  </si>
  <si>
    <t>Fargo W to Kaneville  to Lewis to Wood to Ceder</t>
  </si>
  <si>
    <t>STERLING MANOR</t>
  </si>
  <si>
    <t>85X124X89X131</t>
  </si>
  <si>
    <t>BEAUTIFUL GEORGIAN IN STERLING MANOR! 4 BED/2.1 BATHS. SPACIOUS KITCHEN W/ CENTER ISLAND,BREAKFAST BAR,DBL OVEN, BAYED EAT IN AREA OPENS TO VAULTED FAMILY ROOM, BRICK F/P. 1ST FLOOR STUDY AND LAUNDRY. DINING ROOM W/ HDW FLS,WINDOW SEAT,CROWN.LR W/ WINDOW SEAT. MSTRS SUITE W/VLTD CLG,CROWN MLDGS. LUX BATH W/ VLTD CLG. DECK OVERLOOKS NICE YARD,MATURE TREES, 3 CAR GARAGE. WALK TO PARKS,TENNIS,CLOSE TO MIDDLE SCHOOL!</t>
  </si>
  <si>
    <t>Call ShowingTime 855.746.9927 or Use Show Assist</t>
  </si>
  <si>
    <t>Great home, show with confidence!</t>
  </si>
  <si>
    <t>LAWRENCE OR WINNEMAC TO WINCHESTER, ONE WAY NORTH TO PROPERTY</t>
  </si>
  <si>
    <t>25 X 153</t>
  </si>
  <si>
    <t>Ravenswood recently gut rehabbed single family on oversized 153 ft deep lot. Gourmet Kitchen: Thermador dual oven &amp; built in fridge, Bosch D/W, Carrera marble counter, butlers pantry. Whole home audio. BATHS: Amish cabinets, marble, travertine, granite, limestone. Incredible craftsmanship. Hardiboard ext, deck, 2+ car gar, sprinkler system. walk to Winnemac Park, L, Metra, Lincoln Sq, &amp; Andersonville. Welcome Home!</t>
  </si>
  <si>
    <t>Humidifier, Security System, Intercom, CO Detectors, Ceiling Fan, Sump Pump, Sprinkler-Lawn</t>
  </si>
  <si>
    <t>Deck, Eating Area, Foyer, Storage, Walk In Closet, Workroom, Other</t>
  </si>
  <si>
    <t>Julie Dorger</t>
  </si>
  <si>
    <t>(312) 867-8136</t>
  </si>
  <si>
    <t>Do Not Use Showing Assist, Email Preferred. Julie@dorgermccarthy.com</t>
  </si>
  <si>
    <t>7N108</t>
  </si>
  <si>
    <t>Randall &amp; Silver Glen W2 Hastings L2 # (on right)</t>
  </si>
  <si>
    <t>THE HASTINGS</t>
  </si>
  <si>
    <t>ASHLEY MANOR</t>
  </si>
  <si>
    <t>133X50X300X128X250</t>
  </si>
  <si>
    <t>Stunning home! Outstanding condition! Excellent location, St. Charles schools. Space galore, 3 fireplaces. Spacious kitchen with granite and stainless steel appliances. Warm, cozy family room with wet bar, fireplace and built ins. Relax in the den, perfect place to enjoy a good book and a fire in the fireplace. Huge master suite with sitting area. All bedrooms have WIC's.  Prof. Landscaping with gorgeous views.</t>
  </si>
  <si>
    <t>Humidifier, Water-Softener Owned, Central Vacuum, Security System, Ceiling Fan, Sump Pump</t>
  </si>
  <si>
    <t>Foyer, Library, Eating Area</t>
  </si>
  <si>
    <t>Brick, Cedar, Frame</t>
  </si>
  <si>
    <t>Outstanding condition! Bring your fussiest buyers! Please use 6.0 Contract.</t>
  </si>
  <si>
    <t>Rt 47 to Countryside Pkwy (W) to W. Kendall Drive (N) to home</t>
  </si>
  <si>
    <t>25X77X167X105X133X19</t>
  </si>
  <si>
    <t>Great value~Spacious 4 BR/2.1 BA home located on nice corner lot~Eat-in kitchen offers plenty of cabinets, counter space &amp; pantry~Family rm w/brick fireplace &amp; built-in shelving~Formal living rm &amp; dining rm~Both full bathrooms w/updated vanity/sink~Large master BR w/private BA~Finished bsmnt provides addt' enjoyable space~Huge backyard partially fenced w/patio &amp; shed~Make it great &amp; make it yours w/just a little TLC!</t>
  </si>
  <si>
    <t>3.0%-$150 (on Net SP)</t>
  </si>
  <si>
    <t>Mitigated radon system located in garage~Property to be sold "AS-IS"</t>
  </si>
  <si>
    <t>S Orchard L Mill L Gates crk L Willowwood L Otter Way</t>
  </si>
  <si>
    <t>ASHBROOK</t>
  </si>
  <si>
    <t>Fully approved short sale at list or possibly even slightly below! Outstanding 3200SF Fox Chase home w/4 full beds &amp; bonus 3.5 baths plus a full finished basement! 3 c gar too! Great flr plan throughout w/ â€œusable spaceâ€_x009d_. 2nd flr features great rm sizes plus guest bdrm w/full bath*3 full baths on 2nd flr*FR w/FP*main flr den/office*16x20 cedar deck &amp; fenced yard*bsmnt w/addâ€™l bed+rec rm*Close 45 days +/-*Hurry!</t>
  </si>
  <si>
    <t>CC: Pursuant to Short Sale. Show &amp; Bid w/confidence! LA has closed 100â€™s of short sales to date*CC will NOT be reduced*sold as-is due to SS w/all clean disclosures from seller*100%-taxes*buyer pays survey*15-30 days for approval*Use 6.0 contract/rider*No Docusign</t>
  </si>
  <si>
    <t>Rt64 to Dunham Rd(N) to Fox Chase Blvd(W) to Southgate Course(Right)</t>
  </si>
  <si>
    <t>68X123</t>
  </si>
  <si>
    <t>Solid home in prime East Side location--Walk to middle &amp; high schools, parks &amp; rec center--Wonderful neighborhood too! Newer: roof, siding, windows, furnace, a/c... Spacious living room... Kitchen w/lots of recessed lighting, glass front cabinets &amp; bayed dinette... Family room w/full wall brick fireplace--Opens to patio &amp; beautiful private yard... Finished basement.</t>
  </si>
  <si>
    <t>Needs updating &amp; some sweat equity to make it yours.</t>
  </si>
  <si>
    <t>BIRCH</t>
  </si>
  <si>
    <t>BARRINGTON RD (N OF LAKE ST)(S OF RT.19) 2 WALNUT E2 VALLEYVIEW N2 BIRCH E</t>
  </si>
  <si>
    <t>4BR SPLIT LEVEL IN UPDATED COND..ATTACHED GARAGE..LAMINATED WOOD FLOORS THROUGHOUT..UPDATED KIT &amp; BATHS..FRESHLY PAINTED..LOWER LEVEL FAMILY RM/BSMT + 4TH BR..FENCED-IN YARD..EXTENDED-2CAR DRIVEWAY..CLOSE TO TRAIN, HIGHWAY, SHOPPING..DIST 54 &amp; 211 SCHOOLS.</t>
  </si>
  <si>
    <t>J B CONANT HIGH SCHOOL</t>
  </si>
  <si>
    <t>2.5%  -$300.00 (on Net SP)</t>
  </si>
  <si>
    <t>Book through showing assistant</t>
  </si>
  <si>
    <t>Email offers to bashir.akuly@gmail.com. Earnest Money check should be cashier check.</t>
  </si>
  <si>
    <t>STEEL</t>
  </si>
  <si>
    <t>RT 31 just north of Big Timber to Jerusha, east to Steel to home on the corner of Jerusha &amp; Steel</t>
  </si>
  <si>
    <t>Location, location, location! New Paint,hardwood floors redone.Granite kitchen counter tops,New SS sink,SS New appliances new light fixtures,finished garage,close to I-90,Rt 20, Judson &amp; Metra yet has the country feel being on an XL corner lot.All brick,fireplace,nicely updated bath,2 car garage &amp; a full basment. This home is move-in-ready! Agent Owned!</t>
  </si>
  <si>
    <t>Corner, Cul-de-sac, Nature Preserve Adjacent, Wooded</t>
  </si>
  <si>
    <t>2.5% -350.00 (on Net SP)</t>
  </si>
  <si>
    <t>ALL Per-Approvals handled by Jared: Call 847-909-9892</t>
  </si>
  <si>
    <t>Take 63rd E/W to Laflin then North to property.  Laflin is a one way going north</t>
  </si>
  <si>
    <t>Owner has been in this location since 1976 This 4bd/2bth home shows pride of ownership and is in good condition for renting out or just move in.  Must larger than it look from the outside.  Motivated seller,</t>
  </si>
  <si>
    <t>BASS ELEMENTARY SCHOOL</t>
  </si>
  <si>
    <t>2.5% -100 (on Net SP)</t>
  </si>
  <si>
    <t>Betty Clayton, CSC</t>
  </si>
  <si>
    <t>(708) 207-4818</t>
  </si>
  <si>
    <t>Use  showing assist 24 hour notice</t>
  </si>
  <si>
    <t>Motivated seller, bring all offers.</t>
  </si>
  <si>
    <t>Dodson</t>
  </si>
  <si>
    <t>Hughes E of Rte 47 to Blackberry Creek Dr N to Independence E to Dodson</t>
  </si>
  <si>
    <t>12,472 SQ FT</t>
  </si>
  <si>
    <t>JUST COMPLETED DECEMBER 2014, 4BR/2.1BA Blackberry Creek home by Old Oak Homes. Covered front porch, 3-car side load garage, Oversized lot. Hdwd Flrs, 1st floor w/9' ceilings, kitchen w/granite, stainless &amp; recessed lights, huge family rm w/fireplace &amp; TV niche. 1st floor laundry. Vaulted master suite &amp; luxury bath w/soaking tub &amp; separate shower. Two other bedrooms also have walk-in closet. Extra deep pour basement!</t>
  </si>
  <si>
    <t>Contact co-lister Michelle Collingbourne at 630-688-8207 with questions/offers.</t>
  </si>
  <si>
    <t>Miller</t>
  </si>
  <si>
    <t>Mclean N of Rt.10 20 to Edison E 2 Miller 2 Home</t>
  </si>
  <si>
    <t>new carpet &amp; paint MOVE-IN-READY Heated 3 season room and Attached Garage, large kitchen , Hardwood Floors, Spacious Bedrooms, with Basement.100% tax proration, no survey or disclosures provided.For more information about HomePath homes and incentives, please visit HomePath. Room/Lot sizes are approx. POF strongly encouraged with all offers.</t>
  </si>
  <si>
    <t>87TH TO THROOP S TO HOME.</t>
  </si>
  <si>
    <t>Take advantage of this great opportunity at a great. Bungalow brick, single family, 4 bedrooms, 1 bath, unfinished basement and a 2 car garage. This home sits just minutes away from park, schools and  public school. Property sold as is. Seller does not provide survey or disclosures. A must see!! All cash offer's must show updated bank statement within 30 days.Financed  offers must have pre approval updated.</t>
  </si>
  <si>
    <t>Michael Scola</t>
  </si>
  <si>
    <t>(708) 387-3165</t>
  </si>
  <si>
    <t>call la</t>
  </si>
  <si>
    <t>owmer of record</t>
  </si>
  <si>
    <t>Brandon</t>
  </si>
  <si>
    <t>ORCHARD RD. TO OAK W. TO DEERPATH N. TO WESTOVER W.TO MIRADOR N.TO ROCKWOOD W.TO BRANDON CT. N.966</t>
  </si>
  <si>
    <t>1/2 ACRE</t>
  </si>
  <si>
    <t>BEAUTIFUL 4 BEDROOM/ 2.5 BATHROOM RANCH STYLE HOME WITH OPEN FLOOR PLAN WITH EXTRA LARGE WALK OUT BASEMENT. LOCATED ON ONE OF THE PREMIER LOTS IN THE MIRADOR SUBDIVISION. LARGE KITCHEN OPENS UP TO THE ENTIRE HOME.HUGE MASTER BEDROOM WITH WALK IN CLOSET. This property is under the FIRST LOOK program until 2/14/2015 Sold As-Is.</t>
  </si>
  <si>
    <t>27X22</t>
  </si>
  <si>
    <t>Wolfram is one way west. Enter from Wolcott.</t>
  </si>
  <si>
    <t>This 4 bed 3.1 bath home is flooded with sunlight and offers a family friendly open floor plan.  Kitchen with double ovens, new ss fridge &amp; dw opens to great room and rear deck/yard.  3 beds 2 baths on 2nd floor includes master suite with walk in closet and sep tub/shower.  Lower level with massive play/entertaining area plus wb gas fp. elan music system, closet organizers t/o, 2 car garage &amp; on a great st.</t>
  </si>
  <si>
    <t>Humidifier, TV-Cable, Security System, Ceiling Fan</t>
  </si>
  <si>
    <t>Jamie Connor</t>
  </si>
  <si>
    <t>(773) 339-1439</t>
  </si>
  <si>
    <t>Call or email listing agent</t>
  </si>
  <si>
    <t>Swan</t>
  </si>
  <si>
    <t>MC CLEAN OR RANDALL TO ROYAL TO CLEARWATERWAY TO SWAN</t>
  </si>
  <si>
    <t>44X130X60X100X110</t>
  </si>
  <si>
    <t>THIS IS THE ONE YOU HAVE BEEN LOOKING FOR! BEAUTIFULLY RENOVATED HOME WITH OPEN-CONCEPT LAYOUT HAS ALL THE AMENITIES: STAINLESS STEEL APPLIANCES, FORMAL DINING, FULL BASEMENT, PRIVATE MASTER BATHROOM, WALK-IN MASTER CLOSET, FRONT ROOM FIREPLACE, LARGE BACKYARD DECK, PRIVATE YARD, &amp; MORE! LOCATED ON A QUIET CUL-DE-SAC CLOSE TO i-90, YOU WILL LOVE THIS HOME!</t>
  </si>
  <si>
    <t>Skylight(s), Hardwood Floors, 1st Floor Bedroom, 2nd Floor Laundry</t>
  </si>
  <si>
    <t>Kevin Hudoba</t>
  </si>
  <si>
    <t>(630) 677-5559</t>
  </si>
  <si>
    <t>630-677-5559</t>
  </si>
  <si>
    <t>PRIOR DAY NOTICE. CALL CSS @ 877-977-1010</t>
  </si>
  <si>
    <t>THANK YOU FOR SHOWING! SUBMIT OFFERS TO KEVIN.HUDOBA1@GMAIL.COM</t>
  </si>
  <si>
    <t>4N304</t>
  </si>
  <si>
    <t>LaFox to Fox Mill Blvd, L on to Carl Sandburg, L on Mark Twain to home</t>
  </si>
  <si>
    <t>173X142X109X79</t>
  </si>
  <si>
    <t>Fabulous 4 bed/3.1 bath RANCH with 4,500 SF of finished living space! Open floor plan, hardwood floors, vaulted ceilings, crown moulding throughout, SS appliances, granite and more! FANTASTIC lower level with full kitchen, bedroom, full bath, media room, rec room, heated floors and a huge workshop for hobbies/storage. Fenced in backyard, paver patio, yard sprinkler system, central vac, and more! Quality throughout!!</t>
  </si>
  <si>
    <t>Oven-Double, Microwave, Dishwasher, High End Refrigerator, Disposal, All Stainless Steel Kitchen Appliances, Wine Cooler/Refrigerator</t>
  </si>
  <si>
    <t>Humidifier, Water-Softener Owned, Central Vacuum, TV-Cable, Security System, CO Detectors, Ceiling Fan, Sump Pump, Sprinkler-Lawn</t>
  </si>
  <si>
    <t>2nd Kitchen, Bonus, Breakfast Room, Foyer, Great Room, Media Room, Workroom</t>
  </si>
  <si>
    <t>Vaulted/Cathedral Ceilings, Heated Floors, 1st Floor Bedroom, In-Law Arrangement, 1st Floor Laundry, 1st Floor Full Bath</t>
  </si>
  <si>
    <t>20X32</t>
  </si>
  <si>
    <t>Co-List: Ruta 630-862-7058</t>
  </si>
  <si>
    <t>855-746-9200 1 hour notice preferred</t>
  </si>
  <si>
    <t>Kasuba</t>
  </si>
  <si>
    <t>Stained glass panels can be removed if desired~Washer/Dryer Excld'd~Media screen/projector negotiable~Door frames built to accommodate wheelchair~Living Room could be Dining Room or Office~Send ?'s/Offers to Ruta at rutab@comcast.net</t>
  </si>
  <si>
    <t>West on Belmont, North on Wolcott, West on Melrose</t>
  </si>
  <si>
    <t>ROSCOE VILLAGE SFH! Beautifully maintained home w/4 beds &amp; 4 FULL baths. Large, updated eat-in kitchen overlooks your HUGE backyard (700 sq ft of green space)! Features of the home incl: en-suite master bath w/walk in closet &amp; finished basement. Basement consists of playroom, walk in wine cellar, laundry, utility closet &amp; storage room. 3rd floor has extra bonus area. Walk to EL, Roscoe St &amp; Lincoln Ave shops/parks!</t>
  </si>
  <si>
    <t>Oven/Range, Microwave, Dishwasher, Dishwasher-Portable, Refrigerator, Freezer, Washer, Dryer, Disposal, All Stainless Steel Kitchen Appliances</t>
  </si>
  <si>
    <t>Foyer, Exercise Room, Pantry, Utility Room-Lower Level, Other</t>
  </si>
  <si>
    <t>Courtney Cook</t>
  </si>
  <si>
    <t>Please call or text Courtney at 773.655.3354. Email for questions ccook@koenigrubloff.com</t>
  </si>
  <si>
    <t>Agent Owned. Easy to show. Please come see this classic home with all the modern conveniences. Call Courtney at 773.655.3354 if you have questions or to show.</t>
  </si>
  <si>
    <t>Caldwell, east of Central, to Leroy, north to 6308</t>
  </si>
  <si>
    <t>Beautiful Jumbo Georgian on quiet tree lined street. Hdwd flrs thruout. 1st flr: LR w/WBFP, bay window, formal DR, bright white cabinet kitchen incl all appls, skylights, sliding doors to lrg deck overlooking fenced yard, 4th BR could be Office/Den, powder rm. 2nd flr: 3 BDs (incl huge master), cedar &amp; linen closet, full ceramic tile bath. Basement: part fin w/WBFP, bath w/sep shower, lndry, storage, W/D, new boiler.</t>
  </si>
  <si>
    <t>Julie Schultz</t>
  </si>
  <si>
    <t>773-680-7424</t>
  </si>
  <si>
    <t>Call Julie 773-680-7424</t>
  </si>
  <si>
    <t>west of pulaski to 79th st to kostner north to 77th pl east to property.</t>
  </si>
  <si>
    <t>5226 SQ. FT.</t>
  </si>
  <si>
    <t>WHAT A BEAUTIFUL BRICK RAISED RANCH WITH FULL FINISHED BASEMENT, UPDATED BATHS AND KITCHEN, BRICK 2 CAR GARAGE, DRIVEWAY, AWESOME ENCLOSED DECK FOR THOSE BBQS. 2 BLOCKS AWAY FROM PARK, SCHOOL AND SHOPPING CENTER WOW!</t>
  </si>
  <si>
    <t>(708) 203-9721</t>
  </si>
  <si>
    <t>PLEASE CALL L.O.</t>
  </si>
  <si>
    <t>OSWALD</t>
  </si>
  <si>
    <t>WOW! WHAT A GEM! THIS HOME IS IN GREAT CONDITION! A LOT OF UPDATES. FULL FINISHED BASEMENT W/FULL BATH,FAMILY ROOM, LAUNDRY ROOM AND SPARE BEDROOM.CLOSE TO SCHOOLS AND PARK AND SHOPPING CENTER.EM  IN CASHIERS CHECK PAYABLE TO RE/MAX SYNERGY</t>
  </si>
  <si>
    <t>WREN</t>
  </si>
  <si>
    <t>RT 25 TO HAZARD RIGHT TO WREN</t>
  </si>
  <si>
    <t>107X93</t>
  </si>
  <si>
    <t>NEED SPACE? This completely rehabbed home has everything NEW: Flooring, Walls, Light Fixtures, Windows, Roof, Siding, Doors. Features a sprawling layout w/ 4 bdrms, living &amp; family rooms, laundry room. Long 20X3 hallways lead to 2 full bathrooms, gorgeous wainscoting &amp; crown moulding. This home has it all! Come see this charming home that sits on a beautiful corner lot overlooking a park.</t>
  </si>
  <si>
    <t>Dalida Stusowski</t>
  </si>
  <si>
    <t>(847) 404-4092</t>
  </si>
  <si>
    <t>Call Showing Time @ 1-800-379-0057</t>
  </si>
  <si>
    <t>New electric, New plumbing, New heating</t>
  </si>
  <si>
    <t>Ravenswood to Thorndale; east to Property.</t>
  </si>
  <si>
    <t>36X120</t>
  </si>
  <si>
    <t>Fantastic 4-bed/2-bath brick bungalow on oversized 36x120 lot in Edgewater/Andersonville. Home offers large rooms, updated kitchen with S/S appliances, newly remodeled baths, finished basement, two-car garage with storage attic, plus much more. Walk to all the great shops and restaurants in Andersonville, plus easy access to the upcoming new Metra station at Peterson. This one is a winner. Call today!</t>
  </si>
  <si>
    <t>Foyer, Office, Recreation Room, Storage, Sun/Florida Room Heated</t>
  </si>
  <si>
    <t>Email amy.davis@dreamtown.com</t>
  </si>
  <si>
    <t>Open house on Sunday, 2/8 from 12 to 3 PM</t>
  </si>
  <si>
    <t>99TH STREET TO WINCHESTER, SOUTH TO HOME.</t>
  </si>
  <si>
    <t>45X180</t>
  </si>
  <si>
    <t>SPACIOUS AND BRIGHT FAMILY HOME ON ONE OF BEVERLY'S MOST BEAUTIFUL BLOCKS.  HUGE 2 STORY STUCCO HOME FEATURES SCREENED-IN FRONT PORCH, HARDWOOD FLOORS THROUGHOUT, LIVING ROOM WITH WOOD BURNING FIREPLACE, AND MAIN LEVEL DEN.  3-4 SPACIOUS BEDROOMS (4th IS TANDEM), 2 FULL UPDATED BATHS, TONS OF CLOSET SPACE, AND FINISHED BASEMENT.  HUGE BACKYARD. WALK TO SUTHERLAND SCHOOL &amp; ROCK ISLAND TRAIN.  SOLD BEFORE PRINT.</t>
  </si>
  <si>
    <t>CALL LISTING OFFICE OR USE SHOWING ASSIST</t>
  </si>
  <si>
    <t>EARNEST MONEY TO BE CERTIFIED FUNDS TO "BHHS BIROS REAL ESTATE"  BUYERS AGENT MUST ACCOMPANY. CENTRAL AIR ON 2ND FLOOR ONLY. SOLD BEFORE PRINT.</t>
  </si>
  <si>
    <t>LAWLER</t>
  </si>
  <si>
    <t>CHICAGO AVE EAST OF LARAMIE TO LAWLER NORTH TO 854</t>
  </si>
  <si>
    <t>LARGE STUCCO FAMILY HOME WITH 4 NICE SIZE BEDROOMS AND 2 FULL BATHS HARDWOOD FLOORS THROUGHOUT LARGE UNFINISHED BASEMENT AND 2 CAR GARAGE PROPERTY NEEDS SOME WORK MUST BE CASH BUYER OR RENOVATION LOAN SOLD IN AS IS CONDITION ADDENDUMS TO FOLLOW ACCEPTED OFFER MUST SHOW PROOF OF FUNDS OR PRE-APPROVAL EARNEST MONEY MUST BE CERTIFIED FUNDS</t>
  </si>
  <si>
    <t>CALL LISTING AGENT FOR INSTRUCTIONS</t>
  </si>
  <si>
    <t>EMAIL OFFERS TO SCOLAREMAX@AOL.COM OR FAX TO 708-788-2256</t>
  </si>
  <si>
    <t>WAVELAND</t>
  </si>
  <si>
    <t>Addison to Kedvale, North to Waveland, East to 4031</t>
  </si>
  <si>
    <t>36 X 126</t>
  </si>
  <si>
    <t>CONTACT JULIE @ 312-720-1371 FOR SHOWING INSTRUCTIONS.</t>
  </si>
  <si>
    <t>Rt 34 to Center (N) to Sharp (N) to Heritage (W)</t>
  </si>
  <si>
    <t>Woodwind</t>
  </si>
  <si>
    <t>77X125</t>
  </si>
  <si>
    <t>Welcome to this Former Model Home in the Woodwind Subdivision This Windsor Model has a beautiful upgraded kitchen with SS appliances, hardwood floors and plenty of counter space that opens to the family room. Formal living room and dining room. Hardwoods through most of the first flr. Large master with vaulted ceiling, walk in closet and luxury bath. Second floor laundry. Fenced yard, security system and so much more</t>
  </si>
  <si>
    <t>Very clean former builders model. Lot of upgrades in this home. Buyers wont be disappointed. NO SSA HERE</t>
  </si>
  <si>
    <t>WEST OF AUSTIN SOUTH OF MONTROSE ONE WAY SOUTH</t>
  </si>
  <si>
    <t>Charm abounds in this certified, historic, checkerboard brick bungalow in Portage Park.  Original woodwork and hardware throughout a majority of the home.  Tastefully remodeled kitchen with farmhouse sink, plenty of custom, wood cabinets and a sleek glass backsplash.  2 full bathrooms have both been updated. Huge, covered rear deck and good size yard allow for plenty of outdoor fun in the summer. Move in ready!</t>
  </si>
  <si>
    <t>Central Air, Partial, 2 (Window/Wall Unit)</t>
  </si>
  <si>
    <t>Gas, Forced Air, Hot Water/Steam, Radiators, 2+ Sep Heating Systems, Zoned</t>
  </si>
  <si>
    <t>Deck, Foyer, Pantry, Recreation Room</t>
  </si>
  <si>
    <t>BJ Tregoning</t>
  </si>
  <si>
    <t>(773) 418-1232</t>
  </si>
  <si>
    <t>Click schedule a showing button below</t>
  </si>
  <si>
    <t>2nd floor has central a/c, 1st floor uses window units.</t>
  </si>
  <si>
    <t>ON AUSTIN ( NOT MAIN STREET) BETWEEN  MILWAUKEE &amp; ELSTON</t>
  </si>
  <si>
    <t>SPACIOUS, BEAUTIFUL 4 BD, 2 BATHS HOUSE WITH MANY UPDATES. BRAND NEW KITCHEN W/GRANITE C-TOPS, NEW APPLIANCES, PORCELAIN/STONE FLOOR &amp; BACKSPLASH. FIRST FLOOR NEW,FINISHED HRDW FLOORS, SEPERATE LIVING &amp; DINIG ROOM AND ENCLOSED/HEATED PORCH. SECOND FLOOR FAMILY ROOM &amp; LARGE BEDROOMS W/SKYLIGHTS. HOUSE FEATURES: NEWER WINDOWS, NEW CARPET, 2 HV/AC SYSTEMS, FENCED YARD W/2.5 CAR GARAGE. GREAT LOCATION! MUST SEE!</t>
  </si>
  <si>
    <t>Forced Air, 2+ Sep Heating Systems</t>
  </si>
  <si>
    <t>Text or call ILONA 773 716-4700</t>
  </si>
  <si>
    <t>Two story house with open floor plan!  New electric BOX w/circuit breakers!</t>
  </si>
  <si>
    <t>Easy</t>
  </si>
  <si>
    <t>Brickville Road to Birch Lane to Pine Trail to Easy Street</t>
  </si>
  <si>
    <t>75X140</t>
  </si>
  <si>
    <t>Explore the potential in this spacious 4 bedroom, 2 bath bi-level home. Upper level has a living room w/bay window, large eat-in kitchen with updated cabinets, 2 bedrooms and full bath. Lower level has a family room, 2 bedrooms, 3/4 bath, and laundry. Each level has 1,032 sq ft. Situated in unincorporated Sycamore, enjoy the benefits of lower taxes, Sycamore schools and NO Sycamore transfer tax!</t>
  </si>
  <si>
    <t>Estate - sold "as-is", prorations at 100%, no survey.  Included: wood-pellet stove in lower level.</t>
  </si>
  <si>
    <t>Exeter</t>
  </si>
  <si>
    <t>Galena BLVD east of 47 and west of 56. North on St. James east on Exeter to property.</t>
  </si>
  <si>
    <t>73 X 118 X 70 X 117</t>
  </si>
  <si>
    <t>Welcome to this beautiful 2 story Georgian! Excellent open floor plan w/ every room where you want it to be. Huge finished basement w/ full BA w/ steam shower &amp; great living space. Storage everywhere thanks to oversized crawl space &amp; tandem 3car garage. Open kitchen concept w/ large island &amp; nice size breakfast nook. All of this is tied together with 9 ft clngs on 1st floor &amp; 18ft clngs in FR. New roof/gutter in '14.</t>
  </si>
  <si>
    <t>Oven/Range, Microwave, Dishwasher, Refrigerator, High End Refrigerator, Washer, Dryer, Disposal</t>
  </si>
  <si>
    <t>Bonus, Eating Area, Foyer, Office, Recreation Room, Walk In Closet</t>
  </si>
  <si>
    <t>eXp Realty</t>
  </si>
  <si>
    <t>(312) 375-4494</t>
  </si>
  <si>
    <t>Mike Long, GRI</t>
  </si>
  <si>
    <t>(630) 446-0289</t>
  </si>
  <si>
    <t>Call ShowingTime 800-746-9464.</t>
  </si>
  <si>
    <t>KOLMAR</t>
  </si>
  <si>
    <t>IRVING PARK TO KILBOURN @ 4500W. S TO BYRON @ 3900N. TURN RIGHT &amp; PARK. PATH @ END OF BLK N TO 3934.</t>
  </si>
  <si>
    <t>30 X 55</t>
  </si>
  <si>
    <t>PRISTINE HOME IN THE RESIDENCES OF OLD IRVING. LOOKING FOR MOVE-IN CONDITION W/ UPGRADES? THIS HOME IS FOR YOU! ABSOLUTELY GREAT COMMUNITY - WALK TO EL/METRA LOCATION TOO! 1ST FLOOR BR USED AS FAMILY/WORKOUT ROOM - IDEAL FOR HOME OFFICE! FABULOUS BREAKFAST AREA IN THE FAMILY ROOM. REAR BALCONY - PERFECT FOR SPRING BBQs! FRONT COVERED BALCONY OVERLOOKS LUSH GREENSPACE! LUX MASTER BED &amp; BATH - PERFECT TO RELAX/REFRESH!</t>
  </si>
  <si>
    <t>Water, Lawn Care, Scavenger, Snow Removal</t>
  </si>
  <si>
    <t>Balcony, Patio, Porch</t>
  </si>
  <si>
    <t>3.0% - $295 (on Net SP)</t>
  </si>
  <si>
    <t>CALL/TEXT TOM'S CELL, 773-230-6997, W/ NAME, ID, CELL AND DAY/TIME.</t>
  </si>
  <si>
    <t>East or West on Montrose, north on Hamlin to property</t>
  </si>
  <si>
    <t>33.5 X 126</t>
  </si>
  <si>
    <t>New construction 2 story extra wide contemporary home on extra wide lot. Spacious open floor plan, high ceilings thru-out, tons of natural light &amp; gorgeous modern design. Gourmet chef's kitchen w/island. Master suite w/his &amp; hers walk-in closets &amp; marble bath w/double vanity &amp; separate shower &amp; jaccuzi. LL fam room. Pre wired for wireless sound &amp; security upgradable &amp; expandable. New 2 car garage &amp; huge yard.</t>
  </si>
  <si>
    <t>Brick, Glass, Other</t>
  </si>
  <si>
    <t>Integra  Properties Inc.</t>
  </si>
  <si>
    <t>(847) 763-1300</t>
  </si>
  <si>
    <t>Abraham Polatsek</t>
  </si>
  <si>
    <t>Please Use ShowingAssist below.</t>
  </si>
  <si>
    <t>When submitting an offer, please include the attached Certificate of Warranty signed by the buyer. Listing office does not hold earnest money. Please call listing agent with any questions 773-294-3769.</t>
  </si>
  <si>
    <t>Harlem between Irving Park &amp; Montrose to Cullum. West to Odell. South to Odell to Property</t>
  </si>
  <si>
    <t>41X134</t>
  </si>
  <si>
    <t>Rare find! One of the most spacious &amp; bright affordable houses in Norridge. This lovingly cared for home w same owner for more then 30 years features 4 spacious beds including a huge master bed on 2nd flr. Adjacent to the kitchen, fam rm with outdoor deck access &amp; additional kitchen arrangement. Rec room in basement for growing or extended family, or guest entertainment. Close to best shopping &amp; expressway.</t>
  </si>
  <si>
    <t>Recreation Room, 2nd Kitchen</t>
  </si>
  <si>
    <t>Miroslaw Cieslowski</t>
  </si>
  <si>
    <t>(773) 497-2725</t>
  </si>
  <si>
    <t>Northampton</t>
  </si>
  <si>
    <t>Rt.34 to Boulder Hill Pass North, then to Lombardy(W) to 2nd Northampton Drive then North to Home</t>
  </si>
  <si>
    <t>New Windcrest</t>
  </si>
  <si>
    <t>Updated &amp; Move-In Ready! Exceptional 2,890 SqFt Home in "New Windcrest"! Family Room w/Floor to Ceiling Brick Fireplace &amp; Built-In Book Cases, 1st Floor Den w/Hardwood Floor, Spacious Formal Living &amp; Dining Rooms w/Hardwood Floors! Decadent Master Suite w/Trayed Ceiling, Hardwood Floor, Beautiful Master Bath w/Dual Sink Vanity, Separate Shower &amp; Tub! Fenced Yard &amp; Paver Patio For Outside Entertaining! Full Basement!</t>
  </si>
  <si>
    <t>Breakfast Room, Den, Foyer, Storage</t>
  </si>
  <si>
    <t>Call "Anderson Team" @ 630-450-6193 to Schedule Showings</t>
  </si>
  <si>
    <t>Immaculate, Updated, Move-In Ready Home!</t>
  </si>
  <si>
    <t>Army Trail west of county farm to Bayside North to home</t>
  </si>
  <si>
    <t>70X155</t>
  </si>
  <si>
    <t>BARTLETT SCHOOLS -4BR,3BA is largest style home in Woodlake Trails Subd.!Updated with beautiful Granite counters,solid HW Floors,newer doors &amp; windows,6-panel oak interior doors, prof landscaping in fenced yard.Huge Family Room with WB fireplace-perfect for cold winter nights!Newer mechanicals -roof, garage door,furnace,A/C,washer/dryer.2 car garage+shed(rm for sm car!!)perfect for lawn equip,jet skis,snowmobiles..</t>
  </si>
  <si>
    <t>Patio, Storage Shed, Dog Run &amp;/or Invisible Fence, Storms/Screens</t>
  </si>
  <si>
    <t>2.5-$195 (on Net SP)</t>
  </si>
  <si>
    <t>James Freier</t>
  </si>
  <si>
    <t>(630) 362-8697</t>
  </si>
  <si>
    <t>SHOW ANYTIME SENTRILOCK ON FENCE(LFT OF GARAGE)</t>
  </si>
  <si>
    <t>Pendleton</t>
  </si>
  <si>
    <t>Route 31 To Abbeywood. West To Pendleton Court.</t>
  </si>
  <si>
    <t>126X184X128X180</t>
  </si>
  <si>
    <t>Wow! What a great house for under $435k on over 1/2 acre in Red Gate!! Amazing floorplan features 2 story foyer, kitchen open to fam room w/fireplace, french doors to LR, formal dining room, 1st floor den, 1st floor laundry/mudroom w/door to absolutely gorgeous backyard w/paver patio &amp; firepit! Partially finished basement! Awesome neighborhood minutes to downtown, Randall Road, Fox River, schools, parks &amp; shopping!</t>
  </si>
  <si>
    <t>Water-Softener Owned, Ceiling Fan, Sump Pump, Radon Mitigation System(s)</t>
  </si>
  <si>
    <t>35X16</t>
  </si>
  <si>
    <t>Call 855-746-9093 - prefers no showings before 11 am</t>
  </si>
  <si>
    <t>What an amazing value for Red Gate!! Very clean home!</t>
  </si>
  <si>
    <t>Plum</t>
  </si>
  <si>
    <t>31 to Kimball , left on N. Grove right on Plum.  Dundee Ave. to Summit , Summit to Brook to plum</t>
  </si>
  <si>
    <t>66X46</t>
  </si>
  <si>
    <t>TOTALLY REMODELED 4 BEDROOMS HOME. FRESHLY PAINTED, NEW CARPET,  CERAMIC FLOORS, NEW FURNANCE AND AIR CONDITIONER, NEW WINDOWS, NEW STAINLESS STEEL APPLIANCES, CABINETS, GRANITE COUNTERTOP, FULL FINISHED BASEMENT, 2 CAR GARAGE WITH A LONG DRIVEWAY AND MUCH MORE.</t>
  </si>
  <si>
    <t>THIS IS NOT A SHORT SALE OR FORECLOSURE.  OWNER IS AN ILLINOIS LICENSE.  LISTING AGENT IS RELATED TO OWNER.</t>
  </si>
  <si>
    <t>Ashland to Catalpa (5400N) West on Catalpa</t>
  </si>
  <si>
    <t>This gorgeous Andersonville greystone has been totally rehabbed &amp; displayâ€™s the perfect blend of historic charm w/ modern luxury finishes! Hdwd flrs throughout, eat-in cooksâ€™ kitchen w/ full butcher block island, limestone cntrs &amp; custom cabinets! Large master suite, spa like baths, impressive library &amp; an abundance of outdoor space make this the perfect place to call home.  Walk to all Andersonville has to offer!</t>
  </si>
  <si>
    <t>Steam Shower</t>
  </si>
  <si>
    <t>Sauna/Steam Room, Hardwood Floors, 1st Floor Bedroom</t>
  </si>
  <si>
    <t>Randy Nasatir</t>
  </si>
  <si>
    <t>(773) 851-5117</t>
  </si>
  <si>
    <t>Randy@randynasatir.com or 773 851-5117 first showings Sat 2/21 11-1 &amp; sun 2/22 11-1</t>
  </si>
  <si>
    <t>Can send buyers sat &amp; sun 2/21 &amp; 22nd  11:00-1:00 but please let us know. Truly a remarkable house with a ton of updates. 2008 gut rehab with a lot of additional work done in the last 3 years. Lower level could add a lot of additional space</t>
  </si>
  <si>
    <t>I90/I94 to Garfield, Garfield to Wabash. Go left to property address.</t>
  </si>
  <si>
    <t>Fannie Mae Brick Multi-family home located near Washington Park. Homes has 5BR/2BA, full unfinished basement and huge gated back yard. Home is near lots of local stores and restaurants. Public transportation is very accessible.</t>
  </si>
  <si>
    <t>Seller has directed all offers be made via Homepath.com. For more information, please view documents under additional information tab.</t>
  </si>
  <si>
    <t>79th st to Lawndale south to 79th Pl east to property</t>
  </si>
  <si>
    <t>MUST SEE THIS ASHBURN RANCH ON QUIET RESIDENTIAL STREET. NEWER WINDOWS,ROOF,  KITCHEN WITH OAK CABINETS, NEWER APPLIANCES, HRDW FLOORS ON MAIN LEVEL. FULL FINISH BASEMENT WITH 2 BEDROOMS, SUMMER KITCHEN AND  FULL BATH.</t>
  </si>
  <si>
    <t>Anna Rapciak</t>
  </si>
  <si>
    <t>(708) 307-6596</t>
  </si>
  <si>
    <t>Call Centralized showings @ 877-977-1010</t>
  </si>
  <si>
    <t>Easy to show.</t>
  </si>
  <si>
    <t>North Ave. to New Castle Ave. North to home</t>
  </si>
  <si>
    <t>HEART OF GALEWOOD! WONDERFULLY UPDATED BRICK 4 BDRM /3 BTH BUNGALOW FEATURES CROWN MOLDING, STAIN GLASS WINDOWS, HRDWD FLRS, MAPLE CABS W/ GRANITE TOPS &amp; SS APPLIANCES, LARGE BONUS ROOM FOR DEN/PLAY RM, SEPARATE DINING RM, LARGE MASTER SUITE W/ SITTING AREA &amp; MASTER BATH, BASEMENT FEATURES FULL BATH, FAMILY ROOM, WINE CELLAR. ZONED HVAC. 2.5 CAR GARAGE.</t>
  </si>
  <si>
    <t>1834 Newcastle AF RE Series LLC</t>
  </si>
  <si>
    <t>95TH ST TO DAMEN (2000W); SOUTH TO 96TH ST; LEFT TO WINCHESTER; NORTH TO HOME</t>
  </si>
  <si>
    <t>44 X 181</t>
  </si>
  <si>
    <t>OWNER ARCHITECTS HAVE TASTEFULLY RENOVATED THIS"CRAFTSMAN"  HOME WHILE RESPECTING THE ORIGINAL  DESIGN &amp; UNIQUE FEATURES. RICH WARM WOODS, CUSTOM MOLDINGS &amp; STUNNING FIREPLACE HIGHLIGHT THE OPEN LIVING &amp; ENTERTAINING AREA. YOU'LL APPRECIATE THE CONVENIENCE OF THREE FULL NEW BATHS &amp; ENJOY THE PRIVACY OF A FAMILY DEN, QUIET SUN PORCH &amp; LUSCIOUS BEAUTIFULLY LANDSCAPED EXPANSIVE YARD. WONDERFUL HOME...WONDERFUL BLOCK...</t>
  </si>
  <si>
    <t>Den, Sitting Room, Enclosed Porch</t>
  </si>
  <si>
    <t>FLOOR PLANS AND HOME IMPROVEMENTS ARE LISTED UNDER ADDITIONAL INFORMATION. EARNEST TO BE IN CERTIFIED FUNDS PAYABLE TO BHHS BIROS REAL ESTATE.</t>
  </si>
  <si>
    <t>RT 34 TO PLAINFIELD RD TO ASHCROFT TO LISZKA</t>
  </si>
  <si>
    <t>76X131.6</t>
  </si>
  <si>
    <t>BANK OWNED! HUGE PRICE DROP!  This spacious 2 Home has 2752 Sq FT &amp; offers 3 big bedrooms+4 Huge BONUS RM could be 4th Bdrm,Kitchen w/island, Formal Living and Din Rms plus cozy breakfast nook,Big Family room w/FPL , Cozy loft, 1st flr Ldy,2 car garage,Fenced yard, Full bsmnt w/Plumbing rough in ,PATIO,Porch and More! Shopping and schools! Sold in As-Is condition! No Survey Provided!Txes Prorated @100%</t>
  </si>
  <si>
    <t>Martha Corral</t>
  </si>
  <si>
    <t>(630) 989-7036</t>
  </si>
  <si>
    <t>630-989-7036</t>
  </si>
  <si>
    <t>Call CSS 877 9771010. Turn lights off &amp; Lock Doors</t>
  </si>
  <si>
    <t>Huge price drop! No Survey Provided! Sold in As Is condition! Taxes Prorated at 100%  $1000 BUYER ASSISTANCE AND $1000 selling agent bonus at l closing</t>
  </si>
  <si>
    <t>CENTRAL TO 50TH TO LATROBE</t>
  </si>
  <si>
    <t>MOTIVATED TO SELL!! COMPLETELY REMODELED CAPE COD FT: 42" ESPRESSO CABINETS W/ GRANITE TOPS AND BACKSPLASH. HARDWOOD FLOORS, RECESSED CAN LIGHTS ON FIRST AND SECOND FLOOR. NEW BATHS, NEW ELECTRICAL, NEW PLUMBING, NEW FURNACE &amp; AC, FULL FINISHED BASEMENT W/ HUGE FAMILY ROOM AND LAUNDRY, NEWER WINDOWS, TRIM, DOORS, OUTDOOR COVERED PATIO W/ RECESSED LIGHTS, FENCED YARD, TOO MUCH TO LIST, THIS IS A MUST SEE!</t>
  </si>
  <si>
    <t>Robert White</t>
  </si>
  <si>
    <t>Owner is a licensed realtor in the state of IL. MOTIVATED TO SELL!</t>
  </si>
  <si>
    <t>Timber</t>
  </si>
  <si>
    <t>Big Timer To Timber Glen Right on Glenbrook Left on Timber Court</t>
  </si>
  <si>
    <t>9694 SQ FT</t>
  </si>
  <si>
    <t>CULDESAC LOCATION~AT AN AMAZING PRICE~ DRAMATIC 2STORY ENTRWAY~GOURMET KITCHEN W/42" MAPLE CABINETS~ISLAND~EAT-IN AREA~HARDWOOD FLRS~GRAND FAM RM W/FLOOR TO CEILING BRICK FIREPLACE~MASTER BEDROOM W/FRENCH DOORS &amp; SPA BTHRM W/SOAKING TUB~SEPARATE SHOWER~DEN/OFFC ON 1ST FLR~CLOSE TO A FOREST PRESERVE BIKE/WALKING TRLS~FULL BASEMEN W/BATH ROUGH IN~BEAUTFL LNDSCPNG THREE CAR GARAGE &amp; MUCH MORE! CLOES TO I-90.</t>
  </si>
  <si>
    <t>Eating Area, Den</t>
  </si>
  <si>
    <t>2.5 -$200.00 (on Net SP)</t>
  </si>
  <si>
    <t>Lora Mahnke, SFR</t>
  </si>
  <si>
    <t>(847) 987-3956</t>
  </si>
  <si>
    <t>847.987.3956</t>
  </si>
  <si>
    <t>Must Confirm</t>
  </si>
  <si>
    <t>Riley</t>
  </si>
  <si>
    <t>Turn South on Drake from Belmont</t>
  </si>
  <si>
    <t>Charming single family Raised Ranch in booming Avondale! Centrally located only 3 blocks from the Blue Line &amp; less than 1 block to CTA. Walk to shopping or the gym. This 4 bed 2 bathroom home has hardwood floors, large closets in the bedrooms, eat-in kitchen and formal dining space. Huge yard with 2.5 car garage. The roof is only 2 years old! Home is being sold As-Is.</t>
  </si>
  <si>
    <t>Suzanne Niersbach</t>
  </si>
  <si>
    <t>(773) 329-3873</t>
  </si>
  <si>
    <t>Please Use Showing Assist. 24 hr notice preferred.</t>
  </si>
  <si>
    <t>Please allow 24 notice for showing, list agent must accompany. Laundry in basement, huge basement.  Inquire about furniture and workout equipment for sale.</t>
  </si>
  <si>
    <t>State street west of river</t>
  </si>
  <si>
    <t>151X76X152X76</t>
  </si>
  <si>
    <t>DOWNTOWN GENEVA! Quality Complete renovation~Beautiful hardwood flrs~New granite kit/Maple cabs/SS appls~Large fam rm w/FP~1st flr executive office w/private entrance~All new baths~Inviting master w/new amazing glass tile shower/granite dual basin/huge walkin~1st&amp;2nd flr ldy~finished English bsmt~New AC/HVAC/electric/plumbing/windows~Unbelievable 4 car(49x19)gar w/full walkup loft~Huge seated deck~Walk to metra/schls</t>
  </si>
  <si>
    <t>Deck, Foyer, Office, Recreation Room, Storage, Walk In Closet</t>
  </si>
  <si>
    <t>Hardwood Floors, 1st Floor Bedroom, 1st Floor Laundry, 2nd Floor Laundry</t>
  </si>
  <si>
    <t>Book Thru MLS</t>
  </si>
  <si>
    <t>Please remove shoes and turn off lights</t>
  </si>
  <si>
    <t>Harlem to Montrose,  East to Newcastle, South to property</t>
  </si>
  <si>
    <t>BEAUTIFUL, ALL BRICK NEW CONSTRUCTION.</t>
  </si>
  <si>
    <t>Breakfast Room, Great Room, Storage, Utility Room-Lower Level</t>
  </si>
  <si>
    <t>2.25%-$300 (on Net SP)</t>
  </si>
  <si>
    <t>Eugenie</t>
  </si>
  <si>
    <t>NE Corner of Wells and Eugenie</t>
  </si>
  <si>
    <t>18.4X80</t>
  </si>
  <si>
    <t>Classic Chicago Row Home completely gutted&amp;updated for today's living.Beautifully restored woodwork&amp;gleaming hardwood flrs.Chef's KT opens to gracious DR&amp;LR.2 wet bars-LL fam rm&amp;penthouse rm.2 large roof decks.Gorgeous baths-all natural stone.Master ba w/steam shwr&amp;sep tub.4 generous BRs.Tons of space&amp;great floor plan.Every rm wired for sound-no detail overlooked!Don't miss this gem in the heart of Old Town Triangle</t>
  </si>
  <si>
    <t>Oven/Range, Microwave, Refrigerator, Freezer, Washer, Dryer, Disposal</t>
  </si>
  <si>
    <t>Bonus, Deck, Library, Terrace</t>
  </si>
  <si>
    <t>Roof Deck, Storms/Screens</t>
  </si>
  <si>
    <t>Mary Mac Diarmid</t>
  </si>
  <si>
    <t>(312) 343-3666</t>
  </si>
  <si>
    <t>312.343.3666 cell</t>
  </si>
  <si>
    <t>email marymac2000@gmail.com</t>
  </si>
  <si>
    <t>PARNELL</t>
  </si>
  <si>
    <t>63rd Street West to Parnell the South to property.</t>
  </si>
  <si>
    <t>2.5% OR $1,000 WHICHEVER IS GREATER (on Net SP)</t>
  </si>
  <si>
    <t>JEFF BV-VACANT,LLC</t>
  </si>
  <si>
    <t>EMAIL OFFER: agcy@sbcglobal.net////download Sellers Sales Contract under additional information. No other contract is needed.</t>
  </si>
  <si>
    <t>Huntley Rd East of Randall to Grand Pointe. South to Walnut. West.  follow around curves to home</t>
  </si>
  <si>
    <t>62X133X66X133</t>
  </si>
  <si>
    <t>Move-in ready! Low maintenance exterior w/professional landscaping, stamped concrete patio &amp; covered front porch. Exceptionally well maintained, 2 story foyer w/hardwood flrs thru to kitchen. Separate formal living/dining rooms. Big family rm opens to large kitchen w/big breakfast bar &amp; eating area. Large laundry/mud room to garage. 4th bedroom is currently a loft/easy to convert back. Unique rock burning fireplace!</t>
  </si>
  <si>
    <t>Humidifier, TV-Cable, Fire Sprinklers, CO Detectors, Ceiling Fan, Sump Pump, Radon Mitigation System(s)</t>
  </si>
  <si>
    <t>847-417-5264</t>
  </si>
  <si>
    <t>Contact co lister Rita Moehler with any questions. Master bedroom ceiling fan will be replaced</t>
  </si>
  <si>
    <t>W North to N Lamon W To Concord</t>
  </si>
  <si>
    <t>Single Family Brick 4bedrooms and 2 baths.PROPERTY IS SOLD "AS IS". TAXES PRORATED 100% PRE-APROVAL/PROOF OF FUNDS MUST ACCOMPANY ALL OFFERS/ EM MUST BE CERTIFIED FOUNDS. EM MUST BE 3% OF PURCHASE PRICE OR $1,000, WHICHEVER IS GREATER. All contracts/offers are subject to Bank senior approval &amp; any offers or counter offers by lender are not binding unless the entire agreement is ratified by all parties</t>
  </si>
  <si>
    <t>2.5% OR MINIMUM $1000 (on Gross SP)</t>
  </si>
  <si>
    <t>HIGHEST &amp; BEST DUE 02/19/15 12NOON PLEASE USE SHOWING SCHEDULE LINK</t>
  </si>
  <si>
    <t>Co-Brokers-OneWest is committed to swift &amp; accurate responses on all valid purchase offers. If you have not received a response to your offer within 72hrs call 877-885-1624 &amp; leave a msg. There is a $75 buyerâ€™s paid doc fee at closing</t>
  </si>
  <si>
    <t>Rt. 38 to East Side Drive to Geneva Drive to Westfield to Lancaster</t>
  </si>
  <si>
    <t>Geneva East</t>
  </si>
  <si>
    <t>CHARMING 4 BED CAPE COD HOME~LR w/br fireplace~DR~Kitchen w/bay dining area/oak cabinets~Appliances stay~New flooring on 1st level~Beds 1 &amp; 2 on 1st level (could be master or in-law)~Beds 3 &amp; 4 on 2nd level~Bed 3 has his/her closets, ceiling fan/cedar chest w/storage~6 panel doors~Baths w/corian counters~1st fl laundry~Fenced in-yard w/deck/shed~Lg basement~Newer roof/siding/furnace/ac &amp; more~Drywalled 2 car garage!</t>
  </si>
  <si>
    <t>Water-Softener Owned, CO Detectors, Ceiling Fan, Sump Pump, Backup Sump Pump, Radon Mitigation System(s)</t>
  </si>
  <si>
    <t>Wood Laminate Floors, In-Law Arrangement, 1st Floor Laundry, 1st Floor Full Bath</t>
  </si>
  <si>
    <t>Please call Showing Time @1-855-746-9100 for confirmed appointment.</t>
  </si>
  <si>
    <t>Home is very well maintained. Neutral &amp; move in ready. Quick close possible. Water softener not in use due to City of Geneva water filtration system. 2nd floor bathroom mirror is excluded (original mirror will be hung).  6.0 contract please</t>
  </si>
  <si>
    <t>From west on Rance Rd towards Stewart Rd, Turn left onto Stewart Rd, Destination will be on the left</t>
  </si>
  <si>
    <t>Den, Great Room, Loft, Recreation Room</t>
  </si>
  <si>
    <t>23X24</t>
  </si>
  <si>
    <t>32X33</t>
  </si>
  <si>
    <t>Pulaski Rd East to 3732 w 77th St.</t>
  </si>
  <si>
    <t>42 X 100</t>
  </si>
  <si>
    <t>Beautifully appointed 4 bedroom brick home situated on a nice block awaits your buyers!Gorgeous kitchen w/maple cabinets, granite ctops&amp;glass blacksplash,SS appliances,beautiful moldings thruout,large bath w/dark wood finish vanity&amp;lots of light,wood floors&amp;carpet,good closet space;large laundry/mud room; very efficient tankless water heater; driveway leads to 1.5 car garage; BROKER OWNED.  ROOM SIZES ESTIMATED.</t>
  </si>
  <si>
    <t>3732 W 77th Land Trust</t>
  </si>
  <si>
    <t>Outdoor painting&amp;asphalt driveway layover will be done as soon as weather allows it.</t>
  </si>
  <si>
    <t>Damen to Charleston, North to 2103 N. Hoyne</t>
  </si>
  <si>
    <t>Stunning New Const. S.F.R by Alco Const. in Prime Buck Town. Coffered ceilings, Extensive Moldings, Built ins thru-out, Chefs kitchen w/ Sub-0, Wolf appl. Custom cabinets &amp;  Bench. Large island w/ seating. Spa like marble master bath w/ steam, air jet tub, heated floors, Radiant heat in basement w/ wetbar, large mud rm. w/ Storage units, Garage deck w/ Pergola. 2nd fl. laundry rm. Everything is top of the line!</t>
  </si>
  <si>
    <t>Summit Realty Corp</t>
  </si>
  <si>
    <t>(847) 881-2672</t>
  </si>
  <si>
    <t>Lyle Schachter</t>
  </si>
  <si>
    <t>(847) 533-8834</t>
  </si>
  <si>
    <t>Call Lyle for showings, 847-533-8834</t>
  </si>
  <si>
    <t>North Avenue to Newcastle turn north</t>
  </si>
  <si>
    <t>GALEWOOD</t>
  </si>
  <si>
    <t>ATTENTION REHABBERS, CONTRACTORS, LARGE BRICK bungalow exudes it's original elegance with architectural details including crown molding, 7 stained-glass windows, arched entry door &amp; original wood doors. Large rooms, separate dining room, hardwood floors under carpet on main flr, 2 bedms on 1st flr, full bath plus encld heated porch w/ closet, 2nd flr offers 2 bedrms and bath, storage.  "SOLD AS IS"</t>
  </si>
  <si>
    <t>SAYRE ELEMENTARY SCHOOL LANGUAGE ACADEMY</t>
  </si>
  <si>
    <t>Enclosed Porch Heated, Foyer, Mud Room</t>
  </si>
  <si>
    <t>Kathleen Whalen, GREEN</t>
  </si>
  <si>
    <t>CLICK ON ICON OR CALL SHOWING DESK 855-746-9020</t>
  </si>
  <si>
    <t>Please call for one day pass code if you do not have a sentri-lock. Please turn off lights, lock doors, and leave a business card. PROPERTY SOLD "AS IS" NEEDS REHABBING submit 6.0 contract, discls under addt'l info. Excludes Furniture</t>
  </si>
  <si>
    <t>E 87th St to Bennett Ave. South to house.</t>
  </si>
  <si>
    <t>This large, 4-bedroom, 2-bathroom home has been recently rehabbed and is overflowing with special features. Hardwood floors, granite countertops, stainless steel appliances and updated cabinets are all included, and a finished basement and 2-car garage complete the look. This house is a must-see!</t>
  </si>
  <si>
    <t>38W795</t>
  </si>
  <si>
    <t>BONNIE</t>
  </si>
  <si>
    <t>Randall (N. of Rt 64) to Dean W to Bonnie Court S to home</t>
  </si>
  <si>
    <t>287X222X148X185</t>
  </si>
  <si>
    <t>This gem offers dramatic curb appeal found in million dollar+ homes! Drive thru 3 car garage.  Inviting covered entry, amazing landscaping, tiered deck, gazebo &amp; an outside fireplace. 2S foyer, turned staircase, huge windows, hardwood floors &amp; extra trim package. French doors to private office. Gourmet kitchen w/moving island. 20' high ceiling in family room  w/bar. Enormous master suite. Fin bsmt! This is a 10+</t>
  </si>
  <si>
    <t>Den, Game Room, Media Room, Sitting Room</t>
  </si>
  <si>
    <t>Vaulted/Cathedral Ceilings, Skylight(s), Bar-Wet, Hardwood Floors, 2nd Floor Laundry, 1st Floor Full Bath</t>
  </si>
  <si>
    <t>Deck, Gazebo, Outdoor Fireplace</t>
  </si>
  <si>
    <t>Gorgeous!</t>
  </si>
  <si>
    <t>East of 94, Lawrence to Kostner North to Home</t>
  </si>
  <si>
    <t>NEW RENOVATION IN NORTH MAYFAIR! BEAUTIFUL 2 STORY BUNGALOW. NEW SIDING. NEWLY FINISHED HARDWOOD FLOORS, UPDATED KITCHEN WITH GRANITE COUNTERS AND STAINLESS STEEL APPLIANCES. 2 BEDS AND FULL BATH ON FIRST FLOOR AND SECOND FLOOR. LARGE PARTIALLY FINISHED BASEMENT WITH LAUNDRY AREA. FULL 2 CAR DETACHED GARAGE. CLOSE TO 90/94 AND PUBLIC TRANSIT!</t>
  </si>
  <si>
    <t>Oven-Double, Oven/Range, Refrigerator, Washer, Dryer</t>
  </si>
  <si>
    <t>Submit all offers at http://goo.gl/Dqxsqz (copy link).  Please contact the seller's preferred lender to include pre approval. Michelle Bobart with Guaranteed Rate. Phone: 312-379-3516 or online at www.guaranteedrate.com/michellebobart</t>
  </si>
  <si>
    <t>ARMITAGE TO WASHTENAW, SOUTH TO PROPERTY</t>
  </si>
  <si>
    <t>23X127</t>
  </si>
  <si>
    <t>Spacious 4 Bed/3.1 Bath SFH in Logan Square close to the 606/Bloomingdale Trail. Chefâ€™s Kitchen Features High-End SS Appl, Quartz Counters. Open to Light-Filled Dining/Living RM with HDWD FLRS. Master Bed Boasts Vaulted Ceilings, Skylights, Balcony &amp; Tons of Closet Space. En-Suite Bath w/ Whirlpool Tub &amp; Sep. Shower. LL Includes Rec Room w/ Wet Bar, Laundry RM &amp; Mudroom, Large Deck, Fenced Yard. 2.5 Car Garage.</t>
  </si>
  <si>
    <t>Balcony, Deck, Mud Room, Recreation Room</t>
  </si>
  <si>
    <t>03X18</t>
  </si>
  <si>
    <t>04X07</t>
  </si>
  <si>
    <t>To Schedule A Showing TEXT Grahm 312-694-3750.</t>
  </si>
  <si>
    <t>Close to Blue Line &amp;  Next to Bloomingdale Trail.</t>
  </si>
  <si>
    <t>Fullerton to Rockwell north to property</t>
  </si>
  <si>
    <t>LOGAN SQUARE NEW CONSTRUCTION SF HOME ON OVERSIZE LOT W/GREAT YARD. EXCEPTIONAL CRAFTSMANSHIP! OPEN FLOOR PLAN, LIVING &amp; FAMILY ROOM WITH GAS FIREPLACE, SPECTACULAR KIT W/BOSCH SS APP &amp; CUSTOM BACKSPLASH &amp; QUARTZ COUNTER TOPS , LARGE MASTER BEDROOM SUITE W/DEEP SOAK TUB AND SEPARATE SHOWER, HUGE LL REC RM WITH WET BAR, 2 LAUNDRY ROOMS,  LOADS OF CLOSETS, 3 CAR GAR, WIRED FOR SOUND AND ALARM SYSTEM.</t>
  </si>
  <si>
    <t>Gated Entry, Sidewalks, Street Lights</t>
  </si>
  <si>
    <t>Deck, Recreation Room, Utility Room-Lower Level, Walk In Closet</t>
  </si>
  <si>
    <t>14X05</t>
  </si>
  <si>
    <t>14X04</t>
  </si>
  <si>
    <t>Developer: Chicago Construction Grup. Inc #8782895/FLOORPLAN &amp; ROOM SIZES SUBJECT TO CHANGE WITH OUT NOTICE.</t>
  </si>
  <si>
    <t>Wolf's Crossing to Devoe (N) to Chapin Way (W) OR Harvey to Townsend (N) to Chapin Way to Home</t>
  </si>
  <si>
    <t>CARRINGTON</t>
  </si>
  <si>
    <t>85 X 114 X 78 X 127</t>
  </si>
  <si>
    <t>So Cute, Only 3 Years New. This Popular Carrington Model is Loved By Original Owners w/Many Upgrades. The Bright &amp; Airy 2-Stry Foyer Captures Tons of Natural Light Radiating Gleaming HW Flr &amp; White Trim. 9' 1st Flr, Perfect Kitchen w/42" Maple Cabs, Granite Ctrs, SS Appls, Island + Table Space too. Mstr Suite+3 Added BRs up. Full Bsmnt - Deep Dig &amp; plumbed for BA. Wired 4 SurrndSound. Pro Landscape Yd, Deck &amp; Playset</t>
  </si>
  <si>
    <t>Century 21 Affiliated - Naperville</t>
  </si>
  <si>
    <t>(630) 369-2000</t>
  </si>
  <si>
    <t>Terry Bunch</t>
  </si>
  <si>
    <t>(630) 632-6747</t>
  </si>
  <si>
    <t>Text LA 630-632-6747, 2-Hr Notice if Possible</t>
  </si>
  <si>
    <t>All Blinds &amp; Window Treatment Hardware Stay, Please Exclude Draperies.</t>
  </si>
  <si>
    <t>Keota</t>
  </si>
  <si>
    <t>Lehigh north of Devon to Keota west</t>
  </si>
  <si>
    <t>Edgebrook 4 bedroom 3.2 bath Georgian on a pretty tree lined street! 2 story addition features a new, expanded kitchen/great room with cherry cabinets, granite counters, large island. Formal living room has fireplace. Separate dining room. 4 bedrooms up include spacious master suite w/wall of windows &amp; large bath. New 3 car garage has attached office &amp; bath. A gem! Walk to Wildwood School, Park, Metra.</t>
  </si>
  <si>
    <t>Use Showing Time 8557469020</t>
  </si>
  <si>
    <t>Truly move-in condition. 4 bedrooms on the second floor.  A real value!</t>
  </si>
  <si>
    <t>Addison to Central north to Waveland east to Luna south to 3611</t>
  </si>
  <si>
    <t>Beautiful bungalow located in Portage Park. This home offers 4 bedrooms and 1.5 bath and has  a partially finished walk out basement with kitchen. Large bedroom on 2nd floor. 2 Car garage with big back yard. Donâ€™t miss out on this beautiful home!!</t>
  </si>
  <si>
    <t>Zachary Koran</t>
  </si>
  <si>
    <t>24 HR NOTICE TO SHOW. CALL OR TEXT ZACH KORAN 312 662 9977</t>
  </si>
  <si>
    <t>East of Clark Street, West of Broadway - Balmoral to Magnolia South to property</t>
  </si>
  <si>
    <t>37.5 X123</t>
  </si>
  <si>
    <t>Total gut rehab in â€˜08 with all new mechanicals! Tons of space in this Lakewood Balmoral SFH. Lg.bedrooms, 2ensuite, 3full baths (master with soaking tub &amp; another with steam/rain shower) Main level perfect for entertaining with open concept living/great room flowing into kitchen, separate dining area onto lg. deck. Walk to lake, Red Line and A-ville shops&amp;rest. Home maybe eligible for historical tax freeze program.</t>
  </si>
  <si>
    <t>Deck, Great Room, Mud Room, Storage, Walk In Closet</t>
  </si>
  <si>
    <t>24hrs notice, agent must accompany, please use Showing Assist</t>
  </si>
  <si>
    <t>West on Belmont, North on Drake, East on Melrose</t>
  </si>
  <si>
    <t>Nothing spared in this complete gut renovation in booming Avondale. Large open concept 1st flr with eat in kitchen &amp; separate dining rm. 3 BR upstairs including a master suite w/ separate shower &amp; soaking tub. 1 block to blue line &amp; expressway. Brand new 2car garage w/ 8' overhead door. This stunning home won't last long.</t>
  </si>
  <si>
    <t>Willing to provide landscaping credit if necessary. Owner is a licensed realtor in the state of IL</t>
  </si>
  <si>
    <t>43W795</t>
  </si>
  <si>
    <t>Willow Creek</t>
  </si>
  <si>
    <t>ROUTE 47 TO WILLOW CREEK DR</t>
  </si>
  <si>
    <t>183X285</t>
  </si>
  <si>
    <t>Remarkable Home In Great Location! Sits on An Acre &amp; Backs Up To a Field. First Floor Master Suite Has Tray Ceiling. Huge Kitchen w/ tons of Cabinet Space. Family Room Has Built Ins &amp; Gas Fireplace. First Floor Full Bath &amp; Laundry. Princess Suite Upstairs &amp; Jack n Jill Bath. Large Windows For Natural Lighting. THIS IS A FANNIE MAE HOMEPATH PROPERTY.</t>
  </si>
  <si>
    <t>Breakfast Room, Den, Screened Porch</t>
  </si>
  <si>
    <t>**Call 630-608-4777 if questions**Keybox on front door. **Please lock all doors &amp; turn off lights. SELLER REQUESTS ALL OFFERS SUBMIT THRU HOMEPATH.COM.</t>
  </si>
  <si>
    <t>Granville</t>
  </si>
  <si>
    <t>DEVON TO KILDARE- 2 BLOCKS SOUTH TO GRANVILLE</t>
  </si>
  <si>
    <t>42X124</t>
  </si>
  <si>
    <t>SAUGANASH  LUXURIOUS 3 BEDROOM 3.5 BATH RECENTLY RENOVATED FRENCH PROVINCIAL LOCATED ON PREMIER CORNER LOT.  UPDATES INCLUDE BUT NOT LIMITED TO NEW ROOF,LOW VOLTAGE SYSTEM,PLUMBING, WINDOWS,REFINISHED FLOORS,CROWN MOLDINGS, COFFERS,WOOD WAINSCOT.THREE FIREPLACES.GRANITE KITCHEN, ,CUSTOM MAPLE CABINETS, FRENCH DOOR LEADING TO IRON FENCED PAVED PATIO. MASTER SUITE W/GLASS SHOWER AND JACUZZI. LL FR  4TH BR AND MORE.</t>
  </si>
  <si>
    <t>Foyer, Sitting Room, Terrace, Walk In Closet</t>
  </si>
  <si>
    <t>Gabriela Kowalczyk</t>
  </si>
  <si>
    <t>(847) 722-2902</t>
  </si>
  <si>
    <t>TEXT OR CALL GABRIELA AT 847 722-2902</t>
  </si>
  <si>
    <t>South on Leavitt to Race,  East on Race to Property 2111 west</t>
  </si>
  <si>
    <t>Panoptic's Only Avail Sustainable SFH. Proj Gold LEED Rating w/ Radiant Heat Ready, Automation, Med Grde Air Systems, Avail Solar Array, &amp; More You Have to See &amp; Touch. Roof Top w/ City Views. Italian Cabinetry w/ Quartz C-Tops &amp; Island, S/S Viking Appliances Incl Double Oven. Oak Flrs, 8' Imported Doors, Spa Baths, Heat Floor, Soaking Tub &amp; Green H2O Systems. 2 Car Grg. Designer Lighting &amp; Wall Coverings. Avail NOW.</t>
  </si>
  <si>
    <t>Gas, Solar, Radiant, Zoned</t>
  </si>
  <si>
    <t>Humidifier, TV-Cable, Security System, Intercom, CO Detectors, Fan-Whole House, Sump Pump, Air Cleaner, Air Exchanger</t>
  </si>
  <si>
    <t>Balcony, Deck, Foyer, Mud Room</t>
  </si>
  <si>
    <t>Bar-Wet, Hardwood Floors, Heated Floors, Solar Tubes/Light Tubes, 1st Floor Full Bath</t>
  </si>
  <si>
    <t>John Grafft</t>
  </si>
  <si>
    <t>(312) 772-5388</t>
  </si>
  <si>
    <t>Sister bldg 2109 Race sold for $1,015,186! Nest &amp; Revolv home auto system. Solar Array avail on roof for 22k, 30% gov't subsidy to buyer. Wired for audio, HD, internet &amp; cable. Radiant heat piped. Boiler separate. LL plumbed for wet bar.</t>
  </si>
  <si>
    <t>Rt 38 to West Ln north</t>
  </si>
  <si>
    <t>Fannie Mae Homepath Property! Brick Front split level home w/4 bdrms, 2.5 bths located on west side of Geneva. Vaulted ceiling in liv rm. Brick fireplace in fam rm. Large enclosed patio. Fenced yard.  Property needs updating but is a nice solid house.  See attached docs prior to submitting an offer on Homepath.</t>
  </si>
  <si>
    <t>Rainbow</t>
  </si>
  <si>
    <t>ROUTE 72 TO RAINBOW DR SOUTH TO 104</t>
  </si>
  <si>
    <t>Sleepy Hollow Manor</t>
  </si>
  <si>
    <t>105X194X85X196</t>
  </si>
  <si>
    <t>WOW! Unbelievable gut-rehab on this beautiful mid-century ranch w/soaring ceiling &amp; a modern feel! ALL NEW: SS apps, honed granite c-tops, porcelain tile flooring, windows, doors, vanities, etc. Open concept that is light &amp; bright! Master w/shower &amp; double sinks. Full finished walkout basement w/ bedroom, full bath &amp; wetbar w/wine fridge. New concrete driveway, patio &amp; walks. Almost 1/2 acre overlooking woods. NICE!!</t>
  </si>
  <si>
    <t>Vaulted/Cathedral Ceilings, Bar-Wet, 1st Floor Bedroom, 1st Floor Full Bath</t>
  </si>
  <si>
    <t>Call Showing Time 855-746-9093 Lockbox on back garage door. Key opens front or side door.</t>
  </si>
  <si>
    <t>Sentrilock is on garage door, opposite the side door.</t>
  </si>
  <si>
    <t>CICERO TO OAKDALE WEST 2 BLOCK'S</t>
  </si>
  <si>
    <t>LOOKING FOR ROOM? THIS IS IT! SPACIOUS SUPER CLEAN EXCELLENT CONDITION BRICK BUNG. HAS MANY UPDATES WITH NICE NEUTRAL COLORS &amp; HARDWOOD FLRS THROUGHOUT. BREAKFAST NOOK LEADS TO BEAUTIFUL DECK. ENJOY FULL FIN WALK OUT BSMT WITH FULL BATH, SECOND KITCHEN, FAMILY ROOM &amp; BED RM. LONG DRIVEWAY LEADS TO 2 CAR GARAGE MUST SEE TO APPRECIATE. NOTHING TO DO BUT UNPACK! AS IS SALE</t>
  </si>
  <si>
    <t>Oven/Range, Microwave, Refrigerator, Disposal</t>
  </si>
  <si>
    <t>2nd Kitchen, Bonus, Deck, Enclosed Balcony, Recreation Room, Tandem Room</t>
  </si>
  <si>
    <t>2.25%-200 (on Net SP)</t>
  </si>
  <si>
    <t>Real People Realty</t>
  </si>
  <si>
    <t>Gloria Ortiz</t>
  </si>
  <si>
    <t>(708) 574-0570</t>
  </si>
  <si>
    <t>email L/A uragentgloria@yahoo.com 3 hr notice buyer agent must accompany</t>
  </si>
  <si>
    <t>Selling AS IS but house is in good condition has been well taken care of.</t>
  </si>
  <si>
    <t>Ashland Ave to 91st St West to Paulina St and South to property</t>
  </si>
  <si>
    <t>Short Sale opportunity. There are shingles missing from one section of the roof and the basement floods other than that the property is in average condition. Short Notice showings OK.</t>
  </si>
  <si>
    <t>Juan Martinez</t>
  </si>
  <si>
    <t>(773) 517-0345</t>
  </si>
  <si>
    <t>Call or text 773-517-0345</t>
  </si>
  <si>
    <t>Aldine</t>
  </si>
  <si>
    <t>McLEAN (S OF LARKIN) 2 VAN E2 ALDINE S2 HOME</t>
  </si>
  <si>
    <t>Spacious 4 Bedroom /2 Bath close to Larkin &amp; McLean, Elgin Community College. Master Bedroom on main level, 3 bedrooms on second floor. Lower level room can be bedroom or office. Sold As-Is.</t>
  </si>
  <si>
    <t>THE GREATER OF $400 OR 1% ON NET SP (on Net SP)</t>
  </si>
  <si>
    <t>Easy show. Just use Showing assist</t>
  </si>
  <si>
    <t>Edgewater</t>
  </si>
  <si>
    <t>Route 30 Briarcliff to Deer Run to Edgewater Ct.</t>
  </si>
  <si>
    <t>89X120</t>
  </si>
  <si>
    <t>This home nestled with lake front and Cul-de-Sak in Seasons Ridge Subdivision. This cozy  home comes with finished basement &amp;  4 bed room lower level, 3 Bed room upstairs, Master bed room with luxury tub and the shower, fire place in the family room, formal Dining, Freshly painted vaulted ceilings in family room. Great home All Appliances stay Move in ready quick close ok. Reg. Sale. as is. Move in Ready!!</t>
  </si>
  <si>
    <t>Park/Playground, Tennis Courts, Pond/Lake, Water Rights, Sidewalks, Street Lights</t>
  </si>
  <si>
    <t>Cul-de-sac, Lake Front, Water Rights, Water View</t>
  </si>
  <si>
    <t>08X24</t>
  </si>
  <si>
    <t>please call L/Agent630-853-8755</t>
  </si>
  <si>
    <t>Great Location Great Home, can close soon.</t>
  </si>
  <si>
    <t>Stonemill</t>
  </si>
  <si>
    <t>RT 34 TO PEARCES FORD NORTH TO STONEMILL RIGHT TO HOME.</t>
  </si>
  <si>
    <t>79X141X78X126</t>
  </si>
  <si>
    <t>Custom Built 4 bedroom 2 1/2 Bath Home In  Mill Race Creek. Hardwood Floors In Living Room, Formal Dining Room and Oversized Family Room With Wood Burning Fireplace. Kitchen With All Stainless Steel Appliances, Island and Planning Desk, Granite Counters and Back Splash. Large Eat In Area With Slider to Deck and Fenced Back Yard. Master Bedroom With Updated Bath. Additional 3 Large Bedrooms. Full Basement.</t>
  </si>
  <si>
    <t>Bob Williams</t>
  </si>
  <si>
    <t>(630) 533-6551</t>
  </si>
  <si>
    <t>Easy To Show. Great Location!</t>
  </si>
  <si>
    <t>VICTORIA</t>
  </si>
  <si>
    <t>BARRINGTON RD TO SCHAUMBURG W TO VICTORIA TO PROPERTY</t>
  </si>
  <si>
    <t>Beautifully rehabbed 4 bedroom house, completed with city permits. New SS appliances, windows, flooring, range, microwave, updated electrical box, new A/C and much more. The kitchen and bathroom are gorgeous! Come see for yourself!  A fenced in yard and two car garage make this home ideal for family life. Buyer didn't get financing so house is back on market.  Already inspected and approved for FHA financing!</t>
  </si>
  <si>
    <t>2.25%  -$289 (on Net SP)</t>
  </si>
  <si>
    <t>Call Maria at 630-359-7301 for Appt/Questions</t>
  </si>
  <si>
    <t>Dalianis, Maria</t>
  </si>
  <si>
    <t>FAX OFFERS TO LIST OFFICE 773-472-8988.  PRELLO DOES NOT HOLD EARNEST MONEY.</t>
  </si>
  <si>
    <t>Rt 64 to 19th Street - South to Fairview</t>
  </si>
  <si>
    <t>120 X 60</t>
  </si>
  <si>
    <t>YOU HAVE TO SEE ALL THESE UPDATES!  COMPLETELY READY!  NEW ROOF, NEW WINDOW, NEW KITCHEN CABINETS, NEW GRANITE TOPS, NEW STAINLESS STEEL APPLIANCES, NEW TILE IN BATHROOMS, NEW VANITIES, NEW LIGHTING, GORGEOUS HARDWOOD FLOORS.  MOVE IN &amp; ENJOY!</t>
  </si>
  <si>
    <t>Jay Mehra</t>
  </si>
  <si>
    <t>(630) 747-5776</t>
  </si>
  <si>
    <t>Taxes pro-rated at 100%</t>
  </si>
  <si>
    <t>PULASKI TO 84TH ST. EAST 2 BLOCKS TO ADDRESS</t>
  </si>
  <si>
    <t>Spectacular newly updated cape cod. Brand new  garage, windows, roof and furnace. Beautiful kitchen with white glazed cabinets, breakfast bar, ss appliances and granite tops. Baths with travertine tile , body sprays whirlpool tub. Hardwood floors, magnificent custom trim, finished basement. A must see. Agent related to seller.</t>
  </si>
  <si>
    <t>2.5-$250- (on Gross SP)</t>
  </si>
  <si>
    <t>Pro 1 Realty Inc. does not hold earnest money. Please make check out to attorney Thaddeus Kowalczyk.</t>
  </si>
  <si>
    <t>Kindberg</t>
  </si>
  <si>
    <t>38W to 47S to E Keslinger to Liberty S to Kindberg L</t>
  </si>
  <si>
    <t>11304 SQ FT</t>
  </si>
  <si>
    <t>Updated &amp; Ready for New Owners! Huge Kitchen w/ Abundance of Cabinetry, Newer SS Appl, &amp; Island w/ Breakfast Bar! Open, Airy Family Room w/ Brick Fireplace! Bright Sun Room Area w/ Sliding Door to Deck. 1st Fl. Features Crown Molding &amp; 9' Ceilings! 4 huge bedrooms w/ Walk-In Closets! Loft for playroom or office &amp; 2nd Fl Laundry! Over 3400 Square Feet~Plus Full Basement! New Roof &amp; Siding! Walk to Park &amp; Ele. School!</t>
  </si>
  <si>
    <t>CALL LO OFFICE 847-985-7050. 24 Hour Notice Required</t>
  </si>
  <si>
    <t>South Somonauk to Orchard, West to House</t>
  </si>
  <si>
    <t>65X132.95</t>
  </si>
  <si>
    <t>4 bedroom, 2 bath tri-level features recently refinished hardwood floors, wood burning fireplace &amp; screened in patio. All appliances are included, including W/D, refrigerator, range &amp; dishwasher.   Easy to show.</t>
  </si>
  <si>
    <t>Screened Patio</t>
  </si>
  <si>
    <t>Barry Cone</t>
  </si>
  <si>
    <t>Barry Cone 815-757-9040</t>
  </si>
  <si>
    <t>Vacant. Call L/O or L/A.</t>
  </si>
  <si>
    <t>francisco</t>
  </si>
  <si>
    <t>59th st to Francisco- North to 5724</t>
  </si>
  <si>
    <t>Bank owned.  AS-IS.    4 bedrooms, 2 baths, 2 car garage.</t>
  </si>
  <si>
    <t>Bernard Streit</t>
  </si>
  <si>
    <t>AS IS Rider M must be attached.</t>
  </si>
  <si>
    <t>CLARK ON WEBSTER, WEST TO 404.</t>
  </si>
  <si>
    <t>19X64</t>
  </si>
  <si>
    <t>Totally renovated East Lincoln Park rowhome with great style and finishes. High ceilings, original mouldings, and new kitchen. Gracious room sizes and large rear brick patio. 2 bedrooms+office and 2 baths on 2nd level. New lower level with heated floors, big laundry room, bedroom, and brand new full bath with steam shower. Lincoln Schools, and walk to Parker, Lincoln Park and Zoo!</t>
  </si>
  <si>
    <t>REDWOOD</t>
  </si>
  <si>
    <t>ROUTE 47/ BRIDGE ST TO SPRING EAST TO OMAHA LEFT TO REDWOOD TO PROPERTY</t>
  </si>
  <si>
    <t>86X135</t>
  </si>
  <si>
    <t>HEARTLAND COMMUNITY TWO STORY HOME WITH  4 BEDROOM 2.5 BATHS AND  LOOK OUT UNFINSHED BASEMENT. PROPERTY BEING SOLD AS IS WITH NO SURVEY OR DISCLOSURES</t>
  </si>
  <si>
    <t>Eating Area, Mud Room, Office</t>
  </si>
  <si>
    <t>KETTLEY &amp; COMPANY</t>
  </si>
  <si>
    <t>(630) 554-8700</t>
  </si>
  <si>
    <t>June Pasch</t>
  </si>
  <si>
    <t>(630) 251-1526</t>
  </si>
  <si>
    <t>SHOWING ASSIST OR CALL LISTING AGENT</t>
  </si>
  <si>
    <t>ALL OFFERS MUST HAVE PROOF OF DOWN PAYMENT FUNDS, UPDATED LENDER LETTER WITHIN 30 DAYS AND CERTIFIED EARNEST MONEY.</t>
  </si>
  <si>
    <t>Grand Avenue to Spaulding then north to property.</t>
  </si>
  <si>
    <t>33X133</t>
  </si>
  <si>
    <t>RECENT FORECLOSURE. PERFECT SINGLE FAMILY REHAB, TONS OF NEW CONSTRUCTION NEARBY.  HOME IN GOOD SHAPE, COULD USE SOME UPDATING.</t>
  </si>
  <si>
    <t>SOLD AS-IS.</t>
  </si>
  <si>
    <t>MOUTRAY</t>
  </si>
  <si>
    <t>Oak W,Deerpath N, Tanner W, Meade N, Moutray W</t>
  </si>
  <si>
    <t>Light &amp; cheerful 4 BR home includes 2 story entry w/ attractive turned stairway open to living rm. Open floor plan includes: formal dining rm, white eat-in kitchen w/granite countertops, family rm w/fireplace, lg partially finished basement, 1st floor laundry, new roof &amp; entertainment sized patio overlooking lovely yard. Three car garage offers plenty of space for cars &amp; extras. Enjoy subdivision walking/biking path</t>
  </si>
  <si>
    <t>Humidifier, CO Detectors, Ceiling Fan, Fan-Whole House, Sump Pump</t>
  </si>
  <si>
    <t>Karen Blum, GRI</t>
  </si>
  <si>
    <t>(630) 484-5535</t>
  </si>
  <si>
    <t>1 hr notice. See Showing Assist</t>
  </si>
  <si>
    <t>Ricker</t>
  </si>
  <si>
    <t>Some furniture could be for sale.</t>
  </si>
  <si>
    <t>87st to Eberhart -south to 88pl-west to address</t>
  </si>
  <si>
    <t>Great Chatham location on a quiet street. Beautiful two story home, totally rehabbed from top to bottom!!! House offers 4 bedrooms and 4 bathrooms. Gorgeous gourmet kitchen offers quality stainless steel appliances, granite counter tops, cherry cabinets, ceramic tile back-splash. Gleaming hardwood floors through-out 1st floor. Huge finished basement/wet bar/laundry room/plenty of storage room/closet space. CALL TODAY</t>
  </si>
  <si>
    <t>39X11</t>
  </si>
  <si>
    <t>call katie 773-619-6880 or text</t>
  </si>
  <si>
    <t>All new windows, electric, heating/cooling systems, plumbing and much more.  included two year prepaid ADT security system with full offer. e-mail offers to    KNSZALINSKI@EARTHLINK.NET,  EM-certified check only and buyers pre-qualified....</t>
  </si>
  <si>
    <t>PULASKI</t>
  </si>
  <si>
    <t>PULASKI ROAD TO PROPERTY</t>
  </si>
  <si>
    <t>PROPERTY IN NEED OF REHAB / GREAT OPPORTUNITY! / TAX PRORATION 100% NO SURVEY NOR DISCLOSURES / SOLD AS IS / NO UTILITY TURN ON FOR INSPECTIONS / PROOF OF FUNDS TO ACCOMPANY ALL OFFERS / SEND OFFERS VIA FAX TO LISTING OFFICE</t>
  </si>
  <si>
    <t>NANTUCKET GEORGIAN</t>
  </si>
  <si>
    <t>NEW CONSTRUCTION To Be Built ~ Nantucket Georgian ~ Home Site #239 ~ Move In May 2015 ~ Build your dream home with TOLL BROTHERS! Luxury living in Elgin! Burlington School Dist 301.  Dynamic and superior Nantucket floorplan with over 2400 sq ft, plus full basement. Gorgeous new home at an incredible value! Addtl homesites available to build your dream home by TOLL BROTHERS! Photos are of similar home.</t>
  </si>
  <si>
    <t>Energy Efficient Package, Exterior Brick/Cedar, Basement, Garage</t>
  </si>
  <si>
    <t>Eating Area, Walk In Closet</t>
  </si>
  <si>
    <t>NEW CONSTRUCTION To Be Built ~ Nantucket Georgian ~ Home Site #239 ~ Move In May 2015 ~ 3% on base price. Ask about our Realtor Programs. Sales Office Open Daily 10-6. Call Toll Brothers 847-695-4300 for appt. Register clients at Model.</t>
  </si>
  <si>
    <t>Western to Berteau</t>
  </si>
  <si>
    <t>26X125</t>
  </si>
  <si>
    <t>WOW! Coonley School District!  Home has tons of space w/open floor plan! Eat-in kitchen w/upgraded cherry cabinets &amp; lrg granite island. Kitchen open to family rm w/wood burn fireplace that leads to deck for summertime grilling &amp; deck above the garage! 3 bedrms up. Master bath w/double sink &amp; sep. steam shower! Huge lower level rec rm. &amp; 4th bed. Completely painted, new carpet, floors refinished. Ready for new owner!</t>
  </si>
  <si>
    <t>Vaulted/Cathedral Ceilings, Skylight(s), Hardwood Floors, Heated Floors, 2nd Floor Laundry</t>
  </si>
  <si>
    <t>Julie Chesne, ABR,CRS,GRI</t>
  </si>
  <si>
    <t>(773) 807-8580</t>
  </si>
  <si>
    <t>Please email julie at jc@jdcrealty.com or jchesne@koenigrubloff.com</t>
  </si>
  <si>
    <t>Home is in wonderful condition! Freshly painted, new carpet, hardwood floors refinished. Ready for new owner!</t>
  </si>
  <si>
    <t>COLLINS</t>
  </si>
  <si>
    <t>RT 38 TO FIRST NORTH TO WALKER EAST TO COLLINS NORTH TO 1176 COLLINS DR</t>
  </si>
  <si>
    <t>PRAIRIE VALLEY NORTH</t>
  </si>
  <si>
    <t>83X134</t>
  </si>
  <si>
    <t>OPEN FLOORPLAN,4223sqft FIN LIVING SPACE INCLD 1553sqft BASEMENT,HRD FLRS,DETAILED CEILINGS,KITCHEN ISLAND/PANTRY,OFFICE ON MAIN LEVEL,UPDATED CARPET,CROWN MOLDING,LRG MASTER W/WALK IN,VAULTED CEILING,DBL VANITIES,WHIRLPOOL TUB,SEP SHOWER,FAMILY RM W/ MODERN FRPLC &amp; ACCESS TO WOOD DECK,FULL FIN W/O BSMT W/REC ROOM,FULL BATH,GAME AREA,PAVER PATIO,SHED.$250 GIFT CARD TO BUYER AT CLOSE W/ACCEPTED OFFER BY 2/28/15</t>
  </si>
  <si>
    <t>Oven/Range, Microwave, High End Refrigerator, Disposal</t>
  </si>
  <si>
    <t>Den, Eating Area, Game Room, Office, Recreation Room</t>
  </si>
  <si>
    <t>Deck, Patio, Storage Shed, Brick Paver Patio</t>
  </si>
  <si>
    <t>RELO ADDENDUMS APPLY, MUST LIST NEI GLOBAL RELOCATION AS SELLER. Buyers agent must accompany all showings</t>
  </si>
  <si>
    <t>VALLEY STREAM</t>
  </si>
  <si>
    <t>72 W2 RJBROWN L2 WESTER L2 BAYSHORE L2 VALLEY STREAM</t>
  </si>
  <si>
    <t>SKYLINE</t>
  </si>
  <si>
    <t>62X120X62X120</t>
  </si>
  <si>
    <t>PREMIUM LOT with Lake views!! HUGE 2900SQFT home offers 9ft ceilings, generous open floor plan, 1st floor office/bedroom, exceptional upgrades include NEW (2014) Stainless Steel appliances (2014), Disposal (2014), Carpet (2013)  updated HVAC, Newer water heater and more! Volume ceiling in the master suite AND his&amp;hers closets!! Luxury master bath with walk in shower, soaker tub! Extra large garage! Regular seller!</t>
  </si>
  <si>
    <t>Ashland to Montana (North of Fullerton), East to Property</t>
  </si>
  <si>
    <t>No detail overlooked! Sensational, nearly new 4BR/4.2 bth row home features 25' wide open floor plan on main level, and countless other amenities. Includes 5' wide plank walnut floors/rails, central vac, 'Control 4" audio/visual system w/ 3 cameras, steam shower, gourmet kit w/ Wolf, Sub-Zero appliances. Nice backyard &amp; oversized 2-car gar! Bright, open, comfortable, this highly upgraded property shows beautifully.</t>
  </si>
  <si>
    <t>Central Vacuum, TV-Cable, Security System, Intercom, Fire Sprinklers, CO Detectors</t>
  </si>
  <si>
    <t>2.5% -$350 (on Net SP)</t>
  </si>
  <si>
    <t>Kamberos Associates</t>
  </si>
  <si>
    <t>(773) 525-5500</t>
  </si>
  <si>
    <t>Amy Arnold</t>
  </si>
  <si>
    <t>Call Ted Kamberos 773-525-5500 x302 or 312-391-0999</t>
  </si>
  <si>
    <t>20' Landscaped backyard w/patio, dog run, dry-walled &amp; painted garage w/ 25x40 pull down storage loft. EXCLUSIONS: Master Bedroom and Dining Room light fixtures, TVs, Ice Maker.</t>
  </si>
  <si>
    <t>Lieb</t>
  </si>
  <si>
    <t>Foster to Long north to Lieb west to property</t>
  </si>
  <si>
    <t>30X123</t>
  </si>
  <si>
    <t>Updated 4 bedrm, 3 bath Jefferson Pk beauty. Garage rented M to M to a long time tenant for $500.00 per month!  Steps to Parochial school, close to Kennedy and Edens, Jeff Park terminal, local police station, shopping. Many updates. 2 big kitchens (one upstairs with 2 bedrooms for your in-law.) Basement has full bath, rec rm and a room which could be a summer kitchen. 2nd flr sitting rm could be Living room.</t>
  </si>
  <si>
    <t>2nd Kitchen, Bonus, Den, Enclosed Porch, Enclosed Porch Heated, Recreation Room, Sitting Room, Other</t>
  </si>
  <si>
    <t>John Guest</t>
  </si>
  <si>
    <t>(773) 631-8300x104</t>
  </si>
  <si>
    <t>Garage is rented month to month by lont time tenant for $500 per month! 2nd floor inlaw for relative or adult child suite, easily converted to single family home.</t>
  </si>
  <si>
    <t>pulaski south to 53rd east to ridgeway north to property</t>
  </si>
  <si>
    <t>beautiful remodel new granite kitchen, 3 new custom ceramic baths, gleaming hardwood floors, new roof, new windows, New Garage, acid washed and tuckpointed, beautiful fiberglass door.</t>
  </si>
  <si>
    <t>Sewer-Public, Other</t>
  </si>
  <si>
    <t>Irhan Aleman</t>
  </si>
  <si>
    <t>(708) 372-0614</t>
  </si>
  <si>
    <t>call txt or email me direct 708-372-0614 fulltimerealestate@yahoo.com</t>
  </si>
  <si>
    <t>please call txt or email fulltimerealestate@yahoo.com 708-372-0614</t>
  </si>
  <si>
    <t>Old Barrington</t>
  </si>
  <si>
    <t>RT 22 TO OLD BARRINGTON ROAD, NORTH TO STOP SIGN, W TO HOME ON LEFT. NO SIGN. AKA 44 OLD BARRINGTON</t>
  </si>
  <si>
    <t>106X75X239X180X225</t>
  </si>
  <si>
    <t>TRADITIONAL ELEGANCE AT ITS FINEST. THIS TREASURE OF A HOME, MAINTAINED TO PERFECTION, HAS BEEN TOTALLY REMODELED FROM TOP TO BOTTOM W/HIGHEST QUALITY MATERIALS &amp; COMPLETE ATTN TO DETAIL. ALL NEW KIT &amp; BATHS, CUST CABINETRY, GRANITE CNTRS, WOLF OVEN, SS APPLS. TRIPLE PANE WINDOWS, PLANTATION SHUTTERS, HW FLRS. GLORIOUS BACK YARD W/NEW SCREENED PORCH, AZEK DECK. FLAGSTONE PATIO &amp; FP. HIGH EFFICIENT/LOW UTILITIES.</t>
  </si>
  <si>
    <t>Septic-Private, Sewer-Storm</t>
  </si>
  <si>
    <t>Humidifier, Water-Softener Owned, TV-Cable, TV-Dish, CO Detectors, Ceiling Fan, Fan-Attic Exhaust, Fan-Whole House, Sump Pump</t>
  </si>
  <si>
    <t>Recreation Room, Screened Porch, Storage</t>
  </si>
  <si>
    <t>Deck, Patio, Porch Screened, Outdoor Fireplace</t>
  </si>
  <si>
    <t>Christie Baines</t>
  </si>
  <si>
    <t>(847) 875-8049</t>
  </si>
  <si>
    <t>2 hr notice. Please call (855) 746-9200 for appointments</t>
  </si>
  <si>
    <t>Mailing address is 44 Old Barrington Rd. Gas &amp; water lines already available. Over-sized garage can easily accomodate a 1st floor laundry room. Finished w/o basement w/bath. *Please exclude LR &amp; FR drapes &amp; refrigerator in lower level.*</t>
  </si>
  <si>
    <t>Majestic Oaks</t>
  </si>
  <si>
    <t>KIRK RD (N) OF RT 64 TO MAJESTIC OAKS DR (E) TO MAJESTIC OAKS LANE</t>
  </si>
  <si>
    <t>76X152X130X149</t>
  </si>
  <si>
    <t>Nestled along the winding &amp; wooded lane of Majestic Oaks is this beautiful brick estate featuring 3658 sq ft of grand living space! Spectacular kitchen w/granite counters, island, eating area, double oven &amp; huge walk-in pantry. Bright, 2-story family room w/floor to ceiling brick fireplace, 1st floor study &amp; laundry rm &amp; 2nd staircase to upper level. Close to Wredling &amp; East High, playgrounds, parks &amp; walking trails!</t>
  </si>
  <si>
    <t>Water-Softener Owned, Sprinkler-Lawn, Air Cleaner</t>
  </si>
  <si>
    <t>north of Pratt to Coyle to address.</t>
  </si>
  <si>
    <t>56X124X50X124</t>
  </si>
  <si>
    <t>Hard to find corner brick ranch on a large lot with a 2 car attached brick garage with driveway in a prime location is  perfect for the family that wants a spacious home with a large backyard and a huge finished bsmt  or a home that has the potential to become a 2 story dreamhome. These jumbo lot homes are very hard to find and are prime real estate.  Don't lose your chance to control your destiny.</t>
  </si>
  <si>
    <t>Centralized showings 877-977-1010</t>
  </si>
  <si>
    <t>RT 47 to Prairie Valley East to Weston Ct North to Property</t>
  </si>
  <si>
    <t>38X142X80X52X135</t>
  </si>
  <si>
    <t>Fannie Mae Homepath property!  Relax and Enjoy the beautiful views in this Custom built home!  Bright and open floor plan with 4 levels of living space!  Vaulted ceilings, Living room with fireplace, Eat-in kitchen with breakfast bar, Large family room, Master suite with a California closet and bonus room, Utility workroom with tons of options, Fantastic Sunroom, &amp; much more!  This is a must see!</t>
  </si>
  <si>
    <t>Finished, Sub-Basement, Exterior Access</t>
  </si>
  <si>
    <t>Bonus, Foyer, Office, Recreation Room, Sun/Florida Room Heated, Other</t>
  </si>
  <si>
    <t>Foster, east of Harlem to Sayre, south to home.</t>
  </si>
  <si>
    <t>45 X 124</t>
  </si>
  <si>
    <t>Norwood/Big Oaks Area near Harlem &amp; Foster.  Brick English on huge lot (2 pin #'s) 4 bedrooms, hardwood floors on main floor. Open staircase to 2 bedrooms up. Well cared for home by long time owner. Eat-in kitchen w/wood cabinets. Expanded first floor with family/TV room addition Newer windows, furnace. Knotty pine rec room &amp; work room in basement (high ceiling) 2 car garage.</t>
  </si>
  <si>
    <t>Use Showing Assist  for easy "Go and Show" instructions</t>
  </si>
  <si>
    <t>Sold As is.</t>
  </si>
  <si>
    <t>Fox Sedge</t>
  </si>
  <si>
    <t>34 to 71 to Plainfield Left to Grove Right to Old Reserve Right</t>
  </si>
  <si>
    <t>Old Reserve Hills</t>
  </si>
  <si>
    <t>81X382X122X249X228</t>
  </si>
  <si>
    <t>This beautiful, one owner home is in move-in condition! 1st Floor Master Bedroom. 4-5 BedRms, 2 Jack &amp; Jill Baths. Stylish kitchen w/Maple &amp; Granite, breakfast room, open to family room w/brick FP. 1st Flr Office &amp; 2nd Flr Bonus Rm or 5th BR. Full bsmt w/2nd staircase from 3 car garage! 1+ acre, well landscaped, cul-de-sac lot! Deck &amp; Gazebo! 2014 tax asmt reduced over $18,000. Est. tax bill should be approx $13,930.</t>
  </si>
  <si>
    <t>Whirlpool, Separate Shower, Handicap Shower, Double Sink</t>
  </si>
  <si>
    <t>Humidifier, Water-Softener Owned, TV-Dish, TV Antenna, CO Detectors, Ceiling Fan, Sump Pump</t>
  </si>
  <si>
    <t>Bonus, Breakfast Room, Foyer, Office</t>
  </si>
  <si>
    <t>Call CSS at 877-977-1010 owner requests 1 hr notice please.</t>
  </si>
  <si>
    <t>One owner home, built for handicapped access with wide doors on 1st floor thru Master Bath. Exterior staircase from garage to deep pour basement is plumbed for future bath w/ejector pump. Hobby or craft room has utility sink &amp; shelving.</t>
  </si>
  <si>
    <t>Mclean to Lancaster to Valley Forge to Arlington - house on corner of Arlington and Valley Forge</t>
  </si>
  <si>
    <t>Sugar Ridge</t>
  </si>
  <si>
    <t>LINDEN</t>
  </si>
  <si>
    <t>St Charles Schools!! Fabulous open floor plan with soaring ceilings and tons of natural light.  Two story living area overlooking the incredible back yard with large deck and professional landscaping. Boasting 3 bedrooms up. Master has spacious walk in closet and full bath. Finished basement with bedroom/office. Meticulously maintained. Spectacular landscaped corner lot.  Close to parks and everything you need!</t>
  </si>
  <si>
    <t>Oven/Range, Dishwasher, Refrigerator, Freezer</t>
  </si>
  <si>
    <t>Humidifier, Water-Softener Owned, TV-Cable, CO Detectors, Ceiling Fan, Sump Pump, Air Cleaner</t>
  </si>
  <si>
    <t>Keller Williams Premiere Properties</t>
  </si>
  <si>
    <t>(630) 545-9860</t>
  </si>
  <si>
    <t>Matthew McCollum</t>
  </si>
  <si>
    <t>(773) 456-7765</t>
  </si>
  <si>
    <t>Contact co-list, Chris Lukins with questions 630-956-4646</t>
  </si>
  <si>
    <t>East Chicago St to S Edison to home</t>
  </si>
  <si>
    <t>50X133</t>
  </si>
  <si>
    <t>Room to grow! This 4 bedroom, 2 story home is waiting for your decorating ideas...needs updating, but great starter home. Hardwood floors underneath carpeting. Large back yard, over sized driveway.</t>
  </si>
  <si>
    <t>Don Cook</t>
  </si>
  <si>
    <t>(847) 707-4636</t>
  </si>
  <si>
    <t>drake</t>
  </si>
  <si>
    <t>CHICAGO AVE TO DRAKE ONE WAY GOING SOUTH</t>
  </si>
  <si>
    <t>FORECLOSED PROPERTY AWAITING NEW OWNERS THE PROPERTY IS BEING SOLD AS IS. THIS PROPERTY IS IN NEED OF SOME REPAIRS AND UPDATING BUT CAN BE A GREAT HOME WITH YOUR BUYERS FINISHING TOUCH. THE SELLERS ARE LOOKING FOR CASH BUYERS OR CONVENTIONAL LOANS ONLY DUE TO THE CONDITION.***MULTIPLE OFFER SITUATION HIGHEST AND BEST DUE BY 3PM 2/18***</t>
  </si>
  <si>
    <t>PLEASE USE SHOWING ASSIST DO NOT CONTACT AGENT</t>
  </si>
  <si>
    <t>JEFF BV VACANT LLC</t>
  </si>
  <si>
    <t>SOLD AS IS /EMAIL ALL OFFERS TO: PEPREMIERBPOS@GMAIL.COM/MUST USE SELLERS DOCS ADDITIONAL INFO TAB/SELLERS DO NOT ENTERTAIN CONTINGENCIES/MUST INCLUDE PROOF OF FUNDS/APPROVAL LETTER WITH ALL OFFER/BUYER MUST VIEW PROPERTY BEFORE SUBMIT OFFE</t>
  </si>
  <si>
    <t>Cicero to 79TH St East to Kilbourn Ave south to address</t>
  </si>
  <si>
    <t>42X110</t>
  </si>
  <si>
    <t>4 Bedroom, 2 Bath Brick 1.5 story Cape Cod with a 2 Car detached Garage. Hardwood Floors, Eat-In Kitchen and a rear Deck. Close to Shopping, Schools and Transportation.</t>
  </si>
  <si>
    <t>1% OR $750 AT MINIMUM (ON NET SP) (on Net SP)</t>
  </si>
  <si>
    <t>Anna Zabrzewska</t>
  </si>
  <si>
    <t>(773) 780-1230</t>
  </si>
  <si>
    <t>email agent</t>
  </si>
  <si>
    <t>All financed offers require preapproval from Greenlight Loans , dedicated ph# 866-250-7143  All offers to be submitted via auction platform HOMESEARCH.com</t>
  </si>
  <si>
    <t>115TH</t>
  </si>
  <si>
    <t>115th st east of Pulaski and west of Kedzie</t>
  </si>
  <si>
    <t>Entire House completely remodeled and updated. Fantasic master suite with loft area and oversize shower.  Finished basement with additional bedroom, bath and kitchenette.  New large 2.5 car garage with roof top deck and bonus room. Brazilian Cherry Hardwood floors.  No sign on property. Exclude stove and W/D - Seller is moving them.</t>
  </si>
  <si>
    <t>Microwave, Dishwasher, Refrigerator</t>
  </si>
  <si>
    <t>TV-Dish, CO Detectors, Ceiling Fan</t>
  </si>
  <si>
    <t>Balcony, Deck, Roof Deck, Storms/Screens</t>
  </si>
  <si>
    <t>2.5% ON NET (on Gross SP)</t>
  </si>
  <si>
    <t>Sterling R/E Services, Inc.</t>
  </si>
  <si>
    <t>(847) 228-1620</t>
  </si>
  <si>
    <t>Scott Fleming</t>
  </si>
  <si>
    <t>(312) 607-9251</t>
  </si>
  <si>
    <t>text 1.312.607.9251 or email agent with desired time and agent ID 24 hr preferred</t>
  </si>
  <si>
    <t>Easy to show but need 24 hour notice</t>
  </si>
  <si>
    <t>Augusta E or W to Ridgeway, N to Property (just E of Pulaski).</t>
  </si>
  <si>
    <t>Great opportunity to own this SPACIOUS SINGLE FAMILY located in Chicago's Humboldt Park Neighborhood.  Finished basement. Needs some work. Spacious back yard and back deck. Easy access to Pulaski and Division.  CTA access. This is a Fannie Mae HomePath property.</t>
  </si>
  <si>
    <t>Cuba Rd take Rainbow to Middlefork West to Orchard Lane.Sign at Orchard &amp; MFork 2nd house</t>
  </si>
  <si>
    <t>307X216X149X196</t>
  </si>
  <si>
    <t>Scenic and private pond front setting minutes to major shopping in Lake Zurich, Barrington &amp; Deer Park. New Kitchen and master bath with 2015 amenities! This soft contemporary home feels like Colorado, but will accommodate any style. Neutrally decorated throughout. 4 bedrooms,2.5 baths, 1st floor study or sunroom, vaulted ceilings, hw floors, 3 car gar, workshop and fin basement This home is in move in condition!!!!!</t>
  </si>
  <si>
    <t>Gas, Forced Air, Baseboard, Radiant</t>
  </si>
  <si>
    <t>Oven-Double, Microwave, Dishwasher, Refrigerator, Refrigerator-Bar, Washer, Dryer</t>
  </si>
  <si>
    <t>Recreation Room, Study, Workroom</t>
  </si>
  <si>
    <t>Pamela Weinert</t>
  </si>
  <si>
    <t>(847) 899-3782</t>
  </si>
  <si>
    <t>Call listing office please</t>
  </si>
  <si>
    <t>4x6 construction, home is in excellent condition and on a great piece of property. Private lane off Middle Fork  spectacular kitichen.FR, Kit Dining and office all over look pond</t>
  </si>
  <si>
    <t>COUNTRY</t>
  </si>
  <si>
    <t>RT 71 TO RESERVATION SOUTH TO COUNTRY EAST TO HOME</t>
  </si>
  <si>
    <t>160X260X275X318</t>
  </si>
  <si>
    <t>Stately Home on 1.35 Acres! Serene setting w/mature trees! Entertainment sized living room &amp; dining room w/fireplace! Hardwood Floors! Nice kitchen w/granite counters! Family room w/brick, gas burning fireplace! Nice sized bedrooms with plenty of closet space! Luxury master bedroom &amp; bath! Finished basement! Great lot w/attached 2 car garage &amp; detached 2 car garage! New Carpeting! Close to shopping, transportation!</t>
  </si>
  <si>
    <t>School Bus Service, None</t>
  </si>
  <si>
    <t>THANK YOU FOR SHOWING OUR LISTING. Disclosures in additional items. EFAX 630-206-0909 or email sales@pagonisgroup.com for offers.</t>
  </si>
  <si>
    <t>Only 3 New Construction homes left at the private enclave of Edgebrook Glen.  The Hickory Plus Model features 4 bedrooms and 3 1/2 baths. The bright, open layout makes this home great for entertaining. Attached 2-car garage, massive deck off of the kitchen, and tons of storage.  Don't miss out on this hidden Treasure.</t>
  </si>
  <si>
    <t>For showings email ohgshowings@dreamtown.com with 24 hours notice.</t>
  </si>
  <si>
    <t>Email offers to ohgcontracts@dreamtown.com</t>
  </si>
  <si>
    <t>North Ave/RT 64 to Dunham N to Fairfax W to Forest Ridge.</t>
  </si>
  <si>
    <t>Hunters Fields</t>
  </si>
  <si>
    <t>82X144X82X163</t>
  </si>
  <si>
    <t>Desirable Hunters Fields! 4 bdrm,3.1 bath,3-car garage on a spacious premium wooded lot.Brand new hi-eff Lennox furnace &amp; AC.Kitchen w/new granite,convection oven,pantry &amp; bay window,FR w/brick FP &amp; built-in bkcases,new master shower,2nd flr laundry,fin bsmt w/rec rm,full bath &amp; sauna.Great garage shelving along w/floored attic.Private manicured yard w/koi pond &amp; abundant perennials.Close to middle &amp; high schl.Sharp!</t>
  </si>
  <si>
    <t>Humidifier, Water-Softener Owned, TV-Cable, Ceiling Fan, Sump Pump, Air Cleaner, Backup Sump Pump, Radon Mitigation System(s)</t>
  </si>
  <si>
    <t>Sauna/Steam Room, 2nd Floor Laundry</t>
  </si>
  <si>
    <t>Tucked away in a wonderful neighborhood. Hard to find 3 car garage! Easy to show &amp; ready to go.</t>
  </si>
  <si>
    <t>Pletcher</t>
  </si>
  <si>
    <t>Rt. 47 south to Plattville Rd. East to Pletcher north to home.</t>
  </si>
  <si>
    <t>153X197</t>
  </si>
  <si>
    <t>Wonderful family home with large yard and an extra heated outbuilding!  Home is remodeled with hardwood &amp; ceramic flooring &amp; updated baths. All appliances stay. Master suite with private bath, walk in closet &amp; separate office room. 3 addtl. bedrooms on upper level with bath. Wooded yard is nearly 3/4 acre &amp; also two heated garages. One for the cars &amp; one for the hobbies or a mancave! Gazebo has electric &amp; ceiling fan</t>
  </si>
  <si>
    <t>Lisa Gudmunson</t>
  </si>
  <si>
    <t>(815) 258-1958</t>
  </si>
  <si>
    <t>Click schedule a showing or call CSS 877-977-1010</t>
  </si>
  <si>
    <t>Dr Martin Luther King Jr</t>
  </si>
  <si>
    <t>East or West on 71st St South to property</t>
  </si>
  <si>
    <t>Beautiful 4 bedroom/3 bath brick bungalow located in Grand Crossing was completely rehabbed and renovated.  The kitchen features stainless steel appliances, granite counter tops, and beautiful mosaic tile.  Open floor plan with a beautiful oak hardwood floors thru out. 3 Spacious bedroom sizes and a huge master suite! The finished basement has tile throughout with wet bar.</t>
  </si>
  <si>
    <t>11X37</t>
  </si>
  <si>
    <t>Nycholle Brown</t>
  </si>
  <si>
    <t>(773) 294-8939</t>
  </si>
  <si>
    <t>Irving Park West of Barrington Rd. to East S to Osage W to home</t>
  </si>
  <si>
    <t>72 X 119</t>
  </si>
  <si>
    <t>Amazing raised ranch w/many updates which include: roof, siding, windows, oak doors &amp; trim, long driveway that fits up to 8 cars, 2.5 car garage. Large fenced backyard w/big deck &amp; gazebo. Beautiful updated kitchen &amp; dining room, hardwood floors. Lower level offers a big family room w/fireplace, wet bar, bedroom, den/office &amp; a 2nd bathroom. Freshly painted!! This home was originally builder home. Gazebo will stay.</t>
  </si>
  <si>
    <t>Den, Utility Room-Lower Level</t>
  </si>
  <si>
    <t>2.5%-$245 (on Net SP)</t>
  </si>
  <si>
    <t>Century 21 Lullo</t>
  </si>
  <si>
    <t>(630) 543-5640</t>
  </si>
  <si>
    <t>Fina Villanueva</t>
  </si>
  <si>
    <t>(630) 546-0761</t>
  </si>
  <si>
    <t>630-546-0761</t>
  </si>
  <si>
    <t>24 hrs notice. Please call Office 630-543-5640</t>
  </si>
  <si>
    <t>**MUST give 24 hours to show, no exceptions.**Garage can be seen inside by special request, only by serious buyers. Exclude fridge and hot tub.</t>
  </si>
  <si>
    <t>Fullerton Ave.{2400 N}to Long, South to Property.{5400 West}</t>
  </si>
  <si>
    <t>Single Family Home with 4 bedrooms, 3 bathrooms and 2 car garage. Great location in front of elementary school. Property is being sold in AS/IS Condition. Due to condition, seller is looking for cash deals. Seller does not provide survey or termite inspection. A Must See!!</t>
  </si>
  <si>
    <t>Use showing assit</t>
  </si>
  <si>
    <t>Download cover sheet and email along with your offer.</t>
  </si>
  <si>
    <t>MOLUF</t>
  </si>
  <si>
    <t>ANNE GLIDDEN TO KNOLLS WEST TO MOLUF</t>
  </si>
  <si>
    <t>76.23X122.40X74.34X122.56</t>
  </si>
  <si>
    <t>Sold Before Print. Move- in Ready, new paint, carpet, stainless steel appliances, master bath with master bath, sep shower and garden tub, gas fireplace in open family room, sun room, full finished basement. Super NICE!</t>
  </si>
  <si>
    <t>Chasewood</t>
  </si>
  <si>
    <t>Randall to Silver Glen west to Thornwood</t>
  </si>
  <si>
    <t>75 X 127</t>
  </si>
  <si>
    <t>Professionally decorated, well maintained home. New hardwood flooring in dining room and bedrooms. New carpet in living room and family room. Kitchen has granite counter tops and large island. Stone fireplace in family room and built in area for TV. Sitting area in master bedroom. Paver brick patio, fenced backyard. Great pool and clubhouse community!</t>
  </si>
  <si>
    <t>3.0%-$100 (on Net SP)</t>
  </si>
  <si>
    <t>Real Estate Services Group</t>
  </si>
  <si>
    <t>(630) 327-4775</t>
  </si>
  <si>
    <t>Thomas Conway</t>
  </si>
  <si>
    <t>Call Kevin at 630-606-2299 or Liz at 630-625-2905 for a showing.</t>
  </si>
  <si>
    <t>Listing agent related to sellers.</t>
  </si>
  <si>
    <t>Gladys</t>
  </si>
  <si>
    <t>Kildare to Gladys (one-way) going West</t>
  </si>
  <si>
    <t>HIDDEN GARFIELD PARK GEM! Gorgeous, vintage all brick 4br/2ba SFH, gut rehab! Red Oak Floors, Spacious Bedrooms w/ New Carpet, All White, Eat-In Chefs Kitchen w/ SS appl, quartz, brkfst bar &amp; under cab lighting and glass tile backsplash. 2 full ba w/ soaking tub, glass shower, dbl vanity. 2nd Fl laundry, Yard w/deck for Parties, Parking pad for 2 cars. All new plumbing, electric, appliances. A Must See!</t>
  </si>
  <si>
    <t>2.5% - $395 (on Net SP)</t>
  </si>
  <si>
    <t>Kristine Menas</t>
  </si>
  <si>
    <t>(312) 698-8596</t>
  </si>
  <si>
    <t>Pls email Kristine.Menas@dreamtown.com with date/time/agent ID</t>
  </si>
  <si>
    <t>MULTIPLE OFFERS - HIGHEST &amp; BEST OFFER DUE MONDAY, 2/2 at 10:00am.</t>
  </si>
  <si>
    <t>FOX RUN</t>
  </si>
  <si>
    <t>ROUTE 25 SOUTH OF STATE STREET (RT. 38) TO FOX RUN DRIVE LEFT TO 708</t>
  </si>
  <si>
    <t>LANGFORD</t>
  </si>
  <si>
    <t>167X79</t>
  </si>
  <si>
    <t>Beautiful Geneva home in desirable Fox Run subdiv.  Sidewalks, street lights, walk distance to Downtown Geneva, Fabyan Forest Prsrv, Island Park &amp; direct connect to Fox River Bike Path.  Open Flr Plan, Hrdwd Flrs, Grnt cntrtps, white trim &amp; kitch cab's, new Crpt, upgrded lights, mudrm w/wshr/dryr.  Oversized windows keep interior light &amp; bright.  Wood deck, big fenced in yrd, unfin bsmnt w/windows above ground level.</t>
  </si>
  <si>
    <t>Disclosures online. E-mail with Multi-Board 6.0 contract to LA &amp; CO-LA, Luke Brown, lukeb@selectafee.com. Call Broker to confirm receipt.</t>
  </si>
  <si>
    <t>93RD TO UNIVERSITY</t>
  </si>
  <si>
    <t>25X148</t>
  </si>
  <si>
    <t>BRICK AND FRAME 1 STORY HOME THAT FEATURES 4 BEDROOMS, 2 BATHS, BASEMENT AND A 2 CAR DETACHED GARAGE. SOLD AS IS. BUYER TO TAKE ON CITY REPAIRS &amp; PUT UP ESCROW IF REQUIRED. NO DISCLOSURES, NO SURVEY OR TERMITE PROVIDED. PRESENT DETAILED PRE-QUAL OR PROOF OF FUNDS WITH OFFER. EM CERTIFIED FUNDS ONLY.</t>
  </si>
  <si>
    <t>PLEASE DO NOT EMAIL OFFERS, FAX OVER ALL OFFERS.</t>
  </si>
  <si>
    <t>BEAUTIFUL NEW CONSTRUCTION HOME.</t>
  </si>
  <si>
    <t>2.5%- $300 (on Net SP)</t>
  </si>
  <si>
    <t>HOMESTEAD</t>
  </si>
  <si>
    <t>ROUTE 34 to MCHUGH south to HERITAGE to ARROWHEAD right; turns into HOMESTEAD.</t>
  </si>
  <si>
    <t>95 X 125</t>
  </si>
  <si>
    <t>FRESHLY PAINTED THROUGHOUT! YORKVILLE BEAUTY! LIVING RM, SEP DINING RM, 1ST FLR DEN OR BEDROOM! GOURMET KITCHEN W/MAPLE CABS, GRANITE, TILE BACKSPLASH &amp; LARGE PANTRY &amp; EATING AREA! FAMILY RM W/VAULTED CEILING &amp; BRICK FP W/GAS LOGS! LARGE MASTER SUITE W/SPA LIKE BATH-WHIRLPOOL TUB, SEP SHOWER &amp; HUGE WALK IN CLOSET! FULL BASEMENT W/ROUGH IN PLUMBING FOR BATHRM! BRICK PAVER PATIO, PROF LANDSCAPING! QUICK CLOSE POSSIBLE</t>
  </si>
  <si>
    <t>Humidifier, TV-Cable, Ceiling Fan, Sump Pump, Radon Mitigation System(s)</t>
  </si>
  <si>
    <t>Michele Leanderson</t>
  </si>
  <si>
    <t>(630) 430-7386</t>
  </si>
  <si>
    <t>PLEASE CALL CSS 877-977-1010.</t>
  </si>
  <si>
    <t>RELOCATION ADDENDUMS.</t>
  </si>
  <si>
    <t>5N730</t>
  </si>
  <si>
    <t>Empire Road to Prairie Valley Drive.  First home on the left.</t>
  </si>
  <si>
    <t>323X149X33X93X236X134</t>
  </si>
  <si>
    <t>Beautiful, Upgraded Home on 1.3 Acre Lot! Nothing to do but move in! Beautiful new kitchen custom 42" Cabinetry, Island w/ BB, Granite Countertops, &amp; SS Appl. Vaulted Family Room Boasts Cozy, Brick Fireplace &amp; Sky Lights allowing for Tons of Natural Light! 4 Spacious Bedrooms w/ Generous Closets. Finished Basement w/ Bar, Rec Room, Workout Area &amp; full bath! Newer Carpet, AC, Furnace, Water Heater, &amp; Fresh Paint!</t>
  </si>
  <si>
    <t>Bar, Bonus, Recreation Room, Sun/Florida Room</t>
  </si>
  <si>
    <t>EASTON</t>
  </si>
  <si>
    <t>31 NORTH TO ABBEYWOOD DR (LEFT) THEN TO EASTON (RIGHT) TO ADDRESS</t>
  </si>
  <si>
    <t>This Gorgeous Red Gate home on a large fenced wooded lot is ready for new owners*Updated Kitchen and Baths(All Appliances Stay!)*The First floor boasts a bright open Floor Plan and views of your Beautiful Lot from every angle*Upstairs you'll find a Comfortable Master Retreat &amp; 3 more Spacious Bedrooms*Finished Basement with 5th Bedroom, Full Bath, Sauna, and 3rd Fireplace*Convenient Dual Staircases*Welcome Home!!</t>
  </si>
  <si>
    <t>Corner, Cul-de-sac, Fenced Yard, Wooded</t>
  </si>
  <si>
    <t>Exercise Room, Game Room, Office, Recreation Room, Storage, Sun/Florida Room Heated, Utility Room-1st Floor</t>
  </si>
  <si>
    <t>Skylight(s), Sauna/Steam Room, Bar-Wet, 1st Floor Bedroom, 1st Floor Laundry, 1st Floor Full Bath</t>
  </si>
  <si>
    <t>Pam Taylor</t>
  </si>
  <si>
    <t>(630) 262-7196</t>
  </si>
  <si>
    <t>cell: 630-715-9954</t>
  </si>
  <si>
    <t>Call LA  630-715-9954</t>
  </si>
  <si>
    <t>Relo Addendums*  Please use 6.0 contract.</t>
  </si>
  <si>
    <t>Addison E or W to Austin S to Cornelia W to home (Cornelia is one way W)</t>
  </si>
  <si>
    <t>BUNGALO</t>
  </si>
  <si>
    <t>4 bedrooms, 2 up 2 main 2 New baths, 1 up 1 main Hardwood Flrs Kitchen granite 42" cabinets Glass Tile Back splash Stainless Appliances 1st flr family room sliding doors to 5 YEAR NEW Deck. Full partially finished basement Recreation Play room  All New copper plumbing, New electric All new upstairs New doors  Extra Wide lot = wide rooms New concrete parking slab + B'Ball Ct Move-in ready Garage to begin Construction</t>
  </si>
  <si>
    <t>36X15</t>
  </si>
  <si>
    <t>Call Text 312 342 9333</t>
  </si>
  <si>
    <t>Beautiful Home! Deal fell through due to buyer issues.</t>
  </si>
  <si>
    <t>107TH TO LAFAYETTE NORTH TO ADDRESS 1 WAY NORTH</t>
  </si>
  <si>
    <t>PROPERTY LISTED UNINSURED. FOUNDATION, HVAC, WATER HEATER, ELECTRIC, PLUMBING, AND BATHROOM REPAIRS NEEDED. POSSIBLE MOLD PRESENT. THIS IS A BUYER SELECT PROPERTY.  Equal Housing Opportuity.  Property sold in as is condition. Visit www hudhomestore com Case# 137-359851</t>
  </si>
  <si>
    <t>GMC Capital Realty, LLC</t>
  </si>
  <si>
    <t>(312) 884-7630</t>
  </si>
  <si>
    <t>Gerald McQuirter</t>
  </si>
  <si>
    <t>JACOB</t>
  </si>
  <si>
    <t>ROUTE 30 TO PRESCOTT SOUTH TO HEATHER WEST TO JACOB</t>
  </si>
  <si>
    <t>Over $60,000 in recent upgrades! Freshly painted, new carpet upstairs, hardwood on main level. 4 BR-2.5 BA-formal living &amp; dining rooms- large size family room for entertaining- Brand new kitchen including 42 inch cabinets and thick granite counters. All brand new stainless appliances! Great deck and fenced yard a plus! One block to elementary school &amp; only minutes to the park &amp; ride! Not a SS or FC, normal sale!</t>
  </si>
  <si>
    <t>Gallery, Utility Room-2nd Floor</t>
  </si>
  <si>
    <t>3% - $125 (on Gross SP)</t>
  </si>
  <si>
    <t>All Realty Group, Inc</t>
  </si>
  <si>
    <t>(847) 757-8888</t>
  </si>
  <si>
    <t>Ashley Lebovic</t>
  </si>
  <si>
    <t>disclosures under additional info</t>
  </si>
  <si>
    <t>Vacant and very simple to show! Please text or call Ken at 847-337-7277. pls text for fastest respon</t>
  </si>
  <si>
    <t>North Shore Holdings</t>
  </si>
  <si>
    <t>Fantastic, totally remodeled newer home! Better than when it was built new!  Please email your offer to:  Ken@NorthShoreHoldingsLTD.com or fax to 773-305-2788.  Bring a contract, your clients will love this home!</t>
  </si>
  <si>
    <t>MOZART</t>
  </si>
  <si>
    <t>IRVING WEST, MOZART NORTH TO PROPERTY</t>
  </si>
  <si>
    <t>IMPECCABLY FINISHED ALL-BRK HOME IN HOT HORNER PARK/R'WOOD MANOR;PROF-GRADE KIT W/CUSTOM CHERRY CABS,SS APP/GRNT EAT-IN ISLD KIT W/HUGE FAM RM;CUSTOM SPACALIBER STONE BTHS;O'SZD SHWR W/RAIN FOREST &amp; SEP WHRLP TUB &amp; DBL BWL VNTY IN MSTR;WBFP IN LR;O'SZED CRWN MOLDING;TONS CF PROF ORG CLOSETS 9'CLNGS IN LL W/MASSIVE BDRM &amp; FAMILY/MEDIA RM W/WET BAR,ENTIRE HOUSE PREWIRED FOR SOUND.</t>
  </si>
  <si>
    <t>D Waveland Kendt</t>
  </si>
  <si>
    <t>(312) 330-3321</t>
  </si>
  <si>
    <t>Email DWKAssist@atproperties.com with agent ID</t>
  </si>
  <si>
    <t>Charleston</t>
  </si>
  <si>
    <t>I-90 take the Western Exit (47A); SOUTH on Western; EAST on Charleston.Corner of Charleston/Oakley</t>
  </si>
  <si>
    <t>Stunning contemporary gut rehab in Bucktown. Perfect floor plan w/ 3 beds up incl. massive master suite. Main level open plan opens to large prvt front yard &amp; features a chefâ€™s kitchen w/ custm flat panel cabinetry &amp; Miele Appliances. Lwr lvl is finished w/ family room &amp; guest bedroom suite. The home also boasts an attached 2 car garage w/ roofdeck. Located a short block from Holstien Park, 1 of Chicagoâ€™s best</t>
  </si>
  <si>
    <t>Block</t>
  </si>
  <si>
    <t>Robert Sikkel</t>
  </si>
  <si>
    <t>(312) 550-5553</t>
  </si>
  <si>
    <t>Text Rob at 312-550-5553</t>
  </si>
  <si>
    <t>Halsted to 46th, East to Union, North to Property</t>
  </si>
  <si>
    <t>Good potential in this large and deep, frame house. 4 bedrooms on the main floor with more room in the attic. House needs significant work and is sold "as is". Cash offers only please with proof of funds. Corporate owned--receive timely responses to offers and inquiries. Not a short sale or foreclosure.</t>
  </si>
  <si>
    <t>Spartan Residential</t>
  </si>
  <si>
    <t>(773) 850-0876</t>
  </si>
  <si>
    <t>Eric Strung</t>
  </si>
  <si>
    <t>(773) 218-0876</t>
  </si>
  <si>
    <t>Click Showing Assist for combo.</t>
  </si>
  <si>
    <t>Bring flashlight. Show anytime on lock box. Call/email Eric with questions.</t>
  </si>
  <si>
    <t>From the East-Take Addison West to Long go North.  From the west-Take Addison East to Long go North.</t>
  </si>
  <si>
    <t>129 X 30</t>
  </si>
  <si>
    <t>Another gem by Midwest Real Estate Solutions. This is a beautiful gut rehab in Portage Park with 4 beds and 3.1 baths. Master suite with walk in closet, and beautifully finished luxury bathroom. Open concept main level w amazing chef's kitchen, living, dining &amp; family room. Finished basement, 4th bed and full bath. Designer finishes and attention to detail throughout with walk out deck on main level!</t>
  </si>
  <si>
    <t>Email preferred joeyt@atproperties.com</t>
  </si>
  <si>
    <t>Cat 5 wired throughout!  No detail spared in this beautiful rehab-priced to sell!</t>
  </si>
  <si>
    <t>Rt 34 to West St. North to home</t>
  </si>
  <si>
    <t>75X153</t>
  </si>
  <si>
    <t>ADORABLE RANCH HOME ON OVERSIZED LOT IN A MATURE NEIGHBORHOOD~OPEN FLOOR PLAN WITH EAT IN KITCHEN~APPLIANCES STAY~SLIDING DOORS LEADING TO A SPACIOUS PATIO AND BEAUTIFULLY LANDSCAPED AND FENCED BACK YARD~GARDEN SHED WITH ELECTRIC~NEW FURNACE 2011~2 NEW SUMP PUMPS 2013~3 BED,2 BATH WITH POTENTIAL EXTRA BEDROOM/OFFICE IN THE BASEMENT~BASEMENT PLUMBED FOR A BATHROOM~CONCRETE DRIVEWAY~DON'T MISS THIS ONE!</t>
  </si>
  <si>
    <t>Tara Kunkel, CNC</t>
  </si>
  <si>
    <t>(815) 482-0847</t>
  </si>
  <si>
    <t>PLEASE CALL CSS 877-977-1010</t>
  </si>
  <si>
    <t>Difficult work schedules for sellers, if possible showings on Friday, Saturday, or Sunday. If during the week seller wife may be home working. Additional pin# 01-22-307-033</t>
  </si>
  <si>
    <t>MONTROSE WEST OF AUSTIN TO MELVINA NORTH</t>
  </si>
  <si>
    <t>4062 SQFT</t>
  </si>
  <si>
    <t>Charming bungalow features hardwood floors, eat-in kitchen, full basement, tons of storage, nice yard! AS IS. Information not guaranteed. No survey. EM must be CERTIFIED funds.</t>
  </si>
  <si>
    <t>Seller requires that potential buyers execute the attached disclosure (Notice and Acknowledgement) and submit with their offer in order to be considered. Email offer, form in additional info, proof of funds/prequal to patti@pattifurman.com.</t>
  </si>
  <si>
    <t>COTTAGE GROVE TO BOWEN</t>
  </si>
  <si>
    <t>17X105</t>
  </si>
  <si>
    <t>SOLD by Hasani prior to 2015 Spring Market Upturn. SC Integrity Series;Stunning Remodel w/Full Plans &amp; Permits 100% Gut. Open Layout,Stunning Trim/Molding w/Lighted Tray Ceil &amp; Designer Crystal Lighting Thruout. Stainless Gourmet Kit Feat: State-of-The-Art Appliances,Granite Back-splash w/Breakfast Bar Island. Lux Master w/Sconces &amp; Marble Spa. Lavishly Entertain in XLRG Rec Rm, New 2Car Gar. UPDATE: NO YARD, ROW HM</t>
  </si>
  <si>
    <t>12X25</t>
  </si>
  <si>
    <t>Use showing assist only. 24 Hours Notice Required</t>
  </si>
  <si>
    <t>SOLD Prior2Upturn! "Market Maker" Hasani Steele. Embracing All RE "N-S-E-W".  SC Integrity; Brand of Innovative Quality that sells 4more -Consulting frm Vision, Concept, Architectural FP, Construction, Finish, Delivery, Pre-Sales/Marketing!</t>
  </si>
  <si>
    <t>Kedzie to 72nd pl.  West to property</t>
  </si>
  <si>
    <t>Brick cape cod single family in Chicago Lawn awaiting a new owner.  Large cape cod has 4 bedrooms, 2 bathrooms. full basement and a 2 car detached garage.  Property is close to schools and public transportation. ***VERBALLY ACCEPTED***</t>
  </si>
  <si>
    <t>Use showing assist... H&amp;B DEADLINE 02/27/2015 @ 5:00 PM</t>
  </si>
  <si>
    <t>EM IN CERT FUNDS."AS IS"-NO REPAIRS/BCC.PURCHASE IS SBJT TO HUD GUIDELINES 24CFR 206.125 Min dep on cash offers to be 10% or $1000 min;which is greater.Fincd offers to be 1% or $1,000 min, whichever is greater.OFFERS: micasaassist@gmail.com</t>
  </si>
  <si>
    <t>Kathleen</t>
  </si>
  <si>
    <t>Rt 72 to Tyrell to Pierce to Kathleen to property</t>
  </si>
  <si>
    <t>DUNHILL ESTATES</t>
  </si>
  <si>
    <t>29,621 SF</t>
  </si>
  <si>
    <t>Rehabbed 4BR/2BA split level in Dunhill Estates. New appliances, furnace, HWH, W/D, condenser. WBFP in FR, large storage area off LL 4th BR. Relaxing pastoral setting on nearly Â¾ acre lot with backyard bounded by wooden privacy fence. 2-level deck perfect for entertaining. Separate outbuilding for riding mower and gardening tools alongside inner gated backyard. Sold as-is.</t>
  </si>
  <si>
    <t>Cihla Realty LLC</t>
  </si>
  <si>
    <t>(773) 590-4753</t>
  </si>
  <si>
    <t>David Cihla</t>
  </si>
  <si>
    <t>All offers must include the sales addendum attached with this listing.</t>
  </si>
  <si>
    <t>Archer to Nordica north to 54 west to Nottingham south to 5438</t>
  </si>
  <si>
    <t>30X131</t>
  </si>
  <si>
    <t>Large oversized Brick Ranch (1200+ sq ft) in convenient Garfield Ridge location. 3 bedrooms with 1 1/2 baths on the main floor. Replacement windows throughout! Hardwood floors under the carpet. Huge basement with incredible potential...currently possible 4th bedroom and storage room. Large yard with concrete patio. 2 car Garage! Just steps to Archer and near I55. Taxes no exemptions. HWA 13 month warranty included.</t>
  </si>
  <si>
    <t>call css 877-977-1010</t>
  </si>
  <si>
    <t>Earnest money to be certified funds only made out to Century 21 Affiliated.</t>
  </si>
  <si>
    <t>Dillion</t>
  </si>
  <si>
    <t>RANDALL 2 BIG TIMBER W 2 SUMMIT RT 2 DILLION CT LEFT</t>
  </si>
  <si>
    <t>BEAUTIFUL HOME IN PRIME LOCATION ON CUL-DA-SAC,BACKING TO   PICTURESQUE WOODED PRESERVE AND POND ,BRICK PAVER PATIO W/FIRE PIT.MANY UPGRADES ! IN LAST 4 YEARS OVER $ 60 K SPENT ON IMPROVEMENTS : HARDWOOD FLOORS THROUGHOUT , KITCHEN APPLIANCES , GRANITE COUNTERTOP,,FURNACE,WATER HEATER,AIR-CONDITIONER,2 SUM PUMPS,WASHER,DRIER,CENTRAL VACUUM CLEANER AND MORE. KITCHEN-42 IN CHERRY CABINETS AND ISLAND , CROWN MOLDING</t>
  </si>
  <si>
    <t>2.5 %-275 (on Net SP)</t>
  </si>
  <si>
    <t>Bozenna Klimovich, GRI</t>
  </si>
  <si>
    <t>(847) 401-3861</t>
  </si>
  <si>
    <t>Call Listing agent</t>
  </si>
  <si>
    <t>STORAGE UNITS IN THE GARAGE AND BASEMENT ARE EXCLUDED</t>
  </si>
  <si>
    <t>6N580</t>
  </si>
  <si>
    <t>RANDALL/SILVER GLEN/ W2 BURR/ S2 MALLARD LAKE/W2HERITAGE</t>
  </si>
  <si>
    <t>153X210X220X146X254</t>
  </si>
  <si>
    <t>LOVELY CUSTOM HOME ON 1.25 ACRES LOCATED ON A CUL-DE-SAC BACKING TO TREES! FRESHLY PAINTED THROUGHOUT WITH NEW CARPET, GLEAMING HARDWOOD FLOORS! LARGE KITCHEN FEATURES STAINLESS APPLIANCES, GRANITE COUNTERS, AND MAPLE CABINETS! 4-CAR GARAGE, PARTIALLY FINISHED WALK-OUT BASEMENT, 5 BEDROOMS AND 3 1/2 BATHS! ENERGY EFFICIENT CONSTRUCTION. ENJOY THE VERY PRIVATE SETTING FROM THE LARGE DECK OR THE FRONT PORCH.</t>
  </si>
  <si>
    <t>SOLD AS-IS.TAX PRORATION 100% OF LAST TAX BILL. SELLER DOES NOT PROVIDE SURVEY/NO DISCLOSURES. QUICK CLOSE POSSIBLE, FAST RESPONSE.</t>
  </si>
  <si>
    <t>Plank Rd west to Center to South Right on Valley Way</t>
  </si>
  <si>
    <t>Burlington Meadows</t>
  </si>
  <si>
    <t>116X302X114X286</t>
  </si>
  <si>
    <t>Fabulous 4 Bedroom 3 full bath home in the heart of Burlington! Warm hardwood throughout the main level, kitchen with oak cabinetry and stainless applainces, corain countertops, breakfast bar - Bonus room above garage with office knook - Treyed ceilings, huge Master suite with luxury bath, extensive Oak trim throughout - full deep pour english basement all on 3/4 of an acre - paver patio, across from pond- gorgeous!</t>
  </si>
  <si>
    <t>Eating Area, Foyer, Sitting Room</t>
  </si>
  <si>
    <t>NEI Relocation</t>
  </si>
  <si>
    <t>re-lo addendums will be provided for offer</t>
  </si>
  <si>
    <t>Kirk Rd to Tyler to Madison to Lexington to Cranbrook to Liberty Av, Rt to home</t>
  </si>
  <si>
    <t>51X72X51X102X67</t>
  </si>
  <si>
    <t>Very sharp 4 bedroom Cambridge Colonial across from 5 acre park. Located on cul-de-sac and walking distance to school and historic downtown St Charles. Formal living and dining room with hardwood floors. Family room flows into sunny kitchen with eat-in area and accesses to brick patio with fenced in back yard. Large finished basement. A MUST SEE!</t>
  </si>
  <si>
    <t>Jim Bechtold</t>
  </si>
  <si>
    <t>(847) 226-6645</t>
  </si>
  <si>
    <t>Call 855-746-9100 for appointment. Must confirm.</t>
  </si>
  <si>
    <t>Sue Caddy</t>
  </si>
  <si>
    <t>Please use the Multi-board 6.0 contract.</t>
  </si>
  <si>
    <t>Milwaukee Ave (S of Lawrence) to Giddings, West to Home</t>
  </si>
  <si>
    <t>25X125X25X125</t>
  </si>
  <si>
    <t>Newer brick &amp; stone home with spacious floor plans, features gourmet kitchen with island, GBFP, dining area &amp; wet bar. Upper level has 3 bedrms, master w/ GBFP, vaulted ceilings, MB w/whirlpool &amp; walk-in shower. Lower level consists of a huge family room, wet bar, generous bath, large bedroom &amp; laundry. Private bricked patio &amp; 2 car garage. Finishes include Brazilian cherry flooring, beautiful wood trim &amp; more.</t>
  </si>
  <si>
    <t>L &amp; B All Star Realty Advisors LLC</t>
  </si>
  <si>
    <t>(312) 925-0900</t>
  </si>
  <si>
    <t>Randall Ferino</t>
  </si>
  <si>
    <t>(773) 230-1031</t>
  </si>
  <si>
    <t>24 Hrs notice</t>
  </si>
  <si>
    <t>BLACK WALNUT</t>
  </si>
  <si>
    <t>ROUTE 47 TO BLISS ROAD, E ON DENNY, RT ON BLACK WALNUT DRIVE TO HOME.</t>
  </si>
  <si>
    <t>100X206</t>
  </si>
  <si>
    <t>An exquisite display of soaring ceilings, grand spaces, &amp; pristine care invites this resort-like quality. Nearly 4000 sqft~Brakur cabinets~stainless~granite~hardwood~oversized island &amp; mud room~custom niches~finished basement w/wet bar~meticulous 4 CAR garage w/double service door.  Exterior delivers complete serenity w/ pavers, water feature, built-in grill+fridge, pergola, &amp; 1/2 acre of wooded paradise. ~Divine~</t>
  </si>
  <si>
    <t>Humidifier, Water-Softener Owned, Sump Pump, Sprinkler-Lawn</t>
  </si>
  <si>
    <t>Bar, Game Room, Great Room</t>
  </si>
  <si>
    <t>Brick Paver Patio, Grill-Outdoors</t>
  </si>
  <si>
    <t>Earnest held by sellers attorney</t>
  </si>
  <si>
    <t>2 hr notice requested.  Call or text Sarah to confirm time at 630.202.3531</t>
  </si>
  <si>
    <t>STUNNING! STUNNING! STUNNING!</t>
  </si>
  <si>
    <t>115th St. to St. Louis south to 115th Place East to Address</t>
  </si>
  <si>
    <t>Incredible home on a DOUBLE LOT! In sought after Mt. Greenwood.Hme is compltly remodeled w/white trim and paneled drs all bths/kitchen/bsmnt remdled. 3season rm off the kitchen with 221 sf deck,Grnit cnters 42" cabs &amp; pntry, 1st flr bdrm,HW flrs.2nd flr has 10 ft ceilgs w/huge master with tray ceilings, msterbath, large WIC. Large 2nd/3rd bdrms. finishd bsmnt.2nd lot can be lrg yard. firewall for protectn. Must see!</t>
  </si>
  <si>
    <t>CASSELL ELEMENTARY SCHOOL</t>
  </si>
  <si>
    <t>CHICAGO SENIOR HIGH SCHOOL FOR AGRICULT SCIENCES</t>
  </si>
  <si>
    <t>Deck, Eating Area, Enclosed Porch, Recreation Room, Utility Room-Lower Level, Walk In Closet</t>
  </si>
  <si>
    <t>Skylight(s), Hardwood Floors, Wood Laminate Floors, 1st Floor Bedroom</t>
  </si>
  <si>
    <t>Deck, Porch, Pool Above Ground, Storms/Screens</t>
  </si>
  <si>
    <t>2.5% - $350 (on Gross SP)</t>
  </si>
  <si>
    <t>Joanne Masters</t>
  </si>
  <si>
    <t>(847) 997-3556</t>
  </si>
  <si>
    <t>Contact listing office to register for showing easy to show</t>
  </si>
  <si>
    <t>owner of Record</t>
  </si>
  <si>
    <t>CANCELLED OPEN HOUSE</t>
  </si>
  <si>
    <t>Veterans Pkwy (34) to Tuma, R On Dakota, L on Heartland=Homestead, L on Omaha, L on Clearwater</t>
  </si>
  <si>
    <t>HEARTLAND CIRCLE</t>
  </si>
  <si>
    <t>93X130X93X131</t>
  </si>
  <si>
    <t>Charming Ranch w/Spacious Floor Plan Opening to Private Backyard &amp; Covered Porch. Gourmet Kitchen w/Granite Counters Open to Vaulted Family Room &amp; Dinette. Master Suite w/Vaulted Ceilings &amp; Spa Bath w/Separate Shower- Soaking Tub- Travertine Double Sink &amp; Large Walk-In-Closet. 2nd Master Suite in English Lower Level w/Oversized Bath &amp; WIC. LL Also Features Bar, Game Area &amp; Oversized Family Room. Fenced Back Yard! A++</t>
  </si>
  <si>
    <t>Bar, Deck, Foyer, Game Room, Great Room, Study, Walk In Closet</t>
  </si>
  <si>
    <t>Jonathan Nutt, SFR</t>
  </si>
  <si>
    <t>(630) 417-9069</t>
  </si>
  <si>
    <t>Call Centralized Showing Services (CSS) to Schedule- 1-877-977-1010</t>
  </si>
  <si>
    <t>Great Ranch Home with Neutral Decor, Open Floor Plan &amp; Expansive Master Suite.  Second Master Suite in LL and Great Room/Bar.  Master is on separate Side of House than Other 2-1st Fl Bedrooms. Great Private Back Yard W/Covered Porch- Relax!</t>
  </si>
  <si>
    <t>Stony Island N to 79th E to Luella 2 blks to property</t>
  </si>
  <si>
    <t>FORECLOSED PROPERTY AWAITING NEW OWNERS PROPERTY IS IN NEED OF REPAIRS AND UPDATING THROUGHOUT, BUT HAS GREAT POTENTIAL BRING YOUR APPROVED BUYERS. SELLERS WILL ENTERTAIN CASH OR CONVENTIONAL LOANS ONLY.</t>
  </si>
  <si>
    <t>SOLD AS IS/EMAIL ALL OFFERS TO: PEPREMIERBPOS@GMAIL.COM/SELLER FORMS UNDER ADDITIONAL INFO/TAXES PRORATED AT 100%/SELLER WILL NOT ENTERTAIN ANY CONTINGENCIES</t>
  </si>
  <si>
    <t>Augusta</t>
  </si>
  <si>
    <t>Cicero Ave To Ausgusta W to Property</t>
  </si>
  <si>
    <t>Very nice and cozy completely rehabbed 3 years ago house for sale. High quality work. Excellent condition! Super clean! Features large living room, eating island in kitchen, hardwood floors, full finished basement, nice back yard and a 2 car garage.  Close to parks, stores and public transportation.</t>
  </si>
  <si>
    <t>Raquel Mendez</t>
  </si>
  <si>
    <t>(773) 454-5138</t>
  </si>
  <si>
    <t>Text Listing Agent at (773) 454-5138</t>
  </si>
  <si>
    <t>It was Appraised in January 2015 for more than $100,000.</t>
  </si>
  <si>
    <t>BARRY TO HONORE, HONORE TO NELSON. ONE WAY TO 1832</t>
  </si>
  <si>
    <t>Completely re-designed SFH on quiet one-way street in hot West Lakeview! Stunning custom millwork-tray ceils, wainscoting, crown molding. Enormous master w/two walk-in clsts, natural stone bath w/2 vanities &amp; dressing table, jetted tub,steam shower. Expansive gourmet eat-in kitch &amp; huge family room. 11' ceils in lower level, 2-tiered back deck w/pergola, lighting,speakers. Heated gar. Not your cookie cutter home!</t>
  </si>
  <si>
    <t>19X4</t>
  </si>
  <si>
    <t>Oven-Double, Microwave, Dishwasher, High End Refrigerator, Freezer, Washer, Dryer, Disposal, All Stainless Steel Kitchen Appliances</t>
  </si>
  <si>
    <t>Breakfast Room, Deck, Recreation Room, Storage</t>
  </si>
  <si>
    <t>2.5%- $325 (on Net SP)</t>
  </si>
  <si>
    <t>Owner's have completed an elegant re-design of the home.  Beautiful! Dining room &amp; banquette chandeliers excluded.</t>
  </si>
  <si>
    <t>whipple , just north of addison</t>
  </si>
  <si>
    <t>39X124</t>
  </si>
  <si>
    <t>Gorgeous bungalow!Lots of living space.Extra wide lot with side drive. Rehabbed w/ large new addition!Stunning new kitchen w/white wood cabs, granite counters, S.S. appliances,wine fridge. Breakfast nook&amp; sunroom off kitchen open out to large deck&amp;yard. New master bed up has gorgeous bath,WIC.Walnut stained Hd flrs , fresh paint, new lighting, etc. Low.lev. has beautiful laundry.Bonus rm. could be 5th bd. add'l info!</t>
  </si>
  <si>
    <t>Gas, Forced Air, Radiators, 2+ Sep Heating Systems, Indv Controls, Zoned</t>
  </si>
  <si>
    <t>Oven/Range, Dishwasher, Refrigerator, Washer, Dryer, Disposal, All Stainless Steel Kitchen Appliances, Wine Cooler/Refrigerator</t>
  </si>
  <si>
    <t>Bonus, Sun/Florida Room, Walk In Closet, Other</t>
  </si>
  <si>
    <t>Dumas &amp; Associates, Inc.</t>
  </si>
  <si>
    <t>(773) 278-8778</t>
  </si>
  <si>
    <t>Nikki Dumas-Acerra</t>
  </si>
  <si>
    <t>(773) 592-3015</t>
  </si>
  <si>
    <t>rena trapani 224-456-9127</t>
  </si>
  <si>
    <t>LA to accompany, short notice ok,24 hour preferred</t>
  </si>
  <si>
    <t>gorgeous bungalow w/ new addition,just entirely rehabbed. Owner has job transfer.side drive and large lot! * Owner has accepted an offer.**</t>
  </si>
  <si>
    <t>YATES NORTH OR SOUTH TO 8518</t>
  </si>
  <si>
    <t>Oversized Cape Cod on prof. landscaped lot. 4 Lg bedrooms. Professionally rehabbed w/ all the bells &amp; whistles. New 2 car garage. New windows &amp; glass block bsmt windows. Tray ceiling in L.R. Large eat-in kitchen w/ large dining area. Newly shingled roof on house &amp; garage. Elegant massage panel shower in bsmt bath. New whirlpool tub in 1st fl bath. New furnace &amp; central air. Beautiful refin hdwd floors. 3 full baths.</t>
  </si>
  <si>
    <t>Tennis Courts, Sidewalks</t>
  </si>
  <si>
    <t>New construction, ready NOW!  Only 61 single family home sites available. The Clover model has 2330 sf of living space, 4 bedrooms plus a loft, &amp; 2.5 baths! Second floor laundry. Master bedroom feature a large WIC with additional closet and private bathroom. Home includes full basement, hardwood floors, birch cabinets and Stainless kitchen appliances.  Photos are of model home that shows upgrades &amp; options.</t>
  </si>
  <si>
    <t>847-717-4270</t>
  </si>
  <si>
    <t>61st TO ELLIS SOUTH</t>
  </si>
  <si>
    <t>BEAUTIFULLY REHABBED 4 BDRM, 3,5 BATH HOME, OPEN FLOOR PLAN,CONTEMPORARY KITCHEN, QUARTZ COUNTER TOPS FULL HARDWOOD FLOORS, FINISHED LOWER LEVEL WITH FULL BATH AND ADDITIONAL BEDROOM,UNIVERSITY OF CHICAGO, HOSPITAL MINUTES AWAY, SHOWS GREAT</t>
  </si>
  <si>
    <t>PLEASE TEXT OR CALL JOANNA 847-312-8005 OR EMAIL JOLSZYNSKA@JAMESONSIR.COM</t>
  </si>
  <si>
    <t>$2000 bonus to selling agent.</t>
  </si>
  <si>
    <t>Rte 38 W &amp; N on 1st St. &amp; W on Forsythe</t>
  </si>
  <si>
    <t>125X148X120X153</t>
  </si>
  <si>
    <t>This house is AMAZING! Over $50K in upgrades during the last 4 years inc. new hickory wide plank floors in MBR, LR, FR, Office, etc. Refinished oak in other bedrooms. Spanish Porcelain tile in foyer, kitchen &amp; eating area. Brand new bathrooms. Stainless high end appliances &amp; granite counters in Kitchen. Tons of landscaping, new fence, patio, stone on porch, etc. Recreation  room has elect heat and a/c. Fabulous home</t>
  </si>
  <si>
    <t>Eating Area, Foyer, Office, Recreation Room</t>
  </si>
  <si>
    <t>Tons of love and money put into this home.  Hot Tub stays (but as-is condition). Pool table does not stay! Please use 6.0 Contract.</t>
  </si>
  <si>
    <t>HARLEM SOUTH OF TOUHY TO Coyle, WEST TO 7228</t>
  </si>
  <si>
    <t>ESTATE SALE! HUGE 4 BEDROOM HOME ON OVERSIZED LOT IN EDISON PARK.  HOME HAS RECENT UPDATES; NEWER SIDING, SOFFITS, FASCIA, GUTTERS; NEW 2 CAR GARAGE W/ OPENERS; UPDATED 1ST FLOOR BATH w/ NEW COPPER PIPES; NEWER ELECTRICAL &amp; DUCT WORK on 1st fl. UPDATED GAS FRCD HEAT/ AIR. TONS OF STORAGE SPACE.  NEEDS SOME COSMETIC WORK &amp; 2nd FL UPDATES.  2 BLOCKS TO BROOKS &amp; PIONEER PARK - MINUTES TO METRA, DOWNTOWN EDISON PARK!!</t>
  </si>
  <si>
    <t>Deck, Storage, Sun/Florida Room, Utility Room-Lower Level</t>
  </si>
  <si>
    <t>2.5%-350 (on Net SP)</t>
  </si>
  <si>
    <t>Ashley Fuhr</t>
  </si>
  <si>
    <t>(312) 715-8244</t>
  </si>
  <si>
    <t>PLEASE USE SHOWING ASSIST - AGENT MUST MEET 24 HOURS NOTICE APPRECIATED</t>
  </si>
  <si>
    <t>home needs updating on 2nd floor including running existing heat ducts to 1 bedroom and bath.  Please ensure that your clients are willing to do more than just cosmetic work.  For all questions please contact Ashley</t>
  </si>
  <si>
    <t>Grand Ave to Nordica then north to property</t>
  </si>
  <si>
    <t>50 X 213</t>
  </si>
  <si>
    <t>HUGE lot with a Chicago brick bungalow that needs some love!  The whole family can live here with the in-law apartment upstairs!  Same owners for 30 years.  Original hardwood floors, doors and trim.  Side driveway leading to the spacious yard.  Put your handyman skills to work and update this gem.  Brand new furnace. New carpeting on the second floor.  Sold AS IS.</t>
  </si>
  <si>
    <t>Nikki Criel</t>
  </si>
  <si>
    <t>(773) 544-1970</t>
  </si>
  <si>
    <t>kitchen and bathrooms need updating, sold AS IS    ****ANY AND ALL OFFERS DUE BY FRIDAY THE 13TH AT 1PM****</t>
  </si>
  <si>
    <t>ROUTE 34 WEST, LEFT ON BEN, RIGHT ON DEARBORN, LEFT ON COOK</t>
  </si>
  <si>
    <t>32X143X85X161</t>
  </si>
  <si>
    <t>Great opportunity as an investment or starter home! This ranch home features an open floor plan with 4 bedrooms, 2 baths and a finished basement. A lot of possibilities at this price!  Could be a perfect starter home with room to expand or a great investment! Cash or renovation financing required.  This is a Fannie Mae Homepath property.</t>
  </si>
  <si>
    <t>***OFFER ACCEPTED - PAPERWORK PENDING***Use Showing Assist</t>
  </si>
  <si>
    <t>Pittsburgh</t>
  </si>
  <si>
    <t>CUMBERLAND TO FOREST PRESERVE, EAST TO PITTSBURGH, SOUTH TO 3224.</t>
  </si>
  <si>
    <t>DUNNING COURTES</t>
  </si>
  <si>
    <t>Move in ready Chicago Georgian on tree-lined street. The house has 3 bedrooms w/ hardwood floors throughout, large addition w/ bathroom/shower. New kitchen 2007, new rear deck 2012 new, gut-rehabbed upstairs bathroom w/ heated floor 2013, new HVAC/water heater 2013. Wider than standard Chicago lot, 2-car garage w/space for 3rd car. Basement is partially finished &amp; ready for interior walls to suite your configuration.</t>
  </si>
  <si>
    <t>Sewer-Storm, Overhead Sewers</t>
  </si>
  <si>
    <t>312-208-2302</t>
  </si>
  <si>
    <t>Call owner directly for an appointment @ 312-208-2302 and ask for Chris Hann.</t>
  </si>
  <si>
    <t>Christopher &amp; Bernadeta Hann</t>
  </si>
  <si>
    <t>Call owner directly for an appointment @ 312-208-2302 and ask for Chris Hann.  Fax or email offers to listing agent. Listing company does not hold earnest money.</t>
  </si>
  <si>
    <t>On Nagle South of Gunnison St.</t>
  </si>
  <si>
    <t>41 X 122</t>
  </si>
  <si>
    <t>Quality in this rehabbed home, New windows allowing natural light to shine in on the new oak floors through out the first floor, Gourmet kitchen with SS Appliances, solid wood Cabinets with under cabinet lighting, granite tops and SS farm sink. First floor bed, custom bath, Open floor plan through out. Hardwood open staircase with wrought iron spindles.  High ceilings in the 2 upstairs beds that share a luxury  bath</t>
  </si>
  <si>
    <t>Vaulted/Cathedral Ceilings, Hardwood Floors, Wood Laminate Floors, 1st Floor Bedroom, 1st Floor Full Bath</t>
  </si>
  <si>
    <t>John Campobasso</t>
  </si>
  <si>
    <t>(847) 241-2217</t>
  </si>
  <si>
    <t>By Appointment please use showing assist</t>
  </si>
  <si>
    <t>The highest quality rehab in the neighborhood. Your Clients will be glad you took them through this one! Please send all offers to co-lister Ray Beyer Jr. -  raybeyerhomes@gmail.com Call co-lister with any questions.847-749-2741 cell</t>
  </si>
  <si>
    <t>Only 3 New Construction homes left at the private enclave of Edgebrook Glen.  The Hickory Plus Model features 3-4 bedrooms and 3 1/2 baths. The bright, open layout makes this home great for entertaining. Attached 2-car garage, massive deck off of the kitchen, and tons of storage.  Don't miss out on this hidden Treasure.</t>
  </si>
  <si>
    <t>Email ohgshowings@dreamtown.com with 24 hrs notice.</t>
  </si>
  <si>
    <t>Email ohgcontracts@dreamtown.com</t>
  </si>
  <si>
    <t>COMSTOCK</t>
  </si>
  <si>
    <t>RT 20(W OF RANDALL)2 NESLER S, 2 SOUTH ST, E 2 SHADOW HILL, S 2 COMSTOCK, W 2 303 COMSTOCK</t>
  </si>
  <si>
    <t>85X125</t>
  </si>
  <si>
    <t>Former 4 BR model home has tile floors in Kitchen, foyer, Ldry &amp; baths! Recessed lighting/built in speakers throughout. Den w/custom built ins. Kitchen w/Corian countertops, island, pantry closet &amp; breakfast area.  FP in Fam Rm. Elegant living/dining combo. Loft has built in bookcases. Master has vaulted ceiling &amp; spa-like bath. Brick paver patio, fenced yard, sprinkler system, hot tub is negotiable. 301 Schools! WOW</t>
  </si>
  <si>
    <t>Concrete, Other</t>
  </si>
  <si>
    <t>Vaulted/Cathedral Ceilings, Hot Tub, 1st Floor Laundry</t>
  </si>
  <si>
    <t>Patio, Porch, Hot Tub, Brick Paver Patio, Storms/Screens</t>
  </si>
  <si>
    <t>call 855-919-0200-must confirm. Alarm system</t>
  </si>
  <si>
    <t>easy to show and sell!  former model- great fenced back yard with gorgeous patio, sprinkler system, passive radon, built ins, whole house wired for speakers, full front porch elevation, wow</t>
  </si>
  <si>
    <t>ROUTE 71 W. OF PLAINFIELD RD. TO ARBOR GATE SUBDIVISION - ENTER ON PARADISE PARKWAY</t>
  </si>
  <si>
    <t>75 X 162.97 X 61.97 X 161.23</t>
  </si>
  <si>
    <t>Larger than it looks! Spacious Hyacinth model in Arbor Gate of Oswego! This home features 4 bedrooms, 2.1 baths, a full basement, fresh paint, new carpeting and over 2,000 square feet of living space! All this plus great 308 schools too! This is a Fannie Mae Homepath property.</t>
  </si>
  <si>
    <t>**OFFER ACCEPTED - PAPERWORK PENDING**Use Showing Assist</t>
  </si>
  <si>
    <t>Signal Hill</t>
  </si>
  <si>
    <t>59 N OF 22 TO SIGNAL HILL,WEST  TO FIRST DRIVEWAY, RIGHT TO 2ND HOUSE</t>
  </si>
  <si>
    <t>656X413X56X434X510X123X369</t>
  </si>
  <si>
    <t>Bring the outdoors inside and enjoy panoramic views from this gorgeous ranch!  Updated throughout including a custom dream kitchen with 42â€_x009d_ cherry cabinets, granite tops and SS appliances.  Remodeled baths!  New furnace &amp; AC - 2011. New paint inside and out.  Plus vaulted ceilings and hardwood floors. Almost 4000 sq ft with Walkout to wooded site.  4.95 Acres!  3 private decks!  2 Fireplaces!  A truly wonderful home!</t>
  </si>
  <si>
    <t>Vaulted/Cathedral Ceilings, Bar-Wet, Hardwood Floors, 1st Floor Full Bath</t>
  </si>
  <si>
    <t>Balcony, Deck, Dog Run &amp;/or Invisible Fence</t>
  </si>
  <si>
    <t>(847) 541-5000</t>
  </si>
  <si>
    <t>Ann Baker</t>
  </si>
  <si>
    <t>(847) 754-7110</t>
  </si>
  <si>
    <t>PLEASE CALL 855-746-9200 OR CLICK THE SCHEDULE A SHOWING ICON.</t>
  </si>
  <si>
    <t>GORGEOUS HOME AND EASY TO SHOW. PLEASE GIVE 2 HOURS NOTICE ON SATURDAYS &amp; SUNDAYS.  THANKS!</t>
  </si>
  <si>
    <t>127th</t>
  </si>
  <si>
    <t>BISHOP FORD EXIT 130TH WEST RIGHT ONTO INDIANA 1ST LEFT TO 127TH</t>
  </si>
  <si>
    <t>40X104</t>
  </si>
  <si>
    <t>This beautiful, recently rehabbed, 4 bedroom, 2 bath, brick bungalow is brimming with new features and additions! The first floor offers gleaming hardwood floors! The gorgeous kitchen boasts shaker style cabinets, stainless steal appliances and granite counter tops! With a finished basement and a 2 car garage with side drive, this home is a must-see!</t>
  </si>
  <si>
    <t>42X12</t>
  </si>
  <si>
    <t>99TH STREET TO DAMEN (2000W)-SOUTH TO HOME</t>
  </si>
  <si>
    <t>50 X 160</t>
  </si>
  <si>
    <t>EXQUISITE ITALIAN RENAISSANCE HOME BEAUTIFULLY RENOVATED FEATURES NATURAL WOOD MOLDINGS, HARDWOOD FLOORS, C/A, TILE ROOF, COPPER GUTTERS, S. DRIVE, PRIVATE COURTYARD, NEW MASTER BATH W/JACUZZI &amp; STEAM SHOWER, NEW HIGH END KITCHEN W/GRANITE, STAINLESS STEEL, BUILT-INS, DEN, FAMILY ROOM, BEAUTIFULLY DECORATED, IMPECCABLY MAINTAINED, MAIN FLOOR DEN C/B 5TH BEDROOM, ENTIRE HOUSE WAS JUST PAINTED,  IT'S A 10!</t>
  </si>
  <si>
    <t>Den, Exercise Room, Recreation Room</t>
  </si>
  <si>
    <t>16X36</t>
  </si>
  <si>
    <t>Kevin Bigoness</t>
  </si>
  <si>
    <t>(773) 908-7368</t>
  </si>
  <si>
    <t>Text Kevin 773 908 7368</t>
  </si>
  <si>
    <t>easy to show, on lockbox.</t>
  </si>
  <si>
    <t>Anderson</t>
  </si>
  <si>
    <t>KIRK SOUTH TO GIESE, WEST TO LARKSPUR, SOUTH TO ANDERSON</t>
  </si>
  <si>
    <t>90 X 99 X 94 X 60 X 51</t>
  </si>
  <si>
    <t>Meticulously maintained 4bed/2.5 bath home. Seller willing to help with buyer's closing costs!  New roof 2004, Trane Furnace - air conditioner / heat pump / humidifier &amp; air cleaner 2006, new washer/dryer 2014, host the best backyard BBQ on the maintenance free Trex deck 2010! Conveniently located 1.5 blocks from elementary school, easy access to I-88 &amp; Metra, blocks to great shopping &amp; restaurants! Only 1 owner.</t>
  </si>
  <si>
    <t>Humidifier, Water-Softener Owned, CO Detectors, Sump Pump, Air Cleaner</t>
  </si>
  <si>
    <t>Deck, Foyer, Office, Recreation Room, Storage</t>
  </si>
  <si>
    <t>Yvonne Rusin, CNC</t>
  </si>
  <si>
    <t>(630) 886-5841</t>
  </si>
  <si>
    <t>b.fulco@cbexchange.com</t>
  </si>
  <si>
    <t>$2,000 to buyer broker at close if under contract by 4/15/15!  Pride in Ownership!  Original owners!  Neutral and move-in ready.  Just unpack and add your personal touches. Pre-Inspected!  In excellent condition - no worries.  Dry basement.</t>
  </si>
  <si>
    <t>north/south on Ashland to 51st St, west to Hermitage, 1-way north to property.</t>
  </si>
  <si>
    <t>Solid 4 bed/2 bath brick home with 3 levels of living space. Related living arrangement possible in basement. Detached 2 car garage. This is a Fannie Mae HomePath property.</t>
  </si>
  <si>
    <t>AMETHYST</t>
  </si>
  <si>
    <t>Ogden Avenue (Rte 34) south to 30 west to Goodwin Drive to home</t>
  </si>
  <si>
    <t>*MODEL HOME FOR SALE - QUICK CLOSE* Impressive staircase with iron rails overlooks family room with dramatic limestone fireplace. Beautiful HW floor, SS appliances, Quartz counter tops, 42" maple cabinets w/glass inserts, upgraded breakfast bar and expanded bay. Beautiful French doors lead to a sunny office / study on the 1st floor. Large master suite w/dual WIC's. Luxury bath w/separate vanities, upgraded tile work.</t>
  </si>
  <si>
    <t>Balcony, Patio, Brick Paver Patio, Storms/Screens</t>
  </si>
  <si>
    <t>2.5% ON BASE - $195 (on Net SP)</t>
  </si>
  <si>
    <t>MUST ACCOMPANY &amp; REGISTER CLIENTS ON FIRST VISIT. SALES OFFICE IS LOCATED AT 990 AMETHYST LANE</t>
  </si>
  <si>
    <t>**LAST ONE** FORMER BUILDERS MODEL FOR SALE. LOTS OF UPGRADES THRU-OUT. PRICED TO SELL!  MUST ACCOMPANY &amp; REGISTER CLIENTS ON 1ST VISIT.  SALES OFFICE IS OPEN: MONDAY, TUESDAY, FRIDAY &amp; SATURDAY 10AM - 5PM AND OPEN SUNDAY 11 AM - 5 PM.  (CL</t>
  </si>
  <si>
    <t>FULLERTON TO LONG NORTH TO PROPERTY</t>
  </si>
  <si>
    <t>Great opportunity to purchase this Fannie Mae/Homepath property.  This single family home has tons of potential.  Bring your ideas to finish the interior and basement.  Just a couple blocks to Cragin and Hanson Parks.  Schedule your showing today.  All information estimated â€“ buyer to verify.</t>
  </si>
  <si>
    <t>Space Pac, None</t>
  </si>
  <si>
    <t>REO ID: C130J0P See additional information for contract package and instructions. All offers must be submitted on Homepath.com. Email all questions to JAMESONREO@GMAIL.COM. Use showing assist to schedule showings.</t>
  </si>
  <si>
    <t>NANTUCKET SAVANNAH</t>
  </si>
  <si>
    <t>NEW CONSTRUCTION To Be Built ~ Nantucket Savannah ~ Home Site #250 ~ Move In May 2015 ~ Build your dream home with TOLL BROTHERS! Luxury living in Elgin! Burlington School Dist 301.  Dynamic and superior Nantucket floorplan with over 2400 sq ft, plus full basement. Gorgeous new home at an incredible value! Addtl homesites available to build your dream home by TOLL BROTHERS! Photos are of similar home.</t>
  </si>
  <si>
    <t>NEW CONSTRUCTION To Be Built ~ Nantucket Savannah ~ Home Site #250 ~ Move In May 2015 ~ 3% on base price. Ask about our Realtor Programs. Sales Office Open Daily 10-6. Call Toll Brothers 847-695-4300 for appt. Register clients at Model.</t>
  </si>
  <si>
    <t>Randall to Grandview E. to Kimball north</t>
  </si>
  <si>
    <t>kimball farms</t>
  </si>
  <si>
    <t>ULTIMA</t>
  </si>
  <si>
    <t>66X116X48X115</t>
  </si>
  <si>
    <t>Original owner selling popular ultima model.  Same model,area,builder,schools as Algonquin Willoughby Farms but less money.  Impeccably maintained with beautiful yard and deck. You'll love the two story family rm with flr to ceiling windows and fireplace open to kitchen with tons of cabinets and counter space.  Spacious rms throughout w/huge master suite.  First flr den or bed. Great location close to train,xpress</t>
  </si>
  <si>
    <t>3%-325 (on Gross SP)</t>
  </si>
  <si>
    <t>Victoria Callaway, ABR,CRS,GRI</t>
  </si>
  <si>
    <t>(847) 501-0017</t>
  </si>
  <si>
    <t>call showing time 866-571-7181</t>
  </si>
  <si>
    <t>Brookfield Relocation</t>
  </si>
  <si>
    <t>Best deal in area.  Call for relo addendums and reports. Seller name on offer should be Brookfield Relocation. All inspection issues have been fixed. Receipts available.</t>
  </si>
  <si>
    <t>Cermak Road to Lawndale. South to 2500</t>
  </si>
  <si>
    <t>See attachment for PAS requirements and WFHM offer submittal information in MLS document section. See attachment for PAS requirements and WFHM offer submittal information in MLS document section. To report any concerns with a listing broker/agent or to report any property condition or other concern needing escalation, including concerns related to a previously submitted offer or information on how to place an offer,</t>
  </si>
  <si>
    <t>Submit offer to reo@gmcrealtyllc.com. To report any concerns with a listing broker or to report any prty condition or concern for escalation, to include offer previously submitted offer or how to place an offer, please call: 877 617 5274</t>
  </si>
  <si>
    <t>Highbury</t>
  </si>
  <si>
    <t>State Street (Rt38) to Highbury Ln(N)</t>
  </si>
  <si>
    <t>Williamsburg</t>
  </si>
  <si>
    <t>89X125</t>
  </si>
  <si>
    <t>FIRST IMPRESSION is Picture Perfect w/white picket fence, stunning landscaping.Portico entry into home sweet home! Continous,open flow w/HW flrs thru. Neutral paint &amp; decor. White trim,crown. F/DR. Open LIV 2 FAM w/cust BR Fire/P. Vault Sun-Rm.Huge KIT w/granite,eat-in bay.Lux Master Suite ~ ALL BATHS UPDATED. Den.FIN BSMT w/REC &amp; GAME Rm.FIN LAUND. Truly Sensational Yard. Arbors,pavers~master gardener,sprinker! 10++</t>
  </si>
  <si>
    <t>Humidifier, CO Detectors, Ceiling Fan, Sump Pump, Sprinkler-Lawn, Backup Sump Pump</t>
  </si>
  <si>
    <t>Den, Game Room, Recreation Room, Sun/Florida Room Heated</t>
  </si>
  <si>
    <t>Vaulted/Cathedral Ceilings, Hardwood Floors, Solar Tubes/Light Tubes</t>
  </si>
  <si>
    <t>Call Showing Time 1-855-919-0434 MUST CONFIRM.2 HOUR NOTICE</t>
  </si>
  <si>
    <t>Option to finish a 3rd level - Huge attic can easily be another level of living. Show home with confidence! Pls note info in Kitchen!</t>
  </si>
  <si>
    <t>Hilltop</t>
  </si>
  <si>
    <t>Randall to Saddle Club to Arlington R to Pimlico L to Hilltop L to PIQ</t>
  </si>
  <si>
    <t>CUSTOM HOME</t>
  </si>
  <si>
    <t>247 X 105 X 278 X 126</t>
  </si>
  <si>
    <t>MOTIVATED SELLER will buy down your rate to 3.5% (restrictions applyâ€¦call for details!) Resort living in this GORGEOUS, custom estate! EVERYTHING IS NEW! Huge, gourmet kitchen w/ granite countertops, hickory cabinets, island &amp; custom pantry! Fantastic Master Suite w/ ginormous sit-in closet! Luxurious Master Bath w/ rain shower, body sprays &amp; heated tile floors! Pool, fire pit, pond, deck, and gazebo! SEE IT TODAY!</t>
  </si>
  <si>
    <t>Eating Area, Exercise Room, Foyer, Game Room, Media Room, Office, Theatre Room, Walk In Closet</t>
  </si>
  <si>
    <t>Stucco, Other</t>
  </si>
  <si>
    <t>Vaulted/Cathedral Ceilings, Skylight(s), Hardwood Floors, Heated Floors, 1st Floor Laundry</t>
  </si>
  <si>
    <t>Deck, Gazebo, Pool In-Ground, Storms/Screens, Grill-Outdoors, Outdoor Fireplace</t>
  </si>
  <si>
    <t>Amazing home!  Gorgeous and like-new!  Everything remodeled since 2006! Call with any questions!  You will NOT be disappointed! Please use Agent Presentation Guidelines in home to show and sell! (Rate buy-down capped at $5000.)</t>
  </si>
  <si>
    <t>Harlem to Argyle East to Newcastle North to home</t>
  </si>
  <si>
    <t>48X102</t>
  </si>
  <si>
    <t>Big Oaks updated ranch home features  large updated kitchen with dining area, 3 bedrooms and updated bath on main level plus 1-2 additional bedrooms downstairs.  Basement completely remodeled with large bath, family room with fireplace and recreation area.  The electric was updated, newer roof and there is a flood control system.  Lovely yard has a patio, newer deck, sprinkler system and side drive to 1.5 car garage.</t>
  </si>
  <si>
    <t>3% - $250 (on Net SP)</t>
  </si>
  <si>
    <t>Jan Kupiec, ABR,SFR</t>
  </si>
  <si>
    <t>(773) 467-3347</t>
  </si>
  <si>
    <t>Call or text Jan:  312-636-3340</t>
  </si>
  <si>
    <t>E 77th to S Calumet. South to address.</t>
  </si>
  <si>
    <t>This beautiful, recently rehabbed 4 bedroom, 3 bathroom brick bungalow is overflowing with special features and brand new additions. The gorgeous kitchen boasts stainless steel appliances, granite counters and upgraded cabinets. With a finished basement, a jacuzzi tub, professional landscaping, hardwood floors and more, it's a must-see!</t>
  </si>
  <si>
    <t>Dan Ryan south to 87th exit, left to Michigan, south to 88th St.</t>
  </si>
  <si>
    <t>30X162</t>
  </si>
  <si>
    <t>Great opportunity to own nice 4-bed 1 1/2bath home in West Chesterfield! Located minutes from Dan Ryan expressway, shopping malls, restaurants and stores. Needs some repairs but good investment and must be purchased "as-is."</t>
  </si>
  <si>
    <t>3.5%-$200 (on Gross SP)</t>
  </si>
  <si>
    <t>Marjorie L Tatum</t>
  </si>
  <si>
    <t>312 369-0986</t>
  </si>
  <si>
    <t>Call 312 369-0986 or email agent</t>
  </si>
  <si>
    <t>*Contract Pending* Per seller requests, will continue to show until all contingencies met.</t>
  </si>
  <si>
    <t>Rt. 25 to Besinger Dr to Maple (W) to 499</t>
  </si>
  <si>
    <t>Newer windows and siding, hardwood floors, HUGE multi-level deck in big yard (.46 acre) Big 2.5 car garage, all appliances</t>
  </si>
  <si>
    <t>Hardwood Floors, In-Law Arrangement, 1st Floor Laundry, 1st Floor Full Bath</t>
  </si>
  <si>
    <t>Larry Hines</t>
  </si>
  <si>
    <t>(847) 875-7747</t>
  </si>
  <si>
    <t>Path of the River land group</t>
  </si>
  <si>
    <t>Randall North to Carrington, East to Somerset to home.</t>
  </si>
  <si>
    <t>Fantastic home on premium lot w/pond view. 9' 1st floors.  Dramatic 2 story foyer. Hardwood floors in the eat in kitchen.  42" maple cab.s feature crown molding. 9' Finished walkout basement, w/full bath, &amp; bar area, Office/5th br. Fireplace in family room. Master suite w/dual vanity &amp; soaker tub. 3 more generously sized bedrooms upstairs. Prof. landscaped w/deck for pond views as well as w/o patio. Freshly painted.</t>
  </si>
  <si>
    <t>Wetlands Adjacent, Pond</t>
  </si>
  <si>
    <t>17X42</t>
  </si>
  <si>
    <t>3%- $225 (on Net SP)</t>
  </si>
  <si>
    <t>Mark Bousquet</t>
  </si>
  <si>
    <t>(630) 267-9380</t>
  </si>
  <si>
    <t>Easy to show. Please allow time for relocation to approve all paperwork. lender pre approval must contain the phrase:  ALL INCOME, ASSETS AND CREDIT HAVE BEEN VERIFED.</t>
  </si>
  <si>
    <t>63rd Street to Troy. South on Troy to property.</t>
  </si>
  <si>
    <t>Huge Raised Ranch with driveway. Features 4 bedrooms with large closets. 3 full baths. Large living &amp; dining room combo. Hardwood floors under carpeting.Newer roof &amp; windows on main level. New hot water tank. Newer 2 car garage (6yrs). Updated main bath. Full finished basement with family room,wet bar, &amp; tons of storage space. Huge fenced in yard with wood deck. Sold "as-is" cash or conventional buyers only.</t>
  </si>
  <si>
    <t>30X28</t>
  </si>
  <si>
    <t>Jose Morales</t>
  </si>
  <si>
    <t>773 315-1966</t>
  </si>
  <si>
    <t>Call listing office 708-857-1500</t>
  </si>
  <si>
    <t>Raymundo Hernandez</t>
  </si>
  <si>
    <t>CC: Pursuant to Short Sale. Must submit these docs: a pre-approval, 6.0 Contract/6.0 Short Sale Addendum, complete sections 41 &amp; 44,&amp; seller disclosures. No Survey No termite. Offers without these doc's will not be presented. 2nd PIN is 19-24-109-019-0000</t>
  </si>
  <si>
    <t>Olson</t>
  </si>
  <si>
    <t>Fabyan * South on Western * West on Aldrin * right on Haines * left on Olson Drive</t>
  </si>
  <si>
    <t>90 X48 X 124 X 161</t>
  </si>
  <si>
    <t>Welcome Home to this spacious traditional style home on a HUGE corner, fenced in lot*hdwd flrs*Classic kitchen with updated app's*SGD off eating area to good-sized patio*Open Fam RM w/beautiful brick fp*FIN BSMT*SPACIOUS Master with Big WIC*Master bath w/ soaker*Updated fixtures*Newer siding and roof (5-7yrs)*PB Colors*Custom Wooden Blinds*Charming Neighborhood*Quiet Street*Park Nearby*Close to Everything!</t>
  </si>
  <si>
    <t>Call H&amp;S showingdesk - 1-855-917-9150- 2 hour notice please * KIDS*</t>
  </si>
  <si>
    <t>Truly a charming home! Wonderful open lay-out. One of the biggest lots in subdivision.</t>
  </si>
  <si>
    <t>HIGHLAND TO WOODLAND TO PROPERTY</t>
  </si>
  <si>
    <t>Add some TLC and call this home! 2 story home 4 bedroom 2 bath with a large dining and living room. full unfinished basement.100% tax proration, no survey or disclosures provided.For more information about HomePath homes and incentives, please visit HomePath. Room/Lot sizes are approx. POF strongly encouraged with all offers.</t>
  </si>
  <si>
    <t>73RD</t>
  </si>
  <si>
    <t>71ST E TO HOMAN, SOUTH TO 73RD, WEST TO HOME</t>
  </si>
  <si>
    <t>Fantastic brick cape cod 1 1/2 story home ready for the right buyer.  2 bedrooms on main floor with wood floors and 2 bedrooms on 2nd floor.  Nice neighborhood close to restaurants, shopping, and transportation.  Make this your new home - view this home and start packing!  This is a Fannie Mae Homepath property.</t>
  </si>
  <si>
    <t>TV Antenna, Ceiling Fan, Sump Pump</t>
  </si>
  <si>
    <t>REO / Corp owned - sold as is no survey no repairs - seller/Agent(s) make no representations or warranties - direct offers to WWW.HOMEPATH.COM and review site instructions for submitting offers - please email agent with any questions</t>
  </si>
  <si>
    <t>LATROBE</t>
  </si>
  <si>
    <t>2.5%  - $295 (on Net SP)</t>
  </si>
  <si>
    <t>Email ohgshowings@dreamtown.com with 24 hrs. notice.</t>
  </si>
  <si>
    <t>PETERSON TO KILBOURN (4500 W), NORTH TO 6112</t>
  </si>
  <si>
    <t>SAUGANASH</t>
  </si>
  <si>
    <t>Spacious Sauganash  home in an award winning school district with all masonry construction featuring updated kitchen with granite counters, stainless steel appliances, hardwood flooring, formal dining room, added on sun room and much more.  Quiet street close to highway</t>
  </si>
  <si>
    <t>James Park, e-PRO</t>
  </si>
  <si>
    <t>(847) 219-1968</t>
  </si>
  <si>
    <t>elena@riklinrealty.net</t>
  </si>
  <si>
    <t>Ogden Ave to Fifth, S to Versailles Parkway, W to Bonaventure, N to Spires</t>
  </si>
  <si>
    <t>Spacious, newer 2-story home in a clubhouse community with tennis courts, pool/swim park and playground. The home features 4 large bedrooms plus bonus room on 2nd floor, 2 1/2 baths including master suite w/walk-in closet, den, eat-in kitchen, 3-car tandem garage and large yard.  This is a Fannie Mae HomePath property.</t>
  </si>
  <si>
    <t>Laurie McPhillips-Weglarz</t>
  </si>
  <si>
    <t>(708) 436-3354</t>
  </si>
  <si>
    <t>Please Use Showing Time in MLS</t>
  </si>
  <si>
    <t>Seller requires offers submitted via www.homepath.com; PLEASE USE ALL ATTACHED DOCUMENTS FOR OFFERS; 100% tax prorations, no personal property/disclosures or survey; 10% EM for cash offers; PLEASE INDICATE ON OFFER IF USING PUBLIC FUNDS</t>
  </si>
  <si>
    <t>SHOE FACTORY RD W OF RT 59 TO COBBLERS CROSSING SOUTH TO 1055</t>
  </si>
  <si>
    <t>SOUGHT AFTER COBBLERS CROSSING. THIS GORGEOUS HOME FEATURES 4 BRMS W/LOTS OF CLOSET SPACE, 2.1 BTHS, NEW HUGE MASTER W/ FABULOUS BATH DUAL SINKS, SOAKING TUB &amp; SEPARATE SHOWER, BRIGHT 2 STORY FAM RM W/ GAS START 2 STORY F/P, LARGE KITCHEN W/SS &amp; NEW CT , LOADS OF CABINETS, &amp; PLANNING DESK SLIDING GLASS DOORS TO BEAUTIFUL FENCED YARD W/ HOT TUB, NICE SZ UNFIN BSMT.NEWER ROOF,SIDING,WINDOWS &amp; DOORS. GREAT LOCATION MUST</t>
  </si>
  <si>
    <t>Deck, Patio, Porch, Hot Tub, Storage Shed, Storms/Screens</t>
  </si>
  <si>
    <t>Real Estate Solutions, Inc</t>
  </si>
  <si>
    <t>(773) 784-9200</t>
  </si>
  <si>
    <t>Susan Romano</t>
  </si>
  <si>
    <t>(773) 710-3166</t>
  </si>
  <si>
    <t>CALL LISTING AGENT SUSAN 773-710-3166</t>
  </si>
  <si>
    <t>PLEASE ALLOW 3-4 HOUR NOTICE DOGS ON PREMISES. PLEASE REMOVE SHOES.</t>
  </si>
  <si>
    <t>Email ohgshowings@dreamtown.com with 24 hrs notice</t>
  </si>
  <si>
    <t>TORRENCE TO 130TH E TO BALTIMORE S TO 135TH E 1 BLK</t>
  </si>
  <si>
    <t>FRAME 2 STORY HOME THAT FEATURES 4 BEDROOMS, 1 BATH, FORMAL DINING ROOM, FULL BASEMENT. THIS IS A FANNIE MAE HOMEPATH PROPERTY</t>
  </si>
  <si>
    <t>Betsy Richardson</t>
  </si>
  <si>
    <t>CC: Pursuant to Short Sale. THE SELLER HAS DIRECTED THAT ALL OFFERS ON THIS LISTING SHOULD BE MADE IN HOMEPATH.COM. SEE ATTACHED SELLING AGENT GUIDE. PLEASE HAVE BUYERS SIGN ADDEND WITH ALL OFFERS. SEE ATTACHED DOC WITH INJUNCTIONS INFORMATION.</t>
  </si>
  <si>
    <t>north avenue to mason s to home</t>
  </si>
  <si>
    <t>FORECLOSED PROPERTY AWAITING NEW OWNERS. WONDERFUL BRICK HOME IN NEEED OF SOME UPDATING AND REPAIRS THROUGHOUT REFLECTED IN THE PRICING STRATEGY BRING YOUR APPROVED BUYERS TODAY. SELLERS LOOKING FOR CASH OR CONVENTIONAL BUYERS ONLY.SELLERS REQUIRE BUYERS TO VIEW THE PROPERTY BEFORE SUBMITTING OFFERS NO EXCEPTIONS**MULTIPLE OFFER SITUATION HIGHEST AND BEST DUE BY 3PM 2/26***</t>
  </si>
  <si>
    <t>9X31</t>
  </si>
  <si>
    <t>PLEASE USE SHOWING ASSIST DO NOT CONTACT AGENT FOR SHOWINGS</t>
  </si>
  <si>
    <t>SOLD AS IS/EMAIL OFFERS TO: PEPREMIERBPOS@GMAIL.COM PLEASE INCLUDE PROPERTY ADDRESS IN SUBJECT LINE/SELLER FORMS UNDER ADDITIONAL INFO MUST USE SELLER CONTRACT/MUST INCLUDE APPROVAL LETTER OR PROOF OF FUNDS/SELLER DOES NOT ALLOW ATTY REVIEW</t>
  </si>
  <si>
    <t>Burnham</t>
  </si>
  <si>
    <t>Hart Rd to Bailey east to Burnham or Raddant to Norcross west to Burnham</t>
  </si>
  <si>
    <t>17,800 SQ FT</t>
  </si>
  <si>
    <t>Gorgeous traditional on 1/3+ acre in Fox Trail East, a fantastic neighborhood nestled between the Illinois Prairie Path and Big Woods Park. Enjoy the convenience of miles of biking/hiking trails, playgrounds, tennis courts, highly rated schools. Built for entertaining from the spacious kitchen to the huge backyard patio and finished basement. Tons of storage including his &amp; her closets in master. Home Warranty, too!</t>
  </si>
  <si>
    <t>Sandy Wilson</t>
  </si>
  <si>
    <t>(630) 373-4663</t>
  </si>
  <si>
    <t>Use showing assist or call/text LA 630-373-4663.</t>
  </si>
  <si>
    <t>Sellers will offer credit towards new counters. Home warranty included!  Newer roof &amp; siding.</t>
  </si>
  <si>
    <t>Dalton</t>
  </si>
  <si>
    <t>Algonquin Road to Penny to Witt to Dalton</t>
  </si>
  <si>
    <t>105197 SQ FT</t>
  </si>
  <si>
    <t>QUALITY, SERENITY, PRIVACY, 3 WORDS THAT BEST DESCRIBE THIS ARCHITECHURALLY SIGNIFICANT HM, SITS ON 2.47 ACRES W. DIRECT ACCESS 2 LOCAL PARK.  EXTRAORDINARY CURB APPEAL, POND VIEWS, BRK PAVER  DRIVEWAY, WRAP AROUND COVERED BRK PATIO.STATELY COLUMNS, 20 PLUS VOL CEIL T/O, MARBLE ENTRY &amp; SWAROVSKY CRYSTAL CHANDELIER WELCOME U HM! KITCHEN FEATURES 42" MAPLE CAB. GRANITE ISLE, HDWD FLRS T/O, 1ST FLR NANNY OR IN LAW SUITE</t>
  </si>
  <si>
    <t>Oven-Double, Microwave, Dishwasher, High End Refrigerator, Freezer, Washer, Dryer, All Stainless Steel Kitchen Appliances</t>
  </si>
  <si>
    <t>Cul-de-sac, Pond</t>
  </si>
  <si>
    <t>Vaulted/Cathedral Ceilings, Bar-Wet, Hardwood Floors, 1st Floor Bedroom, In-Law Arrangement</t>
  </si>
  <si>
    <t>Balcony, Patio, Brick Paver Patio</t>
  </si>
  <si>
    <t>Foster to Monitor, south to Carmen,east to Menard</t>
  </si>
  <si>
    <t>45 X 126</t>
  </si>
  <si>
    <t>North Jefferson Park bungalow-renovated from top to bottom! Extra wide lot/huge side yard! 2011 gut rehabbed kitchen- maple cabs, granite counters ,st st appl, track lighting. Open flow to family room &amp; breakfast nook. Full newer bath on each level. Large master suite, walk-in closet w/built-ins.Awesome finished lower level: Granite counter bar area, media/recreation room, play nook. Too much to say-see feature sheet</t>
  </si>
  <si>
    <t>Recreation Room, Sitting Room</t>
  </si>
  <si>
    <t>Bar-Wet, Hardwood Floors, 1st Floor Bedroom</t>
  </si>
  <si>
    <t>Register in Showing Assist, Sue Oleksy to accompany. Notice is appreciated</t>
  </si>
  <si>
    <t>2nd Pin # is 13084040170000</t>
  </si>
  <si>
    <t>Iowa</t>
  </si>
  <si>
    <t>Division to Leavitt (2200W), South to Iowa(900N), East to 2025 W Iowa</t>
  </si>
  <si>
    <t>Absolutely gorgeous recently rehabbed single family home two blocks off Division and Damen.  This home boasts 3 bedrooms up including master suite and kids bath, large living, dining, new kitchen, powder room, and office on the main level. Lower level provides family room, 4th bedroom and full bath.  Great back yard and two car garage. All of this walking distance to Bucktown/Wicker Park entertainment &amp; nightlife.</t>
  </si>
  <si>
    <t>Dennis Huyck</t>
  </si>
  <si>
    <t>(312) 420-1593</t>
  </si>
  <si>
    <t>email dhuyck@atproperties.com agent ID and cell</t>
  </si>
  <si>
    <t>South of 83rd Street</t>
  </si>
  <si>
    <t>Austin Ave to Eastwood, west to Melvina, south to address</t>
  </si>
  <si>
    <t>Steps to Dunham Pk! STUNNING NEW CONST SFH in Jefferson/N-Portage Pk! Dramatic flr plan, perfect for entertaining. Designer kitchen w/all bells &amp; whistles, open fam rm on 1side &amp; living/dining room on the other. Custom staircase, 9' clngs &amp; hdwd flrs. Great nat light, incredible master ste w/wic &amp; spa-like bath. 2nd-flr W/D. Finished lower lvl w/rec rm, bth &amp; guest ste. Great deck/yard &amp; gar. Near Metra/EL/I90. A10!</t>
  </si>
  <si>
    <t>Ray Mandel, ABR</t>
  </si>
  <si>
    <t>(312) 286-9966</t>
  </si>
  <si>
    <t>CELL: 312.286.9966</t>
  </si>
  <si>
    <t>Please email:  RMANDEL1@COMCAST.NET</t>
  </si>
  <si>
    <t>Great website: www.melvinahomes.com</t>
  </si>
  <si>
    <t>Van Nortwick</t>
  </si>
  <si>
    <t>Fayban to Van Nortwick South to home.</t>
  </si>
  <si>
    <t>109X148X80X145</t>
  </si>
  <si>
    <t>Charming home in popular carriage crest! Walk to grade &amp; high schools! Eat-in kitchen, butcher block island, hearth room with wood burning stove! Family/sunroom addition with fireplace and lots of windows looking out over private yard &amp; deck. Large master with 2 closets &amp; updated bath! Extra deep garage plus attached storage shed! Close to shopping, restaurants &amp; transportation.</t>
  </si>
  <si>
    <t>Tod Turriff</t>
  </si>
  <si>
    <t>(630) 726-0162</t>
  </si>
  <si>
    <t>Please use 6.0 contract</t>
  </si>
  <si>
    <t>Rt 72 to Genoa Street go South.</t>
  </si>
  <si>
    <t>50 X 150</t>
  </si>
  <si>
    <t>THIS HAS A VERBALLY ACCEPTED OFFER. Victorian style 3-4 bedroom home in need of a good rehab. Has potential but will be sold "AS IS". Stain glass windows accent the living and dining rooms. Enclosed front porch.  Full basement. Barn like garage. Fenced yard. Freddie Mac Owner Occupied First Look Program through March 7th, 2015. Easy to show.</t>
  </si>
  <si>
    <t>Click on Listing Showing Button.</t>
  </si>
  <si>
    <t>Avenue O to 135th Avenue L Street to Address</t>
  </si>
  <si>
    <t>29X128</t>
  </si>
  <si>
    <t>Extraordinary, A Complete Build Up in 2009 of this Beautiful 2 story. It's inviting open concept  with Designer Ceilings. Custom Kitchen with Granite Counter Tops. Master Bath has a Motor Jet Tub. All Oak Trim &amp; Doors Thru-Out. 2 Central Furnaces &amp; A/C and Tankless H20. Huge Over sized Garage and Beautiful Deck on a Private Double Sized Lot. A Must See!</t>
  </si>
  <si>
    <t>Call Listing Office For Appointments 773-731-8500- Showings  M-F After 4pm Weekends any time.</t>
  </si>
  <si>
    <t>Cassidy</t>
  </si>
  <si>
    <t>RTE 20 W of Randall-Nesler S-L South St-R Shadow Hill Rd-R at Gazebo to Buffalo-L Rawhide-L Cassidy</t>
  </si>
  <si>
    <t>83X125X84X125</t>
  </si>
  <si>
    <t>Perfectly maintained home with open floor plan! Dramatic entry w/2 story entry! Hardwood floors! Entertainment sized living room &amp; dining room! 1st floor den! Kitchen w/42"cabinets, center island and overlooking family room with fireplace! Master bedroom suite w/separate bath &amp; shower! Large loft area for additional living space! Oak railings! Look out basement with lots of natural light! Deck and brick paver patio!</t>
  </si>
  <si>
    <t>CLICK "SCHEDULE SHOWING" BELOW-Overnight Notice</t>
  </si>
  <si>
    <t>Thank you for showing our listing. EFAX 630-206-0909 or email sales@pagonisgroup.com.</t>
  </si>
  <si>
    <t>Irving Park Rd. &amp; Cicero east to Kilbourn Ave., north to property.</t>
  </si>
  <si>
    <t>Come see this perfect starter home in Old Irving Park!  Everything new, redone bedrooms and kitchen!  full partially finished basement perfect for storage, laundry, exercise and guests.  4 bedroom, 2 bath.  Close to parks, interstate, groceries, and more!  Totally updated.  Close to Disney Magnet Elementary. construction will be complete 3/6/15. Itâ€™s all new!  See it today! Agent interest.</t>
  </si>
  <si>
    <t>Refrigerator</t>
  </si>
  <si>
    <t>New Market Realty Inc</t>
  </si>
  <si>
    <t>(312) 239-3626</t>
  </si>
  <si>
    <t>Zagham Zia</t>
  </si>
  <si>
    <t>(773) 934-7379</t>
  </si>
  <si>
    <t>Agent owned/interest.</t>
  </si>
  <si>
    <t>Huntley Road to Tay River North to home.</t>
  </si>
  <si>
    <t>EDINBURGH</t>
  </si>
  <si>
    <t>86 X 102 X 46 X 103</t>
  </si>
  <si>
    <t>Warm &amp; inviting home features formal LR w fireplace &amp; DR both w vaulted ceilings. Fully applianced eat in Kitchen.  MBR boasts vaulted ceilings, luxury bath &amp; large closet. Two other bedrms on main level share full bathrm. Finished look out english lower level with bedroom, full bathroom &amp; large recreation/game rm. Loads of storage. Large rear decks &amp; wooded fenced back yard. Close to shopping &amp; restaurants.</t>
  </si>
  <si>
    <t>Eating Area, Storage</t>
  </si>
  <si>
    <t>Susan Angell Case, ABR,GRI,SFR</t>
  </si>
  <si>
    <t>(847) 452-8831</t>
  </si>
  <si>
    <t>Call B&amp;W Showing Desk(855)746-9100 Two hour notice-must confirm.</t>
  </si>
  <si>
    <t>Refrigerator ice maker " as is" does not use.</t>
  </si>
  <si>
    <t>West on 87th to Bishop, North to Address</t>
  </si>
  <si>
    <t>WALK TO BRAINERD METRA TRAIN STOP WITH THIS HOME THAT AWAITS YOUR REHAB IDEAS. 4 BED/ 2 BATH HOME WITH FULL BASEMENT.  SHORT SALE WAS APPROVED AT THE LIST PRICE.</t>
  </si>
  <si>
    <t>NTS Realty Group, LLC</t>
  </si>
  <si>
    <t>(773) 256-4687</t>
  </si>
  <si>
    <t>Lateefah Neal</t>
  </si>
  <si>
    <t>(773) 370-8632</t>
  </si>
  <si>
    <t>call/text Lateefah for lockbox code 773-370-8632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</si>
</sst>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Red]\-&quot;$&quot;#,##0"/>
    <numFmt numFmtId="165" formatCode="&quot;$&quot;#,##0.00;[Red]\-&quot;$&quot;#,##0.00"/>
  </numFmts>
  <fonts count="1">
    <font>
      <sz val="12.0"/>
      <color rgb="FF000000"/>
      <name val="Calibri"/>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7">
    <xf borderId="0" fillId="0" fontId="0" numFmtId="0" xfId="0" applyAlignment="1" applyFont="1">
      <alignment/>
    </xf>
    <xf borderId="0" fillId="0" fontId="0" numFmtId="0" xfId="0" applyFont="1"/>
    <xf borderId="0" fillId="0" fontId="0" numFmtId="14" xfId="0" applyFont="1" applyNumberFormat="1"/>
    <xf borderId="0" fillId="0" fontId="0" numFmtId="164" xfId="0" applyFont="1" applyNumberFormat="1"/>
    <xf borderId="0" fillId="0" fontId="0" numFmtId="4" xfId="0" applyFont="1" applyNumberFormat="1"/>
    <xf borderId="0" fillId="0" fontId="0" numFmtId="165" xfId="0" applyFont="1" applyNumberFormat="1"/>
    <xf borderId="0" fillId="0" fontId="0"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85" width="10.5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row>
    <row r="2">
      <c r="A2" s="1">
        <v>425000.0</v>
      </c>
      <c r="B2" s="1" t="s">
        <v>185</v>
      </c>
      <c r="C2" s="1" t="str">
        <f>"08759990"</f>
        <v>08759990</v>
      </c>
      <c r="D2" s="1" t="s">
        <v>186</v>
      </c>
      <c r="F2" s="1" t="str">
        <f>"8017"</f>
        <v>8017</v>
      </c>
      <c r="G2" s="2">
        <v>41935.0</v>
      </c>
      <c r="H2" s="1">
        <v>439900.0</v>
      </c>
      <c r="I2" s="1">
        <v>94.0</v>
      </c>
      <c r="J2" s="1">
        <v>429800.0</v>
      </c>
      <c r="K2" s="2">
        <v>42028.0</v>
      </c>
      <c r="L2" s="1">
        <v>94.0</v>
      </c>
      <c r="M2" s="2">
        <v>42028.0</v>
      </c>
      <c r="N2" s="1" t="s">
        <v>187</v>
      </c>
      <c r="O2" s="2">
        <v>42069.0</v>
      </c>
      <c r="P2" s="1">
        <v>34412.0</v>
      </c>
      <c r="Q2" s="1">
        <v>3185.0</v>
      </c>
      <c r="R2" s="1">
        <v>7000.0</v>
      </c>
      <c r="S2" s="1">
        <v>6211.0</v>
      </c>
      <c r="T2" s="1" t="s">
        <v>188</v>
      </c>
      <c r="U2" s="1" t="s">
        <v>189</v>
      </c>
      <c r="V2" s="1" t="s">
        <v>190</v>
      </c>
      <c r="W2" s="1">
        <v>60634.0</v>
      </c>
      <c r="Y2" s="1" t="s">
        <v>191</v>
      </c>
      <c r="Z2" s="1">
        <v>1924.0</v>
      </c>
      <c r="AA2" s="1" t="s">
        <v>192</v>
      </c>
      <c r="AB2" s="1" t="s">
        <v>193</v>
      </c>
      <c r="AD2" s="1" t="s">
        <v>194</v>
      </c>
      <c r="AE2" s="1" t="s">
        <v>195</v>
      </c>
      <c r="AF2" s="1" t="s">
        <v>196</v>
      </c>
      <c r="AH2" s="1" t="s">
        <v>197</v>
      </c>
      <c r="AK2" s="1">
        <v>7.0</v>
      </c>
      <c r="AL2" s="1">
        <v>3.0</v>
      </c>
      <c r="AM2" s="1">
        <v>3.0</v>
      </c>
      <c r="AN2" s="1">
        <v>1.0</v>
      </c>
      <c r="AO2" s="1" t="s">
        <v>198</v>
      </c>
      <c r="AQ2" s="1" t="s">
        <v>198</v>
      </c>
      <c r="AR2" s="1" t="s">
        <v>192</v>
      </c>
      <c r="AS2" s="1" t="s">
        <v>199</v>
      </c>
      <c r="AT2" s="1">
        <v>2.0</v>
      </c>
      <c r="AV2" s="1" t="s">
        <v>200</v>
      </c>
      <c r="AW2" s="1">
        <v>3778.0</v>
      </c>
      <c r="AX2" s="1">
        <v>2012.0</v>
      </c>
      <c r="AZ2" s="1" t="s">
        <v>200</v>
      </c>
      <c r="BA2" s="1" t="str">
        <f>"13201180170000"</f>
        <v>13201180170000</v>
      </c>
      <c r="BC2" s="1">
        <v>2800.0</v>
      </c>
      <c r="BD2" s="1">
        <v>425000.0</v>
      </c>
      <c r="BE2" s="2">
        <v>41935.0</v>
      </c>
      <c r="BF2" s="2" t="s">
        <v>201</v>
      </c>
      <c r="BG2" s="1" t="s">
        <v>202</v>
      </c>
      <c r="BH2" s="1">
        <v>0.0</v>
      </c>
      <c r="BJ2" s="1" t="s">
        <v>203</v>
      </c>
      <c r="BK2" s="1" t="s">
        <v>204</v>
      </c>
      <c r="BL2" s="1" t="str">
        <f>"3700"</f>
        <v>3700</v>
      </c>
      <c r="BM2" s="1" t="str">
        <f t="shared" ref="BM2:BM3" si="1">"0"</f>
        <v>0</v>
      </c>
      <c r="BN2" s="1">
        <v>6211.0</v>
      </c>
      <c r="BO2" s="1">
        <v>0.0</v>
      </c>
      <c r="BQ2" s="1">
        <v>299.0</v>
      </c>
      <c r="BR2" s="1">
        <v>299.0</v>
      </c>
      <c r="BS2" s="1">
        <v>299.0</v>
      </c>
      <c r="BU2" s="1" t="s">
        <v>205</v>
      </c>
      <c r="BV2" s="1" t="s">
        <v>206</v>
      </c>
      <c r="BW2" s="1" t="s">
        <v>207</v>
      </c>
      <c r="BY2" s="1" t="s">
        <v>208</v>
      </c>
      <c r="BZ2" s="1" t="s">
        <v>209</v>
      </c>
      <c r="CA2" s="1" t="s">
        <v>210</v>
      </c>
      <c r="CD2" s="1" t="s">
        <v>204</v>
      </c>
      <c r="CG2" s="1" t="s">
        <v>211</v>
      </c>
      <c r="CH2" s="1" t="s">
        <v>209</v>
      </c>
      <c r="CI2" s="1" t="s">
        <v>210</v>
      </c>
      <c r="CK2" s="1" t="s">
        <v>212</v>
      </c>
      <c r="CL2" s="1" t="s">
        <v>209</v>
      </c>
      <c r="CM2" s="1" t="s">
        <v>210</v>
      </c>
      <c r="CO2" s="1" t="s">
        <v>213</v>
      </c>
      <c r="CP2" s="1" t="s">
        <v>42</v>
      </c>
      <c r="CQ2" s="1" t="s">
        <v>210</v>
      </c>
      <c r="CS2" s="1" t="s">
        <v>214</v>
      </c>
      <c r="CT2" s="1" t="s">
        <v>206</v>
      </c>
      <c r="CU2" s="1" t="s">
        <v>207</v>
      </c>
      <c r="CW2" s="1" t="s">
        <v>215</v>
      </c>
      <c r="CX2" s="1" t="s">
        <v>206</v>
      </c>
      <c r="CY2" s="1" t="s">
        <v>207</v>
      </c>
      <c r="DA2" s="1" t="s">
        <v>200</v>
      </c>
      <c r="DC2" s="1" t="s">
        <v>216</v>
      </c>
      <c r="DD2" s="1" t="s">
        <v>217</v>
      </c>
      <c r="DE2" s="1" t="s">
        <v>218</v>
      </c>
      <c r="DF2" s="1" t="s">
        <v>219</v>
      </c>
      <c r="DH2" s="1" t="s">
        <v>220</v>
      </c>
      <c r="DI2" s="1" t="s">
        <v>221</v>
      </c>
      <c r="DJ2" s="1" t="s">
        <v>222</v>
      </c>
      <c r="DK2" s="1" t="s">
        <v>223</v>
      </c>
      <c r="DL2" s="1" t="s">
        <v>224</v>
      </c>
      <c r="DM2" s="1" t="s">
        <v>225</v>
      </c>
      <c r="DN2" s="1" t="s">
        <v>226</v>
      </c>
      <c r="DP2" s="1" t="s">
        <v>227</v>
      </c>
      <c r="DQ2" s="1" t="s">
        <v>228</v>
      </c>
      <c r="DR2" s="1" t="s">
        <v>229</v>
      </c>
      <c r="DS2" s="1" t="s">
        <v>230</v>
      </c>
      <c r="DU2" s="1" t="s">
        <v>231</v>
      </c>
      <c r="DV2" s="1" t="s">
        <v>232</v>
      </c>
      <c r="DW2" s="1" t="s">
        <v>233</v>
      </c>
      <c r="DX2" s="1" t="s">
        <v>234</v>
      </c>
      <c r="DY2" s="1" t="s">
        <v>235</v>
      </c>
      <c r="DZ2" s="1" t="s">
        <v>236</v>
      </c>
      <c r="EC2" s="1" t="s">
        <v>237</v>
      </c>
      <c r="EM2" s="1" t="s">
        <v>238</v>
      </c>
      <c r="EQ2" s="1" t="s">
        <v>238</v>
      </c>
      <c r="EU2" s="1" t="s">
        <v>238</v>
      </c>
      <c r="EY2" s="1" t="s">
        <v>238</v>
      </c>
      <c r="FC2" s="1" t="s">
        <v>238</v>
      </c>
      <c r="FF2" s="1" t="s">
        <v>239</v>
      </c>
      <c r="FG2" s="1" t="s">
        <v>192</v>
      </c>
      <c r="FH2" s="1" t="s">
        <v>192</v>
      </c>
      <c r="FJ2" s="1" t="s">
        <v>240</v>
      </c>
      <c r="FK2" s="1" t="s">
        <v>229</v>
      </c>
      <c r="FL2" s="1" t="s">
        <v>241</v>
      </c>
      <c r="FM2" s="1">
        <v>15358.0</v>
      </c>
      <c r="FN2" s="1" t="s">
        <v>242</v>
      </c>
      <c r="FO2" s="1" t="s">
        <v>243</v>
      </c>
      <c r="FP2" s="1">
        <v>114479.0</v>
      </c>
      <c r="FQ2" s="1" t="s">
        <v>242</v>
      </c>
      <c r="FU2" s="1" t="s">
        <v>244</v>
      </c>
      <c r="FV2" s="1" t="s">
        <v>200</v>
      </c>
      <c r="FW2" s="1" t="s">
        <v>245</v>
      </c>
      <c r="FX2" s="1" t="s">
        <v>246</v>
      </c>
      <c r="FZ2" s="1" t="s">
        <v>229</v>
      </c>
      <c r="GA2" s="1" t="s">
        <v>247</v>
      </c>
      <c r="GB2" s="2">
        <v>42069.0</v>
      </c>
      <c r="GC2" s="1" t="s">
        <v>248</v>
      </c>
    </row>
    <row r="3">
      <c r="A3" s="1">
        <v>205000.0</v>
      </c>
      <c r="B3" s="1" t="s">
        <v>185</v>
      </c>
      <c r="C3" s="1" t="str">
        <f>"08761919"</f>
        <v>08761919</v>
      </c>
      <c r="D3" s="1" t="s">
        <v>186</v>
      </c>
      <c r="F3" s="1" t="str">
        <f>"103"</f>
        <v>103</v>
      </c>
      <c r="G3" s="2">
        <v>41938.0</v>
      </c>
      <c r="H3" s="1">
        <v>221000.0</v>
      </c>
      <c r="I3" s="1">
        <v>146.0</v>
      </c>
      <c r="J3" s="1">
        <v>215000.0</v>
      </c>
      <c r="K3" s="2">
        <v>42083.0</v>
      </c>
      <c r="L3" s="1">
        <v>146.0</v>
      </c>
      <c r="M3" s="2">
        <v>42083.0</v>
      </c>
      <c r="N3" s="1" t="s">
        <v>249</v>
      </c>
      <c r="O3" s="2">
        <v>42107.0</v>
      </c>
      <c r="P3" s="1">
        <v>240568.0</v>
      </c>
      <c r="Q3" s="1">
        <v>8059.0</v>
      </c>
      <c r="S3" s="1">
        <v>1471.0</v>
      </c>
      <c r="T3" s="1" t="s">
        <v>250</v>
      </c>
      <c r="U3" s="1" t="s">
        <v>189</v>
      </c>
      <c r="V3" s="1" t="s">
        <v>251</v>
      </c>
      <c r="W3" s="1">
        <v>60133.0</v>
      </c>
      <c r="Y3" s="1" t="s">
        <v>252</v>
      </c>
      <c r="Z3" s="1">
        <v>1962.0</v>
      </c>
      <c r="AA3" s="1" t="s">
        <v>192</v>
      </c>
      <c r="AB3" s="1" t="s">
        <v>193</v>
      </c>
      <c r="AC3" s="1" t="s">
        <v>253</v>
      </c>
      <c r="AD3" s="1" t="s">
        <v>254</v>
      </c>
      <c r="AE3" s="1" t="s">
        <v>195</v>
      </c>
      <c r="AF3" s="1" t="s">
        <v>255</v>
      </c>
      <c r="AH3" s="1" t="s">
        <v>256</v>
      </c>
      <c r="AK3" s="1">
        <v>8.0</v>
      </c>
      <c r="AL3" s="1">
        <v>4.0</v>
      </c>
      <c r="AM3" s="1">
        <v>2.0</v>
      </c>
      <c r="AN3" s="1">
        <v>0.0</v>
      </c>
      <c r="AO3" s="1" t="s">
        <v>229</v>
      </c>
      <c r="AQ3" s="1" t="s">
        <v>257</v>
      </c>
      <c r="AR3" s="1" t="s">
        <v>192</v>
      </c>
      <c r="AS3" s="1" t="s">
        <v>199</v>
      </c>
      <c r="AT3" s="1">
        <v>1.0</v>
      </c>
      <c r="AV3" s="1" t="s">
        <v>200</v>
      </c>
      <c r="AW3" s="1">
        <v>4622.84</v>
      </c>
      <c r="AX3" s="1">
        <v>2013.0</v>
      </c>
      <c r="AZ3" s="1" t="s">
        <v>200</v>
      </c>
      <c r="BA3" s="1" t="str">
        <f>"07313020090000"</f>
        <v>07313020090000</v>
      </c>
      <c r="BC3" s="1">
        <v>1500.0</v>
      </c>
      <c r="BD3" s="1">
        <v>205000.0</v>
      </c>
      <c r="BE3" s="2">
        <v>41938.0</v>
      </c>
      <c r="BF3" s="2" t="s">
        <v>258</v>
      </c>
      <c r="BH3" s="1">
        <v>0.0</v>
      </c>
      <c r="BJ3" s="1" t="s">
        <v>259</v>
      </c>
      <c r="BK3" s="1" t="s">
        <v>204</v>
      </c>
      <c r="BL3" s="1" t="str">
        <f>"8"</f>
        <v>8</v>
      </c>
      <c r="BM3" s="1" t="str">
        <f t="shared" si="1"/>
        <v>0</v>
      </c>
      <c r="BN3" s="1">
        <v>26.0</v>
      </c>
      <c r="BO3" s="1">
        <v>0.0</v>
      </c>
      <c r="BQ3" s="1">
        <v>54.0</v>
      </c>
      <c r="BR3" s="1">
        <v>211.0</v>
      </c>
      <c r="BS3" s="1">
        <v>54.0</v>
      </c>
      <c r="BU3" s="1" t="s">
        <v>260</v>
      </c>
      <c r="BV3" s="1" t="s">
        <v>206</v>
      </c>
      <c r="BW3" s="1" t="s">
        <v>207</v>
      </c>
      <c r="BX3" s="1" t="s">
        <v>261</v>
      </c>
      <c r="BY3" s="1" t="s">
        <v>262</v>
      </c>
      <c r="BZ3" s="1" t="s">
        <v>209</v>
      </c>
      <c r="CA3" s="1" t="s">
        <v>207</v>
      </c>
      <c r="CC3" s="1" t="s">
        <v>263</v>
      </c>
      <c r="CD3" s="1" t="s">
        <v>206</v>
      </c>
      <c r="CE3" s="1" t="s">
        <v>207</v>
      </c>
      <c r="CG3" s="1" t="s">
        <v>264</v>
      </c>
      <c r="CH3" s="1" t="s">
        <v>209</v>
      </c>
      <c r="CI3" s="1" t="s">
        <v>207</v>
      </c>
      <c r="CK3" s="1" t="s">
        <v>265</v>
      </c>
      <c r="CL3" s="1" t="s">
        <v>209</v>
      </c>
      <c r="CM3" s="1" t="s">
        <v>207</v>
      </c>
      <c r="CO3" s="1" t="s">
        <v>266</v>
      </c>
      <c r="CP3" s="1" t="s">
        <v>267</v>
      </c>
      <c r="CQ3" s="1" t="s">
        <v>268</v>
      </c>
      <c r="CS3" s="1" t="s">
        <v>269</v>
      </c>
      <c r="CT3" s="1" t="s">
        <v>206</v>
      </c>
      <c r="CU3" s="1" t="s">
        <v>207</v>
      </c>
      <c r="CW3" s="1" t="s">
        <v>270</v>
      </c>
      <c r="CX3" s="1" t="s">
        <v>267</v>
      </c>
      <c r="CY3" s="1" t="s">
        <v>268</v>
      </c>
      <c r="CZ3" s="1" t="s">
        <v>229</v>
      </c>
      <c r="DA3" s="1" t="s">
        <v>200</v>
      </c>
      <c r="DC3" s="1" t="s">
        <v>271</v>
      </c>
      <c r="DD3" s="1" t="s">
        <v>272</v>
      </c>
      <c r="DE3" s="1" t="s">
        <v>273</v>
      </c>
      <c r="DF3" s="1" t="s">
        <v>219</v>
      </c>
      <c r="DG3" s="1" t="s">
        <v>274</v>
      </c>
      <c r="DH3" s="1" t="s">
        <v>220</v>
      </c>
      <c r="DI3" s="1" t="s">
        <v>275</v>
      </c>
      <c r="DJ3" s="1" t="s">
        <v>222</v>
      </c>
      <c r="DL3" s="1" t="s">
        <v>224</v>
      </c>
      <c r="DM3" s="1" t="s">
        <v>229</v>
      </c>
      <c r="DP3" s="1" t="s">
        <v>276</v>
      </c>
      <c r="DQ3" s="1" t="s">
        <v>228</v>
      </c>
      <c r="DR3" s="1" t="s">
        <v>229</v>
      </c>
      <c r="DS3" s="1" t="s">
        <v>277</v>
      </c>
      <c r="DU3" s="1" t="s">
        <v>278</v>
      </c>
      <c r="DV3" s="1" t="s">
        <v>232</v>
      </c>
      <c r="DW3" s="1" t="s">
        <v>279</v>
      </c>
      <c r="DX3" s="1" t="s">
        <v>280</v>
      </c>
      <c r="DY3" s="1" t="s">
        <v>281</v>
      </c>
      <c r="DZ3" s="1" t="s">
        <v>282</v>
      </c>
      <c r="EA3" s="1" t="s">
        <v>283</v>
      </c>
      <c r="EC3" s="1" t="s">
        <v>284</v>
      </c>
      <c r="EM3" s="1" t="s">
        <v>238</v>
      </c>
      <c r="EQ3" s="1" t="s">
        <v>238</v>
      </c>
      <c r="EU3" s="1" t="s">
        <v>238</v>
      </c>
      <c r="EY3" s="1" t="s">
        <v>238</v>
      </c>
      <c r="FC3" s="1" t="s">
        <v>238</v>
      </c>
      <c r="FF3" s="1" t="s">
        <v>239</v>
      </c>
      <c r="FG3" s="1" t="s">
        <v>192</v>
      </c>
      <c r="FH3" s="1" t="s">
        <v>192</v>
      </c>
      <c r="FJ3" s="1" t="s">
        <v>285</v>
      </c>
      <c r="FK3" s="1" t="s">
        <v>229</v>
      </c>
      <c r="FL3" s="1" t="s">
        <v>286</v>
      </c>
      <c r="FM3" s="1">
        <v>23948.0</v>
      </c>
      <c r="FN3" s="1" t="s">
        <v>287</v>
      </c>
      <c r="FO3" s="1" t="s">
        <v>288</v>
      </c>
      <c r="FP3" s="1">
        <v>240139.0</v>
      </c>
      <c r="FU3" s="1" t="s">
        <v>289</v>
      </c>
      <c r="FV3" s="1" t="s">
        <v>200</v>
      </c>
      <c r="FW3" s="1" t="s">
        <v>290</v>
      </c>
      <c r="FZ3" s="1" t="s">
        <v>229</v>
      </c>
      <c r="GA3" s="1" t="s">
        <v>291</v>
      </c>
      <c r="GB3" s="2">
        <v>42108.0</v>
      </c>
      <c r="GC3" s="1" t="s">
        <v>292</v>
      </c>
    </row>
    <row r="4">
      <c r="A4" s="1">
        <v>175000.0</v>
      </c>
      <c r="B4" s="1" t="s">
        <v>185</v>
      </c>
      <c r="C4" s="1" t="str">
        <f>"08758220"</f>
        <v>08758220</v>
      </c>
      <c r="D4" s="1" t="s">
        <v>186</v>
      </c>
      <c r="F4" s="1" t="str">
        <f>"107"</f>
        <v>107</v>
      </c>
      <c r="G4" s="2">
        <v>41933.0</v>
      </c>
      <c r="H4" s="1">
        <v>178800.0</v>
      </c>
      <c r="I4" s="1">
        <v>8.0</v>
      </c>
      <c r="J4" s="1">
        <v>178800.0</v>
      </c>
      <c r="K4" s="2">
        <v>41940.0</v>
      </c>
      <c r="L4" s="1">
        <v>8.0</v>
      </c>
      <c r="M4" s="2">
        <v>41940.0</v>
      </c>
      <c r="N4" s="1" t="s">
        <v>187</v>
      </c>
      <c r="O4" s="2">
        <v>41977.0</v>
      </c>
      <c r="P4" s="1">
        <v>232960.0</v>
      </c>
      <c r="Q4" s="1">
        <v>24007.0</v>
      </c>
      <c r="S4" s="1">
        <v>422.0</v>
      </c>
      <c r="T4" s="1" t="s">
        <v>293</v>
      </c>
      <c r="U4" s="1" t="s">
        <v>189</v>
      </c>
      <c r="V4" s="1" t="s">
        <v>294</v>
      </c>
      <c r="W4" s="1">
        <v>60107.0</v>
      </c>
      <c r="Y4" s="1" t="s">
        <v>295</v>
      </c>
      <c r="Z4" s="1" t="s">
        <v>296</v>
      </c>
      <c r="AA4" s="1" t="s">
        <v>192</v>
      </c>
      <c r="AB4" s="1" t="s">
        <v>193</v>
      </c>
      <c r="AD4" s="1" t="s">
        <v>297</v>
      </c>
      <c r="AE4" s="1" t="s">
        <v>195</v>
      </c>
      <c r="AF4" s="1" t="s">
        <v>298</v>
      </c>
      <c r="AH4" s="1">
        <v>7800.0</v>
      </c>
      <c r="AK4" s="1">
        <v>8.0</v>
      </c>
      <c r="AL4" s="1">
        <v>4.0</v>
      </c>
      <c r="AM4" s="1">
        <v>2.0</v>
      </c>
      <c r="AN4" s="1">
        <v>0.0</v>
      </c>
      <c r="AO4" s="1" t="s">
        <v>229</v>
      </c>
      <c r="AQ4" s="1" t="s">
        <v>229</v>
      </c>
      <c r="AS4" s="1" t="s">
        <v>199</v>
      </c>
      <c r="AT4" s="1">
        <v>2.5</v>
      </c>
      <c r="AV4" s="1" t="s">
        <v>200</v>
      </c>
      <c r="AW4" s="1">
        <v>3554.0</v>
      </c>
      <c r="AX4" s="1">
        <v>2013.0</v>
      </c>
      <c r="AZ4" s="1" t="s">
        <v>200</v>
      </c>
      <c r="BA4" s="1" t="str">
        <f>"06234080180000"</f>
        <v>06234080180000</v>
      </c>
      <c r="BC4" s="1">
        <v>1800.0</v>
      </c>
      <c r="BD4" s="1">
        <v>175000.0</v>
      </c>
      <c r="BE4" s="2">
        <v>41933.0</v>
      </c>
      <c r="BF4" s="1" t="s">
        <v>299</v>
      </c>
      <c r="BH4" s="1">
        <v>0.0</v>
      </c>
      <c r="BK4" s="1" t="s">
        <v>204</v>
      </c>
      <c r="BL4" s="1" t="str">
        <f t="shared" ref="BL4:BM4" si="2">""</f>
        <v/>
      </c>
      <c r="BM4" s="1" t="str">
        <f t="shared" si="2"/>
        <v/>
      </c>
      <c r="BQ4" s="1">
        <v>46.0</v>
      </c>
      <c r="BR4" s="1">
        <v>46.0</v>
      </c>
      <c r="BS4" s="1">
        <v>46.0</v>
      </c>
      <c r="BU4" s="1" t="s">
        <v>300</v>
      </c>
      <c r="BV4" s="1" t="s">
        <v>206</v>
      </c>
      <c r="BW4" s="1" t="s">
        <v>301</v>
      </c>
      <c r="BY4" s="1" t="s">
        <v>302</v>
      </c>
      <c r="BZ4" s="1" t="s">
        <v>206</v>
      </c>
      <c r="CA4" s="1" t="s">
        <v>210</v>
      </c>
      <c r="CC4" s="1" t="s">
        <v>303</v>
      </c>
      <c r="CD4" s="1" t="s">
        <v>206</v>
      </c>
      <c r="CE4" s="1" t="s">
        <v>301</v>
      </c>
      <c r="CG4" s="1" t="s">
        <v>303</v>
      </c>
      <c r="CH4" s="1" t="s">
        <v>206</v>
      </c>
      <c r="CI4" s="1" t="s">
        <v>210</v>
      </c>
      <c r="CK4" s="1" t="s">
        <v>269</v>
      </c>
      <c r="CL4" s="1" t="s">
        <v>206</v>
      </c>
      <c r="CM4" s="1" t="s">
        <v>210</v>
      </c>
      <c r="CO4" s="1" t="s">
        <v>300</v>
      </c>
      <c r="CP4" s="1" t="s">
        <v>267</v>
      </c>
      <c r="CQ4" s="1" t="s">
        <v>210</v>
      </c>
      <c r="CS4" s="1" t="s">
        <v>303</v>
      </c>
      <c r="CT4" s="1" t="s">
        <v>206</v>
      </c>
      <c r="CU4" s="1" t="s">
        <v>268</v>
      </c>
      <c r="CW4" s="1" t="s">
        <v>304</v>
      </c>
      <c r="CX4" s="1" t="s">
        <v>267</v>
      </c>
      <c r="CY4" s="1" t="s">
        <v>210</v>
      </c>
      <c r="DA4" s="1" t="s">
        <v>200</v>
      </c>
      <c r="DC4" s="1" t="s">
        <v>305</v>
      </c>
      <c r="DD4" s="1" t="s">
        <v>306</v>
      </c>
      <c r="DE4" s="1" t="s">
        <v>273</v>
      </c>
      <c r="DF4" s="1" t="s">
        <v>219</v>
      </c>
      <c r="DH4" s="1" t="s">
        <v>307</v>
      </c>
      <c r="DI4" s="1" t="s">
        <v>308</v>
      </c>
      <c r="DJ4" s="1" t="s">
        <v>222</v>
      </c>
      <c r="DL4" s="1" t="s">
        <v>229</v>
      </c>
      <c r="DM4" s="1" t="s">
        <v>229</v>
      </c>
      <c r="DP4" s="1" t="s">
        <v>276</v>
      </c>
      <c r="DQ4" s="1" t="s">
        <v>228</v>
      </c>
      <c r="DR4" s="1" t="s">
        <v>229</v>
      </c>
      <c r="DV4" s="1" t="s">
        <v>232</v>
      </c>
      <c r="DW4" s="1" t="s">
        <v>233</v>
      </c>
      <c r="DX4" s="1" t="s">
        <v>309</v>
      </c>
      <c r="DZ4" s="1" t="s">
        <v>310</v>
      </c>
      <c r="EC4" s="1" t="s">
        <v>311</v>
      </c>
      <c r="ED4" s="1" t="s">
        <v>312</v>
      </c>
      <c r="EM4" s="1" t="s">
        <v>238</v>
      </c>
      <c r="EQ4" s="1" t="s">
        <v>238</v>
      </c>
      <c r="EU4" s="1" t="s">
        <v>238</v>
      </c>
      <c r="EY4" s="1" t="s">
        <v>238</v>
      </c>
      <c r="FC4" s="1" t="s">
        <v>238</v>
      </c>
      <c r="FF4" s="1" t="s">
        <v>239</v>
      </c>
      <c r="FG4" s="1" t="s">
        <v>192</v>
      </c>
      <c r="FH4" s="1" t="s">
        <v>192</v>
      </c>
      <c r="FJ4" s="1" t="s">
        <v>313</v>
      </c>
      <c r="FK4" s="1" t="s">
        <v>229</v>
      </c>
      <c r="FL4" s="1" t="s">
        <v>314</v>
      </c>
      <c r="FM4" s="1">
        <v>15130.0</v>
      </c>
      <c r="FN4" s="1" t="s">
        <v>315</v>
      </c>
      <c r="FO4" s="1" t="s">
        <v>316</v>
      </c>
      <c r="FP4" s="1">
        <v>152647.0</v>
      </c>
      <c r="FQ4" s="1" t="s">
        <v>317</v>
      </c>
      <c r="FU4" s="1" t="s">
        <v>318</v>
      </c>
      <c r="FV4" s="1" t="s">
        <v>192</v>
      </c>
      <c r="FW4" s="1" t="s">
        <v>290</v>
      </c>
      <c r="FZ4" s="1" t="s">
        <v>229</v>
      </c>
      <c r="GA4" s="1" t="s">
        <v>291</v>
      </c>
      <c r="GB4" s="2">
        <v>41981.0</v>
      </c>
      <c r="GC4" s="1" t="s">
        <v>318</v>
      </c>
    </row>
    <row r="5">
      <c r="A5" s="1">
        <v>215100.0</v>
      </c>
      <c r="B5" s="1" t="s">
        <v>185</v>
      </c>
      <c r="C5" s="1" t="str">
        <f>"08754800"</f>
        <v>08754800</v>
      </c>
      <c r="D5" s="1" t="s">
        <v>186</v>
      </c>
      <c r="F5" s="1" t="str">
        <f>"140"</f>
        <v>140</v>
      </c>
      <c r="G5" s="2">
        <v>41928.0</v>
      </c>
      <c r="H5" s="1">
        <v>284900.0</v>
      </c>
      <c r="I5" s="1">
        <v>177.0</v>
      </c>
      <c r="J5" s="1">
        <v>214500.0</v>
      </c>
      <c r="K5" s="2">
        <v>42103.0</v>
      </c>
      <c r="L5" s="1">
        <v>177.0</v>
      </c>
      <c r="M5" s="2">
        <v>42103.0</v>
      </c>
      <c r="N5" s="1" t="s">
        <v>187</v>
      </c>
      <c r="O5" s="2">
        <v>42132.0</v>
      </c>
      <c r="P5" s="1">
        <v>54074.0</v>
      </c>
      <c r="Q5" s="1">
        <v>5153.0</v>
      </c>
      <c r="S5" s="1">
        <v>234.0</v>
      </c>
      <c r="T5" s="1" t="s">
        <v>319</v>
      </c>
      <c r="U5" s="1" t="s">
        <v>320</v>
      </c>
      <c r="V5" s="1" t="s">
        <v>321</v>
      </c>
      <c r="W5" s="1">
        <v>60140.0</v>
      </c>
      <c r="Y5" s="1" t="s">
        <v>322</v>
      </c>
      <c r="Z5" s="1">
        <v>2002.0</v>
      </c>
      <c r="AA5" s="1" t="s">
        <v>200</v>
      </c>
      <c r="AB5" s="1" t="s">
        <v>193</v>
      </c>
      <c r="AC5" s="1" t="s">
        <v>323</v>
      </c>
      <c r="AD5" s="1" t="s">
        <v>324</v>
      </c>
      <c r="AE5" s="1" t="s">
        <v>325</v>
      </c>
      <c r="AF5" s="1" t="s">
        <v>324</v>
      </c>
      <c r="AH5" s="1" t="s">
        <v>326</v>
      </c>
      <c r="AI5" s="1">
        <v>0.24</v>
      </c>
      <c r="AK5" s="1">
        <v>9.0</v>
      </c>
      <c r="AL5" s="1">
        <v>4.0</v>
      </c>
      <c r="AM5" s="1">
        <v>2.0</v>
      </c>
      <c r="AN5" s="1">
        <v>1.0</v>
      </c>
      <c r="AO5" s="1" t="s">
        <v>198</v>
      </c>
      <c r="AP5" s="1">
        <v>1.0</v>
      </c>
      <c r="AQ5" s="1" t="s">
        <v>327</v>
      </c>
      <c r="AR5" s="1" t="s">
        <v>200</v>
      </c>
      <c r="AS5" s="1" t="s">
        <v>199</v>
      </c>
      <c r="AT5" s="1">
        <v>2.0</v>
      </c>
      <c r="AV5" s="1" t="s">
        <v>200</v>
      </c>
      <c r="AW5" s="1">
        <v>6973.62</v>
      </c>
      <c r="AX5" s="1">
        <v>2013.0</v>
      </c>
      <c r="AZ5" s="1" t="s">
        <v>200</v>
      </c>
      <c r="BA5" s="1" t="str">
        <f>"0122477005"</f>
        <v>0122477005</v>
      </c>
      <c r="BB5" s="1" t="s">
        <v>200</v>
      </c>
      <c r="BC5" s="1">
        <v>3198.0</v>
      </c>
      <c r="BD5" s="1">
        <v>215100.0</v>
      </c>
      <c r="BE5" s="2">
        <v>41927.0</v>
      </c>
      <c r="BF5" s="2" t="s">
        <v>328</v>
      </c>
      <c r="BH5" s="1">
        <v>0.0</v>
      </c>
      <c r="BK5" s="1" t="s">
        <v>204</v>
      </c>
      <c r="BL5" s="1" t="str">
        <f t="shared" ref="BL5:BM5" si="3">""</f>
        <v/>
      </c>
      <c r="BM5" s="1" t="str">
        <f t="shared" si="3"/>
        <v/>
      </c>
      <c r="BQ5" s="1">
        <v>300.0</v>
      </c>
      <c r="BR5" s="1">
        <v>300.0</v>
      </c>
      <c r="BS5" s="1">
        <v>300.0</v>
      </c>
      <c r="BU5" s="1" t="s">
        <v>329</v>
      </c>
      <c r="BV5" s="1" t="s">
        <v>206</v>
      </c>
      <c r="BW5" s="1" t="s">
        <v>210</v>
      </c>
      <c r="BY5" s="1" t="s">
        <v>330</v>
      </c>
      <c r="BZ5" s="1" t="s">
        <v>209</v>
      </c>
      <c r="CA5" s="1" t="s">
        <v>210</v>
      </c>
      <c r="CC5" s="1" t="s">
        <v>329</v>
      </c>
      <c r="CD5" s="1" t="s">
        <v>206</v>
      </c>
      <c r="CE5" s="1" t="s">
        <v>210</v>
      </c>
      <c r="CG5" s="1" t="s">
        <v>331</v>
      </c>
      <c r="CH5" s="1" t="s">
        <v>209</v>
      </c>
      <c r="CI5" s="1" t="s">
        <v>210</v>
      </c>
      <c r="CK5" s="1" t="s">
        <v>215</v>
      </c>
      <c r="CL5" s="1" t="s">
        <v>209</v>
      </c>
      <c r="CM5" s="1" t="s">
        <v>210</v>
      </c>
      <c r="CO5" s="1" t="s">
        <v>332</v>
      </c>
      <c r="CP5" s="1" t="s">
        <v>209</v>
      </c>
      <c r="CQ5" s="1" t="s">
        <v>210</v>
      </c>
      <c r="CS5" s="1" t="s">
        <v>333</v>
      </c>
      <c r="CT5" s="1" t="s">
        <v>206</v>
      </c>
      <c r="CU5" s="1" t="s">
        <v>301</v>
      </c>
      <c r="CW5" s="1" t="s">
        <v>334</v>
      </c>
      <c r="CX5" s="1" t="s">
        <v>206</v>
      </c>
      <c r="CY5" s="1" t="s">
        <v>210</v>
      </c>
      <c r="DA5" s="1" t="s">
        <v>200</v>
      </c>
      <c r="DC5" s="1" t="s">
        <v>335</v>
      </c>
      <c r="DD5" s="1" t="s">
        <v>336</v>
      </c>
      <c r="DE5" s="1" t="s">
        <v>273</v>
      </c>
      <c r="DF5" s="1" t="s">
        <v>219</v>
      </c>
      <c r="DG5" s="1" t="s">
        <v>337</v>
      </c>
      <c r="DH5" s="1" t="s">
        <v>220</v>
      </c>
      <c r="DJ5" s="1" t="s">
        <v>222</v>
      </c>
      <c r="DK5" s="1" t="s">
        <v>223</v>
      </c>
      <c r="DL5" s="1" t="s">
        <v>223</v>
      </c>
      <c r="DM5" s="1" t="s">
        <v>338</v>
      </c>
      <c r="DN5" s="1" t="s">
        <v>339</v>
      </c>
      <c r="DP5" s="1" t="s">
        <v>340</v>
      </c>
      <c r="DQ5" s="1" t="s">
        <v>228</v>
      </c>
      <c r="DR5" s="1" t="s">
        <v>229</v>
      </c>
      <c r="DS5" s="1" t="s">
        <v>230</v>
      </c>
      <c r="DV5" s="1" t="s">
        <v>341</v>
      </c>
      <c r="DW5" s="1" t="s">
        <v>233</v>
      </c>
      <c r="DX5" s="1" t="s">
        <v>234</v>
      </c>
      <c r="DY5" s="1" t="s">
        <v>342</v>
      </c>
      <c r="DZ5" s="1" t="s">
        <v>343</v>
      </c>
      <c r="EA5" s="1" t="s">
        <v>344</v>
      </c>
      <c r="EB5" s="1" t="s">
        <v>345</v>
      </c>
      <c r="EC5" s="1" t="s">
        <v>237</v>
      </c>
      <c r="EG5" s="1" t="s">
        <v>341</v>
      </c>
      <c r="EL5" s="1" t="s">
        <v>346</v>
      </c>
      <c r="EM5" s="1" t="s">
        <v>209</v>
      </c>
      <c r="EN5" s="1" t="s">
        <v>210</v>
      </c>
      <c r="EO5" s="1" t="s">
        <v>229</v>
      </c>
      <c r="EQ5" s="1" t="s">
        <v>238</v>
      </c>
      <c r="EU5" s="1" t="s">
        <v>238</v>
      </c>
      <c r="EY5" s="1" t="s">
        <v>238</v>
      </c>
      <c r="FC5" s="1" t="s">
        <v>238</v>
      </c>
      <c r="FF5" s="1" t="s">
        <v>239</v>
      </c>
      <c r="FG5" s="1" t="s">
        <v>192</v>
      </c>
      <c r="FH5" s="1" t="s">
        <v>192</v>
      </c>
      <c r="FJ5" s="1" t="s">
        <v>347</v>
      </c>
      <c r="FK5" s="1" t="s">
        <v>348</v>
      </c>
      <c r="FL5" s="1" t="s">
        <v>349</v>
      </c>
      <c r="FM5" s="1">
        <v>93162.0</v>
      </c>
      <c r="FN5" s="1" t="s">
        <v>350</v>
      </c>
      <c r="FO5" s="1" t="s">
        <v>351</v>
      </c>
      <c r="FP5" s="1">
        <v>931530.0</v>
      </c>
      <c r="FS5" s="1" t="s">
        <v>352</v>
      </c>
      <c r="FU5" s="1" t="s">
        <v>353</v>
      </c>
      <c r="FV5" s="1" t="s">
        <v>200</v>
      </c>
      <c r="FW5" s="1" t="s">
        <v>354</v>
      </c>
      <c r="FZ5" s="1" t="s">
        <v>229</v>
      </c>
      <c r="GA5" s="1" t="s">
        <v>291</v>
      </c>
      <c r="GB5" s="2">
        <v>42132.0</v>
      </c>
      <c r="GC5" s="1" t="s">
        <v>355</v>
      </c>
    </row>
    <row r="6">
      <c r="A6" s="1">
        <v>195000.0</v>
      </c>
      <c r="B6" s="1" t="s">
        <v>185</v>
      </c>
      <c r="C6" s="1" t="str">
        <f>"08758221"</f>
        <v>08758221</v>
      </c>
      <c r="D6" s="1" t="s">
        <v>186</v>
      </c>
      <c r="F6" s="1" t="str">
        <f>"8025"</f>
        <v>8025</v>
      </c>
      <c r="G6" s="2">
        <v>41933.0</v>
      </c>
      <c r="H6" s="1">
        <v>199000.0</v>
      </c>
      <c r="I6" s="1">
        <v>57.0</v>
      </c>
      <c r="J6" s="1">
        <v>199000.0</v>
      </c>
      <c r="K6" s="2">
        <v>41969.0</v>
      </c>
      <c r="L6" s="1">
        <v>37.0</v>
      </c>
      <c r="M6" s="2">
        <v>41969.0</v>
      </c>
      <c r="N6" s="1" t="s">
        <v>356</v>
      </c>
      <c r="O6" s="2">
        <v>42023.0</v>
      </c>
      <c r="P6" s="1">
        <v>877353.0</v>
      </c>
      <c r="Q6" s="1">
        <v>85895.0</v>
      </c>
      <c r="S6" s="1">
        <v>1525.0</v>
      </c>
      <c r="T6" s="1" t="s">
        <v>357</v>
      </c>
      <c r="U6" s="1" t="s">
        <v>189</v>
      </c>
      <c r="V6" s="1" t="s">
        <v>190</v>
      </c>
      <c r="W6" s="1">
        <v>60651.0</v>
      </c>
      <c r="Y6" s="1" t="s">
        <v>358</v>
      </c>
      <c r="Z6" s="1">
        <v>1915.0</v>
      </c>
      <c r="AA6" s="1" t="s">
        <v>192</v>
      </c>
      <c r="AB6" s="1" t="s">
        <v>193</v>
      </c>
      <c r="AD6" s="1" t="s">
        <v>194</v>
      </c>
      <c r="AE6" s="1" t="s">
        <v>195</v>
      </c>
      <c r="AF6" s="1" t="s">
        <v>196</v>
      </c>
      <c r="AH6" s="1" t="s">
        <v>359</v>
      </c>
      <c r="AI6" s="1">
        <v>0.0897</v>
      </c>
      <c r="AK6" s="1">
        <v>9.0</v>
      </c>
      <c r="AL6" s="1">
        <v>4.0</v>
      </c>
      <c r="AM6" s="1">
        <v>3.0</v>
      </c>
      <c r="AN6" s="1">
        <v>0.0</v>
      </c>
      <c r="AO6" s="1" t="s">
        <v>198</v>
      </c>
      <c r="AP6" s="1">
        <v>1.0</v>
      </c>
      <c r="AQ6" s="1" t="s">
        <v>198</v>
      </c>
      <c r="AR6" s="1" t="s">
        <v>192</v>
      </c>
      <c r="AS6" s="1" t="s">
        <v>199</v>
      </c>
      <c r="AT6" s="1">
        <v>2.0</v>
      </c>
      <c r="AV6" s="1" t="s">
        <v>200</v>
      </c>
      <c r="AW6" s="1">
        <v>1580.85</v>
      </c>
      <c r="AX6" s="1">
        <v>2012.0</v>
      </c>
      <c r="AZ6" s="1" t="s">
        <v>200</v>
      </c>
      <c r="BA6" s="1" t="str">
        <f>"16042030140000"</f>
        <v>16042030140000</v>
      </c>
      <c r="BC6" s="1">
        <v>1700.0</v>
      </c>
      <c r="BD6" s="1">
        <v>195000.0</v>
      </c>
      <c r="BE6" s="2">
        <v>41933.0</v>
      </c>
      <c r="BF6" s="2" t="s">
        <v>360</v>
      </c>
      <c r="BH6" s="1">
        <v>0.0</v>
      </c>
      <c r="BK6" s="1" t="s">
        <v>204</v>
      </c>
      <c r="BL6" s="1" t="str">
        <f>"1525"</f>
        <v>1525</v>
      </c>
      <c r="BM6" s="1" t="str">
        <f t="shared" ref="BM6:BM7" si="4">"0"</f>
        <v>0</v>
      </c>
      <c r="BN6" s="1">
        <v>5000.0</v>
      </c>
      <c r="BO6" s="1">
        <v>0.0</v>
      </c>
      <c r="BQ6" s="1">
        <v>299.0</v>
      </c>
      <c r="BR6" s="1">
        <v>299.0</v>
      </c>
      <c r="BS6" s="1">
        <v>299.0</v>
      </c>
      <c r="BU6" s="1" t="s">
        <v>361</v>
      </c>
      <c r="BV6" s="1" t="s">
        <v>206</v>
      </c>
      <c r="BW6" s="1" t="s">
        <v>207</v>
      </c>
      <c r="BY6" s="1" t="s">
        <v>362</v>
      </c>
      <c r="BZ6" s="1" t="s">
        <v>209</v>
      </c>
      <c r="CA6" s="1" t="s">
        <v>210</v>
      </c>
      <c r="CC6" s="1" t="s">
        <v>363</v>
      </c>
      <c r="CD6" s="1" t="s">
        <v>206</v>
      </c>
      <c r="CE6" s="1" t="s">
        <v>207</v>
      </c>
      <c r="CG6" s="1" t="s">
        <v>363</v>
      </c>
      <c r="CH6" s="1" t="s">
        <v>209</v>
      </c>
      <c r="CI6" s="1" t="s">
        <v>210</v>
      </c>
      <c r="CK6" s="1" t="s">
        <v>363</v>
      </c>
      <c r="CL6" s="1" t="s">
        <v>206</v>
      </c>
      <c r="CM6" s="1" t="s">
        <v>207</v>
      </c>
      <c r="CO6" s="1" t="s">
        <v>215</v>
      </c>
      <c r="CP6" s="1" t="s">
        <v>206</v>
      </c>
      <c r="CQ6" s="1" t="s">
        <v>207</v>
      </c>
      <c r="CS6" s="1" t="s">
        <v>269</v>
      </c>
      <c r="CT6" s="1" t="s">
        <v>206</v>
      </c>
      <c r="CU6" s="1" t="s">
        <v>268</v>
      </c>
      <c r="CW6" s="1" t="s">
        <v>364</v>
      </c>
      <c r="CX6" s="1" t="s">
        <v>42</v>
      </c>
      <c r="CY6" s="1" t="s">
        <v>268</v>
      </c>
      <c r="DA6" s="1" t="s">
        <v>200</v>
      </c>
      <c r="DC6" s="1" t="s">
        <v>216</v>
      </c>
      <c r="DE6" s="1" t="s">
        <v>273</v>
      </c>
      <c r="DF6" s="1" t="s">
        <v>219</v>
      </c>
      <c r="DH6" s="1" t="s">
        <v>365</v>
      </c>
      <c r="DI6" s="1" t="s">
        <v>366</v>
      </c>
      <c r="DJ6" s="1" t="s">
        <v>222</v>
      </c>
      <c r="DL6" s="1" t="s">
        <v>224</v>
      </c>
      <c r="DM6" s="1" t="s">
        <v>229</v>
      </c>
      <c r="DN6" s="1" t="s">
        <v>367</v>
      </c>
      <c r="DP6" s="1" t="s">
        <v>340</v>
      </c>
      <c r="DQ6" s="1" t="s">
        <v>228</v>
      </c>
      <c r="DR6" s="1" t="s">
        <v>229</v>
      </c>
      <c r="DS6" s="1" t="s">
        <v>368</v>
      </c>
      <c r="DV6" s="1" t="s">
        <v>369</v>
      </c>
      <c r="DW6" s="1" t="s">
        <v>370</v>
      </c>
      <c r="DX6" s="1" t="s">
        <v>234</v>
      </c>
      <c r="DY6" s="1" t="s">
        <v>371</v>
      </c>
      <c r="EA6" s="1" t="s">
        <v>344</v>
      </c>
      <c r="EB6" s="1" t="s">
        <v>372</v>
      </c>
      <c r="EC6" s="1" t="s">
        <v>237</v>
      </c>
      <c r="EG6" s="1" t="s">
        <v>373</v>
      </c>
      <c r="EH6" s="1" t="s">
        <v>374</v>
      </c>
      <c r="EL6" s="1" t="s">
        <v>375</v>
      </c>
      <c r="EM6" s="1" t="s">
        <v>206</v>
      </c>
      <c r="EP6" s="1" t="s">
        <v>375</v>
      </c>
      <c r="EQ6" s="1" t="s">
        <v>206</v>
      </c>
      <c r="EU6" s="1" t="s">
        <v>238</v>
      </c>
      <c r="EY6" s="1" t="s">
        <v>238</v>
      </c>
      <c r="FC6" s="1" t="s">
        <v>238</v>
      </c>
      <c r="FF6" s="1" t="s">
        <v>239</v>
      </c>
      <c r="FG6" s="1" t="s">
        <v>192</v>
      </c>
      <c r="FH6" s="1" t="s">
        <v>192</v>
      </c>
      <c r="FJ6" s="1" t="s">
        <v>376</v>
      </c>
      <c r="FK6" s="1" t="s">
        <v>229</v>
      </c>
      <c r="FL6" s="1" t="s">
        <v>377</v>
      </c>
      <c r="FM6" s="1">
        <v>8430.0</v>
      </c>
      <c r="FN6" s="1" t="s">
        <v>378</v>
      </c>
      <c r="FO6" s="1" t="s">
        <v>379</v>
      </c>
      <c r="FP6" s="1">
        <v>85085.0</v>
      </c>
      <c r="FQ6" s="1" t="s">
        <v>378</v>
      </c>
      <c r="FS6" s="1" t="s">
        <v>380</v>
      </c>
      <c r="FU6" s="1" t="s">
        <v>381</v>
      </c>
      <c r="FV6" s="1" t="s">
        <v>200</v>
      </c>
      <c r="FW6" s="1" t="s">
        <v>382</v>
      </c>
      <c r="FX6" s="1" t="s">
        <v>238</v>
      </c>
      <c r="FZ6" s="1" t="s">
        <v>229</v>
      </c>
      <c r="GA6" s="1" t="s">
        <v>291</v>
      </c>
      <c r="GB6" s="2">
        <v>42023.0</v>
      </c>
      <c r="GC6" s="1" t="s">
        <v>383</v>
      </c>
    </row>
    <row r="7">
      <c r="A7" s="1">
        <v>390000.0</v>
      </c>
      <c r="B7" s="1" t="s">
        <v>185</v>
      </c>
      <c r="C7" s="1" t="str">
        <f>"08757996"</f>
        <v>08757996</v>
      </c>
      <c r="D7" s="1" t="s">
        <v>186</v>
      </c>
      <c r="F7" s="1" t="str">
        <f>"8012"</f>
        <v>8012</v>
      </c>
      <c r="G7" s="2">
        <v>41933.0</v>
      </c>
      <c r="H7" s="1">
        <v>429900.0</v>
      </c>
      <c r="I7" s="1">
        <v>196.0</v>
      </c>
      <c r="J7" s="1">
        <v>429900.0</v>
      </c>
      <c r="K7" s="2">
        <v>42023.0</v>
      </c>
      <c r="L7" s="1">
        <v>91.0</v>
      </c>
      <c r="M7" s="2">
        <v>42023.0</v>
      </c>
      <c r="N7" s="1" t="s">
        <v>187</v>
      </c>
      <c r="O7" s="2">
        <v>42058.0</v>
      </c>
      <c r="P7" s="1">
        <v>113690.0</v>
      </c>
      <c r="Q7" s="1">
        <v>10900.0</v>
      </c>
      <c r="S7" s="1">
        <v>5911.0</v>
      </c>
      <c r="T7" s="1" t="s">
        <v>384</v>
      </c>
      <c r="U7" s="1" t="s">
        <v>189</v>
      </c>
      <c r="V7" s="1" t="s">
        <v>190</v>
      </c>
      <c r="W7" s="1">
        <v>60646.0</v>
      </c>
      <c r="Y7" s="1" t="s">
        <v>385</v>
      </c>
      <c r="Z7" s="1">
        <v>1976.0</v>
      </c>
      <c r="AA7" s="1" t="s">
        <v>192</v>
      </c>
      <c r="AB7" s="1" t="s">
        <v>193</v>
      </c>
      <c r="AD7" s="1" t="s">
        <v>194</v>
      </c>
      <c r="AE7" s="1" t="s">
        <v>195</v>
      </c>
      <c r="AF7" s="1" t="s">
        <v>196</v>
      </c>
      <c r="AH7" s="1" t="s">
        <v>386</v>
      </c>
      <c r="AK7" s="1">
        <v>8.0</v>
      </c>
      <c r="AL7" s="1">
        <v>4.0</v>
      </c>
      <c r="AM7" s="1">
        <v>3.0</v>
      </c>
      <c r="AN7" s="1">
        <v>0.0</v>
      </c>
      <c r="AO7" s="1" t="s">
        <v>198</v>
      </c>
      <c r="AP7" s="1">
        <v>1.0</v>
      </c>
      <c r="AQ7" s="1" t="s">
        <v>198</v>
      </c>
      <c r="AR7" s="1" t="s">
        <v>192</v>
      </c>
      <c r="AS7" s="1" t="s">
        <v>199</v>
      </c>
      <c r="AT7" s="1">
        <v>2.0</v>
      </c>
      <c r="AV7" s="1" t="s">
        <v>200</v>
      </c>
      <c r="AW7" s="1">
        <v>6635.0</v>
      </c>
      <c r="AX7" s="1">
        <v>2013.0</v>
      </c>
      <c r="AY7" s="1" t="s">
        <v>387</v>
      </c>
      <c r="AZ7" s="1" t="s">
        <v>200</v>
      </c>
      <c r="BA7" s="1" t="str">
        <f>"13033010120000"</f>
        <v>13033010120000</v>
      </c>
      <c r="BB7" s="1" t="s">
        <v>200</v>
      </c>
      <c r="BC7" s="1">
        <v>0.0</v>
      </c>
      <c r="BD7" s="1">
        <v>390000.0</v>
      </c>
      <c r="BE7" s="2">
        <v>41933.0</v>
      </c>
      <c r="BF7" s="2" t="s">
        <v>388</v>
      </c>
      <c r="BG7" s="1" t="s">
        <v>389</v>
      </c>
      <c r="BH7" s="1">
        <v>0.0</v>
      </c>
      <c r="BK7" s="1" t="s">
        <v>204</v>
      </c>
      <c r="BL7" s="1" t="str">
        <f>"5911"</f>
        <v>5911</v>
      </c>
      <c r="BM7" s="1" t="str">
        <f t="shared" si="4"/>
        <v>0</v>
      </c>
      <c r="BN7" s="1">
        <v>4750.0</v>
      </c>
      <c r="BO7" s="1">
        <v>0.0</v>
      </c>
      <c r="BQ7" s="1">
        <v>299.0</v>
      </c>
      <c r="BR7" s="1">
        <v>299.0</v>
      </c>
      <c r="BS7" s="1">
        <v>299.0</v>
      </c>
      <c r="BU7" s="1" t="s">
        <v>390</v>
      </c>
      <c r="BV7" s="1" t="s">
        <v>206</v>
      </c>
      <c r="BW7" s="1" t="s">
        <v>207</v>
      </c>
      <c r="BY7" s="1" t="s">
        <v>329</v>
      </c>
      <c r="BZ7" s="1" t="s">
        <v>391</v>
      </c>
      <c r="CA7" s="1" t="s">
        <v>210</v>
      </c>
      <c r="CC7" s="1" t="s">
        <v>332</v>
      </c>
      <c r="CD7" s="1" t="s">
        <v>206</v>
      </c>
      <c r="CE7" s="1" t="s">
        <v>207</v>
      </c>
      <c r="CG7" s="1" t="s">
        <v>212</v>
      </c>
      <c r="CH7" s="1" t="s">
        <v>209</v>
      </c>
      <c r="CI7" s="1" t="s">
        <v>210</v>
      </c>
      <c r="CK7" s="1" t="s">
        <v>392</v>
      </c>
      <c r="CL7" s="1" t="s">
        <v>209</v>
      </c>
      <c r="CM7" s="1" t="s">
        <v>210</v>
      </c>
      <c r="CO7" s="1" t="s">
        <v>331</v>
      </c>
      <c r="CP7" s="1" t="s">
        <v>209</v>
      </c>
      <c r="CQ7" s="1" t="s">
        <v>210</v>
      </c>
      <c r="CS7" s="1" t="s">
        <v>393</v>
      </c>
      <c r="CT7" s="1" t="s">
        <v>206</v>
      </c>
      <c r="CU7" s="1" t="s">
        <v>268</v>
      </c>
      <c r="CW7" s="1" t="s">
        <v>394</v>
      </c>
      <c r="CX7" s="1" t="s">
        <v>42</v>
      </c>
      <c r="CY7" s="1" t="s">
        <v>210</v>
      </c>
      <c r="DA7" s="1" t="s">
        <v>200</v>
      </c>
      <c r="DC7" s="1" t="s">
        <v>395</v>
      </c>
      <c r="DD7" s="1" t="s">
        <v>396</v>
      </c>
      <c r="DE7" s="1" t="s">
        <v>273</v>
      </c>
      <c r="DF7" s="1" t="s">
        <v>219</v>
      </c>
      <c r="DH7" s="1" t="s">
        <v>365</v>
      </c>
      <c r="DI7" s="1" t="s">
        <v>397</v>
      </c>
      <c r="DJ7" s="1" t="s">
        <v>222</v>
      </c>
      <c r="DL7" s="1" t="s">
        <v>224</v>
      </c>
      <c r="DM7" s="1" t="s">
        <v>398</v>
      </c>
      <c r="DN7" s="1" t="s">
        <v>399</v>
      </c>
      <c r="DP7" s="1" t="s">
        <v>400</v>
      </c>
      <c r="DQ7" s="1" t="s">
        <v>228</v>
      </c>
      <c r="DR7" s="1" t="s">
        <v>229</v>
      </c>
      <c r="DS7" s="1" t="s">
        <v>401</v>
      </c>
      <c r="DU7" s="1" t="s">
        <v>402</v>
      </c>
      <c r="DV7" s="1" t="s">
        <v>403</v>
      </c>
      <c r="DW7" s="1" t="s">
        <v>279</v>
      </c>
      <c r="DX7" s="1" t="s">
        <v>234</v>
      </c>
      <c r="DY7" s="1" t="s">
        <v>404</v>
      </c>
      <c r="DZ7" s="1" t="s">
        <v>405</v>
      </c>
      <c r="EA7" s="1" t="s">
        <v>283</v>
      </c>
      <c r="EC7" s="1" t="s">
        <v>406</v>
      </c>
      <c r="ED7" s="1" t="s">
        <v>407</v>
      </c>
      <c r="EG7" s="1" t="s">
        <v>408</v>
      </c>
      <c r="EH7" s="1" t="s">
        <v>409</v>
      </c>
      <c r="EL7" s="1" t="s">
        <v>410</v>
      </c>
      <c r="EM7" s="1" t="s">
        <v>206</v>
      </c>
      <c r="EN7" s="1" t="s">
        <v>268</v>
      </c>
      <c r="EP7" s="1" t="s">
        <v>411</v>
      </c>
      <c r="EQ7" s="1" t="s">
        <v>391</v>
      </c>
      <c r="ER7" s="1" t="s">
        <v>210</v>
      </c>
      <c r="EU7" s="1" t="s">
        <v>238</v>
      </c>
      <c r="EY7" s="1" t="s">
        <v>238</v>
      </c>
      <c r="FC7" s="1" t="s">
        <v>238</v>
      </c>
      <c r="FF7" s="1" t="s">
        <v>239</v>
      </c>
      <c r="FG7" s="1" t="s">
        <v>192</v>
      </c>
      <c r="FH7" s="1" t="s">
        <v>192</v>
      </c>
      <c r="FJ7" s="1" t="s">
        <v>412</v>
      </c>
      <c r="FK7" s="1" t="s">
        <v>229</v>
      </c>
      <c r="FL7" s="1" t="s">
        <v>413</v>
      </c>
      <c r="FM7" s="1">
        <v>13691.0</v>
      </c>
      <c r="FN7" s="1" t="s">
        <v>414</v>
      </c>
      <c r="FO7" s="1" t="s">
        <v>415</v>
      </c>
      <c r="FP7" s="1">
        <v>100858.0</v>
      </c>
      <c r="FQ7" s="1" t="s">
        <v>416</v>
      </c>
      <c r="FU7" s="1" t="s">
        <v>417</v>
      </c>
      <c r="FV7" s="1" t="s">
        <v>200</v>
      </c>
      <c r="FW7" s="1" t="s">
        <v>418</v>
      </c>
      <c r="FX7" s="1" t="s">
        <v>238</v>
      </c>
      <c r="FZ7" s="1" t="s">
        <v>229</v>
      </c>
      <c r="GA7" s="1" t="s">
        <v>291</v>
      </c>
      <c r="GB7" s="2">
        <v>42059.0</v>
      </c>
    </row>
    <row r="8">
      <c r="A8" s="1">
        <v>340000.0</v>
      </c>
      <c r="B8" s="1" t="s">
        <v>185</v>
      </c>
      <c r="C8" s="1" t="str">
        <f>"08759038"</f>
        <v>08759038</v>
      </c>
      <c r="D8" s="1" t="s">
        <v>186</v>
      </c>
      <c r="F8" s="1" t="str">
        <f>"134"</f>
        <v>134</v>
      </c>
      <c r="G8" s="2">
        <v>41934.0</v>
      </c>
      <c r="H8" s="1">
        <v>359900.0</v>
      </c>
      <c r="I8" s="1">
        <v>43.0</v>
      </c>
      <c r="J8" s="1">
        <v>349900.0</v>
      </c>
      <c r="K8" s="2">
        <v>41976.0</v>
      </c>
      <c r="L8" s="1">
        <v>43.0</v>
      </c>
      <c r="M8" s="2">
        <v>41976.0</v>
      </c>
      <c r="N8" s="1" t="s">
        <v>187</v>
      </c>
      <c r="O8" s="2">
        <v>42030.0</v>
      </c>
      <c r="P8" s="1">
        <v>159871.0</v>
      </c>
      <c r="Q8" s="1">
        <v>14741.0</v>
      </c>
      <c r="S8" s="1">
        <v>2019.0</v>
      </c>
      <c r="T8" s="1" t="s">
        <v>419</v>
      </c>
      <c r="U8" s="1" t="s">
        <v>420</v>
      </c>
      <c r="V8" s="1" t="s">
        <v>421</v>
      </c>
      <c r="W8" s="1">
        <v>60134.0</v>
      </c>
      <c r="Y8" s="1" t="s">
        <v>422</v>
      </c>
      <c r="Z8" s="1">
        <v>1991.0</v>
      </c>
      <c r="AA8" s="1" t="s">
        <v>200</v>
      </c>
      <c r="AB8" s="1" t="s">
        <v>193</v>
      </c>
      <c r="AC8" s="1" t="s">
        <v>423</v>
      </c>
      <c r="AD8" s="1" t="s">
        <v>424</v>
      </c>
      <c r="AE8" s="1" t="s">
        <v>325</v>
      </c>
      <c r="AF8" s="1" t="s">
        <v>424</v>
      </c>
      <c r="AG8" s="1" t="s">
        <v>425</v>
      </c>
      <c r="AH8" s="1" t="s">
        <v>426</v>
      </c>
      <c r="AI8" s="1">
        <v>0.25</v>
      </c>
      <c r="AK8" s="1">
        <v>11.0</v>
      </c>
      <c r="AL8" s="1">
        <v>4.0</v>
      </c>
      <c r="AM8" s="1">
        <v>2.0</v>
      </c>
      <c r="AN8" s="1">
        <v>2.0</v>
      </c>
      <c r="AO8" s="1" t="s">
        <v>198</v>
      </c>
      <c r="AP8" s="1">
        <v>1.0</v>
      </c>
      <c r="AQ8" s="1" t="s">
        <v>198</v>
      </c>
      <c r="AR8" s="1" t="s">
        <v>192</v>
      </c>
      <c r="AS8" s="1" t="s">
        <v>199</v>
      </c>
      <c r="AT8" s="1">
        <v>2.0</v>
      </c>
      <c r="AV8" s="1" t="s">
        <v>200</v>
      </c>
      <c r="AW8" s="1">
        <v>9131.02</v>
      </c>
      <c r="AX8" s="1">
        <v>2013.0</v>
      </c>
      <c r="AY8" s="1" t="s">
        <v>387</v>
      </c>
      <c r="AZ8" s="1" t="s">
        <v>200</v>
      </c>
      <c r="BA8" s="1" t="str">
        <f>"1204193015"</f>
        <v>1204193015</v>
      </c>
      <c r="BB8" s="1" t="s">
        <v>200</v>
      </c>
      <c r="BC8" s="1">
        <v>2532.0</v>
      </c>
      <c r="BD8" s="1">
        <v>340000.0</v>
      </c>
      <c r="BE8" s="2">
        <v>41934.0</v>
      </c>
      <c r="BF8" s="2" t="s">
        <v>427</v>
      </c>
      <c r="BG8" s="1" t="s">
        <v>428</v>
      </c>
      <c r="BH8" s="1">
        <v>0.0</v>
      </c>
      <c r="BI8" s="1" t="s">
        <v>429</v>
      </c>
      <c r="BJ8" s="1" t="s">
        <v>430</v>
      </c>
      <c r="BK8" s="1" t="s">
        <v>204</v>
      </c>
      <c r="BL8" s="1" t="str">
        <f t="shared" ref="BL8:BM8" si="5">""</f>
        <v/>
      </c>
      <c r="BM8" s="1" t="str">
        <f t="shared" si="5"/>
        <v/>
      </c>
      <c r="BQ8" s="1">
        <v>304.0</v>
      </c>
      <c r="BR8" s="1">
        <v>304.0</v>
      </c>
      <c r="BS8" s="1">
        <v>304.0</v>
      </c>
      <c r="BU8" s="1" t="s">
        <v>213</v>
      </c>
      <c r="BV8" s="1" t="s">
        <v>206</v>
      </c>
      <c r="BW8" s="1" t="s">
        <v>210</v>
      </c>
      <c r="BX8" s="1" t="s">
        <v>431</v>
      </c>
      <c r="BY8" s="1" t="s">
        <v>432</v>
      </c>
      <c r="BZ8" s="1" t="s">
        <v>209</v>
      </c>
      <c r="CA8" s="1" t="s">
        <v>210</v>
      </c>
      <c r="CB8" s="1" t="s">
        <v>431</v>
      </c>
      <c r="CC8" s="1" t="s">
        <v>329</v>
      </c>
      <c r="CD8" s="1" t="s">
        <v>206</v>
      </c>
      <c r="CE8" s="1" t="s">
        <v>301</v>
      </c>
      <c r="CF8" s="1" t="s">
        <v>431</v>
      </c>
      <c r="CG8" s="1" t="s">
        <v>433</v>
      </c>
      <c r="CH8" s="1" t="s">
        <v>209</v>
      </c>
      <c r="CI8" s="1" t="s">
        <v>210</v>
      </c>
      <c r="CJ8" s="1" t="s">
        <v>431</v>
      </c>
      <c r="CK8" s="1" t="s">
        <v>331</v>
      </c>
      <c r="CL8" s="1" t="s">
        <v>209</v>
      </c>
      <c r="CM8" s="1" t="s">
        <v>210</v>
      </c>
      <c r="CN8" s="1" t="s">
        <v>431</v>
      </c>
      <c r="CO8" s="1" t="s">
        <v>212</v>
      </c>
      <c r="CP8" s="1" t="s">
        <v>209</v>
      </c>
      <c r="CQ8" s="1" t="s">
        <v>210</v>
      </c>
      <c r="CR8" s="1" t="s">
        <v>431</v>
      </c>
      <c r="CS8" s="1" t="s">
        <v>392</v>
      </c>
      <c r="CT8" s="1" t="s">
        <v>206</v>
      </c>
      <c r="CU8" s="1" t="s">
        <v>301</v>
      </c>
      <c r="CV8" s="1" t="s">
        <v>229</v>
      </c>
      <c r="CW8" s="1" t="s">
        <v>434</v>
      </c>
      <c r="CX8" s="1" t="s">
        <v>206</v>
      </c>
      <c r="CY8" s="1" t="s">
        <v>210</v>
      </c>
      <c r="CZ8" s="1" t="s">
        <v>431</v>
      </c>
      <c r="DA8" s="1" t="s">
        <v>200</v>
      </c>
      <c r="DC8" s="1" t="s">
        <v>435</v>
      </c>
      <c r="DD8" s="1" t="s">
        <v>436</v>
      </c>
      <c r="DE8" s="1" t="s">
        <v>273</v>
      </c>
      <c r="DF8" s="1" t="s">
        <v>219</v>
      </c>
      <c r="DG8" s="1" t="s">
        <v>337</v>
      </c>
      <c r="DH8" s="1" t="s">
        <v>220</v>
      </c>
      <c r="DI8" s="1" t="s">
        <v>437</v>
      </c>
      <c r="DJ8" s="1" t="s">
        <v>222</v>
      </c>
      <c r="DK8" s="1" t="s">
        <v>223</v>
      </c>
      <c r="DL8" s="1" t="s">
        <v>438</v>
      </c>
      <c r="DM8" s="1" t="s">
        <v>338</v>
      </c>
      <c r="DN8" s="1" t="s">
        <v>439</v>
      </c>
      <c r="DO8" s="1" t="s">
        <v>440</v>
      </c>
      <c r="DP8" s="1" t="s">
        <v>340</v>
      </c>
      <c r="DQ8" s="1" t="s">
        <v>441</v>
      </c>
      <c r="DR8" s="1" t="s">
        <v>229</v>
      </c>
      <c r="DS8" s="1" t="s">
        <v>230</v>
      </c>
      <c r="DU8" s="1" t="s">
        <v>442</v>
      </c>
      <c r="DV8" s="1" t="s">
        <v>443</v>
      </c>
      <c r="DW8" s="1" t="s">
        <v>444</v>
      </c>
      <c r="DX8" s="1" t="s">
        <v>234</v>
      </c>
      <c r="DY8" s="1" t="s">
        <v>445</v>
      </c>
      <c r="DZ8" s="1" t="s">
        <v>446</v>
      </c>
      <c r="EA8" s="1" t="s">
        <v>447</v>
      </c>
      <c r="EB8" s="1" t="s">
        <v>448</v>
      </c>
      <c r="EC8" s="1" t="s">
        <v>237</v>
      </c>
      <c r="ED8" s="1" t="s">
        <v>407</v>
      </c>
      <c r="EE8" s="1" t="s">
        <v>187</v>
      </c>
      <c r="EG8" s="1" t="s">
        <v>449</v>
      </c>
      <c r="EH8" s="1" t="s">
        <v>450</v>
      </c>
      <c r="EI8" s="1" t="s">
        <v>451</v>
      </c>
      <c r="EL8" s="1" t="s">
        <v>452</v>
      </c>
      <c r="EM8" s="1" t="s">
        <v>206</v>
      </c>
      <c r="EN8" s="1" t="s">
        <v>301</v>
      </c>
      <c r="EO8" s="1" t="s">
        <v>239</v>
      </c>
      <c r="EP8" s="1" t="s">
        <v>453</v>
      </c>
      <c r="EQ8" s="1" t="s">
        <v>42</v>
      </c>
      <c r="ER8" s="1" t="s">
        <v>210</v>
      </c>
      <c r="ES8" s="1" t="s">
        <v>229</v>
      </c>
      <c r="ET8" s="1" t="s">
        <v>454</v>
      </c>
      <c r="EU8" s="1" t="s">
        <v>42</v>
      </c>
      <c r="EV8" s="1" t="s">
        <v>210</v>
      </c>
      <c r="EW8" s="1" t="s">
        <v>229</v>
      </c>
      <c r="EY8" s="1" t="s">
        <v>238</v>
      </c>
      <c r="FC8" s="1" t="s">
        <v>238</v>
      </c>
      <c r="FF8" s="1" t="s">
        <v>239</v>
      </c>
      <c r="FG8" s="1" t="s">
        <v>192</v>
      </c>
      <c r="FH8" s="1" t="s">
        <v>192</v>
      </c>
      <c r="FJ8" s="1" t="s">
        <v>455</v>
      </c>
      <c r="FK8" s="1" t="s">
        <v>229</v>
      </c>
      <c r="FL8" s="1" t="s">
        <v>456</v>
      </c>
      <c r="FM8" s="1">
        <v>49.0</v>
      </c>
      <c r="FN8" s="1" t="s">
        <v>457</v>
      </c>
      <c r="FO8" s="1" t="s">
        <v>458</v>
      </c>
      <c r="FP8" s="1">
        <v>1222.0</v>
      </c>
      <c r="FQ8" s="1" t="s">
        <v>459</v>
      </c>
      <c r="FU8" s="1" t="s">
        <v>460</v>
      </c>
      <c r="FV8" s="1" t="s">
        <v>200</v>
      </c>
      <c r="FW8" s="1" t="s">
        <v>461</v>
      </c>
      <c r="FZ8" s="1" t="s">
        <v>229</v>
      </c>
      <c r="GA8" s="1" t="s">
        <v>291</v>
      </c>
      <c r="GB8" s="2">
        <v>42031.0</v>
      </c>
      <c r="GC8" s="1" t="s">
        <v>462</v>
      </c>
    </row>
    <row r="9">
      <c r="A9" s="1">
        <v>340000.0</v>
      </c>
      <c r="B9" s="1" t="s">
        <v>185</v>
      </c>
      <c r="C9" s="1" t="str">
        <f>"08755810"</f>
        <v>08755810</v>
      </c>
      <c r="D9" s="1" t="s">
        <v>186</v>
      </c>
      <c r="F9" s="1" t="str">
        <f>"123"</f>
        <v>123</v>
      </c>
      <c r="G9" s="2">
        <v>41929.0</v>
      </c>
      <c r="H9" s="1">
        <v>349900.0</v>
      </c>
      <c r="I9" s="1">
        <v>125.0</v>
      </c>
      <c r="J9" s="1">
        <v>349900.0</v>
      </c>
      <c r="K9" s="2">
        <v>42053.0</v>
      </c>
      <c r="L9" s="1">
        <v>125.0</v>
      </c>
      <c r="M9" s="2">
        <v>42053.0</v>
      </c>
      <c r="N9" s="1" t="s">
        <v>187</v>
      </c>
      <c r="O9" s="2">
        <v>42131.0</v>
      </c>
      <c r="P9" s="1">
        <v>55195.0</v>
      </c>
      <c r="Q9" s="1">
        <v>5030.0</v>
      </c>
      <c r="S9" s="1">
        <v>304.0</v>
      </c>
      <c r="T9" s="1" t="s">
        <v>463</v>
      </c>
      <c r="U9" s="1" t="s">
        <v>464</v>
      </c>
      <c r="V9" s="1" t="s">
        <v>465</v>
      </c>
      <c r="W9" s="1">
        <v>60124.0</v>
      </c>
      <c r="Y9" s="1" t="s">
        <v>466</v>
      </c>
      <c r="Z9" s="1">
        <v>2009.0</v>
      </c>
      <c r="AA9" s="1" t="s">
        <v>200</v>
      </c>
      <c r="AB9" s="1" t="s">
        <v>467</v>
      </c>
      <c r="AC9" s="1" t="s">
        <v>468</v>
      </c>
      <c r="AD9" s="1" t="s">
        <v>469</v>
      </c>
      <c r="AE9" s="1" t="s">
        <v>325</v>
      </c>
      <c r="AF9" s="1" t="s">
        <v>469</v>
      </c>
      <c r="AG9" s="1" t="s">
        <v>470</v>
      </c>
      <c r="AH9" s="1" t="s">
        <v>471</v>
      </c>
      <c r="AI9" s="1">
        <v>0.2806</v>
      </c>
      <c r="AK9" s="1">
        <v>11.0</v>
      </c>
      <c r="AL9" s="1">
        <v>4.0</v>
      </c>
      <c r="AM9" s="1">
        <v>2.0</v>
      </c>
      <c r="AN9" s="1">
        <v>1.0</v>
      </c>
      <c r="AO9" s="1" t="s">
        <v>198</v>
      </c>
      <c r="AP9" s="1">
        <v>1.0</v>
      </c>
      <c r="AQ9" s="1" t="s">
        <v>472</v>
      </c>
      <c r="AR9" s="1" t="s">
        <v>200</v>
      </c>
      <c r="AS9" s="1" t="s">
        <v>199</v>
      </c>
      <c r="AT9" s="1">
        <v>2.0</v>
      </c>
      <c r="AV9" s="1" t="s">
        <v>200</v>
      </c>
      <c r="AW9" s="1">
        <v>9477.08</v>
      </c>
      <c r="AX9" s="1">
        <v>2012.0</v>
      </c>
      <c r="AY9" s="1" t="s">
        <v>387</v>
      </c>
      <c r="AZ9" s="1" t="s">
        <v>200</v>
      </c>
      <c r="BA9" s="1" t="str">
        <f>"0524279004"</f>
        <v>0524279004</v>
      </c>
      <c r="BC9" s="1">
        <v>2950.0</v>
      </c>
      <c r="BD9" s="1">
        <v>340000.0</v>
      </c>
      <c r="BE9" s="2">
        <v>41929.0</v>
      </c>
      <c r="BF9" s="2" t="s">
        <v>473</v>
      </c>
      <c r="BH9" s="1">
        <v>35.0</v>
      </c>
      <c r="BK9" s="1" t="s">
        <v>474</v>
      </c>
      <c r="BL9" s="1" t="str">
        <f>"11"</f>
        <v>11</v>
      </c>
      <c r="BM9" s="1" t="str">
        <f>"0"</f>
        <v>0</v>
      </c>
      <c r="BN9" s="1">
        <v>38.0</v>
      </c>
      <c r="BO9" s="1">
        <v>0.0</v>
      </c>
      <c r="BQ9" s="1">
        <v>301.0</v>
      </c>
      <c r="BR9" s="1">
        <v>301.0</v>
      </c>
      <c r="BS9" s="1">
        <v>301.0</v>
      </c>
      <c r="BU9" s="1" t="s">
        <v>475</v>
      </c>
      <c r="BV9" s="1" t="s">
        <v>206</v>
      </c>
      <c r="BW9" s="1" t="s">
        <v>210</v>
      </c>
      <c r="BX9" s="1" t="s">
        <v>476</v>
      </c>
      <c r="BY9" s="1" t="s">
        <v>477</v>
      </c>
      <c r="BZ9" s="1" t="s">
        <v>209</v>
      </c>
      <c r="CA9" s="1" t="s">
        <v>210</v>
      </c>
      <c r="CB9" s="1" t="s">
        <v>431</v>
      </c>
      <c r="CC9" s="1" t="s">
        <v>478</v>
      </c>
      <c r="CD9" s="1" t="s">
        <v>206</v>
      </c>
      <c r="CE9" s="1" t="s">
        <v>210</v>
      </c>
      <c r="CF9" s="1" t="s">
        <v>476</v>
      </c>
      <c r="CG9" s="1" t="s">
        <v>212</v>
      </c>
      <c r="CH9" s="1" t="s">
        <v>209</v>
      </c>
      <c r="CI9" s="1" t="s">
        <v>210</v>
      </c>
      <c r="CJ9" s="1" t="s">
        <v>431</v>
      </c>
      <c r="CK9" s="1" t="s">
        <v>363</v>
      </c>
      <c r="CL9" s="1" t="s">
        <v>209</v>
      </c>
      <c r="CM9" s="1" t="s">
        <v>210</v>
      </c>
      <c r="CN9" s="1" t="s">
        <v>431</v>
      </c>
      <c r="CO9" s="1" t="s">
        <v>264</v>
      </c>
      <c r="CP9" s="1" t="s">
        <v>209</v>
      </c>
      <c r="CQ9" s="1" t="s">
        <v>210</v>
      </c>
      <c r="CR9" s="1" t="s">
        <v>431</v>
      </c>
      <c r="CS9" s="1" t="s">
        <v>479</v>
      </c>
      <c r="CT9" s="1" t="s">
        <v>206</v>
      </c>
      <c r="CU9" s="1" t="s">
        <v>268</v>
      </c>
      <c r="CV9" s="1" t="s">
        <v>476</v>
      </c>
      <c r="CW9" s="1" t="s">
        <v>480</v>
      </c>
      <c r="CX9" s="1" t="s">
        <v>206</v>
      </c>
      <c r="CY9" s="1" t="s">
        <v>210</v>
      </c>
      <c r="CZ9" s="1" t="s">
        <v>476</v>
      </c>
      <c r="DA9" s="1" t="s">
        <v>200</v>
      </c>
      <c r="DC9" s="1" t="s">
        <v>481</v>
      </c>
      <c r="DD9" s="1" t="s">
        <v>336</v>
      </c>
      <c r="DE9" s="1" t="s">
        <v>273</v>
      </c>
      <c r="DF9" s="1" t="s">
        <v>219</v>
      </c>
      <c r="DG9" s="1" t="s">
        <v>482</v>
      </c>
      <c r="DH9" s="1" t="s">
        <v>220</v>
      </c>
      <c r="DI9" s="1" t="s">
        <v>483</v>
      </c>
      <c r="DJ9" s="1" t="s">
        <v>222</v>
      </c>
      <c r="DK9" s="1" t="s">
        <v>198</v>
      </c>
      <c r="DL9" s="1" t="s">
        <v>484</v>
      </c>
      <c r="DM9" s="1" t="s">
        <v>338</v>
      </c>
      <c r="DN9" s="1" t="s">
        <v>485</v>
      </c>
      <c r="DO9" s="1" t="s">
        <v>486</v>
      </c>
      <c r="DP9" s="1" t="s">
        <v>340</v>
      </c>
      <c r="DQ9" s="1" t="s">
        <v>441</v>
      </c>
      <c r="DR9" s="1" t="s">
        <v>229</v>
      </c>
      <c r="DS9" s="1" t="s">
        <v>230</v>
      </c>
      <c r="DU9" s="1" t="s">
        <v>487</v>
      </c>
      <c r="DV9" s="1" t="s">
        <v>488</v>
      </c>
      <c r="DW9" s="1" t="s">
        <v>489</v>
      </c>
      <c r="DX9" s="1" t="s">
        <v>234</v>
      </c>
      <c r="DY9" s="1" t="s">
        <v>490</v>
      </c>
      <c r="DZ9" s="1" t="s">
        <v>491</v>
      </c>
      <c r="EA9" s="1" t="s">
        <v>344</v>
      </c>
      <c r="EB9" s="1" t="s">
        <v>492</v>
      </c>
      <c r="EC9" s="1" t="s">
        <v>237</v>
      </c>
      <c r="ED9" s="1" t="s">
        <v>407</v>
      </c>
      <c r="EE9" s="1" t="s">
        <v>493</v>
      </c>
      <c r="EG9" s="1" t="s">
        <v>494</v>
      </c>
      <c r="EH9" s="1" t="s">
        <v>341</v>
      </c>
      <c r="EI9" s="1" t="s">
        <v>449</v>
      </c>
      <c r="EL9" s="1" t="s">
        <v>495</v>
      </c>
      <c r="EM9" s="1" t="s">
        <v>206</v>
      </c>
      <c r="EN9" s="1" t="s">
        <v>210</v>
      </c>
      <c r="EO9" s="1" t="s">
        <v>476</v>
      </c>
      <c r="EP9" s="1" t="s">
        <v>496</v>
      </c>
      <c r="EQ9" s="1" t="s">
        <v>209</v>
      </c>
      <c r="ER9" s="1" t="s">
        <v>210</v>
      </c>
      <c r="ES9" s="1" t="s">
        <v>431</v>
      </c>
      <c r="ET9" s="1" t="s">
        <v>497</v>
      </c>
      <c r="EU9" s="1" t="s">
        <v>206</v>
      </c>
      <c r="EV9" s="1" t="s">
        <v>268</v>
      </c>
      <c r="EW9" s="1" t="s">
        <v>476</v>
      </c>
      <c r="EY9" s="1" t="s">
        <v>238</v>
      </c>
      <c r="FC9" s="1" t="s">
        <v>238</v>
      </c>
      <c r="FF9" s="1" t="s">
        <v>239</v>
      </c>
      <c r="FG9" s="1" t="s">
        <v>192</v>
      </c>
      <c r="FH9" s="1" t="s">
        <v>192</v>
      </c>
      <c r="FJ9" s="1" t="s">
        <v>498</v>
      </c>
      <c r="FK9" s="1" t="s">
        <v>229</v>
      </c>
      <c r="FL9" s="1" t="s">
        <v>499</v>
      </c>
      <c r="FM9" s="1">
        <v>358.0</v>
      </c>
      <c r="FN9" s="1" t="s">
        <v>500</v>
      </c>
      <c r="FO9" s="1" t="s">
        <v>501</v>
      </c>
      <c r="FP9" s="1">
        <v>347.0</v>
      </c>
      <c r="FQ9" s="1" t="s">
        <v>500</v>
      </c>
      <c r="FS9" s="1" t="s">
        <v>502</v>
      </c>
      <c r="FU9" s="1" t="s">
        <v>503</v>
      </c>
      <c r="FV9" s="1" t="s">
        <v>200</v>
      </c>
      <c r="FW9" s="1" t="s">
        <v>290</v>
      </c>
      <c r="FZ9" s="1" t="s">
        <v>504</v>
      </c>
      <c r="GA9" s="1" t="s">
        <v>291</v>
      </c>
      <c r="GB9" s="2">
        <v>42131.0</v>
      </c>
      <c r="GC9" s="1" t="s">
        <v>505</v>
      </c>
    </row>
    <row r="10">
      <c r="A10" s="1">
        <v>205000.0</v>
      </c>
      <c r="B10" s="1" t="s">
        <v>185</v>
      </c>
      <c r="C10" s="1" t="str">
        <f>"08759938"</f>
        <v>08759938</v>
      </c>
      <c r="D10" s="1" t="s">
        <v>186</v>
      </c>
      <c r="F10" s="1" t="str">
        <f>"103"</f>
        <v>103</v>
      </c>
      <c r="G10" s="2">
        <v>41935.0</v>
      </c>
      <c r="H10" s="1">
        <v>229900.0</v>
      </c>
      <c r="I10" s="1">
        <v>18.0</v>
      </c>
      <c r="J10" s="1">
        <v>214900.0</v>
      </c>
      <c r="K10" s="2">
        <v>41952.0</v>
      </c>
      <c r="L10" s="1">
        <v>18.0</v>
      </c>
      <c r="M10" s="2">
        <v>41952.0</v>
      </c>
      <c r="N10" s="1" t="s">
        <v>187</v>
      </c>
      <c r="O10" s="2">
        <v>41995.0</v>
      </c>
      <c r="P10" s="1">
        <v>110819.0</v>
      </c>
      <c r="Q10" s="1">
        <v>17926.0</v>
      </c>
      <c r="R10" s="1">
        <v>2500.0</v>
      </c>
      <c r="S10" s="1">
        <v>6744.0</v>
      </c>
      <c r="T10" s="1" t="s">
        <v>506</v>
      </c>
      <c r="U10" s="1" t="s">
        <v>320</v>
      </c>
      <c r="V10" s="1" t="s">
        <v>251</v>
      </c>
      <c r="W10" s="1">
        <v>60133.0</v>
      </c>
      <c r="Y10" s="1" t="s">
        <v>507</v>
      </c>
      <c r="Z10" s="1">
        <v>1967.0</v>
      </c>
      <c r="AA10" s="1" t="s">
        <v>192</v>
      </c>
      <c r="AB10" s="1" t="s">
        <v>193</v>
      </c>
      <c r="AC10" s="1" t="s">
        <v>508</v>
      </c>
      <c r="AD10" s="1" t="s">
        <v>254</v>
      </c>
      <c r="AE10" s="1" t="s">
        <v>195</v>
      </c>
      <c r="AF10" s="1" t="s">
        <v>298</v>
      </c>
      <c r="AH10" s="1" t="s">
        <v>509</v>
      </c>
      <c r="AI10" s="1">
        <v>0.1791</v>
      </c>
      <c r="AK10" s="1">
        <v>8.0</v>
      </c>
      <c r="AL10" s="1">
        <v>4.0</v>
      </c>
      <c r="AM10" s="1">
        <v>2.0</v>
      </c>
      <c r="AN10" s="1">
        <v>1.0</v>
      </c>
      <c r="AO10" s="1" t="s">
        <v>198</v>
      </c>
      <c r="AP10" s="1">
        <v>0.0</v>
      </c>
      <c r="AQ10" s="1" t="s">
        <v>229</v>
      </c>
      <c r="AR10" s="1" t="s">
        <v>200</v>
      </c>
      <c r="AS10" s="1" t="s">
        <v>510</v>
      </c>
      <c r="AT10" s="1">
        <v>1.0</v>
      </c>
      <c r="AU10" s="1">
        <v>4.0</v>
      </c>
      <c r="AV10" s="1" t="s">
        <v>200</v>
      </c>
      <c r="AW10" s="1">
        <v>5414.0</v>
      </c>
      <c r="AX10" s="1">
        <v>2013.0</v>
      </c>
      <c r="AY10" s="1" t="s">
        <v>229</v>
      </c>
      <c r="AZ10" s="1" t="s">
        <v>200</v>
      </c>
      <c r="BA10" s="1" t="str">
        <f>"06363120100000"</f>
        <v>06363120100000</v>
      </c>
      <c r="BC10" s="1">
        <v>1720.0</v>
      </c>
      <c r="BD10" s="1">
        <v>205000.0</v>
      </c>
      <c r="BE10" s="2">
        <v>41935.0</v>
      </c>
      <c r="BF10" s="2" t="s">
        <v>511</v>
      </c>
      <c r="BG10" s="1" t="s">
        <v>512</v>
      </c>
      <c r="BH10" s="1">
        <v>0.0</v>
      </c>
      <c r="BI10" s="1" t="s">
        <v>513</v>
      </c>
      <c r="BJ10" s="1" t="s">
        <v>514</v>
      </c>
      <c r="BK10" s="1" t="s">
        <v>204</v>
      </c>
      <c r="BL10" s="1" t="str">
        <f>"8"</f>
        <v>8</v>
      </c>
      <c r="BM10" s="1" t="str">
        <f>""</f>
        <v/>
      </c>
      <c r="BN10" s="1">
        <v>28.0</v>
      </c>
      <c r="BQ10" s="1">
        <v>46.0</v>
      </c>
      <c r="BR10" s="1">
        <v>46.0</v>
      </c>
      <c r="BS10" s="1">
        <v>46.0</v>
      </c>
      <c r="BU10" s="1" t="s">
        <v>515</v>
      </c>
      <c r="BV10" s="1" t="s">
        <v>206</v>
      </c>
      <c r="BW10" s="1" t="s">
        <v>301</v>
      </c>
      <c r="BX10" s="1" t="s">
        <v>431</v>
      </c>
      <c r="BY10" s="1" t="s">
        <v>331</v>
      </c>
      <c r="BZ10" s="1" t="s">
        <v>209</v>
      </c>
      <c r="CA10" s="1" t="s">
        <v>210</v>
      </c>
      <c r="CB10" s="1" t="s">
        <v>431</v>
      </c>
      <c r="CC10" s="1" t="s">
        <v>212</v>
      </c>
      <c r="CD10" s="1" t="s">
        <v>206</v>
      </c>
      <c r="CE10" s="1" t="s">
        <v>301</v>
      </c>
      <c r="CF10" s="1" t="s">
        <v>431</v>
      </c>
      <c r="CG10" s="1" t="s">
        <v>264</v>
      </c>
      <c r="CH10" s="1" t="s">
        <v>209</v>
      </c>
      <c r="CI10" s="1" t="s">
        <v>210</v>
      </c>
      <c r="CJ10" s="1" t="s">
        <v>431</v>
      </c>
      <c r="CK10" s="1" t="s">
        <v>495</v>
      </c>
      <c r="CL10" s="1" t="s">
        <v>209</v>
      </c>
      <c r="CM10" s="1" t="s">
        <v>210</v>
      </c>
      <c r="CN10" s="1" t="s">
        <v>431</v>
      </c>
      <c r="CO10" s="1" t="s">
        <v>516</v>
      </c>
      <c r="CP10" s="1" t="s">
        <v>209</v>
      </c>
      <c r="CQ10" s="1" t="s">
        <v>210</v>
      </c>
      <c r="CR10" s="1" t="s">
        <v>431</v>
      </c>
      <c r="CS10" s="1" t="s">
        <v>392</v>
      </c>
      <c r="CT10" s="1" t="s">
        <v>206</v>
      </c>
      <c r="CU10" s="1" t="s">
        <v>268</v>
      </c>
      <c r="CV10" s="1" t="s">
        <v>431</v>
      </c>
      <c r="CX10" s="1" t="s">
        <v>204</v>
      </c>
      <c r="DA10" s="1" t="s">
        <v>200</v>
      </c>
      <c r="DC10" s="1" t="s">
        <v>517</v>
      </c>
      <c r="DD10" s="1" t="s">
        <v>518</v>
      </c>
      <c r="DE10" s="1" t="s">
        <v>273</v>
      </c>
      <c r="DF10" s="1" t="s">
        <v>219</v>
      </c>
      <c r="DH10" s="1" t="s">
        <v>365</v>
      </c>
      <c r="DI10" s="1" t="s">
        <v>519</v>
      </c>
      <c r="DJ10" s="1" t="s">
        <v>222</v>
      </c>
      <c r="DL10" s="1" t="s">
        <v>520</v>
      </c>
      <c r="DM10" s="1" t="s">
        <v>338</v>
      </c>
      <c r="DP10" s="1" t="s">
        <v>340</v>
      </c>
      <c r="DQ10" s="1" t="s">
        <v>228</v>
      </c>
      <c r="DR10" s="1" t="s">
        <v>229</v>
      </c>
      <c r="DS10" s="1" t="s">
        <v>230</v>
      </c>
      <c r="DV10" s="1" t="s">
        <v>494</v>
      </c>
      <c r="DW10" s="1" t="s">
        <v>444</v>
      </c>
      <c r="DX10" s="1" t="s">
        <v>234</v>
      </c>
      <c r="DY10" s="1" t="s">
        <v>521</v>
      </c>
      <c r="DZ10" s="1" t="s">
        <v>310</v>
      </c>
      <c r="EC10" s="1" t="s">
        <v>237</v>
      </c>
      <c r="ED10" s="1" t="s">
        <v>407</v>
      </c>
      <c r="EE10" s="1" t="s">
        <v>522</v>
      </c>
      <c r="EF10" s="1" t="s">
        <v>523</v>
      </c>
      <c r="EG10" s="1" t="s">
        <v>494</v>
      </c>
      <c r="EL10" s="1" t="s">
        <v>264</v>
      </c>
      <c r="EM10" s="1" t="s">
        <v>206</v>
      </c>
      <c r="EN10" s="1" t="s">
        <v>301</v>
      </c>
      <c r="EO10" s="1" t="s">
        <v>431</v>
      </c>
      <c r="EQ10" s="1" t="s">
        <v>238</v>
      </c>
      <c r="EU10" s="1" t="s">
        <v>238</v>
      </c>
      <c r="EY10" s="1" t="s">
        <v>238</v>
      </c>
      <c r="FC10" s="1" t="s">
        <v>238</v>
      </c>
      <c r="FF10" s="1" t="s">
        <v>239</v>
      </c>
      <c r="FG10" s="1" t="s">
        <v>192</v>
      </c>
      <c r="FH10" s="1" t="s">
        <v>192</v>
      </c>
      <c r="FJ10" s="1" t="s">
        <v>524</v>
      </c>
      <c r="FK10" s="1" t="s">
        <v>229</v>
      </c>
      <c r="FL10" s="1" t="s">
        <v>525</v>
      </c>
      <c r="FM10" s="1">
        <v>22029.0</v>
      </c>
      <c r="FN10" s="1" t="s">
        <v>526</v>
      </c>
      <c r="FO10" s="1" t="s">
        <v>527</v>
      </c>
      <c r="FP10" s="1">
        <v>28535.0</v>
      </c>
      <c r="FQ10" s="1" t="s">
        <v>528</v>
      </c>
      <c r="FU10" s="1" t="s">
        <v>529</v>
      </c>
      <c r="FV10" s="1" t="s">
        <v>200</v>
      </c>
      <c r="FW10" s="1" t="s">
        <v>530</v>
      </c>
      <c r="FZ10" s="1" t="s">
        <v>229</v>
      </c>
      <c r="GA10" s="1" t="s">
        <v>291</v>
      </c>
      <c r="GB10" s="2">
        <v>41995.0</v>
      </c>
      <c r="GC10" s="1" t="s">
        <v>531</v>
      </c>
    </row>
    <row r="11">
      <c r="A11" s="1">
        <v>700000.0</v>
      </c>
      <c r="B11" s="1" t="s">
        <v>185</v>
      </c>
      <c r="C11" s="1" t="str">
        <f>"08756521"</f>
        <v>08756521</v>
      </c>
      <c r="D11" s="1" t="s">
        <v>186</v>
      </c>
      <c r="F11" s="1" t="str">
        <f>"8006"</f>
        <v>8006</v>
      </c>
      <c r="G11" s="2">
        <v>41931.0</v>
      </c>
      <c r="H11" s="1">
        <v>699000.0</v>
      </c>
      <c r="I11" s="1">
        <v>11.0</v>
      </c>
      <c r="J11" s="1">
        <v>699000.0</v>
      </c>
      <c r="K11" s="2">
        <v>41941.0</v>
      </c>
      <c r="L11" s="1">
        <v>11.0</v>
      </c>
      <c r="M11" s="2">
        <v>41941.0</v>
      </c>
      <c r="N11" s="1" t="s">
        <v>187</v>
      </c>
      <c r="O11" s="2">
        <v>41988.0</v>
      </c>
      <c r="P11" s="1">
        <v>17957.0</v>
      </c>
      <c r="Q11" s="1">
        <v>17053.0</v>
      </c>
      <c r="S11" s="1">
        <v>1764.0</v>
      </c>
      <c r="T11" s="1" t="s">
        <v>532</v>
      </c>
      <c r="U11" s="1" t="s">
        <v>189</v>
      </c>
      <c r="V11" s="1" t="s">
        <v>190</v>
      </c>
      <c r="W11" s="1">
        <v>60613.0</v>
      </c>
      <c r="Y11" s="1" t="s">
        <v>533</v>
      </c>
      <c r="Z11" s="1" t="s">
        <v>296</v>
      </c>
      <c r="AA11" s="1" t="s">
        <v>192</v>
      </c>
      <c r="AB11" s="1" t="s">
        <v>193</v>
      </c>
      <c r="AD11" s="1" t="s">
        <v>194</v>
      </c>
      <c r="AE11" s="1" t="s">
        <v>195</v>
      </c>
      <c r="AF11" s="1" t="s">
        <v>534</v>
      </c>
      <c r="AH11" s="1" t="s">
        <v>535</v>
      </c>
      <c r="AK11" s="1">
        <v>10.0</v>
      </c>
      <c r="AL11" s="1">
        <v>4.0</v>
      </c>
      <c r="AM11" s="1">
        <v>3.0</v>
      </c>
      <c r="AN11" s="1">
        <v>1.0</v>
      </c>
      <c r="AO11" s="1" t="s">
        <v>198</v>
      </c>
      <c r="AQ11" s="1" t="s">
        <v>198</v>
      </c>
      <c r="AR11" s="1" t="s">
        <v>192</v>
      </c>
      <c r="AS11" s="1" t="s">
        <v>199</v>
      </c>
      <c r="AT11" s="1">
        <v>2.0</v>
      </c>
      <c r="AV11" s="1" t="s">
        <v>200</v>
      </c>
      <c r="AW11" s="3">
        <v>10010.0</v>
      </c>
      <c r="AX11" s="1">
        <v>2013.0</v>
      </c>
      <c r="AY11" s="1" t="s">
        <v>387</v>
      </c>
      <c r="AZ11" s="1" t="s">
        <v>200</v>
      </c>
      <c r="BA11" s="1" t="str">
        <f>"14184030190000"</f>
        <v>14184030190000</v>
      </c>
      <c r="BB11" s="1" t="s">
        <v>200</v>
      </c>
      <c r="BC11" s="1">
        <v>2076.0</v>
      </c>
      <c r="BD11" s="1">
        <v>700000.0</v>
      </c>
      <c r="BE11" s="2">
        <v>41931.0</v>
      </c>
      <c r="BF11" s="2" t="s">
        <v>536</v>
      </c>
      <c r="BG11" s="1" t="s">
        <v>537</v>
      </c>
      <c r="BH11" s="1">
        <v>0.0</v>
      </c>
      <c r="BJ11" s="1" t="s">
        <v>538</v>
      </c>
      <c r="BK11" s="1" t="s">
        <v>204</v>
      </c>
      <c r="BL11" s="1" t="str">
        <f>"4300"</f>
        <v>4300</v>
      </c>
      <c r="BM11" s="1" t="str">
        <f t="shared" ref="BM11:BM12" si="6">"0"</f>
        <v>0</v>
      </c>
      <c r="BN11" s="1">
        <v>1764.0</v>
      </c>
      <c r="BO11" s="1">
        <v>0.0</v>
      </c>
      <c r="BP11" s="1" t="s">
        <v>539</v>
      </c>
      <c r="BQ11" s="1">
        <v>299.0</v>
      </c>
      <c r="BR11" s="1">
        <v>299.0</v>
      </c>
      <c r="BS11" s="1">
        <v>299.0</v>
      </c>
      <c r="BU11" s="1" t="s">
        <v>540</v>
      </c>
      <c r="BV11" s="1" t="s">
        <v>206</v>
      </c>
      <c r="BW11" s="1" t="s">
        <v>207</v>
      </c>
      <c r="BY11" s="1" t="s">
        <v>541</v>
      </c>
      <c r="BZ11" s="1" t="s">
        <v>209</v>
      </c>
      <c r="CA11" s="1" t="s">
        <v>207</v>
      </c>
      <c r="CC11" s="1" t="s">
        <v>542</v>
      </c>
      <c r="CD11" s="1" t="s">
        <v>206</v>
      </c>
      <c r="CG11" s="1" t="s">
        <v>332</v>
      </c>
      <c r="CH11" s="1" t="s">
        <v>209</v>
      </c>
      <c r="CI11" s="1" t="s">
        <v>207</v>
      </c>
      <c r="CK11" s="1" t="s">
        <v>264</v>
      </c>
      <c r="CL11" s="1" t="s">
        <v>209</v>
      </c>
      <c r="CM11" s="1" t="s">
        <v>207</v>
      </c>
      <c r="CO11" s="1" t="s">
        <v>543</v>
      </c>
      <c r="CP11" s="1" t="s">
        <v>206</v>
      </c>
      <c r="CQ11" s="1" t="s">
        <v>207</v>
      </c>
      <c r="CS11" s="1" t="s">
        <v>454</v>
      </c>
      <c r="CT11" s="1" t="s">
        <v>206</v>
      </c>
      <c r="CU11" s="1" t="s">
        <v>207</v>
      </c>
      <c r="CW11" s="1" t="s">
        <v>544</v>
      </c>
      <c r="CX11" s="1" t="s">
        <v>42</v>
      </c>
      <c r="CY11" s="1" t="s">
        <v>210</v>
      </c>
      <c r="DA11" s="1" t="s">
        <v>200</v>
      </c>
      <c r="DC11" s="1" t="s">
        <v>545</v>
      </c>
      <c r="DE11" s="1" t="s">
        <v>218</v>
      </c>
      <c r="DF11" s="1" t="s">
        <v>546</v>
      </c>
      <c r="DG11" s="1" t="s">
        <v>547</v>
      </c>
      <c r="DH11" s="1" t="s">
        <v>365</v>
      </c>
      <c r="DJ11" s="1" t="s">
        <v>222</v>
      </c>
      <c r="DL11" s="1" t="s">
        <v>224</v>
      </c>
      <c r="DM11" s="1" t="s">
        <v>229</v>
      </c>
      <c r="DN11" s="1" t="s">
        <v>548</v>
      </c>
      <c r="DO11" s="1" t="s">
        <v>549</v>
      </c>
      <c r="DQ11" s="1" t="s">
        <v>228</v>
      </c>
      <c r="DR11" s="1" t="s">
        <v>229</v>
      </c>
      <c r="DS11" s="1" t="s">
        <v>368</v>
      </c>
      <c r="DU11" s="1" t="s">
        <v>550</v>
      </c>
      <c r="DV11" s="1" t="s">
        <v>551</v>
      </c>
      <c r="DW11" s="1" t="s">
        <v>552</v>
      </c>
      <c r="DX11" s="1" t="s">
        <v>234</v>
      </c>
      <c r="DY11" s="1" t="s">
        <v>553</v>
      </c>
      <c r="DZ11" s="1" t="s">
        <v>310</v>
      </c>
      <c r="EA11" s="1" t="s">
        <v>554</v>
      </c>
      <c r="EC11" s="1" t="s">
        <v>237</v>
      </c>
      <c r="ED11" s="1" t="s">
        <v>555</v>
      </c>
      <c r="EG11" s="1" t="s">
        <v>556</v>
      </c>
      <c r="EH11" s="1" t="s">
        <v>408</v>
      </c>
      <c r="EI11" s="1" t="s">
        <v>408</v>
      </c>
      <c r="EJ11" s="1" t="s">
        <v>557</v>
      </c>
      <c r="EK11" s="1" t="s">
        <v>310</v>
      </c>
      <c r="EL11" s="1" t="s">
        <v>375</v>
      </c>
      <c r="EM11" s="1" t="s">
        <v>206</v>
      </c>
      <c r="EN11" s="1" t="s">
        <v>207</v>
      </c>
      <c r="EP11" s="1" t="s">
        <v>558</v>
      </c>
      <c r="EQ11" s="1" t="s">
        <v>206</v>
      </c>
      <c r="ER11" s="1" t="s">
        <v>207</v>
      </c>
      <c r="ET11" s="1" t="s">
        <v>559</v>
      </c>
      <c r="EU11" s="1" t="s">
        <v>206</v>
      </c>
      <c r="EV11" s="1" t="s">
        <v>207</v>
      </c>
      <c r="EX11" s="1" t="s">
        <v>560</v>
      </c>
      <c r="EY11" s="1" t="s">
        <v>42</v>
      </c>
      <c r="EZ11" s="1" t="s">
        <v>268</v>
      </c>
      <c r="FB11" s="1" t="s">
        <v>433</v>
      </c>
      <c r="FC11" s="1" t="s">
        <v>206</v>
      </c>
      <c r="FF11" s="1" t="s">
        <v>239</v>
      </c>
      <c r="FG11" s="1" t="s">
        <v>192</v>
      </c>
      <c r="FH11" s="1" t="s">
        <v>192</v>
      </c>
      <c r="FJ11" s="1" t="s">
        <v>561</v>
      </c>
      <c r="FK11" s="1" t="s">
        <v>229</v>
      </c>
      <c r="FL11" s="1" t="s">
        <v>562</v>
      </c>
      <c r="FM11" s="1">
        <v>16379.0</v>
      </c>
      <c r="FN11" s="1" t="s">
        <v>563</v>
      </c>
      <c r="FO11" s="1" t="s">
        <v>564</v>
      </c>
      <c r="FP11" s="1">
        <v>153457.0</v>
      </c>
      <c r="FQ11" s="1" t="s">
        <v>565</v>
      </c>
      <c r="FU11" s="1" t="s">
        <v>566</v>
      </c>
      <c r="FV11" s="1" t="s">
        <v>200</v>
      </c>
      <c r="FW11" s="1" t="s">
        <v>567</v>
      </c>
      <c r="FX11" s="1" t="s">
        <v>246</v>
      </c>
      <c r="FZ11" s="1" t="s">
        <v>229</v>
      </c>
      <c r="GA11" s="1" t="s">
        <v>291</v>
      </c>
      <c r="GB11" s="2">
        <v>41990.0</v>
      </c>
    </row>
    <row r="12">
      <c r="A12" s="1">
        <v>423683.0</v>
      </c>
      <c r="B12" s="1" t="s">
        <v>185</v>
      </c>
      <c r="C12" s="1" t="str">
        <f>"08755849"</f>
        <v>08755849</v>
      </c>
      <c r="D12" s="1" t="s">
        <v>186</v>
      </c>
      <c r="F12" s="1" t="str">
        <f>"123"</f>
        <v>123</v>
      </c>
      <c r="G12" s="2">
        <v>41929.0</v>
      </c>
      <c r="H12" s="1">
        <v>352820.0</v>
      </c>
      <c r="I12" s="1">
        <v>3.0</v>
      </c>
      <c r="J12" s="1">
        <v>352820.0</v>
      </c>
      <c r="K12" s="2">
        <v>41929.0</v>
      </c>
      <c r="L12" s="1">
        <v>3.0</v>
      </c>
      <c r="M12" s="2">
        <v>41929.0</v>
      </c>
      <c r="N12" s="1" t="s">
        <v>187</v>
      </c>
      <c r="O12" s="2">
        <v>42103.0</v>
      </c>
      <c r="P12" s="1">
        <v>221783.0</v>
      </c>
      <c r="Q12" s="1">
        <v>8059.0</v>
      </c>
      <c r="S12" s="1">
        <v>3695.0</v>
      </c>
      <c r="T12" s="1" t="s">
        <v>568</v>
      </c>
      <c r="U12" s="1" t="s">
        <v>569</v>
      </c>
      <c r="V12" s="1" t="s">
        <v>465</v>
      </c>
      <c r="W12" s="1">
        <v>60124.0</v>
      </c>
      <c r="Y12" s="1" t="s">
        <v>570</v>
      </c>
      <c r="Z12" s="1">
        <v>2015.0</v>
      </c>
      <c r="AA12" s="1" t="s">
        <v>200</v>
      </c>
      <c r="AB12" s="1" t="s">
        <v>193</v>
      </c>
      <c r="AC12" s="1" t="s">
        <v>571</v>
      </c>
      <c r="AD12" s="1" t="s">
        <v>469</v>
      </c>
      <c r="AE12" s="1" t="s">
        <v>325</v>
      </c>
      <c r="AF12" s="1" t="s">
        <v>572</v>
      </c>
      <c r="AG12" s="1" t="s">
        <v>573</v>
      </c>
      <c r="AH12" s="1" t="s">
        <v>574</v>
      </c>
      <c r="AI12" s="1">
        <v>0.32</v>
      </c>
      <c r="AK12" s="1">
        <v>9.0</v>
      </c>
      <c r="AL12" s="1">
        <v>4.0</v>
      </c>
      <c r="AM12" s="1">
        <v>2.0</v>
      </c>
      <c r="AN12" s="1">
        <v>1.0</v>
      </c>
      <c r="AO12" s="1" t="s">
        <v>198</v>
      </c>
      <c r="AP12" s="1">
        <v>1.0</v>
      </c>
      <c r="AQ12" s="1" t="s">
        <v>198</v>
      </c>
      <c r="AR12" s="1" t="s">
        <v>200</v>
      </c>
      <c r="AS12" s="1" t="s">
        <v>199</v>
      </c>
      <c r="AT12" s="1">
        <v>3.0</v>
      </c>
      <c r="AV12" s="1" t="s">
        <v>200</v>
      </c>
      <c r="AW12" s="1" t="s">
        <v>575</v>
      </c>
      <c r="AX12" s="1">
        <v>2013.0</v>
      </c>
      <c r="AZ12" s="1" t="s">
        <v>200</v>
      </c>
      <c r="BA12" s="1" t="str">
        <f>"0525300002"</f>
        <v>0525300002</v>
      </c>
      <c r="BC12" s="1">
        <v>3351.0</v>
      </c>
      <c r="BD12" s="1">
        <v>423683.0</v>
      </c>
      <c r="BE12" s="2">
        <v>41927.0</v>
      </c>
      <c r="BF12" s="2" t="s">
        <v>576</v>
      </c>
      <c r="BG12" s="1" t="s">
        <v>577</v>
      </c>
      <c r="BH12" s="1">
        <v>421.0</v>
      </c>
      <c r="BI12" s="1" t="s">
        <v>578</v>
      </c>
      <c r="BJ12" s="1" t="s">
        <v>579</v>
      </c>
      <c r="BK12" s="1" t="s">
        <v>580</v>
      </c>
      <c r="BL12" s="1" t="str">
        <f>"9"</f>
        <v>9</v>
      </c>
      <c r="BM12" s="1" t="str">
        <f t="shared" si="6"/>
        <v>0</v>
      </c>
      <c r="BN12" s="1">
        <v>37.0</v>
      </c>
      <c r="BO12" s="1">
        <v>0.0</v>
      </c>
      <c r="BP12" s="1" t="s">
        <v>581</v>
      </c>
      <c r="BQ12" s="1">
        <v>301.0</v>
      </c>
      <c r="BR12" s="1">
        <v>301.0</v>
      </c>
      <c r="BS12" s="1">
        <v>301.0</v>
      </c>
      <c r="BT12" s="1">
        <v>301.0</v>
      </c>
      <c r="BU12" s="1" t="s">
        <v>582</v>
      </c>
      <c r="BV12" s="1" t="s">
        <v>206</v>
      </c>
      <c r="BW12" s="1" t="s">
        <v>210</v>
      </c>
      <c r="BX12" s="1" t="s">
        <v>229</v>
      </c>
      <c r="BY12" s="1" t="s">
        <v>583</v>
      </c>
      <c r="BZ12" s="1" t="s">
        <v>209</v>
      </c>
      <c r="CA12" s="1" t="s">
        <v>210</v>
      </c>
      <c r="CB12" s="1" t="s">
        <v>229</v>
      </c>
      <c r="CC12" s="1" t="s">
        <v>584</v>
      </c>
      <c r="CD12" s="1" t="s">
        <v>206</v>
      </c>
      <c r="CE12" s="1" t="s">
        <v>210</v>
      </c>
      <c r="CF12" s="1" t="s">
        <v>229</v>
      </c>
      <c r="CG12" s="1" t="s">
        <v>212</v>
      </c>
      <c r="CH12" s="1" t="s">
        <v>209</v>
      </c>
      <c r="CI12" s="1" t="s">
        <v>210</v>
      </c>
      <c r="CJ12" s="1" t="s">
        <v>229</v>
      </c>
      <c r="CK12" s="1" t="s">
        <v>433</v>
      </c>
      <c r="CL12" s="1" t="s">
        <v>209</v>
      </c>
      <c r="CM12" s="1" t="s">
        <v>210</v>
      </c>
      <c r="CN12" s="1" t="s">
        <v>229</v>
      </c>
      <c r="CO12" s="1" t="s">
        <v>363</v>
      </c>
      <c r="CP12" s="1" t="s">
        <v>209</v>
      </c>
      <c r="CQ12" s="1" t="s">
        <v>210</v>
      </c>
      <c r="CR12" s="1" t="s">
        <v>229</v>
      </c>
      <c r="CS12" s="1" t="s">
        <v>583</v>
      </c>
      <c r="CT12" s="1" t="s">
        <v>206</v>
      </c>
      <c r="CU12" s="1" t="s">
        <v>207</v>
      </c>
      <c r="CV12" s="1" t="s">
        <v>229</v>
      </c>
      <c r="CW12" s="1" t="s">
        <v>346</v>
      </c>
      <c r="CX12" s="1" t="s">
        <v>206</v>
      </c>
      <c r="CY12" s="1" t="s">
        <v>210</v>
      </c>
      <c r="CZ12" s="1" t="s">
        <v>229</v>
      </c>
      <c r="DA12" s="1" t="s">
        <v>192</v>
      </c>
      <c r="DB12" s="2">
        <v>41791.0</v>
      </c>
      <c r="DC12" s="1" t="s">
        <v>585</v>
      </c>
      <c r="DD12" s="1" t="s">
        <v>586</v>
      </c>
      <c r="DE12" s="1" t="s">
        <v>273</v>
      </c>
      <c r="DF12" s="1" t="s">
        <v>219</v>
      </c>
      <c r="DG12" s="1" t="s">
        <v>587</v>
      </c>
      <c r="DH12" s="1" t="s">
        <v>588</v>
      </c>
      <c r="DI12" s="1" t="s">
        <v>589</v>
      </c>
      <c r="DJ12" s="1" t="s">
        <v>222</v>
      </c>
      <c r="DL12" s="1" t="s">
        <v>223</v>
      </c>
      <c r="DM12" s="1" t="s">
        <v>338</v>
      </c>
      <c r="DN12" s="1" t="s">
        <v>485</v>
      </c>
      <c r="DO12" s="1" t="s">
        <v>590</v>
      </c>
      <c r="DP12" s="1" t="s">
        <v>276</v>
      </c>
      <c r="DQ12" s="1" t="s">
        <v>441</v>
      </c>
      <c r="DR12" s="1" t="s">
        <v>588</v>
      </c>
      <c r="DS12" s="1" t="s">
        <v>591</v>
      </c>
      <c r="DT12" s="1" t="s">
        <v>592</v>
      </c>
      <c r="DU12" s="1" t="s">
        <v>593</v>
      </c>
      <c r="DV12" s="1" t="s">
        <v>594</v>
      </c>
      <c r="DW12" s="1" t="s">
        <v>595</v>
      </c>
      <c r="DX12" s="1" t="s">
        <v>234</v>
      </c>
      <c r="DY12" s="1" t="s">
        <v>596</v>
      </c>
      <c r="DZ12" s="1" t="s">
        <v>405</v>
      </c>
      <c r="EA12" s="1" t="s">
        <v>447</v>
      </c>
      <c r="EB12" s="1" t="s">
        <v>597</v>
      </c>
      <c r="EC12" s="1" t="s">
        <v>237</v>
      </c>
      <c r="ED12" s="1" t="s">
        <v>407</v>
      </c>
      <c r="EG12" s="1" t="s">
        <v>598</v>
      </c>
      <c r="EH12" s="1" t="s">
        <v>408</v>
      </c>
      <c r="EL12" s="1" t="s">
        <v>363</v>
      </c>
      <c r="EM12" s="1" t="s">
        <v>206</v>
      </c>
      <c r="EN12" s="1" t="s">
        <v>210</v>
      </c>
      <c r="EO12" s="1" t="s">
        <v>229</v>
      </c>
      <c r="EP12" s="1" t="s">
        <v>599</v>
      </c>
      <c r="EQ12" s="1" t="s">
        <v>206</v>
      </c>
      <c r="ER12" s="1" t="s">
        <v>207</v>
      </c>
      <c r="ES12" s="1" t="s">
        <v>229</v>
      </c>
      <c r="EU12" s="1" t="s">
        <v>238</v>
      </c>
      <c r="EY12" s="1" t="s">
        <v>238</v>
      </c>
      <c r="FC12" s="1" t="s">
        <v>238</v>
      </c>
      <c r="FF12" s="1" t="s">
        <v>239</v>
      </c>
      <c r="FG12" s="1" t="s">
        <v>192</v>
      </c>
      <c r="FH12" s="1" t="s">
        <v>192</v>
      </c>
      <c r="FJ12" s="1" t="s">
        <v>600</v>
      </c>
      <c r="FK12" s="1" t="s">
        <v>601</v>
      </c>
      <c r="FL12" s="1" t="s">
        <v>602</v>
      </c>
      <c r="FM12" s="1">
        <v>25645.0</v>
      </c>
      <c r="FN12" s="1" t="s">
        <v>603</v>
      </c>
      <c r="FO12" s="1" t="s">
        <v>604</v>
      </c>
      <c r="FP12" s="1">
        <v>80455.0</v>
      </c>
      <c r="FT12" s="1" t="s">
        <v>605</v>
      </c>
      <c r="FU12" s="1" t="s">
        <v>606</v>
      </c>
      <c r="FV12" s="1" t="s">
        <v>200</v>
      </c>
      <c r="FW12" s="1" t="s">
        <v>607</v>
      </c>
      <c r="FZ12" s="1" t="s">
        <v>229</v>
      </c>
      <c r="GA12" s="1" t="s">
        <v>291</v>
      </c>
      <c r="GB12" s="2">
        <v>42117.0</v>
      </c>
      <c r="GC12" s="1" t="s">
        <v>608</v>
      </c>
    </row>
    <row r="13">
      <c r="A13" s="1">
        <v>111900.0</v>
      </c>
      <c r="B13" s="1" t="s">
        <v>185</v>
      </c>
      <c r="C13" s="1" t="str">
        <f>"08755845"</f>
        <v>08755845</v>
      </c>
      <c r="D13" s="1" t="s">
        <v>186</v>
      </c>
      <c r="F13" s="1" t="str">
        <f>"115"</f>
        <v>115</v>
      </c>
      <c r="G13" s="2">
        <v>41929.0</v>
      </c>
      <c r="H13" s="1">
        <v>112900.0</v>
      </c>
      <c r="I13" s="1">
        <v>12.0</v>
      </c>
      <c r="J13" s="1">
        <v>112900.0</v>
      </c>
      <c r="K13" s="2">
        <v>41940.0</v>
      </c>
      <c r="L13" s="1">
        <v>12.0</v>
      </c>
      <c r="M13" s="2">
        <v>41940.0</v>
      </c>
      <c r="N13" s="1" t="s">
        <v>356</v>
      </c>
      <c r="O13" s="2">
        <v>42009.0</v>
      </c>
      <c r="P13" s="1">
        <v>236743.0</v>
      </c>
      <c r="Q13" s="1">
        <v>25003.0</v>
      </c>
      <c r="S13" s="1">
        <v>1308.0</v>
      </c>
      <c r="T13" s="1" t="s">
        <v>609</v>
      </c>
      <c r="U13" s="1" t="s">
        <v>320</v>
      </c>
      <c r="V13" s="1" t="s">
        <v>610</v>
      </c>
      <c r="W13" s="1">
        <v>60115.0</v>
      </c>
      <c r="Y13" s="1" t="s">
        <v>611</v>
      </c>
      <c r="Z13" s="1" t="s">
        <v>296</v>
      </c>
      <c r="AA13" s="1" t="s">
        <v>192</v>
      </c>
      <c r="AB13" s="1" t="s">
        <v>193</v>
      </c>
      <c r="AD13" s="1" t="s">
        <v>612</v>
      </c>
      <c r="AE13" s="1" t="s">
        <v>613</v>
      </c>
      <c r="AF13" s="1" t="s">
        <v>612</v>
      </c>
      <c r="AH13" s="1" t="s">
        <v>614</v>
      </c>
      <c r="AI13" s="1">
        <v>0.1908</v>
      </c>
      <c r="AK13" s="1">
        <v>8.0</v>
      </c>
      <c r="AL13" s="1">
        <v>4.0</v>
      </c>
      <c r="AM13" s="1">
        <v>2.0</v>
      </c>
      <c r="AN13" s="1">
        <v>0.0</v>
      </c>
      <c r="AO13" s="1" t="s">
        <v>229</v>
      </c>
      <c r="AQ13" s="1" t="s">
        <v>198</v>
      </c>
      <c r="AR13" s="1" t="s">
        <v>200</v>
      </c>
      <c r="AS13" s="1" t="s">
        <v>199</v>
      </c>
      <c r="AT13" s="1">
        <v>2.0</v>
      </c>
      <c r="AV13" s="1" t="s">
        <v>200</v>
      </c>
      <c r="AW13" s="1">
        <v>4877.0</v>
      </c>
      <c r="AX13" s="1">
        <v>2013.0</v>
      </c>
      <c r="AY13" s="1" t="s">
        <v>387</v>
      </c>
      <c r="AZ13" s="1" t="s">
        <v>200</v>
      </c>
      <c r="BA13" s="1" t="str">
        <f>"0823278016"</f>
        <v>0823278016</v>
      </c>
      <c r="BB13" s="1" t="s">
        <v>200</v>
      </c>
      <c r="BC13" s="1">
        <v>1300.0</v>
      </c>
      <c r="BD13" s="1">
        <v>111900.0</v>
      </c>
      <c r="BE13" s="2">
        <v>41929.0</v>
      </c>
      <c r="BF13" s="2" t="s">
        <v>615</v>
      </c>
      <c r="BH13" s="1">
        <v>0.0</v>
      </c>
      <c r="BK13" s="1" t="s">
        <v>204</v>
      </c>
      <c r="BL13" s="1" t="str">
        <f t="shared" ref="BL13:BM13" si="7">""</f>
        <v/>
      </c>
      <c r="BM13" s="1" t="str">
        <f t="shared" si="7"/>
        <v/>
      </c>
      <c r="BQ13" s="1">
        <v>428.0</v>
      </c>
      <c r="BR13" s="1">
        <v>428.0</v>
      </c>
      <c r="BS13" s="1">
        <v>428.0</v>
      </c>
      <c r="BU13" s="1" t="s">
        <v>616</v>
      </c>
      <c r="BV13" s="1" t="s">
        <v>206</v>
      </c>
      <c r="BW13" s="1" t="s">
        <v>207</v>
      </c>
      <c r="BX13" s="1" t="s">
        <v>431</v>
      </c>
      <c r="BY13" s="1" t="s">
        <v>215</v>
      </c>
      <c r="BZ13" s="1" t="s">
        <v>209</v>
      </c>
      <c r="CA13" s="1" t="s">
        <v>301</v>
      </c>
      <c r="CB13" s="1" t="s">
        <v>229</v>
      </c>
      <c r="CC13" s="1" t="s">
        <v>303</v>
      </c>
      <c r="CD13" s="1" t="s">
        <v>206</v>
      </c>
      <c r="CE13" s="1" t="s">
        <v>207</v>
      </c>
      <c r="CF13" s="1" t="s">
        <v>431</v>
      </c>
      <c r="CG13" s="1" t="s">
        <v>332</v>
      </c>
      <c r="CH13" s="1" t="s">
        <v>209</v>
      </c>
      <c r="CI13" s="1" t="s">
        <v>301</v>
      </c>
      <c r="CJ13" s="1" t="s">
        <v>229</v>
      </c>
      <c r="CK13" s="1" t="s">
        <v>212</v>
      </c>
      <c r="CL13" s="1" t="s">
        <v>209</v>
      </c>
      <c r="CM13" s="1" t="s">
        <v>301</v>
      </c>
      <c r="CN13" s="1" t="s">
        <v>229</v>
      </c>
      <c r="CO13" s="1" t="s">
        <v>495</v>
      </c>
      <c r="CP13" s="1" t="s">
        <v>209</v>
      </c>
      <c r="CQ13" s="1" t="s">
        <v>301</v>
      </c>
      <c r="CR13" s="1" t="s">
        <v>229</v>
      </c>
      <c r="CS13" s="1" t="s">
        <v>497</v>
      </c>
      <c r="CT13" s="1" t="s">
        <v>206</v>
      </c>
      <c r="CU13" s="1" t="s">
        <v>617</v>
      </c>
      <c r="CV13" s="1" t="s">
        <v>229</v>
      </c>
      <c r="CX13" s="1" t="s">
        <v>204</v>
      </c>
      <c r="DA13" s="1" t="s">
        <v>200</v>
      </c>
      <c r="DC13" s="1" t="s">
        <v>271</v>
      </c>
      <c r="DD13" s="1" t="s">
        <v>618</v>
      </c>
      <c r="DE13" s="1" t="s">
        <v>273</v>
      </c>
      <c r="DF13" s="1" t="s">
        <v>619</v>
      </c>
      <c r="DH13" s="1" t="s">
        <v>220</v>
      </c>
      <c r="DJ13" s="1" t="s">
        <v>222</v>
      </c>
      <c r="DK13" s="1" t="s">
        <v>223</v>
      </c>
      <c r="DL13" s="1" t="s">
        <v>223</v>
      </c>
      <c r="DM13" s="1" t="s">
        <v>229</v>
      </c>
      <c r="DO13" s="1" t="s">
        <v>549</v>
      </c>
      <c r="DP13" s="1" t="s">
        <v>340</v>
      </c>
      <c r="DQ13" s="1" t="s">
        <v>228</v>
      </c>
      <c r="DR13" s="1" t="s">
        <v>229</v>
      </c>
      <c r="DS13" s="1" t="s">
        <v>230</v>
      </c>
      <c r="DU13" s="1" t="s">
        <v>620</v>
      </c>
      <c r="DV13" s="1" t="s">
        <v>494</v>
      </c>
      <c r="DW13" s="1" t="s">
        <v>233</v>
      </c>
      <c r="DX13" s="1" t="s">
        <v>309</v>
      </c>
      <c r="DY13" s="1" t="s">
        <v>621</v>
      </c>
      <c r="DZ13" s="1" t="s">
        <v>446</v>
      </c>
      <c r="EA13" s="1" t="s">
        <v>622</v>
      </c>
      <c r="EC13" s="1" t="s">
        <v>237</v>
      </c>
      <c r="ED13" s="1" t="s">
        <v>555</v>
      </c>
      <c r="EE13" s="1" t="s">
        <v>493</v>
      </c>
      <c r="EJ13" s="1" t="s">
        <v>494</v>
      </c>
      <c r="EM13" s="1" t="s">
        <v>238</v>
      </c>
      <c r="EQ13" s="1" t="s">
        <v>238</v>
      </c>
      <c r="EU13" s="1" t="s">
        <v>238</v>
      </c>
      <c r="EX13" s="1" t="s">
        <v>623</v>
      </c>
      <c r="EY13" s="1" t="s">
        <v>206</v>
      </c>
      <c r="EZ13" s="1" t="s">
        <v>207</v>
      </c>
      <c r="FC13" s="1" t="s">
        <v>238</v>
      </c>
      <c r="FF13" s="1" t="s">
        <v>239</v>
      </c>
      <c r="FG13" s="1" t="s">
        <v>192</v>
      </c>
      <c r="FH13" s="1" t="s">
        <v>192</v>
      </c>
      <c r="FJ13" s="1" t="s">
        <v>624</v>
      </c>
      <c r="FK13" s="1" t="s">
        <v>229</v>
      </c>
      <c r="FL13" s="1" t="s">
        <v>625</v>
      </c>
      <c r="FM13" s="1">
        <v>37.0</v>
      </c>
      <c r="FN13" s="1" t="s">
        <v>626</v>
      </c>
      <c r="FO13" s="1" t="s">
        <v>627</v>
      </c>
      <c r="FP13" s="1">
        <v>77100.0</v>
      </c>
      <c r="FQ13" s="1" t="s">
        <v>628</v>
      </c>
      <c r="FR13" s="1">
        <v>164.0</v>
      </c>
      <c r="FS13" s="1" t="s">
        <v>629</v>
      </c>
      <c r="FU13" s="1" t="s">
        <v>630</v>
      </c>
      <c r="FV13" s="1" t="s">
        <v>200</v>
      </c>
      <c r="FW13" s="1" t="s">
        <v>631</v>
      </c>
      <c r="FZ13" s="1" t="s">
        <v>632</v>
      </c>
      <c r="GA13" s="1" t="s">
        <v>291</v>
      </c>
      <c r="GB13" s="2">
        <v>42010.0</v>
      </c>
      <c r="GC13" s="1" t="s">
        <v>633</v>
      </c>
    </row>
    <row r="14">
      <c r="A14" s="1">
        <v>170000.0</v>
      </c>
      <c r="B14" s="1" t="s">
        <v>185</v>
      </c>
      <c r="C14" s="1" t="str">
        <f>"08755117"</f>
        <v>08755117</v>
      </c>
      <c r="D14" s="1" t="s">
        <v>186</v>
      </c>
      <c r="F14" s="1" t="str">
        <f>"8043"</f>
        <v>8043</v>
      </c>
      <c r="G14" s="2">
        <v>41929.0</v>
      </c>
      <c r="H14" s="1">
        <v>172500.0</v>
      </c>
      <c r="I14" s="1">
        <v>265.0</v>
      </c>
      <c r="J14" s="1">
        <v>172500.0</v>
      </c>
      <c r="K14" s="2">
        <v>42016.0</v>
      </c>
      <c r="L14" s="1">
        <v>88.0</v>
      </c>
      <c r="M14" s="2">
        <v>42016.0</v>
      </c>
      <c r="N14" s="1" t="s">
        <v>634</v>
      </c>
      <c r="O14" s="2">
        <v>42054.0</v>
      </c>
      <c r="P14" s="1">
        <v>230035.0</v>
      </c>
      <c r="Q14" s="1">
        <v>24945.0</v>
      </c>
      <c r="R14" s="1">
        <v>3.0</v>
      </c>
      <c r="S14" s="1">
        <v>7540.0</v>
      </c>
      <c r="T14" s="1" t="s">
        <v>635</v>
      </c>
      <c r="U14" s="1" t="s">
        <v>189</v>
      </c>
      <c r="V14" s="1" t="s">
        <v>190</v>
      </c>
      <c r="W14" s="1">
        <v>60649.0</v>
      </c>
      <c r="Y14" s="1" t="s">
        <v>636</v>
      </c>
      <c r="Z14" s="1">
        <v>1909.0</v>
      </c>
      <c r="AA14" s="1" t="s">
        <v>192</v>
      </c>
      <c r="AB14" s="1" t="s">
        <v>193</v>
      </c>
      <c r="AD14" s="1" t="s">
        <v>194</v>
      </c>
      <c r="AE14" s="1" t="s">
        <v>195</v>
      </c>
      <c r="AF14" s="1" t="s">
        <v>637</v>
      </c>
      <c r="AH14" s="1">
        <v>4760.0</v>
      </c>
      <c r="AI14" s="1">
        <v>0.1093</v>
      </c>
      <c r="AK14" s="1">
        <v>10.0</v>
      </c>
      <c r="AL14" s="1">
        <v>3.0</v>
      </c>
      <c r="AM14" s="1">
        <v>3.0</v>
      </c>
      <c r="AN14" s="1">
        <v>0.0</v>
      </c>
      <c r="AO14" s="1" t="s">
        <v>198</v>
      </c>
      <c r="AQ14" s="1" t="s">
        <v>198</v>
      </c>
      <c r="AR14" s="1" t="s">
        <v>192</v>
      </c>
      <c r="AS14" s="1" t="s">
        <v>199</v>
      </c>
      <c r="AT14" s="1">
        <v>1.5</v>
      </c>
      <c r="AV14" s="1" t="s">
        <v>200</v>
      </c>
      <c r="AW14" s="1">
        <v>2004.06</v>
      </c>
      <c r="AX14" s="1">
        <v>2012.0</v>
      </c>
      <c r="AZ14" s="1" t="s">
        <v>200</v>
      </c>
      <c r="BA14" s="1" t="str">
        <f>"20254000280000"</f>
        <v>20254000280000</v>
      </c>
      <c r="BC14" s="1">
        <v>1400.0</v>
      </c>
      <c r="BD14" s="1">
        <v>170000.0</v>
      </c>
      <c r="BE14" s="2">
        <v>41929.0</v>
      </c>
      <c r="BF14" s="2" t="s">
        <v>638</v>
      </c>
      <c r="BH14" s="1">
        <v>0.0</v>
      </c>
      <c r="BK14" s="1" t="s">
        <v>204</v>
      </c>
      <c r="BL14" s="1" t="str">
        <f t="shared" ref="BL14:BL15" si="8">"0"</f>
        <v>0</v>
      </c>
      <c r="BM14" s="1" t="str">
        <f>"2000"</f>
        <v>2000</v>
      </c>
      <c r="BN14" s="1">
        <v>0.0</v>
      </c>
      <c r="BO14" s="1">
        <v>7400.0</v>
      </c>
      <c r="BQ14" s="1">
        <v>299.0</v>
      </c>
      <c r="BR14" s="1">
        <v>299.0</v>
      </c>
      <c r="BS14" s="1">
        <v>299.0</v>
      </c>
      <c r="BU14" s="1" t="s">
        <v>639</v>
      </c>
      <c r="BV14" s="1" t="s">
        <v>206</v>
      </c>
      <c r="BW14" s="1" t="s">
        <v>207</v>
      </c>
      <c r="BY14" s="1" t="s">
        <v>215</v>
      </c>
      <c r="BZ14" s="1" t="s">
        <v>209</v>
      </c>
      <c r="CA14" s="1" t="s">
        <v>210</v>
      </c>
      <c r="CC14" s="1" t="s">
        <v>497</v>
      </c>
      <c r="CD14" s="1" t="s">
        <v>206</v>
      </c>
      <c r="CE14" s="1" t="s">
        <v>207</v>
      </c>
      <c r="CG14" s="1" t="s">
        <v>640</v>
      </c>
      <c r="CH14" s="1" t="s">
        <v>206</v>
      </c>
      <c r="CI14" s="1" t="s">
        <v>210</v>
      </c>
      <c r="CK14" s="1" t="s">
        <v>497</v>
      </c>
      <c r="CL14" s="1" t="s">
        <v>206</v>
      </c>
      <c r="CM14" s="1" t="s">
        <v>210</v>
      </c>
      <c r="CO14" s="1" t="s">
        <v>265</v>
      </c>
      <c r="CP14" s="1" t="s">
        <v>42</v>
      </c>
      <c r="CQ14" s="1" t="s">
        <v>268</v>
      </c>
      <c r="CS14" s="1" t="s">
        <v>215</v>
      </c>
      <c r="CT14" s="1" t="s">
        <v>206</v>
      </c>
      <c r="CU14" s="1" t="s">
        <v>207</v>
      </c>
      <c r="CW14" s="1" t="s">
        <v>641</v>
      </c>
      <c r="CX14" s="1" t="s">
        <v>42</v>
      </c>
      <c r="CY14" s="1" t="s">
        <v>268</v>
      </c>
      <c r="DA14" s="1" t="s">
        <v>200</v>
      </c>
      <c r="DC14" s="1" t="s">
        <v>642</v>
      </c>
      <c r="DE14" s="1" t="s">
        <v>273</v>
      </c>
      <c r="DF14" s="1" t="s">
        <v>219</v>
      </c>
      <c r="DH14" s="1" t="s">
        <v>365</v>
      </c>
      <c r="DI14" s="1" t="s">
        <v>366</v>
      </c>
      <c r="DJ14" s="1" t="s">
        <v>222</v>
      </c>
      <c r="DL14" s="1" t="s">
        <v>224</v>
      </c>
      <c r="DM14" s="1" t="s">
        <v>229</v>
      </c>
      <c r="DQ14" s="1" t="s">
        <v>228</v>
      </c>
      <c r="DR14" s="1" t="s">
        <v>229</v>
      </c>
      <c r="DS14" s="1" t="s">
        <v>230</v>
      </c>
      <c r="DV14" s="1" t="s">
        <v>643</v>
      </c>
      <c r="DW14" s="1" t="s">
        <v>279</v>
      </c>
      <c r="DX14" s="1" t="s">
        <v>234</v>
      </c>
      <c r="DY14" s="1" t="s">
        <v>553</v>
      </c>
      <c r="EA14" s="1" t="s">
        <v>644</v>
      </c>
      <c r="EC14" s="1" t="s">
        <v>645</v>
      </c>
      <c r="EE14" s="1" t="s">
        <v>493</v>
      </c>
      <c r="EG14" s="1" t="s">
        <v>556</v>
      </c>
      <c r="EH14" s="1" t="s">
        <v>598</v>
      </c>
      <c r="EL14" s="1" t="s">
        <v>646</v>
      </c>
      <c r="EM14" s="1" t="s">
        <v>206</v>
      </c>
      <c r="EN14" s="1" t="s">
        <v>268</v>
      </c>
      <c r="EP14" s="1" t="s">
        <v>647</v>
      </c>
      <c r="EQ14" s="1" t="s">
        <v>209</v>
      </c>
      <c r="ER14" s="1" t="s">
        <v>210</v>
      </c>
      <c r="EU14" s="1" t="s">
        <v>238</v>
      </c>
      <c r="EY14" s="1" t="s">
        <v>238</v>
      </c>
      <c r="FC14" s="1" t="s">
        <v>238</v>
      </c>
      <c r="FF14" s="1" t="s">
        <v>239</v>
      </c>
      <c r="FG14" s="1" t="s">
        <v>192</v>
      </c>
      <c r="FH14" s="1" t="s">
        <v>192</v>
      </c>
      <c r="FJ14" s="1" t="s">
        <v>648</v>
      </c>
      <c r="FK14" s="1" t="s">
        <v>557</v>
      </c>
      <c r="FL14" s="1" t="s">
        <v>649</v>
      </c>
      <c r="FM14" s="1">
        <v>60296.0</v>
      </c>
      <c r="FN14" s="1" t="s">
        <v>650</v>
      </c>
      <c r="FO14" s="1" t="s">
        <v>651</v>
      </c>
      <c r="FP14" s="1">
        <v>602837.0</v>
      </c>
      <c r="FQ14" s="1" t="s">
        <v>652</v>
      </c>
      <c r="FR14" s="1">
        <v>602442.0</v>
      </c>
      <c r="FU14" s="1" t="s">
        <v>653</v>
      </c>
      <c r="FV14" s="1" t="s">
        <v>200</v>
      </c>
      <c r="FW14" s="1" t="s">
        <v>654</v>
      </c>
      <c r="FX14" s="1" t="s">
        <v>655</v>
      </c>
      <c r="FZ14" s="1" t="s">
        <v>229</v>
      </c>
      <c r="GA14" s="1" t="s">
        <v>291</v>
      </c>
      <c r="GB14" s="2">
        <v>42054.0</v>
      </c>
      <c r="GC14" s="1" t="s">
        <v>656</v>
      </c>
    </row>
    <row r="15">
      <c r="A15" s="1">
        <v>209900.0</v>
      </c>
      <c r="B15" s="1" t="s">
        <v>185</v>
      </c>
      <c r="C15" s="1" t="str">
        <f>"08755111"</f>
        <v>08755111</v>
      </c>
      <c r="D15" s="1" t="s">
        <v>186</v>
      </c>
      <c r="F15" s="1" t="str">
        <f>"8072"</f>
        <v>8072</v>
      </c>
      <c r="G15" s="2">
        <v>41929.0</v>
      </c>
      <c r="H15" s="1">
        <v>209900.0</v>
      </c>
      <c r="I15" s="1">
        <v>174.0</v>
      </c>
      <c r="J15" s="1">
        <v>209900.0</v>
      </c>
      <c r="K15" s="2">
        <v>41935.0</v>
      </c>
      <c r="L15" s="1">
        <v>7.0</v>
      </c>
      <c r="M15" s="2">
        <v>41935.0</v>
      </c>
      <c r="N15" s="1" t="s">
        <v>356</v>
      </c>
      <c r="O15" s="2">
        <v>41996.0</v>
      </c>
      <c r="P15" s="1">
        <v>124126.0</v>
      </c>
      <c r="Q15" s="1">
        <v>10900.0</v>
      </c>
      <c r="R15" s="1">
        <v>3.0</v>
      </c>
      <c r="S15" s="1">
        <v>9900.0</v>
      </c>
      <c r="T15" s="1" t="s">
        <v>657</v>
      </c>
      <c r="U15" s="1" t="s">
        <v>320</v>
      </c>
      <c r="V15" s="1" t="s">
        <v>190</v>
      </c>
      <c r="W15" s="1">
        <v>60643.0</v>
      </c>
      <c r="Y15" s="1" t="s">
        <v>658</v>
      </c>
      <c r="Z15" s="1">
        <v>1893.0</v>
      </c>
      <c r="AA15" s="1" t="s">
        <v>192</v>
      </c>
      <c r="AB15" s="1" t="s">
        <v>193</v>
      </c>
      <c r="AD15" s="1" t="s">
        <v>194</v>
      </c>
      <c r="AE15" s="1" t="s">
        <v>195</v>
      </c>
      <c r="AF15" s="1" t="s">
        <v>659</v>
      </c>
      <c r="AH15" s="1" t="s">
        <v>660</v>
      </c>
      <c r="AI15" s="1">
        <v>0.0839</v>
      </c>
      <c r="AK15" s="1">
        <v>8.0</v>
      </c>
      <c r="AL15" s="1">
        <v>3.0</v>
      </c>
      <c r="AM15" s="1">
        <v>3.0</v>
      </c>
      <c r="AN15" s="1">
        <v>0.0</v>
      </c>
      <c r="AO15" s="1" t="s">
        <v>229</v>
      </c>
      <c r="AQ15" s="1" t="s">
        <v>198</v>
      </c>
      <c r="AR15" s="1" t="s">
        <v>192</v>
      </c>
      <c r="AS15" s="1" t="s">
        <v>199</v>
      </c>
      <c r="AT15" s="1">
        <v>2.0</v>
      </c>
      <c r="AV15" s="1" t="s">
        <v>200</v>
      </c>
      <c r="AW15" s="1">
        <v>631.51</v>
      </c>
      <c r="AX15" s="1">
        <v>2012.0</v>
      </c>
      <c r="AZ15" s="1" t="s">
        <v>200</v>
      </c>
      <c r="BA15" s="1" t="str">
        <f>"25083010320000"</f>
        <v>25083010320000</v>
      </c>
      <c r="BB15" s="1" t="s">
        <v>200</v>
      </c>
      <c r="BC15" s="1">
        <v>1500.0</v>
      </c>
      <c r="BD15" s="1">
        <v>209900.0</v>
      </c>
      <c r="BE15" s="2">
        <v>41929.0</v>
      </c>
      <c r="BF15" s="2" t="s">
        <v>661</v>
      </c>
      <c r="BH15" s="1">
        <v>0.0</v>
      </c>
      <c r="BK15" s="1" t="s">
        <v>204</v>
      </c>
      <c r="BL15" s="1" t="str">
        <f t="shared" si="8"/>
        <v>0</v>
      </c>
      <c r="BM15" s="1" t="str">
        <f t="shared" ref="BM15:BM16" si="9">"0"</f>
        <v>0</v>
      </c>
      <c r="BN15" s="1">
        <v>1506.0</v>
      </c>
      <c r="BO15" s="1">
        <v>9900.0</v>
      </c>
      <c r="BQ15" s="1">
        <v>299.0</v>
      </c>
      <c r="BR15" s="1">
        <v>299.0</v>
      </c>
      <c r="BS15" s="1">
        <v>299.0</v>
      </c>
      <c r="BU15" s="1" t="s">
        <v>662</v>
      </c>
      <c r="BV15" s="1" t="s">
        <v>206</v>
      </c>
      <c r="BW15" s="1" t="s">
        <v>207</v>
      </c>
      <c r="BY15" s="1" t="s">
        <v>215</v>
      </c>
      <c r="BZ15" s="1" t="s">
        <v>209</v>
      </c>
      <c r="CA15" s="1" t="s">
        <v>210</v>
      </c>
      <c r="CC15" s="1" t="s">
        <v>663</v>
      </c>
      <c r="CD15" s="1" t="s">
        <v>206</v>
      </c>
      <c r="CE15" s="1" t="s">
        <v>207</v>
      </c>
      <c r="CG15" s="1" t="s">
        <v>264</v>
      </c>
      <c r="CH15" s="1" t="s">
        <v>209</v>
      </c>
      <c r="CI15" s="1" t="s">
        <v>210</v>
      </c>
      <c r="CK15" s="1" t="s">
        <v>363</v>
      </c>
      <c r="CL15" s="1" t="s">
        <v>209</v>
      </c>
      <c r="CM15" s="1" t="s">
        <v>210</v>
      </c>
      <c r="CO15" s="1" t="s">
        <v>375</v>
      </c>
      <c r="CP15" s="1" t="s">
        <v>42</v>
      </c>
      <c r="CQ15" s="1" t="s">
        <v>268</v>
      </c>
      <c r="CS15" s="1" t="s">
        <v>664</v>
      </c>
      <c r="CT15" s="1" t="s">
        <v>206</v>
      </c>
      <c r="CU15" s="1" t="s">
        <v>207</v>
      </c>
      <c r="CW15" s="1" t="s">
        <v>665</v>
      </c>
      <c r="CX15" s="1" t="s">
        <v>42</v>
      </c>
      <c r="CY15" s="1" t="s">
        <v>268</v>
      </c>
      <c r="DA15" s="1" t="s">
        <v>200</v>
      </c>
      <c r="DC15" s="1" t="s">
        <v>642</v>
      </c>
      <c r="DE15" s="1" t="s">
        <v>273</v>
      </c>
      <c r="DF15" s="1" t="s">
        <v>219</v>
      </c>
      <c r="DH15" s="1" t="s">
        <v>307</v>
      </c>
      <c r="DI15" s="1" t="s">
        <v>366</v>
      </c>
      <c r="DJ15" s="1" t="s">
        <v>222</v>
      </c>
      <c r="DL15" s="1" t="s">
        <v>224</v>
      </c>
      <c r="DM15" s="1" t="s">
        <v>229</v>
      </c>
      <c r="DN15" s="1" t="s">
        <v>666</v>
      </c>
      <c r="DQ15" s="1" t="s">
        <v>228</v>
      </c>
      <c r="DR15" s="1" t="s">
        <v>229</v>
      </c>
      <c r="DS15" s="1" t="s">
        <v>230</v>
      </c>
      <c r="DV15" s="1" t="s">
        <v>232</v>
      </c>
      <c r="DW15" s="1" t="s">
        <v>667</v>
      </c>
      <c r="DX15" s="1" t="s">
        <v>234</v>
      </c>
      <c r="DY15" s="1" t="s">
        <v>553</v>
      </c>
      <c r="EC15" s="1" t="s">
        <v>237</v>
      </c>
      <c r="EE15" s="1" t="s">
        <v>493</v>
      </c>
      <c r="EM15" s="1" t="s">
        <v>238</v>
      </c>
      <c r="EQ15" s="1" t="s">
        <v>238</v>
      </c>
      <c r="EU15" s="1" t="s">
        <v>238</v>
      </c>
      <c r="EY15" s="1" t="s">
        <v>238</v>
      </c>
      <c r="FC15" s="1" t="s">
        <v>238</v>
      </c>
      <c r="FF15" s="1" t="s">
        <v>239</v>
      </c>
      <c r="FG15" s="1" t="s">
        <v>192</v>
      </c>
      <c r="FH15" s="1" t="s">
        <v>192</v>
      </c>
      <c r="FJ15" s="1" t="s">
        <v>648</v>
      </c>
      <c r="FK15" s="1" t="s">
        <v>229</v>
      </c>
      <c r="FL15" s="1" t="s">
        <v>649</v>
      </c>
      <c r="FM15" s="1">
        <v>60296.0</v>
      </c>
      <c r="FN15" s="1" t="s">
        <v>650</v>
      </c>
      <c r="FO15" s="1" t="s">
        <v>651</v>
      </c>
      <c r="FP15" s="1">
        <v>602837.0</v>
      </c>
      <c r="FQ15" s="1" t="s">
        <v>652</v>
      </c>
      <c r="FR15" s="1">
        <v>602442.0</v>
      </c>
      <c r="FU15" s="1" t="s">
        <v>653</v>
      </c>
      <c r="FV15" s="1" t="s">
        <v>200</v>
      </c>
      <c r="FW15" s="1" t="s">
        <v>654</v>
      </c>
      <c r="FX15" s="1" t="s">
        <v>655</v>
      </c>
      <c r="FZ15" s="1" t="s">
        <v>229</v>
      </c>
      <c r="GA15" s="1" t="s">
        <v>291</v>
      </c>
      <c r="GB15" s="2">
        <v>41999.0</v>
      </c>
      <c r="GC15" s="1" t="s">
        <v>668</v>
      </c>
    </row>
    <row r="16">
      <c r="A16" s="1">
        <v>147000.0</v>
      </c>
      <c r="B16" s="1" t="s">
        <v>185</v>
      </c>
      <c r="C16" s="1" t="str">
        <f>"08755926"</f>
        <v>08755926</v>
      </c>
      <c r="D16" s="1" t="s">
        <v>186</v>
      </c>
      <c r="F16" s="1" t="str">
        <f>"123"</f>
        <v>123</v>
      </c>
      <c r="G16" s="2">
        <v>41929.0</v>
      </c>
      <c r="H16" s="1">
        <v>140000.0</v>
      </c>
      <c r="I16" s="1">
        <v>6.0</v>
      </c>
      <c r="J16" s="1">
        <v>140000.0</v>
      </c>
      <c r="K16" s="2">
        <v>41933.0</v>
      </c>
      <c r="L16" s="1">
        <v>6.0</v>
      </c>
      <c r="M16" s="2">
        <v>41933.0</v>
      </c>
      <c r="N16" s="1" t="s">
        <v>187</v>
      </c>
      <c r="O16" s="2">
        <v>41975.0</v>
      </c>
      <c r="P16" s="1">
        <v>21045.0</v>
      </c>
      <c r="Q16" s="1">
        <v>2644.0</v>
      </c>
      <c r="R16" s="1">
        <v>2500.0</v>
      </c>
      <c r="S16" s="1">
        <v>158.0</v>
      </c>
      <c r="T16" s="1" t="s">
        <v>669</v>
      </c>
      <c r="U16" s="1" t="s">
        <v>320</v>
      </c>
      <c r="V16" s="1" t="s">
        <v>465</v>
      </c>
      <c r="W16" s="1">
        <v>60123.0</v>
      </c>
      <c r="Y16" s="1" t="s">
        <v>670</v>
      </c>
      <c r="Z16" s="1">
        <v>1997.0</v>
      </c>
      <c r="AA16" s="1" t="s">
        <v>200</v>
      </c>
      <c r="AB16" s="1" t="s">
        <v>193</v>
      </c>
      <c r="AD16" s="1" t="s">
        <v>469</v>
      </c>
      <c r="AE16" s="1" t="s">
        <v>325</v>
      </c>
      <c r="AF16" s="1" t="s">
        <v>469</v>
      </c>
      <c r="AH16" s="1" t="s">
        <v>671</v>
      </c>
      <c r="AK16" s="1">
        <v>8.0</v>
      </c>
      <c r="AL16" s="1">
        <v>4.0</v>
      </c>
      <c r="AM16" s="1">
        <v>2.0</v>
      </c>
      <c r="AN16" s="1">
        <v>0.0</v>
      </c>
      <c r="AO16" s="1" t="s">
        <v>198</v>
      </c>
      <c r="AP16" s="1">
        <v>1.0</v>
      </c>
      <c r="AQ16" s="1" t="s">
        <v>229</v>
      </c>
      <c r="AR16" s="1" t="s">
        <v>200</v>
      </c>
      <c r="AS16" s="1" t="s">
        <v>199</v>
      </c>
      <c r="AT16" s="1">
        <v>2.0</v>
      </c>
      <c r="AV16" s="1" t="s">
        <v>200</v>
      </c>
      <c r="AW16" s="4">
        <v>4379.46</v>
      </c>
      <c r="AX16" s="1">
        <v>2013.0</v>
      </c>
      <c r="AY16" s="1" t="s">
        <v>229</v>
      </c>
      <c r="AZ16" s="1" t="s">
        <v>200</v>
      </c>
      <c r="BA16" s="1" t="str">
        <f>"0614382019"</f>
        <v>0614382019</v>
      </c>
      <c r="BC16" s="1">
        <v>1721.0</v>
      </c>
      <c r="BD16" s="1">
        <v>147000.0</v>
      </c>
      <c r="BE16" s="2">
        <v>41928.0</v>
      </c>
      <c r="BF16" s="2" t="s">
        <v>672</v>
      </c>
      <c r="BG16" s="1" t="s">
        <v>673</v>
      </c>
      <c r="BH16" s="1">
        <v>0.0</v>
      </c>
      <c r="BI16" s="1" t="s">
        <v>674</v>
      </c>
      <c r="BJ16" s="1" t="s">
        <v>675</v>
      </c>
      <c r="BK16" s="1" t="s">
        <v>204</v>
      </c>
      <c r="BL16" s="1" t="str">
        <f>"11"</f>
        <v>11</v>
      </c>
      <c r="BM16" s="1" t="str">
        <f t="shared" si="9"/>
        <v>0</v>
      </c>
      <c r="BN16" s="1">
        <v>34.0</v>
      </c>
      <c r="BO16" s="1">
        <v>0.0</v>
      </c>
      <c r="BQ16" s="1">
        <v>46.0</v>
      </c>
      <c r="BR16" s="1">
        <v>46.0</v>
      </c>
      <c r="BS16" s="1">
        <v>46.0</v>
      </c>
      <c r="BU16" s="1" t="s">
        <v>676</v>
      </c>
      <c r="BV16" s="1" t="s">
        <v>206</v>
      </c>
      <c r="BW16" s="1" t="s">
        <v>210</v>
      </c>
      <c r="BX16" s="1" t="s">
        <v>431</v>
      </c>
      <c r="BY16" s="1" t="s">
        <v>215</v>
      </c>
      <c r="BZ16" s="1" t="s">
        <v>206</v>
      </c>
      <c r="CA16" s="1" t="s">
        <v>210</v>
      </c>
      <c r="CB16" s="1" t="s">
        <v>431</v>
      </c>
      <c r="CC16" s="1" t="s">
        <v>677</v>
      </c>
      <c r="CD16" s="1" t="s">
        <v>206</v>
      </c>
      <c r="CE16" s="1" t="s">
        <v>210</v>
      </c>
      <c r="CF16" s="1" t="s">
        <v>431</v>
      </c>
      <c r="CG16" s="1" t="s">
        <v>303</v>
      </c>
      <c r="CH16" s="1" t="s">
        <v>206</v>
      </c>
      <c r="CI16" s="1" t="s">
        <v>210</v>
      </c>
      <c r="CJ16" s="1" t="s">
        <v>431</v>
      </c>
      <c r="CK16" s="1" t="s">
        <v>303</v>
      </c>
      <c r="CL16" s="1" t="s">
        <v>206</v>
      </c>
      <c r="CM16" s="1" t="s">
        <v>210</v>
      </c>
      <c r="CN16" s="1" t="s">
        <v>431</v>
      </c>
      <c r="CO16" s="1" t="s">
        <v>303</v>
      </c>
      <c r="CP16" s="1" t="s">
        <v>206</v>
      </c>
      <c r="CQ16" s="1" t="s">
        <v>210</v>
      </c>
      <c r="CR16" s="1" t="s">
        <v>431</v>
      </c>
      <c r="CS16" s="1" t="s">
        <v>264</v>
      </c>
      <c r="CT16" s="1" t="s">
        <v>206</v>
      </c>
      <c r="CU16" s="1" t="s">
        <v>268</v>
      </c>
      <c r="CV16" s="1" t="s">
        <v>431</v>
      </c>
      <c r="CW16" s="1" t="s">
        <v>515</v>
      </c>
      <c r="CX16" s="1" t="s">
        <v>267</v>
      </c>
      <c r="CY16" s="1" t="s">
        <v>210</v>
      </c>
      <c r="CZ16" s="1" t="s">
        <v>229</v>
      </c>
      <c r="DA16" s="1" t="s">
        <v>200</v>
      </c>
      <c r="DC16" s="1" t="s">
        <v>678</v>
      </c>
      <c r="DD16" s="1" t="s">
        <v>679</v>
      </c>
      <c r="DE16" s="1" t="s">
        <v>273</v>
      </c>
      <c r="DF16" s="1" t="s">
        <v>219</v>
      </c>
      <c r="DG16" s="1" t="s">
        <v>337</v>
      </c>
      <c r="DH16" s="1" t="s">
        <v>220</v>
      </c>
      <c r="DI16" s="1" t="s">
        <v>680</v>
      </c>
      <c r="DJ16" s="1" t="s">
        <v>222</v>
      </c>
      <c r="DK16" s="1" t="s">
        <v>223</v>
      </c>
      <c r="DL16" s="1" t="s">
        <v>520</v>
      </c>
      <c r="DM16" s="1" t="s">
        <v>225</v>
      </c>
      <c r="DN16" s="1" t="s">
        <v>548</v>
      </c>
      <c r="DP16" s="1" t="s">
        <v>276</v>
      </c>
      <c r="DQ16" s="1" t="s">
        <v>228</v>
      </c>
      <c r="DR16" s="1" t="s">
        <v>229</v>
      </c>
      <c r="DS16" s="1" t="s">
        <v>230</v>
      </c>
      <c r="DU16" s="1" t="s">
        <v>681</v>
      </c>
      <c r="DV16" s="1" t="s">
        <v>232</v>
      </c>
      <c r="DW16" s="1" t="s">
        <v>370</v>
      </c>
      <c r="DX16" s="1" t="s">
        <v>234</v>
      </c>
      <c r="DY16" s="1" t="s">
        <v>682</v>
      </c>
      <c r="EA16" s="1" t="s">
        <v>683</v>
      </c>
      <c r="EB16" s="1" t="s">
        <v>684</v>
      </c>
      <c r="EC16" s="1" t="s">
        <v>685</v>
      </c>
      <c r="ED16" s="1" t="s">
        <v>407</v>
      </c>
      <c r="EE16" s="1" t="s">
        <v>493</v>
      </c>
      <c r="EM16" s="1" t="s">
        <v>238</v>
      </c>
      <c r="EQ16" s="1" t="s">
        <v>238</v>
      </c>
      <c r="EU16" s="1" t="s">
        <v>238</v>
      </c>
      <c r="EY16" s="1" t="s">
        <v>238</v>
      </c>
      <c r="FC16" s="1" t="s">
        <v>238</v>
      </c>
      <c r="FF16" s="1" t="s">
        <v>239</v>
      </c>
      <c r="FG16" s="1" t="s">
        <v>192</v>
      </c>
      <c r="FH16" s="1" t="s">
        <v>192</v>
      </c>
      <c r="FJ16" s="1" t="s">
        <v>686</v>
      </c>
      <c r="FK16" s="1" t="s">
        <v>229</v>
      </c>
      <c r="FL16" s="1" t="s">
        <v>687</v>
      </c>
      <c r="FM16" s="1">
        <v>466.0</v>
      </c>
      <c r="FN16" s="1" t="s">
        <v>688</v>
      </c>
      <c r="FO16" s="1" t="s">
        <v>689</v>
      </c>
      <c r="FP16" s="1">
        <v>563.0</v>
      </c>
      <c r="FQ16" s="1" t="s">
        <v>688</v>
      </c>
      <c r="FU16" s="1" t="s">
        <v>690</v>
      </c>
      <c r="FV16" s="1" t="s">
        <v>200</v>
      </c>
      <c r="FW16" s="1" t="s">
        <v>691</v>
      </c>
      <c r="FZ16" s="1" t="s">
        <v>229</v>
      </c>
      <c r="GA16" s="1" t="s">
        <v>291</v>
      </c>
      <c r="GB16" s="2">
        <v>41975.0</v>
      </c>
      <c r="GC16" s="1" t="s">
        <v>692</v>
      </c>
    </row>
    <row r="17">
      <c r="A17" s="1">
        <v>335000.0</v>
      </c>
      <c r="B17" s="1" t="s">
        <v>185</v>
      </c>
      <c r="C17" s="1" t="str">
        <f>"08756007"</f>
        <v>08756007</v>
      </c>
      <c r="D17" s="1" t="s">
        <v>186</v>
      </c>
      <c r="F17" s="1" t="str">
        <f>"8074"</f>
        <v>8074</v>
      </c>
      <c r="G17" s="2">
        <v>41929.0</v>
      </c>
      <c r="H17" s="1">
        <v>349900.0</v>
      </c>
      <c r="I17" s="1">
        <v>12.0</v>
      </c>
      <c r="J17" s="1">
        <v>349900.0</v>
      </c>
      <c r="K17" s="2">
        <v>41940.0</v>
      </c>
      <c r="L17" s="1">
        <v>12.0</v>
      </c>
      <c r="M17" s="2">
        <v>41940.0</v>
      </c>
      <c r="N17" s="1" t="s">
        <v>187</v>
      </c>
      <c r="O17" s="2">
        <v>41983.0</v>
      </c>
      <c r="P17" s="1">
        <v>150740.0</v>
      </c>
      <c r="Q17" s="1">
        <v>85093.0</v>
      </c>
      <c r="S17" s="1">
        <v>3731.0</v>
      </c>
      <c r="T17" s="1" t="s">
        <v>693</v>
      </c>
      <c r="U17" s="1" t="s">
        <v>694</v>
      </c>
      <c r="V17" s="1" t="s">
        <v>190</v>
      </c>
      <c r="W17" s="1">
        <v>60655.0</v>
      </c>
      <c r="Y17" s="1" t="s">
        <v>695</v>
      </c>
      <c r="Z17" s="1">
        <v>1951.0</v>
      </c>
      <c r="AA17" s="1" t="s">
        <v>192</v>
      </c>
      <c r="AB17" s="1" t="s">
        <v>193</v>
      </c>
      <c r="AD17" s="1" t="s">
        <v>194</v>
      </c>
      <c r="AE17" s="1" t="s">
        <v>195</v>
      </c>
      <c r="AF17" s="1" t="s">
        <v>659</v>
      </c>
      <c r="AH17" s="1" t="s">
        <v>696</v>
      </c>
      <c r="AI17" s="1">
        <v>0.1102</v>
      </c>
      <c r="AK17" s="1">
        <v>8.0</v>
      </c>
      <c r="AL17" s="1">
        <v>3.0</v>
      </c>
      <c r="AM17" s="1">
        <v>3.0</v>
      </c>
      <c r="AN17" s="1">
        <v>0.0</v>
      </c>
      <c r="AO17" s="1" t="s">
        <v>198</v>
      </c>
      <c r="AP17" s="1">
        <v>1.0</v>
      </c>
      <c r="AQ17" s="1" t="s">
        <v>198</v>
      </c>
      <c r="AR17" s="1" t="s">
        <v>192</v>
      </c>
      <c r="AS17" s="1" t="s">
        <v>199</v>
      </c>
      <c r="AT17" s="1">
        <v>2.5</v>
      </c>
      <c r="AV17" s="1" t="s">
        <v>200</v>
      </c>
      <c r="AW17" s="1">
        <v>4171.37</v>
      </c>
      <c r="AX17" s="1">
        <v>2012.0</v>
      </c>
      <c r="AY17" s="1" t="s">
        <v>387</v>
      </c>
      <c r="AZ17" s="1" t="s">
        <v>200</v>
      </c>
      <c r="BA17" s="1" t="str">
        <f>"24231050080000"</f>
        <v>24231050080000</v>
      </c>
      <c r="BC17" s="1">
        <v>1904.0</v>
      </c>
      <c r="BD17" s="1">
        <v>335000.0</v>
      </c>
      <c r="BE17" s="2">
        <v>41929.0</v>
      </c>
      <c r="BF17" s="2" t="s">
        <v>697</v>
      </c>
      <c r="BH17" s="1">
        <v>0.0</v>
      </c>
      <c r="BK17" s="1" t="s">
        <v>204</v>
      </c>
      <c r="BL17" s="1" t="str">
        <f t="shared" ref="BL17:BM17" si="10">"0"</f>
        <v>0</v>
      </c>
      <c r="BM17" s="1" t="str">
        <f t="shared" si="10"/>
        <v>0</v>
      </c>
      <c r="BN17" s="1">
        <v>3731.0</v>
      </c>
      <c r="BO17" s="1">
        <v>112.0</v>
      </c>
      <c r="BQ17" s="1">
        <v>299.0</v>
      </c>
      <c r="BR17" s="1">
        <v>299.0</v>
      </c>
      <c r="BS17" s="1">
        <v>299.0</v>
      </c>
      <c r="BU17" s="1" t="s">
        <v>664</v>
      </c>
      <c r="BV17" s="1" t="s">
        <v>206</v>
      </c>
      <c r="BW17" s="1" t="s">
        <v>207</v>
      </c>
      <c r="BX17" s="1" t="s">
        <v>239</v>
      </c>
      <c r="BY17" s="1" t="s">
        <v>698</v>
      </c>
      <c r="BZ17" s="1" t="s">
        <v>209</v>
      </c>
      <c r="CA17" s="1" t="s">
        <v>210</v>
      </c>
      <c r="CB17" s="1" t="s">
        <v>239</v>
      </c>
      <c r="CC17" s="1" t="s">
        <v>363</v>
      </c>
      <c r="CD17" s="1" t="s">
        <v>206</v>
      </c>
      <c r="CE17" s="1" t="s">
        <v>207</v>
      </c>
      <c r="CF17" s="1" t="s">
        <v>239</v>
      </c>
      <c r="CG17" s="1" t="s">
        <v>363</v>
      </c>
      <c r="CH17" s="1" t="s">
        <v>206</v>
      </c>
      <c r="CI17" s="1" t="s">
        <v>207</v>
      </c>
      <c r="CJ17" s="1" t="s">
        <v>239</v>
      </c>
      <c r="CK17" s="1" t="s">
        <v>663</v>
      </c>
      <c r="CL17" s="1" t="s">
        <v>206</v>
      </c>
      <c r="CM17" s="1" t="s">
        <v>207</v>
      </c>
      <c r="CN17" s="1" t="s">
        <v>239</v>
      </c>
      <c r="CO17" s="1" t="s">
        <v>699</v>
      </c>
      <c r="CP17" s="1" t="s">
        <v>42</v>
      </c>
      <c r="CQ17" s="1" t="s">
        <v>617</v>
      </c>
      <c r="CR17" s="1" t="s">
        <v>239</v>
      </c>
      <c r="CS17" s="1" t="s">
        <v>700</v>
      </c>
      <c r="CT17" s="1" t="s">
        <v>206</v>
      </c>
      <c r="CU17" s="1" t="s">
        <v>207</v>
      </c>
      <c r="CV17" s="1" t="s">
        <v>239</v>
      </c>
      <c r="CW17" s="1" t="s">
        <v>701</v>
      </c>
      <c r="CX17" s="1" t="s">
        <v>42</v>
      </c>
      <c r="CY17" s="1" t="s">
        <v>210</v>
      </c>
      <c r="CZ17" s="1" t="s">
        <v>239</v>
      </c>
      <c r="DA17" s="1" t="s">
        <v>200</v>
      </c>
      <c r="DC17" s="1" t="s">
        <v>702</v>
      </c>
      <c r="DE17" s="1" t="s">
        <v>273</v>
      </c>
      <c r="DF17" s="1" t="s">
        <v>219</v>
      </c>
      <c r="DH17" s="1" t="s">
        <v>365</v>
      </c>
      <c r="DI17" s="1" t="s">
        <v>703</v>
      </c>
      <c r="DJ17" s="1" t="s">
        <v>222</v>
      </c>
      <c r="DL17" s="1" t="s">
        <v>224</v>
      </c>
      <c r="DM17" s="1" t="s">
        <v>229</v>
      </c>
      <c r="DP17" s="1" t="s">
        <v>340</v>
      </c>
      <c r="DQ17" s="1" t="s">
        <v>228</v>
      </c>
      <c r="DR17" s="1" t="s">
        <v>229</v>
      </c>
      <c r="DS17" s="1" t="s">
        <v>230</v>
      </c>
      <c r="DV17" s="1" t="s">
        <v>232</v>
      </c>
      <c r="DW17" s="1" t="s">
        <v>444</v>
      </c>
      <c r="DX17" s="1" t="s">
        <v>234</v>
      </c>
      <c r="DY17" s="1" t="s">
        <v>704</v>
      </c>
      <c r="DZ17" s="1" t="s">
        <v>705</v>
      </c>
      <c r="EB17" s="1" t="s">
        <v>684</v>
      </c>
      <c r="EC17" s="1" t="s">
        <v>237</v>
      </c>
      <c r="EM17" s="1" t="s">
        <v>238</v>
      </c>
      <c r="EQ17" s="1" t="s">
        <v>238</v>
      </c>
      <c r="EU17" s="1" t="s">
        <v>238</v>
      </c>
      <c r="EY17" s="1" t="s">
        <v>238</v>
      </c>
      <c r="FC17" s="1" t="s">
        <v>238</v>
      </c>
      <c r="FF17" s="1" t="s">
        <v>239</v>
      </c>
      <c r="FG17" s="1" t="s">
        <v>192</v>
      </c>
      <c r="FH17" s="1" t="s">
        <v>192</v>
      </c>
      <c r="FJ17" s="1" t="s">
        <v>706</v>
      </c>
      <c r="FK17" s="1" t="s">
        <v>229</v>
      </c>
      <c r="FL17" s="1" t="s">
        <v>707</v>
      </c>
      <c r="FM17" s="1">
        <v>24174.0</v>
      </c>
      <c r="FN17" s="1" t="s">
        <v>708</v>
      </c>
      <c r="FO17" s="1" t="s">
        <v>709</v>
      </c>
      <c r="FP17" s="1">
        <v>243295.0</v>
      </c>
      <c r="FR17" s="1">
        <v>219332.0</v>
      </c>
      <c r="FU17" s="1" t="s">
        <v>710</v>
      </c>
      <c r="FV17" s="1" t="s">
        <v>200</v>
      </c>
      <c r="FW17" s="1" t="s">
        <v>290</v>
      </c>
      <c r="FX17" s="1" t="s">
        <v>246</v>
      </c>
      <c r="FZ17" s="1" t="s">
        <v>229</v>
      </c>
      <c r="GA17" s="1" t="s">
        <v>291</v>
      </c>
      <c r="GB17" s="2">
        <v>41989.0</v>
      </c>
      <c r="GC17" s="1" t="s">
        <v>711</v>
      </c>
    </row>
    <row r="18">
      <c r="A18" s="1">
        <v>286000.0</v>
      </c>
      <c r="B18" s="1" t="s">
        <v>185</v>
      </c>
      <c r="C18" s="1" t="str">
        <f>"08770346"</f>
        <v>08770346</v>
      </c>
      <c r="D18" s="1" t="s">
        <v>186</v>
      </c>
      <c r="F18" s="1" t="str">
        <f>"8015"</f>
        <v>8015</v>
      </c>
      <c r="G18" s="2">
        <v>41949.0</v>
      </c>
      <c r="H18" s="1">
        <v>339900.0</v>
      </c>
      <c r="I18" s="1">
        <v>222.0</v>
      </c>
      <c r="J18" s="1">
        <v>325000.0</v>
      </c>
      <c r="K18" s="2">
        <v>42053.0</v>
      </c>
      <c r="L18" s="1">
        <v>106.0</v>
      </c>
      <c r="M18" s="2">
        <v>42053.0</v>
      </c>
      <c r="N18" s="1" t="s">
        <v>356</v>
      </c>
      <c r="O18" s="2">
        <v>42093.0</v>
      </c>
      <c r="P18" s="1">
        <v>35579.0</v>
      </c>
      <c r="Q18" s="1">
        <v>4178.0</v>
      </c>
      <c r="R18" s="1">
        <v>6000.0</v>
      </c>
      <c r="S18" s="1">
        <v>5029.0</v>
      </c>
      <c r="T18" s="1" t="s">
        <v>712</v>
      </c>
      <c r="U18" s="1" t="s">
        <v>320</v>
      </c>
      <c r="V18" s="1" t="s">
        <v>190</v>
      </c>
      <c r="W18" s="1">
        <v>60641.0</v>
      </c>
      <c r="Y18" s="1" t="s">
        <v>713</v>
      </c>
      <c r="Z18" s="1">
        <v>1921.0</v>
      </c>
      <c r="AA18" s="1" t="s">
        <v>192</v>
      </c>
      <c r="AB18" s="1" t="s">
        <v>193</v>
      </c>
      <c r="AD18" s="1" t="s">
        <v>194</v>
      </c>
      <c r="AE18" s="1" t="s">
        <v>195</v>
      </c>
      <c r="AF18" s="1" t="s">
        <v>196</v>
      </c>
      <c r="AH18" s="1" t="s">
        <v>359</v>
      </c>
      <c r="AI18" s="1">
        <v>0.0956</v>
      </c>
      <c r="AK18" s="1">
        <v>8.0</v>
      </c>
      <c r="AL18" s="1">
        <v>3.0</v>
      </c>
      <c r="AM18" s="1">
        <v>3.0</v>
      </c>
      <c r="AN18" s="1">
        <v>0.0</v>
      </c>
      <c r="AO18" s="1" t="s">
        <v>198</v>
      </c>
      <c r="AQ18" s="1" t="s">
        <v>198</v>
      </c>
      <c r="AR18" s="1" t="s">
        <v>192</v>
      </c>
      <c r="AS18" s="1" t="s">
        <v>199</v>
      </c>
      <c r="AT18" s="1">
        <v>1.0</v>
      </c>
      <c r="AV18" s="1" t="s">
        <v>200</v>
      </c>
      <c r="AW18" s="1">
        <v>3627.64</v>
      </c>
      <c r="AX18" s="1">
        <v>2012.0</v>
      </c>
      <c r="AZ18" s="1" t="s">
        <v>200</v>
      </c>
      <c r="BA18" s="1" t="str">
        <f>"13214000210000"</f>
        <v>13214000210000</v>
      </c>
      <c r="BB18" s="1" t="s">
        <v>200</v>
      </c>
      <c r="BC18" s="1">
        <v>2937.0</v>
      </c>
      <c r="BD18" s="1">
        <v>286000.0</v>
      </c>
      <c r="BE18" s="2">
        <v>41948.0</v>
      </c>
      <c r="BF18" s="2" t="s">
        <v>714</v>
      </c>
      <c r="BH18" s="1">
        <v>0.0</v>
      </c>
      <c r="BK18" s="1" t="s">
        <v>204</v>
      </c>
      <c r="BL18" s="1" t="str">
        <f>"3600"</f>
        <v>3600</v>
      </c>
      <c r="BM18" s="1" t="str">
        <f t="shared" ref="BM18:BM22" si="11">"0"</f>
        <v>0</v>
      </c>
      <c r="BN18" s="1">
        <v>5029.0</v>
      </c>
      <c r="BO18" s="1">
        <v>0.0</v>
      </c>
      <c r="BQ18" s="1">
        <v>299.0</v>
      </c>
      <c r="BR18" s="1">
        <v>299.0</v>
      </c>
      <c r="BS18" s="1">
        <v>299.0</v>
      </c>
      <c r="BU18" s="1" t="s">
        <v>205</v>
      </c>
      <c r="BV18" s="1" t="s">
        <v>206</v>
      </c>
      <c r="BW18" s="1" t="s">
        <v>207</v>
      </c>
      <c r="BX18" s="1" t="s">
        <v>431</v>
      </c>
      <c r="BY18" s="1" t="s">
        <v>715</v>
      </c>
      <c r="BZ18" s="1" t="s">
        <v>209</v>
      </c>
      <c r="CA18" s="1" t="s">
        <v>210</v>
      </c>
      <c r="CB18" s="1" t="s">
        <v>229</v>
      </c>
      <c r="CC18" s="1" t="s">
        <v>542</v>
      </c>
      <c r="CD18" s="1" t="s">
        <v>206</v>
      </c>
      <c r="CE18" s="1" t="s">
        <v>207</v>
      </c>
      <c r="CF18" s="1" t="s">
        <v>431</v>
      </c>
      <c r="CG18" s="1" t="s">
        <v>215</v>
      </c>
      <c r="CH18" s="1" t="s">
        <v>206</v>
      </c>
      <c r="CI18" s="1" t="s">
        <v>207</v>
      </c>
      <c r="CJ18" s="1" t="s">
        <v>431</v>
      </c>
      <c r="CK18" s="1" t="s">
        <v>265</v>
      </c>
      <c r="CL18" s="1" t="s">
        <v>206</v>
      </c>
      <c r="CM18" s="1" t="s">
        <v>207</v>
      </c>
      <c r="CN18" s="1" t="s">
        <v>431</v>
      </c>
      <c r="CO18" s="1" t="s">
        <v>266</v>
      </c>
      <c r="CP18" s="1" t="s">
        <v>42</v>
      </c>
      <c r="CQ18" s="1" t="s">
        <v>268</v>
      </c>
      <c r="CR18" s="1" t="s">
        <v>229</v>
      </c>
      <c r="CS18" s="1" t="s">
        <v>497</v>
      </c>
      <c r="CT18" s="1" t="s">
        <v>206</v>
      </c>
      <c r="CU18" s="1" t="s">
        <v>207</v>
      </c>
      <c r="CV18" s="1" t="s">
        <v>431</v>
      </c>
      <c r="CW18" s="1" t="s">
        <v>716</v>
      </c>
      <c r="CX18" s="1" t="s">
        <v>42</v>
      </c>
      <c r="CY18" s="1" t="s">
        <v>268</v>
      </c>
      <c r="CZ18" s="1" t="s">
        <v>229</v>
      </c>
      <c r="DA18" s="1" t="s">
        <v>200</v>
      </c>
      <c r="DC18" s="1" t="s">
        <v>216</v>
      </c>
      <c r="DD18" s="1" t="s">
        <v>306</v>
      </c>
      <c r="DE18" s="1" t="s">
        <v>273</v>
      </c>
      <c r="DF18" s="1" t="s">
        <v>619</v>
      </c>
      <c r="DG18" s="1" t="s">
        <v>337</v>
      </c>
      <c r="DH18" s="1" t="s">
        <v>365</v>
      </c>
      <c r="DI18" s="1" t="s">
        <v>366</v>
      </c>
      <c r="DJ18" s="1" t="s">
        <v>222</v>
      </c>
      <c r="DL18" s="1" t="s">
        <v>224</v>
      </c>
      <c r="DM18" s="1" t="s">
        <v>398</v>
      </c>
      <c r="DN18" s="1" t="s">
        <v>226</v>
      </c>
      <c r="DO18" s="1" t="s">
        <v>717</v>
      </c>
      <c r="DP18" s="1" t="s">
        <v>276</v>
      </c>
      <c r="DQ18" s="1" t="s">
        <v>718</v>
      </c>
      <c r="DR18" s="1" t="s">
        <v>229</v>
      </c>
      <c r="DS18" s="1" t="s">
        <v>230</v>
      </c>
      <c r="DU18" s="1" t="s">
        <v>681</v>
      </c>
      <c r="DV18" s="1" t="s">
        <v>719</v>
      </c>
      <c r="DW18" s="1" t="s">
        <v>279</v>
      </c>
      <c r="DX18" s="1" t="s">
        <v>234</v>
      </c>
      <c r="DY18" s="1" t="s">
        <v>553</v>
      </c>
      <c r="DZ18" s="1" t="s">
        <v>310</v>
      </c>
      <c r="EA18" s="1" t="s">
        <v>644</v>
      </c>
      <c r="EC18" s="1" t="s">
        <v>645</v>
      </c>
      <c r="ED18" s="1" t="s">
        <v>407</v>
      </c>
      <c r="EG18" s="1" t="s">
        <v>409</v>
      </c>
      <c r="EH18" s="1" t="s">
        <v>720</v>
      </c>
      <c r="EL18" s="1" t="s">
        <v>560</v>
      </c>
      <c r="EM18" s="1" t="s">
        <v>209</v>
      </c>
      <c r="EN18" s="1" t="s">
        <v>210</v>
      </c>
      <c r="EO18" s="1" t="s">
        <v>229</v>
      </c>
      <c r="EP18" s="1" t="s">
        <v>721</v>
      </c>
      <c r="EQ18" s="1" t="s">
        <v>206</v>
      </c>
      <c r="ER18" s="1" t="s">
        <v>207</v>
      </c>
      <c r="ES18" s="1" t="s">
        <v>229</v>
      </c>
      <c r="EU18" s="1" t="s">
        <v>238</v>
      </c>
      <c r="EY18" s="1" t="s">
        <v>238</v>
      </c>
      <c r="FC18" s="1" t="s">
        <v>238</v>
      </c>
      <c r="FF18" s="1" t="s">
        <v>239</v>
      </c>
      <c r="FG18" s="1" t="s">
        <v>192</v>
      </c>
      <c r="FH18" s="1" t="s">
        <v>192</v>
      </c>
      <c r="FJ18" s="1" t="s">
        <v>648</v>
      </c>
      <c r="FK18" s="1" t="s">
        <v>229</v>
      </c>
      <c r="FL18" s="1" t="s">
        <v>649</v>
      </c>
      <c r="FM18" s="1">
        <v>60296.0</v>
      </c>
      <c r="FN18" s="1" t="s">
        <v>650</v>
      </c>
      <c r="FO18" s="1" t="s">
        <v>651</v>
      </c>
      <c r="FP18" s="1">
        <v>602837.0</v>
      </c>
      <c r="FQ18" s="1" t="s">
        <v>652</v>
      </c>
      <c r="FR18" s="1">
        <v>602442.0</v>
      </c>
      <c r="FU18" s="1" t="s">
        <v>722</v>
      </c>
      <c r="FV18" s="1" t="s">
        <v>200</v>
      </c>
      <c r="FW18" s="1" t="s">
        <v>530</v>
      </c>
      <c r="FX18" s="1" t="s">
        <v>246</v>
      </c>
      <c r="FZ18" s="1" t="s">
        <v>229</v>
      </c>
      <c r="GA18" s="1" t="s">
        <v>291</v>
      </c>
      <c r="GB18" s="2">
        <v>42097.0</v>
      </c>
      <c r="GC18" s="1" t="s">
        <v>723</v>
      </c>
    </row>
    <row r="19">
      <c r="A19" s="1">
        <v>364900.0</v>
      </c>
      <c r="B19" s="1" t="s">
        <v>185</v>
      </c>
      <c r="C19" s="1" t="str">
        <f>"08826771"</f>
        <v>08826771</v>
      </c>
      <c r="D19" s="1" t="s">
        <v>186</v>
      </c>
      <c r="F19" s="1" t="str">
        <f>"8011"</f>
        <v>8011</v>
      </c>
      <c r="G19" s="2">
        <v>42033.0</v>
      </c>
      <c r="H19" s="1">
        <v>364900.0</v>
      </c>
      <c r="I19" s="1">
        <v>6.0</v>
      </c>
      <c r="J19" s="1">
        <v>364900.0</v>
      </c>
      <c r="K19" s="2">
        <v>42037.0</v>
      </c>
      <c r="L19" s="1">
        <v>6.0</v>
      </c>
      <c r="M19" s="2">
        <v>42037.0</v>
      </c>
      <c r="N19" s="1" t="s">
        <v>187</v>
      </c>
      <c r="O19" s="2">
        <v>42079.0</v>
      </c>
      <c r="P19" s="1">
        <v>173243.0</v>
      </c>
      <c r="Q19" s="1">
        <v>13295.0</v>
      </c>
      <c r="R19" s="1">
        <v>4000.0</v>
      </c>
      <c r="S19" s="1">
        <v>5321.0</v>
      </c>
      <c r="T19" s="1" t="s">
        <v>724</v>
      </c>
      <c r="U19" s="1" t="s">
        <v>189</v>
      </c>
      <c r="V19" s="1" t="s">
        <v>190</v>
      </c>
      <c r="W19" s="1">
        <v>60630.0</v>
      </c>
      <c r="Y19" s="1" t="s">
        <v>725</v>
      </c>
      <c r="Z19" s="1">
        <v>1916.0</v>
      </c>
      <c r="AA19" s="1" t="s">
        <v>192</v>
      </c>
      <c r="AB19" s="1" t="s">
        <v>193</v>
      </c>
      <c r="AD19" s="1" t="s">
        <v>194</v>
      </c>
      <c r="AE19" s="1" t="s">
        <v>195</v>
      </c>
      <c r="AF19" s="1" t="s">
        <v>196</v>
      </c>
      <c r="AH19" s="1" t="s">
        <v>726</v>
      </c>
      <c r="AK19" s="1">
        <v>8.0</v>
      </c>
      <c r="AL19" s="1">
        <v>4.0</v>
      </c>
      <c r="AM19" s="1">
        <v>2.0</v>
      </c>
      <c r="AN19" s="1">
        <v>0.0</v>
      </c>
      <c r="AO19" s="1" t="s">
        <v>198</v>
      </c>
      <c r="AP19" s="1">
        <v>0.0</v>
      </c>
      <c r="AQ19" s="1" t="s">
        <v>198</v>
      </c>
      <c r="AR19" s="1" t="s">
        <v>200</v>
      </c>
      <c r="AS19" s="1" t="s">
        <v>510</v>
      </c>
      <c r="AT19" s="1">
        <v>1.0</v>
      </c>
      <c r="AU19" s="1">
        <v>1.0</v>
      </c>
      <c r="AV19" s="1" t="s">
        <v>200</v>
      </c>
      <c r="AW19" s="4">
        <v>4771.34</v>
      </c>
      <c r="AX19" s="1">
        <v>2013.0</v>
      </c>
      <c r="AY19" s="1" t="s">
        <v>229</v>
      </c>
      <c r="AZ19" s="1" t="s">
        <v>200</v>
      </c>
      <c r="BA19" s="1" t="str">
        <f>"13093140130000"</f>
        <v>13093140130000</v>
      </c>
      <c r="BC19" s="1">
        <v>2200.0</v>
      </c>
      <c r="BD19" s="1">
        <v>364900.0</v>
      </c>
      <c r="BE19" s="2">
        <v>42032.0</v>
      </c>
      <c r="BF19" s="2" t="s">
        <v>727</v>
      </c>
      <c r="BG19" s="1" t="s">
        <v>728</v>
      </c>
      <c r="BH19" s="1">
        <v>0.0</v>
      </c>
      <c r="BK19" s="1" t="s">
        <v>204</v>
      </c>
      <c r="BL19" s="1" t="str">
        <f>"5000"</f>
        <v>5000</v>
      </c>
      <c r="BM19" s="1" t="str">
        <f t="shared" si="11"/>
        <v>0</v>
      </c>
      <c r="BN19" s="1">
        <v>5321.0</v>
      </c>
      <c r="BO19" s="1">
        <v>0.0</v>
      </c>
      <c r="BQ19" s="1">
        <v>299.0</v>
      </c>
      <c r="BR19" s="1">
        <v>299.0</v>
      </c>
      <c r="BS19" s="1">
        <v>299.0</v>
      </c>
      <c r="BU19" s="1" t="s">
        <v>616</v>
      </c>
      <c r="BV19" s="1" t="s">
        <v>206</v>
      </c>
      <c r="BW19" s="1" t="s">
        <v>207</v>
      </c>
      <c r="BY19" s="1" t="s">
        <v>729</v>
      </c>
      <c r="BZ19" s="1" t="s">
        <v>209</v>
      </c>
      <c r="CA19" s="1" t="s">
        <v>210</v>
      </c>
      <c r="CC19" s="1" t="s">
        <v>542</v>
      </c>
      <c r="CD19" s="1" t="s">
        <v>206</v>
      </c>
      <c r="CE19" s="1" t="s">
        <v>207</v>
      </c>
      <c r="CG19" s="1" t="s">
        <v>392</v>
      </c>
      <c r="CH19" s="1" t="s">
        <v>209</v>
      </c>
      <c r="CI19" s="1" t="s">
        <v>210</v>
      </c>
      <c r="CK19" s="1" t="s">
        <v>543</v>
      </c>
      <c r="CL19" s="1" t="s">
        <v>209</v>
      </c>
      <c r="CM19" s="1" t="s">
        <v>210</v>
      </c>
      <c r="CO19" s="1" t="s">
        <v>495</v>
      </c>
      <c r="CP19" s="1" t="s">
        <v>206</v>
      </c>
      <c r="CQ19" s="1" t="s">
        <v>210</v>
      </c>
      <c r="CS19" s="1" t="s">
        <v>730</v>
      </c>
      <c r="CT19" s="1" t="s">
        <v>206</v>
      </c>
      <c r="CU19" s="1" t="s">
        <v>207</v>
      </c>
      <c r="CW19" s="1" t="s">
        <v>211</v>
      </c>
      <c r="CX19" s="1" t="s">
        <v>206</v>
      </c>
      <c r="CY19" s="1" t="s">
        <v>207</v>
      </c>
      <c r="DA19" s="1" t="s">
        <v>200</v>
      </c>
      <c r="DC19" s="1" t="s">
        <v>216</v>
      </c>
      <c r="DD19" s="1" t="s">
        <v>731</v>
      </c>
      <c r="DE19" s="1" t="s">
        <v>273</v>
      </c>
      <c r="DF19" s="1" t="s">
        <v>219</v>
      </c>
      <c r="DG19" s="1" t="s">
        <v>482</v>
      </c>
      <c r="DH19" s="1" t="s">
        <v>220</v>
      </c>
      <c r="DI19" s="1" t="s">
        <v>732</v>
      </c>
      <c r="DJ19" s="1" t="s">
        <v>222</v>
      </c>
      <c r="DK19" s="1" t="s">
        <v>223</v>
      </c>
      <c r="DL19" s="1" t="s">
        <v>223</v>
      </c>
      <c r="DM19" s="1" t="s">
        <v>229</v>
      </c>
      <c r="DP19" s="1" t="s">
        <v>276</v>
      </c>
      <c r="DQ19" s="1" t="s">
        <v>228</v>
      </c>
      <c r="DR19" s="1" t="s">
        <v>229</v>
      </c>
      <c r="DV19" s="1" t="s">
        <v>232</v>
      </c>
      <c r="DW19" s="1" t="s">
        <v>233</v>
      </c>
      <c r="DX19" s="1" t="s">
        <v>234</v>
      </c>
      <c r="DY19" s="1" t="s">
        <v>553</v>
      </c>
      <c r="DZ19" s="1" t="s">
        <v>310</v>
      </c>
      <c r="EC19" s="1" t="s">
        <v>237</v>
      </c>
      <c r="EM19" s="1" t="s">
        <v>238</v>
      </c>
      <c r="EQ19" s="1" t="s">
        <v>238</v>
      </c>
      <c r="EU19" s="1" t="s">
        <v>238</v>
      </c>
      <c r="EY19" s="1" t="s">
        <v>238</v>
      </c>
      <c r="FC19" s="1" t="s">
        <v>238</v>
      </c>
      <c r="FF19" s="1" t="s">
        <v>239</v>
      </c>
      <c r="FG19" s="1" t="s">
        <v>192</v>
      </c>
      <c r="FH19" s="1" t="s">
        <v>192</v>
      </c>
      <c r="FJ19" s="1" t="s">
        <v>733</v>
      </c>
      <c r="FK19" s="1" t="s">
        <v>229</v>
      </c>
      <c r="FL19" s="1" t="s">
        <v>734</v>
      </c>
      <c r="FM19" s="1">
        <v>10646.0</v>
      </c>
      <c r="FN19" s="1" t="s">
        <v>735</v>
      </c>
      <c r="FO19" s="1" t="s">
        <v>736</v>
      </c>
      <c r="FP19" s="1">
        <v>139913.0</v>
      </c>
      <c r="FQ19" s="1" t="s">
        <v>737</v>
      </c>
      <c r="FU19" s="1" t="s">
        <v>738</v>
      </c>
      <c r="FV19" s="1" t="s">
        <v>200</v>
      </c>
      <c r="FW19" s="1" t="s">
        <v>530</v>
      </c>
      <c r="FX19" s="1" t="s">
        <v>246</v>
      </c>
      <c r="FZ19" s="1" t="s">
        <v>229</v>
      </c>
      <c r="GA19" s="1" t="s">
        <v>291</v>
      </c>
      <c r="GB19" s="2">
        <v>42079.0</v>
      </c>
    </row>
    <row r="20">
      <c r="A20" s="1">
        <v>650000.0</v>
      </c>
      <c r="B20" s="1" t="s">
        <v>185</v>
      </c>
      <c r="C20" s="1" t="str">
        <f>"08862616"</f>
        <v>08862616</v>
      </c>
      <c r="D20" s="1" t="s">
        <v>186</v>
      </c>
      <c r="F20" s="1" t="str">
        <f>"8016"</f>
        <v>8016</v>
      </c>
      <c r="G20" s="2">
        <v>42079.0</v>
      </c>
      <c r="H20" s="1">
        <v>649900.0</v>
      </c>
      <c r="I20" s="1">
        <v>1.0</v>
      </c>
      <c r="J20" s="1">
        <v>649900.0</v>
      </c>
      <c r="K20" s="2">
        <v>42079.0</v>
      </c>
      <c r="L20" s="1">
        <v>1.0</v>
      </c>
      <c r="M20" s="2">
        <v>42079.0</v>
      </c>
      <c r="N20" s="1" t="s">
        <v>187</v>
      </c>
      <c r="O20" s="2">
        <v>42142.0</v>
      </c>
      <c r="P20" s="1">
        <v>234622.0</v>
      </c>
      <c r="Q20" s="1">
        <v>23444.0</v>
      </c>
      <c r="R20" s="1">
        <v>10000.0</v>
      </c>
      <c r="S20" s="1">
        <v>3813.0</v>
      </c>
      <c r="T20" s="1" t="s">
        <v>739</v>
      </c>
      <c r="U20" s="1" t="s">
        <v>189</v>
      </c>
      <c r="V20" s="1" t="s">
        <v>190</v>
      </c>
      <c r="W20" s="1">
        <v>60618.0</v>
      </c>
      <c r="Y20" s="1" t="s">
        <v>740</v>
      </c>
      <c r="Z20" s="1">
        <v>2015.0</v>
      </c>
      <c r="AA20" s="1" t="s">
        <v>200</v>
      </c>
      <c r="AB20" s="1" t="s">
        <v>193</v>
      </c>
      <c r="AD20" s="1" t="s">
        <v>194</v>
      </c>
      <c r="AE20" s="1" t="s">
        <v>195</v>
      </c>
      <c r="AF20" s="1" t="s">
        <v>196</v>
      </c>
      <c r="AH20" s="1" t="s">
        <v>741</v>
      </c>
      <c r="AK20" s="1">
        <v>9.0</v>
      </c>
      <c r="AL20" s="1">
        <v>3.0</v>
      </c>
      <c r="AM20" s="1">
        <v>3.0</v>
      </c>
      <c r="AN20" s="1">
        <v>1.0</v>
      </c>
      <c r="AO20" s="1" t="s">
        <v>198</v>
      </c>
      <c r="AP20" s="1">
        <v>0.0</v>
      </c>
      <c r="AQ20" s="1" t="s">
        <v>198</v>
      </c>
      <c r="AR20" s="1" t="s">
        <v>192</v>
      </c>
      <c r="AS20" s="1" t="s">
        <v>199</v>
      </c>
      <c r="AT20" s="1">
        <v>2.0</v>
      </c>
      <c r="AV20" s="1" t="s">
        <v>200</v>
      </c>
      <c r="AW20" s="1" t="s">
        <v>575</v>
      </c>
      <c r="AX20" s="1">
        <v>2013.0</v>
      </c>
      <c r="AZ20" s="1" t="s">
        <v>200</v>
      </c>
      <c r="BA20" s="1" t="str">
        <f>"13232140160000"</f>
        <v>13232140160000</v>
      </c>
      <c r="BC20" s="1">
        <v>3200.0</v>
      </c>
      <c r="BD20" s="1">
        <v>650000.0</v>
      </c>
      <c r="BE20" s="2">
        <v>42079.0</v>
      </c>
      <c r="BF20" s="1" t="s">
        <v>742</v>
      </c>
      <c r="BH20" s="1">
        <v>0.0</v>
      </c>
      <c r="BK20" s="1" t="s">
        <v>204</v>
      </c>
      <c r="BL20" s="1" t="str">
        <f>"3813"</f>
        <v>3813</v>
      </c>
      <c r="BM20" s="1" t="str">
        <f t="shared" si="11"/>
        <v>0</v>
      </c>
      <c r="BN20" s="1">
        <v>3300.0</v>
      </c>
      <c r="BO20" s="1">
        <v>0.0</v>
      </c>
      <c r="BQ20" s="1">
        <v>299.0</v>
      </c>
      <c r="BR20" s="1">
        <v>299.0</v>
      </c>
      <c r="BS20" s="1">
        <v>299.0</v>
      </c>
      <c r="BU20" s="1" t="s">
        <v>616</v>
      </c>
      <c r="BV20" s="1" t="s">
        <v>206</v>
      </c>
      <c r="BW20" s="1" t="s">
        <v>207</v>
      </c>
      <c r="BY20" s="1" t="s">
        <v>329</v>
      </c>
      <c r="BZ20" s="1" t="s">
        <v>209</v>
      </c>
      <c r="CA20" s="1" t="s">
        <v>210</v>
      </c>
      <c r="CC20" s="1" t="s">
        <v>392</v>
      </c>
      <c r="CD20" s="1" t="s">
        <v>206</v>
      </c>
      <c r="CE20" s="1" t="s">
        <v>207</v>
      </c>
      <c r="CG20" s="1" t="s">
        <v>262</v>
      </c>
      <c r="CH20" s="1" t="s">
        <v>209</v>
      </c>
      <c r="CI20" s="1" t="s">
        <v>210</v>
      </c>
      <c r="CK20" s="1" t="s">
        <v>332</v>
      </c>
      <c r="CL20" s="1" t="s">
        <v>209</v>
      </c>
      <c r="CM20" s="1" t="s">
        <v>210</v>
      </c>
      <c r="CO20" s="1" t="s">
        <v>363</v>
      </c>
      <c r="CP20" s="1" t="s">
        <v>42</v>
      </c>
      <c r="CQ20" s="1" t="s">
        <v>210</v>
      </c>
      <c r="CS20" s="1" t="s">
        <v>361</v>
      </c>
      <c r="CT20" s="1" t="s">
        <v>206</v>
      </c>
      <c r="CU20" s="1" t="s">
        <v>207</v>
      </c>
      <c r="CW20" s="1" t="s">
        <v>743</v>
      </c>
      <c r="CX20" s="1" t="s">
        <v>206</v>
      </c>
      <c r="CY20" s="1" t="s">
        <v>207</v>
      </c>
      <c r="DA20" s="1" t="s">
        <v>192</v>
      </c>
      <c r="DB20" s="2">
        <v>42095.0</v>
      </c>
      <c r="DC20" s="1" t="s">
        <v>744</v>
      </c>
      <c r="DE20" s="1" t="s">
        <v>218</v>
      </c>
      <c r="DF20" s="1" t="s">
        <v>745</v>
      </c>
      <c r="DG20" s="1" t="s">
        <v>482</v>
      </c>
      <c r="DH20" s="1" t="s">
        <v>220</v>
      </c>
      <c r="DI20" s="1" t="s">
        <v>519</v>
      </c>
      <c r="DJ20" s="1" t="s">
        <v>222</v>
      </c>
      <c r="DK20" s="1" t="s">
        <v>223</v>
      </c>
      <c r="DL20" s="1" t="s">
        <v>224</v>
      </c>
      <c r="DM20" s="1" t="s">
        <v>229</v>
      </c>
      <c r="DN20" s="1" t="s">
        <v>339</v>
      </c>
      <c r="DP20" s="1" t="s">
        <v>276</v>
      </c>
      <c r="DQ20" s="1" t="s">
        <v>228</v>
      </c>
      <c r="DR20" s="1" t="s">
        <v>229</v>
      </c>
      <c r="DU20" s="1" t="s">
        <v>746</v>
      </c>
      <c r="DV20" s="1" t="s">
        <v>450</v>
      </c>
      <c r="DW20" s="1" t="s">
        <v>588</v>
      </c>
      <c r="DX20" s="1" t="s">
        <v>234</v>
      </c>
      <c r="DY20" s="1" t="s">
        <v>747</v>
      </c>
      <c r="DZ20" s="1" t="s">
        <v>310</v>
      </c>
      <c r="EC20" s="1" t="s">
        <v>237</v>
      </c>
      <c r="ED20" s="1" t="s">
        <v>555</v>
      </c>
      <c r="EG20" s="1" t="s">
        <v>450</v>
      </c>
      <c r="EL20" s="1" t="s">
        <v>748</v>
      </c>
      <c r="EM20" s="1" t="s">
        <v>42</v>
      </c>
      <c r="EN20" s="1" t="s">
        <v>210</v>
      </c>
      <c r="EQ20" s="1" t="s">
        <v>238</v>
      </c>
      <c r="EU20" s="1" t="s">
        <v>238</v>
      </c>
      <c r="EY20" s="1" t="s">
        <v>238</v>
      </c>
      <c r="FC20" s="1" t="s">
        <v>238</v>
      </c>
      <c r="FF20" s="1" t="s">
        <v>239</v>
      </c>
      <c r="FG20" s="1" t="s">
        <v>192</v>
      </c>
      <c r="FH20" s="1" t="s">
        <v>192</v>
      </c>
      <c r="FJ20" s="1" t="s">
        <v>733</v>
      </c>
      <c r="FK20" s="1" t="s">
        <v>229</v>
      </c>
      <c r="FL20" s="1" t="s">
        <v>734</v>
      </c>
      <c r="FM20" s="1">
        <v>10646.0</v>
      </c>
      <c r="FN20" s="1" t="s">
        <v>735</v>
      </c>
      <c r="FO20" s="1" t="s">
        <v>736</v>
      </c>
      <c r="FP20" s="1">
        <v>139913.0</v>
      </c>
      <c r="FQ20" s="1" t="s">
        <v>737</v>
      </c>
      <c r="FU20" s="1" t="s">
        <v>738</v>
      </c>
      <c r="FV20" s="1" t="s">
        <v>200</v>
      </c>
      <c r="FW20" s="1" t="s">
        <v>530</v>
      </c>
      <c r="FX20" s="1" t="s">
        <v>238</v>
      </c>
      <c r="FZ20" s="1" t="s">
        <v>229</v>
      </c>
      <c r="GA20" s="1" t="s">
        <v>291</v>
      </c>
      <c r="GB20" s="2">
        <v>42146.0</v>
      </c>
    </row>
    <row r="21">
      <c r="A21" s="1">
        <v>309000.0</v>
      </c>
      <c r="B21" s="1" t="s">
        <v>185</v>
      </c>
      <c r="C21" s="1" t="str">
        <f>"08763704"</f>
        <v>08763704</v>
      </c>
      <c r="D21" s="1" t="s">
        <v>186</v>
      </c>
      <c r="F21" s="1" t="str">
        <f>"107"</f>
        <v>107</v>
      </c>
      <c r="G21" s="2">
        <v>41940.0</v>
      </c>
      <c r="H21" s="1">
        <v>315000.0</v>
      </c>
      <c r="I21" s="1">
        <v>128.0</v>
      </c>
      <c r="J21" s="1">
        <v>315000.0</v>
      </c>
      <c r="K21" s="2">
        <v>41942.0</v>
      </c>
      <c r="L21" s="1">
        <v>3.0</v>
      </c>
      <c r="M21" s="2">
        <v>41942.0</v>
      </c>
      <c r="N21" s="1" t="s">
        <v>187</v>
      </c>
      <c r="O21" s="2">
        <v>41990.0</v>
      </c>
      <c r="P21" s="1">
        <v>7203.0</v>
      </c>
      <c r="Q21" s="1">
        <v>357.0</v>
      </c>
      <c r="S21" s="1">
        <v>101.0</v>
      </c>
      <c r="T21" s="1" t="s">
        <v>749</v>
      </c>
      <c r="U21" s="1" t="s">
        <v>420</v>
      </c>
      <c r="V21" s="1" t="s">
        <v>294</v>
      </c>
      <c r="W21" s="1">
        <v>60107.0</v>
      </c>
      <c r="Y21" s="1" t="s">
        <v>750</v>
      </c>
      <c r="Z21" s="1">
        <v>1999.0</v>
      </c>
      <c r="AA21" s="1" t="s">
        <v>200</v>
      </c>
      <c r="AB21" s="1" t="s">
        <v>467</v>
      </c>
      <c r="AC21" s="1" t="s">
        <v>751</v>
      </c>
      <c r="AD21" s="1" t="s">
        <v>297</v>
      </c>
      <c r="AE21" s="1" t="s">
        <v>195</v>
      </c>
      <c r="AF21" s="1" t="s">
        <v>298</v>
      </c>
      <c r="AG21" s="1" t="s">
        <v>752</v>
      </c>
      <c r="AH21" s="1" t="s">
        <v>753</v>
      </c>
      <c r="AI21" s="1">
        <v>0.0</v>
      </c>
      <c r="AK21" s="1">
        <v>9.0</v>
      </c>
      <c r="AL21" s="1">
        <v>4.0</v>
      </c>
      <c r="AM21" s="1">
        <v>3.0</v>
      </c>
      <c r="AN21" s="1">
        <v>1.0</v>
      </c>
      <c r="AO21" s="1" t="s">
        <v>198</v>
      </c>
      <c r="AP21" s="1">
        <v>1.0</v>
      </c>
      <c r="AQ21" s="1" t="s">
        <v>472</v>
      </c>
      <c r="AR21" s="1" t="s">
        <v>192</v>
      </c>
      <c r="AS21" s="1" t="s">
        <v>199</v>
      </c>
      <c r="AT21" s="1">
        <v>3.0</v>
      </c>
      <c r="AV21" s="1" t="s">
        <v>200</v>
      </c>
      <c r="AW21" s="1">
        <v>7876.31</v>
      </c>
      <c r="AX21" s="1">
        <v>2012.0</v>
      </c>
      <c r="AY21" s="1" t="s">
        <v>387</v>
      </c>
      <c r="AZ21" s="1" t="s">
        <v>200</v>
      </c>
      <c r="BA21" s="1" t="str">
        <f>"06214100150000"</f>
        <v>06214100150000</v>
      </c>
      <c r="BB21" s="1" t="s">
        <v>200</v>
      </c>
      <c r="BC21" s="1">
        <v>2269.0</v>
      </c>
      <c r="BD21" s="1">
        <v>309000.0</v>
      </c>
      <c r="BE21" s="2">
        <v>41940.0</v>
      </c>
      <c r="BF21" s="2" t="s">
        <v>754</v>
      </c>
      <c r="BG21" s="1" t="s">
        <v>755</v>
      </c>
      <c r="BH21" s="1">
        <v>100.0</v>
      </c>
      <c r="BI21" s="1" t="s">
        <v>756</v>
      </c>
      <c r="BJ21" s="1" t="s">
        <v>757</v>
      </c>
      <c r="BK21" s="1" t="s">
        <v>580</v>
      </c>
      <c r="BL21" s="1" t="str">
        <f>"10"</f>
        <v>10</v>
      </c>
      <c r="BM21" s="1" t="str">
        <f t="shared" si="11"/>
        <v>0</v>
      </c>
      <c r="BN21" s="1">
        <v>30.0</v>
      </c>
      <c r="BO21" s="1">
        <v>0.0</v>
      </c>
      <c r="BQ21" s="1">
        <v>46.0</v>
      </c>
      <c r="BR21" s="1">
        <v>46.0</v>
      </c>
      <c r="BS21" s="1">
        <v>46.0</v>
      </c>
      <c r="BU21" s="1" t="s">
        <v>332</v>
      </c>
      <c r="BV21" s="1" t="s">
        <v>206</v>
      </c>
      <c r="BW21" s="1" t="s">
        <v>210</v>
      </c>
      <c r="BX21" s="1" t="s">
        <v>239</v>
      </c>
      <c r="BY21" s="1" t="s">
        <v>616</v>
      </c>
      <c r="BZ21" s="1" t="s">
        <v>209</v>
      </c>
      <c r="CA21" s="1" t="s">
        <v>210</v>
      </c>
      <c r="CB21" s="1" t="s">
        <v>239</v>
      </c>
      <c r="CC21" s="1" t="s">
        <v>332</v>
      </c>
      <c r="CD21" s="1" t="s">
        <v>206</v>
      </c>
      <c r="CE21" s="1" t="s">
        <v>210</v>
      </c>
      <c r="CF21" s="1" t="s">
        <v>239</v>
      </c>
      <c r="CG21" s="1" t="s">
        <v>264</v>
      </c>
      <c r="CH21" s="1" t="s">
        <v>209</v>
      </c>
      <c r="CI21" s="1" t="s">
        <v>210</v>
      </c>
      <c r="CJ21" s="1" t="s">
        <v>239</v>
      </c>
      <c r="CK21" s="1" t="s">
        <v>699</v>
      </c>
      <c r="CL21" s="1" t="s">
        <v>209</v>
      </c>
      <c r="CM21" s="1" t="s">
        <v>210</v>
      </c>
      <c r="CN21" s="1" t="s">
        <v>239</v>
      </c>
      <c r="CO21" s="1" t="s">
        <v>495</v>
      </c>
      <c r="CP21" s="1" t="s">
        <v>209</v>
      </c>
      <c r="CQ21" s="1" t="s">
        <v>210</v>
      </c>
      <c r="CR21" s="1" t="s">
        <v>239</v>
      </c>
      <c r="CS21" s="1" t="s">
        <v>329</v>
      </c>
      <c r="CT21" s="1" t="s">
        <v>206</v>
      </c>
      <c r="CU21" s="1" t="s">
        <v>207</v>
      </c>
      <c r="CV21" s="1" t="s">
        <v>239</v>
      </c>
      <c r="CW21" s="1" t="s">
        <v>758</v>
      </c>
      <c r="CX21" s="1" t="s">
        <v>206</v>
      </c>
      <c r="CY21" s="1" t="s">
        <v>207</v>
      </c>
      <c r="CZ21" s="1" t="s">
        <v>239</v>
      </c>
      <c r="DA21" s="1" t="s">
        <v>200</v>
      </c>
      <c r="DC21" s="1" t="s">
        <v>335</v>
      </c>
      <c r="DD21" s="1" t="s">
        <v>759</v>
      </c>
      <c r="DE21" s="1" t="s">
        <v>273</v>
      </c>
      <c r="DF21" s="1" t="s">
        <v>219</v>
      </c>
      <c r="DH21" s="1" t="s">
        <v>220</v>
      </c>
      <c r="DI21" s="1" t="s">
        <v>760</v>
      </c>
      <c r="DJ21" s="1" t="s">
        <v>222</v>
      </c>
      <c r="DK21" s="1" t="s">
        <v>224</v>
      </c>
      <c r="DL21" s="1" t="s">
        <v>224</v>
      </c>
      <c r="DM21" s="1" t="s">
        <v>338</v>
      </c>
      <c r="DN21" s="1" t="s">
        <v>399</v>
      </c>
      <c r="DO21" s="1" t="s">
        <v>761</v>
      </c>
      <c r="DP21" s="1" t="s">
        <v>340</v>
      </c>
      <c r="DQ21" s="1" t="s">
        <v>441</v>
      </c>
      <c r="DR21" s="1" t="s">
        <v>588</v>
      </c>
      <c r="DS21" s="1" t="s">
        <v>230</v>
      </c>
      <c r="DU21" s="1" t="s">
        <v>762</v>
      </c>
      <c r="DV21" s="1" t="s">
        <v>763</v>
      </c>
      <c r="DW21" s="1" t="s">
        <v>764</v>
      </c>
      <c r="DX21" s="1" t="s">
        <v>234</v>
      </c>
      <c r="DY21" s="1" t="s">
        <v>765</v>
      </c>
      <c r="DZ21" s="1" t="s">
        <v>766</v>
      </c>
      <c r="EB21" s="1" t="s">
        <v>767</v>
      </c>
      <c r="EC21" s="1" t="s">
        <v>237</v>
      </c>
      <c r="ED21" s="1" t="s">
        <v>407</v>
      </c>
      <c r="EH21" s="1" t="s">
        <v>408</v>
      </c>
      <c r="EJ21" s="1" t="s">
        <v>450</v>
      </c>
      <c r="EM21" s="1" t="s">
        <v>238</v>
      </c>
      <c r="EP21" s="1" t="s">
        <v>768</v>
      </c>
      <c r="EQ21" s="1" t="s">
        <v>206</v>
      </c>
      <c r="ER21" s="1" t="s">
        <v>207</v>
      </c>
      <c r="ES21" s="1" t="s">
        <v>229</v>
      </c>
      <c r="EU21" s="1" t="s">
        <v>238</v>
      </c>
      <c r="EX21" s="1" t="s">
        <v>769</v>
      </c>
      <c r="EY21" s="1" t="s">
        <v>42</v>
      </c>
      <c r="EZ21" s="1" t="s">
        <v>210</v>
      </c>
      <c r="FA21" s="1" t="s">
        <v>229</v>
      </c>
      <c r="FC21" s="1" t="s">
        <v>238</v>
      </c>
      <c r="FF21" s="1" t="s">
        <v>239</v>
      </c>
      <c r="FG21" s="1" t="s">
        <v>192</v>
      </c>
      <c r="FH21" s="1" t="s">
        <v>192</v>
      </c>
      <c r="FJ21" s="1" t="s">
        <v>770</v>
      </c>
      <c r="FK21" s="1" t="s">
        <v>229</v>
      </c>
      <c r="FL21" s="1" t="s">
        <v>771</v>
      </c>
      <c r="FM21" s="1">
        <v>16636.0</v>
      </c>
      <c r="FN21" s="1" t="s">
        <v>526</v>
      </c>
      <c r="FO21" s="1" t="s">
        <v>772</v>
      </c>
      <c r="FP21" s="1">
        <v>166650.0</v>
      </c>
      <c r="FQ21" s="1" t="s">
        <v>773</v>
      </c>
      <c r="FU21" s="1" t="s">
        <v>774</v>
      </c>
      <c r="FV21" s="1" t="s">
        <v>200</v>
      </c>
      <c r="FW21" s="1" t="s">
        <v>290</v>
      </c>
      <c r="FZ21" s="1" t="s">
        <v>229</v>
      </c>
      <c r="GA21" s="1" t="s">
        <v>291</v>
      </c>
      <c r="GB21" s="2">
        <v>42000.0</v>
      </c>
      <c r="GC21" s="1" t="s">
        <v>775</v>
      </c>
    </row>
    <row r="22">
      <c r="A22" s="1">
        <v>369000.0</v>
      </c>
      <c r="B22" s="1" t="s">
        <v>185</v>
      </c>
      <c r="C22" s="1" t="str">
        <f>"08754544"</f>
        <v>08754544</v>
      </c>
      <c r="D22" s="1" t="s">
        <v>186</v>
      </c>
      <c r="F22" s="1" t="str">
        <f>"8015"</f>
        <v>8015</v>
      </c>
      <c r="G22" s="2">
        <v>41928.0</v>
      </c>
      <c r="H22" s="1">
        <v>374000.0</v>
      </c>
      <c r="I22" s="1">
        <v>79.0</v>
      </c>
      <c r="J22" s="1">
        <v>374000.0</v>
      </c>
      <c r="K22" s="2">
        <v>41990.0</v>
      </c>
      <c r="L22" s="1">
        <v>63.0</v>
      </c>
      <c r="M22" s="2">
        <v>41990.0</v>
      </c>
      <c r="N22" s="1" t="s">
        <v>187</v>
      </c>
      <c r="O22" s="2">
        <v>42031.0</v>
      </c>
      <c r="P22" s="1">
        <v>875394.0</v>
      </c>
      <c r="Q22" s="1">
        <v>18705.0</v>
      </c>
      <c r="S22" s="1">
        <v>5512.0</v>
      </c>
      <c r="T22" s="1" t="s">
        <v>776</v>
      </c>
      <c r="U22" s="1" t="s">
        <v>189</v>
      </c>
      <c r="V22" s="1" t="s">
        <v>190</v>
      </c>
      <c r="W22" s="1">
        <v>60641.0</v>
      </c>
      <c r="X22" s="1">
        <v>1334.0</v>
      </c>
      <c r="Y22" s="1" t="s">
        <v>777</v>
      </c>
      <c r="Z22" s="1">
        <v>1929.0</v>
      </c>
      <c r="AA22" s="1" t="s">
        <v>192</v>
      </c>
      <c r="AB22" s="1" t="s">
        <v>193</v>
      </c>
      <c r="AD22" s="1" t="s">
        <v>194</v>
      </c>
      <c r="AE22" s="1" t="s">
        <v>195</v>
      </c>
      <c r="AF22" s="1" t="s">
        <v>196</v>
      </c>
      <c r="AG22" s="1" t="s">
        <v>778</v>
      </c>
      <c r="AH22" s="1" t="s">
        <v>779</v>
      </c>
      <c r="AI22" s="1">
        <v>0.0861</v>
      </c>
      <c r="AK22" s="1">
        <v>8.0</v>
      </c>
      <c r="AL22" s="1">
        <v>4.0</v>
      </c>
      <c r="AM22" s="1">
        <v>2.0</v>
      </c>
      <c r="AN22" s="1">
        <v>0.0</v>
      </c>
      <c r="AO22" s="1" t="s">
        <v>198</v>
      </c>
      <c r="AP22" s="1">
        <v>1.0</v>
      </c>
      <c r="AQ22" s="1" t="s">
        <v>198</v>
      </c>
      <c r="AR22" s="1" t="s">
        <v>200</v>
      </c>
      <c r="AS22" s="1" t="s">
        <v>199</v>
      </c>
      <c r="AT22" s="1">
        <v>2.0</v>
      </c>
      <c r="AV22" s="1" t="s">
        <v>200</v>
      </c>
      <c r="AW22" s="1">
        <v>4443.81</v>
      </c>
      <c r="AX22" s="1">
        <v>2013.0</v>
      </c>
      <c r="AY22" s="1" t="s">
        <v>387</v>
      </c>
      <c r="AZ22" s="1" t="s">
        <v>200</v>
      </c>
      <c r="BA22" s="1" t="str">
        <f>"13163000320000"</f>
        <v>13163000320000</v>
      </c>
      <c r="BB22" s="1" t="s">
        <v>200</v>
      </c>
      <c r="BC22" s="1">
        <v>1894.0</v>
      </c>
      <c r="BD22" s="1">
        <v>369000.0</v>
      </c>
      <c r="BE22" s="2">
        <v>41928.0</v>
      </c>
      <c r="BF22" s="2" t="s">
        <v>780</v>
      </c>
      <c r="BG22" s="1" t="s">
        <v>781</v>
      </c>
      <c r="BH22" s="1">
        <v>0.0</v>
      </c>
      <c r="BI22" s="1" t="s">
        <v>781</v>
      </c>
      <c r="BJ22" s="1" t="s">
        <v>203</v>
      </c>
      <c r="BK22" s="1" t="s">
        <v>204</v>
      </c>
      <c r="BL22" s="1" t="str">
        <f>"4332"</f>
        <v>4332</v>
      </c>
      <c r="BM22" s="1" t="str">
        <f t="shared" si="11"/>
        <v>0</v>
      </c>
      <c r="BN22" s="1">
        <v>5512.0</v>
      </c>
      <c r="BO22" s="1">
        <v>0.0</v>
      </c>
      <c r="BQ22" s="1">
        <v>299.0</v>
      </c>
      <c r="BR22" s="1">
        <v>299.0</v>
      </c>
      <c r="BS22" s="1">
        <v>299.0</v>
      </c>
      <c r="BU22" s="1" t="s">
        <v>782</v>
      </c>
      <c r="BV22" s="1" t="s">
        <v>206</v>
      </c>
      <c r="BW22" s="1" t="s">
        <v>207</v>
      </c>
      <c r="BY22" s="1" t="s">
        <v>783</v>
      </c>
      <c r="BZ22" s="1" t="s">
        <v>209</v>
      </c>
      <c r="CA22" s="1" t="s">
        <v>210</v>
      </c>
      <c r="CC22" s="1" t="s">
        <v>329</v>
      </c>
      <c r="CD22" s="1" t="s">
        <v>206</v>
      </c>
      <c r="CE22" s="1" t="s">
        <v>207</v>
      </c>
      <c r="CG22" s="1" t="s">
        <v>363</v>
      </c>
      <c r="CH22" s="1" t="s">
        <v>206</v>
      </c>
      <c r="CI22" s="1" t="s">
        <v>207</v>
      </c>
      <c r="CK22" s="1" t="s">
        <v>363</v>
      </c>
      <c r="CL22" s="1" t="s">
        <v>206</v>
      </c>
      <c r="CM22" s="1" t="s">
        <v>207</v>
      </c>
      <c r="CO22" s="1" t="s">
        <v>784</v>
      </c>
      <c r="CP22" s="1" t="s">
        <v>209</v>
      </c>
      <c r="CQ22" s="1" t="s">
        <v>210</v>
      </c>
      <c r="CS22" s="1" t="s">
        <v>363</v>
      </c>
      <c r="CT22" s="1" t="s">
        <v>206</v>
      </c>
      <c r="CU22" s="1" t="s">
        <v>207</v>
      </c>
      <c r="CX22" s="1" t="s">
        <v>204</v>
      </c>
      <c r="DA22" s="1" t="s">
        <v>200</v>
      </c>
      <c r="DC22" s="1" t="s">
        <v>785</v>
      </c>
      <c r="DD22" s="1" t="s">
        <v>786</v>
      </c>
      <c r="DE22" s="1" t="s">
        <v>273</v>
      </c>
      <c r="DF22" s="1" t="s">
        <v>787</v>
      </c>
      <c r="DG22" s="1" t="s">
        <v>788</v>
      </c>
      <c r="DH22" s="1" t="s">
        <v>365</v>
      </c>
      <c r="DI22" s="1" t="s">
        <v>789</v>
      </c>
      <c r="DJ22" s="1" t="s">
        <v>222</v>
      </c>
      <c r="DK22" s="1" t="s">
        <v>790</v>
      </c>
      <c r="DL22" s="1" t="s">
        <v>791</v>
      </c>
      <c r="DM22" s="1" t="s">
        <v>792</v>
      </c>
      <c r="DN22" s="1" t="s">
        <v>793</v>
      </c>
      <c r="DO22" s="1" t="s">
        <v>549</v>
      </c>
      <c r="DP22" s="1" t="s">
        <v>340</v>
      </c>
      <c r="DQ22" s="1" t="s">
        <v>794</v>
      </c>
      <c r="DR22" s="1" t="s">
        <v>229</v>
      </c>
      <c r="DS22" s="1" t="s">
        <v>401</v>
      </c>
      <c r="DU22" s="1" t="s">
        <v>681</v>
      </c>
      <c r="DV22" s="1" t="s">
        <v>795</v>
      </c>
      <c r="DW22" s="1" t="s">
        <v>279</v>
      </c>
      <c r="DX22" s="1" t="s">
        <v>234</v>
      </c>
      <c r="DY22" s="1" t="s">
        <v>553</v>
      </c>
      <c r="DZ22" s="1" t="s">
        <v>796</v>
      </c>
      <c r="EA22" s="1" t="s">
        <v>644</v>
      </c>
      <c r="EB22" s="1" t="s">
        <v>797</v>
      </c>
      <c r="EC22" s="1" t="s">
        <v>645</v>
      </c>
      <c r="ED22" s="1" t="s">
        <v>407</v>
      </c>
      <c r="EG22" s="1" t="s">
        <v>598</v>
      </c>
      <c r="EH22" s="1" t="s">
        <v>720</v>
      </c>
      <c r="EL22" s="1" t="s">
        <v>266</v>
      </c>
      <c r="EM22" s="1" t="s">
        <v>206</v>
      </c>
      <c r="EN22" s="1" t="s">
        <v>207</v>
      </c>
      <c r="EP22" s="1" t="s">
        <v>798</v>
      </c>
      <c r="EQ22" s="1" t="s">
        <v>206</v>
      </c>
      <c r="EU22" s="1" t="s">
        <v>238</v>
      </c>
      <c r="EY22" s="1" t="s">
        <v>238</v>
      </c>
      <c r="FC22" s="1" t="s">
        <v>238</v>
      </c>
      <c r="FF22" s="1" t="s">
        <v>239</v>
      </c>
      <c r="FG22" s="1" t="s">
        <v>192</v>
      </c>
      <c r="FH22" s="1" t="s">
        <v>192</v>
      </c>
      <c r="FJ22" s="1" t="s">
        <v>799</v>
      </c>
      <c r="FK22" s="1" t="s">
        <v>229</v>
      </c>
      <c r="FL22" s="1" t="s">
        <v>800</v>
      </c>
      <c r="FM22" s="1">
        <v>16898.0</v>
      </c>
      <c r="FN22" s="1" t="s">
        <v>801</v>
      </c>
      <c r="FO22" s="1" t="s">
        <v>802</v>
      </c>
      <c r="FP22" s="1">
        <v>141556.0</v>
      </c>
      <c r="FQ22" s="1" t="s">
        <v>803</v>
      </c>
      <c r="FU22" s="1" t="s">
        <v>804</v>
      </c>
      <c r="FV22" s="1" t="s">
        <v>200</v>
      </c>
      <c r="FW22" s="1" t="s">
        <v>290</v>
      </c>
      <c r="FX22" s="1" t="s">
        <v>246</v>
      </c>
      <c r="FZ22" s="1" t="s">
        <v>229</v>
      </c>
      <c r="GA22" s="1" t="s">
        <v>291</v>
      </c>
      <c r="GB22" s="2">
        <v>42033.0</v>
      </c>
      <c r="GC22" s="1" t="s">
        <v>805</v>
      </c>
    </row>
    <row r="23">
      <c r="A23" s="1">
        <v>158000.0</v>
      </c>
      <c r="B23" s="1" t="s">
        <v>185</v>
      </c>
      <c r="C23" s="1" t="str">
        <f>"08756730"</f>
        <v>08756730</v>
      </c>
      <c r="D23" s="1" t="s">
        <v>186</v>
      </c>
      <c r="F23" s="1" t="str">
        <f>"110"</f>
        <v>110</v>
      </c>
      <c r="G23" s="2">
        <v>41932.0</v>
      </c>
      <c r="H23" s="1">
        <v>159000.0</v>
      </c>
      <c r="I23" s="1">
        <v>199.0</v>
      </c>
      <c r="J23" s="1">
        <v>158000.0</v>
      </c>
      <c r="K23" s="2">
        <v>41969.0</v>
      </c>
      <c r="L23" s="1">
        <v>38.0</v>
      </c>
      <c r="M23" s="2">
        <v>41969.0</v>
      </c>
      <c r="N23" s="1" t="s">
        <v>356</v>
      </c>
      <c r="O23" s="2">
        <v>42002.0</v>
      </c>
      <c r="P23" s="1">
        <v>2161.0</v>
      </c>
      <c r="Q23" s="1">
        <v>7450.0</v>
      </c>
      <c r="R23" s="1">
        <v>3500.0</v>
      </c>
      <c r="S23" s="1">
        <v>1449.0</v>
      </c>
      <c r="T23" s="1" t="s">
        <v>806</v>
      </c>
      <c r="U23" s="1" t="s">
        <v>464</v>
      </c>
      <c r="V23" s="1" t="s">
        <v>807</v>
      </c>
      <c r="W23" s="1">
        <v>60110.0</v>
      </c>
      <c r="Y23" s="1" t="s">
        <v>808</v>
      </c>
      <c r="Z23" s="1" t="s">
        <v>296</v>
      </c>
      <c r="AA23" s="1" t="s">
        <v>192</v>
      </c>
      <c r="AB23" s="1" t="s">
        <v>193</v>
      </c>
      <c r="AD23" s="1" t="s">
        <v>809</v>
      </c>
      <c r="AE23" s="1" t="s">
        <v>325</v>
      </c>
      <c r="AF23" s="1" t="s">
        <v>810</v>
      </c>
      <c r="AH23" s="1" t="s">
        <v>811</v>
      </c>
      <c r="AK23" s="1">
        <v>7.0</v>
      </c>
      <c r="AL23" s="1">
        <v>4.0</v>
      </c>
      <c r="AM23" s="1">
        <v>1.0</v>
      </c>
      <c r="AN23" s="1">
        <v>0.0</v>
      </c>
      <c r="AO23" s="1" t="s">
        <v>229</v>
      </c>
      <c r="AP23" s="1">
        <v>1.0</v>
      </c>
      <c r="AQ23" s="1" t="s">
        <v>472</v>
      </c>
      <c r="AR23" s="1" t="s">
        <v>200</v>
      </c>
      <c r="AS23" s="1" t="s">
        <v>199</v>
      </c>
      <c r="AT23" s="1">
        <v>2.0</v>
      </c>
      <c r="AV23" s="1" t="s">
        <v>200</v>
      </c>
      <c r="AW23" s="1">
        <v>2834.72</v>
      </c>
      <c r="AX23" s="1">
        <v>2013.0</v>
      </c>
      <c r="AY23" s="1" t="s">
        <v>387</v>
      </c>
      <c r="AZ23" s="1" t="s">
        <v>200</v>
      </c>
      <c r="BA23" s="1" t="str">
        <f>"0311403011"</f>
        <v>0311403011</v>
      </c>
      <c r="BC23" s="1">
        <v>1628.0</v>
      </c>
      <c r="BD23" s="1">
        <v>158000.0</v>
      </c>
      <c r="BE23" s="2">
        <v>41932.0</v>
      </c>
      <c r="BF23" s="1" t="s">
        <v>812</v>
      </c>
      <c r="BH23" s="1">
        <v>0.0</v>
      </c>
      <c r="BK23" s="1" t="s">
        <v>204</v>
      </c>
      <c r="BL23" s="1" t="str">
        <f t="shared" ref="BL23:BM23" si="12">""</f>
        <v/>
      </c>
      <c r="BM23" s="1" t="str">
        <f t="shared" si="12"/>
        <v/>
      </c>
      <c r="BQ23" s="1">
        <v>300.0</v>
      </c>
      <c r="BR23" s="1">
        <v>300.0</v>
      </c>
      <c r="BS23" s="1">
        <v>300.0</v>
      </c>
      <c r="BU23" s="1" t="s">
        <v>813</v>
      </c>
      <c r="BV23" s="1" t="s">
        <v>206</v>
      </c>
      <c r="BW23" s="1" t="s">
        <v>207</v>
      </c>
      <c r="BY23" s="1" t="s">
        <v>332</v>
      </c>
      <c r="BZ23" s="1" t="s">
        <v>209</v>
      </c>
      <c r="CA23" s="1" t="s">
        <v>207</v>
      </c>
      <c r="CD23" s="1" t="s">
        <v>204</v>
      </c>
      <c r="CG23" s="1" t="s">
        <v>269</v>
      </c>
      <c r="CH23" s="1" t="s">
        <v>209</v>
      </c>
      <c r="CI23" s="1" t="s">
        <v>207</v>
      </c>
      <c r="CK23" s="1" t="s">
        <v>814</v>
      </c>
      <c r="CL23" s="1" t="s">
        <v>209</v>
      </c>
      <c r="CM23" s="1" t="s">
        <v>207</v>
      </c>
      <c r="CO23" s="1" t="s">
        <v>815</v>
      </c>
      <c r="CP23" s="1" t="s">
        <v>267</v>
      </c>
      <c r="CS23" s="1" t="s">
        <v>816</v>
      </c>
      <c r="CT23" s="1" t="s">
        <v>206</v>
      </c>
      <c r="CU23" s="1" t="s">
        <v>268</v>
      </c>
      <c r="CW23" s="1" t="s">
        <v>616</v>
      </c>
      <c r="CX23" s="1" t="s">
        <v>267</v>
      </c>
      <c r="CY23" s="1" t="s">
        <v>617</v>
      </c>
      <c r="DA23" s="1" t="s">
        <v>200</v>
      </c>
      <c r="DC23" s="1" t="s">
        <v>545</v>
      </c>
      <c r="DE23" s="1" t="s">
        <v>273</v>
      </c>
      <c r="DF23" s="1" t="s">
        <v>219</v>
      </c>
      <c r="DH23" s="1" t="s">
        <v>220</v>
      </c>
      <c r="DI23" s="1" t="s">
        <v>817</v>
      </c>
      <c r="DJ23" s="1" t="s">
        <v>222</v>
      </c>
      <c r="DL23" s="1" t="s">
        <v>224</v>
      </c>
      <c r="DM23" s="1" t="s">
        <v>338</v>
      </c>
      <c r="DN23" s="1" t="s">
        <v>793</v>
      </c>
      <c r="DO23" s="1" t="s">
        <v>549</v>
      </c>
      <c r="DP23" s="1" t="s">
        <v>276</v>
      </c>
      <c r="DQ23" s="1" t="s">
        <v>228</v>
      </c>
      <c r="DR23" s="1" t="s">
        <v>229</v>
      </c>
      <c r="DS23" s="1" t="s">
        <v>230</v>
      </c>
      <c r="DV23" s="1" t="s">
        <v>232</v>
      </c>
      <c r="DW23" s="1" t="s">
        <v>370</v>
      </c>
      <c r="DX23" s="1" t="s">
        <v>234</v>
      </c>
      <c r="DY23" s="1" t="s">
        <v>704</v>
      </c>
      <c r="DZ23" s="1" t="s">
        <v>282</v>
      </c>
      <c r="EA23" s="1" t="s">
        <v>554</v>
      </c>
      <c r="EC23" s="1" t="s">
        <v>645</v>
      </c>
      <c r="ED23" s="1" t="s">
        <v>407</v>
      </c>
      <c r="EM23" s="1" t="s">
        <v>238</v>
      </c>
      <c r="EQ23" s="1" t="s">
        <v>238</v>
      </c>
      <c r="EU23" s="1" t="s">
        <v>238</v>
      </c>
      <c r="EY23" s="1" t="s">
        <v>238</v>
      </c>
      <c r="FC23" s="1" t="s">
        <v>238</v>
      </c>
      <c r="FF23" s="1" t="s">
        <v>239</v>
      </c>
      <c r="FG23" s="1" t="s">
        <v>192</v>
      </c>
      <c r="FH23" s="1" t="s">
        <v>192</v>
      </c>
      <c r="FJ23" s="1" t="s">
        <v>818</v>
      </c>
      <c r="FK23" s="1" t="s">
        <v>557</v>
      </c>
      <c r="FL23" s="1" t="s">
        <v>819</v>
      </c>
      <c r="FM23" s="1">
        <v>6267.0</v>
      </c>
      <c r="FN23" s="1" t="s">
        <v>820</v>
      </c>
      <c r="FO23" s="1" t="s">
        <v>821</v>
      </c>
      <c r="FP23" s="1">
        <v>30437.0</v>
      </c>
      <c r="FQ23" s="1" t="s">
        <v>822</v>
      </c>
      <c r="FU23" s="1" t="s">
        <v>823</v>
      </c>
      <c r="FV23" s="1" t="s">
        <v>192</v>
      </c>
      <c r="FW23" s="1" t="s">
        <v>530</v>
      </c>
      <c r="FZ23" s="1" t="s">
        <v>632</v>
      </c>
      <c r="GA23" s="1" t="s">
        <v>291</v>
      </c>
      <c r="GB23" s="2">
        <v>42004.0</v>
      </c>
      <c r="GC23" s="1" t="s">
        <v>824</v>
      </c>
    </row>
    <row r="24">
      <c r="A24" s="1">
        <v>65000.0</v>
      </c>
      <c r="B24" s="1" t="s">
        <v>185</v>
      </c>
      <c r="C24" s="1" t="str">
        <f>"08753833"</f>
        <v>08753833</v>
      </c>
      <c r="D24" s="1" t="s">
        <v>186</v>
      </c>
      <c r="F24" s="1" t="str">
        <f>"8025"</f>
        <v>8025</v>
      </c>
      <c r="G24" s="2">
        <v>41927.0</v>
      </c>
      <c r="H24" s="1">
        <v>69900.0</v>
      </c>
      <c r="I24" s="1">
        <v>82.0</v>
      </c>
      <c r="J24" s="1">
        <v>64900.0</v>
      </c>
      <c r="K24" s="2">
        <v>41947.0</v>
      </c>
      <c r="L24" s="1">
        <v>21.0</v>
      </c>
      <c r="M24" s="2">
        <v>41947.0</v>
      </c>
      <c r="N24" s="1" t="s">
        <v>249</v>
      </c>
      <c r="O24" s="2">
        <v>41984.0</v>
      </c>
      <c r="P24" s="1">
        <v>129650.0</v>
      </c>
      <c r="Q24" s="1">
        <v>18625.0</v>
      </c>
      <c r="S24" s="1">
        <v>5010.0</v>
      </c>
      <c r="T24" s="1" t="s">
        <v>825</v>
      </c>
      <c r="U24" s="1" t="s">
        <v>320</v>
      </c>
      <c r="V24" s="1" t="s">
        <v>190</v>
      </c>
      <c r="W24" s="1">
        <v>60644.0</v>
      </c>
      <c r="X24" s="1">
        <v>1212.0</v>
      </c>
      <c r="Y24" s="1" t="s">
        <v>826</v>
      </c>
      <c r="Z24" s="1">
        <v>1898.0</v>
      </c>
      <c r="AA24" s="1" t="s">
        <v>192</v>
      </c>
      <c r="AB24" s="1" t="s">
        <v>193</v>
      </c>
      <c r="AD24" s="1" t="s">
        <v>194</v>
      </c>
      <c r="AE24" s="1" t="s">
        <v>195</v>
      </c>
      <c r="AF24" s="1" t="s">
        <v>827</v>
      </c>
      <c r="AH24" s="1" t="s">
        <v>741</v>
      </c>
      <c r="AK24" s="1">
        <v>8.0</v>
      </c>
      <c r="AL24" s="1">
        <v>4.0</v>
      </c>
      <c r="AM24" s="1">
        <v>2.0</v>
      </c>
      <c r="AN24" s="1">
        <v>0.0</v>
      </c>
      <c r="AO24" s="1" t="s">
        <v>229</v>
      </c>
      <c r="AQ24" s="1" t="s">
        <v>198</v>
      </c>
      <c r="AR24" s="1" t="s">
        <v>200</v>
      </c>
      <c r="AS24" s="1" t="s">
        <v>828</v>
      </c>
      <c r="AU24" s="1">
        <v>2.0</v>
      </c>
      <c r="AV24" s="1" t="s">
        <v>200</v>
      </c>
      <c r="AW24" s="1">
        <v>1467.0</v>
      </c>
      <c r="AX24" s="1">
        <v>2013.0</v>
      </c>
      <c r="AY24" s="1" t="s">
        <v>229</v>
      </c>
      <c r="AZ24" s="1" t="s">
        <v>200</v>
      </c>
      <c r="BA24" s="1" t="str">
        <f>"16092020430000"</f>
        <v>16092020430000</v>
      </c>
      <c r="BB24" s="1" t="s">
        <v>200</v>
      </c>
      <c r="BC24" s="1">
        <v>1500.0</v>
      </c>
      <c r="BD24" s="1">
        <v>65000.0</v>
      </c>
      <c r="BE24" s="2">
        <v>41927.0</v>
      </c>
      <c r="BF24" s="1" t="s">
        <v>829</v>
      </c>
      <c r="BH24" s="1">
        <v>0.0</v>
      </c>
      <c r="BK24" s="1" t="s">
        <v>204</v>
      </c>
      <c r="BL24" s="1" t="str">
        <f>"750"</f>
        <v>750</v>
      </c>
      <c r="BM24" s="1" t="str">
        <f>"0"</f>
        <v>0</v>
      </c>
      <c r="BN24" s="1">
        <v>5000.0</v>
      </c>
      <c r="BO24" s="1">
        <v>0.0</v>
      </c>
      <c r="BQ24" s="1">
        <v>299.0</v>
      </c>
      <c r="BR24" s="1">
        <v>299.0</v>
      </c>
      <c r="BS24" s="1">
        <v>299.0</v>
      </c>
      <c r="BU24" s="1" t="s">
        <v>677</v>
      </c>
      <c r="BV24" s="1" t="s">
        <v>206</v>
      </c>
      <c r="BW24" s="1" t="s">
        <v>207</v>
      </c>
      <c r="BX24" s="1" t="s">
        <v>229</v>
      </c>
      <c r="BY24" s="1" t="s">
        <v>663</v>
      </c>
      <c r="BZ24" s="1" t="s">
        <v>206</v>
      </c>
      <c r="CA24" s="1" t="s">
        <v>207</v>
      </c>
      <c r="CB24" s="1" t="s">
        <v>229</v>
      </c>
      <c r="CC24" s="1" t="s">
        <v>393</v>
      </c>
      <c r="CD24" s="1" t="s">
        <v>206</v>
      </c>
      <c r="CE24" s="1" t="s">
        <v>207</v>
      </c>
      <c r="CF24" s="1" t="s">
        <v>229</v>
      </c>
      <c r="CG24" s="1" t="s">
        <v>663</v>
      </c>
      <c r="CH24" s="1" t="s">
        <v>206</v>
      </c>
      <c r="CI24" s="1" t="s">
        <v>207</v>
      </c>
      <c r="CJ24" s="1" t="s">
        <v>229</v>
      </c>
      <c r="CK24" s="1" t="s">
        <v>269</v>
      </c>
      <c r="CL24" s="1" t="s">
        <v>209</v>
      </c>
      <c r="CM24" s="1" t="s">
        <v>207</v>
      </c>
      <c r="CN24" s="1" t="s">
        <v>229</v>
      </c>
      <c r="CO24" s="1" t="s">
        <v>269</v>
      </c>
      <c r="CP24" s="1" t="s">
        <v>209</v>
      </c>
      <c r="CQ24" s="1" t="s">
        <v>207</v>
      </c>
      <c r="CR24" s="1" t="s">
        <v>229</v>
      </c>
      <c r="CS24" s="1" t="s">
        <v>830</v>
      </c>
      <c r="CT24" s="1" t="s">
        <v>206</v>
      </c>
      <c r="CU24" s="1" t="s">
        <v>268</v>
      </c>
      <c r="CV24" s="1" t="s">
        <v>229</v>
      </c>
      <c r="CW24" s="1" t="s">
        <v>300</v>
      </c>
      <c r="CX24" s="1" t="s">
        <v>209</v>
      </c>
      <c r="CY24" s="1" t="s">
        <v>207</v>
      </c>
      <c r="CZ24" s="1" t="s">
        <v>229</v>
      </c>
      <c r="DA24" s="1" t="s">
        <v>200</v>
      </c>
      <c r="DC24" s="1" t="s">
        <v>642</v>
      </c>
      <c r="DD24" s="1" t="s">
        <v>518</v>
      </c>
      <c r="DE24" s="1" t="s">
        <v>229</v>
      </c>
      <c r="DF24" s="1" t="s">
        <v>219</v>
      </c>
      <c r="DH24" s="1" t="s">
        <v>220</v>
      </c>
      <c r="DI24" s="1" t="s">
        <v>831</v>
      </c>
      <c r="DJ24" s="1" t="s">
        <v>222</v>
      </c>
      <c r="DL24" s="1" t="s">
        <v>223</v>
      </c>
      <c r="DM24" s="1" t="s">
        <v>229</v>
      </c>
      <c r="DP24" s="1" t="s">
        <v>340</v>
      </c>
      <c r="DQ24" s="1" t="s">
        <v>718</v>
      </c>
      <c r="DR24" s="1" t="s">
        <v>229</v>
      </c>
      <c r="DS24" s="1" t="s">
        <v>401</v>
      </c>
      <c r="DV24" s="1" t="s">
        <v>232</v>
      </c>
      <c r="DW24" s="1" t="s">
        <v>832</v>
      </c>
      <c r="DX24" s="1" t="s">
        <v>309</v>
      </c>
      <c r="DY24" s="1" t="s">
        <v>833</v>
      </c>
      <c r="EC24" s="1" t="s">
        <v>237</v>
      </c>
      <c r="EE24" s="1" t="s">
        <v>187</v>
      </c>
      <c r="EF24" s="1" t="s">
        <v>834</v>
      </c>
      <c r="EM24" s="1" t="s">
        <v>238</v>
      </c>
      <c r="EQ24" s="1" t="s">
        <v>238</v>
      </c>
      <c r="EU24" s="1" t="s">
        <v>238</v>
      </c>
      <c r="EY24" s="1" t="s">
        <v>238</v>
      </c>
      <c r="FC24" s="1" t="s">
        <v>238</v>
      </c>
      <c r="FF24" s="1" t="s">
        <v>239</v>
      </c>
      <c r="FG24" s="1" t="s">
        <v>192</v>
      </c>
      <c r="FH24" s="1" t="s">
        <v>192</v>
      </c>
      <c r="FJ24" s="1" t="s">
        <v>835</v>
      </c>
      <c r="FK24" s="1" t="s">
        <v>229</v>
      </c>
      <c r="FL24" s="1" t="s">
        <v>836</v>
      </c>
      <c r="FM24" s="1">
        <v>18080.0</v>
      </c>
      <c r="FN24" s="1" t="s">
        <v>837</v>
      </c>
      <c r="FO24" s="1" t="s">
        <v>838</v>
      </c>
      <c r="FP24" s="1">
        <v>106708.0</v>
      </c>
      <c r="FQ24" s="1" t="s">
        <v>839</v>
      </c>
      <c r="FU24" s="1" t="s">
        <v>840</v>
      </c>
      <c r="FV24" s="1" t="s">
        <v>200</v>
      </c>
      <c r="FW24" s="1" t="s">
        <v>841</v>
      </c>
      <c r="FX24" s="1" t="s">
        <v>246</v>
      </c>
      <c r="FZ24" s="1" t="s">
        <v>229</v>
      </c>
      <c r="GA24" s="1" t="s">
        <v>291</v>
      </c>
      <c r="GB24" s="2">
        <v>41988.0</v>
      </c>
      <c r="GC24" s="1" t="s">
        <v>842</v>
      </c>
    </row>
    <row r="25">
      <c r="A25" s="1">
        <v>245000.0</v>
      </c>
      <c r="B25" s="1" t="s">
        <v>185</v>
      </c>
      <c r="C25" s="1" t="str">
        <f>"08754335"</f>
        <v>08754335</v>
      </c>
      <c r="D25" s="1" t="s">
        <v>186</v>
      </c>
      <c r="F25" s="1" t="str">
        <f>"560"</f>
        <v>560</v>
      </c>
      <c r="G25" s="2">
        <v>41928.0</v>
      </c>
      <c r="H25" s="1">
        <v>259900.0</v>
      </c>
      <c r="I25" s="1">
        <v>32.0</v>
      </c>
      <c r="J25" s="1">
        <v>259900.0</v>
      </c>
      <c r="K25" s="2">
        <v>41959.0</v>
      </c>
      <c r="L25" s="1">
        <v>32.0</v>
      </c>
      <c r="M25" s="2">
        <v>41959.0</v>
      </c>
      <c r="N25" s="1" t="s">
        <v>187</v>
      </c>
      <c r="O25" s="2">
        <v>42002.0</v>
      </c>
      <c r="P25" s="1">
        <v>234459.0</v>
      </c>
      <c r="Q25" s="1">
        <v>24695.0</v>
      </c>
      <c r="S25" s="1">
        <v>20.0</v>
      </c>
      <c r="T25" s="1" t="s">
        <v>843</v>
      </c>
      <c r="U25" s="1" t="s">
        <v>844</v>
      </c>
      <c r="V25" s="1" t="s">
        <v>845</v>
      </c>
      <c r="W25" s="1">
        <v>60560.0</v>
      </c>
      <c r="Y25" s="1" t="s">
        <v>846</v>
      </c>
      <c r="Z25" s="1">
        <v>1987.0</v>
      </c>
      <c r="AA25" s="1" t="s">
        <v>200</v>
      </c>
      <c r="AB25" s="1" t="s">
        <v>193</v>
      </c>
      <c r="AC25" s="1" t="s">
        <v>847</v>
      </c>
      <c r="AD25" s="1" t="s">
        <v>848</v>
      </c>
      <c r="AE25" s="1" t="s">
        <v>849</v>
      </c>
      <c r="AF25" s="1" t="s">
        <v>850</v>
      </c>
      <c r="AH25" s="1" t="s">
        <v>851</v>
      </c>
      <c r="AI25" s="1">
        <v>2.0736</v>
      </c>
      <c r="AK25" s="1">
        <v>8.0</v>
      </c>
      <c r="AL25" s="1">
        <v>4.0</v>
      </c>
      <c r="AM25" s="1">
        <v>2.0</v>
      </c>
      <c r="AN25" s="1">
        <v>1.0</v>
      </c>
      <c r="AO25" s="1" t="s">
        <v>198</v>
      </c>
      <c r="AP25" s="1">
        <v>1.0</v>
      </c>
      <c r="AQ25" s="1" t="s">
        <v>198</v>
      </c>
      <c r="AR25" s="1" t="s">
        <v>200</v>
      </c>
      <c r="AS25" s="1" t="s">
        <v>199</v>
      </c>
      <c r="AT25" s="1">
        <v>3.0</v>
      </c>
      <c r="AV25" s="1" t="s">
        <v>200</v>
      </c>
      <c r="AW25" s="1">
        <v>6632.88</v>
      </c>
      <c r="AX25" s="1">
        <v>2013.0</v>
      </c>
      <c r="AY25" s="1" t="s">
        <v>852</v>
      </c>
      <c r="AZ25" s="1" t="s">
        <v>200</v>
      </c>
      <c r="BA25" s="1" t="str">
        <f>"0413276001"</f>
        <v>0413276001</v>
      </c>
      <c r="BC25" s="1">
        <v>1950.0</v>
      </c>
      <c r="BD25" s="1">
        <v>245000.0</v>
      </c>
      <c r="BE25" s="2">
        <v>41928.0</v>
      </c>
      <c r="BF25" s="2" t="s">
        <v>853</v>
      </c>
      <c r="BH25" s="1">
        <v>0.0</v>
      </c>
      <c r="BK25" s="1" t="s">
        <v>204</v>
      </c>
      <c r="BL25" s="1" t="str">
        <f t="shared" ref="BL25:BM25" si="13">""</f>
        <v/>
      </c>
      <c r="BM25" s="1" t="str">
        <f t="shared" si="13"/>
        <v/>
      </c>
      <c r="BQ25" s="1">
        <v>115.0</v>
      </c>
      <c r="BR25" s="1">
        <v>115.0</v>
      </c>
      <c r="BS25" s="1">
        <v>115.0</v>
      </c>
      <c r="BU25" s="1" t="s">
        <v>390</v>
      </c>
      <c r="BV25" s="1" t="s">
        <v>206</v>
      </c>
      <c r="BW25" s="1" t="s">
        <v>210</v>
      </c>
      <c r="BX25" s="1" t="s">
        <v>431</v>
      </c>
      <c r="BY25" s="1" t="s">
        <v>582</v>
      </c>
      <c r="BZ25" s="1" t="s">
        <v>209</v>
      </c>
      <c r="CA25" s="1" t="s">
        <v>210</v>
      </c>
      <c r="CB25" s="1" t="s">
        <v>431</v>
      </c>
      <c r="CC25" s="1" t="s">
        <v>729</v>
      </c>
      <c r="CD25" s="1" t="s">
        <v>206</v>
      </c>
      <c r="CE25" s="1" t="s">
        <v>301</v>
      </c>
      <c r="CF25" s="1" t="s">
        <v>431</v>
      </c>
      <c r="CG25" s="1" t="s">
        <v>392</v>
      </c>
      <c r="CH25" s="1" t="s">
        <v>209</v>
      </c>
      <c r="CI25" s="1" t="s">
        <v>301</v>
      </c>
      <c r="CJ25" s="1" t="s">
        <v>431</v>
      </c>
      <c r="CK25" s="1" t="s">
        <v>264</v>
      </c>
      <c r="CL25" s="1" t="s">
        <v>209</v>
      </c>
      <c r="CM25" s="1" t="s">
        <v>301</v>
      </c>
      <c r="CN25" s="1" t="s">
        <v>431</v>
      </c>
      <c r="CO25" s="1" t="s">
        <v>264</v>
      </c>
      <c r="CP25" s="1" t="s">
        <v>209</v>
      </c>
      <c r="CQ25" s="1" t="s">
        <v>301</v>
      </c>
      <c r="CR25" s="1" t="s">
        <v>431</v>
      </c>
      <c r="CS25" s="1" t="s">
        <v>854</v>
      </c>
      <c r="CT25" s="1" t="s">
        <v>206</v>
      </c>
      <c r="CU25" s="1" t="s">
        <v>617</v>
      </c>
      <c r="CV25" s="1" t="s">
        <v>431</v>
      </c>
      <c r="CW25" s="1" t="s">
        <v>333</v>
      </c>
      <c r="CX25" s="1" t="s">
        <v>206</v>
      </c>
      <c r="CY25" s="1" t="s">
        <v>210</v>
      </c>
      <c r="CZ25" s="1" t="s">
        <v>431</v>
      </c>
      <c r="DA25" s="1" t="s">
        <v>200</v>
      </c>
      <c r="DC25" s="1" t="s">
        <v>305</v>
      </c>
      <c r="DD25" s="1" t="s">
        <v>855</v>
      </c>
      <c r="DE25" s="1" t="s">
        <v>273</v>
      </c>
      <c r="DF25" s="1" t="s">
        <v>619</v>
      </c>
      <c r="DH25" s="1" t="s">
        <v>856</v>
      </c>
      <c r="DI25" s="1" t="s">
        <v>703</v>
      </c>
      <c r="DJ25" s="1" t="s">
        <v>857</v>
      </c>
      <c r="DL25" s="1" t="s">
        <v>858</v>
      </c>
      <c r="DM25" s="1" t="s">
        <v>338</v>
      </c>
      <c r="DO25" s="1" t="s">
        <v>859</v>
      </c>
      <c r="DP25" s="1" t="s">
        <v>340</v>
      </c>
      <c r="DQ25" s="1" t="s">
        <v>860</v>
      </c>
      <c r="DR25" s="1" t="s">
        <v>229</v>
      </c>
      <c r="DU25" s="1" t="s">
        <v>487</v>
      </c>
      <c r="DV25" s="1" t="s">
        <v>232</v>
      </c>
      <c r="DW25" s="1" t="s">
        <v>233</v>
      </c>
      <c r="DX25" s="1" t="s">
        <v>234</v>
      </c>
      <c r="DY25" s="1" t="s">
        <v>861</v>
      </c>
      <c r="DZ25" s="1" t="s">
        <v>862</v>
      </c>
      <c r="EB25" s="1" t="s">
        <v>863</v>
      </c>
      <c r="EC25" s="1" t="s">
        <v>237</v>
      </c>
      <c r="ED25" s="1" t="s">
        <v>864</v>
      </c>
      <c r="EM25" s="1" t="s">
        <v>238</v>
      </c>
      <c r="EQ25" s="1" t="s">
        <v>238</v>
      </c>
      <c r="EU25" s="1" t="s">
        <v>238</v>
      </c>
      <c r="EY25" s="1" t="s">
        <v>238</v>
      </c>
      <c r="FC25" s="1" t="s">
        <v>238</v>
      </c>
      <c r="FF25" s="1" t="s">
        <v>239</v>
      </c>
      <c r="FG25" s="1" t="s">
        <v>192</v>
      </c>
      <c r="FH25" s="1" t="s">
        <v>192</v>
      </c>
      <c r="FJ25" s="1" t="s">
        <v>865</v>
      </c>
      <c r="FK25" s="1" t="s">
        <v>348</v>
      </c>
      <c r="FL25" s="1" t="s">
        <v>866</v>
      </c>
      <c r="FM25" s="1">
        <v>23836.0</v>
      </c>
      <c r="FN25" s="1" t="s">
        <v>867</v>
      </c>
      <c r="FO25" s="1" t="s">
        <v>868</v>
      </c>
      <c r="FP25" s="1">
        <v>236067.0</v>
      </c>
      <c r="FQ25" s="1" t="s">
        <v>869</v>
      </c>
      <c r="FS25" s="1" t="s">
        <v>870</v>
      </c>
      <c r="FU25" s="1" t="s">
        <v>871</v>
      </c>
      <c r="FV25" s="1" t="s">
        <v>200</v>
      </c>
      <c r="FW25" s="1" t="s">
        <v>290</v>
      </c>
      <c r="FZ25" s="1" t="s">
        <v>229</v>
      </c>
      <c r="GA25" s="1" t="s">
        <v>291</v>
      </c>
      <c r="GB25" s="2">
        <v>42002.0</v>
      </c>
    </row>
    <row r="26">
      <c r="A26" s="1">
        <v>152000.0</v>
      </c>
      <c r="B26" s="1" t="s">
        <v>185</v>
      </c>
      <c r="C26" s="1" t="str">
        <f>"08754743"</f>
        <v>08754743</v>
      </c>
      <c r="D26" s="1" t="s">
        <v>186</v>
      </c>
      <c r="F26" s="1" t="str">
        <f t="shared" ref="F26:F28" si="14">"123"</f>
        <v>123</v>
      </c>
      <c r="G26" s="2">
        <v>41928.0</v>
      </c>
      <c r="H26" s="1">
        <v>154900.0</v>
      </c>
      <c r="I26" s="1">
        <v>20.0</v>
      </c>
      <c r="J26" s="1">
        <v>154900.0</v>
      </c>
      <c r="K26" s="2">
        <v>41947.0</v>
      </c>
      <c r="L26" s="1">
        <v>20.0</v>
      </c>
      <c r="M26" s="2">
        <v>41947.0</v>
      </c>
      <c r="N26" s="1" t="s">
        <v>356</v>
      </c>
      <c r="O26" s="2">
        <v>41991.0</v>
      </c>
      <c r="P26" s="1">
        <v>57.0</v>
      </c>
      <c r="Q26" s="1">
        <v>352.0</v>
      </c>
      <c r="R26" s="1">
        <v>4560.0</v>
      </c>
      <c r="S26" s="1">
        <v>308.0</v>
      </c>
      <c r="T26" s="1" t="s">
        <v>872</v>
      </c>
      <c r="U26" s="1" t="s">
        <v>420</v>
      </c>
      <c r="V26" s="1" t="s">
        <v>465</v>
      </c>
      <c r="W26" s="1">
        <v>60123.0</v>
      </c>
      <c r="Y26" s="1" t="s">
        <v>873</v>
      </c>
      <c r="Z26" s="1">
        <v>1957.0</v>
      </c>
      <c r="AA26" s="1" t="s">
        <v>192</v>
      </c>
      <c r="AB26" s="1" t="s">
        <v>193</v>
      </c>
      <c r="AD26" s="1" t="s">
        <v>469</v>
      </c>
      <c r="AE26" s="1" t="s">
        <v>325</v>
      </c>
      <c r="AF26" s="1" t="s">
        <v>469</v>
      </c>
      <c r="AG26" s="1" t="s">
        <v>874</v>
      </c>
      <c r="AH26" s="1" t="s">
        <v>875</v>
      </c>
      <c r="AK26" s="1">
        <v>7.0</v>
      </c>
      <c r="AL26" s="1">
        <v>3.0</v>
      </c>
      <c r="AM26" s="1">
        <v>2.0</v>
      </c>
      <c r="AN26" s="1">
        <v>0.0</v>
      </c>
      <c r="AO26" s="1" t="s">
        <v>229</v>
      </c>
      <c r="AP26" s="1">
        <v>0.0</v>
      </c>
      <c r="AQ26" s="1" t="s">
        <v>198</v>
      </c>
      <c r="AR26" s="1" t="s">
        <v>192</v>
      </c>
      <c r="AS26" s="1" t="s">
        <v>199</v>
      </c>
      <c r="AT26" s="1">
        <v>1.0</v>
      </c>
      <c r="AV26" s="1" t="s">
        <v>200</v>
      </c>
      <c r="AW26" s="1">
        <v>3579.86</v>
      </c>
      <c r="AX26" s="1">
        <v>2013.0</v>
      </c>
      <c r="AY26" s="1" t="s">
        <v>387</v>
      </c>
      <c r="AZ26" s="1" t="s">
        <v>200</v>
      </c>
      <c r="BA26" s="1" t="str">
        <f>"0614478005"</f>
        <v>0614478005</v>
      </c>
      <c r="BB26" s="1" t="s">
        <v>200</v>
      </c>
      <c r="BC26" s="1">
        <v>1420.0</v>
      </c>
      <c r="BD26" s="1">
        <v>152000.0</v>
      </c>
      <c r="BE26" s="2">
        <v>41928.0</v>
      </c>
      <c r="BF26" s="2" t="s">
        <v>876</v>
      </c>
      <c r="BH26" s="1">
        <v>0.0</v>
      </c>
      <c r="BK26" s="1" t="s">
        <v>204</v>
      </c>
      <c r="BL26" s="1" t="str">
        <f>"11"</f>
        <v>11</v>
      </c>
      <c r="BM26" s="1" t="str">
        <f>"0"</f>
        <v>0</v>
      </c>
      <c r="BN26" s="1">
        <v>34.0</v>
      </c>
      <c r="BO26" s="1">
        <v>0.0</v>
      </c>
      <c r="BQ26" s="1">
        <v>46.0</v>
      </c>
      <c r="BR26" s="1">
        <v>46.0</v>
      </c>
      <c r="BS26" s="1">
        <v>46.0</v>
      </c>
      <c r="BU26" s="1" t="s">
        <v>877</v>
      </c>
      <c r="BV26" s="1" t="s">
        <v>206</v>
      </c>
      <c r="BW26" s="1" t="s">
        <v>207</v>
      </c>
      <c r="BY26" s="1" t="s">
        <v>478</v>
      </c>
      <c r="BZ26" s="1" t="s">
        <v>206</v>
      </c>
      <c r="CA26" s="1" t="s">
        <v>207</v>
      </c>
      <c r="CD26" s="1" t="s">
        <v>204</v>
      </c>
      <c r="CG26" s="1" t="s">
        <v>269</v>
      </c>
      <c r="CH26" s="1" t="s">
        <v>206</v>
      </c>
      <c r="CI26" s="1" t="s">
        <v>207</v>
      </c>
      <c r="CK26" s="1" t="s">
        <v>303</v>
      </c>
      <c r="CL26" s="1" t="s">
        <v>206</v>
      </c>
      <c r="CM26" s="1" t="s">
        <v>207</v>
      </c>
      <c r="CO26" s="1" t="s">
        <v>584</v>
      </c>
      <c r="CP26" s="1" t="s">
        <v>42</v>
      </c>
      <c r="CQ26" s="1" t="s">
        <v>268</v>
      </c>
      <c r="CS26" s="1" t="s">
        <v>878</v>
      </c>
      <c r="CT26" s="1" t="s">
        <v>206</v>
      </c>
      <c r="CU26" s="1" t="s">
        <v>268</v>
      </c>
      <c r="CW26" s="1" t="s">
        <v>878</v>
      </c>
      <c r="CX26" s="1" t="s">
        <v>42</v>
      </c>
      <c r="CY26" s="1" t="s">
        <v>268</v>
      </c>
      <c r="DA26" s="1" t="s">
        <v>200</v>
      </c>
      <c r="DC26" s="1" t="s">
        <v>271</v>
      </c>
      <c r="DD26" s="1" t="s">
        <v>518</v>
      </c>
      <c r="DE26" s="1" t="s">
        <v>273</v>
      </c>
      <c r="DF26" s="1" t="s">
        <v>219</v>
      </c>
      <c r="DG26" s="1" t="s">
        <v>337</v>
      </c>
      <c r="DH26" s="1" t="s">
        <v>220</v>
      </c>
      <c r="DJ26" s="1" t="s">
        <v>222</v>
      </c>
      <c r="DL26" s="1" t="s">
        <v>224</v>
      </c>
      <c r="DM26" s="1" t="s">
        <v>229</v>
      </c>
      <c r="DO26" s="1" t="s">
        <v>440</v>
      </c>
      <c r="DQ26" s="1" t="s">
        <v>228</v>
      </c>
      <c r="DR26" s="1" t="s">
        <v>229</v>
      </c>
      <c r="DS26" s="1" t="s">
        <v>230</v>
      </c>
      <c r="DU26" s="1" t="s">
        <v>681</v>
      </c>
      <c r="DV26" s="1" t="s">
        <v>232</v>
      </c>
      <c r="DW26" s="1" t="s">
        <v>370</v>
      </c>
      <c r="DX26" s="1" t="s">
        <v>234</v>
      </c>
      <c r="DY26" s="1" t="s">
        <v>879</v>
      </c>
      <c r="EA26" s="1" t="s">
        <v>683</v>
      </c>
      <c r="EC26" s="1" t="s">
        <v>685</v>
      </c>
      <c r="ED26" s="1" t="s">
        <v>407</v>
      </c>
      <c r="EE26" s="1" t="s">
        <v>493</v>
      </c>
      <c r="EM26" s="1" t="s">
        <v>238</v>
      </c>
      <c r="EQ26" s="1" t="s">
        <v>238</v>
      </c>
      <c r="EU26" s="1" t="s">
        <v>238</v>
      </c>
      <c r="EY26" s="1" t="s">
        <v>238</v>
      </c>
      <c r="FC26" s="1" t="s">
        <v>238</v>
      </c>
      <c r="FF26" s="1" t="s">
        <v>239</v>
      </c>
      <c r="FG26" s="1" t="s">
        <v>192</v>
      </c>
      <c r="FH26" s="1" t="s">
        <v>192</v>
      </c>
      <c r="FJ26" s="1" t="s">
        <v>880</v>
      </c>
      <c r="FK26" s="1" t="s">
        <v>229</v>
      </c>
      <c r="FL26" s="1" t="s">
        <v>881</v>
      </c>
      <c r="FM26" s="1">
        <v>6097.0</v>
      </c>
      <c r="FN26" s="1" t="s">
        <v>882</v>
      </c>
      <c r="FO26" s="1" t="s">
        <v>883</v>
      </c>
      <c r="FP26" s="1">
        <v>62592.0</v>
      </c>
      <c r="FQ26" s="1" t="s">
        <v>884</v>
      </c>
      <c r="FU26" s="1" t="s">
        <v>885</v>
      </c>
      <c r="FV26" s="1" t="s">
        <v>200</v>
      </c>
      <c r="FW26" s="1" t="s">
        <v>290</v>
      </c>
      <c r="FZ26" s="1" t="s">
        <v>229</v>
      </c>
      <c r="GA26" s="1" t="s">
        <v>291</v>
      </c>
      <c r="GB26" s="2">
        <v>41991.0</v>
      </c>
      <c r="GC26" s="1" t="s">
        <v>886</v>
      </c>
    </row>
    <row r="27">
      <c r="A27" s="1">
        <v>88000.0</v>
      </c>
      <c r="B27" s="1" t="s">
        <v>185</v>
      </c>
      <c r="C27" s="1" t="str">
        <f>"08753195"</f>
        <v>08753195</v>
      </c>
      <c r="D27" s="1" t="s">
        <v>186</v>
      </c>
      <c r="F27" s="1" t="str">
        <f t="shared" si="14"/>
        <v>123</v>
      </c>
      <c r="G27" s="2">
        <v>41926.0</v>
      </c>
      <c r="H27" s="1">
        <v>80800.0</v>
      </c>
      <c r="I27" s="1">
        <v>70.0</v>
      </c>
      <c r="J27" s="1">
        <v>80800.0</v>
      </c>
      <c r="K27" s="2">
        <v>41938.0</v>
      </c>
      <c r="L27" s="1">
        <v>13.0</v>
      </c>
      <c r="M27" s="2">
        <v>41938.0</v>
      </c>
      <c r="N27" s="1" t="s">
        <v>249</v>
      </c>
      <c r="O27" s="2">
        <v>41978.0</v>
      </c>
      <c r="P27" s="1">
        <v>229386.0</v>
      </c>
      <c r="Q27" s="1">
        <v>25215.0</v>
      </c>
      <c r="S27" s="1">
        <v>811.0</v>
      </c>
      <c r="T27" s="1" t="s">
        <v>887</v>
      </c>
      <c r="U27" s="1" t="s">
        <v>189</v>
      </c>
      <c r="V27" s="1" t="s">
        <v>465</v>
      </c>
      <c r="W27" s="1">
        <v>60120.0</v>
      </c>
      <c r="Y27" s="1" t="s">
        <v>888</v>
      </c>
      <c r="Z27" s="1">
        <v>1925.0</v>
      </c>
      <c r="AA27" s="1" t="s">
        <v>192</v>
      </c>
      <c r="AB27" s="1" t="s">
        <v>193</v>
      </c>
      <c r="AD27" s="1" t="s">
        <v>469</v>
      </c>
      <c r="AE27" s="1" t="s">
        <v>195</v>
      </c>
      <c r="AF27" s="1" t="s">
        <v>298</v>
      </c>
      <c r="AH27" s="1" t="s">
        <v>889</v>
      </c>
      <c r="AI27" s="1">
        <v>0.1584</v>
      </c>
      <c r="AK27" s="1">
        <v>9.0</v>
      </c>
      <c r="AL27" s="1">
        <v>4.0</v>
      </c>
      <c r="AM27" s="1">
        <v>2.0</v>
      </c>
      <c r="AN27" s="1">
        <v>0.0</v>
      </c>
      <c r="AO27" s="1" t="s">
        <v>198</v>
      </c>
      <c r="AQ27" s="1" t="s">
        <v>198</v>
      </c>
      <c r="AR27" s="1" t="s">
        <v>200</v>
      </c>
      <c r="AS27" s="1" t="s">
        <v>199</v>
      </c>
      <c r="AT27" s="1">
        <v>2.0</v>
      </c>
      <c r="AV27" s="1" t="s">
        <v>200</v>
      </c>
      <c r="AW27" s="1">
        <v>3257.03</v>
      </c>
      <c r="AX27" s="1">
        <v>2013.0</v>
      </c>
      <c r="AY27" s="1" t="s">
        <v>387</v>
      </c>
      <c r="AZ27" s="1" t="s">
        <v>545</v>
      </c>
      <c r="BA27" s="1" t="str">
        <f>"06061040170000"</f>
        <v>06061040170000</v>
      </c>
      <c r="BC27" s="1">
        <v>1362.0</v>
      </c>
      <c r="BD27" s="1">
        <v>88000.0</v>
      </c>
      <c r="BE27" s="2">
        <v>41926.0</v>
      </c>
      <c r="BF27" s="1" t="s">
        <v>890</v>
      </c>
      <c r="BH27" s="1">
        <v>0.0</v>
      </c>
      <c r="BK27" s="1" t="s">
        <v>204</v>
      </c>
      <c r="BL27" s="1" t="str">
        <f t="shared" ref="BL27:BM27" si="15">""</f>
        <v/>
      </c>
      <c r="BM27" s="1" t="str">
        <f t="shared" si="15"/>
        <v/>
      </c>
      <c r="BQ27" s="1">
        <v>46.0</v>
      </c>
      <c r="BR27" s="1">
        <v>46.0</v>
      </c>
      <c r="BS27" s="1">
        <v>46.0</v>
      </c>
      <c r="BU27" s="1" t="s">
        <v>454</v>
      </c>
      <c r="BV27" s="1" t="s">
        <v>206</v>
      </c>
      <c r="BY27" s="1" t="s">
        <v>331</v>
      </c>
      <c r="BZ27" s="1" t="s">
        <v>209</v>
      </c>
      <c r="CC27" s="1" t="s">
        <v>392</v>
      </c>
      <c r="CD27" s="1" t="s">
        <v>206</v>
      </c>
      <c r="CG27" s="1" t="s">
        <v>699</v>
      </c>
      <c r="CH27" s="1" t="s">
        <v>206</v>
      </c>
      <c r="CK27" s="1" t="s">
        <v>495</v>
      </c>
      <c r="CL27" s="1" t="s">
        <v>206</v>
      </c>
      <c r="CO27" s="1" t="s">
        <v>363</v>
      </c>
      <c r="CP27" s="1" t="s">
        <v>209</v>
      </c>
      <c r="CS27" s="1" t="s">
        <v>392</v>
      </c>
      <c r="CT27" s="1" t="s">
        <v>206</v>
      </c>
      <c r="CW27" s="1" t="s">
        <v>331</v>
      </c>
      <c r="CX27" s="1" t="s">
        <v>209</v>
      </c>
      <c r="DA27" s="1" t="s">
        <v>200</v>
      </c>
      <c r="DC27" s="1" t="s">
        <v>785</v>
      </c>
      <c r="DE27" s="1" t="s">
        <v>273</v>
      </c>
      <c r="DF27" s="1" t="s">
        <v>219</v>
      </c>
      <c r="DH27" s="1" t="s">
        <v>220</v>
      </c>
      <c r="DJ27" s="1" t="s">
        <v>222</v>
      </c>
      <c r="DL27" s="1" t="s">
        <v>223</v>
      </c>
      <c r="DM27" s="1" t="s">
        <v>229</v>
      </c>
      <c r="DQ27" s="1" t="s">
        <v>441</v>
      </c>
      <c r="DR27" s="1" t="s">
        <v>229</v>
      </c>
      <c r="DV27" s="1" t="s">
        <v>341</v>
      </c>
      <c r="DW27" s="1" t="s">
        <v>891</v>
      </c>
      <c r="DX27" s="1" t="s">
        <v>234</v>
      </c>
      <c r="EC27" s="1" t="s">
        <v>237</v>
      </c>
      <c r="EG27" s="1" t="s">
        <v>341</v>
      </c>
      <c r="EL27" s="1" t="s">
        <v>331</v>
      </c>
      <c r="EM27" s="1" t="s">
        <v>209</v>
      </c>
      <c r="EQ27" s="1" t="s">
        <v>238</v>
      </c>
      <c r="EU27" s="1" t="s">
        <v>238</v>
      </c>
      <c r="EY27" s="1" t="s">
        <v>238</v>
      </c>
      <c r="FC27" s="1" t="s">
        <v>238</v>
      </c>
      <c r="FF27" s="1" t="s">
        <v>239</v>
      </c>
      <c r="FG27" s="1" t="s">
        <v>192</v>
      </c>
      <c r="FH27" s="1" t="s">
        <v>192</v>
      </c>
      <c r="FJ27" s="1" t="s">
        <v>892</v>
      </c>
      <c r="FK27" s="1" t="s">
        <v>229</v>
      </c>
      <c r="FL27" s="1" t="s">
        <v>893</v>
      </c>
      <c r="FM27" s="1">
        <v>604.0</v>
      </c>
      <c r="FN27" s="1" t="s">
        <v>894</v>
      </c>
      <c r="FO27" s="1" t="s">
        <v>895</v>
      </c>
      <c r="FP27" s="1">
        <v>381.0</v>
      </c>
      <c r="FQ27" s="1" t="s">
        <v>896</v>
      </c>
      <c r="FU27" s="1" t="s">
        <v>897</v>
      </c>
      <c r="FV27" s="1" t="s">
        <v>200</v>
      </c>
      <c r="FW27" s="1" t="s">
        <v>290</v>
      </c>
      <c r="FZ27" s="1" t="s">
        <v>229</v>
      </c>
      <c r="GA27" s="1" t="s">
        <v>291</v>
      </c>
      <c r="GB27" s="2">
        <v>41978.0</v>
      </c>
      <c r="GC27" s="1" t="s">
        <v>898</v>
      </c>
    </row>
    <row r="28">
      <c r="A28" s="1">
        <v>94900.0</v>
      </c>
      <c r="B28" s="1" t="s">
        <v>185</v>
      </c>
      <c r="C28" s="1" t="str">
        <f>"08753941"</f>
        <v>08753941</v>
      </c>
      <c r="D28" s="1" t="s">
        <v>186</v>
      </c>
      <c r="F28" s="1" t="str">
        <f t="shared" si="14"/>
        <v>123</v>
      </c>
      <c r="G28" s="2">
        <v>41927.0</v>
      </c>
      <c r="H28" s="1">
        <v>99910.0</v>
      </c>
      <c r="I28" s="1">
        <v>161.0</v>
      </c>
      <c r="J28" s="1">
        <v>99910.0</v>
      </c>
      <c r="K28" s="2">
        <v>41940.0</v>
      </c>
      <c r="L28" s="1">
        <v>14.0</v>
      </c>
      <c r="M28" s="2">
        <v>41940.0</v>
      </c>
      <c r="N28" s="1" t="s">
        <v>249</v>
      </c>
      <c r="O28" s="2">
        <v>41977.0</v>
      </c>
      <c r="P28" s="1">
        <v>52370.0</v>
      </c>
      <c r="Q28" s="1">
        <v>5105.0</v>
      </c>
      <c r="S28" s="1">
        <v>669.0</v>
      </c>
      <c r="T28" s="1" t="s">
        <v>899</v>
      </c>
      <c r="U28" s="1" t="s">
        <v>189</v>
      </c>
      <c r="V28" s="1" t="s">
        <v>465</v>
      </c>
      <c r="W28" s="1">
        <v>60120.0</v>
      </c>
      <c r="Y28" s="1" t="s">
        <v>900</v>
      </c>
      <c r="Z28" s="1">
        <v>1952.0</v>
      </c>
      <c r="AA28" s="1" t="s">
        <v>192</v>
      </c>
      <c r="AB28" s="1" t="s">
        <v>193</v>
      </c>
      <c r="AD28" s="1" t="s">
        <v>469</v>
      </c>
      <c r="AE28" s="1" t="s">
        <v>325</v>
      </c>
      <c r="AF28" s="1" t="s">
        <v>469</v>
      </c>
      <c r="AH28" s="1" t="s">
        <v>901</v>
      </c>
      <c r="AI28" s="1">
        <v>0.1483</v>
      </c>
      <c r="AK28" s="1">
        <v>7.0</v>
      </c>
      <c r="AL28" s="1">
        <v>4.0</v>
      </c>
      <c r="AM28" s="1">
        <v>2.0</v>
      </c>
      <c r="AN28" s="1">
        <v>0.0</v>
      </c>
      <c r="AO28" s="1" t="s">
        <v>229</v>
      </c>
      <c r="AP28" s="1">
        <v>1.0</v>
      </c>
      <c r="AQ28" s="1" t="s">
        <v>198</v>
      </c>
      <c r="AR28" s="1" t="s">
        <v>200</v>
      </c>
      <c r="AS28" s="1" t="s">
        <v>199</v>
      </c>
      <c r="AT28" s="1">
        <v>2.0</v>
      </c>
      <c r="AV28" s="1" t="s">
        <v>200</v>
      </c>
      <c r="AW28" s="1">
        <v>4884.48</v>
      </c>
      <c r="AX28" s="1">
        <v>2012.0</v>
      </c>
      <c r="AZ28" s="1" t="s">
        <v>200</v>
      </c>
      <c r="BA28" s="1" t="str">
        <f>"0612429009"</f>
        <v>0612429009</v>
      </c>
      <c r="BC28" s="1">
        <v>1834.0</v>
      </c>
      <c r="BD28" s="1">
        <v>94900.0</v>
      </c>
      <c r="BE28" s="2">
        <v>41927.0</v>
      </c>
      <c r="BF28" s="2" t="s">
        <v>902</v>
      </c>
      <c r="BH28" s="1">
        <v>0.0</v>
      </c>
      <c r="BK28" s="1" t="s">
        <v>204</v>
      </c>
      <c r="BL28" s="1" t="str">
        <f t="shared" ref="BL28:BM28" si="16">""</f>
        <v/>
      </c>
      <c r="BM28" s="1" t="str">
        <f t="shared" si="16"/>
        <v/>
      </c>
      <c r="BQ28" s="1">
        <v>46.0</v>
      </c>
      <c r="BR28" s="1">
        <v>46.0</v>
      </c>
      <c r="BS28" s="1">
        <v>46.0</v>
      </c>
      <c r="BU28" s="1" t="s">
        <v>903</v>
      </c>
      <c r="BV28" s="1" t="s">
        <v>206</v>
      </c>
      <c r="BY28" s="1" t="s">
        <v>584</v>
      </c>
      <c r="BZ28" s="1" t="s">
        <v>209</v>
      </c>
      <c r="CC28" s="1" t="s">
        <v>266</v>
      </c>
      <c r="CD28" s="1" t="s">
        <v>206</v>
      </c>
      <c r="CG28" s="1" t="s">
        <v>332</v>
      </c>
      <c r="CH28" s="1" t="s">
        <v>209</v>
      </c>
      <c r="CK28" s="1" t="s">
        <v>265</v>
      </c>
      <c r="CL28" s="1" t="s">
        <v>209</v>
      </c>
      <c r="CO28" s="1" t="s">
        <v>798</v>
      </c>
      <c r="CP28" s="1" t="s">
        <v>209</v>
      </c>
      <c r="CS28" s="1" t="s">
        <v>904</v>
      </c>
      <c r="CT28" s="1" t="s">
        <v>206</v>
      </c>
      <c r="CX28" s="1" t="s">
        <v>204</v>
      </c>
      <c r="DA28" s="1" t="s">
        <v>200</v>
      </c>
      <c r="DC28" s="1" t="s">
        <v>702</v>
      </c>
      <c r="DE28" s="1" t="s">
        <v>229</v>
      </c>
      <c r="DF28" s="1" t="s">
        <v>905</v>
      </c>
      <c r="DH28" s="1" t="s">
        <v>220</v>
      </c>
      <c r="DJ28" s="1" t="s">
        <v>222</v>
      </c>
      <c r="DL28" s="1" t="s">
        <v>858</v>
      </c>
      <c r="DM28" s="1" t="s">
        <v>229</v>
      </c>
      <c r="DQ28" s="1" t="s">
        <v>228</v>
      </c>
      <c r="DR28" s="1" t="s">
        <v>229</v>
      </c>
      <c r="DV28" s="1" t="s">
        <v>232</v>
      </c>
      <c r="DW28" s="1" t="s">
        <v>279</v>
      </c>
      <c r="DX28" s="1" t="s">
        <v>234</v>
      </c>
      <c r="EA28" s="1" t="s">
        <v>344</v>
      </c>
      <c r="EC28" s="1" t="s">
        <v>237</v>
      </c>
      <c r="EM28" s="1" t="s">
        <v>238</v>
      </c>
      <c r="EQ28" s="1" t="s">
        <v>238</v>
      </c>
      <c r="EU28" s="1" t="s">
        <v>238</v>
      </c>
      <c r="EY28" s="1" t="s">
        <v>238</v>
      </c>
      <c r="FC28" s="1" t="s">
        <v>238</v>
      </c>
      <c r="FF28" s="1" t="s">
        <v>239</v>
      </c>
      <c r="FG28" s="1" t="s">
        <v>192</v>
      </c>
      <c r="FH28" s="1" t="s">
        <v>192</v>
      </c>
      <c r="FJ28" s="1" t="s">
        <v>524</v>
      </c>
      <c r="FK28" s="1" t="s">
        <v>229</v>
      </c>
      <c r="FL28" s="1" t="s">
        <v>906</v>
      </c>
      <c r="FM28" s="1">
        <v>25050.0</v>
      </c>
      <c r="FN28" s="1" t="s">
        <v>907</v>
      </c>
      <c r="FO28" s="1" t="s">
        <v>908</v>
      </c>
      <c r="FP28" s="1">
        <v>229929.0</v>
      </c>
      <c r="FQ28" s="1" t="s">
        <v>909</v>
      </c>
      <c r="FU28" s="1" t="s">
        <v>910</v>
      </c>
      <c r="FV28" s="1" t="s">
        <v>200</v>
      </c>
      <c r="FW28" s="1" t="s">
        <v>911</v>
      </c>
      <c r="FZ28" s="1" t="s">
        <v>229</v>
      </c>
      <c r="GA28" s="1" t="s">
        <v>247</v>
      </c>
      <c r="GB28" s="2">
        <v>41977.0</v>
      </c>
      <c r="GC28" s="1" t="s">
        <v>912</v>
      </c>
    </row>
    <row r="29">
      <c r="A29" s="1">
        <v>488000.0</v>
      </c>
      <c r="B29" s="1" t="s">
        <v>185</v>
      </c>
      <c r="C29" s="1" t="str">
        <f>"08754896"</f>
        <v>08754896</v>
      </c>
      <c r="D29" s="1" t="s">
        <v>186</v>
      </c>
      <c r="F29" s="1" t="str">
        <f>"10"</f>
        <v>10</v>
      </c>
      <c r="G29" s="2">
        <v>41928.0</v>
      </c>
      <c r="H29" s="1">
        <v>514900.0</v>
      </c>
      <c r="I29" s="1">
        <v>131.0</v>
      </c>
      <c r="J29" s="1">
        <v>499000.0</v>
      </c>
      <c r="K29" s="2">
        <v>42058.0</v>
      </c>
      <c r="L29" s="1">
        <v>131.0</v>
      </c>
      <c r="M29" s="2">
        <v>42058.0</v>
      </c>
      <c r="N29" s="1" t="s">
        <v>187</v>
      </c>
      <c r="O29" s="2">
        <v>42094.0</v>
      </c>
      <c r="P29" s="1">
        <v>869054.0</v>
      </c>
      <c r="Q29" s="1">
        <v>85464.0</v>
      </c>
      <c r="R29" s="1">
        <v>3000.0</v>
      </c>
      <c r="S29" s="1">
        <v>438.0</v>
      </c>
      <c r="T29" s="1" t="s">
        <v>913</v>
      </c>
      <c r="U29" s="1" t="s">
        <v>420</v>
      </c>
      <c r="V29" s="1" t="s">
        <v>914</v>
      </c>
      <c r="W29" s="1">
        <v>60010.0</v>
      </c>
      <c r="Y29" s="1" t="s">
        <v>915</v>
      </c>
      <c r="Z29" s="1">
        <v>1985.0</v>
      </c>
      <c r="AA29" s="1" t="s">
        <v>200</v>
      </c>
      <c r="AB29" s="1" t="s">
        <v>193</v>
      </c>
      <c r="AD29" s="1" t="s">
        <v>916</v>
      </c>
      <c r="AE29" s="1" t="s">
        <v>917</v>
      </c>
      <c r="AF29" s="1" t="s">
        <v>918</v>
      </c>
      <c r="AH29" s="1" t="s">
        <v>919</v>
      </c>
      <c r="AI29" s="1">
        <v>1.03</v>
      </c>
      <c r="AK29" s="1">
        <v>11.0</v>
      </c>
      <c r="AL29" s="1">
        <v>4.0</v>
      </c>
      <c r="AM29" s="1">
        <v>2.0</v>
      </c>
      <c r="AN29" s="1">
        <v>1.0</v>
      </c>
      <c r="AO29" s="1" t="s">
        <v>198</v>
      </c>
      <c r="AP29" s="1">
        <v>2.0</v>
      </c>
      <c r="AQ29" s="1" t="s">
        <v>198</v>
      </c>
      <c r="AR29" s="1" t="s">
        <v>200</v>
      </c>
      <c r="AS29" s="1" t="s">
        <v>199</v>
      </c>
      <c r="AT29" s="1">
        <v>3.0</v>
      </c>
      <c r="AV29" s="1" t="s">
        <v>200</v>
      </c>
      <c r="AW29" s="1">
        <v>10744.0</v>
      </c>
      <c r="AX29" s="1">
        <v>2013.0</v>
      </c>
      <c r="AY29" s="1" t="s">
        <v>387</v>
      </c>
      <c r="AZ29" s="1" t="s">
        <v>200</v>
      </c>
      <c r="BA29" s="1" t="str">
        <f>"14334020440000"</f>
        <v>14334020440000</v>
      </c>
      <c r="BB29" s="1" t="s">
        <v>200</v>
      </c>
      <c r="BC29" s="1">
        <v>2692.0</v>
      </c>
      <c r="BD29" s="1">
        <v>488000.0</v>
      </c>
      <c r="BE29" s="2">
        <v>41928.0</v>
      </c>
      <c r="BF29" s="2" t="s">
        <v>920</v>
      </c>
      <c r="BG29" s="1" t="s">
        <v>921</v>
      </c>
      <c r="BH29" s="1">
        <v>0.0</v>
      </c>
      <c r="BI29" s="1" t="s">
        <v>922</v>
      </c>
      <c r="BJ29" s="1" t="s">
        <v>923</v>
      </c>
      <c r="BK29" s="1" t="s">
        <v>204</v>
      </c>
      <c r="BL29" s="1" t="str">
        <f>"20"</f>
        <v>20</v>
      </c>
      <c r="BM29" s="1" t="str">
        <f t="shared" ref="BM29:BM30" si="17">"0"</f>
        <v>0</v>
      </c>
      <c r="BN29" s="1">
        <v>22.0</v>
      </c>
      <c r="BO29" s="1">
        <v>0.0</v>
      </c>
      <c r="BQ29" s="1">
        <v>95.0</v>
      </c>
      <c r="BR29" s="1">
        <v>95.0</v>
      </c>
      <c r="BS29" s="1">
        <v>95.0</v>
      </c>
      <c r="BU29" s="1" t="s">
        <v>758</v>
      </c>
      <c r="BV29" s="1" t="s">
        <v>206</v>
      </c>
      <c r="BW29" s="1" t="s">
        <v>207</v>
      </c>
      <c r="BY29" s="1" t="s">
        <v>924</v>
      </c>
      <c r="BZ29" s="1" t="s">
        <v>209</v>
      </c>
      <c r="CA29" s="1" t="s">
        <v>210</v>
      </c>
      <c r="CC29" s="1" t="s">
        <v>584</v>
      </c>
      <c r="CD29" s="1" t="s">
        <v>206</v>
      </c>
      <c r="CE29" s="1" t="s">
        <v>207</v>
      </c>
      <c r="CG29" s="1" t="s">
        <v>213</v>
      </c>
      <c r="CH29" s="1" t="s">
        <v>209</v>
      </c>
      <c r="CI29" s="1" t="s">
        <v>210</v>
      </c>
      <c r="CK29" s="1" t="s">
        <v>329</v>
      </c>
      <c r="CL29" s="1" t="s">
        <v>209</v>
      </c>
      <c r="CM29" s="1" t="s">
        <v>210</v>
      </c>
      <c r="CO29" s="1" t="s">
        <v>262</v>
      </c>
      <c r="CP29" s="1" t="s">
        <v>209</v>
      </c>
      <c r="CQ29" s="1" t="s">
        <v>210</v>
      </c>
      <c r="CS29" s="1" t="s">
        <v>925</v>
      </c>
      <c r="CT29" s="1" t="s">
        <v>206</v>
      </c>
      <c r="CU29" s="1" t="s">
        <v>207</v>
      </c>
      <c r="CW29" s="1" t="s">
        <v>544</v>
      </c>
      <c r="CX29" s="1" t="s">
        <v>206</v>
      </c>
      <c r="CY29" s="1" t="s">
        <v>207</v>
      </c>
      <c r="DA29" s="1" t="s">
        <v>200</v>
      </c>
      <c r="DC29" s="1" t="s">
        <v>305</v>
      </c>
      <c r="DD29" s="1" t="s">
        <v>926</v>
      </c>
      <c r="DE29" s="1" t="s">
        <v>273</v>
      </c>
      <c r="DF29" s="1" t="s">
        <v>219</v>
      </c>
      <c r="DG29" s="1" t="s">
        <v>927</v>
      </c>
      <c r="DH29" s="1" t="s">
        <v>856</v>
      </c>
      <c r="DI29" s="1" t="s">
        <v>928</v>
      </c>
      <c r="DJ29" s="1" t="s">
        <v>857</v>
      </c>
      <c r="DL29" s="1" t="s">
        <v>858</v>
      </c>
      <c r="DM29" s="1" t="s">
        <v>929</v>
      </c>
      <c r="DN29" s="1" t="s">
        <v>399</v>
      </c>
      <c r="DO29" s="1" t="s">
        <v>930</v>
      </c>
      <c r="DP29" s="1" t="s">
        <v>340</v>
      </c>
      <c r="DQ29" s="1" t="s">
        <v>931</v>
      </c>
      <c r="DR29" s="1" t="s">
        <v>229</v>
      </c>
      <c r="DS29" s="1" t="s">
        <v>368</v>
      </c>
      <c r="DU29" s="1" t="s">
        <v>932</v>
      </c>
      <c r="DV29" s="1" t="s">
        <v>933</v>
      </c>
      <c r="DW29" s="1" t="s">
        <v>934</v>
      </c>
      <c r="DX29" s="1" t="s">
        <v>234</v>
      </c>
      <c r="DY29" s="1" t="s">
        <v>935</v>
      </c>
      <c r="DZ29" s="1" t="s">
        <v>936</v>
      </c>
      <c r="EA29" s="1" t="s">
        <v>447</v>
      </c>
      <c r="EB29" s="1" t="s">
        <v>937</v>
      </c>
      <c r="EC29" s="1" t="s">
        <v>237</v>
      </c>
      <c r="ED29" s="1" t="s">
        <v>407</v>
      </c>
      <c r="EG29" s="1" t="s">
        <v>556</v>
      </c>
      <c r="EH29" s="1" t="s">
        <v>450</v>
      </c>
      <c r="EI29" s="1" t="s">
        <v>598</v>
      </c>
      <c r="EJ29" s="1" t="s">
        <v>409</v>
      </c>
      <c r="EK29" s="1" t="s">
        <v>310</v>
      </c>
      <c r="EL29" s="1" t="s">
        <v>332</v>
      </c>
      <c r="EM29" s="1" t="s">
        <v>206</v>
      </c>
      <c r="EN29" s="1" t="s">
        <v>207</v>
      </c>
      <c r="EP29" s="1" t="s">
        <v>938</v>
      </c>
      <c r="EQ29" s="1" t="s">
        <v>267</v>
      </c>
      <c r="ER29" s="1" t="s">
        <v>210</v>
      </c>
      <c r="ET29" s="1" t="s">
        <v>939</v>
      </c>
      <c r="EU29" s="1" t="s">
        <v>209</v>
      </c>
      <c r="EV29" s="1" t="s">
        <v>210</v>
      </c>
      <c r="EX29" s="1" t="s">
        <v>940</v>
      </c>
      <c r="EY29" s="1" t="s">
        <v>209</v>
      </c>
      <c r="EZ29" s="1" t="s">
        <v>210</v>
      </c>
      <c r="FB29" s="1" t="s">
        <v>941</v>
      </c>
      <c r="FC29" s="1" t="s">
        <v>206</v>
      </c>
      <c r="FF29" s="1" t="s">
        <v>239</v>
      </c>
      <c r="FG29" s="1" t="s">
        <v>200</v>
      </c>
      <c r="FH29" s="1" t="s">
        <v>192</v>
      </c>
      <c r="FJ29" s="1" t="s">
        <v>498</v>
      </c>
      <c r="FK29" s="1" t="s">
        <v>229</v>
      </c>
      <c r="FL29" s="1" t="s">
        <v>942</v>
      </c>
      <c r="FM29" s="1">
        <v>85464.0</v>
      </c>
      <c r="FN29" s="1" t="s">
        <v>943</v>
      </c>
      <c r="FO29" s="1" t="s">
        <v>944</v>
      </c>
      <c r="FP29" s="1">
        <v>840638.0</v>
      </c>
      <c r="FQ29" s="1" t="s">
        <v>945</v>
      </c>
      <c r="FU29" s="1" t="s">
        <v>946</v>
      </c>
      <c r="FV29" s="1" t="s">
        <v>200</v>
      </c>
      <c r="FW29" s="1" t="s">
        <v>290</v>
      </c>
      <c r="FZ29" s="1" t="s">
        <v>229</v>
      </c>
      <c r="GA29" s="1" t="s">
        <v>291</v>
      </c>
      <c r="GB29" s="2">
        <v>42094.0</v>
      </c>
    </row>
    <row r="30">
      <c r="A30" s="1">
        <v>905000.0</v>
      </c>
      <c r="B30" s="1" t="s">
        <v>185</v>
      </c>
      <c r="C30" s="1" t="str">
        <f>"08755792"</f>
        <v>08755792</v>
      </c>
      <c r="D30" s="1" t="s">
        <v>186</v>
      </c>
      <c r="F30" s="1" t="str">
        <f>"8077"</f>
        <v>8077</v>
      </c>
      <c r="G30" s="2">
        <v>41929.0</v>
      </c>
      <c r="H30" s="1">
        <v>950000.0</v>
      </c>
      <c r="I30" s="1">
        <v>125.0</v>
      </c>
      <c r="J30" s="1">
        <v>950000.0</v>
      </c>
      <c r="K30" s="2">
        <v>41939.0</v>
      </c>
      <c r="L30" s="1">
        <v>11.0</v>
      </c>
      <c r="M30" s="2">
        <v>41939.0</v>
      </c>
      <c r="N30" s="1" t="s">
        <v>187</v>
      </c>
      <c r="O30" s="2">
        <v>41990.0</v>
      </c>
      <c r="P30" s="1">
        <v>99999.0</v>
      </c>
      <c r="Q30" s="1" t="s">
        <v>947</v>
      </c>
      <c r="S30" s="1">
        <v>5354.0</v>
      </c>
      <c r="T30" s="1" t="s">
        <v>948</v>
      </c>
      <c r="U30" s="1" t="s">
        <v>320</v>
      </c>
      <c r="V30" s="1" t="s">
        <v>190</v>
      </c>
      <c r="W30" s="1">
        <v>60640.0</v>
      </c>
      <c r="Y30" s="1" t="s">
        <v>949</v>
      </c>
      <c r="Z30" s="1">
        <v>1883.0</v>
      </c>
      <c r="AA30" s="1" t="s">
        <v>192</v>
      </c>
      <c r="AB30" s="1" t="s">
        <v>193</v>
      </c>
      <c r="AD30" s="1" t="s">
        <v>194</v>
      </c>
      <c r="AE30" s="1" t="s">
        <v>195</v>
      </c>
      <c r="AF30" s="1" t="s">
        <v>534</v>
      </c>
      <c r="AH30" s="1" t="s">
        <v>950</v>
      </c>
      <c r="AK30" s="1">
        <v>9.0</v>
      </c>
      <c r="AL30" s="1">
        <v>4.0</v>
      </c>
      <c r="AM30" s="1">
        <v>2.0</v>
      </c>
      <c r="AN30" s="1">
        <v>1.0</v>
      </c>
      <c r="AO30" s="1" t="s">
        <v>198</v>
      </c>
      <c r="AP30" s="1">
        <v>1.0</v>
      </c>
      <c r="AQ30" s="1" t="s">
        <v>951</v>
      </c>
      <c r="AR30" s="1" t="s">
        <v>200</v>
      </c>
      <c r="AS30" s="1" t="s">
        <v>199</v>
      </c>
      <c r="AT30" s="1">
        <v>3.0</v>
      </c>
      <c r="AV30" s="1" t="s">
        <v>200</v>
      </c>
      <c r="AW30" s="1">
        <v>10156.14</v>
      </c>
      <c r="AX30" s="1">
        <v>2012.0</v>
      </c>
      <c r="AY30" s="1" t="s">
        <v>387</v>
      </c>
      <c r="AZ30" s="1" t="s">
        <v>200</v>
      </c>
      <c r="BA30" s="1" t="str">
        <f>"14072130260000"</f>
        <v>14072130260000</v>
      </c>
      <c r="BC30" s="1">
        <v>3500.0</v>
      </c>
      <c r="BD30" s="1">
        <v>905000.0</v>
      </c>
      <c r="BE30" s="2">
        <v>41929.0</v>
      </c>
      <c r="BF30" s="2" t="s">
        <v>952</v>
      </c>
      <c r="BG30" s="1" t="s">
        <v>953</v>
      </c>
      <c r="BH30" s="1">
        <v>0.0</v>
      </c>
      <c r="BJ30" s="1" t="s">
        <v>954</v>
      </c>
      <c r="BK30" s="1" t="s">
        <v>204</v>
      </c>
      <c r="BL30" s="1" t="str">
        <f>"5354"</f>
        <v>5354</v>
      </c>
      <c r="BM30" s="1" t="str">
        <f t="shared" si="17"/>
        <v>0</v>
      </c>
      <c r="BN30" s="1">
        <v>1700.0</v>
      </c>
      <c r="BO30" s="1">
        <v>0.0</v>
      </c>
      <c r="BQ30" s="1">
        <v>299.0</v>
      </c>
      <c r="BR30" s="1">
        <v>299.0</v>
      </c>
      <c r="BS30" s="1">
        <v>299.0</v>
      </c>
      <c r="BU30" s="1" t="s">
        <v>479</v>
      </c>
      <c r="BV30" s="1" t="s">
        <v>206</v>
      </c>
      <c r="BW30" s="1" t="s">
        <v>207</v>
      </c>
      <c r="BX30" s="1" t="s">
        <v>229</v>
      </c>
      <c r="BY30" s="1" t="s">
        <v>925</v>
      </c>
      <c r="BZ30" s="1" t="s">
        <v>209</v>
      </c>
      <c r="CA30" s="1" t="s">
        <v>207</v>
      </c>
      <c r="CB30" s="1" t="s">
        <v>229</v>
      </c>
      <c r="CC30" s="1" t="s">
        <v>955</v>
      </c>
      <c r="CD30" s="1" t="s">
        <v>206</v>
      </c>
      <c r="CE30" s="1" t="s">
        <v>207</v>
      </c>
      <c r="CF30" s="1" t="s">
        <v>229</v>
      </c>
      <c r="CG30" s="1" t="s">
        <v>212</v>
      </c>
      <c r="CH30" s="1" t="s">
        <v>209</v>
      </c>
      <c r="CI30" s="1" t="s">
        <v>207</v>
      </c>
      <c r="CJ30" s="1" t="s">
        <v>229</v>
      </c>
      <c r="CK30" s="1" t="s">
        <v>392</v>
      </c>
      <c r="CL30" s="1" t="s">
        <v>209</v>
      </c>
      <c r="CM30" s="1" t="s">
        <v>207</v>
      </c>
      <c r="CN30" s="1" t="s">
        <v>229</v>
      </c>
      <c r="CO30" s="1" t="s">
        <v>956</v>
      </c>
      <c r="CP30" s="1" t="s">
        <v>209</v>
      </c>
      <c r="CQ30" s="1" t="s">
        <v>207</v>
      </c>
      <c r="CR30" s="1" t="s">
        <v>229</v>
      </c>
      <c r="CS30" s="1" t="s">
        <v>729</v>
      </c>
      <c r="CT30" s="1" t="s">
        <v>206</v>
      </c>
      <c r="CU30" s="1" t="s">
        <v>207</v>
      </c>
      <c r="CV30" s="1" t="s">
        <v>229</v>
      </c>
      <c r="CX30" s="1" t="s">
        <v>204</v>
      </c>
      <c r="DA30" s="1" t="s">
        <v>200</v>
      </c>
      <c r="DC30" s="1" t="s">
        <v>642</v>
      </c>
      <c r="DD30" s="1" t="s">
        <v>957</v>
      </c>
      <c r="DE30" s="1" t="s">
        <v>218</v>
      </c>
      <c r="DF30" s="1" t="s">
        <v>958</v>
      </c>
      <c r="DH30" s="1" t="s">
        <v>365</v>
      </c>
      <c r="DI30" s="1" t="s">
        <v>959</v>
      </c>
      <c r="DJ30" s="1" t="s">
        <v>222</v>
      </c>
      <c r="DK30" s="1" t="s">
        <v>960</v>
      </c>
      <c r="DL30" s="1" t="s">
        <v>791</v>
      </c>
      <c r="DM30" s="1" t="s">
        <v>229</v>
      </c>
      <c r="DN30" s="1" t="s">
        <v>961</v>
      </c>
      <c r="DP30" s="1" t="s">
        <v>340</v>
      </c>
      <c r="DQ30" s="1" t="s">
        <v>794</v>
      </c>
      <c r="DR30" s="1" t="s">
        <v>229</v>
      </c>
      <c r="DS30" s="1" t="s">
        <v>230</v>
      </c>
      <c r="DU30" s="1" t="s">
        <v>962</v>
      </c>
      <c r="DV30" s="1" t="s">
        <v>963</v>
      </c>
      <c r="DW30" s="1" t="s">
        <v>964</v>
      </c>
      <c r="DX30" s="1" t="s">
        <v>234</v>
      </c>
      <c r="DY30" s="1" t="s">
        <v>965</v>
      </c>
      <c r="DZ30" s="1" t="s">
        <v>966</v>
      </c>
      <c r="EA30" s="1" t="s">
        <v>622</v>
      </c>
      <c r="EB30" s="1" t="s">
        <v>684</v>
      </c>
      <c r="EC30" s="1" t="s">
        <v>406</v>
      </c>
      <c r="EE30" s="1" t="s">
        <v>967</v>
      </c>
      <c r="EG30" s="1" t="s">
        <v>556</v>
      </c>
      <c r="EH30" s="1" t="s">
        <v>557</v>
      </c>
      <c r="EI30" s="1" t="s">
        <v>409</v>
      </c>
      <c r="EJ30" s="1" t="s">
        <v>968</v>
      </c>
      <c r="EL30" s="1" t="s">
        <v>969</v>
      </c>
      <c r="EM30" s="1" t="s">
        <v>209</v>
      </c>
      <c r="EN30" s="1" t="s">
        <v>207</v>
      </c>
      <c r="EO30" s="1" t="s">
        <v>229</v>
      </c>
      <c r="EP30" s="1" t="s">
        <v>970</v>
      </c>
      <c r="EQ30" s="1" t="s">
        <v>391</v>
      </c>
      <c r="ET30" s="1" t="s">
        <v>971</v>
      </c>
      <c r="EU30" s="1" t="s">
        <v>209</v>
      </c>
      <c r="EV30" s="1" t="s">
        <v>207</v>
      </c>
      <c r="EX30" s="1" t="s">
        <v>972</v>
      </c>
      <c r="EY30" s="1" t="s">
        <v>209</v>
      </c>
      <c r="EZ30" s="1" t="s">
        <v>588</v>
      </c>
      <c r="FC30" s="1" t="s">
        <v>238</v>
      </c>
      <c r="FF30" s="1" t="s">
        <v>239</v>
      </c>
      <c r="FG30" s="1" t="s">
        <v>192</v>
      </c>
      <c r="FH30" s="1" t="s">
        <v>192</v>
      </c>
      <c r="FJ30" s="1" t="s">
        <v>973</v>
      </c>
      <c r="FK30" s="1" t="s">
        <v>229</v>
      </c>
      <c r="FL30" s="1" t="s">
        <v>974</v>
      </c>
      <c r="FM30" s="1">
        <v>10988.0</v>
      </c>
      <c r="FN30" s="1" t="s">
        <v>975</v>
      </c>
      <c r="FO30" s="1" t="s">
        <v>976</v>
      </c>
      <c r="FP30" s="1">
        <v>105872.0</v>
      </c>
      <c r="FQ30" s="1" t="s">
        <v>977</v>
      </c>
      <c r="FR30" s="1">
        <v>875842.0</v>
      </c>
      <c r="FS30" s="1" t="s">
        <v>978</v>
      </c>
      <c r="FU30" s="1" t="s">
        <v>979</v>
      </c>
      <c r="FV30" s="1" t="s">
        <v>200</v>
      </c>
      <c r="FW30" s="1" t="s">
        <v>290</v>
      </c>
      <c r="FX30" s="1" t="s">
        <v>238</v>
      </c>
      <c r="FZ30" s="1" t="s">
        <v>229</v>
      </c>
      <c r="GA30" s="1" t="s">
        <v>291</v>
      </c>
      <c r="GB30" s="2">
        <v>42019.0</v>
      </c>
      <c r="GC30" s="1" t="s">
        <v>980</v>
      </c>
    </row>
    <row r="31">
      <c r="A31" s="1">
        <v>5.0</v>
      </c>
      <c r="B31" s="1" t="s">
        <v>185</v>
      </c>
      <c r="C31" s="1" t="str">
        <f>"08758727"</f>
        <v>08758727</v>
      </c>
      <c r="D31" s="1" t="s">
        <v>186</v>
      </c>
      <c r="F31" s="1" t="str">
        <f>"8026"</f>
        <v>8026</v>
      </c>
      <c r="G31" s="2">
        <v>41934.0</v>
      </c>
      <c r="H31" s="1">
        <v>5.0</v>
      </c>
      <c r="I31" s="1">
        <v>79.0</v>
      </c>
      <c r="J31" s="1">
        <v>5.0</v>
      </c>
      <c r="K31" s="2">
        <v>42012.0</v>
      </c>
      <c r="L31" s="1">
        <v>79.0</v>
      </c>
      <c r="M31" s="2">
        <v>42012.0</v>
      </c>
      <c r="N31" s="1" t="s">
        <v>249</v>
      </c>
      <c r="O31" s="2">
        <v>42067.0</v>
      </c>
      <c r="P31" s="1">
        <v>99999.0</v>
      </c>
      <c r="Q31" s="1" t="s">
        <v>947</v>
      </c>
      <c r="S31" s="1">
        <v>4126.0</v>
      </c>
      <c r="T31" s="1" t="s">
        <v>981</v>
      </c>
      <c r="U31" s="1" t="s">
        <v>982</v>
      </c>
      <c r="V31" s="1" t="s">
        <v>190</v>
      </c>
      <c r="W31" s="1">
        <v>60624.0</v>
      </c>
      <c r="Y31" s="1" t="s">
        <v>983</v>
      </c>
      <c r="Z31" s="1">
        <v>1920.0</v>
      </c>
      <c r="AA31" s="1" t="s">
        <v>192</v>
      </c>
      <c r="AB31" s="1" t="s">
        <v>193</v>
      </c>
      <c r="AD31" s="1" t="s">
        <v>194</v>
      </c>
      <c r="AE31" s="1" t="s">
        <v>195</v>
      </c>
      <c r="AF31" s="1" t="s">
        <v>827</v>
      </c>
      <c r="AH31" s="1" t="s">
        <v>359</v>
      </c>
      <c r="AK31" s="1">
        <v>7.0</v>
      </c>
      <c r="AL31" s="1">
        <v>4.0</v>
      </c>
      <c r="AM31" s="1">
        <v>3.0</v>
      </c>
      <c r="AN31" s="1">
        <v>0.0</v>
      </c>
      <c r="AO31" s="1" t="s">
        <v>229</v>
      </c>
      <c r="AQ31" s="1" t="s">
        <v>198</v>
      </c>
      <c r="AR31" s="1" t="s">
        <v>200</v>
      </c>
      <c r="AS31" s="1" t="s">
        <v>199</v>
      </c>
      <c r="AT31" s="1">
        <v>2.0</v>
      </c>
      <c r="AV31" s="1" t="s">
        <v>200</v>
      </c>
      <c r="AW31" s="1">
        <v>3400.0</v>
      </c>
      <c r="AX31" s="1">
        <v>2013.0</v>
      </c>
      <c r="AY31" s="1" t="s">
        <v>229</v>
      </c>
      <c r="AZ31" s="1" t="s">
        <v>545</v>
      </c>
      <c r="BA31" s="1" t="str">
        <f>"16152260360000"</f>
        <v>16152260360000</v>
      </c>
      <c r="BC31" s="1">
        <v>1800.0</v>
      </c>
      <c r="BD31" s="1">
        <v>5.0</v>
      </c>
      <c r="BE31" s="2">
        <v>41934.0</v>
      </c>
      <c r="BF31" s="2" t="s">
        <v>984</v>
      </c>
      <c r="BH31" s="1">
        <v>0.0</v>
      </c>
      <c r="BK31" s="1" t="s">
        <v>204</v>
      </c>
      <c r="BL31" s="1" t="str">
        <f t="shared" ref="BL31:BM31" si="18">"0"</f>
        <v>0</v>
      </c>
      <c r="BM31" s="1" t="str">
        <f t="shared" si="18"/>
        <v>0</v>
      </c>
      <c r="BN31" s="1">
        <v>4000.0</v>
      </c>
      <c r="BO31" s="1">
        <v>500.0</v>
      </c>
      <c r="BQ31" s="1">
        <v>299.0</v>
      </c>
      <c r="BR31" s="1">
        <v>299.0</v>
      </c>
      <c r="BS31" s="1">
        <v>299.0</v>
      </c>
      <c r="BU31" s="1" t="s">
        <v>985</v>
      </c>
      <c r="BV31" s="1" t="s">
        <v>206</v>
      </c>
      <c r="BW31" s="1" t="s">
        <v>207</v>
      </c>
      <c r="BY31" s="1" t="s">
        <v>211</v>
      </c>
      <c r="BZ31" s="1" t="s">
        <v>206</v>
      </c>
      <c r="CC31" s="1" t="s">
        <v>542</v>
      </c>
      <c r="CD31" s="1" t="s">
        <v>206</v>
      </c>
      <c r="CE31" s="1" t="s">
        <v>207</v>
      </c>
      <c r="CG31" s="1" t="s">
        <v>211</v>
      </c>
      <c r="CH31" s="1" t="s">
        <v>209</v>
      </c>
      <c r="CK31" s="1" t="s">
        <v>454</v>
      </c>
      <c r="CL31" s="1" t="s">
        <v>209</v>
      </c>
      <c r="CO31" s="1" t="s">
        <v>433</v>
      </c>
      <c r="CP31" s="1" t="s">
        <v>209</v>
      </c>
      <c r="CS31" s="1" t="s">
        <v>433</v>
      </c>
      <c r="CT31" s="1" t="s">
        <v>206</v>
      </c>
      <c r="CU31" s="1" t="s">
        <v>268</v>
      </c>
      <c r="CX31" s="1" t="s">
        <v>204</v>
      </c>
      <c r="DA31" s="1" t="s">
        <v>200</v>
      </c>
      <c r="DC31" s="1" t="s">
        <v>216</v>
      </c>
      <c r="DE31" s="1" t="s">
        <v>229</v>
      </c>
      <c r="DF31" s="1" t="s">
        <v>619</v>
      </c>
      <c r="DH31" s="1" t="s">
        <v>365</v>
      </c>
      <c r="DJ31" s="1" t="s">
        <v>222</v>
      </c>
      <c r="DL31" s="1" t="s">
        <v>986</v>
      </c>
      <c r="DM31" s="1" t="s">
        <v>229</v>
      </c>
      <c r="DP31" s="1" t="s">
        <v>276</v>
      </c>
      <c r="DQ31" s="1" t="s">
        <v>228</v>
      </c>
      <c r="DR31" s="1" t="s">
        <v>229</v>
      </c>
      <c r="DV31" s="1" t="s">
        <v>232</v>
      </c>
      <c r="DW31" s="1" t="s">
        <v>279</v>
      </c>
      <c r="DX31" s="1" t="s">
        <v>234</v>
      </c>
      <c r="DY31" s="1" t="s">
        <v>987</v>
      </c>
      <c r="DZ31" s="1" t="s">
        <v>310</v>
      </c>
      <c r="EC31" s="1" t="s">
        <v>237</v>
      </c>
      <c r="EM31" s="1" t="s">
        <v>238</v>
      </c>
      <c r="EQ31" s="1" t="s">
        <v>238</v>
      </c>
      <c r="EU31" s="1" t="s">
        <v>238</v>
      </c>
      <c r="EY31" s="1" t="s">
        <v>238</v>
      </c>
      <c r="FC31" s="1" t="s">
        <v>238</v>
      </c>
      <c r="FF31" s="1" t="s">
        <v>239</v>
      </c>
      <c r="FG31" s="1" t="s">
        <v>192</v>
      </c>
      <c r="FH31" s="1" t="s">
        <v>192</v>
      </c>
      <c r="FJ31" s="1" t="s">
        <v>988</v>
      </c>
      <c r="FK31" s="1" t="s">
        <v>229</v>
      </c>
      <c r="FL31" s="1" t="s">
        <v>771</v>
      </c>
      <c r="FM31" s="1">
        <v>16636.0</v>
      </c>
      <c r="FN31" s="1" t="s">
        <v>526</v>
      </c>
      <c r="FO31" s="1" t="s">
        <v>989</v>
      </c>
      <c r="FP31" s="1">
        <v>151278.0</v>
      </c>
      <c r="FQ31" s="1" t="s">
        <v>990</v>
      </c>
      <c r="FU31" s="1" t="s">
        <v>991</v>
      </c>
      <c r="FV31" s="1" t="s">
        <v>192</v>
      </c>
      <c r="FW31" s="1" t="s">
        <v>992</v>
      </c>
      <c r="FX31" s="1" t="s">
        <v>246</v>
      </c>
      <c r="FZ31" s="1" t="s">
        <v>632</v>
      </c>
      <c r="GA31" s="1" t="s">
        <v>291</v>
      </c>
      <c r="GB31" s="2">
        <v>42068.0</v>
      </c>
    </row>
    <row r="32">
      <c r="A32" s="1">
        <v>222500.0</v>
      </c>
      <c r="B32" s="1" t="s">
        <v>185</v>
      </c>
      <c r="C32" s="1" t="str">
        <f>"08755687"</f>
        <v>08755687</v>
      </c>
      <c r="D32" s="1" t="s">
        <v>186</v>
      </c>
      <c r="F32" s="1" t="str">
        <f>"178"</f>
        <v>178</v>
      </c>
      <c r="G32" s="2">
        <v>41929.0</v>
      </c>
      <c r="H32" s="1">
        <v>244900.0</v>
      </c>
      <c r="I32" s="1">
        <v>15.0</v>
      </c>
      <c r="J32" s="1">
        <v>244900.0</v>
      </c>
      <c r="K32" s="2">
        <v>41942.0</v>
      </c>
      <c r="L32" s="1">
        <v>15.0</v>
      </c>
      <c r="M32" s="2">
        <v>41942.0</v>
      </c>
      <c r="N32" s="1" t="s">
        <v>249</v>
      </c>
      <c r="O32" s="2">
        <v>41992.0</v>
      </c>
      <c r="P32" s="1">
        <v>930123.0</v>
      </c>
      <c r="Q32" s="1">
        <v>93041.0</v>
      </c>
      <c r="S32" s="1">
        <v>251.0</v>
      </c>
      <c r="T32" s="1" t="s">
        <v>993</v>
      </c>
      <c r="U32" s="1" t="s">
        <v>569</v>
      </c>
      <c r="V32" s="1" t="s">
        <v>994</v>
      </c>
      <c r="W32" s="1">
        <v>60178.0</v>
      </c>
      <c r="Y32" s="1" t="s">
        <v>995</v>
      </c>
      <c r="Z32" s="1">
        <v>2001.0</v>
      </c>
      <c r="AA32" s="1" t="s">
        <v>200</v>
      </c>
      <c r="AB32" s="1" t="s">
        <v>193</v>
      </c>
      <c r="AC32" s="1" t="s">
        <v>996</v>
      </c>
      <c r="AD32" s="1" t="s">
        <v>997</v>
      </c>
      <c r="AE32" s="1" t="s">
        <v>613</v>
      </c>
      <c r="AF32" s="1" t="s">
        <v>997</v>
      </c>
      <c r="AH32" s="1" t="s">
        <v>998</v>
      </c>
      <c r="AI32" s="1">
        <v>0.32</v>
      </c>
      <c r="AK32" s="1">
        <v>8.0</v>
      </c>
      <c r="AL32" s="1">
        <v>4.0</v>
      </c>
      <c r="AM32" s="1">
        <v>3.0</v>
      </c>
      <c r="AN32" s="1">
        <v>1.0</v>
      </c>
      <c r="AO32" s="1" t="s">
        <v>198</v>
      </c>
      <c r="AP32" s="1">
        <v>1.0</v>
      </c>
      <c r="AQ32" s="1" t="s">
        <v>198</v>
      </c>
      <c r="AR32" s="1" t="s">
        <v>192</v>
      </c>
      <c r="AS32" s="1" t="s">
        <v>199</v>
      </c>
      <c r="AT32" s="1">
        <v>2.0</v>
      </c>
      <c r="AV32" s="1" t="s">
        <v>200</v>
      </c>
      <c r="AW32" s="1">
        <v>6808.5</v>
      </c>
      <c r="AX32" s="1">
        <v>2013.0</v>
      </c>
      <c r="AY32" s="1" t="s">
        <v>387</v>
      </c>
      <c r="AZ32" s="1" t="s">
        <v>200</v>
      </c>
      <c r="BA32" s="1" t="str">
        <f>"0628326008"</f>
        <v>0628326008</v>
      </c>
      <c r="BB32" s="1" t="s">
        <v>200</v>
      </c>
      <c r="BC32" s="1">
        <v>2240.0</v>
      </c>
      <c r="BD32" s="1">
        <v>222500.0</v>
      </c>
      <c r="BE32" s="2">
        <v>41928.0</v>
      </c>
      <c r="BF32" s="2" t="s">
        <v>999</v>
      </c>
      <c r="BH32" s="1">
        <v>0.0</v>
      </c>
      <c r="BK32" s="1" t="s">
        <v>204</v>
      </c>
      <c r="BL32" s="1" t="str">
        <f t="shared" ref="BL32:BM32" si="19">"0"</f>
        <v>0</v>
      </c>
      <c r="BM32" s="1" t="str">
        <f t="shared" si="19"/>
        <v>0</v>
      </c>
      <c r="BN32" s="1">
        <v>0.0</v>
      </c>
      <c r="BO32" s="1">
        <v>0.0</v>
      </c>
      <c r="BQ32" s="1">
        <v>427.0</v>
      </c>
      <c r="BR32" s="1">
        <v>427.0</v>
      </c>
      <c r="BS32" s="1">
        <v>427.0</v>
      </c>
      <c r="BU32" s="1" t="s">
        <v>758</v>
      </c>
      <c r="BV32" s="1" t="s">
        <v>206</v>
      </c>
      <c r="BW32" s="1" t="s">
        <v>210</v>
      </c>
      <c r="BX32" s="1" t="s">
        <v>239</v>
      </c>
      <c r="BY32" s="1" t="s">
        <v>1000</v>
      </c>
      <c r="BZ32" s="1" t="s">
        <v>209</v>
      </c>
      <c r="CA32" s="1" t="s">
        <v>210</v>
      </c>
      <c r="CB32" s="1" t="s">
        <v>239</v>
      </c>
      <c r="CC32" s="1" t="s">
        <v>497</v>
      </c>
      <c r="CD32" s="1" t="s">
        <v>206</v>
      </c>
      <c r="CE32" s="1" t="s">
        <v>210</v>
      </c>
      <c r="CF32" s="1" t="s">
        <v>239</v>
      </c>
      <c r="CG32" s="1" t="s">
        <v>433</v>
      </c>
      <c r="CH32" s="1" t="s">
        <v>209</v>
      </c>
      <c r="CI32" s="1" t="s">
        <v>210</v>
      </c>
      <c r="CJ32" s="1" t="s">
        <v>239</v>
      </c>
      <c r="CK32" s="1" t="s">
        <v>363</v>
      </c>
      <c r="CL32" s="1" t="s">
        <v>209</v>
      </c>
      <c r="CM32" s="1" t="s">
        <v>210</v>
      </c>
      <c r="CN32" s="1" t="s">
        <v>239</v>
      </c>
      <c r="CO32" s="1" t="s">
        <v>363</v>
      </c>
      <c r="CP32" s="1" t="s">
        <v>209</v>
      </c>
      <c r="CQ32" s="1" t="s">
        <v>210</v>
      </c>
      <c r="CR32" s="1" t="s">
        <v>239</v>
      </c>
      <c r="CS32" s="1" t="s">
        <v>1001</v>
      </c>
      <c r="CT32" s="1" t="s">
        <v>206</v>
      </c>
      <c r="CU32" s="1" t="s">
        <v>617</v>
      </c>
      <c r="CV32" s="1" t="s">
        <v>239</v>
      </c>
      <c r="CW32" s="1" t="s">
        <v>390</v>
      </c>
      <c r="CX32" s="1" t="s">
        <v>206</v>
      </c>
      <c r="CY32" s="1" t="s">
        <v>210</v>
      </c>
      <c r="CZ32" s="1" t="s">
        <v>239</v>
      </c>
      <c r="DA32" s="1" t="s">
        <v>200</v>
      </c>
      <c r="DC32" s="1" t="s">
        <v>335</v>
      </c>
      <c r="DD32" s="1" t="s">
        <v>336</v>
      </c>
      <c r="DE32" s="1" t="s">
        <v>273</v>
      </c>
      <c r="DF32" s="1" t="s">
        <v>219</v>
      </c>
      <c r="DG32" s="1" t="s">
        <v>1002</v>
      </c>
      <c r="DH32" s="1" t="s">
        <v>220</v>
      </c>
      <c r="DI32" s="1" t="s">
        <v>1003</v>
      </c>
      <c r="DJ32" s="1" t="s">
        <v>222</v>
      </c>
      <c r="DL32" s="1" t="s">
        <v>858</v>
      </c>
      <c r="DM32" s="1" t="s">
        <v>229</v>
      </c>
      <c r="DN32" s="1" t="s">
        <v>439</v>
      </c>
      <c r="DO32" s="1" t="s">
        <v>1004</v>
      </c>
      <c r="DP32" s="1" t="s">
        <v>340</v>
      </c>
      <c r="DQ32" s="1" t="s">
        <v>441</v>
      </c>
      <c r="DR32" s="1" t="s">
        <v>229</v>
      </c>
      <c r="DS32" s="1" t="s">
        <v>230</v>
      </c>
      <c r="DU32" s="1" t="s">
        <v>1005</v>
      </c>
      <c r="DV32" s="1" t="s">
        <v>408</v>
      </c>
      <c r="DW32" s="1" t="s">
        <v>444</v>
      </c>
      <c r="DX32" s="1" t="s">
        <v>234</v>
      </c>
      <c r="DY32" s="1" t="s">
        <v>1006</v>
      </c>
      <c r="DZ32" s="1" t="s">
        <v>236</v>
      </c>
      <c r="EA32" s="1" t="s">
        <v>344</v>
      </c>
      <c r="EB32" s="1" t="s">
        <v>492</v>
      </c>
      <c r="EC32" s="1" t="s">
        <v>237</v>
      </c>
      <c r="ED32" s="1" t="s">
        <v>864</v>
      </c>
      <c r="EE32" s="1" t="s">
        <v>493</v>
      </c>
      <c r="EG32" s="1" t="s">
        <v>408</v>
      </c>
      <c r="EL32" s="1" t="s">
        <v>971</v>
      </c>
      <c r="EM32" s="1" t="s">
        <v>206</v>
      </c>
      <c r="EN32" s="1" t="s">
        <v>268</v>
      </c>
      <c r="EQ32" s="1" t="s">
        <v>238</v>
      </c>
      <c r="EU32" s="1" t="s">
        <v>238</v>
      </c>
      <c r="EY32" s="1" t="s">
        <v>238</v>
      </c>
      <c r="FC32" s="1" t="s">
        <v>238</v>
      </c>
      <c r="FF32" s="1" t="s">
        <v>239</v>
      </c>
      <c r="FG32" s="1" t="s">
        <v>192</v>
      </c>
      <c r="FH32" s="1" t="s">
        <v>192</v>
      </c>
      <c r="FJ32" s="1" t="s">
        <v>686</v>
      </c>
      <c r="FK32" s="1" t="s">
        <v>229</v>
      </c>
      <c r="FL32" s="1" t="s">
        <v>1007</v>
      </c>
      <c r="FM32" s="1">
        <v>93043.0</v>
      </c>
      <c r="FN32" s="1" t="s">
        <v>1008</v>
      </c>
      <c r="FO32" s="1" t="s">
        <v>1009</v>
      </c>
      <c r="FP32" s="1">
        <v>930136.0</v>
      </c>
      <c r="FQ32" s="1" t="s">
        <v>1010</v>
      </c>
      <c r="FU32" s="1" t="s">
        <v>1011</v>
      </c>
      <c r="FV32" s="1" t="s">
        <v>200</v>
      </c>
      <c r="FW32" s="1" t="s">
        <v>1012</v>
      </c>
      <c r="FZ32" s="1" t="s">
        <v>229</v>
      </c>
      <c r="GA32" s="1" t="s">
        <v>291</v>
      </c>
      <c r="GB32" s="2">
        <v>41992.0</v>
      </c>
      <c r="GC32" s="1" t="s">
        <v>1013</v>
      </c>
    </row>
    <row r="33">
      <c r="A33" s="1">
        <v>387424.0</v>
      </c>
      <c r="B33" s="1" t="s">
        <v>185</v>
      </c>
      <c r="C33" s="1" t="str">
        <f>"08758714"</f>
        <v>08758714</v>
      </c>
      <c r="D33" s="1" t="s">
        <v>186</v>
      </c>
      <c r="F33" s="1" t="str">
        <f>"123"</f>
        <v>123</v>
      </c>
      <c r="G33" s="2">
        <v>41934.0</v>
      </c>
      <c r="H33" s="1">
        <v>387424.0</v>
      </c>
      <c r="I33" s="1">
        <v>1.0</v>
      </c>
      <c r="J33" s="1">
        <v>387424.0</v>
      </c>
      <c r="K33" s="2">
        <v>41932.0</v>
      </c>
      <c r="L33" s="1">
        <v>1.0</v>
      </c>
      <c r="M33" s="2">
        <v>41932.0</v>
      </c>
      <c r="N33" s="1" t="s">
        <v>187</v>
      </c>
      <c r="O33" s="2">
        <v>41977.0</v>
      </c>
      <c r="P33" s="1">
        <v>70398.0</v>
      </c>
      <c r="Q33" s="1">
        <v>222.0</v>
      </c>
      <c r="S33" s="1">
        <v>4102.0</v>
      </c>
      <c r="T33" s="1" t="s">
        <v>1014</v>
      </c>
      <c r="U33" s="1" t="s">
        <v>1015</v>
      </c>
      <c r="V33" s="1" t="s">
        <v>465</v>
      </c>
      <c r="W33" s="1">
        <v>60124.0</v>
      </c>
      <c r="Y33" s="1" t="s">
        <v>1016</v>
      </c>
      <c r="Z33" s="1">
        <v>2014.0</v>
      </c>
      <c r="AA33" s="1" t="s">
        <v>200</v>
      </c>
      <c r="AB33" s="1" t="s">
        <v>193</v>
      </c>
      <c r="AC33" s="1" t="s">
        <v>1017</v>
      </c>
      <c r="AD33" s="1" t="s">
        <v>469</v>
      </c>
      <c r="AE33" s="1" t="s">
        <v>325</v>
      </c>
      <c r="AF33" s="1" t="s">
        <v>572</v>
      </c>
      <c r="AG33" s="1" t="s">
        <v>1018</v>
      </c>
      <c r="AH33" s="1">
        <v>10000.0</v>
      </c>
      <c r="AK33" s="1">
        <v>11.0</v>
      </c>
      <c r="AL33" s="1">
        <v>4.0</v>
      </c>
      <c r="AM33" s="1">
        <v>4.0</v>
      </c>
      <c r="AN33" s="1">
        <v>0.0</v>
      </c>
      <c r="AO33" s="1" t="s">
        <v>198</v>
      </c>
      <c r="AP33" s="1">
        <v>1.0</v>
      </c>
      <c r="AQ33" s="1" t="s">
        <v>198</v>
      </c>
      <c r="AR33" s="1" t="s">
        <v>200</v>
      </c>
      <c r="AS33" s="1" t="s">
        <v>199</v>
      </c>
      <c r="AT33" s="1">
        <v>3.0</v>
      </c>
      <c r="AV33" s="1" t="s">
        <v>200</v>
      </c>
      <c r="AW33" s="1">
        <v>0.0</v>
      </c>
      <c r="AX33" s="1">
        <v>2013.0</v>
      </c>
      <c r="AY33" s="1" t="s">
        <v>229</v>
      </c>
      <c r="AZ33" s="1" t="s">
        <v>200</v>
      </c>
      <c r="BA33" s="1" t="str">
        <f>"0111111111"</f>
        <v>0111111111</v>
      </c>
      <c r="BB33" s="1" t="s">
        <v>200</v>
      </c>
      <c r="BC33" s="1">
        <v>3800.0</v>
      </c>
      <c r="BD33" s="1">
        <v>387424.0</v>
      </c>
      <c r="BE33" s="2">
        <v>41932.0</v>
      </c>
      <c r="BF33" s="1" t="s">
        <v>1019</v>
      </c>
      <c r="BG33" s="1" t="s">
        <v>577</v>
      </c>
      <c r="BH33" s="1">
        <v>45.0</v>
      </c>
      <c r="BI33" s="1" t="s">
        <v>578</v>
      </c>
      <c r="BJ33" s="1" t="s">
        <v>579</v>
      </c>
      <c r="BK33" s="1" t="s">
        <v>474</v>
      </c>
      <c r="BL33" s="1" t="str">
        <f t="shared" ref="BL33:BM33" si="20">""</f>
        <v/>
      </c>
      <c r="BM33" s="1" t="str">
        <f t="shared" si="20"/>
        <v/>
      </c>
      <c r="BQ33" s="1">
        <v>301.0</v>
      </c>
      <c r="BR33" s="1">
        <v>301.0</v>
      </c>
      <c r="BS33" s="1">
        <v>301.0</v>
      </c>
      <c r="BU33" s="1" t="s">
        <v>332</v>
      </c>
      <c r="BV33" s="1" t="s">
        <v>206</v>
      </c>
      <c r="BW33" s="1" t="s">
        <v>210</v>
      </c>
      <c r="BY33" s="1" t="s">
        <v>676</v>
      </c>
      <c r="BZ33" s="1" t="s">
        <v>209</v>
      </c>
      <c r="CA33" s="1" t="s">
        <v>210</v>
      </c>
      <c r="CC33" s="1" t="s">
        <v>215</v>
      </c>
      <c r="CD33" s="1" t="s">
        <v>206</v>
      </c>
      <c r="CE33" s="1" t="s">
        <v>210</v>
      </c>
      <c r="CG33" s="1" t="s">
        <v>361</v>
      </c>
      <c r="CH33" s="1" t="s">
        <v>209</v>
      </c>
      <c r="CI33" s="1" t="s">
        <v>210</v>
      </c>
      <c r="CK33" s="1" t="s">
        <v>302</v>
      </c>
      <c r="CL33" s="1" t="s">
        <v>209</v>
      </c>
      <c r="CM33" s="1" t="s">
        <v>210</v>
      </c>
      <c r="CO33" s="1" t="s">
        <v>212</v>
      </c>
      <c r="CP33" s="1" t="s">
        <v>209</v>
      </c>
      <c r="CQ33" s="1" t="s">
        <v>210</v>
      </c>
      <c r="CS33" s="1" t="s">
        <v>214</v>
      </c>
      <c r="CT33" s="1" t="s">
        <v>206</v>
      </c>
      <c r="CU33" s="1" t="s">
        <v>617</v>
      </c>
      <c r="CW33" s="1" t="s">
        <v>334</v>
      </c>
      <c r="CX33" s="1" t="s">
        <v>206</v>
      </c>
      <c r="CY33" s="1" t="s">
        <v>210</v>
      </c>
      <c r="DA33" s="1" t="s">
        <v>192</v>
      </c>
      <c r="DB33" s="2">
        <v>41958.0</v>
      </c>
      <c r="DC33" s="1" t="s">
        <v>744</v>
      </c>
      <c r="DD33" s="1" t="s">
        <v>336</v>
      </c>
      <c r="DE33" s="1" t="s">
        <v>229</v>
      </c>
      <c r="DF33" s="1" t="s">
        <v>219</v>
      </c>
      <c r="DG33" s="1" t="s">
        <v>1020</v>
      </c>
      <c r="DH33" s="1" t="s">
        <v>220</v>
      </c>
      <c r="DI33" s="1" t="s">
        <v>1021</v>
      </c>
      <c r="DJ33" s="1" t="s">
        <v>222</v>
      </c>
      <c r="DK33" s="1" t="s">
        <v>223</v>
      </c>
      <c r="DL33" s="1" t="s">
        <v>223</v>
      </c>
      <c r="DM33" s="1" t="s">
        <v>1022</v>
      </c>
      <c r="DN33" s="1" t="s">
        <v>1023</v>
      </c>
      <c r="DO33" s="1" t="s">
        <v>486</v>
      </c>
      <c r="DP33" s="1" t="s">
        <v>276</v>
      </c>
      <c r="DQ33" s="1" t="s">
        <v>228</v>
      </c>
      <c r="DR33" s="1" t="s">
        <v>229</v>
      </c>
      <c r="DS33" s="1" t="s">
        <v>368</v>
      </c>
      <c r="DU33" s="1" t="s">
        <v>1024</v>
      </c>
      <c r="DV33" s="1" t="s">
        <v>1025</v>
      </c>
      <c r="DW33" s="1" t="s">
        <v>1026</v>
      </c>
      <c r="DX33" s="1" t="s">
        <v>234</v>
      </c>
      <c r="DY33" s="1" t="s">
        <v>1006</v>
      </c>
      <c r="DZ33" s="1" t="s">
        <v>310</v>
      </c>
      <c r="EA33" s="1" t="s">
        <v>1027</v>
      </c>
      <c r="EB33" s="1" t="s">
        <v>345</v>
      </c>
      <c r="EC33" s="1" t="s">
        <v>237</v>
      </c>
      <c r="EG33" s="1" t="s">
        <v>556</v>
      </c>
      <c r="EH33" s="1" t="s">
        <v>1028</v>
      </c>
      <c r="EI33" s="1" t="s">
        <v>598</v>
      </c>
      <c r="EL33" s="1" t="s">
        <v>582</v>
      </c>
      <c r="EM33" s="1" t="s">
        <v>206</v>
      </c>
      <c r="EN33" s="1" t="s">
        <v>617</v>
      </c>
      <c r="EP33" s="1" t="s">
        <v>331</v>
      </c>
      <c r="EQ33" s="1" t="s">
        <v>206</v>
      </c>
      <c r="ER33" s="1" t="s">
        <v>210</v>
      </c>
      <c r="ET33" s="1" t="s">
        <v>1029</v>
      </c>
      <c r="EU33" s="1" t="s">
        <v>206</v>
      </c>
      <c r="EV33" s="1" t="s">
        <v>210</v>
      </c>
      <c r="EY33" s="1" t="s">
        <v>238</v>
      </c>
      <c r="FC33" s="1" t="s">
        <v>238</v>
      </c>
      <c r="FF33" s="1" t="s">
        <v>239</v>
      </c>
      <c r="FG33" s="1" t="s">
        <v>192</v>
      </c>
      <c r="FH33" s="1" t="s">
        <v>192</v>
      </c>
      <c r="FJ33" s="1" t="s">
        <v>1030</v>
      </c>
      <c r="FK33" s="1" t="s">
        <v>229</v>
      </c>
      <c r="FL33" s="1" t="s">
        <v>1031</v>
      </c>
      <c r="FM33" s="1">
        <v>222.0</v>
      </c>
      <c r="FN33" s="1" t="s">
        <v>1032</v>
      </c>
      <c r="FO33" s="1" t="s">
        <v>1033</v>
      </c>
      <c r="FP33" s="1">
        <v>1305.0</v>
      </c>
      <c r="FQ33" s="1" t="s">
        <v>1034</v>
      </c>
      <c r="FT33" s="1" t="s">
        <v>1035</v>
      </c>
      <c r="FU33" s="1" t="s">
        <v>1036</v>
      </c>
      <c r="FV33" s="1" t="s">
        <v>200</v>
      </c>
      <c r="FW33" s="1" t="s">
        <v>1037</v>
      </c>
      <c r="FZ33" s="1" t="s">
        <v>229</v>
      </c>
      <c r="GA33" s="1" t="s">
        <v>291</v>
      </c>
      <c r="GB33" s="2">
        <v>41978.0</v>
      </c>
      <c r="GC33" s="1" t="s">
        <v>1038</v>
      </c>
    </row>
    <row r="34">
      <c r="A34" s="1">
        <v>523900.0</v>
      </c>
      <c r="B34" s="1" t="s">
        <v>185</v>
      </c>
      <c r="C34" s="1" t="str">
        <f>"08755616"</f>
        <v>08755616</v>
      </c>
      <c r="D34" s="1" t="s">
        <v>186</v>
      </c>
      <c r="F34" s="1" t="str">
        <f>"134"</f>
        <v>134</v>
      </c>
      <c r="G34" s="2">
        <v>41929.0</v>
      </c>
      <c r="H34" s="1">
        <v>539900.0</v>
      </c>
      <c r="I34" s="1">
        <v>33.0</v>
      </c>
      <c r="J34" s="1">
        <v>539900.0</v>
      </c>
      <c r="K34" s="2">
        <v>41961.0</v>
      </c>
      <c r="L34" s="1">
        <v>33.0</v>
      </c>
      <c r="M34" s="2">
        <v>41961.0</v>
      </c>
      <c r="N34" s="1" t="s">
        <v>187</v>
      </c>
      <c r="O34" s="2">
        <v>42006.0</v>
      </c>
      <c r="P34" s="1">
        <v>347.0</v>
      </c>
      <c r="Q34" s="1">
        <v>358.0</v>
      </c>
      <c r="S34" s="1">
        <v>772.0</v>
      </c>
      <c r="T34" s="1" t="s">
        <v>1039</v>
      </c>
      <c r="U34" s="1" t="s">
        <v>569</v>
      </c>
      <c r="V34" s="1" t="s">
        <v>421</v>
      </c>
      <c r="W34" s="1">
        <v>60134.0</v>
      </c>
      <c r="Y34" s="1" t="s">
        <v>1040</v>
      </c>
      <c r="Z34" s="1">
        <v>2012.0</v>
      </c>
      <c r="AA34" s="1" t="s">
        <v>200</v>
      </c>
      <c r="AB34" s="1" t="s">
        <v>193</v>
      </c>
      <c r="AC34" s="1" t="s">
        <v>1039</v>
      </c>
      <c r="AD34" s="1" t="s">
        <v>424</v>
      </c>
      <c r="AE34" s="1" t="s">
        <v>325</v>
      </c>
      <c r="AF34" s="1" t="s">
        <v>424</v>
      </c>
      <c r="AH34" s="1" t="s">
        <v>1041</v>
      </c>
      <c r="AK34" s="1">
        <v>8.0</v>
      </c>
      <c r="AL34" s="1">
        <v>4.0</v>
      </c>
      <c r="AM34" s="1">
        <v>3.0</v>
      </c>
      <c r="AN34" s="1">
        <v>2.0</v>
      </c>
      <c r="AO34" s="1" t="s">
        <v>198</v>
      </c>
      <c r="AP34" s="1">
        <v>1.0</v>
      </c>
      <c r="AQ34" s="1" t="s">
        <v>327</v>
      </c>
      <c r="AR34" s="1" t="s">
        <v>192</v>
      </c>
      <c r="AS34" s="1" t="s">
        <v>199</v>
      </c>
      <c r="AT34" s="1">
        <v>3.0</v>
      </c>
      <c r="AV34" s="1" t="s">
        <v>200</v>
      </c>
      <c r="AW34" s="4">
        <v>8839.9</v>
      </c>
      <c r="AX34" s="1">
        <v>2013.0</v>
      </c>
      <c r="AZ34" s="1" t="s">
        <v>200</v>
      </c>
      <c r="BA34" s="1" t="str">
        <f>"1210277009"</f>
        <v>1210277009</v>
      </c>
      <c r="BC34" s="1">
        <v>3500.0</v>
      </c>
      <c r="BD34" s="1">
        <v>523900.0</v>
      </c>
      <c r="BE34" s="2">
        <v>41929.0</v>
      </c>
      <c r="BF34" s="2" t="s">
        <v>1042</v>
      </c>
      <c r="BH34" s="1">
        <v>350.0</v>
      </c>
      <c r="BK34" s="1" t="s">
        <v>580</v>
      </c>
      <c r="BL34" s="1" t="str">
        <f t="shared" ref="BL34:BM34" si="21">""</f>
        <v/>
      </c>
      <c r="BM34" s="1" t="str">
        <f t="shared" si="21"/>
        <v/>
      </c>
      <c r="BQ34" s="1">
        <v>304.0</v>
      </c>
      <c r="BR34" s="1">
        <v>304.0</v>
      </c>
      <c r="BS34" s="1">
        <v>304.0</v>
      </c>
      <c r="BV34" s="1" t="s">
        <v>204</v>
      </c>
      <c r="BY34" s="1" t="s">
        <v>496</v>
      </c>
      <c r="BZ34" s="1" t="s">
        <v>209</v>
      </c>
      <c r="CA34" s="1" t="s">
        <v>210</v>
      </c>
      <c r="CB34" s="1" t="s">
        <v>229</v>
      </c>
      <c r="CC34" s="1" t="s">
        <v>1043</v>
      </c>
      <c r="CD34" s="1" t="s">
        <v>206</v>
      </c>
      <c r="CE34" s="1" t="s">
        <v>207</v>
      </c>
      <c r="CF34" s="1" t="s">
        <v>229</v>
      </c>
      <c r="CG34" s="1" t="s">
        <v>332</v>
      </c>
      <c r="CH34" s="1" t="s">
        <v>209</v>
      </c>
      <c r="CI34" s="1" t="s">
        <v>210</v>
      </c>
      <c r="CJ34" s="1" t="s">
        <v>229</v>
      </c>
      <c r="CK34" s="1" t="s">
        <v>332</v>
      </c>
      <c r="CL34" s="1" t="s">
        <v>209</v>
      </c>
      <c r="CM34" s="1" t="s">
        <v>210</v>
      </c>
      <c r="CN34" s="1" t="s">
        <v>229</v>
      </c>
      <c r="CO34" s="1" t="s">
        <v>262</v>
      </c>
      <c r="CP34" s="1" t="s">
        <v>209</v>
      </c>
      <c r="CQ34" s="1" t="s">
        <v>210</v>
      </c>
      <c r="CR34" s="1" t="s">
        <v>229</v>
      </c>
      <c r="CS34" s="1" t="s">
        <v>1044</v>
      </c>
      <c r="CT34" s="1" t="s">
        <v>206</v>
      </c>
      <c r="CU34" s="1" t="s">
        <v>207</v>
      </c>
      <c r="CV34" s="1" t="s">
        <v>229</v>
      </c>
      <c r="CW34" s="1" t="s">
        <v>1045</v>
      </c>
      <c r="CX34" s="1" t="s">
        <v>206</v>
      </c>
      <c r="CY34" s="1" t="s">
        <v>207</v>
      </c>
      <c r="CZ34" s="1" t="s">
        <v>229</v>
      </c>
      <c r="DA34" s="1" t="s">
        <v>200</v>
      </c>
      <c r="DC34" s="1" t="s">
        <v>1046</v>
      </c>
      <c r="DD34" s="1" t="s">
        <v>217</v>
      </c>
      <c r="DE34" s="1" t="s">
        <v>218</v>
      </c>
      <c r="DF34" s="1" t="s">
        <v>219</v>
      </c>
      <c r="DH34" s="1" t="s">
        <v>220</v>
      </c>
      <c r="DI34" s="1" t="s">
        <v>1047</v>
      </c>
      <c r="DJ34" s="1" t="s">
        <v>1048</v>
      </c>
      <c r="DL34" s="1" t="s">
        <v>224</v>
      </c>
      <c r="DM34" s="1" t="s">
        <v>229</v>
      </c>
      <c r="DN34" s="1" t="s">
        <v>399</v>
      </c>
      <c r="DP34" s="1" t="s">
        <v>340</v>
      </c>
      <c r="DQ34" s="1" t="s">
        <v>441</v>
      </c>
      <c r="DR34" s="1" t="s">
        <v>229</v>
      </c>
      <c r="DS34" s="1" t="s">
        <v>591</v>
      </c>
      <c r="DU34" s="1" t="s">
        <v>1049</v>
      </c>
      <c r="DV34" s="1" t="s">
        <v>1050</v>
      </c>
      <c r="DW34" s="1" t="s">
        <v>1026</v>
      </c>
      <c r="DX34" s="1" t="s">
        <v>234</v>
      </c>
      <c r="DY34" s="1" t="s">
        <v>1051</v>
      </c>
      <c r="DZ34" s="1" t="s">
        <v>766</v>
      </c>
      <c r="EB34" s="1" t="s">
        <v>937</v>
      </c>
      <c r="EC34" s="1" t="s">
        <v>237</v>
      </c>
      <c r="ED34" s="1" t="s">
        <v>555</v>
      </c>
      <c r="EG34" s="1" t="s">
        <v>1028</v>
      </c>
      <c r="EH34" s="1" t="s">
        <v>720</v>
      </c>
      <c r="EL34" s="1" t="s">
        <v>699</v>
      </c>
      <c r="EM34" s="1" t="s">
        <v>206</v>
      </c>
      <c r="EN34" s="1" t="s">
        <v>207</v>
      </c>
      <c r="EO34" s="1" t="s">
        <v>229</v>
      </c>
      <c r="EP34" s="1" t="s">
        <v>1052</v>
      </c>
      <c r="EQ34" s="1" t="s">
        <v>206</v>
      </c>
      <c r="ER34" s="1" t="s">
        <v>207</v>
      </c>
      <c r="ES34" s="1" t="s">
        <v>229</v>
      </c>
      <c r="EU34" s="1" t="s">
        <v>238</v>
      </c>
      <c r="EY34" s="1" t="s">
        <v>238</v>
      </c>
      <c r="FC34" s="1" t="s">
        <v>238</v>
      </c>
      <c r="FF34" s="1" t="s">
        <v>239</v>
      </c>
      <c r="FG34" s="1" t="s">
        <v>200</v>
      </c>
      <c r="FH34" s="1" t="s">
        <v>200</v>
      </c>
      <c r="FJ34" s="1" t="s">
        <v>1053</v>
      </c>
      <c r="FK34" s="1" t="s">
        <v>229</v>
      </c>
      <c r="FL34" s="1" t="s">
        <v>1054</v>
      </c>
      <c r="FM34" s="1">
        <v>191.0</v>
      </c>
      <c r="FN34" s="1" t="s">
        <v>1055</v>
      </c>
      <c r="FO34" s="1" t="s">
        <v>1056</v>
      </c>
      <c r="FP34" s="1">
        <v>593.0</v>
      </c>
      <c r="FU34" s="1" t="s">
        <v>1057</v>
      </c>
      <c r="FV34" s="1" t="s">
        <v>200</v>
      </c>
      <c r="FW34" s="1" t="s">
        <v>1058</v>
      </c>
      <c r="FZ34" s="1" t="s">
        <v>229</v>
      </c>
      <c r="GA34" s="1" t="s">
        <v>291</v>
      </c>
      <c r="GB34" s="2">
        <v>42009.0</v>
      </c>
    </row>
    <row r="35">
      <c r="A35" s="1">
        <v>285000.0</v>
      </c>
      <c r="B35" s="1" t="s">
        <v>185</v>
      </c>
      <c r="C35" s="1" t="str">
        <f>"08762958"</f>
        <v>08762958</v>
      </c>
      <c r="D35" s="1" t="s">
        <v>186</v>
      </c>
      <c r="F35" s="1" t="str">
        <f>"123"</f>
        <v>123</v>
      </c>
      <c r="G35" s="2">
        <v>41940.0</v>
      </c>
      <c r="H35" s="1">
        <v>289000.0</v>
      </c>
      <c r="I35" s="1">
        <v>112.0</v>
      </c>
      <c r="J35" s="1">
        <v>289000.0</v>
      </c>
      <c r="K35" s="2">
        <v>41959.0</v>
      </c>
      <c r="L35" s="1">
        <v>23.0</v>
      </c>
      <c r="M35" s="2">
        <v>41959.0</v>
      </c>
      <c r="N35" s="1" t="s">
        <v>356</v>
      </c>
      <c r="O35" s="2">
        <v>42012.0</v>
      </c>
      <c r="P35" s="1">
        <v>252282.0</v>
      </c>
      <c r="Q35" s="1">
        <v>25981.0</v>
      </c>
      <c r="S35" s="1">
        <v>209.0</v>
      </c>
      <c r="T35" s="1" t="s">
        <v>1059</v>
      </c>
      <c r="U35" s="1" t="s">
        <v>320</v>
      </c>
      <c r="V35" s="1" t="s">
        <v>465</v>
      </c>
      <c r="W35" s="1">
        <v>60123.0</v>
      </c>
      <c r="Y35" s="1" t="s">
        <v>1060</v>
      </c>
      <c r="Z35" s="1">
        <v>2000.0</v>
      </c>
      <c r="AA35" s="1" t="s">
        <v>200</v>
      </c>
      <c r="AB35" s="1" t="s">
        <v>193</v>
      </c>
      <c r="AD35" s="1" t="s">
        <v>469</v>
      </c>
      <c r="AE35" s="1" t="s">
        <v>325</v>
      </c>
      <c r="AF35" s="1" t="s">
        <v>469</v>
      </c>
      <c r="AG35" s="1" t="s">
        <v>752</v>
      </c>
      <c r="AH35" s="1" t="s">
        <v>1061</v>
      </c>
      <c r="AK35" s="1">
        <v>9.0</v>
      </c>
      <c r="AL35" s="1">
        <v>3.0</v>
      </c>
      <c r="AM35" s="1">
        <v>2.0</v>
      </c>
      <c r="AN35" s="1">
        <v>2.0</v>
      </c>
      <c r="AO35" s="1" t="s">
        <v>198</v>
      </c>
      <c r="AP35" s="1">
        <v>1.0</v>
      </c>
      <c r="AQ35" s="1" t="s">
        <v>198</v>
      </c>
      <c r="AR35" s="1" t="s">
        <v>192</v>
      </c>
      <c r="AS35" s="1" t="s">
        <v>199</v>
      </c>
      <c r="AT35" s="1">
        <v>3.0</v>
      </c>
      <c r="AV35" s="1" t="s">
        <v>200</v>
      </c>
      <c r="AW35" s="1">
        <v>7730.02</v>
      </c>
      <c r="AX35" s="1">
        <v>2013.0</v>
      </c>
      <c r="AY35" s="1" t="s">
        <v>387</v>
      </c>
      <c r="AZ35" s="1" t="s">
        <v>200</v>
      </c>
      <c r="BA35" s="1" t="str">
        <f>"0616276043"</f>
        <v>0616276043</v>
      </c>
      <c r="BB35" s="1" t="s">
        <v>200</v>
      </c>
      <c r="BC35" s="1">
        <v>2156.0</v>
      </c>
      <c r="BD35" s="1">
        <v>285000.0</v>
      </c>
      <c r="BE35" s="2">
        <v>41937.0</v>
      </c>
      <c r="BF35" s="2" t="s">
        <v>1062</v>
      </c>
      <c r="BH35" s="1">
        <v>0.0</v>
      </c>
      <c r="BK35" s="1" t="s">
        <v>204</v>
      </c>
      <c r="BL35" s="1" t="str">
        <f t="shared" ref="BL35:BM35" si="22">""</f>
        <v/>
      </c>
      <c r="BM35" s="1" t="str">
        <f t="shared" si="22"/>
        <v/>
      </c>
      <c r="BQ35" s="1">
        <v>46.0</v>
      </c>
      <c r="BR35" s="1">
        <v>46.0</v>
      </c>
      <c r="BS35" s="1">
        <v>46.0</v>
      </c>
      <c r="BU35" s="1" t="s">
        <v>496</v>
      </c>
      <c r="BV35" s="1" t="s">
        <v>206</v>
      </c>
      <c r="BW35" s="1" t="s">
        <v>210</v>
      </c>
      <c r="BX35" s="1" t="s">
        <v>239</v>
      </c>
      <c r="BY35" s="1" t="s">
        <v>1063</v>
      </c>
      <c r="BZ35" s="1" t="s">
        <v>206</v>
      </c>
      <c r="CA35" s="1" t="s">
        <v>210</v>
      </c>
      <c r="CB35" s="1" t="s">
        <v>239</v>
      </c>
      <c r="CC35" s="1" t="s">
        <v>1064</v>
      </c>
      <c r="CD35" s="1" t="s">
        <v>206</v>
      </c>
      <c r="CE35" s="1" t="s">
        <v>1065</v>
      </c>
      <c r="CF35" s="1" t="s">
        <v>239</v>
      </c>
      <c r="CG35" s="1" t="s">
        <v>1066</v>
      </c>
      <c r="CH35" s="1" t="s">
        <v>209</v>
      </c>
      <c r="CI35" s="1" t="s">
        <v>210</v>
      </c>
      <c r="CJ35" s="1" t="s">
        <v>239</v>
      </c>
      <c r="CK35" s="1" t="s">
        <v>1067</v>
      </c>
      <c r="CL35" s="1" t="s">
        <v>209</v>
      </c>
      <c r="CM35" s="1" t="s">
        <v>210</v>
      </c>
      <c r="CN35" s="1" t="s">
        <v>239</v>
      </c>
      <c r="CO35" s="1" t="s">
        <v>478</v>
      </c>
      <c r="CP35" s="1" t="s">
        <v>42</v>
      </c>
      <c r="CQ35" s="1" t="s">
        <v>210</v>
      </c>
      <c r="CR35" s="1" t="s">
        <v>229</v>
      </c>
      <c r="CS35" s="1" t="s">
        <v>1068</v>
      </c>
      <c r="CT35" s="1" t="s">
        <v>206</v>
      </c>
      <c r="CU35" s="1" t="s">
        <v>1065</v>
      </c>
      <c r="CV35" s="1" t="s">
        <v>431</v>
      </c>
      <c r="CW35" s="1" t="s">
        <v>1069</v>
      </c>
      <c r="CX35" s="1" t="s">
        <v>42</v>
      </c>
      <c r="CY35" s="1" t="s">
        <v>210</v>
      </c>
      <c r="CZ35" s="1" t="s">
        <v>229</v>
      </c>
      <c r="DA35" s="1" t="s">
        <v>200</v>
      </c>
      <c r="DC35" s="1" t="s">
        <v>335</v>
      </c>
      <c r="DD35" s="1" t="s">
        <v>217</v>
      </c>
      <c r="DE35" s="1" t="s">
        <v>273</v>
      </c>
      <c r="DF35" s="1" t="s">
        <v>219</v>
      </c>
      <c r="DG35" s="1" t="s">
        <v>337</v>
      </c>
      <c r="DH35" s="1" t="s">
        <v>220</v>
      </c>
      <c r="DI35" s="1" t="s">
        <v>1070</v>
      </c>
      <c r="DJ35" s="1" t="s">
        <v>222</v>
      </c>
      <c r="DK35" s="1" t="s">
        <v>960</v>
      </c>
      <c r="DL35" s="1" t="s">
        <v>224</v>
      </c>
      <c r="DM35" s="1" t="s">
        <v>929</v>
      </c>
      <c r="DN35" s="1" t="s">
        <v>439</v>
      </c>
      <c r="DO35" s="1" t="s">
        <v>717</v>
      </c>
      <c r="DP35" s="1" t="s">
        <v>340</v>
      </c>
      <c r="DQ35" s="1" t="s">
        <v>228</v>
      </c>
      <c r="DR35" s="1" t="s">
        <v>229</v>
      </c>
      <c r="DS35" s="1" t="s">
        <v>368</v>
      </c>
      <c r="DU35" s="1" t="s">
        <v>1071</v>
      </c>
      <c r="DV35" s="1" t="s">
        <v>450</v>
      </c>
      <c r="DW35" s="1" t="s">
        <v>1072</v>
      </c>
      <c r="DX35" s="1" t="s">
        <v>234</v>
      </c>
      <c r="DY35" s="1" t="s">
        <v>1073</v>
      </c>
      <c r="DZ35" s="1" t="s">
        <v>1074</v>
      </c>
      <c r="EA35" s="1" t="s">
        <v>1075</v>
      </c>
      <c r="EB35" s="1" t="s">
        <v>1076</v>
      </c>
      <c r="EC35" s="1" t="s">
        <v>237</v>
      </c>
      <c r="ED35" s="1" t="s">
        <v>864</v>
      </c>
      <c r="EE35" s="1" t="s">
        <v>1077</v>
      </c>
      <c r="EG35" s="1" t="s">
        <v>450</v>
      </c>
      <c r="EL35" s="1" t="s">
        <v>1078</v>
      </c>
      <c r="EM35" s="1" t="s">
        <v>42</v>
      </c>
      <c r="EN35" s="1" t="s">
        <v>210</v>
      </c>
      <c r="EQ35" s="1" t="s">
        <v>238</v>
      </c>
      <c r="EU35" s="1" t="s">
        <v>238</v>
      </c>
      <c r="EY35" s="1" t="s">
        <v>238</v>
      </c>
      <c r="FC35" s="1" t="s">
        <v>238</v>
      </c>
      <c r="FF35" s="1" t="s">
        <v>239</v>
      </c>
      <c r="FG35" s="1" t="s">
        <v>192</v>
      </c>
      <c r="FH35" s="1" t="s">
        <v>192</v>
      </c>
      <c r="FJ35" s="1" t="s">
        <v>1079</v>
      </c>
      <c r="FK35" s="1" t="s">
        <v>348</v>
      </c>
      <c r="FL35" s="1" t="s">
        <v>906</v>
      </c>
      <c r="FM35" s="1">
        <v>5105.0</v>
      </c>
      <c r="FN35" s="1" t="s">
        <v>907</v>
      </c>
      <c r="FO35" s="1" t="s">
        <v>1080</v>
      </c>
      <c r="FP35" s="1">
        <v>55873.0</v>
      </c>
      <c r="FS35" s="1" t="s">
        <v>1081</v>
      </c>
      <c r="FU35" s="1" t="s">
        <v>1082</v>
      </c>
      <c r="FV35" s="1" t="s">
        <v>200</v>
      </c>
      <c r="FW35" s="1" t="s">
        <v>290</v>
      </c>
      <c r="FX35" s="1" t="s">
        <v>238</v>
      </c>
      <c r="FZ35" s="1" t="s">
        <v>229</v>
      </c>
      <c r="GA35" s="1" t="s">
        <v>291</v>
      </c>
      <c r="GB35" s="2">
        <v>42013.0</v>
      </c>
      <c r="GC35" s="1" t="s">
        <v>1083</v>
      </c>
    </row>
    <row r="36">
      <c r="A36" s="1">
        <v>299900.0</v>
      </c>
      <c r="B36" s="1" t="s">
        <v>185</v>
      </c>
      <c r="C36" s="1" t="str">
        <f>"08759169"</f>
        <v>08759169</v>
      </c>
      <c r="D36" s="1" t="s">
        <v>186</v>
      </c>
      <c r="F36" s="1" t="str">
        <f>"118"</f>
        <v>118</v>
      </c>
      <c r="G36" s="2">
        <v>41934.0</v>
      </c>
      <c r="H36" s="1">
        <v>299900.0</v>
      </c>
      <c r="I36" s="1">
        <v>5.0</v>
      </c>
      <c r="J36" s="1">
        <v>299900.0</v>
      </c>
      <c r="K36" s="2">
        <v>41938.0</v>
      </c>
      <c r="L36" s="1">
        <v>5.0</v>
      </c>
      <c r="M36" s="2">
        <v>41938.0</v>
      </c>
      <c r="N36" s="1" t="s">
        <v>249</v>
      </c>
      <c r="O36" s="2">
        <v>41988.0</v>
      </c>
      <c r="P36" s="1">
        <v>53182.0</v>
      </c>
      <c r="Q36" s="1">
        <v>5105.0</v>
      </c>
      <c r="S36" s="1" t="s">
        <v>1084</v>
      </c>
      <c r="T36" s="1" t="s">
        <v>1085</v>
      </c>
      <c r="U36" s="1" t="s">
        <v>569</v>
      </c>
      <c r="V36" s="1" t="s">
        <v>1086</v>
      </c>
      <c r="W36" s="1">
        <v>60118.0</v>
      </c>
      <c r="X36" s="1">
        <v>3105.0</v>
      </c>
      <c r="Y36" s="1" t="s">
        <v>1087</v>
      </c>
      <c r="Z36" s="1">
        <v>1974.0</v>
      </c>
      <c r="AA36" s="1" t="s">
        <v>192</v>
      </c>
      <c r="AB36" s="1" t="s">
        <v>193</v>
      </c>
      <c r="AC36" s="1" t="s">
        <v>1088</v>
      </c>
      <c r="AD36" s="1" t="s">
        <v>1089</v>
      </c>
      <c r="AE36" s="1" t="s">
        <v>325</v>
      </c>
      <c r="AF36" s="1" t="s">
        <v>810</v>
      </c>
      <c r="AH36" s="1" t="s">
        <v>1090</v>
      </c>
      <c r="AI36" s="1">
        <v>1.06</v>
      </c>
      <c r="AK36" s="1">
        <v>10.0</v>
      </c>
      <c r="AL36" s="1">
        <v>4.0</v>
      </c>
      <c r="AM36" s="1">
        <v>2.0</v>
      </c>
      <c r="AN36" s="1">
        <v>1.0</v>
      </c>
      <c r="AO36" s="1" t="s">
        <v>198</v>
      </c>
      <c r="AP36" s="1">
        <v>3.0</v>
      </c>
      <c r="AQ36" s="1" t="s">
        <v>198</v>
      </c>
      <c r="AR36" s="1" t="s">
        <v>200</v>
      </c>
      <c r="AS36" s="1" t="s">
        <v>199</v>
      </c>
      <c r="AT36" s="1">
        <v>2.0</v>
      </c>
      <c r="AV36" s="1" t="s">
        <v>200</v>
      </c>
      <c r="AW36" s="1">
        <v>9963.0</v>
      </c>
      <c r="AX36" s="1">
        <v>2012.0</v>
      </c>
      <c r="AY36" s="1" t="s">
        <v>387</v>
      </c>
      <c r="AZ36" s="1" t="s">
        <v>200</v>
      </c>
      <c r="BA36" s="1" t="str">
        <f>"0333276008"</f>
        <v>0333276008</v>
      </c>
      <c r="BB36" s="1" t="s">
        <v>200</v>
      </c>
      <c r="BC36" s="1">
        <v>2519.0</v>
      </c>
      <c r="BD36" s="1">
        <v>299900.0</v>
      </c>
      <c r="BE36" s="2">
        <v>41934.0</v>
      </c>
      <c r="BF36" s="2" t="s">
        <v>1091</v>
      </c>
      <c r="BG36" s="1" t="s">
        <v>1092</v>
      </c>
      <c r="BH36" s="1">
        <v>60.0</v>
      </c>
      <c r="BI36" s="1" t="s">
        <v>1093</v>
      </c>
      <c r="BJ36" s="1" t="s">
        <v>1094</v>
      </c>
      <c r="BK36" s="1" t="s">
        <v>580</v>
      </c>
      <c r="BL36" s="1" t="str">
        <f t="shared" ref="BL36:BM36" si="23">"0"</f>
        <v>0</v>
      </c>
      <c r="BM36" s="1" t="str">
        <f t="shared" si="23"/>
        <v>0</v>
      </c>
      <c r="BN36" s="1">
        <v>0.0</v>
      </c>
      <c r="BO36" s="1">
        <v>0.0</v>
      </c>
      <c r="BQ36" s="1">
        <v>300.0</v>
      </c>
      <c r="BR36" s="1">
        <v>300.0</v>
      </c>
      <c r="BS36" s="1">
        <v>300.0</v>
      </c>
      <c r="BU36" s="1" t="s">
        <v>758</v>
      </c>
      <c r="BV36" s="1" t="s">
        <v>206</v>
      </c>
      <c r="BW36" s="1" t="s">
        <v>210</v>
      </c>
      <c r="BY36" s="1" t="s">
        <v>616</v>
      </c>
      <c r="BZ36" s="1" t="s">
        <v>206</v>
      </c>
      <c r="CA36" s="1" t="s">
        <v>210</v>
      </c>
      <c r="CC36" s="1" t="s">
        <v>215</v>
      </c>
      <c r="CD36" s="1" t="s">
        <v>206</v>
      </c>
      <c r="CE36" s="1" t="s">
        <v>210</v>
      </c>
      <c r="CG36" s="1" t="s">
        <v>329</v>
      </c>
      <c r="CH36" s="1" t="s">
        <v>206</v>
      </c>
      <c r="CI36" s="1" t="s">
        <v>210</v>
      </c>
      <c r="CK36" s="1" t="s">
        <v>215</v>
      </c>
      <c r="CL36" s="1" t="s">
        <v>206</v>
      </c>
      <c r="CM36" s="1" t="s">
        <v>210</v>
      </c>
      <c r="CO36" s="1" t="s">
        <v>332</v>
      </c>
      <c r="CP36" s="1" t="s">
        <v>206</v>
      </c>
      <c r="CQ36" s="1" t="s">
        <v>210</v>
      </c>
      <c r="CS36" s="1" t="s">
        <v>453</v>
      </c>
      <c r="CT36" s="1" t="s">
        <v>206</v>
      </c>
      <c r="CU36" s="1" t="s">
        <v>207</v>
      </c>
      <c r="CW36" s="1" t="s">
        <v>213</v>
      </c>
      <c r="CX36" s="1" t="s">
        <v>206</v>
      </c>
      <c r="CY36" s="1" t="s">
        <v>207</v>
      </c>
      <c r="DA36" s="1" t="s">
        <v>200</v>
      </c>
      <c r="DC36" s="1" t="s">
        <v>395</v>
      </c>
      <c r="DD36" s="1" t="s">
        <v>272</v>
      </c>
      <c r="DE36" s="1" t="s">
        <v>273</v>
      </c>
      <c r="DF36" s="1" t="s">
        <v>219</v>
      </c>
      <c r="DG36" s="1" t="s">
        <v>1095</v>
      </c>
      <c r="DH36" s="1" t="s">
        <v>856</v>
      </c>
      <c r="DI36" s="1" t="s">
        <v>1096</v>
      </c>
      <c r="DJ36" s="1" t="s">
        <v>857</v>
      </c>
      <c r="DL36" s="1" t="s">
        <v>224</v>
      </c>
      <c r="DM36" s="1" t="s">
        <v>1022</v>
      </c>
      <c r="DN36" s="1" t="s">
        <v>399</v>
      </c>
      <c r="DO36" s="1" t="s">
        <v>1097</v>
      </c>
      <c r="DP36" s="1" t="s">
        <v>340</v>
      </c>
      <c r="DQ36" s="1" t="s">
        <v>931</v>
      </c>
      <c r="DR36" s="1" t="s">
        <v>588</v>
      </c>
      <c r="DS36" s="1" t="s">
        <v>368</v>
      </c>
      <c r="DV36" s="1" t="s">
        <v>1098</v>
      </c>
      <c r="DW36" s="1" t="s">
        <v>764</v>
      </c>
      <c r="DX36" s="1" t="s">
        <v>234</v>
      </c>
      <c r="DY36" s="1" t="s">
        <v>1099</v>
      </c>
      <c r="DZ36" s="1" t="s">
        <v>1100</v>
      </c>
      <c r="EA36" s="1" t="s">
        <v>683</v>
      </c>
      <c r="EB36" s="1" t="s">
        <v>1101</v>
      </c>
      <c r="EC36" s="1" t="s">
        <v>685</v>
      </c>
      <c r="ED36" s="1" t="s">
        <v>407</v>
      </c>
      <c r="EE36" s="1" t="s">
        <v>493</v>
      </c>
      <c r="EG36" s="1" t="s">
        <v>408</v>
      </c>
      <c r="EH36" s="1" t="s">
        <v>1102</v>
      </c>
      <c r="EI36" s="1" t="s">
        <v>557</v>
      </c>
      <c r="EJ36" s="1" t="s">
        <v>450</v>
      </c>
      <c r="EK36" s="1" t="s">
        <v>1103</v>
      </c>
      <c r="EL36" s="1" t="s">
        <v>1104</v>
      </c>
      <c r="EM36" s="1" t="s">
        <v>206</v>
      </c>
      <c r="EN36" s="1" t="s">
        <v>1065</v>
      </c>
      <c r="EP36" s="1" t="s">
        <v>393</v>
      </c>
      <c r="EQ36" s="1" t="s">
        <v>206</v>
      </c>
      <c r="ER36" s="1" t="s">
        <v>207</v>
      </c>
      <c r="ET36" s="1" t="s">
        <v>264</v>
      </c>
      <c r="EU36" s="1" t="s">
        <v>42</v>
      </c>
      <c r="EV36" s="1" t="s">
        <v>588</v>
      </c>
      <c r="EX36" s="1" t="s">
        <v>1105</v>
      </c>
      <c r="EY36" s="1" t="s">
        <v>42</v>
      </c>
      <c r="EZ36" s="1" t="s">
        <v>210</v>
      </c>
      <c r="FB36" s="1" t="s">
        <v>1106</v>
      </c>
      <c r="FC36" s="1" t="s">
        <v>42</v>
      </c>
      <c r="FD36" s="1" t="s">
        <v>588</v>
      </c>
      <c r="FF36" s="1" t="s">
        <v>239</v>
      </c>
      <c r="FG36" s="1" t="s">
        <v>192</v>
      </c>
      <c r="FH36" s="1" t="s">
        <v>192</v>
      </c>
      <c r="FJ36" s="1" t="s">
        <v>524</v>
      </c>
      <c r="FK36" s="1" t="s">
        <v>229</v>
      </c>
      <c r="FL36" s="1" t="s">
        <v>1107</v>
      </c>
      <c r="FM36" s="1">
        <v>1891.0</v>
      </c>
      <c r="FN36" s="1" t="s">
        <v>1108</v>
      </c>
      <c r="FO36" s="1" t="s">
        <v>1109</v>
      </c>
      <c r="FP36" s="1">
        <v>923248.0</v>
      </c>
      <c r="FQ36" s="1" t="s">
        <v>1110</v>
      </c>
      <c r="FU36" s="1" t="s">
        <v>1111</v>
      </c>
      <c r="FV36" s="1" t="s">
        <v>200</v>
      </c>
      <c r="FW36" s="1" t="s">
        <v>290</v>
      </c>
      <c r="FZ36" s="1" t="s">
        <v>229</v>
      </c>
      <c r="GA36" s="1" t="s">
        <v>291</v>
      </c>
      <c r="GB36" s="2">
        <v>41988.0</v>
      </c>
      <c r="GC36" s="1" t="s">
        <v>1112</v>
      </c>
    </row>
    <row r="37">
      <c r="A37" s="1">
        <v>282500.0</v>
      </c>
      <c r="B37" s="1" t="s">
        <v>185</v>
      </c>
      <c r="C37" s="1" t="str">
        <f>"08758423"</f>
        <v>08758423</v>
      </c>
      <c r="D37" s="1" t="s">
        <v>186</v>
      </c>
      <c r="F37" s="1" t="str">
        <f>"8017"</f>
        <v>8017</v>
      </c>
      <c r="G37" s="2">
        <v>41933.0</v>
      </c>
      <c r="H37" s="1">
        <v>298500.0</v>
      </c>
      <c r="I37" s="1">
        <v>152.0</v>
      </c>
      <c r="J37" s="1">
        <v>289500.0</v>
      </c>
      <c r="K37" s="2">
        <v>42041.0</v>
      </c>
      <c r="L37" s="1">
        <v>109.0</v>
      </c>
      <c r="M37" s="2">
        <v>42041.0</v>
      </c>
      <c r="N37" s="1" t="s">
        <v>187</v>
      </c>
      <c r="O37" s="2">
        <v>42069.0</v>
      </c>
      <c r="P37" s="1">
        <v>114263.0</v>
      </c>
      <c r="Q37" s="1">
        <v>10646.0</v>
      </c>
      <c r="S37" s="1">
        <v>6034.0</v>
      </c>
      <c r="T37" s="1" t="s">
        <v>1113</v>
      </c>
      <c r="U37" s="1" t="s">
        <v>189</v>
      </c>
      <c r="V37" s="1" t="s">
        <v>190</v>
      </c>
      <c r="W37" s="1">
        <v>60634.0</v>
      </c>
      <c r="Y37" s="1" t="s">
        <v>1114</v>
      </c>
      <c r="Z37" s="1">
        <v>1948.0</v>
      </c>
      <c r="AA37" s="1" t="s">
        <v>192</v>
      </c>
      <c r="AB37" s="1" t="s">
        <v>193</v>
      </c>
      <c r="AD37" s="1" t="s">
        <v>194</v>
      </c>
      <c r="AE37" s="1" t="s">
        <v>195</v>
      </c>
      <c r="AF37" s="1" t="s">
        <v>196</v>
      </c>
      <c r="AH37" s="1" t="s">
        <v>1115</v>
      </c>
      <c r="AI37" s="1">
        <v>0.0868</v>
      </c>
      <c r="AK37" s="1">
        <v>8.0</v>
      </c>
      <c r="AL37" s="1">
        <v>4.0</v>
      </c>
      <c r="AM37" s="1">
        <v>2.0</v>
      </c>
      <c r="AN37" s="1">
        <v>0.0</v>
      </c>
      <c r="AO37" s="1" t="s">
        <v>198</v>
      </c>
      <c r="AQ37" s="1" t="s">
        <v>198</v>
      </c>
      <c r="AR37" s="1" t="s">
        <v>200</v>
      </c>
      <c r="AS37" s="1" t="s">
        <v>199</v>
      </c>
      <c r="AT37" s="1">
        <v>1.0</v>
      </c>
      <c r="AV37" s="1" t="s">
        <v>200</v>
      </c>
      <c r="AW37" s="1">
        <v>3826.26</v>
      </c>
      <c r="AX37" s="1">
        <v>2013.0</v>
      </c>
      <c r="AY37" s="1" t="s">
        <v>387</v>
      </c>
      <c r="AZ37" s="1" t="s">
        <v>200</v>
      </c>
      <c r="BA37" s="1" t="str">
        <f>"13203070270000"</f>
        <v>13203070270000</v>
      </c>
      <c r="BB37" s="1" t="s">
        <v>200</v>
      </c>
      <c r="BC37" s="1">
        <v>1800.0</v>
      </c>
      <c r="BD37" s="1">
        <v>282500.0</v>
      </c>
      <c r="BE37" s="2">
        <v>41933.0</v>
      </c>
      <c r="BF37" s="2" t="s">
        <v>1116</v>
      </c>
      <c r="BH37" s="1">
        <v>0.0</v>
      </c>
      <c r="BK37" s="1" t="s">
        <v>204</v>
      </c>
      <c r="BL37" s="1" t="str">
        <f>"3500"</f>
        <v>3500</v>
      </c>
      <c r="BM37" s="1" t="str">
        <f t="shared" ref="BM37:BM38" si="24">"0"</f>
        <v>0</v>
      </c>
      <c r="BN37" s="1">
        <v>6034.0</v>
      </c>
      <c r="BO37" s="1">
        <v>0.0</v>
      </c>
      <c r="BQ37" s="1">
        <v>299.0</v>
      </c>
      <c r="BR37" s="1">
        <v>299.0</v>
      </c>
      <c r="BS37" s="1">
        <v>299.0</v>
      </c>
      <c r="BU37" s="1" t="s">
        <v>1117</v>
      </c>
      <c r="BV37" s="1" t="s">
        <v>206</v>
      </c>
      <c r="BW37" s="1" t="s">
        <v>207</v>
      </c>
      <c r="BX37" s="1" t="s">
        <v>1118</v>
      </c>
      <c r="BY37" s="1" t="s">
        <v>453</v>
      </c>
      <c r="BZ37" s="1" t="s">
        <v>209</v>
      </c>
      <c r="CA37" s="1" t="s">
        <v>210</v>
      </c>
      <c r="CB37" s="1" t="s">
        <v>431</v>
      </c>
      <c r="CC37" s="1" t="s">
        <v>212</v>
      </c>
      <c r="CD37" s="1" t="s">
        <v>206</v>
      </c>
      <c r="CE37" s="1" t="s">
        <v>207</v>
      </c>
      <c r="CF37" s="1" t="s">
        <v>1118</v>
      </c>
      <c r="CG37" s="1" t="s">
        <v>392</v>
      </c>
      <c r="CH37" s="1" t="s">
        <v>206</v>
      </c>
      <c r="CI37" s="1" t="s">
        <v>207</v>
      </c>
      <c r="CJ37" s="1" t="s">
        <v>1118</v>
      </c>
      <c r="CK37" s="1" t="s">
        <v>497</v>
      </c>
      <c r="CL37" s="1" t="s">
        <v>206</v>
      </c>
      <c r="CM37" s="1" t="s">
        <v>207</v>
      </c>
      <c r="CN37" s="1" t="s">
        <v>1118</v>
      </c>
      <c r="CO37" s="1" t="s">
        <v>264</v>
      </c>
      <c r="CP37" s="1" t="s">
        <v>206</v>
      </c>
      <c r="CQ37" s="1" t="s">
        <v>207</v>
      </c>
      <c r="CR37" s="1" t="s">
        <v>1118</v>
      </c>
      <c r="CS37" s="1" t="s">
        <v>1119</v>
      </c>
      <c r="CT37" s="1" t="s">
        <v>206</v>
      </c>
      <c r="CU37" s="1" t="s">
        <v>617</v>
      </c>
      <c r="CV37" s="1" t="s">
        <v>1118</v>
      </c>
      <c r="CX37" s="1" t="s">
        <v>204</v>
      </c>
      <c r="DA37" s="1" t="s">
        <v>200</v>
      </c>
      <c r="DC37" s="1" t="s">
        <v>702</v>
      </c>
      <c r="DD37" s="1" t="s">
        <v>306</v>
      </c>
      <c r="DE37" s="1" t="s">
        <v>273</v>
      </c>
      <c r="DF37" s="1" t="s">
        <v>219</v>
      </c>
      <c r="DH37" s="1" t="s">
        <v>365</v>
      </c>
      <c r="DI37" s="1" t="s">
        <v>1120</v>
      </c>
      <c r="DJ37" s="1" t="s">
        <v>1048</v>
      </c>
      <c r="DL37" s="1" t="s">
        <v>858</v>
      </c>
      <c r="DM37" s="1" t="s">
        <v>229</v>
      </c>
      <c r="DN37" s="1" t="s">
        <v>666</v>
      </c>
      <c r="DP37" s="1" t="s">
        <v>340</v>
      </c>
      <c r="DQ37" s="1" t="s">
        <v>228</v>
      </c>
      <c r="DR37" s="1" t="s">
        <v>229</v>
      </c>
      <c r="DV37" s="1" t="s">
        <v>1121</v>
      </c>
      <c r="DW37" s="1" t="s">
        <v>279</v>
      </c>
      <c r="DX37" s="1" t="s">
        <v>234</v>
      </c>
      <c r="DY37" s="1" t="s">
        <v>1122</v>
      </c>
      <c r="EA37" s="1" t="s">
        <v>257</v>
      </c>
      <c r="EC37" s="1" t="s">
        <v>645</v>
      </c>
      <c r="ED37" s="1" t="s">
        <v>555</v>
      </c>
      <c r="EG37" s="1" t="s">
        <v>1121</v>
      </c>
      <c r="EL37" s="1" t="s">
        <v>264</v>
      </c>
      <c r="EM37" s="1" t="s">
        <v>209</v>
      </c>
      <c r="EN37" s="1" t="s">
        <v>210</v>
      </c>
      <c r="EO37" s="1" t="s">
        <v>431</v>
      </c>
      <c r="EQ37" s="1" t="s">
        <v>238</v>
      </c>
      <c r="EU37" s="1" t="s">
        <v>238</v>
      </c>
      <c r="EY37" s="1" t="s">
        <v>238</v>
      </c>
      <c r="FC37" s="1" t="s">
        <v>238</v>
      </c>
      <c r="FF37" s="1" t="s">
        <v>239</v>
      </c>
      <c r="FG37" s="1" t="s">
        <v>192</v>
      </c>
      <c r="FH37" s="1" t="s">
        <v>192</v>
      </c>
      <c r="FJ37" s="1" t="s">
        <v>1123</v>
      </c>
      <c r="FK37" s="1" t="s">
        <v>229</v>
      </c>
      <c r="FL37" s="1" t="s">
        <v>1124</v>
      </c>
      <c r="FM37" s="1">
        <v>8058.0</v>
      </c>
      <c r="FN37" s="1" t="s">
        <v>1125</v>
      </c>
      <c r="FO37" s="1" t="s">
        <v>1126</v>
      </c>
      <c r="FP37" s="1">
        <v>82475.0</v>
      </c>
      <c r="FQ37" s="1" t="s">
        <v>1127</v>
      </c>
      <c r="FU37" s="1" t="s">
        <v>1128</v>
      </c>
      <c r="FV37" s="1" t="s">
        <v>192</v>
      </c>
      <c r="FW37" s="1" t="s">
        <v>530</v>
      </c>
      <c r="FX37" s="1" t="s">
        <v>246</v>
      </c>
      <c r="FZ37" s="1" t="s">
        <v>229</v>
      </c>
      <c r="GA37" s="1" t="s">
        <v>291</v>
      </c>
      <c r="GB37" s="2">
        <v>42069.0</v>
      </c>
    </row>
    <row r="38">
      <c r="A38" s="1">
        <v>355000.0</v>
      </c>
      <c r="B38" s="1" t="s">
        <v>185</v>
      </c>
      <c r="C38" s="1" t="str">
        <f>"08755487"</f>
        <v>08755487</v>
      </c>
      <c r="D38" s="1" t="s">
        <v>186</v>
      </c>
      <c r="F38" s="1" t="str">
        <f>"8012"</f>
        <v>8012</v>
      </c>
      <c r="G38" s="2">
        <v>41929.0</v>
      </c>
      <c r="H38" s="1">
        <v>415000.0</v>
      </c>
      <c r="I38" s="1">
        <v>96.0</v>
      </c>
      <c r="J38" s="1">
        <v>395000.0</v>
      </c>
      <c r="K38" s="2">
        <v>42024.0</v>
      </c>
      <c r="L38" s="1">
        <v>96.0</v>
      </c>
      <c r="M38" s="2">
        <v>42024.0</v>
      </c>
      <c r="N38" s="1" t="s">
        <v>249</v>
      </c>
      <c r="O38" s="2">
        <v>42044.0</v>
      </c>
      <c r="P38" s="1">
        <v>146107.0</v>
      </c>
      <c r="Q38" s="1">
        <v>10646.0</v>
      </c>
      <c r="S38" s="1">
        <v>6915.0</v>
      </c>
      <c r="T38" s="1" t="s">
        <v>1129</v>
      </c>
      <c r="U38" s="1" t="s">
        <v>189</v>
      </c>
      <c r="V38" s="1" t="s">
        <v>190</v>
      </c>
      <c r="W38" s="1">
        <v>60646.0</v>
      </c>
      <c r="Y38" s="1" t="s">
        <v>1130</v>
      </c>
      <c r="Z38" s="1">
        <v>1947.0</v>
      </c>
      <c r="AA38" s="1" t="s">
        <v>192</v>
      </c>
      <c r="AB38" s="1" t="s">
        <v>193</v>
      </c>
      <c r="AC38" s="1" t="s">
        <v>1131</v>
      </c>
      <c r="AD38" s="1" t="s">
        <v>194</v>
      </c>
      <c r="AE38" s="1" t="s">
        <v>195</v>
      </c>
      <c r="AF38" s="1" t="s">
        <v>196</v>
      </c>
      <c r="AG38" s="1" t="s">
        <v>1132</v>
      </c>
      <c r="AH38" s="1" t="s">
        <v>1133</v>
      </c>
      <c r="AK38" s="1">
        <v>8.0</v>
      </c>
      <c r="AL38" s="1">
        <v>2.0</v>
      </c>
      <c r="AM38" s="1">
        <v>2.0</v>
      </c>
      <c r="AN38" s="1">
        <v>0.0</v>
      </c>
      <c r="AO38" s="1" t="s">
        <v>229</v>
      </c>
      <c r="AP38" s="1">
        <v>0.0</v>
      </c>
      <c r="AQ38" s="1" t="s">
        <v>198</v>
      </c>
      <c r="AR38" s="1" t="s">
        <v>192</v>
      </c>
      <c r="AS38" s="1" t="s">
        <v>199</v>
      </c>
      <c r="AT38" s="1">
        <v>1.5</v>
      </c>
      <c r="AV38" s="1" t="s">
        <v>200</v>
      </c>
      <c r="AW38" s="1">
        <v>5003.0</v>
      </c>
      <c r="AX38" s="1">
        <v>2013.0</v>
      </c>
      <c r="AY38" s="1" t="s">
        <v>387</v>
      </c>
      <c r="AZ38" s="1" t="s">
        <v>200</v>
      </c>
      <c r="BA38" s="1" t="str">
        <f>"10322070340000"</f>
        <v>10322070340000</v>
      </c>
      <c r="BB38" s="1" t="s">
        <v>200</v>
      </c>
      <c r="BC38" s="1">
        <v>0.0</v>
      </c>
      <c r="BD38" s="1">
        <v>355000.0</v>
      </c>
      <c r="BE38" s="2">
        <v>41929.0</v>
      </c>
      <c r="BF38" s="2" t="s">
        <v>1134</v>
      </c>
      <c r="BG38" s="1" t="s">
        <v>1135</v>
      </c>
      <c r="BH38" s="1">
        <v>0.0</v>
      </c>
      <c r="BK38" s="1" t="s">
        <v>204</v>
      </c>
      <c r="BL38" s="1" t="str">
        <f>"6900"</f>
        <v>6900</v>
      </c>
      <c r="BM38" s="1" t="str">
        <f t="shared" si="24"/>
        <v>0</v>
      </c>
      <c r="BN38" s="1">
        <v>6000.0</v>
      </c>
      <c r="BO38" s="1">
        <v>0.0</v>
      </c>
      <c r="BQ38" s="1">
        <v>299.0</v>
      </c>
      <c r="BR38" s="1">
        <v>299.0</v>
      </c>
      <c r="BS38" s="1">
        <v>299.0</v>
      </c>
      <c r="BU38" s="1" t="s">
        <v>616</v>
      </c>
      <c r="BV38" s="1" t="s">
        <v>206</v>
      </c>
      <c r="BW38" s="1" t="s">
        <v>207</v>
      </c>
      <c r="BY38" s="1" t="s">
        <v>647</v>
      </c>
      <c r="BZ38" s="1" t="s">
        <v>206</v>
      </c>
      <c r="CA38" s="1" t="s">
        <v>207</v>
      </c>
      <c r="CC38" s="1" t="s">
        <v>363</v>
      </c>
      <c r="CD38" s="1" t="s">
        <v>206</v>
      </c>
      <c r="CE38" s="1" t="s">
        <v>207</v>
      </c>
      <c r="CG38" s="1" t="s">
        <v>266</v>
      </c>
      <c r="CH38" s="1" t="s">
        <v>206</v>
      </c>
      <c r="CI38" s="1" t="s">
        <v>207</v>
      </c>
      <c r="CK38" s="1" t="s">
        <v>205</v>
      </c>
      <c r="CL38" s="1" t="s">
        <v>42</v>
      </c>
      <c r="CM38" s="1" t="s">
        <v>1136</v>
      </c>
      <c r="CO38" s="1" t="s">
        <v>497</v>
      </c>
      <c r="CP38" s="1" t="s">
        <v>42</v>
      </c>
      <c r="CQ38" s="1" t="s">
        <v>1136</v>
      </c>
      <c r="CS38" s="1" t="s">
        <v>1137</v>
      </c>
      <c r="CT38" s="1" t="s">
        <v>206</v>
      </c>
      <c r="CU38" s="1" t="s">
        <v>207</v>
      </c>
      <c r="CW38" s="1" t="s">
        <v>1138</v>
      </c>
      <c r="CX38" s="1" t="s">
        <v>42</v>
      </c>
      <c r="CY38" s="1" t="s">
        <v>1136</v>
      </c>
      <c r="DA38" s="1" t="s">
        <v>200</v>
      </c>
      <c r="DC38" s="1" t="s">
        <v>702</v>
      </c>
      <c r="DD38" s="1" t="s">
        <v>618</v>
      </c>
      <c r="DE38" s="1" t="s">
        <v>1139</v>
      </c>
      <c r="DF38" s="1" t="s">
        <v>787</v>
      </c>
      <c r="DG38" s="1" t="s">
        <v>1140</v>
      </c>
      <c r="DH38" s="1" t="s">
        <v>307</v>
      </c>
      <c r="DI38" s="1" t="s">
        <v>1141</v>
      </c>
      <c r="DJ38" s="1" t="s">
        <v>222</v>
      </c>
      <c r="DK38" s="1" t="s">
        <v>1142</v>
      </c>
      <c r="DL38" s="1" t="s">
        <v>224</v>
      </c>
      <c r="DM38" s="1" t="s">
        <v>1143</v>
      </c>
      <c r="DO38" s="1" t="s">
        <v>1144</v>
      </c>
      <c r="DP38" s="1" t="s">
        <v>340</v>
      </c>
      <c r="DQ38" s="1" t="s">
        <v>794</v>
      </c>
      <c r="DR38" s="1" t="s">
        <v>229</v>
      </c>
      <c r="DS38" s="1" t="s">
        <v>230</v>
      </c>
      <c r="DV38" s="1" t="s">
        <v>374</v>
      </c>
      <c r="DW38" s="1" t="s">
        <v>1145</v>
      </c>
      <c r="DX38" s="1" t="s">
        <v>234</v>
      </c>
      <c r="DY38" s="1" t="s">
        <v>553</v>
      </c>
      <c r="DZ38" s="1" t="s">
        <v>1146</v>
      </c>
      <c r="EA38" s="1" t="s">
        <v>683</v>
      </c>
      <c r="EC38" s="1" t="s">
        <v>311</v>
      </c>
      <c r="ED38" s="1" t="s">
        <v>407</v>
      </c>
      <c r="EE38" s="1" t="s">
        <v>187</v>
      </c>
      <c r="EG38" s="1" t="s">
        <v>374</v>
      </c>
      <c r="EL38" s="1" t="s">
        <v>516</v>
      </c>
      <c r="EM38" s="1" t="s">
        <v>206</v>
      </c>
      <c r="EN38" s="1" t="s">
        <v>617</v>
      </c>
      <c r="EQ38" s="1" t="s">
        <v>238</v>
      </c>
      <c r="EU38" s="1" t="s">
        <v>238</v>
      </c>
      <c r="EY38" s="1" t="s">
        <v>238</v>
      </c>
      <c r="FC38" s="1" t="s">
        <v>238</v>
      </c>
      <c r="FF38" s="1" t="s">
        <v>239</v>
      </c>
      <c r="FG38" s="1" t="s">
        <v>192</v>
      </c>
      <c r="FH38" s="1" t="s">
        <v>192</v>
      </c>
      <c r="FJ38" s="1" t="s">
        <v>561</v>
      </c>
      <c r="FK38" s="1" t="s">
        <v>348</v>
      </c>
      <c r="FL38" s="1" t="s">
        <v>562</v>
      </c>
      <c r="FM38" s="1">
        <v>84730.0</v>
      </c>
      <c r="FN38" s="1" t="s">
        <v>1147</v>
      </c>
      <c r="FO38" s="1" t="s">
        <v>1148</v>
      </c>
      <c r="FP38" s="1">
        <v>129192.0</v>
      </c>
      <c r="FQ38" s="1" t="s">
        <v>1149</v>
      </c>
      <c r="FR38" s="1">
        <v>101410.0</v>
      </c>
      <c r="FU38" s="1" t="s">
        <v>1150</v>
      </c>
      <c r="FV38" s="1" t="s">
        <v>200</v>
      </c>
      <c r="FW38" s="1" t="s">
        <v>530</v>
      </c>
      <c r="FX38" s="1" t="s">
        <v>238</v>
      </c>
      <c r="FZ38" s="1" t="s">
        <v>229</v>
      </c>
      <c r="GA38" s="1" t="s">
        <v>291</v>
      </c>
      <c r="GB38" s="2">
        <v>42044.0</v>
      </c>
      <c r="GC38" s="1" t="s">
        <v>1151</v>
      </c>
    </row>
    <row r="39">
      <c r="A39" s="1">
        <v>438000.0</v>
      </c>
      <c r="B39" s="1" t="s">
        <v>185</v>
      </c>
      <c r="C39" s="1" t="str">
        <f>"08761090"</f>
        <v>08761090</v>
      </c>
      <c r="D39" s="1" t="s">
        <v>186</v>
      </c>
      <c r="F39" s="1" t="str">
        <f>"8060"</f>
        <v>8060</v>
      </c>
      <c r="G39" s="2">
        <v>41936.0</v>
      </c>
      <c r="H39" s="1">
        <v>449000.0</v>
      </c>
      <c r="I39" s="1">
        <v>68.0</v>
      </c>
      <c r="J39" s="1">
        <v>449000.0</v>
      </c>
      <c r="K39" s="2">
        <v>41946.0</v>
      </c>
      <c r="L39" s="1">
        <v>11.0</v>
      </c>
      <c r="M39" s="2">
        <v>41946.0</v>
      </c>
      <c r="N39" s="1" t="s">
        <v>187</v>
      </c>
      <c r="O39" s="2">
        <v>41981.0</v>
      </c>
      <c r="P39" s="1">
        <v>178515.0</v>
      </c>
      <c r="Q39" s="1">
        <v>14165.0</v>
      </c>
      <c r="S39" s="1">
        <v>2822.0</v>
      </c>
      <c r="T39" s="1" t="s">
        <v>1152</v>
      </c>
      <c r="U39" s="1" t="s">
        <v>320</v>
      </c>
      <c r="V39" s="1" t="s">
        <v>190</v>
      </c>
      <c r="W39" s="1">
        <v>60608.0</v>
      </c>
      <c r="Y39" s="1" t="s">
        <v>1153</v>
      </c>
      <c r="Z39" s="1">
        <v>2012.0</v>
      </c>
      <c r="AA39" s="1" t="s">
        <v>200</v>
      </c>
      <c r="AB39" s="1" t="s">
        <v>193</v>
      </c>
      <c r="AD39" s="1" t="s">
        <v>194</v>
      </c>
      <c r="AE39" s="1" t="s">
        <v>195</v>
      </c>
      <c r="AF39" s="1" t="s">
        <v>1154</v>
      </c>
      <c r="AG39" s="1" t="s">
        <v>1155</v>
      </c>
      <c r="AH39" s="1" t="s">
        <v>1156</v>
      </c>
      <c r="AI39" s="1">
        <v>0.0596</v>
      </c>
      <c r="AK39" s="1">
        <v>9.0</v>
      </c>
      <c r="AL39" s="1">
        <v>4.0</v>
      </c>
      <c r="AM39" s="1">
        <v>3.0</v>
      </c>
      <c r="AN39" s="1">
        <v>1.0</v>
      </c>
      <c r="AO39" s="1" t="s">
        <v>198</v>
      </c>
      <c r="AQ39" s="1" t="s">
        <v>472</v>
      </c>
      <c r="AR39" s="1" t="s">
        <v>192</v>
      </c>
      <c r="AS39" s="1" t="s">
        <v>199</v>
      </c>
      <c r="AT39" s="1">
        <v>2.0</v>
      </c>
      <c r="AV39" s="1" t="s">
        <v>200</v>
      </c>
      <c r="AW39" s="1">
        <v>6799.41</v>
      </c>
      <c r="AX39" s="1">
        <v>2013.0</v>
      </c>
      <c r="AY39" s="1" t="s">
        <v>229</v>
      </c>
      <c r="AZ39" s="1" t="s">
        <v>200</v>
      </c>
      <c r="BA39" s="1" t="str">
        <f>"17293300130000"</f>
        <v>17293300130000</v>
      </c>
      <c r="BB39" s="1" t="s">
        <v>200</v>
      </c>
      <c r="BC39" s="1">
        <v>3000.0</v>
      </c>
      <c r="BD39" s="1">
        <v>438000.0</v>
      </c>
      <c r="BE39" s="2">
        <v>41936.0</v>
      </c>
      <c r="BF39" s="2" t="s">
        <v>1157</v>
      </c>
      <c r="BH39" s="1">
        <v>0.0</v>
      </c>
      <c r="BK39" s="1" t="s">
        <v>204</v>
      </c>
      <c r="BL39" s="1" t="str">
        <f t="shared" ref="BL39:BM39" si="25">"0"</f>
        <v>0</v>
      </c>
      <c r="BM39" s="1" t="str">
        <f t="shared" si="25"/>
        <v>0</v>
      </c>
      <c r="BN39" s="1">
        <v>1100.0</v>
      </c>
      <c r="BO39" s="1">
        <v>2895.0</v>
      </c>
      <c r="BQ39" s="1">
        <v>299.0</v>
      </c>
      <c r="BR39" s="1">
        <v>299.0</v>
      </c>
      <c r="BS39" s="1">
        <v>299.0</v>
      </c>
      <c r="BU39" s="1" t="s">
        <v>664</v>
      </c>
      <c r="BV39" s="1" t="s">
        <v>206</v>
      </c>
      <c r="BW39" s="1" t="s">
        <v>207</v>
      </c>
      <c r="BX39" s="1" t="s">
        <v>229</v>
      </c>
      <c r="BY39" s="1" t="s">
        <v>1158</v>
      </c>
      <c r="BZ39" s="1" t="s">
        <v>209</v>
      </c>
      <c r="CA39" s="1" t="s">
        <v>210</v>
      </c>
      <c r="CB39" s="1" t="s">
        <v>229</v>
      </c>
      <c r="CC39" s="1" t="s">
        <v>814</v>
      </c>
      <c r="CD39" s="1" t="s">
        <v>206</v>
      </c>
      <c r="CE39" s="1" t="s">
        <v>207</v>
      </c>
      <c r="CF39" s="1" t="s">
        <v>229</v>
      </c>
      <c r="CG39" s="1" t="s">
        <v>699</v>
      </c>
      <c r="CH39" s="1" t="s">
        <v>209</v>
      </c>
      <c r="CI39" s="1" t="s">
        <v>210</v>
      </c>
      <c r="CJ39" s="1" t="s">
        <v>229</v>
      </c>
      <c r="CK39" s="1" t="s">
        <v>497</v>
      </c>
      <c r="CL39" s="1" t="s">
        <v>209</v>
      </c>
      <c r="CM39" s="1" t="s">
        <v>210</v>
      </c>
      <c r="CN39" s="1" t="s">
        <v>229</v>
      </c>
      <c r="CO39" s="1" t="s">
        <v>495</v>
      </c>
      <c r="CP39" s="1" t="s">
        <v>267</v>
      </c>
      <c r="CQ39" s="1" t="s">
        <v>210</v>
      </c>
      <c r="CR39" s="1" t="s">
        <v>229</v>
      </c>
      <c r="CS39" s="1" t="s">
        <v>264</v>
      </c>
      <c r="CT39" s="1" t="s">
        <v>206</v>
      </c>
      <c r="CU39" s="1" t="s">
        <v>207</v>
      </c>
      <c r="CV39" s="1" t="s">
        <v>229</v>
      </c>
      <c r="CW39" s="1" t="s">
        <v>205</v>
      </c>
      <c r="CX39" s="1" t="s">
        <v>206</v>
      </c>
      <c r="CY39" s="1" t="s">
        <v>207</v>
      </c>
      <c r="CZ39" s="1" t="s">
        <v>229</v>
      </c>
      <c r="DA39" s="1" t="s">
        <v>200</v>
      </c>
      <c r="DC39" s="1" t="s">
        <v>1046</v>
      </c>
      <c r="DD39" s="1" t="s">
        <v>926</v>
      </c>
      <c r="DE39" s="1" t="s">
        <v>273</v>
      </c>
      <c r="DF39" s="1" t="s">
        <v>1159</v>
      </c>
      <c r="DG39" s="1" t="s">
        <v>1160</v>
      </c>
      <c r="DH39" s="1" t="s">
        <v>365</v>
      </c>
      <c r="DI39" s="1" t="s">
        <v>789</v>
      </c>
      <c r="DJ39" s="1" t="s">
        <v>222</v>
      </c>
      <c r="DL39" s="1" t="s">
        <v>1161</v>
      </c>
      <c r="DM39" s="1" t="s">
        <v>229</v>
      </c>
      <c r="DN39" s="1" t="s">
        <v>339</v>
      </c>
      <c r="DP39" s="1" t="s">
        <v>227</v>
      </c>
      <c r="DQ39" s="1" t="s">
        <v>228</v>
      </c>
      <c r="DR39" s="1" t="s">
        <v>229</v>
      </c>
      <c r="DS39" s="1" t="s">
        <v>368</v>
      </c>
      <c r="DU39" s="1" t="s">
        <v>1162</v>
      </c>
      <c r="DV39" s="1" t="s">
        <v>1163</v>
      </c>
      <c r="DW39" s="1" t="s">
        <v>1145</v>
      </c>
      <c r="DX39" s="1" t="s">
        <v>234</v>
      </c>
      <c r="EC39" s="1" t="s">
        <v>237</v>
      </c>
      <c r="EG39" s="1" t="s">
        <v>310</v>
      </c>
      <c r="EH39" s="1" t="s">
        <v>1164</v>
      </c>
      <c r="EL39" s="1" t="s">
        <v>1165</v>
      </c>
      <c r="EM39" s="1" t="s">
        <v>206</v>
      </c>
      <c r="EP39" s="1" t="s">
        <v>1166</v>
      </c>
      <c r="EQ39" s="1" t="s">
        <v>267</v>
      </c>
      <c r="ER39" s="1" t="s">
        <v>210</v>
      </c>
      <c r="ES39" s="1" t="s">
        <v>229</v>
      </c>
      <c r="EU39" s="1" t="s">
        <v>238</v>
      </c>
      <c r="EY39" s="1" t="s">
        <v>238</v>
      </c>
      <c r="FC39" s="1" t="s">
        <v>238</v>
      </c>
      <c r="FF39" s="1" t="s">
        <v>239</v>
      </c>
      <c r="FG39" s="1" t="s">
        <v>192</v>
      </c>
      <c r="FH39" s="1" t="s">
        <v>192</v>
      </c>
      <c r="FJ39" s="1" t="s">
        <v>1167</v>
      </c>
      <c r="FK39" s="1" t="s">
        <v>229</v>
      </c>
      <c r="FL39" s="1" t="s">
        <v>1168</v>
      </c>
      <c r="FM39" s="1">
        <v>14165.0</v>
      </c>
      <c r="FN39" s="1" t="s">
        <v>1169</v>
      </c>
      <c r="FO39" s="1" t="s">
        <v>1170</v>
      </c>
      <c r="FP39" s="1">
        <v>158356.0</v>
      </c>
      <c r="FQ39" s="1" t="s">
        <v>1171</v>
      </c>
      <c r="FU39" s="1" t="s">
        <v>1172</v>
      </c>
      <c r="FV39" s="1" t="s">
        <v>200</v>
      </c>
      <c r="FW39" s="1" t="s">
        <v>290</v>
      </c>
      <c r="FX39" s="1" t="s">
        <v>655</v>
      </c>
      <c r="FZ39" s="1" t="s">
        <v>229</v>
      </c>
      <c r="GA39" s="1" t="s">
        <v>291</v>
      </c>
      <c r="GB39" s="2">
        <v>41981.0</v>
      </c>
    </row>
    <row r="40">
      <c r="A40" s="1">
        <v>285550.0</v>
      </c>
      <c r="B40" s="1" t="s">
        <v>185</v>
      </c>
      <c r="C40" s="1" t="str">
        <f>"08757218"</f>
        <v>08757218</v>
      </c>
      <c r="D40" s="1" t="s">
        <v>186</v>
      </c>
      <c r="F40" s="1" t="str">
        <f>"110"</f>
        <v>110</v>
      </c>
      <c r="G40" s="2">
        <v>41932.0</v>
      </c>
      <c r="H40" s="1">
        <v>289490.0</v>
      </c>
      <c r="I40" s="1">
        <v>1.0</v>
      </c>
      <c r="J40" s="1">
        <v>289490.0</v>
      </c>
      <c r="K40" s="2">
        <v>41932.0</v>
      </c>
      <c r="L40" s="1">
        <v>1.0</v>
      </c>
      <c r="M40" s="2">
        <v>41932.0</v>
      </c>
      <c r="N40" s="1" t="s">
        <v>187</v>
      </c>
      <c r="O40" s="2">
        <v>42079.0</v>
      </c>
      <c r="P40" s="1">
        <v>55884.0</v>
      </c>
      <c r="Q40" s="1">
        <v>5014.0</v>
      </c>
      <c r="S40" s="1">
        <v>3559.0</v>
      </c>
      <c r="T40" s="1" t="s">
        <v>1173</v>
      </c>
      <c r="U40" s="1" t="s">
        <v>1174</v>
      </c>
      <c r="V40" s="1" t="s">
        <v>807</v>
      </c>
      <c r="W40" s="1">
        <v>60110.0</v>
      </c>
      <c r="Y40" s="1" t="s">
        <v>1175</v>
      </c>
      <c r="Z40" s="1">
        <v>2014.0</v>
      </c>
      <c r="AA40" s="1" t="s">
        <v>200</v>
      </c>
      <c r="AB40" s="1" t="s">
        <v>467</v>
      </c>
      <c r="AC40" s="1" t="s">
        <v>1176</v>
      </c>
      <c r="AD40" s="1" t="s">
        <v>809</v>
      </c>
      <c r="AE40" s="1" t="s">
        <v>325</v>
      </c>
      <c r="AF40" s="1" t="s">
        <v>810</v>
      </c>
      <c r="AG40" s="1" t="s">
        <v>1177</v>
      </c>
      <c r="AH40" s="1" t="s">
        <v>1178</v>
      </c>
      <c r="AK40" s="1">
        <v>9.0</v>
      </c>
      <c r="AL40" s="1">
        <v>4.0</v>
      </c>
      <c r="AM40" s="1">
        <v>2.0</v>
      </c>
      <c r="AN40" s="1">
        <v>1.0</v>
      </c>
      <c r="AO40" s="1" t="s">
        <v>198</v>
      </c>
      <c r="AP40" s="1">
        <v>0.0</v>
      </c>
      <c r="AQ40" s="1" t="s">
        <v>198</v>
      </c>
      <c r="AR40" s="1" t="s">
        <v>200</v>
      </c>
      <c r="AS40" s="1" t="s">
        <v>199</v>
      </c>
      <c r="AT40" s="1">
        <v>2.0</v>
      </c>
      <c r="AV40" s="1" t="s">
        <v>200</v>
      </c>
      <c r="AW40" s="1" t="s">
        <v>575</v>
      </c>
      <c r="AX40" s="1">
        <v>2012.0</v>
      </c>
      <c r="AY40" s="1" t="s">
        <v>1179</v>
      </c>
      <c r="AZ40" s="1" t="s">
        <v>200</v>
      </c>
      <c r="BA40" s="1" t="str">
        <f>"0212430008"</f>
        <v>0212430008</v>
      </c>
      <c r="BC40" s="1">
        <v>2614.0</v>
      </c>
      <c r="BD40" s="1">
        <v>285550.0</v>
      </c>
      <c r="BE40" s="2">
        <v>41932.0</v>
      </c>
      <c r="BF40" s="2" t="s">
        <v>1180</v>
      </c>
      <c r="BG40" s="1" t="s">
        <v>1181</v>
      </c>
      <c r="BH40" s="1">
        <v>37.0</v>
      </c>
      <c r="BI40" s="1" t="s">
        <v>1093</v>
      </c>
      <c r="BJ40" s="1" t="s">
        <v>1182</v>
      </c>
      <c r="BK40" s="1" t="s">
        <v>474</v>
      </c>
      <c r="BL40" s="1" t="str">
        <f>"18"</f>
        <v>18</v>
      </c>
      <c r="BM40" s="1" t="str">
        <f>"0"</f>
        <v>0</v>
      </c>
      <c r="BN40" s="1">
        <v>37.0</v>
      </c>
      <c r="BO40" s="1">
        <v>0.0</v>
      </c>
      <c r="BQ40" s="1">
        <v>300.0</v>
      </c>
      <c r="BR40" s="1">
        <v>300.0</v>
      </c>
      <c r="BS40" s="1">
        <v>300.0</v>
      </c>
      <c r="BV40" s="1" t="s">
        <v>204</v>
      </c>
      <c r="BY40" s="1" t="s">
        <v>830</v>
      </c>
      <c r="BZ40" s="1" t="s">
        <v>209</v>
      </c>
      <c r="CA40" s="1" t="s">
        <v>210</v>
      </c>
      <c r="CB40" s="1" t="s">
        <v>229</v>
      </c>
      <c r="CC40" s="1" t="s">
        <v>1183</v>
      </c>
      <c r="CD40" s="1" t="s">
        <v>206</v>
      </c>
      <c r="CE40" s="1" t="s">
        <v>617</v>
      </c>
      <c r="CF40" s="1" t="s">
        <v>229</v>
      </c>
      <c r="CG40" s="1" t="s">
        <v>302</v>
      </c>
      <c r="CH40" s="1" t="s">
        <v>209</v>
      </c>
      <c r="CI40" s="1" t="s">
        <v>210</v>
      </c>
      <c r="CJ40" s="1" t="s">
        <v>229</v>
      </c>
      <c r="CK40" s="1" t="s">
        <v>497</v>
      </c>
      <c r="CL40" s="1" t="s">
        <v>209</v>
      </c>
      <c r="CM40" s="1" t="s">
        <v>210</v>
      </c>
      <c r="CN40" s="1" t="s">
        <v>229</v>
      </c>
      <c r="CO40" s="1" t="s">
        <v>212</v>
      </c>
      <c r="CP40" s="1" t="s">
        <v>209</v>
      </c>
      <c r="CQ40" s="1" t="s">
        <v>210</v>
      </c>
      <c r="CR40" s="1" t="s">
        <v>229</v>
      </c>
      <c r="CS40" s="1" t="s">
        <v>332</v>
      </c>
      <c r="CT40" s="1" t="s">
        <v>206</v>
      </c>
      <c r="CU40" s="1" t="s">
        <v>617</v>
      </c>
      <c r="CV40" s="1" t="s">
        <v>229</v>
      </c>
      <c r="CW40" s="1" t="s">
        <v>1184</v>
      </c>
      <c r="CX40" s="1" t="s">
        <v>206</v>
      </c>
      <c r="CY40" s="1" t="s">
        <v>210</v>
      </c>
      <c r="CZ40" s="1" t="s">
        <v>229</v>
      </c>
      <c r="DA40" s="1" t="s">
        <v>192</v>
      </c>
      <c r="DB40" s="2">
        <v>42155.0</v>
      </c>
      <c r="DC40" s="1" t="s">
        <v>585</v>
      </c>
      <c r="DD40" s="1" t="s">
        <v>306</v>
      </c>
      <c r="DE40" s="1" t="s">
        <v>273</v>
      </c>
      <c r="DF40" s="1" t="s">
        <v>219</v>
      </c>
      <c r="DG40" s="1" t="s">
        <v>482</v>
      </c>
      <c r="DH40" s="1" t="s">
        <v>220</v>
      </c>
      <c r="DI40" s="1" t="s">
        <v>1021</v>
      </c>
      <c r="DJ40" s="1" t="s">
        <v>222</v>
      </c>
      <c r="DK40" s="1" t="s">
        <v>223</v>
      </c>
      <c r="DL40" s="1" t="s">
        <v>223</v>
      </c>
      <c r="DM40" s="1" t="s">
        <v>338</v>
      </c>
      <c r="DN40" s="1" t="s">
        <v>548</v>
      </c>
      <c r="DP40" s="1" t="s">
        <v>227</v>
      </c>
      <c r="DQ40" s="1" t="s">
        <v>441</v>
      </c>
      <c r="DR40" s="1" t="s">
        <v>1185</v>
      </c>
      <c r="DS40" s="1" t="s">
        <v>591</v>
      </c>
      <c r="DT40" s="1" t="s">
        <v>1186</v>
      </c>
      <c r="DU40" s="1" t="s">
        <v>1187</v>
      </c>
      <c r="DV40" s="1" t="s">
        <v>1188</v>
      </c>
      <c r="DW40" s="1" t="s">
        <v>444</v>
      </c>
      <c r="DX40" s="1" t="s">
        <v>234</v>
      </c>
      <c r="DY40" s="1" t="s">
        <v>1189</v>
      </c>
      <c r="EA40" s="1" t="s">
        <v>344</v>
      </c>
      <c r="EC40" s="1" t="s">
        <v>237</v>
      </c>
      <c r="EG40" s="1" t="s">
        <v>494</v>
      </c>
      <c r="EH40" s="1" t="s">
        <v>341</v>
      </c>
      <c r="EL40" s="1" t="s">
        <v>1190</v>
      </c>
      <c r="EM40" s="1" t="s">
        <v>206</v>
      </c>
      <c r="EN40" s="1" t="s">
        <v>210</v>
      </c>
      <c r="EO40" s="1" t="s">
        <v>229</v>
      </c>
      <c r="EP40" s="1" t="s">
        <v>302</v>
      </c>
      <c r="EQ40" s="1" t="s">
        <v>209</v>
      </c>
      <c r="ER40" s="1" t="s">
        <v>210</v>
      </c>
      <c r="ES40" s="1" t="s">
        <v>229</v>
      </c>
      <c r="EU40" s="1" t="s">
        <v>238</v>
      </c>
      <c r="EY40" s="1" t="s">
        <v>238</v>
      </c>
      <c r="FC40" s="1" t="s">
        <v>238</v>
      </c>
      <c r="FF40" s="1" t="s">
        <v>239</v>
      </c>
      <c r="FG40" s="1" t="s">
        <v>192</v>
      </c>
      <c r="FH40" s="1" t="s">
        <v>192</v>
      </c>
      <c r="FJ40" s="1" t="s">
        <v>1191</v>
      </c>
      <c r="FK40" s="1" t="s">
        <v>229</v>
      </c>
      <c r="FL40" s="1" t="s">
        <v>1192</v>
      </c>
      <c r="FM40" s="1">
        <v>8702.0</v>
      </c>
      <c r="FN40" s="1" t="s">
        <v>1193</v>
      </c>
      <c r="FO40" s="1" t="s">
        <v>1194</v>
      </c>
      <c r="FP40" s="1">
        <v>21163.0</v>
      </c>
      <c r="FQ40" s="1" t="s">
        <v>1195</v>
      </c>
      <c r="FU40" s="1" t="s">
        <v>1196</v>
      </c>
      <c r="FV40" s="1" t="s">
        <v>200</v>
      </c>
      <c r="FW40" s="1" t="s">
        <v>1197</v>
      </c>
      <c r="FZ40" s="1" t="s">
        <v>229</v>
      </c>
      <c r="GA40" s="1" t="s">
        <v>291</v>
      </c>
      <c r="GB40" s="2">
        <v>42080.0</v>
      </c>
      <c r="GC40" s="1" t="s">
        <v>1198</v>
      </c>
    </row>
    <row r="41">
      <c r="A41" s="1">
        <v>364500.0</v>
      </c>
      <c r="B41" s="1" t="s">
        <v>185</v>
      </c>
      <c r="C41" s="1" t="str">
        <f>"08760785"</f>
        <v>08760785</v>
      </c>
      <c r="D41" s="1" t="s">
        <v>186</v>
      </c>
      <c r="F41" s="1" t="str">
        <f>"174"</f>
        <v>174</v>
      </c>
      <c r="G41" s="2">
        <v>41936.0</v>
      </c>
      <c r="H41" s="1">
        <v>389800.0</v>
      </c>
      <c r="I41" s="1">
        <v>21.0</v>
      </c>
      <c r="J41" s="1">
        <v>389800.0</v>
      </c>
      <c r="K41" s="2">
        <v>41956.0</v>
      </c>
      <c r="L41" s="1">
        <v>21.0</v>
      </c>
      <c r="M41" s="2">
        <v>41956.0</v>
      </c>
      <c r="N41" s="1" t="s">
        <v>187</v>
      </c>
      <c r="O41" s="2">
        <v>41985.0</v>
      </c>
      <c r="P41" s="1">
        <v>253571.0</v>
      </c>
      <c r="Q41" s="1">
        <v>25309.0</v>
      </c>
      <c r="S41" s="1">
        <v>3003.0</v>
      </c>
      <c r="T41" s="1" t="s">
        <v>1199</v>
      </c>
      <c r="U41" s="1" t="s">
        <v>464</v>
      </c>
      <c r="V41" s="1" t="s">
        <v>1200</v>
      </c>
      <c r="W41" s="1">
        <v>60174.0</v>
      </c>
      <c r="Y41" s="1" t="s">
        <v>1201</v>
      </c>
      <c r="Z41" s="1">
        <v>1994.0</v>
      </c>
      <c r="AA41" s="1" t="s">
        <v>200</v>
      </c>
      <c r="AB41" s="1" t="s">
        <v>193</v>
      </c>
      <c r="AC41" s="1" t="s">
        <v>1202</v>
      </c>
      <c r="AD41" s="1" t="s">
        <v>1203</v>
      </c>
      <c r="AE41" s="1" t="s">
        <v>325</v>
      </c>
      <c r="AF41" s="1" t="s">
        <v>1203</v>
      </c>
      <c r="AG41" s="1" t="s">
        <v>874</v>
      </c>
      <c r="AH41" s="1" t="s">
        <v>1204</v>
      </c>
      <c r="AK41" s="1">
        <v>9.0</v>
      </c>
      <c r="AL41" s="1">
        <v>4.0</v>
      </c>
      <c r="AM41" s="1">
        <v>3.0</v>
      </c>
      <c r="AN41" s="1">
        <v>0.0</v>
      </c>
      <c r="AO41" s="1" t="s">
        <v>198</v>
      </c>
      <c r="AP41" s="1">
        <v>2.0</v>
      </c>
      <c r="AQ41" s="1" t="s">
        <v>198</v>
      </c>
      <c r="AR41" s="1" t="s">
        <v>192</v>
      </c>
      <c r="AS41" s="1" t="s">
        <v>199</v>
      </c>
      <c r="AT41" s="1">
        <v>3.0</v>
      </c>
      <c r="AV41" s="1" t="s">
        <v>200</v>
      </c>
      <c r="AW41" s="1">
        <v>12889.79</v>
      </c>
      <c r="AX41" s="1">
        <v>2013.0</v>
      </c>
      <c r="AY41" s="1" t="s">
        <v>387</v>
      </c>
      <c r="AZ41" s="1" t="s">
        <v>200</v>
      </c>
      <c r="BA41" s="1" t="str">
        <f>"0924401002"</f>
        <v>0924401002</v>
      </c>
      <c r="BC41" s="1">
        <v>3494.0</v>
      </c>
      <c r="BD41" s="1">
        <v>364500.0</v>
      </c>
      <c r="BE41" s="2">
        <v>41936.0</v>
      </c>
      <c r="BF41" s="2" t="s">
        <v>1205</v>
      </c>
      <c r="BH41" s="1">
        <v>250.0</v>
      </c>
      <c r="BK41" s="1" t="s">
        <v>580</v>
      </c>
      <c r="BL41" s="1" t="str">
        <f>"4"</f>
        <v>4</v>
      </c>
      <c r="BM41" s="1" t="str">
        <f>""</f>
        <v/>
      </c>
      <c r="BN41" s="1">
        <v>33.0</v>
      </c>
      <c r="BQ41" s="1">
        <v>303.0</v>
      </c>
      <c r="BR41" s="1">
        <v>303.0</v>
      </c>
      <c r="BS41" s="1">
        <v>303.0</v>
      </c>
      <c r="BU41" s="1" t="s">
        <v>361</v>
      </c>
      <c r="BV41" s="1" t="s">
        <v>206</v>
      </c>
      <c r="BW41" s="1" t="s">
        <v>210</v>
      </c>
      <c r="BX41" s="1" t="s">
        <v>229</v>
      </c>
      <c r="BY41" s="1" t="s">
        <v>924</v>
      </c>
      <c r="BZ41" s="1" t="s">
        <v>206</v>
      </c>
      <c r="CA41" s="1" t="s">
        <v>210</v>
      </c>
      <c r="CB41" s="1" t="s">
        <v>229</v>
      </c>
      <c r="CC41" s="1" t="s">
        <v>433</v>
      </c>
      <c r="CD41" s="1" t="s">
        <v>206</v>
      </c>
      <c r="CE41" s="1" t="s">
        <v>210</v>
      </c>
      <c r="CF41" s="1" t="s">
        <v>229</v>
      </c>
      <c r="CG41" s="1" t="s">
        <v>212</v>
      </c>
      <c r="CH41" s="1" t="s">
        <v>206</v>
      </c>
      <c r="CI41" s="1" t="s">
        <v>210</v>
      </c>
      <c r="CJ41" s="1" t="s">
        <v>229</v>
      </c>
      <c r="CK41" s="1" t="s">
        <v>363</v>
      </c>
      <c r="CL41" s="1" t="s">
        <v>206</v>
      </c>
      <c r="CM41" s="1" t="s">
        <v>210</v>
      </c>
      <c r="CN41" s="1" t="s">
        <v>229</v>
      </c>
      <c r="CO41" s="1" t="s">
        <v>544</v>
      </c>
      <c r="CP41" s="1" t="s">
        <v>209</v>
      </c>
      <c r="CQ41" s="1" t="s">
        <v>210</v>
      </c>
      <c r="CR41" s="1" t="s">
        <v>229</v>
      </c>
      <c r="CS41" s="1" t="s">
        <v>544</v>
      </c>
      <c r="CT41" s="1" t="s">
        <v>206</v>
      </c>
      <c r="CU41" s="1" t="s">
        <v>207</v>
      </c>
      <c r="CV41" s="1" t="s">
        <v>229</v>
      </c>
      <c r="CW41" s="1" t="s">
        <v>1206</v>
      </c>
      <c r="CX41" s="1" t="s">
        <v>206</v>
      </c>
      <c r="CY41" s="1" t="s">
        <v>210</v>
      </c>
      <c r="CZ41" s="1" t="s">
        <v>229</v>
      </c>
      <c r="DA41" s="1" t="s">
        <v>200</v>
      </c>
      <c r="DC41" s="1" t="s">
        <v>678</v>
      </c>
      <c r="DD41" s="1" t="s">
        <v>336</v>
      </c>
      <c r="DE41" s="1" t="s">
        <v>273</v>
      </c>
      <c r="DF41" s="1" t="s">
        <v>219</v>
      </c>
      <c r="DG41" s="1" t="s">
        <v>1207</v>
      </c>
      <c r="DH41" s="1" t="s">
        <v>220</v>
      </c>
      <c r="DI41" s="1" t="s">
        <v>680</v>
      </c>
      <c r="DJ41" s="1" t="s">
        <v>222</v>
      </c>
      <c r="DL41" s="1" t="s">
        <v>223</v>
      </c>
      <c r="DM41" s="1" t="s">
        <v>338</v>
      </c>
      <c r="DN41" s="1" t="s">
        <v>399</v>
      </c>
      <c r="DO41" s="1" t="s">
        <v>1208</v>
      </c>
      <c r="DP41" s="1" t="s">
        <v>340</v>
      </c>
      <c r="DQ41" s="1" t="s">
        <v>441</v>
      </c>
      <c r="DR41" s="1" t="s">
        <v>229</v>
      </c>
      <c r="DS41" s="1" t="s">
        <v>230</v>
      </c>
      <c r="DU41" s="1" t="s">
        <v>1209</v>
      </c>
      <c r="DV41" s="1" t="s">
        <v>598</v>
      </c>
      <c r="DW41" s="1" t="s">
        <v>1210</v>
      </c>
      <c r="DX41" s="1" t="s">
        <v>234</v>
      </c>
      <c r="DY41" s="1" t="s">
        <v>1211</v>
      </c>
      <c r="EA41" s="1" t="s">
        <v>683</v>
      </c>
      <c r="EC41" s="1" t="s">
        <v>685</v>
      </c>
      <c r="ED41" s="1" t="s">
        <v>407</v>
      </c>
      <c r="EE41" s="1" t="s">
        <v>187</v>
      </c>
      <c r="EG41" s="1" t="s">
        <v>598</v>
      </c>
      <c r="EL41" s="1" t="s">
        <v>433</v>
      </c>
      <c r="EM41" s="1" t="s">
        <v>206</v>
      </c>
      <c r="EN41" s="1" t="s">
        <v>210</v>
      </c>
      <c r="EO41" s="1" t="s">
        <v>229</v>
      </c>
      <c r="EQ41" s="1" t="s">
        <v>238</v>
      </c>
      <c r="EU41" s="1" t="s">
        <v>238</v>
      </c>
      <c r="EY41" s="1" t="s">
        <v>238</v>
      </c>
      <c r="FC41" s="1" t="s">
        <v>238</v>
      </c>
      <c r="FF41" s="1" t="s">
        <v>239</v>
      </c>
      <c r="FG41" s="1" t="s">
        <v>192</v>
      </c>
      <c r="FH41" s="1" t="s">
        <v>192</v>
      </c>
      <c r="FJ41" s="1" t="s">
        <v>524</v>
      </c>
      <c r="FK41" s="1" t="s">
        <v>229</v>
      </c>
      <c r="FL41" s="1" t="s">
        <v>1212</v>
      </c>
      <c r="FM41" s="1">
        <v>30.0</v>
      </c>
      <c r="FN41" s="1" t="s">
        <v>1213</v>
      </c>
      <c r="FO41" s="1" t="s">
        <v>1214</v>
      </c>
      <c r="FP41" s="1">
        <v>329.0</v>
      </c>
      <c r="FQ41" s="1" t="s">
        <v>1215</v>
      </c>
      <c r="FU41" s="1" t="s">
        <v>1216</v>
      </c>
      <c r="FV41" s="1" t="s">
        <v>200</v>
      </c>
      <c r="FW41" s="1" t="s">
        <v>290</v>
      </c>
      <c r="FZ41" s="1" t="s">
        <v>229</v>
      </c>
      <c r="GA41" s="1" t="s">
        <v>291</v>
      </c>
      <c r="GB41" s="2">
        <v>41988.0</v>
      </c>
      <c r="GC41" s="1" t="s">
        <v>1217</v>
      </c>
    </row>
    <row r="42">
      <c r="A42" s="1">
        <v>400000.0</v>
      </c>
      <c r="B42" s="1" t="s">
        <v>185</v>
      </c>
      <c r="C42" s="1" t="str">
        <f>"08785666"</f>
        <v>08785666</v>
      </c>
      <c r="D42" s="1" t="s">
        <v>186</v>
      </c>
      <c r="F42" s="1" t="str">
        <f>"8009"</f>
        <v>8009</v>
      </c>
      <c r="G42" s="2">
        <v>41956.0</v>
      </c>
      <c r="H42" s="1">
        <v>415000.0</v>
      </c>
      <c r="I42" s="1">
        <v>123.0</v>
      </c>
      <c r="J42" s="1">
        <v>415000.0</v>
      </c>
      <c r="K42" s="2">
        <v>42078.0</v>
      </c>
      <c r="L42" s="1">
        <v>123.0</v>
      </c>
      <c r="M42" s="2">
        <v>42078.0</v>
      </c>
      <c r="N42" s="1" t="s">
        <v>187</v>
      </c>
      <c r="O42" s="2">
        <v>42124.0</v>
      </c>
      <c r="P42" s="1">
        <v>81281.0</v>
      </c>
      <c r="Q42" s="1">
        <v>8089.0</v>
      </c>
      <c r="S42" s="1">
        <v>6667.0</v>
      </c>
      <c r="T42" s="1" t="s">
        <v>1218</v>
      </c>
      <c r="U42" s="1" t="s">
        <v>189</v>
      </c>
      <c r="V42" s="1" t="s">
        <v>190</v>
      </c>
      <c r="W42" s="1">
        <v>60631.0</v>
      </c>
      <c r="Y42" s="1" t="s">
        <v>1219</v>
      </c>
      <c r="Z42" s="1">
        <v>1891.0</v>
      </c>
      <c r="AA42" s="1" t="s">
        <v>192</v>
      </c>
      <c r="AB42" s="1" t="s">
        <v>193</v>
      </c>
      <c r="AD42" s="1" t="s">
        <v>194</v>
      </c>
      <c r="AE42" s="1" t="s">
        <v>195</v>
      </c>
      <c r="AF42" s="1" t="s">
        <v>196</v>
      </c>
      <c r="AH42" s="1" t="s">
        <v>1220</v>
      </c>
      <c r="AK42" s="1">
        <v>8.0</v>
      </c>
      <c r="AL42" s="1">
        <v>4.0</v>
      </c>
      <c r="AM42" s="1">
        <v>2.0</v>
      </c>
      <c r="AN42" s="1">
        <v>0.0</v>
      </c>
      <c r="AO42" s="1" t="s">
        <v>229</v>
      </c>
      <c r="AP42" s="1">
        <v>1.0</v>
      </c>
      <c r="AQ42" s="1" t="s">
        <v>198</v>
      </c>
      <c r="AR42" s="1" t="s">
        <v>200</v>
      </c>
      <c r="AS42" s="1" t="s">
        <v>199</v>
      </c>
      <c r="AT42" s="1">
        <v>2.0</v>
      </c>
      <c r="AV42" s="1" t="s">
        <v>200</v>
      </c>
      <c r="AW42" s="1">
        <v>5155.91</v>
      </c>
      <c r="AX42" s="1">
        <v>2013.0</v>
      </c>
      <c r="AY42" s="1" t="s">
        <v>387</v>
      </c>
      <c r="AZ42" s="1" t="s">
        <v>200</v>
      </c>
      <c r="BA42" s="1" t="str">
        <f>"09364160220000"</f>
        <v>09364160220000</v>
      </c>
      <c r="BB42" s="1" t="s">
        <v>192</v>
      </c>
      <c r="BC42" s="1">
        <v>1904.0</v>
      </c>
      <c r="BD42" s="1">
        <v>400000.0</v>
      </c>
      <c r="BE42" s="2">
        <v>41956.0</v>
      </c>
      <c r="BF42" s="2" t="s">
        <v>1221</v>
      </c>
      <c r="BH42" s="1">
        <v>0.0</v>
      </c>
      <c r="BJ42" s="1" t="s">
        <v>1222</v>
      </c>
      <c r="BK42" s="1" t="s">
        <v>204</v>
      </c>
      <c r="BL42" s="1" t="str">
        <f>"6600"</f>
        <v>6600</v>
      </c>
      <c r="BM42" s="1" t="str">
        <f>"0"</f>
        <v>0</v>
      </c>
      <c r="BN42" s="1">
        <v>7600.0</v>
      </c>
      <c r="BO42" s="1">
        <v>0.0</v>
      </c>
      <c r="BQ42" s="1">
        <v>299.0</v>
      </c>
      <c r="BR42" s="1">
        <v>299.0</v>
      </c>
      <c r="BS42" s="1">
        <v>299.0</v>
      </c>
      <c r="BU42" s="1" t="s">
        <v>214</v>
      </c>
      <c r="BV42" s="1" t="s">
        <v>206</v>
      </c>
      <c r="BW42" s="1" t="s">
        <v>207</v>
      </c>
      <c r="BY42" s="1" t="s">
        <v>329</v>
      </c>
      <c r="BZ42" s="1" t="s">
        <v>209</v>
      </c>
      <c r="CA42" s="1" t="s">
        <v>207</v>
      </c>
      <c r="CC42" s="1" t="s">
        <v>758</v>
      </c>
      <c r="CD42" s="1" t="s">
        <v>206</v>
      </c>
      <c r="CE42" s="1" t="s">
        <v>207</v>
      </c>
      <c r="CG42" s="1" t="s">
        <v>433</v>
      </c>
      <c r="CH42" s="1" t="s">
        <v>209</v>
      </c>
      <c r="CI42" s="1" t="s">
        <v>207</v>
      </c>
      <c r="CK42" s="1" t="s">
        <v>647</v>
      </c>
      <c r="CL42" s="1" t="s">
        <v>209</v>
      </c>
      <c r="CM42" s="1" t="s">
        <v>207</v>
      </c>
      <c r="CO42" s="1" t="s">
        <v>363</v>
      </c>
      <c r="CP42" s="1" t="s">
        <v>206</v>
      </c>
      <c r="CQ42" s="1" t="s">
        <v>207</v>
      </c>
      <c r="CR42" s="1" t="s">
        <v>239</v>
      </c>
      <c r="CS42" s="1" t="s">
        <v>363</v>
      </c>
      <c r="CT42" s="1" t="s">
        <v>206</v>
      </c>
      <c r="CU42" s="1" t="s">
        <v>207</v>
      </c>
      <c r="CX42" s="1" t="s">
        <v>204</v>
      </c>
      <c r="DA42" s="1" t="s">
        <v>200</v>
      </c>
      <c r="DC42" s="1" t="s">
        <v>642</v>
      </c>
      <c r="DD42" s="1" t="s">
        <v>518</v>
      </c>
      <c r="DE42" s="1" t="s">
        <v>273</v>
      </c>
      <c r="DF42" s="1" t="s">
        <v>219</v>
      </c>
      <c r="DH42" s="1" t="s">
        <v>365</v>
      </c>
      <c r="DI42" s="1" t="s">
        <v>1223</v>
      </c>
      <c r="DJ42" s="1" t="s">
        <v>1048</v>
      </c>
      <c r="DL42" s="1" t="s">
        <v>1224</v>
      </c>
      <c r="DM42" s="1" t="s">
        <v>229</v>
      </c>
      <c r="DN42" s="1" t="s">
        <v>1225</v>
      </c>
      <c r="DO42" s="1" t="s">
        <v>549</v>
      </c>
      <c r="DP42" s="1" t="s">
        <v>340</v>
      </c>
      <c r="DQ42" s="1" t="s">
        <v>441</v>
      </c>
      <c r="DR42" s="1" t="s">
        <v>229</v>
      </c>
      <c r="DS42" s="1" t="s">
        <v>591</v>
      </c>
      <c r="DU42" s="1" t="s">
        <v>1226</v>
      </c>
      <c r="DV42" s="1" t="s">
        <v>1227</v>
      </c>
      <c r="DW42" s="1" t="s">
        <v>233</v>
      </c>
      <c r="DX42" s="1" t="s">
        <v>234</v>
      </c>
      <c r="DY42" s="1" t="s">
        <v>553</v>
      </c>
      <c r="DZ42" s="1" t="s">
        <v>310</v>
      </c>
      <c r="EB42" s="1" t="s">
        <v>797</v>
      </c>
      <c r="EC42" s="1" t="s">
        <v>237</v>
      </c>
      <c r="ED42" s="1" t="s">
        <v>555</v>
      </c>
      <c r="EH42" s="1" t="s">
        <v>374</v>
      </c>
      <c r="EI42" s="1" t="s">
        <v>1228</v>
      </c>
      <c r="EJ42" s="1" t="s">
        <v>409</v>
      </c>
      <c r="EM42" s="1" t="s">
        <v>238</v>
      </c>
      <c r="EP42" s="1" t="s">
        <v>1229</v>
      </c>
      <c r="EQ42" s="1" t="s">
        <v>206</v>
      </c>
      <c r="ER42" s="1" t="s">
        <v>301</v>
      </c>
      <c r="ET42" s="1" t="s">
        <v>543</v>
      </c>
      <c r="EU42" s="1" t="s">
        <v>209</v>
      </c>
      <c r="EV42" s="1" t="s">
        <v>301</v>
      </c>
      <c r="EW42" s="1" t="s">
        <v>239</v>
      </c>
      <c r="EX42" s="1" t="s">
        <v>1230</v>
      </c>
      <c r="EY42" s="1" t="s">
        <v>209</v>
      </c>
      <c r="EZ42" s="1" t="s">
        <v>301</v>
      </c>
      <c r="FA42" s="1" t="s">
        <v>239</v>
      </c>
      <c r="FC42" s="1" t="s">
        <v>238</v>
      </c>
      <c r="FF42" s="1" t="s">
        <v>239</v>
      </c>
      <c r="FG42" s="1" t="s">
        <v>192</v>
      </c>
      <c r="FH42" s="1" t="s">
        <v>192</v>
      </c>
      <c r="FJ42" s="1" t="s">
        <v>1231</v>
      </c>
      <c r="FK42" s="1" t="s">
        <v>229</v>
      </c>
      <c r="FL42" s="1" t="s">
        <v>1232</v>
      </c>
      <c r="FM42" s="1">
        <v>8084.0</v>
      </c>
      <c r="FN42" s="1" t="s">
        <v>1233</v>
      </c>
      <c r="FO42" s="1" t="s">
        <v>1234</v>
      </c>
      <c r="FP42" s="1">
        <v>80941.0</v>
      </c>
      <c r="FQ42" s="1" t="s">
        <v>1235</v>
      </c>
      <c r="FU42" s="1" t="s">
        <v>1236</v>
      </c>
      <c r="FV42" s="1" t="s">
        <v>200</v>
      </c>
      <c r="FW42" s="1" t="s">
        <v>530</v>
      </c>
      <c r="FX42" s="1" t="s">
        <v>238</v>
      </c>
      <c r="FZ42" s="1" t="s">
        <v>229</v>
      </c>
      <c r="GA42" s="1" t="s">
        <v>291</v>
      </c>
      <c r="GB42" s="2">
        <v>42124.0</v>
      </c>
      <c r="GC42" s="1" t="s">
        <v>1237</v>
      </c>
    </row>
    <row r="43">
      <c r="A43" s="1">
        <v>83000.0</v>
      </c>
      <c r="B43" s="1" t="s">
        <v>185</v>
      </c>
      <c r="C43" s="1" t="str">
        <f>"08758483"</f>
        <v>08758483</v>
      </c>
      <c r="D43" s="1" t="s">
        <v>186</v>
      </c>
      <c r="F43" s="1" t="str">
        <f>"123"</f>
        <v>123</v>
      </c>
      <c r="G43" s="2">
        <v>41933.0</v>
      </c>
      <c r="H43" s="1">
        <v>89100.0</v>
      </c>
      <c r="I43" s="1">
        <v>34.0</v>
      </c>
      <c r="J43" s="1">
        <v>89100.0</v>
      </c>
      <c r="K43" s="2">
        <v>41964.0</v>
      </c>
      <c r="L43" s="1">
        <v>34.0</v>
      </c>
      <c r="M43" s="2">
        <v>41964.0</v>
      </c>
      <c r="N43" s="1" t="s">
        <v>249</v>
      </c>
      <c r="O43" s="2">
        <v>41985.0</v>
      </c>
      <c r="P43" s="1">
        <v>62592.0</v>
      </c>
      <c r="Q43" s="1">
        <v>6097.0</v>
      </c>
      <c r="S43" s="1">
        <v>866.0</v>
      </c>
      <c r="T43" s="1" t="s">
        <v>1238</v>
      </c>
      <c r="U43" s="1" t="s">
        <v>189</v>
      </c>
      <c r="V43" s="1" t="s">
        <v>465</v>
      </c>
      <c r="W43" s="1">
        <v>60120.0</v>
      </c>
      <c r="Y43" s="1" t="s">
        <v>1239</v>
      </c>
      <c r="Z43" s="1">
        <v>1963.0</v>
      </c>
      <c r="AA43" s="1" t="s">
        <v>192</v>
      </c>
      <c r="AB43" s="1" t="s">
        <v>193</v>
      </c>
      <c r="AD43" s="1" t="s">
        <v>469</v>
      </c>
      <c r="AE43" s="1" t="s">
        <v>195</v>
      </c>
      <c r="AF43" s="1" t="s">
        <v>298</v>
      </c>
      <c r="AH43" s="1">
        <v>7000.0</v>
      </c>
      <c r="AI43" s="1">
        <v>0.16</v>
      </c>
      <c r="AK43" s="1">
        <v>7.0</v>
      </c>
      <c r="AL43" s="1">
        <v>4.0</v>
      </c>
      <c r="AM43" s="1">
        <v>2.0</v>
      </c>
      <c r="AN43" s="1">
        <v>0.0</v>
      </c>
      <c r="AO43" s="1" t="s">
        <v>229</v>
      </c>
      <c r="AP43" s="1">
        <v>1.0</v>
      </c>
      <c r="AQ43" s="1" t="s">
        <v>229</v>
      </c>
      <c r="AR43" s="1" t="s">
        <v>200</v>
      </c>
      <c r="AS43" s="1" t="s">
        <v>199</v>
      </c>
      <c r="AT43" s="1">
        <v>1.0</v>
      </c>
      <c r="AV43" s="1" t="s">
        <v>200</v>
      </c>
      <c r="AW43" s="1">
        <v>3284.73</v>
      </c>
      <c r="AX43" s="1">
        <v>2013.0</v>
      </c>
      <c r="AZ43" s="1" t="s">
        <v>200</v>
      </c>
      <c r="BA43" s="1" t="str">
        <f>"06061020320000"</f>
        <v>06061020320000</v>
      </c>
      <c r="BB43" s="1" t="s">
        <v>200</v>
      </c>
      <c r="BC43" s="1">
        <v>1732.0</v>
      </c>
      <c r="BD43" s="1">
        <v>83000.0</v>
      </c>
      <c r="BE43" s="2">
        <v>41931.0</v>
      </c>
      <c r="BF43" s="2" t="s">
        <v>1240</v>
      </c>
      <c r="BG43" s="1" t="s">
        <v>1241</v>
      </c>
      <c r="BH43" s="1">
        <v>0.0</v>
      </c>
      <c r="BI43" s="1" t="s">
        <v>1242</v>
      </c>
      <c r="BJ43" s="1" t="s">
        <v>1243</v>
      </c>
      <c r="BK43" s="1" t="s">
        <v>204</v>
      </c>
      <c r="BL43" s="1" t="str">
        <f t="shared" ref="BL43:BM43" si="26">""</f>
        <v/>
      </c>
      <c r="BM43" s="1" t="str">
        <f t="shared" si="26"/>
        <v/>
      </c>
      <c r="BQ43" s="1">
        <v>46.0</v>
      </c>
      <c r="BR43" s="1">
        <v>46.0</v>
      </c>
      <c r="BS43" s="1">
        <v>46.0</v>
      </c>
      <c r="BU43" s="1" t="s">
        <v>1244</v>
      </c>
      <c r="BV43" s="1" t="s">
        <v>206</v>
      </c>
      <c r="BW43" s="1" t="s">
        <v>210</v>
      </c>
      <c r="BY43" s="1" t="s">
        <v>215</v>
      </c>
      <c r="BZ43" s="1" t="s">
        <v>209</v>
      </c>
      <c r="CA43" s="1" t="s">
        <v>301</v>
      </c>
      <c r="CD43" s="1" t="s">
        <v>204</v>
      </c>
      <c r="CG43" s="1" t="s">
        <v>266</v>
      </c>
      <c r="CH43" s="1" t="s">
        <v>209</v>
      </c>
      <c r="CI43" s="1" t="s">
        <v>210</v>
      </c>
      <c r="CK43" s="1" t="s">
        <v>1245</v>
      </c>
      <c r="CL43" s="1" t="s">
        <v>209</v>
      </c>
      <c r="CO43" s="1" t="s">
        <v>212</v>
      </c>
      <c r="CP43" s="1" t="s">
        <v>206</v>
      </c>
      <c r="CQ43" s="1" t="s">
        <v>301</v>
      </c>
      <c r="CS43" s="1" t="s">
        <v>263</v>
      </c>
      <c r="CT43" s="1" t="s">
        <v>206</v>
      </c>
      <c r="CU43" s="1" t="s">
        <v>301</v>
      </c>
      <c r="CW43" s="1" t="s">
        <v>1246</v>
      </c>
      <c r="CX43" s="1" t="s">
        <v>206</v>
      </c>
      <c r="DA43" s="1" t="s">
        <v>200</v>
      </c>
      <c r="DC43" s="1" t="s">
        <v>271</v>
      </c>
      <c r="DE43" s="1" t="s">
        <v>229</v>
      </c>
      <c r="DF43" s="1" t="s">
        <v>787</v>
      </c>
      <c r="DH43" s="1" t="s">
        <v>220</v>
      </c>
      <c r="DJ43" s="1" t="s">
        <v>222</v>
      </c>
      <c r="DL43" s="1" t="s">
        <v>229</v>
      </c>
      <c r="DM43" s="1" t="s">
        <v>1247</v>
      </c>
      <c r="DN43" s="1" t="s">
        <v>666</v>
      </c>
      <c r="DQ43" s="1" t="s">
        <v>228</v>
      </c>
      <c r="DR43" s="1" t="s">
        <v>229</v>
      </c>
      <c r="DV43" s="1" t="s">
        <v>232</v>
      </c>
      <c r="DW43" s="1" t="s">
        <v>667</v>
      </c>
      <c r="DX43" s="1" t="s">
        <v>234</v>
      </c>
      <c r="DY43" s="1" t="s">
        <v>861</v>
      </c>
      <c r="EC43" s="1" t="s">
        <v>237</v>
      </c>
      <c r="EM43" s="1" t="s">
        <v>238</v>
      </c>
      <c r="EQ43" s="1" t="s">
        <v>238</v>
      </c>
      <c r="EU43" s="1" t="s">
        <v>238</v>
      </c>
      <c r="EY43" s="1" t="s">
        <v>238</v>
      </c>
      <c r="FC43" s="1" t="s">
        <v>238</v>
      </c>
      <c r="FF43" s="1" t="s">
        <v>239</v>
      </c>
      <c r="FG43" s="1" t="s">
        <v>192</v>
      </c>
      <c r="FH43" s="1" t="s">
        <v>192</v>
      </c>
      <c r="FJ43" s="1" t="s">
        <v>1248</v>
      </c>
      <c r="FK43" s="1" t="s">
        <v>229</v>
      </c>
      <c r="FL43" s="1" t="s">
        <v>1249</v>
      </c>
      <c r="FM43" s="1">
        <v>20150.0</v>
      </c>
      <c r="FN43" s="1" t="s">
        <v>1250</v>
      </c>
      <c r="FO43" s="1" t="s">
        <v>1251</v>
      </c>
      <c r="FP43" s="1">
        <v>211012.0</v>
      </c>
      <c r="FQ43" s="1" t="s">
        <v>1252</v>
      </c>
      <c r="FT43" s="1" t="s">
        <v>1253</v>
      </c>
      <c r="FU43" s="1" t="s">
        <v>1254</v>
      </c>
      <c r="FV43" s="1" t="s">
        <v>200</v>
      </c>
      <c r="FW43" s="1" t="s">
        <v>1255</v>
      </c>
      <c r="FZ43" s="1" t="s">
        <v>632</v>
      </c>
      <c r="GA43" s="1" t="s">
        <v>291</v>
      </c>
      <c r="GB43" s="2">
        <v>41985.0</v>
      </c>
    </row>
    <row r="44">
      <c r="A44" s="1">
        <v>189000.0</v>
      </c>
      <c r="B44" s="1" t="s">
        <v>185</v>
      </c>
      <c r="C44" s="1" t="str">
        <f>"08760851"</f>
        <v>08760851</v>
      </c>
      <c r="D44" s="1" t="s">
        <v>186</v>
      </c>
      <c r="F44" s="1" t="str">
        <f>"103"</f>
        <v>103</v>
      </c>
      <c r="G44" s="2">
        <v>41936.0</v>
      </c>
      <c r="H44" s="1">
        <v>194500.0</v>
      </c>
      <c r="I44" s="1">
        <v>23.0</v>
      </c>
      <c r="J44" s="1">
        <v>194500.0</v>
      </c>
      <c r="K44" s="2">
        <v>41958.0</v>
      </c>
      <c r="L44" s="1">
        <v>23.0</v>
      </c>
      <c r="M44" s="2">
        <v>41958.0</v>
      </c>
      <c r="N44" s="1" t="s">
        <v>356</v>
      </c>
      <c r="O44" s="2">
        <v>42040.0</v>
      </c>
      <c r="P44" s="1">
        <v>189.0</v>
      </c>
      <c r="Q44" s="1">
        <v>771.0</v>
      </c>
      <c r="S44" s="1">
        <v>5910.0</v>
      </c>
      <c r="T44" s="1" t="s">
        <v>1256</v>
      </c>
      <c r="U44" s="1" t="s">
        <v>420</v>
      </c>
      <c r="V44" s="1" t="s">
        <v>251</v>
      </c>
      <c r="W44" s="1">
        <v>60133.0</v>
      </c>
      <c r="Y44" s="1" t="s">
        <v>1257</v>
      </c>
      <c r="Z44" s="1">
        <v>1971.0</v>
      </c>
      <c r="AA44" s="1" t="s">
        <v>192</v>
      </c>
      <c r="AB44" s="1" t="s">
        <v>193</v>
      </c>
      <c r="AD44" s="1" t="s">
        <v>254</v>
      </c>
      <c r="AE44" s="1" t="s">
        <v>1258</v>
      </c>
      <c r="AF44" s="1" t="s">
        <v>1259</v>
      </c>
      <c r="AH44" s="1" t="s">
        <v>1260</v>
      </c>
      <c r="AI44" s="1">
        <v>0.2895</v>
      </c>
      <c r="AK44" s="1">
        <v>8.0</v>
      </c>
      <c r="AL44" s="1">
        <v>4.0</v>
      </c>
      <c r="AM44" s="1">
        <v>2.0</v>
      </c>
      <c r="AN44" s="1">
        <v>0.0</v>
      </c>
      <c r="AO44" s="1" t="s">
        <v>1261</v>
      </c>
      <c r="AQ44" s="1" t="s">
        <v>257</v>
      </c>
      <c r="AR44" s="1" t="s">
        <v>200</v>
      </c>
      <c r="AS44" s="1" t="s">
        <v>199</v>
      </c>
      <c r="AT44" s="1">
        <v>1.0</v>
      </c>
      <c r="AV44" s="1" t="s">
        <v>200</v>
      </c>
      <c r="AW44" s="1">
        <v>6159.0</v>
      </c>
      <c r="AX44" s="1">
        <v>2013.0</v>
      </c>
      <c r="AY44" s="1" t="s">
        <v>387</v>
      </c>
      <c r="AZ44" s="1" t="s">
        <v>200</v>
      </c>
      <c r="BA44" s="1" t="str">
        <f>"0206305042"</f>
        <v>0206305042</v>
      </c>
      <c r="BB44" s="1" t="s">
        <v>200</v>
      </c>
      <c r="BC44" s="1">
        <v>1811.0</v>
      </c>
      <c r="BD44" s="1">
        <v>189000.0</v>
      </c>
      <c r="BE44" s="2">
        <v>41936.0</v>
      </c>
      <c r="BF44" s="2" t="s">
        <v>1262</v>
      </c>
      <c r="BG44" s="1" t="s">
        <v>1263</v>
      </c>
      <c r="BH44" s="1">
        <v>31.0</v>
      </c>
      <c r="BI44" s="1" t="s">
        <v>1264</v>
      </c>
      <c r="BJ44" s="1" t="s">
        <v>1265</v>
      </c>
      <c r="BK44" s="1" t="s">
        <v>474</v>
      </c>
      <c r="BL44" s="1" t="str">
        <f t="shared" ref="BL44:BM44" si="27">""</f>
        <v/>
      </c>
      <c r="BM44" s="1" t="str">
        <f t="shared" si="27"/>
        <v/>
      </c>
      <c r="BQ44" s="1">
        <v>20.0</v>
      </c>
      <c r="BR44" s="1">
        <v>108.0</v>
      </c>
      <c r="BS44" s="1">
        <v>20.0</v>
      </c>
      <c r="BU44" s="1" t="s">
        <v>390</v>
      </c>
      <c r="BV44" s="1" t="s">
        <v>206</v>
      </c>
      <c r="BW44" s="1" t="s">
        <v>210</v>
      </c>
      <c r="BY44" s="1" t="s">
        <v>211</v>
      </c>
      <c r="BZ44" s="1" t="s">
        <v>209</v>
      </c>
      <c r="CA44" s="1" t="s">
        <v>210</v>
      </c>
      <c r="CC44" s="1" t="s">
        <v>699</v>
      </c>
      <c r="CD44" s="1" t="s">
        <v>206</v>
      </c>
      <c r="CE44" s="1" t="s">
        <v>210</v>
      </c>
      <c r="CG44" s="1" t="s">
        <v>495</v>
      </c>
      <c r="CH44" s="1" t="s">
        <v>209</v>
      </c>
      <c r="CI44" s="1" t="s">
        <v>210</v>
      </c>
      <c r="CK44" s="1" t="s">
        <v>495</v>
      </c>
      <c r="CL44" s="1" t="s">
        <v>209</v>
      </c>
      <c r="CM44" s="1" t="s">
        <v>210</v>
      </c>
      <c r="CO44" s="1" t="s">
        <v>623</v>
      </c>
      <c r="CP44" s="1" t="s">
        <v>267</v>
      </c>
      <c r="CQ44" s="1" t="s">
        <v>617</v>
      </c>
      <c r="CS44" s="1" t="s">
        <v>212</v>
      </c>
      <c r="CT44" s="1" t="s">
        <v>206</v>
      </c>
      <c r="CU44" s="1" t="s">
        <v>617</v>
      </c>
      <c r="CW44" s="1" t="s">
        <v>333</v>
      </c>
      <c r="CX44" s="1" t="s">
        <v>267</v>
      </c>
      <c r="CY44" s="1" t="s">
        <v>210</v>
      </c>
      <c r="DA44" s="1" t="s">
        <v>200</v>
      </c>
      <c r="DC44" s="1" t="s">
        <v>517</v>
      </c>
      <c r="DD44" s="1" t="s">
        <v>518</v>
      </c>
      <c r="DE44" s="1" t="s">
        <v>273</v>
      </c>
      <c r="DF44" s="1" t="s">
        <v>219</v>
      </c>
      <c r="DG44" s="1" t="s">
        <v>1266</v>
      </c>
      <c r="DH44" s="1" t="s">
        <v>220</v>
      </c>
      <c r="DI44" s="1" t="s">
        <v>959</v>
      </c>
      <c r="DJ44" s="1" t="s">
        <v>222</v>
      </c>
      <c r="DL44" s="1" t="s">
        <v>1267</v>
      </c>
      <c r="DM44" s="1" t="s">
        <v>1268</v>
      </c>
      <c r="DP44" s="1" t="s">
        <v>340</v>
      </c>
      <c r="DQ44" s="1" t="s">
        <v>441</v>
      </c>
      <c r="DR44" s="1" t="s">
        <v>1269</v>
      </c>
      <c r="DU44" s="1" t="s">
        <v>1049</v>
      </c>
      <c r="DV44" s="1" t="s">
        <v>1270</v>
      </c>
      <c r="DW44" s="1" t="s">
        <v>370</v>
      </c>
      <c r="DX44" s="1" t="s">
        <v>234</v>
      </c>
      <c r="DY44" s="1" t="s">
        <v>1006</v>
      </c>
      <c r="DZ44" s="1" t="s">
        <v>446</v>
      </c>
      <c r="EC44" s="1" t="s">
        <v>284</v>
      </c>
      <c r="ED44" s="1" t="s">
        <v>555</v>
      </c>
      <c r="EE44" s="1" t="s">
        <v>493</v>
      </c>
      <c r="EG44" s="1" t="s">
        <v>1270</v>
      </c>
      <c r="EL44" s="1" t="s">
        <v>558</v>
      </c>
      <c r="EM44" s="1" t="s">
        <v>267</v>
      </c>
      <c r="EN44" s="1" t="s">
        <v>617</v>
      </c>
      <c r="EQ44" s="1" t="s">
        <v>238</v>
      </c>
      <c r="EU44" s="1" t="s">
        <v>238</v>
      </c>
      <c r="EY44" s="1" t="s">
        <v>238</v>
      </c>
      <c r="FC44" s="1" t="s">
        <v>238</v>
      </c>
      <c r="FF44" s="1" t="s">
        <v>239</v>
      </c>
      <c r="FG44" s="1" t="s">
        <v>192</v>
      </c>
      <c r="FH44" s="1" t="s">
        <v>192</v>
      </c>
      <c r="FJ44" s="1" t="s">
        <v>1271</v>
      </c>
      <c r="FK44" s="1" t="s">
        <v>229</v>
      </c>
      <c r="FL44" s="1" t="s">
        <v>625</v>
      </c>
      <c r="FM44" s="1">
        <v>37.0</v>
      </c>
      <c r="FN44" s="1" t="s">
        <v>626</v>
      </c>
      <c r="FO44" s="1" t="s">
        <v>1272</v>
      </c>
      <c r="FP44" s="1">
        <v>7683.0</v>
      </c>
      <c r="FQ44" s="1" t="s">
        <v>1273</v>
      </c>
      <c r="FR44" s="1">
        <v>8360.0</v>
      </c>
      <c r="FU44" s="1" t="s">
        <v>1274</v>
      </c>
      <c r="FV44" s="1" t="s">
        <v>200</v>
      </c>
      <c r="FW44" s="1" t="s">
        <v>290</v>
      </c>
      <c r="FX44" s="1" t="s">
        <v>238</v>
      </c>
      <c r="FZ44" s="1" t="s">
        <v>229</v>
      </c>
      <c r="GA44" s="1" t="s">
        <v>291</v>
      </c>
      <c r="GB44" s="2">
        <v>42044.0</v>
      </c>
      <c r="GC44" s="1" t="s">
        <v>1275</v>
      </c>
    </row>
    <row r="45">
      <c r="A45" s="1">
        <v>300000.0</v>
      </c>
      <c r="B45" s="1" t="s">
        <v>185</v>
      </c>
      <c r="C45" s="1" t="str">
        <f>"08858447"</f>
        <v>08858447</v>
      </c>
      <c r="D45" s="1" t="s">
        <v>186</v>
      </c>
      <c r="F45" s="1" t="str">
        <f>"8015"</f>
        <v>8015</v>
      </c>
      <c r="G45" s="2">
        <v>42074.0</v>
      </c>
      <c r="H45" s="1">
        <v>345000.0</v>
      </c>
      <c r="I45" s="1">
        <v>6.0</v>
      </c>
      <c r="J45" s="1">
        <v>345000.0</v>
      </c>
      <c r="K45" s="2">
        <v>42079.0</v>
      </c>
      <c r="L45" s="1">
        <v>6.0</v>
      </c>
      <c r="M45" s="2">
        <v>42079.0</v>
      </c>
      <c r="N45" s="1" t="s">
        <v>356</v>
      </c>
      <c r="O45" s="2">
        <v>42138.0</v>
      </c>
      <c r="P45" s="1">
        <v>119288.0</v>
      </c>
      <c r="Q45" s="1">
        <v>10274.0</v>
      </c>
      <c r="R45" s="1">
        <v>1000.0</v>
      </c>
      <c r="S45" s="1">
        <v>5209.0</v>
      </c>
      <c r="T45" s="1" t="s">
        <v>188</v>
      </c>
      <c r="U45" s="1" t="s">
        <v>189</v>
      </c>
      <c r="V45" s="1" t="s">
        <v>190</v>
      </c>
      <c r="W45" s="1">
        <v>60641.0</v>
      </c>
      <c r="Y45" s="1" t="s">
        <v>1276</v>
      </c>
      <c r="Z45" s="1">
        <v>1916.0</v>
      </c>
      <c r="AA45" s="1" t="s">
        <v>192</v>
      </c>
      <c r="AB45" s="1" t="s">
        <v>193</v>
      </c>
      <c r="AD45" s="1" t="s">
        <v>194</v>
      </c>
      <c r="AE45" s="1" t="s">
        <v>195</v>
      </c>
      <c r="AF45" s="1" t="s">
        <v>196</v>
      </c>
      <c r="AH45" s="1" t="s">
        <v>1277</v>
      </c>
      <c r="AI45" s="1">
        <v>0.0861</v>
      </c>
      <c r="AK45" s="1">
        <v>8.0</v>
      </c>
      <c r="AL45" s="1">
        <v>3.0</v>
      </c>
      <c r="AM45" s="1">
        <v>3.0</v>
      </c>
      <c r="AN45" s="1">
        <v>1.0</v>
      </c>
      <c r="AO45" s="1" t="s">
        <v>198</v>
      </c>
      <c r="AP45" s="1">
        <v>0.0</v>
      </c>
      <c r="AQ45" s="1" t="s">
        <v>198</v>
      </c>
      <c r="AR45" s="1" t="s">
        <v>192</v>
      </c>
      <c r="AS45" s="1" t="s">
        <v>199</v>
      </c>
      <c r="AT45" s="1">
        <v>2.0</v>
      </c>
      <c r="AV45" s="1" t="s">
        <v>200</v>
      </c>
      <c r="AW45" s="1">
        <v>3598.18</v>
      </c>
      <c r="AX45" s="1">
        <v>2013.0</v>
      </c>
      <c r="AZ45" s="1" t="s">
        <v>200</v>
      </c>
      <c r="BA45" s="1" t="str">
        <f>"13211230170000"</f>
        <v>13211230170000</v>
      </c>
      <c r="BB45" s="1" t="s">
        <v>200</v>
      </c>
      <c r="BC45" s="1">
        <v>2602.0</v>
      </c>
      <c r="BD45" s="1">
        <v>300000.0</v>
      </c>
      <c r="BE45" s="2">
        <v>42074.0</v>
      </c>
      <c r="BF45" s="2" t="s">
        <v>1278</v>
      </c>
      <c r="BH45" s="1">
        <v>0.0</v>
      </c>
      <c r="BK45" s="1" t="s">
        <v>204</v>
      </c>
      <c r="BL45" s="1" t="str">
        <f>"3700"</f>
        <v>3700</v>
      </c>
      <c r="BM45" s="1" t="str">
        <f>"0"</f>
        <v>0</v>
      </c>
      <c r="BN45" s="1">
        <v>5200.0</v>
      </c>
      <c r="BO45" s="1">
        <v>0.0</v>
      </c>
      <c r="BQ45" s="1">
        <v>299.0</v>
      </c>
      <c r="BR45" s="1">
        <v>299.0</v>
      </c>
      <c r="BS45" s="1">
        <v>299.0</v>
      </c>
      <c r="BU45" s="1" t="s">
        <v>854</v>
      </c>
      <c r="BV45" s="1" t="s">
        <v>206</v>
      </c>
      <c r="BW45" s="1" t="s">
        <v>207</v>
      </c>
      <c r="BX45" s="1" t="s">
        <v>431</v>
      </c>
      <c r="BY45" s="1" t="s">
        <v>331</v>
      </c>
      <c r="BZ45" s="1" t="s">
        <v>206</v>
      </c>
      <c r="CA45" s="1" t="s">
        <v>207</v>
      </c>
      <c r="CB45" s="1" t="s">
        <v>431</v>
      </c>
      <c r="CC45" s="1" t="s">
        <v>542</v>
      </c>
      <c r="CD45" s="1" t="s">
        <v>206</v>
      </c>
      <c r="CE45" s="1" t="s">
        <v>207</v>
      </c>
      <c r="CF45" s="1" t="s">
        <v>431</v>
      </c>
      <c r="CG45" s="1" t="s">
        <v>215</v>
      </c>
      <c r="CH45" s="1" t="s">
        <v>209</v>
      </c>
      <c r="CI45" s="1" t="s">
        <v>210</v>
      </c>
      <c r="CJ45" s="1" t="s">
        <v>229</v>
      </c>
      <c r="CK45" s="1" t="s">
        <v>393</v>
      </c>
      <c r="CL45" s="1" t="s">
        <v>209</v>
      </c>
      <c r="CM45" s="1" t="s">
        <v>210</v>
      </c>
      <c r="CN45" s="1" t="s">
        <v>229</v>
      </c>
      <c r="CO45" s="1" t="s">
        <v>1229</v>
      </c>
      <c r="CP45" s="1" t="s">
        <v>42</v>
      </c>
      <c r="CQ45" s="1" t="s">
        <v>268</v>
      </c>
      <c r="CR45" s="1" t="s">
        <v>229</v>
      </c>
      <c r="CS45" s="1" t="s">
        <v>264</v>
      </c>
      <c r="CT45" s="1" t="s">
        <v>206</v>
      </c>
      <c r="CU45" s="1" t="s">
        <v>207</v>
      </c>
      <c r="CV45" s="1" t="s">
        <v>431</v>
      </c>
      <c r="CW45" s="1" t="s">
        <v>1279</v>
      </c>
      <c r="CX45" s="1" t="s">
        <v>42</v>
      </c>
      <c r="CY45" s="1" t="s">
        <v>268</v>
      </c>
      <c r="CZ45" s="1" t="s">
        <v>229</v>
      </c>
      <c r="DA45" s="1" t="s">
        <v>200</v>
      </c>
      <c r="DC45" s="1" t="s">
        <v>216</v>
      </c>
      <c r="DD45" s="1" t="s">
        <v>731</v>
      </c>
      <c r="DE45" s="1" t="s">
        <v>273</v>
      </c>
      <c r="DF45" s="1" t="s">
        <v>219</v>
      </c>
      <c r="DG45" s="1" t="s">
        <v>337</v>
      </c>
      <c r="DH45" s="1" t="s">
        <v>365</v>
      </c>
      <c r="DI45" s="1" t="s">
        <v>366</v>
      </c>
      <c r="DJ45" s="1" t="s">
        <v>222</v>
      </c>
      <c r="DL45" s="1" t="s">
        <v>224</v>
      </c>
      <c r="DM45" s="1" t="s">
        <v>398</v>
      </c>
      <c r="DN45" s="1" t="s">
        <v>226</v>
      </c>
      <c r="DO45" s="1" t="s">
        <v>717</v>
      </c>
      <c r="DP45" s="1" t="s">
        <v>276</v>
      </c>
      <c r="DQ45" s="1" t="s">
        <v>228</v>
      </c>
      <c r="DR45" s="1" t="s">
        <v>229</v>
      </c>
      <c r="DS45" s="1" t="s">
        <v>230</v>
      </c>
      <c r="DU45" s="1" t="s">
        <v>681</v>
      </c>
      <c r="DV45" s="1" t="s">
        <v>232</v>
      </c>
      <c r="DW45" s="1" t="s">
        <v>233</v>
      </c>
      <c r="DX45" s="1" t="s">
        <v>234</v>
      </c>
      <c r="DY45" s="1" t="s">
        <v>553</v>
      </c>
      <c r="DZ45" s="1" t="s">
        <v>310</v>
      </c>
      <c r="EC45" s="1" t="s">
        <v>237</v>
      </c>
      <c r="ED45" s="1" t="s">
        <v>407</v>
      </c>
      <c r="EM45" s="1" t="s">
        <v>238</v>
      </c>
      <c r="EQ45" s="1" t="s">
        <v>238</v>
      </c>
      <c r="EU45" s="1" t="s">
        <v>238</v>
      </c>
      <c r="EY45" s="1" t="s">
        <v>238</v>
      </c>
      <c r="FC45" s="1" t="s">
        <v>238</v>
      </c>
      <c r="FF45" s="1" t="s">
        <v>239</v>
      </c>
      <c r="FG45" s="1" t="s">
        <v>192</v>
      </c>
      <c r="FH45" s="1" t="s">
        <v>192</v>
      </c>
      <c r="FJ45" s="1" t="s">
        <v>1280</v>
      </c>
      <c r="FK45" s="1" t="s">
        <v>229</v>
      </c>
      <c r="FL45" s="1" t="s">
        <v>649</v>
      </c>
      <c r="FM45" s="1">
        <v>60296.0</v>
      </c>
      <c r="FN45" s="1" t="s">
        <v>650</v>
      </c>
      <c r="FO45" s="1" t="s">
        <v>651</v>
      </c>
      <c r="FP45" s="1">
        <v>602837.0</v>
      </c>
      <c r="FQ45" s="1" t="s">
        <v>652</v>
      </c>
      <c r="FR45" s="1">
        <v>602442.0</v>
      </c>
      <c r="FU45" s="1" t="s">
        <v>1281</v>
      </c>
      <c r="FV45" s="1" t="s">
        <v>200</v>
      </c>
      <c r="FW45" s="1" t="s">
        <v>530</v>
      </c>
      <c r="FX45" s="1" t="s">
        <v>246</v>
      </c>
      <c r="FZ45" s="1" t="s">
        <v>229</v>
      </c>
      <c r="GA45" s="1" t="s">
        <v>291</v>
      </c>
      <c r="GB45" s="2">
        <v>42139.0</v>
      </c>
      <c r="GC45" s="1" t="s">
        <v>723</v>
      </c>
    </row>
    <row r="46">
      <c r="A46" s="1">
        <v>143500.0</v>
      </c>
      <c r="B46" s="1" t="s">
        <v>185</v>
      </c>
      <c r="C46" s="1" t="str">
        <f>"08764257"</f>
        <v>08764257</v>
      </c>
      <c r="D46" s="1" t="s">
        <v>186</v>
      </c>
      <c r="F46" s="1" t="str">
        <f>"8064"</f>
        <v>8064</v>
      </c>
      <c r="G46" s="2">
        <v>41941.0</v>
      </c>
      <c r="H46" s="1">
        <v>159900.0</v>
      </c>
      <c r="I46" s="1">
        <v>195.0</v>
      </c>
      <c r="J46" s="1">
        <v>154900.0</v>
      </c>
      <c r="K46" s="2">
        <v>42051.0</v>
      </c>
      <c r="L46" s="1">
        <v>111.0</v>
      </c>
      <c r="M46" s="2">
        <v>42051.0</v>
      </c>
      <c r="N46" s="1" t="s">
        <v>356</v>
      </c>
      <c r="O46" s="2">
        <v>42101.0</v>
      </c>
      <c r="P46" s="1">
        <v>228203.0</v>
      </c>
      <c r="Q46" s="1">
        <v>25929.0</v>
      </c>
      <c r="R46" s="1">
        <v>3500.0</v>
      </c>
      <c r="S46" s="1">
        <v>6217.0</v>
      </c>
      <c r="T46" s="1" t="s">
        <v>1282</v>
      </c>
      <c r="U46" s="1" t="s">
        <v>189</v>
      </c>
      <c r="V46" s="1" t="s">
        <v>190</v>
      </c>
      <c r="W46" s="1">
        <v>60638.0</v>
      </c>
      <c r="Y46" s="1" t="s">
        <v>1283</v>
      </c>
      <c r="Z46" s="1">
        <v>1952.0</v>
      </c>
      <c r="AA46" s="1" t="s">
        <v>192</v>
      </c>
      <c r="AB46" s="1" t="s">
        <v>193</v>
      </c>
      <c r="AD46" s="1" t="s">
        <v>194</v>
      </c>
      <c r="AE46" s="1" t="s">
        <v>195</v>
      </c>
      <c r="AF46" s="1" t="s">
        <v>659</v>
      </c>
      <c r="AH46" s="1" t="s">
        <v>1284</v>
      </c>
      <c r="AI46" s="1">
        <v>0.0868</v>
      </c>
      <c r="AK46" s="1">
        <v>7.0</v>
      </c>
      <c r="AL46" s="1">
        <v>3.0</v>
      </c>
      <c r="AM46" s="1">
        <v>1.0</v>
      </c>
      <c r="AN46" s="1">
        <v>1.0</v>
      </c>
      <c r="AO46" s="1" t="s">
        <v>229</v>
      </c>
      <c r="AP46" s="1">
        <v>1.0</v>
      </c>
      <c r="AQ46" s="1" t="s">
        <v>198</v>
      </c>
      <c r="AR46" s="1" t="s">
        <v>192</v>
      </c>
      <c r="AS46" s="1" t="s">
        <v>199</v>
      </c>
      <c r="AT46" s="1">
        <v>2.0</v>
      </c>
      <c r="AV46" s="1" t="s">
        <v>200</v>
      </c>
      <c r="AW46" s="1">
        <v>2431.15</v>
      </c>
      <c r="AX46" s="1">
        <v>2012.0</v>
      </c>
      <c r="AZ46" s="1" t="s">
        <v>200</v>
      </c>
      <c r="BA46" s="1" t="str">
        <f>"19174270060000"</f>
        <v>19174270060000</v>
      </c>
      <c r="BC46" s="1">
        <v>980.0</v>
      </c>
      <c r="BD46" s="1">
        <v>143500.0</v>
      </c>
      <c r="BE46" s="2">
        <v>41941.0</v>
      </c>
      <c r="BF46" s="1" t="s">
        <v>1285</v>
      </c>
      <c r="BH46" s="1">
        <v>0.0</v>
      </c>
      <c r="BK46" s="1" t="s">
        <v>204</v>
      </c>
      <c r="BL46" s="1" t="str">
        <f t="shared" ref="BL46:BM46" si="28">"0"</f>
        <v>0</v>
      </c>
      <c r="BM46" s="1" t="str">
        <f t="shared" si="28"/>
        <v>0</v>
      </c>
      <c r="BN46" s="1">
        <v>6217.0</v>
      </c>
      <c r="BO46" s="1">
        <v>5800.0</v>
      </c>
      <c r="BQ46" s="1">
        <v>299.0</v>
      </c>
      <c r="BR46" s="1">
        <v>299.0</v>
      </c>
      <c r="BS46" s="1">
        <v>299.0</v>
      </c>
      <c r="BU46" s="1" t="s">
        <v>1158</v>
      </c>
      <c r="BV46" s="1" t="s">
        <v>206</v>
      </c>
      <c r="BW46" s="1" t="s">
        <v>210</v>
      </c>
      <c r="BY46" s="1" t="s">
        <v>332</v>
      </c>
      <c r="BZ46" s="1" t="s">
        <v>206</v>
      </c>
      <c r="CA46" s="1" t="s">
        <v>588</v>
      </c>
      <c r="CD46" s="1" t="s">
        <v>204</v>
      </c>
      <c r="CG46" s="1" t="s">
        <v>269</v>
      </c>
      <c r="CH46" s="1" t="s">
        <v>206</v>
      </c>
      <c r="CI46" s="1" t="s">
        <v>210</v>
      </c>
      <c r="CK46" s="1" t="s">
        <v>814</v>
      </c>
      <c r="CL46" s="1" t="s">
        <v>206</v>
      </c>
      <c r="CM46" s="1" t="s">
        <v>588</v>
      </c>
      <c r="CO46" s="1" t="s">
        <v>495</v>
      </c>
      <c r="CP46" s="1" t="s">
        <v>42</v>
      </c>
      <c r="CQ46" s="1" t="s">
        <v>588</v>
      </c>
      <c r="CS46" s="1" t="s">
        <v>663</v>
      </c>
      <c r="CT46" s="1" t="s">
        <v>206</v>
      </c>
      <c r="CU46" s="1" t="s">
        <v>617</v>
      </c>
      <c r="CW46" s="1" t="s">
        <v>1286</v>
      </c>
      <c r="CX46" s="1" t="s">
        <v>42</v>
      </c>
      <c r="CY46" s="1" t="s">
        <v>588</v>
      </c>
      <c r="DA46" s="1" t="s">
        <v>200</v>
      </c>
      <c r="DC46" s="1" t="s">
        <v>702</v>
      </c>
      <c r="DE46" s="1" t="s">
        <v>273</v>
      </c>
      <c r="DF46" s="1" t="s">
        <v>219</v>
      </c>
      <c r="DH46" s="1" t="s">
        <v>365</v>
      </c>
      <c r="DJ46" s="1" t="s">
        <v>222</v>
      </c>
      <c r="DL46" s="1" t="s">
        <v>224</v>
      </c>
      <c r="DM46" s="1" t="s">
        <v>338</v>
      </c>
      <c r="DO46" s="1" t="s">
        <v>549</v>
      </c>
      <c r="DQ46" s="1" t="s">
        <v>228</v>
      </c>
      <c r="DR46" s="1" t="s">
        <v>229</v>
      </c>
      <c r="DV46" s="1" t="s">
        <v>232</v>
      </c>
      <c r="DW46" s="1" t="s">
        <v>279</v>
      </c>
      <c r="DX46" s="1" t="s">
        <v>1287</v>
      </c>
      <c r="EC46" s="1" t="s">
        <v>311</v>
      </c>
      <c r="ED46" s="1" t="s">
        <v>555</v>
      </c>
      <c r="EM46" s="1" t="s">
        <v>238</v>
      </c>
      <c r="EQ46" s="1" t="s">
        <v>238</v>
      </c>
      <c r="EU46" s="1" t="s">
        <v>238</v>
      </c>
      <c r="EY46" s="1" t="s">
        <v>238</v>
      </c>
      <c r="FC46" s="1" t="s">
        <v>238</v>
      </c>
      <c r="FF46" s="1" t="s">
        <v>239</v>
      </c>
      <c r="FG46" s="1" t="s">
        <v>192</v>
      </c>
      <c r="FH46" s="1" t="s">
        <v>192</v>
      </c>
      <c r="FJ46" s="1" t="s">
        <v>1288</v>
      </c>
      <c r="FK46" s="1" t="s">
        <v>229</v>
      </c>
      <c r="FL46" s="1" t="s">
        <v>1289</v>
      </c>
      <c r="FM46" s="1">
        <v>25619.0</v>
      </c>
      <c r="FN46" s="1" t="s">
        <v>1290</v>
      </c>
      <c r="FO46" s="1" t="s">
        <v>1291</v>
      </c>
      <c r="FP46" s="1">
        <v>604881.0</v>
      </c>
      <c r="FQ46" s="1" t="s">
        <v>1290</v>
      </c>
      <c r="FU46" s="1" t="s">
        <v>1292</v>
      </c>
      <c r="FV46" s="1" t="s">
        <v>200</v>
      </c>
      <c r="FW46" s="1" t="s">
        <v>1293</v>
      </c>
      <c r="FX46" s="1" t="s">
        <v>655</v>
      </c>
      <c r="FZ46" s="1" t="s">
        <v>229</v>
      </c>
      <c r="GA46" s="1" t="s">
        <v>291</v>
      </c>
      <c r="GB46" s="2">
        <v>42101.0</v>
      </c>
    </row>
    <row r="47">
      <c r="A47" s="1">
        <v>66725.0</v>
      </c>
      <c r="B47" s="1" t="s">
        <v>185</v>
      </c>
      <c r="C47" s="1" t="str">
        <f>"08758193"</f>
        <v>08758193</v>
      </c>
      <c r="D47" s="1" t="s">
        <v>186</v>
      </c>
      <c r="F47" s="1" t="str">
        <f>"8058"</f>
        <v>8058</v>
      </c>
      <c r="G47" s="2">
        <v>41933.0</v>
      </c>
      <c r="H47" s="1">
        <v>57900.0</v>
      </c>
      <c r="I47" s="1">
        <v>70.0</v>
      </c>
      <c r="J47" s="1">
        <v>57900.0</v>
      </c>
      <c r="K47" s="2">
        <v>42002.0</v>
      </c>
      <c r="L47" s="1">
        <v>70.0</v>
      </c>
      <c r="M47" s="2">
        <v>42002.0</v>
      </c>
      <c r="N47" s="1" t="s">
        <v>187</v>
      </c>
      <c r="O47" s="2">
        <v>42094.0</v>
      </c>
      <c r="P47" s="1">
        <v>128621.0</v>
      </c>
      <c r="Q47" s="1">
        <v>85800.0</v>
      </c>
      <c r="S47" s="1">
        <v>4211.0</v>
      </c>
      <c r="T47" s="1" t="s">
        <v>1294</v>
      </c>
      <c r="U47" s="1" t="s">
        <v>320</v>
      </c>
      <c r="V47" s="1" t="s">
        <v>190</v>
      </c>
      <c r="W47" s="1">
        <v>60632.0</v>
      </c>
      <c r="Y47" s="1" t="s">
        <v>1295</v>
      </c>
      <c r="Z47" s="1">
        <v>1897.0</v>
      </c>
      <c r="AA47" s="1" t="s">
        <v>192</v>
      </c>
      <c r="AB47" s="1" t="s">
        <v>193</v>
      </c>
      <c r="AD47" s="1" t="s">
        <v>194</v>
      </c>
      <c r="AE47" s="1" t="s">
        <v>195</v>
      </c>
      <c r="AF47" s="1" t="s">
        <v>1154</v>
      </c>
      <c r="AH47" s="1" t="s">
        <v>359</v>
      </c>
      <c r="AI47" s="1">
        <v>0.0689</v>
      </c>
      <c r="AK47" s="1">
        <v>8.0</v>
      </c>
      <c r="AL47" s="1">
        <v>4.0</v>
      </c>
      <c r="AM47" s="1">
        <v>1.0</v>
      </c>
      <c r="AN47" s="1">
        <v>1.0</v>
      </c>
      <c r="AO47" s="1" t="s">
        <v>229</v>
      </c>
      <c r="AQ47" s="1" t="s">
        <v>257</v>
      </c>
      <c r="AR47" s="1" t="s">
        <v>192</v>
      </c>
      <c r="AS47" s="1" t="s">
        <v>199</v>
      </c>
      <c r="AT47" s="1">
        <v>2.0</v>
      </c>
      <c r="AV47" s="1" t="s">
        <v>200</v>
      </c>
      <c r="AW47" s="1">
        <v>1624.9</v>
      </c>
      <c r="AX47" s="1">
        <v>2012.0</v>
      </c>
      <c r="AY47" s="1" t="s">
        <v>387</v>
      </c>
      <c r="AZ47" s="1" t="s">
        <v>200</v>
      </c>
      <c r="BA47" s="1" t="str">
        <f>"19012200050000"</f>
        <v>19012200050000</v>
      </c>
      <c r="BB47" s="1" t="s">
        <v>192</v>
      </c>
      <c r="BC47" s="1">
        <v>900.0</v>
      </c>
      <c r="BD47" s="1">
        <v>66725.0</v>
      </c>
      <c r="BE47" s="2">
        <v>41933.0</v>
      </c>
      <c r="BF47" s="1" t="s">
        <v>1296</v>
      </c>
      <c r="BH47" s="1">
        <v>0.0</v>
      </c>
      <c r="BK47" s="1" t="s">
        <v>204</v>
      </c>
      <c r="BL47" s="1" t="str">
        <f t="shared" ref="BL47:BM47" si="29">"0"</f>
        <v>0</v>
      </c>
      <c r="BM47" s="1" t="str">
        <f t="shared" si="29"/>
        <v>0</v>
      </c>
      <c r="BN47" s="1">
        <v>2600.0</v>
      </c>
      <c r="BO47" s="1">
        <v>4211.0</v>
      </c>
      <c r="BQ47" s="1">
        <v>299.0</v>
      </c>
      <c r="BR47" s="1">
        <v>299.0</v>
      </c>
      <c r="BS47" s="1">
        <v>299.0</v>
      </c>
      <c r="BU47" s="1" t="s">
        <v>262</v>
      </c>
      <c r="BV47" s="1" t="s">
        <v>206</v>
      </c>
      <c r="BW47" s="1" t="s">
        <v>210</v>
      </c>
      <c r="BY47" s="1" t="s">
        <v>1297</v>
      </c>
      <c r="BZ47" s="1" t="s">
        <v>206</v>
      </c>
      <c r="CA47" s="1" t="s">
        <v>210</v>
      </c>
      <c r="CB47" s="1" t="s">
        <v>229</v>
      </c>
      <c r="CC47" s="1" t="s">
        <v>495</v>
      </c>
      <c r="CD47" s="1" t="s">
        <v>206</v>
      </c>
      <c r="CE47" s="1" t="s">
        <v>210</v>
      </c>
      <c r="CF47" s="1" t="s">
        <v>229</v>
      </c>
      <c r="CG47" s="1" t="s">
        <v>1298</v>
      </c>
      <c r="CH47" s="1" t="s">
        <v>206</v>
      </c>
      <c r="CI47" s="1" t="s">
        <v>210</v>
      </c>
      <c r="CJ47" s="1" t="s">
        <v>229</v>
      </c>
      <c r="CK47" s="1" t="s">
        <v>1299</v>
      </c>
      <c r="CL47" s="1" t="s">
        <v>114</v>
      </c>
      <c r="CM47" s="1" t="s">
        <v>210</v>
      </c>
      <c r="CO47" s="1" t="s">
        <v>516</v>
      </c>
      <c r="CP47" s="1" t="s">
        <v>206</v>
      </c>
      <c r="CS47" s="1" t="s">
        <v>212</v>
      </c>
      <c r="CT47" s="1" t="s">
        <v>206</v>
      </c>
      <c r="CU47" s="1" t="s">
        <v>268</v>
      </c>
      <c r="CV47" s="1" t="s">
        <v>229</v>
      </c>
      <c r="CW47" s="1" t="s">
        <v>392</v>
      </c>
      <c r="CX47" s="1" t="s">
        <v>42</v>
      </c>
      <c r="CY47" s="1" t="s">
        <v>617</v>
      </c>
      <c r="CZ47" s="1" t="s">
        <v>229</v>
      </c>
      <c r="DA47" s="1" t="s">
        <v>200</v>
      </c>
      <c r="DC47" s="1" t="s">
        <v>642</v>
      </c>
      <c r="DE47" s="1" t="s">
        <v>1300</v>
      </c>
      <c r="DF47" s="1" t="s">
        <v>905</v>
      </c>
      <c r="DH47" s="1" t="s">
        <v>307</v>
      </c>
      <c r="DJ47" s="1" t="s">
        <v>222</v>
      </c>
      <c r="DK47" s="1" t="s">
        <v>1301</v>
      </c>
      <c r="DL47" s="1" t="s">
        <v>858</v>
      </c>
      <c r="DM47" s="1" t="s">
        <v>229</v>
      </c>
      <c r="DQ47" s="1" t="s">
        <v>794</v>
      </c>
      <c r="DR47" s="1" t="s">
        <v>229</v>
      </c>
      <c r="DS47" s="1" t="s">
        <v>230</v>
      </c>
      <c r="DV47" s="1" t="s">
        <v>232</v>
      </c>
      <c r="DW47" s="1" t="s">
        <v>489</v>
      </c>
      <c r="DX47" s="1" t="s">
        <v>234</v>
      </c>
      <c r="EA47" s="1" t="s">
        <v>1302</v>
      </c>
      <c r="EC47" s="1" t="s">
        <v>237</v>
      </c>
      <c r="EM47" s="1" t="s">
        <v>238</v>
      </c>
      <c r="EQ47" s="1" t="s">
        <v>238</v>
      </c>
      <c r="EU47" s="1" t="s">
        <v>238</v>
      </c>
      <c r="EY47" s="1" t="s">
        <v>238</v>
      </c>
      <c r="FC47" s="1" t="s">
        <v>238</v>
      </c>
      <c r="FF47" s="1" t="s">
        <v>239</v>
      </c>
      <c r="FG47" s="1" t="s">
        <v>200</v>
      </c>
      <c r="FH47" s="1" t="s">
        <v>192</v>
      </c>
      <c r="FJ47" s="1" t="s">
        <v>1303</v>
      </c>
      <c r="FK47" s="1" t="s">
        <v>229</v>
      </c>
      <c r="FL47" s="1" t="s">
        <v>1304</v>
      </c>
      <c r="FM47" s="1">
        <v>84745.0</v>
      </c>
      <c r="FN47" s="1" t="s">
        <v>1305</v>
      </c>
      <c r="FO47" s="1" t="s">
        <v>1306</v>
      </c>
      <c r="FP47" s="1">
        <v>186815.0</v>
      </c>
      <c r="FU47" s="1" t="s">
        <v>710</v>
      </c>
      <c r="FV47" s="1" t="s">
        <v>200</v>
      </c>
      <c r="FW47" s="1" t="s">
        <v>1307</v>
      </c>
      <c r="FX47" s="1" t="s">
        <v>655</v>
      </c>
      <c r="FZ47" s="1" t="s">
        <v>229</v>
      </c>
      <c r="GA47" s="1" t="s">
        <v>291</v>
      </c>
      <c r="GB47" s="2">
        <v>42097.0</v>
      </c>
      <c r="GC47" s="1" t="s">
        <v>1308</v>
      </c>
    </row>
    <row r="48">
      <c r="A48" s="1">
        <v>219900.0</v>
      </c>
      <c r="B48" s="1" t="s">
        <v>185</v>
      </c>
      <c r="C48" s="1" t="str">
        <f>"08759618"</f>
        <v>08759618</v>
      </c>
      <c r="D48" s="1" t="s">
        <v>186</v>
      </c>
      <c r="F48" s="1" t="str">
        <f>"560"</f>
        <v>560</v>
      </c>
      <c r="G48" s="2">
        <v>41935.0</v>
      </c>
      <c r="H48" s="1">
        <v>222500.0</v>
      </c>
      <c r="I48" s="1">
        <v>200.0</v>
      </c>
      <c r="J48" s="1">
        <v>219900.0</v>
      </c>
      <c r="K48" s="2">
        <v>41969.0</v>
      </c>
      <c r="L48" s="1">
        <v>35.0</v>
      </c>
      <c r="M48" s="2">
        <v>41969.0</v>
      </c>
      <c r="N48" s="1" t="s">
        <v>356</v>
      </c>
      <c r="O48" s="2">
        <v>42004.0</v>
      </c>
      <c r="P48" s="1">
        <v>239521.0</v>
      </c>
      <c r="Q48" s="1">
        <v>25046.0</v>
      </c>
      <c r="S48" s="1">
        <v>425.0</v>
      </c>
      <c r="T48" s="1" t="s">
        <v>1309</v>
      </c>
      <c r="U48" s="1" t="s">
        <v>320</v>
      </c>
      <c r="V48" s="1" t="s">
        <v>845</v>
      </c>
      <c r="W48" s="1">
        <v>60560.0</v>
      </c>
      <c r="Y48" s="1" t="s">
        <v>1310</v>
      </c>
      <c r="Z48" s="1">
        <v>2014.0</v>
      </c>
      <c r="AA48" s="1" t="s">
        <v>200</v>
      </c>
      <c r="AB48" s="1" t="s">
        <v>467</v>
      </c>
      <c r="AC48" s="1" t="s">
        <v>1311</v>
      </c>
      <c r="AD48" s="1" t="s">
        <v>848</v>
      </c>
      <c r="AE48" s="1" t="s">
        <v>849</v>
      </c>
      <c r="AF48" s="1" t="s">
        <v>1312</v>
      </c>
      <c r="AG48" s="1" t="s">
        <v>1313</v>
      </c>
      <c r="AH48" s="1">
        <v>0.0</v>
      </c>
      <c r="AK48" s="1">
        <v>9.0</v>
      </c>
      <c r="AL48" s="1">
        <v>4.0</v>
      </c>
      <c r="AM48" s="1">
        <v>2.0</v>
      </c>
      <c r="AN48" s="1">
        <v>1.0</v>
      </c>
      <c r="AO48" s="1" t="s">
        <v>198</v>
      </c>
      <c r="AQ48" s="1" t="s">
        <v>1314</v>
      </c>
      <c r="AR48" s="1" t="s">
        <v>200</v>
      </c>
      <c r="AS48" s="1" t="s">
        <v>199</v>
      </c>
      <c r="AT48" s="1">
        <v>2.0</v>
      </c>
      <c r="AV48" s="1" t="s">
        <v>200</v>
      </c>
      <c r="AW48" s="1" t="s">
        <v>575</v>
      </c>
      <c r="AX48" s="1">
        <v>2013.0</v>
      </c>
      <c r="AZ48" s="1" t="s">
        <v>200</v>
      </c>
      <c r="BA48" s="1" t="str">
        <f>"0509179003"</f>
        <v>0509179003</v>
      </c>
      <c r="BC48" s="1">
        <v>2282.0</v>
      </c>
      <c r="BD48" s="1">
        <v>219900.0</v>
      </c>
      <c r="BE48" s="2">
        <v>41935.0</v>
      </c>
      <c r="BF48" s="2" t="s">
        <v>1315</v>
      </c>
      <c r="BH48" s="1">
        <v>375.0</v>
      </c>
      <c r="BK48" s="1" t="s">
        <v>580</v>
      </c>
      <c r="BL48" s="1" t="str">
        <f t="shared" ref="BL48:BM48" si="30">""</f>
        <v/>
      </c>
      <c r="BM48" s="1" t="str">
        <f t="shared" si="30"/>
        <v/>
      </c>
      <c r="BQ48" s="1">
        <v>115.0</v>
      </c>
      <c r="BR48" s="1">
        <v>115.0</v>
      </c>
      <c r="BS48" s="1">
        <v>115.0</v>
      </c>
      <c r="BU48" s="1" t="s">
        <v>303</v>
      </c>
      <c r="BV48" s="1" t="s">
        <v>206</v>
      </c>
      <c r="BY48" s="1" t="s">
        <v>1299</v>
      </c>
      <c r="BZ48" s="1" t="s">
        <v>209</v>
      </c>
      <c r="CC48" s="1" t="s">
        <v>663</v>
      </c>
      <c r="CD48" s="1" t="s">
        <v>206</v>
      </c>
      <c r="CG48" s="1" t="s">
        <v>269</v>
      </c>
      <c r="CH48" s="1" t="s">
        <v>209</v>
      </c>
      <c r="CK48" s="1" t="s">
        <v>269</v>
      </c>
      <c r="CL48" s="1" t="s">
        <v>209</v>
      </c>
      <c r="CO48" s="1" t="s">
        <v>269</v>
      </c>
      <c r="CP48" s="1" t="s">
        <v>209</v>
      </c>
      <c r="CS48" s="1" t="s">
        <v>1316</v>
      </c>
      <c r="CT48" s="1" t="s">
        <v>206</v>
      </c>
      <c r="CW48" s="1" t="s">
        <v>214</v>
      </c>
      <c r="CX48" s="1" t="s">
        <v>206</v>
      </c>
      <c r="DA48" s="1" t="s">
        <v>192</v>
      </c>
      <c r="DB48" s="2">
        <v>41935.0</v>
      </c>
      <c r="DC48" s="1" t="s">
        <v>744</v>
      </c>
      <c r="DD48" s="1" t="s">
        <v>396</v>
      </c>
      <c r="DE48" s="1" t="s">
        <v>273</v>
      </c>
      <c r="DF48" s="1" t="s">
        <v>219</v>
      </c>
      <c r="DG48" s="1" t="s">
        <v>1317</v>
      </c>
      <c r="DH48" s="1" t="s">
        <v>220</v>
      </c>
      <c r="DI48" s="1" t="s">
        <v>1318</v>
      </c>
      <c r="DJ48" s="1" t="s">
        <v>222</v>
      </c>
      <c r="DL48" s="1" t="s">
        <v>588</v>
      </c>
      <c r="DM48" s="1" t="s">
        <v>338</v>
      </c>
      <c r="DN48" s="1" t="s">
        <v>1319</v>
      </c>
      <c r="DP48" s="1" t="s">
        <v>340</v>
      </c>
      <c r="DQ48" s="1" t="s">
        <v>441</v>
      </c>
      <c r="DR48" s="1" t="s">
        <v>588</v>
      </c>
      <c r="DV48" s="1" t="s">
        <v>1028</v>
      </c>
      <c r="DW48" s="1" t="s">
        <v>233</v>
      </c>
      <c r="DX48" s="1" t="s">
        <v>234</v>
      </c>
      <c r="EC48" s="1" t="s">
        <v>237</v>
      </c>
      <c r="EG48" s="1" t="s">
        <v>1028</v>
      </c>
      <c r="EL48" s="1" t="s">
        <v>263</v>
      </c>
      <c r="EM48" s="1" t="s">
        <v>206</v>
      </c>
      <c r="EQ48" s="1" t="s">
        <v>238</v>
      </c>
      <c r="EU48" s="1" t="s">
        <v>238</v>
      </c>
      <c r="EY48" s="1" t="s">
        <v>238</v>
      </c>
      <c r="FC48" s="1" t="s">
        <v>238</v>
      </c>
      <c r="FF48" s="1" t="s">
        <v>239</v>
      </c>
      <c r="FG48" s="1" t="s">
        <v>192</v>
      </c>
      <c r="FH48" s="1" t="s">
        <v>192</v>
      </c>
      <c r="FJ48" s="1" t="s">
        <v>1320</v>
      </c>
      <c r="FK48" s="1" t="s">
        <v>557</v>
      </c>
      <c r="FL48" s="1" t="s">
        <v>1007</v>
      </c>
      <c r="FM48" s="1">
        <v>22588.0</v>
      </c>
      <c r="FN48" s="1" t="s">
        <v>1321</v>
      </c>
      <c r="FO48" s="1" t="s">
        <v>1322</v>
      </c>
      <c r="FP48" s="1">
        <v>223009.0</v>
      </c>
      <c r="FQ48" s="1" t="s">
        <v>1323</v>
      </c>
      <c r="FU48" s="1" t="s">
        <v>1324</v>
      </c>
      <c r="FV48" s="1" t="s">
        <v>200</v>
      </c>
      <c r="FW48" s="1" t="s">
        <v>1037</v>
      </c>
      <c r="FZ48" s="1" t="s">
        <v>229</v>
      </c>
      <c r="GA48" s="1" t="s">
        <v>291</v>
      </c>
      <c r="GB48" s="2">
        <v>42004.0</v>
      </c>
      <c r="GC48" s="1" t="s">
        <v>1325</v>
      </c>
    </row>
    <row r="49">
      <c r="A49" s="1">
        <v>165000.0</v>
      </c>
      <c r="B49" s="1" t="s">
        <v>185</v>
      </c>
      <c r="C49" s="1" t="str">
        <f>"08758949"</f>
        <v>08758949</v>
      </c>
      <c r="D49" s="1" t="s">
        <v>186</v>
      </c>
      <c r="F49" s="1" t="str">
        <f>"8069"</f>
        <v>8069</v>
      </c>
      <c r="G49" s="2">
        <v>41934.0</v>
      </c>
      <c r="H49" s="1">
        <v>169900.0</v>
      </c>
      <c r="I49" s="1">
        <v>91.0</v>
      </c>
      <c r="J49" s="1">
        <v>169900.0</v>
      </c>
      <c r="K49" s="2">
        <v>41936.0</v>
      </c>
      <c r="L49" s="1">
        <v>3.0</v>
      </c>
      <c r="M49" s="2">
        <v>41936.0</v>
      </c>
      <c r="N49" s="1" t="s">
        <v>356</v>
      </c>
      <c r="O49" s="2">
        <v>41976.0</v>
      </c>
      <c r="P49" s="1">
        <v>147927.0</v>
      </c>
      <c r="Q49" s="1">
        <v>12293.0</v>
      </c>
      <c r="R49" s="1">
        <v>4950.0</v>
      </c>
      <c r="S49" s="1">
        <v>7347.0</v>
      </c>
      <c r="T49" s="1" t="s">
        <v>1326</v>
      </c>
      <c r="U49" s="1" t="s">
        <v>189</v>
      </c>
      <c r="V49" s="1" t="s">
        <v>190</v>
      </c>
      <c r="W49" s="1">
        <v>60619.0</v>
      </c>
      <c r="Y49" s="1" t="s">
        <v>1327</v>
      </c>
      <c r="Z49" s="1">
        <v>1915.0</v>
      </c>
      <c r="AA49" s="1" t="s">
        <v>192</v>
      </c>
      <c r="AB49" s="1" t="s">
        <v>193</v>
      </c>
      <c r="AD49" s="1" t="s">
        <v>194</v>
      </c>
      <c r="AE49" s="1" t="s">
        <v>195</v>
      </c>
      <c r="AF49" s="1" t="s">
        <v>637</v>
      </c>
      <c r="AH49" s="1">
        <v>5600.0</v>
      </c>
      <c r="AI49" s="1">
        <v>0.1286</v>
      </c>
      <c r="AK49" s="1">
        <v>8.0</v>
      </c>
      <c r="AL49" s="1">
        <v>3.0</v>
      </c>
      <c r="AM49" s="1">
        <v>2.0</v>
      </c>
      <c r="AN49" s="1">
        <v>0.0</v>
      </c>
      <c r="AO49" s="1" t="s">
        <v>229</v>
      </c>
      <c r="AP49" s="1">
        <v>1.0</v>
      </c>
      <c r="AQ49" s="1" t="s">
        <v>198</v>
      </c>
      <c r="AR49" s="1" t="s">
        <v>192</v>
      </c>
      <c r="AS49" s="1" t="s">
        <v>199</v>
      </c>
      <c r="AT49" s="1">
        <v>2.0</v>
      </c>
      <c r="AV49" s="1" t="s">
        <v>200</v>
      </c>
      <c r="AW49" s="1">
        <v>1508.43</v>
      </c>
      <c r="AX49" s="1">
        <v>2012.0</v>
      </c>
      <c r="AZ49" s="1" t="s">
        <v>200</v>
      </c>
      <c r="BA49" s="1" t="str">
        <f>"20271160130000"</f>
        <v>20271160130000</v>
      </c>
      <c r="BC49" s="1">
        <v>1200.0</v>
      </c>
      <c r="BD49" s="1">
        <v>165000.0</v>
      </c>
      <c r="BE49" s="2">
        <v>41934.0</v>
      </c>
      <c r="BF49" s="2" t="s">
        <v>1328</v>
      </c>
      <c r="BH49" s="1">
        <v>0.0</v>
      </c>
      <c r="BK49" s="1" t="s">
        <v>204</v>
      </c>
      <c r="BL49" s="1" t="str">
        <f>"0"</f>
        <v>0</v>
      </c>
      <c r="BM49" s="1" t="str">
        <f>"300"</f>
        <v>300</v>
      </c>
      <c r="BN49" s="1">
        <v>0.0</v>
      </c>
      <c r="BO49" s="1">
        <v>7347.0</v>
      </c>
      <c r="BQ49" s="1">
        <v>299.0</v>
      </c>
      <c r="BR49" s="1">
        <v>299.0</v>
      </c>
      <c r="BS49" s="1">
        <v>299.0</v>
      </c>
      <c r="BU49" s="1" t="s">
        <v>1117</v>
      </c>
      <c r="BV49" s="1" t="s">
        <v>206</v>
      </c>
      <c r="BW49" s="1" t="s">
        <v>207</v>
      </c>
      <c r="BY49" s="1" t="s">
        <v>392</v>
      </c>
      <c r="BZ49" s="1" t="s">
        <v>206</v>
      </c>
      <c r="CA49" s="1" t="s">
        <v>207</v>
      </c>
      <c r="CC49" s="1" t="s">
        <v>331</v>
      </c>
      <c r="CD49" s="1" t="s">
        <v>206</v>
      </c>
      <c r="CE49" s="1" t="s">
        <v>207</v>
      </c>
      <c r="CG49" s="1" t="s">
        <v>1329</v>
      </c>
      <c r="CH49" s="1" t="s">
        <v>206</v>
      </c>
      <c r="CI49" s="1" t="s">
        <v>207</v>
      </c>
      <c r="CK49" s="1" t="s">
        <v>1190</v>
      </c>
      <c r="CL49" s="1" t="s">
        <v>206</v>
      </c>
      <c r="CM49" s="1" t="s">
        <v>207</v>
      </c>
      <c r="CO49" s="1" t="s">
        <v>1190</v>
      </c>
      <c r="CP49" s="1" t="s">
        <v>42</v>
      </c>
      <c r="CQ49" s="1" t="s">
        <v>268</v>
      </c>
      <c r="CS49" s="1" t="s">
        <v>495</v>
      </c>
      <c r="CT49" s="1" t="s">
        <v>206</v>
      </c>
      <c r="CU49" s="1" t="s">
        <v>207</v>
      </c>
      <c r="CW49" s="1" t="s">
        <v>1330</v>
      </c>
      <c r="CX49" s="1" t="s">
        <v>42</v>
      </c>
      <c r="CY49" s="1" t="s">
        <v>268</v>
      </c>
      <c r="DA49" s="1" t="s">
        <v>200</v>
      </c>
      <c r="DC49" s="1" t="s">
        <v>216</v>
      </c>
      <c r="DD49" s="1" t="s">
        <v>518</v>
      </c>
      <c r="DE49" s="1" t="s">
        <v>273</v>
      </c>
      <c r="DF49" s="1" t="s">
        <v>619</v>
      </c>
      <c r="DH49" s="1" t="s">
        <v>365</v>
      </c>
      <c r="DI49" s="1" t="s">
        <v>1141</v>
      </c>
      <c r="DJ49" s="1" t="s">
        <v>222</v>
      </c>
      <c r="DL49" s="1" t="s">
        <v>224</v>
      </c>
      <c r="DM49" s="1" t="s">
        <v>229</v>
      </c>
      <c r="DQ49" s="1" t="s">
        <v>228</v>
      </c>
      <c r="DR49" s="1" t="s">
        <v>229</v>
      </c>
      <c r="DU49" s="1" t="s">
        <v>1331</v>
      </c>
      <c r="DV49" s="1" t="s">
        <v>1270</v>
      </c>
      <c r="DW49" s="1" t="s">
        <v>279</v>
      </c>
      <c r="DX49" s="1" t="s">
        <v>234</v>
      </c>
      <c r="DY49" s="1" t="s">
        <v>1332</v>
      </c>
      <c r="DZ49" s="1" t="s">
        <v>1333</v>
      </c>
      <c r="EA49" s="1" t="s">
        <v>644</v>
      </c>
      <c r="EC49" s="1" t="s">
        <v>645</v>
      </c>
      <c r="ED49" s="1" t="s">
        <v>555</v>
      </c>
      <c r="EE49" s="1" t="s">
        <v>1334</v>
      </c>
      <c r="EG49" s="1" t="s">
        <v>1270</v>
      </c>
      <c r="EL49" s="1" t="s">
        <v>663</v>
      </c>
      <c r="EM49" s="1" t="s">
        <v>42</v>
      </c>
      <c r="EQ49" s="1" t="s">
        <v>238</v>
      </c>
      <c r="EU49" s="1" t="s">
        <v>238</v>
      </c>
      <c r="EY49" s="1" t="s">
        <v>238</v>
      </c>
      <c r="FC49" s="1" t="s">
        <v>238</v>
      </c>
      <c r="FF49" s="1" t="s">
        <v>239</v>
      </c>
      <c r="FG49" s="1" t="s">
        <v>192</v>
      </c>
      <c r="FH49" s="1" t="s">
        <v>192</v>
      </c>
      <c r="FJ49" s="1" t="s">
        <v>524</v>
      </c>
      <c r="FK49" s="1" t="s">
        <v>229</v>
      </c>
      <c r="FL49" s="1" t="s">
        <v>1335</v>
      </c>
      <c r="FM49" s="1">
        <v>25991.0</v>
      </c>
      <c r="FN49" s="1" t="s">
        <v>1336</v>
      </c>
      <c r="FO49" s="1" t="s">
        <v>1337</v>
      </c>
      <c r="FP49" s="1">
        <v>239367.0</v>
      </c>
      <c r="FU49" s="1" t="s">
        <v>1338</v>
      </c>
      <c r="FV49" s="1" t="s">
        <v>200</v>
      </c>
      <c r="FW49" s="1" t="s">
        <v>530</v>
      </c>
      <c r="FX49" s="1" t="s">
        <v>655</v>
      </c>
      <c r="FZ49" s="1" t="s">
        <v>229</v>
      </c>
      <c r="GA49" s="1" t="s">
        <v>291</v>
      </c>
      <c r="GB49" s="2">
        <v>41991.0</v>
      </c>
    </row>
    <row r="50">
      <c r="A50" s="1">
        <v>230840.0</v>
      </c>
      <c r="B50" s="1" t="s">
        <v>185</v>
      </c>
      <c r="C50" s="1" t="str">
        <f>"08758429"</f>
        <v>08758429</v>
      </c>
      <c r="D50" s="1" t="s">
        <v>186</v>
      </c>
      <c r="F50" s="1" t="str">
        <f>"538"</f>
        <v>538</v>
      </c>
      <c r="G50" s="2">
        <v>41933.0</v>
      </c>
      <c r="H50" s="1">
        <v>239500.0</v>
      </c>
      <c r="I50" s="1">
        <v>238.0</v>
      </c>
      <c r="J50" s="1">
        <v>234500.0</v>
      </c>
      <c r="K50" s="2">
        <v>42046.0</v>
      </c>
      <c r="L50" s="1">
        <v>114.0</v>
      </c>
      <c r="M50" s="2">
        <v>42046.0</v>
      </c>
      <c r="N50" s="1" t="s">
        <v>187</v>
      </c>
      <c r="O50" s="2">
        <v>42072.0</v>
      </c>
      <c r="P50" s="1">
        <v>704783.0</v>
      </c>
      <c r="Q50" s="1">
        <v>72901.0</v>
      </c>
      <c r="S50" s="1">
        <v>2062.0</v>
      </c>
      <c r="T50" s="1" t="s">
        <v>1339</v>
      </c>
      <c r="U50" s="1" t="s">
        <v>569</v>
      </c>
      <c r="V50" s="1" t="s">
        <v>1340</v>
      </c>
      <c r="W50" s="1">
        <v>60538.0</v>
      </c>
      <c r="Y50" s="1" t="s">
        <v>1341</v>
      </c>
      <c r="Z50" s="1">
        <v>2014.0</v>
      </c>
      <c r="AA50" s="1" t="s">
        <v>200</v>
      </c>
      <c r="AB50" s="1" t="s">
        <v>467</v>
      </c>
      <c r="AC50" s="1" t="s">
        <v>1342</v>
      </c>
      <c r="AD50" s="1" t="s">
        <v>1343</v>
      </c>
      <c r="AE50" s="1" t="s">
        <v>849</v>
      </c>
      <c r="AF50" s="1" t="s">
        <v>1312</v>
      </c>
      <c r="AG50" s="1" t="s">
        <v>1344</v>
      </c>
      <c r="AH50" s="1" t="s">
        <v>1345</v>
      </c>
      <c r="AK50" s="1">
        <v>10.0</v>
      </c>
      <c r="AL50" s="1">
        <v>4.0</v>
      </c>
      <c r="AM50" s="1">
        <v>2.0</v>
      </c>
      <c r="AN50" s="1">
        <v>1.0</v>
      </c>
      <c r="AO50" s="1" t="s">
        <v>198</v>
      </c>
      <c r="AQ50" s="1" t="s">
        <v>1314</v>
      </c>
      <c r="AR50" s="1" t="s">
        <v>200</v>
      </c>
      <c r="AS50" s="1" t="s">
        <v>199</v>
      </c>
      <c r="AT50" s="1">
        <v>2.0</v>
      </c>
      <c r="AV50" s="1" t="s">
        <v>200</v>
      </c>
      <c r="AW50" s="1" t="s">
        <v>575</v>
      </c>
      <c r="AX50" s="1">
        <v>2013.0</v>
      </c>
      <c r="AZ50" s="1" t="s">
        <v>192</v>
      </c>
      <c r="BA50" s="1" t="str">
        <f>"0201190000"</f>
        <v>0201190000</v>
      </c>
      <c r="BC50" s="1">
        <v>2282.0</v>
      </c>
      <c r="BD50" s="1">
        <v>230840.0</v>
      </c>
      <c r="BE50" s="2">
        <v>41933.0</v>
      </c>
      <c r="BF50" s="2" t="s">
        <v>1346</v>
      </c>
      <c r="BG50" s="1" t="s">
        <v>1347</v>
      </c>
      <c r="BH50" s="1">
        <v>40.0</v>
      </c>
      <c r="BI50" s="1" t="s">
        <v>1348</v>
      </c>
      <c r="BJ50" s="1" t="s">
        <v>1349</v>
      </c>
      <c r="BK50" s="1" t="s">
        <v>580</v>
      </c>
      <c r="BL50" s="1" t="str">
        <f t="shared" ref="BL50:BM50" si="31">""</f>
        <v/>
      </c>
      <c r="BM50" s="1" t="str">
        <f t="shared" si="31"/>
        <v/>
      </c>
      <c r="BQ50" s="1">
        <v>308.0</v>
      </c>
      <c r="BR50" s="1">
        <v>308.0</v>
      </c>
      <c r="BS50" s="1">
        <v>308.0</v>
      </c>
      <c r="BU50" s="1" t="s">
        <v>663</v>
      </c>
      <c r="BV50" s="1" t="s">
        <v>206</v>
      </c>
      <c r="BW50" s="1" t="s">
        <v>210</v>
      </c>
      <c r="BX50" s="1" t="s">
        <v>229</v>
      </c>
      <c r="BY50" s="1" t="s">
        <v>1350</v>
      </c>
      <c r="BZ50" s="1" t="s">
        <v>209</v>
      </c>
      <c r="CA50" s="1" t="s">
        <v>210</v>
      </c>
      <c r="CB50" s="1" t="s">
        <v>229</v>
      </c>
      <c r="CC50" s="1" t="s">
        <v>1351</v>
      </c>
      <c r="CD50" s="1" t="s">
        <v>206</v>
      </c>
      <c r="CE50" s="1" t="s">
        <v>210</v>
      </c>
      <c r="CF50" s="1" t="s">
        <v>229</v>
      </c>
      <c r="CG50" s="1" t="s">
        <v>269</v>
      </c>
      <c r="CH50" s="1" t="s">
        <v>209</v>
      </c>
      <c r="CI50" s="1" t="s">
        <v>210</v>
      </c>
      <c r="CJ50" s="1" t="s">
        <v>229</v>
      </c>
      <c r="CK50" s="1" t="s">
        <v>269</v>
      </c>
      <c r="CL50" s="1" t="s">
        <v>209</v>
      </c>
      <c r="CM50" s="1" t="s">
        <v>210</v>
      </c>
      <c r="CN50" s="1" t="s">
        <v>229</v>
      </c>
      <c r="CO50" s="1" t="s">
        <v>303</v>
      </c>
      <c r="CP50" s="1" t="s">
        <v>209</v>
      </c>
      <c r="CQ50" s="1" t="s">
        <v>210</v>
      </c>
      <c r="CR50" s="1" t="s">
        <v>229</v>
      </c>
      <c r="CS50" s="1" t="s">
        <v>1352</v>
      </c>
      <c r="CT50" s="1" t="s">
        <v>206</v>
      </c>
      <c r="CU50" s="1" t="s">
        <v>207</v>
      </c>
      <c r="CV50" s="1" t="s">
        <v>229</v>
      </c>
      <c r="CW50" s="1" t="s">
        <v>214</v>
      </c>
      <c r="CX50" s="1" t="s">
        <v>206</v>
      </c>
      <c r="CY50" s="1" t="s">
        <v>210</v>
      </c>
      <c r="CZ50" s="1" t="s">
        <v>229</v>
      </c>
      <c r="DA50" s="1" t="s">
        <v>192</v>
      </c>
      <c r="DB50" s="2">
        <v>41930.0</v>
      </c>
      <c r="DC50" s="1" t="s">
        <v>1353</v>
      </c>
      <c r="DD50" s="1" t="s">
        <v>336</v>
      </c>
      <c r="DE50" s="1" t="s">
        <v>273</v>
      </c>
      <c r="DF50" s="1" t="s">
        <v>219</v>
      </c>
      <c r="DG50" s="1" t="s">
        <v>337</v>
      </c>
      <c r="DH50" s="1" t="s">
        <v>220</v>
      </c>
      <c r="DI50" s="1" t="s">
        <v>1354</v>
      </c>
      <c r="DJ50" s="1" t="s">
        <v>222</v>
      </c>
      <c r="DL50" s="1" t="s">
        <v>223</v>
      </c>
      <c r="DM50" s="1" t="s">
        <v>338</v>
      </c>
      <c r="DP50" s="1" t="s">
        <v>340</v>
      </c>
      <c r="DQ50" s="1" t="s">
        <v>228</v>
      </c>
      <c r="DR50" s="1" t="s">
        <v>588</v>
      </c>
      <c r="DS50" s="1" t="s">
        <v>591</v>
      </c>
      <c r="DU50" s="1" t="s">
        <v>1355</v>
      </c>
      <c r="DV50" s="1" t="s">
        <v>1356</v>
      </c>
      <c r="DW50" s="1" t="s">
        <v>233</v>
      </c>
      <c r="DX50" s="1" t="s">
        <v>309</v>
      </c>
      <c r="DY50" s="1" t="s">
        <v>596</v>
      </c>
      <c r="EA50" s="1" t="s">
        <v>344</v>
      </c>
      <c r="EC50" s="1" t="s">
        <v>237</v>
      </c>
      <c r="EH50" s="1" t="s">
        <v>1028</v>
      </c>
      <c r="EI50" s="1" t="s">
        <v>556</v>
      </c>
      <c r="EM50" s="1" t="s">
        <v>238</v>
      </c>
      <c r="EP50" s="1" t="s">
        <v>495</v>
      </c>
      <c r="EQ50" s="1" t="s">
        <v>206</v>
      </c>
      <c r="ER50" s="1" t="s">
        <v>210</v>
      </c>
      <c r="ES50" s="1" t="s">
        <v>229</v>
      </c>
      <c r="ET50" s="1" t="s">
        <v>1316</v>
      </c>
      <c r="EU50" s="1" t="s">
        <v>206</v>
      </c>
      <c r="EV50" s="1" t="s">
        <v>207</v>
      </c>
      <c r="EW50" s="1" t="s">
        <v>229</v>
      </c>
      <c r="EY50" s="1" t="s">
        <v>238</v>
      </c>
      <c r="FC50" s="1" t="s">
        <v>238</v>
      </c>
      <c r="FF50" s="1" t="s">
        <v>239</v>
      </c>
      <c r="FG50" s="1" t="s">
        <v>192</v>
      </c>
      <c r="FH50" s="1" t="s">
        <v>192</v>
      </c>
      <c r="FJ50" s="1" t="s">
        <v>1357</v>
      </c>
      <c r="FK50" s="1" t="s">
        <v>229</v>
      </c>
      <c r="FL50" s="1" t="s">
        <v>1358</v>
      </c>
      <c r="FM50" s="1">
        <v>23076.0</v>
      </c>
      <c r="FN50" s="1" t="s">
        <v>1359</v>
      </c>
      <c r="FO50" s="1" t="s">
        <v>1360</v>
      </c>
      <c r="FP50" s="1">
        <v>233288.0</v>
      </c>
      <c r="FQ50" s="1" t="s">
        <v>1361</v>
      </c>
      <c r="FR50" s="1">
        <v>233450.0</v>
      </c>
      <c r="FU50" s="1" t="s">
        <v>1362</v>
      </c>
      <c r="FV50" s="1" t="s">
        <v>200</v>
      </c>
      <c r="FW50" s="1" t="s">
        <v>1363</v>
      </c>
      <c r="FZ50" s="1" t="s">
        <v>229</v>
      </c>
      <c r="GA50" s="1" t="s">
        <v>247</v>
      </c>
      <c r="GB50" s="2">
        <v>42072.0</v>
      </c>
      <c r="GC50" s="1" t="s">
        <v>1364</v>
      </c>
    </row>
    <row r="51">
      <c r="A51" s="1">
        <v>129900.0</v>
      </c>
      <c r="B51" s="1" t="s">
        <v>185</v>
      </c>
      <c r="C51" s="1" t="str">
        <f>"08760037"</f>
        <v>08760037</v>
      </c>
      <c r="D51" s="1" t="s">
        <v>186</v>
      </c>
      <c r="F51" s="1" t="str">
        <f>"8049"</f>
        <v>8049</v>
      </c>
      <c r="G51" s="2">
        <v>41935.0</v>
      </c>
      <c r="H51" s="1">
        <v>134900.0</v>
      </c>
      <c r="I51" s="1">
        <v>72.0</v>
      </c>
      <c r="J51" s="1">
        <v>129900.0</v>
      </c>
      <c r="K51" s="2">
        <v>42006.0</v>
      </c>
      <c r="L51" s="1">
        <v>72.0</v>
      </c>
      <c r="M51" s="2">
        <v>42006.0</v>
      </c>
      <c r="N51" s="1" t="s">
        <v>356</v>
      </c>
      <c r="O51" s="2">
        <v>42068.0</v>
      </c>
      <c r="P51" s="1">
        <v>604826.0</v>
      </c>
      <c r="Q51" s="1">
        <v>60120.0</v>
      </c>
      <c r="R51" s="1">
        <v>3.0</v>
      </c>
      <c r="S51" s="1">
        <v>9541.0</v>
      </c>
      <c r="T51" s="1" t="s">
        <v>1365</v>
      </c>
      <c r="U51" s="1" t="s">
        <v>320</v>
      </c>
      <c r="V51" s="1" t="s">
        <v>190</v>
      </c>
      <c r="W51" s="1">
        <v>60628.0</v>
      </c>
      <c r="Y51" s="1" t="s">
        <v>1366</v>
      </c>
      <c r="Z51" s="1">
        <v>1961.0</v>
      </c>
      <c r="AA51" s="1" t="s">
        <v>192</v>
      </c>
      <c r="AB51" s="1" t="s">
        <v>193</v>
      </c>
      <c r="AD51" s="1" t="s">
        <v>194</v>
      </c>
      <c r="AE51" s="1" t="s">
        <v>195</v>
      </c>
      <c r="AF51" s="1" t="s">
        <v>659</v>
      </c>
      <c r="AH51" s="1">
        <v>3720.0</v>
      </c>
      <c r="AK51" s="1">
        <v>7.0</v>
      </c>
      <c r="AL51" s="1">
        <v>3.0</v>
      </c>
      <c r="AM51" s="1">
        <v>2.0</v>
      </c>
      <c r="AN51" s="1">
        <v>0.0</v>
      </c>
      <c r="AO51" s="1" t="s">
        <v>229</v>
      </c>
      <c r="AQ51" s="1" t="s">
        <v>198</v>
      </c>
      <c r="AR51" s="1" t="s">
        <v>200</v>
      </c>
      <c r="AS51" s="1" t="s">
        <v>199</v>
      </c>
      <c r="AT51" s="1">
        <v>2.0</v>
      </c>
      <c r="AV51" s="1" t="s">
        <v>200</v>
      </c>
      <c r="AW51" s="1">
        <v>2183.0</v>
      </c>
      <c r="AX51" s="1">
        <v>2012.0</v>
      </c>
      <c r="AZ51" s="1" t="s">
        <v>200</v>
      </c>
      <c r="BA51" s="1" t="str">
        <f>"25092050160000"</f>
        <v>25092050160000</v>
      </c>
      <c r="BC51" s="1">
        <v>1300.0</v>
      </c>
      <c r="BD51" s="1">
        <v>129900.0</v>
      </c>
      <c r="BE51" s="2">
        <v>41935.0</v>
      </c>
      <c r="BF51" s="2" t="s">
        <v>1367</v>
      </c>
      <c r="BH51" s="1">
        <v>0.0</v>
      </c>
      <c r="BK51" s="1" t="s">
        <v>204</v>
      </c>
      <c r="BL51" s="1" t="str">
        <f t="shared" ref="BL51:BM51" si="32">"0"</f>
        <v>0</v>
      </c>
      <c r="BM51" s="1" t="str">
        <f t="shared" si="32"/>
        <v>0</v>
      </c>
      <c r="BN51" s="1">
        <v>150.0</v>
      </c>
      <c r="BO51" s="1">
        <v>9500.0</v>
      </c>
      <c r="BQ51" s="1">
        <v>299.0</v>
      </c>
      <c r="BR51" s="1">
        <v>299.0</v>
      </c>
      <c r="BS51" s="1">
        <v>299.0</v>
      </c>
      <c r="BU51" s="1" t="s">
        <v>270</v>
      </c>
      <c r="BV51" s="1" t="s">
        <v>206</v>
      </c>
      <c r="BW51" s="1" t="s">
        <v>210</v>
      </c>
      <c r="BY51" s="1" t="s">
        <v>264</v>
      </c>
      <c r="BZ51" s="1" t="s">
        <v>206</v>
      </c>
      <c r="CA51" s="1" t="s">
        <v>207</v>
      </c>
      <c r="CD51" s="1" t="s">
        <v>204</v>
      </c>
      <c r="CG51" s="1" t="s">
        <v>495</v>
      </c>
      <c r="CH51" s="1" t="s">
        <v>206</v>
      </c>
      <c r="CI51" s="1" t="s">
        <v>207</v>
      </c>
      <c r="CK51" s="1" t="s">
        <v>495</v>
      </c>
      <c r="CL51" s="1" t="s">
        <v>206</v>
      </c>
      <c r="CM51" s="1" t="s">
        <v>207</v>
      </c>
      <c r="CO51" s="1" t="s">
        <v>264</v>
      </c>
      <c r="CP51" s="1" t="s">
        <v>42</v>
      </c>
      <c r="CQ51" s="1" t="s">
        <v>268</v>
      </c>
      <c r="CS51" s="1" t="s">
        <v>1368</v>
      </c>
      <c r="CT51" s="1" t="s">
        <v>206</v>
      </c>
      <c r="CU51" s="1" t="s">
        <v>268</v>
      </c>
      <c r="CW51" s="1" t="s">
        <v>1369</v>
      </c>
      <c r="CX51" s="1" t="s">
        <v>42</v>
      </c>
      <c r="CY51" s="1" t="s">
        <v>268</v>
      </c>
      <c r="DA51" s="1" t="s">
        <v>200</v>
      </c>
      <c r="DC51" s="1" t="s">
        <v>271</v>
      </c>
      <c r="DE51" s="1" t="s">
        <v>273</v>
      </c>
      <c r="DF51" s="1" t="s">
        <v>619</v>
      </c>
      <c r="DH51" s="1" t="s">
        <v>365</v>
      </c>
      <c r="DI51" s="1" t="s">
        <v>1370</v>
      </c>
      <c r="DJ51" s="1" t="s">
        <v>222</v>
      </c>
      <c r="DL51" s="1" t="s">
        <v>224</v>
      </c>
      <c r="DM51" s="1" t="s">
        <v>229</v>
      </c>
      <c r="DQ51" s="1" t="s">
        <v>228</v>
      </c>
      <c r="DR51" s="1" t="s">
        <v>229</v>
      </c>
      <c r="DV51" s="1" t="s">
        <v>232</v>
      </c>
      <c r="DW51" s="1" t="s">
        <v>279</v>
      </c>
      <c r="DX51" s="1" t="s">
        <v>234</v>
      </c>
      <c r="DY51" s="1" t="s">
        <v>1371</v>
      </c>
      <c r="EA51" s="1" t="s">
        <v>683</v>
      </c>
      <c r="EC51" s="1" t="s">
        <v>685</v>
      </c>
      <c r="EE51" s="1" t="s">
        <v>493</v>
      </c>
      <c r="EM51" s="1" t="s">
        <v>238</v>
      </c>
      <c r="EQ51" s="1" t="s">
        <v>238</v>
      </c>
      <c r="EU51" s="1" t="s">
        <v>238</v>
      </c>
      <c r="EY51" s="1" t="s">
        <v>238</v>
      </c>
      <c r="FC51" s="1" t="s">
        <v>238</v>
      </c>
      <c r="FF51" s="1" t="s">
        <v>239</v>
      </c>
      <c r="FG51" s="1" t="s">
        <v>192</v>
      </c>
      <c r="FH51" s="1" t="s">
        <v>192</v>
      </c>
      <c r="FJ51" s="1" t="s">
        <v>648</v>
      </c>
      <c r="FK51" s="1" t="s">
        <v>229</v>
      </c>
      <c r="FL51" s="1" t="s">
        <v>649</v>
      </c>
      <c r="FM51" s="1">
        <v>60296.0</v>
      </c>
      <c r="FN51" s="1" t="s">
        <v>650</v>
      </c>
      <c r="FO51" s="1" t="s">
        <v>651</v>
      </c>
      <c r="FP51" s="1">
        <v>602837.0</v>
      </c>
      <c r="FQ51" s="1" t="s">
        <v>652</v>
      </c>
      <c r="FR51" s="1">
        <v>602442.0</v>
      </c>
      <c r="FU51" s="1" t="s">
        <v>653</v>
      </c>
      <c r="FV51" s="1" t="s">
        <v>200</v>
      </c>
      <c r="FW51" s="1" t="s">
        <v>654</v>
      </c>
      <c r="FX51" s="1" t="s">
        <v>655</v>
      </c>
      <c r="FZ51" s="1" t="s">
        <v>229</v>
      </c>
      <c r="GA51" s="1" t="s">
        <v>291</v>
      </c>
      <c r="GB51" s="2">
        <v>42069.0</v>
      </c>
      <c r="GC51" s="1" t="s">
        <v>1372</v>
      </c>
    </row>
    <row r="52">
      <c r="A52" s="1">
        <v>230000.0</v>
      </c>
      <c r="B52" s="1" t="s">
        <v>185</v>
      </c>
      <c r="C52" s="1" t="str">
        <f>"08760879"</f>
        <v>08760879</v>
      </c>
      <c r="D52" s="1" t="s">
        <v>186</v>
      </c>
      <c r="F52" s="1" t="str">
        <f>"123"</f>
        <v>123</v>
      </c>
      <c r="G52" s="2">
        <v>41936.0</v>
      </c>
      <c r="H52" s="1">
        <v>259900.0</v>
      </c>
      <c r="I52" s="1">
        <v>82.0</v>
      </c>
      <c r="J52" s="1">
        <v>255000.0</v>
      </c>
      <c r="K52" s="2">
        <v>42017.0</v>
      </c>
      <c r="L52" s="1">
        <v>82.0</v>
      </c>
      <c r="M52" s="2">
        <v>42017.0</v>
      </c>
      <c r="N52" s="1" t="s">
        <v>187</v>
      </c>
      <c r="O52" s="2">
        <v>42056.0</v>
      </c>
      <c r="P52" s="1">
        <v>70036.0</v>
      </c>
      <c r="Q52" s="1">
        <v>7450.0</v>
      </c>
      <c r="S52" s="1">
        <v>344.0</v>
      </c>
      <c r="T52" s="1" t="s">
        <v>1373</v>
      </c>
      <c r="U52" s="1" t="s">
        <v>694</v>
      </c>
      <c r="V52" s="1" t="s">
        <v>465</v>
      </c>
      <c r="W52" s="1">
        <v>60123.0</v>
      </c>
      <c r="Y52" s="1" t="s">
        <v>1374</v>
      </c>
      <c r="Z52" s="1">
        <v>1931.0</v>
      </c>
      <c r="AA52" s="1" t="s">
        <v>192</v>
      </c>
      <c r="AB52" s="1" t="s">
        <v>193</v>
      </c>
      <c r="AD52" s="1" t="s">
        <v>469</v>
      </c>
      <c r="AE52" s="1" t="s">
        <v>325</v>
      </c>
      <c r="AF52" s="1" t="s">
        <v>469</v>
      </c>
      <c r="AH52" s="1" t="s">
        <v>1375</v>
      </c>
      <c r="AK52" s="1">
        <v>9.0</v>
      </c>
      <c r="AL52" s="1">
        <v>4.0</v>
      </c>
      <c r="AM52" s="1">
        <v>2.0</v>
      </c>
      <c r="AN52" s="1">
        <v>1.0</v>
      </c>
      <c r="AO52" s="1" t="s">
        <v>198</v>
      </c>
      <c r="AP52" s="1">
        <v>2.0</v>
      </c>
      <c r="AQ52" s="1" t="s">
        <v>198</v>
      </c>
      <c r="AR52" s="1" t="s">
        <v>200</v>
      </c>
      <c r="AS52" s="1" t="s">
        <v>199</v>
      </c>
      <c r="AT52" s="1">
        <v>2.0</v>
      </c>
      <c r="AV52" s="1" t="s">
        <v>200</v>
      </c>
      <c r="AW52" s="1">
        <v>7947.0</v>
      </c>
      <c r="AX52" s="1">
        <v>2013.0</v>
      </c>
      <c r="AY52" s="1" t="s">
        <v>229</v>
      </c>
      <c r="AZ52" s="1" t="s">
        <v>200</v>
      </c>
      <c r="BA52" s="1" t="str">
        <f>"0614108010"</f>
        <v>0614108010</v>
      </c>
      <c r="BC52" s="1">
        <v>2976.0</v>
      </c>
      <c r="BD52" s="1">
        <v>230000.0</v>
      </c>
      <c r="BE52" s="2">
        <v>41936.0</v>
      </c>
      <c r="BF52" s="2" t="s">
        <v>1376</v>
      </c>
      <c r="BH52" s="1">
        <v>0.0</v>
      </c>
      <c r="BK52" s="1" t="s">
        <v>204</v>
      </c>
      <c r="BL52" s="1" t="str">
        <f t="shared" ref="BL52:BM52" si="33">""</f>
        <v/>
      </c>
      <c r="BM52" s="1" t="str">
        <f t="shared" si="33"/>
        <v/>
      </c>
      <c r="BQ52" s="1">
        <v>46.0</v>
      </c>
      <c r="BR52" s="1">
        <v>46.0</v>
      </c>
      <c r="BS52" s="1">
        <v>46.0</v>
      </c>
      <c r="BU52" s="1" t="s">
        <v>1377</v>
      </c>
      <c r="BV52" s="1" t="s">
        <v>206</v>
      </c>
      <c r="BW52" s="1" t="s">
        <v>207</v>
      </c>
      <c r="BY52" s="1" t="s">
        <v>214</v>
      </c>
      <c r="BZ52" s="1" t="s">
        <v>209</v>
      </c>
      <c r="CA52" s="1" t="s">
        <v>207</v>
      </c>
      <c r="CC52" s="1" t="s">
        <v>214</v>
      </c>
      <c r="CD52" s="1" t="s">
        <v>206</v>
      </c>
      <c r="CE52" s="1" t="s">
        <v>207</v>
      </c>
      <c r="CG52" s="1" t="s">
        <v>454</v>
      </c>
      <c r="CH52" s="1" t="s">
        <v>209</v>
      </c>
      <c r="CI52" s="1" t="s">
        <v>207</v>
      </c>
      <c r="CK52" s="1" t="s">
        <v>262</v>
      </c>
      <c r="CL52" s="1" t="s">
        <v>209</v>
      </c>
      <c r="CM52" s="1" t="s">
        <v>207</v>
      </c>
      <c r="CO52" s="1" t="s">
        <v>262</v>
      </c>
      <c r="CP52" s="1" t="s">
        <v>209</v>
      </c>
      <c r="CS52" s="1" t="s">
        <v>433</v>
      </c>
      <c r="CT52" s="1" t="s">
        <v>206</v>
      </c>
      <c r="CW52" s="1" t="s">
        <v>1378</v>
      </c>
      <c r="CX52" s="1" t="s">
        <v>267</v>
      </c>
      <c r="DA52" s="1" t="s">
        <v>200</v>
      </c>
      <c r="DC52" s="1" t="s">
        <v>785</v>
      </c>
      <c r="DD52" s="1" t="s">
        <v>518</v>
      </c>
      <c r="DE52" s="1" t="s">
        <v>273</v>
      </c>
      <c r="DF52" s="1" t="s">
        <v>787</v>
      </c>
      <c r="DH52" s="1" t="s">
        <v>220</v>
      </c>
      <c r="DJ52" s="1" t="s">
        <v>1379</v>
      </c>
      <c r="DK52" s="1" t="s">
        <v>1380</v>
      </c>
      <c r="DL52" s="1" t="s">
        <v>858</v>
      </c>
      <c r="DM52" s="1" t="s">
        <v>229</v>
      </c>
      <c r="DO52" s="1" t="s">
        <v>1004</v>
      </c>
      <c r="DP52" s="1" t="s">
        <v>340</v>
      </c>
      <c r="DQ52" s="1" t="s">
        <v>441</v>
      </c>
      <c r="DR52" s="1" t="s">
        <v>229</v>
      </c>
      <c r="DV52" s="1" t="s">
        <v>1381</v>
      </c>
      <c r="DW52" s="1" t="s">
        <v>279</v>
      </c>
      <c r="DX52" s="1" t="s">
        <v>234</v>
      </c>
      <c r="DZ52" s="1" t="s">
        <v>310</v>
      </c>
      <c r="EC52" s="1" t="s">
        <v>237</v>
      </c>
      <c r="EG52" s="1" t="s">
        <v>556</v>
      </c>
      <c r="EH52" s="1" t="s">
        <v>1102</v>
      </c>
      <c r="EI52" s="1" t="s">
        <v>408</v>
      </c>
      <c r="EL52" s="1" t="s">
        <v>1382</v>
      </c>
      <c r="EM52" s="1" t="s">
        <v>206</v>
      </c>
      <c r="EP52" s="1" t="s">
        <v>664</v>
      </c>
      <c r="EQ52" s="1" t="s">
        <v>206</v>
      </c>
      <c r="ET52" s="1" t="s">
        <v>798</v>
      </c>
      <c r="EU52" s="1" t="s">
        <v>206</v>
      </c>
      <c r="EY52" s="1" t="s">
        <v>238</v>
      </c>
      <c r="FC52" s="1" t="s">
        <v>238</v>
      </c>
      <c r="FF52" s="1" t="s">
        <v>239</v>
      </c>
      <c r="FG52" s="1" t="s">
        <v>192</v>
      </c>
      <c r="FH52" s="1" t="s">
        <v>192</v>
      </c>
      <c r="FJ52" s="1" t="s">
        <v>524</v>
      </c>
      <c r="FK52" s="1" t="s">
        <v>229</v>
      </c>
      <c r="FL52" s="1" t="s">
        <v>1383</v>
      </c>
      <c r="FM52" s="1">
        <v>24370.0</v>
      </c>
      <c r="FN52" s="1" t="s">
        <v>1384</v>
      </c>
      <c r="FO52" s="1" t="s">
        <v>1385</v>
      </c>
      <c r="FP52" s="1">
        <v>244997.0</v>
      </c>
      <c r="FQ52" s="1" t="s">
        <v>1386</v>
      </c>
      <c r="FR52" s="1">
        <v>259338.0</v>
      </c>
      <c r="FS52" s="1" t="s">
        <v>1387</v>
      </c>
      <c r="FU52" s="1" t="s">
        <v>1388</v>
      </c>
      <c r="FV52" s="1" t="s">
        <v>200</v>
      </c>
      <c r="FW52" s="1" t="s">
        <v>290</v>
      </c>
      <c r="FZ52" s="1" t="s">
        <v>229</v>
      </c>
      <c r="GA52" s="1" t="s">
        <v>291</v>
      </c>
      <c r="GB52" s="2">
        <v>42058.0</v>
      </c>
      <c r="GC52" s="1" t="s">
        <v>1389</v>
      </c>
    </row>
    <row r="53">
      <c r="A53" s="1">
        <v>150000.0</v>
      </c>
      <c r="B53" s="1" t="s">
        <v>185</v>
      </c>
      <c r="C53" s="1" t="str">
        <f>"08762609"</f>
        <v>08762609</v>
      </c>
      <c r="D53" s="1" t="s">
        <v>186</v>
      </c>
      <c r="F53" s="1" t="str">
        <f>"8062"</f>
        <v>8062</v>
      </c>
      <c r="G53" s="2">
        <v>41939.0</v>
      </c>
      <c r="H53" s="1">
        <v>167900.0</v>
      </c>
      <c r="I53" s="1">
        <v>127.0</v>
      </c>
      <c r="J53" s="1">
        <v>167900.0</v>
      </c>
      <c r="K53" s="2">
        <v>42065.0</v>
      </c>
      <c r="L53" s="1">
        <v>127.0</v>
      </c>
      <c r="M53" s="2">
        <v>42065.0</v>
      </c>
      <c r="N53" s="1" t="s">
        <v>187</v>
      </c>
      <c r="O53" s="2">
        <v>42138.0</v>
      </c>
      <c r="P53" s="1">
        <v>601403.0</v>
      </c>
      <c r="Q53" s="1">
        <v>60119.0</v>
      </c>
      <c r="S53" s="1">
        <v>5713.0</v>
      </c>
      <c r="T53" s="1" t="s">
        <v>1390</v>
      </c>
      <c r="U53" s="1" t="s">
        <v>189</v>
      </c>
      <c r="V53" s="1" t="s">
        <v>190</v>
      </c>
      <c r="W53" s="1">
        <v>60629.0</v>
      </c>
      <c r="X53" s="1">
        <v>4834.0</v>
      </c>
      <c r="Y53" s="1" t="s">
        <v>1391</v>
      </c>
      <c r="Z53" s="1">
        <v>1942.0</v>
      </c>
      <c r="AA53" s="1" t="s">
        <v>192</v>
      </c>
      <c r="AB53" s="1" t="s">
        <v>193</v>
      </c>
      <c r="AD53" s="1" t="s">
        <v>194</v>
      </c>
      <c r="AE53" s="1" t="s">
        <v>195</v>
      </c>
      <c r="AF53" s="1" t="s">
        <v>659</v>
      </c>
      <c r="AG53" s="1" t="s">
        <v>1392</v>
      </c>
      <c r="AH53" s="1" t="s">
        <v>1393</v>
      </c>
      <c r="AK53" s="1">
        <v>9.0</v>
      </c>
      <c r="AL53" s="1">
        <v>4.0</v>
      </c>
      <c r="AM53" s="1">
        <v>1.0</v>
      </c>
      <c r="AN53" s="1">
        <v>0.0</v>
      </c>
      <c r="AO53" s="1" t="s">
        <v>229</v>
      </c>
      <c r="AQ53" s="1" t="s">
        <v>198</v>
      </c>
      <c r="AR53" s="1" t="s">
        <v>200</v>
      </c>
      <c r="AS53" s="1" t="s">
        <v>199</v>
      </c>
      <c r="AT53" s="1">
        <v>2.0</v>
      </c>
      <c r="AV53" s="1" t="s">
        <v>200</v>
      </c>
      <c r="AW53" s="1">
        <v>1708.39</v>
      </c>
      <c r="AX53" s="1">
        <v>2013.0</v>
      </c>
      <c r="AY53" s="1" t="s">
        <v>1179</v>
      </c>
      <c r="AZ53" s="1" t="s">
        <v>200</v>
      </c>
      <c r="BA53" s="1" t="str">
        <f>"19152170050000"</f>
        <v>19152170050000</v>
      </c>
      <c r="BB53" s="1" t="s">
        <v>200</v>
      </c>
      <c r="BC53" s="1">
        <v>1200.0</v>
      </c>
      <c r="BD53" s="1">
        <v>150000.0</v>
      </c>
      <c r="BE53" s="2">
        <v>41939.0</v>
      </c>
      <c r="BF53" s="2" t="s">
        <v>1394</v>
      </c>
      <c r="BH53" s="1">
        <v>0.0</v>
      </c>
      <c r="BK53" s="1" t="s">
        <v>204</v>
      </c>
      <c r="BL53" s="1" t="str">
        <f t="shared" ref="BL53:BM53" si="34">"0"</f>
        <v>0</v>
      </c>
      <c r="BM53" s="1" t="str">
        <f t="shared" si="34"/>
        <v>0</v>
      </c>
      <c r="BN53" s="1">
        <v>4300.0</v>
      </c>
      <c r="BO53" s="1">
        <v>5713.0</v>
      </c>
      <c r="BQ53" s="1">
        <v>299.0</v>
      </c>
      <c r="BR53" s="1">
        <v>299.0</v>
      </c>
      <c r="BS53" s="1">
        <v>299.0</v>
      </c>
      <c r="BU53" s="1" t="s">
        <v>1395</v>
      </c>
      <c r="BV53" s="1" t="s">
        <v>206</v>
      </c>
      <c r="BW53" s="1" t="s">
        <v>210</v>
      </c>
      <c r="BX53" s="1" t="s">
        <v>239</v>
      </c>
      <c r="BY53" s="1" t="s">
        <v>1396</v>
      </c>
      <c r="BZ53" s="1" t="s">
        <v>209</v>
      </c>
      <c r="CA53" s="1" t="s">
        <v>617</v>
      </c>
      <c r="CB53" s="1" t="s">
        <v>239</v>
      </c>
      <c r="CD53" s="1" t="s">
        <v>204</v>
      </c>
      <c r="CG53" s="1" t="s">
        <v>663</v>
      </c>
      <c r="CH53" s="1" t="s">
        <v>206</v>
      </c>
      <c r="CI53" s="1" t="s">
        <v>210</v>
      </c>
      <c r="CJ53" s="1" t="s">
        <v>239</v>
      </c>
      <c r="CK53" s="1" t="s">
        <v>269</v>
      </c>
      <c r="CL53" s="1" t="s">
        <v>206</v>
      </c>
      <c r="CM53" s="1" t="s">
        <v>210</v>
      </c>
      <c r="CN53" s="1" t="s">
        <v>239</v>
      </c>
      <c r="CO53" s="1" t="s">
        <v>1397</v>
      </c>
      <c r="CP53" s="1" t="s">
        <v>209</v>
      </c>
      <c r="CQ53" s="1" t="s">
        <v>617</v>
      </c>
      <c r="CS53" s="1" t="s">
        <v>303</v>
      </c>
      <c r="CT53" s="1" t="s">
        <v>206</v>
      </c>
      <c r="CU53" s="1" t="s">
        <v>617</v>
      </c>
      <c r="CV53" s="1" t="s">
        <v>239</v>
      </c>
      <c r="CW53" s="1" t="s">
        <v>1398</v>
      </c>
      <c r="CX53" s="1" t="s">
        <v>42</v>
      </c>
      <c r="CY53" s="1" t="s">
        <v>210</v>
      </c>
      <c r="DA53" s="1" t="s">
        <v>200</v>
      </c>
      <c r="DC53" s="1" t="s">
        <v>1399</v>
      </c>
      <c r="DD53" s="1" t="s">
        <v>518</v>
      </c>
      <c r="DE53" s="1" t="s">
        <v>273</v>
      </c>
      <c r="DF53" s="1" t="s">
        <v>219</v>
      </c>
      <c r="DG53" s="1" t="s">
        <v>1400</v>
      </c>
      <c r="DH53" s="1" t="s">
        <v>365</v>
      </c>
      <c r="DI53" s="1" t="s">
        <v>1401</v>
      </c>
      <c r="DJ53" s="1" t="s">
        <v>222</v>
      </c>
      <c r="DL53" s="1" t="s">
        <v>224</v>
      </c>
      <c r="DM53" s="1" t="s">
        <v>1402</v>
      </c>
      <c r="DO53" s="1" t="s">
        <v>549</v>
      </c>
      <c r="DQ53" s="1" t="s">
        <v>228</v>
      </c>
      <c r="DR53" s="1" t="s">
        <v>229</v>
      </c>
      <c r="DU53" s="1" t="s">
        <v>487</v>
      </c>
      <c r="DV53" s="1" t="s">
        <v>1403</v>
      </c>
      <c r="DW53" s="1" t="s">
        <v>279</v>
      </c>
      <c r="DX53" s="1" t="s">
        <v>234</v>
      </c>
      <c r="DY53" s="1" t="s">
        <v>1404</v>
      </c>
      <c r="DZ53" s="1" t="s">
        <v>1405</v>
      </c>
      <c r="EA53" s="1" t="s">
        <v>1075</v>
      </c>
      <c r="EC53" s="1" t="s">
        <v>645</v>
      </c>
      <c r="ED53" s="1" t="s">
        <v>1406</v>
      </c>
      <c r="EE53" s="1" t="s">
        <v>187</v>
      </c>
      <c r="EG53" s="1" t="s">
        <v>598</v>
      </c>
      <c r="EH53" s="1" t="s">
        <v>1407</v>
      </c>
      <c r="EL53" s="1" t="s">
        <v>269</v>
      </c>
      <c r="EM53" s="1" t="s">
        <v>42</v>
      </c>
      <c r="EN53" s="1" t="s">
        <v>210</v>
      </c>
      <c r="EP53" s="1" t="s">
        <v>663</v>
      </c>
      <c r="EQ53" s="1" t="s">
        <v>42</v>
      </c>
      <c r="ER53" s="1" t="s">
        <v>617</v>
      </c>
      <c r="EU53" s="1" t="s">
        <v>238</v>
      </c>
      <c r="EY53" s="1" t="s">
        <v>238</v>
      </c>
      <c r="FC53" s="1" t="s">
        <v>238</v>
      </c>
      <c r="FF53" s="1" t="s">
        <v>239</v>
      </c>
      <c r="FG53" s="1" t="s">
        <v>192</v>
      </c>
      <c r="FH53" s="1" t="s">
        <v>192</v>
      </c>
      <c r="FJ53" s="1" t="s">
        <v>770</v>
      </c>
      <c r="FK53" s="1" t="s">
        <v>348</v>
      </c>
      <c r="FL53" s="1" t="s">
        <v>1358</v>
      </c>
      <c r="FM53" s="1">
        <v>60119.0</v>
      </c>
      <c r="FN53" s="1" t="s">
        <v>1408</v>
      </c>
      <c r="FO53" s="1" t="s">
        <v>1409</v>
      </c>
      <c r="FP53" s="1">
        <v>229994.0</v>
      </c>
      <c r="FR53" s="1">
        <v>601403.0</v>
      </c>
      <c r="FU53" s="1" t="s">
        <v>1410</v>
      </c>
      <c r="FV53" s="1" t="s">
        <v>200</v>
      </c>
      <c r="FW53" s="1" t="s">
        <v>1411</v>
      </c>
      <c r="FX53" s="1" t="s">
        <v>655</v>
      </c>
      <c r="FZ53" s="1" t="s">
        <v>229</v>
      </c>
      <c r="GA53" s="1" t="s">
        <v>291</v>
      </c>
      <c r="GB53" s="2">
        <v>42138.0</v>
      </c>
      <c r="GC53" s="1" t="s">
        <v>1412</v>
      </c>
    </row>
    <row r="54">
      <c r="A54" s="1">
        <v>224500.0</v>
      </c>
      <c r="B54" s="1" t="s">
        <v>185</v>
      </c>
      <c r="C54" s="1" t="str">
        <f>"08756641"</f>
        <v>08756641</v>
      </c>
      <c r="D54" s="1" t="s">
        <v>186</v>
      </c>
      <c r="F54" s="1" t="str">
        <f>"8074"</f>
        <v>8074</v>
      </c>
      <c r="G54" s="2">
        <v>41931.0</v>
      </c>
      <c r="H54" s="1">
        <v>249000.0</v>
      </c>
      <c r="I54" s="1">
        <v>18.0</v>
      </c>
      <c r="J54" s="1">
        <v>239000.0</v>
      </c>
      <c r="K54" s="2">
        <v>41948.0</v>
      </c>
      <c r="L54" s="1">
        <v>18.0</v>
      </c>
      <c r="M54" s="2">
        <v>41948.0</v>
      </c>
      <c r="N54" s="1" t="s">
        <v>187</v>
      </c>
      <c r="O54" s="2">
        <v>41984.0</v>
      </c>
      <c r="P54" s="1">
        <v>243295.0</v>
      </c>
      <c r="Q54" s="1">
        <v>24174.0</v>
      </c>
      <c r="S54" s="1">
        <v>10526.0</v>
      </c>
      <c r="T54" s="1" t="s">
        <v>1413</v>
      </c>
      <c r="U54" s="1" t="s">
        <v>189</v>
      </c>
      <c r="V54" s="1" t="s">
        <v>190</v>
      </c>
      <c r="W54" s="1">
        <v>60655.0</v>
      </c>
      <c r="Y54" s="1" t="s">
        <v>1414</v>
      </c>
      <c r="Z54" s="1">
        <v>1959.0</v>
      </c>
      <c r="AA54" s="1" t="s">
        <v>192</v>
      </c>
      <c r="AB54" s="1" t="s">
        <v>193</v>
      </c>
      <c r="AD54" s="1" t="s">
        <v>194</v>
      </c>
      <c r="AE54" s="1" t="s">
        <v>195</v>
      </c>
      <c r="AF54" s="1" t="s">
        <v>659</v>
      </c>
      <c r="AH54" s="1" t="s">
        <v>1415</v>
      </c>
      <c r="AI54" s="1">
        <v>0.0</v>
      </c>
      <c r="AK54" s="1">
        <v>8.0</v>
      </c>
      <c r="AL54" s="1">
        <v>3.0</v>
      </c>
      <c r="AM54" s="1">
        <v>1.0</v>
      </c>
      <c r="AN54" s="1">
        <v>1.0</v>
      </c>
      <c r="AO54" s="1" t="s">
        <v>229</v>
      </c>
      <c r="AQ54" s="1" t="s">
        <v>198</v>
      </c>
      <c r="AR54" s="1" t="s">
        <v>200</v>
      </c>
      <c r="AS54" s="1" t="s">
        <v>199</v>
      </c>
      <c r="AT54" s="1">
        <v>2.5</v>
      </c>
      <c r="AV54" s="1" t="s">
        <v>200</v>
      </c>
      <c r="AW54" s="1">
        <v>5479.0</v>
      </c>
      <c r="AX54" s="1">
        <v>2012.0</v>
      </c>
      <c r="AY54" s="1" t="s">
        <v>229</v>
      </c>
      <c r="AZ54" s="1" t="s">
        <v>200</v>
      </c>
      <c r="BA54" s="1" t="str">
        <f>"24141080910000"</f>
        <v>24141080910000</v>
      </c>
      <c r="BB54" s="1" t="s">
        <v>200</v>
      </c>
      <c r="BC54" s="1">
        <v>1206.0</v>
      </c>
      <c r="BD54" s="1">
        <v>224500.0</v>
      </c>
      <c r="BE54" s="2">
        <v>41931.0</v>
      </c>
      <c r="BF54" s="2" t="s">
        <v>1416</v>
      </c>
      <c r="BH54" s="1">
        <v>0.0</v>
      </c>
      <c r="BK54" s="1" t="s">
        <v>204</v>
      </c>
      <c r="BL54" s="1" t="str">
        <f t="shared" ref="BL54:BM54" si="35">"0"</f>
        <v>0</v>
      </c>
      <c r="BM54" s="1" t="str">
        <f t="shared" si="35"/>
        <v>0</v>
      </c>
      <c r="BN54" s="1">
        <v>3900.0</v>
      </c>
      <c r="BO54" s="1">
        <v>10526.0</v>
      </c>
      <c r="BQ54" s="1">
        <v>299.0</v>
      </c>
      <c r="BR54" s="1">
        <v>299.0</v>
      </c>
      <c r="BS54" s="1">
        <v>299.0</v>
      </c>
      <c r="BU54" s="1" t="s">
        <v>496</v>
      </c>
      <c r="BV54" s="1" t="s">
        <v>206</v>
      </c>
      <c r="BW54" s="1" t="s">
        <v>207</v>
      </c>
      <c r="BY54" s="1" t="s">
        <v>1417</v>
      </c>
      <c r="BZ54" s="1" t="s">
        <v>209</v>
      </c>
      <c r="CA54" s="1" t="s">
        <v>207</v>
      </c>
      <c r="CC54" s="1" t="s">
        <v>331</v>
      </c>
      <c r="CD54" s="1" t="s">
        <v>206</v>
      </c>
      <c r="CE54" s="1" t="s">
        <v>207</v>
      </c>
      <c r="CG54" s="1" t="s">
        <v>302</v>
      </c>
      <c r="CH54" s="1" t="s">
        <v>209</v>
      </c>
      <c r="CI54" s="1" t="s">
        <v>207</v>
      </c>
      <c r="CK54" s="1" t="s">
        <v>495</v>
      </c>
      <c r="CL54" s="1" t="s">
        <v>209</v>
      </c>
      <c r="CM54" s="1" t="s">
        <v>207</v>
      </c>
      <c r="CO54" s="1" t="s">
        <v>1418</v>
      </c>
      <c r="CP54" s="1" t="s">
        <v>42</v>
      </c>
      <c r="CQ54" s="1" t="s">
        <v>301</v>
      </c>
      <c r="CS54" s="1" t="s">
        <v>816</v>
      </c>
      <c r="CT54" s="1" t="s">
        <v>206</v>
      </c>
      <c r="CU54" s="1" t="s">
        <v>301</v>
      </c>
      <c r="CW54" s="1" t="s">
        <v>1068</v>
      </c>
      <c r="CX54" s="1" t="s">
        <v>42</v>
      </c>
      <c r="CY54" s="1" t="s">
        <v>301</v>
      </c>
      <c r="DA54" s="1" t="s">
        <v>200</v>
      </c>
      <c r="DC54" s="1" t="s">
        <v>271</v>
      </c>
      <c r="DE54" s="1" t="s">
        <v>273</v>
      </c>
      <c r="DF54" s="1" t="s">
        <v>219</v>
      </c>
      <c r="DH54" s="1" t="s">
        <v>307</v>
      </c>
      <c r="DI54" s="1" t="s">
        <v>831</v>
      </c>
      <c r="DJ54" s="1" t="s">
        <v>222</v>
      </c>
      <c r="DL54" s="1" t="s">
        <v>224</v>
      </c>
      <c r="DM54" s="1" t="s">
        <v>229</v>
      </c>
      <c r="DO54" s="1" t="s">
        <v>549</v>
      </c>
      <c r="DQ54" s="1" t="s">
        <v>228</v>
      </c>
      <c r="DR54" s="1" t="s">
        <v>229</v>
      </c>
      <c r="DS54" s="1" t="s">
        <v>401</v>
      </c>
      <c r="DV54" s="1" t="s">
        <v>232</v>
      </c>
      <c r="DW54" s="1" t="s">
        <v>279</v>
      </c>
      <c r="DX54" s="1" t="s">
        <v>234</v>
      </c>
      <c r="EA54" s="1" t="s">
        <v>283</v>
      </c>
      <c r="EC54" s="1" t="s">
        <v>284</v>
      </c>
      <c r="ED54" s="1" t="s">
        <v>407</v>
      </c>
      <c r="EM54" s="1" t="s">
        <v>238</v>
      </c>
      <c r="EQ54" s="1" t="s">
        <v>238</v>
      </c>
      <c r="EU54" s="1" t="s">
        <v>238</v>
      </c>
      <c r="EY54" s="1" t="s">
        <v>238</v>
      </c>
      <c r="FC54" s="1" t="s">
        <v>238</v>
      </c>
      <c r="FF54" s="1" t="s">
        <v>239</v>
      </c>
      <c r="FG54" s="1" t="s">
        <v>192</v>
      </c>
      <c r="FH54" s="1" t="s">
        <v>192</v>
      </c>
      <c r="FJ54" s="1" t="s">
        <v>1419</v>
      </c>
      <c r="FK54" s="1" t="s">
        <v>229</v>
      </c>
      <c r="FL54" s="1" t="s">
        <v>707</v>
      </c>
      <c r="FM54" s="1">
        <v>24174.0</v>
      </c>
      <c r="FN54" s="1" t="s">
        <v>708</v>
      </c>
      <c r="FO54" s="1" t="s">
        <v>709</v>
      </c>
      <c r="FP54" s="1">
        <v>243295.0</v>
      </c>
      <c r="FR54" s="1">
        <v>219332.0</v>
      </c>
      <c r="FU54" s="1" t="s">
        <v>1420</v>
      </c>
      <c r="FV54" s="1" t="s">
        <v>200</v>
      </c>
      <c r="FW54" s="1" t="s">
        <v>290</v>
      </c>
      <c r="FX54" s="1" t="s">
        <v>655</v>
      </c>
      <c r="FZ54" s="1" t="s">
        <v>229</v>
      </c>
      <c r="GA54" s="1" t="s">
        <v>291</v>
      </c>
      <c r="GB54" s="2">
        <v>41996.0</v>
      </c>
      <c r="GC54" s="1" t="s">
        <v>1421</v>
      </c>
    </row>
    <row r="55">
      <c r="A55" s="1">
        <v>885000.0</v>
      </c>
      <c r="B55" s="1" t="s">
        <v>185</v>
      </c>
      <c r="C55" s="1" t="str">
        <f>"08762657"</f>
        <v>08762657</v>
      </c>
      <c r="D55" s="1" t="s">
        <v>186</v>
      </c>
      <c r="F55" s="1" t="str">
        <f>"8024"</f>
        <v>8024</v>
      </c>
      <c r="G55" s="2">
        <v>41939.0</v>
      </c>
      <c r="H55" s="1">
        <v>899900.0</v>
      </c>
      <c r="I55" s="1">
        <v>80.0</v>
      </c>
      <c r="J55" s="1">
        <v>899900.0</v>
      </c>
      <c r="K55" s="2">
        <v>42018.0</v>
      </c>
      <c r="L55" s="1">
        <v>80.0</v>
      </c>
      <c r="M55" s="2">
        <v>42018.0</v>
      </c>
      <c r="N55" s="1" t="s">
        <v>187</v>
      </c>
      <c r="O55" s="2">
        <v>42079.0</v>
      </c>
      <c r="P55" s="1">
        <v>138257.0</v>
      </c>
      <c r="Q55" s="1">
        <v>17665.0</v>
      </c>
      <c r="S55" s="1">
        <v>1534.0</v>
      </c>
      <c r="T55" s="1" t="s">
        <v>1422</v>
      </c>
      <c r="U55" s="1" t="s">
        <v>189</v>
      </c>
      <c r="V55" s="1" t="s">
        <v>190</v>
      </c>
      <c r="W55" s="1">
        <v>60622.0</v>
      </c>
      <c r="Y55" s="1" t="s">
        <v>1423</v>
      </c>
      <c r="Z55" s="1">
        <v>2014.0</v>
      </c>
      <c r="AA55" s="1" t="s">
        <v>200</v>
      </c>
      <c r="AB55" s="1" t="s">
        <v>193</v>
      </c>
      <c r="AD55" s="1" t="s">
        <v>194</v>
      </c>
      <c r="AE55" s="1" t="s">
        <v>195</v>
      </c>
      <c r="AF55" s="1" t="s">
        <v>827</v>
      </c>
      <c r="AH55" s="1" t="s">
        <v>1424</v>
      </c>
      <c r="AI55" s="1">
        <v>0.0746</v>
      </c>
      <c r="AK55" s="1">
        <v>10.0</v>
      </c>
      <c r="AL55" s="1">
        <v>4.0</v>
      </c>
      <c r="AM55" s="1">
        <v>3.0</v>
      </c>
      <c r="AN55" s="1">
        <v>1.0</v>
      </c>
      <c r="AO55" s="1" t="s">
        <v>198</v>
      </c>
      <c r="AP55" s="1">
        <v>1.0</v>
      </c>
      <c r="AQ55" s="1" t="s">
        <v>472</v>
      </c>
      <c r="AR55" s="1" t="s">
        <v>192</v>
      </c>
      <c r="AS55" s="1" t="s">
        <v>199</v>
      </c>
      <c r="AT55" s="1">
        <v>2.0</v>
      </c>
      <c r="AV55" s="1" t="s">
        <v>200</v>
      </c>
      <c r="AW55" s="5">
        <v>1160.0</v>
      </c>
      <c r="AX55" s="1">
        <v>2013.0</v>
      </c>
      <c r="AZ55" s="1" t="s">
        <v>200</v>
      </c>
      <c r="BA55" s="1" t="str">
        <f>"16012040320000"</f>
        <v>16012040320000</v>
      </c>
      <c r="BC55" s="1">
        <v>3700.0</v>
      </c>
      <c r="BD55" s="1">
        <v>885000.0</v>
      </c>
      <c r="BE55" s="2">
        <v>41939.0</v>
      </c>
      <c r="BF55" s="2" t="s">
        <v>1425</v>
      </c>
      <c r="BH55" s="1">
        <v>0.0</v>
      </c>
      <c r="BK55" s="1" t="s">
        <v>204</v>
      </c>
      <c r="BL55" s="1" t="str">
        <f>"1600"</f>
        <v>1600</v>
      </c>
      <c r="BM55" s="1" t="str">
        <f>"0"</f>
        <v>0</v>
      </c>
      <c r="BN55" s="1">
        <v>2532.0</v>
      </c>
      <c r="BO55" s="1">
        <v>0.0</v>
      </c>
      <c r="BQ55" s="1">
        <v>299.0</v>
      </c>
      <c r="BR55" s="1">
        <v>299.0</v>
      </c>
      <c r="BS55" s="1">
        <v>299.0</v>
      </c>
      <c r="BU55" s="1" t="s">
        <v>393</v>
      </c>
      <c r="BV55" s="1" t="s">
        <v>206</v>
      </c>
      <c r="BW55" s="1" t="s">
        <v>207</v>
      </c>
      <c r="BY55" s="1" t="s">
        <v>361</v>
      </c>
      <c r="BZ55" s="1" t="s">
        <v>209</v>
      </c>
      <c r="CA55" s="1" t="s">
        <v>207</v>
      </c>
      <c r="CC55" s="1" t="s">
        <v>1426</v>
      </c>
      <c r="CD55" s="1" t="s">
        <v>206</v>
      </c>
      <c r="CE55" s="1" t="s">
        <v>207</v>
      </c>
      <c r="CG55" s="1" t="s">
        <v>433</v>
      </c>
      <c r="CH55" s="1" t="s">
        <v>209</v>
      </c>
      <c r="CI55" s="1" t="s">
        <v>207</v>
      </c>
      <c r="CK55" s="1" t="s">
        <v>264</v>
      </c>
      <c r="CL55" s="1" t="s">
        <v>209</v>
      </c>
      <c r="CM55" s="1" t="s">
        <v>207</v>
      </c>
      <c r="CO55" s="1" t="s">
        <v>1427</v>
      </c>
      <c r="CP55" s="1" t="s">
        <v>267</v>
      </c>
      <c r="CQ55" s="1" t="s">
        <v>210</v>
      </c>
      <c r="CS55" s="1" t="s">
        <v>361</v>
      </c>
      <c r="CT55" s="1" t="s">
        <v>206</v>
      </c>
      <c r="CU55" s="1" t="s">
        <v>207</v>
      </c>
      <c r="CW55" s="1" t="s">
        <v>361</v>
      </c>
      <c r="CX55" s="1" t="s">
        <v>206</v>
      </c>
      <c r="CY55" s="1" t="s">
        <v>207</v>
      </c>
      <c r="DA55" s="1" t="s">
        <v>192</v>
      </c>
      <c r="DB55" s="2">
        <v>41939.0</v>
      </c>
      <c r="DC55" s="1" t="s">
        <v>1353</v>
      </c>
      <c r="DD55" s="1" t="s">
        <v>1428</v>
      </c>
      <c r="DE55" s="1" t="s">
        <v>273</v>
      </c>
      <c r="DF55" s="1" t="s">
        <v>619</v>
      </c>
      <c r="DG55" s="1" t="s">
        <v>337</v>
      </c>
      <c r="DH55" s="1" t="s">
        <v>220</v>
      </c>
      <c r="DI55" s="1" t="s">
        <v>1429</v>
      </c>
      <c r="DJ55" s="1" t="s">
        <v>222</v>
      </c>
      <c r="DL55" s="1" t="s">
        <v>224</v>
      </c>
      <c r="DM55" s="1" t="s">
        <v>229</v>
      </c>
      <c r="DN55" s="1" t="s">
        <v>666</v>
      </c>
      <c r="DP55" s="1" t="s">
        <v>340</v>
      </c>
      <c r="DQ55" s="1" t="s">
        <v>718</v>
      </c>
      <c r="DR55" s="1" t="s">
        <v>229</v>
      </c>
      <c r="DS55" s="1" t="s">
        <v>230</v>
      </c>
      <c r="DV55" s="1" t="s">
        <v>1430</v>
      </c>
      <c r="DW55" s="1" t="s">
        <v>588</v>
      </c>
      <c r="DX55" s="1" t="s">
        <v>234</v>
      </c>
      <c r="DY55" s="1" t="s">
        <v>1431</v>
      </c>
      <c r="DZ55" s="1" t="s">
        <v>1100</v>
      </c>
      <c r="EA55" s="1" t="s">
        <v>1027</v>
      </c>
      <c r="EB55" s="1" t="s">
        <v>684</v>
      </c>
      <c r="EC55" s="1" t="s">
        <v>406</v>
      </c>
      <c r="ED55" s="1" t="s">
        <v>555</v>
      </c>
      <c r="EE55" s="1" t="s">
        <v>187</v>
      </c>
      <c r="EG55" s="1" t="s">
        <v>450</v>
      </c>
      <c r="EH55" s="1" t="s">
        <v>1432</v>
      </c>
      <c r="EL55" s="1" t="s">
        <v>1433</v>
      </c>
      <c r="EM55" s="1" t="s">
        <v>267</v>
      </c>
      <c r="EN55" s="1" t="s">
        <v>210</v>
      </c>
      <c r="EP55" s="1" t="s">
        <v>700</v>
      </c>
      <c r="EQ55" s="1" t="s">
        <v>267</v>
      </c>
      <c r="ER55" s="1" t="s">
        <v>210</v>
      </c>
      <c r="EU55" s="1" t="s">
        <v>238</v>
      </c>
      <c r="EY55" s="1" t="s">
        <v>238</v>
      </c>
      <c r="FC55" s="1" t="s">
        <v>238</v>
      </c>
      <c r="FF55" s="1" t="s">
        <v>239</v>
      </c>
      <c r="FG55" s="1" t="s">
        <v>192</v>
      </c>
      <c r="FH55" s="1" t="s">
        <v>192</v>
      </c>
      <c r="FJ55" s="1" t="s">
        <v>1434</v>
      </c>
      <c r="FK55" s="1" t="s">
        <v>229</v>
      </c>
      <c r="FL55" s="1" t="s">
        <v>974</v>
      </c>
      <c r="FM55" s="1">
        <v>10900.0</v>
      </c>
      <c r="FN55" s="1" t="s">
        <v>1435</v>
      </c>
      <c r="FO55" s="1" t="s">
        <v>1436</v>
      </c>
      <c r="FP55" s="1">
        <v>115606.0</v>
      </c>
      <c r="FQ55" s="1" t="s">
        <v>1437</v>
      </c>
      <c r="FU55" s="1" t="s">
        <v>1438</v>
      </c>
      <c r="FV55" s="1" t="s">
        <v>192</v>
      </c>
      <c r="FW55" s="1" t="s">
        <v>1439</v>
      </c>
      <c r="FX55" s="1" t="s">
        <v>238</v>
      </c>
      <c r="FZ55" s="1" t="s">
        <v>229</v>
      </c>
      <c r="GA55" s="1" t="s">
        <v>291</v>
      </c>
      <c r="GB55" s="2">
        <v>42081.0</v>
      </c>
      <c r="GC55" s="1" t="s">
        <v>1440</v>
      </c>
    </row>
    <row r="56">
      <c r="A56" s="1">
        <v>210000.0</v>
      </c>
      <c r="B56" s="1" t="s">
        <v>185</v>
      </c>
      <c r="C56" s="1" t="str">
        <f>"08757601"</f>
        <v>08757601</v>
      </c>
      <c r="D56" s="1" t="s">
        <v>186</v>
      </c>
      <c r="F56" s="1" t="str">
        <f>"123"</f>
        <v>123</v>
      </c>
      <c r="G56" s="2">
        <v>41932.0</v>
      </c>
      <c r="H56" s="1">
        <v>219900.0</v>
      </c>
      <c r="I56" s="1">
        <v>12.0</v>
      </c>
      <c r="J56" s="1">
        <v>219900.0</v>
      </c>
      <c r="K56" s="2">
        <v>41943.0</v>
      </c>
      <c r="L56" s="1">
        <v>12.0</v>
      </c>
      <c r="M56" s="2">
        <v>41943.0</v>
      </c>
      <c r="N56" s="1" t="s">
        <v>249</v>
      </c>
      <c r="O56" s="2">
        <v>41978.0</v>
      </c>
      <c r="P56" s="1">
        <v>215422.0</v>
      </c>
      <c r="Q56" s="1">
        <v>25276.0</v>
      </c>
      <c r="S56" s="1">
        <v>2090.0</v>
      </c>
      <c r="T56" s="1" t="s">
        <v>1441</v>
      </c>
      <c r="U56" s="1" t="s">
        <v>1442</v>
      </c>
      <c r="V56" s="1" t="s">
        <v>465</v>
      </c>
      <c r="W56" s="1">
        <v>60123.0</v>
      </c>
      <c r="Y56" s="1" t="s">
        <v>1443</v>
      </c>
      <c r="Z56" s="1">
        <v>1988.0</v>
      </c>
      <c r="AA56" s="1" t="s">
        <v>200</v>
      </c>
      <c r="AB56" s="1" t="s">
        <v>193</v>
      </c>
      <c r="AC56" s="1" t="s">
        <v>1444</v>
      </c>
      <c r="AD56" s="1" t="s">
        <v>469</v>
      </c>
      <c r="AE56" s="1" t="s">
        <v>325</v>
      </c>
      <c r="AF56" s="1" t="s">
        <v>469</v>
      </c>
      <c r="AG56" s="1" t="s">
        <v>1445</v>
      </c>
      <c r="AH56" s="1" t="s">
        <v>1446</v>
      </c>
      <c r="AI56" s="1">
        <v>0.1893</v>
      </c>
      <c r="AK56" s="1">
        <v>9.0</v>
      </c>
      <c r="AL56" s="1">
        <v>4.0</v>
      </c>
      <c r="AM56" s="1">
        <v>2.0</v>
      </c>
      <c r="AN56" s="1">
        <v>1.0</v>
      </c>
      <c r="AO56" s="1" t="s">
        <v>198</v>
      </c>
      <c r="AP56" s="1">
        <v>2.0</v>
      </c>
      <c r="AQ56" s="1" t="s">
        <v>198</v>
      </c>
      <c r="AR56" s="1" t="s">
        <v>200</v>
      </c>
      <c r="AS56" s="1" t="s">
        <v>199</v>
      </c>
      <c r="AT56" s="1">
        <v>2.0</v>
      </c>
      <c r="AV56" s="1" t="s">
        <v>200</v>
      </c>
      <c r="AW56" s="1">
        <v>6091.72</v>
      </c>
      <c r="AX56" s="1">
        <v>2013.0</v>
      </c>
      <c r="AY56" s="1" t="s">
        <v>387</v>
      </c>
      <c r="AZ56" s="1" t="s">
        <v>200</v>
      </c>
      <c r="BA56" s="1" t="str">
        <f>"0609255006"</f>
        <v>0609255006</v>
      </c>
      <c r="BC56" s="1">
        <v>2483.0</v>
      </c>
      <c r="BD56" s="1">
        <v>210000.0</v>
      </c>
      <c r="BE56" s="2">
        <v>41932.0</v>
      </c>
      <c r="BF56" s="1" t="s">
        <v>1447</v>
      </c>
      <c r="BH56" s="1">
        <v>0.0</v>
      </c>
      <c r="BK56" s="1" t="s">
        <v>204</v>
      </c>
      <c r="BL56" s="1" t="str">
        <f>"12"</f>
        <v>12</v>
      </c>
      <c r="BM56" s="1" t="str">
        <f>""</f>
        <v/>
      </c>
      <c r="BN56" s="1">
        <v>36.0</v>
      </c>
      <c r="BQ56" s="1">
        <v>46.0</v>
      </c>
      <c r="BR56" s="1">
        <v>46.0</v>
      </c>
      <c r="BS56" s="1">
        <v>46.0</v>
      </c>
      <c r="BU56" s="1" t="s">
        <v>361</v>
      </c>
      <c r="BV56" s="1" t="s">
        <v>206</v>
      </c>
      <c r="BW56" s="1" t="s">
        <v>268</v>
      </c>
      <c r="BY56" s="1" t="s">
        <v>1448</v>
      </c>
      <c r="BZ56" s="1" t="s">
        <v>209</v>
      </c>
      <c r="CA56" s="1" t="s">
        <v>210</v>
      </c>
      <c r="CC56" s="1" t="s">
        <v>215</v>
      </c>
      <c r="CD56" s="1" t="s">
        <v>206</v>
      </c>
      <c r="CE56" s="1" t="s">
        <v>268</v>
      </c>
      <c r="CG56" s="1" t="s">
        <v>329</v>
      </c>
      <c r="CH56" s="1" t="s">
        <v>209</v>
      </c>
      <c r="CI56" s="1" t="s">
        <v>210</v>
      </c>
      <c r="CK56" s="1" t="s">
        <v>215</v>
      </c>
      <c r="CL56" s="1" t="s">
        <v>209</v>
      </c>
      <c r="CM56" s="1" t="s">
        <v>210</v>
      </c>
      <c r="CO56" s="1" t="s">
        <v>264</v>
      </c>
      <c r="CP56" s="1" t="s">
        <v>209</v>
      </c>
      <c r="CQ56" s="1" t="s">
        <v>210</v>
      </c>
      <c r="CS56" s="1" t="s">
        <v>264</v>
      </c>
      <c r="CT56" s="1" t="s">
        <v>206</v>
      </c>
      <c r="CU56" s="1" t="s">
        <v>301</v>
      </c>
      <c r="CW56" s="1" t="s">
        <v>924</v>
      </c>
      <c r="CX56" s="1" t="s">
        <v>206</v>
      </c>
      <c r="CY56" s="1" t="s">
        <v>210</v>
      </c>
      <c r="DA56" s="1" t="s">
        <v>200</v>
      </c>
      <c r="DC56" s="1" t="s">
        <v>305</v>
      </c>
      <c r="DD56" s="1" t="s">
        <v>396</v>
      </c>
      <c r="DE56" s="1" t="s">
        <v>273</v>
      </c>
      <c r="DF56" s="1" t="s">
        <v>219</v>
      </c>
      <c r="DG56" s="1" t="s">
        <v>337</v>
      </c>
      <c r="DH56" s="1" t="s">
        <v>220</v>
      </c>
      <c r="DJ56" s="1" t="s">
        <v>222</v>
      </c>
      <c r="DL56" s="1" t="s">
        <v>223</v>
      </c>
      <c r="DM56" s="1" t="s">
        <v>229</v>
      </c>
      <c r="DN56" s="1" t="s">
        <v>399</v>
      </c>
      <c r="DO56" s="1" t="s">
        <v>486</v>
      </c>
      <c r="DP56" s="1" t="s">
        <v>400</v>
      </c>
      <c r="DQ56" s="1" t="s">
        <v>228</v>
      </c>
      <c r="DR56" s="1" t="s">
        <v>229</v>
      </c>
      <c r="DS56" s="1" t="s">
        <v>401</v>
      </c>
      <c r="DV56" s="1" t="s">
        <v>449</v>
      </c>
      <c r="DW56" s="1" t="s">
        <v>233</v>
      </c>
      <c r="DX56" s="1" t="s">
        <v>234</v>
      </c>
      <c r="DY56" s="1" t="s">
        <v>490</v>
      </c>
      <c r="DZ56" s="1" t="s">
        <v>862</v>
      </c>
      <c r="EA56" s="1" t="s">
        <v>447</v>
      </c>
      <c r="EC56" s="1" t="s">
        <v>237</v>
      </c>
      <c r="ED56" s="1" t="s">
        <v>555</v>
      </c>
      <c r="EE56" s="1" t="s">
        <v>493</v>
      </c>
      <c r="EG56" s="1" t="s">
        <v>449</v>
      </c>
      <c r="EL56" s="1" t="s">
        <v>1449</v>
      </c>
      <c r="EM56" s="1" t="s">
        <v>206</v>
      </c>
      <c r="EN56" s="1" t="s">
        <v>207</v>
      </c>
      <c r="EQ56" s="1" t="s">
        <v>238</v>
      </c>
      <c r="EU56" s="1" t="s">
        <v>238</v>
      </c>
      <c r="EY56" s="1" t="s">
        <v>238</v>
      </c>
      <c r="FC56" s="1" t="s">
        <v>238</v>
      </c>
      <c r="FF56" s="1" t="s">
        <v>239</v>
      </c>
      <c r="FG56" s="1" t="s">
        <v>192</v>
      </c>
      <c r="FH56" s="1" t="s">
        <v>192</v>
      </c>
      <c r="FJ56" s="1" t="s">
        <v>1450</v>
      </c>
      <c r="FK56" s="1" t="s">
        <v>229</v>
      </c>
      <c r="FL56" s="1" t="s">
        <v>1451</v>
      </c>
      <c r="FM56" s="1">
        <v>7450.0</v>
      </c>
      <c r="FN56" s="1" t="s">
        <v>1452</v>
      </c>
      <c r="FO56" s="1" t="s">
        <v>1453</v>
      </c>
      <c r="FP56" s="1">
        <v>8423.0</v>
      </c>
      <c r="FQ56" s="1" t="s">
        <v>1454</v>
      </c>
      <c r="FS56" s="1" t="s">
        <v>1455</v>
      </c>
      <c r="FU56" s="1" t="s">
        <v>1456</v>
      </c>
      <c r="FV56" s="1" t="s">
        <v>200</v>
      </c>
      <c r="FW56" s="1" t="s">
        <v>1457</v>
      </c>
      <c r="FZ56" s="1" t="s">
        <v>229</v>
      </c>
      <c r="GA56" s="1" t="s">
        <v>291</v>
      </c>
      <c r="GB56" s="2">
        <v>41981.0</v>
      </c>
    </row>
    <row r="57">
      <c r="A57" s="1">
        <v>160000.0</v>
      </c>
      <c r="B57" s="1" t="s">
        <v>185</v>
      </c>
      <c r="C57" s="1" t="str">
        <f>"08760417"</f>
        <v>08760417</v>
      </c>
      <c r="D57" s="1" t="s">
        <v>186</v>
      </c>
      <c r="F57" s="1" t="str">
        <f>"8064"</f>
        <v>8064</v>
      </c>
      <c r="G57" s="2">
        <v>41935.0</v>
      </c>
      <c r="H57" s="1">
        <v>169900.0</v>
      </c>
      <c r="I57" s="1">
        <v>16.0</v>
      </c>
      <c r="J57" s="1">
        <v>169900.0</v>
      </c>
      <c r="K57" s="2">
        <v>41949.0</v>
      </c>
      <c r="L57" s="1">
        <v>16.0</v>
      </c>
      <c r="M57" s="2">
        <v>41949.0</v>
      </c>
      <c r="N57" s="1" t="s">
        <v>356</v>
      </c>
      <c r="O57" s="2">
        <v>42019.0</v>
      </c>
      <c r="P57" s="1">
        <v>603064.0</v>
      </c>
      <c r="Q57" s="1">
        <v>60321.0</v>
      </c>
      <c r="R57" s="1">
        <v>4500.0</v>
      </c>
      <c r="S57" s="1">
        <v>6011.0</v>
      </c>
      <c r="T57" s="1" t="s">
        <v>1458</v>
      </c>
      <c r="U57" s="1" t="s">
        <v>189</v>
      </c>
      <c r="V57" s="1" t="s">
        <v>190</v>
      </c>
      <c r="W57" s="1">
        <v>60638.0</v>
      </c>
      <c r="Y57" s="1" t="s">
        <v>1459</v>
      </c>
      <c r="Z57" s="1">
        <v>1940.0</v>
      </c>
      <c r="AA57" s="1" t="s">
        <v>192</v>
      </c>
      <c r="AB57" s="1" t="s">
        <v>193</v>
      </c>
      <c r="AD57" s="1" t="s">
        <v>194</v>
      </c>
      <c r="AE57" s="1" t="s">
        <v>195</v>
      </c>
      <c r="AF57" s="1" t="s">
        <v>659</v>
      </c>
      <c r="AH57" s="1" t="s">
        <v>1460</v>
      </c>
      <c r="AI57" s="1">
        <v>0.0955</v>
      </c>
      <c r="AK57" s="1">
        <v>9.0</v>
      </c>
      <c r="AL57" s="1">
        <v>3.0</v>
      </c>
      <c r="AM57" s="1">
        <v>2.0</v>
      </c>
      <c r="AN57" s="1">
        <v>0.0</v>
      </c>
      <c r="AO57" s="1" t="s">
        <v>229</v>
      </c>
      <c r="AP57" s="1">
        <v>1.0</v>
      </c>
      <c r="AQ57" s="1" t="s">
        <v>198</v>
      </c>
      <c r="AR57" s="1" t="s">
        <v>192</v>
      </c>
      <c r="AS57" s="1" t="s">
        <v>199</v>
      </c>
      <c r="AT57" s="1">
        <v>2.0</v>
      </c>
      <c r="AV57" s="1" t="s">
        <v>200</v>
      </c>
      <c r="AW57" s="1">
        <v>2184.58</v>
      </c>
      <c r="AX57" s="1">
        <v>2012.0</v>
      </c>
      <c r="AY57" s="1" t="s">
        <v>229</v>
      </c>
      <c r="AZ57" s="1" t="s">
        <v>200</v>
      </c>
      <c r="BA57" s="1" t="str">
        <f>"19174140310000"</f>
        <v>19174140310000</v>
      </c>
      <c r="BC57" s="1">
        <v>1050.0</v>
      </c>
      <c r="BD57" s="1">
        <v>160000.0</v>
      </c>
      <c r="BE57" s="2">
        <v>41934.0</v>
      </c>
      <c r="BF57" s="2" t="s">
        <v>1461</v>
      </c>
      <c r="BH57" s="1">
        <v>0.0</v>
      </c>
      <c r="BK57" s="1" t="s">
        <v>204</v>
      </c>
      <c r="BL57" s="1" t="str">
        <f t="shared" ref="BL57:BM57" si="36">"0"</f>
        <v>0</v>
      </c>
      <c r="BM57" s="1" t="str">
        <f t="shared" si="36"/>
        <v>0</v>
      </c>
      <c r="BN57" s="1">
        <v>5700.0</v>
      </c>
      <c r="BO57" s="1">
        <v>6011.0</v>
      </c>
      <c r="BQ57" s="1">
        <v>299.0</v>
      </c>
      <c r="BR57" s="1">
        <v>299.0</v>
      </c>
      <c r="BS57" s="1">
        <v>299.0</v>
      </c>
      <c r="BU57" s="1" t="s">
        <v>262</v>
      </c>
      <c r="BV57" s="1" t="s">
        <v>206</v>
      </c>
      <c r="BW57" s="1" t="s">
        <v>210</v>
      </c>
      <c r="BY57" s="1" t="s">
        <v>264</v>
      </c>
      <c r="BZ57" s="1" t="s">
        <v>206</v>
      </c>
      <c r="CA57" s="1" t="s">
        <v>210</v>
      </c>
      <c r="CD57" s="1" t="s">
        <v>204</v>
      </c>
      <c r="CG57" s="1" t="s">
        <v>269</v>
      </c>
      <c r="CH57" s="1" t="s">
        <v>206</v>
      </c>
      <c r="CI57" s="1" t="s">
        <v>210</v>
      </c>
      <c r="CK57" s="1" t="s">
        <v>269</v>
      </c>
      <c r="CL57" s="1" t="s">
        <v>206</v>
      </c>
      <c r="CM57" s="1" t="s">
        <v>210</v>
      </c>
      <c r="CO57" s="1" t="s">
        <v>411</v>
      </c>
      <c r="CP57" s="1" t="s">
        <v>42</v>
      </c>
      <c r="CQ57" s="1" t="s">
        <v>617</v>
      </c>
      <c r="CS57" s="1" t="s">
        <v>264</v>
      </c>
      <c r="CT57" s="1" t="s">
        <v>206</v>
      </c>
      <c r="CU57" s="1" t="s">
        <v>617</v>
      </c>
      <c r="CW57" s="1" t="s">
        <v>262</v>
      </c>
      <c r="CX57" s="1" t="s">
        <v>206</v>
      </c>
      <c r="CY57" s="1" t="s">
        <v>210</v>
      </c>
      <c r="DA57" s="1" t="s">
        <v>200</v>
      </c>
      <c r="DC57" s="1" t="s">
        <v>1399</v>
      </c>
      <c r="DD57" s="1" t="s">
        <v>306</v>
      </c>
      <c r="DE57" s="1" t="s">
        <v>273</v>
      </c>
      <c r="DF57" s="1" t="s">
        <v>219</v>
      </c>
      <c r="DG57" s="1" t="s">
        <v>1462</v>
      </c>
      <c r="DH57" s="1" t="s">
        <v>365</v>
      </c>
      <c r="DI57" s="1" t="s">
        <v>1463</v>
      </c>
      <c r="DJ57" s="1" t="s">
        <v>222</v>
      </c>
      <c r="DL57" s="1" t="s">
        <v>224</v>
      </c>
      <c r="DM57" s="1" t="s">
        <v>1464</v>
      </c>
      <c r="DO57" s="1" t="s">
        <v>549</v>
      </c>
      <c r="DP57" s="1" t="s">
        <v>227</v>
      </c>
      <c r="DQ57" s="1" t="s">
        <v>794</v>
      </c>
      <c r="DR57" s="1" t="s">
        <v>229</v>
      </c>
      <c r="DV57" s="1" t="s">
        <v>1465</v>
      </c>
      <c r="DW57" s="1" t="s">
        <v>279</v>
      </c>
      <c r="DX57" s="1" t="s">
        <v>309</v>
      </c>
      <c r="DZ57" s="1" t="s">
        <v>1466</v>
      </c>
      <c r="EA57" s="1" t="s">
        <v>683</v>
      </c>
      <c r="EC57" s="1" t="s">
        <v>311</v>
      </c>
      <c r="EG57" s="1" t="s">
        <v>450</v>
      </c>
      <c r="EH57" s="1" t="s">
        <v>1467</v>
      </c>
      <c r="EL57" s="1" t="s">
        <v>214</v>
      </c>
      <c r="EM57" s="1" t="s">
        <v>42</v>
      </c>
      <c r="EP57" s="1" t="s">
        <v>1468</v>
      </c>
      <c r="EQ57" s="1" t="s">
        <v>42</v>
      </c>
      <c r="ER57" s="1" t="s">
        <v>617</v>
      </c>
      <c r="EU57" s="1" t="s">
        <v>238</v>
      </c>
      <c r="EY57" s="1" t="s">
        <v>238</v>
      </c>
      <c r="FC57" s="1" t="s">
        <v>238</v>
      </c>
      <c r="FF57" s="1" t="s">
        <v>239</v>
      </c>
      <c r="FG57" s="1" t="s">
        <v>192</v>
      </c>
      <c r="FH57" s="1" t="s">
        <v>192</v>
      </c>
      <c r="FJ57" s="1" t="s">
        <v>1469</v>
      </c>
      <c r="FK57" s="1" t="s">
        <v>229</v>
      </c>
      <c r="FL57" s="1" t="s">
        <v>1470</v>
      </c>
      <c r="FM57" s="1">
        <v>60476.0</v>
      </c>
      <c r="FN57" s="1" t="s">
        <v>1471</v>
      </c>
      <c r="FO57" s="1" t="s">
        <v>1472</v>
      </c>
      <c r="FP57" s="1">
        <v>605367.0</v>
      </c>
      <c r="FQ57" s="1" t="s">
        <v>1471</v>
      </c>
      <c r="FU57" s="1" t="s">
        <v>1473</v>
      </c>
      <c r="FV57" s="1" t="s">
        <v>200</v>
      </c>
      <c r="FW57" s="1" t="s">
        <v>567</v>
      </c>
      <c r="FX57" s="1" t="s">
        <v>655</v>
      </c>
      <c r="FZ57" s="1" t="s">
        <v>229</v>
      </c>
      <c r="GA57" s="1" t="s">
        <v>291</v>
      </c>
      <c r="GB57" s="2">
        <v>42019.0</v>
      </c>
      <c r="GC57" s="1" t="s">
        <v>1474</v>
      </c>
    </row>
    <row r="58">
      <c r="A58" s="1">
        <v>372500.0</v>
      </c>
      <c r="B58" s="1" t="s">
        <v>185</v>
      </c>
      <c r="C58" s="1" t="str">
        <f>"08765616"</f>
        <v>08765616</v>
      </c>
      <c r="D58" s="1" t="s">
        <v>186</v>
      </c>
      <c r="F58" s="1" t="str">
        <f>"119"</f>
        <v>119</v>
      </c>
      <c r="G58" s="2">
        <v>41943.0</v>
      </c>
      <c r="H58" s="1">
        <v>387500.0</v>
      </c>
      <c r="I58" s="1">
        <v>20.0</v>
      </c>
      <c r="J58" s="1">
        <v>387500.0</v>
      </c>
      <c r="K58" s="2">
        <v>41962.0</v>
      </c>
      <c r="L58" s="1">
        <v>20.0</v>
      </c>
      <c r="M58" s="2">
        <v>41962.0</v>
      </c>
      <c r="N58" s="1" t="s">
        <v>187</v>
      </c>
      <c r="O58" s="2">
        <v>42024.0</v>
      </c>
      <c r="P58" s="1">
        <v>381.0</v>
      </c>
      <c r="Q58" s="1">
        <v>604.0</v>
      </c>
      <c r="S58" s="1">
        <v>1054.0</v>
      </c>
      <c r="T58" s="1" t="s">
        <v>1475</v>
      </c>
      <c r="U58" s="1" t="s">
        <v>189</v>
      </c>
      <c r="V58" s="1" t="s">
        <v>1476</v>
      </c>
      <c r="W58" s="1">
        <v>60119.0</v>
      </c>
      <c r="X58" s="1">
        <v>7828.0</v>
      </c>
      <c r="Y58" s="1" t="s">
        <v>1477</v>
      </c>
      <c r="Z58" s="1">
        <v>2005.0</v>
      </c>
      <c r="AA58" s="1" t="s">
        <v>200</v>
      </c>
      <c r="AB58" s="1" t="s">
        <v>193</v>
      </c>
      <c r="AD58" s="1" t="s">
        <v>1478</v>
      </c>
      <c r="AE58" s="1" t="s">
        <v>325</v>
      </c>
      <c r="AF58" s="1" t="s">
        <v>1479</v>
      </c>
      <c r="AG58" s="1" t="s">
        <v>1480</v>
      </c>
      <c r="AH58" s="1" t="s">
        <v>1481</v>
      </c>
      <c r="AK58" s="1">
        <v>11.0</v>
      </c>
      <c r="AL58" s="1">
        <v>3.0</v>
      </c>
      <c r="AM58" s="1">
        <v>3.0</v>
      </c>
      <c r="AN58" s="1">
        <v>0.0</v>
      </c>
      <c r="AO58" s="1" t="s">
        <v>198</v>
      </c>
      <c r="AP58" s="1">
        <v>1.0</v>
      </c>
      <c r="AQ58" s="1" t="s">
        <v>198</v>
      </c>
      <c r="AR58" s="1" t="s">
        <v>192</v>
      </c>
      <c r="AS58" s="1" t="s">
        <v>199</v>
      </c>
      <c r="AT58" s="1">
        <v>2.0</v>
      </c>
      <c r="AV58" s="1" t="s">
        <v>200</v>
      </c>
      <c r="AW58" s="1">
        <v>9556.0</v>
      </c>
      <c r="AX58" s="1">
        <v>2013.0</v>
      </c>
      <c r="AY58" s="1" t="s">
        <v>387</v>
      </c>
      <c r="AZ58" s="1" t="s">
        <v>200</v>
      </c>
      <c r="BA58" s="1" t="str">
        <f>"1108433006"</f>
        <v>1108433006</v>
      </c>
      <c r="BC58" s="1">
        <v>2436.0</v>
      </c>
      <c r="BD58" s="1">
        <v>372500.0</v>
      </c>
      <c r="BE58" s="2">
        <v>41943.0</v>
      </c>
      <c r="BF58" s="2" t="s">
        <v>1482</v>
      </c>
      <c r="BH58" s="1">
        <v>240.0</v>
      </c>
      <c r="BK58" s="1" t="s">
        <v>580</v>
      </c>
      <c r="BL58" s="1" t="str">
        <f t="shared" ref="BL58:BM58" si="37">""</f>
        <v/>
      </c>
      <c r="BM58" s="1" t="str">
        <f t="shared" si="37"/>
        <v/>
      </c>
      <c r="BQ58" s="1">
        <v>302.0</v>
      </c>
      <c r="BR58" s="1">
        <v>302.0</v>
      </c>
      <c r="BS58" s="1">
        <v>302.0</v>
      </c>
      <c r="BU58" s="1" t="s">
        <v>363</v>
      </c>
      <c r="BV58" s="1" t="s">
        <v>206</v>
      </c>
      <c r="BW58" s="1" t="s">
        <v>207</v>
      </c>
      <c r="BX58" s="1" t="s">
        <v>476</v>
      </c>
      <c r="BY58" s="1" t="s">
        <v>214</v>
      </c>
      <c r="BZ58" s="1" t="s">
        <v>206</v>
      </c>
      <c r="CA58" s="1" t="s">
        <v>210</v>
      </c>
      <c r="CB58" s="1" t="s">
        <v>476</v>
      </c>
      <c r="CC58" s="1" t="s">
        <v>363</v>
      </c>
      <c r="CD58" s="1" t="s">
        <v>206</v>
      </c>
      <c r="CE58" s="1" t="s">
        <v>207</v>
      </c>
      <c r="CF58" s="1" t="s">
        <v>229</v>
      </c>
      <c r="CG58" s="1" t="s">
        <v>215</v>
      </c>
      <c r="CH58" s="1" t="s">
        <v>206</v>
      </c>
      <c r="CI58" s="1" t="s">
        <v>210</v>
      </c>
      <c r="CJ58" s="1" t="s">
        <v>476</v>
      </c>
      <c r="CK58" s="1" t="s">
        <v>363</v>
      </c>
      <c r="CL58" s="1" t="s">
        <v>206</v>
      </c>
      <c r="CM58" s="1" t="s">
        <v>210</v>
      </c>
      <c r="CN58" s="1" t="s">
        <v>476</v>
      </c>
      <c r="CO58" s="1" t="s">
        <v>1483</v>
      </c>
      <c r="CP58" s="1" t="s">
        <v>42</v>
      </c>
      <c r="CQ58" s="1" t="s">
        <v>210</v>
      </c>
      <c r="CR58" s="1" t="s">
        <v>476</v>
      </c>
      <c r="CS58" s="1" t="s">
        <v>334</v>
      </c>
      <c r="CT58" s="1" t="s">
        <v>206</v>
      </c>
      <c r="CU58" s="1" t="s">
        <v>207</v>
      </c>
      <c r="CV58" s="1" t="s">
        <v>1118</v>
      </c>
      <c r="CW58" s="1" t="s">
        <v>854</v>
      </c>
      <c r="CX58" s="1" t="s">
        <v>206</v>
      </c>
      <c r="CY58" s="1" t="s">
        <v>207</v>
      </c>
      <c r="CZ58" s="1" t="s">
        <v>476</v>
      </c>
      <c r="DA58" s="1" t="s">
        <v>200</v>
      </c>
      <c r="DC58" s="1" t="s">
        <v>481</v>
      </c>
      <c r="DD58" s="1" t="s">
        <v>1484</v>
      </c>
      <c r="DE58" s="1" t="s">
        <v>273</v>
      </c>
      <c r="DF58" s="1" t="s">
        <v>219</v>
      </c>
      <c r="DG58" s="1" t="s">
        <v>1485</v>
      </c>
      <c r="DH58" s="1" t="s">
        <v>220</v>
      </c>
      <c r="DI58" s="1" t="s">
        <v>519</v>
      </c>
      <c r="DJ58" s="1" t="s">
        <v>222</v>
      </c>
      <c r="DL58" s="1" t="s">
        <v>224</v>
      </c>
      <c r="DM58" s="1" t="s">
        <v>929</v>
      </c>
      <c r="DN58" s="1" t="s">
        <v>1486</v>
      </c>
      <c r="DP58" s="1" t="s">
        <v>340</v>
      </c>
      <c r="DQ58" s="1" t="s">
        <v>228</v>
      </c>
      <c r="DR58" s="1" t="s">
        <v>1487</v>
      </c>
      <c r="DS58" s="1" t="s">
        <v>591</v>
      </c>
      <c r="DU58" s="1" t="s">
        <v>1488</v>
      </c>
      <c r="DV58" s="1" t="s">
        <v>1489</v>
      </c>
      <c r="DW58" s="1" t="s">
        <v>444</v>
      </c>
      <c r="DX58" s="1" t="s">
        <v>234</v>
      </c>
      <c r="DY58" s="1" t="s">
        <v>1211</v>
      </c>
      <c r="DZ58" s="1" t="s">
        <v>1490</v>
      </c>
      <c r="EA58" s="1" t="s">
        <v>683</v>
      </c>
      <c r="EB58" s="1" t="s">
        <v>492</v>
      </c>
      <c r="EC58" s="1" t="s">
        <v>685</v>
      </c>
      <c r="ED58" s="1" t="s">
        <v>407</v>
      </c>
      <c r="EE58" s="1" t="s">
        <v>522</v>
      </c>
      <c r="EI58" s="1" t="s">
        <v>450</v>
      </c>
      <c r="EK58" s="1" t="s">
        <v>1491</v>
      </c>
      <c r="EM58" s="1" t="s">
        <v>238</v>
      </c>
      <c r="EQ58" s="1" t="s">
        <v>238</v>
      </c>
      <c r="ET58" s="1" t="s">
        <v>769</v>
      </c>
      <c r="EU58" s="1" t="s">
        <v>42</v>
      </c>
      <c r="EV58" s="1" t="s">
        <v>210</v>
      </c>
      <c r="EW58" s="1" t="s">
        <v>1118</v>
      </c>
      <c r="EY58" s="1" t="s">
        <v>238</v>
      </c>
      <c r="FB58" s="1" t="s">
        <v>1492</v>
      </c>
      <c r="FC58" s="1" t="s">
        <v>42</v>
      </c>
      <c r="FD58" s="1" t="s">
        <v>588</v>
      </c>
      <c r="FE58" s="1" t="s">
        <v>229</v>
      </c>
      <c r="FF58" s="1" t="s">
        <v>239</v>
      </c>
      <c r="FG58" s="1" t="s">
        <v>192</v>
      </c>
      <c r="FH58" s="1" t="s">
        <v>192</v>
      </c>
      <c r="FJ58" s="1" t="s">
        <v>1493</v>
      </c>
      <c r="FK58" s="1" t="s">
        <v>229</v>
      </c>
      <c r="FL58" s="1" t="s">
        <v>1007</v>
      </c>
      <c r="FM58" s="1">
        <v>771.0</v>
      </c>
      <c r="FN58" s="1" t="s">
        <v>1494</v>
      </c>
      <c r="FO58" s="1" t="s">
        <v>1495</v>
      </c>
      <c r="FP58" s="1">
        <v>680.0</v>
      </c>
      <c r="FQ58" s="1" t="s">
        <v>1496</v>
      </c>
      <c r="FU58" s="1" t="s">
        <v>1497</v>
      </c>
      <c r="FV58" s="1" t="s">
        <v>200</v>
      </c>
      <c r="FW58" s="1" t="s">
        <v>290</v>
      </c>
      <c r="FZ58" s="1" t="s">
        <v>229</v>
      </c>
      <c r="GA58" s="1" t="s">
        <v>291</v>
      </c>
      <c r="GB58" s="2">
        <v>42024.0</v>
      </c>
      <c r="GC58" s="1" t="s">
        <v>1498</v>
      </c>
    </row>
    <row r="59">
      <c r="A59" s="1">
        <v>205000.0</v>
      </c>
      <c r="B59" s="1" t="s">
        <v>185</v>
      </c>
      <c r="C59" s="1" t="str">
        <f>"08761089"</f>
        <v>08761089</v>
      </c>
      <c r="D59" s="1" t="s">
        <v>186</v>
      </c>
      <c r="F59" s="1" t="str">
        <f>"8019"</f>
        <v>8019</v>
      </c>
      <c r="G59" s="2">
        <v>41936.0</v>
      </c>
      <c r="H59" s="1">
        <v>215000.0</v>
      </c>
      <c r="I59" s="1">
        <v>170.0</v>
      </c>
      <c r="J59" s="1">
        <v>209900.0</v>
      </c>
      <c r="K59" s="2">
        <v>41968.0</v>
      </c>
      <c r="L59" s="1">
        <v>33.0</v>
      </c>
      <c r="M59" s="2">
        <v>41968.0</v>
      </c>
      <c r="N59" s="1" t="s">
        <v>356</v>
      </c>
      <c r="O59" s="2">
        <v>42020.0</v>
      </c>
      <c r="P59" s="1">
        <v>134427.0</v>
      </c>
      <c r="Q59" s="1">
        <v>85273.0</v>
      </c>
      <c r="R59" s="1">
        <v>6000.0</v>
      </c>
      <c r="S59" s="1">
        <v>2122.0</v>
      </c>
      <c r="T59" s="1" t="s">
        <v>1499</v>
      </c>
      <c r="U59" s="1" t="s">
        <v>189</v>
      </c>
      <c r="V59" s="1" t="s">
        <v>190</v>
      </c>
      <c r="W59" s="1">
        <v>60639.0</v>
      </c>
      <c r="Y59" s="1" t="s">
        <v>1500</v>
      </c>
      <c r="Z59" s="1">
        <v>1954.0</v>
      </c>
      <c r="AA59" s="1" t="s">
        <v>192</v>
      </c>
      <c r="AB59" s="1" t="s">
        <v>193</v>
      </c>
      <c r="AD59" s="1" t="s">
        <v>194</v>
      </c>
      <c r="AE59" s="1" t="s">
        <v>195</v>
      </c>
      <c r="AF59" s="1" t="s">
        <v>196</v>
      </c>
      <c r="AH59" s="1" t="s">
        <v>1501</v>
      </c>
      <c r="AI59" s="1">
        <v>0.0</v>
      </c>
      <c r="AK59" s="1">
        <v>9.0</v>
      </c>
      <c r="AL59" s="1">
        <v>4.0</v>
      </c>
      <c r="AM59" s="1">
        <v>2.0</v>
      </c>
      <c r="AN59" s="1">
        <v>0.0</v>
      </c>
      <c r="AO59" s="1" t="s">
        <v>229</v>
      </c>
      <c r="AQ59" s="1" t="s">
        <v>198</v>
      </c>
      <c r="AR59" s="1" t="s">
        <v>192</v>
      </c>
      <c r="AS59" s="1" t="s">
        <v>199</v>
      </c>
      <c r="AT59" s="1">
        <v>2.0</v>
      </c>
      <c r="AV59" s="1" t="s">
        <v>200</v>
      </c>
      <c r="AW59" s="1">
        <v>2670.0</v>
      </c>
      <c r="AX59" s="1">
        <v>2012.0</v>
      </c>
      <c r="AY59" s="1" t="s">
        <v>387</v>
      </c>
      <c r="AZ59" s="1" t="s">
        <v>200</v>
      </c>
      <c r="BA59" s="1" t="str">
        <f>"13321170390000"</f>
        <v>13321170390000</v>
      </c>
      <c r="BC59" s="1">
        <v>1177.0</v>
      </c>
      <c r="BD59" s="1">
        <v>205000.0</v>
      </c>
      <c r="BE59" s="2">
        <v>41936.0</v>
      </c>
      <c r="BF59" s="2" t="s">
        <v>1502</v>
      </c>
      <c r="BH59" s="1">
        <v>0.0</v>
      </c>
      <c r="BK59" s="1" t="s">
        <v>204</v>
      </c>
      <c r="BL59" s="1" t="str">
        <f>"2122"</f>
        <v>2122</v>
      </c>
      <c r="BM59" s="1" t="str">
        <f>"0"</f>
        <v>0</v>
      </c>
      <c r="BN59" s="1">
        <v>6300.0</v>
      </c>
      <c r="BO59" s="1">
        <v>0.0</v>
      </c>
      <c r="BQ59" s="1">
        <v>299.0</v>
      </c>
      <c r="BR59" s="1">
        <v>299.0</v>
      </c>
      <c r="BS59" s="1">
        <v>299.0</v>
      </c>
      <c r="BU59" s="1" t="s">
        <v>211</v>
      </c>
      <c r="BV59" s="1" t="s">
        <v>206</v>
      </c>
      <c r="BW59" s="1" t="s">
        <v>207</v>
      </c>
      <c r="BY59" s="1" t="s">
        <v>647</v>
      </c>
      <c r="BZ59" s="1" t="s">
        <v>209</v>
      </c>
      <c r="CA59" s="1" t="s">
        <v>210</v>
      </c>
      <c r="CC59" s="1" t="s">
        <v>1426</v>
      </c>
      <c r="CD59" s="1" t="s">
        <v>206</v>
      </c>
      <c r="CE59" s="1" t="s">
        <v>268</v>
      </c>
      <c r="CG59" s="1" t="s">
        <v>663</v>
      </c>
      <c r="CH59" s="1" t="s">
        <v>209</v>
      </c>
      <c r="CI59" s="1" t="s">
        <v>210</v>
      </c>
      <c r="CK59" s="1" t="s">
        <v>302</v>
      </c>
      <c r="CL59" s="1" t="s">
        <v>206</v>
      </c>
      <c r="CM59" s="1" t="s">
        <v>207</v>
      </c>
      <c r="CO59" s="1" t="s">
        <v>663</v>
      </c>
      <c r="CP59" s="1" t="s">
        <v>206</v>
      </c>
      <c r="CQ59" s="1" t="s">
        <v>207</v>
      </c>
      <c r="CS59" s="1" t="s">
        <v>302</v>
      </c>
      <c r="CT59" s="1" t="s">
        <v>206</v>
      </c>
      <c r="CU59" s="1" t="s">
        <v>268</v>
      </c>
      <c r="CW59" s="1" t="s">
        <v>1503</v>
      </c>
      <c r="CX59" s="1" t="s">
        <v>42</v>
      </c>
      <c r="CY59" s="1" t="s">
        <v>268</v>
      </c>
      <c r="DA59" s="1" t="s">
        <v>200</v>
      </c>
      <c r="DC59" s="1" t="s">
        <v>271</v>
      </c>
      <c r="DD59" s="1" t="s">
        <v>518</v>
      </c>
      <c r="DE59" s="1" t="s">
        <v>273</v>
      </c>
      <c r="DF59" s="1" t="s">
        <v>219</v>
      </c>
      <c r="DH59" s="1" t="s">
        <v>220</v>
      </c>
      <c r="DI59" s="1" t="s">
        <v>308</v>
      </c>
      <c r="DJ59" s="1" t="s">
        <v>222</v>
      </c>
      <c r="DL59" s="1" t="s">
        <v>224</v>
      </c>
      <c r="DM59" s="1" t="s">
        <v>229</v>
      </c>
      <c r="DN59" s="1" t="s">
        <v>1504</v>
      </c>
      <c r="DQ59" s="1" t="s">
        <v>718</v>
      </c>
      <c r="DR59" s="1" t="s">
        <v>229</v>
      </c>
      <c r="DS59" s="1" t="s">
        <v>230</v>
      </c>
      <c r="DV59" s="1" t="s">
        <v>450</v>
      </c>
      <c r="DW59" s="1" t="s">
        <v>279</v>
      </c>
      <c r="DX59" s="1" t="s">
        <v>234</v>
      </c>
      <c r="DY59" s="1" t="s">
        <v>987</v>
      </c>
      <c r="EC59" s="1" t="s">
        <v>645</v>
      </c>
      <c r="ED59" s="1" t="s">
        <v>407</v>
      </c>
      <c r="EE59" s="1" t="s">
        <v>493</v>
      </c>
      <c r="EG59" s="1" t="s">
        <v>450</v>
      </c>
      <c r="EL59" s="1" t="s">
        <v>1505</v>
      </c>
      <c r="EM59" s="1" t="s">
        <v>42</v>
      </c>
      <c r="EN59" s="1" t="s">
        <v>268</v>
      </c>
      <c r="EQ59" s="1" t="s">
        <v>238</v>
      </c>
      <c r="EU59" s="1" t="s">
        <v>238</v>
      </c>
      <c r="EY59" s="1" t="s">
        <v>238</v>
      </c>
      <c r="FC59" s="1" t="s">
        <v>238</v>
      </c>
      <c r="FF59" s="1" t="s">
        <v>239</v>
      </c>
      <c r="FG59" s="1" t="s">
        <v>192</v>
      </c>
      <c r="FH59" s="1" t="s">
        <v>192</v>
      </c>
      <c r="FJ59" s="1" t="s">
        <v>1506</v>
      </c>
      <c r="FK59" s="1" t="s">
        <v>229</v>
      </c>
      <c r="FL59" s="1" t="s">
        <v>1507</v>
      </c>
      <c r="FM59" s="1">
        <v>26067.0</v>
      </c>
      <c r="FN59" s="1" t="s">
        <v>1508</v>
      </c>
      <c r="FO59" s="1" t="s">
        <v>1509</v>
      </c>
      <c r="FP59" s="1">
        <v>239088.0</v>
      </c>
      <c r="FQ59" s="1" t="s">
        <v>1508</v>
      </c>
      <c r="FU59" s="1" t="s">
        <v>1510</v>
      </c>
      <c r="FV59" s="1" t="s">
        <v>200</v>
      </c>
      <c r="FW59" s="1" t="s">
        <v>1511</v>
      </c>
      <c r="FX59" s="1" t="s">
        <v>238</v>
      </c>
      <c r="FZ59" s="1" t="s">
        <v>229</v>
      </c>
      <c r="GA59" s="1" t="s">
        <v>291</v>
      </c>
      <c r="GB59" s="2">
        <v>42025.0</v>
      </c>
    </row>
    <row r="60">
      <c r="A60" s="1">
        <v>80000.0</v>
      </c>
      <c r="B60" s="1" t="s">
        <v>185</v>
      </c>
      <c r="C60" s="1" t="str">
        <f>"08760392"</f>
        <v>08760392</v>
      </c>
      <c r="D60" s="1" t="s">
        <v>186</v>
      </c>
      <c r="F60" s="1" t="str">
        <f>"8070"</f>
        <v>8070</v>
      </c>
      <c r="G60" s="2">
        <v>41935.0</v>
      </c>
      <c r="H60" s="1">
        <v>73500.0</v>
      </c>
      <c r="I60" s="1">
        <v>12.0</v>
      </c>
      <c r="J60" s="1">
        <v>73500.0</v>
      </c>
      <c r="K60" s="2">
        <v>41946.0</v>
      </c>
      <c r="L60" s="1">
        <v>12.0</v>
      </c>
      <c r="M60" s="2">
        <v>41946.0</v>
      </c>
      <c r="N60" s="1" t="s">
        <v>1512</v>
      </c>
      <c r="O60" s="2">
        <v>42059.0</v>
      </c>
      <c r="P60" s="1">
        <v>215654.0</v>
      </c>
      <c r="Q60" s="1">
        <v>60436.0</v>
      </c>
      <c r="S60" s="1">
        <v>8236.0</v>
      </c>
      <c r="T60" s="1" t="s">
        <v>1513</v>
      </c>
      <c r="U60" s="1" t="s">
        <v>189</v>
      </c>
      <c r="V60" s="1" t="s">
        <v>190</v>
      </c>
      <c r="W60" s="1">
        <v>60652.0</v>
      </c>
      <c r="Y60" s="1" t="s">
        <v>1514</v>
      </c>
      <c r="Z60" s="1">
        <v>1948.0</v>
      </c>
      <c r="AA60" s="1" t="s">
        <v>192</v>
      </c>
      <c r="AB60" s="1" t="s">
        <v>193</v>
      </c>
      <c r="AD60" s="1" t="s">
        <v>194</v>
      </c>
      <c r="AE60" s="1" t="s">
        <v>195</v>
      </c>
      <c r="AF60" s="1" t="s">
        <v>659</v>
      </c>
      <c r="AH60" s="1" t="s">
        <v>1515</v>
      </c>
      <c r="AK60" s="1">
        <v>6.0</v>
      </c>
      <c r="AL60" s="1">
        <v>4.0</v>
      </c>
      <c r="AM60" s="1">
        <v>1.0</v>
      </c>
      <c r="AN60" s="1">
        <v>0.0</v>
      </c>
      <c r="AO60" s="1" t="s">
        <v>229</v>
      </c>
      <c r="AQ60" s="1" t="s">
        <v>198</v>
      </c>
      <c r="AR60" s="1" t="s">
        <v>192</v>
      </c>
      <c r="AS60" s="1" t="s">
        <v>199</v>
      </c>
      <c r="AT60" s="1">
        <v>2.0</v>
      </c>
      <c r="AV60" s="1" t="s">
        <v>200</v>
      </c>
      <c r="AW60" s="1">
        <v>2321.0</v>
      </c>
      <c r="AX60" s="1">
        <v>2012.0</v>
      </c>
      <c r="AZ60" s="1" t="s">
        <v>545</v>
      </c>
      <c r="BA60" s="1" t="str">
        <f>"19362260270000"</f>
        <v>19362260270000</v>
      </c>
      <c r="BC60" s="1">
        <v>1450.0</v>
      </c>
      <c r="BD60" s="1">
        <v>80000.0</v>
      </c>
      <c r="BE60" s="2">
        <v>41935.0</v>
      </c>
      <c r="BF60" s="2" t="s">
        <v>1516</v>
      </c>
      <c r="BH60" s="1">
        <v>0.0</v>
      </c>
      <c r="BK60" s="1" t="s">
        <v>204</v>
      </c>
      <c r="BL60" s="1" t="str">
        <f t="shared" ref="BL60:BM60" si="38">"0"</f>
        <v>0</v>
      </c>
      <c r="BM60" s="1" t="str">
        <f t="shared" si="38"/>
        <v>0</v>
      </c>
      <c r="BN60" s="1">
        <v>2600.0</v>
      </c>
      <c r="BO60" s="1">
        <v>8236.0</v>
      </c>
      <c r="BQ60" s="1">
        <v>299.0</v>
      </c>
      <c r="BR60" s="1">
        <v>299.0</v>
      </c>
      <c r="BS60" s="1">
        <v>299.0</v>
      </c>
      <c r="BU60" s="1" t="s">
        <v>1517</v>
      </c>
      <c r="BV60" s="1" t="s">
        <v>206</v>
      </c>
      <c r="BW60" s="1" t="s">
        <v>207</v>
      </c>
      <c r="BY60" s="1" t="s">
        <v>663</v>
      </c>
      <c r="BZ60" s="1" t="s">
        <v>206</v>
      </c>
      <c r="CA60" s="1" t="s">
        <v>207</v>
      </c>
      <c r="CD60" s="1" t="s">
        <v>204</v>
      </c>
      <c r="CG60" s="1" t="s">
        <v>663</v>
      </c>
      <c r="CH60" s="1" t="s">
        <v>206</v>
      </c>
      <c r="CI60" s="1" t="s">
        <v>207</v>
      </c>
      <c r="CK60" s="1" t="s">
        <v>663</v>
      </c>
      <c r="CL60" s="1" t="s">
        <v>206</v>
      </c>
      <c r="CM60" s="1" t="s">
        <v>207</v>
      </c>
      <c r="CO60" s="1" t="s">
        <v>1518</v>
      </c>
      <c r="CP60" s="1" t="s">
        <v>209</v>
      </c>
      <c r="CS60" s="1" t="s">
        <v>1519</v>
      </c>
      <c r="CT60" s="1" t="s">
        <v>206</v>
      </c>
      <c r="CU60" s="1" t="s">
        <v>268</v>
      </c>
      <c r="CX60" s="1" t="s">
        <v>204</v>
      </c>
      <c r="DA60" s="1" t="s">
        <v>200</v>
      </c>
      <c r="DC60" s="1" t="s">
        <v>702</v>
      </c>
      <c r="DD60" s="1" t="s">
        <v>518</v>
      </c>
      <c r="DE60" s="1" t="s">
        <v>229</v>
      </c>
      <c r="DF60" s="1" t="s">
        <v>619</v>
      </c>
      <c r="DH60" s="1" t="s">
        <v>220</v>
      </c>
      <c r="DJ60" s="1" t="s">
        <v>222</v>
      </c>
      <c r="DL60" s="1" t="s">
        <v>224</v>
      </c>
      <c r="DM60" s="1" t="s">
        <v>225</v>
      </c>
      <c r="DQ60" s="1" t="s">
        <v>228</v>
      </c>
      <c r="DR60" s="1" t="s">
        <v>229</v>
      </c>
      <c r="DV60" s="1" t="s">
        <v>232</v>
      </c>
      <c r="DW60" s="1" t="s">
        <v>279</v>
      </c>
      <c r="DX60" s="1" t="s">
        <v>234</v>
      </c>
      <c r="EC60" s="1" t="s">
        <v>645</v>
      </c>
      <c r="EM60" s="1" t="s">
        <v>238</v>
      </c>
      <c r="EQ60" s="1" t="s">
        <v>238</v>
      </c>
      <c r="EU60" s="1" t="s">
        <v>238</v>
      </c>
      <c r="EY60" s="1" t="s">
        <v>238</v>
      </c>
      <c r="FC60" s="1" t="s">
        <v>238</v>
      </c>
      <c r="FF60" s="1" t="s">
        <v>239</v>
      </c>
      <c r="FG60" s="1" t="s">
        <v>192</v>
      </c>
      <c r="FH60" s="1" t="s">
        <v>192</v>
      </c>
      <c r="FJ60" s="1" t="s">
        <v>347</v>
      </c>
      <c r="FK60" s="1" t="s">
        <v>348</v>
      </c>
      <c r="FL60" s="1" t="s">
        <v>1520</v>
      </c>
      <c r="FM60" s="1">
        <v>10841.0</v>
      </c>
      <c r="FN60" s="1" t="s">
        <v>1521</v>
      </c>
      <c r="FO60" s="1" t="s">
        <v>1522</v>
      </c>
      <c r="FP60" s="1">
        <v>109860.0</v>
      </c>
      <c r="FQ60" s="1" t="s">
        <v>1521</v>
      </c>
      <c r="FU60" s="1" t="s">
        <v>1523</v>
      </c>
      <c r="FV60" s="1" t="s">
        <v>200</v>
      </c>
      <c r="FW60" s="1" t="s">
        <v>1524</v>
      </c>
      <c r="FX60" s="1" t="s">
        <v>655</v>
      </c>
      <c r="FZ60" s="1" t="s">
        <v>229</v>
      </c>
      <c r="GA60" s="1" t="s">
        <v>291</v>
      </c>
      <c r="GB60" s="2">
        <v>42060.0</v>
      </c>
      <c r="GC60" s="1" t="s">
        <v>1525</v>
      </c>
    </row>
    <row r="61">
      <c r="A61" s="1">
        <v>311000.0</v>
      </c>
      <c r="B61" s="1" t="s">
        <v>185</v>
      </c>
      <c r="C61" s="1" t="str">
        <f>"08763492"</f>
        <v>08763492</v>
      </c>
      <c r="D61" s="1" t="s">
        <v>186</v>
      </c>
      <c r="F61" s="1" t="str">
        <f>"543"</f>
        <v>543</v>
      </c>
      <c r="G61" s="2">
        <v>41940.0</v>
      </c>
      <c r="H61" s="1">
        <v>319000.0</v>
      </c>
      <c r="I61" s="1">
        <v>159.0</v>
      </c>
      <c r="J61" s="1">
        <v>319000.0</v>
      </c>
      <c r="K61" s="2">
        <v>42005.0</v>
      </c>
      <c r="L61" s="1">
        <v>66.0</v>
      </c>
      <c r="M61" s="2">
        <v>42005.0</v>
      </c>
      <c r="N61" s="1" t="s">
        <v>187</v>
      </c>
      <c r="O61" s="2">
        <v>42052.0</v>
      </c>
      <c r="P61" s="1">
        <v>704357.0</v>
      </c>
      <c r="Q61" s="1">
        <v>70211.0</v>
      </c>
      <c r="S61" s="1">
        <v>404.0</v>
      </c>
      <c r="T61" s="1" t="s">
        <v>1526</v>
      </c>
      <c r="U61" s="1" t="s">
        <v>1015</v>
      </c>
      <c r="V61" s="1" t="s">
        <v>1527</v>
      </c>
      <c r="W61" s="1">
        <v>60543.0</v>
      </c>
      <c r="Y61" s="1" t="s">
        <v>1528</v>
      </c>
      <c r="Z61" s="1">
        <v>2000.0</v>
      </c>
      <c r="AA61" s="1" t="s">
        <v>200</v>
      </c>
      <c r="AB61" s="1" t="s">
        <v>193</v>
      </c>
      <c r="AD61" s="1" t="s">
        <v>1529</v>
      </c>
      <c r="AE61" s="1" t="s">
        <v>849</v>
      </c>
      <c r="AF61" s="1" t="s">
        <v>1529</v>
      </c>
      <c r="AH61" s="1" t="s">
        <v>1530</v>
      </c>
      <c r="AK61" s="1">
        <v>8.0</v>
      </c>
      <c r="AL61" s="1">
        <v>4.0</v>
      </c>
      <c r="AM61" s="1">
        <v>2.0</v>
      </c>
      <c r="AN61" s="1">
        <v>1.0</v>
      </c>
      <c r="AO61" s="1" t="s">
        <v>198</v>
      </c>
      <c r="AQ61" s="1" t="s">
        <v>198</v>
      </c>
      <c r="AR61" s="1" t="s">
        <v>200</v>
      </c>
      <c r="AS61" s="1" t="s">
        <v>199</v>
      </c>
      <c r="AT61" s="1">
        <v>3.0</v>
      </c>
      <c r="AV61" s="1" t="s">
        <v>200</v>
      </c>
      <c r="AW61" s="1">
        <v>8750.28</v>
      </c>
      <c r="AX61" s="1">
        <v>2012.0</v>
      </c>
      <c r="AZ61" s="1" t="s">
        <v>200</v>
      </c>
      <c r="BA61" s="1" t="str">
        <f>"0329102005"</f>
        <v>0329102005</v>
      </c>
      <c r="BC61" s="1">
        <v>2700.0</v>
      </c>
      <c r="BD61" s="1">
        <v>311000.0</v>
      </c>
      <c r="BE61" s="2">
        <v>41940.0</v>
      </c>
      <c r="BF61" s="2" t="s">
        <v>1531</v>
      </c>
      <c r="BG61" s="1" t="s">
        <v>1532</v>
      </c>
      <c r="BH61" s="1">
        <v>125.0</v>
      </c>
      <c r="BI61" s="1" t="s">
        <v>1533</v>
      </c>
      <c r="BJ61" s="1" t="s">
        <v>1349</v>
      </c>
      <c r="BK61" s="1" t="s">
        <v>580</v>
      </c>
      <c r="BL61" s="1" t="str">
        <f t="shared" ref="BL61:BM61" si="39">""</f>
        <v/>
      </c>
      <c r="BM61" s="1" t="str">
        <f t="shared" si="39"/>
        <v/>
      </c>
      <c r="BQ61" s="1">
        <v>308.0</v>
      </c>
      <c r="BR61" s="1">
        <v>308.0</v>
      </c>
      <c r="BS61" s="1">
        <v>308.0</v>
      </c>
      <c r="BU61" s="1" t="s">
        <v>362</v>
      </c>
      <c r="BV61" s="1" t="s">
        <v>206</v>
      </c>
      <c r="BW61" s="1" t="s">
        <v>210</v>
      </c>
      <c r="BX61" s="1" t="s">
        <v>1118</v>
      </c>
      <c r="BY61" s="1" t="s">
        <v>1534</v>
      </c>
      <c r="BZ61" s="1" t="s">
        <v>209</v>
      </c>
      <c r="CA61" s="1" t="s">
        <v>210</v>
      </c>
      <c r="CB61" s="1" t="s">
        <v>1118</v>
      </c>
      <c r="CD61" s="1" t="s">
        <v>204</v>
      </c>
      <c r="CG61" s="1" t="s">
        <v>211</v>
      </c>
      <c r="CH61" s="1" t="s">
        <v>209</v>
      </c>
      <c r="CI61" s="1" t="s">
        <v>210</v>
      </c>
      <c r="CJ61" s="1" t="s">
        <v>1118</v>
      </c>
      <c r="CK61" s="1" t="s">
        <v>262</v>
      </c>
      <c r="CL61" s="1" t="s">
        <v>209</v>
      </c>
      <c r="CM61" s="1" t="s">
        <v>210</v>
      </c>
      <c r="CN61" s="1" t="s">
        <v>1118</v>
      </c>
      <c r="CO61" s="1" t="s">
        <v>699</v>
      </c>
      <c r="CP61" s="1" t="s">
        <v>209</v>
      </c>
      <c r="CQ61" s="1" t="s">
        <v>210</v>
      </c>
      <c r="CR61" s="1" t="s">
        <v>1118</v>
      </c>
      <c r="CS61" s="1" t="s">
        <v>1535</v>
      </c>
      <c r="CT61" s="1" t="s">
        <v>206</v>
      </c>
      <c r="CU61" s="1" t="s">
        <v>207</v>
      </c>
      <c r="CV61" s="1" t="s">
        <v>1118</v>
      </c>
      <c r="CW61" s="1" t="s">
        <v>1535</v>
      </c>
      <c r="CX61" s="1" t="s">
        <v>206</v>
      </c>
      <c r="CY61" s="1" t="s">
        <v>207</v>
      </c>
      <c r="CZ61" s="1" t="s">
        <v>1118</v>
      </c>
      <c r="DA61" s="1" t="s">
        <v>200</v>
      </c>
      <c r="DC61" s="1" t="s">
        <v>335</v>
      </c>
      <c r="DD61" s="1" t="s">
        <v>926</v>
      </c>
      <c r="DE61" s="1" t="s">
        <v>273</v>
      </c>
      <c r="DF61" s="1" t="s">
        <v>219</v>
      </c>
      <c r="DH61" s="1" t="s">
        <v>220</v>
      </c>
      <c r="DI61" s="1" t="s">
        <v>732</v>
      </c>
      <c r="DJ61" s="1" t="s">
        <v>222</v>
      </c>
      <c r="DL61" s="1" t="s">
        <v>1536</v>
      </c>
      <c r="DM61" s="1" t="s">
        <v>338</v>
      </c>
      <c r="DQ61" s="1" t="s">
        <v>441</v>
      </c>
      <c r="DR61" s="1" t="s">
        <v>229</v>
      </c>
      <c r="DV61" s="1" t="s">
        <v>450</v>
      </c>
      <c r="DW61" s="1" t="s">
        <v>444</v>
      </c>
      <c r="DX61" s="1" t="s">
        <v>234</v>
      </c>
      <c r="EC61" s="1" t="s">
        <v>237</v>
      </c>
      <c r="ED61" s="1" t="s">
        <v>407</v>
      </c>
      <c r="EG61" s="1" t="s">
        <v>450</v>
      </c>
      <c r="EH61" s="1" t="s">
        <v>450</v>
      </c>
      <c r="EL61" s="1" t="s">
        <v>1537</v>
      </c>
      <c r="EM61" s="1" t="s">
        <v>42</v>
      </c>
      <c r="EN61" s="1" t="s">
        <v>210</v>
      </c>
      <c r="EP61" s="1" t="s">
        <v>1427</v>
      </c>
      <c r="EQ61" s="1" t="s">
        <v>42</v>
      </c>
      <c r="ER61" s="1" t="s">
        <v>210</v>
      </c>
      <c r="EU61" s="1" t="s">
        <v>238</v>
      </c>
      <c r="EY61" s="1" t="s">
        <v>238</v>
      </c>
      <c r="FC61" s="1" t="s">
        <v>238</v>
      </c>
      <c r="FF61" s="1" t="s">
        <v>239</v>
      </c>
      <c r="FG61" s="1" t="s">
        <v>192</v>
      </c>
      <c r="FH61" s="1" t="s">
        <v>192</v>
      </c>
      <c r="FJ61" s="1" t="s">
        <v>1538</v>
      </c>
      <c r="FK61" s="1" t="s">
        <v>229</v>
      </c>
      <c r="FL61" s="1" t="s">
        <v>1358</v>
      </c>
      <c r="FM61" s="1">
        <v>23076.0</v>
      </c>
      <c r="FN61" s="1" t="s">
        <v>1359</v>
      </c>
      <c r="FO61" s="1" t="s">
        <v>1539</v>
      </c>
      <c r="FP61" s="1">
        <v>232790.0</v>
      </c>
      <c r="FQ61" s="1" t="s">
        <v>1540</v>
      </c>
      <c r="FU61" s="1" t="s">
        <v>1541</v>
      </c>
      <c r="FV61" s="1" t="s">
        <v>200</v>
      </c>
      <c r="FW61" s="1" t="s">
        <v>530</v>
      </c>
      <c r="FZ61" s="1" t="s">
        <v>229</v>
      </c>
      <c r="GA61" s="1" t="s">
        <v>291</v>
      </c>
      <c r="GB61" s="2">
        <v>42054.0</v>
      </c>
      <c r="GC61" s="1" t="s">
        <v>1542</v>
      </c>
    </row>
    <row r="62">
      <c r="A62" s="1">
        <v>480000.0</v>
      </c>
      <c r="B62" s="1" t="s">
        <v>185</v>
      </c>
      <c r="C62" s="1" t="str">
        <f>"08788743"</f>
        <v>08788743</v>
      </c>
      <c r="D62" s="1" t="s">
        <v>186</v>
      </c>
      <c r="F62" s="1" t="str">
        <f>"174"</f>
        <v>174</v>
      </c>
      <c r="G62" s="2">
        <v>41961.0</v>
      </c>
      <c r="H62" s="1">
        <v>525000.0</v>
      </c>
      <c r="I62" s="1">
        <v>118.0</v>
      </c>
      <c r="J62" s="1">
        <v>500000.0</v>
      </c>
      <c r="K62" s="2">
        <v>42078.0</v>
      </c>
      <c r="L62" s="1">
        <v>118.0</v>
      </c>
      <c r="M62" s="2">
        <v>42078.0</v>
      </c>
      <c r="N62" s="1" t="s">
        <v>187</v>
      </c>
      <c r="O62" s="2">
        <v>42111.0</v>
      </c>
      <c r="P62" s="1">
        <v>30491.0</v>
      </c>
      <c r="Q62" s="1">
        <v>4575.0</v>
      </c>
      <c r="S62" s="1" t="s">
        <v>1543</v>
      </c>
      <c r="T62" s="1" t="s">
        <v>1544</v>
      </c>
      <c r="U62" s="1" t="s">
        <v>569</v>
      </c>
      <c r="V62" s="1" t="s">
        <v>1200</v>
      </c>
      <c r="W62" s="1">
        <v>60175.0</v>
      </c>
      <c r="Y62" s="1" t="s">
        <v>1545</v>
      </c>
      <c r="Z62" s="1">
        <v>2006.0</v>
      </c>
      <c r="AA62" s="1" t="s">
        <v>200</v>
      </c>
      <c r="AB62" s="1" t="s">
        <v>193</v>
      </c>
      <c r="AC62" s="1" t="s">
        <v>1546</v>
      </c>
      <c r="AD62" s="1" t="s">
        <v>1089</v>
      </c>
      <c r="AE62" s="1" t="s">
        <v>325</v>
      </c>
      <c r="AF62" s="1" t="s">
        <v>1203</v>
      </c>
      <c r="AG62" s="1" t="s">
        <v>752</v>
      </c>
      <c r="AH62" s="1" t="s">
        <v>1547</v>
      </c>
      <c r="AI62" s="1">
        <v>0.52</v>
      </c>
      <c r="AK62" s="1">
        <v>9.0</v>
      </c>
      <c r="AL62" s="1">
        <v>4.0</v>
      </c>
      <c r="AM62" s="1">
        <v>3.0</v>
      </c>
      <c r="AN62" s="1">
        <v>1.0</v>
      </c>
      <c r="AO62" s="1" t="s">
        <v>198</v>
      </c>
      <c r="AP62" s="1">
        <v>2.0</v>
      </c>
      <c r="AQ62" s="1" t="s">
        <v>327</v>
      </c>
      <c r="AR62" s="1" t="s">
        <v>200</v>
      </c>
      <c r="AS62" s="1" t="s">
        <v>199</v>
      </c>
      <c r="AT62" s="1">
        <v>3.0</v>
      </c>
      <c r="AV62" s="1" t="s">
        <v>200</v>
      </c>
      <c r="AW62" s="1">
        <v>12638.0</v>
      </c>
      <c r="AX62" s="1">
        <v>2013.0</v>
      </c>
      <c r="AY62" s="1" t="s">
        <v>387</v>
      </c>
      <c r="AZ62" s="1" t="s">
        <v>200</v>
      </c>
      <c r="BA62" s="1" t="str">
        <f>"0930330002"</f>
        <v>0930330002</v>
      </c>
      <c r="BB62" s="1" t="s">
        <v>200</v>
      </c>
      <c r="BC62" s="1">
        <v>3187.0</v>
      </c>
      <c r="BD62" s="1">
        <v>480000.0</v>
      </c>
      <c r="BE62" s="2">
        <v>41961.0</v>
      </c>
      <c r="BF62" s="2" t="s">
        <v>1548</v>
      </c>
      <c r="BH62" s="1">
        <v>0.0</v>
      </c>
      <c r="BK62" s="1" t="s">
        <v>204</v>
      </c>
      <c r="BL62" s="1" t="str">
        <f>"4"</f>
        <v>4</v>
      </c>
      <c r="BM62" s="1" t="str">
        <f t="shared" ref="BM62:BM63" si="40">"0"</f>
        <v>0</v>
      </c>
      <c r="BN62" s="1">
        <v>38.0</v>
      </c>
      <c r="BO62" s="1">
        <v>0.0</v>
      </c>
      <c r="BQ62" s="1">
        <v>303.0</v>
      </c>
      <c r="BR62" s="1">
        <v>303.0</v>
      </c>
      <c r="BS62" s="1">
        <v>303.0</v>
      </c>
      <c r="BU62" s="1" t="s">
        <v>616</v>
      </c>
      <c r="BV62" s="1" t="s">
        <v>206</v>
      </c>
      <c r="BW62" s="1" t="s">
        <v>210</v>
      </c>
      <c r="BX62" s="1" t="s">
        <v>1549</v>
      </c>
      <c r="BY62" s="1" t="s">
        <v>515</v>
      </c>
      <c r="BZ62" s="1" t="s">
        <v>209</v>
      </c>
      <c r="CA62" s="1" t="s">
        <v>210</v>
      </c>
      <c r="CB62" s="1" t="s">
        <v>1550</v>
      </c>
      <c r="CC62" s="1" t="s">
        <v>433</v>
      </c>
      <c r="CD62" s="1" t="s">
        <v>206</v>
      </c>
      <c r="CE62" s="1" t="s">
        <v>207</v>
      </c>
      <c r="CF62" s="1" t="s">
        <v>1549</v>
      </c>
      <c r="CG62" s="1" t="s">
        <v>331</v>
      </c>
      <c r="CH62" s="1" t="s">
        <v>209</v>
      </c>
      <c r="CI62" s="1" t="s">
        <v>210</v>
      </c>
      <c r="CJ62" s="1" t="s">
        <v>1550</v>
      </c>
      <c r="CK62" s="1" t="s">
        <v>584</v>
      </c>
      <c r="CL62" s="1" t="s">
        <v>209</v>
      </c>
      <c r="CM62" s="1" t="s">
        <v>210</v>
      </c>
      <c r="CN62" s="1" t="s">
        <v>1118</v>
      </c>
      <c r="CO62" s="1" t="s">
        <v>332</v>
      </c>
      <c r="CP62" s="1" t="s">
        <v>209</v>
      </c>
      <c r="CQ62" s="1" t="s">
        <v>210</v>
      </c>
      <c r="CR62" s="1" t="s">
        <v>1118</v>
      </c>
      <c r="CS62" s="1" t="s">
        <v>1551</v>
      </c>
      <c r="CT62" s="1" t="s">
        <v>206</v>
      </c>
      <c r="CU62" s="1" t="s">
        <v>207</v>
      </c>
      <c r="CV62" s="1" t="s">
        <v>1549</v>
      </c>
      <c r="CW62" s="1" t="s">
        <v>583</v>
      </c>
      <c r="CX62" s="1" t="s">
        <v>206</v>
      </c>
      <c r="CY62" s="1" t="s">
        <v>207</v>
      </c>
      <c r="CZ62" s="1" t="s">
        <v>1549</v>
      </c>
      <c r="DA62" s="1" t="s">
        <v>200</v>
      </c>
      <c r="DC62" s="1" t="s">
        <v>481</v>
      </c>
      <c r="DD62" s="1" t="s">
        <v>1552</v>
      </c>
      <c r="DE62" s="1" t="s">
        <v>273</v>
      </c>
      <c r="DF62" s="1" t="s">
        <v>219</v>
      </c>
      <c r="DG62" s="1" t="s">
        <v>1553</v>
      </c>
      <c r="DH62" s="1" t="s">
        <v>856</v>
      </c>
      <c r="DI62" s="1" t="s">
        <v>1554</v>
      </c>
      <c r="DJ62" s="1" t="s">
        <v>857</v>
      </c>
      <c r="DK62" s="1" t="s">
        <v>1555</v>
      </c>
      <c r="DL62" s="1" t="s">
        <v>484</v>
      </c>
      <c r="DM62" s="1" t="s">
        <v>338</v>
      </c>
      <c r="DN62" s="1" t="s">
        <v>399</v>
      </c>
      <c r="DO62" s="1" t="s">
        <v>1556</v>
      </c>
      <c r="DP62" s="1" t="s">
        <v>340</v>
      </c>
      <c r="DQ62" s="1" t="s">
        <v>1557</v>
      </c>
      <c r="DR62" s="1" t="s">
        <v>229</v>
      </c>
      <c r="DS62" s="1" t="s">
        <v>368</v>
      </c>
      <c r="DU62" s="1" t="s">
        <v>1558</v>
      </c>
      <c r="DV62" s="1" t="s">
        <v>1028</v>
      </c>
      <c r="DW62" s="1" t="s">
        <v>764</v>
      </c>
      <c r="DX62" s="1" t="s">
        <v>234</v>
      </c>
      <c r="DY62" s="1" t="s">
        <v>1559</v>
      </c>
      <c r="DZ62" s="1" t="s">
        <v>1560</v>
      </c>
      <c r="EA62" s="1" t="s">
        <v>344</v>
      </c>
      <c r="EB62" s="1" t="s">
        <v>767</v>
      </c>
      <c r="EC62" s="1" t="s">
        <v>237</v>
      </c>
      <c r="ED62" s="1" t="s">
        <v>407</v>
      </c>
      <c r="EE62" s="1" t="s">
        <v>493</v>
      </c>
      <c r="EH62" s="1" t="s">
        <v>1028</v>
      </c>
      <c r="EM62" s="1" t="s">
        <v>238</v>
      </c>
      <c r="EP62" s="1" t="s">
        <v>582</v>
      </c>
      <c r="EQ62" s="1" t="s">
        <v>206</v>
      </c>
      <c r="ER62" s="1" t="s">
        <v>207</v>
      </c>
      <c r="ES62" s="1" t="s">
        <v>431</v>
      </c>
      <c r="EU62" s="1" t="s">
        <v>238</v>
      </c>
      <c r="EY62" s="1" t="s">
        <v>238</v>
      </c>
      <c r="FC62" s="1" t="s">
        <v>238</v>
      </c>
      <c r="FF62" s="1" t="s">
        <v>239</v>
      </c>
      <c r="FG62" s="1" t="s">
        <v>200</v>
      </c>
      <c r="FH62" s="1" t="s">
        <v>192</v>
      </c>
      <c r="FJ62" s="1" t="s">
        <v>455</v>
      </c>
      <c r="FK62" s="1" t="s">
        <v>229</v>
      </c>
      <c r="FL62" s="1" t="s">
        <v>456</v>
      </c>
      <c r="FM62" s="1">
        <v>49.0</v>
      </c>
      <c r="FN62" s="1" t="s">
        <v>457</v>
      </c>
      <c r="FO62" s="1" t="s">
        <v>1561</v>
      </c>
      <c r="FP62" s="1">
        <v>8861.0</v>
      </c>
      <c r="FU62" s="1" t="s">
        <v>1562</v>
      </c>
      <c r="FV62" s="1" t="s">
        <v>192</v>
      </c>
      <c r="FW62" s="1" t="s">
        <v>530</v>
      </c>
      <c r="FZ62" s="1" t="s">
        <v>229</v>
      </c>
      <c r="GA62" s="1" t="s">
        <v>291</v>
      </c>
      <c r="GB62" s="2">
        <v>42114.0</v>
      </c>
      <c r="GC62" s="1" t="s">
        <v>1563</v>
      </c>
    </row>
    <row r="63">
      <c r="A63" s="1">
        <v>243000.0</v>
      </c>
      <c r="B63" s="1" t="s">
        <v>185</v>
      </c>
      <c r="C63" s="1" t="str">
        <f>"08761443"</f>
        <v>08761443</v>
      </c>
      <c r="D63" s="1" t="s">
        <v>186</v>
      </c>
      <c r="F63" s="1" t="str">
        <f>"8019"</f>
        <v>8019</v>
      </c>
      <c r="G63" s="2">
        <v>41936.0</v>
      </c>
      <c r="H63" s="1">
        <v>269900.0</v>
      </c>
      <c r="I63" s="1">
        <v>65.0</v>
      </c>
      <c r="J63" s="1">
        <v>249900.0</v>
      </c>
      <c r="K63" s="2">
        <v>41947.0</v>
      </c>
      <c r="L63" s="1">
        <v>12.0</v>
      </c>
      <c r="M63" s="2">
        <v>41947.0</v>
      </c>
      <c r="N63" s="1" t="s">
        <v>187</v>
      </c>
      <c r="O63" s="2">
        <v>41990.0</v>
      </c>
      <c r="P63" s="1">
        <v>124659.0</v>
      </c>
      <c r="Q63" s="1">
        <v>12569.0</v>
      </c>
      <c r="S63" s="1">
        <v>3006.0</v>
      </c>
      <c r="T63" s="1" t="s">
        <v>1564</v>
      </c>
      <c r="U63" s="1" t="s">
        <v>189</v>
      </c>
      <c r="V63" s="1" t="s">
        <v>190</v>
      </c>
      <c r="W63" s="1">
        <v>60641.0</v>
      </c>
      <c r="X63" s="1">
        <v>4817.0</v>
      </c>
      <c r="Y63" s="1" t="s">
        <v>1565</v>
      </c>
      <c r="Z63" s="1">
        <v>1944.0</v>
      </c>
      <c r="AA63" s="1" t="s">
        <v>192</v>
      </c>
      <c r="AB63" s="1" t="s">
        <v>193</v>
      </c>
      <c r="AD63" s="1" t="s">
        <v>194</v>
      </c>
      <c r="AE63" s="1" t="s">
        <v>195</v>
      </c>
      <c r="AF63" s="1" t="s">
        <v>196</v>
      </c>
      <c r="AH63" s="1" t="s">
        <v>1393</v>
      </c>
      <c r="AI63" s="1">
        <v>0.0868</v>
      </c>
      <c r="AK63" s="1">
        <v>8.0</v>
      </c>
      <c r="AL63" s="1">
        <v>4.0</v>
      </c>
      <c r="AM63" s="1">
        <v>2.0</v>
      </c>
      <c r="AN63" s="1">
        <v>1.0</v>
      </c>
      <c r="AO63" s="1" t="s">
        <v>229</v>
      </c>
      <c r="AQ63" s="1" t="s">
        <v>198</v>
      </c>
      <c r="AR63" s="1" t="s">
        <v>192</v>
      </c>
      <c r="AS63" s="1" t="s">
        <v>828</v>
      </c>
      <c r="AU63" s="1">
        <v>0.0</v>
      </c>
      <c r="AV63" s="1" t="s">
        <v>200</v>
      </c>
      <c r="AW63" s="1">
        <v>4042.68</v>
      </c>
      <c r="AX63" s="1">
        <v>2012.0</v>
      </c>
      <c r="AY63" s="1" t="s">
        <v>229</v>
      </c>
      <c r="AZ63" s="1" t="s">
        <v>200</v>
      </c>
      <c r="BA63" s="1" t="str">
        <f>"13281100360000"</f>
        <v>13281100360000</v>
      </c>
      <c r="BB63" s="1" t="s">
        <v>200</v>
      </c>
      <c r="BC63" s="1">
        <v>2000.0</v>
      </c>
      <c r="BD63" s="1">
        <v>243000.0</v>
      </c>
      <c r="BE63" s="2">
        <v>41936.0</v>
      </c>
      <c r="BF63" s="2" t="s">
        <v>1566</v>
      </c>
      <c r="BH63" s="1">
        <v>0.0</v>
      </c>
      <c r="BK63" s="1" t="s">
        <v>204</v>
      </c>
      <c r="BL63" s="1" t="str">
        <f>"3000"</f>
        <v>3000</v>
      </c>
      <c r="BM63" s="1" t="str">
        <f t="shared" si="40"/>
        <v>0</v>
      </c>
      <c r="BN63" s="1">
        <v>5500.0</v>
      </c>
      <c r="BO63" s="1">
        <v>0.0</v>
      </c>
      <c r="BQ63" s="1">
        <v>299.0</v>
      </c>
      <c r="BR63" s="1">
        <v>299.0</v>
      </c>
      <c r="BS63" s="1">
        <v>299.0</v>
      </c>
      <c r="BU63" s="1" t="s">
        <v>205</v>
      </c>
      <c r="BV63" s="1" t="s">
        <v>206</v>
      </c>
      <c r="BW63" s="1" t="s">
        <v>207</v>
      </c>
      <c r="BX63" s="1" t="s">
        <v>431</v>
      </c>
      <c r="BY63" s="1" t="s">
        <v>497</v>
      </c>
      <c r="BZ63" s="1" t="s">
        <v>206</v>
      </c>
      <c r="CA63" s="1" t="s">
        <v>207</v>
      </c>
      <c r="CB63" s="1" t="s">
        <v>431</v>
      </c>
      <c r="CC63" s="1" t="s">
        <v>478</v>
      </c>
      <c r="CD63" s="1" t="s">
        <v>206</v>
      </c>
      <c r="CE63" s="1" t="s">
        <v>207</v>
      </c>
      <c r="CF63" s="1" t="s">
        <v>431</v>
      </c>
      <c r="CG63" s="1" t="s">
        <v>264</v>
      </c>
      <c r="CH63" s="1" t="s">
        <v>206</v>
      </c>
      <c r="CI63" s="1" t="s">
        <v>207</v>
      </c>
      <c r="CJ63" s="1" t="s">
        <v>431</v>
      </c>
      <c r="CK63" s="1" t="s">
        <v>1567</v>
      </c>
      <c r="CL63" s="1" t="s">
        <v>209</v>
      </c>
      <c r="CM63" s="1" t="s">
        <v>210</v>
      </c>
      <c r="CN63" s="1" t="s">
        <v>431</v>
      </c>
      <c r="CO63" s="1" t="s">
        <v>363</v>
      </c>
      <c r="CP63" s="1" t="s">
        <v>209</v>
      </c>
      <c r="CQ63" s="1" t="s">
        <v>210</v>
      </c>
      <c r="CR63" s="1" t="s">
        <v>431</v>
      </c>
      <c r="CS63" s="1" t="s">
        <v>333</v>
      </c>
      <c r="CT63" s="1" t="s">
        <v>206</v>
      </c>
      <c r="CU63" s="1" t="s">
        <v>268</v>
      </c>
      <c r="CV63" s="1" t="s">
        <v>431</v>
      </c>
      <c r="CW63" s="1" t="s">
        <v>1568</v>
      </c>
      <c r="CX63" s="1" t="s">
        <v>42</v>
      </c>
      <c r="CY63" s="1" t="s">
        <v>617</v>
      </c>
      <c r="DA63" s="1" t="s">
        <v>200</v>
      </c>
      <c r="DC63" s="1" t="s">
        <v>702</v>
      </c>
      <c r="DD63" s="1" t="s">
        <v>306</v>
      </c>
      <c r="DE63" s="1" t="s">
        <v>273</v>
      </c>
      <c r="DF63" s="1" t="s">
        <v>219</v>
      </c>
      <c r="DG63" s="1" t="s">
        <v>1569</v>
      </c>
      <c r="DH63" s="1" t="s">
        <v>220</v>
      </c>
      <c r="DI63" s="1" t="s">
        <v>703</v>
      </c>
      <c r="DJ63" s="1" t="s">
        <v>222</v>
      </c>
      <c r="DK63" s="1" t="s">
        <v>1570</v>
      </c>
      <c r="DL63" s="1" t="s">
        <v>224</v>
      </c>
      <c r="DM63" s="1" t="s">
        <v>229</v>
      </c>
      <c r="DN63" s="1" t="s">
        <v>1486</v>
      </c>
      <c r="DP63" s="1" t="s">
        <v>340</v>
      </c>
      <c r="DQ63" s="1" t="s">
        <v>718</v>
      </c>
      <c r="DR63" s="1" t="s">
        <v>229</v>
      </c>
      <c r="DS63" s="1" t="s">
        <v>230</v>
      </c>
      <c r="DU63" s="1" t="s">
        <v>962</v>
      </c>
      <c r="DV63" s="1" t="s">
        <v>1571</v>
      </c>
      <c r="DW63" s="1" t="s">
        <v>279</v>
      </c>
      <c r="DX63" s="1" t="s">
        <v>234</v>
      </c>
      <c r="DY63" s="1" t="s">
        <v>553</v>
      </c>
      <c r="EA63" s="1" t="s">
        <v>257</v>
      </c>
      <c r="EC63" s="1" t="s">
        <v>645</v>
      </c>
      <c r="EF63" s="1" t="s">
        <v>1572</v>
      </c>
      <c r="EG63" s="1" t="s">
        <v>1571</v>
      </c>
      <c r="EL63" s="1" t="s">
        <v>269</v>
      </c>
      <c r="EM63" s="1" t="s">
        <v>42</v>
      </c>
      <c r="EN63" s="1" t="s">
        <v>617</v>
      </c>
      <c r="EQ63" s="1" t="s">
        <v>238</v>
      </c>
      <c r="EU63" s="1" t="s">
        <v>238</v>
      </c>
      <c r="EY63" s="1" t="s">
        <v>238</v>
      </c>
      <c r="FC63" s="1" t="s">
        <v>238</v>
      </c>
      <c r="FF63" s="1" t="s">
        <v>239</v>
      </c>
      <c r="FG63" s="1" t="s">
        <v>192</v>
      </c>
      <c r="FH63" s="1" t="s">
        <v>192</v>
      </c>
      <c r="FJ63" s="1" t="s">
        <v>1573</v>
      </c>
      <c r="FK63" s="1" t="s">
        <v>229</v>
      </c>
      <c r="FL63" s="1" t="s">
        <v>1574</v>
      </c>
      <c r="FM63" s="1">
        <v>12569.0</v>
      </c>
      <c r="FN63" s="1" t="s">
        <v>1575</v>
      </c>
      <c r="FO63" s="1" t="s">
        <v>1576</v>
      </c>
      <c r="FP63" s="1">
        <v>124549.0</v>
      </c>
      <c r="FQ63" s="1" t="s">
        <v>1577</v>
      </c>
      <c r="FU63" s="1" t="s">
        <v>710</v>
      </c>
      <c r="FV63" s="1" t="s">
        <v>200</v>
      </c>
      <c r="FW63" s="1" t="s">
        <v>1578</v>
      </c>
      <c r="FX63" s="1" t="s">
        <v>238</v>
      </c>
      <c r="FZ63" s="1" t="s">
        <v>229</v>
      </c>
      <c r="GA63" s="1" t="s">
        <v>291</v>
      </c>
      <c r="GB63" s="2">
        <v>41992.0</v>
      </c>
      <c r="GC63" s="1" t="s">
        <v>1579</v>
      </c>
    </row>
    <row r="64">
      <c r="A64" s="1">
        <v>115000.0</v>
      </c>
      <c r="B64" s="1" t="s">
        <v>185</v>
      </c>
      <c r="C64" s="1" t="str">
        <f>"08760818"</f>
        <v>08760818</v>
      </c>
      <c r="D64" s="1" t="s">
        <v>186</v>
      </c>
      <c r="F64" s="1" t="str">
        <f>"107"</f>
        <v>107</v>
      </c>
      <c r="G64" s="2">
        <v>41936.0</v>
      </c>
      <c r="H64" s="1">
        <v>115000.0</v>
      </c>
      <c r="I64" s="1">
        <v>16.0</v>
      </c>
      <c r="J64" s="1">
        <v>115000.0</v>
      </c>
      <c r="K64" s="2">
        <v>41946.0</v>
      </c>
      <c r="L64" s="1">
        <v>11.0</v>
      </c>
      <c r="M64" s="2">
        <v>41946.0</v>
      </c>
      <c r="N64" s="1" t="s">
        <v>249</v>
      </c>
      <c r="O64" s="2">
        <v>42024.0</v>
      </c>
      <c r="P64" s="1">
        <v>840475.0</v>
      </c>
      <c r="Q64" s="1">
        <v>85417.0</v>
      </c>
      <c r="S64" s="1">
        <v>1018.0</v>
      </c>
      <c r="T64" s="1" t="s">
        <v>1580</v>
      </c>
      <c r="U64" s="1" t="s">
        <v>1442</v>
      </c>
      <c r="V64" s="1" t="s">
        <v>294</v>
      </c>
      <c r="W64" s="1">
        <v>60107.0</v>
      </c>
      <c r="Y64" s="1" t="s">
        <v>1581</v>
      </c>
      <c r="Z64" s="1">
        <v>1959.0</v>
      </c>
      <c r="AA64" s="1" t="s">
        <v>192</v>
      </c>
      <c r="AB64" s="1" t="s">
        <v>193</v>
      </c>
      <c r="AD64" s="1" t="s">
        <v>297</v>
      </c>
      <c r="AE64" s="1" t="s">
        <v>195</v>
      </c>
      <c r="AF64" s="1" t="s">
        <v>298</v>
      </c>
      <c r="AH64" s="1" t="s">
        <v>1582</v>
      </c>
      <c r="AI64" s="1">
        <v>0.2382</v>
      </c>
      <c r="AK64" s="1">
        <v>7.0</v>
      </c>
      <c r="AL64" s="1">
        <v>4.0</v>
      </c>
      <c r="AM64" s="1">
        <v>2.0</v>
      </c>
      <c r="AN64" s="1">
        <v>0.0</v>
      </c>
      <c r="AO64" s="1" t="s">
        <v>198</v>
      </c>
      <c r="AQ64" s="1" t="s">
        <v>229</v>
      </c>
      <c r="AS64" s="1" t="s">
        <v>199</v>
      </c>
      <c r="AT64" s="1">
        <v>1.0</v>
      </c>
      <c r="AV64" s="1" t="s">
        <v>200</v>
      </c>
      <c r="AW64" s="1">
        <v>4730.94</v>
      </c>
      <c r="AX64" s="1">
        <v>2012.0</v>
      </c>
      <c r="AZ64" s="1" t="s">
        <v>200</v>
      </c>
      <c r="BA64" s="1" t="str">
        <f>"06261020520000"</f>
        <v>06261020520000</v>
      </c>
      <c r="BC64" s="1">
        <v>1290.0</v>
      </c>
      <c r="BD64" s="1">
        <v>115000.0</v>
      </c>
      <c r="BE64" s="2">
        <v>41936.0</v>
      </c>
      <c r="BF64" s="2" t="s">
        <v>1583</v>
      </c>
      <c r="BH64" s="1">
        <v>0.0</v>
      </c>
      <c r="BK64" s="1" t="s">
        <v>204</v>
      </c>
      <c r="BL64" s="1" t="str">
        <f t="shared" ref="BL64:BM64" si="41">""</f>
        <v/>
      </c>
      <c r="BM64" s="1" t="str">
        <f t="shared" si="41"/>
        <v/>
      </c>
      <c r="BQ64" s="1">
        <v>46.0</v>
      </c>
      <c r="BR64" s="1">
        <v>46.0</v>
      </c>
      <c r="BS64" s="1">
        <v>46.0</v>
      </c>
      <c r="BU64" s="1" t="s">
        <v>924</v>
      </c>
      <c r="BV64" s="1" t="s">
        <v>206</v>
      </c>
      <c r="BW64" s="1" t="s">
        <v>301</v>
      </c>
      <c r="BY64" s="1" t="s">
        <v>815</v>
      </c>
      <c r="BZ64" s="1" t="s">
        <v>206</v>
      </c>
      <c r="CA64" s="1" t="s">
        <v>210</v>
      </c>
      <c r="CC64" s="1" t="s">
        <v>1417</v>
      </c>
      <c r="CD64" s="1" t="s">
        <v>206</v>
      </c>
      <c r="CE64" s="1" t="s">
        <v>301</v>
      </c>
      <c r="CG64" s="1" t="s">
        <v>815</v>
      </c>
      <c r="CH64" s="1" t="s">
        <v>206</v>
      </c>
      <c r="CI64" s="1" t="s">
        <v>210</v>
      </c>
      <c r="CK64" s="1" t="s">
        <v>516</v>
      </c>
      <c r="CL64" s="1" t="s">
        <v>206</v>
      </c>
      <c r="CM64" s="1" t="s">
        <v>210</v>
      </c>
      <c r="CO64" s="1" t="s">
        <v>516</v>
      </c>
      <c r="CP64" s="1" t="s">
        <v>206</v>
      </c>
      <c r="CQ64" s="1" t="s">
        <v>210</v>
      </c>
      <c r="CS64" s="1" t="s">
        <v>1584</v>
      </c>
      <c r="CT64" s="1" t="s">
        <v>206</v>
      </c>
      <c r="CU64" s="1" t="s">
        <v>301</v>
      </c>
      <c r="CX64" s="1" t="s">
        <v>204</v>
      </c>
      <c r="DA64" s="1" t="s">
        <v>200</v>
      </c>
      <c r="DC64" s="1" t="s">
        <v>271</v>
      </c>
      <c r="DE64" s="1" t="s">
        <v>273</v>
      </c>
      <c r="DF64" s="1" t="s">
        <v>905</v>
      </c>
      <c r="DH64" s="1" t="s">
        <v>365</v>
      </c>
      <c r="DJ64" s="1" t="s">
        <v>222</v>
      </c>
      <c r="DL64" s="1" t="s">
        <v>520</v>
      </c>
      <c r="DM64" s="1" t="s">
        <v>929</v>
      </c>
      <c r="DQ64" s="1" t="s">
        <v>228</v>
      </c>
      <c r="DR64" s="1" t="s">
        <v>229</v>
      </c>
      <c r="DV64" s="1" t="s">
        <v>232</v>
      </c>
      <c r="DW64" s="1" t="s">
        <v>667</v>
      </c>
      <c r="DX64" s="1" t="s">
        <v>234</v>
      </c>
      <c r="EC64" s="1" t="s">
        <v>685</v>
      </c>
      <c r="EM64" s="1" t="s">
        <v>238</v>
      </c>
      <c r="EQ64" s="1" t="s">
        <v>238</v>
      </c>
      <c r="EU64" s="1" t="s">
        <v>238</v>
      </c>
      <c r="EY64" s="1" t="s">
        <v>238</v>
      </c>
      <c r="FC64" s="1" t="s">
        <v>238</v>
      </c>
      <c r="FF64" s="1" t="s">
        <v>239</v>
      </c>
      <c r="FG64" s="1" t="s">
        <v>192</v>
      </c>
      <c r="FH64" s="1" t="s">
        <v>192</v>
      </c>
      <c r="FJ64" s="1" t="s">
        <v>1585</v>
      </c>
      <c r="FK64" s="1" t="s">
        <v>1586</v>
      </c>
      <c r="FL64" s="1" t="s">
        <v>1587</v>
      </c>
      <c r="FM64" s="1">
        <v>3560.0</v>
      </c>
      <c r="FN64" s="1" t="s">
        <v>1588</v>
      </c>
      <c r="FO64" s="1" t="s">
        <v>1589</v>
      </c>
      <c r="FP64" s="1">
        <v>32061.0</v>
      </c>
      <c r="FQ64" s="1" t="s">
        <v>1590</v>
      </c>
      <c r="FU64" s="1" t="s">
        <v>1591</v>
      </c>
      <c r="FV64" s="1" t="s">
        <v>200</v>
      </c>
      <c r="FW64" s="1" t="s">
        <v>530</v>
      </c>
      <c r="FX64" s="1" t="s">
        <v>655</v>
      </c>
      <c r="FZ64" s="1" t="s">
        <v>229</v>
      </c>
      <c r="GA64" s="1" t="s">
        <v>291</v>
      </c>
      <c r="GB64" s="2">
        <v>42024.0</v>
      </c>
      <c r="GC64" s="1" t="s">
        <v>1592</v>
      </c>
    </row>
    <row r="65">
      <c r="A65" s="1">
        <v>724995.0</v>
      </c>
      <c r="B65" s="1" t="s">
        <v>185</v>
      </c>
      <c r="C65" s="1" t="str">
        <f>"08767026"</f>
        <v>08767026</v>
      </c>
      <c r="D65" s="1" t="s">
        <v>186</v>
      </c>
      <c r="F65" s="1" t="str">
        <f>"134"</f>
        <v>134</v>
      </c>
      <c r="G65" s="2">
        <v>41945.0</v>
      </c>
      <c r="H65" s="1">
        <v>749995.0</v>
      </c>
      <c r="I65" s="1">
        <v>139.0</v>
      </c>
      <c r="J65" s="1">
        <v>739995.0</v>
      </c>
      <c r="K65" s="2">
        <v>42083.0</v>
      </c>
      <c r="L65" s="1">
        <v>139.0</v>
      </c>
      <c r="M65" s="2">
        <v>42083.0</v>
      </c>
      <c r="N65" s="1" t="s">
        <v>187</v>
      </c>
      <c r="O65" s="2">
        <v>42118.0</v>
      </c>
      <c r="P65" s="1">
        <v>189649.0</v>
      </c>
      <c r="Q65" s="1">
        <v>85399.0</v>
      </c>
      <c r="S65" s="1" t="s">
        <v>1593</v>
      </c>
      <c r="T65" s="1" t="s">
        <v>1594</v>
      </c>
      <c r="U65" s="1" t="s">
        <v>420</v>
      </c>
      <c r="V65" s="1" t="s">
        <v>421</v>
      </c>
      <c r="W65" s="1">
        <v>60134.0</v>
      </c>
      <c r="Y65" s="1" t="s">
        <v>1595</v>
      </c>
      <c r="Z65" s="1">
        <v>2014.0</v>
      </c>
      <c r="AA65" s="1" t="s">
        <v>200</v>
      </c>
      <c r="AB65" s="1" t="s">
        <v>467</v>
      </c>
      <c r="AC65" s="1" t="s">
        <v>1596</v>
      </c>
      <c r="AD65" s="1" t="s">
        <v>1089</v>
      </c>
      <c r="AE65" s="1" t="s">
        <v>325</v>
      </c>
      <c r="AF65" s="1" t="s">
        <v>1479</v>
      </c>
      <c r="AG65" s="1" t="s">
        <v>1597</v>
      </c>
      <c r="AH65" s="1" t="s">
        <v>1598</v>
      </c>
      <c r="AK65" s="1">
        <v>9.0</v>
      </c>
      <c r="AL65" s="1">
        <v>4.0</v>
      </c>
      <c r="AM65" s="1">
        <v>4.0</v>
      </c>
      <c r="AN65" s="1">
        <v>1.0</v>
      </c>
      <c r="AO65" s="1" t="s">
        <v>198</v>
      </c>
      <c r="AP65" s="1">
        <v>1.0</v>
      </c>
      <c r="AQ65" s="1" t="s">
        <v>198</v>
      </c>
      <c r="AR65" s="1" t="s">
        <v>200</v>
      </c>
      <c r="AS65" s="1" t="s">
        <v>199</v>
      </c>
      <c r="AT65" s="1">
        <v>4.0</v>
      </c>
      <c r="AV65" s="1" t="s">
        <v>200</v>
      </c>
      <c r="AW65" s="1">
        <v>338.88</v>
      </c>
      <c r="AX65" s="1">
        <v>2013.0</v>
      </c>
      <c r="AY65" s="1" t="s">
        <v>229</v>
      </c>
      <c r="AZ65" s="1" t="s">
        <v>192</v>
      </c>
      <c r="BA65" s="1" t="str">
        <f>"1207326015"</f>
        <v>1207326015</v>
      </c>
      <c r="BC65" s="1">
        <v>3619.0</v>
      </c>
      <c r="BD65" s="1">
        <v>724995.0</v>
      </c>
      <c r="BE65" s="2">
        <v>41945.0</v>
      </c>
      <c r="BF65" s="2" t="s">
        <v>1599</v>
      </c>
      <c r="BH65" s="1">
        <v>0.0</v>
      </c>
      <c r="BK65" s="1" t="s">
        <v>204</v>
      </c>
      <c r="BL65" s="1" t="str">
        <f t="shared" ref="BL65:BM65" si="42">""</f>
        <v/>
      </c>
      <c r="BM65" s="1" t="str">
        <f t="shared" si="42"/>
        <v/>
      </c>
      <c r="BQ65" s="1">
        <v>304.0</v>
      </c>
      <c r="BR65" s="1">
        <v>304.0</v>
      </c>
      <c r="BS65" s="1">
        <v>304.0</v>
      </c>
      <c r="BV65" s="1" t="s">
        <v>204</v>
      </c>
      <c r="BY65" s="1" t="s">
        <v>515</v>
      </c>
      <c r="BZ65" s="1" t="s">
        <v>209</v>
      </c>
      <c r="CA65" s="1" t="s">
        <v>210</v>
      </c>
      <c r="CB65" s="1" t="s">
        <v>229</v>
      </c>
      <c r="CC65" s="1" t="s">
        <v>300</v>
      </c>
      <c r="CD65" s="1" t="s">
        <v>206</v>
      </c>
      <c r="CE65" s="1" t="s">
        <v>207</v>
      </c>
      <c r="CF65" s="1" t="s">
        <v>229</v>
      </c>
      <c r="CG65" s="1" t="s">
        <v>1417</v>
      </c>
      <c r="CH65" s="1" t="s">
        <v>209</v>
      </c>
      <c r="CI65" s="1" t="s">
        <v>210</v>
      </c>
      <c r="CJ65" s="1" t="s">
        <v>229</v>
      </c>
      <c r="CK65" s="1" t="s">
        <v>1064</v>
      </c>
      <c r="CL65" s="1" t="s">
        <v>209</v>
      </c>
      <c r="CM65" s="1" t="s">
        <v>210</v>
      </c>
      <c r="CN65" s="1" t="s">
        <v>229</v>
      </c>
      <c r="CO65" s="1" t="s">
        <v>433</v>
      </c>
      <c r="CP65" s="1" t="s">
        <v>209</v>
      </c>
      <c r="CQ65" s="1" t="s">
        <v>210</v>
      </c>
      <c r="CR65" s="1" t="s">
        <v>229</v>
      </c>
      <c r="CS65" s="1" t="s">
        <v>270</v>
      </c>
      <c r="CT65" s="1" t="s">
        <v>206</v>
      </c>
      <c r="CU65" s="1" t="s">
        <v>207</v>
      </c>
      <c r="CV65" s="1" t="s">
        <v>229</v>
      </c>
      <c r="CW65" s="1" t="s">
        <v>1600</v>
      </c>
      <c r="CX65" s="1" t="s">
        <v>206</v>
      </c>
      <c r="CY65" s="1" t="s">
        <v>207</v>
      </c>
      <c r="CZ65" s="1" t="s">
        <v>229</v>
      </c>
      <c r="DA65" s="1" t="s">
        <v>192</v>
      </c>
      <c r="DB65" s="2">
        <v>41958.0</v>
      </c>
      <c r="DC65" s="1" t="s">
        <v>1353</v>
      </c>
      <c r="DD65" s="1" t="s">
        <v>1601</v>
      </c>
      <c r="DE65" s="1" t="s">
        <v>273</v>
      </c>
      <c r="DF65" s="1" t="s">
        <v>619</v>
      </c>
      <c r="DG65" s="1" t="s">
        <v>1602</v>
      </c>
      <c r="DH65" s="1" t="s">
        <v>1603</v>
      </c>
      <c r="DI65" s="1" t="s">
        <v>1604</v>
      </c>
      <c r="DJ65" s="1" t="s">
        <v>222</v>
      </c>
      <c r="DL65" s="1" t="s">
        <v>1536</v>
      </c>
      <c r="DM65" s="1" t="s">
        <v>1402</v>
      </c>
      <c r="DN65" s="1" t="s">
        <v>1605</v>
      </c>
      <c r="DO65" s="1" t="s">
        <v>1606</v>
      </c>
      <c r="DP65" s="1" t="s">
        <v>340</v>
      </c>
      <c r="DQ65" s="1" t="s">
        <v>441</v>
      </c>
      <c r="DR65" s="1" t="s">
        <v>229</v>
      </c>
      <c r="DS65" s="1" t="s">
        <v>591</v>
      </c>
      <c r="DT65" s="1" t="s">
        <v>1607</v>
      </c>
      <c r="DU65" s="1" t="s">
        <v>1608</v>
      </c>
      <c r="DV65" s="1" t="s">
        <v>1609</v>
      </c>
      <c r="DW65" s="1" t="s">
        <v>1610</v>
      </c>
      <c r="DX65" s="1" t="s">
        <v>234</v>
      </c>
      <c r="DY65" s="1" t="s">
        <v>490</v>
      </c>
      <c r="DZ65" s="1" t="s">
        <v>1611</v>
      </c>
      <c r="EA65" s="1" t="s">
        <v>344</v>
      </c>
      <c r="EC65" s="1" t="s">
        <v>237</v>
      </c>
      <c r="ED65" s="1" t="s">
        <v>407</v>
      </c>
      <c r="EE65" s="1" t="s">
        <v>493</v>
      </c>
      <c r="EG65" s="1" t="s">
        <v>1028</v>
      </c>
      <c r="EH65" s="1" t="s">
        <v>588</v>
      </c>
      <c r="EI65" s="1" t="s">
        <v>720</v>
      </c>
      <c r="EJ65" s="1" t="s">
        <v>557</v>
      </c>
      <c r="EL65" s="1" t="s">
        <v>584</v>
      </c>
      <c r="EM65" s="1" t="s">
        <v>206</v>
      </c>
      <c r="EN65" s="1" t="s">
        <v>207</v>
      </c>
      <c r="EO65" s="1" t="s">
        <v>229</v>
      </c>
      <c r="EP65" s="1" t="s">
        <v>1612</v>
      </c>
      <c r="EQ65" s="1" t="s">
        <v>206</v>
      </c>
      <c r="ER65" s="1" t="s">
        <v>207</v>
      </c>
      <c r="ES65" s="1" t="s">
        <v>229</v>
      </c>
      <c r="ET65" s="1" t="s">
        <v>1613</v>
      </c>
      <c r="EU65" s="1" t="s">
        <v>206</v>
      </c>
      <c r="EV65" s="1" t="s">
        <v>207</v>
      </c>
      <c r="EW65" s="1" t="s">
        <v>229</v>
      </c>
      <c r="EX65" s="1" t="s">
        <v>782</v>
      </c>
      <c r="EY65" s="1" t="s">
        <v>209</v>
      </c>
      <c r="EZ65" s="1" t="s">
        <v>210</v>
      </c>
      <c r="FA65" s="1" t="s">
        <v>229</v>
      </c>
      <c r="FC65" s="1" t="s">
        <v>238</v>
      </c>
      <c r="FF65" s="1" t="s">
        <v>239</v>
      </c>
      <c r="FG65" s="1" t="s">
        <v>192</v>
      </c>
      <c r="FH65" s="1" t="s">
        <v>192</v>
      </c>
      <c r="FJ65" s="1" t="s">
        <v>524</v>
      </c>
      <c r="FK65" s="1" t="s">
        <v>229</v>
      </c>
      <c r="FL65" s="1" t="s">
        <v>1614</v>
      </c>
      <c r="FM65" s="1">
        <v>85399.0</v>
      </c>
      <c r="FN65" s="1" t="s">
        <v>1615</v>
      </c>
      <c r="FO65" s="1" t="s">
        <v>1616</v>
      </c>
      <c r="FP65" s="1">
        <v>189649.0</v>
      </c>
      <c r="FQ65" s="1" t="s">
        <v>1615</v>
      </c>
      <c r="FT65" s="1">
        <v>6.392328181E9</v>
      </c>
      <c r="FU65" s="1" t="s">
        <v>1617</v>
      </c>
      <c r="FV65" s="1" t="s">
        <v>200</v>
      </c>
      <c r="FW65" s="1" t="s">
        <v>1618</v>
      </c>
      <c r="FZ65" s="1" t="s">
        <v>229</v>
      </c>
      <c r="GA65" s="1" t="s">
        <v>247</v>
      </c>
      <c r="GB65" s="2">
        <v>42121.0</v>
      </c>
      <c r="GC65" s="1" t="s">
        <v>1619</v>
      </c>
    </row>
    <row r="66">
      <c r="A66" s="1">
        <v>124900.0</v>
      </c>
      <c r="B66" s="1" t="s">
        <v>185</v>
      </c>
      <c r="C66" s="1" t="str">
        <f>"08764659"</f>
        <v>08764659</v>
      </c>
      <c r="D66" s="1" t="s">
        <v>186</v>
      </c>
      <c r="F66" s="1" t="str">
        <f>"8070"</f>
        <v>8070</v>
      </c>
      <c r="G66" s="2">
        <v>41941.0</v>
      </c>
      <c r="H66" s="1">
        <v>124900.0</v>
      </c>
      <c r="I66" s="1">
        <v>20.0</v>
      </c>
      <c r="J66" s="1">
        <v>124900.0</v>
      </c>
      <c r="K66" s="2">
        <v>41960.0</v>
      </c>
      <c r="L66" s="1">
        <v>20.0</v>
      </c>
      <c r="M66" s="2">
        <v>41960.0</v>
      </c>
      <c r="N66" s="1" t="s">
        <v>187</v>
      </c>
      <c r="O66" s="2">
        <v>42041.0</v>
      </c>
      <c r="P66" s="1">
        <v>219100.0</v>
      </c>
      <c r="Q66" s="1">
        <v>60321.0</v>
      </c>
      <c r="S66" s="1">
        <v>3336.0</v>
      </c>
      <c r="T66" s="1" t="s">
        <v>1620</v>
      </c>
      <c r="U66" s="1" t="s">
        <v>189</v>
      </c>
      <c r="V66" s="1" t="s">
        <v>190</v>
      </c>
      <c r="W66" s="1">
        <v>60652.0</v>
      </c>
      <c r="Y66" s="1" t="s">
        <v>1621</v>
      </c>
      <c r="Z66" s="1">
        <v>1947.0</v>
      </c>
      <c r="AA66" s="1" t="s">
        <v>192</v>
      </c>
      <c r="AB66" s="1" t="s">
        <v>193</v>
      </c>
      <c r="AD66" s="1" t="s">
        <v>194</v>
      </c>
      <c r="AE66" s="1" t="s">
        <v>195</v>
      </c>
      <c r="AF66" s="1" t="s">
        <v>659</v>
      </c>
      <c r="AH66" s="1">
        <v>4375.0</v>
      </c>
      <c r="AK66" s="1">
        <v>8.0</v>
      </c>
      <c r="AL66" s="1">
        <v>4.0</v>
      </c>
      <c r="AM66" s="1">
        <v>2.0</v>
      </c>
      <c r="AN66" s="1">
        <v>0.0</v>
      </c>
      <c r="AO66" s="1" t="s">
        <v>229</v>
      </c>
      <c r="AQ66" s="1" t="s">
        <v>198</v>
      </c>
      <c r="AR66" s="1" t="s">
        <v>192</v>
      </c>
      <c r="AS66" s="1" t="s">
        <v>199</v>
      </c>
      <c r="AT66" s="1">
        <v>2.0</v>
      </c>
      <c r="AV66" s="1" t="s">
        <v>200</v>
      </c>
      <c r="AW66" s="1">
        <v>1796.31</v>
      </c>
      <c r="AX66" s="1">
        <v>2013.0</v>
      </c>
      <c r="AY66" s="1" t="s">
        <v>387</v>
      </c>
      <c r="AZ66" s="1" t="s">
        <v>200</v>
      </c>
      <c r="BA66" s="1" t="str">
        <f>"19352040310000"</f>
        <v>19352040310000</v>
      </c>
      <c r="BC66" s="1">
        <v>1200.0</v>
      </c>
      <c r="BD66" s="1">
        <v>124900.0</v>
      </c>
      <c r="BE66" s="2">
        <v>41941.0</v>
      </c>
      <c r="BF66" s="1" t="s">
        <v>1622</v>
      </c>
      <c r="BH66" s="1">
        <v>0.0</v>
      </c>
      <c r="BK66" s="1" t="s">
        <v>204</v>
      </c>
      <c r="BL66" s="1" t="str">
        <f t="shared" ref="BL66:BM66" si="43">"0"</f>
        <v>0</v>
      </c>
      <c r="BM66" s="1" t="str">
        <f t="shared" si="43"/>
        <v>0</v>
      </c>
      <c r="BN66" s="1">
        <v>3336.0</v>
      </c>
      <c r="BO66" s="1">
        <v>8000.0</v>
      </c>
      <c r="BQ66" s="1">
        <v>299.0</v>
      </c>
      <c r="BR66" s="1">
        <v>299.0</v>
      </c>
      <c r="BS66" s="1">
        <v>299.0</v>
      </c>
      <c r="BU66" s="1" t="s">
        <v>264</v>
      </c>
      <c r="BV66" s="1" t="s">
        <v>206</v>
      </c>
      <c r="BW66" s="1" t="s">
        <v>207</v>
      </c>
      <c r="BX66" s="1" t="s">
        <v>229</v>
      </c>
      <c r="BY66" s="1" t="s">
        <v>264</v>
      </c>
      <c r="BZ66" s="1" t="s">
        <v>206</v>
      </c>
      <c r="CA66" s="1" t="s">
        <v>207</v>
      </c>
      <c r="CB66" s="1" t="s">
        <v>229</v>
      </c>
      <c r="CC66" s="1" t="s">
        <v>542</v>
      </c>
      <c r="CD66" s="1" t="s">
        <v>206</v>
      </c>
      <c r="CE66" s="1" t="s">
        <v>207</v>
      </c>
      <c r="CF66" s="1" t="s">
        <v>229</v>
      </c>
      <c r="CG66" s="1" t="s">
        <v>264</v>
      </c>
      <c r="CH66" s="1" t="s">
        <v>206</v>
      </c>
      <c r="CI66" s="1" t="s">
        <v>207</v>
      </c>
      <c r="CJ66" s="1" t="s">
        <v>229</v>
      </c>
      <c r="CK66" s="1" t="s">
        <v>743</v>
      </c>
      <c r="CL66" s="1" t="s">
        <v>209</v>
      </c>
      <c r="CM66" s="1" t="s">
        <v>207</v>
      </c>
      <c r="CN66" s="1" t="s">
        <v>229</v>
      </c>
      <c r="CO66" s="1" t="s">
        <v>211</v>
      </c>
      <c r="CP66" s="1" t="s">
        <v>209</v>
      </c>
      <c r="CQ66" s="1" t="s">
        <v>207</v>
      </c>
      <c r="CR66" s="1" t="s">
        <v>229</v>
      </c>
      <c r="CS66" s="1" t="s">
        <v>497</v>
      </c>
      <c r="CT66" s="1" t="s">
        <v>206</v>
      </c>
      <c r="CV66" s="1" t="s">
        <v>229</v>
      </c>
      <c r="CW66" s="1" t="s">
        <v>1623</v>
      </c>
      <c r="CX66" s="1" t="s">
        <v>42</v>
      </c>
      <c r="CY66" s="1" t="s">
        <v>207</v>
      </c>
      <c r="CZ66" s="1" t="s">
        <v>229</v>
      </c>
      <c r="DA66" s="1" t="s">
        <v>200</v>
      </c>
      <c r="DC66" s="1" t="s">
        <v>702</v>
      </c>
      <c r="DE66" s="1" t="s">
        <v>273</v>
      </c>
      <c r="DF66" s="1" t="s">
        <v>619</v>
      </c>
      <c r="DH66" s="1" t="s">
        <v>365</v>
      </c>
      <c r="DJ66" s="1" t="s">
        <v>222</v>
      </c>
      <c r="DL66" s="1" t="s">
        <v>223</v>
      </c>
      <c r="DM66" s="1" t="s">
        <v>229</v>
      </c>
      <c r="DQ66" s="1" t="s">
        <v>228</v>
      </c>
      <c r="DR66" s="1" t="s">
        <v>229</v>
      </c>
      <c r="DV66" s="1" t="s">
        <v>232</v>
      </c>
      <c r="DW66" s="1" t="s">
        <v>279</v>
      </c>
      <c r="DX66" s="1" t="s">
        <v>234</v>
      </c>
      <c r="EC66" s="1" t="s">
        <v>685</v>
      </c>
      <c r="EM66" s="1" t="s">
        <v>238</v>
      </c>
      <c r="EQ66" s="1" t="s">
        <v>238</v>
      </c>
      <c r="EU66" s="1" t="s">
        <v>238</v>
      </c>
      <c r="EY66" s="1" t="s">
        <v>238</v>
      </c>
      <c r="FC66" s="1" t="s">
        <v>238</v>
      </c>
      <c r="FF66" s="1" t="s">
        <v>239</v>
      </c>
      <c r="FG66" s="1" t="s">
        <v>192</v>
      </c>
      <c r="FH66" s="1" t="s">
        <v>192</v>
      </c>
      <c r="FJ66" s="1" t="s">
        <v>1624</v>
      </c>
      <c r="FK66" s="1" t="s">
        <v>229</v>
      </c>
      <c r="FL66" s="1" t="s">
        <v>1625</v>
      </c>
      <c r="FM66" s="1">
        <v>16416.0</v>
      </c>
      <c r="FN66" s="1" t="s">
        <v>1626</v>
      </c>
      <c r="FO66" s="1" t="s">
        <v>1627</v>
      </c>
      <c r="FP66" s="1">
        <v>143061.0</v>
      </c>
      <c r="FQ66" s="1" t="s">
        <v>1626</v>
      </c>
      <c r="FU66" s="1" t="s">
        <v>1628</v>
      </c>
      <c r="FV66" s="1" t="s">
        <v>200</v>
      </c>
      <c r="FW66" s="1" t="s">
        <v>290</v>
      </c>
      <c r="FX66" s="1" t="s">
        <v>246</v>
      </c>
      <c r="FZ66" s="1" t="s">
        <v>229</v>
      </c>
      <c r="GA66" s="1" t="s">
        <v>291</v>
      </c>
      <c r="GB66" s="2">
        <v>42055.0</v>
      </c>
    </row>
    <row r="67">
      <c r="A67" s="1">
        <v>225000.0</v>
      </c>
      <c r="B67" s="1" t="s">
        <v>185</v>
      </c>
      <c r="C67" s="1" t="str">
        <f>"08760807"</f>
        <v>08760807</v>
      </c>
      <c r="D67" s="1" t="s">
        <v>186</v>
      </c>
      <c r="F67" s="1" t="str">
        <f>"119"</f>
        <v>119</v>
      </c>
      <c r="G67" s="2">
        <v>41936.0</v>
      </c>
      <c r="H67" s="1">
        <v>244900.0</v>
      </c>
      <c r="I67" s="1">
        <v>27.0</v>
      </c>
      <c r="J67" s="1">
        <v>233900.0</v>
      </c>
      <c r="K67" s="2">
        <v>41962.0</v>
      </c>
      <c r="L67" s="1">
        <v>27.0</v>
      </c>
      <c r="M67" s="2">
        <v>41962.0</v>
      </c>
      <c r="N67" s="1" t="s">
        <v>187</v>
      </c>
      <c r="O67" s="2">
        <v>42027.0</v>
      </c>
      <c r="P67" s="1">
        <v>242349.0</v>
      </c>
      <c r="Q67" s="1">
        <v>25103.0</v>
      </c>
      <c r="R67" s="1">
        <v>4500.0</v>
      </c>
      <c r="S67" s="1">
        <v>779.0</v>
      </c>
      <c r="T67" s="1" t="s">
        <v>1629</v>
      </c>
      <c r="U67" s="1" t="s">
        <v>320</v>
      </c>
      <c r="V67" s="1" t="s">
        <v>1476</v>
      </c>
      <c r="W67" s="1">
        <v>60119.0</v>
      </c>
      <c r="Y67" s="1" t="s">
        <v>1630</v>
      </c>
      <c r="Z67" s="1">
        <v>1998.0</v>
      </c>
      <c r="AA67" s="1" t="s">
        <v>200</v>
      </c>
      <c r="AB67" s="1" t="s">
        <v>193</v>
      </c>
      <c r="AC67" s="1" t="s">
        <v>1631</v>
      </c>
      <c r="AD67" s="1" t="s">
        <v>1478</v>
      </c>
      <c r="AE67" s="1" t="s">
        <v>325</v>
      </c>
      <c r="AF67" s="1" t="s">
        <v>1632</v>
      </c>
      <c r="AH67" s="1">
        <v>9953.0</v>
      </c>
      <c r="AI67" s="1">
        <v>0.2479</v>
      </c>
      <c r="AK67" s="1">
        <v>8.0</v>
      </c>
      <c r="AL67" s="1">
        <v>4.0</v>
      </c>
      <c r="AM67" s="1">
        <v>2.0</v>
      </c>
      <c r="AN67" s="1">
        <v>1.0</v>
      </c>
      <c r="AO67" s="1" t="s">
        <v>198</v>
      </c>
      <c r="AP67" s="1">
        <v>1.0</v>
      </c>
      <c r="AQ67" s="1" t="s">
        <v>198</v>
      </c>
      <c r="AR67" s="1" t="s">
        <v>200</v>
      </c>
      <c r="AS67" s="1" t="s">
        <v>199</v>
      </c>
      <c r="AT67" s="1">
        <v>2.0</v>
      </c>
      <c r="AV67" s="1" t="s">
        <v>200</v>
      </c>
      <c r="AW67" s="1">
        <v>8992.06</v>
      </c>
      <c r="AX67" s="1">
        <v>2013.0</v>
      </c>
      <c r="AY67" s="1" t="s">
        <v>387</v>
      </c>
      <c r="AZ67" s="1" t="s">
        <v>200</v>
      </c>
      <c r="BA67" s="1" t="str">
        <f>"0832331001"</f>
        <v>0832331001</v>
      </c>
      <c r="BB67" s="1" t="s">
        <v>200</v>
      </c>
      <c r="BC67" s="1">
        <v>2477.0</v>
      </c>
      <c r="BD67" s="1">
        <v>225000.0</v>
      </c>
      <c r="BE67" s="2">
        <v>41936.0</v>
      </c>
      <c r="BF67" s="2" t="s">
        <v>1633</v>
      </c>
      <c r="BG67" s="1" t="s">
        <v>1634</v>
      </c>
      <c r="BH67" s="1">
        <v>0.0</v>
      </c>
      <c r="BI67" s="1" t="s">
        <v>1635</v>
      </c>
      <c r="BJ67" s="1" t="s">
        <v>1636</v>
      </c>
      <c r="BK67" s="1" t="s">
        <v>204</v>
      </c>
      <c r="BL67" s="1" t="str">
        <f t="shared" ref="BL67:BM67" si="44">""</f>
        <v/>
      </c>
      <c r="BM67" s="1" t="str">
        <f t="shared" si="44"/>
        <v/>
      </c>
      <c r="BQ67" s="1">
        <v>302.0</v>
      </c>
      <c r="BR67" s="1">
        <v>302.0</v>
      </c>
      <c r="BS67" s="1">
        <v>302.0</v>
      </c>
      <c r="BU67" s="1" t="s">
        <v>329</v>
      </c>
      <c r="BV67" s="1" t="s">
        <v>206</v>
      </c>
      <c r="BW67" s="1" t="s">
        <v>210</v>
      </c>
      <c r="BX67" s="1" t="s">
        <v>229</v>
      </c>
      <c r="BY67" s="1" t="s">
        <v>1426</v>
      </c>
      <c r="BZ67" s="1" t="s">
        <v>209</v>
      </c>
      <c r="CA67" s="1" t="s">
        <v>210</v>
      </c>
      <c r="CB67" s="1" t="s">
        <v>229</v>
      </c>
      <c r="CC67" s="1" t="s">
        <v>215</v>
      </c>
      <c r="CD67" s="1" t="s">
        <v>206</v>
      </c>
      <c r="CE67" s="1" t="s">
        <v>210</v>
      </c>
      <c r="CF67" s="1" t="s">
        <v>229</v>
      </c>
      <c r="CG67" s="1" t="s">
        <v>582</v>
      </c>
      <c r="CH67" s="1" t="s">
        <v>209</v>
      </c>
      <c r="CI67" s="1" t="s">
        <v>210</v>
      </c>
      <c r="CJ67" s="1" t="s">
        <v>229</v>
      </c>
      <c r="CK67" s="1" t="s">
        <v>302</v>
      </c>
      <c r="CL67" s="1" t="s">
        <v>209</v>
      </c>
      <c r="CM67" s="1" t="s">
        <v>210</v>
      </c>
      <c r="CN67" s="1" t="s">
        <v>229</v>
      </c>
      <c r="CO67" s="1" t="s">
        <v>543</v>
      </c>
      <c r="CP67" s="1" t="s">
        <v>209</v>
      </c>
      <c r="CQ67" s="1" t="s">
        <v>210</v>
      </c>
      <c r="CR67" s="1" t="s">
        <v>229</v>
      </c>
      <c r="CS67" s="1" t="s">
        <v>434</v>
      </c>
      <c r="CT67" s="1" t="s">
        <v>206</v>
      </c>
      <c r="CU67" s="1" t="s">
        <v>207</v>
      </c>
      <c r="CV67" s="1" t="s">
        <v>229</v>
      </c>
      <c r="CW67" s="1" t="s">
        <v>208</v>
      </c>
      <c r="CX67" s="1" t="s">
        <v>206</v>
      </c>
      <c r="CY67" s="1" t="s">
        <v>207</v>
      </c>
      <c r="CZ67" s="1" t="s">
        <v>229</v>
      </c>
      <c r="DA67" s="1" t="s">
        <v>200</v>
      </c>
      <c r="DC67" s="1" t="s">
        <v>678</v>
      </c>
      <c r="DD67" s="1" t="s">
        <v>586</v>
      </c>
      <c r="DE67" s="1" t="s">
        <v>273</v>
      </c>
      <c r="DF67" s="1" t="s">
        <v>619</v>
      </c>
      <c r="DG67" s="1" t="s">
        <v>1485</v>
      </c>
      <c r="DH67" s="1" t="s">
        <v>220</v>
      </c>
      <c r="DI67" s="1" t="s">
        <v>1003</v>
      </c>
      <c r="DJ67" s="1" t="s">
        <v>222</v>
      </c>
      <c r="DL67" s="1" t="s">
        <v>223</v>
      </c>
      <c r="DM67" s="1" t="s">
        <v>929</v>
      </c>
      <c r="DN67" s="1" t="s">
        <v>399</v>
      </c>
      <c r="DO67" s="1" t="s">
        <v>1004</v>
      </c>
      <c r="DP67" s="1" t="s">
        <v>340</v>
      </c>
      <c r="DQ67" s="1" t="s">
        <v>228</v>
      </c>
      <c r="DR67" s="1" t="s">
        <v>229</v>
      </c>
      <c r="DU67" s="1" t="s">
        <v>1637</v>
      </c>
      <c r="DV67" s="1" t="s">
        <v>409</v>
      </c>
      <c r="DW67" s="1" t="s">
        <v>233</v>
      </c>
      <c r="DX67" s="1" t="s">
        <v>234</v>
      </c>
      <c r="DY67" s="1" t="s">
        <v>490</v>
      </c>
      <c r="DZ67" s="1" t="s">
        <v>1638</v>
      </c>
      <c r="EB67" s="1" t="s">
        <v>1639</v>
      </c>
      <c r="EC67" s="1" t="s">
        <v>237</v>
      </c>
      <c r="ED67" s="1" t="s">
        <v>407</v>
      </c>
      <c r="EG67" s="1" t="s">
        <v>409</v>
      </c>
      <c r="EL67" s="1" t="s">
        <v>212</v>
      </c>
      <c r="EM67" s="1" t="s">
        <v>209</v>
      </c>
      <c r="EN67" s="1" t="s">
        <v>210</v>
      </c>
      <c r="EO67" s="1" t="s">
        <v>229</v>
      </c>
      <c r="EQ67" s="1" t="s">
        <v>238</v>
      </c>
      <c r="EU67" s="1" t="s">
        <v>238</v>
      </c>
      <c r="EY67" s="1" t="s">
        <v>238</v>
      </c>
      <c r="FC67" s="1" t="s">
        <v>238</v>
      </c>
      <c r="FF67" s="1" t="s">
        <v>239</v>
      </c>
      <c r="FG67" s="1" t="s">
        <v>192</v>
      </c>
      <c r="FH67" s="1" t="s">
        <v>192</v>
      </c>
      <c r="FJ67" s="1" t="s">
        <v>1640</v>
      </c>
      <c r="FK67" s="1" t="s">
        <v>229</v>
      </c>
      <c r="FL67" s="1" t="s">
        <v>1641</v>
      </c>
      <c r="FM67" s="1">
        <v>280.0</v>
      </c>
      <c r="FN67" s="1" t="s">
        <v>1642</v>
      </c>
      <c r="FO67" s="1" t="s">
        <v>1643</v>
      </c>
      <c r="FP67" s="1">
        <v>1127.0</v>
      </c>
      <c r="FQ67" s="1" t="s">
        <v>1644</v>
      </c>
      <c r="FS67" s="1" t="s">
        <v>1645</v>
      </c>
      <c r="FU67" s="1" t="s">
        <v>1646</v>
      </c>
      <c r="FV67" s="1" t="s">
        <v>200</v>
      </c>
      <c r="FW67" s="1" t="s">
        <v>290</v>
      </c>
      <c r="FZ67" s="1" t="s">
        <v>229</v>
      </c>
      <c r="GA67" s="1" t="s">
        <v>291</v>
      </c>
      <c r="GB67" s="2">
        <v>42028.0</v>
      </c>
      <c r="GC67" s="1" t="s">
        <v>1647</v>
      </c>
    </row>
    <row r="68">
      <c r="A68" s="1">
        <v>205000.0</v>
      </c>
      <c r="B68" s="1" t="s">
        <v>185</v>
      </c>
      <c r="C68" s="1" t="str">
        <f>"08485035"</f>
        <v>08485035</v>
      </c>
      <c r="D68" s="1" t="s">
        <v>186</v>
      </c>
      <c r="F68" s="1" t="str">
        <f>"8043"</f>
        <v>8043</v>
      </c>
      <c r="G68" s="2">
        <v>41587.0</v>
      </c>
      <c r="H68" s="1">
        <v>234900.0</v>
      </c>
      <c r="I68" s="1">
        <v>459.0</v>
      </c>
      <c r="J68" s="1">
        <v>209900.0</v>
      </c>
      <c r="K68" s="2">
        <v>42045.0</v>
      </c>
      <c r="L68" s="1">
        <v>459.0</v>
      </c>
      <c r="M68" s="2">
        <v>42045.0</v>
      </c>
      <c r="N68" s="1" t="s">
        <v>187</v>
      </c>
      <c r="O68" s="2">
        <v>42117.0</v>
      </c>
      <c r="P68" s="1">
        <v>507004.0</v>
      </c>
      <c r="Q68" s="1">
        <v>22113.0</v>
      </c>
      <c r="R68" s="1">
        <v>4000.0</v>
      </c>
      <c r="S68" s="1">
        <v>7536.0</v>
      </c>
      <c r="T68" s="1" t="s">
        <v>1648</v>
      </c>
      <c r="U68" s="1" t="s">
        <v>189</v>
      </c>
      <c r="V68" s="1" t="s">
        <v>190</v>
      </c>
      <c r="W68" s="1">
        <v>60649.0</v>
      </c>
      <c r="Y68" s="1" t="s">
        <v>1649</v>
      </c>
      <c r="Z68" s="1" t="s">
        <v>296</v>
      </c>
      <c r="AA68" s="1" t="s">
        <v>192</v>
      </c>
      <c r="AB68" s="1" t="s">
        <v>193</v>
      </c>
      <c r="AD68" s="1" t="s">
        <v>194</v>
      </c>
      <c r="AE68" s="1" t="s">
        <v>195</v>
      </c>
      <c r="AF68" s="1" t="s">
        <v>637</v>
      </c>
      <c r="AH68" s="1" t="s">
        <v>1650</v>
      </c>
      <c r="AI68" s="1">
        <v>0.0751</v>
      </c>
      <c r="AK68" s="1">
        <v>9.0</v>
      </c>
      <c r="AL68" s="1">
        <v>4.0</v>
      </c>
      <c r="AM68" s="1">
        <v>2.0</v>
      </c>
      <c r="AN68" s="1">
        <v>1.0</v>
      </c>
      <c r="AO68" s="1" t="s">
        <v>1261</v>
      </c>
      <c r="AQ68" s="1" t="s">
        <v>327</v>
      </c>
      <c r="AR68" s="1" t="s">
        <v>192</v>
      </c>
      <c r="AS68" s="1" t="s">
        <v>199</v>
      </c>
      <c r="AT68" s="1">
        <v>2.0</v>
      </c>
      <c r="AV68" s="1" t="s">
        <v>200</v>
      </c>
      <c r="AW68" s="1">
        <v>2793.26</v>
      </c>
      <c r="AX68" s="1">
        <v>2013.0</v>
      </c>
      <c r="AZ68" s="1" t="s">
        <v>200</v>
      </c>
      <c r="BA68" s="1" t="str">
        <f>"20253010220000"</f>
        <v>20253010220000</v>
      </c>
      <c r="BC68" s="1">
        <v>2200.0</v>
      </c>
      <c r="BD68" s="1">
        <v>205000.0</v>
      </c>
      <c r="BE68" s="2">
        <v>41587.0</v>
      </c>
      <c r="BF68" s="2" t="s">
        <v>1651</v>
      </c>
      <c r="BH68" s="1">
        <v>0.0</v>
      </c>
      <c r="BK68" s="1" t="s">
        <v>204</v>
      </c>
      <c r="BL68" s="1" t="str">
        <f t="shared" ref="BL68:BL69" si="45">"0"</f>
        <v>0</v>
      </c>
      <c r="BM68" s="1" t="str">
        <f>"1200"</f>
        <v>1200</v>
      </c>
      <c r="BN68" s="1">
        <v>0.0</v>
      </c>
      <c r="BO68" s="1">
        <v>7500.0</v>
      </c>
      <c r="BQ68" s="1">
        <v>299.0</v>
      </c>
      <c r="BR68" s="1">
        <v>299.0</v>
      </c>
      <c r="BS68" s="1">
        <v>299.0</v>
      </c>
      <c r="BU68" s="1" t="s">
        <v>1652</v>
      </c>
      <c r="BV68" s="1" t="s">
        <v>206</v>
      </c>
      <c r="BW68" s="1" t="s">
        <v>207</v>
      </c>
      <c r="BY68" s="1" t="s">
        <v>1653</v>
      </c>
      <c r="BZ68" s="1" t="s">
        <v>209</v>
      </c>
      <c r="CA68" s="1" t="s">
        <v>210</v>
      </c>
      <c r="CC68" s="1" t="s">
        <v>699</v>
      </c>
      <c r="CD68" s="1" t="s">
        <v>206</v>
      </c>
      <c r="CE68" s="1" t="s">
        <v>268</v>
      </c>
      <c r="CG68" s="1" t="s">
        <v>663</v>
      </c>
      <c r="CH68" s="1" t="s">
        <v>206</v>
      </c>
      <c r="CI68" s="1" t="s">
        <v>210</v>
      </c>
      <c r="CK68" s="1" t="s">
        <v>303</v>
      </c>
      <c r="CL68" s="1" t="s">
        <v>209</v>
      </c>
      <c r="CM68" s="1" t="s">
        <v>210</v>
      </c>
      <c r="CO68" s="1" t="s">
        <v>303</v>
      </c>
      <c r="CP68" s="1" t="s">
        <v>209</v>
      </c>
      <c r="CQ68" s="1" t="s">
        <v>210</v>
      </c>
      <c r="CS68" s="1" t="s">
        <v>1654</v>
      </c>
      <c r="CT68" s="1" t="s">
        <v>206</v>
      </c>
      <c r="CU68" s="1" t="s">
        <v>268</v>
      </c>
      <c r="CW68" s="1" t="s">
        <v>1655</v>
      </c>
      <c r="CX68" s="1" t="s">
        <v>42</v>
      </c>
      <c r="CY68" s="1" t="s">
        <v>268</v>
      </c>
      <c r="DA68" s="1" t="s">
        <v>200</v>
      </c>
      <c r="DC68" s="1" t="s">
        <v>545</v>
      </c>
      <c r="DE68" s="1" t="s">
        <v>273</v>
      </c>
      <c r="DF68" s="1" t="s">
        <v>1656</v>
      </c>
      <c r="DG68" s="1" t="s">
        <v>1657</v>
      </c>
      <c r="DH68" s="1" t="s">
        <v>365</v>
      </c>
      <c r="DI68" s="1" t="s">
        <v>366</v>
      </c>
      <c r="DJ68" s="1" t="s">
        <v>222</v>
      </c>
      <c r="DL68" s="1" t="s">
        <v>1161</v>
      </c>
      <c r="DM68" s="1" t="s">
        <v>1658</v>
      </c>
      <c r="DN68" s="1" t="s">
        <v>1659</v>
      </c>
      <c r="DQ68" s="1" t="s">
        <v>228</v>
      </c>
      <c r="DR68" s="1" t="s">
        <v>229</v>
      </c>
      <c r="DS68" s="1" t="s">
        <v>230</v>
      </c>
      <c r="DU68" s="1" t="s">
        <v>681</v>
      </c>
      <c r="DV68" s="1" t="s">
        <v>1660</v>
      </c>
      <c r="DW68" s="1" t="s">
        <v>279</v>
      </c>
      <c r="DX68" s="1" t="s">
        <v>234</v>
      </c>
      <c r="DY68" s="1" t="s">
        <v>553</v>
      </c>
      <c r="DZ68" s="1" t="s">
        <v>1661</v>
      </c>
      <c r="EA68" s="1" t="s">
        <v>644</v>
      </c>
      <c r="EC68" s="1" t="s">
        <v>645</v>
      </c>
      <c r="ED68" s="1" t="s">
        <v>407</v>
      </c>
      <c r="EE68" s="1" t="s">
        <v>493</v>
      </c>
      <c r="EG68" s="1" t="s">
        <v>373</v>
      </c>
      <c r="EH68" s="1" t="s">
        <v>409</v>
      </c>
      <c r="EL68" s="1" t="s">
        <v>646</v>
      </c>
      <c r="EM68" s="1" t="s">
        <v>206</v>
      </c>
      <c r="EN68" s="1" t="s">
        <v>210</v>
      </c>
      <c r="EP68" s="1" t="s">
        <v>1190</v>
      </c>
      <c r="EQ68" s="1" t="s">
        <v>209</v>
      </c>
      <c r="ER68" s="1" t="s">
        <v>210</v>
      </c>
      <c r="EU68" s="1" t="s">
        <v>238</v>
      </c>
      <c r="EY68" s="1" t="s">
        <v>238</v>
      </c>
      <c r="FC68" s="1" t="s">
        <v>238</v>
      </c>
      <c r="FF68" s="1" t="s">
        <v>239</v>
      </c>
      <c r="FG68" s="1" t="s">
        <v>192</v>
      </c>
      <c r="FH68" s="1" t="s">
        <v>192</v>
      </c>
      <c r="FJ68" s="1" t="s">
        <v>1662</v>
      </c>
      <c r="FK68" s="1" t="s">
        <v>229</v>
      </c>
      <c r="FL68" s="1" t="s">
        <v>1663</v>
      </c>
      <c r="FM68" s="1">
        <v>17299.0</v>
      </c>
      <c r="FN68" s="1" t="s">
        <v>1664</v>
      </c>
      <c r="FO68" s="1" t="s">
        <v>1665</v>
      </c>
      <c r="FP68" s="1">
        <v>151104.0</v>
      </c>
      <c r="FQ68" s="1" t="s">
        <v>1666</v>
      </c>
      <c r="FU68" s="1" t="s">
        <v>1667</v>
      </c>
      <c r="FV68" s="1" t="s">
        <v>200</v>
      </c>
      <c r="FW68" s="1" t="s">
        <v>290</v>
      </c>
      <c r="FX68" s="1" t="s">
        <v>655</v>
      </c>
      <c r="FZ68" s="1" t="s">
        <v>229</v>
      </c>
      <c r="GA68" s="1" t="s">
        <v>291</v>
      </c>
      <c r="GB68" s="2">
        <v>42120.0</v>
      </c>
      <c r="GC68" s="1" t="s">
        <v>1668</v>
      </c>
    </row>
    <row r="69">
      <c r="A69" s="1">
        <v>11500.0</v>
      </c>
      <c r="B69" s="1" t="s">
        <v>185</v>
      </c>
      <c r="C69" s="1" t="str">
        <f>"08477455"</f>
        <v>08477455</v>
      </c>
      <c r="D69" s="1" t="s">
        <v>186</v>
      </c>
      <c r="F69" s="1" t="str">
        <f>"8042"</f>
        <v>8042</v>
      </c>
      <c r="G69" s="2">
        <v>41576.0</v>
      </c>
      <c r="H69" s="1">
        <v>65000.0</v>
      </c>
      <c r="I69" s="1">
        <v>483.0</v>
      </c>
      <c r="J69" s="1">
        <v>11219.0</v>
      </c>
      <c r="K69" s="2">
        <v>42058.0</v>
      </c>
      <c r="L69" s="1">
        <v>483.0</v>
      </c>
      <c r="M69" s="2">
        <v>42058.0</v>
      </c>
      <c r="N69" s="1" t="s">
        <v>249</v>
      </c>
      <c r="O69" s="2">
        <v>42104.0</v>
      </c>
      <c r="P69" s="1">
        <v>118439.0</v>
      </c>
      <c r="Q69" s="1">
        <v>12519.0</v>
      </c>
      <c r="S69" s="1">
        <v>6429.0</v>
      </c>
      <c r="T69" s="1" t="s">
        <v>1669</v>
      </c>
      <c r="U69" s="1" t="s">
        <v>189</v>
      </c>
      <c r="V69" s="1" t="s">
        <v>190</v>
      </c>
      <c r="W69" s="1">
        <v>60637.0</v>
      </c>
      <c r="Y69" s="1" t="s">
        <v>1670</v>
      </c>
      <c r="Z69" s="1">
        <v>1892.0</v>
      </c>
      <c r="AA69" s="1" t="s">
        <v>192</v>
      </c>
      <c r="AB69" s="1" t="s">
        <v>193</v>
      </c>
      <c r="AD69" s="1" t="s">
        <v>194</v>
      </c>
      <c r="AE69" s="1" t="s">
        <v>195</v>
      </c>
      <c r="AF69" s="1" t="s">
        <v>637</v>
      </c>
      <c r="AH69" s="1" t="s">
        <v>359</v>
      </c>
      <c r="AI69" s="1">
        <v>0.0</v>
      </c>
      <c r="AK69" s="1">
        <v>7.0</v>
      </c>
      <c r="AL69" s="1">
        <v>4.0</v>
      </c>
      <c r="AM69" s="1">
        <v>1.0</v>
      </c>
      <c r="AN69" s="1">
        <v>0.0</v>
      </c>
      <c r="AO69" s="1" t="s">
        <v>229</v>
      </c>
      <c r="AP69" s="1">
        <v>0.0</v>
      </c>
      <c r="AQ69" s="1" t="s">
        <v>951</v>
      </c>
      <c r="AR69" s="1" t="s">
        <v>192</v>
      </c>
      <c r="AS69" s="1" t="s">
        <v>199</v>
      </c>
      <c r="AT69" s="1">
        <v>2.0</v>
      </c>
      <c r="AV69" s="1" t="s">
        <v>200</v>
      </c>
      <c r="AW69" s="1">
        <v>1794.78</v>
      </c>
      <c r="AX69" s="1">
        <v>2013.0</v>
      </c>
      <c r="AY69" s="1" t="s">
        <v>229</v>
      </c>
      <c r="AZ69" s="1" t="s">
        <v>200</v>
      </c>
      <c r="BA69" s="1" t="str">
        <f>"20222110100000"</f>
        <v>20222110100000</v>
      </c>
      <c r="BC69" s="1">
        <v>1500.0</v>
      </c>
      <c r="BD69" s="1">
        <v>11500.0</v>
      </c>
      <c r="BE69" s="2">
        <v>41576.0</v>
      </c>
      <c r="BF69" s="1" t="s">
        <v>1671</v>
      </c>
      <c r="BH69" s="1">
        <v>0.0</v>
      </c>
      <c r="BK69" s="1" t="s">
        <v>204</v>
      </c>
      <c r="BL69" s="1" t="str">
        <f t="shared" si="45"/>
        <v>0</v>
      </c>
      <c r="BM69" s="1" t="str">
        <f>"700"</f>
        <v>700</v>
      </c>
      <c r="BN69" s="1">
        <v>0.0</v>
      </c>
      <c r="BO69" s="1">
        <v>6400.0</v>
      </c>
      <c r="BQ69" s="1">
        <v>299.0</v>
      </c>
      <c r="BR69" s="1">
        <v>299.0</v>
      </c>
      <c r="BS69" s="1">
        <v>299.0</v>
      </c>
      <c r="BU69" s="1" t="s">
        <v>433</v>
      </c>
      <c r="BV69" s="1" t="s">
        <v>206</v>
      </c>
      <c r="BW69" s="1" t="s">
        <v>210</v>
      </c>
      <c r="BY69" s="1" t="s">
        <v>495</v>
      </c>
      <c r="BZ69" s="1" t="s">
        <v>206</v>
      </c>
      <c r="CA69" s="1" t="s">
        <v>210</v>
      </c>
      <c r="CC69" s="1" t="s">
        <v>433</v>
      </c>
      <c r="CD69" s="1" t="s">
        <v>206</v>
      </c>
      <c r="CE69" s="1" t="s">
        <v>210</v>
      </c>
      <c r="CG69" s="1" t="s">
        <v>269</v>
      </c>
      <c r="CH69" s="1" t="s">
        <v>206</v>
      </c>
      <c r="CI69" s="1" t="s">
        <v>210</v>
      </c>
      <c r="CK69" s="1" t="s">
        <v>1672</v>
      </c>
      <c r="CL69" s="1" t="s">
        <v>209</v>
      </c>
      <c r="CO69" s="1" t="s">
        <v>1672</v>
      </c>
      <c r="CP69" s="1" t="s">
        <v>209</v>
      </c>
      <c r="CS69" s="1" t="s">
        <v>212</v>
      </c>
      <c r="CT69" s="1" t="s">
        <v>206</v>
      </c>
      <c r="CU69" s="1" t="s">
        <v>617</v>
      </c>
      <c r="CX69" s="1" t="s">
        <v>204</v>
      </c>
      <c r="DA69" s="1" t="s">
        <v>200</v>
      </c>
      <c r="DC69" s="1" t="s">
        <v>642</v>
      </c>
      <c r="DE69" s="1" t="s">
        <v>229</v>
      </c>
      <c r="DF69" s="1" t="s">
        <v>219</v>
      </c>
      <c r="DH69" s="1" t="s">
        <v>365</v>
      </c>
      <c r="DJ69" s="1" t="s">
        <v>222</v>
      </c>
      <c r="DL69" s="1" t="s">
        <v>224</v>
      </c>
      <c r="DM69" s="1" t="s">
        <v>229</v>
      </c>
      <c r="DQ69" s="1" t="s">
        <v>718</v>
      </c>
      <c r="DR69" s="1" t="s">
        <v>229</v>
      </c>
      <c r="DV69" s="1" t="s">
        <v>232</v>
      </c>
      <c r="DW69" s="1" t="s">
        <v>667</v>
      </c>
      <c r="DX69" s="1" t="s">
        <v>234</v>
      </c>
      <c r="EC69" s="1" t="s">
        <v>685</v>
      </c>
      <c r="EE69" s="1" t="s">
        <v>1673</v>
      </c>
      <c r="EM69" s="1" t="s">
        <v>238</v>
      </c>
      <c r="EQ69" s="1" t="s">
        <v>238</v>
      </c>
      <c r="EU69" s="1" t="s">
        <v>238</v>
      </c>
      <c r="EY69" s="1" t="s">
        <v>238</v>
      </c>
      <c r="FC69" s="1" t="s">
        <v>238</v>
      </c>
      <c r="FF69" s="1" t="s">
        <v>239</v>
      </c>
      <c r="FG69" s="1" t="s">
        <v>192</v>
      </c>
      <c r="FH69" s="1" t="s">
        <v>192</v>
      </c>
      <c r="FJ69" s="1" t="s">
        <v>1674</v>
      </c>
      <c r="FK69" s="1" t="s">
        <v>229</v>
      </c>
      <c r="FL69" s="1" t="s">
        <v>1675</v>
      </c>
      <c r="FM69" s="1">
        <v>12519.0</v>
      </c>
      <c r="FN69" s="1" t="s">
        <v>1676</v>
      </c>
      <c r="FO69" s="1" t="s">
        <v>1677</v>
      </c>
      <c r="FP69" s="1">
        <v>118439.0</v>
      </c>
      <c r="FQ69" s="1" t="s">
        <v>1678</v>
      </c>
      <c r="FU69" s="1" t="s">
        <v>1679</v>
      </c>
      <c r="FV69" s="1" t="s">
        <v>200</v>
      </c>
      <c r="FW69" s="1" t="s">
        <v>1680</v>
      </c>
      <c r="FX69" s="1" t="s">
        <v>655</v>
      </c>
      <c r="FZ69" s="1" t="s">
        <v>229</v>
      </c>
      <c r="GA69" s="1" t="s">
        <v>291</v>
      </c>
      <c r="GB69" s="2">
        <v>42108.0</v>
      </c>
      <c r="GC69" s="1" t="s">
        <v>1681</v>
      </c>
    </row>
    <row r="70">
      <c r="A70" s="1">
        <v>480000.0</v>
      </c>
      <c r="B70" s="1" t="s">
        <v>185</v>
      </c>
      <c r="C70" s="1" t="str">
        <f>"08480607"</f>
        <v>08480607</v>
      </c>
      <c r="D70" s="1" t="s">
        <v>186</v>
      </c>
      <c r="F70" s="1" t="str">
        <f>"8003"</f>
        <v>8003</v>
      </c>
      <c r="G70" s="2">
        <v>41581.0</v>
      </c>
      <c r="H70" s="1">
        <v>539000.0</v>
      </c>
      <c r="I70" s="1">
        <v>442.0</v>
      </c>
      <c r="J70" s="1">
        <v>511900.0</v>
      </c>
      <c r="K70" s="2">
        <v>42020.0</v>
      </c>
      <c r="L70" s="1">
        <v>442.0</v>
      </c>
      <c r="M70" s="2">
        <v>42020.0</v>
      </c>
      <c r="N70" s="1" t="s">
        <v>187</v>
      </c>
      <c r="O70" s="2">
        <v>42094.0</v>
      </c>
      <c r="P70" s="1">
        <v>147346.0</v>
      </c>
      <c r="Q70" s="1">
        <v>16435.0</v>
      </c>
      <c r="R70" s="1">
        <v>0.833</v>
      </c>
      <c r="S70" s="1">
        <v>1769.0</v>
      </c>
      <c r="T70" s="1" t="s">
        <v>1682</v>
      </c>
      <c r="U70" s="1" t="s">
        <v>320</v>
      </c>
      <c r="V70" s="1" t="s">
        <v>190</v>
      </c>
      <c r="W70" s="1">
        <v>60640.0</v>
      </c>
      <c r="Y70" s="1" t="s">
        <v>1683</v>
      </c>
      <c r="Z70" s="1">
        <v>1872.0</v>
      </c>
      <c r="AA70" s="1" t="s">
        <v>192</v>
      </c>
      <c r="AB70" s="1" t="s">
        <v>193</v>
      </c>
      <c r="AC70" s="1" t="s">
        <v>1684</v>
      </c>
      <c r="AD70" s="1" t="s">
        <v>194</v>
      </c>
      <c r="AE70" s="1" t="s">
        <v>195</v>
      </c>
      <c r="AF70" s="1" t="s">
        <v>534</v>
      </c>
      <c r="AH70" s="1" t="s">
        <v>1685</v>
      </c>
      <c r="AI70" s="1">
        <v>0.25</v>
      </c>
      <c r="AK70" s="1">
        <v>11.0</v>
      </c>
      <c r="AL70" s="1">
        <v>4.0</v>
      </c>
      <c r="AM70" s="1">
        <v>1.0</v>
      </c>
      <c r="AN70" s="1">
        <v>1.0</v>
      </c>
      <c r="AO70" s="1" t="s">
        <v>229</v>
      </c>
      <c r="AP70" s="1">
        <v>0.0</v>
      </c>
      <c r="AQ70" s="1" t="s">
        <v>1314</v>
      </c>
      <c r="AR70" s="1" t="s">
        <v>200</v>
      </c>
      <c r="AS70" s="1" t="s">
        <v>199</v>
      </c>
      <c r="AT70" s="1">
        <v>2.0</v>
      </c>
      <c r="AV70" s="1" t="s">
        <v>200</v>
      </c>
      <c r="AW70" s="1">
        <v>7047.38</v>
      </c>
      <c r="AX70" s="1">
        <v>2012.0</v>
      </c>
      <c r="AY70" s="1" t="s">
        <v>1179</v>
      </c>
      <c r="AZ70" s="1" t="s">
        <v>200</v>
      </c>
      <c r="BA70" s="1" t="str">
        <f>"14074210030000"</f>
        <v>14074210030000</v>
      </c>
      <c r="BC70" s="1">
        <v>1754.0</v>
      </c>
      <c r="BD70" s="1">
        <v>480000.0</v>
      </c>
      <c r="BE70" s="2">
        <v>41579.0</v>
      </c>
      <c r="BF70" s="2" t="s">
        <v>1686</v>
      </c>
      <c r="BG70" s="1" t="s">
        <v>1687</v>
      </c>
      <c r="BH70" s="1">
        <v>0.0</v>
      </c>
      <c r="BI70" s="1" t="s">
        <v>1687</v>
      </c>
      <c r="BJ70" s="1" t="s">
        <v>954</v>
      </c>
      <c r="BK70" s="1" t="s">
        <v>204</v>
      </c>
      <c r="BL70" s="1" t="str">
        <f>"4900"</f>
        <v>4900</v>
      </c>
      <c r="BM70" s="1" t="str">
        <f>"0"</f>
        <v>0</v>
      </c>
      <c r="BN70" s="1">
        <v>1769.0</v>
      </c>
      <c r="BO70" s="1">
        <v>0.0</v>
      </c>
      <c r="BQ70" s="1">
        <v>299.0</v>
      </c>
      <c r="BR70" s="1">
        <v>299.0</v>
      </c>
      <c r="BS70" s="1">
        <v>299.0</v>
      </c>
      <c r="BU70" s="1" t="s">
        <v>1427</v>
      </c>
      <c r="BV70" s="1" t="s">
        <v>206</v>
      </c>
      <c r="BW70" s="1" t="s">
        <v>210</v>
      </c>
      <c r="BX70" s="1" t="s">
        <v>431</v>
      </c>
      <c r="BY70" s="1" t="s">
        <v>639</v>
      </c>
      <c r="BZ70" s="1" t="s">
        <v>209</v>
      </c>
      <c r="CA70" s="1" t="s">
        <v>207</v>
      </c>
      <c r="CB70" s="1" t="s">
        <v>431</v>
      </c>
      <c r="CC70" s="1" t="s">
        <v>497</v>
      </c>
      <c r="CD70" s="1" t="s">
        <v>206</v>
      </c>
      <c r="CE70" s="1" t="s">
        <v>207</v>
      </c>
      <c r="CF70" s="1" t="s">
        <v>431</v>
      </c>
      <c r="CG70" s="1" t="s">
        <v>543</v>
      </c>
      <c r="CH70" s="1" t="s">
        <v>209</v>
      </c>
      <c r="CI70" s="1" t="s">
        <v>207</v>
      </c>
      <c r="CJ70" s="1" t="s">
        <v>431</v>
      </c>
      <c r="CK70" s="1" t="s">
        <v>798</v>
      </c>
      <c r="CL70" s="1" t="s">
        <v>209</v>
      </c>
      <c r="CM70" s="1" t="s">
        <v>207</v>
      </c>
      <c r="CN70" s="1" t="s">
        <v>431</v>
      </c>
      <c r="CO70" s="1" t="s">
        <v>1688</v>
      </c>
      <c r="CP70" s="1" t="s">
        <v>209</v>
      </c>
      <c r="CQ70" s="1" t="s">
        <v>207</v>
      </c>
      <c r="CR70" s="1" t="s">
        <v>431</v>
      </c>
      <c r="CS70" s="1" t="s">
        <v>1689</v>
      </c>
      <c r="CT70" s="1" t="s">
        <v>206</v>
      </c>
      <c r="CU70" s="1" t="s">
        <v>207</v>
      </c>
      <c r="CV70" s="1" t="s">
        <v>431</v>
      </c>
      <c r="CX70" s="1" t="s">
        <v>204</v>
      </c>
      <c r="DA70" s="1" t="s">
        <v>200</v>
      </c>
      <c r="DC70" s="1" t="s">
        <v>642</v>
      </c>
      <c r="DD70" s="1" t="s">
        <v>1690</v>
      </c>
      <c r="DE70" s="1" t="s">
        <v>273</v>
      </c>
      <c r="DF70" s="1" t="s">
        <v>219</v>
      </c>
      <c r="DG70" s="1" t="s">
        <v>1691</v>
      </c>
      <c r="DH70" s="1" t="s">
        <v>365</v>
      </c>
      <c r="DI70" s="1" t="s">
        <v>1692</v>
      </c>
      <c r="DJ70" s="1" t="s">
        <v>222</v>
      </c>
      <c r="DL70" s="1" t="s">
        <v>986</v>
      </c>
      <c r="DM70" s="1" t="s">
        <v>1464</v>
      </c>
      <c r="DN70" s="1" t="s">
        <v>367</v>
      </c>
      <c r="DO70" s="1" t="s">
        <v>717</v>
      </c>
      <c r="DP70" s="1" t="s">
        <v>340</v>
      </c>
      <c r="DQ70" s="1" t="s">
        <v>228</v>
      </c>
      <c r="DR70" s="1" t="s">
        <v>229</v>
      </c>
      <c r="DS70" s="1" t="s">
        <v>368</v>
      </c>
      <c r="DU70" s="1" t="s">
        <v>1693</v>
      </c>
      <c r="DV70" s="1" t="s">
        <v>1694</v>
      </c>
      <c r="DW70" s="1" t="s">
        <v>489</v>
      </c>
      <c r="DX70" s="1" t="s">
        <v>234</v>
      </c>
      <c r="DY70" s="1" t="s">
        <v>704</v>
      </c>
      <c r="DZ70" s="1" t="s">
        <v>310</v>
      </c>
      <c r="EA70" s="1" t="s">
        <v>1695</v>
      </c>
      <c r="EC70" s="1" t="s">
        <v>237</v>
      </c>
      <c r="ED70" s="1" t="s">
        <v>555</v>
      </c>
      <c r="EE70" s="1" t="s">
        <v>493</v>
      </c>
      <c r="EG70" s="1" t="s">
        <v>1121</v>
      </c>
      <c r="EH70" s="1" t="s">
        <v>450</v>
      </c>
      <c r="EI70" s="1" t="s">
        <v>1491</v>
      </c>
      <c r="EK70" s="1" t="s">
        <v>114</v>
      </c>
      <c r="EL70" s="1" t="s">
        <v>1696</v>
      </c>
      <c r="EM70" s="1" t="s">
        <v>206</v>
      </c>
      <c r="EN70" s="1" t="s">
        <v>210</v>
      </c>
      <c r="EO70" s="1" t="s">
        <v>431</v>
      </c>
      <c r="EP70" s="1" t="s">
        <v>433</v>
      </c>
      <c r="EQ70" s="1" t="s">
        <v>1697</v>
      </c>
      <c r="ER70" s="1" t="s">
        <v>588</v>
      </c>
      <c r="ES70" s="1" t="s">
        <v>229</v>
      </c>
      <c r="ET70" s="1" t="s">
        <v>212</v>
      </c>
      <c r="EU70" s="1" t="s">
        <v>42</v>
      </c>
      <c r="EV70" s="1" t="s">
        <v>588</v>
      </c>
      <c r="EW70" s="1" t="s">
        <v>229</v>
      </c>
      <c r="EY70" s="1" t="s">
        <v>238</v>
      </c>
      <c r="FB70" s="1" t="s">
        <v>1368</v>
      </c>
      <c r="FC70" s="1" t="s">
        <v>114</v>
      </c>
      <c r="FD70" s="1" t="s">
        <v>588</v>
      </c>
      <c r="FE70" s="1" t="s">
        <v>229</v>
      </c>
      <c r="FF70" s="1" t="s">
        <v>239</v>
      </c>
      <c r="FG70" s="1" t="s">
        <v>192</v>
      </c>
      <c r="FH70" s="1" t="s">
        <v>192</v>
      </c>
      <c r="FJ70" s="1" t="s">
        <v>1698</v>
      </c>
      <c r="FK70" s="1" t="s">
        <v>229</v>
      </c>
      <c r="FL70" s="1" t="s">
        <v>1699</v>
      </c>
      <c r="FM70" s="1">
        <v>14767.0</v>
      </c>
      <c r="FN70" s="1" t="s">
        <v>1700</v>
      </c>
      <c r="FO70" s="1" t="s">
        <v>1701</v>
      </c>
      <c r="FP70" s="1">
        <v>113428.0</v>
      </c>
      <c r="FQ70" s="1" t="s">
        <v>1700</v>
      </c>
      <c r="FT70" s="1">
        <v>7.73818455E9</v>
      </c>
      <c r="FU70" s="1" t="s">
        <v>1702</v>
      </c>
      <c r="FV70" s="1" t="s">
        <v>200</v>
      </c>
      <c r="FW70" s="1" t="s">
        <v>1703</v>
      </c>
      <c r="FX70" s="1" t="s">
        <v>246</v>
      </c>
      <c r="FZ70" s="1" t="s">
        <v>229</v>
      </c>
      <c r="GA70" s="1" t="s">
        <v>291</v>
      </c>
      <c r="GB70" s="2">
        <v>42094.0</v>
      </c>
      <c r="GC70" s="1" t="s">
        <v>1704</v>
      </c>
    </row>
    <row r="71">
      <c r="A71" s="1">
        <v>893000.0</v>
      </c>
      <c r="B71" s="1" t="s">
        <v>185</v>
      </c>
      <c r="C71" s="1" t="str">
        <f>"08649394"</f>
        <v>08649394</v>
      </c>
      <c r="D71" s="1" t="s">
        <v>186</v>
      </c>
      <c r="F71" s="1" t="str">
        <f>"10"</f>
        <v>10</v>
      </c>
      <c r="G71" s="2">
        <v>41809.0</v>
      </c>
      <c r="H71" s="1">
        <v>935000.0</v>
      </c>
      <c r="I71" s="1">
        <v>743.0</v>
      </c>
      <c r="J71" s="1">
        <v>935000.0</v>
      </c>
      <c r="K71" s="2">
        <v>41960.0</v>
      </c>
      <c r="L71" s="1">
        <v>155.0</v>
      </c>
      <c r="M71" s="2">
        <v>41960.0</v>
      </c>
      <c r="N71" s="1" t="s">
        <v>187</v>
      </c>
      <c r="O71" s="2">
        <v>42010.0</v>
      </c>
      <c r="P71" s="1">
        <v>38243.0</v>
      </c>
      <c r="Q71" s="1">
        <v>3150.0</v>
      </c>
      <c r="R71" s="1">
        <v>12000.0</v>
      </c>
      <c r="S71" s="1">
        <v>139.0</v>
      </c>
      <c r="T71" s="1" t="s">
        <v>1705</v>
      </c>
      <c r="U71" s="1" t="s">
        <v>464</v>
      </c>
      <c r="V71" s="1" t="s">
        <v>1706</v>
      </c>
      <c r="W71" s="1">
        <v>60010.0</v>
      </c>
      <c r="Y71" s="1" t="s">
        <v>1707</v>
      </c>
      <c r="Z71" s="1">
        <v>1978.0</v>
      </c>
      <c r="AA71" s="1" t="s">
        <v>200</v>
      </c>
      <c r="AB71" s="1" t="s">
        <v>193</v>
      </c>
      <c r="AD71" s="1" t="s">
        <v>1089</v>
      </c>
      <c r="AE71" s="1" t="s">
        <v>195</v>
      </c>
      <c r="AF71" s="1" t="s">
        <v>1708</v>
      </c>
      <c r="AG71" s="1" t="s">
        <v>1709</v>
      </c>
      <c r="AH71" s="1" t="s">
        <v>1710</v>
      </c>
      <c r="AI71" s="1">
        <v>7.2</v>
      </c>
      <c r="AK71" s="1">
        <v>13.0</v>
      </c>
      <c r="AL71" s="1">
        <v>4.0</v>
      </c>
      <c r="AM71" s="1">
        <v>4.0</v>
      </c>
      <c r="AN71" s="1">
        <v>1.0</v>
      </c>
      <c r="AO71" s="1" t="s">
        <v>198</v>
      </c>
      <c r="AP71" s="1">
        <v>7.0</v>
      </c>
      <c r="AQ71" s="1" t="s">
        <v>327</v>
      </c>
      <c r="AR71" s="1" t="s">
        <v>200</v>
      </c>
      <c r="AS71" s="1" t="s">
        <v>199</v>
      </c>
      <c r="AT71" s="1">
        <v>4.0</v>
      </c>
      <c r="AV71" s="1" t="s">
        <v>192</v>
      </c>
      <c r="AW71" s="1">
        <v>23281.0</v>
      </c>
      <c r="AX71" s="1">
        <v>2013.0</v>
      </c>
      <c r="AY71" s="1" t="s">
        <v>387</v>
      </c>
      <c r="AZ71" s="1" t="s">
        <v>200</v>
      </c>
      <c r="BA71" s="1" t="str">
        <f>"02052000130000"</f>
        <v>02052000130000</v>
      </c>
      <c r="BC71" s="1">
        <v>7400.0</v>
      </c>
      <c r="BD71" s="1">
        <v>893000.0</v>
      </c>
      <c r="BE71" s="2">
        <v>41806.0</v>
      </c>
      <c r="BF71" s="2" t="s">
        <v>1711</v>
      </c>
      <c r="BG71" s="1" t="s">
        <v>1712</v>
      </c>
      <c r="BH71" s="1">
        <v>1700.0</v>
      </c>
      <c r="BI71" s="1" t="s">
        <v>1713</v>
      </c>
      <c r="BJ71" s="1" t="s">
        <v>1714</v>
      </c>
      <c r="BK71" s="1" t="s">
        <v>580</v>
      </c>
      <c r="BL71" s="1" t="str">
        <f t="shared" ref="BL71:BM71" si="46">""</f>
        <v/>
      </c>
      <c r="BM71" s="1" t="str">
        <f t="shared" si="46"/>
        <v/>
      </c>
      <c r="BQ71" s="1">
        <v>220.0</v>
      </c>
      <c r="BR71" s="1">
        <v>220.0</v>
      </c>
      <c r="BS71" s="1">
        <v>220.0</v>
      </c>
      <c r="BV71" s="1" t="s">
        <v>204</v>
      </c>
      <c r="BY71" s="1" t="s">
        <v>330</v>
      </c>
      <c r="BZ71" s="1" t="s">
        <v>209</v>
      </c>
      <c r="CA71" s="1" t="s">
        <v>210</v>
      </c>
      <c r="CC71" s="1" t="s">
        <v>1535</v>
      </c>
      <c r="CD71" s="1" t="s">
        <v>206</v>
      </c>
      <c r="CE71" s="1" t="s">
        <v>1715</v>
      </c>
      <c r="CG71" s="1" t="s">
        <v>363</v>
      </c>
      <c r="CH71" s="1" t="s">
        <v>206</v>
      </c>
      <c r="CI71" s="1" t="s">
        <v>210</v>
      </c>
      <c r="CK71" s="1" t="s">
        <v>363</v>
      </c>
      <c r="CL71" s="1" t="s">
        <v>206</v>
      </c>
      <c r="CM71" s="1" t="s">
        <v>210</v>
      </c>
      <c r="CO71" s="1" t="s">
        <v>363</v>
      </c>
      <c r="CP71" s="1" t="s">
        <v>206</v>
      </c>
      <c r="CQ71" s="1" t="s">
        <v>210</v>
      </c>
      <c r="CS71" s="1" t="s">
        <v>1716</v>
      </c>
      <c r="CT71" s="1" t="s">
        <v>206</v>
      </c>
      <c r="CU71" s="1" t="s">
        <v>1715</v>
      </c>
      <c r="CW71" s="1" t="s">
        <v>1717</v>
      </c>
      <c r="CX71" s="1" t="s">
        <v>206</v>
      </c>
      <c r="CY71" s="1" t="s">
        <v>210</v>
      </c>
      <c r="DA71" s="1" t="s">
        <v>200</v>
      </c>
      <c r="DC71" s="1" t="s">
        <v>395</v>
      </c>
      <c r="DD71" s="1" t="s">
        <v>336</v>
      </c>
      <c r="DE71" s="1" t="s">
        <v>218</v>
      </c>
      <c r="DF71" s="1" t="s">
        <v>1718</v>
      </c>
      <c r="DG71" s="1" t="s">
        <v>1719</v>
      </c>
      <c r="DH71" s="1" t="s">
        <v>856</v>
      </c>
      <c r="DI71" s="1" t="s">
        <v>1720</v>
      </c>
      <c r="DJ71" s="1" t="s">
        <v>857</v>
      </c>
      <c r="DL71" s="1" t="s">
        <v>1161</v>
      </c>
      <c r="DM71" s="1" t="s">
        <v>792</v>
      </c>
      <c r="DN71" s="1" t="s">
        <v>1721</v>
      </c>
      <c r="DO71" s="1" t="s">
        <v>1722</v>
      </c>
      <c r="DP71" s="1" t="s">
        <v>276</v>
      </c>
      <c r="DQ71" s="1" t="s">
        <v>1723</v>
      </c>
      <c r="DR71" s="1" t="s">
        <v>1724</v>
      </c>
      <c r="DU71" s="1" t="s">
        <v>487</v>
      </c>
      <c r="DV71" s="1" t="s">
        <v>1725</v>
      </c>
      <c r="DW71" s="1" t="s">
        <v>964</v>
      </c>
      <c r="DX71" s="1" t="s">
        <v>234</v>
      </c>
      <c r="DY71" s="1" t="s">
        <v>1726</v>
      </c>
      <c r="DZ71" s="1" t="s">
        <v>1727</v>
      </c>
      <c r="EA71" s="1" t="s">
        <v>1027</v>
      </c>
      <c r="EB71" s="1" t="s">
        <v>1728</v>
      </c>
      <c r="EC71" s="1" t="s">
        <v>685</v>
      </c>
      <c r="ED71" s="1" t="s">
        <v>555</v>
      </c>
      <c r="EG71" s="1" t="s">
        <v>1164</v>
      </c>
      <c r="EH71" s="1" t="s">
        <v>450</v>
      </c>
      <c r="EI71" s="1" t="s">
        <v>451</v>
      </c>
      <c r="EJ71" s="1" t="s">
        <v>1121</v>
      </c>
      <c r="EK71" s="1" t="s">
        <v>1729</v>
      </c>
      <c r="EL71" s="1" t="s">
        <v>1730</v>
      </c>
      <c r="EM71" s="1" t="s">
        <v>206</v>
      </c>
      <c r="EN71" s="1" t="s">
        <v>1715</v>
      </c>
      <c r="EP71" s="1" t="s">
        <v>1286</v>
      </c>
      <c r="EQ71" s="1" t="s">
        <v>267</v>
      </c>
      <c r="ER71" s="1" t="s">
        <v>268</v>
      </c>
      <c r="ET71" s="1" t="s">
        <v>1286</v>
      </c>
      <c r="EU71" s="1" t="s">
        <v>267</v>
      </c>
      <c r="EV71" s="1" t="s">
        <v>268</v>
      </c>
      <c r="EX71" s="1" t="s">
        <v>330</v>
      </c>
      <c r="EY71" s="1" t="s">
        <v>206</v>
      </c>
      <c r="EZ71" s="1" t="s">
        <v>210</v>
      </c>
      <c r="FB71" s="1" t="s">
        <v>1279</v>
      </c>
      <c r="FC71" s="1" t="s">
        <v>206</v>
      </c>
      <c r="FD71" s="1" t="s">
        <v>1715</v>
      </c>
      <c r="FF71" s="1" t="s">
        <v>239</v>
      </c>
      <c r="FG71" s="1" t="s">
        <v>192</v>
      </c>
      <c r="FH71" s="1" t="s">
        <v>192</v>
      </c>
      <c r="FJ71" s="1" t="s">
        <v>1731</v>
      </c>
      <c r="FK71" s="1" t="s">
        <v>348</v>
      </c>
      <c r="FL71" s="1" t="s">
        <v>1732</v>
      </c>
      <c r="FM71" s="1">
        <v>8390.0</v>
      </c>
      <c r="FN71" s="1" t="s">
        <v>1733</v>
      </c>
      <c r="FO71" s="1" t="s">
        <v>1734</v>
      </c>
      <c r="FP71" s="1">
        <v>80503.0</v>
      </c>
      <c r="FQ71" s="1" t="s">
        <v>1735</v>
      </c>
      <c r="FS71" s="1" t="s">
        <v>1736</v>
      </c>
      <c r="FU71" s="1" t="s">
        <v>1737</v>
      </c>
      <c r="FV71" s="1" t="s">
        <v>200</v>
      </c>
      <c r="FW71" s="1" t="s">
        <v>1738</v>
      </c>
      <c r="FX71" s="1" t="s">
        <v>1739</v>
      </c>
      <c r="FZ71" s="1" t="s">
        <v>229</v>
      </c>
      <c r="GA71" s="1" t="s">
        <v>291</v>
      </c>
      <c r="GB71" s="2">
        <v>42011.0</v>
      </c>
      <c r="GC71" s="1" t="s">
        <v>1740</v>
      </c>
    </row>
    <row r="72">
      <c r="A72" s="1">
        <v>30000.0</v>
      </c>
      <c r="B72" s="1" t="s">
        <v>185</v>
      </c>
      <c r="C72" s="1" t="str">
        <f>"08485800"</f>
        <v>08485800</v>
      </c>
      <c r="D72" s="1" t="s">
        <v>186</v>
      </c>
      <c r="F72" s="1" t="str">
        <f>"8075"</f>
        <v>8075</v>
      </c>
      <c r="G72" s="2">
        <v>41589.0</v>
      </c>
      <c r="H72" s="1">
        <v>30000.0</v>
      </c>
      <c r="I72" s="1">
        <v>14.0</v>
      </c>
      <c r="J72" s="1">
        <v>30000.0</v>
      </c>
      <c r="K72" s="2">
        <v>41602.0</v>
      </c>
      <c r="L72" s="1">
        <v>14.0</v>
      </c>
      <c r="M72" s="2">
        <v>41602.0</v>
      </c>
      <c r="N72" s="1" t="s">
        <v>249</v>
      </c>
      <c r="O72" s="2">
        <v>41978.0</v>
      </c>
      <c r="P72" s="1">
        <v>874024.0</v>
      </c>
      <c r="Q72" s="1">
        <v>17665.0</v>
      </c>
      <c r="S72" s="1">
        <v>11434.0</v>
      </c>
      <c r="T72" s="1" t="s">
        <v>1741</v>
      </c>
      <c r="U72" s="1" t="s">
        <v>320</v>
      </c>
      <c r="V72" s="1" t="s">
        <v>190</v>
      </c>
      <c r="W72" s="1">
        <v>60643.0</v>
      </c>
      <c r="Y72" s="1" t="s">
        <v>1742</v>
      </c>
      <c r="Z72" s="1">
        <v>1963.0</v>
      </c>
      <c r="AA72" s="1" t="s">
        <v>192</v>
      </c>
      <c r="AB72" s="1" t="s">
        <v>193</v>
      </c>
      <c r="AD72" s="1" t="s">
        <v>194</v>
      </c>
      <c r="AE72" s="1" t="s">
        <v>195</v>
      </c>
      <c r="AF72" s="1" t="s">
        <v>659</v>
      </c>
      <c r="AH72" s="1" t="s">
        <v>1743</v>
      </c>
      <c r="AK72" s="1">
        <v>7.0</v>
      </c>
      <c r="AL72" s="1">
        <v>4.0</v>
      </c>
      <c r="AM72" s="1">
        <v>1.0</v>
      </c>
      <c r="AN72" s="1">
        <v>0.0</v>
      </c>
      <c r="AO72" s="1" t="s">
        <v>229</v>
      </c>
      <c r="AQ72" s="1" t="s">
        <v>198</v>
      </c>
      <c r="AR72" s="1" t="s">
        <v>200</v>
      </c>
      <c r="AS72" s="1" t="s">
        <v>828</v>
      </c>
      <c r="AU72" s="1">
        <v>2.0</v>
      </c>
      <c r="AV72" s="1" t="s">
        <v>200</v>
      </c>
      <c r="AW72" s="1">
        <v>1561.0</v>
      </c>
      <c r="AX72" s="1">
        <v>2012.0</v>
      </c>
      <c r="AY72" s="1" t="s">
        <v>387</v>
      </c>
      <c r="AZ72" s="1" t="s">
        <v>200</v>
      </c>
      <c r="BA72" s="1" t="str">
        <f>"25201290050000"</f>
        <v>25201290050000</v>
      </c>
      <c r="BC72" s="1">
        <v>1100.0</v>
      </c>
      <c r="BD72" s="1">
        <v>30000.0</v>
      </c>
      <c r="BE72" s="2">
        <v>41589.0</v>
      </c>
      <c r="BF72" s="1" t="s">
        <v>1744</v>
      </c>
      <c r="BH72" s="1">
        <v>0.0</v>
      </c>
      <c r="BK72" s="1" t="s">
        <v>204</v>
      </c>
      <c r="BL72" s="1" t="str">
        <f t="shared" ref="BL72:BM72" si="47">"0"</f>
        <v>0</v>
      </c>
      <c r="BM72" s="1" t="str">
        <f t="shared" si="47"/>
        <v>0</v>
      </c>
      <c r="BN72" s="1">
        <v>1.0</v>
      </c>
      <c r="BO72" s="1">
        <v>13.0</v>
      </c>
      <c r="BQ72" s="1">
        <v>299.0</v>
      </c>
      <c r="BR72" s="1">
        <v>299.0</v>
      </c>
      <c r="BS72" s="1">
        <v>299.0</v>
      </c>
      <c r="BU72" s="1" t="s">
        <v>924</v>
      </c>
      <c r="BV72" s="1" t="s">
        <v>206</v>
      </c>
      <c r="BY72" s="1" t="s">
        <v>392</v>
      </c>
      <c r="BZ72" s="1" t="s">
        <v>206</v>
      </c>
      <c r="CC72" s="1" t="s">
        <v>542</v>
      </c>
      <c r="CD72" s="1" t="s">
        <v>206</v>
      </c>
      <c r="CG72" s="1" t="s">
        <v>265</v>
      </c>
      <c r="CH72" s="1" t="s">
        <v>206</v>
      </c>
      <c r="CK72" s="1" t="s">
        <v>263</v>
      </c>
      <c r="CL72" s="1" t="s">
        <v>206</v>
      </c>
      <c r="CO72" s="1" t="s">
        <v>516</v>
      </c>
      <c r="CP72" s="1" t="s">
        <v>206</v>
      </c>
      <c r="CS72" s="1" t="s">
        <v>1745</v>
      </c>
      <c r="CT72" s="1" t="s">
        <v>206</v>
      </c>
      <c r="CX72" s="1" t="s">
        <v>204</v>
      </c>
      <c r="DA72" s="1" t="s">
        <v>200</v>
      </c>
      <c r="DC72" s="1" t="s">
        <v>271</v>
      </c>
      <c r="DE72" s="1" t="s">
        <v>273</v>
      </c>
      <c r="DF72" s="1" t="s">
        <v>219</v>
      </c>
      <c r="DH72" s="1" t="s">
        <v>365</v>
      </c>
      <c r="DJ72" s="1" t="s">
        <v>222</v>
      </c>
      <c r="DL72" s="1" t="s">
        <v>858</v>
      </c>
      <c r="DM72" s="1" t="s">
        <v>1464</v>
      </c>
      <c r="DP72" s="1" t="s">
        <v>276</v>
      </c>
      <c r="DQ72" s="1" t="s">
        <v>228</v>
      </c>
      <c r="DR72" s="1" t="s">
        <v>229</v>
      </c>
      <c r="DV72" s="1" t="s">
        <v>1270</v>
      </c>
      <c r="DW72" s="1" t="s">
        <v>279</v>
      </c>
      <c r="DX72" s="1" t="s">
        <v>234</v>
      </c>
      <c r="EA72" s="1" t="s">
        <v>683</v>
      </c>
      <c r="EC72" s="1" t="s">
        <v>685</v>
      </c>
      <c r="EG72" s="1" t="s">
        <v>1270</v>
      </c>
      <c r="EL72" s="1" t="s">
        <v>1746</v>
      </c>
      <c r="EM72" s="1" t="s">
        <v>42</v>
      </c>
      <c r="EQ72" s="1" t="s">
        <v>238</v>
      </c>
      <c r="EU72" s="1" t="s">
        <v>238</v>
      </c>
      <c r="EY72" s="1" t="s">
        <v>238</v>
      </c>
      <c r="FC72" s="1" t="s">
        <v>238</v>
      </c>
      <c r="FF72" s="1" t="s">
        <v>239</v>
      </c>
      <c r="FG72" s="1" t="s">
        <v>192</v>
      </c>
      <c r="FH72" s="1" t="s">
        <v>192</v>
      </c>
      <c r="FJ72" s="1" t="s">
        <v>1747</v>
      </c>
      <c r="FK72" s="1" t="s">
        <v>1586</v>
      </c>
      <c r="FL72" s="1" t="s">
        <v>1748</v>
      </c>
      <c r="FM72" s="1">
        <v>4997.0</v>
      </c>
      <c r="FN72" s="1" t="s">
        <v>1749</v>
      </c>
      <c r="FO72" s="1" t="s">
        <v>1750</v>
      </c>
      <c r="FP72" s="1">
        <v>36555.0</v>
      </c>
      <c r="FU72" s="1" t="s">
        <v>1751</v>
      </c>
      <c r="FV72" s="1" t="s">
        <v>200</v>
      </c>
      <c r="FW72" s="1" t="s">
        <v>567</v>
      </c>
      <c r="FX72" s="1" t="s">
        <v>655</v>
      </c>
      <c r="FZ72" s="1" t="s">
        <v>229</v>
      </c>
      <c r="GA72" s="1" t="s">
        <v>291</v>
      </c>
      <c r="GB72" s="2">
        <v>41978.0</v>
      </c>
      <c r="GC72" s="1" t="s">
        <v>1752</v>
      </c>
    </row>
    <row r="73">
      <c r="A73" s="1">
        <v>65000.0</v>
      </c>
      <c r="B73" s="1" t="s">
        <v>185</v>
      </c>
      <c r="C73" s="1" t="str">
        <f>"08487074"</f>
        <v>08487074</v>
      </c>
      <c r="D73" s="1" t="s">
        <v>186</v>
      </c>
      <c r="F73" s="1" t="str">
        <f>"110"</f>
        <v>110</v>
      </c>
      <c r="G73" s="2">
        <v>41591.0</v>
      </c>
      <c r="H73" s="1">
        <v>79900.0</v>
      </c>
      <c r="I73" s="1">
        <v>354.0</v>
      </c>
      <c r="J73" s="1">
        <v>69900.0</v>
      </c>
      <c r="K73" s="2">
        <v>41944.0</v>
      </c>
      <c r="L73" s="1">
        <v>354.0</v>
      </c>
      <c r="M73" s="2">
        <v>41944.0</v>
      </c>
      <c r="N73" s="1" t="s">
        <v>249</v>
      </c>
      <c r="O73" s="2">
        <v>42009.0</v>
      </c>
      <c r="P73" s="1">
        <v>29914.0</v>
      </c>
      <c r="Q73" s="1">
        <v>8889.0</v>
      </c>
      <c r="S73" s="1">
        <v>504.0</v>
      </c>
      <c r="T73" s="1" t="s">
        <v>1753</v>
      </c>
      <c r="U73" s="1" t="s">
        <v>1754</v>
      </c>
      <c r="V73" s="1" t="s">
        <v>807</v>
      </c>
      <c r="W73" s="1">
        <v>60110.0</v>
      </c>
      <c r="Y73" s="1" t="s">
        <v>1755</v>
      </c>
      <c r="Z73" s="1" t="s">
        <v>296</v>
      </c>
      <c r="AA73" s="1" t="s">
        <v>192</v>
      </c>
      <c r="AB73" s="1" t="s">
        <v>193</v>
      </c>
      <c r="AC73" s="1" t="s">
        <v>1756</v>
      </c>
      <c r="AD73" s="1" t="s">
        <v>809</v>
      </c>
      <c r="AE73" s="1" t="s">
        <v>325</v>
      </c>
      <c r="AF73" s="1" t="s">
        <v>810</v>
      </c>
      <c r="AH73" s="1" t="s">
        <v>1757</v>
      </c>
      <c r="AK73" s="1">
        <v>7.0</v>
      </c>
      <c r="AL73" s="1">
        <v>4.0</v>
      </c>
      <c r="AM73" s="1">
        <v>1.0</v>
      </c>
      <c r="AN73" s="1">
        <v>1.0</v>
      </c>
      <c r="AO73" s="1" t="s">
        <v>229</v>
      </c>
      <c r="AQ73" s="1" t="s">
        <v>198</v>
      </c>
      <c r="AR73" s="1" t="s">
        <v>192</v>
      </c>
      <c r="AS73" s="1" t="s">
        <v>828</v>
      </c>
      <c r="AU73" s="1">
        <v>6.0</v>
      </c>
      <c r="AV73" s="1" t="s">
        <v>200</v>
      </c>
      <c r="AW73" s="1">
        <v>3805.44</v>
      </c>
      <c r="AX73" s="1">
        <v>2012.0</v>
      </c>
      <c r="AY73" s="1" t="s">
        <v>387</v>
      </c>
      <c r="AZ73" s="1" t="s">
        <v>200</v>
      </c>
      <c r="BA73" s="1" t="str">
        <f>"0315103021"</f>
        <v>0315103021</v>
      </c>
      <c r="BC73" s="1">
        <v>1550.0</v>
      </c>
      <c r="BD73" s="1">
        <v>65000.0</v>
      </c>
      <c r="BE73" s="2">
        <v>41591.0</v>
      </c>
      <c r="BF73" s="1" t="s">
        <v>1758</v>
      </c>
      <c r="BG73" s="1" t="s">
        <v>1181</v>
      </c>
      <c r="BH73" s="1">
        <v>0.0</v>
      </c>
      <c r="BI73" s="1" t="s">
        <v>1093</v>
      </c>
      <c r="BJ73" s="1" t="s">
        <v>1759</v>
      </c>
      <c r="BK73" s="1" t="s">
        <v>204</v>
      </c>
      <c r="BL73" s="1" t="str">
        <f>"17"</f>
        <v>17</v>
      </c>
      <c r="BM73" s="1" t="str">
        <f>""</f>
        <v/>
      </c>
      <c r="BN73" s="1">
        <v>34.0</v>
      </c>
      <c r="BQ73" s="1">
        <v>300.0</v>
      </c>
      <c r="BR73" s="1">
        <v>300.0</v>
      </c>
      <c r="BS73" s="1">
        <v>300.0</v>
      </c>
      <c r="BU73" s="1" t="s">
        <v>1567</v>
      </c>
      <c r="BV73" s="1" t="s">
        <v>267</v>
      </c>
      <c r="BW73" s="1" t="s">
        <v>617</v>
      </c>
      <c r="BY73" s="1" t="s">
        <v>663</v>
      </c>
      <c r="BZ73" s="1" t="s">
        <v>267</v>
      </c>
      <c r="CA73" s="1" t="s">
        <v>617</v>
      </c>
      <c r="CD73" s="1" t="s">
        <v>204</v>
      </c>
      <c r="CG73" s="1" t="s">
        <v>1584</v>
      </c>
      <c r="CH73" s="1" t="s">
        <v>206</v>
      </c>
      <c r="CI73" s="1" t="s">
        <v>617</v>
      </c>
      <c r="CK73" s="1" t="s">
        <v>1584</v>
      </c>
      <c r="CL73" s="1" t="s">
        <v>206</v>
      </c>
      <c r="CM73" s="1" t="s">
        <v>617</v>
      </c>
      <c r="CO73" s="1" t="s">
        <v>1760</v>
      </c>
      <c r="CP73" s="1" t="s">
        <v>267</v>
      </c>
      <c r="CQ73" s="1" t="s">
        <v>617</v>
      </c>
      <c r="CS73" s="1" t="s">
        <v>640</v>
      </c>
      <c r="CT73" s="1" t="s">
        <v>206</v>
      </c>
      <c r="CU73" s="1" t="s">
        <v>617</v>
      </c>
      <c r="CW73" s="1" t="s">
        <v>1654</v>
      </c>
      <c r="CX73" s="1" t="s">
        <v>267</v>
      </c>
      <c r="CY73" s="1" t="s">
        <v>617</v>
      </c>
      <c r="DA73" s="1" t="s">
        <v>200</v>
      </c>
      <c r="DC73" s="1" t="s">
        <v>545</v>
      </c>
      <c r="DE73" s="1" t="s">
        <v>1300</v>
      </c>
      <c r="DF73" s="1" t="s">
        <v>219</v>
      </c>
      <c r="DH73" s="1" t="s">
        <v>220</v>
      </c>
      <c r="DI73" s="1" t="s">
        <v>831</v>
      </c>
      <c r="DJ73" s="1" t="s">
        <v>222</v>
      </c>
      <c r="DL73" s="1" t="s">
        <v>224</v>
      </c>
      <c r="DM73" s="1" t="s">
        <v>338</v>
      </c>
      <c r="DQ73" s="1" t="s">
        <v>228</v>
      </c>
      <c r="DR73" s="1" t="s">
        <v>229</v>
      </c>
      <c r="DV73" s="1" t="s">
        <v>232</v>
      </c>
      <c r="DW73" s="1" t="s">
        <v>233</v>
      </c>
      <c r="DX73" s="1" t="s">
        <v>234</v>
      </c>
      <c r="DZ73" s="1" t="s">
        <v>310</v>
      </c>
      <c r="EA73" s="1" t="s">
        <v>554</v>
      </c>
      <c r="EC73" s="1" t="s">
        <v>311</v>
      </c>
      <c r="EF73" s="1" t="s">
        <v>1761</v>
      </c>
      <c r="EM73" s="1" t="s">
        <v>238</v>
      </c>
      <c r="EQ73" s="1" t="s">
        <v>238</v>
      </c>
      <c r="EU73" s="1" t="s">
        <v>238</v>
      </c>
      <c r="EY73" s="1" t="s">
        <v>238</v>
      </c>
      <c r="FC73" s="1" t="s">
        <v>238</v>
      </c>
      <c r="FF73" s="1" t="s">
        <v>239</v>
      </c>
      <c r="FG73" s="1" t="s">
        <v>192</v>
      </c>
      <c r="FH73" s="1" t="s">
        <v>192</v>
      </c>
      <c r="FJ73" s="1" t="s">
        <v>498</v>
      </c>
      <c r="FK73" s="1" t="s">
        <v>1586</v>
      </c>
      <c r="FL73" s="1" t="s">
        <v>1762</v>
      </c>
      <c r="FM73" s="1">
        <v>8889.0</v>
      </c>
      <c r="FN73" s="1" t="s">
        <v>1763</v>
      </c>
      <c r="FO73" s="1" t="s">
        <v>1764</v>
      </c>
      <c r="FP73" s="1">
        <v>28121.0</v>
      </c>
      <c r="FQ73" s="1" t="s">
        <v>1765</v>
      </c>
      <c r="FU73" s="1" t="s">
        <v>1766</v>
      </c>
      <c r="FV73" s="1" t="s">
        <v>200</v>
      </c>
      <c r="FW73" s="1" t="s">
        <v>631</v>
      </c>
      <c r="FZ73" s="1" t="s">
        <v>229</v>
      </c>
      <c r="GA73" s="1" t="s">
        <v>291</v>
      </c>
      <c r="GB73" s="2">
        <v>42009.0</v>
      </c>
      <c r="GC73" s="1" t="s">
        <v>1767</v>
      </c>
    </row>
    <row r="74">
      <c r="A74" s="1">
        <v>320000.0</v>
      </c>
      <c r="B74" s="1" t="s">
        <v>185</v>
      </c>
      <c r="C74" s="1" t="str">
        <f>"08495041"</f>
        <v>08495041</v>
      </c>
      <c r="D74" s="1" t="s">
        <v>186</v>
      </c>
      <c r="F74" s="1" t="str">
        <f>"560"</f>
        <v>560</v>
      </c>
      <c r="G74" s="2">
        <v>41605.0</v>
      </c>
      <c r="H74" s="1">
        <v>418000.0</v>
      </c>
      <c r="I74" s="1">
        <v>353.0</v>
      </c>
      <c r="J74" s="1">
        <v>319900.0</v>
      </c>
      <c r="K74" s="2">
        <v>41957.0</v>
      </c>
      <c r="L74" s="1">
        <v>353.0</v>
      </c>
      <c r="M74" s="2">
        <v>41957.0</v>
      </c>
      <c r="N74" s="1" t="s">
        <v>187</v>
      </c>
      <c r="O74" s="2">
        <v>42011.0</v>
      </c>
      <c r="P74" s="1">
        <v>231898.0</v>
      </c>
      <c r="Q74" s="1">
        <v>23030.0</v>
      </c>
      <c r="S74" s="1">
        <v>245.0</v>
      </c>
      <c r="T74" s="1" t="s">
        <v>1768</v>
      </c>
      <c r="U74" s="1" t="s">
        <v>1174</v>
      </c>
      <c r="V74" s="1" t="s">
        <v>845</v>
      </c>
      <c r="W74" s="1">
        <v>60560.0</v>
      </c>
      <c r="Y74" s="1" t="s">
        <v>1769</v>
      </c>
      <c r="Z74" s="1">
        <v>2003.0</v>
      </c>
      <c r="AA74" s="1" t="s">
        <v>200</v>
      </c>
      <c r="AB74" s="1" t="s">
        <v>193</v>
      </c>
      <c r="AC74" s="1" t="s">
        <v>1770</v>
      </c>
      <c r="AD74" s="1" t="s">
        <v>1089</v>
      </c>
      <c r="AE74" s="1" t="s">
        <v>849</v>
      </c>
      <c r="AF74" s="1" t="s">
        <v>1529</v>
      </c>
      <c r="AH74" s="1" t="s">
        <v>1771</v>
      </c>
      <c r="AI74" s="1">
        <v>1.26</v>
      </c>
      <c r="AK74" s="1">
        <v>10.0</v>
      </c>
      <c r="AL74" s="1">
        <v>4.0</v>
      </c>
      <c r="AM74" s="1">
        <v>3.0</v>
      </c>
      <c r="AN74" s="1">
        <v>1.0</v>
      </c>
      <c r="AO74" s="1" t="s">
        <v>198</v>
      </c>
      <c r="AP74" s="1">
        <v>1.0</v>
      </c>
      <c r="AQ74" s="1" t="s">
        <v>472</v>
      </c>
      <c r="AR74" s="1" t="s">
        <v>200</v>
      </c>
      <c r="AS74" s="1" t="s">
        <v>199</v>
      </c>
      <c r="AT74" s="1">
        <v>3.0</v>
      </c>
      <c r="AV74" s="1" t="s">
        <v>200</v>
      </c>
      <c r="AW74" s="1">
        <v>12182.7</v>
      </c>
      <c r="AX74" s="1">
        <v>2012.0</v>
      </c>
      <c r="AZ74" s="1" t="s">
        <v>200</v>
      </c>
      <c r="BA74" s="1" t="str">
        <f>"0236106005"</f>
        <v>0236106005</v>
      </c>
      <c r="BC74" s="1">
        <v>3732.0</v>
      </c>
      <c r="BD74" s="1">
        <v>320000.0</v>
      </c>
      <c r="BE74" s="2">
        <v>41605.0</v>
      </c>
      <c r="BF74" s="1" t="s">
        <v>1772</v>
      </c>
      <c r="BH74" s="1">
        <v>250.0</v>
      </c>
      <c r="BK74" s="1" t="s">
        <v>580</v>
      </c>
      <c r="BL74" s="1" t="str">
        <f t="shared" ref="BL74:BM74" si="48">""</f>
        <v/>
      </c>
      <c r="BM74" s="1" t="str">
        <f t="shared" si="48"/>
        <v/>
      </c>
      <c r="BQ74" s="1">
        <v>115.0</v>
      </c>
      <c r="BR74" s="1">
        <v>115.0</v>
      </c>
      <c r="BS74" s="1">
        <v>115.0</v>
      </c>
      <c r="BV74" s="1" t="s">
        <v>204</v>
      </c>
      <c r="BY74" s="1" t="s">
        <v>434</v>
      </c>
      <c r="BZ74" s="1" t="s">
        <v>209</v>
      </c>
      <c r="CA74" s="1" t="s">
        <v>210</v>
      </c>
      <c r="CC74" s="1" t="s">
        <v>433</v>
      </c>
      <c r="CD74" s="1" t="s">
        <v>206</v>
      </c>
      <c r="CG74" s="1" t="s">
        <v>454</v>
      </c>
      <c r="CH74" s="1" t="s">
        <v>206</v>
      </c>
      <c r="CK74" s="1" t="s">
        <v>212</v>
      </c>
      <c r="CL74" s="1" t="s">
        <v>209</v>
      </c>
      <c r="CO74" s="1" t="s">
        <v>212</v>
      </c>
      <c r="CP74" s="1" t="s">
        <v>209</v>
      </c>
      <c r="CS74" s="1" t="s">
        <v>743</v>
      </c>
      <c r="CT74" s="1" t="s">
        <v>206</v>
      </c>
      <c r="CW74" s="1" t="s">
        <v>477</v>
      </c>
      <c r="CX74" s="1" t="s">
        <v>206</v>
      </c>
      <c r="DA74" s="1" t="s">
        <v>200</v>
      </c>
      <c r="DC74" s="1" t="s">
        <v>335</v>
      </c>
      <c r="DE74" s="1" t="s">
        <v>273</v>
      </c>
      <c r="DF74" s="1" t="s">
        <v>219</v>
      </c>
      <c r="DH74" s="1" t="s">
        <v>856</v>
      </c>
      <c r="DJ74" s="1" t="s">
        <v>857</v>
      </c>
      <c r="DK74" s="1" t="s">
        <v>223</v>
      </c>
      <c r="DL74" s="1" t="s">
        <v>223</v>
      </c>
      <c r="DM74" s="1" t="s">
        <v>229</v>
      </c>
      <c r="DP74" s="1" t="s">
        <v>340</v>
      </c>
      <c r="DQ74" s="1" t="s">
        <v>931</v>
      </c>
      <c r="DR74" s="1" t="s">
        <v>588</v>
      </c>
      <c r="DS74" s="1" t="s">
        <v>368</v>
      </c>
      <c r="DV74" s="1" t="s">
        <v>1773</v>
      </c>
      <c r="DW74" s="1" t="s">
        <v>279</v>
      </c>
      <c r="DX74" s="1" t="s">
        <v>234</v>
      </c>
      <c r="DZ74" s="1" t="s">
        <v>310</v>
      </c>
      <c r="EC74" s="1" t="s">
        <v>237</v>
      </c>
      <c r="EG74" s="1" t="s">
        <v>598</v>
      </c>
      <c r="EH74" s="1" t="s">
        <v>449</v>
      </c>
      <c r="EI74" s="1" t="s">
        <v>968</v>
      </c>
      <c r="EJ74" s="1" t="s">
        <v>341</v>
      </c>
      <c r="EL74" s="1" t="s">
        <v>393</v>
      </c>
      <c r="EM74" s="1" t="s">
        <v>206</v>
      </c>
      <c r="EP74" s="1" t="s">
        <v>729</v>
      </c>
      <c r="EQ74" s="1" t="s">
        <v>206</v>
      </c>
      <c r="ET74" s="1" t="s">
        <v>1774</v>
      </c>
      <c r="EU74" s="1" t="s">
        <v>209</v>
      </c>
      <c r="EX74" s="1" t="s">
        <v>647</v>
      </c>
      <c r="EY74" s="1" t="s">
        <v>209</v>
      </c>
      <c r="FC74" s="1" t="s">
        <v>238</v>
      </c>
      <c r="FF74" s="1" t="s">
        <v>239</v>
      </c>
      <c r="FG74" s="1" t="s">
        <v>192</v>
      </c>
      <c r="FH74" s="1" t="s">
        <v>192</v>
      </c>
      <c r="FJ74" s="1" t="s">
        <v>347</v>
      </c>
      <c r="FK74" s="1" t="s">
        <v>229</v>
      </c>
      <c r="FL74" s="1" t="s">
        <v>1775</v>
      </c>
      <c r="FM74" s="1">
        <v>31982.0</v>
      </c>
      <c r="FN74" s="1" t="s">
        <v>1776</v>
      </c>
      <c r="FO74" s="1" t="s">
        <v>1777</v>
      </c>
      <c r="FP74" s="1">
        <v>319888.0</v>
      </c>
      <c r="FQ74" s="1" t="s">
        <v>1778</v>
      </c>
      <c r="FU74" s="1" t="s">
        <v>1779</v>
      </c>
      <c r="FV74" s="1" t="s">
        <v>200</v>
      </c>
      <c r="FW74" s="1" t="s">
        <v>354</v>
      </c>
      <c r="FZ74" s="1" t="s">
        <v>632</v>
      </c>
      <c r="GA74" s="1" t="s">
        <v>291</v>
      </c>
      <c r="GB74" s="2">
        <v>42011.0</v>
      </c>
      <c r="GC74" s="1" t="s">
        <v>1780</v>
      </c>
    </row>
    <row r="75">
      <c r="A75" s="1">
        <v>95000.0</v>
      </c>
      <c r="B75" s="1" t="s">
        <v>185</v>
      </c>
      <c r="C75" s="1" t="str">
        <f>"08493307"</f>
        <v>08493307</v>
      </c>
      <c r="D75" s="1" t="s">
        <v>186</v>
      </c>
      <c r="F75" s="1" t="str">
        <f>"145"</f>
        <v>145</v>
      </c>
      <c r="G75" s="2">
        <v>41601.0</v>
      </c>
      <c r="H75" s="1">
        <v>119900.0</v>
      </c>
      <c r="I75" s="1">
        <v>357.0</v>
      </c>
      <c r="J75" s="1">
        <v>109900.0</v>
      </c>
      <c r="K75" s="2">
        <v>41954.0</v>
      </c>
      <c r="L75" s="1">
        <v>357.0</v>
      </c>
      <c r="M75" s="2">
        <v>41954.0</v>
      </c>
      <c r="N75" s="1" t="s">
        <v>356</v>
      </c>
      <c r="O75" s="2">
        <v>41995.0</v>
      </c>
      <c r="P75" s="1">
        <v>930157.0</v>
      </c>
      <c r="Q75" s="1">
        <v>93052.0</v>
      </c>
      <c r="S75" s="1">
        <v>31764.0</v>
      </c>
      <c r="T75" s="1" t="s">
        <v>1781</v>
      </c>
      <c r="U75" s="1" t="s">
        <v>1174</v>
      </c>
      <c r="V75" s="1" t="s">
        <v>1782</v>
      </c>
      <c r="W75" s="1">
        <v>60145.0</v>
      </c>
      <c r="Y75" s="1" t="s">
        <v>1783</v>
      </c>
      <c r="Z75" s="1" t="s">
        <v>296</v>
      </c>
      <c r="AA75" s="1" t="s">
        <v>192</v>
      </c>
      <c r="AB75" s="1" t="s">
        <v>467</v>
      </c>
      <c r="AC75" s="1" t="s">
        <v>1784</v>
      </c>
      <c r="AD75" s="1" t="s">
        <v>1089</v>
      </c>
      <c r="AE75" s="1" t="s">
        <v>613</v>
      </c>
      <c r="AF75" s="1" t="s">
        <v>1785</v>
      </c>
      <c r="AH75" s="1" t="s">
        <v>1786</v>
      </c>
      <c r="AI75" s="1">
        <v>0.388</v>
      </c>
      <c r="AK75" s="1">
        <v>8.0</v>
      </c>
      <c r="AL75" s="1">
        <v>4.0</v>
      </c>
      <c r="AM75" s="1">
        <v>1.0</v>
      </c>
      <c r="AN75" s="1">
        <v>0.0</v>
      </c>
      <c r="AO75" s="1" t="s">
        <v>229</v>
      </c>
      <c r="AP75" s="1">
        <v>1.0</v>
      </c>
      <c r="AQ75" s="1" t="s">
        <v>229</v>
      </c>
      <c r="AR75" s="1" t="s">
        <v>200</v>
      </c>
      <c r="AS75" s="1" t="s">
        <v>199</v>
      </c>
      <c r="AT75" s="1">
        <v>2.0</v>
      </c>
      <c r="AV75" s="1" t="s">
        <v>200</v>
      </c>
      <c r="AW75" s="1">
        <v>4592.58</v>
      </c>
      <c r="AX75" s="1">
        <v>2013.0</v>
      </c>
      <c r="AY75" s="1" t="s">
        <v>229</v>
      </c>
      <c r="AZ75" s="1" t="s">
        <v>200</v>
      </c>
      <c r="BA75" s="1" t="str">
        <f>"0228103006"</f>
        <v>0228103006</v>
      </c>
      <c r="BB75" s="1" t="s">
        <v>200</v>
      </c>
      <c r="BC75" s="1">
        <v>1700.0</v>
      </c>
      <c r="BD75" s="1">
        <v>95000.0</v>
      </c>
      <c r="BE75" s="2">
        <v>41598.0</v>
      </c>
      <c r="BF75" s="2" t="s">
        <v>1787</v>
      </c>
      <c r="BG75" s="1" t="s">
        <v>1788</v>
      </c>
      <c r="BH75" s="1">
        <v>45.0</v>
      </c>
      <c r="BI75" s="1" t="s">
        <v>1789</v>
      </c>
      <c r="BJ75" s="1" t="s">
        <v>1789</v>
      </c>
      <c r="BK75" s="1" t="s">
        <v>474</v>
      </c>
      <c r="BL75" s="1" t="str">
        <f>"33"</f>
        <v>33</v>
      </c>
      <c r="BM75" s="1" t="str">
        <f>""</f>
        <v/>
      </c>
      <c r="BN75" s="1">
        <v>85.0</v>
      </c>
      <c r="BQ75" s="1">
        <v>426.0</v>
      </c>
      <c r="BR75" s="1">
        <v>426.0</v>
      </c>
      <c r="BS75" s="1">
        <v>426.0</v>
      </c>
      <c r="BU75" s="1" t="s">
        <v>212</v>
      </c>
      <c r="BV75" s="1" t="s">
        <v>206</v>
      </c>
      <c r="BW75" s="1" t="s">
        <v>210</v>
      </c>
      <c r="BX75" s="1" t="s">
        <v>239</v>
      </c>
      <c r="BY75" s="1" t="s">
        <v>331</v>
      </c>
      <c r="BZ75" s="1" t="s">
        <v>206</v>
      </c>
      <c r="CA75" s="1" t="s">
        <v>210</v>
      </c>
      <c r="CB75" s="1" t="s">
        <v>239</v>
      </c>
      <c r="CC75" s="1" t="s">
        <v>392</v>
      </c>
      <c r="CD75" s="1" t="s">
        <v>206</v>
      </c>
      <c r="CE75" s="1" t="s">
        <v>1790</v>
      </c>
      <c r="CF75" s="1" t="s">
        <v>1118</v>
      </c>
      <c r="CG75" s="1" t="s">
        <v>392</v>
      </c>
      <c r="CH75" s="1" t="s">
        <v>206</v>
      </c>
      <c r="CI75" s="1" t="s">
        <v>210</v>
      </c>
      <c r="CJ75" s="1" t="s">
        <v>1118</v>
      </c>
      <c r="CK75" s="1" t="s">
        <v>265</v>
      </c>
      <c r="CL75" s="1" t="s">
        <v>206</v>
      </c>
      <c r="CM75" s="1" t="s">
        <v>210</v>
      </c>
      <c r="CN75" s="1" t="s">
        <v>239</v>
      </c>
      <c r="CO75" s="1" t="s">
        <v>265</v>
      </c>
      <c r="CP75" s="1" t="s">
        <v>267</v>
      </c>
      <c r="CQ75" s="1" t="s">
        <v>210</v>
      </c>
      <c r="CR75" s="1" t="s">
        <v>239</v>
      </c>
      <c r="CS75" s="1" t="s">
        <v>623</v>
      </c>
      <c r="CT75" s="1" t="s">
        <v>206</v>
      </c>
      <c r="CU75" s="1" t="s">
        <v>617</v>
      </c>
      <c r="CV75" s="1" t="s">
        <v>239</v>
      </c>
      <c r="CW75" s="1" t="s">
        <v>1378</v>
      </c>
      <c r="CX75" s="1" t="s">
        <v>267</v>
      </c>
      <c r="CY75" s="1" t="s">
        <v>210</v>
      </c>
      <c r="CZ75" s="1" t="s">
        <v>239</v>
      </c>
      <c r="DA75" s="1" t="s">
        <v>200</v>
      </c>
      <c r="DC75" s="1" t="s">
        <v>545</v>
      </c>
      <c r="DE75" s="1" t="s">
        <v>273</v>
      </c>
      <c r="DF75" s="1" t="s">
        <v>219</v>
      </c>
      <c r="DG75" s="1" t="s">
        <v>1553</v>
      </c>
      <c r="DH75" s="1" t="s">
        <v>1603</v>
      </c>
      <c r="DI75" s="1" t="s">
        <v>308</v>
      </c>
      <c r="DJ75" s="1" t="s">
        <v>857</v>
      </c>
      <c r="DK75" s="1" t="s">
        <v>223</v>
      </c>
      <c r="DL75" s="1" t="s">
        <v>229</v>
      </c>
      <c r="DM75" s="1" t="s">
        <v>338</v>
      </c>
      <c r="DN75" s="1" t="s">
        <v>339</v>
      </c>
      <c r="DP75" s="1" t="s">
        <v>276</v>
      </c>
      <c r="DQ75" s="1" t="s">
        <v>441</v>
      </c>
      <c r="DR75" s="1" t="s">
        <v>111</v>
      </c>
      <c r="DS75" s="1" t="s">
        <v>368</v>
      </c>
      <c r="DU75" s="1" t="s">
        <v>550</v>
      </c>
      <c r="DV75" s="1" t="s">
        <v>1791</v>
      </c>
      <c r="DW75" s="1" t="s">
        <v>1792</v>
      </c>
      <c r="DX75" s="1" t="s">
        <v>234</v>
      </c>
      <c r="DY75" s="1" t="s">
        <v>553</v>
      </c>
      <c r="DZ75" s="1" t="s">
        <v>1793</v>
      </c>
      <c r="EB75" s="1" t="s">
        <v>345</v>
      </c>
      <c r="EC75" s="1" t="s">
        <v>311</v>
      </c>
      <c r="ED75" s="1" t="s">
        <v>1794</v>
      </c>
      <c r="EE75" s="1" t="s">
        <v>493</v>
      </c>
      <c r="EG75" s="1" t="s">
        <v>1270</v>
      </c>
      <c r="EH75" s="1" t="s">
        <v>374</v>
      </c>
      <c r="EI75" s="1" t="s">
        <v>1103</v>
      </c>
      <c r="EL75" s="1" t="s">
        <v>1795</v>
      </c>
      <c r="EM75" s="1" t="s">
        <v>267</v>
      </c>
      <c r="EN75" s="1" t="s">
        <v>588</v>
      </c>
      <c r="EO75" s="1" t="s">
        <v>229</v>
      </c>
      <c r="EP75" s="1" t="s">
        <v>1796</v>
      </c>
      <c r="EQ75" s="1" t="s">
        <v>206</v>
      </c>
      <c r="ER75" s="1" t="s">
        <v>268</v>
      </c>
      <c r="ES75" s="1" t="s">
        <v>229</v>
      </c>
      <c r="ET75" s="1" t="s">
        <v>266</v>
      </c>
      <c r="EU75" s="1" t="s">
        <v>267</v>
      </c>
      <c r="EV75" s="1" t="s">
        <v>588</v>
      </c>
      <c r="EW75" s="1" t="s">
        <v>229</v>
      </c>
      <c r="EY75" s="1" t="s">
        <v>238</v>
      </c>
      <c r="FC75" s="1" t="s">
        <v>238</v>
      </c>
      <c r="FF75" s="1" t="s">
        <v>239</v>
      </c>
      <c r="FG75" s="1" t="s">
        <v>192</v>
      </c>
      <c r="FH75" s="1" t="s">
        <v>192</v>
      </c>
      <c r="FJ75" s="1" t="s">
        <v>1797</v>
      </c>
      <c r="FK75" s="1" t="s">
        <v>1586</v>
      </c>
      <c r="FL75" s="1" t="s">
        <v>1798</v>
      </c>
      <c r="FM75" s="1">
        <v>5591.0</v>
      </c>
      <c r="FN75" s="1" t="s">
        <v>1799</v>
      </c>
      <c r="FO75" s="1" t="s">
        <v>1800</v>
      </c>
      <c r="FP75" s="1">
        <v>55209.0</v>
      </c>
      <c r="FQ75" s="1" t="s">
        <v>1801</v>
      </c>
      <c r="FU75" s="1" t="s">
        <v>1438</v>
      </c>
      <c r="FV75" s="1" t="s">
        <v>200</v>
      </c>
      <c r="FW75" s="1" t="s">
        <v>290</v>
      </c>
      <c r="FZ75" s="1" t="s">
        <v>229</v>
      </c>
      <c r="GA75" s="1" t="s">
        <v>291</v>
      </c>
      <c r="GB75" s="2">
        <v>41995.0</v>
      </c>
      <c r="GC75" s="2" t="s">
        <v>1802</v>
      </c>
    </row>
    <row r="76">
      <c r="A76" s="1">
        <v>568000.0</v>
      </c>
      <c r="B76" s="1" t="s">
        <v>185</v>
      </c>
      <c r="C76" s="1" t="str">
        <f>"08501856"</f>
        <v>08501856</v>
      </c>
      <c r="D76" s="1" t="s">
        <v>186</v>
      </c>
      <c r="F76" s="1" t="str">
        <f>"174"</f>
        <v>174</v>
      </c>
      <c r="G76" s="2">
        <v>41619.0</v>
      </c>
      <c r="H76" s="1">
        <v>699900.0</v>
      </c>
      <c r="I76" s="1">
        <v>267.0</v>
      </c>
      <c r="J76" s="1">
        <v>599000.0</v>
      </c>
      <c r="K76" s="2">
        <v>41883.0</v>
      </c>
      <c r="L76" s="1">
        <v>267.0</v>
      </c>
      <c r="M76" s="2">
        <v>41883.0</v>
      </c>
      <c r="N76" s="1" t="s">
        <v>187</v>
      </c>
      <c r="O76" s="2">
        <v>41992.0</v>
      </c>
      <c r="P76" s="1">
        <v>257000.0</v>
      </c>
      <c r="Q76" s="1">
        <v>23591.0</v>
      </c>
      <c r="S76" s="1" t="s">
        <v>1803</v>
      </c>
      <c r="T76" s="1" t="s">
        <v>1804</v>
      </c>
      <c r="U76" s="1" t="s">
        <v>464</v>
      </c>
      <c r="V76" s="1" t="s">
        <v>1200</v>
      </c>
      <c r="W76" s="1">
        <v>60174.0</v>
      </c>
      <c r="Y76" s="1" t="s">
        <v>1805</v>
      </c>
      <c r="Z76" s="1">
        <v>1976.0</v>
      </c>
      <c r="AA76" s="1" t="s">
        <v>192</v>
      </c>
      <c r="AB76" s="1" t="s">
        <v>193</v>
      </c>
      <c r="AC76" s="1" t="s">
        <v>1806</v>
      </c>
      <c r="AD76" s="1" t="s">
        <v>1089</v>
      </c>
      <c r="AE76" s="1" t="s">
        <v>325</v>
      </c>
      <c r="AF76" s="1" t="s">
        <v>1203</v>
      </c>
      <c r="AH76" s="1" t="s">
        <v>1807</v>
      </c>
      <c r="AI76" s="1">
        <v>1.5</v>
      </c>
      <c r="AK76" s="1">
        <v>14.0</v>
      </c>
      <c r="AL76" s="1">
        <v>4.0</v>
      </c>
      <c r="AM76" s="1">
        <v>2.0</v>
      </c>
      <c r="AN76" s="1">
        <v>2.0</v>
      </c>
      <c r="AO76" s="1" t="s">
        <v>198</v>
      </c>
      <c r="AP76" s="1">
        <v>2.0</v>
      </c>
      <c r="AQ76" s="1" t="s">
        <v>327</v>
      </c>
      <c r="AR76" s="1" t="s">
        <v>200</v>
      </c>
      <c r="AS76" s="1" t="s">
        <v>199</v>
      </c>
      <c r="AT76" s="1">
        <v>3.0</v>
      </c>
      <c r="AV76" s="1" t="s">
        <v>192</v>
      </c>
      <c r="AW76" s="1">
        <v>12267.0</v>
      </c>
      <c r="AX76" s="1">
        <v>2012.0</v>
      </c>
      <c r="AY76" s="1" t="s">
        <v>387</v>
      </c>
      <c r="AZ76" s="1" t="s">
        <v>200</v>
      </c>
      <c r="BA76" s="1" t="str">
        <f>"0928201002"</f>
        <v>0928201002</v>
      </c>
      <c r="BB76" s="1" t="s">
        <v>192</v>
      </c>
      <c r="BC76" s="1">
        <v>3537.0</v>
      </c>
      <c r="BD76" s="1">
        <v>568000.0</v>
      </c>
      <c r="BE76" s="2">
        <v>41617.0</v>
      </c>
      <c r="BF76" s="2" t="s">
        <v>1808</v>
      </c>
      <c r="BH76" s="1">
        <v>0.0</v>
      </c>
      <c r="BK76" s="1" t="s">
        <v>204</v>
      </c>
      <c r="BL76" s="1" t="str">
        <f>"3"</f>
        <v>3</v>
      </c>
      <c r="BM76" s="1" t="str">
        <f>"0"</f>
        <v>0</v>
      </c>
      <c r="BN76" s="1">
        <v>36.0</v>
      </c>
      <c r="BO76" s="1">
        <v>0.0</v>
      </c>
      <c r="BQ76" s="1">
        <v>303.0</v>
      </c>
      <c r="BR76" s="1">
        <v>303.0</v>
      </c>
      <c r="BS76" s="1">
        <v>303.0</v>
      </c>
      <c r="BU76" s="1" t="s">
        <v>544</v>
      </c>
      <c r="BV76" s="1" t="s">
        <v>206</v>
      </c>
      <c r="BW76" s="1" t="s">
        <v>210</v>
      </c>
      <c r="BX76" s="1" t="s">
        <v>239</v>
      </c>
      <c r="BY76" s="1" t="s">
        <v>214</v>
      </c>
      <c r="BZ76" s="1" t="s">
        <v>209</v>
      </c>
      <c r="CA76" s="1" t="s">
        <v>210</v>
      </c>
      <c r="CB76" s="1" t="s">
        <v>239</v>
      </c>
      <c r="CC76" s="1" t="s">
        <v>454</v>
      </c>
      <c r="CD76" s="1" t="s">
        <v>206</v>
      </c>
      <c r="CE76" s="1" t="s">
        <v>207</v>
      </c>
      <c r="CF76" s="1" t="s">
        <v>239</v>
      </c>
      <c r="CG76" s="1" t="s">
        <v>393</v>
      </c>
      <c r="CH76" s="1" t="s">
        <v>209</v>
      </c>
      <c r="CI76" s="1" t="s">
        <v>210</v>
      </c>
      <c r="CJ76" s="1" t="s">
        <v>239</v>
      </c>
      <c r="CK76" s="1" t="s">
        <v>205</v>
      </c>
      <c r="CL76" s="1" t="s">
        <v>209</v>
      </c>
      <c r="CM76" s="1" t="s">
        <v>210</v>
      </c>
      <c r="CN76" s="1" t="s">
        <v>239</v>
      </c>
      <c r="CO76" s="1" t="s">
        <v>784</v>
      </c>
      <c r="CP76" s="1" t="s">
        <v>209</v>
      </c>
      <c r="CQ76" s="1" t="s">
        <v>210</v>
      </c>
      <c r="CR76" s="1" t="s">
        <v>239</v>
      </c>
      <c r="CS76" s="1" t="s">
        <v>205</v>
      </c>
      <c r="CT76" s="1" t="s">
        <v>206</v>
      </c>
      <c r="CU76" s="1" t="s">
        <v>268</v>
      </c>
      <c r="CW76" s="1" t="s">
        <v>1809</v>
      </c>
      <c r="CX76" s="1" t="s">
        <v>206</v>
      </c>
      <c r="CY76" s="1" t="s">
        <v>207</v>
      </c>
      <c r="CZ76" s="1" t="s">
        <v>239</v>
      </c>
      <c r="DA76" s="1" t="s">
        <v>200</v>
      </c>
      <c r="DC76" s="1" t="s">
        <v>395</v>
      </c>
      <c r="DD76" s="1" t="s">
        <v>396</v>
      </c>
      <c r="DE76" s="1" t="s">
        <v>1810</v>
      </c>
      <c r="DF76" s="1" t="s">
        <v>1811</v>
      </c>
      <c r="DG76" s="1" t="s">
        <v>1812</v>
      </c>
      <c r="DH76" s="1" t="s">
        <v>856</v>
      </c>
      <c r="DI76" s="1" t="s">
        <v>1813</v>
      </c>
      <c r="DJ76" s="1" t="s">
        <v>222</v>
      </c>
      <c r="DK76" s="1" t="s">
        <v>223</v>
      </c>
      <c r="DL76" s="1" t="s">
        <v>1814</v>
      </c>
      <c r="DM76" s="1" t="s">
        <v>1815</v>
      </c>
      <c r="DN76" s="1" t="s">
        <v>1816</v>
      </c>
      <c r="DO76" s="1" t="s">
        <v>1817</v>
      </c>
      <c r="DP76" s="1" t="s">
        <v>340</v>
      </c>
      <c r="DQ76" s="1" t="s">
        <v>931</v>
      </c>
      <c r="DR76" s="1" t="s">
        <v>229</v>
      </c>
      <c r="DS76" s="1" t="s">
        <v>230</v>
      </c>
      <c r="DU76" s="1" t="s">
        <v>1818</v>
      </c>
      <c r="DV76" s="1" t="s">
        <v>1819</v>
      </c>
      <c r="DW76" s="1" t="s">
        <v>1820</v>
      </c>
      <c r="DX76" s="1" t="s">
        <v>280</v>
      </c>
      <c r="DY76" s="1" t="s">
        <v>1821</v>
      </c>
      <c r="DZ76" s="1" t="s">
        <v>1822</v>
      </c>
      <c r="EB76" s="1" t="s">
        <v>1823</v>
      </c>
      <c r="EC76" s="1" t="s">
        <v>237</v>
      </c>
      <c r="ED76" s="1" t="s">
        <v>407</v>
      </c>
      <c r="EG76" s="1" t="s">
        <v>1228</v>
      </c>
      <c r="EH76" s="1" t="s">
        <v>598</v>
      </c>
      <c r="EI76" s="1" t="s">
        <v>450</v>
      </c>
      <c r="EJ76" s="1" t="s">
        <v>451</v>
      </c>
      <c r="EK76" s="1" t="s">
        <v>1824</v>
      </c>
      <c r="EL76" s="1" t="s">
        <v>454</v>
      </c>
      <c r="EM76" s="1" t="s">
        <v>209</v>
      </c>
      <c r="EN76" s="1" t="s">
        <v>210</v>
      </c>
      <c r="EO76" s="1" t="s">
        <v>239</v>
      </c>
      <c r="EP76" s="1" t="s">
        <v>269</v>
      </c>
      <c r="EQ76" s="1" t="s">
        <v>206</v>
      </c>
      <c r="ER76" s="1" t="s">
        <v>210</v>
      </c>
      <c r="ET76" s="1" t="s">
        <v>1825</v>
      </c>
      <c r="EU76" s="1" t="s">
        <v>267</v>
      </c>
      <c r="EV76" s="1" t="s">
        <v>210</v>
      </c>
      <c r="EX76" s="1" t="s">
        <v>1117</v>
      </c>
      <c r="EY76" s="1" t="s">
        <v>1697</v>
      </c>
      <c r="EZ76" s="1" t="s">
        <v>210</v>
      </c>
      <c r="FB76" s="1" t="s">
        <v>699</v>
      </c>
      <c r="FC76" s="1" t="s">
        <v>267</v>
      </c>
      <c r="FD76" s="1" t="s">
        <v>210</v>
      </c>
      <c r="FF76" s="1" t="s">
        <v>239</v>
      </c>
      <c r="FG76" s="1" t="s">
        <v>192</v>
      </c>
      <c r="FH76" s="1" t="s">
        <v>192</v>
      </c>
      <c r="FJ76" s="1" t="s">
        <v>770</v>
      </c>
      <c r="FK76" s="1" t="s">
        <v>348</v>
      </c>
      <c r="FL76" s="1" t="s">
        <v>1212</v>
      </c>
      <c r="FM76" s="1">
        <v>30.0</v>
      </c>
      <c r="FN76" s="1" t="s">
        <v>1213</v>
      </c>
      <c r="FO76" s="1" t="s">
        <v>1826</v>
      </c>
      <c r="FP76" s="1">
        <v>499.0</v>
      </c>
      <c r="FQ76" s="1" t="s">
        <v>1827</v>
      </c>
      <c r="FS76" s="1" t="s">
        <v>1828</v>
      </c>
      <c r="FU76" s="1" t="s">
        <v>1829</v>
      </c>
      <c r="FV76" s="1" t="s">
        <v>200</v>
      </c>
      <c r="FW76" s="1" t="s">
        <v>290</v>
      </c>
      <c r="FZ76" s="1" t="s">
        <v>229</v>
      </c>
      <c r="GA76" s="1" t="s">
        <v>291</v>
      </c>
      <c r="GB76" s="2">
        <v>41993.0</v>
      </c>
      <c r="GC76" s="1" t="s">
        <v>1830</v>
      </c>
    </row>
    <row r="77">
      <c r="A77" s="1">
        <v>190000.0</v>
      </c>
      <c r="B77" s="1" t="s">
        <v>185</v>
      </c>
      <c r="C77" s="1" t="str">
        <f>"08505167"</f>
        <v>08505167</v>
      </c>
      <c r="D77" s="1" t="s">
        <v>186</v>
      </c>
      <c r="F77" s="1" t="str">
        <f>"538"</f>
        <v>538</v>
      </c>
      <c r="G77" s="2">
        <v>41626.0</v>
      </c>
      <c r="H77" s="1">
        <v>225000.0</v>
      </c>
      <c r="I77" s="1">
        <v>337.0</v>
      </c>
      <c r="J77" s="1">
        <v>195000.0</v>
      </c>
      <c r="K77" s="2">
        <v>41962.0</v>
      </c>
      <c r="L77" s="1">
        <v>337.0</v>
      </c>
      <c r="M77" s="2">
        <v>41962.0</v>
      </c>
      <c r="N77" s="1" t="s">
        <v>187</v>
      </c>
      <c r="O77" s="2">
        <v>42033.0</v>
      </c>
      <c r="P77" s="1">
        <v>219680.0</v>
      </c>
      <c r="Q77" s="1">
        <v>22029.0</v>
      </c>
      <c r="S77" s="1">
        <v>2856.0</v>
      </c>
      <c r="T77" s="1" t="s">
        <v>1831</v>
      </c>
      <c r="U77" s="1" t="s">
        <v>189</v>
      </c>
      <c r="V77" s="1" t="s">
        <v>1340</v>
      </c>
      <c r="W77" s="1">
        <v>60538.0</v>
      </c>
      <c r="Y77" s="1" t="s">
        <v>1832</v>
      </c>
      <c r="Z77" s="1">
        <v>2005.0</v>
      </c>
      <c r="AA77" s="1" t="s">
        <v>200</v>
      </c>
      <c r="AB77" s="1" t="s">
        <v>193</v>
      </c>
      <c r="AC77" s="1" t="s">
        <v>1833</v>
      </c>
      <c r="AD77" s="1" t="s">
        <v>1343</v>
      </c>
      <c r="AE77" s="1" t="s">
        <v>849</v>
      </c>
      <c r="AF77" s="1" t="s">
        <v>1312</v>
      </c>
      <c r="AG77" s="1" t="s">
        <v>1834</v>
      </c>
      <c r="AH77" s="1" t="s">
        <v>1835</v>
      </c>
      <c r="AK77" s="1">
        <v>11.0</v>
      </c>
      <c r="AL77" s="1">
        <v>4.0</v>
      </c>
      <c r="AM77" s="1">
        <v>2.0</v>
      </c>
      <c r="AN77" s="1">
        <v>1.0</v>
      </c>
      <c r="AO77" s="1" t="s">
        <v>198</v>
      </c>
      <c r="AP77" s="1">
        <v>0.0</v>
      </c>
      <c r="AQ77" s="1" t="s">
        <v>198</v>
      </c>
      <c r="AR77" s="1" t="s">
        <v>200</v>
      </c>
      <c r="AS77" s="1" t="s">
        <v>199</v>
      </c>
      <c r="AT77" s="1">
        <v>3.0</v>
      </c>
      <c r="AV77" s="1" t="s">
        <v>200</v>
      </c>
      <c r="AW77" s="1">
        <v>7106.0</v>
      </c>
      <c r="AX77" s="1">
        <v>2013.0</v>
      </c>
      <c r="AY77" s="1" t="s">
        <v>387</v>
      </c>
      <c r="AZ77" s="1" t="s">
        <v>200</v>
      </c>
      <c r="BA77" s="1" t="str">
        <f>"0202129044"</f>
        <v>0202129044</v>
      </c>
      <c r="BB77" s="1" t="s">
        <v>200</v>
      </c>
      <c r="BC77" s="1">
        <v>2600.0</v>
      </c>
      <c r="BD77" s="1">
        <v>190000.0</v>
      </c>
      <c r="BE77" s="2">
        <v>41626.0</v>
      </c>
      <c r="BF77" s="2" t="s">
        <v>1836</v>
      </c>
      <c r="BG77" s="1" t="s">
        <v>1837</v>
      </c>
      <c r="BH77" s="1">
        <v>44.0</v>
      </c>
      <c r="BI77" s="1" t="s">
        <v>1533</v>
      </c>
      <c r="BJ77" s="1" t="s">
        <v>1349</v>
      </c>
      <c r="BK77" s="1" t="s">
        <v>474</v>
      </c>
      <c r="BL77" s="1" t="str">
        <f>"0"</f>
        <v>0</v>
      </c>
      <c r="BM77" s="1" t="str">
        <f>"2"</f>
        <v>2</v>
      </c>
      <c r="BN77" s="1">
        <v>0.0</v>
      </c>
      <c r="BO77" s="1">
        <v>0.0</v>
      </c>
      <c r="BQ77" s="1">
        <v>308.0</v>
      </c>
      <c r="BR77" s="1">
        <v>308.0</v>
      </c>
      <c r="BS77" s="1">
        <v>308.0</v>
      </c>
      <c r="BU77" s="1" t="s">
        <v>1069</v>
      </c>
      <c r="BV77" s="1" t="s">
        <v>206</v>
      </c>
      <c r="BW77" s="1" t="s">
        <v>207</v>
      </c>
      <c r="BX77" s="1" t="s">
        <v>261</v>
      </c>
      <c r="BY77" s="1" t="s">
        <v>1483</v>
      </c>
      <c r="BZ77" s="1" t="s">
        <v>209</v>
      </c>
      <c r="CA77" s="1" t="s">
        <v>210</v>
      </c>
      <c r="CB77" s="1" t="s">
        <v>261</v>
      </c>
      <c r="CC77" s="1" t="s">
        <v>542</v>
      </c>
      <c r="CD77" s="1" t="s">
        <v>206</v>
      </c>
      <c r="CE77" s="1" t="s">
        <v>207</v>
      </c>
      <c r="CF77" s="1" t="s">
        <v>1550</v>
      </c>
      <c r="CG77" s="1" t="s">
        <v>497</v>
      </c>
      <c r="CH77" s="1" t="s">
        <v>209</v>
      </c>
      <c r="CI77" s="1" t="s">
        <v>210</v>
      </c>
      <c r="CJ77" s="1" t="s">
        <v>431</v>
      </c>
      <c r="CK77" s="1" t="s">
        <v>302</v>
      </c>
      <c r="CL77" s="1" t="s">
        <v>209</v>
      </c>
      <c r="CM77" s="1" t="s">
        <v>210</v>
      </c>
      <c r="CN77" s="1" t="s">
        <v>431</v>
      </c>
      <c r="CO77" s="1" t="s">
        <v>495</v>
      </c>
      <c r="CP77" s="1" t="s">
        <v>209</v>
      </c>
      <c r="CQ77" s="1" t="s">
        <v>210</v>
      </c>
      <c r="CR77" s="1" t="s">
        <v>431</v>
      </c>
      <c r="CS77" s="1" t="s">
        <v>1483</v>
      </c>
      <c r="CT77" s="1" t="s">
        <v>206</v>
      </c>
      <c r="CU77" s="1" t="s">
        <v>207</v>
      </c>
      <c r="CV77" s="1" t="s">
        <v>229</v>
      </c>
      <c r="CW77" s="1" t="s">
        <v>784</v>
      </c>
      <c r="CX77" s="1" t="s">
        <v>206</v>
      </c>
      <c r="CY77" s="1" t="s">
        <v>207</v>
      </c>
      <c r="CZ77" s="1" t="s">
        <v>261</v>
      </c>
      <c r="DA77" s="1" t="s">
        <v>200</v>
      </c>
      <c r="DC77" s="1" t="s">
        <v>481</v>
      </c>
      <c r="DD77" s="1" t="s">
        <v>1838</v>
      </c>
      <c r="DE77" s="1" t="s">
        <v>273</v>
      </c>
      <c r="DF77" s="1" t="s">
        <v>219</v>
      </c>
      <c r="DG77" s="1" t="s">
        <v>1002</v>
      </c>
      <c r="DH77" s="1" t="s">
        <v>220</v>
      </c>
      <c r="DI77" s="1" t="s">
        <v>1021</v>
      </c>
      <c r="DJ77" s="1" t="s">
        <v>222</v>
      </c>
      <c r="DL77" s="1" t="s">
        <v>223</v>
      </c>
      <c r="DM77" s="1" t="s">
        <v>338</v>
      </c>
      <c r="DN77" s="1" t="s">
        <v>367</v>
      </c>
      <c r="DO77" s="1" t="s">
        <v>549</v>
      </c>
      <c r="DP77" s="1" t="s">
        <v>276</v>
      </c>
      <c r="DQ77" s="1" t="s">
        <v>228</v>
      </c>
      <c r="DR77" s="1" t="s">
        <v>1839</v>
      </c>
      <c r="DS77" s="1" t="s">
        <v>591</v>
      </c>
      <c r="DU77" s="1" t="s">
        <v>1840</v>
      </c>
      <c r="DV77" s="1" t="s">
        <v>1841</v>
      </c>
      <c r="DW77" s="1" t="s">
        <v>233</v>
      </c>
      <c r="DX77" s="1" t="s">
        <v>234</v>
      </c>
      <c r="DY77" s="1" t="s">
        <v>490</v>
      </c>
      <c r="DZ77" s="1" t="s">
        <v>310</v>
      </c>
      <c r="EA77" s="1" t="s">
        <v>344</v>
      </c>
      <c r="EC77" s="1" t="s">
        <v>237</v>
      </c>
      <c r="ED77" s="1" t="s">
        <v>407</v>
      </c>
      <c r="EE77" s="1" t="s">
        <v>493</v>
      </c>
      <c r="EG77" s="1" t="s">
        <v>494</v>
      </c>
      <c r="EH77" s="1" t="s">
        <v>556</v>
      </c>
      <c r="EI77" s="1" t="s">
        <v>341</v>
      </c>
      <c r="EL77" s="1" t="s">
        <v>1329</v>
      </c>
      <c r="EM77" s="1" t="s">
        <v>206</v>
      </c>
      <c r="EN77" s="1" t="s">
        <v>207</v>
      </c>
      <c r="EO77" s="1" t="s">
        <v>431</v>
      </c>
      <c r="EP77" s="1" t="s">
        <v>262</v>
      </c>
      <c r="EQ77" s="1" t="s">
        <v>206</v>
      </c>
      <c r="ER77" s="1" t="s">
        <v>207</v>
      </c>
      <c r="ES77" s="1" t="s">
        <v>431</v>
      </c>
      <c r="ET77" s="1" t="s">
        <v>454</v>
      </c>
      <c r="EU77" s="1" t="s">
        <v>209</v>
      </c>
      <c r="EV77" s="1" t="s">
        <v>210</v>
      </c>
      <c r="EW77" s="1" t="s">
        <v>229</v>
      </c>
      <c r="EY77" s="1" t="s">
        <v>238</v>
      </c>
      <c r="FC77" s="1" t="s">
        <v>238</v>
      </c>
      <c r="FF77" s="1" t="s">
        <v>239</v>
      </c>
      <c r="FG77" s="1" t="s">
        <v>192</v>
      </c>
      <c r="FH77" s="1" t="s">
        <v>192</v>
      </c>
      <c r="FJ77" s="1" t="s">
        <v>1248</v>
      </c>
      <c r="FK77" s="1" t="s">
        <v>1586</v>
      </c>
      <c r="FL77" s="1" t="s">
        <v>525</v>
      </c>
      <c r="FM77" s="1">
        <v>22029.0</v>
      </c>
      <c r="FN77" s="1" t="s">
        <v>526</v>
      </c>
      <c r="FO77" s="1" t="s">
        <v>1842</v>
      </c>
      <c r="FP77" s="1">
        <v>231272.0</v>
      </c>
      <c r="FQ77" s="1" t="s">
        <v>1843</v>
      </c>
      <c r="FS77" s="1" t="s">
        <v>1844</v>
      </c>
      <c r="FT77" s="1" t="s">
        <v>1845</v>
      </c>
      <c r="FU77" s="1" t="s">
        <v>1846</v>
      </c>
      <c r="FV77" s="1" t="s">
        <v>200</v>
      </c>
      <c r="FW77" s="1" t="s">
        <v>290</v>
      </c>
      <c r="FZ77" s="1" t="s">
        <v>632</v>
      </c>
      <c r="GA77" s="1" t="s">
        <v>291</v>
      </c>
      <c r="GB77" s="2">
        <v>42034.0</v>
      </c>
      <c r="GC77" s="1" t="s">
        <v>1847</v>
      </c>
    </row>
    <row r="78">
      <c r="A78" s="1">
        <v>154000.0</v>
      </c>
      <c r="B78" s="1" t="s">
        <v>185</v>
      </c>
      <c r="C78" s="1" t="str">
        <f>"08592869"</f>
        <v>08592869</v>
      </c>
      <c r="D78" s="1" t="s">
        <v>186</v>
      </c>
      <c r="F78" s="1" t="str">
        <f>"174"</f>
        <v>174</v>
      </c>
      <c r="G78" s="2">
        <v>41751.0</v>
      </c>
      <c r="H78" s="1">
        <v>229900.0</v>
      </c>
      <c r="I78" s="1">
        <v>209.0</v>
      </c>
      <c r="J78" s="1">
        <v>164000.0</v>
      </c>
      <c r="K78" s="2">
        <v>41959.0</v>
      </c>
      <c r="L78" s="1">
        <v>209.0</v>
      </c>
      <c r="M78" s="2">
        <v>41959.0</v>
      </c>
      <c r="N78" s="1" t="s">
        <v>356</v>
      </c>
      <c r="O78" s="2">
        <v>42013.0</v>
      </c>
      <c r="P78" s="1">
        <v>8222.0</v>
      </c>
      <c r="Q78" s="1">
        <v>41.0</v>
      </c>
      <c r="S78" s="1" t="s">
        <v>1848</v>
      </c>
      <c r="T78" s="1" t="s">
        <v>1849</v>
      </c>
      <c r="U78" s="1" t="s">
        <v>420</v>
      </c>
      <c r="V78" s="1" t="s">
        <v>1200</v>
      </c>
      <c r="W78" s="1">
        <v>60175.0</v>
      </c>
      <c r="Y78" s="1" t="s">
        <v>1850</v>
      </c>
      <c r="Z78" s="1">
        <v>1979.0</v>
      </c>
      <c r="AA78" s="1" t="s">
        <v>200</v>
      </c>
      <c r="AB78" s="1" t="s">
        <v>193</v>
      </c>
      <c r="AD78" s="1" t="s">
        <v>1203</v>
      </c>
      <c r="AE78" s="1" t="s">
        <v>325</v>
      </c>
      <c r="AF78" s="1" t="s">
        <v>1632</v>
      </c>
      <c r="AH78" s="1">
        <v>41298.0</v>
      </c>
      <c r="AI78" s="1">
        <v>0.95</v>
      </c>
      <c r="AK78" s="1">
        <v>7.0</v>
      </c>
      <c r="AL78" s="1">
        <v>4.0</v>
      </c>
      <c r="AM78" s="1">
        <v>1.0</v>
      </c>
      <c r="AN78" s="1">
        <v>1.0</v>
      </c>
      <c r="AO78" s="1" t="s">
        <v>229</v>
      </c>
      <c r="AP78" s="1">
        <v>1.0</v>
      </c>
      <c r="AQ78" s="1" t="s">
        <v>229</v>
      </c>
      <c r="AR78" s="1" t="s">
        <v>200</v>
      </c>
      <c r="AS78" s="1" t="s">
        <v>199</v>
      </c>
      <c r="AT78" s="1">
        <v>2.0</v>
      </c>
      <c r="AV78" s="1" t="s">
        <v>200</v>
      </c>
      <c r="AW78" s="1">
        <v>6062.32</v>
      </c>
      <c r="AX78" s="1">
        <v>2012.0</v>
      </c>
      <c r="AY78" s="1" t="s">
        <v>229</v>
      </c>
      <c r="AZ78" s="1" t="s">
        <v>200</v>
      </c>
      <c r="BA78" s="1" t="str">
        <f>"0804476018"</f>
        <v>0804476018</v>
      </c>
      <c r="BB78" s="1" t="s">
        <v>200</v>
      </c>
      <c r="BC78" s="1">
        <v>2058.0</v>
      </c>
      <c r="BD78" s="1">
        <v>154000.0</v>
      </c>
      <c r="BE78" s="2">
        <v>41751.0</v>
      </c>
      <c r="BF78" s="2" t="s">
        <v>1851</v>
      </c>
      <c r="BH78" s="1">
        <v>0.0</v>
      </c>
      <c r="BK78" s="1" t="s">
        <v>204</v>
      </c>
      <c r="BL78" s="1" t="str">
        <f t="shared" ref="BL78:BM78" si="49">""</f>
        <v/>
      </c>
      <c r="BM78" s="1" t="str">
        <f t="shared" si="49"/>
        <v/>
      </c>
      <c r="BQ78" s="1">
        <v>303.0</v>
      </c>
      <c r="BR78" s="1">
        <v>303.0</v>
      </c>
      <c r="BS78" s="1">
        <v>303.0</v>
      </c>
      <c r="BU78" s="1" t="s">
        <v>663</v>
      </c>
      <c r="BV78" s="1" t="s">
        <v>206</v>
      </c>
      <c r="BY78" s="1" t="s">
        <v>1352</v>
      </c>
      <c r="BZ78" s="1" t="s">
        <v>209</v>
      </c>
      <c r="CD78" s="1" t="s">
        <v>204</v>
      </c>
      <c r="CG78" s="1" t="s">
        <v>269</v>
      </c>
      <c r="CH78" s="1" t="s">
        <v>209</v>
      </c>
      <c r="CK78" s="1" t="s">
        <v>663</v>
      </c>
      <c r="CL78" s="1" t="s">
        <v>209</v>
      </c>
      <c r="CO78" s="1" t="s">
        <v>1852</v>
      </c>
      <c r="CP78" s="1" t="s">
        <v>209</v>
      </c>
      <c r="CS78" s="1" t="s">
        <v>1852</v>
      </c>
      <c r="CT78" s="1" t="s">
        <v>206</v>
      </c>
      <c r="CW78" s="1" t="s">
        <v>663</v>
      </c>
      <c r="CX78" s="1" t="s">
        <v>206</v>
      </c>
      <c r="DA78" s="1" t="s">
        <v>200</v>
      </c>
      <c r="DC78" s="1" t="s">
        <v>395</v>
      </c>
      <c r="DD78" s="1" t="s">
        <v>518</v>
      </c>
      <c r="DE78" s="1" t="s">
        <v>273</v>
      </c>
      <c r="DF78" s="1" t="s">
        <v>619</v>
      </c>
      <c r="DH78" s="1" t="s">
        <v>856</v>
      </c>
      <c r="DI78" s="1" t="s">
        <v>1318</v>
      </c>
      <c r="DJ78" s="1" t="s">
        <v>857</v>
      </c>
      <c r="DL78" s="1" t="s">
        <v>1853</v>
      </c>
      <c r="DM78" s="1" t="s">
        <v>229</v>
      </c>
      <c r="DO78" s="1" t="s">
        <v>590</v>
      </c>
      <c r="DQ78" s="1" t="s">
        <v>1557</v>
      </c>
      <c r="DR78" s="1" t="s">
        <v>229</v>
      </c>
      <c r="DV78" s="1" t="s">
        <v>232</v>
      </c>
      <c r="DW78" s="1" t="s">
        <v>667</v>
      </c>
      <c r="DX78" s="1" t="s">
        <v>234</v>
      </c>
      <c r="DZ78" s="1" t="s">
        <v>1854</v>
      </c>
      <c r="EA78" s="1" t="s">
        <v>447</v>
      </c>
      <c r="EB78" s="1" t="s">
        <v>345</v>
      </c>
      <c r="EC78" s="1" t="s">
        <v>237</v>
      </c>
      <c r="EM78" s="1" t="s">
        <v>238</v>
      </c>
      <c r="EQ78" s="1" t="s">
        <v>238</v>
      </c>
      <c r="EU78" s="1" t="s">
        <v>238</v>
      </c>
      <c r="EY78" s="1" t="s">
        <v>238</v>
      </c>
      <c r="FC78" s="1" t="s">
        <v>238</v>
      </c>
      <c r="FF78" s="1" t="s">
        <v>239</v>
      </c>
      <c r="FG78" s="1" t="s">
        <v>192</v>
      </c>
      <c r="FH78" s="1" t="s">
        <v>192</v>
      </c>
      <c r="FJ78" s="1" t="s">
        <v>347</v>
      </c>
      <c r="FK78" s="1" t="s">
        <v>557</v>
      </c>
      <c r="FL78" s="1" t="s">
        <v>1855</v>
      </c>
      <c r="FM78" s="1">
        <v>41.0</v>
      </c>
      <c r="FN78" s="1" t="s">
        <v>1856</v>
      </c>
      <c r="FO78" s="1" t="s">
        <v>1857</v>
      </c>
      <c r="FP78" s="1">
        <v>8483.0</v>
      </c>
      <c r="FQ78" s="1" t="s">
        <v>1858</v>
      </c>
      <c r="FS78" s="1" t="s">
        <v>1859</v>
      </c>
      <c r="FT78" s="1" t="s">
        <v>1860</v>
      </c>
      <c r="FU78" s="1" t="s">
        <v>1861</v>
      </c>
      <c r="FV78" s="1" t="s">
        <v>200</v>
      </c>
      <c r="FW78" s="1" t="s">
        <v>1307</v>
      </c>
      <c r="FZ78" s="1" t="s">
        <v>229</v>
      </c>
      <c r="GA78" s="1" t="s">
        <v>291</v>
      </c>
      <c r="GB78" s="2">
        <v>42013.0</v>
      </c>
      <c r="GC78" s="1" t="s">
        <v>1862</v>
      </c>
    </row>
    <row r="79">
      <c r="A79" s="1">
        <v>284000.0</v>
      </c>
      <c r="B79" s="1" t="s">
        <v>185</v>
      </c>
      <c r="C79" s="1" t="str">
        <f>"08504018"</f>
        <v>08504018</v>
      </c>
      <c r="D79" s="1" t="s">
        <v>186</v>
      </c>
      <c r="F79" s="1" t="str">
        <f>"543"</f>
        <v>543</v>
      </c>
      <c r="G79" s="2">
        <v>41624.0</v>
      </c>
      <c r="H79" s="1">
        <v>299900.0</v>
      </c>
      <c r="I79" s="1">
        <v>62.0</v>
      </c>
      <c r="J79" s="1">
        <v>299900.0</v>
      </c>
      <c r="K79" s="2">
        <v>41685.0</v>
      </c>
      <c r="L79" s="1">
        <v>62.0</v>
      </c>
      <c r="M79" s="2">
        <v>41685.0</v>
      </c>
      <c r="N79" s="1" t="s">
        <v>187</v>
      </c>
      <c r="O79" s="2">
        <v>41995.0</v>
      </c>
      <c r="P79" s="1">
        <v>232024.0</v>
      </c>
      <c r="Q79" s="1">
        <v>23030.0</v>
      </c>
      <c r="S79" s="1">
        <v>403.0</v>
      </c>
      <c r="T79" s="1" t="s">
        <v>1863</v>
      </c>
      <c r="U79" s="1" t="s">
        <v>420</v>
      </c>
      <c r="V79" s="1" t="s">
        <v>1527</v>
      </c>
      <c r="W79" s="1">
        <v>60543.0</v>
      </c>
      <c r="X79" s="1">
        <v>7529.0</v>
      </c>
      <c r="Y79" s="1" t="s">
        <v>1864</v>
      </c>
      <c r="Z79" s="1">
        <v>2003.0</v>
      </c>
      <c r="AA79" s="1" t="s">
        <v>200</v>
      </c>
      <c r="AB79" s="1" t="s">
        <v>467</v>
      </c>
      <c r="AC79" s="1" t="s">
        <v>1865</v>
      </c>
      <c r="AD79" s="1" t="s">
        <v>1529</v>
      </c>
      <c r="AE79" s="1" t="s">
        <v>849</v>
      </c>
      <c r="AF79" s="1" t="s">
        <v>1529</v>
      </c>
      <c r="AH79" s="1" t="s">
        <v>1866</v>
      </c>
      <c r="AI79" s="1">
        <v>0.3968</v>
      </c>
      <c r="AK79" s="1">
        <v>12.0</v>
      </c>
      <c r="AL79" s="1">
        <v>4.0</v>
      </c>
      <c r="AM79" s="1">
        <v>2.0</v>
      </c>
      <c r="AN79" s="1">
        <v>1.0</v>
      </c>
      <c r="AO79" s="1" t="s">
        <v>198</v>
      </c>
      <c r="AP79" s="1">
        <v>1.0</v>
      </c>
      <c r="AQ79" s="1" t="s">
        <v>198</v>
      </c>
      <c r="AR79" s="1" t="s">
        <v>200</v>
      </c>
      <c r="AS79" s="1" t="s">
        <v>199</v>
      </c>
      <c r="AT79" s="1">
        <v>3.0</v>
      </c>
      <c r="AV79" s="1" t="s">
        <v>200</v>
      </c>
      <c r="AW79" s="1">
        <v>8623.96</v>
      </c>
      <c r="AX79" s="1">
        <v>2012.0</v>
      </c>
      <c r="AY79" s="1" t="s">
        <v>387</v>
      </c>
      <c r="AZ79" s="1" t="s">
        <v>200</v>
      </c>
      <c r="BA79" s="1" t="str">
        <f>"0329107001"</f>
        <v>0329107001</v>
      </c>
      <c r="BB79" s="1" t="s">
        <v>200</v>
      </c>
      <c r="BC79" s="1">
        <v>2700.0</v>
      </c>
      <c r="BD79" s="1">
        <v>284000.0</v>
      </c>
      <c r="BE79" s="2">
        <v>41624.0</v>
      </c>
      <c r="BF79" s="2" t="s">
        <v>1867</v>
      </c>
      <c r="BG79" s="1" t="s">
        <v>1532</v>
      </c>
      <c r="BH79" s="1">
        <v>125.0</v>
      </c>
      <c r="BI79" s="1" t="s">
        <v>1533</v>
      </c>
      <c r="BJ79" s="1" t="s">
        <v>1349</v>
      </c>
      <c r="BK79" s="1" t="s">
        <v>580</v>
      </c>
      <c r="BL79" s="1" t="str">
        <f t="shared" ref="BL79:BM79" si="50">""</f>
        <v/>
      </c>
      <c r="BM79" s="1" t="str">
        <f t="shared" si="50"/>
        <v/>
      </c>
      <c r="BQ79" s="1">
        <v>308.0</v>
      </c>
      <c r="BR79" s="1">
        <v>308.0</v>
      </c>
      <c r="BS79" s="1">
        <v>308.0</v>
      </c>
      <c r="BU79" s="1" t="s">
        <v>215</v>
      </c>
      <c r="BV79" s="1" t="s">
        <v>206</v>
      </c>
      <c r="BW79" s="1" t="s">
        <v>207</v>
      </c>
      <c r="BX79" s="1" t="s">
        <v>431</v>
      </c>
      <c r="BY79" s="1" t="s">
        <v>1426</v>
      </c>
      <c r="BZ79" s="1" t="s">
        <v>209</v>
      </c>
      <c r="CA79" s="1" t="s">
        <v>210</v>
      </c>
      <c r="CB79" s="1" t="s">
        <v>431</v>
      </c>
      <c r="CC79" s="1" t="s">
        <v>215</v>
      </c>
      <c r="CD79" s="1" t="s">
        <v>206</v>
      </c>
      <c r="CE79" s="1" t="s">
        <v>207</v>
      </c>
      <c r="CF79" s="1" t="s">
        <v>431</v>
      </c>
      <c r="CG79" s="1" t="s">
        <v>729</v>
      </c>
      <c r="CH79" s="1" t="s">
        <v>209</v>
      </c>
      <c r="CI79" s="1" t="s">
        <v>210</v>
      </c>
      <c r="CJ79" s="1" t="s">
        <v>431</v>
      </c>
      <c r="CK79" s="1" t="s">
        <v>215</v>
      </c>
      <c r="CL79" s="1" t="s">
        <v>209</v>
      </c>
      <c r="CM79" s="1" t="s">
        <v>210</v>
      </c>
      <c r="CN79" s="1" t="s">
        <v>431</v>
      </c>
      <c r="CO79" s="1" t="s">
        <v>647</v>
      </c>
      <c r="CP79" s="1" t="s">
        <v>209</v>
      </c>
      <c r="CQ79" s="1" t="s">
        <v>210</v>
      </c>
      <c r="CR79" s="1" t="s">
        <v>1118</v>
      </c>
      <c r="CS79" s="1" t="s">
        <v>647</v>
      </c>
      <c r="CT79" s="1" t="s">
        <v>206</v>
      </c>
      <c r="CU79" s="1" t="s">
        <v>207</v>
      </c>
      <c r="CV79" s="1" t="s">
        <v>431</v>
      </c>
      <c r="CW79" s="1" t="s">
        <v>924</v>
      </c>
      <c r="CX79" s="1" t="s">
        <v>206</v>
      </c>
      <c r="CY79" s="1" t="s">
        <v>207</v>
      </c>
      <c r="CZ79" s="1" t="s">
        <v>431</v>
      </c>
      <c r="DA79" s="1" t="s">
        <v>200</v>
      </c>
      <c r="DC79" s="1" t="s">
        <v>335</v>
      </c>
      <c r="DD79" s="1" t="s">
        <v>926</v>
      </c>
      <c r="DE79" s="1" t="s">
        <v>273</v>
      </c>
      <c r="DF79" s="1" t="s">
        <v>219</v>
      </c>
      <c r="DG79" s="1" t="s">
        <v>1020</v>
      </c>
      <c r="DH79" s="1" t="s">
        <v>220</v>
      </c>
      <c r="DI79" s="1" t="s">
        <v>1868</v>
      </c>
      <c r="DJ79" s="1" t="s">
        <v>1048</v>
      </c>
      <c r="DK79" s="1" t="s">
        <v>1869</v>
      </c>
      <c r="DL79" s="1" t="s">
        <v>1870</v>
      </c>
      <c r="DM79" s="1" t="s">
        <v>338</v>
      </c>
      <c r="DN79" s="1" t="s">
        <v>399</v>
      </c>
      <c r="DO79" s="1" t="s">
        <v>1871</v>
      </c>
      <c r="DP79" s="1" t="s">
        <v>340</v>
      </c>
      <c r="DQ79" s="1" t="s">
        <v>441</v>
      </c>
      <c r="DR79" s="1" t="s">
        <v>229</v>
      </c>
      <c r="DS79" s="1" t="s">
        <v>368</v>
      </c>
      <c r="DU79" s="1" t="s">
        <v>1872</v>
      </c>
      <c r="DV79" s="1" t="s">
        <v>1873</v>
      </c>
      <c r="DW79" s="1" t="s">
        <v>934</v>
      </c>
      <c r="DX79" s="1" t="s">
        <v>234</v>
      </c>
      <c r="DY79" s="1" t="s">
        <v>1051</v>
      </c>
      <c r="DZ79" s="1" t="s">
        <v>862</v>
      </c>
      <c r="EB79" s="1" t="s">
        <v>937</v>
      </c>
      <c r="EC79" s="1" t="s">
        <v>237</v>
      </c>
      <c r="ED79" s="1" t="s">
        <v>407</v>
      </c>
      <c r="EE79" s="1" t="s">
        <v>1077</v>
      </c>
      <c r="EG79" s="1" t="s">
        <v>494</v>
      </c>
      <c r="EH79" s="1" t="s">
        <v>1102</v>
      </c>
      <c r="EI79" s="1" t="s">
        <v>449</v>
      </c>
      <c r="EJ79" s="1" t="s">
        <v>1121</v>
      </c>
      <c r="EK79" s="1" t="s">
        <v>588</v>
      </c>
      <c r="EL79" s="1" t="s">
        <v>495</v>
      </c>
      <c r="EM79" s="1" t="s">
        <v>206</v>
      </c>
      <c r="EN79" s="1" t="s">
        <v>210</v>
      </c>
      <c r="EO79" s="1" t="s">
        <v>431</v>
      </c>
      <c r="EP79" s="1" t="s">
        <v>639</v>
      </c>
      <c r="EQ79" s="1" t="s">
        <v>206</v>
      </c>
      <c r="ER79" s="1" t="s">
        <v>268</v>
      </c>
      <c r="ES79" s="1" t="s">
        <v>431</v>
      </c>
      <c r="ET79" s="1" t="s">
        <v>647</v>
      </c>
      <c r="EU79" s="1" t="s">
        <v>206</v>
      </c>
      <c r="EV79" s="1" t="s">
        <v>207</v>
      </c>
      <c r="EW79" s="1" t="s">
        <v>431</v>
      </c>
      <c r="EX79" s="1" t="s">
        <v>1874</v>
      </c>
      <c r="EY79" s="1" t="s">
        <v>209</v>
      </c>
      <c r="EZ79" s="1" t="s">
        <v>210</v>
      </c>
      <c r="FA79" s="1" t="s">
        <v>431</v>
      </c>
      <c r="FB79" s="1" t="s">
        <v>1875</v>
      </c>
      <c r="FC79" s="1" t="s">
        <v>42</v>
      </c>
      <c r="FD79" s="1" t="s">
        <v>617</v>
      </c>
      <c r="FF79" s="1" t="s">
        <v>239</v>
      </c>
      <c r="FG79" s="1" t="s">
        <v>192</v>
      </c>
      <c r="FH79" s="1" t="s">
        <v>192</v>
      </c>
      <c r="FJ79" s="1" t="s">
        <v>1876</v>
      </c>
      <c r="FK79" s="1" t="s">
        <v>229</v>
      </c>
      <c r="FL79" s="1" t="s">
        <v>1877</v>
      </c>
      <c r="FM79" s="1">
        <v>24695.0</v>
      </c>
      <c r="FN79" s="1" t="s">
        <v>1878</v>
      </c>
      <c r="FO79" s="1" t="s">
        <v>1879</v>
      </c>
      <c r="FP79" s="1">
        <v>233474.0</v>
      </c>
      <c r="FQ79" s="1" t="s">
        <v>1880</v>
      </c>
      <c r="FR79" s="1">
        <v>239813.0</v>
      </c>
      <c r="FS79" s="1" t="s">
        <v>1881</v>
      </c>
      <c r="FU79" s="1" t="s">
        <v>1882</v>
      </c>
      <c r="FV79" s="1" t="s">
        <v>200</v>
      </c>
      <c r="FW79" s="1" t="s">
        <v>290</v>
      </c>
      <c r="FZ79" s="1" t="s">
        <v>229</v>
      </c>
      <c r="GA79" s="1" t="s">
        <v>291</v>
      </c>
      <c r="GB79" s="2">
        <v>42002.0</v>
      </c>
      <c r="GC79" s="1" t="s">
        <v>1883</v>
      </c>
    </row>
    <row r="80">
      <c r="A80" s="1">
        <v>188100.0</v>
      </c>
      <c r="B80" s="1" t="s">
        <v>185</v>
      </c>
      <c r="C80" s="1" t="str">
        <f>"08582160"</f>
        <v>08582160</v>
      </c>
      <c r="D80" s="1" t="s">
        <v>186</v>
      </c>
      <c r="F80" s="1" t="str">
        <f>"538"</f>
        <v>538</v>
      </c>
      <c r="G80" s="2">
        <v>41739.0</v>
      </c>
      <c r="H80" s="1">
        <v>247900.0</v>
      </c>
      <c r="I80" s="1">
        <v>408.0</v>
      </c>
      <c r="J80" s="1">
        <v>194900.0</v>
      </c>
      <c r="K80" s="2">
        <v>41941.0</v>
      </c>
      <c r="L80" s="1">
        <v>203.0</v>
      </c>
      <c r="M80" s="2">
        <v>41941.0</v>
      </c>
      <c r="N80" s="1" t="s">
        <v>356</v>
      </c>
      <c r="O80" s="2">
        <v>41985.0</v>
      </c>
      <c r="P80" s="1">
        <v>300558.0</v>
      </c>
      <c r="Q80" s="1">
        <v>558.0</v>
      </c>
      <c r="R80" s="1">
        <v>5643.0</v>
      </c>
      <c r="S80" s="1">
        <v>1845.0</v>
      </c>
      <c r="T80" s="1" t="s">
        <v>1884</v>
      </c>
      <c r="U80" s="1" t="s">
        <v>1174</v>
      </c>
      <c r="V80" s="1" t="s">
        <v>1340</v>
      </c>
      <c r="W80" s="1">
        <v>60538.0</v>
      </c>
      <c r="X80" s="1">
        <v>4078.0</v>
      </c>
      <c r="Y80" s="1" t="s">
        <v>1885</v>
      </c>
      <c r="Z80" s="1">
        <v>2003.0</v>
      </c>
      <c r="AA80" s="1" t="s">
        <v>200</v>
      </c>
      <c r="AB80" s="1" t="s">
        <v>193</v>
      </c>
      <c r="AC80" s="1" t="s">
        <v>1886</v>
      </c>
      <c r="AD80" s="1" t="s">
        <v>1343</v>
      </c>
      <c r="AE80" s="1" t="s">
        <v>325</v>
      </c>
      <c r="AF80" s="1" t="s">
        <v>1887</v>
      </c>
      <c r="AH80" s="1" t="s">
        <v>1888</v>
      </c>
      <c r="AK80" s="1">
        <v>9.0</v>
      </c>
      <c r="AL80" s="1">
        <v>4.0</v>
      </c>
      <c r="AM80" s="1">
        <v>2.0</v>
      </c>
      <c r="AN80" s="1">
        <v>1.0</v>
      </c>
      <c r="AO80" s="1" t="s">
        <v>198</v>
      </c>
      <c r="AQ80" s="1" t="s">
        <v>1314</v>
      </c>
      <c r="AR80" s="1" t="s">
        <v>200</v>
      </c>
      <c r="AS80" s="1" t="s">
        <v>199</v>
      </c>
      <c r="AT80" s="1">
        <v>2.0</v>
      </c>
      <c r="AV80" s="1" t="s">
        <v>200</v>
      </c>
      <c r="AW80" s="1">
        <v>7812.74</v>
      </c>
      <c r="AX80" s="1">
        <v>2013.0</v>
      </c>
      <c r="AY80" s="1" t="s">
        <v>387</v>
      </c>
      <c r="AZ80" s="1" t="s">
        <v>200</v>
      </c>
      <c r="BA80" s="1" t="str">
        <f>"1435382027"</f>
        <v>1435382027</v>
      </c>
      <c r="BB80" s="1" t="s">
        <v>200</v>
      </c>
      <c r="BC80" s="1">
        <v>2811.0</v>
      </c>
      <c r="BD80" s="1">
        <v>188100.0</v>
      </c>
      <c r="BE80" s="2">
        <v>41739.0</v>
      </c>
      <c r="BF80" s="1" t="s">
        <v>1889</v>
      </c>
      <c r="BG80" s="1" t="s">
        <v>1890</v>
      </c>
      <c r="BH80" s="1">
        <v>0.0</v>
      </c>
      <c r="BI80" s="1" t="s">
        <v>1635</v>
      </c>
      <c r="BJ80" s="1" t="s">
        <v>1636</v>
      </c>
      <c r="BK80" s="1" t="s">
        <v>204</v>
      </c>
      <c r="BL80" s="1" t="str">
        <f t="shared" ref="BL80:BM80" si="51">"0"</f>
        <v>0</v>
      </c>
      <c r="BM80" s="1" t="str">
        <f t="shared" si="51"/>
        <v>0</v>
      </c>
      <c r="BN80" s="1">
        <v>25.0</v>
      </c>
      <c r="BO80" s="1">
        <v>10.0</v>
      </c>
      <c r="BQ80" s="1">
        <v>302.0</v>
      </c>
      <c r="BR80" s="1">
        <v>302.0</v>
      </c>
      <c r="BS80" s="1">
        <v>302.0</v>
      </c>
      <c r="BU80" s="1" t="s">
        <v>215</v>
      </c>
      <c r="BV80" s="1" t="s">
        <v>206</v>
      </c>
      <c r="BY80" s="1" t="s">
        <v>782</v>
      </c>
      <c r="BZ80" s="1" t="s">
        <v>209</v>
      </c>
      <c r="CC80" s="1" t="s">
        <v>699</v>
      </c>
      <c r="CD80" s="1" t="s">
        <v>206</v>
      </c>
      <c r="CG80" s="1" t="s">
        <v>758</v>
      </c>
      <c r="CH80" s="1" t="s">
        <v>209</v>
      </c>
      <c r="CK80" s="1" t="s">
        <v>262</v>
      </c>
      <c r="CL80" s="1" t="s">
        <v>209</v>
      </c>
      <c r="CO80" s="1" t="s">
        <v>699</v>
      </c>
      <c r="CP80" s="1" t="s">
        <v>209</v>
      </c>
      <c r="CS80" s="1" t="s">
        <v>1891</v>
      </c>
      <c r="CT80" s="1" t="s">
        <v>206</v>
      </c>
      <c r="CW80" s="1" t="s">
        <v>1892</v>
      </c>
      <c r="CX80" s="1" t="s">
        <v>206</v>
      </c>
      <c r="DA80" s="1" t="s">
        <v>200</v>
      </c>
      <c r="DC80" s="1" t="s">
        <v>335</v>
      </c>
      <c r="DD80" s="1" t="s">
        <v>336</v>
      </c>
      <c r="DE80" s="1" t="s">
        <v>273</v>
      </c>
      <c r="DF80" s="1" t="s">
        <v>219</v>
      </c>
      <c r="DG80" s="1" t="s">
        <v>337</v>
      </c>
      <c r="DH80" s="1" t="s">
        <v>220</v>
      </c>
      <c r="DJ80" s="1" t="s">
        <v>222</v>
      </c>
      <c r="DL80" s="1" t="s">
        <v>858</v>
      </c>
      <c r="DM80" s="1" t="s">
        <v>229</v>
      </c>
      <c r="DP80" s="1" t="s">
        <v>340</v>
      </c>
      <c r="DQ80" s="1" t="s">
        <v>228</v>
      </c>
      <c r="DR80" s="1" t="s">
        <v>229</v>
      </c>
      <c r="DS80" s="1" t="s">
        <v>230</v>
      </c>
      <c r="DV80" s="1" t="s">
        <v>341</v>
      </c>
      <c r="DW80" s="1" t="s">
        <v>891</v>
      </c>
      <c r="DX80" s="1" t="s">
        <v>234</v>
      </c>
      <c r="EC80" s="1" t="s">
        <v>237</v>
      </c>
      <c r="EH80" s="1" t="s">
        <v>341</v>
      </c>
      <c r="EM80" s="1" t="s">
        <v>238</v>
      </c>
      <c r="EP80" s="1" t="s">
        <v>925</v>
      </c>
      <c r="EQ80" s="1" t="s">
        <v>209</v>
      </c>
      <c r="EU80" s="1" t="s">
        <v>238</v>
      </c>
      <c r="EY80" s="1" t="s">
        <v>238</v>
      </c>
      <c r="FC80" s="1" t="s">
        <v>238</v>
      </c>
      <c r="FF80" s="1" t="s">
        <v>239</v>
      </c>
      <c r="FG80" s="1" t="s">
        <v>192</v>
      </c>
      <c r="FH80" s="1" t="s">
        <v>192</v>
      </c>
      <c r="FJ80" s="1" t="s">
        <v>524</v>
      </c>
      <c r="FK80" s="1" t="s">
        <v>229</v>
      </c>
      <c r="FL80" s="1" t="s">
        <v>1893</v>
      </c>
      <c r="FM80" s="1">
        <v>23187.0</v>
      </c>
      <c r="FN80" s="1" t="s">
        <v>1894</v>
      </c>
      <c r="FO80" s="1" t="s">
        <v>1895</v>
      </c>
      <c r="FP80" s="1">
        <v>233406.0</v>
      </c>
      <c r="FQ80" s="1" t="s">
        <v>1896</v>
      </c>
      <c r="FR80" s="1">
        <v>232524.0</v>
      </c>
      <c r="FU80" s="1" t="s">
        <v>1541</v>
      </c>
      <c r="FV80" s="1" t="s">
        <v>200</v>
      </c>
      <c r="FW80" s="1" t="s">
        <v>1897</v>
      </c>
      <c r="FZ80" s="1" t="s">
        <v>229</v>
      </c>
      <c r="GA80" s="1" t="s">
        <v>291</v>
      </c>
      <c r="GB80" s="2">
        <v>41985.0</v>
      </c>
      <c r="GC80" s="1" t="s">
        <v>1898</v>
      </c>
    </row>
    <row r="81">
      <c r="A81" s="1">
        <v>93500.0</v>
      </c>
      <c r="B81" s="1" t="s">
        <v>185</v>
      </c>
      <c r="C81" s="1" t="str">
        <f>"08505051"</f>
        <v>08505051</v>
      </c>
      <c r="D81" s="1" t="s">
        <v>186</v>
      </c>
      <c r="F81" s="1" t="str">
        <f>"110"</f>
        <v>110</v>
      </c>
      <c r="G81" s="2">
        <v>41625.0</v>
      </c>
      <c r="H81" s="1">
        <v>99900.0</v>
      </c>
      <c r="I81" s="1">
        <v>32.0</v>
      </c>
      <c r="J81" s="1">
        <v>99900.0</v>
      </c>
      <c r="K81" s="2">
        <v>41653.0</v>
      </c>
      <c r="L81" s="1">
        <v>32.0</v>
      </c>
      <c r="M81" s="2">
        <v>41653.0</v>
      </c>
      <c r="N81" s="1" t="s">
        <v>187</v>
      </c>
      <c r="O81" s="2">
        <v>42094.0</v>
      </c>
      <c r="P81" s="1">
        <v>88150.0</v>
      </c>
      <c r="Q81" s="1">
        <v>8965.0</v>
      </c>
      <c r="S81" s="1">
        <v>1.0</v>
      </c>
      <c r="T81" s="1" t="s">
        <v>1899</v>
      </c>
      <c r="U81" s="1" t="s">
        <v>189</v>
      </c>
      <c r="V81" s="1" t="s">
        <v>807</v>
      </c>
      <c r="W81" s="1">
        <v>60110.0</v>
      </c>
      <c r="Y81" s="1" t="s">
        <v>1900</v>
      </c>
      <c r="Z81" s="1" t="s">
        <v>296</v>
      </c>
      <c r="AA81" s="1" t="s">
        <v>192</v>
      </c>
      <c r="AB81" s="1" t="s">
        <v>193</v>
      </c>
      <c r="AD81" s="1" t="s">
        <v>809</v>
      </c>
      <c r="AE81" s="1" t="s">
        <v>325</v>
      </c>
      <c r="AF81" s="1" t="s">
        <v>810</v>
      </c>
      <c r="AH81" s="1" t="s">
        <v>1901</v>
      </c>
      <c r="AK81" s="1">
        <v>6.0</v>
      </c>
      <c r="AL81" s="1">
        <v>4.0</v>
      </c>
      <c r="AM81" s="1">
        <v>3.0</v>
      </c>
      <c r="AN81" s="1">
        <v>0.0</v>
      </c>
      <c r="AO81" s="1" t="s">
        <v>198</v>
      </c>
      <c r="AP81" s="1">
        <v>1.0</v>
      </c>
      <c r="AQ81" s="1" t="s">
        <v>257</v>
      </c>
      <c r="AR81" s="1" t="s">
        <v>192</v>
      </c>
      <c r="AS81" s="1" t="s">
        <v>199</v>
      </c>
      <c r="AT81" s="1">
        <v>2.0</v>
      </c>
      <c r="AV81" s="1" t="s">
        <v>200</v>
      </c>
      <c r="AW81" s="1" t="s">
        <v>1902</v>
      </c>
      <c r="AX81" s="1">
        <v>2012.0</v>
      </c>
      <c r="AY81" s="1" t="s">
        <v>588</v>
      </c>
      <c r="AZ81" s="1" t="s">
        <v>200</v>
      </c>
      <c r="BA81" s="1" t="str">
        <f>"0313155002"</f>
        <v>0313155002</v>
      </c>
      <c r="BB81" s="1" t="s">
        <v>192</v>
      </c>
      <c r="BC81" s="1">
        <v>1800.0</v>
      </c>
      <c r="BD81" s="1">
        <v>93500.0</v>
      </c>
      <c r="BE81" s="2">
        <v>41622.0</v>
      </c>
      <c r="BF81" s="1" t="s">
        <v>1903</v>
      </c>
      <c r="BH81" s="1">
        <v>0.0</v>
      </c>
      <c r="BK81" s="1" t="s">
        <v>204</v>
      </c>
      <c r="BL81" s="1" t="str">
        <f t="shared" ref="BL81:BM81" si="52">""</f>
        <v/>
      </c>
      <c r="BM81" s="1" t="str">
        <f t="shared" si="52"/>
        <v/>
      </c>
      <c r="BQ81" s="1">
        <v>300.0</v>
      </c>
      <c r="BR81" s="1">
        <v>300.0</v>
      </c>
      <c r="BS81" s="1">
        <v>300.0</v>
      </c>
      <c r="BV81" s="1" t="s">
        <v>204</v>
      </c>
      <c r="BW81" s="1" t="s">
        <v>210</v>
      </c>
      <c r="BY81" s="1" t="s">
        <v>583</v>
      </c>
      <c r="BZ81" s="1" t="s">
        <v>206</v>
      </c>
      <c r="CA81" s="1" t="s">
        <v>210</v>
      </c>
      <c r="CC81" s="1" t="s">
        <v>664</v>
      </c>
      <c r="CD81" s="1" t="s">
        <v>206</v>
      </c>
      <c r="CE81" s="1" t="s">
        <v>210</v>
      </c>
      <c r="CG81" s="1" t="s">
        <v>433</v>
      </c>
      <c r="CH81" s="1" t="s">
        <v>209</v>
      </c>
      <c r="CI81" s="1" t="s">
        <v>210</v>
      </c>
      <c r="CK81" s="1" t="s">
        <v>269</v>
      </c>
      <c r="CL81" s="1" t="s">
        <v>209</v>
      </c>
      <c r="CM81" s="1" t="s">
        <v>210</v>
      </c>
      <c r="CO81" s="1" t="s">
        <v>269</v>
      </c>
      <c r="CP81" s="1" t="s">
        <v>209</v>
      </c>
      <c r="CQ81" s="1" t="s">
        <v>210</v>
      </c>
      <c r="CS81" s="1" t="s">
        <v>1904</v>
      </c>
      <c r="CT81" s="1" t="s">
        <v>206</v>
      </c>
      <c r="CU81" s="1" t="s">
        <v>617</v>
      </c>
      <c r="CX81" s="1" t="s">
        <v>204</v>
      </c>
      <c r="DA81" s="1" t="s">
        <v>200</v>
      </c>
      <c r="DC81" s="1" t="s">
        <v>545</v>
      </c>
      <c r="DE81" s="1" t="s">
        <v>1905</v>
      </c>
      <c r="DF81" s="1" t="s">
        <v>219</v>
      </c>
      <c r="DH81" s="1" t="s">
        <v>220</v>
      </c>
      <c r="DI81" s="1" t="s">
        <v>680</v>
      </c>
      <c r="DJ81" s="1" t="s">
        <v>222</v>
      </c>
      <c r="DL81" s="1" t="s">
        <v>224</v>
      </c>
      <c r="DM81" s="1" t="s">
        <v>229</v>
      </c>
      <c r="DQ81" s="1" t="s">
        <v>441</v>
      </c>
      <c r="DR81" s="1" t="s">
        <v>229</v>
      </c>
      <c r="DV81" s="1" t="s">
        <v>232</v>
      </c>
      <c r="DW81" s="1" t="s">
        <v>667</v>
      </c>
      <c r="DX81" s="1" t="s">
        <v>234</v>
      </c>
      <c r="EB81" s="1" t="s">
        <v>684</v>
      </c>
      <c r="EC81" s="1" t="s">
        <v>645</v>
      </c>
      <c r="EM81" s="1" t="s">
        <v>238</v>
      </c>
      <c r="EQ81" s="1" t="s">
        <v>238</v>
      </c>
      <c r="EU81" s="1" t="s">
        <v>238</v>
      </c>
      <c r="EY81" s="1" t="s">
        <v>238</v>
      </c>
      <c r="FC81" s="1" t="s">
        <v>238</v>
      </c>
      <c r="FF81" s="1" t="s">
        <v>239</v>
      </c>
      <c r="FG81" s="1" t="s">
        <v>200</v>
      </c>
      <c r="FH81" s="1" t="s">
        <v>192</v>
      </c>
      <c r="FJ81" s="1" t="s">
        <v>1906</v>
      </c>
      <c r="FK81" s="1" t="s">
        <v>229</v>
      </c>
      <c r="FL81" s="1" t="s">
        <v>1907</v>
      </c>
      <c r="FM81" s="1">
        <v>140.0</v>
      </c>
      <c r="FN81" s="1" t="s">
        <v>1908</v>
      </c>
      <c r="FO81" s="1" t="s">
        <v>1909</v>
      </c>
      <c r="FP81" s="1">
        <v>8301.0</v>
      </c>
      <c r="FS81" s="1" t="s">
        <v>1910</v>
      </c>
      <c r="FU81" s="1" t="s">
        <v>1911</v>
      </c>
      <c r="FV81" s="1" t="s">
        <v>200</v>
      </c>
      <c r="FW81" s="1" t="s">
        <v>290</v>
      </c>
      <c r="FZ81" s="1" t="s">
        <v>229</v>
      </c>
      <c r="GA81" s="1" t="s">
        <v>291</v>
      </c>
      <c r="GB81" s="2">
        <v>42094.0</v>
      </c>
      <c r="GC81" s="1" t="s">
        <v>1912</v>
      </c>
    </row>
    <row r="82">
      <c r="A82" s="1">
        <v>295000.0</v>
      </c>
      <c r="B82" s="1" t="s">
        <v>185</v>
      </c>
      <c r="C82" s="1" t="str">
        <f>"08509571"</f>
        <v>08509571</v>
      </c>
      <c r="D82" s="1" t="s">
        <v>186</v>
      </c>
      <c r="F82" s="1" t="str">
        <f>"134"</f>
        <v>134</v>
      </c>
      <c r="G82" s="2">
        <v>41640.0</v>
      </c>
      <c r="H82" s="1">
        <v>328900.0</v>
      </c>
      <c r="I82" s="1">
        <v>1022.0</v>
      </c>
      <c r="J82" s="1">
        <v>299999.0</v>
      </c>
      <c r="K82" s="2">
        <v>42028.0</v>
      </c>
      <c r="L82" s="1">
        <v>389.0</v>
      </c>
      <c r="M82" s="2">
        <v>42028.0</v>
      </c>
      <c r="N82" s="1" t="s">
        <v>187</v>
      </c>
      <c r="O82" s="2">
        <v>42068.0</v>
      </c>
      <c r="P82" s="1">
        <v>197.0</v>
      </c>
      <c r="Q82" s="1">
        <v>49.0</v>
      </c>
      <c r="R82" s="1">
        <v>5000.0</v>
      </c>
      <c r="S82" s="1">
        <v>2310.0</v>
      </c>
      <c r="T82" s="1" t="s">
        <v>1913</v>
      </c>
      <c r="U82" s="1" t="s">
        <v>1174</v>
      </c>
      <c r="V82" s="1" t="s">
        <v>421</v>
      </c>
      <c r="W82" s="1">
        <v>60134.0</v>
      </c>
      <c r="Y82" s="1" t="s">
        <v>1914</v>
      </c>
      <c r="Z82" s="1">
        <v>1980.0</v>
      </c>
      <c r="AA82" s="1" t="s">
        <v>200</v>
      </c>
      <c r="AB82" s="1" t="s">
        <v>193</v>
      </c>
      <c r="AC82" s="1" t="s">
        <v>1915</v>
      </c>
      <c r="AD82" s="1" t="s">
        <v>424</v>
      </c>
      <c r="AE82" s="1" t="s">
        <v>325</v>
      </c>
      <c r="AF82" s="1" t="s">
        <v>424</v>
      </c>
      <c r="AH82" s="1" t="s">
        <v>1916</v>
      </c>
      <c r="AI82" s="1">
        <v>0.0</v>
      </c>
      <c r="AK82" s="1">
        <v>9.0</v>
      </c>
      <c r="AL82" s="1">
        <v>4.0</v>
      </c>
      <c r="AM82" s="1">
        <v>2.0</v>
      </c>
      <c r="AN82" s="1">
        <v>1.0</v>
      </c>
      <c r="AO82" s="1" t="s">
        <v>198</v>
      </c>
      <c r="AP82" s="1">
        <v>1.0</v>
      </c>
      <c r="AQ82" s="1" t="s">
        <v>198</v>
      </c>
      <c r="AR82" s="1" t="s">
        <v>200</v>
      </c>
      <c r="AS82" s="1" t="s">
        <v>199</v>
      </c>
      <c r="AT82" s="1">
        <v>2.5</v>
      </c>
      <c r="AV82" s="1" t="s">
        <v>200</v>
      </c>
      <c r="AW82" s="1">
        <v>8174.2</v>
      </c>
      <c r="AX82" s="1">
        <v>2013.0</v>
      </c>
      <c r="AY82" s="1" t="s">
        <v>1917</v>
      </c>
      <c r="AZ82" s="1" t="s">
        <v>200</v>
      </c>
      <c r="BA82" s="1" t="str">
        <f>"1204174001"</f>
        <v>1204174001</v>
      </c>
      <c r="BB82" s="1" t="s">
        <v>200</v>
      </c>
      <c r="BC82" s="1">
        <v>2337.0</v>
      </c>
      <c r="BD82" s="1">
        <v>295000.0</v>
      </c>
      <c r="BE82" s="2">
        <v>41640.0</v>
      </c>
      <c r="BF82" s="2" t="s">
        <v>1918</v>
      </c>
      <c r="BH82" s="1">
        <v>0.0</v>
      </c>
      <c r="BK82" s="1" t="s">
        <v>204</v>
      </c>
      <c r="BL82" s="1" t="str">
        <f>"1"</f>
        <v>1</v>
      </c>
      <c r="BM82" s="1" t="str">
        <f>"0"</f>
        <v>0</v>
      </c>
      <c r="BN82" s="1">
        <v>36.0</v>
      </c>
      <c r="BO82" s="1">
        <v>0.0</v>
      </c>
      <c r="BQ82" s="1">
        <v>304.0</v>
      </c>
      <c r="BR82" s="1">
        <v>304.0</v>
      </c>
      <c r="BS82" s="1">
        <v>304.0</v>
      </c>
      <c r="BU82" s="1" t="s">
        <v>361</v>
      </c>
      <c r="BV82" s="1" t="s">
        <v>206</v>
      </c>
      <c r="BW82" s="1" t="s">
        <v>210</v>
      </c>
      <c r="BY82" s="1" t="s">
        <v>1483</v>
      </c>
      <c r="BZ82" s="1" t="s">
        <v>209</v>
      </c>
      <c r="CA82" s="1" t="s">
        <v>210</v>
      </c>
      <c r="CC82" s="1" t="s">
        <v>215</v>
      </c>
      <c r="CD82" s="1" t="s">
        <v>206</v>
      </c>
      <c r="CE82" s="1" t="s">
        <v>210</v>
      </c>
      <c r="CG82" s="1" t="s">
        <v>454</v>
      </c>
      <c r="CH82" s="1" t="s">
        <v>209</v>
      </c>
      <c r="CI82" s="1" t="s">
        <v>210</v>
      </c>
      <c r="CK82" s="1" t="s">
        <v>212</v>
      </c>
      <c r="CL82" s="1" t="s">
        <v>209</v>
      </c>
      <c r="CM82" s="1" t="s">
        <v>210</v>
      </c>
      <c r="CO82" s="1" t="s">
        <v>454</v>
      </c>
      <c r="CP82" s="1" t="s">
        <v>209</v>
      </c>
      <c r="CQ82" s="1" t="s">
        <v>210</v>
      </c>
      <c r="CS82" s="1" t="s">
        <v>331</v>
      </c>
      <c r="CT82" s="1" t="s">
        <v>206</v>
      </c>
      <c r="CU82" s="1" t="s">
        <v>268</v>
      </c>
      <c r="CW82" s="1" t="s">
        <v>616</v>
      </c>
      <c r="CX82" s="1" t="s">
        <v>206</v>
      </c>
      <c r="CY82" s="1" t="s">
        <v>210</v>
      </c>
      <c r="DA82" s="1" t="s">
        <v>200</v>
      </c>
      <c r="DC82" s="1" t="s">
        <v>395</v>
      </c>
      <c r="DE82" s="1" t="s">
        <v>273</v>
      </c>
      <c r="DF82" s="1" t="s">
        <v>619</v>
      </c>
      <c r="DG82" s="1" t="s">
        <v>482</v>
      </c>
      <c r="DH82" s="1" t="s">
        <v>220</v>
      </c>
      <c r="DI82" s="1" t="s">
        <v>680</v>
      </c>
      <c r="DJ82" s="1" t="s">
        <v>222</v>
      </c>
      <c r="DL82" s="1" t="s">
        <v>223</v>
      </c>
      <c r="DM82" s="1" t="s">
        <v>1919</v>
      </c>
      <c r="DQ82" s="1" t="s">
        <v>441</v>
      </c>
      <c r="DR82" s="1" t="s">
        <v>229</v>
      </c>
      <c r="DV82" s="1" t="s">
        <v>449</v>
      </c>
      <c r="DW82" s="1" t="s">
        <v>934</v>
      </c>
      <c r="DX82" s="1" t="s">
        <v>234</v>
      </c>
      <c r="DY82" s="1" t="s">
        <v>1189</v>
      </c>
      <c r="DZ82" s="1" t="s">
        <v>1466</v>
      </c>
      <c r="EA82" s="1" t="s">
        <v>447</v>
      </c>
      <c r="EB82" s="1" t="s">
        <v>492</v>
      </c>
      <c r="EC82" s="1" t="s">
        <v>237</v>
      </c>
      <c r="ED82" s="1" t="s">
        <v>555</v>
      </c>
      <c r="EG82" s="1" t="s">
        <v>449</v>
      </c>
      <c r="EL82" s="1" t="s">
        <v>375</v>
      </c>
      <c r="EM82" s="1" t="s">
        <v>206</v>
      </c>
      <c r="EN82" s="1" t="s">
        <v>268</v>
      </c>
      <c r="EQ82" s="1" t="s">
        <v>238</v>
      </c>
      <c r="EU82" s="1" t="s">
        <v>238</v>
      </c>
      <c r="EY82" s="1" t="s">
        <v>238</v>
      </c>
      <c r="FC82" s="1" t="s">
        <v>238</v>
      </c>
      <c r="FF82" s="1" t="s">
        <v>239</v>
      </c>
      <c r="FG82" s="1" t="s">
        <v>192</v>
      </c>
      <c r="FH82" s="1" t="s">
        <v>192</v>
      </c>
      <c r="FJ82" s="1" t="s">
        <v>624</v>
      </c>
      <c r="FK82" s="1" t="s">
        <v>229</v>
      </c>
      <c r="FL82" s="1" t="s">
        <v>1212</v>
      </c>
      <c r="FM82" s="1">
        <v>30.0</v>
      </c>
      <c r="FN82" s="1" t="s">
        <v>1213</v>
      </c>
      <c r="FO82" s="1" t="s">
        <v>1920</v>
      </c>
      <c r="FP82" s="1">
        <v>1520.0</v>
      </c>
      <c r="FQ82" s="1" t="s">
        <v>1921</v>
      </c>
      <c r="FS82" s="1" t="s">
        <v>1922</v>
      </c>
      <c r="FU82" s="1" t="s">
        <v>1923</v>
      </c>
      <c r="FV82" s="1" t="s">
        <v>200</v>
      </c>
      <c r="FW82" s="1" t="s">
        <v>290</v>
      </c>
      <c r="FZ82" s="1" t="s">
        <v>229</v>
      </c>
      <c r="GA82" s="1" t="s">
        <v>291</v>
      </c>
      <c r="GB82" s="2">
        <v>42068.0</v>
      </c>
      <c r="GC82" s="1" t="s">
        <v>1924</v>
      </c>
    </row>
    <row r="83">
      <c r="A83" s="1">
        <v>564622.0</v>
      </c>
      <c r="B83" s="1" t="s">
        <v>185</v>
      </c>
      <c r="C83" s="1" t="str">
        <f>"08501876"</f>
        <v>08501876</v>
      </c>
      <c r="D83" s="1" t="s">
        <v>186</v>
      </c>
      <c r="F83" s="1" t="str">
        <f>"8060"</f>
        <v>8060</v>
      </c>
      <c r="G83" s="2">
        <v>41619.0</v>
      </c>
      <c r="H83" s="1">
        <v>535000.0</v>
      </c>
      <c r="I83" s="1">
        <v>127.0</v>
      </c>
      <c r="J83" s="1">
        <v>535000.0</v>
      </c>
      <c r="K83" s="2">
        <v>41667.0</v>
      </c>
      <c r="L83" s="1">
        <v>49.0</v>
      </c>
      <c r="M83" s="2">
        <v>41667.0</v>
      </c>
      <c r="N83" s="1" t="s">
        <v>187</v>
      </c>
      <c r="O83" s="2">
        <v>41990.0</v>
      </c>
      <c r="P83" s="1">
        <v>230589.0</v>
      </c>
      <c r="Q83" s="1">
        <v>23602.0</v>
      </c>
      <c r="S83" s="1">
        <v>911.0</v>
      </c>
      <c r="T83" s="1" t="s">
        <v>1925</v>
      </c>
      <c r="U83" s="1" t="s">
        <v>320</v>
      </c>
      <c r="V83" s="1" t="s">
        <v>190</v>
      </c>
      <c r="W83" s="1">
        <v>60609.0</v>
      </c>
      <c r="Y83" s="1" t="s">
        <v>1926</v>
      </c>
      <c r="Z83" s="1">
        <v>2013.0</v>
      </c>
      <c r="AA83" s="1" t="s">
        <v>200</v>
      </c>
      <c r="AB83" s="1" t="s">
        <v>193</v>
      </c>
      <c r="AC83" s="1" t="s">
        <v>1927</v>
      </c>
      <c r="AD83" s="1" t="s">
        <v>194</v>
      </c>
      <c r="AE83" s="1" t="s">
        <v>195</v>
      </c>
      <c r="AF83" s="1" t="s">
        <v>1154</v>
      </c>
      <c r="AH83" s="1" t="s">
        <v>1928</v>
      </c>
      <c r="AK83" s="1">
        <v>9.0</v>
      </c>
      <c r="AL83" s="1">
        <v>3.0</v>
      </c>
      <c r="AM83" s="1">
        <v>3.0</v>
      </c>
      <c r="AN83" s="1">
        <v>1.0</v>
      </c>
      <c r="AO83" s="1" t="s">
        <v>198</v>
      </c>
      <c r="AQ83" s="1" t="s">
        <v>198</v>
      </c>
      <c r="AR83" s="1" t="s">
        <v>192</v>
      </c>
      <c r="AS83" s="1" t="s">
        <v>199</v>
      </c>
      <c r="AT83" s="1">
        <v>2.0</v>
      </c>
      <c r="AV83" s="1" t="s">
        <v>200</v>
      </c>
      <c r="AW83" s="1" t="s">
        <v>575</v>
      </c>
      <c r="AX83" s="1">
        <v>2012.0</v>
      </c>
      <c r="AZ83" s="1" t="s">
        <v>200</v>
      </c>
      <c r="BA83" s="1" t="str">
        <f>"17324080000000"</f>
        <v>17324080000000</v>
      </c>
      <c r="BC83" s="1">
        <v>3300.0</v>
      </c>
      <c r="BD83" s="1">
        <v>564622.0</v>
      </c>
      <c r="BE83" s="2">
        <v>41619.0</v>
      </c>
      <c r="BF83" s="2" t="s">
        <v>1929</v>
      </c>
      <c r="BH83" s="1">
        <v>0.0</v>
      </c>
      <c r="BK83" s="1" t="s">
        <v>204</v>
      </c>
      <c r="BL83" s="1" t="str">
        <f t="shared" ref="BL83:BM83" si="53">"0"</f>
        <v>0</v>
      </c>
      <c r="BM83" s="1" t="str">
        <f t="shared" si="53"/>
        <v>0</v>
      </c>
      <c r="BN83" s="1">
        <v>901.0</v>
      </c>
      <c r="BO83" s="1">
        <v>3700.0</v>
      </c>
      <c r="BQ83" s="1">
        <v>299.0</v>
      </c>
      <c r="BR83" s="1">
        <v>299.0</v>
      </c>
      <c r="BS83" s="1">
        <v>299.0</v>
      </c>
      <c r="BU83" s="1" t="s">
        <v>1892</v>
      </c>
      <c r="BV83" s="1" t="s">
        <v>206</v>
      </c>
      <c r="BW83" s="1" t="s">
        <v>207</v>
      </c>
      <c r="BY83" s="1" t="s">
        <v>664</v>
      </c>
      <c r="BZ83" s="1" t="s">
        <v>209</v>
      </c>
      <c r="CA83" s="1" t="s">
        <v>210</v>
      </c>
      <c r="CC83" s="1" t="s">
        <v>542</v>
      </c>
      <c r="CD83" s="1" t="s">
        <v>206</v>
      </c>
      <c r="CE83" s="1" t="s">
        <v>207</v>
      </c>
      <c r="CG83" s="1" t="s">
        <v>582</v>
      </c>
      <c r="CH83" s="1" t="s">
        <v>209</v>
      </c>
      <c r="CI83" s="1" t="s">
        <v>210</v>
      </c>
      <c r="CK83" s="1" t="s">
        <v>454</v>
      </c>
      <c r="CL83" s="1" t="s">
        <v>209</v>
      </c>
      <c r="CM83" s="1" t="s">
        <v>210</v>
      </c>
      <c r="CO83" s="1" t="s">
        <v>495</v>
      </c>
      <c r="CP83" s="1" t="s">
        <v>42</v>
      </c>
      <c r="CQ83" s="1" t="s">
        <v>210</v>
      </c>
      <c r="CS83" s="1" t="s">
        <v>495</v>
      </c>
      <c r="CT83" s="1" t="s">
        <v>206</v>
      </c>
      <c r="CU83" s="1" t="s">
        <v>207</v>
      </c>
      <c r="CW83" s="1" t="s">
        <v>213</v>
      </c>
      <c r="CX83" s="1" t="s">
        <v>206</v>
      </c>
      <c r="CY83" s="1" t="s">
        <v>207</v>
      </c>
      <c r="DA83" s="1" t="s">
        <v>192</v>
      </c>
      <c r="DB83" s="2">
        <v>41943.0</v>
      </c>
      <c r="DC83" s="1" t="s">
        <v>744</v>
      </c>
      <c r="DD83" s="1" t="s">
        <v>1930</v>
      </c>
      <c r="DE83" s="1" t="s">
        <v>273</v>
      </c>
      <c r="DF83" s="1" t="s">
        <v>1931</v>
      </c>
      <c r="DG83" s="1" t="s">
        <v>337</v>
      </c>
      <c r="DH83" s="1" t="s">
        <v>365</v>
      </c>
      <c r="DI83" s="1" t="s">
        <v>366</v>
      </c>
      <c r="DJ83" s="1" t="s">
        <v>222</v>
      </c>
      <c r="DL83" s="1" t="s">
        <v>1161</v>
      </c>
      <c r="DM83" s="1" t="s">
        <v>229</v>
      </c>
      <c r="DN83" s="1" t="s">
        <v>485</v>
      </c>
      <c r="DP83" s="1" t="s">
        <v>276</v>
      </c>
      <c r="DQ83" s="1" t="s">
        <v>794</v>
      </c>
      <c r="DR83" s="1" t="s">
        <v>229</v>
      </c>
      <c r="DS83" s="1" t="s">
        <v>368</v>
      </c>
      <c r="DT83" s="1" t="s">
        <v>1932</v>
      </c>
      <c r="DU83" s="1" t="s">
        <v>1933</v>
      </c>
      <c r="DV83" s="1" t="s">
        <v>1934</v>
      </c>
      <c r="DW83" s="1" t="s">
        <v>1935</v>
      </c>
      <c r="DX83" s="1" t="s">
        <v>234</v>
      </c>
      <c r="DY83" s="1" t="s">
        <v>1936</v>
      </c>
      <c r="DZ83" s="1" t="s">
        <v>310</v>
      </c>
      <c r="EA83" s="1" t="s">
        <v>344</v>
      </c>
      <c r="EC83" s="1" t="s">
        <v>237</v>
      </c>
      <c r="ED83" s="1" t="s">
        <v>555</v>
      </c>
      <c r="EE83" s="1" t="s">
        <v>187</v>
      </c>
      <c r="EG83" s="1" t="s">
        <v>409</v>
      </c>
      <c r="EH83" s="1" t="s">
        <v>450</v>
      </c>
      <c r="EI83" s="1" t="s">
        <v>310</v>
      </c>
      <c r="EL83" s="1" t="s">
        <v>1937</v>
      </c>
      <c r="EM83" s="1" t="s">
        <v>209</v>
      </c>
      <c r="EN83" s="1" t="s">
        <v>210</v>
      </c>
      <c r="EP83" s="1" t="s">
        <v>1938</v>
      </c>
      <c r="EQ83" s="1" t="s">
        <v>42</v>
      </c>
      <c r="ER83" s="1" t="s">
        <v>210</v>
      </c>
      <c r="ET83" s="1" t="s">
        <v>1939</v>
      </c>
      <c r="EU83" s="1" t="s">
        <v>206</v>
      </c>
      <c r="EY83" s="1" t="s">
        <v>238</v>
      </c>
      <c r="FC83" s="1" t="s">
        <v>238</v>
      </c>
      <c r="FF83" s="1" t="s">
        <v>239</v>
      </c>
      <c r="FG83" s="1" t="s">
        <v>192</v>
      </c>
      <c r="FH83" s="1" t="s">
        <v>192</v>
      </c>
      <c r="FJ83" s="1" t="s">
        <v>799</v>
      </c>
      <c r="FK83" s="1" t="s">
        <v>229</v>
      </c>
      <c r="FL83" s="1" t="s">
        <v>734</v>
      </c>
      <c r="FM83" s="1">
        <v>10646.0</v>
      </c>
      <c r="FN83" s="1" t="s">
        <v>735</v>
      </c>
      <c r="FO83" s="1" t="s">
        <v>1940</v>
      </c>
      <c r="FP83" s="1">
        <v>145496.0</v>
      </c>
      <c r="FQ83" s="1" t="s">
        <v>1941</v>
      </c>
      <c r="FR83" s="1">
        <v>111894.0</v>
      </c>
      <c r="FU83" s="1" t="s">
        <v>1942</v>
      </c>
      <c r="FV83" s="1" t="s">
        <v>200</v>
      </c>
      <c r="FW83" s="1" t="s">
        <v>1411</v>
      </c>
      <c r="FX83" s="1" t="s">
        <v>246</v>
      </c>
      <c r="FZ83" s="1" t="s">
        <v>229</v>
      </c>
      <c r="GA83" s="1" t="s">
        <v>291</v>
      </c>
      <c r="GB83" s="2">
        <v>41991.0</v>
      </c>
      <c r="GC83" s="1" t="s">
        <v>1943</v>
      </c>
    </row>
    <row r="84">
      <c r="A84" s="1">
        <v>790000.0</v>
      </c>
      <c r="B84" s="1" t="s">
        <v>185</v>
      </c>
      <c r="C84" s="1" t="str">
        <f>"08514717"</f>
        <v>08514717</v>
      </c>
      <c r="D84" s="1" t="s">
        <v>186</v>
      </c>
      <c r="F84" s="1" t="str">
        <f>"10"</f>
        <v>10</v>
      </c>
      <c r="G84" s="2">
        <v>41649.0</v>
      </c>
      <c r="H84" s="1">
        <v>925000.0</v>
      </c>
      <c r="I84" s="1">
        <v>347.0</v>
      </c>
      <c r="J84" s="1">
        <v>839000.0</v>
      </c>
      <c r="K84" s="2">
        <v>41995.0</v>
      </c>
      <c r="L84" s="1">
        <v>347.0</v>
      </c>
      <c r="M84" s="2">
        <v>41995.0</v>
      </c>
      <c r="N84" s="1" t="s">
        <v>249</v>
      </c>
      <c r="O84" s="2">
        <v>42037.0</v>
      </c>
      <c r="P84" s="1">
        <v>83240.0</v>
      </c>
      <c r="Q84" s="1">
        <v>8073.0</v>
      </c>
      <c r="S84" s="1">
        <v>3.0</v>
      </c>
      <c r="T84" s="1" t="s">
        <v>1944</v>
      </c>
      <c r="U84" s="1" t="s">
        <v>420</v>
      </c>
      <c r="V84" s="1" t="s">
        <v>1945</v>
      </c>
      <c r="W84" s="1">
        <v>60010.0</v>
      </c>
      <c r="Y84" s="1" t="s">
        <v>1946</v>
      </c>
      <c r="Z84" s="1">
        <v>2005.0</v>
      </c>
      <c r="AA84" s="1" t="s">
        <v>200</v>
      </c>
      <c r="AB84" s="1" t="s">
        <v>467</v>
      </c>
      <c r="AC84" s="1" t="s">
        <v>1947</v>
      </c>
      <c r="AD84" s="1" t="s">
        <v>1948</v>
      </c>
      <c r="AE84" s="1" t="s">
        <v>195</v>
      </c>
      <c r="AF84" s="1" t="s">
        <v>1948</v>
      </c>
      <c r="AG84" s="1" t="s">
        <v>752</v>
      </c>
      <c r="AH84" s="1" t="s">
        <v>1949</v>
      </c>
      <c r="AI84" s="1">
        <v>1.3</v>
      </c>
      <c r="AK84" s="1">
        <v>13.0</v>
      </c>
      <c r="AL84" s="1">
        <v>4.0</v>
      </c>
      <c r="AM84" s="1">
        <v>3.0</v>
      </c>
      <c r="AN84" s="1">
        <v>2.0</v>
      </c>
      <c r="AO84" s="1" t="s">
        <v>198</v>
      </c>
      <c r="AP84" s="1">
        <v>1.0</v>
      </c>
      <c r="AQ84" s="1" t="s">
        <v>327</v>
      </c>
      <c r="AR84" s="1" t="s">
        <v>192</v>
      </c>
      <c r="AS84" s="1" t="s">
        <v>199</v>
      </c>
      <c r="AT84" s="1">
        <v>4.0</v>
      </c>
      <c r="AV84" s="1" t="s">
        <v>200</v>
      </c>
      <c r="AW84" s="1">
        <v>19501.0</v>
      </c>
      <c r="AX84" s="1">
        <v>2013.0</v>
      </c>
      <c r="AY84" s="1" t="s">
        <v>387</v>
      </c>
      <c r="AZ84" s="1" t="s">
        <v>545</v>
      </c>
      <c r="BA84" s="1" t="str">
        <f>"01013080330000"</f>
        <v>01013080330000</v>
      </c>
      <c r="BB84" s="1" t="s">
        <v>192</v>
      </c>
      <c r="BC84" s="1">
        <v>0.0</v>
      </c>
      <c r="BD84" s="1">
        <v>790000.0</v>
      </c>
      <c r="BE84" s="2">
        <v>41649.0</v>
      </c>
      <c r="BF84" s="2" t="s">
        <v>1950</v>
      </c>
      <c r="BG84" s="1" t="s">
        <v>1951</v>
      </c>
      <c r="BH84" s="1">
        <v>775.0</v>
      </c>
      <c r="BI84" s="1" t="s">
        <v>1713</v>
      </c>
      <c r="BJ84" s="1" t="s">
        <v>1714</v>
      </c>
      <c r="BK84" s="1" t="s">
        <v>1952</v>
      </c>
      <c r="BL84" s="1" t="str">
        <f t="shared" ref="BL84:BM84" si="54">""</f>
        <v/>
      </c>
      <c r="BM84" s="1" t="str">
        <f t="shared" si="54"/>
        <v/>
      </c>
      <c r="BQ84" s="1">
        <v>220.0</v>
      </c>
      <c r="BR84" s="1">
        <v>220.0</v>
      </c>
      <c r="BS84" s="1">
        <v>220.0</v>
      </c>
      <c r="BU84" s="1" t="s">
        <v>393</v>
      </c>
      <c r="BV84" s="1" t="s">
        <v>206</v>
      </c>
      <c r="BW84" s="1" t="s">
        <v>207</v>
      </c>
      <c r="BY84" s="1" t="s">
        <v>1000</v>
      </c>
      <c r="BZ84" s="1" t="s">
        <v>206</v>
      </c>
      <c r="CA84" s="1" t="s">
        <v>210</v>
      </c>
      <c r="CC84" s="1" t="s">
        <v>329</v>
      </c>
      <c r="CD84" s="1" t="s">
        <v>206</v>
      </c>
      <c r="CE84" s="1" t="s">
        <v>207</v>
      </c>
      <c r="CG84" s="1" t="s">
        <v>433</v>
      </c>
      <c r="CH84" s="1" t="s">
        <v>209</v>
      </c>
      <c r="CI84" s="1" t="s">
        <v>210</v>
      </c>
      <c r="CK84" s="1" t="s">
        <v>393</v>
      </c>
      <c r="CL84" s="1" t="s">
        <v>209</v>
      </c>
      <c r="CM84" s="1" t="s">
        <v>210</v>
      </c>
      <c r="CO84" s="1" t="s">
        <v>541</v>
      </c>
      <c r="CP84" s="1" t="s">
        <v>209</v>
      </c>
      <c r="CQ84" s="1" t="s">
        <v>210</v>
      </c>
      <c r="CS84" s="1" t="s">
        <v>1953</v>
      </c>
      <c r="CT84" s="1" t="s">
        <v>206</v>
      </c>
      <c r="CU84" s="1" t="s">
        <v>207</v>
      </c>
      <c r="CW84" s="1" t="s">
        <v>1206</v>
      </c>
      <c r="CX84" s="1" t="s">
        <v>206</v>
      </c>
      <c r="CY84" s="1" t="s">
        <v>207</v>
      </c>
      <c r="DA84" s="1" t="s">
        <v>200</v>
      </c>
      <c r="DC84" s="1" t="s">
        <v>481</v>
      </c>
      <c r="DD84" s="1" t="s">
        <v>1954</v>
      </c>
      <c r="DE84" s="1" t="s">
        <v>273</v>
      </c>
      <c r="DF84" s="1" t="s">
        <v>219</v>
      </c>
      <c r="DG84" s="1" t="s">
        <v>1553</v>
      </c>
      <c r="DH84" s="1" t="s">
        <v>856</v>
      </c>
      <c r="DI84" s="1" t="s">
        <v>308</v>
      </c>
      <c r="DJ84" s="1" t="s">
        <v>857</v>
      </c>
      <c r="DK84" s="1" t="s">
        <v>223</v>
      </c>
      <c r="DL84" s="1" t="s">
        <v>1161</v>
      </c>
      <c r="DM84" s="1" t="s">
        <v>929</v>
      </c>
      <c r="DN84" s="1" t="s">
        <v>439</v>
      </c>
      <c r="DO84" s="1" t="s">
        <v>930</v>
      </c>
      <c r="DP84" s="1" t="s">
        <v>340</v>
      </c>
      <c r="DQ84" s="1" t="s">
        <v>931</v>
      </c>
      <c r="DR84" s="1" t="s">
        <v>588</v>
      </c>
      <c r="DS84" s="1" t="s">
        <v>591</v>
      </c>
      <c r="DU84" s="1" t="s">
        <v>1955</v>
      </c>
      <c r="DV84" s="1" t="s">
        <v>1956</v>
      </c>
      <c r="DW84" s="1" t="s">
        <v>1957</v>
      </c>
      <c r="DX84" s="1" t="s">
        <v>234</v>
      </c>
      <c r="DY84" s="1" t="s">
        <v>1958</v>
      </c>
      <c r="DZ84" s="1" t="s">
        <v>1959</v>
      </c>
      <c r="EB84" s="1" t="s">
        <v>492</v>
      </c>
      <c r="EC84" s="1" t="s">
        <v>237</v>
      </c>
      <c r="ED84" s="1" t="s">
        <v>407</v>
      </c>
      <c r="EE84" s="1" t="s">
        <v>1960</v>
      </c>
      <c r="EG84" s="1" t="s">
        <v>1961</v>
      </c>
      <c r="EH84" s="1" t="s">
        <v>341</v>
      </c>
      <c r="EI84" s="1" t="s">
        <v>1729</v>
      </c>
      <c r="EJ84" s="1" t="s">
        <v>1432</v>
      </c>
      <c r="EK84" s="1" t="s">
        <v>588</v>
      </c>
      <c r="EL84" s="1" t="s">
        <v>433</v>
      </c>
      <c r="EM84" s="1" t="s">
        <v>206</v>
      </c>
      <c r="EN84" s="1" t="s">
        <v>207</v>
      </c>
      <c r="EP84" s="1" t="s">
        <v>647</v>
      </c>
      <c r="EQ84" s="1" t="s">
        <v>209</v>
      </c>
      <c r="ER84" s="1" t="s">
        <v>210</v>
      </c>
      <c r="ET84" s="1" t="s">
        <v>212</v>
      </c>
      <c r="EU84" s="1" t="s">
        <v>1697</v>
      </c>
      <c r="EV84" s="1" t="s">
        <v>268</v>
      </c>
      <c r="EX84" s="1" t="s">
        <v>363</v>
      </c>
      <c r="EY84" s="1" t="s">
        <v>1697</v>
      </c>
      <c r="EZ84" s="1" t="s">
        <v>210</v>
      </c>
      <c r="FB84" s="1" t="s">
        <v>768</v>
      </c>
      <c r="FC84" s="1" t="s">
        <v>1697</v>
      </c>
      <c r="FD84" s="1" t="s">
        <v>1065</v>
      </c>
      <c r="FF84" s="1" t="s">
        <v>239</v>
      </c>
      <c r="FG84" s="1" t="s">
        <v>192</v>
      </c>
      <c r="FH84" s="1" t="s">
        <v>192</v>
      </c>
      <c r="FJ84" s="1" t="s">
        <v>498</v>
      </c>
      <c r="FK84" s="1" t="s">
        <v>348</v>
      </c>
      <c r="FL84" s="1" t="s">
        <v>1962</v>
      </c>
      <c r="FM84" s="1">
        <v>8073.0</v>
      </c>
      <c r="FN84" s="1" t="s">
        <v>1963</v>
      </c>
      <c r="FO84" s="1" t="s">
        <v>1964</v>
      </c>
      <c r="FP84" s="1">
        <v>83240.0</v>
      </c>
      <c r="FQ84" s="1" t="s">
        <v>1965</v>
      </c>
      <c r="FU84" s="1" t="s">
        <v>1966</v>
      </c>
      <c r="FV84" s="1" t="s">
        <v>200</v>
      </c>
      <c r="FW84" s="1" t="s">
        <v>290</v>
      </c>
      <c r="FZ84" s="1" t="s">
        <v>229</v>
      </c>
      <c r="GA84" s="1" t="s">
        <v>291</v>
      </c>
      <c r="GB84" s="2">
        <v>42037.0</v>
      </c>
      <c r="GC84" s="1" t="s">
        <v>1967</v>
      </c>
    </row>
    <row r="85">
      <c r="A85" s="1">
        <v>320000.0</v>
      </c>
      <c r="B85" s="1" t="s">
        <v>185</v>
      </c>
      <c r="C85" s="1" t="str">
        <f>"08509815"</f>
        <v>08509815</v>
      </c>
      <c r="D85" s="1" t="s">
        <v>186</v>
      </c>
      <c r="F85" s="1" t="str">
        <f>"123"</f>
        <v>123</v>
      </c>
      <c r="G85" s="2">
        <v>41641.0</v>
      </c>
      <c r="H85" s="1">
        <v>389900.0</v>
      </c>
      <c r="I85" s="1">
        <v>322.0</v>
      </c>
      <c r="J85" s="1">
        <v>339900.0</v>
      </c>
      <c r="K85" s="2">
        <v>41962.0</v>
      </c>
      <c r="L85" s="1">
        <v>322.0</v>
      </c>
      <c r="M85" s="2">
        <v>41962.0</v>
      </c>
      <c r="N85" s="1" t="s">
        <v>187</v>
      </c>
      <c r="O85" s="2">
        <v>41995.0</v>
      </c>
      <c r="P85" s="1">
        <v>70036.0</v>
      </c>
      <c r="Q85" s="1">
        <v>7450.0</v>
      </c>
      <c r="S85" s="1">
        <v>3466.0</v>
      </c>
      <c r="T85" s="1" t="s">
        <v>1968</v>
      </c>
      <c r="U85" s="1" t="s">
        <v>569</v>
      </c>
      <c r="V85" s="1" t="s">
        <v>465</v>
      </c>
      <c r="W85" s="1">
        <v>60124.0</v>
      </c>
      <c r="Y85" s="1" t="s">
        <v>1969</v>
      </c>
      <c r="Z85" s="1">
        <v>2010.0</v>
      </c>
      <c r="AA85" s="1" t="s">
        <v>200</v>
      </c>
      <c r="AB85" s="1" t="s">
        <v>193</v>
      </c>
      <c r="AC85" s="1" t="s">
        <v>1970</v>
      </c>
      <c r="AD85" s="1" t="s">
        <v>469</v>
      </c>
      <c r="AE85" s="1" t="s">
        <v>325</v>
      </c>
      <c r="AF85" s="1" t="s">
        <v>469</v>
      </c>
      <c r="AG85" s="1" t="s">
        <v>1971</v>
      </c>
      <c r="AH85" s="1" t="s">
        <v>1972</v>
      </c>
      <c r="AI85" s="1">
        <v>0.2314</v>
      </c>
      <c r="AK85" s="1">
        <v>11.0</v>
      </c>
      <c r="AL85" s="1">
        <v>4.0</v>
      </c>
      <c r="AM85" s="1">
        <v>3.0</v>
      </c>
      <c r="AN85" s="1">
        <v>1.0</v>
      </c>
      <c r="AO85" s="1" t="s">
        <v>198</v>
      </c>
      <c r="AQ85" s="1" t="s">
        <v>472</v>
      </c>
      <c r="AR85" s="1" t="s">
        <v>192</v>
      </c>
      <c r="AS85" s="1" t="s">
        <v>199</v>
      </c>
      <c r="AT85" s="1">
        <v>2.5</v>
      </c>
      <c r="AV85" s="1" t="s">
        <v>200</v>
      </c>
      <c r="AW85" s="1">
        <v>9319.12</v>
      </c>
      <c r="AX85" s="1">
        <v>2012.0</v>
      </c>
      <c r="AY85" s="1" t="s">
        <v>387</v>
      </c>
      <c r="AZ85" s="1" t="s">
        <v>200</v>
      </c>
      <c r="BA85" s="1" t="str">
        <f>"0501499005"</f>
        <v>0501499005</v>
      </c>
      <c r="BC85" s="1">
        <v>3047.0</v>
      </c>
      <c r="BD85" s="1">
        <v>320000.0</v>
      </c>
      <c r="BE85" s="2">
        <v>41641.0</v>
      </c>
      <c r="BF85" s="2" t="s">
        <v>1973</v>
      </c>
      <c r="BG85" s="1" t="s">
        <v>1974</v>
      </c>
      <c r="BH85" s="1">
        <v>35.0</v>
      </c>
      <c r="BI85" s="1" t="s">
        <v>1975</v>
      </c>
      <c r="BJ85" s="1" t="s">
        <v>579</v>
      </c>
      <c r="BK85" s="1" t="s">
        <v>474</v>
      </c>
      <c r="BL85" s="1" t="str">
        <f>"11"</f>
        <v>11</v>
      </c>
      <c r="BM85" s="1" t="str">
        <f>"0"</f>
        <v>0</v>
      </c>
      <c r="BN85" s="1">
        <v>38.0</v>
      </c>
      <c r="BO85" s="1">
        <v>0.0</v>
      </c>
      <c r="BQ85" s="1">
        <v>301.0</v>
      </c>
      <c r="BR85" s="1">
        <v>301.0</v>
      </c>
      <c r="BS85" s="1">
        <v>301.0</v>
      </c>
      <c r="BU85" s="1" t="s">
        <v>584</v>
      </c>
      <c r="BV85" s="1" t="s">
        <v>206</v>
      </c>
      <c r="BW85" s="1" t="s">
        <v>210</v>
      </c>
      <c r="BX85" s="1" t="s">
        <v>239</v>
      </c>
      <c r="BY85" s="1" t="s">
        <v>924</v>
      </c>
      <c r="BZ85" s="1" t="s">
        <v>209</v>
      </c>
      <c r="CA85" s="1" t="s">
        <v>210</v>
      </c>
      <c r="CB85" s="1" t="s">
        <v>239</v>
      </c>
      <c r="CC85" s="1" t="s">
        <v>329</v>
      </c>
      <c r="CD85" s="1" t="s">
        <v>206</v>
      </c>
      <c r="CE85" s="1" t="s">
        <v>210</v>
      </c>
      <c r="CF85" s="1" t="s">
        <v>239</v>
      </c>
      <c r="CG85" s="1" t="s">
        <v>215</v>
      </c>
      <c r="CH85" s="1" t="s">
        <v>209</v>
      </c>
      <c r="CI85" s="1" t="s">
        <v>210</v>
      </c>
      <c r="CJ85" s="1" t="s">
        <v>239</v>
      </c>
      <c r="CK85" s="1" t="s">
        <v>264</v>
      </c>
      <c r="CL85" s="1" t="s">
        <v>209</v>
      </c>
      <c r="CM85" s="1" t="s">
        <v>210</v>
      </c>
      <c r="CN85" s="1" t="s">
        <v>239</v>
      </c>
      <c r="CO85" s="1" t="s">
        <v>363</v>
      </c>
      <c r="CP85" s="1" t="s">
        <v>209</v>
      </c>
      <c r="CQ85" s="1" t="s">
        <v>210</v>
      </c>
      <c r="CR85" s="1" t="s">
        <v>239</v>
      </c>
      <c r="CS85" s="1" t="s">
        <v>331</v>
      </c>
      <c r="CT85" s="1" t="s">
        <v>206</v>
      </c>
      <c r="CU85" s="1" t="s">
        <v>207</v>
      </c>
      <c r="CV85" s="1" t="s">
        <v>229</v>
      </c>
      <c r="CW85" s="1" t="s">
        <v>616</v>
      </c>
      <c r="CX85" s="1" t="s">
        <v>206</v>
      </c>
      <c r="CY85" s="1" t="s">
        <v>210</v>
      </c>
      <c r="CZ85" s="1" t="s">
        <v>431</v>
      </c>
      <c r="DA85" s="1" t="s">
        <v>200</v>
      </c>
      <c r="DC85" s="1" t="s">
        <v>1046</v>
      </c>
      <c r="DD85" s="1" t="s">
        <v>1976</v>
      </c>
      <c r="DE85" s="1" t="s">
        <v>273</v>
      </c>
      <c r="DF85" s="1" t="s">
        <v>219</v>
      </c>
      <c r="DG85" s="1" t="s">
        <v>1977</v>
      </c>
      <c r="DH85" s="1" t="s">
        <v>220</v>
      </c>
      <c r="DI85" s="1" t="s">
        <v>1978</v>
      </c>
      <c r="DJ85" s="1" t="s">
        <v>1048</v>
      </c>
      <c r="DK85" s="1" t="s">
        <v>223</v>
      </c>
      <c r="DL85" s="1" t="s">
        <v>224</v>
      </c>
      <c r="DM85" s="1" t="s">
        <v>338</v>
      </c>
      <c r="DN85" s="1" t="s">
        <v>548</v>
      </c>
      <c r="DO85" s="1" t="s">
        <v>1979</v>
      </c>
      <c r="DP85" s="1" t="s">
        <v>340</v>
      </c>
      <c r="DQ85" s="1" t="s">
        <v>228</v>
      </c>
      <c r="DR85" s="1" t="s">
        <v>1980</v>
      </c>
      <c r="DS85" s="1" t="s">
        <v>591</v>
      </c>
      <c r="DU85" s="1" t="s">
        <v>593</v>
      </c>
      <c r="DV85" s="1" t="s">
        <v>1981</v>
      </c>
      <c r="DW85" s="1" t="s">
        <v>588</v>
      </c>
      <c r="DX85" s="1" t="s">
        <v>234</v>
      </c>
      <c r="DY85" s="1" t="s">
        <v>1936</v>
      </c>
      <c r="DZ85" s="1" t="s">
        <v>1100</v>
      </c>
      <c r="EA85" s="1" t="s">
        <v>344</v>
      </c>
      <c r="EC85" s="1" t="s">
        <v>237</v>
      </c>
      <c r="ED85" s="1" t="s">
        <v>407</v>
      </c>
      <c r="EE85" s="1" t="s">
        <v>187</v>
      </c>
      <c r="EG85" s="1" t="s">
        <v>556</v>
      </c>
      <c r="EH85" s="1" t="s">
        <v>1028</v>
      </c>
      <c r="EI85" s="1" t="s">
        <v>1729</v>
      </c>
      <c r="EJ85" s="1" t="s">
        <v>408</v>
      </c>
      <c r="EK85" s="1" t="s">
        <v>720</v>
      </c>
      <c r="EL85" s="1" t="s">
        <v>212</v>
      </c>
      <c r="EM85" s="1" t="s">
        <v>206</v>
      </c>
      <c r="EN85" s="1" t="s">
        <v>207</v>
      </c>
      <c r="EO85" s="1" t="s">
        <v>239</v>
      </c>
      <c r="EP85" s="1" t="s">
        <v>264</v>
      </c>
      <c r="EQ85" s="1" t="s">
        <v>206</v>
      </c>
      <c r="ER85" s="1" t="s">
        <v>210</v>
      </c>
      <c r="ES85" s="1" t="s">
        <v>239</v>
      </c>
      <c r="ET85" s="1" t="s">
        <v>1395</v>
      </c>
      <c r="EU85" s="1" t="s">
        <v>206</v>
      </c>
      <c r="EV85" s="1" t="s">
        <v>207</v>
      </c>
      <c r="EW85" s="1" t="s">
        <v>431</v>
      </c>
      <c r="EX85" s="1" t="s">
        <v>1774</v>
      </c>
      <c r="EY85" s="1" t="s">
        <v>206</v>
      </c>
      <c r="EZ85" s="1" t="s">
        <v>207</v>
      </c>
      <c r="FA85" s="1" t="s">
        <v>229</v>
      </c>
      <c r="FB85" s="1" t="s">
        <v>1688</v>
      </c>
      <c r="FC85" s="1" t="s">
        <v>206</v>
      </c>
      <c r="FD85" s="1" t="s">
        <v>268</v>
      </c>
      <c r="FE85" s="1" t="s">
        <v>229</v>
      </c>
      <c r="FF85" s="1" t="s">
        <v>239</v>
      </c>
      <c r="FG85" s="1" t="s">
        <v>192</v>
      </c>
      <c r="FH85" s="1" t="s">
        <v>192</v>
      </c>
      <c r="FJ85" s="1" t="s">
        <v>1982</v>
      </c>
      <c r="FK85" s="1" t="s">
        <v>229</v>
      </c>
      <c r="FL85" s="1" t="s">
        <v>562</v>
      </c>
      <c r="FM85" s="1">
        <v>4564.0</v>
      </c>
      <c r="FN85" s="1" t="s">
        <v>1983</v>
      </c>
      <c r="FO85" s="1" t="s">
        <v>1984</v>
      </c>
      <c r="FP85" s="1">
        <v>36558.0</v>
      </c>
      <c r="FQ85" s="1" t="s">
        <v>1985</v>
      </c>
      <c r="FU85" s="1" t="s">
        <v>1986</v>
      </c>
      <c r="FV85" s="1" t="s">
        <v>200</v>
      </c>
      <c r="FW85" s="1" t="s">
        <v>290</v>
      </c>
      <c r="FZ85" s="1" t="s">
        <v>229</v>
      </c>
      <c r="GA85" s="1" t="s">
        <v>291</v>
      </c>
      <c r="GB85" s="2">
        <v>41996.0</v>
      </c>
      <c r="GC85" s="1" t="s">
        <v>1987</v>
      </c>
    </row>
    <row r="86">
      <c r="A86" s="1">
        <v>185325.0</v>
      </c>
      <c r="B86" s="1" t="s">
        <v>185</v>
      </c>
      <c r="C86" s="1" t="str">
        <f>"08762763"</f>
        <v>08762763</v>
      </c>
      <c r="D86" s="1" t="s">
        <v>186</v>
      </c>
      <c r="F86" s="1" t="str">
        <f>"538"</f>
        <v>538</v>
      </c>
      <c r="G86" s="2">
        <v>41939.0</v>
      </c>
      <c r="H86" s="1">
        <v>221400.0</v>
      </c>
      <c r="I86" s="1">
        <v>37.0</v>
      </c>
      <c r="J86" s="1">
        <v>116000.0</v>
      </c>
      <c r="K86" s="2">
        <v>41975.0</v>
      </c>
      <c r="L86" s="1">
        <v>37.0</v>
      </c>
      <c r="M86" s="2">
        <v>41975.0</v>
      </c>
      <c r="N86" s="1" t="s">
        <v>187</v>
      </c>
      <c r="O86" s="2">
        <v>42017.0</v>
      </c>
      <c r="P86" s="1">
        <v>238391.0</v>
      </c>
      <c r="Q86" s="1">
        <v>22993.0</v>
      </c>
      <c r="S86" s="1">
        <v>3237.0</v>
      </c>
      <c r="T86" s="1" t="s">
        <v>1988</v>
      </c>
      <c r="U86" s="1" t="s">
        <v>1174</v>
      </c>
      <c r="V86" s="1" t="s">
        <v>1340</v>
      </c>
      <c r="W86" s="1">
        <v>60538.0</v>
      </c>
      <c r="Y86" s="1" t="s">
        <v>1989</v>
      </c>
      <c r="Z86" s="1">
        <v>2006.0</v>
      </c>
      <c r="AA86" s="1" t="s">
        <v>200</v>
      </c>
      <c r="AB86" s="1" t="s">
        <v>193</v>
      </c>
      <c r="AD86" s="1" t="s">
        <v>1343</v>
      </c>
      <c r="AE86" s="1" t="s">
        <v>325</v>
      </c>
      <c r="AF86" s="1" t="s">
        <v>1887</v>
      </c>
      <c r="AH86" s="1" t="s">
        <v>1990</v>
      </c>
      <c r="AI86" s="1">
        <v>0.2874</v>
      </c>
      <c r="AK86" s="1">
        <v>9.0</v>
      </c>
      <c r="AL86" s="1">
        <v>4.0</v>
      </c>
      <c r="AM86" s="1">
        <v>2.0</v>
      </c>
      <c r="AN86" s="1">
        <v>1.0</v>
      </c>
      <c r="AO86" s="1" t="s">
        <v>198</v>
      </c>
      <c r="AP86" s="1">
        <v>1.0</v>
      </c>
      <c r="AQ86" s="1" t="s">
        <v>198</v>
      </c>
      <c r="AR86" s="1" t="s">
        <v>200</v>
      </c>
      <c r="AS86" s="1" t="s">
        <v>199</v>
      </c>
      <c r="AT86" s="1">
        <v>3.0</v>
      </c>
      <c r="AV86" s="1" t="s">
        <v>200</v>
      </c>
      <c r="AW86" s="1">
        <v>6969.9</v>
      </c>
      <c r="AX86" s="1">
        <v>2013.0</v>
      </c>
      <c r="AZ86" s="1" t="s">
        <v>545</v>
      </c>
      <c r="BA86" s="1" t="str">
        <f>"1434431001"</f>
        <v>1434431001</v>
      </c>
      <c r="BC86" s="1">
        <v>3500.0</v>
      </c>
      <c r="BD86" s="1">
        <v>185325.0</v>
      </c>
      <c r="BE86" s="2">
        <v>41939.0</v>
      </c>
      <c r="BF86" s="2" t="s">
        <v>1991</v>
      </c>
      <c r="BH86" s="1">
        <v>0.0</v>
      </c>
      <c r="BK86" s="1" t="s">
        <v>204</v>
      </c>
      <c r="BL86" s="1" t="str">
        <f t="shared" ref="BL86:BM86" si="55">"0"</f>
        <v>0</v>
      </c>
      <c r="BM86" s="1" t="str">
        <f t="shared" si="55"/>
        <v>0</v>
      </c>
      <c r="BN86" s="1">
        <v>0.0</v>
      </c>
      <c r="BO86" s="1">
        <v>0.0</v>
      </c>
      <c r="BQ86" s="1">
        <v>115.0</v>
      </c>
      <c r="BR86" s="1">
        <v>115.0</v>
      </c>
      <c r="BS86" s="1">
        <v>115.0</v>
      </c>
      <c r="BU86" s="1" t="s">
        <v>1992</v>
      </c>
      <c r="BV86" s="1" t="s">
        <v>206</v>
      </c>
      <c r="BW86" s="1" t="s">
        <v>210</v>
      </c>
      <c r="BY86" s="1" t="s">
        <v>1993</v>
      </c>
      <c r="BZ86" s="1" t="s">
        <v>209</v>
      </c>
      <c r="CA86" s="1" t="s">
        <v>210</v>
      </c>
      <c r="CC86" s="1" t="s">
        <v>330</v>
      </c>
      <c r="CD86" s="1" t="s">
        <v>206</v>
      </c>
      <c r="CE86" s="1" t="s">
        <v>210</v>
      </c>
      <c r="CF86" s="1" t="s">
        <v>431</v>
      </c>
      <c r="CG86" s="1" t="s">
        <v>212</v>
      </c>
      <c r="CH86" s="1" t="s">
        <v>206</v>
      </c>
      <c r="CI86" s="1" t="s">
        <v>210</v>
      </c>
      <c r="CK86" s="1" t="s">
        <v>584</v>
      </c>
      <c r="CL86" s="1" t="s">
        <v>209</v>
      </c>
      <c r="CM86" s="1" t="s">
        <v>210</v>
      </c>
      <c r="CO86" s="1" t="s">
        <v>264</v>
      </c>
      <c r="CP86" s="1" t="s">
        <v>209</v>
      </c>
      <c r="CQ86" s="1" t="s">
        <v>210</v>
      </c>
      <c r="CS86" s="1" t="s">
        <v>262</v>
      </c>
      <c r="CT86" s="1" t="s">
        <v>206</v>
      </c>
      <c r="CU86" s="1" t="s">
        <v>268</v>
      </c>
      <c r="CW86" s="1" t="s">
        <v>1994</v>
      </c>
      <c r="CX86" s="1" t="s">
        <v>206</v>
      </c>
      <c r="CY86" s="1" t="s">
        <v>210</v>
      </c>
      <c r="DA86" s="1" t="s">
        <v>200</v>
      </c>
      <c r="DC86" s="1" t="s">
        <v>481</v>
      </c>
      <c r="DD86" s="1" t="s">
        <v>786</v>
      </c>
      <c r="DE86" s="1" t="s">
        <v>273</v>
      </c>
      <c r="DF86" s="1" t="s">
        <v>619</v>
      </c>
      <c r="DH86" s="1" t="s">
        <v>220</v>
      </c>
      <c r="DJ86" s="1" t="s">
        <v>222</v>
      </c>
      <c r="DL86" s="1" t="s">
        <v>223</v>
      </c>
      <c r="DM86" s="1" t="s">
        <v>229</v>
      </c>
      <c r="DN86" s="1" t="s">
        <v>548</v>
      </c>
      <c r="DO86" s="1" t="s">
        <v>1995</v>
      </c>
      <c r="DP86" s="1" t="s">
        <v>227</v>
      </c>
      <c r="DQ86" s="1" t="s">
        <v>228</v>
      </c>
      <c r="DR86" s="1" t="s">
        <v>229</v>
      </c>
      <c r="DV86" s="1" t="s">
        <v>1228</v>
      </c>
      <c r="DW86" s="1" t="s">
        <v>444</v>
      </c>
      <c r="DX86" s="1" t="s">
        <v>234</v>
      </c>
      <c r="DZ86" s="1" t="s">
        <v>282</v>
      </c>
      <c r="EC86" s="1" t="s">
        <v>237</v>
      </c>
      <c r="ED86" s="1" t="s">
        <v>555</v>
      </c>
      <c r="EG86" s="1" t="s">
        <v>1228</v>
      </c>
      <c r="EL86" s="1" t="s">
        <v>264</v>
      </c>
      <c r="EM86" s="1" t="s">
        <v>209</v>
      </c>
      <c r="EN86" s="1" t="s">
        <v>210</v>
      </c>
      <c r="EQ86" s="1" t="s">
        <v>238</v>
      </c>
      <c r="EU86" s="1" t="s">
        <v>238</v>
      </c>
      <c r="EY86" s="1" t="s">
        <v>238</v>
      </c>
      <c r="FC86" s="1" t="s">
        <v>238</v>
      </c>
      <c r="FF86" s="1" t="s">
        <v>239</v>
      </c>
      <c r="FG86" s="1" t="s">
        <v>192</v>
      </c>
      <c r="FH86" s="1" t="s">
        <v>192</v>
      </c>
      <c r="FJ86" s="1" t="s">
        <v>1996</v>
      </c>
      <c r="FK86" s="1" t="s">
        <v>229</v>
      </c>
      <c r="FL86" s="1" t="s">
        <v>1997</v>
      </c>
      <c r="FM86" s="1">
        <v>85367.0</v>
      </c>
      <c r="FN86" s="1" t="s">
        <v>1998</v>
      </c>
      <c r="FO86" s="1" t="s">
        <v>1999</v>
      </c>
      <c r="FP86" s="1">
        <v>859364.0</v>
      </c>
      <c r="FQ86" s="1" t="s">
        <v>2000</v>
      </c>
      <c r="FU86" s="1" t="s">
        <v>2001</v>
      </c>
      <c r="FV86" s="1" t="s">
        <v>200</v>
      </c>
      <c r="FW86" s="1" t="s">
        <v>290</v>
      </c>
      <c r="FZ86" s="1" t="s">
        <v>229</v>
      </c>
      <c r="GA86" s="1" t="s">
        <v>291</v>
      </c>
      <c r="GB86" s="2">
        <v>42019.0</v>
      </c>
      <c r="GC86" s="1" t="s">
        <v>2002</v>
      </c>
    </row>
    <row r="87">
      <c r="A87" s="1">
        <v>575000.0</v>
      </c>
      <c r="B87" s="1" t="s">
        <v>185</v>
      </c>
      <c r="C87" s="1" t="str">
        <f>"08769374"</f>
        <v>08769374</v>
      </c>
      <c r="D87" s="1" t="s">
        <v>186</v>
      </c>
      <c r="F87" s="1" t="str">
        <f>"10"</f>
        <v>10</v>
      </c>
      <c r="G87" s="2">
        <v>41948.0</v>
      </c>
      <c r="H87" s="1">
        <v>600000.0</v>
      </c>
      <c r="I87" s="1">
        <v>636.0</v>
      </c>
      <c r="J87" s="1">
        <v>600000.0</v>
      </c>
      <c r="K87" s="2">
        <v>42012.0</v>
      </c>
      <c r="L87" s="1">
        <v>65.0</v>
      </c>
      <c r="M87" s="2">
        <v>42012.0</v>
      </c>
      <c r="N87" s="1" t="s">
        <v>187</v>
      </c>
      <c r="O87" s="2">
        <v>42076.0</v>
      </c>
      <c r="P87" s="1">
        <v>37014.0</v>
      </c>
      <c r="Q87" s="1">
        <v>3950.0</v>
      </c>
      <c r="S87" s="1">
        <v>25317.0</v>
      </c>
      <c r="T87" s="1" t="s">
        <v>2003</v>
      </c>
      <c r="U87" s="1" t="s">
        <v>569</v>
      </c>
      <c r="V87" s="1" t="s">
        <v>2004</v>
      </c>
      <c r="W87" s="1">
        <v>60010.0</v>
      </c>
      <c r="Y87" s="1" t="s">
        <v>2005</v>
      </c>
      <c r="Z87" s="1">
        <v>1998.0</v>
      </c>
      <c r="AA87" s="1" t="s">
        <v>200</v>
      </c>
      <c r="AB87" s="1" t="s">
        <v>467</v>
      </c>
      <c r="AC87" s="1" t="s">
        <v>2006</v>
      </c>
      <c r="AD87" s="1" t="s">
        <v>2007</v>
      </c>
      <c r="AE87" s="1" t="s">
        <v>917</v>
      </c>
      <c r="AF87" s="1" t="s">
        <v>2008</v>
      </c>
      <c r="AG87" s="1" t="s">
        <v>752</v>
      </c>
      <c r="AH87" s="1" t="s">
        <v>2009</v>
      </c>
      <c r="AI87" s="1">
        <v>1.05</v>
      </c>
      <c r="AK87" s="1">
        <v>12.0</v>
      </c>
      <c r="AL87" s="1">
        <v>4.0</v>
      </c>
      <c r="AM87" s="1">
        <v>6.0</v>
      </c>
      <c r="AN87" s="1">
        <v>1.0</v>
      </c>
      <c r="AO87" s="1" t="s">
        <v>198</v>
      </c>
      <c r="AP87" s="1">
        <v>2.0</v>
      </c>
      <c r="AQ87" s="1" t="s">
        <v>327</v>
      </c>
      <c r="AR87" s="1" t="s">
        <v>192</v>
      </c>
      <c r="AS87" s="1" t="s">
        <v>199</v>
      </c>
      <c r="AT87" s="1">
        <v>3.0</v>
      </c>
      <c r="AV87" s="1" t="s">
        <v>200</v>
      </c>
      <c r="AW87" s="1">
        <v>16008.0</v>
      </c>
      <c r="AX87" s="1">
        <v>2012.0</v>
      </c>
      <c r="AY87" s="1" t="s">
        <v>229</v>
      </c>
      <c r="AZ87" s="1" t="s">
        <v>200</v>
      </c>
      <c r="BA87" s="1" t="str">
        <f>"13033040150000"</f>
        <v>13033040150000</v>
      </c>
      <c r="BB87" s="1" t="s">
        <v>192</v>
      </c>
      <c r="BC87" s="1">
        <v>0.0</v>
      </c>
      <c r="BD87" s="1">
        <v>575000.0</v>
      </c>
      <c r="BE87" s="2">
        <v>41948.0</v>
      </c>
      <c r="BF87" s="2" t="s">
        <v>2010</v>
      </c>
      <c r="BG87" s="1" t="s">
        <v>2011</v>
      </c>
      <c r="BH87" s="1">
        <v>525.0</v>
      </c>
      <c r="BI87" s="1" t="s">
        <v>2012</v>
      </c>
      <c r="BJ87" s="1" t="s">
        <v>1714</v>
      </c>
      <c r="BK87" s="1" t="s">
        <v>580</v>
      </c>
      <c r="BL87" s="1" t="str">
        <f>"25"</f>
        <v>25</v>
      </c>
      <c r="BM87" s="1" t="str">
        <f>"0"</f>
        <v>0</v>
      </c>
      <c r="BN87" s="1">
        <v>27.0</v>
      </c>
      <c r="BO87" s="1">
        <v>0.0</v>
      </c>
      <c r="BQ87" s="1">
        <v>220.0</v>
      </c>
      <c r="BR87" s="1">
        <v>220.0</v>
      </c>
      <c r="BS87" s="1">
        <v>220.0</v>
      </c>
      <c r="BU87" s="1" t="s">
        <v>584</v>
      </c>
      <c r="BV87" s="1" t="s">
        <v>206</v>
      </c>
      <c r="BW87" s="1" t="s">
        <v>207</v>
      </c>
      <c r="BY87" s="1" t="s">
        <v>480</v>
      </c>
      <c r="BZ87" s="1" t="s">
        <v>209</v>
      </c>
      <c r="CA87" s="1" t="s">
        <v>207</v>
      </c>
      <c r="CC87" s="1" t="s">
        <v>211</v>
      </c>
      <c r="CD87" s="1" t="s">
        <v>206</v>
      </c>
      <c r="CE87" s="1" t="s">
        <v>207</v>
      </c>
      <c r="CG87" s="1" t="s">
        <v>211</v>
      </c>
      <c r="CH87" s="1" t="s">
        <v>209</v>
      </c>
      <c r="CI87" s="1" t="s">
        <v>210</v>
      </c>
      <c r="CK87" s="1" t="s">
        <v>331</v>
      </c>
      <c r="CL87" s="1" t="s">
        <v>209</v>
      </c>
      <c r="CM87" s="1" t="s">
        <v>210</v>
      </c>
      <c r="CO87" s="1" t="s">
        <v>2013</v>
      </c>
      <c r="CP87" s="1" t="s">
        <v>209</v>
      </c>
      <c r="CQ87" s="1" t="s">
        <v>210</v>
      </c>
      <c r="CS87" s="1" t="s">
        <v>1825</v>
      </c>
      <c r="CT87" s="1" t="s">
        <v>206</v>
      </c>
      <c r="CU87" s="1" t="s">
        <v>207</v>
      </c>
      <c r="CW87" s="1" t="s">
        <v>2014</v>
      </c>
      <c r="CX87" s="1" t="s">
        <v>206</v>
      </c>
      <c r="CY87" s="1" t="s">
        <v>207</v>
      </c>
      <c r="DA87" s="1" t="s">
        <v>200</v>
      </c>
      <c r="DC87" s="1" t="s">
        <v>678</v>
      </c>
      <c r="DD87" s="1" t="s">
        <v>272</v>
      </c>
      <c r="DE87" s="1" t="s">
        <v>218</v>
      </c>
      <c r="DF87" s="1" t="s">
        <v>546</v>
      </c>
      <c r="DG87" s="1" t="s">
        <v>2015</v>
      </c>
      <c r="DH87" s="1" t="s">
        <v>856</v>
      </c>
      <c r="DI87" s="1" t="s">
        <v>2016</v>
      </c>
      <c r="DJ87" s="1" t="s">
        <v>857</v>
      </c>
      <c r="DL87" s="1" t="s">
        <v>1161</v>
      </c>
      <c r="DM87" s="1" t="s">
        <v>338</v>
      </c>
      <c r="DN87" s="1" t="s">
        <v>399</v>
      </c>
      <c r="DO87" s="1" t="s">
        <v>2017</v>
      </c>
      <c r="DP87" s="1" t="s">
        <v>276</v>
      </c>
      <c r="DQ87" s="1" t="s">
        <v>931</v>
      </c>
      <c r="DR87" s="1" t="s">
        <v>2018</v>
      </c>
      <c r="DS87" s="1" t="s">
        <v>368</v>
      </c>
      <c r="DU87" s="1" t="s">
        <v>2019</v>
      </c>
      <c r="DV87" s="1" t="s">
        <v>2020</v>
      </c>
      <c r="DW87" s="1" t="s">
        <v>764</v>
      </c>
      <c r="DX87" s="1" t="s">
        <v>234</v>
      </c>
      <c r="DY87" s="1" t="s">
        <v>2021</v>
      </c>
      <c r="DZ87" s="1" t="s">
        <v>2022</v>
      </c>
      <c r="EA87" s="1" t="s">
        <v>344</v>
      </c>
      <c r="EB87" s="1" t="s">
        <v>684</v>
      </c>
      <c r="EC87" s="1" t="s">
        <v>237</v>
      </c>
      <c r="ED87" s="1" t="s">
        <v>864</v>
      </c>
      <c r="EG87" s="1" t="s">
        <v>598</v>
      </c>
      <c r="EH87" s="1" t="s">
        <v>1121</v>
      </c>
      <c r="EI87" s="1" t="s">
        <v>450</v>
      </c>
      <c r="EJ87" s="1" t="s">
        <v>2023</v>
      </c>
      <c r="EK87" s="1" t="s">
        <v>310</v>
      </c>
      <c r="EL87" s="1" t="s">
        <v>212</v>
      </c>
      <c r="EM87" s="1" t="s">
        <v>206</v>
      </c>
      <c r="EN87" s="1" t="s">
        <v>207</v>
      </c>
      <c r="EP87" s="1" t="s">
        <v>363</v>
      </c>
      <c r="EQ87" s="1" t="s">
        <v>209</v>
      </c>
      <c r="ER87" s="1" t="s">
        <v>207</v>
      </c>
      <c r="ET87" s="1" t="s">
        <v>544</v>
      </c>
      <c r="EU87" s="1" t="s">
        <v>1697</v>
      </c>
      <c r="EV87" s="1" t="s">
        <v>268</v>
      </c>
      <c r="EX87" s="1" t="s">
        <v>2024</v>
      </c>
      <c r="EY87" s="1" t="s">
        <v>1697</v>
      </c>
      <c r="EZ87" s="1" t="s">
        <v>268</v>
      </c>
      <c r="FB87" s="1" t="s">
        <v>1117</v>
      </c>
      <c r="FC87" s="1" t="s">
        <v>206</v>
      </c>
      <c r="FF87" s="1" t="s">
        <v>239</v>
      </c>
      <c r="FG87" s="1" t="s">
        <v>192</v>
      </c>
      <c r="FH87" s="1" t="s">
        <v>192</v>
      </c>
      <c r="FJ87" s="1" t="s">
        <v>2025</v>
      </c>
      <c r="FK87" s="1" t="s">
        <v>229</v>
      </c>
      <c r="FL87" s="1" t="s">
        <v>2026</v>
      </c>
      <c r="FM87" s="1">
        <v>6018.0</v>
      </c>
      <c r="FN87" s="1" t="s">
        <v>2027</v>
      </c>
      <c r="FO87" s="1" t="s">
        <v>2028</v>
      </c>
      <c r="FP87" s="1">
        <v>61075.0</v>
      </c>
      <c r="FQ87" s="1" t="s">
        <v>2029</v>
      </c>
      <c r="FU87" s="1" t="s">
        <v>2030</v>
      </c>
      <c r="FV87" s="1" t="s">
        <v>200</v>
      </c>
      <c r="FW87" s="1" t="s">
        <v>290</v>
      </c>
      <c r="FX87" s="1" t="s">
        <v>238</v>
      </c>
      <c r="FZ87" s="1" t="s">
        <v>229</v>
      </c>
      <c r="GA87" s="1" t="s">
        <v>291</v>
      </c>
      <c r="GB87" s="2">
        <v>42076.0</v>
      </c>
      <c r="GC87" s="1" t="s">
        <v>2031</v>
      </c>
    </row>
    <row r="88">
      <c r="A88" s="1">
        <v>99000.0</v>
      </c>
      <c r="B88" s="1" t="s">
        <v>185</v>
      </c>
      <c r="C88" s="1" t="str">
        <f>"08760060"</f>
        <v>08760060</v>
      </c>
      <c r="D88" s="1" t="s">
        <v>186</v>
      </c>
      <c r="F88" s="1" t="str">
        <f>"8063"</f>
        <v>8063</v>
      </c>
      <c r="G88" s="2">
        <v>41935.0</v>
      </c>
      <c r="H88" s="1">
        <v>64900.0</v>
      </c>
      <c r="I88" s="1">
        <v>76.0</v>
      </c>
      <c r="J88" s="1">
        <v>95000.0</v>
      </c>
      <c r="K88" s="2">
        <v>42010.0</v>
      </c>
      <c r="L88" s="1">
        <v>76.0</v>
      </c>
      <c r="M88" s="2">
        <v>42010.0</v>
      </c>
      <c r="N88" s="1" t="s">
        <v>356</v>
      </c>
      <c r="O88" s="2">
        <v>42128.0</v>
      </c>
      <c r="P88" s="1">
        <v>407047.0</v>
      </c>
      <c r="Q88" s="1">
        <v>84719.0</v>
      </c>
      <c r="R88" s="1">
        <v>2900.0</v>
      </c>
      <c r="S88" s="1">
        <v>5407.0</v>
      </c>
      <c r="T88" s="1" t="s">
        <v>2032</v>
      </c>
      <c r="U88" s="1" t="s">
        <v>189</v>
      </c>
      <c r="V88" s="1" t="s">
        <v>190</v>
      </c>
      <c r="W88" s="1">
        <v>60632.0</v>
      </c>
      <c r="Y88" s="1" t="s">
        <v>2033</v>
      </c>
      <c r="Z88" s="1">
        <v>1921.0</v>
      </c>
      <c r="AA88" s="1" t="s">
        <v>192</v>
      </c>
      <c r="AB88" s="1" t="s">
        <v>193</v>
      </c>
      <c r="AD88" s="1" t="s">
        <v>194</v>
      </c>
      <c r="AE88" s="1" t="s">
        <v>195</v>
      </c>
      <c r="AF88" s="1" t="s">
        <v>659</v>
      </c>
      <c r="AH88" s="1" t="s">
        <v>359</v>
      </c>
      <c r="AI88" s="1">
        <v>0.0855</v>
      </c>
      <c r="AK88" s="1">
        <v>8.0</v>
      </c>
      <c r="AL88" s="1">
        <v>2.0</v>
      </c>
      <c r="AM88" s="1">
        <v>1.0</v>
      </c>
      <c r="AN88" s="1">
        <v>1.0</v>
      </c>
      <c r="AO88" s="1" t="s">
        <v>229</v>
      </c>
      <c r="AQ88" s="1" t="s">
        <v>198</v>
      </c>
      <c r="AR88" s="1" t="s">
        <v>192</v>
      </c>
      <c r="AS88" s="1" t="s">
        <v>199</v>
      </c>
      <c r="AT88" s="1">
        <v>2.0</v>
      </c>
      <c r="AV88" s="1" t="s">
        <v>200</v>
      </c>
      <c r="AW88" s="1">
        <v>1645.0</v>
      </c>
      <c r="AX88" s="1">
        <v>2013.0</v>
      </c>
      <c r="AY88" s="1" t="s">
        <v>387</v>
      </c>
      <c r="AZ88" s="1" t="s">
        <v>200</v>
      </c>
      <c r="BA88" s="1" t="str">
        <f>"19123300030000"</f>
        <v>19123300030000</v>
      </c>
      <c r="BC88" s="1">
        <v>1200.0</v>
      </c>
      <c r="BD88" s="1">
        <v>99000.0</v>
      </c>
      <c r="BE88" s="2">
        <v>41935.0</v>
      </c>
      <c r="BF88" s="2" t="s">
        <v>2034</v>
      </c>
      <c r="BH88" s="1">
        <v>0.0</v>
      </c>
      <c r="BK88" s="1" t="s">
        <v>204</v>
      </c>
      <c r="BL88" s="1" t="str">
        <f t="shared" ref="BL88:BM88" si="56">"0"</f>
        <v>0</v>
      </c>
      <c r="BM88" s="1" t="str">
        <f t="shared" si="56"/>
        <v>0</v>
      </c>
      <c r="BN88" s="1">
        <v>2900.0</v>
      </c>
      <c r="BO88" s="1">
        <v>5407.0</v>
      </c>
      <c r="BQ88" s="1">
        <v>299.0</v>
      </c>
      <c r="BR88" s="1">
        <v>299.0</v>
      </c>
      <c r="BS88" s="1">
        <v>299.0</v>
      </c>
      <c r="BU88" s="1" t="s">
        <v>454</v>
      </c>
      <c r="BV88" s="1" t="s">
        <v>206</v>
      </c>
      <c r="BW88" s="1" t="s">
        <v>207</v>
      </c>
      <c r="BY88" s="1" t="s">
        <v>543</v>
      </c>
      <c r="BZ88" s="1" t="s">
        <v>206</v>
      </c>
      <c r="CA88" s="1" t="s">
        <v>207</v>
      </c>
      <c r="CC88" s="1" t="s">
        <v>478</v>
      </c>
      <c r="CD88" s="1" t="s">
        <v>206</v>
      </c>
      <c r="CE88" s="1" t="s">
        <v>207</v>
      </c>
      <c r="CG88" s="1" t="s">
        <v>265</v>
      </c>
      <c r="CH88" s="1" t="s">
        <v>206</v>
      </c>
      <c r="CI88" s="1" t="s">
        <v>207</v>
      </c>
      <c r="CK88" s="1" t="s">
        <v>516</v>
      </c>
      <c r="CL88" s="1" t="s">
        <v>42</v>
      </c>
      <c r="CM88" s="1" t="s">
        <v>268</v>
      </c>
      <c r="CO88" s="1" t="s">
        <v>265</v>
      </c>
      <c r="CP88" s="1" t="s">
        <v>42</v>
      </c>
      <c r="CQ88" s="1" t="s">
        <v>268</v>
      </c>
      <c r="CS88" s="1" t="s">
        <v>640</v>
      </c>
      <c r="CT88" s="1" t="s">
        <v>206</v>
      </c>
      <c r="CU88" s="1" t="s">
        <v>268</v>
      </c>
      <c r="CW88" s="1" t="s">
        <v>2035</v>
      </c>
      <c r="CX88" s="1" t="s">
        <v>42</v>
      </c>
      <c r="CY88" s="1" t="s">
        <v>268</v>
      </c>
      <c r="DA88" s="1" t="s">
        <v>200</v>
      </c>
      <c r="DC88" s="1" t="s">
        <v>216</v>
      </c>
      <c r="DE88" s="1" t="s">
        <v>1300</v>
      </c>
      <c r="DF88" s="1" t="s">
        <v>219</v>
      </c>
      <c r="DH88" s="1" t="s">
        <v>220</v>
      </c>
      <c r="DJ88" s="1" t="s">
        <v>222</v>
      </c>
      <c r="DL88" s="1" t="s">
        <v>224</v>
      </c>
      <c r="DM88" s="1" t="s">
        <v>229</v>
      </c>
      <c r="DQ88" s="1" t="s">
        <v>228</v>
      </c>
      <c r="DR88" s="1" t="s">
        <v>229</v>
      </c>
      <c r="DS88" s="1" t="s">
        <v>230</v>
      </c>
      <c r="DV88" s="1" t="s">
        <v>232</v>
      </c>
      <c r="DW88" s="1" t="s">
        <v>279</v>
      </c>
      <c r="DX88" s="1" t="s">
        <v>309</v>
      </c>
      <c r="EA88" s="1" t="s">
        <v>644</v>
      </c>
      <c r="EC88" s="1" t="s">
        <v>645</v>
      </c>
      <c r="EE88" s="1" t="s">
        <v>493</v>
      </c>
      <c r="EM88" s="1" t="s">
        <v>238</v>
      </c>
      <c r="EQ88" s="1" t="s">
        <v>238</v>
      </c>
      <c r="EU88" s="1" t="s">
        <v>238</v>
      </c>
      <c r="EY88" s="1" t="s">
        <v>238</v>
      </c>
      <c r="FC88" s="1" t="s">
        <v>238</v>
      </c>
      <c r="FF88" s="1" t="s">
        <v>239</v>
      </c>
      <c r="FG88" s="1" t="s">
        <v>192</v>
      </c>
      <c r="FH88" s="1" t="s">
        <v>192</v>
      </c>
      <c r="FJ88" s="1" t="s">
        <v>2036</v>
      </c>
      <c r="FK88" s="1" t="s">
        <v>1586</v>
      </c>
      <c r="FL88" s="1" t="s">
        <v>2037</v>
      </c>
      <c r="FM88" s="1">
        <v>60321.0</v>
      </c>
      <c r="FN88" s="1" t="s">
        <v>2038</v>
      </c>
      <c r="FO88" s="1" t="s">
        <v>2039</v>
      </c>
      <c r="FP88" s="1">
        <v>219100.0</v>
      </c>
      <c r="FR88" s="1">
        <v>228059.0</v>
      </c>
      <c r="FS88" s="1" t="s">
        <v>2040</v>
      </c>
      <c r="FU88" s="1" t="s">
        <v>2041</v>
      </c>
      <c r="FV88" s="1" t="s">
        <v>200</v>
      </c>
      <c r="FW88" s="1" t="s">
        <v>567</v>
      </c>
      <c r="FX88" s="1" t="s">
        <v>655</v>
      </c>
      <c r="FZ88" s="1" t="s">
        <v>632</v>
      </c>
      <c r="GA88" s="1" t="s">
        <v>291</v>
      </c>
      <c r="GB88" s="2">
        <v>42132.0</v>
      </c>
      <c r="GC88" s="1" t="s">
        <v>2042</v>
      </c>
    </row>
    <row r="89">
      <c r="A89" s="1">
        <v>26500.0</v>
      </c>
      <c r="B89" s="1" t="s">
        <v>185</v>
      </c>
      <c r="C89" s="1" t="str">
        <f>"08761080"</f>
        <v>08761080</v>
      </c>
      <c r="D89" s="1" t="s">
        <v>186</v>
      </c>
      <c r="F89" s="1" t="str">
        <f>"8025"</f>
        <v>8025</v>
      </c>
      <c r="G89" s="2">
        <v>41936.0</v>
      </c>
      <c r="H89" s="1">
        <v>37500.0</v>
      </c>
      <c r="I89" s="1">
        <v>377.0</v>
      </c>
      <c r="J89" s="1">
        <v>27500.0</v>
      </c>
      <c r="K89" s="2">
        <v>42111.0</v>
      </c>
      <c r="L89" s="1">
        <v>177.0</v>
      </c>
      <c r="M89" s="2">
        <v>42111.0</v>
      </c>
      <c r="N89" s="1" t="s">
        <v>249</v>
      </c>
      <c r="O89" s="2">
        <v>42123.0</v>
      </c>
      <c r="P89" s="1">
        <v>80582.0</v>
      </c>
      <c r="Q89" s="1">
        <v>8843.0</v>
      </c>
      <c r="S89" s="1">
        <v>1755.0</v>
      </c>
      <c r="T89" s="1" t="s">
        <v>2043</v>
      </c>
      <c r="U89" s="1" t="s">
        <v>189</v>
      </c>
      <c r="V89" s="1" t="s">
        <v>190</v>
      </c>
      <c r="W89" s="1">
        <v>60639.0</v>
      </c>
      <c r="X89" s="1">
        <v>4322.0</v>
      </c>
      <c r="Y89" s="1" t="s">
        <v>2044</v>
      </c>
      <c r="Z89" s="1">
        <v>1912.0</v>
      </c>
      <c r="AA89" s="1" t="s">
        <v>192</v>
      </c>
      <c r="AB89" s="1" t="s">
        <v>193</v>
      </c>
      <c r="AD89" s="1" t="s">
        <v>194</v>
      </c>
      <c r="AE89" s="1" t="s">
        <v>195</v>
      </c>
      <c r="AF89" s="1" t="s">
        <v>196</v>
      </c>
      <c r="AH89" s="1" t="s">
        <v>2045</v>
      </c>
      <c r="AK89" s="1">
        <v>6.0</v>
      </c>
      <c r="AL89" s="1">
        <v>4.0</v>
      </c>
      <c r="AM89" s="1">
        <v>2.0</v>
      </c>
      <c r="AN89" s="1">
        <v>0.0</v>
      </c>
      <c r="AO89" s="1" t="s">
        <v>229</v>
      </c>
      <c r="AQ89" s="1" t="s">
        <v>198</v>
      </c>
      <c r="AR89" s="1" t="s">
        <v>200</v>
      </c>
      <c r="AS89" s="1" t="s">
        <v>229</v>
      </c>
      <c r="AV89" s="1" t="s">
        <v>200</v>
      </c>
      <c r="AW89" s="1">
        <v>1216.3</v>
      </c>
      <c r="AX89" s="1">
        <v>2013.0</v>
      </c>
      <c r="AZ89" s="1" t="s">
        <v>545</v>
      </c>
      <c r="BA89" s="1" t="str">
        <f>"13333160020000"</f>
        <v>13333160020000</v>
      </c>
      <c r="BC89" s="1">
        <v>1000.0</v>
      </c>
      <c r="BD89" s="1">
        <v>26500.0</v>
      </c>
      <c r="BE89" s="2">
        <v>41935.0</v>
      </c>
      <c r="BF89" s="2" t="s">
        <v>2046</v>
      </c>
      <c r="BH89" s="1">
        <v>0.0</v>
      </c>
      <c r="BK89" s="1" t="s">
        <v>204</v>
      </c>
      <c r="BL89" s="1" t="str">
        <f>"1755"</f>
        <v>1755</v>
      </c>
      <c r="BM89" s="1" t="str">
        <f t="shared" ref="BM89:BM90" si="57">"0"</f>
        <v>0</v>
      </c>
      <c r="BN89" s="1">
        <v>5330.0</v>
      </c>
      <c r="BO89" s="1">
        <v>0.0</v>
      </c>
      <c r="BQ89" s="1">
        <v>299.0</v>
      </c>
      <c r="BR89" s="1">
        <v>299.0</v>
      </c>
      <c r="BS89" s="1">
        <v>299.0</v>
      </c>
      <c r="BU89" s="1" t="s">
        <v>329</v>
      </c>
      <c r="BV89" s="1" t="s">
        <v>206</v>
      </c>
      <c r="BY89" s="1" t="s">
        <v>1875</v>
      </c>
      <c r="BZ89" s="1" t="s">
        <v>206</v>
      </c>
      <c r="CD89" s="1" t="s">
        <v>204</v>
      </c>
      <c r="CG89" s="1" t="s">
        <v>814</v>
      </c>
      <c r="CH89" s="1" t="s">
        <v>206</v>
      </c>
      <c r="CK89" s="1" t="s">
        <v>2047</v>
      </c>
      <c r="CL89" s="1" t="s">
        <v>206</v>
      </c>
      <c r="CO89" s="1" t="s">
        <v>2047</v>
      </c>
      <c r="CP89" s="1" t="s">
        <v>206</v>
      </c>
      <c r="CS89" s="1" t="s">
        <v>1426</v>
      </c>
      <c r="CT89" s="1" t="s">
        <v>206</v>
      </c>
      <c r="CX89" s="1" t="s">
        <v>204</v>
      </c>
      <c r="DA89" s="1" t="s">
        <v>200</v>
      </c>
      <c r="DC89" s="1" t="s">
        <v>642</v>
      </c>
      <c r="DE89" s="1" t="s">
        <v>229</v>
      </c>
      <c r="DF89" s="1" t="s">
        <v>619</v>
      </c>
      <c r="DH89" s="1" t="s">
        <v>307</v>
      </c>
      <c r="DJ89" s="1" t="s">
        <v>222</v>
      </c>
      <c r="DL89" s="1" t="s">
        <v>223</v>
      </c>
      <c r="DM89" s="1" t="s">
        <v>229</v>
      </c>
      <c r="DQ89" s="1" t="s">
        <v>718</v>
      </c>
      <c r="DR89" s="1" t="s">
        <v>229</v>
      </c>
      <c r="DV89" s="1" t="s">
        <v>232</v>
      </c>
      <c r="DW89" s="1" t="s">
        <v>667</v>
      </c>
      <c r="DX89" s="1" t="s">
        <v>309</v>
      </c>
      <c r="EC89" s="1" t="s">
        <v>685</v>
      </c>
      <c r="EM89" s="1" t="s">
        <v>238</v>
      </c>
      <c r="EQ89" s="1" t="s">
        <v>238</v>
      </c>
      <c r="EU89" s="1" t="s">
        <v>238</v>
      </c>
      <c r="EY89" s="1" t="s">
        <v>238</v>
      </c>
      <c r="FC89" s="1" t="s">
        <v>238</v>
      </c>
      <c r="FF89" s="1" t="s">
        <v>239</v>
      </c>
      <c r="FG89" s="1" t="s">
        <v>192</v>
      </c>
      <c r="FH89" s="1" t="s">
        <v>192</v>
      </c>
      <c r="FJ89" s="1" t="s">
        <v>2048</v>
      </c>
      <c r="FK89" s="1" t="s">
        <v>229</v>
      </c>
      <c r="FL89" s="1" t="s">
        <v>2049</v>
      </c>
      <c r="FM89" s="1">
        <v>14858.0</v>
      </c>
      <c r="FN89" s="1" t="s">
        <v>2050</v>
      </c>
      <c r="FO89" s="1" t="s">
        <v>2051</v>
      </c>
      <c r="FP89" s="1">
        <v>171454.0</v>
      </c>
      <c r="FQ89" s="1" t="s">
        <v>2050</v>
      </c>
      <c r="FU89" s="1" t="s">
        <v>2052</v>
      </c>
      <c r="FV89" s="1" t="s">
        <v>200</v>
      </c>
      <c r="FW89" s="1" t="s">
        <v>530</v>
      </c>
      <c r="FX89" s="1" t="s">
        <v>238</v>
      </c>
      <c r="FZ89" s="1" t="s">
        <v>229</v>
      </c>
      <c r="GA89" s="1" t="s">
        <v>291</v>
      </c>
      <c r="GB89" s="2">
        <v>42124.0</v>
      </c>
      <c r="GC89" s="1" t="s">
        <v>2053</v>
      </c>
    </row>
    <row r="90">
      <c r="A90" s="1">
        <v>390000.0</v>
      </c>
      <c r="B90" s="1" t="s">
        <v>185</v>
      </c>
      <c r="C90" s="1" t="str">
        <f>"08760230"</f>
        <v>08760230</v>
      </c>
      <c r="D90" s="1" t="s">
        <v>186</v>
      </c>
      <c r="F90" s="1" t="str">
        <f>"8011"</f>
        <v>8011</v>
      </c>
      <c r="G90" s="2">
        <v>41935.0</v>
      </c>
      <c r="H90" s="1">
        <v>424000.0</v>
      </c>
      <c r="I90" s="1">
        <v>59.0</v>
      </c>
      <c r="J90" s="1">
        <v>399000.0</v>
      </c>
      <c r="K90" s="2">
        <v>41993.0</v>
      </c>
      <c r="L90" s="1">
        <v>59.0</v>
      </c>
      <c r="M90" s="2">
        <v>41993.0</v>
      </c>
      <c r="N90" s="1" t="s">
        <v>187</v>
      </c>
      <c r="O90" s="2">
        <v>42079.0</v>
      </c>
      <c r="P90" s="1">
        <v>112123.0</v>
      </c>
      <c r="Q90" s="1">
        <v>84025.0</v>
      </c>
      <c r="S90" s="1">
        <v>5036.0</v>
      </c>
      <c r="T90" s="1" t="s">
        <v>2054</v>
      </c>
      <c r="U90" s="1" t="s">
        <v>189</v>
      </c>
      <c r="V90" s="1" t="s">
        <v>190</v>
      </c>
      <c r="W90" s="1">
        <v>60630.0</v>
      </c>
      <c r="Y90" s="1" t="s">
        <v>2055</v>
      </c>
      <c r="Z90" s="1">
        <v>1945.0</v>
      </c>
      <c r="AA90" s="1" t="s">
        <v>192</v>
      </c>
      <c r="AB90" s="1" t="s">
        <v>193</v>
      </c>
      <c r="AD90" s="1" t="s">
        <v>194</v>
      </c>
      <c r="AE90" s="1" t="s">
        <v>195</v>
      </c>
      <c r="AF90" s="1" t="s">
        <v>196</v>
      </c>
      <c r="AH90" s="1" t="s">
        <v>1501</v>
      </c>
      <c r="AI90" s="1">
        <v>0.0854</v>
      </c>
      <c r="AK90" s="1">
        <v>9.0</v>
      </c>
      <c r="AL90" s="1">
        <v>3.0</v>
      </c>
      <c r="AM90" s="1">
        <v>3.0</v>
      </c>
      <c r="AN90" s="1">
        <v>1.0</v>
      </c>
      <c r="AO90" s="1" t="s">
        <v>198</v>
      </c>
      <c r="AQ90" s="1" t="s">
        <v>198</v>
      </c>
      <c r="AR90" s="1" t="s">
        <v>192</v>
      </c>
      <c r="AS90" s="1" t="s">
        <v>199</v>
      </c>
      <c r="AT90" s="1">
        <v>2.0</v>
      </c>
      <c r="AV90" s="1" t="s">
        <v>200</v>
      </c>
      <c r="AW90" s="1">
        <v>4890.0</v>
      </c>
      <c r="AX90" s="1">
        <v>2013.0</v>
      </c>
      <c r="AY90" s="1" t="s">
        <v>387</v>
      </c>
      <c r="AZ90" s="1" t="s">
        <v>200</v>
      </c>
      <c r="BA90" s="1" t="str">
        <f>"13084150230000"</f>
        <v>13084150230000</v>
      </c>
      <c r="BC90" s="1">
        <v>0.0</v>
      </c>
      <c r="BD90" s="1">
        <v>390000.0</v>
      </c>
      <c r="BE90" s="2">
        <v>41935.0</v>
      </c>
      <c r="BF90" s="2" t="s">
        <v>2056</v>
      </c>
      <c r="BH90" s="1">
        <v>0.0</v>
      </c>
      <c r="BK90" s="1" t="s">
        <v>204</v>
      </c>
      <c r="BL90" s="1" t="str">
        <f>"5036"</f>
        <v>5036</v>
      </c>
      <c r="BM90" s="1" t="str">
        <f t="shared" si="57"/>
        <v>0</v>
      </c>
      <c r="BN90" s="1">
        <v>5632.0</v>
      </c>
      <c r="BO90" s="1">
        <v>0.0</v>
      </c>
      <c r="BQ90" s="1">
        <v>299.0</v>
      </c>
      <c r="BR90" s="1">
        <v>299.0</v>
      </c>
      <c r="BS90" s="1">
        <v>299.0</v>
      </c>
      <c r="BU90" s="1" t="s">
        <v>432</v>
      </c>
      <c r="BV90" s="1" t="s">
        <v>206</v>
      </c>
      <c r="BW90" s="1" t="s">
        <v>207</v>
      </c>
      <c r="BY90" s="1" t="s">
        <v>541</v>
      </c>
      <c r="BZ90" s="1" t="s">
        <v>209</v>
      </c>
      <c r="CA90" s="1" t="s">
        <v>207</v>
      </c>
      <c r="CC90" s="1" t="s">
        <v>212</v>
      </c>
      <c r="CD90" s="1" t="s">
        <v>206</v>
      </c>
      <c r="CE90" s="1" t="s">
        <v>207</v>
      </c>
      <c r="CG90" s="1" t="s">
        <v>332</v>
      </c>
      <c r="CH90" s="1" t="s">
        <v>209</v>
      </c>
      <c r="CI90" s="1" t="s">
        <v>207</v>
      </c>
      <c r="CK90" s="1" t="s">
        <v>266</v>
      </c>
      <c r="CL90" s="1" t="s">
        <v>209</v>
      </c>
      <c r="CM90" s="1" t="s">
        <v>207</v>
      </c>
      <c r="CO90" s="1" t="s">
        <v>331</v>
      </c>
      <c r="CP90" s="1" t="s">
        <v>42</v>
      </c>
      <c r="CQ90" s="1" t="s">
        <v>210</v>
      </c>
      <c r="CS90" s="1" t="s">
        <v>363</v>
      </c>
      <c r="CT90" s="1" t="s">
        <v>206</v>
      </c>
      <c r="CU90" s="1" t="s">
        <v>207</v>
      </c>
      <c r="CW90" s="1" t="s">
        <v>784</v>
      </c>
      <c r="CX90" s="1" t="s">
        <v>209</v>
      </c>
      <c r="CY90" s="1" t="s">
        <v>207</v>
      </c>
      <c r="DA90" s="1" t="s">
        <v>200</v>
      </c>
      <c r="DC90" s="1" t="s">
        <v>702</v>
      </c>
      <c r="DE90" s="1" t="s">
        <v>273</v>
      </c>
      <c r="DF90" s="1" t="s">
        <v>219</v>
      </c>
      <c r="DH90" s="1" t="s">
        <v>220</v>
      </c>
      <c r="DI90" s="1" t="s">
        <v>2057</v>
      </c>
      <c r="DJ90" s="1" t="s">
        <v>222</v>
      </c>
      <c r="DL90" s="1" t="s">
        <v>224</v>
      </c>
      <c r="DM90" s="1" t="s">
        <v>229</v>
      </c>
      <c r="DQ90" s="1" t="s">
        <v>228</v>
      </c>
      <c r="DR90" s="1" t="s">
        <v>229</v>
      </c>
      <c r="DV90" s="1" t="s">
        <v>2058</v>
      </c>
      <c r="DW90" s="1" t="s">
        <v>279</v>
      </c>
      <c r="DX90" s="1" t="s">
        <v>234</v>
      </c>
      <c r="EC90" s="1" t="s">
        <v>237</v>
      </c>
      <c r="EG90" s="1" t="s">
        <v>450</v>
      </c>
      <c r="EH90" s="1" t="s">
        <v>310</v>
      </c>
      <c r="EL90" s="1" t="s">
        <v>2059</v>
      </c>
      <c r="EM90" s="1" t="s">
        <v>42</v>
      </c>
      <c r="EP90" s="1" t="s">
        <v>433</v>
      </c>
      <c r="EQ90" s="1" t="s">
        <v>206</v>
      </c>
      <c r="EU90" s="1" t="s">
        <v>238</v>
      </c>
      <c r="EY90" s="1" t="s">
        <v>238</v>
      </c>
      <c r="FC90" s="1" t="s">
        <v>238</v>
      </c>
      <c r="FF90" s="1" t="s">
        <v>239</v>
      </c>
      <c r="FG90" s="1" t="s">
        <v>192</v>
      </c>
      <c r="FH90" s="1" t="s">
        <v>192</v>
      </c>
      <c r="FJ90" s="1" t="s">
        <v>799</v>
      </c>
      <c r="FK90" s="1" t="s">
        <v>229</v>
      </c>
      <c r="FL90" s="1" t="s">
        <v>2060</v>
      </c>
      <c r="FM90" s="1">
        <v>85403.0</v>
      </c>
      <c r="FN90" s="1" t="s">
        <v>2061</v>
      </c>
      <c r="FO90" s="1" t="s">
        <v>2062</v>
      </c>
      <c r="FP90" s="1">
        <v>166775.0</v>
      </c>
      <c r="FQ90" s="1" t="s">
        <v>2063</v>
      </c>
      <c r="FU90" s="1" t="s">
        <v>2064</v>
      </c>
      <c r="FV90" s="1" t="s">
        <v>200</v>
      </c>
      <c r="FW90" s="1" t="s">
        <v>290</v>
      </c>
      <c r="FX90" s="1" t="s">
        <v>238</v>
      </c>
      <c r="FZ90" s="1" t="s">
        <v>229</v>
      </c>
      <c r="GA90" s="1" t="s">
        <v>291</v>
      </c>
      <c r="GB90" s="2">
        <v>42079.0</v>
      </c>
    </row>
    <row r="91">
      <c r="A91" s="1">
        <v>140555.0</v>
      </c>
      <c r="B91" s="1" t="s">
        <v>185</v>
      </c>
      <c r="C91" s="1" t="str">
        <f>"08760947"</f>
        <v>08760947</v>
      </c>
      <c r="D91" s="1" t="s">
        <v>186</v>
      </c>
      <c r="F91" s="1" t="str">
        <f>"103"</f>
        <v>103</v>
      </c>
      <c r="G91" s="2">
        <v>41936.0</v>
      </c>
      <c r="H91" s="1">
        <v>143000.0</v>
      </c>
      <c r="I91" s="1">
        <v>119.0</v>
      </c>
      <c r="J91" s="1">
        <v>143000.0</v>
      </c>
      <c r="K91" s="2">
        <v>41975.0</v>
      </c>
      <c r="L91" s="1">
        <v>40.0</v>
      </c>
      <c r="M91" s="2">
        <v>41975.0</v>
      </c>
      <c r="N91" s="1" t="s">
        <v>187</v>
      </c>
      <c r="O91" s="2">
        <v>42060.0</v>
      </c>
      <c r="P91" s="1">
        <v>259137.0</v>
      </c>
      <c r="Q91" s="1">
        <v>22833.0</v>
      </c>
      <c r="S91" s="1">
        <v>8037.0</v>
      </c>
      <c r="T91" s="1" t="s">
        <v>2065</v>
      </c>
      <c r="U91" s="1" t="s">
        <v>1174</v>
      </c>
      <c r="V91" s="1" t="s">
        <v>251</v>
      </c>
      <c r="W91" s="1">
        <v>60133.0</v>
      </c>
      <c r="Y91" s="1" t="s">
        <v>2066</v>
      </c>
      <c r="Z91" s="1">
        <v>1972.0</v>
      </c>
      <c r="AA91" s="1" t="s">
        <v>192</v>
      </c>
      <c r="AB91" s="1" t="s">
        <v>193</v>
      </c>
      <c r="AD91" s="1" t="s">
        <v>254</v>
      </c>
      <c r="AE91" s="1" t="s">
        <v>195</v>
      </c>
      <c r="AF91" s="1" t="s">
        <v>255</v>
      </c>
      <c r="AH91" s="1" t="s">
        <v>2067</v>
      </c>
      <c r="AK91" s="1">
        <v>7.0</v>
      </c>
      <c r="AL91" s="1">
        <v>4.0</v>
      </c>
      <c r="AM91" s="1">
        <v>1.0</v>
      </c>
      <c r="AN91" s="1">
        <v>2.0</v>
      </c>
      <c r="AO91" s="1" t="s">
        <v>2068</v>
      </c>
      <c r="AQ91" s="1" t="s">
        <v>229</v>
      </c>
      <c r="AR91" s="1" t="s">
        <v>200</v>
      </c>
      <c r="AS91" s="1" t="s">
        <v>199</v>
      </c>
      <c r="AT91" s="1">
        <v>1.0</v>
      </c>
      <c r="AV91" s="1" t="s">
        <v>200</v>
      </c>
      <c r="AW91" s="1">
        <v>472042.0</v>
      </c>
      <c r="AX91" s="1">
        <v>2013.0</v>
      </c>
      <c r="AY91" s="1" t="s">
        <v>387</v>
      </c>
      <c r="AZ91" s="1" t="s">
        <v>200</v>
      </c>
      <c r="BA91" s="1" t="str">
        <f>"07301080230000"</f>
        <v>07301080230000</v>
      </c>
      <c r="BB91" s="1" t="s">
        <v>200</v>
      </c>
      <c r="BC91" s="1">
        <v>1448.0</v>
      </c>
      <c r="BD91" s="1">
        <v>140555.0</v>
      </c>
      <c r="BE91" s="2">
        <v>41936.0</v>
      </c>
      <c r="BF91" s="2" t="s">
        <v>2069</v>
      </c>
      <c r="BH91" s="1">
        <v>0.0</v>
      </c>
      <c r="BK91" s="1" t="s">
        <v>204</v>
      </c>
      <c r="BL91" s="1" t="str">
        <f t="shared" ref="BL91:BM91" si="58">""</f>
        <v/>
      </c>
      <c r="BM91" s="1" t="str">
        <f t="shared" si="58"/>
        <v/>
      </c>
      <c r="BQ91" s="1">
        <v>54.0</v>
      </c>
      <c r="BR91" s="1">
        <v>211.0</v>
      </c>
      <c r="BS91" s="1">
        <v>54.0</v>
      </c>
      <c r="BU91" s="1" t="s">
        <v>1158</v>
      </c>
      <c r="BV91" s="1" t="s">
        <v>206</v>
      </c>
      <c r="BW91" s="1" t="s">
        <v>207</v>
      </c>
      <c r="BY91" s="1" t="s">
        <v>212</v>
      </c>
      <c r="BZ91" s="1" t="s">
        <v>209</v>
      </c>
      <c r="CA91" s="1" t="s">
        <v>207</v>
      </c>
      <c r="CD91" s="1" t="s">
        <v>204</v>
      </c>
      <c r="CG91" s="1" t="s">
        <v>264</v>
      </c>
      <c r="CH91" s="1" t="s">
        <v>209</v>
      </c>
      <c r="CI91" s="1" t="s">
        <v>210</v>
      </c>
      <c r="CK91" s="1" t="s">
        <v>516</v>
      </c>
      <c r="CL91" s="1" t="s">
        <v>209</v>
      </c>
      <c r="CM91" s="1" t="s">
        <v>210</v>
      </c>
      <c r="CO91" s="1" t="s">
        <v>2047</v>
      </c>
      <c r="CP91" s="1" t="s">
        <v>209</v>
      </c>
      <c r="CQ91" s="1" t="s">
        <v>210</v>
      </c>
      <c r="CS91" s="1" t="s">
        <v>543</v>
      </c>
      <c r="CT91" s="1" t="s">
        <v>206</v>
      </c>
      <c r="CU91" s="1" t="s">
        <v>268</v>
      </c>
      <c r="CX91" s="1" t="s">
        <v>204</v>
      </c>
      <c r="DA91" s="1" t="s">
        <v>200</v>
      </c>
      <c r="DC91" s="1" t="s">
        <v>517</v>
      </c>
      <c r="DD91" s="1" t="s">
        <v>518</v>
      </c>
      <c r="DE91" s="1" t="s">
        <v>273</v>
      </c>
      <c r="DF91" s="1" t="s">
        <v>219</v>
      </c>
      <c r="DH91" s="1" t="s">
        <v>220</v>
      </c>
      <c r="DI91" s="1" t="s">
        <v>831</v>
      </c>
      <c r="DJ91" s="1" t="s">
        <v>222</v>
      </c>
      <c r="DL91" s="1" t="s">
        <v>229</v>
      </c>
      <c r="DM91" s="1" t="s">
        <v>229</v>
      </c>
      <c r="DQ91" s="1" t="s">
        <v>228</v>
      </c>
      <c r="DR91" s="1" t="s">
        <v>229</v>
      </c>
      <c r="DS91" s="1" t="s">
        <v>230</v>
      </c>
      <c r="DU91" s="1" t="s">
        <v>2070</v>
      </c>
      <c r="DV91" s="1" t="s">
        <v>2071</v>
      </c>
      <c r="DW91" s="1" t="s">
        <v>891</v>
      </c>
      <c r="DX91" s="1" t="s">
        <v>234</v>
      </c>
      <c r="DY91" s="1" t="s">
        <v>704</v>
      </c>
      <c r="DZ91" s="1" t="s">
        <v>446</v>
      </c>
      <c r="EC91" s="1" t="s">
        <v>237</v>
      </c>
      <c r="EG91" s="1" t="s">
        <v>449</v>
      </c>
      <c r="EH91" s="1" t="s">
        <v>408</v>
      </c>
      <c r="EL91" s="1" t="s">
        <v>454</v>
      </c>
      <c r="EM91" s="1" t="s">
        <v>206</v>
      </c>
      <c r="EN91" s="1" t="s">
        <v>268</v>
      </c>
      <c r="EP91" s="1" t="s">
        <v>2072</v>
      </c>
      <c r="EQ91" s="1" t="s">
        <v>206</v>
      </c>
      <c r="ER91" s="1" t="s">
        <v>268</v>
      </c>
      <c r="EU91" s="1" t="s">
        <v>238</v>
      </c>
      <c r="EY91" s="1" t="s">
        <v>238</v>
      </c>
      <c r="FC91" s="1" t="s">
        <v>238</v>
      </c>
      <c r="FF91" s="1" t="s">
        <v>239</v>
      </c>
      <c r="FG91" s="1" t="s">
        <v>192</v>
      </c>
      <c r="FH91" s="1" t="s">
        <v>192</v>
      </c>
      <c r="FJ91" s="1" t="s">
        <v>524</v>
      </c>
      <c r="FK91" s="1" t="s">
        <v>229</v>
      </c>
      <c r="FL91" s="1" t="s">
        <v>1358</v>
      </c>
      <c r="FM91" s="1">
        <v>24042.0</v>
      </c>
      <c r="FN91" s="1" t="s">
        <v>2073</v>
      </c>
      <c r="FO91" s="1" t="s">
        <v>2074</v>
      </c>
      <c r="FP91" s="1">
        <v>222049.0</v>
      </c>
      <c r="FQ91" s="1" t="s">
        <v>2075</v>
      </c>
      <c r="FU91" s="1" t="s">
        <v>2076</v>
      </c>
      <c r="FV91" s="1" t="s">
        <v>200</v>
      </c>
      <c r="FW91" s="1" t="s">
        <v>290</v>
      </c>
      <c r="FZ91" s="1" t="s">
        <v>229</v>
      </c>
      <c r="GA91" s="1" t="s">
        <v>291</v>
      </c>
      <c r="GB91" s="2">
        <v>42062.0</v>
      </c>
      <c r="GC91" s="1" t="s">
        <v>2077</v>
      </c>
    </row>
    <row r="92">
      <c r="A92" s="1">
        <v>80000.0</v>
      </c>
      <c r="B92" s="1" t="s">
        <v>185</v>
      </c>
      <c r="C92" s="1" t="str">
        <f>"08774283"</f>
        <v>08774283</v>
      </c>
      <c r="D92" s="1" t="s">
        <v>186</v>
      </c>
      <c r="F92" s="1" t="str">
        <f>"8074"</f>
        <v>8074</v>
      </c>
      <c r="G92" s="2">
        <v>41955.0</v>
      </c>
      <c r="H92" s="1">
        <v>73900.0</v>
      </c>
      <c r="I92" s="1">
        <v>11.0</v>
      </c>
      <c r="J92" s="1">
        <v>73900.0</v>
      </c>
      <c r="K92" s="2">
        <v>41964.0</v>
      </c>
      <c r="L92" s="1">
        <v>11.0</v>
      </c>
      <c r="M92" s="2">
        <v>41964.0</v>
      </c>
      <c r="N92" s="1" t="s">
        <v>249</v>
      </c>
      <c r="O92" s="2">
        <v>42076.0</v>
      </c>
      <c r="P92" s="1">
        <v>602837.0</v>
      </c>
      <c r="Q92" s="1">
        <v>60296.0</v>
      </c>
      <c r="S92" s="1">
        <v>3000.0</v>
      </c>
      <c r="T92" s="1" t="s">
        <v>2078</v>
      </c>
      <c r="U92" s="1" t="s">
        <v>320</v>
      </c>
      <c r="V92" s="1" t="s">
        <v>190</v>
      </c>
      <c r="W92" s="1">
        <v>60655.0</v>
      </c>
      <c r="Y92" s="1" t="s">
        <v>2079</v>
      </c>
      <c r="Z92" s="1">
        <v>1957.0</v>
      </c>
      <c r="AA92" s="1" t="s">
        <v>192</v>
      </c>
      <c r="AB92" s="1" t="s">
        <v>193</v>
      </c>
      <c r="AD92" s="1" t="s">
        <v>194</v>
      </c>
      <c r="AE92" s="1" t="s">
        <v>195</v>
      </c>
      <c r="AF92" s="1" t="s">
        <v>659</v>
      </c>
      <c r="AH92" s="1" t="s">
        <v>2080</v>
      </c>
      <c r="AK92" s="1">
        <v>6.0</v>
      </c>
      <c r="AL92" s="1">
        <v>4.0</v>
      </c>
      <c r="AM92" s="1">
        <v>1.0</v>
      </c>
      <c r="AN92" s="1">
        <v>1.0</v>
      </c>
      <c r="AO92" s="1" t="s">
        <v>229</v>
      </c>
      <c r="AQ92" s="1" t="s">
        <v>198</v>
      </c>
      <c r="AR92" s="1" t="s">
        <v>192</v>
      </c>
      <c r="AS92" s="1" t="s">
        <v>199</v>
      </c>
      <c r="AT92" s="1">
        <v>2.0</v>
      </c>
      <c r="AV92" s="1" t="s">
        <v>200</v>
      </c>
      <c r="AW92" s="1">
        <v>2902.0</v>
      </c>
      <c r="AX92" s="1">
        <v>2013.0</v>
      </c>
      <c r="AZ92" s="1" t="s">
        <v>545</v>
      </c>
      <c r="BA92" s="1" t="str">
        <f>"24131150580000"</f>
        <v>24131150580000</v>
      </c>
      <c r="BB92" s="1" t="s">
        <v>200</v>
      </c>
      <c r="BC92" s="1">
        <v>999.0</v>
      </c>
      <c r="BD92" s="1">
        <v>80000.0</v>
      </c>
      <c r="BE92" s="2">
        <v>41954.0</v>
      </c>
      <c r="BF92" s="1" t="s">
        <v>2081</v>
      </c>
      <c r="BH92" s="1">
        <v>0.0</v>
      </c>
      <c r="BK92" s="1" t="s">
        <v>204</v>
      </c>
      <c r="BL92" s="1" t="str">
        <f t="shared" ref="BL92:BM92" si="59">"0"</f>
        <v>0</v>
      </c>
      <c r="BM92" s="1" t="str">
        <f t="shared" si="59"/>
        <v>0</v>
      </c>
      <c r="BN92" s="1">
        <v>3000.0</v>
      </c>
      <c r="BO92" s="1">
        <v>10700.0</v>
      </c>
      <c r="BQ92" s="1">
        <v>299.0</v>
      </c>
      <c r="BR92" s="1">
        <v>299.0</v>
      </c>
      <c r="BS92" s="1">
        <v>299.0</v>
      </c>
      <c r="BU92" s="1" t="s">
        <v>1183</v>
      </c>
      <c r="BV92" s="1" t="s">
        <v>206</v>
      </c>
      <c r="BW92" s="1" t="s">
        <v>207</v>
      </c>
      <c r="BY92" s="1" t="s">
        <v>302</v>
      </c>
      <c r="BZ92" s="1" t="s">
        <v>206</v>
      </c>
      <c r="CD92" s="1" t="s">
        <v>204</v>
      </c>
      <c r="CG92" s="1" t="s">
        <v>699</v>
      </c>
      <c r="CH92" s="1" t="s">
        <v>206</v>
      </c>
      <c r="CI92" s="1" t="s">
        <v>207</v>
      </c>
      <c r="CK92" s="1" t="s">
        <v>2082</v>
      </c>
      <c r="CL92" s="1" t="s">
        <v>209</v>
      </c>
      <c r="CM92" s="1" t="s">
        <v>210</v>
      </c>
      <c r="CO92" s="1" t="s">
        <v>677</v>
      </c>
      <c r="CP92" s="1" t="s">
        <v>209</v>
      </c>
      <c r="CQ92" s="1" t="s">
        <v>210</v>
      </c>
      <c r="CS92" s="1" t="s">
        <v>699</v>
      </c>
      <c r="CT92" s="1" t="s">
        <v>206</v>
      </c>
      <c r="CU92" s="1" t="s">
        <v>617</v>
      </c>
      <c r="CX92" s="1" t="s">
        <v>204</v>
      </c>
      <c r="DA92" s="1" t="s">
        <v>200</v>
      </c>
      <c r="DC92" s="1" t="s">
        <v>271</v>
      </c>
      <c r="DE92" s="1" t="s">
        <v>273</v>
      </c>
      <c r="DF92" s="1" t="s">
        <v>219</v>
      </c>
      <c r="DH92" s="1" t="s">
        <v>365</v>
      </c>
      <c r="DJ92" s="1" t="s">
        <v>222</v>
      </c>
      <c r="DL92" s="1" t="s">
        <v>223</v>
      </c>
      <c r="DM92" s="1" t="s">
        <v>229</v>
      </c>
      <c r="DQ92" s="1" t="s">
        <v>228</v>
      </c>
      <c r="DR92" s="1" t="s">
        <v>229</v>
      </c>
      <c r="DV92" s="1" t="s">
        <v>374</v>
      </c>
      <c r="DW92" s="1" t="s">
        <v>233</v>
      </c>
      <c r="DX92" s="1" t="s">
        <v>234</v>
      </c>
      <c r="EA92" s="1" t="s">
        <v>1075</v>
      </c>
      <c r="EC92" s="1" t="s">
        <v>645</v>
      </c>
      <c r="EG92" s="1" t="s">
        <v>374</v>
      </c>
      <c r="EL92" s="1" t="s">
        <v>2083</v>
      </c>
      <c r="EM92" s="1" t="s">
        <v>206</v>
      </c>
      <c r="EQ92" s="1" t="s">
        <v>238</v>
      </c>
      <c r="EU92" s="1" t="s">
        <v>238</v>
      </c>
      <c r="EY92" s="1" t="s">
        <v>238</v>
      </c>
      <c r="FC92" s="1" t="s">
        <v>238</v>
      </c>
      <c r="FF92" s="1" t="s">
        <v>239</v>
      </c>
      <c r="FG92" s="1" t="s">
        <v>192</v>
      </c>
      <c r="FH92" s="1" t="s">
        <v>192</v>
      </c>
      <c r="FJ92" s="1" t="s">
        <v>1493</v>
      </c>
      <c r="FK92" s="1" t="s">
        <v>1586</v>
      </c>
      <c r="FL92" s="1" t="s">
        <v>2037</v>
      </c>
      <c r="FM92" s="1">
        <v>60321.0</v>
      </c>
      <c r="FN92" s="1" t="s">
        <v>2038</v>
      </c>
      <c r="FO92" s="1" t="s">
        <v>2084</v>
      </c>
      <c r="FP92" s="1">
        <v>228266.0</v>
      </c>
      <c r="FQ92" s="1" t="s">
        <v>2038</v>
      </c>
      <c r="FS92" s="1" t="s">
        <v>2085</v>
      </c>
      <c r="FU92" s="1" t="s">
        <v>2086</v>
      </c>
      <c r="FV92" s="1" t="s">
        <v>200</v>
      </c>
      <c r="FW92" s="1" t="s">
        <v>2087</v>
      </c>
      <c r="FX92" s="1" t="s">
        <v>246</v>
      </c>
      <c r="FZ92" s="1" t="s">
        <v>632</v>
      </c>
      <c r="GA92" s="1" t="s">
        <v>291</v>
      </c>
      <c r="GB92" s="2">
        <v>42078.0</v>
      </c>
      <c r="GC92" s="1" t="s">
        <v>2088</v>
      </c>
    </row>
    <row r="93">
      <c r="A93" s="1">
        <v>355000.0</v>
      </c>
      <c r="B93" s="1" t="s">
        <v>185</v>
      </c>
      <c r="C93" s="1" t="str">
        <f>"08767685"</f>
        <v>08767685</v>
      </c>
      <c r="D93" s="1" t="s">
        <v>186</v>
      </c>
      <c r="F93" s="1" t="str">
        <f>"8005"</f>
        <v>8005</v>
      </c>
      <c r="G93" s="2">
        <v>41946.0</v>
      </c>
      <c r="H93" s="1">
        <v>359000.0</v>
      </c>
      <c r="I93" s="1">
        <v>8.0</v>
      </c>
      <c r="J93" s="1">
        <v>359000.0</v>
      </c>
      <c r="K93" s="2">
        <v>41953.0</v>
      </c>
      <c r="L93" s="1">
        <v>8.0</v>
      </c>
      <c r="M93" s="2">
        <v>41953.0</v>
      </c>
      <c r="N93" s="1" t="s">
        <v>187</v>
      </c>
      <c r="O93" s="2">
        <v>42041.0</v>
      </c>
      <c r="P93" s="1">
        <v>146992.0</v>
      </c>
      <c r="Q93" s="1">
        <v>18649.0</v>
      </c>
      <c r="S93" s="1">
        <v>2238.0</v>
      </c>
      <c r="T93" s="1" t="s">
        <v>2089</v>
      </c>
      <c r="U93" s="1" t="s">
        <v>464</v>
      </c>
      <c r="V93" s="1" t="s">
        <v>190</v>
      </c>
      <c r="W93" s="1">
        <v>60618.0</v>
      </c>
      <c r="Y93" s="1" t="s">
        <v>2090</v>
      </c>
      <c r="Z93" s="1">
        <v>1896.0</v>
      </c>
      <c r="AA93" s="1" t="s">
        <v>192</v>
      </c>
      <c r="AB93" s="1" t="s">
        <v>193</v>
      </c>
      <c r="AD93" s="1" t="s">
        <v>194</v>
      </c>
      <c r="AE93" s="1" t="s">
        <v>195</v>
      </c>
      <c r="AF93" s="1" t="s">
        <v>534</v>
      </c>
      <c r="AH93" s="1" t="s">
        <v>2091</v>
      </c>
      <c r="AK93" s="1">
        <v>7.0</v>
      </c>
      <c r="AL93" s="1">
        <v>4.0</v>
      </c>
      <c r="AM93" s="1">
        <v>1.0</v>
      </c>
      <c r="AN93" s="1">
        <v>0.0</v>
      </c>
      <c r="AO93" s="1" t="s">
        <v>229</v>
      </c>
      <c r="AP93" s="1">
        <v>0.0</v>
      </c>
      <c r="AQ93" s="1" t="s">
        <v>198</v>
      </c>
      <c r="AR93" s="1" t="s">
        <v>192</v>
      </c>
      <c r="AS93" s="1" t="s">
        <v>199</v>
      </c>
      <c r="AT93" s="1">
        <v>2.0</v>
      </c>
      <c r="AV93" s="1" t="s">
        <v>200</v>
      </c>
      <c r="AW93" s="1">
        <v>8357.0</v>
      </c>
      <c r="AX93" s="1">
        <v>2012.0</v>
      </c>
      <c r="AY93" s="1" t="s">
        <v>229</v>
      </c>
      <c r="AZ93" s="1" t="s">
        <v>200</v>
      </c>
      <c r="BA93" s="1" t="str">
        <f>"14183240430000"</f>
        <v>14183240430000</v>
      </c>
      <c r="BB93" s="1" t="s">
        <v>200</v>
      </c>
      <c r="BC93" s="1">
        <v>1500.0</v>
      </c>
      <c r="BD93" s="1">
        <v>355000.0</v>
      </c>
      <c r="BE93" s="2">
        <v>41946.0</v>
      </c>
      <c r="BF93" s="2" t="s">
        <v>2092</v>
      </c>
      <c r="BG93" s="1" t="s">
        <v>2093</v>
      </c>
      <c r="BH93" s="1">
        <v>0.0</v>
      </c>
      <c r="BI93" s="1" t="s">
        <v>2093</v>
      </c>
      <c r="BK93" s="1" t="s">
        <v>204</v>
      </c>
      <c r="BL93" s="1" t="str">
        <f>"4000"</f>
        <v>4000</v>
      </c>
      <c r="BM93" s="1" t="str">
        <f>"0"</f>
        <v>0</v>
      </c>
      <c r="BN93" s="1">
        <v>2238.0</v>
      </c>
      <c r="BO93" s="1">
        <v>0.0</v>
      </c>
      <c r="BQ93" s="1">
        <v>299.0</v>
      </c>
      <c r="BR93" s="1">
        <v>299.0</v>
      </c>
      <c r="BS93" s="1">
        <v>299.0</v>
      </c>
      <c r="BU93" s="1" t="s">
        <v>433</v>
      </c>
      <c r="BV93" s="1" t="s">
        <v>206</v>
      </c>
      <c r="BW93" s="1" t="s">
        <v>207</v>
      </c>
      <c r="BX93" s="1" t="s">
        <v>229</v>
      </c>
      <c r="BY93" s="1" t="s">
        <v>516</v>
      </c>
      <c r="BZ93" s="1" t="s">
        <v>206</v>
      </c>
      <c r="CA93" s="1" t="s">
        <v>207</v>
      </c>
      <c r="CB93" s="1" t="s">
        <v>229</v>
      </c>
      <c r="CC93" s="1" t="s">
        <v>329</v>
      </c>
      <c r="CD93" s="1" t="s">
        <v>206</v>
      </c>
      <c r="CE93" s="1" t="s">
        <v>207</v>
      </c>
      <c r="CF93" s="1" t="s">
        <v>229</v>
      </c>
      <c r="CG93" s="1" t="s">
        <v>798</v>
      </c>
      <c r="CH93" s="1" t="s">
        <v>206</v>
      </c>
      <c r="CI93" s="1" t="s">
        <v>207</v>
      </c>
      <c r="CJ93" s="1" t="s">
        <v>229</v>
      </c>
      <c r="CK93" s="1" t="s">
        <v>497</v>
      </c>
      <c r="CL93" s="1" t="s">
        <v>209</v>
      </c>
      <c r="CM93" s="1" t="s">
        <v>210</v>
      </c>
      <c r="CN93" s="1" t="s">
        <v>229</v>
      </c>
      <c r="CO93" s="1" t="s">
        <v>269</v>
      </c>
      <c r="CP93" s="1" t="s">
        <v>209</v>
      </c>
      <c r="CQ93" s="1" t="s">
        <v>210</v>
      </c>
      <c r="CR93" s="1" t="s">
        <v>229</v>
      </c>
      <c r="CS93" s="1" t="s">
        <v>264</v>
      </c>
      <c r="CT93" s="1" t="s">
        <v>206</v>
      </c>
      <c r="CU93" s="1" t="s">
        <v>617</v>
      </c>
      <c r="CV93" s="1" t="s">
        <v>229</v>
      </c>
      <c r="CX93" s="1" t="s">
        <v>204</v>
      </c>
      <c r="DA93" s="1" t="s">
        <v>200</v>
      </c>
      <c r="DC93" s="1" t="s">
        <v>642</v>
      </c>
      <c r="DD93" s="1" t="s">
        <v>2094</v>
      </c>
      <c r="DE93" s="1" t="s">
        <v>1139</v>
      </c>
      <c r="DF93" s="1" t="s">
        <v>219</v>
      </c>
      <c r="DG93" s="1" t="s">
        <v>2095</v>
      </c>
      <c r="DH93" s="1" t="s">
        <v>307</v>
      </c>
      <c r="DI93" s="1" t="s">
        <v>2096</v>
      </c>
      <c r="DJ93" s="1" t="s">
        <v>222</v>
      </c>
      <c r="DK93" s="1" t="s">
        <v>2097</v>
      </c>
      <c r="DL93" s="1" t="s">
        <v>223</v>
      </c>
      <c r="DM93" s="1" t="s">
        <v>1464</v>
      </c>
      <c r="DO93" s="1" t="s">
        <v>549</v>
      </c>
      <c r="DP93" s="1" t="s">
        <v>340</v>
      </c>
      <c r="DQ93" s="1" t="s">
        <v>228</v>
      </c>
      <c r="DR93" s="1" t="s">
        <v>229</v>
      </c>
      <c r="DS93" s="1" t="s">
        <v>277</v>
      </c>
      <c r="DV93" s="1" t="s">
        <v>2098</v>
      </c>
      <c r="DW93" s="1" t="s">
        <v>233</v>
      </c>
      <c r="DX93" s="1" t="s">
        <v>234</v>
      </c>
      <c r="DY93" s="1" t="s">
        <v>704</v>
      </c>
      <c r="DZ93" s="1" t="s">
        <v>310</v>
      </c>
      <c r="EA93" s="1" t="s">
        <v>2099</v>
      </c>
      <c r="EC93" s="1" t="s">
        <v>237</v>
      </c>
      <c r="EG93" s="1" t="s">
        <v>310</v>
      </c>
      <c r="EH93" s="1" t="s">
        <v>374</v>
      </c>
      <c r="EL93" s="1" t="s">
        <v>433</v>
      </c>
      <c r="EM93" s="1" t="s">
        <v>206</v>
      </c>
      <c r="EN93" s="1" t="s">
        <v>588</v>
      </c>
      <c r="EO93" s="1" t="s">
        <v>229</v>
      </c>
      <c r="EP93" s="1" t="s">
        <v>264</v>
      </c>
      <c r="EQ93" s="1" t="s">
        <v>206</v>
      </c>
      <c r="ER93" s="1" t="s">
        <v>210</v>
      </c>
      <c r="ES93" s="1" t="s">
        <v>229</v>
      </c>
      <c r="EU93" s="1" t="s">
        <v>238</v>
      </c>
      <c r="EY93" s="1" t="s">
        <v>238</v>
      </c>
      <c r="FC93" s="1" t="s">
        <v>238</v>
      </c>
      <c r="FF93" s="1" t="s">
        <v>239</v>
      </c>
      <c r="FG93" s="1" t="s">
        <v>192</v>
      </c>
      <c r="FH93" s="1" t="s">
        <v>192</v>
      </c>
      <c r="FJ93" s="1" t="s">
        <v>2100</v>
      </c>
      <c r="FK93" s="1" t="s">
        <v>229</v>
      </c>
      <c r="FL93" s="1" t="s">
        <v>456</v>
      </c>
      <c r="FM93" s="1">
        <v>10273.0</v>
      </c>
      <c r="FN93" s="1" t="s">
        <v>2101</v>
      </c>
      <c r="FO93" s="1" t="s">
        <v>2102</v>
      </c>
      <c r="FP93" s="1">
        <v>140975.0</v>
      </c>
      <c r="FQ93" s="1" t="s">
        <v>2103</v>
      </c>
      <c r="FU93" s="1" t="s">
        <v>2104</v>
      </c>
      <c r="FV93" s="1" t="s">
        <v>200</v>
      </c>
      <c r="FW93" s="1" t="s">
        <v>290</v>
      </c>
      <c r="FX93" s="1" t="s">
        <v>246</v>
      </c>
      <c r="FZ93" s="1" t="s">
        <v>229</v>
      </c>
      <c r="GA93" s="1" t="s">
        <v>291</v>
      </c>
      <c r="GB93" s="2">
        <v>42041.0</v>
      </c>
      <c r="GC93" s="1" t="s">
        <v>2105</v>
      </c>
    </row>
    <row r="94">
      <c r="A94" s="1">
        <v>51000.0</v>
      </c>
      <c r="B94" s="1" t="s">
        <v>185</v>
      </c>
      <c r="C94" s="1" t="str">
        <f>"08767939"</f>
        <v>08767939</v>
      </c>
      <c r="D94" s="1" t="s">
        <v>186</v>
      </c>
      <c r="F94" s="1" t="str">
        <f>"8066"</f>
        <v>8066</v>
      </c>
      <c r="G94" s="2">
        <v>41946.0</v>
      </c>
      <c r="H94" s="1">
        <v>42900.0</v>
      </c>
      <c r="I94" s="1">
        <v>29.0</v>
      </c>
      <c r="J94" s="1">
        <v>42900.0</v>
      </c>
      <c r="K94" s="2">
        <v>41971.0</v>
      </c>
      <c r="L94" s="1">
        <v>29.0</v>
      </c>
      <c r="M94" s="2">
        <v>41971.0</v>
      </c>
      <c r="N94" s="1" t="s">
        <v>249</v>
      </c>
      <c r="O94" s="2">
        <v>42032.0</v>
      </c>
      <c r="P94" s="1">
        <v>181576.0</v>
      </c>
      <c r="Q94" s="1">
        <v>12555.0</v>
      </c>
      <c r="S94" s="1">
        <v>7205.0</v>
      </c>
      <c r="T94" s="1" t="s">
        <v>2106</v>
      </c>
      <c r="U94" s="1" t="s">
        <v>189</v>
      </c>
      <c r="V94" s="1" t="s">
        <v>190</v>
      </c>
      <c r="W94" s="1">
        <v>60629.0</v>
      </c>
      <c r="Y94" s="1" t="s">
        <v>2107</v>
      </c>
      <c r="Z94" s="1">
        <v>1953.0</v>
      </c>
      <c r="AA94" s="1" t="s">
        <v>192</v>
      </c>
      <c r="AB94" s="1" t="s">
        <v>193</v>
      </c>
      <c r="AD94" s="1" t="s">
        <v>194</v>
      </c>
      <c r="AE94" s="1" t="s">
        <v>195</v>
      </c>
      <c r="AF94" s="1" t="s">
        <v>1154</v>
      </c>
      <c r="AH94" s="1" t="s">
        <v>1501</v>
      </c>
      <c r="AK94" s="1">
        <v>8.0</v>
      </c>
      <c r="AL94" s="1">
        <v>4.0</v>
      </c>
      <c r="AM94" s="1">
        <v>2.0</v>
      </c>
      <c r="AN94" s="1">
        <v>0.0</v>
      </c>
      <c r="AO94" s="1" t="s">
        <v>198</v>
      </c>
      <c r="AP94" s="1">
        <v>1.0</v>
      </c>
      <c r="AQ94" s="1" t="s">
        <v>198</v>
      </c>
      <c r="AR94" s="1" t="s">
        <v>200</v>
      </c>
      <c r="AS94" s="1" t="s">
        <v>199</v>
      </c>
      <c r="AT94" s="1">
        <v>2.0</v>
      </c>
      <c r="AV94" s="1" t="s">
        <v>200</v>
      </c>
      <c r="AW94" s="6">
        <v>2407.0</v>
      </c>
      <c r="AX94" s="1">
        <v>2012.0</v>
      </c>
      <c r="AY94" s="1" t="s">
        <v>387</v>
      </c>
      <c r="AZ94" s="1" t="s">
        <v>200</v>
      </c>
      <c r="BA94" s="1" t="str">
        <f>"19262150020000"</f>
        <v>19262150020000</v>
      </c>
      <c r="BB94" s="1" t="s">
        <v>200</v>
      </c>
      <c r="BC94" s="1">
        <v>1092.0</v>
      </c>
      <c r="BD94" s="1">
        <v>51000.0</v>
      </c>
      <c r="BE94" s="2">
        <v>41943.0</v>
      </c>
      <c r="BF94" s="2" t="s">
        <v>2108</v>
      </c>
      <c r="BH94" s="1">
        <v>0.0</v>
      </c>
      <c r="BK94" s="1" t="s">
        <v>204</v>
      </c>
      <c r="BL94" s="1" t="str">
        <f t="shared" ref="BL94:BM94" si="60">"0"</f>
        <v>0</v>
      </c>
      <c r="BM94" s="1" t="str">
        <f t="shared" si="60"/>
        <v>0</v>
      </c>
      <c r="BN94" s="1">
        <v>3232.0</v>
      </c>
      <c r="BO94" s="1">
        <v>7205.0</v>
      </c>
      <c r="BQ94" s="1">
        <v>299.0</v>
      </c>
      <c r="BR94" s="1">
        <v>299.0</v>
      </c>
      <c r="BS94" s="1">
        <v>299.0</v>
      </c>
      <c r="BU94" s="1" t="s">
        <v>1117</v>
      </c>
      <c r="BV94" s="1" t="s">
        <v>206</v>
      </c>
      <c r="BY94" s="1" t="s">
        <v>2109</v>
      </c>
      <c r="BZ94" s="1" t="s">
        <v>209</v>
      </c>
      <c r="CC94" s="1" t="s">
        <v>269</v>
      </c>
      <c r="CD94" s="1" t="s">
        <v>206</v>
      </c>
      <c r="CG94" s="1" t="s">
        <v>454</v>
      </c>
      <c r="CH94" s="1" t="s">
        <v>206</v>
      </c>
      <c r="CK94" s="1" t="s">
        <v>264</v>
      </c>
      <c r="CL94" s="1" t="s">
        <v>206</v>
      </c>
      <c r="CO94" s="1" t="s">
        <v>264</v>
      </c>
      <c r="CP94" s="1" t="s">
        <v>206</v>
      </c>
      <c r="CS94" s="1" t="s">
        <v>2072</v>
      </c>
      <c r="CT94" s="1" t="s">
        <v>206</v>
      </c>
      <c r="CW94" s="1" t="s">
        <v>544</v>
      </c>
      <c r="CX94" s="1" t="s">
        <v>42</v>
      </c>
      <c r="DA94" s="1" t="s">
        <v>200</v>
      </c>
      <c r="DC94" s="1" t="s">
        <v>702</v>
      </c>
      <c r="DE94" s="1" t="s">
        <v>273</v>
      </c>
      <c r="DF94" s="1" t="s">
        <v>905</v>
      </c>
      <c r="DH94" s="1" t="s">
        <v>365</v>
      </c>
      <c r="DJ94" s="1" t="s">
        <v>222</v>
      </c>
      <c r="DK94" s="1" t="s">
        <v>1570</v>
      </c>
      <c r="DL94" s="1" t="s">
        <v>858</v>
      </c>
      <c r="DM94" s="1" t="s">
        <v>229</v>
      </c>
      <c r="DP94" s="1" t="s">
        <v>340</v>
      </c>
      <c r="DQ94" s="1" t="s">
        <v>228</v>
      </c>
      <c r="DR94" s="1" t="s">
        <v>229</v>
      </c>
      <c r="DS94" s="1" t="s">
        <v>230</v>
      </c>
      <c r="DV94" s="1" t="s">
        <v>374</v>
      </c>
      <c r="DW94" s="1" t="s">
        <v>279</v>
      </c>
      <c r="DX94" s="1" t="s">
        <v>234</v>
      </c>
      <c r="EA94" s="1" t="s">
        <v>644</v>
      </c>
      <c r="EC94" s="1" t="s">
        <v>685</v>
      </c>
      <c r="EG94" s="1" t="s">
        <v>374</v>
      </c>
      <c r="EL94" s="1" t="s">
        <v>269</v>
      </c>
      <c r="EM94" s="1" t="s">
        <v>206</v>
      </c>
      <c r="EQ94" s="1" t="s">
        <v>238</v>
      </c>
      <c r="EU94" s="1" t="s">
        <v>238</v>
      </c>
      <c r="EY94" s="1" t="s">
        <v>238</v>
      </c>
      <c r="FC94" s="1" t="s">
        <v>238</v>
      </c>
      <c r="FF94" s="1" t="s">
        <v>239</v>
      </c>
      <c r="FG94" s="1" t="s">
        <v>192</v>
      </c>
      <c r="FH94" s="1" t="s">
        <v>192</v>
      </c>
      <c r="FJ94" s="1" t="s">
        <v>2110</v>
      </c>
      <c r="FK94" s="1" t="s">
        <v>229</v>
      </c>
      <c r="FL94" s="1" t="s">
        <v>2111</v>
      </c>
      <c r="FM94" s="1">
        <v>12555.0</v>
      </c>
      <c r="FN94" s="1" t="s">
        <v>2112</v>
      </c>
      <c r="FO94" s="1" t="s">
        <v>2113</v>
      </c>
      <c r="FP94" s="1">
        <v>130892.0</v>
      </c>
      <c r="FQ94" s="1" t="s">
        <v>2112</v>
      </c>
      <c r="FU94" s="1" t="s">
        <v>710</v>
      </c>
      <c r="FV94" s="1" t="s">
        <v>200</v>
      </c>
      <c r="FW94" s="1" t="s">
        <v>567</v>
      </c>
      <c r="FX94" s="1" t="s">
        <v>655</v>
      </c>
      <c r="FZ94" s="1" t="s">
        <v>229</v>
      </c>
      <c r="GA94" s="1" t="s">
        <v>291</v>
      </c>
      <c r="GB94" s="2">
        <v>42034.0</v>
      </c>
      <c r="GC94" s="1" t="s">
        <v>2114</v>
      </c>
    </row>
    <row r="95">
      <c r="A95" s="1">
        <v>493000.0</v>
      </c>
      <c r="B95" s="1" t="s">
        <v>185</v>
      </c>
      <c r="C95" s="1" t="str">
        <f>"08764026"</f>
        <v>08764026</v>
      </c>
      <c r="D95" s="1" t="s">
        <v>186</v>
      </c>
      <c r="F95" s="1" t="str">
        <f t="shared" ref="F95:F96" si="62">"174"</f>
        <v>174</v>
      </c>
      <c r="G95" s="2">
        <v>41941.0</v>
      </c>
      <c r="H95" s="1">
        <v>529000.0</v>
      </c>
      <c r="I95" s="1">
        <v>196.0</v>
      </c>
      <c r="J95" s="1">
        <v>514000.0</v>
      </c>
      <c r="K95" s="2">
        <v>42035.0</v>
      </c>
      <c r="L95" s="1">
        <v>95.0</v>
      </c>
      <c r="M95" s="2">
        <v>42035.0</v>
      </c>
      <c r="N95" s="1" t="s">
        <v>249</v>
      </c>
      <c r="O95" s="2">
        <v>42058.0</v>
      </c>
      <c r="P95" s="1">
        <v>230500.0</v>
      </c>
      <c r="Q95" s="1">
        <v>23591.0</v>
      </c>
      <c r="S95" s="1">
        <v>2455.0</v>
      </c>
      <c r="T95" s="1" t="s">
        <v>2115</v>
      </c>
      <c r="U95" s="1" t="s">
        <v>464</v>
      </c>
      <c r="V95" s="1" t="s">
        <v>1200</v>
      </c>
      <c r="W95" s="1">
        <v>60174.0</v>
      </c>
      <c r="Y95" s="1" t="s">
        <v>2116</v>
      </c>
      <c r="Z95" s="1">
        <v>1963.0</v>
      </c>
      <c r="AA95" s="1" t="s">
        <v>192</v>
      </c>
      <c r="AB95" s="1" t="s">
        <v>193</v>
      </c>
      <c r="AD95" s="1" t="s">
        <v>1203</v>
      </c>
      <c r="AE95" s="1" t="s">
        <v>325</v>
      </c>
      <c r="AF95" s="1" t="s">
        <v>1203</v>
      </c>
      <c r="AH95" s="1" t="s">
        <v>2117</v>
      </c>
      <c r="AI95" s="1">
        <v>8.54</v>
      </c>
      <c r="AK95" s="1">
        <v>11.0</v>
      </c>
      <c r="AL95" s="1">
        <v>4.0</v>
      </c>
      <c r="AM95" s="1">
        <v>4.0</v>
      </c>
      <c r="AN95" s="1">
        <v>1.0</v>
      </c>
      <c r="AO95" s="1" t="s">
        <v>198</v>
      </c>
      <c r="AP95" s="1">
        <v>2.0</v>
      </c>
      <c r="AQ95" s="1" t="s">
        <v>472</v>
      </c>
      <c r="AR95" s="1" t="s">
        <v>192</v>
      </c>
      <c r="AS95" s="1" t="s">
        <v>199</v>
      </c>
      <c r="AT95" s="1">
        <v>2.0</v>
      </c>
      <c r="AV95" s="1" t="s">
        <v>192</v>
      </c>
      <c r="AW95" s="1">
        <v>23292.74</v>
      </c>
      <c r="AX95" s="1">
        <v>2013.0</v>
      </c>
      <c r="AY95" s="1" t="s">
        <v>387</v>
      </c>
      <c r="AZ95" s="1" t="s">
        <v>200</v>
      </c>
      <c r="BA95" s="1" t="str">
        <f>"0924100011"</f>
        <v>0924100011</v>
      </c>
      <c r="BB95" s="1" t="s">
        <v>192</v>
      </c>
      <c r="BC95" s="1">
        <v>2763.0</v>
      </c>
      <c r="BD95" s="1">
        <v>493000.0</v>
      </c>
      <c r="BE95" s="2">
        <v>41941.0</v>
      </c>
      <c r="BF95" s="2" t="s">
        <v>2118</v>
      </c>
      <c r="BH95" s="1">
        <v>0.0</v>
      </c>
      <c r="BK95" s="1" t="s">
        <v>204</v>
      </c>
      <c r="BL95" s="1" t="str">
        <f t="shared" ref="BL95:BM95" si="61">""</f>
        <v/>
      </c>
      <c r="BM95" s="1" t="str">
        <f t="shared" si="61"/>
        <v/>
      </c>
      <c r="BQ95" s="1">
        <v>303.0</v>
      </c>
      <c r="BR95" s="1">
        <v>303.0</v>
      </c>
      <c r="BS95" s="1">
        <v>303.0</v>
      </c>
      <c r="BU95" s="1" t="s">
        <v>2119</v>
      </c>
      <c r="BV95" s="1" t="s">
        <v>206</v>
      </c>
      <c r="BW95" s="1" t="s">
        <v>207</v>
      </c>
      <c r="BY95" s="1" t="s">
        <v>434</v>
      </c>
      <c r="BZ95" s="1" t="s">
        <v>209</v>
      </c>
      <c r="CA95" s="1" t="s">
        <v>207</v>
      </c>
      <c r="CC95" s="1" t="s">
        <v>616</v>
      </c>
      <c r="CD95" s="1" t="s">
        <v>206</v>
      </c>
      <c r="CE95" s="1" t="s">
        <v>207</v>
      </c>
      <c r="CG95" s="1" t="s">
        <v>363</v>
      </c>
      <c r="CH95" s="1" t="s">
        <v>209</v>
      </c>
      <c r="CI95" s="1" t="s">
        <v>207</v>
      </c>
      <c r="CK95" s="1" t="s">
        <v>262</v>
      </c>
      <c r="CL95" s="1" t="s">
        <v>209</v>
      </c>
      <c r="CM95" s="1" t="s">
        <v>207</v>
      </c>
      <c r="CO95" s="1" t="s">
        <v>2120</v>
      </c>
      <c r="CP95" s="1" t="s">
        <v>391</v>
      </c>
      <c r="CQ95" s="1" t="s">
        <v>207</v>
      </c>
      <c r="CS95" s="1" t="s">
        <v>2121</v>
      </c>
      <c r="CT95" s="1" t="s">
        <v>206</v>
      </c>
      <c r="CU95" s="1" t="s">
        <v>268</v>
      </c>
      <c r="CW95" s="1" t="s">
        <v>2122</v>
      </c>
      <c r="CX95" s="1" t="s">
        <v>206</v>
      </c>
      <c r="CY95" s="1" t="s">
        <v>210</v>
      </c>
      <c r="DA95" s="1" t="s">
        <v>200</v>
      </c>
      <c r="DC95" s="1" t="s">
        <v>271</v>
      </c>
      <c r="DD95" s="1" t="s">
        <v>731</v>
      </c>
      <c r="DE95" s="1" t="s">
        <v>273</v>
      </c>
      <c r="DF95" s="1" t="s">
        <v>219</v>
      </c>
      <c r="DG95" s="1" t="s">
        <v>2123</v>
      </c>
      <c r="DH95" s="1" t="s">
        <v>220</v>
      </c>
      <c r="DI95" s="1" t="s">
        <v>2124</v>
      </c>
      <c r="DJ95" s="1" t="s">
        <v>222</v>
      </c>
      <c r="DL95" s="1" t="s">
        <v>858</v>
      </c>
      <c r="DM95" s="1" t="s">
        <v>229</v>
      </c>
      <c r="DO95" s="1" t="s">
        <v>2125</v>
      </c>
      <c r="DP95" s="1" t="s">
        <v>340</v>
      </c>
      <c r="DQ95" s="1" t="s">
        <v>1723</v>
      </c>
      <c r="DR95" s="1" t="s">
        <v>229</v>
      </c>
      <c r="DU95" s="1" t="s">
        <v>2126</v>
      </c>
      <c r="DV95" s="1" t="s">
        <v>2127</v>
      </c>
      <c r="DW95" s="1" t="s">
        <v>2128</v>
      </c>
      <c r="DX95" s="1" t="s">
        <v>280</v>
      </c>
      <c r="DY95" s="1" t="s">
        <v>1122</v>
      </c>
      <c r="DZ95" s="1" t="s">
        <v>1611</v>
      </c>
      <c r="EA95" s="1" t="s">
        <v>283</v>
      </c>
      <c r="EC95" s="1" t="s">
        <v>284</v>
      </c>
      <c r="EG95" s="1" t="s">
        <v>494</v>
      </c>
      <c r="EH95" s="1" t="s">
        <v>450</v>
      </c>
      <c r="EI95" s="1" t="s">
        <v>557</v>
      </c>
      <c r="EJ95" s="1" t="s">
        <v>2129</v>
      </c>
      <c r="EL95" s="1" t="s">
        <v>215</v>
      </c>
      <c r="EM95" s="1" t="s">
        <v>206</v>
      </c>
      <c r="EN95" s="1" t="s">
        <v>207</v>
      </c>
      <c r="EP95" s="1" t="s">
        <v>2130</v>
      </c>
      <c r="EQ95" s="1" t="s">
        <v>1697</v>
      </c>
      <c r="ER95" s="1" t="s">
        <v>210</v>
      </c>
      <c r="ET95" s="1" t="s">
        <v>2131</v>
      </c>
      <c r="EU95" s="1" t="s">
        <v>391</v>
      </c>
      <c r="EV95" s="1" t="s">
        <v>210</v>
      </c>
      <c r="EX95" s="1" t="s">
        <v>2132</v>
      </c>
      <c r="EY95" s="1" t="s">
        <v>206</v>
      </c>
      <c r="EZ95" s="1" t="s">
        <v>210</v>
      </c>
      <c r="FC95" s="1" t="s">
        <v>238</v>
      </c>
      <c r="FF95" s="1" t="s">
        <v>239</v>
      </c>
      <c r="FG95" s="1" t="s">
        <v>192</v>
      </c>
      <c r="FH95" s="1" t="s">
        <v>192</v>
      </c>
      <c r="FJ95" s="1" t="s">
        <v>2133</v>
      </c>
      <c r="FK95" s="1" t="s">
        <v>229</v>
      </c>
      <c r="FL95" s="1" t="s">
        <v>1358</v>
      </c>
      <c r="FM95" s="1">
        <v>23591.0</v>
      </c>
      <c r="FN95" s="1" t="s">
        <v>2134</v>
      </c>
      <c r="FO95" s="1" t="s">
        <v>2135</v>
      </c>
      <c r="FP95" s="1">
        <v>230500.0</v>
      </c>
      <c r="FQ95" s="1" t="s">
        <v>2136</v>
      </c>
      <c r="FU95" s="1" t="s">
        <v>2137</v>
      </c>
      <c r="FV95" s="1" t="s">
        <v>200</v>
      </c>
      <c r="FW95" s="1" t="s">
        <v>290</v>
      </c>
      <c r="FZ95" s="1" t="s">
        <v>229</v>
      </c>
      <c r="GA95" s="1" t="s">
        <v>291</v>
      </c>
      <c r="GB95" s="2">
        <v>42058.0</v>
      </c>
    </row>
    <row r="96">
      <c r="A96" s="1">
        <v>249900.0</v>
      </c>
      <c r="B96" s="1" t="s">
        <v>185</v>
      </c>
      <c r="C96" s="1" t="str">
        <f>"08761192"</f>
        <v>08761192</v>
      </c>
      <c r="D96" s="1" t="s">
        <v>186</v>
      </c>
      <c r="F96" s="1" t="str">
        <f t="shared" si="62"/>
        <v>174</v>
      </c>
      <c r="G96" s="2">
        <v>41936.0</v>
      </c>
      <c r="H96" s="1">
        <v>249900.0</v>
      </c>
      <c r="I96" s="1">
        <v>20.0</v>
      </c>
      <c r="J96" s="1">
        <v>249900.0</v>
      </c>
      <c r="K96" s="2">
        <v>41955.0</v>
      </c>
      <c r="L96" s="1">
        <v>20.0</v>
      </c>
      <c r="M96" s="2">
        <v>41955.0</v>
      </c>
      <c r="N96" s="1" t="s">
        <v>187</v>
      </c>
      <c r="O96" s="2">
        <v>41995.0</v>
      </c>
      <c r="P96" s="1">
        <v>8880.0</v>
      </c>
      <c r="Q96" s="1">
        <v>49.0</v>
      </c>
      <c r="S96" s="1">
        <v>74.0</v>
      </c>
      <c r="T96" s="1" t="s">
        <v>2138</v>
      </c>
      <c r="U96" s="1" t="s">
        <v>189</v>
      </c>
      <c r="V96" s="1" t="s">
        <v>1200</v>
      </c>
      <c r="W96" s="1">
        <v>60174.0</v>
      </c>
      <c r="Y96" s="1" t="s">
        <v>2139</v>
      </c>
      <c r="Z96" s="1">
        <v>1944.0</v>
      </c>
      <c r="AA96" s="1" t="s">
        <v>192</v>
      </c>
      <c r="AB96" s="1" t="s">
        <v>193</v>
      </c>
      <c r="AD96" s="1" t="s">
        <v>1203</v>
      </c>
      <c r="AE96" s="1" t="s">
        <v>325</v>
      </c>
      <c r="AF96" s="1" t="s">
        <v>1203</v>
      </c>
      <c r="AH96" s="1" t="s">
        <v>2140</v>
      </c>
      <c r="AI96" s="1">
        <v>0.3068</v>
      </c>
      <c r="AK96" s="1">
        <v>8.0</v>
      </c>
      <c r="AL96" s="1">
        <v>4.0</v>
      </c>
      <c r="AM96" s="1">
        <v>2.0</v>
      </c>
      <c r="AN96" s="1">
        <v>0.0</v>
      </c>
      <c r="AO96" s="1" t="s">
        <v>229</v>
      </c>
      <c r="AQ96" s="1" t="s">
        <v>198</v>
      </c>
      <c r="AR96" s="1" t="s">
        <v>200</v>
      </c>
      <c r="AS96" s="1" t="s">
        <v>199</v>
      </c>
      <c r="AT96" s="1">
        <v>2.0</v>
      </c>
      <c r="AV96" s="1" t="s">
        <v>200</v>
      </c>
      <c r="AW96" s="1">
        <v>6117.14</v>
      </c>
      <c r="AX96" s="1">
        <v>2013.0</v>
      </c>
      <c r="AY96" s="1" t="s">
        <v>229</v>
      </c>
      <c r="AZ96" s="1" t="s">
        <v>200</v>
      </c>
      <c r="BA96" s="1" t="str">
        <f>"0927430001"</f>
        <v>0927430001</v>
      </c>
      <c r="BC96" s="1">
        <v>1836.0</v>
      </c>
      <c r="BD96" s="1">
        <v>249900.0</v>
      </c>
      <c r="BE96" s="2">
        <v>41936.0</v>
      </c>
      <c r="BF96" s="2" t="s">
        <v>2141</v>
      </c>
      <c r="BG96" s="1" t="s">
        <v>2142</v>
      </c>
      <c r="BH96" s="1">
        <v>0.0</v>
      </c>
      <c r="BI96" s="1" t="s">
        <v>2143</v>
      </c>
      <c r="BJ96" s="1" t="s">
        <v>2144</v>
      </c>
      <c r="BK96" s="1" t="s">
        <v>204</v>
      </c>
      <c r="BL96" s="1" t="str">
        <f t="shared" ref="BL96:BM96" si="63">""</f>
        <v/>
      </c>
      <c r="BM96" s="1" t="str">
        <f t="shared" si="63"/>
        <v/>
      </c>
      <c r="BQ96" s="1">
        <v>303.0</v>
      </c>
      <c r="BR96" s="1">
        <v>303.0</v>
      </c>
      <c r="BS96" s="1">
        <v>303.0</v>
      </c>
      <c r="BU96" s="1" t="s">
        <v>925</v>
      </c>
      <c r="BV96" s="1" t="s">
        <v>206</v>
      </c>
      <c r="BW96" s="1" t="s">
        <v>210</v>
      </c>
      <c r="BX96" s="1" t="s">
        <v>1550</v>
      </c>
      <c r="BY96" s="1" t="s">
        <v>329</v>
      </c>
      <c r="BZ96" s="1" t="s">
        <v>209</v>
      </c>
      <c r="CA96" s="1" t="s">
        <v>210</v>
      </c>
      <c r="CB96" s="1" t="s">
        <v>1549</v>
      </c>
      <c r="CC96" s="1" t="s">
        <v>392</v>
      </c>
      <c r="CD96" s="1" t="s">
        <v>206</v>
      </c>
      <c r="CE96" s="1" t="s">
        <v>207</v>
      </c>
      <c r="CF96" s="1" t="s">
        <v>261</v>
      </c>
      <c r="CG96" s="1" t="s">
        <v>700</v>
      </c>
      <c r="CH96" s="1" t="s">
        <v>209</v>
      </c>
      <c r="CI96" s="1" t="s">
        <v>210</v>
      </c>
      <c r="CJ96" s="1" t="s">
        <v>1549</v>
      </c>
      <c r="CK96" s="1" t="s">
        <v>1939</v>
      </c>
      <c r="CL96" s="1" t="s">
        <v>209</v>
      </c>
      <c r="CM96" s="1" t="s">
        <v>210</v>
      </c>
      <c r="CN96" s="1" t="s">
        <v>1549</v>
      </c>
      <c r="CO96" s="1" t="s">
        <v>215</v>
      </c>
      <c r="CP96" s="1" t="s">
        <v>206</v>
      </c>
      <c r="CQ96" s="1" t="s">
        <v>210</v>
      </c>
      <c r="CR96" s="1" t="s">
        <v>1549</v>
      </c>
      <c r="CS96" s="1" t="s">
        <v>647</v>
      </c>
      <c r="CT96" s="1" t="s">
        <v>206</v>
      </c>
      <c r="CU96" s="1" t="s">
        <v>207</v>
      </c>
      <c r="CW96" s="1" t="s">
        <v>2145</v>
      </c>
      <c r="CX96" s="1" t="s">
        <v>267</v>
      </c>
      <c r="CY96" s="1" t="s">
        <v>588</v>
      </c>
      <c r="DA96" s="1" t="s">
        <v>200</v>
      </c>
      <c r="DC96" s="1" t="s">
        <v>702</v>
      </c>
      <c r="DD96" s="1" t="s">
        <v>518</v>
      </c>
      <c r="DE96" s="1" t="s">
        <v>2146</v>
      </c>
      <c r="DF96" s="1" t="s">
        <v>1656</v>
      </c>
      <c r="DH96" s="1" t="s">
        <v>220</v>
      </c>
      <c r="DI96" s="1" t="s">
        <v>221</v>
      </c>
      <c r="DJ96" s="1" t="s">
        <v>222</v>
      </c>
      <c r="DL96" s="1" t="s">
        <v>858</v>
      </c>
      <c r="DM96" s="1" t="s">
        <v>229</v>
      </c>
      <c r="DP96" s="1" t="s">
        <v>340</v>
      </c>
      <c r="DQ96" s="1" t="s">
        <v>441</v>
      </c>
      <c r="DR96" s="1" t="s">
        <v>229</v>
      </c>
      <c r="DS96" s="1" t="s">
        <v>230</v>
      </c>
      <c r="DV96" s="1" t="s">
        <v>2129</v>
      </c>
      <c r="DW96" s="1" t="s">
        <v>233</v>
      </c>
      <c r="DX96" s="1" t="s">
        <v>234</v>
      </c>
      <c r="EA96" s="1" t="s">
        <v>1075</v>
      </c>
      <c r="EC96" s="1" t="s">
        <v>645</v>
      </c>
      <c r="ED96" s="1" t="s">
        <v>555</v>
      </c>
      <c r="EG96" s="1" t="s">
        <v>2129</v>
      </c>
      <c r="EL96" s="1" t="s">
        <v>699</v>
      </c>
      <c r="EM96" s="1" t="s">
        <v>206</v>
      </c>
      <c r="EQ96" s="1" t="s">
        <v>238</v>
      </c>
      <c r="EU96" s="1" t="s">
        <v>238</v>
      </c>
      <c r="EY96" s="1" t="s">
        <v>238</v>
      </c>
      <c r="FC96" s="1" t="s">
        <v>238</v>
      </c>
      <c r="FF96" s="1" t="s">
        <v>239</v>
      </c>
      <c r="FG96" s="1" t="s">
        <v>192</v>
      </c>
      <c r="FH96" s="1" t="s">
        <v>192</v>
      </c>
      <c r="FJ96" s="1" t="s">
        <v>1450</v>
      </c>
      <c r="FK96" s="1" t="s">
        <v>229</v>
      </c>
      <c r="FL96" s="1" t="s">
        <v>1212</v>
      </c>
      <c r="FM96" s="1">
        <v>30.0</v>
      </c>
      <c r="FN96" s="1" t="s">
        <v>1213</v>
      </c>
      <c r="FO96" s="1" t="s">
        <v>2147</v>
      </c>
      <c r="FP96" s="1">
        <v>8711.0</v>
      </c>
      <c r="FQ96" s="1" t="s">
        <v>2148</v>
      </c>
      <c r="FU96" s="1" t="s">
        <v>2149</v>
      </c>
      <c r="FV96" s="1" t="s">
        <v>200</v>
      </c>
      <c r="FW96" s="1" t="s">
        <v>530</v>
      </c>
      <c r="FX96" s="1" t="s">
        <v>238</v>
      </c>
      <c r="FZ96" s="1" t="s">
        <v>229</v>
      </c>
      <c r="GA96" s="1" t="s">
        <v>291</v>
      </c>
      <c r="GB96" s="2">
        <v>41996.0</v>
      </c>
      <c r="GC96" s="1" t="s">
        <v>2150</v>
      </c>
    </row>
    <row r="97">
      <c r="A97" s="1">
        <v>252106.0</v>
      </c>
      <c r="B97" s="1" t="s">
        <v>185</v>
      </c>
      <c r="C97" s="1" t="str">
        <f>"08761244"</f>
        <v>08761244</v>
      </c>
      <c r="D97" s="1" t="s">
        <v>186</v>
      </c>
      <c r="F97" s="1" t="str">
        <f>"560"</f>
        <v>560</v>
      </c>
      <c r="G97" s="2">
        <v>41936.0</v>
      </c>
      <c r="H97" s="1">
        <v>254900.0</v>
      </c>
      <c r="I97" s="1">
        <v>95.0</v>
      </c>
      <c r="J97" s="1">
        <v>234900.0</v>
      </c>
      <c r="K97" s="2">
        <v>42030.0</v>
      </c>
      <c r="L97" s="1">
        <v>95.0</v>
      </c>
      <c r="M97" s="2">
        <v>42030.0</v>
      </c>
      <c r="N97" s="1" t="s">
        <v>187</v>
      </c>
      <c r="O97" s="2">
        <v>42062.0</v>
      </c>
      <c r="P97" s="1">
        <v>150052.0</v>
      </c>
      <c r="Q97" s="1">
        <v>10646.0</v>
      </c>
      <c r="R97" s="1">
        <v>7000.0</v>
      </c>
      <c r="S97" s="1">
        <v>2491.0</v>
      </c>
      <c r="T97" s="1" t="s">
        <v>2151</v>
      </c>
      <c r="U97" s="1" t="s">
        <v>1015</v>
      </c>
      <c r="V97" s="1" t="s">
        <v>845</v>
      </c>
      <c r="W97" s="1">
        <v>60560.0</v>
      </c>
      <c r="Y97" s="1" t="s">
        <v>2152</v>
      </c>
      <c r="Z97" s="1">
        <v>2007.0</v>
      </c>
      <c r="AA97" s="1" t="s">
        <v>200</v>
      </c>
      <c r="AB97" s="1" t="s">
        <v>467</v>
      </c>
      <c r="AC97" s="1" t="s">
        <v>1311</v>
      </c>
      <c r="AD97" s="1" t="s">
        <v>848</v>
      </c>
      <c r="AE97" s="1" t="s">
        <v>849</v>
      </c>
      <c r="AF97" s="1" t="s">
        <v>2153</v>
      </c>
      <c r="AH97" s="6">
        <v>18008.0</v>
      </c>
      <c r="AK97" s="1">
        <v>9.0</v>
      </c>
      <c r="AL97" s="1">
        <v>4.0</v>
      </c>
      <c r="AM97" s="1">
        <v>2.0</v>
      </c>
      <c r="AN97" s="1">
        <v>1.0</v>
      </c>
      <c r="AO97" s="1" t="s">
        <v>198</v>
      </c>
      <c r="AP97" s="1">
        <v>1.0</v>
      </c>
      <c r="AQ97" s="1" t="s">
        <v>198</v>
      </c>
      <c r="AR97" s="1" t="s">
        <v>200</v>
      </c>
      <c r="AS97" s="1" t="s">
        <v>199</v>
      </c>
      <c r="AT97" s="1">
        <v>3.0</v>
      </c>
      <c r="AV97" s="1" t="s">
        <v>200</v>
      </c>
      <c r="AW97" s="1">
        <v>10493.12</v>
      </c>
      <c r="AX97" s="1">
        <v>2012.0</v>
      </c>
      <c r="AZ97" s="1" t="s">
        <v>545</v>
      </c>
      <c r="BA97" s="1" t="str">
        <f>"0509401004"</f>
        <v>0509401004</v>
      </c>
      <c r="BC97" s="1">
        <v>3350.0</v>
      </c>
      <c r="BD97" s="1">
        <v>252106.0</v>
      </c>
      <c r="BE97" s="2">
        <v>41936.0</v>
      </c>
      <c r="BF97" s="1" t="s">
        <v>2154</v>
      </c>
      <c r="BH97" s="1">
        <v>375.0</v>
      </c>
      <c r="BK97" s="1" t="s">
        <v>580</v>
      </c>
      <c r="BL97" s="1" t="str">
        <f t="shared" ref="BL97:BM97" si="64">""</f>
        <v/>
      </c>
      <c r="BM97" s="1" t="str">
        <f t="shared" si="64"/>
        <v/>
      </c>
      <c r="BQ97" s="1">
        <v>115.0</v>
      </c>
      <c r="BR97" s="1">
        <v>115.0</v>
      </c>
      <c r="BS97" s="1">
        <v>115.0</v>
      </c>
      <c r="BU97" s="1" t="s">
        <v>433</v>
      </c>
      <c r="BV97" s="1" t="s">
        <v>206</v>
      </c>
      <c r="BY97" s="1" t="s">
        <v>616</v>
      </c>
      <c r="BZ97" s="1" t="s">
        <v>209</v>
      </c>
      <c r="CC97" s="1" t="s">
        <v>329</v>
      </c>
      <c r="CD97" s="1" t="s">
        <v>206</v>
      </c>
      <c r="CG97" s="1" t="s">
        <v>215</v>
      </c>
      <c r="CH97" s="1" t="s">
        <v>209</v>
      </c>
      <c r="CK97" s="1" t="s">
        <v>497</v>
      </c>
      <c r="CL97" s="1" t="s">
        <v>209</v>
      </c>
      <c r="CO97" s="1" t="s">
        <v>264</v>
      </c>
      <c r="CP97" s="1" t="s">
        <v>209</v>
      </c>
      <c r="CS97" s="1" t="s">
        <v>2155</v>
      </c>
      <c r="CT97" s="1" t="s">
        <v>206</v>
      </c>
      <c r="CU97" s="1" t="s">
        <v>207</v>
      </c>
      <c r="CW97" s="1" t="s">
        <v>394</v>
      </c>
      <c r="CX97" s="1" t="s">
        <v>206</v>
      </c>
      <c r="DA97" s="1" t="s">
        <v>200</v>
      </c>
      <c r="DC97" s="1" t="s">
        <v>481</v>
      </c>
      <c r="DE97" s="1" t="s">
        <v>273</v>
      </c>
      <c r="DF97" s="1" t="s">
        <v>219</v>
      </c>
      <c r="DH97" s="1" t="s">
        <v>220</v>
      </c>
      <c r="DJ97" s="1" t="s">
        <v>222</v>
      </c>
      <c r="DL97" s="1" t="s">
        <v>223</v>
      </c>
      <c r="DM97" s="1" t="s">
        <v>229</v>
      </c>
      <c r="DP97" s="1" t="s">
        <v>340</v>
      </c>
      <c r="DQ97" s="1" t="s">
        <v>441</v>
      </c>
      <c r="DR97" s="1" t="s">
        <v>588</v>
      </c>
      <c r="DV97" s="1" t="s">
        <v>598</v>
      </c>
      <c r="DW97" s="1" t="s">
        <v>444</v>
      </c>
      <c r="DX97" s="1" t="s">
        <v>309</v>
      </c>
      <c r="EC97" s="1" t="s">
        <v>237</v>
      </c>
      <c r="EG97" s="1" t="s">
        <v>598</v>
      </c>
      <c r="EL97" s="1" t="s">
        <v>699</v>
      </c>
      <c r="EM97" s="1" t="s">
        <v>206</v>
      </c>
      <c r="EQ97" s="1" t="s">
        <v>238</v>
      </c>
      <c r="EU97" s="1" t="s">
        <v>238</v>
      </c>
      <c r="EY97" s="1" t="s">
        <v>238</v>
      </c>
      <c r="FC97" s="1" t="s">
        <v>238</v>
      </c>
      <c r="FF97" s="1" t="s">
        <v>239</v>
      </c>
      <c r="FG97" s="1" t="s">
        <v>192</v>
      </c>
      <c r="FH97" s="1" t="s">
        <v>192</v>
      </c>
      <c r="FJ97" s="1" t="s">
        <v>2156</v>
      </c>
      <c r="FK97" s="1" t="s">
        <v>229</v>
      </c>
      <c r="FL97" s="1" t="s">
        <v>2157</v>
      </c>
      <c r="FM97" s="1">
        <v>79777.0</v>
      </c>
      <c r="FN97" s="1" t="s">
        <v>2158</v>
      </c>
      <c r="FO97" s="1" t="s">
        <v>2159</v>
      </c>
      <c r="FP97" s="1">
        <v>700417.0</v>
      </c>
      <c r="FQ97" s="1" t="s">
        <v>2158</v>
      </c>
      <c r="FU97" s="1" t="s">
        <v>2160</v>
      </c>
      <c r="FV97" s="1" t="s">
        <v>200</v>
      </c>
      <c r="FW97" s="1" t="s">
        <v>290</v>
      </c>
      <c r="FZ97" s="1" t="s">
        <v>229</v>
      </c>
      <c r="GA97" s="1" t="s">
        <v>291</v>
      </c>
      <c r="GB97" s="2">
        <v>42065.0</v>
      </c>
      <c r="GC97" s="1" t="s">
        <v>2161</v>
      </c>
    </row>
    <row r="98">
      <c r="A98" s="1">
        <v>191000.0</v>
      </c>
      <c r="B98" s="1" t="s">
        <v>185</v>
      </c>
      <c r="C98" s="1" t="str">
        <f>"08763662"</f>
        <v>08763662</v>
      </c>
      <c r="D98" s="1" t="s">
        <v>186</v>
      </c>
      <c r="F98" s="1" t="str">
        <f>"8021"</f>
        <v>8021</v>
      </c>
      <c r="G98" s="2">
        <v>41940.0</v>
      </c>
      <c r="H98" s="1">
        <v>290000.0</v>
      </c>
      <c r="I98" s="1">
        <v>186.0</v>
      </c>
      <c r="J98" s="1">
        <v>199999.0</v>
      </c>
      <c r="K98" s="2">
        <v>42060.0</v>
      </c>
      <c r="L98" s="1">
        <v>122.0</v>
      </c>
      <c r="M98" s="2">
        <v>42060.0</v>
      </c>
      <c r="N98" s="1" t="s">
        <v>249</v>
      </c>
      <c r="O98" s="2">
        <v>42076.0</v>
      </c>
      <c r="P98" s="1">
        <v>102966.0</v>
      </c>
      <c r="Q98" s="1">
        <v>10272.0</v>
      </c>
      <c r="S98" s="1">
        <v>3023.0</v>
      </c>
      <c r="T98" s="1" t="s">
        <v>2162</v>
      </c>
      <c r="U98" s="1" t="s">
        <v>189</v>
      </c>
      <c r="V98" s="1" t="s">
        <v>190</v>
      </c>
      <c r="W98" s="1">
        <v>60618.0</v>
      </c>
      <c r="Y98" s="1" t="s">
        <v>2163</v>
      </c>
      <c r="Z98" s="1">
        <v>1895.0</v>
      </c>
      <c r="AA98" s="1" t="s">
        <v>192</v>
      </c>
      <c r="AB98" s="1" t="s">
        <v>193</v>
      </c>
      <c r="AD98" s="1" t="s">
        <v>194</v>
      </c>
      <c r="AE98" s="1" t="s">
        <v>195</v>
      </c>
      <c r="AF98" s="1" t="s">
        <v>827</v>
      </c>
      <c r="AH98" s="1" t="s">
        <v>2164</v>
      </c>
      <c r="AI98" s="1">
        <v>0.1157</v>
      </c>
      <c r="AK98" s="1">
        <v>8.0</v>
      </c>
      <c r="AL98" s="1">
        <v>4.0</v>
      </c>
      <c r="AM98" s="1">
        <v>1.0</v>
      </c>
      <c r="AN98" s="1">
        <v>1.0</v>
      </c>
      <c r="AO98" s="1" t="s">
        <v>229</v>
      </c>
      <c r="AQ98" s="1" t="s">
        <v>198</v>
      </c>
      <c r="AR98" s="1" t="s">
        <v>200</v>
      </c>
      <c r="AS98" s="1" t="s">
        <v>199</v>
      </c>
      <c r="AT98" s="1">
        <v>2.0</v>
      </c>
      <c r="AV98" s="1" t="s">
        <v>200</v>
      </c>
      <c r="AW98" s="1">
        <v>5468.26</v>
      </c>
      <c r="AX98" s="1">
        <v>2012.0</v>
      </c>
      <c r="AY98" s="1" t="s">
        <v>229</v>
      </c>
      <c r="AZ98" s="1" t="s">
        <v>545</v>
      </c>
      <c r="BA98" s="1" t="str">
        <f>"13251140180000"</f>
        <v>13251140180000</v>
      </c>
      <c r="BC98" s="1">
        <v>2000.0</v>
      </c>
      <c r="BD98" s="1">
        <v>191000.0</v>
      </c>
      <c r="BE98" s="2">
        <v>41939.0</v>
      </c>
      <c r="BF98" s="2" t="s">
        <v>2165</v>
      </c>
      <c r="BH98" s="1">
        <v>0.0</v>
      </c>
      <c r="BK98" s="1" t="s">
        <v>204</v>
      </c>
      <c r="BL98" s="1" t="str">
        <f>"3000"</f>
        <v>3000</v>
      </c>
      <c r="BM98" s="1" t="str">
        <f>"0"</f>
        <v>0</v>
      </c>
      <c r="BN98" s="1">
        <v>3000.0</v>
      </c>
      <c r="BO98" s="1">
        <v>0.0</v>
      </c>
      <c r="BQ98" s="1">
        <v>299.0</v>
      </c>
      <c r="BR98" s="1">
        <v>299.0</v>
      </c>
      <c r="BS98" s="1">
        <v>299.0</v>
      </c>
      <c r="BU98" s="1" t="s">
        <v>1395</v>
      </c>
      <c r="BV98" s="1" t="s">
        <v>206</v>
      </c>
      <c r="BY98" s="1" t="s">
        <v>393</v>
      </c>
      <c r="BZ98" s="1" t="s">
        <v>209</v>
      </c>
      <c r="CC98" s="1" t="s">
        <v>1329</v>
      </c>
      <c r="CD98" s="1" t="s">
        <v>206</v>
      </c>
      <c r="CG98" s="1" t="s">
        <v>215</v>
      </c>
      <c r="CH98" s="1" t="s">
        <v>209</v>
      </c>
      <c r="CK98" s="1" t="s">
        <v>940</v>
      </c>
      <c r="CL98" s="1" t="s">
        <v>206</v>
      </c>
      <c r="CO98" s="1" t="s">
        <v>940</v>
      </c>
      <c r="CP98" s="1" t="s">
        <v>206</v>
      </c>
      <c r="CS98" s="1" t="s">
        <v>2166</v>
      </c>
      <c r="CT98" s="1" t="s">
        <v>206</v>
      </c>
      <c r="CX98" s="1" t="s">
        <v>204</v>
      </c>
      <c r="DA98" s="1" t="s">
        <v>200</v>
      </c>
      <c r="DC98" s="1" t="s">
        <v>642</v>
      </c>
      <c r="DE98" s="1" t="s">
        <v>229</v>
      </c>
      <c r="DF98" s="1" t="s">
        <v>219</v>
      </c>
      <c r="DH98" s="1" t="s">
        <v>307</v>
      </c>
      <c r="DJ98" s="1" t="s">
        <v>222</v>
      </c>
      <c r="DL98" s="1" t="s">
        <v>223</v>
      </c>
      <c r="DM98" s="1" t="s">
        <v>229</v>
      </c>
      <c r="DQ98" s="1" t="s">
        <v>794</v>
      </c>
      <c r="DR98" s="1" t="s">
        <v>229</v>
      </c>
      <c r="DV98" s="1" t="s">
        <v>1228</v>
      </c>
      <c r="DW98" s="1" t="s">
        <v>2167</v>
      </c>
      <c r="DX98" s="1" t="s">
        <v>234</v>
      </c>
      <c r="EC98" s="1" t="s">
        <v>237</v>
      </c>
      <c r="EG98" s="1" t="s">
        <v>1228</v>
      </c>
      <c r="EL98" s="1" t="s">
        <v>2168</v>
      </c>
      <c r="EM98" s="1" t="s">
        <v>209</v>
      </c>
      <c r="EQ98" s="1" t="s">
        <v>238</v>
      </c>
      <c r="EU98" s="1" t="s">
        <v>238</v>
      </c>
      <c r="EY98" s="1" t="s">
        <v>238</v>
      </c>
      <c r="FC98" s="1" t="s">
        <v>238</v>
      </c>
      <c r="FF98" s="1" t="s">
        <v>239</v>
      </c>
      <c r="FG98" s="1" t="s">
        <v>192</v>
      </c>
      <c r="FH98" s="1" t="s">
        <v>192</v>
      </c>
      <c r="FJ98" s="1" t="s">
        <v>2169</v>
      </c>
      <c r="FK98" s="1" t="s">
        <v>229</v>
      </c>
      <c r="FL98" s="1" t="s">
        <v>456</v>
      </c>
      <c r="FM98" s="1">
        <v>60021.0</v>
      </c>
      <c r="FN98" s="1" t="s">
        <v>2170</v>
      </c>
      <c r="FO98" s="1" t="s">
        <v>2171</v>
      </c>
      <c r="FP98" s="1">
        <v>230379.0</v>
      </c>
      <c r="FQ98" s="1" t="s">
        <v>2172</v>
      </c>
      <c r="FU98" s="1" t="s">
        <v>2173</v>
      </c>
      <c r="FV98" s="1" t="s">
        <v>200</v>
      </c>
      <c r="FW98" s="1" t="s">
        <v>2174</v>
      </c>
      <c r="FX98" s="1" t="s">
        <v>238</v>
      </c>
      <c r="FZ98" s="1" t="s">
        <v>229</v>
      </c>
      <c r="GA98" s="1" t="s">
        <v>291</v>
      </c>
      <c r="GB98" s="2">
        <v>42080.0</v>
      </c>
      <c r="GC98" s="1" t="s">
        <v>2175</v>
      </c>
    </row>
    <row r="99">
      <c r="A99" s="1">
        <v>407500.0</v>
      </c>
      <c r="B99" s="1" t="s">
        <v>185</v>
      </c>
      <c r="C99" s="1" t="str">
        <f>"08761556"</f>
        <v>08761556</v>
      </c>
      <c r="D99" s="1" t="s">
        <v>186</v>
      </c>
      <c r="F99" s="1" t="str">
        <f>"119"</f>
        <v>119</v>
      </c>
      <c r="G99" s="2">
        <v>41937.0</v>
      </c>
      <c r="H99" s="1">
        <v>419900.0</v>
      </c>
      <c r="I99" s="1">
        <v>88.0</v>
      </c>
      <c r="J99" s="1">
        <v>419900.0</v>
      </c>
      <c r="K99" s="2">
        <v>41944.0</v>
      </c>
      <c r="L99" s="1">
        <v>8.0</v>
      </c>
      <c r="M99" s="2">
        <v>41944.0</v>
      </c>
      <c r="N99" s="1" t="s">
        <v>187</v>
      </c>
      <c r="O99" s="2">
        <v>42018.0</v>
      </c>
      <c r="P99" s="1">
        <v>245649.0</v>
      </c>
      <c r="Q99" s="1">
        <v>23591.0</v>
      </c>
      <c r="S99" s="1">
        <v>1368.0</v>
      </c>
      <c r="T99" s="1" t="s">
        <v>2176</v>
      </c>
      <c r="U99" s="1" t="s">
        <v>189</v>
      </c>
      <c r="V99" s="1" t="s">
        <v>1476</v>
      </c>
      <c r="W99" s="1">
        <v>60119.0</v>
      </c>
      <c r="Y99" s="1" t="s">
        <v>2177</v>
      </c>
      <c r="Z99" s="1">
        <v>2014.0</v>
      </c>
      <c r="AA99" s="1" t="s">
        <v>200</v>
      </c>
      <c r="AB99" s="1" t="s">
        <v>467</v>
      </c>
      <c r="AC99" s="1" t="s">
        <v>2178</v>
      </c>
      <c r="AD99" s="1" t="s">
        <v>1478</v>
      </c>
      <c r="AE99" s="1" t="s">
        <v>325</v>
      </c>
      <c r="AF99" s="1" t="s">
        <v>1632</v>
      </c>
      <c r="AG99" s="1" t="s">
        <v>752</v>
      </c>
      <c r="AH99" s="1" t="s">
        <v>2179</v>
      </c>
      <c r="AI99" s="1">
        <v>0.2325</v>
      </c>
      <c r="AK99" s="1">
        <v>8.0</v>
      </c>
      <c r="AL99" s="1">
        <v>4.0</v>
      </c>
      <c r="AM99" s="1">
        <v>2.0</v>
      </c>
      <c r="AN99" s="1">
        <v>1.0</v>
      </c>
      <c r="AO99" s="1" t="s">
        <v>198</v>
      </c>
      <c r="AP99" s="1">
        <v>1.0</v>
      </c>
      <c r="AQ99" s="1" t="s">
        <v>198</v>
      </c>
      <c r="AR99" s="1" t="s">
        <v>200</v>
      </c>
      <c r="AS99" s="1" t="s">
        <v>199</v>
      </c>
      <c r="AT99" s="1">
        <v>4.0</v>
      </c>
      <c r="AV99" s="1" t="s">
        <v>200</v>
      </c>
      <c r="AW99" s="1">
        <v>1219.12</v>
      </c>
      <c r="AX99" s="1">
        <v>2013.0</v>
      </c>
      <c r="AY99" s="1" t="s">
        <v>229</v>
      </c>
      <c r="AZ99" s="1" t="s">
        <v>545</v>
      </c>
      <c r="BA99" s="1" t="str">
        <f>"1109354008"</f>
        <v>1109354008</v>
      </c>
      <c r="BB99" s="1" t="s">
        <v>200</v>
      </c>
      <c r="BC99" s="1">
        <v>3492.0</v>
      </c>
      <c r="BD99" s="1">
        <v>407500.0</v>
      </c>
      <c r="BE99" s="2">
        <v>41937.0</v>
      </c>
      <c r="BF99" s="2" t="s">
        <v>2180</v>
      </c>
      <c r="BH99" s="1">
        <v>275.0</v>
      </c>
      <c r="BK99" s="1" t="s">
        <v>580</v>
      </c>
      <c r="BL99" s="1" t="str">
        <f t="shared" ref="BL99:BM99" si="65">""</f>
        <v/>
      </c>
      <c r="BM99" s="1" t="str">
        <f t="shared" si="65"/>
        <v/>
      </c>
      <c r="BQ99" s="1">
        <v>302.0</v>
      </c>
      <c r="BR99" s="1">
        <v>302.0</v>
      </c>
      <c r="BS99" s="1">
        <v>302.0</v>
      </c>
      <c r="BU99" s="1" t="s">
        <v>212</v>
      </c>
      <c r="BV99" s="1" t="s">
        <v>206</v>
      </c>
      <c r="BY99" s="1" t="s">
        <v>480</v>
      </c>
      <c r="BZ99" s="1" t="s">
        <v>209</v>
      </c>
      <c r="CA99" s="1" t="s">
        <v>210</v>
      </c>
      <c r="CC99" s="1" t="s">
        <v>454</v>
      </c>
      <c r="CD99" s="1" t="s">
        <v>206</v>
      </c>
      <c r="CG99" s="1" t="s">
        <v>743</v>
      </c>
      <c r="CH99" s="1" t="s">
        <v>209</v>
      </c>
      <c r="CI99" s="1" t="s">
        <v>210</v>
      </c>
      <c r="CK99" s="1" t="s">
        <v>363</v>
      </c>
      <c r="CL99" s="1" t="s">
        <v>209</v>
      </c>
      <c r="CM99" s="1" t="s">
        <v>210</v>
      </c>
      <c r="CO99" s="1" t="s">
        <v>212</v>
      </c>
      <c r="CP99" s="1" t="s">
        <v>209</v>
      </c>
      <c r="CQ99" s="1" t="s">
        <v>210</v>
      </c>
      <c r="CS99" s="1" t="s">
        <v>2181</v>
      </c>
      <c r="CT99" s="1" t="s">
        <v>206</v>
      </c>
      <c r="CU99" s="1" t="s">
        <v>207</v>
      </c>
      <c r="CW99" s="1" t="s">
        <v>2182</v>
      </c>
      <c r="CX99" s="1" t="s">
        <v>206</v>
      </c>
      <c r="CY99" s="1" t="s">
        <v>210</v>
      </c>
      <c r="DA99" s="1" t="s">
        <v>192</v>
      </c>
      <c r="DB99" s="2">
        <v>41943.0</v>
      </c>
      <c r="DC99" s="1" t="s">
        <v>1353</v>
      </c>
      <c r="DD99" s="1" t="s">
        <v>1838</v>
      </c>
      <c r="DE99" s="1" t="s">
        <v>273</v>
      </c>
      <c r="DF99" s="1" t="s">
        <v>219</v>
      </c>
      <c r="DH99" s="1" t="s">
        <v>220</v>
      </c>
      <c r="DJ99" s="1" t="s">
        <v>1048</v>
      </c>
      <c r="DK99" s="1" t="s">
        <v>198</v>
      </c>
      <c r="DL99" s="1" t="s">
        <v>223</v>
      </c>
      <c r="DM99" s="1" t="s">
        <v>338</v>
      </c>
      <c r="DN99" s="1" t="s">
        <v>1486</v>
      </c>
      <c r="DP99" s="1" t="s">
        <v>340</v>
      </c>
      <c r="DQ99" s="1" t="s">
        <v>228</v>
      </c>
      <c r="DR99" s="1" t="s">
        <v>1487</v>
      </c>
      <c r="DS99" s="1" t="s">
        <v>230</v>
      </c>
      <c r="DV99" s="1" t="s">
        <v>408</v>
      </c>
      <c r="DW99" s="1" t="s">
        <v>764</v>
      </c>
      <c r="DX99" s="1" t="s">
        <v>234</v>
      </c>
      <c r="DY99" s="1" t="s">
        <v>1051</v>
      </c>
      <c r="DZ99" s="1" t="s">
        <v>343</v>
      </c>
      <c r="EA99" s="1" t="s">
        <v>344</v>
      </c>
      <c r="EB99" s="1" t="s">
        <v>2183</v>
      </c>
      <c r="EC99" s="1" t="s">
        <v>237</v>
      </c>
      <c r="EE99" s="1" t="s">
        <v>493</v>
      </c>
      <c r="EH99" s="1" t="s">
        <v>408</v>
      </c>
      <c r="EM99" s="1" t="s">
        <v>238</v>
      </c>
      <c r="EP99" s="1" t="s">
        <v>516</v>
      </c>
      <c r="EQ99" s="1" t="s">
        <v>206</v>
      </c>
      <c r="EU99" s="1" t="s">
        <v>238</v>
      </c>
      <c r="EY99" s="1" t="s">
        <v>238</v>
      </c>
      <c r="FC99" s="1" t="s">
        <v>238</v>
      </c>
      <c r="FF99" s="1" t="s">
        <v>239</v>
      </c>
      <c r="FG99" s="1" t="s">
        <v>192</v>
      </c>
      <c r="FH99" s="1" t="s">
        <v>192</v>
      </c>
      <c r="FJ99" s="1" t="s">
        <v>498</v>
      </c>
      <c r="FK99" s="1" t="s">
        <v>229</v>
      </c>
      <c r="FL99" s="1" t="s">
        <v>2184</v>
      </c>
      <c r="FM99" s="1">
        <v>605.0</v>
      </c>
      <c r="FN99" s="1" t="s">
        <v>2185</v>
      </c>
      <c r="FO99" s="1" t="s">
        <v>2186</v>
      </c>
      <c r="FP99" s="1">
        <v>40.0</v>
      </c>
      <c r="FQ99" s="1" t="s">
        <v>2187</v>
      </c>
      <c r="FR99" s="1">
        <v>1509.0</v>
      </c>
      <c r="FS99" s="1" t="s">
        <v>2188</v>
      </c>
      <c r="FU99" s="1" t="s">
        <v>2189</v>
      </c>
      <c r="FV99" s="1" t="s">
        <v>200</v>
      </c>
      <c r="FW99" s="1" t="s">
        <v>290</v>
      </c>
      <c r="FZ99" s="1" t="s">
        <v>229</v>
      </c>
      <c r="GA99" s="1" t="s">
        <v>291</v>
      </c>
      <c r="GB99" s="2">
        <v>42018.0</v>
      </c>
      <c r="GC99" s="1" t="s">
        <v>2190</v>
      </c>
    </row>
    <row r="100">
      <c r="A100" s="1">
        <v>640000.0</v>
      </c>
      <c r="B100" s="1" t="s">
        <v>185</v>
      </c>
      <c r="C100" s="1" t="str">
        <f>"08816825"</f>
        <v>08816825</v>
      </c>
      <c r="D100" s="1" t="s">
        <v>186</v>
      </c>
      <c r="F100" s="1" t="str">
        <f>"8016"</f>
        <v>8016</v>
      </c>
      <c r="G100" s="2">
        <v>42019.0</v>
      </c>
      <c r="H100" s="1">
        <v>649900.0</v>
      </c>
      <c r="I100" s="1">
        <v>92.0</v>
      </c>
      <c r="J100" s="1">
        <v>649900.0</v>
      </c>
      <c r="K100" s="2">
        <v>42110.0</v>
      </c>
      <c r="L100" s="1">
        <v>92.0</v>
      </c>
      <c r="M100" s="2">
        <v>42110.0</v>
      </c>
      <c r="N100" s="1" t="s">
        <v>187</v>
      </c>
      <c r="O100" s="2">
        <v>42144.0</v>
      </c>
      <c r="P100" s="1">
        <v>127449.0</v>
      </c>
      <c r="Q100" s="1">
        <v>84307.0</v>
      </c>
      <c r="R100" s="1">
        <v>15320.0</v>
      </c>
      <c r="S100" s="1">
        <v>3817.0</v>
      </c>
      <c r="T100" s="1" t="s">
        <v>739</v>
      </c>
      <c r="U100" s="1" t="s">
        <v>189</v>
      </c>
      <c r="V100" s="1" t="s">
        <v>190</v>
      </c>
      <c r="W100" s="1">
        <v>60618.0</v>
      </c>
      <c r="Y100" s="1" t="s">
        <v>2191</v>
      </c>
      <c r="Z100" s="1">
        <v>2015.0</v>
      </c>
      <c r="AA100" s="1" t="s">
        <v>200</v>
      </c>
      <c r="AB100" s="1" t="s">
        <v>193</v>
      </c>
      <c r="AD100" s="1" t="s">
        <v>194</v>
      </c>
      <c r="AE100" s="1" t="s">
        <v>195</v>
      </c>
      <c r="AF100" s="1" t="s">
        <v>196</v>
      </c>
      <c r="AH100" s="1" t="s">
        <v>741</v>
      </c>
      <c r="AK100" s="1">
        <v>9.0</v>
      </c>
      <c r="AL100" s="1">
        <v>3.0</v>
      </c>
      <c r="AM100" s="1">
        <v>3.0</v>
      </c>
      <c r="AN100" s="1">
        <v>1.0</v>
      </c>
      <c r="AO100" s="1" t="s">
        <v>198</v>
      </c>
      <c r="AP100" s="1">
        <v>1.0</v>
      </c>
      <c r="AQ100" s="1" t="s">
        <v>198</v>
      </c>
      <c r="AR100" s="1" t="s">
        <v>192</v>
      </c>
      <c r="AS100" s="1" t="s">
        <v>199</v>
      </c>
      <c r="AT100" s="1">
        <v>2.0</v>
      </c>
      <c r="AV100" s="1" t="s">
        <v>200</v>
      </c>
      <c r="AW100" s="1" t="s">
        <v>575</v>
      </c>
      <c r="AX100" s="1">
        <v>2013.0</v>
      </c>
      <c r="AZ100" s="1" t="s">
        <v>200</v>
      </c>
      <c r="BA100" s="1" t="str">
        <f>"13232140000000"</f>
        <v>13232140000000</v>
      </c>
      <c r="BC100" s="1">
        <v>3200.0</v>
      </c>
      <c r="BD100" s="1">
        <v>640000.0</v>
      </c>
      <c r="BE100" s="2">
        <v>42019.0</v>
      </c>
      <c r="BF100" s="2" t="s">
        <v>2192</v>
      </c>
      <c r="BH100" s="1">
        <v>0.0</v>
      </c>
      <c r="BK100" s="1" t="s">
        <v>204</v>
      </c>
      <c r="BL100" s="1" t="str">
        <f>"3817"</f>
        <v>3817</v>
      </c>
      <c r="BM100" s="1" t="str">
        <f t="shared" ref="BM100:BM101" si="66">"0"</f>
        <v>0</v>
      </c>
      <c r="BN100" s="1">
        <v>3300.0</v>
      </c>
      <c r="BO100" s="1">
        <v>0.0</v>
      </c>
      <c r="BQ100" s="1">
        <v>299.0</v>
      </c>
      <c r="BR100" s="1">
        <v>299.0</v>
      </c>
      <c r="BS100" s="1">
        <v>299.0</v>
      </c>
      <c r="BU100" s="1" t="s">
        <v>616</v>
      </c>
      <c r="BV100" s="1" t="s">
        <v>206</v>
      </c>
      <c r="BW100" s="1" t="s">
        <v>207</v>
      </c>
      <c r="BY100" s="1" t="s">
        <v>329</v>
      </c>
      <c r="BZ100" s="1" t="s">
        <v>209</v>
      </c>
      <c r="CA100" s="1" t="s">
        <v>210</v>
      </c>
      <c r="CC100" s="1" t="s">
        <v>392</v>
      </c>
      <c r="CD100" s="1" t="s">
        <v>206</v>
      </c>
      <c r="CE100" s="1" t="s">
        <v>207</v>
      </c>
      <c r="CG100" s="1" t="s">
        <v>332</v>
      </c>
      <c r="CH100" s="1" t="s">
        <v>209</v>
      </c>
      <c r="CI100" s="1" t="s">
        <v>210</v>
      </c>
      <c r="CK100" s="1" t="s">
        <v>262</v>
      </c>
      <c r="CL100" s="1" t="s">
        <v>209</v>
      </c>
      <c r="CM100" s="1" t="s">
        <v>210</v>
      </c>
      <c r="CO100" s="1" t="s">
        <v>363</v>
      </c>
      <c r="CP100" s="1" t="s">
        <v>42</v>
      </c>
      <c r="CQ100" s="1" t="s">
        <v>210</v>
      </c>
      <c r="CS100" s="1" t="s">
        <v>361</v>
      </c>
      <c r="CT100" s="1" t="s">
        <v>206</v>
      </c>
      <c r="CU100" s="1" t="s">
        <v>207</v>
      </c>
      <c r="CW100" s="1" t="s">
        <v>743</v>
      </c>
      <c r="CX100" s="1" t="s">
        <v>206</v>
      </c>
      <c r="CY100" s="1" t="s">
        <v>207</v>
      </c>
      <c r="DA100" s="1" t="s">
        <v>192</v>
      </c>
      <c r="DB100" s="2">
        <v>42068.0</v>
      </c>
      <c r="DC100" s="1" t="s">
        <v>1353</v>
      </c>
      <c r="DE100" s="1" t="s">
        <v>218</v>
      </c>
      <c r="DF100" s="1" t="s">
        <v>745</v>
      </c>
      <c r="DG100" s="1" t="s">
        <v>482</v>
      </c>
      <c r="DH100" s="1" t="s">
        <v>220</v>
      </c>
      <c r="DI100" s="1" t="s">
        <v>519</v>
      </c>
      <c r="DJ100" s="1" t="s">
        <v>222</v>
      </c>
      <c r="DK100" s="1" t="s">
        <v>223</v>
      </c>
      <c r="DL100" s="1" t="s">
        <v>224</v>
      </c>
      <c r="DM100" s="1" t="s">
        <v>229</v>
      </c>
      <c r="DN100" s="1" t="s">
        <v>485</v>
      </c>
      <c r="DP100" s="1" t="s">
        <v>276</v>
      </c>
      <c r="DQ100" s="1" t="s">
        <v>228</v>
      </c>
      <c r="DR100" s="1" t="s">
        <v>229</v>
      </c>
      <c r="DU100" s="1" t="s">
        <v>746</v>
      </c>
      <c r="DV100" s="1" t="s">
        <v>450</v>
      </c>
      <c r="DW100" s="1" t="s">
        <v>588</v>
      </c>
      <c r="DX100" s="1" t="s">
        <v>234</v>
      </c>
      <c r="DY100" s="1" t="s">
        <v>747</v>
      </c>
      <c r="DZ100" s="1" t="s">
        <v>310</v>
      </c>
      <c r="EB100" s="1" t="s">
        <v>492</v>
      </c>
      <c r="EC100" s="1" t="s">
        <v>237</v>
      </c>
      <c r="ED100" s="1" t="s">
        <v>555</v>
      </c>
      <c r="EG100" s="1" t="s">
        <v>450</v>
      </c>
      <c r="EL100" s="1" t="s">
        <v>748</v>
      </c>
      <c r="EM100" s="1" t="s">
        <v>42</v>
      </c>
      <c r="EN100" s="1" t="s">
        <v>210</v>
      </c>
      <c r="EQ100" s="1" t="s">
        <v>238</v>
      </c>
      <c r="EU100" s="1" t="s">
        <v>238</v>
      </c>
      <c r="EY100" s="1" t="s">
        <v>238</v>
      </c>
      <c r="FC100" s="1" t="s">
        <v>238</v>
      </c>
      <c r="FF100" s="1" t="s">
        <v>239</v>
      </c>
      <c r="FG100" s="1" t="s">
        <v>192</v>
      </c>
      <c r="FH100" s="1" t="s">
        <v>192</v>
      </c>
      <c r="FJ100" s="1" t="s">
        <v>733</v>
      </c>
      <c r="FK100" s="1" t="s">
        <v>229</v>
      </c>
      <c r="FL100" s="1" t="s">
        <v>734</v>
      </c>
      <c r="FM100" s="1">
        <v>10646.0</v>
      </c>
      <c r="FN100" s="1" t="s">
        <v>735</v>
      </c>
      <c r="FO100" s="1" t="s">
        <v>736</v>
      </c>
      <c r="FP100" s="1">
        <v>139913.0</v>
      </c>
      <c r="FQ100" s="1" t="s">
        <v>737</v>
      </c>
      <c r="FU100" s="1" t="s">
        <v>738</v>
      </c>
      <c r="FV100" s="1" t="s">
        <v>200</v>
      </c>
      <c r="FW100" s="1" t="s">
        <v>530</v>
      </c>
      <c r="FX100" s="1" t="s">
        <v>238</v>
      </c>
      <c r="FZ100" s="1" t="s">
        <v>229</v>
      </c>
      <c r="GA100" s="1" t="s">
        <v>291</v>
      </c>
      <c r="GB100" s="2">
        <v>42146.0</v>
      </c>
    </row>
    <row r="101">
      <c r="A101" s="1">
        <v>289000.0</v>
      </c>
      <c r="B101" s="1" t="s">
        <v>185</v>
      </c>
      <c r="C101" s="1" t="str">
        <f>"08763440"</f>
        <v>08763440</v>
      </c>
      <c r="D101" s="1" t="s">
        <v>186</v>
      </c>
      <c r="F101" s="1" t="str">
        <f>"174"</f>
        <v>174</v>
      </c>
      <c r="G101" s="2">
        <v>41940.0</v>
      </c>
      <c r="H101" s="1">
        <v>319000.0</v>
      </c>
      <c r="I101" s="1">
        <v>208.0</v>
      </c>
      <c r="J101" s="1">
        <v>300000.0</v>
      </c>
      <c r="K101" s="2">
        <v>41965.0</v>
      </c>
      <c r="L101" s="1">
        <v>26.0</v>
      </c>
      <c r="M101" s="2">
        <v>41965.0</v>
      </c>
      <c r="N101" s="1" t="s">
        <v>187</v>
      </c>
      <c r="O101" s="2">
        <v>42013.0</v>
      </c>
      <c r="P101" s="1">
        <v>708.0</v>
      </c>
      <c r="Q101" s="1">
        <v>30.0</v>
      </c>
      <c r="S101" s="1" t="s">
        <v>2193</v>
      </c>
      <c r="T101" s="1" t="s">
        <v>2194</v>
      </c>
      <c r="U101" s="1" t="s">
        <v>569</v>
      </c>
      <c r="V101" s="1" t="s">
        <v>1200</v>
      </c>
      <c r="W101" s="1">
        <v>60175.0</v>
      </c>
      <c r="Y101" s="1" t="s">
        <v>2195</v>
      </c>
      <c r="Z101" s="1">
        <v>1989.0</v>
      </c>
      <c r="AA101" s="1" t="s">
        <v>200</v>
      </c>
      <c r="AB101" s="1" t="s">
        <v>193</v>
      </c>
      <c r="AD101" s="1" t="s">
        <v>1089</v>
      </c>
      <c r="AE101" s="1" t="s">
        <v>325</v>
      </c>
      <c r="AF101" s="1" t="s">
        <v>1632</v>
      </c>
      <c r="AH101" s="1" t="s">
        <v>2196</v>
      </c>
      <c r="AI101" s="1">
        <v>0.75</v>
      </c>
      <c r="AK101" s="1">
        <v>11.0</v>
      </c>
      <c r="AL101" s="1">
        <v>4.0</v>
      </c>
      <c r="AM101" s="1">
        <v>2.0</v>
      </c>
      <c r="AN101" s="1">
        <v>1.0</v>
      </c>
      <c r="AO101" s="1" t="s">
        <v>198</v>
      </c>
      <c r="AP101" s="1">
        <v>1.0</v>
      </c>
      <c r="AQ101" s="1" t="s">
        <v>198</v>
      </c>
      <c r="AR101" s="1" t="s">
        <v>200</v>
      </c>
      <c r="AS101" s="1" t="s">
        <v>199</v>
      </c>
      <c r="AT101" s="1">
        <v>2.0</v>
      </c>
      <c r="AV101" s="1" t="s">
        <v>200</v>
      </c>
      <c r="AW101" s="1">
        <v>8649.0</v>
      </c>
      <c r="AX101" s="1">
        <v>2013.0</v>
      </c>
      <c r="AY101" s="1" t="s">
        <v>387</v>
      </c>
      <c r="AZ101" s="1" t="s">
        <v>200</v>
      </c>
      <c r="BA101" s="1" t="str">
        <f>"0815126001"</f>
        <v>0815126001</v>
      </c>
      <c r="BC101" s="1">
        <v>2560.0</v>
      </c>
      <c r="BD101" s="1">
        <v>289000.0</v>
      </c>
      <c r="BE101" s="2">
        <v>41940.0</v>
      </c>
      <c r="BF101" s="2" t="s">
        <v>2197</v>
      </c>
      <c r="BG101" s="1" t="s">
        <v>2198</v>
      </c>
      <c r="BH101" s="1">
        <v>0.0</v>
      </c>
      <c r="BI101" s="1" t="s">
        <v>2199</v>
      </c>
      <c r="BJ101" s="1" t="s">
        <v>2200</v>
      </c>
      <c r="BK101" s="1" t="s">
        <v>204</v>
      </c>
      <c r="BL101" s="1" t="str">
        <f>"5"</f>
        <v>5</v>
      </c>
      <c r="BM101" s="1" t="str">
        <f t="shared" si="66"/>
        <v>0</v>
      </c>
      <c r="BN101" s="1">
        <v>41.0</v>
      </c>
      <c r="BO101" s="1">
        <v>0.0</v>
      </c>
      <c r="BQ101" s="1">
        <v>303.0</v>
      </c>
      <c r="BR101" s="1">
        <v>303.0</v>
      </c>
      <c r="BS101" s="1">
        <v>303.0</v>
      </c>
      <c r="BU101" s="1" t="s">
        <v>616</v>
      </c>
      <c r="BV101" s="1" t="s">
        <v>206</v>
      </c>
      <c r="BW101" s="1" t="s">
        <v>210</v>
      </c>
      <c r="BY101" s="1" t="s">
        <v>616</v>
      </c>
      <c r="BZ101" s="1" t="s">
        <v>209</v>
      </c>
      <c r="CA101" s="1" t="s">
        <v>210</v>
      </c>
      <c r="CC101" s="1" t="s">
        <v>647</v>
      </c>
      <c r="CD101" s="1" t="s">
        <v>206</v>
      </c>
      <c r="CE101" s="1" t="s">
        <v>210</v>
      </c>
      <c r="CG101" s="1" t="s">
        <v>331</v>
      </c>
      <c r="CH101" s="1" t="s">
        <v>209</v>
      </c>
      <c r="CI101" s="1" t="s">
        <v>210</v>
      </c>
      <c r="CK101" s="1" t="s">
        <v>212</v>
      </c>
      <c r="CL101" s="1" t="s">
        <v>209</v>
      </c>
      <c r="CM101" s="1" t="s">
        <v>210</v>
      </c>
      <c r="CO101" s="1" t="s">
        <v>433</v>
      </c>
      <c r="CP101" s="1" t="s">
        <v>209</v>
      </c>
      <c r="CQ101" s="1" t="s">
        <v>210</v>
      </c>
      <c r="CS101" s="1" t="s">
        <v>1809</v>
      </c>
      <c r="CT101" s="1" t="s">
        <v>206</v>
      </c>
      <c r="CU101" s="1" t="s">
        <v>207</v>
      </c>
      <c r="CW101" s="1" t="s">
        <v>1244</v>
      </c>
      <c r="CX101" s="1" t="s">
        <v>206</v>
      </c>
      <c r="CY101" s="1" t="s">
        <v>210</v>
      </c>
      <c r="DA101" s="1" t="s">
        <v>200</v>
      </c>
      <c r="DC101" s="1" t="s">
        <v>435</v>
      </c>
      <c r="DD101" s="1" t="s">
        <v>957</v>
      </c>
      <c r="DE101" s="1" t="s">
        <v>273</v>
      </c>
      <c r="DF101" s="1" t="s">
        <v>219</v>
      </c>
      <c r="DG101" s="1" t="s">
        <v>2123</v>
      </c>
      <c r="DH101" s="1" t="s">
        <v>856</v>
      </c>
      <c r="DI101" s="1" t="s">
        <v>2201</v>
      </c>
      <c r="DJ101" s="1" t="s">
        <v>857</v>
      </c>
      <c r="DL101" s="1" t="s">
        <v>224</v>
      </c>
      <c r="DM101" s="1" t="s">
        <v>338</v>
      </c>
      <c r="DN101" s="1" t="s">
        <v>666</v>
      </c>
      <c r="DO101" s="1" t="s">
        <v>1556</v>
      </c>
      <c r="DP101" s="1" t="s">
        <v>340</v>
      </c>
      <c r="DQ101" s="1" t="s">
        <v>1557</v>
      </c>
      <c r="DR101" s="1" t="s">
        <v>229</v>
      </c>
      <c r="DS101" s="1" t="s">
        <v>230</v>
      </c>
      <c r="DU101" s="1" t="s">
        <v>2202</v>
      </c>
      <c r="DV101" s="1" t="s">
        <v>2203</v>
      </c>
      <c r="DW101" s="1" t="s">
        <v>934</v>
      </c>
      <c r="DX101" s="1" t="s">
        <v>234</v>
      </c>
      <c r="DY101" s="1" t="s">
        <v>1559</v>
      </c>
      <c r="DZ101" s="1" t="s">
        <v>2204</v>
      </c>
      <c r="EA101" s="1" t="s">
        <v>447</v>
      </c>
      <c r="EB101" s="1" t="s">
        <v>684</v>
      </c>
      <c r="EC101" s="1" t="s">
        <v>237</v>
      </c>
      <c r="ED101" s="1" t="s">
        <v>407</v>
      </c>
      <c r="EG101" s="1" t="s">
        <v>598</v>
      </c>
      <c r="EH101" s="1" t="s">
        <v>450</v>
      </c>
      <c r="EI101" s="1" t="s">
        <v>1824</v>
      </c>
      <c r="EL101" s="1" t="s">
        <v>215</v>
      </c>
      <c r="EM101" s="1" t="s">
        <v>42</v>
      </c>
      <c r="EN101" s="1" t="s">
        <v>210</v>
      </c>
      <c r="EP101" s="1" t="s">
        <v>2205</v>
      </c>
      <c r="EQ101" s="1" t="s">
        <v>42</v>
      </c>
      <c r="ER101" s="1" t="s">
        <v>210</v>
      </c>
      <c r="ET101" s="1" t="s">
        <v>332</v>
      </c>
      <c r="EU101" s="1" t="s">
        <v>42</v>
      </c>
      <c r="EV101" s="1" t="s">
        <v>210</v>
      </c>
      <c r="EY101" s="1" t="s">
        <v>238</v>
      </c>
      <c r="FC101" s="1" t="s">
        <v>238</v>
      </c>
      <c r="FF101" s="1" t="s">
        <v>239</v>
      </c>
      <c r="FG101" s="1" t="s">
        <v>192</v>
      </c>
      <c r="FH101" s="1" t="s">
        <v>192</v>
      </c>
      <c r="FJ101" s="1" t="s">
        <v>2206</v>
      </c>
      <c r="FK101" s="1" t="s">
        <v>229</v>
      </c>
      <c r="FL101" s="1" t="s">
        <v>893</v>
      </c>
      <c r="FM101" s="1">
        <v>604.0</v>
      </c>
      <c r="FN101" s="1" t="s">
        <v>894</v>
      </c>
      <c r="FO101" s="1" t="s">
        <v>2207</v>
      </c>
      <c r="FP101" s="1">
        <v>681.0</v>
      </c>
      <c r="FQ101" s="1" t="s">
        <v>2208</v>
      </c>
      <c r="FR101" s="1">
        <v>824.0</v>
      </c>
      <c r="FS101" s="1" t="s">
        <v>2209</v>
      </c>
      <c r="FU101" s="1" t="s">
        <v>2210</v>
      </c>
      <c r="FV101" s="1" t="s">
        <v>200</v>
      </c>
      <c r="FW101" s="1" t="s">
        <v>530</v>
      </c>
      <c r="FZ101" s="1" t="s">
        <v>229</v>
      </c>
      <c r="GA101" s="1" t="s">
        <v>291</v>
      </c>
      <c r="GB101" s="2">
        <v>42013.0</v>
      </c>
    </row>
    <row r="102">
      <c r="A102" s="1">
        <v>327750.0</v>
      </c>
      <c r="B102" s="1" t="s">
        <v>185</v>
      </c>
      <c r="C102" s="1" t="str">
        <f>"08761969"</f>
        <v>08761969</v>
      </c>
      <c r="D102" s="1" t="s">
        <v>186</v>
      </c>
      <c r="F102" s="1" t="str">
        <f>"554"</f>
        <v>554</v>
      </c>
      <c r="G102" s="2">
        <v>41938.0</v>
      </c>
      <c r="H102" s="1">
        <v>345000.0</v>
      </c>
      <c r="I102" s="1">
        <v>102.0</v>
      </c>
      <c r="J102" s="1">
        <v>345000.0</v>
      </c>
      <c r="K102" s="2">
        <v>42039.0</v>
      </c>
      <c r="L102" s="1">
        <v>102.0</v>
      </c>
      <c r="M102" s="2">
        <v>42039.0</v>
      </c>
      <c r="N102" s="1" t="s">
        <v>187</v>
      </c>
      <c r="O102" s="2">
        <v>42111.0</v>
      </c>
      <c r="P102" s="1">
        <v>233903.0</v>
      </c>
      <c r="Q102" s="1">
        <v>22588.0</v>
      </c>
      <c r="S102" s="1">
        <v>1279.0</v>
      </c>
      <c r="T102" s="1" t="s">
        <v>2211</v>
      </c>
      <c r="U102" s="1" t="s">
        <v>569</v>
      </c>
      <c r="V102" s="1" t="s">
        <v>2212</v>
      </c>
      <c r="W102" s="1">
        <v>60554.0</v>
      </c>
      <c r="Y102" s="1" t="s">
        <v>2213</v>
      </c>
      <c r="Z102" s="1">
        <v>2005.0</v>
      </c>
      <c r="AA102" s="1" t="s">
        <v>200</v>
      </c>
      <c r="AB102" s="1" t="s">
        <v>467</v>
      </c>
      <c r="AC102" s="1" t="s">
        <v>2214</v>
      </c>
      <c r="AD102" s="1" t="s">
        <v>1887</v>
      </c>
      <c r="AE102" s="1" t="s">
        <v>325</v>
      </c>
      <c r="AF102" s="1" t="s">
        <v>1887</v>
      </c>
      <c r="AG102" s="1" t="s">
        <v>2215</v>
      </c>
      <c r="AH102" s="1" t="s">
        <v>2216</v>
      </c>
      <c r="AK102" s="1">
        <v>9.0</v>
      </c>
      <c r="AL102" s="1">
        <v>4.0</v>
      </c>
      <c r="AM102" s="1">
        <v>2.0</v>
      </c>
      <c r="AN102" s="1">
        <v>0.0</v>
      </c>
      <c r="AO102" s="1" t="s">
        <v>198</v>
      </c>
      <c r="AP102" s="1">
        <v>0.0</v>
      </c>
      <c r="AQ102" s="1" t="s">
        <v>327</v>
      </c>
      <c r="AR102" s="1" t="s">
        <v>200</v>
      </c>
      <c r="AS102" s="1" t="s">
        <v>199</v>
      </c>
      <c r="AT102" s="1">
        <v>3.0</v>
      </c>
      <c r="AV102" s="1" t="s">
        <v>192</v>
      </c>
      <c r="AW102" s="1">
        <v>9608.02</v>
      </c>
      <c r="AX102" s="1">
        <v>2013.0</v>
      </c>
      <c r="AY102" s="1" t="s">
        <v>387</v>
      </c>
      <c r="AZ102" s="1" t="s">
        <v>200</v>
      </c>
      <c r="BA102" s="1" t="str">
        <f>"1411201010"</f>
        <v>1411201010</v>
      </c>
      <c r="BC102" s="1">
        <v>2936.0</v>
      </c>
      <c r="BD102" s="1">
        <v>327750.0</v>
      </c>
      <c r="BE102" s="2">
        <v>41938.0</v>
      </c>
      <c r="BF102" s="2" t="s">
        <v>2217</v>
      </c>
      <c r="BG102" s="1" t="s">
        <v>2218</v>
      </c>
      <c r="BH102" s="1">
        <v>258.0</v>
      </c>
      <c r="BI102" s="1" t="s">
        <v>1635</v>
      </c>
      <c r="BJ102" s="1" t="s">
        <v>1636</v>
      </c>
      <c r="BK102" s="1" t="s">
        <v>580</v>
      </c>
      <c r="BL102" s="1" t="str">
        <f t="shared" ref="BL102:BM102" si="67">"0"</f>
        <v>0</v>
      </c>
      <c r="BM102" s="1" t="str">
        <f t="shared" si="67"/>
        <v>0</v>
      </c>
      <c r="BN102" s="1">
        <v>40.0</v>
      </c>
      <c r="BO102" s="1">
        <v>5.0</v>
      </c>
      <c r="BQ102" s="1">
        <v>302.0</v>
      </c>
      <c r="BR102" s="1">
        <v>302.0</v>
      </c>
      <c r="BS102" s="1">
        <v>302.0</v>
      </c>
      <c r="BU102" s="1" t="s">
        <v>1045</v>
      </c>
      <c r="BV102" s="1" t="s">
        <v>206</v>
      </c>
      <c r="BW102" s="1" t="s">
        <v>210</v>
      </c>
      <c r="BX102" s="1" t="s">
        <v>239</v>
      </c>
      <c r="BY102" s="1" t="s">
        <v>1518</v>
      </c>
      <c r="BZ102" s="1" t="s">
        <v>206</v>
      </c>
      <c r="CA102" s="1" t="s">
        <v>210</v>
      </c>
      <c r="CB102" s="1" t="s">
        <v>431</v>
      </c>
      <c r="CC102" s="1" t="s">
        <v>363</v>
      </c>
      <c r="CD102" s="1" t="s">
        <v>206</v>
      </c>
      <c r="CE102" s="1" t="s">
        <v>210</v>
      </c>
      <c r="CF102" s="1" t="s">
        <v>239</v>
      </c>
      <c r="CG102" s="1" t="s">
        <v>478</v>
      </c>
      <c r="CH102" s="1" t="s">
        <v>206</v>
      </c>
      <c r="CI102" s="1" t="s">
        <v>210</v>
      </c>
      <c r="CJ102" s="1" t="s">
        <v>239</v>
      </c>
      <c r="CK102" s="1" t="s">
        <v>1063</v>
      </c>
      <c r="CL102" s="1" t="s">
        <v>206</v>
      </c>
      <c r="CM102" s="1" t="s">
        <v>210</v>
      </c>
      <c r="CN102" s="1" t="s">
        <v>431</v>
      </c>
      <c r="CO102" s="1" t="s">
        <v>363</v>
      </c>
      <c r="CP102" s="1" t="s">
        <v>206</v>
      </c>
      <c r="CQ102" s="1" t="s">
        <v>210</v>
      </c>
      <c r="CR102" s="1" t="s">
        <v>239</v>
      </c>
      <c r="CS102" s="1" t="s">
        <v>331</v>
      </c>
      <c r="CT102" s="1" t="s">
        <v>206</v>
      </c>
      <c r="CU102" s="1" t="s">
        <v>207</v>
      </c>
      <c r="CV102" s="1" t="s">
        <v>239</v>
      </c>
      <c r="CW102" s="1" t="s">
        <v>2219</v>
      </c>
      <c r="CX102" s="1" t="s">
        <v>206</v>
      </c>
      <c r="CY102" s="1" t="s">
        <v>210</v>
      </c>
      <c r="CZ102" s="1" t="s">
        <v>239</v>
      </c>
      <c r="DA102" s="1" t="s">
        <v>200</v>
      </c>
      <c r="DC102" s="1" t="s">
        <v>481</v>
      </c>
      <c r="DD102" s="1" t="s">
        <v>518</v>
      </c>
      <c r="DE102" s="1" t="s">
        <v>273</v>
      </c>
      <c r="DF102" s="1" t="s">
        <v>219</v>
      </c>
      <c r="DG102" s="1" t="s">
        <v>1020</v>
      </c>
      <c r="DH102" s="1" t="s">
        <v>220</v>
      </c>
      <c r="DI102" s="1" t="s">
        <v>1813</v>
      </c>
      <c r="DJ102" s="1" t="s">
        <v>222</v>
      </c>
      <c r="DK102" s="1" t="s">
        <v>223</v>
      </c>
      <c r="DL102" s="1" t="s">
        <v>2220</v>
      </c>
      <c r="DM102" s="1" t="s">
        <v>1268</v>
      </c>
      <c r="DN102" s="1" t="s">
        <v>399</v>
      </c>
      <c r="DO102" s="1" t="s">
        <v>2221</v>
      </c>
      <c r="DP102" s="1" t="s">
        <v>340</v>
      </c>
      <c r="DQ102" s="1" t="s">
        <v>441</v>
      </c>
      <c r="DR102" s="1" t="s">
        <v>229</v>
      </c>
      <c r="DS102" s="1" t="s">
        <v>368</v>
      </c>
      <c r="DU102" s="1" t="s">
        <v>2222</v>
      </c>
      <c r="DV102" s="1" t="s">
        <v>2071</v>
      </c>
      <c r="DW102" s="1" t="s">
        <v>1072</v>
      </c>
      <c r="DX102" s="1" t="s">
        <v>234</v>
      </c>
      <c r="DY102" s="1" t="s">
        <v>1211</v>
      </c>
      <c r="DZ102" s="1" t="s">
        <v>343</v>
      </c>
      <c r="EA102" s="1" t="s">
        <v>683</v>
      </c>
      <c r="EC102" s="1" t="s">
        <v>685</v>
      </c>
      <c r="ED102" s="1" t="s">
        <v>407</v>
      </c>
      <c r="EG102" s="1" t="s">
        <v>408</v>
      </c>
      <c r="EH102" s="1" t="s">
        <v>449</v>
      </c>
      <c r="EL102" s="1" t="s">
        <v>2223</v>
      </c>
      <c r="EM102" s="1" t="s">
        <v>206</v>
      </c>
      <c r="EN102" s="1" t="s">
        <v>207</v>
      </c>
      <c r="EO102" s="1" t="s">
        <v>229</v>
      </c>
      <c r="EP102" s="1" t="s">
        <v>2224</v>
      </c>
      <c r="EQ102" s="1" t="s">
        <v>206</v>
      </c>
      <c r="ER102" s="1" t="s">
        <v>207</v>
      </c>
      <c r="ES102" s="1" t="s">
        <v>239</v>
      </c>
      <c r="EU102" s="1" t="s">
        <v>238</v>
      </c>
      <c r="EY102" s="1" t="s">
        <v>238</v>
      </c>
      <c r="FC102" s="1" t="s">
        <v>238</v>
      </c>
      <c r="FF102" s="1" t="s">
        <v>239</v>
      </c>
      <c r="FG102" s="1" t="s">
        <v>192</v>
      </c>
      <c r="FH102" s="1" t="s">
        <v>192</v>
      </c>
      <c r="FJ102" s="1" t="s">
        <v>2225</v>
      </c>
      <c r="FK102" s="1" t="s">
        <v>229</v>
      </c>
      <c r="FL102" s="1" t="s">
        <v>2226</v>
      </c>
      <c r="FM102" s="1">
        <v>300.0</v>
      </c>
      <c r="FN102" s="1" t="s">
        <v>2227</v>
      </c>
      <c r="FO102" s="1" t="s">
        <v>2228</v>
      </c>
      <c r="FP102" s="1">
        <v>313816.0</v>
      </c>
      <c r="FQ102" s="1" t="s">
        <v>2229</v>
      </c>
      <c r="FR102" s="1">
        <v>8490.0</v>
      </c>
      <c r="FS102" s="1" t="s">
        <v>2230</v>
      </c>
      <c r="FU102" s="1" t="s">
        <v>2231</v>
      </c>
      <c r="FV102" s="1" t="s">
        <v>200</v>
      </c>
      <c r="FW102" s="1" t="s">
        <v>567</v>
      </c>
      <c r="FZ102" s="1" t="s">
        <v>229</v>
      </c>
      <c r="GA102" s="1" t="s">
        <v>291</v>
      </c>
      <c r="GB102" s="2">
        <v>42111.0</v>
      </c>
      <c r="GC102" s="1" t="s">
        <v>2232</v>
      </c>
    </row>
    <row r="103">
      <c r="A103" s="1">
        <v>540000.0</v>
      </c>
      <c r="B103" s="1" t="s">
        <v>185</v>
      </c>
      <c r="C103" s="1" t="str">
        <f>"08763105"</f>
        <v>08763105</v>
      </c>
      <c r="D103" s="1" t="s">
        <v>186</v>
      </c>
      <c r="F103" s="1" t="str">
        <f>"8015"</f>
        <v>8015</v>
      </c>
      <c r="G103" s="2">
        <v>41940.0</v>
      </c>
      <c r="H103" s="1">
        <v>649000.0</v>
      </c>
      <c r="I103" s="1">
        <v>71.0</v>
      </c>
      <c r="J103" s="1">
        <v>599000.0</v>
      </c>
      <c r="K103" s="2">
        <v>42010.0</v>
      </c>
      <c r="L103" s="1">
        <v>71.0</v>
      </c>
      <c r="M103" s="2">
        <v>42010.0</v>
      </c>
      <c r="N103" s="1" t="s">
        <v>187</v>
      </c>
      <c r="O103" s="2">
        <v>42047.0</v>
      </c>
      <c r="P103" s="1">
        <v>123679.0</v>
      </c>
      <c r="Q103" s="1">
        <v>84025.0</v>
      </c>
      <c r="S103" s="1">
        <v>4128.0</v>
      </c>
      <c r="T103" s="1" t="s">
        <v>2233</v>
      </c>
      <c r="U103" s="1" t="s">
        <v>189</v>
      </c>
      <c r="V103" s="1" t="s">
        <v>190</v>
      </c>
      <c r="W103" s="1">
        <v>60641.0</v>
      </c>
      <c r="Y103" s="1" t="s">
        <v>2234</v>
      </c>
      <c r="Z103" s="1">
        <v>1921.0</v>
      </c>
      <c r="AA103" s="1" t="s">
        <v>192</v>
      </c>
      <c r="AB103" s="1" t="s">
        <v>193</v>
      </c>
      <c r="AD103" s="1" t="s">
        <v>194</v>
      </c>
      <c r="AE103" s="1" t="s">
        <v>195</v>
      </c>
      <c r="AF103" s="1" t="s">
        <v>196</v>
      </c>
      <c r="AH103" s="1" t="s">
        <v>2164</v>
      </c>
      <c r="AI103" s="1">
        <v>0.1148</v>
      </c>
      <c r="AK103" s="1">
        <v>9.0</v>
      </c>
      <c r="AL103" s="1">
        <v>4.0</v>
      </c>
      <c r="AM103" s="1">
        <v>2.0</v>
      </c>
      <c r="AN103" s="1">
        <v>1.0</v>
      </c>
      <c r="AO103" s="1" t="s">
        <v>198</v>
      </c>
      <c r="AQ103" s="1" t="s">
        <v>198</v>
      </c>
      <c r="AR103" s="1" t="s">
        <v>192</v>
      </c>
      <c r="AS103" s="1" t="s">
        <v>199</v>
      </c>
      <c r="AT103" s="1">
        <v>1.0</v>
      </c>
      <c r="AV103" s="1" t="s">
        <v>200</v>
      </c>
      <c r="AW103" s="1">
        <v>6826.0</v>
      </c>
      <c r="AX103" s="1">
        <v>2013.0</v>
      </c>
      <c r="AY103" s="1" t="s">
        <v>387</v>
      </c>
      <c r="AZ103" s="1" t="s">
        <v>200</v>
      </c>
      <c r="BA103" s="1" t="str">
        <f>"13164180220000"</f>
        <v>13164180220000</v>
      </c>
      <c r="BC103" s="1">
        <v>4800.0</v>
      </c>
      <c r="BD103" s="1">
        <v>540000.0</v>
      </c>
      <c r="BE103" s="2">
        <v>41940.0</v>
      </c>
      <c r="BF103" s="2" t="s">
        <v>2235</v>
      </c>
      <c r="BH103" s="1">
        <v>0.0</v>
      </c>
      <c r="BK103" s="1" t="s">
        <v>204</v>
      </c>
      <c r="BL103" s="1" t="str">
        <f>"4128"</f>
        <v>4128</v>
      </c>
      <c r="BM103" s="1" t="str">
        <f t="shared" ref="BM103:BM104" si="68">"0"</f>
        <v>0</v>
      </c>
      <c r="BN103" s="1">
        <v>5200.0</v>
      </c>
      <c r="BO103" s="1">
        <v>0.0</v>
      </c>
      <c r="BQ103" s="1">
        <v>299.0</v>
      </c>
      <c r="BR103" s="1">
        <v>299.0</v>
      </c>
      <c r="BS103" s="1">
        <v>299.0</v>
      </c>
      <c r="BU103" s="1" t="s">
        <v>2182</v>
      </c>
      <c r="BV103" s="1" t="s">
        <v>206</v>
      </c>
      <c r="BW103" s="1" t="s">
        <v>207</v>
      </c>
      <c r="BY103" s="1" t="s">
        <v>434</v>
      </c>
      <c r="BZ103" s="1" t="s">
        <v>209</v>
      </c>
      <c r="CA103" s="1" t="s">
        <v>207</v>
      </c>
      <c r="CC103" s="1" t="s">
        <v>208</v>
      </c>
      <c r="CD103" s="1" t="s">
        <v>206</v>
      </c>
      <c r="CE103" s="1" t="s">
        <v>207</v>
      </c>
      <c r="CG103" s="1" t="s">
        <v>433</v>
      </c>
      <c r="CH103" s="1" t="s">
        <v>206</v>
      </c>
      <c r="CI103" s="1" t="s">
        <v>207</v>
      </c>
      <c r="CK103" s="1" t="s">
        <v>264</v>
      </c>
      <c r="CL103" s="1" t="s">
        <v>206</v>
      </c>
      <c r="CM103" s="1" t="s">
        <v>207</v>
      </c>
      <c r="CO103" s="1" t="s">
        <v>392</v>
      </c>
      <c r="CP103" s="1" t="s">
        <v>209</v>
      </c>
      <c r="CQ103" s="1" t="s">
        <v>207</v>
      </c>
      <c r="CS103" s="1" t="s">
        <v>329</v>
      </c>
      <c r="CT103" s="1" t="s">
        <v>206</v>
      </c>
      <c r="CU103" s="1" t="s">
        <v>268</v>
      </c>
      <c r="CW103" s="1" t="s">
        <v>1891</v>
      </c>
      <c r="CX103" s="1" t="s">
        <v>42</v>
      </c>
      <c r="CY103" s="1" t="s">
        <v>588</v>
      </c>
      <c r="DA103" s="1" t="s">
        <v>200</v>
      </c>
      <c r="DC103" s="1" t="s">
        <v>216</v>
      </c>
      <c r="DD103" s="1" t="s">
        <v>436</v>
      </c>
      <c r="DE103" s="1" t="s">
        <v>273</v>
      </c>
      <c r="DF103" s="1" t="s">
        <v>2236</v>
      </c>
      <c r="DG103" s="1" t="s">
        <v>2237</v>
      </c>
      <c r="DH103" s="1" t="s">
        <v>220</v>
      </c>
      <c r="DI103" s="1" t="s">
        <v>2238</v>
      </c>
      <c r="DJ103" s="1" t="s">
        <v>222</v>
      </c>
      <c r="DL103" s="1" t="s">
        <v>224</v>
      </c>
      <c r="DM103" s="1" t="s">
        <v>229</v>
      </c>
      <c r="DN103" s="1" t="s">
        <v>439</v>
      </c>
      <c r="DO103" s="1" t="s">
        <v>486</v>
      </c>
      <c r="DP103" s="1" t="s">
        <v>340</v>
      </c>
      <c r="DQ103" s="1" t="s">
        <v>228</v>
      </c>
      <c r="DR103" s="1" t="s">
        <v>229</v>
      </c>
      <c r="DV103" s="1" t="s">
        <v>2239</v>
      </c>
      <c r="DW103" s="1" t="s">
        <v>279</v>
      </c>
      <c r="DX103" s="1" t="s">
        <v>234</v>
      </c>
      <c r="DY103" s="1" t="s">
        <v>2240</v>
      </c>
      <c r="DZ103" s="1" t="s">
        <v>282</v>
      </c>
      <c r="EA103" s="1" t="s">
        <v>644</v>
      </c>
      <c r="EC103" s="1" t="s">
        <v>645</v>
      </c>
      <c r="EG103" s="1" t="s">
        <v>1467</v>
      </c>
      <c r="EH103" s="1" t="s">
        <v>408</v>
      </c>
      <c r="EI103" s="1" t="s">
        <v>720</v>
      </c>
      <c r="EJ103" s="1" t="s">
        <v>1270</v>
      </c>
      <c r="EK103" s="1" t="s">
        <v>1102</v>
      </c>
      <c r="EL103" s="1" t="s">
        <v>363</v>
      </c>
      <c r="EM103" s="1" t="s">
        <v>42</v>
      </c>
      <c r="EN103" s="1" t="s">
        <v>588</v>
      </c>
      <c r="EP103" s="1" t="s">
        <v>2241</v>
      </c>
      <c r="EQ103" s="1" t="s">
        <v>206</v>
      </c>
      <c r="ER103" s="1" t="s">
        <v>207</v>
      </c>
      <c r="ET103" s="1" t="s">
        <v>2242</v>
      </c>
      <c r="EU103" s="1" t="s">
        <v>42</v>
      </c>
      <c r="EV103" s="1" t="s">
        <v>268</v>
      </c>
      <c r="EX103" s="1" t="s">
        <v>1000</v>
      </c>
      <c r="EY103" s="1" t="s">
        <v>42</v>
      </c>
      <c r="EZ103" s="1" t="s">
        <v>588</v>
      </c>
      <c r="FB103" s="1" t="s">
        <v>1245</v>
      </c>
      <c r="FC103" s="1" t="s">
        <v>206</v>
      </c>
      <c r="FD103" s="1" t="s">
        <v>207</v>
      </c>
      <c r="FF103" s="1" t="s">
        <v>239</v>
      </c>
      <c r="FG103" s="1" t="s">
        <v>192</v>
      </c>
      <c r="FH103" s="1" t="s">
        <v>192</v>
      </c>
      <c r="FJ103" s="1" t="s">
        <v>2243</v>
      </c>
      <c r="FK103" s="1" t="s">
        <v>229</v>
      </c>
      <c r="FL103" s="1" t="s">
        <v>974</v>
      </c>
      <c r="FM103" s="1">
        <v>10900.0</v>
      </c>
      <c r="FN103" s="1" t="s">
        <v>1435</v>
      </c>
      <c r="FO103" s="1" t="s">
        <v>2244</v>
      </c>
      <c r="FP103" s="1">
        <v>145819.0</v>
      </c>
      <c r="FQ103" s="1" t="s">
        <v>2245</v>
      </c>
      <c r="FU103" s="1" t="s">
        <v>2246</v>
      </c>
      <c r="FV103" s="1" t="s">
        <v>200</v>
      </c>
      <c r="FW103" s="1" t="s">
        <v>567</v>
      </c>
      <c r="FX103" s="1" t="s">
        <v>238</v>
      </c>
      <c r="FZ103" s="1" t="s">
        <v>229</v>
      </c>
      <c r="GA103" s="1" t="s">
        <v>291</v>
      </c>
      <c r="GB103" s="2">
        <v>42047.0</v>
      </c>
      <c r="GC103" s="1" t="s">
        <v>2247</v>
      </c>
    </row>
    <row r="104">
      <c r="A104" s="1">
        <v>253500.0</v>
      </c>
      <c r="B104" s="1" t="s">
        <v>185</v>
      </c>
      <c r="C104" s="1" t="str">
        <f>"08764954"</f>
        <v>08764954</v>
      </c>
      <c r="D104" s="1" t="s">
        <v>186</v>
      </c>
      <c r="F104" s="1" t="str">
        <f>"177"</f>
        <v>177</v>
      </c>
      <c r="G104" s="2">
        <v>41942.0</v>
      </c>
      <c r="H104" s="1">
        <v>259000.0</v>
      </c>
      <c r="I104" s="1">
        <v>37.0</v>
      </c>
      <c r="J104" s="1">
        <v>259000.0</v>
      </c>
      <c r="K104" s="2">
        <v>41976.0</v>
      </c>
      <c r="L104" s="1">
        <v>37.0</v>
      </c>
      <c r="M104" s="2">
        <v>41976.0</v>
      </c>
      <c r="N104" s="1" t="s">
        <v>356</v>
      </c>
      <c r="O104" s="2">
        <v>42014.0</v>
      </c>
      <c r="P104" s="1">
        <v>228755.0</v>
      </c>
      <c r="Q104" s="1">
        <v>23030.0</v>
      </c>
      <c r="R104" s="1">
        <v>4000.0</v>
      </c>
      <c r="S104" s="1">
        <v>287.0</v>
      </c>
      <c r="T104" s="1" t="s">
        <v>2248</v>
      </c>
      <c r="U104" s="1" t="s">
        <v>1015</v>
      </c>
      <c r="V104" s="1" t="s">
        <v>2249</v>
      </c>
      <c r="W104" s="1">
        <v>60177.0</v>
      </c>
      <c r="Y104" s="1" t="s">
        <v>2250</v>
      </c>
      <c r="Z104" s="1">
        <v>1994.0</v>
      </c>
      <c r="AA104" s="1" t="s">
        <v>200</v>
      </c>
      <c r="AB104" s="1" t="s">
        <v>193</v>
      </c>
      <c r="AC104" s="1" t="s">
        <v>2251</v>
      </c>
      <c r="AD104" s="1" t="s">
        <v>2252</v>
      </c>
      <c r="AE104" s="1" t="s">
        <v>325</v>
      </c>
      <c r="AF104" s="1" t="s">
        <v>469</v>
      </c>
      <c r="AG104" s="1" t="s">
        <v>2253</v>
      </c>
      <c r="AH104" s="1" t="s">
        <v>2254</v>
      </c>
      <c r="AI104" s="1">
        <v>0.19</v>
      </c>
      <c r="AK104" s="1">
        <v>10.0</v>
      </c>
      <c r="AL104" s="1">
        <v>4.0</v>
      </c>
      <c r="AM104" s="1">
        <v>2.0</v>
      </c>
      <c r="AN104" s="1">
        <v>1.0</v>
      </c>
      <c r="AO104" s="1" t="s">
        <v>198</v>
      </c>
      <c r="AP104" s="1">
        <v>1.0</v>
      </c>
      <c r="AQ104" s="1" t="s">
        <v>198</v>
      </c>
      <c r="AR104" s="1" t="s">
        <v>200</v>
      </c>
      <c r="AS104" s="1" t="s">
        <v>199</v>
      </c>
      <c r="AT104" s="1">
        <v>2.0</v>
      </c>
      <c r="AV104" s="1" t="s">
        <v>200</v>
      </c>
      <c r="AW104" s="1">
        <v>6065.0</v>
      </c>
      <c r="AX104" s="1">
        <v>2013.0</v>
      </c>
      <c r="AY104" s="1" t="s">
        <v>229</v>
      </c>
      <c r="AZ104" s="1" t="s">
        <v>200</v>
      </c>
      <c r="BA104" s="1" t="str">
        <f>"0634329018"</f>
        <v>0634329018</v>
      </c>
      <c r="BB104" s="1" t="s">
        <v>200</v>
      </c>
      <c r="BC104" s="1">
        <v>2030.0</v>
      </c>
      <c r="BD104" s="1">
        <v>253500.0</v>
      </c>
      <c r="BE104" s="2">
        <v>41940.0</v>
      </c>
      <c r="BF104" s="2" t="s">
        <v>2255</v>
      </c>
      <c r="BH104" s="1">
        <v>0.0</v>
      </c>
      <c r="BK104" s="1" t="s">
        <v>204</v>
      </c>
      <c r="BL104" s="1" t="str">
        <f>"8"</f>
        <v>8</v>
      </c>
      <c r="BM104" s="1" t="str">
        <f t="shared" si="68"/>
        <v>0</v>
      </c>
      <c r="BN104" s="1">
        <v>35.0</v>
      </c>
      <c r="BO104" s="1">
        <v>0.0</v>
      </c>
      <c r="BQ104" s="1">
        <v>46.0</v>
      </c>
      <c r="BR104" s="1">
        <v>46.0</v>
      </c>
      <c r="BS104" s="1">
        <v>46.0</v>
      </c>
      <c r="BU104" s="1" t="s">
        <v>262</v>
      </c>
      <c r="BV104" s="1" t="s">
        <v>206</v>
      </c>
      <c r="BW104" s="1" t="s">
        <v>210</v>
      </c>
      <c r="BY104" s="1" t="s">
        <v>454</v>
      </c>
      <c r="BZ104" s="1" t="s">
        <v>209</v>
      </c>
      <c r="CA104" s="1" t="s">
        <v>210</v>
      </c>
      <c r="CC104" s="1" t="s">
        <v>699</v>
      </c>
      <c r="CD104" s="1" t="s">
        <v>206</v>
      </c>
      <c r="CE104" s="1" t="s">
        <v>210</v>
      </c>
      <c r="CG104" s="1" t="s">
        <v>699</v>
      </c>
      <c r="CH104" s="1" t="s">
        <v>209</v>
      </c>
      <c r="CI104" s="1" t="s">
        <v>210</v>
      </c>
      <c r="CK104" s="1" t="s">
        <v>699</v>
      </c>
      <c r="CL104" s="1" t="s">
        <v>209</v>
      </c>
      <c r="CM104" s="1" t="s">
        <v>210</v>
      </c>
      <c r="CO104" s="1" t="s">
        <v>269</v>
      </c>
      <c r="CP104" s="1" t="s">
        <v>209</v>
      </c>
      <c r="CQ104" s="1" t="s">
        <v>210</v>
      </c>
      <c r="CS104" s="1" t="s">
        <v>758</v>
      </c>
      <c r="CT104" s="1" t="s">
        <v>206</v>
      </c>
      <c r="CU104" s="1" t="s">
        <v>207</v>
      </c>
      <c r="CW104" s="1" t="s">
        <v>758</v>
      </c>
      <c r="CX104" s="1" t="s">
        <v>206</v>
      </c>
      <c r="CY104" s="1" t="s">
        <v>210</v>
      </c>
      <c r="DA104" s="1" t="s">
        <v>200</v>
      </c>
      <c r="DC104" s="1" t="s">
        <v>678</v>
      </c>
      <c r="DD104" s="1" t="s">
        <v>2256</v>
      </c>
      <c r="DE104" s="1" t="s">
        <v>273</v>
      </c>
      <c r="DF104" s="1" t="s">
        <v>219</v>
      </c>
      <c r="DG104" s="1" t="s">
        <v>482</v>
      </c>
      <c r="DH104" s="1" t="s">
        <v>220</v>
      </c>
      <c r="DI104" s="1" t="s">
        <v>2257</v>
      </c>
      <c r="DJ104" s="1" t="s">
        <v>222</v>
      </c>
      <c r="DL104" s="1" t="s">
        <v>224</v>
      </c>
      <c r="DM104" s="1" t="s">
        <v>338</v>
      </c>
      <c r="DN104" s="1" t="s">
        <v>548</v>
      </c>
      <c r="DO104" s="1" t="s">
        <v>549</v>
      </c>
      <c r="DP104" s="1" t="s">
        <v>340</v>
      </c>
      <c r="DQ104" s="1" t="s">
        <v>228</v>
      </c>
      <c r="DR104" s="1" t="s">
        <v>229</v>
      </c>
      <c r="DS104" s="1" t="s">
        <v>230</v>
      </c>
      <c r="DU104" s="1" t="s">
        <v>2258</v>
      </c>
      <c r="DV104" s="1" t="s">
        <v>2259</v>
      </c>
      <c r="DW104" s="1" t="s">
        <v>2167</v>
      </c>
      <c r="DX104" s="1" t="s">
        <v>234</v>
      </c>
      <c r="DY104" s="1" t="s">
        <v>235</v>
      </c>
      <c r="DZ104" s="1" t="s">
        <v>2260</v>
      </c>
      <c r="EA104" s="1" t="s">
        <v>1027</v>
      </c>
      <c r="EB104" s="1" t="s">
        <v>937</v>
      </c>
      <c r="EC104" s="1" t="s">
        <v>237</v>
      </c>
      <c r="EG104" s="1" t="s">
        <v>449</v>
      </c>
      <c r="EH104" s="1" t="s">
        <v>450</v>
      </c>
      <c r="EL104" s="1" t="s">
        <v>543</v>
      </c>
      <c r="EM104" s="1" t="s">
        <v>206</v>
      </c>
      <c r="EN104" s="1" t="s">
        <v>207</v>
      </c>
      <c r="EP104" s="1" t="s">
        <v>2261</v>
      </c>
      <c r="EQ104" s="1" t="s">
        <v>267</v>
      </c>
      <c r="EU104" s="1" t="s">
        <v>238</v>
      </c>
      <c r="EY104" s="1" t="s">
        <v>238</v>
      </c>
      <c r="FC104" s="1" t="s">
        <v>238</v>
      </c>
      <c r="FF104" s="1" t="s">
        <v>239</v>
      </c>
      <c r="FG104" s="1" t="s">
        <v>192</v>
      </c>
      <c r="FH104" s="1" t="s">
        <v>192</v>
      </c>
      <c r="FJ104" s="1" t="s">
        <v>2262</v>
      </c>
      <c r="FK104" s="1" t="s">
        <v>229</v>
      </c>
      <c r="FL104" s="1" t="s">
        <v>2263</v>
      </c>
      <c r="FM104" s="1">
        <v>8094.0</v>
      </c>
      <c r="FN104" s="1" t="s">
        <v>2264</v>
      </c>
      <c r="FO104" s="1" t="s">
        <v>2265</v>
      </c>
      <c r="FP104" s="1">
        <v>80823.0</v>
      </c>
      <c r="FQ104" s="1" t="s">
        <v>2266</v>
      </c>
      <c r="FU104" s="1" t="s">
        <v>2267</v>
      </c>
      <c r="FV104" s="1" t="s">
        <v>200</v>
      </c>
      <c r="FW104" s="1" t="s">
        <v>290</v>
      </c>
      <c r="FX104" s="1" t="s">
        <v>246</v>
      </c>
      <c r="FZ104" s="1" t="s">
        <v>229</v>
      </c>
      <c r="GA104" s="1" t="s">
        <v>291</v>
      </c>
      <c r="GB104" s="2">
        <v>42016.0</v>
      </c>
      <c r="GC104" s="1" t="s">
        <v>2268</v>
      </c>
    </row>
    <row r="105">
      <c r="A105" s="1">
        <v>164900.0</v>
      </c>
      <c r="B105" s="1" t="s">
        <v>185</v>
      </c>
      <c r="C105" s="1" t="str">
        <f>"08765559"</f>
        <v>08765559</v>
      </c>
      <c r="D105" s="1" t="s">
        <v>186</v>
      </c>
      <c r="F105" s="1" t="str">
        <f>"119"</f>
        <v>119</v>
      </c>
      <c r="G105" s="2">
        <v>41942.0</v>
      </c>
      <c r="H105" s="1">
        <v>191900.0</v>
      </c>
      <c r="I105" s="1">
        <v>75.0</v>
      </c>
      <c r="J105" s="1">
        <v>164900.0</v>
      </c>
      <c r="K105" s="2">
        <v>42016.0</v>
      </c>
      <c r="L105" s="1">
        <v>75.0</v>
      </c>
      <c r="M105" s="2">
        <v>42016.0</v>
      </c>
      <c r="N105" s="1" t="s">
        <v>187</v>
      </c>
      <c r="O105" s="2">
        <v>42062.0</v>
      </c>
      <c r="P105" s="1">
        <v>497.0</v>
      </c>
      <c r="Q105" s="1">
        <v>30.0</v>
      </c>
      <c r="S105" s="1">
        <v>600.0</v>
      </c>
      <c r="T105" s="1" t="s">
        <v>2269</v>
      </c>
      <c r="U105" s="1" t="s">
        <v>189</v>
      </c>
      <c r="V105" s="1" t="s">
        <v>1476</v>
      </c>
      <c r="W105" s="1">
        <v>60119.0</v>
      </c>
      <c r="Y105" s="1" t="s">
        <v>2270</v>
      </c>
      <c r="Z105" s="1">
        <v>1985.0</v>
      </c>
      <c r="AA105" s="1" t="s">
        <v>200</v>
      </c>
      <c r="AB105" s="1" t="s">
        <v>193</v>
      </c>
      <c r="AC105" s="1" t="s">
        <v>2271</v>
      </c>
      <c r="AD105" s="1" t="s">
        <v>1478</v>
      </c>
      <c r="AE105" s="1" t="s">
        <v>325</v>
      </c>
      <c r="AF105" s="1" t="s">
        <v>1479</v>
      </c>
      <c r="AH105" s="1">
        <v>9000.0</v>
      </c>
      <c r="AK105" s="1">
        <v>8.0</v>
      </c>
      <c r="AL105" s="1">
        <v>4.0</v>
      </c>
      <c r="AM105" s="1">
        <v>2.0</v>
      </c>
      <c r="AN105" s="1">
        <v>0.0</v>
      </c>
      <c r="AO105" s="1" t="s">
        <v>229</v>
      </c>
      <c r="AQ105" s="1" t="s">
        <v>198</v>
      </c>
      <c r="AR105" s="1" t="s">
        <v>200</v>
      </c>
      <c r="AS105" s="1" t="s">
        <v>199</v>
      </c>
      <c r="AT105" s="1">
        <v>2.0</v>
      </c>
      <c r="AV105" s="1" t="s">
        <v>200</v>
      </c>
      <c r="AW105" s="1">
        <v>5485.02</v>
      </c>
      <c r="AX105" s="1">
        <v>2013.0</v>
      </c>
      <c r="AY105" s="1" t="s">
        <v>387</v>
      </c>
      <c r="AZ105" s="1" t="s">
        <v>545</v>
      </c>
      <c r="BA105" s="1" t="str">
        <f>"1106402013"</f>
        <v>1106402013</v>
      </c>
      <c r="BC105" s="1">
        <v>1716.0</v>
      </c>
      <c r="BD105" s="1">
        <v>164900.0</v>
      </c>
      <c r="BE105" s="2">
        <v>41942.0</v>
      </c>
      <c r="BF105" s="1" t="s">
        <v>2272</v>
      </c>
      <c r="BH105" s="1">
        <v>0.0</v>
      </c>
      <c r="BK105" s="1" t="s">
        <v>204</v>
      </c>
      <c r="BL105" s="1" t="str">
        <f t="shared" ref="BL105:BM105" si="69">""</f>
        <v/>
      </c>
      <c r="BM105" s="1" t="str">
        <f t="shared" si="69"/>
        <v/>
      </c>
      <c r="BQ105" s="1">
        <v>302.0</v>
      </c>
      <c r="BR105" s="1">
        <v>302.0</v>
      </c>
      <c r="BS105" s="1">
        <v>302.0</v>
      </c>
      <c r="BU105" s="1" t="s">
        <v>1395</v>
      </c>
      <c r="BV105" s="1" t="s">
        <v>206</v>
      </c>
      <c r="BY105" s="1" t="s">
        <v>662</v>
      </c>
      <c r="BZ105" s="1" t="s">
        <v>209</v>
      </c>
      <c r="CC105" s="1" t="s">
        <v>1395</v>
      </c>
      <c r="CD105" s="1" t="s">
        <v>206</v>
      </c>
      <c r="CG105" s="1" t="s">
        <v>815</v>
      </c>
      <c r="CH105" s="1" t="s">
        <v>209</v>
      </c>
      <c r="CK105" s="1" t="s">
        <v>815</v>
      </c>
      <c r="CL105" s="1" t="s">
        <v>209</v>
      </c>
      <c r="CO105" s="1" t="s">
        <v>1760</v>
      </c>
      <c r="CP105" s="1" t="s">
        <v>206</v>
      </c>
      <c r="CS105" s="1" t="s">
        <v>2273</v>
      </c>
      <c r="CT105" s="1" t="s">
        <v>206</v>
      </c>
      <c r="CW105" s="1" t="s">
        <v>2274</v>
      </c>
      <c r="CX105" s="1" t="s">
        <v>42</v>
      </c>
      <c r="DA105" s="1" t="s">
        <v>200</v>
      </c>
      <c r="DC105" s="1" t="s">
        <v>305</v>
      </c>
      <c r="DE105" s="1" t="s">
        <v>273</v>
      </c>
      <c r="DF105" s="1" t="s">
        <v>2275</v>
      </c>
      <c r="DH105" s="1" t="s">
        <v>220</v>
      </c>
      <c r="DJ105" s="1" t="s">
        <v>222</v>
      </c>
      <c r="DL105" s="1" t="s">
        <v>224</v>
      </c>
      <c r="DM105" s="1" t="s">
        <v>229</v>
      </c>
      <c r="DQ105" s="1" t="s">
        <v>228</v>
      </c>
      <c r="DR105" s="1" t="s">
        <v>229</v>
      </c>
      <c r="DV105" s="1" t="s">
        <v>232</v>
      </c>
      <c r="DW105" s="1" t="s">
        <v>964</v>
      </c>
      <c r="DX105" s="1" t="s">
        <v>234</v>
      </c>
      <c r="DZ105" s="1" t="s">
        <v>282</v>
      </c>
      <c r="EA105" s="1" t="s">
        <v>1075</v>
      </c>
      <c r="EC105" s="1" t="s">
        <v>237</v>
      </c>
      <c r="EM105" s="1" t="s">
        <v>238</v>
      </c>
      <c r="EQ105" s="1" t="s">
        <v>238</v>
      </c>
      <c r="EU105" s="1" t="s">
        <v>238</v>
      </c>
      <c r="EY105" s="1" t="s">
        <v>238</v>
      </c>
      <c r="FC105" s="1" t="s">
        <v>238</v>
      </c>
      <c r="FF105" s="1" t="s">
        <v>239</v>
      </c>
      <c r="FG105" s="1" t="s">
        <v>192</v>
      </c>
      <c r="FH105" s="1" t="s">
        <v>192</v>
      </c>
      <c r="FJ105" s="1" t="s">
        <v>2276</v>
      </c>
      <c r="FK105" s="1" t="s">
        <v>229</v>
      </c>
      <c r="FL105" s="1" t="s">
        <v>893</v>
      </c>
      <c r="FM105" s="1">
        <v>604.0</v>
      </c>
      <c r="FN105" s="1" t="s">
        <v>894</v>
      </c>
      <c r="FO105" s="1" t="s">
        <v>895</v>
      </c>
      <c r="FP105" s="1">
        <v>381.0</v>
      </c>
      <c r="FQ105" s="1" t="s">
        <v>896</v>
      </c>
      <c r="FU105" s="1" t="s">
        <v>897</v>
      </c>
      <c r="FV105" s="1" t="s">
        <v>200</v>
      </c>
      <c r="FW105" s="1" t="s">
        <v>290</v>
      </c>
      <c r="FZ105" s="1" t="s">
        <v>229</v>
      </c>
      <c r="GA105" s="1" t="s">
        <v>291</v>
      </c>
      <c r="GB105" s="2">
        <v>42062.0</v>
      </c>
      <c r="GC105" s="1" t="s">
        <v>2277</v>
      </c>
    </row>
    <row r="106">
      <c r="A106" s="1">
        <v>283000.0</v>
      </c>
      <c r="B106" s="1" t="s">
        <v>185</v>
      </c>
      <c r="C106" s="1" t="str">
        <f>"08761247"</f>
        <v>08761247</v>
      </c>
      <c r="D106" s="1" t="s">
        <v>186</v>
      </c>
      <c r="F106" s="1" t="str">
        <f>"8021"</f>
        <v>8021</v>
      </c>
      <c r="G106" s="2">
        <v>41936.0</v>
      </c>
      <c r="H106" s="1">
        <v>289900.0</v>
      </c>
      <c r="I106" s="1">
        <v>14.0</v>
      </c>
      <c r="J106" s="1">
        <v>289900.0</v>
      </c>
      <c r="K106" s="2">
        <v>41949.0</v>
      </c>
      <c r="L106" s="1">
        <v>14.0</v>
      </c>
      <c r="M106" s="2">
        <v>41949.0</v>
      </c>
      <c r="N106" s="1" t="s">
        <v>187</v>
      </c>
      <c r="O106" s="2">
        <v>41985.0</v>
      </c>
      <c r="P106" s="1">
        <v>185386.0</v>
      </c>
      <c r="Q106" s="1">
        <v>10115.0</v>
      </c>
      <c r="R106" s="1">
        <v>9160.0</v>
      </c>
      <c r="S106" s="1">
        <v>3812.0</v>
      </c>
      <c r="T106" s="1" t="s">
        <v>2278</v>
      </c>
      <c r="U106" s="1" t="s">
        <v>320</v>
      </c>
      <c r="V106" s="1" t="s">
        <v>190</v>
      </c>
      <c r="W106" s="1">
        <v>60618.0</v>
      </c>
      <c r="Y106" s="1" t="s">
        <v>2279</v>
      </c>
      <c r="Z106" s="1">
        <v>1959.0</v>
      </c>
      <c r="AA106" s="1" t="s">
        <v>192</v>
      </c>
      <c r="AB106" s="1" t="s">
        <v>193</v>
      </c>
      <c r="AD106" s="1" t="s">
        <v>194</v>
      </c>
      <c r="AE106" s="1" t="s">
        <v>195</v>
      </c>
      <c r="AF106" s="1" t="s">
        <v>196</v>
      </c>
      <c r="AH106" s="1" t="s">
        <v>741</v>
      </c>
      <c r="AI106" s="1">
        <v>0.0717</v>
      </c>
      <c r="AK106" s="1">
        <v>8.0</v>
      </c>
      <c r="AL106" s="1">
        <v>3.0</v>
      </c>
      <c r="AM106" s="1">
        <v>2.0</v>
      </c>
      <c r="AN106" s="1">
        <v>0.0</v>
      </c>
      <c r="AO106" s="1" t="s">
        <v>229</v>
      </c>
      <c r="AQ106" s="1" t="s">
        <v>198</v>
      </c>
      <c r="AR106" s="1" t="s">
        <v>192</v>
      </c>
      <c r="AS106" s="1" t="s">
        <v>199</v>
      </c>
      <c r="AT106" s="1">
        <v>2.0</v>
      </c>
      <c r="AV106" s="1" t="s">
        <v>200</v>
      </c>
      <c r="AW106" s="1">
        <v>3575.0</v>
      </c>
      <c r="AX106" s="1">
        <v>2013.0</v>
      </c>
      <c r="AZ106" s="1" t="s">
        <v>200</v>
      </c>
      <c r="BA106" s="1" t="str">
        <f>"13261210230000"</f>
        <v>13261210230000</v>
      </c>
      <c r="BC106" s="1">
        <v>0.0</v>
      </c>
      <c r="BD106" s="1">
        <v>283000.0</v>
      </c>
      <c r="BE106" s="2">
        <v>41936.0</v>
      </c>
      <c r="BF106" s="2" t="s">
        <v>2280</v>
      </c>
      <c r="BH106" s="1">
        <v>0.0</v>
      </c>
      <c r="BK106" s="1" t="s">
        <v>204</v>
      </c>
      <c r="BL106" s="1" t="str">
        <f>"2900"</f>
        <v>2900</v>
      </c>
      <c r="BM106" s="1" t="str">
        <f t="shared" ref="BM106:BM107" si="70">"0"</f>
        <v>0</v>
      </c>
      <c r="BN106" s="1">
        <v>3812.0</v>
      </c>
      <c r="BO106" s="1">
        <v>0.0</v>
      </c>
      <c r="BQ106" s="1">
        <v>299.0</v>
      </c>
      <c r="BR106" s="1">
        <v>299.0</v>
      </c>
      <c r="BS106" s="1">
        <v>299.0</v>
      </c>
      <c r="BU106" s="1" t="s">
        <v>1426</v>
      </c>
      <c r="BV106" s="1" t="s">
        <v>206</v>
      </c>
      <c r="BW106" s="1" t="s">
        <v>207</v>
      </c>
      <c r="BY106" s="1" t="s">
        <v>497</v>
      </c>
      <c r="BZ106" s="1" t="s">
        <v>206</v>
      </c>
      <c r="CA106" s="1" t="s">
        <v>207</v>
      </c>
      <c r="CC106" s="1" t="s">
        <v>542</v>
      </c>
      <c r="CD106" s="1" t="s">
        <v>206</v>
      </c>
      <c r="CE106" s="1" t="s">
        <v>207</v>
      </c>
      <c r="CG106" s="1" t="s">
        <v>1119</v>
      </c>
      <c r="CH106" s="1" t="s">
        <v>206</v>
      </c>
      <c r="CI106" s="1" t="s">
        <v>207</v>
      </c>
      <c r="CK106" s="1" t="s">
        <v>816</v>
      </c>
      <c r="CL106" s="1" t="s">
        <v>206</v>
      </c>
      <c r="CM106" s="1" t="s">
        <v>207</v>
      </c>
      <c r="CO106" s="1" t="s">
        <v>262</v>
      </c>
      <c r="CP106" s="1" t="s">
        <v>42</v>
      </c>
      <c r="CQ106" s="1" t="s">
        <v>268</v>
      </c>
      <c r="CS106" s="1" t="s">
        <v>2281</v>
      </c>
      <c r="CT106" s="1" t="s">
        <v>206</v>
      </c>
      <c r="CU106" s="1" t="s">
        <v>268</v>
      </c>
      <c r="CW106" s="1" t="s">
        <v>2282</v>
      </c>
      <c r="CX106" s="1" t="s">
        <v>42</v>
      </c>
      <c r="CY106" s="1" t="s">
        <v>268</v>
      </c>
      <c r="DA106" s="1" t="s">
        <v>200</v>
      </c>
      <c r="DC106" s="1" t="s">
        <v>271</v>
      </c>
      <c r="DD106" s="1" t="s">
        <v>518</v>
      </c>
      <c r="DE106" s="1" t="s">
        <v>273</v>
      </c>
      <c r="DF106" s="1" t="s">
        <v>219</v>
      </c>
      <c r="DG106" s="1" t="s">
        <v>2283</v>
      </c>
      <c r="DH106" s="1" t="s">
        <v>365</v>
      </c>
      <c r="DI106" s="1" t="s">
        <v>703</v>
      </c>
      <c r="DJ106" s="1" t="s">
        <v>222</v>
      </c>
      <c r="DK106" s="1" t="s">
        <v>223</v>
      </c>
      <c r="DL106" s="1" t="s">
        <v>224</v>
      </c>
      <c r="DM106" s="1" t="s">
        <v>229</v>
      </c>
      <c r="DN106" s="1" t="s">
        <v>666</v>
      </c>
      <c r="DP106" s="1" t="s">
        <v>276</v>
      </c>
      <c r="DQ106" s="1" t="s">
        <v>718</v>
      </c>
      <c r="DR106" s="1" t="s">
        <v>229</v>
      </c>
      <c r="DS106" s="1" t="s">
        <v>230</v>
      </c>
      <c r="DV106" s="1" t="s">
        <v>232</v>
      </c>
      <c r="DW106" s="1" t="s">
        <v>2284</v>
      </c>
      <c r="DX106" s="1" t="s">
        <v>234</v>
      </c>
      <c r="DY106" s="1" t="s">
        <v>704</v>
      </c>
      <c r="DZ106" s="1" t="s">
        <v>1661</v>
      </c>
      <c r="EC106" s="1" t="s">
        <v>685</v>
      </c>
      <c r="EE106" s="1" t="s">
        <v>1077</v>
      </c>
      <c r="EM106" s="1" t="s">
        <v>238</v>
      </c>
      <c r="EQ106" s="1" t="s">
        <v>238</v>
      </c>
      <c r="EU106" s="1" t="s">
        <v>238</v>
      </c>
      <c r="EY106" s="1" t="s">
        <v>238</v>
      </c>
      <c r="FC106" s="1" t="s">
        <v>238</v>
      </c>
      <c r="FF106" s="1" t="s">
        <v>239</v>
      </c>
      <c r="FG106" s="1" t="s">
        <v>192</v>
      </c>
      <c r="FH106" s="1" t="s">
        <v>192</v>
      </c>
      <c r="FJ106" s="1" t="s">
        <v>2285</v>
      </c>
      <c r="FK106" s="1" t="s">
        <v>229</v>
      </c>
      <c r="FL106" s="1" t="s">
        <v>1358</v>
      </c>
      <c r="FM106" s="1">
        <v>10115.0</v>
      </c>
      <c r="FN106" s="1" t="s">
        <v>2286</v>
      </c>
      <c r="FO106" s="1" t="s">
        <v>2287</v>
      </c>
      <c r="FP106" s="1">
        <v>113435.0</v>
      </c>
      <c r="FQ106" s="1" t="s">
        <v>2288</v>
      </c>
      <c r="FU106" s="1" t="s">
        <v>2289</v>
      </c>
      <c r="FV106" s="1" t="s">
        <v>200</v>
      </c>
      <c r="FW106" s="1" t="s">
        <v>567</v>
      </c>
      <c r="FX106" s="1" t="s">
        <v>246</v>
      </c>
      <c r="FZ106" s="1" t="s">
        <v>229</v>
      </c>
      <c r="GA106" s="1" t="s">
        <v>291</v>
      </c>
      <c r="GB106" s="2">
        <v>41985.0</v>
      </c>
      <c r="GC106" s="1" t="s">
        <v>2290</v>
      </c>
    </row>
    <row r="107">
      <c r="A107" s="1">
        <v>330000.0</v>
      </c>
      <c r="B107" s="1" t="s">
        <v>185</v>
      </c>
      <c r="C107" s="1" t="str">
        <f>"08768229"</f>
        <v>08768229</v>
      </c>
      <c r="D107" s="1" t="s">
        <v>186</v>
      </c>
      <c r="F107" s="1" t="str">
        <f>"10"</f>
        <v>10</v>
      </c>
      <c r="G107" s="2">
        <v>41947.0</v>
      </c>
      <c r="H107" s="1">
        <v>375000.0</v>
      </c>
      <c r="I107" s="1">
        <v>115.0</v>
      </c>
      <c r="J107" s="1">
        <v>350000.0</v>
      </c>
      <c r="K107" s="2">
        <v>42061.0</v>
      </c>
      <c r="L107" s="1">
        <v>115.0</v>
      </c>
      <c r="M107" s="2">
        <v>42061.0</v>
      </c>
      <c r="N107" s="1" t="s">
        <v>187</v>
      </c>
      <c r="O107" s="2">
        <v>42121.0</v>
      </c>
      <c r="P107" s="1">
        <v>62531.0</v>
      </c>
      <c r="Q107" s="1">
        <v>4777.0</v>
      </c>
      <c r="S107" s="1">
        <v>25080.0</v>
      </c>
      <c r="T107" s="1" t="s">
        <v>2291</v>
      </c>
      <c r="U107" s="1" t="s">
        <v>464</v>
      </c>
      <c r="V107" s="1" t="s">
        <v>2004</v>
      </c>
      <c r="W107" s="1">
        <v>60010.0</v>
      </c>
      <c r="Y107" s="1" t="s">
        <v>2292</v>
      </c>
      <c r="Z107" s="1">
        <v>1970.0</v>
      </c>
      <c r="AA107" s="1" t="s">
        <v>192</v>
      </c>
      <c r="AB107" s="1" t="s">
        <v>193</v>
      </c>
      <c r="AC107" s="1" t="s">
        <v>2293</v>
      </c>
      <c r="AD107" s="1" t="s">
        <v>2007</v>
      </c>
      <c r="AE107" s="1" t="s">
        <v>917</v>
      </c>
      <c r="AF107" s="1" t="s">
        <v>2008</v>
      </c>
      <c r="AG107" s="1" t="s">
        <v>752</v>
      </c>
      <c r="AH107" s="1" t="s">
        <v>2294</v>
      </c>
      <c r="AI107" s="1">
        <v>0.9727</v>
      </c>
      <c r="AK107" s="1">
        <v>9.0</v>
      </c>
      <c r="AL107" s="1">
        <v>4.0</v>
      </c>
      <c r="AM107" s="1">
        <v>2.0</v>
      </c>
      <c r="AN107" s="1">
        <v>1.0</v>
      </c>
      <c r="AO107" s="1" t="s">
        <v>198</v>
      </c>
      <c r="AP107" s="1">
        <v>1.0</v>
      </c>
      <c r="AQ107" s="1" t="s">
        <v>198</v>
      </c>
      <c r="AR107" s="1" t="s">
        <v>200</v>
      </c>
      <c r="AS107" s="1" t="s">
        <v>199</v>
      </c>
      <c r="AT107" s="1">
        <v>2.0</v>
      </c>
      <c r="AV107" s="1" t="s">
        <v>200</v>
      </c>
      <c r="AW107" s="1">
        <v>7721.16</v>
      </c>
      <c r="AX107" s="1">
        <v>2013.0</v>
      </c>
      <c r="AY107" s="1" t="s">
        <v>387</v>
      </c>
      <c r="AZ107" s="1" t="s">
        <v>200</v>
      </c>
      <c r="BA107" s="1" t="str">
        <f>"13013010180000"</f>
        <v>13013010180000</v>
      </c>
      <c r="BC107" s="1">
        <v>2231.0</v>
      </c>
      <c r="BD107" s="1">
        <v>330000.0</v>
      </c>
      <c r="BE107" s="2">
        <v>41947.0</v>
      </c>
      <c r="BF107" s="2" t="s">
        <v>2295</v>
      </c>
      <c r="BG107" s="1" t="s">
        <v>2011</v>
      </c>
      <c r="BH107" s="1">
        <v>0.0</v>
      </c>
      <c r="BI107" s="1" t="s">
        <v>2012</v>
      </c>
      <c r="BJ107" s="1" t="s">
        <v>1714</v>
      </c>
      <c r="BK107" s="1" t="s">
        <v>204</v>
      </c>
      <c r="BL107" s="1" t="str">
        <f>"25"</f>
        <v>25</v>
      </c>
      <c r="BM107" s="1" t="str">
        <f t="shared" si="70"/>
        <v>0</v>
      </c>
      <c r="BN107" s="1">
        <v>25.0</v>
      </c>
      <c r="BO107" s="1">
        <v>0.0</v>
      </c>
      <c r="BQ107" s="1">
        <v>220.0</v>
      </c>
      <c r="BR107" s="1">
        <v>220.0</v>
      </c>
      <c r="BS107" s="1">
        <v>220.0</v>
      </c>
      <c r="BU107" s="1" t="s">
        <v>515</v>
      </c>
      <c r="BV107" s="1" t="s">
        <v>206</v>
      </c>
      <c r="BW107" s="1" t="s">
        <v>207</v>
      </c>
      <c r="BX107" s="1" t="s">
        <v>1549</v>
      </c>
      <c r="BY107" s="1" t="s">
        <v>616</v>
      </c>
      <c r="BZ107" s="1" t="s">
        <v>209</v>
      </c>
      <c r="CA107" s="1" t="s">
        <v>207</v>
      </c>
      <c r="CB107" s="1" t="s">
        <v>431</v>
      </c>
      <c r="CC107" s="1" t="s">
        <v>331</v>
      </c>
      <c r="CD107" s="1" t="s">
        <v>206</v>
      </c>
      <c r="CE107" s="1" t="s">
        <v>207</v>
      </c>
      <c r="CF107" s="1" t="s">
        <v>1549</v>
      </c>
      <c r="CG107" s="1" t="s">
        <v>730</v>
      </c>
      <c r="CH107" s="1" t="s">
        <v>209</v>
      </c>
      <c r="CI107" s="1" t="s">
        <v>207</v>
      </c>
      <c r="CJ107" s="1" t="s">
        <v>431</v>
      </c>
      <c r="CK107" s="1" t="s">
        <v>262</v>
      </c>
      <c r="CL107" s="1" t="s">
        <v>209</v>
      </c>
      <c r="CM107" s="1" t="s">
        <v>207</v>
      </c>
      <c r="CN107" s="1" t="s">
        <v>431</v>
      </c>
      <c r="CO107" s="1" t="s">
        <v>332</v>
      </c>
      <c r="CP107" s="1" t="s">
        <v>209</v>
      </c>
      <c r="CQ107" s="1" t="s">
        <v>210</v>
      </c>
      <c r="CR107" s="1" t="s">
        <v>431</v>
      </c>
      <c r="CS107" s="1" t="s">
        <v>497</v>
      </c>
      <c r="CT107" s="1" t="s">
        <v>206</v>
      </c>
      <c r="CU107" s="1" t="s">
        <v>268</v>
      </c>
      <c r="CV107" s="1" t="s">
        <v>431</v>
      </c>
      <c r="CW107" s="1" t="s">
        <v>333</v>
      </c>
      <c r="CX107" s="1" t="s">
        <v>206</v>
      </c>
      <c r="CY107" s="1" t="s">
        <v>210</v>
      </c>
      <c r="CZ107" s="1" t="s">
        <v>431</v>
      </c>
      <c r="DA107" s="1" t="s">
        <v>200</v>
      </c>
      <c r="DC107" s="1" t="s">
        <v>517</v>
      </c>
      <c r="DD107" s="1" t="s">
        <v>396</v>
      </c>
      <c r="DE107" s="1" t="s">
        <v>273</v>
      </c>
      <c r="DF107" s="1" t="s">
        <v>219</v>
      </c>
      <c r="DG107" s="1" t="s">
        <v>1553</v>
      </c>
      <c r="DH107" s="1" t="s">
        <v>856</v>
      </c>
      <c r="DI107" s="1" t="s">
        <v>221</v>
      </c>
      <c r="DJ107" s="1" t="s">
        <v>857</v>
      </c>
      <c r="DL107" s="1" t="s">
        <v>223</v>
      </c>
      <c r="DM107" s="1" t="s">
        <v>338</v>
      </c>
      <c r="DN107" s="1" t="s">
        <v>2296</v>
      </c>
      <c r="DO107" s="1" t="s">
        <v>2297</v>
      </c>
      <c r="DP107" s="1" t="s">
        <v>340</v>
      </c>
      <c r="DQ107" s="1" t="s">
        <v>1557</v>
      </c>
      <c r="DR107" s="1" t="s">
        <v>229</v>
      </c>
      <c r="DS107" s="1" t="s">
        <v>230</v>
      </c>
      <c r="DU107" s="1" t="s">
        <v>1637</v>
      </c>
      <c r="DV107" s="1" t="s">
        <v>449</v>
      </c>
      <c r="DW107" s="1" t="s">
        <v>764</v>
      </c>
      <c r="DX107" s="1" t="s">
        <v>1287</v>
      </c>
      <c r="DY107" s="1" t="s">
        <v>1051</v>
      </c>
      <c r="DZ107" s="1" t="s">
        <v>491</v>
      </c>
      <c r="EA107" s="1" t="s">
        <v>447</v>
      </c>
      <c r="EB107" s="1" t="s">
        <v>345</v>
      </c>
      <c r="EC107" s="1" t="s">
        <v>237</v>
      </c>
      <c r="ED107" s="1" t="s">
        <v>407</v>
      </c>
      <c r="EG107" s="1" t="s">
        <v>449</v>
      </c>
      <c r="EL107" s="1" t="s">
        <v>266</v>
      </c>
      <c r="EM107" s="1" t="s">
        <v>206</v>
      </c>
      <c r="EN107" s="1" t="s">
        <v>268</v>
      </c>
      <c r="EO107" s="1" t="s">
        <v>431</v>
      </c>
      <c r="EQ107" s="1" t="s">
        <v>238</v>
      </c>
      <c r="EU107" s="1" t="s">
        <v>238</v>
      </c>
      <c r="EY107" s="1" t="s">
        <v>238</v>
      </c>
      <c r="FC107" s="1" t="s">
        <v>238</v>
      </c>
      <c r="FF107" s="1" t="s">
        <v>239</v>
      </c>
      <c r="FG107" s="1" t="s">
        <v>192</v>
      </c>
      <c r="FH107" s="1" t="s">
        <v>192</v>
      </c>
      <c r="FJ107" s="1" t="s">
        <v>2298</v>
      </c>
      <c r="FK107" s="1" t="s">
        <v>229</v>
      </c>
      <c r="FL107" s="1" t="s">
        <v>2299</v>
      </c>
      <c r="FM107" s="1">
        <v>4240.0</v>
      </c>
      <c r="FN107" s="1" t="s">
        <v>2300</v>
      </c>
      <c r="FO107" s="1" t="s">
        <v>2301</v>
      </c>
      <c r="FP107" s="1">
        <v>33784.0</v>
      </c>
      <c r="FQ107" s="1" t="s">
        <v>2302</v>
      </c>
      <c r="FS107" s="1" t="s">
        <v>2303</v>
      </c>
      <c r="FU107" s="1" t="s">
        <v>2304</v>
      </c>
      <c r="FV107" s="1" t="s">
        <v>200</v>
      </c>
      <c r="FW107" s="1" t="s">
        <v>290</v>
      </c>
      <c r="FX107" s="1" t="s">
        <v>238</v>
      </c>
      <c r="FZ107" s="1" t="s">
        <v>229</v>
      </c>
      <c r="GA107" s="1" t="s">
        <v>291</v>
      </c>
      <c r="GB107" s="2">
        <v>42122.0</v>
      </c>
      <c r="GC107" s="1" t="s">
        <v>2305</v>
      </c>
    </row>
    <row r="108">
      <c r="A108" s="1">
        <v>140000.0</v>
      </c>
      <c r="B108" s="1" t="s">
        <v>185</v>
      </c>
      <c r="C108" s="1" t="str">
        <f>"08762880"</f>
        <v>08762880</v>
      </c>
      <c r="D108" s="1" t="s">
        <v>186</v>
      </c>
      <c r="F108" s="1" t="str">
        <f>"538"</f>
        <v>538</v>
      </c>
      <c r="G108" s="2">
        <v>41939.0</v>
      </c>
      <c r="H108" s="1">
        <v>147000.0</v>
      </c>
      <c r="I108" s="1">
        <v>91.0</v>
      </c>
      <c r="J108" s="1">
        <v>139900.0</v>
      </c>
      <c r="K108" s="2">
        <v>42029.0</v>
      </c>
      <c r="L108" s="1">
        <v>91.0</v>
      </c>
      <c r="M108" s="2">
        <v>42029.0</v>
      </c>
      <c r="N108" s="1" t="s">
        <v>356</v>
      </c>
      <c r="O108" s="2">
        <v>42093.0</v>
      </c>
      <c r="P108" s="1">
        <v>300079.0</v>
      </c>
      <c r="Q108" s="1">
        <v>31580.0</v>
      </c>
      <c r="R108" s="1">
        <v>4200.0</v>
      </c>
      <c r="S108" s="1">
        <v>162.0</v>
      </c>
      <c r="T108" s="1" t="s">
        <v>2306</v>
      </c>
      <c r="U108" s="1" t="s">
        <v>464</v>
      </c>
      <c r="V108" s="1" t="s">
        <v>1340</v>
      </c>
      <c r="W108" s="1">
        <v>60538.0</v>
      </c>
      <c r="Y108" s="1" t="s">
        <v>2307</v>
      </c>
      <c r="Z108" s="1">
        <v>1974.0</v>
      </c>
      <c r="AA108" s="1" t="s">
        <v>192</v>
      </c>
      <c r="AB108" s="1" t="s">
        <v>193</v>
      </c>
      <c r="AC108" s="1" t="s">
        <v>2308</v>
      </c>
      <c r="AD108" s="1" t="s">
        <v>1089</v>
      </c>
      <c r="AE108" s="1" t="s">
        <v>849</v>
      </c>
      <c r="AF108" s="1" t="s">
        <v>1529</v>
      </c>
      <c r="AH108" s="1" t="s">
        <v>2309</v>
      </c>
      <c r="AI108" s="1">
        <v>0.1148</v>
      </c>
      <c r="AK108" s="1">
        <v>6.0</v>
      </c>
      <c r="AL108" s="1">
        <v>4.0</v>
      </c>
      <c r="AM108" s="1">
        <v>1.0</v>
      </c>
      <c r="AN108" s="1">
        <v>0.0</v>
      </c>
      <c r="AO108" s="1" t="s">
        <v>229</v>
      </c>
      <c r="AQ108" s="1" t="s">
        <v>229</v>
      </c>
      <c r="AS108" s="1" t="s">
        <v>199</v>
      </c>
      <c r="AT108" s="1">
        <v>1.0</v>
      </c>
      <c r="AV108" s="1" t="s">
        <v>200</v>
      </c>
      <c r="AW108" s="1">
        <v>3636.3</v>
      </c>
      <c r="AX108" s="1">
        <v>2013.0</v>
      </c>
      <c r="AY108" s="1" t="s">
        <v>229</v>
      </c>
      <c r="AZ108" s="1" t="s">
        <v>545</v>
      </c>
      <c r="BA108" s="1" t="str">
        <f>"0304430007"</f>
        <v>0304430007</v>
      </c>
      <c r="BB108" s="1" t="s">
        <v>200</v>
      </c>
      <c r="BC108" s="1">
        <v>1232.0</v>
      </c>
      <c r="BD108" s="1">
        <v>140000.0</v>
      </c>
      <c r="BE108" s="2">
        <v>41939.0</v>
      </c>
      <c r="BF108" s="2" t="s">
        <v>2310</v>
      </c>
      <c r="BH108" s="1">
        <v>0.0</v>
      </c>
      <c r="BK108" s="1" t="s">
        <v>204</v>
      </c>
      <c r="BL108" s="1" t="str">
        <f t="shared" ref="BL108:BM108" si="71">"0"</f>
        <v>0</v>
      </c>
      <c r="BM108" s="1" t="str">
        <f t="shared" si="71"/>
        <v>0</v>
      </c>
      <c r="BN108" s="1">
        <v>36.0</v>
      </c>
      <c r="BO108" s="1">
        <v>10.0</v>
      </c>
      <c r="BQ108" s="1">
        <v>308.0</v>
      </c>
      <c r="BR108" s="1">
        <v>308.0</v>
      </c>
      <c r="BS108" s="1">
        <v>308.0</v>
      </c>
      <c r="BU108" s="1" t="s">
        <v>1426</v>
      </c>
      <c r="BV108" s="1" t="s">
        <v>206</v>
      </c>
      <c r="BW108" s="1" t="s">
        <v>301</v>
      </c>
      <c r="BX108" s="1" t="s">
        <v>229</v>
      </c>
      <c r="BY108" s="1" t="s">
        <v>497</v>
      </c>
      <c r="BZ108" s="1" t="s">
        <v>206</v>
      </c>
      <c r="CA108" s="1" t="s">
        <v>210</v>
      </c>
      <c r="CB108" s="1" t="s">
        <v>229</v>
      </c>
      <c r="CD108" s="1" t="s">
        <v>204</v>
      </c>
      <c r="CF108" s="1" t="s">
        <v>229</v>
      </c>
      <c r="CG108" s="1" t="s">
        <v>497</v>
      </c>
      <c r="CH108" s="1" t="s">
        <v>206</v>
      </c>
      <c r="CI108" s="1" t="s">
        <v>210</v>
      </c>
      <c r="CJ108" s="1" t="s">
        <v>229</v>
      </c>
      <c r="CK108" s="1" t="s">
        <v>269</v>
      </c>
      <c r="CL108" s="1" t="s">
        <v>206</v>
      </c>
      <c r="CM108" s="1" t="s">
        <v>210</v>
      </c>
      <c r="CN108" s="1" t="s">
        <v>229</v>
      </c>
      <c r="CO108" s="1" t="s">
        <v>269</v>
      </c>
      <c r="CP108" s="1" t="s">
        <v>206</v>
      </c>
      <c r="CQ108" s="1" t="s">
        <v>210</v>
      </c>
      <c r="CR108" s="1" t="s">
        <v>229</v>
      </c>
      <c r="CS108" s="1" t="s">
        <v>214</v>
      </c>
      <c r="CT108" s="1" t="s">
        <v>206</v>
      </c>
      <c r="CU108" s="1" t="s">
        <v>301</v>
      </c>
      <c r="CV108" s="1" t="s">
        <v>229</v>
      </c>
      <c r="CX108" s="1" t="s">
        <v>204</v>
      </c>
      <c r="DA108" s="1" t="s">
        <v>200</v>
      </c>
      <c r="DC108" s="1" t="s">
        <v>395</v>
      </c>
      <c r="DD108" s="1" t="s">
        <v>396</v>
      </c>
      <c r="DE108" s="1" t="s">
        <v>273</v>
      </c>
      <c r="DF108" s="1" t="s">
        <v>219</v>
      </c>
      <c r="DG108" s="1" t="s">
        <v>2311</v>
      </c>
      <c r="DH108" s="1" t="s">
        <v>220</v>
      </c>
      <c r="DI108" s="1" t="s">
        <v>221</v>
      </c>
      <c r="DJ108" s="1" t="s">
        <v>222</v>
      </c>
      <c r="DK108" s="1" t="s">
        <v>2312</v>
      </c>
      <c r="DL108" s="1" t="s">
        <v>520</v>
      </c>
      <c r="DM108" s="1" t="s">
        <v>338</v>
      </c>
      <c r="DO108" s="1" t="s">
        <v>549</v>
      </c>
      <c r="DQ108" s="1" t="s">
        <v>228</v>
      </c>
      <c r="DR108" s="1" t="s">
        <v>229</v>
      </c>
      <c r="DS108" s="1" t="s">
        <v>401</v>
      </c>
      <c r="DU108" s="1" t="s">
        <v>681</v>
      </c>
      <c r="DV108" s="1" t="s">
        <v>2313</v>
      </c>
      <c r="DW108" s="1" t="s">
        <v>588</v>
      </c>
      <c r="DX108" s="1" t="s">
        <v>234</v>
      </c>
      <c r="DY108" s="1" t="s">
        <v>2314</v>
      </c>
      <c r="EA108" s="1" t="s">
        <v>683</v>
      </c>
      <c r="EC108" s="1" t="s">
        <v>685</v>
      </c>
      <c r="EG108" s="1" t="s">
        <v>2313</v>
      </c>
      <c r="EL108" s="1" t="s">
        <v>410</v>
      </c>
      <c r="EM108" s="1" t="s">
        <v>206</v>
      </c>
      <c r="EN108" s="1" t="s">
        <v>268</v>
      </c>
      <c r="EO108" s="1" t="s">
        <v>229</v>
      </c>
      <c r="EQ108" s="1" t="s">
        <v>238</v>
      </c>
      <c r="EU108" s="1" t="s">
        <v>238</v>
      </c>
      <c r="EY108" s="1" t="s">
        <v>238</v>
      </c>
      <c r="FC108" s="1" t="s">
        <v>238</v>
      </c>
      <c r="FF108" s="1" t="s">
        <v>239</v>
      </c>
      <c r="FG108" s="1" t="s">
        <v>192</v>
      </c>
      <c r="FH108" s="1" t="s">
        <v>192</v>
      </c>
      <c r="FJ108" s="1" t="s">
        <v>285</v>
      </c>
      <c r="FK108" s="1" t="s">
        <v>348</v>
      </c>
      <c r="FL108" s="1" t="s">
        <v>2315</v>
      </c>
      <c r="FM108" s="1">
        <v>304.0</v>
      </c>
      <c r="FN108" s="1" t="s">
        <v>2316</v>
      </c>
      <c r="FO108" s="1" t="s">
        <v>2317</v>
      </c>
      <c r="FP108" s="1">
        <v>310613.0</v>
      </c>
      <c r="FQ108" s="1" t="s">
        <v>2318</v>
      </c>
      <c r="FU108" s="1" t="s">
        <v>2319</v>
      </c>
      <c r="FV108" s="1" t="s">
        <v>200</v>
      </c>
      <c r="FW108" s="1" t="s">
        <v>1411</v>
      </c>
      <c r="FZ108" s="1" t="s">
        <v>229</v>
      </c>
      <c r="GA108" s="1" t="s">
        <v>247</v>
      </c>
      <c r="GB108" s="2">
        <v>42093.0</v>
      </c>
      <c r="GC108" s="1" t="s">
        <v>2320</v>
      </c>
    </row>
    <row r="109">
      <c r="A109" s="1">
        <v>545000.0</v>
      </c>
      <c r="B109" s="1" t="s">
        <v>185</v>
      </c>
      <c r="C109" s="1" t="str">
        <f>"08765147"</f>
        <v>08765147</v>
      </c>
      <c r="D109" s="1" t="s">
        <v>186</v>
      </c>
      <c r="F109" s="1" t="str">
        <f>"8077"</f>
        <v>8077</v>
      </c>
      <c r="G109" s="2">
        <v>41942.0</v>
      </c>
      <c r="H109" s="1">
        <v>549000.0</v>
      </c>
      <c r="I109" s="1">
        <v>60.0</v>
      </c>
      <c r="J109" s="1">
        <v>549000.0</v>
      </c>
      <c r="K109" s="2">
        <v>41948.0</v>
      </c>
      <c r="L109" s="1">
        <v>7.0</v>
      </c>
      <c r="M109" s="2">
        <v>41948.0</v>
      </c>
      <c r="N109" s="1" t="s">
        <v>187</v>
      </c>
      <c r="O109" s="2">
        <v>41978.0</v>
      </c>
      <c r="P109" s="1">
        <v>108007.0</v>
      </c>
      <c r="Q109" s="1">
        <v>10988.0</v>
      </c>
      <c r="S109" s="1">
        <v>1502.0</v>
      </c>
      <c r="T109" s="1" t="s">
        <v>2321</v>
      </c>
      <c r="U109" s="1" t="s">
        <v>189</v>
      </c>
      <c r="V109" s="1" t="s">
        <v>190</v>
      </c>
      <c r="W109" s="1">
        <v>60660.0</v>
      </c>
      <c r="Y109" s="1" t="s">
        <v>2322</v>
      </c>
      <c r="Z109" s="1">
        <v>1896.0</v>
      </c>
      <c r="AA109" s="1" t="s">
        <v>192</v>
      </c>
      <c r="AB109" s="1" t="s">
        <v>193</v>
      </c>
      <c r="AD109" s="1" t="s">
        <v>194</v>
      </c>
      <c r="AE109" s="1" t="s">
        <v>195</v>
      </c>
      <c r="AF109" s="1" t="s">
        <v>2323</v>
      </c>
      <c r="AH109" s="1" t="s">
        <v>2324</v>
      </c>
      <c r="AI109" s="1">
        <v>0.0649</v>
      </c>
      <c r="AK109" s="1">
        <v>9.0</v>
      </c>
      <c r="AL109" s="1">
        <v>4.0</v>
      </c>
      <c r="AM109" s="1">
        <v>3.0</v>
      </c>
      <c r="AN109" s="1">
        <v>2.0</v>
      </c>
      <c r="AO109" s="1" t="s">
        <v>198</v>
      </c>
      <c r="AP109" s="1">
        <v>1.0</v>
      </c>
      <c r="AQ109" s="1" t="s">
        <v>198</v>
      </c>
      <c r="AR109" s="1" t="s">
        <v>192</v>
      </c>
      <c r="AS109" s="1" t="s">
        <v>199</v>
      </c>
      <c r="AT109" s="1">
        <v>2.0</v>
      </c>
      <c r="AV109" s="1" t="s">
        <v>200</v>
      </c>
      <c r="AW109" s="1">
        <v>6208.03</v>
      </c>
      <c r="AX109" s="1">
        <v>2013.0</v>
      </c>
      <c r="AY109" s="1" t="s">
        <v>387</v>
      </c>
      <c r="AZ109" s="1" t="s">
        <v>200</v>
      </c>
      <c r="BA109" s="1" t="str">
        <f>"14051000420000"</f>
        <v>14051000420000</v>
      </c>
      <c r="BC109" s="1">
        <v>0.0</v>
      </c>
      <c r="BD109" s="1">
        <v>545000.0</v>
      </c>
      <c r="BE109" s="2">
        <v>41942.0</v>
      </c>
      <c r="BF109" s="2" t="s">
        <v>2325</v>
      </c>
      <c r="BG109" s="1" t="s">
        <v>2326</v>
      </c>
      <c r="BH109" s="1">
        <v>0.0</v>
      </c>
      <c r="BJ109" s="1" t="s">
        <v>2327</v>
      </c>
      <c r="BK109" s="1" t="s">
        <v>204</v>
      </c>
      <c r="BL109" s="1" t="str">
        <f>"6350"</f>
        <v>6350</v>
      </c>
      <c r="BM109" s="1" t="str">
        <f>"0"</f>
        <v>0</v>
      </c>
      <c r="BN109" s="1">
        <v>1500.0</v>
      </c>
      <c r="BO109" s="1">
        <v>0.0</v>
      </c>
      <c r="BQ109" s="1">
        <v>299.0</v>
      </c>
      <c r="BR109" s="1">
        <v>299.0</v>
      </c>
      <c r="BS109" s="1">
        <v>299.0</v>
      </c>
      <c r="BU109" s="1" t="s">
        <v>1892</v>
      </c>
      <c r="BV109" s="1" t="s">
        <v>206</v>
      </c>
      <c r="BW109" s="1" t="s">
        <v>207</v>
      </c>
      <c r="BX109" s="1" t="s">
        <v>431</v>
      </c>
      <c r="BY109" s="1" t="s">
        <v>332</v>
      </c>
      <c r="BZ109" s="1" t="s">
        <v>209</v>
      </c>
      <c r="CA109" s="1" t="s">
        <v>207</v>
      </c>
      <c r="CC109" s="1" t="s">
        <v>212</v>
      </c>
      <c r="CD109" s="1" t="s">
        <v>206</v>
      </c>
      <c r="CE109" s="1" t="s">
        <v>207</v>
      </c>
      <c r="CF109" s="1" t="s">
        <v>431</v>
      </c>
      <c r="CG109" s="1" t="s">
        <v>332</v>
      </c>
      <c r="CH109" s="1" t="s">
        <v>209</v>
      </c>
      <c r="CI109" s="1" t="s">
        <v>210</v>
      </c>
      <c r="CJ109" s="1" t="s">
        <v>261</v>
      </c>
      <c r="CK109" s="1" t="s">
        <v>215</v>
      </c>
      <c r="CL109" s="1" t="s">
        <v>209</v>
      </c>
      <c r="CM109" s="1" t="s">
        <v>210</v>
      </c>
      <c r="CN109" s="1" t="s">
        <v>261</v>
      </c>
      <c r="CO109" s="1" t="s">
        <v>1891</v>
      </c>
      <c r="CP109" s="1" t="s">
        <v>391</v>
      </c>
      <c r="CQ109" s="1" t="s">
        <v>210</v>
      </c>
      <c r="CR109" s="1" t="s">
        <v>431</v>
      </c>
      <c r="CS109" s="1" t="s">
        <v>363</v>
      </c>
      <c r="CT109" s="1" t="s">
        <v>206</v>
      </c>
      <c r="CU109" s="1" t="s">
        <v>207</v>
      </c>
      <c r="CV109" s="1" t="s">
        <v>431</v>
      </c>
      <c r="CW109" s="1" t="s">
        <v>1892</v>
      </c>
      <c r="CX109" s="1" t="s">
        <v>42</v>
      </c>
      <c r="CY109" s="1" t="s">
        <v>301</v>
      </c>
      <c r="DA109" s="1" t="s">
        <v>200</v>
      </c>
      <c r="DC109" s="1" t="s">
        <v>642</v>
      </c>
      <c r="DD109" s="1" t="s">
        <v>436</v>
      </c>
      <c r="DE109" s="1" t="s">
        <v>1810</v>
      </c>
      <c r="DF109" s="1" t="s">
        <v>2328</v>
      </c>
      <c r="DG109" s="1" t="s">
        <v>1657</v>
      </c>
      <c r="DH109" s="1" t="s">
        <v>365</v>
      </c>
      <c r="DI109" s="1" t="s">
        <v>2329</v>
      </c>
      <c r="DJ109" s="1" t="s">
        <v>222</v>
      </c>
      <c r="DL109" s="1" t="s">
        <v>1161</v>
      </c>
      <c r="DM109" s="1" t="s">
        <v>1464</v>
      </c>
      <c r="DN109" s="1" t="s">
        <v>2330</v>
      </c>
      <c r="DO109" s="1" t="s">
        <v>549</v>
      </c>
      <c r="DP109" s="1" t="s">
        <v>340</v>
      </c>
      <c r="DQ109" s="1" t="s">
        <v>228</v>
      </c>
      <c r="DR109" s="1" t="s">
        <v>229</v>
      </c>
      <c r="DV109" s="1" t="s">
        <v>2331</v>
      </c>
      <c r="DW109" s="1" t="s">
        <v>2332</v>
      </c>
      <c r="DX109" s="1" t="s">
        <v>2333</v>
      </c>
      <c r="DY109" s="1" t="s">
        <v>235</v>
      </c>
      <c r="DZ109" s="1" t="s">
        <v>310</v>
      </c>
      <c r="EA109" s="1" t="s">
        <v>588</v>
      </c>
      <c r="EC109" s="1" t="s">
        <v>406</v>
      </c>
      <c r="ED109" s="1" t="s">
        <v>555</v>
      </c>
      <c r="EG109" s="1" t="s">
        <v>450</v>
      </c>
      <c r="EH109" s="1" t="s">
        <v>408</v>
      </c>
      <c r="EI109" s="1" t="s">
        <v>1270</v>
      </c>
      <c r="EJ109" s="1" t="s">
        <v>1103</v>
      </c>
      <c r="EK109" s="1" t="s">
        <v>409</v>
      </c>
      <c r="EL109" s="1" t="s">
        <v>1534</v>
      </c>
      <c r="EM109" s="1" t="s">
        <v>42</v>
      </c>
      <c r="EN109" s="1" t="s">
        <v>301</v>
      </c>
      <c r="EP109" s="1" t="s">
        <v>2334</v>
      </c>
      <c r="EQ109" s="1" t="s">
        <v>206</v>
      </c>
      <c r="ER109" s="1" t="s">
        <v>268</v>
      </c>
      <c r="ET109" s="1" t="s">
        <v>2335</v>
      </c>
      <c r="EU109" s="1" t="s">
        <v>42</v>
      </c>
      <c r="EX109" s="1" t="s">
        <v>2336</v>
      </c>
      <c r="EY109" s="1" t="s">
        <v>42</v>
      </c>
      <c r="EZ109" s="1" t="s">
        <v>588</v>
      </c>
      <c r="FB109" s="1" t="s">
        <v>2337</v>
      </c>
      <c r="FC109" s="1" t="s">
        <v>209</v>
      </c>
      <c r="FF109" s="1" t="s">
        <v>239</v>
      </c>
      <c r="FG109" s="1" t="s">
        <v>192</v>
      </c>
      <c r="FH109" s="1" t="s">
        <v>192</v>
      </c>
      <c r="FJ109" s="1" t="s">
        <v>2338</v>
      </c>
      <c r="FK109" s="1" t="s">
        <v>229</v>
      </c>
      <c r="FL109" s="1" t="s">
        <v>562</v>
      </c>
      <c r="FM109" s="1">
        <v>16379.0</v>
      </c>
      <c r="FN109" s="1" t="s">
        <v>563</v>
      </c>
      <c r="FO109" s="1" t="s">
        <v>2339</v>
      </c>
      <c r="FP109" s="1">
        <v>167228.0</v>
      </c>
      <c r="FQ109" s="1" t="s">
        <v>2340</v>
      </c>
      <c r="FS109" s="1" t="s">
        <v>2341</v>
      </c>
      <c r="FU109" s="1" t="s">
        <v>2342</v>
      </c>
      <c r="FV109" s="1" t="s">
        <v>200</v>
      </c>
      <c r="FW109" s="1" t="s">
        <v>290</v>
      </c>
      <c r="FX109" s="1" t="s">
        <v>246</v>
      </c>
      <c r="FZ109" s="1" t="s">
        <v>229</v>
      </c>
      <c r="GA109" s="1" t="s">
        <v>291</v>
      </c>
      <c r="GB109" s="2">
        <v>41978.0</v>
      </c>
    </row>
    <row r="110">
      <c r="A110" s="1">
        <v>270000.0</v>
      </c>
      <c r="B110" s="1" t="s">
        <v>185</v>
      </c>
      <c r="C110" s="1" t="str">
        <f>"08771493"</f>
        <v>08771493</v>
      </c>
      <c r="D110" s="1" t="s">
        <v>186</v>
      </c>
      <c r="F110" s="1" t="str">
        <f>"656"</f>
        <v>656</v>
      </c>
      <c r="G110" s="2">
        <v>41950.0</v>
      </c>
      <c r="H110" s="1">
        <v>279900.0</v>
      </c>
      <c r="I110" s="1">
        <v>126.0</v>
      </c>
      <c r="J110" s="1">
        <v>279900.0</v>
      </c>
      <c r="K110" s="2">
        <v>42075.0</v>
      </c>
      <c r="L110" s="1">
        <v>126.0</v>
      </c>
      <c r="M110" s="2">
        <v>42075.0</v>
      </c>
      <c r="N110" s="1" t="s">
        <v>187</v>
      </c>
      <c r="O110" s="2">
        <v>42109.0</v>
      </c>
      <c r="P110" s="1">
        <v>40044.0</v>
      </c>
      <c r="Q110" s="1">
        <v>4573.0</v>
      </c>
      <c r="S110" s="1">
        <v>4718.0</v>
      </c>
      <c r="T110" s="1" t="s">
        <v>2343</v>
      </c>
      <c r="U110" s="1" t="s">
        <v>189</v>
      </c>
      <c r="V110" s="1" t="s">
        <v>2344</v>
      </c>
      <c r="W110" s="1">
        <v>60706.0</v>
      </c>
      <c r="Y110" s="1" t="s">
        <v>2345</v>
      </c>
      <c r="Z110" s="1">
        <v>1949.0</v>
      </c>
      <c r="AA110" s="1" t="s">
        <v>192</v>
      </c>
      <c r="AB110" s="1" t="s">
        <v>193</v>
      </c>
      <c r="AD110" s="1" t="s">
        <v>2346</v>
      </c>
      <c r="AE110" s="1" t="s">
        <v>195</v>
      </c>
      <c r="AF110" s="1" t="s">
        <v>2347</v>
      </c>
      <c r="AH110" s="1" t="s">
        <v>2348</v>
      </c>
      <c r="AI110" s="1">
        <v>0.1317</v>
      </c>
      <c r="AK110" s="1">
        <v>8.0</v>
      </c>
      <c r="AL110" s="1">
        <v>4.0</v>
      </c>
      <c r="AM110" s="1">
        <v>1.0</v>
      </c>
      <c r="AN110" s="1">
        <v>1.0</v>
      </c>
      <c r="AO110" s="1" t="s">
        <v>229</v>
      </c>
      <c r="AQ110" s="1" t="s">
        <v>198</v>
      </c>
      <c r="AR110" s="1" t="s">
        <v>200</v>
      </c>
      <c r="AS110" s="1" t="s">
        <v>199</v>
      </c>
      <c r="AT110" s="1">
        <v>2.0</v>
      </c>
      <c r="AV110" s="1" t="s">
        <v>200</v>
      </c>
      <c r="AW110" s="1">
        <v>2219.0</v>
      </c>
      <c r="AX110" s="1">
        <v>2013.0</v>
      </c>
      <c r="AY110" s="1" t="s">
        <v>2349</v>
      </c>
      <c r="AZ110" s="1" t="s">
        <v>200</v>
      </c>
      <c r="BA110" s="1" t="str">
        <f>"13171000650000"</f>
        <v>13171000650000</v>
      </c>
      <c r="BC110" s="1">
        <v>1515.0</v>
      </c>
      <c r="BD110" s="1">
        <v>270000.0</v>
      </c>
      <c r="BE110" s="2">
        <v>41950.0</v>
      </c>
      <c r="BF110" s="2" t="s">
        <v>2350</v>
      </c>
      <c r="BG110" s="1" t="s">
        <v>2351</v>
      </c>
      <c r="BH110" s="1">
        <v>0.0</v>
      </c>
      <c r="BI110" s="1" t="s">
        <v>2351</v>
      </c>
      <c r="BJ110" s="1" t="s">
        <v>2352</v>
      </c>
      <c r="BK110" s="1" t="s">
        <v>204</v>
      </c>
      <c r="BL110" s="1" t="str">
        <f t="shared" ref="BL110:BM110" si="72">""</f>
        <v/>
      </c>
      <c r="BM110" s="1" t="str">
        <f t="shared" si="72"/>
        <v/>
      </c>
      <c r="BQ110" s="1">
        <v>86.0</v>
      </c>
      <c r="BR110" s="1">
        <v>234.0</v>
      </c>
      <c r="BS110" s="1">
        <v>86.0</v>
      </c>
      <c r="BU110" s="1" t="s">
        <v>639</v>
      </c>
      <c r="BV110" s="1" t="s">
        <v>206</v>
      </c>
      <c r="BW110" s="1" t="s">
        <v>207</v>
      </c>
      <c r="BX110" s="1" t="s">
        <v>1549</v>
      </c>
      <c r="BY110" s="1" t="s">
        <v>497</v>
      </c>
      <c r="BZ110" s="1" t="s">
        <v>206</v>
      </c>
      <c r="CA110" s="1" t="s">
        <v>207</v>
      </c>
      <c r="CB110" s="1" t="s">
        <v>229</v>
      </c>
      <c r="CC110" s="1" t="s">
        <v>542</v>
      </c>
      <c r="CD110" s="1" t="s">
        <v>206</v>
      </c>
      <c r="CE110" s="1" t="s">
        <v>207</v>
      </c>
      <c r="CF110" s="1" t="s">
        <v>1549</v>
      </c>
      <c r="CG110" s="1" t="s">
        <v>264</v>
      </c>
      <c r="CH110" s="1" t="s">
        <v>206</v>
      </c>
      <c r="CI110" s="1" t="s">
        <v>207</v>
      </c>
      <c r="CJ110" s="1" t="s">
        <v>431</v>
      </c>
      <c r="CK110" s="1" t="s">
        <v>452</v>
      </c>
      <c r="CL110" s="1" t="s">
        <v>209</v>
      </c>
      <c r="CM110" s="1" t="s">
        <v>210</v>
      </c>
      <c r="CN110" s="1" t="s">
        <v>431</v>
      </c>
      <c r="CO110" s="1" t="s">
        <v>1939</v>
      </c>
      <c r="CP110" s="1" t="s">
        <v>209</v>
      </c>
      <c r="CQ110" s="1" t="s">
        <v>210</v>
      </c>
      <c r="CR110" s="1" t="s">
        <v>431</v>
      </c>
      <c r="CS110" s="1" t="s">
        <v>647</v>
      </c>
      <c r="CT110" s="1" t="s">
        <v>206</v>
      </c>
      <c r="CU110" s="1" t="s">
        <v>268</v>
      </c>
      <c r="CV110" s="1" t="s">
        <v>431</v>
      </c>
      <c r="CW110" s="1" t="s">
        <v>616</v>
      </c>
      <c r="CX110" s="1" t="s">
        <v>206</v>
      </c>
      <c r="CY110" s="1" t="s">
        <v>210</v>
      </c>
      <c r="CZ110" s="1" t="s">
        <v>431</v>
      </c>
      <c r="DA110" s="1" t="s">
        <v>200</v>
      </c>
      <c r="DC110" s="1" t="s">
        <v>702</v>
      </c>
      <c r="DD110" s="1" t="s">
        <v>518</v>
      </c>
      <c r="DE110" s="1" t="s">
        <v>273</v>
      </c>
      <c r="DF110" s="1" t="s">
        <v>619</v>
      </c>
      <c r="DG110" s="1" t="s">
        <v>482</v>
      </c>
      <c r="DH110" s="1" t="s">
        <v>365</v>
      </c>
      <c r="DI110" s="1" t="s">
        <v>2353</v>
      </c>
      <c r="DJ110" s="1" t="s">
        <v>222</v>
      </c>
      <c r="DL110" s="1" t="s">
        <v>224</v>
      </c>
      <c r="DM110" s="1" t="s">
        <v>229</v>
      </c>
      <c r="DP110" s="1" t="s">
        <v>276</v>
      </c>
      <c r="DQ110" s="1" t="s">
        <v>228</v>
      </c>
      <c r="DR110" s="1" t="s">
        <v>229</v>
      </c>
      <c r="DS110" s="1" t="s">
        <v>401</v>
      </c>
      <c r="DU110" s="1" t="s">
        <v>1162</v>
      </c>
      <c r="DV110" s="1" t="s">
        <v>232</v>
      </c>
      <c r="DW110" s="1" t="s">
        <v>279</v>
      </c>
      <c r="DX110" s="1" t="s">
        <v>234</v>
      </c>
      <c r="DY110" s="1" t="s">
        <v>553</v>
      </c>
      <c r="EA110" s="1" t="s">
        <v>257</v>
      </c>
      <c r="EC110" s="1" t="s">
        <v>645</v>
      </c>
      <c r="ED110" s="1" t="s">
        <v>407</v>
      </c>
      <c r="EM110" s="1" t="s">
        <v>238</v>
      </c>
      <c r="EQ110" s="1" t="s">
        <v>238</v>
      </c>
      <c r="EU110" s="1" t="s">
        <v>238</v>
      </c>
      <c r="EY110" s="1" t="s">
        <v>238</v>
      </c>
      <c r="FC110" s="1" t="s">
        <v>238</v>
      </c>
      <c r="FF110" s="1" t="s">
        <v>239</v>
      </c>
      <c r="FG110" s="1" t="s">
        <v>192</v>
      </c>
      <c r="FH110" s="1" t="s">
        <v>192</v>
      </c>
      <c r="FJ110" s="1" t="s">
        <v>1450</v>
      </c>
      <c r="FK110" s="1" t="s">
        <v>229</v>
      </c>
      <c r="FL110" s="1" t="s">
        <v>2354</v>
      </c>
      <c r="FM110" s="1">
        <v>1855.0</v>
      </c>
      <c r="FN110" s="1" t="s">
        <v>2355</v>
      </c>
      <c r="FO110" s="1" t="s">
        <v>2356</v>
      </c>
      <c r="FP110" s="1">
        <v>83648.0</v>
      </c>
      <c r="FQ110" s="1" t="s">
        <v>2357</v>
      </c>
      <c r="FU110" s="1" t="s">
        <v>2358</v>
      </c>
      <c r="FV110" s="1" t="s">
        <v>200</v>
      </c>
      <c r="FW110" s="1" t="s">
        <v>530</v>
      </c>
      <c r="FX110" s="1" t="s">
        <v>238</v>
      </c>
      <c r="FZ110" s="1" t="s">
        <v>229</v>
      </c>
      <c r="GA110" s="1" t="s">
        <v>291</v>
      </c>
      <c r="GB110" s="2">
        <v>42109.0</v>
      </c>
      <c r="GC110" s="1" t="s">
        <v>2359</v>
      </c>
    </row>
    <row r="111">
      <c r="A111" s="1">
        <v>579500.0</v>
      </c>
      <c r="B111" s="1" t="s">
        <v>185</v>
      </c>
      <c r="C111" s="1" t="str">
        <f>"08759824"</f>
        <v>08759824</v>
      </c>
      <c r="D111" s="1" t="s">
        <v>186</v>
      </c>
      <c r="F111" s="1" t="str">
        <f>"8012"</f>
        <v>8012</v>
      </c>
      <c r="G111" s="2">
        <v>41935.0</v>
      </c>
      <c r="H111" s="1">
        <v>624900.0</v>
      </c>
      <c r="I111" s="1">
        <v>153.0</v>
      </c>
      <c r="J111" s="1">
        <v>599000.0</v>
      </c>
      <c r="K111" s="2">
        <v>42035.0</v>
      </c>
      <c r="L111" s="1">
        <v>101.0</v>
      </c>
      <c r="M111" s="2">
        <v>42035.0</v>
      </c>
      <c r="N111" s="1" t="s">
        <v>187</v>
      </c>
      <c r="O111" s="2">
        <v>42090.0</v>
      </c>
      <c r="P111" s="1">
        <v>156802.0</v>
      </c>
      <c r="Q111" s="1">
        <v>85774.0</v>
      </c>
      <c r="S111" s="1">
        <v>7125.0</v>
      </c>
      <c r="T111" s="1" t="s">
        <v>2360</v>
      </c>
      <c r="U111" s="1" t="s">
        <v>189</v>
      </c>
      <c r="V111" s="1" t="s">
        <v>190</v>
      </c>
      <c r="W111" s="1">
        <v>60646.0</v>
      </c>
      <c r="Y111" s="1" t="s">
        <v>2361</v>
      </c>
      <c r="Z111" s="1">
        <v>1950.0</v>
      </c>
      <c r="AA111" s="1" t="s">
        <v>192</v>
      </c>
      <c r="AB111" s="1" t="s">
        <v>193</v>
      </c>
      <c r="AD111" s="1" t="s">
        <v>194</v>
      </c>
      <c r="AE111" s="1" t="s">
        <v>195</v>
      </c>
      <c r="AF111" s="1" t="s">
        <v>196</v>
      </c>
      <c r="AH111" s="1" t="s">
        <v>2362</v>
      </c>
      <c r="AI111" s="1">
        <v>0.1271</v>
      </c>
      <c r="AK111" s="1">
        <v>11.0</v>
      </c>
      <c r="AL111" s="1">
        <v>4.0</v>
      </c>
      <c r="AM111" s="1">
        <v>3.0</v>
      </c>
      <c r="AN111" s="1">
        <v>1.0</v>
      </c>
      <c r="AO111" s="1" t="s">
        <v>198</v>
      </c>
      <c r="AQ111" s="1" t="s">
        <v>198</v>
      </c>
      <c r="AR111" s="1" t="s">
        <v>192</v>
      </c>
      <c r="AS111" s="1" t="s">
        <v>199</v>
      </c>
      <c r="AT111" s="1">
        <v>2.0</v>
      </c>
      <c r="AV111" s="1" t="s">
        <v>200</v>
      </c>
      <c r="AW111" s="1">
        <v>6704.8</v>
      </c>
      <c r="AX111" s="1">
        <v>2012.0</v>
      </c>
      <c r="AZ111" s="1" t="s">
        <v>200</v>
      </c>
      <c r="BA111" s="1" t="str">
        <f>"10321020450000"</f>
        <v>10321020450000</v>
      </c>
      <c r="BC111" s="1">
        <v>2400.0</v>
      </c>
      <c r="BD111" s="1">
        <v>579500.0</v>
      </c>
      <c r="BE111" s="2">
        <v>41935.0</v>
      </c>
      <c r="BF111" s="2" t="s">
        <v>2363</v>
      </c>
      <c r="BG111" s="1" t="s">
        <v>2364</v>
      </c>
      <c r="BH111" s="1">
        <v>0.0</v>
      </c>
      <c r="BJ111" s="1" t="s">
        <v>1222</v>
      </c>
      <c r="BK111" s="1" t="s">
        <v>204</v>
      </c>
      <c r="BL111" s="1" t="str">
        <f>"7125"</f>
        <v>7125</v>
      </c>
      <c r="BM111" s="1" t="str">
        <f>"0"</f>
        <v>0</v>
      </c>
      <c r="BN111" s="1">
        <v>6300.0</v>
      </c>
      <c r="BO111" s="1">
        <v>0.0</v>
      </c>
      <c r="BQ111" s="1">
        <v>299.0</v>
      </c>
      <c r="BR111" s="1">
        <v>299.0</v>
      </c>
      <c r="BS111" s="1">
        <v>299.0</v>
      </c>
      <c r="BU111" s="1" t="s">
        <v>2365</v>
      </c>
      <c r="BV111" s="1" t="s">
        <v>206</v>
      </c>
      <c r="BW111" s="1" t="s">
        <v>207</v>
      </c>
      <c r="BY111" s="1" t="s">
        <v>329</v>
      </c>
      <c r="BZ111" s="1" t="s">
        <v>209</v>
      </c>
      <c r="CA111" s="1" t="s">
        <v>210</v>
      </c>
      <c r="CC111" s="1" t="s">
        <v>264</v>
      </c>
      <c r="CD111" s="1" t="s">
        <v>206</v>
      </c>
      <c r="CE111" s="1" t="s">
        <v>207</v>
      </c>
      <c r="CG111" s="1" t="s">
        <v>213</v>
      </c>
      <c r="CH111" s="1" t="s">
        <v>209</v>
      </c>
      <c r="CI111" s="1" t="s">
        <v>210</v>
      </c>
      <c r="CK111" s="1" t="s">
        <v>363</v>
      </c>
      <c r="CL111" s="1" t="s">
        <v>209</v>
      </c>
      <c r="CM111" s="1" t="s">
        <v>210</v>
      </c>
      <c r="CO111" s="1" t="s">
        <v>543</v>
      </c>
      <c r="CP111" s="1" t="s">
        <v>209</v>
      </c>
      <c r="CQ111" s="1" t="s">
        <v>210</v>
      </c>
      <c r="CS111" s="1" t="s">
        <v>392</v>
      </c>
      <c r="CT111" s="1" t="s">
        <v>206</v>
      </c>
      <c r="CU111" s="1" t="s">
        <v>207</v>
      </c>
      <c r="CW111" s="1" t="s">
        <v>582</v>
      </c>
      <c r="CX111" s="1" t="s">
        <v>206</v>
      </c>
      <c r="CY111" s="1" t="s">
        <v>207</v>
      </c>
      <c r="DA111" s="1" t="s">
        <v>200</v>
      </c>
      <c r="DC111" s="1" t="s">
        <v>702</v>
      </c>
      <c r="DE111" s="1" t="s">
        <v>273</v>
      </c>
      <c r="DF111" s="1" t="s">
        <v>219</v>
      </c>
      <c r="DH111" s="1" t="s">
        <v>365</v>
      </c>
      <c r="DJ111" s="1" t="s">
        <v>222</v>
      </c>
      <c r="DL111" s="1" t="s">
        <v>224</v>
      </c>
      <c r="DM111" s="1" t="s">
        <v>229</v>
      </c>
      <c r="DP111" s="1" t="s">
        <v>340</v>
      </c>
      <c r="DQ111" s="1" t="s">
        <v>228</v>
      </c>
      <c r="DR111" s="1" t="s">
        <v>229</v>
      </c>
      <c r="DV111" s="1" t="s">
        <v>2366</v>
      </c>
      <c r="DW111" s="1" t="s">
        <v>1820</v>
      </c>
      <c r="DX111" s="1" t="s">
        <v>234</v>
      </c>
      <c r="EC111" s="1" t="s">
        <v>406</v>
      </c>
      <c r="EG111" s="1" t="s">
        <v>598</v>
      </c>
      <c r="EH111" s="1" t="s">
        <v>494</v>
      </c>
      <c r="EI111" s="1" t="s">
        <v>450</v>
      </c>
      <c r="EL111" s="1" t="s">
        <v>1874</v>
      </c>
      <c r="EM111" s="1" t="s">
        <v>209</v>
      </c>
      <c r="EN111" s="1" t="s">
        <v>210</v>
      </c>
      <c r="EP111" s="1" t="s">
        <v>2367</v>
      </c>
      <c r="EQ111" s="1" t="s">
        <v>206</v>
      </c>
      <c r="ER111" s="1" t="s">
        <v>207</v>
      </c>
      <c r="ET111" s="1" t="s">
        <v>2368</v>
      </c>
      <c r="EU111" s="1" t="s">
        <v>391</v>
      </c>
      <c r="EV111" s="1" t="s">
        <v>210</v>
      </c>
      <c r="EY111" s="1" t="s">
        <v>238</v>
      </c>
      <c r="FC111" s="1" t="s">
        <v>238</v>
      </c>
      <c r="FF111" s="1" t="s">
        <v>239</v>
      </c>
      <c r="FG111" s="1" t="s">
        <v>192</v>
      </c>
      <c r="FH111" s="1" t="s">
        <v>192</v>
      </c>
      <c r="FJ111" s="1" t="s">
        <v>799</v>
      </c>
      <c r="FK111" s="1" t="s">
        <v>229</v>
      </c>
      <c r="FL111" s="1" t="s">
        <v>562</v>
      </c>
      <c r="FM111" s="1">
        <v>85774.0</v>
      </c>
      <c r="FN111" s="1" t="s">
        <v>2369</v>
      </c>
      <c r="FO111" s="1" t="s">
        <v>2370</v>
      </c>
      <c r="FP111" s="1">
        <v>182174.0</v>
      </c>
      <c r="FQ111" s="1" t="s">
        <v>2371</v>
      </c>
      <c r="FU111" s="1" t="s">
        <v>2372</v>
      </c>
      <c r="FV111" s="1" t="s">
        <v>200</v>
      </c>
      <c r="FW111" s="1" t="s">
        <v>290</v>
      </c>
      <c r="FX111" s="1" t="s">
        <v>238</v>
      </c>
      <c r="FZ111" s="1" t="s">
        <v>229</v>
      </c>
      <c r="GA111" s="1" t="s">
        <v>291</v>
      </c>
      <c r="GB111" s="2">
        <v>42094.0</v>
      </c>
    </row>
    <row r="112">
      <c r="A112" s="1">
        <v>185000.0</v>
      </c>
      <c r="B112" s="1" t="s">
        <v>185</v>
      </c>
      <c r="C112" s="1" t="str">
        <f>"08759697"</f>
        <v>08759697</v>
      </c>
      <c r="D112" s="1" t="s">
        <v>186</v>
      </c>
      <c r="F112" s="1" t="str">
        <f t="shared" ref="F112:F113" si="74">"560"</f>
        <v>560</v>
      </c>
      <c r="G112" s="2">
        <v>41935.0</v>
      </c>
      <c r="H112" s="1">
        <v>249900.0</v>
      </c>
      <c r="I112" s="1">
        <v>112.0</v>
      </c>
      <c r="J112" s="1">
        <v>190000.0</v>
      </c>
      <c r="K112" s="2">
        <v>42046.0</v>
      </c>
      <c r="L112" s="1">
        <v>112.0</v>
      </c>
      <c r="M112" s="2">
        <v>42046.0</v>
      </c>
      <c r="N112" s="1" t="s">
        <v>187</v>
      </c>
      <c r="O112" s="2">
        <v>42082.0</v>
      </c>
      <c r="P112" s="1">
        <v>13.0</v>
      </c>
      <c r="Q112" s="1">
        <v>357.0</v>
      </c>
      <c r="R112" s="1">
        <v>5200.0</v>
      </c>
      <c r="S112" s="1">
        <v>891.0</v>
      </c>
      <c r="T112" s="1" t="s">
        <v>2373</v>
      </c>
      <c r="U112" s="1" t="s">
        <v>569</v>
      </c>
      <c r="V112" s="1" t="s">
        <v>845</v>
      </c>
      <c r="W112" s="1">
        <v>60560.0</v>
      </c>
      <c r="Y112" s="1" t="s">
        <v>2374</v>
      </c>
      <c r="Z112" s="1">
        <v>2007.0</v>
      </c>
      <c r="AA112" s="1" t="s">
        <v>200</v>
      </c>
      <c r="AB112" s="1" t="s">
        <v>467</v>
      </c>
      <c r="AC112" s="1" t="s">
        <v>2375</v>
      </c>
      <c r="AD112" s="1" t="s">
        <v>848</v>
      </c>
      <c r="AE112" s="1" t="s">
        <v>849</v>
      </c>
      <c r="AF112" s="1" t="s">
        <v>2153</v>
      </c>
      <c r="AG112" s="1" t="s">
        <v>2376</v>
      </c>
      <c r="AH112" s="1" t="s">
        <v>2377</v>
      </c>
      <c r="AI112" s="1">
        <v>0.0</v>
      </c>
      <c r="AK112" s="1">
        <v>10.0</v>
      </c>
      <c r="AL112" s="1">
        <v>4.0</v>
      </c>
      <c r="AM112" s="1">
        <v>2.0</v>
      </c>
      <c r="AN112" s="1">
        <v>1.0</v>
      </c>
      <c r="AO112" s="1" t="s">
        <v>198</v>
      </c>
      <c r="AP112" s="1">
        <v>1.0</v>
      </c>
      <c r="AQ112" s="1" t="s">
        <v>1314</v>
      </c>
      <c r="AR112" s="1" t="s">
        <v>200</v>
      </c>
      <c r="AS112" s="1" t="s">
        <v>199</v>
      </c>
      <c r="AT112" s="1">
        <v>2.0</v>
      </c>
      <c r="AV112" s="1" t="s">
        <v>200</v>
      </c>
      <c r="AW112" s="1">
        <v>8483.0</v>
      </c>
      <c r="AX112" s="1">
        <v>2012.0</v>
      </c>
      <c r="AZ112" s="1" t="s">
        <v>192</v>
      </c>
      <c r="BA112" s="1" t="str">
        <f>"0510101000"</f>
        <v>0510101000</v>
      </c>
      <c r="BB112" s="1" t="s">
        <v>200</v>
      </c>
      <c r="BC112" s="1">
        <v>2527.0</v>
      </c>
      <c r="BD112" s="1">
        <v>185000.0</v>
      </c>
      <c r="BE112" s="2">
        <v>41935.0</v>
      </c>
      <c r="BF112" s="2" t="s">
        <v>2378</v>
      </c>
      <c r="BH112" s="1">
        <v>155.0</v>
      </c>
      <c r="BK112" s="1" t="s">
        <v>1952</v>
      </c>
      <c r="BL112" s="1" t="str">
        <f t="shared" ref="BL112:BM112" si="73">"0"</f>
        <v>0</v>
      </c>
      <c r="BM112" s="1" t="str">
        <f t="shared" si="73"/>
        <v>0</v>
      </c>
      <c r="BN112" s="1">
        <v>0.0</v>
      </c>
      <c r="BO112" s="1">
        <v>0.0</v>
      </c>
      <c r="BQ112" s="1">
        <v>115.0</v>
      </c>
      <c r="BR112" s="1">
        <v>115.0</v>
      </c>
      <c r="BS112" s="1">
        <v>115.0</v>
      </c>
      <c r="BU112" s="1" t="s">
        <v>332</v>
      </c>
      <c r="BV112" s="1" t="s">
        <v>206</v>
      </c>
      <c r="BW112" s="1" t="s">
        <v>210</v>
      </c>
      <c r="BY112" s="1" t="s">
        <v>453</v>
      </c>
      <c r="BZ112" s="1" t="s">
        <v>209</v>
      </c>
      <c r="CA112" s="1" t="s">
        <v>210</v>
      </c>
      <c r="CC112" s="1" t="s">
        <v>332</v>
      </c>
      <c r="CD112" s="1" t="s">
        <v>206</v>
      </c>
      <c r="CE112" s="1" t="s">
        <v>210</v>
      </c>
      <c r="CG112" s="1" t="s">
        <v>332</v>
      </c>
      <c r="CH112" s="1" t="s">
        <v>206</v>
      </c>
      <c r="CI112" s="1" t="s">
        <v>210</v>
      </c>
      <c r="CK112" s="1" t="s">
        <v>433</v>
      </c>
      <c r="CL112" s="1" t="s">
        <v>209</v>
      </c>
      <c r="CM112" s="1" t="s">
        <v>210</v>
      </c>
      <c r="CO112" s="1" t="s">
        <v>264</v>
      </c>
      <c r="CP112" s="1" t="s">
        <v>209</v>
      </c>
      <c r="CQ112" s="1" t="s">
        <v>210</v>
      </c>
      <c r="CS112" s="1" t="s">
        <v>1298</v>
      </c>
      <c r="CT112" s="1" t="s">
        <v>206</v>
      </c>
      <c r="CU112" s="1" t="s">
        <v>207</v>
      </c>
      <c r="CW112" s="1" t="s">
        <v>480</v>
      </c>
      <c r="CX112" s="1" t="s">
        <v>206</v>
      </c>
      <c r="CY112" s="1" t="s">
        <v>210</v>
      </c>
      <c r="DA112" s="1" t="s">
        <v>200</v>
      </c>
      <c r="DC112" s="1" t="s">
        <v>481</v>
      </c>
      <c r="DD112" s="1" t="s">
        <v>336</v>
      </c>
      <c r="DE112" s="1" t="s">
        <v>273</v>
      </c>
      <c r="DF112" s="1" t="s">
        <v>219</v>
      </c>
      <c r="DG112" s="1" t="s">
        <v>2379</v>
      </c>
      <c r="DH112" s="1" t="s">
        <v>220</v>
      </c>
      <c r="DJ112" s="1" t="s">
        <v>222</v>
      </c>
      <c r="DL112" s="1" t="s">
        <v>223</v>
      </c>
      <c r="DM112" s="1" t="s">
        <v>229</v>
      </c>
      <c r="DN112" s="1" t="s">
        <v>548</v>
      </c>
      <c r="DP112" s="1" t="s">
        <v>2380</v>
      </c>
      <c r="DQ112" s="1" t="s">
        <v>441</v>
      </c>
      <c r="DR112" s="1" t="s">
        <v>1980</v>
      </c>
      <c r="DS112" s="1" t="s">
        <v>230</v>
      </c>
      <c r="DU112" s="1" t="s">
        <v>1355</v>
      </c>
      <c r="DV112" s="1" t="s">
        <v>2381</v>
      </c>
      <c r="DW112" s="1" t="s">
        <v>233</v>
      </c>
      <c r="DX112" s="1" t="s">
        <v>234</v>
      </c>
      <c r="DY112" s="1" t="s">
        <v>235</v>
      </c>
      <c r="EA112" s="1" t="s">
        <v>344</v>
      </c>
      <c r="EB112" s="1" t="s">
        <v>1639</v>
      </c>
      <c r="EC112" s="1" t="s">
        <v>237</v>
      </c>
      <c r="EG112" s="1" t="s">
        <v>494</v>
      </c>
      <c r="EH112" s="1" t="s">
        <v>556</v>
      </c>
      <c r="EL112" s="1" t="s">
        <v>264</v>
      </c>
      <c r="EM112" s="1" t="s">
        <v>206</v>
      </c>
      <c r="EN112" s="1" t="s">
        <v>210</v>
      </c>
      <c r="EP112" s="1" t="s">
        <v>814</v>
      </c>
      <c r="EQ112" s="1" t="s">
        <v>206</v>
      </c>
      <c r="ER112" s="1" t="s">
        <v>207</v>
      </c>
      <c r="EU112" s="1" t="s">
        <v>238</v>
      </c>
      <c r="EY112" s="1" t="s">
        <v>238</v>
      </c>
      <c r="FC112" s="1" t="s">
        <v>238</v>
      </c>
      <c r="FF112" s="1" t="s">
        <v>239</v>
      </c>
      <c r="FG112" s="1" t="s">
        <v>192</v>
      </c>
      <c r="FH112" s="1" t="s">
        <v>192</v>
      </c>
      <c r="FJ112" s="1" t="s">
        <v>347</v>
      </c>
      <c r="FK112" s="1" t="s">
        <v>229</v>
      </c>
      <c r="FL112" s="1" t="s">
        <v>2382</v>
      </c>
      <c r="FM112" s="1">
        <v>23842.0</v>
      </c>
      <c r="FN112" s="1" t="s">
        <v>2383</v>
      </c>
      <c r="FO112" s="1" t="s">
        <v>2384</v>
      </c>
      <c r="FP112" s="1">
        <v>217273.0</v>
      </c>
      <c r="FQ112" s="1" t="s">
        <v>2385</v>
      </c>
      <c r="FR112" s="1">
        <v>235676.0</v>
      </c>
      <c r="FU112" s="1" t="s">
        <v>1438</v>
      </c>
      <c r="FV112" s="1" t="s">
        <v>200</v>
      </c>
      <c r="FW112" s="1" t="s">
        <v>2386</v>
      </c>
      <c r="FZ112" s="1" t="s">
        <v>229</v>
      </c>
      <c r="GA112" s="1" t="s">
        <v>291</v>
      </c>
      <c r="GB112" s="2">
        <v>42082.0</v>
      </c>
      <c r="GC112" s="1" t="s">
        <v>2387</v>
      </c>
    </row>
    <row r="113">
      <c r="A113" s="1">
        <v>236280.0</v>
      </c>
      <c r="B113" s="1" t="s">
        <v>185</v>
      </c>
      <c r="C113" s="1" t="str">
        <f>"08759612"</f>
        <v>08759612</v>
      </c>
      <c r="D113" s="1" t="s">
        <v>186</v>
      </c>
      <c r="F113" s="1" t="str">
        <f t="shared" si="74"/>
        <v>560</v>
      </c>
      <c r="G113" s="2">
        <v>41935.0</v>
      </c>
      <c r="H113" s="1">
        <v>243781.0</v>
      </c>
      <c r="I113" s="1">
        <v>185.0</v>
      </c>
      <c r="J113" s="1">
        <v>243780.0</v>
      </c>
      <c r="K113" s="2">
        <v>41954.0</v>
      </c>
      <c r="L113" s="1">
        <v>20.0</v>
      </c>
      <c r="M113" s="2">
        <v>41954.0</v>
      </c>
      <c r="N113" s="1" t="s">
        <v>356</v>
      </c>
      <c r="O113" s="2">
        <v>42087.0</v>
      </c>
      <c r="P113" s="1">
        <v>213643.0</v>
      </c>
      <c r="Q113" s="1">
        <v>20199.0</v>
      </c>
      <c r="S113" s="1">
        <v>2461.0</v>
      </c>
      <c r="T113" s="1" t="s">
        <v>2388</v>
      </c>
      <c r="U113" s="1" t="s">
        <v>694</v>
      </c>
      <c r="V113" s="1" t="s">
        <v>845</v>
      </c>
      <c r="W113" s="1">
        <v>60560.0</v>
      </c>
      <c r="Y113" s="1" t="s">
        <v>2389</v>
      </c>
      <c r="Z113" s="1">
        <v>2014.0</v>
      </c>
      <c r="AA113" s="1" t="s">
        <v>200</v>
      </c>
      <c r="AB113" s="1" t="s">
        <v>467</v>
      </c>
      <c r="AC113" s="1" t="s">
        <v>1311</v>
      </c>
      <c r="AD113" s="1" t="s">
        <v>848</v>
      </c>
      <c r="AE113" s="1" t="s">
        <v>849</v>
      </c>
      <c r="AF113" s="1" t="s">
        <v>1312</v>
      </c>
      <c r="AG113" s="1" t="s">
        <v>2390</v>
      </c>
      <c r="AH113" s="1" t="s">
        <v>2391</v>
      </c>
      <c r="AK113" s="1">
        <v>11.0</v>
      </c>
      <c r="AL113" s="1">
        <v>4.0</v>
      </c>
      <c r="AM113" s="1">
        <v>2.0</v>
      </c>
      <c r="AN113" s="1">
        <v>1.0</v>
      </c>
      <c r="AO113" s="1" t="s">
        <v>198</v>
      </c>
      <c r="AQ113" s="1" t="s">
        <v>198</v>
      </c>
      <c r="AR113" s="1" t="s">
        <v>200</v>
      </c>
      <c r="AS113" s="1" t="s">
        <v>199</v>
      </c>
      <c r="AT113" s="1">
        <v>3.0</v>
      </c>
      <c r="AV113" s="1" t="s">
        <v>200</v>
      </c>
      <c r="AW113" s="1" t="s">
        <v>575</v>
      </c>
      <c r="AX113" s="1">
        <v>2013.0</v>
      </c>
      <c r="AY113" s="1" t="s">
        <v>229</v>
      </c>
      <c r="AZ113" s="1" t="s">
        <v>200</v>
      </c>
      <c r="BA113" s="1" t="str">
        <f>"0509182003"</f>
        <v>0509182003</v>
      </c>
      <c r="BB113" s="1" t="s">
        <v>200</v>
      </c>
      <c r="BC113" s="1">
        <v>2612.0</v>
      </c>
      <c r="BD113" s="1">
        <v>236280.0</v>
      </c>
      <c r="BE113" s="2">
        <v>41935.0</v>
      </c>
      <c r="BF113" s="2" t="s">
        <v>2392</v>
      </c>
      <c r="BH113" s="1">
        <v>375.0</v>
      </c>
      <c r="BK113" s="1" t="s">
        <v>580</v>
      </c>
      <c r="BL113" s="1" t="str">
        <f t="shared" ref="BL113:BM113" si="75">""</f>
        <v/>
      </c>
      <c r="BM113" s="1" t="str">
        <f t="shared" si="75"/>
        <v/>
      </c>
      <c r="BQ113" s="1">
        <v>115.0</v>
      </c>
      <c r="BR113" s="1">
        <v>115.0</v>
      </c>
      <c r="BS113" s="1">
        <v>115.0</v>
      </c>
      <c r="BU113" s="1" t="s">
        <v>699</v>
      </c>
      <c r="BV113" s="1" t="s">
        <v>206</v>
      </c>
      <c r="BW113" s="1" t="s">
        <v>210</v>
      </c>
      <c r="BY113" s="1" t="s">
        <v>214</v>
      </c>
      <c r="BZ113" s="1" t="s">
        <v>209</v>
      </c>
      <c r="CA113" s="1" t="s">
        <v>210</v>
      </c>
      <c r="CC113" s="1" t="s">
        <v>699</v>
      </c>
      <c r="CD113" s="1" t="s">
        <v>206</v>
      </c>
      <c r="CE113" s="1" t="s">
        <v>210</v>
      </c>
      <c r="CG113" s="1" t="s">
        <v>433</v>
      </c>
      <c r="CH113" s="1" t="s">
        <v>209</v>
      </c>
      <c r="CI113" s="1" t="s">
        <v>210</v>
      </c>
      <c r="CK113" s="1" t="s">
        <v>331</v>
      </c>
      <c r="CL113" s="1" t="s">
        <v>209</v>
      </c>
      <c r="CM113" s="1" t="s">
        <v>210</v>
      </c>
      <c r="CO113" s="1" t="s">
        <v>1417</v>
      </c>
      <c r="CP113" s="1" t="s">
        <v>209</v>
      </c>
      <c r="CQ113" s="1" t="s">
        <v>210</v>
      </c>
      <c r="CS113" s="1" t="s">
        <v>1417</v>
      </c>
      <c r="CT113" s="1" t="s">
        <v>206</v>
      </c>
      <c r="CU113" s="1" t="s">
        <v>617</v>
      </c>
      <c r="CW113" s="1" t="s">
        <v>496</v>
      </c>
      <c r="CX113" s="1" t="s">
        <v>206</v>
      </c>
      <c r="CY113" s="1" t="s">
        <v>210</v>
      </c>
      <c r="DA113" s="1" t="s">
        <v>192</v>
      </c>
      <c r="DB113" s="2">
        <v>41935.0</v>
      </c>
      <c r="DC113" s="1" t="s">
        <v>744</v>
      </c>
      <c r="DD113" s="1" t="s">
        <v>1838</v>
      </c>
      <c r="DE113" s="1" t="s">
        <v>273</v>
      </c>
      <c r="DF113" s="1" t="s">
        <v>219</v>
      </c>
      <c r="DG113" s="1" t="s">
        <v>482</v>
      </c>
      <c r="DH113" s="1" t="s">
        <v>220</v>
      </c>
      <c r="DI113" s="1" t="s">
        <v>221</v>
      </c>
      <c r="DJ113" s="1" t="s">
        <v>222</v>
      </c>
      <c r="DK113" s="1" t="s">
        <v>223</v>
      </c>
      <c r="DL113" s="1" t="s">
        <v>223</v>
      </c>
      <c r="DM113" s="1" t="s">
        <v>338</v>
      </c>
      <c r="DN113" s="1" t="s">
        <v>1319</v>
      </c>
      <c r="DP113" s="1" t="s">
        <v>340</v>
      </c>
      <c r="DQ113" s="1" t="s">
        <v>441</v>
      </c>
      <c r="DR113" s="1" t="s">
        <v>588</v>
      </c>
      <c r="DS113" s="1" t="s">
        <v>368</v>
      </c>
      <c r="DV113" s="1" t="s">
        <v>2393</v>
      </c>
      <c r="DW113" s="1" t="s">
        <v>233</v>
      </c>
      <c r="DX113" s="1" t="s">
        <v>234</v>
      </c>
      <c r="DY113" s="1" t="s">
        <v>1189</v>
      </c>
      <c r="EC113" s="1" t="s">
        <v>237</v>
      </c>
      <c r="EG113" s="1" t="s">
        <v>494</v>
      </c>
      <c r="EH113" s="1" t="s">
        <v>556</v>
      </c>
      <c r="EI113" s="1" t="s">
        <v>1028</v>
      </c>
      <c r="EJ113" s="1" t="s">
        <v>2313</v>
      </c>
      <c r="EL113" s="1" t="s">
        <v>265</v>
      </c>
      <c r="EM113" s="1" t="s">
        <v>206</v>
      </c>
      <c r="EP113" s="1" t="s">
        <v>1904</v>
      </c>
      <c r="EQ113" s="1" t="s">
        <v>206</v>
      </c>
      <c r="ER113" s="1" t="s">
        <v>617</v>
      </c>
      <c r="ET113" s="1" t="s">
        <v>265</v>
      </c>
      <c r="EU113" s="1" t="s">
        <v>206</v>
      </c>
      <c r="EV113" s="1" t="s">
        <v>210</v>
      </c>
      <c r="EX113" s="1" t="s">
        <v>2394</v>
      </c>
      <c r="EY113" s="1" t="s">
        <v>206</v>
      </c>
      <c r="FC113" s="1" t="s">
        <v>238</v>
      </c>
      <c r="FF113" s="1" t="s">
        <v>239</v>
      </c>
      <c r="FG113" s="1" t="s">
        <v>192</v>
      </c>
      <c r="FH113" s="1" t="s">
        <v>192</v>
      </c>
      <c r="FJ113" s="1" t="s">
        <v>2395</v>
      </c>
      <c r="FK113" s="1" t="s">
        <v>557</v>
      </c>
      <c r="FL113" s="1" t="s">
        <v>1007</v>
      </c>
      <c r="FM113" s="1">
        <v>22588.0</v>
      </c>
      <c r="FN113" s="1" t="s">
        <v>1321</v>
      </c>
      <c r="FO113" s="1" t="s">
        <v>1322</v>
      </c>
      <c r="FP113" s="1">
        <v>223009.0</v>
      </c>
      <c r="FQ113" s="1" t="s">
        <v>1323</v>
      </c>
      <c r="FU113" s="1" t="s">
        <v>2396</v>
      </c>
      <c r="FV113" s="1" t="s">
        <v>200</v>
      </c>
      <c r="FW113" s="1" t="s">
        <v>2397</v>
      </c>
      <c r="FZ113" s="1" t="s">
        <v>229</v>
      </c>
      <c r="GA113" s="1" t="s">
        <v>291</v>
      </c>
      <c r="GB113" s="2">
        <v>42087.0</v>
      </c>
      <c r="GC113" s="1" t="s">
        <v>2398</v>
      </c>
    </row>
    <row r="114">
      <c r="A114" s="1">
        <v>210000.0</v>
      </c>
      <c r="B114" s="1" t="s">
        <v>185</v>
      </c>
      <c r="C114" s="1" t="str">
        <f>"08761072"</f>
        <v>08761072</v>
      </c>
      <c r="D114" s="1" t="s">
        <v>186</v>
      </c>
      <c r="F114" s="1" t="str">
        <f>"174"</f>
        <v>174</v>
      </c>
      <c r="G114" s="2">
        <v>41936.0</v>
      </c>
      <c r="H114" s="1">
        <v>228000.0</v>
      </c>
      <c r="I114" s="1">
        <v>182.0</v>
      </c>
      <c r="J114" s="1">
        <v>218900.0</v>
      </c>
      <c r="K114" s="2">
        <v>42008.0</v>
      </c>
      <c r="L114" s="1">
        <v>73.0</v>
      </c>
      <c r="M114" s="2">
        <v>42008.0</v>
      </c>
      <c r="N114" s="1" t="s">
        <v>187</v>
      </c>
      <c r="O114" s="2">
        <v>42062.0</v>
      </c>
      <c r="P114" s="1">
        <v>39461.0</v>
      </c>
      <c r="Q114" s="1">
        <v>4317.0</v>
      </c>
      <c r="R114" s="1">
        <v>0.0</v>
      </c>
      <c r="S114" s="1">
        <v>518.0</v>
      </c>
      <c r="T114" s="1" t="s">
        <v>2399</v>
      </c>
      <c r="U114" s="1" t="s">
        <v>189</v>
      </c>
      <c r="V114" s="1" t="s">
        <v>1200</v>
      </c>
      <c r="W114" s="1">
        <v>60174.0</v>
      </c>
      <c r="Y114" s="1" t="s">
        <v>2400</v>
      </c>
      <c r="Z114" s="1">
        <v>1977.0</v>
      </c>
      <c r="AA114" s="1" t="s">
        <v>192</v>
      </c>
      <c r="AB114" s="1" t="s">
        <v>193</v>
      </c>
      <c r="AD114" s="1" t="s">
        <v>1203</v>
      </c>
      <c r="AE114" s="1" t="s">
        <v>325</v>
      </c>
      <c r="AF114" s="1" t="s">
        <v>1203</v>
      </c>
      <c r="AH114" s="1" t="s">
        <v>2401</v>
      </c>
      <c r="AI114" s="1">
        <v>0.11</v>
      </c>
      <c r="AK114" s="1">
        <v>8.0</v>
      </c>
      <c r="AL114" s="1">
        <v>4.0</v>
      </c>
      <c r="AM114" s="1">
        <v>2.0</v>
      </c>
      <c r="AN114" s="1">
        <v>0.0</v>
      </c>
      <c r="AO114" s="1" t="s">
        <v>229</v>
      </c>
      <c r="AQ114" s="1" t="s">
        <v>229</v>
      </c>
      <c r="AS114" s="1" t="s">
        <v>199</v>
      </c>
      <c r="AT114" s="1">
        <v>2.0</v>
      </c>
      <c r="AV114" s="1" t="s">
        <v>200</v>
      </c>
      <c r="AW114" s="1">
        <v>4931.04</v>
      </c>
      <c r="AX114" s="1">
        <v>2013.0</v>
      </c>
      <c r="AY114" s="1" t="s">
        <v>387</v>
      </c>
      <c r="AZ114" s="1" t="s">
        <v>200</v>
      </c>
      <c r="BA114" s="1" t="str">
        <f>"0934218004"</f>
        <v>0934218004</v>
      </c>
      <c r="BB114" s="1" t="s">
        <v>200</v>
      </c>
      <c r="BC114" s="1">
        <v>2600.0</v>
      </c>
      <c r="BD114" s="1">
        <v>210000.0</v>
      </c>
      <c r="BE114" s="2">
        <v>41936.0</v>
      </c>
      <c r="BF114" s="2" t="s">
        <v>2402</v>
      </c>
      <c r="BH114" s="1">
        <v>0.0</v>
      </c>
      <c r="BK114" s="1" t="s">
        <v>204</v>
      </c>
      <c r="BL114" s="1" t="str">
        <f t="shared" ref="BL114:BM114" si="76">""</f>
        <v/>
      </c>
      <c r="BM114" s="1" t="str">
        <f t="shared" si="76"/>
        <v/>
      </c>
      <c r="BQ114" s="1">
        <v>303.0</v>
      </c>
      <c r="BR114" s="1">
        <v>303.0</v>
      </c>
      <c r="BS114" s="1">
        <v>303.0</v>
      </c>
      <c r="BU114" s="1" t="s">
        <v>2403</v>
      </c>
      <c r="BV114" s="1" t="s">
        <v>206</v>
      </c>
      <c r="BW114" s="1" t="s">
        <v>207</v>
      </c>
      <c r="BY114" s="1" t="s">
        <v>925</v>
      </c>
      <c r="BZ114" s="1" t="s">
        <v>206</v>
      </c>
      <c r="CA114" s="1" t="s">
        <v>210</v>
      </c>
      <c r="CD114" s="1" t="s">
        <v>204</v>
      </c>
      <c r="CG114" s="1" t="s">
        <v>264</v>
      </c>
      <c r="CH114" s="1" t="s">
        <v>206</v>
      </c>
      <c r="CI114" s="1" t="s">
        <v>210</v>
      </c>
      <c r="CK114" s="1" t="s">
        <v>264</v>
      </c>
      <c r="CL114" s="1" t="s">
        <v>206</v>
      </c>
      <c r="CM114" s="1" t="s">
        <v>210</v>
      </c>
      <c r="CO114" s="1" t="s">
        <v>647</v>
      </c>
      <c r="CP114" s="1" t="s">
        <v>267</v>
      </c>
      <c r="CQ114" s="1" t="s">
        <v>210</v>
      </c>
      <c r="CS114" s="1" t="s">
        <v>361</v>
      </c>
      <c r="CT114" s="1" t="s">
        <v>206</v>
      </c>
      <c r="CU114" s="1" t="s">
        <v>268</v>
      </c>
      <c r="CV114" s="1" t="s">
        <v>431</v>
      </c>
      <c r="CW114" s="1" t="s">
        <v>2404</v>
      </c>
      <c r="CX114" s="1" t="s">
        <v>267</v>
      </c>
      <c r="CY114" s="1" t="s">
        <v>210</v>
      </c>
      <c r="DA114" s="1" t="s">
        <v>200</v>
      </c>
      <c r="DC114" s="1" t="s">
        <v>395</v>
      </c>
      <c r="DD114" s="1" t="s">
        <v>786</v>
      </c>
      <c r="DE114" s="1" t="s">
        <v>273</v>
      </c>
      <c r="DF114" s="1" t="s">
        <v>219</v>
      </c>
      <c r="DG114" s="1" t="s">
        <v>1400</v>
      </c>
      <c r="DH114" s="1" t="s">
        <v>220</v>
      </c>
      <c r="DI114" s="1" t="s">
        <v>959</v>
      </c>
      <c r="DJ114" s="1" t="s">
        <v>222</v>
      </c>
      <c r="DK114" s="1" t="s">
        <v>198</v>
      </c>
      <c r="DL114" s="1" t="s">
        <v>229</v>
      </c>
      <c r="DM114" s="1" t="s">
        <v>929</v>
      </c>
      <c r="DO114" s="1" t="s">
        <v>549</v>
      </c>
      <c r="DQ114" s="1" t="s">
        <v>228</v>
      </c>
      <c r="DR114" s="1" t="s">
        <v>229</v>
      </c>
      <c r="DS114" s="1" t="s">
        <v>230</v>
      </c>
      <c r="DU114" s="1" t="s">
        <v>2405</v>
      </c>
      <c r="DV114" s="1" t="s">
        <v>594</v>
      </c>
      <c r="DW114" s="1" t="s">
        <v>964</v>
      </c>
      <c r="DX114" s="1" t="s">
        <v>234</v>
      </c>
      <c r="DY114" s="1" t="s">
        <v>281</v>
      </c>
      <c r="DZ114" s="1" t="s">
        <v>236</v>
      </c>
      <c r="EA114" s="1" t="s">
        <v>554</v>
      </c>
      <c r="EC114" s="1" t="s">
        <v>284</v>
      </c>
      <c r="ED114" s="1" t="s">
        <v>407</v>
      </c>
      <c r="EG114" s="1" t="s">
        <v>598</v>
      </c>
      <c r="EH114" s="1" t="s">
        <v>408</v>
      </c>
      <c r="EL114" s="1" t="s">
        <v>392</v>
      </c>
      <c r="EM114" s="1" t="s">
        <v>267</v>
      </c>
      <c r="EN114" s="1" t="s">
        <v>210</v>
      </c>
      <c r="EP114" s="1" t="s">
        <v>2082</v>
      </c>
      <c r="EQ114" s="1" t="s">
        <v>206</v>
      </c>
      <c r="ER114" s="1" t="s">
        <v>268</v>
      </c>
      <c r="EU114" s="1" t="s">
        <v>238</v>
      </c>
      <c r="EY114" s="1" t="s">
        <v>238</v>
      </c>
      <c r="FC114" s="1" t="s">
        <v>238</v>
      </c>
      <c r="FF114" s="1" t="s">
        <v>239</v>
      </c>
      <c r="FG114" s="1" t="s">
        <v>192</v>
      </c>
      <c r="FH114" s="1" t="s">
        <v>192</v>
      </c>
      <c r="FJ114" s="1" t="s">
        <v>2406</v>
      </c>
      <c r="FK114" s="1" t="s">
        <v>229</v>
      </c>
      <c r="FL114" s="1" t="s">
        <v>1212</v>
      </c>
      <c r="FM114" s="1">
        <v>30.0</v>
      </c>
      <c r="FN114" s="1" t="s">
        <v>1213</v>
      </c>
      <c r="FO114" s="1" t="s">
        <v>2407</v>
      </c>
      <c r="FP114" s="1">
        <v>736.0</v>
      </c>
      <c r="FQ114" s="1" t="s">
        <v>2408</v>
      </c>
      <c r="FU114" s="1" t="s">
        <v>2409</v>
      </c>
      <c r="FV114" s="1" t="s">
        <v>200</v>
      </c>
      <c r="FW114" s="1" t="s">
        <v>290</v>
      </c>
      <c r="FX114" s="1" t="s">
        <v>655</v>
      </c>
      <c r="FZ114" s="1" t="s">
        <v>229</v>
      </c>
      <c r="GA114" s="1" t="s">
        <v>291</v>
      </c>
      <c r="GB114" s="2">
        <v>42062.0</v>
      </c>
      <c r="GC114" s="1" t="s">
        <v>2410</v>
      </c>
    </row>
    <row r="115">
      <c r="A115" s="1">
        <v>225000.0</v>
      </c>
      <c r="B115" s="1" t="s">
        <v>185</v>
      </c>
      <c r="C115" s="1" t="str">
        <f>"08817642"</f>
        <v>08817642</v>
      </c>
      <c r="D115" s="1" t="s">
        <v>186</v>
      </c>
      <c r="F115" s="1" t="str">
        <f>"8043"</f>
        <v>8043</v>
      </c>
      <c r="G115" s="2">
        <v>42020.0</v>
      </c>
      <c r="H115" s="1">
        <v>229900.0</v>
      </c>
      <c r="I115" s="1">
        <v>28.0</v>
      </c>
      <c r="J115" s="1">
        <v>229900.0</v>
      </c>
      <c r="K115" s="2">
        <v>42047.0</v>
      </c>
      <c r="L115" s="1">
        <v>28.0</v>
      </c>
      <c r="M115" s="2">
        <v>42047.0</v>
      </c>
      <c r="N115" s="1" t="s">
        <v>356</v>
      </c>
      <c r="O115" s="2">
        <v>42096.0</v>
      </c>
      <c r="P115" s="1">
        <v>118500.0</v>
      </c>
      <c r="Q115" s="1">
        <v>12529.0</v>
      </c>
      <c r="R115" s="1">
        <v>3.0</v>
      </c>
      <c r="S115" s="1">
        <v>7712.0</v>
      </c>
      <c r="T115" s="1" t="s">
        <v>2411</v>
      </c>
      <c r="U115" s="1" t="s">
        <v>189</v>
      </c>
      <c r="V115" s="1" t="s">
        <v>190</v>
      </c>
      <c r="W115" s="1">
        <v>60649.0</v>
      </c>
      <c r="Y115" s="1" t="s">
        <v>2412</v>
      </c>
      <c r="Z115" s="1">
        <v>1915.0</v>
      </c>
      <c r="AA115" s="1" t="s">
        <v>192</v>
      </c>
      <c r="AB115" s="1" t="s">
        <v>193</v>
      </c>
      <c r="AD115" s="1" t="s">
        <v>194</v>
      </c>
      <c r="AE115" s="1" t="s">
        <v>195</v>
      </c>
      <c r="AF115" s="1" t="s">
        <v>637</v>
      </c>
      <c r="AH115" s="1">
        <v>2053.0</v>
      </c>
      <c r="AI115" s="1">
        <v>0.0957</v>
      </c>
      <c r="AK115" s="1">
        <v>9.0</v>
      </c>
      <c r="AL115" s="1">
        <v>4.0</v>
      </c>
      <c r="AM115" s="1">
        <v>2.0</v>
      </c>
      <c r="AN115" s="1">
        <v>1.0</v>
      </c>
      <c r="AO115" s="1" t="s">
        <v>229</v>
      </c>
      <c r="AQ115" s="1" t="s">
        <v>198</v>
      </c>
      <c r="AR115" s="1" t="s">
        <v>192</v>
      </c>
      <c r="AS115" s="1" t="s">
        <v>199</v>
      </c>
      <c r="AT115" s="1">
        <v>2.0</v>
      </c>
      <c r="AV115" s="1" t="s">
        <v>200</v>
      </c>
      <c r="AW115" s="1">
        <v>3001.77</v>
      </c>
      <c r="AX115" s="1">
        <v>2012.0</v>
      </c>
      <c r="AZ115" s="1" t="s">
        <v>200</v>
      </c>
      <c r="BA115" s="1" t="str">
        <f>"20254190190000"</f>
        <v>20254190190000</v>
      </c>
      <c r="BC115" s="1">
        <v>2000.0</v>
      </c>
      <c r="BD115" s="1">
        <v>225000.0</v>
      </c>
      <c r="BE115" s="2">
        <v>42020.0</v>
      </c>
      <c r="BF115" s="2" t="s">
        <v>2413</v>
      </c>
      <c r="BH115" s="1">
        <v>0.0</v>
      </c>
      <c r="BK115" s="1" t="s">
        <v>204</v>
      </c>
      <c r="BL115" s="1" t="str">
        <f>"0"</f>
        <v>0</v>
      </c>
      <c r="BM115" s="1" t="str">
        <f>"2200"</f>
        <v>2200</v>
      </c>
      <c r="BN115" s="1">
        <v>0.0</v>
      </c>
      <c r="BO115" s="1">
        <v>7712.0</v>
      </c>
      <c r="BQ115" s="1">
        <v>299.0</v>
      </c>
      <c r="BR115" s="1">
        <v>299.0</v>
      </c>
      <c r="BS115" s="1">
        <v>299.0</v>
      </c>
      <c r="BU115" s="1" t="s">
        <v>434</v>
      </c>
      <c r="BV115" s="1" t="s">
        <v>206</v>
      </c>
      <c r="BW115" s="1" t="s">
        <v>207</v>
      </c>
      <c r="BY115" s="1" t="s">
        <v>2121</v>
      </c>
      <c r="BZ115" s="1" t="s">
        <v>209</v>
      </c>
      <c r="CA115" s="1" t="s">
        <v>210</v>
      </c>
      <c r="CC115" s="1" t="s">
        <v>584</v>
      </c>
      <c r="CD115" s="1" t="s">
        <v>206</v>
      </c>
      <c r="CE115" s="1" t="s">
        <v>207</v>
      </c>
      <c r="CG115" s="1" t="s">
        <v>729</v>
      </c>
      <c r="CH115" s="1" t="s">
        <v>206</v>
      </c>
      <c r="CI115" s="1" t="s">
        <v>207</v>
      </c>
      <c r="CK115" s="1" t="s">
        <v>639</v>
      </c>
      <c r="CL115" s="1" t="s">
        <v>209</v>
      </c>
      <c r="CM115" s="1" t="s">
        <v>210</v>
      </c>
      <c r="CO115" s="1" t="s">
        <v>211</v>
      </c>
      <c r="CP115" s="1" t="s">
        <v>209</v>
      </c>
      <c r="CQ115" s="1" t="s">
        <v>210</v>
      </c>
      <c r="CS115" s="1" t="s">
        <v>2414</v>
      </c>
      <c r="CT115" s="1" t="s">
        <v>206</v>
      </c>
      <c r="CU115" s="1" t="s">
        <v>207</v>
      </c>
      <c r="CW115" s="1" t="s">
        <v>2059</v>
      </c>
      <c r="CX115" s="1" t="s">
        <v>42</v>
      </c>
      <c r="CY115" s="1" t="s">
        <v>268</v>
      </c>
      <c r="DA115" s="1" t="s">
        <v>200</v>
      </c>
      <c r="DC115" s="1" t="s">
        <v>216</v>
      </c>
      <c r="DE115" s="1" t="s">
        <v>273</v>
      </c>
      <c r="DF115" s="1" t="s">
        <v>219</v>
      </c>
      <c r="DH115" s="1" t="s">
        <v>220</v>
      </c>
      <c r="DI115" s="1" t="s">
        <v>366</v>
      </c>
      <c r="DJ115" s="1" t="s">
        <v>222</v>
      </c>
      <c r="DL115" s="1" t="s">
        <v>224</v>
      </c>
      <c r="DM115" s="1" t="s">
        <v>229</v>
      </c>
      <c r="DQ115" s="1" t="s">
        <v>228</v>
      </c>
      <c r="DR115" s="1" t="s">
        <v>229</v>
      </c>
      <c r="DS115" s="1" t="s">
        <v>230</v>
      </c>
      <c r="DV115" s="1" t="s">
        <v>556</v>
      </c>
      <c r="DW115" s="1" t="s">
        <v>279</v>
      </c>
      <c r="DX115" s="1" t="s">
        <v>234</v>
      </c>
      <c r="DY115" s="1" t="s">
        <v>553</v>
      </c>
      <c r="EA115" s="1" t="s">
        <v>644</v>
      </c>
      <c r="EC115" s="1" t="s">
        <v>645</v>
      </c>
      <c r="EE115" s="1" t="s">
        <v>493</v>
      </c>
      <c r="EG115" s="1" t="s">
        <v>556</v>
      </c>
      <c r="EL115" s="1" t="s">
        <v>2415</v>
      </c>
      <c r="EM115" s="1" t="s">
        <v>206</v>
      </c>
      <c r="EN115" s="1" t="s">
        <v>207</v>
      </c>
      <c r="EQ115" s="1" t="s">
        <v>238</v>
      </c>
      <c r="EU115" s="1" t="s">
        <v>238</v>
      </c>
      <c r="EY115" s="1" t="s">
        <v>238</v>
      </c>
      <c r="FC115" s="1" t="s">
        <v>238</v>
      </c>
      <c r="FF115" s="1" t="s">
        <v>239</v>
      </c>
      <c r="FG115" s="1" t="s">
        <v>192</v>
      </c>
      <c r="FH115" s="1" t="s">
        <v>192</v>
      </c>
      <c r="FJ115" s="1" t="s">
        <v>648</v>
      </c>
      <c r="FK115" s="1" t="s">
        <v>229</v>
      </c>
      <c r="FL115" s="1" t="s">
        <v>649</v>
      </c>
      <c r="FM115" s="1">
        <v>60296.0</v>
      </c>
      <c r="FN115" s="1" t="s">
        <v>650</v>
      </c>
      <c r="FO115" s="1" t="s">
        <v>651</v>
      </c>
      <c r="FP115" s="1">
        <v>602837.0</v>
      </c>
      <c r="FQ115" s="1" t="s">
        <v>652</v>
      </c>
      <c r="FR115" s="1">
        <v>602442.0</v>
      </c>
      <c r="FU115" s="1" t="s">
        <v>653</v>
      </c>
      <c r="FV115" s="1" t="s">
        <v>200</v>
      </c>
      <c r="FW115" s="1" t="s">
        <v>654</v>
      </c>
      <c r="FX115" s="1" t="s">
        <v>655</v>
      </c>
      <c r="FZ115" s="1" t="s">
        <v>229</v>
      </c>
      <c r="GA115" s="1" t="s">
        <v>291</v>
      </c>
      <c r="GB115" s="2">
        <v>42101.0</v>
      </c>
      <c r="GC115" s="1" t="s">
        <v>1372</v>
      </c>
    </row>
    <row r="116">
      <c r="A116" s="1">
        <v>375000.0</v>
      </c>
      <c r="B116" s="1" t="s">
        <v>185</v>
      </c>
      <c r="C116" s="1" t="str">
        <f>"08759933"</f>
        <v>08759933</v>
      </c>
      <c r="D116" s="1" t="s">
        <v>186</v>
      </c>
      <c r="F116" s="1" t="str">
        <f>"8011"</f>
        <v>8011</v>
      </c>
      <c r="G116" s="2">
        <v>41935.0</v>
      </c>
      <c r="H116" s="1">
        <v>405000.0</v>
      </c>
      <c r="I116" s="1">
        <v>166.0</v>
      </c>
      <c r="J116" s="1">
        <v>405000.0</v>
      </c>
      <c r="K116" s="2">
        <v>41979.0</v>
      </c>
      <c r="L116" s="1">
        <v>45.0</v>
      </c>
      <c r="M116" s="2">
        <v>41979.0</v>
      </c>
      <c r="N116" s="1" t="s">
        <v>356</v>
      </c>
      <c r="O116" s="2">
        <v>42038.0</v>
      </c>
      <c r="P116" s="1">
        <v>170568.0</v>
      </c>
      <c r="Q116" s="1">
        <v>18235.0</v>
      </c>
      <c r="S116" s="1">
        <v>5758.0</v>
      </c>
      <c r="T116" s="1" t="s">
        <v>2416</v>
      </c>
      <c r="U116" s="1" t="s">
        <v>189</v>
      </c>
      <c r="V116" s="1" t="s">
        <v>190</v>
      </c>
      <c r="W116" s="1">
        <v>60646.0</v>
      </c>
      <c r="Y116" s="1" t="s">
        <v>2417</v>
      </c>
      <c r="Z116" s="1">
        <v>1927.0</v>
      </c>
      <c r="AA116" s="1" t="s">
        <v>192</v>
      </c>
      <c r="AB116" s="1" t="s">
        <v>193</v>
      </c>
      <c r="AD116" s="1" t="s">
        <v>194</v>
      </c>
      <c r="AE116" s="1" t="s">
        <v>195</v>
      </c>
      <c r="AF116" s="1" t="s">
        <v>196</v>
      </c>
      <c r="AH116" s="1" t="s">
        <v>2418</v>
      </c>
      <c r="AI116" s="1">
        <v>0.082</v>
      </c>
      <c r="AK116" s="1">
        <v>10.0</v>
      </c>
      <c r="AL116" s="1">
        <v>4.0</v>
      </c>
      <c r="AM116" s="1">
        <v>3.0</v>
      </c>
      <c r="AN116" s="1">
        <v>0.0</v>
      </c>
      <c r="AO116" s="1" t="s">
        <v>198</v>
      </c>
      <c r="AQ116" s="1" t="s">
        <v>198</v>
      </c>
      <c r="AR116" s="1" t="s">
        <v>200</v>
      </c>
      <c r="AS116" s="1" t="s">
        <v>199</v>
      </c>
      <c r="AT116" s="1">
        <v>2.0</v>
      </c>
      <c r="AV116" s="1" t="s">
        <v>200</v>
      </c>
      <c r="AW116" s="1">
        <v>6674.71</v>
      </c>
      <c r="AX116" s="1">
        <v>2012.0</v>
      </c>
      <c r="AY116" s="1" t="s">
        <v>387</v>
      </c>
      <c r="AZ116" s="1" t="s">
        <v>200</v>
      </c>
      <c r="BA116" s="1" t="str">
        <f>"13054190190000"</f>
        <v>13054190190000</v>
      </c>
      <c r="BB116" s="1" t="s">
        <v>200</v>
      </c>
      <c r="BC116" s="1">
        <v>0.0</v>
      </c>
      <c r="BD116" s="1">
        <v>375000.0</v>
      </c>
      <c r="BE116" s="2">
        <v>41935.0</v>
      </c>
      <c r="BF116" s="2" t="s">
        <v>2419</v>
      </c>
      <c r="BH116" s="1">
        <v>0.0</v>
      </c>
      <c r="BK116" s="1" t="s">
        <v>204</v>
      </c>
      <c r="BL116" s="1" t="str">
        <f>"5758"</f>
        <v>5758</v>
      </c>
      <c r="BM116" s="1" t="str">
        <f>"0"</f>
        <v>0</v>
      </c>
      <c r="BN116" s="1">
        <v>5900.0</v>
      </c>
      <c r="BO116" s="1">
        <v>0.0</v>
      </c>
      <c r="BQ116" s="1">
        <v>299.0</v>
      </c>
      <c r="BR116" s="1">
        <v>299.0</v>
      </c>
      <c r="BS116" s="1">
        <v>299.0</v>
      </c>
      <c r="BU116" s="1" t="s">
        <v>214</v>
      </c>
      <c r="BV116" s="1" t="s">
        <v>206</v>
      </c>
      <c r="BW116" s="1" t="s">
        <v>210</v>
      </c>
      <c r="BX116" s="1" t="s">
        <v>431</v>
      </c>
      <c r="BY116" s="1" t="s">
        <v>330</v>
      </c>
      <c r="BZ116" s="1" t="s">
        <v>209</v>
      </c>
      <c r="CA116" s="1" t="s">
        <v>210</v>
      </c>
      <c r="CB116" s="1" t="s">
        <v>1118</v>
      </c>
      <c r="CC116" s="1" t="s">
        <v>363</v>
      </c>
      <c r="CD116" s="1" t="s">
        <v>206</v>
      </c>
      <c r="CE116" s="1" t="s">
        <v>210</v>
      </c>
      <c r="CF116" s="1" t="s">
        <v>431</v>
      </c>
      <c r="CG116" s="1" t="s">
        <v>270</v>
      </c>
      <c r="CH116" s="1" t="s">
        <v>209</v>
      </c>
      <c r="CI116" s="1" t="s">
        <v>210</v>
      </c>
      <c r="CJ116" s="1" t="s">
        <v>431</v>
      </c>
      <c r="CK116" s="1" t="s">
        <v>1190</v>
      </c>
      <c r="CL116" s="1" t="s">
        <v>209</v>
      </c>
      <c r="CM116" s="1" t="s">
        <v>210</v>
      </c>
      <c r="CN116" s="1" t="s">
        <v>431</v>
      </c>
      <c r="CO116" s="1" t="s">
        <v>699</v>
      </c>
      <c r="CP116" s="1" t="s">
        <v>206</v>
      </c>
      <c r="CQ116" s="1" t="s">
        <v>207</v>
      </c>
      <c r="CR116" s="1" t="s">
        <v>1118</v>
      </c>
      <c r="CS116" s="1" t="s">
        <v>264</v>
      </c>
      <c r="CT116" s="1" t="s">
        <v>206</v>
      </c>
      <c r="CU116" s="1" t="s">
        <v>1715</v>
      </c>
      <c r="CV116" s="1" t="s">
        <v>1118</v>
      </c>
      <c r="CW116" s="1" t="s">
        <v>333</v>
      </c>
      <c r="CX116" s="1" t="s">
        <v>206</v>
      </c>
      <c r="CY116" s="1" t="s">
        <v>207</v>
      </c>
      <c r="CZ116" s="1" t="s">
        <v>431</v>
      </c>
      <c r="DA116" s="1" t="s">
        <v>200</v>
      </c>
      <c r="DC116" s="1" t="s">
        <v>785</v>
      </c>
      <c r="DD116" s="1" t="s">
        <v>518</v>
      </c>
      <c r="DE116" s="1" t="s">
        <v>273</v>
      </c>
      <c r="DF116" s="1" t="s">
        <v>219</v>
      </c>
      <c r="DG116" s="1" t="s">
        <v>482</v>
      </c>
      <c r="DH116" s="1" t="s">
        <v>365</v>
      </c>
      <c r="DI116" s="1" t="s">
        <v>2420</v>
      </c>
      <c r="DJ116" s="1" t="s">
        <v>222</v>
      </c>
      <c r="DL116" s="1" t="s">
        <v>224</v>
      </c>
      <c r="DM116" s="1" t="s">
        <v>1464</v>
      </c>
      <c r="DN116" s="1" t="s">
        <v>399</v>
      </c>
      <c r="DO116" s="1" t="s">
        <v>2421</v>
      </c>
      <c r="DP116" s="1" t="s">
        <v>400</v>
      </c>
      <c r="DQ116" s="1" t="s">
        <v>228</v>
      </c>
      <c r="DR116" s="1" t="s">
        <v>229</v>
      </c>
      <c r="DS116" s="1" t="s">
        <v>277</v>
      </c>
      <c r="DV116" s="1" t="s">
        <v>2422</v>
      </c>
      <c r="DW116" s="1" t="s">
        <v>764</v>
      </c>
      <c r="DX116" s="1" t="s">
        <v>234</v>
      </c>
      <c r="DY116" s="1" t="s">
        <v>2423</v>
      </c>
      <c r="DZ116" s="1" t="s">
        <v>2424</v>
      </c>
      <c r="EA116" s="1" t="s">
        <v>644</v>
      </c>
      <c r="EC116" s="1" t="s">
        <v>237</v>
      </c>
      <c r="ED116" s="1" t="s">
        <v>555</v>
      </c>
      <c r="EG116" s="1" t="s">
        <v>1491</v>
      </c>
      <c r="EH116" s="1" t="s">
        <v>720</v>
      </c>
      <c r="EI116" s="1" t="s">
        <v>450</v>
      </c>
      <c r="EL116" s="1" t="s">
        <v>2425</v>
      </c>
      <c r="EM116" s="1" t="s">
        <v>42</v>
      </c>
      <c r="EN116" s="1" t="s">
        <v>588</v>
      </c>
      <c r="EO116" s="1" t="s">
        <v>229</v>
      </c>
      <c r="EP116" s="1" t="s">
        <v>939</v>
      </c>
      <c r="EQ116" s="1" t="s">
        <v>206</v>
      </c>
      <c r="ER116" s="1" t="s">
        <v>207</v>
      </c>
      <c r="ES116" s="1" t="s">
        <v>1118</v>
      </c>
      <c r="ET116" s="1" t="s">
        <v>2426</v>
      </c>
      <c r="EU116" s="1" t="s">
        <v>42</v>
      </c>
      <c r="EV116" s="1" t="s">
        <v>588</v>
      </c>
      <c r="EW116" s="1" t="s">
        <v>229</v>
      </c>
      <c r="EY116" s="1" t="s">
        <v>238</v>
      </c>
      <c r="FC116" s="1" t="s">
        <v>238</v>
      </c>
      <c r="FF116" s="1" t="s">
        <v>239</v>
      </c>
      <c r="FG116" s="1" t="s">
        <v>192</v>
      </c>
      <c r="FH116" s="1" t="s">
        <v>192</v>
      </c>
      <c r="FJ116" s="1" t="s">
        <v>2427</v>
      </c>
      <c r="FK116" s="1" t="s">
        <v>229</v>
      </c>
      <c r="FL116" s="1" t="s">
        <v>456</v>
      </c>
      <c r="FM116" s="1">
        <v>10013.0</v>
      </c>
      <c r="FN116" s="1" t="s">
        <v>2428</v>
      </c>
      <c r="FO116" s="1" t="s">
        <v>2429</v>
      </c>
      <c r="FP116" s="1">
        <v>170702.0</v>
      </c>
      <c r="FQ116" s="1" t="s">
        <v>2430</v>
      </c>
      <c r="FU116" s="1" t="s">
        <v>2431</v>
      </c>
      <c r="FV116" s="1" t="s">
        <v>200</v>
      </c>
      <c r="FW116" s="1" t="s">
        <v>530</v>
      </c>
      <c r="FX116" s="1" t="s">
        <v>238</v>
      </c>
      <c r="FZ116" s="1" t="s">
        <v>229</v>
      </c>
      <c r="GA116" s="1" t="s">
        <v>291</v>
      </c>
      <c r="GB116" s="2">
        <v>42038.0</v>
      </c>
      <c r="GC116" s="1" t="s">
        <v>2432</v>
      </c>
    </row>
    <row r="117">
      <c r="A117" s="1">
        <v>279990.0</v>
      </c>
      <c r="B117" s="1" t="s">
        <v>185</v>
      </c>
      <c r="C117" s="1" t="str">
        <f>"08761382"</f>
        <v>08761382</v>
      </c>
      <c r="D117" s="1" t="s">
        <v>186</v>
      </c>
      <c r="F117" s="1" t="str">
        <f>"123"</f>
        <v>123</v>
      </c>
      <c r="G117" s="2">
        <v>41936.0</v>
      </c>
      <c r="H117" s="1">
        <v>304990.0</v>
      </c>
      <c r="I117" s="1">
        <v>154.0</v>
      </c>
      <c r="J117" s="1">
        <v>279990.0</v>
      </c>
      <c r="K117" s="2">
        <v>42089.0</v>
      </c>
      <c r="L117" s="1">
        <v>154.0</v>
      </c>
      <c r="M117" s="2">
        <v>42089.0</v>
      </c>
      <c r="N117" s="1" t="s">
        <v>356</v>
      </c>
      <c r="O117" s="2">
        <v>42125.0</v>
      </c>
      <c r="P117" s="1">
        <v>874772.0</v>
      </c>
      <c r="Q117" s="1">
        <v>85692.0</v>
      </c>
      <c r="S117" s="1">
        <v>3151.0</v>
      </c>
      <c r="T117" s="1" t="s">
        <v>2433</v>
      </c>
      <c r="U117" s="1" t="s">
        <v>1174</v>
      </c>
      <c r="V117" s="1" t="s">
        <v>465</v>
      </c>
      <c r="W117" s="1">
        <v>60124.0</v>
      </c>
      <c r="Y117" s="1" t="s">
        <v>2434</v>
      </c>
      <c r="Z117" s="1">
        <v>2014.0</v>
      </c>
      <c r="AA117" s="1" t="s">
        <v>200</v>
      </c>
      <c r="AB117" s="1" t="s">
        <v>467</v>
      </c>
      <c r="AC117" s="1" t="s">
        <v>2435</v>
      </c>
      <c r="AD117" s="1" t="s">
        <v>469</v>
      </c>
      <c r="AE117" s="1" t="s">
        <v>325</v>
      </c>
      <c r="AF117" s="1" t="s">
        <v>469</v>
      </c>
      <c r="AG117" s="1" t="s">
        <v>2436</v>
      </c>
      <c r="AH117" s="1" t="s">
        <v>2437</v>
      </c>
      <c r="AK117" s="1">
        <v>10.0</v>
      </c>
      <c r="AL117" s="1">
        <v>4.0</v>
      </c>
      <c r="AM117" s="1">
        <v>2.0</v>
      </c>
      <c r="AN117" s="1">
        <v>1.0</v>
      </c>
      <c r="AO117" s="1" t="s">
        <v>198</v>
      </c>
      <c r="AP117" s="1">
        <v>0.0</v>
      </c>
      <c r="AQ117" s="1" t="s">
        <v>327</v>
      </c>
      <c r="AR117" s="1" t="s">
        <v>200</v>
      </c>
      <c r="AS117" s="1" t="s">
        <v>199</v>
      </c>
      <c r="AT117" s="1">
        <v>2.0</v>
      </c>
      <c r="AV117" s="1" t="s">
        <v>200</v>
      </c>
      <c r="AW117" s="1" t="s">
        <v>575</v>
      </c>
      <c r="AX117" s="1">
        <v>2013.0</v>
      </c>
      <c r="AZ117" s="1" t="s">
        <v>200</v>
      </c>
      <c r="BA117" s="1" t="str">
        <f>"0619377090"</f>
        <v>0619377090</v>
      </c>
      <c r="BC117" s="1">
        <v>2878.0</v>
      </c>
      <c r="BD117" s="1">
        <v>279990.0</v>
      </c>
      <c r="BE117" s="2">
        <v>41936.0</v>
      </c>
      <c r="BF117" s="2" t="s">
        <v>2438</v>
      </c>
      <c r="BG117" s="1" t="s">
        <v>2439</v>
      </c>
      <c r="BH117" s="1">
        <v>385.0</v>
      </c>
      <c r="BI117" s="1" t="s">
        <v>674</v>
      </c>
      <c r="BJ117" s="1" t="s">
        <v>2440</v>
      </c>
      <c r="BK117" s="1" t="s">
        <v>580</v>
      </c>
      <c r="BL117" s="1" t="str">
        <f t="shared" ref="BL117:BM117" si="77">""</f>
        <v/>
      </c>
      <c r="BM117" s="1" t="str">
        <f t="shared" si="77"/>
        <v/>
      </c>
      <c r="BQ117" s="1">
        <v>46.0</v>
      </c>
      <c r="BR117" s="1">
        <v>46.0</v>
      </c>
      <c r="BS117" s="1">
        <v>46.0</v>
      </c>
      <c r="BU117" s="1" t="s">
        <v>2441</v>
      </c>
      <c r="BV117" s="1" t="s">
        <v>206</v>
      </c>
      <c r="BW117" s="1" t="s">
        <v>301</v>
      </c>
      <c r="BX117" s="1" t="s">
        <v>229</v>
      </c>
      <c r="BY117" s="1" t="s">
        <v>2442</v>
      </c>
      <c r="BZ117" s="1" t="s">
        <v>209</v>
      </c>
      <c r="CA117" s="1" t="s">
        <v>210</v>
      </c>
      <c r="CB117" s="1" t="s">
        <v>229</v>
      </c>
      <c r="CC117" s="1" t="s">
        <v>542</v>
      </c>
      <c r="CD117" s="1" t="s">
        <v>206</v>
      </c>
      <c r="CE117" s="1" t="s">
        <v>301</v>
      </c>
      <c r="CF117" s="1" t="s">
        <v>229</v>
      </c>
      <c r="CG117" s="1" t="s">
        <v>1351</v>
      </c>
      <c r="CH117" s="1" t="s">
        <v>209</v>
      </c>
      <c r="CI117" s="1" t="s">
        <v>210</v>
      </c>
      <c r="CJ117" s="1" t="s">
        <v>229</v>
      </c>
      <c r="CK117" s="1" t="s">
        <v>584</v>
      </c>
      <c r="CL117" s="1" t="s">
        <v>209</v>
      </c>
      <c r="CM117" s="1" t="s">
        <v>210</v>
      </c>
      <c r="CN117" s="1" t="s">
        <v>229</v>
      </c>
      <c r="CO117" s="1" t="s">
        <v>1064</v>
      </c>
      <c r="CP117" s="1" t="s">
        <v>209</v>
      </c>
      <c r="CQ117" s="1" t="s">
        <v>210</v>
      </c>
      <c r="CR117" s="1" t="s">
        <v>229</v>
      </c>
      <c r="CS117" s="1" t="s">
        <v>454</v>
      </c>
      <c r="CT117" s="1" t="s">
        <v>206</v>
      </c>
      <c r="CU117" s="1" t="s">
        <v>207</v>
      </c>
      <c r="CV117" s="1" t="s">
        <v>229</v>
      </c>
      <c r="CW117" s="1" t="s">
        <v>1063</v>
      </c>
      <c r="CX117" s="1" t="s">
        <v>206</v>
      </c>
      <c r="CY117" s="1" t="s">
        <v>301</v>
      </c>
      <c r="CZ117" s="1" t="s">
        <v>229</v>
      </c>
      <c r="DA117" s="1" t="s">
        <v>192</v>
      </c>
      <c r="DB117" s="2">
        <v>41943.0</v>
      </c>
      <c r="DC117" s="1" t="s">
        <v>1353</v>
      </c>
      <c r="DD117" s="1" t="s">
        <v>586</v>
      </c>
      <c r="DE117" s="1" t="s">
        <v>273</v>
      </c>
      <c r="DF117" s="1" t="s">
        <v>619</v>
      </c>
      <c r="DG117" s="1" t="s">
        <v>482</v>
      </c>
      <c r="DH117" s="1" t="s">
        <v>220</v>
      </c>
      <c r="DI117" s="1" t="s">
        <v>2201</v>
      </c>
      <c r="DJ117" s="1" t="s">
        <v>222</v>
      </c>
      <c r="DK117" s="1" t="s">
        <v>223</v>
      </c>
      <c r="DL117" s="1" t="s">
        <v>2220</v>
      </c>
      <c r="DM117" s="1" t="s">
        <v>1022</v>
      </c>
      <c r="DN117" s="1" t="s">
        <v>485</v>
      </c>
      <c r="DP117" s="1" t="s">
        <v>276</v>
      </c>
      <c r="DQ117" s="1" t="s">
        <v>228</v>
      </c>
      <c r="DR117" s="1" t="s">
        <v>1487</v>
      </c>
      <c r="DS117" s="1" t="s">
        <v>591</v>
      </c>
      <c r="DT117" s="1" t="s">
        <v>2443</v>
      </c>
      <c r="DU117" s="1" t="s">
        <v>2444</v>
      </c>
      <c r="DV117" s="1" t="s">
        <v>2445</v>
      </c>
      <c r="DW117" s="1" t="s">
        <v>588</v>
      </c>
      <c r="DX117" s="1" t="s">
        <v>234</v>
      </c>
      <c r="DY117" s="1" t="s">
        <v>2446</v>
      </c>
      <c r="DZ117" s="1" t="s">
        <v>1100</v>
      </c>
      <c r="EA117" s="1" t="s">
        <v>344</v>
      </c>
      <c r="EC117" s="1" t="s">
        <v>237</v>
      </c>
      <c r="ED117" s="1" t="s">
        <v>407</v>
      </c>
      <c r="EE117" s="1" t="s">
        <v>493</v>
      </c>
      <c r="EG117" s="1" t="s">
        <v>556</v>
      </c>
      <c r="EH117" s="1" t="s">
        <v>557</v>
      </c>
      <c r="EL117" s="1" t="s">
        <v>478</v>
      </c>
      <c r="EM117" s="1" t="s">
        <v>206</v>
      </c>
      <c r="EN117" s="1" t="s">
        <v>301</v>
      </c>
      <c r="EO117" s="1" t="s">
        <v>229</v>
      </c>
      <c r="EP117" s="1" t="s">
        <v>1063</v>
      </c>
      <c r="EQ117" s="1" t="s">
        <v>209</v>
      </c>
      <c r="ER117" s="1" t="s">
        <v>210</v>
      </c>
      <c r="ES117" s="1" t="s">
        <v>229</v>
      </c>
      <c r="EU117" s="1" t="s">
        <v>238</v>
      </c>
      <c r="EY117" s="1" t="s">
        <v>238</v>
      </c>
      <c r="FC117" s="1" t="s">
        <v>238</v>
      </c>
      <c r="FF117" s="1" t="s">
        <v>2447</v>
      </c>
      <c r="FG117" s="1" t="s">
        <v>192</v>
      </c>
      <c r="FH117" s="1" t="s">
        <v>200</v>
      </c>
      <c r="FJ117" s="1" t="s">
        <v>347</v>
      </c>
      <c r="FK117" s="1" t="s">
        <v>229</v>
      </c>
      <c r="FL117" s="1" t="s">
        <v>2448</v>
      </c>
      <c r="FM117" s="1">
        <v>92038.0</v>
      </c>
      <c r="FN117" s="1" t="s">
        <v>2449</v>
      </c>
      <c r="FO117" s="1" t="s">
        <v>2450</v>
      </c>
      <c r="FP117" s="1">
        <v>21137.0</v>
      </c>
      <c r="FQ117" s="1" t="s">
        <v>2451</v>
      </c>
      <c r="FT117" s="1">
        <v>8.479844616E9</v>
      </c>
      <c r="FU117" s="1" t="s">
        <v>2452</v>
      </c>
      <c r="FV117" s="1" t="s">
        <v>200</v>
      </c>
      <c r="FW117" s="1" t="s">
        <v>2453</v>
      </c>
      <c r="FZ117" s="1" t="s">
        <v>229</v>
      </c>
      <c r="GA117" s="1" t="s">
        <v>291</v>
      </c>
      <c r="GB117" s="2">
        <v>42136.0</v>
      </c>
      <c r="GC117" s="1" t="s">
        <v>2454</v>
      </c>
    </row>
    <row r="118">
      <c r="A118" s="1">
        <v>314900.0</v>
      </c>
      <c r="B118" s="1" t="s">
        <v>185</v>
      </c>
      <c r="C118" s="1" t="str">
        <f>"08786087"</f>
        <v>08786087</v>
      </c>
      <c r="D118" s="1" t="s">
        <v>186</v>
      </c>
      <c r="F118" s="1" t="str">
        <f>"8042"</f>
        <v>8042</v>
      </c>
      <c r="G118" s="2">
        <v>41957.0</v>
      </c>
      <c r="H118" s="1">
        <v>349900.0</v>
      </c>
      <c r="I118" s="1">
        <v>137.0</v>
      </c>
      <c r="J118" s="1">
        <v>329900.0</v>
      </c>
      <c r="K118" s="2">
        <v>42000.0</v>
      </c>
      <c r="L118" s="1">
        <v>44.0</v>
      </c>
      <c r="M118" s="2">
        <v>42000.0</v>
      </c>
      <c r="N118" s="1" t="s">
        <v>187</v>
      </c>
      <c r="O118" s="2">
        <v>42048.0</v>
      </c>
      <c r="P118" s="1">
        <v>119743.0</v>
      </c>
      <c r="Q118" s="1">
        <v>85387.0</v>
      </c>
      <c r="S118" s="1">
        <v>1112.0</v>
      </c>
      <c r="T118" s="1" t="s">
        <v>2455</v>
      </c>
      <c r="U118" s="1" t="s">
        <v>320</v>
      </c>
      <c r="V118" s="1" t="s">
        <v>190</v>
      </c>
      <c r="W118" s="1">
        <v>60637.0</v>
      </c>
      <c r="Y118" s="1" t="s">
        <v>2456</v>
      </c>
      <c r="Z118" s="1">
        <v>1885.0</v>
      </c>
      <c r="AA118" s="1" t="s">
        <v>192</v>
      </c>
      <c r="AB118" s="1" t="s">
        <v>193</v>
      </c>
      <c r="AD118" s="1" t="s">
        <v>194</v>
      </c>
      <c r="AE118" s="1" t="s">
        <v>195</v>
      </c>
      <c r="AF118" s="1" t="s">
        <v>637</v>
      </c>
      <c r="AG118" s="1" t="s">
        <v>2457</v>
      </c>
      <c r="AH118" s="1" t="s">
        <v>741</v>
      </c>
      <c r="AK118" s="1">
        <v>8.0</v>
      </c>
      <c r="AL118" s="1">
        <v>4.0</v>
      </c>
      <c r="AM118" s="1">
        <v>3.0</v>
      </c>
      <c r="AN118" s="1">
        <v>1.0</v>
      </c>
      <c r="AO118" s="1" t="s">
        <v>198</v>
      </c>
      <c r="AP118" s="1">
        <v>0.0</v>
      </c>
      <c r="AQ118" s="1" t="s">
        <v>472</v>
      </c>
      <c r="AR118" s="1" t="s">
        <v>192</v>
      </c>
      <c r="AS118" s="1" t="s">
        <v>229</v>
      </c>
      <c r="AV118" s="1" t="s">
        <v>200</v>
      </c>
      <c r="AW118" s="4">
        <v>2216.13</v>
      </c>
      <c r="AX118" s="1">
        <v>2013.0</v>
      </c>
      <c r="AY118" s="1" t="s">
        <v>229</v>
      </c>
      <c r="AZ118" s="1" t="s">
        <v>200</v>
      </c>
      <c r="BA118" s="1" t="str">
        <f>"20143110180000"</f>
        <v>20143110180000</v>
      </c>
      <c r="BC118" s="1">
        <v>0.0</v>
      </c>
      <c r="BD118" s="1">
        <v>314900.0</v>
      </c>
      <c r="BE118" s="2">
        <v>41957.0</v>
      </c>
      <c r="BF118" s="2" t="s">
        <v>2458</v>
      </c>
      <c r="BH118" s="1">
        <v>0.0</v>
      </c>
      <c r="BK118" s="1" t="s">
        <v>204</v>
      </c>
      <c r="BL118" s="1" t="str">
        <f>"0"</f>
        <v>0</v>
      </c>
      <c r="BM118" s="1" t="str">
        <f>"1112"</f>
        <v>1112</v>
      </c>
      <c r="BN118" s="1">
        <v>0.0</v>
      </c>
      <c r="BO118" s="1">
        <v>6200.0</v>
      </c>
      <c r="BQ118" s="1">
        <v>299.0</v>
      </c>
      <c r="BR118" s="1">
        <v>299.0</v>
      </c>
      <c r="BS118" s="1">
        <v>299.0</v>
      </c>
      <c r="BU118" s="1" t="s">
        <v>1519</v>
      </c>
      <c r="BV118" s="1" t="s">
        <v>206</v>
      </c>
      <c r="BW118" s="1" t="s">
        <v>207</v>
      </c>
      <c r="BX118" s="1" t="s">
        <v>431</v>
      </c>
      <c r="BY118" s="1" t="s">
        <v>2459</v>
      </c>
      <c r="BZ118" s="1" t="s">
        <v>209</v>
      </c>
      <c r="CA118" s="1" t="s">
        <v>207</v>
      </c>
      <c r="CB118" s="1" t="s">
        <v>431</v>
      </c>
      <c r="CC118" s="1" t="s">
        <v>699</v>
      </c>
      <c r="CD118" s="1" t="s">
        <v>206</v>
      </c>
      <c r="CE118" s="1" t="s">
        <v>207</v>
      </c>
      <c r="CF118" s="1" t="s">
        <v>431</v>
      </c>
      <c r="CG118" s="1" t="s">
        <v>1183</v>
      </c>
      <c r="CH118" s="1" t="s">
        <v>209</v>
      </c>
      <c r="CI118" s="1" t="s">
        <v>207</v>
      </c>
      <c r="CJ118" s="1" t="s">
        <v>431</v>
      </c>
      <c r="CK118" s="1" t="s">
        <v>2460</v>
      </c>
      <c r="CL118" s="1" t="s">
        <v>209</v>
      </c>
      <c r="CM118" s="1" t="s">
        <v>207</v>
      </c>
      <c r="CN118" s="1" t="s">
        <v>431</v>
      </c>
      <c r="CO118" s="1" t="s">
        <v>1351</v>
      </c>
      <c r="CP118" s="1" t="s">
        <v>267</v>
      </c>
      <c r="CQ118" s="1" t="s">
        <v>207</v>
      </c>
      <c r="CR118" s="1" t="s">
        <v>431</v>
      </c>
      <c r="CS118" s="1" t="s">
        <v>212</v>
      </c>
      <c r="CT118" s="1" t="s">
        <v>206</v>
      </c>
      <c r="CU118" s="1" t="s">
        <v>207</v>
      </c>
      <c r="CV118" s="1" t="s">
        <v>431</v>
      </c>
      <c r="CW118" s="1" t="s">
        <v>2461</v>
      </c>
      <c r="CX118" s="1" t="s">
        <v>267</v>
      </c>
      <c r="CY118" s="1" t="s">
        <v>207</v>
      </c>
      <c r="CZ118" s="1" t="s">
        <v>431</v>
      </c>
      <c r="DA118" s="1" t="s">
        <v>200</v>
      </c>
      <c r="DC118" s="1" t="s">
        <v>642</v>
      </c>
      <c r="DD118" s="1" t="s">
        <v>759</v>
      </c>
      <c r="DE118" s="1" t="s">
        <v>273</v>
      </c>
      <c r="DF118" s="1" t="s">
        <v>219</v>
      </c>
      <c r="DG118" s="1" t="s">
        <v>2462</v>
      </c>
      <c r="DH118" s="1" t="s">
        <v>365</v>
      </c>
      <c r="DI118" s="1" t="s">
        <v>1141</v>
      </c>
      <c r="DJ118" s="1" t="s">
        <v>222</v>
      </c>
      <c r="DK118" s="1" t="s">
        <v>223</v>
      </c>
      <c r="DL118" s="1" t="s">
        <v>1161</v>
      </c>
      <c r="DM118" s="1" t="s">
        <v>1143</v>
      </c>
      <c r="DN118" s="1" t="s">
        <v>2463</v>
      </c>
      <c r="DO118" s="1" t="s">
        <v>717</v>
      </c>
      <c r="DP118" s="1" t="s">
        <v>340</v>
      </c>
      <c r="DQ118" s="1" t="s">
        <v>228</v>
      </c>
      <c r="DR118" s="1" t="s">
        <v>229</v>
      </c>
      <c r="DS118" s="1" t="s">
        <v>591</v>
      </c>
      <c r="DU118" s="1" t="s">
        <v>2464</v>
      </c>
      <c r="DV118" s="1" t="s">
        <v>2465</v>
      </c>
      <c r="DW118" s="1" t="s">
        <v>1145</v>
      </c>
      <c r="DX118" s="1" t="s">
        <v>234</v>
      </c>
      <c r="DY118" s="1" t="s">
        <v>879</v>
      </c>
      <c r="DZ118" s="1" t="s">
        <v>1100</v>
      </c>
      <c r="EA118" s="1" t="s">
        <v>2466</v>
      </c>
      <c r="EC118" s="1" t="s">
        <v>237</v>
      </c>
      <c r="EE118" s="1" t="s">
        <v>493</v>
      </c>
      <c r="EG118" s="1" t="s">
        <v>1103</v>
      </c>
      <c r="EH118" s="1" t="s">
        <v>310</v>
      </c>
      <c r="EL118" s="1" t="s">
        <v>2467</v>
      </c>
      <c r="EM118" s="1" t="s">
        <v>267</v>
      </c>
      <c r="EN118" s="1" t="s">
        <v>207</v>
      </c>
      <c r="EP118" s="1" t="s">
        <v>1503</v>
      </c>
      <c r="EQ118" s="1" t="s">
        <v>206</v>
      </c>
      <c r="ER118" s="1" t="s">
        <v>588</v>
      </c>
      <c r="EU118" s="1" t="s">
        <v>238</v>
      </c>
      <c r="EY118" s="1" t="s">
        <v>238</v>
      </c>
      <c r="FC118" s="1" t="s">
        <v>238</v>
      </c>
      <c r="FF118" s="1" t="s">
        <v>239</v>
      </c>
      <c r="FG118" s="1" t="s">
        <v>192</v>
      </c>
      <c r="FH118" s="1" t="s">
        <v>192</v>
      </c>
      <c r="FJ118" s="1" t="s">
        <v>2468</v>
      </c>
      <c r="FK118" s="1" t="s">
        <v>229</v>
      </c>
      <c r="FL118" s="1" t="s">
        <v>2469</v>
      </c>
      <c r="FM118" s="1">
        <v>84992.0</v>
      </c>
      <c r="FN118" s="1" t="s">
        <v>2470</v>
      </c>
      <c r="FO118" s="1" t="s">
        <v>2471</v>
      </c>
      <c r="FP118" s="1">
        <v>113209.0</v>
      </c>
      <c r="FQ118" s="1" t="s">
        <v>2472</v>
      </c>
      <c r="FU118" s="1" t="s">
        <v>2473</v>
      </c>
      <c r="FV118" s="1" t="s">
        <v>200</v>
      </c>
      <c r="FW118" s="1" t="s">
        <v>290</v>
      </c>
      <c r="FX118" s="1" t="s">
        <v>1739</v>
      </c>
      <c r="FZ118" s="1" t="s">
        <v>229</v>
      </c>
      <c r="GA118" s="1" t="s">
        <v>291</v>
      </c>
      <c r="GB118" s="2">
        <v>42053.0</v>
      </c>
      <c r="GC118" s="1" t="s">
        <v>2474</v>
      </c>
    </row>
    <row r="119">
      <c r="A119" s="1">
        <v>385000.0</v>
      </c>
      <c r="B119" s="1" t="s">
        <v>185</v>
      </c>
      <c r="C119" s="1" t="str">
        <f>"08763795"</f>
        <v>08763795</v>
      </c>
      <c r="D119" s="1" t="s">
        <v>186</v>
      </c>
      <c r="F119" s="1" t="str">
        <f>"134"</f>
        <v>134</v>
      </c>
      <c r="G119" s="2">
        <v>41940.0</v>
      </c>
      <c r="H119" s="1">
        <v>399000.0</v>
      </c>
      <c r="I119" s="1">
        <v>193.0</v>
      </c>
      <c r="J119" s="1">
        <v>399000.0</v>
      </c>
      <c r="K119" s="2">
        <v>41980.0</v>
      </c>
      <c r="L119" s="1">
        <v>41.0</v>
      </c>
      <c r="M119" s="2">
        <v>41980.0</v>
      </c>
      <c r="N119" s="1" t="s">
        <v>187</v>
      </c>
      <c r="O119" s="2">
        <v>42002.0</v>
      </c>
      <c r="P119" s="1">
        <v>766.0</v>
      </c>
      <c r="Q119" s="1">
        <v>771.0</v>
      </c>
      <c r="R119" s="1">
        <v>5000.0</v>
      </c>
      <c r="S119" s="1" t="s">
        <v>2475</v>
      </c>
      <c r="T119" s="1" t="s">
        <v>2476</v>
      </c>
      <c r="U119" s="1" t="s">
        <v>569</v>
      </c>
      <c r="V119" s="1" t="s">
        <v>421</v>
      </c>
      <c r="W119" s="1">
        <v>60134.0</v>
      </c>
      <c r="Y119" s="1" t="s">
        <v>2477</v>
      </c>
      <c r="Z119" s="1">
        <v>2009.0</v>
      </c>
      <c r="AA119" s="1" t="s">
        <v>200</v>
      </c>
      <c r="AB119" s="1" t="s">
        <v>193</v>
      </c>
      <c r="AC119" s="1" t="s">
        <v>2478</v>
      </c>
      <c r="AD119" s="1" t="s">
        <v>1089</v>
      </c>
      <c r="AE119" s="1" t="s">
        <v>325</v>
      </c>
      <c r="AF119" s="1" t="s">
        <v>424</v>
      </c>
      <c r="AH119" s="1" t="s">
        <v>2479</v>
      </c>
      <c r="AK119" s="1">
        <v>9.0</v>
      </c>
      <c r="AL119" s="1">
        <v>4.0</v>
      </c>
      <c r="AM119" s="1">
        <v>2.0</v>
      </c>
      <c r="AN119" s="1">
        <v>1.0</v>
      </c>
      <c r="AO119" s="1" t="s">
        <v>198</v>
      </c>
      <c r="AP119" s="1">
        <v>1.0</v>
      </c>
      <c r="AQ119" s="1" t="s">
        <v>198</v>
      </c>
      <c r="AR119" s="1" t="s">
        <v>200</v>
      </c>
      <c r="AS119" s="1" t="s">
        <v>199</v>
      </c>
      <c r="AT119" s="1">
        <v>3.0</v>
      </c>
      <c r="AV119" s="1" t="s">
        <v>200</v>
      </c>
      <c r="AW119" s="1">
        <v>10784.0</v>
      </c>
      <c r="AX119" s="1">
        <v>2013.0</v>
      </c>
      <c r="AY119" s="1" t="s">
        <v>387</v>
      </c>
      <c r="AZ119" s="1" t="s">
        <v>200</v>
      </c>
      <c r="BA119" s="1" t="str">
        <f>"1207254003"</f>
        <v>1207254003</v>
      </c>
      <c r="BC119" s="1">
        <v>2822.0</v>
      </c>
      <c r="BD119" s="1">
        <v>385000.0</v>
      </c>
      <c r="BE119" s="2">
        <v>41940.0</v>
      </c>
      <c r="BF119" s="2" t="s">
        <v>2480</v>
      </c>
      <c r="BH119" s="1">
        <v>0.0</v>
      </c>
      <c r="BJ119" s="1" t="s">
        <v>430</v>
      </c>
      <c r="BK119" s="1" t="s">
        <v>204</v>
      </c>
      <c r="BL119" s="1" t="str">
        <f t="shared" ref="BL119:BM119" si="78">""</f>
        <v/>
      </c>
      <c r="BM119" s="1" t="str">
        <f t="shared" si="78"/>
        <v/>
      </c>
      <c r="BQ119" s="1">
        <v>304.0</v>
      </c>
      <c r="BR119" s="1">
        <v>304.0</v>
      </c>
      <c r="BS119" s="1">
        <v>304.0</v>
      </c>
      <c r="BU119" s="1" t="s">
        <v>1395</v>
      </c>
      <c r="BV119" s="1" t="s">
        <v>206</v>
      </c>
      <c r="BW119" s="1" t="s">
        <v>210</v>
      </c>
      <c r="BX119" s="1" t="s">
        <v>239</v>
      </c>
      <c r="BY119" s="1" t="s">
        <v>304</v>
      </c>
      <c r="BZ119" s="1" t="s">
        <v>209</v>
      </c>
      <c r="CA119" s="1" t="s">
        <v>210</v>
      </c>
      <c r="CB119" s="1" t="s">
        <v>239</v>
      </c>
      <c r="CC119" s="1" t="s">
        <v>302</v>
      </c>
      <c r="CD119" s="1" t="s">
        <v>206</v>
      </c>
      <c r="CE119" s="1" t="s">
        <v>210</v>
      </c>
      <c r="CF119" s="1" t="s">
        <v>239</v>
      </c>
      <c r="CG119" s="1" t="s">
        <v>478</v>
      </c>
      <c r="CH119" s="1" t="s">
        <v>209</v>
      </c>
      <c r="CI119" s="1" t="s">
        <v>210</v>
      </c>
      <c r="CJ119" s="1" t="s">
        <v>239</v>
      </c>
      <c r="CK119" s="1" t="s">
        <v>363</v>
      </c>
      <c r="CL119" s="1" t="s">
        <v>209</v>
      </c>
      <c r="CM119" s="1" t="s">
        <v>210</v>
      </c>
      <c r="CN119" s="1" t="s">
        <v>239</v>
      </c>
      <c r="CO119" s="1" t="s">
        <v>302</v>
      </c>
      <c r="CP119" s="1" t="s">
        <v>209</v>
      </c>
      <c r="CQ119" s="1" t="s">
        <v>210</v>
      </c>
      <c r="CR119" s="1" t="s">
        <v>239</v>
      </c>
      <c r="CS119" s="1" t="s">
        <v>1190</v>
      </c>
      <c r="CT119" s="1" t="s">
        <v>206</v>
      </c>
      <c r="CU119" s="1" t="s">
        <v>207</v>
      </c>
      <c r="CV119" s="1" t="s">
        <v>239</v>
      </c>
      <c r="CW119" s="1" t="s">
        <v>2481</v>
      </c>
      <c r="CX119" s="1" t="s">
        <v>206</v>
      </c>
      <c r="CY119" s="1" t="s">
        <v>207</v>
      </c>
      <c r="CZ119" s="1" t="s">
        <v>239</v>
      </c>
      <c r="DA119" s="1" t="s">
        <v>200</v>
      </c>
      <c r="DC119" s="1" t="s">
        <v>1046</v>
      </c>
      <c r="DD119" s="1" t="s">
        <v>1838</v>
      </c>
      <c r="DE119" s="1" t="s">
        <v>273</v>
      </c>
      <c r="DF119" s="1" t="s">
        <v>219</v>
      </c>
      <c r="DG119" s="1" t="s">
        <v>2482</v>
      </c>
      <c r="DH119" s="1" t="s">
        <v>220</v>
      </c>
      <c r="DI119" s="1" t="s">
        <v>519</v>
      </c>
      <c r="DJ119" s="1" t="s">
        <v>222</v>
      </c>
      <c r="DL119" s="1" t="s">
        <v>223</v>
      </c>
      <c r="DM119" s="1" t="s">
        <v>929</v>
      </c>
      <c r="DN119" s="1" t="s">
        <v>485</v>
      </c>
      <c r="DP119" s="1" t="s">
        <v>340</v>
      </c>
      <c r="DQ119" s="1" t="s">
        <v>228</v>
      </c>
      <c r="DR119" s="1" t="s">
        <v>229</v>
      </c>
      <c r="DS119" s="1" t="s">
        <v>368</v>
      </c>
      <c r="DU119" s="1" t="s">
        <v>1840</v>
      </c>
      <c r="DV119" s="1" t="s">
        <v>494</v>
      </c>
      <c r="DW119" s="1" t="s">
        <v>233</v>
      </c>
      <c r="DX119" s="1" t="s">
        <v>234</v>
      </c>
      <c r="DY119" s="1" t="s">
        <v>490</v>
      </c>
      <c r="DZ119" s="1" t="s">
        <v>2483</v>
      </c>
      <c r="EB119" s="1" t="s">
        <v>937</v>
      </c>
      <c r="EC119" s="1" t="s">
        <v>237</v>
      </c>
      <c r="ED119" s="1" t="s">
        <v>407</v>
      </c>
      <c r="EG119" s="1" t="s">
        <v>494</v>
      </c>
      <c r="EL119" s="1" t="s">
        <v>302</v>
      </c>
      <c r="EM119" s="1" t="s">
        <v>206</v>
      </c>
      <c r="EN119" s="1" t="s">
        <v>210</v>
      </c>
      <c r="EO119" s="1" t="s">
        <v>239</v>
      </c>
      <c r="EQ119" s="1" t="s">
        <v>238</v>
      </c>
      <c r="EU119" s="1" t="s">
        <v>238</v>
      </c>
      <c r="EY119" s="1" t="s">
        <v>238</v>
      </c>
      <c r="FC119" s="1" t="s">
        <v>238</v>
      </c>
      <c r="FF119" s="1" t="s">
        <v>239</v>
      </c>
      <c r="FG119" s="1" t="s">
        <v>192</v>
      </c>
      <c r="FH119" s="1" t="s">
        <v>192</v>
      </c>
      <c r="FJ119" s="1" t="s">
        <v>498</v>
      </c>
      <c r="FK119" s="1" t="s">
        <v>229</v>
      </c>
      <c r="FL119" s="1" t="s">
        <v>2484</v>
      </c>
      <c r="FM119" s="1">
        <v>75503.0</v>
      </c>
      <c r="FN119" s="1" t="s">
        <v>2485</v>
      </c>
      <c r="FO119" s="1" t="s">
        <v>2486</v>
      </c>
      <c r="FP119" s="1">
        <v>701329.0</v>
      </c>
      <c r="FQ119" s="1" t="s">
        <v>2487</v>
      </c>
      <c r="FU119" s="1" t="s">
        <v>2030</v>
      </c>
      <c r="FV119" s="1" t="s">
        <v>200</v>
      </c>
      <c r="FW119" s="1" t="s">
        <v>654</v>
      </c>
      <c r="FZ119" s="1" t="s">
        <v>229</v>
      </c>
      <c r="GA119" s="1" t="s">
        <v>291</v>
      </c>
      <c r="GB119" s="2">
        <v>42002.0</v>
      </c>
      <c r="GC119" s="1" t="s">
        <v>2488</v>
      </c>
    </row>
    <row r="120">
      <c r="A120" s="1">
        <v>159000.0</v>
      </c>
      <c r="B120" s="1" t="s">
        <v>185</v>
      </c>
      <c r="C120" s="1" t="str">
        <f>"08760393"</f>
        <v>08760393</v>
      </c>
      <c r="D120" s="1" t="s">
        <v>186</v>
      </c>
      <c r="F120" s="1" t="str">
        <f>"8014"</f>
        <v>8014</v>
      </c>
      <c r="G120" s="2">
        <v>41935.0</v>
      </c>
      <c r="H120" s="1">
        <v>195000.0</v>
      </c>
      <c r="I120" s="1">
        <v>117.0</v>
      </c>
      <c r="J120" s="1">
        <v>195000.0</v>
      </c>
      <c r="K120" s="2">
        <v>41948.0</v>
      </c>
      <c r="L120" s="1">
        <v>14.0</v>
      </c>
      <c r="M120" s="2">
        <v>41948.0</v>
      </c>
      <c r="N120" s="1" t="s">
        <v>187</v>
      </c>
      <c r="O120" s="2">
        <v>41971.0</v>
      </c>
      <c r="P120" s="1">
        <v>141348.0</v>
      </c>
      <c r="Q120" s="1">
        <v>85100.0</v>
      </c>
      <c r="S120" s="1">
        <v>4857.0</v>
      </c>
      <c r="T120" s="1" t="s">
        <v>2489</v>
      </c>
      <c r="U120" s="1" t="s">
        <v>189</v>
      </c>
      <c r="V120" s="1" t="s">
        <v>190</v>
      </c>
      <c r="W120" s="1">
        <v>60630.0</v>
      </c>
      <c r="Y120" s="1" t="s">
        <v>2490</v>
      </c>
      <c r="Z120" s="1">
        <v>1961.0</v>
      </c>
      <c r="AA120" s="1" t="s">
        <v>192</v>
      </c>
      <c r="AB120" s="1" t="s">
        <v>193</v>
      </c>
      <c r="AD120" s="1" t="s">
        <v>194</v>
      </c>
      <c r="AE120" s="1" t="s">
        <v>195</v>
      </c>
      <c r="AF120" s="1" t="s">
        <v>196</v>
      </c>
      <c r="AG120" s="1" t="s">
        <v>874</v>
      </c>
      <c r="AH120" s="1" t="s">
        <v>741</v>
      </c>
      <c r="AI120" s="1">
        <v>0.0717</v>
      </c>
      <c r="AK120" s="1">
        <v>7.0</v>
      </c>
      <c r="AL120" s="1">
        <v>3.0</v>
      </c>
      <c r="AM120" s="1">
        <v>1.0</v>
      </c>
      <c r="AN120" s="1">
        <v>0.0</v>
      </c>
      <c r="AO120" s="1" t="s">
        <v>229</v>
      </c>
      <c r="AQ120" s="1" t="s">
        <v>198</v>
      </c>
      <c r="AR120" s="1" t="s">
        <v>200</v>
      </c>
      <c r="AS120" s="1" t="s">
        <v>199</v>
      </c>
      <c r="AT120" s="1">
        <v>2.0</v>
      </c>
      <c r="AV120" s="1" t="s">
        <v>200</v>
      </c>
      <c r="AW120" s="1">
        <v>4725.0</v>
      </c>
      <c r="AX120" s="1">
        <v>2013.0</v>
      </c>
      <c r="AY120" s="1" t="s">
        <v>229</v>
      </c>
      <c r="AZ120" s="1" t="s">
        <v>200</v>
      </c>
      <c r="BA120" s="1" t="str">
        <f>"13103090320000"</f>
        <v>13103090320000</v>
      </c>
      <c r="BB120" s="1" t="s">
        <v>200</v>
      </c>
      <c r="BC120" s="1">
        <v>1221.0</v>
      </c>
      <c r="BD120" s="1">
        <v>159000.0</v>
      </c>
      <c r="BE120" s="2">
        <v>41935.0</v>
      </c>
      <c r="BF120" s="2" t="s">
        <v>2491</v>
      </c>
      <c r="BH120" s="1">
        <v>0.0</v>
      </c>
      <c r="BK120" s="1" t="s">
        <v>204</v>
      </c>
      <c r="BL120" s="1" t="str">
        <f>"4857"</f>
        <v>4857</v>
      </c>
      <c r="BM120" s="1" t="str">
        <f t="shared" ref="BM120:BM123" si="79">"0"</f>
        <v>0</v>
      </c>
      <c r="BN120" s="1">
        <v>4700.0</v>
      </c>
      <c r="BO120" s="1">
        <v>0.0</v>
      </c>
      <c r="BQ120" s="1">
        <v>299.0</v>
      </c>
      <c r="BR120" s="1">
        <v>299.0</v>
      </c>
      <c r="BS120" s="1">
        <v>299.0</v>
      </c>
      <c r="BU120" s="1" t="s">
        <v>924</v>
      </c>
      <c r="BV120" s="1" t="s">
        <v>206</v>
      </c>
      <c r="BW120" s="1" t="s">
        <v>207</v>
      </c>
      <c r="BX120" s="1" t="s">
        <v>239</v>
      </c>
      <c r="BY120" s="1" t="s">
        <v>640</v>
      </c>
      <c r="BZ120" s="1" t="s">
        <v>206</v>
      </c>
      <c r="CA120" s="1" t="s">
        <v>207</v>
      </c>
      <c r="CB120" s="1" t="s">
        <v>239</v>
      </c>
      <c r="CD120" s="1" t="s">
        <v>204</v>
      </c>
      <c r="CG120" s="1" t="s">
        <v>495</v>
      </c>
      <c r="CH120" s="1" t="s">
        <v>206</v>
      </c>
      <c r="CI120" s="1" t="s">
        <v>207</v>
      </c>
      <c r="CJ120" s="1" t="s">
        <v>239</v>
      </c>
      <c r="CK120" s="1" t="s">
        <v>269</v>
      </c>
      <c r="CL120" s="1" t="s">
        <v>206</v>
      </c>
      <c r="CM120" s="1" t="s">
        <v>207</v>
      </c>
      <c r="CN120" s="1" t="s">
        <v>239</v>
      </c>
      <c r="CO120" s="1" t="s">
        <v>265</v>
      </c>
      <c r="CP120" s="1" t="s">
        <v>42</v>
      </c>
      <c r="CQ120" s="1" t="s">
        <v>617</v>
      </c>
      <c r="CR120" s="1" t="s">
        <v>239</v>
      </c>
      <c r="CS120" s="1" t="s">
        <v>1246</v>
      </c>
      <c r="CT120" s="1" t="s">
        <v>206</v>
      </c>
      <c r="CX120" s="1" t="s">
        <v>204</v>
      </c>
      <c r="DA120" s="1" t="s">
        <v>200</v>
      </c>
      <c r="DC120" s="1" t="s">
        <v>271</v>
      </c>
      <c r="DD120" s="1" t="s">
        <v>518</v>
      </c>
      <c r="DE120" s="1" t="s">
        <v>273</v>
      </c>
      <c r="DF120" s="1" t="s">
        <v>219</v>
      </c>
      <c r="DG120" s="1" t="s">
        <v>337</v>
      </c>
      <c r="DH120" s="1" t="s">
        <v>365</v>
      </c>
      <c r="DI120" s="1" t="s">
        <v>1401</v>
      </c>
      <c r="DJ120" s="1" t="s">
        <v>1048</v>
      </c>
      <c r="DL120" s="1" t="s">
        <v>224</v>
      </c>
      <c r="DM120" s="1" t="s">
        <v>1247</v>
      </c>
      <c r="DQ120" s="1" t="s">
        <v>228</v>
      </c>
      <c r="DR120" s="1" t="s">
        <v>229</v>
      </c>
      <c r="DS120" s="1" t="s">
        <v>230</v>
      </c>
      <c r="DV120" s="1" t="s">
        <v>450</v>
      </c>
      <c r="DW120" s="1" t="s">
        <v>279</v>
      </c>
      <c r="DX120" s="1" t="s">
        <v>234</v>
      </c>
      <c r="DY120" s="1" t="s">
        <v>1122</v>
      </c>
      <c r="DZ120" s="1" t="s">
        <v>1466</v>
      </c>
      <c r="EA120" s="1" t="s">
        <v>683</v>
      </c>
      <c r="EC120" s="1" t="s">
        <v>685</v>
      </c>
      <c r="EE120" s="1" t="s">
        <v>493</v>
      </c>
      <c r="EG120" s="1" t="s">
        <v>450</v>
      </c>
      <c r="EL120" s="1" t="s">
        <v>2492</v>
      </c>
      <c r="EM120" s="1" t="s">
        <v>42</v>
      </c>
      <c r="EN120" s="1" t="s">
        <v>617</v>
      </c>
      <c r="EO120" s="1" t="s">
        <v>239</v>
      </c>
      <c r="EQ120" s="1" t="s">
        <v>238</v>
      </c>
      <c r="EU120" s="1" t="s">
        <v>238</v>
      </c>
      <c r="EY120" s="1" t="s">
        <v>238</v>
      </c>
      <c r="FC120" s="1" t="s">
        <v>238</v>
      </c>
      <c r="FF120" s="1" t="s">
        <v>239</v>
      </c>
      <c r="FG120" s="1" t="s">
        <v>192</v>
      </c>
      <c r="FH120" s="1" t="s">
        <v>192</v>
      </c>
      <c r="FJ120" s="1" t="s">
        <v>2493</v>
      </c>
      <c r="FK120" s="1" t="s">
        <v>229</v>
      </c>
      <c r="FL120" s="1" t="s">
        <v>2494</v>
      </c>
      <c r="FM120" s="1">
        <v>12085.0</v>
      </c>
      <c r="FN120" s="1" t="s">
        <v>2495</v>
      </c>
      <c r="FO120" s="1" t="s">
        <v>2496</v>
      </c>
      <c r="FP120" s="1">
        <v>105675.0</v>
      </c>
      <c r="FQ120" s="1" t="s">
        <v>2497</v>
      </c>
      <c r="FS120" s="1" t="s">
        <v>2498</v>
      </c>
      <c r="FU120" s="1" t="s">
        <v>2499</v>
      </c>
      <c r="FV120" s="1" t="s">
        <v>200</v>
      </c>
      <c r="FW120" s="1" t="s">
        <v>290</v>
      </c>
      <c r="FX120" s="1" t="s">
        <v>238</v>
      </c>
      <c r="FZ120" s="1" t="s">
        <v>229</v>
      </c>
      <c r="GA120" s="1" t="s">
        <v>247</v>
      </c>
      <c r="GB120" s="2">
        <v>41972.0</v>
      </c>
      <c r="GC120" s="1" t="s">
        <v>2500</v>
      </c>
    </row>
    <row r="121">
      <c r="A121" s="1">
        <v>430000.0</v>
      </c>
      <c r="B121" s="1" t="s">
        <v>185</v>
      </c>
      <c r="C121" s="1" t="str">
        <f>"08760312"</f>
        <v>08760312</v>
      </c>
      <c r="D121" s="1" t="s">
        <v>186</v>
      </c>
      <c r="F121" s="1" t="str">
        <f>"8021"</f>
        <v>8021</v>
      </c>
      <c r="G121" s="2">
        <v>41935.0</v>
      </c>
      <c r="H121" s="1">
        <v>445000.0</v>
      </c>
      <c r="I121" s="1">
        <v>289.0</v>
      </c>
      <c r="J121" s="1">
        <v>445000.0</v>
      </c>
      <c r="K121" s="2">
        <v>42023.0</v>
      </c>
      <c r="L121" s="1">
        <v>89.0</v>
      </c>
      <c r="M121" s="2">
        <v>42023.0</v>
      </c>
      <c r="N121" s="1" t="s">
        <v>187</v>
      </c>
      <c r="O121" s="2">
        <v>42052.0</v>
      </c>
      <c r="P121" s="1">
        <v>122916.0</v>
      </c>
      <c r="Q121" s="1">
        <v>10317.0</v>
      </c>
      <c r="S121" s="1">
        <v>3945.0</v>
      </c>
      <c r="T121" s="1" t="s">
        <v>2501</v>
      </c>
      <c r="U121" s="1" t="s">
        <v>320</v>
      </c>
      <c r="V121" s="1" t="s">
        <v>190</v>
      </c>
      <c r="W121" s="1">
        <v>60618.0</v>
      </c>
      <c r="Y121" s="1" t="s">
        <v>2502</v>
      </c>
      <c r="Z121" s="1">
        <v>1906.0</v>
      </c>
      <c r="AA121" s="1" t="s">
        <v>192</v>
      </c>
      <c r="AB121" s="1" t="s">
        <v>193</v>
      </c>
      <c r="AD121" s="1" t="s">
        <v>194</v>
      </c>
      <c r="AE121" s="1" t="s">
        <v>195</v>
      </c>
      <c r="AF121" s="1" t="s">
        <v>196</v>
      </c>
      <c r="AH121" s="1" t="s">
        <v>2503</v>
      </c>
      <c r="AI121" s="1">
        <v>0.1201</v>
      </c>
      <c r="AK121" s="1">
        <v>9.0</v>
      </c>
      <c r="AL121" s="1">
        <v>4.0</v>
      </c>
      <c r="AM121" s="1">
        <v>2.0</v>
      </c>
      <c r="AN121" s="1">
        <v>1.0</v>
      </c>
      <c r="AO121" s="1" t="s">
        <v>1261</v>
      </c>
      <c r="AP121" s="1">
        <v>1.0</v>
      </c>
      <c r="AQ121" s="1" t="s">
        <v>198</v>
      </c>
      <c r="AR121" s="1" t="s">
        <v>200</v>
      </c>
      <c r="AS121" s="1" t="s">
        <v>199</v>
      </c>
      <c r="AT121" s="1">
        <v>2.0</v>
      </c>
      <c r="AV121" s="1" t="s">
        <v>200</v>
      </c>
      <c r="AW121" s="1">
        <v>4978.12</v>
      </c>
      <c r="AX121" s="1">
        <v>2012.0</v>
      </c>
      <c r="AY121" s="1" t="s">
        <v>229</v>
      </c>
      <c r="AZ121" s="1" t="s">
        <v>200</v>
      </c>
      <c r="BA121" s="1" t="str">
        <f>"13233050070000"</f>
        <v>13233050070000</v>
      </c>
      <c r="BC121" s="1">
        <v>0.0</v>
      </c>
      <c r="BD121" s="1">
        <v>430000.0</v>
      </c>
      <c r="BE121" s="2">
        <v>41935.0</v>
      </c>
      <c r="BF121" s="2" t="s">
        <v>2504</v>
      </c>
      <c r="BH121" s="1">
        <v>0.0</v>
      </c>
      <c r="BK121" s="1" t="s">
        <v>204</v>
      </c>
      <c r="BL121" s="1" t="str">
        <f>"3550"</f>
        <v>3550</v>
      </c>
      <c r="BM121" s="1" t="str">
        <f t="shared" si="79"/>
        <v>0</v>
      </c>
      <c r="BN121" s="1">
        <v>3945.0</v>
      </c>
      <c r="BO121" s="1">
        <v>0.0</v>
      </c>
      <c r="BQ121" s="1">
        <v>299.0</v>
      </c>
      <c r="BR121" s="1">
        <v>299.0</v>
      </c>
      <c r="BS121" s="1">
        <v>299.0</v>
      </c>
      <c r="BU121" s="1" t="s">
        <v>262</v>
      </c>
      <c r="BV121" s="1" t="s">
        <v>206</v>
      </c>
      <c r="BW121" s="1" t="s">
        <v>207</v>
      </c>
      <c r="BY121" s="1" t="s">
        <v>205</v>
      </c>
      <c r="BZ121" s="1" t="s">
        <v>391</v>
      </c>
      <c r="CA121" s="1" t="s">
        <v>207</v>
      </c>
      <c r="CC121" s="1" t="s">
        <v>924</v>
      </c>
      <c r="CD121" s="1" t="s">
        <v>206</v>
      </c>
      <c r="CE121" s="1" t="s">
        <v>207</v>
      </c>
      <c r="CG121" s="1" t="s">
        <v>332</v>
      </c>
      <c r="CH121" s="1" t="s">
        <v>209</v>
      </c>
      <c r="CI121" s="1" t="s">
        <v>207</v>
      </c>
      <c r="CK121" s="1" t="s">
        <v>266</v>
      </c>
      <c r="CL121" s="1" t="s">
        <v>209</v>
      </c>
      <c r="CM121" s="1" t="s">
        <v>207</v>
      </c>
      <c r="CO121" s="1" t="s">
        <v>2505</v>
      </c>
      <c r="CP121" s="1" t="s">
        <v>209</v>
      </c>
      <c r="CQ121" s="1" t="s">
        <v>207</v>
      </c>
      <c r="CS121" s="1" t="s">
        <v>816</v>
      </c>
      <c r="CT121" s="1" t="s">
        <v>206</v>
      </c>
      <c r="CU121" s="1" t="s">
        <v>207</v>
      </c>
      <c r="CX121" s="1" t="s">
        <v>204</v>
      </c>
      <c r="DA121" s="1" t="s">
        <v>200</v>
      </c>
      <c r="DC121" s="1" t="s">
        <v>642</v>
      </c>
      <c r="DD121" s="1" t="s">
        <v>731</v>
      </c>
      <c r="DE121" s="1" t="s">
        <v>273</v>
      </c>
      <c r="DF121" s="1" t="s">
        <v>219</v>
      </c>
      <c r="DH121" s="1" t="s">
        <v>307</v>
      </c>
      <c r="DI121" s="1" t="s">
        <v>519</v>
      </c>
      <c r="DJ121" s="1" t="s">
        <v>1048</v>
      </c>
      <c r="DK121" s="1" t="s">
        <v>2506</v>
      </c>
      <c r="DL121" s="1" t="s">
        <v>1161</v>
      </c>
      <c r="DM121" s="1" t="s">
        <v>1919</v>
      </c>
      <c r="DP121" s="1" t="s">
        <v>340</v>
      </c>
      <c r="DQ121" s="1" t="s">
        <v>794</v>
      </c>
      <c r="DR121" s="1" t="s">
        <v>229</v>
      </c>
      <c r="DS121" s="1" t="s">
        <v>230</v>
      </c>
      <c r="DV121" s="1" t="s">
        <v>643</v>
      </c>
      <c r="DW121" s="1" t="s">
        <v>370</v>
      </c>
      <c r="DX121" s="1" t="s">
        <v>234</v>
      </c>
      <c r="DY121" s="1" t="s">
        <v>765</v>
      </c>
      <c r="DZ121" s="1" t="s">
        <v>2507</v>
      </c>
      <c r="EB121" s="1" t="s">
        <v>797</v>
      </c>
      <c r="EC121" s="1" t="s">
        <v>237</v>
      </c>
      <c r="EG121" s="1" t="s">
        <v>556</v>
      </c>
      <c r="EH121" s="1" t="s">
        <v>598</v>
      </c>
      <c r="EL121" s="1" t="s">
        <v>2508</v>
      </c>
      <c r="EM121" s="1" t="s">
        <v>206</v>
      </c>
      <c r="EN121" s="1" t="s">
        <v>207</v>
      </c>
      <c r="EP121" s="1" t="s">
        <v>700</v>
      </c>
      <c r="EQ121" s="1" t="s">
        <v>42</v>
      </c>
      <c r="ER121" s="1" t="s">
        <v>210</v>
      </c>
      <c r="EU121" s="1" t="s">
        <v>238</v>
      </c>
      <c r="EY121" s="1" t="s">
        <v>238</v>
      </c>
      <c r="FC121" s="1" t="s">
        <v>238</v>
      </c>
      <c r="FF121" s="1" t="s">
        <v>239</v>
      </c>
      <c r="FG121" s="1" t="s">
        <v>192</v>
      </c>
      <c r="FH121" s="1" t="s">
        <v>192</v>
      </c>
      <c r="FJ121" s="1" t="s">
        <v>561</v>
      </c>
      <c r="FK121" s="1" t="s">
        <v>229</v>
      </c>
      <c r="FL121" s="1" t="s">
        <v>562</v>
      </c>
      <c r="FM121" s="1">
        <v>84025.0</v>
      </c>
      <c r="FN121" s="1" t="s">
        <v>2509</v>
      </c>
      <c r="FO121" s="1" t="s">
        <v>2510</v>
      </c>
      <c r="FP121" s="1">
        <v>129730.0</v>
      </c>
      <c r="FQ121" s="1" t="s">
        <v>2511</v>
      </c>
      <c r="FU121" s="1" t="s">
        <v>2512</v>
      </c>
      <c r="FV121" s="1" t="s">
        <v>200</v>
      </c>
      <c r="FW121" s="1" t="s">
        <v>2513</v>
      </c>
      <c r="FX121" s="1" t="s">
        <v>246</v>
      </c>
      <c r="FZ121" s="1" t="s">
        <v>229</v>
      </c>
      <c r="GA121" s="1" t="s">
        <v>291</v>
      </c>
      <c r="GB121" s="2">
        <v>42052.0</v>
      </c>
      <c r="GC121" s="1" t="s">
        <v>2514</v>
      </c>
    </row>
    <row r="122">
      <c r="A122" s="1">
        <v>240000.0</v>
      </c>
      <c r="B122" s="1" t="s">
        <v>185</v>
      </c>
      <c r="C122" s="1" t="str">
        <f>"08761676"</f>
        <v>08761676</v>
      </c>
      <c r="D122" s="1" t="s">
        <v>186</v>
      </c>
      <c r="F122" s="1" t="str">
        <f>"8014"</f>
        <v>8014</v>
      </c>
      <c r="G122" s="2">
        <v>41937.0</v>
      </c>
      <c r="H122" s="1">
        <v>250000.0</v>
      </c>
      <c r="I122" s="1">
        <v>104.0</v>
      </c>
      <c r="J122" s="1">
        <v>250000.0</v>
      </c>
      <c r="K122" s="2">
        <v>41974.0</v>
      </c>
      <c r="L122" s="1">
        <v>38.0</v>
      </c>
      <c r="M122" s="2">
        <v>41974.0</v>
      </c>
      <c r="N122" s="1" t="s">
        <v>187</v>
      </c>
      <c r="O122" s="2">
        <v>42055.0</v>
      </c>
      <c r="P122" s="1">
        <v>233206.0</v>
      </c>
      <c r="Q122" s="1">
        <v>25649.0</v>
      </c>
      <c r="S122" s="1">
        <v>4507.0</v>
      </c>
      <c r="T122" s="1" t="s">
        <v>2515</v>
      </c>
      <c r="U122" s="1" t="s">
        <v>189</v>
      </c>
      <c r="V122" s="1" t="s">
        <v>190</v>
      </c>
      <c r="W122" s="1">
        <v>60630.0</v>
      </c>
      <c r="Y122" s="1" t="s">
        <v>2516</v>
      </c>
      <c r="Z122" s="1">
        <v>1923.0</v>
      </c>
      <c r="AA122" s="1" t="s">
        <v>192</v>
      </c>
      <c r="AB122" s="1" t="s">
        <v>193</v>
      </c>
      <c r="AD122" s="1" t="s">
        <v>194</v>
      </c>
      <c r="AE122" s="1" t="s">
        <v>195</v>
      </c>
      <c r="AF122" s="1" t="s">
        <v>196</v>
      </c>
      <c r="AG122" s="1" t="s">
        <v>778</v>
      </c>
      <c r="AH122" s="1" t="s">
        <v>2517</v>
      </c>
      <c r="AK122" s="1">
        <v>8.0</v>
      </c>
      <c r="AL122" s="1">
        <v>4.0</v>
      </c>
      <c r="AM122" s="1">
        <v>2.0</v>
      </c>
      <c r="AN122" s="1">
        <v>0.0</v>
      </c>
      <c r="AO122" s="1" t="s">
        <v>229</v>
      </c>
      <c r="AQ122" s="1" t="s">
        <v>198</v>
      </c>
      <c r="AR122" s="1" t="s">
        <v>192</v>
      </c>
      <c r="AS122" s="1" t="s">
        <v>199</v>
      </c>
      <c r="AT122" s="1">
        <v>2.0</v>
      </c>
      <c r="AV122" s="1" t="s">
        <v>200</v>
      </c>
      <c r="AW122" s="1">
        <v>3497.14</v>
      </c>
      <c r="AX122" s="1">
        <v>2013.0</v>
      </c>
      <c r="AY122" s="1" t="s">
        <v>1179</v>
      </c>
      <c r="AZ122" s="1" t="s">
        <v>200</v>
      </c>
      <c r="BA122" s="1" t="str">
        <f>"13103040070000"</f>
        <v>13103040070000</v>
      </c>
      <c r="BC122" s="1">
        <v>867.0</v>
      </c>
      <c r="BD122" s="1">
        <v>240000.0</v>
      </c>
      <c r="BE122" s="2">
        <v>41937.0</v>
      </c>
      <c r="BF122" s="2" t="s">
        <v>2518</v>
      </c>
      <c r="BG122" s="1" t="s">
        <v>2519</v>
      </c>
      <c r="BH122" s="1">
        <v>0.0</v>
      </c>
      <c r="BK122" s="1" t="s">
        <v>204</v>
      </c>
      <c r="BL122" s="1" t="str">
        <f>"5200"</f>
        <v>5200</v>
      </c>
      <c r="BM122" s="1" t="str">
        <f t="shared" si="79"/>
        <v>0</v>
      </c>
      <c r="BN122" s="1">
        <v>4500.0</v>
      </c>
      <c r="BO122" s="1">
        <v>0.0</v>
      </c>
      <c r="BQ122" s="1">
        <v>299.0</v>
      </c>
      <c r="BR122" s="1">
        <v>299.0</v>
      </c>
      <c r="BS122" s="1">
        <v>299.0</v>
      </c>
      <c r="BU122" s="1" t="s">
        <v>1382</v>
      </c>
      <c r="BV122" s="1" t="s">
        <v>206</v>
      </c>
      <c r="BW122" s="1" t="s">
        <v>210</v>
      </c>
      <c r="BY122" s="1" t="s">
        <v>453</v>
      </c>
      <c r="BZ122" s="1" t="s">
        <v>209</v>
      </c>
      <c r="CC122" s="1" t="s">
        <v>332</v>
      </c>
      <c r="CD122" s="1" t="s">
        <v>206</v>
      </c>
      <c r="CE122" s="1" t="s">
        <v>210</v>
      </c>
      <c r="CG122" s="1" t="s">
        <v>758</v>
      </c>
      <c r="CH122" s="1" t="s">
        <v>209</v>
      </c>
      <c r="CK122" s="1" t="s">
        <v>269</v>
      </c>
      <c r="CL122" s="1" t="s">
        <v>206</v>
      </c>
      <c r="CO122" s="1" t="s">
        <v>269</v>
      </c>
      <c r="CP122" s="1" t="s">
        <v>206</v>
      </c>
      <c r="CS122" s="1" t="s">
        <v>495</v>
      </c>
      <c r="CT122" s="1" t="s">
        <v>206</v>
      </c>
      <c r="CU122" s="1" t="s">
        <v>617</v>
      </c>
      <c r="CX122" s="1" t="s">
        <v>204</v>
      </c>
      <c r="DA122" s="1" t="s">
        <v>200</v>
      </c>
      <c r="DC122" s="1" t="s">
        <v>216</v>
      </c>
      <c r="DD122" s="1" t="s">
        <v>518</v>
      </c>
      <c r="DE122" s="1" t="s">
        <v>273</v>
      </c>
      <c r="DF122" s="1" t="s">
        <v>219</v>
      </c>
      <c r="DG122" s="1" t="s">
        <v>337</v>
      </c>
      <c r="DH122" s="1" t="s">
        <v>365</v>
      </c>
      <c r="DI122" s="1" t="s">
        <v>1463</v>
      </c>
      <c r="DJ122" s="1" t="s">
        <v>222</v>
      </c>
      <c r="DL122" s="1" t="s">
        <v>858</v>
      </c>
      <c r="DM122" s="1" t="s">
        <v>225</v>
      </c>
      <c r="DO122" s="1" t="s">
        <v>2520</v>
      </c>
      <c r="DP122" s="1" t="s">
        <v>400</v>
      </c>
      <c r="DQ122" s="1" t="s">
        <v>228</v>
      </c>
      <c r="DR122" s="1" t="s">
        <v>229</v>
      </c>
      <c r="DS122" s="1" t="s">
        <v>230</v>
      </c>
      <c r="DU122" s="1" t="s">
        <v>681</v>
      </c>
      <c r="DV122" s="1" t="s">
        <v>2521</v>
      </c>
      <c r="DW122" s="1" t="s">
        <v>279</v>
      </c>
      <c r="DX122" s="1" t="s">
        <v>234</v>
      </c>
      <c r="DY122" s="1" t="s">
        <v>553</v>
      </c>
      <c r="DZ122" s="1" t="s">
        <v>1661</v>
      </c>
      <c r="EA122" s="1" t="s">
        <v>644</v>
      </c>
      <c r="EC122" s="1" t="s">
        <v>237</v>
      </c>
      <c r="EG122" s="1" t="s">
        <v>450</v>
      </c>
      <c r="EH122" s="1" t="s">
        <v>374</v>
      </c>
      <c r="EL122" s="1" t="s">
        <v>730</v>
      </c>
      <c r="EM122" s="1" t="s">
        <v>42</v>
      </c>
      <c r="EP122" s="1" t="s">
        <v>2522</v>
      </c>
      <c r="EQ122" s="1" t="s">
        <v>206</v>
      </c>
      <c r="ER122" s="1" t="s">
        <v>617</v>
      </c>
      <c r="EU122" s="1" t="s">
        <v>238</v>
      </c>
      <c r="EY122" s="1" t="s">
        <v>238</v>
      </c>
      <c r="FC122" s="1" t="s">
        <v>238</v>
      </c>
      <c r="FF122" s="1" t="s">
        <v>239</v>
      </c>
      <c r="FG122" s="1" t="s">
        <v>192</v>
      </c>
      <c r="FH122" s="1" t="s">
        <v>192</v>
      </c>
      <c r="FJ122" s="1" t="s">
        <v>2285</v>
      </c>
      <c r="FK122" s="1" t="s">
        <v>229</v>
      </c>
      <c r="FL122" s="1" t="s">
        <v>974</v>
      </c>
      <c r="FM122" s="1">
        <v>1746.0</v>
      </c>
      <c r="FN122" s="1" t="s">
        <v>2523</v>
      </c>
      <c r="FO122" s="1" t="s">
        <v>2524</v>
      </c>
      <c r="FP122" s="1">
        <v>82137.0</v>
      </c>
      <c r="FQ122" s="1" t="s">
        <v>2525</v>
      </c>
      <c r="FU122" s="1" t="s">
        <v>2526</v>
      </c>
      <c r="FV122" s="1" t="s">
        <v>200</v>
      </c>
      <c r="FW122" s="1" t="s">
        <v>530</v>
      </c>
      <c r="FX122" s="1" t="s">
        <v>246</v>
      </c>
      <c r="FZ122" s="1" t="s">
        <v>229</v>
      </c>
      <c r="GA122" s="1" t="s">
        <v>291</v>
      </c>
      <c r="GB122" s="2">
        <v>42055.0</v>
      </c>
    </row>
    <row r="123">
      <c r="A123" s="1">
        <v>318750.0</v>
      </c>
      <c r="B123" s="1" t="s">
        <v>185</v>
      </c>
      <c r="C123" s="1" t="str">
        <f>"08762520"</f>
        <v>08762520</v>
      </c>
      <c r="D123" s="1" t="s">
        <v>186</v>
      </c>
      <c r="F123" s="1" t="str">
        <f>"8011"</f>
        <v>8011</v>
      </c>
      <c r="G123" s="2">
        <v>41939.0</v>
      </c>
      <c r="H123" s="1">
        <v>325000.0</v>
      </c>
      <c r="I123" s="1">
        <v>87.0</v>
      </c>
      <c r="J123" s="1">
        <v>325000.0</v>
      </c>
      <c r="K123" s="2">
        <v>41979.0</v>
      </c>
      <c r="L123" s="1">
        <v>41.0</v>
      </c>
      <c r="M123" s="2">
        <v>41979.0</v>
      </c>
      <c r="N123" s="1" t="s">
        <v>187</v>
      </c>
      <c r="O123" s="2">
        <v>42002.0</v>
      </c>
      <c r="P123" s="1">
        <v>34384.0</v>
      </c>
      <c r="Q123" s="1">
        <v>4474.0</v>
      </c>
      <c r="R123" s="1">
        <v>3500.0</v>
      </c>
      <c r="S123" s="1">
        <v>4950.0</v>
      </c>
      <c r="T123" s="1" t="s">
        <v>2527</v>
      </c>
      <c r="U123" s="1" t="s">
        <v>189</v>
      </c>
      <c r="V123" s="1" t="s">
        <v>190</v>
      </c>
      <c r="W123" s="1">
        <v>60630.0</v>
      </c>
      <c r="Y123" s="1" t="s">
        <v>2528</v>
      </c>
      <c r="Z123" s="1">
        <v>1948.0</v>
      </c>
      <c r="AA123" s="1" t="s">
        <v>192</v>
      </c>
      <c r="AB123" s="1" t="s">
        <v>193</v>
      </c>
      <c r="AD123" s="1" t="s">
        <v>194</v>
      </c>
      <c r="AE123" s="1" t="s">
        <v>195</v>
      </c>
      <c r="AF123" s="1" t="s">
        <v>196</v>
      </c>
      <c r="AH123" s="1" t="s">
        <v>2529</v>
      </c>
      <c r="AK123" s="1">
        <v>8.0</v>
      </c>
      <c r="AL123" s="1">
        <v>4.0</v>
      </c>
      <c r="AM123" s="1">
        <v>3.0</v>
      </c>
      <c r="AN123" s="1">
        <v>0.0</v>
      </c>
      <c r="AO123" s="1" t="s">
        <v>198</v>
      </c>
      <c r="AQ123" s="1" t="s">
        <v>472</v>
      </c>
      <c r="AR123" s="1" t="s">
        <v>192</v>
      </c>
      <c r="AS123" s="1" t="s">
        <v>199</v>
      </c>
      <c r="AT123" s="1">
        <v>2.0</v>
      </c>
      <c r="AV123" s="1" t="s">
        <v>200</v>
      </c>
      <c r="AW123" s="1">
        <v>4164.69</v>
      </c>
      <c r="AX123" s="1">
        <v>2013.0</v>
      </c>
      <c r="AZ123" s="1" t="s">
        <v>200</v>
      </c>
      <c r="BA123" s="1" t="str">
        <f>"13084251160000"</f>
        <v>13084251160000</v>
      </c>
      <c r="BC123" s="1">
        <v>1400.0</v>
      </c>
      <c r="BD123" s="1">
        <v>318750.0</v>
      </c>
      <c r="BE123" s="2">
        <v>41939.0</v>
      </c>
      <c r="BF123" s="2" t="s">
        <v>2530</v>
      </c>
      <c r="BG123" s="1" t="s">
        <v>2531</v>
      </c>
      <c r="BH123" s="1">
        <v>0.0</v>
      </c>
      <c r="BI123" s="1" t="s">
        <v>2531</v>
      </c>
      <c r="BJ123" s="1" t="s">
        <v>1222</v>
      </c>
      <c r="BK123" s="1" t="s">
        <v>204</v>
      </c>
      <c r="BL123" s="1" t="str">
        <f>"4950"</f>
        <v>4950</v>
      </c>
      <c r="BM123" s="1" t="str">
        <f t="shared" si="79"/>
        <v>0</v>
      </c>
      <c r="BN123" s="1">
        <v>5970.0</v>
      </c>
      <c r="BO123" s="1">
        <v>0.0</v>
      </c>
      <c r="BQ123" s="1">
        <v>299.0</v>
      </c>
      <c r="BR123" s="1">
        <v>299.0</v>
      </c>
      <c r="BS123" s="1">
        <v>299.0</v>
      </c>
      <c r="BU123" s="1" t="s">
        <v>1426</v>
      </c>
      <c r="BV123" s="1" t="s">
        <v>206</v>
      </c>
      <c r="BW123" s="1" t="s">
        <v>207</v>
      </c>
      <c r="BX123" s="1" t="s">
        <v>1118</v>
      </c>
      <c r="BY123" s="1" t="s">
        <v>432</v>
      </c>
      <c r="BZ123" s="1" t="s">
        <v>209</v>
      </c>
      <c r="CA123" s="1" t="s">
        <v>210</v>
      </c>
      <c r="CB123" s="1" t="s">
        <v>431</v>
      </c>
      <c r="CC123" s="1" t="s">
        <v>264</v>
      </c>
      <c r="CD123" s="1" t="s">
        <v>206</v>
      </c>
      <c r="CE123" s="1" t="s">
        <v>207</v>
      </c>
      <c r="CG123" s="1" t="s">
        <v>392</v>
      </c>
      <c r="CH123" s="1" t="s">
        <v>206</v>
      </c>
      <c r="CI123" s="1" t="s">
        <v>207</v>
      </c>
      <c r="CJ123" s="1" t="s">
        <v>431</v>
      </c>
      <c r="CK123" s="1" t="s">
        <v>497</v>
      </c>
      <c r="CL123" s="1" t="s">
        <v>206</v>
      </c>
      <c r="CM123" s="1" t="s">
        <v>207</v>
      </c>
      <c r="CN123" s="1" t="s">
        <v>431</v>
      </c>
      <c r="CO123" s="1" t="s">
        <v>729</v>
      </c>
      <c r="CP123" s="1" t="s">
        <v>267</v>
      </c>
      <c r="CQ123" s="1" t="s">
        <v>268</v>
      </c>
      <c r="CR123" s="1" t="s">
        <v>431</v>
      </c>
      <c r="CS123" s="1" t="s">
        <v>497</v>
      </c>
      <c r="CT123" s="1" t="s">
        <v>206</v>
      </c>
      <c r="CU123" s="1" t="s">
        <v>207</v>
      </c>
      <c r="CW123" s="1" t="s">
        <v>1426</v>
      </c>
      <c r="CX123" s="1" t="s">
        <v>267</v>
      </c>
      <c r="CY123" s="1" t="s">
        <v>268</v>
      </c>
      <c r="DA123" s="1" t="s">
        <v>200</v>
      </c>
      <c r="DC123" s="1" t="s">
        <v>702</v>
      </c>
      <c r="DD123" s="1" t="s">
        <v>518</v>
      </c>
      <c r="DE123" s="1" t="s">
        <v>273</v>
      </c>
      <c r="DF123" s="1" t="s">
        <v>219</v>
      </c>
      <c r="DG123" s="1" t="s">
        <v>1160</v>
      </c>
      <c r="DH123" s="1" t="s">
        <v>365</v>
      </c>
      <c r="DI123" s="1" t="s">
        <v>2532</v>
      </c>
      <c r="DJ123" s="1" t="s">
        <v>222</v>
      </c>
      <c r="DL123" s="1" t="s">
        <v>224</v>
      </c>
      <c r="DM123" s="1" t="s">
        <v>229</v>
      </c>
      <c r="DO123" s="1" t="s">
        <v>590</v>
      </c>
      <c r="DP123" s="1" t="s">
        <v>340</v>
      </c>
      <c r="DQ123" s="1" t="s">
        <v>794</v>
      </c>
      <c r="DR123" s="1" t="s">
        <v>229</v>
      </c>
      <c r="DV123" s="1" t="s">
        <v>1102</v>
      </c>
      <c r="DW123" s="1" t="s">
        <v>279</v>
      </c>
      <c r="DX123" s="1" t="s">
        <v>234</v>
      </c>
      <c r="DY123" s="1" t="s">
        <v>2533</v>
      </c>
      <c r="DZ123" s="1" t="s">
        <v>2534</v>
      </c>
      <c r="EA123" s="1" t="s">
        <v>2535</v>
      </c>
      <c r="EC123" s="1" t="s">
        <v>237</v>
      </c>
      <c r="EG123" s="1" t="s">
        <v>1102</v>
      </c>
      <c r="EL123" s="1" t="s">
        <v>497</v>
      </c>
      <c r="EM123" s="1" t="s">
        <v>206</v>
      </c>
      <c r="EN123" s="1" t="s">
        <v>207</v>
      </c>
      <c r="EQ123" s="1" t="s">
        <v>238</v>
      </c>
      <c r="EU123" s="1" t="s">
        <v>238</v>
      </c>
      <c r="EY123" s="1" t="s">
        <v>238</v>
      </c>
      <c r="FC123" s="1" t="s">
        <v>238</v>
      </c>
      <c r="FF123" s="1" t="s">
        <v>239</v>
      </c>
      <c r="FG123" s="1" t="s">
        <v>192</v>
      </c>
      <c r="FH123" s="1" t="s">
        <v>192</v>
      </c>
      <c r="FJ123" s="1" t="s">
        <v>561</v>
      </c>
      <c r="FK123" s="1" t="s">
        <v>229</v>
      </c>
      <c r="FL123" s="1" t="s">
        <v>562</v>
      </c>
      <c r="FM123" s="1">
        <v>85774.0</v>
      </c>
      <c r="FN123" s="1" t="s">
        <v>2369</v>
      </c>
      <c r="FO123" s="1" t="s">
        <v>2536</v>
      </c>
      <c r="FP123" s="1">
        <v>877836.0</v>
      </c>
      <c r="FQ123" s="1" t="s">
        <v>2537</v>
      </c>
      <c r="FU123" s="1" t="s">
        <v>2538</v>
      </c>
      <c r="FV123" s="1" t="s">
        <v>200</v>
      </c>
      <c r="FW123" s="1" t="s">
        <v>290</v>
      </c>
      <c r="FX123" s="1" t="s">
        <v>238</v>
      </c>
      <c r="FZ123" s="1" t="s">
        <v>229</v>
      </c>
      <c r="GA123" s="1" t="s">
        <v>291</v>
      </c>
      <c r="GB123" s="2">
        <v>42003.0</v>
      </c>
      <c r="GC123" s="1" t="s">
        <v>2539</v>
      </c>
    </row>
    <row r="124">
      <c r="A124" s="1">
        <v>300000.0</v>
      </c>
      <c r="B124" s="1" t="s">
        <v>185</v>
      </c>
      <c r="C124" s="1" t="str">
        <f>"08797261"</f>
        <v>08797261</v>
      </c>
      <c r="D124" s="1" t="s">
        <v>186</v>
      </c>
      <c r="F124" s="1" t="str">
        <f>"543"</f>
        <v>543</v>
      </c>
      <c r="G124" s="2">
        <v>41978.0</v>
      </c>
      <c r="H124" s="1">
        <v>309000.0</v>
      </c>
      <c r="I124" s="1">
        <v>26.0</v>
      </c>
      <c r="J124" s="1">
        <v>309000.0</v>
      </c>
      <c r="K124" s="2">
        <v>42001.0</v>
      </c>
      <c r="L124" s="1">
        <v>26.0</v>
      </c>
      <c r="M124" s="2">
        <v>42001.0</v>
      </c>
      <c r="N124" s="1" t="s">
        <v>356</v>
      </c>
      <c r="O124" s="2">
        <v>42100.0</v>
      </c>
      <c r="P124" s="1">
        <v>242603.0</v>
      </c>
      <c r="Q124" s="1">
        <v>23156.0</v>
      </c>
      <c r="S124" s="1">
        <v>5250.0</v>
      </c>
      <c r="T124" s="1" t="s">
        <v>2540</v>
      </c>
      <c r="U124" s="1" t="s">
        <v>464</v>
      </c>
      <c r="V124" s="1" t="s">
        <v>1527</v>
      </c>
      <c r="W124" s="1">
        <v>60543.0</v>
      </c>
      <c r="Y124" s="1" t="s">
        <v>2541</v>
      </c>
      <c r="Z124" s="1">
        <v>1980.0</v>
      </c>
      <c r="AA124" s="1" t="s">
        <v>200</v>
      </c>
      <c r="AB124" s="1" t="s">
        <v>193</v>
      </c>
      <c r="AD124" s="1" t="s">
        <v>1089</v>
      </c>
      <c r="AE124" s="1" t="s">
        <v>849</v>
      </c>
      <c r="AF124" s="1" t="s">
        <v>1529</v>
      </c>
      <c r="AH124" s="1" t="s">
        <v>2542</v>
      </c>
      <c r="AI124" s="1">
        <v>4.0</v>
      </c>
      <c r="AK124" s="1">
        <v>8.0</v>
      </c>
      <c r="AL124" s="1">
        <v>4.0</v>
      </c>
      <c r="AM124" s="1">
        <v>2.0</v>
      </c>
      <c r="AN124" s="1">
        <v>1.0</v>
      </c>
      <c r="AO124" s="1" t="s">
        <v>229</v>
      </c>
      <c r="AP124" s="1">
        <v>1.0</v>
      </c>
      <c r="AQ124" s="1" t="s">
        <v>198</v>
      </c>
      <c r="AR124" s="1" t="s">
        <v>200</v>
      </c>
      <c r="AS124" s="1" t="s">
        <v>199</v>
      </c>
      <c r="AT124" s="1">
        <v>2.0</v>
      </c>
      <c r="AV124" s="1" t="s">
        <v>192</v>
      </c>
      <c r="AW124" s="6">
        <v>14199.0</v>
      </c>
      <c r="AX124" s="1">
        <v>2013.0</v>
      </c>
      <c r="AY124" s="1" t="s">
        <v>387</v>
      </c>
      <c r="AZ124" s="1" t="s">
        <v>200</v>
      </c>
      <c r="BA124" s="1" t="str">
        <f>"0334201009"</f>
        <v>0334201009</v>
      </c>
      <c r="BB124" s="1" t="s">
        <v>192</v>
      </c>
      <c r="BC124" s="1">
        <v>2462.0</v>
      </c>
      <c r="BD124" s="1">
        <v>300000.0</v>
      </c>
      <c r="BE124" s="2">
        <v>41976.0</v>
      </c>
      <c r="BF124" s="2" t="s">
        <v>2543</v>
      </c>
      <c r="BG124" s="1" t="s">
        <v>2544</v>
      </c>
      <c r="BH124" s="1">
        <v>0.0</v>
      </c>
      <c r="BI124" s="1" t="s">
        <v>2545</v>
      </c>
      <c r="BJ124" s="1" t="s">
        <v>2546</v>
      </c>
      <c r="BK124" s="1" t="s">
        <v>204</v>
      </c>
      <c r="BL124" s="1" t="str">
        <f t="shared" ref="BL124:BM124" si="80">""</f>
        <v/>
      </c>
      <c r="BM124" s="1" t="str">
        <f t="shared" si="80"/>
        <v/>
      </c>
      <c r="BQ124" s="1">
        <v>308.0</v>
      </c>
      <c r="BR124" s="1">
        <v>308.0</v>
      </c>
      <c r="BS124" s="1">
        <v>308.0</v>
      </c>
      <c r="BU124" s="1" t="s">
        <v>1068</v>
      </c>
      <c r="BV124" s="1" t="s">
        <v>206</v>
      </c>
      <c r="BW124" s="1" t="s">
        <v>210</v>
      </c>
      <c r="BX124" s="1" t="s">
        <v>229</v>
      </c>
      <c r="BY124" s="1" t="s">
        <v>639</v>
      </c>
      <c r="BZ124" s="1" t="s">
        <v>209</v>
      </c>
      <c r="CA124" s="1" t="s">
        <v>210</v>
      </c>
      <c r="CB124" s="1" t="s">
        <v>229</v>
      </c>
      <c r="CC124" s="1" t="s">
        <v>495</v>
      </c>
      <c r="CD124" s="1" t="s">
        <v>206</v>
      </c>
      <c r="CE124" s="1" t="s">
        <v>210</v>
      </c>
      <c r="CF124" s="1" t="s">
        <v>229</v>
      </c>
      <c r="CG124" s="1" t="s">
        <v>1517</v>
      </c>
      <c r="CH124" s="1" t="s">
        <v>209</v>
      </c>
      <c r="CI124" s="1" t="s">
        <v>210</v>
      </c>
      <c r="CJ124" s="1" t="s">
        <v>229</v>
      </c>
      <c r="CK124" s="1" t="s">
        <v>830</v>
      </c>
      <c r="CL124" s="1" t="s">
        <v>206</v>
      </c>
      <c r="CM124" s="1" t="s">
        <v>210</v>
      </c>
      <c r="CN124" s="1" t="s">
        <v>229</v>
      </c>
      <c r="CO124" s="1" t="s">
        <v>495</v>
      </c>
      <c r="CP124" s="1" t="s">
        <v>206</v>
      </c>
      <c r="CQ124" s="1" t="s">
        <v>210</v>
      </c>
      <c r="CR124" s="1" t="s">
        <v>229</v>
      </c>
      <c r="CS124" s="1" t="s">
        <v>730</v>
      </c>
      <c r="CT124" s="1" t="s">
        <v>206</v>
      </c>
      <c r="CU124" s="1" t="s">
        <v>617</v>
      </c>
      <c r="CV124" s="1" t="s">
        <v>229</v>
      </c>
      <c r="CW124" s="1" t="s">
        <v>304</v>
      </c>
      <c r="CX124" s="1" t="s">
        <v>206</v>
      </c>
      <c r="CY124" s="1" t="s">
        <v>210</v>
      </c>
      <c r="CZ124" s="1" t="s">
        <v>229</v>
      </c>
      <c r="DA124" s="1" t="s">
        <v>200</v>
      </c>
      <c r="DC124" s="1" t="s">
        <v>395</v>
      </c>
      <c r="DD124" s="1" t="s">
        <v>518</v>
      </c>
      <c r="DE124" s="1" t="s">
        <v>273</v>
      </c>
      <c r="DF124" s="1" t="s">
        <v>905</v>
      </c>
      <c r="DG124" s="1" t="s">
        <v>2123</v>
      </c>
      <c r="DH124" s="1" t="s">
        <v>856</v>
      </c>
      <c r="DI124" s="1" t="s">
        <v>2547</v>
      </c>
      <c r="DJ124" s="1" t="s">
        <v>857</v>
      </c>
      <c r="DL124" s="1" t="s">
        <v>223</v>
      </c>
      <c r="DM124" s="1" t="s">
        <v>338</v>
      </c>
      <c r="DO124" s="1" t="s">
        <v>2548</v>
      </c>
      <c r="DP124" s="1" t="s">
        <v>340</v>
      </c>
      <c r="DQ124" s="1" t="s">
        <v>2549</v>
      </c>
      <c r="DR124" s="1" t="s">
        <v>229</v>
      </c>
      <c r="DU124" s="1" t="s">
        <v>2550</v>
      </c>
      <c r="DV124" s="1" t="s">
        <v>232</v>
      </c>
      <c r="DW124" s="1" t="s">
        <v>934</v>
      </c>
      <c r="DX124" s="1" t="s">
        <v>234</v>
      </c>
      <c r="DZ124" s="1" t="s">
        <v>2551</v>
      </c>
      <c r="EA124" s="1" t="s">
        <v>1075</v>
      </c>
      <c r="EB124" s="1" t="s">
        <v>345</v>
      </c>
      <c r="EC124" s="1" t="s">
        <v>237</v>
      </c>
      <c r="ED124" s="1" t="s">
        <v>407</v>
      </c>
      <c r="EM124" s="1" t="s">
        <v>238</v>
      </c>
      <c r="EQ124" s="1" t="s">
        <v>238</v>
      </c>
      <c r="EU124" s="1" t="s">
        <v>238</v>
      </c>
      <c r="EY124" s="1" t="s">
        <v>238</v>
      </c>
      <c r="FC124" s="1" t="s">
        <v>238</v>
      </c>
      <c r="FF124" s="1" t="s">
        <v>239</v>
      </c>
      <c r="FG124" s="1" t="s">
        <v>192</v>
      </c>
      <c r="FH124" s="1" t="s">
        <v>192</v>
      </c>
      <c r="FJ124" s="1" t="s">
        <v>2552</v>
      </c>
      <c r="FK124" s="1" t="s">
        <v>229</v>
      </c>
      <c r="FL124" s="1" t="s">
        <v>456</v>
      </c>
      <c r="FM124" s="1">
        <v>23156.0</v>
      </c>
      <c r="FN124" s="1" t="s">
        <v>2553</v>
      </c>
      <c r="FO124" s="1" t="s">
        <v>2554</v>
      </c>
      <c r="FP124" s="1">
        <v>240525.0</v>
      </c>
      <c r="FQ124" s="1" t="s">
        <v>2555</v>
      </c>
      <c r="FS124" s="1" t="s">
        <v>2556</v>
      </c>
      <c r="FU124" s="1" t="s">
        <v>2557</v>
      </c>
      <c r="FV124" s="1" t="s">
        <v>200</v>
      </c>
      <c r="FW124" s="1" t="s">
        <v>290</v>
      </c>
      <c r="FZ124" s="1" t="s">
        <v>229</v>
      </c>
      <c r="GA124" s="1" t="s">
        <v>291</v>
      </c>
      <c r="GB124" s="2">
        <v>42100.0</v>
      </c>
      <c r="GC124" s="1" t="s">
        <v>2558</v>
      </c>
    </row>
    <row r="125">
      <c r="A125" s="1">
        <v>86800.0</v>
      </c>
      <c r="B125" s="1" t="s">
        <v>185</v>
      </c>
      <c r="C125" s="1" t="str">
        <f>"08762481"</f>
        <v>08762481</v>
      </c>
      <c r="D125" s="1" t="s">
        <v>186</v>
      </c>
      <c r="F125" s="1" t="str">
        <f>"8071"</f>
        <v>8071</v>
      </c>
      <c r="G125" s="2">
        <v>41939.0</v>
      </c>
      <c r="H125" s="1">
        <v>87000.0</v>
      </c>
      <c r="I125" s="1">
        <v>761.0</v>
      </c>
      <c r="J125" s="1">
        <v>86800.0</v>
      </c>
      <c r="K125" s="2">
        <v>41982.0</v>
      </c>
      <c r="L125" s="1">
        <v>44.0</v>
      </c>
      <c r="M125" s="2">
        <v>41982.0</v>
      </c>
      <c r="N125" s="1" t="s">
        <v>187</v>
      </c>
      <c r="O125" s="2">
        <v>42020.0</v>
      </c>
      <c r="P125" s="1">
        <v>185204.0</v>
      </c>
      <c r="Q125" s="1">
        <v>84563.0</v>
      </c>
      <c r="R125" s="1">
        <v>2604.0</v>
      </c>
      <c r="S125" s="1">
        <v>8013.0</v>
      </c>
      <c r="T125" s="1" t="s">
        <v>2559</v>
      </c>
      <c r="U125" s="1" t="s">
        <v>320</v>
      </c>
      <c r="V125" s="1" t="s">
        <v>190</v>
      </c>
      <c r="W125" s="1">
        <v>60620.0</v>
      </c>
      <c r="Y125" s="1" t="s">
        <v>2560</v>
      </c>
      <c r="Z125" s="1">
        <v>1912.0</v>
      </c>
      <c r="AA125" s="1" t="s">
        <v>192</v>
      </c>
      <c r="AB125" s="1" t="s">
        <v>193</v>
      </c>
      <c r="AD125" s="1" t="s">
        <v>194</v>
      </c>
      <c r="AE125" s="1" t="s">
        <v>195</v>
      </c>
      <c r="AF125" s="1" t="s">
        <v>659</v>
      </c>
      <c r="AH125" s="1" t="s">
        <v>2561</v>
      </c>
      <c r="AK125" s="1">
        <v>8.0</v>
      </c>
      <c r="AL125" s="1">
        <v>3.0</v>
      </c>
      <c r="AM125" s="1">
        <v>2.0</v>
      </c>
      <c r="AN125" s="1">
        <v>0.0</v>
      </c>
      <c r="AO125" s="1" t="s">
        <v>229</v>
      </c>
      <c r="AP125" s="1">
        <v>1.0</v>
      </c>
      <c r="AQ125" s="1" t="s">
        <v>198</v>
      </c>
      <c r="AR125" s="1" t="s">
        <v>192</v>
      </c>
      <c r="AS125" s="1" t="s">
        <v>199</v>
      </c>
      <c r="AT125" s="1">
        <v>2.0</v>
      </c>
      <c r="AV125" s="1" t="s">
        <v>200</v>
      </c>
      <c r="AW125" s="1">
        <v>1410.0</v>
      </c>
      <c r="AX125" s="1">
        <v>2012.0</v>
      </c>
      <c r="AY125" s="1" t="s">
        <v>387</v>
      </c>
      <c r="AZ125" s="1" t="s">
        <v>200</v>
      </c>
      <c r="BA125" s="1" t="str">
        <f>"20321110040000"</f>
        <v>20321110040000</v>
      </c>
      <c r="BB125" s="1" t="s">
        <v>200</v>
      </c>
      <c r="BC125" s="1">
        <v>1500.0</v>
      </c>
      <c r="BD125" s="1">
        <v>86800.0</v>
      </c>
      <c r="BE125" s="2">
        <v>41939.0</v>
      </c>
      <c r="BF125" s="2" t="s">
        <v>2562</v>
      </c>
      <c r="BH125" s="1">
        <v>0.0</v>
      </c>
      <c r="BK125" s="1" t="s">
        <v>204</v>
      </c>
      <c r="BL125" s="1" t="str">
        <f t="shared" ref="BL125:BM125" si="81">"0"</f>
        <v>0</v>
      </c>
      <c r="BM125" s="1" t="str">
        <f t="shared" si="81"/>
        <v>0</v>
      </c>
      <c r="BN125" s="1">
        <v>1400.0</v>
      </c>
      <c r="BO125" s="1">
        <v>8013.0</v>
      </c>
      <c r="BQ125" s="1">
        <v>299.0</v>
      </c>
      <c r="BR125" s="1">
        <v>299.0</v>
      </c>
      <c r="BS125" s="1">
        <v>299.0</v>
      </c>
      <c r="BU125" s="1" t="s">
        <v>639</v>
      </c>
      <c r="BV125" s="1" t="s">
        <v>206</v>
      </c>
      <c r="BW125" s="1" t="s">
        <v>207</v>
      </c>
      <c r="BY125" s="1" t="s">
        <v>2563</v>
      </c>
      <c r="BZ125" s="1" t="s">
        <v>209</v>
      </c>
      <c r="CA125" s="1" t="s">
        <v>210</v>
      </c>
      <c r="CC125" s="1" t="s">
        <v>1117</v>
      </c>
      <c r="CD125" s="1" t="s">
        <v>206</v>
      </c>
      <c r="CE125" s="1" t="s">
        <v>207</v>
      </c>
      <c r="CG125" s="1" t="s">
        <v>363</v>
      </c>
      <c r="CH125" s="1" t="s">
        <v>206</v>
      </c>
      <c r="CI125" s="1" t="s">
        <v>207</v>
      </c>
      <c r="CK125" s="1" t="s">
        <v>264</v>
      </c>
      <c r="CL125" s="1" t="s">
        <v>206</v>
      </c>
      <c r="CM125" s="1" t="s">
        <v>207</v>
      </c>
      <c r="CO125" s="1" t="s">
        <v>2564</v>
      </c>
      <c r="CP125" s="1" t="s">
        <v>42</v>
      </c>
      <c r="CQ125" s="1" t="s">
        <v>268</v>
      </c>
      <c r="CS125" s="1" t="s">
        <v>663</v>
      </c>
      <c r="CT125" s="1" t="s">
        <v>206</v>
      </c>
      <c r="CU125" s="1" t="s">
        <v>268</v>
      </c>
      <c r="CW125" s="1" t="s">
        <v>2565</v>
      </c>
      <c r="CX125" s="1" t="s">
        <v>42</v>
      </c>
      <c r="CY125" s="1" t="s">
        <v>268</v>
      </c>
      <c r="DA125" s="1" t="s">
        <v>200</v>
      </c>
      <c r="DC125" s="1" t="s">
        <v>642</v>
      </c>
      <c r="DD125" s="1" t="s">
        <v>2566</v>
      </c>
      <c r="DE125" s="1" t="s">
        <v>229</v>
      </c>
      <c r="DF125" s="1" t="s">
        <v>619</v>
      </c>
      <c r="DH125" s="1" t="s">
        <v>365</v>
      </c>
      <c r="DI125" s="1" t="s">
        <v>2567</v>
      </c>
      <c r="DJ125" s="1" t="s">
        <v>222</v>
      </c>
      <c r="DK125" s="1" t="s">
        <v>2506</v>
      </c>
      <c r="DL125" s="1" t="s">
        <v>1161</v>
      </c>
      <c r="DM125" s="1" t="s">
        <v>229</v>
      </c>
      <c r="DP125" s="1" t="s">
        <v>340</v>
      </c>
      <c r="DQ125" s="1" t="s">
        <v>228</v>
      </c>
      <c r="DR125" s="1" t="s">
        <v>229</v>
      </c>
      <c r="DV125" s="1" t="s">
        <v>2568</v>
      </c>
      <c r="DW125" s="1" t="s">
        <v>279</v>
      </c>
      <c r="DX125" s="1" t="s">
        <v>234</v>
      </c>
      <c r="DZ125" s="1" t="s">
        <v>343</v>
      </c>
      <c r="EA125" s="1" t="s">
        <v>644</v>
      </c>
      <c r="EB125" s="1" t="s">
        <v>797</v>
      </c>
      <c r="EC125" s="1" t="s">
        <v>237</v>
      </c>
      <c r="EG125" s="1" t="s">
        <v>374</v>
      </c>
      <c r="EH125" s="1" t="s">
        <v>1103</v>
      </c>
      <c r="EL125" s="1" t="s">
        <v>2569</v>
      </c>
      <c r="EM125" s="1" t="s">
        <v>206</v>
      </c>
      <c r="EP125" s="1" t="s">
        <v>2569</v>
      </c>
      <c r="EQ125" s="1" t="s">
        <v>42</v>
      </c>
      <c r="EU125" s="1" t="s">
        <v>238</v>
      </c>
      <c r="EY125" s="1" t="s">
        <v>238</v>
      </c>
      <c r="FC125" s="1" t="s">
        <v>238</v>
      </c>
      <c r="FF125" s="1" t="s">
        <v>239</v>
      </c>
      <c r="FG125" s="1" t="s">
        <v>192</v>
      </c>
      <c r="FH125" s="1" t="s">
        <v>192</v>
      </c>
      <c r="FJ125" s="1" t="s">
        <v>2262</v>
      </c>
      <c r="FK125" s="1" t="s">
        <v>229</v>
      </c>
      <c r="FL125" s="1" t="s">
        <v>562</v>
      </c>
      <c r="FM125" s="1">
        <v>14703.0</v>
      </c>
      <c r="FN125" s="1" t="s">
        <v>2570</v>
      </c>
      <c r="FO125" s="1" t="s">
        <v>2571</v>
      </c>
      <c r="FP125" s="1">
        <v>875548.0</v>
      </c>
      <c r="FQ125" s="1" t="s">
        <v>2572</v>
      </c>
      <c r="FU125" s="1" t="s">
        <v>1438</v>
      </c>
      <c r="FV125" s="1" t="s">
        <v>200</v>
      </c>
      <c r="FW125" s="1" t="s">
        <v>290</v>
      </c>
      <c r="FX125" s="1" t="s">
        <v>655</v>
      </c>
      <c r="FZ125" s="1" t="s">
        <v>229</v>
      </c>
      <c r="GA125" s="1" t="s">
        <v>291</v>
      </c>
      <c r="GB125" s="2">
        <v>42020.0</v>
      </c>
      <c r="GC125" s="1" t="s">
        <v>2573</v>
      </c>
    </row>
    <row r="126">
      <c r="A126" s="1">
        <v>169900.0</v>
      </c>
      <c r="B126" s="1" t="s">
        <v>185</v>
      </c>
      <c r="C126" s="1" t="str">
        <f>"08762188"</f>
        <v>08762188</v>
      </c>
      <c r="D126" s="1" t="s">
        <v>186</v>
      </c>
      <c r="F126" s="1" t="str">
        <f>"8072"</f>
        <v>8072</v>
      </c>
      <c r="G126" s="2">
        <v>41939.0</v>
      </c>
      <c r="H126" s="1">
        <v>169900.0</v>
      </c>
      <c r="I126" s="1">
        <v>5.0</v>
      </c>
      <c r="J126" s="1">
        <v>169900.0</v>
      </c>
      <c r="K126" s="2">
        <v>41943.0</v>
      </c>
      <c r="L126" s="1">
        <v>5.0</v>
      </c>
      <c r="M126" s="2">
        <v>41943.0</v>
      </c>
      <c r="N126" s="1" t="s">
        <v>187</v>
      </c>
      <c r="O126" s="2">
        <v>41988.0</v>
      </c>
      <c r="P126" s="1">
        <v>149531.0</v>
      </c>
      <c r="Q126" s="1">
        <v>85700.0</v>
      </c>
      <c r="S126" s="1">
        <v>10551.0</v>
      </c>
      <c r="T126" s="1" t="s">
        <v>2574</v>
      </c>
      <c r="U126" s="1" t="s">
        <v>320</v>
      </c>
      <c r="V126" s="1" t="s">
        <v>190</v>
      </c>
      <c r="W126" s="1">
        <v>60643.0</v>
      </c>
      <c r="X126" s="1">
        <v>2719.0</v>
      </c>
      <c r="Y126" s="1" t="s">
        <v>2575</v>
      </c>
      <c r="Z126" s="1">
        <v>1918.0</v>
      </c>
      <c r="AA126" s="1" t="s">
        <v>192</v>
      </c>
      <c r="AB126" s="1" t="s">
        <v>193</v>
      </c>
      <c r="AD126" s="1" t="s">
        <v>194</v>
      </c>
      <c r="AE126" s="1" t="s">
        <v>195</v>
      </c>
      <c r="AF126" s="1" t="s">
        <v>659</v>
      </c>
      <c r="AH126" s="1" t="s">
        <v>2576</v>
      </c>
      <c r="AI126" s="1">
        <v>0.1708</v>
      </c>
      <c r="AK126" s="1">
        <v>7.0</v>
      </c>
      <c r="AL126" s="1">
        <v>4.0</v>
      </c>
      <c r="AM126" s="1">
        <v>2.0</v>
      </c>
      <c r="AN126" s="1">
        <v>0.0</v>
      </c>
      <c r="AO126" s="1" t="s">
        <v>229</v>
      </c>
      <c r="AP126" s="1">
        <v>1.0</v>
      </c>
      <c r="AQ126" s="1" t="s">
        <v>198</v>
      </c>
      <c r="AR126" s="1" t="s">
        <v>200</v>
      </c>
      <c r="AS126" s="1" t="s">
        <v>199</v>
      </c>
      <c r="AT126" s="1">
        <v>2.0</v>
      </c>
      <c r="AV126" s="1" t="s">
        <v>200</v>
      </c>
      <c r="AW126" s="1">
        <v>3232.53</v>
      </c>
      <c r="AX126" s="1">
        <v>2013.0</v>
      </c>
      <c r="AY126" s="1" t="s">
        <v>588</v>
      </c>
      <c r="AZ126" s="1" t="s">
        <v>200</v>
      </c>
      <c r="BA126" s="1" t="str">
        <f>"25182100160000"</f>
        <v>25182100160000</v>
      </c>
      <c r="BB126" s="1" t="s">
        <v>200</v>
      </c>
      <c r="BC126" s="1">
        <v>0.0</v>
      </c>
      <c r="BD126" s="1">
        <v>169900.0</v>
      </c>
      <c r="BE126" s="2">
        <v>41939.0</v>
      </c>
      <c r="BF126" s="2" t="s">
        <v>2577</v>
      </c>
      <c r="BH126" s="1">
        <v>0.0</v>
      </c>
      <c r="BK126" s="1" t="s">
        <v>204</v>
      </c>
      <c r="BL126" s="1" t="str">
        <f t="shared" ref="BL126:BM126" si="82">"0"</f>
        <v>0</v>
      </c>
      <c r="BM126" s="1" t="str">
        <f t="shared" si="82"/>
        <v>0</v>
      </c>
      <c r="BN126" s="1">
        <v>1800.0</v>
      </c>
      <c r="BO126" s="1">
        <v>10551.0</v>
      </c>
      <c r="BQ126" s="1">
        <v>299.0</v>
      </c>
      <c r="BR126" s="1">
        <v>299.0</v>
      </c>
      <c r="BS126" s="1">
        <v>299.0</v>
      </c>
      <c r="BU126" s="1" t="s">
        <v>2414</v>
      </c>
      <c r="BV126" s="1" t="s">
        <v>206</v>
      </c>
      <c r="BY126" s="1" t="s">
        <v>363</v>
      </c>
      <c r="BZ126" s="1" t="s">
        <v>206</v>
      </c>
      <c r="CC126" s="1" t="s">
        <v>1395</v>
      </c>
      <c r="CD126" s="1" t="s">
        <v>206</v>
      </c>
      <c r="CG126" s="1" t="s">
        <v>269</v>
      </c>
      <c r="CH126" s="1" t="s">
        <v>209</v>
      </c>
      <c r="CK126" s="1" t="s">
        <v>677</v>
      </c>
      <c r="CL126" s="1" t="s">
        <v>209</v>
      </c>
      <c r="CO126" s="1" t="s">
        <v>300</v>
      </c>
      <c r="CP126" s="1" t="s">
        <v>209</v>
      </c>
      <c r="CS126" s="1" t="s">
        <v>1352</v>
      </c>
      <c r="CT126" s="1" t="s">
        <v>206</v>
      </c>
      <c r="CX126" s="1" t="s">
        <v>204</v>
      </c>
      <c r="DA126" s="1" t="s">
        <v>200</v>
      </c>
      <c r="DC126" s="1" t="s">
        <v>216</v>
      </c>
      <c r="DD126" s="1" t="s">
        <v>618</v>
      </c>
      <c r="DE126" s="1" t="s">
        <v>229</v>
      </c>
      <c r="DF126" s="1" t="s">
        <v>619</v>
      </c>
      <c r="DH126" s="1" t="s">
        <v>365</v>
      </c>
      <c r="DJ126" s="1" t="s">
        <v>222</v>
      </c>
      <c r="DL126" s="1" t="s">
        <v>791</v>
      </c>
      <c r="DM126" s="1" t="s">
        <v>2578</v>
      </c>
      <c r="DO126" s="1" t="s">
        <v>549</v>
      </c>
      <c r="DP126" s="1" t="s">
        <v>340</v>
      </c>
      <c r="DQ126" s="1" t="s">
        <v>228</v>
      </c>
      <c r="DR126" s="1" t="s">
        <v>229</v>
      </c>
      <c r="DV126" s="1" t="s">
        <v>409</v>
      </c>
      <c r="DW126" s="1" t="s">
        <v>279</v>
      </c>
      <c r="DX126" s="1" t="s">
        <v>234</v>
      </c>
      <c r="DY126" s="1" t="s">
        <v>2579</v>
      </c>
      <c r="DZ126" s="1" t="s">
        <v>343</v>
      </c>
      <c r="EA126" s="1" t="s">
        <v>644</v>
      </c>
      <c r="EC126" s="1" t="s">
        <v>645</v>
      </c>
      <c r="EG126" s="1" t="s">
        <v>409</v>
      </c>
      <c r="EL126" s="1" t="s">
        <v>263</v>
      </c>
      <c r="EM126" s="1" t="s">
        <v>209</v>
      </c>
      <c r="EQ126" s="1" t="s">
        <v>238</v>
      </c>
      <c r="EU126" s="1" t="s">
        <v>238</v>
      </c>
      <c r="EY126" s="1" t="s">
        <v>238</v>
      </c>
      <c r="FC126" s="1" t="s">
        <v>238</v>
      </c>
      <c r="FF126" s="1" t="s">
        <v>239</v>
      </c>
      <c r="FG126" s="1" t="s">
        <v>192</v>
      </c>
      <c r="FH126" s="1" t="s">
        <v>192</v>
      </c>
      <c r="FJ126" s="1" t="s">
        <v>1450</v>
      </c>
      <c r="FK126" s="1" t="s">
        <v>229</v>
      </c>
      <c r="FL126" s="1" t="s">
        <v>2580</v>
      </c>
      <c r="FM126" s="1">
        <v>23265.0</v>
      </c>
      <c r="FN126" s="1" t="s">
        <v>2581</v>
      </c>
      <c r="FO126" s="1" t="s">
        <v>2582</v>
      </c>
      <c r="FP126" s="1">
        <v>221395.0</v>
      </c>
      <c r="FQ126" s="1" t="s">
        <v>2583</v>
      </c>
      <c r="FU126" s="1" t="s">
        <v>2584</v>
      </c>
      <c r="FV126" s="1" t="s">
        <v>200</v>
      </c>
      <c r="FW126" s="1" t="s">
        <v>1511</v>
      </c>
      <c r="FX126" s="1" t="s">
        <v>655</v>
      </c>
      <c r="FZ126" s="1" t="s">
        <v>632</v>
      </c>
      <c r="GA126" s="1" t="s">
        <v>291</v>
      </c>
      <c r="GB126" s="2">
        <v>41989.0</v>
      </c>
      <c r="GC126" s="1" t="s">
        <v>2585</v>
      </c>
    </row>
    <row r="127">
      <c r="A127" s="1">
        <v>275000.0</v>
      </c>
      <c r="B127" s="1" t="s">
        <v>185</v>
      </c>
      <c r="C127" s="1" t="str">
        <f>"08761685"</f>
        <v>08761685</v>
      </c>
      <c r="D127" s="1" t="s">
        <v>186</v>
      </c>
      <c r="F127" s="1" t="str">
        <f>"543"</f>
        <v>543</v>
      </c>
      <c r="G127" s="2">
        <v>41937.0</v>
      </c>
      <c r="H127" s="1">
        <v>285000.0</v>
      </c>
      <c r="I127" s="1">
        <v>84.0</v>
      </c>
      <c r="J127" s="1">
        <v>285000.0</v>
      </c>
      <c r="K127" s="2">
        <v>42020.0</v>
      </c>
      <c r="L127" s="1">
        <v>84.0</v>
      </c>
      <c r="M127" s="2">
        <v>42020.0</v>
      </c>
      <c r="N127" s="1" t="s">
        <v>249</v>
      </c>
      <c r="O127" s="2">
        <v>42045.0</v>
      </c>
      <c r="P127" s="1">
        <v>232337.0</v>
      </c>
      <c r="Q127" s="1">
        <v>23120.0</v>
      </c>
      <c r="S127" s="1">
        <v>510.0</v>
      </c>
      <c r="T127" s="1" t="s">
        <v>2586</v>
      </c>
      <c r="U127" s="1" t="s">
        <v>844</v>
      </c>
      <c r="V127" s="1" t="s">
        <v>1527</v>
      </c>
      <c r="W127" s="1">
        <v>60543.0</v>
      </c>
      <c r="Y127" s="1" t="s">
        <v>2587</v>
      </c>
      <c r="Z127" s="1">
        <v>2006.0</v>
      </c>
      <c r="AA127" s="1" t="s">
        <v>200</v>
      </c>
      <c r="AB127" s="1" t="s">
        <v>467</v>
      </c>
      <c r="AC127" s="1" t="s">
        <v>2588</v>
      </c>
      <c r="AD127" s="1" t="s">
        <v>1529</v>
      </c>
      <c r="AE127" s="1" t="s">
        <v>849</v>
      </c>
      <c r="AF127" s="1" t="s">
        <v>1529</v>
      </c>
      <c r="AG127" s="1" t="s">
        <v>2589</v>
      </c>
      <c r="AH127" s="1" t="s">
        <v>2590</v>
      </c>
      <c r="AK127" s="1">
        <v>9.0</v>
      </c>
      <c r="AL127" s="1">
        <v>4.0</v>
      </c>
      <c r="AM127" s="1">
        <v>2.0</v>
      </c>
      <c r="AN127" s="1">
        <v>1.0</v>
      </c>
      <c r="AO127" s="1" t="s">
        <v>198</v>
      </c>
      <c r="AP127" s="1">
        <v>1.0</v>
      </c>
      <c r="AQ127" s="1" t="s">
        <v>198</v>
      </c>
      <c r="AR127" s="1" t="s">
        <v>200</v>
      </c>
      <c r="AS127" s="1" t="s">
        <v>199</v>
      </c>
      <c r="AT127" s="1">
        <v>2.0</v>
      </c>
      <c r="AV127" s="1" t="s">
        <v>192</v>
      </c>
      <c r="AW127" s="1">
        <v>8796.0</v>
      </c>
      <c r="AX127" s="1">
        <v>2013.0</v>
      </c>
      <c r="AZ127" s="1" t="s">
        <v>200</v>
      </c>
      <c r="BA127" s="1" t="str">
        <f>"0316337009"</f>
        <v>0316337009</v>
      </c>
      <c r="BC127" s="1">
        <v>2900.0</v>
      </c>
      <c r="BD127" s="1">
        <v>275000.0</v>
      </c>
      <c r="BE127" s="2">
        <v>41937.0</v>
      </c>
      <c r="BF127" s="2" t="s">
        <v>2591</v>
      </c>
      <c r="BH127" s="1">
        <v>140.0</v>
      </c>
      <c r="BK127" s="1" t="s">
        <v>1952</v>
      </c>
      <c r="BL127" s="1" t="str">
        <f t="shared" ref="BL127:BM127" si="83">""</f>
        <v/>
      </c>
      <c r="BM127" s="1" t="str">
        <f t="shared" si="83"/>
        <v/>
      </c>
      <c r="BQ127" s="1">
        <v>308.0</v>
      </c>
      <c r="BR127" s="1">
        <v>308.0</v>
      </c>
      <c r="BS127" s="1">
        <v>308.0</v>
      </c>
      <c r="BU127" s="1" t="s">
        <v>215</v>
      </c>
      <c r="BV127" s="1" t="s">
        <v>206</v>
      </c>
      <c r="BW127" s="1" t="s">
        <v>210</v>
      </c>
      <c r="BX127" s="1" t="s">
        <v>239</v>
      </c>
      <c r="BY127" s="1" t="s">
        <v>1600</v>
      </c>
      <c r="BZ127" s="1" t="s">
        <v>209</v>
      </c>
      <c r="CA127" s="1" t="s">
        <v>210</v>
      </c>
      <c r="CB127" s="1" t="s">
        <v>239</v>
      </c>
      <c r="CC127" s="1" t="s">
        <v>215</v>
      </c>
      <c r="CD127" s="1" t="s">
        <v>206</v>
      </c>
      <c r="CE127" s="1" t="s">
        <v>207</v>
      </c>
      <c r="CF127" s="1" t="s">
        <v>239</v>
      </c>
      <c r="CG127" s="1" t="s">
        <v>212</v>
      </c>
      <c r="CH127" s="1" t="s">
        <v>209</v>
      </c>
      <c r="CI127" s="1" t="s">
        <v>210</v>
      </c>
      <c r="CJ127" s="1" t="s">
        <v>239</v>
      </c>
      <c r="CK127" s="1" t="s">
        <v>264</v>
      </c>
      <c r="CL127" s="1" t="s">
        <v>209</v>
      </c>
      <c r="CM127" s="1" t="s">
        <v>210</v>
      </c>
      <c r="CN127" s="1" t="s">
        <v>239</v>
      </c>
      <c r="CO127" s="1" t="s">
        <v>215</v>
      </c>
      <c r="CP127" s="1" t="s">
        <v>209</v>
      </c>
      <c r="CQ127" s="1" t="s">
        <v>210</v>
      </c>
      <c r="CR127" s="1" t="s">
        <v>239</v>
      </c>
      <c r="CS127" s="1" t="s">
        <v>434</v>
      </c>
      <c r="CT127" s="1" t="s">
        <v>206</v>
      </c>
      <c r="CU127" s="1" t="s">
        <v>207</v>
      </c>
      <c r="CV127" s="1" t="s">
        <v>239</v>
      </c>
      <c r="CW127" s="1" t="s">
        <v>2592</v>
      </c>
      <c r="CX127" s="1" t="s">
        <v>206</v>
      </c>
      <c r="CY127" s="1" t="s">
        <v>210</v>
      </c>
      <c r="CZ127" s="1" t="s">
        <v>239</v>
      </c>
      <c r="DA127" s="1" t="s">
        <v>200</v>
      </c>
      <c r="DC127" s="1" t="s">
        <v>481</v>
      </c>
      <c r="DD127" s="1" t="s">
        <v>336</v>
      </c>
      <c r="DE127" s="1" t="s">
        <v>273</v>
      </c>
      <c r="DF127" s="1" t="s">
        <v>219</v>
      </c>
      <c r="DH127" s="1" t="s">
        <v>220</v>
      </c>
      <c r="DI127" s="1" t="s">
        <v>703</v>
      </c>
      <c r="DJ127" s="1" t="s">
        <v>222</v>
      </c>
      <c r="DL127" s="1" t="s">
        <v>223</v>
      </c>
      <c r="DM127" s="1" t="s">
        <v>229</v>
      </c>
      <c r="DP127" s="1" t="s">
        <v>340</v>
      </c>
      <c r="DQ127" s="1" t="s">
        <v>228</v>
      </c>
      <c r="DR127" s="1" t="s">
        <v>2593</v>
      </c>
      <c r="DV127" s="1" t="s">
        <v>598</v>
      </c>
      <c r="DW127" s="1" t="s">
        <v>233</v>
      </c>
      <c r="DX127" s="1" t="s">
        <v>234</v>
      </c>
      <c r="EA127" s="1" t="s">
        <v>344</v>
      </c>
      <c r="EC127" s="1" t="s">
        <v>237</v>
      </c>
      <c r="EG127" s="1" t="s">
        <v>598</v>
      </c>
      <c r="EL127" s="1" t="s">
        <v>212</v>
      </c>
      <c r="EM127" s="1" t="s">
        <v>206</v>
      </c>
      <c r="EN127" s="1" t="s">
        <v>210</v>
      </c>
      <c r="EO127" s="1" t="s">
        <v>239</v>
      </c>
      <c r="EQ127" s="1" t="s">
        <v>238</v>
      </c>
      <c r="EU127" s="1" t="s">
        <v>238</v>
      </c>
      <c r="EY127" s="1" t="s">
        <v>238</v>
      </c>
      <c r="FC127" s="1" t="s">
        <v>238</v>
      </c>
      <c r="FF127" s="1" t="s">
        <v>239</v>
      </c>
      <c r="FG127" s="1" t="s">
        <v>192</v>
      </c>
      <c r="FH127" s="1" t="s">
        <v>192</v>
      </c>
      <c r="FJ127" s="1" t="s">
        <v>2594</v>
      </c>
      <c r="FK127" s="1" t="s">
        <v>229</v>
      </c>
      <c r="FL127" s="1" t="s">
        <v>1007</v>
      </c>
      <c r="FM127" s="1">
        <v>79923.0</v>
      </c>
      <c r="FN127" s="1" t="s">
        <v>2595</v>
      </c>
      <c r="FO127" s="1" t="s">
        <v>2596</v>
      </c>
      <c r="FP127" s="1">
        <v>703838.0</v>
      </c>
      <c r="FQ127" s="1" t="s">
        <v>2595</v>
      </c>
      <c r="FU127" s="1" t="s">
        <v>1438</v>
      </c>
      <c r="FV127" s="1" t="s">
        <v>200</v>
      </c>
      <c r="FW127" s="1" t="s">
        <v>2597</v>
      </c>
      <c r="FZ127" s="1" t="s">
        <v>229</v>
      </c>
      <c r="GA127" s="1" t="s">
        <v>291</v>
      </c>
      <c r="GB127" s="2">
        <v>42046.0</v>
      </c>
      <c r="GC127" s="1" t="s">
        <v>2598</v>
      </c>
    </row>
    <row r="128">
      <c r="A128" s="1">
        <v>95750.0</v>
      </c>
      <c r="B128" s="1" t="s">
        <v>185</v>
      </c>
      <c r="C128" s="1" t="str">
        <f>"08763203"</f>
        <v>08763203</v>
      </c>
      <c r="D128" s="1" t="s">
        <v>186</v>
      </c>
      <c r="F128" s="1" t="str">
        <f>"8019"</f>
        <v>8019</v>
      </c>
      <c r="G128" s="2">
        <v>41940.0</v>
      </c>
      <c r="H128" s="1">
        <v>106000.0</v>
      </c>
      <c r="I128" s="1">
        <v>51.0</v>
      </c>
      <c r="J128" s="1">
        <v>106000.0</v>
      </c>
      <c r="K128" s="2">
        <v>41990.0</v>
      </c>
      <c r="L128" s="1">
        <v>51.0</v>
      </c>
      <c r="M128" s="2">
        <v>41990.0</v>
      </c>
      <c r="N128" s="1" t="s">
        <v>249</v>
      </c>
      <c r="O128" s="2">
        <v>42003.0</v>
      </c>
      <c r="P128" s="1">
        <v>151828.0</v>
      </c>
      <c r="Q128" s="1">
        <v>85413.0</v>
      </c>
      <c r="S128" s="1">
        <v>2210.0</v>
      </c>
      <c r="T128" s="1" t="s">
        <v>384</v>
      </c>
      <c r="U128" s="1" t="s">
        <v>189</v>
      </c>
      <c r="V128" s="1" t="s">
        <v>190</v>
      </c>
      <c r="W128" s="1">
        <v>60639.0</v>
      </c>
      <c r="Y128" s="1" t="s">
        <v>2599</v>
      </c>
      <c r="Z128" s="1">
        <v>1908.0</v>
      </c>
      <c r="AA128" s="1" t="s">
        <v>192</v>
      </c>
      <c r="AB128" s="1" t="s">
        <v>193</v>
      </c>
      <c r="AD128" s="1" t="s">
        <v>194</v>
      </c>
      <c r="AE128" s="1" t="s">
        <v>195</v>
      </c>
      <c r="AF128" s="1" t="s">
        <v>196</v>
      </c>
      <c r="AH128" s="1" t="s">
        <v>359</v>
      </c>
      <c r="AI128" s="1">
        <v>0.0717</v>
      </c>
      <c r="AK128" s="1">
        <v>7.0</v>
      </c>
      <c r="AL128" s="1">
        <v>4.0</v>
      </c>
      <c r="AM128" s="1">
        <v>2.0</v>
      </c>
      <c r="AN128" s="1">
        <v>0.0</v>
      </c>
      <c r="AO128" s="1" t="s">
        <v>229</v>
      </c>
      <c r="AQ128" s="1" t="s">
        <v>1314</v>
      </c>
      <c r="AR128" s="1" t="s">
        <v>192</v>
      </c>
      <c r="AS128" s="1" t="s">
        <v>199</v>
      </c>
      <c r="AT128" s="1">
        <v>1.0</v>
      </c>
      <c r="AV128" s="1" t="s">
        <v>200</v>
      </c>
      <c r="AW128" s="1">
        <v>3399.57</v>
      </c>
      <c r="AX128" s="1">
        <v>2012.0</v>
      </c>
      <c r="AZ128" s="1" t="s">
        <v>200</v>
      </c>
      <c r="BA128" s="1" t="str">
        <f>"13341070380000"</f>
        <v>13341070380000</v>
      </c>
      <c r="BC128" s="1">
        <v>1316.0</v>
      </c>
      <c r="BD128" s="1">
        <v>95750.0</v>
      </c>
      <c r="BE128" s="2">
        <v>41940.0</v>
      </c>
      <c r="BF128" s="2" t="s">
        <v>2600</v>
      </c>
      <c r="BH128" s="1">
        <v>0.0</v>
      </c>
      <c r="BK128" s="1" t="s">
        <v>204</v>
      </c>
      <c r="BL128" s="1" t="str">
        <f>"2210"</f>
        <v>2210</v>
      </c>
      <c r="BM128" s="1" t="str">
        <f t="shared" ref="BM128:BM129" si="84">"0"</f>
        <v>0</v>
      </c>
      <c r="BN128" s="1">
        <v>4750.0</v>
      </c>
      <c r="BO128" s="1">
        <v>0.0</v>
      </c>
      <c r="BQ128" s="1">
        <v>299.0</v>
      </c>
      <c r="BR128" s="1">
        <v>299.0</v>
      </c>
      <c r="BS128" s="1">
        <v>299.0</v>
      </c>
      <c r="BU128" s="1" t="s">
        <v>264</v>
      </c>
      <c r="BV128" s="1" t="s">
        <v>206</v>
      </c>
      <c r="BY128" s="1" t="s">
        <v>814</v>
      </c>
      <c r="BZ128" s="1" t="s">
        <v>206</v>
      </c>
      <c r="CC128" s="1" t="s">
        <v>264</v>
      </c>
      <c r="CD128" s="1" t="s">
        <v>206</v>
      </c>
      <c r="CG128" s="1" t="s">
        <v>940</v>
      </c>
      <c r="CH128" s="1" t="s">
        <v>206</v>
      </c>
      <c r="CK128" s="1" t="s">
        <v>940</v>
      </c>
      <c r="CL128" s="1" t="s">
        <v>209</v>
      </c>
      <c r="CO128" s="1" t="s">
        <v>814</v>
      </c>
      <c r="CP128" s="1" t="s">
        <v>209</v>
      </c>
      <c r="CS128" s="1" t="s">
        <v>814</v>
      </c>
      <c r="CT128" s="1" t="s">
        <v>206</v>
      </c>
      <c r="CX128" s="1" t="s">
        <v>204</v>
      </c>
      <c r="DA128" s="1" t="s">
        <v>200</v>
      </c>
      <c r="DC128" s="1" t="s">
        <v>642</v>
      </c>
      <c r="DE128" s="1" t="s">
        <v>229</v>
      </c>
      <c r="DF128" s="1" t="s">
        <v>619</v>
      </c>
      <c r="DH128" s="1" t="s">
        <v>2601</v>
      </c>
      <c r="DJ128" s="1" t="s">
        <v>222</v>
      </c>
      <c r="DL128" s="1" t="s">
        <v>223</v>
      </c>
      <c r="DM128" s="1" t="s">
        <v>225</v>
      </c>
      <c r="DQ128" s="1" t="s">
        <v>228</v>
      </c>
      <c r="DR128" s="1" t="s">
        <v>229</v>
      </c>
      <c r="DV128" s="1" t="s">
        <v>232</v>
      </c>
      <c r="DW128" s="1" t="s">
        <v>2602</v>
      </c>
      <c r="DX128" s="1" t="s">
        <v>234</v>
      </c>
      <c r="EC128" s="1" t="s">
        <v>645</v>
      </c>
      <c r="EM128" s="1" t="s">
        <v>238</v>
      </c>
      <c r="EQ128" s="1" t="s">
        <v>238</v>
      </c>
      <c r="EU128" s="1" t="s">
        <v>238</v>
      </c>
      <c r="EY128" s="1" t="s">
        <v>238</v>
      </c>
      <c r="FC128" s="1" t="s">
        <v>238</v>
      </c>
      <c r="FF128" s="1" t="s">
        <v>239</v>
      </c>
      <c r="FG128" s="1" t="s">
        <v>200</v>
      </c>
      <c r="FH128" s="1" t="s">
        <v>192</v>
      </c>
      <c r="FJ128" s="1" t="s">
        <v>2603</v>
      </c>
      <c r="FK128" s="1" t="s">
        <v>229</v>
      </c>
      <c r="FL128" s="1" t="s">
        <v>2604</v>
      </c>
      <c r="FM128" s="1">
        <v>18016.0</v>
      </c>
      <c r="FN128" s="1" t="s">
        <v>2605</v>
      </c>
      <c r="FO128" s="1" t="s">
        <v>2606</v>
      </c>
      <c r="FP128" s="1">
        <v>158141.0</v>
      </c>
      <c r="FQ128" s="1" t="s">
        <v>2605</v>
      </c>
      <c r="FR128" s="1">
        <v>120040.0</v>
      </c>
      <c r="FU128" s="1" t="s">
        <v>2607</v>
      </c>
      <c r="FV128" s="1" t="s">
        <v>200</v>
      </c>
      <c r="FW128" s="1" t="s">
        <v>290</v>
      </c>
      <c r="FX128" s="1" t="s">
        <v>238</v>
      </c>
      <c r="FZ128" s="1" t="s">
        <v>229</v>
      </c>
      <c r="GA128" s="1" t="s">
        <v>291</v>
      </c>
      <c r="GB128" s="2">
        <v>42009.0</v>
      </c>
      <c r="GC128" s="1" t="s">
        <v>2608</v>
      </c>
    </row>
    <row r="129">
      <c r="A129" s="1">
        <v>780000.0</v>
      </c>
      <c r="B129" s="1" t="s">
        <v>185</v>
      </c>
      <c r="C129" s="1" t="str">
        <f>"08766666"</f>
        <v>08766666</v>
      </c>
      <c r="D129" s="1" t="s">
        <v>186</v>
      </c>
      <c r="F129" s="1" t="str">
        <f>"8022"</f>
        <v>8022</v>
      </c>
      <c r="G129" s="2">
        <v>41944.0</v>
      </c>
      <c r="H129" s="1">
        <v>799900.0</v>
      </c>
      <c r="I129" s="1">
        <v>116.0</v>
      </c>
      <c r="J129" s="1">
        <v>799900.0</v>
      </c>
      <c r="K129" s="2">
        <v>42050.0</v>
      </c>
      <c r="L129" s="1">
        <v>107.0</v>
      </c>
      <c r="M129" s="2">
        <v>42050.0</v>
      </c>
      <c r="N129" s="1" t="s">
        <v>187</v>
      </c>
      <c r="O129" s="2">
        <v>42118.0</v>
      </c>
      <c r="P129" s="1">
        <v>105855.0</v>
      </c>
      <c r="Q129" s="1">
        <v>16379.0</v>
      </c>
      <c r="R129" s="1">
        <v>5000.0</v>
      </c>
      <c r="S129" s="1">
        <v>2858.0</v>
      </c>
      <c r="T129" s="1" t="s">
        <v>2609</v>
      </c>
      <c r="U129" s="1" t="s">
        <v>320</v>
      </c>
      <c r="V129" s="1" t="s">
        <v>190</v>
      </c>
      <c r="W129" s="1">
        <v>60647.0</v>
      </c>
      <c r="Y129" s="1" t="s">
        <v>2610</v>
      </c>
      <c r="Z129" s="1">
        <v>2014.0</v>
      </c>
      <c r="AA129" s="1" t="s">
        <v>200</v>
      </c>
      <c r="AB129" s="1" t="s">
        <v>193</v>
      </c>
      <c r="AD129" s="1" t="s">
        <v>194</v>
      </c>
      <c r="AE129" s="1" t="s">
        <v>195</v>
      </c>
      <c r="AF129" s="1" t="s">
        <v>827</v>
      </c>
      <c r="AH129" s="1" t="s">
        <v>2611</v>
      </c>
      <c r="AK129" s="1">
        <v>10.0</v>
      </c>
      <c r="AL129" s="1">
        <v>4.0</v>
      </c>
      <c r="AM129" s="1">
        <v>3.0</v>
      </c>
      <c r="AN129" s="1">
        <v>1.0</v>
      </c>
      <c r="AO129" s="1" t="s">
        <v>198</v>
      </c>
      <c r="AQ129" s="1" t="s">
        <v>472</v>
      </c>
      <c r="AR129" s="1" t="s">
        <v>192</v>
      </c>
      <c r="AS129" s="1" t="s">
        <v>199</v>
      </c>
      <c r="AT129" s="1">
        <v>2.5</v>
      </c>
      <c r="AV129" s="1" t="s">
        <v>200</v>
      </c>
      <c r="AW129" s="1">
        <v>1134.39</v>
      </c>
      <c r="AX129" s="1">
        <v>2013.0</v>
      </c>
      <c r="AY129" s="1" t="s">
        <v>229</v>
      </c>
      <c r="AZ129" s="1" t="s">
        <v>200</v>
      </c>
      <c r="BA129" s="1" t="str">
        <f>"13361090650000"</f>
        <v>13361090650000</v>
      </c>
      <c r="BC129" s="1">
        <v>3090.0</v>
      </c>
      <c r="BD129" s="1">
        <v>780000.0</v>
      </c>
      <c r="BE129" s="2">
        <v>41944.0</v>
      </c>
      <c r="BF129" s="2" t="s">
        <v>2612</v>
      </c>
      <c r="BH129" s="1">
        <v>0.0</v>
      </c>
      <c r="BK129" s="1" t="s">
        <v>204</v>
      </c>
      <c r="BL129" s="1" t="str">
        <f>"2200"</f>
        <v>2200</v>
      </c>
      <c r="BM129" s="1" t="str">
        <f t="shared" si="84"/>
        <v>0</v>
      </c>
      <c r="BN129" s="1">
        <v>2858.0</v>
      </c>
      <c r="BO129" s="1">
        <v>0.0</v>
      </c>
      <c r="BQ129" s="1">
        <v>299.0</v>
      </c>
      <c r="BR129" s="1">
        <v>299.0</v>
      </c>
      <c r="BS129" s="1">
        <v>299.0</v>
      </c>
      <c r="BU129" s="1" t="s">
        <v>390</v>
      </c>
      <c r="BV129" s="1" t="s">
        <v>206</v>
      </c>
      <c r="BW129" s="1" t="s">
        <v>207</v>
      </c>
      <c r="BY129" s="1" t="s">
        <v>208</v>
      </c>
      <c r="BZ129" s="1" t="s">
        <v>209</v>
      </c>
      <c r="CA129" s="1" t="s">
        <v>207</v>
      </c>
      <c r="CC129" s="1" t="s">
        <v>433</v>
      </c>
      <c r="CD129" s="1" t="s">
        <v>206</v>
      </c>
      <c r="CE129" s="1" t="s">
        <v>207</v>
      </c>
      <c r="CG129" s="1" t="s">
        <v>264</v>
      </c>
      <c r="CH129" s="1" t="s">
        <v>209</v>
      </c>
      <c r="CI129" s="1" t="s">
        <v>207</v>
      </c>
      <c r="CK129" s="1" t="s">
        <v>264</v>
      </c>
      <c r="CL129" s="1" t="s">
        <v>209</v>
      </c>
      <c r="CM129" s="1" t="s">
        <v>207</v>
      </c>
      <c r="CO129" s="1" t="s">
        <v>758</v>
      </c>
      <c r="CP129" s="1" t="s">
        <v>267</v>
      </c>
      <c r="CQ129" s="1" t="s">
        <v>210</v>
      </c>
      <c r="CS129" s="1" t="s">
        <v>2613</v>
      </c>
      <c r="CT129" s="1" t="s">
        <v>206</v>
      </c>
      <c r="CU129" s="1" t="s">
        <v>207</v>
      </c>
      <c r="CW129" s="1" t="s">
        <v>1117</v>
      </c>
      <c r="CX129" s="1" t="s">
        <v>206</v>
      </c>
      <c r="CY129" s="1" t="s">
        <v>207</v>
      </c>
      <c r="DA129" s="1" t="s">
        <v>192</v>
      </c>
      <c r="DB129" s="2">
        <v>41944.0</v>
      </c>
      <c r="DC129" s="1" t="s">
        <v>744</v>
      </c>
      <c r="DD129" s="1" t="s">
        <v>731</v>
      </c>
      <c r="DE129" s="1" t="s">
        <v>1810</v>
      </c>
      <c r="DF129" s="1" t="s">
        <v>219</v>
      </c>
      <c r="DH129" s="1" t="s">
        <v>365</v>
      </c>
      <c r="DI129" s="1" t="s">
        <v>732</v>
      </c>
      <c r="DJ129" s="1" t="s">
        <v>222</v>
      </c>
      <c r="DK129" s="1" t="s">
        <v>223</v>
      </c>
      <c r="DL129" s="1" t="s">
        <v>1161</v>
      </c>
      <c r="DM129" s="1" t="s">
        <v>229</v>
      </c>
      <c r="DN129" s="1" t="s">
        <v>2463</v>
      </c>
      <c r="DP129" s="1" t="s">
        <v>276</v>
      </c>
      <c r="DQ129" s="1" t="s">
        <v>228</v>
      </c>
      <c r="DR129" s="1" t="s">
        <v>229</v>
      </c>
      <c r="DS129" s="1" t="s">
        <v>230</v>
      </c>
      <c r="DU129" s="1" t="s">
        <v>550</v>
      </c>
      <c r="DV129" s="1" t="s">
        <v>2614</v>
      </c>
      <c r="DW129" s="1" t="s">
        <v>1026</v>
      </c>
      <c r="DX129" s="1" t="s">
        <v>234</v>
      </c>
      <c r="DY129" s="1" t="s">
        <v>1936</v>
      </c>
      <c r="DZ129" s="1" t="s">
        <v>310</v>
      </c>
      <c r="EA129" s="1" t="s">
        <v>344</v>
      </c>
      <c r="EC129" s="1" t="s">
        <v>237</v>
      </c>
      <c r="ED129" s="1" t="s">
        <v>555</v>
      </c>
      <c r="EG129" s="1" t="s">
        <v>450</v>
      </c>
      <c r="EH129" s="1" t="s">
        <v>1270</v>
      </c>
      <c r="EI129" s="1" t="s">
        <v>598</v>
      </c>
      <c r="EJ129" s="1" t="s">
        <v>409</v>
      </c>
      <c r="EL129" s="1" t="s">
        <v>1623</v>
      </c>
      <c r="EM129" s="1" t="s">
        <v>267</v>
      </c>
      <c r="EN129" s="1" t="s">
        <v>210</v>
      </c>
      <c r="EP129" s="1" t="s">
        <v>721</v>
      </c>
      <c r="EQ129" s="1" t="s">
        <v>267</v>
      </c>
      <c r="ER129" s="1" t="s">
        <v>2615</v>
      </c>
      <c r="ET129" s="1" t="s">
        <v>2616</v>
      </c>
      <c r="EU129" s="1" t="s">
        <v>206</v>
      </c>
      <c r="EV129" s="1" t="s">
        <v>207</v>
      </c>
      <c r="EX129" s="1" t="s">
        <v>2617</v>
      </c>
      <c r="EY129" s="1" t="s">
        <v>209</v>
      </c>
      <c r="EZ129" s="1" t="s">
        <v>207</v>
      </c>
      <c r="FC129" s="1" t="s">
        <v>238</v>
      </c>
      <c r="FF129" s="1" t="s">
        <v>239</v>
      </c>
      <c r="FG129" s="1" t="s">
        <v>192</v>
      </c>
      <c r="FH129" s="1" t="s">
        <v>192</v>
      </c>
      <c r="FJ129" s="1" t="s">
        <v>561</v>
      </c>
      <c r="FK129" s="1" t="s">
        <v>229</v>
      </c>
      <c r="FL129" s="1" t="s">
        <v>562</v>
      </c>
      <c r="FM129" s="1">
        <v>84025.0</v>
      </c>
      <c r="FN129" s="1" t="s">
        <v>2509</v>
      </c>
      <c r="FO129" s="1" t="s">
        <v>2618</v>
      </c>
      <c r="FP129" s="1">
        <v>130479.0</v>
      </c>
      <c r="FQ129" s="1" t="s">
        <v>2619</v>
      </c>
      <c r="FU129" s="1" t="s">
        <v>2620</v>
      </c>
      <c r="FV129" s="1" t="s">
        <v>200</v>
      </c>
      <c r="FW129" s="1" t="s">
        <v>290</v>
      </c>
      <c r="FX129" s="1" t="s">
        <v>246</v>
      </c>
      <c r="FZ129" s="1" t="s">
        <v>229</v>
      </c>
      <c r="GA129" s="1" t="s">
        <v>291</v>
      </c>
      <c r="GB129" s="2">
        <v>42119.0</v>
      </c>
      <c r="GC129" s="1" t="s">
        <v>2621</v>
      </c>
    </row>
    <row r="130">
      <c r="A130" s="1">
        <v>28500.0</v>
      </c>
      <c r="B130" s="1" t="s">
        <v>185</v>
      </c>
      <c r="C130" s="1" t="str">
        <f>"08765598"</f>
        <v>08765598</v>
      </c>
      <c r="D130" s="1" t="s">
        <v>186</v>
      </c>
      <c r="F130" s="1" t="str">
        <f>"8071"</f>
        <v>8071</v>
      </c>
      <c r="G130" s="2">
        <v>41942.0</v>
      </c>
      <c r="H130" s="1">
        <v>52000.0</v>
      </c>
      <c r="I130" s="1">
        <v>173.0</v>
      </c>
      <c r="J130" s="1">
        <v>36000.0</v>
      </c>
      <c r="K130" s="2">
        <v>42114.0</v>
      </c>
      <c r="L130" s="1">
        <v>173.0</v>
      </c>
      <c r="M130" s="2">
        <v>42114.0</v>
      </c>
      <c r="N130" s="1" t="s">
        <v>249</v>
      </c>
      <c r="O130" s="2">
        <v>42117.0</v>
      </c>
      <c r="P130" s="1">
        <v>120884.0</v>
      </c>
      <c r="Q130" s="1">
        <v>85772.0</v>
      </c>
      <c r="S130" s="1">
        <v>8619.0</v>
      </c>
      <c r="T130" s="1" t="s">
        <v>2622</v>
      </c>
      <c r="U130" s="1" t="s">
        <v>320</v>
      </c>
      <c r="V130" s="1" t="s">
        <v>190</v>
      </c>
      <c r="W130" s="1">
        <v>60620.0</v>
      </c>
      <c r="Y130" s="1" t="s">
        <v>2623</v>
      </c>
      <c r="Z130" s="1">
        <v>1919.0</v>
      </c>
      <c r="AA130" s="1" t="s">
        <v>192</v>
      </c>
      <c r="AB130" s="1" t="s">
        <v>193</v>
      </c>
      <c r="AD130" s="1" t="s">
        <v>194</v>
      </c>
      <c r="AE130" s="1" t="s">
        <v>195</v>
      </c>
      <c r="AF130" s="1" t="s">
        <v>659</v>
      </c>
      <c r="AH130" s="1" t="s">
        <v>359</v>
      </c>
      <c r="AI130" s="1">
        <v>0.0746</v>
      </c>
      <c r="AK130" s="1">
        <v>7.0</v>
      </c>
      <c r="AL130" s="1">
        <v>3.0</v>
      </c>
      <c r="AM130" s="1">
        <v>2.0</v>
      </c>
      <c r="AN130" s="1">
        <v>0.0</v>
      </c>
      <c r="AO130" s="1" t="s">
        <v>229</v>
      </c>
      <c r="AQ130" s="1" t="s">
        <v>198</v>
      </c>
      <c r="AR130" s="1" t="s">
        <v>192</v>
      </c>
      <c r="AS130" s="1" t="s">
        <v>828</v>
      </c>
      <c r="AU130" s="1">
        <v>2.0</v>
      </c>
      <c r="AV130" s="1" t="s">
        <v>200</v>
      </c>
      <c r="AW130" s="1">
        <v>1584.89</v>
      </c>
      <c r="AX130" s="1">
        <v>2013.0</v>
      </c>
      <c r="AZ130" s="1" t="s">
        <v>200</v>
      </c>
      <c r="BA130" s="1" t="str">
        <f>"20323300080000"</f>
        <v>20323300080000</v>
      </c>
      <c r="BC130" s="1">
        <v>1000.0</v>
      </c>
      <c r="BD130" s="1">
        <v>28500.0</v>
      </c>
      <c r="BE130" s="2">
        <v>41942.0</v>
      </c>
      <c r="BF130" s="2" t="s">
        <v>2624</v>
      </c>
      <c r="BH130" s="1">
        <v>0.0</v>
      </c>
      <c r="BK130" s="1" t="s">
        <v>204</v>
      </c>
      <c r="BL130" s="1" t="str">
        <f t="shared" ref="BL130:BM130" si="85">"0"</f>
        <v>0</v>
      </c>
      <c r="BM130" s="1" t="str">
        <f t="shared" si="85"/>
        <v>0</v>
      </c>
      <c r="BN130" s="1">
        <v>1250.0</v>
      </c>
      <c r="BO130" s="1">
        <v>8619.0</v>
      </c>
      <c r="BQ130" s="1">
        <v>299.0</v>
      </c>
      <c r="BR130" s="1">
        <v>299.0</v>
      </c>
      <c r="BS130" s="1">
        <v>299.0</v>
      </c>
      <c r="BU130" s="1" t="s">
        <v>363</v>
      </c>
      <c r="BV130" s="1" t="s">
        <v>206</v>
      </c>
      <c r="BY130" s="1" t="s">
        <v>303</v>
      </c>
      <c r="BZ130" s="1" t="s">
        <v>206</v>
      </c>
      <c r="CD130" s="1" t="s">
        <v>204</v>
      </c>
      <c r="CG130" s="1" t="s">
        <v>516</v>
      </c>
      <c r="CH130" s="1" t="s">
        <v>206</v>
      </c>
      <c r="CK130" s="1" t="s">
        <v>1245</v>
      </c>
      <c r="CL130" s="1" t="s">
        <v>206</v>
      </c>
      <c r="CO130" s="1" t="s">
        <v>2459</v>
      </c>
      <c r="CP130" s="1" t="s">
        <v>42</v>
      </c>
      <c r="CS130" s="1" t="s">
        <v>1417</v>
      </c>
      <c r="CT130" s="1" t="s">
        <v>206</v>
      </c>
      <c r="CW130" s="1" t="s">
        <v>2625</v>
      </c>
      <c r="CX130" s="1" t="s">
        <v>42</v>
      </c>
      <c r="DA130" s="1" t="s">
        <v>200</v>
      </c>
      <c r="DC130" s="1" t="s">
        <v>216</v>
      </c>
      <c r="DE130" s="1" t="s">
        <v>273</v>
      </c>
      <c r="DF130" s="1" t="s">
        <v>219</v>
      </c>
      <c r="DH130" s="1" t="s">
        <v>307</v>
      </c>
      <c r="DJ130" s="1" t="s">
        <v>222</v>
      </c>
      <c r="DL130" s="1" t="s">
        <v>224</v>
      </c>
      <c r="DM130" s="1" t="s">
        <v>1143</v>
      </c>
      <c r="DQ130" s="1" t="s">
        <v>228</v>
      </c>
      <c r="DR130" s="1" t="s">
        <v>229</v>
      </c>
      <c r="DV130" s="1" t="s">
        <v>232</v>
      </c>
      <c r="DW130" s="1" t="s">
        <v>279</v>
      </c>
      <c r="DX130" s="1" t="s">
        <v>234</v>
      </c>
      <c r="DY130" s="1" t="s">
        <v>1371</v>
      </c>
      <c r="EA130" s="1" t="s">
        <v>644</v>
      </c>
      <c r="EC130" s="1" t="s">
        <v>645</v>
      </c>
      <c r="EM130" s="1" t="s">
        <v>238</v>
      </c>
      <c r="EQ130" s="1" t="s">
        <v>238</v>
      </c>
      <c r="EU130" s="1" t="s">
        <v>238</v>
      </c>
      <c r="EY130" s="1" t="s">
        <v>238</v>
      </c>
      <c r="FC130" s="1" t="s">
        <v>238</v>
      </c>
      <c r="FF130" s="1" t="s">
        <v>239</v>
      </c>
      <c r="FG130" s="1" t="s">
        <v>200</v>
      </c>
      <c r="FH130" s="1" t="s">
        <v>192</v>
      </c>
      <c r="FJ130" s="1" t="s">
        <v>2626</v>
      </c>
      <c r="FK130" s="1" t="s">
        <v>229</v>
      </c>
      <c r="FL130" s="1" t="s">
        <v>1304</v>
      </c>
      <c r="FM130" s="1">
        <v>84745.0</v>
      </c>
      <c r="FN130" s="1" t="s">
        <v>1305</v>
      </c>
      <c r="FO130" s="1" t="s">
        <v>1306</v>
      </c>
      <c r="FP130" s="1">
        <v>186815.0</v>
      </c>
      <c r="FU130" s="1" t="s">
        <v>710</v>
      </c>
      <c r="FV130" s="1" t="s">
        <v>200</v>
      </c>
      <c r="FW130" s="1" t="s">
        <v>1307</v>
      </c>
      <c r="FX130" s="1" t="s">
        <v>655</v>
      </c>
      <c r="FZ130" s="1" t="s">
        <v>229</v>
      </c>
      <c r="GA130" s="1" t="s">
        <v>291</v>
      </c>
      <c r="GB130" s="2">
        <v>42119.0</v>
      </c>
      <c r="GC130" s="1" t="s">
        <v>2627</v>
      </c>
    </row>
    <row r="131">
      <c r="A131" s="1">
        <v>310000.0</v>
      </c>
      <c r="B131" s="1" t="s">
        <v>185</v>
      </c>
      <c r="C131" s="1" t="str">
        <f>"08760753"</f>
        <v>08760753</v>
      </c>
      <c r="D131" s="1" t="s">
        <v>186</v>
      </c>
      <c r="F131" s="1" t="str">
        <f>"8009"</f>
        <v>8009</v>
      </c>
      <c r="G131" s="2">
        <v>41936.0</v>
      </c>
      <c r="H131" s="1">
        <v>324900.0</v>
      </c>
      <c r="I131" s="1">
        <v>96.0</v>
      </c>
      <c r="J131" s="1">
        <v>324900.0</v>
      </c>
      <c r="K131" s="2">
        <v>41992.0</v>
      </c>
      <c r="L131" s="1">
        <v>57.0</v>
      </c>
      <c r="M131" s="2">
        <v>41992.0</v>
      </c>
      <c r="N131" s="1" t="s">
        <v>187</v>
      </c>
      <c r="O131" s="2">
        <v>42012.0</v>
      </c>
      <c r="P131" s="1">
        <v>84285.0</v>
      </c>
      <c r="Q131" s="1">
        <v>1582.0</v>
      </c>
      <c r="S131" s="1">
        <v>7301.0</v>
      </c>
      <c r="T131" s="1" t="s">
        <v>2628</v>
      </c>
      <c r="U131" s="1" t="s">
        <v>320</v>
      </c>
      <c r="V131" s="1" t="s">
        <v>190</v>
      </c>
      <c r="W131" s="1">
        <v>60631.0</v>
      </c>
      <c r="Y131" s="1" t="s">
        <v>2629</v>
      </c>
      <c r="Z131" s="1">
        <v>1962.0</v>
      </c>
      <c r="AA131" s="1" t="s">
        <v>192</v>
      </c>
      <c r="AB131" s="1" t="s">
        <v>193</v>
      </c>
      <c r="AD131" s="1" t="s">
        <v>194</v>
      </c>
      <c r="AE131" s="1" t="s">
        <v>195</v>
      </c>
      <c r="AF131" s="1" t="s">
        <v>196</v>
      </c>
      <c r="AG131" s="1" t="s">
        <v>874</v>
      </c>
      <c r="AH131" s="1" t="s">
        <v>2630</v>
      </c>
      <c r="AK131" s="1">
        <v>7.0</v>
      </c>
      <c r="AL131" s="1">
        <v>3.0</v>
      </c>
      <c r="AM131" s="1">
        <v>2.0</v>
      </c>
      <c r="AN131" s="1">
        <v>0.0</v>
      </c>
      <c r="AO131" s="1" t="s">
        <v>229</v>
      </c>
      <c r="AQ131" s="1" t="s">
        <v>198</v>
      </c>
      <c r="AR131" s="1" t="s">
        <v>192</v>
      </c>
      <c r="AS131" s="1" t="s">
        <v>199</v>
      </c>
      <c r="AT131" s="1">
        <v>2.0</v>
      </c>
      <c r="AV131" s="1" t="s">
        <v>200</v>
      </c>
      <c r="AW131" s="1">
        <v>4559.81</v>
      </c>
      <c r="AX131" s="1">
        <v>2013.0</v>
      </c>
      <c r="AY131" s="1" t="s">
        <v>229</v>
      </c>
      <c r="AZ131" s="1" t="s">
        <v>200</v>
      </c>
      <c r="BA131" s="1" t="str">
        <f>"09254050090000"</f>
        <v>09254050090000</v>
      </c>
      <c r="BC131" s="1">
        <v>1700.0</v>
      </c>
      <c r="BD131" s="1">
        <v>310000.0</v>
      </c>
      <c r="BE131" s="2">
        <v>41936.0</v>
      </c>
      <c r="BF131" s="2" t="s">
        <v>2631</v>
      </c>
      <c r="BG131" s="1" t="s">
        <v>2632</v>
      </c>
      <c r="BH131" s="1">
        <v>0.0</v>
      </c>
      <c r="BI131" s="1" t="s">
        <v>2632</v>
      </c>
      <c r="BJ131" s="1" t="s">
        <v>1222</v>
      </c>
      <c r="BK131" s="1" t="s">
        <v>204</v>
      </c>
      <c r="BL131" s="1" t="str">
        <f>"7600"</f>
        <v>7600</v>
      </c>
      <c r="BM131" s="1" t="str">
        <f t="shared" ref="BM131:BM132" si="86">"0"</f>
        <v>0</v>
      </c>
      <c r="BN131" s="1">
        <v>7301.0</v>
      </c>
      <c r="BO131" s="1">
        <v>0.0</v>
      </c>
      <c r="BQ131" s="1">
        <v>299.0</v>
      </c>
      <c r="BR131" s="1">
        <v>299.0</v>
      </c>
      <c r="BS131" s="1">
        <v>299.0</v>
      </c>
      <c r="BU131" s="1" t="s">
        <v>616</v>
      </c>
      <c r="BV131" s="1" t="s">
        <v>206</v>
      </c>
      <c r="BW131" s="1" t="s">
        <v>207</v>
      </c>
      <c r="BX131" s="1" t="s">
        <v>431</v>
      </c>
      <c r="BY131" s="1" t="s">
        <v>215</v>
      </c>
      <c r="BZ131" s="1" t="s">
        <v>206</v>
      </c>
      <c r="CA131" s="1" t="s">
        <v>207</v>
      </c>
      <c r="CB131" s="1" t="s">
        <v>431</v>
      </c>
      <c r="CD131" s="1" t="s">
        <v>204</v>
      </c>
      <c r="CG131" s="1" t="s">
        <v>212</v>
      </c>
      <c r="CH131" s="1" t="s">
        <v>206</v>
      </c>
      <c r="CI131" s="1" t="s">
        <v>207</v>
      </c>
      <c r="CJ131" s="1" t="s">
        <v>431</v>
      </c>
      <c r="CK131" s="1" t="s">
        <v>212</v>
      </c>
      <c r="CL131" s="1" t="s">
        <v>206</v>
      </c>
      <c r="CM131" s="1" t="s">
        <v>207</v>
      </c>
      <c r="CN131" s="1" t="s">
        <v>431</v>
      </c>
      <c r="CO131" s="1" t="s">
        <v>1229</v>
      </c>
      <c r="CP131" s="1" t="s">
        <v>42</v>
      </c>
      <c r="CQ131" s="1" t="s">
        <v>268</v>
      </c>
      <c r="CR131" s="1" t="s">
        <v>431</v>
      </c>
      <c r="CS131" s="1" t="s">
        <v>1875</v>
      </c>
      <c r="CT131" s="1" t="s">
        <v>206</v>
      </c>
      <c r="CU131" s="1" t="s">
        <v>268</v>
      </c>
      <c r="CV131" s="1" t="s">
        <v>431</v>
      </c>
      <c r="CW131" s="1" t="s">
        <v>2633</v>
      </c>
      <c r="CX131" s="1" t="s">
        <v>42</v>
      </c>
      <c r="CY131" s="1" t="s">
        <v>268</v>
      </c>
      <c r="CZ131" s="1" t="s">
        <v>431</v>
      </c>
      <c r="DA131" s="1" t="s">
        <v>200</v>
      </c>
      <c r="DC131" s="1" t="s">
        <v>271</v>
      </c>
      <c r="DD131" s="1" t="s">
        <v>518</v>
      </c>
      <c r="DE131" s="1" t="s">
        <v>273</v>
      </c>
      <c r="DF131" s="1" t="s">
        <v>219</v>
      </c>
      <c r="DG131" s="1" t="s">
        <v>2634</v>
      </c>
      <c r="DH131" s="1" t="s">
        <v>365</v>
      </c>
      <c r="DI131" s="1" t="s">
        <v>2635</v>
      </c>
      <c r="DJ131" s="1" t="s">
        <v>222</v>
      </c>
      <c r="DL131" s="1" t="s">
        <v>1161</v>
      </c>
      <c r="DM131" s="1" t="s">
        <v>1402</v>
      </c>
      <c r="DN131" s="1" t="s">
        <v>367</v>
      </c>
      <c r="DO131" s="1" t="s">
        <v>549</v>
      </c>
      <c r="DP131" s="1" t="s">
        <v>340</v>
      </c>
      <c r="DQ131" s="1" t="s">
        <v>718</v>
      </c>
      <c r="DR131" s="1" t="s">
        <v>229</v>
      </c>
      <c r="DS131" s="1" t="s">
        <v>230</v>
      </c>
      <c r="DU131" s="1" t="s">
        <v>2636</v>
      </c>
      <c r="DV131" s="1" t="s">
        <v>232</v>
      </c>
      <c r="DW131" s="1" t="s">
        <v>279</v>
      </c>
      <c r="DX131" s="1" t="s">
        <v>234</v>
      </c>
      <c r="DY131" s="1" t="s">
        <v>553</v>
      </c>
      <c r="EA131" s="1" t="s">
        <v>1302</v>
      </c>
      <c r="EC131" s="1" t="s">
        <v>685</v>
      </c>
      <c r="ED131" s="1" t="s">
        <v>1794</v>
      </c>
      <c r="EE131" s="1" t="s">
        <v>2637</v>
      </c>
      <c r="EM131" s="1" t="s">
        <v>238</v>
      </c>
      <c r="EQ131" s="1" t="s">
        <v>238</v>
      </c>
      <c r="EU131" s="1" t="s">
        <v>238</v>
      </c>
      <c r="EY131" s="1" t="s">
        <v>238</v>
      </c>
      <c r="FC131" s="1" t="s">
        <v>238</v>
      </c>
      <c r="FF131" s="1" t="s">
        <v>239</v>
      </c>
      <c r="FG131" s="1" t="s">
        <v>192</v>
      </c>
      <c r="FH131" s="1" t="s">
        <v>192</v>
      </c>
      <c r="FJ131" s="1" t="s">
        <v>412</v>
      </c>
      <c r="FK131" s="1" t="s">
        <v>229</v>
      </c>
      <c r="FL131" s="1" t="s">
        <v>413</v>
      </c>
      <c r="FM131" s="1">
        <v>13691.0</v>
      </c>
      <c r="FN131" s="1" t="s">
        <v>414</v>
      </c>
      <c r="FO131" s="1" t="s">
        <v>2638</v>
      </c>
      <c r="FP131" s="1">
        <v>110981.0</v>
      </c>
      <c r="FQ131" s="1" t="s">
        <v>2639</v>
      </c>
      <c r="FU131" s="1" t="s">
        <v>2640</v>
      </c>
      <c r="FV131" s="1" t="s">
        <v>192</v>
      </c>
      <c r="FW131" s="1" t="s">
        <v>2641</v>
      </c>
      <c r="FX131" s="1" t="s">
        <v>246</v>
      </c>
      <c r="FZ131" s="1" t="s">
        <v>229</v>
      </c>
      <c r="GA131" s="1" t="s">
        <v>291</v>
      </c>
      <c r="GB131" s="2">
        <v>42012.0</v>
      </c>
      <c r="GC131" s="1" t="s">
        <v>2642</v>
      </c>
    </row>
    <row r="132">
      <c r="A132" s="1">
        <v>269000.0</v>
      </c>
      <c r="B132" s="1" t="s">
        <v>185</v>
      </c>
      <c r="C132" s="1" t="str">
        <f>"08762941"</f>
        <v>08762941</v>
      </c>
      <c r="D132" s="1" t="s">
        <v>186</v>
      </c>
      <c r="F132" s="1" t="str">
        <f>"8016"</f>
        <v>8016</v>
      </c>
      <c r="G132" s="2">
        <v>41940.0</v>
      </c>
      <c r="H132" s="1">
        <v>300000.0</v>
      </c>
      <c r="I132" s="1">
        <v>13.0</v>
      </c>
      <c r="J132" s="1">
        <v>299995.0</v>
      </c>
      <c r="K132" s="2">
        <v>41952.0</v>
      </c>
      <c r="L132" s="1">
        <v>13.0</v>
      </c>
      <c r="M132" s="2">
        <v>41952.0</v>
      </c>
      <c r="N132" s="1" t="s">
        <v>249</v>
      </c>
      <c r="O132" s="2">
        <v>41992.0</v>
      </c>
      <c r="P132" s="1">
        <v>151889.0</v>
      </c>
      <c r="Q132" s="1">
        <v>18080.0</v>
      </c>
      <c r="S132" s="1">
        <v>4144.0</v>
      </c>
      <c r="T132" s="1" t="s">
        <v>2643</v>
      </c>
      <c r="U132" s="1" t="s">
        <v>189</v>
      </c>
      <c r="V132" s="1" t="s">
        <v>190</v>
      </c>
      <c r="W132" s="1">
        <v>60618.0</v>
      </c>
      <c r="Y132" s="1" t="s">
        <v>2644</v>
      </c>
      <c r="Z132" s="1">
        <v>1898.0</v>
      </c>
      <c r="AA132" s="1" t="s">
        <v>192</v>
      </c>
      <c r="AB132" s="1" t="s">
        <v>193</v>
      </c>
      <c r="AD132" s="1" t="s">
        <v>194</v>
      </c>
      <c r="AE132" s="1" t="s">
        <v>195</v>
      </c>
      <c r="AF132" s="1" t="s">
        <v>2645</v>
      </c>
      <c r="AH132" s="1">
        <v>4687.0</v>
      </c>
      <c r="AI132" s="1">
        <v>0.1076</v>
      </c>
      <c r="AK132" s="1">
        <v>8.0</v>
      </c>
      <c r="AL132" s="1">
        <v>2.0</v>
      </c>
      <c r="AM132" s="1">
        <v>2.0</v>
      </c>
      <c r="AN132" s="1">
        <v>0.0</v>
      </c>
      <c r="AO132" s="1" t="s">
        <v>229</v>
      </c>
      <c r="AQ132" s="1" t="s">
        <v>198</v>
      </c>
      <c r="AR132" s="1" t="s">
        <v>200</v>
      </c>
      <c r="AS132" s="1" t="s">
        <v>199</v>
      </c>
      <c r="AT132" s="1">
        <v>2.0</v>
      </c>
      <c r="AV132" s="1" t="s">
        <v>200</v>
      </c>
      <c r="AW132" s="1">
        <v>5793.94</v>
      </c>
      <c r="AX132" s="1">
        <v>2012.0</v>
      </c>
      <c r="AY132" s="1" t="s">
        <v>387</v>
      </c>
      <c r="AZ132" s="1" t="s">
        <v>200</v>
      </c>
      <c r="BA132" s="1" t="str">
        <f>"13133190220000"</f>
        <v>13133190220000</v>
      </c>
      <c r="BC132" s="1">
        <v>1700.0</v>
      </c>
      <c r="BD132" s="1">
        <v>269000.0</v>
      </c>
      <c r="BE132" s="2">
        <v>41940.0</v>
      </c>
      <c r="BF132" s="2" t="s">
        <v>2646</v>
      </c>
      <c r="BH132" s="1">
        <v>0.0</v>
      </c>
      <c r="BK132" s="1" t="s">
        <v>204</v>
      </c>
      <c r="BL132" s="1" t="str">
        <f>"4144"</f>
        <v>4144</v>
      </c>
      <c r="BM132" s="1" t="str">
        <f t="shared" si="86"/>
        <v>0</v>
      </c>
      <c r="BN132" s="1">
        <v>3000.0</v>
      </c>
      <c r="BO132" s="1">
        <v>0.0</v>
      </c>
      <c r="BQ132" s="1">
        <v>299.0</v>
      </c>
      <c r="BR132" s="1">
        <v>299.0</v>
      </c>
      <c r="BS132" s="1">
        <v>299.0</v>
      </c>
      <c r="BU132" s="1" t="s">
        <v>2647</v>
      </c>
      <c r="BV132" s="1" t="s">
        <v>206</v>
      </c>
      <c r="BW132" s="1" t="s">
        <v>207</v>
      </c>
      <c r="BY132" s="1" t="s">
        <v>830</v>
      </c>
      <c r="BZ132" s="1" t="s">
        <v>209</v>
      </c>
      <c r="CA132" s="1" t="s">
        <v>210</v>
      </c>
      <c r="CC132" s="1" t="s">
        <v>815</v>
      </c>
      <c r="CD132" s="1" t="s">
        <v>206</v>
      </c>
      <c r="CE132" s="1" t="s">
        <v>207</v>
      </c>
      <c r="CG132" s="1" t="s">
        <v>1351</v>
      </c>
      <c r="CH132" s="1" t="s">
        <v>209</v>
      </c>
      <c r="CI132" s="1" t="s">
        <v>210</v>
      </c>
      <c r="CK132" s="1" t="s">
        <v>269</v>
      </c>
      <c r="CL132" s="1" t="s">
        <v>42</v>
      </c>
      <c r="CO132" s="1" t="s">
        <v>269</v>
      </c>
      <c r="CP132" s="1" t="s">
        <v>42</v>
      </c>
      <c r="CS132" s="1" t="s">
        <v>1852</v>
      </c>
      <c r="CT132" s="1" t="s">
        <v>206</v>
      </c>
      <c r="CX132" s="1" t="s">
        <v>204</v>
      </c>
      <c r="DA132" s="1" t="s">
        <v>200</v>
      </c>
      <c r="DC132" s="1" t="s">
        <v>642</v>
      </c>
      <c r="DE132" s="1" t="s">
        <v>273</v>
      </c>
      <c r="DF132" s="1" t="s">
        <v>619</v>
      </c>
      <c r="DH132" s="1" t="s">
        <v>220</v>
      </c>
      <c r="DJ132" s="1" t="s">
        <v>222</v>
      </c>
      <c r="DL132" s="1" t="s">
        <v>1161</v>
      </c>
      <c r="DM132" s="1" t="s">
        <v>1464</v>
      </c>
      <c r="DQ132" s="1" t="s">
        <v>794</v>
      </c>
      <c r="DR132" s="1" t="s">
        <v>229</v>
      </c>
      <c r="DV132" s="1" t="s">
        <v>598</v>
      </c>
      <c r="DW132" s="1" t="s">
        <v>370</v>
      </c>
      <c r="DX132" s="1" t="s">
        <v>234</v>
      </c>
      <c r="DZ132" s="1" t="s">
        <v>2648</v>
      </c>
      <c r="EA132" s="1" t="s">
        <v>2099</v>
      </c>
      <c r="EC132" s="1" t="s">
        <v>237</v>
      </c>
      <c r="ED132" s="1" t="s">
        <v>407</v>
      </c>
      <c r="EE132" s="1" t="s">
        <v>2649</v>
      </c>
      <c r="EG132" s="1" t="s">
        <v>598</v>
      </c>
      <c r="EL132" s="1" t="s">
        <v>1418</v>
      </c>
      <c r="EM132" s="1" t="s">
        <v>206</v>
      </c>
      <c r="EQ132" s="1" t="s">
        <v>238</v>
      </c>
      <c r="EU132" s="1" t="s">
        <v>238</v>
      </c>
      <c r="EY132" s="1" t="s">
        <v>238</v>
      </c>
      <c r="FC132" s="1" t="s">
        <v>238</v>
      </c>
      <c r="FF132" s="1" t="s">
        <v>239</v>
      </c>
      <c r="FG132" s="1" t="s">
        <v>192</v>
      </c>
      <c r="FH132" s="1" t="s">
        <v>192</v>
      </c>
      <c r="FJ132" s="1" t="s">
        <v>2650</v>
      </c>
      <c r="FK132" s="1" t="s">
        <v>229</v>
      </c>
      <c r="FL132" s="1" t="s">
        <v>836</v>
      </c>
      <c r="FM132" s="1">
        <v>18080.0</v>
      </c>
      <c r="FN132" s="1" t="s">
        <v>837</v>
      </c>
      <c r="FO132" s="1" t="s">
        <v>2651</v>
      </c>
      <c r="FP132" s="1">
        <v>151889.0</v>
      </c>
      <c r="FQ132" s="1" t="s">
        <v>2652</v>
      </c>
      <c r="FU132" s="1" t="s">
        <v>2653</v>
      </c>
      <c r="FV132" s="1" t="s">
        <v>200</v>
      </c>
      <c r="FW132" s="1" t="s">
        <v>530</v>
      </c>
      <c r="FX132" s="1" t="s">
        <v>238</v>
      </c>
      <c r="FZ132" s="1" t="s">
        <v>229</v>
      </c>
      <c r="GA132" s="1" t="s">
        <v>291</v>
      </c>
      <c r="GB132" s="2">
        <v>41995.0</v>
      </c>
      <c r="GC132" s="1" t="s">
        <v>2654</v>
      </c>
    </row>
    <row r="133">
      <c r="A133" s="1">
        <v>12000.0</v>
      </c>
      <c r="B133" s="1" t="s">
        <v>185</v>
      </c>
      <c r="C133" s="1" t="str">
        <f>"08763010"</f>
        <v>08763010</v>
      </c>
      <c r="D133" s="1" t="s">
        <v>186</v>
      </c>
      <c r="F133" s="1" t="str">
        <f>"8068"</f>
        <v>8068</v>
      </c>
      <c r="G133" s="2">
        <v>41940.0</v>
      </c>
      <c r="H133" s="1">
        <v>19400.0</v>
      </c>
      <c r="I133" s="1">
        <v>149.0</v>
      </c>
      <c r="J133" s="1">
        <v>14000.0</v>
      </c>
      <c r="K133" s="2">
        <v>41961.0</v>
      </c>
      <c r="L133" s="1">
        <v>22.0</v>
      </c>
      <c r="M133" s="2">
        <v>41961.0</v>
      </c>
      <c r="N133" s="1" t="s">
        <v>249</v>
      </c>
      <c r="O133" s="2">
        <v>41991.0</v>
      </c>
      <c r="P133" s="1">
        <v>136602.0</v>
      </c>
      <c r="Q133" s="1">
        <v>15374.0</v>
      </c>
      <c r="S133" s="1">
        <v>7343.0</v>
      </c>
      <c r="T133" s="1" t="s">
        <v>2655</v>
      </c>
      <c r="U133" s="1" t="s">
        <v>320</v>
      </c>
      <c r="V133" s="1" t="s">
        <v>190</v>
      </c>
      <c r="W133" s="1">
        <v>60621.0</v>
      </c>
      <c r="Y133" s="1" t="s">
        <v>2656</v>
      </c>
      <c r="Z133" s="1">
        <v>1912.0</v>
      </c>
      <c r="AA133" s="1" t="s">
        <v>192</v>
      </c>
      <c r="AB133" s="1" t="s">
        <v>193</v>
      </c>
      <c r="AD133" s="1" t="s">
        <v>194</v>
      </c>
      <c r="AE133" s="1" t="s">
        <v>195</v>
      </c>
      <c r="AF133" s="1" t="s">
        <v>534</v>
      </c>
      <c r="AH133" s="1">
        <v>3125.0</v>
      </c>
      <c r="AI133" s="1">
        <v>0.0717</v>
      </c>
      <c r="AK133" s="1">
        <v>7.0</v>
      </c>
      <c r="AL133" s="1">
        <v>4.0</v>
      </c>
      <c r="AM133" s="1">
        <v>1.0</v>
      </c>
      <c r="AN133" s="1">
        <v>1.0</v>
      </c>
      <c r="AO133" s="1" t="s">
        <v>229</v>
      </c>
      <c r="AQ133" s="1" t="s">
        <v>198</v>
      </c>
      <c r="AR133" s="1" t="s">
        <v>192</v>
      </c>
      <c r="AS133" s="1" t="s">
        <v>229</v>
      </c>
      <c r="AV133" s="1" t="s">
        <v>200</v>
      </c>
      <c r="AW133" s="1">
        <v>1357.36</v>
      </c>
      <c r="AX133" s="1">
        <v>2012.0</v>
      </c>
      <c r="AZ133" s="1" t="s">
        <v>200</v>
      </c>
      <c r="BA133" s="1" t="str">
        <f>"20292210170000"</f>
        <v>20292210170000</v>
      </c>
      <c r="BC133" s="1">
        <v>1460.0</v>
      </c>
      <c r="BD133" s="1">
        <v>12000.0</v>
      </c>
      <c r="BE133" s="2">
        <v>41940.0</v>
      </c>
      <c r="BF133" s="2" t="s">
        <v>2657</v>
      </c>
      <c r="BH133" s="1">
        <v>0.0</v>
      </c>
      <c r="BK133" s="1" t="s">
        <v>204</v>
      </c>
      <c r="BL133" s="1" t="str">
        <f t="shared" ref="BL133:BM133" si="87">"0"</f>
        <v>0</v>
      </c>
      <c r="BM133" s="1" t="str">
        <f t="shared" si="87"/>
        <v>0</v>
      </c>
      <c r="BN133" s="1">
        <v>932.0</v>
      </c>
      <c r="BO133" s="1">
        <v>7343.0</v>
      </c>
      <c r="BQ133" s="1">
        <v>299.0</v>
      </c>
      <c r="BR133" s="1">
        <v>299.0</v>
      </c>
      <c r="BS133" s="1">
        <v>299.0</v>
      </c>
      <c r="BU133" s="1" t="s">
        <v>262</v>
      </c>
      <c r="BV133" s="1" t="s">
        <v>206</v>
      </c>
      <c r="BY133" s="1" t="s">
        <v>215</v>
      </c>
      <c r="BZ133" s="1" t="s">
        <v>206</v>
      </c>
      <c r="CC133" s="1" t="s">
        <v>495</v>
      </c>
      <c r="CD133" s="1" t="s">
        <v>206</v>
      </c>
      <c r="CG133" s="1" t="s">
        <v>264</v>
      </c>
      <c r="CH133" s="1" t="s">
        <v>206</v>
      </c>
      <c r="CK133" s="1" t="s">
        <v>375</v>
      </c>
      <c r="CL133" s="1" t="s">
        <v>206</v>
      </c>
      <c r="CO133" s="1" t="s">
        <v>497</v>
      </c>
      <c r="CP133" s="1" t="s">
        <v>209</v>
      </c>
      <c r="CS133" s="1" t="s">
        <v>497</v>
      </c>
      <c r="CT133" s="1" t="s">
        <v>206</v>
      </c>
      <c r="CX133" s="1" t="s">
        <v>204</v>
      </c>
      <c r="DA133" s="1" t="s">
        <v>200</v>
      </c>
      <c r="DC133" s="1" t="s">
        <v>642</v>
      </c>
      <c r="DE133" s="1" t="s">
        <v>229</v>
      </c>
      <c r="DF133" s="1" t="s">
        <v>219</v>
      </c>
      <c r="DH133" s="1" t="s">
        <v>220</v>
      </c>
      <c r="DJ133" s="1" t="s">
        <v>222</v>
      </c>
      <c r="DL133" s="1" t="s">
        <v>858</v>
      </c>
      <c r="DM133" s="1" t="s">
        <v>229</v>
      </c>
      <c r="DQ133" s="1" t="s">
        <v>228</v>
      </c>
      <c r="DR133" s="1" t="s">
        <v>229</v>
      </c>
      <c r="DV133" s="1" t="s">
        <v>232</v>
      </c>
      <c r="DW133" s="1" t="s">
        <v>667</v>
      </c>
      <c r="DX133" s="1" t="s">
        <v>309</v>
      </c>
      <c r="EC133" s="1" t="s">
        <v>645</v>
      </c>
      <c r="EE133" s="1" t="s">
        <v>1960</v>
      </c>
      <c r="EM133" s="1" t="s">
        <v>238</v>
      </c>
      <c r="EQ133" s="1" t="s">
        <v>238</v>
      </c>
      <c r="EU133" s="1" t="s">
        <v>238</v>
      </c>
      <c r="EY133" s="1" t="s">
        <v>238</v>
      </c>
      <c r="FC133" s="1" t="s">
        <v>238</v>
      </c>
      <c r="FF133" s="1" t="s">
        <v>239</v>
      </c>
      <c r="FG133" s="1" t="s">
        <v>192</v>
      </c>
      <c r="FH133" s="1" t="s">
        <v>192</v>
      </c>
      <c r="FJ133" s="1" t="s">
        <v>2658</v>
      </c>
      <c r="FK133" s="1" t="s">
        <v>229</v>
      </c>
      <c r="FL133" s="1" t="s">
        <v>2659</v>
      </c>
      <c r="FM133" s="1">
        <v>25562.0</v>
      </c>
      <c r="FN133" s="1" t="s">
        <v>2660</v>
      </c>
      <c r="FO133" s="1" t="s">
        <v>2661</v>
      </c>
      <c r="FP133" s="1">
        <v>215155.0</v>
      </c>
      <c r="FQ133" s="1" t="s">
        <v>2660</v>
      </c>
      <c r="FU133" s="1" t="s">
        <v>710</v>
      </c>
      <c r="FV133" s="1" t="s">
        <v>200</v>
      </c>
      <c r="FW133" s="1" t="s">
        <v>2662</v>
      </c>
      <c r="FX133" s="1" t="s">
        <v>655</v>
      </c>
      <c r="FZ133" s="1" t="s">
        <v>229</v>
      </c>
      <c r="GA133" s="1" t="s">
        <v>291</v>
      </c>
      <c r="GB133" s="2">
        <v>41992.0</v>
      </c>
      <c r="GC133" s="1" t="s">
        <v>2663</v>
      </c>
    </row>
    <row r="134">
      <c r="A134" s="1">
        <v>134500.0</v>
      </c>
      <c r="B134" s="1" t="s">
        <v>185</v>
      </c>
      <c r="C134" s="1" t="str">
        <f>"08761755"</f>
        <v>08761755</v>
      </c>
      <c r="D134" s="1" t="s">
        <v>186</v>
      </c>
      <c r="F134" s="1" t="str">
        <f>"110"</f>
        <v>110</v>
      </c>
      <c r="G134" s="2">
        <v>41937.0</v>
      </c>
      <c r="H134" s="1">
        <v>134900.0</v>
      </c>
      <c r="I134" s="1">
        <v>142.0</v>
      </c>
      <c r="J134" s="1">
        <v>134900.0</v>
      </c>
      <c r="K134" s="2">
        <v>41949.0</v>
      </c>
      <c r="L134" s="1">
        <v>14.0</v>
      </c>
      <c r="M134" s="2">
        <v>41949.0</v>
      </c>
      <c r="N134" s="1" t="s">
        <v>187</v>
      </c>
      <c r="O134" s="2">
        <v>42018.0</v>
      </c>
      <c r="P134" s="1">
        <v>8423.0</v>
      </c>
      <c r="Q134" s="1">
        <v>7450.0</v>
      </c>
      <c r="S134" s="1">
        <v>1936.0</v>
      </c>
      <c r="T134" s="1" t="s">
        <v>2664</v>
      </c>
      <c r="U134" s="1" t="s">
        <v>1015</v>
      </c>
      <c r="V134" s="1" t="s">
        <v>807</v>
      </c>
      <c r="W134" s="1">
        <v>60110.0</v>
      </c>
      <c r="Y134" s="1" t="s">
        <v>2665</v>
      </c>
      <c r="Z134" s="1">
        <v>1969.0</v>
      </c>
      <c r="AA134" s="1" t="s">
        <v>192</v>
      </c>
      <c r="AB134" s="1" t="s">
        <v>193</v>
      </c>
      <c r="AD134" s="1" t="s">
        <v>809</v>
      </c>
      <c r="AE134" s="1" t="s">
        <v>325</v>
      </c>
      <c r="AF134" s="1" t="s">
        <v>810</v>
      </c>
      <c r="AH134" s="1" t="s">
        <v>2666</v>
      </c>
      <c r="AI134" s="1">
        <v>0.2644</v>
      </c>
      <c r="AK134" s="1">
        <v>9.0</v>
      </c>
      <c r="AL134" s="1">
        <v>4.0</v>
      </c>
      <c r="AM134" s="1">
        <v>1.0</v>
      </c>
      <c r="AN134" s="1">
        <v>1.0</v>
      </c>
      <c r="AO134" s="1" t="s">
        <v>229</v>
      </c>
      <c r="AP134" s="1">
        <v>1.0</v>
      </c>
      <c r="AQ134" s="1" t="s">
        <v>198</v>
      </c>
      <c r="AR134" s="1" t="s">
        <v>192</v>
      </c>
      <c r="AS134" s="1" t="s">
        <v>199</v>
      </c>
      <c r="AT134" s="1">
        <v>2.0</v>
      </c>
      <c r="AV134" s="1" t="s">
        <v>200</v>
      </c>
      <c r="AW134" s="1">
        <v>3500.72</v>
      </c>
      <c r="AX134" s="1">
        <v>2013.0</v>
      </c>
      <c r="AY134" s="1" t="s">
        <v>387</v>
      </c>
      <c r="AZ134" s="1" t="s">
        <v>200</v>
      </c>
      <c r="BA134" s="1" t="str">
        <f>"0324203037"</f>
        <v>0324203037</v>
      </c>
      <c r="BC134" s="1">
        <v>2268.0</v>
      </c>
      <c r="BD134" s="1">
        <v>134500.0</v>
      </c>
      <c r="BE134" s="2">
        <v>41936.0</v>
      </c>
      <c r="BF134" s="1" t="s">
        <v>2667</v>
      </c>
      <c r="BH134" s="1">
        <v>0.0</v>
      </c>
      <c r="BK134" s="1" t="s">
        <v>204</v>
      </c>
      <c r="BL134" s="1" t="str">
        <f>"16"</f>
        <v>16</v>
      </c>
      <c r="BM134" s="1" t="str">
        <f>"0"</f>
        <v>0</v>
      </c>
      <c r="BN134" s="1">
        <v>14.0</v>
      </c>
      <c r="BO134" s="1">
        <v>0.0</v>
      </c>
      <c r="BQ134" s="1">
        <v>300.0</v>
      </c>
      <c r="BR134" s="1">
        <v>300.0</v>
      </c>
      <c r="BS134" s="1">
        <v>300.0</v>
      </c>
      <c r="BU134" s="1" t="s">
        <v>639</v>
      </c>
      <c r="BV134" s="1" t="s">
        <v>206</v>
      </c>
      <c r="BW134" s="1" t="s">
        <v>210</v>
      </c>
      <c r="BX134" s="1" t="s">
        <v>229</v>
      </c>
      <c r="BY134" s="1" t="s">
        <v>392</v>
      </c>
      <c r="BZ134" s="1" t="s">
        <v>206</v>
      </c>
      <c r="CA134" s="1" t="s">
        <v>210</v>
      </c>
      <c r="CB134" s="1" t="s">
        <v>229</v>
      </c>
      <c r="CC134" s="1" t="s">
        <v>497</v>
      </c>
      <c r="CD134" s="1" t="s">
        <v>206</v>
      </c>
      <c r="CE134" s="1" t="s">
        <v>210</v>
      </c>
      <c r="CF134" s="1" t="s">
        <v>229</v>
      </c>
      <c r="CG134" s="1" t="s">
        <v>497</v>
      </c>
      <c r="CH134" s="1" t="s">
        <v>206</v>
      </c>
      <c r="CI134" s="1" t="s">
        <v>210</v>
      </c>
      <c r="CJ134" s="1" t="s">
        <v>229</v>
      </c>
      <c r="CK134" s="1" t="s">
        <v>495</v>
      </c>
      <c r="CL134" s="1" t="s">
        <v>206</v>
      </c>
      <c r="CM134" s="1" t="s">
        <v>210</v>
      </c>
      <c r="CN134" s="1" t="s">
        <v>229</v>
      </c>
      <c r="CO134" s="1" t="s">
        <v>495</v>
      </c>
      <c r="CP134" s="1" t="s">
        <v>206</v>
      </c>
      <c r="CQ134" s="1" t="s">
        <v>210</v>
      </c>
      <c r="CR134" s="1" t="s">
        <v>229</v>
      </c>
      <c r="CS134" s="1" t="s">
        <v>392</v>
      </c>
      <c r="CT134" s="1" t="s">
        <v>206</v>
      </c>
      <c r="CU134" s="1" t="s">
        <v>617</v>
      </c>
      <c r="CV134" s="1" t="s">
        <v>229</v>
      </c>
      <c r="CW134" s="1" t="s">
        <v>541</v>
      </c>
      <c r="CX134" s="1" t="s">
        <v>267</v>
      </c>
      <c r="CY134" s="1" t="s">
        <v>210</v>
      </c>
      <c r="CZ134" s="1" t="s">
        <v>229</v>
      </c>
      <c r="DA134" s="1" t="s">
        <v>200</v>
      </c>
      <c r="DC134" s="1" t="s">
        <v>517</v>
      </c>
      <c r="DE134" s="1" t="s">
        <v>273</v>
      </c>
      <c r="DF134" s="1" t="s">
        <v>619</v>
      </c>
      <c r="DH134" s="1" t="s">
        <v>220</v>
      </c>
      <c r="DJ134" s="1" t="s">
        <v>222</v>
      </c>
      <c r="DL134" s="1" t="s">
        <v>224</v>
      </c>
      <c r="DM134" s="1" t="s">
        <v>338</v>
      </c>
      <c r="DP134" s="1" t="s">
        <v>340</v>
      </c>
      <c r="DQ134" s="1" t="s">
        <v>228</v>
      </c>
      <c r="DR134" s="1" t="s">
        <v>229</v>
      </c>
      <c r="DS134" s="1" t="s">
        <v>230</v>
      </c>
      <c r="DV134" s="1" t="s">
        <v>557</v>
      </c>
      <c r="DW134" s="1" t="s">
        <v>891</v>
      </c>
      <c r="DX134" s="1" t="s">
        <v>234</v>
      </c>
      <c r="DZ134" s="1" t="s">
        <v>310</v>
      </c>
      <c r="EB134" s="1" t="s">
        <v>345</v>
      </c>
      <c r="EC134" s="1" t="s">
        <v>311</v>
      </c>
      <c r="EE134" s="1" t="s">
        <v>187</v>
      </c>
      <c r="EG134" s="1" t="s">
        <v>557</v>
      </c>
      <c r="EL134" s="1" t="s">
        <v>433</v>
      </c>
      <c r="EM134" s="1" t="s">
        <v>267</v>
      </c>
      <c r="EN134" s="1" t="s">
        <v>210</v>
      </c>
      <c r="EO134" s="1" t="s">
        <v>229</v>
      </c>
      <c r="EQ134" s="1" t="s">
        <v>238</v>
      </c>
      <c r="EU134" s="1" t="s">
        <v>238</v>
      </c>
      <c r="EY134" s="1" t="s">
        <v>238</v>
      </c>
      <c r="FC134" s="1" t="s">
        <v>238</v>
      </c>
      <c r="FF134" s="1" t="s">
        <v>239</v>
      </c>
      <c r="FG134" s="1" t="s">
        <v>192</v>
      </c>
      <c r="FH134" s="1" t="s">
        <v>192</v>
      </c>
      <c r="FJ134" s="1" t="s">
        <v>498</v>
      </c>
      <c r="FK134" s="1" t="s">
        <v>229</v>
      </c>
      <c r="FL134" s="1" t="s">
        <v>1451</v>
      </c>
      <c r="FM134" s="1">
        <v>7450.0</v>
      </c>
      <c r="FN134" s="1" t="s">
        <v>1452</v>
      </c>
      <c r="FO134" s="1" t="s">
        <v>2668</v>
      </c>
      <c r="FP134" s="1">
        <v>70399.0</v>
      </c>
      <c r="FQ134" s="1" t="s">
        <v>2669</v>
      </c>
      <c r="FS134" s="1" t="s">
        <v>1455</v>
      </c>
      <c r="FU134" s="1" t="s">
        <v>1456</v>
      </c>
      <c r="FV134" s="1" t="s">
        <v>200</v>
      </c>
      <c r="FW134" s="1" t="s">
        <v>1457</v>
      </c>
      <c r="FZ134" s="1" t="s">
        <v>229</v>
      </c>
      <c r="GA134" s="1" t="s">
        <v>291</v>
      </c>
      <c r="GB134" s="2">
        <v>42018.0</v>
      </c>
      <c r="GC134" s="1" t="s">
        <v>2670</v>
      </c>
    </row>
    <row r="135">
      <c r="A135" s="1">
        <v>297000.0</v>
      </c>
      <c r="B135" s="1" t="s">
        <v>185</v>
      </c>
      <c r="C135" s="1" t="str">
        <f>"08767446"</f>
        <v>08767446</v>
      </c>
      <c r="D135" s="1" t="s">
        <v>186</v>
      </c>
      <c r="F135" s="1" t="str">
        <f>"560"</f>
        <v>560</v>
      </c>
      <c r="G135" s="2">
        <v>41946.0</v>
      </c>
      <c r="H135" s="1">
        <v>299900.0</v>
      </c>
      <c r="I135" s="1">
        <v>32.0</v>
      </c>
      <c r="J135" s="1">
        <v>299900.0</v>
      </c>
      <c r="K135" s="2">
        <v>41975.0</v>
      </c>
      <c r="L135" s="1">
        <v>32.0</v>
      </c>
      <c r="M135" s="2">
        <v>41975.0</v>
      </c>
      <c r="N135" s="1" t="s">
        <v>356</v>
      </c>
      <c r="O135" s="2">
        <v>42052.0</v>
      </c>
      <c r="P135" s="1">
        <v>222996.0</v>
      </c>
      <c r="Q135" s="1">
        <v>22588.0</v>
      </c>
      <c r="S135" s="1">
        <v>1016.0</v>
      </c>
      <c r="T135" s="1" t="s">
        <v>2176</v>
      </c>
      <c r="U135" s="1" t="s">
        <v>1442</v>
      </c>
      <c r="V135" s="1" t="s">
        <v>845</v>
      </c>
      <c r="W135" s="1">
        <v>60560.0</v>
      </c>
      <c r="Y135" s="1" t="s">
        <v>2671</v>
      </c>
      <c r="Z135" s="1">
        <v>2002.0</v>
      </c>
      <c r="AA135" s="1" t="s">
        <v>200</v>
      </c>
      <c r="AB135" s="1" t="s">
        <v>193</v>
      </c>
      <c r="AD135" s="1" t="s">
        <v>848</v>
      </c>
      <c r="AE135" s="1" t="s">
        <v>849</v>
      </c>
      <c r="AF135" s="1" t="s">
        <v>1312</v>
      </c>
      <c r="AG135" s="1" t="s">
        <v>2672</v>
      </c>
      <c r="AH135" s="1" t="s">
        <v>2673</v>
      </c>
      <c r="AI135" s="1">
        <v>0.2737</v>
      </c>
      <c r="AK135" s="1">
        <v>10.0</v>
      </c>
      <c r="AL135" s="1">
        <v>4.0</v>
      </c>
      <c r="AM135" s="1">
        <v>3.0</v>
      </c>
      <c r="AN135" s="1">
        <v>0.0</v>
      </c>
      <c r="AO135" s="1" t="s">
        <v>198</v>
      </c>
      <c r="AP135" s="1">
        <v>1.0</v>
      </c>
      <c r="AQ135" s="1" t="s">
        <v>327</v>
      </c>
      <c r="AR135" s="1" t="s">
        <v>192</v>
      </c>
      <c r="AS135" s="1" t="s">
        <v>199</v>
      </c>
      <c r="AT135" s="1">
        <v>3.0</v>
      </c>
      <c r="AV135" s="1" t="s">
        <v>200</v>
      </c>
      <c r="AW135" s="1">
        <v>7674.0</v>
      </c>
      <c r="AX135" s="1">
        <v>2013.0</v>
      </c>
      <c r="AY135" s="1" t="s">
        <v>387</v>
      </c>
      <c r="AZ135" s="1" t="s">
        <v>200</v>
      </c>
      <c r="BA135" s="1" t="str">
        <f>"0229130005"</f>
        <v>0229130005</v>
      </c>
      <c r="BB135" s="1" t="s">
        <v>192</v>
      </c>
      <c r="BC135" s="1">
        <v>3628.0</v>
      </c>
      <c r="BD135" s="1">
        <v>297000.0</v>
      </c>
      <c r="BE135" s="2">
        <v>41944.0</v>
      </c>
      <c r="BF135" s="2" t="s">
        <v>2674</v>
      </c>
      <c r="BH135" s="1">
        <v>0.0</v>
      </c>
      <c r="BK135" s="1" t="s">
        <v>204</v>
      </c>
      <c r="BL135" s="1" t="str">
        <f t="shared" ref="BL135:BM135" si="88">""</f>
        <v/>
      </c>
      <c r="BM135" s="1" t="str">
        <f t="shared" si="88"/>
        <v/>
      </c>
      <c r="BQ135" s="1">
        <v>115.0</v>
      </c>
      <c r="BR135" s="1">
        <v>115.0</v>
      </c>
      <c r="BS135" s="1">
        <v>115.0</v>
      </c>
      <c r="BU135" s="1" t="s">
        <v>743</v>
      </c>
      <c r="BV135" s="1" t="s">
        <v>206</v>
      </c>
      <c r="BW135" s="1" t="s">
        <v>210</v>
      </c>
      <c r="BX135" s="1" t="s">
        <v>239</v>
      </c>
      <c r="BY135" s="1" t="s">
        <v>208</v>
      </c>
      <c r="BZ135" s="1" t="s">
        <v>206</v>
      </c>
      <c r="CA135" s="1" t="s">
        <v>210</v>
      </c>
      <c r="CB135" s="1" t="s">
        <v>239</v>
      </c>
      <c r="CD135" s="1" t="s">
        <v>204</v>
      </c>
      <c r="CG135" s="1" t="s">
        <v>454</v>
      </c>
      <c r="CH135" s="1" t="s">
        <v>206</v>
      </c>
      <c r="CI135" s="1" t="s">
        <v>210</v>
      </c>
      <c r="CJ135" s="1" t="s">
        <v>239</v>
      </c>
      <c r="CK135" s="1" t="s">
        <v>213</v>
      </c>
      <c r="CL135" s="1" t="s">
        <v>1697</v>
      </c>
      <c r="CM135" s="1" t="s">
        <v>210</v>
      </c>
      <c r="CN135" s="1" t="s">
        <v>239</v>
      </c>
      <c r="CO135" s="1" t="s">
        <v>211</v>
      </c>
      <c r="CP135" s="1" t="s">
        <v>1697</v>
      </c>
      <c r="CQ135" s="1" t="s">
        <v>210</v>
      </c>
      <c r="CR135" s="1" t="s">
        <v>239</v>
      </c>
      <c r="CS135" s="1" t="s">
        <v>214</v>
      </c>
      <c r="CT135" s="1" t="s">
        <v>206</v>
      </c>
      <c r="CU135" s="1" t="s">
        <v>207</v>
      </c>
      <c r="CV135" s="1" t="s">
        <v>239</v>
      </c>
      <c r="CW135" s="1" t="s">
        <v>2675</v>
      </c>
      <c r="CX135" s="1" t="s">
        <v>1697</v>
      </c>
      <c r="CY135" s="1" t="s">
        <v>210</v>
      </c>
      <c r="CZ135" s="1" t="s">
        <v>239</v>
      </c>
      <c r="DA135" s="1" t="s">
        <v>200</v>
      </c>
      <c r="DC135" s="1" t="s">
        <v>335</v>
      </c>
      <c r="DD135" s="1" t="s">
        <v>1838</v>
      </c>
      <c r="DE135" s="1" t="s">
        <v>273</v>
      </c>
      <c r="DF135" s="1" t="s">
        <v>619</v>
      </c>
      <c r="DG135" s="1" t="s">
        <v>337</v>
      </c>
      <c r="DH135" s="1" t="s">
        <v>220</v>
      </c>
      <c r="DI135" s="1" t="s">
        <v>1120</v>
      </c>
      <c r="DJ135" s="1" t="s">
        <v>222</v>
      </c>
      <c r="DL135" s="1" t="s">
        <v>1161</v>
      </c>
      <c r="DM135" s="1" t="s">
        <v>338</v>
      </c>
      <c r="DN135" s="1" t="s">
        <v>2676</v>
      </c>
      <c r="DO135" s="1" t="s">
        <v>1208</v>
      </c>
      <c r="DQ135" s="1" t="s">
        <v>441</v>
      </c>
      <c r="DR135" s="1" t="s">
        <v>229</v>
      </c>
      <c r="DU135" s="1" t="s">
        <v>2677</v>
      </c>
      <c r="DV135" s="1" t="s">
        <v>2678</v>
      </c>
      <c r="DW135" s="1" t="s">
        <v>444</v>
      </c>
      <c r="DX135" s="1" t="s">
        <v>234</v>
      </c>
      <c r="DY135" s="1" t="s">
        <v>1958</v>
      </c>
      <c r="DZ135" s="1" t="s">
        <v>2679</v>
      </c>
      <c r="EA135" s="1" t="s">
        <v>2680</v>
      </c>
      <c r="EB135" s="1" t="s">
        <v>937</v>
      </c>
      <c r="EC135" s="1" t="s">
        <v>685</v>
      </c>
      <c r="ED135" s="1" t="s">
        <v>407</v>
      </c>
      <c r="EG135" s="1" t="s">
        <v>449</v>
      </c>
      <c r="EH135" s="1" t="s">
        <v>494</v>
      </c>
      <c r="EI135" s="1" t="s">
        <v>557</v>
      </c>
      <c r="EJ135" s="1" t="s">
        <v>720</v>
      </c>
      <c r="EK135" s="1" t="s">
        <v>1270</v>
      </c>
      <c r="EL135" s="1" t="s">
        <v>647</v>
      </c>
      <c r="EM135" s="1" t="s">
        <v>206</v>
      </c>
      <c r="EN135" s="1" t="s">
        <v>207</v>
      </c>
      <c r="EO135" s="1" t="s">
        <v>239</v>
      </c>
      <c r="EP135" s="1" t="s">
        <v>495</v>
      </c>
      <c r="EQ135" s="1" t="s">
        <v>206</v>
      </c>
      <c r="ER135" s="1" t="s">
        <v>210</v>
      </c>
      <c r="ES135" s="1" t="s">
        <v>239</v>
      </c>
      <c r="ET135" s="1" t="s">
        <v>1117</v>
      </c>
      <c r="EU135" s="1" t="s">
        <v>1697</v>
      </c>
      <c r="EV135" s="1" t="s">
        <v>210</v>
      </c>
      <c r="EW135" s="1" t="s">
        <v>239</v>
      </c>
      <c r="EX135" s="1" t="s">
        <v>410</v>
      </c>
      <c r="EY135" s="1" t="s">
        <v>206</v>
      </c>
      <c r="EZ135" s="1" t="s">
        <v>268</v>
      </c>
      <c r="FA135" s="1" t="s">
        <v>239</v>
      </c>
      <c r="FB135" s="1" t="s">
        <v>2681</v>
      </c>
      <c r="FC135" s="1" t="s">
        <v>1697</v>
      </c>
      <c r="FD135" s="1" t="s">
        <v>588</v>
      </c>
      <c r="FE135" s="1" t="s">
        <v>239</v>
      </c>
      <c r="FF135" s="1" t="s">
        <v>239</v>
      </c>
      <c r="FG135" s="1" t="s">
        <v>192</v>
      </c>
      <c r="FH135" s="1" t="s">
        <v>192</v>
      </c>
      <c r="FJ135" s="1" t="s">
        <v>770</v>
      </c>
      <c r="FK135" s="1" t="s">
        <v>229</v>
      </c>
      <c r="FL135" s="1" t="s">
        <v>2226</v>
      </c>
      <c r="FM135" s="1">
        <v>300.0</v>
      </c>
      <c r="FN135" s="1" t="s">
        <v>2227</v>
      </c>
      <c r="FO135" s="1" t="s">
        <v>2682</v>
      </c>
      <c r="FP135" s="1">
        <v>313804.0</v>
      </c>
      <c r="FQ135" s="1" t="s">
        <v>2683</v>
      </c>
      <c r="FU135" s="1" t="s">
        <v>2684</v>
      </c>
      <c r="FV135" s="1" t="s">
        <v>200</v>
      </c>
      <c r="FW135" s="1" t="s">
        <v>290</v>
      </c>
      <c r="FZ135" s="1" t="s">
        <v>632</v>
      </c>
      <c r="GA135" s="1" t="s">
        <v>291</v>
      </c>
      <c r="GB135" s="2">
        <v>42052.0</v>
      </c>
      <c r="GC135" s="1" t="s">
        <v>2685</v>
      </c>
    </row>
    <row r="136">
      <c r="A136" s="1">
        <v>295000.0</v>
      </c>
      <c r="B136" s="1" t="s">
        <v>185</v>
      </c>
      <c r="C136" s="1" t="str">
        <f>"08761918"</f>
        <v>08761918</v>
      </c>
      <c r="D136" s="1" t="s">
        <v>186</v>
      </c>
      <c r="F136" s="1" t="str">
        <f>"134"</f>
        <v>134</v>
      </c>
      <c r="G136" s="2">
        <v>41938.0</v>
      </c>
      <c r="H136" s="1">
        <v>307000.0</v>
      </c>
      <c r="I136" s="1">
        <v>11.0</v>
      </c>
      <c r="J136" s="1">
        <v>307000.0</v>
      </c>
      <c r="K136" s="2">
        <v>41948.0</v>
      </c>
      <c r="L136" s="1">
        <v>11.0</v>
      </c>
      <c r="M136" s="2">
        <v>41948.0</v>
      </c>
      <c r="N136" s="1" t="s">
        <v>187</v>
      </c>
      <c r="O136" s="2">
        <v>41978.0</v>
      </c>
      <c r="P136" s="1">
        <v>359.0</v>
      </c>
      <c r="Q136" s="1">
        <v>30.0</v>
      </c>
      <c r="S136" s="1">
        <v>2312.0</v>
      </c>
      <c r="T136" s="1" t="s">
        <v>2686</v>
      </c>
      <c r="U136" s="1" t="s">
        <v>569</v>
      </c>
      <c r="V136" s="1" t="s">
        <v>421</v>
      </c>
      <c r="W136" s="1">
        <v>60134.0</v>
      </c>
      <c r="Y136" s="1" t="s">
        <v>2687</v>
      </c>
      <c r="Z136" s="1">
        <v>1974.0</v>
      </c>
      <c r="AA136" s="1" t="s">
        <v>192</v>
      </c>
      <c r="AB136" s="1" t="s">
        <v>193</v>
      </c>
      <c r="AC136" s="1" t="s">
        <v>2688</v>
      </c>
      <c r="AD136" s="1" t="s">
        <v>424</v>
      </c>
      <c r="AE136" s="1" t="s">
        <v>325</v>
      </c>
      <c r="AF136" s="1" t="s">
        <v>424</v>
      </c>
      <c r="AH136" s="1" t="s">
        <v>2689</v>
      </c>
      <c r="AI136" s="1">
        <v>0.44</v>
      </c>
      <c r="AK136" s="1">
        <v>10.0</v>
      </c>
      <c r="AL136" s="1">
        <v>4.0</v>
      </c>
      <c r="AM136" s="1">
        <v>2.0</v>
      </c>
      <c r="AN136" s="1">
        <v>1.0</v>
      </c>
      <c r="AO136" s="1" t="s">
        <v>198</v>
      </c>
      <c r="AP136" s="1">
        <v>1.0</v>
      </c>
      <c r="AQ136" s="1" t="s">
        <v>198</v>
      </c>
      <c r="AR136" s="1" t="s">
        <v>200</v>
      </c>
      <c r="AS136" s="1" t="s">
        <v>199</v>
      </c>
      <c r="AT136" s="1">
        <v>2.0</v>
      </c>
      <c r="AV136" s="1" t="s">
        <v>200</v>
      </c>
      <c r="AW136" s="1">
        <v>8793.0</v>
      </c>
      <c r="AX136" s="1">
        <v>2013.0</v>
      </c>
      <c r="AY136" s="1" t="s">
        <v>387</v>
      </c>
      <c r="AZ136" s="1" t="s">
        <v>200</v>
      </c>
      <c r="BA136" s="1" t="str">
        <f>"1204330007"</f>
        <v>1204330007</v>
      </c>
      <c r="BB136" s="1" t="s">
        <v>200</v>
      </c>
      <c r="BC136" s="1">
        <v>2387.0</v>
      </c>
      <c r="BD136" s="1">
        <v>295000.0</v>
      </c>
      <c r="BE136" s="2">
        <v>41938.0</v>
      </c>
      <c r="BF136" s="2" t="s">
        <v>2690</v>
      </c>
      <c r="BG136" s="1" t="s">
        <v>428</v>
      </c>
      <c r="BH136" s="1">
        <v>300.0</v>
      </c>
      <c r="BI136" s="1" t="s">
        <v>429</v>
      </c>
      <c r="BJ136" s="1" t="s">
        <v>430</v>
      </c>
      <c r="BK136" s="1" t="s">
        <v>580</v>
      </c>
      <c r="BL136" s="1" t="str">
        <f>"1"</f>
        <v>1</v>
      </c>
      <c r="BM136" s="1" t="str">
        <f>"0"</f>
        <v>0</v>
      </c>
      <c r="BN136" s="1">
        <v>36.0</v>
      </c>
      <c r="BO136" s="1">
        <v>0.0</v>
      </c>
      <c r="BQ136" s="1">
        <v>304.0</v>
      </c>
      <c r="BR136" s="1">
        <v>304.0</v>
      </c>
      <c r="BS136" s="1">
        <v>304.0</v>
      </c>
      <c r="BU136" s="1" t="s">
        <v>1043</v>
      </c>
      <c r="BV136" s="1" t="s">
        <v>206</v>
      </c>
      <c r="BW136" s="1" t="s">
        <v>210</v>
      </c>
      <c r="BY136" s="1" t="s">
        <v>496</v>
      </c>
      <c r="BZ136" s="1" t="s">
        <v>209</v>
      </c>
      <c r="CA136" s="1" t="s">
        <v>210</v>
      </c>
      <c r="CC136" s="1" t="s">
        <v>302</v>
      </c>
      <c r="CD136" s="1" t="s">
        <v>206</v>
      </c>
      <c r="CE136" s="1" t="s">
        <v>207</v>
      </c>
      <c r="CG136" s="1" t="s">
        <v>433</v>
      </c>
      <c r="CH136" s="1" t="s">
        <v>209</v>
      </c>
      <c r="CI136" s="1" t="s">
        <v>210</v>
      </c>
      <c r="CK136" s="1" t="s">
        <v>699</v>
      </c>
      <c r="CL136" s="1" t="s">
        <v>209</v>
      </c>
      <c r="CM136" s="1" t="s">
        <v>210</v>
      </c>
      <c r="CO136" s="1" t="s">
        <v>264</v>
      </c>
      <c r="CP136" s="1" t="s">
        <v>209</v>
      </c>
      <c r="CQ136" s="1" t="s">
        <v>210</v>
      </c>
      <c r="CS136" s="1" t="s">
        <v>211</v>
      </c>
      <c r="CT136" s="1" t="s">
        <v>206</v>
      </c>
      <c r="CU136" s="1" t="s">
        <v>207</v>
      </c>
      <c r="CW136" s="1" t="s">
        <v>333</v>
      </c>
      <c r="CX136" s="1" t="s">
        <v>206</v>
      </c>
      <c r="CY136" s="1" t="s">
        <v>207</v>
      </c>
      <c r="DA136" s="1" t="s">
        <v>200</v>
      </c>
      <c r="DC136" s="1" t="s">
        <v>395</v>
      </c>
      <c r="DD136" s="1" t="s">
        <v>396</v>
      </c>
      <c r="DE136" s="1" t="s">
        <v>273</v>
      </c>
      <c r="DF136" s="1" t="s">
        <v>219</v>
      </c>
      <c r="DG136" s="1" t="s">
        <v>1266</v>
      </c>
      <c r="DH136" s="1" t="s">
        <v>220</v>
      </c>
      <c r="DI136" s="1" t="s">
        <v>221</v>
      </c>
      <c r="DJ136" s="1" t="s">
        <v>222</v>
      </c>
      <c r="DK136" s="1" t="s">
        <v>223</v>
      </c>
      <c r="DL136" s="1" t="s">
        <v>224</v>
      </c>
      <c r="DM136" s="1" t="s">
        <v>229</v>
      </c>
      <c r="DO136" s="1" t="s">
        <v>1004</v>
      </c>
      <c r="DP136" s="1" t="s">
        <v>340</v>
      </c>
      <c r="DQ136" s="1" t="s">
        <v>441</v>
      </c>
      <c r="DR136" s="1" t="s">
        <v>1269</v>
      </c>
      <c r="DU136" s="1" t="s">
        <v>2691</v>
      </c>
      <c r="DV136" s="1" t="s">
        <v>2692</v>
      </c>
      <c r="DW136" s="1" t="s">
        <v>279</v>
      </c>
      <c r="DX136" s="1" t="s">
        <v>234</v>
      </c>
      <c r="DY136" s="1" t="s">
        <v>704</v>
      </c>
      <c r="DZ136" s="1" t="s">
        <v>2693</v>
      </c>
      <c r="EA136" s="1" t="s">
        <v>447</v>
      </c>
      <c r="EB136" s="1" t="s">
        <v>2694</v>
      </c>
      <c r="EC136" s="1" t="s">
        <v>237</v>
      </c>
      <c r="ED136" s="1" t="s">
        <v>407</v>
      </c>
      <c r="EG136" s="1" t="s">
        <v>598</v>
      </c>
      <c r="EH136" s="1" t="s">
        <v>450</v>
      </c>
      <c r="EL136" s="1" t="s">
        <v>2695</v>
      </c>
      <c r="EM136" s="1" t="s">
        <v>206</v>
      </c>
      <c r="EN136" s="1" t="s">
        <v>210</v>
      </c>
      <c r="EP136" s="1" t="s">
        <v>2696</v>
      </c>
      <c r="EQ136" s="1" t="s">
        <v>267</v>
      </c>
      <c r="ER136" s="1" t="s">
        <v>210</v>
      </c>
      <c r="EU136" s="1" t="s">
        <v>238</v>
      </c>
      <c r="EY136" s="1" t="s">
        <v>238</v>
      </c>
      <c r="FC136" s="1" t="s">
        <v>238</v>
      </c>
      <c r="FF136" s="1" t="s">
        <v>239</v>
      </c>
      <c r="FG136" s="1" t="s">
        <v>192</v>
      </c>
      <c r="FH136" s="1" t="s">
        <v>192</v>
      </c>
      <c r="FJ136" s="1" t="s">
        <v>524</v>
      </c>
      <c r="FK136" s="1" t="s">
        <v>348</v>
      </c>
      <c r="FL136" s="1" t="s">
        <v>1855</v>
      </c>
      <c r="FM136" s="1">
        <v>41.0</v>
      </c>
      <c r="FN136" s="1" t="s">
        <v>1856</v>
      </c>
      <c r="FO136" s="1" t="s">
        <v>1857</v>
      </c>
      <c r="FP136" s="1">
        <v>8483.0</v>
      </c>
      <c r="FQ136" s="1" t="s">
        <v>1858</v>
      </c>
      <c r="FR136" s="1">
        <v>490.0</v>
      </c>
      <c r="FU136" s="1" t="s">
        <v>2697</v>
      </c>
      <c r="FV136" s="1" t="s">
        <v>200</v>
      </c>
      <c r="FW136" s="1" t="s">
        <v>290</v>
      </c>
      <c r="FZ136" s="1" t="s">
        <v>229</v>
      </c>
      <c r="GA136" s="1" t="s">
        <v>291</v>
      </c>
      <c r="GB136" s="2">
        <v>41981.0</v>
      </c>
      <c r="GC136" s="1" t="s">
        <v>2698</v>
      </c>
    </row>
    <row r="137">
      <c r="A137" s="1">
        <v>190000.0</v>
      </c>
      <c r="B137" s="1" t="s">
        <v>185</v>
      </c>
      <c r="C137" s="1" t="str">
        <f>"08764092"</f>
        <v>08764092</v>
      </c>
      <c r="D137" s="1" t="s">
        <v>186</v>
      </c>
      <c r="F137" s="1" t="str">
        <f>"510"</f>
        <v>510</v>
      </c>
      <c r="G137" s="2">
        <v>41941.0</v>
      </c>
      <c r="H137" s="1">
        <v>229900.0</v>
      </c>
      <c r="I137" s="1">
        <v>72.0</v>
      </c>
      <c r="J137" s="1">
        <v>214900.0</v>
      </c>
      <c r="K137" s="2">
        <v>42012.0</v>
      </c>
      <c r="L137" s="1">
        <v>72.0</v>
      </c>
      <c r="M137" s="2">
        <v>42012.0</v>
      </c>
      <c r="N137" s="1" t="s">
        <v>187</v>
      </c>
      <c r="O137" s="2">
        <v>42041.0</v>
      </c>
      <c r="P137" s="1">
        <v>171454.0</v>
      </c>
      <c r="Q137" s="1">
        <v>14858.0</v>
      </c>
      <c r="S137" s="1">
        <v>740.0</v>
      </c>
      <c r="T137" s="1" t="s">
        <v>2699</v>
      </c>
      <c r="U137" s="1" t="s">
        <v>1174</v>
      </c>
      <c r="V137" s="1" t="s">
        <v>2700</v>
      </c>
      <c r="W137" s="1">
        <v>60510.0</v>
      </c>
      <c r="Y137" s="1" t="s">
        <v>2701</v>
      </c>
      <c r="Z137" s="1">
        <v>1990.0</v>
      </c>
      <c r="AA137" s="1" t="s">
        <v>200</v>
      </c>
      <c r="AB137" s="1" t="s">
        <v>193</v>
      </c>
      <c r="AD137" s="1" t="s">
        <v>2702</v>
      </c>
      <c r="AE137" s="1" t="s">
        <v>325</v>
      </c>
      <c r="AF137" s="1" t="s">
        <v>2702</v>
      </c>
      <c r="AH137" s="1" t="s">
        <v>2703</v>
      </c>
      <c r="AI137" s="1">
        <v>0.2701</v>
      </c>
      <c r="AK137" s="1">
        <v>9.0</v>
      </c>
      <c r="AL137" s="1">
        <v>4.0</v>
      </c>
      <c r="AM137" s="1">
        <v>2.0</v>
      </c>
      <c r="AN137" s="1">
        <v>1.0</v>
      </c>
      <c r="AO137" s="1" t="s">
        <v>198</v>
      </c>
      <c r="AP137" s="1">
        <v>1.0</v>
      </c>
      <c r="AQ137" s="1" t="s">
        <v>198</v>
      </c>
      <c r="AR137" s="1" t="s">
        <v>192</v>
      </c>
      <c r="AS137" s="1" t="s">
        <v>199</v>
      </c>
      <c r="AT137" s="1">
        <v>2.0</v>
      </c>
      <c r="AV137" s="1" t="s">
        <v>200</v>
      </c>
      <c r="AW137" s="1">
        <v>9071.44</v>
      </c>
      <c r="AX137" s="1">
        <v>2012.0</v>
      </c>
      <c r="AZ137" s="1" t="s">
        <v>200</v>
      </c>
      <c r="BA137" s="1" t="str">
        <f>"1223377011"</f>
        <v>1223377011</v>
      </c>
      <c r="BC137" s="1">
        <v>0.0</v>
      </c>
      <c r="BD137" s="1">
        <v>190000.0</v>
      </c>
      <c r="BE137" s="2">
        <v>41941.0</v>
      </c>
      <c r="BF137" s="2" t="s">
        <v>2704</v>
      </c>
      <c r="BH137" s="1">
        <v>0.0</v>
      </c>
      <c r="BK137" s="1" t="s">
        <v>204</v>
      </c>
      <c r="BL137" s="1" t="str">
        <f t="shared" ref="BL137:BM137" si="89">""</f>
        <v/>
      </c>
      <c r="BM137" s="1" t="str">
        <f t="shared" si="89"/>
        <v/>
      </c>
      <c r="BQ137" s="1">
        <v>101.0</v>
      </c>
      <c r="BR137" s="1">
        <v>101.0</v>
      </c>
      <c r="BS137" s="1">
        <v>101.0</v>
      </c>
      <c r="BU137" s="1" t="s">
        <v>925</v>
      </c>
      <c r="BV137" s="1" t="s">
        <v>206</v>
      </c>
      <c r="BY137" s="1" t="s">
        <v>1117</v>
      </c>
      <c r="BZ137" s="1" t="s">
        <v>209</v>
      </c>
      <c r="CC137" s="1" t="s">
        <v>495</v>
      </c>
      <c r="CD137" s="1" t="s">
        <v>206</v>
      </c>
      <c r="CG137" s="1" t="s">
        <v>495</v>
      </c>
      <c r="CH137" s="1" t="s">
        <v>209</v>
      </c>
      <c r="CK137" s="1" t="s">
        <v>262</v>
      </c>
      <c r="CL137" s="1" t="s">
        <v>209</v>
      </c>
      <c r="CO137" s="1" t="s">
        <v>497</v>
      </c>
      <c r="CP137" s="1" t="s">
        <v>209</v>
      </c>
      <c r="CS137" s="1" t="s">
        <v>1158</v>
      </c>
      <c r="CT137" s="1" t="s">
        <v>206</v>
      </c>
      <c r="CW137" s="1" t="s">
        <v>541</v>
      </c>
      <c r="CX137" s="1" t="s">
        <v>206</v>
      </c>
      <c r="DA137" s="1" t="s">
        <v>200</v>
      </c>
      <c r="DC137" s="1" t="s">
        <v>435</v>
      </c>
      <c r="DE137" s="1" t="s">
        <v>273</v>
      </c>
      <c r="DF137" s="1" t="s">
        <v>219</v>
      </c>
      <c r="DH137" s="1" t="s">
        <v>220</v>
      </c>
      <c r="DJ137" s="1" t="s">
        <v>222</v>
      </c>
      <c r="DL137" s="1" t="s">
        <v>223</v>
      </c>
      <c r="DM137" s="1" t="s">
        <v>229</v>
      </c>
      <c r="DQ137" s="1" t="s">
        <v>228</v>
      </c>
      <c r="DR137" s="1" t="s">
        <v>229</v>
      </c>
      <c r="DV137" s="1" t="s">
        <v>1028</v>
      </c>
      <c r="DW137" s="1" t="s">
        <v>370</v>
      </c>
      <c r="DX137" s="1" t="s">
        <v>234</v>
      </c>
      <c r="EC137" s="1" t="s">
        <v>237</v>
      </c>
      <c r="EG137" s="1" t="s">
        <v>1028</v>
      </c>
      <c r="EL137" s="1" t="s">
        <v>302</v>
      </c>
      <c r="EM137" s="1" t="s">
        <v>206</v>
      </c>
      <c r="EQ137" s="1" t="s">
        <v>238</v>
      </c>
      <c r="EU137" s="1" t="s">
        <v>238</v>
      </c>
      <c r="EY137" s="1" t="s">
        <v>238</v>
      </c>
      <c r="FC137" s="1" t="s">
        <v>238</v>
      </c>
      <c r="FF137" s="1" t="s">
        <v>239</v>
      </c>
      <c r="FG137" s="1" t="s">
        <v>192</v>
      </c>
      <c r="FH137" s="1" t="s">
        <v>192</v>
      </c>
      <c r="FJ137" s="1" t="s">
        <v>770</v>
      </c>
      <c r="FK137" s="1" t="s">
        <v>229</v>
      </c>
      <c r="FL137" s="1" t="s">
        <v>2705</v>
      </c>
      <c r="FM137" s="1">
        <v>24072.0</v>
      </c>
      <c r="FN137" s="1" t="s">
        <v>2706</v>
      </c>
      <c r="FO137" s="1" t="s">
        <v>2707</v>
      </c>
      <c r="FP137" s="1">
        <v>222267.0</v>
      </c>
      <c r="FQ137" s="1" t="s">
        <v>2706</v>
      </c>
      <c r="FR137" s="1">
        <v>235600.0</v>
      </c>
      <c r="FS137" s="1" t="s">
        <v>2708</v>
      </c>
      <c r="FU137" s="1" t="s">
        <v>1541</v>
      </c>
      <c r="FV137" s="1" t="s">
        <v>200</v>
      </c>
      <c r="FW137" s="1" t="s">
        <v>567</v>
      </c>
      <c r="FZ137" s="1" t="s">
        <v>229</v>
      </c>
      <c r="GA137" s="1" t="s">
        <v>291</v>
      </c>
      <c r="GB137" s="2">
        <v>42045.0</v>
      </c>
      <c r="GC137" s="1" t="s">
        <v>2709</v>
      </c>
    </row>
    <row r="138">
      <c r="A138" s="1">
        <v>269900.0</v>
      </c>
      <c r="B138" s="1" t="s">
        <v>185</v>
      </c>
      <c r="C138" s="1" t="str">
        <f>"08765108"</f>
        <v>08765108</v>
      </c>
      <c r="D138" s="1" t="s">
        <v>186</v>
      </c>
      <c r="F138" s="1" t="str">
        <f>"8064"</f>
        <v>8064</v>
      </c>
      <c r="G138" s="2">
        <v>41942.0</v>
      </c>
      <c r="H138" s="1">
        <v>279900.0</v>
      </c>
      <c r="I138" s="1">
        <v>78.0</v>
      </c>
      <c r="J138" s="1">
        <v>269900.0</v>
      </c>
      <c r="K138" s="2">
        <v>41988.0</v>
      </c>
      <c r="L138" s="1">
        <v>47.0</v>
      </c>
      <c r="M138" s="2">
        <v>41988.0</v>
      </c>
      <c r="N138" s="1" t="s">
        <v>356</v>
      </c>
      <c r="O138" s="2">
        <v>42082.0</v>
      </c>
      <c r="P138" s="1">
        <v>218401.0</v>
      </c>
      <c r="Q138" s="1">
        <v>61080.0</v>
      </c>
      <c r="R138" s="1">
        <v>5000.0</v>
      </c>
      <c r="S138" s="1">
        <v>6204.0</v>
      </c>
      <c r="T138" s="1" t="s">
        <v>384</v>
      </c>
      <c r="U138" s="1" t="s">
        <v>189</v>
      </c>
      <c r="V138" s="1" t="s">
        <v>190</v>
      </c>
      <c r="W138" s="1">
        <v>60629.0</v>
      </c>
      <c r="Y138" s="1" t="s">
        <v>2710</v>
      </c>
      <c r="Z138" s="1">
        <v>1923.0</v>
      </c>
      <c r="AA138" s="1" t="s">
        <v>192</v>
      </c>
      <c r="AB138" s="1" t="s">
        <v>193</v>
      </c>
      <c r="AD138" s="1" t="s">
        <v>194</v>
      </c>
      <c r="AE138" s="1" t="s">
        <v>195</v>
      </c>
      <c r="AF138" s="1" t="s">
        <v>659</v>
      </c>
      <c r="AG138" s="1" t="s">
        <v>778</v>
      </c>
      <c r="AH138" s="1" t="s">
        <v>2630</v>
      </c>
      <c r="AI138" s="1">
        <v>0.0834</v>
      </c>
      <c r="AK138" s="1">
        <v>11.0</v>
      </c>
      <c r="AL138" s="1">
        <v>4.0</v>
      </c>
      <c r="AM138" s="1">
        <v>3.0</v>
      </c>
      <c r="AN138" s="1">
        <v>0.0</v>
      </c>
      <c r="AO138" s="1" t="s">
        <v>198</v>
      </c>
      <c r="AQ138" s="1" t="s">
        <v>198</v>
      </c>
      <c r="AR138" s="1" t="s">
        <v>192</v>
      </c>
      <c r="AS138" s="1" t="s">
        <v>199</v>
      </c>
      <c r="AT138" s="1">
        <v>2.5</v>
      </c>
      <c r="AV138" s="1" t="s">
        <v>200</v>
      </c>
      <c r="AW138" s="1">
        <v>2084.0</v>
      </c>
      <c r="AX138" s="1">
        <v>2012.0</v>
      </c>
      <c r="AZ138" s="1" t="s">
        <v>200</v>
      </c>
      <c r="BA138" s="1" t="str">
        <f>"19153220430000"</f>
        <v>19153220430000</v>
      </c>
      <c r="BC138" s="1">
        <v>3000.0</v>
      </c>
      <c r="BD138" s="1">
        <v>269900.0</v>
      </c>
      <c r="BE138" s="2">
        <v>41942.0</v>
      </c>
      <c r="BF138" s="2" t="s">
        <v>2711</v>
      </c>
      <c r="BH138" s="1">
        <v>0.0</v>
      </c>
      <c r="BK138" s="1" t="s">
        <v>204</v>
      </c>
      <c r="BL138" s="1" t="str">
        <f t="shared" ref="BL138:BM138" si="90">"0"</f>
        <v>0</v>
      </c>
      <c r="BM138" s="1" t="str">
        <f t="shared" si="90"/>
        <v>0</v>
      </c>
      <c r="BN138" s="1">
        <v>4700.0</v>
      </c>
      <c r="BO138" s="1">
        <v>6100.0</v>
      </c>
      <c r="BQ138" s="1">
        <v>299.0</v>
      </c>
      <c r="BR138" s="1">
        <v>299.0</v>
      </c>
      <c r="BS138" s="1">
        <v>299.0</v>
      </c>
      <c r="BU138" s="1" t="s">
        <v>2712</v>
      </c>
      <c r="BV138" s="1" t="s">
        <v>206</v>
      </c>
      <c r="BW138" s="1" t="s">
        <v>207</v>
      </c>
      <c r="BY138" s="1" t="s">
        <v>2261</v>
      </c>
      <c r="BZ138" s="1" t="s">
        <v>209</v>
      </c>
      <c r="CA138" s="1" t="s">
        <v>210</v>
      </c>
      <c r="CC138" s="1" t="s">
        <v>2713</v>
      </c>
      <c r="CD138" s="1" t="s">
        <v>206</v>
      </c>
      <c r="CE138" s="1" t="s">
        <v>207</v>
      </c>
      <c r="CG138" s="1" t="s">
        <v>478</v>
      </c>
      <c r="CH138" s="1" t="s">
        <v>206</v>
      </c>
      <c r="CI138" s="1" t="s">
        <v>207</v>
      </c>
      <c r="CK138" s="1" t="s">
        <v>478</v>
      </c>
      <c r="CL138" s="1" t="s">
        <v>206</v>
      </c>
      <c r="CM138" s="1" t="s">
        <v>207</v>
      </c>
      <c r="CO138" s="1" t="s">
        <v>1760</v>
      </c>
      <c r="CP138" s="1" t="s">
        <v>206</v>
      </c>
      <c r="CQ138" s="1" t="s">
        <v>207</v>
      </c>
      <c r="CS138" s="1" t="s">
        <v>2082</v>
      </c>
      <c r="CT138" s="1" t="s">
        <v>206</v>
      </c>
      <c r="CU138" s="1" t="s">
        <v>207</v>
      </c>
      <c r="CW138" s="1" t="s">
        <v>2714</v>
      </c>
      <c r="CX138" s="1" t="s">
        <v>42</v>
      </c>
      <c r="CY138" s="1" t="s">
        <v>210</v>
      </c>
      <c r="DA138" s="1" t="s">
        <v>200</v>
      </c>
      <c r="DC138" s="1" t="s">
        <v>216</v>
      </c>
      <c r="DE138" s="1" t="s">
        <v>273</v>
      </c>
      <c r="DF138" s="1" t="s">
        <v>219</v>
      </c>
      <c r="DH138" s="1" t="s">
        <v>365</v>
      </c>
      <c r="DJ138" s="1" t="s">
        <v>222</v>
      </c>
      <c r="DK138" s="1" t="s">
        <v>224</v>
      </c>
      <c r="DL138" s="1" t="s">
        <v>224</v>
      </c>
      <c r="DM138" s="1" t="s">
        <v>229</v>
      </c>
      <c r="DN138" s="1" t="s">
        <v>2715</v>
      </c>
      <c r="DQ138" s="1" t="s">
        <v>228</v>
      </c>
      <c r="DR138" s="1" t="s">
        <v>229</v>
      </c>
      <c r="DS138" s="1" t="s">
        <v>277</v>
      </c>
      <c r="DV138" s="1" t="s">
        <v>2716</v>
      </c>
      <c r="DW138" s="1" t="s">
        <v>279</v>
      </c>
      <c r="DX138" s="1" t="s">
        <v>234</v>
      </c>
      <c r="DY138" s="1" t="s">
        <v>404</v>
      </c>
      <c r="DZ138" s="1" t="s">
        <v>310</v>
      </c>
      <c r="EA138" s="1" t="s">
        <v>644</v>
      </c>
      <c r="EC138" s="1" t="s">
        <v>645</v>
      </c>
      <c r="ED138" s="1" t="s">
        <v>407</v>
      </c>
      <c r="EG138" s="1" t="s">
        <v>1467</v>
      </c>
      <c r="EH138" s="1" t="s">
        <v>1121</v>
      </c>
      <c r="EI138" s="1" t="s">
        <v>1270</v>
      </c>
      <c r="EJ138" s="1" t="s">
        <v>450</v>
      </c>
      <c r="EL138" s="1" t="s">
        <v>878</v>
      </c>
      <c r="EM138" s="1" t="s">
        <v>42</v>
      </c>
      <c r="EN138" s="1" t="s">
        <v>210</v>
      </c>
      <c r="EP138" s="1" t="s">
        <v>2082</v>
      </c>
      <c r="EQ138" s="1" t="s">
        <v>209</v>
      </c>
      <c r="ER138" s="1" t="s">
        <v>207</v>
      </c>
      <c r="ET138" s="1" t="s">
        <v>1852</v>
      </c>
      <c r="EU138" s="1" t="s">
        <v>42</v>
      </c>
      <c r="EV138" s="1" t="s">
        <v>268</v>
      </c>
      <c r="EX138" s="1" t="s">
        <v>2717</v>
      </c>
      <c r="EY138" s="1" t="s">
        <v>42</v>
      </c>
      <c r="EZ138" s="1" t="s">
        <v>210</v>
      </c>
      <c r="FC138" s="1" t="s">
        <v>238</v>
      </c>
      <c r="FF138" s="1" t="s">
        <v>239</v>
      </c>
      <c r="FG138" s="1" t="s">
        <v>192</v>
      </c>
      <c r="FH138" s="1" t="s">
        <v>192</v>
      </c>
      <c r="FJ138" s="1" t="s">
        <v>2552</v>
      </c>
      <c r="FK138" s="1" t="s">
        <v>229</v>
      </c>
      <c r="FL138" s="1" t="s">
        <v>2718</v>
      </c>
      <c r="FM138" s="1">
        <v>61080.0</v>
      </c>
      <c r="FN138" s="1" t="s">
        <v>2719</v>
      </c>
      <c r="FO138" s="1" t="s">
        <v>2720</v>
      </c>
      <c r="FP138" s="1">
        <v>506455.0</v>
      </c>
      <c r="FQ138" s="1" t="s">
        <v>2721</v>
      </c>
      <c r="FU138" s="1" t="s">
        <v>2722</v>
      </c>
      <c r="FV138" s="1" t="s">
        <v>200</v>
      </c>
      <c r="FW138" s="1" t="s">
        <v>290</v>
      </c>
      <c r="FX138" s="1" t="s">
        <v>655</v>
      </c>
      <c r="FZ138" s="1" t="s">
        <v>229</v>
      </c>
      <c r="GA138" s="1" t="s">
        <v>291</v>
      </c>
      <c r="GB138" s="2">
        <v>42082.0</v>
      </c>
      <c r="GC138" s="1" t="s">
        <v>2723</v>
      </c>
    </row>
    <row r="139">
      <c r="A139" s="1">
        <v>850000.0</v>
      </c>
      <c r="B139" s="1" t="s">
        <v>185</v>
      </c>
      <c r="C139" s="1" t="str">
        <f>"08766218"</f>
        <v>08766218</v>
      </c>
      <c r="D139" s="1" t="s">
        <v>186</v>
      </c>
      <c r="F139" s="1" t="str">
        <f>"8005"</f>
        <v>8005</v>
      </c>
      <c r="G139" s="2">
        <v>41943.0</v>
      </c>
      <c r="H139" s="1">
        <v>869000.0</v>
      </c>
      <c r="I139" s="1">
        <v>40.0</v>
      </c>
      <c r="J139" s="1">
        <v>869000.0</v>
      </c>
      <c r="K139" s="2">
        <v>41982.0</v>
      </c>
      <c r="L139" s="1">
        <v>40.0</v>
      </c>
      <c r="M139" s="2">
        <v>41982.0</v>
      </c>
      <c r="N139" s="1" t="s">
        <v>187</v>
      </c>
      <c r="O139" s="2">
        <v>42034.0</v>
      </c>
      <c r="P139" s="1">
        <v>155614.0</v>
      </c>
      <c r="Q139" s="1">
        <v>10274.0</v>
      </c>
      <c r="S139" s="1">
        <v>2532.0</v>
      </c>
      <c r="T139" s="1" t="s">
        <v>2724</v>
      </c>
      <c r="U139" s="1" t="s">
        <v>189</v>
      </c>
      <c r="V139" s="1" t="s">
        <v>190</v>
      </c>
      <c r="W139" s="1">
        <v>60618.0</v>
      </c>
      <c r="Y139" s="1" t="s">
        <v>2725</v>
      </c>
      <c r="Z139" s="1">
        <v>2000.0</v>
      </c>
      <c r="AA139" s="1" t="s">
        <v>200</v>
      </c>
      <c r="AB139" s="1" t="s">
        <v>193</v>
      </c>
      <c r="AD139" s="1" t="s">
        <v>194</v>
      </c>
      <c r="AE139" s="1" t="s">
        <v>195</v>
      </c>
      <c r="AF139" s="1" t="s">
        <v>2645</v>
      </c>
      <c r="AH139" s="1" t="s">
        <v>2726</v>
      </c>
      <c r="AK139" s="1">
        <v>10.0</v>
      </c>
      <c r="AL139" s="1">
        <v>4.0</v>
      </c>
      <c r="AM139" s="1">
        <v>3.0</v>
      </c>
      <c r="AN139" s="1">
        <v>1.0</v>
      </c>
      <c r="AO139" s="1" t="s">
        <v>198</v>
      </c>
      <c r="AP139" s="1">
        <v>2.0</v>
      </c>
      <c r="AQ139" s="1" t="s">
        <v>472</v>
      </c>
      <c r="AR139" s="1" t="s">
        <v>192</v>
      </c>
      <c r="AS139" s="1" t="s">
        <v>199</v>
      </c>
      <c r="AT139" s="1">
        <v>2.0</v>
      </c>
      <c r="AV139" s="1" t="s">
        <v>200</v>
      </c>
      <c r="AW139" s="1">
        <v>11380.75</v>
      </c>
      <c r="AX139" s="1">
        <v>2013.0</v>
      </c>
      <c r="AZ139" s="1" t="s">
        <v>200</v>
      </c>
      <c r="BA139" s="1" t="str">
        <f>"13134010450000"</f>
        <v>13134010450000</v>
      </c>
      <c r="BC139" s="1">
        <v>3600.0</v>
      </c>
      <c r="BD139" s="1">
        <v>850000.0</v>
      </c>
      <c r="BE139" s="2">
        <v>41943.0</v>
      </c>
      <c r="BF139" s="2" t="s">
        <v>2727</v>
      </c>
      <c r="BH139" s="1">
        <v>0.0</v>
      </c>
      <c r="BK139" s="1" t="s">
        <v>204</v>
      </c>
      <c r="BL139" s="1" t="str">
        <f>"4330"</f>
        <v>4330</v>
      </c>
      <c r="BM139" s="1" t="str">
        <f t="shared" ref="BM139:BM141" si="91">"0"</f>
        <v>0</v>
      </c>
      <c r="BN139" s="1">
        <v>2532.0</v>
      </c>
      <c r="BO139" s="1">
        <v>0.0</v>
      </c>
      <c r="BQ139" s="1">
        <v>299.0</v>
      </c>
      <c r="BR139" s="1">
        <v>299.0</v>
      </c>
      <c r="BS139" s="1">
        <v>299.0</v>
      </c>
      <c r="BU139" s="1" t="s">
        <v>924</v>
      </c>
      <c r="BV139" s="1" t="s">
        <v>206</v>
      </c>
      <c r="BW139" s="1" t="s">
        <v>207</v>
      </c>
      <c r="BY139" s="1" t="s">
        <v>390</v>
      </c>
      <c r="BZ139" s="1" t="s">
        <v>209</v>
      </c>
      <c r="CA139" s="1" t="s">
        <v>207</v>
      </c>
      <c r="CC139" s="1" t="s">
        <v>925</v>
      </c>
      <c r="CD139" s="1" t="s">
        <v>206</v>
      </c>
      <c r="CE139" s="1" t="s">
        <v>207</v>
      </c>
      <c r="CG139" s="1" t="s">
        <v>329</v>
      </c>
      <c r="CH139" s="1" t="s">
        <v>209</v>
      </c>
      <c r="CI139" s="1" t="s">
        <v>210</v>
      </c>
      <c r="CK139" s="1" t="s">
        <v>392</v>
      </c>
      <c r="CL139" s="1" t="s">
        <v>209</v>
      </c>
      <c r="CM139" s="1" t="s">
        <v>210</v>
      </c>
      <c r="CO139" s="1" t="s">
        <v>215</v>
      </c>
      <c r="CP139" s="1" t="s">
        <v>267</v>
      </c>
      <c r="CQ139" s="1" t="s">
        <v>210</v>
      </c>
      <c r="CS139" s="1" t="s">
        <v>640</v>
      </c>
      <c r="CT139" s="1" t="s">
        <v>206</v>
      </c>
      <c r="CU139" s="1" t="s">
        <v>207</v>
      </c>
      <c r="CW139" s="1" t="s">
        <v>2119</v>
      </c>
      <c r="CX139" s="1" t="s">
        <v>267</v>
      </c>
      <c r="CY139" s="1" t="s">
        <v>210</v>
      </c>
      <c r="DA139" s="1" t="s">
        <v>200</v>
      </c>
      <c r="DC139" s="1" t="s">
        <v>335</v>
      </c>
      <c r="DD139" s="1" t="s">
        <v>759</v>
      </c>
      <c r="DE139" s="1" t="s">
        <v>218</v>
      </c>
      <c r="DF139" s="1" t="s">
        <v>745</v>
      </c>
      <c r="DH139" s="1" t="s">
        <v>365</v>
      </c>
      <c r="DI139" s="1" t="s">
        <v>519</v>
      </c>
      <c r="DJ139" s="1" t="s">
        <v>222</v>
      </c>
      <c r="DL139" s="1" t="s">
        <v>224</v>
      </c>
      <c r="DM139" s="1" t="s">
        <v>229</v>
      </c>
      <c r="DN139" s="1" t="s">
        <v>439</v>
      </c>
      <c r="DP139" s="1" t="s">
        <v>340</v>
      </c>
      <c r="DQ139" s="1" t="s">
        <v>718</v>
      </c>
      <c r="DR139" s="1" t="s">
        <v>229</v>
      </c>
      <c r="DU139" s="1" t="s">
        <v>2728</v>
      </c>
      <c r="DV139" s="1" t="s">
        <v>2729</v>
      </c>
      <c r="DW139" s="1" t="s">
        <v>279</v>
      </c>
      <c r="DX139" s="1" t="s">
        <v>234</v>
      </c>
      <c r="DY139" s="1" t="s">
        <v>2730</v>
      </c>
      <c r="DZ139" s="1" t="s">
        <v>310</v>
      </c>
      <c r="EB139" s="1" t="s">
        <v>937</v>
      </c>
      <c r="EC139" s="1" t="s">
        <v>237</v>
      </c>
      <c r="EE139" s="1" t="s">
        <v>187</v>
      </c>
      <c r="EG139" s="1" t="s">
        <v>556</v>
      </c>
      <c r="EH139" s="1" t="s">
        <v>1164</v>
      </c>
      <c r="EL139" s="1" t="s">
        <v>2047</v>
      </c>
      <c r="EM139" s="1" t="s">
        <v>206</v>
      </c>
      <c r="EN139" s="1" t="s">
        <v>207</v>
      </c>
      <c r="EP139" s="1" t="s">
        <v>390</v>
      </c>
      <c r="EQ139" s="1" t="s">
        <v>206</v>
      </c>
      <c r="ER139" s="1" t="s">
        <v>207</v>
      </c>
      <c r="EU139" s="1" t="s">
        <v>238</v>
      </c>
      <c r="EY139" s="1" t="s">
        <v>238</v>
      </c>
      <c r="FC139" s="1" t="s">
        <v>238</v>
      </c>
      <c r="FF139" s="1" t="s">
        <v>239</v>
      </c>
      <c r="FG139" s="1" t="s">
        <v>192</v>
      </c>
      <c r="FH139" s="1" t="s">
        <v>192</v>
      </c>
      <c r="FJ139" s="1" t="s">
        <v>2285</v>
      </c>
      <c r="FK139" s="1" t="s">
        <v>229</v>
      </c>
      <c r="FL139" s="1" t="s">
        <v>1358</v>
      </c>
      <c r="FM139" s="1">
        <v>10115.0</v>
      </c>
      <c r="FN139" s="1" t="s">
        <v>2286</v>
      </c>
      <c r="FO139" s="1" t="s">
        <v>2731</v>
      </c>
      <c r="FP139" s="1">
        <v>129954.0</v>
      </c>
      <c r="FQ139" s="1" t="s">
        <v>2732</v>
      </c>
      <c r="FU139" s="1" t="s">
        <v>2733</v>
      </c>
      <c r="FV139" s="1" t="s">
        <v>200</v>
      </c>
      <c r="FW139" s="1" t="s">
        <v>567</v>
      </c>
      <c r="FX139" s="1" t="s">
        <v>246</v>
      </c>
      <c r="FZ139" s="1" t="s">
        <v>229</v>
      </c>
      <c r="GA139" s="1" t="s">
        <v>291</v>
      </c>
      <c r="GB139" s="2">
        <v>42034.0</v>
      </c>
      <c r="GC139" s="1" t="s">
        <v>2734</v>
      </c>
    </row>
    <row r="140">
      <c r="A140" s="1">
        <v>186500.0</v>
      </c>
      <c r="B140" s="1" t="s">
        <v>185</v>
      </c>
      <c r="C140" s="1" t="str">
        <f>"08766210"</f>
        <v>08766210</v>
      </c>
      <c r="D140" s="1" t="s">
        <v>186</v>
      </c>
      <c r="F140" s="1" t="str">
        <f>"8019"</f>
        <v>8019</v>
      </c>
      <c r="G140" s="2">
        <v>41943.0</v>
      </c>
      <c r="H140" s="1">
        <v>199000.0</v>
      </c>
      <c r="I140" s="1">
        <v>72.0</v>
      </c>
      <c r="J140" s="1">
        <v>199000.0</v>
      </c>
      <c r="K140" s="2">
        <v>41963.0</v>
      </c>
      <c r="L140" s="1">
        <v>21.0</v>
      </c>
      <c r="M140" s="2">
        <v>41963.0</v>
      </c>
      <c r="N140" s="1" t="s">
        <v>356</v>
      </c>
      <c r="O140" s="2">
        <v>42034.0</v>
      </c>
      <c r="P140" s="1">
        <v>148835.0</v>
      </c>
      <c r="Q140" s="1">
        <v>12604.0</v>
      </c>
      <c r="R140" s="1">
        <v>7750.0</v>
      </c>
      <c r="S140" s="1">
        <v>2314.0</v>
      </c>
      <c r="T140" s="1" t="s">
        <v>2735</v>
      </c>
      <c r="U140" s="1" t="s">
        <v>189</v>
      </c>
      <c r="V140" s="1" t="s">
        <v>190</v>
      </c>
      <c r="W140" s="1">
        <v>60639.0</v>
      </c>
      <c r="Y140" s="1" t="s">
        <v>2736</v>
      </c>
      <c r="Z140" s="1">
        <v>1879.0</v>
      </c>
      <c r="AA140" s="1" t="s">
        <v>192</v>
      </c>
      <c r="AB140" s="1" t="s">
        <v>193</v>
      </c>
      <c r="AD140" s="1" t="s">
        <v>194</v>
      </c>
      <c r="AE140" s="1" t="s">
        <v>195</v>
      </c>
      <c r="AF140" s="1" t="s">
        <v>196</v>
      </c>
      <c r="AH140" s="1" t="s">
        <v>359</v>
      </c>
      <c r="AK140" s="1">
        <v>8.0</v>
      </c>
      <c r="AL140" s="1">
        <v>4.0</v>
      </c>
      <c r="AM140" s="1">
        <v>2.0</v>
      </c>
      <c r="AN140" s="1">
        <v>0.0</v>
      </c>
      <c r="AO140" s="1" t="s">
        <v>229</v>
      </c>
      <c r="AQ140" s="1" t="s">
        <v>229</v>
      </c>
      <c r="AR140" s="1" t="s">
        <v>200</v>
      </c>
      <c r="AS140" s="1" t="s">
        <v>199</v>
      </c>
      <c r="AT140" s="1">
        <v>2.0</v>
      </c>
      <c r="AV140" s="1" t="s">
        <v>200</v>
      </c>
      <c r="AW140" s="1">
        <v>2589.0</v>
      </c>
      <c r="AX140" s="1">
        <v>2012.0</v>
      </c>
      <c r="AZ140" s="1" t="s">
        <v>200</v>
      </c>
      <c r="BA140" s="1" t="str">
        <f>"13322040390000"</f>
        <v>13322040390000</v>
      </c>
      <c r="BC140" s="1">
        <v>0.0</v>
      </c>
      <c r="BD140" s="1">
        <v>186500.0</v>
      </c>
      <c r="BE140" s="2">
        <v>41943.0</v>
      </c>
      <c r="BF140" s="2" t="s">
        <v>2737</v>
      </c>
      <c r="BH140" s="1">
        <v>0.0</v>
      </c>
      <c r="BK140" s="1" t="s">
        <v>204</v>
      </c>
      <c r="BL140" s="1" t="str">
        <f>"2314"</f>
        <v>2314</v>
      </c>
      <c r="BM140" s="1" t="str">
        <f t="shared" si="91"/>
        <v>0</v>
      </c>
      <c r="BN140" s="1">
        <v>5700.0</v>
      </c>
      <c r="BO140" s="1">
        <v>0.0</v>
      </c>
      <c r="BQ140" s="1">
        <v>299.0</v>
      </c>
      <c r="BR140" s="1">
        <v>299.0</v>
      </c>
      <c r="BS140" s="1">
        <v>299.0</v>
      </c>
      <c r="BU140" s="1" t="s">
        <v>363</v>
      </c>
      <c r="BV140" s="1" t="s">
        <v>206</v>
      </c>
      <c r="BW140" s="1" t="s">
        <v>207</v>
      </c>
      <c r="BY140" s="1" t="s">
        <v>303</v>
      </c>
      <c r="BZ140" s="1" t="s">
        <v>209</v>
      </c>
      <c r="CA140" s="1" t="s">
        <v>207</v>
      </c>
      <c r="CC140" s="1" t="s">
        <v>599</v>
      </c>
      <c r="CD140" s="1" t="s">
        <v>206</v>
      </c>
      <c r="CG140" s="1" t="s">
        <v>263</v>
      </c>
      <c r="CH140" s="1" t="s">
        <v>206</v>
      </c>
      <c r="CI140" s="1" t="s">
        <v>207</v>
      </c>
      <c r="CK140" s="1" t="s">
        <v>623</v>
      </c>
      <c r="CL140" s="1" t="s">
        <v>206</v>
      </c>
      <c r="CM140" s="1" t="s">
        <v>207</v>
      </c>
      <c r="CO140" s="1" t="s">
        <v>263</v>
      </c>
      <c r="CP140" s="1" t="s">
        <v>206</v>
      </c>
      <c r="CS140" s="1" t="s">
        <v>262</v>
      </c>
      <c r="CT140" s="1" t="s">
        <v>206</v>
      </c>
      <c r="CU140" s="1" t="s">
        <v>207</v>
      </c>
      <c r="CX140" s="1" t="s">
        <v>204</v>
      </c>
      <c r="DA140" s="1" t="s">
        <v>200</v>
      </c>
      <c r="DC140" s="1" t="s">
        <v>642</v>
      </c>
      <c r="DE140" s="1" t="s">
        <v>273</v>
      </c>
      <c r="DF140" s="1" t="s">
        <v>219</v>
      </c>
      <c r="DH140" s="1" t="s">
        <v>220</v>
      </c>
      <c r="DI140" s="1" t="s">
        <v>221</v>
      </c>
      <c r="DJ140" s="1" t="s">
        <v>222</v>
      </c>
      <c r="DL140" s="1" t="s">
        <v>229</v>
      </c>
      <c r="DM140" s="1" t="s">
        <v>229</v>
      </c>
      <c r="DQ140" s="1" t="s">
        <v>228</v>
      </c>
      <c r="DR140" s="1" t="s">
        <v>229</v>
      </c>
      <c r="DV140" s="1" t="s">
        <v>341</v>
      </c>
      <c r="DW140" s="1" t="s">
        <v>588</v>
      </c>
      <c r="DX140" s="1" t="s">
        <v>234</v>
      </c>
      <c r="EC140" s="1" t="s">
        <v>237</v>
      </c>
      <c r="EG140" s="1" t="s">
        <v>341</v>
      </c>
      <c r="EL140" s="1" t="s">
        <v>302</v>
      </c>
      <c r="EM140" s="1" t="s">
        <v>209</v>
      </c>
      <c r="EQ140" s="1" t="s">
        <v>238</v>
      </c>
      <c r="EU140" s="1" t="s">
        <v>238</v>
      </c>
      <c r="EY140" s="1" t="s">
        <v>238</v>
      </c>
      <c r="FC140" s="1" t="s">
        <v>238</v>
      </c>
      <c r="FF140" s="1" t="s">
        <v>239</v>
      </c>
      <c r="FG140" s="1" t="s">
        <v>192</v>
      </c>
      <c r="FH140" s="1" t="s">
        <v>192</v>
      </c>
      <c r="FJ140" s="1" t="s">
        <v>2285</v>
      </c>
      <c r="FK140" s="1" t="s">
        <v>557</v>
      </c>
      <c r="FL140" s="1" t="s">
        <v>734</v>
      </c>
      <c r="FM140" s="1">
        <v>10646.0</v>
      </c>
      <c r="FN140" s="1" t="s">
        <v>735</v>
      </c>
      <c r="FO140" s="1" t="s">
        <v>2738</v>
      </c>
      <c r="FP140" s="1">
        <v>105083.0</v>
      </c>
      <c r="FQ140" s="1" t="s">
        <v>2739</v>
      </c>
      <c r="FU140" s="1" t="s">
        <v>2740</v>
      </c>
      <c r="FV140" s="1" t="s">
        <v>200</v>
      </c>
      <c r="FW140" s="1" t="s">
        <v>1411</v>
      </c>
      <c r="FX140" s="1" t="s">
        <v>238</v>
      </c>
      <c r="FZ140" s="1" t="s">
        <v>229</v>
      </c>
      <c r="GA140" s="1" t="s">
        <v>291</v>
      </c>
      <c r="GB140" s="2">
        <v>42034.0</v>
      </c>
      <c r="GC140" s="1" t="s">
        <v>2741</v>
      </c>
    </row>
    <row r="141">
      <c r="A141" s="1">
        <v>267500.0</v>
      </c>
      <c r="B141" s="1" t="s">
        <v>185</v>
      </c>
      <c r="C141" s="1" t="str">
        <f>"08765421"</f>
        <v>08765421</v>
      </c>
      <c r="D141" s="1" t="s">
        <v>186</v>
      </c>
      <c r="F141" s="1" t="str">
        <f>"107"</f>
        <v>107</v>
      </c>
      <c r="G141" s="2">
        <v>41942.0</v>
      </c>
      <c r="H141" s="1">
        <v>279900.0</v>
      </c>
      <c r="I141" s="1">
        <v>47.0</v>
      </c>
      <c r="J141" s="1">
        <v>279900.0</v>
      </c>
      <c r="K141" s="2">
        <v>41988.0</v>
      </c>
      <c r="L141" s="1">
        <v>47.0</v>
      </c>
      <c r="M141" s="2">
        <v>41988.0</v>
      </c>
      <c r="N141" s="1" t="s">
        <v>187</v>
      </c>
      <c r="O141" s="2">
        <v>42034.0</v>
      </c>
      <c r="P141" s="1">
        <v>7683.0</v>
      </c>
      <c r="Q141" s="1">
        <v>37.0</v>
      </c>
      <c r="S141" s="1">
        <v>68.0</v>
      </c>
      <c r="T141" s="1" t="s">
        <v>2742</v>
      </c>
      <c r="U141" s="1" t="s">
        <v>569</v>
      </c>
      <c r="V141" s="1" t="s">
        <v>294</v>
      </c>
      <c r="W141" s="1">
        <v>60107.0</v>
      </c>
      <c r="Y141" s="1" t="s">
        <v>2743</v>
      </c>
      <c r="Z141" s="1">
        <v>1989.0</v>
      </c>
      <c r="AA141" s="1" t="s">
        <v>200</v>
      </c>
      <c r="AB141" s="1" t="s">
        <v>193</v>
      </c>
      <c r="AD141" s="1" t="s">
        <v>297</v>
      </c>
      <c r="AE141" s="1" t="s">
        <v>195</v>
      </c>
      <c r="AF141" s="1" t="s">
        <v>298</v>
      </c>
      <c r="AH141" s="1" t="s">
        <v>2744</v>
      </c>
      <c r="AI141" s="1">
        <v>0.0</v>
      </c>
      <c r="AK141" s="1">
        <v>9.0</v>
      </c>
      <c r="AL141" s="1">
        <v>4.0</v>
      </c>
      <c r="AM141" s="1">
        <v>2.0</v>
      </c>
      <c r="AN141" s="1">
        <v>1.0</v>
      </c>
      <c r="AO141" s="1" t="s">
        <v>198</v>
      </c>
      <c r="AQ141" s="1" t="s">
        <v>198</v>
      </c>
      <c r="AR141" s="1" t="s">
        <v>200</v>
      </c>
      <c r="AS141" s="1" t="s">
        <v>199</v>
      </c>
      <c r="AT141" s="1">
        <v>2.0</v>
      </c>
      <c r="AV141" s="1" t="s">
        <v>200</v>
      </c>
      <c r="AW141" s="1">
        <v>6597.0</v>
      </c>
      <c r="AX141" s="1">
        <v>2012.0</v>
      </c>
      <c r="AY141" s="1" t="s">
        <v>387</v>
      </c>
      <c r="AZ141" s="1" t="s">
        <v>200</v>
      </c>
      <c r="BA141" s="1" t="str">
        <f>"06224150470000"</f>
        <v>06224150470000</v>
      </c>
      <c r="BC141" s="1">
        <v>1869.0</v>
      </c>
      <c r="BD141" s="1">
        <v>267500.0</v>
      </c>
      <c r="BE141" s="2">
        <v>41942.0</v>
      </c>
      <c r="BF141" s="2" t="s">
        <v>2745</v>
      </c>
      <c r="BG141" s="1" t="s">
        <v>2746</v>
      </c>
      <c r="BH141" s="1">
        <v>0.0</v>
      </c>
      <c r="BI141" s="1" t="s">
        <v>756</v>
      </c>
      <c r="BJ141" s="1" t="s">
        <v>757</v>
      </c>
      <c r="BK141" s="1" t="s">
        <v>204</v>
      </c>
      <c r="BL141" s="1" t="str">
        <f>"10"</f>
        <v>10</v>
      </c>
      <c r="BM141" s="1" t="str">
        <f t="shared" si="91"/>
        <v>0</v>
      </c>
      <c r="BN141" s="1">
        <v>29.0</v>
      </c>
      <c r="BO141" s="1">
        <v>0.0</v>
      </c>
      <c r="BQ141" s="1">
        <v>46.0</v>
      </c>
      <c r="BR141" s="1">
        <v>46.0</v>
      </c>
      <c r="BS141" s="1">
        <v>46.0</v>
      </c>
      <c r="BU141" s="1" t="s">
        <v>432</v>
      </c>
      <c r="BV141" s="1" t="s">
        <v>206</v>
      </c>
      <c r="BW141" s="1" t="s">
        <v>207</v>
      </c>
      <c r="BX141" s="1" t="s">
        <v>1549</v>
      </c>
      <c r="BY141" s="1" t="s">
        <v>496</v>
      </c>
      <c r="BZ141" s="1" t="s">
        <v>209</v>
      </c>
      <c r="CA141" s="1" t="s">
        <v>210</v>
      </c>
      <c r="CB141" s="1" t="s">
        <v>431</v>
      </c>
      <c r="CC141" s="1" t="s">
        <v>497</v>
      </c>
      <c r="CD141" s="1" t="s">
        <v>206</v>
      </c>
      <c r="CE141" s="1" t="s">
        <v>207</v>
      </c>
      <c r="CF141" s="1" t="s">
        <v>431</v>
      </c>
      <c r="CG141" s="1" t="s">
        <v>1352</v>
      </c>
      <c r="CH141" s="1" t="s">
        <v>209</v>
      </c>
      <c r="CI141" s="1" t="s">
        <v>210</v>
      </c>
      <c r="CJ141" s="1" t="s">
        <v>431</v>
      </c>
      <c r="CK141" s="1" t="s">
        <v>1329</v>
      </c>
      <c r="CL141" s="1" t="s">
        <v>209</v>
      </c>
      <c r="CM141" s="1" t="s">
        <v>210</v>
      </c>
      <c r="CN141" s="1" t="s">
        <v>431</v>
      </c>
      <c r="CO141" s="1" t="s">
        <v>663</v>
      </c>
      <c r="CP141" s="1" t="s">
        <v>209</v>
      </c>
      <c r="CQ141" s="1" t="s">
        <v>210</v>
      </c>
      <c r="CR141" s="1" t="s">
        <v>431</v>
      </c>
      <c r="CS141" s="1" t="s">
        <v>1158</v>
      </c>
      <c r="CT141" s="1" t="s">
        <v>206</v>
      </c>
      <c r="CU141" s="1" t="s">
        <v>268</v>
      </c>
      <c r="CV141" s="1" t="s">
        <v>1549</v>
      </c>
      <c r="CW141" s="1" t="s">
        <v>1426</v>
      </c>
      <c r="CX141" s="1" t="s">
        <v>206</v>
      </c>
      <c r="CY141" s="1" t="s">
        <v>268</v>
      </c>
      <c r="DA141" s="1" t="s">
        <v>200</v>
      </c>
      <c r="DC141" s="1" t="s">
        <v>435</v>
      </c>
      <c r="DD141" s="1" t="s">
        <v>926</v>
      </c>
      <c r="DE141" s="1" t="s">
        <v>273</v>
      </c>
      <c r="DF141" s="1" t="s">
        <v>219</v>
      </c>
      <c r="DG141" s="1" t="s">
        <v>2747</v>
      </c>
      <c r="DH141" s="1" t="s">
        <v>307</v>
      </c>
      <c r="DI141" s="1" t="s">
        <v>1223</v>
      </c>
      <c r="DJ141" s="1" t="s">
        <v>1048</v>
      </c>
      <c r="DK141" s="1" t="s">
        <v>198</v>
      </c>
      <c r="DL141" s="1" t="s">
        <v>224</v>
      </c>
      <c r="DM141" s="1" t="s">
        <v>229</v>
      </c>
      <c r="DN141" s="1" t="s">
        <v>339</v>
      </c>
      <c r="DO141" s="1" t="s">
        <v>549</v>
      </c>
      <c r="DP141" s="1" t="s">
        <v>400</v>
      </c>
      <c r="DQ141" s="1" t="s">
        <v>228</v>
      </c>
      <c r="DR141" s="1" t="s">
        <v>229</v>
      </c>
      <c r="DS141" s="1" t="s">
        <v>230</v>
      </c>
      <c r="DU141" s="1" t="s">
        <v>487</v>
      </c>
      <c r="DV141" s="1" t="s">
        <v>450</v>
      </c>
      <c r="DW141" s="1" t="s">
        <v>1072</v>
      </c>
      <c r="DX141" s="1" t="s">
        <v>234</v>
      </c>
      <c r="DY141" s="1" t="s">
        <v>704</v>
      </c>
      <c r="DZ141" s="1" t="s">
        <v>2748</v>
      </c>
      <c r="EC141" s="1" t="s">
        <v>237</v>
      </c>
      <c r="ED141" s="1" t="s">
        <v>407</v>
      </c>
      <c r="EE141" s="1" t="s">
        <v>493</v>
      </c>
      <c r="EG141" s="1" t="s">
        <v>450</v>
      </c>
      <c r="EL141" s="1" t="s">
        <v>2749</v>
      </c>
      <c r="EM141" s="1" t="s">
        <v>42</v>
      </c>
      <c r="EN141" s="1" t="s">
        <v>210</v>
      </c>
      <c r="EQ141" s="1" t="s">
        <v>238</v>
      </c>
      <c r="EU141" s="1" t="s">
        <v>238</v>
      </c>
      <c r="EY141" s="1" t="s">
        <v>238</v>
      </c>
      <c r="FC141" s="1" t="s">
        <v>238</v>
      </c>
      <c r="FF141" s="1" t="s">
        <v>239</v>
      </c>
      <c r="FG141" s="1" t="s">
        <v>192</v>
      </c>
      <c r="FH141" s="1" t="s">
        <v>192</v>
      </c>
      <c r="FJ141" s="1" t="s">
        <v>2427</v>
      </c>
      <c r="FK141" s="1" t="s">
        <v>229</v>
      </c>
      <c r="FL141" s="1" t="s">
        <v>2750</v>
      </c>
      <c r="FM141" s="1">
        <v>25661.0</v>
      </c>
      <c r="FN141" s="1" t="s">
        <v>2751</v>
      </c>
      <c r="FO141" s="1" t="s">
        <v>2752</v>
      </c>
      <c r="FP141" s="1">
        <v>259183.0</v>
      </c>
      <c r="FQ141" s="1" t="s">
        <v>2753</v>
      </c>
      <c r="FU141" s="1" t="s">
        <v>1438</v>
      </c>
      <c r="FV141" s="1" t="s">
        <v>200</v>
      </c>
      <c r="FW141" s="1" t="s">
        <v>2754</v>
      </c>
      <c r="FZ141" s="1" t="s">
        <v>229</v>
      </c>
      <c r="GA141" s="1" t="s">
        <v>291</v>
      </c>
      <c r="GB141" s="2">
        <v>42038.0</v>
      </c>
      <c r="GC141" s="1" t="s">
        <v>2755</v>
      </c>
    </row>
    <row r="142">
      <c r="A142" s="1">
        <v>175000.0</v>
      </c>
      <c r="B142" s="1" t="s">
        <v>185</v>
      </c>
      <c r="C142" s="1" t="str">
        <f>"08766838"</f>
        <v>08766838</v>
      </c>
      <c r="D142" s="1" t="s">
        <v>186</v>
      </c>
      <c r="F142" s="1" t="str">
        <f>"543"</f>
        <v>543</v>
      </c>
      <c r="G142" s="2">
        <v>41944.0</v>
      </c>
      <c r="H142" s="1">
        <v>179000.0</v>
      </c>
      <c r="I142" s="1">
        <v>17.0</v>
      </c>
      <c r="J142" s="1">
        <v>179000.0</v>
      </c>
      <c r="K142" s="2">
        <v>41959.0</v>
      </c>
      <c r="L142" s="1">
        <v>17.0</v>
      </c>
      <c r="M142" s="2">
        <v>41959.0</v>
      </c>
      <c r="N142" s="1" t="s">
        <v>356</v>
      </c>
      <c r="O142" s="2">
        <v>41992.0</v>
      </c>
      <c r="P142" s="1">
        <v>8176.0</v>
      </c>
      <c r="Q142" s="1">
        <v>604.0</v>
      </c>
      <c r="R142" s="1">
        <v>2000.0</v>
      </c>
      <c r="S142" s="1">
        <v>219.0</v>
      </c>
      <c r="T142" s="1" t="s">
        <v>2756</v>
      </c>
      <c r="U142" s="1" t="s">
        <v>1442</v>
      </c>
      <c r="V142" s="1" t="s">
        <v>1527</v>
      </c>
      <c r="W142" s="1">
        <v>60543.0</v>
      </c>
      <c r="Y142" s="1" t="s">
        <v>2757</v>
      </c>
      <c r="Z142" s="1">
        <v>1998.0</v>
      </c>
      <c r="AA142" s="1" t="s">
        <v>200</v>
      </c>
      <c r="AB142" s="1" t="s">
        <v>467</v>
      </c>
      <c r="AD142" s="1" t="s">
        <v>1529</v>
      </c>
      <c r="AE142" s="1" t="s">
        <v>849</v>
      </c>
      <c r="AF142" s="1" t="s">
        <v>1529</v>
      </c>
      <c r="AH142" s="1" t="s">
        <v>2758</v>
      </c>
      <c r="AK142" s="1">
        <v>9.0</v>
      </c>
      <c r="AL142" s="1">
        <v>3.0</v>
      </c>
      <c r="AM142" s="1">
        <v>3.0</v>
      </c>
      <c r="AN142" s="1">
        <v>1.0</v>
      </c>
      <c r="AO142" s="1" t="s">
        <v>198</v>
      </c>
      <c r="AP142" s="1">
        <v>1.0</v>
      </c>
      <c r="AQ142" s="1" t="s">
        <v>198</v>
      </c>
      <c r="AR142" s="1" t="s">
        <v>192</v>
      </c>
      <c r="AS142" s="1" t="s">
        <v>199</v>
      </c>
      <c r="AT142" s="1">
        <v>2.0</v>
      </c>
      <c r="AV142" s="1" t="s">
        <v>200</v>
      </c>
      <c r="AW142" s="1">
        <v>5571.0</v>
      </c>
      <c r="AX142" s="1">
        <v>2013.0</v>
      </c>
      <c r="AY142" s="1" t="s">
        <v>387</v>
      </c>
      <c r="AZ142" s="1" t="s">
        <v>192</v>
      </c>
      <c r="BA142" s="1" t="str">
        <f>"0318243008"</f>
        <v>0318243008</v>
      </c>
      <c r="BC142" s="1">
        <v>1974.0</v>
      </c>
      <c r="BD142" s="1">
        <v>175000.0</v>
      </c>
      <c r="BE142" s="2">
        <v>41943.0</v>
      </c>
      <c r="BF142" s="2" t="s">
        <v>2759</v>
      </c>
      <c r="BH142" s="1">
        <v>680.0</v>
      </c>
      <c r="BK142" s="1" t="s">
        <v>580</v>
      </c>
      <c r="BL142" s="1" t="str">
        <f t="shared" ref="BL142:BM142" si="92">""</f>
        <v/>
      </c>
      <c r="BM142" s="1" t="str">
        <f t="shared" si="92"/>
        <v/>
      </c>
      <c r="BQ142" s="1">
        <v>308.0</v>
      </c>
      <c r="BR142" s="1">
        <v>308.0</v>
      </c>
      <c r="BS142" s="1">
        <v>308.0</v>
      </c>
      <c r="BU142" s="1" t="s">
        <v>495</v>
      </c>
      <c r="BV142" s="1" t="s">
        <v>206</v>
      </c>
      <c r="BW142" s="1" t="s">
        <v>210</v>
      </c>
      <c r="BX142" s="1" t="s">
        <v>1549</v>
      </c>
      <c r="BY142" s="1" t="s">
        <v>2713</v>
      </c>
      <c r="BZ142" s="1" t="s">
        <v>209</v>
      </c>
      <c r="CA142" s="1" t="s">
        <v>210</v>
      </c>
      <c r="CB142" s="1" t="s">
        <v>1118</v>
      </c>
      <c r="CC142" s="1" t="s">
        <v>1904</v>
      </c>
      <c r="CD142" s="1" t="s">
        <v>206</v>
      </c>
      <c r="CE142" s="1" t="s">
        <v>210</v>
      </c>
      <c r="CF142" s="1" t="s">
        <v>1118</v>
      </c>
      <c r="CG142" s="1" t="s">
        <v>663</v>
      </c>
      <c r="CH142" s="1" t="s">
        <v>209</v>
      </c>
      <c r="CI142" s="1" t="s">
        <v>210</v>
      </c>
      <c r="CJ142" s="1" t="s">
        <v>1118</v>
      </c>
      <c r="CK142" s="1" t="s">
        <v>699</v>
      </c>
      <c r="CL142" s="1" t="s">
        <v>209</v>
      </c>
      <c r="CM142" s="1" t="s">
        <v>210</v>
      </c>
      <c r="CN142" s="1" t="s">
        <v>1118</v>
      </c>
      <c r="CO142" s="1" t="s">
        <v>269</v>
      </c>
      <c r="CP142" s="1" t="s">
        <v>42</v>
      </c>
      <c r="CQ142" s="1" t="s">
        <v>210</v>
      </c>
      <c r="CR142" s="1" t="s">
        <v>431</v>
      </c>
      <c r="CS142" s="1" t="s">
        <v>2713</v>
      </c>
      <c r="CT142" s="1" t="s">
        <v>206</v>
      </c>
      <c r="CU142" s="1" t="s">
        <v>207</v>
      </c>
      <c r="CV142" s="1" t="s">
        <v>1549</v>
      </c>
      <c r="CW142" s="1" t="s">
        <v>2647</v>
      </c>
      <c r="CX142" s="1" t="s">
        <v>206</v>
      </c>
      <c r="CY142" s="1" t="s">
        <v>210</v>
      </c>
      <c r="CZ142" s="1" t="s">
        <v>1118</v>
      </c>
      <c r="DA142" s="1" t="s">
        <v>200</v>
      </c>
      <c r="DC142" s="1" t="s">
        <v>678</v>
      </c>
      <c r="DD142" s="1" t="s">
        <v>396</v>
      </c>
      <c r="DE142" s="1" t="s">
        <v>273</v>
      </c>
      <c r="DF142" s="1" t="s">
        <v>219</v>
      </c>
      <c r="DG142" s="1" t="s">
        <v>1020</v>
      </c>
      <c r="DH142" s="1" t="s">
        <v>220</v>
      </c>
      <c r="DI142" s="1" t="s">
        <v>308</v>
      </c>
      <c r="DJ142" s="1" t="s">
        <v>222</v>
      </c>
      <c r="DL142" s="1" t="s">
        <v>224</v>
      </c>
      <c r="DM142" s="1" t="s">
        <v>338</v>
      </c>
      <c r="DN142" s="1" t="s">
        <v>485</v>
      </c>
      <c r="DO142" s="1" t="s">
        <v>486</v>
      </c>
      <c r="DP142" s="1" t="s">
        <v>340</v>
      </c>
      <c r="DQ142" s="1" t="s">
        <v>228</v>
      </c>
      <c r="DR142" s="1" t="s">
        <v>229</v>
      </c>
      <c r="DS142" s="1" t="s">
        <v>230</v>
      </c>
      <c r="DU142" s="1" t="s">
        <v>2258</v>
      </c>
      <c r="DV142" s="1" t="s">
        <v>2023</v>
      </c>
      <c r="DW142" s="1" t="s">
        <v>233</v>
      </c>
      <c r="DX142" s="1" t="s">
        <v>234</v>
      </c>
      <c r="DY142" s="1" t="s">
        <v>235</v>
      </c>
      <c r="DZ142" s="1" t="s">
        <v>491</v>
      </c>
      <c r="EA142" s="1" t="s">
        <v>344</v>
      </c>
      <c r="EB142" s="1" t="s">
        <v>937</v>
      </c>
      <c r="EC142" s="1" t="s">
        <v>237</v>
      </c>
      <c r="ED142" s="1" t="s">
        <v>407</v>
      </c>
      <c r="EG142" s="1" t="s">
        <v>2023</v>
      </c>
      <c r="EL142" s="1" t="s">
        <v>2273</v>
      </c>
      <c r="EM142" s="1" t="s">
        <v>42</v>
      </c>
      <c r="EN142" s="1" t="s">
        <v>210</v>
      </c>
      <c r="EO142" s="1" t="s">
        <v>431</v>
      </c>
      <c r="EQ142" s="1" t="s">
        <v>238</v>
      </c>
      <c r="EU142" s="1" t="s">
        <v>238</v>
      </c>
      <c r="EY142" s="1" t="s">
        <v>238</v>
      </c>
      <c r="FC142" s="1" t="s">
        <v>238</v>
      </c>
      <c r="FF142" s="1" t="s">
        <v>239</v>
      </c>
      <c r="FG142" s="1" t="s">
        <v>192</v>
      </c>
      <c r="FH142" s="1" t="s">
        <v>192</v>
      </c>
      <c r="FJ142" s="1" t="s">
        <v>624</v>
      </c>
      <c r="FK142" s="1" t="s">
        <v>229</v>
      </c>
      <c r="FL142" s="1" t="s">
        <v>1007</v>
      </c>
      <c r="FM142" s="1">
        <v>22588.0</v>
      </c>
      <c r="FN142" s="1" t="s">
        <v>1321</v>
      </c>
      <c r="FO142" s="1" t="s">
        <v>2760</v>
      </c>
      <c r="FP142" s="1">
        <v>230326.0</v>
      </c>
      <c r="FQ142" s="1" t="s">
        <v>2761</v>
      </c>
      <c r="FS142" s="1" t="s">
        <v>2762</v>
      </c>
      <c r="FU142" s="1" t="s">
        <v>1882</v>
      </c>
      <c r="FV142" s="1" t="s">
        <v>200</v>
      </c>
      <c r="FW142" s="1" t="s">
        <v>290</v>
      </c>
      <c r="FZ142" s="1" t="s">
        <v>229</v>
      </c>
      <c r="GA142" s="1" t="s">
        <v>291</v>
      </c>
      <c r="GB142" s="2">
        <v>41993.0</v>
      </c>
      <c r="GC142" s="1" t="s">
        <v>2763</v>
      </c>
    </row>
    <row r="143">
      <c r="A143" s="1">
        <v>224000.0</v>
      </c>
      <c r="B143" s="1" t="s">
        <v>185</v>
      </c>
      <c r="C143" s="1" t="str">
        <f>"08769952"</f>
        <v>08769952</v>
      </c>
      <c r="D143" s="1" t="s">
        <v>186</v>
      </c>
      <c r="F143" s="1" t="str">
        <f>"110"</f>
        <v>110</v>
      </c>
      <c r="G143" s="2">
        <v>41949.0</v>
      </c>
      <c r="H143" s="1">
        <v>228000.0</v>
      </c>
      <c r="I143" s="1">
        <v>84.0</v>
      </c>
      <c r="J143" s="1">
        <v>224000.0</v>
      </c>
      <c r="K143" s="2">
        <v>42032.0</v>
      </c>
      <c r="L143" s="1">
        <v>84.0</v>
      </c>
      <c r="M143" s="2">
        <v>42032.0</v>
      </c>
      <c r="N143" s="1" t="s">
        <v>356</v>
      </c>
      <c r="O143" s="2">
        <v>42088.0</v>
      </c>
      <c r="P143" s="1">
        <v>55865.0</v>
      </c>
      <c r="Q143" s="1">
        <v>5030.0</v>
      </c>
      <c r="S143" s="1">
        <v>6511.0</v>
      </c>
      <c r="T143" s="1" t="s">
        <v>2764</v>
      </c>
      <c r="U143" s="1" t="s">
        <v>464</v>
      </c>
      <c r="V143" s="1" t="s">
        <v>807</v>
      </c>
      <c r="W143" s="1">
        <v>60110.0</v>
      </c>
      <c r="Y143" s="1" t="s">
        <v>2765</v>
      </c>
      <c r="Z143" s="1">
        <v>2001.0</v>
      </c>
      <c r="AA143" s="1" t="s">
        <v>200</v>
      </c>
      <c r="AB143" s="1" t="s">
        <v>193</v>
      </c>
      <c r="AC143" s="1" t="s">
        <v>2766</v>
      </c>
      <c r="AD143" s="1" t="s">
        <v>809</v>
      </c>
      <c r="AE143" s="1" t="s">
        <v>325</v>
      </c>
      <c r="AF143" s="1" t="s">
        <v>810</v>
      </c>
      <c r="AG143" s="1" t="s">
        <v>2767</v>
      </c>
      <c r="AH143" s="1" t="s">
        <v>2768</v>
      </c>
      <c r="AI143" s="1">
        <v>0.2149</v>
      </c>
      <c r="AK143" s="1">
        <v>9.0</v>
      </c>
      <c r="AL143" s="1">
        <v>4.0</v>
      </c>
      <c r="AM143" s="1">
        <v>2.0</v>
      </c>
      <c r="AN143" s="1">
        <v>1.0</v>
      </c>
      <c r="AO143" s="1" t="s">
        <v>198</v>
      </c>
      <c r="AP143" s="1">
        <v>1.0</v>
      </c>
      <c r="AQ143" s="1" t="s">
        <v>198</v>
      </c>
      <c r="AR143" s="1" t="s">
        <v>200</v>
      </c>
      <c r="AS143" s="1" t="s">
        <v>199</v>
      </c>
      <c r="AT143" s="1">
        <v>2.5</v>
      </c>
      <c r="AV143" s="1" t="s">
        <v>200</v>
      </c>
      <c r="AW143" s="1">
        <v>6978.48</v>
      </c>
      <c r="AX143" s="1">
        <v>2013.0</v>
      </c>
      <c r="AY143" s="1" t="s">
        <v>387</v>
      </c>
      <c r="AZ143" s="1" t="s">
        <v>200</v>
      </c>
      <c r="BA143" s="1" t="str">
        <f>"0308451023"</f>
        <v>0308451023</v>
      </c>
      <c r="BB143" s="1" t="s">
        <v>200</v>
      </c>
      <c r="BC143" s="1">
        <v>2016.0</v>
      </c>
      <c r="BD143" s="1">
        <v>224000.0</v>
      </c>
      <c r="BE143" s="2">
        <v>41949.0</v>
      </c>
      <c r="BF143" s="2" t="s">
        <v>2769</v>
      </c>
      <c r="BH143" s="1">
        <v>176.0</v>
      </c>
      <c r="BK143" s="1" t="s">
        <v>580</v>
      </c>
      <c r="BL143" s="1" t="str">
        <f t="shared" ref="BL143:BM143" si="93">""</f>
        <v/>
      </c>
      <c r="BM143" s="1" t="str">
        <f t="shared" si="93"/>
        <v/>
      </c>
      <c r="BQ143" s="1">
        <v>300.0</v>
      </c>
      <c r="BR143" s="1">
        <v>300.0</v>
      </c>
      <c r="BS143" s="1">
        <v>300.0</v>
      </c>
      <c r="BU143" s="1" t="s">
        <v>215</v>
      </c>
      <c r="BV143" s="1" t="s">
        <v>206</v>
      </c>
      <c r="BW143" s="1" t="s">
        <v>210</v>
      </c>
      <c r="BX143" s="1" t="s">
        <v>239</v>
      </c>
      <c r="BY143" s="1" t="s">
        <v>454</v>
      </c>
      <c r="BZ143" s="1" t="s">
        <v>209</v>
      </c>
      <c r="CA143" s="1" t="s">
        <v>210</v>
      </c>
      <c r="CB143" s="1" t="s">
        <v>239</v>
      </c>
      <c r="CC143" s="1" t="s">
        <v>495</v>
      </c>
      <c r="CD143" s="1" t="s">
        <v>206</v>
      </c>
      <c r="CE143" s="1" t="s">
        <v>210</v>
      </c>
      <c r="CF143" s="1" t="s">
        <v>239</v>
      </c>
      <c r="CG143" s="1" t="s">
        <v>495</v>
      </c>
      <c r="CH143" s="1" t="s">
        <v>209</v>
      </c>
      <c r="CI143" s="1" t="s">
        <v>210</v>
      </c>
      <c r="CJ143" s="1" t="s">
        <v>239</v>
      </c>
      <c r="CK143" s="1" t="s">
        <v>264</v>
      </c>
      <c r="CL143" s="1" t="s">
        <v>209</v>
      </c>
      <c r="CM143" s="1" t="s">
        <v>210</v>
      </c>
      <c r="CN143" s="1" t="s">
        <v>239</v>
      </c>
      <c r="CO143" s="1" t="s">
        <v>699</v>
      </c>
      <c r="CP143" s="1" t="s">
        <v>209</v>
      </c>
      <c r="CQ143" s="1" t="s">
        <v>210</v>
      </c>
      <c r="CR143" s="1" t="s">
        <v>239</v>
      </c>
      <c r="CS143" s="1" t="s">
        <v>497</v>
      </c>
      <c r="CT143" s="1" t="s">
        <v>206</v>
      </c>
      <c r="CU143" s="1" t="s">
        <v>207</v>
      </c>
      <c r="CV143" s="1" t="s">
        <v>229</v>
      </c>
      <c r="CW143" s="1" t="s">
        <v>2461</v>
      </c>
      <c r="CX143" s="1" t="s">
        <v>206</v>
      </c>
      <c r="CY143" s="1" t="s">
        <v>207</v>
      </c>
      <c r="CZ143" s="1" t="s">
        <v>239</v>
      </c>
      <c r="DA143" s="1" t="s">
        <v>200</v>
      </c>
      <c r="DC143" s="1" t="s">
        <v>335</v>
      </c>
      <c r="DD143" s="1" t="s">
        <v>336</v>
      </c>
      <c r="DE143" s="1" t="s">
        <v>273</v>
      </c>
      <c r="DF143" s="1" t="s">
        <v>619</v>
      </c>
      <c r="DG143" s="1" t="s">
        <v>482</v>
      </c>
      <c r="DH143" s="1" t="s">
        <v>220</v>
      </c>
      <c r="DI143" s="1" t="s">
        <v>589</v>
      </c>
      <c r="DJ143" s="1" t="s">
        <v>222</v>
      </c>
      <c r="DL143" s="1" t="s">
        <v>223</v>
      </c>
      <c r="DM143" s="1" t="s">
        <v>338</v>
      </c>
      <c r="DN143" s="1" t="s">
        <v>399</v>
      </c>
      <c r="DO143" s="1" t="s">
        <v>549</v>
      </c>
      <c r="DP143" s="1" t="s">
        <v>340</v>
      </c>
      <c r="DQ143" s="1" t="s">
        <v>228</v>
      </c>
      <c r="DR143" s="1" t="s">
        <v>229</v>
      </c>
      <c r="DU143" s="1" t="s">
        <v>2770</v>
      </c>
      <c r="DV143" s="1" t="s">
        <v>2071</v>
      </c>
      <c r="DW143" s="1" t="s">
        <v>444</v>
      </c>
      <c r="DX143" s="1" t="s">
        <v>234</v>
      </c>
      <c r="DY143" s="1" t="s">
        <v>2771</v>
      </c>
      <c r="DZ143" s="1" t="s">
        <v>1405</v>
      </c>
      <c r="EA143" s="1" t="s">
        <v>1027</v>
      </c>
      <c r="EB143" s="1" t="s">
        <v>2183</v>
      </c>
      <c r="EC143" s="1" t="s">
        <v>237</v>
      </c>
      <c r="ED143" s="1" t="s">
        <v>407</v>
      </c>
      <c r="EE143" s="1" t="s">
        <v>493</v>
      </c>
      <c r="EG143" s="1" t="s">
        <v>449</v>
      </c>
      <c r="EH143" s="1" t="s">
        <v>408</v>
      </c>
      <c r="EL143" s="1" t="s">
        <v>1745</v>
      </c>
      <c r="EM143" s="1" t="s">
        <v>206</v>
      </c>
      <c r="EN143" s="1" t="s">
        <v>207</v>
      </c>
      <c r="EO143" s="1" t="s">
        <v>239</v>
      </c>
      <c r="EP143" s="1" t="s">
        <v>1137</v>
      </c>
      <c r="EQ143" s="1" t="s">
        <v>206</v>
      </c>
      <c r="ER143" s="1" t="s">
        <v>207</v>
      </c>
      <c r="ES143" s="1" t="s">
        <v>229</v>
      </c>
      <c r="EU143" s="1" t="s">
        <v>238</v>
      </c>
      <c r="EY143" s="1" t="s">
        <v>238</v>
      </c>
      <c r="FC143" s="1" t="s">
        <v>238</v>
      </c>
      <c r="FF143" s="1" t="s">
        <v>239</v>
      </c>
      <c r="FG143" s="1" t="s">
        <v>192</v>
      </c>
      <c r="FH143" s="1" t="s">
        <v>192</v>
      </c>
      <c r="FJ143" s="1" t="s">
        <v>2772</v>
      </c>
      <c r="FK143" s="1" t="s">
        <v>1586</v>
      </c>
      <c r="FL143" s="1" t="s">
        <v>525</v>
      </c>
      <c r="FM143" s="1">
        <v>22029.0</v>
      </c>
      <c r="FN143" s="1" t="s">
        <v>526</v>
      </c>
      <c r="FO143" s="1" t="s">
        <v>2773</v>
      </c>
      <c r="FP143" s="1">
        <v>239863.0</v>
      </c>
      <c r="FQ143" s="1" t="s">
        <v>2774</v>
      </c>
      <c r="FU143" s="1" t="s">
        <v>2775</v>
      </c>
      <c r="FV143" s="1" t="s">
        <v>200</v>
      </c>
      <c r="FW143" s="1" t="s">
        <v>2776</v>
      </c>
      <c r="FZ143" s="1" t="s">
        <v>632</v>
      </c>
      <c r="GA143" s="1" t="s">
        <v>291</v>
      </c>
      <c r="GB143" s="2">
        <v>42088.0</v>
      </c>
      <c r="GC143" s="1" t="s">
        <v>2777</v>
      </c>
    </row>
    <row r="144">
      <c r="A144" s="1">
        <v>194000.0</v>
      </c>
      <c r="B144" s="1" t="s">
        <v>185</v>
      </c>
      <c r="C144" s="1" t="str">
        <f>"08772856"</f>
        <v>08772856</v>
      </c>
      <c r="D144" s="1" t="s">
        <v>186</v>
      </c>
      <c r="F144" s="1" t="str">
        <f>"103"</f>
        <v>103</v>
      </c>
      <c r="G144" s="2">
        <v>41953.0</v>
      </c>
      <c r="H144" s="1">
        <v>200000.0</v>
      </c>
      <c r="I144" s="1">
        <v>14.0</v>
      </c>
      <c r="J144" s="1">
        <v>200000.0</v>
      </c>
      <c r="K144" s="2">
        <v>41966.0</v>
      </c>
      <c r="L144" s="1">
        <v>14.0</v>
      </c>
      <c r="M144" s="2">
        <v>41966.0</v>
      </c>
      <c r="N144" s="1" t="s">
        <v>187</v>
      </c>
      <c r="O144" s="2">
        <v>42010.0</v>
      </c>
      <c r="P144" s="1">
        <v>184146.0</v>
      </c>
      <c r="Q144" s="1">
        <v>85077.0</v>
      </c>
      <c r="S144" s="1">
        <v>1232.0</v>
      </c>
      <c r="T144" s="1" t="s">
        <v>2778</v>
      </c>
      <c r="U144" s="1" t="s">
        <v>569</v>
      </c>
      <c r="V144" s="1" t="s">
        <v>251</v>
      </c>
      <c r="W144" s="1">
        <v>60133.0</v>
      </c>
      <c r="Y144" s="1" t="s">
        <v>2779</v>
      </c>
      <c r="Z144" s="1">
        <v>1978.0</v>
      </c>
      <c r="AA144" s="1" t="s">
        <v>200</v>
      </c>
      <c r="AB144" s="1" t="s">
        <v>467</v>
      </c>
      <c r="AC144" s="1" t="s">
        <v>2780</v>
      </c>
      <c r="AD144" s="1" t="s">
        <v>254</v>
      </c>
      <c r="AE144" s="1" t="s">
        <v>1258</v>
      </c>
      <c r="AF144" s="1" t="s">
        <v>1259</v>
      </c>
      <c r="AG144" s="1" t="s">
        <v>2781</v>
      </c>
      <c r="AH144" s="1" t="s">
        <v>2782</v>
      </c>
      <c r="AI144" s="1">
        <v>0.1841</v>
      </c>
      <c r="AK144" s="1">
        <v>9.0</v>
      </c>
      <c r="AL144" s="1">
        <v>4.0</v>
      </c>
      <c r="AM144" s="1">
        <v>2.0</v>
      </c>
      <c r="AN144" s="1">
        <v>1.0</v>
      </c>
      <c r="AO144" s="1" t="s">
        <v>198</v>
      </c>
      <c r="AP144" s="1">
        <v>1.0</v>
      </c>
      <c r="AQ144" s="1" t="s">
        <v>229</v>
      </c>
      <c r="AR144" s="1" t="s">
        <v>200</v>
      </c>
      <c r="AS144" s="1" t="s">
        <v>199</v>
      </c>
      <c r="AT144" s="1">
        <v>2.0</v>
      </c>
      <c r="AV144" s="1" t="s">
        <v>200</v>
      </c>
      <c r="AW144" s="1">
        <v>7017.0</v>
      </c>
      <c r="AX144" s="1">
        <v>2013.0</v>
      </c>
      <c r="AZ144" s="1" t="s">
        <v>200</v>
      </c>
      <c r="BA144" s="1" t="str">
        <f>"0207211014"</f>
        <v>0207211014</v>
      </c>
      <c r="BC144" s="1">
        <v>2212.0</v>
      </c>
      <c r="BD144" s="1">
        <v>194000.0</v>
      </c>
      <c r="BE144" s="2">
        <v>41953.0</v>
      </c>
      <c r="BF144" s="2" t="s">
        <v>2783</v>
      </c>
      <c r="BG144" s="1" t="s">
        <v>1263</v>
      </c>
      <c r="BH144" s="1">
        <v>31.0</v>
      </c>
      <c r="BI144" s="1" t="s">
        <v>1264</v>
      </c>
      <c r="BJ144" s="1" t="s">
        <v>1265</v>
      </c>
      <c r="BK144" s="1" t="s">
        <v>474</v>
      </c>
      <c r="BL144" s="1" t="str">
        <f t="shared" ref="BL144:BM144" si="94">""</f>
        <v/>
      </c>
      <c r="BM144" s="1" t="str">
        <f t="shared" si="94"/>
        <v/>
      </c>
      <c r="BQ144" s="1">
        <v>20.0</v>
      </c>
      <c r="BR144" s="1">
        <v>108.0</v>
      </c>
      <c r="BS144" s="1">
        <v>20.0</v>
      </c>
      <c r="BU144" s="1" t="s">
        <v>333</v>
      </c>
      <c r="BV144" s="1" t="s">
        <v>206</v>
      </c>
      <c r="BW144" s="1" t="s">
        <v>301</v>
      </c>
      <c r="BY144" s="1" t="s">
        <v>616</v>
      </c>
      <c r="BZ144" s="1" t="s">
        <v>209</v>
      </c>
      <c r="CA144" s="1" t="s">
        <v>301</v>
      </c>
      <c r="CC144" s="1" t="s">
        <v>495</v>
      </c>
      <c r="CD144" s="1" t="s">
        <v>206</v>
      </c>
      <c r="CE144" s="1" t="s">
        <v>301</v>
      </c>
      <c r="CG144" s="1" t="s">
        <v>495</v>
      </c>
      <c r="CH144" s="1" t="s">
        <v>209</v>
      </c>
      <c r="CI144" s="1" t="s">
        <v>301</v>
      </c>
      <c r="CK144" s="1" t="s">
        <v>495</v>
      </c>
      <c r="CL144" s="1" t="s">
        <v>209</v>
      </c>
      <c r="CM144" s="1" t="s">
        <v>301</v>
      </c>
      <c r="CO144" s="1" t="s">
        <v>269</v>
      </c>
      <c r="CP144" s="1" t="s">
        <v>209</v>
      </c>
      <c r="CQ144" s="1" t="s">
        <v>301</v>
      </c>
      <c r="CS144" s="1" t="s">
        <v>332</v>
      </c>
      <c r="CT144" s="1" t="s">
        <v>206</v>
      </c>
      <c r="CU144" s="1" t="s">
        <v>268</v>
      </c>
      <c r="CW144" s="1" t="s">
        <v>1001</v>
      </c>
      <c r="CX144" s="1" t="s">
        <v>206</v>
      </c>
      <c r="CY144" s="1" t="s">
        <v>268</v>
      </c>
      <c r="DA144" s="1" t="s">
        <v>200</v>
      </c>
      <c r="DC144" s="1" t="s">
        <v>395</v>
      </c>
      <c r="DD144" s="1" t="s">
        <v>436</v>
      </c>
      <c r="DE144" s="1" t="s">
        <v>273</v>
      </c>
      <c r="DF144" s="1" t="s">
        <v>219</v>
      </c>
      <c r="DG144" s="1" t="s">
        <v>1317</v>
      </c>
      <c r="DH144" s="1" t="s">
        <v>220</v>
      </c>
      <c r="DI144" s="1" t="s">
        <v>2784</v>
      </c>
      <c r="DJ144" s="1" t="s">
        <v>222</v>
      </c>
      <c r="DL144" s="1" t="s">
        <v>229</v>
      </c>
      <c r="DM144" s="1" t="s">
        <v>229</v>
      </c>
      <c r="DN144" s="1" t="s">
        <v>339</v>
      </c>
      <c r="DO144" s="1" t="s">
        <v>549</v>
      </c>
      <c r="DP144" s="1" t="s">
        <v>340</v>
      </c>
      <c r="DQ144" s="1" t="s">
        <v>228</v>
      </c>
      <c r="DR144" s="1" t="s">
        <v>2593</v>
      </c>
      <c r="DU144" s="1" t="s">
        <v>2785</v>
      </c>
      <c r="DV144" s="1" t="s">
        <v>341</v>
      </c>
      <c r="DW144" s="1" t="s">
        <v>370</v>
      </c>
      <c r="DX144" s="1" t="s">
        <v>234</v>
      </c>
      <c r="DY144" s="1" t="s">
        <v>235</v>
      </c>
      <c r="DZ144" s="1" t="s">
        <v>282</v>
      </c>
      <c r="EC144" s="1" t="s">
        <v>237</v>
      </c>
      <c r="ED144" s="1" t="s">
        <v>555</v>
      </c>
      <c r="EG144" s="1" t="s">
        <v>341</v>
      </c>
      <c r="EL144" s="1" t="s">
        <v>329</v>
      </c>
      <c r="EM144" s="1" t="s">
        <v>209</v>
      </c>
      <c r="EN144" s="1" t="s">
        <v>210</v>
      </c>
      <c r="EQ144" s="1" t="s">
        <v>238</v>
      </c>
      <c r="EU144" s="1" t="s">
        <v>238</v>
      </c>
      <c r="EY144" s="1" t="s">
        <v>238</v>
      </c>
      <c r="FC144" s="1" t="s">
        <v>238</v>
      </c>
      <c r="FF144" s="1" t="s">
        <v>239</v>
      </c>
      <c r="FG144" s="1" t="s">
        <v>192</v>
      </c>
      <c r="FH144" s="1" t="s">
        <v>192</v>
      </c>
      <c r="FJ144" s="1" t="s">
        <v>2206</v>
      </c>
      <c r="FK144" s="1" t="s">
        <v>229</v>
      </c>
      <c r="FL144" s="1" t="s">
        <v>2786</v>
      </c>
      <c r="FM144" s="1">
        <v>25266.0</v>
      </c>
      <c r="FN144" s="1" t="s">
        <v>2787</v>
      </c>
      <c r="FO144" s="1" t="s">
        <v>2788</v>
      </c>
      <c r="FP144" s="1">
        <v>231049.0</v>
      </c>
      <c r="FQ144" s="1" t="s">
        <v>2789</v>
      </c>
      <c r="FU144" s="1" t="s">
        <v>2790</v>
      </c>
      <c r="FV144" s="1" t="s">
        <v>200</v>
      </c>
      <c r="FW144" s="1" t="s">
        <v>290</v>
      </c>
      <c r="FZ144" s="1" t="s">
        <v>229</v>
      </c>
      <c r="GA144" s="1" t="s">
        <v>291</v>
      </c>
      <c r="GB144" s="2">
        <v>42011.0</v>
      </c>
    </row>
    <row r="145">
      <c r="A145" s="1">
        <v>191000.0</v>
      </c>
      <c r="B145" s="1" t="s">
        <v>185</v>
      </c>
      <c r="C145" s="1" t="str">
        <f>"08765517"</f>
        <v>08765517</v>
      </c>
      <c r="D145" s="1" t="s">
        <v>186</v>
      </c>
      <c r="F145" s="1" t="str">
        <f>"543"</f>
        <v>543</v>
      </c>
      <c r="G145" s="2">
        <v>41942.0</v>
      </c>
      <c r="H145" s="1">
        <v>199900.0</v>
      </c>
      <c r="I145" s="1">
        <v>6.0</v>
      </c>
      <c r="J145" s="1">
        <v>199900.0</v>
      </c>
      <c r="K145" s="2">
        <v>41947.0</v>
      </c>
      <c r="L145" s="1">
        <v>6.0</v>
      </c>
      <c r="M145" s="2">
        <v>41947.0</v>
      </c>
      <c r="N145" s="1" t="s">
        <v>356</v>
      </c>
      <c r="O145" s="2">
        <v>41991.0</v>
      </c>
      <c r="P145" s="1">
        <v>217273.0</v>
      </c>
      <c r="Q145" s="1">
        <v>23842.0</v>
      </c>
      <c r="R145" s="1">
        <v>500.0</v>
      </c>
      <c r="S145" s="1">
        <v>114.0</v>
      </c>
      <c r="T145" s="1" t="s">
        <v>2791</v>
      </c>
      <c r="U145" s="1" t="s">
        <v>320</v>
      </c>
      <c r="V145" s="1" t="s">
        <v>1527</v>
      </c>
      <c r="W145" s="1">
        <v>60543.0</v>
      </c>
      <c r="X145" s="1">
        <v>9100.0</v>
      </c>
      <c r="Y145" s="1" t="s">
        <v>2792</v>
      </c>
      <c r="Z145" s="1">
        <v>1990.0</v>
      </c>
      <c r="AA145" s="1" t="s">
        <v>200</v>
      </c>
      <c r="AB145" s="1" t="s">
        <v>193</v>
      </c>
      <c r="AD145" s="1" t="s">
        <v>1529</v>
      </c>
      <c r="AE145" s="1" t="s">
        <v>849</v>
      </c>
      <c r="AF145" s="1" t="s">
        <v>1529</v>
      </c>
      <c r="AH145" s="1" t="s">
        <v>2793</v>
      </c>
      <c r="AI145" s="1">
        <v>0.2298</v>
      </c>
      <c r="AK145" s="1">
        <v>8.0</v>
      </c>
      <c r="AL145" s="1">
        <v>4.0</v>
      </c>
      <c r="AM145" s="1">
        <v>2.0</v>
      </c>
      <c r="AN145" s="1">
        <v>1.0</v>
      </c>
      <c r="AO145" s="1" t="s">
        <v>198</v>
      </c>
      <c r="AP145" s="1">
        <v>1.0</v>
      </c>
      <c r="AQ145" s="1" t="s">
        <v>198</v>
      </c>
      <c r="AR145" s="1" t="s">
        <v>200</v>
      </c>
      <c r="AS145" s="1" t="s">
        <v>199</v>
      </c>
      <c r="AT145" s="1">
        <v>2.0</v>
      </c>
      <c r="AV145" s="1" t="s">
        <v>200</v>
      </c>
      <c r="AW145" s="1">
        <v>5705.0</v>
      </c>
      <c r="AX145" s="1">
        <v>2012.0</v>
      </c>
      <c r="AZ145" s="1" t="s">
        <v>200</v>
      </c>
      <c r="BA145" s="1" t="str">
        <f>"0307253013"</f>
        <v>0307253013</v>
      </c>
      <c r="BC145" s="1">
        <v>1770.0</v>
      </c>
      <c r="BD145" s="1">
        <v>191000.0</v>
      </c>
      <c r="BE145" s="2">
        <v>41942.0</v>
      </c>
      <c r="BF145" s="2" t="s">
        <v>2794</v>
      </c>
      <c r="BH145" s="1">
        <v>0.0</v>
      </c>
      <c r="BK145" s="1" t="s">
        <v>204</v>
      </c>
      <c r="BL145" s="1" t="str">
        <f t="shared" ref="BL145:BM145" si="95">"0"</f>
        <v>0</v>
      </c>
      <c r="BM145" s="1" t="str">
        <f t="shared" si="95"/>
        <v>0</v>
      </c>
      <c r="BN145" s="1">
        <v>38.0</v>
      </c>
      <c r="BO145" s="1">
        <v>11.0</v>
      </c>
      <c r="BQ145" s="1">
        <v>308.0</v>
      </c>
      <c r="BR145" s="1">
        <v>308.0</v>
      </c>
      <c r="BS145" s="1">
        <v>308.0</v>
      </c>
      <c r="BU145" s="1" t="s">
        <v>2713</v>
      </c>
      <c r="BV145" s="1" t="s">
        <v>206</v>
      </c>
      <c r="BW145" s="1" t="s">
        <v>301</v>
      </c>
      <c r="BY145" s="1" t="s">
        <v>205</v>
      </c>
      <c r="BZ145" s="1" t="s">
        <v>209</v>
      </c>
      <c r="CA145" s="1" t="s">
        <v>210</v>
      </c>
      <c r="CC145" s="1" t="s">
        <v>433</v>
      </c>
      <c r="CD145" s="1" t="s">
        <v>206</v>
      </c>
      <c r="CE145" s="1" t="s">
        <v>301</v>
      </c>
      <c r="CG145" s="1" t="s">
        <v>497</v>
      </c>
      <c r="CH145" s="1" t="s">
        <v>209</v>
      </c>
      <c r="CI145" s="1" t="s">
        <v>210</v>
      </c>
      <c r="CK145" s="1" t="s">
        <v>392</v>
      </c>
      <c r="CL145" s="1" t="s">
        <v>209</v>
      </c>
      <c r="CM145" s="1" t="s">
        <v>210</v>
      </c>
      <c r="CO145" s="1" t="s">
        <v>332</v>
      </c>
      <c r="CP145" s="1" t="s">
        <v>209</v>
      </c>
      <c r="CQ145" s="1" t="s">
        <v>210</v>
      </c>
      <c r="CS145" s="1" t="s">
        <v>497</v>
      </c>
      <c r="CT145" s="1" t="s">
        <v>206</v>
      </c>
      <c r="CU145" s="1" t="s">
        <v>301</v>
      </c>
      <c r="CW145" s="1" t="s">
        <v>854</v>
      </c>
      <c r="CX145" s="1" t="s">
        <v>206</v>
      </c>
      <c r="CY145" s="1" t="s">
        <v>301</v>
      </c>
      <c r="DA145" s="1" t="s">
        <v>200</v>
      </c>
      <c r="DC145" s="1" t="s">
        <v>435</v>
      </c>
      <c r="DD145" s="1" t="s">
        <v>518</v>
      </c>
      <c r="DE145" s="1" t="s">
        <v>273</v>
      </c>
      <c r="DF145" s="1" t="s">
        <v>219</v>
      </c>
      <c r="DH145" s="1" t="s">
        <v>220</v>
      </c>
      <c r="DI145" s="1" t="s">
        <v>1003</v>
      </c>
      <c r="DJ145" s="1" t="s">
        <v>222</v>
      </c>
      <c r="DL145" s="1" t="s">
        <v>223</v>
      </c>
      <c r="DM145" s="1" t="s">
        <v>229</v>
      </c>
      <c r="DP145" s="1" t="s">
        <v>276</v>
      </c>
      <c r="DQ145" s="1" t="s">
        <v>228</v>
      </c>
      <c r="DR145" s="1" t="s">
        <v>229</v>
      </c>
      <c r="DU145" s="1" t="s">
        <v>1840</v>
      </c>
      <c r="DV145" s="1" t="s">
        <v>232</v>
      </c>
      <c r="DW145" s="1" t="s">
        <v>279</v>
      </c>
      <c r="DX145" s="1" t="s">
        <v>234</v>
      </c>
      <c r="DY145" s="1" t="s">
        <v>521</v>
      </c>
      <c r="EA145" s="1" t="s">
        <v>1027</v>
      </c>
      <c r="EC145" s="1" t="s">
        <v>237</v>
      </c>
      <c r="ED145" s="1" t="s">
        <v>555</v>
      </c>
      <c r="EM145" s="1" t="s">
        <v>238</v>
      </c>
      <c r="EQ145" s="1" t="s">
        <v>238</v>
      </c>
      <c r="EU145" s="1" t="s">
        <v>238</v>
      </c>
      <c r="EY145" s="1" t="s">
        <v>238</v>
      </c>
      <c r="FC145" s="1" t="s">
        <v>238</v>
      </c>
      <c r="FF145" s="1" t="s">
        <v>239</v>
      </c>
      <c r="FG145" s="1" t="s">
        <v>192</v>
      </c>
      <c r="FH145" s="1" t="s">
        <v>192</v>
      </c>
      <c r="FJ145" s="1" t="s">
        <v>2025</v>
      </c>
      <c r="FK145" s="1" t="s">
        <v>229</v>
      </c>
      <c r="FL145" s="1" t="s">
        <v>2382</v>
      </c>
      <c r="FM145" s="1">
        <v>23842.0</v>
      </c>
      <c r="FN145" s="1" t="s">
        <v>2383</v>
      </c>
      <c r="FO145" s="1" t="s">
        <v>2384</v>
      </c>
      <c r="FP145" s="1">
        <v>217273.0</v>
      </c>
      <c r="FQ145" s="1" t="s">
        <v>2385</v>
      </c>
      <c r="FU145" s="1" t="s">
        <v>1438</v>
      </c>
      <c r="FV145" s="1" t="s">
        <v>200</v>
      </c>
      <c r="FW145" s="1" t="s">
        <v>2795</v>
      </c>
      <c r="FZ145" s="1" t="s">
        <v>229</v>
      </c>
      <c r="GA145" s="1" t="s">
        <v>291</v>
      </c>
      <c r="GB145" s="2">
        <v>41992.0</v>
      </c>
      <c r="GC145" s="1" t="s">
        <v>2796</v>
      </c>
    </row>
    <row r="146">
      <c r="A146" s="1">
        <v>264000.0</v>
      </c>
      <c r="B146" s="1" t="s">
        <v>185</v>
      </c>
      <c r="C146" s="1" t="str">
        <f>"08765270"</f>
        <v>08765270</v>
      </c>
      <c r="D146" s="1" t="s">
        <v>186</v>
      </c>
      <c r="F146" s="1" t="str">
        <f>"560"</f>
        <v>560</v>
      </c>
      <c r="G146" s="2">
        <v>41942.0</v>
      </c>
      <c r="H146" s="1">
        <v>269000.0</v>
      </c>
      <c r="I146" s="1">
        <v>269.0</v>
      </c>
      <c r="J146" s="1">
        <v>269000.0</v>
      </c>
      <c r="K146" s="2">
        <v>42084.0</v>
      </c>
      <c r="L146" s="1">
        <v>143.0</v>
      </c>
      <c r="M146" s="2">
        <v>42084.0</v>
      </c>
      <c r="N146" s="1" t="s">
        <v>187</v>
      </c>
      <c r="O146" s="2">
        <v>42131.0</v>
      </c>
      <c r="P146" s="1">
        <v>242745.0</v>
      </c>
      <c r="Q146" s="1">
        <v>21324.0</v>
      </c>
      <c r="S146" s="1">
        <v>475.0</v>
      </c>
      <c r="T146" s="1" t="s">
        <v>2797</v>
      </c>
      <c r="U146" s="1" t="s">
        <v>189</v>
      </c>
      <c r="V146" s="1" t="s">
        <v>845</v>
      </c>
      <c r="W146" s="1">
        <v>60560.0</v>
      </c>
      <c r="Y146" s="1" t="s">
        <v>2798</v>
      </c>
      <c r="Z146" s="1">
        <v>2003.0</v>
      </c>
      <c r="AA146" s="1" t="s">
        <v>200</v>
      </c>
      <c r="AB146" s="1" t="s">
        <v>193</v>
      </c>
      <c r="AD146" s="1" t="s">
        <v>848</v>
      </c>
      <c r="AE146" s="1" t="s">
        <v>849</v>
      </c>
      <c r="AF146" s="1" t="s">
        <v>2153</v>
      </c>
      <c r="AH146" s="6">
        <v>14010.0</v>
      </c>
      <c r="AI146" s="1">
        <v>0.32</v>
      </c>
      <c r="AK146" s="1">
        <v>10.0</v>
      </c>
      <c r="AL146" s="1">
        <v>4.0</v>
      </c>
      <c r="AM146" s="1">
        <v>3.0</v>
      </c>
      <c r="AN146" s="1">
        <v>0.0</v>
      </c>
      <c r="AO146" s="1" t="s">
        <v>198</v>
      </c>
      <c r="AQ146" s="1" t="s">
        <v>198</v>
      </c>
      <c r="AR146" s="1" t="s">
        <v>192</v>
      </c>
      <c r="AS146" s="1" t="s">
        <v>199</v>
      </c>
      <c r="AT146" s="1">
        <v>2.5</v>
      </c>
      <c r="AV146" s="1" t="s">
        <v>192</v>
      </c>
      <c r="AW146" s="4">
        <v>7453.62</v>
      </c>
      <c r="AX146" s="1">
        <v>2013.0</v>
      </c>
      <c r="AY146" s="1" t="s">
        <v>387</v>
      </c>
      <c r="AZ146" s="1" t="s">
        <v>200</v>
      </c>
      <c r="BA146" s="1" t="str">
        <f>"0231463004"</f>
        <v>0231463004</v>
      </c>
      <c r="BB146" s="1" t="s">
        <v>200</v>
      </c>
      <c r="BC146" s="1">
        <v>2060.0</v>
      </c>
      <c r="BD146" s="1">
        <v>264000.0</v>
      </c>
      <c r="BE146" s="2">
        <v>41942.0</v>
      </c>
      <c r="BF146" s="2" t="s">
        <v>2799</v>
      </c>
      <c r="BH146" s="1">
        <v>240.0</v>
      </c>
      <c r="BK146" s="1" t="s">
        <v>580</v>
      </c>
      <c r="BL146" s="1" t="str">
        <f t="shared" ref="BL146:BM146" si="96">""</f>
        <v/>
      </c>
      <c r="BM146" s="1" t="str">
        <f t="shared" si="96"/>
        <v/>
      </c>
      <c r="BQ146" s="1">
        <v>115.0</v>
      </c>
      <c r="BR146" s="1">
        <v>115.0</v>
      </c>
      <c r="BS146" s="1">
        <v>115.0</v>
      </c>
      <c r="BU146" s="1" t="s">
        <v>2800</v>
      </c>
      <c r="BV146" s="1" t="s">
        <v>206</v>
      </c>
      <c r="BW146" s="1" t="s">
        <v>207</v>
      </c>
      <c r="BX146" s="1" t="s">
        <v>239</v>
      </c>
      <c r="BY146" s="1" t="s">
        <v>743</v>
      </c>
      <c r="BZ146" s="1" t="s">
        <v>206</v>
      </c>
      <c r="CA146" s="1" t="s">
        <v>207</v>
      </c>
      <c r="CB146" s="1" t="s">
        <v>239</v>
      </c>
      <c r="CC146" s="1" t="s">
        <v>264</v>
      </c>
      <c r="CD146" s="1" t="s">
        <v>206</v>
      </c>
      <c r="CE146" s="1" t="s">
        <v>207</v>
      </c>
      <c r="CF146" s="1" t="s">
        <v>239</v>
      </c>
      <c r="CG146" s="1" t="s">
        <v>495</v>
      </c>
      <c r="CH146" s="1" t="s">
        <v>206</v>
      </c>
      <c r="CI146" s="1" t="s">
        <v>207</v>
      </c>
      <c r="CJ146" s="1" t="s">
        <v>239</v>
      </c>
      <c r="CK146" s="1" t="s">
        <v>497</v>
      </c>
      <c r="CL146" s="1" t="s">
        <v>206</v>
      </c>
      <c r="CM146" s="1" t="s">
        <v>207</v>
      </c>
      <c r="CN146" s="1" t="s">
        <v>239</v>
      </c>
      <c r="CO146" s="1" t="s">
        <v>211</v>
      </c>
      <c r="CP146" s="1" t="s">
        <v>267</v>
      </c>
      <c r="CQ146" s="1" t="s">
        <v>210</v>
      </c>
      <c r="CR146" s="1" t="s">
        <v>239</v>
      </c>
      <c r="CS146" s="1" t="s">
        <v>814</v>
      </c>
      <c r="CT146" s="1" t="s">
        <v>206</v>
      </c>
      <c r="CU146" s="1" t="s">
        <v>207</v>
      </c>
      <c r="CV146" s="1" t="s">
        <v>239</v>
      </c>
      <c r="CX146" s="1" t="s">
        <v>204</v>
      </c>
      <c r="DA146" s="1" t="s">
        <v>200</v>
      </c>
      <c r="DC146" s="1" t="s">
        <v>335</v>
      </c>
      <c r="DD146" s="1" t="s">
        <v>396</v>
      </c>
      <c r="DE146" s="1" t="s">
        <v>273</v>
      </c>
      <c r="DF146" s="1" t="s">
        <v>219</v>
      </c>
      <c r="DH146" s="1" t="s">
        <v>220</v>
      </c>
      <c r="DI146" s="1" t="s">
        <v>221</v>
      </c>
      <c r="DJ146" s="1" t="s">
        <v>222</v>
      </c>
      <c r="DL146" s="1" t="s">
        <v>224</v>
      </c>
      <c r="DM146" s="1" t="s">
        <v>229</v>
      </c>
      <c r="DO146" s="1" t="s">
        <v>2801</v>
      </c>
      <c r="DP146" s="1" t="s">
        <v>340</v>
      </c>
      <c r="DQ146" s="1" t="s">
        <v>441</v>
      </c>
      <c r="DR146" s="1" t="s">
        <v>229</v>
      </c>
      <c r="DV146" s="1" t="s">
        <v>2802</v>
      </c>
      <c r="DW146" s="1" t="s">
        <v>233</v>
      </c>
      <c r="DX146" s="1" t="s">
        <v>234</v>
      </c>
      <c r="DY146" s="1" t="s">
        <v>2803</v>
      </c>
      <c r="EA146" s="1" t="s">
        <v>683</v>
      </c>
      <c r="EC146" s="1" t="s">
        <v>685</v>
      </c>
      <c r="ED146" s="1" t="s">
        <v>407</v>
      </c>
      <c r="EE146" s="1" t="s">
        <v>493</v>
      </c>
      <c r="EG146" s="1" t="s">
        <v>449</v>
      </c>
      <c r="EH146" s="1" t="s">
        <v>450</v>
      </c>
      <c r="EI146" s="1" t="s">
        <v>2023</v>
      </c>
      <c r="EL146" s="1" t="s">
        <v>1119</v>
      </c>
      <c r="EM146" s="1" t="s">
        <v>206</v>
      </c>
      <c r="EN146" s="1" t="s">
        <v>207</v>
      </c>
      <c r="EO146" s="1" t="s">
        <v>239</v>
      </c>
      <c r="EP146" s="1" t="s">
        <v>2804</v>
      </c>
      <c r="EQ146" s="1" t="s">
        <v>267</v>
      </c>
      <c r="ER146" s="1" t="s">
        <v>210</v>
      </c>
      <c r="ES146" s="1" t="s">
        <v>239</v>
      </c>
      <c r="ET146" s="1" t="s">
        <v>454</v>
      </c>
      <c r="EU146" s="1" t="s">
        <v>267</v>
      </c>
      <c r="EV146" s="1" t="s">
        <v>210</v>
      </c>
      <c r="EW146" s="1" t="s">
        <v>229</v>
      </c>
      <c r="EY146" s="1" t="s">
        <v>238</v>
      </c>
      <c r="FC146" s="1" t="s">
        <v>238</v>
      </c>
      <c r="FF146" s="1" t="s">
        <v>239</v>
      </c>
      <c r="FG146" s="1" t="s">
        <v>192</v>
      </c>
      <c r="FH146" s="1" t="s">
        <v>192</v>
      </c>
      <c r="FJ146" s="1" t="s">
        <v>2805</v>
      </c>
      <c r="FK146" s="1" t="s">
        <v>348</v>
      </c>
      <c r="FL146" s="1" t="s">
        <v>2806</v>
      </c>
      <c r="FM146" s="1">
        <v>24745.0</v>
      </c>
      <c r="FN146" s="1" t="s">
        <v>2807</v>
      </c>
      <c r="FO146" s="1" t="s">
        <v>2806</v>
      </c>
      <c r="FP146" s="1">
        <v>229989.0</v>
      </c>
      <c r="FQ146" s="1" t="s">
        <v>2807</v>
      </c>
      <c r="FS146" s="1" t="s">
        <v>2808</v>
      </c>
      <c r="FT146" s="1" t="s">
        <v>2809</v>
      </c>
      <c r="FU146" s="1" t="s">
        <v>2810</v>
      </c>
      <c r="FV146" s="1" t="s">
        <v>200</v>
      </c>
      <c r="FW146" s="1" t="s">
        <v>290</v>
      </c>
      <c r="FZ146" s="1" t="s">
        <v>229</v>
      </c>
      <c r="GA146" s="1" t="s">
        <v>247</v>
      </c>
      <c r="GB146" s="2">
        <v>42132.0</v>
      </c>
    </row>
    <row r="147">
      <c r="A147" s="1">
        <v>319000.0</v>
      </c>
      <c r="B147" s="1" t="s">
        <v>185</v>
      </c>
      <c r="C147" s="1" t="str">
        <f>"08764778"</f>
        <v>08764778</v>
      </c>
      <c r="D147" s="1" t="s">
        <v>186</v>
      </c>
      <c r="F147" s="1" t="str">
        <f>"543"</f>
        <v>543</v>
      </c>
      <c r="G147" s="2">
        <v>41942.0</v>
      </c>
      <c r="H147" s="1">
        <v>319000.0</v>
      </c>
      <c r="I147" s="1">
        <v>11.0</v>
      </c>
      <c r="J147" s="1">
        <v>319000.0</v>
      </c>
      <c r="K147" s="2">
        <v>41952.0</v>
      </c>
      <c r="L147" s="1">
        <v>11.0</v>
      </c>
      <c r="M147" s="2">
        <v>41952.0</v>
      </c>
      <c r="N147" s="1" t="s">
        <v>187</v>
      </c>
      <c r="O147" s="2">
        <v>41989.0</v>
      </c>
      <c r="P147" s="1">
        <v>242701.0</v>
      </c>
      <c r="Q147" s="1">
        <v>23156.0</v>
      </c>
      <c r="R147" s="1">
        <v>3750.0</v>
      </c>
      <c r="S147" s="1">
        <v>103.0</v>
      </c>
      <c r="T147" s="1" t="s">
        <v>2811</v>
      </c>
      <c r="U147" s="1" t="s">
        <v>420</v>
      </c>
      <c r="V147" s="1" t="s">
        <v>1527</v>
      </c>
      <c r="W147" s="1">
        <v>60543.0</v>
      </c>
      <c r="Y147" s="1" t="s">
        <v>2812</v>
      </c>
      <c r="Z147" s="1">
        <v>2002.0</v>
      </c>
      <c r="AA147" s="1" t="s">
        <v>200</v>
      </c>
      <c r="AB147" s="1" t="s">
        <v>193</v>
      </c>
      <c r="AD147" s="1" t="s">
        <v>1529</v>
      </c>
      <c r="AE147" s="1" t="s">
        <v>849</v>
      </c>
      <c r="AF147" s="1" t="s">
        <v>1529</v>
      </c>
      <c r="AH147" s="1" t="s">
        <v>2813</v>
      </c>
      <c r="AI147" s="1">
        <v>0.2828</v>
      </c>
      <c r="AK147" s="1">
        <v>9.0</v>
      </c>
      <c r="AL147" s="1">
        <v>4.0</v>
      </c>
      <c r="AM147" s="1">
        <v>3.0</v>
      </c>
      <c r="AN147" s="1">
        <v>1.0</v>
      </c>
      <c r="AO147" s="1" t="s">
        <v>198</v>
      </c>
      <c r="AP147" s="1">
        <v>1.0</v>
      </c>
      <c r="AQ147" s="1" t="s">
        <v>198</v>
      </c>
      <c r="AR147" s="1" t="s">
        <v>192</v>
      </c>
      <c r="AS147" s="1" t="s">
        <v>199</v>
      </c>
      <c r="AT147" s="1">
        <v>3.0</v>
      </c>
      <c r="AV147" s="1" t="s">
        <v>200</v>
      </c>
      <c r="AW147" s="1">
        <v>10041.46</v>
      </c>
      <c r="AX147" s="1">
        <v>2012.0</v>
      </c>
      <c r="AZ147" s="1" t="s">
        <v>200</v>
      </c>
      <c r="BA147" s="1" t="str">
        <f>"0329110006"</f>
        <v>0329110006</v>
      </c>
      <c r="BC147" s="1">
        <v>3000.0</v>
      </c>
      <c r="BD147" s="1">
        <v>319000.0</v>
      </c>
      <c r="BE147" s="2">
        <v>41942.0</v>
      </c>
      <c r="BF147" s="2" t="s">
        <v>2814</v>
      </c>
      <c r="BG147" s="1" t="s">
        <v>1532</v>
      </c>
      <c r="BH147" s="1">
        <v>0.0</v>
      </c>
      <c r="BI147" s="1" t="s">
        <v>1533</v>
      </c>
      <c r="BJ147" s="1" t="s">
        <v>1349</v>
      </c>
      <c r="BK147" s="1" t="s">
        <v>204</v>
      </c>
      <c r="BL147" s="1" t="str">
        <f t="shared" ref="BL147:BM147" si="97">""</f>
        <v/>
      </c>
      <c r="BM147" s="1" t="str">
        <f t="shared" si="97"/>
        <v/>
      </c>
      <c r="BQ147" s="1">
        <v>308.0</v>
      </c>
      <c r="BR147" s="1">
        <v>308.0</v>
      </c>
      <c r="BS147" s="1">
        <v>308.0</v>
      </c>
      <c r="BU147" s="1" t="s">
        <v>215</v>
      </c>
      <c r="BV147" s="1" t="s">
        <v>206</v>
      </c>
      <c r="BW147" s="1" t="s">
        <v>210</v>
      </c>
      <c r="BY147" s="1" t="s">
        <v>333</v>
      </c>
      <c r="BZ147" s="1" t="s">
        <v>209</v>
      </c>
      <c r="CA147" s="1" t="s">
        <v>210</v>
      </c>
      <c r="CC147" s="1" t="s">
        <v>392</v>
      </c>
      <c r="CD147" s="1" t="s">
        <v>206</v>
      </c>
      <c r="CE147" s="1" t="s">
        <v>207</v>
      </c>
      <c r="CG147" s="1" t="s">
        <v>392</v>
      </c>
      <c r="CH147" s="1" t="s">
        <v>209</v>
      </c>
      <c r="CI147" s="1" t="s">
        <v>210</v>
      </c>
      <c r="CK147" s="1" t="s">
        <v>363</v>
      </c>
      <c r="CL147" s="1" t="s">
        <v>209</v>
      </c>
      <c r="CM147" s="1" t="s">
        <v>210</v>
      </c>
      <c r="CO147" s="1" t="s">
        <v>212</v>
      </c>
      <c r="CP147" s="1" t="s">
        <v>209</v>
      </c>
      <c r="CQ147" s="1" t="s">
        <v>210</v>
      </c>
      <c r="CS147" s="1" t="s">
        <v>215</v>
      </c>
      <c r="CT147" s="1" t="s">
        <v>206</v>
      </c>
      <c r="CU147" s="1" t="s">
        <v>207</v>
      </c>
      <c r="CW147" s="1" t="s">
        <v>769</v>
      </c>
      <c r="CX147" s="1" t="s">
        <v>206</v>
      </c>
      <c r="CY147" s="1" t="s">
        <v>210</v>
      </c>
      <c r="DA147" s="1" t="s">
        <v>200</v>
      </c>
      <c r="DC147" s="1" t="s">
        <v>335</v>
      </c>
      <c r="DE147" s="1" t="s">
        <v>273</v>
      </c>
      <c r="DF147" s="1" t="s">
        <v>219</v>
      </c>
      <c r="DH147" s="1" t="s">
        <v>220</v>
      </c>
      <c r="DI147" s="1" t="s">
        <v>519</v>
      </c>
      <c r="DJ147" s="1" t="s">
        <v>222</v>
      </c>
      <c r="DL147" s="1" t="s">
        <v>858</v>
      </c>
      <c r="DM147" s="1" t="s">
        <v>338</v>
      </c>
      <c r="DN147" s="1" t="s">
        <v>666</v>
      </c>
      <c r="DQ147" s="1" t="s">
        <v>228</v>
      </c>
      <c r="DR147" s="1" t="s">
        <v>229</v>
      </c>
      <c r="DV147" s="1" t="s">
        <v>449</v>
      </c>
      <c r="DW147" s="1" t="s">
        <v>444</v>
      </c>
      <c r="DX147" s="1" t="s">
        <v>309</v>
      </c>
      <c r="DY147" s="1" t="s">
        <v>704</v>
      </c>
      <c r="EC147" s="1" t="s">
        <v>237</v>
      </c>
      <c r="EG147" s="1" t="s">
        <v>449</v>
      </c>
      <c r="EL147" s="1" t="s">
        <v>215</v>
      </c>
      <c r="EM147" s="1" t="s">
        <v>206</v>
      </c>
      <c r="EN147" s="1" t="s">
        <v>207</v>
      </c>
      <c r="EQ147" s="1" t="s">
        <v>238</v>
      </c>
      <c r="EU147" s="1" t="s">
        <v>238</v>
      </c>
      <c r="EY147" s="1" t="s">
        <v>238</v>
      </c>
      <c r="FC147" s="1" t="s">
        <v>238</v>
      </c>
      <c r="FF147" s="1" t="s">
        <v>239</v>
      </c>
      <c r="FG147" s="1" t="s">
        <v>192</v>
      </c>
      <c r="FH147" s="1" t="s">
        <v>192</v>
      </c>
      <c r="FJ147" s="1" t="s">
        <v>498</v>
      </c>
      <c r="FK147" s="1" t="s">
        <v>229</v>
      </c>
      <c r="FL147" s="1" t="s">
        <v>2815</v>
      </c>
      <c r="FM147" s="1">
        <v>12235.0</v>
      </c>
      <c r="FN147" s="1" t="s">
        <v>2816</v>
      </c>
      <c r="FO147" s="1" t="s">
        <v>2817</v>
      </c>
      <c r="FP147" s="1">
        <v>121649.0</v>
      </c>
      <c r="FQ147" s="1" t="s">
        <v>2818</v>
      </c>
      <c r="FU147" s="1" t="s">
        <v>2819</v>
      </c>
      <c r="FV147" s="1" t="s">
        <v>200</v>
      </c>
      <c r="FW147" s="1" t="s">
        <v>2820</v>
      </c>
      <c r="FZ147" s="1" t="s">
        <v>229</v>
      </c>
      <c r="GA147" s="1" t="s">
        <v>291</v>
      </c>
      <c r="GB147" s="2">
        <v>41991.0</v>
      </c>
      <c r="GC147" s="1" t="s">
        <v>2821</v>
      </c>
    </row>
    <row r="148">
      <c r="A148" s="1">
        <v>110000.0</v>
      </c>
      <c r="B148" s="1" t="s">
        <v>185</v>
      </c>
      <c r="C148" s="1" t="str">
        <f>"08766826"</f>
        <v>08766826</v>
      </c>
      <c r="D148" s="1" t="s">
        <v>186</v>
      </c>
      <c r="F148" s="1" t="str">
        <f>"8065"</f>
        <v>8065</v>
      </c>
      <c r="G148" s="2">
        <v>41944.0</v>
      </c>
      <c r="H148" s="1">
        <v>104900.0</v>
      </c>
      <c r="I148" s="1">
        <v>98.0</v>
      </c>
      <c r="J148" s="1">
        <v>104900.0</v>
      </c>
      <c r="K148" s="2">
        <v>42041.0</v>
      </c>
      <c r="L148" s="1">
        <v>98.0</v>
      </c>
      <c r="M148" s="2">
        <v>42041.0</v>
      </c>
      <c r="N148" s="1" t="s">
        <v>249</v>
      </c>
      <c r="O148" s="2">
        <v>42060.0</v>
      </c>
      <c r="P148" s="1">
        <v>133712.0</v>
      </c>
      <c r="Q148" s="1">
        <v>13691.0</v>
      </c>
      <c r="S148" s="1">
        <v>3801.0</v>
      </c>
      <c r="T148" s="1" t="s">
        <v>2822</v>
      </c>
      <c r="U148" s="1" t="s">
        <v>694</v>
      </c>
      <c r="V148" s="1" t="s">
        <v>190</v>
      </c>
      <c r="W148" s="1">
        <v>60629.0</v>
      </c>
      <c r="Y148" s="1" t="s">
        <v>2823</v>
      </c>
      <c r="Z148" s="1">
        <v>1951.0</v>
      </c>
      <c r="AA148" s="1" t="s">
        <v>192</v>
      </c>
      <c r="AB148" s="1" t="s">
        <v>193</v>
      </c>
      <c r="AD148" s="1" t="s">
        <v>194</v>
      </c>
      <c r="AE148" s="1" t="s">
        <v>195</v>
      </c>
      <c r="AF148" s="1" t="s">
        <v>659</v>
      </c>
      <c r="AH148" s="1" t="s">
        <v>2824</v>
      </c>
      <c r="AI148" s="1">
        <v>0.1067</v>
      </c>
      <c r="AK148" s="1">
        <v>6.0</v>
      </c>
      <c r="AL148" s="1">
        <v>4.0</v>
      </c>
      <c r="AM148" s="1">
        <v>2.0</v>
      </c>
      <c r="AN148" s="1">
        <v>1.0</v>
      </c>
      <c r="AO148" s="1" t="s">
        <v>229</v>
      </c>
      <c r="AQ148" s="1" t="s">
        <v>198</v>
      </c>
      <c r="AR148" s="1" t="s">
        <v>192</v>
      </c>
      <c r="AS148" s="1" t="s">
        <v>199</v>
      </c>
      <c r="AT148" s="1">
        <v>2.0</v>
      </c>
      <c r="AV148" s="1" t="s">
        <v>200</v>
      </c>
      <c r="AW148" s="1">
        <v>2091.6</v>
      </c>
      <c r="AX148" s="1">
        <v>2012.0</v>
      </c>
      <c r="AY148" s="1" t="s">
        <v>387</v>
      </c>
      <c r="AZ148" s="1" t="s">
        <v>545</v>
      </c>
      <c r="BA148" s="1" t="str">
        <f>"19233130180000"</f>
        <v>19233130180000</v>
      </c>
      <c r="BC148" s="1">
        <v>0.0</v>
      </c>
      <c r="BD148" s="1">
        <v>110000.0</v>
      </c>
      <c r="BE148" s="2">
        <v>41944.0</v>
      </c>
      <c r="BF148" s="1" t="s">
        <v>2825</v>
      </c>
      <c r="BH148" s="1">
        <v>0.0</v>
      </c>
      <c r="BK148" s="1" t="s">
        <v>204</v>
      </c>
      <c r="BL148" s="1" t="str">
        <f t="shared" ref="BL148:BM148" si="98">"0"</f>
        <v>0</v>
      </c>
      <c r="BM148" s="1" t="str">
        <f t="shared" si="98"/>
        <v>0</v>
      </c>
      <c r="BN148" s="1">
        <v>3801.0</v>
      </c>
      <c r="BO148" s="1">
        <v>6800.0</v>
      </c>
      <c r="BQ148" s="1">
        <v>299.0</v>
      </c>
      <c r="BR148" s="1">
        <v>299.0</v>
      </c>
      <c r="BS148" s="1">
        <v>299.0</v>
      </c>
      <c r="BU148" s="1" t="s">
        <v>664</v>
      </c>
      <c r="BV148" s="1" t="s">
        <v>206</v>
      </c>
      <c r="BY148" s="1" t="s">
        <v>782</v>
      </c>
      <c r="BZ148" s="1" t="s">
        <v>209</v>
      </c>
      <c r="CD148" s="1" t="s">
        <v>204</v>
      </c>
      <c r="CG148" s="1" t="s">
        <v>782</v>
      </c>
      <c r="CH148" s="1" t="s">
        <v>209</v>
      </c>
      <c r="CK148" s="1" t="s">
        <v>363</v>
      </c>
      <c r="CL148" s="1" t="s">
        <v>206</v>
      </c>
      <c r="CO148" s="1" t="s">
        <v>212</v>
      </c>
      <c r="CP148" s="1" t="s">
        <v>206</v>
      </c>
      <c r="CS148" s="1" t="s">
        <v>211</v>
      </c>
      <c r="CT148" s="1" t="s">
        <v>206</v>
      </c>
      <c r="CX148" s="1" t="s">
        <v>204</v>
      </c>
      <c r="DA148" s="1" t="s">
        <v>200</v>
      </c>
      <c r="DC148" s="1" t="s">
        <v>702</v>
      </c>
      <c r="DE148" s="1" t="s">
        <v>273</v>
      </c>
      <c r="DF148" s="1" t="s">
        <v>619</v>
      </c>
      <c r="DH148" s="1" t="s">
        <v>365</v>
      </c>
      <c r="DJ148" s="1" t="s">
        <v>222</v>
      </c>
      <c r="DL148" s="1" t="s">
        <v>858</v>
      </c>
      <c r="DM148" s="1" t="s">
        <v>229</v>
      </c>
      <c r="DQ148" s="1" t="s">
        <v>228</v>
      </c>
      <c r="DR148" s="1" t="s">
        <v>229</v>
      </c>
      <c r="DV148" s="1" t="s">
        <v>374</v>
      </c>
      <c r="DW148" s="1" t="s">
        <v>489</v>
      </c>
      <c r="DX148" s="1" t="s">
        <v>234</v>
      </c>
      <c r="EC148" s="1" t="s">
        <v>645</v>
      </c>
      <c r="EG148" s="1" t="s">
        <v>374</v>
      </c>
      <c r="EL148" s="1" t="s">
        <v>262</v>
      </c>
      <c r="EM148" s="1" t="s">
        <v>206</v>
      </c>
      <c r="EQ148" s="1" t="s">
        <v>238</v>
      </c>
      <c r="EU148" s="1" t="s">
        <v>238</v>
      </c>
      <c r="EY148" s="1" t="s">
        <v>238</v>
      </c>
      <c r="FC148" s="1" t="s">
        <v>238</v>
      </c>
      <c r="FF148" s="1" t="s">
        <v>239</v>
      </c>
      <c r="FG148" s="1" t="s">
        <v>192</v>
      </c>
      <c r="FH148" s="1" t="s">
        <v>192</v>
      </c>
      <c r="FJ148" s="1" t="s">
        <v>1248</v>
      </c>
      <c r="FK148" s="1" t="s">
        <v>229</v>
      </c>
      <c r="FL148" s="1" t="s">
        <v>2826</v>
      </c>
      <c r="FM148" s="1">
        <v>40290.0</v>
      </c>
      <c r="FN148" s="1" t="s">
        <v>2827</v>
      </c>
      <c r="FO148" s="1" t="s">
        <v>2828</v>
      </c>
      <c r="FP148" s="1">
        <v>406061.0</v>
      </c>
      <c r="FQ148" s="1" t="s">
        <v>2829</v>
      </c>
      <c r="FU148" s="1" t="s">
        <v>2830</v>
      </c>
      <c r="FV148" s="1" t="s">
        <v>200</v>
      </c>
      <c r="FW148" s="1" t="s">
        <v>354</v>
      </c>
      <c r="FX148" s="1" t="s">
        <v>246</v>
      </c>
      <c r="FZ148" s="1" t="s">
        <v>229</v>
      </c>
      <c r="GA148" s="1" t="s">
        <v>291</v>
      </c>
      <c r="GB148" s="2">
        <v>42060.0</v>
      </c>
      <c r="GC148" s="1" t="s">
        <v>2831</v>
      </c>
    </row>
    <row r="149">
      <c r="A149" s="1">
        <v>495000.0</v>
      </c>
      <c r="B149" s="1" t="s">
        <v>185</v>
      </c>
      <c r="C149" s="1" t="str">
        <f>"08766525"</f>
        <v>08766525</v>
      </c>
      <c r="D149" s="1" t="s">
        <v>186</v>
      </c>
      <c r="F149" s="1" t="str">
        <f>"174"</f>
        <v>174</v>
      </c>
      <c r="G149" s="2">
        <v>41944.0</v>
      </c>
      <c r="H149" s="1">
        <v>550000.0</v>
      </c>
      <c r="I149" s="1">
        <v>148.0</v>
      </c>
      <c r="J149" s="1">
        <v>499900.0</v>
      </c>
      <c r="K149" s="2">
        <v>42091.0</v>
      </c>
      <c r="L149" s="1">
        <v>148.0</v>
      </c>
      <c r="M149" s="2">
        <v>42091.0</v>
      </c>
      <c r="N149" s="1" t="s">
        <v>187</v>
      </c>
      <c r="O149" s="2">
        <v>42135.0</v>
      </c>
      <c r="P149" s="1">
        <v>230482.0</v>
      </c>
      <c r="Q149" s="1">
        <v>23591.0</v>
      </c>
      <c r="S149" s="1" t="s">
        <v>2832</v>
      </c>
      <c r="T149" s="1" t="s">
        <v>2589</v>
      </c>
      <c r="U149" s="1" t="s">
        <v>569</v>
      </c>
      <c r="V149" s="1" t="s">
        <v>1200</v>
      </c>
      <c r="W149" s="1">
        <v>60175.0</v>
      </c>
      <c r="Y149" s="1" t="s">
        <v>2833</v>
      </c>
      <c r="Z149" s="1">
        <v>2003.0</v>
      </c>
      <c r="AA149" s="1" t="s">
        <v>200</v>
      </c>
      <c r="AB149" s="1" t="s">
        <v>467</v>
      </c>
      <c r="AC149" s="1" t="s">
        <v>2834</v>
      </c>
      <c r="AD149" s="1" t="s">
        <v>1089</v>
      </c>
      <c r="AE149" s="1" t="s">
        <v>325</v>
      </c>
      <c r="AF149" s="1" t="s">
        <v>1203</v>
      </c>
      <c r="AH149" s="1" t="s">
        <v>2835</v>
      </c>
      <c r="AI149" s="1">
        <v>1.29</v>
      </c>
      <c r="AK149" s="1">
        <v>10.0</v>
      </c>
      <c r="AL149" s="1">
        <v>4.0</v>
      </c>
      <c r="AM149" s="1">
        <v>5.0</v>
      </c>
      <c r="AN149" s="1">
        <v>1.0</v>
      </c>
      <c r="AO149" s="1" t="s">
        <v>198</v>
      </c>
      <c r="AP149" s="1">
        <v>3.0</v>
      </c>
      <c r="AQ149" s="1" t="s">
        <v>198</v>
      </c>
      <c r="AR149" s="1" t="s">
        <v>192</v>
      </c>
      <c r="AS149" s="1" t="s">
        <v>199</v>
      </c>
      <c r="AT149" s="1">
        <v>3.0</v>
      </c>
      <c r="AV149" s="1" t="s">
        <v>200</v>
      </c>
      <c r="AW149" s="1">
        <v>16500.0</v>
      </c>
      <c r="AX149" s="1">
        <v>2013.0</v>
      </c>
      <c r="AY149" s="1" t="s">
        <v>387</v>
      </c>
      <c r="AZ149" s="1" t="s">
        <v>200</v>
      </c>
      <c r="BA149" s="1" t="str">
        <f>"0904301003"</f>
        <v>0904301003</v>
      </c>
      <c r="BB149" s="1" t="s">
        <v>200</v>
      </c>
      <c r="BC149" s="1">
        <v>3783.0</v>
      </c>
      <c r="BD149" s="1">
        <v>495000.0</v>
      </c>
      <c r="BE149" s="2">
        <v>41944.0</v>
      </c>
      <c r="BF149" s="2" t="s">
        <v>2836</v>
      </c>
      <c r="BH149" s="1">
        <v>1000.0</v>
      </c>
      <c r="BJ149" s="1" t="s">
        <v>2200</v>
      </c>
      <c r="BK149" s="1" t="s">
        <v>580</v>
      </c>
      <c r="BL149" s="1" t="str">
        <f>"7"</f>
        <v>7</v>
      </c>
      <c r="BM149" s="1" t="str">
        <f>"0"</f>
        <v>0</v>
      </c>
      <c r="BN149" s="1">
        <v>36.0</v>
      </c>
      <c r="BO149" s="1">
        <v>0.0</v>
      </c>
      <c r="BQ149" s="1">
        <v>303.0</v>
      </c>
      <c r="BR149" s="1">
        <v>303.0</v>
      </c>
      <c r="BS149" s="1">
        <v>303.0</v>
      </c>
      <c r="BU149" s="1" t="s">
        <v>758</v>
      </c>
      <c r="BV149" s="1" t="s">
        <v>206</v>
      </c>
      <c r="BW149" s="1" t="s">
        <v>207</v>
      </c>
      <c r="BY149" s="1" t="s">
        <v>639</v>
      </c>
      <c r="BZ149" s="1" t="s">
        <v>209</v>
      </c>
      <c r="CA149" s="1" t="s">
        <v>210</v>
      </c>
      <c r="CC149" s="1" t="s">
        <v>454</v>
      </c>
      <c r="CD149" s="1" t="s">
        <v>206</v>
      </c>
      <c r="CE149" s="1" t="s">
        <v>207</v>
      </c>
      <c r="CG149" s="1" t="s">
        <v>390</v>
      </c>
      <c r="CH149" s="1" t="s">
        <v>209</v>
      </c>
      <c r="CI149" s="1" t="s">
        <v>210</v>
      </c>
      <c r="CK149" s="1" t="s">
        <v>213</v>
      </c>
      <c r="CL149" s="1" t="s">
        <v>209</v>
      </c>
      <c r="CM149" s="1" t="s">
        <v>210</v>
      </c>
      <c r="CO149" s="1" t="s">
        <v>454</v>
      </c>
      <c r="CP149" s="1" t="s">
        <v>209</v>
      </c>
      <c r="CQ149" s="1" t="s">
        <v>210</v>
      </c>
      <c r="CS149" s="1" t="s">
        <v>769</v>
      </c>
      <c r="CT149" s="1" t="s">
        <v>206</v>
      </c>
      <c r="CU149" s="1" t="s">
        <v>207</v>
      </c>
      <c r="CW149" s="1" t="s">
        <v>1623</v>
      </c>
      <c r="CX149" s="1" t="s">
        <v>206</v>
      </c>
      <c r="CY149" s="1" t="s">
        <v>207</v>
      </c>
      <c r="DA149" s="1" t="s">
        <v>200</v>
      </c>
      <c r="DC149" s="1" t="s">
        <v>335</v>
      </c>
      <c r="DD149" s="1" t="s">
        <v>436</v>
      </c>
      <c r="DE149" s="1" t="s">
        <v>273</v>
      </c>
      <c r="DF149" s="1" t="s">
        <v>219</v>
      </c>
      <c r="DG149" s="1" t="s">
        <v>1553</v>
      </c>
      <c r="DH149" s="1" t="s">
        <v>1603</v>
      </c>
      <c r="DI149" s="1" t="s">
        <v>2837</v>
      </c>
      <c r="DJ149" s="1" t="s">
        <v>222</v>
      </c>
      <c r="DK149" s="1" t="s">
        <v>198</v>
      </c>
      <c r="DL149" s="1" t="s">
        <v>224</v>
      </c>
      <c r="DM149" s="1" t="s">
        <v>338</v>
      </c>
      <c r="DN149" s="1" t="s">
        <v>399</v>
      </c>
      <c r="DO149" s="1" t="s">
        <v>2838</v>
      </c>
      <c r="DP149" s="1" t="s">
        <v>340</v>
      </c>
      <c r="DQ149" s="1" t="s">
        <v>931</v>
      </c>
      <c r="DR149" s="1" t="s">
        <v>1487</v>
      </c>
      <c r="DS149" s="1" t="s">
        <v>230</v>
      </c>
      <c r="DU149" s="1" t="s">
        <v>2839</v>
      </c>
      <c r="DV149" s="1" t="s">
        <v>2840</v>
      </c>
      <c r="DW149" s="1" t="s">
        <v>764</v>
      </c>
      <c r="DX149" s="1" t="s">
        <v>234</v>
      </c>
      <c r="DY149" s="1" t="s">
        <v>2841</v>
      </c>
      <c r="DZ149" s="1" t="s">
        <v>310</v>
      </c>
      <c r="EA149" s="1" t="s">
        <v>344</v>
      </c>
      <c r="EB149" s="1" t="s">
        <v>767</v>
      </c>
      <c r="EC149" s="1" t="s">
        <v>237</v>
      </c>
      <c r="ED149" s="1" t="s">
        <v>407</v>
      </c>
      <c r="EG149" s="1" t="s">
        <v>494</v>
      </c>
      <c r="EH149" s="1" t="s">
        <v>450</v>
      </c>
      <c r="EI149" s="1" t="s">
        <v>408</v>
      </c>
      <c r="EL149" s="1" t="s">
        <v>758</v>
      </c>
      <c r="EM149" s="1" t="s">
        <v>206</v>
      </c>
      <c r="EN149" s="1" t="s">
        <v>207</v>
      </c>
      <c r="EP149" s="1" t="s">
        <v>2842</v>
      </c>
      <c r="EQ149" s="1" t="s">
        <v>42</v>
      </c>
      <c r="ER149" s="1" t="s">
        <v>210</v>
      </c>
      <c r="ET149" s="1" t="s">
        <v>212</v>
      </c>
      <c r="EU149" s="1" t="s">
        <v>206</v>
      </c>
      <c r="EV149" s="1" t="s">
        <v>207</v>
      </c>
      <c r="EY149" s="1" t="s">
        <v>238</v>
      </c>
      <c r="FC149" s="1" t="s">
        <v>238</v>
      </c>
      <c r="FF149" s="1" t="s">
        <v>239</v>
      </c>
      <c r="FG149" s="1" t="s">
        <v>192</v>
      </c>
      <c r="FH149" s="1" t="s">
        <v>192</v>
      </c>
      <c r="FJ149" s="1" t="s">
        <v>498</v>
      </c>
      <c r="FK149" s="1" t="s">
        <v>229</v>
      </c>
      <c r="FL149" s="1" t="s">
        <v>1358</v>
      </c>
      <c r="FM149" s="1">
        <v>23591.0</v>
      </c>
      <c r="FN149" s="1" t="s">
        <v>2134</v>
      </c>
      <c r="FO149" s="1" t="s">
        <v>2843</v>
      </c>
      <c r="FP149" s="1">
        <v>230482.0</v>
      </c>
      <c r="FQ149" s="1" t="s">
        <v>2844</v>
      </c>
      <c r="FU149" s="1" t="s">
        <v>2845</v>
      </c>
      <c r="FV149" s="1" t="s">
        <v>200</v>
      </c>
      <c r="FW149" s="1" t="s">
        <v>530</v>
      </c>
      <c r="FZ149" s="1" t="s">
        <v>229</v>
      </c>
      <c r="GA149" s="1" t="s">
        <v>291</v>
      </c>
      <c r="GB149" s="2">
        <v>42135.0</v>
      </c>
      <c r="GC149" s="1" t="s">
        <v>2846</v>
      </c>
    </row>
    <row r="150">
      <c r="A150" s="1">
        <v>158000.0</v>
      </c>
      <c r="B150" s="1" t="s">
        <v>185</v>
      </c>
      <c r="C150" s="1" t="str">
        <f>"08765794"</f>
        <v>08765794</v>
      </c>
      <c r="D150" s="1" t="s">
        <v>186</v>
      </c>
      <c r="F150" s="1" t="str">
        <f>"8066"</f>
        <v>8066</v>
      </c>
      <c r="G150" s="2">
        <v>41943.0</v>
      </c>
      <c r="H150" s="1">
        <v>167900.0</v>
      </c>
      <c r="I150" s="1">
        <v>170.0</v>
      </c>
      <c r="J150" s="1">
        <v>167900.0</v>
      </c>
      <c r="K150" s="2">
        <v>41943.0</v>
      </c>
      <c r="L150" s="1">
        <v>1.0</v>
      </c>
      <c r="M150" s="2">
        <v>41943.0</v>
      </c>
      <c r="N150" s="1" t="s">
        <v>356</v>
      </c>
      <c r="O150" s="2">
        <v>41992.0</v>
      </c>
      <c r="P150" s="1">
        <v>189073.0</v>
      </c>
      <c r="Q150" s="1">
        <v>12174.0</v>
      </c>
      <c r="S150" s="1">
        <v>7222.0</v>
      </c>
      <c r="T150" s="1" t="s">
        <v>1513</v>
      </c>
      <c r="U150" s="1" t="s">
        <v>189</v>
      </c>
      <c r="V150" s="1" t="s">
        <v>190</v>
      </c>
      <c r="W150" s="1">
        <v>60629.0</v>
      </c>
      <c r="Y150" s="1" t="s">
        <v>2847</v>
      </c>
      <c r="Z150" s="1">
        <v>1946.0</v>
      </c>
      <c r="AA150" s="1" t="s">
        <v>192</v>
      </c>
      <c r="AB150" s="1" t="s">
        <v>193</v>
      </c>
      <c r="AD150" s="1" t="s">
        <v>194</v>
      </c>
      <c r="AE150" s="1" t="s">
        <v>195</v>
      </c>
      <c r="AF150" s="1" t="s">
        <v>659</v>
      </c>
      <c r="AH150" s="1">
        <v>3780.0</v>
      </c>
      <c r="AI150" s="1">
        <v>0.0868</v>
      </c>
      <c r="AK150" s="1">
        <v>8.0</v>
      </c>
      <c r="AL150" s="1">
        <v>4.0</v>
      </c>
      <c r="AM150" s="1">
        <v>3.0</v>
      </c>
      <c r="AN150" s="1">
        <v>0.0</v>
      </c>
      <c r="AO150" s="1" t="s">
        <v>229</v>
      </c>
      <c r="AQ150" s="1" t="s">
        <v>198</v>
      </c>
      <c r="AR150" s="1" t="s">
        <v>192</v>
      </c>
      <c r="AS150" s="1" t="s">
        <v>199</v>
      </c>
      <c r="AT150" s="1">
        <v>2.0</v>
      </c>
      <c r="AV150" s="1" t="s">
        <v>200</v>
      </c>
      <c r="AW150" s="1">
        <v>2074.0</v>
      </c>
      <c r="AX150" s="1">
        <v>2012.0</v>
      </c>
      <c r="AZ150" s="1" t="s">
        <v>200</v>
      </c>
      <c r="BA150" s="1" t="str">
        <f>"19252100270000"</f>
        <v>19252100270000</v>
      </c>
      <c r="BC150" s="1">
        <v>1800.0</v>
      </c>
      <c r="BD150" s="1">
        <v>158000.0</v>
      </c>
      <c r="BE150" s="2">
        <v>41943.0</v>
      </c>
      <c r="BF150" s="2" t="s">
        <v>2848</v>
      </c>
      <c r="BH150" s="1">
        <v>0.0</v>
      </c>
      <c r="BK150" s="1" t="s">
        <v>204</v>
      </c>
      <c r="BL150" s="1" t="str">
        <f t="shared" ref="BL150:BM150" si="99">"0"</f>
        <v>0</v>
      </c>
      <c r="BM150" s="1" t="str">
        <f t="shared" si="99"/>
        <v>0</v>
      </c>
      <c r="BN150" s="1">
        <v>2631.0</v>
      </c>
      <c r="BO150" s="1">
        <v>7222.0</v>
      </c>
      <c r="BQ150" s="1">
        <v>299.0</v>
      </c>
      <c r="BR150" s="1">
        <v>299.0</v>
      </c>
      <c r="BS150" s="1">
        <v>299.0</v>
      </c>
      <c r="BU150" s="1" t="s">
        <v>213</v>
      </c>
      <c r="BV150" s="1" t="s">
        <v>206</v>
      </c>
      <c r="BY150" s="1" t="s">
        <v>815</v>
      </c>
      <c r="BZ150" s="1" t="s">
        <v>206</v>
      </c>
      <c r="CD150" s="1" t="s">
        <v>204</v>
      </c>
      <c r="CG150" s="1" t="s">
        <v>1584</v>
      </c>
      <c r="CH150" s="1" t="s">
        <v>206</v>
      </c>
      <c r="CK150" s="1" t="s">
        <v>815</v>
      </c>
      <c r="CL150" s="1" t="s">
        <v>206</v>
      </c>
      <c r="CO150" s="1" t="s">
        <v>2849</v>
      </c>
      <c r="CP150" s="1" t="s">
        <v>209</v>
      </c>
      <c r="CS150" s="1" t="s">
        <v>584</v>
      </c>
      <c r="CT150" s="1" t="s">
        <v>206</v>
      </c>
      <c r="CW150" s="1" t="s">
        <v>2850</v>
      </c>
      <c r="CX150" s="1" t="s">
        <v>42</v>
      </c>
      <c r="DA150" s="1" t="s">
        <v>200</v>
      </c>
      <c r="DC150" s="1" t="s">
        <v>702</v>
      </c>
      <c r="DE150" s="1" t="s">
        <v>2851</v>
      </c>
      <c r="DF150" s="1" t="s">
        <v>219</v>
      </c>
      <c r="DH150" s="1" t="s">
        <v>220</v>
      </c>
      <c r="DJ150" s="1" t="s">
        <v>222</v>
      </c>
      <c r="DL150" s="1" t="s">
        <v>224</v>
      </c>
      <c r="DM150" s="1" t="s">
        <v>229</v>
      </c>
      <c r="DQ150" s="1" t="s">
        <v>228</v>
      </c>
      <c r="DR150" s="1" t="s">
        <v>229</v>
      </c>
      <c r="DV150" s="1" t="s">
        <v>494</v>
      </c>
      <c r="DW150" s="1" t="s">
        <v>279</v>
      </c>
      <c r="DX150" s="1" t="s">
        <v>234</v>
      </c>
      <c r="EC150" s="1" t="s">
        <v>237</v>
      </c>
      <c r="EE150" s="1" t="s">
        <v>493</v>
      </c>
      <c r="EG150" s="1" t="s">
        <v>494</v>
      </c>
      <c r="EL150" s="1" t="s">
        <v>2852</v>
      </c>
      <c r="EM150" s="1" t="s">
        <v>209</v>
      </c>
      <c r="EQ150" s="1" t="s">
        <v>238</v>
      </c>
      <c r="EU150" s="1" t="s">
        <v>238</v>
      </c>
      <c r="EY150" s="1" t="s">
        <v>238</v>
      </c>
      <c r="FC150" s="1" t="s">
        <v>238</v>
      </c>
      <c r="FF150" s="1" t="s">
        <v>239</v>
      </c>
      <c r="FG150" s="1" t="s">
        <v>192</v>
      </c>
      <c r="FH150" s="1" t="s">
        <v>192</v>
      </c>
      <c r="FJ150" s="1" t="s">
        <v>2853</v>
      </c>
      <c r="FK150" s="1" t="s">
        <v>229</v>
      </c>
      <c r="FL150" s="1" t="s">
        <v>2854</v>
      </c>
      <c r="FM150" s="1">
        <v>85043.0</v>
      </c>
      <c r="FN150" s="1" t="s">
        <v>2855</v>
      </c>
      <c r="FO150" s="1" t="s">
        <v>2856</v>
      </c>
      <c r="FP150" s="1">
        <v>189258.0</v>
      </c>
      <c r="FU150" s="1" t="s">
        <v>710</v>
      </c>
      <c r="FV150" s="1" t="s">
        <v>192</v>
      </c>
      <c r="FW150" s="1" t="s">
        <v>290</v>
      </c>
      <c r="FX150" s="1" t="s">
        <v>655</v>
      </c>
      <c r="FZ150" s="1" t="s">
        <v>229</v>
      </c>
      <c r="GA150" s="1" t="s">
        <v>291</v>
      </c>
      <c r="GB150" s="2">
        <v>41993.0</v>
      </c>
      <c r="GC150" s="1" t="s">
        <v>2857</v>
      </c>
    </row>
    <row r="151">
      <c r="A151" s="1">
        <v>149900.0</v>
      </c>
      <c r="B151" s="1" t="s">
        <v>185</v>
      </c>
      <c r="C151" s="1" t="str">
        <f>"08764731"</f>
        <v>08764731</v>
      </c>
      <c r="D151" s="1" t="s">
        <v>186</v>
      </c>
      <c r="F151" s="1" t="str">
        <f>"8062"</f>
        <v>8062</v>
      </c>
      <c r="G151" s="2">
        <v>41941.0</v>
      </c>
      <c r="H151" s="1">
        <v>149900.0</v>
      </c>
      <c r="I151" s="1">
        <v>6.0</v>
      </c>
      <c r="J151" s="1">
        <v>149900.0</v>
      </c>
      <c r="K151" s="2">
        <v>41946.0</v>
      </c>
      <c r="L151" s="1">
        <v>6.0</v>
      </c>
      <c r="M151" s="2">
        <v>41946.0</v>
      </c>
      <c r="N151" s="1" t="s">
        <v>187</v>
      </c>
      <c r="O151" s="2">
        <v>41969.0</v>
      </c>
      <c r="P151" s="1">
        <v>124297.0</v>
      </c>
      <c r="Q151" s="1">
        <v>84624.0</v>
      </c>
      <c r="S151" s="1">
        <v>5546.0</v>
      </c>
      <c r="T151" s="1" t="s">
        <v>2858</v>
      </c>
      <c r="U151" s="1" t="s">
        <v>189</v>
      </c>
      <c r="V151" s="1" t="s">
        <v>190</v>
      </c>
      <c r="W151" s="1">
        <v>60629.0</v>
      </c>
      <c r="Y151" s="1" t="s">
        <v>2859</v>
      </c>
      <c r="Z151" s="1">
        <v>1957.0</v>
      </c>
      <c r="AA151" s="1" t="s">
        <v>192</v>
      </c>
      <c r="AB151" s="1" t="s">
        <v>193</v>
      </c>
      <c r="AD151" s="1" t="s">
        <v>194</v>
      </c>
      <c r="AE151" s="1" t="s">
        <v>195</v>
      </c>
      <c r="AF151" s="1" t="s">
        <v>659</v>
      </c>
      <c r="AH151" s="1">
        <v>15337.0</v>
      </c>
      <c r="AK151" s="1">
        <v>8.0</v>
      </c>
      <c r="AL151" s="1">
        <v>2.0</v>
      </c>
      <c r="AM151" s="1">
        <v>2.0</v>
      </c>
      <c r="AN151" s="1">
        <v>0.0</v>
      </c>
      <c r="AO151" s="1" t="s">
        <v>229</v>
      </c>
      <c r="AQ151" s="1" t="s">
        <v>198</v>
      </c>
      <c r="AR151" s="1" t="s">
        <v>192</v>
      </c>
      <c r="AS151" s="1" t="s">
        <v>199</v>
      </c>
      <c r="AT151" s="1">
        <v>2.0</v>
      </c>
      <c r="AV151" s="1" t="s">
        <v>200</v>
      </c>
      <c r="AW151" s="1">
        <v>2329.8</v>
      </c>
      <c r="AX151" s="1">
        <v>2013.0</v>
      </c>
      <c r="AY151" s="1" t="s">
        <v>387</v>
      </c>
      <c r="AZ151" s="1" t="s">
        <v>200</v>
      </c>
      <c r="BA151" s="1" t="str">
        <f>"19152000530000"</f>
        <v>19152000530000</v>
      </c>
      <c r="BC151" s="1">
        <v>1046.0</v>
      </c>
      <c r="BD151" s="1">
        <v>149900.0</v>
      </c>
      <c r="BE151" s="2">
        <v>41941.0</v>
      </c>
      <c r="BF151" s="1" t="s">
        <v>2860</v>
      </c>
      <c r="BH151" s="1">
        <v>0.0</v>
      </c>
      <c r="BK151" s="1" t="s">
        <v>204</v>
      </c>
      <c r="BL151" s="1" t="str">
        <f t="shared" ref="BL151:BM151" si="100">"0"</f>
        <v>0</v>
      </c>
      <c r="BM151" s="1" t="str">
        <f t="shared" si="100"/>
        <v>0</v>
      </c>
      <c r="BN151" s="1">
        <v>4550.0</v>
      </c>
      <c r="BO151" s="1">
        <v>5546.0</v>
      </c>
      <c r="BQ151" s="1">
        <v>299.0</v>
      </c>
      <c r="BR151" s="1">
        <v>299.0</v>
      </c>
      <c r="BS151" s="1">
        <v>299.0</v>
      </c>
      <c r="BU151" s="1" t="s">
        <v>700</v>
      </c>
      <c r="BV151" s="1" t="s">
        <v>206</v>
      </c>
      <c r="BW151" s="1" t="s">
        <v>207</v>
      </c>
      <c r="BY151" s="1" t="s">
        <v>331</v>
      </c>
      <c r="BZ151" s="1" t="s">
        <v>206</v>
      </c>
      <c r="CA151" s="1" t="s">
        <v>617</v>
      </c>
      <c r="CC151" s="1" t="s">
        <v>699</v>
      </c>
      <c r="CD151" s="1" t="s">
        <v>206</v>
      </c>
      <c r="CE151" s="1" t="s">
        <v>617</v>
      </c>
      <c r="CG151" s="1" t="s">
        <v>363</v>
      </c>
      <c r="CH151" s="1" t="s">
        <v>206</v>
      </c>
      <c r="CI151" s="1" t="s">
        <v>617</v>
      </c>
      <c r="CK151" s="1" t="s">
        <v>647</v>
      </c>
      <c r="CL151" s="1" t="s">
        <v>42</v>
      </c>
      <c r="CM151" s="1" t="s">
        <v>268</v>
      </c>
      <c r="CO151" s="1" t="s">
        <v>262</v>
      </c>
      <c r="CP151" s="1" t="s">
        <v>42</v>
      </c>
      <c r="CQ151" s="1" t="s">
        <v>268</v>
      </c>
      <c r="CS151" s="1" t="s">
        <v>265</v>
      </c>
      <c r="CT151" s="1" t="s">
        <v>206</v>
      </c>
      <c r="CU151" s="1" t="s">
        <v>617</v>
      </c>
      <c r="CW151" s="1" t="s">
        <v>2861</v>
      </c>
      <c r="CX151" s="1" t="s">
        <v>42</v>
      </c>
      <c r="CY151" s="1" t="s">
        <v>617</v>
      </c>
      <c r="DA151" s="1" t="s">
        <v>200</v>
      </c>
      <c r="DC151" s="1" t="s">
        <v>271</v>
      </c>
      <c r="DE151" s="1" t="s">
        <v>273</v>
      </c>
      <c r="DF151" s="1" t="s">
        <v>219</v>
      </c>
      <c r="DH151" s="1" t="s">
        <v>307</v>
      </c>
      <c r="DJ151" s="1" t="s">
        <v>222</v>
      </c>
      <c r="DL151" s="1" t="s">
        <v>224</v>
      </c>
      <c r="DM151" s="1" t="s">
        <v>229</v>
      </c>
      <c r="DQ151" s="1" t="s">
        <v>228</v>
      </c>
      <c r="DR151" s="1" t="s">
        <v>229</v>
      </c>
      <c r="DV151" s="1" t="s">
        <v>232</v>
      </c>
      <c r="DW151" s="1" t="s">
        <v>279</v>
      </c>
      <c r="DX151" s="1" t="s">
        <v>234</v>
      </c>
      <c r="EC151" s="1" t="s">
        <v>311</v>
      </c>
      <c r="EM151" s="1" t="s">
        <v>238</v>
      </c>
      <c r="EQ151" s="1" t="s">
        <v>238</v>
      </c>
      <c r="EU151" s="1" t="s">
        <v>238</v>
      </c>
      <c r="EY151" s="1" t="s">
        <v>238</v>
      </c>
      <c r="FC151" s="1" t="s">
        <v>238</v>
      </c>
      <c r="FF151" s="1" t="s">
        <v>239</v>
      </c>
      <c r="FG151" s="1" t="s">
        <v>192</v>
      </c>
      <c r="FH151" s="1" t="s">
        <v>192</v>
      </c>
      <c r="FJ151" s="1" t="s">
        <v>624</v>
      </c>
      <c r="FK151" s="1" t="s">
        <v>229</v>
      </c>
      <c r="FL151" s="1" t="s">
        <v>2862</v>
      </c>
      <c r="FM151" s="1">
        <v>61146.0</v>
      </c>
      <c r="FN151" s="1" t="s">
        <v>2863</v>
      </c>
      <c r="FO151" s="1" t="s">
        <v>2864</v>
      </c>
      <c r="FP151" s="1">
        <v>607725.0</v>
      </c>
      <c r="FQ151" s="1" t="s">
        <v>2865</v>
      </c>
      <c r="FU151" s="1" t="s">
        <v>710</v>
      </c>
      <c r="FV151" s="1" t="s">
        <v>192</v>
      </c>
      <c r="FW151" s="1" t="s">
        <v>290</v>
      </c>
      <c r="FX151" s="1" t="s">
        <v>655</v>
      </c>
      <c r="FZ151" s="1" t="s">
        <v>229</v>
      </c>
      <c r="GA151" s="1" t="s">
        <v>291</v>
      </c>
      <c r="GB151" s="2">
        <v>41969.0</v>
      </c>
      <c r="GC151" s="1" t="s">
        <v>2866</v>
      </c>
    </row>
    <row r="152">
      <c r="A152" s="1">
        <v>1511000.0</v>
      </c>
      <c r="B152" s="1" t="s">
        <v>185</v>
      </c>
      <c r="C152" s="1" t="str">
        <f>"08762532"</f>
        <v>08762532</v>
      </c>
      <c r="D152" s="1" t="s">
        <v>186</v>
      </c>
      <c r="F152" s="1" t="str">
        <f>"8007"</f>
        <v>8007</v>
      </c>
      <c r="G152" s="2">
        <v>41939.0</v>
      </c>
      <c r="H152" s="1">
        <v>1595000.0</v>
      </c>
      <c r="I152" s="1">
        <v>119.0</v>
      </c>
      <c r="J152" s="1">
        <v>1595000.0</v>
      </c>
      <c r="K152" s="2">
        <v>41952.0</v>
      </c>
      <c r="L152" s="1">
        <v>14.0</v>
      </c>
      <c r="M152" s="2">
        <v>41952.0</v>
      </c>
      <c r="N152" s="1" t="s">
        <v>187</v>
      </c>
      <c r="O152" s="2">
        <v>42032.0</v>
      </c>
      <c r="P152" s="1">
        <v>124168.0</v>
      </c>
      <c r="Q152" s="1">
        <v>10115.0</v>
      </c>
      <c r="S152" s="1">
        <v>843.0</v>
      </c>
      <c r="T152" s="1" t="s">
        <v>2867</v>
      </c>
      <c r="U152" s="1" t="s">
        <v>189</v>
      </c>
      <c r="V152" s="1" t="s">
        <v>190</v>
      </c>
      <c r="W152" s="1">
        <v>60614.0</v>
      </c>
      <c r="Y152" s="1" t="s">
        <v>2868</v>
      </c>
      <c r="Z152" s="1">
        <v>2000.0</v>
      </c>
      <c r="AA152" s="1" t="s">
        <v>200</v>
      </c>
      <c r="AB152" s="1" t="s">
        <v>193</v>
      </c>
      <c r="AD152" s="1" t="s">
        <v>194</v>
      </c>
      <c r="AE152" s="1" t="s">
        <v>195</v>
      </c>
      <c r="AF152" s="1" t="s">
        <v>534</v>
      </c>
      <c r="AH152" s="1" t="s">
        <v>741</v>
      </c>
      <c r="AK152" s="1">
        <v>10.0</v>
      </c>
      <c r="AL152" s="1">
        <v>4.0</v>
      </c>
      <c r="AM152" s="1">
        <v>3.0</v>
      </c>
      <c r="AN152" s="1">
        <v>2.0</v>
      </c>
      <c r="AO152" s="1" t="s">
        <v>198</v>
      </c>
      <c r="AP152" s="1">
        <v>1.0</v>
      </c>
      <c r="AQ152" s="1" t="s">
        <v>472</v>
      </c>
      <c r="AR152" s="1" t="s">
        <v>192</v>
      </c>
      <c r="AS152" s="1" t="s">
        <v>199</v>
      </c>
      <c r="AT152" s="1">
        <v>2.5</v>
      </c>
      <c r="AV152" s="1" t="s">
        <v>200</v>
      </c>
      <c r="AW152" s="1">
        <v>22069.68</v>
      </c>
      <c r="AX152" s="1">
        <v>2013.0</v>
      </c>
      <c r="AY152" s="1" t="s">
        <v>387</v>
      </c>
      <c r="AZ152" s="1" t="s">
        <v>200</v>
      </c>
      <c r="BA152" s="1" t="str">
        <f>"14294160210000"</f>
        <v>14294160210000</v>
      </c>
      <c r="BB152" s="1" t="s">
        <v>200</v>
      </c>
      <c r="BC152" s="1">
        <v>4650.0</v>
      </c>
      <c r="BD152" s="1">
        <v>1511000.0</v>
      </c>
      <c r="BE152" s="2">
        <v>41939.0</v>
      </c>
      <c r="BF152" s="2" t="s">
        <v>2869</v>
      </c>
      <c r="BG152" s="1" t="s">
        <v>2870</v>
      </c>
      <c r="BH152" s="1">
        <v>0.0</v>
      </c>
      <c r="BI152" s="1" t="s">
        <v>2870</v>
      </c>
      <c r="BJ152" s="1" t="s">
        <v>2871</v>
      </c>
      <c r="BK152" s="1" t="s">
        <v>204</v>
      </c>
      <c r="BL152" s="1" t="str">
        <f>"2600"</f>
        <v>2600</v>
      </c>
      <c r="BM152" s="1" t="str">
        <f t="shared" ref="BM152:BM154" si="101">"0"</f>
        <v>0</v>
      </c>
      <c r="BN152" s="1">
        <v>843.0</v>
      </c>
      <c r="BO152" s="1">
        <v>0.0</v>
      </c>
      <c r="BQ152" s="1">
        <v>299.0</v>
      </c>
      <c r="BR152" s="1">
        <v>299.0</v>
      </c>
      <c r="BS152" s="1">
        <v>299.0</v>
      </c>
      <c r="BU152" s="1" t="s">
        <v>2219</v>
      </c>
      <c r="BV152" s="1" t="s">
        <v>206</v>
      </c>
      <c r="BW152" s="1" t="s">
        <v>207</v>
      </c>
      <c r="BY152" s="1" t="s">
        <v>854</v>
      </c>
      <c r="BZ152" s="1" t="s">
        <v>209</v>
      </c>
      <c r="CA152" s="1" t="s">
        <v>210</v>
      </c>
      <c r="CC152" s="1" t="s">
        <v>616</v>
      </c>
      <c r="CD152" s="1" t="s">
        <v>206</v>
      </c>
      <c r="CE152" s="1" t="s">
        <v>207</v>
      </c>
      <c r="CG152" s="1" t="s">
        <v>1064</v>
      </c>
      <c r="CH152" s="1" t="s">
        <v>209</v>
      </c>
      <c r="CI152" s="1" t="s">
        <v>210</v>
      </c>
      <c r="CK152" s="1" t="s">
        <v>302</v>
      </c>
      <c r="CL152" s="1" t="s">
        <v>209</v>
      </c>
      <c r="CM152" s="1" t="s">
        <v>210</v>
      </c>
      <c r="CO152" s="1" t="s">
        <v>302</v>
      </c>
      <c r="CP152" s="1" t="s">
        <v>267</v>
      </c>
      <c r="CQ152" s="1" t="s">
        <v>210</v>
      </c>
      <c r="CS152" s="1" t="s">
        <v>2872</v>
      </c>
      <c r="CT152" s="1" t="s">
        <v>206</v>
      </c>
      <c r="CU152" s="1" t="s">
        <v>207</v>
      </c>
      <c r="CW152" s="1" t="s">
        <v>782</v>
      </c>
      <c r="CX152" s="1" t="s">
        <v>206</v>
      </c>
      <c r="CY152" s="1" t="s">
        <v>207</v>
      </c>
      <c r="DA152" s="1" t="s">
        <v>200</v>
      </c>
      <c r="DC152" s="1" t="s">
        <v>335</v>
      </c>
      <c r="DD152" s="1" t="s">
        <v>1930</v>
      </c>
      <c r="DE152" s="1" t="s">
        <v>218</v>
      </c>
      <c r="DF152" s="1" t="s">
        <v>1718</v>
      </c>
      <c r="DG152" s="1" t="s">
        <v>2237</v>
      </c>
      <c r="DH152" s="1" t="s">
        <v>365</v>
      </c>
      <c r="DI152" s="1" t="s">
        <v>2257</v>
      </c>
      <c r="DJ152" s="1" t="s">
        <v>222</v>
      </c>
      <c r="DL152" s="1" t="s">
        <v>1161</v>
      </c>
      <c r="DM152" s="1" t="s">
        <v>229</v>
      </c>
      <c r="DN152" s="1" t="s">
        <v>2873</v>
      </c>
      <c r="DP152" s="1" t="s">
        <v>227</v>
      </c>
      <c r="DQ152" s="1" t="s">
        <v>718</v>
      </c>
      <c r="DR152" s="1" t="s">
        <v>229</v>
      </c>
      <c r="DS152" s="1" t="s">
        <v>230</v>
      </c>
      <c r="DU152" s="1" t="s">
        <v>593</v>
      </c>
      <c r="DV152" s="1" t="s">
        <v>2874</v>
      </c>
      <c r="DW152" s="1" t="s">
        <v>279</v>
      </c>
      <c r="DX152" s="1" t="s">
        <v>309</v>
      </c>
      <c r="DY152" s="1" t="s">
        <v>2875</v>
      </c>
      <c r="DZ152" s="1" t="s">
        <v>2876</v>
      </c>
      <c r="EA152" s="1" t="s">
        <v>1027</v>
      </c>
      <c r="EB152" s="1" t="s">
        <v>937</v>
      </c>
      <c r="EC152" s="1" t="s">
        <v>237</v>
      </c>
      <c r="ED152" s="1" t="s">
        <v>312</v>
      </c>
      <c r="EE152" s="1" t="s">
        <v>187</v>
      </c>
      <c r="EG152" s="1" t="s">
        <v>968</v>
      </c>
      <c r="EH152" s="1" t="s">
        <v>310</v>
      </c>
      <c r="EI152" s="1" t="s">
        <v>2877</v>
      </c>
      <c r="EJ152" s="1" t="s">
        <v>1491</v>
      </c>
      <c r="EK152" s="1" t="s">
        <v>409</v>
      </c>
      <c r="EL152" s="1" t="s">
        <v>730</v>
      </c>
      <c r="EM152" s="1" t="s">
        <v>206</v>
      </c>
      <c r="EP152" s="1" t="s">
        <v>330</v>
      </c>
      <c r="EQ152" s="1" t="s">
        <v>209</v>
      </c>
      <c r="ET152" s="1" t="s">
        <v>2878</v>
      </c>
      <c r="EU152" s="1" t="s">
        <v>206</v>
      </c>
      <c r="EV152" s="1" t="s">
        <v>207</v>
      </c>
      <c r="EX152" s="1" t="s">
        <v>2879</v>
      </c>
      <c r="EY152" s="1" t="s">
        <v>267</v>
      </c>
      <c r="FB152" s="1" t="s">
        <v>2880</v>
      </c>
      <c r="FC152" s="1" t="s">
        <v>209</v>
      </c>
      <c r="FF152" s="1" t="s">
        <v>239</v>
      </c>
      <c r="FG152" s="1" t="s">
        <v>192</v>
      </c>
      <c r="FH152" s="1" t="s">
        <v>192</v>
      </c>
      <c r="FJ152" s="1" t="s">
        <v>733</v>
      </c>
      <c r="FK152" s="1" t="s">
        <v>229</v>
      </c>
      <c r="FL152" s="1" t="s">
        <v>1358</v>
      </c>
      <c r="FM152" s="1">
        <v>10115.0</v>
      </c>
      <c r="FN152" s="1" t="s">
        <v>2286</v>
      </c>
      <c r="FO152" s="1" t="s">
        <v>2881</v>
      </c>
      <c r="FP152" s="1">
        <v>124168.0</v>
      </c>
      <c r="FQ152" s="1" t="s">
        <v>2882</v>
      </c>
      <c r="FU152" s="1" t="s">
        <v>2883</v>
      </c>
      <c r="FV152" s="1" t="s">
        <v>200</v>
      </c>
      <c r="FW152" s="1" t="s">
        <v>567</v>
      </c>
      <c r="FX152" s="1" t="s">
        <v>246</v>
      </c>
      <c r="FZ152" s="1" t="s">
        <v>229</v>
      </c>
      <c r="GA152" s="1" t="s">
        <v>291</v>
      </c>
      <c r="GB152" s="2">
        <v>42032.0</v>
      </c>
    </row>
    <row r="153">
      <c r="A153" s="1">
        <v>173000.0</v>
      </c>
      <c r="B153" s="1" t="s">
        <v>185</v>
      </c>
      <c r="C153" s="1" t="str">
        <f>"08764811"</f>
        <v>08764811</v>
      </c>
      <c r="D153" s="1" t="s">
        <v>186</v>
      </c>
      <c r="F153" s="1" t="str">
        <f>"107"</f>
        <v>107</v>
      </c>
      <c r="G153" s="2">
        <v>41942.0</v>
      </c>
      <c r="H153" s="1">
        <v>179900.0</v>
      </c>
      <c r="I153" s="1">
        <v>5.0</v>
      </c>
      <c r="J153" s="1">
        <v>179900.0</v>
      </c>
      <c r="K153" s="2">
        <v>41946.0</v>
      </c>
      <c r="L153" s="1">
        <v>5.0</v>
      </c>
      <c r="M153" s="2">
        <v>41946.0</v>
      </c>
      <c r="N153" s="1" t="s">
        <v>187</v>
      </c>
      <c r="O153" s="2">
        <v>41978.0</v>
      </c>
      <c r="P153" s="1">
        <v>237705.0</v>
      </c>
      <c r="Q153" s="1">
        <v>24475.0</v>
      </c>
      <c r="R153" s="1">
        <v>3000.0</v>
      </c>
      <c r="S153" s="1">
        <v>208.0</v>
      </c>
      <c r="T153" s="1" t="s">
        <v>2884</v>
      </c>
      <c r="U153" s="1" t="s">
        <v>1015</v>
      </c>
      <c r="V153" s="1" t="s">
        <v>294</v>
      </c>
      <c r="W153" s="1">
        <v>60107.0</v>
      </c>
      <c r="Y153" s="1" t="s">
        <v>2885</v>
      </c>
      <c r="Z153" s="1">
        <v>1978.0</v>
      </c>
      <c r="AA153" s="1" t="s">
        <v>200</v>
      </c>
      <c r="AB153" s="1" t="s">
        <v>193</v>
      </c>
      <c r="AC153" s="1" t="s">
        <v>2886</v>
      </c>
      <c r="AD153" s="1" t="s">
        <v>297</v>
      </c>
      <c r="AE153" s="1" t="s">
        <v>195</v>
      </c>
      <c r="AF153" s="1" t="s">
        <v>298</v>
      </c>
      <c r="AH153" s="1" t="s">
        <v>2887</v>
      </c>
      <c r="AI153" s="1">
        <v>0.1737</v>
      </c>
      <c r="AK153" s="1">
        <v>10.0</v>
      </c>
      <c r="AL153" s="1">
        <v>3.0</v>
      </c>
      <c r="AM153" s="1">
        <v>2.0</v>
      </c>
      <c r="AN153" s="1">
        <v>0.0</v>
      </c>
      <c r="AO153" s="1" t="s">
        <v>198</v>
      </c>
      <c r="AP153" s="1">
        <v>1.0</v>
      </c>
      <c r="AQ153" s="1" t="s">
        <v>198</v>
      </c>
      <c r="AR153" s="1" t="s">
        <v>192</v>
      </c>
      <c r="AS153" s="1" t="s">
        <v>199</v>
      </c>
      <c r="AT153" s="1">
        <v>2.0</v>
      </c>
      <c r="AV153" s="1" t="s">
        <v>200</v>
      </c>
      <c r="AW153" s="5">
        <v>5253.2</v>
      </c>
      <c r="AX153" s="1">
        <v>2013.0</v>
      </c>
      <c r="AY153" s="1" t="s">
        <v>229</v>
      </c>
      <c r="AZ153" s="1" t="s">
        <v>200</v>
      </c>
      <c r="BA153" s="1" t="str">
        <f>"06133130690000"</f>
        <v>06133130690000</v>
      </c>
      <c r="BB153" s="1" t="s">
        <v>200</v>
      </c>
      <c r="BC153" s="1">
        <v>1500.0</v>
      </c>
      <c r="BD153" s="1">
        <v>173000.0</v>
      </c>
      <c r="BE153" s="2">
        <v>41942.0</v>
      </c>
      <c r="BF153" s="2" t="s">
        <v>2888</v>
      </c>
      <c r="BH153" s="1">
        <v>41.0</v>
      </c>
      <c r="BK153" s="1" t="s">
        <v>474</v>
      </c>
      <c r="BL153" s="1" t="str">
        <f>"11"</f>
        <v>11</v>
      </c>
      <c r="BM153" s="1" t="str">
        <f t="shared" si="101"/>
        <v>0</v>
      </c>
      <c r="BN153" s="1">
        <v>27.0</v>
      </c>
      <c r="BO153" s="1">
        <v>0.0</v>
      </c>
      <c r="BQ153" s="1">
        <v>46.0</v>
      </c>
      <c r="BR153" s="1">
        <v>46.0</v>
      </c>
      <c r="BS153" s="1">
        <v>46.0</v>
      </c>
      <c r="BU153" s="1" t="s">
        <v>2713</v>
      </c>
      <c r="BV153" s="1" t="s">
        <v>206</v>
      </c>
      <c r="BW153" s="1" t="s">
        <v>210</v>
      </c>
      <c r="BX153" s="1" t="s">
        <v>239</v>
      </c>
      <c r="BY153" s="1" t="s">
        <v>478</v>
      </c>
      <c r="BZ153" s="1" t="s">
        <v>206</v>
      </c>
      <c r="CA153" s="1" t="s">
        <v>210</v>
      </c>
      <c r="CC153" s="1" t="s">
        <v>2367</v>
      </c>
      <c r="CD153" s="1" t="s">
        <v>206</v>
      </c>
      <c r="CE153" s="1" t="s">
        <v>617</v>
      </c>
      <c r="CF153" s="1" t="s">
        <v>239</v>
      </c>
      <c r="CG153" s="1" t="s">
        <v>264</v>
      </c>
      <c r="CH153" s="1" t="s">
        <v>206</v>
      </c>
      <c r="CI153" s="1" t="s">
        <v>210</v>
      </c>
      <c r="CK153" s="1" t="s">
        <v>1760</v>
      </c>
      <c r="CL153" s="1" t="s">
        <v>206</v>
      </c>
      <c r="CM153" s="1" t="s">
        <v>210</v>
      </c>
      <c r="CO153" s="1" t="s">
        <v>2082</v>
      </c>
      <c r="CP153" s="1" t="s">
        <v>42</v>
      </c>
      <c r="CQ153" s="1" t="s">
        <v>210</v>
      </c>
      <c r="CS153" s="1" t="s">
        <v>300</v>
      </c>
      <c r="CT153" s="1" t="s">
        <v>206</v>
      </c>
      <c r="CU153" s="1" t="s">
        <v>617</v>
      </c>
      <c r="CV153" s="1" t="s">
        <v>239</v>
      </c>
      <c r="CW153" s="1" t="s">
        <v>662</v>
      </c>
      <c r="CX153" s="1" t="s">
        <v>206</v>
      </c>
      <c r="CY153" s="1" t="s">
        <v>210</v>
      </c>
      <c r="CZ153" s="1" t="s">
        <v>431</v>
      </c>
      <c r="DA153" s="1" t="s">
        <v>200</v>
      </c>
      <c r="DC153" s="1" t="s">
        <v>395</v>
      </c>
      <c r="DD153" s="1" t="s">
        <v>2889</v>
      </c>
      <c r="DE153" s="1" t="s">
        <v>273</v>
      </c>
      <c r="DF153" s="1" t="s">
        <v>219</v>
      </c>
      <c r="DH153" s="1" t="s">
        <v>365</v>
      </c>
      <c r="DI153" s="1" t="s">
        <v>2890</v>
      </c>
      <c r="DJ153" s="1" t="s">
        <v>222</v>
      </c>
      <c r="DL153" s="1" t="s">
        <v>224</v>
      </c>
      <c r="DM153" s="1" t="s">
        <v>338</v>
      </c>
      <c r="DP153" s="1" t="s">
        <v>340</v>
      </c>
      <c r="DQ153" s="1" t="s">
        <v>228</v>
      </c>
      <c r="DR153" s="1" t="s">
        <v>2593</v>
      </c>
      <c r="DS153" s="1" t="s">
        <v>230</v>
      </c>
      <c r="DV153" s="1" t="s">
        <v>2891</v>
      </c>
      <c r="DW153" s="1" t="s">
        <v>233</v>
      </c>
      <c r="DX153" s="1" t="s">
        <v>234</v>
      </c>
      <c r="EA153" s="1" t="s">
        <v>683</v>
      </c>
      <c r="EC153" s="1" t="s">
        <v>685</v>
      </c>
      <c r="EE153" s="1" t="s">
        <v>493</v>
      </c>
      <c r="EG153" s="1" t="s">
        <v>557</v>
      </c>
      <c r="EH153" s="1" t="s">
        <v>450</v>
      </c>
      <c r="EL153" s="1" t="s">
        <v>265</v>
      </c>
      <c r="EM153" s="1" t="s">
        <v>42</v>
      </c>
      <c r="EN153" s="1" t="s">
        <v>210</v>
      </c>
      <c r="EP153" s="1" t="s">
        <v>544</v>
      </c>
      <c r="EQ153" s="1" t="s">
        <v>42</v>
      </c>
      <c r="EU153" s="1" t="s">
        <v>238</v>
      </c>
      <c r="EY153" s="1" t="s">
        <v>238</v>
      </c>
      <c r="FC153" s="1" t="s">
        <v>238</v>
      </c>
      <c r="FF153" s="1" t="s">
        <v>239</v>
      </c>
      <c r="FG153" s="1" t="s">
        <v>192</v>
      </c>
      <c r="FH153" s="1" t="s">
        <v>192</v>
      </c>
      <c r="FJ153" s="1" t="s">
        <v>524</v>
      </c>
      <c r="FK153" s="1" t="s">
        <v>229</v>
      </c>
      <c r="FL153" s="1" t="s">
        <v>2892</v>
      </c>
      <c r="FM153" s="1">
        <v>8810.0</v>
      </c>
      <c r="FN153" s="1" t="s">
        <v>2893</v>
      </c>
      <c r="FO153" s="1" t="s">
        <v>2894</v>
      </c>
      <c r="FP153" s="1">
        <v>82346.0</v>
      </c>
      <c r="FU153" s="1" t="s">
        <v>2030</v>
      </c>
      <c r="FV153" s="1" t="s">
        <v>192</v>
      </c>
      <c r="FW153" s="1" t="s">
        <v>2895</v>
      </c>
      <c r="FZ153" s="1" t="s">
        <v>229</v>
      </c>
      <c r="GA153" s="1" t="s">
        <v>247</v>
      </c>
      <c r="GB153" s="2">
        <v>41981.0</v>
      </c>
      <c r="GC153" s="1" t="s">
        <v>2896</v>
      </c>
    </row>
    <row r="154">
      <c r="A154" s="1">
        <v>1060000.0</v>
      </c>
      <c r="B154" s="1" t="s">
        <v>185</v>
      </c>
      <c r="C154" s="1" t="str">
        <f>"08768489"</f>
        <v>08768489</v>
      </c>
      <c r="D154" s="1" t="s">
        <v>186</v>
      </c>
      <c r="F154" s="1" t="str">
        <f>"8005"</f>
        <v>8005</v>
      </c>
      <c r="G154" s="2">
        <v>41947.0</v>
      </c>
      <c r="H154" s="1">
        <v>1089000.0</v>
      </c>
      <c r="I154" s="1">
        <v>38.0</v>
      </c>
      <c r="J154" s="1">
        <v>1089000.0</v>
      </c>
      <c r="K154" s="2">
        <v>41984.0</v>
      </c>
      <c r="L154" s="1">
        <v>38.0</v>
      </c>
      <c r="M154" s="2">
        <v>41984.0</v>
      </c>
      <c r="N154" s="1" t="s">
        <v>187</v>
      </c>
      <c r="O154" s="2">
        <v>42037.0</v>
      </c>
      <c r="P154" s="1">
        <v>115800.0</v>
      </c>
      <c r="Q154" s="1">
        <v>12040.0</v>
      </c>
      <c r="S154" s="1">
        <v>1831.0</v>
      </c>
      <c r="T154" s="1" t="s">
        <v>2897</v>
      </c>
      <c r="U154" s="1" t="s">
        <v>189</v>
      </c>
      <c r="V154" s="1" t="s">
        <v>190</v>
      </c>
      <c r="W154" s="1">
        <v>60613.0</v>
      </c>
      <c r="Y154" s="1" t="s">
        <v>2898</v>
      </c>
      <c r="Z154" s="1">
        <v>1908.0</v>
      </c>
      <c r="AA154" s="1" t="s">
        <v>192</v>
      </c>
      <c r="AB154" s="1" t="s">
        <v>193</v>
      </c>
      <c r="AD154" s="1" t="s">
        <v>194</v>
      </c>
      <c r="AE154" s="1" t="s">
        <v>195</v>
      </c>
      <c r="AF154" s="1" t="s">
        <v>534</v>
      </c>
      <c r="AH154" s="1" t="s">
        <v>359</v>
      </c>
      <c r="AI154" s="1">
        <v>0.0717</v>
      </c>
      <c r="AK154" s="1">
        <v>11.0</v>
      </c>
      <c r="AL154" s="1">
        <v>4.0</v>
      </c>
      <c r="AM154" s="1">
        <v>3.0</v>
      </c>
      <c r="AN154" s="1">
        <v>1.0</v>
      </c>
      <c r="AO154" s="1" t="s">
        <v>198</v>
      </c>
      <c r="AP154" s="1">
        <v>1.0</v>
      </c>
      <c r="AQ154" s="1" t="s">
        <v>472</v>
      </c>
      <c r="AR154" s="1" t="s">
        <v>192</v>
      </c>
      <c r="AS154" s="1" t="s">
        <v>199</v>
      </c>
      <c r="AT154" s="1">
        <v>2.0</v>
      </c>
      <c r="AV154" s="1" t="s">
        <v>200</v>
      </c>
      <c r="AW154" s="1">
        <v>1232.57</v>
      </c>
      <c r="AX154" s="1">
        <v>2012.0</v>
      </c>
      <c r="AZ154" s="1" t="s">
        <v>200</v>
      </c>
      <c r="BA154" s="1" t="str">
        <f>"14184240090000"</f>
        <v>14184240090000</v>
      </c>
      <c r="BC154" s="1">
        <v>0.0</v>
      </c>
      <c r="BD154" s="1">
        <v>1060000.0</v>
      </c>
      <c r="BE154" s="2">
        <v>41947.0</v>
      </c>
      <c r="BF154" s="2" t="s">
        <v>2899</v>
      </c>
      <c r="BG154" s="1" t="s">
        <v>2093</v>
      </c>
      <c r="BH154" s="1">
        <v>0.0</v>
      </c>
      <c r="BK154" s="1" t="s">
        <v>204</v>
      </c>
      <c r="BL154" s="1" t="str">
        <f>"4100"</f>
        <v>4100</v>
      </c>
      <c r="BM154" s="1" t="str">
        <f t="shared" si="101"/>
        <v>0</v>
      </c>
      <c r="BN154" s="1">
        <v>1831.0</v>
      </c>
      <c r="BO154" s="1">
        <v>0.0</v>
      </c>
      <c r="BQ154" s="1">
        <v>299.0</v>
      </c>
      <c r="BR154" s="1">
        <v>299.0</v>
      </c>
      <c r="BS154" s="1">
        <v>299.0</v>
      </c>
      <c r="BU154" s="1" t="s">
        <v>432</v>
      </c>
      <c r="BV154" s="1" t="s">
        <v>206</v>
      </c>
      <c r="BY154" s="1" t="s">
        <v>1483</v>
      </c>
      <c r="BZ154" s="1" t="s">
        <v>209</v>
      </c>
      <c r="CC154" s="1" t="s">
        <v>433</v>
      </c>
      <c r="CD154" s="1" t="s">
        <v>206</v>
      </c>
      <c r="CG154" s="1" t="s">
        <v>264</v>
      </c>
      <c r="CH154" s="1" t="s">
        <v>209</v>
      </c>
      <c r="CK154" s="1" t="s">
        <v>264</v>
      </c>
      <c r="CL154" s="1" t="s">
        <v>209</v>
      </c>
      <c r="CO154" s="1" t="s">
        <v>815</v>
      </c>
      <c r="CP154" s="1" t="s">
        <v>267</v>
      </c>
      <c r="CS154" s="1" t="s">
        <v>454</v>
      </c>
      <c r="CT154" s="1" t="s">
        <v>206</v>
      </c>
      <c r="CW154" s="1" t="s">
        <v>2900</v>
      </c>
      <c r="CX154" s="1" t="s">
        <v>206</v>
      </c>
      <c r="DA154" s="1" t="s">
        <v>200</v>
      </c>
      <c r="DC154" s="1" t="s">
        <v>642</v>
      </c>
      <c r="DD154" s="1" t="s">
        <v>336</v>
      </c>
      <c r="DE154" s="1" t="s">
        <v>218</v>
      </c>
      <c r="DF154" s="1" t="s">
        <v>745</v>
      </c>
      <c r="DH154" s="1" t="s">
        <v>365</v>
      </c>
      <c r="DI154" s="1" t="s">
        <v>519</v>
      </c>
      <c r="DJ154" s="1" t="s">
        <v>222</v>
      </c>
      <c r="DL154" s="1" t="s">
        <v>224</v>
      </c>
      <c r="DM154" s="1" t="s">
        <v>229</v>
      </c>
      <c r="DN154" s="1" t="s">
        <v>548</v>
      </c>
      <c r="DP154" s="1" t="s">
        <v>340</v>
      </c>
      <c r="DQ154" s="1" t="s">
        <v>718</v>
      </c>
      <c r="DR154" s="1" t="s">
        <v>229</v>
      </c>
      <c r="DS154" s="1" t="s">
        <v>230</v>
      </c>
      <c r="DV154" s="1" t="s">
        <v>2901</v>
      </c>
      <c r="DW154" s="1" t="s">
        <v>279</v>
      </c>
      <c r="DX154" s="1" t="s">
        <v>234</v>
      </c>
      <c r="EB154" s="1" t="s">
        <v>684</v>
      </c>
      <c r="EC154" s="1" t="s">
        <v>237</v>
      </c>
      <c r="ED154" s="1" t="s">
        <v>555</v>
      </c>
      <c r="EG154" s="1" t="s">
        <v>556</v>
      </c>
      <c r="EH154" s="1" t="s">
        <v>598</v>
      </c>
      <c r="EI154" s="1" t="s">
        <v>450</v>
      </c>
      <c r="EJ154" s="1" t="s">
        <v>720</v>
      </c>
      <c r="EL154" s="1" t="s">
        <v>2902</v>
      </c>
      <c r="EM154" s="1" t="s">
        <v>206</v>
      </c>
      <c r="EP154" s="1" t="s">
        <v>2903</v>
      </c>
      <c r="EQ154" s="1" t="s">
        <v>267</v>
      </c>
      <c r="ET154" s="1" t="s">
        <v>2900</v>
      </c>
      <c r="EU154" s="1" t="s">
        <v>267</v>
      </c>
      <c r="EX154" s="1" t="s">
        <v>699</v>
      </c>
      <c r="EY154" s="1" t="s">
        <v>267</v>
      </c>
      <c r="FC154" s="1" t="s">
        <v>238</v>
      </c>
      <c r="FF154" s="1" t="s">
        <v>239</v>
      </c>
      <c r="FG154" s="1" t="s">
        <v>192</v>
      </c>
      <c r="FH154" s="1" t="s">
        <v>192</v>
      </c>
      <c r="FJ154" s="1" t="s">
        <v>799</v>
      </c>
      <c r="FK154" s="1" t="s">
        <v>229</v>
      </c>
      <c r="FL154" s="1" t="s">
        <v>800</v>
      </c>
      <c r="FM154" s="1">
        <v>16898.0</v>
      </c>
      <c r="FN154" s="1" t="s">
        <v>801</v>
      </c>
      <c r="FO154" s="1" t="s">
        <v>2904</v>
      </c>
      <c r="FP154" s="1">
        <v>113939.0</v>
      </c>
      <c r="FQ154" s="1" t="s">
        <v>2905</v>
      </c>
      <c r="FU154" s="1" t="s">
        <v>2906</v>
      </c>
      <c r="FV154" s="1" t="s">
        <v>200</v>
      </c>
      <c r="FW154" s="1" t="s">
        <v>654</v>
      </c>
      <c r="FX154" s="1" t="s">
        <v>246</v>
      </c>
      <c r="FZ154" s="1" t="s">
        <v>229</v>
      </c>
      <c r="GA154" s="1" t="s">
        <v>291</v>
      </c>
      <c r="GB154" s="2">
        <v>42044.0</v>
      </c>
      <c r="GC154" s="1" t="s">
        <v>2907</v>
      </c>
    </row>
    <row r="155">
      <c r="A155" s="1">
        <v>185000.0</v>
      </c>
      <c r="B155" s="1" t="s">
        <v>185</v>
      </c>
      <c r="C155" s="1" t="str">
        <f>"08766854"</f>
        <v>08766854</v>
      </c>
      <c r="D155" s="1" t="s">
        <v>186</v>
      </c>
      <c r="F155" s="1" t="str">
        <f>"554"</f>
        <v>554</v>
      </c>
      <c r="G155" s="2">
        <v>41944.0</v>
      </c>
      <c r="H155" s="1">
        <v>185000.0</v>
      </c>
      <c r="I155" s="1">
        <v>4.0</v>
      </c>
      <c r="J155" s="1">
        <v>185000.0</v>
      </c>
      <c r="K155" s="2">
        <v>41947.0</v>
      </c>
      <c r="L155" s="1">
        <v>4.0</v>
      </c>
      <c r="M155" s="2">
        <v>41947.0</v>
      </c>
      <c r="N155" s="1" t="s">
        <v>249</v>
      </c>
      <c r="O155" s="2">
        <v>42079.0</v>
      </c>
      <c r="P155" s="1">
        <v>241631.0</v>
      </c>
      <c r="Q155" s="1">
        <v>25523.0</v>
      </c>
      <c r="S155" s="1">
        <v>112.0</v>
      </c>
      <c r="T155" s="1" t="s">
        <v>2908</v>
      </c>
      <c r="U155" s="1" t="s">
        <v>189</v>
      </c>
      <c r="V155" s="1" t="s">
        <v>2212</v>
      </c>
      <c r="W155" s="1">
        <v>60554.0</v>
      </c>
      <c r="Y155" s="1" t="s">
        <v>2909</v>
      </c>
      <c r="Z155" s="1">
        <v>2005.0</v>
      </c>
      <c r="AA155" s="1" t="s">
        <v>200</v>
      </c>
      <c r="AB155" s="1" t="s">
        <v>467</v>
      </c>
      <c r="AC155" s="1" t="s">
        <v>2910</v>
      </c>
      <c r="AD155" s="1" t="s">
        <v>1887</v>
      </c>
      <c r="AE155" s="1" t="s">
        <v>325</v>
      </c>
      <c r="AF155" s="1" t="s">
        <v>1887</v>
      </c>
      <c r="AG155" s="1" t="s">
        <v>2911</v>
      </c>
      <c r="AH155" s="1" t="s">
        <v>2912</v>
      </c>
      <c r="AK155" s="1">
        <v>10.0</v>
      </c>
      <c r="AL155" s="1">
        <v>4.0</v>
      </c>
      <c r="AM155" s="1">
        <v>2.0</v>
      </c>
      <c r="AN155" s="1">
        <v>1.0</v>
      </c>
      <c r="AO155" s="1" t="s">
        <v>198</v>
      </c>
      <c r="AP155" s="1">
        <v>1.0</v>
      </c>
      <c r="AQ155" s="1" t="s">
        <v>198</v>
      </c>
      <c r="AR155" s="1" t="s">
        <v>200</v>
      </c>
      <c r="AS155" s="1" t="s">
        <v>199</v>
      </c>
      <c r="AT155" s="1">
        <v>2.0</v>
      </c>
      <c r="AV155" s="1" t="s">
        <v>200</v>
      </c>
      <c r="AW155" s="1">
        <v>8259.68</v>
      </c>
      <c r="AX155" s="1">
        <v>2013.0</v>
      </c>
      <c r="AY155" s="1" t="s">
        <v>387</v>
      </c>
      <c r="AZ155" s="1" t="s">
        <v>200</v>
      </c>
      <c r="BA155" s="1" t="str">
        <f>"1416129002"</f>
        <v>1416129002</v>
      </c>
      <c r="BB155" s="1" t="s">
        <v>200</v>
      </c>
      <c r="BC155" s="1">
        <v>2639.0</v>
      </c>
      <c r="BD155" s="1">
        <v>185000.0</v>
      </c>
      <c r="BE155" s="2">
        <v>41944.0</v>
      </c>
      <c r="BF155" s="2" t="s">
        <v>2913</v>
      </c>
      <c r="BG155" s="1" t="s">
        <v>2218</v>
      </c>
      <c r="BH155" s="1">
        <v>265.0</v>
      </c>
      <c r="BI155" s="1" t="s">
        <v>1635</v>
      </c>
      <c r="BJ155" s="1" t="s">
        <v>1636</v>
      </c>
      <c r="BK155" s="1" t="s">
        <v>580</v>
      </c>
      <c r="BL155" s="1" t="str">
        <f t="shared" ref="BL155:BM155" si="102">""</f>
        <v/>
      </c>
      <c r="BM155" s="1" t="str">
        <f t="shared" si="102"/>
        <v/>
      </c>
      <c r="BQ155" s="1">
        <v>302.0</v>
      </c>
      <c r="BR155" s="1">
        <v>302.0</v>
      </c>
      <c r="BS155" s="1">
        <v>302.0</v>
      </c>
      <c r="BU155" s="1" t="s">
        <v>213</v>
      </c>
      <c r="BV155" s="1" t="s">
        <v>206</v>
      </c>
      <c r="BW155" s="1" t="s">
        <v>210</v>
      </c>
      <c r="BX155" s="1" t="s">
        <v>229</v>
      </c>
      <c r="BY155" s="1" t="s">
        <v>616</v>
      </c>
      <c r="BZ155" s="1" t="s">
        <v>209</v>
      </c>
      <c r="CA155" s="1" t="s">
        <v>210</v>
      </c>
      <c r="CB155" s="1" t="s">
        <v>229</v>
      </c>
      <c r="CC155" s="1" t="s">
        <v>262</v>
      </c>
      <c r="CD155" s="1" t="s">
        <v>206</v>
      </c>
      <c r="CE155" s="1" t="s">
        <v>210</v>
      </c>
      <c r="CF155" s="1" t="s">
        <v>229</v>
      </c>
      <c r="CG155" s="1" t="s">
        <v>264</v>
      </c>
      <c r="CH155" s="1" t="s">
        <v>209</v>
      </c>
      <c r="CI155" s="1" t="s">
        <v>210</v>
      </c>
      <c r="CJ155" s="1" t="s">
        <v>229</v>
      </c>
      <c r="CK155" s="1" t="s">
        <v>264</v>
      </c>
      <c r="CL155" s="1" t="s">
        <v>209</v>
      </c>
      <c r="CM155" s="1" t="s">
        <v>210</v>
      </c>
      <c r="CN155" s="1" t="s">
        <v>229</v>
      </c>
      <c r="CO155" s="1" t="s">
        <v>329</v>
      </c>
      <c r="CP155" s="1" t="s">
        <v>209</v>
      </c>
      <c r="CQ155" s="1" t="s">
        <v>210</v>
      </c>
      <c r="CR155" s="1" t="s">
        <v>229</v>
      </c>
      <c r="CS155" s="1" t="s">
        <v>699</v>
      </c>
      <c r="CT155" s="1" t="s">
        <v>206</v>
      </c>
      <c r="CU155" s="1" t="s">
        <v>617</v>
      </c>
      <c r="CV155" s="1" t="s">
        <v>229</v>
      </c>
      <c r="CW155" s="1" t="s">
        <v>453</v>
      </c>
      <c r="CX155" s="1" t="s">
        <v>206</v>
      </c>
      <c r="CY155" s="1" t="s">
        <v>210</v>
      </c>
      <c r="CZ155" s="1" t="s">
        <v>229</v>
      </c>
      <c r="DA155" s="1" t="s">
        <v>200</v>
      </c>
      <c r="DC155" s="1" t="s">
        <v>481</v>
      </c>
      <c r="DD155" s="1" t="s">
        <v>336</v>
      </c>
      <c r="DE155" s="1" t="s">
        <v>273</v>
      </c>
      <c r="DF155" s="1" t="s">
        <v>219</v>
      </c>
      <c r="DG155" s="1" t="s">
        <v>482</v>
      </c>
      <c r="DH155" s="1" t="s">
        <v>220</v>
      </c>
      <c r="DI155" s="1" t="s">
        <v>732</v>
      </c>
      <c r="DJ155" s="1" t="s">
        <v>222</v>
      </c>
      <c r="DK155" s="1" t="s">
        <v>223</v>
      </c>
      <c r="DL155" s="1" t="s">
        <v>223</v>
      </c>
      <c r="DM155" s="1" t="s">
        <v>1268</v>
      </c>
      <c r="DN155" s="1" t="s">
        <v>485</v>
      </c>
      <c r="DP155" s="1" t="s">
        <v>340</v>
      </c>
      <c r="DQ155" s="1" t="s">
        <v>441</v>
      </c>
      <c r="DR155" s="1" t="s">
        <v>588</v>
      </c>
      <c r="DS155" s="1" t="s">
        <v>230</v>
      </c>
      <c r="DU155" s="1" t="s">
        <v>1840</v>
      </c>
      <c r="DV155" s="1" t="s">
        <v>2914</v>
      </c>
      <c r="DW155" s="1" t="s">
        <v>444</v>
      </c>
      <c r="DX155" s="1" t="s">
        <v>234</v>
      </c>
      <c r="DY155" s="1" t="s">
        <v>1051</v>
      </c>
      <c r="EA155" s="1" t="s">
        <v>344</v>
      </c>
      <c r="EB155" s="1" t="s">
        <v>2915</v>
      </c>
      <c r="EC155" s="1" t="s">
        <v>237</v>
      </c>
      <c r="ED155" s="1" t="s">
        <v>407</v>
      </c>
      <c r="EG155" s="1" t="s">
        <v>1729</v>
      </c>
      <c r="EH155" s="1" t="s">
        <v>449</v>
      </c>
      <c r="EL155" s="1" t="s">
        <v>211</v>
      </c>
      <c r="EM155" s="1" t="s">
        <v>206</v>
      </c>
      <c r="EN155" s="1" t="s">
        <v>617</v>
      </c>
      <c r="EO155" s="1" t="s">
        <v>229</v>
      </c>
      <c r="EP155" s="1" t="s">
        <v>266</v>
      </c>
      <c r="EQ155" s="1" t="s">
        <v>206</v>
      </c>
      <c r="ER155" s="1" t="s">
        <v>617</v>
      </c>
      <c r="ES155" s="1" t="s">
        <v>229</v>
      </c>
      <c r="EU155" s="1" t="s">
        <v>238</v>
      </c>
      <c r="EY155" s="1" t="s">
        <v>238</v>
      </c>
      <c r="FC155" s="1" t="s">
        <v>238</v>
      </c>
      <c r="FF155" s="1" t="s">
        <v>239</v>
      </c>
      <c r="FG155" s="1" t="s">
        <v>192</v>
      </c>
      <c r="FH155" s="1" t="s">
        <v>192</v>
      </c>
      <c r="FJ155" s="1" t="s">
        <v>524</v>
      </c>
      <c r="FK155" s="1" t="s">
        <v>1586</v>
      </c>
      <c r="FL155" s="1" t="s">
        <v>2226</v>
      </c>
      <c r="FM155" s="1">
        <v>300.0</v>
      </c>
      <c r="FN155" s="1" t="s">
        <v>2227</v>
      </c>
      <c r="FO155" s="1" t="s">
        <v>2228</v>
      </c>
      <c r="FP155" s="1">
        <v>313816.0</v>
      </c>
      <c r="FQ155" s="1" t="s">
        <v>2229</v>
      </c>
      <c r="FR155" s="1">
        <v>8490.0</v>
      </c>
      <c r="FS155" s="1" t="s">
        <v>2230</v>
      </c>
      <c r="FU155" s="1" t="s">
        <v>2916</v>
      </c>
      <c r="FV155" s="1" t="s">
        <v>200</v>
      </c>
      <c r="FW155" s="1" t="s">
        <v>567</v>
      </c>
      <c r="FZ155" s="1" t="s">
        <v>229</v>
      </c>
      <c r="GA155" s="1" t="s">
        <v>291</v>
      </c>
      <c r="GB155" s="2">
        <v>42079.0</v>
      </c>
      <c r="GC155" s="2" t="s">
        <v>2917</v>
      </c>
    </row>
    <row r="156">
      <c r="A156" s="1">
        <v>175000.0</v>
      </c>
      <c r="B156" s="1" t="s">
        <v>185</v>
      </c>
      <c r="C156" s="1" t="str">
        <f>"08765691"</f>
        <v>08765691</v>
      </c>
      <c r="D156" s="1" t="s">
        <v>186</v>
      </c>
      <c r="F156" s="1" t="str">
        <f>"115"</f>
        <v>115</v>
      </c>
      <c r="G156" s="2">
        <v>41943.0</v>
      </c>
      <c r="H156" s="1">
        <v>184500.0</v>
      </c>
      <c r="I156" s="1">
        <v>224.0</v>
      </c>
      <c r="J156" s="1">
        <v>179900.0</v>
      </c>
      <c r="K156" s="2">
        <v>42016.0</v>
      </c>
      <c r="L156" s="1">
        <v>74.0</v>
      </c>
      <c r="M156" s="2">
        <v>42016.0</v>
      </c>
      <c r="N156" s="1" t="s">
        <v>356</v>
      </c>
      <c r="O156" s="2">
        <v>42059.0</v>
      </c>
      <c r="P156" s="1">
        <v>237432.0</v>
      </c>
      <c r="Q156" s="1">
        <v>24809.0</v>
      </c>
      <c r="S156" s="1">
        <v>487.0</v>
      </c>
      <c r="T156" s="1" t="s">
        <v>2918</v>
      </c>
      <c r="U156" s="1" t="s">
        <v>569</v>
      </c>
      <c r="V156" s="1" t="s">
        <v>610</v>
      </c>
      <c r="W156" s="1">
        <v>60115.0</v>
      </c>
      <c r="Y156" s="1" t="s">
        <v>2919</v>
      </c>
      <c r="Z156" s="1">
        <v>2004.0</v>
      </c>
      <c r="AA156" s="1" t="s">
        <v>200</v>
      </c>
      <c r="AB156" s="1" t="s">
        <v>193</v>
      </c>
      <c r="AC156" s="1" t="s">
        <v>2920</v>
      </c>
      <c r="AD156" s="1" t="s">
        <v>612</v>
      </c>
      <c r="AE156" s="1" t="s">
        <v>613</v>
      </c>
      <c r="AF156" s="1" t="s">
        <v>612</v>
      </c>
      <c r="AH156" s="1" t="s">
        <v>2921</v>
      </c>
      <c r="AI156" s="1">
        <v>0.23</v>
      </c>
      <c r="AK156" s="1">
        <v>9.0</v>
      </c>
      <c r="AL156" s="1">
        <v>3.0</v>
      </c>
      <c r="AM156" s="1">
        <v>3.0</v>
      </c>
      <c r="AN156" s="1">
        <v>1.0</v>
      </c>
      <c r="AO156" s="1" t="s">
        <v>198</v>
      </c>
      <c r="AP156" s="1">
        <v>0.0</v>
      </c>
      <c r="AQ156" s="1" t="s">
        <v>198</v>
      </c>
      <c r="AR156" s="1" t="s">
        <v>192</v>
      </c>
      <c r="AS156" s="1" t="s">
        <v>199</v>
      </c>
      <c r="AT156" s="1">
        <v>2.0</v>
      </c>
      <c r="AV156" s="1" t="s">
        <v>200</v>
      </c>
      <c r="AW156" s="1">
        <v>5896.0</v>
      </c>
      <c r="AX156" s="1">
        <v>2013.0</v>
      </c>
      <c r="AY156" s="1" t="s">
        <v>387</v>
      </c>
      <c r="AZ156" s="1" t="s">
        <v>200</v>
      </c>
      <c r="BA156" s="1" t="str">
        <f>"0822328011"</f>
        <v>0822328011</v>
      </c>
      <c r="BB156" s="1" t="s">
        <v>200</v>
      </c>
      <c r="BC156" s="1">
        <v>1768.0</v>
      </c>
      <c r="BD156" s="1">
        <v>175000.0</v>
      </c>
      <c r="BE156" s="2">
        <v>41943.0</v>
      </c>
      <c r="BF156" s="2" t="s">
        <v>2922</v>
      </c>
      <c r="BH156" s="1">
        <v>0.0</v>
      </c>
      <c r="BK156" s="1" t="s">
        <v>204</v>
      </c>
      <c r="BL156" s="1" t="str">
        <f t="shared" ref="BL156:BM156" si="103">""</f>
        <v/>
      </c>
      <c r="BM156" s="1" t="str">
        <f t="shared" si="103"/>
        <v/>
      </c>
      <c r="BQ156" s="1">
        <v>428.0</v>
      </c>
      <c r="BR156" s="1">
        <v>428.0</v>
      </c>
      <c r="BS156" s="1">
        <v>428.0</v>
      </c>
      <c r="BU156" s="1" t="s">
        <v>2923</v>
      </c>
      <c r="BV156" s="1" t="s">
        <v>206</v>
      </c>
      <c r="BW156" s="1" t="s">
        <v>210</v>
      </c>
      <c r="BX156" s="1" t="s">
        <v>431</v>
      </c>
      <c r="BY156" s="1" t="s">
        <v>1426</v>
      </c>
      <c r="BZ156" s="1" t="s">
        <v>209</v>
      </c>
      <c r="CA156" s="1" t="s">
        <v>210</v>
      </c>
      <c r="CB156" s="1" t="s">
        <v>431</v>
      </c>
      <c r="CC156" s="1" t="s">
        <v>495</v>
      </c>
      <c r="CD156" s="1" t="s">
        <v>206</v>
      </c>
      <c r="CE156" s="1" t="s">
        <v>210</v>
      </c>
      <c r="CF156" s="1" t="s">
        <v>431</v>
      </c>
      <c r="CG156" s="1" t="s">
        <v>212</v>
      </c>
      <c r="CH156" s="1" t="s">
        <v>209</v>
      </c>
      <c r="CI156" s="1" t="s">
        <v>210</v>
      </c>
      <c r="CJ156" s="1" t="s">
        <v>431</v>
      </c>
      <c r="CK156" s="1" t="s">
        <v>363</v>
      </c>
      <c r="CL156" s="1" t="s">
        <v>209</v>
      </c>
      <c r="CM156" s="1" t="s">
        <v>210</v>
      </c>
      <c r="CN156" s="1" t="s">
        <v>431</v>
      </c>
      <c r="CO156" s="1" t="s">
        <v>262</v>
      </c>
      <c r="CP156" s="1" t="s">
        <v>42</v>
      </c>
      <c r="CQ156" s="1" t="s">
        <v>301</v>
      </c>
      <c r="CR156" s="1" t="s">
        <v>229</v>
      </c>
      <c r="CS156" s="1" t="s">
        <v>2924</v>
      </c>
      <c r="CT156" s="1" t="s">
        <v>206</v>
      </c>
      <c r="CU156" s="1" t="s">
        <v>207</v>
      </c>
      <c r="CV156" s="1" t="s">
        <v>239</v>
      </c>
      <c r="CX156" s="1" t="s">
        <v>204</v>
      </c>
      <c r="DA156" s="1" t="s">
        <v>200</v>
      </c>
      <c r="DC156" s="1" t="s">
        <v>335</v>
      </c>
      <c r="DD156" s="1" t="s">
        <v>396</v>
      </c>
      <c r="DE156" s="1" t="s">
        <v>273</v>
      </c>
      <c r="DF156" s="1" t="s">
        <v>219</v>
      </c>
      <c r="DG156" s="1" t="s">
        <v>482</v>
      </c>
      <c r="DH156" s="1" t="s">
        <v>220</v>
      </c>
      <c r="DI156" s="1" t="s">
        <v>1003</v>
      </c>
      <c r="DJ156" s="1" t="s">
        <v>222</v>
      </c>
      <c r="DL156" s="1" t="s">
        <v>224</v>
      </c>
      <c r="DM156" s="1" t="s">
        <v>229</v>
      </c>
      <c r="DN156" s="1" t="s">
        <v>1023</v>
      </c>
      <c r="DO156" s="1" t="s">
        <v>549</v>
      </c>
      <c r="DP156" s="1" t="s">
        <v>340</v>
      </c>
      <c r="DQ156" s="1" t="s">
        <v>228</v>
      </c>
      <c r="DR156" s="1" t="s">
        <v>229</v>
      </c>
      <c r="DU156" s="1" t="s">
        <v>1872</v>
      </c>
      <c r="DV156" s="1" t="s">
        <v>2925</v>
      </c>
      <c r="DW156" s="1" t="s">
        <v>444</v>
      </c>
      <c r="DX156" s="1" t="s">
        <v>234</v>
      </c>
      <c r="DY156" s="1" t="s">
        <v>1936</v>
      </c>
      <c r="DZ156" s="1" t="s">
        <v>1146</v>
      </c>
      <c r="EA156" s="1" t="s">
        <v>344</v>
      </c>
      <c r="EC156" s="1" t="s">
        <v>237</v>
      </c>
      <c r="ED156" s="1" t="s">
        <v>407</v>
      </c>
      <c r="EG156" s="1" t="s">
        <v>557</v>
      </c>
      <c r="EH156" s="1" t="s">
        <v>408</v>
      </c>
      <c r="EI156" s="1" t="s">
        <v>450</v>
      </c>
      <c r="EL156" s="1" t="s">
        <v>663</v>
      </c>
      <c r="EM156" s="1" t="s">
        <v>42</v>
      </c>
      <c r="EN156" s="1" t="s">
        <v>301</v>
      </c>
      <c r="EO156" s="1" t="s">
        <v>229</v>
      </c>
      <c r="EP156" s="1" t="s">
        <v>433</v>
      </c>
      <c r="EQ156" s="1" t="s">
        <v>206</v>
      </c>
      <c r="ER156" s="1" t="s">
        <v>207</v>
      </c>
      <c r="ES156" s="1" t="s">
        <v>229</v>
      </c>
      <c r="ET156" s="1" t="s">
        <v>729</v>
      </c>
      <c r="EU156" s="1" t="s">
        <v>42</v>
      </c>
      <c r="EV156" s="1" t="s">
        <v>301</v>
      </c>
      <c r="EW156" s="1" t="s">
        <v>229</v>
      </c>
      <c r="EY156" s="1" t="s">
        <v>238</v>
      </c>
      <c r="FC156" s="1" t="s">
        <v>238</v>
      </c>
      <c r="FF156" s="1" t="s">
        <v>239</v>
      </c>
      <c r="FG156" s="1" t="s">
        <v>192</v>
      </c>
      <c r="FH156" s="1" t="s">
        <v>192</v>
      </c>
      <c r="FJ156" s="1" t="s">
        <v>624</v>
      </c>
      <c r="FK156" s="1" t="s">
        <v>348</v>
      </c>
      <c r="FL156" s="1" t="s">
        <v>2926</v>
      </c>
      <c r="FM156" s="1">
        <v>24809.0</v>
      </c>
      <c r="FN156" s="1" t="s">
        <v>2927</v>
      </c>
      <c r="FO156" s="1" t="s">
        <v>2928</v>
      </c>
      <c r="FP156" s="1">
        <v>237415.0</v>
      </c>
      <c r="FQ156" s="1" t="s">
        <v>2929</v>
      </c>
      <c r="FU156" s="1" t="s">
        <v>2930</v>
      </c>
      <c r="FV156" s="1" t="s">
        <v>200</v>
      </c>
      <c r="FW156" s="1" t="s">
        <v>290</v>
      </c>
      <c r="FZ156" s="1" t="s">
        <v>229</v>
      </c>
      <c r="GA156" s="1" t="s">
        <v>291</v>
      </c>
      <c r="GB156" s="2">
        <v>42059.0</v>
      </c>
      <c r="GC156" s="1" t="s">
        <v>2931</v>
      </c>
    </row>
    <row r="157">
      <c r="A157" s="1">
        <v>363934.0</v>
      </c>
      <c r="B157" s="1" t="s">
        <v>185</v>
      </c>
      <c r="C157" s="1" t="str">
        <f>"08789222"</f>
        <v>08789222</v>
      </c>
      <c r="D157" s="1" t="s">
        <v>186</v>
      </c>
      <c r="F157" s="1" t="str">
        <f>"134"</f>
        <v>134</v>
      </c>
      <c r="G157" s="2">
        <v>41962.0</v>
      </c>
      <c r="H157" s="1">
        <v>377328.0</v>
      </c>
      <c r="I157" s="1">
        <v>89.0</v>
      </c>
      <c r="J157" s="1">
        <v>359328.0</v>
      </c>
      <c r="K157" s="2">
        <v>42050.0</v>
      </c>
      <c r="L157" s="1">
        <v>89.0</v>
      </c>
      <c r="M157" s="2">
        <v>42050.0</v>
      </c>
      <c r="N157" s="1" t="s">
        <v>187</v>
      </c>
      <c r="O157" s="2">
        <v>42132.0</v>
      </c>
      <c r="P157" s="1">
        <v>1634.0</v>
      </c>
      <c r="Q157" s="1">
        <v>118.0</v>
      </c>
      <c r="S157" s="1" t="s">
        <v>2932</v>
      </c>
      <c r="T157" s="1" t="s">
        <v>2933</v>
      </c>
      <c r="U157" s="1" t="s">
        <v>1174</v>
      </c>
      <c r="V157" s="1" t="s">
        <v>421</v>
      </c>
      <c r="W157" s="1">
        <v>60134.0</v>
      </c>
      <c r="Y157" s="1" t="s">
        <v>2934</v>
      </c>
      <c r="Z157" s="1">
        <v>2014.0</v>
      </c>
      <c r="AA157" s="1" t="s">
        <v>200</v>
      </c>
      <c r="AB157" s="1" t="s">
        <v>467</v>
      </c>
      <c r="AC157" s="1" t="s">
        <v>2935</v>
      </c>
      <c r="AD157" s="1" t="s">
        <v>1089</v>
      </c>
      <c r="AE157" s="1" t="s">
        <v>325</v>
      </c>
      <c r="AF157" s="1" t="s">
        <v>1479</v>
      </c>
      <c r="AG157" s="1" t="s">
        <v>2936</v>
      </c>
      <c r="AH157" s="1" t="s">
        <v>2937</v>
      </c>
      <c r="AK157" s="1">
        <v>9.0</v>
      </c>
      <c r="AL157" s="1">
        <v>4.0</v>
      </c>
      <c r="AM157" s="1">
        <v>2.0</v>
      </c>
      <c r="AN157" s="1">
        <v>1.0</v>
      </c>
      <c r="AO157" s="1" t="s">
        <v>198</v>
      </c>
      <c r="AP157" s="1">
        <v>1.0</v>
      </c>
      <c r="AQ157" s="1" t="s">
        <v>198</v>
      </c>
      <c r="AR157" s="1" t="s">
        <v>200</v>
      </c>
      <c r="AS157" s="1" t="s">
        <v>199</v>
      </c>
      <c r="AT157" s="1">
        <v>3.0</v>
      </c>
      <c r="AV157" s="1" t="s">
        <v>200</v>
      </c>
      <c r="AW157" s="1">
        <v>231.54</v>
      </c>
      <c r="AX157" s="1">
        <v>2013.0</v>
      </c>
      <c r="AZ157" s="1" t="s">
        <v>192</v>
      </c>
      <c r="BA157" s="1" t="str">
        <f>"1112127003"</f>
        <v>1112127003</v>
      </c>
      <c r="BC157" s="1">
        <v>2339.0</v>
      </c>
      <c r="BD157" s="1">
        <v>363934.0</v>
      </c>
      <c r="BE157" s="2">
        <v>41962.0</v>
      </c>
      <c r="BF157" s="2" t="s">
        <v>2938</v>
      </c>
      <c r="BH157" s="1">
        <v>0.0</v>
      </c>
      <c r="BK157" s="1" t="s">
        <v>204</v>
      </c>
      <c r="BL157" s="1" t="str">
        <f t="shared" ref="BL157:BM157" si="104">""</f>
        <v/>
      </c>
      <c r="BM157" s="1" t="str">
        <f t="shared" si="104"/>
        <v/>
      </c>
      <c r="BQ157" s="1">
        <v>304.0</v>
      </c>
      <c r="BR157" s="1">
        <v>304.0</v>
      </c>
      <c r="BS157" s="1">
        <v>304.0</v>
      </c>
      <c r="BV157" s="1" t="s">
        <v>204</v>
      </c>
      <c r="BY157" s="1" t="s">
        <v>677</v>
      </c>
      <c r="BZ157" s="1" t="s">
        <v>209</v>
      </c>
      <c r="CA157" s="1" t="s">
        <v>210</v>
      </c>
      <c r="CB157" s="1" t="s">
        <v>229</v>
      </c>
      <c r="CC157" s="1" t="s">
        <v>302</v>
      </c>
      <c r="CD157" s="1" t="s">
        <v>206</v>
      </c>
      <c r="CE157" s="1" t="s">
        <v>210</v>
      </c>
      <c r="CF157" s="1" t="s">
        <v>229</v>
      </c>
      <c r="CG157" s="1" t="s">
        <v>302</v>
      </c>
      <c r="CH157" s="1" t="s">
        <v>209</v>
      </c>
      <c r="CI157" s="1" t="s">
        <v>210</v>
      </c>
      <c r="CJ157" s="1" t="s">
        <v>229</v>
      </c>
      <c r="CK157" s="1" t="s">
        <v>2459</v>
      </c>
      <c r="CL157" s="1" t="s">
        <v>209</v>
      </c>
      <c r="CM157" s="1" t="s">
        <v>210</v>
      </c>
      <c r="CN157" s="1" t="s">
        <v>229</v>
      </c>
      <c r="CO157" s="1" t="s">
        <v>1426</v>
      </c>
      <c r="CP157" s="1" t="s">
        <v>209</v>
      </c>
      <c r="CQ157" s="1" t="s">
        <v>210</v>
      </c>
      <c r="CR157" s="1" t="s">
        <v>229</v>
      </c>
      <c r="CS157" s="1" t="s">
        <v>478</v>
      </c>
      <c r="CT157" s="1" t="s">
        <v>206</v>
      </c>
      <c r="CU157" s="1" t="s">
        <v>207</v>
      </c>
      <c r="CV157" s="1" t="s">
        <v>229</v>
      </c>
      <c r="CW157" s="1" t="s">
        <v>676</v>
      </c>
      <c r="CX157" s="1" t="s">
        <v>206</v>
      </c>
      <c r="CY157" s="1" t="s">
        <v>207</v>
      </c>
      <c r="CZ157" s="1" t="s">
        <v>229</v>
      </c>
      <c r="DA157" s="1" t="s">
        <v>192</v>
      </c>
      <c r="DB157" s="2">
        <v>42004.0</v>
      </c>
      <c r="DC157" s="1" t="s">
        <v>744</v>
      </c>
      <c r="DD157" s="1" t="s">
        <v>679</v>
      </c>
      <c r="DE157" s="1" t="s">
        <v>273</v>
      </c>
      <c r="DF157" s="1" t="s">
        <v>619</v>
      </c>
      <c r="DG157" s="1" t="s">
        <v>1602</v>
      </c>
      <c r="DH157" s="1" t="s">
        <v>1603</v>
      </c>
      <c r="DJ157" s="1" t="s">
        <v>222</v>
      </c>
      <c r="DL157" s="1" t="s">
        <v>223</v>
      </c>
      <c r="DM157" s="1" t="s">
        <v>929</v>
      </c>
      <c r="DN157" s="1" t="s">
        <v>548</v>
      </c>
      <c r="DP157" s="1" t="s">
        <v>340</v>
      </c>
      <c r="DQ157" s="1" t="s">
        <v>228</v>
      </c>
      <c r="DR157" s="1" t="s">
        <v>229</v>
      </c>
      <c r="DS157" s="1" t="s">
        <v>591</v>
      </c>
      <c r="DT157" s="1" t="s">
        <v>2939</v>
      </c>
      <c r="DU157" s="1" t="s">
        <v>2940</v>
      </c>
      <c r="DV157" s="1" t="s">
        <v>2941</v>
      </c>
      <c r="DW157" s="1" t="s">
        <v>233</v>
      </c>
      <c r="DX157" s="1" t="s">
        <v>234</v>
      </c>
      <c r="DY157" s="1" t="s">
        <v>1051</v>
      </c>
      <c r="EA157" s="1" t="s">
        <v>344</v>
      </c>
      <c r="EB157" s="1" t="s">
        <v>597</v>
      </c>
      <c r="EC157" s="1" t="s">
        <v>237</v>
      </c>
      <c r="ED157" s="1" t="s">
        <v>407</v>
      </c>
      <c r="EE157" s="1" t="s">
        <v>493</v>
      </c>
      <c r="EG157" s="1" t="s">
        <v>449</v>
      </c>
      <c r="EH157" s="1" t="s">
        <v>1028</v>
      </c>
      <c r="EL157" s="1" t="s">
        <v>212</v>
      </c>
      <c r="EM157" s="1" t="s">
        <v>206</v>
      </c>
      <c r="EN157" s="1" t="s">
        <v>207</v>
      </c>
      <c r="EO157" s="1" t="s">
        <v>229</v>
      </c>
      <c r="EP157" s="1" t="s">
        <v>302</v>
      </c>
      <c r="EQ157" s="1" t="s">
        <v>206</v>
      </c>
      <c r="ER157" s="1" t="s">
        <v>210</v>
      </c>
      <c r="ES157" s="1" t="s">
        <v>229</v>
      </c>
      <c r="EU157" s="1" t="s">
        <v>238</v>
      </c>
      <c r="EY157" s="1" t="s">
        <v>238</v>
      </c>
      <c r="FC157" s="1" t="s">
        <v>238</v>
      </c>
      <c r="FF157" s="1" t="s">
        <v>239</v>
      </c>
      <c r="FG157" s="1" t="s">
        <v>192</v>
      </c>
      <c r="FH157" s="1" t="s">
        <v>192</v>
      </c>
      <c r="FJ157" s="1" t="s">
        <v>524</v>
      </c>
      <c r="FK157" s="1" t="s">
        <v>229</v>
      </c>
      <c r="FL157" s="1" t="s">
        <v>1614</v>
      </c>
      <c r="FM157" s="1">
        <v>85399.0</v>
      </c>
      <c r="FN157" s="1" t="s">
        <v>1615</v>
      </c>
      <c r="FO157" s="1" t="s">
        <v>1616</v>
      </c>
      <c r="FP157" s="1">
        <v>189649.0</v>
      </c>
      <c r="FQ157" s="1" t="s">
        <v>1615</v>
      </c>
      <c r="FT157" s="1" t="s">
        <v>2942</v>
      </c>
      <c r="FU157" s="1" t="s">
        <v>2943</v>
      </c>
      <c r="FV157" s="1" t="s">
        <v>200</v>
      </c>
      <c r="FW157" s="1" t="s">
        <v>1618</v>
      </c>
      <c r="FZ157" s="1" t="s">
        <v>229</v>
      </c>
      <c r="GA157" s="1" t="s">
        <v>247</v>
      </c>
      <c r="GB157" s="2">
        <v>42135.0</v>
      </c>
      <c r="GC157" s="1" t="s">
        <v>2944</v>
      </c>
    </row>
    <row r="158">
      <c r="A158" s="1">
        <v>66800.0</v>
      </c>
      <c r="B158" s="1" t="s">
        <v>185</v>
      </c>
      <c r="C158" s="1" t="str">
        <f>"08772845"</f>
        <v>08772845</v>
      </c>
      <c r="D158" s="1" t="s">
        <v>186</v>
      </c>
      <c r="F158" s="1" t="str">
        <f>"178"</f>
        <v>178</v>
      </c>
      <c r="G158" s="2">
        <v>41953.0</v>
      </c>
      <c r="H158" s="1">
        <v>82400.0</v>
      </c>
      <c r="I158" s="1">
        <v>45.0</v>
      </c>
      <c r="J158" s="1">
        <v>82400.0</v>
      </c>
      <c r="K158" s="2">
        <v>41997.0</v>
      </c>
      <c r="L158" s="1">
        <v>45.0</v>
      </c>
      <c r="M158" s="2">
        <v>41997.0</v>
      </c>
      <c r="N158" s="1" t="s">
        <v>249</v>
      </c>
      <c r="O158" s="2">
        <v>42013.0</v>
      </c>
      <c r="P158" s="1">
        <v>930214.0</v>
      </c>
      <c r="Q158" s="1">
        <v>93083.0</v>
      </c>
      <c r="S158" s="1">
        <v>1404.0</v>
      </c>
      <c r="T158" s="1" t="s">
        <v>2945</v>
      </c>
      <c r="U158" s="1" t="s">
        <v>569</v>
      </c>
      <c r="V158" s="1" t="s">
        <v>994</v>
      </c>
      <c r="W158" s="1">
        <v>60178.0</v>
      </c>
      <c r="Y158" s="1" t="s">
        <v>2946</v>
      </c>
      <c r="Z158" s="1">
        <v>1979.0</v>
      </c>
      <c r="AA158" s="1" t="s">
        <v>200</v>
      </c>
      <c r="AB158" s="1" t="s">
        <v>193</v>
      </c>
      <c r="AD158" s="1" t="s">
        <v>997</v>
      </c>
      <c r="AE158" s="1" t="s">
        <v>613</v>
      </c>
      <c r="AF158" s="1" t="s">
        <v>997</v>
      </c>
      <c r="AH158" s="1" t="s">
        <v>2947</v>
      </c>
      <c r="AI158" s="1">
        <v>0.25</v>
      </c>
      <c r="AK158" s="1">
        <v>7.0</v>
      </c>
      <c r="AL158" s="1">
        <v>4.0</v>
      </c>
      <c r="AM158" s="1">
        <v>1.0</v>
      </c>
      <c r="AN158" s="1">
        <v>0.0</v>
      </c>
      <c r="AO158" s="1" t="s">
        <v>229</v>
      </c>
      <c r="AQ158" s="1" t="s">
        <v>198</v>
      </c>
      <c r="AR158" s="1" t="s">
        <v>200</v>
      </c>
      <c r="AS158" s="1" t="s">
        <v>199</v>
      </c>
      <c r="AT158" s="1">
        <v>2.0</v>
      </c>
      <c r="AV158" s="1" t="s">
        <v>200</v>
      </c>
      <c r="AW158" s="1">
        <v>3237.82</v>
      </c>
      <c r="AX158" s="1">
        <v>2013.0</v>
      </c>
      <c r="AZ158" s="1" t="s">
        <v>200</v>
      </c>
      <c r="BA158" s="1" t="str">
        <f>"0628101011"</f>
        <v>0628101011</v>
      </c>
      <c r="BC158" s="1">
        <v>1646.0</v>
      </c>
      <c r="BD158" s="1">
        <v>66800.0</v>
      </c>
      <c r="BE158" s="2">
        <v>41953.0</v>
      </c>
      <c r="BF158" s="1" t="s">
        <v>2948</v>
      </c>
      <c r="BH158" s="1">
        <v>0.0</v>
      </c>
      <c r="BK158" s="1" t="s">
        <v>204</v>
      </c>
      <c r="BL158" s="1" t="str">
        <f t="shared" ref="BL158:BM158" si="105">"0"</f>
        <v>0</v>
      </c>
      <c r="BM158" s="1" t="str">
        <f t="shared" si="105"/>
        <v>0</v>
      </c>
      <c r="BN158" s="1">
        <v>0.0</v>
      </c>
      <c r="BO158" s="1">
        <v>0.0</v>
      </c>
      <c r="BQ158" s="1">
        <v>427.0</v>
      </c>
      <c r="BR158" s="1">
        <v>427.0</v>
      </c>
      <c r="BS158" s="1">
        <v>427.0</v>
      </c>
      <c r="BU158" s="1" t="s">
        <v>213</v>
      </c>
      <c r="BV158" s="1" t="s">
        <v>206</v>
      </c>
      <c r="BY158" s="1" t="s">
        <v>1417</v>
      </c>
      <c r="BZ158" s="1" t="s">
        <v>206</v>
      </c>
      <c r="CD158" s="1" t="s">
        <v>204</v>
      </c>
      <c r="CG158" s="1" t="s">
        <v>815</v>
      </c>
      <c r="CH158" s="1" t="s">
        <v>206</v>
      </c>
      <c r="CK158" s="1" t="s">
        <v>1672</v>
      </c>
      <c r="CL158" s="1" t="s">
        <v>206</v>
      </c>
      <c r="CO158" s="1" t="s">
        <v>478</v>
      </c>
      <c r="CP158" s="1" t="s">
        <v>209</v>
      </c>
      <c r="CS158" s="1" t="s">
        <v>300</v>
      </c>
      <c r="CT158" s="1" t="s">
        <v>206</v>
      </c>
      <c r="CX158" s="1" t="s">
        <v>204</v>
      </c>
      <c r="DA158" s="1" t="s">
        <v>200</v>
      </c>
      <c r="DC158" s="1" t="s">
        <v>395</v>
      </c>
      <c r="DE158" s="1" t="s">
        <v>273</v>
      </c>
      <c r="DF158" s="1" t="s">
        <v>619</v>
      </c>
      <c r="DH158" s="1" t="s">
        <v>856</v>
      </c>
      <c r="DJ158" s="1" t="s">
        <v>222</v>
      </c>
      <c r="DL158" s="1" t="s">
        <v>223</v>
      </c>
      <c r="DM158" s="1" t="s">
        <v>229</v>
      </c>
      <c r="DQ158" s="1" t="s">
        <v>441</v>
      </c>
      <c r="DR158" s="1" t="s">
        <v>229</v>
      </c>
      <c r="DV158" s="1" t="s">
        <v>341</v>
      </c>
      <c r="DW158" s="1" t="s">
        <v>233</v>
      </c>
      <c r="DX158" s="1" t="s">
        <v>234</v>
      </c>
      <c r="EC158" s="1" t="s">
        <v>645</v>
      </c>
      <c r="EG158" s="1" t="s">
        <v>341</v>
      </c>
      <c r="EL158" s="1" t="s">
        <v>212</v>
      </c>
      <c r="EM158" s="1" t="s">
        <v>209</v>
      </c>
      <c r="EQ158" s="1" t="s">
        <v>238</v>
      </c>
      <c r="EU158" s="1" t="s">
        <v>238</v>
      </c>
      <c r="EY158" s="1" t="s">
        <v>238</v>
      </c>
      <c r="FC158" s="1" t="s">
        <v>238</v>
      </c>
      <c r="FF158" s="1" t="s">
        <v>239</v>
      </c>
      <c r="FG158" s="1" t="s">
        <v>192</v>
      </c>
      <c r="FH158" s="1" t="s">
        <v>192</v>
      </c>
      <c r="FJ158" s="1" t="s">
        <v>347</v>
      </c>
      <c r="FK158" s="1" t="s">
        <v>229</v>
      </c>
      <c r="FL158" s="1" t="s">
        <v>2949</v>
      </c>
      <c r="FM158" s="1">
        <v>93083.0</v>
      </c>
      <c r="FN158" s="1" t="s">
        <v>2950</v>
      </c>
      <c r="FO158" s="1" t="s">
        <v>2951</v>
      </c>
      <c r="FP158" s="1">
        <v>930215.0</v>
      </c>
      <c r="FR158" s="1">
        <v>930217.0</v>
      </c>
      <c r="FS158" s="1">
        <v>930217.0</v>
      </c>
      <c r="FU158" s="1" t="s">
        <v>2952</v>
      </c>
      <c r="FV158" s="1" t="s">
        <v>200</v>
      </c>
      <c r="FW158" s="1" t="s">
        <v>1524</v>
      </c>
      <c r="FZ158" s="1" t="s">
        <v>229</v>
      </c>
      <c r="GA158" s="1" t="s">
        <v>291</v>
      </c>
      <c r="GB158" s="2">
        <v>42013.0</v>
      </c>
      <c r="GC158" s="1" t="s">
        <v>2953</v>
      </c>
    </row>
    <row r="159">
      <c r="A159" s="1">
        <v>210000.0</v>
      </c>
      <c r="B159" s="1" t="s">
        <v>185</v>
      </c>
      <c r="C159" s="1" t="str">
        <f>"08768203"</f>
        <v>08768203</v>
      </c>
      <c r="D159" s="1" t="s">
        <v>186</v>
      </c>
      <c r="F159" s="1" t="str">
        <f>"110"</f>
        <v>110</v>
      </c>
      <c r="G159" s="2">
        <v>41947.0</v>
      </c>
      <c r="H159" s="1">
        <v>235000.0</v>
      </c>
      <c r="I159" s="1">
        <v>139.0</v>
      </c>
      <c r="J159" s="1">
        <v>225000.0</v>
      </c>
      <c r="K159" s="2">
        <v>42085.0</v>
      </c>
      <c r="L159" s="1">
        <v>139.0</v>
      </c>
      <c r="M159" s="2">
        <v>42085.0</v>
      </c>
      <c r="N159" s="1" t="s">
        <v>356</v>
      </c>
      <c r="O159" s="2">
        <v>42138.0</v>
      </c>
      <c r="P159" s="1">
        <v>120780.0</v>
      </c>
      <c r="Q159" s="1">
        <v>16936.0</v>
      </c>
      <c r="R159" s="1">
        <v>4000.0</v>
      </c>
      <c r="S159" s="1">
        <v>2805.0</v>
      </c>
      <c r="T159" s="1" t="s">
        <v>2954</v>
      </c>
      <c r="U159" s="1" t="s">
        <v>569</v>
      </c>
      <c r="V159" s="1" t="s">
        <v>807</v>
      </c>
      <c r="W159" s="1">
        <v>60110.0</v>
      </c>
      <c r="X159" s="1">
        <v>3375.0</v>
      </c>
      <c r="Y159" s="1" t="s">
        <v>2955</v>
      </c>
      <c r="Z159" s="1">
        <v>1997.0</v>
      </c>
      <c r="AA159" s="1" t="s">
        <v>200</v>
      </c>
      <c r="AB159" s="1" t="s">
        <v>193</v>
      </c>
      <c r="AC159" s="1" t="s">
        <v>2956</v>
      </c>
      <c r="AD159" s="1" t="s">
        <v>809</v>
      </c>
      <c r="AE159" s="1" t="s">
        <v>325</v>
      </c>
      <c r="AF159" s="1" t="s">
        <v>810</v>
      </c>
      <c r="AG159" s="1" t="s">
        <v>1177</v>
      </c>
      <c r="AH159" s="1" t="s">
        <v>2957</v>
      </c>
      <c r="AK159" s="1">
        <v>9.0</v>
      </c>
      <c r="AL159" s="1">
        <v>4.0</v>
      </c>
      <c r="AM159" s="1">
        <v>2.0</v>
      </c>
      <c r="AN159" s="1">
        <v>1.0</v>
      </c>
      <c r="AO159" s="1" t="s">
        <v>198</v>
      </c>
      <c r="AP159" s="1">
        <v>1.0</v>
      </c>
      <c r="AQ159" s="1" t="s">
        <v>198</v>
      </c>
      <c r="AR159" s="1" t="s">
        <v>200</v>
      </c>
      <c r="AS159" s="1" t="s">
        <v>199</v>
      </c>
      <c r="AT159" s="1">
        <v>2.0</v>
      </c>
      <c r="AV159" s="1" t="s">
        <v>200</v>
      </c>
      <c r="AW159" s="1">
        <v>7306.6</v>
      </c>
      <c r="AX159" s="1">
        <v>2013.0</v>
      </c>
      <c r="AY159" s="1" t="s">
        <v>229</v>
      </c>
      <c r="AZ159" s="1" t="s">
        <v>200</v>
      </c>
      <c r="BA159" s="1" t="str">
        <f>"0307379006"</f>
        <v>0307379006</v>
      </c>
      <c r="BC159" s="1">
        <v>0.0</v>
      </c>
      <c r="BD159" s="1">
        <v>210000.0</v>
      </c>
      <c r="BE159" s="2">
        <v>41947.0</v>
      </c>
      <c r="BF159" s="2" t="s">
        <v>2958</v>
      </c>
      <c r="BH159" s="1">
        <v>125.0</v>
      </c>
      <c r="BJ159" s="1" t="s">
        <v>1759</v>
      </c>
      <c r="BK159" s="1" t="s">
        <v>580</v>
      </c>
      <c r="BL159" s="1" t="str">
        <f>"18"</f>
        <v>18</v>
      </c>
      <c r="BM159" s="1" t="str">
        <f>"0"</f>
        <v>0</v>
      </c>
      <c r="BN159" s="1">
        <v>37.0</v>
      </c>
      <c r="BO159" s="1">
        <v>0.0</v>
      </c>
      <c r="BQ159" s="1">
        <v>300.0</v>
      </c>
      <c r="BR159" s="1">
        <v>300.0</v>
      </c>
      <c r="BS159" s="1">
        <v>300.0</v>
      </c>
      <c r="BU159" s="1" t="s">
        <v>699</v>
      </c>
      <c r="BV159" s="1" t="s">
        <v>206</v>
      </c>
      <c r="BW159" s="1" t="s">
        <v>210</v>
      </c>
      <c r="BY159" s="1" t="s">
        <v>433</v>
      </c>
      <c r="BZ159" s="1" t="s">
        <v>209</v>
      </c>
      <c r="CA159" s="1" t="s">
        <v>210</v>
      </c>
      <c r="CC159" s="1" t="s">
        <v>699</v>
      </c>
      <c r="CD159" s="1" t="s">
        <v>206</v>
      </c>
      <c r="CE159" s="1" t="s">
        <v>210</v>
      </c>
      <c r="CG159" s="1" t="s">
        <v>269</v>
      </c>
      <c r="CH159" s="1" t="s">
        <v>209</v>
      </c>
      <c r="CI159" s="1" t="s">
        <v>210</v>
      </c>
      <c r="CK159" s="1" t="s">
        <v>269</v>
      </c>
      <c r="CL159" s="1" t="s">
        <v>209</v>
      </c>
      <c r="CM159" s="1" t="s">
        <v>210</v>
      </c>
      <c r="CO159" s="1" t="s">
        <v>699</v>
      </c>
      <c r="CP159" s="1" t="s">
        <v>209</v>
      </c>
      <c r="CQ159" s="1" t="s">
        <v>210</v>
      </c>
      <c r="CS159" s="1" t="s">
        <v>2459</v>
      </c>
      <c r="CT159" s="1" t="s">
        <v>206</v>
      </c>
      <c r="CU159" s="1" t="s">
        <v>301</v>
      </c>
      <c r="CW159" s="1" t="s">
        <v>215</v>
      </c>
      <c r="CX159" s="1" t="s">
        <v>206</v>
      </c>
      <c r="CY159" s="1" t="s">
        <v>301</v>
      </c>
      <c r="DA159" s="1" t="s">
        <v>200</v>
      </c>
      <c r="DC159" s="1" t="s">
        <v>678</v>
      </c>
      <c r="DD159" s="1" t="s">
        <v>926</v>
      </c>
      <c r="DE159" s="1" t="s">
        <v>273</v>
      </c>
      <c r="DF159" s="1" t="s">
        <v>219</v>
      </c>
      <c r="DG159" s="1" t="s">
        <v>337</v>
      </c>
      <c r="DH159" s="1" t="s">
        <v>220</v>
      </c>
      <c r="DI159" s="1" t="s">
        <v>275</v>
      </c>
      <c r="DJ159" s="1" t="s">
        <v>222</v>
      </c>
      <c r="DK159" s="1" t="s">
        <v>223</v>
      </c>
      <c r="DL159" s="1" t="s">
        <v>224</v>
      </c>
      <c r="DM159" s="1" t="s">
        <v>229</v>
      </c>
      <c r="DN159" s="1" t="s">
        <v>339</v>
      </c>
      <c r="DO159" s="1" t="s">
        <v>2421</v>
      </c>
      <c r="DP159" s="1" t="s">
        <v>276</v>
      </c>
      <c r="DQ159" s="1" t="s">
        <v>228</v>
      </c>
      <c r="DR159" s="1" t="s">
        <v>229</v>
      </c>
      <c r="DS159" s="1" t="s">
        <v>591</v>
      </c>
      <c r="DU159" s="1" t="s">
        <v>2959</v>
      </c>
      <c r="DV159" s="1" t="s">
        <v>2960</v>
      </c>
      <c r="DW159" s="1" t="s">
        <v>233</v>
      </c>
      <c r="DX159" s="1" t="s">
        <v>234</v>
      </c>
      <c r="DY159" s="1" t="s">
        <v>2961</v>
      </c>
      <c r="DZ159" s="1" t="s">
        <v>2204</v>
      </c>
      <c r="EA159" s="1" t="s">
        <v>1027</v>
      </c>
      <c r="EB159" s="1" t="s">
        <v>372</v>
      </c>
      <c r="EC159" s="1" t="s">
        <v>237</v>
      </c>
      <c r="ED159" s="1" t="s">
        <v>407</v>
      </c>
      <c r="EG159" s="1" t="s">
        <v>450</v>
      </c>
      <c r="EH159" s="1" t="s">
        <v>1102</v>
      </c>
      <c r="EJ159" s="1" t="s">
        <v>1103</v>
      </c>
      <c r="EL159" s="1" t="s">
        <v>2962</v>
      </c>
      <c r="EM159" s="1" t="s">
        <v>42</v>
      </c>
      <c r="EN159" s="1" t="s">
        <v>210</v>
      </c>
      <c r="EP159" s="1" t="s">
        <v>1158</v>
      </c>
      <c r="EQ159" s="1" t="s">
        <v>206</v>
      </c>
      <c r="ER159" s="1" t="s">
        <v>301</v>
      </c>
      <c r="EU159" s="1" t="s">
        <v>238</v>
      </c>
      <c r="EX159" s="1" t="s">
        <v>212</v>
      </c>
      <c r="EY159" s="1" t="s">
        <v>42</v>
      </c>
      <c r="EZ159" s="1" t="s">
        <v>588</v>
      </c>
      <c r="FC159" s="1" t="s">
        <v>238</v>
      </c>
      <c r="FF159" s="1" t="s">
        <v>239</v>
      </c>
      <c r="FG159" s="1" t="s">
        <v>192</v>
      </c>
      <c r="FH159" s="1" t="s">
        <v>192</v>
      </c>
      <c r="FJ159" s="1" t="s">
        <v>1469</v>
      </c>
      <c r="FK159" s="1" t="s">
        <v>229</v>
      </c>
      <c r="FL159" s="1" t="s">
        <v>456</v>
      </c>
      <c r="FM159" s="1">
        <v>98.0</v>
      </c>
      <c r="FN159" s="1" t="s">
        <v>2963</v>
      </c>
      <c r="FO159" s="1" t="s">
        <v>2964</v>
      </c>
      <c r="FP159" s="1">
        <v>594.0</v>
      </c>
      <c r="FU159" s="1" t="s">
        <v>2965</v>
      </c>
      <c r="FV159" s="1" t="s">
        <v>200</v>
      </c>
      <c r="FW159" s="1" t="s">
        <v>290</v>
      </c>
      <c r="FZ159" s="1" t="s">
        <v>229</v>
      </c>
      <c r="GA159" s="1" t="s">
        <v>247</v>
      </c>
      <c r="GB159" s="2">
        <v>42138.0</v>
      </c>
    </row>
    <row r="160">
      <c r="A160" s="1">
        <v>170000.0</v>
      </c>
      <c r="B160" s="1" t="s">
        <v>185</v>
      </c>
      <c r="C160" s="1" t="str">
        <f>"08766606"</f>
        <v>08766606</v>
      </c>
      <c r="D160" s="1" t="s">
        <v>186</v>
      </c>
      <c r="F160" s="1" t="str">
        <f>"8044"</f>
        <v>8044</v>
      </c>
      <c r="G160" s="2">
        <v>41944.0</v>
      </c>
      <c r="H160" s="1">
        <v>172000.0</v>
      </c>
      <c r="I160" s="1">
        <v>107.0</v>
      </c>
      <c r="J160" s="1">
        <v>172000.0</v>
      </c>
      <c r="K160" s="2">
        <v>41949.0</v>
      </c>
      <c r="L160" s="1">
        <v>6.0</v>
      </c>
      <c r="M160" s="2">
        <v>41949.0</v>
      </c>
      <c r="N160" s="1" t="s">
        <v>356</v>
      </c>
      <c r="O160" s="2">
        <v>42031.0</v>
      </c>
      <c r="P160" s="1">
        <v>150115.0</v>
      </c>
      <c r="Q160" s="1">
        <v>17776.0</v>
      </c>
      <c r="R160" s="1">
        <v>3.0</v>
      </c>
      <c r="S160" s="1">
        <v>8528.0</v>
      </c>
      <c r="T160" s="1" t="s">
        <v>2966</v>
      </c>
      <c r="U160" s="1" t="s">
        <v>189</v>
      </c>
      <c r="V160" s="1" t="s">
        <v>190</v>
      </c>
      <c r="W160" s="1">
        <v>60619.0</v>
      </c>
      <c r="Y160" s="1" t="s">
        <v>2967</v>
      </c>
      <c r="Z160" s="1">
        <v>1957.0</v>
      </c>
      <c r="AA160" s="1" t="s">
        <v>192</v>
      </c>
      <c r="AB160" s="1" t="s">
        <v>193</v>
      </c>
      <c r="AD160" s="1" t="s">
        <v>194</v>
      </c>
      <c r="AE160" s="1" t="s">
        <v>195</v>
      </c>
      <c r="AF160" s="1" t="s">
        <v>637</v>
      </c>
      <c r="AH160" s="1" t="s">
        <v>2968</v>
      </c>
      <c r="AK160" s="1">
        <v>8.0</v>
      </c>
      <c r="AL160" s="1">
        <v>3.0</v>
      </c>
      <c r="AM160" s="1">
        <v>3.0</v>
      </c>
      <c r="AN160" s="1">
        <v>0.0</v>
      </c>
      <c r="AO160" s="1" t="s">
        <v>198</v>
      </c>
      <c r="AQ160" s="1" t="s">
        <v>198</v>
      </c>
      <c r="AR160" s="1" t="s">
        <v>192</v>
      </c>
      <c r="AS160" s="1" t="s">
        <v>828</v>
      </c>
      <c r="AU160" s="1">
        <v>2.0</v>
      </c>
      <c r="AV160" s="1" t="s">
        <v>200</v>
      </c>
      <c r="AW160" s="1">
        <v>2204.0</v>
      </c>
      <c r="AX160" s="1">
        <v>2013.0</v>
      </c>
      <c r="AZ160" s="1" t="s">
        <v>200</v>
      </c>
      <c r="BA160" s="1" t="str">
        <f>"20343160190000"</f>
        <v>20343160190000</v>
      </c>
      <c r="BB160" s="1" t="s">
        <v>200</v>
      </c>
      <c r="BC160" s="1">
        <v>1220.0</v>
      </c>
      <c r="BD160" s="1">
        <v>170000.0</v>
      </c>
      <c r="BE160" s="2">
        <v>41944.0</v>
      </c>
      <c r="BF160" s="2" t="s">
        <v>2969</v>
      </c>
      <c r="BH160" s="1">
        <v>0.0</v>
      </c>
      <c r="BK160" s="1" t="s">
        <v>204</v>
      </c>
      <c r="BL160" s="1" t="str">
        <f>"0"</f>
        <v>0</v>
      </c>
      <c r="BM160" s="1" t="str">
        <f>"300"</f>
        <v>300</v>
      </c>
      <c r="BN160" s="1">
        <v>0.0</v>
      </c>
      <c r="BO160" s="1">
        <v>8528.0</v>
      </c>
      <c r="BQ160" s="1">
        <v>299.0</v>
      </c>
      <c r="BR160" s="1">
        <v>299.0</v>
      </c>
      <c r="BS160" s="1">
        <v>299.0</v>
      </c>
      <c r="BU160" s="1" t="s">
        <v>1535</v>
      </c>
      <c r="BV160" s="1" t="s">
        <v>206</v>
      </c>
      <c r="BW160" s="1" t="s">
        <v>210</v>
      </c>
      <c r="BY160" s="1" t="s">
        <v>433</v>
      </c>
      <c r="BZ160" s="1" t="s">
        <v>206</v>
      </c>
      <c r="CA160" s="1" t="s">
        <v>207</v>
      </c>
      <c r="CC160" s="1" t="s">
        <v>363</v>
      </c>
      <c r="CD160" s="1" t="s">
        <v>206</v>
      </c>
      <c r="CE160" s="1" t="s">
        <v>207</v>
      </c>
      <c r="CG160" s="1" t="s">
        <v>264</v>
      </c>
      <c r="CH160" s="1" t="s">
        <v>206</v>
      </c>
      <c r="CI160" s="1" t="s">
        <v>207</v>
      </c>
      <c r="CK160" s="1" t="s">
        <v>495</v>
      </c>
      <c r="CL160" s="1" t="s">
        <v>206</v>
      </c>
      <c r="CM160" s="1" t="s">
        <v>207</v>
      </c>
      <c r="CO160" s="1" t="s">
        <v>212</v>
      </c>
      <c r="CP160" s="1" t="s">
        <v>42</v>
      </c>
      <c r="CQ160" s="1" t="s">
        <v>210</v>
      </c>
      <c r="CS160" s="1" t="s">
        <v>264</v>
      </c>
      <c r="CT160" s="1" t="s">
        <v>206</v>
      </c>
      <c r="CU160" s="1" t="s">
        <v>268</v>
      </c>
      <c r="CW160" s="1" t="s">
        <v>730</v>
      </c>
      <c r="CX160" s="1" t="s">
        <v>42</v>
      </c>
      <c r="CY160" s="1" t="s">
        <v>268</v>
      </c>
      <c r="DA160" s="1" t="s">
        <v>200</v>
      </c>
      <c r="DC160" s="1" t="s">
        <v>271</v>
      </c>
      <c r="DD160" s="1" t="s">
        <v>518</v>
      </c>
      <c r="DE160" s="1" t="s">
        <v>229</v>
      </c>
      <c r="DF160" s="1" t="s">
        <v>219</v>
      </c>
      <c r="DH160" s="1" t="s">
        <v>307</v>
      </c>
      <c r="DI160" s="1" t="s">
        <v>2970</v>
      </c>
      <c r="DJ160" s="1" t="s">
        <v>222</v>
      </c>
      <c r="DL160" s="1" t="s">
        <v>224</v>
      </c>
      <c r="DM160" s="1" t="s">
        <v>229</v>
      </c>
      <c r="DN160" s="1" t="s">
        <v>666</v>
      </c>
      <c r="DP160" s="1" t="s">
        <v>340</v>
      </c>
      <c r="DQ160" s="1" t="s">
        <v>228</v>
      </c>
      <c r="DR160" s="1" t="s">
        <v>229</v>
      </c>
      <c r="DV160" s="1" t="s">
        <v>2971</v>
      </c>
      <c r="DW160" s="1" t="s">
        <v>279</v>
      </c>
      <c r="DX160" s="1" t="s">
        <v>234</v>
      </c>
      <c r="DY160" s="1" t="s">
        <v>2972</v>
      </c>
      <c r="EA160" s="1" t="s">
        <v>1302</v>
      </c>
      <c r="EC160" s="1" t="s">
        <v>685</v>
      </c>
      <c r="EG160" s="1" t="s">
        <v>2971</v>
      </c>
      <c r="EL160" s="1" t="s">
        <v>495</v>
      </c>
      <c r="EM160" s="1" t="s">
        <v>42</v>
      </c>
      <c r="EN160" s="1" t="s">
        <v>268</v>
      </c>
      <c r="EQ160" s="1" t="s">
        <v>238</v>
      </c>
      <c r="EU160" s="1" t="s">
        <v>238</v>
      </c>
      <c r="EY160" s="1" t="s">
        <v>238</v>
      </c>
      <c r="FC160" s="1" t="s">
        <v>238</v>
      </c>
      <c r="FF160" s="1" t="s">
        <v>239</v>
      </c>
      <c r="FG160" s="1" t="s">
        <v>200</v>
      </c>
      <c r="FH160" s="1" t="s">
        <v>192</v>
      </c>
      <c r="FJ160" s="1" t="s">
        <v>524</v>
      </c>
      <c r="FK160" s="1" t="s">
        <v>229</v>
      </c>
      <c r="FL160" s="1" t="s">
        <v>525</v>
      </c>
      <c r="FM160" s="1">
        <v>22029.0</v>
      </c>
      <c r="FN160" s="1" t="s">
        <v>526</v>
      </c>
      <c r="FO160" s="1" t="s">
        <v>2973</v>
      </c>
      <c r="FP160" s="1">
        <v>232119.0</v>
      </c>
      <c r="FQ160" s="1" t="s">
        <v>2974</v>
      </c>
      <c r="FU160" s="1" t="s">
        <v>2975</v>
      </c>
      <c r="FV160" s="1" t="s">
        <v>192</v>
      </c>
      <c r="FW160" s="1" t="s">
        <v>290</v>
      </c>
      <c r="FX160" s="1" t="s">
        <v>655</v>
      </c>
      <c r="FZ160" s="1" t="s">
        <v>229</v>
      </c>
      <c r="GA160" s="1" t="s">
        <v>247</v>
      </c>
      <c r="GB160" s="2">
        <v>42031.0</v>
      </c>
    </row>
    <row r="161">
      <c r="A161" s="1">
        <v>181000.0</v>
      </c>
      <c r="B161" s="1" t="s">
        <v>185</v>
      </c>
      <c r="C161" s="1" t="str">
        <f>"08765348"</f>
        <v>08765348</v>
      </c>
      <c r="D161" s="1" t="s">
        <v>186</v>
      </c>
      <c r="F161" s="1" t="str">
        <f>"119"</f>
        <v>119</v>
      </c>
      <c r="G161" s="2">
        <v>41942.0</v>
      </c>
      <c r="H161" s="1">
        <v>186894.0</v>
      </c>
      <c r="I161" s="1">
        <v>42.0</v>
      </c>
      <c r="J161" s="1">
        <v>169900.0</v>
      </c>
      <c r="K161" s="2">
        <v>41983.0</v>
      </c>
      <c r="L161" s="1">
        <v>42.0</v>
      </c>
      <c r="M161" s="2">
        <v>41983.0</v>
      </c>
      <c r="N161" s="1" t="s">
        <v>187</v>
      </c>
      <c r="O161" s="2">
        <v>42020.0</v>
      </c>
      <c r="P161" s="1">
        <v>236567.0</v>
      </c>
      <c r="Q161" s="1">
        <v>24634.0</v>
      </c>
      <c r="S161" s="1">
        <v>407.0</v>
      </c>
      <c r="T161" s="1" t="s">
        <v>2976</v>
      </c>
      <c r="U161" s="1" t="s">
        <v>569</v>
      </c>
      <c r="V161" s="1" t="s">
        <v>1476</v>
      </c>
      <c r="W161" s="1">
        <v>60119.0</v>
      </c>
      <c r="Y161" s="1" t="s">
        <v>2977</v>
      </c>
      <c r="Z161" s="1">
        <v>1994.0</v>
      </c>
      <c r="AA161" s="1" t="s">
        <v>200</v>
      </c>
      <c r="AB161" s="1" t="s">
        <v>193</v>
      </c>
      <c r="AD161" s="1" t="s">
        <v>1478</v>
      </c>
      <c r="AE161" s="1" t="s">
        <v>325</v>
      </c>
      <c r="AF161" s="1" t="s">
        <v>1479</v>
      </c>
      <c r="AH161" s="1">
        <v>11625.0</v>
      </c>
      <c r="AK161" s="1">
        <v>9.0</v>
      </c>
      <c r="AL161" s="1">
        <v>3.0</v>
      </c>
      <c r="AM161" s="1">
        <v>2.0</v>
      </c>
      <c r="AN161" s="1">
        <v>1.0</v>
      </c>
      <c r="AO161" s="1" t="s">
        <v>1261</v>
      </c>
      <c r="AQ161" s="1" t="s">
        <v>198</v>
      </c>
      <c r="AR161" s="1" t="s">
        <v>192</v>
      </c>
      <c r="AS161" s="1" t="s">
        <v>199</v>
      </c>
      <c r="AT161" s="1">
        <v>2.0</v>
      </c>
      <c r="AV161" s="1" t="s">
        <v>200</v>
      </c>
      <c r="AW161" s="1">
        <v>5697.0</v>
      </c>
      <c r="AX161" s="1">
        <v>2013.0</v>
      </c>
      <c r="AZ161" s="1" t="s">
        <v>545</v>
      </c>
      <c r="BA161" s="1" t="str">
        <f>"1106403019"</f>
        <v>1106403019</v>
      </c>
      <c r="BC161" s="1">
        <v>1824.0</v>
      </c>
      <c r="BD161" s="1">
        <v>181000.0</v>
      </c>
      <c r="BE161" s="2">
        <v>41942.0</v>
      </c>
      <c r="BF161" s="2" t="s">
        <v>2978</v>
      </c>
      <c r="BH161" s="1">
        <v>0.0</v>
      </c>
      <c r="BK161" s="1" t="s">
        <v>204</v>
      </c>
      <c r="BL161" s="1" t="str">
        <f t="shared" ref="BL161:BM161" si="106">""</f>
        <v/>
      </c>
      <c r="BM161" s="1" t="str">
        <f t="shared" si="106"/>
        <v/>
      </c>
      <c r="BQ161" s="1">
        <v>302.0</v>
      </c>
      <c r="BR161" s="1">
        <v>302.0</v>
      </c>
      <c r="BS161" s="1">
        <v>302.0</v>
      </c>
      <c r="BU161" s="1" t="s">
        <v>2900</v>
      </c>
      <c r="BV161" s="1" t="s">
        <v>206</v>
      </c>
      <c r="BY161" s="1" t="s">
        <v>1875</v>
      </c>
      <c r="BZ161" s="1" t="s">
        <v>209</v>
      </c>
      <c r="CC161" s="1" t="s">
        <v>269</v>
      </c>
      <c r="CD161" s="1" t="s">
        <v>206</v>
      </c>
      <c r="CG161" s="1" t="s">
        <v>300</v>
      </c>
      <c r="CH161" s="1" t="s">
        <v>209</v>
      </c>
      <c r="CK161" s="1" t="s">
        <v>1395</v>
      </c>
      <c r="CL161" s="1" t="s">
        <v>209</v>
      </c>
      <c r="CO161" s="1" t="s">
        <v>264</v>
      </c>
      <c r="CP161" s="1" t="s">
        <v>42</v>
      </c>
      <c r="CS161" s="1" t="s">
        <v>1875</v>
      </c>
      <c r="CT161" s="1" t="s">
        <v>206</v>
      </c>
      <c r="CW161" s="1" t="s">
        <v>2979</v>
      </c>
      <c r="CX161" s="1" t="s">
        <v>42</v>
      </c>
      <c r="DA161" s="1" t="s">
        <v>200</v>
      </c>
      <c r="DC161" s="1" t="s">
        <v>678</v>
      </c>
      <c r="DE161" s="1" t="s">
        <v>273</v>
      </c>
      <c r="DF161" s="1" t="s">
        <v>219</v>
      </c>
      <c r="DH161" s="1" t="s">
        <v>220</v>
      </c>
      <c r="DJ161" s="1" t="s">
        <v>222</v>
      </c>
      <c r="DL161" s="1" t="s">
        <v>224</v>
      </c>
      <c r="DM161" s="1" t="s">
        <v>229</v>
      </c>
      <c r="DQ161" s="1" t="s">
        <v>228</v>
      </c>
      <c r="DR161" s="1" t="s">
        <v>229</v>
      </c>
      <c r="DV161" s="1" t="s">
        <v>494</v>
      </c>
      <c r="DW161" s="1" t="s">
        <v>233</v>
      </c>
      <c r="DX161" s="1" t="s">
        <v>234</v>
      </c>
      <c r="EC161" s="1" t="s">
        <v>237</v>
      </c>
      <c r="EG161" s="1" t="s">
        <v>494</v>
      </c>
      <c r="EL161" s="1" t="s">
        <v>269</v>
      </c>
      <c r="EM161" s="1" t="s">
        <v>206</v>
      </c>
      <c r="EQ161" s="1" t="s">
        <v>238</v>
      </c>
      <c r="EU161" s="1" t="s">
        <v>238</v>
      </c>
      <c r="EY161" s="1" t="s">
        <v>238</v>
      </c>
      <c r="FC161" s="1" t="s">
        <v>238</v>
      </c>
      <c r="FF161" s="1" t="s">
        <v>239</v>
      </c>
      <c r="FG161" s="1" t="s">
        <v>192</v>
      </c>
      <c r="FH161" s="1" t="s">
        <v>192</v>
      </c>
      <c r="FJ161" s="1" t="s">
        <v>770</v>
      </c>
      <c r="FK161" s="1" t="s">
        <v>229</v>
      </c>
      <c r="FL161" s="1" t="s">
        <v>1383</v>
      </c>
      <c r="FM161" s="1">
        <v>24370.0</v>
      </c>
      <c r="FN161" s="1" t="s">
        <v>1384</v>
      </c>
      <c r="FO161" s="1" t="s">
        <v>2980</v>
      </c>
      <c r="FP161" s="1">
        <v>259338.0</v>
      </c>
      <c r="FQ161" s="1" t="s">
        <v>1386</v>
      </c>
      <c r="FU161" s="1" t="s">
        <v>2981</v>
      </c>
      <c r="FV161" s="1" t="s">
        <v>200</v>
      </c>
      <c r="FW161" s="1" t="s">
        <v>290</v>
      </c>
      <c r="FZ161" s="1" t="s">
        <v>229</v>
      </c>
      <c r="GA161" s="1" t="s">
        <v>291</v>
      </c>
      <c r="GB161" s="2">
        <v>42020.0</v>
      </c>
      <c r="GC161" s="1" t="s">
        <v>2982</v>
      </c>
    </row>
    <row r="162">
      <c r="A162" s="1">
        <v>234000.0</v>
      </c>
      <c r="B162" s="1" t="s">
        <v>185</v>
      </c>
      <c r="C162" s="1" t="str">
        <f>"08765943"</f>
        <v>08765943</v>
      </c>
      <c r="D162" s="1" t="s">
        <v>186</v>
      </c>
      <c r="F162" s="1" t="str">
        <f>"8074"</f>
        <v>8074</v>
      </c>
      <c r="G162" s="2">
        <v>41943.0</v>
      </c>
      <c r="H162" s="1">
        <v>234900.0</v>
      </c>
      <c r="I162" s="1">
        <v>19.0</v>
      </c>
      <c r="J162" s="1">
        <v>234900.0</v>
      </c>
      <c r="K162" s="2">
        <v>41960.0</v>
      </c>
      <c r="L162" s="1">
        <v>19.0</v>
      </c>
      <c r="M162" s="2">
        <v>41960.0</v>
      </c>
      <c r="N162" s="1" t="s">
        <v>187</v>
      </c>
      <c r="O162" s="2">
        <v>42010.0</v>
      </c>
      <c r="P162" s="1">
        <v>237578.0</v>
      </c>
      <c r="Q162" s="1">
        <v>23891.0</v>
      </c>
      <c r="S162" s="1">
        <v>10643.0</v>
      </c>
      <c r="T162" s="1" t="s">
        <v>2983</v>
      </c>
      <c r="U162" s="1" t="s">
        <v>189</v>
      </c>
      <c r="V162" s="1" t="s">
        <v>190</v>
      </c>
      <c r="W162" s="1">
        <v>60655.0</v>
      </c>
      <c r="Y162" s="1" t="s">
        <v>2984</v>
      </c>
      <c r="Z162" s="1">
        <v>1951.0</v>
      </c>
      <c r="AA162" s="1" t="s">
        <v>192</v>
      </c>
      <c r="AB162" s="1" t="s">
        <v>193</v>
      </c>
      <c r="AD162" s="1" t="s">
        <v>194</v>
      </c>
      <c r="AE162" s="1" t="s">
        <v>195</v>
      </c>
      <c r="AF162" s="1" t="s">
        <v>659</v>
      </c>
      <c r="AH162" s="1" t="s">
        <v>2985</v>
      </c>
      <c r="AI162" s="1">
        <v>0.1148</v>
      </c>
      <c r="AK162" s="1">
        <v>7.0</v>
      </c>
      <c r="AL162" s="1">
        <v>2.0</v>
      </c>
      <c r="AM162" s="1">
        <v>2.0</v>
      </c>
      <c r="AN162" s="1">
        <v>0.0</v>
      </c>
      <c r="AO162" s="1" t="s">
        <v>229</v>
      </c>
      <c r="AQ162" s="1" t="s">
        <v>198</v>
      </c>
      <c r="AR162" s="1" t="s">
        <v>192</v>
      </c>
      <c r="AS162" s="1" t="s">
        <v>199</v>
      </c>
      <c r="AT162" s="1">
        <v>2.0</v>
      </c>
      <c r="AV162" s="1" t="s">
        <v>200</v>
      </c>
      <c r="AW162" s="1">
        <v>2723.04</v>
      </c>
      <c r="AX162" s="1">
        <v>2013.0</v>
      </c>
      <c r="AZ162" s="1" t="s">
        <v>200</v>
      </c>
      <c r="BA162" s="1" t="str">
        <f>"24131120170000"</f>
        <v>24131120170000</v>
      </c>
      <c r="BB162" s="1" t="s">
        <v>192</v>
      </c>
      <c r="BC162" s="1">
        <v>2212.0</v>
      </c>
      <c r="BD162" s="1">
        <v>234000.0</v>
      </c>
      <c r="BE162" s="2">
        <v>41942.0</v>
      </c>
      <c r="BF162" s="2" t="s">
        <v>2986</v>
      </c>
      <c r="BH162" s="1">
        <v>0.0</v>
      </c>
      <c r="BK162" s="1" t="s">
        <v>204</v>
      </c>
      <c r="BL162" s="1" t="str">
        <f t="shared" ref="BL162:BM162" si="107">"0"</f>
        <v>0</v>
      </c>
      <c r="BM162" s="1" t="str">
        <f t="shared" si="107"/>
        <v>0</v>
      </c>
      <c r="BN162" s="1">
        <v>3200.0</v>
      </c>
      <c r="BO162" s="1">
        <v>10643.0</v>
      </c>
      <c r="BQ162" s="1">
        <v>299.0</v>
      </c>
      <c r="BR162" s="1">
        <v>299.0</v>
      </c>
      <c r="BS162" s="1">
        <v>299.0</v>
      </c>
      <c r="BU162" s="1" t="s">
        <v>1825</v>
      </c>
      <c r="BV162" s="1" t="s">
        <v>206</v>
      </c>
      <c r="BW162" s="1" t="s">
        <v>207</v>
      </c>
      <c r="BY162" s="1" t="s">
        <v>433</v>
      </c>
      <c r="BZ162" s="1" t="s">
        <v>206</v>
      </c>
      <c r="CA162" s="1" t="s">
        <v>207</v>
      </c>
      <c r="CD162" s="1" t="s">
        <v>204</v>
      </c>
      <c r="CG162" s="1" t="s">
        <v>392</v>
      </c>
      <c r="CH162" s="1" t="s">
        <v>206</v>
      </c>
      <c r="CI162" s="1" t="s">
        <v>207</v>
      </c>
      <c r="CK162" s="1" t="s">
        <v>212</v>
      </c>
      <c r="CL162" s="1" t="s">
        <v>42</v>
      </c>
      <c r="CM162" s="1" t="s">
        <v>268</v>
      </c>
      <c r="CO162" s="1" t="s">
        <v>363</v>
      </c>
      <c r="CP162" s="1" t="s">
        <v>42</v>
      </c>
      <c r="CQ162" s="1" t="s">
        <v>268</v>
      </c>
      <c r="CS162" s="1" t="s">
        <v>211</v>
      </c>
      <c r="CT162" s="1" t="s">
        <v>206</v>
      </c>
      <c r="CU162" s="1" t="s">
        <v>268</v>
      </c>
      <c r="CW162" s="1" t="s">
        <v>2565</v>
      </c>
      <c r="CX162" s="1" t="s">
        <v>42</v>
      </c>
      <c r="CY162" s="1" t="s">
        <v>268</v>
      </c>
      <c r="DA162" s="1" t="s">
        <v>200</v>
      </c>
      <c r="DC162" s="1" t="s">
        <v>702</v>
      </c>
      <c r="DD162" s="1" t="s">
        <v>957</v>
      </c>
      <c r="DE162" s="1" t="s">
        <v>273</v>
      </c>
      <c r="DF162" s="1" t="s">
        <v>219</v>
      </c>
      <c r="DG162" s="1" t="s">
        <v>482</v>
      </c>
      <c r="DH162" s="1" t="s">
        <v>220</v>
      </c>
      <c r="DI162" s="1" t="s">
        <v>366</v>
      </c>
      <c r="DJ162" s="1" t="s">
        <v>222</v>
      </c>
      <c r="DL162" s="1" t="s">
        <v>224</v>
      </c>
      <c r="DM162" s="1" t="s">
        <v>398</v>
      </c>
      <c r="DO162" s="1" t="s">
        <v>717</v>
      </c>
      <c r="DQ162" s="1" t="s">
        <v>228</v>
      </c>
      <c r="DR162" s="1" t="s">
        <v>229</v>
      </c>
      <c r="DU162" s="1" t="s">
        <v>681</v>
      </c>
      <c r="DV162" s="1" t="s">
        <v>1103</v>
      </c>
      <c r="DW162" s="1" t="s">
        <v>279</v>
      </c>
      <c r="DX162" s="1" t="s">
        <v>234</v>
      </c>
      <c r="DY162" s="1" t="s">
        <v>553</v>
      </c>
      <c r="DZ162" s="1" t="s">
        <v>1466</v>
      </c>
      <c r="EA162" s="1" t="s">
        <v>644</v>
      </c>
      <c r="EC162" s="1" t="s">
        <v>311</v>
      </c>
      <c r="EE162" s="1" t="s">
        <v>493</v>
      </c>
      <c r="EG162" s="1" t="s">
        <v>1103</v>
      </c>
      <c r="EL162" s="1" t="s">
        <v>2987</v>
      </c>
      <c r="EM162" s="1" t="s">
        <v>42</v>
      </c>
      <c r="EQ162" s="1" t="s">
        <v>238</v>
      </c>
      <c r="EU162" s="1" t="s">
        <v>238</v>
      </c>
      <c r="EY162" s="1" t="s">
        <v>238</v>
      </c>
      <c r="FC162" s="1" t="s">
        <v>238</v>
      </c>
      <c r="FF162" s="1" t="s">
        <v>239</v>
      </c>
      <c r="FG162" s="1" t="s">
        <v>192</v>
      </c>
      <c r="FH162" s="1" t="s">
        <v>192</v>
      </c>
      <c r="FJ162" s="1" t="s">
        <v>2988</v>
      </c>
      <c r="FK162" s="1" t="s">
        <v>229</v>
      </c>
      <c r="FL162" s="1" t="s">
        <v>2989</v>
      </c>
      <c r="FM162" s="1">
        <v>25888.0</v>
      </c>
      <c r="FN162" s="1" t="s">
        <v>2990</v>
      </c>
      <c r="FO162" s="1" t="s">
        <v>2991</v>
      </c>
      <c r="FP162" s="1">
        <v>226116.0</v>
      </c>
      <c r="FQ162" s="1" t="s">
        <v>2990</v>
      </c>
      <c r="FR162" s="1">
        <v>241561.0</v>
      </c>
      <c r="FU162" s="1" t="s">
        <v>2992</v>
      </c>
      <c r="FV162" s="1" t="s">
        <v>200</v>
      </c>
      <c r="FW162" s="1" t="s">
        <v>290</v>
      </c>
      <c r="FX162" s="1" t="s">
        <v>655</v>
      </c>
      <c r="FZ162" s="1" t="s">
        <v>2993</v>
      </c>
      <c r="GA162" s="1" t="s">
        <v>291</v>
      </c>
      <c r="GB162" s="2">
        <v>42013.0</v>
      </c>
      <c r="GC162" s="1" t="s">
        <v>2994</v>
      </c>
    </row>
    <row r="163">
      <c r="A163" s="1">
        <v>308000.0</v>
      </c>
      <c r="B163" s="1" t="s">
        <v>185</v>
      </c>
      <c r="C163" s="1" t="str">
        <f>"08761255"</f>
        <v>08761255</v>
      </c>
      <c r="D163" s="1" t="s">
        <v>186</v>
      </c>
      <c r="F163" s="1" t="str">
        <f>"8011"</f>
        <v>8011</v>
      </c>
      <c r="G163" s="2">
        <v>41936.0</v>
      </c>
      <c r="H163" s="1">
        <v>315000.0</v>
      </c>
      <c r="I163" s="1">
        <v>83.0</v>
      </c>
      <c r="J163" s="1">
        <v>315000.0</v>
      </c>
      <c r="K163" s="2">
        <v>42018.0</v>
      </c>
      <c r="L163" s="1">
        <v>83.0</v>
      </c>
      <c r="M163" s="2">
        <v>42018.0</v>
      </c>
      <c r="N163" s="1" t="s">
        <v>187</v>
      </c>
      <c r="O163" s="2">
        <v>42072.0</v>
      </c>
      <c r="P163" s="1">
        <v>188842.0</v>
      </c>
      <c r="Q163" s="1">
        <v>84307.0</v>
      </c>
      <c r="S163" s="1">
        <v>4865.0</v>
      </c>
      <c r="T163" s="1" t="s">
        <v>2995</v>
      </c>
      <c r="U163" s="1" t="s">
        <v>189</v>
      </c>
      <c r="V163" s="1" t="s">
        <v>190</v>
      </c>
      <c r="W163" s="1">
        <v>60630.0</v>
      </c>
      <c r="Y163" s="1" t="s">
        <v>2996</v>
      </c>
      <c r="Z163" s="1">
        <v>1927.0</v>
      </c>
      <c r="AA163" s="1" t="s">
        <v>192</v>
      </c>
      <c r="AB163" s="1" t="s">
        <v>193</v>
      </c>
      <c r="AD163" s="1" t="s">
        <v>194</v>
      </c>
      <c r="AE163" s="1" t="s">
        <v>195</v>
      </c>
      <c r="AF163" s="1" t="s">
        <v>196</v>
      </c>
      <c r="AH163" s="1" t="s">
        <v>1501</v>
      </c>
      <c r="AK163" s="1">
        <v>9.0</v>
      </c>
      <c r="AL163" s="1">
        <v>4.0</v>
      </c>
      <c r="AM163" s="1">
        <v>2.0</v>
      </c>
      <c r="AN163" s="1">
        <v>0.0</v>
      </c>
      <c r="AO163" s="1" t="s">
        <v>229</v>
      </c>
      <c r="AQ163" s="1" t="s">
        <v>198</v>
      </c>
      <c r="AR163" s="1" t="s">
        <v>192</v>
      </c>
      <c r="AS163" s="1" t="s">
        <v>199</v>
      </c>
      <c r="AT163" s="1">
        <v>2.0</v>
      </c>
      <c r="AV163" s="1" t="s">
        <v>200</v>
      </c>
      <c r="AW163" s="1">
        <v>3641.86</v>
      </c>
      <c r="AX163" s="1">
        <v>2013.0</v>
      </c>
      <c r="AY163" s="1" t="s">
        <v>387</v>
      </c>
      <c r="AZ163" s="1" t="s">
        <v>200</v>
      </c>
      <c r="BA163" s="1" t="str">
        <f>"13084230100000"</f>
        <v>13084230100000</v>
      </c>
      <c r="BB163" s="1" t="s">
        <v>200</v>
      </c>
      <c r="BC163" s="1">
        <v>1800.0</v>
      </c>
      <c r="BD163" s="1">
        <v>308000.0</v>
      </c>
      <c r="BE163" s="2">
        <v>41936.0</v>
      </c>
      <c r="BF163" s="2" t="s">
        <v>2997</v>
      </c>
      <c r="BH163" s="1">
        <v>0.0</v>
      </c>
      <c r="BK163" s="1" t="s">
        <v>204</v>
      </c>
      <c r="BL163" s="1" t="str">
        <f>"4865"</f>
        <v>4865</v>
      </c>
      <c r="BM163" s="1" t="str">
        <f>"0"</f>
        <v>0</v>
      </c>
      <c r="BN163" s="1">
        <v>5900.0</v>
      </c>
      <c r="BO163" s="1">
        <v>0.0</v>
      </c>
      <c r="BQ163" s="1">
        <v>299.0</v>
      </c>
      <c r="BR163" s="1">
        <v>299.0</v>
      </c>
      <c r="BS163" s="1">
        <v>299.0</v>
      </c>
      <c r="BU163" s="1" t="s">
        <v>1483</v>
      </c>
      <c r="BV163" s="1" t="s">
        <v>206</v>
      </c>
      <c r="BW163" s="1" t="s">
        <v>207</v>
      </c>
      <c r="BX163" s="1" t="s">
        <v>431</v>
      </c>
      <c r="BY163" s="1" t="s">
        <v>495</v>
      </c>
      <c r="BZ163" s="1" t="s">
        <v>206</v>
      </c>
      <c r="CA163" s="1" t="s">
        <v>207</v>
      </c>
      <c r="CB163" s="1" t="s">
        <v>431</v>
      </c>
      <c r="CC163" s="1" t="s">
        <v>215</v>
      </c>
      <c r="CD163" s="1" t="s">
        <v>206</v>
      </c>
      <c r="CE163" s="1" t="s">
        <v>207</v>
      </c>
      <c r="CF163" s="1" t="s">
        <v>431</v>
      </c>
      <c r="CG163" s="1" t="s">
        <v>495</v>
      </c>
      <c r="CH163" s="1" t="s">
        <v>206</v>
      </c>
      <c r="CI163" s="1" t="s">
        <v>207</v>
      </c>
      <c r="CJ163" s="1" t="s">
        <v>431</v>
      </c>
      <c r="CK163" s="1" t="s">
        <v>813</v>
      </c>
      <c r="CL163" s="1" t="s">
        <v>209</v>
      </c>
      <c r="CM163" s="1" t="s">
        <v>210</v>
      </c>
      <c r="CN163" s="1" t="s">
        <v>431</v>
      </c>
      <c r="CO163" s="1" t="s">
        <v>432</v>
      </c>
      <c r="CP163" s="1" t="s">
        <v>209</v>
      </c>
      <c r="CQ163" s="1" t="s">
        <v>210</v>
      </c>
      <c r="CR163" s="1" t="s">
        <v>431</v>
      </c>
      <c r="CS163" s="1" t="s">
        <v>584</v>
      </c>
      <c r="CT163" s="1" t="s">
        <v>206</v>
      </c>
      <c r="CU163" s="1" t="s">
        <v>268</v>
      </c>
      <c r="CV163" s="1" t="s">
        <v>431</v>
      </c>
      <c r="CW163" s="1" t="s">
        <v>2675</v>
      </c>
      <c r="CX163" s="1" t="s">
        <v>42</v>
      </c>
      <c r="CY163" s="1" t="s">
        <v>617</v>
      </c>
      <c r="DA163" s="1" t="s">
        <v>200</v>
      </c>
      <c r="DC163" s="1" t="s">
        <v>785</v>
      </c>
      <c r="DE163" s="1" t="s">
        <v>273</v>
      </c>
      <c r="DF163" s="1" t="s">
        <v>219</v>
      </c>
      <c r="DH163" s="1" t="s">
        <v>307</v>
      </c>
      <c r="DJ163" s="1" t="s">
        <v>222</v>
      </c>
      <c r="DL163" s="1" t="s">
        <v>1161</v>
      </c>
      <c r="DM163" s="1" t="s">
        <v>229</v>
      </c>
      <c r="DQ163" s="1" t="s">
        <v>441</v>
      </c>
      <c r="DR163" s="1" t="s">
        <v>229</v>
      </c>
      <c r="DS163" s="1" t="s">
        <v>368</v>
      </c>
      <c r="DV163" s="1" t="s">
        <v>1228</v>
      </c>
      <c r="DW163" s="1" t="s">
        <v>279</v>
      </c>
      <c r="DX163" s="1" t="s">
        <v>234</v>
      </c>
      <c r="DY163" s="1" t="s">
        <v>2972</v>
      </c>
      <c r="EA163" s="1" t="s">
        <v>644</v>
      </c>
      <c r="EC163" s="1" t="s">
        <v>645</v>
      </c>
      <c r="EH163" s="1" t="s">
        <v>1228</v>
      </c>
      <c r="EM163" s="1" t="s">
        <v>238</v>
      </c>
      <c r="EP163" s="1" t="s">
        <v>263</v>
      </c>
      <c r="EQ163" s="1" t="s">
        <v>206</v>
      </c>
      <c r="ER163" s="1" t="s">
        <v>301</v>
      </c>
      <c r="ES163" s="1" t="s">
        <v>431</v>
      </c>
      <c r="EU163" s="1" t="s">
        <v>238</v>
      </c>
      <c r="EY163" s="1" t="s">
        <v>238</v>
      </c>
      <c r="FC163" s="1" t="s">
        <v>238</v>
      </c>
      <c r="FF163" s="1" t="s">
        <v>239</v>
      </c>
      <c r="FG163" s="1" t="s">
        <v>192</v>
      </c>
      <c r="FH163" s="1" t="s">
        <v>192</v>
      </c>
      <c r="FJ163" s="1" t="s">
        <v>799</v>
      </c>
      <c r="FK163" s="1" t="s">
        <v>229</v>
      </c>
      <c r="FL163" s="1" t="s">
        <v>562</v>
      </c>
      <c r="FM163" s="1">
        <v>17665.0</v>
      </c>
      <c r="FN163" s="1" t="s">
        <v>2998</v>
      </c>
      <c r="FO163" s="1" t="s">
        <v>2999</v>
      </c>
      <c r="FP163" s="1">
        <v>179422.0</v>
      </c>
      <c r="FQ163" s="1" t="s">
        <v>3000</v>
      </c>
      <c r="FU163" s="1" t="s">
        <v>3001</v>
      </c>
      <c r="FV163" s="1" t="s">
        <v>200</v>
      </c>
      <c r="FW163" s="1" t="s">
        <v>3002</v>
      </c>
      <c r="FX163" s="1" t="s">
        <v>238</v>
      </c>
      <c r="FZ163" s="1" t="s">
        <v>229</v>
      </c>
      <c r="GA163" s="1" t="s">
        <v>291</v>
      </c>
      <c r="GB163" s="2">
        <v>42073.0</v>
      </c>
      <c r="GC163" s="1" t="s">
        <v>3003</v>
      </c>
    </row>
    <row r="164">
      <c r="A164" s="1">
        <v>69000.0</v>
      </c>
      <c r="B164" s="1" t="s">
        <v>185</v>
      </c>
      <c r="C164" s="1" t="str">
        <f>"08762324"</f>
        <v>08762324</v>
      </c>
      <c r="D164" s="1" t="s">
        <v>186</v>
      </c>
      <c r="F164" s="1" t="str">
        <f>"8048"</f>
        <v>8048</v>
      </c>
      <c r="G164" s="2">
        <v>41939.0</v>
      </c>
      <c r="H164" s="1">
        <v>79900.0</v>
      </c>
      <c r="I164" s="1">
        <v>108.0</v>
      </c>
      <c r="J164" s="1">
        <v>79900.0</v>
      </c>
      <c r="K164" s="2">
        <v>42046.0</v>
      </c>
      <c r="L164" s="1">
        <v>108.0</v>
      </c>
      <c r="M164" s="2">
        <v>42046.0</v>
      </c>
      <c r="N164" s="1" t="s">
        <v>187</v>
      </c>
      <c r="O164" s="2">
        <v>42061.0</v>
      </c>
      <c r="P164" s="1">
        <v>126997.0</v>
      </c>
      <c r="Q164" s="1">
        <v>12811.0</v>
      </c>
      <c r="S164" s="1">
        <v>9317.0</v>
      </c>
      <c r="T164" s="1" t="s">
        <v>3004</v>
      </c>
      <c r="U164" s="1" t="s">
        <v>189</v>
      </c>
      <c r="V164" s="1" t="s">
        <v>190</v>
      </c>
      <c r="W164" s="1">
        <v>60617.0</v>
      </c>
      <c r="Y164" s="1" t="s">
        <v>3005</v>
      </c>
      <c r="Z164" s="1">
        <v>1923.0</v>
      </c>
      <c r="AA164" s="1" t="s">
        <v>192</v>
      </c>
      <c r="AB164" s="1" t="s">
        <v>193</v>
      </c>
      <c r="AD164" s="1" t="s">
        <v>194</v>
      </c>
      <c r="AE164" s="1" t="s">
        <v>195</v>
      </c>
      <c r="AF164" s="1" t="s">
        <v>637</v>
      </c>
      <c r="AH164" s="1" t="s">
        <v>3006</v>
      </c>
      <c r="AI164" s="1">
        <v>0.0964</v>
      </c>
      <c r="AK164" s="1">
        <v>7.0</v>
      </c>
      <c r="AL164" s="1">
        <v>4.0</v>
      </c>
      <c r="AM164" s="1">
        <v>1.0</v>
      </c>
      <c r="AN164" s="1">
        <v>0.0</v>
      </c>
      <c r="AO164" s="1" t="s">
        <v>229</v>
      </c>
      <c r="AQ164" s="1" t="s">
        <v>198</v>
      </c>
      <c r="AR164" s="1" t="s">
        <v>200</v>
      </c>
      <c r="AS164" s="1" t="s">
        <v>199</v>
      </c>
      <c r="AT164" s="1">
        <v>2.0</v>
      </c>
      <c r="AV164" s="1" t="s">
        <v>200</v>
      </c>
      <c r="AW164" s="1">
        <v>0.0</v>
      </c>
      <c r="AX164" s="1">
        <v>2013.0</v>
      </c>
      <c r="AY164" s="1" t="s">
        <v>1917</v>
      </c>
      <c r="AZ164" s="1" t="s">
        <v>200</v>
      </c>
      <c r="BA164" s="1" t="str">
        <f>"26064140110000"</f>
        <v>26064140110000</v>
      </c>
      <c r="BC164" s="1">
        <v>900.0</v>
      </c>
      <c r="BD164" s="1">
        <v>69000.0</v>
      </c>
      <c r="BE164" s="2">
        <v>41939.0</v>
      </c>
      <c r="BF164" s="1" t="s">
        <v>3007</v>
      </c>
      <c r="BH164" s="1">
        <v>0.0</v>
      </c>
      <c r="BK164" s="1" t="s">
        <v>204</v>
      </c>
      <c r="BL164" s="1" t="str">
        <f>"0"</f>
        <v>0</v>
      </c>
      <c r="BM164" s="1" t="str">
        <f>"2800"</f>
        <v>2800</v>
      </c>
      <c r="BN164" s="1">
        <v>0.0</v>
      </c>
      <c r="BO164" s="1">
        <v>9300.0</v>
      </c>
      <c r="BQ164" s="1">
        <v>299.0</v>
      </c>
      <c r="BR164" s="1">
        <v>299.0</v>
      </c>
      <c r="BS164" s="1">
        <v>299.0</v>
      </c>
      <c r="BU164" s="1" t="s">
        <v>480</v>
      </c>
      <c r="BV164" s="1" t="s">
        <v>206</v>
      </c>
      <c r="BW164" s="1" t="s">
        <v>210</v>
      </c>
      <c r="BY164" s="1" t="s">
        <v>543</v>
      </c>
      <c r="BZ164" s="1" t="s">
        <v>206</v>
      </c>
      <c r="CA164" s="1" t="s">
        <v>210</v>
      </c>
      <c r="CC164" s="1" t="s">
        <v>363</v>
      </c>
      <c r="CD164" s="1" t="s">
        <v>206</v>
      </c>
      <c r="CE164" s="1" t="s">
        <v>210</v>
      </c>
      <c r="CG164" s="1" t="s">
        <v>478</v>
      </c>
      <c r="CH164" s="1" t="s">
        <v>206</v>
      </c>
      <c r="CI164" s="1" t="s">
        <v>210</v>
      </c>
      <c r="CK164" s="1" t="s">
        <v>205</v>
      </c>
      <c r="CL164" s="1" t="s">
        <v>209</v>
      </c>
      <c r="CM164" s="1" t="s">
        <v>207</v>
      </c>
      <c r="CO164" s="1" t="s">
        <v>582</v>
      </c>
      <c r="CP164" s="1" t="s">
        <v>209</v>
      </c>
      <c r="CQ164" s="1" t="s">
        <v>207</v>
      </c>
      <c r="CS164" s="1" t="s">
        <v>543</v>
      </c>
      <c r="CT164" s="1" t="s">
        <v>206</v>
      </c>
      <c r="CU164" s="1" t="s">
        <v>617</v>
      </c>
      <c r="CX164" s="1" t="s">
        <v>204</v>
      </c>
      <c r="DA164" s="1" t="s">
        <v>200</v>
      </c>
      <c r="DC164" s="1" t="s">
        <v>216</v>
      </c>
      <c r="DE164" s="1" t="s">
        <v>1139</v>
      </c>
      <c r="DF164" s="1" t="s">
        <v>619</v>
      </c>
      <c r="DH164" s="1" t="s">
        <v>365</v>
      </c>
      <c r="DI164" s="1" t="s">
        <v>1401</v>
      </c>
      <c r="DJ164" s="1" t="s">
        <v>222</v>
      </c>
      <c r="DL164" s="1" t="s">
        <v>223</v>
      </c>
      <c r="DM164" s="1" t="s">
        <v>398</v>
      </c>
      <c r="DQ164" s="1" t="s">
        <v>228</v>
      </c>
      <c r="DR164" s="1" t="s">
        <v>229</v>
      </c>
      <c r="DS164" s="1" t="s">
        <v>3008</v>
      </c>
      <c r="DV164" s="1" t="s">
        <v>232</v>
      </c>
      <c r="DW164" s="1" t="s">
        <v>279</v>
      </c>
      <c r="DX164" s="1" t="s">
        <v>234</v>
      </c>
      <c r="EC164" s="1" t="s">
        <v>645</v>
      </c>
      <c r="EM164" s="1" t="s">
        <v>238</v>
      </c>
      <c r="EQ164" s="1" t="s">
        <v>238</v>
      </c>
      <c r="EU164" s="1" t="s">
        <v>238</v>
      </c>
      <c r="EY164" s="1" t="s">
        <v>238</v>
      </c>
      <c r="FC164" s="1" t="s">
        <v>238</v>
      </c>
      <c r="FF164" s="1" t="s">
        <v>239</v>
      </c>
      <c r="FG164" s="1" t="s">
        <v>192</v>
      </c>
      <c r="FH164" s="1" t="s">
        <v>192</v>
      </c>
      <c r="FJ164" s="1" t="s">
        <v>524</v>
      </c>
      <c r="FK164" s="1" t="s">
        <v>229</v>
      </c>
      <c r="FL164" s="1" t="s">
        <v>3009</v>
      </c>
      <c r="FM164" s="1">
        <v>12811.0</v>
      </c>
      <c r="FN164" s="1" t="s">
        <v>3010</v>
      </c>
      <c r="FO164" s="1" t="s">
        <v>3011</v>
      </c>
      <c r="FP164" s="1">
        <v>104857.0</v>
      </c>
      <c r="FR164" s="1">
        <v>126997.0</v>
      </c>
      <c r="FU164" s="1" t="s">
        <v>3012</v>
      </c>
      <c r="FV164" s="1" t="s">
        <v>200</v>
      </c>
      <c r="FW164" s="1" t="s">
        <v>1578</v>
      </c>
      <c r="FX164" s="1" t="s">
        <v>655</v>
      </c>
      <c r="FZ164" s="1" t="s">
        <v>229</v>
      </c>
      <c r="GA164" s="1" t="s">
        <v>291</v>
      </c>
      <c r="GB164" s="2">
        <v>42065.0</v>
      </c>
      <c r="GC164" s="1" t="s">
        <v>3013</v>
      </c>
    </row>
    <row r="165">
      <c r="A165" s="1">
        <v>200000.0</v>
      </c>
      <c r="B165" s="1" t="s">
        <v>185</v>
      </c>
      <c r="C165" s="1" t="str">
        <f>"08761842"</f>
        <v>08761842</v>
      </c>
      <c r="D165" s="1" t="s">
        <v>186</v>
      </c>
      <c r="F165" s="1" t="str">
        <f>"538"</f>
        <v>538</v>
      </c>
      <c r="G165" s="2">
        <v>41938.0</v>
      </c>
      <c r="H165" s="1">
        <v>199900.0</v>
      </c>
      <c r="I165" s="1">
        <v>208.0</v>
      </c>
      <c r="J165" s="1">
        <v>199900.0</v>
      </c>
      <c r="K165" s="2">
        <v>41962.0</v>
      </c>
      <c r="L165" s="1">
        <v>25.0</v>
      </c>
      <c r="M165" s="2">
        <v>41962.0</v>
      </c>
      <c r="N165" s="1" t="s">
        <v>249</v>
      </c>
      <c r="O165" s="2">
        <v>41996.0</v>
      </c>
      <c r="P165" s="1">
        <v>229434.0</v>
      </c>
      <c r="Q165" s="1">
        <v>23265.0</v>
      </c>
      <c r="S165" s="1">
        <v>2717.0</v>
      </c>
      <c r="T165" s="1" t="s">
        <v>3014</v>
      </c>
      <c r="U165" s="1" t="s">
        <v>1174</v>
      </c>
      <c r="V165" s="1" t="s">
        <v>1340</v>
      </c>
      <c r="W165" s="1">
        <v>60538.0</v>
      </c>
      <c r="Y165" s="1" t="s">
        <v>3015</v>
      </c>
      <c r="Z165" s="1">
        <v>2003.0</v>
      </c>
      <c r="AA165" s="1" t="s">
        <v>200</v>
      </c>
      <c r="AB165" s="1" t="s">
        <v>193</v>
      </c>
      <c r="AC165" s="1" t="s">
        <v>3016</v>
      </c>
      <c r="AD165" s="1" t="s">
        <v>1343</v>
      </c>
      <c r="AE165" s="1" t="s">
        <v>849</v>
      </c>
      <c r="AF165" s="1" t="s">
        <v>1312</v>
      </c>
      <c r="AH165" s="1" t="s">
        <v>3017</v>
      </c>
      <c r="AK165" s="1">
        <v>11.0</v>
      </c>
      <c r="AL165" s="1">
        <v>4.0</v>
      </c>
      <c r="AM165" s="1">
        <v>2.0</v>
      </c>
      <c r="AN165" s="1">
        <v>1.0</v>
      </c>
      <c r="AO165" s="1" t="s">
        <v>198</v>
      </c>
      <c r="AQ165" s="1" t="s">
        <v>1314</v>
      </c>
      <c r="AR165" s="1" t="s">
        <v>200</v>
      </c>
      <c r="AS165" s="1" t="s">
        <v>199</v>
      </c>
      <c r="AT165" s="1">
        <v>2.5</v>
      </c>
      <c r="AV165" s="1" t="s">
        <v>200</v>
      </c>
      <c r="AW165" s="4">
        <v>6508.1</v>
      </c>
      <c r="AX165" s="1">
        <v>2013.0</v>
      </c>
      <c r="AY165" s="1" t="s">
        <v>387</v>
      </c>
      <c r="AZ165" s="1" t="s">
        <v>200</v>
      </c>
      <c r="BA165" s="1" t="str">
        <f>"0202485007"</f>
        <v>0202485007</v>
      </c>
      <c r="BB165" s="1" t="s">
        <v>200</v>
      </c>
      <c r="BC165" s="1">
        <v>2576.0</v>
      </c>
      <c r="BD165" s="1">
        <v>200000.0</v>
      </c>
      <c r="BE165" s="2">
        <v>41938.0</v>
      </c>
      <c r="BF165" s="2" t="s">
        <v>3018</v>
      </c>
      <c r="BH165" s="1">
        <v>0.0</v>
      </c>
      <c r="BK165" s="1" t="s">
        <v>204</v>
      </c>
      <c r="BL165" s="1" t="str">
        <f t="shared" ref="BL165:BM165" si="108">""</f>
        <v/>
      </c>
      <c r="BM165" s="1" t="str">
        <f t="shared" si="108"/>
        <v/>
      </c>
      <c r="BQ165" s="1">
        <v>308.0</v>
      </c>
      <c r="BR165" s="1">
        <v>308.0</v>
      </c>
      <c r="BS165" s="1">
        <v>308.0</v>
      </c>
      <c r="BU165" s="1" t="s">
        <v>332</v>
      </c>
      <c r="BV165" s="1" t="s">
        <v>206</v>
      </c>
      <c r="BW165" s="1" t="s">
        <v>210</v>
      </c>
      <c r="BY165" s="1" t="s">
        <v>1117</v>
      </c>
      <c r="BZ165" s="1" t="s">
        <v>209</v>
      </c>
      <c r="CA165" s="1" t="s">
        <v>210</v>
      </c>
      <c r="CC165" s="1" t="s">
        <v>215</v>
      </c>
      <c r="CD165" s="1" t="s">
        <v>206</v>
      </c>
      <c r="CE165" s="1" t="s">
        <v>210</v>
      </c>
      <c r="CG165" s="1" t="s">
        <v>212</v>
      </c>
      <c r="CH165" s="1" t="s">
        <v>209</v>
      </c>
      <c r="CI165" s="1" t="s">
        <v>210</v>
      </c>
      <c r="CK165" s="1" t="s">
        <v>495</v>
      </c>
      <c r="CL165" s="1" t="s">
        <v>209</v>
      </c>
      <c r="CM165" s="1" t="s">
        <v>210</v>
      </c>
      <c r="CO165" s="1" t="s">
        <v>269</v>
      </c>
      <c r="CP165" s="1" t="s">
        <v>209</v>
      </c>
      <c r="CQ165" s="1" t="s">
        <v>210</v>
      </c>
      <c r="CS165" s="1" t="s">
        <v>1297</v>
      </c>
      <c r="CT165" s="1" t="s">
        <v>206</v>
      </c>
      <c r="CU165" s="1" t="s">
        <v>617</v>
      </c>
      <c r="CW165" s="1" t="s">
        <v>1426</v>
      </c>
      <c r="CX165" s="1" t="s">
        <v>206</v>
      </c>
      <c r="CY165" s="1" t="s">
        <v>301</v>
      </c>
      <c r="DA165" s="1" t="s">
        <v>200</v>
      </c>
      <c r="DC165" s="1" t="s">
        <v>335</v>
      </c>
      <c r="DD165" s="1" t="s">
        <v>3019</v>
      </c>
      <c r="DE165" s="1" t="s">
        <v>273</v>
      </c>
      <c r="DF165" s="1" t="s">
        <v>219</v>
      </c>
      <c r="DG165" s="1" t="s">
        <v>3020</v>
      </c>
      <c r="DH165" s="1" t="s">
        <v>220</v>
      </c>
      <c r="DI165" s="1" t="s">
        <v>275</v>
      </c>
      <c r="DJ165" s="1" t="s">
        <v>222</v>
      </c>
      <c r="DL165" s="1" t="s">
        <v>223</v>
      </c>
      <c r="DM165" s="1" t="s">
        <v>229</v>
      </c>
      <c r="DN165" s="1" t="s">
        <v>339</v>
      </c>
      <c r="DO165" s="1" t="s">
        <v>549</v>
      </c>
      <c r="DP165" s="1" t="s">
        <v>340</v>
      </c>
      <c r="DQ165" s="1" t="s">
        <v>228</v>
      </c>
      <c r="DR165" s="1" t="s">
        <v>229</v>
      </c>
      <c r="DS165" s="1" t="s">
        <v>230</v>
      </c>
      <c r="DU165" s="1" t="s">
        <v>3021</v>
      </c>
      <c r="DV165" s="1" t="s">
        <v>3022</v>
      </c>
      <c r="DW165" s="1" t="s">
        <v>233</v>
      </c>
      <c r="DX165" s="1" t="s">
        <v>234</v>
      </c>
      <c r="DY165" s="1" t="s">
        <v>1189</v>
      </c>
      <c r="DZ165" s="1" t="s">
        <v>1466</v>
      </c>
      <c r="EA165" s="1" t="s">
        <v>344</v>
      </c>
      <c r="EC165" s="1" t="s">
        <v>237</v>
      </c>
      <c r="ED165" s="1" t="s">
        <v>407</v>
      </c>
      <c r="EE165" s="1" t="s">
        <v>493</v>
      </c>
      <c r="EG165" s="1" t="s">
        <v>494</v>
      </c>
      <c r="EH165" s="1" t="s">
        <v>556</v>
      </c>
      <c r="EI165" s="1" t="s">
        <v>557</v>
      </c>
      <c r="EL165" s="1" t="s">
        <v>264</v>
      </c>
      <c r="EM165" s="1" t="s">
        <v>206</v>
      </c>
      <c r="EN165" s="1" t="s">
        <v>210</v>
      </c>
      <c r="EP165" s="1" t="s">
        <v>3023</v>
      </c>
      <c r="EQ165" s="1" t="s">
        <v>206</v>
      </c>
      <c r="ER165" s="1" t="s">
        <v>617</v>
      </c>
      <c r="ET165" s="1" t="s">
        <v>1891</v>
      </c>
      <c r="EU165" s="1" t="s">
        <v>209</v>
      </c>
      <c r="EV165" s="1" t="s">
        <v>210</v>
      </c>
      <c r="EY165" s="1" t="s">
        <v>238</v>
      </c>
      <c r="FC165" s="1" t="s">
        <v>238</v>
      </c>
      <c r="FF165" s="1" t="s">
        <v>239</v>
      </c>
      <c r="FG165" s="1" t="s">
        <v>192</v>
      </c>
      <c r="FH165" s="1" t="s">
        <v>192</v>
      </c>
      <c r="FJ165" s="1" t="s">
        <v>524</v>
      </c>
      <c r="FK165" s="1" t="s">
        <v>229</v>
      </c>
      <c r="FL165" s="1" t="s">
        <v>525</v>
      </c>
      <c r="FM165" s="1">
        <v>22029.0</v>
      </c>
      <c r="FN165" s="1" t="s">
        <v>526</v>
      </c>
      <c r="FO165" s="1" t="s">
        <v>3024</v>
      </c>
      <c r="FP165" s="1">
        <v>232152.0</v>
      </c>
      <c r="FQ165" s="1" t="s">
        <v>3025</v>
      </c>
      <c r="FS165" s="1" t="s">
        <v>3026</v>
      </c>
      <c r="FU165" s="1" t="s">
        <v>3027</v>
      </c>
      <c r="FV165" s="1" t="s">
        <v>200</v>
      </c>
      <c r="FW165" s="1" t="s">
        <v>530</v>
      </c>
      <c r="FZ165" s="1" t="s">
        <v>229</v>
      </c>
      <c r="GA165" s="1" t="s">
        <v>291</v>
      </c>
      <c r="GB165" s="2">
        <v>41997.0</v>
      </c>
      <c r="GC165" s="1" t="s">
        <v>3028</v>
      </c>
    </row>
    <row r="166">
      <c r="A166" s="1">
        <v>135104.0</v>
      </c>
      <c r="B166" s="1" t="s">
        <v>185</v>
      </c>
      <c r="C166" s="1" t="str">
        <f>"08762264"</f>
        <v>08762264</v>
      </c>
      <c r="D166" s="1" t="s">
        <v>186</v>
      </c>
      <c r="F166" s="1" t="str">
        <f>"543"</f>
        <v>543</v>
      </c>
      <c r="G166" s="2">
        <v>41939.0</v>
      </c>
      <c r="H166" s="1">
        <v>137800.0</v>
      </c>
      <c r="I166" s="1">
        <v>15.0</v>
      </c>
      <c r="J166" s="1">
        <v>137800.0</v>
      </c>
      <c r="K166" s="2">
        <v>41953.0</v>
      </c>
      <c r="L166" s="1">
        <v>15.0</v>
      </c>
      <c r="M166" s="2">
        <v>41953.0</v>
      </c>
      <c r="N166" s="1" t="s">
        <v>249</v>
      </c>
      <c r="O166" s="2">
        <v>41977.0</v>
      </c>
      <c r="P166" s="1">
        <v>234288.0</v>
      </c>
      <c r="Q166" s="1">
        <v>22993.0</v>
      </c>
      <c r="S166" s="1">
        <v>739.0</v>
      </c>
      <c r="T166" s="1" t="s">
        <v>3029</v>
      </c>
      <c r="U166" s="1" t="s">
        <v>1174</v>
      </c>
      <c r="V166" s="1" t="s">
        <v>1527</v>
      </c>
      <c r="W166" s="1">
        <v>60543.0</v>
      </c>
      <c r="Y166" s="1" t="s">
        <v>3030</v>
      </c>
      <c r="Z166" s="1">
        <v>1996.0</v>
      </c>
      <c r="AA166" s="1" t="s">
        <v>200</v>
      </c>
      <c r="AB166" s="1" t="s">
        <v>467</v>
      </c>
      <c r="AD166" s="1" t="s">
        <v>1529</v>
      </c>
      <c r="AE166" s="1" t="s">
        <v>849</v>
      </c>
      <c r="AF166" s="1" t="s">
        <v>1529</v>
      </c>
      <c r="AH166" s="1" t="s">
        <v>3031</v>
      </c>
      <c r="AI166" s="1">
        <v>0.2576</v>
      </c>
      <c r="AK166" s="1">
        <v>8.0</v>
      </c>
      <c r="AL166" s="1">
        <v>4.0</v>
      </c>
      <c r="AM166" s="1">
        <v>2.0</v>
      </c>
      <c r="AN166" s="1">
        <v>1.0</v>
      </c>
      <c r="AO166" s="1" t="s">
        <v>229</v>
      </c>
      <c r="AQ166" s="1" t="s">
        <v>198</v>
      </c>
      <c r="AR166" s="1" t="s">
        <v>200</v>
      </c>
      <c r="AS166" s="1" t="s">
        <v>199</v>
      </c>
      <c r="AT166" s="1">
        <v>3.0</v>
      </c>
      <c r="AV166" s="1" t="s">
        <v>200</v>
      </c>
      <c r="AW166" s="1">
        <v>7126.26</v>
      </c>
      <c r="AX166" s="1">
        <v>2012.0</v>
      </c>
      <c r="AZ166" s="1" t="s">
        <v>545</v>
      </c>
      <c r="BA166" s="1" t="str">
        <f>"0319420004"</f>
        <v>0319420004</v>
      </c>
      <c r="BC166" s="1">
        <v>2108.0</v>
      </c>
      <c r="BD166" s="1">
        <v>135104.0</v>
      </c>
      <c r="BE166" s="2">
        <v>41939.0</v>
      </c>
      <c r="BF166" s="2" t="s">
        <v>3032</v>
      </c>
      <c r="BH166" s="1">
        <v>120.0</v>
      </c>
      <c r="BK166" s="1" t="s">
        <v>580</v>
      </c>
      <c r="BL166" s="1" t="str">
        <f t="shared" ref="BL166:BM166" si="109">""</f>
        <v/>
      </c>
      <c r="BM166" s="1" t="str">
        <f t="shared" si="109"/>
        <v/>
      </c>
      <c r="BQ166" s="1">
        <v>308.0</v>
      </c>
      <c r="BR166" s="1">
        <v>308.0</v>
      </c>
      <c r="BS166" s="1">
        <v>308.0</v>
      </c>
      <c r="BU166" s="1" t="s">
        <v>1483</v>
      </c>
      <c r="BV166" s="1" t="s">
        <v>206</v>
      </c>
      <c r="BY166" s="1" t="s">
        <v>743</v>
      </c>
      <c r="BZ166" s="1" t="s">
        <v>209</v>
      </c>
      <c r="CC166" s="1" t="s">
        <v>495</v>
      </c>
      <c r="CD166" s="1" t="s">
        <v>206</v>
      </c>
      <c r="CG166" s="1" t="s">
        <v>212</v>
      </c>
      <c r="CH166" s="1" t="s">
        <v>209</v>
      </c>
      <c r="CK166" s="1" t="s">
        <v>495</v>
      </c>
      <c r="CL166" s="1" t="s">
        <v>209</v>
      </c>
      <c r="CO166" s="1" t="s">
        <v>269</v>
      </c>
      <c r="CP166" s="1" t="s">
        <v>209</v>
      </c>
      <c r="CS166" s="1" t="s">
        <v>1117</v>
      </c>
      <c r="CT166" s="1" t="s">
        <v>206</v>
      </c>
      <c r="CW166" s="1" t="s">
        <v>664</v>
      </c>
      <c r="CX166" s="1" t="s">
        <v>206</v>
      </c>
      <c r="DA166" s="1" t="s">
        <v>200</v>
      </c>
      <c r="DC166" s="1" t="s">
        <v>678</v>
      </c>
      <c r="DE166" s="1" t="s">
        <v>273</v>
      </c>
      <c r="DF166" s="1" t="s">
        <v>219</v>
      </c>
      <c r="DH166" s="1" t="s">
        <v>220</v>
      </c>
      <c r="DJ166" s="1" t="s">
        <v>222</v>
      </c>
      <c r="DL166" s="1" t="s">
        <v>588</v>
      </c>
      <c r="DM166" s="1" t="s">
        <v>229</v>
      </c>
      <c r="DQ166" s="1" t="s">
        <v>441</v>
      </c>
      <c r="DR166" s="1" t="s">
        <v>588</v>
      </c>
      <c r="DV166" s="1" t="s">
        <v>232</v>
      </c>
      <c r="DW166" s="1" t="s">
        <v>444</v>
      </c>
      <c r="DX166" s="1" t="s">
        <v>234</v>
      </c>
      <c r="DZ166" s="1" t="s">
        <v>310</v>
      </c>
      <c r="EC166" s="1" t="s">
        <v>237</v>
      </c>
      <c r="EE166" s="1" t="s">
        <v>1673</v>
      </c>
      <c r="EM166" s="1" t="s">
        <v>238</v>
      </c>
      <c r="EQ166" s="1" t="s">
        <v>238</v>
      </c>
      <c r="EU166" s="1" t="s">
        <v>238</v>
      </c>
      <c r="EY166" s="1" t="s">
        <v>238</v>
      </c>
      <c r="FC166" s="1" t="s">
        <v>238</v>
      </c>
      <c r="FF166" s="1" t="s">
        <v>239</v>
      </c>
      <c r="FG166" s="1" t="s">
        <v>192</v>
      </c>
      <c r="FH166" s="1" t="s">
        <v>192</v>
      </c>
      <c r="FJ166" s="1" t="s">
        <v>347</v>
      </c>
      <c r="FK166" s="1" t="s">
        <v>229</v>
      </c>
      <c r="FL166" s="1" t="s">
        <v>3033</v>
      </c>
      <c r="FM166" s="1">
        <v>1984.0</v>
      </c>
      <c r="FN166" s="1" t="s">
        <v>3034</v>
      </c>
      <c r="FO166" s="1" t="s">
        <v>3035</v>
      </c>
      <c r="FP166" s="1">
        <v>922950.0</v>
      </c>
      <c r="FU166" s="1" t="s">
        <v>3036</v>
      </c>
      <c r="FV166" s="1" t="s">
        <v>200</v>
      </c>
      <c r="FW166" s="1" t="s">
        <v>3037</v>
      </c>
      <c r="FZ166" s="1" t="s">
        <v>229</v>
      </c>
      <c r="GA166" s="1" t="s">
        <v>291</v>
      </c>
      <c r="GB166" s="2">
        <v>41978.0</v>
      </c>
      <c r="GC166" s="1" t="s">
        <v>3038</v>
      </c>
    </row>
    <row r="167">
      <c r="A167" s="1">
        <v>237385.0</v>
      </c>
      <c r="B167" s="1" t="s">
        <v>185</v>
      </c>
      <c r="C167" s="1" t="str">
        <f>"08761131"</f>
        <v>08761131</v>
      </c>
      <c r="D167" s="1" t="s">
        <v>186</v>
      </c>
      <c r="F167" s="1" t="str">
        <f>"538"</f>
        <v>538</v>
      </c>
      <c r="G167" s="2">
        <v>41936.0</v>
      </c>
      <c r="H167" s="1">
        <v>240000.0</v>
      </c>
      <c r="I167" s="1">
        <v>12.0</v>
      </c>
      <c r="J167" s="1">
        <v>240000.0</v>
      </c>
      <c r="K167" s="2">
        <v>41947.0</v>
      </c>
      <c r="L167" s="1">
        <v>12.0</v>
      </c>
      <c r="M167" s="2">
        <v>41947.0</v>
      </c>
      <c r="N167" s="1" t="s">
        <v>187</v>
      </c>
      <c r="O167" s="2">
        <v>41988.0</v>
      </c>
      <c r="P167" s="1">
        <v>233155.0</v>
      </c>
      <c r="Q167" s="1">
        <v>23196.0</v>
      </c>
      <c r="S167" s="1">
        <v>2313.0</v>
      </c>
      <c r="T167" s="1" t="s">
        <v>3039</v>
      </c>
      <c r="U167" s="1" t="s">
        <v>1015</v>
      </c>
      <c r="V167" s="1" t="s">
        <v>1340</v>
      </c>
      <c r="W167" s="1">
        <v>60538.0</v>
      </c>
      <c r="Y167" s="1" t="s">
        <v>3040</v>
      </c>
      <c r="Z167" s="1">
        <v>2006.0</v>
      </c>
      <c r="AA167" s="1" t="s">
        <v>200</v>
      </c>
      <c r="AB167" s="1" t="s">
        <v>467</v>
      </c>
      <c r="AC167" s="1" t="s">
        <v>3041</v>
      </c>
      <c r="AD167" s="1" t="s">
        <v>1343</v>
      </c>
      <c r="AE167" s="1" t="s">
        <v>849</v>
      </c>
      <c r="AF167" s="1" t="s">
        <v>1312</v>
      </c>
      <c r="AH167" s="1" t="s">
        <v>256</v>
      </c>
      <c r="AK167" s="1">
        <v>11.0</v>
      </c>
      <c r="AL167" s="1">
        <v>4.0</v>
      </c>
      <c r="AM167" s="1">
        <v>2.0</v>
      </c>
      <c r="AN167" s="1">
        <v>1.0</v>
      </c>
      <c r="AO167" s="1" t="s">
        <v>198</v>
      </c>
      <c r="AP167" s="1">
        <v>1.0</v>
      </c>
      <c r="AQ167" s="1" t="s">
        <v>198</v>
      </c>
      <c r="AR167" s="1" t="s">
        <v>200</v>
      </c>
      <c r="AS167" s="1" t="s">
        <v>199</v>
      </c>
      <c r="AT167" s="1">
        <v>3.0</v>
      </c>
      <c r="AV167" s="1" t="s">
        <v>200</v>
      </c>
      <c r="AW167" s="1">
        <v>7255.14</v>
      </c>
      <c r="AX167" s="1">
        <v>2013.0</v>
      </c>
      <c r="AY167" s="1" t="s">
        <v>387</v>
      </c>
      <c r="AZ167" s="1" t="s">
        <v>200</v>
      </c>
      <c r="BA167" s="1" t="str">
        <f>"0201253005"</f>
        <v>0201253005</v>
      </c>
      <c r="BC167" s="1">
        <v>2793.0</v>
      </c>
      <c r="BD167" s="1">
        <v>237385.0</v>
      </c>
      <c r="BE167" s="2">
        <v>41936.0</v>
      </c>
      <c r="BF167" s="2" t="s">
        <v>3042</v>
      </c>
      <c r="BH167" s="1">
        <v>25.0</v>
      </c>
      <c r="BK167" s="1" t="s">
        <v>580</v>
      </c>
      <c r="BL167" s="1" t="str">
        <f t="shared" ref="BL167:BM167" si="110">"0"</f>
        <v>0</v>
      </c>
      <c r="BM167" s="1" t="str">
        <f t="shared" si="110"/>
        <v>0</v>
      </c>
      <c r="BN167" s="1">
        <v>0.0</v>
      </c>
      <c r="BO167" s="1">
        <v>0.0</v>
      </c>
      <c r="BQ167" s="1">
        <v>308.0</v>
      </c>
      <c r="BR167" s="1">
        <v>308.0</v>
      </c>
      <c r="BS167" s="1">
        <v>308.0</v>
      </c>
      <c r="BU167" s="1" t="s">
        <v>699</v>
      </c>
      <c r="BV167" s="1" t="s">
        <v>206</v>
      </c>
      <c r="BW167" s="1" t="s">
        <v>210</v>
      </c>
      <c r="BX167" s="1" t="s">
        <v>239</v>
      </c>
      <c r="BY167" s="1" t="s">
        <v>434</v>
      </c>
      <c r="BZ167" s="1" t="s">
        <v>209</v>
      </c>
      <c r="CA167" s="1" t="s">
        <v>210</v>
      </c>
      <c r="CB167" s="1" t="s">
        <v>239</v>
      </c>
      <c r="CC167" s="1" t="s">
        <v>699</v>
      </c>
      <c r="CD167" s="1" t="s">
        <v>206</v>
      </c>
      <c r="CE167" s="1" t="s">
        <v>210</v>
      </c>
      <c r="CF167" s="1" t="s">
        <v>239</v>
      </c>
      <c r="CG167" s="1" t="s">
        <v>663</v>
      </c>
      <c r="CH167" s="1" t="s">
        <v>209</v>
      </c>
      <c r="CI167" s="1" t="s">
        <v>210</v>
      </c>
      <c r="CJ167" s="1" t="s">
        <v>431</v>
      </c>
      <c r="CK167" s="1" t="s">
        <v>663</v>
      </c>
      <c r="CL167" s="1" t="s">
        <v>209</v>
      </c>
      <c r="CM167" s="1" t="s">
        <v>210</v>
      </c>
      <c r="CN167" s="1" t="s">
        <v>239</v>
      </c>
      <c r="CO167" s="1" t="s">
        <v>1352</v>
      </c>
      <c r="CP167" s="1" t="s">
        <v>209</v>
      </c>
      <c r="CQ167" s="1" t="s">
        <v>210</v>
      </c>
      <c r="CR167" s="1" t="s">
        <v>239</v>
      </c>
      <c r="CS167" s="1" t="s">
        <v>1117</v>
      </c>
      <c r="CT167" s="1" t="s">
        <v>206</v>
      </c>
      <c r="CU167" s="1" t="s">
        <v>617</v>
      </c>
      <c r="CV167" s="1" t="s">
        <v>239</v>
      </c>
      <c r="CW167" s="1" t="s">
        <v>784</v>
      </c>
      <c r="CX167" s="1" t="s">
        <v>206</v>
      </c>
      <c r="CY167" s="1" t="s">
        <v>207</v>
      </c>
      <c r="CZ167" s="1" t="s">
        <v>431</v>
      </c>
      <c r="DA167" s="1" t="s">
        <v>200</v>
      </c>
      <c r="DC167" s="1" t="s">
        <v>481</v>
      </c>
      <c r="DD167" s="1" t="s">
        <v>336</v>
      </c>
      <c r="DE167" s="1" t="s">
        <v>273</v>
      </c>
      <c r="DF167" s="1" t="s">
        <v>219</v>
      </c>
      <c r="DG167" s="1" t="s">
        <v>337</v>
      </c>
      <c r="DH167" s="1" t="s">
        <v>220</v>
      </c>
      <c r="DI167" s="1" t="s">
        <v>221</v>
      </c>
      <c r="DJ167" s="1" t="s">
        <v>222</v>
      </c>
      <c r="DK167" s="1" t="s">
        <v>223</v>
      </c>
      <c r="DL167" s="1" t="s">
        <v>438</v>
      </c>
      <c r="DM167" s="1" t="s">
        <v>338</v>
      </c>
      <c r="DN167" s="1" t="s">
        <v>485</v>
      </c>
      <c r="DO167" s="1" t="s">
        <v>549</v>
      </c>
      <c r="DP167" s="1" t="s">
        <v>340</v>
      </c>
      <c r="DQ167" s="1" t="s">
        <v>228</v>
      </c>
      <c r="DR167" s="1" t="s">
        <v>229</v>
      </c>
      <c r="DS167" s="1" t="s">
        <v>230</v>
      </c>
      <c r="DU167" s="1" t="s">
        <v>2464</v>
      </c>
      <c r="DV167" s="1" t="s">
        <v>3043</v>
      </c>
      <c r="DW167" s="1" t="s">
        <v>233</v>
      </c>
      <c r="DX167" s="1" t="s">
        <v>234</v>
      </c>
      <c r="DY167" s="1" t="s">
        <v>490</v>
      </c>
      <c r="DZ167" s="1" t="s">
        <v>3044</v>
      </c>
      <c r="EB167" s="1" t="s">
        <v>937</v>
      </c>
      <c r="EC167" s="1" t="s">
        <v>237</v>
      </c>
      <c r="ED167" s="1" t="s">
        <v>407</v>
      </c>
      <c r="EG167" s="1" t="s">
        <v>341</v>
      </c>
      <c r="EH167" s="1" t="s">
        <v>1102</v>
      </c>
      <c r="EI167" s="1" t="s">
        <v>598</v>
      </c>
      <c r="EJ167" s="1" t="s">
        <v>1491</v>
      </c>
      <c r="EL167" s="1" t="s">
        <v>758</v>
      </c>
      <c r="EM167" s="1" t="s">
        <v>209</v>
      </c>
      <c r="EN167" s="1" t="s">
        <v>210</v>
      </c>
      <c r="EO167" s="1" t="s">
        <v>239</v>
      </c>
      <c r="EP167" s="1" t="s">
        <v>212</v>
      </c>
      <c r="EQ167" s="1" t="s">
        <v>206</v>
      </c>
      <c r="ER167" s="1" t="s">
        <v>617</v>
      </c>
      <c r="ES167" s="1" t="s">
        <v>239</v>
      </c>
      <c r="ET167" s="1" t="s">
        <v>264</v>
      </c>
      <c r="EU167" s="1" t="s">
        <v>206</v>
      </c>
      <c r="EV167" s="1" t="s">
        <v>210</v>
      </c>
      <c r="EW167" s="1" t="s">
        <v>239</v>
      </c>
      <c r="EX167" s="1" t="s">
        <v>3045</v>
      </c>
      <c r="EY167" s="1" t="s">
        <v>42</v>
      </c>
      <c r="EZ167" s="1" t="s">
        <v>588</v>
      </c>
      <c r="FA167" s="1" t="s">
        <v>229</v>
      </c>
      <c r="FC167" s="1" t="s">
        <v>238</v>
      </c>
      <c r="FF167" s="1" t="s">
        <v>239</v>
      </c>
      <c r="FG167" s="1" t="s">
        <v>192</v>
      </c>
      <c r="FH167" s="1" t="s">
        <v>192</v>
      </c>
      <c r="FJ167" s="1" t="s">
        <v>2225</v>
      </c>
      <c r="FK167" s="1" t="s">
        <v>229</v>
      </c>
      <c r="FL167" s="1" t="s">
        <v>2226</v>
      </c>
      <c r="FM167" s="1">
        <v>300.0</v>
      </c>
      <c r="FN167" s="1" t="s">
        <v>2227</v>
      </c>
      <c r="FO167" s="1" t="s">
        <v>2228</v>
      </c>
      <c r="FP167" s="1">
        <v>313816.0</v>
      </c>
      <c r="FQ167" s="1" t="s">
        <v>2229</v>
      </c>
      <c r="FR167" s="1">
        <v>8490.0</v>
      </c>
      <c r="FS167" s="1" t="s">
        <v>2230</v>
      </c>
      <c r="FU167" s="1" t="s">
        <v>3046</v>
      </c>
      <c r="FV167" s="1" t="s">
        <v>200</v>
      </c>
      <c r="FW167" s="1" t="s">
        <v>567</v>
      </c>
      <c r="FZ167" s="1" t="s">
        <v>229</v>
      </c>
      <c r="GA167" s="1" t="s">
        <v>291</v>
      </c>
      <c r="GB167" s="2">
        <v>41988.0</v>
      </c>
      <c r="GC167" s="1" t="s">
        <v>3047</v>
      </c>
    </row>
    <row r="168">
      <c r="A168" s="1">
        <v>325000.0</v>
      </c>
      <c r="B168" s="1" t="s">
        <v>185</v>
      </c>
      <c r="C168" s="1" t="str">
        <f>"08767558"</f>
        <v>08767558</v>
      </c>
      <c r="D168" s="1" t="s">
        <v>186</v>
      </c>
      <c r="F168" s="1" t="str">
        <f>"560"</f>
        <v>560</v>
      </c>
      <c r="G168" s="2">
        <v>41946.0</v>
      </c>
      <c r="H168" s="1">
        <v>344999.0</v>
      </c>
      <c r="I168" s="1">
        <v>72.0</v>
      </c>
      <c r="J168" s="1">
        <v>335000.0</v>
      </c>
      <c r="K168" s="2">
        <v>42017.0</v>
      </c>
      <c r="L168" s="1">
        <v>72.0</v>
      </c>
      <c r="M168" s="2">
        <v>42017.0</v>
      </c>
      <c r="N168" s="1" t="s">
        <v>187</v>
      </c>
      <c r="O168" s="2">
        <v>42052.0</v>
      </c>
      <c r="P168" s="1">
        <v>705587.0</v>
      </c>
      <c r="Q168" s="1">
        <v>72505.0</v>
      </c>
      <c r="S168" s="1">
        <v>250.0</v>
      </c>
      <c r="T168" s="1" t="s">
        <v>3048</v>
      </c>
      <c r="U168" s="1" t="s">
        <v>420</v>
      </c>
      <c r="V168" s="1" t="s">
        <v>845</v>
      </c>
      <c r="W168" s="1">
        <v>60560.0</v>
      </c>
      <c r="Y168" s="1" t="s">
        <v>3049</v>
      </c>
      <c r="Z168" s="1">
        <v>1996.0</v>
      </c>
      <c r="AA168" s="1" t="s">
        <v>200</v>
      </c>
      <c r="AB168" s="1" t="s">
        <v>467</v>
      </c>
      <c r="AC168" s="1" t="s">
        <v>1770</v>
      </c>
      <c r="AD168" s="1" t="s">
        <v>1089</v>
      </c>
      <c r="AE168" s="1" t="s">
        <v>849</v>
      </c>
      <c r="AF168" s="1" t="s">
        <v>2153</v>
      </c>
      <c r="AH168" s="1" t="s">
        <v>3050</v>
      </c>
      <c r="AI168" s="1">
        <v>1.0</v>
      </c>
      <c r="AK168" s="1">
        <v>9.0</v>
      </c>
      <c r="AL168" s="1">
        <v>4.0</v>
      </c>
      <c r="AM168" s="1">
        <v>2.0</v>
      </c>
      <c r="AN168" s="1">
        <v>1.0</v>
      </c>
      <c r="AO168" s="1" t="s">
        <v>198</v>
      </c>
      <c r="AP168" s="1">
        <v>1.0</v>
      </c>
      <c r="AQ168" s="1" t="s">
        <v>198</v>
      </c>
      <c r="AR168" s="1" t="s">
        <v>200</v>
      </c>
      <c r="AS168" s="1" t="s">
        <v>199</v>
      </c>
      <c r="AT168" s="1">
        <v>3.5</v>
      </c>
      <c r="AV168" s="1" t="s">
        <v>200</v>
      </c>
      <c r="AW168" s="1">
        <v>9942.46</v>
      </c>
      <c r="AX168" s="1">
        <v>2013.0</v>
      </c>
      <c r="AY168" s="1" t="s">
        <v>387</v>
      </c>
      <c r="AZ168" s="1" t="s">
        <v>200</v>
      </c>
      <c r="BA168" s="1" t="str">
        <f>"0235276005"</f>
        <v>0235276005</v>
      </c>
      <c r="BC168" s="1">
        <v>2440.0</v>
      </c>
      <c r="BD168" s="1">
        <v>325000.0</v>
      </c>
      <c r="BE168" s="2">
        <v>41946.0</v>
      </c>
      <c r="BF168" s="2" t="s">
        <v>3051</v>
      </c>
      <c r="BH168" s="1">
        <v>275.0</v>
      </c>
      <c r="BI168" s="1" t="s">
        <v>3052</v>
      </c>
      <c r="BJ168" s="1" t="s">
        <v>3053</v>
      </c>
      <c r="BK168" s="1" t="s">
        <v>580</v>
      </c>
      <c r="BL168" s="1" t="str">
        <f t="shared" ref="BL168:BM168" si="111">""</f>
        <v/>
      </c>
      <c r="BM168" s="1" t="str">
        <f t="shared" si="111"/>
        <v/>
      </c>
      <c r="BQ168" s="1">
        <v>115.0</v>
      </c>
      <c r="BR168" s="1">
        <v>115.0</v>
      </c>
      <c r="BS168" s="1">
        <v>115.0</v>
      </c>
      <c r="BU168" s="1" t="s">
        <v>303</v>
      </c>
      <c r="BV168" s="1" t="s">
        <v>206</v>
      </c>
      <c r="BW168" s="1" t="s">
        <v>207</v>
      </c>
      <c r="BX168" s="1" t="s">
        <v>239</v>
      </c>
      <c r="BY168" s="1" t="s">
        <v>1299</v>
      </c>
      <c r="BZ168" s="1" t="s">
        <v>206</v>
      </c>
      <c r="CA168" s="1" t="s">
        <v>207</v>
      </c>
      <c r="CC168" s="1" t="s">
        <v>497</v>
      </c>
      <c r="CD168" s="1" t="s">
        <v>206</v>
      </c>
      <c r="CE168" s="1" t="s">
        <v>268</v>
      </c>
      <c r="CF168" s="1" t="s">
        <v>239</v>
      </c>
      <c r="CG168" s="1" t="s">
        <v>497</v>
      </c>
      <c r="CH168" s="1" t="s">
        <v>206</v>
      </c>
      <c r="CI168" s="1" t="s">
        <v>207</v>
      </c>
      <c r="CK168" s="1" t="s">
        <v>497</v>
      </c>
      <c r="CL168" s="1" t="s">
        <v>206</v>
      </c>
      <c r="CM168" s="1" t="s">
        <v>207</v>
      </c>
      <c r="CN168" s="1" t="s">
        <v>239</v>
      </c>
      <c r="CO168" s="1" t="s">
        <v>3054</v>
      </c>
      <c r="CP168" s="1" t="s">
        <v>209</v>
      </c>
      <c r="CQ168" s="1" t="s">
        <v>210</v>
      </c>
      <c r="CR168" s="1" t="s">
        <v>239</v>
      </c>
      <c r="CS168" s="1" t="s">
        <v>1417</v>
      </c>
      <c r="CT168" s="1" t="s">
        <v>206</v>
      </c>
      <c r="CU168" s="1" t="s">
        <v>268</v>
      </c>
      <c r="CV168" s="1" t="s">
        <v>239</v>
      </c>
      <c r="CW168" s="1" t="s">
        <v>2120</v>
      </c>
      <c r="CX168" s="1" t="s">
        <v>206</v>
      </c>
      <c r="CY168" s="1" t="s">
        <v>207</v>
      </c>
      <c r="CZ168" s="1" t="s">
        <v>239</v>
      </c>
      <c r="DA168" s="1" t="s">
        <v>200</v>
      </c>
      <c r="DC168" s="1" t="s">
        <v>678</v>
      </c>
      <c r="DD168" s="1" t="s">
        <v>679</v>
      </c>
      <c r="DE168" s="1" t="s">
        <v>273</v>
      </c>
      <c r="DF168" s="1" t="s">
        <v>219</v>
      </c>
      <c r="DG168" s="1" t="s">
        <v>3055</v>
      </c>
      <c r="DH168" s="1" t="s">
        <v>856</v>
      </c>
      <c r="DI168" s="1" t="s">
        <v>3056</v>
      </c>
      <c r="DJ168" s="1" t="s">
        <v>857</v>
      </c>
      <c r="DK168" s="1" t="s">
        <v>223</v>
      </c>
      <c r="DL168" s="1" t="s">
        <v>223</v>
      </c>
      <c r="DM168" s="1" t="s">
        <v>338</v>
      </c>
      <c r="DN168" s="1" t="s">
        <v>399</v>
      </c>
      <c r="DO168" s="1" t="s">
        <v>3057</v>
      </c>
      <c r="DP168" s="1" t="s">
        <v>340</v>
      </c>
      <c r="DQ168" s="1" t="s">
        <v>931</v>
      </c>
      <c r="DR168" s="1" t="s">
        <v>3058</v>
      </c>
      <c r="DS168" s="1" t="s">
        <v>230</v>
      </c>
      <c r="DU168" s="1" t="s">
        <v>3059</v>
      </c>
      <c r="DV168" s="1" t="s">
        <v>3060</v>
      </c>
      <c r="DW168" s="1" t="s">
        <v>279</v>
      </c>
      <c r="DX168" s="1" t="s">
        <v>309</v>
      </c>
      <c r="DY168" s="1" t="s">
        <v>1958</v>
      </c>
      <c r="DZ168" s="1" t="s">
        <v>3061</v>
      </c>
      <c r="EA168" s="1" t="s">
        <v>683</v>
      </c>
      <c r="EC168" s="1" t="s">
        <v>685</v>
      </c>
      <c r="ED168" s="1" t="s">
        <v>407</v>
      </c>
      <c r="EE168" s="1" t="s">
        <v>493</v>
      </c>
      <c r="EG168" s="1" t="s">
        <v>556</v>
      </c>
      <c r="EH168" s="1" t="s">
        <v>408</v>
      </c>
      <c r="EI168" s="1" t="s">
        <v>720</v>
      </c>
      <c r="EL168" s="1" t="s">
        <v>1672</v>
      </c>
      <c r="EM168" s="1" t="s">
        <v>206</v>
      </c>
      <c r="EN168" s="1" t="s">
        <v>268</v>
      </c>
      <c r="EP168" s="1" t="s">
        <v>559</v>
      </c>
      <c r="EQ168" s="1" t="s">
        <v>206</v>
      </c>
      <c r="ER168" s="1" t="s">
        <v>268</v>
      </c>
      <c r="ET168" s="1" t="s">
        <v>768</v>
      </c>
      <c r="EU168" s="1" t="s">
        <v>206</v>
      </c>
      <c r="EV168" s="1" t="s">
        <v>617</v>
      </c>
      <c r="EY168" s="1" t="s">
        <v>238</v>
      </c>
      <c r="FC168" s="1" t="s">
        <v>238</v>
      </c>
      <c r="FF168" s="1" t="s">
        <v>239</v>
      </c>
      <c r="FG168" s="1" t="s">
        <v>192</v>
      </c>
      <c r="FH168" s="1" t="s">
        <v>192</v>
      </c>
      <c r="FJ168" s="1" t="s">
        <v>3062</v>
      </c>
      <c r="FK168" s="1" t="s">
        <v>229</v>
      </c>
      <c r="FL168" s="1" t="s">
        <v>1007</v>
      </c>
      <c r="FM168" s="1">
        <v>22588.0</v>
      </c>
      <c r="FN168" s="1" t="s">
        <v>1321</v>
      </c>
      <c r="FO168" s="1" t="s">
        <v>3063</v>
      </c>
      <c r="FP168" s="1">
        <v>222996.0</v>
      </c>
      <c r="FQ168" s="1" t="s">
        <v>3064</v>
      </c>
      <c r="FR168" s="1">
        <v>242902.0</v>
      </c>
      <c r="FS168" s="1" t="s">
        <v>3065</v>
      </c>
      <c r="FU168" s="1" t="s">
        <v>1882</v>
      </c>
      <c r="FV168" s="1" t="s">
        <v>200</v>
      </c>
      <c r="FW168" s="1" t="s">
        <v>290</v>
      </c>
      <c r="FZ168" s="1" t="s">
        <v>229</v>
      </c>
      <c r="GA168" s="1" t="s">
        <v>291</v>
      </c>
      <c r="GB168" s="2">
        <v>42052.0</v>
      </c>
    </row>
    <row r="169">
      <c r="A169" s="1">
        <v>220000.0</v>
      </c>
      <c r="B169" s="1" t="s">
        <v>185</v>
      </c>
      <c r="C169" s="1" t="str">
        <f>"08764718"</f>
        <v>08764718</v>
      </c>
      <c r="D169" s="1" t="s">
        <v>186</v>
      </c>
      <c r="F169" s="1" t="str">
        <f>"123"</f>
        <v>123</v>
      </c>
      <c r="G169" s="2">
        <v>41941.0</v>
      </c>
      <c r="H169" s="1">
        <v>224900.0</v>
      </c>
      <c r="I169" s="1">
        <v>28.0</v>
      </c>
      <c r="J169" s="1">
        <v>224900.0</v>
      </c>
      <c r="K169" s="2">
        <v>41968.0</v>
      </c>
      <c r="L169" s="1">
        <v>28.0</v>
      </c>
      <c r="M169" s="2">
        <v>41968.0</v>
      </c>
      <c r="N169" s="1" t="s">
        <v>356</v>
      </c>
      <c r="O169" s="2">
        <v>42004.0</v>
      </c>
      <c r="P169" s="1">
        <v>70149.0</v>
      </c>
      <c r="Q169" s="1">
        <v>143.0</v>
      </c>
      <c r="S169" s="1">
        <v>1810.0</v>
      </c>
      <c r="T169" s="1" t="s">
        <v>3066</v>
      </c>
      <c r="U169" s="1" t="s">
        <v>1015</v>
      </c>
      <c r="V169" s="1" t="s">
        <v>465</v>
      </c>
      <c r="W169" s="1">
        <v>60123.0</v>
      </c>
      <c r="Y169" s="1" t="s">
        <v>3067</v>
      </c>
      <c r="Z169" s="1">
        <v>1992.0</v>
      </c>
      <c r="AA169" s="1" t="s">
        <v>200</v>
      </c>
      <c r="AB169" s="1" t="s">
        <v>467</v>
      </c>
      <c r="AC169" s="1" t="s">
        <v>3068</v>
      </c>
      <c r="AD169" s="1" t="s">
        <v>469</v>
      </c>
      <c r="AE169" s="1" t="s">
        <v>325</v>
      </c>
      <c r="AF169" s="1" t="s">
        <v>469</v>
      </c>
      <c r="AG169" s="1" t="s">
        <v>3069</v>
      </c>
      <c r="AH169" s="1" t="s">
        <v>3070</v>
      </c>
      <c r="AI169" s="1">
        <v>0.3395</v>
      </c>
      <c r="AK169" s="1">
        <v>8.0</v>
      </c>
      <c r="AL169" s="1">
        <v>4.0</v>
      </c>
      <c r="AM169" s="1">
        <v>2.0</v>
      </c>
      <c r="AN169" s="1">
        <v>1.0</v>
      </c>
      <c r="AO169" s="1" t="s">
        <v>198</v>
      </c>
      <c r="AP169" s="1">
        <v>1.0</v>
      </c>
      <c r="AQ169" s="1" t="s">
        <v>229</v>
      </c>
      <c r="AR169" s="1" t="s">
        <v>200</v>
      </c>
      <c r="AS169" s="1" t="s">
        <v>199</v>
      </c>
      <c r="AT169" s="1">
        <v>2.0</v>
      </c>
      <c r="AV169" s="1" t="s">
        <v>200</v>
      </c>
      <c r="AW169" s="1">
        <v>5739.02</v>
      </c>
      <c r="AX169" s="1">
        <v>2013.0</v>
      </c>
      <c r="AZ169" s="1" t="s">
        <v>200</v>
      </c>
      <c r="BA169" s="1" t="str">
        <f>"0628277042"</f>
        <v>0628277042</v>
      </c>
      <c r="BC169" s="1">
        <v>2348.0</v>
      </c>
      <c r="BD169" s="1">
        <v>220000.0</v>
      </c>
      <c r="BE169" s="2">
        <v>41941.0</v>
      </c>
      <c r="BF169" s="2" t="s">
        <v>3071</v>
      </c>
      <c r="BG169" s="1" t="s">
        <v>2439</v>
      </c>
      <c r="BH169" s="1">
        <v>83.0</v>
      </c>
      <c r="BI169" s="1" t="s">
        <v>674</v>
      </c>
      <c r="BJ169" s="1" t="s">
        <v>2440</v>
      </c>
      <c r="BK169" s="1" t="s">
        <v>580</v>
      </c>
      <c r="BL169" s="1" t="str">
        <f>"9"</f>
        <v>9</v>
      </c>
      <c r="BM169" s="1" t="str">
        <f>""</f>
        <v/>
      </c>
      <c r="BN169" s="1">
        <v>36.0</v>
      </c>
      <c r="BQ169" s="1">
        <v>46.0</v>
      </c>
      <c r="BR169" s="1">
        <v>46.0</v>
      </c>
      <c r="BS169" s="1">
        <v>46.0</v>
      </c>
      <c r="BU169" s="1" t="s">
        <v>584</v>
      </c>
      <c r="BV169" s="1" t="s">
        <v>206</v>
      </c>
      <c r="BW169" s="1" t="s">
        <v>210</v>
      </c>
      <c r="BX169" s="1" t="s">
        <v>229</v>
      </c>
      <c r="BY169" s="1" t="s">
        <v>361</v>
      </c>
      <c r="BZ169" s="1" t="s">
        <v>209</v>
      </c>
      <c r="CA169" s="1" t="s">
        <v>210</v>
      </c>
      <c r="CB169" s="1" t="s">
        <v>229</v>
      </c>
      <c r="CC169" s="1" t="s">
        <v>215</v>
      </c>
      <c r="CD169" s="1" t="s">
        <v>206</v>
      </c>
      <c r="CE169" s="1" t="s">
        <v>210</v>
      </c>
      <c r="CF169" s="1" t="s">
        <v>229</v>
      </c>
      <c r="CG169" s="1" t="s">
        <v>497</v>
      </c>
      <c r="CH169" s="1" t="s">
        <v>209</v>
      </c>
      <c r="CI169" s="1" t="s">
        <v>210</v>
      </c>
      <c r="CJ169" s="1" t="s">
        <v>229</v>
      </c>
      <c r="CK169" s="1" t="s">
        <v>264</v>
      </c>
      <c r="CL169" s="1" t="s">
        <v>209</v>
      </c>
      <c r="CM169" s="1" t="s">
        <v>210</v>
      </c>
      <c r="CN169" s="1" t="s">
        <v>229</v>
      </c>
      <c r="CO169" s="1" t="s">
        <v>543</v>
      </c>
      <c r="CP169" s="1" t="s">
        <v>209</v>
      </c>
      <c r="CQ169" s="1" t="s">
        <v>210</v>
      </c>
      <c r="CR169" s="1" t="s">
        <v>229</v>
      </c>
      <c r="CS169" s="1" t="s">
        <v>784</v>
      </c>
      <c r="CT169" s="1" t="s">
        <v>206</v>
      </c>
      <c r="CU169" s="1" t="s">
        <v>617</v>
      </c>
      <c r="CV169" s="1" t="s">
        <v>229</v>
      </c>
      <c r="CW169" s="1" t="s">
        <v>1117</v>
      </c>
      <c r="CX169" s="1" t="s">
        <v>206</v>
      </c>
      <c r="CY169" s="1" t="s">
        <v>210</v>
      </c>
      <c r="CZ169" s="1" t="s">
        <v>229</v>
      </c>
      <c r="DA169" s="1" t="s">
        <v>200</v>
      </c>
      <c r="DC169" s="1" t="s">
        <v>435</v>
      </c>
      <c r="DD169" s="1" t="s">
        <v>336</v>
      </c>
      <c r="DE169" s="1" t="s">
        <v>273</v>
      </c>
      <c r="DF169" s="1" t="s">
        <v>219</v>
      </c>
      <c r="DG169" s="1" t="s">
        <v>482</v>
      </c>
      <c r="DH169" s="1" t="s">
        <v>220</v>
      </c>
      <c r="DI169" s="1" t="s">
        <v>2547</v>
      </c>
      <c r="DJ169" s="1" t="s">
        <v>222</v>
      </c>
      <c r="DK169" s="1" t="s">
        <v>223</v>
      </c>
      <c r="DL169" s="1" t="s">
        <v>520</v>
      </c>
      <c r="DM169" s="1" t="s">
        <v>1022</v>
      </c>
      <c r="DN169" s="1" t="s">
        <v>1023</v>
      </c>
      <c r="DO169" s="1" t="s">
        <v>3072</v>
      </c>
      <c r="DP169" s="1" t="s">
        <v>340</v>
      </c>
      <c r="DQ169" s="1" t="s">
        <v>441</v>
      </c>
      <c r="DR169" s="1" t="s">
        <v>588</v>
      </c>
      <c r="DS169" s="1" t="s">
        <v>401</v>
      </c>
      <c r="DU169" s="1" t="s">
        <v>3073</v>
      </c>
      <c r="DV169" s="1" t="s">
        <v>232</v>
      </c>
      <c r="DW169" s="1" t="s">
        <v>3074</v>
      </c>
      <c r="DX169" s="1" t="s">
        <v>234</v>
      </c>
      <c r="DY169" s="1" t="s">
        <v>3075</v>
      </c>
      <c r="DZ169" s="1" t="s">
        <v>3076</v>
      </c>
      <c r="EA169" s="1" t="s">
        <v>344</v>
      </c>
      <c r="EB169" s="1" t="s">
        <v>937</v>
      </c>
      <c r="EC169" s="1" t="s">
        <v>237</v>
      </c>
      <c r="EE169" s="1" t="s">
        <v>493</v>
      </c>
      <c r="EM169" s="1" t="s">
        <v>238</v>
      </c>
      <c r="EQ169" s="1" t="s">
        <v>238</v>
      </c>
      <c r="EU169" s="1" t="s">
        <v>238</v>
      </c>
      <c r="EY169" s="1" t="s">
        <v>238</v>
      </c>
      <c r="FC169" s="1" t="s">
        <v>238</v>
      </c>
      <c r="FF169" s="1" t="s">
        <v>239</v>
      </c>
      <c r="FG169" s="1" t="s">
        <v>192</v>
      </c>
      <c r="FH169" s="1" t="s">
        <v>192</v>
      </c>
      <c r="FJ169" s="1" t="s">
        <v>770</v>
      </c>
      <c r="FK169" s="1" t="s">
        <v>229</v>
      </c>
      <c r="FL169" s="1" t="s">
        <v>3077</v>
      </c>
      <c r="FM169" s="1">
        <v>5575.0</v>
      </c>
      <c r="FN169" s="1" t="s">
        <v>3078</v>
      </c>
      <c r="FO169" s="1" t="s">
        <v>3079</v>
      </c>
      <c r="FP169" s="1">
        <v>50852.0</v>
      </c>
      <c r="FQ169" s="1" t="s">
        <v>3080</v>
      </c>
      <c r="FR169" s="1">
        <v>54283.0</v>
      </c>
      <c r="FU169" s="1" t="s">
        <v>3081</v>
      </c>
      <c r="FV169" s="1" t="s">
        <v>200</v>
      </c>
      <c r="FW169" s="1" t="s">
        <v>3082</v>
      </c>
      <c r="FZ169" s="1" t="s">
        <v>229</v>
      </c>
      <c r="GA169" s="1" t="s">
        <v>291</v>
      </c>
      <c r="GB169" s="2">
        <v>42004.0</v>
      </c>
      <c r="GC169" s="1" t="s">
        <v>3083</v>
      </c>
    </row>
    <row r="170">
      <c r="A170" s="1">
        <v>497500.0</v>
      </c>
      <c r="B170" s="1" t="s">
        <v>185</v>
      </c>
      <c r="C170" s="1" t="str">
        <f>"08763659"</f>
        <v>08763659</v>
      </c>
      <c r="D170" s="1" t="s">
        <v>186</v>
      </c>
      <c r="F170" s="1" t="str">
        <f>"510"</f>
        <v>510</v>
      </c>
      <c r="G170" s="2">
        <v>41940.0</v>
      </c>
      <c r="H170" s="1">
        <v>539900.0</v>
      </c>
      <c r="I170" s="1">
        <v>117.0</v>
      </c>
      <c r="J170" s="1">
        <v>539900.0</v>
      </c>
      <c r="K170" s="2">
        <v>41954.0</v>
      </c>
      <c r="L170" s="1">
        <v>15.0</v>
      </c>
      <c r="M170" s="2">
        <v>41954.0</v>
      </c>
      <c r="N170" s="1" t="s">
        <v>187</v>
      </c>
      <c r="O170" s="2">
        <v>41996.0</v>
      </c>
      <c r="P170" s="1">
        <v>231596.0</v>
      </c>
      <c r="Q170" s="1">
        <v>23156.0</v>
      </c>
      <c r="S170" s="1">
        <v>2476.0</v>
      </c>
      <c r="T170" s="1" t="s">
        <v>3084</v>
      </c>
      <c r="U170" s="1" t="s">
        <v>1174</v>
      </c>
      <c r="V170" s="1" t="s">
        <v>2700</v>
      </c>
      <c r="W170" s="1">
        <v>60510.0</v>
      </c>
      <c r="Y170" s="1" t="s">
        <v>3085</v>
      </c>
      <c r="Z170" s="1">
        <v>2001.0</v>
      </c>
      <c r="AA170" s="1" t="s">
        <v>200</v>
      </c>
      <c r="AB170" s="1" t="s">
        <v>467</v>
      </c>
      <c r="AC170" s="1" t="s">
        <v>3086</v>
      </c>
      <c r="AD170" s="1" t="s">
        <v>2702</v>
      </c>
      <c r="AE170" s="1" t="s">
        <v>325</v>
      </c>
      <c r="AF170" s="1" t="s">
        <v>2702</v>
      </c>
      <c r="AH170" s="1" t="s">
        <v>3087</v>
      </c>
      <c r="AI170" s="1">
        <v>0.3</v>
      </c>
      <c r="AK170" s="1">
        <v>11.0</v>
      </c>
      <c r="AL170" s="1">
        <v>4.0</v>
      </c>
      <c r="AM170" s="1">
        <v>5.0</v>
      </c>
      <c r="AN170" s="1">
        <v>0.0</v>
      </c>
      <c r="AO170" s="1" t="s">
        <v>198</v>
      </c>
      <c r="AP170" s="1">
        <v>2.0</v>
      </c>
      <c r="AQ170" s="1" t="s">
        <v>198</v>
      </c>
      <c r="AR170" s="1" t="s">
        <v>192</v>
      </c>
      <c r="AS170" s="1" t="s">
        <v>199</v>
      </c>
      <c r="AT170" s="1">
        <v>3.0</v>
      </c>
      <c r="AV170" s="1" t="s">
        <v>200</v>
      </c>
      <c r="AW170" s="1">
        <v>17006.8</v>
      </c>
      <c r="AX170" s="1">
        <v>2013.0</v>
      </c>
      <c r="AY170" s="1" t="s">
        <v>387</v>
      </c>
      <c r="AZ170" s="1" t="s">
        <v>545</v>
      </c>
      <c r="BA170" s="1" t="str">
        <f>"1220456012"</f>
        <v>1220456012</v>
      </c>
      <c r="BB170" s="1" t="s">
        <v>200</v>
      </c>
      <c r="BC170" s="1">
        <v>4013.0</v>
      </c>
      <c r="BD170" s="1">
        <v>497500.0</v>
      </c>
      <c r="BE170" s="2">
        <v>41940.0</v>
      </c>
      <c r="BF170" s="1" t="s">
        <v>3088</v>
      </c>
      <c r="BG170" s="1" t="s">
        <v>3089</v>
      </c>
      <c r="BH170" s="1">
        <v>375.0</v>
      </c>
      <c r="BI170" s="1" t="s">
        <v>3090</v>
      </c>
      <c r="BJ170" s="1" t="s">
        <v>3091</v>
      </c>
      <c r="BK170" s="1" t="s">
        <v>1952</v>
      </c>
      <c r="BL170" s="1" t="str">
        <f t="shared" ref="BL170:BM170" si="112">"0"</f>
        <v>0</v>
      </c>
      <c r="BM170" s="1" t="str">
        <f t="shared" si="112"/>
        <v>0</v>
      </c>
      <c r="BN170" s="1">
        <v>37.0</v>
      </c>
      <c r="BO170" s="1">
        <v>1.0</v>
      </c>
      <c r="BQ170" s="1">
        <v>101.0</v>
      </c>
      <c r="BR170" s="1">
        <v>101.0</v>
      </c>
      <c r="BS170" s="1">
        <v>101.0</v>
      </c>
      <c r="BU170" s="1" t="s">
        <v>329</v>
      </c>
      <c r="BV170" s="1" t="s">
        <v>206</v>
      </c>
      <c r="BW170" s="1" t="s">
        <v>210</v>
      </c>
      <c r="BX170" s="1" t="s">
        <v>476</v>
      </c>
      <c r="BY170" s="1" t="s">
        <v>3092</v>
      </c>
      <c r="BZ170" s="1" t="s">
        <v>209</v>
      </c>
      <c r="CA170" s="1" t="s">
        <v>210</v>
      </c>
      <c r="CB170" s="1" t="s">
        <v>476</v>
      </c>
      <c r="CC170" s="1" t="s">
        <v>329</v>
      </c>
      <c r="CD170" s="1" t="s">
        <v>206</v>
      </c>
      <c r="CE170" s="1" t="s">
        <v>210</v>
      </c>
      <c r="CF170" s="1" t="s">
        <v>431</v>
      </c>
      <c r="CG170" s="1" t="s">
        <v>361</v>
      </c>
      <c r="CH170" s="1" t="s">
        <v>209</v>
      </c>
      <c r="CI170" s="1" t="s">
        <v>210</v>
      </c>
      <c r="CJ170" s="1" t="s">
        <v>476</v>
      </c>
      <c r="CK170" s="1" t="s">
        <v>584</v>
      </c>
      <c r="CL170" s="1" t="s">
        <v>209</v>
      </c>
      <c r="CM170" s="1" t="s">
        <v>210</v>
      </c>
      <c r="CN170" s="1" t="s">
        <v>476</v>
      </c>
      <c r="CO170" s="1" t="s">
        <v>584</v>
      </c>
      <c r="CP170" s="1" t="s">
        <v>209</v>
      </c>
      <c r="CQ170" s="1" t="s">
        <v>210</v>
      </c>
      <c r="CR170" s="1" t="s">
        <v>476</v>
      </c>
      <c r="CS170" s="1" t="s">
        <v>361</v>
      </c>
      <c r="CT170" s="1" t="s">
        <v>206</v>
      </c>
      <c r="CU170" s="1" t="s">
        <v>207</v>
      </c>
      <c r="CW170" s="1" t="s">
        <v>1825</v>
      </c>
      <c r="CX170" s="1" t="s">
        <v>206</v>
      </c>
      <c r="CY170" s="1" t="s">
        <v>210</v>
      </c>
      <c r="CZ170" s="1" t="s">
        <v>476</v>
      </c>
      <c r="DA170" s="1" t="s">
        <v>200</v>
      </c>
      <c r="DC170" s="1" t="s">
        <v>335</v>
      </c>
      <c r="DD170" s="1" t="s">
        <v>1552</v>
      </c>
      <c r="DE170" s="1" t="s">
        <v>218</v>
      </c>
      <c r="DF170" s="1" t="s">
        <v>745</v>
      </c>
      <c r="DG170" s="1" t="s">
        <v>3093</v>
      </c>
      <c r="DH170" s="1" t="s">
        <v>220</v>
      </c>
      <c r="DI170" s="1" t="s">
        <v>3094</v>
      </c>
      <c r="DJ170" s="1" t="s">
        <v>222</v>
      </c>
      <c r="DK170" s="1" t="s">
        <v>223</v>
      </c>
      <c r="DL170" s="1" t="s">
        <v>224</v>
      </c>
      <c r="DM170" s="1" t="s">
        <v>338</v>
      </c>
      <c r="DN170" s="1" t="s">
        <v>399</v>
      </c>
      <c r="DO170" s="1" t="s">
        <v>3095</v>
      </c>
      <c r="DP170" s="1" t="s">
        <v>340</v>
      </c>
      <c r="DQ170" s="1" t="s">
        <v>441</v>
      </c>
      <c r="DR170" s="1" t="s">
        <v>3096</v>
      </c>
      <c r="DS170" s="1" t="s">
        <v>230</v>
      </c>
      <c r="DU170" s="1" t="s">
        <v>3097</v>
      </c>
      <c r="DV170" s="1" t="s">
        <v>3098</v>
      </c>
      <c r="DW170" s="1" t="s">
        <v>764</v>
      </c>
      <c r="DX170" s="1" t="s">
        <v>234</v>
      </c>
      <c r="DY170" s="1" t="s">
        <v>2423</v>
      </c>
      <c r="DZ170" s="1" t="s">
        <v>2424</v>
      </c>
      <c r="EA170" s="1" t="s">
        <v>344</v>
      </c>
      <c r="EB170" s="1" t="s">
        <v>492</v>
      </c>
      <c r="EC170" s="1" t="s">
        <v>237</v>
      </c>
      <c r="ED170" s="1" t="s">
        <v>407</v>
      </c>
      <c r="EG170" s="1" t="s">
        <v>449</v>
      </c>
      <c r="EH170" s="1" t="s">
        <v>494</v>
      </c>
      <c r="EI170" s="1" t="s">
        <v>1102</v>
      </c>
      <c r="EJ170" s="1" t="s">
        <v>450</v>
      </c>
      <c r="EK170" s="1" t="s">
        <v>588</v>
      </c>
      <c r="EL170" s="1" t="s">
        <v>392</v>
      </c>
      <c r="EM170" s="1" t="s">
        <v>206</v>
      </c>
      <c r="EN170" s="1" t="s">
        <v>207</v>
      </c>
      <c r="EP170" s="1" t="s">
        <v>329</v>
      </c>
      <c r="EQ170" s="1" t="s">
        <v>206</v>
      </c>
      <c r="ER170" s="1" t="s">
        <v>210</v>
      </c>
      <c r="ES170" s="1" t="s">
        <v>476</v>
      </c>
      <c r="ET170" s="1" t="s">
        <v>497</v>
      </c>
      <c r="EU170" s="1" t="s">
        <v>206</v>
      </c>
      <c r="EV170" s="1" t="s">
        <v>207</v>
      </c>
      <c r="EX170" s="1" t="s">
        <v>1825</v>
      </c>
      <c r="EY170" s="1" t="s">
        <v>42</v>
      </c>
      <c r="EZ170" s="1" t="s">
        <v>210</v>
      </c>
      <c r="FB170" s="1" t="s">
        <v>2365</v>
      </c>
      <c r="FC170" s="1" t="s">
        <v>42</v>
      </c>
      <c r="FD170" s="1" t="s">
        <v>210</v>
      </c>
      <c r="FF170" s="1" t="s">
        <v>239</v>
      </c>
      <c r="FG170" s="1" t="s">
        <v>192</v>
      </c>
      <c r="FH170" s="1" t="s">
        <v>192</v>
      </c>
      <c r="FJ170" s="1" t="s">
        <v>3099</v>
      </c>
      <c r="FK170" s="1" t="s">
        <v>229</v>
      </c>
      <c r="FL170" s="1" t="s">
        <v>456</v>
      </c>
      <c r="FM170" s="1">
        <v>49.0</v>
      </c>
      <c r="FN170" s="1" t="s">
        <v>457</v>
      </c>
      <c r="FO170" s="1" t="s">
        <v>3100</v>
      </c>
      <c r="FP170" s="1">
        <v>8292.0</v>
      </c>
      <c r="FQ170" s="1" t="s">
        <v>3101</v>
      </c>
      <c r="FS170" s="1" t="s">
        <v>3102</v>
      </c>
      <c r="FU170" s="1" t="s">
        <v>3103</v>
      </c>
      <c r="FV170" s="1" t="s">
        <v>200</v>
      </c>
      <c r="FW170" s="1" t="s">
        <v>290</v>
      </c>
      <c r="FZ170" s="1" t="s">
        <v>229</v>
      </c>
      <c r="GA170" s="1" t="s">
        <v>291</v>
      </c>
      <c r="GB170" s="2">
        <v>41999.0</v>
      </c>
      <c r="GC170" s="1" t="s">
        <v>3104</v>
      </c>
    </row>
    <row r="171">
      <c r="A171" s="1">
        <v>550000.0</v>
      </c>
      <c r="B171" s="1" t="s">
        <v>185</v>
      </c>
      <c r="C171" s="1" t="str">
        <f>"08764823"</f>
        <v>08764823</v>
      </c>
      <c r="D171" s="1" t="s">
        <v>186</v>
      </c>
      <c r="F171" s="1" t="str">
        <f>"8041"</f>
        <v>8041</v>
      </c>
      <c r="G171" s="2">
        <v>41942.0</v>
      </c>
      <c r="H171" s="1">
        <v>550000.0</v>
      </c>
      <c r="I171" s="1">
        <v>13.0</v>
      </c>
      <c r="J171" s="1">
        <v>550000.0</v>
      </c>
      <c r="K171" s="2">
        <v>41954.0</v>
      </c>
      <c r="L171" s="1">
        <v>13.0</v>
      </c>
      <c r="M171" s="2">
        <v>41954.0</v>
      </c>
      <c r="N171" s="1" t="s">
        <v>187</v>
      </c>
      <c r="O171" s="2">
        <v>42018.0</v>
      </c>
      <c r="P171" s="1">
        <v>147552.0</v>
      </c>
      <c r="Q171" s="1">
        <v>11066.0</v>
      </c>
      <c r="S171" s="1">
        <v>5731.0</v>
      </c>
      <c r="T171" s="1" t="s">
        <v>3105</v>
      </c>
      <c r="U171" s="1" t="s">
        <v>189</v>
      </c>
      <c r="V171" s="1" t="s">
        <v>190</v>
      </c>
      <c r="W171" s="1">
        <v>60637.0</v>
      </c>
      <c r="Y171" s="1" t="s">
        <v>3106</v>
      </c>
      <c r="Z171" s="1">
        <v>1885.0</v>
      </c>
      <c r="AA171" s="1" t="s">
        <v>192</v>
      </c>
      <c r="AB171" s="1" t="s">
        <v>193</v>
      </c>
      <c r="AD171" s="1" t="s">
        <v>194</v>
      </c>
      <c r="AE171" s="1" t="s">
        <v>195</v>
      </c>
      <c r="AF171" s="1" t="s">
        <v>637</v>
      </c>
      <c r="AH171" s="1" t="s">
        <v>3107</v>
      </c>
      <c r="AK171" s="1">
        <v>8.0</v>
      </c>
      <c r="AL171" s="1">
        <v>4.0</v>
      </c>
      <c r="AM171" s="1">
        <v>1.0</v>
      </c>
      <c r="AN171" s="1">
        <v>1.0</v>
      </c>
      <c r="AO171" s="1" t="s">
        <v>229</v>
      </c>
      <c r="AP171" s="1">
        <v>1.0</v>
      </c>
      <c r="AQ171" s="1" t="s">
        <v>198</v>
      </c>
      <c r="AR171" s="1" t="s">
        <v>192</v>
      </c>
      <c r="AS171" s="1" t="s">
        <v>229</v>
      </c>
      <c r="AV171" s="1" t="s">
        <v>200</v>
      </c>
      <c r="AW171" s="1">
        <v>6446.0</v>
      </c>
      <c r="AX171" s="1">
        <v>2012.0</v>
      </c>
      <c r="AY171" s="1" t="s">
        <v>3108</v>
      </c>
      <c r="AZ171" s="1" t="s">
        <v>200</v>
      </c>
      <c r="BA171" s="1" t="str">
        <f>"20142230110000"</f>
        <v>20142230110000</v>
      </c>
      <c r="BB171" s="1" t="s">
        <v>200</v>
      </c>
      <c r="BC171" s="1">
        <v>1912.0</v>
      </c>
      <c r="BD171" s="1">
        <v>550000.0</v>
      </c>
      <c r="BE171" s="2">
        <v>41942.0</v>
      </c>
      <c r="BF171" s="2" t="s">
        <v>3109</v>
      </c>
      <c r="BH171" s="1">
        <v>0.0</v>
      </c>
      <c r="BK171" s="1" t="s">
        <v>204</v>
      </c>
      <c r="BL171" s="1" t="str">
        <f>"0"</f>
        <v>0</v>
      </c>
      <c r="BM171" s="1" t="str">
        <f>"1600"</f>
        <v>1600</v>
      </c>
      <c r="BN171" s="1">
        <v>0.0</v>
      </c>
      <c r="BO171" s="1">
        <v>5731.0</v>
      </c>
      <c r="BQ171" s="1">
        <v>299.0</v>
      </c>
      <c r="BR171" s="1">
        <v>299.0</v>
      </c>
      <c r="BS171" s="1">
        <v>299.0</v>
      </c>
      <c r="BU171" s="1" t="s">
        <v>2219</v>
      </c>
      <c r="BV171" s="1" t="s">
        <v>206</v>
      </c>
      <c r="BW171" s="1" t="s">
        <v>207</v>
      </c>
      <c r="BX171" s="1" t="s">
        <v>229</v>
      </c>
      <c r="BY171" s="1" t="s">
        <v>213</v>
      </c>
      <c r="BZ171" s="1" t="s">
        <v>209</v>
      </c>
      <c r="CC171" s="1" t="s">
        <v>925</v>
      </c>
      <c r="CD171" s="1" t="s">
        <v>206</v>
      </c>
      <c r="CE171" s="1" t="s">
        <v>207</v>
      </c>
      <c r="CF171" s="1" t="s">
        <v>229</v>
      </c>
      <c r="CG171" s="1" t="s">
        <v>663</v>
      </c>
      <c r="CH171" s="1" t="s">
        <v>209</v>
      </c>
      <c r="CK171" s="1" t="s">
        <v>478</v>
      </c>
      <c r="CL171" s="1" t="s">
        <v>209</v>
      </c>
      <c r="CO171" s="1" t="s">
        <v>663</v>
      </c>
      <c r="CP171" s="1" t="s">
        <v>209</v>
      </c>
      <c r="CS171" s="1" t="s">
        <v>1584</v>
      </c>
      <c r="CT171" s="1" t="s">
        <v>206</v>
      </c>
      <c r="CU171" s="1" t="s">
        <v>207</v>
      </c>
      <c r="CX171" s="1" t="s">
        <v>204</v>
      </c>
      <c r="DA171" s="1" t="s">
        <v>200</v>
      </c>
      <c r="DC171" s="1" t="s">
        <v>642</v>
      </c>
      <c r="DD171" s="1" t="s">
        <v>518</v>
      </c>
      <c r="DE171" s="1" t="s">
        <v>229</v>
      </c>
      <c r="DF171" s="1" t="s">
        <v>905</v>
      </c>
      <c r="DG171" s="1" t="s">
        <v>3110</v>
      </c>
      <c r="DH171" s="1" t="s">
        <v>365</v>
      </c>
      <c r="DI171" s="1" t="s">
        <v>1401</v>
      </c>
      <c r="DJ171" s="1" t="s">
        <v>588</v>
      </c>
      <c r="DK171" s="1" t="s">
        <v>1555</v>
      </c>
      <c r="DL171" s="1" t="s">
        <v>223</v>
      </c>
      <c r="DM171" s="1" t="s">
        <v>929</v>
      </c>
      <c r="DP171" s="1" t="s">
        <v>340</v>
      </c>
      <c r="DQ171" s="1" t="s">
        <v>228</v>
      </c>
      <c r="DR171" s="1" t="s">
        <v>229</v>
      </c>
      <c r="DS171" s="1" t="s">
        <v>591</v>
      </c>
      <c r="DV171" s="1" t="s">
        <v>556</v>
      </c>
      <c r="DW171" s="1" t="s">
        <v>667</v>
      </c>
      <c r="DX171" s="1" t="s">
        <v>234</v>
      </c>
      <c r="DY171" s="1" t="s">
        <v>704</v>
      </c>
      <c r="DZ171" s="1" t="s">
        <v>3111</v>
      </c>
      <c r="EA171" s="1" t="s">
        <v>3112</v>
      </c>
      <c r="EB171" s="1" t="s">
        <v>345</v>
      </c>
      <c r="EC171" s="1" t="s">
        <v>406</v>
      </c>
      <c r="EG171" s="1" t="s">
        <v>556</v>
      </c>
      <c r="EL171" s="1" t="s">
        <v>663</v>
      </c>
      <c r="EM171" s="1" t="s">
        <v>206</v>
      </c>
      <c r="EQ171" s="1" t="s">
        <v>238</v>
      </c>
      <c r="EU171" s="1" t="s">
        <v>238</v>
      </c>
      <c r="EY171" s="1" t="s">
        <v>238</v>
      </c>
      <c r="FC171" s="1" t="s">
        <v>238</v>
      </c>
      <c r="FF171" s="1" t="s">
        <v>239</v>
      </c>
      <c r="FG171" s="1" t="s">
        <v>192</v>
      </c>
      <c r="FH171" s="1" t="s">
        <v>192</v>
      </c>
      <c r="FJ171" s="1" t="s">
        <v>561</v>
      </c>
      <c r="FK171" s="1" t="s">
        <v>229</v>
      </c>
      <c r="FL171" s="1" t="s">
        <v>562</v>
      </c>
      <c r="FM171" s="1">
        <v>14703.0</v>
      </c>
      <c r="FN171" s="1" t="s">
        <v>2570</v>
      </c>
      <c r="FO171" s="1" t="s">
        <v>3113</v>
      </c>
      <c r="FP171" s="1">
        <v>188925.0</v>
      </c>
      <c r="FQ171" s="1" t="s">
        <v>3114</v>
      </c>
      <c r="FU171" s="1" t="s">
        <v>3115</v>
      </c>
      <c r="FV171" s="1" t="s">
        <v>200</v>
      </c>
      <c r="FW171" s="1" t="s">
        <v>1293</v>
      </c>
      <c r="FX171" s="1" t="s">
        <v>655</v>
      </c>
      <c r="FZ171" s="1" t="s">
        <v>229</v>
      </c>
      <c r="GA171" s="1" t="s">
        <v>291</v>
      </c>
      <c r="GB171" s="2">
        <v>42018.0</v>
      </c>
    </row>
    <row r="172">
      <c r="A172" s="1">
        <v>470000.0</v>
      </c>
      <c r="B172" s="1" t="s">
        <v>185</v>
      </c>
      <c r="C172" s="1" t="str">
        <f>"08785588"</f>
        <v>08785588</v>
      </c>
      <c r="D172" s="1" t="s">
        <v>186</v>
      </c>
      <c r="F172" s="1" t="str">
        <f>"107"</f>
        <v>107</v>
      </c>
      <c r="G172" s="2">
        <v>41956.0</v>
      </c>
      <c r="H172" s="1">
        <v>500000.0</v>
      </c>
      <c r="I172" s="1">
        <v>15.0</v>
      </c>
      <c r="J172" s="1">
        <v>500000.0</v>
      </c>
      <c r="K172" s="2">
        <v>41970.0</v>
      </c>
      <c r="L172" s="1">
        <v>15.0</v>
      </c>
      <c r="M172" s="2">
        <v>41970.0</v>
      </c>
      <c r="N172" s="1" t="s">
        <v>187</v>
      </c>
      <c r="O172" s="2">
        <v>42097.0</v>
      </c>
      <c r="P172" s="1">
        <v>243535.0</v>
      </c>
      <c r="Q172" s="1">
        <v>8079.0</v>
      </c>
      <c r="S172" s="1">
        <v>10.0</v>
      </c>
      <c r="T172" s="1" t="s">
        <v>3116</v>
      </c>
      <c r="U172" s="1" t="s">
        <v>420</v>
      </c>
      <c r="V172" s="1" t="s">
        <v>294</v>
      </c>
      <c r="W172" s="1">
        <v>60107.0</v>
      </c>
      <c r="Y172" s="1" t="s">
        <v>3117</v>
      </c>
      <c r="Z172" s="1">
        <v>2004.0</v>
      </c>
      <c r="AA172" s="1" t="s">
        <v>200</v>
      </c>
      <c r="AB172" s="1" t="s">
        <v>193</v>
      </c>
      <c r="AD172" s="1" t="s">
        <v>297</v>
      </c>
      <c r="AE172" s="1" t="s">
        <v>195</v>
      </c>
      <c r="AF172" s="1" t="s">
        <v>298</v>
      </c>
      <c r="AH172" s="1" t="s">
        <v>3118</v>
      </c>
      <c r="AK172" s="1">
        <v>14.0</v>
      </c>
      <c r="AL172" s="1">
        <v>4.0</v>
      </c>
      <c r="AM172" s="1">
        <v>4.0</v>
      </c>
      <c r="AN172" s="1">
        <v>1.0</v>
      </c>
      <c r="AO172" s="1" t="s">
        <v>198</v>
      </c>
      <c r="AP172" s="1">
        <v>1.0</v>
      </c>
      <c r="AQ172" s="1" t="s">
        <v>198</v>
      </c>
      <c r="AR172" s="1" t="s">
        <v>192</v>
      </c>
      <c r="AS172" s="1" t="s">
        <v>199</v>
      </c>
      <c r="AT172" s="1">
        <v>3.0</v>
      </c>
      <c r="AV172" s="1" t="s">
        <v>200</v>
      </c>
      <c r="AW172" s="1">
        <v>16121.0</v>
      </c>
      <c r="AX172" s="1">
        <v>2013.0</v>
      </c>
      <c r="AY172" s="1" t="s">
        <v>387</v>
      </c>
      <c r="AZ172" s="1" t="s">
        <v>200</v>
      </c>
      <c r="BA172" s="1" t="str">
        <f>"06274120099990"</f>
        <v>06274120099990</v>
      </c>
      <c r="BC172" s="1">
        <v>4333.0</v>
      </c>
      <c r="BD172" s="1">
        <v>470000.0</v>
      </c>
      <c r="BE172" s="2">
        <v>41956.0</v>
      </c>
      <c r="BF172" s="2" t="s">
        <v>3119</v>
      </c>
      <c r="BG172" s="1" t="s">
        <v>3120</v>
      </c>
      <c r="BH172" s="1">
        <v>250.0</v>
      </c>
      <c r="BI172" s="1" t="s">
        <v>3121</v>
      </c>
      <c r="BJ172" s="1" t="s">
        <v>1243</v>
      </c>
      <c r="BK172" s="1" t="s">
        <v>580</v>
      </c>
      <c r="BL172" s="1" t="str">
        <f t="shared" ref="BL172:BM172" si="113">""</f>
        <v/>
      </c>
      <c r="BM172" s="1" t="str">
        <f t="shared" si="113"/>
        <v/>
      </c>
      <c r="BQ172" s="1">
        <v>46.0</v>
      </c>
      <c r="BR172" s="1">
        <v>46.0</v>
      </c>
      <c r="BS172" s="1">
        <v>46.0</v>
      </c>
      <c r="BU172" s="1" t="s">
        <v>496</v>
      </c>
      <c r="BV172" s="1" t="s">
        <v>206</v>
      </c>
      <c r="BW172" s="1" t="s">
        <v>207</v>
      </c>
      <c r="BY172" s="1" t="s">
        <v>924</v>
      </c>
      <c r="BZ172" s="1" t="s">
        <v>209</v>
      </c>
      <c r="CA172" s="1" t="s">
        <v>210</v>
      </c>
      <c r="CC172" s="1" t="s">
        <v>329</v>
      </c>
      <c r="CD172" s="1" t="s">
        <v>206</v>
      </c>
      <c r="CE172" s="1" t="s">
        <v>207</v>
      </c>
      <c r="CG172" s="1" t="s">
        <v>743</v>
      </c>
      <c r="CH172" s="1" t="s">
        <v>209</v>
      </c>
      <c r="CI172" s="1" t="s">
        <v>210</v>
      </c>
      <c r="CK172" s="1" t="s">
        <v>393</v>
      </c>
      <c r="CL172" s="1" t="s">
        <v>209</v>
      </c>
      <c r="CM172" s="1" t="s">
        <v>210</v>
      </c>
      <c r="CO172" s="1" t="s">
        <v>329</v>
      </c>
      <c r="CP172" s="1" t="s">
        <v>209</v>
      </c>
      <c r="CQ172" s="1" t="s">
        <v>210</v>
      </c>
      <c r="CS172" s="1" t="s">
        <v>3122</v>
      </c>
      <c r="CT172" s="1" t="s">
        <v>206</v>
      </c>
      <c r="CU172" s="1" t="s">
        <v>207</v>
      </c>
      <c r="CW172" s="1" t="s">
        <v>3123</v>
      </c>
      <c r="CX172" s="1" t="s">
        <v>206</v>
      </c>
      <c r="CY172" s="1" t="s">
        <v>207</v>
      </c>
      <c r="DA172" s="1" t="s">
        <v>200</v>
      </c>
      <c r="DC172" s="1" t="s">
        <v>481</v>
      </c>
      <c r="DD172" s="1" t="s">
        <v>586</v>
      </c>
      <c r="DE172" s="1" t="s">
        <v>273</v>
      </c>
      <c r="DF172" s="1" t="s">
        <v>219</v>
      </c>
      <c r="DG172" s="1" t="s">
        <v>788</v>
      </c>
      <c r="DH172" s="1" t="s">
        <v>220</v>
      </c>
      <c r="DJ172" s="1" t="s">
        <v>222</v>
      </c>
      <c r="DL172" s="1" t="s">
        <v>224</v>
      </c>
      <c r="DM172" s="1" t="s">
        <v>1658</v>
      </c>
      <c r="DN172" s="1" t="s">
        <v>485</v>
      </c>
      <c r="DO172" s="1" t="s">
        <v>440</v>
      </c>
      <c r="DP172" s="1" t="s">
        <v>340</v>
      </c>
      <c r="DQ172" s="1" t="s">
        <v>1557</v>
      </c>
      <c r="DR172" s="1" t="s">
        <v>229</v>
      </c>
      <c r="DS172" s="1" t="s">
        <v>591</v>
      </c>
      <c r="DV172" s="1" t="s">
        <v>3124</v>
      </c>
      <c r="DW172" s="1" t="s">
        <v>279</v>
      </c>
      <c r="DX172" s="1" t="s">
        <v>234</v>
      </c>
      <c r="DY172" s="1" t="s">
        <v>3125</v>
      </c>
      <c r="DZ172" s="1" t="s">
        <v>3126</v>
      </c>
      <c r="EA172" s="1" t="s">
        <v>447</v>
      </c>
      <c r="EB172" s="1" t="s">
        <v>684</v>
      </c>
      <c r="EC172" s="1" t="s">
        <v>3127</v>
      </c>
      <c r="EG172" s="1" t="s">
        <v>1121</v>
      </c>
      <c r="EH172" s="1" t="s">
        <v>1102</v>
      </c>
      <c r="EI172" s="1" t="s">
        <v>494</v>
      </c>
      <c r="EJ172" s="1" t="s">
        <v>450</v>
      </c>
      <c r="EK172" s="1" t="s">
        <v>1467</v>
      </c>
      <c r="EL172" s="1" t="s">
        <v>205</v>
      </c>
      <c r="EM172" s="1" t="s">
        <v>209</v>
      </c>
      <c r="EN172" s="1" t="s">
        <v>210</v>
      </c>
      <c r="EP172" s="1" t="s">
        <v>584</v>
      </c>
      <c r="EQ172" s="1" t="s">
        <v>209</v>
      </c>
      <c r="ER172" s="1" t="s">
        <v>617</v>
      </c>
      <c r="ET172" s="1" t="s">
        <v>454</v>
      </c>
      <c r="EU172" s="1" t="s">
        <v>206</v>
      </c>
      <c r="EV172" s="1" t="s">
        <v>207</v>
      </c>
      <c r="EX172" s="1" t="s">
        <v>3128</v>
      </c>
      <c r="EY172" s="1" t="s">
        <v>42</v>
      </c>
      <c r="EZ172" s="1" t="s">
        <v>207</v>
      </c>
      <c r="FB172" s="1" t="s">
        <v>1774</v>
      </c>
      <c r="FC172" s="1" t="s">
        <v>42</v>
      </c>
      <c r="FD172" s="1" t="s">
        <v>210</v>
      </c>
      <c r="FF172" s="1" t="s">
        <v>229</v>
      </c>
      <c r="FG172" s="1" t="s">
        <v>200</v>
      </c>
      <c r="FH172" s="1" t="s">
        <v>200</v>
      </c>
      <c r="FJ172" s="1" t="s">
        <v>2285</v>
      </c>
      <c r="FK172" s="1" t="s">
        <v>1586</v>
      </c>
      <c r="FL172" s="1" t="s">
        <v>456</v>
      </c>
      <c r="FM172" s="1">
        <v>8002.0</v>
      </c>
      <c r="FN172" s="1" t="s">
        <v>3129</v>
      </c>
      <c r="FO172" s="1" t="s">
        <v>3130</v>
      </c>
      <c r="FP172" s="1">
        <v>84922.0</v>
      </c>
      <c r="FQ172" s="1" t="s">
        <v>3131</v>
      </c>
      <c r="FT172" s="1" t="s">
        <v>3132</v>
      </c>
      <c r="FU172" s="1" t="s">
        <v>3133</v>
      </c>
      <c r="FV172" s="1" t="s">
        <v>200</v>
      </c>
      <c r="FW172" s="1" t="s">
        <v>290</v>
      </c>
      <c r="FZ172" s="1" t="s">
        <v>229</v>
      </c>
      <c r="GA172" s="1" t="s">
        <v>291</v>
      </c>
      <c r="GB172" s="2">
        <v>42100.0</v>
      </c>
      <c r="GC172" s="1" t="s">
        <v>3134</v>
      </c>
    </row>
    <row r="173">
      <c r="A173" s="1">
        <v>730000.0</v>
      </c>
      <c r="B173" s="1" t="s">
        <v>185</v>
      </c>
      <c r="C173" s="1" t="str">
        <f>"08763397"</f>
        <v>08763397</v>
      </c>
      <c r="D173" s="1" t="s">
        <v>186</v>
      </c>
      <c r="F173" s="1" t="str">
        <f>"8022"</f>
        <v>8022</v>
      </c>
      <c r="G173" s="2">
        <v>41940.0</v>
      </c>
      <c r="H173" s="1">
        <v>769000.0</v>
      </c>
      <c r="I173" s="1">
        <v>31.0</v>
      </c>
      <c r="J173" s="1">
        <v>749900.0</v>
      </c>
      <c r="K173" s="2">
        <v>41970.0</v>
      </c>
      <c r="L173" s="1">
        <v>31.0</v>
      </c>
      <c r="M173" s="2">
        <v>41970.0</v>
      </c>
      <c r="N173" s="1" t="s">
        <v>187</v>
      </c>
      <c r="O173" s="2">
        <v>42024.0</v>
      </c>
      <c r="P173" s="1">
        <v>114329.0</v>
      </c>
      <c r="Q173" s="1">
        <v>11047.0</v>
      </c>
      <c r="S173" s="1">
        <v>2855.0</v>
      </c>
      <c r="T173" s="1" t="s">
        <v>3135</v>
      </c>
      <c r="U173" s="1" t="s">
        <v>189</v>
      </c>
      <c r="V173" s="1" t="s">
        <v>190</v>
      </c>
      <c r="W173" s="1">
        <v>60647.0</v>
      </c>
      <c r="Y173" s="1" t="s">
        <v>3136</v>
      </c>
      <c r="Z173" s="1">
        <v>2005.0</v>
      </c>
      <c r="AA173" s="1" t="s">
        <v>200</v>
      </c>
      <c r="AB173" s="1" t="s">
        <v>193</v>
      </c>
      <c r="AD173" s="1" t="s">
        <v>194</v>
      </c>
      <c r="AE173" s="1" t="s">
        <v>195</v>
      </c>
      <c r="AF173" s="1" t="s">
        <v>827</v>
      </c>
      <c r="AH173" s="1" t="s">
        <v>3137</v>
      </c>
      <c r="AK173" s="1">
        <v>9.0</v>
      </c>
      <c r="AL173" s="1">
        <v>4.0</v>
      </c>
      <c r="AM173" s="1">
        <v>3.0</v>
      </c>
      <c r="AN173" s="1">
        <v>1.0</v>
      </c>
      <c r="AO173" s="1" t="s">
        <v>198</v>
      </c>
      <c r="AP173" s="1">
        <v>2.0</v>
      </c>
      <c r="AQ173" s="1" t="s">
        <v>472</v>
      </c>
      <c r="AR173" s="1" t="s">
        <v>192</v>
      </c>
      <c r="AS173" s="1" t="s">
        <v>199</v>
      </c>
      <c r="AT173" s="1">
        <v>2.0</v>
      </c>
      <c r="AV173" s="1" t="s">
        <v>200</v>
      </c>
      <c r="AW173" s="1">
        <v>7893.62</v>
      </c>
      <c r="AX173" s="1">
        <v>2013.0</v>
      </c>
      <c r="AY173" s="1" t="s">
        <v>387</v>
      </c>
      <c r="AZ173" s="1" t="s">
        <v>200</v>
      </c>
      <c r="BA173" s="1" t="str">
        <f>"13361070270000"</f>
        <v>13361070270000</v>
      </c>
      <c r="BC173" s="1">
        <v>3600.0</v>
      </c>
      <c r="BD173" s="1">
        <v>730000.0</v>
      </c>
      <c r="BE173" s="2">
        <v>41940.0</v>
      </c>
      <c r="BF173" s="2" t="s">
        <v>3138</v>
      </c>
      <c r="BH173" s="1">
        <v>0.0</v>
      </c>
      <c r="BK173" s="1" t="s">
        <v>204</v>
      </c>
      <c r="BL173" s="1" t="str">
        <f>"2300"</f>
        <v>2300</v>
      </c>
      <c r="BM173" s="1" t="str">
        <f t="shared" ref="BM173:BM174" si="114">"0"</f>
        <v>0</v>
      </c>
      <c r="BN173" s="1">
        <v>2855.0</v>
      </c>
      <c r="BO173" s="1">
        <v>0.0</v>
      </c>
      <c r="BQ173" s="1">
        <v>299.0</v>
      </c>
      <c r="BR173" s="1">
        <v>299.0</v>
      </c>
      <c r="BS173" s="1">
        <v>299.0</v>
      </c>
      <c r="BU173" s="1" t="s">
        <v>1377</v>
      </c>
      <c r="BV173" s="1" t="s">
        <v>206</v>
      </c>
      <c r="BW173" s="1" t="s">
        <v>207</v>
      </c>
      <c r="BX173" s="1" t="s">
        <v>229</v>
      </c>
      <c r="BY173" s="1" t="s">
        <v>260</v>
      </c>
      <c r="BZ173" s="1" t="s">
        <v>209</v>
      </c>
      <c r="CA173" s="1" t="s">
        <v>207</v>
      </c>
      <c r="CB173" s="1" t="s">
        <v>1118</v>
      </c>
      <c r="CC173" s="1" t="s">
        <v>542</v>
      </c>
      <c r="CD173" s="1" t="s">
        <v>206</v>
      </c>
      <c r="CE173" s="1" t="s">
        <v>207</v>
      </c>
      <c r="CF173" s="1" t="s">
        <v>229</v>
      </c>
      <c r="CG173" s="1" t="s">
        <v>208</v>
      </c>
      <c r="CH173" s="1" t="s">
        <v>209</v>
      </c>
      <c r="CI173" s="1" t="s">
        <v>207</v>
      </c>
      <c r="CJ173" s="1" t="s">
        <v>431</v>
      </c>
      <c r="CK173" s="1" t="s">
        <v>212</v>
      </c>
      <c r="CL173" s="1" t="s">
        <v>209</v>
      </c>
      <c r="CM173" s="1" t="s">
        <v>207</v>
      </c>
      <c r="CN173" s="1" t="s">
        <v>1118</v>
      </c>
      <c r="CO173" s="1" t="s">
        <v>393</v>
      </c>
      <c r="CP173" s="1" t="s">
        <v>267</v>
      </c>
      <c r="CQ173" s="1" t="s">
        <v>210</v>
      </c>
      <c r="CR173" s="1" t="s">
        <v>1118</v>
      </c>
      <c r="CS173" s="1" t="s">
        <v>433</v>
      </c>
      <c r="CT173" s="1" t="s">
        <v>206</v>
      </c>
      <c r="CU173" s="1" t="s">
        <v>207</v>
      </c>
      <c r="CV173" s="1" t="s">
        <v>431</v>
      </c>
      <c r="CW173" s="1" t="s">
        <v>3139</v>
      </c>
      <c r="CX173" s="1" t="s">
        <v>267</v>
      </c>
      <c r="CY173" s="1" t="s">
        <v>210</v>
      </c>
      <c r="CZ173" s="1" t="s">
        <v>431</v>
      </c>
      <c r="DA173" s="1" t="s">
        <v>200</v>
      </c>
      <c r="DC173" s="1" t="s">
        <v>481</v>
      </c>
      <c r="DD173" s="1" t="s">
        <v>1838</v>
      </c>
      <c r="DE173" s="1" t="s">
        <v>273</v>
      </c>
      <c r="DF173" s="1" t="s">
        <v>219</v>
      </c>
      <c r="DG173" s="1" t="s">
        <v>2462</v>
      </c>
      <c r="DH173" s="1" t="s">
        <v>220</v>
      </c>
      <c r="DI173" s="1" t="s">
        <v>3140</v>
      </c>
      <c r="DJ173" s="1" t="s">
        <v>222</v>
      </c>
      <c r="DL173" s="1" t="s">
        <v>224</v>
      </c>
      <c r="DM173" s="1" t="s">
        <v>229</v>
      </c>
      <c r="DN173" s="1" t="s">
        <v>2873</v>
      </c>
      <c r="DP173" s="1" t="s">
        <v>276</v>
      </c>
      <c r="DQ173" s="1" t="s">
        <v>228</v>
      </c>
      <c r="DR173" s="1" t="s">
        <v>229</v>
      </c>
      <c r="DV173" s="1" t="s">
        <v>3141</v>
      </c>
      <c r="DW173" s="1" t="s">
        <v>3142</v>
      </c>
      <c r="DX173" s="1" t="s">
        <v>234</v>
      </c>
      <c r="DY173" s="1" t="s">
        <v>3143</v>
      </c>
      <c r="DZ173" s="1" t="s">
        <v>3144</v>
      </c>
      <c r="EA173" s="1" t="s">
        <v>1027</v>
      </c>
      <c r="EB173" s="1" t="s">
        <v>767</v>
      </c>
      <c r="EC173" s="1" t="s">
        <v>237</v>
      </c>
      <c r="ED173" s="1" t="s">
        <v>555</v>
      </c>
      <c r="EG173" s="1" t="s">
        <v>1164</v>
      </c>
      <c r="EH173" s="1" t="s">
        <v>968</v>
      </c>
      <c r="EL173" s="1" t="s">
        <v>477</v>
      </c>
      <c r="EM173" s="1" t="s">
        <v>206</v>
      </c>
      <c r="EN173" s="1" t="s">
        <v>207</v>
      </c>
      <c r="EO173" s="1" t="s">
        <v>431</v>
      </c>
      <c r="EP173" s="1" t="s">
        <v>1795</v>
      </c>
      <c r="EQ173" s="1" t="s">
        <v>209</v>
      </c>
      <c r="EU173" s="1" t="s">
        <v>238</v>
      </c>
      <c r="EY173" s="1" t="s">
        <v>238</v>
      </c>
      <c r="FC173" s="1" t="s">
        <v>238</v>
      </c>
      <c r="FF173" s="1" t="s">
        <v>239</v>
      </c>
      <c r="FG173" s="1" t="s">
        <v>192</v>
      </c>
      <c r="FH173" s="1" t="s">
        <v>192</v>
      </c>
      <c r="FJ173" s="1" t="s">
        <v>799</v>
      </c>
      <c r="FK173" s="1" t="s">
        <v>229</v>
      </c>
      <c r="FL173" s="1" t="s">
        <v>562</v>
      </c>
      <c r="FM173" s="1">
        <v>15694.0</v>
      </c>
      <c r="FN173" s="1" t="s">
        <v>3145</v>
      </c>
      <c r="FO173" s="1" t="s">
        <v>3146</v>
      </c>
      <c r="FP173" s="1">
        <v>145618.0</v>
      </c>
      <c r="FQ173" s="1" t="s">
        <v>3147</v>
      </c>
      <c r="FU173" s="1" t="s">
        <v>3148</v>
      </c>
      <c r="FV173" s="1" t="s">
        <v>200</v>
      </c>
      <c r="FW173" s="1" t="s">
        <v>290</v>
      </c>
      <c r="FX173" s="1" t="s">
        <v>246</v>
      </c>
      <c r="FZ173" s="1" t="s">
        <v>2993</v>
      </c>
      <c r="GA173" s="1" t="s">
        <v>291</v>
      </c>
      <c r="GB173" s="2">
        <v>42025.0</v>
      </c>
      <c r="GC173" s="1" t="s">
        <v>3149</v>
      </c>
    </row>
    <row r="174">
      <c r="A174" s="1">
        <v>650000.0</v>
      </c>
      <c r="B174" s="1" t="s">
        <v>185</v>
      </c>
      <c r="C174" s="1" t="str">
        <f>"08764460"</f>
        <v>08764460</v>
      </c>
      <c r="D174" s="1" t="s">
        <v>186</v>
      </c>
      <c r="F174" s="1" t="str">
        <f>"8007"</f>
        <v>8007</v>
      </c>
      <c r="G174" s="2">
        <v>41941.0</v>
      </c>
      <c r="H174" s="1">
        <v>775000.0</v>
      </c>
      <c r="I174" s="1">
        <v>178.0</v>
      </c>
      <c r="J174" s="1">
        <v>750000.0</v>
      </c>
      <c r="K174" s="2">
        <v>42117.0</v>
      </c>
      <c r="L174" s="1">
        <v>177.0</v>
      </c>
      <c r="M174" s="2">
        <v>42117.0</v>
      </c>
      <c r="N174" s="1" t="s">
        <v>187</v>
      </c>
      <c r="O174" s="2">
        <v>42117.0</v>
      </c>
      <c r="P174" s="1">
        <v>143918.0</v>
      </c>
      <c r="Q174" s="1">
        <v>84729.0</v>
      </c>
      <c r="S174" s="1">
        <v>2606.0</v>
      </c>
      <c r="T174" s="1" t="s">
        <v>3150</v>
      </c>
      <c r="U174" s="1" t="s">
        <v>320</v>
      </c>
      <c r="V174" s="1" t="s">
        <v>190</v>
      </c>
      <c r="W174" s="1">
        <v>60614.0</v>
      </c>
      <c r="Y174" s="1" t="s">
        <v>3151</v>
      </c>
      <c r="Z174" s="1" t="s">
        <v>296</v>
      </c>
      <c r="AA174" s="1" t="s">
        <v>192</v>
      </c>
      <c r="AB174" s="1" t="s">
        <v>193</v>
      </c>
      <c r="AD174" s="1" t="s">
        <v>194</v>
      </c>
      <c r="AE174" s="1" t="s">
        <v>195</v>
      </c>
      <c r="AF174" s="1" t="s">
        <v>534</v>
      </c>
      <c r="AH174" s="1" t="s">
        <v>3152</v>
      </c>
      <c r="AK174" s="1">
        <v>9.0</v>
      </c>
      <c r="AL174" s="1">
        <v>3.0</v>
      </c>
      <c r="AM174" s="1">
        <v>3.0</v>
      </c>
      <c r="AN174" s="1">
        <v>0.0</v>
      </c>
      <c r="AO174" s="1" t="s">
        <v>229</v>
      </c>
      <c r="AP174" s="1">
        <v>1.0</v>
      </c>
      <c r="AQ174" s="1" t="s">
        <v>198</v>
      </c>
      <c r="AR174" s="1" t="s">
        <v>192</v>
      </c>
      <c r="AS174" s="1" t="s">
        <v>229</v>
      </c>
      <c r="AV174" s="1" t="s">
        <v>200</v>
      </c>
      <c r="AW174" s="1">
        <v>14107.67</v>
      </c>
      <c r="AX174" s="1">
        <v>2013.0</v>
      </c>
      <c r="AY174" s="1" t="s">
        <v>229</v>
      </c>
      <c r="AZ174" s="1" t="s">
        <v>200</v>
      </c>
      <c r="BA174" s="1" t="str">
        <f>"14283030660000"</f>
        <v>14283030660000</v>
      </c>
      <c r="BC174" s="1">
        <v>0.0</v>
      </c>
      <c r="BD174" s="1">
        <v>650000.0</v>
      </c>
      <c r="BE174" s="2">
        <v>41941.0</v>
      </c>
      <c r="BF174" s="1" t="s">
        <v>3153</v>
      </c>
      <c r="BG174" s="1" t="s">
        <v>2870</v>
      </c>
      <c r="BH174" s="1">
        <v>0.0</v>
      </c>
      <c r="BK174" s="1" t="s">
        <v>204</v>
      </c>
      <c r="BL174" s="1" t="str">
        <f>"2606"</f>
        <v>2606</v>
      </c>
      <c r="BM174" s="1" t="str">
        <f t="shared" si="114"/>
        <v>0</v>
      </c>
      <c r="BN174" s="1">
        <v>800.0</v>
      </c>
      <c r="BO174" s="1">
        <v>0.0</v>
      </c>
      <c r="BQ174" s="1">
        <v>299.0</v>
      </c>
      <c r="BR174" s="1">
        <v>299.0</v>
      </c>
      <c r="BS174" s="1">
        <v>299.0</v>
      </c>
      <c r="BU174" s="1" t="s">
        <v>3154</v>
      </c>
      <c r="BV174" s="1" t="s">
        <v>206</v>
      </c>
      <c r="BY174" s="1" t="s">
        <v>541</v>
      </c>
      <c r="BZ174" s="1" t="s">
        <v>209</v>
      </c>
      <c r="CC174" s="1" t="s">
        <v>205</v>
      </c>
      <c r="CD174" s="1" t="s">
        <v>206</v>
      </c>
      <c r="CG174" s="1" t="s">
        <v>729</v>
      </c>
      <c r="CH174" s="1" t="s">
        <v>209</v>
      </c>
      <c r="CK174" s="1" t="s">
        <v>332</v>
      </c>
      <c r="CL174" s="1" t="s">
        <v>209</v>
      </c>
      <c r="CO174" s="1" t="s">
        <v>329</v>
      </c>
      <c r="CP174" s="1" t="s">
        <v>42</v>
      </c>
      <c r="CS174" s="1" t="s">
        <v>647</v>
      </c>
      <c r="CT174" s="1" t="s">
        <v>206</v>
      </c>
      <c r="CW174" s="1" t="s">
        <v>1426</v>
      </c>
      <c r="CX174" s="1" t="s">
        <v>42</v>
      </c>
      <c r="DA174" s="1" t="s">
        <v>200</v>
      </c>
      <c r="DC174" s="1" t="s">
        <v>545</v>
      </c>
      <c r="DE174" s="1" t="s">
        <v>273</v>
      </c>
      <c r="DF174" s="1" t="s">
        <v>619</v>
      </c>
      <c r="DH174" s="1" t="s">
        <v>220</v>
      </c>
      <c r="DJ174" s="1" t="s">
        <v>222</v>
      </c>
      <c r="DL174" s="1" t="s">
        <v>858</v>
      </c>
      <c r="DM174" s="1" t="s">
        <v>229</v>
      </c>
      <c r="DQ174" s="1" t="s">
        <v>228</v>
      </c>
      <c r="DR174" s="1" t="s">
        <v>229</v>
      </c>
      <c r="DV174" s="1" t="s">
        <v>557</v>
      </c>
      <c r="DW174" s="1" t="s">
        <v>667</v>
      </c>
      <c r="DX174" s="1" t="s">
        <v>234</v>
      </c>
      <c r="EB174" s="1" t="s">
        <v>345</v>
      </c>
      <c r="EC174" s="1" t="s">
        <v>237</v>
      </c>
      <c r="EG174" s="1" t="s">
        <v>557</v>
      </c>
      <c r="EL174" s="1" t="s">
        <v>3155</v>
      </c>
      <c r="EM174" s="1" t="s">
        <v>114</v>
      </c>
      <c r="EQ174" s="1" t="s">
        <v>238</v>
      </c>
      <c r="EU174" s="1" t="s">
        <v>238</v>
      </c>
      <c r="EY174" s="1" t="s">
        <v>238</v>
      </c>
      <c r="FC174" s="1" t="s">
        <v>238</v>
      </c>
      <c r="FF174" s="1" t="s">
        <v>239</v>
      </c>
      <c r="FG174" s="1" t="s">
        <v>192</v>
      </c>
      <c r="FH174" s="1" t="s">
        <v>192</v>
      </c>
      <c r="FJ174" s="1" t="s">
        <v>799</v>
      </c>
      <c r="FK174" s="1" t="s">
        <v>229</v>
      </c>
      <c r="FL174" s="1" t="s">
        <v>3156</v>
      </c>
      <c r="FM174" s="1">
        <v>84729.0</v>
      </c>
      <c r="FN174" s="1" t="s">
        <v>3157</v>
      </c>
      <c r="FO174" s="1" t="s">
        <v>3158</v>
      </c>
      <c r="FP174" s="1">
        <v>143918.0</v>
      </c>
      <c r="FQ174" s="1" t="s">
        <v>3159</v>
      </c>
      <c r="FU174" s="1" t="s">
        <v>3160</v>
      </c>
      <c r="FV174" s="1" t="s">
        <v>200</v>
      </c>
      <c r="FW174" s="1" t="s">
        <v>290</v>
      </c>
      <c r="FX174" s="1" t="s">
        <v>238</v>
      </c>
      <c r="FZ174" s="1" t="s">
        <v>229</v>
      </c>
      <c r="GA174" s="1" t="s">
        <v>291</v>
      </c>
      <c r="GB174" s="2">
        <v>42118.0</v>
      </c>
      <c r="GC174" s="1" t="s">
        <v>3161</v>
      </c>
    </row>
    <row r="175">
      <c r="A175" s="1">
        <v>20000.0</v>
      </c>
      <c r="B175" s="1" t="s">
        <v>185</v>
      </c>
      <c r="C175" s="1" t="str">
        <f>"08764509"</f>
        <v>08764509</v>
      </c>
      <c r="D175" s="1" t="s">
        <v>186</v>
      </c>
      <c r="F175" s="1" t="str">
        <f t="shared" ref="F175:F176" si="116">"8068"</f>
        <v>8068</v>
      </c>
      <c r="G175" s="2">
        <v>41941.0</v>
      </c>
      <c r="H175" s="1">
        <v>20000.0</v>
      </c>
      <c r="I175" s="1">
        <v>1.0</v>
      </c>
      <c r="J175" s="1">
        <v>20000.0</v>
      </c>
      <c r="K175" s="2">
        <v>41940.0</v>
      </c>
      <c r="L175" s="1">
        <v>1.0</v>
      </c>
      <c r="M175" s="2">
        <v>41940.0</v>
      </c>
      <c r="N175" s="1" t="s">
        <v>249</v>
      </c>
      <c r="O175" s="2">
        <v>41983.0</v>
      </c>
      <c r="P175" s="1">
        <v>604949.0</v>
      </c>
      <c r="Q175" s="1">
        <v>59260.0</v>
      </c>
      <c r="S175" s="1">
        <v>404.0</v>
      </c>
      <c r="T175" s="1" t="s">
        <v>3162</v>
      </c>
      <c r="U175" s="1" t="s">
        <v>694</v>
      </c>
      <c r="V175" s="1" t="s">
        <v>190</v>
      </c>
      <c r="W175" s="1">
        <v>60621.0</v>
      </c>
      <c r="Y175" s="1" t="s">
        <v>3163</v>
      </c>
      <c r="Z175" s="1">
        <v>1885.0</v>
      </c>
      <c r="AA175" s="1" t="s">
        <v>192</v>
      </c>
      <c r="AB175" s="1" t="s">
        <v>193</v>
      </c>
      <c r="AD175" s="1" t="s">
        <v>194</v>
      </c>
      <c r="AE175" s="1" t="s">
        <v>195</v>
      </c>
      <c r="AF175" s="1" t="s">
        <v>659</v>
      </c>
      <c r="AH175" s="1" t="s">
        <v>3164</v>
      </c>
      <c r="AI175" s="1">
        <v>0.0689</v>
      </c>
      <c r="AK175" s="1">
        <v>7.0</v>
      </c>
      <c r="AL175" s="1">
        <v>4.0</v>
      </c>
      <c r="AM175" s="1">
        <v>2.0</v>
      </c>
      <c r="AN175" s="1">
        <v>0.0</v>
      </c>
      <c r="AO175" s="1" t="s">
        <v>229</v>
      </c>
      <c r="AQ175" s="1" t="s">
        <v>198</v>
      </c>
      <c r="AR175" s="1" t="s">
        <v>200</v>
      </c>
      <c r="AS175" s="1" t="s">
        <v>229</v>
      </c>
      <c r="AV175" s="1" t="s">
        <v>200</v>
      </c>
      <c r="AW175" s="1">
        <v>1374.88</v>
      </c>
      <c r="AX175" s="1">
        <v>2012.0</v>
      </c>
      <c r="AY175" s="1" t="s">
        <v>387</v>
      </c>
      <c r="AZ175" s="1" t="s">
        <v>545</v>
      </c>
      <c r="BA175" s="1" t="str">
        <f>"20163120350000"</f>
        <v>20163120350000</v>
      </c>
      <c r="BC175" s="1">
        <v>1600.0</v>
      </c>
      <c r="BD175" s="1">
        <v>20000.0</v>
      </c>
      <c r="BE175" s="2">
        <v>41940.0</v>
      </c>
      <c r="BH175" s="1">
        <v>0.0</v>
      </c>
      <c r="BK175" s="1" t="s">
        <v>204</v>
      </c>
      <c r="BL175" s="1" t="str">
        <f t="shared" ref="BL175:BM175" si="115">"0"</f>
        <v>0</v>
      </c>
      <c r="BM175" s="1" t="str">
        <f t="shared" si="115"/>
        <v>0</v>
      </c>
      <c r="BN175" s="1">
        <v>400.0</v>
      </c>
      <c r="BO175" s="1">
        <v>6000.0</v>
      </c>
      <c r="BQ175" s="1">
        <v>299.0</v>
      </c>
      <c r="BR175" s="1">
        <v>299.0</v>
      </c>
      <c r="BS175" s="1">
        <v>299.0</v>
      </c>
      <c r="BU175" s="1" t="s">
        <v>300</v>
      </c>
      <c r="BV175" s="1" t="s">
        <v>206</v>
      </c>
      <c r="BY175" s="1" t="s">
        <v>264</v>
      </c>
      <c r="BZ175" s="1" t="s">
        <v>206</v>
      </c>
      <c r="CC175" s="1" t="s">
        <v>269</v>
      </c>
      <c r="CD175" s="1" t="s">
        <v>206</v>
      </c>
      <c r="CG175" s="1" t="s">
        <v>303</v>
      </c>
      <c r="CH175" s="1" t="s">
        <v>209</v>
      </c>
      <c r="CK175" s="1" t="s">
        <v>303</v>
      </c>
      <c r="CL175" s="1" t="s">
        <v>209</v>
      </c>
      <c r="CO175" s="1" t="s">
        <v>269</v>
      </c>
      <c r="CP175" s="1" t="s">
        <v>209</v>
      </c>
      <c r="CS175" s="1" t="s">
        <v>269</v>
      </c>
      <c r="CT175" s="1" t="s">
        <v>206</v>
      </c>
      <c r="CX175" s="1" t="s">
        <v>204</v>
      </c>
      <c r="DA175" s="1" t="s">
        <v>200</v>
      </c>
      <c r="DC175" s="1" t="s">
        <v>642</v>
      </c>
      <c r="DE175" s="1" t="s">
        <v>1139</v>
      </c>
      <c r="DF175" s="1" t="s">
        <v>619</v>
      </c>
      <c r="DH175" s="1" t="s">
        <v>365</v>
      </c>
      <c r="DJ175" s="1" t="s">
        <v>222</v>
      </c>
      <c r="DL175" s="1" t="s">
        <v>223</v>
      </c>
      <c r="DM175" s="1" t="s">
        <v>1143</v>
      </c>
      <c r="DQ175" s="1" t="s">
        <v>228</v>
      </c>
      <c r="DR175" s="1" t="s">
        <v>229</v>
      </c>
      <c r="DV175" s="1" t="s">
        <v>232</v>
      </c>
      <c r="DW175" s="1" t="s">
        <v>233</v>
      </c>
      <c r="DX175" s="1" t="s">
        <v>234</v>
      </c>
      <c r="EC175" s="1" t="s">
        <v>237</v>
      </c>
      <c r="EM175" s="1" t="s">
        <v>238</v>
      </c>
      <c r="EQ175" s="1" t="s">
        <v>238</v>
      </c>
      <c r="EU175" s="1" t="s">
        <v>238</v>
      </c>
      <c r="EY175" s="1" t="s">
        <v>238</v>
      </c>
      <c r="FC175" s="1" t="s">
        <v>238</v>
      </c>
      <c r="FF175" s="1" t="s">
        <v>229</v>
      </c>
      <c r="FG175" s="1" t="s">
        <v>200</v>
      </c>
      <c r="FH175" s="1" t="s">
        <v>200</v>
      </c>
      <c r="FJ175" s="1" t="s">
        <v>3165</v>
      </c>
      <c r="FK175" s="1" t="s">
        <v>1586</v>
      </c>
      <c r="FL175" s="1" t="s">
        <v>3166</v>
      </c>
      <c r="FM175" s="1">
        <v>60764.0</v>
      </c>
      <c r="FN175" s="1" t="s">
        <v>3167</v>
      </c>
      <c r="FO175" s="1" t="s">
        <v>3168</v>
      </c>
      <c r="FP175" s="1">
        <v>605949.0</v>
      </c>
      <c r="FQ175" s="1" t="s">
        <v>3167</v>
      </c>
      <c r="FU175" s="1" t="s">
        <v>3169</v>
      </c>
      <c r="FV175" s="1" t="s">
        <v>200</v>
      </c>
      <c r="FW175" s="1" t="s">
        <v>530</v>
      </c>
      <c r="FX175" s="1" t="s">
        <v>246</v>
      </c>
      <c r="FZ175" s="1" t="s">
        <v>229</v>
      </c>
      <c r="GA175" s="1" t="s">
        <v>291</v>
      </c>
      <c r="GB175" s="2">
        <v>41983.0</v>
      </c>
      <c r="GC175" s="1" t="s">
        <v>3170</v>
      </c>
    </row>
    <row r="176">
      <c r="A176" s="1">
        <v>12000.0</v>
      </c>
      <c r="B176" s="1" t="s">
        <v>185</v>
      </c>
      <c r="C176" s="1" t="str">
        <f>"08765510"</f>
        <v>08765510</v>
      </c>
      <c r="D176" s="1" t="s">
        <v>186</v>
      </c>
      <c r="F176" s="1" t="str">
        <f t="shared" si="116"/>
        <v>8068</v>
      </c>
      <c r="G176" s="2">
        <v>41942.0</v>
      </c>
      <c r="H176" s="1">
        <v>12000.0</v>
      </c>
      <c r="I176" s="1">
        <v>37.0</v>
      </c>
      <c r="J176" s="1">
        <v>12000.0</v>
      </c>
      <c r="K176" s="2">
        <v>41978.0</v>
      </c>
      <c r="L176" s="1">
        <v>37.0</v>
      </c>
      <c r="M176" s="2">
        <v>41978.0</v>
      </c>
      <c r="N176" s="1" t="s">
        <v>249</v>
      </c>
      <c r="O176" s="2">
        <v>42067.0</v>
      </c>
      <c r="P176" s="1">
        <v>84188.0</v>
      </c>
      <c r="Q176" s="1">
        <v>8792.0</v>
      </c>
      <c r="S176" s="1">
        <v>6015.0</v>
      </c>
      <c r="T176" s="1" t="s">
        <v>3171</v>
      </c>
      <c r="U176" s="1" t="s">
        <v>320</v>
      </c>
      <c r="V176" s="1" t="s">
        <v>190</v>
      </c>
      <c r="W176" s="1">
        <v>60621.0</v>
      </c>
      <c r="Y176" s="1" t="s">
        <v>3172</v>
      </c>
      <c r="Z176" s="1">
        <v>1890.0</v>
      </c>
      <c r="AA176" s="1" t="s">
        <v>192</v>
      </c>
      <c r="AB176" s="1" t="s">
        <v>193</v>
      </c>
      <c r="AD176" s="1" t="s">
        <v>194</v>
      </c>
      <c r="AE176" s="1" t="s">
        <v>195</v>
      </c>
      <c r="AF176" s="1" t="s">
        <v>659</v>
      </c>
      <c r="AH176" s="1" t="s">
        <v>3173</v>
      </c>
      <c r="AK176" s="1">
        <v>7.0</v>
      </c>
      <c r="AL176" s="1">
        <v>4.0</v>
      </c>
      <c r="AM176" s="1">
        <v>1.0</v>
      </c>
      <c r="AN176" s="1">
        <v>0.0</v>
      </c>
      <c r="AO176" s="1" t="s">
        <v>229</v>
      </c>
      <c r="AQ176" s="1" t="s">
        <v>198</v>
      </c>
      <c r="AR176" s="1" t="s">
        <v>192</v>
      </c>
      <c r="AS176" s="1" t="s">
        <v>229</v>
      </c>
      <c r="AV176" s="1" t="s">
        <v>200</v>
      </c>
      <c r="AW176" s="1">
        <v>1461.0</v>
      </c>
      <c r="AX176" s="1">
        <v>2012.0</v>
      </c>
      <c r="AZ176" s="1" t="s">
        <v>545</v>
      </c>
      <c r="BA176" s="1" t="str">
        <f>"20174110070000"</f>
        <v>20174110070000</v>
      </c>
      <c r="BB176" s="1" t="s">
        <v>200</v>
      </c>
      <c r="BC176" s="1">
        <v>0.0</v>
      </c>
      <c r="BD176" s="1">
        <v>12000.0</v>
      </c>
      <c r="BE176" s="2">
        <v>41942.0</v>
      </c>
      <c r="BF176" s="1" t="s">
        <v>3174</v>
      </c>
      <c r="BH176" s="1">
        <v>0.0</v>
      </c>
      <c r="BK176" s="1" t="s">
        <v>204</v>
      </c>
      <c r="BL176" s="1" t="str">
        <f t="shared" ref="BL176:BM176" si="117">"0"</f>
        <v>0</v>
      </c>
      <c r="BM176" s="1" t="str">
        <f t="shared" si="117"/>
        <v>0</v>
      </c>
      <c r="BN176" s="1">
        <v>1050.0</v>
      </c>
      <c r="BO176" s="1">
        <v>6015.0</v>
      </c>
      <c r="BQ176" s="1">
        <v>299.0</v>
      </c>
      <c r="BR176" s="1">
        <v>299.0</v>
      </c>
      <c r="BS176" s="1">
        <v>299.0</v>
      </c>
      <c r="BU176" s="1" t="s">
        <v>329</v>
      </c>
      <c r="BV176" s="1" t="s">
        <v>206</v>
      </c>
      <c r="BY176" s="1" t="s">
        <v>363</v>
      </c>
      <c r="BZ176" s="1" t="s">
        <v>209</v>
      </c>
      <c r="CC176" s="1" t="s">
        <v>215</v>
      </c>
      <c r="CD176" s="1" t="s">
        <v>206</v>
      </c>
      <c r="CG176" s="1" t="s">
        <v>264</v>
      </c>
      <c r="CH176" s="1" t="s">
        <v>209</v>
      </c>
      <c r="CK176" s="1" t="s">
        <v>269</v>
      </c>
      <c r="CL176" s="1" t="s">
        <v>206</v>
      </c>
      <c r="CO176" s="1" t="s">
        <v>269</v>
      </c>
      <c r="CP176" s="1" t="s">
        <v>206</v>
      </c>
      <c r="CS176" s="1" t="s">
        <v>699</v>
      </c>
      <c r="CT176" s="1" t="s">
        <v>206</v>
      </c>
      <c r="CX176" s="1" t="s">
        <v>204</v>
      </c>
      <c r="DA176" s="1" t="s">
        <v>200</v>
      </c>
      <c r="DC176" s="1" t="s">
        <v>642</v>
      </c>
      <c r="DE176" s="1" t="s">
        <v>229</v>
      </c>
      <c r="DF176" s="1" t="s">
        <v>619</v>
      </c>
      <c r="DG176" s="1" t="s">
        <v>3175</v>
      </c>
      <c r="DH176" s="1" t="s">
        <v>307</v>
      </c>
      <c r="DJ176" s="1" t="s">
        <v>222</v>
      </c>
      <c r="DL176" s="1" t="s">
        <v>224</v>
      </c>
      <c r="DM176" s="1" t="s">
        <v>229</v>
      </c>
      <c r="DP176" s="1" t="s">
        <v>340</v>
      </c>
      <c r="DQ176" s="1" t="s">
        <v>228</v>
      </c>
      <c r="DR176" s="1" t="s">
        <v>229</v>
      </c>
      <c r="DV176" s="1" t="s">
        <v>232</v>
      </c>
      <c r="DW176" s="1" t="s">
        <v>667</v>
      </c>
      <c r="DX176" s="1" t="s">
        <v>234</v>
      </c>
      <c r="EC176" s="1" t="s">
        <v>645</v>
      </c>
      <c r="EM176" s="1" t="s">
        <v>238</v>
      </c>
      <c r="EQ176" s="1" t="s">
        <v>238</v>
      </c>
      <c r="EU176" s="1" t="s">
        <v>238</v>
      </c>
      <c r="EY176" s="1" t="s">
        <v>238</v>
      </c>
      <c r="FC176" s="1" t="s">
        <v>238</v>
      </c>
      <c r="FF176" s="1" t="s">
        <v>239</v>
      </c>
      <c r="FG176" s="1" t="s">
        <v>192</v>
      </c>
      <c r="FH176" s="1" t="s">
        <v>192</v>
      </c>
      <c r="FJ176" s="1" t="s">
        <v>3176</v>
      </c>
      <c r="FK176" s="1" t="s">
        <v>229</v>
      </c>
      <c r="FL176" s="1" t="s">
        <v>1520</v>
      </c>
      <c r="FM176" s="1">
        <v>10841.0</v>
      </c>
      <c r="FN176" s="1" t="s">
        <v>1521</v>
      </c>
      <c r="FO176" s="1" t="s">
        <v>1522</v>
      </c>
      <c r="FP176" s="1">
        <v>109860.0</v>
      </c>
      <c r="FQ176" s="1" t="s">
        <v>1521</v>
      </c>
      <c r="FU176" s="1" t="s">
        <v>3177</v>
      </c>
      <c r="FV176" s="1" t="s">
        <v>200</v>
      </c>
      <c r="FW176" s="1" t="s">
        <v>290</v>
      </c>
      <c r="FX176" s="1" t="s">
        <v>655</v>
      </c>
      <c r="FZ176" s="1" t="s">
        <v>229</v>
      </c>
      <c r="GA176" s="1" t="s">
        <v>291</v>
      </c>
      <c r="GB176" s="2">
        <v>42068.0</v>
      </c>
      <c r="GC176" s="1" t="s">
        <v>3178</v>
      </c>
    </row>
    <row r="177">
      <c r="A177" s="1">
        <v>199000.0</v>
      </c>
      <c r="B177" s="1" t="s">
        <v>185</v>
      </c>
      <c r="C177" s="1" t="str">
        <f>"08762891"</f>
        <v>08762891</v>
      </c>
      <c r="D177" s="1" t="s">
        <v>186</v>
      </c>
      <c r="F177" s="1" t="str">
        <f>"8019"</f>
        <v>8019</v>
      </c>
      <c r="G177" s="2">
        <v>41939.0</v>
      </c>
      <c r="H177" s="1">
        <v>205000.0</v>
      </c>
      <c r="I177" s="1">
        <v>63.0</v>
      </c>
      <c r="J177" s="1">
        <v>205000.0</v>
      </c>
      <c r="K177" s="2">
        <v>41981.0</v>
      </c>
      <c r="L177" s="1">
        <v>43.0</v>
      </c>
      <c r="M177" s="2">
        <v>41981.0</v>
      </c>
      <c r="N177" s="1" t="s">
        <v>356</v>
      </c>
      <c r="O177" s="2">
        <v>42061.0</v>
      </c>
      <c r="P177" s="1">
        <v>238320.0</v>
      </c>
      <c r="Q177" s="1">
        <v>8363.0</v>
      </c>
      <c r="R177" s="1">
        <v>5000.0</v>
      </c>
      <c r="S177" s="1">
        <v>2539.0</v>
      </c>
      <c r="T177" s="1" t="s">
        <v>2416</v>
      </c>
      <c r="U177" s="1" t="s">
        <v>189</v>
      </c>
      <c r="V177" s="1" t="s">
        <v>190</v>
      </c>
      <c r="W177" s="1">
        <v>60639.0</v>
      </c>
      <c r="Y177" s="1" t="s">
        <v>3179</v>
      </c>
      <c r="Z177" s="1">
        <v>1904.0</v>
      </c>
      <c r="AA177" s="1" t="s">
        <v>192</v>
      </c>
      <c r="AB177" s="1" t="s">
        <v>193</v>
      </c>
      <c r="AD177" s="1" t="s">
        <v>194</v>
      </c>
      <c r="AE177" s="1" t="s">
        <v>195</v>
      </c>
      <c r="AF177" s="1" t="s">
        <v>196</v>
      </c>
      <c r="AH177" s="1" t="s">
        <v>3180</v>
      </c>
      <c r="AI177" s="1">
        <v>0.0797</v>
      </c>
      <c r="AK177" s="1">
        <v>7.0</v>
      </c>
      <c r="AL177" s="1">
        <v>4.0</v>
      </c>
      <c r="AM177" s="1">
        <v>2.0</v>
      </c>
      <c r="AN177" s="1">
        <v>0.0</v>
      </c>
      <c r="AO177" s="1" t="s">
        <v>229</v>
      </c>
      <c r="AQ177" s="1" t="s">
        <v>229</v>
      </c>
      <c r="AR177" s="1" t="s">
        <v>200</v>
      </c>
      <c r="AS177" s="1" t="s">
        <v>199</v>
      </c>
      <c r="AT177" s="1">
        <v>2.0</v>
      </c>
      <c r="AV177" s="1" t="s">
        <v>200</v>
      </c>
      <c r="AW177" s="1">
        <v>2917.77</v>
      </c>
      <c r="AX177" s="1">
        <v>2012.0</v>
      </c>
      <c r="AZ177" s="1" t="s">
        <v>200</v>
      </c>
      <c r="BA177" s="1" t="str">
        <f>"13294180070000"</f>
        <v>13294180070000</v>
      </c>
      <c r="BC177" s="1">
        <v>1600.0</v>
      </c>
      <c r="BD177" s="1">
        <v>199000.0</v>
      </c>
      <c r="BE177" s="2">
        <v>41939.0</v>
      </c>
      <c r="BF177" s="2" t="s">
        <v>3181</v>
      </c>
      <c r="BH177" s="1">
        <v>0.0</v>
      </c>
      <c r="BK177" s="1" t="s">
        <v>204</v>
      </c>
      <c r="BL177" s="1" t="str">
        <f>"2539"</f>
        <v>2539</v>
      </c>
      <c r="BM177" s="1" t="str">
        <f>"0"</f>
        <v>0</v>
      </c>
      <c r="BN177" s="1">
        <v>5700.0</v>
      </c>
      <c r="BO177" s="1">
        <v>0.0</v>
      </c>
      <c r="BQ177" s="1">
        <v>299.0</v>
      </c>
      <c r="BR177" s="1">
        <v>299.0</v>
      </c>
      <c r="BS177" s="1">
        <v>299.0</v>
      </c>
      <c r="BU177" s="1" t="s">
        <v>878</v>
      </c>
      <c r="BV177" s="1" t="s">
        <v>206</v>
      </c>
      <c r="BY177" s="1" t="s">
        <v>2082</v>
      </c>
      <c r="BZ177" s="1" t="s">
        <v>209</v>
      </c>
      <c r="CC177" s="1" t="s">
        <v>542</v>
      </c>
      <c r="CD177" s="1" t="s">
        <v>206</v>
      </c>
      <c r="CG177" s="1" t="s">
        <v>478</v>
      </c>
      <c r="CH177" s="1" t="s">
        <v>209</v>
      </c>
      <c r="CK177" s="1" t="s">
        <v>640</v>
      </c>
      <c r="CL177" s="1" t="s">
        <v>206</v>
      </c>
      <c r="CO177" s="1" t="s">
        <v>3182</v>
      </c>
      <c r="CP177" s="1" t="s">
        <v>206</v>
      </c>
      <c r="CS177" s="1" t="s">
        <v>647</v>
      </c>
      <c r="CT177" s="1" t="s">
        <v>206</v>
      </c>
      <c r="CX177" s="1" t="s">
        <v>204</v>
      </c>
      <c r="DA177" s="1" t="s">
        <v>200</v>
      </c>
      <c r="DC177" s="1" t="s">
        <v>642</v>
      </c>
      <c r="DE177" s="1" t="s">
        <v>273</v>
      </c>
      <c r="DF177" s="1" t="s">
        <v>619</v>
      </c>
      <c r="DH177" s="1" t="s">
        <v>365</v>
      </c>
      <c r="DI177" s="1" t="s">
        <v>703</v>
      </c>
      <c r="DJ177" s="1" t="s">
        <v>222</v>
      </c>
      <c r="DL177" s="1" t="s">
        <v>1853</v>
      </c>
      <c r="DM177" s="1" t="s">
        <v>229</v>
      </c>
      <c r="DQ177" s="1" t="s">
        <v>228</v>
      </c>
      <c r="DR177" s="1" t="s">
        <v>229</v>
      </c>
      <c r="DS177" s="1" t="s">
        <v>277</v>
      </c>
      <c r="DV177" s="1" t="s">
        <v>232</v>
      </c>
      <c r="DW177" s="1" t="s">
        <v>279</v>
      </c>
      <c r="DX177" s="1" t="s">
        <v>234</v>
      </c>
      <c r="DY177" s="1" t="s">
        <v>3183</v>
      </c>
      <c r="EC177" s="1" t="s">
        <v>237</v>
      </c>
      <c r="EM177" s="1" t="s">
        <v>238</v>
      </c>
      <c r="EQ177" s="1" t="s">
        <v>238</v>
      </c>
      <c r="EU177" s="1" t="s">
        <v>238</v>
      </c>
      <c r="EY177" s="1" t="s">
        <v>238</v>
      </c>
      <c r="FC177" s="1" t="s">
        <v>238</v>
      </c>
      <c r="FF177" s="1" t="s">
        <v>239</v>
      </c>
      <c r="FG177" s="1" t="s">
        <v>192</v>
      </c>
      <c r="FH177" s="1" t="s">
        <v>192</v>
      </c>
      <c r="FJ177" s="1" t="s">
        <v>3184</v>
      </c>
      <c r="FK177" s="1" t="s">
        <v>229</v>
      </c>
      <c r="FL177" s="1" t="s">
        <v>3185</v>
      </c>
      <c r="FM177" s="1">
        <v>16240.0</v>
      </c>
      <c r="FN177" s="1" t="s">
        <v>3186</v>
      </c>
      <c r="FO177" s="1" t="s">
        <v>3187</v>
      </c>
      <c r="FP177" s="1">
        <v>157154.0</v>
      </c>
      <c r="FQ177" s="1" t="s">
        <v>3188</v>
      </c>
      <c r="FU177" s="1" t="s">
        <v>3189</v>
      </c>
      <c r="FV177" s="1" t="s">
        <v>192</v>
      </c>
      <c r="FW177" s="1" t="s">
        <v>3190</v>
      </c>
      <c r="FX177" s="1" t="s">
        <v>238</v>
      </c>
      <c r="FZ177" s="1" t="s">
        <v>229</v>
      </c>
      <c r="GA177" s="1" t="s">
        <v>291</v>
      </c>
      <c r="GB177" s="2">
        <v>42068.0</v>
      </c>
    </row>
    <row r="178">
      <c r="A178" s="1">
        <v>260000.0</v>
      </c>
      <c r="B178" s="1" t="s">
        <v>185</v>
      </c>
      <c r="C178" s="1" t="str">
        <f>"08767797"</f>
        <v>08767797</v>
      </c>
      <c r="D178" s="1" t="s">
        <v>186</v>
      </c>
      <c r="F178" s="1" t="str">
        <f>"123"</f>
        <v>123</v>
      </c>
      <c r="G178" s="2">
        <v>41946.0</v>
      </c>
      <c r="H178" s="1">
        <v>269900.0</v>
      </c>
      <c r="I178" s="1">
        <v>87.0</v>
      </c>
      <c r="J178" s="1">
        <v>269900.0</v>
      </c>
      <c r="K178" s="2">
        <v>42032.0</v>
      </c>
      <c r="L178" s="1">
        <v>87.0</v>
      </c>
      <c r="M178" s="2">
        <v>42032.0</v>
      </c>
      <c r="N178" s="1" t="s">
        <v>356</v>
      </c>
      <c r="O178" s="2">
        <v>42073.0</v>
      </c>
      <c r="P178" s="1">
        <v>252282.0</v>
      </c>
      <c r="Q178" s="1">
        <v>25981.0</v>
      </c>
      <c r="S178" s="1">
        <v>2016.0</v>
      </c>
      <c r="T178" s="1" t="s">
        <v>3191</v>
      </c>
      <c r="U178" s="1" t="s">
        <v>569</v>
      </c>
      <c r="V178" s="1" t="s">
        <v>465</v>
      </c>
      <c r="W178" s="1">
        <v>60123.0</v>
      </c>
      <c r="Y178" s="1" t="s">
        <v>3192</v>
      </c>
      <c r="Z178" s="1">
        <v>2010.0</v>
      </c>
      <c r="AA178" s="1" t="s">
        <v>200</v>
      </c>
      <c r="AB178" s="1" t="s">
        <v>467</v>
      </c>
      <c r="AC178" s="1" t="s">
        <v>3193</v>
      </c>
      <c r="AD178" s="1" t="s">
        <v>469</v>
      </c>
      <c r="AE178" s="1" t="s">
        <v>325</v>
      </c>
      <c r="AF178" s="1" t="s">
        <v>469</v>
      </c>
      <c r="AG178" s="1" t="s">
        <v>2436</v>
      </c>
      <c r="AH178" s="1" t="s">
        <v>3194</v>
      </c>
      <c r="AI178" s="1">
        <v>0.2284</v>
      </c>
      <c r="AK178" s="1">
        <v>9.0</v>
      </c>
      <c r="AL178" s="1">
        <v>4.0</v>
      </c>
      <c r="AM178" s="1">
        <v>2.0</v>
      </c>
      <c r="AN178" s="1">
        <v>1.0</v>
      </c>
      <c r="AO178" s="1" t="s">
        <v>198</v>
      </c>
      <c r="AQ178" s="1" t="s">
        <v>198</v>
      </c>
      <c r="AR178" s="1" t="s">
        <v>192</v>
      </c>
      <c r="AS178" s="1" t="s">
        <v>199</v>
      </c>
      <c r="AT178" s="1">
        <v>3.0</v>
      </c>
      <c r="AV178" s="1" t="s">
        <v>200</v>
      </c>
      <c r="AW178" s="1">
        <v>6104.0</v>
      </c>
      <c r="AX178" s="1">
        <v>2013.0</v>
      </c>
      <c r="AY178" s="1" t="s">
        <v>387</v>
      </c>
      <c r="AZ178" s="1" t="s">
        <v>200</v>
      </c>
      <c r="BA178" s="1" t="str">
        <f>"1816312345"</f>
        <v>1816312345</v>
      </c>
      <c r="BB178" s="1" t="s">
        <v>200</v>
      </c>
      <c r="BC178" s="1">
        <v>2350.0</v>
      </c>
      <c r="BD178" s="1">
        <v>260000.0</v>
      </c>
      <c r="BE178" s="2">
        <v>41946.0</v>
      </c>
      <c r="BF178" s="2" t="s">
        <v>3195</v>
      </c>
      <c r="BG178" s="1" t="s">
        <v>3196</v>
      </c>
      <c r="BH178" s="1">
        <v>44.0</v>
      </c>
      <c r="BI178" s="1" t="s">
        <v>3197</v>
      </c>
      <c r="BJ178" s="1" t="s">
        <v>675</v>
      </c>
      <c r="BK178" s="1" t="s">
        <v>474</v>
      </c>
      <c r="BL178" s="1" t="str">
        <f t="shared" ref="BL178:BM178" si="118">""</f>
        <v/>
      </c>
      <c r="BM178" s="1" t="str">
        <f t="shared" si="118"/>
        <v/>
      </c>
      <c r="BQ178" s="1">
        <v>46.0</v>
      </c>
      <c r="BR178" s="1">
        <v>46.0</v>
      </c>
      <c r="BS178" s="1">
        <v>46.0</v>
      </c>
      <c r="BU178" s="1" t="s">
        <v>582</v>
      </c>
      <c r="BV178" s="1" t="s">
        <v>206</v>
      </c>
      <c r="BW178" s="1" t="s">
        <v>210</v>
      </c>
      <c r="BX178" s="1" t="s">
        <v>229</v>
      </c>
      <c r="BY178" s="1" t="s">
        <v>2120</v>
      </c>
      <c r="BZ178" s="1" t="s">
        <v>209</v>
      </c>
      <c r="CA178" s="1" t="s">
        <v>210</v>
      </c>
      <c r="CB178" s="1" t="s">
        <v>229</v>
      </c>
      <c r="CD178" s="1" t="s">
        <v>204</v>
      </c>
      <c r="CG178" s="1" t="s">
        <v>212</v>
      </c>
      <c r="CH178" s="1" t="s">
        <v>209</v>
      </c>
      <c r="CI178" s="1" t="s">
        <v>210</v>
      </c>
      <c r="CJ178" s="1" t="s">
        <v>229</v>
      </c>
      <c r="CK178" s="1" t="s">
        <v>699</v>
      </c>
      <c r="CL178" s="1" t="s">
        <v>209</v>
      </c>
      <c r="CM178" s="1" t="s">
        <v>210</v>
      </c>
      <c r="CN178" s="1" t="s">
        <v>229</v>
      </c>
      <c r="CO178" s="1" t="s">
        <v>699</v>
      </c>
      <c r="CP178" s="1" t="s">
        <v>209</v>
      </c>
      <c r="CQ178" s="1" t="s">
        <v>210</v>
      </c>
      <c r="CR178" s="1" t="s">
        <v>229</v>
      </c>
      <c r="CS178" s="1" t="s">
        <v>262</v>
      </c>
      <c r="CT178" s="1" t="s">
        <v>206</v>
      </c>
      <c r="CU178" s="1" t="s">
        <v>207</v>
      </c>
      <c r="CV178" s="1" t="s">
        <v>229</v>
      </c>
      <c r="CW178" s="1" t="s">
        <v>784</v>
      </c>
      <c r="CX178" s="1" t="s">
        <v>206</v>
      </c>
      <c r="CY178" s="1" t="s">
        <v>207</v>
      </c>
      <c r="DA178" s="1" t="s">
        <v>200</v>
      </c>
      <c r="DC178" s="1" t="s">
        <v>1046</v>
      </c>
      <c r="DD178" s="1" t="s">
        <v>336</v>
      </c>
      <c r="DE178" s="1" t="s">
        <v>273</v>
      </c>
      <c r="DF178" s="1" t="s">
        <v>219</v>
      </c>
      <c r="DH178" s="1" t="s">
        <v>220</v>
      </c>
      <c r="DI178" s="1" t="s">
        <v>1021</v>
      </c>
      <c r="DJ178" s="1" t="s">
        <v>222</v>
      </c>
      <c r="DL178" s="1" t="s">
        <v>223</v>
      </c>
      <c r="DM178" s="1" t="s">
        <v>229</v>
      </c>
      <c r="DN178" s="1" t="s">
        <v>339</v>
      </c>
      <c r="DQ178" s="1" t="s">
        <v>228</v>
      </c>
      <c r="DR178" s="1" t="s">
        <v>1185</v>
      </c>
      <c r="DS178" s="1" t="s">
        <v>591</v>
      </c>
      <c r="DU178" s="1" t="s">
        <v>1049</v>
      </c>
      <c r="DV178" s="1" t="s">
        <v>2381</v>
      </c>
      <c r="DW178" s="1" t="s">
        <v>588</v>
      </c>
      <c r="DX178" s="1" t="s">
        <v>234</v>
      </c>
      <c r="DY178" s="1" t="s">
        <v>596</v>
      </c>
      <c r="EA178" s="1" t="s">
        <v>447</v>
      </c>
      <c r="EC178" s="1" t="s">
        <v>237</v>
      </c>
      <c r="EG178" s="1" t="s">
        <v>556</v>
      </c>
      <c r="EH178" s="1" t="s">
        <v>494</v>
      </c>
      <c r="EL178" s="1" t="s">
        <v>729</v>
      </c>
      <c r="EM178" s="1" t="s">
        <v>206</v>
      </c>
      <c r="EN178" s="1" t="s">
        <v>207</v>
      </c>
      <c r="EO178" s="1" t="s">
        <v>229</v>
      </c>
      <c r="EP178" s="1" t="s">
        <v>212</v>
      </c>
      <c r="EQ178" s="1" t="s">
        <v>206</v>
      </c>
      <c r="ER178" s="1" t="s">
        <v>210</v>
      </c>
      <c r="ES178" s="1" t="s">
        <v>229</v>
      </c>
      <c r="EU178" s="1" t="s">
        <v>238</v>
      </c>
      <c r="EY178" s="1" t="s">
        <v>238</v>
      </c>
      <c r="FC178" s="1" t="s">
        <v>238</v>
      </c>
      <c r="FF178" s="1" t="s">
        <v>239</v>
      </c>
      <c r="FG178" s="1" t="s">
        <v>192</v>
      </c>
      <c r="FH178" s="1" t="s">
        <v>192</v>
      </c>
      <c r="FJ178" s="1" t="s">
        <v>498</v>
      </c>
      <c r="FK178" s="1" t="s">
        <v>229</v>
      </c>
      <c r="FL178" s="1" t="s">
        <v>942</v>
      </c>
      <c r="FM178" s="1">
        <v>85464.0</v>
      </c>
      <c r="FN178" s="1" t="s">
        <v>943</v>
      </c>
      <c r="FO178" s="1" t="s">
        <v>944</v>
      </c>
      <c r="FP178" s="1">
        <v>840638.0</v>
      </c>
      <c r="FQ178" s="1" t="s">
        <v>945</v>
      </c>
      <c r="FU178" s="1" t="s">
        <v>3198</v>
      </c>
      <c r="FV178" s="1" t="s">
        <v>200</v>
      </c>
      <c r="FW178" s="1" t="s">
        <v>530</v>
      </c>
      <c r="FZ178" s="1" t="s">
        <v>229</v>
      </c>
      <c r="GA178" s="1" t="s">
        <v>291</v>
      </c>
      <c r="GB178" s="2">
        <v>42074.0</v>
      </c>
    </row>
    <row r="179">
      <c r="A179" s="1">
        <v>144900.0</v>
      </c>
      <c r="B179" s="1" t="s">
        <v>185</v>
      </c>
      <c r="C179" s="1" t="str">
        <f>"08766077"</f>
        <v>08766077</v>
      </c>
      <c r="D179" s="1" t="s">
        <v>186</v>
      </c>
      <c r="F179" s="1" t="str">
        <f>"8066"</f>
        <v>8066</v>
      </c>
      <c r="G179" s="2">
        <v>41943.0</v>
      </c>
      <c r="H179" s="1">
        <v>144900.0</v>
      </c>
      <c r="I179" s="1">
        <v>110.0</v>
      </c>
      <c r="J179" s="1">
        <v>144900.0</v>
      </c>
      <c r="K179" s="2">
        <v>41971.0</v>
      </c>
      <c r="L179" s="1">
        <v>29.0</v>
      </c>
      <c r="M179" s="2">
        <v>41971.0</v>
      </c>
      <c r="N179" s="1" t="s">
        <v>356</v>
      </c>
      <c r="O179" s="2">
        <v>42018.0</v>
      </c>
      <c r="P179" s="1">
        <v>231345.0</v>
      </c>
      <c r="Q179" s="1">
        <v>26055.0</v>
      </c>
      <c r="R179" s="1">
        <v>4034.0</v>
      </c>
      <c r="S179" s="1">
        <v>7355.0</v>
      </c>
      <c r="T179" s="1" t="s">
        <v>3199</v>
      </c>
      <c r="U179" s="1" t="s">
        <v>189</v>
      </c>
      <c r="V179" s="1" t="s">
        <v>190</v>
      </c>
      <c r="W179" s="1">
        <v>60629.0</v>
      </c>
      <c r="Y179" s="1" t="s">
        <v>3200</v>
      </c>
      <c r="Z179" s="1" t="s">
        <v>296</v>
      </c>
      <c r="AA179" s="1" t="s">
        <v>192</v>
      </c>
      <c r="AB179" s="1" t="s">
        <v>193</v>
      </c>
      <c r="AD179" s="1" t="s">
        <v>194</v>
      </c>
      <c r="AE179" s="1" t="s">
        <v>195</v>
      </c>
      <c r="AF179" s="1" t="s">
        <v>659</v>
      </c>
      <c r="AH179" s="1" t="s">
        <v>2164</v>
      </c>
      <c r="AI179" s="1">
        <v>0.1232</v>
      </c>
      <c r="AK179" s="1">
        <v>8.0</v>
      </c>
      <c r="AL179" s="1">
        <v>4.0</v>
      </c>
      <c r="AM179" s="1">
        <v>2.0</v>
      </c>
      <c r="AN179" s="1">
        <v>0.0</v>
      </c>
      <c r="AO179" s="1" t="s">
        <v>229</v>
      </c>
      <c r="AP179" s="1">
        <v>0.0</v>
      </c>
      <c r="AQ179" s="1" t="s">
        <v>198</v>
      </c>
      <c r="AR179" s="1" t="s">
        <v>200</v>
      </c>
      <c r="AS179" s="1" t="s">
        <v>199</v>
      </c>
      <c r="AT179" s="1">
        <v>2.0</v>
      </c>
      <c r="AV179" s="1" t="s">
        <v>200</v>
      </c>
      <c r="AW179" s="1">
        <v>1304.0</v>
      </c>
      <c r="AX179" s="1">
        <v>2013.0</v>
      </c>
      <c r="AY179" s="1" t="s">
        <v>387</v>
      </c>
      <c r="AZ179" s="1" t="s">
        <v>200</v>
      </c>
      <c r="BA179" s="1" t="str">
        <f>"19252170190000"</f>
        <v>19252170190000</v>
      </c>
      <c r="BB179" s="1" t="s">
        <v>200</v>
      </c>
      <c r="BC179" s="1">
        <v>1450.0</v>
      </c>
      <c r="BD179" s="1">
        <v>144900.0</v>
      </c>
      <c r="BE179" s="2">
        <v>41943.0</v>
      </c>
      <c r="BF179" s="2" t="s">
        <v>3201</v>
      </c>
      <c r="BH179" s="1">
        <v>0.0</v>
      </c>
      <c r="BK179" s="1" t="s">
        <v>204</v>
      </c>
      <c r="BL179" s="1" t="str">
        <f t="shared" ref="BL179:BM179" si="119">"0"</f>
        <v>0</v>
      </c>
      <c r="BM179" s="1" t="str">
        <f t="shared" si="119"/>
        <v>0</v>
      </c>
      <c r="BN179" s="1">
        <v>2730.0</v>
      </c>
      <c r="BO179" s="1">
        <v>7355.0</v>
      </c>
      <c r="BQ179" s="1">
        <v>299.0</v>
      </c>
      <c r="BR179" s="1">
        <v>299.0</v>
      </c>
      <c r="BS179" s="1">
        <v>299.0</v>
      </c>
      <c r="BU179" s="1" t="s">
        <v>454</v>
      </c>
      <c r="BV179" s="1" t="s">
        <v>206</v>
      </c>
      <c r="BW179" s="1" t="s">
        <v>207</v>
      </c>
      <c r="BX179" s="1" t="s">
        <v>1549</v>
      </c>
      <c r="BY179" s="1" t="s">
        <v>361</v>
      </c>
      <c r="BZ179" s="1" t="s">
        <v>209</v>
      </c>
      <c r="CA179" s="1" t="s">
        <v>210</v>
      </c>
      <c r="CC179" s="1" t="s">
        <v>542</v>
      </c>
      <c r="CD179" s="1" t="s">
        <v>206</v>
      </c>
      <c r="CG179" s="1" t="s">
        <v>264</v>
      </c>
      <c r="CH179" s="1" t="s">
        <v>206</v>
      </c>
      <c r="CI179" s="1" t="s">
        <v>207</v>
      </c>
      <c r="CK179" s="1" t="s">
        <v>264</v>
      </c>
      <c r="CL179" s="1" t="s">
        <v>206</v>
      </c>
      <c r="CM179" s="1" t="s">
        <v>207</v>
      </c>
      <c r="CO179" s="1" t="s">
        <v>392</v>
      </c>
      <c r="CP179" s="1" t="s">
        <v>209</v>
      </c>
      <c r="CQ179" s="1" t="s">
        <v>210</v>
      </c>
      <c r="CS179" s="1" t="s">
        <v>264</v>
      </c>
      <c r="CT179" s="1" t="s">
        <v>206</v>
      </c>
      <c r="CU179" s="1" t="s">
        <v>268</v>
      </c>
      <c r="CW179" s="1" t="s">
        <v>3202</v>
      </c>
      <c r="CX179" s="1" t="s">
        <v>42</v>
      </c>
      <c r="DA179" s="1" t="s">
        <v>200</v>
      </c>
      <c r="DC179" s="1" t="s">
        <v>517</v>
      </c>
      <c r="DD179" s="1" t="s">
        <v>518</v>
      </c>
      <c r="DE179" s="1" t="s">
        <v>273</v>
      </c>
      <c r="DF179" s="1" t="s">
        <v>619</v>
      </c>
      <c r="DH179" s="1" t="s">
        <v>220</v>
      </c>
      <c r="DI179" s="1" t="s">
        <v>3203</v>
      </c>
      <c r="DJ179" s="1" t="s">
        <v>222</v>
      </c>
      <c r="DK179" s="1" t="s">
        <v>224</v>
      </c>
      <c r="DL179" s="1" t="s">
        <v>224</v>
      </c>
      <c r="DM179" s="1" t="s">
        <v>229</v>
      </c>
      <c r="DO179" s="1" t="s">
        <v>590</v>
      </c>
      <c r="DQ179" s="1" t="s">
        <v>794</v>
      </c>
      <c r="DR179" s="1" t="s">
        <v>229</v>
      </c>
      <c r="DS179" s="1" t="s">
        <v>3204</v>
      </c>
      <c r="DV179" s="1" t="s">
        <v>374</v>
      </c>
      <c r="DW179" s="1" t="s">
        <v>279</v>
      </c>
      <c r="DX179" s="1" t="s">
        <v>3205</v>
      </c>
      <c r="EA179" s="1" t="s">
        <v>1075</v>
      </c>
      <c r="EC179" s="1" t="s">
        <v>237</v>
      </c>
      <c r="ED179" s="1" t="s">
        <v>555</v>
      </c>
      <c r="EE179" s="1" t="s">
        <v>493</v>
      </c>
      <c r="EG179" s="1" t="s">
        <v>374</v>
      </c>
      <c r="EL179" s="1" t="s">
        <v>452</v>
      </c>
      <c r="EM179" s="1" t="s">
        <v>206</v>
      </c>
      <c r="EN179" s="1" t="s">
        <v>617</v>
      </c>
      <c r="EQ179" s="1" t="s">
        <v>238</v>
      </c>
      <c r="EU179" s="1" t="s">
        <v>238</v>
      </c>
      <c r="EY179" s="1" t="s">
        <v>238</v>
      </c>
      <c r="FC179" s="1" t="s">
        <v>238</v>
      </c>
      <c r="FF179" s="1" t="s">
        <v>239</v>
      </c>
      <c r="FG179" s="1" t="s">
        <v>192</v>
      </c>
      <c r="FH179" s="1" t="s">
        <v>200</v>
      </c>
      <c r="FJ179" s="1" t="s">
        <v>3206</v>
      </c>
      <c r="FK179" s="1" t="s">
        <v>229</v>
      </c>
      <c r="FL179" s="1" t="s">
        <v>3207</v>
      </c>
      <c r="FM179" s="1">
        <v>85486.0</v>
      </c>
      <c r="FN179" s="1" t="s">
        <v>3208</v>
      </c>
      <c r="FO179" s="1" t="s">
        <v>3209</v>
      </c>
      <c r="FP179" s="1">
        <v>127850.0</v>
      </c>
      <c r="FQ179" s="1" t="s">
        <v>3210</v>
      </c>
      <c r="FU179" s="1" t="s">
        <v>710</v>
      </c>
      <c r="FV179" s="1" t="s">
        <v>192</v>
      </c>
      <c r="FW179" s="1" t="s">
        <v>3211</v>
      </c>
      <c r="FX179" s="1" t="s">
        <v>655</v>
      </c>
      <c r="FZ179" s="1" t="s">
        <v>229</v>
      </c>
      <c r="GA179" s="1" t="s">
        <v>291</v>
      </c>
      <c r="GB179" s="2">
        <v>42019.0</v>
      </c>
      <c r="GC179" s="1" t="s">
        <v>3212</v>
      </c>
    </row>
    <row r="180">
      <c r="A180" s="1">
        <v>139000.0</v>
      </c>
      <c r="B180" s="1" t="s">
        <v>185</v>
      </c>
      <c r="C180" s="1" t="str">
        <f>"08764384"</f>
        <v>08764384</v>
      </c>
      <c r="D180" s="1" t="s">
        <v>186</v>
      </c>
      <c r="F180" s="1" t="str">
        <f>"103"</f>
        <v>103</v>
      </c>
      <c r="G180" s="2">
        <v>41941.0</v>
      </c>
      <c r="H180" s="1">
        <v>139900.0</v>
      </c>
      <c r="I180" s="1">
        <v>71.0</v>
      </c>
      <c r="J180" s="1">
        <v>139900.0</v>
      </c>
      <c r="K180" s="2">
        <v>42011.0</v>
      </c>
      <c r="L180" s="1">
        <v>71.0</v>
      </c>
      <c r="M180" s="2">
        <v>42011.0</v>
      </c>
      <c r="N180" s="1" t="s">
        <v>187</v>
      </c>
      <c r="O180" s="2">
        <v>42079.0</v>
      </c>
      <c r="P180" s="1">
        <v>115537.0</v>
      </c>
      <c r="Q180" s="1">
        <v>12664.0</v>
      </c>
      <c r="S180" s="1">
        <v>6847.0</v>
      </c>
      <c r="T180" s="1" t="s">
        <v>1131</v>
      </c>
      <c r="U180" s="1" t="s">
        <v>1174</v>
      </c>
      <c r="V180" s="1" t="s">
        <v>251</v>
      </c>
      <c r="W180" s="1">
        <v>60133.0</v>
      </c>
      <c r="Y180" s="1" t="s">
        <v>3213</v>
      </c>
      <c r="Z180" s="1">
        <v>1964.0</v>
      </c>
      <c r="AA180" s="1" t="s">
        <v>192</v>
      </c>
      <c r="AB180" s="1" t="s">
        <v>193</v>
      </c>
      <c r="AC180" s="1" t="s">
        <v>3214</v>
      </c>
      <c r="AD180" s="1" t="s">
        <v>254</v>
      </c>
      <c r="AE180" s="1" t="s">
        <v>195</v>
      </c>
      <c r="AF180" s="1" t="s">
        <v>255</v>
      </c>
      <c r="AG180" s="1" t="s">
        <v>3215</v>
      </c>
      <c r="AH180" s="1" t="s">
        <v>256</v>
      </c>
      <c r="AK180" s="1">
        <v>8.0</v>
      </c>
      <c r="AL180" s="1">
        <v>4.0</v>
      </c>
      <c r="AM180" s="1">
        <v>1.0</v>
      </c>
      <c r="AN180" s="1">
        <v>1.0</v>
      </c>
      <c r="AO180" s="1" t="s">
        <v>1261</v>
      </c>
      <c r="AQ180" s="1" t="s">
        <v>257</v>
      </c>
      <c r="AR180" s="1" t="s">
        <v>192</v>
      </c>
      <c r="AS180" s="1" t="s">
        <v>199</v>
      </c>
      <c r="AT180" s="1">
        <v>1.0</v>
      </c>
      <c r="AV180" s="1" t="s">
        <v>200</v>
      </c>
      <c r="AW180" s="1">
        <v>4739.84</v>
      </c>
      <c r="AX180" s="1">
        <v>2013.0</v>
      </c>
      <c r="AY180" s="1" t="s">
        <v>387</v>
      </c>
      <c r="AZ180" s="1" t="s">
        <v>200</v>
      </c>
      <c r="BA180" s="1" t="str">
        <f>"07312140120000"</f>
        <v>07312140120000</v>
      </c>
      <c r="BB180" s="1" t="s">
        <v>200</v>
      </c>
      <c r="BC180" s="1">
        <v>1157.0</v>
      </c>
      <c r="BD180" s="1">
        <v>139000.0</v>
      </c>
      <c r="BE180" s="2">
        <v>41941.0</v>
      </c>
      <c r="BF180" s="1" t="s">
        <v>3216</v>
      </c>
      <c r="BH180" s="1">
        <v>0.0</v>
      </c>
      <c r="BK180" s="1" t="s">
        <v>204</v>
      </c>
      <c r="BL180" s="1" t="str">
        <f>"8"</f>
        <v>8</v>
      </c>
      <c r="BM180" s="1" t="str">
        <f>""</f>
        <v/>
      </c>
      <c r="BN180" s="1">
        <v>26.0</v>
      </c>
      <c r="BQ180" s="1">
        <v>54.0</v>
      </c>
      <c r="BR180" s="1">
        <v>211.0</v>
      </c>
      <c r="BS180" s="1">
        <v>54.0</v>
      </c>
      <c r="BU180" s="1" t="s">
        <v>260</v>
      </c>
      <c r="BV180" s="1" t="s">
        <v>206</v>
      </c>
      <c r="BW180" s="1" t="s">
        <v>210</v>
      </c>
      <c r="BY180" s="1" t="s">
        <v>262</v>
      </c>
      <c r="BZ180" s="1" t="s">
        <v>209</v>
      </c>
      <c r="CC180" s="1" t="s">
        <v>623</v>
      </c>
      <c r="CD180" s="1" t="s">
        <v>206</v>
      </c>
      <c r="CE180" s="1" t="s">
        <v>210</v>
      </c>
      <c r="CG180" s="1" t="s">
        <v>392</v>
      </c>
      <c r="CH180" s="1" t="s">
        <v>209</v>
      </c>
      <c r="CK180" s="1" t="s">
        <v>516</v>
      </c>
      <c r="CL180" s="1" t="s">
        <v>209</v>
      </c>
      <c r="CO180" s="1" t="s">
        <v>215</v>
      </c>
      <c r="CP180" s="1" t="s">
        <v>267</v>
      </c>
      <c r="CS180" s="1" t="s">
        <v>495</v>
      </c>
      <c r="CT180" s="1" t="s">
        <v>206</v>
      </c>
      <c r="CW180" s="1" t="s">
        <v>664</v>
      </c>
      <c r="CX180" s="1" t="s">
        <v>267</v>
      </c>
      <c r="DA180" s="1" t="s">
        <v>200</v>
      </c>
      <c r="DC180" s="1" t="s">
        <v>517</v>
      </c>
      <c r="DD180" s="1" t="s">
        <v>518</v>
      </c>
      <c r="DE180" s="1" t="s">
        <v>273</v>
      </c>
      <c r="DF180" s="1" t="s">
        <v>219</v>
      </c>
      <c r="DG180" s="1" t="s">
        <v>2311</v>
      </c>
      <c r="DH180" s="1" t="s">
        <v>365</v>
      </c>
      <c r="DJ180" s="1" t="s">
        <v>222</v>
      </c>
      <c r="DL180" s="1" t="s">
        <v>858</v>
      </c>
      <c r="DM180" s="1" t="s">
        <v>229</v>
      </c>
      <c r="DP180" s="1" t="s">
        <v>276</v>
      </c>
      <c r="DQ180" s="1" t="s">
        <v>228</v>
      </c>
      <c r="DR180" s="1" t="s">
        <v>229</v>
      </c>
      <c r="DS180" s="1" t="s">
        <v>277</v>
      </c>
      <c r="DV180" s="1" t="s">
        <v>1270</v>
      </c>
      <c r="DW180" s="1" t="s">
        <v>588</v>
      </c>
      <c r="DX180" s="1" t="s">
        <v>234</v>
      </c>
      <c r="EA180" s="1" t="s">
        <v>283</v>
      </c>
      <c r="EC180" s="1" t="s">
        <v>284</v>
      </c>
      <c r="EE180" s="1" t="s">
        <v>1960</v>
      </c>
      <c r="EG180" s="1" t="s">
        <v>1270</v>
      </c>
      <c r="EL180" s="1" t="s">
        <v>560</v>
      </c>
      <c r="EM180" s="1" t="s">
        <v>267</v>
      </c>
      <c r="EQ180" s="1" t="s">
        <v>238</v>
      </c>
      <c r="EU180" s="1" t="s">
        <v>238</v>
      </c>
      <c r="EY180" s="1" t="s">
        <v>238</v>
      </c>
      <c r="FC180" s="1" t="s">
        <v>238</v>
      </c>
      <c r="FF180" s="1" t="s">
        <v>239</v>
      </c>
      <c r="FG180" s="1" t="s">
        <v>192</v>
      </c>
      <c r="FH180" s="1" t="s">
        <v>192</v>
      </c>
      <c r="FJ180" s="1" t="s">
        <v>3217</v>
      </c>
      <c r="FK180" s="1" t="s">
        <v>229</v>
      </c>
      <c r="FL180" s="1" t="s">
        <v>3218</v>
      </c>
      <c r="FM180" s="1">
        <v>25215.0</v>
      </c>
      <c r="FN180" s="1" t="s">
        <v>3219</v>
      </c>
      <c r="FO180" s="1" t="s">
        <v>3220</v>
      </c>
      <c r="FP180" s="1">
        <v>223473.0</v>
      </c>
      <c r="FQ180" s="1" t="s">
        <v>3221</v>
      </c>
      <c r="FS180" s="1" t="s">
        <v>3222</v>
      </c>
      <c r="FU180" s="1" t="s">
        <v>3223</v>
      </c>
      <c r="FV180" s="1" t="s">
        <v>200</v>
      </c>
      <c r="FW180" s="1" t="s">
        <v>290</v>
      </c>
      <c r="FZ180" s="1" t="s">
        <v>229</v>
      </c>
      <c r="GA180" s="1" t="s">
        <v>291</v>
      </c>
      <c r="GB180" s="2">
        <v>42081.0</v>
      </c>
      <c r="GC180" s="1" t="s">
        <v>3224</v>
      </c>
    </row>
    <row r="181">
      <c r="A181" s="1">
        <v>640000.0</v>
      </c>
      <c r="B181" s="1" t="s">
        <v>185</v>
      </c>
      <c r="C181" s="1" t="str">
        <f>"08765537"</f>
        <v>08765537</v>
      </c>
      <c r="D181" s="1" t="s">
        <v>186</v>
      </c>
      <c r="F181" s="1" t="str">
        <f>"8006"</f>
        <v>8006</v>
      </c>
      <c r="G181" s="2">
        <v>41942.0</v>
      </c>
      <c r="H181" s="1">
        <v>650000.0</v>
      </c>
      <c r="I181" s="1">
        <v>18.0</v>
      </c>
      <c r="J181" s="1">
        <v>650000.0</v>
      </c>
      <c r="K181" s="2">
        <v>41959.0</v>
      </c>
      <c r="L181" s="1">
        <v>18.0</v>
      </c>
      <c r="M181" s="2">
        <v>41959.0</v>
      </c>
      <c r="N181" s="1" t="s">
        <v>187</v>
      </c>
      <c r="O181" s="2">
        <v>42002.0</v>
      </c>
      <c r="P181" s="1">
        <v>106107.0</v>
      </c>
      <c r="Q181" s="1">
        <v>17033.0</v>
      </c>
      <c r="S181" s="1">
        <v>3822.0</v>
      </c>
      <c r="T181" s="1" t="s">
        <v>3225</v>
      </c>
      <c r="U181" s="1" t="s">
        <v>189</v>
      </c>
      <c r="V181" s="1" t="s">
        <v>190</v>
      </c>
      <c r="W181" s="1">
        <v>60613.0</v>
      </c>
      <c r="Y181" s="1" t="s">
        <v>3226</v>
      </c>
      <c r="Z181" s="1">
        <v>1886.0</v>
      </c>
      <c r="AA181" s="1" t="s">
        <v>192</v>
      </c>
      <c r="AB181" s="1" t="s">
        <v>193</v>
      </c>
      <c r="AD181" s="1" t="s">
        <v>194</v>
      </c>
      <c r="AE181" s="1" t="s">
        <v>195</v>
      </c>
      <c r="AF181" s="1" t="s">
        <v>534</v>
      </c>
      <c r="AH181" s="1" t="s">
        <v>359</v>
      </c>
      <c r="AI181" s="1">
        <v>0.0717</v>
      </c>
      <c r="AK181" s="1">
        <v>9.0</v>
      </c>
      <c r="AL181" s="1">
        <v>4.0</v>
      </c>
      <c r="AM181" s="1">
        <v>2.0</v>
      </c>
      <c r="AN181" s="1">
        <v>1.0</v>
      </c>
      <c r="AO181" s="1" t="s">
        <v>229</v>
      </c>
      <c r="AQ181" s="1" t="s">
        <v>472</v>
      </c>
      <c r="AR181" s="1" t="s">
        <v>192</v>
      </c>
      <c r="AS181" s="1" t="s">
        <v>199</v>
      </c>
      <c r="AT181" s="1">
        <v>1.0</v>
      </c>
      <c r="AV181" s="1" t="s">
        <v>200</v>
      </c>
      <c r="AW181" s="1">
        <v>10085.02</v>
      </c>
      <c r="AX181" s="1">
        <v>2012.0</v>
      </c>
      <c r="AY181" s="1" t="s">
        <v>387</v>
      </c>
      <c r="AZ181" s="1" t="s">
        <v>200</v>
      </c>
      <c r="BA181" s="1" t="str">
        <f>"14192130350000"</f>
        <v>14192130350000</v>
      </c>
      <c r="BB181" s="1" t="s">
        <v>200</v>
      </c>
      <c r="BC181" s="1">
        <v>3000.0</v>
      </c>
      <c r="BD181" s="1">
        <v>640000.0</v>
      </c>
      <c r="BE181" s="2">
        <v>41942.0</v>
      </c>
      <c r="BG181" s="1" t="s">
        <v>3227</v>
      </c>
      <c r="BH181" s="1">
        <v>0.0</v>
      </c>
      <c r="BK181" s="1" t="s">
        <v>204</v>
      </c>
      <c r="BL181" s="1" t="str">
        <f>"3822"</f>
        <v>3822</v>
      </c>
      <c r="BM181" s="1" t="str">
        <f>"0"</f>
        <v>0</v>
      </c>
      <c r="BN181" s="1">
        <v>1732.0</v>
      </c>
      <c r="BO181" s="1">
        <v>0.0</v>
      </c>
      <c r="BQ181" s="1">
        <v>299.0</v>
      </c>
      <c r="BR181" s="1">
        <v>299.0</v>
      </c>
      <c r="BS181" s="1">
        <v>299.0</v>
      </c>
      <c r="BU181" s="1" t="s">
        <v>205</v>
      </c>
      <c r="BV181" s="1" t="s">
        <v>206</v>
      </c>
      <c r="BW181" s="1" t="s">
        <v>207</v>
      </c>
      <c r="BX181" s="1" t="s">
        <v>1549</v>
      </c>
      <c r="BY181" s="1" t="s">
        <v>215</v>
      </c>
      <c r="BZ181" s="1" t="s">
        <v>209</v>
      </c>
      <c r="CA181" s="1" t="s">
        <v>207</v>
      </c>
      <c r="CC181" s="1" t="s">
        <v>262</v>
      </c>
      <c r="CD181" s="1" t="s">
        <v>206</v>
      </c>
      <c r="CE181" s="1" t="s">
        <v>207</v>
      </c>
      <c r="CG181" s="1" t="s">
        <v>2047</v>
      </c>
      <c r="CH181" s="1" t="s">
        <v>209</v>
      </c>
      <c r="CI181" s="1" t="s">
        <v>207</v>
      </c>
      <c r="CK181" s="1" t="s">
        <v>1426</v>
      </c>
      <c r="CL181" s="1" t="s">
        <v>209</v>
      </c>
      <c r="CM181" s="1" t="s">
        <v>207</v>
      </c>
      <c r="CO181" s="1" t="s">
        <v>699</v>
      </c>
      <c r="CP181" s="1" t="s">
        <v>206</v>
      </c>
      <c r="CQ181" s="1" t="s">
        <v>207</v>
      </c>
      <c r="CS181" s="1" t="s">
        <v>264</v>
      </c>
      <c r="CT181" s="1" t="s">
        <v>206</v>
      </c>
      <c r="CU181" s="1" t="s">
        <v>207</v>
      </c>
      <c r="CW181" s="1" t="s">
        <v>3228</v>
      </c>
      <c r="CX181" s="1" t="s">
        <v>267</v>
      </c>
      <c r="CY181" s="1" t="s">
        <v>588</v>
      </c>
      <c r="DA181" s="1" t="s">
        <v>200</v>
      </c>
      <c r="DC181" s="1" t="s">
        <v>642</v>
      </c>
      <c r="DD181" s="1" t="s">
        <v>306</v>
      </c>
      <c r="DE181" s="1" t="s">
        <v>273</v>
      </c>
      <c r="DF181" s="1" t="s">
        <v>219</v>
      </c>
      <c r="DG181" s="1" t="s">
        <v>482</v>
      </c>
      <c r="DH181" s="1" t="s">
        <v>365</v>
      </c>
      <c r="DI181" s="1" t="s">
        <v>221</v>
      </c>
      <c r="DJ181" s="1" t="s">
        <v>222</v>
      </c>
      <c r="DK181" s="1" t="s">
        <v>198</v>
      </c>
      <c r="DL181" s="1" t="s">
        <v>986</v>
      </c>
      <c r="DM181" s="1" t="s">
        <v>1464</v>
      </c>
      <c r="DN181" s="1" t="s">
        <v>485</v>
      </c>
      <c r="DP181" s="1" t="s">
        <v>340</v>
      </c>
      <c r="DQ181" s="1" t="s">
        <v>718</v>
      </c>
      <c r="DR181" s="1" t="s">
        <v>229</v>
      </c>
      <c r="DS181" s="1" t="s">
        <v>368</v>
      </c>
      <c r="DV181" s="1" t="s">
        <v>3229</v>
      </c>
      <c r="DW181" s="1" t="s">
        <v>444</v>
      </c>
      <c r="DX181" s="1" t="s">
        <v>3230</v>
      </c>
      <c r="DY181" s="1" t="s">
        <v>3231</v>
      </c>
      <c r="DZ181" s="1" t="s">
        <v>3232</v>
      </c>
      <c r="EC181" s="1" t="s">
        <v>406</v>
      </c>
      <c r="EH181" s="1" t="s">
        <v>449</v>
      </c>
      <c r="EI181" s="1" t="s">
        <v>408</v>
      </c>
      <c r="EJ181" s="1" t="s">
        <v>1270</v>
      </c>
      <c r="EK181" s="1" t="s">
        <v>310</v>
      </c>
      <c r="EM181" s="1" t="s">
        <v>238</v>
      </c>
      <c r="EP181" s="1" t="s">
        <v>700</v>
      </c>
      <c r="EQ181" s="1" t="s">
        <v>206</v>
      </c>
      <c r="ER181" s="1" t="s">
        <v>207</v>
      </c>
      <c r="ET181" s="1" t="s">
        <v>2522</v>
      </c>
      <c r="EU181" s="1" t="s">
        <v>206</v>
      </c>
      <c r="EV181" s="1" t="s">
        <v>268</v>
      </c>
      <c r="EX181" s="1" t="s">
        <v>541</v>
      </c>
      <c r="EY181" s="1" t="s">
        <v>267</v>
      </c>
      <c r="EZ181" s="1" t="s">
        <v>588</v>
      </c>
      <c r="FB181" s="1" t="s">
        <v>699</v>
      </c>
      <c r="FC181" s="1" t="s">
        <v>206</v>
      </c>
      <c r="FF181" s="1" t="s">
        <v>239</v>
      </c>
      <c r="FG181" s="1" t="s">
        <v>192</v>
      </c>
      <c r="FH181" s="1" t="s">
        <v>192</v>
      </c>
      <c r="FJ181" s="1" t="s">
        <v>2285</v>
      </c>
      <c r="FK181" s="1" t="s">
        <v>348</v>
      </c>
      <c r="FL181" s="1" t="s">
        <v>1358</v>
      </c>
      <c r="FM181" s="1">
        <v>10272.0</v>
      </c>
      <c r="FN181" s="1" t="s">
        <v>3233</v>
      </c>
      <c r="FO181" s="1" t="s">
        <v>3234</v>
      </c>
      <c r="FP181" s="1">
        <v>115364.0</v>
      </c>
      <c r="FQ181" s="1" t="s">
        <v>3235</v>
      </c>
      <c r="FS181" s="1" t="s">
        <v>3236</v>
      </c>
      <c r="FU181" s="1" t="s">
        <v>3237</v>
      </c>
      <c r="FV181" s="1" t="s">
        <v>200</v>
      </c>
      <c r="FW181" s="1" t="s">
        <v>530</v>
      </c>
      <c r="FX181" s="1" t="s">
        <v>238</v>
      </c>
      <c r="FZ181" s="1" t="s">
        <v>229</v>
      </c>
      <c r="GA181" s="1" t="s">
        <v>291</v>
      </c>
      <c r="GB181" s="2">
        <v>42010.0</v>
      </c>
      <c r="GC181" s="1" t="s">
        <v>3238</v>
      </c>
    </row>
    <row r="182">
      <c r="A182" s="1">
        <v>159000.0</v>
      </c>
      <c r="B182" s="1" t="s">
        <v>185</v>
      </c>
      <c r="C182" s="1" t="str">
        <f>"08766458"</f>
        <v>08766458</v>
      </c>
      <c r="D182" s="1" t="s">
        <v>186</v>
      </c>
      <c r="F182" s="1" t="str">
        <f>"8074"</f>
        <v>8074</v>
      </c>
      <c r="G182" s="2">
        <v>41944.0</v>
      </c>
      <c r="H182" s="1">
        <v>189900.0</v>
      </c>
      <c r="I182" s="1">
        <v>229.0</v>
      </c>
      <c r="J182" s="1">
        <v>189900.0</v>
      </c>
      <c r="K182" s="2">
        <v>41943.0</v>
      </c>
      <c r="L182" s="1">
        <v>1.0</v>
      </c>
      <c r="M182" s="2">
        <v>41943.0</v>
      </c>
      <c r="N182" s="1" t="s">
        <v>187</v>
      </c>
      <c r="O182" s="2">
        <v>42061.0</v>
      </c>
      <c r="P182" s="1">
        <v>237994.0</v>
      </c>
      <c r="Q182" s="1">
        <v>24931.0</v>
      </c>
      <c r="S182" s="1">
        <v>10830.0</v>
      </c>
      <c r="T182" s="1" t="s">
        <v>3239</v>
      </c>
      <c r="U182" s="1" t="s">
        <v>189</v>
      </c>
      <c r="V182" s="1" t="s">
        <v>190</v>
      </c>
      <c r="W182" s="1">
        <v>60655.0</v>
      </c>
      <c r="Y182" s="1" t="s">
        <v>3240</v>
      </c>
      <c r="Z182" s="1">
        <v>1960.0</v>
      </c>
      <c r="AA182" s="1" t="s">
        <v>192</v>
      </c>
      <c r="AB182" s="1" t="s">
        <v>193</v>
      </c>
      <c r="AD182" s="1" t="s">
        <v>194</v>
      </c>
      <c r="AE182" s="1" t="s">
        <v>195</v>
      </c>
      <c r="AF182" s="1" t="s">
        <v>659</v>
      </c>
      <c r="AG182" s="1" t="s">
        <v>3241</v>
      </c>
      <c r="AH182" s="1" t="s">
        <v>3242</v>
      </c>
      <c r="AK182" s="1">
        <v>7.0</v>
      </c>
      <c r="AL182" s="1">
        <v>4.0</v>
      </c>
      <c r="AM182" s="1">
        <v>2.0</v>
      </c>
      <c r="AN182" s="1">
        <v>1.0</v>
      </c>
      <c r="AO182" s="1" t="s">
        <v>229</v>
      </c>
      <c r="AQ182" s="1" t="s">
        <v>198</v>
      </c>
      <c r="AR182" s="1" t="s">
        <v>192</v>
      </c>
      <c r="AS182" s="1" t="s">
        <v>199</v>
      </c>
      <c r="AT182" s="1">
        <v>1.5</v>
      </c>
      <c r="AV182" s="1" t="s">
        <v>200</v>
      </c>
      <c r="AW182" s="1">
        <v>3858.0</v>
      </c>
      <c r="AX182" s="1">
        <v>2012.0</v>
      </c>
      <c r="AY182" s="1" t="s">
        <v>387</v>
      </c>
      <c r="AZ182" s="1" t="s">
        <v>200</v>
      </c>
      <c r="BA182" s="1" t="str">
        <f>"24143240280000"</f>
        <v>24143240280000</v>
      </c>
      <c r="BC182" s="1">
        <v>1500.0</v>
      </c>
      <c r="BD182" s="1">
        <v>159000.0</v>
      </c>
      <c r="BE182" s="2">
        <v>41943.0</v>
      </c>
      <c r="BF182" s="2" t="s">
        <v>3243</v>
      </c>
      <c r="BH182" s="1">
        <v>0.0</v>
      </c>
      <c r="BK182" s="1" t="s">
        <v>204</v>
      </c>
      <c r="BL182" s="1" t="str">
        <f t="shared" ref="BL182:BM182" si="120">"0"</f>
        <v>0</v>
      </c>
      <c r="BM182" s="1" t="str">
        <f t="shared" si="120"/>
        <v>0</v>
      </c>
      <c r="BN182" s="1">
        <v>3800.0</v>
      </c>
      <c r="BO182" s="1">
        <v>10800.0</v>
      </c>
      <c r="BQ182" s="1">
        <v>299.0</v>
      </c>
      <c r="BR182" s="1">
        <v>299.0</v>
      </c>
      <c r="BS182" s="1">
        <v>299.0</v>
      </c>
      <c r="BU182" s="1" t="s">
        <v>758</v>
      </c>
      <c r="BV182" s="1" t="s">
        <v>206</v>
      </c>
      <c r="BW182" s="1" t="s">
        <v>210</v>
      </c>
      <c r="BX182" s="1" t="s">
        <v>1549</v>
      </c>
      <c r="BY182" s="1" t="s">
        <v>332</v>
      </c>
      <c r="BZ182" s="1" t="s">
        <v>206</v>
      </c>
      <c r="CA182" s="1" t="s">
        <v>210</v>
      </c>
      <c r="CB182" s="1" t="s">
        <v>1549</v>
      </c>
      <c r="CC182" s="1" t="s">
        <v>1351</v>
      </c>
      <c r="CD182" s="1" t="s">
        <v>206</v>
      </c>
      <c r="CE182" s="1" t="s">
        <v>210</v>
      </c>
      <c r="CF182" s="1" t="s">
        <v>1549</v>
      </c>
      <c r="CG182" s="1" t="s">
        <v>495</v>
      </c>
      <c r="CH182" s="1" t="s">
        <v>206</v>
      </c>
      <c r="CI182" s="1" t="s">
        <v>210</v>
      </c>
      <c r="CJ182" s="1" t="s">
        <v>1549</v>
      </c>
      <c r="CK182" s="1" t="s">
        <v>3244</v>
      </c>
      <c r="CL182" s="1" t="s">
        <v>209</v>
      </c>
      <c r="CM182" s="1" t="s">
        <v>210</v>
      </c>
      <c r="CN182" s="1" t="s">
        <v>1549</v>
      </c>
      <c r="CO182" s="1" t="s">
        <v>700</v>
      </c>
      <c r="CP182" s="1" t="s">
        <v>209</v>
      </c>
      <c r="CQ182" s="1" t="s">
        <v>210</v>
      </c>
      <c r="CR182" s="1" t="s">
        <v>1549</v>
      </c>
      <c r="CS182" s="1" t="s">
        <v>1584</v>
      </c>
      <c r="CT182" s="1" t="s">
        <v>206</v>
      </c>
      <c r="CU182" s="1" t="s">
        <v>617</v>
      </c>
      <c r="CV182" s="1" t="s">
        <v>1549</v>
      </c>
      <c r="CX182" s="1" t="s">
        <v>204</v>
      </c>
      <c r="DA182" s="1" t="s">
        <v>200</v>
      </c>
      <c r="DC182" s="1" t="s">
        <v>271</v>
      </c>
      <c r="DD182" s="1" t="s">
        <v>618</v>
      </c>
      <c r="DE182" s="1" t="s">
        <v>273</v>
      </c>
      <c r="DF182" s="1" t="s">
        <v>219</v>
      </c>
      <c r="DH182" s="1" t="s">
        <v>365</v>
      </c>
      <c r="DI182" s="1" t="s">
        <v>1223</v>
      </c>
      <c r="DJ182" s="1" t="s">
        <v>222</v>
      </c>
      <c r="DK182" s="1" t="s">
        <v>198</v>
      </c>
      <c r="DL182" s="1" t="s">
        <v>223</v>
      </c>
      <c r="DM182" s="1" t="s">
        <v>225</v>
      </c>
      <c r="DP182" s="1" t="s">
        <v>276</v>
      </c>
      <c r="DQ182" s="1" t="s">
        <v>228</v>
      </c>
      <c r="DR182" s="1" t="s">
        <v>229</v>
      </c>
      <c r="DS182" s="1" t="s">
        <v>3008</v>
      </c>
      <c r="DU182" s="1" t="s">
        <v>2070</v>
      </c>
      <c r="DV182" s="1" t="s">
        <v>232</v>
      </c>
      <c r="DW182" s="1" t="s">
        <v>444</v>
      </c>
      <c r="DX182" s="1" t="s">
        <v>1287</v>
      </c>
      <c r="DY182" s="1" t="s">
        <v>1371</v>
      </c>
      <c r="DZ182" s="1" t="s">
        <v>3245</v>
      </c>
      <c r="EA182" s="1" t="s">
        <v>344</v>
      </c>
      <c r="EC182" s="1" t="s">
        <v>237</v>
      </c>
      <c r="ED182" s="1" t="s">
        <v>407</v>
      </c>
      <c r="EM182" s="1" t="s">
        <v>238</v>
      </c>
      <c r="EQ182" s="1" t="s">
        <v>238</v>
      </c>
      <c r="EU182" s="1" t="s">
        <v>238</v>
      </c>
      <c r="EY182" s="1" t="s">
        <v>238</v>
      </c>
      <c r="FC182" s="1" t="s">
        <v>238</v>
      </c>
      <c r="FF182" s="1" t="s">
        <v>239</v>
      </c>
      <c r="FG182" s="1" t="s">
        <v>192</v>
      </c>
      <c r="FH182" s="1" t="s">
        <v>192</v>
      </c>
      <c r="FJ182" s="1" t="s">
        <v>524</v>
      </c>
      <c r="FK182" s="1" t="s">
        <v>1586</v>
      </c>
      <c r="FL182" s="1" t="s">
        <v>1358</v>
      </c>
      <c r="FM182" s="1">
        <v>51102.0</v>
      </c>
      <c r="FN182" s="1" t="s">
        <v>3246</v>
      </c>
      <c r="FO182" s="1" t="s">
        <v>3247</v>
      </c>
      <c r="FP182" s="1">
        <v>607515.0</v>
      </c>
      <c r="FQ182" s="1" t="s">
        <v>3248</v>
      </c>
      <c r="FU182" s="1" t="s">
        <v>3249</v>
      </c>
      <c r="FV182" s="1" t="s">
        <v>200</v>
      </c>
      <c r="FW182" s="1" t="s">
        <v>3250</v>
      </c>
      <c r="FX182" s="1" t="s">
        <v>655</v>
      </c>
      <c r="FZ182" s="1" t="s">
        <v>229</v>
      </c>
      <c r="GA182" s="1" t="s">
        <v>291</v>
      </c>
      <c r="GB182" s="2">
        <v>42063.0</v>
      </c>
      <c r="GC182" s="1" t="s">
        <v>3251</v>
      </c>
    </row>
    <row r="183">
      <c r="A183" s="1">
        <v>284900.0</v>
      </c>
      <c r="B183" s="1" t="s">
        <v>185</v>
      </c>
      <c r="C183" s="1" t="str">
        <f>"08767553"</f>
        <v>08767553</v>
      </c>
      <c r="D183" s="1" t="s">
        <v>186</v>
      </c>
      <c r="F183" s="1" t="str">
        <f>"543"</f>
        <v>543</v>
      </c>
      <c r="G183" s="2">
        <v>41946.0</v>
      </c>
      <c r="H183" s="1">
        <v>329900.0</v>
      </c>
      <c r="I183" s="1">
        <v>137.0</v>
      </c>
      <c r="J183" s="1">
        <v>284900.0</v>
      </c>
      <c r="K183" s="2">
        <v>42082.0</v>
      </c>
      <c r="L183" s="1">
        <v>137.0</v>
      </c>
      <c r="M183" s="2">
        <v>42082.0</v>
      </c>
      <c r="N183" s="1" t="s">
        <v>356</v>
      </c>
      <c r="O183" s="2">
        <v>42121.0</v>
      </c>
      <c r="P183" s="1">
        <v>236256.0</v>
      </c>
      <c r="Q183" s="1">
        <v>25088.0</v>
      </c>
      <c r="R183" s="1">
        <v>2000.0</v>
      </c>
      <c r="S183" s="1">
        <v>704.0</v>
      </c>
      <c r="T183" s="1" t="s">
        <v>3252</v>
      </c>
      <c r="U183" s="1" t="s">
        <v>420</v>
      </c>
      <c r="V183" s="1" t="s">
        <v>1527</v>
      </c>
      <c r="W183" s="1">
        <v>60543.0</v>
      </c>
      <c r="Y183" s="1" t="s">
        <v>3253</v>
      </c>
      <c r="Z183" s="1">
        <v>2005.0</v>
      </c>
      <c r="AA183" s="1" t="s">
        <v>200</v>
      </c>
      <c r="AB183" s="1" t="s">
        <v>193</v>
      </c>
      <c r="AC183" s="1" t="s">
        <v>3254</v>
      </c>
      <c r="AD183" s="1" t="s">
        <v>1529</v>
      </c>
      <c r="AE183" s="1" t="s">
        <v>849</v>
      </c>
      <c r="AF183" s="1" t="s">
        <v>1529</v>
      </c>
      <c r="AG183" s="1" t="s">
        <v>3255</v>
      </c>
      <c r="AH183" s="1" t="s">
        <v>3256</v>
      </c>
      <c r="AK183" s="1">
        <v>12.0</v>
      </c>
      <c r="AL183" s="1">
        <v>4.0</v>
      </c>
      <c r="AM183" s="1">
        <v>4.0</v>
      </c>
      <c r="AN183" s="1">
        <v>1.0</v>
      </c>
      <c r="AO183" s="1" t="s">
        <v>198</v>
      </c>
      <c r="AP183" s="1">
        <v>1.0</v>
      </c>
      <c r="AQ183" s="1" t="s">
        <v>472</v>
      </c>
      <c r="AR183" s="1" t="s">
        <v>192</v>
      </c>
      <c r="AS183" s="1" t="s">
        <v>199</v>
      </c>
      <c r="AT183" s="1">
        <v>3.0</v>
      </c>
      <c r="AV183" s="1" t="s">
        <v>200</v>
      </c>
      <c r="AW183" s="1">
        <v>11606.1</v>
      </c>
      <c r="AX183" s="1">
        <v>2013.0</v>
      </c>
      <c r="AY183" s="1" t="s">
        <v>387</v>
      </c>
      <c r="AZ183" s="1" t="s">
        <v>200</v>
      </c>
      <c r="BA183" s="1" t="str">
        <f>"0316401004"</f>
        <v>0316401004</v>
      </c>
      <c r="BB183" s="1" t="s">
        <v>200</v>
      </c>
      <c r="BC183" s="1">
        <v>3527.0</v>
      </c>
      <c r="BD183" s="1">
        <v>284900.0</v>
      </c>
      <c r="BE183" s="2">
        <v>41946.0</v>
      </c>
      <c r="BF183" s="2" t="s">
        <v>3257</v>
      </c>
      <c r="BH183" s="1">
        <v>135.0</v>
      </c>
      <c r="BK183" s="1" t="s">
        <v>1952</v>
      </c>
      <c r="BL183" s="1" t="str">
        <f t="shared" ref="BL183:BM183" si="121">"0"</f>
        <v>0</v>
      </c>
      <c r="BM183" s="1" t="str">
        <f t="shared" si="121"/>
        <v>0</v>
      </c>
      <c r="BN183" s="1">
        <v>36.0</v>
      </c>
      <c r="BO183" s="1">
        <v>12.0</v>
      </c>
      <c r="BQ183" s="1">
        <v>308.0</v>
      </c>
      <c r="BR183" s="1">
        <v>308.0</v>
      </c>
      <c r="BS183" s="1">
        <v>308.0</v>
      </c>
      <c r="BU183" s="1" t="s">
        <v>2872</v>
      </c>
      <c r="BV183" s="1" t="s">
        <v>206</v>
      </c>
      <c r="BW183" s="1" t="s">
        <v>207</v>
      </c>
      <c r="BY183" s="1" t="s">
        <v>2492</v>
      </c>
      <c r="BZ183" s="1" t="s">
        <v>209</v>
      </c>
      <c r="CA183" s="1" t="s">
        <v>210</v>
      </c>
      <c r="CC183" s="1" t="s">
        <v>331</v>
      </c>
      <c r="CD183" s="1" t="s">
        <v>206</v>
      </c>
      <c r="CE183" s="1" t="s">
        <v>207</v>
      </c>
      <c r="CF183" s="1" t="s">
        <v>229</v>
      </c>
      <c r="CG183" s="1" t="s">
        <v>215</v>
      </c>
      <c r="CH183" s="1" t="s">
        <v>209</v>
      </c>
      <c r="CI183" s="1" t="s">
        <v>210</v>
      </c>
      <c r="CK183" s="1" t="s">
        <v>1397</v>
      </c>
      <c r="CL183" s="1" t="s">
        <v>209</v>
      </c>
      <c r="CM183" s="1" t="s">
        <v>210</v>
      </c>
      <c r="CO183" s="1" t="s">
        <v>2459</v>
      </c>
      <c r="CP183" s="1" t="s">
        <v>209</v>
      </c>
      <c r="CQ183" s="1" t="s">
        <v>210</v>
      </c>
      <c r="CS183" s="1" t="s">
        <v>478</v>
      </c>
      <c r="CT183" s="1" t="s">
        <v>206</v>
      </c>
      <c r="CU183" s="1" t="s">
        <v>207</v>
      </c>
      <c r="CW183" s="1" t="s">
        <v>544</v>
      </c>
      <c r="CX183" s="1" t="s">
        <v>206</v>
      </c>
      <c r="CY183" s="1" t="s">
        <v>301</v>
      </c>
      <c r="DA183" s="1" t="s">
        <v>200</v>
      </c>
      <c r="DC183" s="1" t="s">
        <v>481</v>
      </c>
      <c r="DD183" s="1" t="s">
        <v>336</v>
      </c>
      <c r="DE183" s="1" t="s">
        <v>218</v>
      </c>
      <c r="DF183" s="1" t="s">
        <v>3258</v>
      </c>
      <c r="DG183" s="1" t="s">
        <v>3259</v>
      </c>
      <c r="DH183" s="1" t="s">
        <v>220</v>
      </c>
      <c r="DI183" s="1" t="s">
        <v>1813</v>
      </c>
      <c r="DJ183" s="1" t="s">
        <v>222</v>
      </c>
      <c r="DL183" s="1" t="s">
        <v>224</v>
      </c>
      <c r="DM183" s="1" t="s">
        <v>229</v>
      </c>
      <c r="DN183" s="1" t="s">
        <v>399</v>
      </c>
      <c r="DO183" s="1" t="s">
        <v>440</v>
      </c>
      <c r="DP183" s="1" t="s">
        <v>276</v>
      </c>
      <c r="DQ183" s="1" t="s">
        <v>441</v>
      </c>
      <c r="DR183" s="1" t="s">
        <v>1980</v>
      </c>
      <c r="DS183" s="1" t="s">
        <v>591</v>
      </c>
      <c r="DU183" s="1" t="s">
        <v>3260</v>
      </c>
      <c r="DV183" s="1" t="s">
        <v>3261</v>
      </c>
      <c r="DW183" s="1" t="s">
        <v>1145</v>
      </c>
      <c r="DX183" s="1" t="s">
        <v>234</v>
      </c>
      <c r="DY183" s="1" t="s">
        <v>1006</v>
      </c>
      <c r="DZ183" s="1" t="s">
        <v>766</v>
      </c>
      <c r="EA183" s="1" t="s">
        <v>1027</v>
      </c>
      <c r="EB183" s="1" t="s">
        <v>492</v>
      </c>
      <c r="EC183" s="1" t="s">
        <v>237</v>
      </c>
      <c r="ED183" s="1" t="s">
        <v>407</v>
      </c>
      <c r="EG183" s="1" t="s">
        <v>494</v>
      </c>
      <c r="EH183" s="1" t="s">
        <v>556</v>
      </c>
      <c r="EI183" s="1" t="s">
        <v>2313</v>
      </c>
      <c r="EJ183" s="1" t="s">
        <v>1432</v>
      </c>
      <c r="EK183" s="1" t="s">
        <v>1164</v>
      </c>
      <c r="EL183" s="1" t="s">
        <v>1417</v>
      </c>
      <c r="EM183" s="1" t="s">
        <v>206</v>
      </c>
      <c r="EN183" s="1" t="s">
        <v>210</v>
      </c>
      <c r="EO183" s="1" t="s">
        <v>229</v>
      </c>
      <c r="EP183" s="1" t="s">
        <v>1329</v>
      </c>
      <c r="EQ183" s="1" t="s">
        <v>206</v>
      </c>
      <c r="ER183" s="1" t="s">
        <v>207</v>
      </c>
      <c r="ET183" s="1" t="s">
        <v>2617</v>
      </c>
      <c r="EU183" s="1" t="s">
        <v>206</v>
      </c>
      <c r="EX183" s="1" t="s">
        <v>1244</v>
      </c>
      <c r="EY183" s="1" t="s">
        <v>42</v>
      </c>
      <c r="EZ183" s="1" t="s">
        <v>301</v>
      </c>
      <c r="FA183" s="1" t="s">
        <v>229</v>
      </c>
      <c r="FB183" s="1" t="s">
        <v>3262</v>
      </c>
      <c r="FC183" s="1" t="s">
        <v>42</v>
      </c>
      <c r="FD183" s="1" t="s">
        <v>301</v>
      </c>
      <c r="FE183" s="1" t="s">
        <v>229</v>
      </c>
      <c r="FF183" s="1" t="s">
        <v>239</v>
      </c>
      <c r="FG183" s="1" t="s">
        <v>200</v>
      </c>
      <c r="FH183" s="1" t="s">
        <v>192</v>
      </c>
      <c r="FJ183" s="1" t="s">
        <v>3263</v>
      </c>
      <c r="FK183" s="1" t="s">
        <v>229</v>
      </c>
      <c r="FL183" s="1" t="s">
        <v>3264</v>
      </c>
      <c r="FM183" s="1">
        <v>24506.0</v>
      </c>
      <c r="FN183" s="1" t="s">
        <v>3265</v>
      </c>
      <c r="FO183" s="1" t="s">
        <v>3266</v>
      </c>
      <c r="FP183" s="1">
        <v>231016.0</v>
      </c>
      <c r="FQ183" s="1" t="s">
        <v>3265</v>
      </c>
      <c r="FR183" s="1">
        <v>231837.0</v>
      </c>
      <c r="FU183" s="1" t="s">
        <v>3267</v>
      </c>
      <c r="FV183" s="1" t="s">
        <v>200</v>
      </c>
      <c r="FW183" s="1" t="s">
        <v>567</v>
      </c>
      <c r="FZ183" s="1" t="s">
        <v>229</v>
      </c>
      <c r="GA183" s="1" t="s">
        <v>291</v>
      </c>
      <c r="GB183" s="2">
        <v>42121.0</v>
      </c>
      <c r="GC183" s="1" t="s">
        <v>3267</v>
      </c>
    </row>
    <row r="184">
      <c r="A184" s="1">
        <v>150500.0</v>
      </c>
      <c r="B184" s="1" t="s">
        <v>185</v>
      </c>
      <c r="C184" s="1" t="str">
        <f>"08765226"</f>
        <v>08765226</v>
      </c>
      <c r="D184" s="1" t="s">
        <v>186</v>
      </c>
      <c r="F184" s="1" t="str">
        <f>"8074"</f>
        <v>8074</v>
      </c>
      <c r="G184" s="2">
        <v>41942.0</v>
      </c>
      <c r="H184" s="1">
        <v>137000.0</v>
      </c>
      <c r="I184" s="1">
        <v>21.0</v>
      </c>
      <c r="J184" s="1">
        <v>137000.0</v>
      </c>
      <c r="K184" s="2">
        <v>41962.0</v>
      </c>
      <c r="L184" s="1">
        <v>21.0</v>
      </c>
      <c r="M184" s="2">
        <v>41962.0</v>
      </c>
      <c r="N184" s="1" t="s">
        <v>1512</v>
      </c>
      <c r="O184" s="2">
        <v>42074.0</v>
      </c>
      <c r="P184" s="1">
        <v>240117.0</v>
      </c>
      <c r="Q184" s="1">
        <v>24174.0</v>
      </c>
      <c r="S184" s="1">
        <v>11032.0</v>
      </c>
      <c r="T184" s="1" t="s">
        <v>3268</v>
      </c>
      <c r="U184" s="1" t="s">
        <v>189</v>
      </c>
      <c r="V184" s="1" t="s">
        <v>190</v>
      </c>
      <c r="W184" s="1">
        <v>60655.0</v>
      </c>
      <c r="Y184" s="1" t="s">
        <v>3269</v>
      </c>
      <c r="Z184" s="1">
        <v>1949.0</v>
      </c>
      <c r="AA184" s="1" t="s">
        <v>192</v>
      </c>
      <c r="AB184" s="1" t="s">
        <v>193</v>
      </c>
      <c r="AD184" s="1" t="s">
        <v>194</v>
      </c>
      <c r="AE184" s="1" t="s">
        <v>195</v>
      </c>
      <c r="AF184" s="1" t="s">
        <v>659</v>
      </c>
      <c r="AH184" s="1">
        <v>5240.0</v>
      </c>
      <c r="AI184" s="1">
        <v>0.1203</v>
      </c>
      <c r="AK184" s="1">
        <v>6.0</v>
      </c>
      <c r="AL184" s="1">
        <v>4.0</v>
      </c>
      <c r="AM184" s="1">
        <v>2.0</v>
      </c>
      <c r="AN184" s="1">
        <v>1.0</v>
      </c>
      <c r="AO184" s="1" t="s">
        <v>229</v>
      </c>
      <c r="AQ184" s="1" t="s">
        <v>198</v>
      </c>
      <c r="AR184" s="1" t="s">
        <v>192</v>
      </c>
      <c r="AS184" s="1" t="s">
        <v>199</v>
      </c>
      <c r="AT184" s="1">
        <v>3.0</v>
      </c>
      <c r="AV184" s="1" t="s">
        <v>200</v>
      </c>
      <c r="AW184" s="1">
        <v>3545.5</v>
      </c>
      <c r="AX184" s="1">
        <v>2012.0</v>
      </c>
      <c r="AZ184" s="1" t="s">
        <v>200</v>
      </c>
      <c r="BA184" s="1" t="str">
        <f>"24143160210000"</f>
        <v>24143160210000</v>
      </c>
      <c r="BC184" s="1">
        <v>1560.0</v>
      </c>
      <c r="BD184" s="1">
        <v>150500.0</v>
      </c>
      <c r="BE184" s="2">
        <v>41942.0</v>
      </c>
      <c r="BF184" s="2" t="s">
        <v>3270</v>
      </c>
      <c r="BH184" s="1">
        <v>0.0</v>
      </c>
      <c r="BK184" s="1" t="s">
        <v>204</v>
      </c>
      <c r="BL184" s="1" t="str">
        <f t="shared" ref="BL184:BM184" si="122">"0"</f>
        <v>0</v>
      </c>
      <c r="BM184" s="1" t="str">
        <f t="shared" si="122"/>
        <v>0</v>
      </c>
      <c r="BN184" s="1">
        <v>3632.0</v>
      </c>
      <c r="BO184" s="1">
        <v>11032.0</v>
      </c>
      <c r="BQ184" s="1">
        <v>299.0</v>
      </c>
      <c r="BR184" s="1">
        <v>299.0</v>
      </c>
      <c r="BS184" s="1">
        <v>299.0</v>
      </c>
      <c r="BU184" s="1" t="s">
        <v>664</v>
      </c>
      <c r="BV184" s="1" t="s">
        <v>206</v>
      </c>
      <c r="BY184" s="1" t="s">
        <v>215</v>
      </c>
      <c r="BZ184" s="1" t="s">
        <v>206</v>
      </c>
      <c r="CD184" s="1" t="s">
        <v>204</v>
      </c>
      <c r="CG184" s="1" t="s">
        <v>332</v>
      </c>
      <c r="CH184" s="1" t="s">
        <v>206</v>
      </c>
      <c r="CK184" s="1" t="s">
        <v>269</v>
      </c>
      <c r="CL184" s="1" t="s">
        <v>209</v>
      </c>
      <c r="CO184" s="1" t="s">
        <v>332</v>
      </c>
      <c r="CP184" s="1" t="s">
        <v>209</v>
      </c>
      <c r="CS184" s="1" t="s">
        <v>3271</v>
      </c>
      <c r="CT184" s="1" t="s">
        <v>206</v>
      </c>
      <c r="CX184" s="1" t="s">
        <v>204</v>
      </c>
      <c r="DA184" s="1" t="s">
        <v>200</v>
      </c>
      <c r="DC184" s="1" t="s">
        <v>702</v>
      </c>
      <c r="DE184" s="1" t="s">
        <v>229</v>
      </c>
      <c r="DF184" s="1" t="s">
        <v>619</v>
      </c>
      <c r="DH184" s="1" t="s">
        <v>220</v>
      </c>
      <c r="DJ184" s="1" t="s">
        <v>222</v>
      </c>
      <c r="DL184" s="1" t="s">
        <v>858</v>
      </c>
      <c r="DM184" s="1" t="s">
        <v>229</v>
      </c>
      <c r="DQ184" s="1" t="s">
        <v>228</v>
      </c>
      <c r="DR184" s="1" t="s">
        <v>229</v>
      </c>
      <c r="DV184" s="1" t="s">
        <v>232</v>
      </c>
      <c r="DW184" s="1" t="s">
        <v>279</v>
      </c>
      <c r="DX184" s="1" t="s">
        <v>234</v>
      </c>
      <c r="EC184" s="1" t="s">
        <v>645</v>
      </c>
      <c r="EM184" s="1" t="s">
        <v>238</v>
      </c>
      <c r="EQ184" s="1" t="s">
        <v>238</v>
      </c>
      <c r="EU184" s="1" t="s">
        <v>238</v>
      </c>
      <c r="EY184" s="1" t="s">
        <v>238</v>
      </c>
      <c r="FC184" s="1" t="s">
        <v>238</v>
      </c>
      <c r="FF184" s="1" t="s">
        <v>239</v>
      </c>
      <c r="FG184" s="1" t="s">
        <v>192</v>
      </c>
      <c r="FH184" s="1" t="s">
        <v>192</v>
      </c>
      <c r="FJ184" s="1" t="s">
        <v>1248</v>
      </c>
      <c r="FK184" s="1" t="s">
        <v>229</v>
      </c>
      <c r="FL184" s="1" t="s">
        <v>3272</v>
      </c>
      <c r="FM184" s="1">
        <v>12511.0</v>
      </c>
      <c r="FN184" s="1" t="s">
        <v>3273</v>
      </c>
      <c r="FO184" s="1" t="s">
        <v>3274</v>
      </c>
      <c r="FP184" s="1">
        <v>121408.0</v>
      </c>
      <c r="FQ184" s="1" t="s">
        <v>3275</v>
      </c>
      <c r="FU184" s="1" t="s">
        <v>3276</v>
      </c>
      <c r="FV184" s="1" t="s">
        <v>200</v>
      </c>
      <c r="FW184" s="1" t="s">
        <v>1307</v>
      </c>
      <c r="FX184" s="1" t="s">
        <v>655</v>
      </c>
      <c r="FZ184" s="1" t="s">
        <v>229</v>
      </c>
      <c r="GA184" s="1" t="s">
        <v>291</v>
      </c>
      <c r="GB184" s="2">
        <v>42075.0</v>
      </c>
      <c r="GC184" s="1" t="s">
        <v>3277</v>
      </c>
    </row>
    <row r="185">
      <c r="A185" s="1">
        <v>179900.0</v>
      </c>
      <c r="B185" s="1" t="s">
        <v>185</v>
      </c>
      <c r="C185" s="1" t="str">
        <f>"08767913"</f>
        <v>08767913</v>
      </c>
      <c r="D185" s="1" t="s">
        <v>186</v>
      </c>
      <c r="F185" s="1" t="str">
        <f>"8070"</f>
        <v>8070</v>
      </c>
      <c r="G185" s="2">
        <v>41946.0</v>
      </c>
      <c r="H185" s="1">
        <v>179900.0</v>
      </c>
      <c r="I185" s="1">
        <v>30.0</v>
      </c>
      <c r="J185" s="1">
        <v>179900.0</v>
      </c>
      <c r="K185" s="2">
        <v>41954.0</v>
      </c>
      <c r="L185" s="1">
        <v>9.0</v>
      </c>
      <c r="M185" s="2">
        <v>41954.0</v>
      </c>
      <c r="N185" s="1" t="s">
        <v>187</v>
      </c>
      <c r="O185" s="2">
        <v>41996.0</v>
      </c>
      <c r="P185" s="1">
        <v>145617.0</v>
      </c>
      <c r="Q185" s="1">
        <v>16734.0</v>
      </c>
      <c r="R185" s="1">
        <v>4500.0</v>
      </c>
      <c r="S185" s="1">
        <v>3618.0</v>
      </c>
      <c r="T185" s="1" t="s">
        <v>3278</v>
      </c>
      <c r="U185" s="1" t="s">
        <v>320</v>
      </c>
      <c r="V185" s="1" t="s">
        <v>190</v>
      </c>
      <c r="W185" s="1">
        <v>60652.0</v>
      </c>
      <c r="Y185" s="1" t="s">
        <v>3279</v>
      </c>
      <c r="Z185" s="1" t="s">
        <v>296</v>
      </c>
      <c r="AA185" s="1" t="s">
        <v>192</v>
      </c>
      <c r="AB185" s="1" t="s">
        <v>193</v>
      </c>
      <c r="AD185" s="1" t="s">
        <v>194</v>
      </c>
      <c r="AE185" s="1" t="s">
        <v>195</v>
      </c>
      <c r="AF185" s="1" t="s">
        <v>659</v>
      </c>
      <c r="AH185" s="1" t="s">
        <v>359</v>
      </c>
      <c r="AK185" s="1">
        <v>8.0</v>
      </c>
      <c r="AL185" s="1">
        <v>3.0</v>
      </c>
      <c r="AM185" s="1">
        <v>2.0</v>
      </c>
      <c r="AN185" s="1">
        <v>0.0</v>
      </c>
      <c r="AO185" s="1" t="s">
        <v>229</v>
      </c>
      <c r="AP185" s="1">
        <v>0.0</v>
      </c>
      <c r="AQ185" s="1" t="s">
        <v>198</v>
      </c>
      <c r="AR185" s="1" t="s">
        <v>192</v>
      </c>
      <c r="AS185" s="1" t="s">
        <v>199</v>
      </c>
      <c r="AT185" s="1">
        <v>2.0</v>
      </c>
      <c r="AV185" s="1" t="s">
        <v>200</v>
      </c>
      <c r="AW185" s="6">
        <v>2000.0</v>
      </c>
      <c r="AX185" s="1">
        <v>2013.0</v>
      </c>
      <c r="AY185" s="1" t="s">
        <v>387</v>
      </c>
      <c r="AZ185" s="1" t="s">
        <v>200</v>
      </c>
      <c r="BA185" s="1" t="str">
        <f>"19351200630000"</f>
        <v>19351200630000</v>
      </c>
      <c r="BB185" s="1" t="s">
        <v>200</v>
      </c>
      <c r="BC185" s="1">
        <v>1800.0</v>
      </c>
      <c r="BD185" s="1">
        <v>179900.0</v>
      </c>
      <c r="BE185" s="2">
        <v>41946.0</v>
      </c>
      <c r="BF185" s="2" t="s">
        <v>3280</v>
      </c>
      <c r="BH185" s="1">
        <v>0.0</v>
      </c>
      <c r="BK185" s="1" t="s">
        <v>204</v>
      </c>
      <c r="BL185" s="1" t="str">
        <f t="shared" ref="BL185:BM185" si="123">"0"</f>
        <v>0</v>
      </c>
      <c r="BM185" s="1" t="str">
        <f t="shared" si="123"/>
        <v>0</v>
      </c>
      <c r="BN185" s="1">
        <v>3618.0</v>
      </c>
      <c r="BO185" s="1">
        <v>8200.0</v>
      </c>
      <c r="BQ185" s="1">
        <v>299.0</v>
      </c>
      <c r="BR185" s="1">
        <v>299.0</v>
      </c>
      <c r="BS185" s="1">
        <v>299.0</v>
      </c>
      <c r="BU185" s="1" t="s">
        <v>205</v>
      </c>
      <c r="BV185" s="1" t="s">
        <v>206</v>
      </c>
      <c r="BW185" s="1" t="s">
        <v>207</v>
      </c>
      <c r="BY185" s="1" t="s">
        <v>264</v>
      </c>
      <c r="BZ185" s="1" t="s">
        <v>206</v>
      </c>
      <c r="CA185" s="1" t="s">
        <v>207</v>
      </c>
      <c r="CD185" s="1" t="s">
        <v>204</v>
      </c>
      <c r="CG185" s="1" t="s">
        <v>264</v>
      </c>
      <c r="CH185" s="1" t="s">
        <v>206</v>
      </c>
      <c r="CI185" s="1" t="s">
        <v>207</v>
      </c>
      <c r="CK185" s="1" t="s">
        <v>495</v>
      </c>
      <c r="CL185" s="1" t="s">
        <v>206</v>
      </c>
      <c r="CM185" s="1" t="s">
        <v>207</v>
      </c>
      <c r="CO185" s="1" t="s">
        <v>264</v>
      </c>
      <c r="CP185" s="1" t="s">
        <v>42</v>
      </c>
      <c r="CQ185" s="1" t="s">
        <v>268</v>
      </c>
      <c r="CS185" s="1" t="s">
        <v>495</v>
      </c>
      <c r="CT185" s="1" t="s">
        <v>206</v>
      </c>
      <c r="CU185" s="1" t="s">
        <v>207</v>
      </c>
      <c r="CW185" s="1" t="s">
        <v>3281</v>
      </c>
      <c r="CX185" s="1" t="s">
        <v>42</v>
      </c>
      <c r="CY185" s="1" t="s">
        <v>268</v>
      </c>
      <c r="DA185" s="1" t="s">
        <v>200</v>
      </c>
      <c r="DC185" s="1" t="s">
        <v>1399</v>
      </c>
      <c r="DD185" s="1" t="s">
        <v>518</v>
      </c>
      <c r="DE185" s="1" t="s">
        <v>273</v>
      </c>
      <c r="DF185" s="1" t="s">
        <v>219</v>
      </c>
      <c r="DH185" s="1" t="s">
        <v>365</v>
      </c>
      <c r="DI185" s="1" t="s">
        <v>308</v>
      </c>
      <c r="DJ185" s="1" t="s">
        <v>222</v>
      </c>
      <c r="DL185" s="1" t="s">
        <v>224</v>
      </c>
      <c r="DM185" s="1" t="s">
        <v>229</v>
      </c>
      <c r="DQ185" s="1" t="s">
        <v>228</v>
      </c>
      <c r="DR185" s="1" t="s">
        <v>229</v>
      </c>
      <c r="DS185" s="1" t="s">
        <v>401</v>
      </c>
      <c r="DV185" s="1" t="s">
        <v>449</v>
      </c>
      <c r="DW185" s="1" t="s">
        <v>279</v>
      </c>
      <c r="DX185" s="1" t="s">
        <v>234</v>
      </c>
      <c r="EA185" s="1" t="s">
        <v>683</v>
      </c>
      <c r="EC185" s="1" t="s">
        <v>311</v>
      </c>
      <c r="ED185" s="1" t="s">
        <v>555</v>
      </c>
      <c r="EG185" s="1" t="s">
        <v>449</v>
      </c>
      <c r="EL185" s="1" t="s">
        <v>798</v>
      </c>
      <c r="EM185" s="1" t="s">
        <v>206</v>
      </c>
      <c r="EN185" s="1" t="s">
        <v>207</v>
      </c>
      <c r="EQ185" s="1" t="s">
        <v>238</v>
      </c>
      <c r="EU185" s="1" t="s">
        <v>238</v>
      </c>
      <c r="EY185" s="1" t="s">
        <v>238</v>
      </c>
      <c r="FC185" s="1" t="s">
        <v>238</v>
      </c>
      <c r="FF185" s="1" t="s">
        <v>239</v>
      </c>
      <c r="FG185" s="1" t="s">
        <v>192</v>
      </c>
      <c r="FH185" s="1" t="s">
        <v>192</v>
      </c>
      <c r="FJ185" s="1" t="s">
        <v>1469</v>
      </c>
      <c r="FK185" s="1" t="s">
        <v>229</v>
      </c>
      <c r="FL185" s="1" t="s">
        <v>3282</v>
      </c>
      <c r="FM185" s="1">
        <v>18570.0</v>
      </c>
      <c r="FN185" s="1" t="s">
        <v>3283</v>
      </c>
      <c r="FO185" s="1" t="s">
        <v>3284</v>
      </c>
      <c r="FP185" s="1">
        <v>114993.0</v>
      </c>
      <c r="FQ185" s="1" t="s">
        <v>3285</v>
      </c>
      <c r="FR185" s="1">
        <v>128533.0</v>
      </c>
      <c r="FU185" s="1" t="s">
        <v>885</v>
      </c>
      <c r="FV185" s="1" t="s">
        <v>192</v>
      </c>
      <c r="FW185" s="1" t="s">
        <v>3286</v>
      </c>
      <c r="FX185" s="1" t="s">
        <v>246</v>
      </c>
      <c r="FZ185" s="1" t="s">
        <v>229</v>
      </c>
      <c r="GA185" s="1" t="s">
        <v>291</v>
      </c>
      <c r="GB185" s="2">
        <v>42009.0</v>
      </c>
      <c r="GC185" s="1" t="s">
        <v>3287</v>
      </c>
    </row>
    <row r="186">
      <c r="A186" s="1">
        <v>180000.0</v>
      </c>
      <c r="B186" s="1" t="s">
        <v>185</v>
      </c>
      <c r="C186" s="1" t="str">
        <f>"08767588"</f>
        <v>08767588</v>
      </c>
      <c r="D186" s="1" t="s">
        <v>186</v>
      </c>
      <c r="F186" s="1" t="str">
        <f>"8044"</f>
        <v>8044</v>
      </c>
      <c r="G186" s="2">
        <v>41946.0</v>
      </c>
      <c r="H186" s="1">
        <v>189500.0</v>
      </c>
      <c r="I186" s="1">
        <v>118.0</v>
      </c>
      <c r="J186" s="1">
        <v>187900.0</v>
      </c>
      <c r="K186" s="2">
        <v>41985.0</v>
      </c>
      <c r="L186" s="1">
        <v>40.0</v>
      </c>
      <c r="M186" s="2">
        <v>41985.0</v>
      </c>
      <c r="N186" s="1" t="s">
        <v>356</v>
      </c>
      <c r="O186" s="2">
        <v>42111.0</v>
      </c>
      <c r="P186" s="1">
        <v>878185.0</v>
      </c>
      <c r="Q186" s="1">
        <v>12293.0</v>
      </c>
      <c r="R186" s="1">
        <v>3.0</v>
      </c>
      <c r="S186" s="1">
        <v>644.0</v>
      </c>
      <c r="T186" s="1" t="s">
        <v>3288</v>
      </c>
      <c r="U186" s="1" t="s">
        <v>694</v>
      </c>
      <c r="V186" s="1" t="s">
        <v>190</v>
      </c>
      <c r="W186" s="1">
        <v>60619.0</v>
      </c>
      <c r="Y186" s="1" t="s">
        <v>3289</v>
      </c>
      <c r="Z186" s="1">
        <v>1925.0</v>
      </c>
      <c r="AA186" s="1" t="s">
        <v>192</v>
      </c>
      <c r="AB186" s="1" t="s">
        <v>193</v>
      </c>
      <c r="AC186" s="1" t="s">
        <v>3290</v>
      </c>
      <c r="AD186" s="1" t="s">
        <v>194</v>
      </c>
      <c r="AE186" s="1" t="s">
        <v>195</v>
      </c>
      <c r="AF186" s="1" t="s">
        <v>637</v>
      </c>
      <c r="AH186" s="1" t="s">
        <v>3291</v>
      </c>
      <c r="AI186" s="1">
        <v>0.111</v>
      </c>
      <c r="AK186" s="1">
        <v>7.0</v>
      </c>
      <c r="AL186" s="1">
        <v>4.0</v>
      </c>
      <c r="AM186" s="1">
        <v>3.0</v>
      </c>
      <c r="AN186" s="1">
        <v>0.0</v>
      </c>
      <c r="AO186" s="1" t="s">
        <v>198</v>
      </c>
      <c r="AP186" s="1">
        <v>0.0</v>
      </c>
      <c r="AQ186" s="1" t="s">
        <v>198</v>
      </c>
      <c r="AR186" s="1" t="s">
        <v>192</v>
      </c>
      <c r="AS186" s="1" t="s">
        <v>199</v>
      </c>
      <c r="AT186" s="1">
        <v>2.0</v>
      </c>
      <c r="AV186" s="1" t="s">
        <v>200</v>
      </c>
      <c r="AW186" s="1">
        <v>1659.31</v>
      </c>
      <c r="AX186" s="1">
        <v>2012.0</v>
      </c>
      <c r="AY186" s="1" t="s">
        <v>387</v>
      </c>
      <c r="AZ186" s="1" t="s">
        <v>200</v>
      </c>
      <c r="BA186" s="1" t="str">
        <f>"25032180360000"</f>
        <v>25032180360000</v>
      </c>
      <c r="BB186" s="1" t="s">
        <v>200</v>
      </c>
      <c r="BC186" s="1">
        <v>2000.0</v>
      </c>
      <c r="BD186" s="1">
        <v>180000.0</v>
      </c>
      <c r="BE186" s="2">
        <v>41946.0</v>
      </c>
      <c r="BF186" s="2" t="s">
        <v>3292</v>
      </c>
      <c r="BH186" s="1">
        <v>0.0</v>
      </c>
      <c r="BK186" s="1" t="s">
        <v>204</v>
      </c>
      <c r="BL186" s="1" t="str">
        <f t="shared" ref="BL186:BL188" si="124">"0"</f>
        <v>0</v>
      </c>
      <c r="BM186" s="1" t="str">
        <f>"842"</f>
        <v>842</v>
      </c>
      <c r="BN186" s="1">
        <v>0.0</v>
      </c>
      <c r="BO186" s="1">
        <v>8900.0</v>
      </c>
      <c r="BQ186" s="1">
        <v>299.0</v>
      </c>
      <c r="BR186" s="1">
        <v>299.0</v>
      </c>
      <c r="BS186" s="1">
        <v>299.0</v>
      </c>
      <c r="BU186" s="1" t="s">
        <v>1426</v>
      </c>
      <c r="BV186" s="1" t="s">
        <v>206</v>
      </c>
      <c r="BW186" s="1" t="s">
        <v>207</v>
      </c>
      <c r="BY186" s="1" t="s">
        <v>260</v>
      </c>
      <c r="BZ186" s="1" t="s">
        <v>209</v>
      </c>
      <c r="CA186" s="1" t="s">
        <v>207</v>
      </c>
      <c r="CC186" s="1" t="s">
        <v>363</v>
      </c>
      <c r="CD186" s="1" t="s">
        <v>206</v>
      </c>
      <c r="CE186" s="1" t="s">
        <v>207</v>
      </c>
      <c r="CG186" s="1" t="s">
        <v>544</v>
      </c>
      <c r="CH186" s="1" t="s">
        <v>209</v>
      </c>
      <c r="CI186" s="1" t="s">
        <v>207</v>
      </c>
      <c r="CK186" s="1" t="s">
        <v>1891</v>
      </c>
      <c r="CL186" s="1" t="s">
        <v>206</v>
      </c>
      <c r="CM186" s="1" t="s">
        <v>207</v>
      </c>
      <c r="CO186" s="1" t="s">
        <v>363</v>
      </c>
      <c r="CP186" s="1" t="s">
        <v>206</v>
      </c>
      <c r="CQ186" s="1" t="s">
        <v>207</v>
      </c>
      <c r="CS186" s="1" t="s">
        <v>454</v>
      </c>
      <c r="CT186" s="1" t="s">
        <v>206</v>
      </c>
      <c r="CU186" s="1" t="s">
        <v>268</v>
      </c>
      <c r="CX186" s="1" t="s">
        <v>204</v>
      </c>
      <c r="DA186" s="1" t="s">
        <v>200</v>
      </c>
      <c r="DC186" s="1" t="s">
        <v>785</v>
      </c>
      <c r="DD186" s="1" t="s">
        <v>396</v>
      </c>
      <c r="DE186" s="1" t="s">
        <v>273</v>
      </c>
      <c r="DF186" s="1" t="s">
        <v>219</v>
      </c>
      <c r="DG186" s="1" t="s">
        <v>2237</v>
      </c>
      <c r="DH186" s="1" t="s">
        <v>307</v>
      </c>
      <c r="DI186" s="1" t="s">
        <v>1141</v>
      </c>
      <c r="DJ186" s="1" t="s">
        <v>222</v>
      </c>
      <c r="DL186" s="1" t="s">
        <v>791</v>
      </c>
      <c r="DM186" s="1" t="s">
        <v>398</v>
      </c>
      <c r="DN186" s="1" t="s">
        <v>3293</v>
      </c>
      <c r="DO186" s="1" t="s">
        <v>549</v>
      </c>
      <c r="DP186" s="1" t="s">
        <v>340</v>
      </c>
      <c r="DQ186" s="1" t="s">
        <v>228</v>
      </c>
      <c r="DR186" s="1" t="s">
        <v>229</v>
      </c>
      <c r="DV186" s="1" t="s">
        <v>3294</v>
      </c>
      <c r="DW186" s="1" t="s">
        <v>279</v>
      </c>
      <c r="DX186" s="1" t="s">
        <v>234</v>
      </c>
      <c r="DY186" s="1" t="s">
        <v>3295</v>
      </c>
      <c r="DZ186" s="1" t="s">
        <v>405</v>
      </c>
      <c r="EA186" s="1" t="s">
        <v>644</v>
      </c>
      <c r="EC186" s="1" t="s">
        <v>237</v>
      </c>
      <c r="EE186" s="1" t="s">
        <v>1077</v>
      </c>
      <c r="EG186" s="1" t="s">
        <v>408</v>
      </c>
      <c r="EH186" s="1" t="s">
        <v>588</v>
      </c>
      <c r="EI186" s="1" t="s">
        <v>374</v>
      </c>
      <c r="EJ186" s="1" t="s">
        <v>2877</v>
      </c>
      <c r="EL186" s="1" t="s">
        <v>3296</v>
      </c>
      <c r="EM186" s="1" t="s">
        <v>206</v>
      </c>
      <c r="EN186" s="1" t="s">
        <v>207</v>
      </c>
      <c r="EP186" s="1" t="s">
        <v>3297</v>
      </c>
      <c r="EQ186" s="1" t="s">
        <v>209</v>
      </c>
      <c r="ER186" s="1" t="s">
        <v>207</v>
      </c>
      <c r="ET186" s="1" t="s">
        <v>1874</v>
      </c>
      <c r="EU186" s="1" t="s">
        <v>206</v>
      </c>
      <c r="EX186" s="1" t="s">
        <v>3298</v>
      </c>
      <c r="EY186" s="1" t="s">
        <v>206</v>
      </c>
      <c r="FC186" s="1" t="s">
        <v>238</v>
      </c>
      <c r="FF186" s="1" t="s">
        <v>239</v>
      </c>
      <c r="FG186" s="1" t="s">
        <v>192</v>
      </c>
      <c r="FH186" s="1" t="s">
        <v>192</v>
      </c>
      <c r="FJ186" s="1" t="s">
        <v>3299</v>
      </c>
      <c r="FK186" s="1" t="s">
        <v>229</v>
      </c>
      <c r="FL186" s="1" t="s">
        <v>1124</v>
      </c>
      <c r="FM186" s="1">
        <v>12293.0</v>
      </c>
      <c r="FN186" s="1" t="s">
        <v>3300</v>
      </c>
      <c r="FO186" s="1" t="s">
        <v>3301</v>
      </c>
      <c r="FP186" s="1">
        <v>189273.0</v>
      </c>
      <c r="FQ186" s="1" t="s">
        <v>3300</v>
      </c>
      <c r="FS186" s="1" t="s">
        <v>3302</v>
      </c>
      <c r="FU186" s="1" t="s">
        <v>1438</v>
      </c>
      <c r="FV186" s="1" t="s">
        <v>200</v>
      </c>
      <c r="FW186" s="1" t="s">
        <v>290</v>
      </c>
      <c r="FX186" s="1" t="s">
        <v>1739</v>
      </c>
      <c r="FZ186" s="1" t="s">
        <v>229</v>
      </c>
      <c r="GA186" s="1" t="s">
        <v>291</v>
      </c>
      <c r="GB186" s="2">
        <v>42114.0</v>
      </c>
      <c r="GC186" s="1" t="s">
        <v>3303</v>
      </c>
    </row>
    <row r="187">
      <c r="A187" s="1">
        <v>180000.0</v>
      </c>
      <c r="B187" s="1" t="s">
        <v>185</v>
      </c>
      <c r="C187" s="1" t="str">
        <f>"08765404"</f>
        <v>08765404</v>
      </c>
      <c r="D187" s="1" t="s">
        <v>186</v>
      </c>
      <c r="F187" s="1" t="str">
        <f>"8045"</f>
        <v>8045</v>
      </c>
      <c r="G187" s="2">
        <v>41942.0</v>
      </c>
      <c r="H187" s="1">
        <v>190000.0</v>
      </c>
      <c r="I187" s="1">
        <v>4.0</v>
      </c>
      <c r="J187" s="1">
        <v>190000.0</v>
      </c>
      <c r="K187" s="2">
        <v>41944.0</v>
      </c>
      <c r="L187" s="1">
        <v>4.0</v>
      </c>
      <c r="M187" s="2">
        <v>41944.0</v>
      </c>
      <c r="N187" s="1" t="s">
        <v>187</v>
      </c>
      <c r="O187" s="2">
        <v>42033.0</v>
      </c>
      <c r="P187" s="1">
        <v>181919.0</v>
      </c>
      <c r="Q187" s="1">
        <v>84627.0</v>
      </c>
      <c r="S187" s="1">
        <v>1739.0</v>
      </c>
      <c r="T187" s="1" t="s">
        <v>3304</v>
      </c>
      <c r="U187" s="1" t="s">
        <v>694</v>
      </c>
      <c r="V187" s="1" t="s">
        <v>190</v>
      </c>
      <c r="W187" s="1">
        <v>60617.0</v>
      </c>
      <c r="Y187" s="1" t="s">
        <v>3305</v>
      </c>
      <c r="Z187" s="1">
        <v>1945.0</v>
      </c>
      <c r="AA187" s="1" t="s">
        <v>192</v>
      </c>
      <c r="AB187" s="1" t="s">
        <v>193</v>
      </c>
      <c r="AD187" s="1" t="s">
        <v>194</v>
      </c>
      <c r="AE187" s="1" t="s">
        <v>195</v>
      </c>
      <c r="AF187" s="1" t="s">
        <v>637</v>
      </c>
      <c r="AH187" s="1" t="s">
        <v>1284</v>
      </c>
      <c r="AI187" s="1">
        <v>0.0861</v>
      </c>
      <c r="AK187" s="1">
        <v>8.0</v>
      </c>
      <c r="AL187" s="1">
        <v>4.0</v>
      </c>
      <c r="AM187" s="1">
        <v>3.0</v>
      </c>
      <c r="AN187" s="1">
        <v>1.0</v>
      </c>
      <c r="AO187" s="1" t="s">
        <v>229</v>
      </c>
      <c r="AQ187" s="1" t="s">
        <v>198</v>
      </c>
      <c r="AR187" s="1" t="s">
        <v>192</v>
      </c>
      <c r="AS187" s="1" t="s">
        <v>199</v>
      </c>
      <c r="AT187" s="1">
        <v>2.0</v>
      </c>
      <c r="AV187" s="1" t="s">
        <v>200</v>
      </c>
      <c r="AW187" s="1">
        <v>2588.72</v>
      </c>
      <c r="AX187" s="1">
        <v>2012.0</v>
      </c>
      <c r="AY187" s="1" t="s">
        <v>229</v>
      </c>
      <c r="AZ187" s="1" t="s">
        <v>200</v>
      </c>
      <c r="BA187" s="1" t="str">
        <f>"20363110130000"</f>
        <v>20363110130000</v>
      </c>
      <c r="BC187" s="1">
        <v>1303.0</v>
      </c>
      <c r="BD187" s="1">
        <v>180000.0</v>
      </c>
      <c r="BE187" s="2">
        <v>41941.0</v>
      </c>
      <c r="BF187" s="1" t="s">
        <v>3306</v>
      </c>
      <c r="BH187" s="1">
        <v>0.0</v>
      </c>
      <c r="BK187" s="1" t="s">
        <v>204</v>
      </c>
      <c r="BL187" s="1" t="str">
        <f t="shared" si="124"/>
        <v>0</v>
      </c>
      <c r="BM187" s="1" t="str">
        <f>"1700"</f>
        <v>1700</v>
      </c>
      <c r="BN187" s="1">
        <v>0.0</v>
      </c>
      <c r="BO187" s="1">
        <v>8400.0</v>
      </c>
      <c r="BQ187" s="1">
        <v>299.0</v>
      </c>
      <c r="BR187" s="1">
        <v>299.0</v>
      </c>
      <c r="BS187" s="1">
        <v>299.0</v>
      </c>
      <c r="BU187" s="1" t="s">
        <v>662</v>
      </c>
      <c r="BV187" s="1" t="s">
        <v>206</v>
      </c>
      <c r="BW187" s="1" t="s">
        <v>207</v>
      </c>
      <c r="BY187" s="1" t="s">
        <v>1329</v>
      </c>
      <c r="BZ187" s="1" t="s">
        <v>209</v>
      </c>
      <c r="CA187" s="1" t="s">
        <v>207</v>
      </c>
      <c r="CC187" s="1" t="s">
        <v>478</v>
      </c>
      <c r="CD187" s="1" t="s">
        <v>206</v>
      </c>
      <c r="CE187" s="1" t="s">
        <v>207</v>
      </c>
      <c r="CG187" s="1" t="s">
        <v>1352</v>
      </c>
      <c r="CH187" s="1" t="s">
        <v>209</v>
      </c>
      <c r="CI187" s="1" t="s">
        <v>207</v>
      </c>
      <c r="CK187" s="1" t="s">
        <v>663</v>
      </c>
      <c r="CL187" s="1" t="s">
        <v>209</v>
      </c>
      <c r="CM187" s="1" t="s">
        <v>210</v>
      </c>
      <c r="CO187" s="1" t="s">
        <v>1852</v>
      </c>
      <c r="CP187" s="1" t="s">
        <v>206</v>
      </c>
      <c r="CQ187" s="1" t="s">
        <v>207</v>
      </c>
      <c r="CS187" s="1" t="s">
        <v>663</v>
      </c>
      <c r="CT187" s="1" t="s">
        <v>206</v>
      </c>
      <c r="CU187" s="1" t="s">
        <v>268</v>
      </c>
      <c r="CW187" s="1" t="s">
        <v>3307</v>
      </c>
      <c r="CX187" s="1" t="s">
        <v>42</v>
      </c>
      <c r="CY187" s="1" t="s">
        <v>617</v>
      </c>
      <c r="DA187" s="1" t="s">
        <v>200</v>
      </c>
      <c r="DC187" s="1" t="s">
        <v>702</v>
      </c>
      <c r="DD187" s="1" t="s">
        <v>518</v>
      </c>
      <c r="DE187" s="1" t="s">
        <v>229</v>
      </c>
      <c r="DF187" s="1" t="s">
        <v>219</v>
      </c>
      <c r="DH187" s="1" t="s">
        <v>307</v>
      </c>
      <c r="DJ187" s="1" t="s">
        <v>1048</v>
      </c>
      <c r="DL187" s="1" t="s">
        <v>224</v>
      </c>
      <c r="DM187" s="1" t="s">
        <v>229</v>
      </c>
      <c r="DP187" s="1" t="s">
        <v>340</v>
      </c>
      <c r="DQ187" s="1" t="s">
        <v>228</v>
      </c>
      <c r="DR187" s="1" t="s">
        <v>229</v>
      </c>
      <c r="DS187" s="1" t="s">
        <v>230</v>
      </c>
      <c r="DV187" s="1" t="s">
        <v>232</v>
      </c>
      <c r="DW187" s="1" t="s">
        <v>279</v>
      </c>
      <c r="DX187" s="1" t="s">
        <v>234</v>
      </c>
      <c r="EA187" s="1" t="s">
        <v>3308</v>
      </c>
      <c r="EC187" s="1" t="s">
        <v>237</v>
      </c>
      <c r="EM187" s="1" t="s">
        <v>238</v>
      </c>
      <c r="EQ187" s="1" t="s">
        <v>238</v>
      </c>
      <c r="EU187" s="1" t="s">
        <v>238</v>
      </c>
      <c r="EY187" s="1" t="s">
        <v>238</v>
      </c>
      <c r="FC187" s="1" t="s">
        <v>238</v>
      </c>
      <c r="FF187" s="1" t="s">
        <v>229</v>
      </c>
      <c r="FG187" s="1" t="s">
        <v>200</v>
      </c>
      <c r="FH187" s="1" t="s">
        <v>200</v>
      </c>
      <c r="FJ187" s="1" t="s">
        <v>524</v>
      </c>
      <c r="FK187" s="1" t="s">
        <v>229</v>
      </c>
      <c r="FL187" s="1" t="s">
        <v>3309</v>
      </c>
      <c r="FM187" s="1">
        <v>84627.0</v>
      </c>
      <c r="FN187" s="1" t="s">
        <v>3310</v>
      </c>
      <c r="FO187" s="1" t="s">
        <v>3311</v>
      </c>
      <c r="FP187" s="1">
        <v>181919.0</v>
      </c>
      <c r="FQ187" s="1" t="s">
        <v>3312</v>
      </c>
      <c r="FU187" s="1" t="s">
        <v>3313</v>
      </c>
      <c r="FV187" s="1" t="s">
        <v>200</v>
      </c>
      <c r="FW187" s="1" t="s">
        <v>290</v>
      </c>
      <c r="FX187" s="1" t="s">
        <v>1739</v>
      </c>
      <c r="FZ187" s="1" t="s">
        <v>229</v>
      </c>
      <c r="GA187" s="1" t="s">
        <v>291</v>
      </c>
      <c r="GB187" s="2">
        <v>42058.0</v>
      </c>
    </row>
    <row r="188">
      <c r="A188" s="1">
        <v>140000.0</v>
      </c>
      <c r="B188" s="1" t="s">
        <v>185</v>
      </c>
      <c r="C188" s="1" t="str">
        <f>"08767123"</f>
        <v>08767123</v>
      </c>
      <c r="D188" s="1" t="s">
        <v>186</v>
      </c>
      <c r="F188" s="1" t="str">
        <f>"8062"</f>
        <v>8062</v>
      </c>
      <c r="G188" s="2">
        <v>41945.0</v>
      </c>
      <c r="H188" s="1">
        <v>136500.0</v>
      </c>
      <c r="I188" s="1">
        <v>145.0</v>
      </c>
      <c r="J188" s="1">
        <v>136500.0</v>
      </c>
      <c r="K188" s="2">
        <v>41997.0</v>
      </c>
      <c r="L188" s="1">
        <v>54.0</v>
      </c>
      <c r="M188" s="2">
        <v>41997.0</v>
      </c>
      <c r="N188" s="1" t="s">
        <v>1512</v>
      </c>
      <c r="O188" s="2">
        <v>42004.0</v>
      </c>
      <c r="P188" s="1">
        <v>180212.0</v>
      </c>
      <c r="Q188" s="1">
        <v>14856.0</v>
      </c>
      <c r="S188" s="1">
        <v>5531.0</v>
      </c>
      <c r="T188" s="1" t="s">
        <v>3314</v>
      </c>
      <c r="U188" s="1" t="s">
        <v>189</v>
      </c>
      <c r="V188" s="1" t="s">
        <v>190</v>
      </c>
      <c r="W188" s="1">
        <v>60629.0</v>
      </c>
      <c r="X188" s="1">
        <v>4826.0</v>
      </c>
      <c r="Y188" s="1" t="s">
        <v>3315</v>
      </c>
      <c r="Z188" s="1">
        <v>1946.0</v>
      </c>
      <c r="AA188" s="1" t="s">
        <v>192</v>
      </c>
      <c r="AB188" s="1" t="s">
        <v>193</v>
      </c>
      <c r="AD188" s="1" t="s">
        <v>194</v>
      </c>
      <c r="AE188" s="1" t="s">
        <v>195</v>
      </c>
      <c r="AF188" s="1" t="s">
        <v>659</v>
      </c>
      <c r="AH188" s="1" t="s">
        <v>3316</v>
      </c>
      <c r="AK188" s="1">
        <v>6.0</v>
      </c>
      <c r="AL188" s="1">
        <v>4.0</v>
      </c>
      <c r="AM188" s="1">
        <v>1.0</v>
      </c>
      <c r="AN188" s="1">
        <v>1.0</v>
      </c>
      <c r="AO188" s="1" t="s">
        <v>229</v>
      </c>
      <c r="AQ188" s="1" t="s">
        <v>198</v>
      </c>
      <c r="AR188" s="1" t="s">
        <v>200</v>
      </c>
      <c r="AS188" s="1" t="s">
        <v>199</v>
      </c>
      <c r="AT188" s="1">
        <v>2.0</v>
      </c>
      <c r="AV188" s="1" t="s">
        <v>200</v>
      </c>
      <c r="AW188" s="1">
        <v>2114.0</v>
      </c>
      <c r="AX188" s="1">
        <v>2013.0</v>
      </c>
      <c r="AZ188" s="1" t="s">
        <v>200</v>
      </c>
      <c r="BA188" s="1" t="str">
        <f>"19152040160000"</f>
        <v>19152040160000</v>
      </c>
      <c r="BC188" s="1">
        <v>873.0</v>
      </c>
      <c r="BD188" s="1">
        <v>140000.0</v>
      </c>
      <c r="BE188" s="2">
        <v>41944.0</v>
      </c>
      <c r="BF188" s="2" t="s">
        <v>3317</v>
      </c>
      <c r="BH188" s="1">
        <v>0.0</v>
      </c>
      <c r="BK188" s="1" t="s">
        <v>204</v>
      </c>
      <c r="BL188" s="1" t="str">
        <f t="shared" si="124"/>
        <v>0</v>
      </c>
      <c r="BM188" s="1" t="str">
        <f t="shared" ref="BM188:BM190" si="125">"0"</f>
        <v>0</v>
      </c>
      <c r="BN188" s="1">
        <v>4200.0</v>
      </c>
      <c r="BO188" s="1">
        <v>5531.0</v>
      </c>
      <c r="BQ188" s="1">
        <v>299.0</v>
      </c>
      <c r="BR188" s="1">
        <v>299.0</v>
      </c>
      <c r="BS188" s="1">
        <v>299.0</v>
      </c>
      <c r="BU188" s="1" t="s">
        <v>331</v>
      </c>
      <c r="BV188" s="1" t="s">
        <v>206</v>
      </c>
      <c r="BY188" s="1" t="s">
        <v>495</v>
      </c>
      <c r="BZ188" s="1" t="s">
        <v>206</v>
      </c>
      <c r="CD188" s="1" t="s">
        <v>204</v>
      </c>
      <c r="CG188" s="1" t="s">
        <v>495</v>
      </c>
      <c r="CH188" s="1" t="s">
        <v>206</v>
      </c>
      <c r="CK188" s="1" t="s">
        <v>332</v>
      </c>
      <c r="CL188" s="1" t="s">
        <v>209</v>
      </c>
      <c r="CO188" s="1" t="s">
        <v>329</v>
      </c>
      <c r="CP188" s="1" t="s">
        <v>209</v>
      </c>
      <c r="CS188" s="1" t="s">
        <v>3318</v>
      </c>
      <c r="CT188" s="1" t="s">
        <v>206</v>
      </c>
      <c r="CX188" s="1" t="s">
        <v>204</v>
      </c>
      <c r="DA188" s="1" t="s">
        <v>200</v>
      </c>
      <c r="DC188" s="1" t="s">
        <v>702</v>
      </c>
      <c r="DE188" s="1" t="s">
        <v>229</v>
      </c>
      <c r="DF188" s="1" t="s">
        <v>219</v>
      </c>
      <c r="DH188" s="1" t="s">
        <v>365</v>
      </c>
      <c r="DJ188" s="1" t="s">
        <v>222</v>
      </c>
      <c r="DK188" s="1" t="s">
        <v>224</v>
      </c>
      <c r="DL188" s="1" t="s">
        <v>224</v>
      </c>
      <c r="DM188" s="1" t="s">
        <v>229</v>
      </c>
      <c r="DQ188" s="1" t="s">
        <v>228</v>
      </c>
      <c r="DR188" s="1" t="s">
        <v>229</v>
      </c>
      <c r="DV188" s="1" t="s">
        <v>232</v>
      </c>
      <c r="DW188" s="1" t="s">
        <v>279</v>
      </c>
      <c r="DX188" s="1" t="s">
        <v>234</v>
      </c>
      <c r="DY188" s="1" t="s">
        <v>704</v>
      </c>
      <c r="DZ188" s="1" t="s">
        <v>405</v>
      </c>
      <c r="EA188" s="1" t="s">
        <v>1075</v>
      </c>
      <c r="EC188" s="1" t="s">
        <v>645</v>
      </c>
      <c r="EM188" s="1" t="s">
        <v>238</v>
      </c>
      <c r="EQ188" s="1" t="s">
        <v>238</v>
      </c>
      <c r="EU188" s="1" t="s">
        <v>238</v>
      </c>
      <c r="EY188" s="1" t="s">
        <v>238</v>
      </c>
      <c r="FC188" s="1" t="s">
        <v>238</v>
      </c>
      <c r="FF188" s="1" t="s">
        <v>239</v>
      </c>
      <c r="FG188" s="1" t="s">
        <v>192</v>
      </c>
      <c r="FH188" s="1" t="s">
        <v>192</v>
      </c>
      <c r="FJ188" s="1" t="s">
        <v>347</v>
      </c>
      <c r="FK188" s="1" t="s">
        <v>229</v>
      </c>
      <c r="FL188" s="1" t="s">
        <v>3319</v>
      </c>
      <c r="FM188" s="1">
        <v>15920.0</v>
      </c>
      <c r="FN188" s="1" t="s">
        <v>3320</v>
      </c>
      <c r="FO188" s="1" t="s">
        <v>3321</v>
      </c>
      <c r="FP188" s="1">
        <v>125398.0</v>
      </c>
      <c r="FQ188" s="1" t="s">
        <v>3320</v>
      </c>
      <c r="FU188" s="1" t="s">
        <v>353</v>
      </c>
      <c r="FV188" s="1" t="s">
        <v>200</v>
      </c>
      <c r="FW188" s="1" t="s">
        <v>354</v>
      </c>
      <c r="FX188" s="1" t="s">
        <v>655</v>
      </c>
      <c r="FZ188" s="1" t="s">
        <v>229</v>
      </c>
      <c r="GA188" s="1" t="s">
        <v>291</v>
      </c>
      <c r="GB188" s="2">
        <v>42004.0</v>
      </c>
      <c r="GC188" s="1" t="s">
        <v>3322</v>
      </c>
    </row>
    <row r="189">
      <c r="A189" s="1">
        <v>276000.0</v>
      </c>
      <c r="B189" s="1" t="s">
        <v>185</v>
      </c>
      <c r="C189" s="1" t="str">
        <f>"08768018"</f>
        <v>08768018</v>
      </c>
      <c r="D189" s="1" t="s">
        <v>186</v>
      </c>
      <c r="F189" s="1" t="str">
        <f t="shared" ref="F189:F190" si="126">"8017"</f>
        <v>8017</v>
      </c>
      <c r="G189" s="2">
        <v>41946.0</v>
      </c>
      <c r="H189" s="1">
        <v>295000.0</v>
      </c>
      <c r="I189" s="1">
        <v>37.0</v>
      </c>
      <c r="J189" s="1">
        <v>279900.0</v>
      </c>
      <c r="K189" s="2">
        <v>41982.0</v>
      </c>
      <c r="L189" s="1">
        <v>37.0</v>
      </c>
      <c r="M189" s="2">
        <v>41982.0</v>
      </c>
      <c r="N189" s="1" t="s">
        <v>187</v>
      </c>
      <c r="O189" s="2">
        <v>42027.0</v>
      </c>
      <c r="P189" s="1">
        <v>901591.0</v>
      </c>
      <c r="Q189" s="1">
        <v>90812.0</v>
      </c>
      <c r="R189" s="1">
        <v>3000.0</v>
      </c>
      <c r="S189" s="1">
        <v>6120.0</v>
      </c>
      <c r="T189" s="1" t="s">
        <v>3323</v>
      </c>
      <c r="U189" s="1" t="s">
        <v>320</v>
      </c>
      <c r="V189" s="1" t="s">
        <v>190</v>
      </c>
      <c r="W189" s="1">
        <v>60634.0</v>
      </c>
      <c r="Y189" s="1" t="s">
        <v>3324</v>
      </c>
      <c r="Z189" s="1">
        <v>1928.0</v>
      </c>
      <c r="AA189" s="1" t="s">
        <v>192</v>
      </c>
      <c r="AB189" s="1" t="s">
        <v>193</v>
      </c>
      <c r="AD189" s="1" t="s">
        <v>194</v>
      </c>
      <c r="AE189" s="1" t="s">
        <v>195</v>
      </c>
      <c r="AF189" s="1" t="s">
        <v>196</v>
      </c>
      <c r="AH189" s="1" t="s">
        <v>779</v>
      </c>
      <c r="AK189" s="1">
        <v>9.0</v>
      </c>
      <c r="AL189" s="1">
        <v>4.0</v>
      </c>
      <c r="AM189" s="1">
        <v>3.0</v>
      </c>
      <c r="AN189" s="1">
        <v>0.0</v>
      </c>
      <c r="AO189" s="1" t="s">
        <v>229</v>
      </c>
      <c r="AP189" s="1">
        <v>1.0</v>
      </c>
      <c r="AQ189" s="1" t="s">
        <v>198</v>
      </c>
      <c r="AR189" s="1" t="s">
        <v>192</v>
      </c>
      <c r="AS189" s="1" t="s">
        <v>199</v>
      </c>
      <c r="AT189" s="1">
        <v>2.0</v>
      </c>
      <c r="AV189" s="1" t="s">
        <v>200</v>
      </c>
      <c r="AW189" s="1">
        <v>3172.0</v>
      </c>
      <c r="AX189" s="1">
        <v>2012.0</v>
      </c>
      <c r="AY189" s="1" t="s">
        <v>387</v>
      </c>
      <c r="AZ189" s="1" t="s">
        <v>200</v>
      </c>
      <c r="BA189" s="1" t="str">
        <f>"13203220340000"</f>
        <v>13203220340000</v>
      </c>
      <c r="BC189" s="1">
        <v>0.0</v>
      </c>
      <c r="BD189" s="1">
        <v>276000.0</v>
      </c>
      <c r="BE189" s="2">
        <v>41946.0</v>
      </c>
      <c r="BF189" s="2" t="s">
        <v>3325</v>
      </c>
      <c r="BH189" s="1">
        <v>0.0</v>
      </c>
      <c r="BK189" s="1" t="s">
        <v>204</v>
      </c>
      <c r="BL189" s="1" t="str">
        <f t="shared" ref="BL189:BL190" si="127">"3300"</f>
        <v>3300</v>
      </c>
      <c r="BM189" s="1" t="str">
        <f t="shared" si="125"/>
        <v>0</v>
      </c>
      <c r="BN189" s="1">
        <v>6120.0</v>
      </c>
      <c r="BO189" s="1">
        <v>0.0</v>
      </c>
      <c r="BQ189" s="1">
        <v>299.0</v>
      </c>
      <c r="BR189" s="1">
        <v>299.0</v>
      </c>
      <c r="BS189" s="1">
        <v>299.0</v>
      </c>
      <c r="BU189" s="1" t="s">
        <v>924</v>
      </c>
      <c r="BV189" s="1" t="s">
        <v>206</v>
      </c>
      <c r="BW189" s="1" t="s">
        <v>207</v>
      </c>
      <c r="BX189" s="1" t="s">
        <v>431</v>
      </c>
      <c r="BY189" s="1" t="s">
        <v>495</v>
      </c>
      <c r="BZ189" s="1" t="s">
        <v>206</v>
      </c>
      <c r="CA189" s="1" t="s">
        <v>210</v>
      </c>
      <c r="CC189" s="1" t="s">
        <v>215</v>
      </c>
      <c r="CD189" s="1" t="s">
        <v>206</v>
      </c>
      <c r="CE189" s="1" t="s">
        <v>207</v>
      </c>
      <c r="CF189" s="1" t="s">
        <v>431</v>
      </c>
      <c r="CG189" s="1" t="s">
        <v>495</v>
      </c>
      <c r="CH189" s="1" t="s">
        <v>206</v>
      </c>
      <c r="CI189" s="1" t="s">
        <v>210</v>
      </c>
      <c r="CK189" s="1" t="s">
        <v>925</v>
      </c>
      <c r="CL189" s="1" t="s">
        <v>209</v>
      </c>
      <c r="CM189" s="1" t="s">
        <v>207</v>
      </c>
      <c r="CO189" s="1" t="s">
        <v>925</v>
      </c>
      <c r="CP189" s="1" t="s">
        <v>209</v>
      </c>
      <c r="CQ189" s="1" t="s">
        <v>207</v>
      </c>
      <c r="CS189" s="1" t="s">
        <v>212</v>
      </c>
      <c r="CT189" s="1" t="s">
        <v>206</v>
      </c>
      <c r="CU189" s="1" t="s">
        <v>207</v>
      </c>
      <c r="CV189" s="1" t="s">
        <v>431</v>
      </c>
      <c r="CX189" s="1" t="s">
        <v>204</v>
      </c>
      <c r="DA189" s="1" t="s">
        <v>200</v>
      </c>
      <c r="DC189" s="1" t="s">
        <v>785</v>
      </c>
      <c r="DE189" s="1" t="s">
        <v>273</v>
      </c>
      <c r="DF189" s="1" t="s">
        <v>219</v>
      </c>
      <c r="DH189" s="1" t="s">
        <v>365</v>
      </c>
      <c r="DI189" s="1" t="s">
        <v>703</v>
      </c>
      <c r="DJ189" s="1" t="s">
        <v>222</v>
      </c>
      <c r="DK189" s="1" t="s">
        <v>224</v>
      </c>
      <c r="DL189" s="1" t="s">
        <v>224</v>
      </c>
      <c r="DM189" s="1" t="s">
        <v>229</v>
      </c>
      <c r="DO189" s="1" t="s">
        <v>549</v>
      </c>
      <c r="DP189" s="1" t="s">
        <v>340</v>
      </c>
      <c r="DQ189" s="1" t="s">
        <v>228</v>
      </c>
      <c r="DR189" s="1" t="s">
        <v>229</v>
      </c>
      <c r="DS189" s="1" t="s">
        <v>230</v>
      </c>
      <c r="DU189" s="1" t="s">
        <v>681</v>
      </c>
      <c r="DV189" s="1" t="s">
        <v>3326</v>
      </c>
      <c r="DW189" s="1" t="s">
        <v>279</v>
      </c>
      <c r="DX189" s="1" t="s">
        <v>234</v>
      </c>
      <c r="DZ189" s="1" t="s">
        <v>282</v>
      </c>
      <c r="EA189" s="1" t="s">
        <v>644</v>
      </c>
      <c r="EB189" s="1" t="s">
        <v>797</v>
      </c>
      <c r="EC189" s="1" t="s">
        <v>645</v>
      </c>
      <c r="EG189" s="1" t="s">
        <v>598</v>
      </c>
      <c r="EH189" s="1" t="s">
        <v>374</v>
      </c>
      <c r="EI189" s="1" t="s">
        <v>450</v>
      </c>
      <c r="EJ189" s="1" t="s">
        <v>1270</v>
      </c>
      <c r="EL189" s="1" t="s">
        <v>940</v>
      </c>
      <c r="EM189" s="1" t="s">
        <v>206</v>
      </c>
      <c r="EN189" s="1" t="s">
        <v>210</v>
      </c>
      <c r="EP189" s="1" t="s">
        <v>1688</v>
      </c>
      <c r="EQ189" s="1" t="s">
        <v>206</v>
      </c>
      <c r="ER189" s="1" t="s">
        <v>588</v>
      </c>
      <c r="ET189" s="1" t="s">
        <v>2749</v>
      </c>
      <c r="EU189" s="1" t="s">
        <v>42</v>
      </c>
      <c r="EV189" s="1" t="s">
        <v>210</v>
      </c>
      <c r="EX189" s="1" t="s">
        <v>2508</v>
      </c>
      <c r="EY189" s="1" t="s">
        <v>42</v>
      </c>
      <c r="FC189" s="1" t="s">
        <v>238</v>
      </c>
      <c r="FF189" s="1" t="s">
        <v>239</v>
      </c>
      <c r="FG189" s="1" t="s">
        <v>192</v>
      </c>
      <c r="FH189" s="1" t="s">
        <v>192</v>
      </c>
      <c r="FJ189" s="1" t="s">
        <v>2285</v>
      </c>
      <c r="FK189" s="1" t="s">
        <v>229</v>
      </c>
      <c r="FL189" s="1" t="s">
        <v>1358</v>
      </c>
      <c r="FM189" s="1">
        <v>10272.0</v>
      </c>
      <c r="FN189" s="1" t="s">
        <v>3233</v>
      </c>
      <c r="FO189" s="1" t="s">
        <v>3327</v>
      </c>
      <c r="FP189" s="1">
        <v>103385.0</v>
      </c>
      <c r="FQ189" s="1" t="s">
        <v>3328</v>
      </c>
      <c r="FU189" s="1" t="s">
        <v>3329</v>
      </c>
      <c r="FV189" s="1" t="s">
        <v>200</v>
      </c>
      <c r="FW189" s="1" t="s">
        <v>530</v>
      </c>
      <c r="FX189" s="1" t="s">
        <v>246</v>
      </c>
      <c r="FZ189" s="1" t="s">
        <v>229</v>
      </c>
      <c r="GA189" s="1" t="s">
        <v>291</v>
      </c>
      <c r="GB189" s="2">
        <v>42027.0</v>
      </c>
    </row>
    <row r="190">
      <c r="A190" s="1">
        <v>220000.0</v>
      </c>
      <c r="B190" s="1" t="s">
        <v>185</v>
      </c>
      <c r="C190" s="1" t="str">
        <f>"08768406"</f>
        <v>08768406</v>
      </c>
      <c r="D190" s="1" t="s">
        <v>186</v>
      </c>
      <c r="F190" s="1" t="str">
        <f t="shared" si="126"/>
        <v>8017</v>
      </c>
      <c r="G190" s="2">
        <v>41947.0</v>
      </c>
      <c r="H190" s="1">
        <v>250000.0</v>
      </c>
      <c r="I190" s="1">
        <v>83.0</v>
      </c>
      <c r="J190" s="1">
        <v>250000.0</v>
      </c>
      <c r="K190" s="2">
        <v>41947.0</v>
      </c>
      <c r="L190" s="1">
        <v>1.0</v>
      </c>
      <c r="M190" s="2">
        <v>41947.0</v>
      </c>
      <c r="N190" s="1" t="s">
        <v>249</v>
      </c>
      <c r="O190" s="2">
        <v>41989.0</v>
      </c>
      <c r="P190" s="1">
        <v>103284.0</v>
      </c>
      <c r="Q190" s="1">
        <v>84157.0</v>
      </c>
      <c r="S190" s="1">
        <v>3315.0</v>
      </c>
      <c r="T190" s="1" t="s">
        <v>3330</v>
      </c>
      <c r="U190" s="1" t="s">
        <v>189</v>
      </c>
      <c r="V190" s="1" t="s">
        <v>190</v>
      </c>
      <c r="W190" s="1">
        <v>60634.0</v>
      </c>
      <c r="Y190" s="1" t="s">
        <v>3331</v>
      </c>
      <c r="Z190" s="1">
        <v>1928.0</v>
      </c>
      <c r="AA190" s="1" t="s">
        <v>192</v>
      </c>
      <c r="AB190" s="1" t="s">
        <v>193</v>
      </c>
      <c r="AD190" s="1" t="s">
        <v>194</v>
      </c>
      <c r="AE190" s="1" t="s">
        <v>195</v>
      </c>
      <c r="AF190" s="1" t="s">
        <v>196</v>
      </c>
      <c r="AH190" s="1">
        <v>4375.0</v>
      </c>
      <c r="AI190" s="1">
        <v>0.1004</v>
      </c>
      <c r="AK190" s="1">
        <v>7.0</v>
      </c>
      <c r="AL190" s="1">
        <v>4.0</v>
      </c>
      <c r="AM190" s="1">
        <v>2.0</v>
      </c>
      <c r="AN190" s="1">
        <v>1.0</v>
      </c>
      <c r="AO190" s="1" t="s">
        <v>229</v>
      </c>
      <c r="AQ190" s="1" t="s">
        <v>198</v>
      </c>
      <c r="AR190" s="1" t="s">
        <v>200</v>
      </c>
      <c r="AS190" s="1" t="s">
        <v>199</v>
      </c>
      <c r="AT190" s="1">
        <v>2.0</v>
      </c>
      <c r="AV190" s="1" t="s">
        <v>200</v>
      </c>
      <c r="AW190" s="1">
        <v>5600.0</v>
      </c>
      <c r="AX190" s="1">
        <v>2012.0</v>
      </c>
      <c r="AY190" s="1" t="s">
        <v>229</v>
      </c>
      <c r="AZ190" s="1" t="s">
        <v>200</v>
      </c>
      <c r="BA190" s="1" t="str">
        <f>"13194160130000"</f>
        <v>13194160130000</v>
      </c>
      <c r="BC190" s="1">
        <v>2089.0</v>
      </c>
      <c r="BD190" s="1">
        <v>220000.0</v>
      </c>
      <c r="BE190" s="2">
        <v>41947.0</v>
      </c>
      <c r="BF190" s="1" t="s">
        <v>3332</v>
      </c>
      <c r="BH190" s="1">
        <v>0.0</v>
      </c>
      <c r="BK190" s="1" t="s">
        <v>204</v>
      </c>
      <c r="BL190" s="1" t="str">
        <f t="shared" si="127"/>
        <v>3300</v>
      </c>
      <c r="BM190" s="1" t="str">
        <f t="shared" si="125"/>
        <v>0</v>
      </c>
      <c r="BN190" s="1">
        <v>6800.0</v>
      </c>
      <c r="BO190" s="1">
        <v>0.0</v>
      </c>
      <c r="BQ190" s="1">
        <v>299.0</v>
      </c>
      <c r="BR190" s="1">
        <v>299.0</v>
      </c>
      <c r="BS190" s="1">
        <v>299.0</v>
      </c>
      <c r="BU190" s="1" t="s">
        <v>432</v>
      </c>
      <c r="BV190" s="1" t="s">
        <v>206</v>
      </c>
      <c r="BY190" s="1" t="s">
        <v>3333</v>
      </c>
      <c r="BZ190" s="1" t="s">
        <v>209</v>
      </c>
      <c r="CC190" s="1" t="s">
        <v>830</v>
      </c>
      <c r="CD190" s="1" t="s">
        <v>206</v>
      </c>
      <c r="CG190" s="1" t="s">
        <v>392</v>
      </c>
      <c r="CH190" s="1" t="s">
        <v>206</v>
      </c>
      <c r="CK190" s="1" t="s">
        <v>212</v>
      </c>
      <c r="CL190" s="1" t="s">
        <v>206</v>
      </c>
      <c r="CO190" s="1" t="s">
        <v>1567</v>
      </c>
      <c r="CP190" s="1" t="s">
        <v>209</v>
      </c>
      <c r="CS190" s="1" t="s">
        <v>2460</v>
      </c>
      <c r="CT190" s="1" t="s">
        <v>206</v>
      </c>
      <c r="CX190" s="1" t="s">
        <v>204</v>
      </c>
      <c r="DA190" s="1" t="s">
        <v>200</v>
      </c>
      <c r="DC190" s="1" t="s">
        <v>785</v>
      </c>
      <c r="DE190" s="1" t="s">
        <v>273</v>
      </c>
      <c r="DF190" s="1" t="s">
        <v>619</v>
      </c>
      <c r="DH190" s="1" t="s">
        <v>365</v>
      </c>
      <c r="DJ190" s="1" t="s">
        <v>222</v>
      </c>
      <c r="DL190" s="1" t="s">
        <v>224</v>
      </c>
      <c r="DM190" s="1" t="s">
        <v>229</v>
      </c>
      <c r="DQ190" s="1" t="s">
        <v>228</v>
      </c>
      <c r="DR190" s="1" t="s">
        <v>229</v>
      </c>
      <c r="DV190" s="1" t="s">
        <v>232</v>
      </c>
      <c r="DW190" s="1" t="s">
        <v>279</v>
      </c>
      <c r="DX190" s="1" t="s">
        <v>234</v>
      </c>
      <c r="EC190" s="1" t="s">
        <v>645</v>
      </c>
      <c r="EM190" s="1" t="s">
        <v>238</v>
      </c>
      <c r="EQ190" s="1" t="s">
        <v>238</v>
      </c>
      <c r="EU190" s="1" t="s">
        <v>238</v>
      </c>
      <c r="EY190" s="1" t="s">
        <v>238</v>
      </c>
      <c r="FC190" s="1" t="s">
        <v>238</v>
      </c>
      <c r="FF190" s="1" t="s">
        <v>239</v>
      </c>
      <c r="FG190" s="1" t="s">
        <v>192</v>
      </c>
      <c r="FH190" s="1" t="s">
        <v>192</v>
      </c>
      <c r="FJ190" s="1" t="s">
        <v>3334</v>
      </c>
      <c r="FK190" s="1" t="s">
        <v>229</v>
      </c>
      <c r="FL190" s="1" t="s">
        <v>1997</v>
      </c>
      <c r="FM190" s="1">
        <v>84124.0</v>
      </c>
      <c r="FN190" s="1" t="s">
        <v>3335</v>
      </c>
      <c r="FO190" s="1" t="s">
        <v>3336</v>
      </c>
      <c r="FP190" s="1">
        <v>128723.0</v>
      </c>
      <c r="FQ190" s="1" t="s">
        <v>3337</v>
      </c>
      <c r="FU190" s="1" t="s">
        <v>3338</v>
      </c>
      <c r="FV190" s="1" t="s">
        <v>200</v>
      </c>
      <c r="FW190" s="1" t="s">
        <v>290</v>
      </c>
      <c r="FX190" s="1" t="s">
        <v>238</v>
      </c>
      <c r="FZ190" s="1" t="s">
        <v>229</v>
      </c>
      <c r="GA190" s="1" t="s">
        <v>291</v>
      </c>
      <c r="GB190" s="2">
        <v>41992.0</v>
      </c>
    </row>
    <row r="191">
      <c r="A191" s="1">
        <v>238000.0</v>
      </c>
      <c r="B191" s="1" t="s">
        <v>185</v>
      </c>
      <c r="C191" s="1" t="str">
        <f>"08767344"</f>
        <v>08767344</v>
      </c>
      <c r="D191" s="1" t="s">
        <v>186</v>
      </c>
      <c r="F191" s="1" t="str">
        <f t="shared" ref="F191:F192" si="129">"8070"</f>
        <v>8070</v>
      </c>
      <c r="G191" s="2">
        <v>41946.0</v>
      </c>
      <c r="H191" s="1">
        <v>249000.0</v>
      </c>
      <c r="I191" s="1">
        <v>115.0</v>
      </c>
      <c r="J191" s="1">
        <v>239900.0</v>
      </c>
      <c r="K191" s="2">
        <v>42060.0</v>
      </c>
      <c r="L191" s="1">
        <v>115.0</v>
      </c>
      <c r="M191" s="2">
        <v>42060.0</v>
      </c>
      <c r="N191" s="1" t="s">
        <v>356</v>
      </c>
      <c r="O191" s="2">
        <v>42118.0</v>
      </c>
      <c r="P191" s="1">
        <v>841065.0</v>
      </c>
      <c r="Q191" s="1">
        <v>85615.0</v>
      </c>
      <c r="R191" s="1">
        <v>7140.0</v>
      </c>
      <c r="S191" s="1">
        <v>8004.0</v>
      </c>
      <c r="T191" s="1" t="s">
        <v>3339</v>
      </c>
      <c r="U191" s="1" t="s">
        <v>189</v>
      </c>
      <c r="V191" s="1" t="s">
        <v>190</v>
      </c>
      <c r="W191" s="1">
        <v>60652.0</v>
      </c>
      <c r="Y191" s="1" t="s">
        <v>3340</v>
      </c>
      <c r="Z191" s="1">
        <v>1959.0</v>
      </c>
      <c r="AA191" s="1" t="s">
        <v>192</v>
      </c>
      <c r="AB191" s="1" t="s">
        <v>193</v>
      </c>
      <c r="AC191" s="1" t="s">
        <v>3341</v>
      </c>
      <c r="AD191" s="1" t="s">
        <v>194</v>
      </c>
      <c r="AE191" s="1" t="s">
        <v>195</v>
      </c>
      <c r="AF191" s="1" t="s">
        <v>659</v>
      </c>
      <c r="AG191" s="1" t="s">
        <v>778</v>
      </c>
      <c r="AH191" s="1" t="s">
        <v>3342</v>
      </c>
      <c r="AK191" s="1">
        <v>7.0</v>
      </c>
      <c r="AL191" s="1">
        <v>3.0</v>
      </c>
      <c r="AM191" s="1">
        <v>2.0</v>
      </c>
      <c r="AN191" s="1">
        <v>0.0</v>
      </c>
      <c r="AO191" s="1" t="s">
        <v>229</v>
      </c>
      <c r="AQ191" s="1" t="s">
        <v>198</v>
      </c>
      <c r="AR191" s="1" t="s">
        <v>192</v>
      </c>
      <c r="AS191" s="1" t="s">
        <v>199</v>
      </c>
      <c r="AT191" s="1">
        <v>2.5</v>
      </c>
      <c r="AV191" s="1" t="s">
        <v>200</v>
      </c>
      <c r="AW191" s="1">
        <v>806.02</v>
      </c>
      <c r="AX191" s="1">
        <v>2013.0</v>
      </c>
      <c r="AY191" s="1" t="s">
        <v>1917</v>
      </c>
      <c r="AZ191" s="1" t="s">
        <v>200</v>
      </c>
      <c r="BA191" s="1" t="str">
        <f>"19342060950000"</f>
        <v>19342060950000</v>
      </c>
      <c r="BB191" s="1" t="s">
        <v>200</v>
      </c>
      <c r="BC191" s="1">
        <v>1121.0</v>
      </c>
      <c r="BD191" s="1">
        <v>238000.0</v>
      </c>
      <c r="BE191" s="2">
        <v>41946.0</v>
      </c>
      <c r="BF191" s="2" t="s">
        <v>3343</v>
      </c>
      <c r="BH191" s="1">
        <v>0.0</v>
      </c>
      <c r="BK191" s="1" t="s">
        <v>204</v>
      </c>
      <c r="BL191" s="1" t="str">
        <f t="shared" ref="BL191:BM191" si="128">"0"</f>
        <v>0</v>
      </c>
      <c r="BM191" s="1" t="str">
        <f t="shared" si="128"/>
        <v>0</v>
      </c>
      <c r="BN191" s="1">
        <v>4200.0</v>
      </c>
      <c r="BO191" s="1">
        <v>8004.0</v>
      </c>
      <c r="BQ191" s="1">
        <v>299.0</v>
      </c>
      <c r="BR191" s="1">
        <v>299.0</v>
      </c>
      <c r="BS191" s="1">
        <v>299.0</v>
      </c>
      <c r="BU191" s="1" t="s">
        <v>205</v>
      </c>
      <c r="BV191" s="1" t="s">
        <v>206</v>
      </c>
      <c r="BW191" s="1" t="s">
        <v>207</v>
      </c>
      <c r="BX191" s="1" t="s">
        <v>431</v>
      </c>
      <c r="BY191" s="1" t="s">
        <v>699</v>
      </c>
      <c r="BZ191" s="1" t="s">
        <v>206</v>
      </c>
      <c r="CA191" s="1" t="s">
        <v>207</v>
      </c>
      <c r="CB191" s="1" t="s">
        <v>431</v>
      </c>
      <c r="CD191" s="1" t="s">
        <v>204</v>
      </c>
      <c r="CG191" s="1" t="s">
        <v>264</v>
      </c>
      <c r="CH191" s="1" t="s">
        <v>206</v>
      </c>
      <c r="CI191" s="1" t="s">
        <v>207</v>
      </c>
      <c r="CJ191" s="1" t="s">
        <v>431</v>
      </c>
      <c r="CK191" s="1" t="s">
        <v>264</v>
      </c>
      <c r="CL191" s="1" t="s">
        <v>206</v>
      </c>
      <c r="CM191" s="1" t="s">
        <v>207</v>
      </c>
      <c r="CN191" s="1" t="s">
        <v>431</v>
      </c>
      <c r="CO191" s="1" t="s">
        <v>264</v>
      </c>
      <c r="CP191" s="1" t="s">
        <v>42</v>
      </c>
      <c r="CQ191" s="1" t="s">
        <v>268</v>
      </c>
      <c r="CR191" s="1" t="s">
        <v>229</v>
      </c>
      <c r="CS191" s="1" t="s">
        <v>700</v>
      </c>
      <c r="CT191" s="1" t="s">
        <v>206</v>
      </c>
      <c r="CU191" s="1" t="s">
        <v>268</v>
      </c>
      <c r="CV191" s="1" t="s">
        <v>431</v>
      </c>
      <c r="CW191" s="1" t="s">
        <v>3344</v>
      </c>
      <c r="CX191" s="1" t="s">
        <v>42</v>
      </c>
      <c r="CY191" s="1" t="s">
        <v>268</v>
      </c>
      <c r="CZ191" s="1" t="s">
        <v>229</v>
      </c>
      <c r="DA191" s="1" t="s">
        <v>200</v>
      </c>
      <c r="DC191" s="1" t="s">
        <v>271</v>
      </c>
      <c r="DD191" s="1" t="s">
        <v>518</v>
      </c>
      <c r="DE191" s="1" t="s">
        <v>273</v>
      </c>
      <c r="DF191" s="1" t="s">
        <v>619</v>
      </c>
      <c r="DG191" s="1" t="s">
        <v>337</v>
      </c>
      <c r="DH191" s="1" t="s">
        <v>365</v>
      </c>
      <c r="DI191" s="1" t="s">
        <v>366</v>
      </c>
      <c r="DJ191" s="1" t="s">
        <v>3345</v>
      </c>
      <c r="DL191" s="1" t="s">
        <v>224</v>
      </c>
      <c r="DM191" s="1" t="s">
        <v>225</v>
      </c>
      <c r="DO191" s="1" t="s">
        <v>549</v>
      </c>
      <c r="DQ191" s="1" t="s">
        <v>228</v>
      </c>
      <c r="DR191" s="1" t="s">
        <v>229</v>
      </c>
      <c r="DS191" s="1" t="s">
        <v>401</v>
      </c>
      <c r="DU191" s="1" t="s">
        <v>1049</v>
      </c>
      <c r="DV191" s="1" t="s">
        <v>2971</v>
      </c>
      <c r="DW191" s="1" t="s">
        <v>279</v>
      </c>
      <c r="DX191" s="1" t="s">
        <v>234</v>
      </c>
      <c r="DY191" s="1" t="s">
        <v>3346</v>
      </c>
      <c r="DZ191" s="1" t="s">
        <v>282</v>
      </c>
      <c r="EA191" s="1" t="s">
        <v>644</v>
      </c>
      <c r="EC191" s="1" t="s">
        <v>685</v>
      </c>
      <c r="ED191" s="1" t="s">
        <v>555</v>
      </c>
      <c r="EE191" s="1" t="s">
        <v>187</v>
      </c>
      <c r="EG191" s="1" t="s">
        <v>2971</v>
      </c>
      <c r="EL191" s="1" t="s">
        <v>269</v>
      </c>
      <c r="EM191" s="1" t="s">
        <v>42</v>
      </c>
      <c r="EN191" s="1" t="s">
        <v>268</v>
      </c>
      <c r="EO191" s="1" t="s">
        <v>229</v>
      </c>
      <c r="EQ191" s="1" t="s">
        <v>238</v>
      </c>
      <c r="EU191" s="1" t="s">
        <v>238</v>
      </c>
      <c r="EY191" s="1" t="s">
        <v>238</v>
      </c>
      <c r="FC191" s="1" t="s">
        <v>238</v>
      </c>
      <c r="FF191" s="1" t="s">
        <v>239</v>
      </c>
      <c r="FG191" s="1" t="s">
        <v>192</v>
      </c>
      <c r="FH191" s="1" t="s">
        <v>192</v>
      </c>
      <c r="FJ191" s="1" t="s">
        <v>524</v>
      </c>
      <c r="FK191" s="1" t="s">
        <v>229</v>
      </c>
      <c r="FL191" s="1" t="s">
        <v>2037</v>
      </c>
      <c r="FM191" s="1">
        <v>60321.0</v>
      </c>
      <c r="FN191" s="1" t="s">
        <v>2038</v>
      </c>
      <c r="FO191" s="1" t="s">
        <v>3347</v>
      </c>
      <c r="FP191" s="1">
        <v>601501.0</v>
      </c>
      <c r="FQ191" s="1" t="s">
        <v>3348</v>
      </c>
      <c r="FS191" s="1" t="s">
        <v>3349</v>
      </c>
      <c r="FU191" s="1" t="s">
        <v>3350</v>
      </c>
      <c r="FV191" s="1" t="s">
        <v>200</v>
      </c>
      <c r="FW191" s="1" t="s">
        <v>567</v>
      </c>
      <c r="FX191" s="1" t="s">
        <v>655</v>
      </c>
      <c r="FZ191" s="1" t="s">
        <v>229</v>
      </c>
      <c r="GA191" s="1" t="s">
        <v>291</v>
      </c>
      <c r="GB191" s="2">
        <v>42118.0</v>
      </c>
    </row>
    <row r="192">
      <c r="A192" s="1">
        <v>146000.0</v>
      </c>
      <c r="B192" s="1" t="s">
        <v>185</v>
      </c>
      <c r="C192" s="1" t="str">
        <f>"08769276"</f>
        <v>08769276</v>
      </c>
      <c r="D192" s="1" t="s">
        <v>186</v>
      </c>
      <c r="F192" s="1" t="str">
        <f t="shared" si="129"/>
        <v>8070</v>
      </c>
      <c r="G192" s="2">
        <v>41948.0</v>
      </c>
      <c r="H192" s="1">
        <v>174900.0</v>
      </c>
      <c r="I192" s="1">
        <v>42.0</v>
      </c>
      <c r="J192" s="1">
        <v>169900.0</v>
      </c>
      <c r="K192" s="2">
        <v>41988.0</v>
      </c>
      <c r="L192" s="1">
        <v>42.0</v>
      </c>
      <c r="M192" s="2">
        <v>41988.0</v>
      </c>
      <c r="N192" s="1" t="s">
        <v>249</v>
      </c>
      <c r="O192" s="2">
        <v>41996.0</v>
      </c>
      <c r="P192" s="1">
        <v>117039.0</v>
      </c>
      <c r="Q192" s="1">
        <v>85885.0</v>
      </c>
      <c r="S192" s="1">
        <v>3840.0</v>
      </c>
      <c r="T192" s="1" t="s">
        <v>3351</v>
      </c>
      <c r="U192" s="1" t="s">
        <v>320</v>
      </c>
      <c r="V192" s="1" t="s">
        <v>190</v>
      </c>
      <c r="W192" s="1">
        <v>60652.0</v>
      </c>
      <c r="Y192" s="1" t="s">
        <v>3352</v>
      </c>
      <c r="Z192" s="1">
        <v>1959.0</v>
      </c>
      <c r="AA192" s="1" t="s">
        <v>192</v>
      </c>
      <c r="AB192" s="1" t="s">
        <v>193</v>
      </c>
      <c r="AD192" s="1" t="s">
        <v>194</v>
      </c>
      <c r="AE192" s="1" t="s">
        <v>195</v>
      </c>
      <c r="AF192" s="1" t="s">
        <v>659</v>
      </c>
      <c r="AH192" s="1" t="s">
        <v>3353</v>
      </c>
      <c r="AI192" s="1">
        <v>0.0723</v>
      </c>
      <c r="AK192" s="1">
        <v>8.0</v>
      </c>
      <c r="AL192" s="1">
        <v>3.0</v>
      </c>
      <c r="AM192" s="1">
        <v>2.0</v>
      </c>
      <c r="AN192" s="1">
        <v>0.0</v>
      </c>
      <c r="AO192" s="1" t="s">
        <v>229</v>
      </c>
      <c r="AQ192" s="1" t="s">
        <v>198</v>
      </c>
      <c r="AR192" s="1" t="s">
        <v>192</v>
      </c>
      <c r="AS192" s="1" t="s">
        <v>199</v>
      </c>
      <c r="AT192" s="1">
        <v>2.0</v>
      </c>
      <c r="AV192" s="1" t="s">
        <v>200</v>
      </c>
      <c r="AW192" s="4">
        <v>2300.78</v>
      </c>
      <c r="AX192" s="1">
        <v>2013.0</v>
      </c>
      <c r="AY192" s="1" t="s">
        <v>229</v>
      </c>
      <c r="AZ192" s="1" t="s">
        <v>200</v>
      </c>
      <c r="BA192" s="1" t="str">
        <f>"19353160500000"</f>
        <v>19353160500000</v>
      </c>
      <c r="BC192" s="1">
        <v>1600.0</v>
      </c>
      <c r="BD192" s="1">
        <v>146000.0</v>
      </c>
      <c r="BE192" s="2">
        <v>41947.0</v>
      </c>
      <c r="BF192" s="1" t="s">
        <v>3354</v>
      </c>
      <c r="BH192" s="1">
        <v>0.0</v>
      </c>
      <c r="BK192" s="1" t="s">
        <v>204</v>
      </c>
      <c r="BL192" s="1" t="str">
        <f t="shared" ref="BL192:BM192" si="130">"0"</f>
        <v>0</v>
      </c>
      <c r="BM192" s="1" t="str">
        <f t="shared" si="130"/>
        <v>0</v>
      </c>
      <c r="BN192" s="1">
        <v>3840.0</v>
      </c>
      <c r="BO192" s="1">
        <v>8500.0</v>
      </c>
      <c r="BQ192" s="1">
        <v>299.0</v>
      </c>
      <c r="BR192" s="1">
        <v>299.0</v>
      </c>
      <c r="BS192" s="1">
        <v>299.0</v>
      </c>
      <c r="BU192" s="1" t="s">
        <v>1426</v>
      </c>
      <c r="BV192" s="1" t="s">
        <v>206</v>
      </c>
      <c r="BW192" s="1" t="s">
        <v>207</v>
      </c>
      <c r="BY192" s="1" t="s">
        <v>647</v>
      </c>
      <c r="BZ192" s="1" t="s">
        <v>206</v>
      </c>
      <c r="CA192" s="1" t="s">
        <v>207</v>
      </c>
      <c r="CC192" s="1" t="s">
        <v>542</v>
      </c>
      <c r="CD192" s="1" t="s">
        <v>206</v>
      </c>
      <c r="CG192" s="1" t="s">
        <v>1352</v>
      </c>
      <c r="CH192" s="1" t="s">
        <v>206</v>
      </c>
      <c r="CI192" s="1" t="s">
        <v>207</v>
      </c>
      <c r="CK192" s="1" t="s">
        <v>269</v>
      </c>
      <c r="CL192" s="1" t="s">
        <v>206</v>
      </c>
      <c r="CM192" s="1" t="s">
        <v>207</v>
      </c>
      <c r="CO192" s="1" t="s">
        <v>262</v>
      </c>
      <c r="CP192" s="1" t="s">
        <v>42</v>
      </c>
      <c r="CQ192" s="1" t="s">
        <v>588</v>
      </c>
      <c r="CS192" s="1" t="s">
        <v>3355</v>
      </c>
      <c r="CT192" s="1" t="s">
        <v>206</v>
      </c>
      <c r="CU192" s="1" t="s">
        <v>268</v>
      </c>
      <c r="CW192" s="1" t="s">
        <v>3356</v>
      </c>
      <c r="CX192" s="1" t="s">
        <v>42</v>
      </c>
      <c r="CY192" s="1" t="s">
        <v>588</v>
      </c>
      <c r="DA192" s="1" t="s">
        <v>200</v>
      </c>
      <c r="DC192" s="1" t="s">
        <v>271</v>
      </c>
      <c r="DE192" s="1" t="s">
        <v>229</v>
      </c>
      <c r="DF192" s="1" t="s">
        <v>905</v>
      </c>
      <c r="DH192" s="1" t="s">
        <v>307</v>
      </c>
      <c r="DJ192" s="1" t="s">
        <v>222</v>
      </c>
      <c r="DL192" s="1" t="s">
        <v>224</v>
      </c>
      <c r="DM192" s="1" t="s">
        <v>229</v>
      </c>
      <c r="DQ192" s="1" t="s">
        <v>228</v>
      </c>
      <c r="DR192" s="1" t="s">
        <v>229</v>
      </c>
      <c r="DV192" s="1" t="s">
        <v>232</v>
      </c>
      <c r="DW192" s="1" t="s">
        <v>279</v>
      </c>
      <c r="DX192" s="1" t="s">
        <v>234</v>
      </c>
      <c r="EA192" s="1" t="s">
        <v>683</v>
      </c>
      <c r="EC192" s="1" t="s">
        <v>685</v>
      </c>
      <c r="EM192" s="1" t="s">
        <v>238</v>
      </c>
      <c r="EQ192" s="1" t="s">
        <v>238</v>
      </c>
      <c r="EU192" s="1" t="s">
        <v>238</v>
      </c>
      <c r="EY192" s="1" t="s">
        <v>238</v>
      </c>
      <c r="FC192" s="1" t="s">
        <v>238</v>
      </c>
      <c r="FF192" s="1" t="s">
        <v>239</v>
      </c>
      <c r="FG192" s="1" t="s">
        <v>192</v>
      </c>
      <c r="FH192" s="1" t="s">
        <v>192</v>
      </c>
      <c r="FJ192" s="1" t="s">
        <v>3357</v>
      </c>
      <c r="FK192" s="1" t="s">
        <v>229</v>
      </c>
      <c r="FL192" s="1" t="s">
        <v>3358</v>
      </c>
      <c r="FM192" s="1">
        <v>84818.0</v>
      </c>
      <c r="FN192" s="1" t="s">
        <v>3359</v>
      </c>
      <c r="FO192" s="1" t="s">
        <v>3360</v>
      </c>
      <c r="FP192" s="1">
        <v>161998.0</v>
      </c>
      <c r="FU192" s="1" t="s">
        <v>3361</v>
      </c>
      <c r="FV192" s="1" t="s">
        <v>200</v>
      </c>
      <c r="FW192" s="1" t="s">
        <v>290</v>
      </c>
      <c r="FX192" s="1" t="s">
        <v>246</v>
      </c>
      <c r="FZ192" s="1" t="s">
        <v>229</v>
      </c>
      <c r="GA192" s="1" t="s">
        <v>291</v>
      </c>
      <c r="GB192" s="2">
        <v>41999.0</v>
      </c>
      <c r="GC192" s="1" t="s">
        <v>3362</v>
      </c>
    </row>
    <row r="193">
      <c r="A193" s="1">
        <v>40000.0</v>
      </c>
      <c r="B193" s="1" t="s">
        <v>185</v>
      </c>
      <c r="C193" s="1" t="str">
        <f>"08768456"</f>
        <v>08768456</v>
      </c>
      <c r="D193" s="1" t="s">
        <v>186</v>
      </c>
      <c r="F193" s="1" t="str">
        <f>"545"</f>
        <v>545</v>
      </c>
      <c r="G193" s="2">
        <v>41947.0</v>
      </c>
      <c r="H193" s="1">
        <v>85000.0</v>
      </c>
      <c r="I193" s="1">
        <v>121.0</v>
      </c>
      <c r="J193" s="1">
        <v>62500.0</v>
      </c>
      <c r="K193" s="2">
        <v>42067.0</v>
      </c>
      <c r="L193" s="1">
        <v>121.0</v>
      </c>
      <c r="M193" s="2">
        <v>42067.0</v>
      </c>
      <c r="N193" s="1" t="s">
        <v>249</v>
      </c>
      <c r="O193" s="2">
        <v>42095.0</v>
      </c>
      <c r="P193" s="1">
        <v>256444.0</v>
      </c>
      <c r="Q193" s="1">
        <v>23222.0</v>
      </c>
      <c r="S193" s="1">
        <v>15.0</v>
      </c>
      <c r="T193" s="1" t="s">
        <v>3363</v>
      </c>
      <c r="U193" s="1" t="s">
        <v>320</v>
      </c>
      <c r="V193" s="1" t="s">
        <v>3364</v>
      </c>
      <c r="W193" s="1">
        <v>60545.0</v>
      </c>
      <c r="Y193" s="1" t="s">
        <v>3365</v>
      </c>
      <c r="Z193" s="1">
        <v>1870.0</v>
      </c>
      <c r="AA193" s="1" t="s">
        <v>192</v>
      </c>
      <c r="AB193" s="1" t="s">
        <v>193</v>
      </c>
      <c r="AD193" s="1" t="s">
        <v>3366</v>
      </c>
      <c r="AE193" s="1" t="s">
        <v>849</v>
      </c>
      <c r="AF193" s="1" t="s">
        <v>3367</v>
      </c>
      <c r="AH193" s="1" t="s">
        <v>3368</v>
      </c>
      <c r="AI193" s="1">
        <v>0.4</v>
      </c>
      <c r="AK193" s="1">
        <v>7.0</v>
      </c>
      <c r="AL193" s="1">
        <v>4.0</v>
      </c>
      <c r="AM193" s="1">
        <v>1.0</v>
      </c>
      <c r="AN193" s="1">
        <v>0.0</v>
      </c>
      <c r="AO193" s="1" t="s">
        <v>229</v>
      </c>
      <c r="AQ193" s="1" t="s">
        <v>1314</v>
      </c>
      <c r="AR193" s="1" t="s">
        <v>200</v>
      </c>
      <c r="AS193" s="1" t="s">
        <v>199</v>
      </c>
      <c r="AT193" s="1">
        <v>1.0</v>
      </c>
      <c r="AV193" s="1" t="s">
        <v>200</v>
      </c>
      <c r="AW193" s="1">
        <v>2142.0</v>
      </c>
      <c r="AX193" s="1">
        <v>2013.0</v>
      </c>
      <c r="AY193" s="1" t="s">
        <v>3108</v>
      </c>
      <c r="AZ193" s="1" t="s">
        <v>200</v>
      </c>
      <c r="BA193" s="1" t="str">
        <f>"0122353013"</f>
        <v>0122353013</v>
      </c>
      <c r="BB193" s="1" t="s">
        <v>200</v>
      </c>
      <c r="BC193" s="1">
        <v>1800.0</v>
      </c>
      <c r="BD193" s="1">
        <v>40000.0</v>
      </c>
      <c r="BE193" s="2">
        <v>41947.0</v>
      </c>
      <c r="BF193" s="1" t="s">
        <v>3369</v>
      </c>
      <c r="BG193" s="1" t="s">
        <v>3370</v>
      </c>
      <c r="BH193" s="1">
        <v>0.0</v>
      </c>
      <c r="BI193" s="1" t="s">
        <v>3371</v>
      </c>
      <c r="BJ193" s="1" t="s">
        <v>3372</v>
      </c>
      <c r="BK193" s="1" t="s">
        <v>204</v>
      </c>
      <c r="BL193" s="1" t="str">
        <f t="shared" ref="BL193:BM193" si="131">"0"</f>
        <v>0</v>
      </c>
      <c r="BM193" s="1" t="str">
        <f t="shared" si="131"/>
        <v>0</v>
      </c>
      <c r="BN193" s="1">
        <v>0.0</v>
      </c>
      <c r="BO193" s="1">
        <v>0.0</v>
      </c>
      <c r="BQ193" s="1">
        <v>88.0</v>
      </c>
      <c r="BR193" s="1">
        <v>88.0</v>
      </c>
      <c r="BS193" s="1">
        <v>88.0</v>
      </c>
      <c r="BU193" s="1" t="s">
        <v>211</v>
      </c>
      <c r="BV193" s="1" t="s">
        <v>206</v>
      </c>
      <c r="BY193" s="1" t="s">
        <v>798</v>
      </c>
      <c r="BZ193" s="1" t="s">
        <v>206</v>
      </c>
      <c r="CC193" s="1" t="s">
        <v>361</v>
      </c>
      <c r="CD193" s="1" t="s">
        <v>206</v>
      </c>
      <c r="CG193" s="1" t="s">
        <v>647</v>
      </c>
      <c r="CH193" s="1" t="s">
        <v>209</v>
      </c>
      <c r="CK193" s="1" t="s">
        <v>1229</v>
      </c>
      <c r="CL193" s="1" t="s">
        <v>209</v>
      </c>
      <c r="CO193" s="1" t="s">
        <v>433</v>
      </c>
      <c r="CP193" s="1" t="s">
        <v>209</v>
      </c>
      <c r="CS193" s="1" t="s">
        <v>647</v>
      </c>
      <c r="CT193" s="1" t="s">
        <v>206</v>
      </c>
      <c r="CX193" s="1" t="s">
        <v>204</v>
      </c>
      <c r="DA193" s="1" t="s">
        <v>200</v>
      </c>
      <c r="DC193" s="1" t="s">
        <v>642</v>
      </c>
      <c r="DE193" s="1" t="s">
        <v>273</v>
      </c>
      <c r="DF193" s="1" t="s">
        <v>219</v>
      </c>
      <c r="DG193" s="1" t="s">
        <v>274</v>
      </c>
      <c r="DH193" s="1" t="s">
        <v>220</v>
      </c>
      <c r="DJ193" s="1" t="s">
        <v>222</v>
      </c>
      <c r="DL193" s="1" t="s">
        <v>223</v>
      </c>
      <c r="DM193" s="1" t="s">
        <v>229</v>
      </c>
      <c r="DQ193" s="1" t="s">
        <v>441</v>
      </c>
      <c r="DR193" s="1" t="s">
        <v>229</v>
      </c>
      <c r="DS193" s="1" t="s">
        <v>230</v>
      </c>
      <c r="DU193" s="1" t="s">
        <v>2070</v>
      </c>
      <c r="DV193" s="1" t="s">
        <v>3373</v>
      </c>
      <c r="DW193" s="1" t="s">
        <v>667</v>
      </c>
      <c r="DX193" s="1" t="s">
        <v>234</v>
      </c>
      <c r="DY193" s="1" t="s">
        <v>3183</v>
      </c>
      <c r="DZ193" s="1" t="s">
        <v>3374</v>
      </c>
      <c r="EA193" s="1" t="s">
        <v>344</v>
      </c>
      <c r="EC193" s="1" t="s">
        <v>237</v>
      </c>
      <c r="EE193" s="1" t="s">
        <v>187</v>
      </c>
      <c r="EG193" s="1" t="s">
        <v>720</v>
      </c>
      <c r="EH193" s="1" t="s">
        <v>2129</v>
      </c>
      <c r="EL193" s="1" t="s">
        <v>215</v>
      </c>
      <c r="EM193" s="1" t="s">
        <v>206</v>
      </c>
      <c r="EP193" s="1" t="s">
        <v>3375</v>
      </c>
      <c r="EQ193" s="1" t="s">
        <v>206</v>
      </c>
      <c r="EU193" s="1" t="s">
        <v>238</v>
      </c>
      <c r="EY193" s="1" t="s">
        <v>238</v>
      </c>
      <c r="FC193" s="1" t="s">
        <v>238</v>
      </c>
      <c r="FF193" s="1" t="s">
        <v>239</v>
      </c>
      <c r="FG193" s="1" t="s">
        <v>192</v>
      </c>
      <c r="FH193" s="1" t="s">
        <v>192</v>
      </c>
      <c r="FJ193" s="1" t="s">
        <v>3376</v>
      </c>
      <c r="FK193" s="1" t="s">
        <v>229</v>
      </c>
      <c r="FL193" s="1" t="s">
        <v>3377</v>
      </c>
      <c r="FM193" s="1">
        <v>24215.0</v>
      </c>
      <c r="FN193" s="1" t="s">
        <v>3378</v>
      </c>
      <c r="FO193" s="1" t="s">
        <v>3379</v>
      </c>
      <c r="FP193" s="1">
        <v>233378.0</v>
      </c>
      <c r="FQ193" s="1" t="s">
        <v>3380</v>
      </c>
      <c r="FR193" s="1">
        <v>234368.0</v>
      </c>
      <c r="FS193" s="1" t="s">
        <v>3381</v>
      </c>
      <c r="FU193" s="1" t="s">
        <v>3382</v>
      </c>
      <c r="FV193" s="1" t="s">
        <v>200</v>
      </c>
      <c r="FW193" s="1" t="s">
        <v>1411</v>
      </c>
      <c r="FX193" s="1" t="s">
        <v>238</v>
      </c>
      <c r="FZ193" s="1" t="s">
        <v>229</v>
      </c>
      <c r="GA193" s="1" t="s">
        <v>291</v>
      </c>
      <c r="GB193" s="2">
        <v>42095.0</v>
      </c>
      <c r="GC193" s="1" t="s">
        <v>3383</v>
      </c>
    </row>
    <row r="194">
      <c r="A194" s="1">
        <v>75000.0</v>
      </c>
      <c r="B194" s="1" t="s">
        <v>185</v>
      </c>
      <c r="C194" s="1" t="str">
        <f>"08767350"</f>
        <v>08767350</v>
      </c>
      <c r="D194" s="1" t="s">
        <v>186</v>
      </c>
      <c r="F194" s="1" t="str">
        <f>"8069"</f>
        <v>8069</v>
      </c>
      <c r="G194" s="2">
        <v>41946.0</v>
      </c>
      <c r="H194" s="1">
        <v>75000.0</v>
      </c>
      <c r="I194" s="1">
        <v>579.0</v>
      </c>
      <c r="J194" s="1">
        <v>75000.0</v>
      </c>
      <c r="K194" s="2">
        <v>42055.0</v>
      </c>
      <c r="L194" s="1">
        <v>110.0</v>
      </c>
      <c r="M194" s="2">
        <v>42055.0</v>
      </c>
      <c r="N194" s="1" t="s">
        <v>356</v>
      </c>
      <c r="O194" s="2">
        <v>42083.0</v>
      </c>
      <c r="P194" s="1">
        <v>87039.0</v>
      </c>
      <c r="Q194" s="1">
        <v>8409.0</v>
      </c>
      <c r="S194" s="1">
        <v>7629.0</v>
      </c>
      <c r="T194" s="1" t="s">
        <v>3384</v>
      </c>
      <c r="U194" s="1" t="s">
        <v>189</v>
      </c>
      <c r="V194" s="1" t="s">
        <v>190</v>
      </c>
      <c r="W194" s="1">
        <v>60620.0</v>
      </c>
      <c r="Y194" s="1" t="s">
        <v>3385</v>
      </c>
      <c r="Z194" s="1">
        <v>1912.0</v>
      </c>
      <c r="AA194" s="1" t="s">
        <v>192</v>
      </c>
      <c r="AB194" s="1" t="s">
        <v>193</v>
      </c>
      <c r="AD194" s="1" t="s">
        <v>194</v>
      </c>
      <c r="AE194" s="1" t="s">
        <v>195</v>
      </c>
      <c r="AF194" s="1" t="s">
        <v>659</v>
      </c>
      <c r="AH194" s="1" t="s">
        <v>741</v>
      </c>
      <c r="AI194" s="1">
        <v>0.1109</v>
      </c>
      <c r="AK194" s="1">
        <v>7.0</v>
      </c>
      <c r="AL194" s="1">
        <v>4.0</v>
      </c>
      <c r="AM194" s="1">
        <v>1.0</v>
      </c>
      <c r="AN194" s="1">
        <v>0.0</v>
      </c>
      <c r="AO194" s="1" t="s">
        <v>229</v>
      </c>
      <c r="AQ194" s="1" t="s">
        <v>198</v>
      </c>
      <c r="AR194" s="1" t="s">
        <v>200</v>
      </c>
      <c r="AS194" s="1" t="s">
        <v>199</v>
      </c>
      <c r="AT194" s="1">
        <v>2.0</v>
      </c>
      <c r="AV194" s="1" t="s">
        <v>200</v>
      </c>
      <c r="AW194" s="1">
        <v>1780.13</v>
      </c>
      <c r="AX194" s="1">
        <v>2012.0</v>
      </c>
      <c r="AY194" s="1" t="s">
        <v>229</v>
      </c>
      <c r="AZ194" s="1" t="s">
        <v>200</v>
      </c>
      <c r="BA194" s="1" t="str">
        <f>"20284120090000"</f>
        <v>20284120090000</v>
      </c>
      <c r="BC194" s="1">
        <v>874.0</v>
      </c>
      <c r="BD194" s="1">
        <v>75000.0</v>
      </c>
      <c r="BE194" s="2">
        <v>41946.0</v>
      </c>
      <c r="BF194" s="2" t="s">
        <v>3386</v>
      </c>
      <c r="BH194" s="1">
        <v>0.0</v>
      </c>
      <c r="BK194" s="1" t="s">
        <v>204</v>
      </c>
      <c r="BL194" s="1" t="str">
        <f t="shared" ref="BL194:BM194" si="132">"0"</f>
        <v>0</v>
      </c>
      <c r="BM194" s="1" t="str">
        <f t="shared" si="132"/>
        <v>0</v>
      </c>
      <c r="BN194" s="1">
        <v>100.0</v>
      </c>
      <c r="BO194" s="1">
        <v>7629.0</v>
      </c>
      <c r="BQ194" s="1">
        <v>299.0</v>
      </c>
      <c r="BR194" s="1">
        <v>299.0</v>
      </c>
      <c r="BS194" s="1">
        <v>299.0</v>
      </c>
      <c r="BU194" s="1" t="s">
        <v>205</v>
      </c>
      <c r="BV194" s="1" t="s">
        <v>206</v>
      </c>
      <c r="BW194" s="1" t="s">
        <v>207</v>
      </c>
      <c r="BX194" s="1" t="s">
        <v>431</v>
      </c>
      <c r="BY194" s="1" t="s">
        <v>584</v>
      </c>
      <c r="BZ194" s="1" t="s">
        <v>206</v>
      </c>
      <c r="CA194" s="1" t="s">
        <v>210</v>
      </c>
      <c r="CB194" s="1" t="s">
        <v>431</v>
      </c>
      <c r="CC194" s="1" t="s">
        <v>215</v>
      </c>
      <c r="CD194" s="1" t="s">
        <v>206</v>
      </c>
      <c r="CE194" s="1" t="s">
        <v>207</v>
      </c>
      <c r="CF194" s="1" t="s">
        <v>431</v>
      </c>
      <c r="CG194" s="1" t="s">
        <v>699</v>
      </c>
      <c r="CH194" s="1" t="s">
        <v>206</v>
      </c>
      <c r="CI194" s="1" t="s">
        <v>210</v>
      </c>
      <c r="CJ194" s="1" t="s">
        <v>431</v>
      </c>
      <c r="CK194" s="1" t="s">
        <v>3387</v>
      </c>
      <c r="CL194" s="1" t="s">
        <v>209</v>
      </c>
      <c r="CM194" s="1" t="s">
        <v>210</v>
      </c>
      <c r="CN194" s="1" t="s">
        <v>431</v>
      </c>
      <c r="CO194" s="1" t="s">
        <v>433</v>
      </c>
      <c r="CP194" s="1" t="s">
        <v>209</v>
      </c>
      <c r="CQ194" s="1" t="s">
        <v>210</v>
      </c>
      <c r="CR194" s="1" t="s">
        <v>431</v>
      </c>
      <c r="CS194" s="1" t="s">
        <v>3375</v>
      </c>
      <c r="CT194" s="1" t="s">
        <v>206</v>
      </c>
      <c r="CU194" s="1" t="s">
        <v>207</v>
      </c>
      <c r="CV194" s="1" t="s">
        <v>431</v>
      </c>
      <c r="CX194" s="1" t="s">
        <v>204</v>
      </c>
      <c r="DA194" s="1" t="s">
        <v>200</v>
      </c>
      <c r="DC194" s="1" t="s">
        <v>642</v>
      </c>
      <c r="DD194" s="1" t="s">
        <v>518</v>
      </c>
      <c r="DE194" s="1" t="s">
        <v>273</v>
      </c>
      <c r="DF194" s="1" t="s">
        <v>219</v>
      </c>
      <c r="DH194" s="1" t="s">
        <v>220</v>
      </c>
      <c r="DI194" s="1" t="s">
        <v>1223</v>
      </c>
      <c r="DJ194" s="1" t="s">
        <v>222</v>
      </c>
      <c r="DL194" s="1" t="s">
        <v>223</v>
      </c>
      <c r="DM194" s="1" t="s">
        <v>225</v>
      </c>
      <c r="DP194" s="1" t="s">
        <v>340</v>
      </c>
      <c r="DQ194" s="1" t="s">
        <v>228</v>
      </c>
      <c r="DR194" s="1" t="s">
        <v>229</v>
      </c>
      <c r="DV194" s="1" t="s">
        <v>232</v>
      </c>
      <c r="DW194" s="1" t="s">
        <v>667</v>
      </c>
      <c r="DX194" s="1" t="s">
        <v>234</v>
      </c>
      <c r="EC194" s="1" t="s">
        <v>237</v>
      </c>
      <c r="EM194" s="1" t="s">
        <v>238</v>
      </c>
      <c r="EQ194" s="1" t="s">
        <v>238</v>
      </c>
      <c r="EU194" s="1" t="s">
        <v>238</v>
      </c>
      <c r="EY194" s="1" t="s">
        <v>238</v>
      </c>
      <c r="FC194" s="1" t="s">
        <v>238</v>
      </c>
      <c r="FF194" s="1" t="s">
        <v>239</v>
      </c>
      <c r="FG194" s="1" t="s">
        <v>200</v>
      </c>
      <c r="FH194" s="1" t="s">
        <v>200</v>
      </c>
      <c r="FJ194" s="1" t="s">
        <v>770</v>
      </c>
      <c r="FK194" s="1" t="s">
        <v>1586</v>
      </c>
      <c r="FL194" s="1" t="s">
        <v>3388</v>
      </c>
      <c r="FM194" s="1">
        <v>8409.0</v>
      </c>
      <c r="FN194" s="1" t="s">
        <v>3389</v>
      </c>
      <c r="FO194" s="1" t="s">
        <v>3390</v>
      </c>
      <c r="FP194" s="1">
        <v>238505.0</v>
      </c>
      <c r="FU194" s="1" t="s">
        <v>3391</v>
      </c>
      <c r="FV194" s="1" t="s">
        <v>200</v>
      </c>
      <c r="FW194" s="1" t="s">
        <v>1293</v>
      </c>
      <c r="FX194" s="1" t="s">
        <v>655</v>
      </c>
      <c r="FZ194" s="1" t="s">
        <v>229</v>
      </c>
      <c r="GA194" s="1" t="s">
        <v>291</v>
      </c>
      <c r="GB194" s="2">
        <v>42083.0</v>
      </c>
      <c r="GC194" s="1" t="s">
        <v>3170</v>
      </c>
    </row>
    <row r="195">
      <c r="A195" s="1">
        <v>195000.0</v>
      </c>
      <c r="B195" s="1" t="s">
        <v>185</v>
      </c>
      <c r="C195" s="1" t="str">
        <f>"08769556"</f>
        <v>08769556</v>
      </c>
      <c r="D195" s="1" t="s">
        <v>186</v>
      </c>
      <c r="F195" s="1" t="str">
        <f>"118"</f>
        <v>118</v>
      </c>
      <c r="G195" s="2">
        <v>41948.0</v>
      </c>
      <c r="H195" s="1">
        <v>219900.0</v>
      </c>
      <c r="I195" s="1">
        <v>191.0</v>
      </c>
      <c r="J195" s="1">
        <v>219900.0</v>
      </c>
      <c r="K195" s="2">
        <v>41955.0</v>
      </c>
      <c r="L195" s="1">
        <v>8.0</v>
      </c>
      <c r="M195" s="2">
        <v>41955.0</v>
      </c>
      <c r="N195" s="1" t="s">
        <v>187</v>
      </c>
      <c r="O195" s="2">
        <v>41985.0</v>
      </c>
      <c r="P195" s="1">
        <v>8703.0</v>
      </c>
      <c r="Q195" s="1">
        <v>7450.0</v>
      </c>
      <c r="S195" s="1">
        <v>2453.0</v>
      </c>
      <c r="T195" s="1" t="s">
        <v>3392</v>
      </c>
      <c r="U195" s="1" t="s">
        <v>569</v>
      </c>
      <c r="V195" s="1" t="s">
        <v>1086</v>
      </c>
      <c r="W195" s="1">
        <v>60118.0</v>
      </c>
      <c r="Y195" s="1" t="s">
        <v>3393</v>
      </c>
      <c r="Z195" s="1">
        <v>1991.0</v>
      </c>
      <c r="AA195" s="1" t="s">
        <v>200</v>
      </c>
      <c r="AB195" s="1" t="s">
        <v>193</v>
      </c>
      <c r="AD195" s="1" t="s">
        <v>3394</v>
      </c>
      <c r="AE195" s="1" t="s">
        <v>325</v>
      </c>
      <c r="AF195" s="1" t="s">
        <v>810</v>
      </c>
      <c r="AH195" s="1" t="s">
        <v>3395</v>
      </c>
      <c r="AK195" s="1">
        <v>9.0</v>
      </c>
      <c r="AL195" s="1">
        <v>4.0</v>
      </c>
      <c r="AM195" s="1">
        <v>3.0</v>
      </c>
      <c r="AN195" s="1">
        <v>1.0</v>
      </c>
      <c r="AO195" s="1" t="s">
        <v>198</v>
      </c>
      <c r="AP195" s="1">
        <v>1.0</v>
      </c>
      <c r="AQ195" s="1" t="s">
        <v>198</v>
      </c>
      <c r="AR195" s="1" t="s">
        <v>192</v>
      </c>
      <c r="AS195" s="1" t="s">
        <v>199</v>
      </c>
      <c r="AT195" s="1">
        <v>2.0</v>
      </c>
      <c r="AV195" s="1" t="s">
        <v>200</v>
      </c>
      <c r="AW195" s="1">
        <v>8630.0</v>
      </c>
      <c r="AX195" s="1">
        <v>2012.0</v>
      </c>
      <c r="AZ195" s="1" t="s">
        <v>200</v>
      </c>
      <c r="BA195" s="1" t="str">
        <f>"0321103028"</f>
        <v>0321103028</v>
      </c>
      <c r="BC195" s="1">
        <v>2640.0</v>
      </c>
      <c r="BD195" s="1">
        <v>195000.0</v>
      </c>
      <c r="BE195" s="2">
        <v>41948.0</v>
      </c>
      <c r="BF195" s="1" t="s">
        <v>3396</v>
      </c>
      <c r="BH195" s="1">
        <v>0.0</v>
      </c>
      <c r="BK195" s="1" t="s">
        <v>204</v>
      </c>
      <c r="BL195" s="1" t="str">
        <f t="shared" ref="BL195:BM195" si="133">""</f>
        <v/>
      </c>
      <c r="BM195" s="1" t="str">
        <f t="shared" si="133"/>
        <v/>
      </c>
      <c r="BQ195" s="1">
        <v>300.0</v>
      </c>
      <c r="BR195" s="1">
        <v>300.0</v>
      </c>
      <c r="BS195" s="1">
        <v>300.0</v>
      </c>
      <c r="BU195" s="1" t="s">
        <v>784</v>
      </c>
      <c r="BV195" s="1" t="s">
        <v>206</v>
      </c>
      <c r="BY195" s="1" t="s">
        <v>453</v>
      </c>
      <c r="BZ195" s="1" t="s">
        <v>209</v>
      </c>
      <c r="CC195" s="1" t="s">
        <v>332</v>
      </c>
      <c r="CD195" s="1" t="s">
        <v>206</v>
      </c>
      <c r="CG195" s="1" t="s">
        <v>264</v>
      </c>
      <c r="CH195" s="1" t="s">
        <v>209</v>
      </c>
      <c r="CK195" s="1" t="s">
        <v>215</v>
      </c>
      <c r="CL195" s="1" t="s">
        <v>209</v>
      </c>
      <c r="CO195" s="1" t="s">
        <v>392</v>
      </c>
      <c r="CP195" s="1" t="s">
        <v>209</v>
      </c>
      <c r="CS195" s="1" t="s">
        <v>1535</v>
      </c>
      <c r="CT195" s="1" t="s">
        <v>206</v>
      </c>
      <c r="CW195" s="1" t="s">
        <v>677</v>
      </c>
      <c r="CX195" s="1" t="s">
        <v>206</v>
      </c>
      <c r="DA195" s="1" t="s">
        <v>200</v>
      </c>
      <c r="DC195" s="1" t="s">
        <v>435</v>
      </c>
      <c r="DE195" s="1" t="s">
        <v>273</v>
      </c>
      <c r="DF195" s="1" t="s">
        <v>619</v>
      </c>
      <c r="DH195" s="1" t="s">
        <v>220</v>
      </c>
      <c r="DJ195" s="1" t="s">
        <v>222</v>
      </c>
      <c r="DL195" s="1" t="s">
        <v>224</v>
      </c>
      <c r="DM195" s="1" t="s">
        <v>229</v>
      </c>
      <c r="DQ195" s="1" t="s">
        <v>228</v>
      </c>
      <c r="DR195" s="1" t="s">
        <v>229</v>
      </c>
      <c r="DV195" s="1" t="s">
        <v>3397</v>
      </c>
      <c r="DW195" s="1" t="s">
        <v>764</v>
      </c>
      <c r="DX195" s="1" t="s">
        <v>234</v>
      </c>
      <c r="EC195" s="1" t="s">
        <v>237</v>
      </c>
      <c r="EG195" s="1" t="s">
        <v>450</v>
      </c>
      <c r="EH195" s="1" t="s">
        <v>588</v>
      </c>
      <c r="EL195" s="1" t="s">
        <v>3387</v>
      </c>
      <c r="EM195" s="1" t="s">
        <v>1697</v>
      </c>
      <c r="EP195" s="1" t="s">
        <v>213</v>
      </c>
      <c r="EQ195" s="1" t="s">
        <v>209</v>
      </c>
      <c r="EU195" s="1" t="s">
        <v>238</v>
      </c>
      <c r="EY195" s="1" t="s">
        <v>238</v>
      </c>
      <c r="FC195" s="1" t="s">
        <v>238</v>
      </c>
      <c r="FF195" s="1" t="s">
        <v>239</v>
      </c>
      <c r="FG195" s="1" t="s">
        <v>192</v>
      </c>
      <c r="FH195" s="1" t="s">
        <v>192</v>
      </c>
      <c r="FJ195" s="1" t="s">
        <v>770</v>
      </c>
      <c r="FK195" s="1" t="s">
        <v>229</v>
      </c>
      <c r="FL195" s="1" t="s">
        <v>456</v>
      </c>
      <c r="FM195" s="1">
        <v>23156.0</v>
      </c>
      <c r="FN195" s="1" t="s">
        <v>2553</v>
      </c>
      <c r="FO195" s="1" t="s">
        <v>3398</v>
      </c>
      <c r="FP195" s="1">
        <v>215006.0</v>
      </c>
      <c r="FQ195" s="1" t="s">
        <v>3399</v>
      </c>
      <c r="FR195" s="1">
        <v>35055.0</v>
      </c>
      <c r="FU195" s="1" t="s">
        <v>3400</v>
      </c>
      <c r="FV195" s="1" t="s">
        <v>200</v>
      </c>
      <c r="FW195" s="1" t="s">
        <v>3401</v>
      </c>
      <c r="FZ195" s="1" t="s">
        <v>229</v>
      </c>
      <c r="GA195" s="1" t="s">
        <v>247</v>
      </c>
      <c r="GB195" s="2">
        <v>41985.0</v>
      </c>
    </row>
    <row r="196">
      <c r="A196" s="1">
        <v>1075000.0</v>
      </c>
      <c r="B196" s="1" t="s">
        <v>185</v>
      </c>
      <c r="C196" s="1" t="str">
        <f>"08767318"</f>
        <v>08767318</v>
      </c>
      <c r="D196" s="1" t="s">
        <v>186</v>
      </c>
      <c r="F196" s="1" t="str">
        <f>"8006"</f>
        <v>8006</v>
      </c>
      <c r="G196" s="2">
        <v>41946.0</v>
      </c>
      <c r="H196" s="1">
        <v>1075000.0</v>
      </c>
      <c r="I196" s="1">
        <v>2.0</v>
      </c>
      <c r="J196" s="1">
        <v>1075000.0</v>
      </c>
      <c r="K196" s="2">
        <v>41947.0</v>
      </c>
      <c r="L196" s="1">
        <v>2.0</v>
      </c>
      <c r="M196" s="2">
        <v>41947.0</v>
      </c>
      <c r="N196" s="1" t="s">
        <v>187</v>
      </c>
      <c r="O196" s="2">
        <v>42003.0</v>
      </c>
      <c r="P196" s="1">
        <v>185181.0</v>
      </c>
      <c r="Q196" s="1">
        <v>10900.0</v>
      </c>
      <c r="S196" s="1">
        <v>3142.0</v>
      </c>
      <c r="T196" s="1" t="s">
        <v>948</v>
      </c>
      <c r="U196" s="1" t="s">
        <v>320</v>
      </c>
      <c r="V196" s="1" t="s">
        <v>190</v>
      </c>
      <c r="W196" s="1">
        <v>60657.0</v>
      </c>
      <c r="Y196" s="1" t="s">
        <v>3402</v>
      </c>
      <c r="Z196" s="1">
        <v>1999.0</v>
      </c>
      <c r="AA196" s="1" t="s">
        <v>200</v>
      </c>
      <c r="AB196" s="1" t="s">
        <v>193</v>
      </c>
      <c r="AD196" s="1" t="s">
        <v>194</v>
      </c>
      <c r="AE196" s="1" t="s">
        <v>195</v>
      </c>
      <c r="AF196" s="1" t="s">
        <v>534</v>
      </c>
      <c r="AH196" s="1" t="s">
        <v>3403</v>
      </c>
      <c r="AK196" s="1">
        <v>9.0</v>
      </c>
      <c r="AL196" s="1">
        <v>4.0</v>
      </c>
      <c r="AM196" s="1">
        <v>3.0</v>
      </c>
      <c r="AN196" s="1">
        <v>1.0</v>
      </c>
      <c r="AO196" s="1" t="s">
        <v>198</v>
      </c>
      <c r="AP196" s="1">
        <v>4.0</v>
      </c>
      <c r="AQ196" s="1" t="s">
        <v>472</v>
      </c>
      <c r="AR196" s="1" t="s">
        <v>192</v>
      </c>
      <c r="AS196" s="1" t="s">
        <v>199</v>
      </c>
      <c r="AT196" s="1">
        <v>2.0</v>
      </c>
      <c r="AV196" s="1" t="s">
        <v>200</v>
      </c>
      <c r="AW196" s="6">
        <v>17150.0</v>
      </c>
      <c r="AX196" s="1">
        <v>2013.0</v>
      </c>
      <c r="AY196" s="1" t="s">
        <v>229</v>
      </c>
      <c r="AZ196" s="1" t="s">
        <v>200</v>
      </c>
      <c r="BA196" s="1" t="str">
        <f>"14302030320000"</f>
        <v>14302030320000</v>
      </c>
      <c r="BC196" s="1">
        <v>0.0</v>
      </c>
      <c r="BD196" s="1">
        <v>1075000.0</v>
      </c>
      <c r="BE196" s="2">
        <v>41946.0</v>
      </c>
      <c r="BF196" s="2" t="s">
        <v>3404</v>
      </c>
      <c r="BG196" s="1" t="s">
        <v>3405</v>
      </c>
      <c r="BH196" s="1">
        <v>0.0</v>
      </c>
      <c r="BI196" s="1" t="s">
        <v>3405</v>
      </c>
      <c r="BJ196" s="1" t="s">
        <v>538</v>
      </c>
      <c r="BK196" s="1" t="s">
        <v>204</v>
      </c>
      <c r="BL196" s="1" t="str">
        <f>"3100"</f>
        <v>3100</v>
      </c>
      <c r="BM196" s="1" t="str">
        <f>"0"</f>
        <v>0</v>
      </c>
      <c r="BN196" s="1">
        <v>1600.0</v>
      </c>
      <c r="BO196" s="1">
        <v>0.0</v>
      </c>
      <c r="BQ196" s="1">
        <v>299.0</v>
      </c>
      <c r="BR196" s="1">
        <v>299.0</v>
      </c>
      <c r="BS196" s="1">
        <v>299.0</v>
      </c>
      <c r="BU196" s="1" t="s">
        <v>260</v>
      </c>
      <c r="BV196" s="1" t="s">
        <v>206</v>
      </c>
      <c r="BW196" s="1" t="s">
        <v>207</v>
      </c>
      <c r="BY196" s="1" t="s">
        <v>1891</v>
      </c>
      <c r="BZ196" s="1" t="s">
        <v>209</v>
      </c>
      <c r="CA196" s="1" t="s">
        <v>210</v>
      </c>
      <c r="CC196" s="1" t="s">
        <v>390</v>
      </c>
      <c r="CD196" s="1" t="s">
        <v>206</v>
      </c>
      <c r="CE196" s="1" t="s">
        <v>207</v>
      </c>
      <c r="CG196" s="1" t="s">
        <v>262</v>
      </c>
      <c r="CH196" s="1" t="s">
        <v>209</v>
      </c>
      <c r="CI196" s="1" t="s">
        <v>210</v>
      </c>
      <c r="CK196" s="1" t="s">
        <v>1875</v>
      </c>
      <c r="CL196" s="1" t="s">
        <v>209</v>
      </c>
      <c r="CM196" s="1" t="s">
        <v>207</v>
      </c>
      <c r="CO196" s="1" t="s">
        <v>269</v>
      </c>
      <c r="CP196" s="1" t="s">
        <v>267</v>
      </c>
      <c r="CQ196" s="1" t="s">
        <v>210</v>
      </c>
      <c r="CS196" s="1" t="s">
        <v>363</v>
      </c>
      <c r="CT196" s="1" t="s">
        <v>206</v>
      </c>
      <c r="CU196" s="1" t="s">
        <v>207</v>
      </c>
      <c r="CW196" s="1" t="s">
        <v>1001</v>
      </c>
      <c r="CX196" s="1" t="s">
        <v>267</v>
      </c>
      <c r="CY196" s="1" t="s">
        <v>210</v>
      </c>
      <c r="DA196" s="1" t="s">
        <v>200</v>
      </c>
      <c r="DC196" s="1" t="s">
        <v>335</v>
      </c>
      <c r="DD196" s="1" t="s">
        <v>272</v>
      </c>
      <c r="DE196" s="1" t="s">
        <v>218</v>
      </c>
      <c r="DF196" s="1" t="s">
        <v>219</v>
      </c>
      <c r="DH196" s="1" t="s">
        <v>365</v>
      </c>
      <c r="DI196" s="1" t="s">
        <v>2329</v>
      </c>
      <c r="DJ196" s="1" t="s">
        <v>222</v>
      </c>
      <c r="DK196" s="1" t="s">
        <v>223</v>
      </c>
      <c r="DL196" s="1" t="s">
        <v>224</v>
      </c>
      <c r="DM196" s="1" t="s">
        <v>229</v>
      </c>
      <c r="DN196" s="1" t="s">
        <v>399</v>
      </c>
      <c r="DO196" s="1" t="s">
        <v>549</v>
      </c>
      <c r="DP196" s="1" t="s">
        <v>340</v>
      </c>
      <c r="DQ196" s="1" t="s">
        <v>228</v>
      </c>
      <c r="DR196" s="1" t="s">
        <v>229</v>
      </c>
      <c r="DV196" s="1" t="s">
        <v>1164</v>
      </c>
      <c r="DW196" s="1" t="s">
        <v>2284</v>
      </c>
      <c r="DX196" s="1" t="s">
        <v>234</v>
      </c>
      <c r="DY196" s="1" t="s">
        <v>935</v>
      </c>
      <c r="DZ196" s="1" t="s">
        <v>3406</v>
      </c>
      <c r="EB196" s="1" t="s">
        <v>1639</v>
      </c>
      <c r="EC196" s="1" t="s">
        <v>237</v>
      </c>
      <c r="ED196" s="1" t="s">
        <v>312</v>
      </c>
      <c r="EG196" s="1" t="s">
        <v>1164</v>
      </c>
      <c r="EL196" s="1" t="s">
        <v>515</v>
      </c>
      <c r="EM196" s="1" t="s">
        <v>206</v>
      </c>
      <c r="EN196" s="1" t="s">
        <v>207</v>
      </c>
      <c r="EQ196" s="1" t="s">
        <v>238</v>
      </c>
      <c r="EU196" s="1" t="s">
        <v>238</v>
      </c>
      <c r="EY196" s="1" t="s">
        <v>238</v>
      </c>
      <c r="FC196" s="1" t="s">
        <v>238</v>
      </c>
      <c r="FF196" s="1" t="s">
        <v>239</v>
      </c>
      <c r="FG196" s="1" t="s">
        <v>192</v>
      </c>
      <c r="FH196" s="1" t="s">
        <v>192</v>
      </c>
      <c r="FJ196" s="1" t="s">
        <v>733</v>
      </c>
      <c r="FK196" s="1" t="s">
        <v>229</v>
      </c>
      <c r="FL196" s="1" t="s">
        <v>974</v>
      </c>
      <c r="FM196" s="1">
        <v>14470.0</v>
      </c>
      <c r="FN196" s="1" t="s">
        <v>3407</v>
      </c>
      <c r="FO196" s="1" t="s">
        <v>3408</v>
      </c>
      <c r="FP196" s="1">
        <v>128393.0</v>
      </c>
      <c r="FQ196" s="1" t="s">
        <v>3409</v>
      </c>
      <c r="FU196" s="1" t="s">
        <v>3410</v>
      </c>
      <c r="FV196" s="1" t="s">
        <v>200</v>
      </c>
      <c r="FW196" s="1" t="s">
        <v>290</v>
      </c>
      <c r="FX196" s="1" t="s">
        <v>238</v>
      </c>
      <c r="FZ196" s="1" t="s">
        <v>229</v>
      </c>
      <c r="GA196" s="1" t="s">
        <v>291</v>
      </c>
      <c r="GB196" s="2">
        <v>42004.0</v>
      </c>
      <c r="GC196" s="1" t="s">
        <v>3411</v>
      </c>
    </row>
    <row r="197">
      <c r="A197" s="1">
        <v>169900.0</v>
      </c>
      <c r="B197" s="1" t="s">
        <v>185</v>
      </c>
      <c r="C197" s="1" t="str">
        <f>"08789694"</f>
        <v>08789694</v>
      </c>
      <c r="D197" s="1" t="s">
        <v>186</v>
      </c>
      <c r="F197" s="1" t="str">
        <f>"8075"</f>
        <v>8075</v>
      </c>
      <c r="G197" s="2">
        <v>41963.0</v>
      </c>
      <c r="H197" s="1">
        <v>169900.0</v>
      </c>
      <c r="I197" s="1">
        <v>16.0</v>
      </c>
      <c r="J197" s="1">
        <v>169900.0</v>
      </c>
      <c r="K197" s="2">
        <v>41978.0</v>
      </c>
      <c r="L197" s="1">
        <v>16.0</v>
      </c>
      <c r="M197" s="2">
        <v>41978.0</v>
      </c>
      <c r="N197" s="1" t="s">
        <v>187</v>
      </c>
      <c r="O197" s="2">
        <v>42052.0</v>
      </c>
      <c r="P197" s="1">
        <v>185438.0</v>
      </c>
      <c r="Q197" s="1">
        <v>85085.0</v>
      </c>
      <c r="R197" s="1">
        <v>4.0</v>
      </c>
      <c r="S197" s="1">
        <v>11021.0</v>
      </c>
      <c r="T197" s="1" t="s">
        <v>3412</v>
      </c>
      <c r="U197" s="1" t="s">
        <v>320</v>
      </c>
      <c r="V197" s="1" t="s">
        <v>190</v>
      </c>
      <c r="W197" s="1">
        <v>60643.0</v>
      </c>
      <c r="Y197" s="1" t="s">
        <v>3413</v>
      </c>
      <c r="Z197" s="1">
        <v>1942.0</v>
      </c>
      <c r="AA197" s="1" t="s">
        <v>192</v>
      </c>
      <c r="AB197" s="1" t="s">
        <v>193</v>
      </c>
      <c r="AD197" s="1" t="s">
        <v>194</v>
      </c>
      <c r="AE197" s="1" t="s">
        <v>195</v>
      </c>
      <c r="AF197" s="1" t="s">
        <v>637</v>
      </c>
      <c r="AH197" s="1">
        <v>0.4</v>
      </c>
      <c r="AI197" s="1">
        <v>0.1004</v>
      </c>
      <c r="AK197" s="1">
        <v>9.0</v>
      </c>
      <c r="AL197" s="1">
        <v>3.0</v>
      </c>
      <c r="AM197" s="1">
        <v>2.0</v>
      </c>
      <c r="AN197" s="1">
        <v>1.0</v>
      </c>
      <c r="AO197" s="1" t="s">
        <v>229</v>
      </c>
      <c r="AQ197" s="1" t="s">
        <v>198</v>
      </c>
      <c r="AR197" s="1" t="s">
        <v>192</v>
      </c>
      <c r="AS197" s="1" t="s">
        <v>199</v>
      </c>
      <c r="AT197" s="1">
        <v>2.0</v>
      </c>
      <c r="AV197" s="1" t="s">
        <v>200</v>
      </c>
      <c r="AW197" s="1">
        <v>2121.39</v>
      </c>
      <c r="AX197" s="1">
        <v>2012.0</v>
      </c>
      <c r="AZ197" s="1" t="s">
        <v>200</v>
      </c>
      <c r="BA197" s="1" t="str">
        <f>"25174230060000"</f>
        <v>25174230060000</v>
      </c>
      <c r="BC197" s="1">
        <v>1488.0</v>
      </c>
      <c r="BD197" s="1">
        <v>169900.0</v>
      </c>
      <c r="BE197" s="2">
        <v>41963.0</v>
      </c>
      <c r="BF197" s="2" t="s">
        <v>3414</v>
      </c>
      <c r="BH197" s="1">
        <v>0.0</v>
      </c>
      <c r="BK197" s="1" t="s">
        <v>204</v>
      </c>
      <c r="BL197" s="1" t="str">
        <f t="shared" ref="BL197:BM197" si="134">"0"</f>
        <v>0</v>
      </c>
      <c r="BM197" s="1" t="str">
        <f t="shared" si="134"/>
        <v>0</v>
      </c>
      <c r="BN197" s="1">
        <v>830.0</v>
      </c>
      <c r="BO197" s="1">
        <v>11021.0</v>
      </c>
      <c r="BQ197" s="1">
        <v>299.0</v>
      </c>
      <c r="BR197" s="1">
        <v>299.0</v>
      </c>
      <c r="BS197" s="1">
        <v>299.0</v>
      </c>
      <c r="BU197" s="1" t="s">
        <v>3415</v>
      </c>
      <c r="BV197" s="1" t="s">
        <v>206</v>
      </c>
      <c r="BW197" s="1" t="s">
        <v>207</v>
      </c>
      <c r="BY197" s="1" t="s">
        <v>758</v>
      </c>
      <c r="BZ197" s="1" t="s">
        <v>209</v>
      </c>
      <c r="CA197" s="1" t="s">
        <v>207</v>
      </c>
      <c r="CC197" s="1" t="s">
        <v>363</v>
      </c>
      <c r="CD197" s="1" t="s">
        <v>206</v>
      </c>
      <c r="CE197" s="1" t="s">
        <v>207</v>
      </c>
      <c r="CG197" s="1" t="s">
        <v>478</v>
      </c>
      <c r="CH197" s="1" t="s">
        <v>209</v>
      </c>
      <c r="CI197" s="1" t="s">
        <v>207</v>
      </c>
      <c r="CK197" s="1" t="s">
        <v>3355</v>
      </c>
      <c r="CL197" s="1" t="s">
        <v>206</v>
      </c>
      <c r="CM197" s="1" t="s">
        <v>207</v>
      </c>
      <c r="CO197" s="1" t="s">
        <v>263</v>
      </c>
      <c r="CP197" s="1" t="s">
        <v>42</v>
      </c>
      <c r="CQ197" s="1" t="s">
        <v>268</v>
      </c>
      <c r="CS197" s="1" t="s">
        <v>363</v>
      </c>
      <c r="CT197" s="1" t="s">
        <v>206</v>
      </c>
      <c r="CU197" s="1" t="s">
        <v>207</v>
      </c>
      <c r="CW197" s="1" t="s">
        <v>2155</v>
      </c>
      <c r="CX197" s="1" t="s">
        <v>42</v>
      </c>
      <c r="CY197" s="1" t="s">
        <v>268</v>
      </c>
      <c r="DA197" s="1" t="s">
        <v>200</v>
      </c>
      <c r="DC197" s="1" t="s">
        <v>1399</v>
      </c>
      <c r="DE197" s="1" t="s">
        <v>273</v>
      </c>
      <c r="DF197" s="1" t="s">
        <v>219</v>
      </c>
      <c r="DH197" s="1" t="s">
        <v>220</v>
      </c>
      <c r="DI197" s="1" t="s">
        <v>366</v>
      </c>
      <c r="DJ197" s="1" t="s">
        <v>222</v>
      </c>
      <c r="DL197" s="1" t="s">
        <v>224</v>
      </c>
      <c r="DM197" s="1" t="s">
        <v>229</v>
      </c>
      <c r="DQ197" s="1" t="s">
        <v>441</v>
      </c>
      <c r="DR197" s="1" t="s">
        <v>229</v>
      </c>
      <c r="DV197" s="1" t="s">
        <v>598</v>
      </c>
      <c r="DW197" s="1" t="s">
        <v>279</v>
      </c>
      <c r="DX197" s="1" t="s">
        <v>234</v>
      </c>
      <c r="DY197" s="1" t="s">
        <v>553</v>
      </c>
      <c r="EC197" s="1" t="s">
        <v>645</v>
      </c>
      <c r="EE197" s="1" t="s">
        <v>493</v>
      </c>
      <c r="EG197" s="1" t="s">
        <v>598</v>
      </c>
      <c r="EL197" s="1" t="s">
        <v>264</v>
      </c>
      <c r="EM197" s="1" t="s">
        <v>206</v>
      </c>
      <c r="EN197" s="1" t="s">
        <v>207</v>
      </c>
      <c r="EQ197" s="1" t="s">
        <v>238</v>
      </c>
      <c r="EU197" s="1" t="s">
        <v>238</v>
      </c>
      <c r="EY197" s="1" t="s">
        <v>238</v>
      </c>
      <c r="FC197" s="1" t="s">
        <v>238</v>
      </c>
      <c r="FF197" s="1" t="s">
        <v>239</v>
      </c>
      <c r="FG197" s="1" t="s">
        <v>192</v>
      </c>
      <c r="FH197" s="1" t="s">
        <v>192</v>
      </c>
      <c r="FJ197" s="1" t="s">
        <v>648</v>
      </c>
      <c r="FK197" s="1" t="s">
        <v>229</v>
      </c>
      <c r="FL197" s="1" t="s">
        <v>649</v>
      </c>
      <c r="FM197" s="1">
        <v>60296.0</v>
      </c>
      <c r="FN197" s="1" t="s">
        <v>650</v>
      </c>
      <c r="FO197" s="1" t="s">
        <v>651</v>
      </c>
      <c r="FP197" s="1">
        <v>602837.0</v>
      </c>
      <c r="FQ197" s="1" t="s">
        <v>652</v>
      </c>
      <c r="FR197" s="1">
        <v>602442.0</v>
      </c>
      <c r="FU197" s="1" t="s">
        <v>3416</v>
      </c>
      <c r="FV197" s="1" t="s">
        <v>200</v>
      </c>
      <c r="FW197" s="1" t="s">
        <v>530</v>
      </c>
      <c r="FX197" s="1" t="s">
        <v>655</v>
      </c>
      <c r="FZ197" s="1" t="s">
        <v>229</v>
      </c>
      <c r="GA197" s="1" t="s">
        <v>291</v>
      </c>
      <c r="GB197" s="2">
        <v>42052.0</v>
      </c>
      <c r="GC197" s="1" t="s">
        <v>1372</v>
      </c>
    </row>
    <row r="198">
      <c r="A198" s="1">
        <v>390000.0</v>
      </c>
      <c r="B198" s="1" t="s">
        <v>185</v>
      </c>
      <c r="C198" s="1" t="str">
        <f>"08773604"</f>
        <v>08773604</v>
      </c>
      <c r="D198" s="1" t="s">
        <v>186</v>
      </c>
      <c r="F198" s="1" t="str">
        <f>"134"</f>
        <v>134</v>
      </c>
      <c r="G198" s="2">
        <v>41954.0</v>
      </c>
      <c r="H198" s="1">
        <v>399900.0</v>
      </c>
      <c r="I198" s="1">
        <v>16.0</v>
      </c>
      <c r="J198" s="1">
        <v>399900.0</v>
      </c>
      <c r="K198" s="2">
        <v>41969.0</v>
      </c>
      <c r="L198" s="1">
        <v>16.0</v>
      </c>
      <c r="M198" s="2">
        <v>41969.0</v>
      </c>
      <c r="N198" s="1" t="s">
        <v>187</v>
      </c>
      <c r="O198" s="2">
        <v>41995.0</v>
      </c>
      <c r="P198" s="1">
        <v>30.0</v>
      </c>
      <c r="Q198" s="1">
        <v>49.0</v>
      </c>
      <c r="S198" s="1" t="s">
        <v>3417</v>
      </c>
      <c r="T198" s="1" t="s">
        <v>3418</v>
      </c>
      <c r="U198" s="1" t="s">
        <v>569</v>
      </c>
      <c r="V198" s="1" t="s">
        <v>421</v>
      </c>
      <c r="W198" s="1">
        <v>60134.0</v>
      </c>
      <c r="Y198" s="1" t="s">
        <v>3419</v>
      </c>
      <c r="Z198" s="1">
        <v>2009.0</v>
      </c>
      <c r="AA198" s="1" t="s">
        <v>200</v>
      </c>
      <c r="AB198" s="1" t="s">
        <v>193</v>
      </c>
      <c r="AC198" s="1" t="s">
        <v>1596</v>
      </c>
      <c r="AD198" s="1" t="s">
        <v>1089</v>
      </c>
      <c r="AE198" s="1" t="s">
        <v>325</v>
      </c>
      <c r="AF198" s="1" t="s">
        <v>424</v>
      </c>
      <c r="AG198" s="1" t="s">
        <v>3420</v>
      </c>
      <c r="AH198" s="1" t="s">
        <v>3421</v>
      </c>
      <c r="AK198" s="1">
        <v>10.0</v>
      </c>
      <c r="AL198" s="1">
        <v>4.0</v>
      </c>
      <c r="AM198" s="1">
        <v>2.0</v>
      </c>
      <c r="AN198" s="1">
        <v>1.0</v>
      </c>
      <c r="AO198" s="1" t="s">
        <v>198</v>
      </c>
      <c r="AP198" s="1">
        <v>1.0</v>
      </c>
      <c r="AQ198" s="1" t="s">
        <v>198</v>
      </c>
      <c r="AR198" s="1" t="s">
        <v>200</v>
      </c>
      <c r="AS198" s="1" t="s">
        <v>199</v>
      </c>
      <c r="AT198" s="1">
        <v>3.0</v>
      </c>
      <c r="AV198" s="1" t="s">
        <v>200</v>
      </c>
      <c r="AW198" s="1">
        <v>11591.0</v>
      </c>
      <c r="AX198" s="1">
        <v>2013.0</v>
      </c>
      <c r="AY198" s="1" t="s">
        <v>387</v>
      </c>
      <c r="AZ198" s="1" t="s">
        <v>200</v>
      </c>
      <c r="BA198" s="1" t="str">
        <f>"1207255013"</f>
        <v>1207255013</v>
      </c>
      <c r="BC198" s="1">
        <v>2990.0</v>
      </c>
      <c r="BD198" s="1">
        <v>390000.0</v>
      </c>
      <c r="BE198" s="2">
        <v>41954.0</v>
      </c>
      <c r="BF198" s="2" t="s">
        <v>3422</v>
      </c>
      <c r="BH198" s="1">
        <v>0.0</v>
      </c>
      <c r="BI198" s="1" t="s">
        <v>429</v>
      </c>
      <c r="BJ198" s="1" t="s">
        <v>430</v>
      </c>
      <c r="BK198" s="1" t="s">
        <v>204</v>
      </c>
      <c r="BL198" s="1" t="str">
        <f>"1"</f>
        <v>1</v>
      </c>
      <c r="BM198" s="1" t="str">
        <f>"0"</f>
        <v>0</v>
      </c>
      <c r="BN198" s="1">
        <v>39.0</v>
      </c>
      <c r="BO198" s="1">
        <v>0.0</v>
      </c>
      <c r="BQ198" s="1">
        <v>304.0</v>
      </c>
      <c r="BR198" s="1">
        <v>304.0</v>
      </c>
      <c r="BS198" s="1">
        <v>304.0</v>
      </c>
      <c r="BU198" s="1" t="s">
        <v>478</v>
      </c>
      <c r="BV198" s="1" t="s">
        <v>206</v>
      </c>
      <c r="BW198" s="1" t="s">
        <v>210</v>
      </c>
      <c r="BX198" s="1" t="s">
        <v>239</v>
      </c>
      <c r="BY198" s="1" t="s">
        <v>1653</v>
      </c>
      <c r="BZ198" s="1" t="s">
        <v>209</v>
      </c>
      <c r="CA198" s="1" t="s">
        <v>210</v>
      </c>
      <c r="CB198" s="1" t="s">
        <v>239</v>
      </c>
      <c r="CC198" s="1" t="s">
        <v>302</v>
      </c>
      <c r="CD198" s="1" t="s">
        <v>206</v>
      </c>
      <c r="CE198" s="1" t="s">
        <v>210</v>
      </c>
      <c r="CF198" s="1" t="s">
        <v>239</v>
      </c>
      <c r="CG198" s="1" t="s">
        <v>302</v>
      </c>
      <c r="CH198" s="1" t="s">
        <v>209</v>
      </c>
      <c r="CI198" s="1" t="s">
        <v>210</v>
      </c>
      <c r="CJ198" s="1" t="s">
        <v>239</v>
      </c>
      <c r="CK198" s="1" t="s">
        <v>302</v>
      </c>
      <c r="CL198" s="1" t="s">
        <v>209</v>
      </c>
      <c r="CM198" s="1" t="s">
        <v>210</v>
      </c>
      <c r="CN198" s="1" t="s">
        <v>239</v>
      </c>
      <c r="CO198" s="1" t="s">
        <v>302</v>
      </c>
      <c r="CP198" s="1" t="s">
        <v>209</v>
      </c>
      <c r="CQ198" s="1" t="s">
        <v>210</v>
      </c>
      <c r="CR198" s="1" t="s">
        <v>239</v>
      </c>
      <c r="CS198" s="1" t="s">
        <v>1395</v>
      </c>
      <c r="CT198" s="1" t="s">
        <v>206</v>
      </c>
      <c r="CU198" s="1" t="s">
        <v>207</v>
      </c>
      <c r="CV198" s="1" t="s">
        <v>239</v>
      </c>
      <c r="CW198" s="1" t="s">
        <v>676</v>
      </c>
      <c r="CX198" s="1" t="s">
        <v>206</v>
      </c>
      <c r="CY198" s="1" t="s">
        <v>210</v>
      </c>
      <c r="CZ198" s="1" t="s">
        <v>476</v>
      </c>
      <c r="DA198" s="1" t="s">
        <v>200</v>
      </c>
      <c r="DC198" s="1" t="s">
        <v>1046</v>
      </c>
      <c r="DD198" s="1" t="s">
        <v>272</v>
      </c>
      <c r="DE198" s="1" t="s">
        <v>273</v>
      </c>
      <c r="DF198" s="1" t="s">
        <v>219</v>
      </c>
      <c r="DG198" s="1" t="s">
        <v>2379</v>
      </c>
      <c r="DH198" s="1" t="s">
        <v>1603</v>
      </c>
      <c r="DI198" s="1" t="s">
        <v>2257</v>
      </c>
      <c r="DJ198" s="1" t="s">
        <v>222</v>
      </c>
      <c r="DL198" s="1" t="s">
        <v>484</v>
      </c>
      <c r="DM198" s="1" t="s">
        <v>929</v>
      </c>
      <c r="DN198" s="1" t="s">
        <v>485</v>
      </c>
      <c r="DO198" s="1" t="s">
        <v>486</v>
      </c>
      <c r="DP198" s="1" t="s">
        <v>340</v>
      </c>
      <c r="DQ198" s="1" t="s">
        <v>228</v>
      </c>
      <c r="DR198" s="1" t="s">
        <v>229</v>
      </c>
      <c r="DU198" s="1" t="s">
        <v>2677</v>
      </c>
      <c r="DV198" s="1" t="s">
        <v>2381</v>
      </c>
      <c r="DW198" s="1" t="s">
        <v>370</v>
      </c>
      <c r="DX198" s="1" t="s">
        <v>234</v>
      </c>
      <c r="DY198" s="1" t="s">
        <v>490</v>
      </c>
      <c r="DZ198" s="1" t="s">
        <v>1560</v>
      </c>
      <c r="EA198" s="1" t="s">
        <v>344</v>
      </c>
      <c r="EC198" s="1" t="s">
        <v>237</v>
      </c>
      <c r="ED198" s="1" t="s">
        <v>555</v>
      </c>
      <c r="EG198" s="1" t="s">
        <v>494</v>
      </c>
      <c r="EI198" s="1" t="s">
        <v>556</v>
      </c>
      <c r="EL198" s="1" t="s">
        <v>303</v>
      </c>
      <c r="EM198" s="1" t="s">
        <v>206</v>
      </c>
      <c r="EN198" s="1" t="s">
        <v>210</v>
      </c>
      <c r="EO198" s="1" t="s">
        <v>239</v>
      </c>
      <c r="EQ198" s="1" t="s">
        <v>238</v>
      </c>
      <c r="ET198" s="1" t="s">
        <v>1329</v>
      </c>
      <c r="EU198" s="1" t="s">
        <v>206</v>
      </c>
      <c r="EV198" s="1" t="s">
        <v>207</v>
      </c>
      <c r="EW198" s="1" t="s">
        <v>239</v>
      </c>
      <c r="EY198" s="1" t="s">
        <v>238</v>
      </c>
      <c r="FC198" s="1" t="s">
        <v>238</v>
      </c>
      <c r="FF198" s="1" t="s">
        <v>239</v>
      </c>
      <c r="FG198" s="1" t="s">
        <v>192</v>
      </c>
      <c r="FH198" s="1" t="s">
        <v>192</v>
      </c>
      <c r="FJ198" s="1" t="s">
        <v>1469</v>
      </c>
      <c r="FK198" s="1" t="s">
        <v>229</v>
      </c>
      <c r="FL198" s="1" t="s">
        <v>1212</v>
      </c>
      <c r="FM198" s="1">
        <v>30.0</v>
      </c>
      <c r="FN198" s="1" t="s">
        <v>1213</v>
      </c>
      <c r="FO198" s="1" t="s">
        <v>3423</v>
      </c>
      <c r="FP198" s="1">
        <v>148.0</v>
      </c>
      <c r="FQ198" s="1" t="s">
        <v>3424</v>
      </c>
      <c r="FS198" s="1" t="s">
        <v>3425</v>
      </c>
      <c r="FU198" s="1" t="s">
        <v>3426</v>
      </c>
      <c r="FV198" s="1" t="s">
        <v>200</v>
      </c>
      <c r="FW198" s="1" t="s">
        <v>290</v>
      </c>
      <c r="FZ198" s="1" t="s">
        <v>229</v>
      </c>
      <c r="GA198" s="1" t="s">
        <v>291</v>
      </c>
      <c r="GB198" s="2">
        <v>41995.0</v>
      </c>
    </row>
    <row r="199">
      <c r="A199" s="1">
        <v>190000.0</v>
      </c>
      <c r="B199" s="1" t="s">
        <v>185</v>
      </c>
      <c r="C199" s="1" t="str">
        <f>"08769159"</f>
        <v>08769159</v>
      </c>
      <c r="D199" s="1" t="s">
        <v>186</v>
      </c>
      <c r="F199" s="1" t="str">
        <f>"140"</f>
        <v>140</v>
      </c>
      <c r="G199" s="2">
        <v>41948.0</v>
      </c>
      <c r="H199" s="1">
        <v>193900.0</v>
      </c>
      <c r="I199" s="1">
        <v>284.0</v>
      </c>
      <c r="J199" s="1">
        <v>193900.0</v>
      </c>
      <c r="K199" s="2">
        <v>41984.0</v>
      </c>
      <c r="L199" s="1">
        <v>38.0</v>
      </c>
      <c r="M199" s="2">
        <v>41984.0</v>
      </c>
      <c r="N199" s="1" t="s">
        <v>187</v>
      </c>
      <c r="O199" s="2">
        <v>42020.0</v>
      </c>
      <c r="P199" s="1">
        <v>86852.0</v>
      </c>
      <c r="Q199" s="1">
        <v>8073.0</v>
      </c>
      <c r="S199" s="1">
        <v>1981.0</v>
      </c>
      <c r="T199" s="1" t="s">
        <v>3427</v>
      </c>
      <c r="U199" s="1" t="s">
        <v>420</v>
      </c>
      <c r="V199" s="1" t="s">
        <v>321</v>
      </c>
      <c r="W199" s="1">
        <v>60140.0</v>
      </c>
      <c r="X199" s="1">
        <v>9089.0</v>
      </c>
      <c r="Y199" s="1" t="s">
        <v>3428</v>
      </c>
      <c r="Z199" s="1">
        <v>2007.0</v>
      </c>
      <c r="AA199" s="1" t="s">
        <v>200</v>
      </c>
      <c r="AB199" s="1" t="s">
        <v>467</v>
      </c>
      <c r="AD199" s="1" t="s">
        <v>324</v>
      </c>
      <c r="AE199" s="1" t="s">
        <v>325</v>
      </c>
      <c r="AF199" s="1" t="s">
        <v>3429</v>
      </c>
      <c r="AH199" s="1" t="s">
        <v>3430</v>
      </c>
      <c r="AI199" s="1">
        <v>0.2562</v>
      </c>
      <c r="AK199" s="1">
        <v>9.0</v>
      </c>
      <c r="AL199" s="1">
        <v>4.0</v>
      </c>
      <c r="AM199" s="1">
        <v>2.0</v>
      </c>
      <c r="AN199" s="1">
        <v>1.0</v>
      </c>
      <c r="AO199" s="1" t="s">
        <v>198</v>
      </c>
      <c r="AQ199" s="1" t="s">
        <v>198</v>
      </c>
      <c r="AR199" s="1" t="s">
        <v>200</v>
      </c>
      <c r="AS199" s="1" t="s">
        <v>199</v>
      </c>
      <c r="AT199" s="1">
        <v>2.0</v>
      </c>
      <c r="AV199" s="1" t="s">
        <v>192</v>
      </c>
      <c r="AW199" s="4">
        <v>7477.84</v>
      </c>
      <c r="AX199" s="1">
        <v>2013.0</v>
      </c>
      <c r="AZ199" s="1" t="s">
        <v>192</v>
      </c>
      <c r="BA199" s="1" t="str">
        <f>"0207315012"</f>
        <v>0207315012</v>
      </c>
      <c r="BC199" s="1">
        <v>2266.0</v>
      </c>
      <c r="BD199" s="1">
        <v>190000.0</v>
      </c>
      <c r="BE199" s="2">
        <v>41947.0</v>
      </c>
      <c r="BF199" s="2" t="s">
        <v>3431</v>
      </c>
      <c r="BH199" s="1">
        <v>102.0</v>
      </c>
      <c r="BK199" s="1" t="s">
        <v>1952</v>
      </c>
      <c r="BL199" s="1" t="str">
        <f t="shared" ref="BL199:BM199" si="135">""</f>
        <v/>
      </c>
      <c r="BM199" s="1" t="str">
        <f t="shared" si="135"/>
        <v/>
      </c>
      <c r="BQ199" s="1">
        <v>158.0</v>
      </c>
      <c r="BR199" s="1">
        <v>158.0</v>
      </c>
      <c r="BS199" s="1">
        <v>158.0</v>
      </c>
      <c r="BU199" s="1" t="s">
        <v>300</v>
      </c>
      <c r="BV199" s="1" t="s">
        <v>206</v>
      </c>
      <c r="BY199" s="1" t="s">
        <v>496</v>
      </c>
      <c r="BZ199" s="1" t="s">
        <v>209</v>
      </c>
      <c r="CC199" s="1" t="s">
        <v>302</v>
      </c>
      <c r="CD199" s="1" t="s">
        <v>206</v>
      </c>
      <c r="CG199" s="1" t="s">
        <v>363</v>
      </c>
      <c r="CH199" s="1" t="s">
        <v>209</v>
      </c>
      <c r="CK199" s="1" t="s">
        <v>363</v>
      </c>
      <c r="CL199" s="1" t="s">
        <v>209</v>
      </c>
      <c r="CO199" s="1" t="s">
        <v>363</v>
      </c>
      <c r="CP199" s="1" t="s">
        <v>209</v>
      </c>
      <c r="CS199" s="1" t="s">
        <v>302</v>
      </c>
      <c r="CT199" s="1" t="s">
        <v>206</v>
      </c>
      <c r="CW199" s="1" t="s">
        <v>1043</v>
      </c>
      <c r="CX199" s="1" t="s">
        <v>206</v>
      </c>
      <c r="DA199" s="1" t="s">
        <v>200</v>
      </c>
      <c r="DC199" s="1" t="s">
        <v>481</v>
      </c>
      <c r="DE199" s="1" t="s">
        <v>273</v>
      </c>
      <c r="DF199" s="1" t="s">
        <v>905</v>
      </c>
      <c r="DH199" s="1" t="s">
        <v>220</v>
      </c>
      <c r="DJ199" s="1" t="s">
        <v>222</v>
      </c>
      <c r="DL199" s="1" t="s">
        <v>223</v>
      </c>
      <c r="DM199" s="1" t="s">
        <v>1268</v>
      </c>
      <c r="DN199" s="1" t="s">
        <v>226</v>
      </c>
      <c r="DO199" s="1" t="s">
        <v>440</v>
      </c>
      <c r="DP199" s="1" t="s">
        <v>340</v>
      </c>
      <c r="DQ199" s="1" t="s">
        <v>228</v>
      </c>
      <c r="DR199" s="1" t="s">
        <v>1269</v>
      </c>
      <c r="DV199" s="1" t="s">
        <v>556</v>
      </c>
      <c r="DW199" s="1" t="s">
        <v>233</v>
      </c>
      <c r="DX199" s="1" t="s">
        <v>234</v>
      </c>
      <c r="EC199" s="1" t="s">
        <v>237</v>
      </c>
      <c r="EG199" s="1" t="s">
        <v>556</v>
      </c>
      <c r="EL199" s="1" t="s">
        <v>3432</v>
      </c>
      <c r="EM199" s="1" t="s">
        <v>206</v>
      </c>
      <c r="EQ199" s="1" t="s">
        <v>238</v>
      </c>
      <c r="EU199" s="1" t="s">
        <v>238</v>
      </c>
      <c r="EY199" s="1" t="s">
        <v>238</v>
      </c>
      <c r="FC199" s="1" t="s">
        <v>238</v>
      </c>
      <c r="FF199" s="1" t="s">
        <v>239</v>
      </c>
      <c r="FG199" s="1" t="s">
        <v>192</v>
      </c>
      <c r="FH199" s="1" t="s">
        <v>192</v>
      </c>
      <c r="FJ199" s="1" t="s">
        <v>347</v>
      </c>
      <c r="FK199" s="1" t="s">
        <v>229</v>
      </c>
      <c r="FL199" s="1" t="s">
        <v>3433</v>
      </c>
      <c r="FM199" s="1">
        <v>5293.0</v>
      </c>
      <c r="FN199" s="1" t="s">
        <v>3434</v>
      </c>
      <c r="FO199" s="1" t="s">
        <v>3435</v>
      </c>
      <c r="FP199" s="1">
        <v>53957.0</v>
      </c>
      <c r="FU199" s="1" t="s">
        <v>2697</v>
      </c>
      <c r="FV199" s="1" t="s">
        <v>200</v>
      </c>
      <c r="FW199" s="1" t="s">
        <v>290</v>
      </c>
      <c r="FZ199" s="1" t="s">
        <v>229</v>
      </c>
      <c r="GA199" s="1" t="s">
        <v>291</v>
      </c>
      <c r="GB199" s="2">
        <v>42024.0</v>
      </c>
      <c r="GC199" s="1" t="s">
        <v>3436</v>
      </c>
    </row>
    <row r="200">
      <c r="A200" s="1">
        <v>290000.0</v>
      </c>
      <c r="B200" s="1" t="s">
        <v>185</v>
      </c>
      <c r="C200" s="1" t="str">
        <f>"08770183"</f>
        <v>08770183</v>
      </c>
      <c r="D200" s="1" t="s">
        <v>186</v>
      </c>
      <c r="F200" s="1" t="str">
        <f>"118"</f>
        <v>118</v>
      </c>
      <c r="G200" s="2">
        <v>41949.0</v>
      </c>
      <c r="H200" s="1">
        <v>374900.0</v>
      </c>
      <c r="I200" s="1">
        <v>106.0</v>
      </c>
      <c r="J200" s="1">
        <v>279900.0</v>
      </c>
      <c r="K200" s="2">
        <v>42054.0</v>
      </c>
      <c r="L200" s="1">
        <v>106.0</v>
      </c>
      <c r="M200" s="2">
        <v>42054.0</v>
      </c>
      <c r="N200" s="1" t="s">
        <v>187</v>
      </c>
      <c r="O200" s="2">
        <v>42122.0</v>
      </c>
      <c r="P200" s="1">
        <v>238474.0</v>
      </c>
      <c r="Q200" s="1">
        <v>1956.0</v>
      </c>
      <c r="S200" s="1">
        <v>11.0</v>
      </c>
      <c r="T200" s="1" t="s">
        <v>3437</v>
      </c>
      <c r="U200" s="1" t="s">
        <v>569</v>
      </c>
      <c r="V200" s="1" t="s">
        <v>3438</v>
      </c>
      <c r="W200" s="1">
        <v>60118.0</v>
      </c>
      <c r="Y200" s="1" t="s">
        <v>3439</v>
      </c>
      <c r="Z200" s="1">
        <v>2000.0</v>
      </c>
      <c r="AA200" s="1" t="s">
        <v>200</v>
      </c>
      <c r="AB200" s="1" t="s">
        <v>193</v>
      </c>
      <c r="AD200" s="1" t="s">
        <v>3440</v>
      </c>
      <c r="AE200" s="1" t="s">
        <v>325</v>
      </c>
      <c r="AF200" s="1" t="s">
        <v>810</v>
      </c>
      <c r="AH200" s="1" t="s">
        <v>3441</v>
      </c>
      <c r="AI200" s="1">
        <v>2.127</v>
      </c>
      <c r="AK200" s="1">
        <v>8.0</v>
      </c>
      <c r="AL200" s="1">
        <v>4.0</v>
      </c>
      <c r="AM200" s="1">
        <v>3.0</v>
      </c>
      <c r="AN200" s="1">
        <v>0.0</v>
      </c>
      <c r="AO200" s="1" t="s">
        <v>198</v>
      </c>
      <c r="AQ200" s="1" t="s">
        <v>198</v>
      </c>
      <c r="AR200" s="1" t="s">
        <v>200</v>
      </c>
      <c r="AS200" s="1" t="s">
        <v>199</v>
      </c>
      <c r="AT200" s="1">
        <v>3.0</v>
      </c>
      <c r="AV200" s="1" t="s">
        <v>200</v>
      </c>
      <c r="AW200" s="1">
        <v>10037.4</v>
      </c>
      <c r="AX200" s="1">
        <v>2012.0</v>
      </c>
      <c r="AZ200" s="1" t="s">
        <v>200</v>
      </c>
      <c r="BA200" s="1" t="str">
        <f>"0328478014"</f>
        <v>0328478014</v>
      </c>
      <c r="BC200" s="1">
        <v>3063.0</v>
      </c>
      <c r="BD200" s="1">
        <v>290000.0</v>
      </c>
      <c r="BE200" s="2">
        <v>41949.0</v>
      </c>
      <c r="BF200" s="2" t="s">
        <v>3442</v>
      </c>
      <c r="BH200" s="1">
        <v>0.0</v>
      </c>
      <c r="BK200" s="1" t="s">
        <v>204</v>
      </c>
      <c r="BL200" s="1" t="str">
        <f t="shared" ref="BL200:BM200" si="136">""</f>
        <v/>
      </c>
      <c r="BM200" s="1" t="str">
        <f t="shared" si="136"/>
        <v/>
      </c>
      <c r="BQ200" s="1">
        <v>300.0</v>
      </c>
      <c r="BR200" s="1">
        <v>300.0</v>
      </c>
      <c r="BS200" s="1">
        <v>300.0</v>
      </c>
      <c r="BU200" s="1" t="s">
        <v>390</v>
      </c>
      <c r="BV200" s="1" t="s">
        <v>206</v>
      </c>
      <c r="BY200" s="1" t="s">
        <v>3375</v>
      </c>
      <c r="BZ200" s="1" t="s">
        <v>209</v>
      </c>
      <c r="CC200" s="1" t="s">
        <v>454</v>
      </c>
      <c r="CD200" s="1" t="s">
        <v>206</v>
      </c>
      <c r="CG200" s="1" t="s">
        <v>363</v>
      </c>
      <c r="CH200" s="1" t="s">
        <v>209</v>
      </c>
      <c r="CK200" s="1" t="s">
        <v>215</v>
      </c>
      <c r="CL200" s="1" t="s">
        <v>209</v>
      </c>
      <c r="CO200" s="1" t="s">
        <v>363</v>
      </c>
      <c r="CP200" s="1" t="s">
        <v>209</v>
      </c>
      <c r="CS200" s="1" t="s">
        <v>758</v>
      </c>
      <c r="CT200" s="1" t="s">
        <v>206</v>
      </c>
      <c r="CW200" s="1" t="s">
        <v>715</v>
      </c>
      <c r="CX200" s="1" t="s">
        <v>206</v>
      </c>
      <c r="DA200" s="1" t="s">
        <v>200</v>
      </c>
      <c r="DC200" s="1" t="s">
        <v>335</v>
      </c>
      <c r="DE200" s="1" t="s">
        <v>273</v>
      </c>
      <c r="DF200" s="1" t="s">
        <v>619</v>
      </c>
      <c r="DH200" s="1" t="s">
        <v>220</v>
      </c>
      <c r="DJ200" s="1" t="s">
        <v>222</v>
      </c>
      <c r="DL200" s="1" t="s">
        <v>223</v>
      </c>
      <c r="DM200" s="1" t="s">
        <v>229</v>
      </c>
      <c r="DQ200" s="1" t="s">
        <v>860</v>
      </c>
      <c r="DR200" s="1" t="s">
        <v>229</v>
      </c>
      <c r="DV200" s="1" t="s">
        <v>232</v>
      </c>
      <c r="DW200" s="1" t="s">
        <v>370</v>
      </c>
      <c r="DX200" s="1" t="s">
        <v>234</v>
      </c>
      <c r="EC200" s="1" t="s">
        <v>237</v>
      </c>
      <c r="EE200" s="1" t="s">
        <v>1960</v>
      </c>
      <c r="EM200" s="1" t="s">
        <v>238</v>
      </c>
      <c r="EQ200" s="1" t="s">
        <v>238</v>
      </c>
      <c r="EU200" s="1" t="s">
        <v>238</v>
      </c>
      <c r="EY200" s="1" t="s">
        <v>238</v>
      </c>
      <c r="FC200" s="1" t="s">
        <v>238</v>
      </c>
      <c r="FF200" s="1" t="s">
        <v>239</v>
      </c>
      <c r="FG200" s="1" t="s">
        <v>192</v>
      </c>
      <c r="FH200" s="1" t="s">
        <v>192</v>
      </c>
      <c r="FJ200" s="1" t="s">
        <v>2156</v>
      </c>
      <c r="FK200" s="1" t="s">
        <v>229</v>
      </c>
      <c r="FL200" s="1" t="s">
        <v>3443</v>
      </c>
      <c r="FM200" s="1">
        <v>8658.0</v>
      </c>
      <c r="FN200" s="1" t="s">
        <v>3444</v>
      </c>
      <c r="FO200" s="1" t="s">
        <v>3445</v>
      </c>
      <c r="FP200" s="1">
        <v>84760.0</v>
      </c>
      <c r="FQ200" s="1" t="s">
        <v>3444</v>
      </c>
      <c r="FS200" s="1" t="s">
        <v>3446</v>
      </c>
      <c r="FU200" s="1" t="s">
        <v>3447</v>
      </c>
      <c r="FV200" s="1" t="s">
        <v>200</v>
      </c>
      <c r="FW200" s="1" t="s">
        <v>290</v>
      </c>
      <c r="FZ200" s="1" t="s">
        <v>229</v>
      </c>
      <c r="GA200" s="1" t="s">
        <v>291</v>
      </c>
      <c r="GB200" s="2">
        <v>42123.0</v>
      </c>
      <c r="GC200" s="1" t="s">
        <v>3448</v>
      </c>
    </row>
    <row r="201">
      <c r="A201" s="1">
        <v>97000.0</v>
      </c>
      <c r="B201" s="1" t="s">
        <v>185</v>
      </c>
      <c r="C201" s="1" t="str">
        <f>"08770211"</f>
        <v>08770211</v>
      </c>
      <c r="D201" s="1" t="s">
        <v>186</v>
      </c>
      <c r="F201" s="1" t="str">
        <f>"8058"</f>
        <v>8058</v>
      </c>
      <c r="G201" s="2">
        <v>41949.0</v>
      </c>
      <c r="H201" s="1">
        <v>94500.0</v>
      </c>
      <c r="I201" s="1">
        <v>350.0</v>
      </c>
      <c r="J201" s="1">
        <v>94500.0</v>
      </c>
      <c r="K201" s="2">
        <v>41979.0</v>
      </c>
      <c r="L201" s="1">
        <v>31.0</v>
      </c>
      <c r="M201" s="2">
        <v>41979.0</v>
      </c>
      <c r="N201" s="1" t="s">
        <v>187</v>
      </c>
      <c r="O201" s="2">
        <v>42094.0</v>
      </c>
      <c r="P201" s="1">
        <v>125460.0</v>
      </c>
      <c r="Q201" s="1">
        <v>10889.0</v>
      </c>
      <c r="S201" s="1">
        <v>4238.0</v>
      </c>
      <c r="T201" s="1" t="s">
        <v>3449</v>
      </c>
      <c r="U201" s="1" t="s">
        <v>189</v>
      </c>
      <c r="V201" s="1" t="s">
        <v>190</v>
      </c>
      <c r="W201" s="1">
        <v>60632.0</v>
      </c>
      <c r="Y201" s="1" t="s">
        <v>3450</v>
      </c>
      <c r="Z201" s="1">
        <v>1901.0</v>
      </c>
      <c r="AA201" s="1" t="s">
        <v>192</v>
      </c>
      <c r="AB201" s="1" t="s">
        <v>193</v>
      </c>
      <c r="AD201" s="1" t="s">
        <v>194</v>
      </c>
      <c r="AE201" s="1" t="s">
        <v>195</v>
      </c>
      <c r="AF201" s="1" t="s">
        <v>659</v>
      </c>
      <c r="AH201" s="1" t="s">
        <v>741</v>
      </c>
      <c r="AK201" s="1">
        <v>9.0</v>
      </c>
      <c r="AL201" s="1">
        <v>4.0</v>
      </c>
      <c r="AM201" s="1">
        <v>3.0</v>
      </c>
      <c r="AN201" s="1">
        <v>0.0</v>
      </c>
      <c r="AO201" s="1" t="s">
        <v>229</v>
      </c>
      <c r="AQ201" s="1" t="s">
        <v>198</v>
      </c>
      <c r="AR201" s="1" t="s">
        <v>192</v>
      </c>
      <c r="AS201" s="1" t="s">
        <v>199</v>
      </c>
      <c r="AT201" s="1">
        <v>2.0</v>
      </c>
      <c r="AV201" s="1" t="s">
        <v>200</v>
      </c>
      <c r="AW201" s="1">
        <v>2418.0</v>
      </c>
      <c r="AX201" s="1">
        <v>2012.0</v>
      </c>
      <c r="AY201" s="1" t="s">
        <v>387</v>
      </c>
      <c r="AZ201" s="1" t="s">
        <v>200</v>
      </c>
      <c r="BA201" s="1" t="str">
        <f>"19011300320000"</f>
        <v>19011300320000</v>
      </c>
      <c r="BB201" s="1" t="s">
        <v>200</v>
      </c>
      <c r="BC201" s="1">
        <v>856.0</v>
      </c>
      <c r="BD201" s="1">
        <v>97000.0</v>
      </c>
      <c r="BE201" s="2">
        <v>41949.0</v>
      </c>
      <c r="BF201" s="2" t="s">
        <v>3451</v>
      </c>
      <c r="BH201" s="1">
        <v>0.0</v>
      </c>
      <c r="BK201" s="1" t="s">
        <v>204</v>
      </c>
      <c r="BL201" s="1" t="str">
        <f t="shared" ref="BL201:BM201" si="137">"0"</f>
        <v>0</v>
      </c>
      <c r="BM201" s="1" t="str">
        <f t="shared" si="137"/>
        <v>0</v>
      </c>
      <c r="BN201" s="1">
        <v>2900.0</v>
      </c>
      <c r="BO201" s="1">
        <v>4238.0</v>
      </c>
      <c r="BQ201" s="1">
        <v>299.0</v>
      </c>
      <c r="BR201" s="1">
        <v>299.0</v>
      </c>
      <c r="BS201" s="1">
        <v>299.0</v>
      </c>
      <c r="BU201" s="1" t="s">
        <v>392</v>
      </c>
      <c r="BV201" s="1" t="s">
        <v>206</v>
      </c>
      <c r="BW201" s="1" t="s">
        <v>207</v>
      </c>
      <c r="BY201" s="1" t="s">
        <v>497</v>
      </c>
      <c r="BZ201" s="1" t="s">
        <v>206</v>
      </c>
      <c r="CA201" s="1" t="s">
        <v>207</v>
      </c>
      <c r="CD201" s="1" t="s">
        <v>204</v>
      </c>
      <c r="CG201" s="1" t="s">
        <v>495</v>
      </c>
      <c r="CH201" s="1" t="s">
        <v>206</v>
      </c>
      <c r="CI201" s="1" t="s">
        <v>207</v>
      </c>
      <c r="CK201" s="1" t="s">
        <v>516</v>
      </c>
      <c r="CL201" s="1" t="s">
        <v>209</v>
      </c>
      <c r="CO201" s="1" t="s">
        <v>798</v>
      </c>
      <c r="CP201" s="1" t="s">
        <v>209</v>
      </c>
      <c r="CQ201" s="1" t="s">
        <v>210</v>
      </c>
      <c r="CS201" s="1" t="s">
        <v>454</v>
      </c>
      <c r="CT201" s="1" t="s">
        <v>206</v>
      </c>
      <c r="CU201" s="1" t="s">
        <v>617</v>
      </c>
      <c r="CW201" s="1" t="s">
        <v>495</v>
      </c>
      <c r="CX201" s="1" t="s">
        <v>209</v>
      </c>
      <c r="CY201" s="1" t="s">
        <v>210</v>
      </c>
      <c r="DA201" s="1" t="s">
        <v>200</v>
      </c>
      <c r="DC201" s="1" t="s">
        <v>642</v>
      </c>
      <c r="DE201" s="1" t="s">
        <v>229</v>
      </c>
      <c r="DF201" s="1" t="s">
        <v>905</v>
      </c>
      <c r="DH201" s="1" t="s">
        <v>365</v>
      </c>
      <c r="DJ201" s="1" t="s">
        <v>222</v>
      </c>
      <c r="DL201" s="1" t="s">
        <v>224</v>
      </c>
      <c r="DM201" s="1" t="s">
        <v>229</v>
      </c>
      <c r="DQ201" s="1" t="s">
        <v>228</v>
      </c>
      <c r="DR201" s="1" t="s">
        <v>229</v>
      </c>
      <c r="DS201" s="1" t="s">
        <v>230</v>
      </c>
      <c r="DV201" s="1" t="s">
        <v>3452</v>
      </c>
      <c r="DW201" s="1" t="s">
        <v>233</v>
      </c>
      <c r="DX201" s="1" t="s">
        <v>234</v>
      </c>
      <c r="EA201" s="1" t="s">
        <v>447</v>
      </c>
      <c r="EC201" s="1" t="s">
        <v>645</v>
      </c>
      <c r="EG201" s="1" t="s">
        <v>114</v>
      </c>
      <c r="EH201" s="1" t="s">
        <v>1407</v>
      </c>
      <c r="EL201" s="1" t="s">
        <v>3453</v>
      </c>
      <c r="EM201" s="1" t="s">
        <v>114</v>
      </c>
      <c r="EP201" s="1" t="s">
        <v>263</v>
      </c>
      <c r="EQ201" s="1" t="s">
        <v>42</v>
      </c>
      <c r="EU201" s="1" t="s">
        <v>238</v>
      </c>
      <c r="EY201" s="1" t="s">
        <v>238</v>
      </c>
      <c r="FC201" s="1" t="s">
        <v>238</v>
      </c>
      <c r="FF201" s="1" t="s">
        <v>239</v>
      </c>
      <c r="FG201" s="1" t="s">
        <v>192</v>
      </c>
      <c r="FH201" s="1" t="s">
        <v>192</v>
      </c>
      <c r="FJ201" s="1" t="s">
        <v>3454</v>
      </c>
      <c r="FK201" s="1" t="s">
        <v>1586</v>
      </c>
      <c r="FL201" s="1" t="s">
        <v>3455</v>
      </c>
      <c r="FM201" s="1">
        <v>14856.0</v>
      </c>
      <c r="FN201" s="1" t="s">
        <v>3456</v>
      </c>
      <c r="FO201" s="1" t="s">
        <v>3457</v>
      </c>
      <c r="FP201" s="1">
        <v>130269.0</v>
      </c>
      <c r="FQ201" s="1" t="s">
        <v>3458</v>
      </c>
      <c r="FU201" s="1" t="s">
        <v>3459</v>
      </c>
      <c r="FV201" s="1" t="s">
        <v>200</v>
      </c>
      <c r="FW201" s="1" t="s">
        <v>567</v>
      </c>
      <c r="FX201" s="1" t="s">
        <v>655</v>
      </c>
      <c r="FZ201" s="1" t="s">
        <v>229</v>
      </c>
      <c r="GA201" s="1" t="s">
        <v>291</v>
      </c>
      <c r="GB201" s="2">
        <v>42095.0</v>
      </c>
      <c r="GC201" s="1" t="s">
        <v>3170</v>
      </c>
    </row>
    <row r="202">
      <c r="A202" s="1">
        <v>290530.0</v>
      </c>
      <c r="B202" s="1" t="s">
        <v>185</v>
      </c>
      <c r="C202" s="1" t="str">
        <f>"08769596"</f>
        <v>08769596</v>
      </c>
      <c r="D202" s="1" t="s">
        <v>186</v>
      </c>
      <c r="F202" s="1" t="str">
        <f>"510"</f>
        <v>510</v>
      </c>
      <c r="G202" s="2">
        <v>41948.0</v>
      </c>
      <c r="H202" s="1">
        <v>299000.0</v>
      </c>
      <c r="I202" s="1">
        <v>231.0</v>
      </c>
      <c r="J202" s="1">
        <v>299000.0</v>
      </c>
      <c r="K202" s="2">
        <v>41975.0</v>
      </c>
      <c r="L202" s="1">
        <v>28.0</v>
      </c>
      <c r="M202" s="2">
        <v>41975.0</v>
      </c>
      <c r="N202" s="1" t="s">
        <v>356</v>
      </c>
      <c r="O202" s="2">
        <v>42024.0</v>
      </c>
      <c r="P202" s="1">
        <v>230500.0</v>
      </c>
      <c r="Q202" s="1">
        <v>23591.0</v>
      </c>
      <c r="S202" s="1">
        <v>701.0</v>
      </c>
      <c r="T202" s="1" t="s">
        <v>3460</v>
      </c>
      <c r="U202" s="1" t="s">
        <v>189</v>
      </c>
      <c r="V202" s="1" t="s">
        <v>2700</v>
      </c>
      <c r="W202" s="1">
        <v>60510.0</v>
      </c>
      <c r="Y202" s="1" t="s">
        <v>3461</v>
      </c>
      <c r="Z202" s="1">
        <v>1989.0</v>
      </c>
      <c r="AA202" s="1" t="s">
        <v>200</v>
      </c>
      <c r="AB202" s="1" t="s">
        <v>193</v>
      </c>
      <c r="AD202" s="1" t="s">
        <v>2702</v>
      </c>
      <c r="AE202" s="1" t="s">
        <v>325</v>
      </c>
      <c r="AF202" s="1" t="s">
        <v>2702</v>
      </c>
      <c r="AH202" s="1" t="s">
        <v>3462</v>
      </c>
      <c r="AI202" s="1">
        <v>0.63</v>
      </c>
      <c r="AK202" s="1">
        <v>12.0</v>
      </c>
      <c r="AL202" s="1">
        <v>4.0</v>
      </c>
      <c r="AM202" s="1">
        <v>4.0</v>
      </c>
      <c r="AN202" s="1">
        <v>1.0</v>
      </c>
      <c r="AO202" s="1" t="s">
        <v>198</v>
      </c>
      <c r="AP202" s="1">
        <v>2.0</v>
      </c>
      <c r="AQ202" s="1" t="s">
        <v>327</v>
      </c>
      <c r="AR202" s="1" t="s">
        <v>192</v>
      </c>
      <c r="AS202" s="1" t="s">
        <v>199</v>
      </c>
      <c r="AT202" s="1">
        <v>2.0</v>
      </c>
      <c r="AV202" s="1" t="s">
        <v>200</v>
      </c>
      <c r="AW202" s="1">
        <v>9507.82</v>
      </c>
      <c r="AX202" s="1">
        <v>2013.0</v>
      </c>
      <c r="AY202" s="1" t="s">
        <v>387</v>
      </c>
      <c r="AZ202" s="1" t="s">
        <v>545</v>
      </c>
      <c r="BA202" s="1" t="str">
        <f>"1223381003"</f>
        <v>1223381003</v>
      </c>
      <c r="BC202" s="1">
        <v>2942.0</v>
      </c>
      <c r="BD202" s="1">
        <v>290530.0</v>
      </c>
      <c r="BE202" s="2">
        <v>41948.0</v>
      </c>
      <c r="BF202" s="2" t="s">
        <v>3463</v>
      </c>
      <c r="BH202" s="1">
        <v>0.0</v>
      </c>
      <c r="BK202" s="1" t="s">
        <v>204</v>
      </c>
      <c r="BL202" s="1" t="str">
        <f t="shared" ref="BL202:BM202" si="138">""</f>
        <v/>
      </c>
      <c r="BM202" s="1" t="str">
        <f t="shared" si="138"/>
        <v/>
      </c>
      <c r="BQ202" s="1">
        <v>101.0</v>
      </c>
      <c r="BR202" s="1">
        <v>101.0</v>
      </c>
      <c r="BS202" s="1">
        <v>101.0</v>
      </c>
      <c r="BU202" s="1" t="s">
        <v>329</v>
      </c>
      <c r="BV202" s="1" t="s">
        <v>206</v>
      </c>
      <c r="BW202" s="1" t="s">
        <v>207</v>
      </c>
      <c r="BY202" s="1" t="s">
        <v>432</v>
      </c>
      <c r="BZ202" s="1" t="s">
        <v>209</v>
      </c>
      <c r="CA202" s="1" t="s">
        <v>210</v>
      </c>
      <c r="CC202" s="1" t="s">
        <v>215</v>
      </c>
      <c r="CD202" s="1" t="s">
        <v>206</v>
      </c>
      <c r="CE202" s="1" t="s">
        <v>207</v>
      </c>
      <c r="CG202" s="1" t="s">
        <v>264</v>
      </c>
      <c r="CH202" s="1" t="s">
        <v>209</v>
      </c>
      <c r="CI202" s="1" t="s">
        <v>210</v>
      </c>
      <c r="CK202" s="1" t="s">
        <v>262</v>
      </c>
      <c r="CL202" s="1" t="s">
        <v>209</v>
      </c>
      <c r="CM202" s="1" t="s">
        <v>210</v>
      </c>
      <c r="CO202" s="1" t="s">
        <v>584</v>
      </c>
      <c r="CP202" s="1" t="s">
        <v>209</v>
      </c>
      <c r="CQ202" s="1" t="s">
        <v>210</v>
      </c>
      <c r="CS202" s="1" t="s">
        <v>1000</v>
      </c>
      <c r="CT202" s="1" t="s">
        <v>206</v>
      </c>
      <c r="CU202" s="1" t="s">
        <v>207</v>
      </c>
      <c r="CW202" s="1" t="s">
        <v>333</v>
      </c>
      <c r="CX202" s="1" t="s">
        <v>206</v>
      </c>
      <c r="CY202" s="1" t="s">
        <v>210</v>
      </c>
      <c r="DA202" s="1" t="s">
        <v>200</v>
      </c>
      <c r="DC202" s="1" t="s">
        <v>305</v>
      </c>
      <c r="DD202" s="1" t="s">
        <v>436</v>
      </c>
      <c r="DE202" s="1" t="s">
        <v>273</v>
      </c>
      <c r="DF202" s="1" t="s">
        <v>219</v>
      </c>
      <c r="DH202" s="1" t="s">
        <v>220</v>
      </c>
      <c r="DJ202" s="1" t="s">
        <v>222</v>
      </c>
      <c r="DL202" s="1" t="s">
        <v>224</v>
      </c>
      <c r="DM202" s="1" t="s">
        <v>229</v>
      </c>
      <c r="DN202" s="1" t="s">
        <v>339</v>
      </c>
      <c r="DP202" s="1" t="s">
        <v>340</v>
      </c>
      <c r="DQ202" s="1" t="s">
        <v>1557</v>
      </c>
      <c r="DR202" s="1" t="s">
        <v>229</v>
      </c>
      <c r="DV202" s="1" t="s">
        <v>3464</v>
      </c>
      <c r="DW202" s="1" t="s">
        <v>3465</v>
      </c>
      <c r="DX202" s="1" t="s">
        <v>234</v>
      </c>
      <c r="DY202" s="1" t="s">
        <v>3466</v>
      </c>
      <c r="EA202" s="1" t="s">
        <v>447</v>
      </c>
      <c r="EB202" s="1" t="s">
        <v>1639</v>
      </c>
      <c r="EC202" s="1" t="s">
        <v>237</v>
      </c>
      <c r="EG202" s="1" t="s">
        <v>598</v>
      </c>
      <c r="EH202" s="1" t="s">
        <v>1164</v>
      </c>
      <c r="EI202" s="1" t="s">
        <v>1121</v>
      </c>
      <c r="EJ202" s="1" t="s">
        <v>1407</v>
      </c>
      <c r="EK202" s="1" t="s">
        <v>408</v>
      </c>
      <c r="EL202" s="1" t="s">
        <v>332</v>
      </c>
      <c r="EM202" s="1" t="s">
        <v>206</v>
      </c>
      <c r="EN202" s="1" t="s">
        <v>207</v>
      </c>
      <c r="EP202" s="1" t="s">
        <v>784</v>
      </c>
      <c r="EQ202" s="1" t="s">
        <v>1697</v>
      </c>
      <c r="ER202" s="1" t="s">
        <v>301</v>
      </c>
      <c r="ET202" s="1" t="s">
        <v>213</v>
      </c>
      <c r="EU202" s="1" t="s">
        <v>209</v>
      </c>
      <c r="EV202" s="1" t="s">
        <v>210</v>
      </c>
      <c r="EX202" s="1" t="s">
        <v>332</v>
      </c>
      <c r="EY202" s="1" t="s">
        <v>1697</v>
      </c>
      <c r="EZ202" s="1" t="s">
        <v>301</v>
      </c>
      <c r="FB202" s="1" t="s">
        <v>3467</v>
      </c>
      <c r="FC202" s="1" t="s">
        <v>206</v>
      </c>
      <c r="FD202" s="1" t="s">
        <v>207</v>
      </c>
      <c r="FF202" s="1" t="s">
        <v>239</v>
      </c>
      <c r="FG202" s="1" t="s">
        <v>192</v>
      </c>
      <c r="FH202" s="1" t="s">
        <v>192</v>
      </c>
      <c r="FJ202" s="1" t="s">
        <v>1248</v>
      </c>
      <c r="FK202" s="1" t="s">
        <v>229</v>
      </c>
      <c r="FL202" s="1" t="s">
        <v>2184</v>
      </c>
      <c r="FM202" s="1">
        <v>605.0</v>
      </c>
      <c r="FN202" s="1" t="s">
        <v>2185</v>
      </c>
      <c r="FO202" s="1" t="s">
        <v>1738</v>
      </c>
      <c r="FP202" s="1">
        <v>170.0</v>
      </c>
      <c r="FQ202" s="1" t="s">
        <v>2185</v>
      </c>
      <c r="FS202" s="1" t="s">
        <v>3468</v>
      </c>
      <c r="FU202" s="1" t="s">
        <v>3469</v>
      </c>
      <c r="FV202" s="1" t="s">
        <v>200</v>
      </c>
      <c r="FW202" s="1" t="s">
        <v>354</v>
      </c>
      <c r="FZ202" s="1" t="s">
        <v>229</v>
      </c>
      <c r="GA202" s="1" t="s">
        <v>291</v>
      </c>
      <c r="GB202" s="2">
        <v>42025.0</v>
      </c>
      <c r="GC202" s="1" t="s">
        <v>3470</v>
      </c>
    </row>
    <row r="203">
      <c r="A203" s="1">
        <v>271500.0</v>
      </c>
      <c r="B203" s="1" t="s">
        <v>185</v>
      </c>
      <c r="C203" s="1" t="str">
        <f>"08770194"</f>
        <v>08770194</v>
      </c>
      <c r="D203" s="1" t="s">
        <v>186</v>
      </c>
      <c r="F203" s="1" t="str">
        <f>"8013"</f>
        <v>8013</v>
      </c>
      <c r="G203" s="2">
        <v>41949.0</v>
      </c>
      <c r="H203" s="1">
        <v>289900.0</v>
      </c>
      <c r="I203" s="1">
        <v>19.0</v>
      </c>
      <c r="J203" s="1">
        <v>289900.0</v>
      </c>
      <c r="K203" s="2">
        <v>41967.0</v>
      </c>
      <c r="L203" s="1">
        <v>19.0</v>
      </c>
      <c r="M203" s="2">
        <v>41967.0</v>
      </c>
      <c r="N203" s="1" t="s">
        <v>187</v>
      </c>
      <c r="O203" s="2">
        <v>42039.0</v>
      </c>
      <c r="P203" s="1">
        <v>130100.0</v>
      </c>
      <c r="Q203" s="1">
        <v>10267.0</v>
      </c>
      <c r="S203" s="1">
        <v>5246.0</v>
      </c>
      <c r="T203" s="1" t="s">
        <v>3471</v>
      </c>
      <c r="U203" s="1" t="s">
        <v>189</v>
      </c>
      <c r="V203" s="1" t="s">
        <v>190</v>
      </c>
      <c r="W203" s="1">
        <v>60625.0</v>
      </c>
      <c r="X203" s="1">
        <v>4615.0</v>
      </c>
      <c r="Y203" s="1" t="s">
        <v>3472</v>
      </c>
      <c r="Z203" s="1">
        <v>1967.0</v>
      </c>
      <c r="AA203" s="1" t="s">
        <v>192</v>
      </c>
      <c r="AB203" s="1" t="s">
        <v>193</v>
      </c>
      <c r="AD203" s="1" t="s">
        <v>194</v>
      </c>
      <c r="AE203" s="1" t="s">
        <v>195</v>
      </c>
      <c r="AF203" s="1" t="s">
        <v>196</v>
      </c>
      <c r="AH203" s="1" t="s">
        <v>359</v>
      </c>
      <c r="AK203" s="1">
        <v>8.0</v>
      </c>
      <c r="AL203" s="1">
        <v>3.0</v>
      </c>
      <c r="AM203" s="1">
        <v>1.0</v>
      </c>
      <c r="AN203" s="1">
        <v>0.0</v>
      </c>
      <c r="AO203" s="1" t="s">
        <v>198</v>
      </c>
      <c r="AQ203" s="1" t="s">
        <v>198</v>
      </c>
      <c r="AR203" s="1" t="s">
        <v>200</v>
      </c>
      <c r="AS203" s="1" t="s">
        <v>199</v>
      </c>
      <c r="AT203" s="1">
        <v>2.0</v>
      </c>
      <c r="AV203" s="1" t="s">
        <v>200</v>
      </c>
      <c r="AW203" s="1">
        <v>3851.0</v>
      </c>
      <c r="AX203" s="1">
        <v>2012.0</v>
      </c>
      <c r="AZ203" s="1" t="s">
        <v>200</v>
      </c>
      <c r="BA203" s="1" t="str">
        <f>"13112230160000"</f>
        <v>13112230160000</v>
      </c>
      <c r="BB203" s="1" t="s">
        <v>200</v>
      </c>
      <c r="BC203" s="1">
        <v>1040.0</v>
      </c>
      <c r="BD203" s="1">
        <v>271500.0</v>
      </c>
      <c r="BE203" s="2">
        <v>41949.0</v>
      </c>
      <c r="BF203" s="2" t="s">
        <v>3473</v>
      </c>
      <c r="BG203" s="1" t="s">
        <v>3474</v>
      </c>
      <c r="BH203" s="1">
        <v>0.0</v>
      </c>
      <c r="BK203" s="1" t="s">
        <v>204</v>
      </c>
      <c r="BL203" s="1" t="str">
        <f>"5246"</f>
        <v>5246</v>
      </c>
      <c r="BM203" s="1" t="str">
        <f t="shared" ref="BM203:BM205" si="139">"0"</f>
        <v>0</v>
      </c>
      <c r="BN203" s="1">
        <v>3234.0</v>
      </c>
      <c r="BO203" s="1">
        <v>0.0</v>
      </c>
      <c r="BQ203" s="1">
        <v>299.0</v>
      </c>
      <c r="BR203" s="1">
        <v>299.0</v>
      </c>
      <c r="BS203" s="1">
        <v>299.0</v>
      </c>
      <c r="BU203" s="1" t="s">
        <v>664</v>
      </c>
      <c r="BV203" s="1" t="s">
        <v>206</v>
      </c>
      <c r="BW203" s="1" t="s">
        <v>207</v>
      </c>
      <c r="BY203" s="1" t="s">
        <v>262</v>
      </c>
      <c r="BZ203" s="1" t="s">
        <v>206</v>
      </c>
      <c r="CA203" s="1" t="s">
        <v>207</v>
      </c>
      <c r="CC203" s="1" t="s">
        <v>798</v>
      </c>
      <c r="CD203" s="1" t="s">
        <v>206</v>
      </c>
      <c r="CE203" s="1" t="s">
        <v>207</v>
      </c>
      <c r="CG203" s="1" t="s">
        <v>543</v>
      </c>
      <c r="CH203" s="1" t="s">
        <v>206</v>
      </c>
      <c r="CI203" s="1" t="s">
        <v>207</v>
      </c>
      <c r="CK203" s="1" t="s">
        <v>543</v>
      </c>
      <c r="CL203" s="1" t="s">
        <v>206</v>
      </c>
      <c r="CM203" s="1" t="s">
        <v>207</v>
      </c>
      <c r="CO203" s="1" t="s">
        <v>332</v>
      </c>
      <c r="CP203" s="1" t="s">
        <v>42</v>
      </c>
      <c r="CQ203" s="1" t="s">
        <v>210</v>
      </c>
      <c r="CS203" s="1" t="s">
        <v>798</v>
      </c>
      <c r="CT203" s="1" t="s">
        <v>206</v>
      </c>
      <c r="CU203" s="1" t="s">
        <v>207</v>
      </c>
      <c r="CW203" s="1" t="s">
        <v>3475</v>
      </c>
      <c r="CX203" s="1" t="s">
        <v>42</v>
      </c>
      <c r="CY203" s="1" t="s">
        <v>210</v>
      </c>
      <c r="DA203" s="1" t="s">
        <v>200</v>
      </c>
      <c r="DC203" s="1" t="s">
        <v>517</v>
      </c>
      <c r="DD203" s="1" t="s">
        <v>518</v>
      </c>
      <c r="DE203" s="1" t="s">
        <v>1139</v>
      </c>
      <c r="DF203" s="1" t="s">
        <v>3476</v>
      </c>
      <c r="DG203" s="1" t="s">
        <v>337</v>
      </c>
      <c r="DH203" s="1" t="s">
        <v>365</v>
      </c>
      <c r="DI203" s="1" t="s">
        <v>703</v>
      </c>
      <c r="DJ203" s="1" t="s">
        <v>222</v>
      </c>
      <c r="DL203" s="1" t="s">
        <v>1161</v>
      </c>
      <c r="DM203" s="1" t="s">
        <v>229</v>
      </c>
      <c r="DQ203" s="1" t="s">
        <v>718</v>
      </c>
      <c r="DR203" s="1" t="s">
        <v>229</v>
      </c>
      <c r="DS203" s="1" t="s">
        <v>230</v>
      </c>
      <c r="DU203" s="1" t="s">
        <v>3477</v>
      </c>
      <c r="DV203" s="1" t="s">
        <v>232</v>
      </c>
      <c r="DW203" s="1" t="s">
        <v>279</v>
      </c>
      <c r="DX203" s="1" t="s">
        <v>234</v>
      </c>
      <c r="DY203" s="1" t="s">
        <v>2240</v>
      </c>
      <c r="DZ203" s="1" t="s">
        <v>282</v>
      </c>
      <c r="EA203" s="1" t="s">
        <v>683</v>
      </c>
      <c r="EC203" s="1" t="s">
        <v>685</v>
      </c>
      <c r="EM203" s="1" t="s">
        <v>238</v>
      </c>
      <c r="EQ203" s="1" t="s">
        <v>238</v>
      </c>
      <c r="EU203" s="1" t="s">
        <v>238</v>
      </c>
      <c r="EY203" s="1" t="s">
        <v>238</v>
      </c>
      <c r="FC203" s="1" t="s">
        <v>238</v>
      </c>
      <c r="FF203" s="1" t="s">
        <v>239</v>
      </c>
      <c r="FG203" s="1" t="s">
        <v>192</v>
      </c>
      <c r="FH203" s="1" t="s">
        <v>192</v>
      </c>
      <c r="FJ203" s="1" t="s">
        <v>561</v>
      </c>
      <c r="FK203" s="1" t="s">
        <v>229</v>
      </c>
      <c r="FL203" s="1" t="s">
        <v>562</v>
      </c>
      <c r="FM203" s="1">
        <v>17665.0</v>
      </c>
      <c r="FN203" s="1" t="s">
        <v>2998</v>
      </c>
      <c r="FO203" s="1" t="s">
        <v>3478</v>
      </c>
      <c r="FP203" s="1">
        <v>857984.0</v>
      </c>
      <c r="FU203" s="1" t="s">
        <v>1438</v>
      </c>
      <c r="FV203" s="1" t="s">
        <v>200</v>
      </c>
      <c r="FW203" s="1" t="s">
        <v>3479</v>
      </c>
      <c r="FX203" s="1" t="s">
        <v>238</v>
      </c>
      <c r="FZ203" s="1" t="s">
        <v>229</v>
      </c>
      <c r="GA203" s="1" t="s">
        <v>291</v>
      </c>
      <c r="GB203" s="2">
        <v>42039.0</v>
      </c>
    </row>
    <row r="204">
      <c r="A204" s="1">
        <v>248000.0</v>
      </c>
      <c r="B204" s="1" t="s">
        <v>185</v>
      </c>
      <c r="C204" s="1" t="str">
        <f>"08765632"</f>
        <v>08765632</v>
      </c>
      <c r="D204" s="1" t="s">
        <v>186</v>
      </c>
      <c r="F204" s="1" t="str">
        <f>"118"</f>
        <v>118</v>
      </c>
      <c r="G204" s="2">
        <v>41943.0</v>
      </c>
      <c r="H204" s="1">
        <v>250000.0</v>
      </c>
      <c r="I204" s="1">
        <v>182.0</v>
      </c>
      <c r="J204" s="1">
        <v>250000.0</v>
      </c>
      <c r="K204" s="2">
        <v>42007.0</v>
      </c>
      <c r="L204" s="1">
        <v>65.0</v>
      </c>
      <c r="M204" s="2">
        <v>42007.0</v>
      </c>
      <c r="N204" s="1" t="s">
        <v>187</v>
      </c>
      <c r="O204" s="2">
        <v>42062.0</v>
      </c>
      <c r="P204" s="1">
        <v>77577.0</v>
      </c>
      <c r="Q204" s="1">
        <v>7470.0</v>
      </c>
      <c r="R204" s="1">
        <v>3500.0</v>
      </c>
      <c r="S204" s="1">
        <v>2027.0</v>
      </c>
      <c r="T204" s="1" t="s">
        <v>3480</v>
      </c>
      <c r="U204" s="1" t="s">
        <v>420</v>
      </c>
      <c r="V204" s="1" t="s">
        <v>1086</v>
      </c>
      <c r="W204" s="1">
        <v>60118.0</v>
      </c>
      <c r="Y204" s="1" t="s">
        <v>3481</v>
      </c>
      <c r="Z204" s="1">
        <v>1994.0</v>
      </c>
      <c r="AA204" s="1" t="s">
        <v>200</v>
      </c>
      <c r="AB204" s="1" t="s">
        <v>193</v>
      </c>
      <c r="AC204" s="1" t="s">
        <v>3482</v>
      </c>
      <c r="AD204" s="1" t="s">
        <v>3394</v>
      </c>
      <c r="AE204" s="1" t="s">
        <v>325</v>
      </c>
      <c r="AF204" s="1" t="s">
        <v>810</v>
      </c>
      <c r="AG204" s="1" t="s">
        <v>3483</v>
      </c>
      <c r="AH204" s="1" t="s">
        <v>3484</v>
      </c>
      <c r="AI204" s="1">
        <v>0.2422</v>
      </c>
      <c r="AK204" s="1">
        <v>9.0</v>
      </c>
      <c r="AL204" s="1">
        <v>4.0</v>
      </c>
      <c r="AM204" s="1">
        <v>2.0</v>
      </c>
      <c r="AN204" s="1">
        <v>1.0</v>
      </c>
      <c r="AO204" s="1" t="s">
        <v>198</v>
      </c>
      <c r="AP204" s="1">
        <v>1.0</v>
      </c>
      <c r="AQ204" s="1" t="s">
        <v>472</v>
      </c>
      <c r="AR204" s="1" t="s">
        <v>200</v>
      </c>
      <c r="AS204" s="1" t="s">
        <v>199</v>
      </c>
      <c r="AT204" s="1">
        <v>2.5</v>
      </c>
      <c r="AV204" s="1" t="s">
        <v>200</v>
      </c>
      <c r="AW204" s="1">
        <v>6849.76</v>
      </c>
      <c r="AX204" s="1">
        <v>2013.0</v>
      </c>
      <c r="AY204" s="1" t="s">
        <v>1179</v>
      </c>
      <c r="AZ204" s="1" t="s">
        <v>200</v>
      </c>
      <c r="BA204" s="1" t="str">
        <f>"0321132027"</f>
        <v>0321132027</v>
      </c>
      <c r="BB204" s="1" t="s">
        <v>200</v>
      </c>
      <c r="BC204" s="1">
        <v>2346.0</v>
      </c>
      <c r="BD204" s="1">
        <v>248000.0</v>
      </c>
      <c r="BE204" s="2">
        <v>41943.0</v>
      </c>
      <c r="BF204" s="2" t="s">
        <v>3485</v>
      </c>
      <c r="BG204" s="1" t="s">
        <v>3486</v>
      </c>
      <c r="BH204" s="1">
        <v>0.0</v>
      </c>
      <c r="BI204" s="1" t="s">
        <v>1093</v>
      </c>
      <c r="BJ204" s="1" t="s">
        <v>1759</v>
      </c>
      <c r="BK204" s="1" t="s">
        <v>204</v>
      </c>
      <c r="BL204" s="1" t="str">
        <f>"16"</f>
        <v>16</v>
      </c>
      <c r="BM204" s="1" t="str">
        <f t="shared" si="139"/>
        <v>0</v>
      </c>
      <c r="BN204" s="1">
        <v>35.0</v>
      </c>
      <c r="BO204" s="1">
        <v>0.0</v>
      </c>
      <c r="BQ204" s="1">
        <v>300.0</v>
      </c>
      <c r="BR204" s="1">
        <v>300.0</v>
      </c>
      <c r="BS204" s="1">
        <v>300.0</v>
      </c>
      <c r="BU204" s="1" t="s">
        <v>361</v>
      </c>
      <c r="BV204" s="1" t="s">
        <v>206</v>
      </c>
      <c r="BW204" s="1" t="s">
        <v>210</v>
      </c>
      <c r="BX204" s="1" t="s">
        <v>239</v>
      </c>
      <c r="BY204" s="1" t="s">
        <v>432</v>
      </c>
      <c r="BZ204" s="1" t="s">
        <v>209</v>
      </c>
      <c r="CA204" s="1" t="s">
        <v>210</v>
      </c>
      <c r="CB204" s="1" t="s">
        <v>239</v>
      </c>
      <c r="CC204" s="1" t="s">
        <v>332</v>
      </c>
      <c r="CD204" s="1" t="s">
        <v>206</v>
      </c>
      <c r="CE204" s="1" t="s">
        <v>210</v>
      </c>
      <c r="CF204" s="1" t="s">
        <v>239</v>
      </c>
      <c r="CG204" s="1" t="s">
        <v>331</v>
      </c>
      <c r="CH204" s="1" t="s">
        <v>209</v>
      </c>
      <c r="CI204" s="1" t="s">
        <v>210</v>
      </c>
      <c r="CJ204" s="1" t="s">
        <v>239</v>
      </c>
      <c r="CK204" s="1" t="s">
        <v>262</v>
      </c>
      <c r="CL204" s="1" t="s">
        <v>209</v>
      </c>
      <c r="CM204" s="1" t="s">
        <v>210</v>
      </c>
      <c r="CN204" s="1" t="s">
        <v>239</v>
      </c>
      <c r="CO204" s="1" t="s">
        <v>212</v>
      </c>
      <c r="CP204" s="1" t="s">
        <v>209</v>
      </c>
      <c r="CQ204" s="1" t="s">
        <v>210</v>
      </c>
      <c r="CR204" s="1" t="s">
        <v>239</v>
      </c>
      <c r="CS204" s="1" t="s">
        <v>433</v>
      </c>
      <c r="CT204" s="1" t="s">
        <v>206</v>
      </c>
      <c r="CU204" s="1" t="s">
        <v>207</v>
      </c>
      <c r="CV204" s="1" t="s">
        <v>239</v>
      </c>
      <c r="CW204" s="1" t="s">
        <v>362</v>
      </c>
      <c r="CX204" s="1" t="s">
        <v>206</v>
      </c>
      <c r="CY204" s="1" t="s">
        <v>210</v>
      </c>
      <c r="CZ204" s="1" t="s">
        <v>239</v>
      </c>
      <c r="DA204" s="1" t="s">
        <v>200</v>
      </c>
      <c r="DC204" s="1" t="s">
        <v>678</v>
      </c>
      <c r="DD204" s="1" t="s">
        <v>436</v>
      </c>
      <c r="DE204" s="1" t="s">
        <v>273</v>
      </c>
      <c r="DF204" s="1" t="s">
        <v>219</v>
      </c>
      <c r="DG204" s="1" t="s">
        <v>1400</v>
      </c>
      <c r="DH204" s="1" t="s">
        <v>220</v>
      </c>
      <c r="DI204" s="1" t="s">
        <v>221</v>
      </c>
      <c r="DJ204" s="1" t="s">
        <v>222</v>
      </c>
      <c r="DL204" s="1" t="s">
        <v>223</v>
      </c>
      <c r="DM204" s="1" t="s">
        <v>338</v>
      </c>
      <c r="DN204" s="1" t="s">
        <v>485</v>
      </c>
      <c r="DO204" s="1" t="s">
        <v>440</v>
      </c>
      <c r="DP204" s="1" t="s">
        <v>340</v>
      </c>
      <c r="DQ204" s="1" t="s">
        <v>441</v>
      </c>
      <c r="DR204" s="1" t="s">
        <v>229</v>
      </c>
      <c r="DS204" s="1" t="s">
        <v>230</v>
      </c>
      <c r="DU204" s="1" t="s">
        <v>3487</v>
      </c>
      <c r="DV204" s="1" t="s">
        <v>449</v>
      </c>
      <c r="DW204" s="1" t="s">
        <v>233</v>
      </c>
      <c r="DX204" s="1" t="s">
        <v>234</v>
      </c>
      <c r="DY204" s="1" t="s">
        <v>3488</v>
      </c>
      <c r="DZ204" s="1" t="s">
        <v>310</v>
      </c>
      <c r="EA204" s="1" t="s">
        <v>447</v>
      </c>
      <c r="EB204" s="1" t="s">
        <v>2183</v>
      </c>
      <c r="EC204" s="1" t="s">
        <v>237</v>
      </c>
      <c r="ED204" s="1" t="s">
        <v>407</v>
      </c>
      <c r="EG204" s="1" t="s">
        <v>449</v>
      </c>
      <c r="EL204" s="1" t="s">
        <v>640</v>
      </c>
      <c r="EM204" s="1" t="s">
        <v>206</v>
      </c>
      <c r="EN204" s="1" t="s">
        <v>207</v>
      </c>
      <c r="EO204" s="1" t="s">
        <v>431</v>
      </c>
      <c r="EQ204" s="1" t="s">
        <v>238</v>
      </c>
      <c r="EU204" s="1" t="s">
        <v>238</v>
      </c>
      <c r="EY204" s="1" t="s">
        <v>238</v>
      </c>
      <c r="FC204" s="1" t="s">
        <v>238</v>
      </c>
      <c r="FF204" s="1" t="s">
        <v>239</v>
      </c>
      <c r="FG204" s="1" t="s">
        <v>192</v>
      </c>
      <c r="FH204" s="1" t="s">
        <v>192</v>
      </c>
      <c r="FJ204" s="1" t="s">
        <v>498</v>
      </c>
      <c r="FK204" s="1" t="s">
        <v>348</v>
      </c>
      <c r="FL204" s="1" t="s">
        <v>2263</v>
      </c>
      <c r="FM204" s="1">
        <v>355.0</v>
      </c>
      <c r="FN204" s="1" t="s">
        <v>3489</v>
      </c>
      <c r="FO204" s="1" t="s">
        <v>3490</v>
      </c>
      <c r="FP204" s="1">
        <v>70118.0</v>
      </c>
      <c r="FQ204" s="1" t="s">
        <v>3491</v>
      </c>
      <c r="FR204" s="1">
        <v>77887.0</v>
      </c>
      <c r="FS204" s="1" t="s">
        <v>3492</v>
      </c>
      <c r="FU204" s="1" t="s">
        <v>3493</v>
      </c>
      <c r="FV204" s="1" t="s">
        <v>200</v>
      </c>
      <c r="FW204" s="1" t="s">
        <v>567</v>
      </c>
      <c r="FZ204" s="1" t="s">
        <v>229</v>
      </c>
      <c r="GA204" s="1" t="s">
        <v>291</v>
      </c>
      <c r="GB204" s="2">
        <v>42062.0</v>
      </c>
      <c r="GC204" s="1" t="s">
        <v>3494</v>
      </c>
    </row>
    <row r="205">
      <c r="A205" s="1">
        <v>125000.0</v>
      </c>
      <c r="B205" s="1" t="s">
        <v>185</v>
      </c>
      <c r="C205" s="1" t="str">
        <f>"08767387"</f>
        <v>08767387</v>
      </c>
      <c r="D205" s="1" t="s">
        <v>186</v>
      </c>
      <c r="F205" s="1" t="str">
        <f>"8019"</f>
        <v>8019</v>
      </c>
      <c r="G205" s="2">
        <v>41946.0</v>
      </c>
      <c r="H205" s="1">
        <v>109900.0</v>
      </c>
      <c r="I205" s="1">
        <v>32.0</v>
      </c>
      <c r="J205" s="1">
        <v>109900.0</v>
      </c>
      <c r="K205" s="2">
        <v>41974.0</v>
      </c>
      <c r="L205" s="1">
        <v>32.0</v>
      </c>
      <c r="M205" s="2">
        <v>41974.0</v>
      </c>
      <c r="N205" s="1" t="s">
        <v>249</v>
      </c>
      <c r="O205" s="2">
        <v>41990.0</v>
      </c>
      <c r="P205" s="1">
        <v>169998.0</v>
      </c>
      <c r="Q205" s="1">
        <v>17299.0</v>
      </c>
      <c r="S205" s="1">
        <v>4709.0</v>
      </c>
      <c r="T205" s="1" t="s">
        <v>3495</v>
      </c>
      <c r="U205" s="1" t="s">
        <v>320</v>
      </c>
      <c r="V205" s="1" t="s">
        <v>190</v>
      </c>
      <c r="W205" s="1">
        <v>60639.0</v>
      </c>
      <c r="Y205" s="1" t="s">
        <v>3496</v>
      </c>
      <c r="Z205" s="1">
        <v>1924.0</v>
      </c>
      <c r="AA205" s="1" t="s">
        <v>192</v>
      </c>
      <c r="AB205" s="1" t="s">
        <v>193</v>
      </c>
      <c r="AD205" s="1" t="s">
        <v>194</v>
      </c>
      <c r="AE205" s="1" t="s">
        <v>195</v>
      </c>
      <c r="AF205" s="1" t="s">
        <v>196</v>
      </c>
      <c r="AH205" s="1" t="s">
        <v>3497</v>
      </c>
      <c r="AI205" s="1">
        <v>0.082</v>
      </c>
      <c r="AK205" s="1">
        <v>7.0</v>
      </c>
      <c r="AL205" s="1">
        <v>4.0</v>
      </c>
      <c r="AM205" s="1">
        <v>2.0</v>
      </c>
      <c r="AN205" s="1">
        <v>0.0</v>
      </c>
      <c r="AO205" s="1" t="s">
        <v>229</v>
      </c>
      <c r="AQ205" s="1" t="s">
        <v>198</v>
      </c>
      <c r="AR205" s="1" t="s">
        <v>200</v>
      </c>
      <c r="AS205" s="1" t="s">
        <v>199</v>
      </c>
      <c r="AT205" s="1">
        <v>2.0</v>
      </c>
      <c r="AV205" s="1" t="s">
        <v>200</v>
      </c>
      <c r="AW205" s="1">
        <v>4405.81</v>
      </c>
      <c r="AX205" s="1">
        <v>2012.0</v>
      </c>
      <c r="AZ205" s="1" t="s">
        <v>200</v>
      </c>
      <c r="BA205" s="1" t="str">
        <f>"13273240110000"</f>
        <v>13273240110000</v>
      </c>
      <c r="BC205" s="1">
        <v>1864.0</v>
      </c>
      <c r="BD205" s="1">
        <v>125000.0</v>
      </c>
      <c r="BE205" s="2">
        <v>41943.0</v>
      </c>
      <c r="BF205" s="1" t="s">
        <v>3498</v>
      </c>
      <c r="BH205" s="1">
        <v>0.0</v>
      </c>
      <c r="BK205" s="1" t="s">
        <v>204</v>
      </c>
      <c r="BL205" s="1" t="str">
        <f>"2400"</f>
        <v>2400</v>
      </c>
      <c r="BM205" s="1" t="str">
        <f t="shared" si="139"/>
        <v>0</v>
      </c>
      <c r="BN205" s="1">
        <v>4709.0</v>
      </c>
      <c r="BO205" s="1">
        <v>0.0</v>
      </c>
      <c r="BQ205" s="1">
        <v>299.0</v>
      </c>
      <c r="BR205" s="1">
        <v>299.0</v>
      </c>
      <c r="BS205" s="1">
        <v>299.0</v>
      </c>
      <c r="BU205" s="1" t="s">
        <v>2082</v>
      </c>
      <c r="BV205" s="1" t="s">
        <v>206</v>
      </c>
      <c r="BY205" s="1" t="s">
        <v>1117</v>
      </c>
      <c r="BZ205" s="1" t="s">
        <v>209</v>
      </c>
      <c r="CC205" s="1" t="s">
        <v>663</v>
      </c>
      <c r="CD205" s="1" t="s">
        <v>206</v>
      </c>
      <c r="CG205" s="1" t="s">
        <v>663</v>
      </c>
      <c r="CH205" s="1" t="s">
        <v>206</v>
      </c>
      <c r="CK205" s="1" t="s">
        <v>663</v>
      </c>
      <c r="CL205" s="1" t="s">
        <v>206</v>
      </c>
      <c r="CO205" s="1" t="s">
        <v>663</v>
      </c>
      <c r="CP205" s="1" t="s">
        <v>206</v>
      </c>
      <c r="CS205" s="1" t="s">
        <v>1584</v>
      </c>
      <c r="CT205" s="1" t="s">
        <v>206</v>
      </c>
      <c r="CX205" s="1" t="s">
        <v>204</v>
      </c>
      <c r="DA205" s="1" t="s">
        <v>200</v>
      </c>
      <c r="DC205" s="1" t="s">
        <v>785</v>
      </c>
      <c r="DE205" s="1" t="s">
        <v>229</v>
      </c>
      <c r="DF205" s="1" t="s">
        <v>619</v>
      </c>
      <c r="DH205" s="1" t="s">
        <v>220</v>
      </c>
      <c r="DJ205" s="1" t="s">
        <v>222</v>
      </c>
      <c r="DL205" s="1" t="s">
        <v>223</v>
      </c>
      <c r="DM205" s="1" t="s">
        <v>229</v>
      </c>
      <c r="DQ205" s="1" t="s">
        <v>228</v>
      </c>
      <c r="DR205" s="1" t="s">
        <v>229</v>
      </c>
      <c r="DV205" s="1" t="s">
        <v>588</v>
      </c>
      <c r="DW205" s="1" t="s">
        <v>279</v>
      </c>
      <c r="DX205" s="1" t="s">
        <v>234</v>
      </c>
      <c r="EC205" s="1" t="s">
        <v>645</v>
      </c>
      <c r="EG205" s="1" t="s">
        <v>588</v>
      </c>
      <c r="EL205" s="1" t="s">
        <v>2367</v>
      </c>
      <c r="EM205" s="1" t="s">
        <v>206</v>
      </c>
      <c r="EQ205" s="1" t="s">
        <v>238</v>
      </c>
      <c r="EU205" s="1" t="s">
        <v>238</v>
      </c>
      <c r="EY205" s="1" t="s">
        <v>238</v>
      </c>
      <c r="FC205" s="1" t="s">
        <v>238</v>
      </c>
      <c r="FF205" s="1" t="s">
        <v>239</v>
      </c>
      <c r="FG205" s="1" t="s">
        <v>192</v>
      </c>
      <c r="FH205" s="1" t="s">
        <v>192</v>
      </c>
      <c r="FJ205" s="1" t="s">
        <v>3499</v>
      </c>
      <c r="FK205" s="1" t="s">
        <v>229</v>
      </c>
      <c r="FL205" s="1" t="s">
        <v>3500</v>
      </c>
      <c r="FM205" s="1">
        <v>12279.0</v>
      </c>
      <c r="FN205" s="1" t="s">
        <v>3501</v>
      </c>
      <c r="FO205" s="1" t="s">
        <v>3502</v>
      </c>
      <c r="FP205" s="1">
        <v>875170.0</v>
      </c>
      <c r="FU205" s="1" t="s">
        <v>3503</v>
      </c>
      <c r="FV205" s="1" t="s">
        <v>200</v>
      </c>
      <c r="FW205" s="1" t="s">
        <v>1307</v>
      </c>
      <c r="FX205" s="1" t="s">
        <v>246</v>
      </c>
      <c r="FZ205" s="1" t="s">
        <v>229</v>
      </c>
      <c r="GA205" s="1" t="s">
        <v>291</v>
      </c>
      <c r="GB205" s="2">
        <v>41991.0</v>
      </c>
      <c r="GC205" s="1" t="s">
        <v>3504</v>
      </c>
    </row>
    <row r="206">
      <c r="A206" s="1">
        <v>33739.0</v>
      </c>
      <c r="B206" s="1" t="s">
        <v>185</v>
      </c>
      <c r="C206" s="1" t="str">
        <f>"08765639"</f>
        <v>08765639</v>
      </c>
      <c r="D206" s="1" t="s">
        <v>186</v>
      </c>
      <c r="F206" s="1" t="str">
        <f>"8071"</f>
        <v>8071</v>
      </c>
      <c r="G206" s="2">
        <v>41943.0</v>
      </c>
      <c r="H206" s="1">
        <v>34980.0</v>
      </c>
      <c r="I206" s="1">
        <v>48.0</v>
      </c>
      <c r="J206" s="1">
        <v>34980.0</v>
      </c>
      <c r="K206" s="2">
        <v>41990.0</v>
      </c>
      <c r="L206" s="1">
        <v>48.0</v>
      </c>
      <c r="M206" s="2">
        <v>41990.0</v>
      </c>
      <c r="N206" s="1" t="s">
        <v>249</v>
      </c>
      <c r="O206" s="2">
        <v>42066.0</v>
      </c>
      <c r="P206" s="1">
        <v>168060.0</v>
      </c>
      <c r="Q206" s="1">
        <v>18960.0</v>
      </c>
      <c r="S206" s="1">
        <v>8551.0</v>
      </c>
      <c r="T206" s="1" t="s">
        <v>3505</v>
      </c>
      <c r="U206" s="1" t="s">
        <v>320</v>
      </c>
      <c r="V206" s="1" t="s">
        <v>190</v>
      </c>
      <c r="W206" s="1">
        <v>60620.0</v>
      </c>
      <c r="Y206" s="1" t="s">
        <v>3506</v>
      </c>
      <c r="Z206" s="1">
        <v>1921.0</v>
      </c>
      <c r="AA206" s="1" t="s">
        <v>192</v>
      </c>
      <c r="AB206" s="1" t="s">
        <v>193</v>
      </c>
      <c r="AD206" s="1" t="s">
        <v>194</v>
      </c>
      <c r="AE206" s="1" t="s">
        <v>195</v>
      </c>
      <c r="AF206" s="1" t="s">
        <v>659</v>
      </c>
      <c r="AH206" s="1" t="s">
        <v>1424</v>
      </c>
      <c r="AI206" s="1">
        <v>0.0717</v>
      </c>
      <c r="AK206" s="1">
        <v>7.0</v>
      </c>
      <c r="AL206" s="1">
        <v>4.0</v>
      </c>
      <c r="AM206" s="1">
        <v>1.0</v>
      </c>
      <c r="AN206" s="1">
        <v>1.0</v>
      </c>
      <c r="AO206" s="1" t="s">
        <v>229</v>
      </c>
      <c r="AQ206" s="1" t="s">
        <v>198</v>
      </c>
      <c r="AR206" s="1" t="s">
        <v>200</v>
      </c>
      <c r="AS206" s="1" t="s">
        <v>229</v>
      </c>
      <c r="AV206" s="1" t="s">
        <v>200</v>
      </c>
      <c r="AW206" s="1">
        <v>1201.36</v>
      </c>
      <c r="AX206" s="1">
        <v>2012.0</v>
      </c>
      <c r="AZ206" s="1" t="s">
        <v>545</v>
      </c>
      <c r="BA206" s="1" t="str">
        <f>"20323170190000"</f>
        <v>20323170190000</v>
      </c>
      <c r="BC206" s="1">
        <v>1098.0</v>
      </c>
      <c r="BD206" s="1">
        <v>33739.0</v>
      </c>
      <c r="BE206" s="2">
        <v>41943.0</v>
      </c>
      <c r="BF206" s="2" t="s">
        <v>3507</v>
      </c>
      <c r="BH206" s="1">
        <v>0.0</v>
      </c>
      <c r="BK206" s="1" t="s">
        <v>204</v>
      </c>
      <c r="BL206" s="1" t="str">
        <f t="shared" ref="BL206:BM206" si="140">"0"</f>
        <v>0</v>
      </c>
      <c r="BM206" s="1" t="str">
        <f t="shared" si="140"/>
        <v>0</v>
      </c>
      <c r="BN206" s="1">
        <v>1500.0</v>
      </c>
      <c r="BO206" s="1">
        <v>8625.0</v>
      </c>
      <c r="BQ206" s="1">
        <v>299.0</v>
      </c>
      <c r="BR206" s="1">
        <v>299.0</v>
      </c>
      <c r="BS206" s="1">
        <v>299.0</v>
      </c>
      <c r="BU206" s="1" t="s">
        <v>1064</v>
      </c>
      <c r="BV206" s="1" t="s">
        <v>206</v>
      </c>
      <c r="BY206" s="1" t="s">
        <v>816</v>
      </c>
      <c r="BZ206" s="1" t="s">
        <v>206</v>
      </c>
      <c r="CC206" s="1" t="s">
        <v>2459</v>
      </c>
      <c r="CD206" s="1" t="s">
        <v>206</v>
      </c>
      <c r="CG206" s="1" t="s">
        <v>269</v>
      </c>
      <c r="CH206" s="1" t="s">
        <v>206</v>
      </c>
      <c r="CK206" s="1" t="s">
        <v>300</v>
      </c>
      <c r="CL206" s="1" t="s">
        <v>206</v>
      </c>
      <c r="CO206" s="1" t="s">
        <v>269</v>
      </c>
      <c r="CP206" s="1" t="s">
        <v>206</v>
      </c>
      <c r="CS206" s="1" t="s">
        <v>3508</v>
      </c>
      <c r="CT206" s="1" t="s">
        <v>206</v>
      </c>
      <c r="CX206" s="1" t="s">
        <v>204</v>
      </c>
      <c r="DA206" s="1" t="s">
        <v>200</v>
      </c>
      <c r="DC206" s="1" t="s">
        <v>216</v>
      </c>
      <c r="DE206" s="1" t="s">
        <v>273</v>
      </c>
      <c r="DF206" s="1" t="s">
        <v>588</v>
      </c>
      <c r="DH206" s="1" t="s">
        <v>220</v>
      </c>
      <c r="DJ206" s="1" t="s">
        <v>222</v>
      </c>
      <c r="DL206" s="1" t="s">
        <v>223</v>
      </c>
      <c r="DM206" s="1" t="s">
        <v>229</v>
      </c>
      <c r="DQ206" s="1" t="s">
        <v>228</v>
      </c>
      <c r="DR206" s="1" t="s">
        <v>229</v>
      </c>
      <c r="DV206" s="1" t="s">
        <v>232</v>
      </c>
      <c r="DW206" s="1" t="s">
        <v>279</v>
      </c>
      <c r="DX206" s="1" t="s">
        <v>234</v>
      </c>
      <c r="EA206" s="1" t="s">
        <v>644</v>
      </c>
      <c r="EC206" s="1" t="s">
        <v>685</v>
      </c>
      <c r="EE206" s="1" t="s">
        <v>1960</v>
      </c>
      <c r="EM206" s="1" t="s">
        <v>238</v>
      </c>
      <c r="EQ206" s="1" t="s">
        <v>238</v>
      </c>
      <c r="EU206" s="1" t="s">
        <v>238</v>
      </c>
      <c r="EY206" s="1" t="s">
        <v>238</v>
      </c>
      <c r="FC206" s="1" t="s">
        <v>238</v>
      </c>
      <c r="FF206" s="1" t="s">
        <v>239</v>
      </c>
      <c r="FG206" s="1" t="s">
        <v>192</v>
      </c>
      <c r="FH206" s="1" t="s">
        <v>192</v>
      </c>
      <c r="FJ206" s="1" t="s">
        <v>3509</v>
      </c>
      <c r="FK206" s="1" t="s">
        <v>229</v>
      </c>
      <c r="FL206" s="1" t="s">
        <v>3033</v>
      </c>
      <c r="FM206" s="1">
        <v>1984.0</v>
      </c>
      <c r="FN206" s="1" t="s">
        <v>3034</v>
      </c>
      <c r="FO206" s="1" t="s">
        <v>3035</v>
      </c>
      <c r="FP206" s="1">
        <v>922950.0</v>
      </c>
      <c r="FU206" s="1" t="s">
        <v>3036</v>
      </c>
      <c r="FV206" s="1" t="s">
        <v>200</v>
      </c>
      <c r="FW206" s="1" t="s">
        <v>3037</v>
      </c>
      <c r="FX206" s="1" t="s">
        <v>655</v>
      </c>
      <c r="FZ206" s="1" t="s">
        <v>229</v>
      </c>
      <c r="GA206" s="1" t="s">
        <v>291</v>
      </c>
      <c r="GB206" s="2">
        <v>42075.0</v>
      </c>
      <c r="GC206" s="1" t="s">
        <v>3510</v>
      </c>
    </row>
    <row r="207">
      <c r="A207" s="1">
        <v>119900.0</v>
      </c>
      <c r="B207" s="1" t="s">
        <v>185</v>
      </c>
      <c r="C207" s="1" t="str">
        <f>"08765818"</f>
        <v>08765818</v>
      </c>
      <c r="D207" s="1" t="s">
        <v>186</v>
      </c>
      <c r="F207" s="1" t="str">
        <f>"8070"</f>
        <v>8070</v>
      </c>
      <c r="G207" s="2">
        <v>41943.0</v>
      </c>
      <c r="H207" s="1">
        <v>119900.0</v>
      </c>
      <c r="I207" s="1">
        <v>13.0</v>
      </c>
      <c r="J207" s="1">
        <v>119900.0</v>
      </c>
      <c r="K207" s="2">
        <v>41955.0</v>
      </c>
      <c r="L207" s="1">
        <v>13.0</v>
      </c>
      <c r="M207" s="2">
        <v>41955.0</v>
      </c>
      <c r="N207" s="1" t="s">
        <v>356</v>
      </c>
      <c r="O207" s="2">
        <v>42013.0</v>
      </c>
      <c r="P207" s="1">
        <v>601830.0</v>
      </c>
      <c r="Q207" s="1">
        <v>60204.0</v>
      </c>
      <c r="R207" s="1">
        <v>1031.0</v>
      </c>
      <c r="S207" s="1">
        <v>8176.0</v>
      </c>
      <c r="T207" s="1" t="s">
        <v>384</v>
      </c>
      <c r="U207" s="1" t="s">
        <v>189</v>
      </c>
      <c r="V207" s="1" t="s">
        <v>190</v>
      </c>
      <c r="W207" s="1">
        <v>60652.0</v>
      </c>
      <c r="Y207" s="1" t="s">
        <v>3511</v>
      </c>
      <c r="Z207" s="1">
        <v>1955.0</v>
      </c>
      <c r="AA207" s="1" t="s">
        <v>192</v>
      </c>
      <c r="AB207" s="1" t="s">
        <v>193</v>
      </c>
      <c r="AD207" s="1" t="s">
        <v>194</v>
      </c>
      <c r="AE207" s="1" t="s">
        <v>195</v>
      </c>
      <c r="AF207" s="1" t="s">
        <v>659</v>
      </c>
      <c r="AH207" s="1" t="s">
        <v>3512</v>
      </c>
      <c r="AI207" s="1">
        <v>0.1315</v>
      </c>
      <c r="AK207" s="1">
        <v>7.0</v>
      </c>
      <c r="AL207" s="1">
        <v>4.0</v>
      </c>
      <c r="AM207" s="1">
        <v>2.0</v>
      </c>
      <c r="AN207" s="1">
        <v>0.0</v>
      </c>
      <c r="AO207" s="1" t="s">
        <v>229</v>
      </c>
      <c r="AQ207" s="1" t="s">
        <v>229</v>
      </c>
      <c r="AR207" s="1" t="s">
        <v>200</v>
      </c>
      <c r="AS207" s="1" t="s">
        <v>199</v>
      </c>
      <c r="AT207" s="1">
        <v>2.0</v>
      </c>
      <c r="AV207" s="1" t="s">
        <v>200</v>
      </c>
      <c r="AW207" s="1">
        <v>590.82</v>
      </c>
      <c r="AX207" s="1">
        <v>2012.0</v>
      </c>
      <c r="AZ207" s="1" t="s">
        <v>200</v>
      </c>
      <c r="BA207" s="1" t="str">
        <f>"19341220240000"</f>
        <v>19341220240000</v>
      </c>
      <c r="BC207" s="1">
        <v>1500.0</v>
      </c>
      <c r="BD207" s="1">
        <v>119900.0</v>
      </c>
      <c r="BE207" s="2">
        <v>41943.0</v>
      </c>
      <c r="BF207" s="1" t="s">
        <v>3513</v>
      </c>
      <c r="BH207" s="1">
        <v>0.0</v>
      </c>
      <c r="BK207" s="1" t="s">
        <v>204</v>
      </c>
      <c r="BL207" s="1" t="str">
        <f t="shared" ref="BL207:BM207" si="141">"0"</f>
        <v>0</v>
      </c>
      <c r="BM207" s="1" t="str">
        <f t="shared" si="141"/>
        <v>0</v>
      </c>
      <c r="BN207" s="1">
        <v>4750.0</v>
      </c>
      <c r="BO207" s="1">
        <v>8176.0</v>
      </c>
      <c r="BQ207" s="1">
        <v>299.0</v>
      </c>
      <c r="BR207" s="1">
        <v>299.0</v>
      </c>
      <c r="BS207" s="1">
        <v>299.0</v>
      </c>
      <c r="BU207" s="1" t="s">
        <v>331</v>
      </c>
      <c r="BV207" s="1" t="s">
        <v>206</v>
      </c>
      <c r="BW207" s="1" t="s">
        <v>210</v>
      </c>
      <c r="BY207" s="1" t="s">
        <v>925</v>
      </c>
      <c r="BZ207" s="1" t="s">
        <v>209</v>
      </c>
      <c r="CA207" s="1" t="s">
        <v>207</v>
      </c>
      <c r="CC207" s="1" t="s">
        <v>623</v>
      </c>
      <c r="CD207" s="1" t="s">
        <v>206</v>
      </c>
      <c r="CE207" s="1" t="s">
        <v>210</v>
      </c>
      <c r="CG207" s="1" t="s">
        <v>392</v>
      </c>
      <c r="CH207" s="1" t="s">
        <v>209</v>
      </c>
      <c r="CI207" s="1" t="s">
        <v>207</v>
      </c>
      <c r="CK207" s="1" t="s">
        <v>699</v>
      </c>
      <c r="CL207" s="1" t="s">
        <v>206</v>
      </c>
      <c r="CM207" s="1" t="s">
        <v>210</v>
      </c>
      <c r="CO207" s="1" t="s">
        <v>363</v>
      </c>
      <c r="CP207" s="1" t="s">
        <v>206</v>
      </c>
      <c r="CQ207" s="1" t="s">
        <v>210</v>
      </c>
      <c r="CS207" s="1" t="s">
        <v>269</v>
      </c>
      <c r="CT207" s="1" t="s">
        <v>206</v>
      </c>
      <c r="CU207" s="1" t="s">
        <v>301</v>
      </c>
      <c r="CX207" s="1" t="s">
        <v>204</v>
      </c>
      <c r="DA207" s="1" t="s">
        <v>200</v>
      </c>
      <c r="DC207" s="1" t="s">
        <v>271</v>
      </c>
      <c r="DE207" s="1" t="s">
        <v>273</v>
      </c>
      <c r="DF207" s="1" t="s">
        <v>219</v>
      </c>
      <c r="DH207" s="1" t="s">
        <v>220</v>
      </c>
      <c r="DJ207" s="1" t="s">
        <v>222</v>
      </c>
      <c r="DL207" s="1" t="s">
        <v>229</v>
      </c>
      <c r="DM207" s="1" t="s">
        <v>229</v>
      </c>
      <c r="DQ207" s="1" t="s">
        <v>228</v>
      </c>
      <c r="DR207" s="1" t="s">
        <v>229</v>
      </c>
      <c r="DV207" s="1" t="s">
        <v>232</v>
      </c>
      <c r="DW207" s="1" t="s">
        <v>489</v>
      </c>
      <c r="DX207" s="1" t="s">
        <v>234</v>
      </c>
      <c r="EC207" s="1" t="s">
        <v>237</v>
      </c>
      <c r="EM207" s="1" t="s">
        <v>238</v>
      </c>
      <c r="EQ207" s="1" t="s">
        <v>238</v>
      </c>
      <c r="EU207" s="1" t="s">
        <v>238</v>
      </c>
      <c r="EY207" s="1" t="s">
        <v>238</v>
      </c>
      <c r="FC207" s="1" t="s">
        <v>238</v>
      </c>
      <c r="FF207" s="1" t="s">
        <v>239</v>
      </c>
      <c r="FG207" s="1" t="s">
        <v>192</v>
      </c>
      <c r="FH207" s="1" t="s">
        <v>192</v>
      </c>
      <c r="FJ207" s="1" t="s">
        <v>3514</v>
      </c>
      <c r="FK207" s="1" t="s">
        <v>229</v>
      </c>
      <c r="FL207" s="1" t="s">
        <v>3358</v>
      </c>
      <c r="FM207" s="1">
        <v>84818.0</v>
      </c>
      <c r="FN207" s="1" t="s">
        <v>3359</v>
      </c>
      <c r="FO207" s="1" t="s">
        <v>3515</v>
      </c>
      <c r="FP207" s="1">
        <v>110478.0</v>
      </c>
      <c r="FQ207" s="1" t="s">
        <v>3359</v>
      </c>
      <c r="FU207" s="1" t="s">
        <v>3516</v>
      </c>
      <c r="FV207" s="1" t="s">
        <v>200</v>
      </c>
      <c r="FW207" s="1" t="s">
        <v>3517</v>
      </c>
      <c r="FX207" s="1" t="s">
        <v>655</v>
      </c>
      <c r="FZ207" s="1" t="s">
        <v>229</v>
      </c>
      <c r="GA207" s="1" t="s">
        <v>291</v>
      </c>
      <c r="GB207" s="2">
        <v>42052.0</v>
      </c>
      <c r="GC207" s="1" t="s">
        <v>3518</v>
      </c>
    </row>
    <row r="208">
      <c r="A208" s="1">
        <v>422000.0</v>
      </c>
      <c r="B208" s="1" t="s">
        <v>185</v>
      </c>
      <c r="C208" s="1" t="str">
        <f>"08768153"</f>
        <v>08768153</v>
      </c>
      <c r="D208" s="1" t="s">
        <v>186</v>
      </c>
      <c r="F208" s="1" t="str">
        <f>"134"</f>
        <v>134</v>
      </c>
      <c r="G208" s="2">
        <v>41947.0</v>
      </c>
      <c r="H208" s="1">
        <v>444800.0</v>
      </c>
      <c r="I208" s="1">
        <v>176.0</v>
      </c>
      <c r="J208" s="1">
        <v>434500.0</v>
      </c>
      <c r="K208" s="2">
        <v>41989.0</v>
      </c>
      <c r="L208" s="1">
        <v>93.0</v>
      </c>
      <c r="M208" s="2">
        <v>41989.0</v>
      </c>
      <c r="N208" s="1" t="s">
        <v>187</v>
      </c>
      <c r="O208" s="2">
        <v>42037.0</v>
      </c>
      <c r="P208" s="1">
        <v>107438.0</v>
      </c>
      <c r="Q208" s="1">
        <v>84025.0</v>
      </c>
      <c r="S208" s="1">
        <v>1928.0</v>
      </c>
      <c r="T208" s="1" t="s">
        <v>3519</v>
      </c>
      <c r="U208" s="1" t="s">
        <v>1442</v>
      </c>
      <c r="V208" s="1" t="s">
        <v>421</v>
      </c>
      <c r="W208" s="1">
        <v>60134.0</v>
      </c>
      <c r="Y208" s="1" t="s">
        <v>3520</v>
      </c>
      <c r="Z208" s="1">
        <v>1995.0</v>
      </c>
      <c r="AA208" s="1" t="s">
        <v>200</v>
      </c>
      <c r="AB208" s="1" t="s">
        <v>193</v>
      </c>
      <c r="AC208" s="1" t="s">
        <v>3521</v>
      </c>
      <c r="AD208" s="1" t="s">
        <v>424</v>
      </c>
      <c r="AE208" s="1" t="s">
        <v>325</v>
      </c>
      <c r="AF208" s="1" t="s">
        <v>424</v>
      </c>
      <c r="AH208" s="1" t="s">
        <v>3522</v>
      </c>
      <c r="AI208" s="1">
        <v>0.3099</v>
      </c>
      <c r="AK208" s="1">
        <v>9.0</v>
      </c>
      <c r="AL208" s="1">
        <v>4.0</v>
      </c>
      <c r="AM208" s="1">
        <v>2.0</v>
      </c>
      <c r="AN208" s="1">
        <v>1.0</v>
      </c>
      <c r="AO208" s="1" t="s">
        <v>198</v>
      </c>
      <c r="AP208" s="1">
        <v>1.0</v>
      </c>
      <c r="AQ208" s="1" t="s">
        <v>198</v>
      </c>
      <c r="AR208" s="1" t="s">
        <v>200</v>
      </c>
      <c r="AS208" s="1" t="s">
        <v>199</v>
      </c>
      <c r="AT208" s="1">
        <v>3.0</v>
      </c>
      <c r="AV208" s="1" t="s">
        <v>200</v>
      </c>
      <c r="AW208" s="1">
        <v>12969.0</v>
      </c>
      <c r="AX208" s="1">
        <v>2013.0</v>
      </c>
      <c r="AY208" s="1" t="s">
        <v>387</v>
      </c>
      <c r="AZ208" s="1" t="s">
        <v>200</v>
      </c>
      <c r="BA208" s="1" t="str">
        <f>"1209179003"</f>
        <v>1209179003</v>
      </c>
      <c r="BB208" s="1" t="s">
        <v>200</v>
      </c>
      <c r="BC208" s="1">
        <v>3495.0</v>
      </c>
      <c r="BD208" s="1">
        <v>422000.0</v>
      </c>
      <c r="BE208" s="2">
        <v>41946.0</v>
      </c>
      <c r="BF208" s="2" t="s">
        <v>3523</v>
      </c>
      <c r="BG208" s="1" t="s">
        <v>3524</v>
      </c>
      <c r="BH208" s="1">
        <v>0.0</v>
      </c>
      <c r="BI208" s="1" t="s">
        <v>429</v>
      </c>
      <c r="BJ208" s="1" t="s">
        <v>430</v>
      </c>
      <c r="BK208" s="1" t="s">
        <v>204</v>
      </c>
      <c r="BL208" s="1" t="str">
        <f t="shared" ref="BL208:BM208" si="142">"0"</f>
        <v>0</v>
      </c>
      <c r="BM208" s="1" t="str">
        <f t="shared" si="142"/>
        <v>0</v>
      </c>
      <c r="BN208" s="1">
        <v>36.0</v>
      </c>
      <c r="BO208" s="1">
        <v>0.0</v>
      </c>
      <c r="BQ208" s="1">
        <v>304.0</v>
      </c>
      <c r="BR208" s="1">
        <v>304.0</v>
      </c>
      <c r="BS208" s="1">
        <v>304.0</v>
      </c>
      <c r="BU208" s="1" t="s">
        <v>3475</v>
      </c>
      <c r="BV208" s="1" t="s">
        <v>206</v>
      </c>
      <c r="BW208" s="1" t="s">
        <v>210</v>
      </c>
      <c r="BY208" s="1" t="s">
        <v>3202</v>
      </c>
      <c r="BZ208" s="1" t="s">
        <v>209</v>
      </c>
      <c r="CA208" s="1" t="s">
        <v>210</v>
      </c>
      <c r="CC208" s="1" t="s">
        <v>361</v>
      </c>
      <c r="CD208" s="1" t="s">
        <v>206</v>
      </c>
      <c r="CE208" s="1" t="s">
        <v>210</v>
      </c>
      <c r="CG208" s="1" t="s">
        <v>3387</v>
      </c>
      <c r="CH208" s="1" t="s">
        <v>209</v>
      </c>
      <c r="CI208" s="1" t="s">
        <v>210</v>
      </c>
      <c r="CK208" s="1" t="s">
        <v>331</v>
      </c>
      <c r="CL208" s="1" t="s">
        <v>209</v>
      </c>
      <c r="CM208" s="1" t="s">
        <v>210</v>
      </c>
      <c r="CO208" s="1" t="s">
        <v>215</v>
      </c>
      <c r="CP208" s="1" t="s">
        <v>206</v>
      </c>
      <c r="CQ208" s="1" t="s">
        <v>210</v>
      </c>
      <c r="CS208" s="1" t="s">
        <v>2592</v>
      </c>
      <c r="CT208" s="1" t="s">
        <v>206</v>
      </c>
      <c r="CU208" s="1" t="s">
        <v>207</v>
      </c>
      <c r="CW208" s="1" t="s">
        <v>544</v>
      </c>
      <c r="CX208" s="1" t="s">
        <v>206</v>
      </c>
      <c r="CY208" s="1" t="s">
        <v>207</v>
      </c>
      <c r="DA208" s="1" t="s">
        <v>200</v>
      </c>
      <c r="DC208" s="1" t="s">
        <v>678</v>
      </c>
      <c r="DD208" s="1" t="s">
        <v>926</v>
      </c>
      <c r="DE208" s="1" t="s">
        <v>218</v>
      </c>
      <c r="DF208" s="1" t="s">
        <v>745</v>
      </c>
      <c r="DG208" s="1" t="s">
        <v>1020</v>
      </c>
      <c r="DH208" s="1" t="s">
        <v>220</v>
      </c>
      <c r="DI208" s="1" t="s">
        <v>519</v>
      </c>
      <c r="DJ208" s="1" t="s">
        <v>222</v>
      </c>
      <c r="DK208" s="1" t="s">
        <v>198</v>
      </c>
      <c r="DL208" s="1" t="s">
        <v>484</v>
      </c>
      <c r="DM208" s="1" t="s">
        <v>929</v>
      </c>
      <c r="DN208" s="1" t="s">
        <v>399</v>
      </c>
      <c r="DO208" s="1" t="s">
        <v>3525</v>
      </c>
      <c r="DP208" s="1" t="s">
        <v>340</v>
      </c>
      <c r="DQ208" s="1" t="s">
        <v>441</v>
      </c>
      <c r="DR208" s="1" t="s">
        <v>229</v>
      </c>
      <c r="DS208" s="1" t="s">
        <v>230</v>
      </c>
      <c r="DU208" s="1" t="s">
        <v>3526</v>
      </c>
      <c r="DV208" s="1" t="s">
        <v>494</v>
      </c>
      <c r="DW208" s="1" t="s">
        <v>764</v>
      </c>
      <c r="DX208" s="1" t="s">
        <v>234</v>
      </c>
      <c r="DY208" s="1" t="s">
        <v>490</v>
      </c>
      <c r="DZ208" s="1" t="s">
        <v>796</v>
      </c>
      <c r="EA208" s="1" t="s">
        <v>344</v>
      </c>
      <c r="EB208" s="1" t="s">
        <v>2915</v>
      </c>
      <c r="EC208" s="1" t="s">
        <v>237</v>
      </c>
      <c r="ED208" s="1" t="s">
        <v>555</v>
      </c>
      <c r="EE208" s="1" t="s">
        <v>493</v>
      </c>
      <c r="EG208" s="1" t="s">
        <v>494</v>
      </c>
      <c r="EL208" s="1" t="s">
        <v>215</v>
      </c>
      <c r="EM208" s="1" t="s">
        <v>206</v>
      </c>
      <c r="EN208" s="1" t="s">
        <v>207</v>
      </c>
      <c r="EQ208" s="1" t="s">
        <v>238</v>
      </c>
      <c r="EU208" s="1" t="s">
        <v>238</v>
      </c>
      <c r="EY208" s="1" t="s">
        <v>238</v>
      </c>
      <c r="FC208" s="1" t="s">
        <v>238</v>
      </c>
      <c r="FF208" s="1" t="s">
        <v>239</v>
      </c>
      <c r="FG208" s="1" t="s">
        <v>192</v>
      </c>
      <c r="FH208" s="1" t="s">
        <v>192</v>
      </c>
      <c r="FJ208" s="1" t="s">
        <v>2206</v>
      </c>
      <c r="FK208" s="1" t="s">
        <v>229</v>
      </c>
      <c r="FL208" s="1" t="s">
        <v>3527</v>
      </c>
      <c r="FM208" s="1">
        <v>464.0</v>
      </c>
      <c r="FN208" s="1" t="s">
        <v>3528</v>
      </c>
      <c r="FO208" s="1" t="s">
        <v>3529</v>
      </c>
      <c r="FP208" s="1">
        <v>1333.0</v>
      </c>
      <c r="FQ208" s="1" t="s">
        <v>3530</v>
      </c>
      <c r="FS208" s="1" t="s">
        <v>3531</v>
      </c>
      <c r="FU208" s="1" t="s">
        <v>3532</v>
      </c>
      <c r="FV208" s="1" t="s">
        <v>200</v>
      </c>
      <c r="FW208" s="1" t="s">
        <v>567</v>
      </c>
      <c r="FZ208" s="1" t="s">
        <v>504</v>
      </c>
      <c r="GA208" s="1" t="s">
        <v>291</v>
      </c>
      <c r="GB208" s="2">
        <v>42038.0</v>
      </c>
    </row>
    <row r="209">
      <c r="A209" s="1">
        <v>285000.0</v>
      </c>
      <c r="B209" s="1" t="s">
        <v>185</v>
      </c>
      <c r="C209" s="1" t="str">
        <f>"08803536"</f>
        <v>08803536</v>
      </c>
      <c r="D209" s="1" t="s">
        <v>186</v>
      </c>
      <c r="F209" s="1" t="str">
        <f>"123"</f>
        <v>123</v>
      </c>
      <c r="G209" s="2">
        <v>41990.0</v>
      </c>
      <c r="H209" s="1">
        <v>262500.0</v>
      </c>
      <c r="I209" s="1">
        <v>13.0</v>
      </c>
      <c r="J209" s="1">
        <v>262500.0</v>
      </c>
      <c r="K209" s="2">
        <v>42002.0</v>
      </c>
      <c r="L209" s="1">
        <v>13.0</v>
      </c>
      <c r="M209" s="2">
        <v>42002.0</v>
      </c>
      <c r="N209" s="1" t="s">
        <v>187</v>
      </c>
      <c r="O209" s="2">
        <v>42041.0</v>
      </c>
      <c r="P209" s="1">
        <v>1256.0</v>
      </c>
      <c r="Q209" s="1">
        <v>7450.0</v>
      </c>
      <c r="S209" s="1">
        <v>821.0</v>
      </c>
      <c r="T209" s="1" t="s">
        <v>3533</v>
      </c>
      <c r="U209" s="1" t="s">
        <v>189</v>
      </c>
      <c r="V209" s="1" t="s">
        <v>465</v>
      </c>
      <c r="W209" s="1">
        <v>60120.0</v>
      </c>
      <c r="Y209" s="1" t="s">
        <v>3534</v>
      </c>
      <c r="Z209" s="1">
        <v>1902.0</v>
      </c>
      <c r="AA209" s="1" t="s">
        <v>192</v>
      </c>
      <c r="AB209" s="1" t="s">
        <v>193</v>
      </c>
      <c r="AD209" s="1" t="s">
        <v>469</v>
      </c>
      <c r="AE209" s="1" t="s">
        <v>325</v>
      </c>
      <c r="AF209" s="1" t="s">
        <v>469</v>
      </c>
      <c r="AH209" s="1" t="s">
        <v>3535</v>
      </c>
      <c r="AI209" s="1">
        <v>0.0</v>
      </c>
      <c r="AK209" s="1">
        <v>9.0</v>
      </c>
      <c r="AL209" s="1">
        <v>4.0</v>
      </c>
      <c r="AM209" s="1">
        <v>2.0</v>
      </c>
      <c r="AN209" s="1">
        <v>1.0</v>
      </c>
      <c r="AO209" s="1" t="s">
        <v>198</v>
      </c>
      <c r="AP209" s="1">
        <v>1.0</v>
      </c>
      <c r="AQ209" s="1" t="s">
        <v>198</v>
      </c>
      <c r="AR209" s="1" t="s">
        <v>200</v>
      </c>
      <c r="AS209" s="1" t="s">
        <v>199</v>
      </c>
      <c r="AT209" s="1">
        <v>2.0</v>
      </c>
      <c r="AV209" s="1" t="s">
        <v>200</v>
      </c>
      <c r="AW209" s="1">
        <v>8183.0</v>
      </c>
      <c r="AX209" s="1">
        <v>2013.0</v>
      </c>
      <c r="AZ209" s="1" t="s">
        <v>200</v>
      </c>
      <c r="BA209" s="1" t="str">
        <f>"0611285006"</f>
        <v>0611285006</v>
      </c>
      <c r="BC209" s="1">
        <v>3600.0</v>
      </c>
      <c r="BD209" s="1">
        <v>285000.0</v>
      </c>
      <c r="BE209" s="2">
        <v>41990.0</v>
      </c>
      <c r="BF209" s="2" t="s">
        <v>3536</v>
      </c>
      <c r="BG209" s="1" t="s">
        <v>3537</v>
      </c>
      <c r="BH209" s="1">
        <v>0.0</v>
      </c>
      <c r="BI209" s="1" t="s">
        <v>1242</v>
      </c>
      <c r="BJ209" s="1" t="s">
        <v>1243</v>
      </c>
      <c r="BK209" s="1" t="s">
        <v>204</v>
      </c>
      <c r="BL209" s="1" t="str">
        <f>"12"</f>
        <v>12</v>
      </c>
      <c r="BM209" s="1" t="str">
        <f>"0"</f>
        <v>0</v>
      </c>
      <c r="BN209" s="1">
        <v>34.0</v>
      </c>
      <c r="BO209" s="1">
        <v>0.0</v>
      </c>
      <c r="BQ209" s="1">
        <v>46.0</v>
      </c>
      <c r="BR209" s="1">
        <v>46.0</v>
      </c>
      <c r="BS209" s="1">
        <v>46.0</v>
      </c>
      <c r="BU209" s="1" t="s">
        <v>3538</v>
      </c>
      <c r="BV209" s="1" t="s">
        <v>206</v>
      </c>
      <c r="BW209" s="1" t="s">
        <v>207</v>
      </c>
      <c r="BY209" s="1" t="s">
        <v>1517</v>
      </c>
      <c r="BZ209" s="1" t="s">
        <v>209</v>
      </c>
      <c r="CA209" s="1" t="s">
        <v>207</v>
      </c>
      <c r="CC209" s="1" t="s">
        <v>830</v>
      </c>
      <c r="CD209" s="1" t="s">
        <v>206</v>
      </c>
      <c r="CE209" s="1" t="s">
        <v>207</v>
      </c>
      <c r="CG209" s="1" t="s">
        <v>495</v>
      </c>
      <c r="CH209" s="1" t="s">
        <v>209</v>
      </c>
      <c r="CI209" s="1" t="s">
        <v>207</v>
      </c>
      <c r="CK209" s="1" t="s">
        <v>329</v>
      </c>
      <c r="CL209" s="1" t="s">
        <v>209</v>
      </c>
      <c r="CM209" s="1" t="s">
        <v>207</v>
      </c>
      <c r="CN209" s="1" t="s">
        <v>229</v>
      </c>
      <c r="CO209" s="1" t="s">
        <v>331</v>
      </c>
      <c r="CP209" s="1" t="s">
        <v>209</v>
      </c>
      <c r="CQ209" s="1" t="s">
        <v>207</v>
      </c>
      <c r="CS209" s="1" t="s">
        <v>1190</v>
      </c>
      <c r="CT209" s="1" t="s">
        <v>206</v>
      </c>
      <c r="CU209" s="1" t="s">
        <v>617</v>
      </c>
      <c r="CW209" s="1" t="s">
        <v>3539</v>
      </c>
      <c r="CX209" s="1" t="s">
        <v>206</v>
      </c>
      <c r="CY209" s="1" t="s">
        <v>207</v>
      </c>
      <c r="DA209" s="1" t="s">
        <v>200</v>
      </c>
      <c r="DC209" s="1" t="s">
        <v>642</v>
      </c>
      <c r="DD209" s="1" t="s">
        <v>518</v>
      </c>
      <c r="DE209" s="1" t="s">
        <v>1905</v>
      </c>
      <c r="DF209" s="1" t="s">
        <v>3540</v>
      </c>
      <c r="DG209" s="1" t="s">
        <v>2283</v>
      </c>
      <c r="DH209" s="1" t="s">
        <v>220</v>
      </c>
      <c r="DJ209" s="1" t="s">
        <v>222</v>
      </c>
      <c r="DL209" s="1" t="s">
        <v>223</v>
      </c>
      <c r="DM209" s="1" t="s">
        <v>3541</v>
      </c>
      <c r="DQ209" s="1" t="s">
        <v>1557</v>
      </c>
      <c r="DR209" s="1" t="s">
        <v>229</v>
      </c>
      <c r="DS209" s="1" t="s">
        <v>230</v>
      </c>
      <c r="DV209" s="1" t="s">
        <v>3542</v>
      </c>
      <c r="DW209" s="1" t="s">
        <v>588</v>
      </c>
      <c r="DX209" s="1" t="s">
        <v>234</v>
      </c>
      <c r="DZ209" s="1" t="s">
        <v>3543</v>
      </c>
      <c r="EA209" s="1" t="s">
        <v>3112</v>
      </c>
      <c r="EB209" s="1" t="s">
        <v>345</v>
      </c>
      <c r="EC209" s="1" t="s">
        <v>406</v>
      </c>
      <c r="EH209" s="1" t="s">
        <v>557</v>
      </c>
      <c r="EI209" s="1" t="s">
        <v>408</v>
      </c>
      <c r="EM209" s="1" t="s">
        <v>238</v>
      </c>
      <c r="EP209" s="1" t="s">
        <v>3544</v>
      </c>
      <c r="EQ209" s="1" t="s">
        <v>391</v>
      </c>
      <c r="ER209" s="1" t="s">
        <v>588</v>
      </c>
      <c r="ET209" s="1" t="s">
        <v>1183</v>
      </c>
      <c r="EU209" s="1" t="s">
        <v>206</v>
      </c>
      <c r="EV209" s="1" t="s">
        <v>268</v>
      </c>
      <c r="EY209" s="1" t="s">
        <v>238</v>
      </c>
      <c r="FC209" s="1" t="s">
        <v>238</v>
      </c>
      <c r="FF209" s="1" t="s">
        <v>239</v>
      </c>
      <c r="FG209" s="1" t="s">
        <v>192</v>
      </c>
      <c r="FH209" s="1" t="s">
        <v>192</v>
      </c>
      <c r="FJ209" s="1" t="s">
        <v>347</v>
      </c>
      <c r="FK209" s="1" t="s">
        <v>229</v>
      </c>
      <c r="FL209" s="1" t="s">
        <v>456</v>
      </c>
      <c r="FM209" s="1">
        <v>6026.0</v>
      </c>
      <c r="FN209" s="1" t="s">
        <v>3545</v>
      </c>
      <c r="FO209" s="1" t="s">
        <v>3546</v>
      </c>
      <c r="FP209" s="1">
        <v>62750.0</v>
      </c>
      <c r="FQ209" s="1" t="s">
        <v>3547</v>
      </c>
      <c r="FU209" s="1" t="s">
        <v>3548</v>
      </c>
      <c r="FV209" s="1" t="s">
        <v>200</v>
      </c>
      <c r="FW209" s="1" t="s">
        <v>354</v>
      </c>
      <c r="FZ209" s="1" t="s">
        <v>229</v>
      </c>
      <c r="GA209" s="1" t="s">
        <v>291</v>
      </c>
      <c r="GB209" s="2">
        <v>42041.0</v>
      </c>
      <c r="GC209" s="1" t="s">
        <v>3549</v>
      </c>
    </row>
    <row r="210">
      <c r="A210" s="1">
        <v>236100.0</v>
      </c>
      <c r="B210" s="1" t="s">
        <v>185</v>
      </c>
      <c r="C210" s="1" t="str">
        <f>"08772480"</f>
        <v>08772480</v>
      </c>
      <c r="D210" s="1" t="s">
        <v>186</v>
      </c>
      <c r="F210" s="1" t="str">
        <f>"8064"</f>
        <v>8064</v>
      </c>
      <c r="G210" s="2">
        <v>41953.0</v>
      </c>
      <c r="H210" s="1">
        <v>249900.0</v>
      </c>
      <c r="I210" s="1">
        <v>121.0</v>
      </c>
      <c r="J210" s="1">
        <v>239900.0</v>
      </c>
      <c r="K210" s="2">
        <v>42073.0</v>
      </c>
      <c r="L210" s="1">
        <v>121.0</v>
      </c>
      <c r="M210" s="2">
        <v>42073.0</v>
      </c>
      <c r="N210" s="1" t="s">
        <v>356</v>
      </c>
      <c r="O210" s="2">
        <v>42128.0</v>
      </c>
      <c r="P210" s="1">
        <v>243733.0</v>
      </c>
      <c r="Q210" s="1">
        <v>25042.0</v>
      </c>
      <c r="R210" s="1">
        <v>5900.0</v>
      </c>
      <c r="S210" s="1">
        <v>6129.0</v>
      </c>
      <c r="T210" s="1" t="s">
        <v>3550</v>
      </c>
      <c r="U210" s="1" t="s">
        <v>189</v>
      </c>
      <c r="V210" s="1" t="s">
        <v>190</v>
      </c>
      <c r="W210" s="1">
        <v>60638.0</v>
      </c>
      <c r="Y210" s="1" t="s">
        <v>3551</v>
      </c>
      <c r="Z210" s="1">
        <v>1922.0</v>
      </c>
      <c r="AA210" s="1" t="s">
        <v>192</v>
      </c>
      <c r="AB210" s="1" t="s">
        <v>193</v>
      </c>
      <c r="AD210" s="1" t="s">
        <v>194</v>
      </c>
      <c r="AE210" s="1" t="s">
        <v>195</v>
      </c>
      <c r="AF210" s="1" t="s">
        <v>659</v>
      </c>
      <c r="AH210" s="1" t="s">
        <v>1501</v>
      </c>
      <c r="AK210" s="1">
        <v>8.0</v>
      </c>
      <c r="AL210" s="1">
        <v>4.0</v>
      </c>
      <c r="AM210" s="1">
        <v>2.0</v>
      </c>
      <c r="AN210" s="1">
        <v>0.0</v>
      </c>
      <c r="AO210" s="1" t="s">
        <v>229</v>
      </c>
      <c r="AQ210" s="1" t="s">
        <v>257</v>
      </c>
      <c r="AR210" s="1" t="s">
        <v>192</v>
      </c>
      <c r="AS210" s="1" t="s">
        <v>199</v>
      </c>
      <c r="AT210" s="1">
        <v>2.0</v>
      </c>
      <c r="AV210" s="1" t="s">
        <v>200</v>
      </c>
      <c r="AW210" s="1">
        <v>2047.23</v>
      </c>
      <c r="AX210" s="1">
        <v>2013.0</v>
      </c>
      <c r="AY210" s="1" t="s">
        <v>387</v>
      </c>
      <c r="AZ210" s="1" t="s">
        <v>200</v>
      </c>
      <c r="BA210" s="1" t="str">
        <f>"19174210100000"</f>
        <v>19174210100000</v>
      </c>
      <c r="BB210" s="1" t="s">
        <v>200</v>
      </c>
      <c r="BC210" s="1">
        <v>1800.0</v>
      </c>
      <c r="BD210" s="1">
        <v>236100.0</v>
      </c>
      <c r="BE210" s="2">
        <v>41953.0</v>
      </c>
      <c r="BF210" s="2" t="s">
        <v>3552</v>
      </c>
      <c r="BH210" s="1">
        <v>0.0</v>
      </c>
      <c r="BK210" s="1" t="s">
        <v>204</v>
      </c>
      <c r="BL210" s="1" t="str">
        <f t="shared" ref="BL210:BM210" si="143">"0"</f>
        <v>0</v>
      </c>
      <c r="BM210" s="1" t="str">
        <f t="shared" si="143"/>
        <v>0</v>
      </c>
      <c r="BN210" s="1">
        <v>5700.0</v>
      </c>
      <c r="BO210" s="1">
        <v>6129.0</v>
      </c>
      <c r="BQ210" s="1">
        <v>299.0</v>
      </c>
      <c r="BR210" s="1">
        <v>299.0</v>
      </c>
      <c r="BS210" s="1">
        <v>299.0</v>
      </c>
      <c r="BU210" s="1" t="s">
        <v>1190</v>
      </c>
      <c r="BV210" s="1" t="s">
        <v>206</v>
      </c>
      <c r="BW210" s="1" t="s">
        <v>207</v>
      </c>
      <c r="BY210" s="1" t="s">
        <v>495</v>
      </c>
      <c r="BZ210" s="1" t="s">
        <v>206</v>
      </c>
      <c r="CA210" s="1" t="s">
        <v>207</v>
      </c>
      <c r="CC210" s="1" t="s">
        <v>1417</v>
      </c>
      <c r="CD210" s="1" t="s">
        <v>206</v>
      </c>
      <c r="CE210" s="1" t="s">
        <v>207</v>
      </c>
      <c r="CG210" s="1" t="s">
        <v>816</v>
      </c>
      <c r="CH210" s="1" t="s">
        <v>206</v>
      </c>
      <c r="CI210" s="1" t="s">
        <v>207</v>
      </c>
      <c r="CK210" s="1" t="s">
        <v>392</v>
      </c>
      <c r="CL210" s="1" t="s">
        <v>267</v>
      </c>
      <c r="CM210" s="1" t="s">
        <v>210</v>
      </c>
      <c r="CO210" s="1" t="s">
        <v>303</v>
      </c>
      <c r="CP210" s="1" t="s">
        <v>267</v>
      </c>
      <c r="CQ210" s="1" t="s">
        <v>210</v>
      </c>
      <c r="CS210" s="1" t="s">
        <v>302</v>
      </c>
      <c r="CT210" s="1" t="s">
        <v>206</v>
      </c>
      <c r="CU210" s="1" t="s">
        <v>207</v>
      </c>
      <c r="CW210" s="1" t="s">
        <v>1397</v>
      </c>
      <c r="CX210" s="1" t="s">
        <v>267</v>
      </c>
      <c r="CY210" s="1" t="s">
        <v>210</v>
      </c>
      <c r="DA210" s="1" t="s">
        <v>200</v>
      </c>
      <c r="DC210" s="1" t="s">
        <v>216</v>
      </c>
      <c r="DD210" s="1" t="s">
        <v>518</v>
      </c>
      <c r="DE210" s="1" t="s">
        <v>273</v>
      </c>
      <c r="DF210" s="1" t="s">
        <v>219</v>
      </c>
      <c r="DG210" s="1" t="s">
        <v>337</v>
      </c>
      <c r="DH210" s="1" t="s">
        <v>220</v>
      </c>
      <c r="DI210" s="1" t="s">
        <v>366</v>
      </c>
      <c r="DJ210" s="1" t="s">
        <v>222</v>
      </c>
      <c r="DL210" s="1" t="s">
        <v>224</v>
      </c>
      <c r="DM210" s="1" t="s">
        <v>229</v>
      </c>
      <c r="DN210" s="1" t="s">
        <v>367</v>
      </c>
      <c r="DP210" s="1" t="s">
        <v>340</v>
      </c>
      <c r="DQ210" s="1" t="s">
        <v>718</v>
      </c>
      <c r="DR210" s="1" t="s">
        <v>229</v>
      </c>
      <c r="DV210" s="1" t="s">
        <v>232</v>
      </c>
      <c r="DW210" s="1" t="s">
        <v>279</v>
      </c>
      <c r="DX210" s="1" t="s">
        <v>234</v>
      </c>
      <c r="DY210" s="1" t="s">
        <v>704</v>
      </c>
      <c r="EA210" s="1" t="s">
        <v>644</v>
      </c>
      <c r="EC210" s="1" t="s">
        <v>311</v>
      </c>
      <c r="EE210" s="1" t="s">
        <v>493</v>
      </c>
      <c r="EM210" s="1" t="s">
        <v>238</v>
      </c>
      <c r="EQ210" s="1" t="s">
        <v>238</v>
      </c>
      <c r="EU210" s="1" t="s">
        <v>238</v>
      </c>
      <c r="EY210" s="1" t="s">
        <v>238</v>
      </c>
      <c r="FC210" s="1" t="s">
        <v>238</v>
      </c>
      <c r="FF210" s="1" t="s">
        <v>239</v>
      </c>
      <c r="FG210" s="1" t="s">
        <v>192</v>
      </c>
      <c r="FH210" s="1" t="s">
        <v>192</v>
      </c>
      <c r="FJ210" s="1" t="s">
        <v>770</v>
      </c>
      <c r="FK210" s="1" t="s">
        <v>348</v>
      </c>
      <c r="FL210" s="1" t="s">
        <v>3553</v>
      </c>
      <c r="FM210" s="1">
        <v>22993.0</v>
      </c>
      <c r="FN210" s="1" t="s">
        <v>3554</v>
      </c>
      <c r="FO210" s="1" t="s">
        <v>3555</v>
      </c>
      <c r="FP210" s="1">
        <v>235152.0</v>
      </c>
      <c r="FQ210" s="1" t="s">
        <v>3556</v>
      </c>
      <c r="FR210" s="1">
        <v>241601.0</v>
      </c>
      <c r="FU210" s="1" t="s">
        <v>3557</v>
      </c>
      <c r="FV210" s="1" t="s">
        <v>200</v>
      </c>
      <c r="FW210" s="1" t="s">
        <v>290</v>
      </c>
      <c r="FX210" s="1" t="s">
        <v>655</v>
      </c>
      <c r="FZ210" s="1" t="s">
        <v>229</v>
      </c>
      <c r="GA210" s="1" t="s">
        <v>291</v>
      </c>
      <c r="GB210" s="2">
        <v>42128.0</v>
      </c>
      <c r="GC210" s="1" t="s">
        <v>3558</v>
      </c>
    </row>
    <row r="211">
      <c r="A211" s="1">
        <v>150000.0</v>
      </c>
      <c r="B211" s="1" t="s">
        <v>185</v>
      </c>
      <c r="C211" s="1" t="str">
        <f>"08767401"</f>
        <v>08767401</v>
      </c>
      <c r="D211" s="1" t="s">
        <v>186</v>
      </c>
      <c r="F211" s="1" t="str">
        <f>"8073"</f>
        <v>8073</v>
      </c>
      <c r="G211" s="2">
        <v>41946.0</v>
      </c>
      <c r="H211" s="1">
        <v>115000.0</v>
      </c>
      <c r="I211" s="1">
        <v>13.0</v>
      </c>
      <c r="J211" s="1">
        <v>115000.0</v>
      </c>
      <c r="K211" s="2">
        <v>41953.0</v>
      </c>
      <c r="L211" s="1">
        <v>8.0</v>
      </c>
      <c r="M211" s="2">
        <v>41953.0</v>
      </c>
      <c r="N211" s="1" t="s">
        <v>356</v>
      </c>
      <c r="O211" s="2">
        <v>42017.0</v>
      </c>
      <c r="P211" s="1">
        <v>603683.0</v>
      </c>
      <c r="Q211" s="1">
        <v>61080.0</v>
      </c>
      <c r="S211" s="1">
        <v>9545.0</v>
      </c>
      <c r="T211" s="1" t="s">
        <v>2559</v>
      </c>
      <c r="U211" s="1" t="s">
        <v>320</v>
      </c>
      <c r="V211" s="1" t="s">
        <v>190</v>
      </c>
      <c r="W211" s="1">
        <v>60643.0</v>
      </c>
      <c r="Y211" s="1" t="s">
        <v>3559</v>
      </c>
      <c r="Z211" s="1">
        <v>2002.0</v>
      </c>
      <c r="AA211" s="1" t="s">
        <v>200</v>
      </c>
      <c r="AB211" s="1" t="s">
        <v>193</v>
      </c>
      <c r="AD211" s="1" t="s">
        <v>194</v>
      </c>
      <c r="AE211" s="1" t="s">
        <v>195</v>
      </c>
      <c r="AF211" s="1" t="s">
        <v>1154</v>
      </c>
      <c r="AH211" s="1" t="s">
        <v>3560</v>
      </c>
      <c r="AI211" s="1">
        <v>0.0996</v>
      </c>
      <c r="AK211" s="1">
        <v>8.0</v>
      </c>
      <c r="AL211" s="1">
        <v>3.0</v>
      </c>
      <c r="AM211" s="1">
        <v>3.0</v>
      </c>
      <c r="AN211" s="1">
        <v>1.0</v>
      </c>
      <c r="AO211" s="1" t="s">
        <v>198</v>
      </c>
      <c r="AP211" s="1">
        <v>1.0</v>
      </c>
      <c r="AQ211" s="1" t="s">
        <v>198</v>
      </c>
      <c r="AR211" s="1" t="s">
        <v>192</v>
      </c>
      <c r="AS211" s="1" t="s">
        <v>199</v>
      </c>
      <c r="AT211" s="1">
        <v>2.0</v>
      </c>
      <c r="AV211" s="1" t="s">
        <v>200</v>
      </c>
      <c r="AW211" s="1">
        <v>3532.74</v>
      </c>
      <c r="AX211" s="1">
        <v>2012.0</v>
      </c>
      <c r="AY211" s="1" t="s">
        <v>229</v>
      </c>
      <c r="AZ211" s="1" t="s">
        <v>200</v>
      </c>
      <c r="BA211" s="1" t="str">
        <f>"25081030820000"</f>
        <v>25081030820000</v>
      </c>
      <c r="BC211" s="1">
        <v>2340.0</v>
      </c>
      <c r="BD211" s="1">
        <v>150000.0</v>
      </c>
      <c r="BE211" s="2">
        <v>41946.0</v>
      </c>
      <c r="BF211" s="2" t="s">
        <v>3561</v>
      </c>
      <c r="BH211" s="1">
        <v>0.0</v>
      </c>
      <c r="BK211" s="1" t="s">
        <v>204</v>
      </c>
      <c r="BL211" s="1" t="str">
        <f t="shared" ref="BL211:BM211" si="144">"0"</f>
        <v>0</v>
      </c>
      <c r="BM211" s="1" t="str">
        <f t="shared" si="144"/>
        <v>0</v>
      </c>
      <c r="BN211" s="1">
        <v>1300.0</v>
      </c>
      <c r="BO211" s="1">
        <v>9545.0</v>
      </c>
      <c r="BQ211" s="1">
        <v>299.0</v>
      </c>
      <c r="BR211" s="1">
        <v>299.0</v>
      </c>
      <c r="BS211" s="1">
        <v>299.0</v>
      </c>
      <c r="BU211" s="1" t="s">
        <v>304</v>
      </c>
      <c r="BV211" s="1" t="s">
        <v>206</v>
      </c>
      <c r="BW211" s="1" t="s">
        <v>207</v>
      </c>
      <c r="BY211" s="1" t="s">
        <v>304</v>
      </c>
      <c r="BZ211" s="1" t="s">
        <v>209</v>
      </c>
      <c r="CA211" s="1" t="s">
        <v>210</v>
      </c>
      <c r="CC211" s="1" t="s">
        <v>1352</v>
      </c>
      <c r="CD211" s="1" t="s">
        <v>206</v>
      </c>
      <c r="CE211" s="1" t="s">
        <v>207</v>
      </c>
      <c r="CG211" s="1" t="s">
        <v>1397</v>
      </c>
      <c r="CH211" s="1" t="s">
        <v>209</v>
      </c>
      <c r="CI211" s="1" t="s">
        <v>210</v>
      </c>
      <c r="CK211" s="1" t="s">
        <v>302</v>
      </c>
      <c r="CL211" s="1" t="s">
        <v>209</v>
      </c>
      <c r="CM211" s="1" t="s">
        <v>210</v>
      </c>
      <c r="CO211" s="1" t="s">
        <v>878</v>
      </c>
      <c r="CP211" s="1" t="s">
        <v>42</v>
      </c>
      <c r="CQ211" s="1" t="s">
        <v>210</v>
      </c>
      <c r="CS211" s="1" t="s">
        <v>363</v>
      </c>
      <c r="CT211" s="1" t="s">
        <v>206</v>
      </c>
      <c r="CU211" s="1" t="s">
        <v>207</v>
      </c>
      <c r="CW211" s="1" t="s">
        <v>1117</v>
      </c>
      <c r="CX211" s="1" t="s">
        <v>206</v>
      </c>
      <c r="CY211" s="1" t="s">
        <v>207</v>
      </c>
      <c r="DA211" s="1" t="s">
        <v>200</v>
      </c>
      <c r="DC211" s="1" t="s">
        <v>335</v>
      </c>
      <c r="DE211" s="1" t="s">
        <v>273</v>
      </c>
      <c r="DF211" s="1" t="s">
        <v>619</v>
      </c>
      <c r="DG211" s="1" t="s">
        <v>1657</v>
      </c>
      <c r="DH211" s="1" t="s">
        <v>365</v>
      </c>
      <c r="DJ211" s="1" t="s">
        <v>222</v>
      </c>
      <c r="DL211" s="1" t="s">
        <v>224</v>
      </c>
      <c r="DM211" s="1" t="s">
        <v>229</v>
      </c>
      <c r="DQ211" s="1" t="s">
        <v>228</v>
      </c>
      <c r="DR211" s="1" t="s">
        <v>229</v>
      </c>
      <c r="DS211" s="1" t="s">
        <v>591</v>
      </c>
      <c r="DU211" s="1" t="s">
        <v>3562</v>
      </c>
      <c r="DV211" s="1" t="s">
        <v>232</v>
      </c>
      <c r="DW211" s="1" t="s">
        <v>3563</v>
      </c>
      <c r="DX211" s="1" t="s">
        <v>234</v>
      </c>
      <c r="DZ211" s="1" t="s">
        <v>3564</v>
      </c>
      <c r="EC211" s="1" t="s">
        <v>237</v>
      </c>
      <c r="EM211" s="1" t="s">
        <v>238</v>
      </c>
      <c r="EQ211" s="1" t="s">
        <v>238</v>
      </c>
      <c r="EU211" s="1" t="s">
        <v>238</v>
      </c>
      <c r="EY211" s="1" t="s">
        <v>238</v>
      </c>
      <c r="FC211" s="1" t="s">
        <v>238</v>
      </c>
      <c r="FF211" s="1" t="s">
        <v>239</v>
      </c>
      <c r="FG211" s="1" t="s">
        <v>200</v>
      </c>
      <c r="FH211" s="1" t="s">
        <v>192</v>
      </c>
      <c r="FJ211" s="1" t="s">
        <v>1450</v>
      </c>
      <c r="FK211" s="1" t="s">
        <v>229</v>
      </c>
      <c r="FL211" s="1" t="s">
        <v>3565</v>
      </c>
      <c r="FM211" s="1">
        <v>18426.0</v>
      </c>
      <c r="FN211" s="1" t="s">
        <v>3566</v>
      </c>
      <c r="FO211" s="1" t="s">
        <v>3567</v>
      </c>
      <c r="FP211" s="1">
        <v>183771.0</v>
      </c>
      <c r="FQ211" s="1" t="s">
        <v>3568</v>
      </c>
      <c r="FU211" s="1" t="s">
        <v>3569</v>
      </c>
      <c r="FV211" s="1" t="s">
        <v>200</v>
      </c>
      <c r="FW211" s="1" t="s">
        <v>530</v>
      </c>
      <c r="FX211" s="1" t="s">
        <v>655</v>
      </c>
      <c r="FZ211" s="1" t="s">
        <v>229</v>
      </c>
      <c r="GA211" s="1" t="s">
        <v>291</v>
      </c>
      <c r="GB211" s="2">
        <v>42018.0</v>
      </c>
      <c r="GC211" s="1" t="s">
        <v>3570</v>
      </c>
    </row>
    <row r="212">
      <c r="A212" s="1">
        <v>46000.0</v>
      </c>
      <c r="B212" s="1" t="s">
        <v>185</v>
      </c>
      <c r="C212" s="1" t="str">
        <f>"08770446"</f>
        <v>08770446</v>
      </c>
      <c r="D212" s="1" t="s">
        <v>186</v>
      </c>
      <c r="F212" s="1" t="str">
        <f>"123"</f>
        <v>123</v>
      </c>
      <c r="G212" s="2">
        <v>41949.0</v>
      </c>
      <c r="H212" s="1">
        <v>45900.0</v>
      </c>
      <c r="I212" s="1">
        <v>56.0</v>
      </c>
      <c r="J212" s="1">
        <v>45900.0</v>
      </c>
      <c r="K212" s="2">
        <v>42003.0</v>
      </c>
      <c r="L212" s="1">
        <v>56.0</v>
      </c>
      <c r="M212" s="2">
        <v>42003.0</v>
      </c>
      <c r="N212" s="1" t="s">
        <v>249</v>
      </c>
      <c r="O212" s="2">
        <v>42034.0</v>
      </c>
      <c r="P212" s="1">
        <v>81842.0</v>
      </c>
      <c r="Q212" s="1">
        <v>8093.0</v>
      </c>
      <c r="S212" s="1">
        <v>459.0</v>
      </c>
      <c r="T212" s="1" t="s">
        <v>3571</v>
      </c>
      <c r="U212" s="1" t="s">
        <v>320</v>
      </c>
      <c r="V212" s="1" t="s">
        <v>465</v>
      </c>
      <c r="W212" s="1">
        <v>60120.0</v>
      </c>
      <c r="Y212" s="1" t="s">
        <v>3572</v>
      </c>
      <c r="Z212" s="1">
        <v>1900.0</v>
      </c>
      <c r="AA212" s="1" t="s">
        <v>192</v>
      </c>
      <c r="AB212" s="1" t="s">
        <v>193</v>
      </c>
      <c r="AD212" s="1" t="s">
        <v>469</v>
      </c>
      <c r="AE212" s="1" t="s">
        <v>325</v>
      </c>
      <c r="AF212" s="1" t="s">
        <v>469</v>
      </c>
      <c r="AH212" s="1" t="s">
        <v>3573</v>
      </c>
      <c r="AI212" s="1">
        <v>0.2002</v>
      </c>
      <c r="AK212" s="1">
        <v>7.0</v>
      </c>
      <c r="AL212" s="1">
        <v>4.0</v>
      </c>
      <c r="AM212" s="1">
        <v>1.0</v>
      </c>
      <c r="AN212" s="1">
        <v>0.0</v>
      </c>
      <c r="AO212" s="1" t="s">
        <v>229</v>
      </c>
      <c r="AQ212" s="1" t="s">
        <v>198</v>
      </c>
      <c r="AR212" s="1" t="s">
        <v>200</v>
      </c>
      <c r="AS212" s="1" t="s">
        <v>199</v>
      </c>
      <c r="AT212" s="1">
        <v>1.0</v>
      </c>
      <c r="AV212" s="1" t="s">
        <v>200</v>
      </c>
      <c r="AW212" s="1">
        <v>4562.4</v>
      </c>
      <c r="AX212" s="1">
        <v>2013.0</v>
      </c>
      <c r="AZ212" s="1" t="s">
        <v>545</v>
      </c>
      <c r="BA212" s="1" t="str">
        <f>"0612357004"</f>
        <v>0612357004</v>
      </c>
      <c r="BC212" s="1">
        <v>2100.0</v>
      </c>
      <c r="BD212" s="1">
        <v>46000.0</v>
      </c>
      <c r="BE212" s="2">
        <v>41948.0</v>
      </c>
      <c r="BF212" s="2" t="s">
        <v>3574</v>
      </c>
      <c r="BH212" s="1">
        <v>0.0</v>
      </c>
      <c r="BK212" s="1" t="s">
        <v>204</v>
      </c>
      <c r="BL212" s="1" t="str">
        <f t="shared" ref="BL212:BM212" si="145">""</f>
        <v/>
      </c>
      <c r="BM212" s="1" t="str">
        <f t="shared" si="145"/>
        <v/>
      </c>
      <c r="BQ212" s="1">
        <v>46.0</v>
      </c>
      <c r="BR212" s="1">
        <v>46.0</v>
      </c>
      <c r="BS212" s="1">
        <v>46.0</v>
      </c>
      <c r="BU212" s="1" t="s">
        <v>262</v>
      </c>
      <c r="BV212" s="1" t="s">
        <v>206</v>
      </c>
      <c r="BY212" s="1" t="s">
        <v>264</v>
      </c>
      <c r="BZ212" s="1" t="s">
        <v>209</v>
      </c>
      <c r="CC212" s="1" t="s">
        <v>332</v>
      </c>
      <c r="CD212" s="1" t="s">
        <v>206</v>
      </c>
      <c r="CG212" s="1" t="s">
        <v>495</v>
      </c>
      <c r="CH212" s="1" t="s">
        <v>209</v>
      </c>
      <c r="CK212" s="1" t="s">
        <v>495</v>
      </c>
      <c r="CL212" s="1" t="s">
        <v>209</v>
      </c>
      <c r="CO212" s="1" t="s">
        <v>269</v>
      </c>
      <c r="CP212" s="1" t="s">
        <v>209</v>
      </c>
      <c r="CS212" s="1" t="s">
        <v>433</v>
      </c>
      <c r="CT212" s="1" t="s">
        <v>206</v>
      </c>
      <c r="CX212" s="1" t="s">
        <v>204</v>
      </c>
      <c r="DA212" s="1" t="s">
        <v>200</v>
      </c>
      <c r="DC212" s="1" t="s">
        <v>642</v>
      </c>
      <c r="DE212" s="1" t="s">
        <v>229</v>
      </c>
      <c r="DF212" s="1" t="s">
        <v>229</v>
      </c>
      <c r="DH212" s="1" t="s">
        <v>220</v>
      </c>
      <c r="DJ212" s="1" t="s">
        <v>222</v>
      </c>
      <c r="DL212" s="1" t="s">
        <v>223</v>
      </c>
      <c r="DM212" s="1" t="s">
        <v>3575</v>
      </c>
      <c r="DQ212" s="1" t="s">
        <v>228</v>
      </c>
      <c r="DR212" s="1" t="s">
        <v>229</v>
      </c>
      <c r="DV212" s="1" t="s">
        <v>232</v>
      </c>
      <c r="DW212" s="1" t="s">
        <v>3576</v>
      </c>
      <c r="DX212" s="1" t="s">
        <v>234</v>
      </c>
      <c r="DZ212" s="1" t="s">
        <v>343</v>
      </c>
      <c r="EA212" s="1" t="s">
        <v>3577</v>
      </c>
      <c r="EC212" s="1" t="s">
        <v>237</v>
      </c>
      <c r="EE212" s="1" t="s">
        <v>1673</v>
      </c>
      <c r="EM212" s="1" t="s">
        <v>238</v>
      </c>
      <c r="EQ212" s="1" t="s">
        <v>238</v>
      </c>
      <c r="EU212" s="1" t="s">
        <v>238</v>
      </c>
      <c r="EY212" s="1" t="s">
        <v>238</v>
      </c>
      <c r="FC212" s="1" t="s">
        <v>238</v>
      </c>
      <c r="FF212" s="1" t="s">
        <v>239</v>
      </c>
      <c r="FG212" s="1" t="s">
        <v>192</v>
      </c>
      <c r="FH212" s="1" t="s">
        <v>192</v>
      </c>
      <c r="FJ212" s="1" t="s">
        <v>2552</v>
      </c>
      <c r="FK212" s="1" t="s">
        <v>229</v>
      </c>
      <c r="FL212" s="1" t="s">
        <v>3578</v>
      </c>
      <c r="FM212" s="1">
        <v>25401.0</v>
      </c>
      <c r="FN212" s="1" t="s">
        <v>3579</v>
      </c>
      <c r="FO212" s="1" t="s">
        <v>3580</v>
      </c>
      <c r="FP212" s="1">
        <v>231228.0</v>
      </c>
      <c r="FQ212" s="1" t="s">
        <v>3579</v>
      </c>
      <c r="FS212" s="1" t="s">
        <v>3581</v>
      </c>
      <c r="FU212" s="1" t="s">
        <v>3582</v>
      </c>
      <c r="FV212" s="1" t="s">
        <v>200</v>
      </c>
      <c r="FW212" s="1" t="s">
        <v>567</v>
      </c>
      <c r="FX212" s="1" t="s">
        <v>238</v>
      </c>
      <c r="FZ212" s="1" t="s">
        <v>229</v>
      </c>
      <c r="GA212" s="1" t="s">
        <v>291</v>
      </c>
      <c r="GB212" s="2">
        <v>42040.0</v>
      </c>
      <c r="GC212" s="1" t="s">
        <v>3583</v>
      </c>
    </row>
    <row r="213">
      <c r="A213" s="1">
        <v>2425000.0</v>
      </c>
      <c r="B213" s="1" t="s">
        <v>185</v>
      </c>
      <c r="C213" s="1" t="str">
        <f>"08770788"</f>
        <v>08770788</v>
      </c>
      <c r="D213" s="1" t="s">
        <v>186</v>
      </c>
      <c r="F213" s="1" t="str">
        <f>"8007"</f>
        <v>8007</v>
      </c>
      <c r="G213" s="2">
        <v>41949.0</v>
      </c>
      <c r="H213" s="1">
        <v>2590000.0</v>
      </c>
      <c r="I213" s="1">
        <v>24.0</v>
      </c>
      <c r="J213" s="1">
        <v>2550000.0</v>
      </c>
      <c r="K213" s="2">
        <v>41972.0</v>
      </c>
      <c r="L213" s="1">
        <v>24.0</v>
      </c>
      <c r="M213" s="2">
        <v>41972.0</v>
      </c>
      <c r="N213" s="1" t="s">
        <v>187</v>
      </c>
      <c r="O213" s="2">
        <v>42034.0</v>
      </c>
      <c r="P213" s="1">
        <v>128411.0</v>
      </c>
      <c r="Q213" s="1">
        <v>10988.0</v>
      </c>
      <c r="S213" s="1">
        <v>2237.0</v>
      </c>
      <c r="T213" s="1" t="s">
        <v>3584</v>
      </c>
      <c r="U213" s="1" t="s">
        <v>189</v>
      </c>
      <c r="V213" s="1" t="s">
        <v>190</v>
      </c>
      <c r="W213" s="1">
        <v>60614.0</v>
      </c>
      <c r="Y213" s="1" t="s">
        <v>3585</v>
      </c>
      <c r="Z213" s="1">
        <v>1888.0</v>
      </c>
      <c r="AA213" s="1" t="s">
        <v>192</v>
      </c>
      <c r="AB213" s="1" t="s">
        <v>193</v>
      </c>
      <c r="AD213" s="1" t="s">
        <v>194</v>
      </c>
      <c r="AE213" s="1" t="s">
        <v>195</v>
      </c>
      <c r="AF213" s="1" t="s">
        <v>2645</v>
      </c>
      <c r="AH213" s="1" t="s">
        <v>3586</v>
      </c>
      <c r="AK213" s="1">
        <v>10.0</v>
      </c>
      <c r="AL213" s="1">
        <v>4.0</v>
      </c>
      <c r="AM213" s="1">
        <v>4.0</v>
      </c>
      <c r="AN213" s="1">
        <v>1.0</v>
      </c>
      <c r="AO213" s="1" t="s">
        <v>198</v>
      </c>
      <c r="AP213" s="1">
        <v>2.0</v>
      </c>
      <c r="AQ213" s="1" t="s">
        <v>472</v>
      </c>
      <c r="AR213" s="1" t="s">
        <v>192</v>
      </c>
      <c r="AS213" s="1" t="s">
        <v>199</v>
      </c>
      <c r="AT213" s="1">
        <v>2.0</v>
      </c>
      <c r="AV213" s="1" t="s">
        <v>200</v>
      </c>
      <c r="AW213" s="1">
        <v>17930.0</v>
      </c>
      <c r="AX213" s="1">
        <v>2013.0</v>
      </c>
      <c r="AY213" s="1" t="s">
        <v>387</v>
      </c>
      <c r="AZ213" s="1" t="s">
        <v>200</v>
      </c>
      <c r="BA213" s="1" t="str">
        <f>"14322070120000"</f>
        <v>14322070120000</v>
      </c>
      <c r="BC213" s="1">
        <v>4350.0</v>
      </c>
      <c r="BD213" s="1">
        <v>2425000.0</v>
      </c>
      <c r="BE213" s="2">
        <v>41949.0</v>
      </c>
      <c r="BF213" s="2" t="s">
        <v>3587</v>
      </c>
      <c r="BG213" s="1" t="s">
        <v>3588</v>
      </c>
      <c r="BH213" s="1">
        <v>0.0</v>
      </c>
      <c r="BI213" s="1" t="s">
        <v>3588</v>
      </c>
      <c r="BK213" s="1" t="s">
        <v>204</v>
      </c>
      <c r="BL213" s="1" t="str">
        <f>"2237"</f>
        <v>2237</v>
      </c>
      <c r="BM213" s="1" t="str">
        <f t="shared" ref="BM213:BM214" si="146">"0"</f>
        <v>0</v>
      </c>
      <c r="BN213" s="1">
        <v>900.0</v>
      </c>
      <c r="BO213" s="1">
        <v>0.0</v>
      </c>
      <c r="BQ213" s="1">
        <v>299.0</v>
      </c>
      <c r="BR213" s="1">
        <v>299.0</v>
      </c>
      <c r="BS213" s="1">
        <v>299.0</v>
      </c>
      <c r="BU213" s="1" t="s">
        <v>1183</v>
      </c>
      <c r="BV213" s="1" t="s">
        <v>206</v>
      </c>
      <c r="BW213" s="1" t="s">
        <v>207</v>
      </c>
      <c r="BX213" s="1" t="s">
        <v>229</v>
      </c>
      <c r="BY213" s="1" t="s">
        <v>582</v>
      </c>
      <c r="BZ213" s="1" t="s">
        <v>209</v>
      </c>
      <c r="CA213" s="1" t="s">
        <v>210</v>
      </c>
      <c r="CB213" s="1" t="s">
        <v>239</v>
      </c>
      <c r="CC213" s="1" t="s">
        <v>363</v>
      </c>
      <c r="CD213" s="1" t="s">
        <v>206</v>
      </c>
      <c r="CE213" s="1" t="s">
        <v>207</v>
      </c>
      <c r="CF213" s="1" t="s">
        <v>229</v>
      </c>
      <c r="CG213" s="1" t="s">
        <v>478</v>
      </c>
      <c r="CH213" s="1" t="s">
        <v>209</v>
      </c>
      <c r="CI213" s="1" t="s">
        <v>210</v>
      </c>
      <c r="CJ213" s="1" t="s">
        <v>239</v>
      </c>
      <c r="CK213" s="1" t="s">
        <v>332</v>
      </c>
      <c r="CL213" s="1" t="s">
        <v>209</v>
      </c>
      <c r="CM213" s="1" t="s">
        <v>210</v>
      </c>
      <c r="CN213" s="1" t="s">
        <v>239</v>
      </c>
      <c r="CO213" s="1" t="s">
        <v>302</v>
      </c>
      <c r="CP213" s="1" t="s">
        <v>267</v>
      </c>
      <c r="CQ213" s="1" t="s">
        <v>210</v>
      </c>
      <c r="CR213" s="1" t="s">
        <v>239</v>
      </c>
      <c r="CS213" s="1" t="s">
        <v>477</v>
      </c>
      <c r="CT213" s="1" t="s">
        <v>206</v>
      </c>
      <c r="CU213" s="1" t="s">
        <v>207</v>
      </c>
      <c r="CV213" s="1" t="s">
        <v>229</v>
      </c>
      <c r="CW213" s="1" t="s">
        <v>329</v>
      </c>
      <c r="CX213" s="1" t="s">
        <v>206</v>
      </c>
      <c r="CY213" s="1" t="s">
        <v>207</v>
      </c>
      <c r="CZ213" s="1" t="s">
        <v>229</v>
      </c>
      <c r="DA213" s="1" t="s">
        <v>200</v>
      </c>
      <c r="DC213" s="1" t="s">
        <v>642</v>
      </c>
      <c r="DD213" s="1" t="s">
        <v>518</v>
      </c>
      <c r="DE213" s="1" t="s">
        <v>273</v>
      </c>
      <c r="DF213" s="1" t="s">
        <v>3589</v>
      </c>
      <c r="DH213" s="1" t="s">
        <v>365</v>
      </c>
      <c r="DI213" s="1" t="s">
        <v>3590</v>
      </c>
      <c r="DJ213" s="1" t="s">
        <v>222</v>
      </c>
      <c r="DL213" s="1" t="s">
        <v>224</v>
      </c>
      <c r="DM213" s="1" t="s">
        <v>1464</v>
      </c>
      <c r="DN213" s="1" t="s">
        <v>548</v>
      </c>
      <c r="DO213" s="1" t="s">
        <v>549</v>
      </c>
      <c r="DP213" s="1" t="s">
        <v>340</v>
      </c>
      <c r="DQ213" s="1" t="s">
        <v>718</v>
      </c>
      <c r="DR213" s="1" t="s">
        <v>229</v>
      </c>
      <c r="DU213" s="1" t="s">
        <v>3591</v>
      </c>
      <c r="DV213" s="1" t="s">
        <v>3592</v>
      </c>
      <c r="DW213" s="1" t="s">
        <v>279</v>
      </c>
      <c r="DX213" s="1" t="s">
        <v>280</v>
      </c>
      <c r="DY213" s="1" t="s">
        <v>704</v>
      </c>
      <c r="DZ213" s="1" t="s">
        <v>3593</v>
      </c>
      <c r="EA213" s="1" t="s">
        <v>1695</v>
      </c>
      <c r="EB213" s="1" t="s">
        <v>1639</v>
      </c>
      <c r="EC213" s="1" t="s">
        <v>237</v>
      </c>
      <c r="ED213" s="1" t="s">
        <v>555</v>
      </c>
      <c r="EG213" s="1" t="s">
        <v>598</v>
      </c>
      <c r="EH213" s="1" t="s">
        <v>450</v>
      </c>
      <c r="EI213" s="1" t="s">
        <v>408</v>
      </c>
      <c r="EL213" s="1" t="s">
        <v>3594</v>
      </c>
      <c r="EM213" s="1" t="s">
        <v>267</v>
      </c>
      <c r="EN213" s="1" t="s">
        <v>210</v>
      </c>
      <c r="EO213" s="1" t="s">
        <v>229</v>
      </c>
      <c r="EP213" s="1" t="s">
        <v>3595</v>
      </c>
      <c r="EQ213" s="1" t="s">
        <v>267</v>
      </c>
      <c r="ER213" s="1" t="s">
        <v>210</v>
      </c>
      <c r="ES213" s="1" t="s">
        <v>239</v>
      </c>
      <c r="ET213" s="1" t="s">
        <v>3596</v>
      </c>
      <c r="EU213" s="1" t="s">
        <v>206</v>
      </c>
      <c r="EV213" s="1" t="s">
        <v>207</v>
      </c>
      <c r="EW213" s="1" t="s">
        <v>229</v>
      </c>
      <c r="EY213" s="1" t="s">
        <v>238</v>
      </c>
      <c r="FC213" s="1" t="s">
        <v>238</v>
      </c>
      <c r="FF213" s="1" t="s">
        <v>239</v>
      </c>
      <c r="FG213" s="1" t="s">
        <v>192</v>
      </c>
      <c r="FH213" s="1" t="s">
        <v>192</v>
      </c>
      <c r="FJ213" s="1" t="s">
        <v>498</v>
      </c>
      <c r="FK213" s="1" t="s">
        <v>348</v>
      </c>
      <c r="FL213" s="1" t="s">
        <v>3597</v>
      </c>
      <c r="FM213" s="1">
        <v>24451.0</v>
      </c>
      <c r="FN213" s="1" t="s">
        <v>3598</v>
      </c>
      <c r="FO213" s="1" t="s">
        <v>3599</v>
      </c>
      <c r="FP213" s="1">
        <v>256870.0</v>
      </c>
      <c r="FQ213" s="1" t="s">
        <v>3598</v>
      </c>
      <c r="FS213" s="1" t="s">
        <v>3600</v>
      </c>
      <c r="FT213" s="1" t="s">
        <v>3601</v>
      </c>
      <c r="FU213" s="1" t="s">
        <v>3602</v>
      </c>
      <c r="FV213" s="1" t="s">
        <v>200</v>
      </c>
      <c r="FW213" s="1" t="s">
        <v>3603</v>
      </c>
      <c r="FX213" s="1" t="s">
        <v>238</v>
      </c>
      <c r="FZ213" s="1" t="s">
        <v>229</v>
      </c>
      <c r="GA213" s="1" t="s">
        <v>247</v>
      </c>
      <c r="GB213" s="2">
        <v>42037.0</v>
      </c>
      <c r="GC213" s="1" t="s">
        <v>3604</v>
      </c>
    </row>
    <row r="214">
      <c r="A214" s="1">
        <v>347000.0</v>
      </c>
      <c r="B214" s="1" t="s">
        <v>185</v>
      </c>
      <c r="C214" s="1" t="str">
        <f>"08771657"</f>
        <v>08771657</v>
      </c>
      <c r="D214" s="1" t="s">
        <v>186</v>
      </c>
      <c r="F214" s="1" t="str">
        <f>"174"</f>
        <v>174</v>
      </c>
      <c r="G214" s="2">
        <v>41951.0</v>
      </c>
      <c r="H214" s="1">
        <v>374900.0</v>
      </c>
      <c r="I214" s="1">
        <v>131.0</v>
      </c>
      <c r="J214" s="1">
        <v>359900.0</v>
      </c>
      <c r="K214" s="2">
        <v>42081.0</v>
      </c>
      <c r="L214" s="1">
        <v>131.0</v>
      </c>
      <c r="M214" s="2">
        <v>42081.0</v>
      </c>
      <c r="N214" s="1" t="s">
        <v>187</v>
      </c>
      <c r="O214" s="2">
        <v>42111.0</v>
      </c>
      <c r="P214" s="1">
        <v>1405.0</v>
      </c>
      <c r="Q214" s="1">
        <v>30.0</v>
      </c>
      <c r="S214" s="1">
        <v>3113.0</v>
      </c>
      <c r="T214" s="1" t="s">
        <v>3605</v>
      </c>
      <c r="U214" s="1" t="s">
        <v>1174</v>
      </c>
      <c r="V214" s="1" t="s">
        <v>1200</v>
      </c>
      <c r="W214" s="1">
        <v>60174.0</v>
      </c>
      <c r="Y214" s="1" t="s">
        <v>3606</v>
      </c>
      <c r="Z214" s="1">
        <v>1990.0</v>
      </c>
      <c r="AA214" s="1" t="s">
        <v>200</v>
      </c>
      <c r="AB214" s="1" t="s">
        <v>193</v>
      </c>
      <c r="AC214" s="1" t="s">
        <v>3605</v>
      </c>
      <c r="AD214" s="1" t="s">
        <v>1203</v>
      </c>
      <c r="AE214" s="1" t="s">
        <v>325</v>
      </c>
      <c r="AF214" s="1" t="s">
        <v>1203</v>
      </c>
      <c r="AG214" s="1" t="s">
        <v>3607</v>
      </c>
      <c r="AH214" s="1" t="s">
        <v>3608</v>
      </c>
      <c r="AI214" s="1">
        <v>0.31</v>
      </c>
      <c r="AK214" s="1">
        <v>9.0</v>
      </c>
      <c r="AL214" s="1">
        <v>4.0</v>
      </c>
      <c r="AM214" s="1">
        <v>2.0</v>
      </c>
      <c r="AN214" s="1">
        <v>1.0</v>
      </c>
      <c r="AO214" s="1" t="s">
        <v>198</v>
      </c>
      <c r="AP214" s="1">
        <v>1.0</v>
      </c>
      <c r="AQ214" s="1" t="s">
        <v>198</v>
      </c>
      <c r="AR214" s="1" t="s">
        <v>200</v>
      </c>
      <c r="AS214" s="1" t="s">
        <v>199</v>
      </c>
      <c r="AT214" s="1">
        <v>2.0</v>
      </c>
      <c r="AV214" s="1" t="s">
        <v>200</v>
      </c>
      <c r="AW214" s="4">
        <v>9046.58</v>
      </c>
      <c r="AX214" s="1">
        <v>2013.0</v>
      </c>
      <c r="AY214" s="1" t="s">
        <v>387</v>
      </c>
      <c r="AZ214" s="1" t="s">
        <v>200</v>
      </c>
      <c r="BA214" s="1" t="str">
        <f>"0924453010"</f>
        <v>0924453010</v>
      </c>
      <c r="BB214" s="1" t="s">
        <v>200</v>
      </c>
      <c r="BC214" s="1">
        <v>2641.0</v>
      </c>
      <c r="BD214" s="1">
        <v>347000.0</v>
      </c>
      <c r="BE214" s="2">
        <v>41951.0</v>
      </c>
      <c r="BF214" s="2" t="s">
        <v>3609</v>
      </c>
      <c r="BG214" s="1" t="s">
        <v>3610</v>
      </c>
      <c r="BH214" s="1">
        <v>190.0</v>
      </c>
      <c r="BI214" s="1" t="s">
        <v>2143</v>
      </c>
      <c r="BJ214" s="1" t="s">
        <v>2144</v>
      </c>
      <c r="BK214" s="1" t="s">
        <v>580</v>
      </c>
      <c r="BL214" s="1" t="str">
        <f>"4"</f>
        <v>4</v>
      </c>
      <c r="BM214" s="1" t="str">
        <f t="shared" si="146"/>
        <v>0</v>
      </c>
      <c r="BN214" s="1">
        <v>33.0</v>
      </c>
      <c r="BO214" s="1">
        <v>0.0</v>
      </c>
      <c r="BQ214" s="1">
        <v>303.0</v>
      </c>
      <c r="BR214" s="1">
        <v>303.0</v>
      </c>
      <c r="BS214" s="1">
        <v>303.0</v>
      </c>
      <c r="BU214" s="1" t="s">
        <v>1892</v>
      </c>
      <c r="BV214" s="1" t="s">
        <v>206</v>
      </c>
      <c r="BW214" s="1" t="s">
        <v>207</v>
      </c>
      <c r="BX214" s="1" t="s">
        <v>239</v>
      </c>
      <c r="BY214" s="1" t="s">
        <v>333</v>
      </c>
      <c r="BZ214" s="1" t="s">
        <v>209</v>
      </c>
      <c r="CA214" s="1" t="s">
        <v>210</v>
      </c>
      <c r="CB214" s="1" t="s">
        <v>239</v>
      </c>
      <c r="CC214" s="1" t="s">
        <v>215</v>
      </c>
      <c r="CD214" s="1" t="s">
        <v>206</v>
      </c>
      <c r="CE214" s="1" t="s">
        <v>207</v>
      </c>
      <c r="CF214" s="1" t="s">
        <v>239</v>
      </c>
      <c r="CG214" s="1" t="s">
        <v>584</v>
      </c>
      <c r="CH214" s="1" t="s">
        <v>209</v>
      </c>
      <c r="CI214" s="1" t="s">
        <v>210</v>
      </c>
      <c r="CJ214" s="1" t="s">
        <v>239</v>
      </c>
      <c r="CK214" s="1" t="s">
        <v>363</v>
      </c>
      <c r="CL214" s="1" t="s">
        <v>209</v>
      </c>
      <c r="CM214" s="1" t="s">
        <v>210</v>
      </c>
      <c r="CN214" s="1" t="s">
        <v>239</v>
      </c>
      <c r="CO214" s="1" t="s">
        <v>495</v>
      </c>
      <c r="CP214" s="1" t="s">
        <v>209</v>
      </c>
      <c r="CQ214" s="1" t="s">
        <v>210</v>
      </c>
      <c r="CR214" s="1" t="s">
        <v>239</v>
      </c>
      <c r="CS214" s="1" t="s">
        <v>3054</v>
      </c>
      <c r="CT214" s="1" t="s">
        <v>206</v>
      </c>
      <c r="CU214" s="1" t="s">
        <v>207</v>
      </c>
      <c r="CV214" s="1" t="s">
        <v>239</v>
      </c>
      <c r="CW214" s="1" t="s">
        <v>333</v>
      </c>
      <c r="CX214" s="1" t="s">
        <v>206</v>
      </c>
      <c r="CY214" s="1" t="s">
        <v>210</v>
      </c>
      <c r="CZ214" s="1" t="s">
        <v>239</v>
      </c>
      <c r="DA214" s="1" t="s">
        <v>200</v>
      </c>
      <c r="DC214" s="1" t="s">
        <v>435</v>
      </c>
      <c r="DD214" s="1" t="s">
        <v>518</v>
      </c>
      <c r="DE214" s="1" t="s">
        <v>273</v>
      </c>
      <c r="DF214" s="1" t="s">
        <v>219</v>
      </c>
      <c r="DG214" s="1" t="s">
        <v>3110</v>
      </c>
      <c r="DH214" s="1" t="s">
        <v>220</v>
      </c>
      <c r="DI214" s="1" t="s">
        <v>1003</v>
      </c>
      <c r="DJ214" s="1" t="s">
        <v>222</v>
      </c>
      <c r="DL214" s="1" t="s">
        <v>3611</v>
      </c>
      <c r="DM214" s="1" t="s">
        <v>1402</v>
      </c>
      <c r="DN214" s="1" t="s">
        <v>485</v>
      </c>
      <c r="DO214" s="1" t="s">
        <v>717</v>
      </c>
      <c r="DP214" s="1" t="s">
        <v>340</v>
      </c>
      <c r="DQ214" s="1" t="s">
        <v>441</v>
      </c>
      <c r="DR214" s="1" t="s">
        <v>1487</v>
      </c>
      <c r="DS214" s="1" t="s">
        <v>368</v>
      </c>
      <c r="DU214" s="1" t="s">
        <v>3612</v>
      </c>
      <c r="DV214" s="1" t="s">
        <v>494</v>
      </c>
      <c r="DW214" s="1" t="s">
        <v>595</v>
      </c>
      <c r="DX214" s="1" t="s">
        <v>234</v>
      </c>
      <c r="DY214" s="1" t="s">
        <v>235</v>
      </c>
      <c r="DZ214" s="1" t="s">
        <v>310</v>
      </c>
      <c r="EA214" s="1" t="s">
        <v>344</v>
      </c>
      <c r="EB214" s="1" t="s">
        <v>767</v>
      </c>
      <c r="EC214" s="1" t="s">
        <v>237</v>
      </c>
      <c r="ED214" s="1" t="s">
        <v>407</v>
      </c>
      <c r="EE214" s="1" t="s">
        <v>493</v>
      </c>
      <c r="EG214" s="1" t="s">
        <v>494</v>
      </c>
      <c r="EL214" s="1" t="s">
        <v>495</v>
      </c>
      <c r="EM214" s="1" t="s">
        <v>206</v>
      </c>
      <c r="EN214" s="1" t="s">
        <v>207</v>
      </c>
      <c r="EO214" s="1" t="s">
        <v>239</v>
      </c>
      <c r="EQ214" s="1" t="s">
        <v>238</v>
      </c>
      <c r="EU214" s="1" t="s">
        <v>238</v>
      </c>
      <c r="EY214" s="1" t="s">
        <v>238</v>
      </c>
      <c r="FC214" s="1" t="s">
        <v>238</v>
      </c>
      <c r="FF214" s="1" t="s">
        <v>239</v>
      </c>
      <c r="FG214" s="1" t="s">
        <v>192</v>
      </c>
      <c r="FH214" s="1" t="s">
        <v>192</v>
      </c>
      <c r="FJ214" s="1" t="s">
        <v>3613</v>
      </c>
      <c r="FK214" s="1" t="s">
        <v>229</v>
      </c>
      <c r="FL214" s="1" t="s">
        <v>1212</v>
      </c>
      <c r="FM214" s="1">
        <v>30.0</v>
      </c>
      <c r="FN214" s="1" t="s">
        <v>1213</v>
      </c>
      <c r="FO214" s="1" t="s">
        <v>3614</v>
      </c>
      <c r="FP214" s="1">
        <v>1405.0</v>
      </c>
      <c r="FQ214" s="1" t="s">
        <v>3615</v>
      </c>
      <c r="FS214" s="1" t="s">
        <v>3616</v>
      </c>
      <c r="FU214" s="1" t="s">
        <v>3617</v>
      </c>
      <c r="FV214" s="1" t="s">
        <v>200</v>
      </c>
      <c r="FW214" s="1" t="s">
        <v>2754</v>
      </c>
      <c r="FZ214" s="1" t="s">
        <v>229</v>
      </c>
      <c r="GA214" s="1" t="s">
        <v>291</v>
      </c>
      <c r="GB214" s="2">
        <v>42112.0</v>
      </c>
      <c r="GC214" s="1" t="s">
        <v>3618</v>
      </c>
    </row>
    <row r="215">
      <c r="A215" s="1">
        <v>116900.0</v>
      </c>
      <c r="B215" s="1" t="s">
        <v>185</v>
      </c>
      <c r="C215" s="1" t="str">
        <f>"08768035"</f>
        <v>08768035</v>
      </c>
      <c r="D215" s="1" t="s">
        <v>186</v>
      </c>
      <c r="F215" s="1" t="str">
        <f>"8066"</f>
        <v>8066</v>
      </c>
      <c r="G215" s="2">
        <v>41946.0</v>
      </c>
      <c r="H215" s="1">
        <v>116900.0</v>
      </c>
      <c r="I215" s="1">
        <v>121.0</v>
      </c>
      <c r="J215" s="1">
        <v>116900.0</v>
      </c>
      <c r="K215" s="2">
        <v>42063.0</v>
      </c>
      <c r="L215" s="1">
        <v>121.0</v>
      </c>
      <c r="M215" s="2">
        <v>42063.0</v>
      </c>
      <c r="N215" s="1" t="s">
        <v>187</v>
      </c>
      <c r="O215" s="2">
        <v>42114.0</v>
      </c>
      <c r="P215" s="1">
        <v>152086.0</v>
      </c>
      <c r="Q215" s="1">
        <v>85239.0</v>
      </c>
      <c r="R215" s="1">
        <v>3507.0</v>
      </c>
      <c r="S215" s="1">
        <v>6625.0</v>
      </c>
      <c r="T215" s="1" t="s">
        <v>3619</v>
      </c>
      <c r="U215" s="1" t="s">
        <v>189</v>
      </c>
      <c r="V215" s="1" t="s">
        <v>190</v>
      </c>
      <c r="W215" s="1">
        <v>60629.0</v>
      </c>
      <c r="X215" s="1">
        <v>1739.0</v>
      </c>
      <c r="Y215" s="1" t="s">
        <v>3620</v>
      </c>
      <c r="Z215" s="1">
        <v>1950.0</v>
      </c>
      <c r="AA215" s="1" t="s">
        <v>192</v>
      </c>
      <c r="AB215" s="1" t="s">
        <v>193</v>
      </c>
      <c r="AD215" s="1" t="s">
        <v>194</v>
      </c>
      <c r="AE215" s="1" t="s">
        <v>195</v>
      </c>
      <c r="AF215" s="1" t="s">
        <v>659</v>
      </c>
      <c r="AG215" s="1" t="s">
        <v>1392</v>
      </c>
      <c r="AH215" s="1" t="s">
        <v>3621</v>
      </c>
      <c r="AK215" s="1">
        <v>9.0</v>
      </c>
      <c r="AL215" s="1">
        <v>4.0</v>
      </c>
      <c r="AM215" s="1">
        <v>2.0</v>
      </c>
      <c r="AN215" s="1">
        <v>0.0</v>
      </c>
      <c r="AO215" s="1" t="s">
        <v>229</v>
      </c>
      <c r="AQ215" s="1" t="s">
        <v>327</v>
      </c>
      <c r="AR215" s="1" t="s">
        <v>200</v>
      </c>
      <c r="AS215" s="1" t="s">
        <v>199</v>
      </c>
      <c r="AT215" s="1">
        <v>2.0</v>
      </c>
      <c r="AV215" s="1" t="s">
        <v>200</v>
      </c>
      <c r="AW215" s="1">
        <v>1371.61</v>
      </c>
      <c r="AX215" s="1">
        <v>2013.0</v>
      </c>
      <c r="AY215" s="1" t="s">
        <v>387</v>
      </c>
      <c r="AZ215" s="1" t="s">
        <v>200</v>
      </c>
      <c r="BA215" s="1" t="str">
        <f>"19242270530000"</f>
        <v>19242270530000</v>
      </c>
      <c r="BB215" s="1" t="s">
        <v>200</v>
      </c>
      <c r="BC215" s="1">
        <v>1551.0</v>
      </c>
      <c r="BD215" s="1">
        <v>116900.0</v>
      </c>
      <c r="BE215" s="2">
        <v>41943.0</v>
      </c>
      <c r="BF215" s="2" t="s">
        <v>3622</v>
      </c>
      <c r="BH215" s="1">
        <v>0.0</v>
      </c>
      <c r="BK215" s="1" t="s">
        <v>204</v>
      </c>
      <c r="BL215" s="1" t="str">
        <f t="shared" ref="BL215:BM215" si="147">"0"</f>
        <v>0</v>
      </c>
      <c r="BM215" s="1" t="str">
        <f t="shared" si="147"/>
        <v>0</v>
      </c>
      <c r="BN215" s="1">
        <v>2632.0</v>
      </c>
      <c r="BO215" s="1">
        <v>6625.0</v>
      </c>
      <c r="BQ215" s="1">
        <v>299.0</v>
      </c>
      <c r="BR215" s="1">
        <v>299.0</v>
      </c>
      <c r="BS215" s="1">
        <v>299.0</v>
      </c>
      <c r="BU215" s="1" t="s">
        <v>454</v>
      </c>
      <c r="BV215" s="1" t="s">
        <v>206</v>
      </c>
      <c r="BW215" s="1" t="s">
        <v>207</v>
      </c>
      <c r="BX215" s="1" t="s">
        <v>261</v>
      </c>
      <c r="BY215" s="1" t="s">
        <v>392</v>
      </c>
      <c r="BZ215" s="1" t="s">
        <v>206</v>
      </c>
      <c r="CA215" s="1" t="s">
        <v>207</v>
      </c>
      <c r="CB215" s="1" t="s">
        <v>431</v>
      </c>
      <c r="CC215" s="1" t="s">
        <v>215</v>
      </c>
      <c r="CD215" s="1" t="s">
        <v>206</v>
      </c>
      <c r="CE215" s="1" t="s">
        <v>207</v>
      </c>
      <c r="CF215" s="1" t="s">
        <v>261</v>
      </c>
      <c r="CG215" s="1" t="s">
        <v>264</v>
      </c>
      <c r="CH215" s="1" t="s">
        <v>206</v>
      </c>
      <c r="CI215" s="1" t="s">
        <v>207</v>
      </c>
      <c r="CJ215" s="1" t="s">
        <v>261</v>
      </c>
      <c r="CK215" s="1" t="s">
        <v>1044</v>
      </c>
      <c r="CL215" s="1" t="s">
        <v>209</v>
      </c>
      <c r="CM215" s="1" t="s">
        <v>207</v>
      </c>
      <c r="CN215" s="1" t="s">
        <v>261</v>
      </c>
      <c r="CO215" s="1" t="s">
        <v>332</v>
      </c>
      <c r="CP215" s="1" t="s">
        <v>209</v>
      </c>
      <c r="CQ215" s="1" t="s">
        <v>210</v>
      </c>
      <c r="CR215" s="1" t="s">
        <v>261</v>
      </c>
      <c r="CS215" s="1" t="s">
        <v>212</v>
      </c>
      <c r="CT215" s="1" t="s">
        <v>206</v>
      </c>
      <c r="CU215" s="1" t="s">
        <v>617</v>
      </c>
      <c r="CV215" s="1" t="s">
        <v>261</v>
      </c>
      <c r="CW215" s="1" t="s">
        <v>3623</v>
      </c>
      <c r="CX215" s="1" t="s">
        <v>42</v>
      </c>
      <c r="CY215" s="1" t="s">
        <v>588</v>
      </c>
      <c r="CZ215" s="1" t="s">
        <v>1549</v>
      </c>
      <c r="DA215" s="1" t="s">
        <v>200</v>
      </c>
      <c r="DC215" s="1" t="s">
        <v>702</v>
      </c>
      <c r="DD215" s="1" t="s">
        <v>518</v>
      </c>
      <c r="DE215" s="1" t="s">
        <v>273</v>
      </c>
      <c r="DF215" s="1" t="s">
        <v>219</v>
      </c>
      <c r="DG215" s="1" t="s">
        <v>337</v>
      </c>
      <c r="DH215" s="1" t="s">
        <v>365</v>
      </c>
      <c r="DI215" s="1" t="s">
        <v>3624</v>
      </c>
      <c r="DJ215" s="1" t="s">
        <v>1048</v>
      </c>
      <c r="DK215" s="1" t="s">
        <v>1380</v>
      </c>
      <c r="DL215" s="1" t="s">
        <v>858</v>
      </c>
      <c r="DM215" s="1" t="s">
        <v>225</v>
      </c>
      <c r="DO215" s="1" t="s">
        <v>549</v>
      </c>
      <c r="DP215" s="1" t="s">
        <v>340</v>
      </c>
      <c r="DQ215" s="1" t="s">
        <v>794</v>
      </c>
      <c r="DR215" s="1" t="s">
        <v>229</v>
      </c>
      <c r="DS215" s="1" t="s">
        <v>401</v>
      </c>
      <c r="DU215" s="1" t="s">
        <v>3625</v>
      </c>
      <c r="DV215" s="1" t="s">
        <v>598</v>
      </c>
      <c r="DW215" s="1" t="s">
        <v>279</v>
      </c>
      <c r="DX215" s="1" t="s">
        <v>234</v>
      </c>
      <c r="DY215" s="1" t="s">
        <v>553</v>
      </c>
      <c r="EA215" s="1" t="s">
        <v>1075</v>
      </c>
      <c r="EC215" s="1" t="s">
        <v>645</v>
      </c>
      <c r="EG215" s="1" t="s">
        <v>598</v>
      </c>
      <c r="EL215" s="1" t="s">
        <v>1874</v>
      </c>
      <c r="EM215" s="1" t="s">
        <v>209</v>
      </c>
      <c r="EN215" s="1" t="s">
        <v>210</v>
      </c>
      <c r="EQ215" s="1" t="s">
        <v>238</v>
      </c>
      <c r="EU215" s="1" t="s">
        <v>238</v>
      </c>
      <c r="EY215" s="1" t="s">
        <v>238</v>
      </c>
      <c r="FC215" s="1" t="s">
        <v>238</v>
      </c>
      <c r="FF215" s="1" t="s">
        <v>239</v>
      </c>
      <c r="FG215" s="1" t="s">
        <v>192</v>
      </c>
      <c r="FH215" s="1" t="s">
        <v>192</v>
      </c>
      <c r="FJ215" s="1" t="s">
        <v>2552</v>
      </c>
      <c r="FK215" s="1" t="s">
        <v>229</v>
      </c>
      <c r="FL215" s="1" t="s">
        <v>2111</v>
      </c>
      <c r="FM215" s="1">
        <v>12555.0</v>
      </c>
      <c r="FN215" s="1" t="s">
        <v>2112</v>
      </c>
      <c r="FO215" s="1" t="s">
        <v>3626</v>
      </c>
      <c r="FP215" s="1">
        <v>126892.0</v>
      </c>
      <c r="FQ215" s="1" t="s">
        <v>2112</v>
      </c>
      <c r="FU215" s="1" t="s">
        <v>3627</v>
      </c>
      <c r="FV215" s="1" t="s">
        <v>200</v>
      </c>
      <c r="FW215" s="1" t="s">
        <v>567</v>
      </c>
      <c r="FX215" s="1" t="s">
        <v>655</v>
      </c>
      <c r="FZ215" s="1" t="s">
        <v>229</v>
      </c>
      <c r="GA215" s="1" t="s">
        <v>291</v>
      </c>
      <c r="GB215" s="2">
        <v>42115.0</v>
      </c>
      <c r="GC215" s="1" t="s">
        <v>3628</v>
      </c>
    </row>
    <row r="216">
      <c r="A216" s="1">
        <v>194000.0</v>
      </c>
      <c r="B216" s="1" t="s">
        <v>185</v>
      </c>
      <c r="C216" s="1" t="str">
        <f>"08768405"</f>
        <v>08768405</v>
      </c>
      <c r="D216" s="1" t="s">
        <v>186</v>
      </c>
      <c r="F216" s="1" t="str">
        <f>"560"</f>
        <v>560</v>
      </c>
      <c r="G216" s="2">
        <v>41947.0</v>
      </c>
      <c r="H216" s="1">
        <v>239900.0</v>
      </c>
      <c r="I216" s="1">
        <v>125.0</v>
      </c>
      <c r="J216" s="1">
        <v>199900.0</v>
      </c>
      <c r="K216" s="2">
        <v>42069.0</v>
      </c>
      <c r="L216" s="1">
        <v>125.0</v>
      </c>
      <c r="M216" s="2">
        <v>42069.0</v>
      </c>
      <c r="N216" s="1" t="s">
        <v>187</v>
      </c>
      <c r="O216" s="2">
        <v>42123.0</v>
      </c>
      <c r="P216" s="1">
        <v>215475.0</v>
      </c>
      <c r="Q216" s="1">
        <v>24007.0</v>
      </c>
      <c r="R216" s="1">
        <v>5000.0</v>
      </c>
      <c r="S216" s="1">
        <v>2031.0</v>
      </c>
      <c r="T216" s="1" t="s">
        <v>3629</v>
      </c>
      <c r="U216" s="1" t="s">
        <v>464</v>
      </c>
      <c r="V216" s="1" t="s">
        <v>845</v>
      </c>
      <c r="W216" s="1">
        <v>60560.0</v>
      </c>
      <c r="Y216" s="1" t="s">
        <v>3630</v>
      </c>
      <c r="Z216" s="1">
        <v>2004.0</v>
      </c>
      <c r="AA216" s="1" t="s">
        <v>200</v>
      </c>
      <c r="AB216" s="1" t="s">
        <v>467</v>
      </c>
      <c r="AD216" s="1" t="s">
        <v>848</v>
      </c>
      <c r="AE216" s="1" t="s">
        <v>849</v>
      </c>
      <c r="AF216" s="1" t="s">
        <v>2153</v>
      </c>
      <c r="AH216" s="1" t="s">
        <v>3631</v>
      </c>
      <c r="AI216" s="1">
        <v>0.2904</v>
      </c>
      <c r="AK216" s="1">
        <v>10.0</v>
      </c>
      <c r="AL216" s="1">
        <v>4.0</v>
      </c>
      <c r="AM216" s="1">
        <v>2.0</v>
      </c>
      <c r="AN216" s="1">
        <v>1.0</v>
      </c>
      <c r="AO216" s="1" t="s">
        <v>198</v>
      </c>
      <c r="AP216" s="1">
        <v>1.0</v>
      </c>
      <c r="AQ216" s="1" t="s">
        <v>198</v>
      </c>
      <c r="AR216" s="1" t="s">
        <v>200</v>
      </c>
      <c r="AS216" s="1" t="s">
        <v>199</v>
      </c>
      <c r="AT216" s="1">
        <v>2.0</v>
      </c>
      <c r="AV216" s="1" t="s">
        <v>200</v>
      </c>
      <c r="AW216" s="1">
        <v>9510.98</v>
      </c>
      <c r="AX216" s="1">
        <v>2013.0</v>
      </c>
      <c r="AZ216" s="1" t="s">
        <v>200</v>
      </c>
      <c r="BA216" s="1" t="str">
        <f>"0509210002"</f>
        <v>0509210002</v>
      </c>
      <c r="BC216" s="1">
        <v>3004.0</v>
      </c>
      <c r="BD216" s="1">
        <v>194000.0</v>
      </c>
      <c r="BE216" s="2">
        <v>41945.0</v>
      </c>
      <c r="BF216" s="2" t="s">
        <v>3632</v>
      </c>
      <c r="BH216" s="1">
        <v>154.0</v>
      </c>
      <c r="BK216" s="1" t="s">
        <v>1952</v>
      </c>
      <c r="BL216" s="1" t="str">
        <f t="shared" ref="BL216:BM216" si="148">""</f>
        <v/>
      </c>
      <c r="BM216" s="1" t="str">
        <f t="shared" si="148"/>
        <v/>
      </c>
      <c r="BQ216" s="1">
        <v>115.0</v>
      </c>
      <c r="BR216" s="1">
        <v>115.0</v>
      </c>
      <c r="BS216" s="1">
        <v>115.0</v>
      </c>
      <c r="BU216" s="1" t="s">
        <v>215</v>
      </c>
      <c r="BV216" s="1" t="s">
        <v>206</v>
      </c>
      <c r="BW216" s="1" t="s">
        <v>210</v>
      </c>
      <c r="BY216" s="1" t="s">
        <v>854</v>
      </c>
      <c r="BZ216" s="1" t="s">
        <v>209</v>
      </c>
      <c r="CA216" s="1" t="s">
        <v>210</v>
      </c>
      <c r="CC216" s="1" t="s">
        <v>215</v>
      </c>
      <c r="CD216" s="1" t="s">
        <v>206</v>
      </c>
      <c r="CE216" s="1" t="s">
        <v>210</v>
      </c>
      <c r="CG216" s="1" t="s">
        <v>331</v>
      </c>
      <c r="CH216" s="1" t="s">
        <v>209</v>
      </c>
      <c r="CI216" s="1" t="s">
        <v>210</v>
      </c>
      <c r="CK216" s="1" t="s">
        <v>215</v>
      </c>
      <c r="CL216" s="1" t="s">
        <v>209</v>
      </c>
      <c r="CM216" s="1" t="s">
        <v>210</v>
      </c>
      <c r="CO216" s="1" t="s">
        <v>215</v>
      </c>
      <c r="CP216" s="1" t="s">
        <v>209</v>
      </c>
      <c r="CQ216" s="1" t="s">
        <v>210</v>
      </c>
      <c r="CS216" s="1" t="s">
        <v>1483</v>
      </c>
      <c r="CT216" s="1" t="s">
        <v>206</v>
      </c>
      <c r="CU216" s="1" t="s">
        <v>268</v>
      </c>
      <c r="CW216" s="1" t="s">
        <v>260</v>
      </c>
      <c r="CX216" s="1" t="s">
        <v>206</v>
      </c>
      <c r="CY216" s="1" t="s">
        <v>210</v>
      </c>
      <c r="DA216" s="1" t="s">
        <v>200</v>
      </c>
      <c r="DC216" s="1" t="s">
        <v>481</v>
      </c>
      <c r="DD216" s="1" t="s">
        <v>3633</v>
      </c>
      <c r="DE216" s="1" t="s">
        <v>273</v>
      </c>
      <c r="DF216" s="1" t="s">
        <v>219</v>
      </c>
      <c r="DG216" s="1" t="s">
        <v>3634</v>
      </c>
      <c r="DH216" s="1" t="s">
        <v>220</v>
      </c>
      <c r="DJ216" s="1" t="s">
        <v>222</v>
      </c>
      <c r="DL216" s="1" t="s">
        <v>223</v>
      </c>
      <c r="DM216" s="1" t="s">
        <v>229</v>
      </c>
      <c r="DN216" s="1" t="s">
        <v>485</v>
      </c>
      <c r="DP216" s="1" t="s">
        <v>340</v>
      </c>
      <c r="DQ216" s="1" t="s">
        <v>441</v>
      </c>
      <c r="DR216" s="1" t="s">
        <v>3096</v>
      </c>
      <c r="DS216" s="1" t="s">
        <v>230</v>
      </c>
      <c r="DV216" s="1" t="s">
        <v>2381</v>
      </c>
      <c r="DW216" s="1" t="s">
        <v>233</v>
      </c>
      <c r="DX216" s="1" t="s">
        <v>234</v>
      </c>
      <c r="DY216" s="1" t="s">
        <v>1051</v>
      </c>
      <c r="DZ216" s="1" t="s">
        <v>343</v>
      </c>
      <c r="EC216" s="1" t="s">
        <v>237</v>
      </c>
      <c r="EE216" s="1" t="s">
        <v>493</v>
      </c>
      <c r="EG216" s="1" t="s">
        <v>494</v>
      </c>
      <c r="EH216" s="1" t="s">
        <v>556</v>
      </c>
      <c r="EL216" s="1" t="s">
        <v>212</v>
      </c>
      <c r="EM216" s="1" t="s">
        <v>206</v>
      </c>
      <c r="EN216" s="1" t="s">
        <v>210</v>
      </c>
      <c r="EP216" s="1" t="s">
        <v>264</v>
      </c>
      <c r="EQ216" s="1" t="s">
        <v>206</v>
      </c>
      <c r="ER216" s="1" t="s">
        <v>268</v>
      </c>
      <c r="EU216" s="1" t="s">
        <v>238</v>
      </c>
      <c r="EY216" s="1" t="s">
        <v>238</v>
      </c>
      <c r="FC216" s="1" t="s">
        <v>238</v>
      </c>
      <c r="FF216" s="1" t="s">
        <v>239</v>
      </c>
      <c r="FG216" s="1" t="s">
        <v>192</v>
      </c>
      <c r="FH216" s="1" t="s">
        <v>192</v>
      </c>
      <c r="FJ216" s="1" t="s">
        <v>1248</v>
      </c>
      <c r="FK216" s="1" t="s">
        <v>229</v>
      </c>
      <c r="FL216" s="1" t="s">
        <v>1007</v>
      </c>
      <c r="FM216" s="1">
        <v>22588.0</v>
      </c>
      <c r="FN216" s="1" t="s">
        <v>1321</v>
      </c>
      <c r="FO216" s="1" t="s">
        <v>3635</v>
      </c>
      <c r="FP216" s="1">
        <v>222152.0</v>
      </c>
      <c r="FQ216" s="1" t="s">
        <v>3636</v>
      </c>
      <c r="FR216" s="1">
        <v>226878.0</v>
      </c>
      <c r="FS216" s="1" t="s">
        <v>3637</v>
      </c>
      <c r="FU216" s="1" t="s">
        <v>3638</v>
      </c>
      <c r="FV216" s="1" t="s">
        <v>200</v>
      </c>
      <c r="FW216" s="1" t="s">
        <v>354</v>
      </c>
      <c r="FZ216" s="1" t="s">
        <v>229</v>
      </c>
      <c r="GA216" s="1" t="s">
        <v>291</v>
      </c>
      <c r="GB216" s="2">
        <v>42123.0</v>
      </c>
      <c r="GC216" s="1" t="s">
        <v>3639</v>
      </c>
    </row>
    <row r="217">
      <c r="A217" s="1">
        <v>266500.0</v>
      </c>
      <c r="B217" s="1" t="s">
        <v>185</v>
      </c>
      <c r="C217" s="1" t="str">
        <f>"08771906"</f>
        <v>08771906</v>
      </c>
      <c r="D217" s="1" t="s">
        <v>186</v>
      </c>
      <c r="F217" s="1" t="str">
        <f>"543"</f>
        <v>543</v>
      </c>
      <c r="G217" s="2">
        <v>41951.0</v>
      </c>
      <c r="H217" s="1">
        <v>285000.0</v>
      </c>
      <c r="I217" s="1">
        <v>197.0</v>
      </c>
      <c r="J217" s="1">
        <v>270000.0</v>
      </c>
      <c r="K217" s="2">
        <v>41987.0</v>
      </c>
      <c r="L217" s="1">
        <v>37.0</v>
      </c>
      <c r="M217" s="2">
        <v>41987.0</v>
      </c>
      <c r="N217" s="1" t="s">
        <v>187</v>
      </c>
      <c r="O217" s="2">
        <v>42019.0</v>
      </c>
      <c r="P217" s="1">
        <v>304018.0</v>
      </c>
      <c r="Q217" s="1">
        <v>30401.0</v>
      </c>
      <c r="S217" s="1">
        <v>347.0</v>
      </c>
      <c r="T217" s="1" t="s">
        <v>3640</v>
      </c>
      <c r="U217" s="1" t="s">
        <v>569</v>
      </c>
      <c r="V217" s="1" t="s">
        <v>1527</v>
      </c>
      <c r="W217" s="1">
        <v>60543.0</v>
      </c>
      <c r="Y217" s="1" t="s">
        <v>3641</v>
      </c>
      <c r="Z217" s="1">
        <v>2006.0</v>
      </c>
      <c r="AA217" s="1" t="s">
        <v>200</v>
      </c>
      <c r="AB217" s="1" t="s">
        <v>467</v>
      </c>
      <c r="AC217" s="1" t="s">
        <v>3642</v>
      </c>
      <c r="AD217" s="1" t="s">
        <v>1529</v>
      </c>
      <c r="AE217" s="1" t="s">
        <v>849</v>
      </c>
      <c r="AF217" s="1" t="s">
        <v>1529</v>
      </c>
      <c r="AG217" s="1" t="s">
        <v>3643</v>
      </c>
      <c r="AH217" s="1" t="s">
        <v>3644</v>
      </c>
      <c r="AK217" s="1">
        <v>10.0</v>
      </c>
      <c r="AL217" s="1">
        <v>4.0</v>
      </c>
      <c r="AM217" s="1">
        <v>2.0</v>
      </c>
      <c r="AN217" s="1">
        <v>1.0</v>
      </c>
      <c r="AO217" s="1" t="s">
        <v>198</v>
      </c>
      <c r="AP217" s="1">
        <v>1.0</v>
      </c>
      <c r="AQ217" s="1" t="s">
        <v>198</v>
      </c>
      <c r="AR217" s="1" t="s">
        <v>200</v>
      </c>
      <c r="AS217" s="1" t="s">
        <v>199</v>
      </c>
      <c r="AT217" s="1">
        <v>2.0</v>
      </c>
      <c r="AV217" s="1" t="s">
        <v>200</v>
      </c>
      <c r="AW217" s="1">
        <v>10808.64</v>
      </c>
      <c r="AX217" s="1">
        <v>2012.0</v>
      </c>
      <c r="AY217" s="1" t="s">
        <v>229</v>
      </c>
      <c r="AZ217" s="1" t="s">
        <v>200</v>
      </c>
      <c r="BA217" s="1" t="str">
        <f>"0303355009"</f>
        <v>0303355009</v>
      </c>
      <c r="BB217" s="1" t="s">
        <v>200</v>
      </c>
      <c r="BC217" s="1">
        <v>3321.0</v>
      </c>
      <c r="BD217" s="1">
        <v>266500.0</v>
      </c>
      <c r="BE217" s="2">
        <v>41951.0</v>
      </c>
      <c r="BF217" s="2" t="s">
        <v>3645</v>
      </c>
      <c r="BG217" s="1" t="s">
        <v>3646</v>
      </c>
      <c r="BH217" s="1">
        <v>400.0</v>
      </c>
      <c r="BI217" s="1" t="s">
        <v>3647</v>
      </c>
      <c r="BJ217" s="1" t="s">
        <v>2546</v>
      </c>
      <c r="BK217" s="1" t="s">
        <v>580</v>
      </c>
      <c r="BL217" s="1" t="str">
        <f t="shared" ref="BL217:BM217" si="149">""</f>
        <v/>
      </c>
      <c r="BM217" s="1" t="str">
        <f t="shared" si="149"/>
        <v/>
      </c>
      <c r="BQ217" s="1">
        <v>308.0</v>
      </c>
      <c r="BR217" s="1">
        <v>308.0</v>
      </c>
      <c r="BS217" s="1">
        <v>308.0</v>
      </c>
      <c r="BU217" s="1" t="s">
        <v>758</v>
      </c>
      <c r="BV217" s="1" t="s">
        <v>206</v>
      </c>
      <c r="BW217" s="1" t="s">
        <v>210</v>
      </c>
      <c r="BX217" s="1" t="s">
        <v>239</v>
      </c>
      <c r="BY217" s="1" t="s">
        <v>480</v>
      </c>
      <c r="BZ217" s="1" t="s">
        <v>209</v>
      </c>
      <c r="CA217" s="1" t="s">
        <v>210</v>
      </c>
      <c r="CB217" s="1" t="s">
        <v>239</v>
      </c>
      <c r="CC217" s="1" t="s">
        <v>215</v>
      </c>
      <c r="CD217" s="1" t="s">
        <v>206</v>
      </c>
      <c r="CE217" s="1" t="s">
        <v>210</v>
      </c>
      <c r="CF217" s="1" t="s">
        <v>239</v>
      </c>
      <c r="CG217" s="1" t="s">
        <v>215</v>
      </c>
      <c r="CH217" s="1" t="s">
        <v>209</v>
      </c>
      <c r="CI217" s="1" t="s">
        <v>210</v>
      </c>
      <c r="CJ217" s="1" t="s">
        <v>239</v>
      </c>
      <c r="CK217" s="1" t="s">
        <v>215</v>
      </c>
      <c r="CL217" s="1" t="s">
        <v>209</v>
      </c>
      <c r="CM217" s="1" t="s">
        <v>210</v>
      </c>
      <c r="CN217" s="1" t="s">
        <v>239</v>
      </c>
      <c r="CO217" s="1" t="s">
        <v>215</v>
      </c>
      <c r="CP217" s="1" t="s">
        <v>209</v>
      </c>
      <c r="CQ217" s="1" t="s">
        <v>210</v>
      </c>
      <c r="CR217" s="1" t="s">
        <v>239</v>
      </c>
      <c r="CS217" s="1" t="s">
        <v>2224</v>
      </c>
      <c r="CT217" s="1" t="s">
        <v>206</v>
      </c>
      <c r="CU217" s="1" t="s">
        <v>207</v>
      </c>
      <c r="CV217" s="1" t="s">
        <v>239</v>
      </c>
      <c r="CW217" s="1" t="s">
        <v>477</v>
      </c>
      <c r="CX217" s="1" t="s">
        <v>206</v>
      </c>
      <c r="CY217" s="1" t="s">
        <v>210</v>
      </c>
      <c r="CZ217" s="1" t="s">
        <v>239</v>
      </c>
      <c r="DA217" s="1" t="s">
        <v>200</v>
      </c>
      <c r="DC217" s="1" t="s">
        <v>481</v>
      </c>
      <c r="DD217" s="1" t="s">
        <v>518</v>
      </c>
      <c r="DE217" s="1" t="s">
        <v>273</v>
      </c>
      <c r="DF217" s="1" t="s">
        <v>905</v>
      </c>
      <c r="DH217" s="1" t="s">
        <v>220</v>
      </c>
      <c r="DI217" s="1" t="s">
        <v>1003</v>
      </c>
      <c r="DJ217" s="1" t="s">
        <v>222</v>
      </c>
      <c r="DL217" s="1" t="s">
        <v>223</v>
      </c>
      <c r="DM217" s="1" t="s">
        <v>338</v>
      </c>
      <c r="DN217" s="1" t="s">
        <v>548</v>
      </c>
      <c r="DP217" s="1" t="s">
        <v>340</v>
      </c>
      <c r="DQ217" s="1" t="s">
        <v>228</v>
      </c>
      <c r="DR217" s="1" t="s">
        <v>588</v>
      </c>
      <c r="DV217" s="1" t="s">
        <v>2381</v>
      </c>
      <c r="DW217" s="1" t="s">
        <v>444</v>
      </c>
      <c r="DX217" s="1" t="s">
        <v>234</v>
      </c>
      <c r="DY217" s="1" t="s">
        <v>1051</v>
      </c>
      <c r="EB217" s="1" t="s">
        <v>1639</v>
      </c>
      <c r="EC217" s="1" t="s">
        <v>237</v>
      </c>
      <c r="ED217" s="1" t="s">
        <v>407</v>
      </c>
      <c r="EG217" s="1" t="s">
        <v>556</v>
      </c>
      <c r="EI217" s="1" t="s">
        <v>494</v>
      </c>
      <c r="EL217" s="1" t="s">
        <v>390</v>
      </c>
      <c r="EM217" s="1" t="s">
        <v>206</v>
      </c>
      <c r="EN217" s="1" t="s">
        <v>207</v>
      </c>
      <c r="EO217" s="1" t="s">
        <v>239</v>
      </c>
      <c r="EQ217" s="1" t="s">
        <v>238</v>
      </c>
      <c r="ET217" s="1" t="s">
        <v>215</v>
      </c>
      <c r="EU217" s="1" t="s">
        <v>206</v>
      </c>
      <c r="EV217" s="1" t="s">
        <v>210</v>
      </c>
      <c r="EW217" s="1" t="s">
        <v>239</v>
      </c>
      <c r="EY217" s="1" t="s">
        <v>238</v>
      </c>
      <c r="FC217" s="1" t="s">
        <v>238</v>
      </c>
      <c r="FF217" s="1" t="s">
        <v>239</v>
      </c>
      <c r="FG217" s="1" t="s">
        <v>192</v>
      </c>
      <c r="FH217" s="1" t="s">
        <v>192</v>
      </c>
      <c r="FJ217" s="1" t="s">
        <v>770</v>
      </c>
      <c r="FK217" s="1" t="s">
        <v>229</v>
      </c>
      <c r="FL217" s="1" t="s">
        <v>3648</v>
      </c>
      <c r="FM217" s="1">
        <v>16011.0</v>
      </c>
      <c r="FN217" s="1" t="s">
        <v>3649</v>
      </c>
      <c r="FO217" s="1" t="s">
        <v>3650</v>
      </c>
      <c r="FP217" s="1">
        <v>118618.0</v>
      </c>
      <c r="FQ217" s="1" t="s">
        <v>3649</v>
      </c>
      <c r="FU217" s="1" t="s">
        <v>3651</v>
      </c>
      <c r="FV217" s="1" t="s">
        <v>200</v>
      </c>
      <c r="FW217" s="1" t="s">
        <v>3652</v>
      </c>
      <c r="FZ217" s="1" t="s">
        <v>229</v>
      </c>
      <c r="GA217" s="1" t="s">
        <v>291</v>
      </c>
      <c r="GB217" s="2">
        <v>42020.0</v>
      </c>
      <c r="GC217" s="1" t="s">
        <v>3653</v>
      </c>
    </row>
    <row r="218">
      <c r="A218" s="1">
        <v>750000.0</v>
      </c>
      <c r="B218" s="1" t="s">
        <v>185</v>
      </c>
      <c r="C218" s="1" t="str">
        <f>"08769980"</f>
        <v>08769980</v>
      </c>
      <c r="D218" s="1" t="s">
        <v>186</v>
      </c>
      <c r="F218" s="1" t="str">
        <f>"8016"</f>
        <v>8016</v>
      </c>
      <c r="G218" s="2">
        <v>41949.0</v>
      </c>
      <c r="H218" s="1">
        <v>799999.0</v>
      </c>
      <c r="I218" s="1">
        <v>79.0</v>
      </c>
      <c r="J218" s="1">
        <v>799999.0</v>
      </c>
      <c r="K218" s="2">
        <v>41968.0</v>
      </c>
      <c r="L218" s="1">
        <v>20.0</v>
      </c>
      <c r="M218" s="2">
        <v>41968.0</v>
      </c>
      <c r="N218" s="1" t="s">
        <v>187</v>
      </c>
      <c r="O218" s="2">
        <v>42034.0</v>
      </c>
      <c r="P218" s="1">
        <v>125360.0</v>
      </c>
      <c r="Q218" s="1">
        <v>14470.0</v>
      </c>
      <c r="S218" s="1">
        <v>4246.0</v>
      </c>
      <c r="T218" s="1" t="s">
        <v>3654</v>
      </c>
      <c r="U218" s="1" t="s">
        <v>189</v>
      </c>
      <c r="V218" s="1" t="s">
        <v>190</v>
      </c>
      <c r="W218" s="1">
        <v>60641.0</v>
      </c>
      <c r="Y218" s="1" t="s">
        <v>3655</v>
      </c>
      <c r="Z218" s="1">
        <v>1897.0</v>
      </c>
      <c r="AA218" s="1" t="s">
        <v>192</v>
      </c>
      <c r="AB218" s="1" t="s">
        <v>193</v>
      </c>
      <c r="AD218" s="1" t="s">
        <v>194</v>
      </c>
      <c r="AE218" s="1" t="s">
        <v>195</v>
      </c>
      <c r="AF218" s="1" t="s">
        <v>196</v>
      </c>
      <c r="AH218" s="1" t="s">
        <v>3656</v>
      </c>
      <c r="AK218" s="1">
        <v>10.0</v>
      </c>
      <c r="AL218" s="1">
        <v>4.0</v>
      </c>
      <c r="AM218" s="1">
        <v>4.0</v>
      </c>
      <c r="AN218" s="1">
        <v>1.0</v>
      </c>
      <c r="AO218" s="1" t="s">
        <v>198</v>
      </c>
      <c r="AP218" s="1">
        <v>3.0</v>
      </c>
      <c r="AQ218" s="1" t="s">
        <v>198</v>
      </c>
      <c r="AR218" s="1" t="s">
        <v>192</v>
      </c>
      <c r="AS218" s="1" t="s">
        <v>199</v>
      </c>
      <c r="AT218" s="1">
        <v>4.0</v>
      </c>
      <c r="AV218" s="1" t="s">
        <v>200</v>
      </c>
      <c r="AW218" s="1">
        <v>11019.0</v>
      </c>
      <c r="AX218" s="1">
        <v>2013.0</v>
      </c>
      <c r="AY218" s="1" t="s">
        <v>387</v>
      </c>
      <c r="AZ218" s="1" t="s">
        <v>200</v>
      </c>
      <c r="BA218" s="1" t="str">
        <f>"13154100150000"</f>
        <v>13154100150000</v>
      </c>
      <c r="BC218" s="1">
        <v>5200.0</v>
      </c>
      <c r="BD218" s="1">
        <v>750000.0</v>
      </c>
      <c r="BE218" s="2">
        <v>41949.0</v>
      </c>
      <c r="BF218" s="2" t="s">
        <v>3657</v>
      </c>
      <c r="BH218" s="1">
        <v>0.0</v>
      </c>
      <c r="BK218" s="1" t="s">
        <v>204</v>
      </c>
      <c r="BL218" s="1" t="str">
        <f>"4246"</f>
        <v>4246</v>
      </c>
      <c r="BM218" s="1" t="str">
        <f t="shared" ref="BM218:BM220" si="150">"0"</f>
        <v>0</v>
      </c>
      <c r="BN218" s="1">
        <v>4132.0</v>
      </c>
      <c r="BO218" s="1">
        <v>0.0</v>
      </c>
      <c r="BQ218" s="1">
        <v>299.0</v>
      </c>
      <c r="BR218" s="1">
        <v>299.0</v>
      </c>
      <c r="BS218" s="1">
        <v>299.0</v>
      </c>
      <c r="BU218" s="1" t="s">
        <v>1063</v>
      </c>
      <c r="BV218" s="1" t="s">
        <v>206</v>
      </c>
      <c r="BW218" s="1" t="s">
        <v>207</v>
      </c>
      <c r="BY218" s="1" t="s">
        <v>3658</v>
      </c>
      <c r="BZ218" s="1" t="s">
        <v>391</v>
      </c>
      <c r="CA218" s="1" t="s">
        <v>210</v>
      </c>
      <c r="CC218" s="1" t="s">
        <v>1190</v>
      </c>
      <c r="CD218" s="1" t="s">
        <v>206</v>
      </c>
      <c r="CE218" s="1" t="s">
        <v>2615</v>
      </c>
      <c r="CG218" s="1" t="s">
        <v>677</v>
      </c>
      <c r="CH218" s="1" t="s">
        <v>209</v>
      </c>
      <c r="CI218" s="1" t="s">
        <v>207</v>
      </c>
      <c r="CK218" s="1" t="s">
        <v>758</v>
      </c>
      <c r="CL218" s="1" t="s">
        <v>209</v>
      </c>
      <c r="CM218" s="1" t="s">
        <v>207</v>
      </c>
      <c r="CO218" s="1" t="s">
        <v>215</v>
      </c>
      <c r="CP218" s="1" t="s">
        <v>209</v>
      </c>
      <c r="CQ218" s="1" t="s">
        <v>207</v>
      </c>
      <c r="CS218" s="1" t="s">
        <v>2923</v>
      </c>
      <c r="CT218" s="1" t="s">
        <v>206</v>
      </c>
      <c r="CU218" s="1" t="s">
        <v>2615</v>
      </c>
      <c r="CW218" s="1" t="s">
        <v>1063</v>
      </c>
      <c r="CX218" s="1" t="s">
        <v>206</v>
      </c>
      <c r="CY218" s="1" t="s">
        <v>2615</v>
      </c>
      <c r="DA218" s="1" t="s">
        <v>200</v>
      </c>
      <c r="DC218" s="1" t="s">
        <v>642</v>
      </c>
      <c r="DD218" s="1" t="s">
        <v>957</v>
      </c>
      <c r="DE218" s="1" t="s">
        <v>218</v>
      </c>
      <c r="DF218" s="1" t="s">
        <v>1718</v>
      </c>
      <c r="DH218" s="1" t="s">
        <v>365</v>
      </c>
      <c r="DI218" s="1" t="s">
        <v>3659</v>
      </c>
      <c r="DJ218" s="1" t="s">
        <v>222</v>
      </c>
      <c r="DL218" s="1" t="s">
        <v>224</v>
      </c>
      <c r="DM218" s="1" t="s">
        <v>229</v>
      </c>
      <c r="DN218" s="1" t="s">
        <v>399</v>
      </c>
      <c r="DO218" s="1" t="s">
        <v>717</v>
      </c>
      <c r="DP218" s="1" t="s">
        <v>340</v>
      </c>
      <c r="DQ218" s="1" t="s">
        <v>794</v>
      </c>
      <c r="DR218" s="1" t="s">
        <v>229</v>
      </c>
      <c r="DS218" s="1" t="s">
        <v>368</v>
      </c>
      <c r="DU218" s="1" t="s">
        <v>3660</v>
      </c>
      <c r="DV218" s="1" t="s">
        <v>3661</v>
      </c>
      <c r="DW218" s="1" t="s">
        <v>2602</v>
      </c>
      <c r="DX218" s="1" t="s">
        <v>234</v>
      </c>
      <c r="DY218" s="1" t="s">
        <v>2875</v>
      </c>
      <c r="EA218" s="1" t="s">
        <v>1695</v>
      </c>
      <c r="EB218" s="1" t="s">
        <v>3662</v>
      </c>
      <c r="EC218" s="1" t="s">
        <v>406</v>
      </c>
      <c r="ED218" s="1" t="s">
        <v>555</v>
      </c>
      <c r="EG218" s="1" t="s">
        <v>449</v>
      </c>
      <c r="EH218" s="1" t="s">
        <v>494</v>
      </c>
      <c r="EI218" s="1" t="s">
        <v>720</v>
      </c>
      <c r="EL218" s="1" t="s">
        <v>263</v>
      </c>
      <c r="EM218" s="1" t="s">
        <v>206</v>
      </c>
      <c r="EN218" s="1" t="s">
        <v>2615</v>
      </c>
      <c r="EP218" s="1" t="s">
        <v>2717</v>
      </c>
      <c r="EQ218" s="1" t="s">
        <v>209</v>
      </c>
      <c r="ER218" s="1" t="s">
        <v>2615</v>
      </c>
      <c r="ET218" s="1" t="s">
        <v>3663</v>
      </c>
      <c r="EU218" s="1" t="s">
        <v>206</v>
      </c>
      <c r="EY218" s="1" t="s">
        <v>238</v>
      </c>
      <c r="FC218" s="1" t="s">
        <v>238</v>
      </c>
      <c r="FF218" s="1" t="s">
        <v>239</v>
      </c>
      <c r="FG218" s="1" t="s">
        <v>192</v>
      </c>
      <c r="FH218" s="1" t="s">
        <v>192</v>
      </c>
      <c r="FJ218" s="1" t="s">
        <v>3664</v>
      </c>
      <c r="FK218" s="1" t="s">
        <v>229</v>
      </c>
      <c r="FL218" s="1" t="s">
        <v>974</v>
      </c>
      <c r="FM218" s="1">
        <v>14470.0</v>
      </c>
      <c r="FN218" s="1" t="s">
        <v>3407</v>
      </c>
      <c r="FO218" s="1" t="s">
        <v>3665</v>
      </c>
      <c r="FP218" s="1">
        <v>125360.0</v>
      </c>
      <c r="FQ218" s="1" t="s">
        <v>3666</v>
      </c>
      <c r="FU218" s="1" t="s">
        <v>3667</v>
      </c>
      <c r="FV218" s="1" t="s">
        <v>200</v>
      </c>
      <c r="FW218" s="1" t="s">
        <v>290</v>
      </c>
      <c r="FX218" s="1" t="s">
        <v>238</v>
      </c>
      <c r="FZ218" s="1" t="s">
        <v>229</v>
      </c>
      <c r="GA218" s="1" t="s">
        <v>291</v>
      </c>
      <c r="GB218" s="2">
        <v>42039.0</v>
      </c>
    </row>
    <row r="219">
      <c r="A219" s="1">
        <v>59000.0</v>
      </c>
      <c r="B219" s="1" t="s">
        <v>185</v>
      </c>
      <c r="C219" s="1" t="str">
        <f>"08771810"</f>
        <v>08771810</v>
      </c>
      <c r="D219" s="1" t="s">
        <v>186</v>
      </c>
      <c r="F219" s="1" t="str">
        <f>"8025"</f>
        <v>8025</v>
      </c>
      <c r="G219" s="2">
        <v>41951.0</v>
      </c>
      <c r="H219" s="1">
        <v>58500.0</v>
      </c>
      <c r="I219" s="1">
        <v>15.0</v>
      </c>
      <c r="J219" s="1">
        <v>58500.0</v>
      </c>
      <c r="K219" s="2">
        <v>41963.0</v>
      </c>
      <c r="L219" s="1">
        <v>15.0</v>
      </c>
      <c r="M219" s="2">
        <v>41963.0</v>
      </c>
      <c r="N219" s="1" t="s">
        <v>249</v>
      </c>
      <c r="O219" s="2">
        <v>41995.0</v>
      </c>
      <c r="P219" s="1">
        <v>182963.0</v>
      </c>
      <c r="Q219" s="1">
        <v>18322.0</v>
      </c>
      <c r="S219" s="1">
        <v>1412.0</v>
      </c>
      <c r="T219" s="1" t="s">
        <v>3668</v>
      </c>
      <c r="U219" s="1" t="s">
        <v>189</v>
      </c>
      <c r="V219" s="1" t="s">
        <v>190</v>
      </c>
      <c r="W219" s="1">
        <v>60651.0</v>
      </c>
      <c r="Y219" s="1" t="s">
        <v>3669</v>
      </c>
      <c r="Z219" s="1">
        <v>1915.0</v>
      </c>
      <c r="AA219" s="1" t="s">
        <v>192</v>
      </c>
      <c r="AB219" s="1" t="s">
        <v>193</v>
      </c>
      <c r="AD219" s="1" t="s">
        <v>194</v>
      </c>
      <c r="AE219" s="1" t="s">
        <v>195</v>
      </c>
      <c r="AF219" s="1" t="s">
        <v>827</v>
      </c>
      <c r="AH219" s="1" t="s">
        <v>779</v>
      </c>
      <c r="AK219" s="1">
        <v>7.0</v>
      </c>
      <c r="AL219" s="1">
        <v>4.0</v>
      </c>
      <c r="AM219" s="1">
        <v>1.0</v>
      </c>
      <c r="AN219" s="1">
        <v>0.0</v>
      </c>
      <c r="AO219" s="1" t="s">
        <v>229</v>
      </c>
      <c r="AQ219" s="1" t="s">
        <v>198</v>
      </c>
      <c r="AR219" s="1" t="s">
        <v>200</v>
      </c>
      <c r="AS219" s="1" t="s">
        <v>199</v>
      </c>
      <c r="AT219" s="1">
        <v>2.0</v>
      </c>
      <c r="AV219" s="1" t="s">
        <v>200</v>
      </c>
      <c r="AW219" s="1">
        <v>1921.77</v>
      </c>
      <c r="AX219" s="1">
        <v>2013.0</v>
      </c>
      <c r="AZ219" s="1" t="s">
        <v>200</v>
      </c>
      <c r="BA219" s="1" t="str">
        <f>"16041100360000"</f>
        <v>16041100360000</v>
      </c>
      <c r="BC219" s="1">
        <v>1131.0</v>
      </c>
      <c r="BD219" s="1">
        <v>59000.0</v>
      </c>
      <c r="BE219" s="2">
        <v>41949.0</v>
      </c>
      <c r="BF219" s="1" t="s">
        <v>3670</v>
      </c>
      <c r="BH219" s="1">
        <v>0.0</v>
      </c>
      <c r="BK219" s="1" t="s">
        <v>204</v>
      </c>
      <c r="BL219" s="1" t="str">
        <f>"1400"</f>
        <v>1400</v>
      </c>
      <c r="BM219" s="1" t="str">
        <f t="shared" si="150"/>
        <v>0</v>
      </c>
      <c r="BN219" s="1">
        <v>5400.0</v>
      </c>
      <c r="BO219" s="1">
        <v>0.0</v>
      </c>
      <c r="BQ219" s="1">
        <v>299.0</v>
      </c>
      <c r="BR219" s="1">
        <v>299.0</v>
      </c>
      <c r="BS219" s="1">
        <v>299.0</v>
      </c>
      <c r="BU219" s="1" t="s">
        <v>1891</v>
      </c>
      <c r="BV219" s="1" t="s">
        <v>206</v>
      </c>
      <c r="BY219" s="1" t="s">
        <v>1939</v>
      </c>
      <c r="BZ219" s="1" t="s">
        <v>206</v>
      </c>
      <c r="CC219" s="1" t="s">
        <v>542</v>
      </c>
      <c r="CD219" s="1" t="s">
        <v>206</v>
      </c>
      <c r="CG219" s="1" t="s">
        <v>640</v>
      </c>
      <c r="CH219" s="1" t="s">
        <v>206</v>
      </c>
      <c r="CK219" s="1" t="s">
        <v>3671</v>
      </c>
      <c r="CL219" s="1" t="s">
        <v>206</v>
      </c>
      <c r="CO219" s="1" t="s">
        <v>3672</v>
      </c>
      <c r="CP219" s="1" t="s">
        <v>206</v>
      </c>
      <c r="CS219" s="1" t="s">
        <v>215</v>
      </c>
      <c r="CT219" s="1" t="s">
        <v>206</v>
      </c>
      <c r="CX219" s="1" t="s">
        <v>204</v>
      </c>
      <c r="DA219" s="1" t="s">
        <v>200</v>
      </c>
      <c r="DC219" s="1" t="s">
        <v>216</v>
      </c>
      <c r="DE219" s="1" t="s">
        <v>229</v>
      </c>
      <c r="DF219" s="1" t="s">
        <v>619</v>
      </c>
      <c r="DH219" s="1" t="s">
        <v>365</v>
      </c>
      <c r="DJ219" s="1" t="s">
        <v>222</v>
      </c>
      <c r="DL219" s="1" t="s">
        <v>588</v>
      </c>
      <c r="DM219" s="1" t="s">
        <v>229</v>
      </c>
      <c r="DQ219" s="1" t="s">
        <v>718</v>
      </c>
      <c r="DR219" s="1" t="s">
        <v>229</v>
      </c>
      <c r="DV219" s="1" t="s">
        <v>232</v>
      </c>
      <c r="DW219" s="1" t="s">
        <v>279</v>
      </c>
      <c r="DX219" s="1" t="s">
        <v>234</v>
      </c>
      <c r="EC219" s="1" t="s">
        <v>645</v>
      </c>
      <c r="EM219" s="1" t="s">
        <v>238</v>
      </c>
      <c r="EQ219" s="1" t="s">
        <v>238</v>
      </c>
      <c r="EU219" s="1" t="s">
        <v>238</v>
      </c>
      <c r="EY219" s="1" t="s">
        <v>238</v>
      </c>
      <c r="FC219" s="1" t="s">
        <v>238</v>
      </c>
      <c r="FF219" s="1" t="s">
        <v>239</v>
      </c>
      <c r="FG219" s="1" t="s">
        <v>200</v>
      </c>
      <c r="FH219" s="1" t="s">
        <v>192</v>
      </c>
      <c r="FJ219" s="1" t="s">
        <v>3673</v>
      </c>
      <c r="FK219" s="1" t="s">
        <v>229</v>
      </c>
      <c r="FL219" s="1" t="s">
        <v>3674</v>
      </c>
      <c r="FM219" s="1">
        <v>85213.0</v>
      </c>
      <c r="FN219" s="1" t="s">
        <v>3675</v>
      </c>
      <c r="FO219" s="1" t="s">
        <v>3676</v>
      </c>
      <c r="FP219" s="1">
        <v>167287.0</v>
      </c>
      <c r="FQ219" s="1" t="s">
        <v>3677</v>
      </c>
      <c r="FU219" s="1" t="s">
        <v>3678</v>
      </c>
      <c r="FV219" s="1" t="s">
        <v>200</v>
      </c>
      <c r="FW219" s="1" t="s">
        <v>1293</v>
      </c>
      <c r="FX219" s="1" t="s">
        <v>238</v>
      </c>
      <c r="FZ219" s="1" t="s">
        <v>229</v>
      </c>
      <c r="GA219" s="1" t="s">
        <v>291</v>
      </c>
      <c r="GB219" s="2">
        <v>41998.0</v>
      </c>
      <c r="GC219" s="1" t="s">
        <v>3679</v>
      </c>
    </row>
    <row r="220">
      <c r="A220" s="1">
        <v>360000.0</v>
      </c>
      <c r="B220" s="1" t="s">
        <v>185</v>
      </c>
      <c r="C220" s="1" t="str">
        <f>"08770915"</f>
        <v>08770915</v>
      </c>
      <c r="D220" s="1" t="s">
        <v>186</v>
      </c>
      <c r="F220" s="1" t="str">
        <f t="shared" ref="F220:F221" si="151">"123"</f>
        <v>123</v>
      </c>
      <c r="G220" s="2">
        <v>41950.0</v>
      </c>
      <c r="H220" s="1">
        <v>369900.0</v>
      </c>
      <c r="I220" s="1">
        <v>63.0</v>
      </c>
      <c r="J220" s="1">
        <v>369900.0</v>
      </c>
      <c r="K220" s="2">
        <v>42012.0</v>
      </c>
      <c r="L220" s="1">
        <v>63.0</v>
      </c>
      <c r="M220" s="2">
        <v>42012.0</v>
      </c>
      <c r="N220" s="1" t="s">
        <v>187</v>
      </c>
      <c r="O220" s="2">
        <v>42082.0</v>
      </c>
      <c r="P220" s="1">
        <v>7683.0</v>
      </c>
      <c r="Q220" s="1">
        <v>37.0</v>
      </c>
      <c r="S220" s="1">
        <v>3031.0</v>
      </c>
      <c r="T220" s="1" t="s">
        <v>3680</v>
      </c>
      <c r="U220" s="1" t="s">
        <v>982</v>
      </c>
      <c r="V220" s="1" t="s">
        <v>465</v>
      </c>
      <c r="W220" s="1">
        <v>60124.0</v>
      </c>
      <c r="Y220" s="1" t="s">
        <v>3681</v>
      </c>
      <c r="Z220" s="1">
        <v>2012.0</v>
      </c>
      <c r="AA220" s="1" t="s">
        <v>200</v>
      </c>
      <c r="AB220" s="1" t="s">
        <v>193</v>
      </c>
      <c r="AC220" s="1" t="s">
        <v>3682</v>
      </c>
      <c r="AD220" s="1" t="s">
        <v>469</v>
      </c>
      <c r="AE220" s="1" t="s">
        <v>325</v>
      </c>
      <c r="AF220" s="1" t="s">
        <v>469</v>
      </c>
      <c r="AG220" s="1" t="s">
        <v>3683</v>
      </c>
      <c r="AH220" s="1" t="s">
        <v>3684</v>
      </c>
      <c r="AI220" s="1">
        <v>0.58</v>
      </c>
      <c r="AK220" s="1">
        <v>11.0</v>
      </c>
      <c r="AL220" s="1">
        <v>4.0</v>
      </c>
      <c r="AM220" s="1">
        <v>2.0</v>
      </c>
      <c r="AN220" s="1">
        <v>1.0</v>
      </c>
      <c r="AO220" s="1" t="s">
        <v>198</v>
      </c>
      <c r="AQ220" s="1" t="s">
        <v>198</v>
      </c>
      <c r="AR220" s="1" t="s">
        <v>200</v>
      </c>
      <c r="AS220" s="1" t="s">
        <v>199</v>
      </c>
      <c r="AT220" s="1">
        <v>3.0</v>
      </c>
      <c r="AV220" s="1" t="s">
        <v>200</v>
      </c>
      <c r="AW220" s="1">
        <v>10501.92</v>
      </c>
      <c r="AX220" s="1">
        <v>2013.0</v>
      </c>
      <c r="AY220" s="1" t="s">
        <v>387</v>
      </c>
      <c r="AZ220" s="1" t="s">
        <v>200</v>
      </c>
      <c r="BA220" s="1" t="str">
        <f>"0617383002"</f>
        <v>0617383002</v>
      </c>
      <c r="BB220" s="1" t="s">
        <v>200</v>
      </c>
      <c r="BC220" s="1">
        <v>3378.0</v>
      </c>
      <c r="BD220" s="1">
        <v>360000.0</v>
      </c>
      <c r="BE220" s="2">
        <v>41950.0</v>
      </c>
      <c r="BF220" s="2" t="s">
        <v>3685</v>
      </c>
      <c r="BG220" s="1" t="s">
        <v>3686</v>
      </c>
      <c r="BH220" s="1">
        <v>300.0</v>
      </c>
      <c r="BI220" s="1" t="s">
        <v>578</v>
      </c>
      <c r="BJ220" s="1" t="s">
        <v>579</v>
      </c>
      <c r="BK220" s="1" t="s">
        <v>580</v>
      </c>
      <c r="BL220" s="1" t="str">
        <f>"11"</f>
        <v>11</v>
      </c>
      <c r="BM220" s="1" t="str">
        <f t="shared" si="150"/>
        <v>0</v>
      </c>
      <c r="BN220" s="1">
        <v>38.0</v>
      </c>
      <c r="BO220" s="1">
        <v>0.0</v>
      </c>
      <c r="BQ220" s="1">
        <v>301.0</v>
      </c>
      <c r="BR220" s="1">
        <v>301.0</v>
      </c>
      <c r="BS220" s="1">
        <v>301.0</v>
      </c>
      <c r="BU220" s="1" t="s">
        <v>433</v>
      </c>
      <c r="BV220" s="1" t="s">
        <v>206</v>
      </c>
      <c r="BW220" s="1" t="s">
        <v>210</v>
      </c>
      <c r="BY220" s="1" t="s">
        <v>2120</v>
      </c>
      <c r="BZ220" s="1" t="s">
        <v>209</v>
      </c>
      <c r="CA220" s="1" t="s">
        <v>210</v>
      </c>
      <c r="CB220" s="1" t="s">
        <v>229</v>
      </c>
      <c r="CC220" s="1" t="s">
        <v>433</v>
      </c>
      <c r="CD220" s="1" t="s">
        <v>206</v>
      </c>
      <c r="CE220" s="1" t="s">
        <v>210</v>
      </c>
      <c r="CG220" s="1" t="s">
        <v>758</v>
      </c>
      <c r="CH220" s="1" t="s">
        <v>209</v>
      </c>
      <c r="CI220" s="1" t="s">
        <v>210</v>
      </c>
      <c r="CJ220" s="1" t="s">
        <v>229</v>
      </c>
      <c r="CK220" s="1" t="s">
        <v>454</v>
      </c>
      <c r="CL220" s="1" t="s">
        <v>209</v>
      </c>
      <c r="CM220" s="1" t="s">
        <v>210</v>
      </c>
      <c r="CN220" s="1" t="s">
        <v>229</v>
      </c>
      <c r="CO220" s="1" t="s">
        <v>329</v>
      </c>
      <c r="CP220" s="1" t="s">
        <v>209</v>
      </c>
      <c r="CQ220" s="1" t="s">
        <v>210</v>
      </c>
      <c r="CS220" s="1" t="s">
        <v>729</v>
      </c>
      <c r="CT220" s="1" t="s">
        <v>206</v>
      </c>
      <c r="CU220" s="1" t="s">
        <v>617</v>
      </c>
      <c r="CV220" s="1" t="s">
        <v>229</v>
      </c>
      <c r="CW220" s="1" t="s">
        <v>924</v>
      </c>
      <c r="CX220" s="1" t="s">
        <v>206</v>
      </c>
      <c r="CY220" s="1" t="s">
        <v>210</v>
      </c>
      <c r="CZ220" s="1" t="s">
        <v>229</v>
      </c>
      <c r="DA220" s="1" t="s">
        <v>200</v>
      </c>
      <c r="DC220" s="1" t="s">
        <v>1046</v>
      </c>
      <c r="DD220" s="1" t="s">
        <v>586</v>
      </c>
      <c r="DE220" s="1" t="s">
        <v>1810</v>
      </c>
      <c r="DF220" s="1" t="s">
        <v>745</v>
      </c>
      <c r="DG220" s="1" t="s">
        <v>3687</v>
      </c>
      <c r="DH220" s="1" t="s">
        <v>220</v>
      </c>
      <c r="DI220" s="1" t="s">
        <v>1021</v>
      </c>
      <c r="DJ220" s="1" t="s">
        <v>222</v>
      </c>
      <c r="DK220" s="1" t="s">
        <v>223</v>
      </c>
      <c r="DL220" s="1" t="s">
        <v>223</v>
      </c>
      <c r="DM220" s="1" t="s">
        <v>929</v>
      </c>
      <c r="DN220" s="1" t="s">
        <v>485</v>
      </c>
      <c r="DO220" s="1" t="s">
        <v>3688</v>
      </c>
      <c r="DP220" s="1" t="s">
        <v>276</v>
      </c>
      <c r="DQ220" s="1" t="s">
        <v>1557</v>
      </c>
      <c r="DR220" s="1" t="s">
        <v>588</v>
      </c>
      <c r="DS220" s="1" t="s">
        <v>368</v>
      </c>
      <c r="DU220" s="1" t="s">
        <v>3689</v>
      </c>
      <c r="DV220" s="1" t="s">
        <v>3690</v>
      </c>
      <c r="DW220" s="1" t="s">
        <v>588</v>
      </c>
      <c r="DX220" s="1" t="s">
        <v>309</v>
      </c>
      <c r="DY220" s="1" t="s">
        <v>3075</v>
      </c>
      <c r="DZ220" s="1" t="s">
        <v>405</v>
      </c>
      <c r="EA220" s="1" t="s">
        <v>344</v>
      </c>
      <c r="EC220" s="1" t="s">
        <v>237</v>
      </c>
      <c r="ED220" s="1" t="s">
        <v>407</v>
      </c>
      <c r="EG220" s="1" t="s">
        <v>556</v>
      </c>
      <c r="EH220" s="1" t="s">
        <v>494</v>
      </c>
      <c r="EI220" s="1" t="s">
        <v>341</v>
      </c>
      <c r="EJ220" s="1" t="s">
        <v>408</v>
      </c>
      <c r="EL220" s="1" t="s">
        <v>1229</v>
      </c>
      <c r="EM220" s="1" t="s">
        <v>206</v>
      </c>
      <c r="EN220" s="1" t="s">
        <v>617</v>
      </c>
      <c r="EO220" s="1" t="s">
        <v>229</v>
      </c>
      <c r="EP220" s="1" t="s">
        <v>331</v>
      </c>
      <c r="EQ220" s="1" t="s">
        <v>206</v>
      </c>
      <c r="ER220" s="1" t="s">
        <v>210</v>
      </c>
      <c r="ES220" s="1" t="s">
        <v>229</v>
      </c>
      <c r="ET220" s="1" t="s">
        <v>544</v>
      </c>
      <c r="EU220" s="1" t="s">
        <v>209</v>
      </c>
      <c r="EV220" s="1" t="s">
        <v>210</v>
      </c>
      <c r="EW220" s="1" t="s">
        <v>229</v>
      </c>
      <c r="EX220" s="1" t="s">
        <v>3298</v>
      </c>
      <c r="EY220" s="1" t="s">
        <v>206</v>
      </c>
      <c r="EZ220" s="1" t="s">
        <v>617</v>
      </c>
      <c r="FC220" s="1" t="s">
        <v>238</v>
      </c>
      <c r="FF220" s="1" t="s">
        <v>239</v>
      </c>
      <c r="FG220" s="1" t="s">
        <v>192</v>
      </c>
      <c r="FH220" s="1" t="s">
        <v>192</v>
      </c>
      <c r="FJ220" s="1" t="s">
        <v>498</v>
      </c>
      <c r="FK220" s="1" t="s">
        <v>229</v>
      </c>
      <c r="FL220" s="1" t="s">
        <v>625</v>
      </c>
      <c r="FM220" s="1">
        <v>37.0</v>
      </c>
      <c r="FN220" s="1" t="s">
        <v>626</v>
      </c>
      <c r="FO220" s="1" t="s">
        <v>627</v>
      </c>
      <c r="FP220" s="1">
        <v>77100.0</v>
      </c>
      <c r="FQ220" s="1" t="s">
        <v>628</v>
      </c>
      <c r="FR220" s="1">
        <v>164.0</v>
      </c>
      <c r="FS220" s="1" t="s">
        <v>629</v>
      </c>
      <c r="FU220" s="1" t="s">
        <v>3691</v>
      </c>
      <c r="FV220" s="1" t="s">
        <v>200</v>
      </c>
      <c r="FW220" s="1" t="s">
        <v>631</v>
      </c>
      <c r="FZ220" s="1" t="s">
        <v>632</v>
      </c>
      <c r="GA220" s="1" t="s">
        <v>291</v>
      </c>
      <c r="GB220" s="2">
        <v>42084.0</v>
      </c>
      <c r="GC220" s="1" t="s">
        <v>3692</v>
      </c>
    </row>
    <row r="221">
      <c r="A221" s="1">
        <v>149900.0</v>
      </c>
      <c r="B221" s="1" t="s">
        <v>185</v>
      </c>
      <c r="C221" s="1" t="str">
        <f>"08771275"</f>
        <v>08771275</v>
      </c>
      <c r="D221" s="1" t="s">
        <v>186</v>
      </c>
      <c r="F221" s="1" t="str">
        <f t="shared" si="151"/>
        <v>123</v>
      </c>
      <c r="G221" s="2">
        <v>41950.0</v>
      </c>
      <c r="H221" s="1">
        <v>149900.0</v>
      </c>
      <c r="I221" s="1">
        <v>90.0</v>
      </c>
      <c r="J221" s="1">
        <v>149900.0</v>
      </c>
      <c r="K221" s="2">
        <v>42039.0</v>
      </c>
      <c r="L221" s="1">
        <v>90.0</v>
      </c>
      <c r="M221" s="2">
        <v>42039.0</v>
      </c>
      <c r="N221" s="1" t="s">
        <v>187</v>
      </c>
      <c r="O221" s="2">
        <v>42069.0</v>
      </c>
      <c r="P221" s="1">
        <v>230887.0</v>
      </c>
      <c r="Q221" s="1">
        <v>25619.0</v>
      </c>
      <c r="S221" s="1">
        <v>492.0</v>
      </c>
      <c r="T221" s="1" t="s">
        <v>3693</v>
      </c>
      <c r="U221" s="1" t="s">
        <v>320</v>
      </c>
      <c r="V221" s="1" t="s">
        <v>465</v>
      </c>
      <c r="W221" s="1">
        <v>60120.0</v>
      </c>
      <c r="Y221" s="1" t="s">
        <v>3694</v>
      </c>
      <c r="Z221" s="1">
        <v>1872.0</v>
      </c>
      <c r="AA221" s="1" t="s">
        <v>192</v>
      </c>
      <c r="AB221" s="1" t="s">
        <v>193</v>
      </c>
      <c r="AD221" s="1" t="s">
        <v>469</v>
      </c>
      <c r="AE221" s="1" t="s">
        <v>325</v>
      </c>
      <c r="AF221" s="1" t="s">
        <v>469</v>
      </c>
      <c r="AH221" s="1" t="s">
        <v>3695</v>
      </c>
      <c r="AI221" s="1">
        <v>0.357</v>
      </c>
      <c r="AK221" s="1">
        <v>8.0</v>
      </c>
      <c r="AL221" s="1">
        <v>4.0</v>
      </c>
      <c r="AM221" s="1">
        <v>1.0</v>
      </c>
      <c r="AN221" s="1">
        <v>0.0</v>
      </c>
      <c r="AO221" s="1" t="s">
        <v>229</v>
      </c>
      <c r="AP221" s="1">
        <v>1.0</v>
      </c>
      <c r="AQ221" s="1" t="s">
        <v>198</v>
      </c>
      <c r="AR221" s="1" t="s">
        <v>192</v>
      </c>
      <c r="AS221" s="1" t="s">
        <v>510</v>
      </c>
      <c r="AT221" s="1">
        <v>1.5</v>
      </c>
      <c r="AU221" s="1">
        <v>3.0</v>
      </c>
      <c r="AV221" s="1" t="s">
        <v>200</v>
      </c>
      <c r="AW221" s="1">
        <v>3365.5</v>
      </c>
      <c r="AX221" s="1">
        <v>2012.0</v>
      </c>
      <c r="AZ221" s="1" t="s">
        <v>200</v>
      </c>
      <c r="BA221" s="1" t="str">
        <f>"0613403022"</f>
        <v>0613403022</v>
      </c>
      <c r="BC221" s="1">
        <v>1574.0</v>
      </c>
      <c r="BD221" s="1">
        <v>149900.0</v>
      </c>
      <c r="BE221" s="2">
        <v>41950.0</v>
      </c>
      <c r="BF221" s="2" t="s">
        <v>3696</v>
      </c>
      <c r="BH221" s="1">
        <v>0.0</v>
      </c>
      <c r="BK221" s="1" t="s">
        <v>204</v>
      </c>
      <c r="BL221" s="1" t="str">
        <f t="shared" ref="BL221:BM221" si="152">""</f>
        <v/>
      </c>
      <c r="BM221" s="1" t="str">
        <f t="shared" si="152"/>
        <v/>
      </c>
      <c r="BQ221" s="1">
        <v>46.0</v>
      </c>
      <c r="BR221" s="1">
        <v>46.0</v>
      </c>
      <c r="BS221" s="1">
        <v>46.0</v>
      </c>
      <c r="BU221" s="1" t="s">
        <v>329</v>
      </c>
      <c r="BV221" s="1" t="s">
        <v>206</v>
      </c>
      <c r="BW221" s="1" t="s">
        <v>301</v>
      </c>
      <c r="BX221" s="1" t="s">
        <v>229</v>
      </c>
      <c r="BY221" s="1" t="s">
        <v>363</v>
      </c>
      <c r="BZ221" s="1" t="s">
        <v>206</v>
      </c>
      <c r="CA221" s="1" t="s">
        <v>301</v>
      </c>
      <c r="CB221" s="1" t="s">
        <v>229</v>
      </c>
      <c r="CD221" s="1" t="s">
        <v>204</v>
      </c>
      <c r="CG221" s="1" t="s">
        <v>363</v>
      </c>
      <c r="CH221" s="1" t="s">
        <v>206</v>
      </c>
      <c r="CI221" s="1" t="s">
        <v>301</v>
      </c>
      <c r="CJ221" s="1" t="s">
        <v>229</v>
      </c>
      <c r="CK221" s="1" t="s">
        <v>3182</v>
      </c>
      <c r="CL221" s="1" t="s">
        <v>206</v>
      </c>
      <c r="CM221" s="1" t="s">
        <v>210</v>
      </c>
      <c r="CN221" s="1" t="s">
        <v>229</v>
      </c>
      <c r="CO221" s="1" t="s">
        <v>758</v>
      </c>
      <c r="CP221" s="1" t="s">
        <v>267</v>
      </c>
      <c r="CQ221" s="1" t="s">
        <v>210</v>
      </c>
      <c r="CR221" s="1" t="s">
        <v>229</v>
      </c>
      <c r="CS221" s="1" t="s">
        <v>329</v>
      </c>
      <c r="CT221" s="1" t="s">
        <v>206</v>
      </c>
      <c r="CU221" s="1" t="s">
        <v>268</v>
      </c>
      <c r="CV221" s="1" t="s">
        <v>229</v>
      </c>
      <c r="CW221" s="1" t="s">
        <v>213</v>
      </c>
      <c r="CX221" s="1" t="s">
        <v>206</v>
      </c>
      <c r="CY221" s="1" t="s">
        <v>268</v>
      </c>
      <c r="CZ221" s="1" t="s">
        <v>229</v>
      </c>
      <c r="DA221" s="1" t="s">
        <v>200</v>
      </c>
      <c r="DC221" s="1" t="s">
        <v>642</v>
      </c>
      <c r="DD221" s="1" t="s">
        <v>272</v>
      </c>
      <c r="DE221" s="1" t="s">
        <v>273</v>
      </c>
      <c r="DF221" s="1" t="s">
        <v>219</v>
      </c>
      <c r="DH221" s="1" t="s">
        <v>220</v>
      </c>
      <c r="DI221" s="1" t="s">
        <v>275</v>
      </c>
      <c r="DJ221" s="1" t="s">
        <v>222</v>
      </c>
      <c r="DK221" s="1" t="s">
        <v>1142</v>
      </c>
      <c r="DL221" s="1" t="s">
        <v>986</v>
      </c>
      <c r="DM221" s="1" t="s">
        <v>3697</v>
      </c>
      <c r="DO221" s="1" t="s">
        <v>549</v>
      </c>
      <c r="DQ221" s="1" t="s">
        <v>228</v>
      </c>
      <c r="DR221" s="1" t="s">
        <v>229</v>
      </c>
      <c r="DS221" s="1" t="s">
        <v>401</v>
      </c>
      <c r="DV221" s="1" t="s">
        <v>3698</v>
      </c>
      <c r="DW221" s="1" t="s">
        <v>370</v>
      </c>
      <c r="DX221" s="1" t="s">
        <v>234</v>
      </c>
      <c r="DY221" s="1" t="s">
        <v>553</v>
      </c>
      <c r="DZ221" s="1" t="s">
        <v>1333</v>
      </c>
      <c r="EA221" s="1" t="s">
        <v>3112</v>
      </c>
      <c r="EB221" s="1" t="s">
        <v>3699</v>
      </c>
      <c r="EC221" s="1" t="s">
        <v>237</v>
      </c>
      <c r="ED221" s="1" t="s">
        <v>555</v>
      </c>
      <c r="EF221" s="1" t="s">
        <v>3700</v>
      </c>
      <c r="EG221" s="1" t="s">
        <v>114</v>
      </c>
      <c r="EH221" s="1" t="s">
        <v>720</v>
      </c>
      <c r="EL221" s="1" t="s">
        <v>3701</v>
      </c>
      <c r="EM221" s="1" t="s">
        <v>114</v>
      </c>
      <c r="EN221" s="1" t="s">
        <v>588</v>
      </c>
      <c r="EO221" s="1" t="s">
        <v>229</v>
      </c>
      <c r="EP221" s="1" t="s">
        <v>3702</v>
      </c>
      <c r="EQ221" s="1" t="s">
        <v>206</v>
      </c>
      <c r="ER221" s="1" t="s">
        <v>617</v>
      </c>
      <c r="ES221" s="1" t="s">
        <v>229</v>
      </c>
      <c r="EU221" s="1" t="s">
        <v>238</v>
      </c>
      <c r="EY221" s="1" t="s">
        <v>238</v>
      </c>
      <c r="FC221" s="1" t="s">
        <v>238</v>
      </c>
      <c r="FF221" s="1" t="s">
        <v>239</v>
      </c>
      <c r="FG221" s="1" t="s">
        <v>192</v>
      </c>
      <c r="FH221" s="1" t="s">
        <v>192</v>
      </c>
      <c r="FJ221" s="1" t="s">
        <v>770</v>
      </c>
      <c r="FK221" s="1" t="s">
        <v>348</v>
      </c>
      <c r="FL221" s="1" t="s">
        <v>3703</v>
      </c>
      <c r="FM221" s="1">
        <v>4599.0</v>
      </c>
      <c r="FN221" s="1" t="s">
        <v>3704</v>
      </c>
      <c r="FO221" s="1" t="s">
        <v>3705</v>
      </c>
      <c r="FP221" s="1">
        <v>33842.0</v>
      </c>
      <c r="FQ221" s="1" t="s">
        <v>3704</v>
      </c>
      <c r="FU221" s="1" t="s">
        <v>3706</v>
      </c>
      <c r="FV221" s="1" t="s">
        <v>200</v>
      </c>
      <c r="FW221" s="1" t="s">
        <v>290</v>
      </c>
      <c r="FZ221" s="1" t="s">
        <v>229</v>
      </c>
      <c r="GA221" s="1" t="s">
        <v>291</v>
      </c>
      <c r="GB221" s="2">
        <v>42076.0</v>
      </c>
      <c r="GC221" s="1" t="s">
        <v>3707</v>
      </c>
    </row>
    <row r="222">
      <c r="A222" s="1">
        <v>135000.0</v>
      </c>
      <c r="B222" s="1" t="s">
        <v>185</v>
      </c>
      <c r="C222" s="1" t="str">
        <f>"08771730"</f>
        <v>08771730</v>
      </c>
      <c r="D222" s="1" t="s">
        <v>186</v>
      </c>
      <c r="F222" s="1" t="str">
        <f>"8030"</f>
        <v>8030</v>
      </c>
      <c r="G222" s="2">
        <v>41951.0</v>
      </c>
      <c r="H222" s="1">
        <v>139000.0</v>
      </c>
      <c r="I222" s="1">
        <v>22.0</v>
      </c>
      <c r="J222" s="1">
        <v>139000.0</v>
      </c>
      <c r="K222" s="2">
        <v>41971.0</v>
      </c>
      <c r="L222" s="1">
        <v>22.0</v>
      </c>
      <c r="M222" s="2">
        <v>41971.0</v>
      </c>
      <c r="N222" s="1" t="s">
        <v>187</v>
      </c>
      <c r="O222" s="2">
        <v>42019.0</v>
      </c>
      <c r="P222" s="1">
        <v>147301.0</v>
      </c>
      <c r="Q222" s="1">
        <v>84818.0</v>
      </c>
      <c r="S222" s="1">
        <v>2754.0</v>
      </c>
      <c r="T222" s="1" t="s">
        <v>3708</v>
      </c>
      <c r="U222" s="1" t="s">
        <v>189</v>
      </c>
      <c r="V222" s="1" t="s">
        <v>190</v>
      </c>
      <c r="W222" s="1">
        <v>60623.0</v>
      </c>
      <c r="Y222" s="1" t="s">
        <v>3709</v>
      </c>
      <c r="Z222" s="1">
        <v>1910.0</v>
      </c>
      <c r="AA222" s="1" t="s">
        <v>192</v>
      </c>
      <c r="AB222" s="1" t="s">
        <v>193</v>
      </c>
      <c r="AC222" s="1" t="s">
        <v>3710</v>
      </c>
      <c r="AD222" s="1" t="s">
        <v>194</v>
      </c>
      <c r="AE222" s="1" t="s">
        <v>195</v>
      </c>
      <c r="AF222" s="1" t="s">
        <v>827</v>
      </c>
      <c r="AG222" s="1" t="s">
        <v>3711</v>
      </c>
      <c r="AH222" s="1" t="s">
        <v>359</v>
      </c>
      <c r="AK222" s="1">
        <v>7.0</v>
      </c>
      <c r="AL222" s="1">
        <v>4.0</v>
      </c>
      <c r="AM222" s="1">
        <v>2.0</v>
      </c>
      <c r="AN222" s="1">
        <v>1.0</v>
      </c>
      <c r="AO222" s="1" t="s">
        <v>229</v>
      </c>
      <c r="AQ222" s="1" t="s">
        <v>198</v>
      </c>
      <c r="AR222" s="1" t="s">
        <v>192</v>
      </c>
      <c r="AS222" s="1" t="s">
        <v>199</v>
      </c>
      <c r="AT222" s="1">
        <v>2.0</v>
      </c>
      <c r="AV222" s="1" t="s">
        <v>200</v>
      </c>
      <c r="AW222" s="1">
        <v>732.0</v>
      </c>
      <c r="AX222" s="1">
        <v>2013.0</v>
      </c>
      <c r="AY222" s="1" t="s">
        <v>1179</v>
      </c>
      <c r="AZ222" s="1" t="s">
        <v>545</v>
      </c>
      <c r="BA222" s="1" t="str">
        <f>"16263110430000"</f>
        <v>16263110430000</v>
      </c>
      <c r="BB222" s="1" t="s">
        <v>200</v>
      </c>
      <c r="BC222" s="1">
        <v>3125.0</v>
      </c>
      <c r="BD222" s="1">
        <v>135000.0</v>
      </c>
      <c r="BE222" s="2">
        <v>41950.0</v>
      </c>
      <c r="BF222" s="2" t="s">
        <v>3712</v>
      </c>
      <c r="BG222" s="1" t="s">
        <v>3713</v>
      </c>
      <c r="BH222" s="1">
        <v>0.0</v>
      </c>
      <c r="BK222" s="1" t="s">
        <v>204</v>
      </c>
      <c r="BL222" s="1" t="str">
        <f t="shared" ref="BL222:BM222" si="153">"0"</f>
        <v>0</v>
      </c>
      <c r="BM222" s="1" t="str">
        <f t="shared" si="153"/>
        <v>0</v>
      </c>
      <c r="BN222" s="1">
        <v>3600.0</v>
      </c>
      <c r="BO222" s="1">
        <v>2700.0</v>
      </c>
      <c r="BQ222" s="1">
        <v>299.0</v>
      </c>
      <c r="BR222" s="1">
        <v>299.0</v>
      </c>
      <c r="BS222" s="1">
        <v>299.0</v>
      </c>
      <c r="BU222" s="1" t="s">
        <v>1190</v>
      </c>
      <c r="BV222" s="1" t="s">
        <v>206</v>
      </c>
      <c r="BW222" s="1" t="s">
        <v>207</v>
      </c>
      <c r="BX222" s="1" t="s">
        <v>431</v>
      </c>
      <c r="BY222" s="1" t="s">
        <v>2082</v>
      </c>
      <c r="BZ222" s="1" t="s">
        <v>209</v>
      </c>
      <c r="CA222" s="1" t="s">
        <v>207</v>
      </c>
      <c r="CB222" s="1" t="s">
        <v>239</v>
      </c>
      <c r="CC222" s="1" t="s">
        <v>1417</v>
      </c>
      <c r="CD222" s="1" t="s">
        <v>206</v>
      </c>
      <c r="CE222" s="1" t="s">
        <v>207</v>
      </c>
      <c r="CF222" s="1" t="s">
        <v>239</v>
      </c>
      <c r="CG222" s="1" t="s">
        <v>2224</v>
      </c>
      <c r="CH222" s="1" t="s">
        <v>206</v>
      </c>
      <c r="CI222" s="1" t="s">
        <v>210</v>
      </c>
      <c r="CJ222" s="1" t="s">
        <v>239</v>
      </c>
      <c r="CK222" s="1" t="s">
        <v>495</v>
      </c>
      <c r="CL222" s="1" t="s">
        <v>209</v>
      </c>
      <c r="CM222" s="1" t="s">
        <v>207</v>
      </c>
      <c r="CN222" s="1" t="s">
        <v>239</v>
      </c>
      <c r="CO222" s="1" t="s">
        <v>516</v>
      </c>
      <c r="CP222" s="1" t="s">
        <v>209</v>
      </c>
      <c r="CQ222" s="1" t="s">
        <v>207</v>
      </c>
      <c r="CR222" s="1" t="s">
        <v>239</v>
      </c>
      <c r="CS222" s="1" t="s">
        <v>392</v>
      </c>
      <c r="CT222" s="1" t="s">
        <v>206</v>
      </c>
      <c r="CU222" s="1" t="s">
        <v>617</v>
      </c>
      <c r="CX222" s="1" t="s">
        <v>204</v>
      </c>
      <c r="DA222" s="1" t="s">
        <v>200</v>
      </c>
      <c r="DC222" s="1" t="s">
        <v>642</v>
      </c>
      <c r="DD222" s="1" t="s">
        <v>306</v>
      </c>
      <c r="DE222" s="1" t="s">
        <v>273</v>
      </c>
      <c r="DF222" s="1" t="s">
        <v>619</v>
      </c>
      <c r="DH222" s="1" t="s">
        <v>220</v>
      </c>
      <c r="DI222" s="1" t="s">
        <v>1401</v>
      </c>
      <c r="DJ222" s="1" t="s">
        <v>222</v>
      </c>
      <c r="DL222" s="1" t="s">
        <v>858</v>
      </c>
      <c r="DM222" s="1" t="s">
        <v>229</v>
      </c>
      <c r="DP222" s="1" t="s">
        <v>340</v>
      </c>
      <c r="DQ222" s="1" t="s">
        <v>228</v>
      </c>
      <c r="DR222" s="1" t="s">
        <v>229</v>
      </c>
      <c r="DS222" s="1" t="s">
        <v>230</v>
      </c>
      <c r="DV222" s="1" t="s">
        <v>408</v>
      </c>
      <c r="DW222" s="1" t="s">
        <v>279</v>
      </c>
      <c r="DX222" s="1" t="s">
        <v>234</v>
      </c>
      <c r="DY222" s="1" t="s">
        <v>704</v>
      </c>
      <c r="DZ222" s="1" t="s">
        <v>310</v>
      </c>
      <c r="EA222" s="1" t="s">
        <v>344</v>
      </c>
      <c r="EC222" s="1" t="s">
        <v>237</v>
      </c>
      <c r="EG222" s="1" t="s">
        <v>408</v>
      </c>
      <c r="EL222" s="1" t="s">
        <v>3663</v>
      </c>
      <c r="EM222" s="1" t="s">
        <v>206</v>
      </c>
      <c r="EQ222" s="1" t="s">
        <v>238</v>
      </c>
      <c r="EU222" s="1" t="s">
        <v>238</v>
      </c>
      <c r="EY222" s="1" t="s">
        <v>238</v>
      </c>
      <c r="FC222" s="1" t="s">
        <v>238</v>
      </c>
      <c r="FF222" s="1" t="s">
        <v>239</v>
      </c>
      <c r="FG222" s="1" t="s">
        <v>192</v>
      </c>
      <c r="FH222" s="1" t="s">
        <v>200</v>
      </c>
      <c r="FJ222" s="1" t="s">
        <v>770</v>
      </c>
      <c r="FK222" s="1" t="s">
        <v>3714</v>
      </c>
      <c r="FL222" s="1" t="s">
        <v>3715</v>
      </c>
      <c r="FM222" s="1">
        <v>12561.0</v>
      </c>
      <c r="FN222" s="1" t="s">
        <v>3716</v>
      </c>
      <c r="FO222" s="1" t="s">
        <v>3717</v>
      </c>
      <c r="FP222" s="1">
        <v>116108.0</v>
      </c>
      <c r="FQ222" s="1" t="s">
        <v>3716</v>
      </c>
      <c r="FU222" s="1" t="s">
        <v>3718</v>
      </c>
      <c r="FV222" s="1" t="s">
        <v>200</v>
      </c>
      <c r="FW222" s="1" t="s">
        <v>530</v>
      </c>
      <c r="FX222" s="1" t="s">
        <v>655</v>
      </c>
      <c r="FZ222" s="1" t="s">
        <v>229</v>
      </c>
      <c r="GA222" s="1" t="s">
        <v>291</v>
      </c>
      <c r="GB222" s="2">
        <v>42020.0</v>
      </c>
      <c r="GC222" s="1" t="s">
        <v>3719</v>
      </c>
    </row>
    <row r="223">
      <c r="A223" s="1">
        <v>45790.0</v>
      </c>
      <c r="B223" s="1" t="s">
        <v>185</v>
      </c>
      <c r="C223" s="1" t="str">
        <f>"08766363"</f>
        <v>08766363</v>
      </c>
      <c r="D223" s="1" t="s">
        <v>186</v>
      </c>
      <c r="F223" s="1" t="str">
        <f t="shared" ref="F223:F224" si="154">"8049"</f>
        <v>8049</v>
      </c>
      <c r="G223" s="2">
        <v>41943.0</v>
      </c>
      <c r="H223" s="1">
        <v>41790.0</v>
      </c>
      <c r="I223" s="1">
        <v>15.0</v>
      </c>
      <c r="J223" s="1">
        <v>41790.0</v>
      </c>
      <c r="K223" s="2">
        <v>41956.0</v>
      </c>
      <c r="L223" s="1">
        <v>14.0</v>
      </c>
      <c r="M223" s="2">
        <v>41956.0</v>
      </c>
      <c r="N223" s="1" t="s">
        <v>1512</v>
      </c>
      <c r="O223" s="2">
        <v>42109.0</v>
      </c>
      <c r="P223" s="1">
        <v>504497.0</v>
      </c>
      <c r="Q223" s="1">
        <v>59010.0</v>
      </c>
      <c r="S223" s="1">
        <v>9715.0</v>
      </c>
      <c r="T223" s="1" t="s">
        <v>3720</v>
      </c>
      <c r="U223" s="1" t="s">
        <v>189</v>
      </c>
      <c r="V223" s="1" t="s">
        <v>190</v>
      </c>
      <c r="W223" s="1">
        <v>60628.0</v>
      </c>
      <c r="Y223" s="1" t="s">
        <v>3721</v>
      </c>
      <c r="Z223" s="1">
        <v>1936.0</v>
      </c>
      <c r="AA223" s="1" t="s">
        <v>192</v>
      </c>
      <c r="AB223" s="1" t="s">
        <v>193</v>
      </c>
      <c r="AD223" s="1" t="s">
        <v>194</v>
      </c>
      <c r="AE223" s="1" t="s">
        <v>195</v>
      </c>
      <c r="AF223" s="1" t="s">
        <v>637</v>
      </c>
      <c r="AH223" s="1" t="s">
        <v>1501</v>
      </c>
      <c r="AK223" s="1">
        <v>6.0</v>
      </c>
      <c r="AL223" s="1">
        <v>4.0</v>
      </c>
      <c r="AM223" s="1">
        <v>2.0</v>
      </c>
      <c r="AN223" s="1">
        <v>0.0</v>
      </c>
      <c r="AO223" s="1" t="s">
        <v>229</v>
      </c>
      <c r="AQ223" s="1" t="s">
        <v>198</v>
      </c>
      <c r="AR223" s="1" t="s">
        <v>200</v>
      </c>
      <c r="AS223" s="1" t="s">
        <v>199</v>
      </c>
      <c r="AT223" s="1">
        <v>2.0</v>
      </c>
      <c r="AV223" s="1" t="s">
        <v>200</v>
      </c>
      <c r="AW223" s="1">
        <v>2226.0</v>
      </c>
      <c r="AX223" s="1">
        <v>2012.0</v>
      </c>
      <c r="AZ223" s="1" t="s">
        <v>545</v>
      </c>
      <c r="BA223" s="1" t="str">
        <f>"25101180050000"</f>
        <v>25101180050000</v>
      </c>
      <c r="BC223" s="1">
        <v>1144.0</v>
      </c>
      <c r="BD223" s="1">
        <v>45790.0</v>
      </c>
      <c r="BE223" s="2">
        <v>41943.0</v>
      </c>
      <c r="BF223" s="2" t="s">
        <v>3722</v>
      </c>
      <c r="BH223" s="1">
        <v>0.0</v>
      </c>
      <c r="BK223" s="1" t="s">
        <v>204</v>
      </c>
      <c r="BL223" s="1" t="str">
        <f t="shared" ref="BL223:BL224" si="155">"0"</f>
        <v>0</v>
      </c>
      <c r="BM223" s="1" t="str">
        <f>"350"</f>
        <v>350</v>
      </c>
      <c r="BN223" s="1">
        <v>0.0</v>
      </c>
      <c r="BO223" s="1">
        <v>9715.0</v>
      </c>
      <c r="BQ223" s="1">
        <v>299.0</v>
      </c>
      <c r="BR223" s="1">
        <v>299.0</v>
      </c>
      <c r="BS223" s="1">
        <v>299.0</v>
      </c>
      <c r="BU223" s="1" t="s">
        <v>640</v>
      </c>
      <c r="BV223" s="1" t="s">
        <v>206</v>
      </c>
      <c r="BW223" s="1" t="s">
        <v>207</v>
      </c>
      <c r="BY223" s="1" t="s">
        <v>329</v>
      </c>
      <c r="BZ223" s="1" t="s">
        <v>209</v>
      </c>
      <c r="CA223" s="1" t="s">
        <v>210</v>
      </c>
      <c r="CD223" s="1" t="s">
        <v>204</v>
      </c>
      <c r="CG223" s="1" t="s">
        <v>332</v>
      </c>
      <c r="CH223" s="1" t="s">
        <v>209</v>
      </c>
      <c r="CI223" s="1" t="s">
        <v>210</v>
      </c>
      <c r="CK223" s="1" t="s">
        <v>516</v>
      </c>
      <c r="CL223" s="1" t="s">
        <v>206</v>
      </c>
      <c r="CM223" s="1" t="s">
        <v>207</v>
      </c>
      <c r="CO223" s="1" t="s">
        <v>798</v>
      </c>
      <c r="CP223" s="1" t="s">
        <v>206</v>
      </c>
      <c r="CQ223" s="1" t="s">
        <v>207</v>
      </c>
      <c r="CS223" s="1" t="s">
        <v>264</v>
      </c>
      <c r="CT223" s="1" t="s">
        <v>206</v>
      </c>
      <c r="CU223" s="1" t="s">
        <v>207</v>
      </c>
      <c r="CX223" s="1" t="s">
        <v>204</v>
      </c>
      <c r="DA223" s="1" t="s">
        <v>200</v>
      </c>
      <c r="DC223" s="1" t="s">
        <v>1399</v>
      </c>
      <c r="DE223" s="1" t="s">
        <v>229</v>
      </c>
      <c r="DF223" s="1" t="s">
        <v>219</v>
      </c>
      <c r="DH223" s="1" t="s">
        <v>365</v>
      </c>
      <c r="DJ223" s="1" t="s">
        <v>222</v>
      </c>
      <c r="DL223" s="1" t="s">
        <v>224</v>
      </c>
      <c r="DM223" s="1" t="s">
        <v>229</v>
      </c>
      <c r="DQ223" s="1" t="s">
        <v>228</v>
      </c>
      <c r="DR223" s="1" t="s">
        <v>229</v>
      </c>
      <c r="DV223" s="1" t="s">
        <v>232</v>
      </c>
      <c r="DW223" s="1" t="s">
        <v>279</v>
      </c>
      <c r="DX223" s="1" t="s">
        <v>234</v>
      </c>
      <c r="EC223" s="1" t="s">
        <v>645</v>
      </c>
      <c r="EM223" s="1" t="s">
        <v>238</v>
      </c>
      <c r="EQ223" s="1" t="s">
        <v>238</v>
      </c>
      <c r="EU223" s="1" t="s">
        <v>238</v>
      </c>
      <c r="EY223" s="1" t="s">
        <v>238</v>
      </c>
      <c r="FC223" s="1" t="s">
        <v>238</v>
      </c>
      <c r="FF223" s="1" t="s">
        <v>239</v>
      </c>
      <c r="FG223" s="1" t="s">
        <v>192</v>
      </c>
      <c r="FH223" s="1" t="s">
        <v>192</v>
      </c>
      <c r="FJ223" s="1" t="s">
        <v>3723</v>
      </c>
      <c r="FK223" s="1" t="s">
        <v>348</v>
      </c>
      <c r="FL223" s="1" t="s">
        <v>1520</v>
      </c>
      <c r="FM223" s="1">
        <v>10841.0</v>
      </c>
      <c r="FN223" s="1" t="s">
        <v>1521</v>
      </c>
      <c r="FO223" s="1" t="s">
        <v>1522</v>
      </c>
      <c r="FP223" s="1">
        <v>109860.0</v>
      </c>
      <c r="FQ223" s="1" t="s">
        <v>1521</v>
      </c>
      <c r="FU223" s="1" t="s">
        <v>1523</v>
      </c>
      <c r="FV223" s="1" t="s">
        <v>200</v>
      </c>
      <c r="FW223" s="1" t="s">
        <v>1524</v>
      </c>
      <c r="FX223" s="1" t="s">
        <v>655</v>
      </c>
      <c r="FZ223" s="1" t="s">
        <v>229</v>
      </c>
      <c r="GA223" s="1" t="s">
        <v>291</v>
      </c>
      <c r="GB223" s="2">
        <v>42110.0</v>
      </c>
      <c r="GC223" s="1" t="s">
        <v>1525</v>
      </c>
    </row>
    <row r="224">
      <c r="A224" s="1">
        <v>6400.0</v>
      </c>
      <c r="B224" s="1" t="s">
        <v>185</v>
      </c>
      <c r="C224" s="1" t="str">
        <f>"08770733"</f>
        <v>08770733</v>
      </c>
      <c r="D224" s="1" t="s">
        <v>186</v>
      </c>
      <c r="F224" s="1" t="str">
        <f t="shared" si="154"/>
        <v>8049</v>
      </c>
      <c r="G224" s="2">
        <v>41949.0</v>
      </c>
      <c r="H224" s="1">
        <v>12500.0</v>
      </c>
      <c r="I224" s="1">
        <v>205.0</v>
      </c>
      <c r="J224" s="1">
        <v>12500.0</v>
      </c>
      <c r="K224" s="2">
        <v>42020.0</v>
      </c>
      <c r="L224" s="1">
        <v>74.0</v>
      </c>
      <c r="M224" s="2">
        <v>42020.0</v>
      </c>
      <c r="N224" s="1" t="s">
        <v>249</v>
      </c>
      <c r="O224" s="2">
        <v>42080.0</v>
      </c>
      <c r="P224" s="1">
        <v>139785.0</v>
      </c>
      <c r="Q224" s="1">
        <v>85107.0</v>
      </c>
      <c r="S224" s="1">
        <v>27.0</v>
      </c>
      <c r="T224" s="1" t="s">
        <v>3724</v>
      </c>
      <c r="U224" s="1" t="s">
        <v>320</v>
      </c>
      <c r="V224" s="1" t="s">
        <v>190</v>
      </c>
      <c r="W224" s="1">
        <v>60628.0</v>
      </c>
      <c r="Y224" s="1" t="s">
        <v>3725</v>
      </c>
      <c r="Z224" s="1">
        <v>1900.0</v>
      </c>
      <c r="AA224" s="1" t="s">
        <v>192</v>
      </c>
      <c r="AB224" s="1" t="s">
        <v>193</v>
      </c>
      <c r="AD224" s="1" t="s">
        <v>194</v>
      </c>
      <c r="AE224" s="1" t="s">
        <v>195</v>
      </c>
      <c r="AF224" s="1" t="s">
        <v>637</v>
      </c>
      <c r="AH224" s="6">
        <v>4687.0</v>
      </c>
      <c r="AI224" s="1">
        <v>0.1076</v>
      </c>
      <c r="AK224" s="1">
        <v>9.0</v>
      </c>
      <c r="AL224" s="1">
        <v>4.0</v>
      </c>
      <c r="AM224" s="1">
        <v>2.0</v>
      </c>
      <c r="AN224" s="1">
        <v>0.0</v>
      </c>
      <c r="AO224" s="1" t="s">
        <v>229</v>
      </c>
      <c r="AQ224" s="1" t="s">
        <v>198</v>
      </c>
      <c r="AR224" s="1" t="s">
        <v>200</v>
      </c>
      <c r="AS224" s="1" t="s">
        <v>229</v>
      </c>
      <c r="AV224" s="1" t="s">
        <v>200</v>
      </c>
      <c r="AW224" s="1">
        <v>1150.08</v>
      </c>
      <c r="AX224" s="1">
        <v>2012.0</v>
      </c>
      <c r="AZ224" s="1" t="s">
        <v>200</v>
      </c>
      <c r="BA224" s="1" t="str">
        <f>"25103230070000"</f>
        <v>25103230070000</v>
      </c>
      <c r="BC224" s="1">
        <v>1103.0</v>
      </c>
      <c r="BD224" s="1">
        <v>6400.0</v>
      </c>
      <c r="BE224" s="2">
        <v>41947.0</v>
      </c>
      <c r="BF224" s="1" t="s">
        <v>3726</v>
      </c>
      <c r="BH224" s="1">
        <v>0.0</v>
      </c>
      <c r="BK224" s="1" t="s">
        <v>204</v>
      </c>
      <c r="BL224" s="1" t="str">
        <f t="shared" si="155"/>
        <v>0</v>
      </c>
      <c r="BM224" s="1" t="str">
        <f>"27"</f>
        <v>27</v>
      </c>
      <c r="BN224" s="1">
        <v>0.0</v>
      </c>
      <c r="BO224" s="1">
        <v>102.0</v>
      </c>
      <c r="BQ224" s="1">
        <v>299.0</v>
      </c>
      <c r="BR224" s="1">
        <v>299.0</v>
      </c>
      <c r="BS224" s="1">
        <v>299.0</v>
      </c>
      <c r="BU224" s="1" t="s">
        <v>264</v>
      </c>
      <c r="BV224" s="1" t="s">
        <v>206</v>
      </c>
      <c r="BY224" s="1" t="s">
        <v>264</v>
      </c>
      <c r="BZ224" s="1" t="s">
        <v>206</v>
      </c>
      <c r="CC224" s="1" t="s">
        <v>269</v>
      </c>
      <c r="CD224" s="1" t="s">
        <v>206</v>
      </c>
      <c r="CG224" s="1" t="s">
        <v>269</v>
      </c>
      <c r="CH224" s="1" t="s">
        <v>206</v>
      </c>
      <c r="CK224" s="1" t="s">
        <v>495</v>
      </c>
      <c r="CL224" s="1" t="s">
        <v>209</v>
      </c>
      <c r="CO224" s="1" t="s">
        <v>269</v>
      </c>
      <c r="CP224" s="1" t="s">
        <v>209</v>
      </c>
      <c r="CS224" s="1" t="s">
        <v>269</v>
      </c>
      <c r="CT224" s="1" t="s">
        <v>206</v>
      </c>
      <c r="CX224" s="1" t="s">
        <v>204</v>
      </c>
      <c r="DA224" s="1" t="s">
        <v>200</v>
      </c>
      <c r="DC224" s="1" t="s">
        <v>642</v>
      </c>
      <c r="DE224" s="1" t="s">
        <v>229</v>
      </c>
      <c r="DF224" s="1" t="s">
        <v>219</v>
      </c>
      <c r="DH224" s="1" t="s">
        <v>307</v>
      </c>
      <c r="DJ224" s="1" t="s">
        <v>222</v>
      </c>
      <c r="DL224" s="1" t="s">
        <v>223</v>
      </c>
      <c r="DM224" s="1" t="s">
        <v>225</v>
      </c>
      <c r="DQ224" s="1" t="s">
        <v>228</v>
      </c>
      <c r="DR224" s="1" t="s">
        <v>229</v>
      </c>
      <c r="DV224" s="1" t="s">
        <v>3727</v>
      </c>
      <c r="DW224" s="1" t="s">
        <v>891</v>
      </c>
      <c r="DX224" s="1" t="s">
        <v>234</v>
      </c>
      <c r="DY224" s="1" t="s">
        <v>833</v>
      </c>
      <c r="EC224" s="1" t="s">
        <v>237</v>
      </c>
      <c r="EG224" s="1" t="s">
        <v>1407</v>
      </c>
      <c r="EH224" s="1" t="s">
        <v>494</v>
      </c>
      <c r="EL224" s="1" t="s">
        <v>1852</v>
      </c>
      <c r="EM224" s="1" t="s">
        <v>209</v>
      </c>
      <c r="EP224" s="1" t="s">
        <v>269</v>
      </c>
      <c r="EQ224" s="1" t="s">
        <v>209</v>
      </c>
      <c r="EU224" s="1" t="s">
        <v>238</v>
      </c>
      <c r="EY224" s="1" t="s">
        <v>238</v>
      </c>
      <c r="FC224" s="1" t="s">
        <v>238</v>
      </c>
      <c r="FF224" s="1" t="s">
        <v>239</v>
      </c>
      <c r="FG224" s="1" t="s">
        <v>192</v>
      </c>
      <c r="FH224" s="1" t="s">
        <v>192</v>
      </c>
      <c r="FJ224" s="1" t="s">
        <v>3728</v>
      </c>
      <c r="FK224" s="1" t="s">
        <v>229</v>
      </c>
      <c r="FL224" s="1" t="s">
        <v>3729</v>
      </c>
      <c r="FM224" s="1">
        <v>16492.0</v>
      </c>
      <c r="FN224" s="1" t="s">
        <v>3730</v>
      </c>
      <c r="FO224" s="1" t="s">
        <v>3731</v>
      </c>
      <c r="FP224" s="1">
        <v>143711.0</v>
      </c>
      <c r="FQ224" s="1" t="s">
        <v>3732</v>
      </c>
      <c r="FU224" s="1" t="s">
        <v>3733</v>
      </c>
      <c r="FV224" s="1" t="s">
        <v>200</v>
      </c>
      <c r="FW224" s="1" t="s">
        <v>3734</v>
      </c>
      <c r="FX224" s="1" t="s">
        <v>1739</v>
      </c>
      <c r="FZ224" s="1" t="s">
        <v>229</v>
      </c>
      <c r="GA224" s="1" t="s">
        <v>291</v>
      </c>
      <c r="GB224" s="2">
        <v>42084.0</v>
      </c>
      <c r="GC224" s="1" t="s">
        <v>3735</v>
      </c>
    </row>
    <row r="225">
      <c r="A225" s="1">
        <v>160000.0</v>
      </c>
      <c r="B225" s="1" t="s">
        <v>185</v>
      </c>
      <c r="C225" s="1" t="str">
        <f>"08771581"</f>
        <v>08771581</v>
      </c>
      <c r="D225" s="1" t="s">
        <v>186</v>
      </c>
      <c r="F225" s="1" t="str">
        <f>"538"</f>
        <v>538</v>
      </c>
      <c r="G225" s="2">
        <v>41950.0</v>
      </c>
      <c r="H225" s="1">
        <v>169900.0</v>
      </c>
      <c r="I225" s="1">
        <v>72.0</v>
      </c>
      <c r="J225" s="1">
        <v>169900.0</v>
      </c>
      <c r="K225" s="2">
        <v>42021.0</v>
      </c>
      <c r="L225" s="1">
        <v>72.0</v>
      </c>
      <c r="M225" s="2">
        <v>42021.0</v>
      </c>
      <c r="N225" s="1" t="s">
        <v>356</v>
      </c>
      <c r="O225" s="2">
        <v>42060.0</v>
      </c>
      <c r="P225" s="1">
        <v>214926.0</v>
      </c>
      <c r="Q225" s="1">
        <v>23196.0</v>
      </c>
      <c r="R225" s="1">
        <v>3000.0</v>
      </c>
      <c r="S225" s="1">
        <v>22.0</v>
      </c>
      <c r="T225" s="1" t="s">
        <v>3736</v>
      </c>
      <c r="U225" s="1" t="s">
        <v>569</v>
      </c>
      <c r="V225" s="1" t="s">
        <v>1340</v>
      </c>
      <c r="W225" s="1">
        <v>60538.0</v>
      </c>
      <c r="Y225" s="1" t="s">
        <v>3737</v>
      </c>
      <c r="Z225" s="1">
        <v>1960.0</v>
      </c>
      <c r="AA225" s="1" t="s">
        <v>192</v>
      </c>
      <c r="AB225" s="1" t="s">
        <v>193</v>
      </c>
      <c r="AD225" s="1" t="s">
        <v>1089</v>
      </c>
      <c r="AE225" s="1" t="s">
        <v>849</v>
      </c>
      <c r="AF225" s="1" t="s">
        <v>1529</v>
      </c>
      <c r="AH225" s="1" t="s">
        <v>3738</v>
      </c>
      <c r="AI225" s="1">
        <v>0.2069</v>
      </c>
      <c r="AK225" s="1">
        <v>7.0</v>
      </c>
      <c r="AL225" s="1">
        <v>4.0</v>
      </c>
      <c r="AM225" s="1">
        <v>1.0</v>
      </c>
      <c r="AN225" s="1">
        <v>1.0</v>
      </c>
      <c r="AO225" s="1" t="s">
        <v>229</v>
      </c>
      <c r="AP225" s="1">
        <v>1.0</v>
      </c>
      <c r="AQ225" s="1" t="s">
        <v>229</v>
      </c>
      <c r="AR225" s="1" t="s">
        <v>200</v>
      </c>
      <c r="AS225" s="1" t="s">
        <v>199</v>
      </c>
      <c r="AT225" s="1">
        <v>1.0</v>
      </c>
      <c r="AV225" s="1" t="s">
        <v>200</v>
      </c>
      <c r="AW225" s="1">
        <v>4500.6</v>
      </c>
      <c r="AX225" s="1">
        <v>2013.0</v>
      </c>
      <c r="AZ225" s="1" t="s">
        <v>200</v>
      </c>
      <c r="BA225" s="1" t="str">
        <f>"0305426011"</f>
        <v>0305426011</v>
      </c>
      <c r="BB225" s="1" t="s">
        <v>200</v>
      </c>
      <c r="BC225" s="1">
        <v>1535.0</v>
      </c>
      <c r="BD225" s="1">
        <v>160000.0</v>
      </c>
      <c r="BE225" s="2">
        <v>41950.0</v>
      </c>
      <c r="BF225" s="2" t="s">
        <v>3739</v>
      </c>
      <c r="BH225" s="1">
        <v>0.0</v>
      </c>
      <c r="BK225" s="1" t="s">
        <v>204</v>
      </c>
      <c r="BL225" s="1" t="str">
        <f t="shared" ref="BL225:BM225" si="156">""</f>
        <v/>
      </c>
      <c r="BM225" s="1" t="str">
        <f t="shared" si="156"/>
        <v/>
      </c>
      <c r="BQ225" s="1">
        <v>308.0</v>
      </c>
      <c r="BR225" s="1">
        <v>308.0</v>
      </c>
      <c r="BS225" s="1">
        <v>308.0</v>
      </c>
      <c r="BU225" s="1" t="s">
        <v>208</v>
      </c>
      <c r="BV225" s="1" t="s">
        <v>206</v>
      </c>
      <c r="BW225" s="1" t="s">
        <v>301</v>
      </c>
      <c r="BY225" s="1" t="s">
        <v>264</v>
      </c>
      <c r="BZ225" s="1" t="s">
        <v>209</v>
      </c>
      <c r="CA225" s="1" t="s">
        <v>210</v>
      </c>
      <c r="CD225" s="1" t="s">
        <v>204</v>
      </c>
      <c r="CG225" s="1" t="s">
        <v>699</v>
      </c>
      <c r="CH225" s="1" t="s">
        <v>209</v>
      </c>
      <c r="CI225" s="1" t="s">
        <v>210</v>
      </c>
      <c r="CK225" s="1" t="s">
        <v>516</v>
      </c>
      <c r="CL225" s="1" t="s">
        <v>209</v>
      </c>
      <c r="CM225" s="1" t="s">
        <v>210</v>
      </c>
      <c r="CO225" s="1" t="s">
        <v>516</v>
      </c>
      <c r="CP225" s="1" t="s">
        <v>267</v>
      </c>
      <c r="CQ225" s="1" t="s">
        <v>210</v>
      </c>
      <c r="CS225" s="1" t="s">
        <v>2613</v>
      </c>
      <c r="CT225" s="1" t="s">
        <v>206</v>
      </c>
      <c r="CU225" s="1" t="s">
        <v>301</v>
      </c>
      <c r="CW225" s="1" t="s">
        <v>1891</v>
      </c>
      <c r="CX225" s="1" t="s">
        <v>267</v>
      </c>
      <c r="CY225" s="1" t="s">
        <v>210</v>
      </c>
      <c r="DA225" s="1" t="s">
        <v>200</v>
      </c>
      <c r="DC225" s="1" t="s">
        <v>271</v>
      </c>
      <c r="DE225" s="1" t="s">
        <v>273</v>
      </c>
      <c r="DF225" s="1" t="s">
        <v>619</v>
      </c>
      <c r="DH225" s="1" t="s">
        <v>220</v>
      </c>
      <c r="DJ225" s="1" t="s">
        <v>222</v>
      </c>
      <c r="DK225" s="1" t="s">
        <v>3740</v>
      </c>
      <c r="DL225" s="1" t="s">
        <v>229</v>
      </c>
      <c r="DM225" s="1" t="s">
        <v>229</v>
      </c>
      <c r="DQ225" s="1" t="s">
        <v>228</v>
      </c>
      <c r="DR225" s="1" t="s">
        <v>229</v>
      </c>
      <c r="DS225" s="1" t="s">
        <v>277</v>
      </c>
      <c r="DV225" s="1" t="s">
        <v>232</v>
      </c>
      <c r="DW225" s="1" t="s">
        <v>233</v>
      </c>
      <c r="DX225" s="1" t="s">
        <v>234</v>
      </c>
      <c r="DZ225" s="1" t="s">
        <v>282</v>
      </c>
      <c r="EA225" s="1" t="s">
        <v>283</v>
      </c>
      <c r="EB225" s="1" t="s">
        <v>345</v>
      </c>
      <c r="EC225" s="1" t="s">
        <v>588</v>
      </c>
      <c r="EM225" s="1" t="s">
        <v>238</v>
      </c>
      <c r="EQ225" s="1" t="s">
        <v>238</v>
      </c>
      <c r="EU225" s="1" t="s">
        <v>238</v>
      </c>
      <c r="EY225" s="1" t="s">
        <v>238</v>
      </c>
      <c r="FC225" s="1" t="s">
        <v>238</v>
      </c>
      <c r="FF225" s="1" t="s">
        <v>239</v>
      </c>
      <c r="FG225" s="1" t="s">
        <v>192</v>
      </c>
      <c r="FH225" s="1" t="s">
        <v>192</v>
      </c>
      <c r="FJ225" s="1" t="s">
        <v>1493</v>
      </c>
      <c r="FK225" s="1" t="s">
        <v>229</v>
      </c>
      <c r="FL225" s="1" t="s">
        <v>1007</v>
      </c>
      <c r="FM225" s="1">
        <v>23196.0</v>
      </c>
      <c r="FN225" s="1" t="s">
        <v>3741</v>
      </c>
      <c r="FO225" s="1" t="s">
        <v>3742</v>
      </c>
      <c r="FP225" s="1">
        <v>240695.0</v>
      </c>
      <c r="FS225" s="1" t="s">
        <v>3743</v>
      </c>
      <c r="FU225" s="1" t="s">
        <v>3744</v>
      </c>
      <c r="FV225" s="1" t="s">
        <v>192</v>
      </c>
      <c r="FW225" s="1" t="s">
        <v>290</v>
      </c>
      <c r="FZ225" s="1" t="s">
        <v>229</v>
      </c>
      <c r="GA225" s="1" t="s">
        <v>291</v>
      </c>
      <c r="GB225" s="2">
        <v>42060.0</v>
      </c>
      <c r="GC225" s="1" t="s">
        <v>3745</v>
      </c>
    </row>
    <row r="226">
      <c r="A226" s="1">
        <v>1035000.0</v>
      </c>
      <c r="B226" s="1" t="s">
        <v>185</v>
      </c>
      <c r="C226" s="1" t="str">
        <f>"08772096"</f>
        <v>08772096</v>
      </c>
      <c r="D226" s="1" t="s">
        <v>186</v>
      </c>
      <c r="F226" s="1" t="str">
        <f>"8028"</f>
        <v>8028</v>
      </c>
      <c r="G226" s="2">
        <v>41952.0</v>
      </c>
      <c r="H226" s="1">
        <v>1075000.0</v>
      </c>
      <c r="I226" s="1">
        <v>11.0</v>
      </c>
      <c r="J226" s="1">
        <v>1075000.0</v>
      </c>
      <c r="K226" s="2">
        <v>41962.0</v>
      </c>
      <c r="L226" s="1">
        <v>11.0</v>
      </c>
      <c r="M226" s="2">
        <v>41962.0</v>
      </c>
      <c r="N226" s="1" t="s">
        <v>187</v>
      </c>
      <c r="O226" s="2">
        <v>42034.0</v>
      </c>
      <c r="P226" s="1">
        <v>140653.0</v>
      </c>
      <c r="Q226" s="1">
        <v>85067.0</v>
      </c>
      <c r="S226" s="1">
        <v>1432.0</v>
      </c>
      <c r="T226" s="1" t="s">
        <v>3746</v>
      </c>
      <c r="U226" s="1" t="s">
        <v>320</v>
      </c>
      <c r="V226" s="1" t="s">
        <v>190</v>
      </c>
      <c r="W226" s="1">
        <v>60607.0</v>
      </c>
      <c r="Y226" s="1" t="s">
        <v>3747</v>
      </c>
      <c r="Z226" s="1">
        <v>1883.0</v>
      </c>
      <c r="AA226" s="1" t="s">
        <v>192</v>
      </c>
      <c r="AB226" s="1" t="s">
        <v>193</v>
      </c>
      <c r="AD226" s="1" t="s">
        <v>194</v>
      </c>
      <c r="AE226" s="1" t="s">
        <v>195</v>
      </c>
      <c r="AF226" s="1" t="s">
        <v>827</v>
      </c>
      <c r="AH226" s="1" t="s">
        <v>3748</v>
      </c>
      <c r="AI226" s="1">
        <v>0.0612</v>
      </c>
      <c r="AK226" s="1">
        <v>10.0</v>
      </c>
      <c r="AL226" s="1">
        <v>3.0</v>
      </c>
      <c r="AM226" s="1">
        <v>3.0</v>
      </c>
      <c r="AN226" s="1">
        <v>1.0</v>
      </c>
      <c r="AO226" s="1" t="s">
        <v>198</v>
      </c>
      <c r="AP226" s="1">
        <v>2.0</v>
      </c>
      <c r="AQ226" s="1" t="s">
        <v>198</v>
      </c>
      <c r="AR226" s="1" t="s">
        <v>192</v>
      </c>
      <c r="AS226" s="1" t="s">
        <v>199</v>
      </c>
      <c r="AT226" s="1">
        <v>2.0</v>
      </c>
      <c r="AV226" s="1" t="s">
        <v>200</v>
      </c>
      <c r="AW226" s="1">
        <v>7443.87</v>
      </c>
      <c r="AX226" s="1">
        <v>2013.0</v>
      </c>
      <c r="AZ226" s="1" t="s">
        <v>200</v>
      </c>
      <c r="BA226" s="1" t="str">
        <f>"17173040330000"</f>
        <v>17173040330000</v>
      </c>
      <c r="BC226" s="1">
        <v>3028.0</v>
      </c>
      <c r="BD226" s="1">
        <v>1035000.0</v>
      </c>
      <c r="BE226" s="2">
        <v>41952.0</v>
      </c>
      <c r="BF226" s="2" t="s">
        <v>3749</v>
      </c>
      <c r="BH226" s="1">
        <v>0.0</v>
      </c>
      <c r="BK226" s="1" t="s">
        <v>204</v>
      </c>
      <c r="BL226" s="1" t="str">
        <f t="shared" ref="BL226:BM226" si="157">"0"</f>
        <v>0</v>
      </c>
      <c r="BM226" s="1" t="str">
        <f t="shared" si="157"/>
        <v>0</v>
      </c>
      <c r="BN226" s="1">
        <v>1430.0</v>
      </c>
      <c r="BO226" s="1">
        <v>1600.0</v>
      </c>
      <c r="BQ226" s="1">
        <v>299.0</v>
      </c>
      <c r="BR226" s="1">
        <v>299.0</v>
      </c>
      <c r="BS226" s="1">
        <v>299.0</v>
      </c>
      <c r="BU226" s="1" t="s">
        <v>361</v>
      </c>
      <c r="BV226" s="1" t="s">
        <v>206</v>
      </c>
      <c r="BW226" s="1" t="s">
        <v>207</v>
      </c>
      <c r="BX226" s="1" t="s">
        <v>239</v>
      </c>
      <c r="BY226" s="1" t="s">
        <v>639</v>
      </c>
      <c r="BZ226" s="1" t="s">
        <v>209</v>
      </c>
      <c r="CA226" s="1" t="s">
        <v>210</v>
      </c>
      <c r="CB226" s="1" t="s">
        <v>239</v>
      </c>
      <c r="CC226" s="1" t="s">
        <v>1158</v>
      </c>
      <c r="CD226" s="1" t="s">
        <v>206</v>
      </c>
      <c r="CE226" s="1" t="s">
        <v>207</v>
      </c>
      <c r="CF226" s="1" t="s">
        <v>239</v>
      </c>
      <c r="CG226" s="1" t="s">
        <v>211</v>
      </c>
      <c r="CH226" s="1" t="s">
        <v>209</v>
      </c>
      <c r="CI226" s="1" t="s">
        <v>210</v>
      </c>
      <c r="CJ226" s="1" t="s">
        <v>239</v>
      </c>
      <c r="CK226" s="1" t="s">
        <v>215</v>
      </c>
      <c r="CL226" s="1" t="s">
        <v>209</v>
      </c>
      <c r="CM226" s="1" t="s">
        <v>210</v>
      </c>
      <c r="CN226" s="1" t="s">
        <v>239</v>
      </c>
      <c r="CO226" s="1" t="s">
        <v>699</v>
      </c>
      <c r="CP226" s="1" t="s">
        <v>42</v>
      </c>
      <c r="CQ226" s="1" t="s">
        <v>210</v>
      </c>
      <c r="CR226" s="1" t="s">
        <v>239</v>
      </c>
      <c r="CS226" s="1" t="s">
        <v>205</v>
      </c>
      <c r="CT226" s="1" t="s">
        <v>206</v>
      </c>
      <c r="CU226" s="1" t="s">
        <v>207</v>
      </c>
      <c r="CV226" s="1" t="s">
        <v>239</v>
      </c>
      <c r="CW226" s="1" t="s">
        <v>454</v>
      </c>
      <c r="CX226" s="1" t="s">
        <v>206</v>
      </c>
      <c r="CY226" s="1" t="s">
        <v>207</v>
      </c>
      <c r="CZ226" s="1" t="s">
        <v>239</v>
      </c>
      <c r="DA226" s="1" t="s">
        <v>200</v>
      </c>
      <c r="DC226" s="1" t="s">
        <v>642</v>
      </c>
      <c r="DD226" s="1" t="s">
        <v>1838</v>
      </c>
      <c r="DE226" s="1" t="s">
        <v>3750</v>
      </c>
      <c r="DF226" s="1" t="s">
        <v>3751</v>
      </c>
      <c r="DH226" s="1" t="s">
        <v>365</v>
      </c>
      <c r="DI226" s="1" t="s">
        <v>3752</v>
      </c>
      <c r="DJ226" s="1" t="s">
        <v>222</v>
      </c>
      <c r="DL226" s="1" t="s">
        <v>1161</v>
      </c>
      <c r="DM226" s="1" t="s">
        <v>229</v>
      </c>
      <c r="DN226" s="1" t="s">
        <v>339</v>
      </c>
      <c r="DP226" s="1" t="s">
        <v>340</v>
      </c>
      <c r="DQ226" s="1" t="s">
        <v>228</v>
      </c>
      <c r="DR226" s="1" t="s">
        <v>229</v>
      </c>
      <c r="DU226" s="1" t="s">
        <v>3753</v>
      </c>
      <c r="DV226" s="1" t="s">
        <v>3754</v>
      </c>
      <c r="DW226" s="1" t="s">
        <v>279</v>
      </c>
      <c r="DX226" s="1" t="s">
        <v>309</v>
      </c>
      <c r="DY226" s="1" t="s">
        <v>235</v>
      </c>
      <c r="EB226" s="1" t="s">
        <v>937</v>
      </c>
      <c r="EC226" s="1" t="s">
        <v>237</v>
      </c>
      <c r="EG226" s="1" t="s">
        <v>556</v>
      </c>
      <c r="EH226" s="1" t="s">
        <v>494</v>
      </c>
      <c r="EI226" s="1" t="s">
        <v>408</v>
      </c>
      <c r="EJ226" s="1" t="s">
        <v>588</v>
      </c>
      <c r="EL226" s="1" t="s">
        <v>331</v>
      </c>
      <c r="EM226" s="1" t="s">
        <v>206</v>
      </c>
      <c r="EN226" s="1" t="s">
        <v>207</v>
      </c>
      <c r="EO226" s="1" t="s">
        <v>239</v>
      </c>
      <c r="EP226" s="1" t="s">
        <v>208</v>
      </c>
      <c r="EQ226" s="1" t="s">
        <v>42</v>
      </c>
      <c r="ER226" s="1" t="s">
        <v>210</v>
      </c>
      <c r="ES226" s="1" t="s">
        <v>239</v>
      </c>
      <c r="ET226" s="1" t="s">
        <v>1245</v>
      </c>
      <c r="EU226" s="1" t="s">
        <v>206</v>
      </c>
      <c r="EV226" s="1" t="s">
        <v>207</v>
      </c>
      <c r="EX226" s="1" t="s">
        <v>477</v>
      </c>
      <c r="EY226" s="1" t="s">
        <v>42</v>
      </c>
      <c r="EZ226" s="1" t="s">
        <v>210</v>
      </c>
      <c r="FA226" s="1" t="s">
        <v>239</v>
      </c>
      <c r="FC226" s="1" t="s">
        <v>238</v>
      </c>
      <c r="FF226" s="1" t="s">
        <v>239</v>
      </c>
      <c r="FG226" s="1" t="s">
        <v>192</v>
      </c>
      <c r="FH226" s="1" t="s">
        <v>192</v>
      </c>
      <c r="FJ226" s="1" t="s">
        <v>3755</v>
      </c>
      <c r="FK226" s="1" t="s">
        <v>229</v>
      </c>
      <c r="FL226" s="1" t="s">
        <v>3756</v>
      </c>
      <c r="FM226" s="1">
        <v>16634.0</v>
      </c>
      <c r="FN226" s="1" t="s">
        <v>3757</v>
      </c>
      <c r="FO226" s="1" t="s">
        <v>3758</v>
      </c>
      <c r="FP226" s="1">
        <v>180390.0</v>
      </c>
      <c r="FQ226" s="1" t="s">
        <v>3759</v>
      </c>
      <c r="FU226" s="1" t="s">
        <v>3760</v>
      </c>
      <c r="FV226" s="1" t="s">
        <v>200</v>
      </c>
      <c r="FW226" s="1" t="s">
        <v>461</v>
      </c>
      <c r="FX226" s="1" t="s">
        <v>246</v>
      </c>
      <c r="FZ226" s="1" t="s">
        <v>229</v>
      </c>
      <c r="GA226" s="1" t="s">
        <v>291</v>
      </c>
      <c r="GB226" s="2">
        <v>42034.0</v>
      </c>
      <c r="GC226" s="1" t="s">
        <v>3761</v>
      </c>
    </row>
    <row r="227">
      <c r="A227" s="1">
        <v>476000.0</v>
      </c>
      <c r="B227" s="1" t="s">
        <v>185</v>
      </c>
      <c r="C227" s="1" t="str">
        <f>"08768432"</f>
        <v>08768432</v>
      </c>
      <c r="D227" s="1" t="s">
        <v>186</v>
      </c>
      <c r="F227" s="1" t="str">
        <f>"174"</f>
        <v>174</v>
      </c>
      <c r="G227" s="2">
        <v>41947.0</v>
      </c>
      <c r="H227" s="1">
        <v>492000.0</v>
      </c>
      <c r="I227" s="1">
        <v>17.0</v>
      </c>
      <c r="J227" s="1">
        <v>492000.0</v>
      </c>
      <c r="K227" s="2">
        <v>41963.0</v>
      </c>
      <c r="L227" s="1">
        <v>17.0</v>
      </c>
      <c r="M227" s="2">
        <v>41963.0</v>
      </c>
      <c r="N227" s="1" t="s">
        <v>249</v>
      </c>
      <c r="O227" s="2">
        <v>42010.0</v>
      </c>
      <c r="P227" s="1">
        <v>7842.0</v>
      </c>
      <c r="Q227" s="1">
        <v>41.0</v>
      </c>
      <c r="S227" s="1" t="s">
        <v>3762</v>
      </c>
      <c r="T227" s="1" t="s">
        <v>3763</v>
      </c>
      <c r="U227" s="1" t="s">
        <v>569</v>
      </c>
      <c r="V227" s="1" t="s">
        <v>1200</v>
      </c>
      <c r="W227" s="1">
        <v>60175.0</v>
      </c>
      <c r="Y227" s="1" t="s">
        <v>3764</v>
      </c>
      <c r="Z227" s="1">
        <v>1998.0</v>
      </c>
      <c r="AA227" s="1" t="s">
        <v>200</v>
      </c>
      <c r="AB227" s="1" t="s">
        <v>467</v>
      </c>
      <c r="AC227" s="1" t="s">
        <v>3765</v>
      </c>
      <c r="AD227" s="1" t="s">
        <v>3766</v>
      </c>
      <c r="AE227" s="1" t="s">
        <v>325</v>
      </c>
      <c r="AF227" s="1" t="s">
        <v>1632</v>
      </c>
      <c r="AH227" s="1" t="s">
        <v>3767</v>
      </c>
      <c r="AI227" s="1">
        <v>2.0</v>
      </c>
      <c r="AK227" s="1">
        <v>10.0</v>
      </c>
      <c r="AL227" s="1">
        <v>4.0</v>
      </c>
      <c r="AM227" s="1">
        <v>2.0</v>
      </c>
      <c r="AN227" s="1">
        <v>2.0</v>
      </c>
      <c r="AO227" s="1" t="s">
        <v>198</v>
      </c>
      <c r="AP227" s="1">
        <v>1.0</v>
      </c>
      <c r="AQ227" s="1" t="s">
        <v>472</v>
      </c>
      <c r="AR227" s="1" t="s">
        <v>192</v>
      </c>
      <c r="AS227" s="1" t="s">
        <v>199</v>
      </c>
      <c r="AT227" s="1">
        <v>3.0</v>
      </c>
      <c r="AV227" s="1" t="s">
        <v>200</v>
      </c>
      <c r="AW227" s="1">
        <v>12912.42</v>
      </c>
      <c r="AX227" s="1">
        <v>2013.0</v>
      </c>
      <c r="AY227" s="1" t="s">
        <v>387</v>
      </c>
      <c r="AZ227" s="1" t="s">
        <v>200</v>
      </c>
      <c r="BA227" s="1" t="str">
        <f>"0822101014"</f>
        <v>0822101014</v>
      </c>
      <c r="BB227" s="1" t="s">
        <v>200</v>
      </c>
      <c r="BC227" s="1">
        <v>2963.0</v>
      </c>
      <c r="BD227" s="1">
        <v>476000.0</v>
      </c>
      <c r="BE227" s="2">
        <v>41947.0</v>
      </c>
      <c r="BF227" s="2" t="s">
        <v>3768</v>
      </c>
      <c r="BG227" s="1" t="s">
        <v>2198</v>
      </c>
      <c r="BH227" s="1">
        <v>75.0</v>
      </c>
      <c r="BI227" s="1" t="s">
        <v>2199</v>
      </c>
      <c r="BJ227" s="1" t="s">
        <v>2200</v>
      </c>
      <c r="BK227" s="1" t="s">
        <v>580</v>
      </c>
      <c r="BL227" s="1" t="str">
        <f t="shared" ref="BL227:BM227" si="158">""</f>
        <v/>
      </c>
      <c r="BM227" s="1" t="str">
        <f t="shared" si="158"/>
        <v/>
      </c>
      <c r="BQ227" s="1">
        <v>303.0</v>
      </c>
      <c r="BR227" s="1">
        <v>303.0</v>
      </c>
      <c r="BS227" s="1">
        <v>303.0</v>
      </c>
      <c r="BU227" s="1" t="s">
        <v>743</v>
      </c>
      <c r="BV227" s="1" t="s">
        <v>206</v>
      </c>
      <c r="BW227" s="1" t="s">
        <v>207</v>
      </c>
      <c r="BY227" s="1" t="s">
        <v>390</v>
      </c>
      <c r="BZ227" s="1" t="s">
        <v>209</v>
      </c>
      <c r="CA227" s="1" t="s">
        <v>210</v>
      </c>
      <c r="CC227" s="1" t="s">
        <v>361</v>
      </c>
      <c r="CD227" s="1" t="s">
        <v>206</v>
      </c>
      <c r="CE227" s="1" t="s">
        <v>207</v>
      </c>
      <c r="CG227" s="1" t="s">
        <v>211</v>
      </c>
      <c r="CH227" s="1" t="s">
        <v>209</v>
      </c>
      <c r="CI227" s="1" t="s">
        <v>210</v>
      </c>
      <c r="CK227" s="1" t="s">
        <v>329</v>
      </c>
      <c r="CL227" s="1" t="s">
        <v>209</v>
      </c>
      <c r="CM227" s="1" t="s">
        <v>210</v>
      </c>
      <c r="CO227" s="1" t="s">
        <v>433</v>
      </c>
      <c r="CP227" s="1" t="s">
        <v>209</v>
      </c>
      <c r="CQ227" s="1" t="s">
        <v>210</v>
      </c>
      <c r="CS227" s="1" t="s">
        <v>1206</v>
      </c>
      <c r="CT227" s="1" t="s">
        <v>206</v>
      </c>
      <c r="CU227" s="1" t="s">
        <v>207</v>
      </c>
      <c r="CW227" s="1" t="s">
        <v>3475</v>
      </c>
      <c r="CX227" s="1" t="s">
        <v>206</v>
      </c>
      <c r="CY227" s="1" t="s">
        <v>207</v>
      </c>
      <c r="DA227" s="1" t="s">
        <v>200</v>
      </c>
      <c r="DC227" s="1" t="s">
        <v>678</v>
      </c>
      <c r="DD227" s="1" t="s">
        <v>272</v>
      </c>
      <c r="DE227" s="1" t="s">
        <v>273</v>
      </c>
      <c r="DF227" s="1" t="s">
        <v>219</v>
      </c>
      <c r="DG227" s="1" t="s">
        <v>3769</v>
      </c>
      <c r="DH227" s="1" t="s">
        <v>856</v>
      </c>
      <c r="DI227" s="1" t="s">
        <v>3770</v>
      </c>
      <c r="DJ227" s="1" t="s">
        <v>857</v>
      </c>
      <c r="DK227" s="1" t="s">
        <v>1555</v>
      </c>
      <c r="DL227" s="1" t="s">
        <v>224</v>
      </c>
      <c r="DM227" s="1" t="s">
        <v>929</v>
      </c>
      <c r="DN227" s="1" t="s">
        <v>399</v>
      </c>
      <c r="DO227" s="1" t="s">
        <v>486</v>
      </c>
      <c r="DP227" s="1" t="s">
        <v>340</v>
      </c>
      <c r="DQ227" s="1" t="s">
        <v>860</v>
      </c>
      <c r="DR227" s="1" t="s">
        <v>1487</v>
      </c>
      <c r="DV227" s="1" t="s">
        <v>3771</v>
      </c>
      <c r="DW227" s="1" t="s">
        <v>764</v>
      </c>
      <c r="DX227" s="1" t="s">
        <v>234</v>
      </c>
      <c r="DY227" s="1" t="s">
        <v>3772</v>
      </c>
      <c r="DZ227" s="1" t="s">
        <v>2648</v>
      </c>
      <c r="EA227" s="1" t="s">
        <v>344</v>
      </c>
      <c r="EB227" s="1" t="s">
        <v>492</v>
      </c>
      <c r="EC227" s="1" t="s">
        <v>237</v>
      </c>
      <c r="EG227" s="1" t="s">
        <v>588</v>
      </c>
      <c r="EH227" s="1" t="s">
        <v>494</v>
      </c>
      <c r="EI227" s="1" t="s">
        <v>450</v>
      </c>
      <c r="EL227" s="1" t="s">
        <v>393</v>
      </c>
      <c r="EM227" s="1" t="s">
        <v>42</v>
      </c>
      <c r="EN227" s="1" t="s">
        <v>588</v>
      </c>
      <c r="EP227" s="1" t="s">
        <v>215</v>
      </c>
      <c r="EQ227" s="1" t="s">
        <v>206</v>
      </c>
      <c r="ER227" s="1" t="s">
        <v>210</v>
      </c>
      <c r="ET227" s="1" t="s">
        <v>205</v>
      </c>
      <c r="EU227" s="1" t="s">
        <v>42</v>
      </c>
      <c r="EV227" s="1" t="s">
        <v>210</v>
      </c>
      <c r="EY227" s="1" t="s">
        <v>238</v>
      </c>
      <c r="FC227" s="1" t="s">
        <v>238</v>
      </c>
      <c r="FF227" s="1" t="s">
        <v>239</v>
      </c>
      <c r="FG227" s="1" t="s">
        <v>192</v>
      </c>
      <c r="FH227" s="1" t="s">
        <v>192</v>
      </c>
      <c r="FJ227" s="1" t="s">
        <v>3773</v>
      </c>
      <c r="FK227" s="1" t="s">
        <v>229</v>
      </c>
      <c r="FL227" s="1" t="s">
        <v>456</v>
      </c>
      <c r="FM227" s="1">
        <v>49.0</v>
      </c>
      <c r="FN227" s="1" t="s">
        <v>457</v>
      </c>
      <c r="FO227" s="1" t="s">
        <v>3774</v>
      </c>
      <c r="FP227" s="1">
        <v>336.0</v>
      </c>
      <c r="FQ227" s="1" t="s">
        <v>3775</v>
      </c>
      <c r="FT227" s="1" t="s">
        <v>3776</v>
      </c>
      <c r="FU227" s="1" t="s">
        <v>3777</v>
      </c>
      <c r="FV227" s="1" t="s">
        <v>200</v>
      </c>
      <c r="FW227" s="1" t="s">
        <v>3778</v>
      </c>
      <c r="FZ227" s="1" t="s">
        <v>229</v>
      </c>
      <c r="GA227" s="1" t="s">
        <v>291</v>
      </c>
      <c r="GB227" s="2">
        <v>42010.0</v>
      </c>
      <c r="GC227" s="1" t="s">
        <v>3779</v>
      </c>
    </row>
    <row r="228">
      <c r="A228" s="1">
        <v>225000.0</v>
      </c>
      <c r="B228" s="1" t="s">
        <v>185</v>
      </c>
      <c r="C228" s="1" t="str">
        <f>"08768521"</f>
        <v>08768521</v>
      </c>
      <c r="D228" s="1" t="s">
        <v>186</v>
      </c>
      <c r="F228" s="1" t="str">
        <f>"8046"</f>
        <v>8046</v>
      </c>
      <c r="G228" s="2">
        <v>41947.0</v>
      </c>
      <c r="H228" s="1">
        <v>234900.0</v>
      </c>
      <c r="I228" s="1">
        <v>74.0</v>
      </c>
      <c r="J228" s="1">
        <v>234900.0</v>
      </c>
      <c r="K228" s="2">
        <v>42017.0</v>
      </c>
      <c r="L228" s="1">
        <v>74.0</v>
      </c>
      <c r="M228" s="2">
        <v>42017.0</v>
      </c>
      <c r="N228" s="1" t="s">
        <v>356</v>
      </c>
      <c r="O228" s="2">
        <v>42062.0</v>
      </c>
      <c r="P228" s="1">
        <v>86206.0</v>
      </c>
      <c r="Q228" s="1">
        <v>8654.0</v>
      </c>
      <c r="S228" s="1">
        <v>8207.0</v>
      </c>
      <c r="T228" s="1" t="s">
        <v>3780</v>
      </c>
      <c r="U228" s="1" t="s">
        <v>189</v>
      </c>
      <c r="V228" s="1" t="s">
        <v>190</v>
      </c>
      <c r="W228" s="1">
        <v>60617.0</v>
      </c>
      <c r="Y228" s="1" t="s">
        <v>3781</v>
      </c>
      <c r="Z228" s="1">
        <v>1938.0</v>
      </c>
      <c r="AA228" s="1" t="s">
        <v>192</v>
      </c>
      <c r="AB228" s="1" t="s">
        <v>193</v>
      </c>
      <c r="AD228" s="1" t="s">
        <v>194</v>
      </c>
      <c r="AE228" s="1" t="s">
        <v>195</v>
      </c>
      <c r="AF228" s="1" t="s">
        <v>1154</v>
      </c>
      <c r="AH228" s="1" t="s">
        <v>3782</v>
      </c>
      <c r="AI228" s="1">
        <v>0.0689</v>
      </c>
      <c r="AK228" s="1">
        <v>9.0</v>
      </c>
      <c r="AL228" s="1">
        <v>3.0</v>
      </c>
      <c r="AM228" s="1">
        <v>4.0</v>
      </c>
      <c r="AN228" s="1">
        <v>0.0</v>
      </c>
      <c r="AO228" s="1" t="s">
        <v>198</v>
      </c>
      <c r="AP228" s="1">
        <v>2.0</v>
      </c>
      <c r="AQ228" s="1" t="s">
        <v>198</v>
      </c>
      <c r="AR228" s="1" t="s">
        <v>192</v>
      </c>
      <c r="AS228" s="1" t="s">
        <v>199</v>
      </c>
      <c r="AT228" s="1">
        <v>2.0</v>
      </c>
      <c r="AV228" s="1" t="s">
        <v>200</v>
      </c>
      <c r="AW228" s="1">
        <v>1241.14</v>
      </c>
      <c r="AX228" s="1">
        <v>2012.0</v>
      </c>
      <c r="AZ228" s="1" t="s">
        <v>200</v>
      </c>
      <c r="BA228" s="1" t="str">
        <f>"20362300030000"</f>
        <v>20362300030000</v>
      </c>
      <c r="BC228" s="1">
        <v>3042.0</v>
      </c>
      <c r="BD228" s="1">
        <v>225000.0</v>
      </c>
      <c r="BE228" s="2">
        <v>41944.0</v>
      </c>
      <c r="BF228" s="2" t="s">
        <v>3783</v>
      </c>
      <c r="BH228" s="1">
        <v>0.0</v>
      </c>
      <c r="BK228" s="1" t="s">
        <v>204</v>
      </c>
      <c r="BL228" s="1" t="str">
        <f t="shared" ref="BL228:BL229" si="159">"0"</f>
        <v>0</v>
      </c>
      <c r="BM228" s="1" t="str">
        <f>"1900"</f>
        <v>1900</v>
      </c>
      <c r="BN228" s="1">
        <v>0.0</v>
      </c>
      <c r="BO228" s="1">
        <v>8207.0</v>
      </c>
      <c r="BQ228" s="1">
        <v>299.0</v>
      </c>
      <c r="BR228" s="1">
        <v>299.0</v>
      </c>
      <c r="BS228" s="1">
        <v>299.0</v>
      </c>
      <c r="BU228" s="1" t="s">
        <v>3784</v>
      </c>
      <c r="BV228" s="1" t="s">
        <v>206</v>
      </c>
      <c r="BW228" s="1" t="s">
        <v>207</v>
      </c>
      <c r="BY228" s="1" t="s">
        <v>1483</v>
      </c>
      <c r="BZ228" s="1" t="s">
        <v>209</v>
      </c>
      <c r="CA228" s="1" t="s">
        <v>207</v>
      </c>
      <c r="CC228" s="1" t="s">
        <v>1395</v>
      </c>
      <c r="CD228" s="1" t="s">
        <v>206</v>
      </c>
      <c r="CE228" s="1" t="s">
        <v>207</v>
      </c>
      <c r="CG228" s="1" t="s">
        <v>215</v>
      </c>
      <c r="CH228" s="1" t="s">
        <v>209</v>
      </c>
      <c r="CI228" s="1" t="s">
        <v>207</v>
      </c>
      <c r="CK228" s="1" t="s">
        <v>215</v>
      </c>
      <c r="CL228" s="1" t="s">
        <v>209</v>
      </c>
      <c r="CM228" s="1" t="s">
        <v>207</v>
      </c>
      <c r="CO228" s="1" t="s">
        <v>212</v>
      </c>
      <c r="CP228" s="1" t="s">
        <v>42</v>
      </c>
      <c r="CQ228" s="1" t="s">
        <v>268</v>
      </c>
      <c r="CS228" s="1" t="s">
        <v>1395</v>
      </c>
      <c r="CT228" s="1" t="s">
        <v>206</v>
      </c>
      <c r="CU228" s="1" t="s">
        <v>268</v>
      </c>
      <c r="CW228" s="1" t="s">
        <v>3784</v>
      </c>
      <c r="CX228" s="1" t="s">
        <v>42</v>
      </c>
      <c r="CY228" s="1" t="s">
        <v>268</v>
      </c>
      <c r="DA228" s="1" t="s">
        <v>200</v>
      </c>
      <c r="DC228" s="1" t="s">
        <v>1399</v>
      </c>
      <c r="DD228" s="1" t="s">
        <v>731</v>
      </c>
      <c r="DE228" s="1" t="s">
        <v>273</v>
      </c>
      <c r="DF228" s="1" t="s">
        <v>619</v>
      </c>
      <c r="DH228" s="1" t="s">
        <v>365</v>
      </c>
      <c r="DI228" s="1" t="s">
        <v>308</v>
      </c>
      <c r="DJ228" s="1" t="s">
        <v>222</v>
      </c>
      <c r="DL228" s="1" t="s">
        <v>224</v>
      </c>
      <c r="DM228" s="1" t="s">
        <v>229</v>
      </c>
      <c r="DN228" s="1" t="s">
        <v>3785</v>
      </c>
      <c r="DP228" s="1" t="s">
        <v>340</v>
      </c>
      <c r="DQ228" s="1" t="s">
        <v>228</v>
      </c>
      <c r="DR228" s="1" t="s">
        <v>229</v>
      </c>
      <c r="DS228" s="1" t="s">
        <v>277</v>
      </c>
      <c r="DV228" s="1" t="s">
        <v>598</v>
      </c>
      <c r="DW228" s="1" t="s">
        <v>279</v>
      </c>
      <c r="DX228" s="1" t="s">
        <v>234</v>
      </c>
      <c r="DY228" s="1" t="s">
        <v>1122</v>
      </c>
      <c r="EB228" s="1" t="s">
        <v>345</v>
      </c>
      <c r="EC228" s="1" t="s">
        <v>237</v>
      </c>
      <c r="ED228" s="1" t="s">
        <v>407</v>
      </c>
      <c r="EG228" s="1" t="s">
        <v>598</v>
      </c>
      <c r="EL228" s="1" t="s">
        <v>303</v>
      </c>
      <c r="EM228" s="1" t="s">
        <v>206</v>
      </c>
      <c r="EN228" s="1" t="s">
        <v>207</v>
      </c>
      <c r="EQ228" s="1" t="s">
        <v>238</v>
      </c>
      <c r="EU228" s="1" t="s">
        <v>238</v>
      </c>
      <c r="EY228" s="1" t="s">
        <v>238</v>
      </c>
      <c r="FC228" s="1" t="s">
        <v>238</v>
      </c>
      <c r="FF228" s="1" t="s">
        <v>239</v>
      </c>
      <c r="FG228" s="1" t="s">
        <v>192</v>
      </c>
      <c r="FH228" s="1" t="s">
        <v>192</v>
      </c>
      <c r="FJ228" s="1" t="s">
        <v>3786</v>
      </c>
      <c r="FK228" s="1" t="s">
        <v>229</v>
      </c>
      <c r="FL228" s="1" t="s">
        <v>3787</v>
      </c>
      <c r="FM228" s="1">
        <v>8654.0</v>
      </c>
      <c r="FN228" s="1" t="s">
        <v>3788</v>
      </c>
      <c r="FO228" s="1" t="s">
        <v>3789</v>
      </c>
      <c r="FP228" s="1">
        <v>86206.0</v>
      </c>
      <c r="FQ228" s="1" t="s">
        <v>3788</v>
      </c>
      <c r="FU228" s="1" t="s">
        <v>2086</v>
      </c>
      <c r="FV228" s="1" t="s">
        <v>200</v>
      </c>
      <c r="FW228" s="1" t="s">
        <v>631</v>
      </c>
      <c r="FX228" s="1" t="s">
        <v>655</v>
      </c>
      <c r="FZ228" s="1" t="s">
        <v>229</v>
      </c>
      <c r="GA228" s="1" t="s">
        <v>291</v>
      </c>
      <c r="GB228" s="2">
        <v>42062.0</v>
      </c>
    </row>
    <row r="229">
      <c r="A229" s="1">
        <v>105000.0</v>
      </c>
      <c r="B229" s="1" t="s">
        <v>185</v>
      </c>
      <c r="C229" s="1" t="str">
        <f>"08769775"</f>
        <v>08769775</v>
      </c>
      <c r="D229" s="1" t="s">
        <v>186</v>
      </c>
      <c r="F229" s="1" t="str">
        <f>"8047"</f>
        <v>8047</v>
      </c>
      <c r="G229" s="2">
        <v>41948.0</v>
      </c>
      <c r="H229" s="1">
        <v>135000.0</v>
      </c>
      <c r="I229" s="1">
        <v>43.0</v>
      </c>
      <c r="J229" s="1">
        <v>109000.0</v>
      </c>
      <c r="K229" s="2">
        <v>41990.0</v>
      </c>
      <c r="L229" s="1">
        <v>43.0</v>
      </c>
      <c r="M229" s="2">
        <v>41990.0</v>
      </c>
      <c r="N229" s="1" t="s">
        <v>356</v>
      </c>
      <c r="O229" s="2">
        <v>42030.0</v>
      </c>
      <c r="P229" s="1">
        <v>604973.0</v>
      </c>
      <c r="Q229" s="1">
        <v>21529.0</v>
      </c>
      <c r="R229" s="1">
        <v>6300.0</v>
      </c>
      <c r="S229" s="1">
        <v>9136.0</v>
      </c>
      <c r="T229" s="1" t="s">
        <v>3790</v>
      </c>
      <c r="U229" s="1" t="s">
        <v>189</v>
      </c>
      <c r="V229" s="1" t="s">
        <v>190</v>
      </c>
      <c r="W229" s="1">
        <v>60619.0</v>
      </c>
      <c r="Y229" s="1" t="s">
        <v>3791</v>
      </c>
      <c r="Z229" s="1">
        <v>1958.0</v>
      </c>
      <c r="AA229" s="1" t="s">
        <v>192</v>
      </c>
      <c r="AB229" s="1" t="s">
        <v>193</v>
      </c>
      <c r="AD229" s="1" t="s">
        <v>194</v>
      </c>
      <c r="AE229" s="1" t="s">
        <v>195</v>
      </c>
      <c r="AF229" s="1" t="s">
        <v>637</v>
      </c>
      <c r="AH229" s="1" t="s">
        <v>359</v>
      </c>
      <c r="AK229" s="1">
        <v>8.0</v>
      </c>
      <c r="AL229" s="1">
        <v>3.0</v>
      </c>
      <c r="AM229" s="1">
        <v>2.0</v>
      </c>
      <c r="AN229" s="1">
        <v>0.0</v>
      </c>
      <c r="AO229" s="1" t="s">
        <v>229</v>
      </c>
      <c r="AQ229" s="1" t="s">
        <v>198</v>
      </c>
      <c r="AR229" s="1" t="s">
        <v>192</v>
      </c>
      <c r="AS229" s="1" t="s">
        <v>199</v>
      </c>
      <c r="AT229" s="1">
        <v>2.0</v>
      </c>
      <c r="AV229" s="1" t="s">
        <v>200</v>
      </c>
      <c r="AW229" s="1">
        <v>1908.0</v>
      </c>
      <c r="AX229" s="1">
        <v>2013.0</v>
      </c>
      <c r="AY229" s="1" t="s">
        <v>229</v>
      </c>
      <c r="AZ229" s="1" t="s">
        <v>200</v>
      </c>
      <c r="BA229" s="1" t="str">
        <f>"25023030310000"</f>
        <v>25023030310000</v>
      </c>
      <c r="BB229" s="1" t="s">
        <v>200</v>
      </c>
      <c r="BC229" s="1">
        <v>1100.0</v>
      </c>
      <c r="BD229" s="1">
        <v>105000.0</v>
      </c>
      <c r="BE229" s="2">
        <v>41948.0</v>
      </c>
      <c r="BF229" s="1" t="s">
        <v>3792</v>
      </c>
      <c r="BH229" s="1">
        <v>0.0</v>
      </c>
      <c r="BK229" s="1" t="s">
        <v>204</v>
      </c>
      <c r="BL229" s="1" t="str">
        <f t="shared" si="159"/>
        <v>0</v>
      </c>
      <c r="BM229" s="1" t="str">
        <f>"950"</f>
        <v>950</v>
      </c>
      <c r="BN229" s="1">
        <v>0.0</v>
      </c>
      <c r="BO229" s="1">
        <v>9100.0</v>
      </c>
      <c r="BQ229" s="1">
        <v>299.0</v>
      </c>
      <c r="BR229" s="1">
        <v>299.0</v>
      </c>
      <c r="BS229" s="1">
        <v>299.0</v>
      </c>
      <c r="BU229" s="1" t="s">
        <v>664</v>
      </c>
      <c r="BV229" s="1" t="s">
        <v>206</v>
      </c>
      <c r="BW229" s="1" t="s">
        <v>207</v>
      </c>
      <c r="BY229" s="1" t="s">
        <v>647</v>
      </c>
      <c r="BZ229" s="1" t="s">
        <v>206</v>
      </c>
      <c r="CA229" s="1" t="s">
        <v>207</v>
      </c>
      <c r="CD229" s="1" t="s">
        <v>204</v>
      </c>
      <c r="CG229" s="1" t="s">
        <v>266</v>
      </c>
      <c r="CH229" s="1" t="s">
        <v>206</v>
      </c>
      <c r="CI229" s="1" t="s">
        <v>207</v>
      </c>
      <c r="CK229" s="1" t="s">
        <v>266</v>
      </c>
      <c r="CL229" s="1" t="s">
        <v>206</v>
      </c>
      <c r="CM229" s="1" t="s">
        <v>207</v>
      </c>
      <c r="CO229" s="1" t="s">
        <v>205</v>
      </c>
      <c r="CP229" s="1" t="s">
        <v>42</v>
      </c>
      <c r="CQ229" s="1" t="s">
        <v>1065</v>
      </c>
      <c r="CS229" s="1" t="s">
        <v>798</v>
      </c>
      <c r="CT229" s="1" t="s">
        <v>206</v>
      </c>
      <c r="CU229" s="1" t="s">
        <v>268</v>
      </c>
      <c r="CW229" s="1" t="s">
        <v>3793</v>
      </c>
      <c r="CX229" s="1" t="s">
        <v>42</v>
      </c>
      <c r="CY229" s="1" t="s">
        <v>1065</v>
      </c>
      <c r="DA229" s="1" t="s">
        <v>200</v>
      </c>
      <c r="DC229" s="1" t="s">
        <v>271</v>
      </c>
      <c r="DD229" s="1" t="s">
        <v>518</v>
      </c>
      <c r="DE229" s="1" t="s">
        <v>229</v>
      </c>
      <c r="DF229" s="1" t="s">
        <v>219</v>
      </c>
      <c r="DH229" s="1" t="s">
        <v>220</v>
      </c>
      <c r="DI229" s="1" t="s">
        <v>789</v>
      </c>
      <c r="DJ229" s="1" t="s">
        <v>222</v>
      </c>
      <c r="DL229" s="1" t="s">
        <v>224</v>
      </c>
      <c r="DM229" s="1" t="s">
        <v>229</v>
      </c>
      <c r="DN229" s="1" t="s">
        <v>666</v>
      </c>
      <c r="DQ229" s="1" t="s">
        <v>718</v>
      </c>
      <c r="DR229" s="1" t="s">
        <v>229</v>
      </c>
      <c r="DS229" s="1" t="s">
        <v>230</v>
      </c>
      <c r="DU229" s="1" t="s">
        <v>2070</v>
      </c>
      <c r="DV229" s="1" t="s">
        <v>449</v>
      </c>
      <c r="DW229" s="1" t="s">
        <v>279</v>
      </c>
      <c r="DX229" s="1" t="s">
        <v>234</v>
      </c>
      <c r="DY229" s="1" t="s">
        <v>553</v>
      </c>
      <c r="EA229" s="1" t="s">
        <v>644</v>
      </c>
      <c r="EC229" s="1" t="s">
        <v>685</v>
      </c>
      <c r="ED229" s="1" t="s">
        <v>555</v>
      </c>
      <c r="EG229" s="1" t="s">
        <v>449</v>
      </c>
      <c r="EL229" s="1" t="s">
        <v>516</v>
      </c>
      <c r="EM229" s="1" t="s">
        <v>206</v>
      </c>
      <c r="EN229" s="1" t="s">
        <v>268</v>
      </c>
      <c r="EQ229" s="1" t="s">
        <v>238</v>
      </c>
      <c r="EU229" s="1" t="s">
        <v>238</v>
      </c>
      <c r="EY229" s="1" t="s">
        <v>238</v>
      </c>
      <c r="FC229" s="1" t="s">
        <v>238</v>
      </c>
      <c r="FF229" s="1" t="s">
        <v>239</v>
      </c>
      <c r="FG229" s="1" t="s">
        <v>192</v>
      </c>
      <c r="FH229" s="1" t="s">
        <v>192</v>
      </c>
      <c r="FJ229" s="1" t="s">
        <v>799</v>
      </c>
      <c r="FK229" s="1" t="s">
        <v>229</v>
      </c>
      <c r="FL229" s="1" t="s">
        <v>3794</v>
      </c>
      <c r="FM229" s="1">
        <v>3592.0</v>
      </c>
      <c r="FN229" s="1" t="s">
        <v>3795</v>
      </c>
      <c r="FO229" s="1" t="s">
        <v>3796</v>
      </c>
      <c r="FP229" s="1">
        <v>35051.0</v>
      </c>
      <c r="FQ229" s="1" t="s">
        <v>3797</v>
      </c>
      <c r="FU229" s="1" t="s">
        <v>3798</v>
      </c>
      <c r="FV229" s="1" t="s">
        <v>200</v>
      </c>
      <c r="FW229" s="1" t="s">
        <v>290</v>
      </c>
      <c r="FX229" s="1" t="s">
        <v>655</v>
      </c>
      <c r="FZ229" s="1" t="s">
        <v>229</v>
      </c>
      <c r="GA229" s="1" t="s">
        <v>291</v>
      </c>
      <c r="GB229" s="2">
        <v>42030.0</v>
      </c>
    </row>
    <row r="230">
      <c r="A230" s="1">
        <v>395000.0</v>
      </c>
      <c r="B230" s="1" t="s">
        <v>185</v>
      </c>
      <c r="C230" s="1" t="str">
        <f>"08769179"</f>
        <v>08769179</v>
      </c>
      <c r="D230" s="1" t="s">
        <v>186</v>
      </c>
      <c r="F230" s="1" t="str">
        <f>"8017"</f>
        <v>8017</v>
      </c>
      <c r="G230" s="2">
        <v>41948.0</v>
      </c>
      <c r="H230" s="1">
        <v>389900.0</v>
      </c>
      <c r="I230" s="1">
        <v>17.0</v>
      </c>
      <c r="J230" s="1">
        <v>389900.0</v>
      </c>
      <c r="K230" s="2">
        <v>41964.0</v>
      </c>
      <c r="L230" s="1">
        <v>17.0</v>
      </c>
      <c r="M230" s="2">
        <v>41964.0</v>
      </c>
      <c r="N230" s="1" t="s">
        <v>634</v>
      </c>
      <c r="O230" s="2">
        <v>42016.0</v>
      </c>
      <c r="P230" s="1">
        <v>162477.0</v>
      </c>
      <c r="Q230" s="1">
        <v>10013.0</v>
      </c>
      <c r="S230" s="1">
        <v>3251.0</v>
      </c>
      <c r="T230" s="1" t="s">
        <v>3799</v>
      </c>
      <c r="U230" s="1" t="s">
        <v>189</v>
      </c>
      <c r="V230" s="1" t="s">
        <v>190</v>
      </c>
      <c r="W230" s="1">
        <v>60634.0</v>
      </c>
      <c r="Y230" s="1" t="s">
        <v>3800</v>
      </c>
      <c r="Z230" s="1">
        <v>1950.0</v>
      </c>
      <c r="AA230" s="1" t="s">
        <v>192</v>
      </c>
      <c r="AB230" s="1" t="s">
        <v>193</v>
      </c>
      <c r="AC230" s="1" t="s">
        <v>3801</v>
      </c>
      <c r="AD230" s="1" t="s">
        <v>194</v>
      </c>
      <c r="AE230" s="1" t="s">
        <v>195</v>
      </c>
      <c r="AF230" s="1" t="s">
        <v>196</v>
      </c>
      <c r="AH230" s="1">
        <v>3810.0</v>
      </c>
      <c r="AI230" s="1">
        <v>0.0875</v>
      </c>
      <c r="AK230" s="1">
        <v>8.0</v>
      </c>
      <c r="AL230" s="1">
        <v>3.0</v>
      </c>
      <c r="AM230" s="1">
        <v>3.0</v>
      </c>
      <c r="AN230" s="1">
        <v>0.0</v>
      </c>
      <c r="AO230" s="1" t="s">
        <v>198</v>
      </c>
      <c r="AQ230" s="1" t="s">
        <v>198</v>
      </c>
      <c r="AR230" s="1" t="s">
        <v>192</v>
      </c>
      <c r="AS230" s="1" t="s">
        <v>199</v>
      </c>
      <c r="AT230" s="1">
        <v>1.5</v>
      </c>
      <c r="AV230" s="1" t="s">
        <v>200</v>
      </c>
      <c r="AW230" s="1">
        <v>1066.0</v>
      </c>
      <c r="AX230" s="1">
        <v>2013.0</v>
      </c>
      <c r="AY230" s="1" t="s">
        <v>2349</v>
      </c>
      <c r="AZ230" s="1" t="s">
        <v>200</v>
      </c>
      <c r="BA230" s="1" t="str">
        <f>"13193280030000"</f>
        <v>13193280030000</v>
      </c>
      <c r="BB230" s="1" t="s">
        <v>200</v>
      </c>
      <c r="BC230" s="1">
        <v>0.0</v>
      </c>
      <c r="BD230" s="1">
        <v>395000.0</v>
      </c>
      <c r="BE230" s="2">
        <v>41948.0</v>
      </c>
      <c r="BF230" s="2" t="s">
        <v>3802</v>
      </c>
      <c r="BH230" s="1">
        <v>0.0</v>
      </c>
      <c r="BK230" s="1" t="s">
        <v>204</v>
      </c>
      <c r="BL230" s="1" t="str">
        <f>"3200"</f>
        <v>3200</v>
      </c>
      <c r="BM230" s="1" t="str">
        <f>"0"</f>
        <v>0</v>
      </c>
      <c r="BN230" s="1">
        <v>7100.0</v>
      </c>
      <c r="BO230" s="1">
        <v>0.0</v>
      </c>
      <c r="BQ230" s="1">
        <v>299.0</v>
      </c>
      <c r="BR230" s="1">
        <v>299.0</v>
      </c>
      <c r="BS230" s="1">
        <v>299.0</v>
      </c>
      <c r="BU230" s="1" t="s">
        <v>2014</v>
      </c>
      <c r="BV230" s="1" t="s">
        <v>206</v>
      </c>
      <c r="BW230" s="1" t="s">
        <v>207</v>
      </c>
      <c r="BY230" s="1" t="s">
        <v>434</v>
      </c>
      <c r="BZ230" s="1" t="s">
        <v>209</v>
      </c>
      <c r="CA230" s="1" t="s">
        <v>210</v>
      </c>
      <c r="CC230" s="1" t="s">
        <v>542</v>
      </c>
      <c r="CD230" s="1" t="s">
        <v>206</v>
      </c>
      <c r="CE230" s="1" t="s">
        <v>207</v>
      </c>
      <c r="CG230" s="1" t="s">
        <v>1064</v>
      </c>
      <c r="CH230" s="1" t="s">
        <v>209</v>
      </c>
      <c r="CI230" s="1" t="s">
        <v>210</v>
      </c>
      <c r="CK230" s="1" t="s">
        <v>699</v>
      </c>
      <c r="CL230" s="1" t="s">
        <v>206</v>
      </c>
      <c r="CM230" s="1" t="s">
        <v>207</v>
      </c>
      <c r="CO230" s="1" t="s">
        <v>2459</v>
      </c>
      <c r="CP230" s="1" t="s">
        <v>42</v>
      </c>
      <c r="CQ230" s="1" t="s">
        <v>210</v>
      </c>
      <c r="CS230" s="1" t="s">
        <v>1397</v>
      </c>
      <c r="CT230" s="1" t="s">
        <v>206</v>
      </c>
      <c r="CU230" s="1" t="s">
        <v>207</v>
      </c>
      <c r="CW230" s="1" t="s">
        <v>1518</v>
      </c>
      <c r="CX230" s="1" t="s">
        <v>42</v>
      </c>
      <c r="CY230" s="1" t="s">
        <v>210</v>
      </c>
      <c r="DA230" s="1" t="s">
        <v>200</v>
      </c>
      <c r="DC230" s="1" t="s">
        <v>702</v>
      </c>
      <c r="DD230" s="1" t="s">
        <v>759</v>
      </c>
      <c r="DE230" s="1" t="s">
        <v>3750</v>
      </c>
      <c r="DF230" s="1" t="s">
        <v>3751</v>
      </c>
      <c r="DH230" s="1" t="s">
        <v>365</v>
      </c>
      <c r="DI230" s="1" t="s">
        <v>1141</v>
      </c>
      <c r="DJ230" s="1" t="s">
        <v>222</v>
      </c>
      <c r="DL230" s="1" t="s">
        <v>224</v>
      </c>
      <c r="DM230" s="1" t="s">
        <v>229</v>
      </c>
      <c r="DN230" s="1" t="s">
        <v>3803</v>
      </c>
      <c r="DO230" s="1" t="s">
        <v>549</v>
      </c>
      <c r="DP230" s="1" t="s">
        <v>276</v>
      </c>
      <c r="DQ230" s="1" t="s">
        <v>228</v>
      </c>
      <c r="DR230" s="1" t="s">
        <v>229</v>
      </c>
      <c r="DS230" s="1" t="s">
        <v>230</v>
      </c>
      <c r="DU230" s="1" t="s">
        <v>3804</v>
      </c>
      <c r="DV230" s="1" t="s">
        <v>409</v>
      </c>
      <c r="DW230" s="1" t="s">
        <v>279</v>
      </c>
      <c r="DX230" s="1" t="s">
        <v>234</v>
      </c>
      <c r="DY230" s="1" t="s">
        <v>553</v>
      </c>
      <c r="DZ230" s="1" t="s">
        <v>405</v>
      </c>
      <c r="EA230" s="1" t="s">
        <v>2535</v>
      </c>
      <c r="EC230" s="1" t="s">
        <v>645</v>
      </c>
      <c r="EG230" s="1" t="s">
        <v>409</v>
      </c>
      <c r="EL230" s="1" t="s">
        <v>3805</v>
      </c>
      <c r="EM230" s="1" t="s">
        <v>209</v>
      </c>
      <c r="EN230" s="1" t="s">
        <v>210</v>
      </c>
      <c r="EQ230" s="1" t="s">
        <v>238</v>
      </c>
      <c r="EU230" s="1" t="s">
        <v>238</v>
      </c>
      <c r="EY230" s="1" t="s">
        <v>238</v>
      </c>
      <c r="FC230" s="1" t="s">
        <v>238</v>
      </c>
      <c r="FF230" s="1" t="s">
        <v>239</v>
      </c>
      <c r="FG230" s="1" t="s">
        <v>192</v>
      </c>
      <c r="FH230" s="1" t="s">
        <v>192</v>
      </c>
      <c r="FJ230" s="1" t="s">
        <v>3806</v>
      </c>
      <c r="FK230" s="1" t="s">
        <v>229</v>
      </c>
      <c r="FL230" s="1" t="s">
        <v>3807</v>
      </c>
      <c r="FM230" s="1">
        <v>12664.0</v>
      </c>
      <c r="FN230" s="1" t="s">
        <v>3808</v>
      </c>
      <c r="FO230" s="1" t="s">
        <v>3809</v>
      </c>
      <c r="FP230" s="1">
        <v>113821.0</v>
      </c>
      <c r="FQ230" s="1" t="s">
        <v>3810</v>
      </c>
      <c r="FU230" s="1" t="s">
        <v>3811</v>
      </c>
      <c r="FV230" s="1" t="s">
        <v>200</v>
      </c>
      <c r="FW230" s="1" t="s">
        <v>290</v>
      </c>
      <c r="FX230" s="1" t="s">
        <v>238</v>
      </c>
      <c r="FZ230" s="1" t="s">
        <v>229</v>
      </c>
      <c r="GA230" s="1" t="s">
        <v>291</v>
      </c>
      <c r="GB230" s="2">
        <v>42016.0</v>
      </c>
      <c r="GC230" s="1" t="s">
        <v>3812</v>
      </c>
    </row>
    <row r="231">
      <c r="A231" s="1">
        <v>151000.0</v>
      </c>
      <c r="B231" s="1" t="s">
        <v>185</v>
      </c>
      <c r="C231" s="1" t="str">
        <f>"08769277"</f>
        <v>08769277</v>
      </c>
      <c r="D231" s="1" t="s">
        <v>186</v>
      </c>
      <c r="F231" s="1" t="str">
        <f>"103"</f>
        <v>103</v>
      </c>
      <c r="G231" s="2">
        <v>41948.0</v>
      </c>
      <c r="H231" s="1">
        <v>154900.0</v>
      </c>
      <c r="I231" s="1">
        <v>59.0</v>
      </c>
      <c r="J231" s="1">
        <v>154900.0</v>
      </c>
      <c r="K231" s="2">
        <v>42006.0</v>
      </c>
      <c r="L231" s="1">
        <v>59.0</v>
      </c>
      <c r="M231" s="2">
        <v>42006.0</v>
      </c>
      <c r="N231" s="1" t="s">
        <v>187</v>
      </c>
      <c r="O231" s="2">
        <v>42055.0</v>
      </c>
      <c r="P231" s="1">
        <v>923285.0</v>
      </c>
      <c r="Q231" s="1">
        <v>8431.0</v>
      </c>
      <c r="S231" s="1">
        <v>1811.0</v>
      </c>
      <c r="T231" s="1" t="s">
        <v>3813</v>
      </c>
      <c r="U231" s="1" t="s">
        <v>189</v>
      </c>
      <c r="V231" s="1" t="s">
        <v>251</v>
      </c>
      <c r="W231" s="1">
        <v>60133.0</v>
      </c>
      <c r="Y231" s="1" t="s">
        <v>3814</v>
      </c>
      <c r="Z231" s="1">
        <v>1993.0</v>
      </c>
      <c r="AA231" s="1" t="s">
        <v>200</v>
      </c>
      <c r="AB231" s="1" t="s">
        <v>193</v>
      </c>
      <c r="AD231" s="1" t="s">
        <v>254</v>
      </c>
      <c r="AE231" s="1" t="s">
        <v>195</v>
      </c>
      <c r="AF231" s="1" t="s">
        <v>298</v>
      </c>
      <c r="AH231" s="1" t="s">
        <v>3815</v>
      </c>
      <c r="AI231" s="1">
        <v>0.146</v>
      </c>
      <c r="AK231" s="1">
        <v>8.0</v>
      </c>
      <c r="AL231" s="1">
        <v>3.0</v>
      </c>
      <c r="AM231" s="1">
        <v>2.0</v>
      </c>
      <c r="AN231" s="1">
        <v>1.0</v>
      </c>
      <c r="AO231" s="1" t="s">
        <v>229</v>
      </c>
      <c r="AQ231" s="1" t="s">
        <v>229</v>
      </c>
      <c r="AR231" s="1" t="s">
        <v>200</v>
      </c>
      <c r="AS231" s="1" t="s">
        <v>199</v>
      </c>
      <c r="AT231" s="1">
        <v>2.0</v>
      </c>
      <c r="AV231" s="1" t="s">
        <v>200</v>
      </c>
      <c r="AW231" s="1">
        <v>5840.56</v>
      </c>
      <c r="AX231" s="1">
        <v>2012.0</v>
      </c>
      <c r="AZ231" s="1" t="s">
        <v>200</v>
      </c>
      <c r="BA231" s="1" t="str">
        <f>"06364090340000"</f>
        <v>06364090340000</v>
      </c>
      <c r="BC231" s="1">
        <v>1964.0</v>
      </c>
      <c r="BD231" s="1">
        <v>151000.0</v>
      </c>
      <c r="BE231" s="2">
        <v>41948.0</v>
      </c>
      <c r="BF231" s="2" t="s">
        <v>3816</v>
      </c>
      <c r="BH231" s="1">
        <v>0.0</v>
      </c>
      <c r="BK231" s="1" t="s">
        <v>204</v>
      </c>
      <c r="BL231" s="1" t="str">
        <f t="shared" ref="BL231:BM231" si="160">""</f>
        <v/>
      </c>
      <c r="BM231" s="1" t="str">
        <f t="shared" si="160"/>
        <v/>
      </c>
      <c r="BQ231" s="1">
        <v>54.0</v>
      </c>
      <c r="BR231" s="1">
        <v>54.0</v>
      </c>
      <c r="BS231" s="1">
        <v>54.0</v>
      </c>
      <c r="BU231" s="1" t="s">
        <v>664</v>
      </c>
      <c r="BV231" s="1" t="s">
        <v>206</v>
      </c>
      <c r="BY231" s="1" t="s">
        <v>1183</v>
      </c>
      <c r="BZ231" s="1" t="s">
        <v>209</v>
      </c>
      <c r="CC231" s="1" t="s">
        <v>269</v>
      </c>
      <c r="CD231" s="1" t="s">
        <v>206</v>
      </c>
      <c r="CG231" s="1" t="s">
        <v>392</v>
      </c>
      <c r="CH231" s="1" t="s">
        <v>209</v>
      </c>
      <c r="CK231" s="1" t="s">
        <v>495</v>
      </c>
      <c r="CL231" s="1" t="s">
        <v>209</v>
      </c>
      <c r="CO231" s="1" t="s">
        <v>1672</v>
      </c>
      <c r="CP231" s="1" t="s">
        <v>42</v>
      </c>
      <c r="CS231" s="1" t="s">
        <v>1183</v>
      </c>
      <c r="CT231" s="1" t="s">
        <v>206</v>
      </c>
      <c r="CW231" s="1" t="s">
        <v>3817</v>
      </c>
      <c r="CX231" s="1" t="s">
        <v>42</v>
      </c>
      <c r="DA231" s="1" t="s">
        <v>200</v>
      </c>
      <c r="DC231" s="1" t="s">
        <v>435</v>
      </c>
      <c r="DE231" s="1" t="s">
        <v>273</v>
      </c>
      <c r="DF231" s="1" t="s">
        <v>219</v>
      </c>
      <c r="DH231" s="1" t="s">
        <v>220</v>
      </c>
      <c r="DJ231" s="1" t="s">
        <v>222</v>
      </c>
      <c r="DL231" s="1" t="s">
        <v>1853</v>
      </c>
      <c r="DM231" s="1" t="s">
        <v>229</v>
      </c>
      <c r="DQ231" s="1" t="s">
        <v>228</v>
      </c>
      <c r="DR231" s="1" t="s">
        <v>229</v>
      </c>
      <c r="DV231" s="1" t="s">
        <v>232</v>
      </c>
      <c r="DW231" s="1" t="s">
        <v>444</v>
      </c>
      <c r="DX231" s="1" t="s">
        <v>234</v>
      </c>
      <c r="EA231" s="1" t="s">
        <v>554</v>
      </c>
      <c r="EC231" s="1" t="s">
        <v>284</v>
      </c>
      <c r="EM231" s="1" t="s">
        <v>238</v>
      </c>
      <c r="EQ231" s="1" t="s">
        <v>238</v>
      </c>
      <c r="EU231" s="1" t="s">
        <v>238</v>
      </c>
      <c r="EY231" s="1" t="s">
        <v>238</v>
      </c>
      <c r="FC231" s="1" t="s">
        <v>238</v>
      </c>
      <c r="FF231" s="1" t="s">
        <v>239</v>
      </c>
      <c r="FG231" s="1" t="s">
        <v>192</v>
      </c>
      <c r="FH231" s="1" t="s">
        <v>192</v>
      </c>
      <c r="FJ231" s="1" t="s">
        <v>347</v>
      </c>
      <c r="FK231" s="1" t="s">
        <v>229</v>
      </c>
      <c r="FL231" s="1" t="s">
        <v>3818</v>
      </c>
      <c r="FM231" s="1">
        <v>23959.0</v>
      </c>
      <c r="FN231" s="1" t="s">
        <v>3819</v>
      </c>
      <c r="FO231" s="1" t="s">
        <v>3820</v>
      </c>
      <c r="FP231" s="1">
        <v>220868.0</v>
      </c>
      <c r="FQ231" s="1" t="s">
        <v>3819</v>
      </c>
      <c r="FU231" s="1" t="s">
        <v>3821</v>
      </c>
      <c r="FV231" s="1" t="s">
        <v>200</v>
      </c>
      <c r="FW231" s="1" t="s">
        <v>290</v>
      </c>
      <c r="FZ231" s="1" t="s">
        <v>229</v>
      </c>
      <c r="GA231" s="1" t="s">
        <v>291</v>
      </c>
      <c r="GB231" s="2">
        <v>42055.0</v>
      </c>
      <c r="GC231" s="1" t="s">
        <v>3822</v>
      </c>
    </row>
    <row r="232">
      <c r="A232" s="1">
        <v>133000.0</v>
      </c>
      <c r="B232" s="1" t="s">
        <v>185</v>
      </c>
      <c r="C232" s="1" t="str">
        <f>"08801915"</f>
        <v>08801915</v>
      </c>
      <c r="D232" s="1" t="s">
        <v>186</v>
      </c>
      <c r="F232" s="1" t="str">
        <f>"538"</f>
        <v>538</v>
      </c>
      <c r="G232" s="2">
        <v>41987.0</v>
      </c>
      <c r="H232" s="1">
        <v>139900.0</v>
      </c>
      <c r="I232" s="1">
        <v>64.0</v>
      </c>
      <c r="J232" s="1">
        <v>134900.0</v>
      </c>
      <c r="K232" s="2">
        <v>42049.0</v>
      </c>
      <c r="L232" s="1">
        <v>64.0</v>
      </c>
      <c r="M232" s="2">
        <v>42049.0</v>
      </c>
      <c r="N232" s="1" t="s">
        <v>356</v>
      </c>
      <c r="O232" s="2">
        <v>42087.0</v>
      </c>
      <c r="P232" s="1">
        <v>224504.0</v>
      </c>
      <c r="Q232" s="1">
        <v>21823.0</v>
      </c>
      <c r="R232" s="1">
        <v>5000.0</v>
      </c>
      <c r="S232" s="1">
        <v>1927.0</v>
      </c>
      <c r="T232" s="1" t="s">
        <v>3823</v>
      </c>
      <c r="U232" s="1" t="s">
        <v>569</v>
      </c>
      <c r="V232" s="1" t="s">
        <v>1340</v>
      </c>
      <c r="W232" s="1">
        <v>60538.0</v>
      </c>
      <c r="Y232" s="1" t="s">
        <v>3824</v>
      </c>
      <c r="Z232" s="1">
        <v>1965.0</v>
      </c>
      <c r="AA232" s="1" t="s">
        <v>192</v>
      </c>
      <c r="AB232" s="1" t="s">
        <v>193</v>
      </c>
      <c r="AC232" s="1" t="s">
        <v>3825</v>
      </c>
      <c r="AD232" s="1" t="s">
        <v>1343</v>
      </c>
      <c r="AE232" s="1" t="s">
        <v>325</v>
      </c>
      <c r="AF232" s="1" t="s">
        <v>3826</v>
      </c>
      <c r="AG232" s="1" t="s">
        <v>874</v>
      </c>
      <c r="AH232" s="1" t="s">
        <v>3827</v>
      </c>
      <c r="AI232" s="1">
        <v>0.18</v>
      </c>
      <c r="AK232" s="1">
        <v>7.0</v>
      </c>
      <c r="AL232" s="1">
        <v>3.0</v>
      </c>
      <c r="AM232" s="1">
        <v>1.0</v>
      </c>
      <c r="AN232" s="1">
        <v>0.0</v>
      </c>
      <c r="AO232" s="1" t="s">
        <v>229</v>
      </c>
      <c r="AQ232" s="1" t="s">
        <v>198</v>
      </c>
      <c r="AR232" s="1" t="s">
        <v>200</v>
      </c>
      <c r="AS232" s="1" t="s">
        <v>199</v>
      </c>
      <c r="AT232" s="1">
        <v>2.0</v>
      </c>
      <c r="AV232" s="1" t="s">
        <v>200</v>
      </c>
      <c r="AW232" s="1">
        <v>2262.0</v>
      </c>
      <c r="AX232" s="1">
        <v>2013.0</v>
      </c>
      <c r="AY232" s="1" t="s">
        <v>387</v>
      </c>
      <c r="AZ232" s="1" t="s">
        <v>200</v>
      </c>
      <c r="BA232" s="1" t="str">
        <f>"1531352027"</f>
        <v>1531352027</v>
      </c>
      <c r="BC232" s="1">
        <v>1040.0</v>
      </c>
      <c r="BD232" s="1">
        <v>133000.0</v>
      </c>
      <c r="BE232" s="2">
        <v>41986.0</v>
      </c>
      <c r="BF232" s="2" t="s">
        <v>3828</v>
      </c>
      <c r="BG232" s="1" t="s">
        <v>3829</v>
      </c>
      <c r="BH232" s="1">
        <v>0.0</v>
      </c>
      <c r="BI232" s="1" t="s">
        <v>3830</v>
      </c>
      <c r="BJ232" s="1" t="s">
        <v>3831</v>
      </c>
      <c r="BK232" s="1" t="s">
        <v>204</v>
      </c>
      <c r="BL232" s="1" t="str">
        <f t="shared" ref="BL232:BM232" si="161">"0"</f>
        <v>0</v>
      </c>
      <c r="BM232" s="1" t="str">
        <f t="shared" si="161"/>
        <v>0</v>
      </c>
      <c r="BN232" s="1">
        <v>38.0</v>
      </c>
      <c r="BO232" s="1">
        <v>9.0</v>
      </c>
      <c r="BQ232" s="1">
        <v>129.0</v>
      </c>
      <c r="BR232" s="1">
        <v>129.0</v>
      </c>
      <c r="BS232" s="1">
        <v>129.0</v>
      </c>
      <c r="BU232" s="1" t="s">
        <v>390</v>
      </c>
      <c r="BV232" s="1" t="s">
        <v>206</v>
      </c>
      <c r="BW232" s="1" t="s">
        <v>301</v>
      </c>
      <c r="BX232" s="1" t="s">
        <v>229</v>
      </c>
      <c r="BY232" s="1" t="s">
        <v>647</v>
      </c>
      <c r="BZ232" s="1" t="s">
        <v>206</v>
      </c>
      <c r="CA232" s="1" t="s">
        <v>210</v>
      </c>
      <c r="CB232" s="1" t="s">
        <v>229</v>
      </c>
      <c r="CD232" s="1" t="s">
        <v>204</v>
      </c>
      <c r="CG232" s="1" t="s">
        <v>497</v>
      </c>
      <c r="CH232" s="1" t="s">
        <v>206</v>
      </c>
      <c r="CI232" s="1" t="s">
        <v>210</v>
      </c>
      <c r="CJ232" s="1" t="s">
        <v>229</v>
      </c>
      <c r="CK232" s="1" t="s">
        <v>269</v>
      </c>
      <c r="CL232" s="1" t="s">
        <v>206</v>
      </c>
      <c r="CM232" s="1" t="s">
        <v>210</v>
      </c>
      <c r="CN232" s="1" t="s">
        <v>229</v>
      </c>
      <c r="CO232" s="1" t="s">
        <v>264</v>
      </c>
      <c r="CP232" s="1" t="s">
        <v>42</v>
      </c>
      <c r="CQ232" s="1" t="s">
        <v>210</v>
      </c>
      <c r="CR232" s="1" t="s">
        <v>229</v>
      </c>
      <c r="CS232" s="1" t="s">
        <v>332</v>
      </c>
      <c r="CT232" s="1" t="s">
        <v>206</v>
      </c>
      <c r="CU232" s="1" t="s">
        <v>268</v>
      </c>
      <c r="CV232" s="1" t="s">
        <v>229</v>
      </c>
      <c r="CW232" s="1" t="s">
        <v>3832</v>
      </c>
      <c r="CX232" s="1" t="s">
        <v>42</v>
      </c>
      <c r="CY232" s="1" t="s">
        <v>210</v>
      </c>
      <c r="CZ232" s="1" t="s">
        <v>229</v>
      </c>
      <c r="DA232" s="1" t="s">
        <v>200</v>
      </c>
      <c r="DC232" s="1" t="s">
        <v>517</v>
      </c>
      <c r="DD232" s="1" t="s">
        <v>3633</v>
      </c>
      <c r="DE232" s="1" t="s">
        <v>273</v>
      </c>
      <c r="DF232" s="1" t="s">
        <v>219</v>
      </c>
      <c r="DG232" s="1" t="s">
        <v>3833</v>
      </c>
      <c r="DH232" s="1" t="s">
        <v>220</v>
      </c>
      <c r="DI232" s="1" t="s">
        <v>1223</v>
      </c>
      <c r="DJ232" s="1" t="s">
        <v>222</v>
      </c>
      <c r="DL232" s="1" t="s">
        <v>1536</v>
      </c>
      <c r="DM232" s="1" t="s">
        <v>229</v>
      </c>
      <c r="DN232" s="1" t="s">
        <v>339</v>
      </c>
      <c r="DO232" s="1" t="s">
        <v>549</v>
      </c>
      <c r="DQ232" s="1" t="s">
        <v>228</v>
      </c>
      <c r="DR232" s="1" t="s">
        <v>229</v>
      </c>
      <c r="DS232" s="1" t="s">
        <v>230</v>
      </c>
      <c r="DU232" s="1" t="s">
        <v>3487</v>
      </c>
      <c r="DV232" s="1" t="s">
        <v>1103</v>
      </c>
      <c r="DW232" s="1" t="s">
        <v>233</v>
      </c>
      <c r="DX232" s="1" t="s">
        <v>234</v>
      </c>
      <c r="DY232" s="1" t="s">
        <v>3295</v>
      </c>
      <c r="DZ232" s="1" t="s">
        <v>1100</v>
      </c>
      <c r="EA232" s="1" t="s">
        <v>683</v>
      </c>
      <c r="EC232" s="1" t="s">
        <v>685</v>
      </c>
      <c r="ED232" s="1" t="s">
        <v>407</v>
      </c>
      <c r="EG232" s="1" t="s">
        <v>1103</v>
      </c>
      <c r="EL232" s="1" t="s">
        <v>1001</v>
      </c>
      <c r="EM232" s="1" t="s">
        <v>42</v>
      </c>
      <c r="EN232" s="1" t="s">
        <v>588</v>
      </c>
      <c r="EO232" s="1" t="s">
        <v>229</v>
      </c>
      <c r="EQ232" s="1" t="s">
        <v>238</v>
      </c>
      <c r="EU232" s="1" t="s">
        <v>238</v>
      </c>
      <c r="EY232" s="1" t="s">
        <v>238</v>
      </c>
      <c r="FC232" s="1" t="s">
        <v>238</v>
      </c>
      <c r="FF232" s="1" t="s">
        <v>239</v>
      </c>
      <c r="FG232" s="1" t="s">
        <v>192</v>
      </c>
      <c r="FH232" s="1" t="s">
        <v>192</v>
      </c>
      <c r="FJ232" s="1" t="s">
        <v>733</v>
      </c>
      <c r="FK232" s="1" t="s">
        <v>229</v>
      </c>
      <c r="FL232" s="1" t="s">
        <v>974</v>
      </c>
      <c r="FM232" s="1">
        <v>23312.0</v>
      </c>
      <c r="FN232" s="1" t="s">
        <v>3834</v>
      </c>
      <c r="FO232" s="1" t="s">
        <v>3835</v>
      </c>
      <c r="FP232" s="1">
        <v>219521.0</v>
      </c>
      <c r="FQ232" s="1" t="s">
        <v>3836</v>
      </c>
      <c r="FS232" s="1" t="s">
        <v>3837</v>
      </c>
      <c r="FU232" s="1" t="s">
        <v>3838</v>
      </c>
      <c r="FV232" s="1" t="s">
        <v>200</v>
      </c>
      <c r="FW232" s="1" t="s">
        <v>290</v>
      </c>
      <c r="FZ232" s="1" t="s">
        <v>229</v>
      </c>
      <c r="GA232" s="1" t="s">
        <v>291</v>
      </c>
      <c r="GB232" s="2">
        <v>42087.0</v>
      </c>
      <c r="GC232" s="1" t="s">
        <v>3839</v>
      </c>
    </row>
    <row r="233">
      <c r="A233" s="1">
        <v>250000.0</v>
      </c>
      <c r="B233" s="1" t="s">
        <v>185</v>
      </c>
      <c r="C233" s="1" t="str">
        <f>"08789033"</f>
        <v>08789033</v>
      </c>
      <c r="D233" s="1" t="s">
        <v>186</v>
      </c>
      <c r="F233" s="1" t="str">
        <f>"110"</f>
        <v>110</v>
      </c>
      <c r="G233" s="2">
        <v>41962.0</v>
      </c>
      <c r="H233" s="1">
        <v>269900.0</v>
      </c>
      <c r="I233" s="1">
        <v>358.0</v>
      </c>
      <c r="J233" s="1">
        <v>267900.0</v>
      </c>
      <c r="K233" s="2">
        <v>42106.0</v>
      </c>
      <c r="L233" s="1">
        <v>145.0</v>
      </c>
      <c r="M233" s="2">
        <v>42106.0</v>
      </c>
      <c r="N233" s="1" t="s">
        <v>187</v>
      </c>
      <c r="O233" s="2">
        <v>42123.0</v>
      </c>
      <c r="P233" s="1">
        <v>70226.0</v>
      </c>
      <c r="Q233" s="1">
        <v>7032.0</v>
      </c>
      <c r="S233" s="1">
        <v>4317.0</v>
      </c>
      <c r="T233" s="1" t="s">
        <v>3840</v>
      </c>
      <c r="U233" s="1" t="s">
        <v>569</v>
      </c>
      <c r="V233" s="1" t="s">
        <v>807</v>
      </c>
      <c r="W233" s="1">
        <v>60110.0</v>
      </c>
      <c r="Y233" s="1" t="s">
        <v>3841</v>
      </c>
      <c r="Z233" s="1">
        <v>1999.0</v>
      </c>
      <c r="AA233" s="1" t="s">
        <v>200</v>
      </c>
      <c r="AB233" s="1" t="s">
        <v>193</v>
      </c>
      <c r="AC233" s="1" t="s">
        <v>2766</v>
      </c>
      <c r="AD233" s="1" t="s">
        <v>809</v>
      </c>
      <c r="AE233" s="1" t="s">
        <v>325</v>
      </c>
      <c r="AF233" s="1" t="s">
        <v>810</v>
      </c>
      <c r="AG233" s="1" t="s">
        <v>3842</v>
      </c>
      <c r="AH233" s="6">
        <v>7841.0</v>
      </c>
      <c r="AI233" s="1">
        <v>0.18</v>
      </c>
      <c r="AK233" s="1">
        <v>9.0</v>
      </c>
      <c r="AL233" s="1">
        <v>4.0</v>
      </c>
      <c r="AM233" s="1">
        <v>2.0</v>
      </c>
      <c r="AN233" s="1">
        <v>1.0</v>
      </c>
      <c r="AO233" s="1" t="s">
        <v>198</v>
      </c>
      <c r="AP233" s="1">
        <v>0.0</v>
      </c>
      <c r="AQ233" s="1" t="s">
        <v>1314</v>
      </c>
      <c r="AR233" s="1" t="s">
        <v>200</v>
      </c>
      <c r="AS233" s="1" t="s">
        <v>199</v>
      </c>
      <c r="AT233" s="1">
        <v>2.0</v>
      </c>
      <c r="AV233" s="1" t="s">
        <v>200</v>
      </c>
      <c r="AW233" s="1">
        <v>8056.92</v>
      </c>
      <c r="AX233" s="1">
        <v>2013.0</v>
      </c>
      <c r="AY233" s="1" t="s">
        <v>1179</v>
      </c>
      <c r="AZ233" s="1" t="s">
        <v>200</v>
      </c>
      <c r="BA233" s="1" t="str">
        <f>"0308328052"</f>
        <v>0308328052</v>
      </c>
      <c r="BB233" s="1" t="s">
        <v>200</v>
      </c>
      <c r="BC233" s="1">
        <v>3018.0</v>
      </c>
      <c r="BD233" s="1">
        <v>250000.0</v>
      </c>
      <c r="BE233" s="2">
        <v>41962.0</v>
      </c>
      <c r="BF233" s="2" t="s">
        <v>3843</v>
      </c>
      <c r="BG233" s="1" t="s">
        <v>1181</v>
      </c>
      <c r="BH233" s="1">
        <v>176.0</v>
      </c>
      <c r="BI233" s="1" t="s">
        <v>1093</v>
      </c>
      <c r="BJ233" s="1" t="s">
        <v>1759</v>
      </c>
      <c r="BK233" s="1" t="s">
        <v>580</v>
      </c>
      <c r="BL233" s="1" t="str">
        <f t="shared" ref="BL233:BM233" si="162">""</f>
        <v/>
      </c>
      <c r="BM233" s="1" t="str">
        <f t="shared" si="162"/>
        <v/>
      </c>
      <c r="BQ233" s="1">
        <v>300.0</v>
      </c>
      <c r="BR233" s="1">
        <v>300.0</v>
      </c>
      <c r="BS233" s="1">
        <v>300.0</v>
      </c>
      <c r="BU233" s="1" t="s">
        <v>211</v>
      </c>
      <c r="BV233" s="1" t="s">
        <v>206</v>
      </c>
      <c r="BW233" s="1" t="s">
        <v>210</v>
      </c>
      <c r="BX233" s="1" t="s">
        <v>239</v>
      </c>
      <c r="BY233" s="1" t="s">
        <v>3387</v>
      </c>
      <c r="BZ233" s="1" t="s">
        <v>209</v>
      </c>
      <c r="CA233" s="1" t="s">
        <v>210</v>
      </c>
      <c r="CB233" s="1" t="s">
        <v>239</v>
      </c>
      <c r="CC233" s="1" t="s">
        <v>584</v>
      </c>
      <c r="CD233" s="1" t="s">
        <v>206</v>
      </c>
      <c r="CE233" s="1" t="s">
        <v>210</v>
      </c>
      <c r="CF233" s="1" t="s">
        <v>239</v>
      </c>
      <c r="CG233" s="1" t="s">
        <v>329</v>
      </c>
      <c r="CH233" s="1" t="s">
        <v>209</v>
      </c>
      <c r="CI233" s="1" t="s">
        <v>210</v>
      </c>
      <c r="CJ233" s="1" t="s">
        <v>239</v>
      </c>
      <c r="CK233" s="1" t="s">
        <v>332</v>
      </c>
      <c r="CL233" s="1" t="s">
        <v>209</v>
      </c>
      <c r="CM233" s="1" t="s">
        <v>210</v>
      </c>
      <c r="CN233" s="1" t="s">
        <v>239</v>
      </c>
      <c r="CO233" s="1" t="s">
        <v>215</v>
      </c>
      <c r="CP233" s="1" t="s">
        <v>209</v>
      </c>
      <c r="CQ233" s="1" t="s">
        <v>210</v>
      </c>
      <c r="CR233" s="1" t="s">
        <v>239</v>
      </c>
      <c r="CS233" s="1" t="s">
        <v>215</v>
      </c>
      <c r="CT233" s="1" t="s">
        <v>206</v>
      </c>
      <c r="CU233" s="1" t="s">
        <v>617</v>
      </c>
      <c r="CV233" s="1" t="s">
        <v>239</v>
      </c>
      <c r="CW233" s="1" t="s">
        <v>480</v>
      </c>
      <c r="CX233" s="1" t="s">
        <v>206</v>
      </c>
      <c r="CY233" s="1" t="s">
        <v>210</v>
      </c>
      <c r="CZ233" s="1" t="s">
        <v>239</v>
      </c>
      <c r="DA233" s="1" t="s">
        <v>200</v>
      </c>
      <c r="DC233" s="1" t="s">
        <v>335</v>
      </c>
      <c r="DD233" s="1" t="s">
        <v>926</v>
      </c>
      <c r="DE233" s="1" t="s">
        <v>273</v>
      </c>
      <c r="DF233" s="1" t="s">
        <v>219</v>
      </c>
      <c r="DG233" s="1" t="s">
        <v>337</v>
      </c>
      <c r="DH233" s="1" t="s">
        <v>220</v>
      </c>
      <c r="DI233" s="1" t="s">
        <v>221</v>
      </c>
      <c r="DJ233" s="1" t="s">
        <v>222</v>
      </c>
      <c r="DK233" s="1" t="s">
        <v>223</v>
      </c>
      <c r="DL233" s="1" t="s">
        <v>3611</v>
      </c>
      <c r="DM233" s="1" t="s">
        <v>229</v>
      </c>
      <c r="DN233" s="1" t="s">
        <v>3844</v>
      </c>
      <c r="DO233" s="1" t="s">
        <v>3845</v>
      </c>
      <c r="DP233" s="1" t="s">
        <v>340</v>
      </c>
      <c r="DQ233" s="1" t="s">
        <v>228</v>
      </c>
      <c r="DR233" s="1" t="s">
        <v>588</v>
      </c>
      <c r="DS233" s="1" t="s">
        <v>368</v>
      </c>
      <c r="DU233" s="1" t="s">
        <v>278</v>
      </c>
      <c r="DV233" s="1" t="s">
        <v>1121</v>
      </c>
      <c r="DW233" s="1" t="s">
        <v>444</v>
      </c>
      <c r="DX233" s="1" t="s">
        <v>280</v>
      </c>
      <c r="DY233" s="1" t="s">
        <v>3846</v>
      </c>
      <c r="EA233" s="1" t="s">
        <v>447</v>
      </c>
      <c r="EC233" s="1" t="s">
        <v>237</v>
      </c>
      <c r="ED233" s="1" t="s">
        <v>407</v>
      </c>
      <c r="EE233" s="1" t="s">
        <v>1077</v>
      </c>
      <c r="EG233" s="1" t="s">
        <v>1121</v>
      </c>
      <c r="EL233" s="1" t="s">
        <v>332</v>
      </c>
      <c r="EM233" s="1" t="s">
        <v>209</v>
      </c>
      <c r="EN233" s="1" t="s">
        <v>210</v>
      </c>
      <c r="EO233" s="1" t="s">
        <v>239</v>
      </c>
      <c r="EQ233" s="1" t="s">
        <v>238</v>
      </c>
      <c r="EU233" s="1" t="s">
        <v>238</v>
      </c>
      <c r="EY233" s="1" t="s">
        <v>238</v>
      </c>
      <c r="FC233" s="1" t="s">
        <v>238</v>
      </c>
      <c r="FF233" s="1" t="s">
        <v>239</v>
      </c>
      <c r="FG233" s="1" t="s">
        <v>192</v>
      </c>
      <c r="FH233" s="1" t="s">
        <v>192</v>
      </c>
      <c r="FJ233" s="1" t="s">
        <v>3847</v>
      </c>
      <c r="FK233" s="1" t="s">
        <v>229</v>
      </c>
      <c r="FL233" s="1" t="s">
        <v>3848</v>
      </c>
      <c r="FM233" s="1">
        <v>432.0</v>
      </c>
      <c r="FN233" s="1" t="s">
        <v>3849</v>
      </c>
      <c r="FO233" s="1" t="s">
        <v>3850</v>
      </c>
      <c r="FP233" s="1">
        <v>77389.0</v>
      </c>
      <c r="FQ233" s="1" t="s">
        <v>3851</v>
      </c>
      <c r="FR233" s="1">
        <v>655.0</v>
      </c>
      <c r="FS233" s="1" t="s">
        <v>3852</v>
      </c>
      <c r="FU233" s="1" t="s">
        <v>3853</v>
      </c>
      <c r="FV233" s="1" t="s">
        <v>200</v>
      </c>
      <c r="FW233" s="1" t="s">
        <v>290</v>
      </c>
      <c r="FZ233" s="1" t="s">
        <v>229</v>
      </c>
      <c r="GA233" s="1" t="s">
        <v>291</v>
      </c>
      <c r="GB233" s="2">
        <v>42124.0</v>
      </c>
      <c r="GC233" s="1" t="s">
        <v>3854</v>
      </c>
    </row>
    <row r="234">
      <c r="A234" s="1">
        <v>258500.0</v>
      </c>
      <c r="B234" s="1" t="s">
        <v>185</v>
      </c>
      <c r="C234" s="1" t="str">
        <f>"08773932"</f>
        <v>08773932</v>
      </c>
      <c r="D234" s="1" t="s">
        <v>186</v>
      </c>
      <c r="F234" s="1" t="str">
        <f>"147"</f>
        <v>147</v>
      </c>
      <c r="G234" s="2">
        <v>41955.0</v>
      </c>
      <c r="H234" s="1">
        <v>350000.0</v>
      </c>
      <c r="I234" s="1">
        <v>83.0</v>
      </c>
      <c r="J234" s="1">
        <v>300000.0</v>
      </c>
      <c r="K234" s="2">
        <v>42037.0</v>
      </c>
      <c r="L234" s="1">
        <v>83.0</v>
      </c>
      <c r="M234" s="2">
        <v>42037.0</v>
      </c>
      <c r="N234" s="1" t="s">
        <v>187</v>
      </c>
      <c r="O234" s="2">
        <v>42069.0</v>
      </c>
      <c r="P234" s="1">
        <v>381.0</v>
      </c>
      <c r="Q234" s="1">
        <v>604.0</v>
      </c>
      <c r="S234" s="1" t="s">
        <v>3855</v>
      </c>
      <c r="T234" s="1" t="s">
        <v>3856</v>
      </c>
      <c r="U234" s="1" t="s">
        <v>464</v>
      </c>
      <c r="V234" s="1" t="s">
        <v>3856</v>
      </c>
      <c r="W234" s="1">
        <v>60147.0</v>
      </c>
      <c r="Y234" s="1" t="s">
        <v>3857</v>
      </c>
      <c r="Z234" s="1">
        <v>1984.0</v>
      </c>
      <c r="AA234" s="1" t="s">
        <v>200</v>
      </c>
      <c r="AB234" s="1" t="s">
        <v>193</v>
      </c>
      <c r="AD234" s="1" t="s">
        <v>1089</v>
      </c>
      <c r="AE234" s="1" t="s">
        <v>325</v>
      </c>
      <c r="AF234" s="1" t="s">
        <v>1479</v>
      </c>
      <c r="AH234" s="1" t="s">
        <v>3858</v>
      </c>
      <c r="AI234" s="1">
        <v>1.51</v>
      </c>
      <c r="AK234" s="1">
        <v>9.0</v>
      </c>
      <c r="AL234" s="1">
        <v>4.0</v>
      </c>
      <c r="AM234" s="1">
        <v>3.0</v>
      </c>
      <c r="AN234" s="1">
        <v>1.0</v>
      </c>
      <c r="AO234" s="1" t="s">
        <v>198</v>
      </c>
      <c r="AP234" s="1">
        <v>1.0</v>
      </c>
      <c r="AQ234" s="1" t="s">
        <v>1314</v>
      </c>
      <c r="AR234" s="1" t="s">
        <v>192</v>
      </c>
      <c r="AS234" s="1" t="s">
        <v>199</v>
      </c>
      <c r="AT234" s="1">
        <v>2.0</v>
      </c>
      <c r="AV234" s="1" t="s">
        <v>200</v>
      </c>
      <c r="AW234" s="1">
        <v>6900.82</v>
      </c>
      <c r="AX234" s="1">
        <v>2012.0</v>
      </c>
      <c r="AY234" s="1" t="s">
        <v>387</v>
      </c>
      <c r="AZ234" s="1" t="s">
        <v>200</v>
      </c>
      <c r="BA234" s="1" t="str">
        <f>"1102100026"</f>
        <v>1102100026</v>
      </c>
      <c r="BC234" s="1">
        <v>2215.0</v>
      </c>
      <c r="BD234" s="1">
        <v>258500.0</v>
      </c>
      <c r="BE234" s="2">
        <v>41955.0</v>
      </c>
      <c r="BF234" s="2" t="s">
        <v>3859</v>
      </c>
      <c r="BH234" s="1">
        <v>0.0</v>
      </c>
      <c r="BK234" s="1" t="s">
        <v>204</v>
      </c>
      <c r="BL234" s="1" t="str">
        <f t="shared" ref="BL234:BM234" si="163">""</f>
        <v/>
      </c>
      <c r="BM234" s="1" t="str">
        <f t="shared" si="163"/>
        <v/>
      </c>
      <c r="BQ234" s="1">
        <v>304.0</v>
      </c>
      <c r="BR234" s="1">
        <v>304.0</v>
      </c>
      <c r="BS234" s="1">
        <v>304.0</v>
      </c>
      <c r="BU234" s="1" t="s">
        <v>211</v>
      </c>
      <c r="BV234" s="1" t="s">
        <v>206</v>
      </c>
      <c r="BW234" s="1" t="s">
        <v>210</v>
      </c>
      <c r="BY234" s="1" t="s">
        <v>758</v>
      </c>
      <c r="BZ234" s="1" t="s">
        <v>206</v>
      </c>
      <c r="CA234" s="1" t="s">
        <v>210</v>
      </c>
      <c r="CC234" s="1" t="s">
        <v>758</v>
      </c>
      <c r="CD234" s="1" t="s">
        <v>206</v>
      </c>
      <c r="CE234" s="1" t="s">
        <v>210</v>
      </c>
      <c r="CG234" s="1" t="s">
        <v>215</v>
      </c>
      <c r="CH234" s="1" t="s">
        <v>206</v>
      </c>
      <c r="CI234" s="1" t="s">
        <v>210</v>
      </c>
      <c r="CK234" s="1" t="s">
        <v>212</v>
      </c>
      <c r="CL234" s="1" t="s">
        <v>206</v>
      </c>
      <c r="CM234" s="1" t="s">
        <v>210</v>
      </c>
      <c r="CO234" s="1" t="s">
        <v>495</v>
      </c>
      <c r="CP234" s="1" t="s">
        <v>206</v>
      </c>
      <c r="CQ234" s="1" t="s">
        <v>210</v>
      </c>
      <c r="CS234" s="1" t="s">
        <v>3539</v>
      </c>
      <c r="CT234" s="1" t="s">
        <v>206</v>
      </c>
      <c r="CU234" s="1" t="s">
        <v>617</v>
      </c>
      <c r="CW234" s="1" t="s">
        <v>854</v>
      </c>
      <c r="CX234" s="1" t="s">
        <v>206</v>
      </c>
      <c r="CY234" s="1" t="s">
        <v>210</v>
      </c>
      <c r="DA234" s="1" t="s">
        <v>200</v>
      </c>
      <c r="DC234" s="1" t="s">
        <v>395</v>
      </c>
      <c r="DD234" s="1" t="s">
        <v>518</v>
      </c>
      <c r="DE234" s="1" t="s">
        <v>273</v>
      </c>
      <c r="DF234" s="1" t="s">
        <v>619</v>
      </c>
      <c r="DH234" s="1" t="s">
        <v>856</v>
      </c>
      <c r="DI234" s="1" t="s">
        <v>959</v>
      </c>
      <c r="DJ234" s="1" t="s">
        <v>857</v>
      </c>
      <c r="DL234" s="1" t="s">
        <v>438</v>
      </c>
      <c r="DM234" s="1" t="s">
        <v>929</v>
      </c>
      <c r="DO234" s="1" t="s">
        <v>3860</v>
      </c>
      <c r="DP234" s="1" t="s">
        <v>340</v>
      </c>
      <c r="DQ234" s="1" t="s">
        <v>931</v>
      </c>
      <c r="DR234" s="1" t="s">
        <v>229</v>
      </c>
      <c r="DU234" s="1" t="s">
        <v>3861</v>
      </c>
      <c r="DV234" s="1" t="s">
        <v>763</v>
      </c>
      <c r="DW234" s="1" t="s">
        <v>279</v>
      </c>
      <c r="DX234" s="1" t="s">
        <v>234</v>
      </c>
      <c r="DY234" s="1" t="s">
        <v>3862</v>
      </c>
      <c r="DZ234" s="1" t="s">
        <v>3863</v>
      </c>
      <c r="EB234" s="1" t="s">
        <v>492</v>
      </c>
      <c r="EC234" s="1" t="s">
        <v>685</v>
      </c>
      <c r="ED234" s="1" t="s">
        <v>555</v>
      </c>
      <c r="EG234" s="1" t="s">
        <v>408</v>
      </c>
      <c r="EH234" s="1" t="s">
        <v>450</v>
      </c>
      <c r="EL234" s="1" t="s">
        <v>798</v>
      </c>
      <c r="EM234" s="1" t="s">
        <v>206</v>
      </c>
      <c r="EN234" s="1" t="s">
        <v>268</v>
      </c>
      <c r="EP234" s="1" t="s">
        <v>2181</v>
      </c>
      <c r="EQ234" s="1" t="s">
        <v>42</v>
      </c>
      <c r="ER234" s="1" t="s">
        <v>210</v>
      </c>
      <c r="EU234" s="1" t="s">
        <v>238</v>
      </c>
      <c r="EY234" s="1" t="s">
        <v>238</v>
      </c>
      <c r="FC234" s="1" t="s">
        <v>238</v>
      </c>
      <c r="FF234" s="1" t="s">
        <v>239</v>
      </c>
      <c r="FG234" s="1" t="s">
        <v>200</v>
      </c>
      <c r="FH234" s="1" t="s">
        <v>192</v>
      </c>
      <c r="FJ234" s="1" t="s">
        <v>2262</v>
      </c>
      <c r="FK234" s="1" t="s">
        <v>229</v>
      </c>
      <c r="FL234" s="1" t="s">
        <v>3864</v>
      </c>
      <c r="FM234" s="1">
        <v>662.0</v>
      </c>
      <c r="FN234" s="1" t="s">
        <v>3865</v>
      </c>
      <c r="FO234" s="1" t="s">
        <v>3866</v>
      </c>
      <c r="FP234" s="1">
        <v>8746.0</v>
      </c>
      <c r="FS234" s="1" t="s">
        <v>3867</v>
      </c>
      <c r="FU234" s="1" t="s">
        <v>3868</v>
      </c>
      <c r="FV234" s="1" t="s">
        <v>192</v>
      </c>
      <c r="FW234" s="1" t="s">
        <v>290</v>
      </c>
      <c r="FZ234" s="1" t="s">
        <v>229</v>
      </c>
      <c r="GA234" s="1" t="s">
        <v>291</v>
      </c>
      <c r="GB234" s="2">
        <v>42070.0</v>
      </c>
      <c r="GC234" s="1" t="s">
        <v>3869</v>
      </c>
    </row>
    <row r="235">
      <c r="A235" s="1">
        <v>1420000.0</v>
      </c>
      <c r="B235" s="1" t="s">
        <v>185</v>
      </c>
      <c r="C235" s="1" t="str">
        <f>"08788167"</f>
        <v>08788167</v>
      </c>
      <c r="D235" s="1" t="s">
        <v>186</v>
      </c>
      <c r="F235" s="1" t="str">
        <f>"8007"</f>
        <v>8007</v>
      </c>
      <c r="G235" s="2">
        <v>41960.0</v>
      </c>
      <c r="H235" s="1">
        <v>1500000.0</v>
      </c>
      <c r="I235" s="1">
        <v>96.0</v>
      </c>
      <c r="J235" s="1">
        <v>1450000.0</v>
      </c>
      <c r="K235" s="2">
        <v>42055.0</v>
      </c>
      <c r="L235" s="1">
        <v>96.0</v>
      </c>
      <c r="M235" s="2">
        <v>42055.0</v>
      </c>
      <c r="N235" s="1" t="s">
        <v>187</v>
      </c>
      <c r="O235" s="2">
        <v>42111.0</v>
      </c>
      <c r="P235" s="1">
        <v>104839.0</v>
      </c>
      <c r="Q235" s="1">
        <v>12198.0</v>
      </c>
      <c r="S235" s="1">
        <v>2224.0</v>
      </c>
      <c r="T235" s="1" t="s">
        <v>3870</v>
      </c>
      <c r="U235" s="1" t="s">
        <v>189</v>
      </c>
      <c r="V235" s="1" t="s">
        <v>190</v>
      </c>
      <c r="W235" s="1">
        <v>60614.0</v>
      </c>
      <c r="Y235" s="1" t="s">
        <v>3871</v>
      </c>
      <c r="Z235" s="1">
        <v>1989.0</v>
      </c>
      <c r="AA235" s="1" t="s">
        <v>200</v>
      </c>
      <c r="AB235" s="1" t="s">
        <v>193</v>
      </c>
      <c r="AD235" s="1" t="s">
        <v>194</v>
      </c>
      <c r="AE235" s="1" t="s">
        <v>195</v>
      </c>
      <c r="AF235" s="1" t="s">
        <v>2645</v>
      </c>
      <c r="AH235" s="1" t="s">
        <v>3872</v>
      </c>
      <c r="AI235" s="1">
        <v>0.0845</v>
      </c>
      <c r="AK235" s="1">
        <v>8.0</v>
      </c>
      <c r="AL235" s="1">
        <v>4.0</v>
      </c>
      <c r="AM235" s="1">
        <v>3.0</v>
      </c>
      <c r="AN235" s="1">
        <v>1.0</v>
      </c>
      <c r="AO235" s="1" t="s">
        <v>198</v>
      </c>
      <c r="AP235" s="1">
        <v>1.0</v>
      </c>
      <c r="AQ235" s="1" t="s">
        <v>229</v>
      </c>
      <c r="AR235" s="1" t="s">
        <v>200</v>
      </c>
      <c r="AS235" s="1" t="s">
        <v>199</v>
      </c>
      <c r="AT235" s="1">
        <v>2.5</v>
      </c>
      <c r="AV235" s="1" t="s">
        <v>200</v>
      </c>
      <c r="AW235" s="1">
        <v>18411.63</v>
      </c>
      <c r="AX235" s="1">
        <v>2013.0</v>
      </c>
      <c r="AY235" s="1" t="s">
        <v>387</v>
      </c>
      <c r="AZ235" s="1" t="s">
        <v>200</v>
      </c>
      <c r="BA235" s="1" t="str">
        <f>"14321100580000"</f>
        <v>14321100580000</v>
      </c>
      <c r="BC235" s="1">
        <v>3824.0</v>
      </c>
      <c r="BD235" s="1">
        <v>1420000.0</v>
      </c>
      <c r="BE235" s="2">
        <v>41960.0</v>
      </c>
      <c r="BF235" s="2" t="s">
        <v>3873</v>
      </c>
      <c r="BH235" s="1">
        <v>0.0</v>
      </c>
      <c r="BK235" s="1" t="s">
        <v>204</v>
      </c>
      <c r="BL235" s="1" t="str">
        <f>"2200"</f>
        <v>2200</v>
      </c>
      <c r="BM235" s="1" t="str">
        <f>"0"</f>
        <v>0</v>
      </c>
      <c r="BN235" s="1">
        <v>1350.0</v>
      </c>
      <c r="BO235" s="1">
        <v>0.0</v>
      </c>
      <c r="BQ235" s="1">
        <v>299.0</v>
      </c>
      <c r="BR235" s="1">
        <v>299.0</v>
      </c>
      <c r="BS235" s="1">
        <v>299.0</v>
      </c>
      <c r="BU235" s="1" t="s">
        <v>662</v>
      </c>
      <c r="BV235" s="1" t="s">
        <v>206</v>
      </c>
      <c r="BW235" s="1" t="s">
        <v>207</v>
      </c>
      <c r="BX235" s="1" t="s">
        <v>476</v>
      </c>
      <c r="BY235" s="1" t="s">
        <v>304</v>
      </c>
      <c r="BZ235" s="1" t="s">
        <v>209</v>
      </c>
      <c r="CA235" s="1" t="s">
        <v>207</v>
      </c>
      <c r="CC235" s="1" t="s">
        <v>304</v>
      </c>
      <c r="CD235" s="1" t="s">
        <v>206</v>
      </c>
      <c r="CE235" s="1" t="s">
        <v>207</v>
      </c>
      <c r="CG235" s="1" t="s">
        <v>304</v>
      </c>
      <c r="CH235" s="1" t="s">
        <v>209</v>
      </c>
      <c r="CI235" s="1" t="s">
        <v>207</v>
      </c>
      <c r="CK235" s="1" t="s">
        <v>878</v>
      </c>
      <c r="CL235" s="1" t="s">
        <v>391</v>
      </c>
      <c r="CM235" s="1" t="s">
        <v>210</v>
      </c>
      <c r="CO235" s="1" t="s">
        <v>677</v>
      </c>
      <c r="CP235" s="1" t="s">
        <v>391</v>
      </c>
      <c r="CQ235" s="1" t="s">
        <v>210</v>
      </c>
      <c r="CS235" s="1" t="s">
        <v>3508</v>
      </c>
      <c r="CT235" s="1" t="s">
        <v>206</v>
      </c>
      <c r="CU235" s="1" t="s">
        <v>207</v>
      </c>
      <c r="CW235" s="1" t="s">
        <v>662</v>
      </c>
      <c r="CX235" s="1" t="s">
        <v>206</v>
      </c>
      <c r="CY235" s="1" t="s">
        <v>207</v>
      </c>
      <c r="DA235" s="1" t="s">
        <v>200</v>
      </c>
      <c r="DC235" s="1" t="s">
        <v>435</v>
      </c>
      <c r="DD235" s="1" t="s">
        <v>3874</v>
      </c>
      <c r="DE235" s="1" t="s">
        <v>273</v>
      </c>
      <c r="DF235" s="1" t="s">
        <v>619</v>
      </c>
      <c r="DH235" s="1" t="s">
        <v>220</v>
      </c>
      <c r="DI235" s="1" t="s">
        <v>3875</v>
      </c>
      <c r="DJ235" s="1" t="s">
        <v>222</v>
      </c>
      <c r="DL235" s="1" t="s">
        <v>229</v>
      </c>
      <c r="DM235" s="1" t="s">
        <v>229</v>
      </c>
      <c r="DN235" s="1" t="s">
        <v>399</v>
      </c>
      <c r="DO235" s="1" t="s">
        <v>590</v>
      </c>
      <c r="DP235" s="1" t="s">
        <v>340</v>
      </c>
      <c r="DQ235" s="1" t="s">
        <v>794</v>
      </c>
      <c r="DR235" s="1" t="s">
        <v>229</v>
      </c>
      <c r="DV235" s="1" t="s">
        <v>232</v>
      </c>
      <c r="DW235" s="1" t="s">
        <v>3876</v>
      </c>
      <c r="DX235" s="1" t="s">
        <v>234</v>
      </c>
      <c r="DZ235" s="1" t="s">
        <v>3877</v>
      </c>
      <c r="EA235" s="1" t="s">
        <v>1027</v>
      </c>
      <c r="EC235" s="1" t="s">
        <v>406</v>
      </c>
      <c r="ED235" s="1" t="s">
        <v>555</v>
      </c>
      <c r="EM235" s="1" t="s">
        <v>238</v>
      </c>
      <c r="EQ235" s="1" t="s">
        <v>238</v>
      </c>
      <c r="EU235" s="1" t="s">
        <v>238</v>
      </c>
      <c r="EY235" s="1" t="s">
        <v>238</v>
      </c>
      <c r="FC235" s="1" t="s">
        <v>238</v>
      </c>
      <c r="FF235" s="1" t="s">
        <v>239</v>
      </c>
      <c r="FG235" s="1" t="s">
        <v>192</v>
      </c>
      <c r="FH235" s="1" t="s">
        <v>192</v>
      </c>
      <c r="FJ235" s="1" t="s">
        <v>3878</v>
      </c>
      <c r="FK235" s="1" t="s">
        <v>229</v>
      </c>
      <c r="FL235" s="1" t="s">
        <v>3879</v>
      </c>
      <c r="FM235" s="1">
        <v>16973.0</v>
      </c>
      <c r="FN235" s="1" t="s">
        <v>3880</v>
      </c>
      <c r="FO235" s="1" t="s">
        <v>3881</v>
      </c>
      <c r="FP235" s="1">
        <v>154142.0</v>
      </c>
      <c r="FQ235" s="1" t="s">
        <v>3880</v>
      </c>
      <c r="FU235" s="1" t="s">
        <v>3882</v>
      </c>
      <c r="FV235" s="1" t="s">
        <v>200</v>
      </c>
      <c r="FW235" s="1" t="s">
        <v>290</v>
      </c>
      <c r="FX235" s="1" t="s">
        <v>238</v>
      </c>
      <c r="FZ235" s="1" t="s">
        <v>229</v>
      </c>
      <c r="GA235" s="1" t="s">
        <v>291</v>
      </c>
      <c r="GB235" s="2">
        <v>42112.0</v>
      </c>
      <c r="GC235" s="1" t="s">
        <v>3883</v>
      </c>
    </row>
    <row r="236">
      <c r="A236" s="1">
        <v>208500.0</v>
      </c>
      <c r="B236" s="1" t="s">
        <v>185</v>
      </c>
      <c r="C236" s="1" t="str">
        <f>"08767567"</f>
        <v>08767567</v>
      </c>
      <c r="D236" s="1" t="s">
        <v>186</v>
      </c>
      <c r="F236" s="1" t="str">
        <f>"115"</f>
        <v>115</v>
      </c>
      <c r="G236" s="2">
        <v>41946.0</v>
      </c>
      <c r="H236" s="1">
        <v>211900.0</v>
      </c>
      <c r="I236" s="1">
        <v>162.0</v>
      </c>
      <c r="J236" s="1">
        <v>211900.0</v>
      </c>
      <c r="K236" s="2">
        <v>41997.0</v>
      </c>
      <c r="L236" s="1">
        <v>52.0</v>
      </c>
      <c r="M236" s="2">
        <v>41997.0</v>
      </c>
      <c r="N236" s="1" t="s">
        <v>187</v>
      </c>
      <c r="O236" s="2">
        <v>42046.0</v>
      </c>
      <c r="P236" s="1">
        <v>237408.0</v>
      </c>
      <c r="Q236" s="1">
        <v>24809.0</v>
      </c>
      <c r="S236" s="1">
        <v>6.0</v>
      </c>
      <c r="T236" s="1" t="s">
        <v>3884</v>
      </c>
      <c r="U236" s="1" t="s">
        <v>420</v>
      </c>
      <c r="V236" s="1" t="s">
        <v>610</v>
      </c>
      <c r="W236" s="1">
        <v>60115.0</v>
      </c>
      <c r="Y236" s="1" t="s">
        <v>3885</v>
      </c>
      <c r="Z236" s="1">
        <v>1979.0</v>
      </c>
      <c r="AA236" s="1" t="s">
        <v>200</v>
      </c>
      <c r="AB236" s="1" t="s">
        <v>193</v>
      </c>
      <c r="AD236" s="1" t="s">
        <v>612</v>
      </c>
      <c r="AE236" s="1" t="s">
        <v>613</v>
      </c>
      <c r="AF236" s="1" t="s">
        <v>612</v>
      </c>
      <c r="AH236" s="1" t="s">
        <v>3886</v>
      </c>
      <c r="AI236" s="1">
        <v>0.31</v>
      </c>
      <c r="AK236" s="1">
        <v>10.0</v>
      </c>
      <c r="AL236" s="1">
        <v>4.0</v>
      </c>
      <c r="AM236" s="1">
        <v>3.0</v>
      </c>
      <c r="AN236" s="1">
        <v>1.0</v>
      </c>
      <c r="AO236" s="1" t="s">
        <v>198</v>
      </c>
      <c r="AP236" s="1">
        <v>2.0</v>
      </c>
      <c r="AQ236" s="1" t="s">
        <v>327</v>
      </c>
      <c r="AR236" s="1" t="s">
        <v>192</v>
      </c>
      <c r="AS236" s="1" t="s">
        <v>510</v>
      </c>
      <c r="AT236" s="1">
        <v>2.5</v>
      </c>
      <c r="AU236" s="1">
        <v>4.0</v>
      </c>
      <c r="AV236" s="1" t="s">
        <v>200</v>
      </c>
      <c r="AW236" s="1">
        <v>8241.08</v>
      </c>
      <c r="AX236" s="1">
        <v>2013.0</v>
      </c>
      <c r="AY236" s="1" t="s">
        <v>1179</v>
      </c>
      <c r="AZ236" s="1" t="s">
        <v>200</v>
      </c>
      <c r="BA236" s="1" t="str">
        <f>"0811402006"</f>
        <v>0811402006</v>
      </c>
      <c r="BC236" s="1">
        <v>3200.0</v>
      </c>
      <c r="BD236" s="1">
        <v>208500.0</v>
      </c>
      <c r="BE236" s="2">
        <v>41946.0</v>
      </c>
      <c r="BF236" s="2" t="s">
        <v>3887</v>
      </c>
      <c r="BH236" s="1">
        <v>0.0</v>
      </c>
      <c r="BK236" s="1" t="s">
        <v>204</v>
      </c>
      <c r="BL236" s="1" t="str">
        <f t="shared" ref="BL236:BM236" si="164">""</f>
        <v/>
      </c>
      <c r="BM236" s="1" t="str">
        <f t="shared" si="164"/>
        <v/>
      </c>
      <c r="BQ236" s="1">
        <v>428.0</v>
      </c>
      <c r="BR236" s="1">
        <v>428.0</v>
      </c>
      <c r="BS236" s="1">
        <v>428.0</v>
      </c>
      <c r="BU236" s="1" t="s">
        <v>496</v>
      </c>
      <c r="BV236" s="1" t="s">
        <v>206</v>
      </c>
      <c r="BW236" s="1" t="s">
        <v>210</v>
      </c>
      <c r="BY236" s="1" t="s">
        <v>584</v>
      </c>
      <c r="BZ236" s="1" t="s">
        <v>206</v>
      </c>
      <c r="CA236" s="1" t="s">
        <v>210</v>
      </c>
      <c r="CC236" s="1" t="s">
        <v>363</v>
      </c>
      <c r="CD236" s="1" t="s">
        <v>206</v>
      </c>
      <c r="CE236" s="1" t="s">
        <v>210</v>
      </c>
      <c r="CG236" s="1" t="s">
        <v>2082</v>
      </c>
      <c r="CH236" s="1" t="s">
        <v>206</v>
      </c>
      <c r="CI236" s="1" t="s">
        <v>210</v>
      </c>
      <c r="CK236" s="1" t="s">
        <v>302</v>
      </c>
      <c r="CL236" s="1" t="s">
        <v>206</v>
      </c>
      <c r="CM236" s="1" t="s">
        <v>210</v>
      </c>
      <c r="CO236" s="1" t="s">
        <v>662</v>
      </c>
      <c r="CP236" s="1" t="s">
        <v>267</v>
      </c>
      <c r="CQ236" s="1" t="s">
        <v>210</v>
      </c>
      <c r="CS236" s="1" t="s">
        <v>3888</v>
      </c>
      <c r="CT236" s="1" t="s">
        <v>206</v>
      </c>
      <c r="CU236" s="1" t="s">
        <v>268</v>
      </c>
      <c r="CW236" s="1" t="s">
        <v>1063</v>
      </c>
      <c r="CX236" s="1" t="s">
        <v>206</v>
      </c>
      <c r="CY236" s="1" t="s">
        <v>210</v>
      </c>
      <c r="DA236" s="1" t="s">
        <v>200</v>
      </c>
      <c r="DC236" s="1" t="s">
        <v>395</v>
      </c>
      <c r="DD236" s="1" t="s">
        <v>518</v>
      </c>
      <c r="DE236" s="1" t="s">
        <v>218</v>
      </c>
      <c r="DF236" s="1" t="s">
        <v>219</v>
      </c>
      <c r="DG236" s="1" t="s">
        <v>337</v>
      </c>
      <c r="DH236" s="1" t="s">
        <v>220</v>
      </c>
      <c r="DI236" s="1" t="s">
        <v>732</v>
      </c>
      <c r="DJ236" s="1" t="s">
        <v>222</v>
      </c>
      <c r="DL236" s="1" t="s">
        <v>224</v>
      </c>
      <c r="DM236" s="1" t="s">
        <v>229</v>
      </c>
      <c r="DO236" s="1" t="s">
        <v>3889</v>
      </c>
      <c r="DP236" s="1" t="s">
        <v>340</v>
      </c>
      <c r="DQ236" s="1" t="s">
        <v>441</v>
      </c>
      <c r="DR236" s="1" t="s">
        <v>229</v>
      </c>
      <c r="DS236" s="1" t="s">
        <v>230</v>
      </c>
      <c r="DU236" s="1" t="s">
        <v>3890</v>
      </c>
      <c r="DV236" s="1" t="s">
        <v>3891</v>
      </c>
      <c r="DW236" s="1" t="s">
        <v>279</v>
      </c>
      <c r="DX236" s="1" t="s">
        <v>234</v>
      </c>
      <c r="DY236" s="1" t="s">
        <v>1189</v>
      </c>
      <c r="DZ236" s="1" t="s">
        <v>310</v>
      </c>
      <c r="EA236" s="1" t="s">
        <v>683</v>
      </c>
      <c r="EB236" s="1" t="s">
        <v>345</v>
      </c>
      <c r="EC236" s="1" t="s">
        <v>685</v>
      </c>
      <c r="ED236" s="1" t="s">
        <v>407</v>
      </c>
      <c r="EF236" s="1" t="s">
        <v>523</v>
      </c>
      <c r="EG236" s="1" t="s">
        <v>1164</v>
      </c>
      <c r="EH236" s="1" t="s">
        <v>450</v>
      </c>
      <c r="EI236" s="1" t="s">
        <v>408</v>
      </c>
      <c r="EL236" s="1" t="s">
        <v>3892</v>
      </c>
      <c r="EM236" s="1" t="s">
        <v>267</v>
      </c>
      <c r="EN236" s="1" t="s">
        <v>210</v>
      </c>
      <c r="EP236" s="1" t="s">
        <v>3893</v>
      </c>
      <c r="EQ236" s="1" t="s">
        <v>267</v>
      </c>
      <c r="ET236" s="1" t="s">
        <v>3894</v>
      </c>
      <c r="EU236" s="1" t="s">
        <v>206</v>
      </c>
      <c r="EV236" s="1" t="s">
        <v>1790</v>
      </c>
      <c r="EY236" s="1" t="s">
        <v>238</v>
      </c>
      <c r="FC236" s="1" t="s">
        <v>238</v>
      </c>
      <c r="FF236" s="1" t="s">
        <v>239</v>
      </c>
      <c r="FG236" s="1" t="s">
        <v>192</v>
      </c>
      <c r="FH236" s="1" t="s">
        <v>192</v>
      </c>
      <c r="FJ236" s="1" t="s">
        <v>624</v>
      </c>
      <c r="FK236" s="1" t="s">
        <v>348</v>
      </c>
      <c r="FL236" s="1" t="s">
        <v>2926</v>
      </c>
      <c r="FM236" s="1">
        <v>24809.0</v>
      </c>
      <c r="FN236" s="1" t="s">
        <v>2927</v>
      </c>
      <c r="FO236" s="1" t="s">
        <v>3895</v>
      </c>
      <c r="FP236" s="1">
        <v>237420.0</v>
      </c>
      <c r="FQ236" s="1" t="s">
        <v>3896</v>
      </c>
      <c r="FS236" s="1" t="s">
        <v>3897</v>
      </c>
      <c r="FU236" s="1" t="s">
        <v>1438</v>
      </c>
      <c r="FV236" s="1" t="s">
        <v>200</v>
      </c>
      <c r="FW236" s="1" t="s">
        <v>290</v>
      </c>
      <c r="FZ236" s="1" t="s">
        <v>229</v>
      </c>
      <c r="GA236" s="1" t="s">
        <v>291</v>
      </c>
      <c r="GB236" s="2">
        <v>42046.0</v>
      </c>
      <c r="GC236" s="1" t="s">
        <v>3898</v>
      </c>
    </row>
    <row r="237">
      <c r="A237" s="1">
        <v>395000.0</v>
      </c>
      <c r="B237" s="1" t="s">
        <v>185</v>
      </c>
      <c r="C237" s="1" t="str">
        <f>"08767682"</f>
        <v>08767682</v>
      </c>
      <c r="D237" s="1" t="s">
        <v>186</v>
      </c>
      <c r="F237" s="1" t="str">
        <f>"8010"</f>
        <v>8010</v>
      </c>
      <c r="G237" s="2">
        <v>41946.0</v>
      </c>
      <c r="H237" s="1">
        <v>399990.0</v>
      </c>
      <c r="I237" s="1">
        <v>80.0</v>
      </c>
      <c r="J237" s="1">
        <v>399990.0</v>
      </c>
      <c r="K237" s="2">
        <v>41989.0</v>
      </c>
      <c r="L237" s="1">
        <v>44.0</v>
      </c>
      <c r="M237" s="2">
        <v>41989.0</v>
      </c>
      <c r="N237" s="1" t="s">
        <v>187</v>
      </c>
      <c r="O237" s="2">
        <v>42031.0</v>
      </c>
      <c r="P237" s="1">
        <v>123069.0</v>
      </c>
      <c r="Q237" s="1">
        <v>84025.0</v>
      </c>
      <c r="S237" s="1">
        <v>5929.0</v>
      </c>
      <c r="T237" s="1" t="s">
        <v>3899</v>
      </c>
      <c r="U237" s="1" t="s">
        <v>189</v>
      </c>
      <c r="V237" s="1" t="s">
        <v>190</v>
      </c>
      <c r="W237" s="1">
        <v>60646.0</v>
      </c>
      <c r="Y237" s="1" t="s">
        <v>3900</v>
      </c>
      <c r="Z237" s="1">
        <v>1949.0</v>
      </c>
      <c r="AA237" s="1" t="s">
        <v>192</v>
      </c>
      <c r="AB237" s="1" t="s">
        <v>193</v>
      </c>
      <c r="AC237" s="1" t="s">
        <v>3901</v>
      </c>
      <c r="AD237" s="1" t="s">
        <v>194</v>
      </c>
      <c r="AE237" s="1" t="s">
        <v>195</v>
      </c>
      <c r="AF237" s="1" t="s">
        <v>196</v>
      </c>
      <c r="AH237" s="1" t="s">
        <v>3902</v>
      </c>
      <c r="AK237" s="1">
        <v>8.0</v>
      </c>
      <c r="AL237" s="1">
        <v>3.0</v>
      </c>
      <c r="AM237" s="1">
        <v>3.0</v>
      </c>
      <c r="AN237" s="1">
        <v>0.0</v>
      </c>
      <c r="AO237" s="1" t="s">
        <v>3903</v>
      </c>
      <c r="AP237" s="1">
        <v>1.0</v>
      </c>
      <c r="AQ237" s="1" t="s">
        <v>198</v>
      </c>
      <c r="AR237" s="1" t="s">
        <v>192</v>
      </c>
      <c r="AS237" s="1" t="s">
        <v>199</v>
      </c>
      <c r="AT237" s="1">
        <v>2.5</v>
      </c>
      <c r="AV237" s="1" t="s">
        <v>200</v>
      </c>
      <c r="AW237" s="1">
        <v>3853.0</v>
      </c>
      <c r="AX237" s="1">
        <v>2013.0</v>
      </c>
      <c r="AY237" s="1" t="s">
        <v>387</v>
      </c>
      <c r="AZ237" s="1" t="s">
        <v>200</v>
      </c>
      <c r="BA237" s="1" t="str">
        <f>"13053140170000"</f>
        <v>13053140170000</v>
      </c>
      <c r="BB237" s="1" t="s">
        <v>200</v>
      </c>
      <c r="BC237" s="1">
        <v>1299.0</v>
      </c>
      <c r="BD237" s="1">
        <v>395000.0</v>
      </c>
      <c r="BE237" s="2">
        <v>41946.0</v>
      </c>
      <c r="BF237" s="2" t="s">
        <v>3904</v>
      </c>
      <c r="BH237" s="1">
        <v>0.0</v>
      </c>
      <c r="BK237" s="1" t="s">
        <v>204</v>
      </c>
      <c r="BL237" s="1" t="str">
        <f>"5929"</f>
        <v>5929</v>
      </c>
      <c r="BM237" s="1" t="str">
        <f>"0"</f>
        <v>0</v>
      </c>
      <c r="BN237" s="1">
        <v>6100.0</v>
      </c>
      <c r="BO237" s="1">
        <v>0.0</v>
      </c>
      <c r="BQ237" s="1">
        <v>299.0</v>
      </c>
      <c r="BR237" s="1">
        <v>299.0</v>
      </c>
      <c r="BS237" s="1">
        <v>299.0</v>
      </c>
      <c r="BU237" s="1" t="s">
        <v>769</v>
      </c>
      <c r="BV237" s="1" t="s">
        <v>206</v>
      </c>
      <c r="BW237" s="1" t="s">
        <v>207</v>
      </c>
      <c r="BY237" s="1" t="s">
        <v>3905</v>
      </c>
      <c r="BZ237" s="1" t="s">
        <v>209</v>
      </c>
      <c r="CA237" s="1" t="s">
        <v>207</v>
      </c>
      <c r="CC237" s="1" t="s">
        <v>769</v>
      </c>
      <c r="CD237" s="1" t="s">
        <v>206</v>
      </c>
      <c r="CE237" s="1" t="s">
        <v>207</v>
      </c>
      <c r="CG237" s="1" t="s">
        <v>215</v>
      </c>
      <c r="CH237" s="1" t="s">
        <v>209</v>
      </c>
      <c r="CI237" s="1" t="s">
        <v>210</v>
      </c>
      <c r="CK237" s="1" t="s">
        <v>361</v>
      </c>
      <c r="CL237" s="1" t="s">
        <v>206</v>
      </c>
      <c r="CM237" s="1" t="s">
        <v>207</v>
      </c>
      <c r="CO237" s="1" t="s">
        <v>729</v>
      </c>
      <c r="CP237" s="1" t="s">
        <v>42</v>
      </c>
      <c r="CQ237" s="1" t="s">
        <v>210</v>
      </c>
      <c r="CS237" s="1" t="s">
        <v>1206</v>
      </c>
      <c r="CT237" s="1" t="s">
        <v>206</v>
      </c>
      <c r="CU237" s="1" t="s">
        <v>207</v>
      </c>
      <c r="CW237" s="1" t="s">
        <v>3906</v>
      </c>
      <c r="CX237" s="1" t="s">
        <v>42</v>
      </c>
      <c r="CY237" s="1" t="s">
        <v>210</v>
      </c>
      <c r="DA237" s="1" t="s">
        <v>200</v>
      </c>
      <c r="DC237" s="1" t="s">
        <v>702</v>
      </c>
      <c r="DD237" s="1" t="s">
        <v>518</v>
      </c>
      <c r="DE237" s="1" t="s">
        <v>3907</v>
      </c>
      <c r="DF237" s="1" t="s">
        <v>219</v>
      </c>
      <c r="DG237" s="1" t="s">
        <v>1002</v>
      </c>
      <c r="DH237" s="1" t="s">
        <v>220</v>
      </c>
      <c r="DI237" s="1" t="s">
        <v>3770</v>
      </c>
      <c r="DJ237" s="1" t="s">
        <v>222</v>
      </c>
      <c r="DK237" s="1" t="s">
        <v>224</v>
      </c>
      <c r="DL237" s="1" t="s">
        <v>224</v>
      </c>
      <c r="DM237" s="1" t="s">
        <v>229</v>
      </c>
      <c r="DN237" s="1" t="s">
        <v>666</v>
      </c>
      <c r="DO237" s="1" t="s">
        <v>549</v>
      </c>
      <c r="DP237" s="1" t="s">
        <v>340</v>
      </c>
      <c r="DQ237" s="1" t="s">
        <v>228</v>
      </c>
      <c r="DR237" s="1" t="s">
        <v>229</v>
      </c>
      <c r="DS237" s="1" t="s">
        <v>591</v>
      </c>
      <c r="DV237" s="1" t="s">
        <v>232</v>
      </c>
      <c r="DW237" s="1" t="s">
        <v>279</v>
      </c>
      <c r="DX237" s="1" t="s">
        <v>234</v>
      </c>
      <c r="DY237" s="1" t="s">
        <v>371</v>
      </c>
      <c r="DZ237" s="1" t="s">
        <v>3232</v>
      </c>
      <c r="EA237" s="1" t="s">
        <v>257</v>
      </c>
      <c r="EB237" s="1" t="s">
        <v>345</v>
      </c>
      <c r="EC237" s="1" t="s">
        <v>645</v>
      </c>
      <c r="ED237" s="1" t="s">
        <v>555</v>
      </c>
      <c r="EE237" s="1" t="s">
        <v>187</v>
      </c>
      <c r="EM237" s="1" t="s">
        <v>238</v>
      </c>
      <c r="EQ237" s="1" t="s">
        <v>238</v>
      </c>
      <c r="EU237" s="1" t="s">
        <v>238</v>
      </c>
      <c r="EY237" s="1" t="s">
        <v>238</v>
      </c>
      <c r="FC237" s="1" t="s">
        <v>238</v>
      </c>
      <c r="FF237" s="1" t="s">
        <v>239</v>
      </c>
      <c r="FG237" s="1" t="s">
        <v>192</v>
      </c>
      <c r="FH237" s="1" t="s">
        <v>192</v>
      </c>
      <c r="FJ237" s="1" t="s">
        <v>561</v>
      </c>
      <c r="FK237" s="1" t="s">
        <v>229</v>
      </c>
      <c r="FL237" s="1" t="s">
        <v>1124</v>
      </c>
      <c r="FM237" s="1">
        <v>10267.0</v>
      </c>
      <c r="FN237" s="1" t="s">
        <v>3908</v>
      </c>
      <c r="FO237" s="1" t="s">
        <v>3909</v>
      </c>
      <c r="FP237" s="1">
        <v>165109.0</v>
      </c>
      <c r="FQ237" s="1" t="s">
        <v>3910</v>
      </c>
      <c r="FS237" s="1" t="s">
        <v>3911</v>
      </c>
      <c r="FU237" s="1" t="s">
        <v>3912</v>
      </c>
      <c r="FV237" s="1" t="s">
        <v>200</v>
      </c>
      <c r="FW237" s="1" t="s">
        <v>567</v>
      </c>
      <c r="FX237" s="1" t="s">
        <v>238</v>
      </c>
      <c r="FZ237" s="1" t="s">
        <v>229</v>
      </c>
      <c r="GA237" s="1" t="s">
        <v>291</v>
      </c>
      <c r="GB237" s="2">
        <v>42048.0</v>
      </c>
      <c r="GC237" s="1" t="s">
        <v>3913</v>
      </c>
    </row>
    <row r="238">
      <c r="A238" s="1">
        <v>180000.0</v>
      </c>
      <c r="B238" s="1" t="s">
        <v>185</v>
      </c>
      <c r="C238" s="1" t="str">
        <f>"08771173"</f>
        <v>08771173</v>
      </c>
      <c r="D238" s="1" t="s">
        <v>186</v>
      </c>
      <c r="F238" s="1" t="str">
        <f>"8070"</f>
        <v>8070</v>
      </c>
      <c r="G238" s="2">
        <v>41950.0</v>
      </c>
      <c r="H238" s="1">
        <v>182900.0</v>
      </c>
      <c r="I238" s="1">
        <v>60.0</v>
      </c>
      <c r="J238" s="1">
        <v>182600.0</v>
      </c>
      <c r="K238" s="2">
        <v>42009.0</v>
      </c>
      <c r="L238" s="1">
        <v>60.0</v>
      </c>
      <c r="M238" s="2">
        <v>42009.0</v>
      </c>
      <c r="N238" s="1" t="s">
        <v>356</v>
      </c>
      <c r="O238" s="2">
        <v>42048.0</v>
      </c>
      <c r="P238" s="1">
        <v>244050.0</v>
      </c>
      <c r="Q238" s="1">
        <v>85408.0</v>
      </c>
      <c r="R238" s="1">
        <v>5400.0</v>
      </c>
      <c r="S238" s="1">
        <v>8017.0</v>
      </c>
      <c r="T238" s="1" t="s">
        <v>3914</v>
      </c>
      <c r="U238" s="1" t="s">
        <v>189</v>
      </c>
      <c r="V238" s="1" t="s">
        <v>190</v>
      </c>
      <c r="W238" s="1">
        <v>60652.0</v>
      </c>
      <c r="Y238" s="1" t="s">
        <v>3915</v>
      </c>
      <c r="Z238" s="1">
        <v>1947.0</v>
      </c>
      <c r="AA238" s="1" t="s">
        <v>192</v>
      </c>
      <c r="AB238" s="1" t="s">
        <v>193</v>
      </c>
      <c r="AD238" s="1" t="s">
        <v>194</v>
      </c>
      <c r="AE238" s="1" t="s">
        <v>195</v>
      </c>
      <c r="AF238" s="1" t="s">
        <v>659</v>
      </c>
      <c r="AH238" s="1" t="s">
        <v>779</v>
      </c>
      <c r="AK238" s="1">
        <v>8.0</v>
      </c>
      <c r="AL238" s="1">
        <v>2.0</v>
      </c>
      <c r="AM238" s="1">
        <v>2.0</v>
      </c>
      <c r="AN238" s="1">
        <v>0.0</v>
      </c>
      <c r="AO238" s="1" t="s">
        <v>198</v>
      </c>
      <c r="AQ238" s="1" t="s">
        <v>198</v>
      </c>
      <c r="AR238" s="1" t="s">
        <v>192</v>
      </c>
      <c r="AS238" s="1" t="s">
        <v>199</v>
      </c>
      <c r="AT238" s="1">
        <v>2.0</v>
      </c>
      <c r="AV238" s="1" t="s">
        <v>200</v>
      </c>
      <c r="AW238" s="1">
        <v>1279.73</v>
      </c>
      <c r="AX238" s="1">
        <v>2013.0</v>
      </c>
      <c r="AZ238" s="1" t="s">
        <v>200</v>
      </c>
      <c r="BA238" s="1" t="str">
        <f>"19362150060000"</f>
        <v>19362150060000</v>
      </c>
      <c r="BC238" s="1">
        <v>1650.0</v>
      </c>
      <c r="BD238" s="1">
        <v>180000.0</v>
      </c>
      <c r="BE238" s="2">
        <v>41950.0</v>
      </c>
      <c r="BF238" s="2" t="s">
        <v>3916</v>
      </c>
      <c r="BH238" s="1">
        <v>0.0</v>
      </c>
      <c r="BK238" s="1" t="s">
        <v>204</v>
      </c>
      <c r="BL238" s="1" t="str">
        <f t="shared" ref="BL238:BM238" si="165">"0"</f>
        <v>0</v>
      </c>
      <c r="BM238" s="1" t="str">
        <f t="shared" si="165"/>
        <v>0</v>
      </c>
      <c r="BN238" s="1">
        <v>2500.0</v>
      </c>
      <c r="BO238" s="1">
        <v>8017.0</v>
      </c>
      <c r="BQ238" s="1">
        <v>299.0</v>
      </c>
      <c r="BR238" s="1">
        <v>299.0</v>
      </c>
      <c r="BS238" s="1">
        <v>299.0</v>
      </c>
      <c r="BU238" s="1" t="s">
        <v>1117</v>
      </c>
      <c r="BV238" s="1" t="s">
        <v>206</v>
      </c>
      <c r="BW238" s="1" t="s">
        <v>207</v>
      </c>
      <c r="BX238" s="1" t="s">
        <v>239</v>
      </c>
      <c r="BY238" s="1" t="s">
        <v>454</v>
      </c>
      <c r="BZ238" s="1" t="s">
        <v>206</v>
      </c>
      <c r="CA238" s="1" t="s">
        <v>207</v>
      </c>
      <c r="CB238" s="1" t="s">
        <v>239</v>
      </c>
      <c r="CC238" s="1" t="s">
        <v>433</v>
      </c>
      <c r="CD238" s="1" t="s">
        <v>206</v>
      </c>
      <c r="CE238" s="1" t="s">
        <v>207</v>
      </c>
      <c r="CF238" s="1" t="s">
        <v>239</v>
      </c>
      <c r="CG238" s="1" t="s">
        <v>215</v>
      </c>
      <c r="CH238" s="1" t="s">
        <v>206</v>
      </c>
      <c r="CI238" s="1" t="s">
        <v>207</v>
      </c>
      <c r="CJ238" s="1" t="s">
        <v>239</v>
      </c>
      <c r="CK238" s="1" t="s">
        <v>215</v>
      </c>
      <c r="CL238" s="1" t="s">
        <v>42</v>
      </c>
      <c r="CM238" s="1" t="s">
        <v>268</v>
      </c>
      <c r="CN238" s="1" t="s">
        <v>239</v>
      </c>
      <c r="CO238" s="1" t="s">
        <v>215</v>
      </c>
      <c r="CP238" s="1" t="s">
        <v>42</v>
      </c>
      <c r="CQ238" s="1" t="s">
        <v>268</v>
      </c>
      <c r="CR238" s="1" t="s">
        <v>239</v>
      </c>
      <c r="CS238" s="1" t="s">
        <v>433</v>
      </c>
      <c r="CT238" s="1" t="s">
        <v>206</v>
      </c>
      <c r="CU238" s="1" t="s">
        <v>207</v>
      </c>
      <c r="CV238" s="1" t="s">
        <v>239</v>
      </c>
      <c r="CW238" s="1" t="s">
        <v>346</v>
      </c>
      <c r="CX238" s="1" t="s">
        <v>42</v>
      </c>
      <c r="CY238" s="1" t="s">
        <v>268</v>
      </c>
      <c r="CZ238" s="1" t="s">
        <v>239</v>
      </c>
      <c r="DA238" s="1" t="s">
        <v>200</v>
      </c>
      <c r="DC238" s="1" t="s">
        <v>702</v>
      </c>
      <c r="DE238" s="1" t="s">
        <v>273</v>
      </c>
      <c r="DF238" s="1" t="s">
        <v>219</v>
      </c>
      <c r="DH238" s="1" t="s">
        <v>220</v>
      </c>
      <c r="DJ238" s="1" t="s">
        <v>222</v>
      </c>
      <c r="DL238" s="1" t="s">
        <v>224</v>
      </c>
      <c r="DM238" s="1" t="s">
        <v>229</v>
      </c>
      <c r="DQ238" s="1" t="s">
        <v>228</v>
      </c>
      <c r="DR238" s="1" t="s">
        <v>229</v>
      </c>
      <c r="DV238" s="1" t="s">
        <v>232</v>
      </c>
      <c r="DW238" s="1" t="s">
        <v>279</v>
      </c>
      <c r="DX238" s="1" t="s">
        <v>234</v>
      </c>
      <c r="EC238" s="1" t="s">
        <v>685</v>
      </c>
      <c r="EM238" s="1" t="s">
        <v>238</v>
      </c>
      <c r="EQ238" s="1" t="s">
        <v>238</v>
      </c>
      <c r="EU238" s="1" t="s">
        <v>238</v>
      </c>
      <c r="EY238" s="1" t="s">
        <v>238</v>
      </c>
      <c r="FC238" s="1" t="s">
        <v>238</v>
      </c>
      <c r="FF238" s="1" t="s">
        <v>239</v>
      </c>
      <c r="FG238" s="1" t="s">
        <v>192</v>
      </c>
      <c r="FH238" s="1" t="s">
        <v>192</v>
      </c>
      <c r="FJ238" s="1" t="s">
        <v>3917</v>
      </c>
      <c r="FK238" s="1" t="s">
        <v>229</v>
      </c>
      <c r="FL238" s="1" t="s">
        <v>3918</v>
      </c>
      <c r="FM238" s="1">
        <v>18202.0</v>
      </c>
      <c r="FN238" s="1" t="s">
        <v>3919</v>
      </c>
      <c r="FO238" s="1" t="s">
        <v>3920</v>
      </c>
      <c r="FP238" s="1">
        <v>104896.0</v>
      </c>
      <c r="FQ238" s="1" t="s">
        <v>3919</v>
      </c>
      <c r="FU238" s="1" t="s">
        <v>3921</v>
      </c>
      <c r="FV238" s="1" t="s">
        <v>200</v>
      </c>
      <c r="FW238" s="1" t="s">
        <v>567</v>
      </c>
      <c r="FX238" s="1" t="s">
        <v>655</v>
      </c>
      <c r="FZ238" s="1" t="s">
        <v>229</v>
      </c>
      <c r="GA238" s="1" t="s">
        <v>291</v>
      </c>
      <c r="GB238" s="2">
        <v>42048.0</v>
      </c>
    </row>
    <row r="239">
      <c r="A239" s="1">
        <v>297000.0</v>
      </c>
      <c r="B239" s="1" t="s">
        <v>185</v>
      </c>
      <c r="C239" s="1" t="str">
        <f>"08769608"</f>
        <v>08769608</v>
      </c>
      <c r="D239" s="1" t="s">
        <v>186</v>
      </c>
      <c r="F239" s="1" t="str">
        <f>"174"</f>
        <v>174</v>
      </c>
      <c r="G239" s="2">
        <v>41948.0</v>
      </c>
      <c r="H239" s="1">
        <v>334000.0</v>
      </c>
      <c r="I239" s="1">
        <v>212.0</v>
      </c>
      <c r="J239" s="1">
        <v>294000.0</v>
      </c>
      <c r="K239" s="2">
        <v>42023.0</v>
      </c>
      <c r="L239" s="1">
        <v>76.0</v>
      </c>
      <c r="M239" s="2">
        <v>42023.0</v>
      </c>
      <c r="N239" s="1" t="s">
        <v>356</v>
      </c>
      <c r="O239" s="2">
        <v>42062.0</v>
      </c>
      <c r="P239" s="1">
        <v>57.0</v>
      </c>
      <c r="Q239" s="1">
        <v>352.0</v>
      </c>
      <c r="R239" s="1">
        <v>8910.0</v>
      </c>
      <c r="S239" s="1" t="s">
        <v>3922</v>
      </c>
      <c r="T239" s="1" t="s">
        <v>3923</v>
      </c>
      <c r="U239" s="1" t="s">
        <v>569</v>
      </c>
      <c r="V239" s="1" t="s">
        <v>1200</v>
      </c>
      <c r="W239" s="1">
        <v>60175.0</v>
      </c>
      <c r="Y239" s="1" t="s">
        <v>3924</v>
      </c>
      <c r="Z239" s="1">
        <v>2001.0</v>
      </c>
      <c r="AA239" s="1" t="s">
        <v>200</v>
      </c>
      <c r="AB239" s="1" t="s">
        <v>467</v>
      </c>
      <c r="AC239" s="1" t="s">
        <v>3925</v>
      </c>
      <c r="AD239" s="1" t="s">
        <v>3766</v>
      </c>
      <c r="AE239" s="1" t="s">
        <v>325</v>
      </c>
      <c r="AF239" s="1" t="s">
        <v>1632</v>
      </c>
      <c r="AH239" s="1" t="s">
        <v>3926</v>
      </c>
      <c r="AI239" s="1">
        <v>0.27</v>
      </c>
      <c r="AK239" s="1">
        <v>10.0</v>
      </c>
      <c r="AL239" s="1">
        <v>4.0</v>
      </c>
      <c r="AM239" s="1">
        <v>2.0</v>
      </c>
      <c r="AN239" s="1">
        <v>1.0</v>
      </c>
      <c r="AO239" s="1" t="s">
        <v>198</v>
      </c>
      <c r="AQ239" s="1" t="s">
        <v>1314</v>
      </c>
      <c r="AR239" s="1" t="s">
        <v>200</v>
      </c>
      <c r="AS239" s="1" t="s">
        <v>199</v>
      </c>
      <c r="AT239" s="1">
        <v>2.0</v>
      </c>
      <c r="AV239" s="1" t="s">
        <v>200</v>
      </c>
      <c r="AW239" s="1">
        <v>8304.1</v>
      </c>
      <c r="AX239" s="1">
        <v>2013.0</v>
      </c>
      <c r="AY239" s="1" t="s">
        <v>387</v>
      </c>
      <c r="AZ239" s="1" t="s">
        <v>545</v>
      </c>
      <c r="BA239" s="1" t="str">
        <f>"0823280001"</f>
        <v>0823280001</v>
      </c>
      <c r="BB239" s="1" t="s">
        <v>200</v>
      </c>
      <c r="BC239" s="1">
        <v>3413.0</v>
      </c>
      <c r="BD239" s="1">
        <v>297000.0</v>
      </c>
      <c r="BE239" s="2">
        <v>41948.0</v>
      </c>
      <c r="BF239" s="2" t="s">
        <v>3927</v>
      </c>
      <c r="BH239" s="1">
        <v>480.0</v>
      </c>
      <c r="BK239" s="1" t="s">
        <v>580</v>
      </c>
      <c r="BL239" s="1" t="str">
        <f t="shared" ref="BL239:BM239" si="166">""</f>
        <v/>
      </c>
      <c r="BM239" s="1" t="str">
        <f t="shared" si="166"/>
        <v/>
      </c>
      <c r="BQ239" s="1">
        <v>303.0</v>
      </c>
      <c r="BR239" s="1">
        <v>303.0</v>
      </c>
      <c r="BS239" s="1">
        <v>303.0</v>
      </c>
      <c r="BU239" s="1" t="s">
        <v>743</v>
      </c>
      <c r="BV239" s="1" t="s">
        <v>206</v>
      </c>
      <c r="BW239" s="1" t="s">
        <v>210</v>
      </c>
      <c r="BY239" s="1" t="s">
        <v>333</v>
      </c>
      <c r="BZ239" s="1" t="s">
        <v>209</v>
      </c>
      <c r="CA239" s="1" t="s">
        <v>210</v>
      </c>
      <c r="CC239" s="1" t="s">
        <v>433</v>
      </c>
      <c r="CD239" s="1" t="s">
        <v>206</v>
      </c>
      <c r="CE239" s="1" t="s">
        <v>210</v>
      </c>
      <c r="CG239" s="1" t="s">
        <v>331</v>
      </c>
      <c r="CH239" s="1" t="s">
        <v>209</v>
      </c>
      <c r="CI239" s="1" t="s">
        <v>210</v>
      </c>
      <c r="CK239" s="1" t="s">
        <v>332</v>
      </c>
      <c r="CL239" s="1" t="s">
        <v>209</v>
      </c>
      <c r="CM239" s="1" t="s">
        <v>210</v>
      </c>
      <c r="CO239" s="1" t="s">
        <v>215</v>
      </c>
      <c r="CP239" s="1" t="s">
        <v>209</v>
      </c>
      <c r="CQ239" s="1" t="s">
        <v>210</v>
      </c>
      <c r="CS239" s="1" t="s">
        <v>214</v>
      </c>
      <c r="CT239" s="1" t="s">
        <v>206</v>
      </c>
      <c r="CU239" s="1" t="s">
        <v>617</v>
      </c>
      <c r="CW239" s="1" t="s">
        <v>334</v>
      </c>
      <c r="CX239" s="1" t="s">
        <v>206</v>
      </c>
      <c r="CY239" s="1" t="s">
        <v>210</v>
      </c>
      <c r="DA239" s="1" t="s">
        <v>200</v>
      </c>
      <c r="DC239" s="1" t="s">
        <v>335</v>
      </c>
      <c r="DD239" s="1" t="s">
        <v>518</v>
      </c>
      <c r="DE239" s="1" t="s">
        <v>273</v>
      </c>
      <c r="DF239" s="1" t="s">
        <v>219</v>
      </c>
      <c r="DH239" s="1" t="s">
        <v>220</v>
      </c>
      <c r="DJ239" s="1" t="s">
        <v>222</v>
      </c>
      <c r="DL239" s="1" t="s">
        <v>223</v>
      </c>
      <c r="DM239" s="1" t="s">
        <v>229</v>
      </c>
      <c r="DP239" s="1" t="s">
        <v>276</v>
      </c>
      <c r="DQ239" s="1" t="s">
        <v>441</v>
      </c>
      <c r="DR239" s="1" t="s">
        <v>588</v>
      </c>
      <c r="DV239" s="1" t="s">
        <v>3928</v>
      </c>
      <c r="DW239" s="1" t="s">
        <v>233</v>
      </c>
      <c r="DX239" s="1" t="s">
        <v>234</v>
      </c>
      <c r="DY239" s="1" t="s">
        <v>1189</v>
      </c>
      <c r="EA239" s="1" t="s">
        <v>344</v>
      </c>
      <c r="EC239" s="1" t="s">
        <v>237</v>
      </c>
      <c r="EG239" s="1" t="s">
        <v>341</v>
      </c>
      <c r="EH239" s="1" t="s">
        <v>1121</v>
      </c>
      <c r="EI239" s="1" t="s">
        <v>408</v>
      </c>
      <c r="EJ239" s="1" t="s">
        <v>409</v>
      </c>
      <c r="EL239" s="1" t="s">
        <v>730</v>
      </c>
      <c r="EM239" s="1" t="s">
        <v>209</v>
      </c>
      <c r="EN239" s="1" t="s">
        <v>210</v>
      </c>
      <c r="EP239" s="1" t="s">
        <v>3929</v>
      </c>
      <c r="EQ239" s="1" t="s">
        <v>209</v>
      </c>
      <c r="ER239" s="1" t="s">
        <v>210</v>
      </c>
      <c r="ET239" s="1" t="s">
        <v>3930</v>
      </c>
      <c r="EU239" s="1" t="s">
        <v>206</v>
      </c>
      <c r="EV239" s="1" t="s">
        <v>617</v>
      </c>
      <c r="EX239" s="1" t="s">
        <v>264</v>
      </c>
      <c r="EY239" s="1" t="s">
        <v>209</v>
      </c>
      <c r="EZ239" s="1" t="s">
        <v>210</v>
      </c>
      <c r="FC239" s="1" t="s">
        <v>238</v>
      </c>
      <c r="FF239" s="1" t="s">
        <v>239</v>
      </c>
      <c r="FG239" s="1" t="s">
        <v>192</v>
      </c>
      <c r="FH239" s="1" t="s">
        <v>192</v>
      </c>
      <c r="FJ239" s="1" t="s">
        <v>1248</v>
      </c>
      <c r="FK239" s="1" t="s">
        <v>229</v>
      </c>
      <c r="FL239" s="1" t="s">
        <v>2184</v>
      </c>
      <c r="FM239" s="1">
        <v>605.0</v>
      </c>
      <c r="FN239" s="1" t="s">
        <v>2185</v>
      </c>
      <c r="FO239" s="1" t="s">
        <v>1738</v>
      </c>
      <c r="FP239" s="1">
        <v>170.0</v>
      </c>
      <c r="FQ239" s="1" t="s">
        <v>2185</v>
      </c>
      <c r="FS239" s="1" t="s">
        <v>3468</v>
      </c>
      <c r="FU239" s="1" t="s">
        <v>3469</v>
      </c>
      <c r="FV239" s="1" t="s">
        <v>200</v>
      </c>
      <c r="FW239" s="1" t="s">
        <v>354</v>
      </c>
      <c r="FZ239" s="1" t="s">
        <v>229</v>
      </c>
      <c r="GA239" s="1" t="s">
        <v>291</v>
      </c>
      <c r="GB239" s="2">
        <v>42062.0</v>
      </c>
      <c r="GC239" s="1" t="s">
        <v>3931</v>
      </c>
    </row>
    <row r="240">
      <c r="A240" s="1">
        <v>340000.0</v>
      </c>
      <c r="B240" s="1" t="s">
        <v>185</v>
      </c>
      <c r="C240" s="1" t="str">
        <f>"08767581"</f>
        <v>08767581</v>
      </c>
      <c r="D240" s="1" t="s">
        <v>186</v>
      </c>
      <c r="F240" s="1" t="str">
        <f>"184"</f>
        <v>184</v>
      </c>
      <c r="G240" s="2">
        <v>41946.0</v>
      </c>
      <c r="H240" s="1">
        <v>350000.0</v>
      </c>
      <c r="I240" s="1">
        <v>9.0</v>
      </c>
      <c r="J240" s="1">
        <v>350000.0</v>
      </c>
      <c r="K240" s="2">
        <v>41954.0</v>
      </c>
      <c r="L240" s="1">
        <v>9.0</v>
      </c>
      <c r="M240" s="2">
        <v>41954.0</v>
      </c>
      <c r="N240" s="1" t="s">
        <v>187</v>
      </c>
      <c r="O240" s="2">
        <v>42020.0</v>
      </c>
      <c r="P240" s="1">
        <v>237165.0</v>
      </c>
      <c r="Q240" s="1">
        <v>24755.0</v>
      </c>
      <c r="S240" s="1" t="s">
        <v>3932</v>
      </c>
      <c r="T240" s="1" t="s">
        <v>3933</v>
      </c>
      <c r="U240" s="1" t="s">
        <v>464</v>
      </c>
      <c r="V240" s="1" t="s">
        <v>3870</v>
      </c>
      <c r="W240" s="1">
        <v>60184.0</v>
      </c>
      <c r="Y240" s="1" t="s">
        <v>3934</v>
      </c>
      <c r="Z240" s="1">
        <v>1947.0</v>
      </c>
      <c r="AA240" s="1" t="s">
        <v>192</v>
      </c>
      <c r="AB240" s="1" t="s">
        <v>193</v>
      </c>
      <c r="AD240" s="1" t="s">
        <v>3935</v>
      </c>
      <c r="AE240" s="1" t="s">
        <v>1258</v>
      </c>
      <c r="AF240" s="1" t="s">
        <v>3935</v>
      </c>
      <c r="AH240" s="1" t="s">
        <v>3936</v>
      </c>
      <c r="AI240" s="1">
        <v>2.17</v>
      </c>
      <c r="AK240" s="1">
        <v>10.0</v>
      </c>
      <c r="AL240" s="1">
        <v>4.0</v>
      </c>
      <c r="AM240" s="1">
        <v>2.0</v>
      </c>
      <c r="AN240" s="1">
        <v>1.0</v>
      </c>
      <c r="AO240" s="1" t="s">
        <v>198</v>
      </c>
      <c r="AP240" s="1">
        <v>1.0</v>
      </c>
      <c r="AQ240" s="1" t="s">
        <v>229</v>
      </c>
      <c r="AS240" s="1" t="s">
        <v>199</v>
      </c>
      <c r="AT240" s="1">
        <v>2.0</v>
      </c>
      <c r="AV240" s="1" t="s">
        <v>200</v>
      </c>
      <c r="AW240" s="1">
        <v>11307.0</v>
      </c>
      <c r="AX240" s="1">
        <v>2013.0</v>
      </c>
      <c r="AY240" s="1" t="s">
        <v>387</v>
      </c>
      <c r="AZ240" s="1" t="s">
        <v>200</v>
      </c>
      <c r="BA240" s="1" t="str">
        <f>"0118103001"</f>
        <v>0118103001</v>
      </c>
      <c r="BC240" s="1">
        <v>3038.0</v>
      </c>
      <c r="BD240" s="1">
        <v>340000.0</v>
      </c>
      <c r="BE240" s="2">
        <v>41946.0</v>
      </c>
      <c r="BF240" s="2" t="s">
        <v>3937</v>
      </c>
      <c r="BG240" s="1" t="s">
        <v>3938</v>
      </c>
      <c r="BH240" s="1">
        <v>0.0</v>
      </c>
      <c r="BK240" s="1" t="s">
        <v>204</v>
      </c>
      <c r="BL240" s="1" t="str">
        <f t="shared" ref="BL240:BM240" si="167">""</f>
        <v/>
      </c>
      <c r="BM240" s="1" t="str">
        <f t="shared" si="167"/>
        <v/>
      </c>
      <c r="BQ240" s="1">
        <v>46.0</v>
      </c>
      <c r="BR240" s="1">
        <v>46.0</v>
      </c>
      <c r="BS240" s="1">
        <v>46.0</v>
      </c>
      <c r="BU240" s="1" t="s">
        <v>3475</v>
      </c>
      <c r="BV240" s="1" t="s">
        <v>206</v>
      </c>
      <c r="BW240" s="1" t="s">
        <v>207</v>
      </c>
      <c r="BY240" s="1" t="s">
        <v>213</v>
      </c>
      <c r="BZ240" s="1" t="s">
        <v>206</v>
      </c>
      <c r="CA240" s="1" t="s">
        <v>207</v>
      </c>
      <c r="CC240" s="1" t="s">
        <v>782</v>
      </c>
      <c r="CD240" s="1" t="s">
        <v>206</v>
      </c>
      <c r="CE240" s="1" t="s">
        <v>2128</v>
      </c>
      <c r="CG240" s="1" t="s">
        <v>332</v>
      </c>
      <c r="CH240" s="1" t="s">
        <v>206</v>
      </c>
      <c r="CI240" s="1" t="s">
        <v>207</v>
      </c>
      <c r="CK240" s="1" t="s">
        <v>331</v>
      </c>
      <c r="CL240" s="1" t="s">
        <v>206</v>
      </c>
      <c r="CM240" s="1" t="s">
        <v>207</v>
      </c>
      <c r="CO240" s="1" t="s">
        <v>925</v>
      </c>
      <c r="CP240" s="1" t="s">
        <v>206</v>
      </c>
      <c r="CQ240" s="1" t="s">
        <v>207</v>
      </c>
      <c r="CS240" s="1" t="s">
        <v>616</v>
      </c>
      <c r="CT240" s="1" t="s">
        <v>206</v>
      </c>
      <c r="CU240" s="1" t="s">
        <v>268</v>
      </c>
      <c r="CW240" s="1" t="s">
        <v>1551</v>
      </c>
      <c r="CX240" s="1" t="s">
        <v>206</v>
      </c>
      <c r="CY240" s="1" t="s">
        <v>268</v>
      </c>
      <c r="DA240" s="1" t="s">
        <v>200</v>
      </c>
      <c r="DC240" s="1" t="s">
        <v>702</v>
      </c>
      <c r="DD240" s="1" t="s">
        <v>518</v>
      </c>
      <c r="DE240" s="1" t="s">
        <v>218</v>
      </c>
      <c r="DF240" s="1" t="s">
        <v>1718</v>
      </c>
      <c r="DG240" s="1" t="s">
        <v>3939</v>
      </c>
      <c r="DH240" s="1" t="s">
        <v>856</v>
      </c>
      <c r="DI240" s="1" t="s">
        <v>3940</v>
      </c>
      <c r="DJ240" s="1" t="s">
        <v>857</v>
      </c>
      <c r="DK240" s="1" t="s">
        <v>3941</v>
      </c>
      <c r="DL240" s="1" t="s">
        <v>3942</v>
      </c>
      <c r="DM240" s="1" t="s">
        <v>338</v>
      </c>
      <c r="DO240" s="1" t="s">
        <v>3943</v>
      </c>
      <c r="DP240" s="1" t="s">
        <v>340</v>
      </c>
      <c r="DQ240" s="1" t="s">
        <v>860</v>
      </c>
      <c r="DR240" s="1" t="s">
        <v>229</v>
      </c>
      <c r="DS240" s="1" t="s">
        <v>368</v>
      </c>
      <c r="DU240" s="1" t="s">
        <v>3944</v>
      </c>
      <c r="DV240" s="1" t="s">
        <v>3945</v>
      </c>
      <c r="DW240" s="1" t="s">
        <v>667</v>
      </c>
      <c r="DX240" s="1" t="s">
        <v>234</v>
      </c>
      <c r="DY240" s="1" t="s">
        <v>3946</v>
      </c>
      <c r="DZ240" s="1" t="s">
        <v>2204</v>
      </c>
      <c r="EA240" s="1" t="s">
        <v>683</v>
      </c>
      <c r="EB240" s="1" t="s">
        <v>345</v>
      </c>
      <c r="EC240" s="1" t="s">
        <v>685</v>
      </c>
      <c r="ED240" s="1" t="s">
        <v>407</v>
      </c>
      <c r="EG240" s="1" t="s">
        <v>114</v>
      </c>
      <c r="EH240" s="1" t="s">
        <v>1121</v>
      </c>
      <c r="EI240" s="1" t="s">
        <v>2129</v>
      </c>
      <c r="EL240" s="1" t="s">
        <v>3947</v>
      </c>
      <c r="EM240" s="1" t="s">
        <v>209</v>
      </c>
      <c r="EN240" s="1" t="s">
        <v>588</v>
      </c>
      <c r="EP240" s="1" t="s">
        <v>375</v>
      </c>
      <c r="EQ240" s="1" t="s">
        <v>206</v>
      </c>
      <c r="ER240" s="1" t="s">
        <v>207</v>
      </c>
      <c r="ET240" s="1" t="s">
        <v>2461</v>
      </c>
      <c r="EU240" s="1" t="s">
        <v>206</v>
      </c>
      <c r="EV240" s="1" t="s">
        <v>588</v>
      </c>
      <c r="EY240" s="1" t="s">
        <v>238</v>
      </c>
      <c r="FC240" s="1" t="s">
        <v>238</v>
      </c>
      <c r="FF240" s="1" t="s">
        <v>239</v>
      </c>
      <c r="FG240" s="1" t="s">
        <v>192</v>
      </c>
      <c r="FH240" s="1" t="s">
        <v>192</v>
      </c>
      <c r="FJ240" s="1" t="s">
        <v>2206</v>
      </c>
      <c r="FK240" s="1" t="s">
        <v>229</v>
      </c>
      <c r="FL240" s="1" t="s">
        <v>893</v>
      </c>
      <c r="FM240" s="1">
        <v>604.0</v>
      </c>
      <c r="FN240" s="1" t="s">
        <v>894</v>
      </c>
      <c r="FO240" s="1" t="s">
        <v>2207</v>
      </c>
      <c r="FP240" s="1">
        <v>681.0</v>
      </c>
      <c r="FQ240" s="1" t="s">
        <v>2208</v>
      </c>
      <c r="FR240" s="1">
        <v>824.0</v>
      </c>
      <c r="FS240" s="1" t="s">
        <v>2209</v>
      </c>
      <c r="FU240" s="1" t="s">
        <v>2210</v>
      </c>
      <c r="FV240" s="1" t="s">
        <v>200</v>
      </c>
      <c r="FW240" s="1" t="s">
        <v>530</v>
      </c>
      <c r="FZ240" s="1" t="s">
        <v>229</v>
      </c>
      <c r="GA240" s="1" t="s">
        <v>291</v>
      </c>
      <c r="GB240" s="2">
        <v>42020.0</v>
      </c>
    </row>
    <row r="241">
      <c r="A241" s="1">
        <v>165750.0</v>
      </c>
      <c r="B241" s="1" t="s">
        <v>185</v>
      </c>
      <c r="C241" s="1" t="str">
        <f>"08770978"</f>
        <v>08770978</v>
      </c>
      <c r="D241" s="1" t="s">
        <v>186</v>
      </c>
      <c r="F241" s="1" t="str">
        <f>"8070"</f>
        <v>8070</v>
      </c>
      <c r="G241" s="2">
        <v>41950.0</v>
      </c>
      <c r="H241" s="1">
        <v>179900.0</v>
      </c>
      <c r="I241" s="1">
        <v>135.0</v>
      </c>
      <c r="J241" s="1">
        <v>179900.0</v>
      </c>
      <c r="K241" s="2">
        <v>42083.0</v>
      </c>
      <c r="L241" s="1">
        <v>135.0</v>
      </c>
      <c r="M241" s="2">
        <v>42083.0</v>
      </c>
      <c r="N241" s="1" t="s">
        <v>249</v>
      </c>
      <c r="O241" s="2">
        <v>42083.0</v>
      </c>
      <c r="P241" s="1">
        <v>107531.0</v>
      </c>
      <c r="Q241" s="1">
        <v>12293.0</v>
      </c>
      <c r="S241" s="1">
        <v>2335.0</v>
      </c>
      <c r="T241" s="1" t="s">
        <v>3948</v>
      </c>
      <c r="U241" s="1" t="s">
        <v>694</v>
      </c>
      <c r="V241" s="1" t="s">
        <v>190</v>
      </c>
      <c r="W241" s="1">
        <v>60620.0</v>
      </c>
      <c r="Y241" s="1" t="s">
        <v>3949</v>
      </c>
      <c r="Z241" s="1">
        <v>1952.0</v>
      </c>
      <c r="AA241" s="1" t="s">
        <v>192</v>
      </c>
      <c r="AB241" s="1" t="s">
        <v>193</v>
      </c>
      <c r="AD241" s="1" t="s">
        <v>194</v>
      </c>
      <c r="AE241" s="1" t="s">
        <v>195</v>
      </c>
      <c r="AF241" s="1" t="s">
        <v>659</v>
      </c>
      <c r="AH241" s="1" t="s">
        <v>1501</v>
      </c>
      <c r="AK241" s="1">
        <v>8.0</v>
      </c>
      <c r="AL241" s="1">
        <v>4.0</v>
      </c>
      <c r="AM241" s="1">
        <v>2.0</v>
      </c>
      <c r="AN241" s="1">
        <v>0.0</v>
      </c>
      <c r="AO241" s="1" t="s">
        <v>229</v>
      </c>
      <c r="AQ241" s="1" t="s">
        <v>198</v>
      </c>
      <c r="AR241" s="1" t="s">
        <v>192</v>
      </c>
      <c r="AS241" s="1" t="s">
        <v>199</v>
      </c>
      <c r="AT241" s="1">
        <v>2.0</v>
      </c>
      <c r="AV241" s="1" t="s">
        <v>200</v>
      </c>
      <c r="AW241" s="1">
        <v>1791.0</v>
      </c>
      <c r="AX241" s="1">
        <v>2013.0</v>
      </c>
      <c r="AY241" s="1" t="s">
        <v>229</v>
      </c>
      <c r="AZ241" s="1" t="s">
        <v>200</v>
      </c>
      <c r="BA241" s="1" t="str">
        <f>"20311170100000"</f>
        <v>20311170100000</v>
      </c>
      <c r="BB241" s="1" t="s">
        <v>200</v>
      </c>
      <c r="BC241" s="1">
        <v>1200.0</v>
      </c>
      <c r="BD241" s="1">
        <v>165750.0</v>
      </c>
      <c r="BE241" s="2">
        <v>41949.0</v>
      </c>
      <c r="BF241" s="2" t="s">
        <v>3950</v>
      </c>
      <c r="BH241" s="1">
        <v>0.0</v>
      </c>
      <c r="BK241" s="1" t="s">
        <v>204</v>
      </c>
      <c r="BL241" s="1" t="str">
        <f t="shared" ref="BL241:BM241" si="168">"0"</f>
        <v>0</v>
      </c>
      <c r="BM241" s="1" t="str">
        <f t="shared" si="168"/>
        <v>0</v>
      </c>
      <c r="BN241" s="1">
        <v>2335.0</v>
      </c>
      <c r="BO241" s="1">
        <v>8100.0</v>
      </c>
      <c r="BQ241" s="1">
        <v>299.0</v>
      </c>
      <c r="BR241" s="1">
        <v>299.0</v>
      </c>
      <c r="BS241" s="1">
        <v>299.0</v>
      </c>
      <c r="BU241" s="1" t="s">
        <v>664</v>
      </c>
      <c r="BV241" s="1" t="s">
        <v>206</v>
      </c>
      <c r="BW241" s="1" t="s">
        <v>207</v>
      </c>
      <c r="BX241" s="1" t="s">
        <v>229</v>
      </c>
      <c r="BY241" s="1" t="s">
        <v>332</v>
      </c>
      <c r="BZ241" s="1" t="s">
        <v>206</v>
      </c>
      <c r="CA241" s="1" t="s">
        <v>207</v>
      </c>
      <c r="CB241" s="1" t="s">
        <v>229</v>
      </c>
      <c r="CC241" s="1" t="s">
        <v>542</v>
      </c>
      <c r="CD241" s="1" t="s">
        <v>206</v>
      </c>
      <c r="CE241" s="1" t="s">
        <v>207</v>
      </c>
      <c r="CF241" s="1" t="s">
        <v>229</v>
      </c>
      <c r="CG241" s="1" t="s">
        <v>264</v>
      </c>
      <c r="CH241" s="1" t="s">
        <v>206</v>
      </c>
      <c r="CI241" s="1" t="s">
        <v>207</v>
      </c>
      <c r="CJ241" s="1" t="s">
        <v>229</v>
      </c>
      <c r="CK241" s="1" t="s">
        <v>264</v>
      </c>
      <c r="CL241" s="1" t="s">
        <v>206</v>
      </c>
      <c r="CM241" s="1" t="s">
        <v>207</v>
      </c>
      <c r="CN241" s="1" t="s">
        <v>229</v>
      </c>
      <c r="CO241" s="1" t="s">
        <v>264</v>
      </c>
      <c r="CP241" s="1" t="s">
        <v>267</v>
      </c>
      <c r="CQ241" s="1" t="s">
        <v>268</v>
      </c>
      <c r="CR241" s="1" t="s">
        <v>229</v>
      </c>
      <c r="CS241" s="1" t="s">
        <v>924</v>
      </c>
      <c r="CT241" s="1" t="s">
        <v>206</v>
      </c>
      <c r="CU241" s="1" t="s">
        <v>207</v>
      </c>
      <c r="CV241" s="1" t="s">
        <v>229</v>
      </c>
      <c r="CW241" s="1" t="s">
        <v>544</v>
      </c>
      <c r="CX241" s="1" t="s">
        <v>267</v>
      </c>
      <c r="CY241" s="1" t="s">
        <v>268</v>
      </c>
      <c r="CZ241" s="1" t="s">
        <v>229</v>
      </c>
      <c r="DA241" s="1" t="s">
        <v>200</v>
      </c>
      <c r="DC241" s="1" t="s">
        <v>702</v>
      </c>
      <c r="DE241" s="1" t="s">
        <v>273</v>
      </c>
      <c r="DF241" s="1" t="s">
        <v>219</v>
      </c>
      <c r="DG241" s="1" t="s">
        <v>1657</v>
      </c>
      <c r="DH241" s="1" t="s">
        <v>220</v>
      </c>
      <c r="DI241" s="1" t="s">
        <v>366</v>
      </c>
      <c r="DJ241" s="1" t="s">
        <v>222</v>
      </c>
      <c r="DL241" s="1" t="s">
        <v>224</v>
      </c>
      <c r="DM241" s="1" t="s">
        <v>1658</v>
      </c>
      <c r="DP241" s="1" t="s">
        <v>400</v>
      </c>
      <c r="DQ241" s="1" t="s">
        <v>441</v>
      </c>
      <c r="DR241" s="1" t="s">
        <v>229</v>
      </c>
      <c r="DS241" s="1" t="s">
        <v>230</v>
      </c>
      <c r="DV241" s="1" t="s">
        <v>232</v>
      </c>
      <c r="DW241" s="1" t="s">
        <v>279</v>
      </c>
      <c r="DX241" s="1" t="s">
        <v>309</v>
      </c>
      <c r="DY241" s="1" t="s">
        <v>553</v>
      </c>
      <c r="DZ241" s="1" t="s">
        <v>3951</v>
      </c>
      <c r="EA241" s="1" t="s">
        <v>683</v>
      </c>
      <c r="EC241" s="1" t="s">
        <v>311</v>
      </c>
      <c r="ED241" s="1" t="s">
        <v>555</v>
      </c>
      <c r="EE241" s="1" t="s">
        <v>187</v>
      </c>
      <c r="EM241" s="1" t="s">
        <v>238</v>
      </c>
      <c r="EQ241" s="1" t="s">
        <v>238</v>
      </c>
      <c r="EU241" s="1" t="s">
        <v>238</v>
      </c>
      <c r="EY241" s="1" t="s">
        <v>238</v>
      </c>
      <c r="FC241" s="1" t="s">
        <v>238</v>
      </c>
      <c r="FF241" s="1" t="s">
        <v>239</v>
      </c>
      <c r="FG241" s="1" t="s">
        <v>192</v>
      </c>
      <c r="FH241" s="1" t="s">
        <v>192</v>
      </c>
      <c r="FJ241" s="1" t="s">
        <v>3952</v>
      </c>
      <c r="FK241" s="1" t="s">
        <v>229</v>
      </c>
      <c r="FL241" s="1" t="s">
        <v>1124</v>
      </c>
      <c r="FM241" s="1">
        <v>12293.0</v>
      </c>
      <c r="FN241" s="1" t="s">
        <v>3300</v>
      </c>
      <c r="FO241" s="1" t="s">
        <v>3953</v>
      </c>
      <c r="FP241" s="1">
        <v>117948.0</v>
      </c>
      <c r="FQ241" s="1" t="s">
        <v>3954</v>
      </c>
      <c r="FR241" s="1">
        <v>107531.0</v>
      </c>
      <c r="FS241" s="1" t="s">
        <v>3955</v>
      </c>
      <c r="FT241" s="1" t="s">
        <v>3956</v>
      </c>
      <c r="FU241" s="1" t="s">
        <v>3957</v>
      </c>
      <c r="FV241" s="1" t="s">
        <v>200</v>
      </c>
      <c r="FW241" s="1" t="s">
        <v>3958</v>
      </c>
      <c r="FX241" s="1" t="s">
        <v>246</v>
      </c>
      <c r="FZ241" s="1" t="s">
        <v>229</v>
      </c>
      <c r="GA241" s="1" t="s">
        <v>291</v>
      </c>
      <c r="GB241" s="2">
        <v>42083.0</v>
      </c>
      <c r="GC241" s="1" t="s">
        <v>3957</v>
      </c>
    </row>
    <row r="242">
      <c r="A242" s="1">
        <v>279000.0</v>
      </c>
      <c r="B242" s="1" t="s">
        <v>185</v>
      </c>
      <c r="C242" s="1" t="str">
        <f>"08769219"</f>
        <v>08769219</v>
      </c>
      <c r="D242" s="1" t="s">
        <v>186</v>
      </c>
      <c r="F242" s="1" t="str">
        <f>"8014"</f>
        <v>8014</v>
      </c>
      <c r="G242" s="2">
        <v>41948.0</v>
      </c>
      <c r="H242" s="1">
        <v>279000.0</v>
      </c>
      <c r="I242" s="1">
        <v>92.0</v>
      </c>
      <c r="J242" s="1">
        <v>279000.0</v>
      </c>
      <c r="K242" s="2">
        <v>41960.0</v>
      </c>
      <c r="L242" s="1">
        <v>14.0</v>
      </c>
      <c r="M242" s="2">
        <v>41960.0</v>
      </c>
      <c r="N242" s="1" t="s">
        <v>634</v>
      </c>
      <c r="O242" s="2">
        <v>41995.0</v>
      </c>
      <c r="P242" s="1">
        <v>89195.0</v>
      </c>
      <c r="Q242" s="1">
        <v>8058.0</v>
      </c>
      <c r="R242" s="1">
        <v>3000.0</v>
      </c>
      <c r="S242" s="1">
        <v>4827.0</v>
      </c>
      <c r="T242" s="1" t="s">
        <v>3959</v>
      </c>
      <c r="U242" s="1" t="s">
        <v>189</v>
      </c>
      <c r="V242" s="1" t="s">
        <v>190</v>
      </c>
      <c r="W242" s="1">
        <v>60630.0</v>
      </c>
      <c r="Y242" s="1" t="s">
        <v>3960</v>
      </c>
      <c r="Z242" s="1">
        <v>1917.0</v>
      </c>
      <c r="AA242" s="1" t="s">
        <v>192</v>
      </c>
      <c r="AB242" s="1" t="s">
        <v>193</v>
      </c>
      <c r="AD242" s="1" t="s">
        <v>194</v>
      </c>
      <c r="AE242" s="1" t="s">
        <v>195</v>
      </c>
      <c r="AF242" s="1" t="s">
        <v>196</v>
      </c>
      <c r="AH242" s="1" t="s">
        <v>779</v>
      </c>
      <c r="AK242" s="1">
        <v>10.0</v>
      </c>
      <c r="AL242" s="1">
        <v>2.0</v>
      </c>
      <c r="AM242" s="1">
        <v>2.0</v>
      </c>
      <c r="AN242" s="1">
        <v>0.0</v>
      </c>
      <c r="AO242" s="1" t="s">
        <v>229</v>
      </c>
      <c r="AQ242" s="1" t="s">
        <v>198</v>
      </c>
      <c r="AR242" s="1" t="s">
        <v>192</v>
      </c>
      <c r="AS242" s="1" t="s">
        <v>199</v>
      </c>
      <c r="AT242" s="1">
        <v>2.0</v>
      </c>
      <c r="AV242" s="1" t="s">
        <v>200</v>
      </c>
      <c r="AW242" s="1">
        <v>4358.0</v>
      </c>
      <c r="AX242" s="1">
        <v>2013.0</v>
      </c>
      <c r="AY242" s="1" t="s">
        <v>229</v>
      </c>
      <c r="AZ242" s="1" t="s">
        <v>200</v>
      </c>
      <c r="BA242" s="1" t="str">
        <f>"13104220100000"</f>
        <v>13104220100000</v>
      </c>
      <c r="BB242" s="1" t="s">
        <v>200</v>
      </c>
      <c r="BC242" s="1">
        <v>2500.0</v>
      </c>
      <c r="BD242" s="1">
        <v>279000.0</v>
      </c>
      <c r="BE242" s="2">
        <v>41947.0</v>
      </c>
      <c r="BF242" s="2" t="s">
        <v>3961</v>
      </c>
      <c r="BH242" s="1">
        <v>0.0</v>
      </c>
      <c r="BK242" s="1" t="s">
        <v>204</v>
      </c>
      <c r="BL242" s="1" t="str">
        <f>"4800"</f>
        <v>4800</v>
      </c>
      <c r="BM242" s="1" t="str">
        <f>"0"</f>
        <v>0</v>
      </c>
      <c r="BN242" s="1">
        <v>4300.0</v>
      </c>
      <c r="BO242" s="1">
        <v>0.0</v>
      </c>
      <c r="BQ242" s="1">
        <v>299.0</v>
      </c>
      <c r="BR242" s="1">
        <v>299.0</v>
      </c>
      <c r="BS242" s="1">
        <v>299.0</v>
      </c>
      <c r="BU242" s="1" t="s">
        <v>1426</v>
      </c>
      <c r="BV242" s="1" t="s">
        <v>206</v>
      </c>
      <c r="BW242" s="1" t="s">
        <v>207</v>
      </c>
      <c r="BX242" s="1" t="s">
        <v>229</v>
      </c>
      <c r="BY242" s="1" t="s">
        <v>266</v>
      </c>
      <c r="BZ242" s="1" t="s">
        <v>206</v>
      </c>
      <c r="CA242" s="1" t="s">
        <v>207</v>
      </c>
      <c r="CB242" s="1" t="s">
        <v>229</v>
      </c>
      <c r="CC242" s="1" t="s">
        <v>205</v>
      </c>
      <c r="CD242" s="1" t="s">
        <v>206</v>
      </c>
      <c r="CE242" s="1" t="s">
        <v>207</v>
      </c>
      <c r="CF242" s="1" t="s">
        <v>229</v>
      </c>
      <c r="CG242" s="1" t="s">
        <v>543</v>
      </c>
      <c r="CH242" s="1" t="s">
        <v>206</v>
      </c>
      <c r="CI242" s="1" t="s">
        <v>207</v>
      </c>
      <c r="CJ242" s="1" t="s">
        <v>229</v>
      </c>
      <c r="CK242" s="1" t="s">
        <v>303</v>
      </c>
      <c r="CL242" s="1" t="s">
        <v>42</v>
      </c>
      <c r="CM242" s="1" t="s">
        <v>268</v>
      </c>
      <c r="CN242" s="1" t="s">
        <v>229</v>
      </c>
      <c r="CO242" s="1" t="s">
        <v>269</v>
      </c>
      <c r="CP242" s="1" t="s">
        <v>42</v>
      </c>
      <c r="CQ242" s="1" t="s">
        <v>268</v>
      </c>
      <c r="CR242" s="1" t="s">
        <v>229</v>
      </c>
      <c r="CS242" s="1" t="s">
        <v>363</v>
      </c>
      <c r="CT242" s="1" t="s">
        <v>206</v>
      </c>
      <c r="CU242" s="1" t="s">
        <v>207</v>
      </c>
      <c r="CV242" s="1" t="s">
        <v>229</v>
      </c>
      <c r="CW242" s="1" t="s">
        <v>390</v>
      </c>
      <c r="CX242" s="1" t="s">
        <v>42</v>
      </c>
      <c r="CY242" s="1" t="s">
        <v>268</v>
      </c>
      <c r="CZ242" s="1" t="s">
        <v>229</v>
      </c>
      <c r="DA242" s="1" t="s">
        <v>200</v>
      </c>
      <c r="DC242" s="1" t="s">
        <v>216</v>
      </c>
      <c r="DD242" s="1" t="s">
        <v>518</v>
      </c>
      <c r="DE242" s="1" t="s">
        <v>273</v>
      </c>
      <c r="DF242" s="1" t="s">
        <v>219</v>
      </c>
      <c r="DH242" s="1" t="s">
        <v>365</v>
      </c>
      <c r="DI242" s="1" t="s">
        <v>519</v>
      </c>
      <c r="DJ242" s="1" t="s">
        <v>588</v>
      </c>
      <c r="DK242" s="1" t="s">
        <v>2506</v>
      </c>
      <c r="DL242" s="1" t="s">
        <v>224</v>
      </c>
      <c r="DM242" s="1" t="s">
        <v>229</v>
      </c>
      <c r="DN242" s="1" t="s">
        <v>666</v>
      </c>
      <c r="DP242" s="1" t="s">
        <v>340</v>
      </c>
      <c r="DQ242" s="1" t="s">
        <v>718</v>
      </c>
      <c r="DR242" s="1" t="s">
        <v>229</v>
      </c>
      <c r="DS242" s="1" t="s">
        <v>277</v>
      </c>
      <c r="DU242" s="1" t="s">
        <v>2070</v>
      </c>
      <c r="DV242" s="1" t="s">
        <v>3962</v>
      </c>
      <c r="DW242" s="1" t="s">
        <v>279</v>
      </c>
      <c r="DX242" s="1" t="s">
        <v>234</v>
      </c>
      <c r="DY242" s="1" t="s">
        <v>3963</v>
      </c>
      <c r="DZ242" s="1" t="s">
        <v>343</v>
      </c>
      <c r="EA242" s="1" t="s">
        <v>644</v>
      </c>
      <c r="EC242" s="1" t="s">
        <v>645</v>
      </c>
      <c r="ED242" s="1" t="s">
        <v>555</v>
      </c>
      <c r="EE242" s="1" t="s">
        <v>187</v>
      </c>
      <c r="EH242" s="1" t="s">
        <v>1103</v>
      </c>
      <c r="EI242" s="1" t="s">
        <v>409</v>
      </c>
      <c r="EJ242" s="1" t="s">
        <v>114</v>
      </c>
      <c r="EK242" s="1" t="s">
        <v>374</v>
      </c>
      <c r="EM242" s="1" t="s">
        <v>238</v>
      </c>
      <c r="EP242" s="1" t="s">
        <v>582</v>
      </c>
      <c r="EQ242" s="1" t="s">
        <v>42</v>
      </c>
      <c r="ER242" s="1" t="s">
        <v>588</v>
      </c>
      <c r="ES242" s="1" t="s">
        <v>229</v>
      </c>
      <c r="ET242" s="1" t="s">
        <v>558</v>
      </c>
      <c r="EU242" s="1" t="s">
        <v>42</v>
      </c>
      <c r="EV242" s="1" t="s">
        <v>588</v>
      </c>
      <c r="EW242" s="1" t="s">
        <v>229</v>
      </c>
      <c r="EX242" s="1" t="s">
        <v>3475</v>
      </c>
      <c r="EY242" s="1" t="s">
        <v>114</v>
      </c>
      <c r="EZ242" s="1" t="s">
        <v>588</v>
      </c>
      <c r="FA242" s="1" t="s">
        <v>229</v>
      </c>
      <c r="FB242" s="1" t="s">
        <v>559</v>
      </c>
      <c r="FC242" s="1" t="s">
        <v>206</v>
      </c>
      <c r="FD242" s="1" t="s">
        <v>588</v>
      </c>
      <c r="FE242" s="1" t="s">
        <v>229</v>
      </c>
      <c r="FF242" s="1" t="s">
        <v>239</v>
      </c>
      <c r="FG242" s="1" t="s">
        <v>192</v>
      </c>
      <c r="FH242" s="1" t="s">
        <v>192</v>
      </c>
      <c r="FJ242" s="1" t="s">
        <v>3964</v>
      </c>
      <c r="FK242" s="1" t="s">
        <v>229</v>
      </c>
      <c r="FL242" s="1" t="s">
        <v>3965</v>
      </c>
      <c r="FM242" s="1">
        <v>17476.0</v>
      </c>
      <c r="FN242" s="1" t="s">
        <v>3966</v>
      </c>
      <c r="FO242" s="1" t="s">
        <v>3967</v>
      </c>
      <c r="FP242" s="1">
        <v>161081.0</v>
      </c>
      <c r="FQ242" s="1" t="s">
        <v>3968</v>
      </c>
      <c r="FU242" s="1" t="s">
        <v>3969</v>
      </c>
      <c r="FV242" s="1" t="s">
        <v>192</v>
      </c>
      <c r="FW242" s="1" t="s">
        <v>3970</v>
      </c>
      <c r="FX242" s="1" t="s">
        <v>238</v>
      </c>
      <c r="FZ242" s="1" t="s">
        <v>229</v>
      </c>
      <c r="GA242" s="1" t="s">
        <v>291</v>
      </c>
      <c r="GB242" s="2">
        <v>41995.0</v>
      </c>
      <c r="GC242" s="1" t="s">
        <v>3971</v>
      </c>
    </row>
    <row r="243">
      <c r="A243" s="1">
        <v>249900.0</v>
      </c>
      <c r="B243" s="1" t="s">
        <v>185</v>
      </c>
      <c r="C243" s="1" t="str">
        <f>"08767978"</f>
        <v>08767978</v>
      </c>
      <c r="D243" s="1" t="s">
        <v>186</v>
      </c>
      <c r="F243" s="1" t="str">
        <f>"103"</f>
        <v>103</v>
      </c>
      <c r="G243" s="2">
        <v>41946.0</v>
      </c>
      <c r="H243" s="1">
        <v>249900.0</v>
      </c>
      <c r="I243" s="1">
        <v>18.0</v>
      </c>
      <c r="J243" s="1">
        <v>249900.0</v>
      </c>
      <c r="K243" s="2">
        <v>41963.0</v>
      </c>
      <c r="L243" s="1">
        <v>18.0</v>
      </c>
      <c r="M243" s="2">
        <v>41963.0</v>
      </c>
      <c r="N243" s="1" t="s">
        <v>634</v>
      </c>
      <c r="O243" s="2">
        <v>42024.0</v>
      </c>
      <c r="P243" s="1">
        <v>168502.0</v>
      </c>
      <c r="Q243" s="1">
        <v>85115.0</v>
      </c>
      <c r="R243" s="1">
        <v>9000.0</v>
      </c>
      <c r="S243" s="1">
        <v>5477.0</v>
      </c>
      <c r="T243" s="1" t="s">
        <v>3972</v>
      </c>
      <c r="V243" s="1" t="s">
        <v>251</v>
      </c>
      <c r="W243" s="1">
        <v>60133.0</v>
      </c>
      <c r="Y243" s="1" t="s">
        <v>3973</v>
      </c>
      <c r="Z243" s="1">
        <v>1997.0</v>
      </c>
      <c r="AA243" s="1" t="s">
        <v>200</v>
      </c>
      <c r="AB243" s="1" t="s">
        <v>467</v>
      </c>
      <c r="AC243" s="1" t="s">
        <v>3974</v>
      </c>
      <c r="AD243" s="1" t="s">
        <v>254</v>
      </c>
      <c r="AE243" s="1" t="s">
        <v>1258</v>
      </c>
      <c r="AF243" s="1" t="s">
        <v>3935</v>
      </c>
      <c r="AG243" s="1" t="s">
        <v>3975</v>
      </c>
      <c r="AH243" s="1" t="s">
        <v>3976</v>
      </c>
      <c r="AK243" s="1">
        <v>10.0</v>
      </c>
      <c r="AL243" s="1">
        <v>4.0</v>
      </c>
      <c r="AM243" s="1">
        <v>3.0</v>
      </c>
      <c r="AN243" s="1">
        <v>1.0</v>
      </c>
      <c r="AO243" s="1" t="s">
        <v>198</v>
      </c>
      <c r="AQ243" s="1" t="s">
        <v>198</v>
      </c>
      <c r="AR243" s="1" t="s">
        <v>192</v>
      </c>
      <c r="AS243" s="1" t="s">
        <v>199</v>
      </c>
      <c r="AT243" s="1">
        <v>2.0</v>
      </c>
      <c r="AV243" s="1" t="s">
        <v>200</v>
      </c>
      <c r="AW243" s="1">
        <v>9989.0</v>
      </c>
      <c r="AX243" s="1">
        <v>2013.0</v>
      </c>
      <c r="AZ243" s="1" t="s">
        <v>200</v>
      </c>
      <c r="BA243" s="1" t="str">
        <f>"0112215099"</f>
        <v>0112215099</v>
      </c>
      <c r="BC243" s="1">
        <v>1816.0</v>
      </c>
      <c r="BD243" s="1">
        <v>249900.0</v>
      </c>
      <c r="BE243" s="2">
        <v>41946.0</v>
      </c>
      <c r="BF243" s="2" t="s">
        <v>3977</v>
      </c>
      <c r="BH243" s="1">
        <v>14.0</v>
      </c>
      <c r="BK243" s="1" t="s">
        <v>474</v>
      </c>
      <c r="BL243" s="1" t="str">
        <f t="shared" ref="BL243:BM243" si="169">""</f>
        <v/>
      </c>
      <c r="BM243" s="1" t="str">
        <f t="shared" si="169"/>
        <v/>
      </c>
      <c r="BQ243" s="1">
        <v>46.0</v>
      </c>
      <c r="BR243" s="1">
        <v>46.0</v>
      </c>
      <c r="BS243" s="1">
        <v>46.0</v>
      </c>
      <c r="BU243" s="1" t="s">
        <v>208</v>
      </c>
      <c r="BV243" s="1" t="s">
        <v>206</v>
      </c>
      <c r="BW243" s="1" t="s">
        <v>268</v>
      </c>
      <c r="BY243" s="1" t="s">
        <v>390</v>
      </c>
      <c r="BZ243" s="1" t="s">
        <v>209</v>
      </c>
      <c r="CA243" s="1" t="s">
        <v>210</v>
      </c>
      <c r="CC243" s="1" t="s">
        <v>329</v>
      </c>
      <c r="CD243" s="1" t="s">
        <v>206</v>
      </c>
      <c r="CE243" s="1" t="s">
        <v>268</v>
      </c>
      <c r="CG243" s="1" t="s">
        <v>213</v>
      </c>
      <c r="CH243" s="1" t="s">
        <v>209</v>
      </c>
      <c r="CI243" s="1" t="s">
        <v>210</v>
      </c>
      <c r="CK243" s="1" t="s">
        <v>212</v>
      </c>
      <c r="CL243" s="1" t="s">
        <v>209</v>
      </c>
      <c r="CM243" s="1" t="s">
        <v>210</v>
      </c>
      <c r="CO243" s="1" t="s">
        <v>331</v>
      </c>
      <c r="CP243" s="1" t="s">
        <v>267</v>
      </c>
      <c r="CQ243" s="1" t="s">
        <v>268</v>
      </c>
      <c r="CS243" s="1" t="s">
        <v>1426</v>
      </c>
      <c r="CT243" s="1" t="s">
        <v>206</v>
      </c>
      <c r="CU243" s="1" t="s">
        <v>301</v>
      </c>
      <c r="CW243" s="1" t="s">
        <v>743</v>
      </c>
      <c r="CX243" s="1" t="s">
        <v>206</v>
      </c>
      <c r="CY243" s="1" t="s">
        <v>301</v>
      </c>
      <c r="DA243" s="1" t="s">
        <v>200</v>
      </c>
      <c r="DC243" s="1" t="s">
        <v>678</v>
      </c>
      <c r="DD243" s="1" t="s">
        <v>396</v>
      </c>
      <c r="DE243" s="1" t="s">
        <v>273</v>
      </c>
      <c r="DF243" s="1" t="s">
        <v>219</v>
      </c>
      <c r="DG243" s="1" t="s">
        <v>482</v>
      </c>
      <c r="DH243" s="1" t="s">
        <v>307</v>
      </c>
      <c r="DI243" s="1" t="s">
        <v>789</v>
      </c>
      <c r="DJ243" s="1" t="s">
        <v>222</v>
      </c>
      <c r="DK243" s="1" t="s">
        <v>198</v>
      </c>
      <c r="DL243" s="1" t="s">
        <v>224</v>
      </c>
      <c r="DM243" s="1" t="s">
        <v>338</v>
      </c>
      <c r="DN243" s="1" t="s">
        <v>399</v>
      </c>
      <c r="DP243" s="1" t="s">
        <v>340</v>
      </c>
      <c r="DQ243" s="1" t="s">
        <v>228</v>
      </c>
      <c r="DR243" s="1" t="s">
        <v>588</v>
      </c>
      <c r="DS243" s="1" t="s">
        <v>230</v>
      </c>
      <c r="DU243" s="1" t="s">
        <v>1840</v>
      </c>
      <c r="DV243" s="1" t="s">
        <v>2692</v>
      </c>
      <c r="DW243" s="1" t="s">
        <v>444</v>
      </c>
      <c r="DX243" s="1" t="s">
        <v>309</v>
      </c>
      <c r="DY243" s="1" t="s">
        <v>3466</v>
      </c>
      <c r="DZ243" s="1" t="s">
        <v>1661</v>
      </c>
      <c r="EA243" s="1" t="s">
        <v>344</v>
      </c>
      <c r="EC243" s="1" t="s">
        <v>237</v>
      </c>
      <c r="ED243" s="1" t="s">
        <v>407</v>
      </c>
      <c r="EH243" s="1" t="s">
        <v>598</v>
      </c>
      <c r="EI243" s="1" t="s">
        <v>450</v>
      </c>
      <c r="EM243" s="1" t="s">
        <v>238</v>
      </c>
      <c r="EP243" s="1" t="s">
        <v>516</v>
      </c>
      <c r="EQ243" s="1" t="s">
        <v>267</v>
      </c>
      <c r="ER243" s="1" t="s">
        <v>268</v>
      </c>
      <c r="ET243" s="1" t="s">
        <v>361</v>
      </c>
      <c r="EU243" s="1" t="s">
        <v>267</v>
      </c>
      <c r="EV243" s="1" t="s">
        <v>268</v>
      </c>
      <c r="EY243" s="1" t="s">
        <v>238</v>
      </c>
      <c r="FC243" s="1" t="s">
        <v>238</v>
      </c>
      <c r="FF243" s="1" t="s">
        <v>239</v>
      </c>
      <c r="FG243" s="1" t="s">
        <v>192</v>
      </c>
      <c r="FH243" s="1" t="s">
        <v>192</v>
      </c>
      <c r="FJ243" s="1" t="s">
        <v>3514</v>
      </c>
      <c r="FK243" s="1" t="s">
        <v>229</v>
      </c>
      <c r="FL243" s="1" t="s">
        <v>3978</v>
      </c>
      <c r="FM243" s="1">
        <v>22833.0</v>
      </c>
      <c r="FN243" s="1" t="s">
        <v>3979</v>
      </c>
      <c r="FO243" s="1" t="s">
        <v>3980</v>
      </c>
      <c r="FP243" s="1">
        <v>259137.0</v>
      </c>
      <c r="FQ243" s="1" t="s">
        <v>3981</v>
      </c>
      <c r="FS243" s="1" t="s">
        <v>3982</v>
      </c>
      <c r="FU243" s="1" t="s">
        <v>3983</v>
      </c>
      <c r="FV243" s="1" t="s">
        <v>200</v>
      </c>
      <c r="FW243" s="1" t="s">
        <v>1411</v>
      </c>
      <c r="FZ243" s="1" t="s">
        <v>229</v>
      </c>
      <c r="GA243" s="1" t="s">
        <v>291</v>
      </c>
      <c r="GB243" s="2">
        <v>42024.0</v>
      </c>
    </row>
    <row r="244">
      <c r="A244" s="1">
        <v>205000.0</v>
      </c>
      <c r="B244" s="1" t="s">
        <v>185</v>
      </c>
      <c r="C244" s="1" t="str">
        <f>"08770871"</f>
        <v>08770871</v>
      </c>
      <c r="D244" s="1" t="s">
        <v>186</v>
      </c>
      <c r="F244" s="1" t="str">
        <f>"542"</f>
        <v>542</v>
      </c>
      <c r="G244" s="2">
        <v>41950.0</v>
      </c>
      <c r="H244" s="1">
        <v>276100.0</v>
      </c>
      <c r="I244" s="1">
        <v>79.0</v>
      </c>
      <c r="J244" s="1">
        <v>248490.0</v>
      </c>
      <c r="K244" s="2">
        <v>42027.0</v>
      </c>
      <c r="L244" s="1">
        <v>79.0</v>
      </c>
      <c r="M244" s="2">
        <v>42027.0</v>
      </c>
      <c r="N244" s="1" t="s">
        <v>1512</v>
      </c>
      <c r="O244" s="2">
        <v>42075.0</v>
      </c>
      <c r="P244" s="1">
        <v>242894.0</v>
      </c>
      <c r="Q244" s="1">
        <v>23156.0</v>
      </c>
      <c r="R244" s="1">
        <v>3981.0</v>
      </c>
      <c r="S244" s="1">
        <v>640.0</v>
      </c>
      <c r="T244" s="1" t="s">
        <v>1238</v>
      </c>
      <c r="U244" s="1" t="s">
        <v>189</v>
      </c>
      <c r="V244" s="1" t="s">
        <v>3984</v>
      </c>
      <c r="W244" s="1">
        <v>60542.0</v>
      </c>
      <c r="Y244" s="1" t="s">
        <v>3985</v>
      </c>
      <c r="Z244" s="1">
        <v>2000.0</v>
      </c>
      <c r="AA244" s="1" t="s">
        <v>200</v>
      </c>
      <c r="AB244" s="1" t="s">
        <v>467</v>
      </c>
      <c r="AD244" s="1" t="s">
        <v>3986</v>
      </c>
      <c r="AE244" s="1" t="s">
        <v>325</v>
      </c>
      <c r="AF244" s="1" t="s">
        <v>3826</v>
      </c>
      <c r="AH244" s="1" t="s">
        <v>3987</v>
      </c>
      <c r="AK244" s="1">
        <v>8.0</v>
      </c>
      <c r="AL244" s="1">
        <v>4.0</v>
      </c>
      <c r="AM244" s="1">
        <v>2.0</v>
      </c>
      <c r="AN244" s="1">
        <v>1.0</v>
      </c>
      <c r="AO244" s="1" t="s">
        <v>198</v>
      </c>
      <c r="AQ244" s="1" t="s">
        <v>198</v>
      </c>
      <c r="AR244" s="1" t="s">
        <v>200</v>
      </c>
      <c r="AS244" s="1" t="s">
        <v>199</v>
      </c>
      <c r="AT244" s="1">
        <v>2.0</v>
      </c>
      <c r="AV244" s="1" t="s">
        <v>200</v>
      </c>
      <c r="AW244" s="1">
        <v>7020.14</v>
      </c>
      <c r="AX244" s="1">
        <v>2012.0</v>
      </c>
      <c r="AZ244" s="1" t="s">
        <v>545</v>
      </c>
      <c r="BA244" s="1" t="str">
        <f>"1503257006"</f>
        <v>1503257006</v>
      </c>
      <c r="BC244" s="1">
        <v>2280.0</v>
      </c>
      <c r="BD244" s="1">
        <v>205000.0</v>
      </c>
      <c r="BE244" s="2">
        <v>41949.0</v>
      </c>
      <c r="BF244" s="2" t="s">
        <v>3988</v>
      </c>
      <c r="BH244" s="1">
        <v>300.0</v>
      </c>
      <c r="BK244" s="1" t="s">
        <v>580</v>
      </c>
      <c r="BL244" s="1" t="str">
        <f t="shared" ref="BL244:BM244" si="170">""</f>
        <v/>
      </c>
      <c r="BM244" s="1" t="str">
        <f t="shared" si="170"/>
        <v/>
      </c>
      <c r="BQ244" s="1">
        <v>129.0</v>
      </c>
      <c r="BR244" s="1">
        <v>129.0</v>
      </c>
      <c r="BS244" s="1">
        <v>129.0</v>
      </c>
      <c r="BU244" s="1" t="s">
        <v>478</v>
      </c>
      <c r="BV244" s="1" t="s">
        <v>206</v>
      </c>
      <c r="BY244" s="1" t="s">
        <v>1395</v>
      </c>
      <c r="BZ244" s="1" t="s">
        <v>209</v>
      </c>
      <c r="CC244" s="1" t="s">
        <v>478</v>
      </c>
      <c r="CD244" s="1" t="s">
        <v>206</v>
      </c>
      <c r="CG244" s="1" t="s">
        <v>584</v>
      </c>
      <c r="CH244" s="1" t="s">
        <v>209</v>
      </c>
      <c r="CK244" s="1" t="s">
        <v>478</v>
      </c>
      <c r="CL244" s="1" t="s">
        <v>209</v>
      </c>
      <c r="CO244" s="1" t="s">
        <v>269</v>
      </c>
      <c r="CP244" s="1" t="s">
        <v>209</v>
      </c>
      <c r="CS244" s="1" t="s">
        <v>3989</v>
      </c>
      <c r="CT244" s="1" t="s">
        <v>206</v>
      </c>
      <c r="CW244" s="1" t="s">
        <v>2273</v>
      </c>
      <c r="CX244" s="1" t="s">
        <v>206</v>
      </c>
      <c r="DA244" s="1" t="s">
        <v>200</v>
      </c>
      <c r="DC244" s="1" t="s">
        <v>335</v>
      </c>
      <c r="DE244" s="1" t="s">
        <v>273</v>
      </c>
      <c r="DF244" s="1" t="s">
        <v>219</v>
      </c>
      <c r="DH244" s="1" t="s">
        <v>220</v>
      </c>
      <c r="DJ244" s="1" t="s">
        <v>222</v>
      </c>
      <c r="DL244" s="1" t="s">
        <v>858</v>
      </c>
      <c r="DM244" s="1" t="s">
        <v>229</v>
      </c>
      <c r="DQ244" s="1" t="s">
        <v>228</v>
      </c>
      <c r="DR244" s="1" t="s">
        <v>588</v>
      </c>
      <c r="DV244" s="1" t="s">
        <v>232</v>
      </c>
      <c r="DW244" s="1" t="s">
        <v>667</v>
      </c>
      <c r="DX244" s="1" t="s">
        <v>234</v>
      </c>
      <c r="EC244" s="1" t="s">
        <v>237</v>
      </c>
      <c r="EM244" s="1" t="s">
        <v>238</v>
      </c>
      <c r="EQ244" s="1" t="s">
        <v>238</v>
      </c>
      <c r="EU244" s="1" t="s">
        <v>238</v>
      </c>
      <c r="EY244" s="1" t="s">
        <v>238</v>
      </c>
      <c r="FC244" s="1" t="s">
        <v>238</v>
      </c>
      <c r="FF244" s="1" t="s">
        <v>239</v>
      </c>
      <c r="FG244" s="1" t="s">
        <v>192</v>
      </c>
      <c r="FH244" s="1" t="s">
        <v>192</v>
      </c>
      <c r="FJ244" s="1" t="s">
        <v>1248</v>
      </c>
      <c r="FK244" s="1" t="s">
        <v>229</v>
      </c>
      <c r="FL244" s="1" t="s">
        <v>3990</v>
      </c>
      <c r="FM244" s="1">
        <v>8698.0</v>
      </c>
      <c r="FN244" s="1" t="s">
        <v>3991</v>
      </c>
      <c r="FO244" s="1" t="s">
        <v>3992</v>
      </c>
      <c r="FP244" s="1">
        <v>85273.0</v>
      </c>
      <c r="FQ244" s="1" t="s">
        <v>3991</v>
      </c>
      <c r="FU244" s="1" t="s">
        <v>3993</v>
      </c>
      <c r="FV244" s="1" t="s">
        <v>200</v>
      </c>
      <c r="FW244" s="1" t="s">
        <v>1524</v>
      </c>
      <c r="FZ244" s="1" t="s">
        <v>229</v>
      </c>
      <c r="GA244" s="1" t="s">
        <v>291</v>
      </c>
      <c r="GB244" s="2">
        <v>42075.0</v>
      </c>
      <c r="GC244" s="1" t="s">
        <v>3994</v>
      </c>
    </row>
    <row r="245">
      <c r="A245" s="1">
        <v>34000.0</v>
      </c>
      <c r="B245" s="1" t="s">
        <v>185</v>
      </c>
      <c r="C245" s="1" t="str">
        <f>"08767828"</f>
        <v>08767828</v>
      </c>
      <c r="D245" s="1" t="s">
        <v>186</v>
      </c>
      <c r="F245" s="1" t="str">
        <f>"8044"</f>
        <v>8044</v>
      </c>
      <c r="G245" s="2">
        <v>41946.0</v>
      </c>
      <c r="H245" s="1">
        <v>63900.0</v>
      </c>
      <c r="I245" s="1">
        <v>88.0</v>
      </c>
      <c r="J245" s="1">
        <v>37500.0</v>
      </c>
      <c r="K245" s="2">
        <v>42033.0</v>
      </c>
      <c r="L245" s="1">
        <v>88.0</v>
      </c>
      <c r="M245" s="2">
        <v>42033.0</v>
      </c>
      <c r="N245" s="1" t="s">
        <v>249</v>
      </c>
      <c r="O245" s="2">
        <v>42047.0</v>
      </c>
      <c r="P245" s="1">
        <v>601324.0</v>
      </c>
      <c r="Q245" s="1">
        <v>24649.0</v>
      </c>
      <c r="S245" s="1">
        <v>7918.0</v>
      </c>
      <c r="T245" s="1" t="s">
        <v>3995</v>
      </c>
      <c r="U245" s="1" t="s">
        <v>189</v>
      </c>
      <c r="V245" s="1" t="s">
        <v>190</v>
      </c>
      <c r="W245" s="1">
        <v>60619.0</v>
      </c>
      <c r="Y245" s="1" t="s">
        <v>3996</v>
      </c>
      <c r="Z245" s="1">
        <v>1918.0</v>
      </c>
      <c r="AA245" s="1" t="s">
        <v>192</v>
      </c>
      <c r="AB245" s="1" t="s">
        <v>193</v>
      </c>
      <c r="AD245" s="1" t="s">
        <v>194</v>
      </c>
      <c r="AE245" s="1" t="s">
        <v>195</v>
      </c>
      <c r="AF245" s="1" t="s">
        <v>637</v>
      </c>
      <c r="AH245" s="1" t="s">
        <v>3997</v>
      </c>
      <c r="AK245" s="1">
        <v>7.0</v>
      </c>
      <c r="AL245" s="1">
        <v>4.0</v>
      </c>
      <c r="AM245" s="1">
        <v>2.0</v>
      </c>
      <c r="AN245" s="1">
        <v>0.0</v>
      </c>
      <c r="AO245" s="1" t="s">
        <v>229</v>
      </c>
      <c r="AQ245" s="1" t="s">
        <v>198</v>
      </c>
      <c r="AR245" s="1" t="s">
        <v>200</v>
      </c>
      <c r="AS245" s="1" t="s">
        <v>199</v>
      </c>
      <c r="AT245" s="1">
        <v>2.0</v>
      </c>
      <c r="AV245" s="1" t="s">
        <v>200</v>
      </c>
      <c r="AW245" s="4">
        <v>2243.63</v>
      </c>
      <c r="AX245" s="1">
        <v>2013.0</v>
      </c>
      <c r="AZ245" s="1" t="s">
        <v>200</v>
      </c>
      <c r="BA245" s="1" t="str">
        <f>"20342000230000"</f>
        <v>20342000230000</v>
      </c>
      <c r="BC245" s="1">
        <v>1200.0</v>
      </c>
      <c r="BD245" s="1">
        <v>34000.0</v>
      </c>
      <c r="BE245" s="2">
        <v>41946.0</v>
      </c>
      <c r="BF245" s="2" t="s">
        <v>3998</v>
      </c>
      <c r="BH245" s="1">
        <v>0.0</v>
      </c>
      <c r="BK245" s="1" t="s">
        <v>204</v>
      </c>
      <c r="BL245" s="1" t="str">
        <f>"0"</f>
        <v>0</v>
      </c>
      <c r="BM245" s="1" t="str">
        <f>"420"</f>
        <v>420</v>
      </c>
      <c r="BN245" s="1">
        <v>0.0</v>
      </c>
      <c r="BO245" s="1">
        <v>7918.0</v>
      </c>
      <c r="BQ245" s="1">
        <v>299.0</v>
      </c>
      <c r="BR245" s="1">
        <v>299.0</v>
      </c>
      <c r="BS245" s="1">
        <v>299.0</v>
      </c>
      <c r="BU245" s="1" t="s">
        <v>3453</v>
      </c>
      <c r="BV245" s="1" t="s">
        <v>206</v>
      </c>
      <c r="BY245" s="1" t="s">
        <v>3453</v>
      </c>
      <c r="BZ245" s="1" t="s">
        <v>206</v>
      </c>
      <c r="CC245" s="1" t="s">
        <v>3453</v>
      </c>
      <c r="CD245" s="1" t="s">
        <v>206</v>
      </c>
      <c r="CG245" s="1" t="s">
        <v>3453</v>
      </c>
      <c r="CH245" s="1" t="s">
        <v>206</v>
      </c>
      <c r="CK245" s="1" t="s">
        <v>3453</v>
      </c>
      <c r="CL245" s="1" t="s">
        <v>209</v>
      </c>
      <c r="CO245" s="1" t="s">
        <v>3453</v>
      </c>
      <c r="CP245" s="1" t="s">
        <v>209</v>
      </c>
      <c r="CS245" s="1" t="s">
        <v>3453</v>
      </c>
      <c r="CT245" s="1" t="s">
        <v>206</v>
      </c>
      <c r="CX245" s="1" t="s">
        <v>204</v>
      </c>
      <c r="DA245" s="1" t="s">
        <v>200</v>
      </c>
      <c r="DC245" s="1" t="s">
        <v>216</v>
      </c>
      <c r="DE245" s="1" t="s">
        <v>273</v>
      </c>
      <c r="DF245" s="1" t="s">
        <v>219</v>
      </c>
      <c r="DG245" s="1" t="s">
        <v>337</v>
      </c>
      <c r="DH245" s="1" t="s">
        <v>365</v>
      </c>
      <c r="DJ245" s="1" t="s">
        <v>222</v>
      </c>
      <c r="DL245" s="1" t="s">
        <v>223</v>
      </c>
      <c r="DM245" s="1" t="s">
        <v>229</v>
      </c>
      <c r="DQ245" s="1" t="s">
        <v>228</v>
      </c>
      <c r="DR245" s="1" t="s">
        <v>229</v>
      </c>
      <c r="DV245" s="1" t="s">
        <v>232</v>
      </c>
      <c r="DW245" s="1" t="s">
        <v>279</v>
      </c>
      <c r="DX245" s="1" t="s">
        <v>588</v>
      </c>
      <c r="DZ245" s="1" t="s">
        <v>310</v>
      </c>
      <c r="EA245" s="1" t="s">
        <v>644</v>
      </c>
      <c r="EC245" s="1" t="s">
        <v>645</v>
      </c>
      <c r="EE245" s="1" t="s">
        <v>1673</v>
      </c>
      <c r="EM245" s="1" t="s">
        <v>238</v>
      </c>
      <c r="EQ245" s="1" t="s">
        <v>238</v>
      </c>
      <c r="EU245" s="1" t="s">
        <v>238</v>
      </c>
      <c r="EY245" s="1" t="s">
        <v>238</v>
      </c>
      <c r="FC245" s="1" t="s">
        <v>238</v>
      </c>
      <c r="FF245" s="1" t="s">
        <v>239</v>
      </c>
      <c r="FG245" s="1" t="s">
        <v>192</v>
      </c>
      <c r="FH245" s="1" t="s">
        <v>192</v>
      </c>
      <c r="FJ245" s="1" t="s">
        <v>3999</v>
      </c>
      <c r="FK245" s="1" t="s">
        <v>229</v>
      </c>
      <c r="FL245" s="1" t="s">
        <v>4000</v>
      </c>
      <c r="FM245" s="1">
        <v>24649.0</v>
      </c>
      <c r="FN245" s="1" t="s">
        <v>4001</v>
      </c>
      <c r="FO245" s="1" t="s">
        <v>4002</v>
      </c>
      <c r="FP245" s="1">
        <v>601324.0</v>
      </c>
      <c r="FQ245" s="1" t="s">
        <v>4003</v>
      </c>
      <c r="FU245" s="1" t="s">
        <v>4004</v>
      </c>
      <c r="FV245" s="1" t="s">
        <v>200</v>
      </c>
      <c r="FW245" s="1" t="s">
        <v>530</v>
      </c>
      <c r="FX245" s="1" t="s">
        <v>655</v>
      </c>
      <c r="FZ245" s="1" t="s">
        <v>229</v>
      </c>
      <c r="GA245" s="1" t="s">
        <v>291</v>
      </c>
      <c r="GB245" s="2">
        <v>42048.0</v>
      </c>
      <c r="GC245" s="1" t="s">
        <v>4005</v>
      </c>
    </row>
    <row r="246">
      <c r="A246" s="1">
        <v>189900.0</v>
      </c>
      <c r="B246" s="1" t="s">
        <v>185</v>
      </c>
      <c r="C246" s="1" t="str">
        <f>"08769002"</f>
        <v>08769002</v>
      </c>
      <c r="D246" s="1" t="s">
        <v>186</v>
      </c>
      <c r="F246" s="1" t="str">
        <f>"8020"</f>
        <v>8020</v>
      </c>
      <c r="G246" s="2">
        <v>41948.0</v>
      </c>
      <c r="H246" s="1">
        <v>189900.0</v>
      </c>
      <c r="I246" s="1">
        <v>11.0</v>
      </c>
      <c r="J246" s="1">
        <v>189900.0</v>
      </c>
      <c r="K246" s="2">
        <v>41956.0</v>
      </c>
      <c r="L246" s="1">
        <v>11.0</v>
      </c>
      <c r="M246" s="2">
        <v>41956.0</v>
      </c>
      <c r="N246" s="1" t="s">
        <v>356</v>
      </c>
      <c r="O246" s="2">
        <v>42011.0</v>
      </c>
      <c r="P246" s="1">
        <v>188531.0</v>
      </c>
      <c r="Q246" s="1">
        <v>84301.0</v>
      </c>
      <c r="R246" s="1">
        <v>3.0</v>
      </c>
      <c r="S246" s="1">
        <v>4250.0</v>
      </c>
      <c r="T246" s="1" t="s">
        <v>4006</v>
      </c>
      <c r="U246" s="1" t="s">
        <v>189</v>
      </c>
      <c r="V246" s="1" t="s">
        <v>190</v>
      </c>
      <c r="W246" s="1">
        <v>60641.0</v>
      </c>
      <c r="Y246" s="1" t="s">
        <v>4007</v>
      </c>
      <c r="Z246" s="1">
        <v>1928.0</v>
      </c>
      <c r="AA246" s="1" t="s">
        <v>192</v>
      </c>
      <c r="AB246" s="1" t="s">
        <v>193</v>
      </c>
      <c r="AD246" s="1" t="s">
        <v>194</v>
      </c>
      <c r="AE246" s="1" t="s">
        <v>195</v>
      </c>
      <c r="AF246" s="1" t="s">
        <v>196</v>
      </c>
      <c r="AH246" s="1" t="s">
        <v>779</v>
      </c>
      <c r="AK246" s="1">
        <v>7.0</v>
      </c>
      <c r="AL246" s="1">
        <v>4.0</v>
      </c>
      <c r="AM246" s="1">
        <v>1.0</v>
      </c>
      <c r="AN246" s="1">
        <v>0.0</v>
      </c>
      <c r="AO246" s="1" t="s">
        <v>229</v>
      </c>
      <c r="AQ246" s="1" t="s">
        <v>198</v>
      </c>
      <c r="AR246" s="1" t="s">
        <v>200</v>
      </c>
      <c r="AS246" s="1" t="s">
        <v>199</v>
      </c>
      <c r="AT246" s="1">
        <v>2.0</v>
      </c>
      <c r="AV246" s="1" t="s">
        <v>200</v>
      </c>
      <c r="AW246" s="1">
        <v>3581.0</v>
      </c>
      <c r="AX246" s="1">
        <v>2013.0</v>
      </c>
      <c r="AY246" s="1" t="s">
        <v>229</v>
      </c>
      <c r="AZ246" s="1" t="s">
        <v>200</v>
      </c>
      <c r="BA246" s="1" t="str">
        <f>"13272100260000"</f>
        <v>13272100260000</v>
      </c>
      <c r="BB246" s="1" t="s">
        <v>200</v>
      </c>
      <c r="BC246" s="1">
        <v>1100.0</v>
      </c>
      <c r="BD246" s="1">
        <v>189900.0</v>
      </c>
      <c r="BE246" s="2">
        <v>41946.0</v>
      </c>
      <c r="BF246" s="2" t="s">
        <v>4008</v>
      </c>
      <c r="BH246" s="1">
        <v>0.0</v>
      </c>
      <c r="BK246" s="1" t="s">
        <v>204</v>
      </c>
      <c r="BL246" s="1" t="str">
        <f>"3000"</f>
        <v>3000</v>
      </c>
      <c r="BM246" s="1" t="str">
        <f>"0"</f>
        <v>0</v>
      </c>
      <c r="BN246" s="1">
        <v>4250.0</v>
      </c>
      <c r="BO246" s="1">
        <v>0.0</v>
      </c>
      <c r="BQ246" s="1">
        <v>299.0</v>
      </c>
      <c r="BR246" s="1">
        <v>299.0</v>
      </c>
      <c r="BS246" s="1">
        <v>299.0</v>
      </c>
      <c r="BU246" s="1" t="s">
        <v>205</v>
      </c>
      <c r="BV246" s="1" t="s">
        <v>206</v>
      </c>
      <c r="BW246" s="1" t="s">
        <v>210</v>
      </c>
      <c r="BX246" s="1" t="s">
        <v>431</v>
      </c>
      <c r="BY246" s="1" t="s">
        <v>2749</v>
      </c>
      <c r="BZ246" s="1" t="s">
        <v>209</v>
      </c>
      <c r="CA246" s="1" t="s">
        <v>207</v>
      </c>
      <c r="CC246" s="1" t="s">
        <v>433</v>
      </c>
      <c r="CD246" s="1" t="s">
        <v>206</v>
      </c>
      <c r="CE246" s="1" t="s">
        <v>210</v>
      </c>
      <c r="CG246" s="1" t="s">
        <v>212</v>
      </c>
      <c r="CH246" s="1" t="s">
        <v>206</v>
      </c>
      <c r="CI246" s="1" t="s">
        <v>207</v>
      </c>
      <c r="CK246" s="1" t="s">
        <v>699</v>
      </c>
      <c r="CL246" s="1" t="s">
        <v>206</v>
      </c>
      <c r="CM246" s="1" t="s">
        <v>207</v>
      </c>
      <c r="CO246" s="1" t="s">
        <v>543</v>
      </c>
      <c r="CP246" s="1" t="s">
        <v>209</v>
      </c>
      <c r="CQ246" s="1" t="s">
        <v>210</v>
      </c>
      <c r="CS246" s="1" t="s">
        <v>663</v>
      </c>
      <c r="CT246" s="1" t="s">
        <v>206</v>
      </c>
      <c r="CU246" s="1" t="s">
        <v>617</v>
      </c>
      <c r="CX246" s="1" t="s">
        <v>204</v>
      </c>
      <c r="CY246" s="1" t="s">
        <v>617</v>
      </c>
      <c r="DA246" s="1" t="s">
        <v>200</v>
      </c>
      <c r="DC246" s="1" t="s">
        <v>785</v>
      </c>
      <c r="DD246" s="1" t="s">
        <v>518</v>
      </c>
      <c r="DE246" s="1" t="s">
        <v>229</v>
      </c>
      <c r="DF246" s="1" t="s">
        <v>787</v>
      </c>
      <c r="DH246" s="1" t="s">
        <v>365</v>
      </c>
      <c r="DI246" s="1" t="s">
        <v>1401</v>
      </c>
      <c r="DJ246" s="1" t="s">
        <v>222</v>
      </c>
      <c r="DK246" s="1" t="s">
        <v>790</v>
      </c>
      <c r="DL246" s="1" t="s">
        <v>223</v>
      </c>
      <c r="DM246" s="1" t="s">
        <v>229</v>
      </c>
      <c r="DO246" s="1" t="s">
        <v>549</v>
      </c>
      <c r="DP246" s="1" t="s">
        <v>340</v>
      </c>
      <c r="DQ246" s="1" t="s">
        <v>228</v>
      </c>
      <c r="DR246" s="1" t="s">
        <v>229</v>
      </c>
      <c r="DS246" s="1" t="s">
        <v>230</v>
      </c>
      <c r="DV246" s="1" t="s">
        <v>232</v>
      </c>
      <c r="DW246" s="1" t="s">
        <v>279</v>
      </c>
      <c r="DX246" s="1" t="s">
        <v>234</v>
      </c>
      <c r="DY246" s="1" t="s">
        <v>704</v>
      </c>
      <c r="DZ246" s="1" t="s">
        <v>343</v>
      </c>
      <c r="EA246" s="1" t="s">
        <v>257</v>
      </c>
      <c r="EC246" s="1" t="s">
        <v>645</v>
      </c>
      <c r="ED246" s="1" t="s">
        <v>407</v>
      </c>
      <c r="EM246" s="1" t="s">
        <v>238</v>
      </c>
      <c r="EQ246" s="1" t="s">
        <v>238</v>
      </c>
      <c r="EU246" s="1" t="s">
        <v>238</v>
      </c>
      <c r="EY246" s="1" t="s">
        <v>238</v>
      </c>
      <c r="FC246" s="1" t="s">
        <v>238</v>
      </c>
      <c r="FF246" s="1" t="s">
        <v>239</v>
      </c>
      <c r="FG246" s="1" t="s">
        <v>192</v>
      </c>
      <c r="FH246" s="1" t="s">
        <v>192</v>
      </c>
      <c r="FJ246" s="1" t="s">
        <v>4009</v>
      </c>
      <c r="FK246" s="1" t="s">
        <v>229</v>
      </c>
      <c r="FL246" s="1" t="s">
        <v>4010</v>
      </c>
      <c r="FM246" s="1">
        <v>14322.0</v>
      </c>
      <c r="FN246" s="1" t="s">
        <v>4011</v>
      </c>
      <c r="FO246" s="1" t="s">
        <v>4012</v>
      </c>
      <c r="FP246" s="1">
        <v>114433.0</v>
      </c>
      <c r="FQ246" s="1" t="s">
        <v>4013</v>
      </c>
      <c r="FU246" s="1" t="s">
        <v>4014</v>
      </c>
      <c r="FV246" s="1" t="s">
        <v>200</v>
      </c>
      <c r="FW246" s="1" t="s">
        <v>567</v>
      </c>
      <c r="FX246" s="1" t="s">
        <v>246</v>
      </c>
      <c r="FZ246" s="1" t="s">
        <v>229</v>
      </c>
      <c r="GA246" s="1" t="s">
        <v>291</v>
      </c>
      <c r="GB246" s="2">
        <v>42012.0</v>
      </c>
      <c r="GC246" s="1" t="s">
        <v>4015</v>
      </c>
    </row>
    <row r="247">
      <c r="A247" s="1">
        <v>226000.0</v>
      </c>
      <c r="B247" s="1" t="s">
        <v>185</v>
      </c>
      <c r="C247" s="1" t="str">
        <f>"08769740"</f>
        <v>08769740</v>
      </c>
      <c r="D247" s="1" t="s">
        <v>186</v>
      </c>
      <c r="F247" s="1" t="str">
        <f>"178"</f>
        <v>178</v>
      </c>
      <c r="G247" s="2">
        <v>41948.0</v>
      </c>
      <c r="H247" s="1">
        <v>249900.0</v>
      </c>
      <c r="I247" s="1">
        <v>21.0</v>
      </c>
      <c r="J247" s="1">
        <v>235000.0</v>
      </c>
      <c r="K247" s="2">
        <v>41968.0</v>
      </c>
      <c r="L247" s="1">
        <v>21.0</v>
      </c>
      <c r="M247" s="2">
        <v>41968.0</v>
      </c>
      <c r="N247" s="1" t="s">
        <v>187</v>
      </c>
      <c r="O247" s="2">
        <v>42003.0</v>
      </c>
      <c r="P247" s="1">
        <v>237413.0</v>
      </c>
      <c r="Q247" s="1">
        <v>24809.0</v>
      </c>
      <c r="S247" s="1">
        <v>242.0</v>
      </c>
      <c r="T247" s="1" t="s">
        <v>4016</v>
      </c>
      <c r="U247" s="1" t="s">
        <v>694</v>
      </c>
      <c r="V247" s="1" t="s">
        <v>994</v>
      </c>
      <c r="W247" s="1">
        <v>60178.0</v>
      </c>
      <c r="Y247" s="1" t="s">
        <v>4017</v>
      </c>
      <c r="Z247" s="1">
        <v>2007.0</v>
      </c>
      <c r="AA247" s="1" t="s">
        <v>200</v>
      </c>
      <c r="AB247" s="1" t="s">
        <v>467</v>
      </c>
      <c r="AC247" s="1" t="s">
        <v>4018</v>
      </c>
      <c r="AD247" s="1" t="s">
        <v>997</v>
      </c>
      <c r="AE247" s="1" t="s">
        <v>613</v>
      </c>
      <c r="AF247" s="1" t="s">
        <v>4019</v>
      </c>
      <c r="AG247" s="1" t="s">
        <v>4020</v>
      </c>
      <c r="AH247" s="1" t="s">
        <v>4021</v>
      </c>
      <c r="AI247" s="1">
        <v>0.21</v>
      </c>
      <c r="AK247" s="1">
        <v>8.0</v>
      </c>
      <c r="AL247" s="1">
        <v>4.0</v>
      </c>
      <c r="AM247" s="1">
        <v>2.0</v>
      </c>
      <c r="AN247" s="1">
        <v>1.0</v>
      </c>
      <c r="AO247" s="1" t="s">
        <v>198</v>
      </c>
      <c r="AP247" s="1">
        <v>1.0</v>
      </c>
      <c r="AQ247" s="1" t="s">
        <v>198</v>
      </c>
      <c r="AR247" s="1" t="s">
        <v>200</v>
      </c>
      <c r="AS247" s="1" t="s">
        <v>199</v>
      </c>
      <c r="AT247" s="1">
        <v>3.0</v>
      </c>
      <c r="AV247" s="1" t="s">
        <v>200</v>
      </c>
      <c r="AW247" s="1">
        <v>6264.0</v>
      </c>
      <c r="AX247" s="1">
        <v>2013.0</v>
      </c>
      <c r="AY247" s="1" t="s">
        <v>387</v>
      </c>
      <c r="AZ247" s="1" t="s">
        <v>200</v>
      </c>
      <c r="BA247" s="1" t="str">
        <f>"0905402054"</f>
        <v>0905402054</v>
      </c>
      <c r="BC247" s="1">
        <v>2500.0</v>
      </c>
      <c r="BD247" s="1">
        <v>226000.0</v>
      </c>
      <c r="BE247" s="2">
        <v>41948.0</v>
      </c>
      <c r="BF247" s="2" t="s">
        <v>4022</v>
      </c>
      <c r="BH247" s="1">
        <v>369.0</v>
      </c>
      <c r="BK247" s="1" t="s">
        <v>580</v>
      </c>
      <c r="BL247" s="1" t="str">
        <f t="shared" ref="BL247:BM247" si="171">""</f>
        <v/>
      </c>
      <c r="BM247" s="1" t="str">
        <f t="shared" si="171"/>
        <v/>
      </c>
      <c r="BQ247" s="1">
        <v>427.0</v>
      </c>
      <c r="BR247" s="1">
        <v>427.0</v>
      </c>
      <c r="BS247" s="1">
        <v>427.0</v>
      </c>
      <c r="BU247" s="1" t="s">
        <v>363</v>
      </c>
      <c r="BV247" s="1" t="s">
        <v>206</v>
      </c>
      <c r="BW247" s="1" t="s">
        <v>210</v>
      </c>
      <c r="BY247" s="1" t="s">
        <v>390</v>
      </c>
      <c r="BZ247" s="1" t="s">
        <v>209</v>
      </c>
      <c r="CA247" s="1" t="s">
        <v>210</v>
      </c>
      <c r="CC247" s="1" t="s">
        <v>205</v>
      </c>
      <c r="CD247" s="1" t="s">
        <v>206</v>
      </c>
      <c r="CE247" s="1" t="s">
        <v>210</v>
      </c>
      <c r="CG247" s="1" t="s">
        <v>495</v>
      </c>
      <c r="CH247" s="1" t="s">
        <v>209</v>
      </c>
      <c r="CI247" s="1" t="s">
        <v>210</v>
      </c>
      <c r="CK247" s="1" t="s">
        <v>264</v>
      </c>
      <c r="CL247" s="1" t="s">
        <v>209</v>
      </c>
      <c r="CM247" s="1" t="s">
        <v>210</v>
      </c>
      <c r="CO247" s="1" t="s">
        <v>212</v>
      </c>
      <c r="CP247" s="1" t="s">
        <v>209</v>
      </c>
      <c r="CQ247" s="1" t="s">
        <v>210</v>
      </c>
      <c r="CS247" s="1" t="s">
        <v>664</v>
      </c>
      <c r="CT247" s="1" t="s">
        <v>206</v>
      </c>
      <c r="CU247" s="1" t="s">
        <v>268</v>
      </c>
      <c r="CW247" s="1" t="s">
        <v>616</v>
      </c>
      <c r="CX247" s="1" t="s">
        <v>206</v>
      </c>
      <c r="CY247" s="1" t="s">
        <v>210</v>
      </c>
      <c r="DA247" s="1" t="s">
        <v>200</v>
      </c>
      <c r="DC247" s="1" t="s">
        <v>481</v>
      </c>
      <c r="DD247" s="1" t="s">
        <v>4023</v>
      </c>
      <c r="DE247" s="1" t="s">
        <v>273</v>
      </c>
      <c r="DF247" s="1" t="s">
        <v>219</v>
      </c>
      <c r="DG247" s="1" t="s">
        <v>3020</v>
      </c>
      <c r="DH247" s="1" t="s">
        <v>220</v>
      </c>
      <c r="DI247" s="1" t="s">
        <v>519</v>
      </c>
      <c r="DJ247" s="1" t="s">
        <v>222</v>
      </c>
      <c r="DL247" s="1" t="s">
        <v>1870</v>
      </c>
      <c r="DM247" s="1" t="s">
        <v>338</v>
      </c>
      <c r="DN247" s="1" t="s">
        <v>399</v>
      </c>
      <c r="DO247" s="1" t="s">
        <v>549</v>
      </c>
      <c r="DP247" s="1" t="s">
        <v>340</v>
      </c>
      <c r="DQ247" s="1" t="s">
        <v>228</v>
      </c>
      <c r="DR247" s="1" t="s">
        <v>4024</v>
      </c>
      <c r="DS247" s="1" t="s">
        <v>368</v>
      </c>
      <c r="DV247" s="1" t="s">
        <v>4025</v>
      </c>
      <c r="DW247" s="1" t="s">
        <v>934</v>
      </c>
      <c r="DX247" s="1" t="s">
        <v>234</v>
      </c>
      <c r="DY247" s="1" t="s">
        <v>4026</v>
      </c>
      <c r="DZ247" s="1" t="s">
        <v>282</v>
      </c>
      <c r="EA247" s="1" t="s">
        <v>344</v>
      </c>
      <c r="EB247" s="1" t="s">
        <v>2915</v>
      </c>
      <c r="EC247" s="1" t="s">
        <v>237</v>
      </c>
      <c r="ED247" s="1" t="s">
        <v>4027</v>
      </c>
      <c r="EE247" s="1" t="s">
        <v>187</v>
      </c>
      <c r="EG247" s="1" t="s">
        <v>1102</v>
      </c>
      <c r="EH247" s="1" t="s">
        <v>408</v>
      </c>
      <c r="EL247" s="1" t="s">
        <v>433</v>
      </c>
      <c r="EM247" s="1" t="s">
        <v>206</v>
      </c>
      <c r="EN247" s="1" t="s">
        <v>268</v>
      </c>
      <c r="EO247" s="1" t="s">
        <v>1549</v>
      </c>
      <c r="EP247" s="1" t="s">
        <v>4028</v>
      </c>
      <c r="EQ247" s="1" t="s">
        <v>206</v>
      </c>
      <c r="ER247" s="1" t="s">
        <v>268</v>
      </c>
      <c r="EU247" s="1" t="s">
        <v>238</v>
      </c>
      <c r="EY247" s="1" t="s">
        <v>238</v>
      </c>
      <c r="FC247" s="1" t="s">
        <v>238</v>
      </c>
      <c r="FF247" s="1" t="s">
        <v>239</v>
      </c>
      <c r="FG247" s="1" t="s">
        <v>192</v>
      </c>
      <c r="FH247" s="1" t="s">
        <v>192</v>
      </c>
      <c r="FJ247" s="1" t="s">
        <v>4029</v>
      </c>
      <c r="FK247" s="1" t="s">
        <v>229</v>
      </c>
      <c r="FL247" s="1" t="s">
        <v>974</v>
      </c>
      <c r="FM247" s="1">
        <v>10900.0</v>
      </c>
      <c r="FN247" s="1" t="s">
        <v>1435</v>
      </c>
      <c r="FO247" s="1" t="s">
        <v>4030</v>
      </c>
      <c r="FP247" s="1">
        <v>185736.0</v>
      </c>
      <c r="FQ247" s="1" t="s">
        <v>4031</v>
      </c>
      <c r="FS247" s="1" t="s">
        <v>4032</v>
      </c>
      <c r="FU247" s="1" t="s">
        <v>4033</v>
      </c>
      <c r="FV247" s="1" t="s">
        <v>200</v>
      </c>
      <c r="FW247" s="1" t="s">
        <v>567</v>
      </c>
      <c r="FX247" s="1" t="s">
        <v>1739</v>
      </c>
      <c r="FZ247" s="1" t="s">
        <v>229</v>
      </c>
      <c r="GA247" s="1" t="s">
        <v>291</v>
      </c>
      <c r="GB247" s="2">
        <v>42010.0</v>
      </c>
      <c r="GC247" s="1" t="s">
        <v>4034</v>
      </c>
    </row>
    <row r="248">
      <c r="A248" s="1">
        <v>181000.0</v>
      </c>
      <c r="B248" s="1" t="s">
        <v>185</v>
      </c>
      <c r="C248" s="1" t="str">
        <f>"08772393"</f>
        <v>08772393</v>
      </c>
      <c r="D248" s="1" t="s">
        <v>186</v>
      </c>
      <c r="F248" s="1" t="str">
        <f>"107"</f>
        <v>107</v>
      </c>
      <c r="G248" s="2">
        <v>41953.0</v>
      </c>
      <c r="H248" s="1">
        <v>199900.0</v>
      </c>
      <c r="I248" s="1">
        <v>51.0</v>
      </c>
      <c r="J248" s="1">
        <v>184500.0</v>
      </c>
      <c r="K248" s="2">
        <v>42003.0</v>
      </c>
      <c r="L248" s="1">
        <v>51.0</v>
      </c>
      <c r="M248" s="2">
        <v>42003.0</v>
      </c>
      <c r="N248" s="1" t="s">
        <v>187</v>
      </c>
      <c r="O248" s="2">
        <v>42034.0</v>
      </c>
      <c r="P248" s="1">
        <v>241902.0</v>
      </c>
      <c r="Q248" s="1">
        <v>8079.0</v>
      </c>
      <c r="S248" s="1">
        <v>517.0</v>
      </c>
      <c r="T248" s="1" t="s">
        <v>4035</v>
      </c>
      <c r="U248" s="1" t="s">
        <v>569</v>
      </c>
      <c r="V248" s="1" t="s">
        <v>294</v>
      </c>
      <c r="W248" s="1">
        <v>60107.0</v>
      </c>
      <c r="Y248" s="1" t="s">
        <v>4036</v>
      </c>
      <c r="Z248" s="1">
        <v>1968.0</v>
      </c>
      <c r="AA248" s="1" t="s">
        <v>192</v>
      </c>
      <c r="AB248" s="1" t="s">
        <v>193</v>
      </c>
      <c r="AC248" s="1" t="s">
        <v>4037</v>
      </c>
      <c r="AD248" s="1" t="s">
        <v>297</v>
      </c>
      <c r="AE248" s="1" t="s">
        <v>195</v>
      </c>
      <c r="AF248" s="1" t="s">
        <v>298</v>
      </c>
      <c r="AH248" s="1" t="s">
        <v>4038</v>
      </c>
      <c r="AK248" s="1">
        <v>8.0</v>
      </c>
      <c r="AL248" s="1">
        <v>4.0</v>
      </c>
      <c r="AM248" s="1">
        <v>2.0</v>
      </c>
      <c r="AN248" s="1">
        <v>0.0</v>
      </c>
      <c r="AO248" s="1" t="s">
        <v>229</v>
      </c>
      <c r="AP248" s="1">
        <v>1.0</v>
      </c>
      <c r="AQ248" s="1" t="s">
        <v>229</v>
      </c>
      <c r="AR248" s="1" t="s">
        <v>200</v>
      </c>
      <c r="AS248" s="1" t="s">
        <v>199</v>
      </c>
      <c r="AT248" s="1">
        <v>2.0</v>
      </c>
      <c r="AV248" s="1" t="s">
        <v>200</v>
      </c>
      <c r="AW248" s="1">
        <v>4898.0</v>
      </c>
      <c r="AX248" s="1">
        <v>2013.0</v>
      </c>
      <c r="AZ248" s="1" t="s">
        <v>200</v>
      </c>
      <c r="BA248" s="1" t="str">
        <f>"06232060150000"</f>
        <v>06232060150000</v>
      </c>
      <c r="BC248" s="1">
        <v>1950.0</v>
      </c>
      <c r="BD248" s="1">
        <v>181000.0</v>
      </c>
      <c r="BE248" s="2">
        <v>41953.0</v>
      </c>
      <c r="BF248" s="2" t="s">
        <v>4039</v>
      </c>
      <c r="BH248" s="1">
        <v>0.0</v>
      </c>
      <c r="BK248" s="1" t="s">
        <v>204</v>
      </c>
      <c r="BL248" s="1" t="str">
        <f t="shared" ref="BL248:BM248" si="172">""</f>
        <v/>
      </c>
      <c r="BM248" s="1" t="str">
        <f t="shared" si="172"/>
        <v/>
      </c>
      <c r="BQ248" s="1">
        <v>46.0</v>
      </c>
      <c r="BR248" s="1">
        <v>211.0</v>
      </c>
      <c r="BS248" s="1">
        <v>46.0</v>
      </c>
      <c r="BU248" s="1" t="s">
        <v>454</v>
      </c>
      <c r="BV248" s="1" t="s">
        <v>206</v>
      </c>
      <c r="BW248" s="1" t="s">
        <v>210</v>
      </c>
      <c r="BY248" s="1" t="s">
        <v>392</v>
      </c>
      <c r="BZ248" s="1" t="s">
        <v>206</v>
      </c>
      <c r="CA248" s="1" t="s">
        <v>210</v>
      </c>
      <c r="CD248" s="1" t="s">
        <v>204</v>
      </c>
      <c r="CG248" s="1" t="s">
        <v>543</v>
      </c>
      <c r="CH248" s="1" t="s">
        <v>206</v>
      </c>
      <c r="CI248" s="1" t="s">
        <v>210</v>
      </c>
      <c r="CK248" s="1" t="s">
        <v>798</v>
      </c>
      <c r="CL248" s="1" t="s">
        <v>206</v>
      </c>
      <c r="CM248" s="1" t="s">
        <v>210</v>
      </c>
      <c r="CO248" s="1" t="s">
        <v>1158</v>
      </c>
      <c r="CP248" s="1" t="s">
        <v>267</v>
      </c>
      <c r="CQ248" s="1" t="s">
        <v>210</v>
      </c>
      <c r="CS248" s="1" t="s">
        <v>904</v>
      </c>
      <c r="CT248" s="1" t="s">
        <v>206</v>
      </c>
      <c r="CU248" s="1" t="s">
        <v>617</v>
      </c>
      <c r="CW248" s="1" t="s">
        <v>2565</v>
      </c>
      <c r="CX248" s="1" t="s">
        <v>206</v>
      </c>
      <c r="CY248" s="1" t="s">
        <v>210</v>
      </c>
      <c r="DA248" s="1" t="s">
        <v>200</v>
      </c>
      <c r="DC248" s="1" t="s">
        <v>517</v>
      </c>
      <c r="DD248" s="1" t="s">
        <v>518</v>
      </c>
      <c r="DE248" s="1" t="s">
        <v>273</v>
      </c>
      <c r="DF248" s="1" t="s">
        <v>219</v>
      </c>
      <c r="DH248" s="1" t="s">
        <v>307</v>
      </c>
      <c r="DI248" s="1" t="s">
        <v>789</v>
      </c>
      <c r="DJ248" s="1" t="s">
        <v>222</v>
      </c>
      <c r="DL248" s="1" t="s">
        <v>229</v>
      </c>
      <c r="DM248" s="1" t="s">
        <v>229</v>
      </c>
      <c r="DO248" s="1" t="s">
        <v>549</v>
      </c>
      <c r="DQ248" s="1" t="s">
        <v>228</v>
      </c>
      <c r="DR248" s="1" t="s">
        <v>229</v>
      </c>
      <c r="DV248" s="1" t="s">
        <v>450</v>
      </c>
      <c r="DW248" s="1" t="s">
        <v>891</v>
      </c>
      <c r="DX248" s="1" t="s">
        <v>309</v>
      </c>
      <c r="DZ248" s="1" t="s">
        <v>446</v>
      </c>
      <c r="EC248" s="1" t="s">
        <v>311</v>
      </c>
      <c r="EG248" s="1" t="s">
        <v>450</v>
      </c>
      <c r="EL248" s="1" t="s">
        <v>390</v>
      </c>
      <c r="EM248" s="1" t="s">
        <v>267</v>
      </c>
      <c r="EN248" s="1" t="s">
        <v>617</v>
      </c>
      <c r="EQ248" s="1" t="s">
        <v>238</v>
      </c>
      <c r="EU248" s="1" t="s">
        <v>238</v>
      </c>
      <c r="EY248" s="1" t="s">
        <v>238</v>
      </c>
      <c r="FC248" s="1" t="s">
        <v>238</v>
      </c>
      <c r="FF248" s="1" t="s">
        <v>239</v>
      </c>
      <c r="FG248" s="1" t="s">
        <v>192</v>
      </c>
      <c r="FH248" s="1" t="s">
        <v>192</v>
      </c>
      <c r="FJ248" s="1" t="s">
        <v>4040</v>
      </c>
      <c r="FK248" s="1" t="s">
        <v>229</v>
      </c>
      <c r="FL248" s="1" t="s">
        <v>314</v>
      </c>
      <c r="FM248" s="1">
        <v>15130.0</v>
      </c>
      <c r="FN248" s="1" t="s">
        <v>315</v>
      </c>
      <c r="FO248" s="1" t="s">
        <v>316</v>
      </c>
      <c r="FP248" s="1">
        <v>152647.0</v>
      </c>
      <c r="FQ248" s="1" t="s">
        <v>317</v>
      </c>
      <c r="FU248" s="1" t="s">
        <v>4041</v>
      </c>
      <c r="FV248" s="1" t="s">
        <v>192</v>
      </c>
      <c r="FW248" s="1" t="s">
        <v>290</v>
      </c>
      <c r="FZ248" s="1" t="s">
        <v>229</v>
      </c>
      <c r="GA248" s="1" t="s">
        <v>291</v>
      </c>
      <c r="GB248" s="2">
        <v>42058.0</v>
      </c>
      <c r="GC248" s="1" t="s">
        <v>4042</v>
      </c>
    </row>
    <row r="249">
      <c r="A249" s="1">
        <v>32500.0</v>
      </c>
      <c r="B249" s="1" t="s">
        <v>185</v>
      </c>
      <c r="C249" s="1" t="str">
        <f>"08774006"</f>
        <v>08774006</v>
      </c>
      <c r="D249" s="1" t="s">
        <v>186</v>
      </c>
      <c r="F249" s="1" t="str">
        <f>"8029"</f>
        <v>8029</v>
      </c>
      <c r="G249" s="2">
        <v>41955.0</v>
      </c>
      <c r="H249" s="1">
        <v>39900.0</v>
      </c>
      <c r="I249" s="1">
        <v>64.0</v>
      </c>
      <c r="J249" s="1">
        <v>34500.0</v>
      </c>
      <c r="K249" s="2">
        <v>42017.0</v>
      </c>
      <c r="L249" s="1">
        <v>64.0</v>
      </c>
      <c r="M249" s="2">
        <v>42017.0</v>
      </c>
      <c r="N249" s="1" t="s">
        <v>249</v>
      </c>
      <c r="O249" s="2">
        <v>42024.0</v>
      </c>
      <c r="P249" s="1">
        <v>175275.0</v>
      </c>
      <c r="Q249" s="1">
        <v>84077.0</v>
      </c>
      <c r="S249" s="1">
        <v>1868.0</v>
      </c>
      <c r="T249" s="1" t="s">
        <v>2983</v>
      </c>
      <c r="U249" s="1" t="s">
        <v>189</v>
      </c>
      <c r="V249" s="1" t="s">
        <v>190</v>
      </c>
      <c r="W249" s="1">
        <v>60623.0</v>
      </c>
      <c r="Y249" s="1" t="s">
        <v>4043</v>
      </c>
      <c r="Z249" s="1">
        <v>1895.0</v>
      </c>
      <c r="AA249" s="1" t="s">
        <v>192</v>
      </c>
      <c r="AB249" s="1" t="s">
        <v>193</v>
      </c>
      <c r="AD249" s="1" t="s">
        <v>194</v>
      </c>
      <c r="AE249" s="1" t="s">
        <v>195</v>
      </c>
      <c r="AF249" s="1" t="s">
        <v>827</v>
      </c>
      <c r="AH249" s="1" t="s">
        <v>741</v>
      </c>
      <c r="AI249" s="1">
        <v>0.0714</v>
      </c>
      <c r="AK249" s="1">
        <v>7.0</v>
      </c>
      <c r="AL249" s="1">
        <v>4.0</v>
      </c>
      <c r="AM249" s="1">
        <v>2.0</v>
      </c>
      <c r="AN249" s="1">
        <v>0.0</v>
      </c>
      <c r="AO249" s="1" t="s">
        <v>229</v>
      </c>
      <c r="AQ249" s="1" t="s">
        <v>198</v>
      </c>
      <c r="AR249" s="1" t="s">
        <v>200</v>
      </c>
      <c r="AS249" s="1" t="s">
        <v>229</v>
      </c>
      <c r="AV249" s="1" t="s">
        <v>200</v>
      </c>
      <c r="AW249" s="1">
        <v>2585.46</v>
      </c>
      <c r="AX249" s="1">
        <v>2012.0</v>
      </c>
      <c r="AZ249" s="1" t="s">
        <v>200</v>
      </c>
      <c r="BA249" s="1" t="str">
        <f>"16234140460000"</f>
        <v>16234140460000</v>
      </c>
      <c r="BC249" s="1">
        <v>2462.0</v>
      </c>
      <c r="BD249" s="1">
        <v>32500.0</v>
      </c>
      <c r="BE249" s="2">
        <v>41954.0</v>
      </c>
      <c r="BF249" s="1" t="s">
        <v>4044</v>
      </c>
      <c r="BH249" s="1">
        <v>0.0</v>
      </c>
      <c r="BK249" s="1" t="s">
        <v>204</v>
      </c>
      <c r="BL249" s="1" t="str">
        <f t="shared" ref="BL249:BM249" si="173">"0"</f>
        <v>0</v>
      </c>
      <c r="BM249" s="1" t="str">
        <f t="shared" si="173"/>
        <v>0</v>
      </c>
      <c r="BN249" s="1">
        <v>3332.0</v>
      </c>
      <c r="BO249" s="1">
        <v>2107.0</v>
      </c>
      <c r="BQ249" s="1">
        <v>299.0</v>
      </c>
      <c r="BR249" s="1">
        <v>299.0</v>
      </c>
      <c r="BS249" s="1">
        <v>299.0</v>
      </c>
      <c r="BU249" s="1" t="s">
        <v>1044</v>
      </c>
      <c r="BV249" s="1" t="s">
        <v>206</v>
      </c>
      <c r="BY249" s="1" t="s">
        <v>478</v>
      </c>
      <c r="BZ249" s="1" t="s">
        <v>209</v>
      </c>
      <c r="CC249" s="1" t="s">
        <v>4045</v>
      </c>
      <c r="CD249" s="1" t="s">
        <v>206</v>
      </c>
      <c r="CG249" s="1" t="s">
        <v>1245</v>
      </c>
      <c r="CH249" s="1" t="s">
        <v>209</v>
      </c>
      <c r="CK249" s="1" t="s">
        <v>263</v>
      </c>
      <c r="CL249" s="1" t="s">
        <v>209</v>
      </c>
      <c r="CO249" s="1" t="s">
        <v>1796</v>
      </c>
      <c r="CP249" s="1" t="s">
        <v>209</v>
      </c>
      <c r="CS249" s="1" t="s">
        <v>4046</v>
      </c>
      <c r="CT249" s="1" t="s">
        <v>206</v>
      </c>
      <c r="CX249" s="1" t="s">
        <v>204</v>
      </c>
      <c r="DA249" s="1" t="s">
        <v>200</v>
      </c>
      <c r="DC249" s="1" t="s">
        <v>642</v>
      </c>
      <c r="DE249" s="1" t="s">
        <v>229</v>
      </c>
      <c r="DF249" s="1" t="s">
        <v>619</v>
      </c>
      <c r="DH249" s="1" t="s">
        <v>365</v>
      </c>
      <c r="DJ249" s="1" t="s">
        <v>4047</v>
      </c>
      <c r="DL249" s="1" t="s">
        <v>223</v>
      </c>
      <c r="DM249" s="1" t="s">
        <v>229</v>
      </c>
      <c r="DQ249" s="1" t="s">
        <v>228</v>
      </c>
      <c r="DR249" s="1" t="s">
        <v>229</v>
      </c>
      <c r="DV249" s="1" t="s">
        <v>232</v>
      </c>
      <c r="DW249" s="1" t="s">
        <v>279</v>
      </c>
      <c r="DX249" s="1" t="s">
        <v>234</v>
      </c>
      <c r="EC249" s="1" t="s">
        <v>237</v>
      </c>
      <c r="EM249" s="1" t="s">
        <v>238</v>
      </c>
      <c r="EQ249" s="1" t="s">
        <v>238</v>
      </c>
      <c r="EU249" s="1" t="s">
        <v>238</v>
      </c>
      <c r="EY249" s="1" t="s">
        <v>238</v>
      </c>
      <c r="FC249" s="1" t="s">
        <v>238</v>
      </c>
      <c r="FF249" s="1" t="s">
        <v>239</v>
      </c>
      <c r="FG249" s="1" t="s">
        <v>192</v>
      </c>
      <c r="FH249" s="1" t="s">
        <v>192</v>
      </c>
      <c r="FJ249" s="1" t="s">
        <v>347</v>
      </c>
      <c r="FK249" s="1" t="s">
        <v>229</v>
      </c>
      <c r="FL249" s="1" t="s">
        <v>4048</v>
      </c>
      <c r="FM249" s="1">
        <v>84077.0</v>
      </c>
      <c r="FN249" s="1" t="s">
        <v>4049</v>
      </c>
      <c r="FO249" s="1" t="s">
        <v>4050</v>
      </c>
      <c r="FP249" s="1">
        <v>175275.0</v>
      </c>
      <c r="FU249" s="1" t="s">
        <v>4051</v>
      </c>
      <c r="FV249" s="1" t="s">
        <v>200</v>
      </c>
      <c r="FW249" s="1" t="s">
        <v>354</v>
      </c>
      <c r="FX249" s="1" t="s">
        <v>655</v>
      </c>
      <c r="FZ249" s="1" t="s">
        <v>229</v>
      </c>
      <c r="GA249" s="1" t="s">
        <v>291</v>
      </c>
      <c r="GB249" s="2">
        <v>42024.0</v>
      </c>
      <c r="GC249" s="1" t="s">
        <v>4052</v>
      </c>
    </row>
    <row r="250">
      <c r="A250" s="1">
        <v>210000.0</v>
      </c>
      <c r="B250" s="1" t="s">
        <v>185</v>
      </c>
      <c r="C250" s="1" t="str">
        <f>"08774578"</f>
        <v>08774578</v>
      </c>
      <c r="D250" s="1" t="s">
        <v>186</v>
      </c>
      <c r="F250" s="1" t="str">
        <f>"542"</f>
        <v>542</v>
      </c>
      <c r="G250" s="2">
        <v>41955.0</v>
      </c>
      <c r="H250" s="1">
        <v>238000.0</v>
      </c>
      <c r="I250" s="1">
        <v>67.0</v>
      </c>
      <c r="J250" s="1">
        <v>219500.0</v>
      </c>
      <c r="K250" s="2">
        <v>42020.0</v>
      </c>
      <c r="L250" s="1">
        <v>67.0</v>
      </c>
      <c r="M250" s="2">
        <v>42020.0</v>
      </c>
      <c r="N250" s="1" t="s">
        <v>187</v>
      </c>
      <c r="O250" s="2">
        <v>42048.0</v>
      </c>
      <c r="P250" s="1">
        <v>234230.0</v>
      </c>
      <c r="Q250" s="1">
        <v>23156.0</v>
      </c>
      <c r="S250" s="1">
        <v>504.0</v>
      </c>
      <c r="T250" s="1" t="s">
        <v>4053</v>
      </c>
      <c r="U250" s="1" t="s">
        <v>1174</v>
      </c>
      <c r="V250" s="1" t="s">
        <v>3984</v>
      </c>
      <c r="W250" s="1">
        <v>60542.0</v>
      </c>
      <c r="Y250" s="1" t="s">
        <v>4054</v>
      </c>
      <c r="Z250" s="1">
        <v>1997.0</v>
      </c>
      <c r="AA250" s="1" t="s">
        <v>200</v>
      </c>
      <c r="AB250" s="1" t="s">
        <v>193</v>
      </c>
      <c r="AC250" s="1" t="s">
        <v>4055</v>
      </c>
      <c r="AD250" s="1" t="s">
        <v>3986</v>
      </c>
      <c r="AE250" s="1" t="s">
        <v>325</v>
      </c>
      <c r="AF250" s="1" t="s">
        <v>2702</v>
      </c>
      <c r="AG250" s="1" t="s">
        <v>4056</v>
      </c>
      <c r="AH250" s="1" t="s">
        <v>4057</v>
      </c>
      <c r="AK250" s="1">
        <v>9.0</v>
      </c>
      <c r="AL250" s="1">
        <v>3.0</v>
      </c>
      <c r="AM250" s="1">
        <v>1.0</v>
      </c>
      <c r="AN250" s="1">
        <v>1.0</v>
      </c>
      <c r="AO250" s="1" t="s">
        <v>229</v>
      </c>
      <c r="AP250" s="1">
        <v>1.0</v>
      </c>
      <c r="AQ250" s="1" t="s">
        <v>198</v>
      </c>
      <c r="AR250" s="1" t="s">
        <v>200</v>
      </c>
      <c r="AS250" s="1" t="s">
        <v>199</v>
      </c>
      <c r="AT250" s="1">
        <v>2.0</v>
      </c>
      <c r="AV250" s="1" t="s">
        <v>200</v>
      </c>
      <c r="AW250" s="1">
        <v>6636.0</v>
      </c>
      <c r="AX250" s="1">
        <v>2013.0</v>
      </c>
      <c r="AY250" s="1" t="s">
        <v>387</v>
      </c>
      <c r="AZ250" s="1" t="s">
        <v>200</v>
      </c>
      <c r="BA250" s="1" t="str">
        <f>"1234402012"</f>
        <v>1234402012</v>
      </c>
      <c r="BB250" s="1" t="s">
        <v>200</v>
      </c>
      <c r="BC250" s="1">
        <v>0.0</v>
      </c>
      <c r="BD250" s="1">
        <v>210000.0</v>
      </c>
      <c r="BE250" s="2">
        <v>41954.0</v>
      </c>
      <c r="BF250" s="2" t="s">
        <v>4058</v>
      </c>
      <c r="BG250" s="1" t="s">
        <v>4059</v>
      </c>
      <c r="BH250" s="1">
        <v>0.0</v>
      </c>
      <c r="BJ250" s="1" t="s">
        <v>3831</v>
      </c>
      <c r="BK250" s="1" t="s">
        <v>204</v>
      </c>
      <c r="BL250" s="1" t="str">
        <f t="shared" ref="BL250:BM250" si="174">""</f>
        <v/>
      </c>
      <c r="BM250" s="1" t="str">
        <f t="shared" si="174"/>
        <v/>
      </c>
      <c r="BQ250" s="1">
        <v>129.0</v>
      </c>
      <c r="BR250" s="1">
        <v>129.0</v>
      </c>
      <c r="BS250" s="1">
        <v>129.0</v>
      </c>
      <c r="BU250" s="1" t="s">
        <v>495</v>
      </c>
      <c r="BV250" s="1" t="s">
        <v>206</v>
      </c>
      <c r="BW250" s="1" t="s">
        <v>210</v>
      </c>
      <c r="BX250" s="1" t="s">
        <v>229</v>
      </c>
      <c r="BY250" s="1" t="s">
        <v>743</v>
      </c>
      <c r="BZ250" s="1" t="s">
        <v>209</v>
      </c>
      <c r="CA250" s="1" t="s">
        <v>210</v>
      </c>
      <c r="CB250" s="1" t="s">
        <v>1549</v>
      </c>
      <c r="CC250" s="1" t="s">
        <v>495</v>
      </c>
      <c r="CD250" s="1" t="s">
        <v>206</v>
      </c>
      <c r="CE250" s="1" t="s">
        <v>207</v>
      </c>
      <c r="CF250" s="1" t="s">
        <v>229</v>
      </c>
      <c r="CG250" s="1" t="s">
        <v>495</v>
      </c>
      <c r="CH250" s="1" t="s">
        <v>209</v>
      </c>
      <c r="CI250" s="1" t="s">
        <v>210</v>
      </c>
      <c r="CJ250" s="1" t="s">
        <v>1118</v>
      </c>
      <c r="CK250" s="1" t="s">
        <v>495</v>
      </c>
      <c r="CL250" s="1" t="s">
        <v>209</v>
      </c>
      <c r="CM250" s="1" t="s">
        <v>210</v>
      </c>
      <c r="CN250" s="1" t="s">
        <v>1118</v>
      </c>
      <c r="CO250" s="1" t="s">
        <v>497</v>
      </c>
      <c r="CP250" s="1" t="s">
        <v>42</v>
      </c>
      <c r="CQ250" s="1" t="s">
        <v>210</v>
      </c>
      <c r="CR250" s="1" t="s">
        <v>229</v>
      </c>
      <c r="CS250" s="1" t="s">
        <v>925</v>
      </c>
      <c r="CT250" s="1" t="s">
        <v>206</v>
      </c>
      <c r="CU250" s="1" t="s">
        <v>207</v>
      </c>
      <c r="CV250" s="1" t="s">
        <v>431</v>
      </c>
      <c r="CW250" s="1" t="s">
        <v>432</v>
      </c>
      <c r="CX250" s="1" t="s">
        <v>206</v>
      </c>
      <c r="CY250" s="1" t="s">
        <v>207</v>
      </c>
      <c r="CZ250" s="1" t="s">
        <v>431</v>
      </c>
      <c r="DA250" s="1" t="s">
        <v>200</v>
      </c>
      <c r="DC250" s="1" t="s">
        <v>678</v>
      </c>
      <c r="DD250" s="1" t="s">
        <v>396</v>
      </c>
      <c r="DE250" s="1" t="s">
        <v>273</v>
      </c>
      <c r="DF250" s="1" t="s">
        <v>619</v>
      </c>
      <c r="DG250" s="1" t="s">
        <v>1317</v>
      </c>
      <c r="DH250" s="1" t="s">
        <v>220</v>
      </c>
      <c r="DI250" s="1" t="s">
        <v>519</v>
      </c>
      <c r="DJ250" s="1" t="s">
        <v>222</v>
      </c>
      <c r="DK250" s="1" t="s">
        <v>223</v>
      </c>
      <c r="DL250" s="1" t="s">
        <v>224</v>
      </c>
      <c r="DM250" s="1" t="s">
        <v>1268</v>
      </c>
      <c r="DO250" s="1" t="s">
        <v>4060</v>
      </c>
      <c r="DP250" s="1" t="s">
        <v>340</v>
      </c>
      <c r="DQ250" s="1" t="s">
        <v>441</v>
      </c>
      <c r="DR250" s="1" t="s">
        <v>229</v>
      </c>
      <c r="DS250" s="1" t="s">
        <v>277</v>
      </c>
      <c r="DU250" s="1" t="s">
        <v>4061</v>
      </c>
      <c r="DV250" s="1" t="s">
        <v>4062</v>
      </c>
      <c r="DW250" s="1" t="s">
        <v>370</v>
      </c>
      <c r="DX250" s="1" t="s">
        <v>234</v>
      </c>
      <c r="DY250" s="1" t="s">
        <v>596</v>
      </c>
      <c r="DZ250" s="1" t="s">
        <v>1661</v>
      </c>
      <c r="EA250" s="1" t="s">
        <v>344</v>
      </c>
      <c r="EB250" s="1" t="s">
        <v>937</v>
      </c>
      <c r="EC250" s="1" t="s">
        <v>237</v>
      </c>
      <c r="ED250" s="1" t="s">
        <v>407</v>
      </c>
      <c r="EE250" s="1" t="s">
        <v>1960</v>
      </c>
      <c r="EH250" s="1" t="s">
        <v>450</v>
      </c>
      <c r="EI250" s="1" t="s">
        <v>408</v>
      </c>
      <c r="EJ250" s="1" t="s">
        <v>1571</v>
      </c>
      <c r="EM250" s="1" t="s">
        <v>238</v>
      </c>
      <c r="EP250" s="1" t="s">
        <v>4063</v>
      </c>
      <c r="EQ250" s="1" t="s">
        <v>42</v>
      </c>
      <c r="ER250" s="1" t="s">
        <v>210</v>
      </c>
      <c r="ET250" s="1" t="s">
        <v>971</v>
      </c>
      <c r="EU250" s="1" t="s">
        <v>206</v>
      </c>
      <c r="EV250" s="1" t="s">
        <v>207</v>
      </c>
      <c r="EX250" s="1" t="s">
        <v>2337</v>
      </c>
      <c r="EY250" s="1" t="s">
        <v>209</v>
      </c>
      <c r="EZ250" s="1" t="s">
        <v>617</v>
      </c>
      <c r="FA250" s="1" t="s">
        <v>229</v>
      </c>
      <c r="FC250" s="1" t="s">
        <v>238</v>
      </c>
      <c r="FF250" s="1" t="s">
        <v>239</v>
      </c>
      <c r="FG250" s="1" t="s">
        <v>200</v>
      </c>
      <c r="FH250" s="1" t="s">
        <v>192</v>
      </c>
      <c r="FJ250" s="1" t="s">
        <v>4064</v>
      </c>
      <c r="FK250" s="1" t="s">
        <v>229</v>
      </c>
      <c r="FL250" s="1" t="s">
        <v>1289</v>
      </c>
      <c r="FM250" s="1">
        <v>70268.0</v>
      </c>
      <c r="FN250" s="1" t="s">
        <v>4065</v>
      </c>
      <c r="FO250" s="1" t="s">
        <v>4066</v>
      </c>
      <c r="FP250" s="1">
        <v>705752.0</v>
      </c>
      <c r="FQ250" s="1" t="s">
        <v>4067</v>
      </c>
      <c r="FU250" s="1" t="s">
        <v>4068</v>
      </c>
      <c r="FV250" s="1" t="s">
        <v>200</v>
      </c>
      <c r="FW250" s="1" t="s">
        <v>290</v>
      </c>
      <c r="FZ250" s="1" t="s">
        <v>632</v>
      </c>
      <c r="GA250" s="1" t="s">
        <v>291</v>
      </c>
      <c r="GB250" s="2">
        <v>42052.0</v>
      </c>
      <c r="GC250" s="1" t="s">
        <v>4069</v>
      </c>
    </row>
    <row r="251">
      <c r="A251" s="1">
        <v>267000.0</v>
      </c>
      <c r="B251" s="1" t="s">
        <v>185</v>
      </c>
      <c r="C251" s="1" t="str">
        <f>"08772848"</f>
        <v>08772848</v>
      </c>
      <c r="D251" s="1" t="s">
        <v>186</v>
      </c>
      <c r="F251" s="1" t="str">
        <f>"123"</f>
        <v>123</v>
      </c>
      <c r="G251" s="2">
        <v>41953.0</v>
      </c>
      <c r="H251" s="1">
        <v>269900.0</v>
      </c>
      <c r="I251" s="1">
        <v>7.0</v>
      </c>
      <c r="J251" s="1">
        <v>269900.0</v>
      </c>
      <c r="K251" s="2">
        <v>41959.0</v>
      </c>
      <c r="L251" s="1">
        <v>7.0</v>
      </c>
      <c r="M251" s="2">
        <v>41959.0</v>
      </c>
      <c r="N251" s="1" t="s">
        <v>187</v>
      </c>
      <c r="O251" s="2">
        <v>41992.0</v>
      </c>
      <c r="P251" s="1">
        <v>8423.0</v>
      </c>
      <c r="Q251" s="1">
        <v>7450.0</v>
      </c>
      <c r="S251" s="1">
        <v>1162.0</v>
      </c>
      <c r="T251" s="1" t="s">
        <v>4070</v>
      </c>
      <c r="U251" s="1" t="s">
        <v>569</v>
      </c>
      <c r="V251" s="1" t="s">
        <v>465</v>
      </c>
      <c r="W251" s="1">
        <v>60120.0</v>
      </c>
      <c r="Y251" s="1" t="s">
        <v>4071</v>
      </c>
      <c r="Z251" s="1">
        <v>2004.0</v>
      </c>
      <c r="AA251" s="1" t="s">
        <v>200</v>
      </c>
      <c r="AB251" s="1" t="s">
        <v>193</v>
      </c>
      <c r="AC251" s="1" t="s">
        <v>4072</v>
      </c>
      <c r="AD251" s="1" t="s">
        <v>469</v>
      </c>
      <c r="AE251" s="1" t="s">
        <v>195</v>
      </c>
      <c r="AF251" s="1" t="s">
        <v>469</v>
      </c>
      <c r="AG251" s="1" t="s">
        <v>4073</v>
      </c>
      <c r="AH251" s="1" t="s">
        <v>4074</v>
      </c>
      <c r="AI251" s="1">
        <v>0.2001</v>
      </c>
      <c r="AK251" s="1">
        <v>10.0</v>
      </c>
      <c r="AL251" s="1">
        <v>3.0</v>
      </c>
      <c r="AM251" s="1">
        <v>3.0</v>
      </c>
      <c r="AN251" s="1">
        <v>1.0</v>
      </c>
      <c r="AO251" s="1" t="s">
        <v>198</v>
      </c>
      <c r="AP251" s="1">
        <v>1.0</v>
      </c>
      <c r="AQ251" s="1" t="s">
        <v>198</v>
      </c>
      <c r="AR251" s="1" t="s">
        <v>192</v>
      </c>
      <c r="AS251" s="1" t="s">
        <v>199</v>
      </c>
      <c r="AT251" s="1">
        <v>2.0</v>
      </c>
      <c r="AV251" s="1" t="s">
        <v>200</v>
      </c>
      <c r="AW251" s="1">
        <v>8257.0</v>
      </c>
      <c r="AX251" s="1">
        <v>2013.0</v>
      </c>
      <c r="AZ251" s="1" t="s">
        <v>200</v>
      </c>
      <c r="BA251" s="1" t="str">
        <f>"06072210130000"</f>
        <v>06072210130000</v>
      </c>
      <c r="BC251" s="1">
        <v>2421.0</v>
      </c>
      <c r="BD251" s="1">
        <v>267000.0</v>
      </c>
      <c r="BE251" s="2">
        <v>41953.0</v>
      </c>
      <c r="BF251" s="2" t="s">
        <v>4075</v>
      </c>
      <c r="BG251" s="1" t="s">
        <v>2142</v>
      </c>
      <c r="BH251" s="1">
        <v>340.0</v>
      </c>
      <c r="BI251" s="1" t="s">
        <v>1242</v>
      </c>
      <c r="BJ251" s="1" t="s">
        <v>1243</v>
      </c>
      <c r="BK251" s="1" t="s">
        <v>580</v>
      </c>
      <c r="BL251" s="1" t="str">
        <f>"10"</f>
        <v>10</v>
      </c>
      <c r="BM251" s="1" t="str">
        <f t="shared" ref="BM251:BM252" si="175">"0"</f>
        <v>0</v>
      </c>
      <c r="BN251" s="1">
        <v>31.0</v>
      </c>
      <c r="BO251" s="1">
        <v>0.0</v>
      </c>
      <c r="BQ251" s="1">
        <v>46.0</v>
      </c>
      <c r="BR251" s="1">
        <v>46.0</v>
      </c>
      <c r="BS251" s="1">
        <v>46.0</v>
      </c>
      <c r="BU251" s="1" t="s">
        <v>454</v>
      </c>
      <c r="BV251" s="1" t="s">
        <v>206</v>
      </c>
      <c r="BW251" s="1" t="s">
        <v>210</v>
      </c>
      <c r="BX251" s="1" t="s">
        <v>431</v>
      </c>
      <c r="BY251" s="1" t="s">
        <v>1517</v>
      </c>
      <c r="BZ251" s="1" t="s">
        <v>209</v>
      </c>
      <c r="CA251" s="1" t="s">
        <v>210</v>
      </c>
      <c r="CC251" s="1" t="s">
        <v>332</v>
      </c>
      <c r="CD251" s="1" t="s">
        <v>206</v>
      </c>
      <c r="CE251" s="1" t="s">
        <v>210</v>
      </c>
      <c r="CF251" s="1" t="s">
        <v>431</v>
      </c>
      <c r="CG251" s="1" t="s">
        <v>212</v>
      </c>
      <c r="CH251" s="1" t="s">
        <v>209</v>
      </c>
      <c r="CI251" s="1" t="s">
        <v>210</v>
      </c>
      <c r="CK251" s="1" t="s">
        <v>264</v>
      </c>
      <c r="CL251" s="1" t="s">
        <v>209</v>
      </c>
      <c r="CM251" s="1" t="s">
        <v>210</v>
      </c>
      <c r="CO251" s="1" t="s">
        <v>363</v>
      </c>
      <c r="CP251" s="1" t="s">
        <v>42</v>
      </c>
      <c r="CQ251" s="1" t="s">
        <v>210</v>
      </c>
      <c r="CS251" s="1" t="s">
        <v>212</v>
      </c>
      <c r="CT251" s="1" t="s">
        <v>206</v>
      </c>
      <c r="CU251" s="1" t="s">
        <v>617</v>
      </c>
      <c r="CV251" s="1" t="s">
        <v>431</v>
      </c>
      <c r="CW251" s="1" t="s">
        <v>1892</v>
      </c>
      <c r="CX251" s="1" t="s">
        <v>206</v>
      </c>
      <c r="CY251" s="1" t="s">
        <v>210</v>
      </c>
      <c r="CZ251" s="1" t="s">
        <v>431</v>
      </c>
      <c r="DA251" s="1" t="s">
        <v>200</v>
      </c>
      <c r="DC251" s="1" t="s">
        <v>481</v>
      </c>
      <c r="DD251" s="1" t="s">
        <v>518</v>
      </c>
      <c r="DE251" s="1" t="s">
        <v>273</v>
      </c>
      <c r="DF251" s="1" t="s">
        <v>619</v>
      </c>
      <c r="DG251" s="1" t="s">
        <v>1160</v>
      </c>
      <c r="DH251" s="1" t="s">
        <v>220</v>
      </c>
      <c r="DI251" s="1" t="s">
        <v>221</v>
      </c>
      <c r="DJ251" s="1" t="s">
        <v>222</v>
      </c>
      <c r="DL251" s="1" t="s">
        <v>224</v>
      </c>
      <c r="DM251" s="1" t="s">
        <v>338</v>
      </c>
      <c r="DN251" s="1" t="s">
        <v>3293</v>
      </c>
      <c r="DO251" s="1" t="s">
        <v>486</v>
      </c>
      <c r="DP251" s="1" t="s">
        <v>340</v>
      </c>
      <c r="DQ251" s="1" t="s">
        <v>228</v>
      </c>
      <c r="DR251" s="1" t="s">
        <v>588</v>
      </c>
      <c r="DS251" s="1" t="s">
        <v>230</v>
      </c>
      <c r="DV251" s="1" t="s">
        <v>4076</v>
      </c>
      <c r="DW251" s="1" t="s">
        <v>444</v>
      </c>
      <c r="DX251" s="1" t="s">
        <v>234</v>
      </c>
      <c r="DY251" s="1" t="s">
        <v>3846</v>
      </c>
      <c r="DZ251" s="1" t="s">
        <v>4077</v>
      </c>
      <c r="EB251" s="1" t="s">
        <v>1639</v>
      </c>
      <c r="EC251" s="1" t="s">
        <v>237</v>
      </c>
      <c r="ED251" s="1" t="s">
        <v>407</v>
      </c>
      <c r="EG251" s="1" t="s">
        <v>341</v>
      </c>
      <c r="EH251" s="1" t="s">
        <v>450</v>
      </c>
      <c r="EL251" s="1" t="s">
        <v>264</v>
      </c>
      <c r="EM251" s="1" t="s">
        <v>209</v>
      </c>
      <c r="EN251" s="1" t="s">
        <v>210</v>
      </c>
      <c r="EP251" s="1" t="s">
        <v>1350</v>
      </c>
      <c r="EQ251" s="1" t="s">
        <v>42</v>
      </c>
      <c r="ER251" s="1" t="s">
        <v>210</v>
      </c>
      <c r="EU251" s="1" t="s">
        <v>238</v>
      </c>
      <c r="EY251" s="1" t="s">
        <v>238</v>
      </c>
      <c r="FC251" s="1" t="s">
        <v>238</v>
      </c>
      <c r="FF251" s="1" t="s">
        <v>239</v>
      </c>
      <c r="FG251" s="1" t="s">
        <v>192</v>
      </c>
      <c r="FH251" s="1" t="s">
        <v>192</v>
      </c>
      <c r="FJ251" s="1" t="s">
        <v>498</v>
      </c>
      <c r="FK251" s="1" t="s">
        <v>229</v>
      </c>
      <c r="FL251" s="1" t="s">
        <v>2263</v>
      </c>
      <c r="FM251" s="1">
        <v>8092.0</v>
      </c>
      <c r="FN251" s="1" t="s">
        <v>4078</v>
      </c>
      <c r="FO251" s="1" t="s">
        <v>4079</v>
      </c>
      <c r="FP251" s="1">
        <v>82909.0</v>
      </c>
      <c r="FQ251" s="1" t="s">
        <v>4080</v>
      </c>
      <c r="FU251" s="1" t="s">
        <v>4081</v>
      </c>
      <c r="FV251" s="1" t="s">
        <v>200</v>
      </c>
      <c r="FW251" s="1" t="s">
        <v>530</v>
      </c>
      <c r="FZ251" s="1" t="s">
        <v>632</v>
      </c>
      <c r="GA251" s="1" t="s">
        <v>291</v>
      </c>
      <c r="GB251" s="2">
        <v>41992.0</v>
      </c>
    </row>
    <row r="252">
      <c r="A252" s="1">
        <v>145000.0</v>
      </c>
      <c r="B252" s="1" t="s">
        <v>185</v>
      </c>
      <c r="C252" s="1" t="str">
        <f>"08788077"</f>
        <v>08788077</v>
      </c>
      <c r="D252" s="1" t="s">
        <v>186</v>
      </c>
      <c r="F252" s="1" t="str">
        <f>"8019"</f>
        <v>8019</v>
      </c>
      <c r="G252" s="2">
        <v>41960.0</v>
      </c>
      <c r="H252" s="1">
        <v>180000.0</v>
      </c>
      <c r="I252" s="1">
        <v>634.0</v>
      </c>
      <c r="J252" s="1">
        <v>149900.0</v>
      </c>
      <c r="K252" s="2">
        <v>42114.0</v>
      </c>
      <c r="L252" s="1">
        <v>157.0</v>
      </c>
      <c r="M252" s="2">
        <v>42114.0</v>
      </c>
      <c r="N252" s="1" t="s">
        <v>249</v>
      </c>
      <c r="O252" s="2">
        <v>42124.0</v>
      </c>
      <c r="P252" s="1">
        <v>244124.0</v>
      </c>
      <c r="Q252" s="1">
        <v>21153.0</v>
      </c>
      <c r="S252" s="1">
        <v>5048.0</v>
      </c>
      <c r="T252" s="1" t="s">
        <v>4082</v>
      </c>
      <c r="U252" s="1" t="s">
        <v>694</v>
      </c>
      <c r="V252" s="1" t="s">
        <v>190</v>
      </c>
      <c r="W252" s="1">
        <v>60639.0</v>
      </c>
      <c r="Y252" s="1" t="s">
        <v>4083</v>
      </c>
      <c r="Z252" s="1">
        <v>1921.0</v>
      </c>
      <c r="AA252" s="1" t="s">
        <v>192</v>
      </c>
      <c r="AB252" s="1" t="s">
        <v>193</v>
      </c>
      <c r="AD252" s="1" t="s">
        <v>194</v>
      </c>
      <c r="AE252" s="1" t="s">
        <v>195</v>
      </c>
      <c r="AF252" s="1" t="s">
        <v>196</v>
      </c>
      <c r="AH252" s="1" t="s">
        <v>4084</v>
      </c>
      <c r="AK252" s="1">
        <v>8.0</v>
      </c>
      <c r="AL252" s="1">
        <v>4.0</v>
      </c>
      <c r="AM252" s="1">
        <v>2.0</v>
      </c>
      <c r="AN252" s="1">
        <v>0.0</v>
      </c>
      <c r="AO252" s="1" t="s">
        <v>229</v>
      </c>
      <c r="AQ252" s="1" t="s">
        <v>198</v>
      </c>
      <c r="AR252" s="1" t="s">
        <v>192</v>
      </c>
      <c r="AS252" s="1" t="s">
        <v>199</v>
      </c>
      <c r="AT252" s="1">
        <v>2.0</v>
      </c>
      <c r="AV252" s="1" t="s">
        <v>200</v>
      </c>
      <c r="AW252" s="1">
        <v>2742.39</v>
      </c>
      <c r="AX252" s="1">
        <v>2013.0</v>
      </c>
      <c r="AZ252" s="1" t="s">
        <v>545</v>
      </c>
      <c r="BA252" s="1" t="str">
        <f>"13284170230000"</f>
        <v>13284170230000</v>
      </c>
      <c r="BC252" s="1">
        <v>0.0</v>
      </c>
      <c r="BD252" s="1">
        <v>145000.0</v>
      </c>
      <c r="BE252" s="2">
        <v>41958.0</v>
      </c>
      <c r="BF252" s="1" t="s">
        <v>4085</v>
      </c>
      <c r="BH252" s="1">
        <v>0.0</v>
      </c>
      <c r="BK252" s="1" t="s">
        <v>204</v>
      </c>
      <c r="BL252" s="1" t="str">
        <f>"2600"</f>
        <v>2600</v>
      </c>
      <c r="BM252" s="1" t="str">
        <f t="shared" si="175"/>
        <v>0</v>
      </c>
      <c r="BN252" s="1">
        <v>5048.0</v>
      </c>
      <c r="BO252" s="1">
        <v>0.0</v>
      </c>
      <c r="BQ252" s="1">
        <v>299.0</v>
      </c>
      <c r="BR252" s="1">
        <v>299.0</v>
      </c>
      <c r="BS252" s="1">
        <v>299.0</v>
      </c>
      <c r="BU252" s="1" t="s">
        <v>830</v>
      </c>
      <c r="BV252" s="1" t="s">
        <v>206</v>
      </c>
      <c r="BY252" s="1" t="s">
        <v>478</v>
      </c>
      <c r="BZ252" s="1" t="s">
        <v>206</v>
      </c>
      <c r="CC252" s="1" t="s">
        <v>1064</v>
      </c>
      <c r="CD252" s="1" t="s">
        <v>206</v>
      </c>
      <c r="CG252" s="1" t="s">
        <v>302</v>
      </c>
      <c r="CH252" s="1" t="s">
        <v>206</v>
      </c>
      <c r="CK252" s="1" t="s">
        <v>269</v>
      </c>
      <c r="CL252" s="1" t="s">
        <v>206</v>
      </c>
      <c r="CO252" s="1" t="s">
        <v>830</v>
      </c>
      <c r="CP252" s="1" t="s">
        <v>209</v>
      </c>
      <c r="CS252" s="1" t="s">
        <v>497</v>
      </c>
      <c r="CT252" s="1" t="s">
        <v>206</v>
      </c>
      <c r="CW252" s="1" t="s">
        <v>2442</v>
      </c>
      <c r="CX252" s="1" t="s">
        <v>42</v>
      </c>
      <c r="DA252" s="1" t="s">
        <v>200</v>
      </c>
      <c r="DC252" s="1" t="s">
        <v>216</v>
      </c>
      <c r="DE252" s="1" t="s">
        <v>229</v>
      </c>
      <c r="DF252" s="1" t="s">
        <v>4086</v>
      </c>
      <c r="DH252" s="1" t="s">
        <v>365</v>
      </c>
      <c r="DJ252" s="1" t="s">
        <v>222</v>
      </c>
      <c r="DK252" s="1" t="s">
        <v>224</v>
      </c>
      <c r="DL252" s="1" t="s">
        <v>224</v>
      </c>
      <c r="DM252" s="1" t="s">
        <v>229</v>
      </c>
      <c r="DP252" s="1" t="s">
        <v>340</v>
      </c>
      <c r="DQ252" s="1" t="s">
        <v>228</v>
      </c>
      <c r="DR252" s="1" t="s">
        <v>229</v>
      </c>
      <c r="DV252" s="1" t="s">
        <v>232</v>
      </c>
      <c r="DW252" s="1" t="s">
        <v>279</v>
      </c>
      <c r="DX252" s="1" t="s">
        <v>4087</v>
      </c>
      <c r="EC252" s="1" t="s">
        <v>645</v>
      </c>
      <c r="EM252" s="1" t="s">
        <v>238</v>
      </c>
      <c r="EQ252" s="1" t="s">
        <v>238</v>
      </c>
      <c r="EU252" s="1" t="s">
        <v>238</v>
      </c>
      <c r="EY252" s="1" t="s">
        <v>238</v>
      </c>
      <c r="FC252" s="1" t="s">
        <v>238</v>
      </c>
      <c r="FF252" s="1" t="s">
        <v>239</v>
      </c>
      <c r="FG252" s="1" t="s">
        <v>192</v>
      </c>
      <c r="FH252" s="1" t="s">
        <v>192</v>
      </c>
      <c r="FJ252" s="1" t="s">
        <v>347</v>
      </c>
      <c r="FK252" s="1" t="s">
        <v>229</v>
      </c>
      <c r="FL252" s="1" t="s">
        <v>1520</v>
      </c>
      <c r="FM252" s="1">
        <v>10841.0</v>
      </c>
      <c r="FN252" s="1" t="s">
        <v>1521</v>
      </c>
      <c r="FO252" s="1" t="s">
        <v>1522</v>
      </c>
      <c r="FP252" s="1">
        <v>109860.0</v>
      </c>
      <c r="FQ252" s="1" t="s">
        <v>1521</v>
      </c>
      <c r="FU252" s="1" t="s">
        <v>1523</v>
      </c>
      <c r="FV252" s="1" t="s">
        <v>200</v>
      </c>
      <c r="FW252" s="1" t="s">
        <v>290</v>
      </c>
      <c r="FX252" s="1" t="s">
        <v>246</v>
      </c>
      <c r="FZ252" s="1" t="s">
        <v>229</v>
      </c>
      <c r="GA252" s="1" t="s">
        <v>291</v>
      </c>
      <c r="GB252" s="2">
        <v>42124.0</v>
      </c>
      <c r="GC252" s="1" t="s">
        <v>4088</v>
      </c>
    </row>
    <row r="253">
      <c r="A253" s="1">
        <v>35100.0</v>
      </c>
      <c r="B253" s="1" t="s">
        <v>185</v>
      </c>
      <c r="C253" s="1" t="str">
        <f>"08769554"</f>
        <v>08769554</v>
      </c>
      <c r="D253" s="1" t="s">
        <v>186</v>
      </c>
      <c r="F253" s="1" t="str">
        <f>"8073"</f>
        <v>8073</v>
      </c>
      <c r="G253" s="2">
        <v>41948.0</v>
      </c>
      <c r="H253" s="1">
        <v>34900.0</v>
      </c>
      <c r="I253" s="1">
        <v>30.0</v>
      </c>
      <c r="J253" s="1">
        <v>34900.0</v>
      </c>
      <c r="K253" s="2">
        <v>41977.0</v>
      </c>
      <c r="L253" s="1">
        <v>30.0</v>
      </c>
      <c r="M253" s="2">
        <v>41977.0</v>
      </c>
      <c r="N253" s="1" t="s">
        <v>249</v>
      </c>
      <c r="O253" s="2">
        <v>42003.0</v>
      </c>
      <c r="P253" s="1">
        <v>112887.0</v>
      </c>
      <c r="Q253" s="1">
        <v>17299.0</v>
      </c>
      <c r="S253" s="1">
        <v>8912.0</v>
      </c>
      <c r="T253" s="1" t="s">
        <v>4089</v>
      </c>
      <c r="U253" s="1" t="s">
        <v>320</v>
      </c>
      <c r="V253" s="1" t="s">
        <v>190</v>
      </c>
      <c r="W253" s="1">
        <v>60620.0</v>
      </c>
      <c r="Y253" s="1" t="s">
        <v>4090</v>
      </c>
      <c r="Z253" s="1">
        <v>1971.0</v>
      </c>
      <c r="AA253" s="1" t="s">
        <v>192</v>
      </c>
      <c r="AB253" s="1" t="s">
        <v>193</v>
      </c>
      <c r="AD253" s="1" t="s">
        <v>194</v>
      </c>
      <c r="AE253" s="1" t="s">
        <v>195</v>
      </c>
      <c r="AF253" s="1" t="s">
        <v>659</v>
      </c>
      <c r="AH253" s="1" t="s">
        <v>359</v>
      </c>
      <c r="AI253" s="1">
        <v>0.0717</v>
      </c>
      <c r="AK253" s="1">
        <v>7.0</v>
      </c>
      <c r="AL253" s="1">
        <v>3.0</v>
      </c>
      <c r="AM253" s="1">
        <v>1.0</v>
      </c>
      <c r="AN253" s="1">
        <v>1.0</v>
      </c>
      <c r="AO253" s="1" t="s">
        <v>229</v>
      </c>
      <c r="AQ253" s="1" t="s">
        <v>1314</v>
      </c>
      <c r="AR253" s="1" t="s">
        <v>192</v>
      </c>
      <c r="AS253" s="1" t="s">
        <v>229</v>
      </c>
      <c r="AV253" s="1" t="s">
        <v>200</v>
      </c>
      <c r="AW253" s="1">
        <v>2072.99</v>
      </c>
      <c r="AX253" s="1">
        <v>2012.0</v>
      </c>
      <c r="AZ253" s="1" t="s">
        <v>200</v>
      </c>
      <c r="BA253" s="1" t="str">
        <f>"25052200450000"</f>
        <v>25052200450000</v>
      </c>
      <c r="BC253" s="1">
        <v>969.0</v>
      </c>
      <c r="BD253" s="1">
        <v>35100.0</v>
      </c>
      <c r="BE253" s="2">
        <v>41948.0</v>
      </c>
      <c r="BF253" s="2" t="s">
        <v>4091</v>
      </c>
      <c r="BH253" s="1">
        <v>0.0</v>
      </c>
      <c r="BK253" s="1" t="s">
        <v>204</v>
      </c>
      <c r="BL253" s="1" t="str">
        <f t="shared" ref="BL253:BM253" si="176">"0"</f>
        <v>0</v>
      </c>
      <c r="BM253" s="1" t="str">
        <f t="shared" si="176"/>
        <v>0</v>
      </c>
      <c r="BN253" s="1">
        <v>1000.0</v>
      </c>
      <c r="BO253" s="1">
        <v>8912.0</v>
      </c>
      <c r="BQ253" s="1">
        <v>299.0</v>
      </c>
      <c r="BR253" s="1">
        <v>299.0</v>
      </c>
      <c r="BS253" s="1">
        <v>299.0</v>
      </c>
      <c r="BU253" s="1" t="s">
        <v>264</v>
      </c>
      <c r="BV253" s="1" t="s">
        <v>206</v>
      </c>
      <c r="BY253" s="1" t="s">
        <v>264</v>
      </c>
      <c r="BZ253" s="1" t="s">
        <v>209</v>
      </c>
      <c r="CC253" s="1" t="s">
        <v>495</v>
      </c>
      <c r="CD253" s="1" t="s">
        <v>206</v>
      </c>
      <c r="CG253" s="1" t="s">
        <v>495</v>
      </c>
      <c r="CH253" s="1" t="s">
        <v>209</v>
      </c>
      <c r="CK253" s="1" t="s">
        <v>495</v>
      </c>
      <c r="CL253" s="1" t="s">
        <v>209</v>
      </c>
      <c r="CO253" s="1" t="s">
        <v>269</v>
      </c>
      <c r="CP253" s="1" t="s">
        <v>42</v>
      </c>
      <c r="CS253" s="1" t="s">
        <v>495</v>
      </c>
      <c r="CT253" s="1" t="s">
        <v>206</v>
      </c>
      <c r="CX253" s="1" t="s">
        <v>204</v>
      </c>
      <c r="DA253" s="1" t="s">
        <v>200</v>
      </c>
      <c r="DC253" s="1" t="s">
        <v>517</v>
      </c>
      <c r="DE253" s="1" t="s">
        <v>229</v>
      </c>
      <c r="DF253" s="1" t="s">
        <v>619</v>
      </c>
      <c r="DH253" s="1" t="s">
        <v>220</v>
      </c>
      <c r="DJ253" s="1" t="s">
        <v>222</v>
      </c>
      <c r="DL253" s="1" t="s">
        <v>224</v>
      </c>
      <c r="DM253" s="1" t="s">
        <v>229</v>
      </c>
      <c r="DQ253" s="1" t="s">
        <v>228</v>
      </c>
      <c r="DR253" s="1" t="s">
        <v>229</v>
      </c>
      <c r="DV253" s="1" t="s">
        <v>232</v>
      </c>
      <c r="DW253" s="1" t="s">
        <v>444</v>
      </c>
      <c r="DX253" s="1" t="s">
        <v>234</v>
      </c>
      <c r="EC253" s="1" t="s">
        <v>645</v>
      </c>
      <c r="EE253" s="1" t="s">
        <v>1960</v>
      </c>
      <c r="EM253" s="1" t="s">
        <v>238</v>
      </c>
      <c r="EQ253" s="1" t="s">
        <v>238</v>
      </c>
      <c r="EU253" s="1" t="s">
        <v>238</v>
      </c>
      <c r="EY253" s="1" t="s">
        <v>238</v>
      </c>
      <c r="FC253" s="1" t="s">
        <v>238</v>
      </c>
      <c r="FF253" s="1" t="s">
        <v>239</v>
      </c>
      <c r="FG253" s="1" t="s">
        <v>192</v>
      </c>
      <c r="FH253" s="1" t="s">
        <v>192</v>
      </c>
      <c r="FJ253" s="1" t="s">
        <v>4092</v>
      </c>
      <c r="FK253" s="1" t="s">
        <v>229</v>
      </c>
      <c r="FL253" s="1" t="s">
        <v>3443</v>
      </c>
      <c r="FM253" s="1">
        <v>8658.0</v>
      </c>
      <c r="FN253" s="1" t="s">
        <v>3444</v>
      </c>
      <c r="FO253" s="1" t="s">
        <v>3445</v>
      </c>
      <c r="FP253" s="1">
        <v>84760.0</v>
      </c>
      <c r="FQ253" s="1" t="s">
        <v>3444</v>
      </c>
      <c r="FS253" s="1" t="s">
        <v>3446</v>
      </c>
      <c r="FU253" s="1" t="s">
        <v>3447</v>
      </c>
      <c r="FV253" s="1" t="s">
        <v>200</v>
      </c>
      <c r="FW253" s="1" t="s">
        <v>290</v>
      </c>
      <c r="FX253" s="1" t="s">
        <v>655</v>
      </c>
      <c r="FZ253" s="1" t="s">
        <v>229</v>
      </c>
      <c r="GA253" s="1" t="s">
        <v>291</v>
      </c>
      <c r="GB253" s="2">
        <v>42004.0</v>
      </c>
    </row>
    <row r="254">
      <c r="A254" s="1">
        <v>285660.0</v>
      </c>
      <c r="B254" s="1" t="s">
        <v>185</v>
      </c>
      <c r="C254" s="1" t="str">
        <f>"08787723"</f>
        <v>08787723</v>
      </c>
      <c r="D254" s="1" t="s">
        <v>186</v>
      </c>
      <c r="F254" s="1" t="str">
        <f>"174"</f>
        <v>174</v>
      </c>
      <c r="G254" s="2">
        <v>41960.0</v>
      </c>
      <c r="H254" s="1">
        <v>297000.0</v>
      </c>
      <c r="I254" s="1">
        <v>112.0</v>
      </c>
      <c r="J254" s="1">
        <v>289000.0</v>
      </c>
      <c r="K254" s="2">
        <v>42071.0</v>
      </c>
      <c r="L254" s="1">
        <v>112.0</v>
      </c>
      <c r="M254" s="2">
        <v>42071.0</v>
      </c>
      <c r="N254" s="1" t="s">
        <v>356</v>
      </c>
      <c r="O254" s="2">
        <v>42117.0</v>
      </c>
      <c r="P254" s="1">
        <v>490.0</v>
      </c>
      <c r="Q254" s="1">
        <v>41.0</v>
      </c>
      <c r="R254" s="1">
        <v>9660.0</v>
      </c>
      <c r="S254" s="1">
        <v>1104.0</v>
      </c>
      <c r="T254" s="1" t="s">
        <v>4093</v>
      </c>
      <c r="U254" s="1" t="s">
        <v>320</v>
      </c>
      <c r="V254" s="1" t="s">
        <v>1200</v>
      </c>
      <c r="W254" s="1">
        <v>60174.0</v>
      </c>
      <c r="Y254" s="1" t="s">
        <v>4094</v>
      </c>
      <c r="Z254" s="1">
        <v>1974.0</v>
      </c>
      <c r="AA254" s="1" t="s">
        <v>192</v>
      </c>
      <c r="AB254" s="1" t="s">
        <v>193</v>
      </c>
      <c r="AD254" s="1" t="s">
        <v>1203</v>
      </c>
      <c r="AE254" s="1" t="s">
        <v>325</v>
      </c>
      <c r="AF254" s="1" t="s">
        <v>1203</v>
      </c>
      <c r="AH254" s="1" t="s">
        <v>4095</v>
      </c>
      <c r="AI254" s="1">
        <v>0.23</v>
      </c>
      <c r="AK254" s="1">
        <v>10.0</v>
      </c>
      <c r="AL254" s="1">
        <v>4.0</v>
      </c>
      <c r="AM254" s="1">
        <v>2.0</v>
      </c>
      <c r="AN254" s="1">
        <v>0.0</v>
      </c>
      <c r="AO254" s="1" t="s">
        <v>229</v>
      </c>
      <c r="AP254" s="1">
        <v>1.0</v>
      </c>
      <c r="AQ254" s="1" t="s">
        <v>257</v>
      </c>
      <c r="AR254" s="1" t="s">
        <v>192</v>
      </c>
      <c r="AS254" s="1" t="s">
        <v>199</v>
      </c>
      <c r="AT254" s="1">
        <v>2.0</v>
      </c>
      <c r="AV254" s="1" t="s">
        <v>200</v>
      </c>
      <c r="AW254" s="1">
        <v>7019.0</v>
      </c>
      <c r="AX254" s="1">
        <v>2013.0</v>
      </c>
      <c r="AY254" s="1" t="s">
        <v>387</v>
      </c>
      <c r="AZ254" s="1" t="s">
        <v>200</v>
      </c>
      <c r="BA254" s="1" t="str">
        <f>"0933452021"</f>
        <v>0933452021</v>
      </c>
      <c r="BC254" s="1">
        <v>0.0</v>
      </c>
      <c r="BD254" s="1">
        <v>285660.0</v>
      </c>
      <c r="BE254" s="2">
        <v>41960.0</v>
      </c>
      <c r="BF254" s="2" t="s">
        <v>4096</v>
      </c>
      <c r="BH254" s="1">
        <v>0.0</v>
      </c>
      <c r="BJ254" s="1" t="s">
        <v>2144</v>
      </c>
      <c r="BK254" s="1" t="s">
        <v>204</v>
      </c>
      <c r="BL254" s="1" t="str">
        <f t="shared" ref="BL254:BM254" si="177">""</f>
        <v/>
      </c>
      <c r="BM254" s="1" t="str">
        <f t="shared" si="177"/>
        <v/>
      </c>
      <c r="BQ254" s="1">
        <v>303.0</v>
      </c>
      <c r="BR254" s="1">
        <v>303.0</v>
      </c>
      <c r="BS254" s="1">
        <v>303.0</v>
      </c>
      <c r="BU254" s="1" t="s">
        <v>3475</v>
      </c>
      <c r="BV254" s="1" t="s">
        <v>206</v>
      </c>
      <c r="BW254" s="1" t="s">
        <v>210</v>
      </c>
      <c r="BY254" s="1" t="s">
        <v>433</v>
      </c>
      <c r="BZ254" s="1" t="s">
        <v>206</v>
      </c>
      <c r="CA254" s="1" t="s">
        <v>210</v>
      </c>
      <c r="CC254" s="1" t="s">
        <v>212</v>
      </c>
      <c r="CD254" s="1" t="s">
        <v>206</v>
      </c>
      <c r="CE254" s="1" t="s">
        <v>207</v>
      </c>
      <c r="CG254" s="1" t="s">
        <v>262</v>
      </c>
      <c r="CH254" s="1" t="s">
        <v>206</v>
      </c>
      <c r="CI254" s="1" t="s">
        <v>210</v>
      </c>
      <c r="CK254" s="1" t="s">
        <v>264</v>
      </c>
      <c r="CL254" s="1" t="s">
        <v>206</v>
      </c>
      <c r="CM254" s="1" t="s">
        <v>210</v>
      </c>
      <c r="CO254" s="1" t="s">
        <v>215</v>
      </c>
      <c r="CP254" s="1" t="s">
        <v>267</v>
      </c>
      <c r="CQ254" s="1" t="s">
        <v>210</v>
      </c>
      <c r="CS254" s="1" t="s">
        <v>363</v>
      </c>
      <c r="CT254" s="1" t="s">
        <v>206</v>
      </c>
      <c r="CU254" s="1" t="s">
        <v>268</v>
      </c>
      <c r="CW254" s="1" t="s">
        <v>2205</v>
      </c>
      <c r="CX254" s="1" t="s">
        <v>267</v>
      </c>
      <c r="CY254" s="1" t="s">
        <v>210</v>
      </c>
      <c r="DA254" s="1" t="s">
        <v>200</v>
      </c>
      <c r="DC254" s="1" t="s">
        <v>395</v>
      </c>
      <c r="DD254" s="1" t="s">
        <v>518</v>
      </c>
      <c r="DE254" s="1" t="s">
        <v>273</v>
      </c>
      <c r="DF254" s="1" t="s">
        <v>219</v>
      </c>
      <c r="DG254" s="1" t="s">
        <v>1400</v>
      </c>
      <c r="DH254" s="1" t="s">
        <v>220</v>
      </c>
      <c r="DI254" s="1" t="s">
        <v>703</v>
      </c>
      <c r="DJ254" s="1" t="s">
        <v>222</v>
      </c>
      <c r="DL254" s="1" t="s">
        <v>224</v>
      </c>
      <c r="DM254" s="1" t="s">
        <v>338</v>
      </c>
      <c r="DO254" s="1" t="s">
        <v>717</v>
      </c>
      <c r="DP254" s="1" t="s">
        <v>340</v>
      </c>
      <c r="DQ254" s="1" t="s">
        <v>228</v>
      </c>
      <c r="DR254" s="1" t="s">
        <v>229</v>
      </c>
      <c r="DS254" s="1" t="s">
        <v>230</v>
      </c>
      <c r="DU254" s="1" t="s">
        <v>3890</v>
      </c>
      <c r="DV254" s="1" t="s">
        <v>1403</v>
      </c>
      <c r="DW254" s="1" t="s">
        <v>1820</v>
      </c>
      <c r="DX254" s="1" t="s">
        <v>234</v>
      </c>
      <c r="DY254" s="1" t="s">
        <v>4097</v>
      </c>
      <c r="DZ254" s="1" t="s">
        <v>2424</v>
      </c>
      <c r="EA254" s="1" t="s">
        <v>554</v>
      </c>
      <c r="EB254" s="1" t="s">
        <v>684</v>
      </c>
      <c r="EC254" s="1" t="s">
        <v>311</v>
      </c>
      <c r="ED254" s="1" t="s">
        <v>407</v>
      </c>
      <c r="EG254" s="1" t="s">
        <v>598</v>
      </c>
      <c r="EH254" s="1" t="s">
        <v>1407</v>
      </c>
      <c r="EL254" s="1" t="s">
        <v>798</v>
      </c>
      <c r="EM254" s="1" t="s">
        <v>267</v>
      </c>
      <c r="EN254" s="1" t="s">
        <v>210</v>
      </c>
      <c r="EP254" s="1" t="s">
        <v>543</v>
      </c>
      <c r="EQ254" s="1" t="s">
        <v>267</v>
      </c>
      <c r="ER254" s="1" t="s">
        <v>268</v>
      </c>
      <c r="EU254" s="1" t="s">
        <v>238</v>
      </c>
      <c r="EY254" s="1" t="s">
        <v>238</v>
      </c>
      <c r="FC254" s="1" t="s">
        <v>238</v>
      </c>
      <c r="FF254" s="1" t="s">
        <v>239</v>
      </c>
      <c r="FG254" s="1" t="s">
        <v>192</v>
      </c>
      <c r="FH254" s="1" t="s">
        <v>192</v>
      </c>
      <c r="FJ254" s="1" t="s">
        <v>2206</v>
      </c>
      <c r="FK254" s="1" t="s">
        <v>229</v>
      </c>
      <c r="FL254" s="1" t="s">
        <v>893</v>
      </c>
      <c r="FM254" s="1">
        <v>604.0</v>
      </c>
      <c r="FN254" s="1" t="s">
        <v>894</v>
      </c>
      <c r="FO254" s="1" t="s">
        <v>2207</v>
      </c>
      <c r="FP254" s="1">
        <v>681.0</v>
      </c>
      <c r="FQ254" s="1" t="s">
        <v>2208</v>
      </c>
      <c r="FR254" s="1">
        <v>824.0</v>
      </c>
      <c r="FS254" s="1" t="s">
        <v>2209</v>
      </c>
      <c r="FU254" s="1" t="s">
        <v>4098</v>
      </c>
      <c r="FV254" s="1" t="s">
        <v>200</v>
      </c>
      <c r="FW254" s="1" t="s">
        <v>530</v>
      </c>
      <c r="FZ254" s="1" t="s">
        <v>229</v>
      </c>
      <c r="GA254" s="1" t="s">
        <v>291</v>
      </c>
      <c r="GB254" s="2">
        <v>42117.0</v>
      </c>
    </row>
    <row r="255">
      <c r="A255" s="1">
        <v>1325000.0</v>
      </c>
      <c r="B255" s="1" t="s">
        <v>185</v>
      </c>
      <c r="C255" s="1" t="str">
        <f>"08785808"</f>
        <v>08785808</v>
      </c>
      <c r="D255" s="1" t="s">
        <v>186</v>
      </c>
      <c r="F255" s="1" t="str">
        <f>"8005"</f>
        <v>8005</v>
      </c>
      <c r="G255" s="2">
        <v>41956.0</v>
      </c>
      <c r="H255" s="1">
        <v>1400000.0</v>
      </c>
      <c r="I255" s="1">
        <v>142.0</v>
      </c>
      <c r="J255" s="1">
        <v>1400000.0</v>
      </c>
      <c r="K255" s="2">
        <v>42096.0</v>
      </c>
      <c r="L255" s="1">
        <v>142.0</v>
      </c>
      <c r="M255" s="2">
        <v>42096.0</v>
      </c>
      <c r="N255" s="1" t="s">
        <v>187</v>
      </c>
      <c r="O255" s="2">
        <v>42145.0</v>
      </c>
      <c r="P255" s="1">
        <v>112780.0</v>
      </c>
      <c r="Q255" s="1">
        <v>84404.0</v>
      </c>
      <c r="S255" s="1">
        <v>1833.0</v>
      </c>
      <c r="T255" s="1" t="s">
        <v>4099</v>
      </c>
      <c r="U255" s="1" t="s">
        <v>189</v>
      </c>
      <c r="V255" s="1" t="s">
        <v>190</v>
      </c>
      <c r="W255" s="1">
        <v>60613.0</v>
      </c>
      <c r="Y255" s="1" t="s">
        <v>4100</v>
      </c>
      <c r="Z255" s="1" t="s">
        <v>296</v>
      </c>
      <c r="AA255" s="1" t="s">
        <v>200</v>
      </c>
      <c r="AB255" s="1" t="s">
        <v>193</v>
      </c>
      <c r="AD255" s="1" t="s">
        <v>194</v>
      </c>
      <c r="AE255" s="1" t="s">
        <v>195</v>
      </c>
      <c r="AF255" s="1" t="s">
        <v>534</v>
      </c>
      <c r="AH255" s="1" t="s">
        <v>741</v>
      </c>
      <c r="AK255" s="1">
        <v>9.0</v>
      </c>
      <c r="AL255" s="1">
        <v>4.0</v>
      </c>
      <c r="AM255" s="1">
        <v>4.0</v>
      </c>
      <c r="AN255" s="1">
        <v>1.0</v>
      </c>
      <c r="AO255" s="1" t="s">
        <v>198</v>
      </c>
      <c r="AP255" s="1">
        <v>1.0</v>
      </c>
      <c r="AQ255" s="1" t="s">
        <v>472</v>
      </c>
      <c r="AR255" s="1" t="s">
        <v>192</v>
      </c>
      <c r="AS255" s="1" t="s">
        <v>199</v>
      </c>
      <c r="AT255" s="1">
        <v>2.0</v>
      </c>
      <c r="AV255" s="1" t="s">
        <v>200</v>
      </c>
      <c r="AW255" s="1" t="s">
        <v>575</v>
      </c>
      <c r="AX255" s="1">
        <v>2013.0</v>
      </c>
      <c r="AY255" s="1" t="s">
        <v>229</v>
      </c>
      <c r="AZ255" s="1" t="s">
        <v>200</v>
      </c>
      <c r="BA255" s="1" t="str">
        <f>"14184240080000"</f>
        <v>14184240080000</v>
      </c>
      <c r="BC255" s="1">
        <v>0.0</v>
      </c>
      <c r="BD255" s="1">
        <v>1325000.0</v>
      </c>
      <c r="BE255" s="2">
        <v>41955.0</v>
      </c>
      <c r="BF255" s="2" t="s">
        <v>4101</v>
      </c>
      <c r="BH255" s="1">
        <v>0.0</v>
      </c>
      <c r="BK255" s="1" t="s">
        <v>204</v>
      </c>
      <c r="BL255" s="1" t="str">
        <f>"4100"</f>
        <v>4100</v>
      </c>
      <c r="BM255" s="1" t="str">
        <f>"0"</f>
        <v>0</v>
      </c>
      <c r="BN255" s="1">
        <v>1833.0</v>
      </c>
      <c r="BO255" s="1">
        <v>0.0</v>
      </c>
      <c r="BQ255" s="1">
        <v>299.0</v>
      </c>
      <c r="BR255" s="1">
        <v>299.0</v>
      </c>
      <c r="BS255" s="1">
        <v>299.0</v>
      </c>
      <c r="BU255" s="1" t="s">
        <v>213</v>
      </c>
      <c r="BV255" s="1" t="s">
        <v>206</v>
      </c>
      <c r="BW255" s="1" t="s">
        <v>207</v>
      </c>
      <c r="BY255" s="1" t="s">
        <v>434</v>
      </c>
      <c r="BZ255" s="1" t="s">
        <v>209</v>
      </c>
      <c r="CA255" s="1" t="s">
        <v>207</v>
      </c>
      <c r="CC255" s="1" t="s">
        <v>211</v>
      </c>
      <c r="CD255" s="1" t="s">
        <v>206</v>
      </c>
      <c r="CE255" s="1" t="s">
        <v>207</v>
      </c>
      <c r="CG255" s="1" t="s">
        <v>211</v>
      </c>
      <c r="CH255" s="1" t="s">
        <v>209</v>
      </c>
      <c r="CI255" s="1" t="s">
        <v>207</v>
      </c>
      <c r="CK255" s="1" t="s">
        <v>332</v>
      </c>
      <c r="CL255" s="1" t="s">
        <v>209</v>
      </c>
      <c r="CM255" s="1" t="s">
        <v>207</v>
      </c>
      <c r="CO255" s="1" t="s">
        <v>434</v>
      </c>
      <c r="CP255" s="1" t="s">
        <v>267</v>
      </c>
      <c r="CQ255" s="1" t="s">
        <v>210</v>
      </c>
      <c r="CS255" s="1" t="s">
        <v>715</v>
      </c>
      <c r="CT255" s="1" t="s">
        <v>206</v>
      </c>
      <c r="CU255" s="1" t="s">
        <v>207</v>
      </c>
      <c r="CW255" s="1" t="s">
        <v>477</v>
      </c>
      <c r="CX255" s="1" t="s">
        <v>206</v>
      </c>
      <c r="CY255" s="1" t="s">
        <v>207</v>
      </c>
      <c r="DA255" s="1" t="s">
        <v>200</v>
      </c>
      <c r="DC255" s="1" t="s">
        <v>545</v>
      </c>
      <c r="DD255" s="1" t="s">
        <v>759</v>
      </c>
      <c r="DE255" s="1" t="s">
        <v>218</v>
      </c>
      <c r="DF255" s="1" t="s">
        <v>1718</v>
      </c>
      <c r="DG255" s="1" t="s">
        <v>337</v>
      </c>
      <c r="DH255" s="1" t="s">
        <v>365</v>
      </c>
      <c r="DI255" s="1" t="s">
        <v>1047</v>
      </c>
      <c r="DJ255" s="1" t="s">
        <v>1379</v>
      </c>
      <c r="DL255" s="1" t="s">
        <v>224</v>
      </c>
      <c r="DM255" s="1" t="s">
        <v>229</v>
      </c>
      <c r="DP255" s="1" t="s">
        <v>340</v>
      </c>
      <c r="DQ255" s="1" t="s">
        <v>228</v>
      </c>
      <c r="DR255" s="1" t="s">
        <v>229</v>
      </c>
      <c r="DS255" s="1" t="s">
        <v>230</v>
      </c>
      <c r="DV255" s="1" t="s">
        <v>1164</v>
      </c>
      <c r="DW255" s="1" t="s">
        <v>370</v>
      </c>
      <c r="DX255" s="1" t="s">
        <v>234</v>
      </c>
      <c r="DY255" s="1" t="s">
        <v>4102</v>
      </c>
      <c r="EB255" s="1" t="s">
        <v>492</v>
      </c>
      <c r="EC255" s="1" t="s">
        <v>406</v>
      </c>
      <c r="ED255" s="1" t="s">
        <v>555</v>
      </c>
      <c r="EG255" s="1" t="s">
        <v>1164</v>
      </c>
      <c r="EL255" s="1" t="s">
        <v>4103</v>
      </c>
      <c r="EM255" s="1" t="s">
        <v>267</v>
      </c>
      <c r="EN255" s="1" t="s">
        <v>210</v>
      </c>
      <c r="EQ255" s="1" t="s">
        <v>238</v>
      </c>
      <c r="EU255" s="1" t="s">
        <v>238</v>
      </c>
      <c r="EY255" s="1" t="s">
        <v>238</v>
      </c>
      <c r="FC255" s="1" t="s">
        <v>238</v>
      </c>
      <c r="FF255" s="1" t="s">
        <v>239</v>
      </c>
      <c r="FG255" s="1" t="s">
        <v>192</v>
      </c>
      <c r="FH255" s="1" t="s">
        <v>192</v>
      </c>
      <c r="FJ255" s="1" t="s">
        <v>799</v>
      </c>
      <c r="FK255" s="1" t="s">
        <v>229</v>
      </c>
      <c r="FL255" s="1" t="s">
        <v>3156</v>
      </c>
      <c r="FM255" s="1">
        <v>84729.0</v>
      </c>
      <c r="FN255" s="1" t="s">
        <v>3157</v>
      </c>
      <c r="FO255" s="1" t="s">
        <v>4104</v>
      </c>
      <c r="FP255" s="1">
        <v>106635.0</v>
      </c>
      <c r="FQ255" s="1" t="s">
        <v>4105</v>
      </c>
      <c r="FR255" s="1">
        <v>115952.0</v>
      </c>
      <c r="FU255" s="1" t="s">
        <v>4106</v>
      </c>
      <c r="FV255" s="1" t="s">
        <v>200</v>
      </c>
      <c r="FW255" s="1" t="s">
        <v>290</v>
      </c>
      <c r="FX255" s="1" t="s">
        <v>246</v>
      </c>
      <c r="FZ255" s="1" t="s">
        <v>229</v>
      </c>
      <c r="GA255" s="1" t="s">
        <v>291</v>
      </c>
      <c r="GB255" s="2">
        <v>42145.0</v>
      </c>
      <c r="GC255" s="1" t="s">
        <v>4107</v>
      </c>
    </row>
    <row r="256">
      <c r="A256" s="1">
        <v>110000.0</v>
      </c>
      <c r="B256" s="1" t="s">
        <v>185</v>
      </c>
      <c r="C256" s="1" t="str">
        <f>"08773106"</f>
        <v>08773106</v>
      </c>
      <c r="D256" s="1" t="s">
        <v>186</v>
      </c>
      <c r="F256" s="1" t="str">
        <f>"107"</f>
        <v>107</v>
      </c>
      <c r="G256" s="2">
        <v>41954.0</v>
      </c>
      <c r="H256" s="1">
        <v>132000.0</v>
      </c>
      <c r="I256" s="1">
        <v>93.0</v>
      </c>
      <c r="J256" s="1">
        <v>125000.0</v>
      </c>
      <c r="K256" s="2">
        <v>42045.0</v>
      </c>
      <c r="L256" s="1">
        <v>93.0</v>
      </c>
      <c r="M256" s="2">
        <v>42045.0</v>
      </c>
      <c r="N256" s="1" t="s">
        <v>249</v>
      </c>
      <c r="O256" s="2">
        <v>42060.0</v>
      </c>
      <c r="P256" s="1">
        <v>152647.0</v>
      </c>
      <c r="Q256" s="1">
        <v>15130.0</v>
      </c>
      <c r="S256" s="1">
        <v>513.0</v>
      </c>
      <c r="T256" s="1" t="s">
        <v>4108</v>
      </c>
      <c r="U256" s="1" t="s">
        <v>569</v>
      </c>
      <c r="V256" s="1" t="s">
        <v>294</v>
      </c>
      <c r="W256" s="1">
        <v>60107.0</v>
      </c>
      <c r="Y256" s="1" t="s">
        <v>4109</v>
      </c>
      <c r="Z256" s="1">
        <v>1964.0</v>
      </c>
      <c r="AA256" s="1" t="s">
        <v>192</v>
      </c>
      <c r="AB256" s="1" t="s">
        <v>193</v>
      </c>
      <c r="AD256" s="1" t="s">
        <v>297</v>
      </c>
      <c r="AE256" s="1" t="s">
        <v>195</v>
      </c>
      <c r="AF256" s="1" t="s">
        <v>298</v>
      </c>
      <c r="AH256" s="1">
        <v>9360.0</v>
      </c>
      <c r="AI256" s="1">
        <v>0.2149</v>
      </c>
      <c r="AK256" s="1">
        <v>8.0</v>
      </c>
      <c r="AL256" s="1">
        <v>4.0</v>
      </c>
      <c r="AM256" s="1">
        <v>2.0</v>
      </c>
      <c r="AN256" s="1">
        <v>0.0</v>
      </c>
      <c r="AO256" s="1" t="s">
        <v>229</v>
      </c>
      <c r="AQ256" s="1" t="s">
        <v>198</v>
      </c>
      <c r="AR256" s="1" t="s">
        <v>200</v>
      </c>
      <c r="AS256" s="1" t="s">
        <v>199</v>
      </c>
      <c r="AT256" s="1">
        <v>2.0</v>
      </c>
      <c r="AV256" s="1" t="s">
        <v>200</v>
      </c>
      <c r="AW256" s="1">
        <v>5839.54</v>
      </c>
      <c r="AX256" s="1">
        <v>2012.0</v>
      </c>
      <c r="AZ256" s="1" t="s">
        <v>545</v>
      </c>
      <c r="BA256" s="1" t="str">
        <f>"06232100540000"</f>
        <v>06232100540000</v>
      </c>
      <c r="BC256" s="1">
        <v>1079.0</v>
      </c>
      <c r="BD256" s="1">
        <v>110000.0</v>
      </c>
      <c r="BE256" s="2">
        <v>41953.0</v>
      </c>
      <c r="BF256" s="2" t="s">
        <v>4110</v>
      </c>
      <c r="BH256" s="1">
        <v>0.0</v>
      </c>
      <c r="BK256" s="1" t="s">
        <v>204</v>
      </c>
      <c r="BL256" s="1" t="str">
        <f t="shared" ref="BL256:BM256" si="178">""</f>
        <v/>
      </c>
      <c r="BM256" s="1" t="str">
        <f t="shared" si="178"/>
        <v/>
      </c>
      <c r="BQ256" s="1">
        <v>46.0</v>
      </c>
      <c r="BR256" s="1">
        <v>46.0</v>
      </c>
      <c r="BS256" s="1">
        <v>46.0</v>
      </c>
      <c r="BU256" s="1" t="s">
        <v>1190</v>
      </c>
      <c r="BV256" s="1" t="s">
        <v>206</v>
      </c>
      <c r="BW256" s="1" t="s">
        <v>207</v>
      </c>
      <c r="BY256" s="1" t="s">
        <v>302</v>
      </c>
      <c r="BZ256" s="1" t="s">
        <v>206</v>
      </c>
      <c r="CA256" s="1" t="s">
        <v>210</v>
      </c>
      <c r="CC256" s="1" t="s">
        <v>303</v>
      </c>
      <c r="CD256" s="1" t="s">
        <v>206</v>
      </c>
      <c r="CE256" s="1" t="s">
        <v>207</v>
      </c>
      <c r="CG256" s="1" t="s">
        <v>1852</v>
      </c>
      <c r="CH256" s="1" t="s">
        <v>206</v>
      </c>
      <c r="CI256" s="1" t="s">
        <v>207</v>
      </c>
      <c r="CK256" s="1" t="s">
        <v>798</v>
      </c>
      <c r="CL256" s="1" t="s">
        <v>206</v>
      </c>
      <c r="CM256" s="1" t="s">
        <v>207</v>
      </c>
      <c r="CO256" s="1" t="s">
        <v>699</v>
      </c>
      <c r="CP256" s="1" t="s">
        <v>267</v>
      </c>
      <c r="CQ256" s="1" t="s">
        <v>210</v>
      </c>
      <c r="CS256" s="1" t="s">
        <v>623</v>
      </c>
      <c r="CT256" s="1" t="s">
        <v>206</v>
      </c>
      <c r="CU256" s="1" t="s">
        <v>1136</v>
      </c>
      <c r="CW256" s="1" t="s">
        <v>302</v>
      </c>
      <c r="CX256" s="1" t="s">
        <v>267</v>
      </c>
      <c r="CY256" s="1" t="s">
        <v>210</v>
      </c>
      <c r="DA256" s="1" t="s">
        <v>200</v>
      </c>
      <c r="DC256" s="1" t="s">
        <v>271</v>
      </c>
      <c r="DE256" s="1" t="s">
        <v>273</v>
      </c>
      <c r="DF256" s="1" t="s">
        <v>219</v>
      </c>
      <c r="DH256" s="1" t="s">
        <v>220</v>
      </c>
      <c r="DJ256" s="1" t="s">
        <v>222</v>
      </c>
      <c r="DL256" s="1" t="s">
        <v>224</v>
      </c>
      <c r="DM256" s="1" t="s">
        <v>229</v>
      </c>
      <c r="DQ256" s="1" t="s">
        <v>228</v>
      </c>
      <c r="DR256" s="1" t="s">
        <v>229</v>
      </c>
      <c r="DV256" s="1" t="s">
        <v>232</v>
      </c>
      <c r="DW256" s="1" t="s">
        <v>667</v>
      </c>
      <c r="DX256" s="1" t="s">
        <v>234</v>
      </c>
      <c r="EC256" s="1" t="s">
        <v>685</v>
      </c>
      <c r="EM256" s="1" t="s">
        <v>238</v>
      </c>
      <c r="EQ256" s="1" t="s">
        <v>238</v>
      </c>
      <c r="EU256" s="1" t="s">
        <v>238</v>
      </c>
      <c r="EY256" s="1" t="s">
        <v>238</v>
      </c>
      <c r="FC256" s="1" t="s">
        <v>238</v>
      </c>
      <c r="FF256" s="1" t="s">
        <v>239</v>
      </c>
      <c r="FG256" s="1" t="s">
        <v>192</v>
      </c>
      <c r="FH256" s="1" t="s">
        <v>192</v>
      </c>
      <c r="FJ256" s="1" t="s">
        <v>1248</v>
      </c>
      <c r="FK256" s="1" t="s">
        <v>229</v>
      </c>
      <c r="FL256" s="1" t="s">
        <v>2263</v>
      </c>
      <c r="FM256" s="1">
        <v>8094.0</v>
      </c>
      <c r="FN256" s="1" t="s">
        <v>2264</v>
      </c>
      <c r="FO256" s="1" t="s">
        <v>4111</v>
      </c>
      <c r="FP256" s="1">
        <v>28736.0</v>
      </c>
      <c r="FQ256" s="1" t="s">
        <v>4112</v>
      </c>
      <c r="FU256" s="1" t="s">
        <v>4113</v>
      </c>
      <c r="FV256" s="1" t="s">
        <v>200</v>
      </c>
      <c r="FW256" s="1" t="s">
        <v>1307</v>
      </c>
      <c r="FZ256" s="1" t="s">
        <v>229</v>
      </c>
      <c r="GA256" s="1" t="s">
        <v>291</v>
      </c>
      <c r="GB256" s="2">
        <v>42060.0</v>
      </c>
      <c r="GC256" s="1" t="s">
        <v>4114</v>
      </c>
    </row>
    <row r="257">
      <c r="A257" s="1">
        <v>172000.0</v>
      </c>
      <c r="B257" s="1" t="s">
        <v>185</v>
      </c>
      <c r="C257" s="1" t="str">
        <f>"08789812"</f>
        <v>08789812</v>
      </c>
      <c r="D257" s="1" t="s">
        <v>186</v>
      </c>
      <c r="F257" s="1" t="str">
        <f>"8075"</f>
        <v>8075</v>
      </c>
      <c r="G257" s="2">
        <v>41963.0</v>
      </c>
      <c r="H257" s="1">
        <v>149000.0</v>
      </c>
      <c r="I257" s="1">
        <v>22.0</v>
      </c>
      <c r="J257" s="1">
        <v>149000.0</v>
      </c>
      <c r="K257" s="2">
        <v>41981.0</v>
      </c>
      <c r="L257" s="1">
        <v>22.0</v>
      </c>
      <c r="M257" s="2">
        <v>41981.0</v>
      </c>
      <c r="N257" s="1" t="s">
        <v>187</v>
      </c>
      <c r="O257" s="2">
        <v>42075.0</v>
      </c>
      <c r="P257" s="1">
        <v>184681.0</v>
      </c>
      <c r="Q257" s="1">
        <v>84555.0</v>
      </c>
      <c r="S257" s="1">
        <v>1871.0</v>
      </c>
      <c r="T257" s="1" t="s">
        <v>4115</v>
      </c>
      <c r="U257" s="1" t="s">
        <v>694</v>
      </c>
      <c r="V257" s="1" t="s">
        <v>190</v>
      </c>
      <c r="W257" s="1">
        <v>60643.0</v>
      </c>
      <c r="Y257" s="1" t="s">
        <v>4116</v>
      </c>
      <c r="Z257" s="1">
        <v>1906.0</v>
      </c>
      <c r="AA257" s="1" t="s">
        <v>192</v>
      </c>
      <c r="AB257" s="1" t="s">
        <v>4117</v>
      </c>
      <c r="AD257" s="1" t="s">
        <v>194</v>
      </c>
      <c r="AE257" s="1" t="s">
        <v>195</v>
      </c>
      <c r="AF257" s="1" t="s">
        <v>659</v>
      </c>
      <c r="AH257" s="1" t="s">
        <v>4118</v>
      </c>
      <c r="AI257" s="1">
        <v>0.2296</v>
      </c>
      <c r="AK257" s="1">
        <v>8.0</v>
      </c>
      <c r="AL257" s="1">
        <v>4.0</v>
      </c>
      <c r="AM257" s="1">
        <v>2.0</v>
      </c>
      <c r="AN257" s="1">
        <v>0.0</v>
      </c>
      <c r="AO257" s="1" t="s">
        <v>229</v>
      </c>
      <c r="AQ257" s="1" t="s">
        <v>198</v>
      </c>
      <c r="AR257" s="1" t="s">
        <v>192</v>
      </c>
      <c r="AS257" s="1" t="s">
        <v>199</v>
      </c>
      <c r="AT257" s="1">
        <v>1.0</v>
      </c>
      <c r="AV257" s="1" t="s">
        <v>200</v>
      </c>
      <c r="AW257" s="1">
        <v>814.36</v>
      </c>
      <c r="AX257" s="1">
        <v>2013.0</v>
      </c>
      <c r="AY257" s="1" t="s">
        <v>1917</v>
      </c>
      <c r="AZ257" s="1" t="s">
        <v>200</v>
      </c>
      <c r="BA257" s="1" t="str">
        <f>"25184070100000"</f>
        <v>25184070100000</v>
      </c>
      <c r="BC257" s="1">
        <v>0.0</v>
      </c>
      <c r="BD257" s="1">
        <v>172000.0</v>
      </c>
      <c r="BE257" s="2">
        <v>41960.0</v>
      </c>
      <c r="BF257" s="2" t="s">
        <v>4119</v>
      </c>
      <c r="BH257" s="1">
        <v>0.0</v>
      </c>
      <c r="BK257" s="1" t="s">
        <v>204</v>
      </c>
      <c r="BL257" s="1" t="str">
        <f t="shared" ref="BL257:BM257" si="179">"0"</f>
        <v>0</v>
      </c>
      <c r="BM257" s="1" t="str">
        <f t="shared" si="179"/>
        <v>0</v>
      </c>
      <c r="BN257" s="1">
        <v>1871.0</v>
      </c>
      <c r="BO257" s="1">
        <v>10850.0</v>
      </c>
      <c r="BQ257" s="1">
        <v>299.0</v>
      </c>
      <c r="BR257" s="1">
        <v>299.0</v>
      </c>
      <c r="BS257" s="1">
        <v>299.0</v>
      </c>
      <c r="BU257" s="1" t="s">
        <v>211</v>
      </c>
      <c r="BV257" s="1" t="s">
        <v>206</v>
      </c>
      <c r="BW257" s="1" t="s">
        <v>210</v>
      </c>
      <c r="BX257" s="1" t="s">
        <v>1549</v>
      </c>
      <c r="BY257" s="1" t="s">
        <v>363</v>
      </c>
      <c r="BZ257" s="1" t="s">
        <v>209</v>
      </c>
      <c r="CC257" s="1" t="s">
        <v>215</v>
      </c>
      <c r="CD257" s="1" t="s">
        <v>206</v>
      </c>
      <c r="CE257" s="1" t="s">
        <v>210</v>
      </c>
      <c r="CF257" s="1" t="s">
        <v>1549</v>
      </c>
      <c r="CG257" s="1" t="s">
        <v>363</v>
      </c>
      <c r="CH257" s="1" t="s">
        <v>209</v>
      </c>
      <c r="CI257" s="1" t="s">
        <v>207</v>
      </c>
      <c r="CJ257" s="1" t="s">
        <v>1549</v>
      </c>
      <c r="CK257" s="1" t="s">
        <v>214</v>
      </c>
      <c r="CL257" s="1" t="s">
        <v>209</v>
      </c>
      <c r="CM257" s="1" t="s">
        <v>207</v>
      </c>
      <c r="CN257" s="1" t="s">
        <v>1549</v>
      </c>
      <c r="CO257" s="1" t="s">
        <v>269</v>
      </c>
      <c r="CP257" s="1" t="s">
        <v>209</v>
      </c>
      <c r="CQ257" s="1" t="s">
        <v>207</v>
      </c>
      <c r="CR257" s="1" t="s">
        <v>1549</v>
      </c>
      <c r="CS257" s="1" t="s">
        <v>729</v>
      </c>
      <c r="CT257" s="1" t="s">
        <v>206</v>
      </c>
      <c r="CU257" s="1" t="s">
        <v>617</v>
      </c>
      <c r="CV257" s="1" t="s">
        <v>1549</v>
      </c>
      <c r="CX257" s="1" t="s">
        <v>204</v>
      </c>
      <c r="DA257" s="1" t="s">
        <v>200</v>
      </c>
      <c r="DC257" s="1" t="s">
        <v>642</v>
      </c>
      <c r="DD257" s="1" t="s">
        <v>518</v>
      </c>
      <c r="DE257" s="1" t="s">
        <v>229</v>
      </c>
      <c r="DF257" s="1" t="s">
        <v>4120</v>
      </c>
      <c r="DG257" s="1" t="s">
        <v>1317</v>
      </c>
      <c r="DH257" s="1" t="s">
        <v>220</v>
      </c>
      <c r="DI257" s="1" t="s">
        <v>1401</v>
      </c>
      <c r="DJ257" s="1" t="s">
        <v>222</v>
      </c>
      <c r="DL257" s="1" t="s">
        <v>223</v>
      </c>
      <c r="DM257" s="1" t="s">
        <v>1919</v>
      </c>
      <c r="DP257" s="1" t="s">
        <v>340</v>
      </c>
      <c r="DQ257" s="1" t="s">
        <v>228</v>
      </c>
      <c r="DR257" s="1" t="s">
        <v>229</v>
      </c>
      <c r="DV257" s="1" t="s">
        <v>4121</v>
      </c>
      <c r="DW257" s="1" t="s">
        <v>279</v>
      </c>
      <c r="DX257" s="1" t="s">
        <v>234</v>
      </c>
      <c r="EC257" s="1" t="s">
        <v>237</v>
      </c>
      <c r="EG257" s="1" t="s">
        <v>494</v>
      </c>
      <c r="EH257" s="1" t="s">
        <v>2877</v>
      </c>
      <c r="EI257" s="1" t="s">
        <v>374</v>
      </c>
      <c r="EL257" s="1" t="s">
        <v>269</v>
      </c>
      <c r="EM257" s="1" t="s">
        <v>206</v>
      </c>
      <c r="EN257" s="1" t="s">
        <v>617</v>
      </c>
      <c r="EO257" s="1" t="s">
        <v>1549</v>
      </c>
      <c r="EP257" s="1" t="s">
        <v>560</v>
      </c>
      <c r="EQ257" s="1" t="s">
        <v>206</v>
      </c>
      <c r="ER257" s="1" t="s">
        <v>617</v>
      </c>
      <c r="ES257" s="1" t="s">
        <v>1549</v>
      </c>
      <c r="ET257" s="1" t="s">
        <v>646</v>
      </c>
      <c r="EU257" s="1" t="s">
        <v>206</v>
      </c>
      <c r="EV257" s="1" t="s">
        <v>617</v>
      </c>
      <c r="EW257" s="1" t="s">
        <v>229</v>
      </c>
      <c r="EY257" s="1" t="s">
        <v>238</v>
      </c>
      <c r="FC257" s="1" t="s">
        <v>238</v>
      </c>
      <c r="FF257" s="1" t="s">
        <v>239</v>
      </c>
      <c r="FG257" s="1" t="s">
        <v>192</v>
      </c>
      <c r="FH257" s="1" t="s">
        <v>192</v>
      </c>
      <c r="FJ257" s="1" t="s">
        <v>4122</v>
      </c>
      <c r="FK257" s="1" t="s">
        <v>229</v>
      </c>
      <c r="FL257" s="1" t="s">
        <v>456</v>
      </c>
      <c r="FM257" s="1">
        <v>11000.0</v>
      </c>
      <c r="FN257" s="1" t="s">
        <v>4123</v>
      </c>
      <c r="FO257" s="1" t="s">
        <v>4124</v>
      </c>
      <c r="FP257" s="1">
        <v>142864.0</v>
      </c>
      <c r="FQ257" s="1" t="s">
        <v>4125</v>
      </c>
      <c r="FU257" s="1" t="s">
        <v>4126</v>
      </c>
      <c r="FV257" s="1" t="s">
        <v>200</v>
      </c>
      <c r="FW257" s="1" t="s">
        <v>290</v>
      </c>
      <c r="FX257" s="1" t="s">
        <v>246</v>
      </c>
      <c r="FZ257" s="1" t="s">
        <v>229</v>
      </c>
      <c r="GA257" s="1" t="s">
        <v>291</v>
      </c>
      <c r="GB257" s="2">
        <v>42075.0</v>
      </c>
      <c r="GC257" s="1" t="s">
        <v>4127</v>
      </c>
    </row>
    <row r="258">
      <c r="A258" s="1">
        <v>279578.0</v>
      </c>
      <c r="B258" s="1" t="s">
        <v>185</v>
      </c>
      <c r="C258" s="1" t="str">
        <f>"08788889"</f>
        <v>08788889</v>
      </c>
      <c r="D258" s="1" t="s">
        <v>186</v>
      </c>
      <c r="F258" s="1" t="str">
        <f>"178"</f>
        <v>178</v>
      </c>
      <c r="G258" s="2">
        <v>41961.0</v>
      </c>
      <c r="H258" s="1">
        <v>279578.0</v>
      </c>
      <c r="I258" s="1">
        <v>1.0</v>
      </c>
      <c r="J258" s="1">
        <v>279578.0</v>
      </c>
      <c r="K258" s="2">
        <v>41961.0</v>
      </c>
      <c r="L258" s="1">
        <v>1.0</v>
      </c>
      <c r="M258" s="2">
        <v>41961.0</v>
      </c>
      <c r="N258" s="1" t="s">
        <v>187</v>
      </c>
      <c r="O258" s="2">
        <v>42132.0</v>
      </c>
      <c r="P258" s="1">
        <v>930225.0</v>
      </c>
      <c r="Q258" s="1">
        <v>93084.0</v>
      </c>
      <c r="S258" s="1" t="s">
        <v>4128</v>
      </c>
      <c r="T258" s="1" t="s">
        <v>4129</v>
      </c>
      <c r="U258" s="1" t="s">
        <v>320</v>
      </c>
      <c r="V258" s="1" t="s">
        <v>994</v>
      </c>
      <c r="W258" s="1">
        <v>60178.0</v>
      </c>
      <c r="Y258" s="1" t="s">
        <v>4130</v>
      </c>
      <c r="Z258" s="1">
        <v>2015.0</v>
      </c>
      <c r="AA258" s="1" t="s">
        <v>200</v>
      </c>
      <c r="AB258" s="1" t="s">
        <v>467</v>
      </c>
      <c r="AC258" s="1" t="s">
        <v>4131</v>
      </c>
      <c r="AD258" s="1" t="s">
        <v>997</v>
      </c>
      <c r="AE258" s="1" t="s">
        <v>613</v>
      </c>
      <c r="AF258" s="1" t="s">
        <v>997</v>
      </c>
      <c r="AH258" s="1" t="s">
        <v>4132</v>
      </c>
      <c r="AI258" s="1">
        <v>0.23</v>
      </c>
      <c r="AK258" s="1">
        <v>8.0</v>
      </c>
      <c r="AL258" s="1">
        <v>4.0</v>
      </c>
      <c r="AM258" s="1">
        <v>2.0</v>
      </c>
      <c r="AN258" s="1">
        <v>1.0</v>
      </c>
      <c r="AO258" s="1" t="s">
        <v>198</v>
      </c>
      <c r="AP258" s="1">
        <v>1.0</v>
      </c>
      <c r="AQ258" s="1" t="s">
        <v>198</v>
      </c>
      <c r="AR258" s="1" t="s">
        <v>200</v>
      </c>
      <c r="AS258" s="1" t="s">
        <v>199</v>
      </c>
      <c r="AT258" s="1">
        <v>3.0</v>
      </c>
      <c r="AV258" s="1" t="s">
        <v>200</v>
      </c>
      <c r="AW258" s="1">
        <v>0.0</v>
      </c>
      <c r="AX258" s="1">
        <v>2013.0</v>
      </c>
      <c r="AY258" s="1" t="s">
        <v>229</v>
      </c>
      <c r="AZ258" s="1" t="s">
        <v>200</v>
      </c>
      <c r="BA258" s="1" t="str">
        <f>"0621202013"</f>
        <v>0621202013</v>
      </c>
      <c r="BB258" s="1" t="s">
        <v>200</v>
      </c>
      <c r="BC258" s="1">
        <v>2444.0</v>
      </c>
      <c r="BD258" s="1">
        <v>279578.0</v>
      </c>
      <c r="BE258" s="2">
        <v>41961.0</v>
      </c>
      <c r="BF258" s="2" t="s">
        <v>4133</v>
      </c>
      <c r="BG258" s="1" t="s">
        <v>4134</v>
      </c>
      <c r="BH258" s="1">
        <v>325.0</v>
      </c>
      <c r="BI258" s="1" t="s">
        <v>4135</v>
      </c>
      <c r="BJ258" s="1" t="s">
        <v>4136</v>
      </c>
      <c r="BK258" s="1" t="s">
        <v>580</v>
      </c>
      <c r="BL258" s="1" t="str">
        <f t="shared" ref="BL258:BM258" si="180">""</f>
        <v/>
      </c>
      <c r="BM258" s="1" t="str">
        <f t="shared" si="180"/>
        <v/>
      </c>
      <c r="BQ258" s="1">
        <v>427.0</v>
      </c>
      <c r="BR258" s="1">
        <v>427.0</v>
      </c>
      <c r="BS258" s="1">
        <v>427.0</v>
      </c>
      <c r="BV258" s="1" t="s">
        <v>204</v>
      </c>
      <c r="BY258" s="1" t="s">
        <v>214</v>
      </c>
      <c r="BZ258" s="1" t="s">
        <v>209</v>
      </c>
      <c r="CA258" s="1" t="s">
        <v>210</v>
      </c>
      <c r="CC258" s="1" t="s">
        <v>332</v>
      </c>
      <c r="CD258" s="1" t="s">
        <v>206</v>
      </c>
      <c r="CE258" s="1" t="s">
        <v>207</v>
      </c>
      <c r="CG258" s="1" t="s">
        <v>433</v>
      </c>
      <c r="CH258" s="1" t="s">
        <v>209</v>
      </c>
      <c r="CI258" s="1" t="s">
        <v>210</v>
      </c>
      <c r="CK258" s="1" t="s">
        <v>332</v>
      </c>
      <c r="CL258" s="1" t="s">
        <v>209</v>
      </c>
      <c r="CM258" s="1" t="s">
        <v>210</v>
      </c>
      <c r="CO258" s="1" t="s">
        <v>332</v>
      </c>
      <c r="CP258" s="1" t="s">
        <v>209</v>
      </c>
      <c r="CQ258" s="1" t="s">
        <v>210</v>
      </c>
      <c r="CS258" s="1" t="s">
        <v>208</v>
      </c>
      <c r="CT258" s="1" t="s">
        <v>206</v>
      </c>
      <c r="CU258" s="1" t="s">
        <v>1136</v>
      </c>
      <c r="CX258" s="1" t="s">
        <v>204</v>
      </c>
      <c r="DA258" s="1" t="s">
        <v>192</v>
      </c>
      <c r="DB258" s="2">
        <v>42155.0</v>
      </c>
      <c r="DC258" s="1" t="s">
        <v>744</v>
      </c>
      <c r="DD258" s="1" t="s">
        <v>4137</v>
      </c>
      <c r="DE258" s="1" t="s">
        <v>273</v>
      </c>
      <c r="DF258" s="1" t="s">
        <v>219</v>
      </c>
      <c r="DG258" s="1" t="s">
        <v>1020</v>
      </c>
      <c r="DH258" s="1" t="s">
        <v>220</v>
      </c>
      <c r="DI258" s="1" t="s">
        <v>275</v>
      </c>
      <c r="DJ258" s="1" t="s">
        <v>222</v>
      </c>
      <c r="DK258" s="1" t="s">
        <v>1555</v>
      </c>
      <c r="DL258" s="1" t="s">
        <v>484</v>
      </c>
      <c r="DM258" s="1" t="s">
        <v>1268</v>
      </c>
      <c r="DN258" s="1" t="s">
        <v>485</v>
      </c>
      <c r="DO258" s="1" t="s">
        <v>486</v>
      </c>
      <c r="DP258" s="1" t="s">
        <v>340</v>
      </c>
      <c r="DQ258" s="1" t="s">
        <v>228</v>
      </c>
      <c r="DR258" s="1" t="s">
        <v>588</v>
      </c>
      <c r="DS258" s="1" t="s">
        <v>368</v>
      </c>
      <c r="DU258" s="1" t="s">
        <v>1187</v>
      </c>
      <c r="DV258" s="1" t="s">
        <v>4138</v>
      </c>
      <c r="DW258" s="1" t="s">
        <v>1072</v>
      </c>
      <c r="DX258" s="1" t="s">
        <v>4139</v>
      </c>
      <c r="DY258" s="1" t="s">
        <v>490</v>
      </c>
      <c r="DZ258" s="1" t="s">
        <v>1333</v>
      </c>
      <c r="EA258" s="1" t="s">
        <v>1027</v>
      </c>
      <c r="EB258" s="1" t="s">
        <v>3699</v>
      </c>
      <c r="EC258" s="1" t="s">
        <v>237</v>
      </c>
      <c r="ED258" s="1" t="s">
        <v>1406</v>
      </c>
      <c r="EE258" s="1" t="s">
        <v>187</v>
      </c>
      <c r="EG258" s="1" t="s">
        <v>449</v>
      </c>
      <c r="EH258" s="1" t="s">
        <v>1164</v>
      </c>
      <c r="EI258" s="1" t="s">
        <v>408</v>
      </c>
      <c r="EL258" s="1" t="s">
        <v>495</v>
      </c>
      <c r="EM258" s="1" t="s">
        <v>206</v>
      </c>
      <c r="EN258" s="1" t="s">
        <v>1136</v>
      </c>
      <c r="EP258" s="1" t="s">
        <v>479</v>
      </c>
      <c r="EQ258" s="1" t="s">
        <v>206</v>
      </c>
      <c r="ER258" s="1" t="s">
        <v>207</v>
      </c>
      <c r="ET258" s="1" t="s">
        <v>721</v>
      </c>
      <c r="EU258" s="1" t="s">
        <v>206</v>
      </c>
      <c r="EV258" s="1" t="s">
        <v>207</v>
      </c>
      <c r="EY258" s="1" t="s">
        <v>238</v>
      </c>
      <c r="FC258" s="1" t="s">
        <v>238</v>
      </c>
      <c r="FF258" s="1" t="s">
        <v>239</v>
      </c>
      <c r="FG258" s="1" t="s">
        <v>192</v>
      </c>
      <c r="FH258" s="1" t="s">
        <v>192</v>
      </c>
      <c r="FJ258" s="1" t="s">
        <v>4140</v>
      </c>
      <c r="FK258" s="1" t="s">
        <v>229</v>
      </c>
      <c r="FL258" s="1" t="s">
        <v>1007</v>
      </c>
      <c r="FM258" s="1">
        <v>93043.0</v>
      </c>
      <c r="FN258" s="1" t="s">
        <v>1008</v>
      </c>
      <c r="FO258" s="1" t="s">
        <v>4141</v>
      </c>
      <c r="FP258" s="1">
        <v>930149.0</v>
      </c>
      <c r="FQ258" s="1" t="s">
        <v>4142</v>
      </c>
      <c r="FS258" s="1" t="s">
        <v>4143</v>
      </c>
      <c r="FU258" s="1" t="s">
        <v>4144</v>
      </c>
      <c r="FV258" s="1" t="s">
        <v>200</v>
      </c>
      <c r="FW258" s="1" t="s">
        <v>4145</v>
      </c>
      <c r="FZ258" s="1" t="s">
        <v>229</v>
      </c>
      <c r="GA258" s="1" t="s">
        <v>291</v>
      </c>
      <c r="GB258" s="2">
        <v>42135.0</v>
      </c>
      <c r="GC258" s="1" t="s">
        <v>4146</v>
      </c>
    </row>
    <row r="259">
      <c r="A259" s="1">
        <v>100000.0</v>
      </c>
      <c r="B259" s="1" t="s">
        <v>185</v>
      </c>
      <c r="C259" s="1" t="str">
        <f>"08772929"</f>
        <v>08772929</v>
      </c>
      <c r="D259" s="1" t="s">
        <v>186</v>
      </c>
      <c r="F259" s="1" t="str">
        <f>"115"</f>
        <v>115</v>
      </c>
      <c r="G259" s="2">
        <v>41953.0</v>
      </c>
      <c r="H259" s="1">
        <v>114995.0</v>
      </c>
      <c r="I259" s="1">
        <v>144.0</v>
      </c>
      <c r="J259" s="1">
        <v>100000.0</v>
      </c>
      <c r="K259" s="2">
        <v>42096.0</v>
      </c>
      <c r="L259" s="1">
        <v>144.0</v>
      </c>
      <c r="M259" s="2">
        <v>42096.0</v>
      </c>
      <c r="N259" s="1" t="s">
        <v>634</v>
      </c>
      <c r="O259" s="2">
        <v>42142.0</v>
      </c>
      <c r="P259" s="1">
        <v>930149.0</v>
      </c>
      <c r="Q259" s="1">
        <v>93043.0</v>
      </c>
      <c r="R259" s="1">
        <v>2000.0</v>
      </c>
      <c r="S259" s="1">
        <v>411.0</v>
      </c>
      <c r="T259" s="1" t="s">
        <v>4147</v>
      </c>
      <c r="U259" s="1" t="s">
        <v>189</v>
      </c>
      <c r="V259" s="1" t="s">
        <v>610</v>
      </c>
      <c r="W259" s="1">
        <v>60115.0</v>
      </c>
      <c r="Y259" s="1" t="s">
        <v>4148</v>
      </c>
      <c r="Z259" s="1">
        <v>1966.0</v>
      </c>
      <c r="AA259" s="1" t="s">
        <v>192</v>
      </c>
      <c r="AB259" s="1" t="s">
        <v>193</v>
      </c>
      <c r="AD259" s="1" t="s">
        <v>612</v>
      </c>
      <c r="AE259" s="1" t="s">
        <v>613</v>
      </c>
      <c r="AF259" s="1" t="s">
        <v>612</v>
      </c>
      <c r="AH259" s="1" t="s">
        <v>4149</v>
      </c>
      <c r="AI259" s="1">
        <v>0.22</v>
      </c>
      <c r="AK259" s="1">
        <v>7.0</v>
      </c>
      <c r="AL259" s="1">
        <v>4.0</v>
      </c>
      <c r="AM259" s="1">
        <v>1.0</v>
      </c>
      <c r="AN259" s="1">
        <v>1.0</v>
      </c>
      <c r="AO259" s="1" t="s">
        <v>229</v>
      </c>
      <c r="AQ259" s="1" t="s">
        <v>229</v>
      </c>
      <c r="AR259" s="1" t="s">
        <v>200</v>
      </c>
      <c r="AS259" s="1" t="s">
        <v>199</v>
      </c>
      <c r="AT259" s="1">
        <v>2.0</v>
      </c>
      <c r="AV259" s="1" t="s">
        <v>200</v>
      </c>
      <c r="AW259" s="1">
        <v>4591.92</v>
      </c>
      <c r="AX259" s="1">
        <v>2013.0</v>
      </c>
      <c r="AY259" s="1" t="s">
        <v>229</v>
      </c>
      <c r="AZ259" s="1" t="s">
        <v>200</v>
      </c>
      <c r="BA259" s="1" t="str">
        <f>"0827127018"</f>
        <v>0827127018</v>
      </c>
      <c r="BB259" s="1" t="s">
        <v>200</v>
      </c>
      <c r="BC259" s="1">
        <v>0.0</v>
      </c>
      <c r="BD259" s="1">
        <v>100000.0</v>
      </c>
      <c r="BE259" s="2">
        <v>41953.0</v>
      </c>
      <c r="BF259" s="2" t="s">
        <v>4150</v>
      </c>
      <c r="BH259" s="1">
        <v>0.0</v>
      </c>
      <c r="BK259" s="1" t="s">
        <v>204</v>
      </c>
      <c r="BL259" s="1" t="str">
        <f t="shared" ref="BL259:BM259" si="181">"0"</f>
        <v>0</v>
      </c>
      <c r="BM259" s="1" t="str">
        <f t="shared" si="181"/>
        <v>0</v>
      </c>
      <c r="BN259" s="1">
        <v>0.0</v>
      </c>
      <c r="BO259" s="1">
        <v>0.0</v>
      </c>
      <c r="BQ259" s="1">
        <v>428.0</v>
      </c>
      <c r="BR259" s="1">
        <v>428.0</v>
      </c>
      <c r="BS259" s="1">
        <v>428.0</v>
      </c>
      <c r="BU259" s="1" t="s">
        <v>361</v>
      </c>
      <c r="BV259" s="1" t="s">
        <v>206</v>
      </c>
      <c r="BW259" s="1" t="s">
        <v>210</v>
      </c>
      <c r="BY259" s="1" t="s">
        <v>495</v>
      </c>
      <c r="BZ259" s="1" t="s">
        <v>206</v>
      </c>
      <c r="CA259" s="1" t="s">
        <v>210</v>
      </c>
      <c r="CD259" s="1" t="s">
        <v>204</v>
      </c>
      <c r="CG259" s="1" t="s">
        <v>265</v>
      </c>
      <c r="CH259" s="1" t="s">
        <v>206</v>
      </c>
      <c r="CI259" s="1" t="s">
        <v>207</v>
      </c>
      <c r="CJ259" s="1" t="s">
        <v>431</v>
      </c>
      <c r="CK259" s="1" t="s">
        <v>516</v>
      </c>
      <c r="CL259" s="1" t="s">
        <v>206</v>
      </c>
      <c r="CM259" s="1" t="s">
        <v>210</v>
      </c>
      <c r="CN259" s="1" t="s">
        <v>431</v>
      </c>
      <c r="CO259" s="1" t="s">
        <v>516</v>
      </c>
      <c r="CP259" s="1" t="s">
        <v>267</v>
      </c>
      <c r="CQ259" s="1" t="s">
        <v>210</v>
      </c>
      <c r="CR259" s="1" t="s">
        <v>431</v>
      </c>
      <c r="CS259" s="1" t="s">
        <v>331</v>
      </c>
      <c r="CT259" s="1" t="s">
        <v>267</v>
      </c>
      <c r="CU259" s="1" t="s">
        <v>617</v>
      </c>
      <c r="CV259" s="1" t="s">
        <v>431</v>
      </c>
      <c r="CW259" s="1" t="s">
        <v>730</v>
      </c>
      <c r="CX259" s="1" t="s">
        <v>267</v>
      </c>
      <c r="CY259" s="1" t="s">
        <v>301</v>
      </c>
      <c r="DA259" s="1" t="s">
        <v>200</v>
      </c>
      <c r="DC259" s="1" t="s">
        <v>517</v>
      </c>
      <c r="DD259" s="1" t="s">
        <v>306</v>
      </c>
      <c r="DE259" s="1" t="s">
        <v>273</v>
      </c>
      <c r="DF259" s="1" t="s">
        <v>219</v>
      </c>
      <c r="DG259" s="1" t="s">
        <v>337</v>
      </c>
      <c r="DH259" s="1" t="s">
        <v>220</v>
      </c>
      <c r="DI259" s="1" t="s">
        <v>1223</v>
      </c>
      <c r="DJ259" s="1" t="s">
        <v>222</v>
      </c>
      <c r="DL259" s="1" t="s">
        <v>229</v>
      </c>
      <c r="DM259" s="1" t="s">
        <v>229</v>
      </c>
      <c r="DO259" s="1" t="s">
        <v>1979</v>
      </c>
      <c r="DP259" s="1" t="s">
        <v>227</v>
      </c>
      <c r="DQ259" s="1" t="s">
        <v>228</v>
      </c>
      <c r="DR259" s="1" t="s">
        <v>229</v>
      </c>
      <c r="DV259" s="1" t="s">
        <v>4151</v>
      </c>
      <c r="DW259" s="1" t="s">
        <v>370</v>
      </c>
      <c r="DX259" s="1" t="s">
        <v>234</v>
      </c>
      <c r="DY259" s="1" t="s">
        <v>861</v>
      </c>
      <c r="DZ259" s="1" t="s">
        <v>4152</v>
      </c>
      <c r="EA259" s="1" t="s">
        <v>554</v>
      </c>
      <c r="EC259" s="1" t="s">
        <v>311</v>
      </c>
      <c r="ED259" s="1" t="s">
        <v>407</v>
      </c>
      <c r="EG259" s="1" t="s">
        <v>1270</v>
      </c>
      <c r="EH259" s="1" t="s">
        <v>2129</v>
      </c>
      <c r="EL259" s="1" t="s">
        <v>4153</v>
      </c>
      <c r="EM259" s="1" t="s">
        <v>267</v>
      </c>
      <c r="EN259" s="1" t="s">
        <v>617</v>
      </c>
      <c r="EP259" s="1" t="s">
        <v>265</v>
      </c>
      <c r="EQ259" s="1" t="s">
        <v>267</v>
      </c>
      <c r="ER259" s="1" t="s">
        <v>210</v>
      </c>
      <c r="EU259" s="1" t="s">
        <v>238</v>
      </c>
      <c r="EY259" s="1" t="s">
        <v>238</v>
      </c>
      <c r="FC259" s="1" t="s">
        <v>238</v>
      </c>
      <c r="FF259" s="1" t="s">
        <v>239</v>
      </c>
      <c r="FG259" s="1" t="s">
        <v>192</v>
      </c>
      <c r="FH259" s="1" t="s">
        <v>192</v>
      </c>
      <c r="FJ259" s="1" t="s">
        <v>2594</v>
      </c>
      <c r="FK259" s="1" t="s">
        <v>229</v>
      </c>
      <c r="FL259" s="1" t="s">
        <v>1007</v>
      </c>
      <c r="FM259" s="1">
        <v>93043.0</v>
      </c>
      <c r="FN259" s="1" t="s">
        <v>1008</v>
      </c>
      <c r="FO259" s="1" t="s">
        <v>4154</v>
      </c>
      <c r="FP259" s="1">
        <v>930132.0</v>
      </c>
      <c r="FQ259" s="1" t="s">
        <v>4155</v>
      </c>
      <c r="FU259" s="1" t="s">
        <v>4156</v>
      </c>
      <c r="FV259" s="1" t="s">
        <v>200</v>
      </c>
      <c r="FW259" s="1" t="s">
        <v>4157</v>
      </c>
      <c r="FZ259" s="1" t="s">
        <v>229</v>
      </c>
      <c r="GA259" s="1" t="s">
        <v>291</v>
      </c>
      <c r="GB259" s="2">
        <v>42143.0</v>
      </c>
      <c r="GC259" s="1" t="s">
        <v>4158</v>
      </c>
    </row>
    <row r="260">
      <c r="A260" s="1">
        <v>237000.0</v>
      </c>
      <c r="B260" s="1" t="s">
        <v>185</v>
      </c>
      <c r="C260" s="1" t="str">
        <f>"08789430"</f>
        <v>08789430</v>
      </c>
      <c r="D260" s="1" t="s">
        <v>186</v>
      </c>
      <c r="F260" s="1" t="str">
        <f>"560"</f>
        <v>560</v>
      </c>
      <c r="G260" s="2">
        <v>41962.0</v>
      </c>
      <c r="H260" s="1">
        <v>249900.0</v>
      </c>
      <c r="I260" s="1">
        <v>136.0</v>
      </c>
      <c r="J260" s="1">
        <v>249900.0</v>
      </c>
      <c r="K260" s="2">
        <v>41983.0</v>
      </c>
      <c r="L260" s="1">
        <v>23.0</v>
      </c>
      <c r="M260" s="2">
        <v>41983.0</v>
      </c>
      <c r="N260" s="1" t="s">
        <v>187</v>
      </c>
      <c r="O260" s="2">
        <v>42020.0</v>
      </c>
      <c r="P260" s="1">
        <v>233968.0</v>
      </c>
      <c r="Q260" s="1">
        <v>23312.0</v>
      </c>
      <c r="S260" s="1">
        <v>1853.0</v>
      </c>
      <c r="T260" s="1" t="s">
        <v>4159</v>
      </c>
      <c r="U260" s="1" t="s">
        <v>569</v>
      </c>
      <c r="V260" s="1" t="s">
        <v>845</v>
      </c>
      <c r="W260" s="1">
        <v>60560.0</v>
      </c>
      <c r="Y260" s="1" t="s">
        <v>4160</v>
      </c>
      <c r="Z260" s="1">
        <v>2006.0</v>
      </c>
      <c r="AA260" s="1" t="s">
        <v>200</v>
      </c>
      <c r="AB260" s="1" t="s">
        <v>193</v>
      </c>
      <c r="AD260" s="1" t="s">
        <v>848</v>
      </c>
      <c r="AE260" s="1" t="s">
        <v>849</v>
      </c>
      <c r="AF260" s="1" t="s">
        <v>850</v>
      </c>
      <c r="AH260" s="1" t="s">
        <v>2673</v>
      </c>
      <c r="AI260" s="1">
        <v>0.2755</v>
      </c>
      <c r="AK260" s="1">
        <v>9.0</v>
      </c>
      <c r="AL260" s="1">
        <v>4.0</v>
      </c>
      <c r="AM260" s="1">
        <v>2.0</v>
      </c>
      <c r="AN260" s="1">
        <v>1.0</v>
      </c>
      <c r="AO260" s="1" t="s">
        <v>198</v>
      </c>
      <c r="AQ260" s="1" t="s">
        <v>472</v>
      </c>
      <c r="AR260" s="1" t="s">
        <v>200</v>
      </c>
      <c r="AS260" s="1" t="s">
        <v>199</v>
      </c>
      <c r="AT260" s="1">
        <v>3.0</v>
      </c>
      <c r="AV260" s="1" t="s">
        <v>200</v>
      </c>
      <c r="AW260" s="1">
        <v>7601.02</v>
      </c>
      <c r="AX260" s="1">
        <v>2013.0</v>
      </c>
      <c r="AY260" s="1" t="s">
        <v>387</v>
      </c>
      <c r="AZ260" s="1" t="s">
        <v>200</v>
      </c>
      <c r="BA260" s="1" t="str">
        <f>"0505442020"</f>
        <v>0505442020</v>
      </c>
      <c r="BC260" s="1">
        <v>2414.0</v>
      </c>
      <c r="BD260" s="1">
        <v>237000.0</v>
      </c>
      <c r="BE260" s="2">
        <v>41961.0</v>
      </c>
      <c r="BF260" s="2" t="s">
        <v>4161</v>
      </c>
      <c r="BH260" s="1">
        <v>0.0</v>
      </c>
      <c r="BK260" s="1" t="s">
        <v>204</v>
      </c>
      <c r="BL260" s="1" t="str">
        <f t="shared" ref="BL260:BM260" si="182">""</f>
        <v/>
      </c>
      <c r="BM260" s="1" t="str">
        <f t="shared" si="182"/>
        <v/>
      </c>
      <c r="BQ260" s="1">
        <v>115.0</v>
      </c>
      <c r="BR260" s="1">
        <v>115.0</v>
      </c>
      <c r="BS260" s="1">
        <v>115.0</v>
      </c>
      <c r="BU260" s="1" t="s">
        <v>212</v>
      </c>
      <c r="BV260" s="1" t="s">
        <v>206</v>
      </c>
      <c r="BW260" s="1" t="s">
        <v>207</v>
      </c>
      <c r="BX260" s="1" t="s">
        <v>431</v>
      </c>
      <c r="BY260" s="1" t="s">
        <v>390</v>
      </c>
      <c r="BZ260" s="1" t="s">
        <v>209</v>
      </c>
      <c r="CA260" s="1" t="s">
        <v>210</v>
      </c>
      <c r="CB260" s="1" t="s">
        <v>431</v>
      </c>
      <c r="CC260" s="1" t="s">
        <v>212</v>
      </c>
      <c r="CD260" s="1" t="s">
        <v>206</v>
      </c>
      <c r="CE260" s="1" t="s">
        <v>207</v>
      </c>
      <c r="CF260" s="1" t="s">
        <v>431</v>
      </c>
      <c r="CG260" s="1" t="s">
        <v>302</v>
      </c>
      <c r="CH260" s="1" t="s">
        <v>209</v>
      </c>
      <c r="CI260" s="1" t="s">
        <v>210</v>
      </c>
      <c r="CJ260" s="1" t="s">
        <v>431</v>
      </c>
      <c r="CK260" s="1" t="s">
        <v>332</v>
      </c>
      <c r="CL260" s="1" t="s">
        <v>209</v>
      </c>
      <c r="CM260" s="1" t="s">
        <v>210</v>
      </c>
      <c r="CN260" s="1" t="s">
        <v>431</v>
      </c>
      <c r="CO260" s="1" t="s">
        <v>497</v>
      </c>
      <c r="CP260" s="1" t="s">
        <v>209</v>
      </c>
      <c r="CQ260" s="1" t="s">
        <v>210</v>
      </c>
      <c r="CR260" s="1" t="s">
        <v>431</v>
      </c>
      <c r="CS260" s="1" t="s">
        <v>213</v>
      </c>
      <c r="CT260" s="1" t="s">
        <v>206</v>
      </c>
      <c r="CU260" s="1" t="s">
        <v>207</v>
      </c>
      <c r="CW260" s="1" t="s">
        <v>208</v>
      </c>
      <c r="CX260" s="1" t="s">
        <v>206</v>
      </c>
      <c r="CY260" s="1" t="s">
        <v>207</v>
      </c>
      <c r="CZ260" s="1" t="s">
        <v>431</v>
      </c>
      <c r="DA260" s="1" t="s">
        <v>200</v>
      </c>
      <c r="DC260" s="1" t="s">
        <v>481</v>
      </c>
      <c r="DD260" s="1" t="s">
        <v>3633</v>
      </c>
      <c r="DE260" s="1" t="s">
        <v>273</v>
      </c>
      <c r="DF260" s="1" t="s">
        <v>219</v>
      </c>
      <c r="DH260" s="1" t="s">
        <v>220</v>
      </c>
      <c r="DI260" s="1" t="s">
        <v>1003</v>
      </c>
      <c r="DJ260" s="1" t="s">
        <v>222</v>
      </c>
      <c r="DL260" s="1" t="s">
        <v>484</v>
      </c>
      <c r="DM260" s="1" t="s">
        <v>338</v>
      </c>
      <c r="DN260" s="1" t="s">
        <v>485</v>
      </c>
      <c r="DP260" s="1" t="s">
        <v>340</v>
      </c>
      <c r="DQ260" s="1" t="s">
        <v>441</v>
      </c>
      <c r="DR260" s="1" t="s">
        <v>229</v>
      </c>
      <c r="DS260" s="1" t="s">
        <v>230</v>
      </c>
      <c r="DU260" s="1" t="s">
        <v>746</v>
      </c>
      <c r="DV260" s="1" t="s">
        <v>556</v>
      </c>
      <c r="DW260" s="1" t="s">
        <v>444</v>
      </c>
      <c r="DX260" s="1" t="s">
        <v>309</v>
      </c>
      <c r="DY260" s="1" t="s">
        <v>490</v>
      </c>
      <c r="DZ260" s="1" t="s">
        <v>4162</v>
      </c>
      <c r="EC260" s="1" t="s">
        <v>237</v>
      </c>
      <c r="ED260" s="1" t="s">
        <v>4163</v>
      </c>
      <c r="EH260" s="1" t="s">
        <v>556</v>
      </c>
      <c r="EM260" s="1" t="s">
        <v>238</v>
      </c>
      <c r="EP260" s="1" t="s">
        <v>454</v>
      </c>
      <c r="EQ260" s="1" t="s">
        <v>206</v>
      </c>
      <c r="ER260" s="1" t="s">
        <v>207</v>
      </c>
      <c r="ES260" s="1" t="s">
        <v>431</v>
      </c>
      <c r="EU260" s="1" t="s">
        <v>238</v>
      </c>
      <c r="EY260" s="1" t="s">
        <v>238</v>
      </c>
      <c r="FC260" s="1" t="s">
        <v>238</v>
      </c>
      <c r="FF260" s="1" t="s">
        <v>239</v>
      </c>
      <c r="FG260" s="1" t="s">
        <v>192</v>
      </c>
      <c r="FH260" s="1" t="s">
        <v>192</v>
      </c>
      <c r="FJ260" s="1" t="s">
        <v>285</v>
      </c>
      <c r="FK260" s="1" t="s">
        <v>229</v>
      </c>
      <c r="FL260" s="1" t="s">
        <v>1289</v>
      </c>
      <c r="FM260" s="1">
        <v>349.0</v>
      </c>
      <c r="FN260" s="1" t="s">
        <v>4164</v>
      </c>
      <c r="FO260" s="1" t="s">
        <v>4165</v>
      </c>
      <c r="FP260" s="1">
        <v>8087.0</v>
      </c>
      <c r="FQ260" s="1" t="s">
        <v>4166</v>
      </c>
      <c r="FR260" s="1">
        <v>8846.0</v>
      </c>
      <c r="FU260" s="1" t="s">
        <v>4167</v>
      </c>
      <c r="FV260" s="1" t="s">
        <v>200</v>
      </c>
      <c r="FW260" s="1" t="s">
        <v>290</v>
      </c>
      <c r="FX260" s="1" t="s">
        <v>1739</v>
      </c>
      <c r="FZ260" s="1" t="s">
        <v>229</v>
      </c>
      <c r="GA260" s="1" t="s">
        <v>291</v>
      </c>
      <c r="GB260" s="2">
        <v>42021.0</v>
      </c>
      <c r="GC260" s="1" t="s">
        <v>4168</v>
      </c>
    </row>
    <row r="261">
      <c r="A261" s="1">
        <v>127000.0</v>
      </c>
      <c r="B261" s="1" t="s">
        <v>185</v>
      </c>
      <c r="C261" s="1" t="str">
        <f>"08788527"</f>
        <v>08788527</v>
      </c>
      <c r="D261" s="1" t="s">
        <v>186</v>
      </c>
      <c r="F261" s="1" t="str">
        <f>"8073"</f>
        <v>8073</v>
      </c>
      <c r="G261" s="2">
        <v>41961.0</v>
      </c>
      <c r="H261" s="1">
        <v>129900.0</v>
      </c>
      <c r="I261" s="1">
        <v>142.0</v>
      </c>
      <c r="J261" s="1">
        <v>129900.0</v>
      </c>
      <c r="K261" s="2">
        <v>42094.0</v>
      </c>
      <c r="L261" s="1">
        <v>134.0</v>
      </c>
      <c r="M261" s="2">
        <v>42094.0</v>
      </c>
      <c r="N261" s="1" t="s">
        <v>356</v>
      </c>
      <c r="O261" s="2">
        <v>42146.0</v>
      </c>
      <c r="P261" s="1">
        <v>238088.0</v>
      </c>
      <c r="Q261" s="1">
        <v>24873.0</v>
      </c>
      <c r="S261" s="1">
        <v>9041.0</v>
      </c>
      <c r="T261" s="1" t="s">
        <v>4169</v>
      </c>
      <c r="U261" s="1" t="s">
        <v>320</v>
      </c>
      <c r="V261" s="1" t="s">
        <v>190</v>
      </c>
      <c r="W261" s="1">
        <v>60620.0</v>
      </c>
      <c r="Y261" s="1" t="s">
        <v>4170</v>
      </c>
      <c r="Z261" s="1">
        <v>1908.0</v>
      </c>
      <c r="AA261" s="1" t="s">
        <v>192</v>
      </c>
      <c r="AB261" s="1" t="s">
        <v>193</v>
      </c>
      <c r="AD261" s="1" t="s">
        <v>194</v>
      </c>
      <c r="AE261" s="1" t="s">
        <v>195</v>
      </c>
      <c r="AF261" s="1" t="s">
        <v>659</v>
      </c>
      <c r="AG261" s="1" t="s">
        <v>778</v>
      </c>
      <c r="AH261" s="1" t="s">
        <v>1501</v>
      </c>
      <c r="AI261" s="1">
        <v>0.0956</v>
      </c>
      <c r="AK261" s="1">
        <v>8.0</v>
      </c>
      <c r="AL261" s="1">
        <v>3.0</v>
      </c>
      <c r="AM261" s="1">
        <v>2.0</v>
      </c>
      <c r="AN261" s="1">
        <v>1.0</v>
      </c>
      <c r="AO261" s="1" t="s">
        <v>229</v>
      </c>
      <c r="AQ261" s="1" t="s">
        <v>198</v>
      </c>
      <c r="AR261" s="1" t="s">
        <v>192</v>
      </c>
      <c r="AS261" s="1" t="s">
        <v>199</v>
      </c>
      <c r="AT261" s="1">
        <v>2.0</v>
      </c>
      <c r="AV261" s="1" t="s">
        <v>200</v>
      </c>
      <c r="AW261" s="1">
        <v>2045.88</v>
      </c>
      <c r="AX261" s="1">
        <v>2012.0</v>
      </c>
      <c r="AY261" s="1" t="s">
        <v>229</v>
      </c>
      <c r="AZ261" s="1" t="s">
        <v>200</v>
      </c>
      <c r="BA261" s="1" t="str">
        <f>"25051280100000"</f>
        <v>25051280100000</v>
      </c>
      <c r="BB261" s="1" t="s">
        <v>200</v>
      </c>
      <c r="BC261" s="1">
        <v>1600.0</v>
      </c>
      <c r="BD261" s="1">
        <v>127000.0</v>
      </c>
      <c r="BE261" s="2">
        <v>41961.0</v>
      </c>
      <c r="BF261" s="2" t="s">
        <v>4171</v>
      </c>
      <c r="BH261" s="1">
        <v>0.0</v>
      </c>
      <c r="BK261" s="1" t="s">
        <v>204</v>
      </c>
      <c r="BL261" s="1" t="str">
        <f t="shared" ref="BL261:BM261" si="183">"0"</f>
        <v>0</v>
      </c>
      <c r="BM261" s="1" t="str">
        <f t="shared" si="183"/>
        <v>0</v>
      </c>
      <c r="BN261" s="1">
        <v>1400.0</v>
      </c>
      <c r="BO261" s="1">
        <v>9041.0</v>
      </c>
      <c r="BQ261" s="1">
        <v>299.0</v>
      </c>
      <c r="BR261" s="1">
        <v>299.0</v>
      </c>
      <c r="BS261" s="1">
        <v>299.0</v>
      </c>
      <c r="BU261" s="1" t="s">
        <v>454</v>
      </c>
      <c r="BV261" s="1" t="s">
        <v>206</v>
      </c>
      <c r="BW261" s="1" t="s">
        <v>301</v>
      </c>
      <c r="BX261" s="1" t="s">
        <v>431</v>
      </c>
      <c r="BY261" s="1" t="s">
        <v>647</v>
      </c>
      <c r="BZ261" s="1" t="s">
        <v>206</v>
      </c>
      <c r="CA261" s="1" t="s">
        <v>210</v>
      </c>
      <c r="CB261" s="1" t="s">
        <v>431</v>
      </c>
      <c r="CC261" s="1" t="s">
        <v>363</v>
      </c>
      <c r="CD261" s="1" t="s">
        <v>206</v>
      </c>
      <c r="CE261" s="1" t="s">
        <v>301</v>
      </c>
      <c r="CF261" s="1" t="s">
        <v>431</v>
      </c>
      <c r="CG261" s="1" t="s">
        <v>495</v>
      </c>
      <c r="CH261" s="1" t="s">
        <v>209</v>
      </c>
      <c r="CI261" s="1" t="s">
        <v>210</v>
      </c>
      <c r="CJ261" s="1" t="s">
        <v>431</v>
      </c>
      <c r="CK261" s="1" t="s">
        <v>269</v>
      </c>
      <c r="CL261" s="1" t="s">
        <v>209</v>
      </c>
      <c r="CM261" s="1" t="s">
        <v>210</v>
      </c>
      <c r="CN261" s="1" t="s">
        <v>431</v>
      </c>
      <c r="CO261" s="1" t="s">
        <v>699</v>
      </c>
      <c r="CP261" s="1" t="s">
        <v>42</v>
      </c>
      <c r="CQ261" s="1" t="s">
        <v>210</v>
      </c>
      <c r="CR261" s="1" t="s">
        <v>229</v>
      </c>
      <c r="CS261" s="1" t="s">
        <v>699</v>
      </c>
      <c r="CT261" s="1" t="s">
        <v>206</v>
      </c>
      <c r="CU261" s="1" t="s">
        <v>268</v>
      </c>
      <c r="CV261" s="1" t="s">
        <v>431</v>
      </c>
      <c r="CW261" s="1" t="s">
        <v>1483</v>
      </c>
      <c r="CX261" s="1" t="s">
        <v>206</v>
      </c>
      <c r="CY261" s="1" t="s">
        <v>301</v>
      </c>
      <c r="CZ261" s="1" t="s">
        <v>431</v>
      </c>
      <c r="DA261" s="1" t="s">
        <v>200</v>
      </c>
      <c r="DC261" s="1" t="s">
        <v>642</v>
      </c>
      <c r="DD261" s="1" t="s">
        <v>618</v>
      </c>
      <c r="DE261" s="1" t="s">
        <v>273</v>
      </c>
      <c r="DF261" s="1" t="s">
        <v>219</v>
      </c>
      <c r="DG261" s="1" t="s">
        <v>1657</v>
      </c>
      <c r="DH261" s="1" t="s">
        <v>220</v>
      </c>
      <c r="DI261" s="1" t="s">
        <v>2970</v>
      </c>
      <c r="DJ261" s="1" t="s">
        <v>222</v>
      </c>
      <c r="DL261" s="1" t="s">
        <v>224</v>
      </c>
      <c r="DM261" s="1" t="s">
        <v>1658</v>
      </c>
      <c r="DO261" s="1" t="s">
        <v>4172</v>
      </c>
      <c r="DP261" s="1" t="s">
        <v>340</v>
      </c>
      <c r="DQ261" s="1" t="s">
        <v>441</v>
      </c>
      <c r="DR261" s="1" t="s">
        <v>229</v>
      </c>
      <c r="DS261" s="1" t="s">
        <v>401</v>
      </c>
      <c r="DV261" s="1" t="s">
        <v>1102</v>
      </c>
      <c r="DW261" s="1" t="s">
        <v>489</v>
      </c>
      <c r="DX261" s="1" t="s">
        <v>309</v>
      </c>
      <c r="DY261" s="1" t="s">
        <v>704</v>
      </c>
      <c r="DZ261" s="1" t="s">
        <v>1333</v>
      </c>
      <c r="EA261" s="1" t="s">
        <v>644</v>
      </c>
      <c r="EC261" s="1" t="s">
        <v>237</v>
      </c>
      <c r="ED261" s="1" t="s">
        <v>555</v>
      </c>
      <c r="EE261" s="1" t="s">
        <v>522</v>
      </c>
      <c r="EG261" s="1" t="s">
        <v>1102</v>
      </c>
      <c r="EL261" s="1" t="s">
        <v>3702</v>
      </c>
      <c r="EM261" s="1" t="s">
        <v>206</v>
      </c>
      <c r="EN261" s="1" t="s">
        <v>301</v>
      </c>
      <c r="EO261" s="1" t="s">
        <v>431</v>
      </c>
      <c r="EQ261" s="1" t="s">
        <v>238</v>
      </c>
      <c r="EU261" s="1" t="s">
        <v>238</v>
      </c>
      <c r="EY261" s="1" t="s">
        <v>238</v>
      </c>
      <c r="FC261" s="1" t="s">
        <v>238</v>
      </c>
      <c r="FF261" s="1" t="s">
        <v>239</v>
      </c>
      <c r="FG261" s="1" t="s">
        <v>192</v>
      </c>
      <c r="FH261" s="1" t="s">
        <v>192</v>
      </c>
      <c r="FJ261" s="1" t="s">
        <v>4173</v>
      </c>
      <c r="FK261" s="1" t="s">
        <v>229</v>
      </c>
      <c r="FL261" s="1" t="s">
        <v>1124</v>
      </c>
      <c r="FM261" s="1">
        <v>12293.0</v>
      </c>
      <c r="FN261" s="1" t="s">
        <v>3300</v>
      </c>
      <c r="FO261" s="1" t="s">
        <v>3953</v>
      </c>
      <c r="FP261" s="1">
        <v>117948.0</v>
      </c>
      <c r="FQ261" s="1" t="s">
        <v>3954</v>
      </c>
      <c r="FR261" s="1">
        <v>107531.0</v>
      </c>
      <c r="FT261" s="1" t="s">
        <v>4174</v>
      </c>
      <c r="FU261" s="1" t="s">
        <v>3957</v>
      </c>
      <c r="FV261" s="1" t="s">
        <v>200</v>
      </c>
      <c r="FW261" s="1" t="s">
        <v>4175</v>
      </c>
      <c r="FX261" s="1" t="s">
        <v>655</v>
      </c>
      <c r="FZ261" s="1" t="s">
        <v>229</v>
      </c>
      <c r="GA261" s="1" t="s">
        <v>291</v>
      </c>
      <c r="GB261" s="2">
        <v>42150.0</v>
      </c>
      <c r="GC261" s="1" t="s">
        <v>3957</v>
      </c>
    </row>
    <row r="262">
      <c r="A262" s="1">
        <v>292500.0</v>
      </c>
      <c r="B262" s="1" t="s">
        <v>185</v>
      </c>
      <c r="C262" s="1" t="str">
        <f>"08787125"</f>
        <v>08787125</v>
      </c>
      <c r="D262" s="1" t="s">
        <v>186</v>
      </c>
      <c r="F262" s="1" t="str">
        <f>"8017"</f>
        <v>8017</v>
      </c>
      <c r="G262" s="2">
        <v>41958.0</v>
      </c>
      <c r="H262" s="1">
        <v>289900.0</v>
      </c>
      <c r="I262" s="1">
        <v>6.0</v>
      </c>
      <c r="J262" s="1">
        <v>289900.0</v>
      </c>
      <c r="K262" s="2">
        <v>41963.0</v>
      </c>
      <c r="L262" s="1">
        <v>6.0</v>
      </c>
      <c r="M262" s="2">
        <v>41963.0</v>
      </c>
      <c r="N262" s="1" t="s">
        <v>187</v>
      </c>
      <c r="O262" s="2">
        <v>42009.0</v>
      </c>
      <c r="P262" s="1">
        <v>138041.0</v>
      </c>
      <c r="Q262" s="1">
        <v>10646.0</v>
      </c>
      <c r="R262" s="1">
        <v>5347.0</v>
      </c>
      <c r="S262" s="1">
        <v>3516.0</v>
      </c>
      <c r="T262" s="1" t="s">
        <v>4176</v>
      </c>
      <c r="U262" s="1" t="s">
        <v>189</v>
      </c>
      <c r="V262" s="1" t="s">
        <v>190</v>
      </c>
      <c r="W262" s="1">
        <v>60634.0</v>
      </c>
      <c r="Y262" s="1" t="s">
        <v>4177</v>
      </c>
      <c r="Z262" s="1">
        <v>1950.0</v>
      </c>
      <c r="AA262" s="1" t="s">
        <v>192</v>
      </c>
      <c r="AB262" s="1" t="s">
        <v>193</v>
      </c>
      <c r="AD262" s="1" t="s">
        <v>194</v>
      </c>
      <c r="AE262" s="1" t="s">
        <v>195</v>
      </c>
      <c r="AF262" s="1" t="s">
        <v>196</v>
      </c>
      <c r="AH262" s="1" t="s">
        <v>4178</v>
      </c>
      <c r="AI262" s="1">
        <v>0.25</v>
      </c>
      <c r="AK262" s="1">
        <v>8.0</v>
      </c>
      <c r="AL262" s="1">
        <v>4.0</v>
      </c>
      <c r="AM262" s="1">
        <v>2.0</v>
      </c>
      <c r="AN262" s="1">
        <v>0.0</v>
      </c>
      <c r="AO262" s="1" t="s">
        <v>229</v>
      </c>
      <c r="AP262" s="1">
        <v>0.0</v>
      </c>
      <c r="AQ262" s="1" t="s">
        <v>198</v>
      </c>
      <c r="AR262" s="1" t="s">
        <v>192</v>
      </c>
      <c r="AS262" s="1" t="s">
        <v>199</v>
      </c>
      <c r="AT262" s="1">
        <v>2.0</v>
      </c>
      <c r="AV262" s="1" t="s">
        <v>200</v>
      </c>
      <c r="AW262" s="1">
        <v>4043.95</v>
      </c>
      <c r="AX262" s="1">
        <v>2013.0</v>
      </c>
      <c r="AY262" s="1" t="s">
        <v>387</v>
      </c>
      <c r="AZ262" s="1" t="s">
        <v>200</v>
      </c>
      <c r="BA262" s="1" t="str">
        <f>"12234010330000"</f>
        <v>12234010330000</v>
      </c>
      <c r="BB262" s="1" t="s">
        <v>200</v>
      </c>
      <c r="BC262" s="1">
        <v>1162.0</v>
      </c>
      <c r="BD262" s="1">
        <v>292500.0</v>
      </c>
      <c r="BE262" s="2">
        <v>41958.0</v>
      </c>
      <c r="BF262" s="2" t="s">
        <v>4179</v>
      </c>
      <c r="BH262" s="1">
        <v>0.0</v>
      </c>
      <c r="BK262" s="1" t="s">
        <v>204</v>
      </c>
      <c r="BL262" s="1" t="str">
        <f>"3516"</f>
        <v>3516</v>
      </c>
      <c r="BM262" s="1" t="str">
        <f>"0"</f>
        <v>0</v>
      </c>
      <c r="BN262" s="1">
        <v>8300.0</v>
      </c>
      <c r="BO262" s="1">
        <v>0.0</v>
      </c>
      <c r="BQ262" s="1">
        <v>299.0</v>
      </c>
      <c r="BR262" s="1">
        <v>299.0</v>
      </c>
      <c r="BS262" s="1">
        <v>299.0</v>
      </c>
      <c r="BU262" s="1" t="s">
        <v>1426</v>
      </c>
      <c r="BV262" s="1" t="s">
        <v>206</v>
      </c>
      <c r="BW262" s="1" t="s">
        <v>207</v>
      </c>
      <c r="BY262" s="1" t="s">
        <v>363</v>
      </c>
      <c r="BZ262" s="1" t="s">
        <v>206</v>
      </c>
      <c r="CA262" s="1" t="s">
        <v>207</v>
      </c>
      <c r="CC262" s="1" t="s">
        <v>4180</v>
      </c>
      <c r="CD262" s="1" t="s">
        <v>206</v>
      </c>
      <c r="CE262" s="1" t="s">
        <v>207</v>
      </c>
      <c r="CG262" s="1" t="s">
        <v>264</v>
      </c>
      <c r="CH262" s="1" t="s">
        <v>206</v>
      </c>
      <c r="CI262" s="1" t="s">
        <v>207</v>
      </c>
      <c r="CK262" s="1" t="s">
        <v>361</v>
      </c>
      <c r="CL262" s="1" t="s">
        <v>209</v>
      </c>
      <c r="CM262" s="1" t="s">
        <v>210</v>
      </c>
      <c r="CO262" s="1" t="s">
        <v>433</v>
      </c>
      <c r="CP262" s="1" t="s">
        <v>209</v>
      </c>
      <c r="CQ262" s="1" t="s">
        <v>210</v>
      </c>
      <c r="CS262" s="1" t="s">
        <v>1119</v>
      </c>
      <c r="CT262" s="1" t="s">
        <v>206</v>
      </c>
      <c r="CU262" s="1" t="s">
        <v>207</v>
      </c>
      <c r="CW262" s="1" t="s">
        <v>2181</v>
      </c>
      <c r="CX262" s="1" t="s">
        <v>42</v>
      </c>
      <c r="CY262" s="1" t="s">
        <v>210</v>
      </c>
      <c r="DA262" s="1" t="s">
        <v>200</v>
      </c>
      <c r="DC262" s="1" t="s">
        <v>702</v>
      </c>
      <c r="DD262" s="1" t="s">
        <v>518</v>
      </c>
      <c r="DE262" s="1" t="s">
        <v>273</v>
      </c>
      <c r="DF262" s="1" t="s">
        <v>219</v>
      </c>
      <c r="DG262" s="1" t="s">
        <v>482</v>
      </c>
      <c r="DH262" s="1" t="s">
        <v>365</v>
      </c>
      <c r="DI262" s="1" t="s">
        <v>732</v>
      </c>
      <c r="DJ262" s="1" t="s">
        <v>222</v>
      </c>
      <c r="DK262" s="1" t="s">
        <v>1380</v>
      </c>
      <c r="DL262" s="1" t="s">
        <v>224</v>
      </c>
      <c r="DM262" s="1" t="s">
        <v>1402</v>
      </c>
      <c r="DN262" s="1" t="s">
        <v>666</v>
      </c>
      <c r="DO262" s="1" t="s">
        <v>717</v>
      </c>
      <c r="DP262" s="1" t="s">
        <v>340</v>
      </c>
      <c r="DQ262" s="1" t="s">
        <v>228</v>
      </c>
      <c r="DR262" s="1" t="s">
        <v>229</v>
      </c>
      <c r="DS262" s="1" t="s">
        <v>277</v>
      </c>
      <c r="DU262" s="1" t="s">
        <v>2785</v>
      </c>
      <c r="DV262" s="1" t="s">
        <v>232</v>
      </c>
      <c r="DW262" s="1" t="s">
        <v>279</v>
      </c>
      <c r="DX262" s="1" t="s">
        <v>234</v>
      </c>
      <c r="DY262" s="1" t="s">
        <v>704</v>
      </c>
      <c r="DZ262" s="1" t="s">
        <v>310</v>
      </c>
      <c r="EA262" s="1" t="s">
        <v>257</v>
      </c>
      <c r="EC262" s="1" t="s">
        <v>645</v>
      </c>
      <c r="ED262" s="1" t="s">
        <v>555</v>
      </c>
      <c r="EE262" s="1" t="s">
        <v>493</v>
      </c>
      <c r="EM262" s="1" t="s">
        <v>238</v>
      </c>
      <c r="EQ262" s="1" t="s">
        <v>238</v>
      </c>
      <c r="EU262" s="1" t="s">
        <v>238</v>
      </c>
      <c r="EY262" s="1" t="s">
        <v>238</v>
      </c>
      <c r="FC262" s="1" t="s">
        <v>238</v>
      </c>
      <c r="FF262" s="1" t="s">
        <v>239</v>
      </c>
      <c r="FG262" s="1" t="s">
        <v>192</v>
      </c>
      <c r="FH262" s="1" t="s">
        <v>192</v>
      </c>
      <c r="FJ262" s="1" t="s">
        <v>4181</v>
      </c>
      <c r="FK262" s="1" t="s">
        <v>229</v>
      </c>
      <c r="FL262" s="1" t="s">
        <v>4182</v>
      </c>
      <c r="FM262" s="1">
        <v>17033.0</v>
      </c>
      <c r="FN262" s="1" t="s">
        <v>4183</v>
      </c>
      <c r="FO262" s="1" t="s">
        <v>4184</v>
      </c>
      <c r="FP262" s="1">
        <v>110423.0</v>
      </c>
      <c r="FQ262" s="1" t="s">
        <v>4185</v>
      </c>
      <c r="FU262" s="1" t="s">
        <v>4186</v>
      </c>
      <c r="FV262" s="1" t="s">
        <v>200</v>
      </c>
      <c r="FW262" s="1" t="s">
        <v>290</v>
      </c>
      <c r="FX262" s="1" t="s">
        <v>238</v>
      </c>
      <c r="FZ262" s="1" t="s">
        <v>229</v>
      </c>
      <c r="GA262" s="1" t="s">
        <v>291</v>
      </c>
      <c r="GB262" s="2">
        <v>42010.0</v>
      </c>
      <c r="GC262" s="1" t="s">
        <v>4187</v>
      </c>
    </row>
    <row r="263">
      <c r="A263" s="1">
        <v>14500.0</v>
      </c>
      <c r="B263" s="1" t="s">
        <v>185</v>
      </c>
      <c r="C263" s="1" t="str">
        <f>"08773899"</f>
        <v>08773899</v>
      </c>
      <c r="D263" s="1" t="s">
        <v>186</v>
      </c>
      <c r="F263" s="1" t="str">
        <f>"8068"</f>
        <v>8068</v>
      </c>
      <c r="G263" s="2">
        <v>41955.0</v>
      </c>
      <c r="H263" s="1">
        <v>14500.0</v>
      </c>
      <c r="I263" s="1">
        <v>293.0</v>
      </c>
      <c r="J263" s="1">
        <v>14500.0</v>
      </c>
      <c r="K263" s="2">
        <v>42006.0</v>
      </c>
      <c r="L263" s="1">
        <v>52.0</v>
      </c>
      <c r="M263" s="2">
        <v>42006.0</v>
      </c>
      <c r="N263" s="1" t="s">
        <v>249</v>
      </c>
      <c r="O263" s="2">
        <v>42034.0</v>
      </c>
      <c r="P263" s="1">
        <v>401757.0</v>
      </c>
      <c r="Q263" s="1">
        <v>12279.0</v>
      </c>
      <c r="S263" s="1">
        <v>6230.0</v>
      </c>
      <c r="T263" s="1" t="s">
        <v>4188</v>
      </c>
      <c r="U263" s="1" t="s">
        <v>320</v>
      </c>
      <c r="V263" s="1" t="s">
        <v>190</v>
      </c>
      <c r="W263" s="1">
        <v>60621.0</v>
      </c>
      <c r="Y263" s="1" t="s">
        <v>4189</v>
      </c>
      <c r="Z263" s="1">
        <v>1890.0</v>
      </c>
      <c r="AA263" s="1" t="s">
        <v>192</v>
      </c>
      <c r="AB263" s="1" t="s">
        <v>193</v>
      </c>
      <c r="AD263" s="1" t="s">
        <v>194</v>
      </c>
      <c r="AE263" s="1" t="s">
        <v>195</v>
      </c>
      <c r="AF263" s="1" t="s">
        <v>1154</v>
      </c>
      <c r="AH263" s="1" t="s">
        <v>359</v>
      </c>
      <c r="AK263" s="1">
        <v>7.0</v>
      </c>
      <c r="AL263" s="1">
        <v>4.0</v>
      </c>
      <c r="AM263" s="1">
        <v>2.0</v>
      </c>
      <c r="AN263" s="1">
        <v>0.0</v>
      </c>
      <c r="AO263" s="1" t="s">
        <v>229</v>
      </c>
      <c r="AQ263" s="1" t="s">
        <v>198</v>
      </c>
      <c r="AR263" s="1" t="s">
        <v>200</v>
      </c>
      <c r="AS263" s="1" t="s">
        <v>229</v>
      </c>
      <c r="AV263" s="1" t="s">
        <v>200</v>
      </c>
      <c r="AW263" s="1">
        <v>980.7</v>
      </c>
      <c r="AX263" s="1">
        <v>2012.0</v>
      </c>
      <c r="AY263" s="1" t="s">
        <v>387</v>
      </c>
      <c r="AZ263" s="1" t="s">
        <v>200</v>
      </c>
      <c r="BA263" s="1" t="str">
        <f>"20174240260000"</f>
        <v>20174240260000</v>
      </c>
      <c r="BC263" s="1">
        <v>1000.0</v>
      </c>
      <c r="BD263" s="1">
        <v>14500.0</v>
      </c>
      <c r="BE263" s="2">
        <v>41955.0</v>
      </c>
      <c r="BF263" s="1" t="s">
        <v>4190</v>
      </c>
      <c r="BH263" s="1">
        <v>0.0</v>
      </c>
      <c r="BK263" s="1" t="s">
        <v>204</v>
      </c>
      <c r="BL263" s="1" t="str">
        <f t="shared" ref="BL263:BM263" si="184">"0"</f>
        <v>0</v>
      </c>
      <c r="BM263" s="1" t="str">
        <f t="shared" si="184"/>
        <v>0</v>
      </c>
      <c r="BN263" s="1">
        <v>1030.0</v>
      </c>
      <c r="BO263" s="1">
        <v>6230.0</v>
      </c>
      <c r="BQ263" s="1">
        <v>299.0</v>
      </c>
      <c r="BR263" s="1">
        <v>299.0</v>
      </c>
      <c r="BS263" s="1">
        <v>299.0</v>
      </c>
      <c r="BU263" s="1" t="s">
        <v>647</v>
      </c>
      <c r="BV263" s="1" t="s">
        <v>206</v>
      </c>
      <c r="BY263" s="1" t="s">
        <v>269</v>
      </c>
      <c r="BZ263" s="1" t="s">
        <v>206</v>
      </c>
      <c r="CC263" s="1" t="s">
        <v>542</v>
      </c>
      <c r="CD263" s="1" t="s">
        <v>206</v>
      </c>
      <c r="CG263" s="1" t="s">
        <v>516</v>
      </c>
      <c r="CH263" s="1" t="s">
        <v>209</v>
      </c>
      <c r="CK263" s="1" t="s">
        <v>516</v>
      </c>
      <c r="CL263" s="1" t="s">
        <v>209</v>
      </c>
      <c r="CO263" s="1" t="s">
        <v>263</v>
      </c>
      <c r="CP263" s="1" t="s">
        <v>209</v>
      </c>
      <c r="CS263" s="1" t="s">
        <v>1688</v>
      </c>
      <c r="CT263" s="1" t="s">
        <v>206</v>
      </c>
      <c r="CX263" s="1" t="s">
        <v>204</v>
      </c>
      <c r="DA263" s="1" t="s">
        <v>200</v>
      </c>
      <c r="DC263" s="1" t="s">
        <v>642</v>
      </c>
      <c r="DE263" s="1" t="s">
        <v>229</v>
      </c>
      <c r="DF263" s="1" t="s">
        <v>619</v>
      </c>
      <c r="DH263" s="1" t="s">
        <v>307</v>
      </c>
      <c r="DJ263" s="1" t="s">
        <v>222</v>
      </c>
      <c r="DL263" s="1" t="s">
        <v>223</v>
      </c>
      <c r="DM263" s="1" t="s">
        <v>229</v>
      </c>
      <c r="DQ263" s="1" t="s">
        <v>228</v>
      </c>
      <c r="DR263" s="1" t="s">
        <v>229</v>
      </c>
      <c r="DV263" s="1" t="s">
        <v>232</v>
      </c>
      <c r="DW263" s="1" t="s">
        <v>667</v>
      </c>
      <c r="DX263" s="1" t="s">
        <v>234</v>
      </c>
      <c r="EC263" s="1" t="s">
        <v>237</v>
      </c>
      <c r="EM263" s="1" t="s">
        <v>238</v>
      </c>
      <c r="EQ263" s="1" t="s">
        <v>238</v>
      </c>
      <c r="EU263" s="1" t="s">
        <v>238</v>
      </c>
      <c r="EY263" s="1" t="s">
        <v>238</v>
      </c>
      <c r="FC263" s="1" t="s">
        <v>238</v>
      </c>
      <c r="FF263" s="1" t="s">
        <v>239</v>
      </c>
      <c r="FG263" s="1" t="s">
        <v>192</v>
      </c>
      <c r="FH263" s="1" t="s">
        <v>192</v>
      </c>
      <c r="FJ263" s="1" t="s">
        <v>3062</v>
      </c>
      <c r="FK263" s="1" t="s">
        <v>1586</v>
      </c>
      <c r="FL263" s="1" t="s">
        <v>4191</v>
      </c>
      <c r="FM263" s="1">
        <v>84615.0</v>
      </c>
      <c r="FN263" s="1" t="s">
        <v>4192</v>
      </c>
      <c r="FO263" s="1" t="s">
        <v>4193</v>
      </c>
      <c r="FP263" s="1">
        <v>178589.0</v>
      </c>
      <c r="FQ263" s="1" t="s">
        <v>4192</v>
      </c>
      <c r="FU263" s="1" t="s">
        <v>4194</v>
      </c>
      <c r="FV263" s="1" t="s">
        <v>200</v>
      </c>
      <c r="FW263" s="1" t="s">
        <v>290</v>
      </c>
      <c r="FX263" s="1" t="s">
        <v>655</v>
      </c>
      <c r="FZ263" s="1" t="s">
        <v>229</v>
      </c>
      <c r="GA263" s="1" t="s">
        <v>291</v>
      </c>
      <c r="GB263" s="2">
        <v>42035.0</v>
      </c>
      <c r="GC263" s="1" t="s">
        <v>4195</v>
      </c>
    </row>
    <row r="264">
      <c r="A264" s="1">
        <v>450000.0</v>
      </c>
      <c r="B264" s="1" t="s">
        <v>185</v>
      </c>
      <c r="C264" s="1" t="str">
        <f>"08788434"</f>
        <v>08788434</v>
      </c>
      <c r="D264" s="1" t="s">
        <v>186</v>
      </c>
      <c r="F264" s="1" t="str">
        <f>"8015"</f>
        <v>8015</v>
      </c>
      <c r="G264" s="2">
        <v>41961.0</v>
      </c>
      <c r="H264" s="1">
        <v>499000.0</v>
      </c>
      <c r="I264" s="1">
        <v>71.0</v>
      </c>
      <c r="J264" s="1">
        <v>475000.0</v>
      </c>
      <c r="K264" s="2">
        <v>42031.0</v>
      </c>
      <c r="L264" s="1">
        <v>71.0</v>
      </c>
      <c r="M264" s="2">
        <v>42031.0</v>
      </c>
      <c r="N264" s="1" t="s">
        <v>187</v>
      </c>
      <c r="O264" s="2">
        <v>42072.0</v>
      </c>
      <c r="P264" s="1">
        <v>120897.0</v>
      </c>
      <c r="Q264" s="1">
        <v>18649.0</v>
      </c>
      <c r="S264" s="1">
        <v>4047.0</v>
      </c>
      <c r="T264" s="1" t="s">
        <v>2054</v>
      </c>
      <c r="U264" s="1" t="s">
        <v>189</v>
      </c>
      <c r="V264" s="1" t="s">
        <v>190</v>
      </c>
      <c r="W264" s="1">
        <v>60634.0</v>
      </c>
      <c r="Y264" s="1" t="s">
        <v>4196</v>
      </c>
      <c r="Z264" s="1">
        <v>1921.0</v>
      </c>
      <c r="AA264" s="1" t="s">
        <v>192</v>
      </c>
      <c r="AB264" s="1" t="s">
        <v>193</v>
      </c>
      <c r="AD264" s="1" t="s">
        <v>194</v>
      </c>
      <c r="AE264" s="1" t="s">
        <v>195</v>
      </c>
      <c r="AF264" s="1" t="s">
        <v>196</v>
      </c>
      <c r="AH264" s="1">
        <v>4375.0</v>
      </c>
      <c r="AI264" s="1">
        <v>0.1004</v>
      </c>
      <c r="AK264" s="1">
        <v>8.0</v>
      </c>
      <c r="AL264" s="1">
        <v>3.0</v>
      </c>
      <c r="AM264" s="1">
        <v>4.0</v>
      </c>
      <c r="AN264" s="1">
        <v>0.0</v>
      </c>
      <c r="AO264" s="1" t="s">
        <v>198</v>
      </c>
      <c r="AQ264" s="1" t="s">
        <v>198</v>
      </c>
      <c r="AR264" s="1" t="s">
        <v>192</v>
      </c>
      <c r="AS264" s="1" t="s">
        <v>510</v>
      </c>
      <c r="AT264" s="1">
        <v>2.0</v>
      </c>
      <c r="AU264" s="1">
        <v>1.0</v>
      </c>
      <c r="AV264" s="1" t="s">
        <v>200</v>
      </c>
      <c r="AW264" s="1">
        <v>4313.01</v>
      </c>
      <c r="AX264" s="1">
        <v>2012.0</v>
      </c>
      <c r="AZ264" s="1" t="s">
        <v>200</v>
      </c>
      <c r="BA264" s="1" t="str">
        <f>"13174280040000"</f>
        <v>13174280040000</v>
      </c>
      <c r="BC264" s="1">
        <v>3000.0</v>
      </c>
      <c r="BD264" s="1">
        <v>450000.0</v>
      </c>
      <c r="BE264" s="2">
        <v>41961.0</v>
      </c>
      <c r="BF264" s="2" t="s">
        <v>4197</v>
      </c>
      <c r="BH264" s="1">
        <v>0.0</v>
      </c>
      <c r="BK264" s="1" t="s">
        <v>204</v>
      </c>
      <c r="BL264" s="1" t="str">
        <f>"4047"</f>
        <v>4047</v>
      </c>
      <c r="BM264" s="1" t="str">
        <f t="shared" ref="BM264:BM265" si="185">"0"</f>
        <v>0</v>
      </c>
      <c r="BN264" s="1">
        <v>5700.0</v>
      </c>
      <c r="BO264" s="1">
        <v>0.0</v>
      </c>
      <c r="BQ264" s="1">
        <v>299.0</v>
      </c>
      <c r="BR264" s="1">
        <v>299.0</v>
      </c>
      <c r="BS264" s="1">
        <v>299.0</v>
      </c>
      <c r="BU264" s="1" t="s">
        <v>2273</v>
      </c>
      <c r="BV264" s="1" t="s">
        <v>206</v>
      </c>
      <c r="BY264" s="1" t="s">
        <v>1299</v>
      </c>
      <c r="BZ264" s="1" t="s">
        <v>209</v>
      </c>
      <c r="CC264" s="1" t="s">
        <v>768</v>
      </c>
      <c r="CD264" s="1" t="s">
        <v>206</v>
      </c>
      <c r="CG264" s="1" t="s">
        <v>497</v>
      </c>
      <c r="CH264" s="1" t="s">
        <v>209</v>
      </c>
      <c r="CK264" s="1" t="s">
        <v>1329</v>
      </c>
      <c r="CL264" s="1" t="s">
        <v>209</v>
      </c>
      <c r="CO264" s="1" t="s">
        <v>303</v>
      </c>
      <c r="CP264" s="1" t="s">
        <v>42</v>
      </c>
      <c r="CS264" s="1" t="s">
        <v>266</v>
      </c>
      <c r="CT264" s="1" t="s">
        <v>206</v>
      </c>
      <c r="CX264" s="1" t="s">
        <v>204</v>
      </c>
      <c r="DA264" s="1" t="s">
        <v>200</v>
      </c>
      <c r="DC264" s="1" t="s">
        <v>216</v>
      </c>
      <c r="DE264" s="1" t="s">
        <v>273</v>
      </c>
      <c r="DF264" s="1" t="s">
        <v>219</v>
      </c>
      <c r="DH264" s="1" t="s">
        <v>365</v>
      </c>
      <c r="DJ264" s="1" t="s">
        <v>222</v>
      </c>
      <c r="DL264" s="1" t="s">
        <v>224</v>
      </c>
      <c r="DM264" s="1" t="s">
        <v>229</v>
      </c>
      <c r="DQ264" s="1" t="s">
        <v>228</v>
      </c>
      <c r="DR264" s="1" t="s">
        <v>229</v>
      </c>
      <c r="DV264" s="1" t="s">
        <v>449</v>
      </c>
      <c r="DW264" s="1" t="s">
        <v>489</v>
      </c>
      <c r="DX264" s="1" t="s">
        <v>234</v>
      </c>
      <c r="EC264" s="1" t="s">
        <v>237</v>
      </c>
      <c r="EG264" s="1" t="s">
        <v>449</v>
      </c>
      <c r="EL264" s="1" t="s">
        <v>4153</v>
      </c>
      <c r="EM264" s="1" t="s">
        <v>206</v>
      </c>
      <c r="EQ264" s="1" t="s">
        <v>238</v>
      </c>
      <c r="EU264" s="1" t="s">
        <v>238</v>
      </c>
      <c r="EY264" s="1" t="s">
        <v>238</v>
      </c>
      <c r="FC264" s="1" t="s">
        <v>238</v>
      </c>
      <c r="FF264" s="1" t="s">
        <v>239</v>
      </c>
      <c r="FG264" s="1" t="s">
        <v>192</v>
      </c>
      <c r="FH264" s="1" t="s">
        <v>192</v>
      </c>
      <c r="FJ264" s="1" t="s">
        <v>561</v>
      </c>
      <c r="FK264" s="1" t="s">
        <v>229</v>
      </c>
      <c r="FL264" s="1" t="s">
        <v>562</v>
      </c>
      <c r="FM264" s="1">
        <v>14703.0</v>
      </c>
      <c r="FN264" s="1" t="s">
        <v>2570</v>
      </c>
      <c r="FO264" s="1" t="s">
        <v>4198</v>
      </c>
      <c r="FP264" s="1">
        <v>110847.0</v>
      </c>
      <c r="FQ264" s="1" t="s">
        <v>4199</v>
      </c>
      <c r="FU264" s="1" t="s">
        <v>4200</v>
      </c>
      <c r="FV264" s="1" t="s">
        <v>192</v>
      </c>
      <c r="FW264" s="1" t="s">
        <v>290</v>
      </c>
      <c r="FX264" s="1" t="s">
        <v>238</v>
      </c>
      <c r="FZ264" s="1" t="s">
        <v>229</v>
      </c>
      <c r="GA264" s="1" t="s">
        <v>291</v>
      </c>
      <c r="GB264" s="2">
        <v>42072.0</v>
      </c>
      <c r="GC264" s="1" t="s">
        <v>4201</v>
      </c>
    </row>
    <row r="265">
      <c r="A265" s="1">
        <v>205000.0</v>
      </c>
      <c r="B265" s="1" t="s">
        <v>185</v>
      </c>
      <c r="C265" s="1" t="str">
        <f>"08771000"</f>
        <v>08771000</v>
      </c>
      <c r="D265" s="1" t="s">
        <v>186</v>
      </c>
      <c r="F265" s="1" t="str">
        <f>"8020"</f>
        <v>8020</v>
      </c>
      <c r="G265" s="2">
        <v>41950.0</v>
      </c>
      <c r="H265" s="1">
        <v>199000.0</v>
      </c>
      <c r="I265" s="1">
        <v>61.0</v>
      </c>
      <c r="J265" s="1">
        <v>199000.0</v>
      </c>
      <c r="K265" s="2">
        <v>41963.0</v>
      </c>
      <c r="L265" s="1">
        <v>14.0</v>
      </c>
      <c r="M265" s="2">
        <v>41963.0</v>
      </c>
      <c r="N265" s="1" t="s">
        <v>356</v>
      </c>
      <c r="O265" s="2">
        <v>42009.0</v>
      </c>
      <c r="P265" s="1">
        <v>170078.0</v>
      </c>
      <c r="Q265" s="1">
        <v>84301.0</v>
      </c>
      <c r="S265" s="1">
        <v>2043.0</v>
      </c>
      <c r="T265" s="1" t="s">
        <v>4202</v>
      </c>
      <c r="U265" s="1" t="s">
        <v>189</v>
      </c>
      <c r="V265" s="1" t="s">
        <v>190</v>
      </c>
      <c r="W265" s="1">
        <v>60639.0</v>
      </c>
      <c r="Y265" s="1" t="s">
        <v>4203</v>
      </c>
      <c r="Z265" s="1">
        <v>1913.0</v>
      </c>
      <c r="AA265" s="1" t="s">
        <v>192</v>
      </c>
      <c r="AB265" s="1" t="s">
        <v>193</v>
      </c>
      <c r="AD265" s="1" t="s">
        <v>194</v>
      </c>
      <c r="AE265" s="1" t="s">
        <v>195</v>
      </c>
      <c r="AF265" s="1" t="s">
        <v>196</v>
      </c>
      <c r="AH265" s="1" t="s">
        <v>359</v>
      </c>
      <c r="AI265" s="1">
        <v>0.0</v>
      </c>
      <c r="AK265" s="1">
        <v>7.0</v>
      </c>
      <c r="AL265" s="1">
        <v>4.0</v>
      </c>
      <c r="AM265" s="1">
        <v>2.0</v>
      </c>
      <c r="AN265" s="1">
        <v>0.0</v>
      </c>
      <c r="AO265" s="1" t="s">
        <v>229</v>
      </c>
      <c r="AP265" s="1">
        <v>0.0</v>
      </c>
      <c r="AQ265" s="1" t="s">
        <v>198</v>
      </c>
      <c r="AR265" s="1" t="s">
        <v>200</v>
      </c>
      <c r="AS265" s="1" t="s">
        <v>199</v>
      </c>
      <c r="AT265" s="1">
        <v>2.0</v>
      </c>
      <c r="AV265" s="1" t="s">
        <v>200</v>
      </c>
      <c r="AW265" s="4">
        <v>3284.01</v>
      </c>
      <c r="AX265" s="1">
        <v>2013.0</v>
      </c>
      <c r="AY265" s="1" t="s">
        <v>387</v>
      </c>
      <c r="AZ265" s="1" t="s">
        <v>200</v>
      </c>
      <c r="BA265" s="1" t="str">
        <f>"13341280060000"</f>
        <v>13341280060000</v>
      </c>
      <c r="BB265" s="1" t="s">
        <v>200</v>
      </c>
      <c r="BC265" s="1">
        <v>1800.0</v>
      </c>
      <c r="BD265" s="1">
        <v>205000.0</v>
      </c>
      <c r="BE265" s="2">
        <v>41950.0</v>
      </c>
      <c r="BF265" s="2" t="s">
        <v>4204</v>
      </c>
      <c r="BH265" s="1">
        <v>0.0</v>
      </c>
      <c r="BK265" s="1" t="s">
        <v>204</v>
      </c>
      <c r="BL265" s="1" t="str">
        <f>"2043"</f>
        <v>2043</v>
      </c>
      <c r="BM265" s="1" t="str">
        <f t="shared" si="185"/>
        <v>0</v>
      </c>
      <c r="BN265" s="1">
        <v>4500.0</v>
      </c>
      <c r="BO265" s="1">
        <v>0.0</v>
      </c>
      <c r="BQ265" s="1">
        <v>299.0</v>
      </c>
      <c r="BR265" s="1">
        <v>299.0</v>
      </c>
      <c r="BS265" s="1">
        <v>299.0</v>
      </c>
      <c r="BU265" s="1" t="s">
        <v>1395</v>
      </c>
      <c r="BV265" s="1" t="s">
        <v>206</v>
      </c>
      <c r="BW265" s="1" t="s">
        <v>207</v>
      </c>
      <c r="BY265" s="1" t="s">
        <v>1395</v>
      </c>
      <c r="BZ265" s="1" t="s">
        <v>209</v>
      </c>
      <c r="CA265" s="1" t="s">
        <v>210</v>
      </c>
      <c r="CC265" s="1" t="s">
        <v>302</v>
      </c>
      <c r="CD265" s="1" t="s">
        <v>206</v>
      </c>
      <c r="CE265" s="1" t="s">
        <v>268</v>
      </c>
      <c r="CG265" s="1" t="s">
        <v>3594</v>
      </c>
      <c r="CH265" s="1" t="s">
        <v>206</v>
      </c>
      <c r="CI265" s="1" t="s">
        <v>207</v>
      </c>
      <c r="CK265" s="1" t="s">
        <v>3805</v>
      </c>
      <c r="CL265" s="1" t="s">
        <v>209</v>
      </c>
      <c r="CM265" s="1" t="s">
        <v>207</v>
      </c>
      <c r="CO265" s="1" t="s">
        <v>1852</v>
      </c>
      <c r="CP265" s="1" t="s">
        <v>209</v>
      </c>
      <c r="CQ265" s="1" t="s">
        <v>210</v>
      </c>
      <c r="CS265" s="1" t="s">
        <v>4205</v>
      </c>
      <c r="CT265" s="1" t="s">
        <v>206</v>
      </c>
      <c r="CU265" s="1" t="s">
        <v>207</v>
      </c>
      <c r="CX265" s="1" t="s">
        <v>204</v>
      </c>
      <c r="DA265" s="1" t="s">
        <v>200</v>
      </c>
      <c r="DC265" s="1" t="s">
        <v>642</v>
      </c>
      <c r="DD265" s="1" t="s">
        <v>855</v>
      </c>
      <c r="DE265" s="1" t="s">
        <v>229</v>
      </c>
      <c r="DF265" s="1" t="s">
        <v>4206</v>
      </c>
      <c r="DG265" s="1" t="s">
        <v>337</v>
      </c>
      <c r="DH265" s="1" t="s">
        <v>307</v>
      </c>
      <c r="DI265" s="1" t="s">
        <v>1401</v>
      </c>
      <c r="DJ265" s="1" t="s">
        <v>222</v>
      </c>
      <c r="DK265" s="1" t="s">
        <v>4207</v>
      </c>
      <c r="DL265" s="1" t="s">
        <v>791</v>
      </c>
      <c r="DM265" s="1" t="s">
        <v>229</v>
      </c>
      <c r="DO265" s="1" t="s">
        <v>549</v>
      </c>
      <c r="DP265" s="1" t="s">
        <v>340</v>
      </c>
      <c r="DQ265" s="1" t="s">
        <v>718</v>
      </c>
      <c r="DR265" s="1" t="s">
        <v>229</v>
      </c>
      <c r="DS265" s="1" t="s">
        <v>401</v>
      </c>
      <c r="DU265" s="1" t="s">
        <v>681</v>
      </c>
      <c r="DV265" s="1" t="s">
        <v>232</v>
      </c>
      <c r="DW265" s="1" t="s">
        <v>279</v>
      </c>
      <c r="DX265" s="1" t="s">
        <v>234</v>
      </c>
      <c r="EC265" s="1" t="s">
        <v>237</v>
      </c>
      <c r="ED265" s="1" t="s">
        <v>555</v>
      </c>
      <c r="EM265" s="1" t="s">
        <v>238</v>
      </c>
      <c r="EQ265" s="1" t="s">
        <v>238</v>
      </c>
      <c r="EU265" s="1" t="s">
        <v>238</v>
      </c>
      <c r="EY265" s="1" t="s">
        <v>238</v>
      </c>
      <c r="FC265" s="1" t="s">
        <v>238</v>
      </c>
      <c r="FF265" s="1" t="s">
        <v>239</v>
      </c>
      <c r="FG265" s="1" t="s">
        <v>192</v>
      </c>
      <c r="FH265" s="1" t="s">
        <v>192</v>
      </c>
      <c r="FJ265" s="1" t="s">
        <v>498</v>
      </c>
      <c r="FK265" s="1" t="s">
        <v>229</v>
      </c>
      <c r="FL265" s="1" t="s">
        <v>836</v>
      </c>
      <c r="FM265" s="1">
        <v>18080.0</v>
      </c>
      <c r="FN265" s="1" t="s">
        <v>837</v>
      </c>
      <c r="FO265" s="1" t="s">
        <v>4208</v>
      </c>
      <c r="FP265" s="1">
        <v>153674.0</v>
      </c>
      <c r="FQ265" s="1" t="s">
        <v>4209</v>
      </c>
      <c r="FU265" s="1" t="s">
        <v>4210</v>
      </c>
      <c r="FV265" s="1" t="s">
        <v>200</v>
      </c>
      <c r="FW265" s="1" t="s">
        <v>290</v>
      </c>
      <c r="FX265" s="1" t="s">
        <v>238</v>
      </c>
      <c r="FZ265" s="1" t="s">
        <v>632</v>
      </c>
      <c r="GA265" s="1" t="s">
        <v>291</v>
      </c>
      <c r="GB265" s="2">
        <v>42012.0</v>
      </c>
    </row>
    <row r="266">
      <c r="A266" s="1">
        <v>258000.0</v>
      </c>
      <c r="B266" s="1" t="s">
        <v>185</v>
      </c>
      <c r="C266" s="1" t="str">
        <f>"08785278"</f>
        <v>08785278</v>
      </c>
      <c r="D266" s="1" t="s">
        <v>186</v>
      </c>
      <c r="F266" s="1" t="str">
        <f>"543"</f>
        <v>543</v>
      </c>
      <c r="G266" s="2">
        <v>41956.0</v>
      </c>
      <c r="H266" s="1">
        <v>275000.0</v>
      </c>
      <c r="I266" s="1">
        <v>120.0</v>
      </c>
      <c r="J266" s="1">
        <v>264900.0</v>
      </c>
      <c r="K266" s="2">
        <v>42075.0</v>
      </c>
      <c r="L266" s="1">
        <v>120.0</v>
      </c>
      <c r="M266" s="2">
        <v>42075.0</v>
      </c>
      <c r="N266" s="1" t="s">
        <v>187</v>
      </c>
      <c r="O266" s="2">
        <v>42104.0</v>
      </c>
      <c r="P266" s="1">
        <v>232740.0</v>
      </c>
      <c r="Q266" s="1">
        <v>23156.0</v>
      </c>
      <c r="R266" s="1">
        <v>2000.0</v>
      </c>
      <c r="S266" s="1">
        <v>436.0</v>
      </c>
      <c r="T266" s="1" t="s">
        <v>4211</v>
      </c>
      <c r="U266" s="1" t="s">
        <v>569</v>
      </c>
      <c r="V266" s="1" t="s">
        <v>1527</v>
      </c>
      <c r="W266" s="1">
        <v>60543.0</v>
      </c>
      <c r="Y266" s="1" t="s">
        <v>4212</v>
      </c>
      <c r="Z266" s="1">
        <v>1995.0</v>
      </c>
      <c r="AA266" s="1" t="s">
        <v>200</v>
      </c>
      <c r="AB266" s="1" t="s">
        <v>193</v>
      </c>
      <c r="AC266" s="1" t="s">
        <v>1865</v>
      </c>
      <c r="AD266" s="1" t="s">
        <v>1529</v>
      </c>
      <c r="AE266" s="1" t="s">
        <v>849</v>
      </c>
      <c r="AF266" s="1" t="s">
        <v>1529</v>
      </c>
      <c r="AH266" s="1" t="s">
        <v>4213</v>
      </c>
      <c r="AI266" s="1">
        <v>0.3103</v>
      </c>
      <c r="AK266" s="1">
        <v>11.0</v>
      </c>
      <c r="AL266" s="1">
        <v>4.0</v>
      </c>
      <c r="AM266" s="1">
        <v>2.0</v>
      </c>
      <c r="AN266" s="1">
        <v>1.0</v>
      </c>
      <c r="AO266" s="1" t="s">
        <v>198</v>
      </c>
      <c r="AP266" s="1">
        <v>1.0</v>
      </c>
      <c r="AQ266" s="1" t="s">
        <v>1314</v>
      </c>
      <c r="AR266" s="1" t="s">
        <v>200</v>
      </c>
      <c r="AS266" s="1" t="s">
        <v>199</v>
      </c>
      <c r="AT266" s="1">
        <v>3.0</v>
      </c>
      <c r="AV266" s="1" t="s">
        <v>200</v>
      </c>
      <c r="AW266" s="1">
        <v>8000.4</v>
      </c>
      <c r="AX266" s="1">
        <v>2013.0</v>
      </c>
      <c r="AY266" s="1" t="s">
        <v>387</v>
      </c>
      <c r="AZ266" s="1" t="s">
        <v>200</v>
      </c>
      <c r="BA266" s="1" t="str">
        <f>"0329121007"</f>
        <v>0329121007</v>
      </c>
      <c r="BB266" s="1" t="s">
        <v>200</v>
      </c>
      <c r="BC266" s="1">
        <v>2400.0</v>
      </c>
      <c r="BD266" s="1">
        <v>258000.0</v>
      </c>
      <c r="BE266" s="2">
        <v>41956.0</v>
      </c>
      <c r="BF266" s="2" t="s">
        <v>4214</v>
      </c>
      <c r="BG266" s="1" t="s">
        <v>1532</v>
      </c>
      <c r="BH266" s="1">
        <v>0.0</v>
      </c>
      <c r="BI266" s="1" t="s">
        <v>1533</v>
      </c>
      <c r="BJ266" s="1" t="s">
        <v>1349</v>
      </c>
      <c r="BK266" s="1" t="s">
        <v>204</v>
      </c>
      <c r="BL266" s="1" t="str">
        <f t="shared" ref="BL266:BM266" si="186">""</f>
        <v/>
      </c>
      <c r="BM266" s="1" t="str">
        <f t="shared" si="186"/>
        <v/>
      </c>
      <c r="BN266" s="1">
        <v>37.0</v>
      </c>
      <c r="BO266" s="1">
        <v>13.0</v>
      </c>
      <c r="BQ266" s="1">
        <v>308.0</v>
      </c>
      <c r="BR266" s="1">
        <v>308.0</v>
      </c>
      <c r="BS266" s="1">
        <v>308.0</v>
      </c>
      <c r="BU266" s="1" t="s">
        <v>215</v>
      </c>
      <c r="BV266" s="1" t="s">
        <v>206</v>
      </c>
      <c r="BW266" s="1" t="s">
        <v>210</v>
      </c>
      <c r="BX266" s="1" t="s">
        <v>229</v>
      </c>
      <c r="BY266" s="1" t="s">
        <v>361</v>
      </c>
      <c r="BZ266" s="1" t="s">
        <v>209</v>
      </c>
      <c r="CA266" s="1" t="s">
        <v>210</v>
      </c>
      <c r="CB266" s="1" t="s">
        <v>229</v>
      </c>
      <c r="CC266" s="1" t="s">
        <v>212</v>
      </c>
      <c r="CD266" s="1" t="s">
        <v>206</v>
      </c>
      <c r="CE266" s="1" t="s">
        <v>210</v>
      </c>
      <c r="CF266" s="1" t="s">
        <v>229</v>
      </c>
      <c r="CG266" s="1" t="s">
        <v>212</v>
      </c>
      <c r="CH266" s="1" t="s">
        <v>209</v>
      </c>
      <c r="CI266" s="1" t="s">
        <v>210</v>
      </c>
      <c r="CJ266" s="1" t="s">
        <v>229</v>
      </c>
      <c r="CK266" s="1" t="s">
        <v>332</v>
      </c>
      <c r="CL266" s="1" t="s">
        <v>209</v>
      </c>
      <c r="CM266" s="1" t="s">
        <v>210</v>
      </c>
      <c r="CN266" s="1" t="s">
        <v>229</v>
      </c>
      <c r="CO266" s="1" t="s">
        <v>329</v>
      </c>
      <c r="CP266" s="1" t="s">
        <v>209</v>
      </c>
      <c r="CQ266" s="1" t="s">
        <v>210</v>
      </c>
      <c r="CR266" s="1" t="s">
        <v>229</v>
      </c>
      <c r="CS266" s="1" t="s">
        <v>331</v>
      </c>
      <c r="CT266" s="1" t="s">
        <v>206</v>
      </c>
      <c r="CU266" s="1" t="s">
        <v>207</v>
      </c>
      <c r="CV266" s="1" t="s">
        <v>1549</v>
      </c>
      <c r="CW266" s="1" t="s">
        <v>854</v>
      </c>
      <c r="CX266" s="1" t="s">
        <v>206</v>
      </c>
      <c r="CY266" s="1" t="s">
        <v>210</v>
      </c>
      <c r="CZ266" s="1" t="s">
        <v>229</v>
      </c>
      <c r="DA266" s="1" t="s">
        <v>200</v>
      </c>
      <c r="DC266" s="1" t="s">
        <v>678</v>
      </c>
      <c r="DD266" s="1" t="s">
        <v>1838</v>
      </c>
      <c r="DE266" s="1" t="s">
        <v>218</v>
      </c>
      <c r="DF266" s="1" t="s">
        <v>546</v>
      </c>
      <c r="DG266" s="1" t="s">
        <v>1020</v>
      </c>
      <c r="DH266" s="1" t="s">
        <v>220</v>
      </c>
      <c r="DI266" s="1" t="s">
        <v>732</v>
      </c>
      <c r="DJ266" s="1" t="s">
        <v>222</v>
      </c>
      <c r="DK266" s="1" t="s">
        <v>223</v>
      </c>
      <c r="DL266" s="1" t="s">
        <v>858</v>
      </c>
      <c r="DM266" s="1" t="s">
        <v>338</v>
      </c>
      <c r="DN266" s="1" t="s">
        <v>4215</v>
      </c>
      <c r="DO266" s="1" t="s">
        <v>1979</v>
      </c>
      <c r="DP266" s="1" t="s">
        <v>340</v>
      </c>
      <c r="DQ266" s="1" t="s">
        <v>441</v>
      </c>
      <c r="DR266" s="1" t="s">
        <v>229</v>
      </c>
      <c r="DS266" s="1" t="s">
        <v>230</v>
      </c>
      <c r="DU266" s="1" t="s">
        <v>4216</v>
      </c>
      <c r="DV266" s="1" t="s">
        <v>4217</v>
      </c>
      <c r="DW266" s="1" t="s">
        <v>891</v>
      </c>
      <c r="DX266" s="1" t="s">
        <v>234</v>
      </c>
      <c r="DY266" s="1" t="s">
        <v>4218</v>
      </c>
      <c r="DZ266" s="1" t="s">
        <v>4219</v>
      </c>
      <c r="EA266" s="1" t="s">
        <v>344</v>
      </c>
      <c r="EB266" s="1" t="s">
        <v>937</v>
      </c>
      <c r="EC266" s="1" t="s">
        <v>237</v>
      </c>
      <c r="ED266" s="1" t="s">
        <v>407</v>
      </c>
      <c r="EG266" s="1" t="s">
        <v>408</v>
      </c>
      <c r="EH266" s="1" t="s">
        <v>449</v>
      </c>
      <c r="EI266" s="1" t="s">
        <v>598</v>
      </c>
      <c r="EJ266" s="1" t="s">
        <v>450</v>
      </c>
      <c r="EK266" s="1" t="s">
        <v>1103</v>
      </c>
      <c r="EL266" s="1" t="s">
        <v>264</v>
      </c>
      <c r="EM266" s="1" t="s">
        <v>206</v>
      </c>
      <c r="EN266" s="1" t="s">
        <v>207</v>
      </c>
      <c r="EO266" s="1" t="s">
        <v>229</v>
      </c>
      <c r="EP266" s="1" t="s">
        <v>331</v>
      </c>
      <c r="EQ266" s="1" t="s">
        <v>206</v>
      </c>
      <c r="ER266" s="1" t="s">
        <v>207</v>
      </c>
      <c r="ES266" s="1" t="s">
        <v>229</v>
      </c>
      <c r="ET266" s="1" t="s">
        <v>495</v>
      </c>
      <c r="EU266" s="1" t="s">
        <v>42</v>
      </c>
      <c r="EV266" s="1" t="s">
        <v>588</v>
      </c>
      <c r="EX266" s="1" t="s">
        <v>3387</v>
      </c>
      <c r="EY266" s="1" t="s">
        <v>42</v>
      </c>
      <c r="EZ266" s="1" t="s">
        <v>588</v>
      </c>
      <c r="FB266" s="1" t="s">
        <v>3832</v>
      </c>
      <c r="FC266" s="1" t="s">
        <v>42</v>
      </c>
      <c r="FD266" s="1" t="s">
        <v>588</v>
      </c>
      <c r="FF266" s="1" t="s">
        <v>239</v>
      </c>
      <c r="FG266" s="1" t="s">
        <v>192</v>
      </c>
      <c r="FH266" s="1" t="s">
        <v>192</v>
      </c>
      <c r="FJ266" s="1" t="s">
        <v>4220</v>
      </c>
      <c r="FK266" s="1" t="s">
        <v>557</v>
      </c>
      <c r="FL266" s="1" t="s">
        <v>1007</v>
      </c>
      <c r="FM266" s="1">
        <v>23286.0</v>
      </c>
      <c r="FN266" s="1" t="s">
        <v>4221</v>
      </c>
      <c r="FO266" s="1" t="s">
        <v>4222</v>
      </c>
      <c r="FP266" s="1">
        <v>259181.0</v>
      </c>
      <c r="FQ266" s="1" t="s">
        <v>4223</v>
      </c>
      <c r="FR266" s="1">
        <v>259314.0</v>
      </c>
      <c r="FS266" s="1" t="s">
        <v>4224</v>
      </c>
      <c r="FU266" s="1" t="s">
        <v>4225</v>
      </c>
      <c r="FV266" s="1" t="s">
        <v>200</v>
      </c>
      <c r="FW266" s="1" t="s">
        <v>530</v>
      </c>
      <c r="FZ266" s="1" t="s">
        <v>229</v>
      </c>
      <c r="GA266" s="1" t="s">
        <v>291</v>
      </c>
      <c r="GB266" s="2">
        <v>42104.0</v>
      </c>
      <c r="GC266" s="1" t="s">
        <v>4226</v>
      </c>
    </row>
    <row r="267">
      <c r="A267" s="1">
        <v>190000.0</v>
      </c>
      <c r="B267" s="1" t="s">
        <v>185</v>
      </c>
      <c r="C267" s="1" t="str">
        <f>"08788779"</f>
        <v>08788779</v>
      </c>
      <c r="D267" s="1" t="s">
        <v>186</v>
      </c>
      <c r="F267" s="1" t="str">
        <f>"8065"</f>
        <v>8065</v>
      </c>
      <c r="G267" s="2">
        <v>41961.0</v>
      </c>
      <c r="H267" s="1">
        <v>199000.0</v>
      </c>
      <c r="I267" s="1">
        <v>40.0</v>
      </c>
      <c r="J267" s="1">
        <v>199000.0</v>
      </c>
      <c r="K267" s="2">
        <v>41999.0</v>
      </c>
      <c r="L267" s="1">
        <v>40.0</v>
      </c>
      <c r="M267" s="2">
        <v>41999.0</v>
      </c>
      <c r="N267" s="1" t="s">
        <v>634</v>
      </c>
      <c r="O267" s="2">
        <v>42033.0</v>
      </c>
      <c r="P267" s="1">
        <v>153174.0</v>
      </c>
      <c r="Q267" s="1">
        <v>13691.0</v>
      </c>
      <c r="S267" s="1">
        <v>6122.0</v>
      </c>
      <c r="T267" s="1" t="s">
        <v>3654</v>
      </c>
      <c r="U267" s="1" t="s">
        <v>189</v>
      </c>
      <c r="V267" s="1" t="s">
        <v>190</v>
      </c>
      <c r="W267" s="1">
        <v>60629.0</v>
      </c>
      <c r="X267" s="1">
        <v>4917.0</v>
      </c>
      <c r="Y267" s="1" t="s">
        <v>4227</v>
      </c>
      <c r="Z267" s="1">
        <v>1932.0</v>
      </c>
      <c r="AA267" s="1" t="s">
        <v>192</v>
      </c>
      <c r="AB267" s="1" t="s">
        <v>193</v>
      </c>
      <c r="AD267" s="1" t="s">
        <v>194</v>
      </c>
      <c r="AE267" s="1" t="s">
        <v>195</v>
      </c>
      <c r="AF267" s="1" t="s">
        <v>659</v>
      </c>
      <c r="AG267" s="1" t="s">
        <v>1392</v>
      </c>
      <c r="AH267" s="1" t="s">
        <v>4228</v>
      </c>
      <c r="AI267" s="1">
        <v>0.0868</v>
      </c>
      <c r="AK267" s="1">
        <v>10.0</v>
      </c>
      <c r="AL267" s="1">
        <v>4.0</v>
      </c>
      <c r="AM267" s="1">
        <v>2.0</v>
      </c>
      <c r="AN267" s="1">
        <v>0.0</v>
      </c>
      <c r="AO267" s="1" t="s">
        <v>229</v>
      </c>
      <c r="AP267" s="1">
        <v>0.0</v>
      </c>
      <c r="AQ267" s="1" t="s">
        <v>198</v>
      </c>
      <c r="AR267" s="1" t="s">
        <v>192</v>
      </c>
      <c r="AS267" s="1" t="s">
        <v>199</v>
      </c>
      <c r="AT267" s="1">
        <v>2.0</v>
      </c>
      <c r="AV267" s="1" t="s">
        <v>200</v>
      </c>
      <c r="AW267" s="1">
        <v>2345.27</v>
      </c>
      <c r="AX267" s="1">
        <v>2013.0</v>
      </c>
      <c r="AY267" s="1" t="s">
        <v>387</v>
      </c>
      <c r="AZ267" s="1" t="s">
        <v>200</v>
      </c>
      <c r="BA267" s="1" t="str">
        <f>"19154190280000"</f>
        <v>19154190280000</v>
      </c>
      <c r="BB267" s="1" t="s">
        <v>200</v>
      </c>
      <c r="BC267" s="1">
        <v>1230.0</v>
      </c>
      <c r="BD267" s="1">
        <v>190000.0</v>
      </c>
      <c r="BE267" s="2">
        <v>41960.0</v>
      </c>
      <c r="BF267" s="2" t="s">
        <v>4229</v>
      </c>
      <c r="BH267" s="1">
        <v>0.0</v>
      </c>
      <c r="BK267" s="1" t="s">
        <v>204</v>
      </c>
      <c r="BL267" s="1" t="str">
        <f t="shared" ref="BL267:BM267" si="187">"0"</f>
        <v>0</v>
      </c>
      <c r="BM267" s="1" t="str">
        <f t="shared" si="187"/>
        <v>0</v>
      </c>
      <c r="BN267" s="1">
        <v>4132.0</v>
      </c>
      <c r="BO267" s="1">
        <v>6122.0</v>
      </c>
      <c r="BQ267" s="1">
        <v>299.0</v>
      </c>
      <c r="BR267" s="1">
        <v>299.0</v>
      </c>
      <c r="BS267" s="1">
        <v>299.0</v>
      </c>
      <c r="BT267" s="1">
        <v>299.0</v>
      </c>
      <c r="BU267" s="1" t="s">
        <v>300</v>
      </c>
      <c r="BV267" s="1" t="s">
        <v>206</v>
      </c>
      <c r="BW267" s="1" t="s">
        <v>207</v>
      </c>
      <c r="BX267" s="1" t="s">
        <v>431</v>
      </c>
      <c r="BY267" s="1" t="s">
        <v>332</v>
      </c>
      <c r="BZ267" s="1" t="s">
        <v>206</v>
      </c>
      <c r="CA267" s="1" t="s">
        <v>207</v>
      </c>
      <c r="CB267" s="1" t="s">
        <v>431</v>
      </c>
      <c r="CC267" s="1" t="s">
        <v>332</v>
      </c>
      <c r="CD267" s="1" t="s">
        <v>206</v>
      </c>
      <c r="CE267" s="1" t="s">
        <v>207</v>
      </c>
      <c r="CF267" s="1" t="s">
        <v>431</v>
      </c>
      <c r="CG267" s="1" t="s">
        <v>332</v>
      </c>
      <c r="CH267" s="1" t="s">
        <v>206</v>
      </c>
      <c r="CI267" s="1" t="s">
        <v>207</v>
      </c>
      <c r="CJ267" s="1" t="s">
        <v>431</v>
      </c>
      <c r="CK267" s="1" t="s">
        <v>393</v>
      </c>
      <c r="CL267" s="1" t="s">
        <v>209</v>
      </c>
      <c r="CM267" s="1" t="s">
        <v>301</v>
      </c>
      <c r="CN267" s="1" t="s">
        <v>431</v>
      </c>
      <c r="CO267" s="1" t="s">
        <v>454</v>
      </c>
      <c r="CP267" s="1" t="s">
        <v>209</v>
      </c>
      <c r="CQ267" s="1" t="s">
        <v>207</v>
      </c>
      <c r="CR267" s="1" t="s">
        <v>431</v>
      </c>
      <c r="CS267" s="1" t="s">
        <v>541</v>
      </c>
      <c r="CT267" s="1" t="s">
        <v>206</v>
      </c>
      <c r="CU267" s="1" t="s">
        <v>207</v>
      </c>
      <c r="CV267" s="1" t="s">
        <v>431</v>
      </c>
      <c r="CW267" s="1" t="s">
        <v>715</v>
      </c>
      <c r="CX267" s="1" t="s">
        <v>42</v>
      </c>
      <c r="CZ267" s="1" t="s">
        <v>229</v>
      </c>
      <c r="DA267" s="1" t="s">
        <v>200</v>
      </c>
      <c r="DC267" s="1" t="s">
        <v>785</v>
      </c>
      <c r="DD267" s="1" t="s">
        <v>518</v>
      </c>
      <c r="DE267" s="1" t="s">
        <v>1905</v>
      </c>
      <c r="DF267" s="1" t="s">
        <v>4230</v>
      </c>
      <c r="DG267" s="1" t="s">
        <v>4231</v>
      </c>
      <c r="DH267" s="1" t="s">
        <v>307</v>
      </c>
      <c r="DI267" s="1" t="s">
        <v>4232</v>
      </c>
      <c r="DJ267" s="1" t="s">
        <v>222</v>
      </c>
      <c r="DK267" s="1" t="s">
        <v>4233</v>
      </c>
      <c r="DL267" s="1" t="s">
        <v>1161</v>
      </c>
      <c r="DM267" s="1" t="s">
        <v>338</v>
      </c>
      <c r="DN267" s="1" t="s">
        <v>793</v>
      </c>
      <c r="DO267" s="1" t="s">
        <v>4234</v>
      </c>
      <c r="DP267" s="1" t="s">
        <v>340</v>
      </c>
      <c r="DQ267" s="1" t="s">
        <v>228</v>
      </c>
      <c r="DR267" s="1" t="s">
        <v>229</v>
      </c>
      <c r="DS267" s="1" t="s">
        <v>4235</v>
      </c>
      <c r="DU267" s="1" t="s">
        <v>4236</v>
      </c>
      <c r="DV267" s="1" t="s">
        <v>4237</v>
      </c>
      <c r="DW267" s="1" t="s">
        <v>279</v>
      </c>
      <c r="DX267" s="1" t="s">
        <v>309</v>
      </c>
      <c r="DY267" s="1" t="s">
        <v>4238</v>
      </c>
      <c r="DZ267" s="1" t="s">
        <v>1466</v>
      </c>
      <c r="EA267" s="1" t="s">
        <v>1075</v>
      </c>
      <c r="EC267" s="1" t="s">
        <v>237</v>
      </c>
      <c r="EG267" s="1" t="s">
        <v>494</v>
      </c>
      <c r="EH267" s="1" t="s">
        <v>1491</v>
      </c>
      <c r="EL267" s="1" t="s">
        <v>2082</v>
      </c>
      <c r="EM267" s="1" t="s">
        <v>209</v>
      </c>
      <c r="EN267" s="1" t="s">
        <v>207</v>
      </c>
      <c r="EO267" s="1" t="s">
        <v>229</v>
      </c>
      <c r="EP267" s="1" t="s">
        <v>516</v>
      </c>
      <c r="EQ267" s="1" t="s">
        <v>42</v>
      </c>
      <c r="ER267" s="1" t="s">
        <v>588</v>
      </c>
      <c r="ES267" s="1" t="s">
        <v>229</v>
      </c>
      <c r="EU267" s="1" t="s">
        <v>238</v>
      </c>
      <c r="EY267" s="1" t="s">
        <v>238</v>
      </c>
      <c r="FC267" s="1" t="s">
        <v>238</v>
      </c>
      <c r="FF267" s="1" t="s">
        <v>239</v>
      </c>
      <c r="FG267" s="1" t="s">
        <v>192</v>
      </c>
      <c r="FH267" s="1" t="s">
        <v>192</v>
      </c>
      <c r="FJ267" s="1" t="s">
        <v>4239</v>
      </c>
      <c r="FK267" s="1" t="s">
        <v>229</v>
      </c>
      <c r="FL267" s="1" t="s">
        <v>2037</v>
      </c>
      <c r="FM267" s="1">
        <v>84624.0</v>
      </c>
      <c r="FN267" s="1" t="s">
        <v>4240</v>
      </c>
      <c r="FO267" s="1" t="s">
        <v>4241</v>
      </c>
      <c r="FP267" s="1">
        <v>124297.0</v>
      </c>
      <c r="FQ267" s="1" t="s">
        <v>4242</v>
      </c>
      <c r="FS267" s="1" t="s">
        <v>4243</v>
      </c>
      <c r="FU267" s="1" t="s">
        <v>4244</v>
      </c>
      <c r="FV267" s="1" t="s">
        <v>200</v>
      </c>
      <c r="FW267" s="1" t="s">
        <v>290</v>
      </c>
      <c r="FX267" s="1" t="s">
        <v>655</v>
      </c>
      <c r="FZ267" s="1" t="s">
        <v>229</v>
      </c>
      <c r="GA267" s="1" t="s">
        <v>291</v>
      </c>
      <c r="GB267" s="2">
        <v>42057.0</v>
      </c>
    </row>
    <row r="268">
      <c r="A268" s="1">
        <v>1236000.0</v>
      </c>
      <c r="B268" s="1" t="s">
        <v>185</v>
      </c>
      <c r="C268" s="1" t="str">
        <f>"08794186"</f>
        <v>08794186</v>
      </c>
      <c r="D268" s="1" t="s">
        <v>186</v>
      </c>
      <c r="F268" s="1" t="str">
        <f>"8006"</f>
        <v>8006</v>
      </c>
      <c r="G268" s="2">
        <v>41974.0</v>
      </c>
      <c r="H268" s="1">
        <v>1295000.0</v>
      </c>
      <c r="I268" s="1">
        <v>45.0</v>
      </c>
      <c r="J268" s="1">
        <v>1295000.0</v>
      </c>
      <c r="K268" s="2">
        <v>42018.0</v>
      </c>
      <c r="L268" s="1">
        <v>45.0</v>
      </c>
      <c r="M268" s="2">
        <v>42018.0</v>
      </c>
      <c r="N268" s="1" t="s">
        <v>187</v>
      </c>
      <c r="O268" s="2">
        <v>42109.0</v>
      </c>
      <c r="P268" s="1">
        <v>114517.0</v>
      </c>
      <c r="Q268" s="1">
        <v>10988.0</v>
      </c>
      <c r="S268" s="1">
        <v>3133.0</v>
      </c>
      <c r="T268" s="1" t="s">
        <v>4245</v>
      </c>
      <c r="U268" s="1" t="s">
        <v>189</v>
      </c>
      <c r="V268" s="1" t="s">
        <v>190</v>
      </c>
      <c r="W268" s="1">
        <v>60657.0</v>
      </c>
      <c r="Y268" s="1" t="s">
        <v>4246</v>
      </c>
      <c r="Z268" s="1">
        <v>2004.0</v>
      </c>
      <c r="AA268" s="1" t="s">
        <v>200</v>
      </c>
      <c r="AB268" s="1" t="s">
        <v>193</v>
      </c>
      <c r="AD268" s="1" t="s">
        <v>194</v>
      </c>
      <c r="AE268" s="1" t="s">
        <v>195</v>
      </c>
      <c r="AF268" s="1" t="s">
        <v>534</v>
      </c>
      <c r="AH268" s="1" t="s">
        <v>741</v>
      </c>
      <c r="AK268" s="1">
        <v>9.0</v>
      </c>
      <c r="AL268" s="1">
        <v>4.0</v>
      </c>
      <c r="AM268" s="1">
        <v>3.0</v>
      </c>
      <c r="AN268" s="1">
        <v>1.0</v>
      </c>
      <c r="AO268" s="1" t="s">
        <v>198</v>
      </c>
      <c r="AP268" s="1">
        <v>3.0</v>
      </c>
      <c r="AQ268" s="1" t="s">
        <v>472</v>
      </c>
      <c r="AR268" s="1" t="s">
        <v>192</v>
      </c>
      <c r="AS268" s="1" t="s">
        <v>199</v>
      </c>
      <c r="AT268" s="1">
        <v>2.0</v>
      </c>
      <c r="AV268" s="1" t="s">
        <v>200</v>
      </c>
      <c r="AW268" s="1">
        <v>19654.57</v>
      </c>
      <c r="AX268" s="1">
        <v>2013.0</v>
      </c>
      <c r="AY268" s="1" t="s">
        <v>387</v>
      </c>
      <c r="AZ268" s="1" t="s">
        <v>200</v>
      </c>
      <c r="BA268" s="1" t="str">
        <f>"14292030090000"</f>
        <v>14292030090000</v>
      </c>
      <c r="BB268" s="1" t="s">
        <v>200</v>
      </c>
      <c r="BC268" s="1">
        <v>0.0</v>
      </c>
      <c r="BD268" s="1">
        <v>1236000.0</v>
      </c>
      <c r="BE268" s="2">
        <v>41974.0</v>
      </c>
      <c r="BF268" s="2" t="s">
        <v>4247</v>
      </c>
      <c r="BH268" s="1">
        <v>0.0</v>
      </c>
      <c r="BK268" s="1" t="s">
        <v>204</v>
      </c>
      <c r="BL268" s="1" t="str">
        <f>"3133"</f>
        <v>3133</v>
      </c>
      <c r="BM268" s="1" t="str">
        <f>"0"</f>
        <v>0</v>
      </c>
      <c r="BN268" s="1">
        <v>1038.0</v>
      </c>
      <c r="BO268" s="1">
        <v>0.0</v>
      </c>
      <c r="BQ268" s="1">
        <v>299.0</v>
      </c>
      <c r="BR268" s="1">
        <v>299.0</v>
      </c>
      <c r="BS268" s="1">
        <v>299.0</v>
      </c>
      <c r="BU268" s="1" t="s">
        <v>1044</v>
      </c>
      <c r="BV268" s="1" t="s">
        <v>206</v>
      </c>
      <c r="BW268" s="1" t="s">
        <v>207</v>
      </c>
      <c r="BY268" s="1" t="s">
        <v>260</v>
      </c>
      <c r="BZ268" s="1" t="s">
        <v>209</v>
      </c>
      <c r="CA268" s="1" t="s">
        <v>207</v>
      </c>
      <c r="CC268" s="1" t="s">
        <v>677</v>
      </c>
      <c r="CD268" s="1" t="s">
        <v>206</v>
      </c>
      <c r="CE268" s="1" t="s">
        <v>207</v>
      </c>
      <c r="CG268" s="1" t="s">
        <v>1064</v>
      </c>
      <c r="CH268" s="1" t="s">
        <v>209</v>
      </c>
      <c r="CI268" s="1" t="s">
        <v>207</v>
      </c>
      <c r="CK268" s="1" t="s">
        <v>582</v>
      </c>
      <c r="CL268" s="1" t="s">
        <v>209</v>
      </c>
      <c r="CM268" s="1" t="s">
        <v>207</v>
      </c>
      <c r="CO268" s="1" t="s">
        <v>584</v>
      </c>
      <c r="CP268" s="1" t="s">
        <v>267</v>
      </c>
      <c r="CQ268" s="1" t="s">
        <v>210</v>
      </c>
      <c r="CS268" s="1" t="s">
        <v>496</v>
      </c>
      <c r="CT268" s="1" t="s">
        <v>206</v>
      </c>
      <c r="CU268" s="1" t="s">
        <v>207</v>
      </c>
      <c r="CW268" s="1" t="s">
        <v>480</v>
      </c>
      <c r="CX268" s="1" t="s">
        <v>206</v>
      </c>
      <c r="CY268" s="1" t="s">
        <v>207</v>
      </c>
      <c r="DA268" s="1" t="s">
        <v>200</v>
      </c>
      <c r="DC268" s="1" t="s">
        <v>481</v>
      </c>
      <c r="DD268" s="1" t="s">
        <v>3633</v>
      </c>
      <c r="DE268" s="1" t="s">
        <v>218</v>
      </c>
      <c r="DF268" s="1" t="s">
        <v>4248</v>
      </c>
      <c r="DH268" s="1" t="s">
        <v>365</v>
      </c>
      <c r="DI268" s="1" t="s">
        <v>3590</v>
      </c>
      <c r="DJ268" s="1" t="s">
        <v>222</v>
      </c>
      <c r="DL268" s="1" t="s">
        <v>1161</v>
      </c>
      <c r="DM268" s="1" t="s">
        <v>229</v>
      </c>
      <c r="DN268" s="1" t="s">
        <v>2873</v>
      </c>
      <c r="DO268" s="1" t="s">
        <v>717</v>
      </c>
      <c r="DP268" s="1" t="s">
        <v>340</v>
      </c>
      <c r="DQ268" s="1" t="s">
        <v>718</v>
      </c>
      <c r="DR268" s="1" t="s">
        <v>229</v>
      </c>
      <c r="DS268" s="1" t="s">
        <v>230</v>
      </c>
      <c r="DU268" s="1" t="s">
        <v>4249</v>
      </c>
      <c r="DV268" s="1" t="s">
        <v>763</v>
      </c>
      <c r="DW268" s="1" t="s">
        <v>667</v>
      </c>
      <c r="DX268" s="1" t="s">
        <v>234</v>
      </c>
      <c r="DY268" s="1" t="s">
        <v>4250</v>
      </c>
      <c r="DZ268" s="1" t="s">
        <v>766</v>
      </c>
      <c r="EB268" s="1" t="s">
        <v>4251</v>
      </c>
      <c r="EC268" s="1" t="s">
        <v>237</v>
      </c>
      <c r="EG268" s="1" t="s">
        <v>450</v>
      </c>
      <c r="EH268" s="1" t="s">
        <v>408</v>
      </c>
      <c r="EL268" s="1" t="s">
        <v>4252</v>
      </c>
      <c r="EM268" s="1" t="s">
        <v>267</v>
      </c>
      <c r="EN268" s="1" t="s">
        <v>210</v>
      </c>
      <c r="EP268" s="1" t="s">
        <v>4253</v>
      </c>
      <c r="EQ268" s="1" t="s">
        <v>206</v>
      </c>
      <c r="ER268" s="1" t="s">
        <v>588</v>
      </c>
      <c r="EU268" s="1" t="s">
        <v>238</v>
      </c>
      <c r="EY268" s="1" t="s">
        <v>238</v>
      </c>
      <c r="FC268" s="1" t="s">
        <v>238</v>
      </c>
      <c r="FF268" s="1" t="s">
        <v>239</v>
      </c>
      <c r="FG268" s="1" t="s">
        <v>192</v>
      </c>
      <c r="FH268" s="1" t="s">
        <v>192</v>
      </c>
      <c r="FJ268" s="1" t="s">
        <v>733</v>
      </c>
      <c r="FK268" s="1" t="s">
        <v>229</v>
      </c>
      <c r="FL268" s="1" t="s">
        <v>974</v>
      </c>
      <c r="FM268" s="1">
        <v>84215.0</v>
      </c>
      <c r="FN268" s="1" t="s">
        <v>4254</v>
      </c>
      <c r="FO268" s="1" t="s">
        <v>4255</v>
      </c>
      <c r="FP268" s="1">
        <v>126952.0</v>
      </c>
      <c r="FU268" s="1" t="s">
        <v>4256</v>
      </c>
      <c r="FV268" s="1" t="s">
        <v>200</v>
      </c>
      <c r="FW268" s="1" t="s">
        <v>530</v>
      </c>
      <c r="FX268" s="1" t="s">
        <v>238</v>
      </c>
      <c r="FZ268" s="1" t="s">
        <v>229</v>
      </c>
      <c r="GA268" s="1" t="s">
        <v>291</v>
      </c>
      <c r="GB268" s="2">
        <v>42109.0</v>
      </c>
    </row>
    <row r="269">
      <c r="A269" s="1">
        <v>26000.0</v>
      </c>
      <c r="B269" s="1" t="s">
        <v>185</v>
      </c>
      <c r="C269" s="1" t="str">
        <f>"08786757"</f>
        <v>08786757</v>
      </c>
      <c r="D269" s="1" t="s">
        <v>186</v>
      </c>
      <c r="F269" s="1" t="str">
        <f>"8067"</f>
        <v>8067</v>
      </c>
      <c r="G269" s="2">
        <v>41957.0</v>
      </c>
      <c r="H269" s="1">
        <v>43000.0</v>
      </c>
      <c r="I269" s="1">
        <v>98.0</v>
      </c>
      <c r="J269" s="1">
        <v>28000.0</v>
      </c>
      <c r="K269" s="2">
        <v>42054.0</v>
      </c>
      <c r="L269" s="1">
        <v>98.0</v>
      </c>
      <c r="M269" s="2">
        <v>42054.0</v>
      </c>
      <c r="N269" s="1" t="s">
        <v>249</v>
      </c>
      <c r="O269" s="2">
        <v>42062.0</v>
      </c>
      <c r="P269" s="1">
        <v>227213.0</v>
      </c>
      <c r="Q269" s="1">
        <v>22194.0</v>
      </c>
      <c r="S269" s="1">
        <v>1423.0</v>
      </c>
      <c r="T269" s="1" t="s">
        <v>4257</v>
      </c>
      <c r="U269" s="1" t="s">
        <v>694</v>
      </c>
      <c r="V269" s="1" t="s">
        <v>190</v>
      </c>
      <c r="W269" s="1">
        <v>60636.0</v>
      </c>
      <c r="X269" s="1">
        <v>3936.0</v>
      </c>
      <c r="Y269" s="1" t="s">
        <v>4258</v>
      </c>
      <c r="Z269" s="1">
        <v>1916.0</v>
      </c>
      <c r="AA269" s="1" t="s">
        <v>192</v>
      </c>
      <c r="AB269" s="1" t="s">
        <v>193</v>
      </c>
      <c r="AD269" s="1" t="s">
        <v>194</v>
      </c>
      <c r="AE269" s="1" t="s">
        <v>195</v>
      </c>
      <c r="AF269" s="1" t="s">
        <v>659</v>
      </c>
      <c r="AH269" s="1" t="s">
        <v>359</v>
      </c>
      <c r="AK269" s="1">
        <v>8.0</v>
      </c>
      <c r="AL269" s="1">
        <v>4.0</v>
      </c>
      <c r="AM269" s="1">
        <v>2.0</v>
      </c>
      <c r="AN269" s="1">
        <v>0.0</v>
      </c>
      <c r="AO269" s="1" t="s">
        <v>229</v>
      </c>
      <c r="AQ269" s="1" t="s">
        <v>198</v>
      </c>
      <c r="AR269" s="1" t="s">
        <v>192</v>
      </c>
      <c r="AS269" s="1" t="s">
        <v>199</v>
      </c>
      <c r="AT269" s="1">
        <v>2.0</v>
      </c>
      <c r="AV269" s="1" t="s">
        <v>200</v>
      </c>
      <c r="AW269" s="1">
        <v>873.81</v>
      </c>
      <c r="AX269" s="1">
        <v>2013.0</v>
      </c>
      <c r="AY269" s="1" t="s">
        <v>387</v>
      </c>
      <c r="AZ269" s="1" t="s">
        <v>200</v>
      </c>
      <c r="BA269" s="1" t="str">
        <f>"20291070050000"</f>
        <v>20291070050000</v>
      </c>
      <c r="BC269" s="1">
        <v>1056.0</v>
      </c>
      <c r="BD269" s="1">
        <v>26000.0</v>
      </c>
      <c r="BE269" s="2">
        <v>41957.0</v>
      </c>
      <c r="BF269" s="2" t="s">
        <v>4259</v>
      </c>
      <c r="BH269" s="1">
        <v>0.0</v>
      </c>
      <c r="BK269" s="1" t="s">
        <v>204</v>
      </c>
      <c r="BL269" s="1" t="str">
        <f t="shared" ref="BL269:BM269" si="188">"0"</f>
        <v>0</v>
      </c>
      <c r="BM269" s="1" t="str">
        <f t="shared" si="188"/>
        <v>0</v>
      </c>
      <c r="BN269" s="1">
        <v>1200.0</v>
      </c>
      <c r="BO269" s="1">
        <v>7100.0</v>
      </c>
      <c r="BQ269" s="1">
        <v>299.0</v>
      </c>
      <c r="BR269" s="1">
        <v>299.0</v>
      </c>
      <c r="BS269" s="1">
        <v>299.0</v>
      </c>
      <c r="BU269" s="1" t="s">
        <v>333</v>
      </c>
      <c r="BV269" s="1" t="s">
        <v>206</v>
      </c>
      <c r="BW269" s="1" t="s">
        <v>207</v>
      </c>
      <c r="BY269" s="1" t="s">
        <v>454</v>
      </c>
      <c r="BZ269" s="1" t="s">
        <v>206</v>
      </c>
      <c r="CA269" s="1" t="s">
        <v>210</v>
      </c>
      <c r="CC269" s="1" t="s">
        <v>392</v>
      </c>
      <c r="CD269" s="1" t="s">
        <v>206</v>
      </c>
      <c r="CE269" s="1" t="s">
        <v>207</v>
      </c>
      <c r="CG269" s="1" t="s">
        <v>516</v>
      </c>
      <c r="CH269" s="1" t="s">
        <v>206</v>
      </c>
      <c r="CI269" s="1" t="s">
        <v>210</v>
      </c>
      <c r="CK269" s="1" t="s">
        <v>1395</v>
      </c>
      <c r="CL269" s="1" t="s">
        <v>209</v>
      </c>
      <c r="CO269" s="1" t="s">
        <v>1229</v>
      </c>
      <c r="CP269" s="1" t="s">
        <v>209</v>
      </c>
      <c r="CS269" s="1" t="s">
        <v>269</v>
      </c>
      <c r="CT269" s="1" t="s">
        <v>206</v>
      </c>
      <c r="CU269" s="1" t="s">
        <v>617</v>
      </c>
      <c r="CW269" s="1" t="s">
        <v>2403</v>
      </c>
      <c r="CX269" s="1" t="s">
        <v>42</v>
      </c>
      <c r="CY269" s="1" t="s">
        <v>617</v>
      </c>
      <c r="CZ269" s="1" t="s">
        <v>229</v>
      </c>
      <c r="DA269" s="1" t="s">
        <v>200</v>
      </c>
      <c r="DC269" s="1" t="s">
        <v>216</v>
      </c>
      <c r="DD269" s="1" t="s">
        <v>518</v>
      </c>
      <c r="DE269" s="1" t="s">
        <v>229</v>
      </c>
      <c r="DF269" s="1" t="s">
        <v>219</v>
      </c>
      <c r="DG269" s="1" t="s">
        <v>337</v>
      </c>
      <c r="DH269" s="1" t="s">
        <v>307</v>
      </c>
      <c r="DJ269" s="1" t="s">
        <v>222</v>
      </c>
      <c r="DK269" s="1" t="s">
        <v>198</v>
      </c>
      <c r="DL269" s="1" t="s">
        <v>224</v>
      </c>
      <c r="DM269" s="1" t="s">
        <v>229</v>
      </c>
      <c r="DP269" s="1" t="s">
        <v>340</v>
      </c>
      <c r="DQ269" s="1" t="s">
        <v>228</v>
      </c>
      <c r="DR269" s="1" t="s">
        <v>229</v>
      </c>
      <c r="DS269" s="1" t="s">
        <v>230</v>
      </c>
      <c r="DV269" s="1" t="s">
        <v>374</v>
      </c>
      <c r="DW269" s="1" t="s">
        <v>667</v>
      </c>
      <c r="DX269" s="1" t="s">
        <v>234</v>
      </c>
      <c r="DY269" s="1" t="s">
        <v>553</v>
      </c>
      <c r="DZ269" s="1" t="s">
        <v>1611</v>
      </c>
      <c r="EA269" s="1" t="s">
        <v>644</v>
      </c>
      <c r="EC269" s="1" t="s">
        <v>237</v>
      </c>
      <c r="EG269" s="1" t="s">
        <v>374</v>
      </c>
      <c r="EL269" s="1" t="s">
        <v>2613</v>
      </c>
      <c r="EM269" s="1" t="s">
        <v>206</v>
      </c>
      <c r="EN269" s="1" t="s">
        <v>617</v>
      </c>
      <c r="EQ269" s="1" t="s">
        <v>238</v>
      </c>
      <c r="EU269" s="1" t="s">
        <v>238</v>
      </c>
      <c r="EY269" s="1" t="s">
        <v>238</v>
      </c>
      <c r="FC269" s="1" t="s">
        <v>238</v>
      </c>
      <c r="FF269" s="1" t="s">
        <v>239</v>
      </c>
      <c r="FG269" s="1" t="s">
        <v>192</v>
      </c>
      <c r="FH269" s="1" t="s">
        <v>192</v>
      </c>
      <c r="FJ269" s="1" t="s">
        <v>2156</v>
      </c>
      <c r="FK269" s="1" t="s">
        <v>229</v>
      </c>
      <c r="FL269" s="1" t="s">
        <v>4260</v>
      </c>
      <c r="FM269" s="1">
        <v>40335.0</v>
      </c>
      <c r="FN269" s="1" t="s">
        <v>4261</v>
      </c>
      <c r="FO269" s="1" t="s">
        <v>4262</v>
      </c>
      <c r="FP269" s="1">
        <v>401613.0</v>
      </c>
      <c r="FQ269" s="1" t="s">
        <v>4261</v>
      </c>
      <c r="FR269" s="1">
        <v>143977.0</v>
      </c>
      <c r="FU269" s="1" t="s">
        <v>4263</v>
      </c>
      <c r="FV269" s="1" t="s">
        <v>200</v>
      </c>
      <c r="FW269" s="1" t="s">
        <v>354</v>
      </c>
      <c r="FX269" s="1" t="s">
        <v>246</v>
      </c>
      <c r="FZ269" s="1" t="s">
        <v>229</v>
      </c>
      <c r="GA269" s="1" t="s">
        <v>291</v>
      </c>
      <c r="GB269" s="2">
        <v>42062.0</v>
      </c>
      <c r="GC269" s="1" t="s">
        <v>4264</v>
      </c>
    </row>
    <row r="270">
      <c r="A270" s="1">
        <v>228000.0</v>
      </c>
      <c r="B270" s="1" t="s">
        <v>185</v>
      </c>
      <c r="C270" s="1" t="str">
        <f>"08766730"</f>
        <v>08766730</v>
      </c>
      <c r="D270" s="1" t="s">
        <v>186</v>
      </c>
      <c r="F270" s="1" t="str">
        <f>"543"</f>
        <v>543</v>
      </c>
      <c r="G270" s="2">
        <v>41944.0</v>
      </c>
      <c r="H270" s="1">
        <v>224900.0</v>
      </c>
      <c r="I270" s="1">
        <v>138.0</v>
      </c>
      <c r="J270" s="1">
        <v>224900.0</v>
      </c>
      <c r="K270" s="2">
        <v>41946.0</v>
      </c>
      <c r="L270" s="1">
        <v>3.0</v>
      </c>
      <c r="M270" s="2">
        <v>41946.0</v>
      </c>
      <c r="N270" s="1" t="s">
        <v>634</v>
      </c>
      <c r="O270" s="2">
        <v>41988.0</v>
      </c>
      <c r="P270" s="1">
        <v>240720.0</v>
      </c>
      <c r="Q270" s="1">
        <v>23279.0</v>
      </c>
      <c r="R270" s="1">
        <v>9000.0</v>
      </c>
      <c r="S270" s="1">
        <v>230.0</v>
      </c>
      <c r="T270" s="1" t="s">
        <v>4265</v>
      </c>
      <c r="U270" s="1" t="s">
        <v>982</v>
      </c>
      <c r="V270" s="1" t="s">
        <v>1527</v>
      </c>
      <c r="W270" s="1">
        <v>60543.0</v>
      </c>
      <c r="Y270" s="1" t="s">
        <v>4266</v>
      </c>
      <c r="Z270" s="1">
        <v>2006.0</v>
      </c>
      <c r="AA270" s="1" t="s">
        <v>200</v>
      </c>
      <c r="AB270" s="1" t="s">
        <v>467</v>
      </c>
      <c r="AC270" s="1" t="s">
        <v>4267</v>
      </c>
      <c r="AD270" s="1" t="s">
        <v>1529</v>
      </c>
      <c r="AE270" s="1" t="s">
        <v>849</v>
      </c>
      <c r="AF270" s="1" t="s">
        <v>1529</v>
      </c>
      <c r="AG270" s="1" t="s">
        <v>4268</v>
      </c>
      <c r="AH270" s="1" t="s">
        <v>4269</v>
      </c>
      <c r="AI270" s="1">
        <v>0.1559</v>
      </c>
      <c r="AK270" s="1">
        <v>9.0</v>
      </c>
      <c r="AL270" s="1">
        <v>4.0</v>
      </c>
      <c r="AM270" s="1">
        <v>2.0</v>
      </c>
      <c r="AN270" s="1">
        <v>1.0</v>
      </c>
      <c r="AO270" s="1" t="s">
        <v>198</v>
      </c>
      <c r="AQ270" s="1" t="s">
        <v>198</v>
      </c>
      <c r="AR270" s="1" t="s">
        <v>200</v>
      </c>
      <c r="AS270" s="1" t="s">
        <v>199</v>
      </c>
      <c r="AT270" s="1">
        <v>2.0</v>
      </c>
      <c r="AV270" s="1" t="s">
        <v>200</v>
      </c>
      <c r="AW270" s="1">
        <v>7354.78</v>
      </c>
      <c r="AX270" s="1">
        <v>2012.0</v>
      </c>
      <c r="AY270" s="1" t="s">
        <v>229</v>
      </c>
      <c r="AZ270" s="1" t="s">
        <v>200</v>
      </c>
      <c r="BA270" s="1" t="str">
        <f>"0310377002"</f>
        <v>0310377002</v>
      </c>
      <c r="BB270" s="1" t="s">
        <v>200</v>
      </c>
      <c r="BC270" s="1">
        <v>2400.0</v>
      </c>
      <c r="BD270" s="1">
        <v>228000.0</v>
      </c>
      <c r="BE270" s="2">
        <v>41944.0</v>
      </c>
      <c r="BF270" s="2" t="s">
        <v>4270</v>
      </c>
      <c r="BG270" s="1" t="s">
        <v>4271</v>
      </c>
      <c r="BH270" s="1">
        <v>20.0</v>
      </c>
      <c r="BI270" s="1" t="s">
        <v>3647</v>
      </c>
      <c r="BJ270" s="1" t="s">
        <v>2546</v>
      </c>
      <c r="BK270" s="1" t="s">
        <v>474</v>
      </c>
      <c r="BL270" s="1" t="str">
        <f t="shared" ref="BL270:BM270" si="189">"0"</f>
        <v>0</v>
      </c>
      <c r="BM270" s="1" t="str">
        <f t="shared" si="189"/>
        <v>0</v>
      </c>
      <c r="BN270" s="1">
        <v>0.0</v>
      </c>
      <c r="BO270" s="1">
        <v>0.0</v>
      </c>
      <c r="BQ270" s="1">
        <v>308.0</v>
      </c>
      <c r="BR270" s="1">
        <v>308.0</v>
      </c>
      <c r="BS270" s="1">
        <v>308.0</v>
      </c>
      <c r="BU270" s="1" t="s">
        <v>1417</v>
      </c>
      <c r="BV270" s="1" t="s">
        <v>206</v>
      </c>
      <c r="BW270" s="1" t="s">
        <v>207</v>
      </c>
      <c r="BX270" s="1" t="s">
        <v>431</v>
      </c>
      <c r="BY270" s="1" t="s">
        <v>1483</v>
      </c>
      <c r="BZ270" s="1" t="s">
        <v>209</v>
      </c>
      <c r="CA270" s="1" t="s">
        <v>210</v>
      </c>
      <c r="CB270" s="1" t="s">
        <v>431</v>
      </c>
      <c r="CC270" s="1" t="s">
        <v>1417</v>
      </c>
      <c r="CD270" s="1" t="s">
        <v>206</v>
      </c>
      <c r="CE270" s="1" t="s">
        <v>207</v>
      </c>
      <c r="CF270" s="1" t="s">
        <v>431</v>
      </c>
      <c r="CG270" s="1" t="s">
        <v>302</v>
      </c>
      <c r="CH270" s="1" t="s">
        <v>209</v>
      </c>
      <c r="CI270" s="1" t="s">
        <v>210</v>
      </c>
      <c r="CJ270" s="1" t="s">
        <v>431</v>
      </c>
      <c r="CK270" s="1" t="s">
        <v>1351</v>
      </c>
      <c r="CL270" s="1" t="s">
        <v>209</v>
      </c>
      <c r="CM270" s="1" t="s">
        <v>210</v>
      </c>
      <c r="CN270" s="1" t="s">
        <v>431</v>
      </c>
      <c r="CO270" s="1" t="s">
        <v>303</v>
      </c>
      <c r="CP270" s="1" t="s">
        <v>209</v>
      </c>
      <c r="CQ270" s="1" t="s">
        <v>210</v>
      </c>
      <c r="CR270" s="1" t="s">
        <v>431</v>
      </c>
      <c r="CS270" s="1" t="s">
        <v>303</v>
      </c>
      <c r="CT270" s="1" t="s">
        <v>206</v>
      </c>
      <c r="CU270" s="1" t="s">
        <v>268</v>
      </c>
      <c r="CV270" s="1" t="s">
        <v>229</v>
      </c>
      <c r="CW270" s="1" t="s">
        <v>1299</v>
      </c>
      <c r="CX270" s="1" t="s">
        <v>206</v>
      </c>
      <c r="CY270" s="1" t="s">
        <v>207</v>
      </c>
      <c r="CZ270" s="1" t="s">
        <v>431</v>
      </c>
      <c r="DA270" s="1" t="s">
        <v>200</v>
      </c>
      <c r="DC270" s="1" t="s">
        <v>481</v>
      </c>
      <c r="DD270" s="1" t="s">
        <v>4272</v>
      </c>
      <c r="DE270" s="1" t="s">
        <v>273</v>
      </c>
      <c r="DF270" s="1" t="s">
        <v>219</v>
      </c>
      <c r="DG270" s="1" t="s">
        <v>1266</v>
      </c>
      <c r="DH270" s="1" t="s">
        <v>220</v>
      </c>
      <c r="DJ270" s="1" t="s">
        <v>222</v>
      </c>
      <c r="DK270" s="1" t="s">
        <v>198</v>
      </c>
      <c r="DL270" s="1" t="s">
        <v>3611</v>
      </c>
      <c r="DM270" s="1" t="s">
        <v>338</v>
      </c>
      <c r="DN270" s="1" t="s">
        <v>485</v>
      </c>
      <c r="DO270" s="1" t="s">
        <v>4234</v>
      </c>
      <c r="DP270" s="1" t="s">
        <v>340</v>
      </c>
      <c r="DQ270" s="1" t="s">
        <v>228</v>
      </c>
      <c r="DR270" s="1" t="s">
        <v>4273</v>
      </c>
      <c r="DU270" s="1" t="s">
        <v>4274</v>
      </c>
      <c r="DV270" s="1" t="s">
        <v>556</v>
      </c>
      <c r="DW270" s="1" t="s">
        <v>832</v>
      </c>
      <c r="DX270" s="1" t="s">
        <v>309</v>
      </c>
      <c r="DY270" s="1" t="s">
        <v>1051</v>
      </c>
      <c r="DZ270" s="1" t="s">
        <v>1661</v>
      </c>
      <c r="EA270" s="1" t="s">
        <v>344</v>
      </c>
      <c r="EC270" s="1" t="s">
        <v>237</v>
      </c>
      <c r="ED270" s="1" t="s">
        <v>407</v>
      </c>
      <c r="EG270" s="1" t="s">
        <v>556</v>
      </c>
      <c r="EL270" s="1" t="s">
        <v>302</v>
      </c>
      <c r="EM270" s="1" t="s">
        <v>206</v>
      </c>
      <c r="EN270" s="1" t="s">
        <v>207</v>
      </c>
      <c r="EO270" s="1" t="s">
        <v>431</v>
      </c>
      <c r="EQ270" s="1" t="s">
        <v>238</v>
      </c>
      <c r="EU270" s="1" t="s">
        <v>238</v>
      </c>
      <c r="EY270" s="1" t="s">
        <v>238</v>
      </c>
      <c r="FC270" s="1" t="s">
        <v>238</v>
      </c>
      <c r="FF270" s="1" t="s">
        <v>239</v>
      </c>
      <c r="FG270" s="1" t="s">
        <v>192</v>
      </c>
      <c r="FH270" s="1" t="s">
        <v>192</v>
      </c>
      <c r="FJ270" s="1" t="s">
        <v>4275</v>
      </c>
      <c r="FK270" s="1" t="s">
        <v>229</v>
      </c>
      <c r="FL270" s="1" t="s">
        <v>525</v>
      </c>
      <c r="FM270" s="1">
        <v>22029.0</v>
      </c>
      <c r="FN270" s="1" t="s">
        <v>526</v>
      </c>
      <c r="FO270" s="1" t="s">
        <v>4276</v>
      </c>
      <c r="FP270" s="1">
        <v>215986.0</v>
      </c>
      <c r="FQ270" s="1" t="s">
        <v>4277</v>
      </c>
      <c r="FU270" s="1" t="s">
        <v>4278</v>
      </c>
      <c r="FV270" s="1" t="s">
        <v>200</v>
      </c>
      <c r="FW270" s="1" t="s">
        <v>290</v>
      </c>
      <c r="FZ270" s="1" t="s">
        <v>632</v>
      </c>
      <c r="GA270" s="1" t="s">
        <v>291</v>
      </c>
      <c r="GB270" s="2">
        <v>41989.0</v>
      </c>
      <c r="GC270" s="1" t="s">
        <v>4279</v>
      </c>
    </row>
    <row r="271">
      <c r="A271" s="1">
        <v>130000.0</v>
      </c>
      <c r="B271" s="1" t="s">
        <v>185</v>
      </c>
      <c r="C271" s="1" t="str">
        <f>"08771121"</f>
        <v>08771121</v>
      </c>
      <c r="D271" s="1" t="s">
        <v>186</v>
      </c>
      <c r="F271" s="1" t="str">
        <f>"8065"</f>
        <v>8065</v>
      </c>
      <c r="G271" s="2">
        <v>41950.0</v>
      </c>
      <c r="H271" s="1">
        <v>154900.0</v>
      </c>
      <c r="I271" s="1">
        <v>32.0</v>
      </c>
      <c r="J271" s="1">
        <v>154900.0</v>
      </c>
      <c r="K271" s="2">
        <v>41981.0</v>
      </c>
      <c r="L271" s="1">
        <v>32.0</v>
      </c>
      <c r="M271" s="2">
        <v>41981.0</v>
      </c>
      <c r="N271" s="1" t="s">
        <v>249</v>
      </c>
      <c r="O271" s="2">
        <v>41995.0</v>
      </c>
      <c r="P271" s="1">
        <v>605988.0</v>
      </c>
      <c r="Q271" s="1">
        <v>60436.0</v>
      </c>
      <c r="S271" s="1">
        <v>4253.0</v>
      </c>
      <c r="T271" s="1" t="s">
        <v>4280</v>
      </c>
      <c r="U271" s="1" t="s">
        <v>464</v>
      </c>
      <c r="V271" s="1" t="s">
        <v>190</v>
      </c>
      <c r="W271" s="1">
        <v>60629.0</v>
      </c>
      <c r="Y271" s="1" t="s">
        <v>4281</v>
      </c>
      <c r="Z271" s="1">
        <v>1950.0</v>
      </c>
      <c r="AA271" s="1" t="s">
        <v>192</v>
      </c>
      <c r="AB271" s="1" t="s">
        <v>193</v>
      </c>
      <c r="AD271" s="1" t="s">
        <v>194</v>
      </c>
      <c r="AE271" s="1" t="s">
        <v>195</v>
      </c>
      <c r="AF271" s="1" t="s">
        <v>659</v>
      </c>
      <c r="AH271" s="1" t="s">
        <v>1501</v>
      </c>
      <c r="AI271" s="1">
        <v>0.1148</v>
      </c>
      <c r="AK271" s="1">
        <v>7.0</v>
      </c>
      <c r="AL271" s="1">
        <v>4.0</v>
      </c>
      <c r="AM271" s="1">
        <v>2.0</v>
      </c>
      <c r="AN271" s="1">
        <v>0.0</v>
      </c>
      <c r="AO271" s="1" t="s">
        <v>229</v>
      </c>
      <c r="AQ271" s="1" t="s">
        <v>198</v>
      </c>
      <c r="AR271" s="1" t="s">
        <v>200</v>
      </c>
      <c r="AS271" s="1" t="s">
        <v>199</v>
      </c>
      <c r="AT271" s="1">
        <v>2.0</v>
      </c>
      <c r="AV271" s="1" t="s">
        <v>200</v>
      </c>
      <c r="AW271" s="1">
        <v>2614.08</v>
      </c>
      <c r="AX271" s="1">
        <v>2012.0</v>
      </c>
      <c r="AY271" s="1" t="s">
        <v>387</v>
      </c>
      <c r="AZ271" s="1" t="s">
        <v>200</v>
      </c>
      <c r="BA271" s="1" t="str">
        <f>"19224020420000"</f>
        <v>19224020420000</v>
      </c>
      <c r="BB271" s="1" t="s">
        <v>200</v>
      </c>
      <c r="BC271" s="1">
        <v>1489.0</v>
      </c>
      <c r="BD271" s="1">
        <v>130000.0</v>
      </c>
      <c r="BE271" s="2">
        <v>41950.0</v>
      </c>
      <c r="BF271" s="1" t="s">
        <v>4282</v>
      </c>
      <c r="BH271" s="1">
        <v>0.0</v>
      </c>
      <c r="BK271" s="1" t="s">
        <v>204</v>
      </c>
      <c r="BL271" s="1" t="str">
        <f t="shared" ref="BL271:BM271" si="190">"0"</f>
        <v>0</v>
      </c>
      <c r="BM271" s="1" t="str">
        <f t="shared" si="190"/>
        <v>0</v>
      </c>
      <c r="BN271" s="1">
        <v>4253.0</v>
      </c>
      <c r="BO271" s="1">
        <v>6700.0</v>
      </c>
      <c r="BQ271" s="1">
        <v>299.0</v>
      </c>
      <c r="BR271" s="1">
        <v>299.0</v>
      </c>
      <c r="BS271" s="1">
        <v>299.0</v>
      </c>
      <c r="BU271" s="1" t="s">
        <v>2713</v>
      </c>
      <c r="BV271" s="1" t="s">
        <v>206</v>
      </c>
      <c r="BW271" s="1" t="s">
        <v>210</v>
      </c>
      <c r="BY271" s="1" t="s">
        <v>363</v>
      </c>
      <c r="BZ271" s="1" t="s">
        <v>206</v>
      </c>
      <c r="CA271" s="1" t="s">
        <v>207</v>
      </c>
      <c r="CD271" s="1" t="s">
        <v>204</v>
      </c>
      <c r="CG271" s="1" t="s">
        <v>264</v>
      </c>
      <c r="CH271" s="1" t="s">
        <v>206</v>
      </c>
      <c r="CI271" s="1" t="s">
        <v>210</v>
      </c>
      <c r="CK271" s="1" t="s">
        <v>264</v>
      </c>
      <c r="CL271" s="1" t="s">
        <v>206</v>
      </c>
      <c r="CM271" s="1" t="s">
        <v>210</v>
      </c>
      <c r="CO271" s="1" t="s">
        <v>264</v>
      </c>
      <c r="CP271" s="1" t="s">
        <v>209</v>
      </c>
      <c r="CQ271" s="1" t="s">
        <v>210</v>
      </c>
      <c r="CS271" s="1" t="s">
        <v>2082</v>
      </c>
      <c r="CT271" s="1" t="s">
        <v>206</v>
      </c>
      <c r="CU271" s="1" t="s">
        <v>617</v>
      </c>
      <c r="CX271" s="1" t="s">
        <v>204</v>
      </c>
      <c r="DA271" s="1" t="s">
        <v>200</v>
      </c>
      <c r="DC271" s="1" t="s">
        <v>702</v>
      </c>
      <c r="DD271" s="1" t="s">
        <v>518</v>
      </c>
      <c r="DE271" s="1" t="s">
        <v>273</v>
      </c>
      <c r="DF271" s="1" t="s">
        <v>219</v>
      </c>
      <c r="DH271" s="1" t="s">
        <v>365</v>
      </c>
      <c r="DI271" s="1" t="s">
        <v>1401</v>
      </c>
      <c r="DJ271" s="1" t="s">
        <v>222</v>
      </c>
      <c r="DL271" s="1" t="s">
        <v>223</v>
      </c>
      <c r="DM271" s="1" t="s">
        <v>225</v>
      </c>
      <c r="DQ271" s="1" t="s">
        <v>228</v>
      </c>
      <c r="DR271" s="1" t="s">
        <v>229</v>
      </c>
      <c r="DV271" s="1" t="s">
        <v>1407</v>
      </c>
      <c r="DW271" s="1" t="s">
        <v>279</v>
      </c>
      <c r="DX271" s="1" t="s">
        <v>234</v>
      </c>
      <c r="EA271" s="1" t="s">
        <v>1075</v>
      </c>
      <c r="EC271" s="1" t="s">
        <v>237</v>
      </c>
      <c r="EE271" s="1" t="s">
        <v>187</v>
      </c>
      <c r="EG271" s="1" t="s">
        <v>1407</v>
      </c>
      <c r="EL271" s="1" t="s">
        <v>363</v>
      </c>
      <c r="EM271" s="1" t="s">
        <v>209</v>
      </c>
      <c r="EN271" s="1" t="s">
        <v>617</v>
      </c>
      <c r="EQ271" s="1" t="s">
        <v>238</v>
      </c>
      <c r="EU271" s="1" t="s">
        <v>238</v>
      </c>
      <c r="EY271" s="1" t="s">
        <v>238</v>
      </c>
      <c r="FC271" s="1" t="s">
        <v>238</v>
      </c>
      <c r="FF271" s="1" t="s">
        <v>239</v>
      </c>
      <c r="FG271" s="1" t="s">
        <v>192</v>
      </c>
      <c r="FH271" s="1" t="s">
        <v>192</v>
      </c>
      <c r="FJ271" s="1" t="s">
        <v>4283</v>
      </c>
      <c r="FK271" s="1" t="s">
        <v>229</v>
      </c>
      <c r="FL271" s="1" t="s">
        <v>4284</v>
      </c>
      <c r="FM271" s="1">
        <v>15930.0</v>
      </c>
      <c r="FN271" s="1" t="s">
        <v>4285</v>
      </c>
      <c r="FO271" s="1" t="s">
        <v>4286</v>
      </c>
      <c r="FP271" s="1">
        <v>109889.0</v>
      </c>
      <c r="FQ271" s="1" t="s">
        <v>4285</v>
      </c>
      <c r="FR271" s="1">
        <v>127716.0</v>
      </c>
      <c r="FU271" s="1" t="s">
        <v>4287</v>
      </c>
      <c r="FV271" s="1" t="s">
        <v>200</v>
      </c>
      <c r="FW271" s="1" t="s">
        <v>290</v>
      </c>
      <c r="FX271" s="1" t="s">
        <v>246</v>
      </c>
      <c r="FZ271" s="1" t="s">
        <v>229</v>
      </c>
      <c r="GA271" s="1" t="s">
        <v>291</v>
      </c>
      <c r="GB271" s="2">
        <v>41996.0</v>
      </c>
    </row>
    <row r="272">
      <c r="A272" s="1">
        <v>130000.0</v>
      </c>
      <c r="B272" s="1" t="s">
        <v>185</v>
      </c>
      <c r="C272" s="1" t="str">
        <f>"08766586"</f>
        <v>08766586</v>
      </c>
      <c r="D272" s="1" t="s">
        <v>186</v>
      </c>
      <c r="F272" s="1" t="str">
        <f>"103"</f>
        <v>103</v>
      </c>
      <c r="G272" s="2">
        <v>41944.0</v>
      </c>
      <c r="H272" s="1">
        <v>146500.0</v>
      </c>
      <c r="I272" s="1">
        <v>64.0</v>
      </c>
      <c r="J272" s="1">
        <v>132200.0</v>
      </c>
      <c r="K272" s="2">
        <v>42006.0</v>
      </c>
      <c r="L272" s="1">
        <v>64.0</v>
      </c>
      <c r="M272" s="2">
        <v>42006.0</v>
      </c>
      <c r="N272" s="1" t="s">
        <v>249</v>
      </c>
      <c r="O272" s="2">
        <v>42033.0</v>
      </c>
      <c r="P272" s="1">
        <v>242292.0</v>
      </c>
      <c r="Q272" s="1">
        <v>25658.0</v>
      </c>
      <c r="S272" s="1">
        <v>4211.0</v>
      </c>
      <c r="T272" s="1" t="s">
        <v>4288</v>
      </c>
      <c r="U272" s="1" t="s">
        <v>569</v>
      </c>
      <c r="V272" s="1" t="s">
        <v>251</v>
      </c>
      <c r="W272" s="1">
        <v>60133.0</v>
      </c>
      <c r="Y272" s="1" t="s">
        <v>4289</v>
      </c>
      <c r="Z272" s="1">
        <v>1977.0</v>
      </c>
      <c r="AA272" s="1" t="s">
        <v>192</v>
      </c>
      <c r="AB272" s="1" t="s">
        <v>193</v>
      </c>
      <c r="AC272" s="1" t="s">
        <v>4290</v>
      </c>
      <c r="AD272" s="1" t="s">
        <v>254</v>
      </c>
      <c r="AE272" s="1" t="s">
        <v>1258</v>
      </c>
      <c r="AF272" s="1" t="s">
        <v>3935</v>
      </c>
      <c r="AG272" s="1" t="s">
        <v>4291</v>
      </c>
      <c r="AH272" s="1" t="s">
        <v>4292</v>
      </c>
      <c r="AK272" s="1">
        <v>8.0</v>
      </c>
      <c r="AL272" s="1">
        <v>4.0</v>
      </c>
      <c r="AM272" s="1">
        <v>3.0</v>
      </c>
      <c r="AN272" s="1">
        <v>0.0</v>
      </c>
      <c r="AO272" s="1" t="s">
        <v>198</v>
      </c>
      <c r="AQ272" s="1" t="s">
        <v>229</v>
      </c>
      <c r="AR272" s="1" t="s">
        <v>200</v>
      </c>
      <c r="AS272" s="1" t="s">
        <v>199</v>
      </c>
      <c r="AT272" s="1">
        <v>2.0</v>
      </c>
      <c r="AV272" s="1" t="s">
        <v>200</v>
      </c>
      <c r="AW272" s="1">
        <v>7371.0</v>
      </c>
      <c r="AX272" s="1">
        <v>2013.0</v>
      </c>
      <c r="AY272" s="1" t="s">
        <v>229</v>
      </c>
      <c r="AZ272" s="1" t="s">
        <v>200</v>
      </c>
      <c r="BA272" s="1" t="str">
        <f>"0113302012"</f>
        <v>0113302012</v>
      </c>
      <c r="BB272" s="1" t="s">
        <v>200</v>
      </c>
      <c r="BC272" s="1">
        <v>1252.0</v>
      </c>
      <c r="BD272" s="1">
        <v>130000.0</v>
      </c>
      <c r="BE272" s="2">
        <v>41943.0</v>
      </c>
      <c r="BF272" s="2" t="s">
        <v>4293</v>
      </c>
      <c r="BG272" s="1" t="s">
        <v>4294</v>
      </c>
      <c r="BH272" s="1">
        <v>0.0</v>
      </c>
      <c r="BI272" s="1" t="s">
        <v>4295</v>
      </c>
      <c r="BJ272" s="1" t="s">
        <v>514</v>
      </c>
      <c r="BK272" s="1" t="s">
        <v>204</v>
      </c>
      <c r="BL272" s="1" t="str">
        <f>"5"</f>
        <v>5</v>
      </c>
      <c r="BM272" s="1" t="str">
        <f>""</f>
        <v/>
      </c>
      <c r="BN272" s="1">
        <v>27.0</v>
      </c>
      <c r="BQ272" s="1">
        <v>46.0</v>
      </c>
      <c r="BR272" s="1">
        <v>46.0</v>
      </c>
      <c r="BS272" s="1">
        <v>46.0</v>
      </c>
      <c r="BU272" s="1" t="s">
        <v>743</v>
      </c>
      <c r="BV272" s="1" t="s">
        <v>209</v>
      </c>
      <c r="BW272" s="1" t="s">
        <v>210</v>
      </c>
      <c r="BY272" s="1" t="s">
        <v>331</v>
      </c>
      <c r="BZ272" s="1" t="s">
        <v>209</v>
      </c>
      <c r="CA272" s="1" t="s">
        <v>210</v>
      </c>
      <c r="CC272" s="1" t="s">
        <v>269</v>
      </c>
      <c r="CD272" s="1" t="s">
        <v>209</v>
      </c>
      <c r="CE272" s="1" t="s">
        <v>210</v>
      </c>
      <c r="CG272" s="1" t="s">
        <v>495</v>
      </c>
      <c r="CH272" s="1" t="s">
        <v>209</v>
      </c>
      <c r="CI272" s="1" t="s">
        <v>210</v>
      </c>
      <c r="CK272" s="1" t="s">
        <v>269</v>
      </c>
      <c r="CL272" s="1" t="s">
        <v>209</v>
      </c>
      <c r="CM272" s="1" t="s">
        <v>210</v>
      </c>
      <c r="CO272" s="1" t="s">
        <v>454</v>
      </c>
      <c r="CP272" s="1" t="s">
        <v>267</v>
      </c>
      <c r="CQ272" s="1" t="s">
        <v>210</v>
      </c>
      <c r="CS272" s="1" t="s">
        <v>495</v>
      </c>
      <c r="CT272" s="1" t="s">
        <v>209</v>
      </c>
      <c r="CU272" s="1" t="s">
        <v>268</v>
      </c>
      <c r="CW272" s="1" t="s">
        <v>4296</v>
      </c>
      <c r="CX272" s="1" t="s">
        <v>267</v>
      </c>
      <c r="CY272" s="1" t="s">
        <v>617</v>
      </c>
      <c r="DA272" s="1" t="s">
        <v>200</v>
      </c>
      <c r="DC272" s="1" t="s">
        <v>395</v>
      </c>
      <c r="DD272" s="1" t="s">
        <v>518</v>
      </c>
      <c r="DE272" s="1" t="s">
        <v>273</v>
      </c>
      <c r="DF272" s="1" t="s">
        <v>219</v>
      </c>
      <c r="DG272" s="1" t="s">
        <v>4297</v>
      </c>
      <c r="DH272" s="1" t="s">
        <v>365</v>
      </c>
      <c r="DI272" s="1" t="s">
        <v>308</v>
      </c>
      <c r="DJ272" s="1" t="s">
        <v>222</v>
      </c>
      <c r="DL272" s="1" t="s">
        <v>229</v>
      </c>
      <c r="DM272" s="1" t="s">
        <v>338</v>
      </c>
      <c r="DO272" s="1" t="s">
        <v>549</v>
      </c>
      <c r="DP272" s="1" t="s">
        <v>400</v>
      </c>
      <c r="DQ272" s="1" t="s">
        <v>228</v>
      </c>
      <c r="DR272" s="1" t="s">
        <v>229</v>
      </c>
      <c r="DS272" s="1" t="s">
        <v>230</v>
      </c>
      <c r="DV272" s="1" t="s">
        <v>408</v>
      </c>
      <c r="DW272" s="1" t="s">
        <v>233</v>
      </c>
      <c r="DX272" s="1" t="s">
        <v>234</v>
      </c>
      <c r="DZ272" s="1" t="s">
        <v>446</v>
      </c>
      <c r="EA272" s="1" t="s">
        <v>554</v>
      </c>
      <c r="EC272" s="1" t="s">
        <v>311</v>
      </c>
      <c r="ED272" s="1" t="s">
        <v>407</v>
      </c>
      <c r="EG272" s="1" t="s">
        <v>408</v>
      </c>
      <c r="EL272" s="1" t="s">
        <v>4298</v>
      </c>
      <c r="EM272" s="1" t="s">
        <v>206</v>
      </c>
      <c r="EN272" s="1" t="s">
        <v>268</v>
      </c>
      <c r="EQ272" s="1" t="s">
        <v>238</v>
      </c>
      <c r="EU272" s="1" t="s">
        <v>238</v>
      </c>
      <c r="EY272" s="1" t="s">
        <v>238</v>
      </c>
      <c r="FC272" s="1" t="s">
        <v>238</v>
      </c>
      <c r="FF272" s="1" t="s">
        <v>239</v>
      </c>
      <c r="FG272" s="1" t="s">
        <v>192</v>
      </c>
      <c r="FH272" s="1" t="s">
        <v>192</v>
      </c>
      <c r="FJ272" s="1" t="s">
        <v>1248</v>
      </c>
      <c r="FK272" s="1" t="s">
        <v>229</v>
      </c>
      <c r="FL272" s="1" t="s">
        <v>4299</v>
      </c>
      <c r="FM272" s="1">
        <v>84690.0</v>
      </c>
      <c r="FN272" s="1" t="s">
        <v>4300</v>
      </c>
      <c r="FO272" s="1" t="s">
        <v>4301</v>
      </c>
      <c r="FP272" s="1">
        <v>145229.0</v>
      </c>
      <c r="FQ272" s="1" t="s">
        <v>4302</v>
      </c>
      <c r="FU272" s="1" t="s">
        <v>4303</v>
      </c>
      <c r="FV272" s="1" t="s">
        <v>200</v>
      </c>
      <c r="FW272" s="1" t="s">
        <v>290</v>
      </c>
      <c r="FZ272" s="1" t="s">
        <v>229</v>
      </c>
      <c r="GA272" s="1" t="s">
        <v>291</v>
      </c>
      <c r="GB272" s="2">
        <v>42033.0</v>
      </c>
      <c r="GC272" s="1" t="s">
        <v>4304</v>
      </c>
    </row>
    <row r="273">
      <c r="A273" s="1">
        <v>215275.0</v>
      </c>
      <c r="B273" s="1" t="s">
        <v>185</v>
      </c>
      <c r="C273" s="1" t="str">
        <f>"08766630"</f>
        <v>08766630</v>
      </c>
      <c r="D273" s="1" t="s">
        <v>186</v>
      </c>
      <c r="F273" s="1" t="str">
        <f>"560"</f>
        <v>560</v>
      </c>
      <c r="G273" s="2">
        <v>41944.0</v>
      </c>
      <c r="H273" s="1">
        <v>236500.0</v>
      </c>
      <c r="I273" s="1">
        <v>68.0</v>
      </c>
      <c r="J273" s="1">
        <v>199500.0</v>
      </c>
      <c r="K273" s="2">
        <v>42011.0</v>
      </c>
      <c r="L273" s="1">
        <v>68.0</v>
      </c>
      <c r="M273" s="2">
        <v>42011.0</v>
      </c>
      <c r="N273" s="1" t="s">
        <v>249</v>
      </c>
      <c r="O273" s="2">
        <v>42027.0</v>
      </c>
      <c r="P273" s="1">
        <v>243325.0</v>
      </c>
      <c r="Q273" s="1">
        <v>22993.0</v>
      </c>
      <c r="S273" s="1">
        <v>2602.0</v>
      </c>
      <c r="T273" s="1" t="s">
        <v>4305</v>
      </c>
      <c r="U273" s="1" t="s">
        <v>320</v>
      </c>
      <c r="V273" s="1" t="s">
        <v>845</v>
      </c>
      <c r="W273" s="1">
        <v>60560.0</v>
      </c>
      <c r="Y273" s="1" t="s">
        <v>4306</v>
      </c>
      <c r="Z273" s="1">
        <v>2008.0</v>
      </c>
      <c r="AA273" s="1" t="s">
        <v>200</v>
      </c>
      <c r="AB273" s="1" t="s">
        <v>467</v>
      </c>
      <c r="AD273" s="1" t="s">
        <v>848</v>
      </c>
      <c r="AE273" s="1" t="s">
        <v>849</v>
      </c>
      <c r="AF273" s="1" t="s">
        <v>2153</v>
      </c>
      <c r="AH273" s="1" t="s">
        <v>4307</v>
      </c>
      <c r="AK273" s="1">
        <v>9.0</v>
      </c>
      <c r="AL273" s="1">
        <v>4.0</v>
      </c>
      <c r="AM273" s="1">
        <v>2.0</v>
      </c>
      <c r="AN273" s="1">
        <v>1.0</v>
      </c>
      <c r="AO273" s="1" t="s">
        <v>198</v>
      </c>
      <c r="AP273" s="1">
        <v>1.0</v>
      </c>
      <c r="AQ273" s="1" t="s">
        <v>198</v>
      </c>
      <c r="AR273" s="1" t="s">
        <v>200</v>
      </c>
      <c r="AS273" s="1" t="s">
        <v>199</v>
      </c>
      <c r="AT273" s="1">
        <v>2.0</v>
      </c>
      <c r="AV273" s="1" t="s">
        <v>200</v>
      </c>
      <c r="AW273" s="1">
        <v>8830.0</v>
      </c>
      <c r="AX273" s="1">
        <v>2013.0</v>
      </c>
      <c r="AY273" s="1" t="s">
        <v>387</v>
      </c>
      <c r="AZ273" s="1" t="s">
        <v>200</v>
      </c>
      <c r="BA273" s="1" t="str">
        <f>"0223129017"</f>
        <v>0223129017</v>
      </c>
      <c r="BC273" s="1">
        <v>3084.0</v>
      </c>
      <c r="BD273" s="1">
        <v>215275.0</v>
      </c>
      <c r="BE273" s="2">
        <v>41944.0</v>
      </c>
      <c r="BF273" s="2" t="s">
        <v>4308</v>
      </c>
      <c r="BH273" s="1">
        <v>100.0</v>
      </c>
      <c r="BK273" s="1" t="s">
        <v>474</v>
      </c>
      <c r="BL273" s="1" t="str">
        <f t="shared" ref="BL273:BM273" si="191">""</f>
        <v/>
      </c>
      <c r="BM273" s="1" t="str">
        <f t="shared" si="191"/>
        <v/>
      </c>
      <c r="BQ273" s="1">
        <v>115.0</v>
      </c>
      <c r="BR273" s="1">
        <v>115.0</v>
      </c>
      <c r="BS273" s="1">
        <v>115.0</v>
      </c>
      <c r="BU273" s="1" t="s">
        <v>2459</v>
      </c>
      <c r="BV273" s="1" t="s">
        <v>206</v>
      </c>
      <c r="BY273" s="1" t="s">
        <v>1534</v>
      </c>
      <c r="BZ273" s="1" t="s">
        <v>209</v>
      </c>
      <c r="CC273" s="1" t="s">
        <v>1183</v>
      </c>
      <c r="CD273" s="1" t="s">
        <v>206</v>
      </c>
      <c r="CG273" s="1" t="s">
        <v>1417</v>
      </c>
      <c r="CH273" s="1" t="s">
        <v>209</v>
      </c>
      <c r="CK273" s="1" t="s">
        <v>699</v>
      </c>
      <c r="CL273" s="1" t="s">
        <v>209</v>
      </c>
      <c r="CO273" s="1" t="s">
        <v>699</v>
      </c>
      <c r="CP273" s="1" t="s">
        <v>209</v>
      </c>
      <c r="CS273" s="1" t="s">
        <v>639</v>
      </c>
      <c r="CT273" s="1" t="s">
        <v>206</v>
      </c>
      <c r="CW273" s="1" t="s">
        <v>639</v>
      </c>
      <c r="CX273" s="1" t="s">
        <v>206</v>
      </c>
      <c r="DA273" s="1" t="s">
        <v>200</v>
      </c>
      <c r="DC273" s="1" t="s">
        <v>481</v>
      </c>
      <c r="DE273" s="1" t="s">
        <v>273</v>
      </c>
      <c r="DF273" s="1" t="s">
        <v>619</v>
      </c>
      <c r="DH273" s="1" t="s">
        <v>220</v>
      </c>
      <c r="DJ273" s="1" t="s">
        <v>222</v>
      </c>
      <c r="DL273" s="1" t="s">
        <v>223</v>
      </c>
      <c r="DM273" s="1" t="s">
        <v>229</v>
      </c>
      <c r="DO273" s="1" t="s">
        <v>1004</v>
      </c>
      <c r="DQ273" s="1" t="s">
        <v>441</v>
      </c>
      <c r="DR273" s="1" t="s">
        <v>2593</v>
      </c>
      <c r="DV273" s="1" t="s">
        <v>494</v>
      </c>
      <c r="DW273" s="1" t="s">
        <v>444</v>
      </c>
      <c r="DX273" s="1" t="s">
        <v>234</v>
      </c>
      <c r="DY273" s="1" t="s">
        <v>1936</v>
      </c>
      <c r="EC273" s="1" t="s">
        <v>237</v>
      </c>
      <c r="EG273" s="1" t="s">
        <v>494</v>
      </c>
      <c r="EL273" s="1" t="s">
        <v>2082</v>
      </c>
      <c r="EM273" s="1" t="s">
        <v>206</v>
      </c>
      <c r="EQ273" s="1" t="s">
        <v>238</v>
      </c>
      <c r="EU273" s="1" t="s">
        <v>238</v>
      </c>
      <c r="EY273" s="1" t="s">
        <v>238</v>
      </c>
      <c r="FC273" s="1" t="s">
        <v>238</v>
      </c>
      <c r="FF273" s="1" t="s">
        <v>239</v>
      </c>
      <c r="FG273" s="1" t="s">
        <v>192</v>
      </c>
      <c r="FH273" s="1" t="s">
        <v>192</v>
      </c>
      <c r="FJ273" s="1" t="s">
        <v>347</v>
      </c>
      <c r="FK273" s="1" t="s">
        <v>229</v>
      </c>
      <c r="FL273" s="1" t="s">
        <v>4309</v>
      </c>
      <c r="FM273" s="1">
        <v>83.0</v>
      </c>
      <c r="FN273" s="1" t="s">
        <v>4310</v>
      </c>
      <c r="FO273" s="1" t="s">
        <v>4311</v>
      </c>
      <c r="FP273" s="1">
        <v>287.0</v>
      </c>
      <c r="FQ273" s="1" t="s">
        <v>4312</v>
      </c>
      <c r="FU273" s="1" t="s">
        <v>4313</v>
      </c>
      <c r="FV273" s="1" t="s">
        <v>200</v>
      </c>
      <c r="FW273" s="1" t="s">
        <v>1411</v>
      </c>
      <c r="FZ273" s="1" t="s">
        <v>632</v>
      </c>
      <c r="GA273" s="1" t="s">
        <v>291</v>
      </c>
      <c r="GB273" s="2">
        <v>42028.0</v>
      </c>
      <c r="GC273" s="1" t="s">
        <v>4314</v>
      </c>
    </row>
    <row r="274">
      <c r="A274" s="1">
        <v>450000.0</v>
      </c>
      <c r="B274" s="1" t="s">
        <v>185</v>
      </c>
      <c r="C274" s="1" t="str">
        <f>"08774233"</f>
        <v>08774233</v>
      </c>
      <c r="D274" s="1" t="s">
        <v>186</v>
      </c>
      <c r="F274" s="1" t="str">
        <f>"174"</f>
        <v>174</v>
      </c>
      <c r="G274" s="2">
        <v>41955.0</v>
      </c>
      <c r="H274" s="1">
        <v>469900.0</v>
      </c>
      <c r="I274" s="1">
        <v>123.0</v>
      </c>
      <c r="J274" s="1">
        <v>457900.0</v>
      </c>
      <c r="K274" s="2">
        <v>42077.0</v>
      </c>
      <c r="L274" s="1">
        <v>123.0</v>
      </c>
      <c r="M274" s="2">
        <v>42077.0</v>
      </c>
      <c r="N274" s="1" t="s">
        <v>187</v>
      </c>
      <c r="O274" s="2">
        <v>42128.0</v>
      </c>
      <c r="P274" s="1">
        <v>55470.0</v>
      </c>
      <c r="Q274" s="1">
        <v>5600.0</v>
      </c>
      <c r="S274" s="1" t="s">
        <v>4315</v>
      </c>
      <c r="T274" s="1" t="s">
        <v>4316</v>
      </c>
      <c r="U274" s="1" t="s">
        <v>464</v>
      </c>
      <c r="V274" s="1" t="s">
        <v>1200</v>
      </c>
      <c r="W274" s="1">
        <v>60175.0</v>
      </c>
      <c r="Y274" s="1" t="s">
        <v>4317</v>
      </c>
      <c r="Z274" s="1">
        <v>2003.0</v>
      </c>
      <c r="AA274" s="1" t="s">
        <v>200</v>
      </c>
      <c r="AB274" s="1" t="s">
        <v>193</v>
      </c>
      <c r="AC274" s="1" t="s">
        <v>4318</v>
      </c>
      <c r="AD274" s="1" t="s">
        <v>1089</v>
      </c>
      <c r="AE274" s="1" t="s">
        <v>325</v>
      </c>
      <c r="AF274" s="1" t="s">
        <v>1632</v>
      </c>
      <c r="AG274" s="1" t="s">
        <v>4319</v>
      </c>
      <c r="AH274" s="1" t="s">
        <v>4320</v>
      </c>
      <c r="AI274" s="1">
        <v>0.2953</v>
      </c>
      <c r="AK274" s="1">
        <v>10.0</v>
      </c>
      <c r="AL274" s="1">
        <v>4.0</v>
      </c>
      <c r="AM274" s="1">
        <v>3.0</v>
      </c>
      <c r="AN274" s="1">
        <v>0.0</v>
      </c>
      <c r="AO274" s="1" t="s">
        <v>198</v>
      </c>
      <c r="AP274" s="1">
        <v>1.0</v>
      </c>
      <c r="AQ274" s="1" t="s">
        <v>472</v>
      </c>
      <c r="AR274" s="1" t="s">
        <v>200</v>
      </c>
      <c r="AS274" s="1" t="s">
        <v>199</v>
      </c>
      <c r="AT274" s="1">
        <v>3.0</v>
      </c>
      <c r="AV274" s="1" t="s">
        <v>200</v>
      </c>
      <c r="AW274" s="1">
        <v>12738.94</v>
      </c>
      <c r="AX274" s="1">
        <v>2013.0</v>
      </c>
      <c r="AY274" s="1" t="s">
        <v>229</v>
      </c>
      <c r="AZ274" s="1" t="s">
        <v>200</v>
      </c>
      <c r="BA274" s="1" t="str">
        <f>"0826254002"</f>
        <v>0826254002</v>
      </c>
      <c r="BC274" s="1">
        <v>3168.0</v>
      </c>
      <c r="BD274" s="1">
        <v>450000.0</v>
      </c>
      <c r="BE274" s="2">
        <v>41955.0</v>
      </c>
      <c r="BF274" s="2" t="s">
        <v>4321</v>
      </c>
      <c r="BH274" s="1">
        <v>1160.0</v>
      </c>
      <c r="BK274" s="1" t="s">
        <v>1952</v>
      </c>
      <c r="BL274" s="1" t="str">
        <f>"3"</f>
        <v>3</v>
      </c>
      <c r="BM274" s="1" t="str">
        <f>"0"</f>
        <v>0</v>
      </c>
      <c r="BN274" s="1">
        <v>40.0</v>
      </c>
      <c r="BO274" s="1">
        <v>0.0</v>
      </c>
      <c r="BQ274" s="1">
        <v>303.0</v>
      </c>
      <c r="BR274" s="1">
        <v>303.0</v>
      </c>
      <c r="BS274" s="1">
        <v>303.0</v>
      </c>
      <c r="BU274" s="1" t="s">
        <v>584</v>
      </c>
      <c r="BV274" s="1" t="s">
        <v>206</v>
      </c>
      <c r="BW274" s="1" t="s">
        <v>210</v>
      </c>
      <c r="BX274" s="1" t="s">
        <v>239</v>
      </c>
      <c r="BY274" s="1" t="s">
        <v>2120</v>
      </c>
      <c r="BZ274" s="1" t="s">
        <v>209</v>
      </c>
      <c r="CA274" s="1" t="s">
        <v>210</v>
      </c>
      <c r="CB274" s="1" t="s">
        <v>239</v>
      </c>
      <c r="CC274" s="1" t="s">
        <v>213</v>
      </c>
      <c r="CD274" s="1" t="s">
        <v>206</v>
      </c>
      <c r="CE274" s="1" t="s">
        <v>210</v>
      </c>
      <c r="CF274" s="1" t="s">
        <v>239</v>
      </c>
      <c r="CG274" s="1" t="s">
        <v>215</v>
      </c>
      <c r="CH274" s="1" t="s">
        <v>209</v>
      </c>
      <c r="CI274" s="1" t="s">
        <v>210</v>
      </c>
      <c r="CJ274" s="1" t="s">
        <v>239</v>
      </c>
      <c r="CK274" s="1" t="s">
        <v>699</v>
      </c>
      <c r="CL274" s="1" t="s">
        <v>209</v>
      </c>
      <c r="CM274" s="1" t="s">
        <v>210</v>
      </c>
      <c r="CN274" s="1" t="s">
        <v>239</v>
      </c>
      <c r="CO274" s="1" t="s">
        <v>208</v>
      </c>
      <c r="CP274" s="1" t="s">
        <v>209</v>
      </c>
      <c r="CQ274" s="1" t="s">
        <v>210</v>
      </c>
      <c r="CR274" s="1" t="s">
        <v>239</v>
      </c>
      <c r="CS274" s="1" t="s">
        <v>1483</v>
      </c>
      <c r="CT274" s="1" t="s">
        <v>206</v>
      </c>
      <c r="CU274" s="1" t="s">
        <v>207</v>
      </c>
      <c r="CV274" s="1" t="s">
        <v>239</v>
      </c>
      <c r="CW274" s="1" t="s">
        <v>3538</v>
      </c>
      <c r="CX274" s="1" t="s">
        <v>206</v>
      </c>
      <c r="CY274" s="1" t="s">
        <v>210</v>
      </c>
      <c r="CZ274" s="1" t="s">
        <v>239</v>
      </c>
      <c r="DA274" s="1" t="s">
        <v>200</v>
      </c>
      <c r="DC274" s="1" t="s">
        <v>335</v>
      </c>
      <c r="DD274" s="1" t="s">
        <v>1838</v>
      </c>
      <c r="DE274" s="1" t="s">
        <v>273</v>
      </c>
      <c r="DF274" s="1" t="s">
        <v>219</v>
      </c>
      <c r="DG274" s="1" t="s">
        <v>4322</v>
      </c>
      <c r="DH274" s="1" t="s">
        <v>220</v>
      </c>
      <c r="DI274" s="1" t="s">
        <v>1047</v>
      </c>
      <c r="DJ274" s="1" t="s">
        <v>222</v>
      </c>
      <c r="DK274" s="1" t="s">
        <v>223</v>
      </c>
      <c r="DL274" s="1" t="s">
        <v>484</v>
      </c>
      <c r="DM274" s="1" t="s">
        <v>338</v>
      </c>
      <c r="DN274" s="1" t="s">
        <v>399</v>
      </c>
      <c r="DO274" s="1" t="s">
        <v>486</v>
      </c>
      <c r="DP274" s="1" t="s">
        <v>340</v>
      </c>
      <c r="DQ274" s="1" t="s">
        <v>1557</v>
      </c>
      <c r="DR274" s="1" t="s">
        <v>3096</v>
      </c>
      <c r="DS274" s="1" t="s">
        <v>368</v>
      </c>
      <c r="DU274" s="1" t="s">
        <v>4323</v>
      </c>
      <c r="DV274" s="1" t="s">
        <v>2941</v>
      </c>
      <c r="DW274" s="1" t="s">
        <v>1957</v>
      </c>
      <c r="DX274" s="1" t="s">
        <v>234</v>
      </c>
      <c r="DY274" s="1" t="s">
        <v>2803</v>
      </c>
      <c r="DZ274" s="1" t="s">
        <v>310</v>
      </c>
      <c r="EA274" s="1" t="s">
        <v>344</v>
      </c>
      <c r="EB274" s="1" t="s">
        <v>1639</v>
      </c>
      <c r="EC274" s="1" t="s">
        <v>237</v>
      </c>
      <c r="ED274" s="1" t="s">
        <v>407</v>
      </c>
      <c r="EE274" s="1" t="s">
        <v>493</v>
      </c>
      <c r="EG274" s="1" t="s">
        <v>1028</v>
      </c>
      <c r="EH274" s="1" t="s">
        <v>449</v>
      </c>
      <c r="EL274" s="1" t="s">
        <v>331</v>
      </c>
      <c r="EM274" s="1" t="s">
        <v>206</v>
      </c>
      <c r="EN274" s="1" t="s">
        <v>210</v>
      </c>
      <c r="EO274" s="1" t="s">
        <v>239</v>
      </c>
      <c r="EP274" s="1" t="s">
        <v>2224</v>
      </c>
      <c r="EQ274" s="1" t="s">
        <v>206</v>
      </c>
      <c r="ER274" s="1" t="s">
        <v>207</v>
      </c>
      <c r="ES274" s="1" t="s">
        <v>239</v>
      </c>
      <c r="EU274" s="1" t="s">
        <v>238</v>
      </c>
      <c r="EY274" s="1" t="s">
        <v>238</v>
      </c>
      <c r="FC274" s="1" t="s">
        <v>238</v>
      </c>
      <c r="FF274" s="1" t="s">
        <v>239</v>
      </c>
      <c r="FG274" s="1" t="s">
        <v>192</v>
      </c>
      <c r="FH274" s="1" t="s">
        <v>192</v>
      </c>
      <c r="FJ274" s="1" t="s">
        <v>4324</v>
      </c>
      <c r="FK274" s="1" t="s">
        <v>229</v>
      </c>
      <c r="FL274" s="1" t="s">
        <v>4325</v>
      </c>
      <c r="FM274" s="1">
        <v>209.0</v>
      </c>
      <c r="FN274" s="1" t="s">
        <v>4326</v>
      </c>
      <c r="FO274" s="1" t="s">
        <v>4327</v>
      </c>
      <c r="FP274" s="1">
        <v>29.0</v>
      </c>
      <c r="FQ274" s="1" t="s">
        <v>4328</v>
      </c>
      <c r="FU274" s="1" t="s">
        <v>4329</v>
      </c>
      <c r="FV274" s="1" t="s">
        <v>200</v>
      </c>
      <c r="FW274" s="1" t="s">
        <v>290</v>
      </c>
      <c r="FX274" s="1" t="s">
        <v>1739</v>
      </c>
      <c r="FZ274" s="1" t="s">
        <v>229</v>
      </c>
      <c r="GA274" s="1" t="s">
        <v>291</v>
      </c>
      <c r="GB274" s="2">
        <v>42128.0</v>
      </c>
      <c r="GC274" s="1" t="s">
        <v>4330</v>
      </c>
    </row>
    <row r="275">
      <c r="A275" s="1">
        <v>144000.0</v>
      </c>
      <c r="B275" s="1" t="s">
        <v>185</v>
      </c>
      <c r="C275" s="1" t="str">
        <f>"08767279"</f>
        <v>08767279</v>
      </c>
      <c r="D275" s="1" t="s">
        <v>186</v>
      </c>
      <c r="F275" s="1" t="str">
        <f>"103"</f>
        <v>103</v>
      </c>
      <c r="G275" s="2">
        <v>41946.0</v>
      </c>
      <c r="H275" s="1">
        <v>159900.0</v>
      </c>
      <c r="I275" s="1">
        <v>242.0</v>
      </c>
      <c r="J275" s="1">
        <v>159900.0</v>
      </c>
      <c r="K275" s="2">
        <v>41977.0</v>
      </c>
      <c r="L275" s="1">
        <v>32.0</v>
      </c>
      <c r="M275" s="2">
        <v>41977.0</v>
      </c>
      <c r="N275" s="1" t="s">
        <v>249</v>
      </c>
      <c r="O275" s="2">
        <v>42096.0</v>
      </c>
      <c r="P275" s="1">
        <v>99999.0</v>
      </c>
      <c r="Q275" s="1" t="s">
        <v>947</v>
      </c>
      <c r="S275" s="1">
        <v>1201.0</v>
      </c>
      <c r="T275" s="1" t="s">
        <v>4331</v>
      </c>
      <c r="U275" s="1" t="s">
        <v>1174</v>
      </c>
      <c r="V275" s="1" t="s">
        <v>251</v>
      </c>
      <c r="W275" s="1">
        <v>60133.0</v>
      </c>
      <c r="Y275" s="1" t="s">
        <v>4332</v>
      </c>
      <c r="Z275" s="1">
        <v>1972.0</v>
      </c>
      <c r="AA275" s="1" t="s">
        <v>192</v>
      </c>
      <c r="AB275" s="1" t="s">
        <v>193</v>
      </c>
      <c r="AD275" s="1" t="s">
        <v>254</v>
      </c>
      <c r="AE275" s="1" t="s">
        <v>1258</v>
      </c>
      <c r="AF275" s="1" t="s">
        <v>1259</v>
      </c>
      <c r="AH275" s="1">
        <v>13039.0</v>
      </c>
      <c r="AI275" s="1">
        <v>0.2993</v>
      </c>
      <c r="AK275" s="1">
        <v>8.0</v>
      </c>
      <c r="AL275" s="1">
        <v>4.0</v>
      </c>
      <c r="AM275" s="1">
        <v>2.0</v>
      </c>
      <c r="AN275" s="1">
        <v>1.0</v>
      </c>
      <c r="AO275" s="1" t="s">
        <v>229</v>
      </c>
      <c r="AQ275" s="1" t="s">
        <v>229</v>
      </c>
      <c r="AR275" s="1" t="s">
        <v>200</v>
      </c>
      <c r="AS275" s="1" t="s">
        <v>199</v>
      </c>
      <c r="AT275" s="1">
        <v>2.0</v>
      </c>
      <c r="AV275" s="1" t="s">
        <v>200</v>
      </c>
      <c r="AW275" s="1">
        <v>6459.0</v>
      </c>
      <c r="AX275" s="1">
        <v>2013.0</v>
      </c>
      <c r="AZ275" s="1" t="s">
        <v>545</v>
      </c>
      <c r="BA275" s="1" t="str">
        <f>"0207208034"</f>
        <v>0207208034</v>
      </c>
      <c r="BC275" s="1">
        <v>2212.0</v>
      </c>
      <c r="BD275" s="1">
        <v>144000.0</v>
      </c>
      <c r="BE275" s="2">
        <v>41946.0</v>
      </c>
      <c r="BF275" s="2" t="s">
        <v>4333</v>
      </c>
      <c r="BH275" s="1">
        <v>0.0</v>
      </c>
      <c r="BK275" s="1" t="s">
        <v>204</v>
      </c>
      <c r="BL275" s="1" t="str">
        <f t="shared" ref="BL275:BM275" si="192">""</f>
        <v/>
      </c>
      <c r="BM275" s="1" t="str">
        <f t="shared" si="192"/>
        <v/>
      </c>
      <c r="BQ275" s="1">
        <v>20.0</v>
      </c>
      <c r="BR275" s="1">
        <v>108.0</v>
      </c>
      <c r="BS275" s="1">
        <v>20.0</v>
      </c>
      <c r="BU275" s="1" t="s">
        <v>333</v>
      </c>
      <c r="BV275" s="1" t="s">
        <v>206</v>
      </c>
      <c r="BY275" s="1" t="s">
        <v>784</v>
      </c>
      <c r="BZ275" s="1" t="s">
        <v>209</v>
      </c>
      <c r="CC275" s="1" t="s">
        <v>265</v>
      </c>
      <c r="CD275" s="1" t="s">
        <v>206</v>
      </c>
      <c r="CG275" s="1" t="s">
        <v>495</v>
      </c>
      <c r="CH275" s="1" t="s">
        <v>209</v>
      </c>
      <c r="CK275" s="1" t="s">
        <v>495</v>
      </c>
      <c r="CL275" s="1" t="s">
        <v>209</v>
      </c>
      <c r="CO275" s="1" t="s">
        <v>495</v>
      </c>
      <c r="CP275" s="1" t="s">
        <v>209</v>
      </c>
      <c r="CS275" s="1" t="s">
        <v>331</v>
      </c>
      <c r="CT275" s="1" t="s">
        <v>206</v>
      </c>
      <c r="CW275" s="1" t="s">
        <v>515</v>
      </c>
      <c r="CX275" s="1" t="s">
        <v>206</v>
      </c>
      <c r="DA275" s="1" t="s">
        <v>200</v>
      </c>
      <c r="DC275" s="1" t="s">
        <v>517</v>
      </c>
      <c r="DE275" s="1" t="s">
        <v>273</v>
      </c>
      <c r="DF275" s="1" t="s">
        <v>219</v>
      </c>
      <c r="DH275" s="1" t="s">
        <v>220</v>
      </c>
      <c r="DJ275" s="1" t="s">
        <v>222</v>
      </c>
      <c r="DL275" s="1" t="s">
        <v>229</v>
      </c>
      <c r="DM275" s="1" t="s">
        <v>229</v>
      </c>
      <c r="DQ275" s="1" t="s">
        <v>441</v>
      </c>
      <c r="DR275" s="1" t="s">
        <v>229</v>
      </c>
      <c r="DV275" s="1" t="s">
        <v>232</v>
      </c>
      <c r="DW275" s="1" t="s">
        <v>667</v>
      </c>
      <c r="DX275" s="1" t="s">
        <v>234</v>
      </c>
      <c r="EC275" s="1" t="s">
        <v>237</v>
      </c>
      <c r="EE275" s="1" t="s">
        <v>1960</v>
      </c>
      <c r="EM275" s="1" t="s">
        <v>238</v>
      </c>
      <c r="EQ275" s="1" t="s">
        <v>238</v>
      </c>
      <c r="EU275" s="1" t="s">
        <v>238</v>
      </c>
      <c r="EY275" s="1" t="s">
        <v>238</v>
      </c>
      <c r="FC275" s="1" t="s">
        <v>238</v>
      </c>
      <c r="FF275" s="1" t="s">
        <v>239</v>
      </c>
      <c r="FG275" s="1" t="s">
        <v>192</v>
      </c>
      <c r="FH275" s="1" t="s">
        <v>192</v>
      </c>
      <c r="FJ275" s="1" t="s">
        <v>347</v>
      </c>
      <c r="FK275" s="1" t="s">
        <v>229</v>
      </c>
      <c r="FL275" s="1" t="s">
        <v>3033</v>
      </c>
      <c r="FM275" s="1">
        <v>1984.0</v>
      </c>
      <c r="FN275" s="1" t="s">
        <v>3034</v>
      </c>
      <c r="FO275" s="1" t="s">
        <v>3035</v>
      </c>
      <c r="FP275" s="1">
        <v>922950.0</v>
      </c>
      <c r="FU275" s="1" t="s">
        <v>4334</v>
      </c>
      <c r="FV275" s="1" t="s">
        <v>200</v>
      </c>
      <c r="FW275" s="1" t="s">
        <v>4335</v>
      </c>
      <c r="FZ275" s="1" t="s">
        <v>2993</v>
      </c>
      <c r="GA275" s="1" t="s">
        <v>291</v>
      </c>
      <c r="GB275" s="2">
        <v>42097.0</v>
      </c>
      <c r="GC275" s="1" t="s">
        <v>3510</v>
      </c>
    </row>
    <row r="276">
      <c r="A276" s="1">
        <v>335000.0</v>
      </c>
      <c r="B276" s="1" t="s">
        <v>185</v>
      </c>
      <c r="C276" s="1" t="str">
        <f>"08768643"</f>
        <v>08768643</v>
      </c>
      <c r="D276" s="1" t="s">
        <v>186</v>
      </c>
      <c r="F276" s="1" t="str">
        <f>"8024"</f>
        <v>8024</v>
      </c>
      <c r="G276" s="2">
        <v>41947.0</v>
      </c>
      <c r="H276" s="1">
        <v>349000.0</v>
      </c>
      <c r="I276" s="1">
        <v>27.0</v>
      </c>
      <c r="J276" s="1">
        <v>349000.0</v>
      </c>
      <c r="K276" s="2">
        <v>41973.0</v>
      </c>
      <c r="L276" s="1">
        <v>27.0</v>
      </c>
      <c r="M276" s="2">
        <v>41973.0</v>
      </c>
      <c r="N276" s="1" t="s">
        <v>187</v>
      </c>
      <c r="O276" s="2">
        <v>42017.0</v>
      </c>
      <c r="P276" s="1">
        <v>145145.0</v>
      </c>
      <c r="Q276" s="1">
        <v>16440.0</v>
      </c>
      <c r="S276" s="1">
        <v>828.0</v>
      </c>
      <c r="T276" s="1" t="s">
        <v>3199</v>
      </c>
      <c r="U276" s="1" t="s">
        <v>189</v>
      </c>
      <c r="V276" s="1" t="s">
        <v>190</v>
      </c>
      <c r="W276" s="1">
        <v>60622.0</v>
      </c>
      <c r="Y276" s="1" t="s">
        <v>4336</v>
      </c>
      <c r="Z276" s="1">
        <v>1896.0</v>
      </c>
      <c r="AA276" s="1" t="s">
        <v>192</v>
      </c>
      <c r="AB276" s="1" t="s">
        <v>193</v>
      </c>
      <c r="AD276" s="1" t="s">
        <v>194</v>
      </c>
      <c r="AE276" s="1" t="s">
        <v>195</v>
      </c>
      <c r="AF276" s="1" t="s">
        <v>827</v>
      </c>
      <c r="AH276" s="1" t="s">
        <v>1424</v>
      </c>
      <c r="AK276" s="1">
        <v>7.0</v>
      </c>
      <c r="AL276" s="1">
        <v>4.0</v>
      </c>
      <c r="AM276" s="1">
        <v>2.0</v>
      </c>
      <c r="AN276" s="1">
        <v>0.0</v>
      </c>
      <c r="AO276" s="1" t="s">
        <v>229</v>
      </c>
      <c r="AQ276" s="1" t="s">
        <v>198</v>
      </c>
      <c r="AR276" s="1" t="s">
        <v>200</v>
      </c>
      <c r="AS276" s="1" t="s">
        <v>199</v>
      </c>
      <c r="AT276" s="1">
        <v>2.0</v>
      </c>
      <c r="AV276" s="1" t="s">
        <v>200</v>
      </c>
      <c r="AW276" s="1">
        <v>4944.0</v>
      </c>
      <c r="AX276" s="1">
        <v>2012.0</v>
      </c>
      <c r="AY276" s="1" t="s">
        <v>387</v>
      </c>
      <c r="AZ276" s="1" t="s">
        <v>200</v>
      </c>
      <c r="BA276" s="1" t="str">
        <f>"16014240250000"</f>
        <v>16014240250000</v>
      </c>
      <c r="BB276" s="1" t="s">
        <v>200</v>
      </c>
      <c r="BC276" s="1">
        <v>0.0</v>
      </c>
      <c r="BD276" s="1">
        <v>335000.0</v>
      </c>
      <c r="BE276" s="2">
        <v>41947.0</v>
      </c>
      <c r="BF276" s="2" t="s">
        <v>4337</v>
      </c>
      <c r="BH276" s="1">
        <v>0.0</v>
      </c>
      <c r="BK276" s="1" t="s">
        <v>204</v>
      </c>
      <c r="BL276" s="1" t="str">
        <f>"828"</f>
        <v>828</v>
      </c>
      <c r="BM276" s="1" t="str">
        <f t="shared" ref="BM276:BM277" si="193">"0"</f>
        <v>0</v>
      </c>
      <c r="BN276" s="1">
        <v>2700.0</v>
      </c>
      <c r="BO276" s="1">
        <v>0.0</v>
      </c>
      <c r="BQ276" s="1">
        <v>299.0</v>
      </c>
      <c r="BR276" s="1">
        <v>299.0</v>
      </c>
      <c r="BS276" s="1">
        <v>299.0</v>
      </c>
      <c r="BU276" s="1" t="s">
        <v>2459</v>
      </c>
      <c r="BV276" s="1" t="s">
        <v>206</v>
      </c>
      <c r="BW276" s="1" t="s">
        <v>207</v>
      </c>
      <c r="BY276" s="1" t="s">
        <v>215</v>
      </c>
      <c r="BZ276" s="1" t="s">
        <v>209</v>
      </c>
      <c r="CA276" s="1" t="s">
        <v>207</v>
      </c>
      <c r="CC276" s="1" t="s">
        <v>2459</v>
      </c>
      <c r="CD276" s="1" t="s">
        <v>206</v>
      </c>
      <c r="CE276" s="1" t="s">
        <v>207</v>
      </c>
      <c r="CG276" s="1" t="s">
        <v>495</v>
      </c>
      <c r="CH276" s="1" t="s">
        <v>209</v>
      </c>
      <c r="CI276" s="1" t="s">
        <v>207</v>
      </c>
      <c r="CK276" s="1" t="s">
        <v>1796</v>
      </c>
      <c r="CL276" s="1" t="s">
        <v>206</v>
      </c>
      <c r="CM276" s="1" t="s">
        <v>207</v>
      </c>
      <c r="CO276" s="1" t="s">
        <v>1796</v>
      </c>
      <c r="CP276" s="1" t="s">
        <v>206</v>
      </c>
      <c r="CQ276" s="1" t="s">
        <v>207</v>
      </c>
      <c r="CS276" s="1" t="s">
        <v>1397</v>
      </c>
      <c r="CT276" s="1" t="s">
        <v>206</v>
      </c>
      <c r="CU276" s="1" t="s">
        <v>268</v>
      </c>
      <c r="CX276" s="1" t="s">
        <v>204</v>
      </c>
      <c r="DA276" s="1" t="s">
        <v>200</v>
      </c>
      <c r="DC276" s="1" t="s">
        <v>642</v>
      </c>
      <c r="DD276" s="1" t="s">
        <v>518</v>
      </c>
      <c r="DE276" s="1" t="s">
        <v>273</v>
      </c>
      <c r="DF276" s="1" t="s">
        <v>219</v>
      </c>
      <c r="DG276" s="1" t="s">
        <v>2747</v>
      </c>
      <c r="DH276" s="1" t="s">
        <v>307</v>
      </c>
      <c r="DI276" s="1" t="s">
        <v>519</v>
      </c>
      <c r="DJ276" s="1" t="s">
        <v>222</v>
      </c>
      <c r="DL276" s="1" t="s">
        <v>223</v>
      </c>
      <c r="DM276" s="1" t="s">
        <v>229</v>
      </c>
      <c r="DN276" s="1" t="s">
        <v>666</v>
      </c>
      <c r="DP276" s="1" t="s">
        <v>340</v>
      </c>
      <c r="DQ276" s="1" t="s">
        <v>718</v>
      </c>
      <c r="DR276" s="1" t="s">
        <v>229</v>
      </c>
      <c r="DS276" s="1" t="s">
        <v>230</v>
      </c>
      <c r="DV276" s="1" t="s">
        <v>232</v>
      </c>
      <c r="DW276" s="1" t="s">
        <v>489</v>
      </c>
      <c r="DX276" s="1" t="s">
        <v>234</v>
      </c>
      <c r="DY276" s="1" t="s">
        <v>4338</v>
      </c>
      <c r="DZ276" s="1" t="s">
        <v>4339</v>
      </c>
      <c r="EC276" s="1" t="s">
        <v>4340</v>
      </c>
      <c r="EM276" s="1" t="s">
        <v>238</v>
      </c>
      <c r="EQ276" s="1" t="s">
        <v>238</v>
      </c>
      <c r="EU276" s="1" t="s">
        <v>238</v>
      </c>
      <c r="EY276" s="1" t="s">
        <v>238</v>
      </c>
      <c r="FC276" s="1" t="s">
        <v>238</v>
      </c>
      <c r="FF276" s="1" t="s">
        <v>239</v>
      </c>
      <c r="FG276" s="1" t="s">
        <v>192</v>
      </c>
      <c r="FH276" s="1" t="s">
        <v>192</v>
      </c>
      <c r="FJ276" s="1" t="s">
        <v>799</v>
      </c>
      <c r="FK276" s="1" t="s">
        <v>229</v>
      </c>
      <c r="FL276" s="1" t="s">
        <v>562</v>
      </c>
      <c r="FM276" s="1">
        <v>16983.0</v>
      </c>
      <c r="FN276" s="1" t="s">
        <v>4341</v>
      </c>
      <c r="FO276" s="1" t="s">
        <v>4342</v>
      </c>
      <c r="FP276" s="1">
        <v>131377.0</v>
      </c>
      <c r="FS276" s="1" t="s">
        <v>4343</v>
      </c>
      <c r="FU276" s="1" t="s">
        <v>4344</v>
      </c>
      <c r="FV276" s="1" t="s">
        <v>200</v>
      </c>
      <c r="FW276" s="1" t="s">
        <v>4345</v>
      </c>
      <c r="FX276" s="1" t="s">
        <v>238</v>
      </c>
      <c r="FZ276" s="1" t="s">
        <v>229</v>
      </c>
      <c r="GA276" s="1" t="s">
        <v>291</v>
      </c>
      <c r="GB276" s="2">
        <v>42018.0</v>
      </c>
      <c r="GC276" s="1" t="s">
        <v>4346</v>
      </c>
    </row>
    <row r="277">
      <c r="A277" s="1">
        <v>236000.0</v>
      </c>
      <c r="B277" s="1" t="s">
        <v>185</v>
      </c>
      <c r="C277" s="1" t="str">
        <f>"08767536"</f>
        <v>08767536</v>
      </c>
      <c r="D277" s="1" t="s">
        <v>186</v>
      </c>
      <c r="F277" s="1" t="str">
        <f>"119"</f>
        <v>119</v>
      </c>
      <c r="G277" s="2">
        <v>41946.0</v>
      </c>
      <c r="H277" s="1">
        <v>245000.0</v>
      </c>
      <c r="I277" s="1">
        <v>28.0</v>
      </c>
      <c r="J277" s="1">
        <v>245000.0</v>
      </c>
      <c r="K277" s="2">
        <v>41973.0</v>
      </c>
      <c r="L277" s="1">
        <v>28.0</v>
      </c>
      <c r="M277" s="2">
        <v>41973.0</v>
      </c>
      <c r="N277" s="1" t="s">
        <v>187</v>
      </c>
      <c r="O277" s="2">
        <v>42003.0</v>
      </c>
      <c r="P277" s="1">
        <v>29.0</v>
      </c>
      <c r="Q277" s="1">
        <v>209.0</v>
      </c>
      <c r="S277" s="1">
        <v>1156.0</v>
      </c>
      <c r="T277" s="1" t="s">
        <v>4347</v>
      </c>
      <c r="U277" s="1" t="s">
        <v>189</v>
      </c>
      <c r="V277" s="1" t="s">
        <v>1476</v>
      </c>
      <c r="W277" s="1">
        <v>60119.0</v>
      </c>
      <c r="Y277" s="1" t="s">
        <v>4348</v>
      </c>
      <c r="Z277" s="1">
        <v>2005.0</v>
      </c>
      <c r="AA277" s="1" t="s">
        <v>200</v>
      </c>
      <c r="AB277" s="1" t="s">
        <v>193</v>
      </c>
      <c r="AC277" s="1" t="s">
        <v>4349</v>
      </c>
      <c r="AD277" s="1" t="s">
        <v>1478</v>
      </c>
      <c r="AE277" s="1" t="s">
        <v>325</v>
      </c>
      <c r="AF277" s="1" t="s">
        <v>1479</v>
      </c>
      <c r="AH277" s="1" t="s">
        <v>4021</v>
      </c>
      <c r="AI277" s="1">
        <v>0.21</v>
      </c>
      <c r="AK277" s="1">
        <v>8.0</v>
      </c>
      <c r="AL277" s="1">
        <v>4.0</v>
      </c>
      <c r="AM277" s="1">
        <v>2.0</v>
      </c>
      <c r="AN277" s="1">
        <v>1.0</v>
      </c>
      <c r="AO277" s="1" t="s">
        <v>198</v>
      </c>
      <c r="AP277" s="1">
        <v>1.0</v>
      </c>
      <c r="AQ277" s="1" t="s">
        <v>1314</v>
      </c>
      <c r="AR277" s="1" t="s">
        <v>200</v>
      </c>
      <c r="AS277" s="1" t="s">
        <v>199</v>
      </c>
      <c r="AT277" s="1">
        <v>2.1</v>
      </c>
      <c r="AV277" s="1" t="s">
        <v>200</v>
      </c>
      <c r="AW277" s="1">
        <v>6749.88</v>
      </c>
      <c r="AX277" s="1">
        <v>2012.0</v>
      </c>
      <c r="AY277" s="1" t="s">
        <v>229</v>
      </c>
      <c r="AZ277" s="1" t="s">
        <v>200</v>
      </c>
      <c r="BA277" s="1" t="str">
        <f>"1109110003"</f>
        <v>1109110003</v>
      </c>
      <c r="BB277" s="1" t="s">
        <v>200</v>
      </c>
      <c r="BC277" s="1">
        <v>2928.0</v>
      </c>
      <c r="BD277" s="1">
        <v>236000.0</v>
      </c>
      <c r="BE277" s="2">
        <v>41946.0</v>
      </c>
      <c r="BF277" s="2" t="s">
        <v>4350</v>
      </c>
      <c r="BG277" s="1" t="s">
        <v>4351</v>
      </c>
      <c r="BH277" s="1">
        <v>275.0</v>
      </c>
      <c r="BI277" s="1" t="s">
        <v>4352</v>
      </c>
      <c r="BJ277" s="1" t="s">
        <v>1636</v>
      </c>
      <c r="BK277" s="1" t="s">
        <v>580</v>
      </c>
      <c r="BL277" s="1" t="str">
        <f>"2"</f>
        <v>2</v>
      </c>
      <c r="BM277" s="1" t="str">
        <f t="shared" si="193"/>
        <v>0</v>
      </c>
      <c r="BN277" s="1">
        <v>42.0</v>
      </c>
      <c r="BO277" s="1">
        <v>0.0</v>
      </c>
      <c r="BQ277" s="1">
        <v>302.0</v>
      </c>
      <c r="BR277" s="1">
        <v>302.0</v>
      </c>
      <c r="BS277" s="1">
        <v>302.0</v>
      </c>
      <c r="BU277" s="1" t="s">
        <v>390</v>
      </c>
      <c r="BV277" s="1" t="s">
        <v>206</v>
      </c>
      <c r="BW277" s="1" t="s">
        <v>207</v>
      </c>
      <c r="BY277" s="1" t="s">
        <v>3202</v>
      </c>
      <c r="BZ277" s="1" t="s">
        <v>209</v>
      </c>
      <c r="CA277" s="1" t="s">
        <v>210</v>
      </c>
      <c r="CD277" s="1" t="s">
        <v>204</v>
      </c>
      <c r="CG277" s="1" t="s">
        <v>497</v>
      </c>
      <c r="CH277" s="1" t="s">
        <v>209</v>
      </c>
      <c r="CI277" s="1" t="s">
        <v>210</v>
      </c>
      <c r="CK277" s="1" t="s">
        <v>266</v>
      </c>
      <c r="CL277" s="1" t="s">
        <v>209</v>
      </c>
      <c r="CM277" s="1" t="s">
        <v>210</v>
      </c>
      <c r="CO277" s="1" t="s">
        <v>699</v>
      </c>
      <c r="CP277" s="1" t="s">
        <v>209</v>
      </c>
      <c r="CQ277" s="1" t="s">
        <v>210</v>
      </c>
      <c r="CS277" s="1" t="s">
        <v>496</v>
      </c>
      <c r="CT277" s="1" t="s">
        <v>206</v>
      </c>
      <c r="CU277" s="1" t="s">
        <v>207</v>
      </c>
      <c r="CW277" s="1" t="s">
        <v>4353</v>
      </c>
      <c r="CX277" s="1" t="s">
        <v>206</v>
      </c>
      <c r="CY277" s="1" t="s">
        <v>207</v>
      </c>
      <c r="DA277" s="1" t="s">
        <v>200</v>
      </c>
      <c r="DC277" s="1" t="s">
        <v>481</v>
      </c>
      <c r="DE277" s="1" t="s">
        <v>273</v>
      </c>
      <c r="DF277" s="1" t="s">
        <v>219</v>
      </c>
      <c r="DG277" s="1" t="s">
        <v>482</v>
      </c>
      <c r="DH277" s="1" t="s">
        <v>220</v>
      </c>
      <c r="DI277" s="1" t="s">
        <v>519</v>
      </c>
      <c r="DJ277" s="1" t="s">
        <v>222</v>
      </c>
      <c r="DL277" s="1" t="s">
        <v>223</v>
      </c>
      <c r="DM277" s="1" t="s">
        <v>229</v>
      </c>
      <c r="DN277" s="1" t="s">
        <v>485</v>
      </c>
      <c r="DO277" s="1" t="s">
        <v>717</v>
      </c>
      <c r="DP277" s="1" t="s">
        <v>227</v>
      </c>
      <c r="DQ277" s="1" t="s">
        <v>228</v>
      </c>
      <c r="DR277" s="1" t="s">
        <v>1487</v>
      </c>
      <c r="DS277" s="1" t="s">
        <v>230</v>
      </c>
      <c r="DU277" s="1" t="s">
        <v>4354</v>
      </c>
      <c r="DV277" s="1" t="s">
        <v>341</v>
      </c>
      <c r="DW277" s="1" t="s">
        <v>444</v>
      </c>
      <c r="DX277" s="1" t="s">
        <v>234</v>
      </c>
      <c r="DY277" s="1" t="s">
        <v>490</v>
      </c>
      <c r="DZ277" s="1" t="s">
        <v>4355</v>
      </c>
      <c r="EA277" s="1" t="s">
        <v>344</v>
      </c>
      <c r="EB277" s="1" t="s">
        <v>492</v>
      </c>
      <c r="EC277" s="1" t="s">
        <v>237</v>
      </c>
      <c r="ED277" s="1" t="s">
        <v>407</v>
      </c>
      <c r="EG277" s="1" t="s">
        <v>341</v>
      </c>
      <c r="EL277" s="1" t="s">
        <v>584</v>
      </c>
      <c r="EM277" s="1" t="s">
        <v>209</v>
      </c>
      <c r="EN277" s="1" t="s">
        <v>210</v>
      </c>
      <c r="EQ277" s="1" t="s">
        <v>238</v>
      </c>
      <c r="EU277" s="1" t="s">
        <v>238</v>
      </c>
      <c r="EY277" s="1" t="s">
        <v>238</v>
      </c>
      <c r="FC277" s="1" t="s">
        <v>238</v>
      </c>
      <c r="FF277" s="1" t="s">
        <v>239</v>
      </c>
      <c r="FG277" s="1" t="s">
        <v>192</v>
      </c>
      <c r="FH277" s="1" t="s">
        <v>192</v>
      </c>
      <c r="FJ277" s="1" t="s">
        <v>1450</v>
      </c>
      <c r="FK277" s="1" t="s">
        <v>229</v>
      </c>
      <c r="FL277" s="1" t="s">
        <v>2263</v>
      </c>
      <c r="FM277" s="1">
        <v>7661.0</v>
      </c>
      <c r="FN277" s="1" t="s">
        <v>4356</v>
      </c>
      <c r="FO277" s="1" t="s">
        <v>4357</v>
      </c>
      <c r="FP277" s="1">
        <v>2157.0</v>
      </c>
      <c r="FQ277" s="1" t="s">
        <v>4358</v>
      </c>
      <c r="FU277" s="1" t="s">
        <v>4359</v>
      </c>
      <c r="FV277" s="1" t="s">
        <v>200</v>
      </c>
      <c r="FW277" s="1" t="s">
        <v>290</v>
      </c>
      <c r="FZ277" s="1" t="s">
        <v>229</v>
      </c>
      <c r="GA277" s="1" t="s">
        <v>291</v>
      </c>
      <c r="GB277" s="2">
        <v>42003.0</v>
      </c>
      <c r="GC277" s="1" t="s">
        <v>4360</v>
      </c>
    </row>
    <row r="278">
      <c r="A278" s="1">
        <v>235000.0</v>
      </c>
      <c r="B278" s="1" t="s">
        <v>185</v>
      </c>
      <c r="C278" s="1" t="str">
        <f>"08768054"</f>
        <v>08768054</v>
      </c>
      <c r="D278" s="1" t="s">
        <v>186</v>
      </c>
      <c r="F278" s="1" t="str">
        <f>"543"</f>
        <v>543</v>
      </c>
      <c r="G278" s="2">
        <v>41946.0</v>
      </c>
      <c r="H278" s="1">
        <v>244900.0</v>
      </c>
      <c r="I278" s="1">
        <v>28.0</v>
      </c>
      <c r="J278" s="1">
        <v>244900.0</v>
      </c>
      <c r="K278" s="2">
        <v>41973.0</v>
      </c>
      <c r="L278" s="1">
        <v>28.0</v>
      </c>
      <c r="M278" s="2">
        <v>41973.0</v>
      </c>
      <c r="N278" s="1" t="s">
        <v>356</v>
      </c>
      <c r="O278" s="2">
        <v>42002.0</v>
      </c>
      <c r="P278" s="1">
        <v>233520.0</v>
      </c>
      <c r="Q278" s="1">
        <v>23120.0</v>
      </c>
      <c r="S278" s="1">
        <v>222.0</v>
      </c>
      <c r="T278" s="1" t="s">
        <v>4361</v>
      </c>
      <c r="U278" s="1" t="s">
        <v>569</v>
      </c>
      <c r="V278" s="1" t="s">
        <v>1527</v>
      </c>
      <c r="W278" s="1">
        <v>60543.0</v>
      </c>
      <c r="Y278" s="1" t="s">
        <v>4362</v>
      </c>
      <c r="Z278" s="1">
        <v>1993.0</v>
      </c>
      <c r="AA278" s="1" t="s">
        <v>200</v>
      </c>
      <c r="AB278" s="1" t="s">
        <v>193</v>
      </c>
      <c r="AC278" s="1" t="s">
        <v>4363</v>
      </c>
      <c r="AD278" s="1" t="s">
        <v>1529</v>
      </c>
      <c r="AE278" s="1" t="s">
        <v>849</v>
      </c>
      <c r="AF278" s="1" t="s">
        <v>1529</v>
      </c>
      <c r="AG278" s="1">
        <v>0.0</v>
      </c>
      <c r="AH278" s="1" t="s">
        <v>4364</v>
      </c>
      <c r="AI278" s="1">
        <v>0.0</v>
      </c>
      <c r="AK278" s="1">
        <v>10.0</v>
      </c>
      <c r="AL278" s="1">
        <v>4.0</v>
      </c>
      <c r="AM278" s="1">
        <v>3.0</v>
      </c>
      <c r="AN278" s="1">
        <v>0.0</v>
      </c>
      <c r="AO278" s="1" t="s">
        <v>198</v>
      </c>
      <c r="AQ278" s="1" t="s">
        <v>198</v>
      </c>
      <c r="AR278" s="1" t="s">
        <v>200</v>
      </c>
      <c r="AS278" s="1" t="s">
        <v>199</v>
      </c>
      <c r="AT278" s="1">
        <v>3.0</v>
      </c>
      <c r="AV278" s="1" t="s">
        <v>200</v>
      </c>
      <c r="AW278" s="1">
        <v>7883.82</v>
      </c>
      <c r="AX278" s="1">
        <v>2013.0</v>
      </c>
      <c r="AY278" s="1" t="s">
        <v>387</v>
      </c>
      <c r="AZ278" s="1" t="s">
        <v>200</v>
      </c>
      <c r="BA278" s="1" t="str">
        <f>"0309224013"</f>
        <v>0309224013</v>
      </c>
      <c r="BC278" s="1">
        <v>2435.0</v>
      </c>
      <c r="BD278" s="1">
        <v>235000.0</v>
      </c>
      <c r="BE278" s="2">
        <v>41946.0</v>
      </c>
      <c r="BF278" s="2" t="s">
        <v>4365</v>
      </c>
      <c r="BG278" s="1" t="s">
        <v>4366</v>
      </c>
      <c r="BH278" s="1">
        <v>0.0</v>
      </c>
      <c r="BI278" s="1" t="s">
        <v>1348</v>
      </c>
      <c r="BJ278" s="1" t="s">
        <v>1349</v>
      </c>
      <c r="BK278" s="1" t="s">
        <v>204</v>
      </c>
      <c r="BL278" s="1" t="str">
        <f t="shared" ref="BL278:BM278" si="194">"0"</f>
        <v>0</v>
      </c>
      <c r="BM278" s="1" t="str">
        <f t="shared" si="194"/>
        <v>0</v>
      </c>
      <c r="BN278" s="1">
        <v>36.0</v>
      </c>
      <c r="BO278" s="1">
        <v>11.0</v>
      </c>
      <c r="BQ278" s="1">
        <v>308.0</v>
      </c>
      <c r="BR278" s="1">
        <v>308.0</v>
      </c>
      <c r="BS278" s="1">
        <v>308.0</v>
      </c>
      <c r="BU278" s="1" t="s">
        <v>329</v>
      </c>
      <c r="BV278" s="1" t="s">
        <v>206</v>
      </c>
      <c r="BW278" s="1" t="s">
        <v>588</v>
      </c>
      <c r="BY278" s="1" t="s">
        <v>361</v>
      </c>
      <c r="BZ278" s="1" t="s">
        <v>209</v>
      </c>
      <c r="CA278" s="1" t="s">
        <v>210</v>
      </c>
      <c r="CC278" s="1" t="s">
        <v>269</v>
      </c>
      <c r="CD278" s="1" t="s">
        <v>206</v>
      </c>
      <c r="CE278" s="1" t="s">
        <v>588</v>
      </c>
      <c r="CG278" s="1" t="s">
        <v>264</v>
      </c>
      <c r="CH278" s="1" t="s">
        <v>209</v>
      </c>
      <c r="CI278" s="1" t="s">
        <v>210</v>
      </c>
      <c r="CK278" s="1" t="s">
        <v>495</v>
      </c>
      <c r="CL278" s="1" t="s">
        <v>209</v>
      </c>
      <c r="CM278" s="1" t="s">
        <v>210</v>
      </c>
      <c r="CO278" s="1" t="s">
        <v>264</v>
      </c>
      <c r="CP278" s="1" t="s">
        <v>209</v>
      </c>
      <c r="CQ278" s="1" t="s">
        <v>210</v>
      </c>
      <c r="CS278" s="1" t="s">
        <v>784</v>
      </c>
      <c r="CT278" s="1" t="s">
        <v>206</v>
      </c>
      <c r="CU278" s="1" t="s">
        <v>268</v>
      </c>
      <c r="CW278" s="1" t="s">
        <v>616</v>
      </c>
      <c r="CX278" s="1" t="s">
        <v>206</v>
      </c>
      <c r="CY278" s="1" t="s">
        <v>588</v>
      </c>
      <c r="DA278" s="1" t="s">
        <v>200</v>
      </c>
      <c r="DC278" s="1" t="s">
        <v>435</v>
      </c>
      <c r="DD278" s="1" t="s">
        <v>336</v>
      </c>
      <c r="DE278" s="1" t="s">
        <v>273</v>
      </c>
      <c r="DF278" s="1" t="s">
        <v>219</v>
      </c>
      <c r="DG278" s="1" t="s">
        <v>337</v>
      </c>
      <c r="DH278" s="1" t="s">
        <v>220</v>
      </c>
      <c r="DI278" s="1" t="s">
        <v>221</v>
      </c>
      <c r="DJ278" s="1" t="s">
        <v>222</v>
      </c>
      <c r="DL278" s="1" t="s">
        <v>224</v>
      </c>
      <c r="DM278" s="1" t="s">
        <v>338</v>
      </c>
      <c r="DN278" s="1" t="s">
        <v>548</v>
      </c>
      <c r="DO278" s="1" t="s">
        <v>1979</v>
      </c>
      <c r="DP278" s="1" t="s">
        <v>276</v>
      </c>
      <c r="DQ278" s="1" t="s">
        <v>228</v>
      </c>
      <c r="DR278" s="1" t="s">
        <v>229</v>
      </c>
      <c r="DU278" s="1" t="s">
        <v>1840</v>
      </c>
      <c r="DV278" s="1" t="s">
        <v>2381</v>
      </c>
      <c r="DW278" s="1" t="s">
        <v>233</v>
      </c>
      <c r="DX278" s="1" t="s">
        <v>234</v>
      </c>
      <c r="DY278" s="1" t="s">
        <v>1006</v>
      </c>
      <c r="DZ278" s="1" t="s">
        <v>4367</v>
      </c>
      <c r="EA278" s="1" t="s">
        <v>344</v>
      </c>
      <c r="EC278" s="1" t="s">
        <v>237</v>
      </c>
      <c r="ED278" s="1" t="s">
        <v>555</v>
      </c>
      <c r="EE278" s="1" t="s">
        <v>493</v>
      </c>
      <c r="EG278" s="1" t="s">
        <v>494</v>
      </c>
      <c r="EI278" s="1" t="s">
        <v>556</v>
      </c>
      <c r="EL278" s="1" t="s">
        <v>269</v>
      </c>
      <c r="EM278" s="1" t="s">
        <v>206</v>
      </c>
      <c r="EN278" s="1" t="s">
        <v>588</v>
      </c>
      <c r="EQ278" s="1" t="s">
        <v>238</v>
      </c>
      <c r="ET278" s="1" t="s">
        <v>1796</v>
      </c>
      <c r="EU278" s="1" t="s">
        <v>206</v>
      </c>
      <c r="EV278" s="1" t="s">
        <v>588</v>
      </c>
      <c r="EY278" s="1" t="s">
        <v>238</v>
      </c>
      <c r="FC278" s="1" t="s">
        <v>238</v>
      </c>
      <c r="FF278" s="1" t="s">
        <v>239</v>
      </c>
      <c r="FG278" s="1" t="s">
        <v>192</v>
      </c>
      <c r="FH278" s="1" t="s">
        <v>192</v>
      </c>
      <c r="FJ278" s="1" t="s">
        <v>4368</v>
      </c>
      <c r="FK278" s="1" t="s">
        <v>229</v>
      </c>
      <c r="FL278" s="1" t="s">
        <v>4369</v>
      </c>
      <c r="FM278" s="1">
        <v>23120.0</v>
      </c>
      <c r="FN278" s="1" t="s">
        <v>4370</v>
      </c>
      <c r="FO278" s="1" t="s">
        <v>4371</v>
      </c>
      <c r="FP278" s="1">
        <v>216318.0</v>
      </c>
      <c r="FQ278" s="1" t="s">
        <v>4372</v>
      </c>
      <c r="FS278" s="1" t="s">
        <v>4373</v>
      </c>
      <c r="FU278" s="1" t="s">
        <v>4374</v>
      </c>
      <c r="FV278" s="1" t="s">
        <v>200</v>
      </c>
      <c r="FW278" s="1" t="s">
        <v>290</v>
      </c>
      <c r="FZ278" s="1" t="s">
        <v>229</v>
      </c>
      <c r="GA278" s="1" t="s">
        <v>291</v>
      </c>
      <c r="GB278" s="2">
        <v>42019.0</v>
      </c>
      <c r="GC278" s="1" t="s">
        <v>4375</v>
      </c>
    </row>
    <row r="279">
      <c r="A279" s="1">
        <v>140500.0</v>
      </c>
      <c r="B279" s="1" t="s">
        <v>185</v>
      </c>
      <c r="C279" s="1" t="str">
        <f>"08768355"</f>
        <v>08768355</v>
      </c>
      <c r="D279" s="1" t="s">
        <v>186</v>
      </c>
      <c r="F279" s="1" t="str">
        <f>"8037"</f>
        <v>8037</v>
      </c>
      <c r="G279" s="2">
        <v>41947.0</v>
      </c>
      <c r="H279" s="1">
        <v>329900.0</v>
      </c>
      <c r="I279" s="1">
        <v>21.0</v>
      </c>
      <c r="J279" s="1">
        <v>123900.0</v>
      </c>
      <c r="K279" s="2">
        <v>41967.0</v>
      </c>
      <c r="L279" s="1">
        <v>21.0</v>
      </c>
      <c r="M279" s="2">
        <v>41967.0</v>
      </c>
      <c r="N279" s="1" t="s">
        <v>249</v>
      </c>
      <c r="O279" s="2">
        <v>41999.0</v>
      </c>
      <c r="P279" s="1">
        <v>236138.0</v>
      </c>
      <c r="Q279" s="1">
        <v>61153.0</v>
      </c>
      <c r="S279" s="1">
        <v>4422.0</v>
      </c>
      <c r="T279" s="1" t="s">
        <v>4376</v>
      </c>
      <c r="U279" s="1" t="s">
        <v>189</v>
      </c>
      <c r="V279" s="1" t="s">
        <v>190</v>
      </c>
      <c r="W279" s="1">
        <v>60609.0</v>
      </c>
      <c r="X279" s="1">
        <v>3632.0</v>
      </c>
      <c r="Y279" s="1" t="s">
        <v>4377</v>
      </c>
      <c r="Z279" s="1">
        <v>2007.0</v>
      </c>
      <c r="AA279" s="1" t="s">
        <v>200</v>
      </c>
      <c r="AB279" s="1" t="s">
        <v>193</v>
      </c>
      <c r="AD279" s="1" t="s">
        <v>194</v>
      </c>
      <c r="AE279" s="1" t="s">
        <v>195</v>
      </c>
      <c r="AF279" s="1" t="s">
        <v>659</v>
      </c>
      <c r="AH279" s="1" t="s">
        <v>4378</v>
      </c>
      <c r="AK279" s="1">
        <v>8.0</v>
      </c>
      <c r="AL279" s="1">
        <v>3.0</v>
      </c>
      <c r="AM279" s="1">
        <v>2.0</v>
      </c>
      <c r="AN279" s="1">
        <v>1.0</v>
      </c>
      <c r="AO279" s="1" t="s">
        <v>198</v>
      </c>
      <c r="AP279" s="1">
        <v>2.0</v>
      </c>
      <c r="AQ279" s="1" t="s">
        <v>198</v>
      </c>
      <c r="AR279" s="1" t="s">
        <v>200</v>
      </c>
      <c r="AS279" s="1" t="s">
        <v>199</v>
      </c>
      <c r="AT279" s="1">
        <v>2.0</v>
      </c>
      <c r="AV279" s="1" t="s">
        <v>200</v>
      </c>
      <c r="AW279" s="1">
        <v>7138.0</v>
      </c>
      <c r="AX279" s="1">
        <v>2012.0</v>
      </c>
      <c r="AZ279" s="1" t="s">
        <v>545</v>
      </c>
      <c r="BA279" s="1" t="str">
        <f>"20044060430000"</f>
        <v>20044060430000</v>
      </c>
      <c r="BB279" s="1" t="s">
        <v>200</v>
      </c>
      <c r="BC279" s="1">
        <v>3334.0</v>
      </c>
      <c r="BD279" s="1">
        <v>140500.0</v>
      </c>
      <c r="BE279" s="2">
        <v>41947.0</v>
      </c>
      <c r="BF279" s="2" t="s">
        <v>4379</v>
      </c>
      <c r="BH279" s="1">
        <v>0.0</v>
      </c>
      <c r="BK279" s="1" t="s">
        <v>204</v>
      </c>
      <c r="BL279" s="1" t="str">
        <f t="shared" ref="BL279:BM279" si="195">"0"</f>
        <v>0</v>
      </c>
      <c r="BM279" s="1" t="str">
        <f t="shared" si="195"/>
        <v>0</v>
      </c>
      <c r="BN279" s="1">
        <v>350.0</v>
      </c>
      <c r="BO279" s="1">
        <v>4422.0</v>
      </c>
      <c r="BQ279" s="1">
        <v>299.0</v>
      </c>
      <c r="BR279" s="1">
        <v>299.0</v>
      </c>
      <c r="BS279" s="1">
        <v>299.0</v>
      </c>
      <c r="BU279" s="1" t="s">
        <v>616</v>
      </c>
      <c r="BV279" s="1" t="s">
        <v>206</v>
      </c>
      <c r="BW279" s="1" t="s">
        <v>207</v>
      </c>
      <c r="BY279" s="1" t="s">
        <v>616</v>
      </c>
      <c r="BZ279" s="1" t="s">
        <v>209</v>
      </c>
      <c r="CC279" s="1" t="s">
        <v>542</v>
      </c>
      <c r="CD279" s="1" t="s">
        <v>206</v>
      </c>
      <c r="CG279" s="1" t="s">
        <v>925</v>
      </c>
      <c r="CH279" s="1" t="s">
        <v>209</v>
      </c>
      <c r="CK279" s="1" t="s">
        <v>495</v>
      </c>
      <c r="CL279" s="1" t="s">
        <v>209</v>
      </c>
      <c r="CO279" s="1" t="s">
        <v>495</v>
      </c>
      <c r="CP279" s="1" t="s">
        <v>42</v>
      </c>
      <c r="CS279" s="1" t="s">
        <v>647</v>
      </c>
      <c r="CT279" s="1" t="s">
        <v>206</v>
      </c>
      <c r="CW279" s="1" t="s">
        <v>260</v>
      </c>
      <c r="CX279" s="1" t="s">
        <v>42</v>
      </c>
      <c r="CY279" s="1" t="s">
        <v>207</v>
      </c>
      <c r="DA279" s="1" t="s">
        <v>200</v>
      </c>
      <c r="DC279" s="1" t="s">
        <v>481</v>
      </c>
      <c r="DE279" s="1" t="s">
        <v>229</v>
      </c>
      <c r="DF279" s="1" t="s">
        <v>219</v>
      </c>
      <c r="DH279" s="1" t="s">
        <v>307</v>
      </c>
      <c r="DJ279" s="1" t="s">
        <v>222</v>
      </c>
      <c r="DL279" s="1" t="s">
        <v>224</v>
      </c>
      <c r="DM279" s="1" t="s">
        <v>229</v>
      </c>
      <c r="DQ279" s="1" t="s">
        <v>228</v>
      </c>
      <c r="DR279" s="1" t="s">
        <v>229</v>
      </c>
      <c r="DV279" s="1" t="s">
        <v>232</v>
      </c>
      <c r="DW279" s="1" t="s">
        <v>279</v>
      </c>
      <c r="DX279" s="1" t="s">
        <v>309</v>
      </c>
      <c r="EC279" s="1" t="s">
        <v>237</v>
      </c>
      <c r="EM279" s="1" t="s">
        <v>238</v>
      </c>
      <c r="EQ279" s="1" t="s">
        <v>238</v>
      </c>
      <c r="EU279" s="1" t="s">
        <v>238</v>
      </c>
      <c r="EY279" s="1" t="s">
        <v>238</v>
      </c>
      <c r="FC279" s="1" t="s">
        <v>238</v>
      </c>
      <c r="FF279" s="1" t="s">
        <v>239</v>
      </c>
      <c r="FG279" s="1" t="s">
        <v>192</v>
      </c>
      <c r="FH279" s="1" t="s">
        <v>192</v>
      </c>
      <c r="FJ279" s="1" t="s">
        <v>347</v>
      </c>
      <c r="FK279" s="1" t="s">
        <v>229</v>
      </c>
      <c r="FL279" s="1" t="s">
        <v>2049</v>
      </c>
      <c r="FM279" s="1">
        <v>14858.0</v>
      </c>
      <c r="FN279" s="1" t="s">
        <v>2050</v>
      </c>
      <c r="FO279" s="1" t="s">
        <v>2051</v>
      </c>
      <c r="FP279" s="1">
        <v>171454.0</v>
      </c>
      <c r="FQ279" s="1" t="s">
        <v>2050</v>
      </c>
      <c r="FU279" s="1" t="s">
        <v>2052</v>
      </c>
      <c r="FV279" s="1" t="s">
        <v>200</v>
      </c>
      <c r="FW279" s="1" t="s">
        <v>530</v>
      </c>
      <c r="FX279" s="1" t="s">
        <v>655</v>
      </c>
      <c r="FZ279" s="1" t="s">
        <v>229</v>
      </c>
      <c r="GA279" s="1" t="s">
        <v>291</v>
      </c>
      <c r="GB279" s="2">
        <v>41999.0</v>
      </c>
      <c r="GC279" s="1" t="s">
        <v>2053</v>
      </c>
    </row>
    <row r="280">
      <c r="A280" s="1">
        <v>310000.0</v>
      </c>
      <c r="B280" s="1" t="s">
        <v>185</v>
      </c>
      <c r="C280" s="1" t="str">
        <f>"08768867"</f>
        <v>08768867</v>
      </c>
      <c r="D280" s="1" t="s">
        <v>186</v>
      </c>
      <c r="F280" s="1" t="str">
        <f>"140"</f>
        <v>140</v>
      </c>
      <c r="G280" s="2">
        <v>41947.0</v>
      </c>
      <c r="H280" s="1">
        <v>339900.0</v>
      </c>
      <c r="I280" s="1">
        <v>296.0</v>
      </c>
      <c r="J280" s="1">
        <v>329900.0</v>
      </c>
      <c r="K280" s="2">
        <v>42074.0</v>
      </c>
      <c r="L280" s="1">
        <v>128.0</v>
      </c>
      <c r="M280" s="2">
        <v>42074.0</v>
      </c>
      <c r="N280" s="1" t="s">
        <v>187</v>
      </c>
      <c r="O280" s="2">
        <v>42111.0</v>
      </c>
      <c r="P280" s="1">
        <v>930168.0</v>
      </c>
      <c r="Q280" s="1">
        <v>93044.0</v>
      </c>
      <c r="S280" s="1" t="s">
        <v>4380</v>
      </c>
      <c r="T280" s="1" t="s">
        <v>4381</v>
      </c>
      <c r="U280" s="1" t="s">
        <v>420</v>
      </c>
      <c r="V280" s="1" t="s">
        <v>321</v>
      </c>
      <c r="W280" s="1">
        <v>60140.0</v>
      </c>
      <c r="Y280" s="1" t="s">
        <v>4382</v>
      </c>
      <c r="Z280" s="1">
        <v>1995.0</v>
      </c>
      <c r="AA280" s="1" t="s">
        <v>200</v>
      </c>
      <c r="AB280" s="1" t="s">
        <v>193</v>
      </c>
      <c r="AC280" s="1" t="s">
        <v>4383</v>
      </c>
      <c r="AD280" s="1" t="s">
        <v>1089</v>
      </c>
      <c r="AE280" s="1" t="s">
        <v>325</v>
      </c>
      <c r="AF280" s="1" t="s">
        <v>4384</v>
      </c>
      <c r="AH280" s="1" t="s">
        <v>4385</v>
      </c>
      <c r="AI280" s="1">
        <v>3.4</v>
      </c>
      <c r="AK280" s="1">
        <v>13.0</v>
      </c>
      <c r="AL280" s="1">
        <v>4.0</v>
      </c>
      <c r="AM280" s="1">
        <v>2.0</v>
      </c>
      <c r="AN280" s="1">
        <v>2.0</v>
      </c>
      <c r="AO280" s="1" t="s">
        <v>198</v>
      </c>
      <c r="AP280" s="1">
        <v>1.0</v>
      </c>
      <c r="AQ280" s="1" t="s">
        <v>198</v>
      </c>
      <c r="AR280" s="1" t="s">
        <v>192</v>
      </c>
      <c r="AS280" s="1" t="s">
        <v>199</v>
      </c>
      <c r="AT280" s="1">
        <v>3.0</v>
      </c>
      <c r="AV280" s="1" t="s">
        <v>200</v>
      </c>
      <c r="AW280" s="1">
        <v>10535.14</v>
      </c>
      <c r="AX280" s="1">
        <v>2013.0</v>
      </c>
      <c r="AY280" s="1" t="s">
        <v>387</v>
      </c>
      <c r="AZ280" s="1" t="s">
        <v>200</v>
      </c>
      <c r="BA280" s="1" t="str">
        <f>"0424251005"</f>
        <v>0424251005</v>
      </c>
      <c r="BB280" s="1" t="s">
        <v>200</v>
      </c>
      <c r="BC280" s="1">
        <v>3232.0</v>
      </c>
      <c r="BD280" s="1">
        <v>310000.0</v>
      </c>
      <c r="BE280" s="2">
        <v>41947.0</v>
      </c>
      <c r="BF280" s="2" t="s">
        <v>4386</v>
      </c>
      <c r="BH280" s="1">
        <v>0.0</v>
      </c>
      <c r="BK280" s="1" t="s">
        <v>204</v>
      </c>
      <c r="BL280" s="1" t="str">
        <f t="shared" ref="BL280:BM280" si="196">"0"</f>
        <v>0</v>
      </c>
      <c r="BM280" s="1" t="str">
        <f t="shared" si="196"/>
        <v>0</v>
      </c>
      <c r="BN280" s="1">
        <v>0.0</v>
      </c>
      <c r="BO280" s="1">
        <v>0.0</v>
      </c>
      <c r="BQ280" s="1">
        <v>301.0</v>
      </c>
      <c r="BR280" s="1">
        <v>301.0</v>
      </c>
      <c r="BS280" s="1">
        <v>301.0</v>
      </c>
      <c r="BU280" s="1" t="s">
        <v>584</v>
      </c>
      <c r="BV280" s="1" t="s">
        <v>206</v>
      </c>
      <c r="BW280" s="1" t="s">
        <v>207</v>
      </c>
      <c r="BX280" s="1" t="s">
        <v>239</v>
      </c>
      <c r="BY280" s="1" t="s">
        <v>208</v>
      </c>
      <c r="BZ280" s="1" t="s">
        <v>209</v>
      </c>
      <c r="CA280" s="1" t="s">
        <v>210</v>
      </c>
      <c r="CB280" s="1" t="s">
        <v>239</v>
      </c>
      <c r="CC280" s="1" t="s">
        <v>584</v>
      </c>
      <c r="CD280" s="1" t="s">
        <v>206</v>
      </c>
      <c r="CE280" s="1" t="s">
        <v>207</v>
      </c>
      <c r="CF280" s="1" t="s">
        <v>239</v>
      </c>
      <c r="CG280" s="1" t="s">
        <v>454</v>
      </c>
      <c r="CH280" s="1" t="s">
        <v>209</v>
      </c>
      <c r="CI280" s="1" t="s">
        <v>210</v>
      </c>
      <c r="CJ280" s="1" t="s">
        <v>239</v>
      </c>
      <c r="CK280" s="1" t="s">
        <v>332</v>
      </c>
      <c r="CL280" s="1" t="s">
        <v>209</v>
      </c>
      <c r="CM280" s="1" t="s">
        <v>210</v>
      </c>
      <c r="CN280" s="1" t="s">
        <v>239</v>
      </c>
      <c r="CO280" s="1" t="s">
        <v>1351</v>
      </c>
      <c r="CP280" s="1" t="s">
        <v>209</v>
      </c>
      <c r="CQ280" s="1" t="s">
        <v>210</v>
      </c>
      <c r="CR280" s="1" t="s">
        <v>239</v>
      </c>
      <c r="CS280" s="1" t="s">
        <v>784</v>
      </c>
      <c r="CT280" s="1" t="s">
        <v>206</v>
      </c>
      <c r="CU280" s="1" t="s">
        <v>207</v>
      </c>
      <c r="CW280" s="1" t="s">
        <v>4387</v>
      </c>
      <c r="CX280" s="1" t="s">
        <v>206</v>
      </c>
      <c r="CY280" s="1" t="s">
        <v>207</v>
      </c>
      <c r="CZ280" s="1" t="s">
        <v>239</v>
      </c>
      <c r="DA280" s="1" t="s">
        <v>200</v>
      </c>
      <c r="DC280" s="1" t="s">
        <v>678</v>
      </c>
      <c r="DD280" s="1" t="s">
        <v>436</v>
      </c>
      <c r="DE280" s="1" t="s">
        <v>273</v>
      </c>
      <c r="DF280" s="1" t="s">
        <v>219</v>
      </c>
      <c r="DG280" s="1" t="s">
        <v>1553</v>
      </c>
      <c r="DH280" s="1" t="s">
        <v>856</v>
      </c>
      <c r="DI280" s="1" t="s">
        <v>703</v>
      </c>
      <c r="DJ280" s="1" t="s">
        <v>857</v>
      </c>
      <c r="DL280" s="1" t="s">
        <v>224</v>
      </c>
      <c r="DM280" s="1" t="s">
        <v>229</v>
      </c>
      <c r="DN280" s="1" t="s">
        <v>548</v>
      </c>
      <c r="DO280" s="1" t="s">
        <v>4388</v>
      </c>
      <c r="DP280" s="1" t="s">
        <v>340</v>
      </c>
      <c r="DQ280" s="1" t="s">
        <v>4389</v>
      </c>
      <c r="DR280" s="1" t="s">
        <v>229</v>
      </c>
      <c r="DU280" s="1" t="s">
        <v>4390</v>
      </c>
      <c r="DV280" s="1" t="s">
        <v>4391</v>
      </c>
      <c r="DW280" s="1" t="s">
        <v>370</v>
      </c>
      <c r="DX280" s="1" t="s">
        <v>280</v>
      </c>
      <c r="DY280" s="1" t="s">
        <v>4392</v>
      </c>
      <c r="DZ280" s="1" t="s">
        <v>4393</v>
      </c>
      <c r="EB280" s="1" t="s">
        <v>863</v>
      </c>
      <c r="EC280" s="1" t="s">
        <v>237</v>
      </c>
      <c r="ED280" s="1" t="s">
        <v>407</v>
      </c>
      <c r="EG280" s="1" t="s">
        <v>598</v>
      </c>
      <c r="EH280" s="1" t="s">
        <v>557</v>
      </c>
      <c r="EI280" s="1" t="s">
        <v>450</v>
      </c>
      <c r="EJ280" s="1" t="s">
        <v>1121</v>
      </c>
      <c r="EK280" s="1" t="s">
        <v>1432</v>
      </c>
      <c r="EL280" s="1" t="s">
        <v>497</v>
      </c>
      <c r="EM280" s="1" t="s">
        <v>42</v>
      </c>
      <c r="EN280" s="1" t="s">
        <v>301</v>
      </c>
      <c r="EP280" s="1" t="s">
        <v>3202</v>
      </c>
      <c r="EQ280" s="1" t="s">
        <v>209</v>
      </c>
      <c r="ER280" s="1" t="s">
        <v>210</v>
      </c>
      <c r="ES280" s="1" t="s">
        <v>239</v>
      </c>
      <c r="ET280" s="1" t="s">
        <v>1378</v>
      </c>
      <c r="EU280" s="1" t="s">
        <v>42</v>
      </c>
      <c r="EV280" s="1" t="s">
        <v>301</v>
      </c>
      <c r="EX280" s="1" t="s">
        <v>721</v>
      </c>
      <c r="EY280" s="1" t="s">
        <v>209</v>
      </c>
      <c r="EZ280" s="1" t="s">
        <v>210</v>
      </c>
      <c r="FB280" s="1" t="s">
        <v>433</v>
      </c>
      <c r="FC280" s="1" t="s">
        <v>42</v>
      </c>
      <c r="FD280" s="1" t="s">
        <v>301</v>
      </c>
      <c r="FF280" s="1" t="s">
        <v>239</v>
      </c>
      <c r="FG280" s="1" t="s">
        <v>192</v>
      </c>
      <c r="FH280" s="1" t="s">
        <v>192</v>
      </c>
      <c r="FJ280" s="1" t="s">
        <v>498</v>
      </c>
      <c r="FK280" s="1" t="s">
        <v>229</v>
      </c>
      <c r="FL280" s="1" t="s">
        <v>1358</v>
      </c>
      <c r="FM280" s="1">
        <v>23591.0</v>
      </c>
      <c r="FN280" s="1" t="s">
        <v>2134</v>
      </c>
      <c r="FO280" s="1" t="s">
        <v>2135</v>
      </c>
      <c r="FP280" s="1">
        <v>230500.0</v>
      </c>
      <c r="FQ280" s="1" t="s">
        <v>2136</v>
      </c>
      <c r="FU280" s="1" t="s">
        <v>4394</v>
      </c>
      <c r="FV280" s="1" t="s">
        <v>200</v>
      </c>
      <c r="FW280" s="1" t="s">
        <v>290</v>
      </c>
      <c r="FZ280" s="1" t="s">
        <v>229</v>
      </c>
      <c r="GA280" s="1" t="s">
        <v>291</v>
      </c>
      <c r="GB280" s="2">
        <v>42111.0</v>
      </c>
      <c r="GC280" s="1" t="s">
        <v>4395</v>
      </c>
    </row>
    <row r="281">
      <c r="A281" s="1">
        <v>181900.0</v>
      </c>
      <c r="B281" s="1" t="s">
        <v>185</v>
      </c>
      <c r="C281" s="1" t="str">
        <f>"08769984"</f>
        <v>08769984</v>
      </c>
      <c r="D281" s="1" t="s">
        <v>186</v>
      </c>
      <c r="F281" s="1" t="str">
        <f>"8069"</f>
        <v>8069</v>
      </c>
      <c r="G281" s="2">
        <v>41949.0</v>
      </c>
      <c r="H281" s="1">
        <v>184900.0</v>
      </c>
      <c r="I281" s="1">
        <v>142.0</v>
      </c>
      <c r="J281" s="1">
        <v>184900.0</v>
      </c>
      <c r="K281" s="2">
        <v>42090.0</v>
      </c>
      <c r="L281" s="1">
        <v>142.0</v>
      </c>
      <c r="M281" s="2">
        <v>42090.0</v>
      </c>
      <c r="N281" s="1" t="s">
        <v>187</v>
      </c>
      <c r="O281" s="2">
        <v>42125.0</v>
      </c>
      <c r="P281" s="1">
        <v>602837.0</v>
      </c>
      <c r="Q281" s="1">
        <v>60296.0</v>
      </c>
      <c r="R281" s="1">
        <v>2.5</v>
      </c>
      <c r="S281" s="1">
        <v>7834.0</v>
      </c>
      <c r="T281" s="1" t="s">
        <v>4396</v>
      </c>
      <c r="U281" s="1" t="s">
        <v>189</v>
      </c>
      <c r="V281" s="1" t="s">
        <v>190</v>
      </c>
      <c r="W281" s="1">
        <v>60619.0</v>
      </c>
      <c r="Y281" s="1" t="s">
        <v>4397</v>
      </c>
      <c r="Z281" s="1">
        <v>1917.0</v>
      </c>
      <c r="AA281" s="1" t="s">
        <v>192</v>
      </c>
      <c r="AB281" s="1" t="s">
        <v>193</v>
      </c>
      <c r="AD281" s="1" t="s">
        <v>194</v>
      </c>
      <c r="AE281" s="1" t="s">
        <v>195</v>
      </c>
      <c r="AF281" s="1" t="s">
        <v>637</v>
      </c>
      <c r="AH281" s="1">
        <v>3596.0</v>
      </c>
      <c r="AI281" s="1">
        <v>0.0826</v>
      </c>
      <c r="AK281" s="1">
        <v>8.0</v>
      </c>
      <c r="AL281" s="1">
        <v>3.0</v>
      </c>
      <c r="AM281" s="1">
        <v>3.0</v>
      </c>
      <c r="AN281" s="1">
        <v>0.0</v>
      </c>
      <c r="AO281" s="1" t="s">
        <v>229</v>
      </c>
      <c r="AQ281" s="1" t="s">
        <v>198</v>
      </c>
      <c r="AR281" s="1" t="s">
        <v>192</v>
      </c>
      <c r="AS281" s="1" t="s">
        <v>199</v>
      </c>
      <c r="AT281" s="1">
        <v>2.0</v>
      </c>
      <c r="AV281" s="1" t="s">
        <v>200</v>
      </c>
      <c r="AW281" s="1">
        <v>1505.29</v>
      </c>
      <c r="AX281" s="1">
        <v>2013.0</v>
      </c>
      <c r="AZ281" s="1" t="s">
        <v>200</v>
      </c>
      <c r="BA281" s="1" t="str">
        <f>"20274250300000"</f>
        <v>20274250300000</v>
      </c>
      <c r="BC281" s="1">
        <v>1700.0</v>
      </c>
      <c r="BD281" s="1">
        <v>181900.0</v>
      </c>
      <c r="BE281" s="2">
        <v>41949.0</v>
      </c>
      <c r="BF281" s="2" t="s">
        <v>4398</v>
      </c>
      <c r="BH281" s="1">
        <v>0.0</v>
      </c>
      <c r="BK281" s="1" t="s">
        <v>204</v>
      </c>
      <c r="BL281" s="1" t="str">
        <f>"0"</f>
        <v>0</v>
      </c>
      <c r="BM281" s="1" t="str">
        <f>"500"</f>
        <v>500</v>
      </c>
      <c r="BN281" s="1">
        <v>0.0</v>
      </c>
      <c r="BO281" s="1">
        <v>7834.0</v>
      </c>
      <c r="BQ281" s="1">
        <v>299.0</v>
      </c>
      <c r="BR281" s="1">
        <v>299.0</v>
      </c>
      <c r="BS281" s="1">
        <v>299.0</v>
      </c>
      <c r="BU281" s="1" t="s">
        <v>4399</v>
      </c>
      <c r="BV281" s="1" t="s">
        <v>206</v>
      </c>
      <c r="BW281" s="1" t="s">
        <v>207</v>
      </c>
      <c r="BY281" s="1" t="s">
        <v>2633</v>
      </c>
      <c r="BZ281" s="1" t="s">
        <v>209</v>
      </c>
      <c r="CA281" s="1" t="s">
        <v>210</v>
      </c>
      <c r="CC281" s="1" t="s">
        <v>454</v>
      </c>
      <c r="CD281" s="1" t="s">
        <v>206</v>
      </c>
      <c r="CE281" s="1" t="s">
        <v>207</v>
      </c>
      <c r="CG281" s="1" t="s">
        <v>758</v>
      </c>
      <c r="CH281" s="1" t="s">
        <v>209</v>
      </c>
      <c r="CI281" s="1" t="s">
        <v>210</v>
      </c>
      <c r="CK281" s="1" t="s">
        <v>700</v>
      </c>
      <c r="CL281" s="1" t="s">
        <v>206</v>
      </c>
      <c r="CM281" s="1" t="s">
        <v>207</v>
      </c>
      <c r="CO281" s="1" t="s">
        <v>1245</v>
      </c>
      <c r="CP281" s="1" t="s">
        <v>42</v>
      </c>
      <c r="CQ281" s="1" t="s">
        <v>268</v>
      </c>
      <c r="CS281" s="1" t="s">
        <v>1503</v>
      </c>
      <c r="CT281" s="1" t="s">
        <v>206</v>
      </c>
      <c r="CU281" s="1" t="s">
        <v>207</v>
      </c>
      <c r="CW281" s="1" t="s">
        <v>4063</v>
      </c>
      <c r="CX281" s="1" t="s">
        <v>42</v>
      </c>
      <c r="CY281" s="1" t="s">
        <v>268</v>
      </c>
      <c r="DA281" s="1" t="s">
        <v>200</v>
      </c>
      <c r="DC281" s="1" t="s">
        <v>216</v>
      </c>
      <c r="DE281" s="1" t="s">
        <v>273</v>
      </c>
      <c r="DF281" s="1" t="s">
        <v>219</v>
      </c>
      <c r="DH281" s="1" t="s">
        <v>220</v>
      </c>
      <c r="DI281" s="1" t="s">
        <v>366</v>
      </c>
      <c r="DJ281" s="1" t="s">
        <v>222</v>
      </c>
      <c r="DL281" s="1" t="s">
        <v>224</v>
      </c>
      <c r="DM281" s="1" t="s">
        <v>229</v>
      </c>
      <c r="DQ281" s="1" t="s">
        <v>228</v>
      </c>
      <c r="DR281" s="1" t="s">
        <v>229</v>
      </c>
      <c r="DS281" s="1" t="s">
        <v>230</v>
      </c>
      <c r="DV281" s="1" t="s">
        <v>232</v>
      </c>
      <c r="DW281" s="1" t="s">
        <v>279</v>
      </c>
      <c r="DX281" s="1" t="s">
        <v>234</v>
      </c>
      <c r="DY281" s="1" t="s">
        <v>553</v>
      </c>
      <c r="EA281" s="1" t="s">
        <v>644</v>
      </c>
      <c r="EC281" s="1" t="s">
        <v>237</v>
      </c>
      <c r="EE281" s="1" t="s">
        <v>493</v>
      </c>
      <c r="EM281" s="1" t="s">
        <v>238</v>
      </c>
      <c r="EQ281" s="1" t="s">
        <v>238</v>
      </c>
      <c r="EU281" s="1" t="s">
        <v>238</v>
      </c>
      <c r="EY281" s="1" t="s">
        <v>238</v>
      </c>
      <c r="FC281" s="1" t="s">
        <v>238</v>
      </c>
      <c r="FF281" s="1" t="s">
        <v>239</v>
      </c>
      <c r="FG281" s="1" t="s">
        <v>192</v>
      </c>
      <c r="FH281" s="1" t="s">
        <v>192</v>
      </c>
      <c r="FJ281" s="1" t="s">
        <v>648</v>
      </c>
      <c r="FK281" s="1" t="s">
        <v>229</v>
      </c>
      <c r="FL281" s="1" t="s">
        <v>649</v>
      </c>
      <c r="FM281" s="1">
        <v>60296.0</v>
      </c>
      <c r="FN281" s="1" t="s">
        <v>650</v>
      </c>
      <c r="FO281" s="1" t="s">
        <v>651</v>
      </c>
      <c r="FP281" s="1">
        <v>602837.0</v>
      </c>
      <c r="FQ281" s="1" t="s">
        <v>652</v>
      </c>
      <c r="FR281" s="1">
        <v>602442.0</v>
      </c>
      <c r="FU281" s="1" t="s">
        <v>653</v>
      </c>
      <c r="FV281" s="1" t="s">
        <v>200</v>
      </c>
      <c r="FW281" s="1" t="s">
        <v>654</v>
      </c>
      <c r="FX281" s="1" t="s">
        <v>655</v>
      </c>
      <c r="FZ281" s="1" t="s">
        <v>229</v>
      </c>
      <c r="GA281" s="1" t="s">
        <v>291</v>
      </c>
      <c r="GB281" s="2">
        <v>42125.0</v>
      </c>
      <c r="GC281" s="1" t="s">
        <v>1372</v>
      </c>
    </row>
    <row r="282">
      <c r="A282" s="1">
        <v>506000.0</v>
      </c>
      <c r="B282" s="1" t="s">
        <v>185</v>
      </c>
      <c r="C282" s="1" t="str">
        <f>"08773204"</f>
        <v>08773204</v>
      </c>
      <c r="D282" s="1" t="s">
        <v>186</v>
      </c>
      <c r="F282" s="1" t="str">
        <f>"8016"</f>
        <v>8016</v>
      </c>
      <c r="G282" s="2">
        <v>41954.0</v>
      </c>
      <c r="H282" s="1">
        <v>525000.0</v>
      </c>
      <c r="I282" s="1">
        <v>96.0</v>
      </c>
      <c r="J282" s="1">
        <v>499900.0</v>
      </c>
      <c r="K282" s="2">
        <v>42049.0</v>
      </c>
      <c r="L282" s="1">
        <v>96.0</v>
      </c>
      <c r="M282" s="2">
        <v>42049.0</v>
      </c>
      <c r="N282" s="1" t="s">
        <v>187</v>
      </c>
      <c r="O282" s="2">
        <v>42090.0</v>
      </c>
      <c r="P282" s="1">
        <v>110870.0</v>
      </c>
      <c r="Q282" s="1">
        <v>84730.0</v>
      </c>
      <c r="R282" s="1">
        <v>6001.0</v>
      </c>
      <c r="S282" s="1">
        <v>3224.0</v>
      </c>
      <c r="T282" s="1" t="s">
        <v>4400</v>
      </c>
      <c r="U282" s="1" t="s">
        <v>189</v>
      </c>
      <c r="V282" s="1" t="s">
        <v>190</v>
      </c>
      <c r="W282" s="1">
        <v>60618.0</v>
      </c>
      <c r="Y282" s="1" t="s">
        <v>4401</v>
      </c>
      <c r="Z282" s="1" t="s">
        <v>296</v>
      </c>
      <c r="AA282" s="1" t="s">
        <v>192</v>
      </c>
      <c r="AB282" s="1" t="s">
        <v>193</v>
      </c>
      <c r="AD282" s="1" t="s">
        <v>194</v>
      </c>
      <c r="AE282" s="1" t="s">
        <v>195</v>
      </c>
      <c r="AF282" s="1" t="s">
        <v>196</v>
      </c>
      <c r="AH282" s="1" t="s">
        <v>741</v>
      </c>
      <c r="AK282" s="1">
        <v>9.0</v>
      </c>
      <c r="AL282" s="1">
        <v>3.0</v>
      </c>
      <c r="AM282" s="1">
        <v>3.0</v>
      </c>
      <c r="AN282" s="1">
        <v>1.0</v>
      </c>
      <c r="AO282" s="1" t="s">
        <v>198</v>
      </c>
      <c r="AP282" s="1">
        <v>0.0</v>
      </c>
      <c r="AQ282" s="1" t="s">
        <v>198</v>
      </c>
      <c r="AR282" s="1" t="s">
        <v>192</v>
      </c>
      <c r="AS282" s="1" t="s">
        <v>510</v>
      </c>
      <c r="AT282" s="1">
        <v>1.0</v>
      </c>
      <c r="AU282" s="1">
        <v>1.0</v>
      </c>
      <c r="AV282" s="1" t="s">
        <v>200</v>
      </c>
      <c r="AW282" s="1">
        <v>3016.0</v>
      </c>
      <c r="AX282" s="1">
        <v>2013.0</v>
      </c>
      <c r="AY282" s="1" t="s">
        <v>229</v>
      </c>
      <c r="AZ282" s="1" t="s">
        <v>200</v>
      </c>
      <c r="BA282" s="1" t="str">
        <f>"13144230270000"</f>
        <v>13144230270000</v>
      </c>
      <c r="BB282" s="1" t="s">
        <v>200</v>
      </c>
      <c r="BC282" s="1">
        <v>2200.0</v>
      </c>
      <c r="BD282" s="1">
        <v>506000.0</v>
      </c>
      <c r="BE282" s="2">
        <v>41954.0</v>
      </c>
      <c r="BF282" s="2" t="s">
        <v>4402</v>
      </c>
      <c r="BH282" s="1">
        <v>0.0</v>
      </c>
      <c r="BK282" s="1" t="s">
        <v>204</v>
      </c>
      <c r="BL282" s="1" t="str">
        <f>"4100"</f>
        <v>4100</v>
      </c>
      <c r="BM282" s="1" t="str">
        <f>"0"</f>
        <v>0</v>
      </c>
      <c r="BN282" s="1">
        <v>3224.0</v>
      </c>
      <c r="BO282" s="1">
        <v>0.0</v>
      </c>
      <c r="BQ282" s="1">
        <v>299.0</v>
      </c>
      <c r="BR282" s="1">
        <v>299.0</v>
      </c>
      <c r="BS282" s="1">
        <v>299.0</v>
      </c>
      <c r="BU282" s="1" t="s">
        <v>479</v>
      </c>
      <c r="BV282" s="1" t="s">
        <v>206</v>
      </c>
      <c r="BW282" s="1" t="s">
        <v>207</v>
      </c>
      <c r="BY282" s="1" t="s">
        <v>4403</v>
      </c>
      <c r="BZ282" s="1" t="s">
        <v>209</v>
      </c>
      <c r="CA282" s="1" t="s">
        <v>207</v>
      </c>
      <c r="CC282" s="1" t="s">
        <v>815</v>
      </c>
      <c r="CD282" s="1" t="s">
        <v>206</v>
      </c>
      <c r="CE282" s="1" t="s">
        <v>207</v>
      </c>
      <c r="CG282" s="1" t="s">
        <v>300</v>
      </c>
      <c r="CH282" s="1" t="s">
        <v>209</v>
      </c>
      <c r="CI282" s="1" t="s">
        <v>207</v>
      </c>
      <c r="CK282" s="1" t="s">
        <v>1672</v>
      </c>
      <c r="CL282" s="1" t="s">
        <v>209</v>
      </c>
      <c r="CM282" s="1" t="s">
        <v>207</v>
      </c>
      <c r="CO282" s="1" t="s">
        <v>269</v>
      </c>
      <c r="CP282" s="1" t="s">
        <v>42</v>
      </c>
      <c r="CQ282" s="1" t="s">
        <v>210</v>
      </c>
      <c r="CS282" s="1" t="s">
        <v>743</v>
      </c>
      <c r="CT282" s="1" t="s">
        <v>206</v>
      </c>
      <c r="CU282" s="1" t="s">
        <v>207</v>
      </c>
      <c r="CW282" s="1" t="s">
        <v>434</v>
      </c>
      <c r="CX282" s="1" t="s">
        <v>42</v>
      </c>
      <c r="CY282" s="1" t="s">
        <v>210</v>
      </c>
      <c r="DA282" s="1" t="s">
        <v>200</v>
      </c>
      <c r="DC282" s="1" t="s">
        <v>642</v>
      </c>
      <c r="DD282" s="1" t="s">
        <v>518</v>
      </c>
      <c r="DE282" s="1" t="s">
        <v>273</v>
      </c>
      <c r="DF282" s="1" t="s">
        <v>219</v>
      </c>
      <c r="DG282" s="1" t="s">
        <v>337</v>
      </c>
      <c r="DH282" s="1" t="s">
        <v>307</v>
      </c>
      <c r="DI282" s="1" t="s">
        <v>1141</v>
      </c>
      <c r="DJ282" s="1" t="s">
        <v>3345</v>
      </c>
      <c r="DK282" s="1" t="s">
        <v>223</v>
      </c>
      <c r="DL282" s="1" t="s">
        <v>224</v>
      </c>
      <c r="DM282" s="1" t="s">
        <v>1464</v>
      </c>
      <c r="DO282" s="1" t="s">
        <v>549</v>
      </c>
      <c r="DP282" s="1" t="s">
        <v>276</v>
      </c>
      <c r="DQ282" s="1" t="s">
        <v>718</v>
      </c>
      <c r="DR282" s="1" t="s">
        <v>229</v>
      </c>
      <c r="DS282" s="1" t="s">
        <v>230</v>
      </c>
      <c r="DU282" s="1" t="s">
        <v>2070</v>
      </c>
      <c r="DV282" s="1" t="s">
        <v>598</v>
      </c>
      <c r="DW282" s="1" t="s">
        <v>667</v>
      </c>
      <c r="DX282" s="1" t="s">
        <v>234</v>
      </c>
      <c r="DZ282" s="1" t="s">
        <v>310</v>
      </c>
      <c r="EC282" s="1" t="s">
        <v>237</v>
      </c>
      <c r="EH282" s="1" t="s">
        <v>598</v>
      </c>
      <c r="EM282" s="1" t="s">
        <v>238</v>
      </c>
      <c r="EP282" s="1" t="s">
        <v>1137</v>
      </c>
      <c r="EQ282" s="1" t="s">
        <v>206</v>
      </c>
      <c r="ER282" s="1" t="s">
        <v>207</v>
      </c>
      <c r="EU282" s="1" t="s">
        <v>238</v>
      </c>
      <c r="EY282" s="1" t="s">
        <v>238</v>
      </c>
      <c r="FC282" s="1" t="s">
        <v>238</v>
      </c>
      <c r="FF282" s="1" t="s">
        <v>239</v>
      </c>
      <c r="FG282" s="1" t="s">
        <v>192</v>
      </c>
      <c r="FH282" s="1" t="s">
        <v>192</v>
      </c>
      <c r="FJ282" s="1" t="s">
        <v>4404</v>
      </c>
      <c r="FK282" s="1" t="s">
        <v>229</v>
      </c>
      <c r="FL282" s="1" t="s">
        <v>4405</v>
      </c>
      <c r="FM282" s="1">
        <v>84793.0</v>
      </c>
      <c r="FN282" s="1" t="s">
        <v>4406</v>
      </c>
      <c r="FO282" s="1" t="s">
        <v>4407</v>
      </c>
      <c r="FP282" s="1">
        <v>176962.0</v>
      </c>
      <c r="FU282" s="1" t="s">
        <v>4408</v>
      </c>
      <c r="FV282" s="1" t="s">
        <v>200</v>
      </c>
      <c r="FW282" s="1" t="s">
        <v>290</v>
      </c>
      <c r="FX282" s="1" t="s">
        <v>246</v>
      </c>
      <c r="FZ282" s="1" t="s">
        <v>229</v>
      </c>
      <c r="GA282" s="1" t="s">
        <v>291</v>
      </c>
      <c r="GB282" s="2">
        <v>42095.0</v>
      </c>
      <c r="GC282" s="1" t="s">
        <v>4409</v>
      </c>
    </row>
    <row r="283">
      <c r="A283" s="1">
        <v>41000.0</v>
      </c>
      <c r="B283" s="1" t="s">
        <v>185</v>
      </c>
      <c r="C283" s="1" t="str">
        <f>"08770741"</f>
        <v>08770741</v>
      </c>
      <c r="D283" s="1" t="s">
        <v>186</v>
      </c>
      <c r="F283" s="1" t="str">
        <f>"8050"</f>
        <v>8050</v>
      </c>
      <c r="G283" s="2">
        <v>41949.0</v>
      </c>
      <c r="H283" s="1">
        <v>43000.0</v>
      </c>
      <c r="I283" s="1">
        <v>36.0</v>
      </c>
      <c r="J283" s="1">
        <v>43000.0</v>
      </c>
      <c r="K283" s="2">
        <v>41982.0</v>
      </c>
      <c r="L283" s="1">
        <v>36.0</v>
      </c>
      <c r="M283" s="2">
        <v>41982.0</v>
      </c>
      <c r="N283" s="1" t="s">
        <v>249</v>
      </c>
      <c r="O283" s="2">
        <v>42013.0</v>
      </c>
      <c r="P283" s="1">
        <v>82004.0</v>
      </c>
      <c r="Q283" s="1">
        <v>8707.0</v>
      </c>
      <c r="S283" s="1">
        <v>9621.0</v>
      </c>
      <c r="T283" s="1" t="s">
        <v>4410</v>
      </c>
      <c r="U283" s="1" t="s">
        <v>189</v>
      </c>
      <c r="V283" s="1" t="s">
        <v>190</v>
      </c>
      <c r="W283" s="1">
        <v>60628.0</v>
      </c>
      <c r="Y283" s="1" t="s">
        <v>4411</v>
      </c>
      <c r="Z283" s="1">
        <v>1942.0</v>
      </c>
      <c r="AA283" s="1" t="s">
        <v>192</v>
      </c>
      <c r="AB283" s="1" t="s">
        <v>193</v>
      </c>
      <c r="AD283" s="1" t="s">
        <v>194</v>
      </c>
      <c r="AE283" s="1" t="s">
        <v>195</v>
      </c>
      <c r="AF283" s="1" t="s">
        <v>637</v>
      </c>
      <c r="AH283" s="1" t="s">
        <v>359</v>
      </c>
      <c r="AI283" s="1">
        <v>0.0</v>
      </c>
      <c r="AK283" s="1">
        <v>8.0</v>
      </c>
      <c r="AL283" s="1">
        <v>3.0</v>
      </c>
      <c r="AM283" s="1">
        <v>2.0</v>
      </c>
      <c r="AN283" s="1">
        <v>0.0</v>
      </c>
      <c r="AO283" s="1" t="s">
        <v>229</v>
      </c>
      <c r="AQ283" s="1" t="s">
        <v>198</v>
      </c>
      <c r="AR283" s="1" t="s">
        <v>192</v>
      </c>
      <c r="AS283" s="1" t="s">
        <v>828</v>
      </c>
      <c r="AU283" s="1">
        <v>2.0</v>
      </c>
      <c r="AV283" s="1" t="s">
        <v>200</v>
      </c>
      <c r="AW283" s="1">
        <v>1654.2</v>
      </c>
      <c r="AX283" s="1">
        <v>2013.0</v>
      </c>
      <c r="AY283" s="1" t="s">
        <v>229</v>
      </c>
      <c r="AZ283" s="1" t="s">
        <v>200</v>
      </c>
      <c r="BA283" s="1" t="str">
        <f>"25112030880000"</f>
        <v>25112030880000</v>
      </c>
      <c r="BC283" s="1">
        <v>1100.0</v>
      </c>
      <c r="BD283" s="1">
        <v>41000.0</v>
      </c>
      <c r="BE283" s="2">
        <v>41947.0</v>
      </c>
      <c r="BF283" s="2" t="s">
        <v>4412</v>
      </c>
      <c r="BH283" s="1">
        <v>0.0</v>
      </c>
      <c r="BK283" s="1" t="s">
        <v>204</v>
      </c>
      <c r="BL283" s="1" t="str">
        <f>"0"</f>
        <v>0</v>
      </c>
      <c r="BM283" s="1" t="str">
        <f>"1200"</f>
        <v>1200</v>
      </c>
      <c r="BN283" s="1">
        <v>0.0</v>
      </c>
      <c r="BO283" s="1">
        <v>9500.0</v>
      </c>
      <c r="BQ283" s="1">
        <v>299.0</v>
      </c>
      <c r="BR283" s="1">
        <v>299.0</v>
      </c>
      <c r="BS283" s="1">
        <v>299.0</v>
      </c>
      <c r="BU283" s="1" t="s">
        <v>2082</v>
      </c>
      <c r="BV283" s="1" t="s">
        <v>206</v>
      </c>
      <c r="BW283" s="1" t="s">
        <v>207</v>
      </c>
      <c r="BY283" s="1" t="s">
        <v>214</v>
      </c>
      <c r="BZ283" s="1" t="s">
        <v>209</v>
      </c>
      <c r="CA283" s="1" t="s">
        <v>207</v>
      </c>
      <c r="CC283" s="1" t="s">
        <v>3182</v>
      </c>
      <c r="CD283" s="1" t="s">
        <v>206</v>
      </c>
      <c r="CE283" s="1" t="s">
        <v>207</v>
      </c>
      <c r="CG283" s="1" t="s">
        <v>1351</v>
      </c>
      <c r="CH283" s="1" t="s">
        <v>209</v>
      </c>
      <c r="CI283" s="1" t="s">
        <v>207</v>
      </c>
      <c r="CK283" s="1" t="s">
        <v>516</v>
      </c>
      <c r="CL283" s="1" t="s">
        <v>209</v>
      </c>
      <c r="CM283" s="1" t="s">
        <v>207</v>
      </c>
      <c r="CO283" s="1" t="s">
        <v>1760</v>
      </c>
      <c r="CP283" s="1" t="s">
        <v>42</v>
      </c>
      <c r="CS283" s="1" t="s">
        <v>4413</v>
      </c>
      <c r="CT283" s="1" t="s">
        <v>206</v>
      </c>
      <c r="CU283" s="1" t="s">
        <v>588</v>
      </c>
      <c r="CW283" s="1" t="s">
        <v>264</v>
      </c>
      <c r="CX283" s="1" t="s">
        <v>206</v>
      </c>
      <c r="CY283" s="1" t="s">
        <v>207</v>
      </c>
      <c r="DA283" s="1" t="s">
        <v>200</v>
      </c>
      <c r="DC283" s="1" t="s">
        <v>1399</v>
      </c>
      <c r="DE283" s="1" t="s">
        <v>229</v>
      </c>
      <c r="DF283" s="1" t="s">
        <v>619</v>
      </c>
      <c r="DG283" s="1" t="s">
        <v>337</v>
      </c>
      <c r="DH283" s="1" t="s">
        <v>307</v>
      </c>
      <c r="DJ283" s="1" t="s">
        <v>222</v>
      </c>
      <c r="DK283" s="1" t="s">
        <v>223</v>
      </c>
      <c r="DL283" s="1" t="s">
        <v>858</v>
      </c>
      <c r="DM283" s="1" t="s">
        <v>229</v>
      </c>
      <c r="DQ283" s="1" t="s">
        <v>228</v>
      </c>
      <c r="DR283" s="1" t="s">
        <v>229</v>
      </c>
      <c r="DV283" s="1" t="s">
        <v>232</v>
      </c>
      <c r="DW283" s="1" t="s">
        <v>279</v>
      </c>
      <c r="DX283" s="1" t="s">
        <v>234</v>
      </c>
      <c r="DY283" s="1" t="s">
        <v>704</v>
      </c>
      <c r="EA283" s="1" t="s">
        <v>1075</v>
      </c>
      <c r="EC283" s="1" t="s">
        <v>645</v>
      </c>
      <c r="EF283" s="1" t="s">
        <v>834</v>
      </c>
      <c r="EM283" s="1" t="s">
        <v>238</v>
      </c>
      <c r="EQ283" s="1" t="s">
        <v>238</v>
      </c>
      <c r="EU283" s="1" t="s">
        <v>238</v>
      </c>
      <c r="EY283" s="1" t="s">
        <v>238</v>
      </c>
      <c r="FC283" s="1" t="s">
        <v>238</v>
      </c>
      <c r="FF283" s="1" t="s">
        <v>239</v>
      </c>
      <c r="FG283" s="1" t="s">
        <v>192</v>
      </c>
      <c r="FH283" s="1" t="s">
        <v>192</v>
      </c>
      <c r="FJ283" s="1" t="s">
        <v>2156</v>
      </c>
      <c r="FK283" s="1" t="s">
        <v>229</v>
      </c>
      <c r="FL283" s="1" t="s">
        <v>4260</v>
      </c>
      <c r="FM283" s="1">
        <v>40335.0</v>
      </c>
      <c r="FN283" s="1" t="s">
        <v>4261</v>
      </c>
      <c r="FO283" s="1" t="s">
        <v>4262</v>
      </c>
      <c r="FP283" s="1">
        <v>401613.0</v>
      </c>
      <c r="FQ283" s="1" t="s">
        <v>4261</v>
      </c>
      <c r="FR283" s="1">
        <v>143977.0</v>
      </c>
      <c r="FU283" s="1" t="s">
        <v>4414</v>
      </c>
      <c r="FV283" s="1" t="s">
        <v>200</v>
      </c>
      <c r="FW283" s="1" t="s">
        <v>290</v>
      </c>
      <c r="FX283" s="1" t="s">
        <v>655</v>
      </c>
      <c r="FZ283" s="1" t="s">
        <v>229</v>
      </c>
      <c r="GA283" s="1" t="s">
        <v>291</v>
      </c>
      <c r="GB283" s="2">
        <v>42013.0</v>
      </c>
      <c r="GC283" s="1" t="s">
        <v>4264</v>
      </c>
    </row>
    <row r="284">
      <c r="A284" s="1">
        <v>193000.0</v>
      </c>
      <c r="B284" s="1" t="s">
        <v>185</v>
      </c>
      <c r="C284" s="1" t="str">
        <f>"08786561"</f>
        <v>08786561</v>
      </c>
      <c r="D284" s="1" t="s">
        <v>186</v>
      </c>
      <c r="F284" s="1" t="str">
        <f>"554"</f>
        <v>554</v>
      </c>
      <c r="G284" s="2">
        <v>41957.0</v>
      </c>
      <c r="H284" s="1">
        <v>199000.0</v>
      </c>
      <c r="I284" s="1">
        <v>219.0</v>
      </c>
      <c r="J284" s="1">
        <v>199000.0</v>
      </c>
      <c r="K284" s="2">
        <v>42010.0</v>
      </c>
      <c r="L284" s="1">
        <v>54.0</v>
      </c>
      <c r="M284" s="2">
        <v>42010.0</v>
      </c>
      <c r="N284" s="1" t="s">
        <v>249</v>
      </c>
      <c r="O284" s="2">
        <v>42062.0</v>
      </c>
      <c r="P284" s="1">
        <v>849.0</v>
      </c>
      <c r="Q284" s="1">
        <v>49.0</v>
      </c>
      <c r="S284" s="1">
        <v>5.0</v>
      </c>
      <c r="T284" s="1" t="s">
        <v>4415</v>
      </c>
      <c r="U284" s="1" t="s">
        <v>1015</v>
      </c>
      <c r="V284" s="1" t="s">
        <v>2212</v>
      </c>
      <c r="W284" s="1">
        <v>60554.0</v>
      </c>
      <c r="Y284" s="1" t="s">
        <v>4416</v>
      </c>
      <c r="Z284" s="1">
        <v>1973.0</v>
      </c>
      <c r="AA284" s="1" t="s">
        <v>192</v>
      </c>
      <c r="AB284" s="1" t="s">
        <v>467</v>
      </c>
      <c r="AC284" s="1" t="s">
        <v>4417</v>
      </c>
      <c r="AD284" s="1" t="s">
        <v>1887</v>
      </c>
      <c r="AE284" s="1" t="s">
        <v>325</v>
      </c>
      <c r="AF284" s="1" t="s">
        <v>1887</v>
      </c>
      <c r="AH284" s="1" t="s">
        <v>4418</v>
      </c>
      <c r="AI284" s="1">
        <v>0.48</v>
      </c>
      <c r="AK284" s="1">
        <v>10.0</v>
      </c>
      <c r="AL284" s="1">
        <v>4.0</v>
      </c>
      <c r="AM284" s="1">
        <v>2.0</v>
      </c>
      <c r="AN284" s="1">
        <v>2.0</v>
      </c>
      <c r="AO284" s="1" t="s">
        <v>198</v>
      </c>
      <c r="AP284" s="1">
        <v>1.0</v>
      </c>
      <c r="AQ284" s="1" t="s">
        <v>198</v>
      </c>
      <c r="AR284" s="1" t="s">
        <v>192</v>
      </c>
      <c r="AS284" s="1" t="s">
        <v>199</v>
      </c>
      <c r="AT284" s="1">
        <v>2.1</v>
      </c>
      <c r="AV284" s="1" t="s">
        <v>200</v>
      </c>
      <c r="AW284" s="1">
        <v>7922.0</v>
      </c>
      <c r="AX284" s="1">
        <v>2013.0</v>
      </c>
      <c r="AY284" s="1" t="s">
        <v>229</v>
      </c>
      <c r="AZ284" s="1" t="s">
        <v>200</v>
      </c>
      <c r="BA284" s="1" t="str">
        <f>"1410454006"</f>
        <v>1410454006</v>
      </c>
      <c r="BC284" s="1">
        <v>2419.0</v>
      </c>
      <c r="BD284" s="1">
        <v>193000.0</v>
      </c>
      <c r="BE284" s="2">
        <v>41957.0</v>
      </c>
      <c r="BF284" s="2" t="s">
        <v>4419</v>
      </c>
      <c r="BG284" s="1" t="s">
        <v>4420</v>
      </c>
      <c r="BH284" s="1">
        <v>148.0</v>
      </c>
      <c r="BI284" s="1" t="s">
        <v>4421</v>
      </c>
      <c r="BJ284" s="1" t="s">
        <v>3831</v>
      </c>
      <c r="BK284" s="1" t="s">
        <v>474</v>
      </c>
      <c r="BL284" s="1" t="str">
        <f t="shared" ref="BL284:BM284" si="197">""</f>
        <v/>
      </c>
      <c r="BM284" s="1" t="str">
        <f t="shared" si="197"/>
        <v/>
      </c>
      <c r="BQ284" s="1">
        <v>129.0</v>
      </c>
      <c r="BR284" s="1">
        <v>129.0</v>
      </c>
      <c r="BS284" s="1">
        <v>129.0</v>
      </c>
      <c r="BU284" s="1" t="s">
        <v>260</v>
      </c>
      <c r="BV284" s="1" t="s">
        <v>206</v>
      </c>
      <c r="BW284" s="1" t="s">
        <v>210</v>
      </c>
      <c r="BY284" s="1" t="s">
        <v>480</v>
      </c>
      <c r="BZ284" s="1" t="s">
        <v>209</v>
      </c>
      <c r="CA284" s="1" t="s">
        <v>210</v>
      </c>
      <c r="CC284" s="1" t="s">
        <v>392</v>
      </c>
      <c r="CD284" s="1" t="s">
        <v>206</v>
      </c>
      <c r="CE284" s="1" t="s">
        <v>210</v>
      </c>
      <c r="CG284" s="1" t="s">
        <v>331</v>
      </c>
      <c r="CH284" s="1" t="s">
        <v>209</v>
      </c>
      <c r="CI284" s="1" t="s">
        <v>210</v>
      </c>
      <c r="CK284" s="1" t="s">
        <v>212</v>
      </c>
      <c r="CL284" s="1" t="s">
        <v>209</v>
      </c>
      <c r="CM284" s="1" t="s">
        <v>210</v>
      </c>
      <c r="CO284" s="1" t="s">
        <v>262</v>
      </c>
      <c r="CP284" s="1" t="s">
        <v>209</v>
      </c>
      <c r="CQ284" s="1" t="s">
        <v>210</v>
      </c>
      <c r="CS284" s="1" t="s">
        <v>758</v>
      </c>
      <c r="CT284" s="1" t="s">
        <v>206</v>
      </c>
      <c r="CU284" s="1" t="s">
        <v>207</v>
      </c>
      <c r="CW284" s="1" t="s">
        <v>783</v>
      </c>
      <c r="CX284" s="1" t="s">
        <v>206</v>
      </c>
      <c r="CY284" s="1" t="s">
        <v>207</v>
      </c>
      <c r="DA284" s="1" t="s">
        <v>200</v>
      </c>
      <c r="DC284" s="1" t="s">
        <v>517</v>
      </c>
      <c r="DD284" s="1" t="s">
        <v>396</v>
      </c>
      <c r="DE284" s="1" t="s">
        <v>273</v>
      </c>
      <c r="DF284" s="1" t="s">
        <v>219</v>
      </c>
      <c r="DG284" s="1" t="s">
        <v>4422</v>
      </c>
      <c r="DH284" s="1" t="s">
        <v>220</v>
      </c>
      <c r="DI284" s="1" t="s">
        <v>221</v>
      </c>
      <c r="DJ284" s="1" t="s">
        <v>222</v>
      </c>
      <c r="DL284" s="1" t="s">
        <v>224</v>
      </c>
      <c r="DM284" s="1" t="s">
        <v>338</v>
      </c>
      <c r="DN284" s="1" t="s">
        <v>666</v>
      </c>
      <c r="DO284" s="1" t="s">
        <v>4423</v>
      </c>
      <c r="DP284" s="1" t="s">
        <v>340</v>
      </c>
      <c r="DQ284" s="1" t="s">
        <v>441</v>
      </c>
      <c r="DR284" s="1" t="s">
        <v>4424</v>
      </c>
      <c r="DS284" s="1" t="s">
        <v>368</v>
      </c>
      <c r="DU284" s="1" t="s">
        <v>1840</v>
      </c>
      <c r="DV284" s="1" t="s">
        <v>4425</v>
      </c>
      <c r="DW284" s="1" t="s">
        <v>764</v>
      </c>
      <c r="DX284" s="1" t="s">
        <v>234</v>
      </c>
      <c r="DY284" s="1" t="s">
        <v>4426</v>
      </c>
      <c r="DZ284" s="1" t="s">
        <v>310</v>
      </c>
      <c r="EA284" s="1" t="s">
        <v>447</v>
      </c>
      <c r="EB284" s="1" t="s">
        <v>684</v>
      </c>
      <c r="EC284" s="1" t="s">
        <v>237</v>
      </c>
      <c r="ED284" s="1" t="s">
        <v>407</v>
      </c>
      <c r="EG284" s="1" t="s">
        <v>450</v>
      </c>
      <c r="EH284" s="1" t="s">
        <v>451</v>
      </c>
      <c r="EL284" s="1" t="s">
        <v>4353</v>
      </c>
      <c r="EM284" s="1" t="s">
        <v>42</v>
      </c>
      <c r="EN284" s="1" t="s">
        <v>301</v>
      </c>
      <c r="EP284" s="1" t="s">
        <v>784</v>
      </c>
      <c r="EQ284" s="1" t="s">
        <v>42</v>
      </c>
      <c r="ER284" s="1" t="s">
        <v>301</v>
      </c>
      <c r="EU284" s="1" t="s">
        <v>238</v>
      </c>
      <c r="EY284" s="1" t="s">
        <v>238</v>
      </c>
      <c r="FC284" s="1" t="s">
        <v>238</v>
      </c>
      <c r="FF284" s="1" t="s">
        <v>239</v>
      </c>
      <c r="FG284" s="1" t="s">
        <v>192</v>
      </c>
      <c r="FH284" s="1" t="s">
        <v>192</v>
      </c>
      <c r="FJ284" s="1" t="s">
        <v>4427</v>
      </c>
      <c r="FK284" s="1" t="s">
        <v>229</v>
      </c>
      <c r="FL284" s="1" t="s">
        <v>893</v>
      </c>
      <c r="FM284" s="1">
        <v>604.0</v>
      </c>
      <c r="FN284" s="1" t="s">
        <v>894</v>
      </c>
      <c r="FO284" s="1" t="s">
        <v>2207</v>
      </c>
      <c r="FP284" s="1">
        <v>681.0</v>
      </c>
      <c r="FQ284" s="1" t="s">
        <v>2208</v>
      </c>
      <c r="FR284" s="1">
        <v>824.0</v>
      </c>
      <c r="FS284" s="1" t="s">
        <v>2209</v>
      </c>
      <c r="FU284" s="1" t="s">
        <v>2210</v>
      </c>
      <c r="FV284" s="1" t="s">
        <v>200</v>
      </c>
      <c r="FW284" s="1" t="s">
        <v>530</v>
      </c>
      <c r="FZ284" s="1" t="s">
        <v>229</v>
      </c>
      <c r="GA284" s="1" t="s">
        <v>291</v>
      </c>
      <c r="GB284" s="2">
        <v>42062.0</v>
      </c>
    </row>
    <row r="285">
      <c r="A285" s="1">
        <v>28299.0</v>
      </c>
      <c r="B285" s="1" t="s">
        <v>185</v>
      </c>
      <c r="C285" s="1" t="str">
        <f>"08770070"</f>
        <v>08770070</v>
      </c>
      <c r="D285" s="1" t="s">
        <v>186</v>
      </c>
      <c r="F285" s="1" t="str">
        <f>"8025"</f>
        <v>8025</v>
      </c>
      <c r="G285" s="2">
        <v>41949.0</v>
      </c>
      <c r="H285" s="1">
        <v>26000.0</v>
      </c>
      <c r="I285" s="1">
        <v>27.0</v>
      </c>
      <c r="J285" s="1">
        <v>26000.0</v>
      </c>
      <c r="K285" s="2">
        <v>41975.0</v>
      </c>
      <c r="L285" s="1">
        <v>27.0</v>
      </c>
      <c r="M285" s="2">
        <v>41975.0</v>
      </c>
      <c r="N285" s="1" t="s">
        <v>249</v>
      </c>
      <c r="O285" s="2">
        <v>42059.0</v>
      </c>
      <c r="P285" s="1">
        <v>843574.0</v>
      </c>
      <c r="Q285" s="1">
        <v>84291.0</v>
      </c>
      <c r="S285" s="1">
        <v>716.0</v>
      </c>
      <c r="T285" s="1" t="s">
        <v>4428</v>
      </c>
      <c r="U285" s="1" t="s">
        <v>189</v>
      </c>
      <c r="V285" s="1" t="s">
        <v>190</v>
      </c>
      <c r="W285" s="1">
        <v>60644.0</v>
      </c>
      <c r="Y285" s="1" t="s">
        <v>4429</v>
      </c>
      <c r="Z285" s="1">
        <v>1898.0</v>
      </c>
      <c r="AA285" s="1" t="s">
        <v>192</v>
      </c>
      <c r="AB285" s="1" t="s">
        <v>193</v>
      </c>
      <c r="AD285" s="1" t="s">
        <v>194</v>
      </c>
      <c r="AE285" s="1" t="s">
        <v>195</v>
      </c>
      <c r="AF285" s="1" t="s">
        <v>827</v>
      </c>
      <c r="AH285" s="1" t="s">
        <v>4430</v>
      </c>
      <c r="AK285" s="1">
        <v>9.0</v>
      </c>
      <c r="AL285" s="1">
        <v>4.0</v>
      </c>
      <c r="AM285" s="1">
        <v>3.0</v>
      </c>
      <c r="AN285" s="1">
        <v>0.0</v>
      </c>
      <c r="AO285" s="1" t="s">
        <v>229</v>
      </c>
      <c r="AQ285" s="1" t="s">
        <v>198</v>
      </c>
      <c r="AR285" s="1" t="s">
        <v>192</v>
      </c>
      <c r="AS285" s="1" t="s">
        <v>199</v>
      </c>
      <c r="AT285" s="1">
        <v>2.0</v>
      </c>
      <c r="AV285" s="1" t="s">
        <v>200</v>
      </c>
      <c r="AW285" s="1">
        <v>2411.08</v>
      </c>
      <c r="AX285" s="1">
        <v>2013.0</v>
      </c>
      <c r="AY285" s="1" t="s">
        <v>229</v>
      </c>
      <c r="AZ285" s="1" t="s">
        <v>200</v>
      </c>
      <c r="BA285" s="1" t="str">
        <f>"16091040350000"</f>
        <v>16091040350000</v>
      </c>
      <c r="BC285" s="1">
        <v>0.0</v>
      </c>
      <c r="BD285" s="1">
        <v>28299.0</v>
      </c>
      <c r="BE285" s="2">
        <v>41949.0</v>
      </c>
      <c r="BF285" s="1" t="s">
        <v>4431</v>
      </c>
      <c r="BH285" s="1">
        <v>0.0</v>
      </c>
      <c r="BK285" s="1" t="s">
        <v>204</v>
      </c>
      <c r="BL285" s="1" t="str">
        <f>"716"</f>
        <v>716</v>
      </c>
      <c r="BM285" s="1" t="str">
        <f t="shared" ref="BM285:BM286" si="198">"0"</f>
        <v>0</v>
      </c>
      <c r="BN285" s="1">
        <v>5300.0</v>
      </c>
      <c r="BO285" s="1">
        <v>0.0</v>
      </c>
      <c r="BQ285" s="1">
        <v>299.0</v>
      </c>
      <c r="BR285" s="1">
        <v>299.0</v>
      </c>
      <c r="BS285" s="1">
        <v>299.0</v>
      </c>
      <c r="BU285" s="1" t="s">
        <v>479</v>
      </c>
      <c r="BV285" s="1" t="s">
        <v>206</v>
      </c>
      <c r="BW285" s="1" t="s">
        <v>207</v>
      </c>
      <c r="BY285" s="1" t="s">
        <v>334</v>
      </c>
      <c r="BZ285" s="1" t="s">
        <v>209</v>
      </c>
      <c r="CA285" s="1" t="s">
        <v>210</v>
      </c>
      <c r="CC285" s="1" t="s">
        <v>542</v>
      </c>
      <c r="CD285" s="1" t="s">
        <v>206</v>
      </c>
      <c r="CG285" s="1" t="s">
        <v>302</v>
      </c>
      <c r="CH285" s="1" t="s">
        <v>209</v>
      </c>
      <c r="CI285" s="1" t="s">
        <v>210</v>
      </c>
      <c r="CK285" s="1" t="s">
        <v>269</v>
      </c>
      <c r="CL285" s="1" t="s">
        <v>209</v>
      </c>
      <c r="CM285" s="1" t="s">
        <v>210</v>
      </c>
      <c r="CO285" s="1" t="s">
        <v>269</v>
      </c>
      <c r="CP285" s="1" t="s">
        <v>206</v>
      </c>
      <c r="CQ285" s="1" t="s">
        <v>207</v>
      </c>
      <c r="CS285" s="1" t="s">
        <v>1183</v>
      </c>
      <c r="CT285" s="1" t="s">
        <v>206</v>
      </c>
      <c r="CU285" s="1" t="s">
        <v>207</v>
      </c>
      <c r="CW285" s="1" t="s">
        <v>334</v>
      </c>
      <c r="CX285" s="1" t="s">
        <v>267</v>
      </c>
      <c r="CY285" s="1" t="s">
        <v>268</v>
      </c>
      <c r="DA285" s="1" t="s">
        <v>200</v>
      </c>
      <c r="DC285" s="1" t="s">
        <v>642</v>
      </c>
      <c r="DD285" s="1" t="s">
        <v>518</v>
      </c>
      <c r="DE285" s="1" t="s">
        <v>229</v>
      </c>
      <c r="DF285" s="1" t="s">
        <v>219</v>
      </c>
      <c r="DG285" s="1" t="s">
        <v>337</v>
      </c>
      <c r="DH285" s="1" t="s">
        <v>307</v>
      </c>
      <c r="DJ285" s="1" t="s">
        <v>222</v>
      </c>
      <c r="DL285" s="1" t="s">
        <v>224</v>
      </c>
      <c r="DM285" s="1" t="s">
        <v>229</v>
      </c>
      <c r="DP285" s="1" t="s">
        <v>276</v>
      </c>
      <c r="DQ285" s="1" t="s">
        <v>718</v>
      </c>
      <c r="DR285" s="1" t="s">
        <v>229</v>
      </c>
      <c r="DS285" s="1" t="s">
        <v>230</v>
      </c>
      <c r="DU285" s="1" t="s">
        <v>2070</v>
      </c>
      <c r="DV285" s="1" t="s">
        <v>4432</v>
      </c>
      <c r="DW285" s="1" t="s">
        <v>2602</v>
      </c>
      <c r="DX285" s="1" t="s">
        <v>234</v>
      </c>
      <c r="EC285" s="1" t="s">
        <v>237</v>
      </c>
      <c r="EG285" s="1" t="s">
        <v>598</v>
      </c>
      <c r="EH285" s="1" t="s">
        <v>374</v>
      </c>
      <c r="EL285" s="1" t="s">
        <v>303</v>
      </c>
      <c r="EM285" s="1" t="s">
        <v>267</v>
      </c>
      <c r="EN285" s="1" t="s">
        <v>268</v>
      </c>
      <c r="EP285" s="1" t="s">
        <v>814</v>
      </c>
      <c r="EQ285" s="1" t="s">
        <v>206</v>
      </c>
      <c r="ER285" s="1" t="s">
        <v>268</v>
      </c>
      <c r="EU285" s="1" t="s">
        <v>238</v>
      </c>
      <c r="EY285" s="1" t="s">
        <v>238</v>
      </c>
      <c r="FC285" s="1" t="s">
        <v>238</v>
      </c>
      <c r="FF285" s="1" t="s">
        <v>239</v>
      </c>
      <c r="FG285" s="1" t="s">
        <v>192</v>
      </c>
      <c r="FH285" s="1" t="s">
        <v>192</v>
      </c>
      <c r="FJ285" s="1" t="s">
        <v>524</v>
      </c>
      <c r="FK285" s="1" t="s">
        <v>229</v>
      </c>
      <c r="FL285" s="1" t="s">
        <v>4433</v>
      </c>
      <c r="FM285" s="1">
        <v>18235.0</v>
      </c>
      <c r="FN285" s="1" t="s">
        <v>4434</v>
      </c>
      <c r="FO285" s="1" t="s">
        <v>4435</v>
      </c>
      <c r="FP285" s="1">
        <v>189819.0</v>
      </c>
      <c r="FQ285" s="1" t="s">
        <v>4436</v>
      </c>
      <c r="FU285" s="1" t="s">
        <v>4437</v>
      </c>
      <c r="FV285" s="1" t="s">
        <v>200</v>
      </c>
      <c r="FW285" s="1" t="s">
        <v>290</v>
      </c>
      <c r="FX285" s="1" t="s">
        <v>238</v>
      </c>
      <c r="FZ285" s="1" t="s">
        <v>229</v>
      </c>
      <c r="GA285" s="1" t="s">
        <v>291</v>
      </c>
      <c r="GB285" s="2">
        <v>42062.0</v>
      </c>
      <c r="GC285" s="1" t="s">
        <v>4438</v>
      </c>
    </row>
    <row r="286">
      <c r="A286" s="1">
        <v>306870.0</v>
      </c>
      <c r="B286" s="1" t="s">
        <v>185</v>
      </c>
      <c r="C286" s="1" t="str">
        <f>"08769546"</f>
        <v>08769546</v>
      </c>
      <c r="D286" s="1" t="s">
        <v>186</v>
      </c>
      <c r="F286" s="1" t="str">
        <f>"110"</f>
        <v>110</v>
      </c>
      <c r="G286" s="2">
        <v>41948.0</v>
      </c>
      <c r="H286" s="1">
        <v>304215.0</v>
      </c>
      <c r="I286" s="1">
        <v>2.0</v>
      </c>
      <c r="J286" s="1">
        <v>304215.0</v>
      </c>
      <c r="K286" s="2">
        <v>41948.0</v>
      </c>
      <c r="L286" s="1">
        <v>1.0</v>
      </c>
      <c r="M286" s="2">
        <v>41948.0</v>
      </c>
      <c r="N286" s="1" t="s">
        <v>187</v>
      </c>
      <c r="O286" s="2">
        <v>42145.0</v>
      </c>
      <c r="P286" s="1">
        <v>82623.0</v>
      </c>
      <c r="Q286" s="1">
        <v>8089.0</v>
      </c>
      <c r="S286" s="1">
        <v>3593.0</v>
      </c>
      <c r="T286" s="1" t="s">
        <v>4439</v>
      </c>
      <c r="U286" s="1" t="s">
        <v>1174</v>
      </c>
      <c r="V286" s="1" t="s">
        <v>807</v>
      </c>
      <c r="W286" s="1">
        <v>60110.0</v>
      </c>
      <c r="Y286" s="1" t="s">
        <v>1175</v>
      </c>
      <c r="Z286" s="1">
        <v>2014.0</v>
      </c>
      <c r="AA286" s="1" t="s">
        <v>200</v>
      </c>
      <c r="AB286" s="1" t="s">
        <v>467</v>
      </c>
      <c r="AC286" s="1" t="s">
        <v>1176</v>
      </c>
      <c r="AD286" s="1" t="s">
        <v>809</v>
      </c>
      <c r="AE286" s="1" t="s">
        <v>325</v>
      </c>
      <c r="AF286" s="1" t="s">
        <v>810</v>
      </c>
      <c r="AG286" s="1" t="s">
        <v>4440</v>
      </c>
      <c r="AH286" s="1" t="s">
        <v>1178</v>
      </c>
      <c r="AK286" s="1">
        <v>9.0</v>
      </c>
      <c r="AL286" s="1">
        <v>4.0</v>
      </c>
      <c r="AM286" s="1">
        <v>2.0</v>
      </c>
      <c r="AN286" s="1">
        <v>1.0</v>
      </c>
      <c r="AO286" s="1" t="s">
        <v>198</v>
      </c>
      <c r="AP286" s="1">
        <v>0.0</v>
      </c>
      <c r="AQ286" s="1" t="s">
        <v>472</v>
      </c>
      <c r="AR286" s="1" t="s">
        <v>200</v>
      </c>
      <c r="AS286" s="1" t="s">
        <v>199</v>
      </c>
      <c r="AT286" s="1">
        <v>2.0</v>
      </c>
      <c r="AV286" s="1" t="s">
        <v>200</v>
      </c>
      <c r="AW286" s="1" t="s">
        <v>575</v>
      </c>
      <c r="AX286" s="1">
        <v>2012.0</v>
      </c>
      <c r="AY286" s="1" t="s">
        <v>1179</v>
      </c>
      <c r="AZ286" s="1" t="s">
        <v>200</v>
      </c>
      <c r="BA286" s="1" t="str">
        <f>"0307376024"</f>
        <v>0307376024</v>
      </c>
      <c r="BC286" s="1">
        <v>2875.0</v>
      </c>
      <c r="BD286" s="1">
        <v>306870.0</v>
      </c>
      <c r="BE286" s="2">
        <v>41948.0</v>
      </c>
      <c r="BF286" s="1" t="s">
        <v>4441</v>
      </c>
      <c r="BG286" s="1" t="s">
        <v>1181</v>
      </c>
      <c r="BH286" s="1">
        <v>37.0</v>
      </c>
      <c r="BI286" s="1" t="s">
        <v>1093</v>
      </c>
      <c r="BJ286" s="1" t="s">
        <v>1182</v>
      </c>
      <c r="BK286" s="1" t="s">
        <v>474</v>
      </c>
      <c r="BL286" s="1" t="str">
        <f>"18"</f>
        <v>18</v>
      </c>
      <c r="BM286" s="1" t="str">
        <f t="shared" si="198"/>
        <v>0</v>
      </c>
      <c r="BN286" s="1">
        <v>37.0</v>
      </c>
      <c r="BO286" s="1">
        <v>0.0</v>
      </c>
      <c r="BQ286" s="1">
        <v>300.0</v>
      </c>
      <c r="BR286" s="1">
        <v>300.0</v>
      </c>
      <c r="BS286" s="1">
        <v>300.0</v>
      </c>
      <c r="BV286" s="1" t="s">
        <v>204</v>
      </c>
      <c r="BY286" s="1" t="s">
        <v>1063</v>
      </c>
      <c r="BZ286" s="1" t="s">
        <v>209</v>
      </c>
      <c r="CA286" s="1" t="s">
        <v>210</v>
      </c>
      <c r="CB286" s="1" t="s">
        <v>229</v>
      </c>
      <c r="CC286" s="1" t="s">
        <v>1417</v>
      </c>
      <c r="CD286" s="1" t="s">
        <v>206</v>
      </c>
      <c r="CE286" s="1" t="s">
        <v>207</v>
      </c>
      <c r="CF286" s="1" t="s">
        <v>229</v>
      </c>
      <c r="CG286" s="1" t="s">
        <v>363</v>
      </c>
      <c r="CH286" s="1" t="s">
        <v>209</v>
      </c>
      <c r="CI286" s="1" t="s">
        <v>210</v>
      </c>
      <c r="CJ286" s="1" t="s">
        <v>229</v>
      </c>
      <c r="CK286" s="1" t="s">
        <v>699</v>
      </c>
      <c r="CL286" s="1" t="s">
        <v>209</v>
      </c>
      <c r="CM286" s="1" t="s">
        <v>210</v>
      </c>
      <c r="CN286" s="1" t="s">
        <v>229</v>
      </c>
      <c r="CO286" s="1" t="s">
        <v>331</v>
      </c>
      <c r="CP286" s="1" t="s">
        <v>209</v>
      </c>
      <c r="CQ286" s="1" t="s">
        <v>210</v>
      </c>
      <c r="CR286" s="1" t="s">
        <v>229</v>
      </c>
      <c r="CS286" s="1" t="s">
        <v>729</v>
      </c>
      <c r="CT286" s="1" t="s">
        <v>206</v>
      </c>
      <c r="CU286" s="1" t="s">
        <v>207</v>
      </c>
      <c r="CV286" s="1" t="s">
        <v>229</v>
      </c>
      <c r="CW286" s="1" t="s">
        <v>1350</v>
      </c>
      <c r="CX286" s="1" t="s">
        <v>206</v>
      </c>
      <c r="CY286" s="1" t="s">
        <v>210</v>
      </c>
      <c r="CZ286" s="1" t="s">
        <v>229</v>
      </c>
      <c r="DA286" s="1" t="s">
        <v>192</v>
      </c>
      <c r="DB286" s="2">
        <v>42035.0</v>
      </c>
      <c r="DC286" s="1" t="s">
        <v>744</v>
      </c>
      <c r="DD286" s="1" t="s">
        <v>306</v>
      </c>
      <c r="DE286" s="1" t="s">
        <v>273</v>
      </c>
      <c r="DF286" s="1" t="s">
        <v>219</v>
      </c>
      <c r="DG286" s="1" t="s">
        <v>482</v>
      </c>
      <c r="DH286" s="1" t="s">
        <v>220</v>
      </c>
      <c r="DI286" s="1" t="s">
        <v>1021</v>
      </c>
      <c r="DJ286" s="1" t="s">
        <v>222</v>
      </c>
      <c r="DK286" s="1" t="s">
        <v>223</v>
      </c>
      <c r="DL286" s="1" t="s">
        <v>223</v>
      </c>
      <c r="DM286" s="1" t="s">
        <v>338</v>
      </c>
      <c r="DN286" s="1" t="s">
        <v>548</v>
      </c>
      <c r="DP286" s="1" t="s">
        <v>227</v>
      </c>
      <c r="DQ286" s="1" t="s">
        <v>441</v>
      </c>
      <c r="DR286" s="1" t="s">
        <v>1185</v>
      </c>
      <c r="DS286" s="1" t="s">
        <v>591</v>
      </c>
      <c r="DT286" s="1" t="s">
        <v>1186</v>
      </c>
      <c r="DU286" s="1" t="s">
        <v>1187</v>
      </c>
      <c r="DV286" s="1" t="s">
        <v>1188</v>
      </c>
      <c r="DW286" s="1" t="s">
        <v>444</v>
      </c>
      <c r="DX286" s="1" t="s">
        <v>234</v>
      </c>
      <c r="DY286" s="1" t="s">
        <v>1189</v>
      </c>
      <c r="EA286" s="1" t="s">
        <v>344</v>
      </c>
      <c r="EC286" s="1" t="s">
        <v>237</v>
      </c>
      <c r="EH286" s="1" t="s">
        <v>341</v>
      </c>
      <c r="EJ286" s="1" t="s">
        <v>494</v>
      </c>
      <c r="EM286" s="1" t="s">
        <v>238</v>
      </c>
      <c r="EP286" s="1" t="s">
        <v>1068</v>
      </c>
      <c r="EQ286" s="1" t="s">
        <v>209</v>
      </c>
      <c r="ER286" s="1" t="s">
        <v>210</v>
      </c>
      <c r="ES286" s="1" t="s">
        <v>229</v>
      </c>
      <c r="EU286" s="1" t="s">
        <v>238</v>
      </c>
      <c r="EX286" s="1" t="s">
        <v>303</v>
      </c>
      <c r="EY286" s="1" t="s">
        <v>206</v>
      </c>
      <c r="EZ286" s="1" t="s">
        <v>210</v>
      </c>
      <c r="FA286" s="1" t="s">
        <v>229</v>
      </c>
      <c r="FC286" s="1" t="s">
        <v>238</v>
      </c>
      <c r="FF286" s="1" t="s">
        <v>239</v>
      </c>
      <c r="FG286" s="1" t="s">
        <v>192</v>
      </c>
      <c r="FH286" s="1" t="s">
        <v>192</v>
      </c>
      <c r="FJ286" s="1" t="s">
        <v>1191</v>
      </c>
      <c r="FK286" s="1" t="s">
        <v>229</v>
      </c>
      <c r="FL286" s="1" t="s">
        <v>1192</v>
      </c>
      <c r="FM286" s="1">
        <v>8702.0</v>
      </c>
      <c r="FN286" s="1" t="s">
        <v>1193</v>
      </c>
      <c r="FO286" s="1" t="s">
        <v>1194</v>
      </c>
      <c r="FP286" s="1">
        <v>21163.0</v>
      </c>
      <c r="FQ286" s="1" t="s">
        <v>1195</v>
      </c>
      <c r="FU286" s="1" t="s">
        <v>4442</v>
      </c>
      <c r="FV286" s="1" t="s">
        <v>200</v>
      </c>
      <c r="FW286" s="1" t="s">
        <v>1197</v>
      </c>
      <c r="FZ286" s="1" t="s">
        <v>229</v>
      </c>
      <c r="GA286" s="1" t="s">
        <v>291</v>
      </c>
      <c r="GB286" s="2">
        <v>42146.0</v>
      </c>
      <c r="GC286" s="1" t="s">
        <v>4443</v>
      </c>
    </row>
    <row r="287">
      <c r="A287" s="1">
        <v>310000.0</v>
      </c>
      <c r="B287" s="1" t="s">
        <v>185</v>
      </c>
      <c r="C287" s="1" t="str">
        <f>"08772603"</f>
        <v>08772603</v>
      </c>
      <c r="D287" s="1" t="s">
        <v>186</v>
      </c>
      <c r="F287" s="1" t="str">
        <f>"554"</f>
        <v>554</v>
      </c>
      <c r="G287" s="2">
        <v>41953.0</v>
      </c>
      <c r="H287" s="1">
        <v>329900.0</v>
      </c>
      <c r="I287" s="1">
        <v>95.0</v>
      </c>
      <c r="J287" s="1">
        <v>319900.0</v>
      </c>
      <c r="K287" s="2">
        <v>42047.0</v>
      </c>
      <c r="L287" s="1">
        <v>95.0</v>
      </c>
      <c r="M287" s="2">
        <v>42047.0</v>
      </c>
      <c r="N287" s="1" t="s">
        <v>187</v>
      </c>
      <c r="O287" s="2">
        <v>42065.0</v>
      </c>
      <c r="P287" s="1">
        <v>131992.0</v>
      </c>
      <c r="Q287" s="1">
        <v>17790.0</v>
      </c>
      <c r="S287" s="1">
        <v>328.0</v>
      </c>
      <c r="T287" s="1" t="s">
        <v>4444</v>
      </c>
      <c r="U287" s="1" t="s">
        <v>420</v>
      </c>
      <c r="V287" s="1" t="s">
        <v>2212</v>
      </c>
      <c r="W287" s="1">
        <v>60554.0</v>
      </c>
      <c r="Y287" s="1" t="s">
        <v>4445</v>
      </c>
      <c r="Z287" s="1">
        <v>2004.0</v>
      </c>
      <c r="AA287" s="1" t="s">
        <v>200</v>
      </c>
      <c r="AB287" s="1" t="s">
        <v>467</v>
      </c>
      <c r="AC287" s="1" t="s">
        <v>2910</v>
      </c>
      <c r="AD287" s="1" t="s">
        <v>1887</v>
      </c>
      <c r="AE287" s="1" t="s">
        <v>325</v>
      </c>
      <c r="AF287" s="1" t="s">
        <v>1887</v>
      </c>
      <c r="AH287" s="1" t="s">
        <v>4446</v>
      </c>
      <c r="AK287" s="1">
        <v>11.0</v>
      </c>
      <c r="AL287" s="1">
        <v>4.0</v>
      </c>
      <c r="AM287" s="1">
        <v>3.0</v>
      </c>
      <c r="AN287" s="1">
        <v>1.0</v>
      </c>
      <c r="AO287" s="1" t="s">
        <v>198</v>
      </c>
      <c r="AP287" s="1">
        <v>1.0</v>
      </c>
      <c r="AQ287" s="1" t="s">
        <v>198</v>
      </c>
      <c r="AR287" s="1" t="s">
        <v>200</v>
      </c>
      <c r="AS287" s="1" t="s">
        <v>199</v>
      </c>
      <c r="AT287" s="1">
        <v>2.0</v>
      </c>
      <c r="AV287" s="1" t="s">
        <v>200</v>
      </c>
      <c r="AW287" s="1">
        <v>8430.0</v>
      </c>
      <c r="AX287" s="1">
        <v>2012.0</v>
      </c>
      <c r="AZ287" s="1" t="s">
        <v>200</v>
      </c>
      <c r="BA287" s="1" t="str">
        <f>"1416128041"</f>
        <v>1416128041</v>
      </c>
      <c r="BB287" s="1" t="s">
        <v>200</v>
      </c>
      <c r="BC287" s="1">
        <v>3467.0</v>
      </c>
      <c r="BD287" s="1">
        <v>310000.0</v>
      </c>
      <c r="BE287" s="2">
        <v>41953.0</v>
      </c>
      <c r="BF287" s="2" t="s">
        <v>4447</v>
      </c>
      <c r="BH287" s="1">
        <v>265.0</v>
      </c>
      <c r="BK287" s="1" t="s">
        <v>580</v>
      </c>
      <c r="BL287" s="1" t="str">
        <f t="shared" ref="BL287:BM287" si="199">""</f>
        <v/>
      </c>
      <c r="BM287" s="1" t="str">
        <f t="shared" si="199"/>
        <v/>
      </c>
      <c r="BQ287" s="1">
        <v>302.0</v>
      </c>
      <c r="BR287" s="1">
        <v>302.0</v>
      </c>
      <c r="BS287" s="1">
        <v>302.0</v>
      </c>
      <c r="BU287" s="1" t="s">
        <v>830</v>
      </c>
      <c r="BV287" s="1" t="s">
        <v>206</v>
      </c>
      <c r="BW287" s="1" t="s">
        <v>210</v>
      </c>
      <c r="BY287" s="1" t="s">
        <v>496</v>
      </c>
      <c r="BZ287" s="1" t="s">
        <v>209</v>
      </c>
      <c r="CA287" s="1" t="s">
        <v>210</v>
      </c>
      <c r="CC287" s="1" t="s">
        <v>1417</v>
      </c>
      <c r="CD287" s="1" t="s">
        <v>206</v>
      </c>
      <c r="CE287" s="1" t="s">
        <v>210</v>
      </c>
      <c r="CG287" s="1" t="s">
        <v>830</v>
      </c>
      <c r="CH287" s="1" t="s">
        <v>209</v>
      </c>
      <c r="CI287" s="1" t="s">
        <v>210</v>
      </c>
      <c r="CK287" s="1" t="s">
        <v>1417</v>
      </c>
      <c r="CL287" s="1" t="s">
        <v>209</v>
      </c>
      <c r="CM287" s="1" t="s">
        <v>210</v>
      </c>
      <c r="CO287" s="1" t="s">
        <v>212</v>
      </c>
      <c r="CP287" s="1" t="s">
        <v>209</v>
      </c>
      <c r="CQ287" s="1" t="s">
        <v>210</v>
      </c>
      <c r="CS287" s="1" t="s">
        <v>1064</v>
      </c>
      <c r="CT287" s="1" t="s">
        <v>206</v>
      </c>
      <c r="CU287" s="1" t="s">
        <v>301</v>
      </c>
      <c r="CW287" s="1" t="s">
        <v>2120</v>
      </c>
      <c r="CX287" s="1" t="s">
        <v>206</v>
      </c>
      <c r="CY287" s="1" t="s">
        <v>210</v>
      </c>
      <c r="DA287" s="1" t="s">
        <v>200</v>
      </c>
      <c r="DC287" s="1" t="s">
        <v>481</v>
      </c>
      <c r="DD287" s="1" t="s">
        <v>518</v>
      </c>
      <c r="DE287" s="1" t="s">
        <v>273</v>
      </c>
      <c r="DF287" s="1" t="s">
        <v>219</v>
      </c>
      <c r="DH287" s="1" t="s">
        <v>220</v>
      </c>
      <c r="DI287" s="1" t="s">
        <v>366</v>
      </c>
      <c r="DJ287" s="1" t="s">
        <v>222</v>
      </c>
      <c r="DL287" s="1" t="s">
        <v>223</v>
      </c>
      <c r="DM287" s="1" t="s">
        <v>229</v>
      </c>
      <c r="DN287" s="1" t="s">
        <v>485</v>
      </c>
      <c r="DP287" s="1" t="s">
        <v>276</v>
      </c>
      <c r="DQ287" s="1" t="s">
        <v>228</v>
      </c>
      <c r="DR287" s="1" t="s">
        <v>229</v>
      </c>
      <c r="DV287" s="1" t="s">
        <v>4448</v>
      </c>
      <c r="DW287" s="1" t="s">
        <v>489</v>
      </c>
      <c r="DX287" s="1" t="s">
        <v>234</v>
      </c>
      <c r="DY287" s="1" t="s">
        <v>4449</v>
      </c>
      <c r="DZ287" s="1" t="s">
        <v>310</v>
      </c>
      <c r="EA287" s="1" t="s">
        <v>3308</v>
      </c>
      <c r="EB287" s="1" t="s">
        <v>684</v>
      </c>
      <c r="EC287" s="1" t="s">
        <v>237</v>
      </c>
      <c r="EE287" s="1" t="s">
        <v>493</v>
      </c>
      <c r="EG287" s="1" t="s">
        <v>556</v>
      </c>
      <c r="EH287" s="1" t="s">
        <v>720</v>
      </c>
      <c r="EI287" s="1" t="s">
        <v>1729</v>
      </c>
      <c r="EJ287" s="1" t="s">
        <v>1121</v>
      </c>
      <c r="EL287" s="1" t="s">
        <v>1852</v>
      </c>
      <c r="EM287" s="1" t="s">
        <v>206</v>
      </c>
      <c r="EN287" s="1" t="s">
        <v>301</v>
      </c>
      <c r="EP287" s="1" t="s">
        <v>4450</v>
      </c>
      <c r="EQ287" s="1" t="s">
        <v>206</v>
      </c>
      <c r="ET287" s="1" t="s">
        <v>663</v>
      </c>
      <c r="EU287" s="1" t="s">
        <v>206</v>
      </c>
      <c r="EV287" s="1" t="s">
        <v>301</v>
      </c>
      <c r="EX287" s="1" t="s">
        <v>3805</v>
      </c>
      <c r="EY287" s="1" t="s">
        <v>209</v>
      </c>
      <c r="EZ287" s="1" t="s">
        <v>210</v>
      </c>
      <c r="FC287" s="1" t="s">
        <v>238</v>
      </c>
      <c r="FF287" s="1" t="s">
        <v>239</v>
      </c>
      <c r="FG287" s="1" t="s">
        <v>192</v>
      </c>
      <c r="FH287" s="1" t="s">
        <v>192</v>
      </c>
      <c r="FJ287" s="1" t="s">
        <v>770</v>
      </c>
      <c r="FK287" s="1" t="s">
        <v>348</v>
      </c>
      <c r="FL287" s="1" t="s">
        <v>3553</v>
      </c>
      <c r="FM287" s="1">
        <v>22993.0</v>
      </c>
      <c r="FN287" s="1" t="s">
        <v>3554</v>
      </c>
      <c r="FO287" s="1" t="s">
        <v>3555</v>
      </c>
      <c r="FP287" s="1">
        <v>235152.0</v>
      </c>
      <c r="FQ287" s="1" t="s">
        <v>3556</v>
      </c>
      <c r="FR287" s="1">
        <v>241601.0</v>
      </c>
      <c r="FU287" s="1" t="s">
        <v>3557</v>
      </c>
      <c r="FV287" s="1" t="s">
        <v>200</v>
      </c>
      <c r="FW287" s="1" t="s">
        <v>290</v>
      </c>
      <c r="FZ287" s="1" t="s">
        <v>229</v>
      </c>
      <c r="GA287" s="1" t="s">
        <v>291</v>
      </c>
      <c r="GB287" s="2">
        <v>42065.0</v>
      </c>
      <c r="GC287" s="1" t="s">
        <v>4451</v>
      </c>
    </row>
    <row r="288">
      <c r="A288" s="1">
        <v>76000.0</v>
      </c>
      <c r="B288" s="1" t="s">
        <v>185</v>
      </c>
      <c r="C288" s="1" t="str">
        <f>"08769427"</f>
        <v>08769427</v>
      </c>
      <c r="D288" s="1" t="s">
        <v>186</v>
      </c>
      <c r="F288" s="1" t="str">
        <f>"8058"</f>
        <v>8058</v>
      </c>
      <c r="G288" s="2">
        <v>41948.0</v>
      </c>
      <c r="H288" s="1">
        <v>89900.0</v>
      </c>
      <c r="I288" s="1">
        <v>165.0</v>
      </c>
      <c r="J288" s="1">
        <v>89900.0</v>
      </c>
      <c r="K288" s="2">
        <v>41963.0</v>
      </c>
      <c r="L288" s="1">
        <v>16.0</v>
      </c>
      <c r="M288" s="2">
        <v>41963.0</v>
      </c>
      <c r="N288" s="1" t="s">
        <v>249</v>
      </c>
      <c r="O288" s="2">
        <v>42016.0</v>
      </c>
      <c r="P288" s="1">
        <v>143680.0</v>
      </c>
      <c r="Q288" s="1">
        <v>12555.0</v>
      </c>
      <c r="S288" s="1">
        <v>4629.0</v>
      </c>
      <c r="T288" s="1" t="s">
        <v>4452</v>
      </c>
      <c r="U288" s="1" t="s">
        <v>189</v>
      </c>
      <c r="V288" s="1" t="s">
        <v>190</v>
      </c>
      <c r="W288" s="1">
        <v>60632.0</v>
      </c>
      <c r="Y288" s="1" t="s">
        <v>4453</v>
      </c>
      <c r="Z288" s="1">
        <v>1900.0</v>
      </c>
      <c r="AA288" s="1" t="s">
        <v>192</v>
      </c>
      <c r="AB288" s="1" t="s">
        <v>193</v>
      </c>
      <c r="AD288" s="1" t="s">
        <v>194</v>
      </c>
      <c r="AE288" s="1" t="s">
        <v>195</v>
      </c>
      <c r="AF288" s="1" t="s">
        <v>659</v>
      </c>
      <c r="AH288" s="1" t="s">
        <v>1133</v>
      </c>
      <c r="AK288" s="1">
        <v>9.0</v>
      </c>
      <c r="AL288" s="1">
        <v>4.0</v>
      </c>
      <c r="AM288" s="1">
        <v>2.0</v>
      </c>
      <c r="AN288" s="1">
        <v>0.0</v>
      </c>
      <c r="AO288" s="1" t="s">
        <v>229</v>
      </c>
      <c r="AQ288" s="1" t="s">
        <v>472</v>
      </c>
      <c r="AR288" s="1" t="s">
        <v>200</v>
      </c>
      <c r="AS288" s="1" t="s">
        <v>199</v>
      </c>
      <c r="AT288" s="1">
        <v>4.0</v>
      </c>
      <c r="AV288" s="1" t="s">
        <v>200</v>
      </c>
      <c r="AW288" s="1">
        <v>2570.95</v>
      </c>
      <c r="AX288" s="1">
        <v>2013.0</v>
      </c>
      <c r="AY288" s="1" t="s">
        <v>229</v>
      </c>
      <c r="AZ288" s="1" t="s">
        <v>200</v>
      </c>
      <c r="BA288" s="1" t="str">
        <f>"19014220110000"</f>
        <v>19014220110000</v>
      </c>
      <c r="BB288" s="1" t="s">
        <v>192</v>
      </c>
      <c r="BC288" s="1">
        <v>783.0</v>
      </c>
      <c r="BD288" s="1">
        <v>76000.0</v>
      </c>
      <c r="BE288" s="2">
        <v>41948.0</v>
      </c>
      <c r="BF288" s="2" t="s">
        <v>4454</v>
      </c>
      <c r="BH288" s="1">
        <v>0.0</v>
      </c>
      <c r="BK288" s="1" t="s">
        <v>204</v>
      </c>
      <c r="BL288" s="1" t="str">
        <f t="shared" ref="BL288:BM288" si="200">"0"</f>
        <v>0</v>
      </c>
      <c r="BM288" s="1" t="str">
        <f t="shared" si="200"/>
        <v>0</v>
      </c>
      <c r="BN288" s="1">
        <v>2800.0</v>
      </c>
      <c r="BO288" s="1">
        <v>4629.0</v>
      </c>
      <c r="BQ288" s="1">
        <v>299.0</v>
      </c>
      <c r="BR288" s="1">
        <v>299.0</v>
      </c>
      <c r="BS288" s="1">
        <v>299.0</v>
      </c>
      <c r="BU288" s="1" t="s">
        <v>433</v>
      </c>
      <c r="BV288" s="1" t="s">
        <v>206</v>
      </c>
      <c r="BY288" s="1" t="s">
        <v>516</v>
      </c>
      <c r="BZ288" s="1" t="s">
        <v>267</v>
      </c>
      <c r="CC288" s="1" t="s">
        <v>699</v>
      </c>
      <c r="CD288" s="1" t="s">
        <v>206</v>
      </c>
      <c r="CG288" s="1" t="s">
        <v>798</v>
      </c>
      <c r="CH288" s="1" t="s">
        <v>206</v>
      </c>
      <c r="CK288" s="1" t="s">
        <v>798</v>
      </c>
      <c r="CL288" s="1" t="s">
        <v>206</v>
      </c>
      <c r="CO288" s="1" t="s">
        <v>2047</v>
      </c>
      <c r="CP288" s="1" t="s">
        <v>267</v>
      </c>
      <c r="CS288" s="1" t="s">
        <v>495</v>
      </c>
      <c r="CT288" s="1" t="s">
        <v>206</v>
      </c>
      <c r="CW288" s="1" t="s">
        <v>300</v>
      </c>
      <c r="CX288" s="1" t="s">
        <v>267</v>
      </c>
      <c r="DA288" s="1" t="s">
        <v>200</v>
      </c>
      <c r="DC288" s="1" t="s">
        <v>642</v>
      </c>
      <c r="DE288" s="1" t="s">
        <v>1300</v>
      </c>
      <c r="DF288" s="1" t="s">
        <v>619</v>
      </c>
      <c r="DH288" s="1" t="s">
        <v>365</v>
      </c>
      <c r="DI288" s="1" t="s">
        <v>1463</v>
      </c>
      <c r="DJ288" s="1" t="s">
        <v>222</v>
      </c>
      <c r="DL288" s="1" t="s">
        <v>223</v>
      </c>
      <c r="DM288" s="1" t="s">
        <v>229</v>
      </c>
      <c r="DQ288" s="1" t="s">
        <v>794</v>
      </c>
      <c r="DR288" s="1" t="s">
        <v>229</v>
      </c>
      <c r="DV288" s="1" t="s">
        <v>1407</v>
      </c>
      <c r="DW288" s="1" t="s">
        <v>667</v>
      </c>
      <c r="DX288" s="1" t="s">
        <v>234</v>
      </c>
      <c r="EC288" s="1" t="s">
        <v>685</v>
      </c>
      <c r="EG288" s="1" t="s">
        <v>1407</v>
      </c>
      <c r="EL288" s="1" t="s">
        <v>516</v>
      </c>
      <c r="EM288" s="1" t="s">
        <v>267</v>
      </c>
      <c r="EQ288" s="1" t="s">
        <v>238</v>
      </c>
      <c r="EU288" s="1" t="s">
        <v>238</v>
      </c>
      <c r="EY288" s="1" t="s">
        <v>238</v>
      </c>
      <c r="FC288" s="1" t="s">
        <v>238</v>
      </c>
      <c r="FF288" s="1" t="s">
        <v>239</v>
      </c>
      <c r="FG288" s="1" t="s">
        <v>192</v>
      </c>
      <c r="FH288" s="1" t="s">
        <v>192</v>
      </c>
      <c r="FJ288" s="1" t="s">
        <v>4455</v>
      </c>
      <c r="FK288" s="1" t="s">
        <v>229</v>
      </c>
      <c r="FL288" s="1" t="s">
        <v>2111</v>
      </c>
      <c r="FM288" s="1">
        <v>12555.0</v>
      </c>
      <c r="FN288" s="1" t="s">
        <v>2112</v>
      </c>
      <c r="FO288" s="1" t="s">
        <v>4456</v>
      </c>
      <c r="FP288" s="1">
        <v>143680.0</v>
      </c>
      <c r="FQ288" s="1" t="s">
        <v>4457</v>
      </c>
      <c r="FU288" s="1" t="s">
        <v>4458</v>
      </c>
      <c r="FV288" s="1" t="s">
        <v>200</v>
      </c>
      <c r="FW288" s="1" t="s">
        <v>4459</v>
      </c>
      <c r="FX288" s="1" t="s">
        <v>655</v>
      </c>
      <c r="FZ288" s="1" t="s">
        <v>229</v>
      </c>
      <c r="GA288" s="1" t="s">
        <v>291</v>
      </c>
      <c r="GB288" s="2">
        <v>42016.0</v>
      </c>
      <c r="GC288" s="1" t="s">
        <v>4460</v>
      </c>
    </row>
    <row r="289">
      <c r="A289" s="1">
        <v>342900.0</v>
      </c>
      <c r="B289" s="1" t="s">
        <v>185</v>
      </c>
      <c r="C289" s="1" t="str">
        <f>"08770259"</f>
        <v>08770259</v>
      </c>
      <c r="D289" s="1" t="s">
        <v>186</v>
      </c>
      <c r="F289" s="1" t="str">
        <f>"8015"</f>
        <v>8015</v>
      </c>
      <c r="G289" s="2">
        <v>41949.0</v>
      </c>
      <c r="H289" s="1">
        <v>349900.0</v>
      </c>
      <c r="I289" s="1">
        <v>251.0</v>
      </c>
      <c r="J289" s="1">
        <v>349900.0</v>
      </c>
      <c r="K289" s="2">
        <v>41990.0</v>
      </c>
      <c r="L289" s="1">
        <v>42.0</v>
      </c>
      <c r="M289" s="2">
        <v>41990.0</v>
      </c>
      <c r="N289" s="1" t="s">
        <v>187</v>
      </c>
      <c r="O289" s="2">
        <v>42031.0</v>
      </c>
      <c r="P289" s="1">
        <v>179854.0</v>
      </c>
      <c r="Q289" s="1">
        <v>18705.0</v>
      </c>
      <c r="R289" s="1">
        <v>3.0</v>
      </c>
      <c r="S289" s="1">
        <v>4526.0</v>
      </c>
      <c r="T289" s="1" t="s">
        <v>4461</v>
      </c>
      <c r="U289" s="1" t="s">
        <v>189</v>
      </c>
      <c r="V289" s="1" t="s">
        <v>190</v>
      </c>
      <c r="W289" s="1">
        <v>60630.0</v>
      </c>
      <c r="Y289" s="1" t="s">
        <v>4462</v>
      </c>
      <c r="Z289" s="1">
        <v>1921.0</v>
      </c>
      <c r="AA289" s="1" t="s">
        <v>192</v>
      </c>
      <c r="AB289" s="1" t="s">
        <v>193</v>
      </c>
      <c r="AD289" s="1" t="s">
        <v>194</v>
      </c>
      <c r="AE289" s="1" t="s">
        <v>195</v>
      </c>
      <c r="AF289" s="1" t="s">
        <v>196</v>
      </c>
      <c r="AH289" s="1" t="s">
        <v>4463</v>
      </c>
      <c r="AK289" s="1">
        <v>9.0</v>
      </c>
      <c r="AL289" s="1">
        <v>3.0</v>
      </c>
      <c r="AM289" s="1">
        <v>3.0</v>
      </c>
      <c r="AN289" s="1">
        <v>0.0</v>
      </c>
      <c r="AO289" s="1" t="s">
        <v>229</v>
      </c>
      <c r="AP289" s="1">
        <v>1.0</v>
      </c>
      <c r="AQ289" s="1" t="s">
        <v>198</v>
      </c>
      <c r="AR289" s="1" t="s">
        <v>192</v>
      </c>
      <c r="AS289" s="1" t="s">
        <v>199</v>
      </c>
      <c r="AT289" s="1">
        <v>2.5</v>
      </c>
      <c r="AV289" s="1" t="s">
        <v>200</v>
      </c>
      <c r="AW289" s="1">
        <v>5132.0</v>
      </c>
      <c r="AX289" s="1">
        <v>2012.0</v>
      </c>
      <c r="AY289" s="1" t="s">
        <v>387</v>
      </c>
      <c r="AZ289" s="1" t="s">
        <v>200</v>
      </c>
      <c r="BA289" s="1" t="str">
        <f>"13172180300000"</f>
        <v>13172180300000</v>
      </c>
      <c r="BC289" s="1">
        <v>2448.0</v>
      </c>
      <c r="BD289" s="1">
        <v>342900.0</v>
      </c>
      <c r="BE289" s="2">
        <v>41949.0</v>
      </c>
      <c r="BF289" s="2" t="s">
        <v>4464</v>
      </c>
      <c r="BH289" s="1">
        <v>0.0</v>
      </c>
      <c r="BK289" s="1" t="s">
        <v>204</v>
      </c>
      <c r="BL289" s="1" t="str">
        <f>"5036"</f>
        <v>5036</v>
      </c>
      <c r="BM289" s="1" t="str">
        <f t="shared" ref="BM289:BM291" si="201">"0"</f>
        <v>0</v>
      </c>
      <c r="BN289" s="1">
        <v>5900.0</v>
      </c>
      <c r="BO289" s="1">
        <v>0.0</v>
      </c>
      <c r="BQ289" s="1">
        <v>299.0</v>
      </c>
      <c r="BR289" s="1">
        <v>299.0</v>
      </c>
      <c r="BS289" s="1">
        <v>299.0</v>
      </c>
      <c r="BU289" s="1" t="s">
        <v>480</v>
      </c>
      <c r="BV289" s="1" t="s">
        <v>206</v>
      </c>
      <c r="BW289" s="1" t="s">
        <v>207</v>
      </c>
      <c r="BY289" s="1" t="s">
        <v>584</v>
      </c>
      <c r="BZ289" s="1" t="s">
        <v>206</v>
      </c>
      <c r="CA289" s="1" t="s">
        <v>207</v>
      </c>
      <c r="CC289" s="1" t="s">
        <v>2120</v>
      </c>
      <c r="CD289" s="1" t="s">
        <v>206</v>
      </c>
      <c r="CE289" s="1" t="s">
        <v>207</v>
      </c>
      <c r="CG289" s="1" t="s">
        <v>1117</v>
      </c>
      <c r="CH289" s="1" t="s">
        <v>209</v>
      </c>
      <c r="CI289" s="1" t="s">
        <v>210</v>
      </c>
      <c r="CK289" s="1" t="s">
        <v>215</v>
      </c>
      <c r="CL289" s="1" t="s">
        <v>209</v>
      </c>
      <c r="CM289" s="1" t="s">
        <v>210</v>
      </c>
      <c r="CO289" s="1" t="s">
        <v>3387</v>
      </c>
      <c r="CP289" s="1" t="s">
        <v>42</v>
      </c>
      <c r="CQ289" s="1" t="s">
        <v>268</v>
      </c>
      <c r="CS289" s="1" t="s">
        <v>2414</v>
      </c>
      <c r="CT289" s="1" t="s">
        <v>206</v>
      </c>
      <c r="CU289" s="1" t="s">
        <v>207</v>
      </c>
      <c r="CW289" s="1" t="s">
        <v>782</v>
      </c>
      <c r="CX289" s="1" t="s">
        <v>206</v>
      </c>
      <c r="CY289" s="1" t="s">
        <v>207</v>
      </c>
      <c r="DA289" s="1" t="s">
        <v>200</v>
      </c>
      <c r="DC289" s="1" t="s">
        <v>216</v>
      </c>
      <c r="DD289" s="1" t="s">
        <v>4465</v>
      </c>
      <c r="DE289" s="1" t="s">
        <v>273</v>
      </c>
      <c r="DF289" s="1" t="s">
        <v>219</v>
      </c>
      <c r="DH289" s="1" t="s">
        <v>365</v>
      </c>
      <c r="DI289" s="1" t="s">
        <v>221</v>
      </c>
      <c r="DJ289" s="1" t="s">
        <v>222</v>
      </c>
      <c r="DK289" s="1" t="s">
        <v>1380</v>
      </c>
      <c r="DL289" s="1" t="s">
        <v>1161</v>
      </c>
      <c r="DM289" s="1" t="s">
        <v>229</v>
      </c>
      <c r="DN289" s="1" t="s">
        <v>439</v>
      </c>
      <c r="DO289" s="1" t="s">
        <v>549</v>
      </c>
      <c r="DP289" s="1" t="s">
        <v>340</v>
      </c>
      <c r="DQ289" s="1" t="s">
        <v>794</v>
      </c>
      <c r="DR289" s="1" t="s">
        <v>229</v>
      </c>
      <c r="DS289" s="1" t="s">
        <v>591</v>
      </c>
      <c r="DV289" s="1" t="s">
        <v>4466</v>
      </c>
      <c r="DW289" s="1" t="s">
        <v>279</v>
      </c>
      <c r="DX289" s="1" t="s">
        <v>234</v>
      </c>
      <c r="DY289" s="1" t="s">
        <v>4467</v>
      </c>
      <c r="EA289" s="1" t="s">
        <v>644</v>
      </c>
      <c r="EC289" s="1" t="s">
        <v>645</v>
      </c>
      <c r="ED289" s="1" t="s">
        <v>4468</v>
      </c>
      <c r="EG289" s="1" t="s">
        <v>450</v>
      </c>
      <c r="EH289" s="1" t="s">
        <v>1270</v>
      </c>
      <c r="EL289" s="1" t="s">
        <v>4469</v>
      </c>
      <c r="EM289" s="1" t="s">
        <v>42</v>
      </c>
      <c r="EN289" s="1" t="s">
        <v>268</v>
      </c>
      <c r="EP289" s="1" t="s">
        <v>4470</v>
      </c>
      <c r="EQ289" s="1" t="s">
        <v>42</v>
      </c>
      <c r="ER289" s="1" t="s">
        <v>268</v>
      </c>
      <c r="EU289" s="1" t="s">
        <v>238</v>
      </c>
      <c r="EY289" s="1" t="s">
        <v>238</v>
      </c>
      <c r="FC289" s="1" t="s">
        <v>238</v>
      </c>
      <c r="FF289" s="1" t="s">
        <v>239</v>
      </c>
      <c r="FG289" s="1" t="s">
        <v>192</v>
      </c>
      <c r="FH289" s="1" t="s">
        <v>192</v>
      </c>
      <c r="FJ289" s="1" t="s">
        <v>4471</v>
      </c>
      <c r="FK289" s="1" t="s">
        <v>229</v>
      </c>
      <c r="FL289" s="1" t="s">
        <v>1663</v>
      </c>
      <c r="FM289" s="1">
        <v>17299.0</v>
      </c>
      <c r="FN289" s="1" t="s">
        <v>1664</v>
      </c>
      <c r="FO289" s="1" t="s">
        <v>4472</v>
      </c>
      <c r="FP289" s="1">
        <v>160713.0</v>
      </c>
      <c r="FQ289" s="1" t="s">
        <v>4473</v>
      </c>
      <c r="FU289" s="1" t="s">
        <v>4474</v>
      </c>
      <c r="FV289" s="1" t="s">
        <v>200</v>
      </c>
      <c r="FW289" s="1" t="s">
        <v>1511</v>
      </c>
      <c r="FX289" s="1" t="s">
        <v>238</v>
      </c>
      <c r="FZ289" s="1" t="s">
        <v>632</v>
      </c>
      <c r="GA289" s="1" t="s">
        <v>291</v>
      </c>
      <c r="GB289" s="2">
        <v>42037.0</v>
      </c>
      <c r="GC289" s="1" t="s">
        <v>4475</v>
      </c>
    </row>
    <row r="290">
      <c r="A290" s="1">
        <v>185000.0</v>
      </c>
      <c r="B290" s="1" t="s">
        <v>185</v>
      </c>
      <c r="C290" s="1" t="str">
        <f>"08773416"</f>
        <v>08773416</v>
      </c>
      <c r="D290" s="1" t="s">
        <v>186</v>
      </c>
      <c r="F290" s="1" t="str">
        <f>"8022"</f>
        <v>8022</v>
      </c>
      <c r="G290" s="2">
        <v>41954.0</v>
      </c>
      <c r="H290" s="1">
        <v>225000.0</v>
      </c>
      <c r="I290" s="1">
        <v>98.0</v>
      </c>
      <c r="J290" s="1">
        <v>199000.0</v>
      </c>
      <c r="K290" s="2">
        <v>42049.0</v>
      </c>
      <c r="L290" s="1">
        <v>98.0</v>
      </c>
      <c r="M290" s="2">
        <v>42049.0</v>
      </c>
      <c r="N290" s="1" t="s">
        <v>187</v>
      </c>
      <c r="O290" s="2">
        <v>42135.0</v>
      </c>
      <c r="P290" s="1">
        <v>875409.0</v>
      </c>
      <c r="Q290" s="1">
        <v>85977.0</v>
      </c>
      <c r="R290" s="1">
        <v>5000.0</v>
      </c>
      <c r="S290" s="1">
        <v>3519.0</v>
      </c>
      <c r="T290" s="1" t="s">
        <v>2609</v>
      </c>
      <c r="U290" s="1" t="s">
        <v>320</v>
      </c>
      <c r="V290" s="1" t="s">
        <v>190</v>
      </c>
      <c r="W290" s="1">
        <v>60647.0</v>
      </c>
      <c r="Y290" s="1" t="s">
        <v>4476</v>
      </c>
      <c r="Z290" s="1">
        <v>1890.0</v>
      </c>
      <c r="AA290" s="1" t="s">
        <v>192</v>
      </c>
      <c r="AB290" s="1" t="s">
        <v>193</v>
      </c>
      <c r="AD290" s="1" t="s">
        <v>194</v>
      </c>
      <c r="AE290" s="1" t="s">
        <v>195</v>
      </c>
      <c r="AF290" s="1" t="s">
        <v>2645</v>
      </c>
      <c r="AH290" s="1" t="s">
        <v>741</v>
      </c>
      <c r="AI290" s="1">
        <v>0.0723</v>
      </c>
      <c r="AK290" s="1">
        <v>9.0</v>
      </c>
      <c r="AL290" s="1">
        <v>4.0</v>
      </c>
      <c r="AM290" s="1">
        <v>2.0</v>
      </c>
      <c r="AN290" s="1">
        <v>0.0</v>
      </c>
      <c r="AO290" s="1" t="s">
        <v>229</v>
      </c>
      <c r="AQ290" s="1" t="s">
        <v>198</v>
      </c>
      <c r="AR290" s="1" t="s">
        <v>200</v>
      </c>
      <c r="AS290" s="1" t="s">
        <v>229</v>
      </c>
      <c r="AV290" s="1" t="s">
        <v>200</v>
      </c>
      <c r="AW290" s="1">
        <v>2490.88</v>
      </c>
      <c r="AX290" s="1">
        <v>2013.0</v>
      </c>
      <c r="AY290" s="1" t="s">
        <v>229</v>
      </c>
      <c r="AZ290" s="1" t="s">
        <v>200</v>
      </c>
      <c r="BA290" s="1" t="str">
        <f>"13352190080000"</f>
        <v>13352190080000</v>
      </c>
      <c r="BC290" s="1">
        <v>3150.0</v>
      </c>
      <c r="BD290" s="1">
        <v>185000.0</v>
      </c>
      <c r="BE290" s="2">
        <v>41952.0</v>
      </c>
      <c r="BF290" s="2" t="s">
        <v>4477</v>
      </c>
      <c r="BH290" s="1">
        <v>0.0</v>
      </c>
      <c r="BK290" s="1" t="s">
        <v>204</v>
      </c>
      <c r="BL290" s="1" t="str">
        <f>"2200"</f>
        <v>2200</v>
      </c>
      <c r="BM290" s="1" t="str">
        <f t="shared" si="201"/>
        <v>0</v>
      </c>
      <c r="BN290" s="1">
        <v>3519.0</v>
      </c>
      <c r="BO290" s="1">
        <v>0.0</v>
      </c>
      <c r="BQ290" s="1">
        <v>299.0</v>
      </c>
      <c r="BR290" s="1">
        <v>299.0</v>
      </c>
      <c r="BS290" s="1">
        <v>299.0</v>
      </c>
      <c r="BU290" s="1" t="s">
        <v>647</v>
      </c>
      <c r="BV290" s="1" t="s">
        <v>206</v>
      </c>
      <c r="BW290" s="1" t="s">
        <v>207</v>
      </c>
      <c r="BY290" s="1" t="s">
        <v>1382</v>
      </c>
      <c r="BZ290" s="1" t="s">
        <v>206</v>
      </c>
      <c r="CA290" s="1" t="s">
        <v>207</v>
      </c>
      <c r="CC290" s="1" t="s">
        <v>1190</v>
      </c>
      <c r="CD290" s="1" t="s">
        <v>206</v>
      </c>
      <c r="CE290" s="1" t="s">
        <v>207</v>
      </c>
      <c r="CG290" s="1" t="s">
        <v>1746</v>
      </c>
      <c r="CH290" s="1" t="s">
        <v>206</v>
      </c>
      <c r="CK290" s="1" t="s">
        <v>1760</v>
      </c>
      <c r="CL290" s="1" t="s">
        <v>209</v>
      </c>
      <c r="CO290" s="1" t="s">
        <v>640</v>
      </c>
      <c r="CP290" s="1" t="s">
        <v>209</v>
      </c>
      <c r="CS290" s="1" t="s">
        <v>1746</v>
      </c>
      <c r="CT290" s="1" t="s">
        <v>206</v>
      </c>
      <c r="CU290" s="1" t="s">
        <v>207</v>
      </c>
      <c r="CW290" s="1" t="s">
        <v>647</v>
      </c>
      <c r="CX290" s="1" t="s">
        <v>206</v>
      </c>
      <c r="CY290" s="1" t="s">
        <v>207</v>
      </c>
      <c r="DA290" s="1" t="s">
        <v>200</v>
      </c>
      <c r="DC290" s="1" t="s">
        <v>642</v>
      </c>
      <c r="DD290" s="1" t="s">
        <v>518</v>
      </c>
      <c r="DE290" s="1" t="s">
        <v>229</v>
      </c>
      <c r="DF290" s="1" t="s">
        <v>4086</v>
      </c>
      <c r="DH290" s="1" t="s">
        <v>220</v>
      </c>
      <c r="DJ290" s="1" t="s">
        <v>222</v>
      </c>
      <c r="DL290" s="1" t="s">
        <v>223</v>
      </c>
      <c r="DM290" s="1" t="s">
        <v>229</v>
      </c>
      <c r="DP290" s="1" t="s">
        <v>340</v>
      </c>
      <c r="DQ290" s="1" t="s">
        <v>228</v>
      </c>
      <c r="DR290" s="1" t="s">
        <v>229</v>
      </c>
      <c r="DV290" s="1" t="s">
        <v>4478</v>
      </c>
      <c r="DW290" s="1" t="s">
        <v>2284</v>
      </c>
      <c r="DX290" s="1" t="s">
        <v>309</v>
      </c>
      <c r="EC290" s="1" t="s">
        <v>237</v>
      </c>
      <c r="EG290" s="1" t="s">
        <v>1407</v>
      </c>
      <c r="EH290" s="1" t="s">
        <v>1103</v>
      </c>
      <c r="EL290" s="1" t="s">
        <v>1352</v>
      </c>
      <c r="EM290" s="1" t="s">
        <v>209</v>
      </c>
      <c r="EP290" s="1" t="s">
        <v>599</v>
      </c>
      <c r="EQ290" s="1" t="s">
        <v>209</v>
      </c>
      <c r="EU290" s="1" t="s">
        <v>238</v>
      </c>
      <c r="EY290" s="1" t="s">
        <v>238</v>
      </c>
      <c r="FC290" s="1" t="s">
        <v>238</v>
      </c>
      <c r="FF290" s="1" t="s">
        <v>239</v>
      </c>
      <c r="FG290" s="1" t="s">
        <v>200</v>
      </c>
      <c r="FH290" s="1" t="s">
        <v>192</v>
      </c>
      <c r="FJ290" s="1" t="s">
        <v>4479</v>
      </c>
      <c r="FK290" s="1" t="s">
        <v>229</v>
      </c>
      <c r="FL290" s="1" t="s">
        <v>4480</v>
      </c>
      <c r="FM290" s="1">
        <v>17625.0</v>
      </c>
      <c r="FN290" s="1" t="s">
        <v>4481</v>
      </c>
      <c r="FO290" s="1" t="s">
        <v>4482</v>
      </c>
      <c r="FP290" s="1">
        <v>112200.0</v>
      </c>
      <c r="FQ290" s="1" t="s">
        <v>4483</v>
      </c>
      <c r="FU290" s="1" t="s">
        <v>4484</v>
      </c>
      <c r="FV290" s="1" t="s">
        <v>200</v>
      </c>
      <c r="FW290" s="1" t="s">
        <v>1411</v>
      </c>
      <c r="FX290" s="1" t="s">
        <v>246</v>
      </c>
      <c r="FZ290" s="1" t="s">
        <v>229</v>
      </c>
      <c r="GA290" s="1" t="s">
        <v>291</v>
      </c>
      <c r="GB290" s="2">
        <v>42137.0</v>
      </c>
    </row>
    <row r="291">
      <c r="A291" s="1">
        <v>700000.0</v>
      </c>
      <c r="B291" s="1" t="s">
        <v>185</v>
      </c>
      <c r="C291" s="1" t="str">
        <f>"08770378"</f>
        <v>08770378</v>
      </c>
      <c r="D291" s="1" t="s">
        <v>186</v>
      </c>
      <c r="F291" s="1" t="str">
        <f>"8024"</f>
        <v>8024</v>
      </c>
      <c r="G291" s="2">
        <v>41949.0</v>
      </c>
      <c r="H291" s="1">
        <v>725000.0</v>
      </c>
      <c r="I291" s="1">
        <v>29.0</v>
      </c>
      <c r="J291" s="1">
        <v>725000.0</v>
      </c>
      <c r="K291" s="2">
        <v>41977.0</v>
      </c>
      <c r="L291" s="1">
        <v>29.0</v>
      </c>
      <c r="M291" s="2">
        <v>41977.0</v>
      </c>
      <c r="N291" s="1" t="s">
        <v>187</v>
      </c>
      <c r="O291" s="2">
        <v>42013.0</v>
      </c>
      <c r="P291" s="1">
        <v>165957.0</v>
      </c>
      <c r="Q291" s="1">
        <v>10115.0</v>
      </c>
      <c r="S291" s="1">
        <v>2045.0</v>
      </c>
      <c r="T291" s="1" t="s">
        <v>825</v>
      </c>
      <c r="U291" s="1" t="s">
        <v>320</v>
      </c>
      <c r="V291" s="1" t="s">
        <v>190</v>
      </c>
      <c r="W291" s="1">
        <v>60612.0</v>
      </c>
      <c r="Y291" s="1" t="s">
        <v>4485</v>
      </c>
      <c r="Z291" s="1">
        <v>2001.0</v>
      </c>
      <c r="AA291" s="1" t="s">
        <v>200</v>
      </c>
      <c r="AB291" s="1" t="s">
        <v>193</v>
      </c>
      <c r="AD291" s="1" t="s">
        <v>194</v>
      </c>
      <c r="AE291" s="1" t="s">
        <v>195</v>
      </c>
      <c r="AF291" s="1" t="s">
        <v>827</v>
      </c>
      <c r="AH291" s="1" t="s">
        <v>4486</v>
      </c>
      <c r="AK291" s="1">
        <v>8.0</v>
      </c>
      <c r="AL291" s="1">
        <v>4.0</v>
      </c>
      <c r="AM291" s="1">
        <v>3.0</v>
      </c>
      <c r="AN291" s="1">
        <v>1.0</v>
      </c>
      <c r="AO291" s="1" t="s">
        <v>198</v>
      </c>
      <c r="AP291" s="1">
        <v>2.0</v>
      </c>
      <c r="AQ291" s="1" t="s">
        <v>472</v>
      </c>
      <c r="AR291" s="1" t="s">
        <v>192</v>
      </c>
      <c r="AS291" s="1" t="s">
        <v>199</v>
      </c>
      <c r="AT291" s="1">
        <v>2.0</v>
      </c>
      <c r="AV291" s="1" t="s">
        <v>200</v>
      </c>
      <c r="AW291" s="1">
        <v>10210.36</v>
      </c>
      <c r="AX291" s="1">
        <v>2013.0</v>
      </c>
      <c r="AY291" s="1" t="s">
        <v>387</v>
      </c>
      <c r="AZ291" s="1" t="s">
        <v>200</v>
      </c>
      <c r="BA291" s="1" t="str">
        <f>"17071080070000"</f>
        <v>17071080070000</v>
      </c>
      <c r="BC291" s="1">
        <v>3176.0</v>
      </c>
      <c r="BD291" s="1">
        <v>700000.0</v>
      </c>
      <c r="BE291" s="2">
        <v>41949.0</v>
      </c>
      <c r="BF291" s="2" t="s">
        <v>4487</v>
      </c>
      <c r="BH291" s="1">
        <v>0.0</v>
      </c>
      <c r="BK291" s="1" t="s">
        <v>204</v>
      </c>
      <c r="BL291" s="1" t="str">
        <f>"732"</f>
        <v>732</v>
      </c>
      <c r="BM291" s="1" t="str">
        <f t="shared" si="201"/>
        <v>0</v>
      </c>
      <c r="BN291" s="1">
        <v>2045.0</v>
      </c>
      <c r="BO291" s="1">
        <v>0.0</v>
      </c>
      <c r="BQ291" s="1">
        <v>299.0</v>
      </c>
      <c r="BR291" s="1">
        <v>299.0</v>
      </c>
      <c r="BS291" s="1">
        <v>299.0</v>
      </c>
      <c r="BU291" s="1" t="s">
        <v>2800</v>
      </c>
      <c r="BV291" s="1" t="s">
        <v>206</v>
      </c>
      <c r="BW291" s="1" t="s">
        <v>207</v>
      </c>
      <c r="BY291" s="1" t="s">
        <v>208</v>
      </c>
      <c r="BZ291" s="1" t="s">
        <v>209</v>
      </c>
      <c r="CA291" s="1" t="s">
        <v>210</v>
      </c>
      <c r="CC291" s="1" t="s">
        <v>2592</v>
      </c>
      <c r="CD291" s="1" t="s">
        <v>206</v>
      </c>
      <c r="CE291" s="1" t="s">
        <v>207</v>
      </c>
      <c r="CG291" s="1" t="s">
        <v>925</v>
      </c>
      <c r="CH291" s="1" t="s">
        <v>209</v>
      </c>
      <c r="CI291" s="1" t="s">
        <v>210</v>
      </c>
      <c r="CK291" s="1" t="s">
        <v>264</v>
      </c>
      <c r="CL291" s="1" t="s">
        <v>209</v>
      </c>
      <c r="CM291" s="1" t="s">
        <v>210</v>
      </c>
      <c r="CO291" s="1" t="s">
        <v>212</v>
      </c>
      <c r="CP291" s="1" t="s">
        <v>267</v>
      </c>
      <c r="CQ291" s="1" t="s">
        <v>210</v>
      </c>
      <c r="CS291" s="1" t="s">
        <v>2224</v>
      </c>
      <c r="CT291" s="1" t="s">
        <v>206</v>
      </c>
      <c r="CU291" s="1" t="s">
        <v>207</v>
      </c>
      <c r="CW291" s="1" t="s">
        <v>394</v>
      </c>
      <c r="CX291" s="1" t="s">
        <v>267</v>
      </c>
      <c r="CY291" s="1" t="s">
        <v>210</v>
      </c>
      <c r="DA291" s="1" t="s">
        <v>200</v>
      </c>
      <c r="DC291" s="1" t="s">
        <v>335</v>
      </c>
      <c r="DD291" s="1" t="s">
        <v>436</v>
      </c>
      <c r="DE291" s="1" t="s">
        <v>273</v>
      </c>
      <c r="DF291" s="1" t="s">
        <v>219</v>
      </c>
      <c r="DG291" s="1" t="s">
        <v>4488</v>
      </c>
      <c r="DH291" s="1" t="s">
        <v>365</v>
      </c>
      <c r="DI291" s="1" t="s">
        <v>4489</v>
      </c>
      <c r="DJ291" s="1" t="s">
        <v>222</v>
      </c>
      <c r="DL291" s="1" t="s">
        <v>1161</v>
      </c>
      <c r="DM291" s="1" t="s">
        <v>229</v>
      </c>
      <c r="DN291" s="1" t="s">
        <v>399</v>
      </c>
      <c r="DP291" s="1" t="s">
        <v>340</v>
      </c>
      <c r="DQ291" s="1" t="s">
        <v>718</v>
      </c>
      <c r="DR291" s="1" t="s">
        <v>229</v>
      </c>
      <c r="DU291" s="1" t="s">
        <v>746</v>
      </c>
      <c r="DV291" s="1" t="s">
        <v>310</v>
      </c>
      <c r="DW291" s="1" t="s">
        <v>444</v>
      </c>
      <c r="DX291" s="1" t="s">
        <v>234</v>
      </c>
      <c r="DY291" s="1" t="s">
        <v>4490</v>
      </c>
      <c r="DZ291" s="1" t="s">
        <v>4491</v>
      </c>
      <c r="EB291" s="1" t="s">
        <v>4492</v>
      </c>
      <c r="EC291" s="1" t="s">
        <v>237</v>
      </c>
      <c r="ED291" s="1" t="s">
        <v>555</v>
      </c>
      <c r="EG291" s="1" t="s">
        <v>310</v>
      </c>
      <c r="EL291" s="1" t="s">
        <v>583</v>
      </c>
      <c r="EM291" s="1" t="s">
        <v>206</v>
      </c>
      <c r="EQ291" s="1" t="s">
        <v>238</v>
      </c>
      <c r="EU291" s="1" t="s">
        <v>238</v>
      </c>
      <c r="EY291" s="1" t="s">
        <v>238</v>
      </c>
      <c r="FC291" s="1" t="s">
        <v>238</v>
      </c>
      <c r="FF291" s="1" t="s">
        <v>239</v>
      </c>
      <c r="FG291" s="1" t="s">
        <v>192</v>
      </c>
      <c r="FH291" s="1" t="s">
        <v>192</v>
      </c>
      <c r="FJ291" s="1" t="s">
        <v>799</v>
      </c>
      <c r="FK291" s="1" t="s">
        <v>229</v>
      </c>
      <c r="FL291" s="1" t="s">
        <v>562</v>
      </c>
      <c r="FM291" s="1">
        <v>84025.0</v>
      </c>
      <c r="FN291" s="1" t="s">
        <v>2509</v>
      </c>
      <c r="FO291" s="1" t="s">
        <v>4493</v>
      </c>
      <c r="FP291" s="1">
        <v>111651.0</v>
      </c>
      <c r="FQ291" s="1" t="s">
        <v>4494</v>
      </c>
      <c r="FR291" s="1">
        <v>876432.0</v>
      </c>
      <c r="FS291" s="1" t="s">
        <v>4495</v>
      </c>
      <c r="FU291" s="1" t="s">
        <v>4496</v>
      </c>
      <c r="FV291" s="1" t="s">
        <v>200</v>
      </c>
      <c r="FW291" s="1" t="s">
        <v>1511</v>
      </c>
      <c r="FX291" s="1" t="s">
        <v>246</v>
      </c>
      <c r="FZ291" s="1" t="s">
        <v>229</v>
      </c>
      <c r="GA291" s="1" t="s">
        <v>291</v>
      </c>
      <c r="GB291" s="2">
        <v>42013.0</v>
      </c>
      <c r="GC291" s="1" t="s">
        <v>4497</v>
      </c>
    </row>
    <row r="292">
      <c r="A292" s="1">
        <v>32000.0</v>
      </c>
      <c r="B292" s="1" t="s">
        <v>185</v>
      </c>
      <c r="C292" s="1" t="str">
        <f>"08769820"</f>
        <v>08769820</v>
      </c>
      <c r="D292" s="1" t="s">
        <v>186</v>
      </c>
      <c r="F292" s="1" t="str">
        <f>"8044"</f>
        <v>8044</v>
      </c>
      <c r="G292" s="2">
        <v>41948.0</v>
      </c>
      <c r="H292" s="1">
        <v>48500.0</v>
      </c>
      <c r="I292" s="1">
        <v>93.0</v>
      </c>
      <c r="J292" s="1">
        <v>48500.0</v>
      </c>
      <c r="K292" s="2">
        <v>42040.0</v>
      </c>
      <c r="L292" s="1">
        <v>93.0</v>
      </c>
      <c r="M292" s="2">
        <v>42040.0</v>
      </c>
      <c r="N292" s="1" t="s">
        <v>249</v>
      </c>
      <c r="O292" s="2">
        <v>42068.0</v>
      </c>
      <c r="P292" s="1">
        <v>232258.0</v>
      </c>
      <c r="Q292" s="1">
        <v>23821.0</v>
      </c>
      <c r="S292" s="1">
        <v>8304.0</v>
      </c>
      <c r="T292" s="1" t="s">
        <v>4498</v>
      </c>
      <c r="U292" s="1" t="s">
        <v>189</v>
      </c>
      <c r="V292" s="1" t="s">
        <v>190</v>
      </c>
      <c r="W292" s="1">
        <v>60619.0</v>
      </c>
      <c r="Y292" s="1" t="s">
        <v>4499</v>
      </c>
      <c r="Z292" s="1">
        <v>1918.0</v>
      </c>
      <c r="AA292" s="1" t="s">
        <v>192</v>
      </c>
      <c r="AB292" s="1" t="s">
        <v>193</v>
      </c>
      <c r="AD292" s="1" t="s">
        <v>194</v>
      </c>
      <c r="AE292" s="1" t="s">
        <v>195</v>
      </c>
      <c r="AF292" s="1" t="s">
        <v>637</v>
      </c>
      <c r="AH292" s="1">
        <v>3750.0</v>
      </c>
      <c r="AK292" s="1">
        <v>7.0</v>
      </c>
      <c r="AL292" s="1">
        <v>2.0</v>
      </c>
      <c r="AM292" s="1">
        <v>2.0</v>
      </c>
      <c r="AN292" s="1">
        <v>0.0</v>
      </c>
      <c r="AO292" s="1" t="s">
        <v>229</v>
      </c>
      <c r="AQ292" s="1" t="s">
        <v>198</v>
      </c>
      <c r="AR292" s="1" t="s">
        <v>192</v>
      </c>
      <c r="AS292" s="1" t="s">
        <v>199</v>
      </c>
      <c r="AT292" s="1">
        <v>2.0</v>
      </c>
      <c r="AV292" s="1" t="s">
        <v>200</v>
      </c>
      <c r="AW292" s="1">
        <v>1949.0</v>
      </c>
      <c r="AX292" s="1">
        <v>2012.0</v>
      </c>
      <c r="AZ292" s="1" t="s">
        <v>200</v>
      </c>
      <c r="BA292" s="1" t="str">
        <f>"20353000270000"</f>
        <v>20353000270000</v>
      </c>
      <c r="BC292" s="1">
        <v>1028.0</v>
      </c>
      <c r="BD292" s="1">
        <v>32000.0</v>
      </c>
      <c r="BE292" s="2">
        <v>41948.0</v>
      </c>
      <c r="BF292" s="1" t="s">
        <v>4500</v>
      </c>
      <c r="BH292" s="1">
        <v>0.0</v>
      </c>
      <c r="BK292" s="1" t="s">
        <v>204</v>
      </c>
      <c r="BL292" s="1" t="str">
        <f>"0"</f>
        <v>0</v>
      </c>
      <c r="BM292" s="1" t="str">
        <f>"850"</f>
        <v>850</v>
      </c>
      <c r="BN292" s="1">
        <v>0.0</v>
      </c>
      <c r="BO292" s="1">
        <v>8304.0</v>
      </c>
      <c r="BQ292" s="1">
        <v>299.0</v>
      </c>
      <c r="BR292" s="1">
        <v>299.0</v>
      </c>
      <c r="BS292" s="1">
        <v>299.0</v>
      </c>
      <c r="BU292" s="1" t="s">
        <v>363</v>
      </c>
      <c r="BV292" s="1" t="s">
        <v>206</v>
      </c>
      <c r="BY292" s="1" t="s">
        <v>363</v>
      </c>
      <c r="BZ292" s="1" t="s">
        <v>206</v>
      </c>
      <c r="CC292" s="1" t="s">
        <v>542</v>
      </c>
      <c r="CD292" s="1" t="s">
        <v>206</v>
      </c>
      <c r="CG292" s="1" t="s">
        <v>212</v>
      </c>
      <c r="CH292" s="1" t="s">
        <v>206</v>
      </c>
      <c r="CK292" s="1" t="s">
        <v>212</v>
      </c>
      <c r="CL292" s="1" t="s">
        <v>42</v>
      </c>
      <c r="CO292" s="1" t="s">
        <v>303</v>
      </c>
      <c r="CP292" s="1" t="s">
        <v>42</v>
      </c>
      <c r="CS292" s="1" t="s">
        <v>300</v>
      </c>
      <c r="CT292" s="1" t="s">
        <v>206</v>
      </c>
      <c r="CX292" s="1" t="s">
        <v>204</v>
      </c>
      <c r="DA292" s="1" t="s">
        <v>200</v>
      </c>
      <c r="DC292" s="1" t="s">
        <v>216</v>
      </c>
      <c r="DE292" s="1" t="s">
        <v>229</v>
      </c>
      <c r="DF292" s="1" t="s">
        <v>905</v>
      </c>
      <c r="DH292" s="1" t="s">
        <v>307</v>
      </c>
      <c r="DJ292" s="1" t="s">
        <v>222</v>
      </c>
      <c r="DL292" s="1" t="s">
        <v>224</v>
      </c>
      <c r="DM292" s="1" t="s">
        <v>229</v>
      </c>
      <c r="DQ292" s="1" t="s">
        <v>441</v>
      </c>
      <c r="DR292" s="1" t="s">
        <v>229</v>
      </c>
      <c r="DV292" s="1" t="s">
        <v>232</v>
      </c>
      <c r="DW292" s="1" t="s">
        <v>279</v>
      </c>
      <c r="DX292" s="1" t="s">
        <v>309</v>
      </c>
      <c r="EC292" s="1" t="s">
        <v>685</v>
      </c>
      <c r="ED292" s="1" t="s">
        <v>1761</v>
      </c>
      <c r="EM292" s="1" t="s">
        <v>238</v>
      </c>
      <c r="EQ292" s="1" t="s">
        <v>238</v>
      </c>
      <c r="EU292" s="1" t="s">
        <v>238</v>
      </c>
      <c r="EY292" s="1" t="s">
        <v>238</v>
      </c>
      <c r="FC292" s="1" t="s">
        <v>238</v>
      </c>
      <c r="FF292" s="1" t="s">
        <v>239</v>
      </c>
      <c r="FG292" s="1" t="s">
        <v>192</v>
      </c>
      <c r="FH292" s="1" t="s">
        <v>192</v>
      </c>
      <c r="FJ292" s="1" t="s">
        <v>4501</v>
      </c>
      <c r="FK292" s="1" t="s">
        <v>229</v>
      </c>
      <c r="FL292" s="1" t="s">
        <v>4433</v>
      </c>
      <c r="FM292" s="1">
        <v>18235.0</v>
      </c>
      <c r="FN292" s="1" t="s">
        <v>4434</v>
      </c>
      <c r="FO292" s="1" t="s">
        <v>4502</v>
      </c>
      <c r="FP292" s="1">
        <v>112268.0</v>
      </c>
      <c r="FQ292" s="1" t="s">
        <v>4503</v>
      </c>
      <c r="FU292" s="1" t="s">
        <v>710</v>
      </c>
      <c r="FV292" s="1" t="s">
        <v>200</v>
      </c>
      <c r="FW292" s="1" t="s">
        <v>4504</v>
      </c>
      <c r="FX292" s="1" t="s">
        <v>655</v>
      </c>
      <c r="FZ292" s="1" t="s">
        <v>229</v>
      </c>
      <c r="GA292" s="1" t="s">
        <v>291</v>
      </c>
      <c r="GB292" s="2">
        <v>42068.0</v>
      </c>
      <c r="GC292" s="1" t="s">
        <v>4505</v>
      </c>
    </row>
    <row r="293">
      <c r="A293" s="1">
        <v>320000.0</v>
      </c>
      <c r="B293" s="1" t="s">
        <v>185</v>
      </c>
      <c r="C293" s="1" t="str">
        <f>"08792352"</f>
        <v>08792352</v>
      </c>
      <c r="D293" s="1" t="s">
        <v>186</v>
      </c>
      <c r="F293" s="1" t="str">
        <f>"177"</f>
        <v>177</v>
      </c>
      <c r="G293" s="2">
        <v>41968.0</v>
      </c>
      <c r="H293" s="1">
        <v>384900.0</v>
      </c>
      <c r="I293" s="1">
        <v>130.0</v>
      </c>
      <c r="J293" s="1">
        <v>350000.0</v>
      </c>
      <c r="K293" s="2">
        <v>42097.0</v>
      </c>
      <c r="L293" s="1">
        <v>130.0</v>
      </c>
      <c r="M293" s="2">
        <v>42097.0</v>
      </c>
      <c r="N293" s="1" t="s">
        <v>187</v>
      </c>
      <c r="O293" s="2">
        <v>42132.0</v>
      </c>
      <c r="P293" s="1">
        <v>55062.0</v>
      </c>
      <c r="Q293" s="1">
        <v>5016.0</v>
      </c>
      <c r="S293" s="1">
        <v>822.0</v>
      </c>
      <c r="T293" s="1" t="s">
        <v>4506</v>
      </c>
      <c r="U293" s="1" t="s">
        <v>569</v>
      </c>
      <c r="V293" s="1" t="s">
        <v>2249</v>
      </c>
      <c r="W293" s="1">
        <v>60177.0</v>
      </c>
      <c r="Y293" s="1" t="s">
        <v>4507</v>
      </c>
      <c r="Z293" s="1">
        <v>2002.0</v>
      </c>
      <c r="AA293" s="1" t="s">
        <v>200</v>
      </c>
      <c r="AB293" s="1" t="s">
        <v>467</v>
      </c>
      <c r="AC293" s="1" t="s">
        <v>4508</v>
      </c>
      <c r="AD293" s="1" t="s">
        <v>2252</v>
      </c>
      <c r="AE293" s="1" t="s">
        <v>325</v>
      </c>
      <c r="AF293" s="1" t="s">
        <v>1203</v>
      </c>
      <c r="AH293" s="1">
        <v>0.233</v>
      </c>
      <c r="AI293" s="1">
        <v>0.233</v>
      </c>
      <c r="AK293" s="1">
        <v>10.0</v>
      </c>
      <c r="AL293" s="1">
        <v>4.0</v>
      </c>
      <c r="AM293" s="1">
        <v>2.0</v>
      </c>
      <c r="AN293" s="1">
        <v>1.0</v>
      </c>
      <c r="AO293" s="1" t="s">
        <v>198</v>
      </c>
      <c r="AP293" s="1">
        <v>1.0</v>
      </c>
      <c r="AQ293" s="1" t="s">
        <v>198</v>
      </c>
      <c r="AR293" s="1" t="s">
        <v>200</v>
      </c>
      <c r="AS293" s="1" t="s">
        <v>199</v>
      </c>
      <c r="AT293" s="1">
        <v>3.0</v>
      </c>
      <c r="AV293" s="1" t="s">
        <v>200</v>
      </c>
      <c r="AW293" s="1">
        <v>9272.62</v>
      </c>
      <c r="AX293" s="1">
        <v>2013.0</v>
      </c>
      <c r="AY293" s="1" t="s">
        <v>387</v>
      </c>
      <c r="AZ293" s="1" t="s">
        <v>200</v>
      </c>
      <c r="BA293" s="1" t="str">
        <f>"0905476024"</f>
        <v>0905476024</v>
      </c>
      <c r="BB293" s="1" t="s">
        <v>200</v>
      </c>
      <c r="BC293" s="1">
        <v>0.0</v>
      </c>
      <c r="BD293" s="1">
        <v>320000.0</v>
      </c>
      <c r="BE293" s="2">
        <v>41968.0</v>
      </c>
      <c r="BF293" s="2" t="s">
        <v>4509</v>
      </c>
      <c r="BG293" s="1" t="s">
        <v>4510</v>
      </c>
      <c r="BH293" s="1">
        <v>138.0</v>
      </c>
      <c r="BI293" s="1" t="s">
        <v>4511</v>
      </c>
      <c r="BJ293" s="1" t="s">
        <v>2200</v>
      </c>
      <c r="BK293" s="1" t="s">
        <v>1952</v>
      </c>
      <c r="BL293" s="1" t="str">
        <f t="shared" ref="BL293:BM293" si="202">""</f>
        <v/>
      </c>
      <c r="BM293" s="1" t="str">
        <f t="shared" si="202"/>
        <v/>
      </c>
      <c r="BQ293" s="1">
        <v>303.0</v>
      </c>
      <c r="BR293" s="1">
        <v>303.0</v>
      </c>
      <c r="BS293" s="1">
        <v>303.0</v>
      </c>
      <c r="BU293" s="1" t="s">
        <v>262</v>
      </c>
      <c r="BV293" s="1" t="s">
        <v>206</v>
      </c>
      <c r="BW293" s="1" t="s">
        <v>210</v>
      </c>
      <c r="BY293" s="1" t="s">
        <v>1117</v>
      </c>
      <c r="BZ293" s="1" t="s">
        <v>209</v>
      </c>
      <c r="CA293" s="1" t="s">
        <v>210</v>
      </c>
      <c r="CC293" s="1" t="s">
        <v>433</v>
      </c>
      <c r="CD293" s="1" t="s">
        <v>206</v>
      </c>
      <c r="CE293" s="1" t="s">
        <v>210</v>
      </c>
      <c r="CG293" s="1" t="s">
        <v>212</v>
      </c>
      <c r="CH293" s="1" t="s">
        <v>209</v>
      </c>
      <c r="CK293" s="1" t="s">
        <v>212</v>
      </c>
      <c r="CL293" s="1" t="s">
        <v>209</v>
      </c>
      <c r="CM293" s="1" t="s">
        <v>210</v>
      </c>
      <c r="CO293" s="1" t="s">
        <v>699</v>
      </c>
      <c r="CP293" s="1" t="s">
        <v>209</v>
      </c>
      <c r="CQ293" s="1" t="s">
        <v>210</v>
      </c>
      <c r="CS293" s="1" t="s">
        <v>331</v>
      </c>
      <c r="CT293" s="1" t="s">
        <v>206</v>
      </c>
      <c r="CU293" s="1" t="s">
        <v>207</v>
      </c>
      <c r="CW293" s="1" t="s">
        <v>1244</v>
      </c>
      <c r="CX293" s="1" t="s">
        <v>206</v>
      </c>
      <c r="CY293" s="1" t="s">
        <v>210</v>
      </c>
      <c r="DA293" s="1" t="s">
        <v>200</v>
      </c>
      <c r="DC293" s="1" t="s">
        <v>335</v>
      </c>
      <c r="DD293" s="1" t="s">
        <v>272</v>
      </c>
      <c r="DE293" s="1" t="s">
        <v>273</v>
      </c>
      <c r="DF293" s="1" t="s">
        <v>619</v>
      </c>
      <c r="DH293" s="1" t="s">
        <v>220</v>
      </c>
      <c r="DI293" s="1" t="s">
        <v>1604</v>
      </c>
      <c r="DJ293" s="1" t="s">
        <v>222</v>
      </c>
      <c r="DL293" s="1" t="s">
        <v>223</v>
      </c>
      <c r="DM293" s="1" t="s">
        <v>338</v>
      </c>
      <c r="DN293" s="1" t="s">
        <v>2296</v>
      </c>
      <c r="DO293" s="1" t="s">
        <v>440</v>
      </c>
      <c r="DP293" s="1" t="s">
        <v>340</v>
      </c>
      <c r="DQ293" s="1" t="s">
        <v>228</v>
      </c>
      <c r="DR293" s="1" t="s">
        <v>4512</v>
      </c>
      <c r="DV293" s="1" t="s">
        <v>4513</v>
      </c>
      <c r="DW293" s="1" t="s">
        <v>3142</v>
      </c>
      <c r="DX293" s="1" t="s">
        <v>234</v>
      </c>
      <c r="DY293" s="1" t="s">
        <v>490</v>
      </c>
      <c r="DZ293" s="1" t="s">
        <v>282</v>
      </c>
      <c r="EA293" s="1" t="s">
        <v>344</v>
      </c>
      <c r="EB293" s="1" t="s">
        <v>492</v>
      </c>
      <c r="EC293" s="1" t="s">
        <v>237</v>
      </c>
      <c r="ED293" s="1" t="s">
        <v>407</v>
      </c>
      <c r="EG293" s="1" t="s">
        <v>449</v>
      </c>
      <c r="EH293" s="1" t="s">
        <v>494</v>
      </c>
      <c r="EL293" s="1" t="s">
        <v>392</v>
      </c>
      <c r="EM293" s="1" t="s">
        <v>206</v>
      </c>
      <c r="EN293" s="1" t="s">
        <v>207</v>
      </c>
      <c r="EP293" s="1" t="s">
        <v>495</v>
      </c>
      <c r="EQ293" s="1" t="s">
        <v>206</v>
      </c>
      <c r="ER293" s="1" t="s">
        <v>210</v>
      </c>
      <c r="EU293" s="1" t="s">
        <v>238</v>
      </c>
      <c r="EY293" s="1" t="s">
        <v>238</v>
      </c>
      <c r="FC293" s="1" t="s">
        <v>238</v>
      </c>
      <c r="FF293" s="1" t="s">
        <v>239</v>
      </c>
      <c r="FG293" s="1" t="s">
        <v>192</v>
      </c>
      <c r="FH293" s="1" t="s">
        <v>192</v>
      </c>
      <c r="FJ293" s="1" t="s">
        <v>4514</v>
      </c>
      <c r="FK293" s="1" t="s">
        <v>229</v>
      </c>
      <c r="FL293" s="1" t="s">
        <v>456</v>
      </c>
      <c r="FM293" s="1">
        <v>49.0</v>
      </c>
      <c r="FN293" s="1" t="s">
        <v>457</v>
      </c>
      <c r="FO293" s="1" t="s">
        <v>4515</v>
      </c>
      <c r="FP293" s="1">
        <v>8249.0</v>
      </c>
      <c r="FQ293" s="1" t="s">
        <v>4516</v>
      </c>
      <c r="FU293" s="1" t="s">
        <v>4517</v>
      </c>
      <c r="FV293" s="1" t="s">
        <v>200</v>
      </c>
      <c r="FW293" s="1" t="s">
        <v>530</v>
      </c>
      <c r="FZ293" s="1" t="s">
        <v>229</v>
      </c>
      <c r="GA293" s="1" t="s">
        <v>291</v>
      </c>
      <c r="GB293" s="2">
        <v>42135.0</v>
      </c>
      <c r="GC293" s="1" t="s">
        <v>4518</v>
      </c>
    </row>
    <row r="294">
      <c r="A294" s="1">
        <v>330000.0</v>
      </c>
      <c r="B294" s="1" t="s">
        <v>185</v>
      </c>
      <c r="C294" s="1" t="str">
        <f>"08774304"</f>
        <v>08774304</v>
      </c>
      <c r="D294" s="1" t="s">
        <v>186</v>
      </c>
      <c r="F294" s="1" t="str">
        <f>"8072"</f>
        <v>8072</v>
      </c>
      <c r="G294" s="2">
        <v>41955.0</v>
      </c>
      <c r="H294" s="1">
        <v>349900.0</v>
      </c>
      <c r="I294" s="1">
        <v>110.0</v>
      </c>
      <c r="J294" s="1">
        <v>339900.0</v>
      </c>
      <c r="K294" s="2">
        <v>42064.0</v>
      </c>
      <c r="L294" s="1">
        <v>110.0</v>
      </c>
      <c r="M294" s="2">
        <v>42064.0</v>
      </c>
      <c r="N294" s="1" t="s">
        <v>356</v>
      </c>
      <c r="O294" s="2">
        <v>42124.0</v>
      </c>
      <c r="P294" s="1">
        <v>217657.0</v>
      </c>
      <c r="Q294" s="1">
        <v>24945.0</v>
      </c>
      <c r="R294" s="1">
        <v>5000.0</v>
      </c>
      <c r="S294" s="1">
        <v>1729.0</v>
      </c>
      <c r="T294" s="1" t="s">
        <v>4519</v>
      </c>
      <c r="U294" s="1" t="s">
        <v>320</v>
      </c>
      <c r="V294" s="1" t="s">
        <v>190</v>
      </c>
      <c r="W294" s="1">
        <v>60643.0</v>
      </c>
      <c r="Y294" s="1" t="s">
        <v>4520</v>
      </c>
      <c r="Z294" s="1">
        <v>1925.0</v>
      </c>
      <c r="AA294" s="1" t="s">
        <v>192</v>
      </c>
      <c r="AB294" s="1" t="s">
        <v>193</v>
      </c>
      <c r="AD294" s="1" t="s">
        <v>194</v>
      </c>
      <c r="AE294" s="1" t="s">
        <v>195</v>
      </c>
      <c r="AF294" s="1" t="s">
        <v>659</v>
      </c>
      <c r="AH294" s="1" t="s">
        <v>4521</v>
      </c>
      <c r="AI294" s="1">
        <v>0.1209</v>
      </c>
      <c r="AK294" s="1">
        <v>7.0</v>
      </c>
      <c r="AL294" s="1">
        <v>4.0</v>
      </c>
      <c r="AM294" s="1">
        <v>3.0</v>
      </c>
      <c r="AN294" s="1">
        <v>0.0</v>
      </c>
      <c r="AO294" s="1" t="s">
        <v>198</v>
      </c>
      <c r="AQ294" s="1" t="s">
        <v>198</v>
      </c>
      <c r="AR294" s="1" t="s">
        <v>200</v>
      </c>
      <c r="AS294" s="1" t="s">
        <v>199</v>
      </c>
      <c r="AT294" s="1">
        <v>2.0</v>
      </c>
      <c r="AV294" s="1" t="s">
        <v>200</v>
      </c>
      <c r="AW294" s="1">
        <v>2419.28</v>
      </c>
      <c r="AX294" s="1">
        <v>2013.0</v>
      </c>
      <c r="AZ294" s="1" t="s">
        <v>200</v>
      </c>
      <c r="BA294" s="1" t="str">
        <f>"25182120060000"</f>
        <v>25182120060000</v>
      </c>
      <c r="BC294" s="1">
        <v>1480.0</v>
      </c>
      <c r="BD294" s="1">
        <v>330000.0</v>
      </c>
      <c r="BE294" s="2">
        <v>41955.0</v>
      </c>
      <c r="BF294" s="2" t="s">
        <v>4522</v>
      </c>
      <c r="BH294" s="1">
        <v>0.0</v>
      </c>
      <c r="BK294" s="1" t="s">
        <v>204</v>
      </c>
      <c r="BL294" s="1" t="str">
        <f t="shared" ref="BL294:BM294" si="203">"0"</f>
        <v>0</v>
      </c>
      <c r="BM294" s="1" t="str">
        <f t="shared" si="203"/>
        <v>0</v>
      </c>
      <c r="BN294" s="1">
        <v>1729.0</v>
      </c>
      <c r="BO294" s="1">
        <v>10600.0</v>
      </c>
      <c r="BQ294" s="1">
        <v>299.0</v>
      </c>
      <c r="BR294" s="1">
        <v>299.0</v>
      </c>
      <c r="BS294" s="1">
        <v>299.0</v>
      </c>
      <c r="BU294" s="1" t="s">
        <v>1535</v>
      </c>
      <c r="BV294" s="1" t="s">
        <v>206</v>
      </c>
      <c r="BW294" s="1" t="s">
        <v>207</v>
      </c>
      <c r="BY294" s="1" t="s">
        <v>211</v>
      </c>
      <c r="BZ294" s="1" t="s">
        <v>206</v>
      </c>
      <c r="CA294" s="1" t="s">
        <v>207</v>
      </c>
      <c r="CC294" s="1" t="s">
        <v>211</v>
      </c>
      <c r="CD294" s="1" t="s">
        <v>206</v>
      </c>
      <c r="CE294" s="1" t="s">
        <v>207</v>
      </c>
      <c r="CG294" s="1" t="s">
        <v>497</v>
      </c>
      <c r="CH294" s="1" t="s">
        <v>206</v>
      </c>
      <c r="CI294" s="1" t="s">
        <v>207</v>
      </c>
      <c r="CK294" s="1" t="s">
        <v>1809</v>
      </c>
      <c r="CL294" s="1" t="s">
        <v>209</v>
      </c>
      <c r="CM294" s="1" t="s">
        <v>210</v>
      </c>
      <c r="CO294" s="1" t="s">
        <v>260</v>
      </c>
      <c r="CP294" s="1" t="s">
        <v>209</v>
      </c>
      <c r="CQ294" s="1" t="s">
        <v>210</v>
      </c>
      <c r="CS294" s="1" t="s">
        <v>647</v>
      </c>
      <c r="CT294" s="1" t="s">
        <v>206</v>
      </c>
      <c r="CU294" s="1" t="s">
        <v>207</v>
      </c>
      <c r="CX294" s="1" t="s">
        <v>204</v>
      </c>
      <c r="DA294" s="1" t="s">
        <v>200</v>
      </c>
      <c r="DC294" s="1" t="s">
        <v>785</v>
      </c>
      <c r="DE294" s="1" t="s">
        <v>273</v>
      </c>
      <c r="DF294" s="1" t="s">
        <v>1811</v>
      </c>
      <c r="DG294" s="1" t="s">
        <v>2747</v>
      </c>
      <c r="DH294" s="1" t="s">
        <v>220</v>
      </c>
      <c r="DI294" s="1" t="s">
        <v>366</v>
      </c>
      <c r="DJ294" s="1" t="s">
        <v>222</v>
      </c>
      <c r="DL294" s="1" t="s">
        <v>1161</v>
      </c>
      <c r="DM294" s="1" t="s">
        <v>1143</v>
      </c>
      <c r="DP294" s="1" t="s">
        <v>340</v>
      </c>
      <c r="DQ294" s="1" t="s">
        <v>228</v>
      </c>
      <c r="DR294" s="1" t="s">
        <v>229</v>
      </c>
      <c r="DU294" s="1" t="s">
        <v>681</v>
      </c>
      <c r="DV294" s="1" t="s">
        <v>374</v>
      </c>
      <c r="DW294" s="1" t="s">
        <v>279</v>
      </c>
      <c r="DX294" s="1" t="s">
        <v>234</v>
      </c>
      <c r="DY294" s="1" t="s">
        <v>553</v>
      </c>
      <c r="DZ294" s="1" t="s">
        <v>3374</v>
      </c>
      <c r="EA294" s="1" t="s">
        <v>644</v>
      </c>
      <c r="EC294" s="1" t="s">
        <v>237</v>
      </c>
      <c r="EE294" s="1" t="s">
        <v>493</v>
      </c>
      <c r="EG294" s="1" t="s">
        <v>374</v>
      </c>
      <c r="EL294" s="1" t="s">
        <v>4523</v>
      </c>
      <c r="EM294" s="1" t="s">
        <v>206</v>
      </c>
      <c r="EQ294" s="1" t="s">
        <v>238</v>
      </c>
      <c r="EU294" s="1" t="s">
        <v>238</v>
      </c>
      <c r="EY294" s="1" t="s">
        <v>238</v>
      </c>
      <c r="FC294" s="1" t="s">
        <v>238</v>
      </c>
      <c r="FF294" s="1" t="s">
        <v>239</v>
      </c>
      <c r="FG294" s="1" t="s">
        <v>192</v>
      </c>
      <c r="FH294" s="1" t="s">
        <v>192</v>
      </c>
      <c r="FJ294" s="1" t="s">
        <v>4524</v>
      </c>
      <c r="FK294" s="1" t="s">
        <v>229</v>
      </c>
      <c r="FL294" s="1" t="s">
        <v>2989</v>
      </c>
      <c r="FM294" s="1">
        <v>25888.0</v>
      </c>
      <c r="FN294" s="1" t="s">
        <v>2990</v>
      </c>
      <c r="FO294" s="1" t="s">
        <v>2991</v>
      </c>
      <c r="FP294" s="1">
        <v>226116.0</v>
      </c>
      <c r="FQ294" s="1" t="s">
        <v>2990</v>
      </c>
      <c r="FR294" s="1">
        <v>241561.0</v>
      </c>
      <c r="FU294" s="1" t="s">
        <v>2992</v>
      </c>
      <c r="FV294" s="1" t="s">
        <v>200</v>
      </c>
      <c r="FW294" s="1" t="s">
        <v>290</v>
      </c>
      <c r="FX294" s="1" t="s">
        <v>246</v>
      </c>
      <c r="FZ294" s="1" t="s">
        <v>2993</v>
      </c>
      <c r="GA294" s="1" t="s">
        <v>291</v>
      </c>
      <c r="GB294" s="2">
        <v>42125.0</v>
      </c>
      <c r="GC294" s="1" t="s">
        <v>4525</v>
      </c>
    </row>
    <row r="295">
      <c r="A295" s="1">
        <v>115000.0</v>
      </c>
      <c r="B295" s="1" t="s">
        <v>185</v>
      </c>
      <c r="C295" s="1" t="str">
        <f>"08769749"</f>
        <v>08769749</v>
      </c>
      <c r="D295" s="1" t="s">
        <v>186</v>
      </c>
      <c r="F295" s="1" t="str">
        <f>"8070"</f>
        <v>8070</v>
      </c>
      <c r="G295" s="2">
        <v>41948.0</v>
      </c>
      <c r="H295" s="1">
        <v>119000.0</v>
      </c>
      <c r="I295" s="1">
        <v>323.0</v>
      </c>
      <c r="J295" s="1">
        <v>116900.0</v>
      </c>
      <c r="K295" s="2">
        <v>42051.0</v>
      </c>
      <c r="L295" s="1">
        <v>106.0</v>
      </c>
      <c r="M295" s="2">
        <v>42051.0</v>
      </c>
      <c r="N295" s="1" t="s">
        <v>249</v>
      </c>
      <c r="O295" s="2">
        <v>42069.0</v>
      </c>
      <c r="P295" s="1">
        <v>116214.0</v>
      </c>
      <c r="Q295" s="1">
        <v>12619.0</v>
      </c>
      <c r="S295" s="1">
        <v>3214.0</v>
      </c>
      <c r="T295" s="1" t="s">
        <v>4526</v>
      </c>
      <c r="U295" s="1" t="s">
        <v>694</v>
      </c>
      <c r="V295" s="1" t="s">
        <v>190</v>
      </c>
      <c r="W295" s="1">
        <v>60652.0</v>
      </c>
      <c r="Y295" s="1" t="s">
        <v>4527</v>
      </c>
      <c r="Z295" s="1">
        <v>1948.0</v>
      </c>
      <c r="AA295" s="1" t="s">
        <v>192</v>
      </c>
      <c r="AB295" s="1" t="s">
        <v>193</v>
      </c>
      <c r="AD295" s="1" t="s">
        <v>194</v>
      </c>
      <c r="AE295" s="1" t="s">
        <v>195</v>
      </c>
      <c r="AF295" s="1" t="s">
        <v>659</v>
      </c>
      <c r="AH295" s="1" t="s">
        <v>4528</v>
      </c>
      <c r="AI295" s="1">
        <v>0.1076</v>
      </c>
      <c r="AK295" s="1">
        <v>7.0</v>
      </c>
      <c r="AL295" s="1">
        <v>4.0</v>
      </c>
      <c r="AM295" s="1">
        <v>2.0</v>
      </c>
      <c r="AN295" s="1">
        <v>0.0</v>
      </c>
      <c r="AO295" s="1" t="s">
        <v>198</v>
      </c>
      <c r="AQ295" s="1" t="s">
        <v>198</v>
      </c>
      <c r="AR295" s="1" t="s">
        <v>192</v>
      </c>
      <c r="AS295" s="1" t="s">
        <v>199</v>
      </c>
      <c r="AT295" s="1">
        <v>2.0</v>
      </c>
      <c r="AV295" s="1" t="s">
        <v>200</v>
      </c>
      <c r="AW295" s="1">
        <v>2640.05</v>
      </c>
      <c r="AX295" s="1">
        <v>2012.0</v>
      </c>
      <c r="AZ295" s="1" t="s">
        <v>200</v>
      </c>
      <c r="BA295" s="1" t="str">
        <f>"19354030690000"</f>
        <v>19354030690000</v>
      </c>
      <c r="BC295" s="1">
        <v>1728.0</v>
      </c>
      <c r="BD295" s="1">
        <v>115000.0</v>
      </c>
      <c r="BE295" s="2">
        <v>41946.0</v>
      </c>
      <c r="BF295" s="2" t="s">
        <v>4529</v>
      </c>
      <c r="BH295" s="1">
        <v>0.0</v>
      </c>
      <c r="BK295" s="1" t="s">
        <v>204</v>
      </c>
      <c r="BL295" s="1" t="str">
        <f t="shared" ref="BL295:BM295" si="204">"0"</f>
        <v>0</v>
      </c>
      <c r="BM295" s="1" t="str">
        <f t="shared" si="204"/>
        <v>0</v>
      </c>
      <c r="BN295" s="1">
        <v>3214.0</v>
      </c>
      <c r="BO295" s="1">
        <v>8300.0</v>
      </c>
      <c r="BQ295" s="1">
        <v>299.0</v>
      </c>
      <c r="BR295" s="1">
        <v>299.0</v>
      </c>
      <c r="BS295" s="1">
        <v>299.0</v>
      </c>
      <c r="BU295" s="1" t="s">
        <v>2219</v>
      </c>
      <c r="BV295" s="1" t="s">
        <v>206</v>
      </c>
      <c r="BW295" s="1" t="s">
        <v>301</v>
      </c>
      <c r="BX295" s="1" t="s">
        <v>229</v>
      </c>
      <c r="BY295" s="1" t="s">
        <v>480</v>
      </c>
      <c r="BZ295" s="1" t="s">
        <v>209</v>
      </c>
      <c r="CA295" s="1" t="s">
        <v>301</v>
      </c>
      <c r="CB295" s="1" t="s">
        <v>229</v>
      </c>
      <c r="CC295" s="1" t="s">
        <v>495</v>
      </c>
      <c r="CD295" s="1" t="s">
        <v>206</v>
      </c>
      <c r="CE295" s="1" t="s">
        <v>301</v>
      </c>
      <c r="CF295" s="1" t="s">
        <v>229</v>
      </c>
      <c r="CG295" s="1" t="s">
        <v>2713</v>
      </c>
      <c r="CH295" s="1" t="s">
        <v>209</v>
      </c>
      <c r="CI295" s="1" t="s">
        <v>301</v>
      </c>
      <c r="CJ295" s="1" t="s">
        <v>229</v>
      </c>
      <c r="CK295" s="1" t="s">
        <v>699</v>
      </c>
      <c r="CL295" s="1" t="s">
        <v>209</v>
      </c>
      <c r="CM295" s="1" t="s">
        <v>301</v>
      </c>
      <c r="CN295" s="1" t="s">
        <v>229</v>
      </c>
      <c r="CO295" s="1" t="s">
        <v>212</v>
      </c>
      <c r="CP295" s="1" t="s">
        <v>206</v>
      </c>
      <c r="CS295" s="1" t="s">
        <v>1351</v>
      </c>
      <c r="CT295" s="1" t="s">
        <v>206</v>
      </c>
      <c r="CU295" s="1" t="s">
        <v>617</v>
      </c>
      <c r="CV295" s="1" t="s">
        <v>229</v>
      </c>
      <c r="CX295" s="1" t="s">
        <v>204</v>
      </c>
      <c r="DA295" s="1" t="s">
        <v>200</v>
      </c>
      <c r="DC295" s="1" t="s">
        <v>702</v>
      </c>
      <c r="DD295" s="1" t="s">
        <v>518</v>
      </c>
      <c r="DE295" s="1" t="s">
        <v>273</v>
      </c>
      <c r="DF295" s="1" t="s">
        <v>219</v>
      </c>
      <c r="DG295" s="1" t="s">
        <v>337</v>
      </c>
      <c r="DH295" s="1" t="s">
        <v>220</v>
      </c>
      <c r="DJ295" s="1" t="s">
        <v>222</v>
      </c>
      <c r="DL295" s="1" t="s">
        <v>223</v>
      </c>
      <c r="DM295" s="1" t="s">
        <v>229</v>
      </c>
      <c r="DO295" s="1" t="s">
        <v>590</v>
      </c>
      <c r="DQ295" s="1" t="s">
        <v>794</v>
      </c>
      <c r="DR295" s="1" t="s">
        <v>229</v>
      </c>
      <c r="DS295" s="1" t="s">
        <v>230</v>
      </c>
      <c r="DV295" s="1" t="s">
        <v>232</v>
      </c>
      <c r="DW295" s="1" t="s">
        <v>489</v>
      </c>
      <c r="DX295" s="1" t="s">
        <v>234</v>
      </c>
      <c r="EA295" s="1" t="s">
        <v>588</v>
      </c>
      <c r="EC295" s="1" t="s">
        <v>237</v>
      </c>
      <c r="ED295" s="1" t="s">
        <v>1761</v>
      </c>
      <c r="EM295" s="1" t="s">
        <v>238</v>
      </c>
      <c r="EQ295" s="1" t="s">
        <v>238</v>
      </c>
      <c r="EU295" s="1" t="s">
        <v>238</v>
      </c>
      <c r="EY295" s="1" t="s">
        <v>238</v>
      </c>
      <c r="FC295" s="1" t="s">
        <v>238</v>
      </c>
      <c r="FF295" s="1" t="s">
        <v>239</v>
      </c>
      <c r="FG295" s="1" t="s">
        <v>192</v>
      </c>
      <c r="FH295" s="1" t="s">
        <v>192</v>
      </c>
      <c r="FJ295" s="1" t="s">
        <v>4530</v>
      </c>
      <c r="FK295" s="1" t="s">
        <v>229</v>
      </c>
      <c r="FL295" s="1" t="s">
        <v>4531</v>
      </c>
      <c r="FM295" s="1">
        <v>12619.0</v>
      </c>
      <c r="FN295" s="1" t="s">
        <v>4532</v>
      </c>
      <c r="FO295" s="1" t="s">
        <v>4533</v>
      </c>
      <c r="FP295" s="1">
        <v>116214.0</v>
      </c>
      <c r="FQ295" s="1" t="s">
        <v>4532</v>
      </c>
      <c r="FU295" s="1" t="s">
        <v>4534</v>
      </c>
      <c r="FV295" s="1" t="s">
        <v>200</v>
      </c>
      <c r="FW295" s="1" t="s">
        <v>4535</v>
      </c>
      <c r="FX295" s="1" t="s">
        <v>246</v>
      </c>
      <c r="FZ295" s="1" t="s">
        <v>229</v>
      </c>
      <c r="GA295" s="1" t="s">
        <v>291</v>
      </c>
      <c r="GB295" s="2">
        <v>42069.0</v>
      </c>
      <c r="GC295" s="1" t="s">
        <v>4536</v>
      </c>
    </row>
    <row r="296">
      <c r="A296" s="1">
        <v>1500.0</v>
      </c>
      <c r="B296" s="1" t="s">
        <v>185</v>
      </c>
      <c r="C296" s="1" t="str">
        <f>"08785609"</f>
        <v>08785609</v>
      </c>
      <c r="D296" s="1" t="s">
        <v>186</v>
      </c>
      <c r="F296" s="1" t="str">
        <f>"8068"</f>
        <v>8068</v>
      </c>
      <c r="G296" s="2">
        <v>41956.0</v>
      </c>
      <c r="H296" s="1">
        <v>1070.0</v>
      </c>
      <c r="I296" s="1">
        <v>83.0</v>
      </c>
      <c r="J296" s="1">
        <v>1070.0</v>
      </c>
      <c r="K296" s="2">
        <v>42038.0</v>
      </c>
      <c r="L296" s="1">
        <v>83.0</v>
      </c>
      <c r="M296" s="2">
        <v>42038.0</v>
      </c>
      <c r="N296" s="1" t="s">
        <v>249</v>
      </c>
      <c r="O296" s="2">
        <v>42074.0</v>
      </c>
      <c r="P296" s="1">
        <v>129650.0</v>
      </c>
      <c r="Q296" s="1">
        <v>18625.0</v>
      </c>
      <c r="S296" s="1">
        <v>5818.0</v>
      </c>
      <c r="T296" s="1" t="s">
        <v>3412</v>
      </c>
      <c r="U296" s="1" t="s">
        <v>320</v>
      </c>
      <c r="V296" s="1" t="s">
        <v>190</v>
      </c>
      <c r="W296" s="1">
        <v>60621.0</v>
      </c>
      <c r="Y296" s="1" t="s">
        <v>4537</v>
      </c>
      <c r="Z296" s="1">
        <v>1903.0</v>
      </c>
      <c r="AA296" s="1" t="s">
        <v>192</v>
      </c>
      <c r="AB296" s="1" t="s">
        <v>193</v>
      </c>
      <c r="AD296" s="1" t="s">
        <v>194</v>
      </c>
      <c r="AE296" s="1" t="s">
        <v>195</v>
      </c>
      <c r="AF296" s="1" t="s">
        <v>659</v>
      </c>
      <c r="AH296" s="1">
        <v>3125.0</v>
      </c>
      <c r="AI296" s="1">
        <v>0.0717</v>
      </c>
      <c r="AK296" s="1">
        <v>7.0</v>
      </c>
      <c r="AL296" s="1">
        <v>4.0</v>
      </c>
      <c r="AM296" s="1">
        <v>2.0</v>
      </c>
      <c r="AN296" s="1">
        <v>0.0</v>
      </c>
      <c r="AO296" s="1" t="s">
        <v>229</v>
      </c>
      <c r="AQ296" s="1" t="s">
        <v>198</v>
      </c>
      <c r="AR296" s="1" t="s">
        <v>200</v>
      </c>
      <c r="AS296" s="1" t="s">
        <v>229</v>
      </c>
      <c r="AV296" s="1" t="s">
        <v>200</v>
      </c>
      <c r="AW296" s="1">
        <v>1761.29</v>
      </c>
      <c r="AX296" s="1">
        <v>2013.0</v>
      </c>
      <c r="AZ296" s="1" t="s">
        <v>200</v>
      </c>
      <c r="BA296" s="1" t="str">
        <f>"20172300200000"</f>
        <v>20172300200000</v>
      </c>
      <c r="BC296" s="1">
        <v>2195.0</v>
      </c>
      <c r="BD296" s="1">
        <v>1500.0</v>
      </c>
      <c r="BE296" s="2">
        <v>41956.0</v>
      </c>
      <c r="BF296" s="2" t="s">
        <v>4538</v>
      </c>
      <c r="BH296" s="1">
        <v>0.0</v>
      </c>
      <c r="BK296" s="1" t="s">
        <v>204</v>
      </c>
      <c r="BL296" s="1" t="str">
        <f t="shared" ref="BL296:BM296" si="205">"0"</f>
        <v>0</v>
      </c>
      <c r="BM296" s="1" t="str">
        <f t="shared" si="205"/>
        <v>0</v>
      </c>
      <c r="BN296" s="1">
        <v>899.0</v>
      </c>
      <c r="BO296" s="1">
        <v>5818.0</v>
      </c>
      <c r="BQ296" s="1">
        <v>299.0</v>
      </c>
      <c r="BR296" s="1">
        <v>299.0</v>
      </c>
      <c r="BS296" s="1">
        <v>299.0</v>
      </c>
      <c r="BU296" s="1" t="s">
        <v>924</v>
      </c>
      <c r="BV296" s="1" t="s">
        <v>206</v>
      </c>
      <c r="BY296" s="1" t="s">
        <v>393</v>
      </c>
      <c r="BZ296" s="1" t="s">
        <v>209</v>
      </c>
      <c r="CC296" s="1" t="s">
        <v>363</v>
      </c>
      <c r="CD296" s="1" t="s">
        <v>206</v>
      </c>
      <c r="CG296" s="1" t="s">
        <v>363</v>
      </c>
      <c r="CH296" s="1" t="s">
        <v>209</v>
      </c>
      <c r="CK296" s="1" t="s">
        <v>269</v>
      </c>
      <c r="CL296" s="1" t="s">
        <v>209</v>
      </c>
      <c r="CO296" s="1" t="s">
        <v>269</v>
      </c>
      <c r="CP296" s="1" t="s">
        <v>206</v>
      </c>
      <c r="CS296" s="1" t="s">
        <v>363</v>
      </c>
      <c r="CT296" s="1" t="s">
        <v>206</v>
      </c>
      <c r="CX296" s="1" t="s">
        <v>204</v>
      </c>
      <c r="DA296" s="1" t="s">
        <v>200</v>
      </c>
      <c r="DC296" s="1" t="s">
        <v>642</v>
      </c>
      <c r="DE296" s="1" t="s">
        <v>229</v>
      </c>
      <c r="DF296" s="1" t="s">
        <v>2275</v>
      </c>
      <c r="DH296" s="1" t="s">
        <v>307</v>
      </c>
      <c r="DJ296" s="1" t="s">
        <v>222</v>
      </c>
      <c r="DL296" s="1" t="s">
        <v>223</v>
      </c>
      <c r="DM296" s="1" t="s">
        <v>229</v>
      </c>
      <c r="DQ296" s="1" t="s">
        <v>228</v>
      </c>
      <c r="DR296" s="1" t="s">
        <v>229</v>
      </c>
      <c r="DV296" s="1" t="s">
        <v>232</v>
      </c>
      <c r="DW296" s="1" t="s">
        <v>279</v>
      </c>
      <c r="DX296" s="1" t="s">
        <v>234</v>
      </c>
      <c r="EC296" s="1" t="s">
        <v>645</v>
      </c>
      <c r="EM296" s="1" t="s">
        <v>238</v>
      </c>
      <c r="EQ296" s="1" t="s">
        <v>238</v>
      </c>
      <c r="EU296" s="1" t="s">
        <v>238</v>
      </c>
      <c r="EY296" s="1" t="s">
        <v>238</v>
      </c>
      <c r="FC296" s="1" t="s">
        <v>238</v>
      </c>
      <c r="FF296" s="1" t="s">
        <v>239</v>
      </c>
      <c r="FG296" s="1" t="s">
        <v>192</v>
      </c>
      <c r="FH296" s="1" t="s">
        <v>192</v>
      </c>
      <c r="FJ296" s="1" t="s">
        <v>4539</v>
      </c>
      <c r="FK296" s="1" t="s">
        <v>229</v>
      </c>
      <c r="FL296" s="1" t="s">
        <v>4540</v>
      </c>
      <c r="FM296" s="1">
        <v>18239.0</v>
      </c>
      <c r="FN296" s="1" t="s">
        <v>4541</v>
      </c>
      <c r="FO296" s="1" t="s">
        <v>4542</v>
      </c>
      <c r="FP296" s="1">
        <v>166718.0</v>
      </c>
      <c r="FU296" s="1" t="s">
        <v>1541</v>
      </c>
      <c r="FV296" s="1" t="s">
        <v>200</v>
      </c>
      <c r="FW296" s="1" t="s">
        <v>290</v>
      </c>
      <c r="FX296" s="1" t="s">
        <v>655</v>
      </c>
      <c r="FZ296" s="1" t="s">
        <v>229</v>
      </c>
      <c r="GA296" s="1" t="s">
        <v>291</v>
      </c>
      <c r="GB296" s="2">
        <v>42086.0</v>
      </c>
      <c r="GC296" s="1" t="s">
        <v>4543</v>
      </c>
    </row>
    <row r="297">
      <c r="A297" s="1">
        <v>154000.0</v>
      </c>
      <c r="B297" s="1" t="s">
        <v>185</v>
      </c>
      <c r="C297" s="1" t="str">
        <f>"08772046"</f>
        <v>08772046</v>
      </c>
      <c r="D297" s="1" t="s">
        <v>186</v>
      </c>
      <c r="F297" s="1" t="str">
        <f>"8075"</f>
        <v>8075</v>
      </c>
      <c r="G297" s="2">
        <v>41952.0</v>
      </c>
      <c r="H297" s="1">
        <v>158000.0</v>
      </c>
      <c r="I297" s="1">
        <v>56.0</v>
      </c>
      <c r="J297" s="1">
        <v>158000.0</v>
      </c>
      <c r="K297" s="2">
        <v>42006.0</v>
      </c>
      <c r="L297" s="1">
        <v>56.0</v>
      </c>
      <c r="M297" s="2">
        <v>42006.0</v>
      </c>
      <c r="N297" s="1" t="s">
        <v>356</v>
      </c>
      <c r="O297" s="2">
        <v>42055.0</v>
      </c>
      <c r="P297" s="1">
        <v>149967.0</v>
      </c>
      <c r="Q297" s="1">
        <v>16921.0</v>
      </c>
      <c r="R297" s="1">
        <v>4620.0</v>
      </c>
      <c r="S297" s="1">
        <v>11305.0</v>
      </c>
      <c r="T297" s="1" t="s">
        <v>4544</v>
      </c>
      <c r="U297" s="1" t="s">
        <v>320</v>
      </c>
      <c r="V297" s="1" t="s">
        <v>190</v>
      </c>
      <c r="W297" s="1">
        <v>60643.0</v>
      </c>
      <c r="Y297" s="1" t="s">
        <v>4545</v>
      </c>
      <c r="Z297" s="1">
        <v>1950.0</v>
      </c>
      <c r="AA297" s="1" t="s">
        <v>192</v>
      </c>
      <c r="AB297" s="1" t="s">
        <v>193</v>
      </c>
      <c r="AD297" s="1" t="s">
        <v>194</v>
      </c>
      <c r="AE297" s="1" t="s">
        <v>195</v>
      </c>
      <c r="AF297" s="1" t="s">
        <v>659</v>
      </c>
      <c r="AH297" s="1">
        <v>5000.0</v>
      </c>
      <c r="AK297" s="1">
        <v>6.0</v>
      </c>
      <c r="AL297" s="1">
        <v>3.0</v>
      </c>
      <c r="AM297" s="1">
        <v>2.0</v>
      </c>
      <c r="AN297" s="1">
        <v>0.0</v>
      </c>
      <c r="AO297" s="1" t="s">
        <v>229</v>
      </c>
      <c r="AQ297" s="1" t="s">
        <v>198</v>
      </c>
      <c r="AR297" s="1" t="s">
        <v>192</v>
      </c>
      <c r="AS297" s="1" t="s">
        <v>199</v>
      </c>
      <c r="AT297" s="1">
        <v>3.0</v>
      </c>
      <c r="AV297" s="1" t="s">
        <v>200</v>
      </c>
      <c r="AW297" s="1">
        <v>1721.0</v>
      </c>
      <c r="AX297" s="1">
        <v>2013.0</v>
      </c>
      <c r="AY297" s="1" t="s">
        <v>387</v>
      </c>
      <c r="AZ297" s="1" t="s">
        <v>200</v>
      </c>
      <c r="BA297" s="1" t="str">
        <f>"25202270210000"</f>
        <v>25202270210000</v>
      </c>
      <c r="BC297" s="1">
        <v>1058.0</v>
      </c>
      <c r="BD297" s="1">
        <v>154000.0</v>
      </c>
      <c r="BE297" s="2">
        <v>41951.0</v>
      </c>
      <c r="BF297" s="2" t="s">
        <v>4546</v>
      </c>
      <c r="BH297" s="1">
        <v>0.0</v>
      </c>
      <c r="BK297" s="1" t="s">
        <v>204</v>
      </c>
      <c r="BL297" s="1" t="str">
        <f t="shared" ref="BL297:BM297" si="206">"0"</f>
        <v>0</v>
      </c>
      <c r="BM297" s="1" t="str">
        <f t="shared" si="206"/>
        <v>0</v>
      </c>
      <c r="BN297" s="1">
        <v>900.0</v>
      </c>
      <c r="BO297" s="1">
        <v>11305.0</v>
      </c>
      <c r="BQ297" s="1">
        <v>299.0</v>
      </c>
      <c r="BR297" s="1">
        <v>299.0</v>
      </c>
      <c r="BS297" s="1">
        <v>299.0</v>
      </c>
      <c r="BU297" s="1" t="s">
        <v>758</v>
      </c>
      <c r="BV297" s="1" t="s">
        <v>206</v>
      </c>
      <c r="BW297" s="1" t="s">
        <v>207</v>
      </c>
      <c r="BX297" s="1" t="s">
        <v>431</v>
      </c>
      <c r="BY297" s="1" t="s">
        <v>647</v>
      </c>
      <c r="BZ297" s="1" t="s">
        <v>206</v>
      </c>
      <c r="CA297" s="1" t="s">
        <v>207</v>
      </c>
      <c r="CB297" s="1" t="s">
        <v>431</v>
      </c>
      <c r="CD297" s="1" t="s">
        <v>204</v>
      </c>
      <c r="CG297" s="1" t="s">
        <v>264</v>
      </c>
      <c r="CH297" s="1" t="s">
        <v>206</v>
      </c>
      <c r="CI297" s="1" t="s">
        <v>207</v>
      </c>
      <c r="CJ297" s="1" t="s">
        <v>431</v>
      </c>
      <c r="CK297" s="1" t="s">
        <v>269</v>
      </c>
      <c r="CL297" s="1" t="s">
        <v>206</v>
      </c>
      <c r="CM297" s="1" t="s">
        <v>207</v>
      </c>
      <c r="CN297" s="1" t="s">
        <v>431</v>
      </c>
      <c r="CO297" s="1" t="s">
        <v>543</v>
      </c>
      <c r="CP297" s="1" t="s">
        <v>42</v>
      </c>
      <c r="CQ297" s="1" t="s">
        <v>268</v>
      </c>
      <c r="CR297" s="1" t="s">
        <v>229</v>
      </c>
      <c r="CS297" s="1" t="s">
        <v>213</v>
      </c>
      <c r="CT297" s="1" t="s">
        <v>206</v>
      </c>
      <c r="CU297" s="1" t="s">
        <v>268</v>
      </c>
      <c r="CV297" s="1" t="s">
        <v>431</v>
      </c>
      <c r="CX297" s="1" t="s">
        <v>204</v>
      </c>
      <c r="DA297" s="1" t="s">
        <v>200</v>
      </c>
      <c r="DC297" s="1" t="s">
        <v>702</v>
      </c>
      <c r="DE297" s="1" t="s">
        <v>273</v>
      </c>
      <c r="DF297" s="1" t="s">
        <v>619</v>
      </c>
      <c r="DH297" s="1" t="s">
        <v>307</v>
      </c>
      <c r="DJ297" s="1" t="s">
        <v>222</v>
      </c>
      <c r="DL297" s="1" t="s">
        <v>224</v>
      </c>
      <c r="DM297" s="1" t="s">
        <v>229</v>
      </c>
      <c r="DQ297" s="1" t="s">
        <v>228</v>
      </c>
      <c r="DR297" s="1" t="s">
        <v>229</v>
      </c>
      <c r="DS297" s="1" t="s">
        <v>230</v>
      </c>
      <c r="DV297" s="1" t="s">
        <v>232</v>
      </c>
      <c r="DW297" s="1" t="s">
        <v>279</v>
      </c>
      <c r="DX297" s="1" t="s">
        <v>234</v>
      </c>
      <c r="EA297" s="1" t="s">
        <v>683</v>
      </c>
      <c r="EC297" s="1" t="s">
        <v>685</v>
      </c>
      <c r="EE297" s="1" t="s">
        <v>493</v>
      </c>
      <c r="EM297" s="1" t="s">
        <v>238</v>
      </c>
      <c r="EQ297" s="1" t="s">
        <v>238</v>
      </c>
      <c r="EU297" s="1" t="s">
        <v>238</v>
      </c>
      <c r="EY297" s="1" t="s">
        <v>238</v>
      </c>
      <c r="FC297" s="1" t="s">
        <v>238</v>
      </c>
      <c r="FF297" s="1" t="s">
        <v>239</v>
      </c>
      <c r="FG297" s="1" t="s">
        <v>192</v>
      </c>
      <c r="FH297" s="1" t="s">
        <v>192</v>
      </c>
      <c r="FJ297" s="1" t="s">
        <v>4547</v>
      </c>
      <c r="FK297" s="1" t="s">
        <v>557</v>
      </c>
      <c r="FL297" s="1" t="s">
        <v>4548</v>
      </c>
      <c r="FM297" s="1">
        <v>18720.0</v>
      </c>
      <c r="FN297" s="1" t="s">
        <v>4549</v>
      </c>
      <c r="FO297" s="1" t="s">
        <v>4550</v>
      </c>
      <c r="FP297" s="1">
        <v>158518.0</v>
      </c>
      <c r="FQ297" s="1" t="s">
        <v>4551</v>
      </c>
      <c r="FR297" s="1">
        <v>847964.0</v>
      </c>
      <c r="FU297" s="1" t="s">
        <v>4552</v>
      </c>
      <c r="FV297" s="1" t="s">
        <v>200</v>
      </c>
      <c r="FW297" s="1" t="s">
        <v>290</v>
      </c>
      <c r="FX297" s="1" t="s">
        <v>655</v>
      </c>
      <c r="FZ297" s="1" t="s">
        <v>229</v>
      </c>
      <c r="GA297" s="1" t="s">
        <v>291</v>
      </c>
      <c r="GB297" s="2">
        <v>42056.0</v>
      </c>
      <c r="GC297" s="1" t="s">
        <v>4553</v>
      </c>
    </row>
    <row r="298">
      <c r="A298" s="1">
        <v>730000.0</v>
      </c>
      <c r="B298" s="1" t="s">
        <v>185</v>
      </c>
      <c r="C298" s="1" t="str">
        <f>"08770681"</f>
        <v>08770681</v>
      </c>
      <c r="D298" s="1" t="s">
        <v>186</v>
      </c>
      <c r="F298" s="1" t="str">
        <f>"10"</f>
        <v>10</v>
      </c>
      <c r="G298" s="2">
        <v>41949.0</v>
      </c>
      <c r="H298" s="1">
        <v>779900.0</v>
      </c>
      <c r="I298" s="1">
        <v>229.0</v>
      </c>
      <c r="J298" s="1">
        <v>745000.0</v>
      </c>
      <c r="K298" s="2">
        <v>42098.0</v>
      </c>
      <c r="L298" s="1">
        <v>150.0</v>
      </c>
      <c r="M298" s="2">
        <v>42098.0</v>
      </c>
      <c r="N298" s="1" t="s">
        <v>187</v>
      </c>
      <c r="O298" s="2">
        <v>42129.0</v>
      </c>
      <c r="P298" s="1">
        <v>89188.0</v>
      </c>
      <c r="Q298" s="1">
        <v>8970.0</v>
      </c>
      <c r="S298" s="1">
        <v>1520.0</v>
      </c>
      <c r="T298" s="1" t="s">
        <v>4554</v>
      </c>
      <c r="U298" s="1" t="s">
        <v>569</v>
      </c>
      <c r="V298" s="1" t="s">
        <v>1706</v>
      </c>
      <c r="W298" s="1">
        <v>60010.0</v>
      </c>
      <c r="Y298" s="1" t="s">
        <v>4555</v>
      </c>
      <c r="Z298" s="1">
        <v>1969.0</v>
      </c>
      <c r="AA298" s="1" t="s">
        <v>192</v>
      </c>
      <c r="AB298" s="1" t="s">
        <v>193</v>
      </c>
      <c r="AC298" s="1" t="s">
        <v>4556</v>
      </c>
      <c r="AD298" s="1" t="s">
        <v>1948</v>
      </c>
      <c r="AE298" s="1" t="s">
        <v>917</v>
      </c>
      <c r="AF298" s="1" t="s">
        <v>918</v>
      </c>
      <c r="AG298" s="1" t="s">
        <v>4557</v>
      </c>
      <c r="AH298" s="1" t="s">
        <v>4558</v>
      </c>
      <c r="AK298" s="1">
        <v>10.0</v>
      </c>
      <c r="AL298" s="1">
        <v>4.0</v>
      </c>
      <c r="AM298" s="1">
        <v>3.0</v>
      </c>
      <c r="AN298" s="1">
        <v>1.0</v>
      </c>
      <c r="AO298" s="1" t="s">
        <v>198</v>
      </c>
      <c r="AP298" s="1">
        <v>2.0</v>
      </c>
      <c r="AQ298" s="1" t="s">
        <v>198</v>
      </c>
      <c r="AR298" s="1" t="s">
        <v>200</v>
      </c>
      <c r="AS298" s="1" t="s">
        <v>199</v>
      </c>
      <c r="AT298" s="1">
        <v>3.0</v>
      </c>
      <c r="AV298" s="1" t="s">
        <v>192</v>
      </c>
      <c r="AW298" s="1">
        <v>16238.0</v>
      </c>
      <c r="AX298" s="1">
        <v>2013.0</v>
      </c>
      <c r="AY298" s="1" t="s">
        <v>387</v>
      </c>
      <c r="AZ298" s="1" t="s">
        <v>200</v>
      </c>
      <c r="BA298" s="1" t="str">
        <f>"14314040280000"</f>
        <v>14314040280000</v>
      </c>
      <c r="BC298" s="1">
        <v>3768.0</v>
      </c>
      <c r="BD298" s="1">
        <v>730000.0</v>
      </c>
      <c r="BE298" s="2">
        <v>41949.0</v>
      </c>
      <c r="BF298" s="2" t="s">
        <v>4559</v>
      </c>
      <c r="BH298" s="1">
        <v>825.0</v>
      </c>
      <c r="BJ298" s="1" t="s">
        <v>1714</v>
      </c>
      <c r="BK298" s="1" t="s">
        <v>580</v>
      </c>
      <c r="BL298" s="1" t="str">
        <f t="shared" ref="BL298:BM298" si="207">""</f>
        <v/>
      </c>
      <c r="BM298" s="1" t="str">
        <f t="shared" si="207"/>
        <v/>
      </c>
      <c r="BQ298" s="1">
        <v>220.0</v>
      </c>
      <c r="BR298" s="1">
        <v>220.0</v>
      </c>
      <c r="BS298" s="1">
        <v>220.0</v>
      </c>
      <c r="BU298" s="1" t="s">
        <v>2852</v>
      </c>
      <c r="BV298" s="1" t="s">
        <v>206</v>
      </c>
      <c r="BW298" s="1" t="s">
        <v>207</v>
      </c>
      <c r="BY298" s="1" t="s">
        <v>4560</v>
      </c>
      <c r="BZ298" s="1" t="s">
        <v>209</v>
      </c>
      <c r="CA298" s="1" t="s">
        <v>207</v>
      </c>
      <c r="CC298" s="1" t="s">
        <v>433</v>
      </c>
      <c r="CD298" s="1" t="s">
        <v>206</v>
      </c>
      <c r="CE298" s="1" t="s">
        <v>207</v>
      </c>
      <c r="CG298" s="1" t="s">
        <v>784</v>
      </c>
      <c r="CH298" s="1" t="s">
        <v>209</v>
      </c>
      <c r="CI298" s="1" t="s">
        <v>207</v>
      </c>
      <c r="CK298" s="1" t="s">
        <v>433</v>
      </c>
      <c r="CL298" s="1" t="s">
        <v>209</v>
      </c>
      <c r="CM298" s="1" t="s">
        <v>301</v>
      </c>
      <c r="CO298" s="1" t="s">
        <v>433</v>
      </c>
      <c r="CP298" s="1" t="s">
        <v>209</v>
      </c>
      <c r="CQ298" s="1" t="s">
        <v>207</v>
      </c>
      <c r="CS298" s="1" t="s">
        <v>1535</v>
      </c>
      <c r="CT298" s="1" t="s">
        <v>206</v>
      </c>
      <c r="CU298" s="1" t="s">
        <v>207</v>
      </c>
      <c r="CW298" s="1" t="s">
        <v>2714</v>
      </c>
      <c r="CX298" s="1" t="s">
        <v>206</v>
      </c>
      <c r="CY298" s="1" t="s">
        <v>207</v>
      </c>
      <c r="DA298" s="1" t="s">
        <v>200</v>
      </c>
      <c r="DC298" s="1" t="s">
        <v>517</v>
      </c>
      <c r="DD298" s="1" t="s">
        <v>586</v>
      </c>
      <c r="DE298" s="1" t="s">
        <v>273</v>
      </c>
      <c r="DF298" s="1" t="s">
        <v>745</v>
      </c>
      <c r="DG298" s="1" t="s">
        <v>4561</v>
      </c>
      <c r="DH298" s="1" t="s">
        <v>220</v>
      </c>
      <c r="DI298" s="1" t="s">
        <v>4562</v>
      </c>
      <c r="DJ298" s="1" t="s">
        <v>222</v>
      </c>
      <c r="DL298" s="1" t="s">
        <v>224</v>
      </c>
      <c r="DM298" s="1" t="s">
        <v>929</v>
      </c>
      <c r="DN298" s="1" t="s">
        <v>485</v>
      </c>
      <c r="DO298" s="1" t="s">
        <v>4563</v>
      </c>
      <c r="DP298" s="1" t="s">
        <v>340</v>
      </c>
      <c r="DQ298" s="1" t="s">
        <v>1557</v>
      </c>
      <c r="DR298" s="1" t="s">
        <v>4564</v>
      </c>
      <c r="DU298" s="1" t="s">
        <v>4565</v>
      </c>
      <c r="DV298" s="1" t="s">
        <v>4566</v>
      </c>
      <c r="DW298" s="1" t="s">
        <v>279</v>
      </c>
      <c r="DX298" s="1" t="s">
        <v>234</v>
      </c>
      <c r="DY298" s="1" t="s">
        <v>596</v>
      </c>
      <c r="DZ298" s="1" t="s">
        <v>4567</v>
      </c>
      <c r="EA298" s="1" t="s">
        <v>3308</v>
      </c>
      <c r="EB298" s="1" t="s">
        <v>4251</v>
      </c>
      <c r="EC298" s="1" t="s">
        <v>237</v>
      </c>
      <c r="ED298" s="1" t="s">
        <v>312</v>
      </c>
      <c r="EG298" s="1" t="s">
        <v>598</v>
      </c>
      <c r="EH298" s="1" t="s">
        <v>450</v>
      </c>
      <c r="EI298" s="1" t="s">
        <v>1571</v>
      </c>
      <c r="EL298" s="1" t="s">
        <v>433</v>
      </c>
      <c r="EM298" s="1" t="s">
        <v>206</v>
      </c>
      <c r="EN298" s="1" t="s">
        <v>207</v>
      </c>
      <c r="EP298" s="1" t="s">
        <v>4568</v>
      </c>
      <c r="EQ298" s="1" t="s">
        <v>42</v>
      </c>
      <c r="ER298" s="1" t="s">
        <v>617</v>
      </c>
      <c r="ET298" s="1" t="s">
        <v>1449</v>
      </c>
      <c r="EU298" s="1" t="s">
        <v>209</v>
      </c>
      <c r="EY298" s="1" t="s">
        <v>238</v>
      </c>
      <c r="FC298" s="1" t="s">
        <v>238</v>
      </c>
      <c r="FF298" s="1" t="s">
        <v>239</v>
      </c>
      <c r="FG298" s="1" t="s">
        <v>192</v>
      </c>
      <c r="FH298" s="1" t="s">
        <v>192</v>
      </c>
      <c r="FJ298" s="1" t="s">
        <v>2133</v>
      </c>
      <c r="FK298" s="1" t="s">
        <v>229</v>
      </c>
      <c r="FL298" s="1" t="s">
        <v>1007</v>
      </c>
      <c r="FM298" s="1">
        <v>74602.0</v>
      </c>
      <c r="FN298" s="1" t="s">
        <v>4569</v>
      </c>
      <c r="FO298" s="1" t="s">
        <v>4570</v>
      </c>
      <c r="FP298" s="1">
        <v>700721.0</v>
      </c>
      <c r="FQ298" s="1" t="s">
        <v>4571</v>
      </c>
      <c r="FU298" s="1" t="s">
        <v>4572</v>
      </c>
      <c r="FV298" s="1" t="s">
        <v>200</v>
      </c>
      <c r="FW298" s="1" t="s">
        <v>290</v>
      </c>
      <c r="FZ298" s="1" t="s">
        <v>229</v>
      </c>
      <c r="GA298" s="1" t="s">
        <v>291</v>
      </c>
      <c r="GB298" s="2">
        <v>42130.0</v>
      </c>
      <c r="GC298" s="1" t="s">
        <v>4573</v>
      </c>
    </row>
    <row r="299">
      <c r="A299" s="1">
        <v>603000.0</v>
      </c>
      <c r="B299" s="1" t="s">
        <v>185</v>
      </c>
      <c r="C299" s="1" t="str">
        <f>"08770601"</f>
        <v>08770601</v>
      </c>
      <c r="D299" s="1" t="s">
        <v>186</v>
      </c>
      <c r="F299" s="1" t="str">
        <f>"8012"</f>
        <v>8012</v>
      </c>
      <c r="G299" s="2">
        <v>41949.0</v>
      </c>
      <c r="H299" s="1">
        <v>699000.0</v>
      </c>
      <c r="I299" s="1">
        <v>74.0</v>
      </c>
      <c r="J299" s="1">
        <v>639000.0</v>
      </c>
      <c r="K299" s="2">
        <v>42022.0</v>
      </c>
      <c r="L299" s="1">
        <v>74.0</v>
      </c>
      <c r="M299" s="2">
        <v>42022.0</v>
      </c>
      <c r="N299" s="1" t="s">
        <v>187</v>
      </c>
      <c r="O299" s="2">
        <v>42076.0</v>
      </c>
      <c r="P299" s="1">
        <v>187840.0</v>
      </c>
      <c r="Q299" s="1">
        <v>84025.0</v>
      </c>
      <c r="S299" s="1">
        <v>6540.0</v>
      </c>
      <c r="T299" s="1" t="s">
        <v>4574</v>
      </c>
      <c r="U299" s="1" t="s">
        <v>189</v>
      </c>
      <c r="V299" s="1" t="s">
        <v>190</v>
      </c>
      <c r="W299" s="1">
        <v>60646.0</v>
      </c>
      <c r="Y299" s="1" t="s">
        <v>4575</v>
      </c>
      <c r="Z299" s="1">
        <v>1936.0</v>
      </c>
      <c r="AA299" s="1" t="s">
        <v>192</v>
      </c>
      <c r="AB299" s="1" t="s">
        <v>193</v>
      </c>
      <c r="AD299" s="1" t="s">
        <v>194</v>
      </c>
      <c r="AE299" s="1" t="s">
        <v>195</v>
      </c>
      <c r="AF299" s="1" t="s">
        <v>196</v>
      </c>
      <c r="AH299" s="1" t="s">
        <v>4576</v>
      </c>
      <c r="AK299" s="1">
        <v>9.0</v>
      </c>
      <c r="AL299" s="1">
        <v>4.0</v>
      </c>
      <c r="AM299" s="1">
        <v>2.0</v>
      </c>
      <c r="AN299" s="1">
        <v>1.0</v>
      </c>
      <c r="AO299" s="1" t="s">
        <v>198</v>
      </c>
      <c r="AQ299" s="1" t="s">
        <v>198</v>
      </c>
      <c r="AR299" s="1" t="s">
        <v>192</v>
      </c>
      <c r="AS299" s="1" t="s">
        <v>199</v>
      </c>
      <c r="AT299" s="1">
        <v>2.5</v>
      </c>
      <c r="AV299" s="1" t="s">
        <v>200</v>
      </c>
      <c r="AW299" s="1">
        <v>7822.0</v>
      </c>
      <c r="AX299" s="1">
        <v>2013.0</v>
      </c>
      <c r="AY299" s="1" t="s">
        <v>387</v>
      </c>
      <c r="AZ299" s="1" t="s">
        <v>200</v>
      </c>
      <c r="BA299" s="1" t="str">
        <f>"10324170120000"</f>
        <v>10324170120000</v>
      </c>
      <c r="BB299" s="1" t="s">
        <v>200</v>
      </c>
      <c r="BC299" s="1">
        <v>2297.0</v>
      </c>
      <c r="BD299" s="1">
        <v>603000.0</v>
      </c>
      <c r="BE299" s="2">
        <v>41949.0</v>
      </c>
      <c r="BF299" s="1" t="s">
        <v>4577</v>
      </c>
      <c r="BG299" s="1" t="s">
        <v>2364</v>
      </c>
      <c r="BH299" s="1">
        <v>0.0</v>
      </c>
      <c r="BI299" s="1" t="s">
        <v>2364</v>
      </c>
      <c r="BJ299" s="1" t="s">
        <v>1222</v>
      </c>
      <c r="BK299" s="1" t="s">
        <v>204</v>
      </c>
      <c r="BL299" s="1" t="str">
        <f>"6540"</f>
        <v>6540</v>
      </c>
      <c r="BM299" s="1" t="str">
        <f>"0"</f>
        <v>0</v>
      </c>
      <c r="BN299" s="1">
        <v>5700.0</v>
      </c>
      <c r="BO299" s="1">
        <v>0.0</v>
      </c>
      <c r="BQ299" s="1">
        <v>299.0</v>
      </c>
      <c r="BR299" s="1">
        <v>299.0</v>
      </c>
      <c r="BS299" s="1">
        <v>299.0</v>
      </c>
      <c r="BU299" s="1" t="s">
        <v>544</v>
      </c>
      <c r="BV299" s="1" t="s">
        <v>206</v>
      </c>
      <c r="BW299" s="1" t="s">
        <v>207</v>
      </c>
      <c r="BY299" s="1" t="s">
        <v>1426</v>
      </c>
      <c r="BZ299" s="1" t="s">
        <v>209</v>
      </c>
      <c r="CA299" s="1" t="s">
        <v>207</v>
      </c>
      <c r="CC299" s="1" t="s">
        <v>433</v>
      </c>
      <c r="CD299" s="1" t="s">
        <v>206</v>
      </c>
      <c r="CE299" s="1" t="s">
        <v>207</v>
      </c>
      <c r="CG299" s="1" t="s">
        <v>211</v>
      </c>
      <c r="CH299" s="1" t="s">
        <v>209</v>
      </c>
      <c r="CI299" s="1" t="s">
        <v>207</v>
      </c>
      <c r="CK299" s="1" t="s">
        <v>215</v>
      </c>
      <c r="CL299" s="1" t="s">
        <v>209</v>
      </c>
      <c r="CM299" s="1" t="s">
        <v>207</v>
      </c>
      <c r="CO299" s="1" t="s">
        <v>392</v>
      </c>
      <c r="CP299" s="1" t="s">
        <v>206</v>
      </c>
      <c r="CQ299" s="1" t="s">
        <v>207</v>
      </c>
      <c r="CS299" s="1" t="s">
        <v>433</v>
      </c>
      <c r="CT299" s="1" t="s">
        <v>206</v>
      </c>
      <c r="CU299" s="1" t="s">
        <v>207</v>
      </c>
      <c r="CW299" s="1" t="s">
        <v>4063</v>
      </c>
      <c r="CX299" s="1" t="s">
        <v>42</v>
      </c>
      <c r="CY299" s="1" t="s">
        <v>268</v>
      </c>
      <c r="DA299" s="1" t="s">
        <v>200</v>
      </c>
      <c r="DC299" s="1" t="s">
        <v>1399</v>
      </c>
      <c r="DD299" s="1" t="s">
        <v>518</v>
      </c>
      <c r="DE299" s="1" t="s">
        <v>273</v>
      </c>
      <c r="DF299" s="1" t="s">
        <v>905</v>
      </c>
      <c r="DH299" s="1" t="s">
        <v>220</v>
      </c>
      <c r="DI299" s="1" t="s">
        <v>703</v>
      </c>
      <c r="DJ299" s="1" t="s">
        <v>222</v>
      </c>
      <c r="DL299" s="1" t="s">
        <v>224</v>
      </c>
      <c r="DM299" s="1" t="s">
        <v>229</v>
      </c>
      <c r="DP299" s="1" t="s">
        <v>340</v>
      </c>
      <c r="DQ299" s="1" t="s">
        <v>228</v>
      </c>
      <c r="DR299" s="1" t="s">
        <v>229</v>
      </c>
      <c r="DU299" s="1" t="s">
        <v>2785</v>
      </c>
      <c r="DV299" s="1" t="s">
        <v>1729</v>
      </c>
      <c r="DW299" s="1" t="s">
        <v>279</v>
      </c>
      <c r="DX299" s="1" t="s">
        <v>234</v>
      </c>
      <c r="EC299" s="1" t="s">
        <v>237</v>
      </c>
      <c r="EK299" s="1" t="s">
        <v>1729</v>
      </c>
      <c r="EM299" s="1" t="s">
        <v>238</v>
      </c>
      <c r="EQ299" s="1" t="s">
        <v>238</v>
      </c>
      <c r="EU299" s="1" t="s">
        <v>238</v>
      </c>
      <c r="EY299" s="1" t="s">
        <v>238</v>
      </c>
      <c r="FB299" s="1" t="s">
        <v>211</v>
      </c>
      <c r="FC299" s="1" t="s">
        <v>206</v>
      </c>
      <c r="FD299" s="1" t="s">
        <v>617</v>
      </c>
      <c r="FF299" s="1" t="s">
        <v>239</v>
      </c>
      <c r="FG299" s="1" t="s">
        <v>192</v>
      </c>
      <c r="FH299" s="1" t="s">
        <v>192</v>
      </c>
      <c r="FJ299" s="1" t="s">
        <v>4578</v>
      </c>
      <c r="FK299" s="1" t="s">
        <v>229</v>
      </c>
      <c r="FL299" s="1" t="s">
        <v>4579</v>
      </c>
      <c r="FM299" s="1">
        <v>84301.0</v>
      </c>
      <c r="FN299" s="1" t="s">
        <v>4580</v>
      </c>
      <c r="FO299" s="1" t="s">
        <v>4581</v>
      </c>
      <c r="FP299" s="1">
        <v>125080.0</v>
      </c>
      <c r="FQ299" s="1" t="s">
        <v>4582</v>
      </c>
      <c r="FU299" s="1" t="s">
        <v>1438</v>
      </c>
      <c r="FV299" s="1" t="s">
        <v>200</v>
      </c>
      <c r="FW299" s="1" t="s">
        <v>4583</v>
      </c>
      <c r="FX299" s="1" t="s">
        <v>238</v>
      </c>
      <c r="FZ299" s="1" t="s">
        <v>229</v>
      </c>
      <c r="GA299" s="1" t="s">
        <v>291</v>
      </c>
      <c r="GB299" s="2">
        <v>42079.0</v>
      </c>
    </row>
    <row r="300">
      <c r="A300" s="1">
        <v>290000.0</v>
      </c>
      <c r="B300" s="1" t="s">
        <v>185</v>
      </c>
      <c r="C300" s="1" t="str">
        <f>"08769753"</f>
        <v>08769753</v>
      </c>
      <c r="D300" s="1" t="s">
        <v>186</v>
      </c>
      <c r="F300" s="1" t="str">
        <f>"123"</f>
        <v>123</v>
      </c>
      <c r="G300" s="2">
        <v>41948.0</v>
      </c>
      <c r="H300" s="1">
        <v>299000.0</v>
      </c>
      <c r="I300" s="1">
        <v>643.0</v>
      </c>
      <c r="J300" s="1">
        <v>290000.0</v>
      </c>
      <c r="K300" s="2">
        <v>41983.0</v>
      </c>
      <c r="L300" s="1">
        <v>36.0</v>
      </c>
      <c r="M300" s="2">
        <v>41983.0</v>
      </c>
      <c r="N300" s="1" t="s">
        <v>187</v>
      </c>
      <c r="O300" s="2">
        <v>42020.0</v>
      </c>
      <c r="P300" s="1">
        <v>240250.0</v>
      </c>
      <c r="Q300" s="1">
        <v>1384.0</v>
      </c>
      <c r="R300" s="1">
        <v>5000.0</v>
      </c>
      <c r="S300" s="1">
        <v>625.0</v>
      </c>
      <c r="T300" s="1" t="s">
        <v>4584</v>
      </c>
      <c r="U300" s="1" t="s">
        <v>189</v>
      </c>
      <c r="V300" s="1" t="s">
        <v>465</v>
      </c>
      <c r="W300" s="1">
        <v>60124.0</v>
      </c>
      <c r="Y300" s="1" t="s">
        <v>4585</v>
      </c>
      <c r="Z300" s="1">
        <v>2005.0</v>
      </c>
      <c r="AA300" s="1" t="s">
        <v>200</v>
      </c>
      <c r="AB300" s="1" t="s">
        <v>193</v>
      </c>
      <c r="AC300" s="1" t="s">
        <v>4586</v>
      </c>
      <c r="AD300" s="1" t="s">
        <v>469</v>
      </c>
      <c r="AE300" s="1" t="s">
        <v>325</v>
      </c>
      <c r="AF300" s="1" t="s">
        <v>469</v>
      </c>
      <c r="AH300" s="1" t="s">
        <v>4587</v>
      </c>
      <c r="AI300" s="1">
        <v>0.2312</v>
      </c>
      <c r="AK300" s="1">
        <v>11.0</v>
      </c>
      <c r="AL300" s="1">
        <v>4.0</v>
      </c>
      <c r="AM300" s="1">
        <v>2.0</v>
      </c>
      <c r="AN300" s="1">
        <v>1.0</v>
      </c>
      <c r="AO300" s="1" t="s">
        <v>198</v>
      </c>
      <c r="AP300" s="1">
        <v>1.0</v>
      </c>
      <c r="AQ300" s="1" t="s">
        <v>327</v>
      </c>
      <c r="AR300" s="1" t="s">
        <v>200</v>
      </c>
      <c r="AS300" s="1" t="s">
        <v>199</v>
      </c>
      <c r="AT300" s="1">
        <v>2.0</v>
      </c>
      <c r="AV300" s="1" t="s">
        <v>200</v>
      </c>
      <c r="AW300" s="1">
        <v>9692.0</v>
      </c>
      <c r="AX300" s="1">
        <v>2013.0</v>
      </c>
      <c r="AY300" s="1" t="s">
        <v>387</v>
      </c>
      <c r="AZ300" s="1" t="s">
        <v>200</v>
      </c>
      <c r="BA300" s="1" t="str">
        <f>"0619477021"</f>
        <v>0619477021</v>
      </c>
      <c r="BC300" s="1">
        <v>3542.0</v>
      </c>
      <c r="BD300" s="1">
        <v>290000.0</v>
      </c>
      <c r="BE300" s="2">
        <v>41948.0</v>
      </c>
      <c r="BF300" s="2" t="s">
        <v>4588</v>
      </c>
      <c r="BH300" s="1">
        <v>275.0</v>
      </c>
      <c r="BI300" s="1" t="s">
        <v>1975</v>
      </c>
      <c r="BJ300" s="1" t="s">
        <v>579</v>
      </c>
      <c r="BK300" s="1" t="s">
        <v>580</v>
      </c>
      <c r="BL300" s="1" t="str">
        <f t="shared" ref="BL300:BM300" si="208">""</f>
        <v/>
      </c>
      <c r="BM300" s="1" t="str">
        <f t="shared" si="208"/>
        <v/>
      </c>
      <c r="BQ300" s="1">
        <v>301.0</v>
      </c>
      <c r="BR300" s="1">
        <v>301.0</v>
      </c>
      <c r="BS300" s="1">
        <v>301.0</v>
      </c>
      <c r="BU300" s="1" t="s">
        <v>393</v>
      </c>
      <c r="BV300" s="1" t="s">
        <v>206</v>
      </c>
      <c r="BW300" s="1" t="s">
        <v>210</v>
      </c>
      <c r="BY300" s="1" t="s">
        <v>544</v>
      </c>
      <c r="BZ300" s="1" t="s">
        <v>209</v>
      </c>
      <c r="CA300" s="1" t="s">
        <v>210</v>
      </c>
      <c r="CC300" s="1" t="s">
        <v>433</v>
      </c>
      <c r="CD300" s="1" t="s">
        <v>206</v>
      </c>
      <c r="CE300" s="1" t="s">
        <v>210</v>
      </c>
      <c r="CG300" s="1" t="s">
        <v>758</v>
      </c>
      <c r="CH300" s="1" t="s">
        <v>209</v>
      </c>
      <c r="CI300" s="1" t="s">
        <v>210</v>
      </c>
      <c r="CK300" s="1" t="s">
        <v>331</v>
      </c>
      <c r="CL300" s="1" t="s">
        <v>209</v>
      </c>
      <c r="CM300" s="1" t="s">
        <v>210</v>
      </c>
      <c r="CO300" s="1" t="s">
        <v>215</v>
      </c>
      <c r="CP300" s="1" t="s">
        <v>209</v>
      </c>
      <c r="CQ300" s="1" t="s">
        <v>210</v>
      </c>
      <c r="CS300" s="1" t="s">
        <v>1426</v>
      </c>
      <c r="CT300" s="1" t="s">
        <v>206</v>
      </c>
      <c r="CU300" s="1" t="s">
        <v>268</v>
      </c>
      <c r="CW300" s="1" t="s">
        <v>260</v>
      </c>
      <c r="CX300" s="1" t="s">
        <v>206</v>
      </c>
      <c r="CY300" s="1" t="s">
        <v>210</v>
      </c>
      <c r="DA300" s="1" t="s">
        <v>200</v>
      </c>
      <c r="DC300" s="1" t="s">
        <v>481</v>
      </c>
      <c r="DD300" s="1" t="s">
        <v>336</v>
      </c>
      <c r="DE300" s="1" t="s">
        <v>273</v>
      </c>
      <c r="DF300" s="1" t="s">
        <v>219</v>
      </c>
      <c r="DG300" s="1" t="s">
        <v>1317</v>
      </c>
      <c r="DH300" s="1" t="s">
        <v>220</v>
      </c>
      <c r="DI300" s="1" t="s">
        <v>1813</v>
      </c>
      <c r="DJ300" s="1" t="s">
        <v>222</v>
      </c>
      <c r="DK300" s="1" t="s">
        <v>223</v>
      </c>
      <c r="DL300" s="1" t="s">
        <v>223</v>
      </c>
      <c r="DM300" s="1" t="s">
        <v>338</v>
      </c>
      <c r="DN300" s="1" t="s">
        <v>485</v>
      </c>
      <c r="DO300" s="1" t="s">
        <v>549</v>
      </c>
      <c r="DP300" s="1" t="s">
        <v>340</v>
      </c>
      <c r="DQ300" s="1" t="s">
        <v>228</v>
      </c>
      <c r="DR300" s="1" t="s">
        <v>229</v>
      </c>
      <c r="DS300" s="1" t="s">
        <v>230</v>
      </c>
      <c r="DV300" s="1" t="s">
        <v>4589</v>
      </c>
      <c r="DW300" s="1" t="s">
        <v>233</v>
      </c>
      <c r="DX300" s="1" t="s">
        <v>234</v>
      </c>
      <c r="DY300" s="1" t="s">
        <v>1189</v>
      </c>
      <c r="DZ300" s="1" t="s">
        <v>236</v>
      </c>
      <c r="EA300" s="1" t="s">
        <v>447</v>
      </c>
      <c r="EB300" s="1" t="s">
        <v>937</v>
      </c>
      <c r="EC300" s="1" t="s">
        <v>237</v>
      </c>
      <c r="EH300" s="1" t="s">
        <v>341</v>
      </c>
      <c r="EI300" s="1" t="s">
        <v>408</v>
      </c>
      <c r="EJ300" s="1" t="s">
        <v>449</v>
      </c>
      <c r="EK300" s="1" t="s">
        <v>598</v>
      </c>
      <c r="EM300" s="1" t="s">
        <v>238</v>
      </c>
      <c r="EP300" s="1" t="s">
        <v>260</v>
      </c>
      <c r="EQ300" s="1" t="s">
        <v>209</v>
      </c>
      <c r="ER300" s="1" t="s">
        <v>210</v>
      </c>
      <c r="ET300" s="1" t="s">
        <v>1245</v>
      </c>
      <c r="EU300" s="1" t="s">
        <v>206</v>
      </c>
      <c r="EV300" s="1" t="s">
        <v>268</v>
      </c>
      <c r="EX300" s="1" t="s">
        <v>647</v>
      </c>
      <c r="EY300" s="1" t="s">
        <v>206</v>
      </c>
      <c r="EZ300" s="1" t="s">
        <v>268</v>
      </c>
      <c r="FB300" s="1" t="s">
        <v>264</v>
      </c>
      <c r="FC300" s="1" t="s">
        <v>206</v>
      </c>
      <c r="FD300" s="1" t="s">
        <v>210</v>
      </c>
      <c r="FF300" s="1" t="s">
        <v>239</v>
      </c>
      <c r="FG300" s="1" t="s">
        <v>192</v>
      </c>
      <c r="FH300" s="1" t="s">
        <v>192</v>
      </c>
      <c r="FJ300" s="1" t="s">
        <v>524</v>
      </c>
      <c r="FK300" s="1" t="s">
        <v>229</v>
      </c>
      <c r="FL300" s="1" t="s">
        <v>3794</v>
      </c>
      <c r="FM300" s="1">
        <v>3592.0</v>
      </c>
      <c r="FN300" s="1" t="s">
        <v>3795</v>
      </c>
      <c r="FO300" s="1" t="s">
        <v>3796</v>
      </c>
      <c r="FP300" s="1">
        <v>35051.0</v>
      </c>
      <c r="FQ300" s="1" t="s">
        <v>3797</v>
      </c>
      <c r="FU300" s="1" t="s">
        <v>3798</v>
      </c>
      <c r="FV300" s="1" t="s">
        <v>200</v>
      </c>
      <c r="FW300" s="1" t="s">
        <v>290</v>
      </c>
      <c r="FZ300" s="1" t="s">
        <v>229</v>
      </c>
      <c r="GA300" s="1" t="s">
        <v>291</v>
      </c>
      <c r="GB300" s="2">
        <v>42024.0</v>
      </c>
      <c r="GC300" s="1" t="s">
        <v>4590</v>
      </c>
    </row>
    <row r="301">
      <c r="A301" s="1">
        <v>222000.0</v>
      </c>
      <c r="B301" s="1" t="s">
        <v>185</v>
      </c>
      <c r="C301" s="1" t="str">
        <f>"08771151"</f>
        <v>08771151</v>
      </c>
      <c r="D301" s="1" t="s">
        <v>186</v>
      </c>
      <c r="F301" s="1" t="str">
        <f>"134"</f>
        <v>134</v>
      </c>
      <c r="G301" s="2">
        <v>41950.0</v>
      </c>
      <c r="H301" s="1">
        <v>250000.0</v>
      </c>
      <c r="I301" s="1">
        <v>81.0</v>
      </c>
      <c r="J301" s="1">
        <v>235000.0</v>
      </c>
      <c r="K301" s="2">
        <v>42030.0</v>
      </c>
      <c r="L301" s="1">
        <v>81.0</v>
      </c>
      <c r="M301" s="2">
        <v>42030.0</v>
      </c>
      <c r="N301" s="1" t="s">
        <v>249</v>
      </c>
      <c r="O301" s="2">
        <v>42034.0</v>
      </c>
      <c r="P301" s="1">
        <v>1455.0</v>
      </c>
      <c r="Q301" s="1">
        <v>357.0</v>
      </c>
      <c r="S301" s="1">
        <v>2309.0</v>
      </c>
      <c r="T301" s="1" t="s">
        <v>4591</v>
      </c>
      <c r="U301" s="1" t="s">
        <v>1174</v>
      </c>
      <c r="V301" s="1" t="s">
        <v>421</v>
      </c>
      <c r="W301" s="1">
        <v>60134.0</v>
      </c>
      <c r="Y301" s="1" t="s">
        <v>4592</v>
      </c>
      <c r="Z301" s="1">
        <v>1975.0</v>
      </c>
      <c r="AA301" s="1" t="s">
        <v>192</v>
      </c>
      <c r="AB301" s="1" t="s">
        <v>193</v>
      </c>
      <c r="AC301" s="1" t="s">
        <v>2686</v>
      </c>
      <c r="AD301" s="1" t="s">
        <v>424</v>
      </c>
      <c r="AE301" s="1" t="s">
        <v>325</v>
      </c>
      <c r="AF301" s="1" t="s">
        <v>424</v>
      </c>
      <c r="AH301" s="1" t="s">
        <v>4593</v>
      </c>
      <c r="AI301" s="1">
        <v>0.232</v>
      </c>
      <c r="AK301" s="1">
        <v>10.0</v>
      </c>
      <c r="AL301" s="1">
        <v>4.0</v>
      </c>
      <c r="AM301" s="1">
        <v>2.0</v>
      </c>
      <c r="AN301" s="1">
        <v>1.0</v>
      </c>
      <c r="AO301" s="1" t="s">
        <v>198</v>
      </c>
      <c r="AP301" s="1">
        <v>1.0</v>
      </c>
      <c r="AQ301" s="1" t="s">
        <v>198</v>
      </c>
      <c r="AR301" s="1" t="s">
        <v>200</v>
      </c>
      <c r="AS301" s="1" t="s">
        <v>199</v>
      </c>
      <c r="AT301" s="1">
        <v>2.0</v>
      </c>
      <c r="AV301" s="1" t="s">
        <v>200</v>
      </c>
      <c r="AW301" s="1">
        <v>8147.44</v>
      </c>
      <c r="AX301" s="1">
        <v>2013.0</v>
      </c>
      <c r="AY301" s="1" t="s">
        <v>588</v>
      </c>
      <c r="AZ301" s="1" t="s">
        <v>200</v>
      </c>
      <c r="BA301" s="1" t="str">
        <f>"1204303004"</f>
        <v>1204303004</v>
      </c>
      <c r="BB301" s="1" t="s">
        <v>200</v>
      </c>
      <c r="BC301" s="1">
        <v>2148.0</v>
      </c>
      <c r="BD301" s="1">
        <v>222000.0</v>
      </c>
      <c r="BE301" s="2">
        <v>41950.0</v>
      </c>
      <c r="BF301" s="2" t="s">
        <v>4594</v>
      </c>
      <c r="BG301" s="1" t="s">
        <v>428</v>
      </c>
      <c r="BH301" s="1">
        <v>240.0</v>
      </c>
      <c r="BI301" s="1" t="s">
        <v>429</v>
      </c>
      <c r="BJ301" s="1" t="s">
        <v>430</v>
      </c>
      <c r="BK301" s="1" t="s">
        <v>580</v>
      </c>
      <c r="BL301" s="1" t="str">
        <f>"1"</f>
        <v>1</v>
      </c>
      <c r="BM301" s="1" t="str">
        <f>""</f>
        <v/>
      </c>
      <c r="BN301" s="1">
        <v>36.0</v>
      </c>
      <c r="BQ301" s="1">
        <v>304.0</v>
      </c>
      <c r="BR301" s="1">
        <v>304.0</v>
      </c>
      <c r="BS301" s="1">
        <v>304.0</v>
      </c>
      <c r="BU301" s="1" t="s">
        <v>214</v>
      </c>
      <c r="BV301" s="1" t="s">
        <v>206</v>
      </c>
      <c r="BW301" s="1" t="s">
        <v>210</v>
      </c>
      <c r="BX301" s="1" t="s">
        <v>239</v>
      </c>
      <c r="BY301" s="1" t="s">
        <v>1158</v>
      </c>
      <c r="BZ301" s="1" t="s">
        <v>209</v>
      </c>
      <c r="CA301" s="1" t="s">
        <v>210</v>
      </c>
      <c r="CB301" s="1" t="s">
        <v>239</v>
      </c>
      <c r="CC301" s="1" t="s">
        <v>212</v>
      </c>
      <c r="CD301" s="1" t="s">
        <v>206</v>
      </c>
      <c r="CE301" s="1" t="s">
        <v>210</v>
      </c>
      <c r="CF301" s="1" t="s">
        <v>239</v>
      </c>
      <c r="CG301" s="1" t="s">
        <v>392</v>
      </c>
      <c r="CH301" s="1" t="s">
        <v>209</v>
      </c>
      <c r="CI301" s="1" t="s">
        <v>210</v>
      </c>
      <c r="CJ301" s="1" t="s">
        <v>239</v>
      </c>
      <c r="CK301" s="1" t="s">
        <v>497</v>
      </c>
      <c r="CL301" s="1" t="s">
        <v>209</v>
      </c>
      <c r="CM301" s="1" t="s">
        <v>210</v>
      </c>
      <c r="CN301" s="1" t="s">
        <v>239</v>
      </c>
      <c r="CO301" s="1" t="s">
        <v>363</v>
      </c>
      <c r="CP301" s="1" t="s">
        <v>209</v>
      </c>
      <c r="CQ301" s="1" t="s">
        <v>210</v>
      </c>
      <c r="CR301" s="1" t="s">
        <v>239</v>
      </c>
      <c r="CS301" s="1" t="s">
        <v>784</v>
      </c>
      <c r="CT301" s="1" t="s">
        <v>206</v>
      </c>
      <c r="CU301" s="1" t="s">
        <v>617</v>
      </c>
      <c r="CV301" s="1" t="s">
        <v>239</v>
      </c>
      <c r="CW301" s="1" t="s">
        <v>361</v>
      </c>
      <c r="CX301" s="1" t="s">
        <v>206</v>
      </c>
      <c r="CY301" s="1" t="s">
        <v>210</v>
      </c>
      <c r="CZ301" s="1" t="s">
        <v>239</v>
      </c>
      <c r="DA301" s="1" t="s">
        <v>200</v>
      </c>
      <c r="DC301" s="1" t="s">
        <v>395</v>
      </c>
      <c r="DD301" s="1" t="s">
        <v>396</v>
      </c>
      <c r="DE301" s="1" t="s">
        <v>273</v>
      </c>
      <c r="DF301" s="1" t="s">
        <v>219</v>
      </c>
      <c r="DG301" s="1" t="s">
        <v>1266</v>
      </c>
      <c r="DH301" s="1" t="s">
        <v>220</v>
      </c>
      <c r="DI301" s="1" t="s">
        <v>959</v>
      </c>
      <c r="DJ301" s="1" t="s">
        <v>222</v>
      </c>
      <c r="DK301" s="1" t="s">
        <v>223</v>
      </c>
      <c r="DL301" s="1" t="s">
        <v>858</v>
      </c>
      <c r="DM301" s="1" t="s">
        <v>929</v>
      </c>
      <c r="DP301" s="1" t="s">
        <v>340</v>
      </c>
      <c r="DQ301" s="1" t="s">
        <v>441</v>
      </c>
      <c r="DR301" s="1" t="s">
        <v>2593</v>
      </c>
      <c r="DS301" s="1" t="s">
        <v>230</v>
      </c>
      <c r="DU301" s="1" t="s">
        <v>4595</v>
      </c>
      <c r="DV301" s="1" t="s">
        <v>4596</v>
      </c>
      <c r="DW301" s="1" t="s">
        <v>370</v>
      </c>
      <c r="DX301" s="1" t="s">
        <v>234</v>
      </c>
      <c r="DY301" s="1" t="s">
        <v>1006</v>
      </c>
      <c r="DZ301" s="1" t="s">
        <v>1661</v>
      </c>
      <c r="EA301" s="1" t="s">
        <v>447</v>
      </c>
      <c r="EB301" s="1" t="s">
        <v>2915</v>
      </c>
      <c r="EC301" s="1" t="s">
        <v>237</v>
      </c>
      <c r="ED301" s="1" t="s">
        <v>407</v>
      </c>
      <c r="EE301" s="1" t="s">
        <v>187</v>
      </c>
      <c r="EG301" s="1" t="s">
        <v>598</v>
      </c>
      <c r="EH301" s="1" t="s">
        <v>450</v>
      </c>
      <c r="EI301" s="1" t="s">
        <v>1102</v>
      </c>
      <c r="EL301" s="1" t="s">
        <v>2414</v>
      </c>
      <c r="EM301" s="1" t="s">
        <v>42</v>
      </c>
      <c r="EN301" s="1" t="s">
        <v>588</v>
      </c>
      <c r="EP301" s="1" t="s">
        <v>4597</v>
      </c>
      <c r="EQ301" s="1" t="s">
        <v>42</v>
      </c>
      <c r="ER301" s="1" t="s">
        <v>617</v>
      </c>
      <c r="ET301" s="1" t="s">
        <v>433</v>
      </c>
      <c r="EU301" s="1" t="s">
        <v>206</v>
      </c>
      <c r="EV301" s="1" t="s">
        <v>210</v>
      </c>
      <c r="EY301" s="1" t="s">
        <v>238</v>
      </c>
      <c r="FC301" s="1" t="s">
        <v>238</v>
      </c>
      <c r="FF301" s="1" t="s">
        <v>239</v>
      </c>
      <c r="FG301" s="1" t="s">
        <v>192</v>
      </c>
      <c r="FH301" s="1" t="s">
        <v>192</v>
      </c>
      <c r="FJ301" s="1" t="s">
        <v>4598</v>
      </c>
      <c r="FK301" s="1" t="s">
        <v>229</v>
      </c>
      <c r="FL301" s="1" t="s">
        <v>1212</v>
      </c>
      <c r="FM301" s="1">
        <v>30.0</v>
      </c>
      <c r="FN301" s="1" t="s">
        <v>1213</v>
      </c>
      <c r="FO301" s="1" t="s">
        <v>4599</v>
      </c>
      <c r="FP301" s="1">
        <v>878.0</v>
      </c>
      <c r="FQ301" s="1" t="s">
        <v>4600</v>
      </c>
      <c r="FR301" s="1">
        <v>236610.0</v>
      </c>
      <c r="FU301" s="1" t="s">
        <v>4601</v>
      </c>
      <c r="FV301" s="1" t="s">
        <v>200</v>
      </c>
      <c r="FW301" s="1" t="s">
        <v>290</v>
      </c>
      <c r="FZ301" s="1" t="s">
        <v>229</v>
      </c>
      <c r="GA301" s="1" t="s">
        <v>291</v>
      </c>
      <c r="GB301" s="2">
        <v>42037.0</v>
      </c>
    </row>
    <row r="302">
      <c r="A302" s="1">
        <v>242500.0</v>
      </c>
      <c r="B302" s="1" t="s">
        <v>185</v>
      </c>
      <c r="C302" s="1" t="str">
        <f>"08772150"</f>
        <v>08772150</v>
      </c>
      <c r="D302" s="1" t="s">
        <v>186</v>
      </c>
      <c r="F302" s="1" t="str">
        <f>"510"</f>
        <v>510</v>
      </c>
      <c r="G302" s="2">
        <v>41952.0</v>
      </c>
      <c r="H302" s="1">
        <v>250000.0</v>
      </c>
      <c r="I302" s="1">
        <v>4.0</v>
      </c>
      <c r="J302" s="1">
        <v>250000.0</v>
      </c>
      <c r="K302" s="2">
        <v>41955.0</v>
      </c>
      <c r="L302" s="1">
        <v>4.0</v>
      </c>
      <c r="M302" s="2">
        <v>41955.0</v>
      </c>
      <c r="N302" s="1" t="s">
        <v>187</v>
      </c>
      <c r="O302" s="2">
        <v>41985.0</v>
      </c>
      <c r="P302" s="1">
        <v>222460.0</v>
      </c>
      <c r="Q302" s="1">
        <v>25309.0</v>
      </c>
      <c r="S302" s="1">
        <v>1143.0</v>
      </c>
      <c r="T302" s="1" t="s">
        <v>4602</v>
      </c>
      <c r="U302" s="1" t="s">
        <v>320</v>
      </c>
      <c r="V302" s="1" t="s">
        <v>2700</v>
      </c>
      <c r="W302" s="1">
        <v>60510.0</v>
      </c>
      <c r="X302" s="1">
        <v>3251.0</v>
      </c>
      <c r="Y302" s="1" t="s">
        <v>4603</v>
      </c>
      <c r="Z302" s="1">
        <v>1975.0</v>
      </c>
      <c r="AA302" s="1" t="s">
        <v>192</v>
      </c>
      <c r="AB302" s="1" t="s">
        <v>193</v>
      </c>
      <c r="AC302" s="1" t="s">
        <v>4604</v>
      </c>
      <c r="AD302" s="1" t="s">
        <v>2702</v>
      </c>
      <c r="AE302" s="1" t="s">
        <v>325</v>
      </c>
      <c r="AF302" s="1" t="s">
        <v>2702</v>
      </c>
      <c r="AH302" s="1" t="s">
        <v>4605</v>
      </c>
      <c r="AI302" s="1">
        <v>0.21</v>
      </c>
      <c r="AK302" s="1">
        <v>9.0</v>
      </c>
      <c r="AL302" s="1">
        <v>4.0</v>
      </c>
      <c r="AM302" s="1">
        <v>2.0</v>
      </c>
      <c r="AN302" s="1">
        <v>1.0</v>
      </c>
      <c r="AO302" s="1" t="s">
        <v>198</v>
      </c>
      <c r="AP302" s="1">
        <v>1.0</v>
      </c>
      <c r="AQ302" s="1" t="s">
        <v>1314</v>
      </c>
      <c r="AR302" s="1" t="s">
        <v>192</v>
      </c>
      <c r="AS302" s="1" t="s">
        <v>199</v>
      </c>
      <c r="AT302" s="1">
        <v>2.0</v>
      </c>
      <c r="AV302" s="1" t="s">
        <v>200</v>
      </c>
      <c r="AW302" s="1">
        <v>6213.14</v>
      </c>
      <c r="AX302" s="1">
        <v>2013.0</v>
      </c>
      <c r="AY302" s="1" t="s">
        <v>387</v>
      </c>
      <c r="AZ302" s="1" t="s">
        <v>200</v>
      </c>
      <c r="BA302" s="1" t="str">
        <f>"1223454003"</f>
        <v>1223454003</v>
      </c>
      <c r="BC302" s="1">
        <v>2036.0</v>
      </c>
      <c r="BD302" s="1">
        <v>242500.0</v>
      </c>
      <c r="BE302" s="2">
        <v>41952.0</v>
      </c>
      <c r="BF302" s="2" t="s">
        <v>4606</v>
      </c>
      <c r="BG302" s="1" t="s">
        <v>4607</v>
      </c>
      <c r="BH302" s="1">
        <v>0.0</v>
      </c>
      <c r="BI302" s="1" t="s">
        <v>3090</v>
      </c>
      <c r="BJ302" s="1" t="s">
        <v>3091</v>
      </c>
      <c r="BK302" s="1" t="s">
        <v>204</v>
      </c>
      <c r="BL302" s="1" t="str">
        <f t="shared" ref="BL302:BM302" si="209">""</f>
        <v/>
      </c>
      <c r="BM302" s="1" t="str">
        <f t="shared" si="209"/>
        <v/>
      </c>
      <c r="BN302" s="1">
        <v>35.0</v>
      </c>
      <c r="BO302" s="1">
        <v>2.0</v>
      </c>
      <c r="BQ302" s="1">
        <v>101.0</v>
      </c>
      <c r="BR302" s="1">
        <v>101.0</v>
      </c>
      <c r="BS302" s="1">
        <v>101.0</v>
      </c>
      <c r="BU302" s="1" t="s">
        <v>955</v>
      </c>
      <c r="BV302" s="1" t="s">
        <v>206</v>
      </c>
      <c r="BW302" s="1" t="s">
        <v>210</v>
      </c>
      <c r="BY302" s="1" t="s">
        <v>262</v>
      </c>
      <c r="BZ302" s="1" t="s">
        <v>209</v>
      </c>
      <c r="CA302" s="1" t="s">
        <v>207</v>
      </c>
      <c r="CC302" s="1" t="s">
        <v>212</v>
      </c>
      <c r="CD302" s="1" t="s">
        <v>206</v>
      </c>
      <c r="CE302" s="1" t="s">
        <v>210</v>
      </c>
      <c r="CG302" s="1" t="s">
        <v>454</v>
      </c>
      <c r="CH302" s="1" t="s">
        <v>209</v>
      </c>
      <c r="CI302" s="1" t="s">
        <v>207</v>
      </c>
      <c r="CK302" s="1" t="s">
        <v>392</v>
      </c>
      <c r="CL302" s="1" t="s">
        <v>209</v>
      </c>
      <c r="CM302" s="1" t="s">
        <v>207</v>
      </c>
      <c r="CO302" s="1" t="s">
        <v>264</v>
      </c>
      <c r="CP302" s="1" t="s">
        <v>209</v>
      </c>
      <c r="CQ302" s="1" t="s">
        <v>207</v>
      </c>
      <c r="CS302" s="1" t="s">
        <v>582</v>
      </c>
      <c r="CT302" s="1" t="s">
        <v>206</v>
      </c>
      <c r="CU302" s="1" t="s">
        <v>207</v>
      </c>
      <c r="CV302" s="1" t="s">
        <v>431</v>
      </c>
      <c r="CW302" s="1" t="s">
        <v>333</v>
      </c>
      <c r="CX302" s="1" t="s">
        <v>267</v>
      </c>
      <c r="CY302" s="1" t="s">
        <v>210</v>
      </c>
      <c r="DA302" s="1" t="s">
        <v>200</v>
      </c>
      <c r="DC302" s="1" t="s">
        <v>395</v>
      </c>
      <c r="DD302" s="1" t="s">
        <v>396</v>
      </c>
      <c r="DE302" s="1" t="s">
        <v>273</v>
      </c>
      <c r="DF302" s="1" t="s">
        <v>219</v>
      </c>
      <c r="DG302" s="1" t="s">
        <v>482</v>
      </c>
      <c r="DH302" s="1" t="s">
        <v>220</v>
      </c>
      <c r="DI302" s="1" t="s">
        <v>4608</v>
      </c>
      <c r="DJ302" s="1" t="s">
        <v>222</v>
      </c>
      <c r="DL302" s="1" t="s">
        <v>4609</v>
      </c>
      <c r="DM302" s="1" t="s">
        <v>4610</v>
      </c>
      <c r="DO302" s="1" t="s">
        <v>1556</v>
      </c>
      <c r="DP302" s="1" t="s">
        <v>400</v>
      </c>
      <c r="DQ302" s="1" t="s">
        <v>228</v>
      </c>
      <c r="DR302" s="1" t="s">
        <v>229</v>
      </c>
      <c r="DS302" s="1" t="s">
        <v>591</v>
      </c>
      <c r="DU302" s="1" t="s">
        <v>3059</v>
      </c>
      <c r="DV302" s="1" t="s">
        <v>4611</v>
      </c>
      <c r="DW302" s="1" t="s">
        <v>233</v>
      </c>
      <c r="DX302" s="1" t="s">
        <v>234</v>
      </c>
      <c r="DY302" s="1" t="s">
        <v>704</v>
      </c>
      <c r="DZ302" s="1" t="s">
        <v>4612</v>
      </c>
      <c r="EA302" s="1" t="s">
        <v>283</v>
      </c>
      <c r="EB302" s="1" t="s">
        <v>2915</v>
      </c>
      <c r="EC302" s="1" t="s">
        <v>4613</v>
      </c>
      <c r="ED302" s="1" t="s">
        <v>407</v>
      </c>
      <c r="EE302" s="1" t="s">
        <v>493</v>
      </c>
      <c r="EG302" s="1" t="s">
        <v>2129</v>
      </c>
      <c r="EH302" s="1" t="s">
        <v>450</v>
      </c>
      <c r="EI302" s="1" t="s">
        <v>450</v>
      </c>
      <c r="EL302" s="1" t="s">
        <v>2120</v>
      </c>
      <c r="EM302" s="1" t="s">
        <v>267</v>
      </c>
      <c r="EN302" s="1" t="s">
        <v>268</v>
      </c>
      <c r="EP302" s="1" t="s">
        <v>1875</v>
      </c>
      <c r="EQ302" s="1" t="s">
        <v>42</v>
      </c>
      <c r="ER302" s="1" t="s">
        <v>210</v>
      </c>
      <c r="ET302" s="1" t="s">
        <v>1417</v>
      </c>
      <c r="EU302" s="1" t="s">
        <v>42</v>
      </c>
      <c r="EV302" s="1" t="s">
        <v>210</v>
      </c>
      <c r="EY302" s="1" t="s">
        <v>238</v>
      </c>
      <c r="FC302" s="1" t="s">
        <v>238</v>
      </c>
      <c r="FF302" s="1" t="s">
        <v>239</v>
      </c>
      <c r="FG302" s="1" t="s">
        <v>192</v>
      </c>
      <c r="FH302" s="1" t="s">
        <v>192</v>
      </c>
      <c r="FJ302" s="1" t="s">
        <v>2133</v>
      </c>
      <c r="FK302" s="1" t="s">
        <v>229</v>
      </c>
      <c r="FL302" s="1" t="s">
        <v>1358</v>
      </c>
      <c r="FM302" s="1">
        <v>23591.0</v>
      </c>
      <c r="FN302" s="1" t="s">
        <v>2134</v>
      </c>
      <c r="FO302" s="1" t="s">
        <v>4614</v>
      </c>
      <c r="FP302" s="1">
        <v>245649.0</v>
      </c>
      <c r="FQ302" s="1" t="s">
        <v>4615</v>
      </c>
      <c r="FS302" s="1" t="s">
        <v>4616</v>
      </c>
      <c r="FU302" s="1" t="s">
        <v>4617</v>
      </c>
      <c r="FV302" s="1" t="s">
        <v>200</v>
      </c>
      <c r="FW302" s="1" t="s">
        <v>290</v>
      </c>
      <c r="FZ302" s="1" t="s">
        <v>229</v>
      </c>
      <c r="GA302" s="1" t="s">
        <v>291</v>
      </c>
      <c r="GB302" s="2">
        <v>41985.0</v>
      </c>
      <c r="GC302" s="1" t="s">
        <v>4618</v>
      </c>
    </row>
    <row r="303">
      <c r="A303" s="1">
        <v>278000.0</v>
      </c>
      <c r="B303" s="1" t="s">
        <v>185</v>
      </c>
      <c r="C303" s="1" t="str">
        <f>"08787606"</f>
        <v>08787606</v>
      </c>
      <c r="D303" s="1" t="s">
        <v>186</v>
      </c>
      <c r="F303" s="1" t="str">
        <f>"538"</f>
        <v>538</v>
      </c>
      <c r="G303" s="2">
        <v>41960.0</v>
      </c>
      <c r="H303" s="1">
        <v>279900.0</v>
      </c>
      <c r="I303" s="1">
        <v>200.0</v>
      </c>
      <c r="J303" s="1">
        <v>279900.0</v>
      </c>
      <c r="K303" s="2">
        <v>41998.0</v>
      </c>
      <c r="L303" s="1">
        <v>39.0</v>
      </c>
      <c r="M303" s="2">
        <v>41998.0</v>
      </c>
      <c r="N303" s="1" t="s">
        <v>634</v>
      </c>
      <c r="O303" s="2">
        <v>42048.0</v>
      </c>
      <c r="P303" s="1">
        <v>236846.0</v>
      </c>
      <c r="Q303" s="1">
        <v>23068.0</v>
      </c>
      <c r="R303" s="1">
        <v>4000.0</v>
      </c>
      <c r="S303" s="1">
        <v>1725.0</v>
      </c>
      <c r="T303" s="1" t="s">
        <v>4619</v>
      </c>
      <c r="U303" s="1" t="s">
        <v>569</v>
      </c>
      <c r="V303" s="1" t="s">
        <v>1340</v>
      </c>
      <c r="W303" s="1">
        <v>60538.0</v>
      </c>
      <c r="Y303" s="1" t="s">
        <v>4620</v>
      </c>
      <c r="Z303" s="1">
        <v>2003.0</v>
      </c>
      <c r="AA303" s="1" t="s">
        <v>200</v>
      </c>
      <c r="AB303" s="1" t="s">
        <v>193</v>
      </c>
      <c r="AC303" s="1" t="s">
        <v>4621</v>
      </c>
      <c r="AD303" s="1" t="s">
        <v>1343</v>
      </c>
      <c r="AE303" s="1" t="s">
        <v>325</v>
      </c>
      <c r="AF303" s="1" t="s">
        <v>1887</v>
      </c>
      <c r="AG303" s="1">
        <v>3502.0</v>
      </c>
      <c r="AH303" s="1" t="s">
        <v>4622</v>
      </c>
      <c r="AK303" s="1">
        <v>11.0</v>
      </c>
      <c r="AL303" s="1">
        <v>4.0</v>
      </c>
      <c r="AM303" s="1">
        <v>3.0</v>
      </c>
      <c r="AN303" s="1">
        <v>1.0</v>
      </c>
      <c r="AO303" s="1" t="s">
        <v>198</v>
      </c>
      <c r="AP303" s="1">
        <v>2.0</v>
      </c>
      <c r="AQ303" s="1" t="s">
        <v>198</v>
      </c>
      <c r="AR303" s="1" t="s">
        <v>192</v>
      </c>
      <c r="AS303" s="1" t="s">
        <v>199</v>
      </c>
      <c r="AT303" s="1">
        <v>3.0</v>
      </c>
      <c r="AV303" s="1" t="s">
        <v>200</v>
      </c>
      <c r="AW303" s="4">
        <v>6368.56</v>
      </c>
      <c r="AX303" s="1">
        <v>2013.0</v>
      </c>
      <c r="AZ303" s="1" t="s">
        <v>200</v>
      </c>
      <c r="BA303" s="1" t="str">
        <f>"1434478013"</f>
        <v>1434478013</v>
      </c>
      <c r="BB303" s="1" t="s">
        <v>200</v>
      </c>
      <c r="BC303" s="1">
        <v>3502.0</v>
      </c>
      <c r="BD303" s="1">
        <v>278000.0</v>
      </c>
      <c r="BE303" s="2">
        <v>41960.0</v>
      </c>
      <c r="BF303" s="2" t="s">
        <v>4623</v>
      </c>
      <c r="BG303" s="1" t="s">
        <v>4624</v>
      </c>
      <c r="BH303" s="1">
        <v>0.0</v>
      </c>
      <c r="BI303" s="1" t="s">
        <v>3052</v>
      </c>
      <c r="BJ303" s="1" t="s">
        <v>3053</v>
      </c>
      <c r="BK303" s="1" t="s">
        <v>204</v>
      </c>
      <c r="BL303" s="1" t="str">
        <f t="shared" ref="BL303:BM303" si="210">"0"</f>
        <v>0</v>
      </c>
      <c r="BM303" s="1" t="str">
        <f t="shared" si="210"/>
        <v>0</v>
      </c>
      <c r="BN303" s="1">
        <v>40.0</v>
      </c>
      <c r="BO303" s="1">
        <v>10.0</v>
      </c>
      <c r="BQ303" s="1">
        <v>115.0</v>
      </c>
      <c r="BR303" s="1">
        <v>115.0</v>
      </c>
      <c r="BS303" s="1">
        <v>115.0</v>
      </c>
      <c r="BU303" s="1" t="s">
        <v>758</v>
      </c>
      <c r="BV303" s="1" t="s">
        <v>206</v>
      </c>
      <c r="BW303" s="1" t="s">
        <v>210</v>
      </c>
      <c r="BX303" s="1" t="s">
        <v>1549</v>
      </c>
      <c r="BY303" s="1" t="s">
        <v>1492</v>
      </c>
      <c r="BZ303" s="1" t="s">
        <v>209</v>
      </c>
      <c r="CA303" s="1" t="s">
        <v>210</v>
      </c>
      <c r="CB303" s="1" t="s">
        <v>1549</v>
      </c>
      <c r="CC303" s="1" t="s">
        <v>497</v>
      </c>
      <c r="CD303" s="1" t="s">
        <v>206</v>
      </c>
      <c r="CE303" s="1" t="s">
        <v>210</v>
      </c>
      <c r="CF303" s="1" t="s">
        <v>1549</v>
      </c>
      <c r="CG303" s="1" t="s">
        <v>215</v>
      </c>
      <c r="CH303" s="1" t="s">
        <v>209</v>
      </c>
      <c r="CI303" s="1" t="s">
        <v>210</v>
      </c>
      <c r="CJ303" s="1" t="s">
        <v>1118</v>
      </c>
      <c r="CK303" s="1" t="s">
        <v>215</v>
      </c>
      <c r="CL303" s="1" t="s">
        <v>209</v>
      </c>
      <c r="CM303" s="1" t="s">
        <v>210</v>
      </c>
      <c r="CN303" s="1" t="s">
        <v>1118</v>
      </c>
      <c r="CO303" s="1" t="s">
        <v>329</v>
      </c>
      <c r="CP303" s="1" t="s">
        <v>209</v>
      </c>
      <c r="CQ303" s="1" t="s">
        <v>210</v>
      </c>
      <c r="CR303" s="1" t="s">
        <v>229</v>
      </c>
      <c r="CS303" s="1" t="s">
        <v>925</v>
      </c>
      <c r="CT303" s="1" t="s">
        <v>206</v>
      </c>
      <c r="CU303" s="1" t="s">
        <v>301</v>
      </c>
      <c r="CV303" s="1" t="s">
        <v>1118</v>
      </c>
      <c r="CW303" s="1" t="s">
        <v>364</v>
      </c>
      <c r="CX303" s="1" t="s">
        <v>206</v>
      </c>
      <c r="CY303" s="1" t="s">
        <v>210</v>
      </c>
      <c r="CZ303" s="1" t="s">
        <v>1549</v>
      </c>
      <c r="DA303" s="1" t="s">
        <v>200</v>
      </c>
      <c r="DC303" s="1" t="s">
        <v>335</v>
      </c>
      <c r="DD303" s="1" t="s">
        <v>336</v>
      </c>
      <c r="DE303" s="1" t="s">
        <v>273</v>
      </c>
      <c r="DF303" s="1" t="s">
        <v>219</v>
      </c>
      <c r="DG303" s="1" t="s">
        <v>1020</v>
      </c>
      <c r="DH303" s="1" t="s">
        <v>220</v>
      </c>
      <c r="DI303" s="1" t="s">
        <v>221</v>
      </c>
      <c r="DJ303" s="1" t="s">
        <v>222</v>
      </c>
      <c r="DL303" s="1" t="s">
        <v>224</v>
      </c>
      <c r="DM303" s="1" t="s">
        <v>1268</v>
      </c>
      <c r="DN303" s="1" t="s">
        <v>485</v>
      </c>
      <c r="DO303" s="1" t="s">
        <v>3845</v>
      </c>
      <c r="DP303" s="1" t="s">
        <v>276</v>
      </c>
      <c r="DQ303" s="1" t="s">
        <v>441</v>
      </c>
      <c r="DR303" s="1" t="s">
        <v>229</v>
      </c>
      <c r="DS303" s="1" t="s">
        <v>230</v>
      </c>
      <c r="DU303" s="1" t="s">
        <v>487</v>
      </c>
      <c r="DV303" s="1" t="s">
        <v>4625</v>
      </c>
      <c r="DW303" s="1" t="s">
        <v>233</v>
      </c>
      <c r="DX303" s="1" t="s">
        <v>309</v>
      </c>
      <c r="DZ303" s="1" t="s">
        <v>1074</v>
      </c>
      <c r="EA303" s="1" t="s">
        <v>447</v>
      </c>
      <c r="EB303" s="1" t="s">
        <v>4251</v>
      </c>
      <c r="EC303" s="1" t="s">
        <v>237</v>
      </c>
      <c r="ED303" s="1" t="s">
        <v>407</v>
      </c>
      <c r="EG303" s="1" t="s">
        <v>341</v>
      </c>
      <c r="EI303" s="1" t="s">
        <v>494</v>
      </c>
      <c r="EJ303" s="1" t="s">
        <v>449</v>
      </c>
      <c r="EK303" s="1" t="s">
        <v>409</v>
      </c>
      <c r="EL303" s="1" t="s">
        <v>3595</v>
      </c>
      <c r="EM303" s="1" t="s">
        <v>209</v>
      </c>
      <c r="EN303" s="1" t="s">
        <v>210</v>
      </c>
      <c r="EO303" s="1" t="s">
        <v>1549</v>
      </c>
      <c r="EQ303" s="1" t="s">
        <v>238</v>
      </c>
      <c r="ET303" s="1" t="s">
        <v>1190</v>
      </c>
      <c r="EU303" s="1" t="s">
        <v>206</v>
      </c>
      <c r="EV303" s="1" t="s">
        <v>210</v>
      </c>
      <c r="EW303" s="1" t="s">
        <v>431</v>
      </c>
      <c r="EX303" s="1" t="s">
        <v>363</v>
      </c>
      <c r="EY303" s="1" t="s">
        <v>206</v>
      </c>
      <c r="EZ303" s="1" t="s">
        <v>301</v>
      </c>
      <c r="FA303" s="1" t="s">
        <v>431</v>
      </c>
      <c r="FB303" s="1" t="s">
        <v>4028</v>
      </c>
      <c r="FC303" s="1" t="s">
        <v>209</v>
      </c>
      <c r="FD303" s="1" t="s">
        <v>210</v>
      </c>
      <c r="FE303" s="1" t="s">
        <v>229</v>
      </c>
      <c r="FF303" s="1" t="s">
        <v>239</v>
      </c>
      <c r="FG303" s="1" t="s">
        <v>192</v>
      </c>
      <c r="FH303" s="1" t="s">
        <v>192</v>
      </c>
      <c r="FJ303" s="1" t="s">
        <v>4626</v>
      </c>
      <c r="FK303" s="1" t="s">
        <v>229</v>
      </c>
      <c r="FL303" s="1" t="s">
        <v>4627</v>
      </c>
      <c r="FM303" s="1">
        <v>23030.0</v>
      </c>
      <c r="FN303" s="1" t="s">
        <v>4628</v>
      </c>
      <c r="FO303" s="1" t="s">
        <v>4629</v>
      </c>
      <c r="FP303" s="1">
        <v>211039.0</v>
      </c>
      <c r="FU303" s="1" t="s">
        <v>4630</v>
      </c>
      <c r="FV303" s="1" t="s">
        <v>200</v>
      </c>
      <c r="FW303" s="1" t="s">
        <v>567</v>
      </c>
      <c r="FZ303" s="1" t="s">
        <v>229</v>
      </c>
      <c r="GA303" s="1" t="s">
        <v>291</v>
      </c>
      <c r="GB303" s="2">
        <v>42048.0</v>
      </c>
      <c r="GC303" s="1" t="s">
        <v>4631</v>
      </c>
    </row>
    <row r="304">
      <c r="A304" s="1">
        <v>147500.0</v>
      </c>
      <c r="B304" s="1" t="s">
        <v>185</v>
      </c>
      <c r="C304" s="1" t="str">
        <f>"08771579"</f>
        <v>08771579</v>
      </c>
      <c r="D304" s="1" t="s">
        <v>186</v>
      </c>
      <c r="F304" s="1" t="str">
        <f>"110"</f>
        <v>110</v>
      </c>
      <c r="G304" s="2">
        <v>41950.0</v>
      </c>
      <c r="H304" s="1">
        <v>179900.0</v>
      </c>
      <c r="I304" s="1">
        <v>81.0</v>
      </c>
      <c r="J304" s="1">
        <v>149900.0</v>
      </c>
      <c r="K304" s="2">
        <v>42030.0</v>
      </c>
      <c r="L304" s="1">
        <v>81.0</v>
      </c>
      <c r="M304" s="2">
        <v>42030.0</v>
      </c>
      <c r="N304" s="1" t="s">
        <v>356</v>
      </c>
      <c r="O304" s="2">
        <v>42109.0</v>
      </c>
      <c r="P304" s="1">
        <v>77519.0</v>
      </c>
      <c r="Q304" s="1">
        <v>7081.0</v>
      </c>
      <c r="R304" s="1">
        <v>2000.0</v>
      </c>
      <c r="S304" s="1">
        <v>546.0</v>
      </c>
      <c r="T304" s="1" t="s">
        <v>4632</v>
      </c>
      <c r="U304" s="1" t="s">
        <v>189</v>
      </c>
      <c r="V304" s="1" t="s">
        <v>807</v>
      </c>
      <c r="W304" s="1">
        <v>60110.0</v>
      </c>
      <c r="Y304" s="1" t="s">
        <v>4633</v>
      </c>
      <c r="Z304" s="1">
        <v>1976.0</v>
      </c>
      <c r="AA304" s="1" t="s">
        <v>192</v>
      </c>
      <c r="AB304" s="1" t="s">
        <v>193</v>
      </c>
      <c r="AD304" s="1" t="s">
        <v>809</v>
      </c>
      <c r="AE304" s="1" t="s">
        <v>325</v>
      </c>
      <c r="AF304" s="1" t="s">
        <v>810</v>
      </c>
      <c r="AH304" s="1">
        <v>15950.0</v>
      </c>
      <c r="AI304" s="1">
        <v>0.3662</v>
      </c>
      <c r="AK304" s="1">
        <v>7.0</v>
      </c>
      <c r="AL304" s="1">
        <v>3.0</v>
      </c>
      <c r="AM304" s="1">
        <v>2.0</v>
      </c>
      <c r="AN304" s="1">
        <v>0.0</v>
      </c>
      <c r="AO304" s="1" t="s">
        <v>229</v>
      </c>
      <c r="AQ304" s="1" t="s">
        <v>472</v>
      </c>
      <c r="AR304" s="1" t="s">
        <v>192</v>
      </c>
      <c r="AS304" s="1" t="s">
        <v>199</v>
      </c>
      <c r="AT304" s="1">
        <v>1.0</v>
      </c>
      <c r="AV304" s="1" t="s">
        <v>200</v>
      </c>
      <c r="AW304" s="1">
        <v>4996.36</v>
      </c>
      <c r="AX304" s="1">
        <v>2012.0</v>
      </c>
      <c r="AY304" s="1" t="s">
        <v>387</v>
      </c>
      <c r="AZ304" s="1" t="s">
        <v>545</v>
      </c>
      <c r="BA304" s="1" t="str">
        <f>"0314376079"</f>
        <v>0314376079</v>
      </c>
      <c r="BC304" s="1">
        <v>0.0</v>
      </c>
      <c r="BD304" s="1">
        <v>147500.0</v>
      </c>
      <c r="BE304" s="2">
        <v>41950.0</v>
      </c>
      <c r="BF304" s="2" t="s">
        <v>4634</v>
      </c>
      <c r="BH304" s="1">
        <v>0.0</v>
      </c>
      <c r="BK304" s="1" t="s">
        <v>204</v>
      </c>
      <c r="BL304" s="1" t="str">
        <f t="shared" ref="BL304:BM304" si="211">""</f>
        <v/>
      </c>
      <c r="BM304" s="1" t="str">
        <f t="shared" si="211"/>
        <v/>
      </c>
      <c r="BQ304" s="1">
        <v>300.0</v>
      </c>
      <c r="BR304" s="1">
        <v>300.0</v>
      </c>
      <c r="BS304" s="1">
        <v>300.0</v>
      </c>
      <c r="BU304" s="1" t="s">
        <v>260</v>
      </c>
      <c r="BV304" s="1" t="s">
        <v>206</v>
      </c>
      <c r="BW304" s="1" t="s">
        <v>207</v>
      </c>
      <c r="BX304" s="1" t="s">
        <v>229</v>
      </c>
      <c r="BY304" s="1" t="s">
        <v>264</v>
      </c>
      <c r="BZ304" s="1" t="s">
        <v>209</v>
      </c>
      <c r="CA304" s="1" t="s">
        <v>210</v>
      </c>
      <c r="CB304" s="1" t="s">
        <v>229</v>
      </c>
      <c r="CC304" s="1" t="s">
        <v>266</v>
      </c>
      <c r="CD304" s="1" t="s">
        <v>206</v>
      </c>
      <c r="CE304" s="1" t="s">
        <v>210</v>
      </c>
      <c r="CF304" s="1" t="s">
        <v>229</v>
      </c>
      <c r="CG304" s="1" t="s">
        <v>495</v>
      </c>
      <c r="CH304" s="1" t="s">
        <v>209</v>
      </c>
      <c r="CI304" s="1" t="s">
        <v>210</v>
      </c>
      <c r="CJ304" s="1" t="s">
        <v>229</v>
      </c>
      <c r="CK304" s="1" t="s">
        <v>516</v>
      </c>
      <c r="CL304" s="1" t="s">
        <v>209</v>
      </c>
      <c r="CM304" s="1" t="s">
        <v>210</v>
      </c>
      <c r="CN304" s="1" t="s">
        <v>229</v>
      </c>
      <c r="CO304" s="1" t="s">
        <v>270</v>
      </c>
      <c r="CP304" s="1" t="s">
        <v>42</v>
      </c>
      <c r="CQ304" s="1" t="s">
        <v>210</v>
      </c>
      <c r="CR304" s="1" t="s">
        <v>229</v>
      </c>
      <c r="CS304" s="1" t="s">
        <v>390</v>
      </c>
      <c r="CT304" s="1" t="s">
        <v>206</v>
      </c>
      <c r="CU304" s="1" t="s">
        <v>207</v>
      </c>
      <c r="CV304" s="1" t="s">
        <v>229</v>
      </c>
      <c r="CX304" s="1" t="s">
        <v>204</v>
      </c>
      <c r="DA304" s="1" t="s">
        <v>200</v>
      </c>
      <c r="DC304" s="1" t="s">
        <v>395</v>
      </c>
      <c r="DE304" s="1" t="s">
        <v>273</v>
      </c>
      <c r="DF304" s="1" t="s">
        <v>219</v>
      </c>
      <c r="DH304" s="1" t="s">
        <v>220</v>
      </c>
      <c r="DJ304" s="1" t="s">
        <v>222</v>
      </c>
      <c r="DL304" s="1" t="s">
        <v>224</v>
      </c>
      <c r="DM304" s="1" t="s">
        <v>229</v>
      </c>
      <c r="DQ304" s="1" t="s">
        <v>228</v>
      </c>
      <c r="DR304" s="1" t="s">
        <v>229</v>
      </c>
      <c r="DV304" s="1" t="s">
        <v>232</v>
      </c>
      <c r="DW304" s="1" t="s">
        <v>1026</v>
      </c>
      <c r="DX304" s="1" t="s">
        <v>234</v>
      </c>
      <c r="EC304" s="1" t="s">
        <v>237</v>
      </c>
      <c r="EM304" s="1" t="s">
        <v>238</v>
      </c>
      <c r="EQ304" s="1" t="s">
        <v>238</v>
      </c>
      <c r="EU304" s="1" t="s">
        <v>238</v>
      </c>
      <c r="EY304" s="1" t="s">
        <v>238</v>
      </c>
      <c r="FC304" s="1" t="s">
        <v>238</v>
      </c>
      <c r="FF304" s="1" t="s">
        <v>239</v>
      </c>
      <c r="FG304" s="1" t="s">
        <v>192</v>
      </c>
      <c r="FH304" s="1" t="s">
        <v>192</v>
      </c>
      <c r="FJ304" s="1" t="s">
        <v>347</v>
      </c>
      <c r="FK304" s="1" t="s">
        <v>229</v>
      </c>
      <c r="FL304" s="1" t="s">
        <v>4635</v>
      </c>
      <c r="FM304" s="1">
        <v>1666.0</v>
      </c>
      <c r="FN304" s="1" t="s">
        <v>4636</v>
      </c>
      <c r="FO304" s="1" t="s">
        <v>4637</v>
      </c>
      <c r="FP304" s="1">
        <v>26352.0</v>
      </c>
      <c r="FQ304" s="1" t="s">
        <v>4638</v>
      </c>
      <c r="FU304" s="1" t="s">
        <v>4639</v>
      </c>
      <c r="FV304" s="1" t="s">
        <v>200</v>
      </c>
      <c r="FW304" s="1" t="s">
        <v>354</v>
      </c>
      <c r="FZ304" s="1" t="s">
        <v>229</v>
      </c>
      <c r="GA304" s="1" t="s">
        <v>291</v>
      </c>
      <c r="GB304" s="2">
        <v>42109.0</v>
      </c>
      <c r="GC304" s="1" t="s">
        <v>4640</v>
      </c>
    </row>
    <row r="305">
      <c r="A305" s="1">
        <v>271000.0</v>
      </c>
      <c r="B305" s="1" t="s">
        <v>185</v>
      </c>
      <c r="C305" s="1" t="str">
        <f>"08793934"</f>
        <v>08793934</v>
      </c>
      <c r="D305" s="1" t="s">
        <v>186</v>
      </c>
      <c r="F305" s="1" t="str">
        <f>"10"</f>
        <v>10</v>
      </c>
      <c r="G305" s="2">
        <v>41973.0</v>
      </c>
      <c r="H305" s="1">
        <v>284900.0</v>
      </c>
      <c r="I305" s="1">
        <v>56.0</v>
      </c>
      <c r="J305" s="1">
        <v>274900.0</v>
      </c>
      <c r="K305" s="2">
        <v>42028.0</v>
      </c>
      <c r="L305" s="1">
        <v>56.0</v>
      </c>
      <c r="M305" s="2">
        <v>42028.0</v>
      </c>
      <c r="N305" s="1" t="s">
        <v>356</v>
      </c>
      <c r="O305" s="2">
        <v>42083.0</v>
      </c>
      <c r="P305" s="1">
        <v>62531.0</v>
      </c>
      <c r="Q305" s="1">
        <v>4777.0</v>
      </c>
      <c r="S305" s="1">
        <v>827.0</v>
      </c>
      <c r="T305" s="1" t="s">
        <v>4641</v>
      </c>
      <c r="U305" s="1" t="s">
        <v>320</v>
      </c>
      <c r="V305" s="1" t="s">
        <v>1706</v>
      </c>
      <c r="W305" s="1">
        <v>60010.0</v>
      </c>
      <c r="X305" s="1">
        <v>4463.0</v>
      </c>
      <c r="Y305" s="1" t="s">
        <v>4642</v>
      </c>
      <c r="Z305" s="1">
        <v>1958.0</v>
      </c>
      <c r="AA305" s="1" t="s">
        <v>192</v>
      </c>
      <c r="AB305" s="1" t="s">
        <v>193</v>
      </c>
      <c r="AD305" s="1" t="s">
        <v>1948</v>
      </c>
      <c r="AE305" s="1" t="s">
        <v>195</v>
      </c>
      <c r="AF305" s="1" t="s">
        <v>1948</v>
      </c>
      <c r="AG305" s="1" t="s">
        <v>874</v>
      </c>
      <c r="AH305" s="1" t="s">
        <v>4643</v>
      </c>
      <c r="AI305" s="1">
        <v>0.2438</v>
      </c>
      <c r="AK305" s="1">
        <v>8.0</v>
      </c>
      <c r="AL305" s="1">
        <v>3.0</v>
      </c>
      <c r="AM305" s="1">
        <v>2.0</v>
      </c>
      <c r="AN305" s="1">
        <v>0.0</v>
      </c>
      <c r="AO305" s="1" t="s">
        <v>229</v>
      </c>
      <c r="AP305" s="1">
        <v>1.0</v>
      </c>
      <c r="AQ305" s="1" t="s">
        <v>198</v>
      </c>
      <c r="AR305" s="1" t="s">
        <v>192</v>
      </c>
      <c r="AS305" s="1" t="s">
        <v>199</v>
      </c>
      <c r="AT305" s="1">
        <v>1.5</v>
      </c>
      <c r="AV305" s="1" t="s">
        <v>200</v>
      </c>
      <c r="AW305" s="1">
        <v>5026.06</v>
      </c>
      <c r="AX305" s="1">
        <v>2013.0</v>
      </c>
      <c r="AZ305" s="1" t="s">
        <v>200</v>
      </c>
      <c r="BA305" s="1" t="str">
        <f>"01013050060000"</f>
        <v>01013050060000</v>
      </c>
      <c r="BB305" s="1" t="s">
        <v>200</v>
      </c>
      <c r="BC305" s="1">
        <v>1170.0</v>
      </c>
      <c r="BD305" s="1">
        <v>271000.0</v>
      </c>
      <c r="BE305" s="2">
        <v>41973.0</v>
      </c>
      <c r="BF305" s="2" t="s">
        <v>4644</v>
      </c>
      <c r="BG305" s="1" t="s">
        <v>1951</v>
      </c>
      <c r="BH305" s="1">
        <v>0.0</v>
      </c>
      <c r="BI305" s="1" t="s">
        <v>1713</v>
      </c>
      <c r="BJ305" s="1" t="s">
        <v>1714</v>
      </c>
      <c r="BK305" s="1" t="s">
        <v>204</v>
      </c>
      <c r="BL305" s="1" t="str">
        <f>"18"</f>
        <v>18</v>
      </c>
      <c r="BM305" s="1" t="str">
        <f t="shared" ref="BM305:BM306" si="212">"0"</f>
        <v>0</v>
      </c>
      <c r="BN305" s="1">
        <v>25.0</v>
      </c>
      <c r="BO305" s="1">
        <v>0.0</v>
      </c>
      <c r="BQ305" s="1">
        <v>220.0</v>
      </c>
      <c r="BR305" s="1">
        <v>220.0</v>
      </c>
      <c r="BS305" s="1">
        <v>220.0</v>
      </c>
      <c r="BU305" s="1" t="s">
        <v>515</v>
      </c>
      <c r="BV305" s="1" t="s">
        <v>206</v>
      </c>
      <c r="BW305" s="1" t="s">
        <v>207</v>
      </c>
      <c r="BY305" s="1" t="s">
        <v>331</v>
      </c>
      <c r="BZ305" s="1" t="s">
        <v>206</v>
      </c>
      <c r="CA305" s="1" t="s">
        <v>207</v>
      </c>
      <c r="CC305" s="1" t="s">
        <v>495</v>
      </c>
      <c r="CD305" s="1" t="s">
        <v>206</v>
      </c>
      <c r="CE305" s="1" t="s">
        <v>207</v>
      </c>
      <c r="CG305" s="1" t="s">
        <v>332</v>
      </c>
      <c r="CH305" s="1" t="s">
        <v>206</v>
      </c>
      <c r="CI305" s="1" t="s">
        <v>207</v>
      </c>
      <c r="CK305" s="1" t="s">
        <v>265</v>
      </c>
      <c r="CL305" s="1" t="s">
        <v>206</v>
      </c>
      <c r="CM305" s="1" t="s">
        <v>207</v>
      </c>
      <c r="CO305" s="1" t="s">
        <v>329</v>
      </c>
      <c r="CP305" s="1" t="s">
        <v>42</v>
      </c>
      <c r="CQ305" s="1" t="s">
        <v>210</v>
      </c>
      <c r="CS305" s="1" t="s">
        <v>730</v>
      </c>
      <c r="CT305" s="1" t="s">
        <v>206</v>
      </c>
      <c r="CU305" s="1" t="s">
        <v>268</v>
      </c>
      <c r="CW305" s="1" t="s">
        <v>2132</v>
      </c>
      <c r="CX305" s="1" t="s">
        <v>42</v>
      </c>
      <c r="CY305" s="1" t="s">
        <v>210</v>
      </c>
      <c r="DA305" s="1" t="s">
        <v>200</v>
      </c>
      <c r="DC305" s="1" t="s">
        <v>271</v>
      </c>
      <c r="DD305" s="1" t="s">
        <v>396</v>
      </c>
      <c r="DE305" s="1" t="s">
        <v>273</v>
      </c>
      <c r="DF305" s="1" t="s">
        <v>219</v>
      </c>
      <c r="DG305" s="1" t="s">
        <v>588</v>
      </c>
      <c r="DH305" s="1" t="s">
        <v>220</v>
      </c>
      <c r="DI305" s="1" t="s">
        <v>1003</v>
      </c>
      <c r="DJ305" s="1" t="s">
        <v>222</v>
      </c>
      <c r="DK305" s="1" t="s">
        <v>223</v>
      </c>
      <c r="DL305" s="1" t="s">
        <v>224</v>
      </c>
      <c r="DM305" s="1" t="s">
        <v>929</v>
      </c>
      <c r="DN305" s="1" t="s">
        <v>3293</v>
      </c>
      <c r="DO305" s="1" t="s">
        <v>3095</v>
      </c>
      <c r="DP305" s="1" t="s">
        <v>276</v>
      </c>
      <c r="DQ305" s="1" t="s">
        <v>228</v>
      </c>
      <c r="DR305" s="1" t="s">
        <v>229</v>
      </c>
      <c r="DS305" s="1" t="s">
        <v>401</v>
      </c>
      <c r="DU305" s="1" t="s">
        <v>1840</v>
      </c>
      <c r="DV305" s="1" t="s">
        <v>4645</v>
      </c>
      <c r="DW305" s="1" t="s">
        <v>964</v>
      </c>
      <c r="DX305" s="1" t="s">
        <v>234</v>
      </c>
      <c r="DY305" s="1" t="s">
        <v>553</v>
      </c>
      <c r="DZ305" s="1" t="s">
        <v>4646</v>
      </c>
      <c r="EB305" s="1" t="s">
        <v>4647</v>
      </c>
      <c r="EC305" s="1" t="s">
        <v>685</v>
      </c>
      <c r="ED305" s="1" t="s">
        <v>407</v>
      </c>
      <c r="EE305" s="1" t="s">
        <v>493</v>
      </c>
      <c r="EG305" s="1" t="s">
        <v>1270</v>
      </c>
      <c r="EH305" s="1" t="s">
        <v>1103</v>
      </c>
      <c r="EL305" s="1" t="s">
        <v>640</v>
      </c>
      <c r="EM305" s="1" t="s">
        <v>42</v>
      </c>
      <c r="EN305" s="1" t="s">
        <v>588</v>
      </c>
      <c r="EP305" s="1" t="s">
        <v>269</v>
      </c>
      <c r="EQ305" s="1" t="s">
        <v>42</v>
      </c>
      <c r="ER305" s="1" t="s">
        <v>588</v>
      </c>
      <c r="EU305" s="1" t="s">
        <v>238</v>
      </c>
      <c r="EY305" s="1" t="s">
        <v>238</v>
      </c>
      <c r="FC305" s="1" t="s">
        <v>238</v>
      </c>
      <c r="FF305" s="1" t="s">
        <v>239</v>
      </c>
      <c r="FG305" s="1" t="s">
        <v>192</v>
      </c>
      <c r="FH305" s="1" t="s">
        <v>192</v>
      </c>
      <c r="FJ305" s="1" t="s">
        <v>1469</v>
      </c>
      <c r="FK305" s="1" t="s">
        <v>229</v>
      </c>
      <c r="FL305" s="1" t="s">
        <v>4648</v>
      </c>
      <c r="FM305" s="1">
        <v>6474.0</v>
      </c>
      <c r="FN305" s="1" t="s">
        <v>4649</v>
      </c>
      <c r="FO305" s="1" t="s">
        <v>4650</v>
      </c>
      <c r="FP305" s="1">
        <v>35324.0</v>
      </c>
      <c r="FQ305" s="1" t="s">
        <v>4651</v>
      </c>
      <c r="FR305" s="1">
        <v>63353.0</v>
      </c>
      <c r="FU305" s="1" t="s">
        <v>4652</v>
      </c>
      <c r="FV305" s="1" t="s">
        <v>200</v>
      </c>
      <c r="FW305" s="1" t="s">
        <v>4653</v>
      </c>
      <c r="FX305" s="1" t="s">
        <v>655</v>
      </c>
      <c r="FZ305" s="1" t="s">
        <v>229</v>
      </c>
      <c r="GA305" s="1" t="s">
        <v>291</v>
      </c>
      <c r="GB305" s="2">
        <v>42083.0</v>
      </c>
      <c r="GC305" s="1" t="s">
        <v>4654</v>
      </c>
    </row>
    <row r="306">
      <c r="A306" s="1">
        <v>204000.0</v>
      </c>
      <c r="B306" s="1" t="s">
        <v>185</v>
      </c>
      <c r="C306" s="1" t="str">
        <f>"08788446"</f>
        <v>08788446</v>
      </c>
      <c r="D306" s="1" t="s">
        <v>186</v>
      </c>
      <c r="F306" s="1" t="str">
        <f>"8017"</f>
        <v>8017</v>
      </c>
      <c r="G306" s="2">
        <v>41961.0</v>
      </c>
      <c r="H306" s="1">
        <v>219900.0</v>
      </c>
      <c r="I306" s="1">
        <v>33.0</v>
      </c>
      <c r="J306" s="1">
        <v>219900.0</v>
      </c>
      <c r="K306" s="2">
        <v>41992.0</v>
      </c>
      <c r="L306" s="1">
        <v>33.0</v>
      </c>
      <c r="M306" s="2">
        <v>41992.0</v>
      </c>
      <c r="N306" s="1" t="s">
        <v>634</v>
      </c>
      <c r="O306" s="2">
        <v>42017.0</v>
      </c>
      <c r="P306" s="1">
        <v>231004.0</v>
      </c>
      <c r="Q306" s="1">
        <v>24007.0</v>
      </c>
      <c r="R306" s="1">
        <v>3792.0</v>
      </c>
      <c r="S306" s="1">
        <v>3100.0</v>
      </c>
      <c r="T306" s="1" t="s">
        <v>4655</v>
      </c>
      <c r="U306" s="1" t="s">
        <v>189</v>
      </c>
      <c r="V306" s="1" t="s">
        <v>190</v>
      </c>
      <c r="W306" s="1">
        <v>60707.0</v>
      </c>
      <c r="Y306" s="1" t="s">
        <v>4656</v>
      </c>
      <c r="Z306" s="1">
        <v>1945.0</v>
      </c>
      <c r="AA306" s="1" t="s">
        <v>192</v>
      </c>
      <c r="AB306" s="1" t="s">
        <v>193</v>
      </c>
      <c r="AC306" s="1" t="s">
        <v>4657</v>
      </c>
      <c r="AD306" s="1" t="s">
        <v>194</v>
      </c>
      <c r="AE306" s="1" t="s">
        <v>195</v>
      </c>
      <c r="AF306" s="1" t="s">
        <v>196</v>
      </c>
      <c r="AG306" s="1" t="s">
        <v>778</v>
      </c>
      <c r="AH306" s="1" t="s">
        <v>4658</v>
      </c>
      <c r="AK306" s="1">
        <v>6.0</v>
      </c>
      <c r="AL306" s="1">
        <v>4.0</v>
      </c>
      <c r="AM306" s="1">
        <v>2.0</v>
      </c>
      <c r="AN306" s="1">
        <v>0.0</v>
      </c>
      <c r="AO306" s="1" t="s">
        <v>229</v>
      </c>
      <c r="AQ306" s="1" t="s">
        <v>198</v>
      </c>
      <c r="AR306" s="1" t="s">
        <v>200</v>
      </c>
      <c r="AS306" s="1" t="s">
        <v>199</v>
      </c>
      <c r="AT306" s="1">
        <v>2.0</v>
      </c>
      <c r="AV306" s="1" t="s">
        <v>200</v>
      </c>
      <c r="AW306" s="1">
        <v>4188.0</v>
      </c>
      <c r="AX306" s="1">
        <v>2012.0</v>
      </c>
      <c r="AY306" s="1" t="s">
        <v>229</v>
      </c>
      <c r="AZ306" s="1" t="s">
        <v>200</v>
      </c>
      <c r="BA306" s="1" t="str">
        <f>"12252010320000"</f>
        <v>12252010320000</v>
      </c>
      <c r="BB306" s="1" t="s">
        <v>200</v>
      </c>
      <c r="BC306" s="1">
        <v>1300.0</v>
      </c>
      <c r="BD306" s="1">
        <v>204000.0</v>
      </c>
      <c r="BE306" s="2">
        <v>41960.0</v>
      </c>
      <c r="BF306" s="2" t="s">
        <v>4659</v>
      </c>
      <c r="BH306" s="1">
        <v>0.0</v>
      </c>
      <c r="BK306" s="1" t="s">
        <v>204</v>
      </c>
      <c r="BL306" s="1" t="str">
        <f>"3100"</f>
        <v>3100</v>
      </c>
      <c r="BM306" s="1" t="str">
        <f t="shared" si="212"/>
        <v>0</v>
      </c>
      <c r="BN306" s="1">
        <v>7500.0</v>
      </c>
      <c r="BO306" s="1">
        <v>0.0</v>
      </c>
      <c r="BQ306" s="1">
        <v>299.0</v>
      </c>
      <c r="BR306" s="1">
        <v>299.0</v>
      </c>
      <c r="BS306" s="1">
        <v>299.0</v>
      </c>
      <c r="BU306" s="1" t="s">
        <v>211</v>
      </c>
      <c r="BV306" s="1" t="s">
        <v>206</v>
      </c>
      <c r="BW306" s="1" t="s">
        <v>207</v>
      </c>
      <c r="BX306" s="1" t="s">
        <v>431</v>
      </c>
      <c r="BY306" s="1" t="s">
        <v>264</v>
      </c>
      <c r="BZ306" s="1" t="s">
        <v>206</v>
      </c>
      <c r="CA306" s="1" t="s">
        <v>207</v>
      </c>
      <c r="CB306" s="1" t="s">
        <v>431</v>
      </c>
      <c r="CD306" s="1" t="s">
        <v>204</v>
      </c>
      <c r="CG306" s="1" t="s">
        <v>516</v>
      </c>
      <c r="CH306" s="1" t="s">
        <v>206</v>
      </c>
      <c r="CI306" s="1" t="s">
        <v>207</v>
      </c>
      <c r="CJ306" s="1" t="s">
        <v>431</v>
      </c>
      <c r="CK306" s="1" t="s">
        <v>904</v>
      </c>
      <c r="CL306" s="1" t="s">
        <v>209</v>
      </c>
      <c r="CM306" s="1" t="s">
        <v>617</v>
      </c>
      <c r="CN306" s="1" t="s">
        <v>229</v>
      </c>
      <c r="CO306" s="1" t="s">
        <v>265</v>
      </c>
      <c r="CP306" s="1" t="s">
        <v>209</v>
      </c>
      <c r="CQ306" s="1" t="s">
        <v>617</v>
      </c>
      <c r="CR306" s="1" t="s">
        <v>229</v>
      </c>
      <c r="CS306" s="1" t="s">
        <v>266</v>
      </c>
      <c r="CT306" s="1" t="s">
        <v>206</v>
      </c>
      <c r="CU306" s="1" t="s">
        <v>617</v>
      </c>
      <c r="CV306" s="1" t="s">
        <v>431</v>
      </c>
      <c r="CX306" s="1" t="s">
        <v>204</v>
      </c>
      <c r="DA306" s="1" t="s">
        <v>200</v>
      </c>
      <c r="DC306" s="1" t="s">
        <v>702</v>
      </c>
      <c r="DD306" s="1" t="s">
        <v>518</v>
      </c>
      <c r="DE306" s="1" t="s">
        <v>273</v>
      </c>
      <c r="DF306" s="1" t="s">
        <v>219</v>
      </c>
      <c r="DG306" s="1" t="s">
        <v>337</v>
      </c>
      <c r="DH306" s="1" t="s">
        <v>365</v>
      </c>
      <c r="DI306" s="1" t="s">
        <v>831</v>
      </c>
      <c r="DJ306" s="1" t="s">
        <v>222</v>
      </c>
      <c r="DL306" s="1" t="s">
        <v>223</v>
      </c>
      <c r="DM306" s="1" t="s">
        <v>1402</v>
      </c>
      <c r="DO306" s="1" t="s">
        <v>1004</v>
      </c>
      <c r="DQ306" s="1" t="s">
        <v>794</v>
      </c>
      <c r="DR306" s="1" t="s">
        <v>229</v>
      </c>
      <c r="DV306" s="1" t="s">
        <v>232</v>
      </c>
      <c r="DW306" s="1" t="s">
        <v>279</v>
      </c>
      <c r="DX306" s="1" t="s">
        <v>234</v>
      </c>
      <c r="DY306" s="1" t="s">
        <v>553</v>
      </c>
      <c r="DZ306" s="1" t="s">
        <v>1661</v>
      </c>
      <c r="EA306" s="1" t="s">
        <v>644</v>
      </c>
      <c r="EC306" s="1" t="s">
        <v>645</v>
      </c>
      <c r="ED306" s="1" t="s">
        <v>1761</v>
      </c>
      <c r="EE306" s="1" t="s">
        <v>493</v>
      </c>
      <c r="EM306" s="1" t="s">
        <v>238</v>
      </c>
      <c r="EQ306" s="1" t="s">
        <v>238</v>
      </c>
      <c r="EU306" s="1" t="s">
        <v>238</v>
      </c>
      <c r="EY306" s="1" t="s">
        <v>238</v>
      </c>
      <c r="FC306" s="1" t="s">
        <v>238</v>
      </c>
      <c r="FF306" s="1" t="s">
        <v>239</v>
      </c>
      <c r="FG306" s="1" t="s">
        <v>192</v>
      </c>
      <c r="FH306" s="1" t="s">
        <v>192</v>
      </c>
      <c r="FJ306" s="1" t="s">
        <v>2427</v>
      </c>
      <c r="FK306" s="1" t="s">
        <v>229</v>
      </c>
      <c r="FL306" s="1" t="s">
        <v>4660</v>
      </c>
      <c r="FM306" s="1">
        <v>8540.0</v>
      </c>
      <c r="FN306" s="1" t="s">
        <v>4661</v>
      </c>
      <c r="FO306" s="1" t="s">
        <v>4662</v>
      </c>
      <c r="FP306" s="1">
        <v>85739.0</v>
      </c>
      <c r="FQ306" s="1" t="s">
        <v>4663</v>
      </c>
      <c r="FR306" s="1">
        <v>28612.0</v>
      </c>
      <c r="FU306" s="1" t="s">
        <v>4664</v>
      </c>
      <c r="FV306" s="1" t="s">
        <v>200</v>
      </c>
      <c r="FW306" s="1" t="s">
        <v>1511</v>
      </c>
      <c r="FX306" s="1" t="s">
        <v>238</v>
      </c>
      <c r="FZ306" s="1" t="s">
        <v>229</v>
      </c>
      <c r="GA306" s="1" t="s">
        <v>291</v>
      </c>
      <c r="GB306" s="2">
        <v>42017.0</v>
      </c>
      <c r="GC306" s="1" t="s">
        <v>4665</v>
      </c>
    </row>
    <row r="307">
      <c r="A307" s="1">
        <v>102709.0</v>
      </c>
      <c r="B307" s="1" t="s">
        <v>185</v>
      </c>
      <c r="C307" s="1" t="str">
        <f>"08788193"</f>
        <v>08788193</v>
      </c>
      <c r="D307" s="1" t="s">
        <v>186</v>
      </c>
      <c r="F307" s="1" t="str">
        <f>"8043"</f>
        <v>8043</v>
      </c>
      <c r="G307" s="2">
        <v>41960.0</v>
      </c>
      <c r="H307" s="1">
        <v>55120.0</v>
      </c>
      <c r="I307" s="1">
        <v>31.0</v>
      </c>
      <c r="J307" s="1">
        <v>55120.0</v>
      </c>
      <c r="K307" s="2">
        <v>41990.0</v>
      </c>
      <c r="L307" s="1">
        <v>31.0</v>
      </c>
      <c r="M307" s="2">
        <v>41990.0</v>
      </c>
      <c r="N307" s="1" t="s">
        <v>249</v>
      </c>
      <c r="O307" s="2">
        <v>42027.0</v>
      </c>
      <c r="P307" s="1">
        <v>601452.0</v>
      </c>
      <c r="Q307" s="1">
        <v>23819.0</v>
      </c>
      <c r="S307" s="1">
        <v>7735.0</v>
      </c>
      <c r="T307" s="1" t="s">
        <v>4666</v>
      </c>
      <c r="U307" s="1" t="s">
        <v>189</v>
      </c>
      <c r="V307" s="1" t="s">
        <v>190</v>
      </c>
      <c r="W307" s="1">
        <v>60649.0</v>
      </c>
      <c r="Y307" s="1" t="s">
        <v>4667</v>
      </c>
      <c r="Z307" s="1">
        <v>1919.0</v>
      </c>
      <c r="AA307" s="1" t="s">
        <v>192</v>
      </c>
      <c r="AB307" s="1" t="s">
        <v>193</v>
      </c>
      <c r="AD307" s="1" t="s">
        <v>194</v>
      </c>
      <c r="AE307" s="1" t="s">
        <v>195</v>
      </c>
      <c r="AF307" s="1" t="s">
        <v>637</v>
      </c>
      <c r="AG307" s="1" t="s">
        <v>4668</v>
      </c>
      <c r="AH307" s="1" t="s">
        <v>779</v>
      </c>
      <c r="AK307" s="1">
        <v>9.0</v>
      </c>
      <c r="AL307" s="1">
        <v>4.0</v>
      </c>
      <c r="AM307" s="1">
        <v>2.0</v>
      </c>
      <c r="AN307" s="1">
        <v>1.0</v>
      </c>
      <c r="AO307" s="1" t="s">
        <v>229</v>
      </c>
      <c r="AP307" s="1">
        <v>1.0</v>
      </c>
      <c r="AQ307" s="1" t="s">
        <v>951</v>
      </c>
      <c r="AR307" s="1" t="s">
        <v>192</v>
      </c>
      <c r="AS307" s="1" t="s">
        <v>229</v>
      </c>
      <c r="AV307" s="1" t="s">
        <v>200</v>
      </c>
      <c r="AW307" s="1">
        <v>2718.24</v>
      </c>
      <c r="AX307" s="1">
        <v>2012.0</v>
      </c>
      <c r="AY307" s="1" t="s">
        <v>229</v>
      </c>
      <c r="AZ307" s="1" t="s">
        <v>200</v>
      </c>
      <c r="BA307" s="1" t="str">
        <f>"20254190080000"</f>
        <v>20254190080000</v>
      </c>
      <c r="BB307" s="1" t="s">
        <v>200</v>
      </c>
      <c r="BC307" s="1">
        <v>1680.0</v>
      </c>
      <c r="BD307" s="1">
        <v>102709.0</v>
      </c>
      <c r="BE307" s="2">
        <v>41960.0</v>
      </c>
      <c r="BF307" s="2" t="s">
        <v>4669</v>
      </c>
      <c r="BH307" s="1">
        <v>0.0</v>
      </c>
      <c r="BK307" s="1" t="s">
        <v>204</v>
      </c>
      <c r="BL307" s="1" t="str">
        <f>"0"</f>
        <v>0</v>
      </c>
      <c r="BM307" s="1" t="str">
        <f>"2300"</f>
        <v>2300</v>
      </c>
      <c r="BN307" s="1">
        <v>0.0</v>
      </c>
      <c r="BO307" s="1">
        <v>7753.0</v>
      </c>
      <c r="BQ307" s="1">
        <v>299.0</v>
      </c>
      <c r="BR307" s="1">
        <v>299.0</v>
      </c>
      <c r="BS307" s="1">
        <v>299.0</v>
      </c>
      <c r="BT307" s="1">
        <v>299.0</v>
      </c>
      <c r="BU307" s="1" t="s">
        <v>2675</v>
      </c>
      <c r="BV307" s="1" t="s">
        <v>206</v>
      </c>
      <c r="BW307" s="1" t="s">
        <v>207</v>
      </c>
      <c r="BY307" s="1" t="s">
        <v>4387</v>
      </c>
      <c r="BZ307" s="1" t="s">
        <v>209</v>
      </c>
      <c r="CA307" s="1" t="s">
        <v>210</v>
      </c>
      <c r="CC307" s="1" t="s">
        <v>264</v>
      </c>
      <c r="CD307" s="1" t="s">
        <v>206</v>
      </c>
      <c r="CE307" s="1" t="s">
        <v>207</v>
      </c>
      <c r="CG307" s="1" t="s">
        <v>541</v>
      </c>
      <c r="CH307" s="1" t="s">
        <v>209</v>
      </c>
      <c r="CI307" s="1" t="s">
        <v>210</v>
      </c>
      <c r="CK307" s="1" t="s">
        <v>205</v>
      </c>
      <c r="CL307" s="1" t="s">
        <v>209</v>
      </c>
      <c r="CM307" s="1" t="s">
        <v>210</v>
      </c>
      <c r="CO307" s="1" t="s">
        <v>205</v>
      </c>
      <c r="CP307" s="1" t="s">
        <v>206</v>
      </c>
      <c r="CQ307" s="1" t="s">
        <v>210</v>
      </c>
      <c r="CR307" s="1" t="s">
        <v>229</v>
      </c>
      <c r="CS307" s="1" t="s">
        <v>1229</v>
      </c>
      <c r="CT307" s="1" t="s">
        <v>206</v>
      </c>
      <c r="CU307" s="1" t="s">
        <v>268</v>
      </c>
      <c r="CX307" s="1" t="s">
        <v>204</v>
      </c>
      <c r="DA307" s="1" t="s">
        <v>200</v>
      </c>
      <c r="DC307" s="1" t="s">
        <v>216</v>
      </c>
      <c r="DE307" s="1" t="s">
        <v>273</v>
      </c>
      <c r="DF307" s="1" t="s">
        <v>619</v>
      </c>
      <c r="DH307" s="1" t="s">
        <v>365</v>
      </c>
      <c r="DJ307" s="1" t="s">
        <v>222</v>
      </c>
      <c r="DK307" s="1" t="s">
        <v>4670</v>
      </c>
      <c r="DL307" s="1" t="s">
        <v>224</v>
      </c>
      <c r="DM307" s="1" t="s">
        <v>229</v>
      </c>
      <c r="DN307" s="1" t="s">
        <v>666</v>
      </c>
      <c r="DQ307" s="1" t="s">
        <v>228</v>
      </c>
      <c r="DR307" s="1" t="s">
        <v>229</v>
      </c>
      <c r="DS307" s="1" t="s">
        <v>277</v>
      </c>
      <c r="DU307" s="1" t="s">
        <v>4671</v>
      </c>
      <c r="DV307" s="1" t="s">
        <v>2692</v>
      </c>
      <c r="DW307" s="1" t="s">
        <v>279</v>
      </c>
      <c r="DX307" s="1" t="s">
        <v>234</v>
      </c>
      <c r="DZ307" s="1" t="s">
        <v>310</v>
      </c>
      <c r="EA307" s="1" t="s">
        <v>644</v>
      </c>
      <c r="EC307" s="1" t="s">
        <v>237</v>
      </c>
      <c r="EG307" s="1" t="s">
        <v>450</v>
      </c>
      <c r="EH307" s="1" t="s">
        <v>598</v>
      </c>
      <c r="EL307" s="1" t="s">
        <v>4672</v>
      </c>
      <c r="EM307" s="1" t="s">
        <v>42</v>
      </c>
      <c r="EN307" s="1" t="s">
        <v>268</v>
      </c>
      <c r="EO307" s="1" t="s">
        <v>229</v>
      </c>
      <c r="EP307" s="1" t="s">
        <v>2902</v>
      </c>
      <c r="EQ307" s="1" t="s">
        <v>42</v>
      </c>
      <c r="ER307" s="1" t="s">
        <v>268</v>
      </c>
      <c r="ES307" s="1" t="s">
        <v>229</v>
      </c>
      <c r="EU307" s="1" t="s">
        <v>238</v>
      </c>
      <c r="EY307" s="1" t="s">
        <v>238</v>
      </c>
      <c r="FC307" s="1" t="s">
        <v>238</v>
      </c>
      <c r="FF307" s="1" t="s">
        <v>239</v>
      </c>
      <c r="FG307" s="1" t="s">
        <v>192</v>
      </c>
      <c r="FH307" s="1" t="s">
        <v>192</v>
      </c>
      <c r="FJ307" s="1" t="s">
        <v>347</v>
      </c>
      <c r="FK307" s="1" t="s">
        <v>229</v>
      </c>
      <c r="FL307" s="1" t="s">
        <v>4673</v>
      </c>
      <c r="FM307" s="1">
        <v>84340.0</v>
      </c>
      <c r="FN307" s="1" t="s">
        <v>4674</v>
      </c>
      <c r="FO307" s="1" t="s">
        <v>4675</v>
      </c>
      <c r="FP307" s="1">
        <v>108645.0</v>
      </c>
      <c r="FQ307" s="1" t="s">
        <v>4674</v>
      </c>
      <c r="FU307" s="1" t="s">
        <v>4676</v>
      </c>
      <c r="FV307" s="1" t="s">
        <v>200</v>
      </c>
      <c r="FW307" s="1" t="s">
        <v>530</v>
      </c>
      <c r="FX307" s="1" t="s">
        <v>655</v>
      </c>
      <c r="FZ307" s="1" t="s">
        <v>229</v>
      </c>
      <c r="GA307" s="1" t="s">
        <v>291</v>
      </c>
      <c r="GB307" s="2">
        <v>42027.0</v>
      </c>
      <c r="GC307" s="1" t="s">
        <v>4677</v>
      </c>
    </row>
    <row r="308">
      <c r="A308" s="1">
        <v>556000.0</v>
      </c>
      <c r="B308" s="1" t="s">
        <v>185</v>
      </c>
      <c r="C308" s="1" t="str">
        <f>"08773742"</f>
        <v>08773742</v>
      </c>
      <c r="D308" s="1" t="s">
        <v>186</v>
      </c>
      <c r="F308" s="1" t="str">
        <f>"8024"</f>
        <v>8024</v>
      </c>
      <c r="G308" s="2">
        <v>41954.0</v>
      </c>
      <c r="H308" s="1">
        <v>579000.0</v>
      </c>
      <c r="I308" s="1">
        <v>135.0</v>
      </c>
      <c r="J308" s="1">
        <v>579000.0</v>
      </c>
      <c r="K308" s="2">
        <v>41981.0</v>
      </c>
      <c r="L308" s="1">
        <v>28.0</v>
      </c>
      <c r="M308" s="2">
        <v>41981.0</v>
      </c>
      <c r="N308" s="1" t="s">
        <v>187</v>
      </c>
      <c r="O308" s="2">
        <v>42013.0</v>
      </c>
      <c r="P308" s="1">
        <v>126507.0</v>
      </c>
      <c r="Q308" s="1">
        <v>12198.0</v>
      </c>
      <c r="S308" s="1">
        <v>1957.0</v>
      </c>
      <c r="T308" s="1" t="s">
        <v>4678</v>
      </c>
      <c r="U308" s="1" t="s">
        <v>320</v>
      </c>
      <c r="V308" s="1" t="s">
        <v>190</v>
      </c>
      <c r="W308" s="1">
        <v>60622.0</v>
      </c>
      <c r="Y308" s="1" t="s">
        <v>4679</v>
      </c>
      <c r="Z308" s="1">
        <v>2002.0</v>
      </c>
      <c r="AA308" s="1" t="s">
        <v>200</v>
      </c>
      <c r="AB308" s="1" t="s">
        <v>193</v>
      </c>
      <c r="AD308" s="1" t="s">
        <v>194</v>
      </c>
      <c r="AE308" s="1" t="s">
        <v>195</v>
      </c>
      <c r="AF308" s="1" t="s">
        <v>827</v>
      </c>
      <c r="AH308" s="1" t="s">
        <v>4680</v>
      </c>
      <c r="AI308" s="1">
        <v>0.0523</v>
      </c>
      <c r="AK308" s="1">
        <v>7.0</v>
      </c>
      <c r="AL308" s="1">
        <v>4.0</v>
      </c>
      <c r="AM308" s="1">
        <v>3.0</v>
      </c>
      <c r="AN308" s="1">
        <v>0.0</v>
      </c>
      <c r="AO308" s="1" t="s">
        <v>198</v>
      </c>
      <c r="AP308" s="1">
        <v>2.0</v>
      </c>
      <c r="AQ308" s="1" t="s">
        <v>472</v>
      </c>
      <c r="AR308" s="1" t="s">
        <v>192</v>
      </c>
      <c r="AS308" s="1" t="s">
        <v>199</v>
      </c>
      <c r="AT308" s="1">
        <v>2.0</v>
      </c>
      <c r="AV308" s="1" t="s">
        <v>200</v>
      </c>
      <c r="AW308" s="1">
        <v>7437.0</v>
      </c>
      <c r="AX308" s="1">
        <v>2012.0</v>
      </c>
      <c r="AY308" s="1" t="s">
        <v>387</v>
      </c>
      <c r="AZ308" s="1" t="s">
        <v>200</v>
      </c>
      <c r="BA308" s="1" t="str">
        <f>"17072160020000"</f>
        <v>17072160020000</v>
      </c>
      <c r="BB308" s="1" t="s">
        <v>200</v>
      </c>
      <c r="BC308" s="1">
        <v>2600.0</v>
      </c>
      <c r="BD308" s="1">
        <v>556000.0</v>
      </c>
      <c r="BE308" s="2">
        <v>41954.0</v>
      </c>
      <c r="BF308" s="2" t="s">
        <v>4681</v>
      </c>
      <c r="BH308" s="1">
        <v>0.0</v>
      </c>
      <c r="BK308" s="1" t="s">
        <v>204</v>
      </c>
      <c r="BL308" s="1" t="str">
        <f>"600"</f>
        <v>600</v>
      </c>
      <c r="BM308" s="1" t="str">
        <f>"0"</f>
        <v>0</v>
      </c>
      <c r="BN308" s="1">
        <v>1957.0</v>
      </c>
      <c r="BO308" s="1">
        <v>0.0</v>
      </c>
      <c r="BQ308" s="1">
        <v>299.0</v>
      </c>
      <c r="BR308" s="1">
        <v>299.0</v>
      </c>
      <c r="BS308" s="1">
        <v>299.0</v>
      </c>
      <c r="BU308" s="1" t="s">
        <v>496</v>
      </c>
      <c r="BV308" s="1" t="s">
        <v>206</v>
      </c>
      <c r="BW308" s="1" t="s">
        <v>207</v>
      </c>
      <c r="BX308" s="1" t="s">
        <v>431</v>
      </c>
      <c r="BY308" s="1" t="s">
        <v>3307</v>
      </c>
      <c r="BZ308" s="1" t="s">
        <v>209</v>
      </c>
      <c r="CA308" s="1" t="s">
        <v>210</v>
      </c>
      <c r="CB308" s="1" t="s">
        <v>431</v>
      </c>
      <c r="CC308" s="1" t="s">
        <v>2367</v>
      </c>
      <c r="CD308" s="1" t="s">
        <v>206</v>
      </c>
      <c r="CE308" s="1" t="s">
        <v>207</v>
      </c>
      <c r="CF308" s="1" t="s">
        <v>431</v>
      </c>
      <c r="CG308" s="1" t="s">
        <v>663</v>
      </c>
      <c r="CH308" s="1" t="s">
        <v>206</v>
      </c>
      <c r="CI308" s="1" t="s">
        <v>207</v>
      </c>
      <c r="CJ308" s="1" t="s">
        <v>431</v>
      </c>
      <c r="CK308" s="1" t="s">
        <v>1351</v>
      </c>
      <c r="CL308" s="1" t="s">
        <v>267</v>
      </c>
      <c r="CM308" s="1" t="s">
        <v>210</v>
      </c>
      <c r="CN308" s="1" t="s">
        <v>431</v>
      </c>
      <c r="CO308" s="1" t="s">
        <v>2182</v>
      </c>
      <c r="CP308" s="1" t="s">
        <v>267</v>
      </c>
      <c r="CQ308" s="1" t="s">
        <v>210</v>
      </c>
      <c r="CS308" s="1" t="s">
        <v>4399</v>
      </c>
      <c r="CT308" s="1" t="s">
        <v>206</v>
      </c>
      <c r="CU308" s="1" t="s">
        <v>207</v>
      </c>
      <c r="CV308" s="1" t="s">
        <v>229</v>
      </c>
      <c r="CX308" s="1" t="s">
        <v>204</v>
      </c>
      <c r="DA308" s="1" t="s">
        <v>200</v>
      </c>
      <c r="DC308" s="1" t="s">
        <v>335</v>
      </c>
      <c r="DD308" s="1" t="s">
        <v>957</v>
      </c>
      <c r="DE308" s="1" t="s">
        <v>273</v>
      </c>
      <c r="DF308" s="1" t="s">
        <v>219</v>
      </c>
      <c r="DG308" s="1" t="s">
        <v>4682</v>
      </c>
      <c r="DH308" s="1" t="s">
        <v>307</v>
      </c>
      <c r="DI308" s="1" t="s">
        <v>4683</v>
      </c>
      <c r="DJ308" s="1" t="s">
        <v>222</v>
      </c>
      <c r="DL308" s="1" t="s">
        <v>224</v>
      </c>
      <c r="DM308" s="1" t="s">
        <v>229</v>
      </c>
      <c r="DN308" s="1" t="s">
        <v>2873</v>
      </c>
      <c r="DP308" s="1" t="s">
        <v>340</v>
      </c>
      <c r="DQ308" s="1" t="s">
        <v>228</v>
      </c>
      <c r="DR308" s="1" t="s">
        <v>229</v>
      </c>
      <c r="DS308" s="1" t="s">
        <v>591</v>
      </c>
      <c r="DU308" s="1" t="s">
        <v>3073</v>
      </c>
      <c r="DV308" s="1" t="s">
        <v>232</v>
      </c>
      <c r="DW308" s="1" t="s">
        <v>279</v>
      </c>
      <c r="DX308" s="1" t="s">
        <v>234</v>
      </c>
      <c r="DY308" s="1" t="s">
        <v>987</v>
      </c>
      <c r="EA308" s="1" t="s">
        <v>1027</v>
      </c>
      <c r="EC308" s="1" t="s">
        <v>237</v>
      </c>
      <c r="ED308" s="1" t="s">
        <v>555</v>
      </c>
      <c r="EM308" s="1" t="s">
        <v>238</v>
      </c>
      <c r="EQ308" s="1" t="s">
        <v>238</v>
      </c>
      <c r="EU308" s="1" t="s">
        <v>238</v>
      </c>
      <c r="EY308" s="1" t="s">
        <v>238</v>
      </c>
      <c r="FC308" s="1" t="s">
        <v>238</v>
      </c>
      <c r="FF308" s="1" t="s">
        <v>239</v>
      </c>
      <c r="FG308" s="1" t="s">
        <v>192</v>
      </c>
      <c r="FH308" s="1" t="s">
        <v>192</v>
      </c>
      <c r="FJ308" s="1" t="s">
        <v>4684</v>
      </c>
      <c r="FK308" s="1" t="s">
        <v>229</v>
      </c>
      <c r="FL308" s="1" t="s">
        <v>4685</v>
      </c>
      <c r="FM308" s="1">
        <v>14242.0</v>
      </c>
      <c r="FN308" s="1" t="s">
        <v>4686</v>
      </c>
      <c r="FO308" s="1" t="s">
        <v>4687</v>
      </c>
      <c r="FP308" s="1">
        <v>123111.0</v>
      </c>
      <c r="FQ308" s="1" t="s">
        <v>4688</v>
      </c>
      <c r="FU308" s="1" t="s">
        <v>4689</v>
      </c>
      <c r="FV308" s="1" t="s">
        <v>200</v>
      </c>
      <c r="FW308" s="1" t="s">
        <v>1293</v>
      </c>
      <c r="FX308" s="1" t="s">
        <v>246</v>
      </c>
      <c r="FZ308" s="1" t="s">
        <v>229</v>
      </c>
      <c r="GA308" s="1" t="s">
        <v>291</v>
      </c>
      <c r="GB308" s="2">
        <v>42013.0</v>
      </c>
    </row>
    <row r="309">
      <c r="A309" s="1">
        <v>278000.0</v>
      </c>
      <c r="B309" s="1" t="s">
        <v>185</v>
      </c>
      <c r="C309" s="1" t="str">
        <f>"08789968"</f>
        <v>08789968</v>
      </c>
      <c r="D309" s="1" t="s">
        <v>186</v>
      </c>
      <c r="F309" s="1" t="str">
        <f>"134"</f>
        <v>134</v>
      </c>
      <c r="G309" s="2">
        <v>41963.0</v>
      </c>
      <c r="H309" s="1">
        <v>287500.0</v>
      </c>
      <c r="I309" s="1">
        <v>67.0</v>
      </c>
      <c r="J309" s="1">
        <v>287500.0</v>
      </c>
      <c r="K309" s="2">
        <v>42026.0</v>
      </c>
      <c r="L309" s="1">
        <v>67.0</v>
      </c>
      <c r="M309" s="2">
        <v>42026.0</v>
      </c>
      <c r="N309" s="1" t="s">
        <v>187</v>
      </c>
      <c r="O309" s="2">
        <v>42089.0</v>
      </c>
      <c r="P309" s="1">
        <v>583.0</v>
      </c>
      <c r="Q309" s="1">
        <v>383.0</v>
      </c>
      <c r="S309" s="1">
        <v>533.0</v>
      </c>
      <c r="T309" s="1" t="s">
        <v>4690</v>
      </c>
      <c r="U309" s="1" t="s">
        <v>569</v>
      </c>
      <c r="V309" s="1" t="s">
        <v>421</v>
      </c>
      <c r="W309" s="1">
        <v>60134.0</v>
      </c>
      <c r="Y309" s="1" t="s">
        <v>4691</v>
      </c>
      <c r="Z309" s="1">
        <v>1975.0</v>
      </c>
      <c r="AA309" s="1" t="s">
        <v>192</v>
      </c>
      <c r="AB309" s="1" t="s">
        <v>193</v>
      </c>
      <c r="AC309" s="1" t="s">
        <v>4692</v>
      </c>
      <c r="AD309" s="1" t="s">
        <v>424</v>
      </c>
      <c r="AE309" s="1" t="s">
        <v>325</v>
      </c>
      <c r="AF309" s="1" t="s">
        <v>424</v>
      </c>
      <c r="AH309" s="1" t="s">
        <v>4693</v>
      </c>
      <c r="AK309" s="1">
        <v>9.0</v>
      </c>
      <c r="AL309" s="1">
        <v>4.0</v>
      </c>
      <c r="AM309" s="1">
        <v>2.0</v>
      </c>
      <c r="AN309" s="1">
        <v>1.0</v>
      </c>
      <c r="AO309" s="1" t="s">
        <v>198</v>
      </c>
      <c r="AP309" s="1">
        <v>1.0</v>
      </c>
      <c r="AQ309" s="1" t="s">
        <v>198</v>
      </c>
      <c r="AR309" s="1" t="s">
        <v>200</v>
      </c>
      <c r="AS309" s="1" t="s">
        <v>199</v>
      </c>
      <c r="AT309" s="1">
        <v>2.0</v>
      </c>
      <c r="AV309" s="1" t="s">
        <v>200</v>
      </c>
      <c r="AW309" s="1">
        <v>6711.58</v>
      </c>
      <c r="AX309" s="1">
        <v>2013.0</v>
      </c>
      <c r="AY309" s="1" t="s">
        <v>387</v>
      </c>
      <c r="AZ309" s="1" t="s">
        <v>200</v>
      </c>
      <c r="BA309" s="1" t="str">
        <f>"1201151002"</f>
        <v>1201151002</v>
      </c>
      <c r="BC309" s="1">
        <v>2046.0</v>
      </c>
      <c r="BD309" s="1">
        <v>278000.0</v>
      </c>
      <c r="BE309" s="2">
        <v>41960.0</v>
      </c>
      <c r="BF309" s="2" t="s">
        <v>4694</v>
      </c>
      <c r="BH309" s="1">
        <v>0.0</v>
      </c>
      <c r="BK309" s="1" t="s">
        <v>204</v>
      </c>
      <c r="BL309" s="1" t="str">
        <f t="shared" ref="BL309:BM309" si="213">""</f>
        <v/>
      </c>
      <c r="BM309" s="1" t="str">
        <f t="shared" si="213"/>
        <v/>
      </c>
      <c r="BQ309" s="1">
        <v>304.0</v>
      </c>
      <c r="BR309" s="1">
        <v>304.0</v>
      </c>
      <c r="BS309" s="1">
        <v>304.0</v>
      </c>
      <c r="BU309" s="1" t="s">
        <v>1426</v>
      </c>
      <c r="BV309" s="1" t="s">
        <v>206</v>
      </c>
      <c r="BW309" s="1" t="s">
        <v>210</v>
      </c>
      <c r="BX309" s="1" t="s">
        <v>1549</v>
      </c>
      <c r="BY309" s="1" t="s">
        <v>262</v>
      </c>
      <c r="BZ309" s="1" t="s">
        <v>209</v>
      </c>
      <c r="CA309" s="1" t="s">
        <v>210</v>
      </c>
      <c r="CB309" s="1" t="s">
        <v>1549</v>
      </c>
      <c r="CC309" s="1" t="s">
        <v>363</v>
      </c>
      <c r="CD309" s="1" t="s">
        <v>206</v>
      </c>
      <c r="CE309" s="1" t="s">
        <v>210</v>
      </c>
      <c r="CF309" s="1" t="s">
        <v>1549</v>
      </c>
      <c r="CG309" s="1" t="s">
        <v>640</v>
      </c>
      <c r="CH309" s="1" t="s">
        <v>209</v>
      </c>
      <c r="CI309" s="1" t="s">
        <v>301</v>
      </c>
      <c r="CJ309" s="1" t="s">
        <v>1549</v>
      </c>
      <c r="CK309" s="1" t="s">
        <v>265</v>
      </c>
      <c r="CL309" s="1" t="s">
        <v>209</v>
      </c>
      <c r="CM309" s="1" t="s">
        <v>301</v>
      </c>
      <c r="CN309" s="1" t="s">
        <v>1549</v>
      </c>
      <c r="CO309" s="1" t="s">
        <v>798</v>
      </c>
      <c r="CP309" s="1" t="s">
        <v>209</v>
      </c>
      <c r="CQ309" s="1" t="s">
        <v>301</v>
      </c>
      <c r="CR309" s="1" t="s">
        <v>1549</v>
      </c>
      <c r="CS309" s="1" t="s">
        <v>4180</v>
      </c>
      <c r="CT309" s="1" t="s">
        <v>206</v>
      </c>
      <c r="CU309" s="1" t="s">
        <v>207</v>
      </c>
      <c r="CV309" s="1" t="s">
        <v>1549</v>
      </c>
      <c r="CW309" s="1" t="s">
        <v>4469</v>
      </c>
      <c r="CX309" s="1" t="s">
        <v>206</v>
      </c>
      <c r="CY309" s="1" t="s">
        <v>210</v>
      </c>
      <c r="CZ309" s="1" t="s">
        <v>229</v>
      </c>
      <c r="DA309" s="1" t="s">
        <v>200</v>
      </c>
      <c r="DC309" s="1" t="s">
        <v>395</v>
      </c>
      <c r="DD309" s="1" t="s">
        <v>518</v>
      </c>
      <c r="DE309" s="1" t="s">
        <v>273</v>
      </c>
      <c r="DF309" s="1" t="s">
        <v>619</v>
      </c>
      <c r="DG309" s="1" t="s">
        <v>337</v>
      </c>
      <c r="DH309" s="1" t="s">
        <v>220</v>
      </c>
      <c r="DI309" s="1" t="s">
        <v>4695</v>
      </c>
      <c r="DJ309" s="1" t="s">
        <v>222</v>
      </c>
      <c r="DK309" s="1" t="s">
        <v>3740</v>
      </c>
      <c r="DL309" s="1" t="s">
        <v>858</v>
      </c>
      <c r="DM309" s="1" t="s">
        <v>929</v>
      </c>
      <c r="DO309" s="1" t="s">
        <v>440</v>
      </c>
      <c r="DP309" s="1" t="s">
        <v>340</v>
      </c>
      <c r="DQ309" s="1" t="s">
        <v>441</v>
      </c>
      <c r="DR309" s="1" t="s">
        <v>229</v>
      </c>
      <c r="DU309" s="1" t="s">
        <v>4696</v>
      </c>
      <c r="DV309" s="1" t="s">
        <v>4697</v>
      </c>
      <c r="DW309" s="1" t="s">
        <v>588</v>
      </c>
      <c r="DX309" s="1" t="s">
        <v>234</v>
      </c>
      <c r="DY309" s="1" t="s">
        <v>4698</v>
      </c>
      <c r="DZ309" s="1" t="s">
        <v>4699</v>
      </c>
      <c r="EA309" s="1" t="s">
        <v>447</v>
      </c>
      <c r="EB309" s="1" t="s">
        <v>937</v>
      </c>
      <c r="EC309" s="1" t="s">
        <v>237</v>
      </c>
      <c r="EE309" s="1" t="s">
        <v>493</v>
      </c>
      <c r="EG309" s="1" t="s">
        <v>450</v>
      </c>
      <c r="EH309" s="1" t="s">
        <v>2129</v>
      </c>
      <c r="EI309" s="1" t="s">
        <v>310</v>
      </c>
      <c r="EL309" s="1" t="s">
        <v>1426</v>
      </c>
      <c r="EM309" s="1" t="s">
        <v>42</v>
      </c>
      <c r="EN309" s="1" t="s">
        <v>210</v>
      </c>
      <c r="EO309" s="1" t="s">
        <v>229</v>
      </c>
      <c r="EP309" s="1" t="s">
        <v>375</v>
      </c>
      <c r="EQ309" s="1" t="s">
        <v>206</v>
      </c>
      <c r="ET309" s="1" t="s">
        <v>392</v>
      </c>
      <c r="EU309" s="1" t="s">
        <v>206</v>
      </c>
      <c r="EY309" s="1" t="s">
        <v>238</v>
      </c>
      <c r="FC309" s="1" t="s">
        <v>238</v>
      </c>
      <c r="FF309" s="1" t="s">
        <v>239</v>
      </c>
      <c r="FG309" s="1" t="s">
        <v>192</v>
      </c>
      <c r="FH309" s="1" t="s">
        <v>192</v>
      </c>
      <c r="FJ309" s="1" t="s">
        <v>624</v>
      </c>
      <c r="FK309" s="1" t="s">
        <v>229</v>
      </c>
      <c r="FL309" s="1" t="s">
        <v>4700</v>
      </c>
      <c r="FM309" s="1">
        <v>107.0</v>
      </c>
      <c r="FN309" s="1" t="s">
        <v>4701</v>
      </c>
      <c r="FO309" s="1" t="s">
        <v>4702</v>
      </c>
      <c r="FP309" s="1">
        <v>8798.0</v>
      </c>
      <c r="FQ309" s="1" t="s">
        <v>4703</v>
      </c>
      <c r="FU309" s="1" t="s">
        <v>4704</v>
      </c>
      <c r="FV309" s="1" t="s">
        <v>200</v>
      </c>
      <c r="FW309" s="1" t="s">
        <v>290</v>
      </c>
      <c r="FX309" s="1" t="s">
        <v>238</v>
      </c>
      <c r="FZ309" s="1" t="s">
        <v>229</v>
      </c>
      <c r="GA309" s="1" t="s">
        <v>291</v>
      </c>
      <c r="GB309" s="2">
        <v>42089.0</v>
      </c>
      <c r="GC309" s="1" t="s">
        <v>4705</v>
      </c>
    </row>
    <row r="310">
      <c r="A310" s="1">
        <v>125000.0</v>
      </c>
      <c r="B310" s="1" t="s">
        <v>185</v>
      </c>
      <c r="C310" s="1" t="str">
        <f>"08788636"</f>
        <v>08788636</v>
      </c>
      <c r="D310" s="1" t="s">
        <v>186</v>
      </c>
      <c r="F310" s="1" t="str">
        <f>"8053"</f>
        <v>8053</v>
      </c>
      <c r="G310" s="2">
        <v>41961.0</v>
      </c>
      <c r="H310" s="1">
        <v>125000.0</v>
      </c>
      <c r="I310" s="1">
        <v>83.0</v>
      </c>
      <c r="J310" s="1">
        <v>125000.0</v>
      </c>
      <c r="K310" s="2">
        <v>42043.0</v>
      </c>
      <c r="L310" s="1">
        <v>83.0</v>
      </c>
      <c r="M310" s="2">
        <v>42043.0</v>
      </c>
      <c r="N310" s="1" t="s">
        <v>356</v>
      </c>
      <c r="O310" s="2">
        <v>42122.0</v>
      </c>
      <c r="P310" s="1">
        <v>237320.0</v>
      </c>
      <c r="Q310" s="1">
        <v>24792.0</v>
      </c>
      <c r="R310" s="1">
        <v>3.0</v>
      </c>
      <c r="S310" s="1">
        <v>12633.0</v>
      </c>
      <c r="T310" s="1" t="s">
        <v>4706</v>
      </c>
      <c r="U310" s="1" t="s">
        <v>189</v>
      </c>
      <c r="V310" s="1" t="s">
        <v>190</v>
      </c>
      <c r="W310" s="1">
        <v>60628.0</v>
      </c>
      <c r="Y310" s="1" t="s">
        <v>4707</v>
      </c>
      <c r="Z310" s="1">
        <v>1965.0</v>
      </c>
      <c r="AA310" s="1" t="s">
        <v>192</v>
      </c>
      <c r="AB310" s="1" t="s">
        <v>193</v>
      </c>
      <c r="AD310" s="1" t="s">
        <v>194</v>
      </c>
      <c r="AE310" s="1" t="s">
        <v>195</v>
      </c>
      <c r="AF310" s="1" t="s">
        <v>637</v>
      </c>
      <c r="AH310" s="1" t="s">
        <v>2309</v>
      </c>
      <c r="AI310" s="1">
        <v>0.1152</v>
      </c>
      <c r="AK310" s="1">
        <v>8.0</v>
      </c>
      <c r="AL310" s="1">
        <v>3.0</v>
      </c>
      <c r="AM310" s="1">
        <v>2.0</v>
      </c>
      <c r="AN310" s="1">
        <v>0.0</v>
      </c>
      <c r="AO310" s="1" t="s">
        <v>229</v>
      </c>
      <c r="AQ310" s="1" t="s">
        <v>198</v>
      </c>
      <c r="AR310" s="1" t="s">
        <v>192</v>
      </c>
      <c r="AS310" s="1" t="s">
        <v>199</v>
      </c>
      <c r="AT310" s="1">
        <v>2.5</v>
      </c>
      <c r="AV310" s="1" t="s">
        <v>200</v>
      </c>
      <c r="AW310" s="1">
        <v>2026.59</v>
      </c>
      <c r="AX310" s="1">
        <v>2012.0</v>
      </c>
      <c r="AY310" s="1" t="s">
        <v>229</v>
      </c>
      <c r="AZ310" s="1" t="s">
        <v>200</v>
      </c>
      <c r="BA310" s="1" t="str">
        <f>"25284240630000"</f>
        <v>25284240630000</v>
      </c>
      <c r="BB310" s="1" t="s">
        <v>200</v>
      </c>
      <c r="BC310" s="1">
        <v>1087.0</v>
      </c>
      <c r="BD310" s="1">
        <v>125000.0</v>
      </c>
      <c r="BE310" s="2">
        <v>41961.0</v>
      </c>
      <c r="BF310" s="2" t="s">
        <v>4708</v>
      </c>
      <c r="BH310" s="1">
        <v>0.0</v>
      </c>
      <c r="BK310" s="1" t="s">
        <v>204</v>
      </c>
      <c r="BL310" s="1" t="str">
        <f t="shared" ref="BL310:BL312" si="214">"0"</f>
        <v>0</v>
      </c>
      <c r="BM310" s="1" t="str">
        <f>"500"</f>
        <v>500</v>
      </c>
      <c r="BN310" s="1">
        <v>0.0</v>
      </c>
      <c r="BO310" s="1">
        <v>12633.0</v>
      </c>
      <c r="BQ310" s="1">
        <v>299.0</v>
      </c>
      <c r="BR310" s="1">
        <v>299.0</v>
      </c>
      <c r="BS310" s="1">
        <v>299.0</v>
      </c>
      <c r="BU310" s="1" t="s">
        <v>582</v>
      </c>
      <c r="BV310" s="1" t="s">
        <v>206</v>
      </c>
      <c r="BW310" s="1" t="s">
        <v>207</v>
      </c>
      <c r="BY310" s="1" t="s">
        <v>331</v>
      </c>
      <c r="BZ310" s="1" t="s">
        <v>206</v>
      </c>
      <c r="CA310" s="1" t="s">
        <v>207</v>
      </c>
      <c r="CC310" s="1" t="s">
        <v>542</v>
      </c>
      <c r="CD310" s="1" t="s">
        <v>206</v>
      </c>
      <c r="CG310" s="1" t="s">
        <v>699</v>
      </c>
      <c r="CH310" s="1" t="s">
        <v>206</v>
      </c>
      <c r="CI310" s="1" t="s">
        <v>207</v>
      </c>
      <c r="CK310" s="1" t="s">
        <v>495</v>
      </c>
      <c r="CL310" s="1" t="s">
        <v>206</v>
      </c>
      <c r="CM310" s="1" t="s">
        <v>207</v>
      </c>
      <c r="CO310" s="1" t="s">
        <v>4709</v>
      </c>
      <c r="CP310" s="1" t="s">
        <v>42</v>
      </c>
      <c r="CS310" s="1" t="s">
        <v>582</v>
      </c>
      <c r="CT310" s="1" t="s">
        <v>206</v>
      </c>
      <c r="CU310" s="1" t="s">
        <v>268</v>
      </c>
      <c r="CW310" s="1" t="s">
        <v>4710</v>
      </c>
      <c r="CX310" s="1" t="s">
        <v>42</v>
      </c>
      <c r="DA310" s="1" t="s">
        <v>200</v>
      </c>
      <c r="DC310" s="1" t="s">
        <v>517</v>
      </c>
      <c r="DD310" s="1" t="s">
        <v>518</v>
      </c>
      <c r="DE310" s="1" t="s">
        <v>273</v>
      </c>
      <c r="DF310" s="1" t="s">
        <v>219</v>
      </c>
      <c r="DH310" s="1" t="s">
        <v>365</v>
      </c>
      <c r="DI310" s="1" t="s">
        <v>3203</v>
      </c>
      <c r="DJ310" s="1" t="s">
        <v>222</v>
      </c>
      <c r="DL310" s="1" t="s">
        <v>224</v>
      </c>
      <c r="DM310" s="1" t="s">
        <v>229</v>
      </c>
      <c r="DQ310" s="1" t="s">
        <v>718</v>
      </c>
      <c r="DR310" s="1" t="s">
        <v>229</v>
      </c>
      <c r="DU310" s="1" t="s">
        <v>487</v>
      </c>
      <c r="DV310" s="1" t="s">
        <v>232</v>
      </c>
      <c r="DW310" s="1" t="s">
        <v>279</v>
      </c>
      <c r="DX310" s="1" t="s">
        <v>234</v>
      </c>
      <c r="DY310" s="1" t="s">
        <v>704</v>
      </c>
      <c r="EA310" s="1" t="s">
        <v>683</v>
      </c>
      <c r="EC310" s="1" t="s">
        <v>685</v>
      </c>
      <c r="EM310" s="1" t="s">
        <v>238</v>
      </c>
      <c r="EQ310" s="1" t="s">
        <v>238</v>
      </c>
      <c r="EU310" s="1" t="s">
        <v>238</v>
      </c>
      <c r="EY310" s="1" t="s">
        <v>238</v>
      </c>
      <c r="FC310" s="1" t="s">
        <v>238</v>
      </c>
      <c r="FF310" s="1" t="s">
        <v>239</v>
      </c>
      <c r="FG310" s="1" t="s">
        <v>192</v>
      </c>
      <c r="FH310" s="1" t="s">
        <v>192</v>
      </c>
      <c r="FJ310" s="1" t="s">
        <v>4711</v>
      </c>
      <c r="FK310" s="1" t="s">
        <v>229</v>
      </c>
      <c r="FL310" s="1" t="s">
        <v>4712</v>
      </c>
      <c r="FM310" s="1">
        <v>24792.0</v>
      </c>
      <c r="FN310" s="1" t="s">
        <v>4713</v>
      </c>
      <c r="FO310" s="1" t="s">
        <v>4712</v>
      </c>
      <c r="FP310" s="1">
        <v>237320.0</v>
      </c>
      <c r="FU310" s="1" t="s">
        <v>417</v>
      </c>
      <c r="FV310" s="1" t="s">
        <v>200</v>
      </c>
      <c r="FW310" s="1" t="s">
        <v>530</v>
      </c>
      <c r="FX310" s="1" t="s">
        <v>655</v>
      </c>
      <c r="FZ310" s="1" t="s">
        <v>229</v>
      </c>
      <c r="GA310" s="1" t="s">
        <v>291</v>
      </c>
      <c r="GB310" s="2">
        <v>42123.0</v>
      </c>
      <c r="GC310" s="1" t="s">
        <v>4714</v>
      </c>
    </row>
    <row r="311">
      <c r="A311" s="1">
        <v>180000.0</v>
      </c>
      <c r="B311" s="1" t="s">
        <v>185</v>
      </c>
      <c r="C311" s="1" t="str">
        <f>"08789281"</f>
        <v>08789281</v>
      </c>
      <c r="D311" s="1" t="s">
        <v>186</v>
      </c>
      <c r="F311" s="1" t="str">
        <f>"8070"</f>
        <v>8070</v>
      </c>
      <c r="G311" s="2">
        <v>41962.0</v>
      </c>
      <c r="H311" s="1">
        <v>189900.0</v>
      </c>
      <c r="I311" s="1">
        <v>154.0</v>
      </c>
      <c r="J311" s="1">
        <v>189900.0</v>
      </c>
      <c r="K311" s="2">
        <v>42036.0</v>
      </c>
      <c r="L311" s="1">
        <v>75.0</v>
      </c>
      <c r="M311" s="2">
        <v>42036.0</v>
      </c>
      <c r="N311" s="1" t="s">
        <v>634</v>
      </c>
      <c r="O311" s="2">
        <v>42090.0</v>
      </c>
      <c r="P311" s="1">
        <v>135733.0</v>
      </c>
      <c r="Q311" s="1">
        <v>12293.0</v>
      </c>
      <c r="S311" s="1">
        <v>3755.0</v>
      </c>
      <c r="T311" s="1" t="s">
        <v>4526</v>
      </c>
      <c r="U311" s="1" t="s">
        <v>320</v>
      </c>
      <c r="V311" s="1" t="s">
        <v>190</v>
      </c>
      <c r="W311" s="1">
        <v>60652.0</v>
      </c>
      <c r="Y311" s="1" t="s">
        <v>4715</v>
      </c>
      <c r="Z311" s="1">
        <v>1952.0</v>
      </c>
      <c r="AA311" s="1" t="s">
        <v>192</v>
      </c>
      <c r="AB311" s="1" t="s">
        <v>193</v>
      </c>
      <c r="AD311" s="1" t="s">
        <v>194</v>
      </c>
      <c r="AE311" s="1" t="s">
        <v>195</v>
      </c>
      <c r="AF311" s="1" t="s">
        <v>659</v>
      </c>
      <c r="AH311" s="1" t="s">
        <v>4716</v>
      </c>
      <c r="AI311" s="1">
        <v>0.0897</v>
      </c>
      <c r="AK311" s="1">
        <v>10.0</v>
      </c>
      <c r="AL311" s="1">
        <v>3.0</v>
      </c>
      <c r="AM311" s="1">
        <v>2.0</v>
      </c>
      <c r="AN311" s="1">
        <v>0.0</v>
      </c>
      <c r="AO311" s="1" t="s">
        <v>229</v>
      </c>
      <c r="AQ311" s="1" t="s">
        <v>198</v>
      </c>
      <c r="AR311" s="1" t="s">
        <v>200</v>
      </c>
      <c r="AS311" s="1" t="s">
        <v>199</v>
      </c>
      <c r="AT311" s="1">
        <v>2.0</v>
      </c>
      <c r="AV311" s="1" t="s">
        <v>200</v>
      </c>
      <c r="AW311" s="1">
        <v>2192.43</v>
      </c>
      <c r="AX311" s="1">
        <v>2012.0</v>
      </c>
      <c r="AY311" s="1" t="s">
        <v>387</v>
      </c>
      <c r="AZ311" s="1" t="s">
        <v>200</v>
      </c>
      <c r="BA311" s="1" t="str">
        <f>"19353020540000"</f>
        <v>19353020540000</v>
      </c>
      <c r="BB311" s="1" t="s">
        <v>200</v>
      </c>
      <c r="BC311" s="1">
        <v>1500.0</v>
      </c>
      <c r="BD311" s="1">
        <v>180000.0</v>
      </c>
      <c r="BE311" s="2">
        <v>41962.0</v>
      </c>
      <c r="BF311" s="2" t="s">
        <v>4717</v>
      </c>
      <c r="BH311" s="1">
        <v>0.0</v>
      </c>
      <c r="BK311" s="1" t="s">
        <v>204</v>
      </c>
      <c r="BL311" s="1" t="str">
        <f t="shared" si="214"/>
        <v>0</v>
      </c>
      <c r="BM311" s="1" t="str">
        <f>"0"</f>
        <v>0</v>
      </c>
      <c r="BN311" s="1">
        <v>3755.0</v>
      </c>
      <c r="BO311" s="1">
        <v>8300.0</v>
      </c>
      <c r="BQ311" s="1">
        <v>299.0</v>
      </c>
      <c r="BR311" s="1">
        <v>299.0</v>
      </c>
      <c r="BS311" s="1">
        <v>299.0</v>
      </c>
      <c r="BU311" s="1" t="s">
        <v>3387</v>
      </c>
      <c r="BV311" s="1" t="s">
        <v>206</v>
      </c>
      <c r="BW311" s="1" t="s">
        <v>207</v>
      </c>
      <c r="BX311" s="1" t="s">
        <v>431</v>
      </c>
      <c r="BY311" s="1" t="s">
        <v>363</v>
      </c>
      <c r="BZ311" s="1" t="s">
        <v>206</v>
      </c>
      <c r="CA311" s="1" t="s">
        <v>207</v>
      </c>
      <c r="CC311" s="1" t="s">
        <v>623</v>
      </c>
      <c r="CD311" s="1" t="s">
        <v>206</v>
      </c>
      <c r="CE311" s="1" t="s">
        <v>207</v>
      </c>
      <c r="CG311" s="1" t="s">
        <v>699</v>
      </c>
      <c r="CH311" s="1" t="s">
        <v>206</v>
      </c>
      <c r="CI311" s="1" t="s">
        <v>207</v>
      </c>
      <c r="CK311" s="1" t="s">
        <v>363</v>
      </c>
      <c r="CL311" s="1" t="s">
        <v>206</v>
      </c>
      <c r="CM311" s="1" t="s">
        <v>207</v>
      </c>
      <c r="CO311" s="1" t="s">
        <v>264</v>
      </c>
      <c r="CP311" s="1" t="s">
        <v>42</v>
      </c>
      <c r="CQ311" s="1" t="s">
        <v>268</v>
      </c>
      <c r="CS311" s="1" t="s">
        <v>212</v>
      </c>
      <c r="CT311" s="1" t="s">
        <v>206</v>
      </c>
      <c r="CU311" s="1" t="s">
        <v>268</v>
      </c>
      <c r="CW311" s="1" t="s">
        <v>4718</v>
      </c>
      <c r="CX311" s="1" t="s">
        <v>42</v>
      </c>
      <c r="CY311" s="1" t="s">
        <v>268</v>
      </c>
      <c r="DA311" s="1" t="s">
        <v>200</v>
      </c>
      <c r="DC311" s="1" t="s">
        <v>702</v>
      </c>
      <c r="DD311" s="1" t="s">
        <v>759</v>
      </c>
      <c r="DE311" s="1" t="s">
        <v>273</v>
      </c>
      <c r="DF311" s="1" t="s">
        <v>219</v>
      </c>
      <c r="DH311" s="1" t="s">
        <v>365</v>
      </c>
      <c r="DI311" s="1" t="s">
        <v>2567</v>
      </c>
      <c r="DJ311" s="1" t="s">
        <v>222</v>
      </c>
      <c r="DL311" s="1" t="s">
        <v>224</v>
      </c>
      <c r="DM311" s="1" t="s">
        <v>229</v>
      </c>
      <c r="DN311" s="1" t="s">
        <v>666</v>
      </c>
      <c r="DO311" s="1" t="s">
        <v>717</v>
      </c>
      <c r="DQ311" s="1" t="s">
        <v>794</v>
      </c>
      <c r="DR311" s="1" t="s">
        <v>229</v>
      </c>
      <c r="DV311" s="1" t="s">
        <v>4719</v>
      </c>
      <c r="DW311" s="1" t="s">
        <v>279</v>
      </c>
      <c r="DX311" s="1" t="s">
        <v>234</v>
      </c>
      <c r="DY311" s="1" t="s">
        <v>4720</v>
      </c>
      <c r="EC311" s="1" t="s">
        <v>311</v>
      </c>
      <c r="ED311" s="1" t="s">
        <v>407</v>
      </c>
      <c r="EE311" s="1" t="s">
        <v>493</v>
      </c>
      <c r="EG311" s="1" t="s">
        <v>2023</v>
      </c>
      <c r="EH311" s="1" t="s">
        <v>1407</v>
      </c>
      <c r="EI311" s="1" t="s">
        <v>1270</v>
      </c>
      <c r="EJ311" s="1" t="s">
        <v>1103</v>
      </c>
      <c r="EK311" s="1" t="s">
        <v>2971</v>
      </c>
      <c r="EL311" s="1" t="s">
        <v>454</v>
      </c>
      <c r="EM311" s="1" t="s">
        <v>206</v>
      </c>
      <c r="EN311" s="1" t="s">
        <v>207</v>
      </c>
      <c r="EP311" s="1" t="s">
        <v>205</v>
      </c>
      <c r="EQ311" s="1" t="s">
        <v>42</v>
      </c>
      <c r="ET311" s="1" t="s">
        <v>212</v>
      </c>
      <c r="EU311" s="1" t="s">
        <v>42</v>
      </c>
      <c r="EX311" s="1" t="s">
        <v>212</v>
      </c>
      <c r="EY311" s="1" t="s">
        <v>42</v>
      </c>
      <c r="FB311" s="1" t="s">
        <v>212</v>
      </c>
      <c r="FC311" s="1" t="s">
        <v>42</v>
      </c>
      <c r="FD311" s="1" t="s">
        <v>268</v>
      </c>
      <c r="FF311" s="1" t="s">
        <v>239</v>
      </c>
      <c r="FG311" s="1" t="s">
        <v>192</v>
      </c>
      <c r="FH311" s="1" t="s">
        <v>192</v>
      </c>
      <c r="FJ311" s="1" t="s">
        <v>4721</v>
      </c>
      <c r="FK311" s="1" t="s">
        <v>229</v>
      </c>
      <c r="FL311" s="1" t="s">
        <v>1124</v>
      </c>
      <c r="FM311" s="1">
        <v>12293.0</v>
      </c>
      <c r="FN311" s="1" t="s">
        <v>3300</v>
      </c>
      <c r="FO311" s="1" t="s">
        <v>4722</v>
      </c>
      <c r="FP311" s="1">
        <v>135733.0</v>
      </c>
      <c r="FQ311" s="1" t="s">
        <v>4723</v>
      </c>
      <c r="FS311" s="1" t="s">
        <v>4724</v>
      </c>
      <c r="FU311" s="1" t="s">
        <v>4725</v>
      </c>
      <c r="FV311" s="1" t="s">
        <v>200</v>
      </c>
      <c r="FW311" s="1" t="s">
        <v>290</v>
      </c>
      <c r="FX311" s="1" t="s">
        <v>246</v>
      </c>
      <c r="FZ311" s="1" t="s">
        <v>229</v>
      </c>
      <c r="GA311" s="1" t="s">
        <v>291</v>
      </c>
      <c r="GB311" s="2">
        <v>42090.0</v>
      </c>
      <c r="GC311" s="1" t="s">
        <v>4726</v>
      </c>
    </row>
    <row r="312">
      <c r="A312" s="1">
        <v>219000.0</v>
      </c>
      <c r="B312" s="1" t="s">
        <v>185</v>
      </c>
      <c r="C312" s="1" t="str">
        <f>"08789218"</f>
        <v>08789218</v>
      </c>
      <c r="D312" s="1" t="s">
        <v>186</v>
      </c>
      <c r="F312" s="1" t="str">
        <f>"8036"</f>
        <v>8036</v>
      </c>
      <c r="G312" s="2">
        <v>41962.0</v>
      </c>
      <c r="H312" s="1">
        <v>239900.0</v>
      </c>
      <c r="I312" s="1">
        <v>79.0</v>
      </c>
      <c r="J312" s="1">
        <v>219900.0</v>
      </c>
      <c r="K312" s="2">
        <v>42039.0</v>
      </c>
      <c r="L312" s="1">
        <v>79.0</v>
      </c>
      <c r="M312" s="2">
        <v>42039.0</v>
      </c>
      <c r="N312" s="1" t="s">
        <v>356</v>
      </c>
      <c r="O312" s="2">
        <v>42142.0</v>
      </c>
      <c r="P312" s="1">
        <v>242449.0</v>
      </c>
      <c r="Q312" s="1">
        <v>24749.0</v>
      </c>
      <c r="R312" s="1">
        <v>8000.0</v>
      </c>
      <c r="S312" s="1">
        <v>4126.0</v>
      </c>
      <c r="T312" s="1" t="s">
        <v>4727</v>
      </c>
      <c r="U312" s="1" t="s">
        <v>189</v>
      </c>
      <c r="V312" s="1" t="s">
        <v>190</v>
      </c>
      <c r="W312" s="1">
        <v>60653.0</v>
      </c>
      <c r="Y312" s="1" t="s">
        <v>4728</v>
      </c>
      <c r="Z312" s="1">
        <v>1884.0</v>
      </c>
      <c r="AA312" s="1" t="s">
        <v>192</v>
      </c>
      <c r="AB312" s="1" t="s">
        <v>193</v>
      </c>
      <c r="AD312" s="1" t="s">
        <v>194</v>
      </c>
      <c r="AE312" s="1" t="s">
        <v>195</v>
      </c>
      <c r="AF312" s="1" t="s">
        <v>637</v>
      </c>
      <c r="AH312" s="1">
        <v>3031.0</v>
      </c>
      <c r="AI312" s="1">
        <v>0.0</v>
      </c>
      <c r="AK312" s="1">
        <v>7.0</v>
      </c>
      <c r="AL312" s="1">
        <v>4.0</v>
      </c>
      <c r="AM312" s="1">
        <v>2.0</v>
      </c>
      <c r="AN312" s="1">
        <v>0.0</v>
      </c>
      <c r="AO312" s="1" t="s">
        <v>229</v>
      </c>
      <c r="AP312" s="1">
        <v>1.0</v>
      </c>
      <c r="AQ312" s="1" t="s">
        <v>198</v>
      </c>
      <c r="AR312" s="1" t="s">
        <v>192</v>
      </c>
      <c r="AS312" s="1" t="s">
        <v>229</v>
      </c>
      <c r="AV312" s="1" t="s">
        <v>200</v>
      </c>
      <c r="AW312" s="1">
        <v>2595.68</v>
      </c>
      <c r="AX312" s="1">
        <v>2013.0</v>
      </c>
      <c r="AZ312" s="1" t="s">
        <v>545</v>
      </c>
      <c r="BA312" s="1" t="str">
        <f>"20021130470000"</f>
        <v>20021130470000</v>
      </c>
      <c r="BC312" s="1">
        <v>1880.0</v>
      </c>
      <c r="BD312" s="1">
        <v>219000.0</v>
      </c>
      <c r="BE312" s="2">
        <v>41961.0</v>
      </c>
      <c r="BF312" s="2" t="s">
        <v>4729</v>
      </c>
      <c r="BH312" s="1">
        <v>0.0</v>
      </c>
      <c r="BK312" s="1" t="s">
        <v>204</v>
      </c>
      <c r="BL312" s="1" t="str">
        <f t="shared" si="214"/>
        <v>0</v>
      </c>
      <c r="BM312" s="1" t="str">
        <f>"520"</f>
        <v>520</v>
      </c>
      <c r="BN312" s="1">
        <v>0.0</v>
      </c>
      <c r="BO312" s="1">
        <v>4126.0</v>
      </c>
      <c r="BQ312" s="1">
        <v>299.0</v>
      </c>
      <c r="BR312" s="1">
        <v>299.0</v>
      </c>
      <c r="BS312" s="1">
        <v>299.0</v>
      </c>
      <c r="BU312" s="1" t="s">
        <v>211</v>
      </c>
      <c r="BV312" s="1" t="s">
        <v>206</v>
      </c>
      <c r="BY312" s="1" t="s">
        <v>544</v>
      </c>
      <c r="BZ312" s="1" t="s">
        <v>209</v>
      </c>
      <c r="CC312" s="1" t="s">
        <v>1029</v>
      </c>
      <c r="CD312" s="1" t="s">
        <v>206</v>
      </c>
      <c r="CG312" s="1" t="s">
        <v>264</v>
      </c>
      <c r="CH312" s="1" t="s">
        <v>209</v>
      </c>
      <c r="CK312" s="1" t="s">
        <v>269</v>
      </c>
      <c r="CL312" s="1" t="s">
        <v>209</v>
      </c>
      <c r="CO312" s="1" t="s">
        <v>269</v>
      </c>
      <c r="CP312" s="1" t="s">
        <v>209</v>
      </c>
      <c r="CS312" s="1" t="s">
        <v>1395</v>
      </c>
      <c r="CT312" s="1" t="s">
        <v>206</v>
      </c>
      <c r="CX312" s="1" t="s">
        <v>204</v>
      </c>
      <c r="DA312" s="1" t="s">
        <v>200</v>
      </c>
      <c r="DC312" s="1" t="s">
        <v>642</v>
      </c>
      <c r="DE312" s="1" t="s">
        <v>229</v>
      </c>
      <c r="DF312" s="1" t="s">
        <v>619</v>
      </c>
      <c r="DH312" s="1" t="s">
        <v>220</v>
      </c>
      <c r="DJ312" s="1" t="s">
        <v>222</v>
      </c>
      <c r="DL312" s="1" t="s">
        <v>223</v>
      </c>
      <c r="DM312" s="1" t="s">
        <v>229</v>
      </c>
      <c r="DQ312" s="1" t="s">
        <v>228</v>
      </c>
      <c r="DR312" s="1" t="s">
        <v>229</v>
      </c>
      <c r="DV312" s="1" t="s">
        <v>232</v>
      </c>
      <c r="DW312" s="1" t="s">
        <v>279</v>
      </c>
      <c r="DX312" s="1" t="s">
        <v>234</v>
      </c>
      <c r="EC312" s="1" t="s">
        <v>237</v>
      </c>
      <c r="EM312" s="1" t="s">
        <v>238</v>
      </c>
      <c r="EQ312" s="1" t="s">
        <v>238</v>
      </c>
      <c r="EU312" s="1" t="s">
        <v>238</v>
      </c>
      <c r="EY312" s="1" t="s">
        <v>238</v>
      </c>
      <c r="FC312" s="1" t="s">
        <v>238</v>
      </c>
      <c r="FF312" s="1" t="s">
        <v>239</v>
      </c>
      <c r="FG312" s="1" t="s">
        <v>192</v>
      </c>
      <c r="FH312" s="1" t="s">
        <v>192</v>
      </c>
      <c r="FJ312" s="1" t="s">
        <v>524</v>
      </c>
      <c r="FK312" s="1" t="s">
        <v>229</v>
      </c>
      <c r="FL312" s="1" t="s">
        <v>4730</v>
      </c>
      <c r="FM312" s="1">
        <v>18712.0</v>
      </c>
      <c r="FN312" s="1" t="s">
        <v>4731</v>
      </c>
      <c r="FO312" s="1" t="s">
        <v>4732</v>
      </c>
      <c r="FP312" s="1">
        <v>113736.0</v>
      </c>
      <c r="FQ312" s="1" t="s">
        <v>4731</v>
      </c>
      <c r="FR312" s="1">
        <v>868904.0</v>
      </c>
      <c r="FU312" s="1" t="s">
        <v>4733</v>
      </c>
      <c r="FV312" s="1" t="s">
        <v>200</v>
      </c>
      <c r="FW312" s="1" t="s">
        <v>290</v>
      </c>
      <c r="FX312" s="1" t="s">
        <v>655</v>
      </c>
      <c r="FZ312" s="1" t="s">
        <v>229</v>
      </c>
      <c r="GA312" s="1" t="s">
        <v>291</v>
      </c>
      <c r="GB312" s="2">
        <v>42142.0</v>
      </c>
      <c r="GC312" s="1" t="s">
        <v>4734</v>
      </c>
    </row>
    <row r="313">
      <c r="A313" s="1">
        <v>735000.0</v>
      </c>
      <c r="B313" s="1" t="s">
        <v>185</v>
      </c>
      <c r="C313" s="1" t="str">
        <f>"08773616"</f>
        <v>08773616</v>
      </c>
      <c r="D313" s="1" t="s">
        <v>186</v>
      </c>
      <c r="F313" s="1" t="str">
        <f>"8077"</f>
        <v>8077</v>
      </c>
      <c r="G313" s="2">
        <v>41954.0</v>
      </c>
      <c r="H313" s="1">
        <v>724900.0</v>
      </c>
      <c r="I313" s="1">
        <v>9.0</v>
      </c>
      <c r="J313" s="1">
        <v>724900.0</v>
      </c>
      <c r="K313" s="2">
        <v>41962.0</v>
      </c>
      <c r="L313" s="1">
        <v>9.0</v>
      </c>
      <c r="M313" s="2">
        <v>41962.0</v>
      </c>
      <c r="N313" s="1" t="s">
        <v>187</v>
      </c>
      <c r="O313" s="2">
        <v>42024.0</v>
      </c>
      <c r="P313" s="1">
        <v>161060.0</v>
      </c>
      <c r="Q313" s="1">
        <v>84729.0</v>
      </c>
      <c r="S313" s="1">
        <v>1522.0</v>
      </c>
      <c r="T313" s="1" t="s">
        <v>4735</v>
      </c>
      <c r="U313" s="1" t="s">
        <v>320</v>
      </c>
      <c r="V313" s="1" t="s">
        <v>190</v>
      </c>
      <c r="W313" s="1">
        <v>60660.0</v>
      </c>
      <c r="Y313" s="1" t="s">
        <v>4736</v>
      </c>
      <c r="Z313" s="1">
        <v>1904.0</v>
      </c>
      <c r="AA313" s="1" t="s">
        <v>192</v>
      </c>
      <c r="AB313" s="1" t="s">
        <v>193</v>
      </c>
      <c r="AD313" s="1" t="s">
        <v>194</v>
      </c>
      <c r="AE313" s="1" t="s">
        <v>195</v>
      </c>
      <c r="AF313" s="1" t="s">
        <v>534</v>
      </c>
      <c r="AH313" s="1" t="s">
        <v>4737</v>
      </c>
      <c r="AI313" s="1">
        <v>0.0854</v>
      </c>
      <c r="AK313" s="1">
        <v>10.0</v>
      </c>
      <c r="AL313" s="1">
        <v>3.0</v>
      </c>
      <c r="AM313" s="1">
        <v>3.0</v>
      </c>
      <c r="AN313" s="1">
        <v>1.0</v>
      </c>
      <c r="AO313" s="1" t="s">
        <v>198</v>
      </c>
      <c r="AQ313" s="1" t="s">
        <v>198</v>
      </c>
      <c r="AR313" s="1" t="s">
        <v>192</v>
      </c>
      <c r="AS313" s="1" t="s">
        <v>199</v>
      </c>
      <c r="AT313" s="1">
        <v>2.0</v>
      </c>
      <c r="AV313" s="1" t="s">
        <v>200</v>
      </c>
      <c r="AW313" s="1">
        <v>7276.63</v>
      </c>
      <c r="AX313" s="1">
        <v>2013.0</v>
      </c>
      <c r="AY313" s="1" t="s">
        <v>229</v>
      </c>
      <c r="AZ313" s="1" t="s">
        <v>200</v>
      </c>
      <c r="BA313" s="1" t="str">
        <f>"14051230300000"</f>
        <v>14051230300000</v>
      </c>
      <c r="BB313" s="1" t="s">
        <v>200</v>
      </c>
      <c r="BC313" s="1">
        <v>2414.0</v>
      </c>
      <c r="BD313" s="1">
        <v>735000.0</v>
      </c>
      <c r="BE313" s="2">
        <v>41954.0</v>
      </c>
      <c r="BF313" s="2" t="s">
        <v>4738</v>
      </c>
      <c r="BG313" s="1" t="s">
        <v>4739</v>
      </c>
      <c r="BH313" s="1">
        <v>0.0</v>
      </c>
      <c r="BI313" s="1" t="s">
        <v>4739</v>
      </c>
      <c r="BJ313" s="1" t="s">
        <v>4740</v>
      </c>
      <c r="BK313" s="1" t="s">
        <v>204</v>
      </c>
      <c r="BL313" s="1" t="str">
        <f>"6000"</f>
        <v>6000</v>
      </c>
      <c r="BM313" s="1" t="str">
        <f>"0"</f>
        <v>0</v>
      </c>
      <c r="BN313" s="1">
        <v>1522.0</v>
      </c>
      <c r="BO313" s="1">
        <v>0.0</v>
      </c>
      <c r="BQ313" s="1">
        <v>299.0</v>
      </c>
      <c r="BR313" s="1">
        <v>299.0</v>
      </c>
      <c r="BS313" s="1">
        <v>299.0</v>
      </c>
      <c r="BU313" s="1" t="s">
        <v>1892</v>
      </c>
      <c r="BV313" s="1" t="s">
        <v>206</v>
      </c>
      <c r="BW313" s="1" t="s">
        <v>207</v>
      </c>
      <c r="BY313" s="1" t="s">
        <v>639</v>
      </c>
      <c r="BZ313" s="1" t="s">
        <v>209</v>
      </c>
      <c r="CA313" s="1" t="s">
        <v>207</v>
      </c>
      <c r="CC313" s="1" t="s">
        <v>582</v>
      </c>
      <c r="CD313" s="1" t="s">
        <v>206</v>
      </c>
      <c r="CE313" s="1" t="s">
        <v>207</v>
      </c>
      <c r="CG313" s="1" t="s">
        <v>212</v>
      </c>
      <c r="CH313" s="1" t="s">
        <v>209</v>
      </c>
      <c r="CI313" s="1" t="s">
        <v>207</v>
      </c>
      <c r="CK313" s="1" t="s">
        <v>264</v>
      </c>
      <c r="CL313" s="1" t="s">
        <v>209</v>
      </c>
      <c r="CM313" s="1" t="s">
        <v>207</v>
      </c>
      <c r="CO313" s="1" t="s">
        <v>699</v>
      </c>
      <c r="CP313" s="1" t="s">
        <v>42</v>
      </c>
      <c r="CQ313" s="1" t="s">
        <v>210</v>
      </c>
      <c r="CS313" s="1" t="s">
        <v>729</v>
      </c>
      <c r="CT313" s="1" t="s">
        <v>206</v>
      </c>
      <c r="CU313" s="1" t="s">
        <v>207</v>
      </c>
      <c r="CW313" s="1" t="s">
        <v>1623</v>
      </c>
      <c r="CX313" s="1" t="s">
        <v>42</v>
      </c>
      <c r="CY313" s="1" t="s">
        <v>210</v>
      </c>
      <c r="DA313" s="1" t="s">
        <v>200</v>
      </c>
      <c r="DC313" s="1" t="s">
        <v>642</v>
      </c>
      <c r="DD313" s="1" t="s">
        <v>618</v>
      </c>
      <c r="DE313" s="1" t="s">
        <v>273</v>
      </c>
      <c r="DF313" s="1" t="s">
        <v>1811</v>
      </c>
      <c r="DG313" s="1" t="s">
        <v>2311</v>
      </c>
      <c r="DH313" s="1" t="s">
        <v>365</v>
      </c>
      <c r="DI313" s="1" t="s">
        <v>519</v>
      </c>
      <c r="DJ313" s="1" t="s">
        <v>222</v>
      </c>
      <c r="DK313" s="1" t="s">
        <v>4741</v>
      </c>
      <c r="DL313" s="1" t="s">
        <v>1161</v>
      </c>
      <c r="DM313" s="1" t="s">
        <v>1143</v>
      </c>
      <c r="DN313" s="1" t="s">
        <v>226</v>
      </c>
      <c r="DO313" s="1" t="s">
        <v>549</v>
      </c>
      <c r="DP313" s="1" t="s">
        <v>340</v>
      </c>
      <c r="DQ313" s="1" t="s">
        <v>228</v>
      </c>
      <c r="DR313" s="1" t="s">
        <v>229</v>
      </c>
      <c r="DS313" s="1" t="s">
        <v>368</v>
      </c>
      <c r="DU313" s="1" t="s">
        <v>487</v>
      </c>
      <c r="DV313" s="1" t="s">
        <v>4742</v>
      </c>
      <c r="DW313" s="1" t="s">
        <v>279</v>
      </c>
      <c r="DX313" s="1" t="s">
        <v>234</v>
      </c>
      <c r="DY313" s="1" t="s">
        <v>2240</v>
      </c>
      <c r="DZ313" s="1" t="s">
        <v>236</v>
      </c>
      <c r="EA313" s="1" t="s">
        <v>3577</v>
      </c>
      <c r="EC313" s="1" t="s">
        <v>237</v>
      </c>
      <c r="ED313" s="1" t="s">
        <v>555</v>
      </c>
      <c r="EE313" s="1" t="s">
        <v>187</v>
      </c>
      <c r="EG313" s="1" t="s">
        <v>598</v>
      </c>
      <c r="EH313" s="1" t="s">
        <v>1729</v>
      </c>
      <c r="EI313" s="1" t="s">
        <v>408</v>
      </c>
      <c r="EJ313" s="1" t="s">
        <v>720</v>
      </c>
      <c r="EK313" s="1" t="s">
        <v>1103</v>
      </c>
      <c r="EL313" s="1" t="s">
        <v>2617</v>
      </c>
      <c r="EM313" s="1" t="s">
        <v>42</v>
      </c>
      <c r="EN313" s="1" t="s">
        <v>210</v>
      </c>
      <c r="EP313" s="1" t="s">
        <v>452</v>
      </c>
      <c r="EQ313" s="1" t="s">
        <v>206</v>
      </c>
      <c r="ER313" s="1" t="s">
        <v>2615</v>
      </c>
      <c r="ET313" s="1" t="s">
        <v>1688</v>
      </c>
      <c r="EU313" s="1" t="s">
        <v>206</v>
      </c>
      <c r="EV313" s="1" t="s">
        <v>207</v>
      </c>
      <c r="EX313" s="1" t="s">
        <v>721</v>
      </c>
      <c r="EY313" s="1" t="s">
        <v>206</v>
      </c>
      <c r="EZ313" s="1" t="s">
        <v>2615</v>
      </c>
      <c r="FB313" s="1" t="s">
        <v>721</v>
      </c>
      <c r="FC313" s="1" t="s">
        <v>42</v>
      </c>
      <c r="FD313" s="1" t="s">
        <v>2128</v>
      </c>
      <c r="FF313" s="1" t="s">
        <v>239</v>
      </c>
      <c r="FG313" s="1" t="s">
        <v>192</v>
      </c>
      <c r="FH313" s="1" t="s">
        <v>192</v>
      </c>
      <c r="FJ313" s="1" t="s">
        <v>561</v>
      </c>
      <c r="FK313" s="1" t="s">
        <v>229</v>
      </c>
      <c r="FL313" s="1" t="s">
        <v>2718</v>
      </c>
      <c r="FM313" s="1">
        <v>85470.0</v>
      </c>
      <c r="FN313" s="1" t="s">
        <v>2719</v>
      </c>
      <c r="FO313" s="1" t="s">
        <v>4743</v>
      </c>
      <c r="FP313" s="1">
        <v>105953.0</v>
      </c>
      <c r="FQ313" s="1" t="s">
        <v>4744</v>
      </c>
      <c r="FR313" s="1">
        <v>105952.0</v>
      </c>
      <c r="FS313" s="1" t="s">
        <v>4745</v>
      </c>
      <c r="FU313" s="1" t="s">
        <v>4746</v>
      </c>
      <c r="FV313" s="1" t="s">
        <v>200</v>
      </c>
      <c r="FW313" s="1" t="s">
        <v>290</v>
      </c>
      <c r="FX313" s="1" t="s">
        <v>246</v>
      </c>
      <c r="FZ313" s="1" t="s">
        <v>229</v>
      </c>
      <c r="GA313" s="1" t="s">
        <v>247</v>
      </c>
      <c r="GB313" s="2">
        <v>42024.0</v>
      </c>
      <c r="GC313" s="1" t="s">
        <v>4747</v>
      </c>
    </row>
    <row r="314">
      <c r="A314" s="1">
        <v>168000.0</v>
      </c>
      <c r="B314" s="1" t="s">
        <v>185</v>
      </c>
      <c r="C314" s="1" t="str">
        <f>"08767617"</f>
        <v>08767617</v>
      </c>
      <c r="D314" s="1" t="s">
        <v>186</v>
      </c>
      <c r="F314" s="1" t="str">
        <f>"543"</f>
        <v>543</v>
      </c>
      <c r="G314" s="2">
        <v>41946.0</v>
      </c>
      <c r="H314" s="1">
        <v>205000.0</v>
      </c>
      <c r="I314" s="1">
        <v>61.0</v>
      </c>
      <c r="J314" s="1">
        <v>186000.0</v>
      </c>
      <c r="K314" s="2">
        <v>42006.0</v>
      </c>
      <c r="L314" s="1">
        <v>61.0</v>
      </c>
      <c r="M314" s="2">
        <v>42006.0</v>
      </c>
      <c r="N314" s="1" t="s">
        <v>249</v>
      </c>
      <c r="O314" s="2">
        <v>42018.0</v>
      </c>
      <c r="P314" s="1">
        <v>227819.0</v>
      </c>
      <c r="Q314" s="1">
        <v>23030.0</v>
      </c>
      <c r="S314" s="1">
        <v>304.0</v>
      </c>
      <c r="T314" s="1" t="s">
        <v>4748</v>
      </c>
      <c r="V314" s="1" t="s">
        <v>1527</v>
      </c>
      <c r="W314" s="1">
        <v>60543.0</v>
      </c>
      <c r="Y314" s="1" t="s">
        <v>4749</v>
      </c>
      <c r="Z314" s="1">
        <v>1994.0</v>
      </c>
      <c r="AA314" s="1" t="s">
        <v>200</v>
      </c>
      <c r="AB314" s="1" t="s">
        <v>193</v>
      </c>
      <c r="AD314" s="1" t="s">
        <v>1529</v>
      </c>
      <c r="AE314" s="1" t="s">
        <v>849</v>
      </c>
      <c r="AF314" s="1" t="s">
        <v>1529</v>
      </c>
      <c r="AH314" s="1" t="s">
        <v>4750</v>
      </c>
      <c r="AI314" s="1">
        <v>0.0766</v>
      </c>
      <c r="AK314" s="1">
        <v>9.0</v>
      </c>
      <c r="AL314" s="1">
        <v>4.0</v>
      </c>
      <c r="AM314" s="1">
        <v>2.0</v>
      </c>
      <c r="AN314" s="1">
        <v>1.0</v>
      </c>
      <c r="AO314" s="1" t="s">
        <v>198</v>
      </c>
      <c r="AQ314" s="1" t="s">
        <v>198</v>
      </c>
      <c r="AR314" s="1" t="s">
        <v>192</v>
      </c>
      <c r="AS314" s="1" t="s">
        <v>199</v>
      </c>
      <c r="AT314" s="1">
        <v>3.0</v>
      </c>
      <c r="AV314" s="1" t="s">
        <v>200</v>
      </c>
      <c r="AW314" s="1">
        <v>6613.1</v>
      </c>
      <c r="AX314" s="1">
        <v>2012.0</v>
      </c>
      <c r="AZ314" s="1" t="s">
        <v>200</v>
      </c>
      <c r="BA314" s="1" t="str">
        <f>"0307447015"</f>
        <v>0307447015</v>
      </c>
      <c r="BC314" s="1">
        <v>2331.0</v>
      </c>
      <c r="BD314" s="1">
        <v>168000.0</v>
      </c>
      <c r="BE314" s="2">
        <v>41946.0</v>
      </c>
      <c r="BF314" s="1" t="s">
        <v>4751</v>
      </c>
      <c r="BH314" s="1">
        <v>0.0</v>
      </c>
      <c r="BK314" s="1" t="s">
        <v>204</v>
      </c>
      <c r="BL314" s="1" t="str">
        <f t="shared" ref="BL314:BM314" si="215">""</f>
        <v/>
      </c>
      <c r="BM314" s="1" t="str">
        <f t="shared" si="215"/>
        <v/>
      </c>
      <c r="BQ314" s="1">
        <v>308.0</v>
      </c>
      <c r="BR314" s="1">
        <v>308.0</v>
      </c>
      <c r="BS314" s="1">
        <v>308.0</v>
      </c>
      <c r="BU314" s="1" t="s">
        <v>214</v>
      </c>
      <c r="BV314" s="1" t="s">
        <v>206</v>
      </c>
      <c r="BY314" s="1" t="s">
        <v>664</v>
      </c>
      <c r="BZ314" s="1" t="s">
        <v>209</v>
      </c>
      <c r="CC314" s="1" t="s">
        <v>495</v>
      </c>
      <c r="CD314" s="1" t="s">
        <v>206</v>
      </c>
      <c r="CG314" s="1" t="s">
        <v>1483</v>
      </c>
      <c r="CH314" s="1" t="s">
        <v>209</v>
      </c>
      <c r="CK314" s="1" t="s">
        <v>361</v>
      </c>
      <c r="CL314" s="1" t="s">
        <v>209</v>
      </c>
      <c r="CO314" s="1" t="s">
        <v>392</v>
      </c>
      <c r="CP314" s="1" t="s">
        <v>209</v>
      </c>
      <c r="CS314" s="1" t="s">
        <v>1329</v>
      </c>
      <c r="CT314" s="1" t="s">
        <v>206</v>
      </c>
      <c r="CW314" s="1" t="s">
        <v>544</v>
      </c>
      <c r="CX314" s="1" t="s">
        <v>206</v>
      </c>
      <c r="DA314" s="1" t="s">
        <v>200</v>
      </c>
      <c r="DC314" s="1" t="s">
        <v>678</v>
      </c>
      <c r="DE314" s="1" t="s">
        <v>273</v>
      </c>
      <c r="DF314" s="1" t="s">
        <v>619</v>
      </c>
      <c r="DH314" s="1" t="s">
        <v>220</v>
      </c>
      <c r="DJ314" s="1" t="s">
        <v>222</v>
      </c>
      <c r="DL314" s="1" t="s">
        <v>224</v>
      </c>
      <c r="DM314" s="1" t="s">
        <v>229</v>
      </c>
      <c r="DQ314" s="1" t="s">
        <v>228</v>
      </c>
      <c r="DR314" s="1" t="s">
        <v>229</v>
      </c>
      <c r="DV314" s="1" t="s">
        <v>450</v>
      </c>
      <c r="DW314" s="1" t="s">
        <v>233</v>
      </c>
      <c r="DX314" s="1" t="s">
        <v>234</v>
      </c>
      <c r="EC314" s="1" t="s">
        <v>237</v>
      </c>
      <c r="EE314" s="1" t="s">
        <v>1960</v>
      </c>
      <c r="EG314" s="1" t="s">
        <v>450</v>
      </c>
      <c r="EL314" s="1" t="s">
        <v>4752</v>
      </c>
      <c r="EM314" s="1" t="s">
        <v>42</v>
      </c>
      <c r="EQ314" s="1" t="s">
        <v>238</v>
      </c>
      <c r="EU314" s="1" t="s">
        <v>238</v>
      </c>
      <c r="EY314" s="1" t="s">
        <v>238</v>
      </c>
      <c r="FC314" s="1" t="s">
        <v>238</v>
      </c>
      <c r="FF314" s="1" t="s">
        <v>239</v>
      </c>
      <c r="FG314" s="1" t="s">
        <v>192</v>
      </c>
      <c r="FH314" s="1" t="s">
        <v>192</v>
      </c>
      <c r="FJ314" s="1" t="s">
        <v>2156</v>
      </c>
      <c r="FK314" s="1" t="s">
        <v>229</v>
      </c>
      <c r="FL314" s="1" t="s">
        <v>3443</v>
      </c>
      <c r="FM314" s="1">
        <v>8658.0</v>
      </c>
      <c r="FN314" s="1" t="s">
        <v>3444</v>
      </c>
      <c r="FO314" s="1" t="s">
        <v>3445</v>
      </c>
      <c r="FP314" s="1">
        <v>84760.0</v>
      </c>
      <c r="FQ314" s="1" t="s">
        <v>3444</v>
      </c>
      <c r="FS314" s="1" t="s">
        <v>3446</v>
      </c>
      <c r="FU314" s="1" t="s">
        <v>3447</v>
      </c>
      <c r="FV314" s="1" t="s">
        <v>200</v>
      </c>
      <c r="FW314" s="1" t="s">
        <v>290</v>
      </c>
      <c r="FZ314" s="1" t="s">
        <v>229</v>
      </c>
      <c r="GA314" s="1" t="s">
        <v>291</v>
      </c>
      <c r="GB314" s="2">
        <v>42020.0</v>
      </c>
      <c r="GC314" s="1" t="s">
        <v>4753</v>
      </c>
    </row>
    <row r="315">
      <c r="A315" s="1">
        <v>224000.0</v>
      </c>
      <c r="B315" s="1" t="s">
        <v>185</v>
      </c>
      <c r="C315" s="1" t="str">
        <f>"08786903"</f>
        <v>08786903</v>
      </c>
      <c r="D315" s="1" t="s">
        <v>186</v>
      </c>
      <c r="F315" s="1" t="str">
        <f>"538"</f>
        <v>538</v>
      </c>
      <c r="G315" s="2">
        <v>41958.0</v>
      </c>
      <c r="H315" s="1">
        <v>234900.0</v>
      </c>
      <c r="I315" s="1">
        <v>129.0</v>
      </c>
      <c r="J315" s="1">
        <v>229900.0</v>
      </c>
      <c r="K315" s="2">
        <v>42085.0</v>
      </c>
      <c r="L315" s="1">
        <v>129.0</v>
      </c>
      <c r="M315" s="2">
        <v>42085.0</v>
      </c>
      <c r="N315" s="1" t="s">
        <v>187</v>
      </c>
      <c r="O315" s="2">
        <v>42107.0</v>
      </c>
      <c r="P315" s="1">
        <v>313804.0</v>
      </c>
      <c r="Q315" s="1">
        <v>300.0</v>
      </c>
      <c r="S315" s="1">
        <v>2552.0</v>
      </c>
      <c r="T315" s="1" t="s">
        <v>4754</v>
      </c>
      <c r="U315" s="1" t="s">
        <v>1174</v>
      </c>
      <c r="V315" s="1" t="s">
        <v>1340</v>
      </c>
      <c r="W315" s="1">
        <v>60538.0</v>
      </c>
      <c r="Y315" s="1" t="s">
        <v>4755</v>
      </c>
      <c r="Z315" s="1">
        <v>2006.0</v>
      </c>
      <c r="AA315" s="1" t="s">
        <v>200</v>
      </c>
      <c r="AB315" s="1" t="s">
        <v>193</v>
      </c>
      <c r="AC315" s="1" t="s">
        <v>4756</v>
      </c>
      <c r="AD315" s="1" t="s">
        <v>1343</v>
      </c>
      <c r="AE315" s="1" t="s">
        <v>849</v>
      </c>
      <c r="AF315" s="1" t="s">
        <v>1312</v>
      </c>
      <c r="AH315" s="1" t="s">
        <v>4757</v>
      </c>
      <c r="AK315" s="1">
        <v>9.0</v>
      </c>
      <c r="AL315" s="1">
        <v>4.0</v>
      </c>
      <c r="AM315" s="1">
        <v>3.0</v>
      </c>
      <c r="AN315" s="1">
        <v>0.0</v>
      </c>
      <c r="AO315" s="1" t="s">
        <v>198</v>
      </c>
      <c r="AP315" s="1">
        <v>1.0</v>
      </c>
      <c r="AQ315" s="1" t="s">
        <v>198</v>
      </c>
      <c r="AR315" s="1" t="s">
        <v>200</v>
      </c>
      <c r="AS315" s="1" t="s">
        <v>199</v>
      </c>
      <c r="AT315" s="1">
        <v>2.0</v>
      </c>
      <c r="AV315" s="1" t="s">
        <v>200</v>
      </c>
      <c r="AW315" s="1">
        <v>6315.82</v>
      </c>
      <c r="AX315" s="1">
        <v>2013.0</v>
      </c>
      <c r="AY315" s="1" t="s">
        <v>387</v>
      </c>
      <c r="AZ315" s="1" t="s">
        <v>200</v>
      </c>
      <c r="BA315" s="1" t="str">
        <f>"0203482012"</f>
        <v>0203482012</v>
      </c>
      <c r="BB315" s="1" t="s">
        <v>200</v>
      </c>
      <c r="BC315" s="1">
        <v>2400.0</v>
      </c>
      <c r="BD315" s="1">
        <v>224000.0</v>
      </c>
      <c r="BE315" s="2">
        <v>41957.0</v>
      </c>
      <c r="BF315" s="2" t="s">
        <v>4758</v>
      </c>
      <c r="BG315" s="1" t="s">
        <v>4759</v>
      </c>
      <c r="BH315" s="1">
        <v>279.0</v>
      </c>
      <c r="BJ315" s="1" t="s">
        <v>3053</v>
      </c>
      <c r="BK315" s="1" t="s">
        <v>580</v>
      </c>
      <c r="BL315" s="1" t="str">
        <f t="shared" ref="BL315:BM315" si="216">""</f>
        <v/>
      </c>
      <c r="BM315" s="1" t="str">
        <f t="shared" si="216"/>
        <v/>
      </c>
      <c r="BQ315" s="1">
        <v>115.0</v>
      </c>
      <c r="BR315" s="1">
        <v>115.0</v>
      </c>
      <c r="BS315" s="1">
        <v>115.0</v>
      </c>
      <c r="BU315" s="1" t="s">
        <v>433</v>
      </c>
      <c r="BV315" s="1" t="s">
        <v>206</v>
      </c>
      <c r="BW315" s="1" t="s">
        <v>210</v>
      </c>
      <c r="BY315" s="1" t="s">
        <v>2120</v>
      </c>
      <c r="BZ315" s="1" t="s">
        <v>209</v>
      </c>
      <c r="CA315" s="1" t="s">
        <v>210</v>
      </c>
      <c r="CC315" s="1" t="s">
        <v>212</v>
      </c>
      <c r="CD315" s="1" t="s">
        <v>206</v>
      </c>
      <c r="CE315" s="1" t="s">
        <v>210</v>
      </c>
      <c r="CG315" s="1" t="s">
        <v>215</v>
      </c>
      <c r="CH315" s="1" t="s">
        <v>209</v>
      </c>
      <c r="CI315" s="1" t="s">
        <v>210</v>
      </c>
      <c r="CK315" s="1" t="s">
        <v>212</v>
      </c>
      <c r="CL315" s="1" t="s">
        <v>209</v>
      </c>
      <c r="CM315" s="1" t="s">
        <v>210</v>
      </c>
      <c r="CO315" s="1" t="s">
        <v>212</v>
      </c>
      <c r="CP315" s="1" t="s">
        <v>209</v>
      </c>
      <c r="CS315" s="1" t="s">
        <v>497</v>
      </c>
      <c r="CT315" s="1" t="s">
        <v>206</v>
      </c>
      <c r="CU315" s="1" t="s">
        <v>207</v>
      </c>
      <c r="CW315" s="1" t="s">
        <v>616</v>
      </c>
      <c r="CX315" s="1" t="s">
        <v>206</v>
      </c>
      <c r="CY315" s="1" t="s">
        <v>210</v>
      </c>
      <c r="DA315" s="1" t="s">
        <v>200</v>
      </c>
      <c r="DC315" s="1" t="s">
        <v>481</v>
      </c>
      <c r="DD315" s="1" t="s">
        <v>336</v>
      </c>
      <c r="DE315" s="1" t="s">
        <v>273</v>
      </c>
      <c r="DF315" s="1" t="s">
        <v>219</v>
      </c>
      <c r="DH315" s="1" t="s">
        <v>220</v>
      </c>
      <c r="DI315" s="1" t="s">
        <v>221</v>
      </c>
      <c r="DJ315" s="1" t="s">
        <v>222</v>
      </c>
      <c r="DL315" s="1" t="s">
        <v>484</v>
      </c>
      <c r="DM315" s="1" t="s">
        <v>1658</v>
      </c>
      <c r="DN315" s="1" t="s">
        <v>485</v>
      </c>
      <c r="DP315" s="1" t="s">
        <v>340</v>
      </c>
      <c r="DQ315" s="1" t="s">
        <v>228</v>
      </c>
      <c r="DR315" s="1" t="s">
        <v>1487</v>
      </c>
      <c r="DS315" s="1" t="s">
        <v>368</v>
      </c>
      <c r="DU315" s="1" t="s">
        <v>4760</v>
      </c>
      <c r="DV315" s="1" t="s">
        <v>494</v>
      </c>
      <c r="DW315" s="1" t="s">
        <v>370</v>
      </c>
      <c r="DX315" s="1" t="s">
        <v>234</v>
      </c>
      <c r="DY315" s="1" t="s">
        <v>1211</v>
      </c>
      <c r="DZ315" s="1" t="s">
        <v>282</v>
      </c>
      <c r="EB315" s="1" t="s">
        <v>345</v>
      </c>
      <c r="EC315" s="1" t="s">
        <v>237</v>
      </c>
      <c r="ED315" s="1" t="s">
        <v>407</v>
      </c>
      <c r="EE315" s="1" t="s">
        <v>493</v>
      </c>
      <c r="EG315" s="1" t="s">
        <v>494</v>
      </c>
      <c r="EL315" s="1" t="s">
        <v>212</v>
      </c>
      <c r="EM315" s="1" t="s">
        <v>206</v>
      </c>
      <c r="EN315" s="1" t="s">
        <v>210</v>
      </c>
      <c r="EQ315" s="1" t="s">
        <v>238</v>
      </c>
      <c r="EU315" s="1" t="s">
        <v>238</v>
      </c>
      <c r="EY315" s="1" t="s">
        <v>238</v>
      </c>
      <c r="FC315" s="1" t="s">
        <v>238</v>
      </c>
      <c r="FF315" s="1" t="s">
        <v>239</v>
      </c>
      <c r="FG315" s="1" t="s">
        <v>192</v>
      </c>
      <c r="FH315" s="1" t="s">
        <v>192</v>
      </c>
      <c r="FJ315" s="1" t="s">
        <v>4761</v>
      </c>
      <c r="FK315" s="1" t="s">
        <v>229</v>
      </c>
      <c r="FL315" s="1" t="s">
        <v>4700</v>
      </c>
      <c r="FM315" s="1">
        <v>107.0</v>
      </c>
      <c r="FN315" s="1" t="s">
        <v>4701</v>
      </c>
      <c r="FO315" s="1" t="s">
        <v>4762</v>
      </c>
      <c r="FP315" s="1">
        <v>8753.0</v>
      </c>
      <c r="FS315" s="1" t="s">
        <v>4763</v>
      </c>
      <c r="FU315" s="1" t="s">
        <v>4764</v>
      </c>
      <c r="FV315" s="1" t="s">
        <v>200</v>
      </c>
      <c r="FW315" s="1" t="s">
        <v>530</v>
      </c>
      <c r="FZ315" s="1" t="s">
        <v>229</v>
      </c>
      <c r="GA315" s="1" t="s">
        <v>291</v>
      </c>
      <c r="GB315" s="2">
        <v>42107.0</v>
      </c>
      <c r="GC315" s="1" t="s">
        <v>4765</v>
      </c>
    </row>
    <row r="316">
      <c r="A316" s="1">
        <v>200000.0</v>
      </c>
      <c r="B316" s="1" t="s">
        <v>185</v>
      </c>
      <c r="C316" s="1" t="str">
        <f>"08773255"</f>
        <v>08773255</v>
      </c>
      <c r="D316" s="1" t="s">
        <v>186</v>
      </c>
      <c r="F316" s="1" t="str">
        <f>"123"</f>
        <v>123</v>
      </c>
      <c r="G316" s="2">
        <v>41954.0</v>
      </c>
      <c r="H316" s="1">
        <v>228000.0</v>
      </c>
      <c r="I316" s="1">
        <v>47.0</v>
      </c>
      <c r="J316" s="1">
        <v>212500.0</v>
      </c>
      <c r="K316" s="2">
        <v>41977.0</v>
      </c>
      <c r="L316" s="1">
        <v>25.0</v>
      </c>
      <c r="M316" s="2">
        <v>41977.0</v>
      </c>
      <c r="N316" s="1" t="s">
        <v>356</v>
      </c>
      <c r="O316" s="2">
        <v>42039.0</v>
      </c>
      <c r="P316" s="1">
        <v>237561.0</v>
      </c>
      <c r="Q316" s="1">
        <v>1666.0</v>
      </c>
      <c r="S316" s="1">
        <v>1345.0</v>
      </c>
      <c r="T316" s="1" t="s">
        <v>4766</v>
      </c>
      <c r="U316" s="1" t="s">
        <v>464</v>
      </c>
      <c r="V316" s="1" t="s">
        <v>465</v>
      </c>
      <c r="W316" s="1">
        <v>60123.0</v>
      </c>
      <c r="Y316" s="1" t="s">
        <v>4767</v>
      </c>
      <c r="Z316" s="1">
        <v>1994.0</v>
      </c>
      <c r="AA316" s="1" t="s">
        <v>200</v>
      </c>
      <c r="AB316" s="1" t="s">
        <v>193</v>
      </c>
      <c r="AD316" s="1" t="s">
        <v>469</v>
      </c>
      <c r="AE316" s="1" t="s">
        <v>325</v>
      </c>
      <c r="AF316" s="1" t="s">
        <v>469</v>
      </c>
      <c r="AH316" s="1">
        <v>10686.0</v>
      </c>
      <c r="AK316" s="1">
        <v>10.0</v>
      </c>
      <c r="AL316" s="1">
        <v>4.0</v>
      </c>
      <c r="AM316" s="1">
        <v>2.0</v>
      </c>
      <c r="AN316" s="1">
        <v>1.0</v>
      </c>
      <c r="AO316" s="1" t="s">
        <v>198</v>
      </c>
      <c r="AQ316" s="1" t="s">
        <v>1314</v>
      </c>
      <c r="AR316" s="1" t="s">
        <v>200</v>
      </c>
      <c r="AS316" s="1" t="s">
        <v>199</v>
      </c>
      <c r="AT316" s="1">
        <v>3.0</v>
      </c>
      <c r="AV316" s="1" t="s">
        <v>200</v>
      </c>
      <c r="AW316" s="1">
        <v>6032.0</v>
      </c>
      <c r="AX316" s="1">
        <v>2012.0</v>
      </c>
      <c r="AZ316" s="1" t="s">
        <v>200</v>
      </c>
      <c r="BA316" s="1" t="str">
        <f>"0633128020"</f>
        <v>0633128020</v>
      </c>
      <c r="BB316" s="1" t="s">
        <v>200</v>
      </c>
      <c r="BC316" s="1">
        <v>2372.0</v>
      </c>
      <c r="BD316" s="1">
        <v>200000.0</v>
      </c>
      <c r="BE316" s="2">
        <v>41953.0</v>
      </c>
      <c r="BF316" s="1" t="s">
        <v>4768</v>
      </c>
      <c r="BH316" s="1">
        <v>150.0</v>
      </c>
      <c r="BK316" s="1" t="s">
        <v>580</v>
      </c>
      <c r="BL316" s="1" t="str">
        <f t="shared" ref="BL316:BM316" si="217">""</f>
        <v/>
      </c>
      <c r="BM316" s="1" t="str">
        <f t="shared" si="217"/>
        <v/>
      </c>
      <c r="BQ316" s="1">
        <v>46.0</v>
      </c>
      <c r="BR316" s="1">
        <v>46.0</v>
      </c>
      <c r="BS316" s="1">
        <v>46.0</v>
      </c>
      <c r="BU316" s="1" t="s">
        <v>433</v>
      </c>
      <c r="BV316" s="1" t="s">
        <v>206</v>
      </c>
      <c r="BY316" s="1" t="s">
        <v>3271</v>
      </c>
      <c r="BZ316" s="1" t="s">
        <v>209</v>
      </c>
      <c r="CC316" s="1" t="s">
        <v>264</v>
      </c>
      <c r="CD316" s="1" t="s">
        <v>206</v>
      </c>
      <c r="CG316" s="1" t="s">
        <v>433</v>
      </c>
      <c r="CH316" s="1" t="s">
        <v>209</v>
      </c>
      <c r="CK316" s="1" t="s">
        <v>392</v>
      </c>
      <c r="CL316" s="1" t="s">
        <v>209</v>
      </c>
      <c r="CO316" s="1" t="s">
        <v>332</v>
      </c>
      <c r="CP316" s="1" t="s">
        <v>209</v>
      </c>
      <c r="CS316" s="1" t="s">
        <v>433</v>
      </c>
      <c r="CT316" s="1" t="s">
        <v>206</v>
      </c>
      <c r="CW316" s="1" t="s">
        <v>903</v>
      </c>
      <c r="CX316" s="1" t="s">
        <v>206</v>
      </c>
      <c r="DA316" s="1" t="s">
        <v>200</v>
      </c>
      <c r="DC316" s="1" t="s">
        <v>678</v>
      </c>
      <c r="DE316" s="1" t="s">
        <v>273</v>
      </c>
      <c r="DF316" s="1" t="s">
        <v>219</v>
      </c>
      <c r="DH316" s="1" t="s">
        <v>220</v>
      </c>
      <c r="DI316" s="1" t="s">
        <v>308</v>
      </c>
      <c r="DJ316" s="1" t="s">
        <v>222</v>
      </c>
      <c r="DL316" s="1" t="s">
        <v>224</v>
      </c>
      <c r="DM316" s="1" t="s">
        <v>229</v>
      </c>
      <c r="DO316" s="1" t="s">
        <v>549</v>
      </c>
      <c r="DQ316" s="1" t="s">
        <v>228</v>
      </c>
      <c r="DR316" s="1" t="s">
        <v>229</v>
      </c>
      <c r="DV316" s="1" t="s">
        <v>1188</v>
      </c>
      <c r="DW316" s="1" t="s">
        <v>667</v>
      </c>
      <c r="DX316" s="1" t="s">
        <v>234</v>
      </c>
      <c r="DZ316" s="1" t="s">
        <v>310</v>
      </c>
      <c r="EC316" s="1" t="s">
        <v>237</v>
      </c>
      <c r="EG316" s="1" t="s">
        <v>494</v>
      </c>
      <c r="EH316" s="1" t="s">
        <v>341</v>
      </c>
      <c r="EL316" s="1" t="s">
        <v>269</v>
      </c>
      <c r="EM316" s="1" t="s">
        <v>206</v>
      </c>
      <c r="EP316" s="1" t="s">
        <v>2224</v>
      </c>
      <c r="EQ316" s="1" t="s">
        <v>209</v>
      </c>
      <c r="EU316" s="1" t="s">
        <v>238</v>
      </c>
      <c r="EY316" s="1" t="s">
        <v>238</v>
      </c>
      <c r="FC316" s="1" t="s">
        <v>238</v>
      </c>
      <c r="FF316" s="1" t="s">
        <v>239</v>
      </c>
      <c r="FG316" s="1" t="s">
        <v>192</v>
      </c>
      <c r="FH316" s="1" t="s">
        <v>192</v>
      </c>
      <c r="FJ316" s="1" t="s">
        <v>347</v>
      </c>
      <c r="FK316" s="1" t="s">
        <v>229</v>
      </c>
      <c r="FL316" s="1" t="s">
        <v>1855</v>
      </c>
      <c r="FM316" s="1">
        <v>41.0</v>
      </c>
      <c r="FN316" s="1" t="s">
        <v>1856</v>
      </c>
      <c r="FO316" s="1" t="s">
        <v>1857</v>
      </c>
      <c r="FP316" s="1">
        <v>8483.0</v>
      </c>
      <c r="FQ316" s="1" t="s">
        <v>1858</v>
      </c>
      <c r="FS316" s="1" t="s">
        <v>1859</v>
      </c>
      <c r="FT316" s="1" t="s">
        <v>1860</v>
      </c>
      <c r="FU316" s="1" t="s">
        <v>1861</v>
      </c>
      <c r="FV316" s="1" t="s">
        <v>200</v>
      </c>
      <c r="FW316" s="1" t="s">
        <v>1307</v>
      </c>
      <c r="FZ316" s="1" t="s">
        <v>229</v>
      </c>
      <c r="GA316" s="1" t="s">
        <v>291</v>
      </c>
      <c r="GB316" s="2">
        <v>42040.0</v>
      </c>
      <c r="GC316" s="1" t="s">
        <v>4769</v>
      </c>
    </row>
    <row r="317">
      <c r="A317" s="1">
        <v>185100.0</v>
      </c>
      <c r="B317" s="1" t="s">
        <v>185</v>
      </c>
      <c r="C317" s="1" t="str">
        <f>"08788171"</f>
        <v>08788171</v>
      </c>
      <c r="D317" s="1" t="s">
        <v>186</v>
      </c>
      <c r="F317" s="1" t="str">
        <f>"543"</f>
        <v>543</v>
      </c>
      <c r="G317" s="2">
        <v>41960.0</v>
      </c>
      <c r="H317" s="1">
        <v>184900.0</v>
      </c>
      <c r="I317" s="1">
        <v>10.0</v>
      </c>
      <c r="J317" s="1">
        <v>184900.0</v>
      </c>
      <c r="K317" s="2">
        <v>41969.0</v>
      </c>
      <c r="L317" s="1">
        <v>10.0</v>
      </c>
      <c r="M317" s="2">
        <v>41969.0</v>
      </c>
      <c r="N317" s="1" t="s">
        <v>187</v>
      </c>
      <c r="O317" s="2">
        <v>42004.0</v>
      </c>
      <c r="P317" s="1">
        <v>239823.0</v>
      </c>
      <c r="Q317" s="1">
        <v>23120.0</v>
      </c>
      <c r="S317" s="1">
        <v>401.0</v>
      </c>
      <c r="T317" s="1" t="s">
        <v>4770</v>
      </c>
      <c r="U317" s="1" t="s">
        <v>420</v>
      </c>
      <c r="V317" s="1" t="s">
        <v>1527</v>
      </c>
      <c r="W317" s="1">
        <v>60543.0</v>
      </c>
      <c r="Y317" s="1" t="s">
        <v>4771</v>
      </c>
      <c r="Z317" s="1">
        <v>1999.0</v>
      </c>
      <c r="AA317" s="1" t="s">
        <v>200</v>
      </c>
      <c r="AB317" s="1" t="s">
        <v>193</v>
      </c>
      <c r="AD317" s="1" t="s">
        <v>1529</v>
      </c>
      <c r="AE317" s="1" t="s">
        <v>849</v>
      </c>
      <c r="AF317" s="1" t="s">
        <v>1529</v>
      </c>
      <c r="AH317" s="1" t="s">
        <v>4772</v>
      </c>
      <c r="AI317" s="1">
        <v>0.0918</v>
      </c>
      <c r="AK317" s="1">
        <v>7.0</v>
      </c>
      <c r="AL317" s="1">
        <v>4.0</v>
      </c>
      <c r="AM317" s="1">
        <v>2.0</v>
      </c>
      <c r="AN317" s="1">
        <v>1.0</v>
      </c>
      <c r="AO317" s="1" t="s">
        <v>198</v>
      </c>
      <c r="AQ317" s="1" t="s">
        <v>198</v>
      </c>
      <c r="AR317" s="1" t="s">
        <v>200</v>
      </c>
      <c r="AS317" s="1" t="s">
        <v>199</v>
      </c>
      <c r="AT317" s="1">
        <v>2.0</v>
      </c>
      <c r="AV317" s="1" t="s">
        <v>200</v>
      </c>
      <c r="AW317" s="4">
        <v>7458.82</v>
      </c>
      <c r="AX317" s="1">
        <v>2013.0</v>
      </c>
      <c r="AY317" s="1" t="s">
        <v>387</v>
      </c>
      <c r="AZ317" s="1" t="s">
        <v>200</v>
      </c>
      <c r="BA317" s="1" t="str">
        <f>"0309115001"</f>
        <v>0309115001</v>
      </c>
      <c r="BC317" s="1">
        <v>2112.0</v>
      </c>
      <c r="BD317" s="1">
        <v>185100.0</v>
      </c>
      <c r="BE317" s="2">
        <v>41960.0</v>
      </c>
      <c r="BF317" s="1" t="s">
        <v>4773</v>
      </c>
      <c r="BH317" s="1">
        <v>500.0</v>
      </c>
      <c r="BK317" s="1" t="s">
        <v>580</v>
      </c>
      <c r="BL317" s="1" t="str">
        <f t="shared" ref="BL317:BM317" si="218">""</f>
        <v/>
      </c>
      <c r="BM317" s="1" t="str">
        <f t="shared" si="218"/>
        <v/>
      </c>
      <c r="BQ317" s="1">
        <v>308.0</v>
      </c>
      <c r="BR317" s="1">
        <v>308.0</v>
      </c>
      <c r="BS317" s="1">
        <v>308.0</v>
      </c>
      <c r="BU317" s="1" t="s">
        <v>211</v>
      </c>
      <c r="BV317" s="1" t="s">
        <v>206</v>
      </c>
      <c r="BY317" s="1" t="s">
        <v>616</v>
      </c>
      <c r="BZ317" s="1" t="s">
        <v>209</v>
      </c>
      <c r="CC317" s="1" t="s">
        <v>264</v>
      </c>
      <c r="CD317" s="1" t="s">
        <v>206</v>
      </c>
      <c r="CG317" s="1" t="s">
        <v>584</v>
      </c>
      <c r="CH317" s="1" t="s">
        <v>209</v>
      </c>
      <c r="CK317" s="1" t="s">
        <v>363</v>
      </c>
      <c r="CL317" s="1" t="s">
        <v>209</v>
      </c>
      <c r="CO317" s="1" t="s">
        <v>264</v>
      </c>
      <c r="CP317" s="1" t="s">
        <v>209</v>
      </c>
      <c r="CS317" s="1" t="s">
        <v>363</v>
      </c>
      <c r="CT317" s="1" t="s">
        <v>206</v>
      </c>
      <c r="CX317" s="1" t="s">
        <v>204</v>
      </c>
      <c r="DA317" s="1" t="s">
        <v>200</v>
      </c>
      <c r="DC317" s="1" t="s">
        <v>335</v>
      </c>
      <c r="DE317" s="1" t="s">
        <v>273</v>
      </c>
      <c r="DF317" s="1" t="s">
        <v>619</v>
      </c>
      <c r="DH317" s="1" t="s">
        <v>220</v>
      </c>
      <c r="DJ317" s="1" t="s">
        <v>222</v>
      </c>
      <c r="DL317" s="1" t="s">
        <v>223</v>
      </c>
      <c r="DM317" s="1" t="s">
        <v>338</v>
      </c>
      <c r="DQ317" s="1" t="s">
        <v>228</v>
      </c>
      <c r="DR317" s="1" t="s">
        <v>588</v>
      </c>
      <c r="DV317" s="1" t="s">
        <v>232</v>
      </c>
      <c r="DW317" s="1" t="s">
        <v>233</v>
      </c>
      <c r="DX317" s="1" t="s">
        <v>234</v>
      </c>
      <c r="EC317" s="1" t="s">
        <v>237</v>
      </c>
      <c r="ED317" s="1" t="s">
        <v>555</v>
      </c>
      <c r="EM317" s="1" t="s">
        <v>238</v>
      </c>
      <c r="EQ317" s="1" t="s">
        <v>238</v>
      </c>
      <c r="EU317" s="1" t="s">
        <v>238</v>
      </c>
      <c r="EY317" s="1" t="s">
        <v>238</v>
      </c>
      <c r="FC317" s="1" t="s">
        <v>238</v>
      </c>
      <c r="FF317" s="1" t="s">
        <v>239</v>
      </c>
      <c r="FG317" s="1" t="s">
        <v>192</v>
      </c>
      <c r="FH317" s="1" t="s">
        <v>192</v>
      </c>
      <c r="FJ317" s="1" t="s">
        <v>4774</v>
      </c>
      <c r="FK317" s="1" t="s">
        <v>229</v>
      </c>
      <c r="FL317" s="1" t="s">
        <v>4775</v>
      </c>
      <c r="FM317" s="1">
        <v>5148.0</v>
      </c>
      <c r="FN317" s="1" t="s">
        <v>4776</v>
      </c>
      <c r="FO317" s="1" t="s">
        <v>4777</v>
      </c>
      <c r="FP317" s="1">
        <v>55955.0</v>
      </c>
      <c r="FU317" s="1" t="s">
        <v>4778</v>
      </c>
      <c r="FV317" s="1" t="s">
        <v>200</v>
      </c>
      <c r="FW317" s="1" t="s">
        <v>4779</v>
      </c>
      <c r="FZ317" s="1" t="s">
        <v>229</v>
      </c>
      <c r="GA317" s="1" t="s">
        <v>291</v>
      </c>
      <c r="GB317" s="2">
        <v>42005.0</v>
      </c>
      <c r="GC317" s="1" t="s">
        <v>4778</v>
      </c>
    </row>
    <row r="318">
      <c r="A318" s="1">
        <v>965000.0</v>
      </c>
      <c r="B318" s="1" t="s">
        <v>185</v>
      </c>
      <c r="C318" s="1" t="str">
        <f>"08789089"</f>
        <v>08789089</v>
      </c>
      <c r="D318" s="1" t="s">
        <v>186</v>
      </c>
      <c r="F318" s="1" t="str">
        <f>"8024"</f>
        <v>8024</v>
      </c>
      <c r="G318" s="2">
        <v>41962.0</v>
      </c>
      <c r="H318" s="1">
        <v>999999.0</v>
      </c>
      <c r="I318" s="1">
        <v>79.0</v>
      </c>
      <c r="J318" s="1">
        <v>999999.0</v>
      </c>
      <c r="K318" s="2">
        <v>41981.0</v>
      </c>
      <c r="L318" s="1">
        <v>20.0</v>
      </c>
      <c r="M318" s="2">
        <v>41981.0</v>
      </c>
      <c r="N318" s="1" t="s">
        <v>187</v>
      </c>
      <c r="O318" s="2">
        <v>42055.0</v>
      </c>
      <c r="P318" s="1">
        <v>130906.0</v>
      </c>
      <c r="Q318" s="1">
        <v>17665.0</v>
      </c>
      <c r="S318" s="1">
        <v>927.0</v>
      </c>
      <c r="T318" s="1" t="s">
        <v>4780</v>
      </c>
      <c r="U318" s="1" t="s">
        <v>189</v>
      </c>
      <c r="V318" s="1" t="s">
        <v>190</v>
      </c>
      <c r="W318" s="1">
        <v>60622.0</v>
      </c>
      <c r="Y318" s="1" t="s">
        <v>4781</v>
      </c>
      <c r="Z318" s="1">
        <v>1991.0</v>
      </c>
      <c r="AA318" s="1" t="s">
        <v>200</v>
      </c>
      <c r="AB318" s="1" t="s">
        <v>193</v>
      </c>
      <c r="AC318" s="1" t="s">
        <v>4782</v>
      </c>
      <c r="AD318" s="1" t="s">
        <v>194</v>
      </c>
      <c r="AE318" s="1" t="s">
        <v>195</v>
      </c>
      <c r="AF318" s="1" t="s">
        <v>827</v>
      </c>
      <c r="AH318" s="1" t="s">
        <v>359</v>
      </c>
      <c r="AK318" s="1">
        <v>10.0</v>
      </c>
      <c r="AL318" s="1">
        <v>4.0</v>
      </c>
      <c r="AM318" s="1">
        <v>4.0</v>
      </c>
      <c r="AN318" s="1">
        <v>1.0</v>
      </c>
      <c r="AO318" s="1" t="s">
        <v>198</v>
      </c>
      <c r="AP318" s="1">
        <v>2.0</v>
      </c>
      <c r="AQ318" s="1" t="s">
        <v>472</v>
      </c>
      <c r="AR318" s="1" t="s">
        <v>192</v>
      </c>
      <c r="AS318" s="1" t="s">
        <v>199</v>
      </c>
      <c r="AT318" s="1">
        <v>2.0</v>
      </c>
      <c r="AV318" s="1" t="s">
        <v>200</v>
      </c>
      <c r="AW318" s="4">
        <v>11184.9</v>
      </c>
      <c r="AX318" s="1">
        <v>2013.0</v>
      </c>
      <c r="AZ318" s="1" t="s">
        <v>200</v>
      </c>
      <c r="BA318" s="1" t="str">
        <f>"17064220140000"</f>
        <v>17064220140000</v>
      </c>
      <c r="BB318" s="1" t="s">
        <v>200</v>
      </c>
      <c r="BC318" s="1">
        <v>4000.0</v>
      </c>
      <c r="BD318" s="1">
        <v>965000.0</v>
      </c>
      <c r="BE318" s="2">
        <v>41962.0</v>
      </c>
      <c r="BF318" s="2" t="s">
        <v>4783</v>
      </c>
      <c r="BG318" s="1" t="s">
        <v>4784</v>
      </c>
      <c r="BH318" s="1">
        <v>0.0</v>
      </c>
      <c r="BJ318" s="1" t="s">
        <v>4785</v>
      </c>
      <c r="BK318" s="1" t="s">
        <v>204</v>
      </c>
      <c r="BL318" s="1" t="str">
        <f>"927"</f>
        <v>927</v>
      </c>
      <c r="BM318" s="1" t="str">
        <f>"0"</f>
        <v>0</v>
      </c>
      <c r="BN318" s="1">
        <v>1932.0</v>
      </c>
      <c r="BO318" s="1">
        <v>0.0</v>
      </c>
      <c r="BQ318" s="1">
        <v>299.0</v>
      </c>
      <c r="BR318" s="1">
        <v>299.0</v>
      </c>
      <c r="BS318" s="1">
        <v>299.0</v>
      </c>
      <c r="BU318" s="1" t="s">
        <v>4786</v>
      </c>
      <c r="BV318" s="1" t="s">
        <v>206</v>
      </c>
      <c r="BW318" s="1" t="s">
        <v>207</v>
      </c>
      <c r="BY318" s="1" t="s">
        <v>854</v>
      </c>
      <c r="BZ318" s="1" t="s">
        <v>209</v>
      </c>
      <c r="CA318" s="1" t="s">
        <v>207</v>
      </c>
      <c r="CC318" s="1" t="s">
        <v>542</v>
      </c>
      <c r="CD318" s="1" t="s">
        <v>206</v>
      </c>
      <c r="CE318" s="1" t="s">
        <v>207</v>
      </c>
      <c r="CG318" s="1" t="s">
        <v>4045</v>
      </c>
      <c r="CH318" s="1" t="s">
        <v>209</v>
      </c>
      <c r="CI318" s="1" t="s">
        <v>207</v>
      </c>
      <c r="CK318" s="1" t="s">
        <v>1352</v>
      </c>
      <c r="CL318" s="1" t="s">
        <v>209</v>
      </c>
      <c r="CM318" s="1" t="s">
        <v>207</v>
      </c>
      <c r="CO318" s="1" t="s">
        <v>4787</v>
      </c>
      <c r="CP318" s="1" t="s">
        <v>267</v>
      </c>
      <c r="CS318" s="1" t="s">
        <v>262</v>
      </c>
      <c r="CT318" s="1" t="s">
        <v>206</v>
      </c>
      <c r="CU318" s="1" t="s">
        <v>207</v>
      </c>
      <c r="CW318" s="1" t="s">
        <v>333</v>
      </c>
      <c r="CX318" s="1" t="s">
        <v>206</v>
      </c>
      <c r="CY318" s="1" t="s">
        <v>207</v>
      </c>
      <c r="DA318" s="1" t="s">
        <v>200</v>
      </c>
      <c r="DC318" s="1" t="s">
        <v>435</v>
      </c>
      <c r="DD318" s="1" t="s">
        <v>396</v>
      </c>
      <c r="DE318" s="1" t="s">
        <v>218</v>
      </c>
      <c r="DF318" s="1" t="s">
        <v>745</v>
      </c>
      <c r="DH318" s="1" t="s">
        <v>365</v>
      </c>
      <c r="DI318" s="1" t="s">
        <v>3590</v>
      </c>
      <c r="DJ318" s="1" t="s">
        <v>222</v>
      </c>
      <c r="DL318" s="1" t="s">
        <v>224</v>
      </c>
      <c r="DM318" s="1" t="s">
        <v>225</v>
      </c>
      <c r="DN318" s="1" t="s">
        <v>4788</v>
      </c>
      <c r="DP318" s="1" t="s">
        <v>276</v>
      </c>
      <c r="DQ318" s="1" t="s">
        <v>718</v>
      </c>
      <c r="DR318" s="1" t="s">
        <v>229</v>
      </c>
      <c r="DS318" s="1" t="s">
        <v>368</v>
      </c>
      <c r="DU318" s="1" t="s">
        <v>4789</v>
      </c>
      <c r="DV318" s="1" t="s">
        <v>4790</v>
      </c>
      <c r="DW318" s="1" t="s">
        <v>279</v>
      </c>
      <c r="DX318" s="1" t="s">
        <v>234</v>
      </c>
      <c r="DY318" s="1" t="s">
        <v>4250</v>
      </c>
      <c r="DZ318" s="1" t="s">
        <v>4791</v>
      </c>
      <c r="EA318" s="1" t="s">
        <v>1326</v>
      </c>
      <c r="EB318" s="1" t="s">
        <v>4251</v>
      </c>
      <c r="EC318" s="1" t="s">
        <v>4792</v>
      </c>
      <c r="EG318" s="1" t="s">
        <v>2023</v>
      </c>
      <c r="EJ318" s="1" t="s">
        <v>494</v>
      </c>
      <c r="EK318" s="1" t="s">
        <v>310</v>
      </c>
      <c r="EL318" s="1" t="s">
        <v>4793</v>
      </c>
      <c r="EM318" s="1" t="s">
        <v>267</v>
      </c>
      <c r="EQ318" s="1" t="s">
        <v>238</v>
      </c>
      <c r="EU318" s="1" t="s">
        <v>238</v>
      </c>
      <c r="EX318" s="1" t="s">
        <v>1623</v>
      </c>
      <c r="EY318" s="1" t="s">
        <v>391</v>
      </c>
      <c r="EZ318" s="1" t="s">
        <v>588</v>
      </c>
      <c r="FB318" s="1" t="s">
        <v>583</v>
      </c>
      <c r="FC318" s="1" t="s">
        <v>391</v>
      </c>
      <c r="FF318" s="1" t="s">
        <v>239</v>
      </c>
      <c r="FG318" s="1" t="s">
        <v>200</v>
      </c>
      <c r="FH318" s="1" t="s">
        <v>192</v>
      </c>
      <c r="FJ318" s="1" t="s">
        <v>2100</v>
      </c>
      <c r="FK318" s="1" t="s">
        <v>229</v>
      </c>
      <c r="FL318" s="1" t="s">
        <v>456</v>
      </c>
      <c r="FM318" s="1">
        <v>10274.0</v>
      </c>
      <c r="FN318" s="1" t="s">
        <v>4794</v>
      </c>
      <c r="FO318" s="1" t="s">
        <v>4795</v>
      </c>
      <c r="FP318" s="1">
        <v>131279.0</v>
      </c>
      <c r="FQ318" s="1" t="s">
        <v>4796</v>
      </c>
      <c r="FR318" s="1">
        <v>119288.0</v>
      </c>
      <c r="FU318" s="1" t="s">
        <v>4797</v>
      </c>
      <c r="FV318" s="1" t="s">
        <v>200</v>
      </c>
      <c r="FW318" s="1" t="s">
        <v>290</v>
      </c>
      <c r="FX318" s="1" t="s">
        <v>238</v>
      </c>
      <c r="FZ318" s="1" t="s">
        <v>229</v>
      </c>
      <c r="GA318" s="1" t="s">
        <v>291</v>
      </c>
      <c r="GB318" s="2">
        <v>42058.0</v>
      </c>
    </row>
    <row r="319">
      <c r="A319" s="1">
        <v>197000.0</v>
      </c>
      <c r="B319" s="1" t="s">
        <v>185</v>
      </c>
      <c r="C319" s="1" t="str">
        <f>"08793616"</f>
        <v>08793616</v>
      </c>
      <c r="D319" s="1" t="s">
        <v>186</v>
      </c>
      <c r="F319" s="1" t="str">
        <f>"8075"</f>
        <v>8075</v>
      </c>
      <c r="G319" s="2">
        <v>41971.0</v>
      </c>
      <c r="H319" s="1">
        <v>199900.0</v>
      </c>
      <c r="I319" s="1">
        <v>89.0</v>
      </c>
      <c r="J319" s="1">
        <v>199900.0</v>
      </c>
      <c r="K319" s="2">
        <v>42059.0</v>
      </c>
      <c r="L319" s="1">
        <v>89.0</v>
      </c>
      <c r="M319" s="2">
        <v>42059.0</v>
      </c>
      <c r="N319" s="1" t="s">
        <v>356</v>
      </c>
      <c r="O319" s="2">
        <v>42090.0</v>
      </c>
      <c r="P319" s="1">
        <v>159220.0</v>
      </c>
      <c r="Q319" s="1">
        <v>12511.0</v>
      </c>
      <c r="R319" s="1">
        <v>4000.0</v>
      </c>
      <c r="S319" s="1">
        <v>10904.0</v>
      </c>
      <c r="T319" s="1" t="s">
        <v>4798</v>
      </c>
      <c r="U319" s="1" t="s">
        <v>569</v>
      </c>
      <c r="V319" s="1" t="s">
        <v>190</v>
      </c>
      <c r="W319" s="1">
        <v>60643.0</v>
      </c>
      <c r="Y319" s="1" t="s">
        <v>4799</v>
      </c>
      <c r="Z319" s="1">
        <v>1953.0</v>
      </c>
      <c r="AA319" s="1" t="s">
        <v>192</v>
      </c>
      <c r="AB319" s="1" t="s">
        <v>193</v>
      </c>
      <c r="AD319" s="1" t="s">
        <v>194</v>
      </c>
      <c r="AE319" s="1" t="s">
        <v>195</v>
      </c>
      <c r="AF319" s="1" t="s">
        <v>659</v>
      </c>
      <c r="AH319" s="1" t="s">
        <v>4800</v>
      </c>
      <c r="AK319" s="1">
        <v>7.0</v>
      </c>
      <c r="AL319" s="1">
        <v>3.0</v>
      </c>
      <c r="AM319" s="1">
        <v>1.0</v>
      </c>
      <c r="AN319" s="1">
        <v>1.0</v>
      </c>
      <c r="AO319" s="1" t="s">
        <v>229</v>
      </c>
      <c r="AQ319" s="1" t="s">
        <v>198</v>
      </c>
      <c r="AR319" s="1" t="s">
        <v>200</v>
      </c>
      <c r="AS319" s="1" t="s">
        <v>229</v>
      </c>
      <c r="AV319" s="1" t="s">
        <v>200</v>
      </c>
      <c r="AW319" s="1">
        <v>3274.0</v>
      </c>
      <c r="AX319" s="1">
        <v>2013.0</v>
      </c>
      <c r="AY319" s="1" t="s">
        <v>229</v>
      </c>
      <c r="AZ319" s="1" t="s">
        <v>200</v>
      </c>
      <c r="BA319" s="1" t="str">
        <f>"25183080490000"</f>
        <v>25183080490000</v>
      </c>
      <c r="BC319" s="1">
        <v>1327.0</v>
      </c>
      <c r="BD319" s="1">
        <v>197000.0</v>
      </c>
      <c r="BE319" s="2">
        <v>41971.0</v>
      </c>
      <c r="BF319" s="2" t="s">
        <v>4801</v>
      </c>
      <c r="BH319" s="1">
        <v>0.0</v>
      </c>
      <c r="BK319" s="1" t="s">
        <v>204</v>
      </c>
      <c r="BL319" s="1" t="str">
        <f t="shared" ref="BL319:BM319" si="219">"0"</f>
        <v>0</v>
      </c>
      <c r="BM319" s="1" t="str">
        <f t="shared" si="219"/>
        <v>0</v>
      </c>
      <c r="BN319" s="1">
        <v>2000.0</v>
      </c>
      <c r="BO319" s="1">
        <v>10904.0</v>
      </c>
      <c r="BQ319" s="1">
        <v>299.0</v>
      </c>
      <c r="BR319" s="1">
        <v>299.0</v>
      </c>
      <c r="BS319" s="1">
        <v>299.0</v>
      </c>
      <c r="BU319" s="1" t="s">
        <v>333</v>
      </c>
      <c r="BV319" s="1" t="s">
        <v>206</v>
      </c>
      <c r="BW319" s="1" t="s">
        <v>207</v>
      </c>
      <c r="BX319" s="1" t="s">
        <v>239</v>
      </c>
      <c r="BY319" s="1" t="s">
        <v>393</v>
      </c>
      <c r="BZ319" s="1" t="s">
        <v>206</v>
      </c>
      <c r="CA319" s="1" t="s">
        <v>207</v>
      </c>
      <c r="CB319" s="1" t="s">
        <v>239</v>
      </c>
      <c r="CD319" s="1" t="s">
        <v>204</v>
      </c>
      <c r="CG319" s="1" t="s">
        <v>363</v>
      </c>
      <c r="CH319" s="1" t="s">
        <v>206</v>
      </c>
      <c r="CI319" s="1" t="s">
        <v>210</v>
      </c>
      <c r="CJ319" s="1" t="s">
        <v>239</v>
      </c>
      <c r="CK319" s="1" t="s">
        <v>495</v>
      </c>
      <c r="CL319" s="1" t="s">
        <v>206</v>
      </c>
      <c r="CM319" s="1" t="s">
        <v>210</v>
      </c>
      <c r="CN319" s="1" t="s">
        <v>239</v>
      </c>
      <c r="CO319" s="1" t="s">
        <v>495</v>
      </c>
      <c r="CP319" s="1" t="s">
        <v>42</v>
      </c>
      <c r="CQ319" s="1" t="s">
        <v>268</v>
      </c>
      <c r="CR319" s="1" t="s">
        <v>239</v>
      </c>
      <c r="CS319" s="1" t="s">
        <v>3375</v>
      </c>
      <c r="CT319" s="1" t="s">
        <v>206</v>
      </c>
      <c r="CU319" s="1" t="s">
        <v>268</v>
      </c>
      <c r="CV319" s="1" t="s">
        <v>239</v>
      </c>
      <c r="CW319" s="1" t="s">
        <v>4802</v>
      </c>
      <c r="CX319" s="1" t="s">
        <v>42</v>
      </c>
      <c r="CY319" s="1" t="s">
        <v>268</v>
      </c>
      <c r="DA319" s="1" t="s">
        <v>200</v>
      </c>
      <c r="DC319" s="1" t="s">
        <v>702</v>
      </c>
      <c r="DD319" s="1" t="s">
        <v>518</v>
      </c>
      <c r="DE319" s="1" t="s">
        <v>273</v>
      </c>
      <c r="DF319" s="1" t="s">
        <v>219</v>
      </c>
      <c r="DH319" s="1" t="s">
        <v>365</v>
      </c>
      <c r="DJ319" s="1" t="s">
        <v>222</v>
      </c>
      <c r="DL319" s="1" t="s">
        <v>224</v>
      </c>
      <c r="DM319" s="1" t="s">
        <v>229</v>
      </c>
      <c r="DQ319" s="1" t="s">
        <v>228</v>
      </c>
      <c r="DR319" s="1" t="s">
        <v>229</v>
      </c>
      <c r="DV319" s="1" t="s">
        <v>232</v>
      </c>
      <c r="DW319" s="1" t="s">
        <v>279</v>
      </c>
      <c r="DX319" s="1" t="s">
        <v>234</v>
      </c>
      <c r="DY319" s="1" t="s">
        <v>553</v>
      </c>
      <c r="DZ319" s="1" t="s">
        <v>1405</v>
      </c>
      <c r="EA319" s="1" t="s">
        <v>644</v>
      </c>
      <c r="EC319" s="1" t="s">
        <v>311</v>
      </c>
      <c r="EM319" s="1" t="s">
        <v>238</v>
      </c>
      <c r="EQ319" s="1" t="s">
        <v>238</v>
      </c>
      <c r="EU319" s="1" t="s">
        <v>238</v>
      </c>
      <c r="EY319" s="1" t="s">
        <v>238</v>
      </c>
      <c r="FC319" s="1" t="s">
        <v>238</v>
      </c>
      <c r="FF319" s="1" t="s">
        <v>239</v>
      </c>
      <c r="FG319" s="1" t="s">
        <v>192</v>
      </c>
      <c r="FH319" s="1" t="s">
        <v>192</v>
      </c>
      <c r="FJ319" s="1" t="s">
        <v>4803</v>
      </c>
      <c r="FK319" s="1" t="s">
        <v>348</v>
      </c>
      <c r="FL319" s="1" t="s">
        <v>4804</v>
      </c>
      <c r="FM319" s="1">
        <v>60035.0</v>
      </c>
      <c r="FN319" s="1" t="s">
        <v>4805</v>
      </c>
      <c r="FO319" s="1" t="s">
        <v>4806</v>
      </c>
      <c r="FP319" s="1">
        <v>600779.0</v>
      </c>
      <c r="FQ319" s="1" t="s">
        <v>4807</v>
      </c>
      <c r="FU319" s="1" t="s">
        <v>4808</v>
      </c>
      <c r="FV319" s="1" t="s">
        <v>200</v>
      </c>
      <c r="FW319" s="1" t="s">
        <v>567</v>
      </c>
      <c r="FX319" s="1" t="s">
        <v>655</v>
      </c>
      <c r="FZ319" s="1" t="s">
        <v>229</v>
      </c>
      <c r="GA319" s="1" t="s">
        <v>291</v>
      </c>
      <c r="GB319" s="2">
        <v>42090.0</v>
      </c>
      <c r="GC319" s="1" t="s">
        <v>4809</v>
      </c>
    </row>
    <row r="320">
      <c r="A320" s="1">
        <v>252500.0</v>
      </c>
      <c r="B320" s="1" t="s">
        <v>185</v>
      </c>
      <c r="C320" s="1" t="str">
        <f>"08789316"</f>
        <v>08789316</v>
      </c>
      <c r="D320" s="1" t="s">
        <v>186</v>
      </c>
      <c r="F320" s="1" t="str">
        <f>"542"</f>
        <v>542</v>
      </c>
      <c r="G320" s="2">
        <v>41962.0</v>
      </c>
      <c r="H320" s="1">
        <v>332000.0</v>
      </c>
      <c r="I320" s="1">
        <v>141.0</v>
      </c>
      <c r="J320" s="1">
        <v>262000.0</v>
      </c>
      <c r="K320" s="2">
        <v>42102.0</v>
      </c>
      <c r="L320" s="1">
        <v>141.0</v>
      </c>
      <c r="M320" s="2">
        <v>42102.0</v>
      </c>
      <c r="N320" s="1" t="s">
        <v>249</v>
      </c>
      <c r="O320" s="2">
        <v>42115.0</v>
      </c>
      <c r="P320" s="1">
        <v>8807.0</v>
      </c>
      <c r="Q320" s="1">
        <v>357.0</v>
      </c>
      <c r="S320" s="1">
        <v>1309.0</v>
      </c>
      <c r="T320" s="1" t="s">
        <v>1199</v>
      </c>
      <c r="U320" s="1" t="s">
        <v>569</v>
      </c>
      <c r="V320" s="1" t="s">
        <v>3984</v>
      </c>
      <c r="W320" s="1">
        <v>60542.0</v>
      </c>
      <c r="Y320" s="1" t="s">
        <v>4810</v>
      </c>
      <c r="Z320" s="1">
        <v>1993.0</v>
      </c>
      <c r="AA320" s="1" t="s">
        <v>200</v>
      </c>
      <c r="AB320" s="1" t="s">
        <v>193</v>
      </c>
      <c r="AC320" s="1" t="s">
        <v>4811</v>
      </c>
      <c r="AD320" s="1" t="s">
        <v>3986</v>
      </c>
      <c r="AE320" s="1" t="s">
        <v>325</v>
      </c>
      <c r="AF320" s="1" t="s">
        <v>2702</v>
      </c>
      <c r="AH320" s="1" t="s">
        <v>4812</v>
      </c>
      <c r="AI320" s="1">
        <v>0.33</v>
      </c>
      <c r="AK320" s="1">
        <v>10.0</v>
      </c>
      <c r="AL320" s="1">
        <v>4.0</v>
      </c>
      <c r="AM320" s="1">
        <v>2.0</v>
      </c>
      <c r="AN320" s="1">
        <v>1.0</v>
      </c>
      <c r="AO320" s="1" t="s">
        <v>198</v>
      </c>
      <c r="AP320" s="1">
        <v>2.0</v>
      </c>
      <c r="AQ320" s="1" t="s">
        <v>198</v>
      </c>
      <c r="AR320" s="1" t="s">
        <v>200</v>
      </c>
      <c r="AS320" s="1" t="s">
        <v>199</v>
      </c>
      <c r="AT320" s="1">
        <v>2.0</v>
      </c>
      <c r="AV320" s="1" t="s">
        <v>200</v>
      </c>
      <c r="AW320" s="1">
        <v>10354.86</v>
      </c>
      <c r="AX320" s="1">
        <v>2013.0</v>
      </c>
      <c r="AZ320" s="1" t="s">
        <v>200</v>
      </c>
      <c r="BA320" s="1" t="str">
        <f>"1234201002"</f>
        <v>1234201002</v>
      </c>
      <c r="BC320" s="1">
        <v>2897.0</v>
      </c>
      <c r="BD320" s="1">
        <v>252500.0</v>
      </c>
      <c r="BE320" s="2">
        <v>41962.0</v>
      </c>
      <c r="BF320" s="2" t="s">
        <v>4813</v>
      </c>
      <c r="BH320" s="1">
        <v>0.0</v>
      </c>
      <c r="BK320" s="1" t="s">
        <v>204</v>
      </c>
      <c r="BL320" s="1" t="str">
        <f t="shared" ref="BL320:BM320" si="220">""</f>
        <v/>
      </c>
      <c r="BM320" s="1" t="str">
        <f t="shared" si="220"/>
        <v/>
      </c>
      <c r="BQ320" s="1">
        <v>101.0</v>
      </c>
      <c r="BR320" s="1">
        <v>101.0</v>
      </c>
      <c r="BS320" s="1">
        <v>101.0</v>
      </c>
      <c r="BU320" s="1" t="s">
        <v>743</v>
      </c>
      <c r="BV320" s="1" t="s">
        <v>206</v>
      </c>
      <c r="BW320" s="1" t="s">
        <v>210</v>
      </c>
      <c r="BY320" s="1" t="s">
        <v>361</v>
      </c>
      <c r="BZ320" s="1" t="s">
        <v>209</v>
      </c>
      <c r="CA320" s="1" t="s">
        <v>210</v>
      </c>
      <c r="CC320" s="1" t="s">
        <v>332</v>
      </c>
      <c r="CD320" s="1" t="s">
        <v>206</v>
      </c>
      <c r="CE320" s="1" t="s">
        <v>210</v>
      </c>
      <c r="CG320" s="1" t="s">
        <v>264</v>
      </c>
      <c r="CH320" s="1" t="s">
        <v>209</v>
      </c>
      <c r="CI320" s="1" t="s">
        <v>210</v>
      </c>
      <c r="CK320" s="1" t="s">
        <v>212</v>
      </c>
      <c r="CL320" s="1" t="s">
        <v>209</v>
      </c>
      <c r="CM320" s="1" t="s">
        <v>210</v>
      </c>
      <c r="CO320" s="1" t="s">
        <v>362</v>
      </c>
      <c r="CP320" s="1" t="s">
        <v>209</v>
      </c>
      <c r="CQ320" s="1" t="s">
        <v>210</v>
      </c>
      <c r="CS320" s="1" t="s">
        <v>212</v>
      </c>
      <c r="CT320" s="1" t="s">
        <v>206</v>
      </c>
      <c r="CU320" s="1" t="s">
        <v>207</v>
      </c>
      <c r="CW320" s="1" t="s">
        <v>213</v>
      </c>
      <c r="CX320" s="1" t="s">
        <v>206</v>
      </c>
      <c r="CY320" s="1" t="s">
        <v>207</v>
      </c>
      <c r="DA320" s="1" t="s">
        <v>200</v>
      </c>
      <c r="DC320" s="1" t="s">
        <v>435</v>
      </c>
      <c r="DD320" s="1" t="s">
        <v>3633</v>
      </c>
      <c r="DE320" s="1" t="s">
        <v>273</v>
      </c>
      <c r="DF320" s="1" t="s">
        <v>219</v>
      </c>
      <c r="DH320" s="1" t="s">
        <v>220</v>
      </c>
      <c r="DJ320" s="1" t="s">
        <v>222</v>
      </c>
      <c r="DL320" s="1" t="s">
        <v>223</v>
      </c>
      <c r="DM320" s="1" t="s">
        <v>338</v>
      </c>
      <c r="DN320" s="1" t="s">
        <v>548</v>
      </c>
      <c r="DP320" s="1" t="s">
        <v>340</v>
      </c>
      <c r="DQ320" s="1" t="s">
        <v>441</v>
      </c>
      <c r="DR320" s="1" t="s">
        <v>229</v>
      </c>
      <c r="DV320" s="1" t="s">
        <v>4513</v>
      </c>
      <c r="DW320" s="1" t="s">
        <v>370</v>
      </c>
      <c r="DX320" s="1" t="s">
        <v>234</v>
      </c>
      <c r="DY320" s="1" t="s">
        <v>3488</v>
      </c>
      <c r="DZ320" s="1" t="s">
        <v>1146</v>
      </c>
      <c r="EA320" s="1" t="s">
        <v>344</v>
      </c>
      <c r="EC320" s="1" t="s">
        <v>237</v>
      </c>
      <c r="EG320" s="1" t="s">
        <v>449</v>
      </c>
      <c r="EH320" s="1" t="s">
        <v>494</v>
      </c>
      <c r="EL320" s="1" t="s">
        <v>2461</v>
      </c>
      <c r="EM320" s="1" t="s">
        <v>206</v>
      </c>
      <c r="EN320" s="1" t="s">
        <v>207</v>
      </c>
      <c r="EP320" s="1" t="s">
        <v>495</v>
      </c>
      <c r="EQ320" s="1" t="s">
        <v>206</v>
      </c>
      <c r="ER320" s="1" t="s">
        <v>210</v>
      </c>
      <c r="EU320" s="1" t="s">
        <v>238</v>
      </c>
      <c r="EY320" s="1" t="s">
        <v>238</v>
      </c>
      <c r="FC320" s="1" t="s">
        <v>238</v>
      </c>
      <c r="FF320" s="1" t="s">
        <v>239</v>
      </c>
      <c r="FG320" s="1" t="s">
        <v>192</v>
      </c>
      <c r="FH320" s="1" t="s">
        <v>192</v>
      </c>
      <c r="FJ320" s="1" t="s">
        <v>1248</v>
      </c>
      <c r="FK320" s="1" t="s">
        <v>229</v>
      </c>
      <c r="FL320" s="1" t="s">
        <v>2184</v>
      </c>
      <c r="FM320" s="1">
        <v>605.0</v>
      </c>
      <c r="FN320" s="1" t="s">
        <v>2185</v>
      </c>
      <c r="FO320" s="1" t="s">
        <v>1738</v>
      </c>
      <c r="FP320" s="1">
        <v>170.0</v>
      </c>
      <c r="FQ320" s="1" t="s">
        <v>2185</v>
      </c>
      <c r="FS320" s="1" t="s">
        <v>3468</v>
      </c>
      <c r="FU320" s="1" t="s">
        <v>3469</v>
      </c>
      <c r="FV320" s="1" t="s">
        <v>200</v>
      </c>
      <c r="FW320" s="1" t="s">
        <v>354</v>
      </c>
      <c r="FZ320" s="1" t="s">
        <v>229</v>
      </c>
      <c r="GA320" s="1" t="s">
        <v>291</v>
      </c>
      <c r="GB320" s="2">
        <v>42115.0</v>
      </c>
      <c r="GC320" s="1" t="s">
        <v>4814</v>
      </c>
    </row>
    <row r="321">
      <c r="A321" s="1">
        <v>174500.0</v>
      </c>
      <c r="B321" s="1" t="s">
        <v>185</v>
      </c>
      <c r="C321" s="1" t="str">
        <f>"08789025"</f>
        <v>08789025</v>
      </c>
      <c r="D321" s="1" t="s">
        <v>186</v>
      </c>
      <c r="F321" s="1" t="str">
        <f>"8048"</f>
        <v>8048</v>
      </c>
      <c r="G321" s="2">
        <v>41962.0</v>
      </c>
      <c r="H321" s="1">
        <v>183000.0</v>
      </c>
      <c r="I321" s="1">
        <v>126.0</v>
      </c>
      <c r="J321" s="1">
        <v>179000.0</v>
      </c>
      <c r="K321" s="2">
        <v>42003.0</v>
      </c>
      <c r="L321" s="1">
        <v>42.0</v>
      </c>
      <c r="M321" s="2">
        <v>42003.0</v>
      </c>
      <c r="N321" s="1" t="s">
        <v>187</v>
      </c>
      <c r="O321" s="2">
        <v>42048.0</v>
      </c>
      <c r="P321" s="1">
        <v>231411.0</v>
      </c>
      <c r="Q321" s="1">
        <v>57070.0</v>
      </c>
      <c r="R321" s="1">
        <v>5235.0</v>
      </c>
      <c r="S321" s="1">
        <v>8829.0</v>
      </c>
      <c r="T321" s="1" t="s">
        <v>2411</v>
      </c>
      <c r="U321" s="1" t="s">
        <v>189</v>
      </c>
      <c r="V321" s="1" t="s">
        <v>190</v>
      </c>
      <c r="W321" s="1">
        <v>60617.0</v>
      </c>
      <c r="Y321" s="1" t="s">
        <v>4815</v>
      </c>
      <c r="Z321" s="1">
        <v>1952.0</v>
      </c>
      <c r="AA321" s="1" t="s">
        <v>192</v>
      </c>
      <c r="AB321" s="1" t="s">
        <v>193</v>
      </c>
      <c r="AD321" s="1" t="s">
        <v>194</v>
      </c>
      <c r="AE321" s="1" t="s">
        <v>195</v>
      </c>
      <c r="AF321" s="1" t="s">
        <v>637</v>
      </c>
      <c r="AH321" s="1" t="s">
        <v>359</v>
      </c>
      <c r="AI321" s="1">
        <v>0.0854</v>
      </c>
      <c r="AK321" s="1">
        <v>9.0</v>
      </c>
      <c r="AL321" s="1">
        <v>3.0</v>
      </c>
      <c r="AM321" s="1">
        <v>2.0</v>
      </c>
      <c r="AN321" s="1">
        <v>0.0</v>
      </c>
      <c r="AO321" s="1" t="s">
        <v>229</v>
      </c>
      <c r="AQ321" s="1" t="s">
        <v>198</v>
      </c>
      <c r="AR321" s="1" t="s">
        <v>200</v>
      </c>
      <c r="AS321" s="1" t="s">
        <v>199</v>
      </c>
      <c r="AT321" s="1">
        <v>2.0</v>
      </c>
      <c r="AV321" s="1" t="s">
        <v>200</v>
      </c>
      <c r="AW321" s="1">
        <v>2483.75</v>
      </c>
      <c r="AX321" s="1">
        <v>2012.0</v>
      </c>
      <c r="AZ321" s="1" t="s">
        <v>200</v>
      </c>
      <c r="BA321" s="1" t="str">
        <f>"25012120650000"</f>
        <v>25012120650000</v>
      </c>
      <c r="BC321" s="1">
        <v>2300.0</v>
      </c>
      <c r="BD321" s="1">
        <v>174500.0</v>
      </c>
      <c r="BE321" s="2">
        <v>41962.0</v>
      </c>
      <c r="BF321" s="1" t="s">
        <v>4816</v>
      </c>
      <c r="BH321" s="1">
        <v>0.0</v>
      </c>
      <c r="BK321" s="1" t="s">
        <v>204</v>
      </c>
      <c r="BL321" s="1" t="str">
        <f t="shared" ref="BL321:BL322" si="221">"0"</f>
        <v>0</v>
      </c>
      <c r="BM321" s="1" t="str">
        <f>"2100"</f>
        <v>2100</v>
      </c>
      <c r="BN321" s="1">
        <v>0.0</v>
      </c>
      <c r="BO321" s="1">
        <v>8900.0</v>
      </c>
      <c r="BQ321" s="1">
        <v>299.0</v>
      </c>
      <c r="BR321" s="1">
        <v>299.0</v>
      </c>
      <c r="BS321" s="1">
        <v>299.0</v>
      </c>
      <c r="BU321" s="1" t="s">
        <v>496</v>
      </c>
      <c r="BV321" s="1" t="s">
        <v>206</v>
      </c>
      <c r="BW321" s="1" t="s">
        <v>207</v>
      </c>
      <c r="BY321" s="1" t="s">
        <v>1329</v>
      </c>
      <c r="BZ321" s="1" t="s">
        <v>206</v>
      </c>
      <c r="CA321" s="1" t="s">
        <v>207</v>
      </c>
      <c r="CC321" s="1" t="s">
        <v>1567</v>
      </c>
      <c r="CD321" s="1" t="s">
        <v>206</v>
      </c>
      <c r="CE321" s="1" t="s">
        <v>207</v>
      </c>
      <c r="CG321" s="1" t="s">
        <v>332</v>
      </c>
      <c r="CH321" s="1" t="s">
        <v>206</v>
      </c>
      <c r="CI321" s="1" t="s">
        <v>207</v>
      </c>
      <c r="CK321" s="1" t="s">
        <v>363</v>
      </c>
      <c r="CL321" s="1" t="s">
        <v>206</v>
      </c>
      <c r="CM321" s="1" t="s">
        <v>207</v>
      </c>
      <c r="CO321" s="1" t="s">
        <v>495</v>
      </c>
      <c r="CP321" s="1" t="s">
        <v>42</v>
      </c>
      <c r="CS321" s="1" t="s">
        <v>4817</v>
      </c>
      <c r="CT321" s="1" t="s">
        <v>206</v>
      </c>
      <c r="CU321" s="1" t="s">
        <v>268</v>
      </c>
      <c r="CW321" s="1" t="s">
        <v>4818</v>
      </c>
      <c r="CX321" s="1" t="s">
        <v>42</v>
      </c>
      <c r="CY321" s="1" t="s">
        <v>268</v>
      </c>
      <c r="DA321" s="1" t="s">
        <v>200</v>
      </c>
      <c r="DC321" s="1" t="s">
        <v>702</v>
      </c>
      <c r="DE321" s="1" t="s">
        <v>273</v>
      </c>
      <c r="DF321" s="1" t="s">
        <v>219</v>
      </c>
      <c r="DH321" s="1" t="s">
        <v>307</v>
      </c>
      <c r="DJ321" s="1" t="s">
        <v>222</v>
      </c>
      <c r="DL321" s="1" t="s">
        <v>1161</v>
      </c>
      <c r="DM321" s="1" t="s">
        <v>229</v>
      </c>
      <c r="DQ321" s="1" t="s">
        <v>228</v>
      </c>
      <c r="DR321" s="1" t="s">
        <v>229</v>
      </c>
      <c r="DV321" s="1" t="s">
        <v>494</v>
      </c>
      <c r="DW321" s="1" t="s">
        <v>279</v>
      </c>
      <c r="DX321" s="1" t="s">
        <v>309</v>
      </c>
      <c r="DY321" s="1" t="s">
        <v>2972</v>
      </c>
      <c r="EA321" s="1" t="s">
        <v>1302</v>
      </c>
      <c r="EC321" s="1" t="s">
        <v>685</v>
      </c>
      <c r="EG321" s="1" t="s">
        <v>494</v>
      </c>
      <c r="EL321" s="1" t="s">
        <v>1696</v>
      </c>
      <c r="EM321" s="1" t="s">
        <v>206</v>
      </c>
      <c r="EN321" s="1" t="s">
        <v>210</v>
      </c>
      <c r="EQ321" s="1" t="s">
        <v>238</v>
      </c>
      <c r="EU321" s="1" t="s">
        <v>238</v>
      </c>
      <c r="EY321" s="1" t="s">
        <v>238</v>
      </c>
      <c r="FC321" s="1" t="s">
        <v>238</v>
      </c>
      <c r="FF321" s="1" t="s">
        <v>239</v>
      </c>
      <c r="FG321" s="1" t="s">
        <v>192</v>
      </c>
      <c r="FH321" s="1" t="s">
        <v>192</v>
      </c>
      <c r="FJ321" s="1" t="s">
        <v>4819</v>
      </c>
      <c r="FK321" s="1" t="s">
        <v>229</v>
      </c>
      <c r="FL321" s="1" t="s">
        <v>4820</v>
      </c>
      <c r="FM321" s="1">
        <v>85342.0</v>
      </c>
      <c r="FN321" s="1" t="s">
        <v>4821</v>
      </c>
      <c r="FO321" s="1" t="s">
        <v>4822</v>
      </c>
      <c r="FP321" s="1">
        <v>159745.0</v>
      </c>
      <c r="FQ321" s="1" t="s">
        <v>4821</v>
      </c>
      <c r="FU321" s="1" t="s">
        <v>3993</v>
      </c>
      <c r="FV321" s="1" t="s">
        <v>200</v>
      </c>
      <c r="FW321" s="1" t="s">
        <v>1511</v>
      </c>
      <c r="FX321" s="1" t="s">
        <v>655</v>
      </c>
      <c r="FZ321" s="1" t="s">
        <v>229</v>
      </c>
      <c r="GA321" s="1" t="s">
        <v>291</v>
      </c>
      <c r="GB321" s="2">
        <v>42049.0</v>
      </c>
    </row>
    <row r="322">
      <c r="A322" s="1">
        <v>25000.0</v>
      </c>
      <c r="B322" s="1" t="s">
        <v>185</v>
      </c>
      <c r="C322" s="1" t="str">
        <f>"08785966"</f>
        <v>08785966</v>
      </c>
      <c r="D322" s="1" t="s">
        <v>186</v>
      </c>
      <c r="F322" s="1" t="str">
        <f>"8072"</f>
        <v>8072</v>
      </c>
      <c r="G322" s="2">
        <v>41956.0</v>
      </c>
      <c r="H322" s="1">
        <v>29900.0</v>
      </c>
      <c r="I322" s="1">
        <v>24.0</v>
      </c>
      <c r="J322" s="1">
        <v>29900.0</v>
      </c>
      <c r="K322" s="2">
        <v>41979.0</v>
      </c>
      <c r="L322" s="1">
        <v>24.0</v>
      </c>
      <c r="M322" s="2">
        <v>41979.0</v>
      </c>
      <c r="N322" s="1" t="s">
        <v>249</v>
      </c>
      <c r="O322" s="2">
        <v>42061.0</v>
      </c>
      <c r="P322" s="1">
        <v>153497.0</v>
      </c>
      <c r="Q322" s="1">
        <v>84297.0</v>
      </c>
      <c r="S322" s="1">
        <v>10536.0</v>
      </c>
      <c r="T322" s="1" t="s">
        <v>4823</v>
      </c>
      <c r="U322" s="1" t="s">
        <v>189</v>
      </c>
      <c r="V322" s="1" t="s">
        <v>190</v>
      </c>
      <c r="W322" s="1">
        <v>60643.0</v>
      </c>
      <c r="Y322" s="1" t="s">
        <v>4824</v>
      </c>
      <c r="Z322" s="1">
        <v>1890.0</v>
      </c>
      <c r="AA322" s="1" t="s">
        <v>192</v>
      </c>
      <c r="AB322" s="1" t="s">
        <v>193</v>
      </c>
      <c r="AC322" s="1" t="s">
        <v>4825</v>
      </c>
      <c r="AD322" s="1" t="s">
        <v>194</v>
      </c>
      <c r="AE322" s="1" t="s">
        <v>195</v>
      </c>
      <c r="AF322" s="1" t="s">
        <v>659</v>
      </c>
      <c r="AH322" s="1">
        <v>2600.0</v>
      </c>
      <c r="AI322" s="1">
        <v>0.0598</v>
      </c>
      <c r="AK322" s="1">
        <v>7.0</v>
      </c>
      <c r="AL322" s="1">
        <v>4.0</v>
      </c>
      <c r="AM322" s="1">
        <v>3.0</v>
      </c>
      <c r="AN322" s="1">
        <v>0.0</v>
      </c>
      <c r="AO322" s="1" t="s">
        <v>229</v>
      </c>
      <c r="AQ322" s="1" t="s">
        <v>198</v>
      </c>
      <c r="AR322" s="1" t="s">
        <v>200</v>
      </c>
      <c r="AS322" s="1" t="s">
        <v>828</v>
      </c>
      <c r="AU322" s="1">
        <v>1.0</v>
      </c>
      <c r="AV322" s="1" t="s">
        <v>200</v>
      </c>
      <c r="AW322" s="1">
        <v>2098.19</v>
      </c>
      <c r="AX322" s="1">
        <v>2012.0</v>
      </c>
      <c r="AY322" s="1" t="s">
        <v>229</v>
      </c>
      <c r="AZ322" s="1" t="s">
        <v>200</v>
      </c>
      <c r="BA322" s="1" t="str">
        <f>"25171130130000"</f>
        <v>25171130130000</v>
      </c>
      <c r="BC322" s="1">
        <v>902.0</v>
      </c>
      <c r="BD322" s="1">
        <v>25000.0</v>
      </c>
      <c r="BE322" s="2">
        <v>41956.0</v>
      </c>
      <c r="BF322" s="2" t="s">
        <v>4826</v>
      </c>
      <c r="BH322" s="1">
        <v>0.0</v>
      </c>
      <c r="BK322" s="1" t="s">
        <v>204</v>
      </c>
      <c r="BL322" s="1" t="str">
        <f t="shared" si="221"/>
        <v>0</v>
      </c>
      <c r="BM322" s="1" t="str">
        <f t="shared" ref="BM322:BM324" si="222">"0"</f>
        <v>0</v>
      </c>
      <c r="BN322" s="1">
        <v>1510.0</v>
      </c>
      <c r="BO322" s="1">
        <v>10400.0</v>
      </c>
      <c r="BQ322" s="1">
        <v>299.0</v>
      </c>
      <c r="BR322" s="1">
        <v>299.0</v>
      </c>
      <c r="BS322" s="1">
        <v>299.0</v>
      </c>
      <c r="BU322" s="1" t="s">
        <v>3989</v>
      </c>
      <c r="BV322" s="1" t="s">
        <v>206</v>
      </c>
      <c r="BW322" s="1" t="s">
        <v>207</v>
      </c>
      <c r="BX322" s="1" t="s">
        <v>229</v>
      </c>
      <c r="BY322" s="1" t="s">
        <v>2082</v>
      </c>
      <c r="BZ322" s="1" t="s">
        <v>209</v>
      </c>
      <c r="CB322" s="1" t="s">
        <v>229</v>
      </c>
      <c r="CC322" s="1" t="s">
        <v>3805</v>
      </c>
      <c r="CD322" s="1" t="s">
        <v>206</v>
      </c>
      <c r="CE322" s="1" t="s">
        <v>207</v>
      </c>
      <c r="CF322" s="1" t="s">
        <v>229</v>
      </c>
      <c r="CG322" s="1" t="s">
        <v>599</v>
      </c>
      <c r="CH322" s="1" t="s">
        <v>209</v>
      </c>
      <c r="CK322" s="1" t="s">
        <v>1584</v>
      </c>
      <c r="CL322" s="1" t="s">
        <v>206</v>
      </c>
      <c r="CN322" s="1" t="s">
        <v>229</v>
      </c>
      <c r="CO322" s="1" t="s">
        <v>478</v>
      </c>
      <c r="CP322" s="1" t="s">
        <v>206</v>
      </c>
      <c r="CR322" s="1" t="s">
        <v>229</v>
      </c>
      <c r="CS322" s="1" t="s">
        <v>363</v>
      </c>
      <c r="CT322" s="1" t="s">
        <v>206</v>
      </c>
      <c r="CV322" s="1" t="s">
        <v>229</v>
      </c>
      <c r="CX322" s="1" t="s">
        <v>204</v>
      </c>
      <c r="DA322" s="1" t="s">
        <v>200</v>
      </c>
      <c r="DC322" s="1" t="s">
        <v>642</v>
      </c>
      <c r="DE322" s="1" t="s">
        <v>229</v>
      </c>
      <c r="DF322" s="1" t="s">
        <v>619</v>
      </c>
      <c r="DH322" s="1" t="s">
        <v>365</v>
      </c>
      <c r="DJ322" s="1" t="s">
        <v>222</v>
      </c>
      <c r="DL322" s="1" t="s">
        <v>223</v>
      </c>
      <c r="DM322" s="1" t="s">
        <v>229</v>
      </c>
      <c r="DQ322" s="1" t="s">
        <v>228</v>
      </c>
      <c r="DR322" s="1" t="s">
        <v>229</v>
      </c>
      <c r="DS322" s="1" t="s">
        <v>230</v>
      </c>
      <c r="DV322" s="1" t="s">
        <v>232</v>
      </c>
      <c r="DW322" s="1" t="s">
        <v>667</v>
      </c>
      <c r="DX322" s="1" t="s">
        <v>234</v>
      </c>
      <c r="DZ322" s="1" t="s">
        <v>4827</v>
      </c>
      <c r="EA322" s="1" t="s">
        <v>554</v>
      </c>
      <c r="EC322" s="1" t="s">
        <v>237</v>
      </c>
      <c r="EF322" s="1" t="s">
        <v>834</v>
      </c>
      <c r="EM322" s="1" t="s">
        <v>238</v>
      </c>
      <c r="EQ322" s="1" t="s">
        <v>238</v>
      </c>
      <c r="EU322" s="1" t="s">
        <v>238</v>
      </c>
      <c r="EY322" s="1" t="s">
        <v>238</v>
      </c>
      <c r="FC322" s="1" t="s">
        <v>238</v>
      </c>
      <c r="FF322" s="1" t="s">
        <v>239</v>
      </c>
      <c r="FG322" s="1" t="s">
        <v>192</v>
      </c>
      <c r="FH322" s="1" t="s">
        <v>192</v>
      </c>
      <c r="FJ322" s="1" t="s">
        <v>770</v>
      </c>
      <c r="FK322" s="1" t="s">
        <v>229</v>
      </c>
      <c r="FL322" s="1" t="s">
        <v>4828</v>
      </c>
      <c r="FM322" s="1">
        <v>85761.0</v>
      </c>
      <c r="FN322" s="1" t="s">
        <v>4829</v>
      </c>
      <c r="FO322" s="1" t="s">
        <v>4830</v>
      </c>
      <c r="FP322" s="1">
        <v>119476.0</v>
      </c>
      <c r="FQ322" s="1" t="s">
        <v>4831</v>
      </c>
      <c r="FU322" s="1" t="s">
        <v>710</v>
      </c>
      <c r="FV322" s="1" t="s">
        <v>200</v>
      </c>
      <c r="FW322" s="1" t="s">
        <v>1411</v>
      </c>
      <c r="FX322" s="1" t="s">
        <v>655</v>
      </c>
      <c r="FZ322" s="1" t="s">
        <v>229</v>
      </c>
      <c r="GA322" s="1" t="s">
        <v>291</v>
      </c>
      <c r="GB322" s="2">
        <v>42062.0</v>
      </c>
      <c r="GC322" s="1" t="s">
        <v>4832</v>
      </c>
    </row>
    <row r="323">
      <c r="A323" s="1">
        <v>525000.0</v>
      </c>
      <c r="B323" s="1" t="s">
        <v>185</v>
      </c>
      <c r="C323" s="1" t="str">
        <f>"08774391"</f>
        <v>08774391</v>
      </c>
      <c r="D323" s="1" t="s">
        <v>186</v>
      </c>
      <c r="F323" s="1" t="str">
        <f>"8010"</f>
        <v>8010</v>
      </c>
      <c r="G323" s="2">
        <v>41955.0</v>
      </c>
      <c r="H323" s="1">
        <v>575000.0</v>
      </c>
      <c r="I323" s="1">
        <v>63.0</v>
      </c>
      <c r="J323" s="1">
        <v>549900.0</v>
      </c>
      <c r="K323" s="2">
        <v>42016.0</v>
      </c>
      <c r="L323" s="1">
        <v>63.0</v>
      </c>
      <c r="M323" s="2">
        <v>42016.0</v>
      </c>
      <c r="N323" s="1" t="s">
        <v>187</v>
      </c>
      <c r="O323" s="2">
        <v>42094.0</v>
      </c>
      <c r="P323" s="1">
        <v>874174.0</v>
      </c>
      <c r="Q323" s="1">
        <v>84025.0</v>
      </c>
      <c r="S323" s="1">
        <v>5967.0</v>
      </c>
      <c r="T323" s="1" t="s">
        <v>4833</v>
      </c>
      <c r="U323" s="1" t="s">
        <v>189</v>
      </c>
      <c r="V323" s="1" t="s">
        <v>190</v>
      </c>
      <c r="W323" s="1">
        <v>60631.0</v>
      </c>
      <c r="Y323" s="1" t="s">
        <v>4834</v>
      </c>
      <c r="Z323" s="1">
        <v>1922.0</v>
      </c>
      <c r="AA323" s="1" t="s">
        <v>192</v>
      </c>
      <c r="AB323" s="1" t="s">
        <v>193</v>
      </c>
      <c r="AD323" s="1" t="s">
        <v>194</v>
      </c>
      <c r="AE323" s="1" t="s">
        <v>195</v>
      </c>
      <c r="AF323" s="1" t="s">
        <v>196</v>
      </c>
      <c r="AG323" s="1" t="s">
        <v>778</v>
      </c>
      <c r="AH323" s="1" t="s">
        <v>4835</v>
      </c>
      <c r="AI323" s="1">
        <v>0.125</v>
      </c>
      <c r="AK323" s="1">
        <v>10.0</v>
      </c>
      <c r="AL323" s="1">
        <v>4.0</v>
      </c>
      <c r="AM323" s="1">
        <v>3.0</v>
      </c>
      <c r="AN323" s="1">
        <v>1.0</v>
      </c>
      <c r="AO323" s="1" t="s">
        <v>198</v>
      </c>
      <c r="AP323" s="1">
        <v>0.0</v>
      </c>
      <c r="AQ323" s="1" t="s">
        <v>198</v>
      </c>
      <c r="AR323" s="1" t="s">
        <v>200</v>
      </c>
      <c r="AS323" s="1" t="s">
        <v>199</v>
      </c>
      <c r="AT323" s="1">
        <v>2.0</v>
      </c>
      <c r="AV323" s="1" t="s">
        <v>200</v>
      </c>
      <c r="AW323" s="3">
        <v>4222.0</v>
      </c>
      <c r="AX323" s="1">
        <v>2013.0</v>
      </c>
      <c r="AY323" s="1" t="s">
        <v>229</v>
      </c>
      <c r="AZ323" s="1" t="s">
        <v>200</v>
      </c>
      <c r="BA323" s="1" t="str">
        <f>"12014040020000"</f>
        <v>12014040020000</v>
      </c>
      <c r="BB323" s="1" t="s">
        <v>200</v>
      </c>
      <c r="BC323" s="1">
        <v>2225.0</v>
      </c>
      <c r="BD323" s="1">
        <v>525000.0</v>
      </c>
      <c r="BE323" s="2">
        <v>41954.0</v>
      </c>
      <c r="BF323" s="2" t="s">
        <v>4836</v>
      </c>
      <c r="BH323" s="1">
        <v>0.0</v>
      </c>
      <c r="BI323" s="1" t="s">
        <v>4837</v>
      </c>
      <c r="BJ323" s="1" t="s">
        <v>1222</v>
      </c>
      <c r="BK323" s="1" t="s">
        <v>204</v>
      </c>
      <c r="BL323" s="1" t="str">
        <f>"5967"</f>
        <v>5967</v>
      </c>
      <c r="BM323" s="1" t="str">
        <f t="shared" si="222"/>
        <v>0</v>
      </c>
      <c r="BN323" s="1">
        <v>7232.0</v>
      </c>
      <c r="BO323" s="1">
        <v>0.0</v>
      </c>
      <c r="BQ323" s="1">
        <v>299.0</v>
      </c>
      <c r="BR323" s="1">
        <v>299.0</v>
      </c>
      <c r="BS323" s="1">
        <v>299.0</v>
      </c>
      <c r="BU323" s="1" t="s">
        <v>205</v>
      </c>
      <c r="BV323" s="1" t="s">
        <v>206</v>
      </c>
      <c r="BW323" s="1" t="s">
        <v>207</v>
      </c>
      <c r="BY323" s="1" t="s">
        <v>2647</v>
      </c>
      <c r="BZ323" s="1" t="s">
        <v>209</v>
      </c>
      <c r="CA323" s="1" t="s">
        <v>207</v>
      </c>
      <c r="CC323" s="1" t="s">
        <v>300</v>
      </c>
      <c r="CD323" s="1" t="s">
        <v>206</v>
      </c>
      <c r="CE323" s="1" t="s">
        <v>207</v>
      </c>
      <c r="CG323" s="1" t="s">
        <v>303</v>
      </c>
      <c r="CH323" s="1" t="s">
        <v>209</v>
      </c>
      <c r="CI323" s="1" t="s">
        <v>207</v>
      </c>
      <c r="CK323" s="1" t="s">
        <v>303</v>
      </c>
      <c r="CL323" s="1" t="s">
        <v>209</v>
      </c>
      <c r="CM323" s="1" t="s">
        <v>207</v>
      </c>
      <c r="CO323" s="1" t="s">
        <v>269</v>
      </c>
      <c r="CP323" s="1" t="s">
        <v>206</v>
      </c>
      <c r="CQ323" s="1" t="s">
        <v>207</v>
      </c>
      <c r="CS323" s="1" t="s">
        <v>1417</v>
      </c>
      <c r="CT323" s="1" t="s">
        <v>206</v>
      </c>
      <c r="CU323" s="1" t="s">
        <v>207</v>
      </c>
      <c r="CW323" s="1" t="s">
        <v>1417</v>
      </c>
      <c r="CX323" s="1" t="s">
        <v>206</v>
      </c>
      <c r="CY323" s="1" t="s">
        <v>207</v>
      </c>
      <c r="DA323" s="1" t="s">
        <v>200</v>
      </c>
      <c r="DC323" s="1" t="s">
        <v>216</v>
      </c>
      <c r="DD323" s="1" t="s">
        <v>731</v>
      </c>
      <c r="DE323" s="1" t="s">
        <v>3750</v>
      </c>
      <c r="DF323" s="1" t="s">
        <v>2328</v>
      </c>
      <c r="DG323" s="1" t="s">
        <v>274</v>
      </c>
      <c r="DH323" s="1" t="s">
        <v>220</v>
      </c>
      <c r="DI323" s="1" t="s">
        <v>732</v>
      </c>
      <c r="DJ323" s="1" t="s">
        <v>222</v>
      </c>
      <c r="DL323" s="1" t="s">
        <v>1161</v>
      </c>
      <c r="DM323" s="1" t="s">
        <v>1464</v>
      </c>
      <c r="DN323" s="1" t="s">
        <v>439</v>
      </c>
      <c r="DO323" s="1" t="s">
        <v>549</v>
      </c>
      <c r="DP323" s="1" t="s">
        <v>340</v>
      </c>
      <c r="DQ323" s="1" t="s">
        <v>794</v>
      </c>
      <c r="DR323" s="1" t="s">
        <v>229</v>
      </c>
      <c r="DS323" s="1" t="s">
        <v>368</v>
      </c>
      <c r="DV323" s="1" t="s">
        <v>4838</v>
      </c>
      <c r="DW323" s="1" t="s">
        <v>279</v>
      </c>
      <c r="DX323" s="1" t="s">
        <v>234</v>
      </c>
      <c r="DY323" s="1" t="s">
        <v>2240</v>
      </c>
      <c r="EC323" s="1" t="s">
        <v>237</v>
      </c>
      <c r="EE323" s="1" t="s">
        <v>187</v>
      </c>
      <c r="EG323" s="1" t="s">
        <v>556</v>
      </c>
      <c r="EH323" s="1" t="s">
        <v>450</v>
      </c>
      <c r="EI323" s="1" t="s">
        <v>408</v>
      </c>
      <c r="EJ323" s="1" t="s">
        <v>720</v>
      </c>
      <c r="EL323" s="1" t="s">
        <v>269</v>
      </c>
      <c r="EM323" s="1" t="s">
        <v>206</v>
      </c>
      <c r="EN323" s="1" t="s">
        <v>207</v>
      </c>
      <c r="EP323" s="1" t="s">
        <v>2441</v>
      </c>
      <c r="EQ323" s="1" t="s">
        <v>42</v>
      </c>
      <c r="ER323" s="1" t="s">
        <v>210</v>
      </c>
      <c r="ET323" s="1" t="s">
        <v>3663</v>
      </c>
      <c r="EU323" s="1" t="s">
        <v>206</v>
      </c>
      <c r="EV323" s="1" t="s">
        <v>268</v>
      </c>
      <c r="EX323" s="1" t="s">
        <v>1760</v>
      </c>
      <c r="EY323" s="1" t="s">
        <v>42</v>
      </c>
      <c r="EZ323" s="1" t="s">
        <v>268</v>
      </c>
      <c r="FC323" s="1" t="s">
        <v>238</v>
      </c>
      <c r="FF323" s="1" t="s">
        <v>239</v>
      </c>
      <c r="FG323" s="1" t="s">
        <v>192</v>
      </c>
      <c r="FH323" s="1" t="s">
        <v>192</v>
      </c>
      <c r="FJ323" s="1" t="s">
        <v>4839</v>
      </c>
      <c r="FK323" s="1" t="s">
        <v>229</v>
      </c>
      <c r="FL323" s="1" t="s">
        <v>1663</v>
      </c>
      <c r="FM323" s="1">
        <v>17299.0</v>
      </c>
      <c r="FN323" s="1" t="s">
        <v>1664</v>
      </c>
      <c r="FO323" s="1" t="s">
        <v>4840</v>
      </c>
      <c r="FP323" s="1">
        <v>121828.0</v>
      </c>
      <c r="FQ323" s="1" t="s">
        <v>4841</v>
      </c>
      <c r="FU323" s="1" t="s">
        <v>4842</v>
      </c>
      <c r="FV323" s="1" t="s">
        <v>200</v>
      </c>
      <c r="FW323" s="1" t="s">
        <v>4843</v>
      </c>
      <c r="FX323" s="1" t="s">
        <v>238</v>
      </c>
      <c r="FZ323" s="1" t="s">
        <v>229</v>
      </c>
      <c r="GA323" s="1" t="s">
        <v>291</v>
      </c>
      <c r="GB323" s="2">
        <v>42095.0</v>
      </c>
    </row>
    <row r="324">
      <c r="A324" s="1">
        <v>1167500.0</v>
      </c>
      <c r="B324" s="1" t="s">
        <v>185</v>
      </c>
      <c r="C324" s="1" t="str">
        <f>"08786193"</f>
        <v>08786193</v>
      </c>
      <c r="D324" s="1" t="s">
        <v>186</v>
      </c>
      <c r="F324" s="1" t="str">
        <f>"8007"</f>
        <v>8007</v>
      </c>
      <c r="G324" s="2">
        <v>41957.0</v>
      </c>
      <c r="H324" s="1">
        <v>1175000.0</v>
      </c>
      <c r="I324" s="1">
        <v>3.0</v>
      </c>
      <c r="J324" s="1">
        <v>1175000.0</v>
      </c>
      <c r="K324" s="2">
        <v>41959.0</v>
      </c>
      <c r="L324" s="1">
        <v>3.0</v>
      </c>
      <c r="M324" s="2">
        <v>41959.0</v>
      </c>
      <c r="N324" s="1" t="s">
        <v>187</v>
      </c>
      <c r="O324" s="2">
        <v>42019.0</v>
      </c>
      <c r="P324" s="1">
        <v>152529.0</v>
      </c>
      <c r="Q324" s="1">
        <v>10646.0</v>
      </c>
      <c r="S324" s="1">
        <v>2650.0</v>
      </c>
      <c r="T324" s="1" t="s">
        <v>948</v>
      </c>
      <c r="U324" s="1" t="s">
        <v>320</v>
      </c>
      <c r="V324" s="1" t="s">
        <v>190</v>
      </c>
      <c r="W324" s="1">
        <v>60614.0</v>
      </c>
      <c r="Y324" s="1" t="s">
        <v>4844</v>
      </c>
      <c r="Z324" s="1">
        <v>2006.0</v>
      </c>
      <c r="AA324" s="1" t="s">
        <v>200</v>
      </c>
      <c r="AB324" s="1" t="s">
        <v>193</v>
      </c>
      <c r="AD324" s="1" t="s">
        <v>194</v>
      </c>
      <c r="AE324" s="1" t="s">
        <v>195</v>
      </c>
      <c r="AF324" s="1" t="s">
        <v>534</v>
      </c>
      <c r="AH324" s="1" t="s">
        <v>4845</v>
      </c>
      <c r="AK324" s="1">
        <v>9.0</v>
      </c>
      <c r="AL324" s="1">
        <v>3.0</v>
      </c>
      <c r="AM324" s="1">
        <v>3.0</v>
      </c>
      <c r="AN324" s="1">
        <v>1.0</v>
      </c>
      <c r="AO324" s="1" t="s">
        <v>198</v>
      </c>
      <c r="AP324" s="1">
        <v>1.0</v>
      </c>
      <c r="AQ324" s="1" t="s">
        <v>198</v>
      </c>
      <c r="AR324" s="1" t="s">
        <v>192</v>
      </c>
      <c r="AS324" s="1" t="s">
        <v>199</v>
      </c>
      <c r="AT324" s="1">
        <v>2.0</v>
      </c>
      <c r="AV324" s="1" t="s">
        <v>200</v>
      </c>
      <c r="AW324" s="1">
        <v>14539.18</v>
      </c>
      <c r="AX324" s="1">
        <v>2013.0</v>
      </c>
      <c r="AY324" s="1" t="s">
        <v>387</v>
      </c>
      <c r="AZ324" s="1" t="s">
        <v>200</v>
      </c>
      <c r="BA324" s="1" t="str">
        <f>"14304031180000"</f>
        <v>14304031180000</v>
      </c>
      <c r="BC324" s="1">
        <v>4018.0</v>
      </c>
      <c r="BD324" s="1">
        <v>1167500.0</v>
      </c>
      <c r="BE324" s="2">
        <v>41957.0</v>
      </c>
      <c r="BF324" s="2" t="s">
        <v>4846</v>
      </c>
      <c r="BG324" s="1" t="s">
        <v>4847</v>
      </c>
      <c r="BH324" s="1">
        <v>83.0</v>
      </c>
      <c r="BJ324" s="1" t="s">
        <v>2871</v>
      </c>
      <c r="BK324" s="1" t="s">
        <v>1952</v>
      </c>
      <c r="BL324" s="1" t="str">
        <f>"2650"</f>
        <v>2650</v>
      </c>
      <c r="BM324" s="1" t="str">
        <f t="shared" si="222"/>
        <v>0</v>
      </c>
      <c r="BN324" s="1">
        <v>1700.0</v>
      </c>
      <c r="BO324" s="1">
        <v>0.0</v>
      </c>
      <c r="BQ324" s="1">
        <v>299.0</v>
      </c>
      <c r="BR324" s="1">
        <v>299.0</v>
      </c>
      <c r="BS324" s="1">
        <v>299.0</v>
      </c>
      <c r="BU324" s="1" t="s">
        <v>4848</v>
      </c>
      <c r="BV324" s="1" t="s">
        <v>206</v>
      </c>
      <c r="BW324" s="1" t="s">
        <v>207</v>
      </c>
      <c r="BY324" s="1" t="s">
        <v>639</v>
      </c>
      <c r="BZ324" s="1" t="s">
        <v>209</v>
      </c>
      <c r="CA324" s="1" t="s">
        <v>210</v>
      </c>
      <c r="CC324" s="1" t="s">
        <v>542</v>
      </c>
      <c r="CD324" s="1" t="s">
        <v>206</v>
      </c>
      <c r="CG324" s="1" t="s">
        <v>925</v>
      </c>
      <c r="CH324" s="1" t="s">
        <v>209</v>
      </c>
      <c r="CI324" s="1" t="s">
        <v>210</v>
      </c>
      <c r="CK324" s="1" t="s">
        <v>392</v>
      </c>
      <c r="CL324" s="1" t="s">
        <v>209</v>
      </c>
      <c r="CM324" s="1" t="s">
        <v>210</v>
      </c>
      <c r="CO324" s="1" t="s">
        <v>2082</v>
      </c>
      <c r="CP324" s="1" t="s">
        <v>42</v>
      </c>
      <c r="CQ324" s="1" t="s">
        <v>210</v>
      </c>
      <c r="CS324" s="1" t="s">
        <v>478</v>
      </c>
      <c r="CT324" s="1" t="s">
        <v>206</v>
      </c>
      <c r="CU324" s="1" t="s">
        <v>207</v>
      </c>
      <c r="CW324" s="1" t="s">
        <v>434</v>
      </c>
      <c r="CX324" s="1" t="s">
        <v>206</v>
      </c>
      <c r="CY324" s="1" t="s">
        <v>207</v>
      </c>
      <c r="DA324" s="1" t="s">
        <v>200</v>
      </c>
      <c r="DC324" s="1" t="s">
        <v>481</v>
      </c>
      <c r="DD324" s="1" t="s">
        <v>1930</v>
      </c>
      <c r="DE324" s="1" t="s">
        <v>273</v>
      </c>
      <c r="DF324" s="1" t="s">
        <v>219</v>
      </c>
      <c r="DH324" s="1" t="s">
        <v>365</v>
      </c>
      <c r="DI324" s="1" t="s">
        <v>4849</v>
      </c>
      <c r="DJ324" s="1" t="s">
        <v>222</v>
      </c>
      <c r="DL324" s="1" t="s">
        <v>224</v>
      </c>
      <c r="DM324" s="1" t="s">
        <v>229</v>
      </c>
      <c r="DN324" s="1" t="s">
        <v>399</v>
      </c>
      <c r="DP324" s="1" t="s">
        <v>276</v>
      </c>
      <c r="DQ324" s="1" t="s">
        <v>718</v>
      </c>
      <c r="DR324" s="1" t="s">
        <v>4850</v>
      </c>
      <c r="DV324" s="1" t="s">
        <v>2058</v>
      </c>
      <c r="DW324" s="1" t="s">
        <v>1145</v>
      </c>
      <c r="DX324" s="1" t="s">
        <v>234</v>
      </c>
      <c r="DY324" s="1" t="s">
        <v>1431</v>
      </c>
      <c r="DZ324" s="1" t="s">
        <v>310</v>
      </c>
      <c r="EB324" s="1" t="s">
        <v>937</v>
      </c>
      <c r="EC324" s="1" t="s">
        <v>237</v>
      </c>
      <c r="ED324" s="1" t="s">
        <v>555</v>
      </c>
      <c r="EG324" s="1" t="s">
        <v>450</v>
      </c>
      <c r="EH324" s="1" t="s">
        <v>310</v>
      </c>
      <c r="EL324" s="1" t="s">
        <v>1612</v>
      </c>
      <c r="EM324" s="1" t="s">
        <v>42</v>
      </c>
      <c r="EN324" s="1" t="s">
        <v>210</v>
      </c>
      <c r="EP324" s="1" t="s">
        <v>4851</v>
      </c>
      <c r="EQ324" s="1" t="s">
        <v>206</v>
      </c>
      <c r="EU324" s="1" t="s">
        <v>238</v>
      </c>
      <c r="EY324" s="1" t="s">
        <v>238</v>
      </c>
      <c r="FC324" s="1" t="s">
        <v>238</v>
      </c>
      <c r="FF324" s="1" t="s">
        <v>239</v>
      </c>
      <c r="FG324" s="1" t="s">
        <v>192</v>
      </c>
      <c r="FH324" s="1" t="s">
        <v>192</v>
      </c>
      <c r="FJ324" s="1" t="s">
        <v>2285</v>
      </c>
      <c r="FK324" s="1" t="s">
        <v>229</v>
      </c>
      <c r="FL324" s="1" t="s">
        <v>734</v>
      </c>
      <c r="FM324" s="1">
        <v>10646.0</v>
      </c>
      <c r="FN324" s="1" t="s">
        <v>735</v>
      </c>
      <c r="FO324" s="1" t="s">
        <v>4852</v>
      </c>
      <c r="FP324" s="1">
        <v>118820.0</v>
      </c>
      <c r="FQ324" s="1" t="s">
        <v>4853</v>
      </c>
      <c r="FU324" s="1" t="s">
        <v>4854</v>
      </c>
      <c r="FV324" s="1" t="s">
        <v>200</v>
      </c>
      <c r="FW324" s="1" t="s">
        <v>290</v>
      </c>
      <c r="FX324" s="1" t="s">
        <v>238</v>
      </c>
      <c r="FZ324" s="1" t="s">
        <v>229</v>
      </c>
      <c r="GA324" s="1" t="s">
        <v>291</v>
      </c>
      <c r="GB324" s="2">
        <v>42023.0</v>
      </c>
      <c r="GC324" s="1" t="s">
        <v>4855</v>
      </c>
    </row>
    <row r="325">
      <c r="A325" s="1">
        <v>205000.0</v>
      </c>
      <c r="B325" s="1" t="s">
        <v>185</v>
      </c>
      <c r="C325" s="1" t="str">
        <f>"08785602"</f>
        <v>08785602</v>
      </c>
      <c r="D325" s="1" t="s">
        <v>186</v>
      </c>
      <c r="F325" s="1" t="str">
        <f>"140"</f>
        <v>140</v>
      </c>
      <c r="G325" s="2">
        <v>41956.0</v>
      </c>
      <c r="H325" s="1">
        <v>250900.0</v>
      </c>
      <c r="I325" s="1">
        <v>75.0</v>
      </c>
      <c r="J325" s="1">
        <v>225000.0</v>
      </c>
      <c r="K325" s="2">
        <v>42030.0</v>
      </c>
      <c r="L325" s="1">
        <v>75.0</v>
      </c>
      <c r="M325" s="2">
        <v>42030.0</v>
      </c>
      <c r="N325" s="1" t="s">
        <v>356</v>
      </c>
      <c r="O325" s="2">
        <v>42068.0</v>
      </c>
      <c r="P325" s="1">
        <v>221804.0</v>
      </c>
      <c r="Q325" s="1">
        <v>23099.0</v>
      </c>
      <c r="R325" s="1">
        <v>2000.0</v>
      </c>
      <c r="S325" s="1">
        <v>409.0</v>
      </c>
      <c r="T325" s="1" t="s">
        <v>4856</v>
      </c>
      <c r="U325" s="1" t="s">
        <v>4857</v>
      </c>
      <c r="V325" s="1" t="s">
        <v>4858</v>
      </c>
      <c r="W325" s="1">
        <v>60140.0</v>
      </c>
      <c r="Y325" s="1" t="s">
        <v>4859</v>
      </c>
      <c r="Z325" s="1">
        <v>2006.0</v>
      </c>
      <c r="AA325" s="1" t="s">
        <v>200</v>
      </c>
      <c r="AB325" s="1" t="s">
        <v>467</v>
      </c>
      <c r="AD325" s="1" t="s">
        <v>4860</v>
      </c>
      <c r="AE325" s="1" t="s">
        <v>325</v>
      </c>
      <c r="AF325" s="1" t="s">
        <v>3429</v>
      </c>
      <c r="AH325" s="1">
        <v>9224.0</v>
      </c>
      <c r="AI325" s="1">
        <v>0.2118</v>
      </c>
      <c r="AK325" s="1">
        <v>9.0</v>
      </c>
      <c r="AL325" s="1">
        <v>4.0</v>
      </c>
      <c r="AM325" s="1">
        <v>2.0</v>
      </c>
      <c r="AN325" s="1">
        <v>1.0</v>
      </c>
      <c r="AO325" s="1" t="s">
        <v>198</v>
      </c>
      <c r="AP325" s="1">
        <v>1.0</v>
      </c>
      <c r="AQ325" s="1" t="s">
        <v>198</v>
      </c>
      <c r="AR325" s="1" t="s">
        <v>200</v>
      </c>
      <c r="AS325" s="1" t="s">
        <v>199</v>
      </c>
      <c r="AT325" s="1">
        <v>3.0</v>
      </c>
      <c r="AV325" s="1" t="s">
        <v>200</v>
      </c>
      <c r="AW325" s="1">
        <v>6581.0</v>
      </c>
      <c r="AX325" s="1">
        <v>2013.0</v>
      </c>
      <c r="AZ325" s="1" t="s">
        <v>200</v>
      </c>
      <c r="BA325" s="1" t="str">
        <f>"0233202004"</f>
        <v>0233202004</v>
      </c>
      <c r="BC325" s="1">
        <v>2600.0</v>
      </c>
      <c r="BD325" s="1">
        <v>205000.0</v>
      </c>
      <c r="BE325" s="2">
        <v>41956.0</v>
      </c>
      <c r="BF325" s="2" t="s">
        <v>4861</v>
      </c>
      <c r="BH325" s="1">
        <v>62.0</v>
      </c>
      <c r="BK325" s="1" t="s">
        <v>474</v>
      </c>
      <c r="BL325" s="1" t="str">
        <f t="shared" ref="BL325:BM325" si="223">""</f>
        <v/>
      </c>
      <c r="BM325" s="1" t="str">
        <f t="shared" si="223"/>
        <v/>
      </c>
      <c r="BQ325" s="1">
        <v>300.0</v>
      </c>
      <c r="BR325" s="1">
        <v>300.0</v>
      </c>
      <c r="BS325" s="1">
        <v>300.0</v>
      </c>
      <c r="BU325" s="1" t="s">
        <v>205</v>
      </c>
      <c r="BV325" s="1" t="s">
        <v>206</v>
      </c>
      <c r="BY325" s="1" t="s">
        <v>1612</v>
      </c>
      <c r="BZ325" s="1" t="s">
        <v>209</v>
      </c>
      <c r="CC325" s="1" t="s">
        <v>663</v>
      </c>
      <c r="CD325" s="1" t="s">
        <v>206</v>
      </c>
      <c r="CG325" s="1" t="s">
        <v>363</v>
      </c>
      <c r="CH325" s="1" t="s">
        <v>209</v>
      </c>
      <c r="CK325" s="1" t="s">
        <v>302</v>
      </c>
      <c r="CL325" s="1" t="s">
        <v>209</v>
      </c>
      <c r="CO325" s="1" t="s">
        <v>211</v>
      </c>
      <c r="CP325" s="1" t="s">
        <v>209</v>
      </c>
      <c r="CS325" s="1" t="s">
        <v>1395</v>
      </c>
      <c r="CT325" s="1" t="s">
        <v>206</v>
      </c>
      <c r="CW325" s="1" t="s">
        <v>2564</v>
      </c>
      <c r="CX325" s="1" t="s">
        <v>206</v>
      </c>
      <c r="DA325" s="1" t="s">
        <v>200</v>
      </c>
      <c r="DC325" s="1" t="s">
        <v>481</v>
      </c>
      <c r="DE325" s="1" t="s">
        <v>273</v>
      </c>
      <c r="DF325" s="1" t="s">
        <v>219</v>
      </c>
      <c r="DH325" s="1" t="s">
        <v>220</v>
      </c>
      <c r="DJ325" s="1" t="s">
        <v>222</v>
      </c>
      <c r="DL325" s="1" t="s">
        <v>223</v>
      </c>
      <c r="DM325" s="1" t="s">
        <v>229</v>
      </c>
      <c r="DQ325" s="1" t="s">
        <v>228</v>
      </c>
      <c r="DR325" s="1" t="s">
        <v>4862</v>
      </c>
      <c r="DV325" s="1" t="s">
        <v>598</v>
      </c>
      <c r="DW325" s="1" t="s">
        <v>2602</v>
      </c>
      <c r="DX325" s="1" t="s">
        <v>234</v>
      </c>
      <c r="EC325" s="1" t="s">
        <v>237</v>
      </c>
      <c r="EG325" s="1" t="s">
        <v>598</v>
      </c>
      <c r="EL325" s="1" t="s">
        <v>303</v>
      </c>
      <c r="EM325" s="1" t="s">
        <v>206</v>
      </c>
      <c r="EQ325" s="1" t="s">
        <v>238</v>
      </c>
      <c r="EU325" s="1" t="s">
        <v>238</v>
      </c>
      <c r="EY325" s="1" t="s">
        <v>238</v>
      </c>
      <c r="FC325" s="1" t="s">
        <v>238</v>
      </c>
      <c r="FF325" s="1" t="s">
        <v>239</v>
      </c>
      <c r="FG325" s="1" t="s">
        <v>192</v>
      </c>
      <c r="FH325" s="1" t="s">
        <v>192</v>
      </c>
      <c r="FJ325" s="1" t="s">
        <v>4863</v>
      </c>
      <c r="FK325" s="1" t="s">
        <v>229</v>
      </c>
      <c r="FL325" s="1" t="s">
        <v>2263</v>
      </c>
      <c r="FM325" s="1">
        <v>8094.0</v>
      </c>
      <c r="FN325" s="1" t="s">
        <v>2264</v>
      </c>
      <c r="FO325" s="1" t="s">
        <v>4111</v>
      </c>
      <c r="FP325" s="1">
        <v>28736.0</v>
      </c>
      <c r="FQ325" s="1" t="s">
        <v>4112</v>
      </c>
      <c r="FU325" s="1" t="s">
        <v>4864</v>
      </c>
      <c r="FV325" s="1" t="s">
        <v>200</v>
      </c>
      <c r="FW325" s="1" t="s">
        <v>1307</v>
      </c>
      <c r="FZ325" s="1" t="s">
        <v>229</v>
      </c>
      <c r="GA325" s="1" t="s">
        <v>291</v>
      </c>
      <c r="GB325" s="2">
        <v>42068.0</v>
      </c>
      <c r="GC325" s="1" t="s">
        <v>4865</v>
      </c>
    </row>
    <row r="326">
      <c r="A326" s="1">
        <v>464000.0</v>
      </c>
      <c r="B326" s="1" t="s">
        <v>185</v>
      </c>
      <c r="C326" s="1" t="str">
        <f>"08785492"</f>
        <v>08785492</v>
      </c>
      <c r="D326" s="1" t="s">
        <v>186</v>
      </c>
      <c r="F326" s="1" t="str">
        <f>"8021"</f>
        <v>8021</v>
      </c>
      <c r="G326" s="2">
        <v>41956.0</v>
      </c>
      <c r="H326" s="1">
        <v>459000.0</v>
      </c>
      <c r="I326" s="1">
        <v>4.0</v>
      </c>
      <c r="J326" s="1">
        <v>459000.0</v>
      </c>
      <c r="K326" s="2">
        <v>41959.0</v>
      </c>
      <c r="L326" s="1">
        <v>4.0</v>
      </c>
      <c r="M326" s="2">
        <v>41959.0</v>
      </c>
      <c r="N326" s="1" t="s">
        <v>187</v>
      </c>
      <c r="O326" s="2">
        <v>42009.0</v>
      </c>
      <c r="P326" s="1">
        <v>119458.0</v>
      </c>
      <c r="Q326" s="1">
        <v>85464.0</v>
      </c>
      <c r="S326" s="1">
        <v>3539.0</v>
      </c>
      <c r="T326" s="1" t="s">
        <v>4866</v>
      </c>
      <c r="U326" s="1" t="s">
        <v>320</v>
      </c>
      <c r="V326" s="1" t="s">
        <v>190</v>
      </c>
      <c r="W326" s="1">
        <v>60618.0</v>
      </c>
      <c r="Y326" s="1" t="s">
        <v>4867</v>
      </c>
      <c r="Z326" s="1">
        <v>1905.0</v>
      </c>
      <c r="AA326" s="1" t="s">
        <v>192</v>
      </c>
      <c r="AB326" s="1" t="s">
        <v>193</v>
      </c>
      <c r="AD326" s="1" t="s">
        <v>194</v>
      </c>
      <c r="AE326" s="1" t="s">
        <v>195</v>
      </c>
      <c r="AF326" s="1" t="s">
        <v>196</v>
      </c>
      <c r="AH326" s="1" t="s">
        <v>4868</v>
      </c>
      <c r="AK326" s="1">
        <v>9.0</v>
      </c>
      <c r="AL326" s="1">
        <v>4.0</v>
      </c>
      <c r="AM326" s="1">
        <v>2.0</v>
      </c>
      <c r="AN326" s="1">
        <v>1.0</v>
      </c>
      <c r="AO326" s="1" t="s">
        <v>198</v>
      </c>
      <c r="AQ326" s="1" t="s">
        <v>229</v>
      </c>
      <c r="AR326" s="1" t="s">
        <v>200</v>
      </c>
      <c r="AS326" s="1" t="s">
        <v>199</v>
      </c>
      <c r="AT326" s="1">
        <v>2.0</v>
      </c>
      <c r="AV326" s="1" t="s">
        <v>200</v>
      </c>
      <c r="AW326" s="4">
        <v>2815.22</v>
      </c>
      <c r="AX326" s="1">
        <v>2012.0</v>
      </c>
      <c r="AZ326" s="1" t="s">
        <v>200</v>
      </c>
      <c r="BA326" s="1" t="str">
        <f>"13262250220000"</f>
        <v>13262250220000</v>
      </c>
      <c r="BC326" s="1">
        <v>2400.0</v>
      </c>
      <c r="BD326" s="1">
        <v>464000.0</v>
      </c>
      <c r="BE326" s="2">
        <v>41956.0</v>
      </c>
      <c r="BF326" s="2" t="s">
        <v>4869</v>
      </c>
      <c r="BH326" s="1">
        <v>0.0</v>
      </c>
      <c r="BK326" s="1" t="s">
        <v>204</v>
      </c>
      <c r="BL326" s="1" t="str">
        <f>"2834"</f>
        <v>2834</v>
      </c>
      <c r="BM326" s="1" t="str">
        <f>"0"</f>
        <v>0</v>
      </c>
      <c r="BN326" s="1">
        <v>3529.0</v>
      </c>
      <c r="BO326" s="1">
        <v>0.0</v>
      </c>
      <c r="BQ326" s="1">
        <v>299.0</v>
      </c>
      <c r="BR326" s="1">
        <v>299.0</v>
      </c>
      <c r="BS326" s="1">
        <v>299.0</v>
      </c>
      <c r="BU326" s="1" t="s">
        <v>2592</v>
      </c>
      <c r="BV326" s="1" t="s">
        <v>206</v>
      </c>
      <c r="BY326" s="1" t="s">
        <v>260</v>
      </c>
      <c r="BZ326" s="1" t="s">
        <v>391</v>
      </c>
      <c r="CC326" s="1" t="s">
        <v>542</v>
      </c>
      <c r="CD326" s="1" t="s">
        <v>206</v>
      </c>
      <c r="CG326" s="1" t="s">
        <v>269</v>
      </c>
      <c r="CH326" s="1" t="s">
        <v>209</v>
      </c>
      <c r="CK326" s="1" t="s">
        <v>269</v>
      </c>
      <c r="CL326" s="1" t="s">
        <v>209</v>
      </c>
      <c r="CO326" s="1" t="s">
        <v>516</v>
      </c>
      <c r="CP326" s="1" t="s">
        <v>209</v>
      </c>
      <c r="CS326" s="1" t="s">
        <v>454</v>
      </c>
      <c r="CT326" s="1" t="s">
        <v>206</v>
      </c>
      <c r="CX326" s="1" t="s">
        <v>204</v>
      </c>
      <c r="DA326" s="1" t="s">
        <v>200</v>
      </c>
      <c r="DC326" s="1" t="s">
        <v>642</v>
      </c>
      <c r="DE326" s="1" t="s">
        <v>273</v>
      </c>
      <c r="DF326" s="1" t="s">
        <v>2275</v>
      </c>
      <c r="DH326" s="1" t="s">
        <v>220</v>
      </c>
      <c r="DJ326" s="1" t="s">
        <v>1379</v>
      </c>
      <c r="DL326" s="1" t="s">
        <v>229</v>
      </c>
      <c r="DM326" s="1" t="s">
        <v>229</v>
      </c>
      <c r="DQ326" s="1" t="s">
        <v>228</v>
      </c>
      <c r="DR326" s="1" t="s">
        <v>229</v>
      </c>
      <c r="DS326" s="1" t="s">
        <v>230</v>
      </c>
      <c r="DV326" s="1" t="s">
        <v>4870</v>
      </c>
      <c r="DW326" s="1" t="s">
        <v>667</v>
      </c>
      <c r="DX326" s="1" t="s">
        <v>234</v>
      </c>
      <c r="EC326" s="1" t="s">
        <v>406</v>
      </c>
      <c r="EG326" s="1" t="s">
        <v>494</v>
      </c>
      <c r="EH326" s="1" t="s">
        <v>968</v>
      </c>
      <c r="EI326" s="1" t="s">
        <v>310</v>
      </c>
      <c r="EJ326" s="1" t="s">
        <v>1729</v>
      </c>
      <c r="EL326" s="1" t="s">
        <v>262</v>
      </c>
      <c r="EM326" s="1" t="s">
        <v>209</v>
      </c>
      <c r="EP326" s="1" t="s">
        <v>495</v>
      </c>
      <c r="EQ326" s="1" t="s">
        <v>209</v>
      </c>
      <c r="ET326" s="1" t="s">
        <v>1746</v>
      </c>
      <c r="EU326" s="1" t="s">
        <v>206</v>
      </c>
      <c r="EX326" s="1" t="s">
        <v>3182</v>
      </c>
      <c r="EY326" s="1" t="s">
        <v>206</v>
      </c>
      <c r="FC326" s="1" t="s">
        <v>238</v>
      </c>
      <c r="FF326" s="1" t="s">
        <v>239</v>
      </c>
      <c r="FG326" s="1" t="s">
        <v>192</v>
      </c>
      <c r="FH326" s="1" t="s">
        <v>192</v>
      </c>
      <c r="FJ326" s="1" t="s">
        <v>561</v>
      </c>
      <c r="FK326" s="1" t="s">
        <v>229</v>
      </c>
      <c r="FL326" s="1" t="s">
        <v>562</v>
      </c>
      <c r="FM326" s="1">
        <v>84025.0</v>
      </c>
      <c r="FN326" s="1" t="s">
        <v>2509</v>
      </c>
      <c r="FO326" s="1" t="s">
        <v>4871</v>
      </c>
      <c r="FP326" s="1">
        <v>159066.0</v>
      </c>
      <c r="FQ326" s="1" t="s">
        <v>4872</v>
      </c>
      <c r="FR326" s="1">
        <v>875906.0</v>
      </c>
      <c r="FU326" s="1" t="s">
        <v>4873</v>
      </c>
      <c r="FV326" s="1" t="s">
        <v>200</v>
      </c>
      <c r="FW326" s="1" t="s">
        <v>290</v>
      </c>
      <c r="FX326" s="1" t="s">
        <v>246</v>
      </c>
      <c r="FZ326" s="1" t="s">
        <v>229</v>
      </c>
      <c r="GA326" s="1" t="s">
        <v>291</v>
      </c>
      <c r="GB326" s="2">
        <v>42010.0</v>
      </c>
      <c r="GC326" s="1" t="s">
        <v>4874</v>
      </c>
    </row>
    <row r="327">
      <c r="A327" s="1">
        <v>44000.0</v>
      </c>
      <c r="B327" s="1" t="s">
        <v>185</v>
      </c>
      <c r="C327" s="1" t="str">
        <f>"08787322"</f>
        <v>08787322</v>
      </c>
      <c r="D327" s="1" t="s">
        <v>186</v>
      </c>
      <c r="F327" s="1" t="str">
        <f>"8049"</f>
        <v>8049</v>
      </c>
      <c r="G327" s="2">
        <v>41959.0</v>
      </c>
      <c r="H327" s="1">
        <v>55000.0</v>
      </c>
      <c r="I327" s="1">
        <v>8.0</v>
      </c>
      <c r="J327" s="1">
        <v>55000.0</v>
      </c>
      <c r="K327" s="2">
        <v>41963.0</v>
      </c>
      <c r="L327" s="1">
        <v>8.0</v>
      </c>
      <c r="M327" s="2">
        <v>41963.0</v>
      </c>
      <c r="N327" s="1" t="s">
        <v>249</v>
      </c>
      <c r="O327" s="2">
        <v>41988.0</v>
      </c>
      <c r="P327" s="1">
        <v>236301.0</v>
      </c>
      <c r="Q327" s="1">
        <v>23710.0</v>
      </c>
      <c r="S327" s="1">
        <v>9819.0</v>
      </c>
      <c r="T327" s="1" t="s">
        <v>2966</v>
      </c>
      <c r="U327" s="1" t="s">
        <v>189</v>
      </c>
      <c r="V327" s="1" t="s">
        <v>190</v>
      </c>
      <c r="W327" s="1">
        <v>60628.0</v>
      </c>
      <c r="Y327" s="1" t="s">
        <v>4875</v>
      </c>
      <c r="Z327" s="1">
        <v>1935.0</v>
      </c>
      <c r="AA327" s="1" t="s">
        <v>192</v>
      </c>
      <c r="AB327" s="1" t="s">
        <v>193</v>
      </c>
      <c r="AD327" s="1" t="s">
        <v>194</v>
      </c>
      <c r="AE327" s="1" t="s">
        <v>195</v>
      </c>
      <c r="AF327" s="1" t="s">
        <v>637</v>
      </c>
      <c r="AH327" s="1">
        <v>0.25</v>
      </c>
      <c r="AI327" s="1">
        <v>0.0833</v>
      </c>
      <c r="AK327" s="1">
        <v>8.0</v>
      </c>
      <c r="AL327" s="1">
        <v>4.0</v>
      </c>
      <c r="AM327" s="1">
        <v>2.0</v>
      </c>
      <c r="AN327" s="1">
        <v>0.0</v>
      </c>
      <c r="AO327" s="1" t="s">
        <v>229</v>
      </c>
      <c r="AQ327" s="1" t="s">
        <v>198</v>
      </c>
      <c r="AR327" s="1" t="s">
        <v>200</v>
      </c>
      <c r="AS327" s="1" t="s">
        <v>199</v>
      </c>
      <c r="AT327" s="1">
        <v>2.0</v>
      </c>
      <c r="AV327" s="1" t="s">
        <v>200</v>
      </c>
      <c r="AW327" s="1">
        <v>1712.94</v>
      </c>
      <c r="AX327" s="1">
        <v>2012.0</v>
      </c>
      <c r="AY327" s="1" t="s">
        <v>387</v>
      </c>
      <c r="AZ327" s="1" t="s">
        <v>200</v>
      </c>
      <c r="BA327" s="1" t="str">
        <f>"25101250070000"</f>
        <v>25101250070000</v>
      </c>
      <c r="BC327" s="1">
        <v>1435.0</v>
      </c>
      <c r="BD327" s="1">
        <v>44000.0</v>
      </c>
      <c r="BE327" s="2">
        <v>41956.0</v>
      </c>
      <c r="BF327" s="1" t="s">
        <v>4876</v>
      </c>
      <c r="BH327" s="1">
        <v>0.0</v>
      </c>
      <c r="BK327" s="1" t="s">
        <v>204</v>
      </c>
      <c r="BL327" s="1" t="str">
        <f>"0"</f>
        <v>0</v>
      </c>
      <c r="BM327" s="1" t="str">
        <f>"1500"</f>
        <v>1500</v>
      </c>
      <c r="BN327" s="1">
        <v>0.0</v>
      </c>
      <c r="BO327" s="1">
        <v>9800.0</v>
      </c>
      <c r="BQ327" s="1">
        <v>299.0</v>
      </c>
      <c r="BR327" s="1">
        <v>299.0</v>
      </c>
      <c r="BS327" s="1">
        <v>299.0</v>
      </c>
      <c r="BU327" s="1" t="s">
        <v>1000</v>
      </c>
      <c r="BV327" s="1" t="s">
        <v>206</v>
      </c>
      <c r="BW327" s="1" t="s">
        <v>588</v>
      </c>
      <c r="BY327" s="1" t="s">
        <v>393</v>
      </c>
      <c r="BZ327" s="1" t="s">
        <v>206</v>
      </c>
      <c r="CA327" s="1" t="s">
        <v>210</v>
      </c>
      <c r="CC327" s="1" t="s">
        <v>542</v>
      </c>
      <c r="CD327" s="1" t="s">
        <v>206</v>
      </c>
      <c r="CG327" s="1" t="s">
        <v>363</v>
      </c>
      <c r="CH327" s="1" t="s">
        <v>206</v>
      </c>
      <c r="CI327" s="1" t="s">
        <v>588</v>
      </c>
      <c r="CK327" s="1" t="s">
        <v>1892</v>
      </c>
      <c r="CL327" s="1" t="s">
        <v>209</v>
      </c>
      <c r="CM327" s="1" t="s">
        <v>588</v>
      </c>
      <c r="CO327" s="1" t="s">
        <v>480</v>
      </c>
      <c r="CP327" s="1" t="s">
        <v>209</v>
      </c>
      <c r="CQ327" s="1" t="s">
        <v>588</v>
      </c>
      <c r="CS327" s="1" t="s">
        <v>393</v>
      </c>
      <c r="CT327" s="1" t="s">
        <v>206</v>
      </c>
      <c r="CU327" s="1" t="s">
        <v>588</v>
      </c>
      <c r="CW327" s="1" t="s">
        <v>4877</v>
      </c>
      <c r="CX327" s="1" t="s">
        <v>42</v>
      </c>
      <c r="CY327" s="1" t="s">
        <v>2128</v>
      </c>
      <c r="DA327" s="1" t="s">
        <v>200</v>
      </c>
      <c r="DC327" s="1" t="s">
        <v>1399</v>
      </c>
      <c r="DE327" s="1" t="s">
        <v>273</v>
      </c>
      <c r="DF327" s="1" t="s">
        <v>4878</v>
      </c>
      <c r="DH327" s="1" t="s">
        <v>220</v>
      </c>
      <c r="DJ327" s="1" t="s">
        <v>222</v>
      </c>
      <c r="DL327" s="1" t="s">
        <v>858</v>
      </c>
      <c r="DM327" s="1" t="s">
        <v>1658</v>
      </c>
      <c r="DQ327" s="1" t="s">
        <v>228</v>
      </c>
      <c r="DR327" s="1" t="s">
        <v>229</v>
      </c>
      <c r="DV327" s="1" t="s">
        <v>232</v>
      </c>
      <c r="DW327" s="1" t="s">
        <v>279</v>
      </c>
      <c r="DX327" s="1" t="s">
        <v>234</v>
      </c>
      <c r="EC327" s="1" t="s">
        <v>685</v>
      </c>
      <c r="EM327" s="1" t="s">
        <v>238</v>
      </c>
      <c r="EQ327" s="1" t="s">
        <v>238</v>
      </c>
      <c r="EU327" s="1" t="s">
        <v>238</v>
      </c>
      <c r="EY327" s="1" t="s">
        <v>238</v>
      </c>
      <c r="FC327" s="1" t="s">
        <v>238</v>
      </c>
      <c r="FF327" s="1" t="s">
        <v>239</v>
      </c>
      <c r="FG327" s="1" t="s">
        <v>192</v>
      </c>
      <c r="FH327" s="1" t="s">
        <v>192</v>
      </c>
      <c r="FJ327" s="1" t="s">
        <v>4879</v>
      </c>
      <c r="FK327" s="1" t="s">
        <v>1586</v>
      </c>
      <c r="FL327" s="1" t="s">
        <v>4880</v>
      </c>
      <c r="FM327" s="1">
        <v>23710.0</v>
      </c>
      <c r="FN327" s="1" t="s">
        <v>4881</v>
      </c>
      <c r="FO327" s="1" t="s">
        <v>4882</v>
      </c>
      <c r="FP327" s="1">
        <v>236301.0</v>
      </c>
      <c r="FQ327" s="1" t="s">
        <v>4883</v>
      </c>
      <c r="FU327" s="1" t="s">
        <v>4884</v>
      </c>
      <c r="FV327" s="1" t="s">
        <v>200</v>
      </c>
      <c r="FW327" s="1" t="s">
        <v>530</v>
      </c>
      <c r="FX327" s="1" t="s">
        <v>655</v>
      </c>
      <c r="FZ327" s="1" t="s">
        <v>229</v>
      </c>
      <c r="GA327" s="1" t="s">
        <v>291</v>
      </c>
      <c r="GB327" s="2">
        <v>41989.0</v>
      </c>
      <c r="GC327" s="1" t="s">
        <v>4885</v>
      </c>
    </row>
    <row r="328">
      <c r="A328" s="1">
        <v>148800.0</v>
      </c>
      <c r="B328" s="1" t="s">
        <v>185</v>
      </c>
      <c r="C328" s="1" t="str">
        <f>"08785740"</f>
        <v>08785740</v>
      </c>
      <c r="D328" s="1" t="s">
        <v>186</v>
      </c>
      <c r="F328" s="1" t="str">
        <f>"8018"</f>
        <v>8018</v>
      </c>
      <c r="G328" s="2">
        <v>41956.0</v>
      </c>
      <c r="H328" s="1">
        <v>155900.0</v>
      </c>
      <c r="I328" s="1">
        <v>7.0</v>
      </c>
      <c r="J328" s="1">
        <v>155900.0</v>
      </c>
      <c r="K328" s="2">
        <v>41961.0</v>
      </c>
      <c r="L328" s="1">
        <v>7.0</v>
      </c>
      <c r="M328" s="2">
        <v>41961.0</v>
      </c>
      <c r="N328" s="1" t="s">
        <v>249</v>
      </c>
      <c r="O328" s="2">
        <v>42010.0</v>
      </c>
      <c r="P328" s="1">
        <v>134328.0</v>
      </c>
      <c r="Q328" s="1">
        <v>17299.0</v>
      </c>
      <c r="S328" s="1">
        <v>3010.0</v>
      </c>
      <c r="T328" s="1" t="s">
        <v>4886</v>
      </c>
      <c r="U328" s="1" t="s">
        <v>189</v>
      </c>
      <c r="V328" s="1" t="s">
        <v>190</v>
      </c>
      <c r="W328" s="1">
        <v>60634.0</v>
      </c>
      <c r="Y328" s="1" t="s">
        <v>4887</v>
      </c>
      <c r="Z328" s="1">
        <v>1931.0</v>
      </c>
      <c r="AA328" s="1" t="s">
        <v>192</v>
      </c>
      <c r="AB328" s="1" t="s">
        <v>193</v>
      </c>
      <c r="AD328" s="1" t="s">
        <v>194</v>
      </c>
      <c r="AE328" s="1" t="s">
        <v>195</v>
      </c>
      <c r="AF328" s="1" t="s">
        <v>196</v>
      </c>
      <c r="AH328" s="1" t="s">
        <v>4888</v>
      </c>
      <c r="AI328" s="1">
        <v>0.1</v>
      </c>
      <c r="AK328" s="1">
        <v>7.0</v>
      </c>
      <c r="AL328" s="1">
        <v>4.0</v>
      </c>
      <c r="AM328" s="1">
        <v>1.0</v>
      </c>
      <c r="AN328" s="1">
        <v>1.0</v>
      </c>
      <c r="AO328" s="1" t="s">
        <v>229</v>
      </c>
      <c r="AQ328" s="1" t="s">
        <v>198</v>
      </c>
      <c r="AR328" s="1" t="s">
        <v>200</v>
      </c>
      <c r="AS328" s="1" t="s">
        <v>199</v>
      </c>
      <c r="AT328" s="1">
        <v>2.0</v>
      </c>
      <c r="AV328" s="1" t="s">
        <v>200</v>
      </c>
      <c r="AW328" s="1">
        <v>1784.73</v>
      </c>
      <c r="AX328" s="1">
        <v>2013.0</v>
      </c>
      <c r="AY328" s="1" t="s">
        <v>4889</v>
      </c>
      <c r="AZ328" s="1" t="s">
        <v>200</v>
      </c>
      <c r="BA328" s="1" t="str">
        <f>"13301120250000"</f>
        <v>13301120250000</v>
      </c>
      <c r="BB328" s="1" t="s">
        <v>200</v>
      </c>
      <c r="BC328" s="1">
        <v>1220.0</v>
      </c>
      <c r="BD328" s="1">
        <v>148800.0</v>
      </c>
      <c r="BE328" s="2">
        <v>41955.0</v>
      </c>
      <c r="BF328" s="1" t="s">
        <v>4890</v>
      </c>
      <c r="BH328" s="1">
        <v>0.0</v>
      </c>
      <c r="BK328" s="1" t="s">
        <v>204</v>
      </c>
      <c r="BL328" s="1" t="str">
        <f>"3010"</f>
        <v>3010</v>
      </c>
      <c r="BM328" s="1" t="str">
        <f t="shared" ref="BM328:BM329" si="224">"0"</f>
        <v>0</v>
      </c>
      <c r="BN328" s="1">
        <v>7000.0</v>
      </c>
      <c r="BO328" s="1">
        <v>0.0</v>
      </c>
      <c r="BQ328" s="1">
        <v>299.0</v>
      </c>
      <c r="BR328" s="1">
        <v>299.0</v>
      </c>
      <c r="BS328" s="1">
        <v>299.0</v>
      </c>
      <c r="BU328" s="1" t="s">
        <v>743</v>
      </c>
      <c r="BV328" s="1" t="s">
        <v>206</v>
      </c>
      <c r="BW328" s="1" t="s">
        <v>207</v>
      </c>
      <c r="BY328" s="1" t="s">
        <v>264</v>
      </c>
      <c r="BZ328" s="1" t="s">
        <v>206</v>
      </c>
      <c r="CA328" s="1" t="s">
        <v>207</v>
      </c>
      <c r="CC328" s="1" t="s">
        <v>262</v>
      </c>
      <c r="CD328" s="1" t="s">
        <v>206</v>
      </c>
      <c r="CE328" s="1" t="s">
        <v>207</v>
      </c>
      <c r="CG328" s="1" t="s">
        <v>264</v>
      </c>
      <c r="CH328" s="1" t="s">
        <v>206</v>
      </c>
      <c r="CI328" s="1" t="s">
        <v>207</v>
      </c>
      <c r="CK328" s="1" t="s">
        <v>1939</v>
      </c>
      <c r="CL328" s="1" t="s">
        <v>209</v>
      </c>
      <c r="CM328" s="1" t="s">
        <v>210</v>
      </c>
      <c r="CO328" s="1" t="s">
        <v>303</v>
      </c>
      <c r="CP328" s="1" t="s">
        <v>209</v>
      </c>
      <c r="CQ328" s="1" t="s">
        <v>210</v>
      </c>
      <c r="CS328" s="1" t="s">
        <v>215</v>
      </c>
      <c r="CT328" s="1" t="s">
        <v>206</v>
      </c>
      <c r="CU328" s="1" t="s">
        <v>617</v>
      </c>
      <c r="CX328" s="1" t="s">
        <v>204</v>
      </c>
      <c r="DA328" s="1" t="s">
        <v>200</v>
      </c>
      <c r="DC328" s="1" t="s">
        <v>785</v>
      </c>
      <c r="DE328" s="1" t="s">
        <v>229</v>
      </c>
      <c r="DF328" s="1" t="s">
        <v>4891</v>
      </c>
      <c r="DG328" s="1" t="s">
        <v>2747</v>
      </c>
      <c r="DH328" s="1" t="s">
        <v>365</v>
      </c>
      <c r="DJ328" s="1" t="s">
        <v>222</v>
      </c>
      <c r="DL328" s="1" t="s">
        <v>223</v>
      </c>
      <c r="DM328" s="1" t="s">
        <v>1464</v>
      </c>
      <c r="DQ328" s="1" t="s">
        <v>228</v>
      </c>
      <c r="DR328" s="1" t="s">
        <v>229</v>
      </c>
      <c r="DV328" s="1" t="s">
        <v>232</v>
      </c>
      <c r="DW328" s="1" t="s">
        <v>279</v>
      </c>
      <c r="DX328" s="1" t="s">
        <v>234</v>
      </c>
      <c r="DY328" s="1" t="s">
        <v>553</v>
      </c>
      <c r="DZ328" s="1" t="s">
        <v>343</v>
      </c>
      <c r="EA328" s="1" t="s">
        <v>644</v>
      </c>
      <c r="EC328" s="1" t="s">
        <v>237</v>
      </c>
      <c r="EM328" s="1" t="s">
        <v>238</v>
      </c>
      <c r="EQ328" s="1" t="s">
        <v>238</v>
      </c>
      <c r="EU328" s="1" t="s">
        <v>238</v>
      </c>
      <c r="EY328" s="1" t="s">
        <v>238</v>
      </c>
      <c r="FC328" s="1" t="s">
        <v>238</v>
      </c>
      <c r="FF328" s="1" t="s">
        <v>239</v>
      </c>
      <c r="FG328" s="1" t="s">
        <v>192</v>
      </c>
      <c r="FH328" s="1" t="s">
        <v>192</v>
      </c>
      <c r="FJ328" s="1" t="s">
        <v>4892</v>
      </c>
      <c r="FK328" s="1" t="s">
        <v>229</v>
      </c>
      <c r="FL328" s="1" t="s">
        <v>3218</v>
      </c>
      <c r="FM328" s="1">
        <v>5040.0</v>
      </c>
      <c r="FN328" s="1" t="s">
        <v>4893</v>
      </c>
      <c r="FO328" s="1" t="s">
        <v>4894</v>
      </c>
      <c r="FP328" s="1">
        <v>54168.0</v>
      </c>
      <c r="FQ328" s="1" t="s">
        <v>4895</v>
      </c>
      <c r="FR328" s="1">
        <v>55673.0</v>
      </c>
      <c r="FS328" s="1" t="s">
        <v>4896</v>
      </c>
      <c r="FU328" s="1" t="s">
        <v>4897</v>
      </c>
      <c r="FV328" s="1" t="s">
        <v>192</v>
      </c>
      <c r="FW328" s="1" t="s">
        <v>290</v>
      </c>
      <c r="FX328" s="1" t="s">
        <v>238</v>
      </c>
      <c r="FZ328" s="1" t="s">
        <v>229</v>
      </c>
      <c r="GA328" s="1" t="s">
        <v>291</v>
      </c>
      <c r="GB328" s="2">
        <v>42013.0</v>
      </c>
      <c r="GC328" s="1" t="s">
        <v>4898</v>
      </c>
    </row>
    <row r="329">
      <c r="A329" s="1">
        <v>279000.0</v>
      </c>
      <c r="B329" s="1" t="s">
        <v>185</v>
      </c>
      <c r="C329" s="1" t="str">
        <f>"08785686"</f>
        <v>08785686</v>
      </c>
      <c r="D329" s="1" t="s">
        <v>186</v>
      </c>
      <c r="F329" s="1" t="str">
        <f>"8014"</f>
        <v>8014</v>
      </c>
      <c r="G329" s="2">
        <v>41956.0</v>
      </c>
      <c r="H329" s="1">
        <v>299900.0</v>
      </c>
      <c r="I329" s="1">
        <v>56.0</v>
      </c>
      <c r="J329" s="1">
        <v>289900.0</v>
      </c>
      <c r="K329" s="2">
        <v>42011.0</v>
      </c>
      <c r="L329" s="1">
        <v>56.0</v>
      </c>
      <c r="M329" s="2">
        <v>42011.0</v>
      </c>
      <c r="N329" s="1" t="s">
        <v>356</v>
      </c>
      <c r="O329" s="2">
        <v>42062.0</v>
      </c>
      <c r="P329" s="1">
        <v>129713.0</v>
      </c>
      <c r="Q329" s="1">
        <v>84729.0</v>
      </c>
      <c r="S329" s="1">
        <v>4933.0</v>
      </c>
      <c r="T329" s="1" t="s">
        <v>4899</v>
      </c>
      <c r="U329" s="1" t="s">
        <v>189</v>
      </c>
      <c r="V329" s="1" t="s">
        <v>190</v>
      </c>
      <c r="W329" s="1">
        <v>60630.0</v>
      </c>
      <c r="Y329" s="1" t="s">
        <v>4900</v>
      </c>
      <c r="Z329" s="1">
        <v>1929.0</v>
      </c>
      <c r="AA329" s="1" t="s">
        <v>192</v>
      </c>
      <c r="AB329" s="1" t="s">
        <v>193</v>
      </c>
      <c r="AD329" s="1" t="s">
        <v>194</v>
      </c>
      <c r="AE329" s="1" t="s">
        <v>195</v>
      </c>
      <c r="AF329" s="1" t="s">
        <v>196</v>
      </c>
      <c r="AH329" s="1" t="s">
        <v>359</v>
      </c>
      <c r="AK329" s="1">
        <v>9.0</v>
      </c>
      <c r="AL329" s="1">
        <v>3.0</v>
      </c>
      <c r="AM329" s="1">
        <v>2.0</v>
      </c>
      <c r="AN329" s="1">
        <v>0.0</v>
      </c>
      <c r="AO329" s="1" t="s">
        <v>229</v>
      </c>
      <c r="AP329" s="1">
        <v>1.0</v>
      </c>
      <c r="AQ329" s="1" t="s">
        <v>198</v>
      </c>
      <c r="AR329" s="1" t="s">
        <v>192</v>
      </c>
      <c r="AS329" s="1" t="s">
        <v>199</v>
      </c>
      <c r="AT329" s="1">
        <v>1.5</v>
      </c>
      <c r="AV329" s="1" t="s">
        <v>200</v>
      </c>
      <c r="AW329" s="1">
        <v>4867.0</v>
      </c>
      <c r="AX329" s="1">
        <v>2013.0</v>
      </c>
      <c r="AY329" s="1" t="s">
        <v>387</v>
      </c>
      <c r="AZ329" s="1" t="s">
        <v>200</v>
      </c>
      <c r="BA329" s="1" t="str">
        <f>"13104190400000"</f>
        <v>13104190400000</v>
      </c>
      <c r="BC329" s="1">
        <v>1500.0</v>
      </c>
      <c r="BD329" s="1">
        <v>279000.0</v>
      </c>
      <c r="BE329" s="2">
        <v>41956.0</v>
      </c>
      <c r="BF329" s="2" t="s">
        <v>4901</v>
      </c>
      <c r="BH329" s="1">
        <v>0.0</v>
      </c>
      <c r="BK329" s="1" t="s">
        <v>204</v>
      </c>
      <c r="BL329" s="1" t="str">
        <f>"4933"</f>
        <v>4933</v>
      </c>
      <c r="BM329" s="1" t="str">
        <f t="shared" si="224"/>
        <v>0</v>
      </c>
      <c r="BN329" s="1">
        <v>4100.0</v>
      </c>
      <c r="BO329" s="1">
        <v>0.0</v>
      </c>
      <c r="BQ329" s="1">
        <v>299.0</v>
      </c>
      <c r="BR329" s="1">
        <v>299.0</v>
      </c>
      <c r="BS329" s="1">
        <v>299.0</v>
      </c>
      <c r="BU329" s="1" t="s">
        <v>743</v>
      </c>
      <c r="BV329" s="1" t="s">
        <v>206</v>
      </c>
      <c r="BW329" s="1" t="s">
        <v>207</v>
      </c>
      <c r="BY329" s="1" t="s">
        <v>497</v>
      </c>
      <c r="BZ329" s="1" t="s">
        <v>209</v>
      </c>
      <c r="CA329" s="1" t="s">
        <v>207</v>
      </c>
      <c r="CC329" s="1" t="s">
        <v>647</v>
      </c>
      <c r="CD329" s="1" t="s">
        <v>206</v>
      </c>
      <c r="CE329" s="1" t="s">
        <v>207</v>
      </c>
      <c r="CG329" s="1" t="s">
        <v>264</v>
      </c>
      <c r="CH329" s="1" t="s">
        <v>209</v>
      </c>
      <c r="CI329" s="1" t="s">
        <v>207</v>
      </c>
      <c r="CK329" s="1" t="s">
        <v>4902</v>
      </c>
      <c r="CL329" s="1" t="s">
        <v>209</v>
      </c>
      <c r="CM329" s="1" t="s">
        <v>207</v>
      </c>
      <c r="CO329" s="1" t="s">
        <v>264</v>
      </c>
      <c r="CP329" s="1" t="s">
        <v>42</v>
      </c>
      <c r="CQ329" s="1" t="s">
        <v>210</v>
      </c>
      <c r="CS329" s="1" t="s">
        <v>1939</v>
      </c>
      <c r="CT329" s="1" t="s">
        <v>206</v>
      </c>
      <c r="CU329" s="1" t="s">
        <v>207</v>
      </c>
      <c r="CW329" s="1" t="s">
        <v>1939</v>
      </c>
      <c r="CX329" s="1" t="s">
        <v>206</v>
      </c>
      <c r="CY329" s="1" t="s">
        <v>207</v>
      </c>
      <c r="DA329" s="1" t="s">
        <v>200</v>
      </c>
      <c r="DC329" s="1" t="s">
        <v>785</v>
      </c>
      <c r="DD329" s="1" t="s">
        <v>306</v>
      </c>
      <c r="DE329" s="1" t="s">
        <v>3750</v>
      </c>
      <c r="DF329" s="1" t="s">
        <v>1931</v>
      </c>
      <c r="DH329" s="1" t="s">
        <v>365</v>
      </c>
      <c r="DI329" s="1" t="s">
        <v>1141</v>
      </c>
      <c r="DJ329" s="1" t="s">
        <v>222</v>
      </c>
      <c r="DL329" s="1" t="s">
        <v>224</v>
      </c>
      <c r="DM329" s="1" t="s">
        <v>229</v>
      </c>
      <c r="DN329" s="1" t="s">
        <v>666</v>
      </c>
      <c r="DP329" s="1" t="s">
        <v>340</v>
      </c>
      <c r="DQ329" s="1" t="s">
        <v>228</v>
      </c>
      <c r="DR329" s="1" t="s">
        <v>229</v>
      </c>
      <c r="DV329" s="1" t="s">
        <v>4903</v>
      </c>
      <c r="DW329" s="1" t="s">
        <v>279</v>
      </c>
      <c r="DX329" s="1" t="s">
        <v>234</v>
      </c>
      <c r="EA329" s="1" t="s">
        <v>3577</v>
      </c>
      <c r="EC329" s="1" t="s">
        <v>237</v>
      </c>
      <c r="EI329" s="1" t="s">
        <v>1729</v>
      </c>
      <c r="EJ329" s="1" t="s">
        <v>408</v>
      </c>
      <c r="EK329" s="1" t="s">
        <v>310</v>
      </c>
      <c r="EM329" s="1" t="s">
        <v>238</v>
      </c>
      <c r="EQ329" s="1" t="s">
        <v>238</v>
      </c>
      <c r="ET329" s="1" t="s">
        <v>3929</v>
      </c>
      <c r="EU329" s="1" t="s">
        <v>206</v>
      </c>
      <c r="EX329" s="1" t="s">
        <v>4904</v>
      </c>
      <c r="EY329" s="1" t="s">
        <v>206</v>
      </c>
      <c r="FB329" s="1" t="s">
        <v>2120</v>
      </c>
      <c r="FC329" s="1" t="s">
        <v>206</v>
      </c>
      <c r="FF329" s="1" t="s">
        <v>239</v>
      </c>
      <c r="FG329" s="1" t="s">
        <v>192</v>
      </c>
      <c r="FH329" s="1" t="s">
        <v>192</v>
      </c>
      <c r="FJ329" s="1" t="s">
        <v>4905</v>
      </c>
      <c r="FK329" s="1" t="s">
        <v>229</v>
      </c>
      <c r="FL329" s="1" t="s">
        <v>3156</v>
      </c>
      <c r="FM329" s="1">
        <v>84729.0</v>
      </c>
      <c r="FN329" s="1" t="s">
        <v>3157</v>
      </c>
      <c r="FO329" s="1" t="s">
        <v>4906</v>
      </c>
      <c r="FP329" s="1">
        <v>172042.0</v>
      </c>
      <c r="FQ329" s="1" t="s">
        <v>4907</v>
      </c>
      <c r="FU329" s="1" t="s">
        <v>4908</v>
      </c>
      <c r="FV329" s="1" t="s">
        <v>200</v>
      </c>
      <c r="FW329" s="1" t="s">
        <v>290</v>
      </c>
      <c r="FX329" s="1" t="s">
        <v>238</v>
      </c>
      <c r="FZ329" s="1" t="s">
        <v>229</v>
      </c>
      <c r="GA329" s="1" t="s">
        <v>291</v>
      </c>
      <c r="GB329" s="2">
        <v>42065.0</v>
      </c>
      <c r="GC329" s="1" t="s">
        <v>4909</v>
      </c>
    </row>
    <row r="330">
      <c r="A330" s="1">
        <v>219500.0</v>
      </c>
      <c r="B330" s="1" t="s">
        <v>185</v>
      </c>
      <c r="C330" s="1" t="str">
        <f>"08787342"</f>
        <v>08787342</v>
      </c>
      <c r="D330" s="1" t="s">
        <v>186</v>
      </c>
      <c r="F330" s="1" t="str">
        <f>"510"</f>
        <v>510</v>
      </c>
      <c r="G330" s="2">
        <v>41959.0</v>
      </c>
      <c r="H330" s="1">
        <v>212500.0</v>
      </c>
      <c r="I330" s="1">
        <v>219.0</v>
      </c>
      <c r="J330" s="1">
        <v>212500.0</v>
      </c>
      <c r="K330" s="2">
        <v>41991.0</v>
      </c>
      <c r="L330" s="1">
        <v>33.0</v>
      </c>
      <c r="M330" s="2">
        <v>41991.0</v>
      </c>
      <c r="N330" s="1" t="s">
        <v>356</v>
      </c>
      <c r="O330" s="2">
        <v>42055.0</v>
      </c>
      <c r="P330" s="1">
        <v>40.0</v>
      </c>
      <c r="Q330" s="1">
        <v>605.0</v>
      </c>
      <c r="R330" s="1">
        <v>5500.0</v>
      </c>
      <c r="S330" s="1">
        <v>336.0</v>
      </c>
      <c r="T330" s="1" t="s">
        <v>3533</v>
      </c>
      <c r="U330" s="1" t="s">
        <v>464</v>
      </c>
      <c r="V330" s="1" t="s">
        <v>2700</v>
      </c>
      <c r="W330" s="1">
        <v>60510.0</v>
      </c>
      <c r="Y330" s="1" t="s">
        <v>4910</v>
      </c>
      <c r="Z330" s="1">
        <v>1956.0</v>
      </c>
      <c r="AA330" s="1" t="s">
        <v>192</v>
      </c>
      <c r="AB330" s="1" t="s">
        <v>193</v>
      </c>
      <c r="AC330" s="1" t="s">
        <v>4911</v>
      </c>
      <c r="AD330" s="1" t="s">
        <v>424</v>
      </c>
      <c r="AE330" s="1" t="s">
        <v>325</v>
      </c>
      <c r="AF330" s="1" t="s">
        <v>424</v>
      </c>
      <c r="AH330" s="1" t="s">
        <v>4912</v>
      </c>
      <c r="AI330" s="1">
        <v>0.34</v>
      </c>
      <c r="AK330" s="1">
        <v>10.0</v>
      </c>
      <c r="AL330" s="1">
        <v>4.0</v>
      </c>
      <c r="AM330" s="1">
        <v>2.0</v>
      </c>
      <c r="AN330" s="1">
        <v>0.0</v>
      </c>
      <c r="AO330" s="1" t="s">
        <v>229</v>
      </c>
      <c r="AP330" s="1">
        <v>0.0</v>
      </c>
      <c r="AQ330" s="1" t="s">
        <v>198</v>
      </c>
      <c r="AR330" s="1" t="s">
        <v>200</v>
      </c>
      <c r="AS330" s="1" t="s">
        <v>199</v>
      </c>
      <c r="AT330" s="1">
        <v>2.0</v>
      </c>
      <c r="AV330" s="1" t="s">
        <v>200</v>
      </c>
      <c r="AW330" s="1">
        <v>3913.29</v>
      </c>
      <c r="AX330" s="1">
        <v>2013.0</v>
      </c>
      <c r="AY330" s="1" t="s">
        <v>387</v>
      </c>
      <c r="AZ330" s="1" t="s">
        <v>200</v>
      </c>
      <c r="BA330" s="1" t="str">
        <f>"1215280010"</f>
        <v>1215280010</v>
      </c>
      <c r="BB330" s="1" t="s">
        <v>200</v>
      </c>
      <c r="BC330" s="1">
        <v>1800.0</v>
      </c>
      <c r="BD330" s="1">
        <v>219500.0</v>
      </c>
      <c r="BE330" s="2">
        <v>41959.0</v>
      </c>
      <c r="BF330" s="2" t="s">
        <v>4913</v>
      </c>
      <c r="BG330" s="1" t="s">
        <v>3524</v>
      </c>
      <c r="BH330" s="1">
        <v>0.0</v>
      </c>
      <c r="BI330" s="1" t="s">
        <v>429</v>
      </c>
      <c r="BJ330" s="1" t="s">
        <v>430</v>
      </c>
      <c r="BK330" s="1" t="s">
        <v>204</v>
      </c>
      <c r="BL330" s="1" t="str">
        <f t="shared" ref="BL330:BM330" si="225">""</f>
        <v/>
      </c>
      <c r="BM330" s="1" t="str">
        <f t="shared" si="225"/>
        <v/>
      </c>
      <c r="BP330" s="1" t="s">
        <v>4914</v>
      </c>
      <c r="BQ330" s="1">
        <v>304.0</v>
      </c>
      <c r="BR330" s="1">
        <v>304.0</v>
      </c>
      <c r="BS330" s="1">
        <v>304.0</v>
      </c>
      <c r="BU330" s="1" t="s">
        <v>4817</v>
      </c>
      <c r="BV330" s="1" t="s">
        <v>206</v>
      </c>
      <c r="BW330" s="1" t="s">
        <v>207</v>
      </c>
      <c r="BX330" s="1" t="s">
        <v>239</v>
      </c>
      <c r="BY330" s="1" t="s">
        <v>1183</v>
      </c>
      <c r="BZ330" s="1" t="s">
        <v>206</v>
      </c>
      <c r="CA330" s="1" t="s">
        <v>210</v>
      </c>
      <c r="CB330" s="1" t="s">
        <v>239</v>
      </c>
      <c r="CD330" s="1" t="s">
        <v>204</v>
      </c>
      <c r="CG330" s="1" t="s">
        <v>212</v>
      </c>
      <c r="CH330" s="1" t="s">
        <v>206</v>
      </c>
      <c r="CI330" s="1" t="s">
        <v>210</v>
      </c>
      <c r="CJ330" s="1" t="s">
        <v>239</v>
      </c>
      <c r="CK330" s="1" t="s">
        <v>699</v>
      </c>
      <c r="CL330" s="1" t="s">
        <v>206</v>
      </c>
      <c r="CM330" s="1" t="s">
        <v>210</v>
      </c>
      <c r="CN330" s="1" t="s">
        <v>239</v>
      </c>
      <c r="CO330" s="1" t="s">
        <v>411</v>
      </c>
      <c r="CP330" s="1" t="s">
        <v>206</v>
      </c>
      <c r="CQ330" s="1" t="s">
        <v>210</v>
      </c>
      <c r="CR330" s="1" t="s">
        <v>239</v>
      </c>
      <c r="CS330" s="1" t="s">
        <v>363</v>
      </c>
      <c r="CT330" s="1" t="s">
        <v>206</v>
      </c>
      <c r="CU330" s="1" t="s">
        <v>268</v>
      </c>
      <c r="CV330" s="1" t="s">
        <v>239</v>
      </c>
      <c r="CW330" s="1" t="s">
        <v>1299</v>
      </c>
      <c r="CX330" s="1" t="s">
        <v>267</v>
      </c>
      <c r="CY330" s="1" t="s">
        <v>210</v>
      </c>
      <c r="CZ330" s="1" t="s">
        <v>239</v>
      </c>
      <c r="DA330" s="1" t="s">
        <v>200</v>
      </c>
      <c r="DC330" s="1" t="s">
        <v>271</v>
      </c>
      <c r="DD330" s="1" t="s">
        <v>306</v>
      </c>
      <c r="DE330" s="1" t="s">
        <v>273</v>
      </c>
      <c r="DF330" s="1" t="s">
        <v>219</v>
      </c>
      <c r="DG330" s="1" t="s">
        <v>4915</v>
      </c>
      <c r="DH330" s="1" t="s">
        <v>220</v>
      </c>
      <c r="DI330" s="1" t="s">
        <v>703</v>
      </c>
      <c r="DJ330" s="1" t="s">
        <v>222</v>
      </c>
      <c r="DK330" s="1" t="s">
        <v>223</v>
      </c>
      <c r="DL330" s="1" t="s">
        <v>224</v>
      </c>
      <c r="DM330" s="1" t="s">
        <v>338</v>
      </c>
      <c r="DO330" s="1" t="s">
        <v>1144</v>
      </c>
      <c r="DP330" s="1" t="s">
        <v>276</v>
      </c>
      <c r="DQ330" s="1" t="s">
        <v>441</v>
      </c>
      <c r="DR330" s="1" t="s">
        <v>229</v>
      </c>
      <c r="DS330" s="1" t="s">
        <v>230</v>
      </c>
      <c r="DV330" s="1" t="s">
        <v>4916</v>
      </c>
      <c r="DW330" s="1" t="s">
        <v>370</v>
      </c>
      <c r="DX330" s="1" t="s">
        <v>234</v>
      </c>
      <c r="DY330" s="1" t="s">
        <v>4917</v>
      </c>
      <c r="DZ330" s="1" t="s">
        <v>1100</v>
      </c>
      <c r="EA330" s="1" t="s">
        <v>344</v>
      </c>
      <c r="EC330" s="1" t="s">
        <v>645</v>
      </c>
      <c r="ED330" s="1" t="s">
        <v>1406</v>
      </c>
      <c r="EE330" s="1" t="s">
        <v>493</v>
      </c>
      <c r="EG330" s="1" t="s">
        <v>450</v>
      </c>
      <c r="EH330" s="1" t="s">
        <v>451</v>
      </c>
      <c r="EI330" s="1" t="s">
        <v>1491</v>
      </c>
      <c r="EL330" s="1" t="s">
        <v>4918</v>
      </c>
      <c r="EM330" s="1" t="s">
        <v>42</v>
      </c>
      <c r="EN330" s="1" t="s">
        <v>210</v>
      </c>
      <c r="EO330" s="1" t="s">
        <v>239</v>
      </c>
      <c r="EP330" s="1" t="s">
        <v>4919</v>
      </c>
      <c r="EQ330" s="1" t="s">
        <v>209</v>
      </c>
      <c r="ER330" s="1" t="s">
        <v>301</v>
      </c>
      <c r="ES330" s="1" t="s">
        <v>239</v>
      </c>
      <c r="ET330" s="1" t="s">
        <v>269</v>
      </c>
      <c r="EU330" s="1" t="s">
        <v>209</v>
      </c>
      <c r="EV330" s="1" t="s">
        <v>588</v>
      </c>
      <c r="EW330" s="1" t="s">
        <v>239</v>
      </c>
      <c r="EY330" s="1" t="s">
        <v>238</v>
      </c>
      <c r="FC330" s="1" t="s">
        <v>238</v>
      </c>
      <c r="FF330" s="1" t="s">
        <v>239</v>
      </c>
      <c r="FG330" s="1" t="s">
        <v>192</v>
      </c>
      <c r="FH330" s="1" t="s">
        <v>192</v>
      </c>
      <c r="FJ330" s="1" t="s">
        <v>524</v>
      </c>
      <c r="FK330" s="1" t="s">
        <v>229</v>
      </c>
      <c r="FL330" s="1" t="s">
        <v>2184</v>
      </c>
      <c r="FM330" s="1">
        <v>605.0</v>
      </c>
      <c r="FN330" s="1" t="s">
        <v>2185</v>
      </c>
      <c r="FO330" s="1" t="s">
        <v>1738</v>
      </c>
      <c r="FP330" s="1">
        <v>170.0</v>
      </c>
      <c r="FQ330" s="1" t="s">
        <v>2185</v>
      </c>
      <c r="FU330" s="1" t="s">
        <v>4920</v>
      </c>
      <c r="FV330" s="1" t="s">
        <v>200</v>
      </c>
      <c r="FW330" s="1" t="s">
        <v>290</v>
      </c>
      <c r="FZ330" s="1" t="s">
        <v>229</v>
      </c>
      <c r="GA330" s="1" t="s">
        <v>291</v>
      </c>
      <c r="GB330" s="2">
        <v>42055.0</v>
      </c>
      <c r="GC330" s="1" t="s">
        <v>4921</v>
      </c>
    </row>
    <row r="331">
      <c r="A331" s="1">
        <v>215000.0</v>
      </c>
      <c r="B331" s="1" t="s">
        <v>185</v>
      </c>
      <c r="C331" s="1" t="str">
        <f>"08789746"</f>
        <v>08789746</v>
      </c>
      <c r="D331" s="1" t="s">
        <v>186</v>
      </c>
      <c r="F331" s="1" t="str">
        <f>"8002"</f>
        <v>8002</v>
      </c>
      <c r="G331" s="2">
        <v>41963.0</v>
      </c>
      <c r="H331" s="1">
        <v>229900.0</v>
      </c>
      <c r="I331" s="1">
        <v>72.0</v>
      </c>
      <c r="J331" s="1">
        <v>229900.0</v>
      </c>
      <c r="K331" s="2">
        <v>42026.0</v>
      </c>
      <c r="L331" s="1">
        <v>64.0</v>
      </c>
      <c r="M331" s="2">
        <v>42026.0</v>
      </c>
      <c r="N331" s="1" t="s">
        <v>249</v>
      </c>
      <c r="O331" s="2">
        <v>42038.0</v>
      </c>
      <c r="P331" s="1">
        <v>86206.0</v>
      </c>
      <c r="Q331" s="1">
        <v>8654.0</v>
      </c>
      <c r="S331" s="1">
        <v>2837.0</v>
      </c>
      <c r="T331" s="1" t="s">
        <v>4922</v>
      </c>
      <c r="U331" s="1" t="s">
        <v>189</v>
      </c>
      <c r="V331" s="1" t="s">
        <v>190</v>
      </c>
      <c r="W331" s="1">
        <v>60645.0</v>
      </c>
      <c r="Y331" s="1" t="s">
        <v>4923</v>
      </c>
      <c r="Z331" s="1">
        <v>1924.0</v>
      </c>
      <c r="AA331" s="1" t="s">
        <v>192</v>
      </c>
      <c r="AB331" s="1" t="s">
        <v>193</v>
      </c>
      <c r="AD331" s="1" t="s">
        <v>194</v>
      </c>
      <c r="AE331" s="1" t="s">
        <v>195</v>
      </c>
      <c r="AF331" s="1" t="s">
        <v>2323</v>
      </c>
      <c r="AH331" s="1" t="s">
        <v>4084</v>
      </c>
      <c r="AI331" s="1">
        <v>0.0854</v>
      </c>
      <c r="AK331" s="1">
        <v>7.0</v>
      </c>
      <c r="AL331" s="1">
        <v>4.0</v>
      </c>
      <c r="AM331" s="1">
        <v>3.0</v>
      </c>
      <c r="AN331" s="1">
        <v>0.0</v>
      </c>
      <c r="AO331" s="1" t="s">
        <v>198</v>
      </c>
      <c r="AQ331" s="1" t="s">
        <v>198</v>
      </c>
      <c r="AR331" s="1" t="s">
        <v>200</v>
      </c>
      <c r="AS331" s="1" t="s">
        <v>199</v>
      </c>
      <c r="AT331" s="1">
        <v>2.0</v>
      </c>
      <c r="AV331" s="1" t="s">
        <v>200</v>
      </c>
      <c r="AW331" s="1">
        <v>3714.0</v>
      </c>
      <c r="AX331" s="1">
        <v>2013.0</v>
      </c>
      <c r="AY331" s="1" t="s">
        <v>387</v>
      </c>
      <c r="AZ331" s="1" t="s">
        <v>545</v>
      </c>
      <c r="BA331" s="1" t="str">
        <f>"10253240070000"</f>
        <v>10253240070000</v>
      </c>
      <c r="BB331" s="1" t="s">
        <v>200</v>
      </c>
      <c r="BC331" s="1">
        <v>1500.0</v>
      </c>
      <c r="BD331" s="1">
        <v>215000.0</v>
      </c>
      <c r="BE331" s="2">
        <v>41963.0</v>
      </c>
      <c r="BF331" s="2" t="s">
        <v>4924</v>
      </c>
      <c r="BH331" s="1">
        <v>0.0</v>
      </c>
      <c r="BK331" s="1" t="s">
        <v>204</v>
      </c>
      <c r="BL331" s="1" t="str">
        <f>"7300"</f>
        <v>7300</v>
      </c>
      <c r="BM331" s="1" t="str">
        <f t="shared" ref="BM331:BM333" si="226">"0"</f>
        <v>0</v>
      </c>
      <c r="BN331" s="1">
        <v>2837.0</v>
      </c>
      <c r="BO331" s="1">
        <v>0.0</v>
      </c>
      <c r="BQ331" s="1">
        <v>299.0</v>
      </c>
      <c r="BR331" s="1">
        <v>299.0</v>
      </c>
      <c r="BS331" s="1">
        <v>299.0</v>
      </c>
      <c r="BU331" s="1" t="s">
        <v>3453</v>
      </c>
      <c r="BV331" s="1" t="s">
        <v>206</v>
      </c>
      <c r="BY331" s="1" t="s">
        <v>3453</v>
      </c>
      <c r="BZ331" s="1" t="s">
        <v>209</v>
      </c>
      <c r="CC331" s="1" t="s">
        <v>3453</v>
      </c>
      <c r="CD331" s="1" t="s">
        <v>206</v>
      </c>
      <c r="CG331" s="1" t="s">
        <v>3453</v>
      </c>
      <c r="CH331" s="1" t="s">
        <v>209</v>
      </c>
      <c r="CK331" s="1" t="s">
        <v>3453</v>
      </c>
      <c r="CL331" s="1" t="s">
        <v>209</v>
      </c>
      <c r="CO331" s="1" t="s">
        <v>3453</v>
      </c>
      <c r="CP331" s="1" t="s">
        <v>206</v>
      </c>
      <c r="CS331" s="1" t="s">
        <v>3453</v>
      </c>
      <c r="CT331" s="1" t="s">
        <v>206</v>
      </c>
      <c r="CX331" s="1" t="s">
        <v>204</v>
      </c>
      <c r="DA331" s="1" t="s">
        <v>200</v>
      </c>
      <c r="DC331" s="1" t="s">
        <v>216</v>
      </c>
      <c r="DE331" s="1" t="s">
        <v>229</v>
      </c>
      <c r="DF331" s="1" t="s">
        <v>219</v>
      </c>
      <c r="DH331" s="1" t="s">
        <v>365</v>
      </c>
      <c r="DJ331" s="1" t="s">
        <v>1048</v>
      </c>
      <c r="DL331" s="1" t="s">
        <v>588</v>
      </c>
      <c r="DM331" s="1" t="s">
        <v>229</v>
      </c>
      <c r="DQ331" s="1" t="s">
        <v>228</v>
      </c>
      <c r="DR331" s="1" t="s">
        <v>229</v>
      </c>
      <c r="DV331" s="1" t="s">
        <v>232</v>
      </c>
      <c r="DW331" s="1" t="s">
        <v>279</v>
      </c>
      <c r="DX331" s="1" t="s">
        <v>309</v>
      </c>
      <c r="EA331" s="1" t="s">
        <v>644</v>
      </c>
      <c r="EC331" s="1" t="s">
        <v>645</v>
      </c>
      <c r="EE331" s="1" t="s">
        <v>1673</v>
      </c>
      <c r="EM331" s="1" t="s">
        <v>238</v>
      </c>
      <c r="EQ331" s="1" t="s">
        <v>238</v>
      </c>
      <c r="EU331" s="1" t="s">
        <v>238</v>
      </c>
      <c r="EY331" s="1" t="s">
        <v>238</v>
      </c>
      <c r="FC331" s="1" t="s">
        <v>238</v>
      </c>
      <c r="FF331" s="1" t="s">
        <v>239</v>
      </c>
      <c r="FG331" s="1" t="s">
        <v>192</v>
      </c>
      <c r="FH331" s="1" t="s">
        <v>192</v>
      </c>
      <c r="FJ331" s="1" t="s">
        <v>3847</v>
      </c>
      <c r="FK331" s="1" t="s">
        <v>229</v>
      </c>
      <c r="FL331" s="1" t="s">
        <v>1663</v>
      </c>
      <c r="FM331" s="1">
        <v>17299.0</v>
      </c>
      <c r="FN331" s="1" t="s">
        <v>1664</v>
      </c>
      <c r="FO331" s="1" t="s">
        <v>4925</v>
      </c>
      <c r="FP331" s="1">
        <v>134319.0</v>
      </c>
      <c r="FQ331" s="1" t="s">
        <v>4926</v>
      </c>
      <c r="FS331" s="1">
        <v>7.73505564E9</v>
      </c>
      <c r="FU331" s="1" t="s">
        <v>4927</v>
      </c>
      <c r="FV331" s="1" t="s">
        <v>192</v>
      </c>
      <c r="FW331" s="1" t="s">
        <v>290</v>
      </c>
      <c r="FX331" s="1" t="s">
        <v>246</v>
      </c>
      <c r="FZ331" s="1" t="s">
        <v>229</v>
      </c>
      <c r="GA331" s="1" t="s">
        <v>291</v>
      </c>
      <c r="GB331" s="2">
        <v>42040.0</v>
      </c>
      <c r="GC331" s="1" t="s">
        <v>4928</v>
      </c>
    </row>
    <row r="332">
      <c r="A332" s="1">
        <v>200000.0</v>
      </c>
      <c r="B332" s="1" t="s">
        <v>185</v>
      </c>
      <c r="C332" s="1" t="str">
        <f>"08792681"</f>
        <v>08792681</v>
      </c>
      <c r="D332" s="1" t="s">
        <v>186</v>
      </c>
      <c r="F332" s="1" t="str">
        <f>"8019"</f>
        <v>8019</v>
      </c>
      <c r="G332" s="2">
        <v>41968.0</v>
      </c>
      <c r="H332" s="1">
        <v>215250.0</v>
      </c>
      <c r="I332" s="1">
        <v>35.0</v>
      </c>
      <c r="J332" s="1">
        <v>215250.0</v>
      </c>
      <c r="K332" s="2">
        <v>42002.0</v>
      </c>
      <c r="L332" s="1">
        <v>35.0</v>
      </c>
      <c r="M332" s="2">
        <v>42002.0</v>
      </c>
      <c r="N332" s="1" t="s">
        <v>187</v>
      </c>
      <c r="O332" s="2">
        <v>42044.0</v>
      </c>
      <c r="P332" s="1">
        <v>112661.0</v>
      </c>
      <c r="Q332" s="1">
        <v>84992.0</v>
      </c>
      <c r="S332" s="1">
        <v>5107.0</v>
      </c>
      <c r="T332" s="1" t="s">
        <v>4929</v>
      </c>
      <c r="U332" s="1" t="s">
        <v>320</v>
      </c>
      <c r="V332" s="1" t="s">
        <v>190</v>
      </c>
      <c r="W332" s="1">
        <v>60641.0</v>
      </c>
      <c r="Y332" s="1" t="s">
        <v>4930</v>
      </c>
      <c r="Z332" s="1">
        <v>1921.0</v>
      </c>
      <c r="AA332" s="1" t="s">
        <v>192</v>
      </c>
      <c r="AB332" s="1" t="s">
        <v>193</v>
      </c>
      <c r="AD332" s="1" t="s">
        <v>194</v>
      </c>
      <c r="AE332" s="1" t="s">
        <v>195</v>
      </c>
      <c r="AF332" s="1" t="s">
        <v>196</v>
      </c>
      <c r="AG332" s="1" t="s">
        <v>778</v>
      </c>
      <c r="AH332" s="1" t="s">
        <v>1501</v>
      </c>
      <c r="AI332" s="1">
        <v>0.0861</v>
      </c>
      <c r="AK332" s="1">
        <v>7.0</v>
      </c>
      <c r="AL332" s="1">
        <v>4.0</v>
      </c>
      <c r="AM332" s="1">
        <v>3.0</v>
      </c>
      <c r="AN332" s="1">
        <v>0.0</v>
      </c>
      <c r="AO332" s="1" t="s">
        <v>229</v>
      </c>
      <c r="AQ332" s="1" t="s">
        <v>198</v>
      </c>
      <c r="AR332" s="1" t="s">
        <v>192</v>
      </c>
      <c r="AS332" s="1" t="s">
        <v>199</v>
      </c>
      <c r="AT332" s="1">
        <v>2.0</v>
      </c>
      <c r="AV332" s="1" t="s">
        <v>200</v>
      </c>
      <c r="AW332" s="1">
        <v>3914.28</v>
      </c>
      <c r="AX332" s="1">
        <v>2013.0</v>
      </c>
      <c r="AZ332" s="1" t="s">
        <v>200</v>
      </c>
      <c r="BA332" s="1" t="str">
        <f>"13282120180000"</f>
        <v>13282120180000</v>
      </c>
      <c r="BC332" s="1">
        <v>1656.0</v>
      </c>
      <c r="BD332" s="1">
        <v>200000.0</v>
      </c>
      <c r="BE332" s="2">
        <v>41968.0</v>
      </c>
      <c r="BF332" s="2" t="s">
        <v>4931</v>
      </c>
      <c r="BH332" s="1">
        <v>0.0</v>
      </c>
      <c r="BK332" s="1" t="s">
        <v>204</v>
      </c>
      <c r="BL332" s="1" t="str">
        <f>"3024"</f>
        <v>3024</v>
      </c>
      <c r="BM332" s="1" t="str">
        <f t="shared" si="226"/>
        <v>0</v>
      </c>
      <c r="BN332" s="1">
        <v>5107.0</v>
      </c>
      <c r="BO332" s="1">
        <v>0.0</v>
      </c>
      <c r="BQ332" s="1">
        <v>299.0</v>
      </c>
      <c r="BR332" s="1">
        <v>299.0</v>
      </c>
      <c r="BS332" s="1">
        <v>299.0</v>
      </c>
      <c r="BU332" s="1" t="s">
        <v>211</v>
      </c>
      <c r="BV332" s="1" t="s">
        <v>206</v>
      </c>
      <c r="BY332" s="1" t="s">
        <v>211</v>
      </c>
      <c r="BZ332" s="1" t="s">
        <v>206</v>
      </c>
      <c r="CC332" s="1" t="s">
        <v>211</v>
      </c>
      <c r="CD332" s="1" t="s">
        <v>206</v>
      </c>
      <c r="CG332" s="1" t="s">
        <v>211</v>
      </c>
      <c r="CH332" s="1" t="s">
        <v>206</v>
      </c>
      <c r="CK332" s="1" t="s">
        <v>433</v>
      </c>
      <c r="CL332" s="1" t="s">
        <v>209</v>
      </c>
      <c r="CO332" s="1" t="s">
        <v>393</v>
      </c>
      <c r="CP332" s="1" t="s">
        <v>209</v>
      </c>
      <c r="CS332" s="1" t="s">
        <v>264</v>
      </c>
      <c r="CT332" s="1" t="s">
        <v>206</v>
      </c>
      <c r="CX332" s="1" t="s">
        <v>204</v>
      </c>
      <c r="DA332" s="1" t="s">
        <v>200</v>
      </c>
      <c r="DC332" s="1" t="s">
        <v>216</v>
      </c>
      <c r="DE332" s="1" t="s">
        <v>273</v>
      </c>
      <c r="DF332" s="1" t="s">
        <v>219</v>
      </c>
      <c r="DH332" s="1" t="s">
        <v>220</v>
      </c>
      <c r="DJ332" s="1" t="s">
        <v>222</v>
      </c>
      <c r="DL332" s="1" t="s">
        <v>858</v>
      </c>
      <c r="DM332" s="1" t="s">
        <v>229</v>
      </c>
      <c r="DQ332" s="1" t="s">
        <v>718</v>
      </c>
      <c r="DR332" s="1" t="s">
        <v>229</v>
      </c>
      <c r="DV332" s="1" t="s">
        <v>374</v>
      </c>
      <c r="DW332" s="1" t="s">
        <v>279</v>
      </c>
      <c r="DX332" s="1" t="s">
        <v>234</v>
      </c>
      <c r="EC332" s="1" t="s">
        <v>685</v>
      </c>
      <c r="EH332" s="1" t="s">
        <v>374</v>
      </c>
      <c r="EM332" s="1" t="s">
        <v>238</v>
      </c>
      <c r="EP332" s="1" t="s">
        <v>1939</v>
      </c>
      <c r="EQ332" s="1" t="s">
        <v>206</v>
      </c>
      <c r="EU332" s="1" t="s">
        <v>238</v>
      </c>
      <c r="EY332" s="1" t="s">
        <v>238</v>
      </c>
      <c r="FC332" s="1" t="s">
        <v>238</v>
      </c>
      <c r="FF332" s="1" t="s">
        <v>239</v>
      </c>
      <c r="FG332" s="1" t="s">
        <v>192</v>
      </c>
      <c r="FH332" s="1" t="s">
        <v>192</v>
      </c>
      <c r="FJ332" s="1" t="s">
        <v>4932</v>
      </c>
      <c r="FK332" s="1" t="s">
        <v>229</v>
      </c>
      <c r="FL332" s="1" t="s">
        <v>3500</v>
      </c>
      <c r="FM332" s="1">
        <v>12279.0</v>
      </c>
      <c r="FN332" s="1" t="s">
        <v>3501</v>
      </c>
      <c r="FO332" s="1" t="s">
        <v>3502</v>
      </c>
      <c r="FP332" s="1">
        <v>875170.0</v>
      </c>
      <c r="FU332" s="1" t="s">
        <v>3503</v>
      </c>
      <c r="FV332" s="1" t="s">
        <v>200</v>
      </c>
      <c r="FW332" s="1" t="s">
        <v>1307</v>
      </c>
      <c r="FX332" s="1" t="s">
        <v>246</v>
      </c>
      <c r="FZ332" s="1" t="s">
        <v>229</v>
      </c>
      <c r="GA332" s="1" t="s">
        <v>291</v>
      </c>
      <c r="GB332" s="2">
        <v>42044.0</v>
      </c>
      <c r="GC332" s="1" t="s">
        <v>4933</v>
      </c>
    </row>
    <row r="333">
      <c r="A333" s="1">
        <v>212500.0</v>
      </c>
      <c r="B333" s="1" t="s">
        <v>185</v>
      </c>
      <c r="C333" s="1" t="str">
        <f>"08793258"</f>
        <v>08793258</v>
      </c>
      <c r="D333" s="1" t="s">
        <v>186</v>
      </c>
      <c r="F333" s="1" t="str">
        <f>"174"</f>
        <v>174</v>
      </c>
      <c r="G333" s="2">
        <v>41969.0</v>
      </c>
      <c r="H333" s="1">
        <v>214900.0</v>
      </c>
      <c r="I333" s="1">
        <v>6.0</v>
      </c>
      <c r="J333" s="1">
        <v>214900.0</v>
      </c>
      <c r="K333" s="2">
        <v>41974.0</v>
      </c>
      <c r="L333" s="1">
        <v>6.0</v>
      </c>
      <c r="M333" s="2">
        <v>41974.0</v>
      </c>
      <c r="N333" s="1" t="s">
        <v>187</v>
      </c>
      <c r="O333" s="2">
        <v>41992.0</v>
      </c>
      <c r="P333" s="1">
        <v>259042.0</v>
      </c>
      <c r="Q333" s="1">
        <v>25003.0</v>
      </c>
      <c r="S333" s="1">
        <v>914.0</v>
      </c>
      <c r="T333" s="1" t="s">
        <v>66</v>
      </c>
      <c r="U333" s="1" t="s">
        <v>189</v>
      </c>
      <c r="V333" s="1" t="s">
        <v>1200</v>
      </c>
      <c r="W333" s="1">
        <v>60174.0</v>
      </c>
      <c r="Y333" s="1" t="s">
        <v>4934</v>
      </c>
      <c r="Z333" s="1">
        <v>1940.0</v>
      </c>
      <c r="AA333" s="1" t="s">
        <v>192</v>
      </c>
      <c r="AB333" s="1" t="s">
        <v>193</v>
      </c>
      <c r="AD333" s="1" t="s">
        <v>1203</v>
      </c>
      <c r="AE333" s="1" t="s">
        <v>325</v>
      </c>
      <c r="AF333" s="1" t="s">
        <v>1203</v>
      </c>
      <c r="AH333" s="1" t="s">
        <v>4935</v>
      </c>
      <c r="AK333" s="1">
        <v>8.0</v>
      </c>
      <c r="AL333" s="1">
        <v>4.0</v>
      </c>
      <c r="AM333" s="1">
        <v>2.0</v>
      </c>
      <c r="AN333" s="1">
        <v>0.0</v>
      </c>
      <c r="AO333" s="1" t="s">
        <v>229</v>
      </c>
      <c r="AP333" s="1">
        <v>2.0</v>
      </c>
      <c r="AQ333" s="1" t="s">
        <v>198</v>
      </c>
      <c r="AR333" s="1" t="s">
        <v>192</v>
      </c>
      <c r="AS333" s="1" t="s">
        <v>199</v>
      </c>
      <c r="AT333" s="1">
        <v>1.5</v>
      </c>
      <c r="AV333" s="1" t="s">
        <v>200</v>
      </c>
      <c r="AW333" s="1">
        <v>5431.94</v>
      </c>
      <c r="AX333" s="1">
        <v>2013.0</v>
      </c>
      <c r="AY333" s="1" t="s">
        <v>387</v>
      </c>
      <c r="AZ333" s="1" t="s">
        <v>200</v>
      </c>
      <c r="BA333" s="1" t="str">
        <f>"0934226009"</f>
        <v>0934226009</v>
      </c>
      <c r="BC333" s="1">
        <v>1739.0</v>
      </c>
      <c r="BD333" s="1">
        <v>212500.0</v>
      </c>
      <c r="BE333" s="2">
        <v>41969.0</v>
      </c>
      <c r="BF333" s="2" t="s">
        <v>4936</v>
      </c>
      <c r="BG333" s="1" t="s">
        <v>2142</v>
      </c>
      <c r="BH333" s="1">
        <v>0.0</v>
      </c>
      <c r="BI333" s="1" t="s">
        <v>2143</v>
      </c>
      <c r="BJ333" s="1" t="s">
        <v>2144</v>
      </c>
      <c r="BK333" s="1" t="s">
        <v>204</v>
      </c>
      <c r="BL333" s="1" t="str">
        <f>"3"</f>
        <v>3</v>
      </c>
      <c r="BM333" s="1" t="str">
        <f t="shared" si="226"/>
        <v>0</v>
      </c>
      <c r="BN333" s="1">
        <v>35.0</v>
      </c>
      <c r="BO333" s="1">
        <v>0.0</v>
      </c>
      <c r="BQ333" s="1">
        <v>303.0</v>
      </c>
      <c r="BR333" s="1">
        <v>303.0</v>
      </c>
      <c r="BS333" s="1">
        <v>303.0</v>
      </c>
      <c r="BU333" s="1" t="s">
        <v>432</v>
      </c>
      <c r="BV333" s="1" t="s">
        <v>206</v>
      </c>
      <c r="BW333" s="1" t="s">
        <v>207</v>
      </c>
      <c r="BX333" s="1" t="s">
        <v>239</v>
      </c>
      <c r="BY333" s="1" t="s">
        <v>215</v>
      </c>
      <c r="BZ333" s="1" t="s">
        <v>206</v>
      </c>
      <c r="CA333" s="1" t="s">
        <v>207</v>
      </c>
      <c r="CB333" s="1" t="s">
        <v>239</v>
      </c>
      <c r="CD333" s="1" t="s">
        <v>204</v>
      </c>
      <c r="CG333" s="1" t="s">
        <v>495</v>
      </c>
      <c r="CH333" s="1" t="s">
        <v>206</v>
      </c>
      <c r="CI333" s="1" t="s">
        <v>207</v>
      </c>
      <c r="CJ333" s="1" t="s">
        <v>239</v>
      </c>
      <c r="CK333" s="1" t="s">
        <v>699</v>
      </c>
      <c r="CL333" s="1" t="s">
        <v>209</v>
      </c>
      <c r="CM333" s="1" t="s">
        <v>210</v>
      </c>
      <c r="CN333" s="1" t="s">
        <v>239</v>
      </c>
      <c r="CO333" s="1" t="s">
        <v>269</v>
      </c>
      <c r="CP333" s="1" t="s">
        <v>209</v>
      </c>
      <c r="CQ333" s="1" t="s">
        <v>210</v>
      </c>
      <c r="CR333" s="1" t="s">
        <v>239</v>
      </c>
      <c r="CS333" s="1" t="s">
        <v>4180</v>
      </c>
      <c r="CT333" s="1" t="s">
        <v>206</v>
      </c>
      <c r="CU333" s="1" t="s">
        <v>617</v>
      </c>
      <c r="CV333" s="1" t="s">
        <v>229</v>
      </c>
      <c r="CW333" s="1" t="s">
        <v>1158</v>
      </c>
      <c r="CX333" s="1" t="s">
        <v>206</v>
      </c>
      <c r="CY333" s="1" t="s">
        <v>268</v>
      </c>
      <c r="CZ333" s="1" t="s">
        <v>229</v>
      </c>
      <c r="DA333" s="1" t="s">
        <v>200</v>
      </c>
      <c r="DC333" s="1" t="s">
        <v>1399</v>
      </c>
      <c r="DD333" s="1" t="s">
        <v>518</v>
      </c>
      <c r="DE333" s="1" t="s">
        <v>273</v>
      </c>
      <c r="DF333" s="1" t="s">
        <v>219</v>
      </c>
      <c r="DG333" s="1" t="s">
        <v>482</v>
      </c>
      <c r="DH333" s="1" t="s">
        <v>220</v>
      </c>
      <c r="DI333" s="1" t="s">
        <v>2124</v>
      </c>
      <c r="DJ333" s="1" t="s">
        <v>222</v>
      </c>
      <c r="DL333" s="1" t="s">
        <v>858</v>
      </c>
      <c r="DM333" s="1" t="s">
        <v>338</v>
      </c>
      <c r="DO333" s="1" t="s">
        <v>1144</v>
      </c>
      <c r="DQ333" s="1" t="s">
        <v>228</v>
      </c>
      <c r="DR333" s="1" t="s">
        <v>229</v>
      </c>
      <c r="DS333" s="1" t="s">
        <v>230</v>
      </c>
      <c r="DU333" s="1" t="s">
        <v>1840</v>
      </c>
      <c r="DV333" s="1" t="s">
        <v>450</v>
      </c>
      <c r="DW333" s="1" t="s">
        <v>370</v>
      </c>
      <c r="DX333" s="1" t="s">
        <v>234</v>
      </c>
      <c r="DY333" s="1" t="s">
        <v>4467</v>
      </c>
      <c r="DZ333" s="1" t="s">
        <v>1560</v>
      </c>
      <c r="EA333" s="1" t="s">
        <v>1075</v>
      </c>
      <c r="EB333" s="1" t="s">
        <v>4937</v>
      </c>
      <c r="EC333" s="1" t="s">
        <v>645</v>
      </c>
      <c r="EG333" s="1" t="s">
        <v>450</v>
      </c>
      <c r="EL333" s="1" t="s">
        <v>362</v>
      </c>
      <c r="EM333" s="1" t="s">
        <v>42</v>
      </c>
      <c r="EN333" s="1" t="s">
        <v>617</v>
      </c>
      <c r="EO333" s="1" t="s">
        <v>229</v>
      </c>
      <c r="EQ333" s="1" t="s">
        <v>238</v>
      </c>
      <c r="EU333" s="1" t="s">
        <v>238</v>
      </c>
      <c r="EY333" s="1" t="s">
        <v>238</v>
      </c>
      <c r="FC333" s="1" t="s">
        <v>238</v>
      </c>
      <c r="FF333" s="1" t="s">
        <v>239</v>
      </c>
      <c r="FG333" s="1" t="s">
        <v>192</v>
      </c>
      <c r="FH333" s="1" t="s">
        <v>192</v>
      </c>
      <c r="FJ333" s="1" t="s">
        <v>498</v>
      </c>
      <c r="FK333" s="1" t="s">
        <v>229</v>
      </c>
      <c r="FL333" s="1" t="s">
        <v>1212</v>
      </c>
      <c r="FM333" s="1">
        <v>30.0</v>
      </c>
      <c r="FN333" s="1" t="s">
        <v>1213</v>
      </c>
      <c r="FO333" s="1" t="s">
        <v>4938</v>
      </c>
      <c r="FP333" s="1">
        <v>538.0</v>
      </c>
      <c r="FQ333" s="1" t="s">
        <v>4939</v>
      </c>
      <c r="FU333" s="1" t="s">
        <v>4940</v>
      </c>
      <c r="FV333" s="1" t="s">
        <v>200</v>
      </c>
      <c r="FW333" s="1" t="s">
        <v>530</v>
      </c>
      <c r="FZ333" s="1" t="s">
        <v>229</v>
      </c>
      <c r="GA333" s="1" t="s">
        <v>291</v>
      </c>
      <c r="GB333" s="2">
        <v>42003.0</v>
      </c>
    </row>
    <row r="334">
      <c r="A334" s="1">
        <v>95299.0</v>
      </c>
      <c r="B334" s="1" t="s">
        <v>185</v>
      </c>
      <c r="C334" s="1" t="str">
        <f>"08793046"</f>
        <v>08793046</v>
      </c>
      <c r="D334" s="1" t="s">
        <v>186</v>
      </c>
      <c r="F334" s="1" t="str">
        <f>"8065"</f>
        <v>8065</v>
      </c>
      <c r="G334" s="2">
        <v>41969.0</v>
      </c>
      <c r="H334" s="1">
        <v>90000.0</v>
      </c>
      <c r="I334" s="1">
        <v>41.0</v>
      </c>
      <c r="J334" s="1">
        <v>90000.0</v>
      </c>
      <c r="K334" s="2">
        <v>42009.0</v>
      </c>
      <c r="L334" s="1">
        <v>41.0</v>
      </c>
      <c r="M334" s="2">
        <v>42009.0</v>
      </c>
      <c r="N334" s="1" t="s">
        <v>249</v>
      </c>
      <c r="O334" s="2">
        <v>42027.0</v>
      </c>
      <c r="P334" s="1">
        <v>130501.0</v>
      </c>
      <c r="Q334" s="1">
        <v>16936.0</v>
      </c>
      <c r="S334" s="1">
        <v>3931.0</v>
      </c>
      <c r="T334" s="1" t="s">
        <v>4941</v>
      </c>
      <c r="U334" s="1" t="s">
        <v>694</v>
      </c>
      <c r="V334" s="1" t="s">
        <v>190</v>
      </c>
      <c r="W334" s="1">
        <v>60629.0</v>
      </c>
      <c r="Y334" s="1" t="s">
        <v>4942</v>
      </c>
      <c r="Z334" s="1">
        <v>1923.0</v>
      </c>
      <c r="AA334" s="1" t="s">
        <v>192</v>
      </c>
      <c r="AB334" s="1" t="s">
        <v>193</v>
      </c>
      <c r="AD334" s="1" t="s">
        <v>194</v>
      </c>
      <c r="AE334" s="1" t="s">
        <v>195</v>
      </c>
      <c r="AF334" s="1" t="s">
        <v>659</v>
      </c>
      <c r="AH334" s="1">
        <v>3750.0</v>
      </c>
      <c r="AK334" s="1">
        <v>7.0</v>
      </c>
      <c r="AL334" s="1">
        <v>2.0</v>
      </c>
      <c r="AM334" s="1">
        <v>2.0</v>
      </c>
      <c r="AN334" s="1">
        <v>0.0</v>
      </c>
      <c r="AO334" s="1" t="s">
        <v>229</v>
      </c>
      <c r="AQ334" s="1" t="s">
        <v>198</v>
      </c>
      <c r="AR334" s="1" t="s">
        <v>192</v>
      </c>
      <c r="AS334" s="1" t="s">
        <v>199</v>
      </c>
      <c r="AT334" s="1">
        <v>1.0</v>
      </c>
      <c r="AV334" s="1" t="s">
        <v>200</v>
      </c>
      <c r="AW334" s="1">
        <v>1921.13</v>
      </c>
      <c r="AX334" s="1">
        <v>2013.0</v>
      </c>
      <c r="AY334" s="1" t="s">
        <v>387</v>
      </c>
      <c r="AZ334" s="1" t="s">
        <v>200</v>
      </c>
      <c r="BA334" s="1" t="str">
        <f>"19143200150000"</f>
        <v>19143200150000</v>
      </c>
      <c r="BC334" s="1">
        <v>866.0</v>
      </c>
      <c r="BD334" s="1">
        <v>95299.0</v>
      </c>
      <c r="BE334" s="2">
        <v>41969.0</v>
      </c>
      <c r="BF334" s="2" t="s">
        <v>4943</v>
      </c>
      <c r="BH334" s="1">
        <v>0.0</v>
      </c>
      <c r="BK334" s="1" t="s">
        <v>204</v>
      </c>
      <c r="BL334" s="1" t="str">
        <f t="shared" ref="BL334:BM334" si="227">"0"</f>
        <v>0</v>
      </c>
      <c r="BM334" s="1" t="str">
        <f t="shared" si="227"/>
        <v>0</v>
      </c>
      <c r="BN334" s="1">
        <v>3931.0</v>
      </c>
      <c r="BO334" s="1">
        <v>6100.0</v>
      </c>
      <c r="BQ334" s="1">
        <v>299.0</v>
      </c>
      <c r="BR334" s="1">
        <v>299.0</v>
      </c>
      <c r="BS334" s="1">
        <v>299.0</v>
      </c>
      <c r="BU334" s="1" t="s">
        <v>454</v>
      </c>
      <c r="BV334" s="1" t="s">
        <v>206</v>
      </c>
      <c r="BW334" s="1" t="s">
        <v>207</v>
      </c>
      <c r="BY334" s="1" t="s">
        <v>495</v>
      </c>
      <c r="BZ334" s="1" t="s">
        <v>206</v>
      </c>
      <c r="CA334" s="1" t="s">
        <v>207</v>
      </c>
      <c r="CC334" s="1" t="s">
        <v>264</v>
      </c>
      <c r="CD334" s="1" t="s">
        <v>206</v>
      </c>
      <c r="CE334" s="1" t="s">
        <v>207</v>
      </c>
      <c r="CG334" s="1" t="s">
        <v>495</v>
      </c>
      <c r="CH334" s="1" t="s">
        <v>206</v>
      </c>
      <c r="CI334" s="1" t="s">
        <v>207</v>
      </c>
      <c r="CK334" s="1" t="s">
        <v>269</v>
      </c>
      <c r="CL334" s="1" t="s">
        <v>42</v>
      </c>
      <c r="CO334" s="1" t="s">
        <v>269</v>
      </c>
      <c r="CP334" s="1" t="s">
        <v>42</v>
      </c>
      <c r="CS334" s="1" t="s">
        <v>260</v>
      </c>
      <c r="CT334" s="1" t="s">
        <v>206</v>
      </c>
      <c r="CX334" s="1" t="s">
        <v>204</v>
      </c>
      <c r="DA334" s="1" t="s">
        <v>200</v>
      </c>
      <c r="DC334" s="1" t="s">
        <v>216</v>
      </c>
      <c r="DD334" s="1" t="s">
        <v>518</v>
      </c>
      <c r="DE334" s="1" t="s">
        <v>229</v>
      </c>
      <c r="DF334" s="1" t="s">
        <v>4086</v>
      </c>
      <c r="DH334" s="1" t="s">
        <v>365</v>
      </c>
      <c r="DJ334" s="1" t="s">
        <v>222</v>
      </c>
      <c r="DL334" s="1" t="s">
        <v>858</v>
      </c>
      <c r="DM334" s="1" t="s">
        <v>229</v>
      </c>
      <c r="DP334" s="1" t="s">
        <v>340</v>
      </c>
      <c r="DQ334" s="1" t="s">
        <v>228</v>
      </c>
      <c r="DR334" s="1" t="s">
        <v>229</v>
      </c>
      <c r="DV334" s="1" t="s">
        <v>232</v>
      </c>
      <c r="DW334" s="1" t="s">
        <v>279</v>
      </c>
      <c r="DX334" s="1" t="s">
        <v>234</v>
      </c>
      <c r="EA334" s="1" t="s">
        <v>644</v>
      </c>
      <c r="EC334" s="1" t="s">
        <v>685</v>
      </c>
      <c r="EM334" s="1" t="s">
        <v>238</v>
      </c>
      <c r="EQ334" s="1" t="s">
        <v>238</v>
      </c>
      <c r="EU334" s="1" t="s">
        <v>238</v>
      </c>
      <c r="EY334" s="1" t="s">
        <v>238</v>
      </c>
      <c r="FC334" s="1" t="s">
        <v>238</v>
      </c>
      <c r="FF334" s="1" t="s">
        <v>239</v>
      </c>
      <c r="FG334" s="1" t="s">
        <v>192</v>
      </c>
      <c r="FH334" s="1" t="s">
        <v>192</v>
      </c>
      <c r="FJ334" s="1" t="s">
        <v>524</v>
      </c>
      <c r="FK334" s="1" t="s">
        <v>229</v>
      </c>
      <c r="FL334" s="1" t="s">
        <v>4944</v>
      </c>
      <c r="FM334" s="1">
        <v>60217.0</v>
      </c>
      <c r="FN334" s="1" t="s">
        <v>4945</v>
      </c>
      <c r="FO334" s="1" t="s">
        <v>4946</v>
      </c>
      <c r="FP334" s="1">
        <v>601740.0</v>
      </c>
      <c r="FQ334" s="1" t="s">
        <v>4947</v>
      </c>
      <c r="FU334" s="1" t="s">
        <v>1751</v>
      </c>
      <c r="FV334" s="1" t="s">
        <v>200</v>
      </c>
      <c r="FW334" s="1" t="s">
        <v>4948</v>
      </c>
      <c r="FX334" s="1" t="s">
        <v>246</v>
      </c>
      <c r="FZ334" s="1" t="s">
        <v>229</v>
      </c>
      <c r="GA334" s="1" t="s">
        <v>291</v>
      </c>
      <c r="GB334" s="2">
        <v>42031.0</v>
      </c>
      <c r="GC334" s="1" t="s">
        <v>4949</v>
      </c>
    </row>
    <row r="335">
      <c r="A335" s="1">
        <v>237500.0</v>
      </c>
      <c r="B335" s="1" t="s">
        <v>185</v>
      </c>
      <c r="C335" s="1" t="str">
        <f>"08788177"</f>
        <v>08788177</v>
      </c>
      <c r="D335" s="1" t="s">
        <v>186</v>
      </c>
      <c r="F335" s="1" t="str">
        <f>"118"</f>
        <v>118</v>
      </c>
      <c r="G335" s="2">
        <v>41960.0</v>
      </c>
      <c r="H335" s="1">
        <v>289380.0</v>
      </c>
      <c r="I335" s="1">
        <v>105.0</v>
      </c>
      <c r="J335" s="1">
        <v>248200.0</v>
      </c>
      <c r="K335" s="2">
        <v>42064.0</v>
      </c>
      <c r="L335" s="1">
        <v>105.0</v>
      </c>
      <c r="M335" s="2">
        <v>42064.0</v>
      </c>
      <c r="N335" s="1" t="s">
        <v>187</v>
      </c>
      <c r="O335" s="2">
        <v>42115.0</v>
      </c>
      <c r="P335" s="1">
        <v>70399.0</v>
      </c>
      <c r="Q335" s="1">
        <v>7450.0</v>
      </c>
      <c r="S335" s="1">
        <v>2685.0</v>
      </c>
      <c r="T335" s="1" t="s">
        <v>4950</v>
      </c>
      <c r="U335" s="1" t="s">
        <v>569</v>
      </c>
      <c r="V335" s="1" t="s">
        <v>1086</v>
      </c>
      <c r="W335" s="1">
        <v>60118.0</v>
      </c>
      <c r="Y335" s="1" t="s">
        <v>4951</v>
      </c>
      <c r="Z335" s="1">
        <v>2005.0</v>
      </c>
      <c r="AA335" s="1" t="s">
        <v>200</v>
      </c>
      <c r="AB335" s="1" t="s">
        <v>193</v>
      </c>
      <c r="AC335" s="1" t="s">
        <v>4952</v>
      </c>
      <c r="AD335" s="1" t="s">
        <v>3394</v>
      </c>
      <c r="AE335" s="1" t="s">
        <v>325</v>
      </c>
      <c r="AF335" s="1" t="s">
        <v>810</v>
      </c>
      <c r="AH335" s="1">
        <v>10516.0</v>
      </c>
      <c r="AI335" s="1">
        <v>0.3915</v>
      </c>
      <c r="AK335" s="1">
        <v>9.0</v>
      </c>
      <c r="AL335" s="1">
        <v>4.0</v>
      </c>
      <c r="AM335" s="1">
        <v>2.0</v>
      </c>
      <c r="AN335" s="1">
        <v>1.0</v>
      </c>
      <c r="AO335" s="1" t="s">
        <v>198</v>
      </c>
      <c r="AP335" s="1">
        <v>1.0</v>
      </c>
      <c r="AQ335" s="1" t="s">
        <v>198</v>
      </c>
      <c r="AR335" s="1" t="s">
        <v>200</v>
      </c>
      <c r="AS335" s="1" t="s">
        <v>199</v>
      </c>
      <c r="AT335" s="1">
        <v>2.0</v>
      </c>
      <c r="AV335" s="1" t="s">
        <v>200</v>
      </c>
      <c r="AW335" s="1">
        <v>10875.0</v>
      </c>
      <c r="AX335" s="1">
        <v>2013.0</v>
      </c>
      <c r="AY335" s="1" t="s">
        <v>229</v>
      </c>
      <c r="AZ335" s="1" t="s">
        <v>545</v>
      </c>
      <c r="BA335" s="1" t="str">
        <f>"0317407010"</f>
        <v>0317407010</v>
      </c>
      <c r="BB335" s="1" t="s">
        <v>200</v>
      </c>
      <c r="BC335" s="1">
        <v>3320.0</v>
      </c>
      <c r="BD335" s="1">
        <v>237500.0</v>
      </c>
      <c r="BE335" s="2">
        <v>41960.0</v>
      </c>
      <c r="BF335" s="2" t="s">
        <v>4953</v>
      </c>
      <c r="BH335" s="1">
        <v>400.0</v>
      </c>
      <c r="BK335" s="1" t="s">
        <v>580</v>
      </c>
      <c r="BL335" s="1" t="str">
        <f t="shared" ref="BL335:BM335" si="228">""</f>
        <v/>
      </c>
      <c r="BM335" s="1" t="str">
        <f t="shared" si="228"/>
        <v/>
      </c>
      <c r="BQ335" s="1">
        <v>300.0</v>
      </c>
      <c r="BR335" s="1">
        <v>300.0</v>
      </c>
      <c r="BS335" s="1">
        <v>300.0</v>
      </c>
      <c r="BU335" s="1" t="s">
        <v>1351</v>
      </c>
      <c r="BV335" s="1" t="s">
        <v>206</v>
      </c>
      <c r="BY335" s="1" t="s">
        <v>3784</v>
      </c>
      <c r="BZ335" s="1" t="s">
        <v>209</v>
      </c>
      <c r="CC335" s="1" t="s">
        <v>1417</v>
      </c>
      <c r="CD335" s="1" t="s">
        <v>206</v>
      </c>
      <c r="CG335" s="1" t="s">
        <v>584</v>
      </c>
      <c r="CH335" s="1" t="s">
        <v>209</v>
      </c>
      <c r="CK335" s="1" t="s">
        <v>303</v>
      </c>
      <c r="CL335" s="1" t="s">
        <v>209</v>
      </c>
      <c r="CO335" s="1" t="s">
        <v>302</v>
      </c>
      <c r="CP335" s="1" t="s">
        <v>209</v>
      </c>
      <c r="CS335" s="1" t="s">
        <v>699</v>
      </c>
      <c r="CT335" s="1" t="s">
        <v>206</v>
      </c>
      <c r="CW335" s="1" t="s">
        <v>676</v>
      </c>
      <c r="CX335" s="1" t="s">
        <v>206</v>
      </c>
      <c r="DA335" s="1" t="s">
        <v>200</v>
      </c>
      <c r="DC335" s="1" t="s">
        <v>481</v>
      </c>
      <c r="DD335" s="1" t="s">
        <v>957</v>
      </c>
      <c r="DE335" s="1" t="s">
        <v>273</v>
      </c>
      <c r="DF335" s="1" t="s">
        <v>219</v>
      </c>
      <c r="DH335" s="1" t="s">
        <v>220</v>
      </c>
      <c r="DJ335" s="1" t="s">
        <v>222</v>
      </c>
      <c r="DL335" s="1" t="s">
        <v>224</v>
      </c>
      <c r="DM335" s="1" t="s">
        <v>229</v>
      </c>
      <c r="DP335" s="1" t="s">
        <v>340</v>
      </c>
      <c r="DQ335" s="1" t="s">
        <v>441</v>
      </c>
      <c r="DR335" s="1" t="s">
        <v>229</v>
      </c>
      <c r="DV335" s="1" t="s">
        <v>494</v>
      </c>
      <c r="DW335" s="1" t="s">
        <v>444</v>
      </c>
      <c r="DX335" s="1" t="s">
        <v>234</v>
      </c>
      <c r="EA335" s="1" t="s">
        <v>1027</v>
      </c>
      <c r="EC335" s="1" t="s">
        <v>237</v>
      </c>
      <c r="EE335" s="1" t="s">
        <v>1673</v>
      </c>
      <c r="EG335" s="1" t="s">
        <v>494</v>
      </c>
      <c r="EL335" s="1" t="s">
        <v>303</v>
      </c>
      <c r="EM335" s="1" t="s">
        <v>206</v>
      </c>
      <c r="EQ335" s="1" t="s">
        <v>238</v>
      </c>
      <c r="EU335" s="1" t="s">
        <v>238</v>
      </c>
      <c r="EY335" s="1" t="s">
        <v>238</v>
      </c>
      <c r="FC335" s="1" t="s">
        <v>238</v>
      </c>
      <c r="FF335" s="1" t="s">
        <v>239</v>
      </c>
      <c r="FG335" s="1" t="s">
        <v>192</v>
      </c>
      <c r="FH335" s="1" t="s">
        <v>192</v>
      </c>
      <c r="FJ335" s="1" t="s">
        <v>524</v>
      </c>
      <c r="FK335" s="1" t="s">
        <v>229</v>
      </c>
      <c r="FL335" s="1" t="s">
        <v>4954</v>
      </c>
      <c r="FM335" s="1">
        <v>24093.0</v>
      </c>
      <c r="FN335" s="1" t="s">
        <v>3335</v>
      </c>
      <c r="FO335" s="1" t="s">
        <v>4955</v>
      </c>
      <c r="FP335" s="1">
        <v>256428.0</v>
      </c>
      <c r="FQ335" s="1" t="s">
        <v>4956</v>
      </c>
      <c r="FS335" s="1" t="s">
        <v>4957</v>
      </c>
      <c r="FU335" s="1" t="s">
        <v>4958</v>
      </c>
      <c r="FV335" s="1" t="s">
        <v>200</v>
      </c>
      <c r="FW335" s="1" t="s">
        <v>4959</v>
      </c>
      <c r="FZ335" s="1" t="s">
        <v>229</v>
      </c>
      <c r="GA335" s="1" t="s">
        <v>291</v>
      </c>
      <c r="GB335" s="2">
        <v>42115.0</v>
      </c>
      <c r="GC335" s="1" t="s">
        <v>4960</v>
      </c>
    </row>
    <row r="336">
      <c r="A336" s="1">
        <v>175000.0</v>
      </c>
      <c r="B336" s="1" t="s">
        <v>185</v>
      </c>
      <c r="C336" s="1" t="str">
        <f>"08771719"</f>
        <v>08771719</v>
      </c>
      <c r="D336" s="1" t="s">
        <v>186</v>
      </c>
      <c r="F336" s="1" t="str">
        <f>"107"</f>
        <v>107</v>
      </c>
      <c r="G336" s="2">
        <v>41951.0</v>
      </c>
      <c r="H336" s="1">
        <v>180000.0</v>
      </c>
      <c r="I336" s="1">
        <v>411.0</v>
      </c>
      <c r="J336" s="1">
        <v>180000.0</v>
      </c>
      <c r="K336" s="2">
        <v>41951.0</v>
      </c>
      <c r="L336" s="1">
        <v>1.0</v>
      </c>
      <c r="M336" s="2">
        <v>41951.0</v>
      </c>
      <c r="N336" s="1" t="s">
        <v>356</v>
      </c>
      <c r="O336" s="2">
        <v>41997.0</v>
      </c>
      <c r="P336" s="1">
        <v>28121.0</v>
      </c>
      <c r="Q336" s="1">
        <v>8889.0</v>
      </c>
      <c r="S336" s="1">
        <v>13.0</v>
      </c>
      <c r="T336" s="1" t="s">
        <v>294</v>
      </c>
      <c r="U336" s="1" t="s">
        <v>1442</v>
      </c>
      <c r="V336" s="1" t="s">
        <v>294</v>
      </c>
      <c r="W336" s="1">
        <v>60107.0</v>
      </c>
      <c r="Y336" s="1" t="s">
        <v>4961</v>
      </c>
      <c r="Z336" s="1">
        <v>1959.0</v>
      </c>
      <c r="AA336" s="1" t="s">
        <v>192</v>
      </c>
      <c r="AB336" s="1" t="s">
        <v>193</v>
      </c>
      <c r="AC336" s="1" t="s">
        <v>4962</v>
      </c>
      <c r="AD336" s="1" t="s">
        <v>297</v>
      </c>
      <c r="AE336" s="1" t="s">
        <v>195</v>
      </c>
      <c r="AF336" s="1" t="s">
        <v>298</v>
      </c>
      <c r="AG336" s="1" t="s">
        <v>4963</v>
      </c>
      <c r="AH336" s="1" t="s">
        <v>4964</v>
      </c>
      <c r="AI336" s="1">
        <v>0.2749</v>
      </c>
      <c r="AK336" s="1">
        <v>8.0</v>
      </c>
      <c r="AL336" s="1">
        <v>4.0</v>
      </c>
      <c r="AM336" s="1">
        <v>2.0</v>
      </c>
      <c r="AN336" s="1">
        <v>0.0</v>
      </c>
      <c r="AO336" s="1" t="s">
        <v>198</v>
      </c>
      <c r="AP336" s="1">
        <v>1.0</v>
      </c>
      <c r="AQ336" s="1" t="s">
        <v>1314</v>
      </c>
      <c r="AR336" s="1" t="s">
        <v>200</v>
      </c>
      <c r="AS336" s="1" t="s">
        <v>199</v>
      </c>
      <c r="AT336" s="1">
        <v>4.0</v>
      </c>
      <c r="AV336" s="1" t="s">
        <v>200</v>
      </c>
      <c r="AW336" s="1">
        <v>4500.0</v>
      </c>
      <c r="AX336" s="1">
        <v>2013.0</v>
      </c>
      <c r="AY336" s="1" t="s">
        <v>1179</v>
      </c>
      <c r="AZ336" s="1" t="s">
        <v>200</v>
      </c>
      <c r="BA336" s="1" t="str">
        <f>"06233070070000"</f>
        <v>06233070070000</v>
      </c>
      <c r="BC336" s="1">
        <v>1329.0</v>
      </c>
      <c r="BD336" s="1">
        <v>175000.0</v>
      </c>
      <c r="BE336" s="2">
        <v>41951.0</v>
      </c>
      <c r="BF336" s="2" t="s">
        <v>4965</v>
      </c>
      <c r="BG336" s="1" t="s">
        <v>4966</v>
      </c>
      <c r="BH336" s="1">
        <v>0.0</v>
      </c>
      <c r="BI336" s="1" t="s">
        <v>756</v>
      </c>
      <c r="BJ336" s="1" t="s">
        <v>757</v>
      </c>
      <c r="BK336" s="1" t="s">
        <v>204</v>
      </c>
      <c r="BL336" s="1" t="str">
        <f t="shared" ref="BL336:BM336" si="229">""</f>
        <v/>
      </c>
      <c r="BM336" s="1" t="str">
        <f t="shared" si="229"/>
        <v/>
      </c>
      <c r="BQ336" s="1">
        <v>46.0</v>
      </c>
      <c r="BR336" s="1">
        <v>46.0</v>
      </c>
      <c r="BS336" s="1">
        <v>46.0</v>
      </c>
      <c r="BU336" s="1" t="s">
        <v>208</v>
      </c>
      <c r="BV336" s="1" t="s">
        <v>206</v>
      </c>
      <c r="BW336" s="1" t="s">
        <v>207</v>
      </c>
      <c r="BX336" s="1" t="s">
        <v>239</v>
      </c>
      <c r="BY336" s="1" t="s">
        <v>332</v>
      </c>
      <c r="BZ336" s="1" t="s">
        <v>206</v>
      </c>
      <c r="CA336" s="1" t="s">
        <v>210</v>
      </c>
      <c r="CB336" s="1" t="s">
        <v>239</v>
      </c>
      <c r="CC336" s="1" t="s">
        <v>1760</v>
      </c>
      <c r="CD336" s="1" t="s">
        <v>206</v>
      </c>
      <c r="CE336" s="1" t="s">
        <v>210</v>
      </c>
      <c r="CG336" s="1" t="s">
        <v>699</v>
      </c>
      <c r="CH336" s="1" t="s">
        <v>206</v>
      </c>
      <c r="CI336" s="1" t="s">
        <v>210</v>
      </c>
      <c r="CJ336" s="1" t="s">
        <v>1118</v>
      </c>
      <c r="CK336" s="1" t="s">
        <v>1190</v>
      </c>
      <c r="CL336" s="1" t="s">
        <v>209</v>
      </c>
      <c r="CM336" s="1" t="s">
        <v>210</v>
      </c>
      <c r="CN336" s="1" t="s">
        <v>431</v>
      </c>
      <c r="CO336" s="1" t="s">
        <v>1351</v>
      </c>
      <c r="CP336" s="1" t="s">
        <v>209</v>
      </c>
      <c r="CQ336" s="1" t="s">
        <v>210</v>
      </c>
      <c r="CR336" s="1" t="s">
        <v>1118</v>
      </c>
      <c r="CS336" s="1" t="s">
        <v>212</v>
      </c>
      <c r="CT336" s="1" t="s">
        <v>206</v>
      </c>
      <c r="CU336" s="1" t="s">
        <v>301</v>
      </c>
      <c r="CV336" s="1" t="s">
        <v>239</v>
      </c>
      <c r="CW336" s="1" t="s">
        <v>2121</v>
      </c>
      <c r="CX336" s="1" t="s">
        <v>267</v>
      </c>
      <c r="CY336" s="1" t="s">
        <v>210</v>
      </c>
      <c r="CZ336" s="1" t="s">
        <v>239</v>
      </c>
      <c r="DA336" s="1" t="s">
        <v>200</v>
      </c>
      <c r="DC336" s="1" t="s">
        <v>271</v>
      </c>
      <c r="DE336" s="1" t="s">
        <v>1300</v>
      </c>
      <c r="DF336" s="1" t="s">
        <v>219</v>
      </c>
      <c r="DG336" s="1" t="s">
        <v>2462</v>
      </c>
      <c r="DH336" s="1" t="s">
        <v>365</v>
      </c>
      <c r="DI336" s="1" t="s">
        <v>703</v>
      </c>
      <c r="DJ336" s="1" t="s">
        <v>1048</v>
      </c>
      <c r="DK336" s="1" t="s">
        <v>223</v>
      </c>
      <c r="DL336" s="1" t="s">
        <v>1161</v>
      </c>
      <c r="DM336" s="1" t="s">
        <v>229</v>
      </c>
      <c r="DO336" s="1" t="s">
        <v>549</v>
      </c>
      <c r="DP336" s="1" t="s">
        <v>340</v>
      </c>
      <c r="DQ336" s="1" t="s">
        <v>441</v>
      </c>
      <c r="DR336" s="1" t="s">
        <v>229</v>
      </c>
      <c r="DS336" s="1" t="s">
        <v>368</v>
      </c>
      <c r="DU336" s="1" t="s">
        <v>1840</v>
      </c>
      <c r="DV336" s="1" t="s">
        <v>232</v>
      </c>
      <c r="DW336" s="1" t="s">
        <v>233</v>
      </c>
      <c r="DX336" s="1" t="s">
        <v>234</v>
      </c>
      <c r="DY336" s="1" t="s">
        <v>4967</v>
      </c>
      <c r="DZ336" s="1" t="s">
        <v>1661</v>
      </c>
      <c r="EA336" s="1" t="s">
        <v>283</v>
      </c>
      <c r="EB336" s="1" t="s">
        <v>4968</v>
      </c>
      <c r="EC336" s="1" t="s">
        <v>237</v>
      </c>
      <c r="ED336" s="1" t="s">
        <v>4969</v>
      </c>
      <c r="EM336" s="1" t="s">
        <v>238</v>
      </c>
      <c r="EQ336" s="1" t="s">
        <v>238</v>
      </c>
      <c r="EU336" s="1" t="s">
        <v>238</v>
      </c>
      <c r="EY336" s="1" t="s">
        <v>238</v>
      </c>
      <c r="FC336" s="1" t="s">
        <v>238</v>
      </c>
      <c r="FF336" s="1" t="s">
        <v>239</v>
      </c>
      <c r="FG336" s="1" t="s">
        <v>192</v>
      </c>
      <c r="FH336" s="1" t="s">
        <v>192</v>
      </c>
      <c r="FJ336" s="1" t="s">
        <v>4471</v>
      </c>
      <c r="FK336" s="1" t="s">
        <v>229</v>
      </c>
      <c r="FL336" s="1" t="s">
        <v>1663</v>
      </c>
      <c r="FM336" s="1">
        <v>17299.0</v>
      </c>
      <c r="FN336" s="1" t="s">
        <v>1664</v>
      </c>
      <c r="FO336" s="1" t="s">
        <v>4472</v>
      </c>
      <c r="FP336" s="1">
        <v>160713.0</v>
      </c>
      <c r="FQ336" s="1" t="s">
        <v>4473</v>
      </c>
      <c r="FU336" s="1" t="s">
        <v>4970</v>
      </c>
      <c r="FV336" s="1" t="s">
        <v>200</v>
      </c>
      <c r="FW336" s="1" t="s">
        <v>654</v>
      </c>
      <c r="FX336" s="1" t="s">
        <v>1739</v>
      </c>
      <c r="FZ336" s="1" t="s">
        <v>229</v>
      </c>
      <c r="GA336" s="1" t="s">
        <v>291</v>
      </c>
      <c r="GB336" s="2">
        <v>42000.0</v>
      </c>
    </row>
    <row r="337">
      <c r="A337" s="1">
        <v>128000.0</v>
      </c>
      <c r="B337" s="1" t="s">
        <v>185</v>
      </c>
      <c r="C337" s="1" t="str">
        <f>"08771097"</f>
        <v>08771097</v>
      </c>
      <c r="D337" s="1" t="s">
        <v>186</v>
      </c>
      <c r="F337" s="1" t="str">
        <f>"8070"</f>
        <v>8070</v>
      </c>
      <c r="G337" s="2">
        <v>41950.0</v>
      </c>
      <c r="H337" s="1">
        <v>134500.0</v>
      </c>
      <c r="I337" s="1">
        <v>159.0</v>
      </c>
      <c r="J337" s="1">
        <v>134500.0</v>
      </c>
      <c r="K337" s="2">
        <v>42001.0</v>
      </c>
      <c r="L337" s="1">
        <v>52.0</v>
      </c>
      <c r="M337" s="2">
        <v>42001.0</v>
      </c>
      <c r="N337" s="1" t="s">
        <v>356</v>
      </c>
      <c r="O337" s="2">
        <v>42069.0</v>
      </c>
      <c r="P337" s="1">
        <v>135711.0</v>
      </c>
      <c r="Q337" s="1">
        <v>12555.0</v>
      </c>
      <c r="S337" s="1">
        <v>8071.0</v>
      </c>
      <c r="T337" s="1" t="s">
        <v>4971</v>
      </c>
      <c r="U337" s="1" t="s">
        <v>189</v>
      </c>
      <c r="V337" s="1" t="s">
        <v>190</v>
      </c>
      <c r="W337" s="1">
        <v>60652.0</v>
      </c>
      <c r="Y337" s="1" t="s">
        <v>4972</v>
      </c>
      <c r="Z337" s="1">
        <v>1958.0</v>
      </c>
      <c r="AA337" s="1" t="s">
        <v>192</v>
      </c>
      <c r="AB337" s="1" t="s">
        <v>193</v>
      </c>
      <c r="AD337" s="1" t="s">
        <v>194</v>
      </c>
      <c r="AE337" s="1" t="s">
        <v>195</v>
      </c>
      <c r="AF337" s="1" t="s">
        <v>659</v>
      </c>
      <c r="AG337" s="1" t="s">
        <v>874</v>
      </c>
      <c r="AH337" s="1" t="s">
        <v>4973</v>
      </c>
      <c r="AI337" s="1">
        <v>0.0</v>
      </c>
      <c r="AK337" s="1">
        <v>8.0</v>
      </c>
      <c r="AL337" s="1">
        <v>4.0</v>
      </c>
      <c r="AM337" s="1">
        <v>1.0</v>
      </c>
      <c r="AN337" s="1">
        <v>0.0</v>
      </c>
      <c r="AO337" s="1" t="s">
        <v>229</v>
      </c>
      <c r="AQ337" s="1" t="s">
        <v>229</v>
      </c>
      <c r="AR337" s="1" t="s">
        <v>200</v>
      </c>
      <c r="AS337" s="1" t="s">
        <v>199</v>
      </c>
      <c r="AT337" s="1">
        <v>1.0</v>
      </c>
      <c r="AV337" s="1" t="s">
        <v>200</v>
      </c>
      <c r="AW337" s="1">
        <v>2047.0</v>
      </c>
      <c r="AX337" s="1">
        <v>2013.0</v>
      </c>
      <c r="AY337" s="1" t="s">
        <v>387</v>
      </c>
      <c r="AZ337" s="1" t="s">
        <v>200</v>
      </c>
      <c r="BA337" s="1" t="str">
        <f>"19341200030000"</f>
        <v>19341200030000</v>
      </c>
      <c r="BC337" s="1">
        <v>1258.0</v>
      </c>
      <c r="BD337" s="1">
        <v>128000.0</v>
      </c>
      <c r="BE337" s="2">
        <v>41950.0</v>
      </c>
      <c r="BF337" s="2" t="s">
        <v>4974</v>
      </c>
      <c r="BH337" s="1">
        <v>0.0</v>
      </c>
      <c r="BK337" s="1" t="s">
        <v>204</v>
      </c>
      <c r="BL337" s="1" t="str">
        <f t="shared" ref="BL337:BM337" si="230">"0"</f>
        <v>0</v>
      </c>
      <c r="BM337" s="1" t="str">
        <f t="shared" si="230"/>
        <v>0</v>
      </c>
      <c r="BN337" s="1">
        <v>4700.0</v>
      </c>
      <c r="BO337" s="1">
        <v>8071.0</v>
      </c>
      <c r="BQ337" s="1">
        <v>299.0</v>
      </c>
      <c r="BR337" s="1">
        <v>299.0</v>
      </c>
      <c r="BS337" s="1">
        <v>299.0</v>
      </c>
      <c r="BU337" s="1" t="s">
        <v>2120</v>
      </c>
      <c r="BV337" s="1" t="s">
        <v>206</v>
      </c>
      <c r="BW337" s="1" t="s">
        <v>207</v>
      </c>
      <c r="BY337" s="1" t="s">
        <v>331</v>
      </c>
      <c r="BZ337" s="1" t="s">
        <v>206</v>
      </c>
      <c r="CA337" s="1" t="s">
        <v>207</v>
      </c>
      <c r="CC337" s="1" t="s">
        <v>265</v>
      </c>
      <c r="CD337" s="1" t="s">
        <v>206</v>
      </c>
      <c r="CE337" s="1" t="s">
        <v>207</v>
      </c>
      <c r="CG337" s="1" t="s">
        <v>495</v>
      </c>
      <c r="CH337" s="1" t="s">
        <v>206</v>
      </c>
      <c r="CI337" s="1" t="s">
        <v>207</v>
      </c>
      <c r="CK337" s="1" t="s">
        <v>1298</v>
      </c>
      <c r="CL337" s="1" t="s">
        <v>206</v>
      </c>
      <c r="CM337" s="1" t="s">
        <v>207</v>
      </c>
      <c r="CO337" s="1" t="s">
        <v>4975</v>
      </c>
      <c r="CP337" s="1" t="s">
        <v>206</v>
      </c>
      <c r="CQ337" s="1" t="s">
        <v>207</v>
      </c>
      <c r="CS337" s="1" t="s">
        <v>269</v>
      </c>
      <c r="CT337" s="1" t="s">
        <v>206</v>
      </c>
      <c r="CU337" s="1" t="s">
        <v>207</v>
      </c>
      <c r="CW337" s="1" t="s">
        <v>1138</v>
      </c>
      <c r="CX337" s="1" t="s">
        <v>206</v>
      </c>
      <c r="CY337" s="1" t="s">
        <v>207</v>
      </c>
      <c r="DA337" s="1" t="s">
        <v>200</v>
      </c>
      <c r="DC337" s="1" t="s">
        <v>271</v>
      </c>
      <c r="DE337" s="1" t="s">
        <v>229</v>
      </c>
      <c r="DF337" s="1" t="s">
        <v>219</v>
      </c>
      <c r="DG337" s="1" t="s">
        <v>4976</v>
      </c>
      <c r="DH337" s="1" t="s">
        <v>307</v>
      </c>
      <c r="DI337" s="1" t="s">
        <v>1401</v>
      </c>
      <c r="DJ337" s="1" t="s">
        <v>222</v>
      </c>
      <c r="DL337" s="1" t="s">
        <v>1853</v>
      </c>
      <c r="DM337" s="1" t="s">
        <v>229</v>
      </c>
      <c r="DP337" s="1" t="s">
        <v>340</v>
      </c>
      <c r="DQ337" s="1" t="s">
        <v>794</v>
      </c>
      <c r="DR337" s="1" t="s">
        <v>229</v>
      </c>
      <c r="DS337" s="1" t="s">
        <v>230</v>
      </c>
      <c r="DV337" s="1" t="s">
        <v>1102</v>
      </c>
      <c r="DW337" s="1" t="s">
        <v>279</v>
      </c>
      <c r="DX337" s="1" t="s">
        <v>234</v>
      </c>
      <c r="EA337" s="1" t="s">
        <v>683</v>
      </c>
      <c r="EC337" s="1" t="s">
        <v>685</v>
      </c>
      <c r="EG337" s="1" t="s">
        <v>1102</v>
      </c>
      <c r="EL337" s="1" t="s">
        <v>730</v>
      </c>
      <c r="EM337" s="1" t="s">
        <v>206</v>
      </c>
      <c r="EN337" s="1" t="s">
        <v>207</v>
      </c>
      <c r="EQ337" s="1" t="s">
        <v>238</v>
      </c>
      <c r="EU337" s="1" t="s">
        <v>238</v>
      </c>
      <c r="EY337" s="1" t="s">
        <v>238</v>
      </c>
      <c r="FC337" s="1" t="s">
        <v>238</v>
      </c>
      <c r="FF337" s="1" t="s">
        <v>239</v>
      </c>
      <c r="FG337" s="1" t="s">
        <v>192</v>
      </c>
      <c r="FH337" s="1" t="s">
        <v>192</v>
      </c>
      <c r="FJ337" s="1" t="s">
        <v>2853</v>
      </c>
      <c r="FK337" s="1" t="s">
        <v>229</v>
      </c>
      <c r="FL337" s="1" t="s">
        <v>2111</v>
      </c>
      <c r="FM337" s="1">
        <v>12555.0</v>
      </c>
      <c r="FN337" s="1" t="s">
        <v>2112</v>
      </c>
      <c r="FO337" s="1" t="s">
        <v>4977</v>
      </c>
      <c r="FP337" s="1">
        <v>135711.0</v>
      </c>
      <c r="FQ337" s="1" t="s">
        <v>4978</v>
      </c>
      <c r="FU337" s="1" t="s">
        <v>710</v>
      </c>
      <c r="FV337" s="1" t="s">
        <v>200</v>
      </c>
      <c r="FW337" s="1" t="s">
        <v>1578</v>
      </c>
      <c r="FX337" s="1" t="s">
        <v>655</v>
      </c>
      <c r="FZ337" s="1" t="s">
        <v>229</v>
      </c>
      <c r="GA337" s="1" t="s">
        <v>291</v>
      </c>
      <c r="GB337" s="2">
        <v>42069.0</v>
      </c>
      <c r="GC337" s="1" t="s">
        <v>4979</v>
      </c>
    </row>
    <row r="338">
      <c r="A338" s="1">
        <v>230000.0</v>
      </c>
      <c r="B338" s="1" t="s">
        <v>185</v>
      </c>
      <c r="C338" s="1" t="str">
        <f>"08771605"</f>
        <v>08771605</v>
      </c>
      <c r="D338" s="1" t="s">
        <v>186</v>
      </c>
      <c r="F338" s="1" t="str">
        <f>"543"</f>
        <v>543</v>
      </c>
      <c r="G338" s="2">
        <v>41950.0</v>
      </c>
      <c r="H338" s="1">
        <v>230000.0</v>
      </c>
      <c r="I338" s="1">
        <v>56.0</v>
      </c>
      <c r="J338" s="1">
        <v>230000.0</v>
      </c>
      <c r="K338" s="2">
        <v>42005.0</v>
      </c>
      <c r="L338" s="1">
        <v>56.0</v>
      </c>
      <c r="M338" s="2">
        <v>42005.0</v>
      </c>
      <c r="N338" s="1" t="s">
        <v>356</v>
      </c>
      <c r="O338" s="2">
        <v>42058.0</v>
      </c>
      <c r="P338" s="1">
        <v>215475.0</v>
      </c>
      <c r="Q338" s="1">
        <v>24007.0</v>
      </c>
      <c r="R338" s="1">
        <v>5400.0</v>
      </c>
      <c r="S338" s="1">
        <v>505.0</v>
      </c>
      <c r="T338" s="1" t="s">
        <v>4980</v>
      </c>
      <c r="U338" s="1" t="s">
        <v>1174</v>
      </c>
      <c r="V338" s="1" t="s">
        <v>1527</v>
      </c>
      <c r="W338" s="1">
        <v>60543.0</v>
      </c>
      <c r="Y338" s="1" t="s">
        <v>4981</v>
      </c>
      <c r="Z338" s="1">
        <v>1998.0</v>
      </c>
      <c r="AA338" s="1" t="s">
        <v>200</v>
      </c>
      <c r="AB338" s="1" t="s">
        <v>193</v>
      </c>
      <c r="AC338" s="1" t="s">
        <v>4982</v>
      </c>
      <c r="AD338" s="1" t="s">
        <v>1529</v>
      </c>
      <c r="AE338" s="1" t="s">
        <v>849</v>
      </c>
      <c r="AF338" s="1" t="s">
        <v>1312</v>
      </c>
      <c r="AH338" s="1" t="s">
        <v>4983</v>
      </c>
      <c r="AK338" s="1">
        <v>8.0</v>
      </c>
      <c r="AL338" s="1">
        <v>4.0</v>
      </c>
      <c r="AM338" s="1">
        <v>2.0</v>
      </c>
      <c r="AN338" s="1">
        <v>1.0</v>
      </c>
      <c r="AO338" s="1" t="s">
        <v>198</v>
      </c>
      <c r="AQ338" s="1" t="s">
        <v>198</v>
      </c>
      <c r="AR338" s="1" t="s">
        <v>200</v>
      </c>
      <c r="AS338" s="1" t="s">
        <v>510</v>
      </c>
      <c r="AT338" s="1">
        <v>2.0</v>
      </c>
      <c r="AU338" s="1">
        <v>6.0</v>
      </c>
      <c r="AV338" s="1" t="s">
        <v>200</v>
      </c>
      <c r="AW338" s="1">
        <v>7811.0</v>
      </c>
      <c r="AX338" s="1">
        <v>2013.0</v>
      </c>
      <c r="AZ338" s="1" t="s">
        <v>200</v>
      </c>
      <c r="BA338" s="1" t="str">
        <f>"0212408015"</f>
        <v>0212408015</v>
      </c>
      <c r="BC338" s="1">
        <v>2550.0</v>
      </c>
      <c r="BD338" s="1">
        <v>230000.0</v>
      </c>
      <c r="BE338" s="2">
        <v>41950.0</v>
      </c>
      <c r="BF338" s="2" t="s">
        <v>4984</v>
      </c>
      <c r="BG338" s="1" t="s">
        <v>4985</v>
      </c>
      <c r="BH338" s="1">
        <v>0.0</v>
      </c>
      <c r="BI338" s="1" t="s">
        <v>1348</v>
      </c>
      <c r="BJ338" s="1" t="s">
        <v>4986</v>
      </c>
      <c r="BK338" s="1" t="s">
        <v>204</v>
      </c>
      <c r="BL338" s="1" t="str">
        <f t="shared" ref="BL338:BM338" si="231">""</f>
        <v/>
      </c>
      <c r="BM338" s="1" t="str">
        <f t="shared" si="231"/>
        <v/>
      </c>
      <c r="BQ338" s="1">
        <v>308.0</v>
      </c>
      <c r="BR338" s="1">
        <v>308.0</v>
      </c>
      <c r="BS338" s="1">
        <v>308.0</v>
      </c>
      <c r="BU338" s="1" t="s">
        <v>262</v>
      </c>
      <c r="BV338" s="1" t="s">
        <v>206</v>
      </c>
      <c r="BW338" s="1" t="s">
        <v>210</v>
      </c>
      <c r="BX338" s="1" t="s">
        <v>431</v>
      </c>
      <c r="BY338" s="1" t="s">
        <v>758</v>
      </c>
      <c r="BZ338" s="1" t="s">
        <v>209</v>
      </c>
      <c r="CA338" s="1" t="s">
        <v>210</v>
      </c>
      <c r="CB338" s="1" t="s">
        <v>261</v>
      </c>
      <c r="CC338" s="1" t="s">
        <v>623</v>
      </c>
      <c r="CD338" s="1" t="s">
        <v>206</v>
      </c>
      <c r="CE338" s="1" t="s">
        <v>210</v>
      </c>
      <c r="CF338" s="1" t="s">
        <v>431</v>
      </c>
      <c r="CG338" s="1" t="s">
        <v>2459</v>
      </c>
      <c r="CH338" s="1" t="s">
        <v>209</v>
      </c>
      <c r="CI338" s="1" t="s">
        <v>210</v>
      </c>
      <c r="CJ338" s="1" t="s">
        <v>261</v>
      </c>
      <c r="CK338" s="1" t="s">
        <v>1316</v>
      </c>
      <c r="CL338" s="1" t="s">
        <v>209</v>
      </c>
      <c r="CM338" s="1" t="s">
        <v>210</v>
      </c>
      <c r="CN338" s="1" t="s">
        <v>261</v>
      </c>
      <c r="CO338" s="1" t="s">
        <v>3888</v>
      </c>
      <c r="CP338" s="1" t="s">
        <v>209</v>
      </c>
      <c r="CQ338" s="1" t="s">
        <v>210</v>
      </c>
      <c r="CR338" s="1" t="s">
        <v>261</v>
      </c>
      <c r="CS338" s="1" t="s">
        <v>1396</v>
      </c>
      <c r="CT338" s="1" t="s">
        <v>206</v>
      </c>
      <c r="CU338" s="1" t="s">
        <v>207</v>
      </c>
      <c r="CV338" s="1" t="s">
        <v>431</v>
      </c>
      <c r="CW338" s="1" t="s">
        <v>1045</v>
      </c>
      <c r="CX338" s="1" t="s">
        <v>206</v>
      </c>
      <c r="CY338" s="1" t="s">
        <v>210</v>
      </c>
      <c r="CZ338" s="1" t="s">
        <v>431</v>
      </c>
      <c r="DA338" s="1" t="s">
        <v>200</v>
      </c>
      <c r="DC338" s="1" t="s">
        <v>678</v>
      </c>
      <c r="DD338" s="1" t="s">
        <v>396</v>
      </c>
      <c r="DE338" s="1" t="s">
        <v>273</v>
      </c>
      <c r="DF338" s="1" t="s">
        <v>619</v>
      </c>
      <c r="DG338" s="1" t="s">
        <v>482</v>
      </c>
      <c r="DH338" s="1" t="s">
        <v>220</v>
      </c>
      <c r="DI338" s="1" t="s">
        <v>4987</v>
      </c>
      <c r="DJ338" s="1" t="s">
        <v>222</v>
      </c>
      <c r="DL338" s="1" t="s">
        <v>224</v>
      </c>
      <c r="DM338" s="1" t="s">
        <v>338</v>
      </c>
      <c r="DN338" s="1" t="s">
        <v>485</v>
      </c>
      <c r="DO338" s="1" t="s">
        <v>3845</v>
      </c>
      <c r="DP338" s="1" t="s">
        <v>276</v>
      </c>
      <c r="DQ338" s="1" t="s">
        <v>1557</v>
      </c>
      <c r="DR338" s="1" t="s">
        <v>229</v>
      </c>
      <c r="DS338" s="1" t="s">
        <v>230</v>
      </c>
      <c r="DV338" s="1" t="s">
        <v>232</v>
      </c>
      <c r="DW338" s="1" t="s">
        <v>444</v>
      </c>
      <c r="DX338" s="1" t="s">
        <v>234</v>
      </c>
      <c r="DY338" s="1" t="s">
        <v>1051</v>
      </c>
      <c r="DZ338" s="1" t="s">
        <v>2693</v>
      </c>
      <c r="EA338" s="1" t="s">
        <v>1027</v>
      </c>
      <c r="EC338" s="1" t="s">
        <v>237</v>
      </c>
      <c r="ED338" s="1" t="s">
        <v>555</v>
      </c>
      <c r="EF338" s="1" t="s">
        <v>523</v>
      </c>
      <c r="EM338" s="1" t="s">
        <v>238</v>
      </c>
      <c r="EQ338" s="1" t="s">
        <v>238</v>
      </c>
      <c r="EU338" s="1" t="s">
        <v>238</v>
      </c>
      <c r="EY338" s="1" t="s">
        <v>238</v>
      </c>
      <c r="FC338" s="1" t="s">
        <v>238</v>
      </c>
      <c r="FF338" s="1" t="s">
        <v>239</v>
      </c>
      <c r="FG338" s="1" t="s">
        <v>200</v>
      </c>
      <c r="FH338" s="1" t="s">
        <v>192</v>
      </c>
      <c r="FJ338" s="1" t="s">
        <v>2206</v>
      </c>
      <c r="FK338" s="1" t="s">
        <v>229</v>
      </c>
      <c r="FL338" s="1" t="s">
        <v>1877</v>
      </c>
      <c r="FM338" s="1">
        <v>24695.0</v>
      </c>
      <c r="FN338" s="1" t="s">
        <v>1878</v>
      </c>
      <c r="FO338" s="1" t="s">
        <v>4988</v>
      </c>
      <c r="FP338" s="1">
        <v>242820.0</v>
      </c>
      <c r="FS338" s="1" t="s">
        <v>4989</v>
      </c>
      <c r="FU338" s="1" t="s">
        <v>4990</v>
      </c>
      <c r="FV338" s="1" t="s">
        <v>200</v>
      </c>
      <c r="FW338" s="1" t="s">
        <v>2754</v>
      </c>
      <c r="FZ338" s="1" t="s">
        <v>229</v>
      </c>
      <c r="GA338" s="1" t="s">
        <v>291</v>
      </c>
      <c r="GB338" s="2">
        <v>42059.0</v>
      </c>
    </row>
    <row r="339">
      <c r="A339" s="1">
        <v>330000.0</v>
      </c>
      <c r="B339" s="1" t="s">
        <v>185</v>
      </c>
      <c r="C339" s="1" t="str">
        <f>"08771186"</f>
        <v>08771186</v>
      </c>
      <c r="D339" s="1" t="s">
        <v>186</v>
      </c>
      <c r="F339" s="1" t="str">
        <f>"109"</f>
        <v>109</v>
      </c>
      <c r="G339" s="2">
        <v>41950.0</v>
      </c>
      <c r="H339" s="1">
        <v>349800.0</v>
      </c>
      <c r="I339" s="1">
        <v>122.0</v>
      </c>
      <c r="J339" s="1">
        <v>349800.0</v>
      </c>
      <c r="K339" s="2">
        <v>41978.0</v>
      </c>
      <c r="L339" s="1">
        <v>29.0</v>
      </c>
      <c r="M339" s="2">
        <v>41978.0</v>
      </c>
      <c r="N339" s="1" t="s">
        <v>249</v>
      </c>
      <c r="O339" s="2">
        <v>41985.0</v>
      </c>
      <c r="P339" s="1">
        <v>50101.0</v>
      </c>
      <c r="Q339" s="1">
        <v>5366.0</v>
      </c>
      <c r="S339" s="1" t="s">
        <v>4991</v>
      </c>
      <c r="T339" s="1" t="s">
        <v>4992</v>
      </c>
      <c r="U339" s="1" t="s">
        <v>464</v>
      </c>
      <c r="V339" s="1" t="s">
        <v>4992</v>
      </c>
      <c r="W339" s="1">
        <v>60109.0</v>
      </c>
      <c r="Y339" s="1" t="s">
        <v>4993</v>
      </c>
      <c r="Z339" s="1" t="s">
        <v>296</v>
      </c>
      <c r="AA339" s="1" t="s">
        <v>192</v>
      </c>
      <c r="AB339" s="1" t="s">
        <v>193</v>
      </c>
      <c r="AD339" s="1" t="s">
        <v>4384</v>
      </c>
      <c r="AE339" s="1" t="s">
        <v>325</v>
      </c>
      <c r="AF339" s="1" t="s">
        <v>4384</v>
      </c>
      <c r="AG339" s="1" t="s">
        <v>4994</v>
      </c>
      <c r="AH339" s="1" t="s">
        <v>4995</v>
      </c>
      <c r="AI339" s="1">
        <v>2.0</v>
      </c>
      <c r="AK339" s="1">
        <v>8.0</v>
      </c>
      <c r="AL339" s="1">
        <v>4.0</v>
      </c>
      <c r="AM339" s="1">
        <v>3.0</v>
      </c>
      <c r="AN339" s="1">
        <v>0.0</v>
      </c>
      <c r="AO339" s="1" t="s">
        <v>198</v>
      </c>
      <c r="AP339" s="1">
        <v>2.0</v>
      </c>
      <c r="AQ339" s="1" t="s">
        <v>1314</v>
      </c>
      <c r="AR339" s="1" t="s">
        <v>200</v>
      </c>
      <c r="AS339" s="1" t="s">
        <v>199</v>
      </c>
      <c r="AT339" s="1">
        <v>2.0</v>
      </c>
      <c r="AV339" s="1" t="s">
        <v>200</v>
      </c>
      <c r="AW339" s="1">
        <v>10835.46</v>
      </c>
      <c r="AX339" s="1">
        <v>2012.0</v>
      </c>
      <c r="AY339" s="1" t="s">
        <v>387</v>
      </c>
      <c r="AZ339" s="1" t="s">
        <v>200</v>
      </c>
      <c r="BA339" s="1" t="str">
        <f>"0410151017"</f>
        <v>0410151017</v>
      </c>
      <c r="BB339" s="1" t="s">
        <v>200</v>
      </c>
      <c r="BC339" s="1">
        <v>2634.0</v>
      </c>
      <c r="BD339" s="1">
        <v>330000.0</v>
      </c>
      <c r="BE339" s="2">
        <v>41950.0</v>
      </c>
      <c r="BF339" s="2" t="s">
        <v>4996</v>
      </c>
      <c r="BG339" s="1" t="s">
        <v>577</v>
      </c>
      <c r="BH339" s="1">
        <v>0.0</v>
      </c>
      <c r="BI339" s="1" t="s">
        <v>1975</v>
      </c>
      <c r="BJ339" s="1" t="s">
        <v>579</v>
      </c>
      <c r="BK339" s="1" t="s">
        <v>204</v>
      </c>
      <c r="BL339" s="1" t="str">
        <f>"12"</f>
        <v>12</v>
      </c>
      <c r="BM339" s="1" t="str">
        <f>""</f>
        <v/>
      </c>
      <c r="BN339" s="1">
        <v>48.0</v>
      </c>
      <c r="BQ339" s="1">
        <v>301.0</v>
      </c>
      <c r="BR339" s="1">
        <v>301.0</v>
      </c>
      <c r="BS339" s="1">
        <v>301.0</v>
      </c>
      <c r="BU339" s="1" t="s">
        <v>1000</v>
      </c>
      <c r="BV339" s="1" t="s">
        <v>206</v>
      </c>
      <c r="BW339" s="1" t="s">
        <v>207</v>
      </c>
      <c r="BY339" s="1" t="s">
        <v>769</v>
      </c>
      <c r="BZ339" s="1" t="s">
        <v>209</v>
      </c>
      <c r="CA339" s="1" t="s">
        <v>210</v>
      </c>
      <c r="CD339" s="1" t="s">
        <v>204</v>
      </c>
      <c r="CG339" s="1" t="s">
        <v>4997</v>
      </c>
      <c r="CH339" s="1" t="s">
        <v>209</v>
      </c>
      <c r="CI339" s="1" t="s">
        <v>210</v>
      </c>
      <c r="CK339" s="1" t="s">
        <v>495</v>
      </c>
      <c r="CL339" s="1" t="s">
        <v>209</v>
      </c>
      <c r="CM339" s="1" t="s">
        <v>210</v>
      </c>
      <c r="CO339" s="1" t="s">
        <v>3054</v>
      </c>
      <c r="CP339" s="1" t="s">
        <v>206</v>
      </c>
      <c r="CQ339" s="1" t="s">
        <v>210</v>
      </c>
      <c r="CS339" s="1" t="s">
        <v>205</v>
      </c>
      <c r="CT339" s="1" t="s">
        <v>206</v>
      </c>
      <c r="CU339" s="1" t="s">
        <v>207</v>
      </c>
      <c r="CW339" s="1" t="s">
        <v>1953</v>
      </c>
      <c r="CX339" s="1" t="s">
        <v>206</v>
      </c>
      <c r="CY339" s="1" t="s">
        <v>207</v>
      </c>
      <c r="DA339" s="1" t="s">
        <v>200</v>
      </c>
      <c r="DC339" s="1" t="s">
        <v>545</v>
      </c>
      <c r="DD339" s="1" t="s">
        <v>396</v>
      </c>
      <c r="DE339" s="1" t="s">
        <v>273</v>
      </c>
      <c r="DF339" s="1" t="s">
        <v>219</v>
      </c>
      <c r="DH339" s="1" t="s">
        <v>856</v>
      </c>
      <c r="DI339" s="1" t="s">
        <v>4998</v>
      </c>
      <c r="DJ339" s="1" t="s">
        <v>857</v>
      </c>
      <c r="DK339" s="1" t="s">
        <v>1555</v>
      </c>
      <c r="DL339" s="1" t="s">
        <v>4999</v>
      </c>
      <c r="DM339" s="1" t="s">
        <v>338</v>
      </c>
      <c r="DN339" s="1" t="s">
        <v>439</v>
      </c>
      <c r="DO339" s="1" t="s">
        <v>5000</v>
      </c>
      <c r="DP339" s="1" t="s">
        <v>227</v>
      </c>
      <c r="DQ339" s="1" t="s">
        <v>2549</v>
      </c>
      <c r="DR339" s="1" t="s">
        <v>229</v>
      </c>
      <c r="DS339" s="1" t="s">
        <v>230</v>
      </c>
      <c r="DU339" s="1" t="s">
        <v>2070</v>
      </c>
      <c r="DV339" s="1" t="s">
        <v>5001</v>
      </c>
      <c r="DW339" s="1" t="s">
        <v>233</v>
      </c>
      <c r="DX339" s="1" t="s">
        <v>234</v>
      </c>
      <c r="DY339" s="1" t="s">
        <v>1073</v>
      </c>
      <c r="DZ339" s="1" t="s">
        <v>5002</v>
      </c>
      <c r="EA339" s="1" t="s">
        <v>622</v>
      </c>
      <c r="EB339" s="1" t="s">
        <v>937</v>
      </c>
      <c r="EC339" s="1" t="s">
        <v>237</v>
      </c>
      <c r="ED339" s="1" t="s">
        <v>407</v>
      </c>
      <c r="EE339" s="1" t="s">
        <v>187</v>
      </c>
      <c r="EG339" s="1" t="s">
        <v>341</v>
      </c>
      <c r="EH339" s="1" t="s">
        <v>408</v>
      </c>
      <c r="EL339" s="1" t="s">
        <v>479</v>
      </c>
      <c r="EM339" s="1" t="s">
        <v>209</v>
      </c>
      <c r="EN339" s="1" t="s">
        <v>210</v>
      </c>
      <c r="EP339" s="1" t="s">
        <v>647</v>
      </c>
      <c r="EQ339" s="1" t="s">
        <v>206</v>
      </c>
      <c r="ER339" s="1" t="s">
        <v>207</v>
      </c>
      <c r="EU339" s="1" t="s">
        <v>238</v>
      </c>
      <c r="EY339" s="1" t="s">
        <v>238</v>
      </c>
      <c r="FC339" s="1" t="s">
        <v>238</v>
      </c>
      <c r="FF339" s="1" t="s">
        <v>239</v>
      </c>
      <c r="FG339" s="1" t="s">
        <v>192</v>
      </c>
      <c r="FH339" s="1" t="s">
        <v>192</v>
      </c>
      <c r="FJ339" s="1" t="s">
        <v>865</v>
      </c>
      <c r="FK339" s="1" t="s">
        <v>601</v>
      </c>
      <c r="FL339" s="1" t="s">
        <v>5003</v>
      </c>
      <c r="FM339" s="1">
        <v>5366.0</v>
      </c>
      <c r="FN339" s="1" t="s">
        <v>5004</v>
      </c>
      <c r="FO339" s="1" t="s">
        <v>5005</v>
      </c>
      <c r="FP339" s="1">
        <v>50101.0</v>
      </c>
      <c r="FQ339" s="1" t="s">
        <v>5006</v>
      </c>
      <c r="FS339" s="1" t="s">
        <v>5007</v>
      </c>
      <c r="FU339" s="1" t="s">
        <v>1751</v>
      </c>
      <c r="FV339" s="1" t="s">
        <v>200</v>
      </c>
      <c r="FW339" s="1" t="s">
        <v>5008</v>
      </c>
      <c r="FZ339" s="1" t="s">
        <v>229</v>
      </c>
      <c r="GA339" s="1" t="s">
        <v>291</v>
      </c>
      <c r="GB339" s="2">
        <v>41988.0</v>
      </c>
      <c r="GC339" s="1" t="s">
        <v>5009</v>
      </c>
    </row>
    <row r="340">
      <c r="A340" s="1">
        <v>465000.0</v>
      </c>
      <c r="B340" s="1" t="s">
        <v>185</v>
      </c>
      <c r="C340" s="1" t="str">
        <f>"08788246"</f>
        <v>08788246</v>
      </c>
      <c r="D340" s="1" t="s">
        <v>186</v>
      </c>
      <c r="F340" s="1" t="str">
        <f>"8077"</f>
        <v>8077</v>
      </c>
      <c r="G340" s="2">
        <v>41961.0</v>
      </c>
      <c r="H340" s="1">
        <v>465000.0</v>
      </c>
      <c r="I340" s="1">
        <v>4.0</v>
      </c>
      <c r="J340" s="1">
        <v>465000.0</v>
      </c>
      <c r="K340" s="2">
        <v>41964.0</v>
      </c>
      <c r="L340" s="1">
        <v>4.0</v>
      </c>
      <c r="M340" s="2">
        <v>41964.0</v>
      </c>
      <c r="N340" s="1" t="s">
        <v>187</v>
      </c>
      <c r="O340" s="2">
        <v>42013.0</v>
      </c>
      <c r="P340" s="1">
        <v>113690.0</v>
      </c>
      <c r="Q340" s="1">
        <v>10900.0</v>
      </c>
      <c r="S340" s="1">
        <v>1258.0</v>
      </c>
      <c r="T340" s="1" t="s">
        <v>5010</v>
      </c>
      <c r="U340" s="1" t="s">
        <v>189</v>
      </c>
      <c r="V340" s="1" t="s">
        <v>190</v>
      </c>
      <c r="W340" s="1">
        <v>60660.0</v>
      </c>
      <c r="Y340" s="1" t="s">
        <v>5011</v>
      </c>
      <c r="Z340" s="1">
        <v>1908.0</v>
      </c>
      <c r="AA340" s="1" t="s">
        <v>192</v>
      </c>
      <c r="AB340" s="1" t="s">
        <v>193</v>
      </c>
      <c r="AD340" s="1" t="s">
        <v>194</v>
      </c>
      <c r="AE340" s="1" t="s">
        <v>195</v>
      </c>
      <c r="AF340" s="1" t="s">
        <v>534</v>
      </c>
      <c r="AH340" s="1" t="s">
        <v>1501</v>
      </c>
      <c r="AK340" s="1">
        <v>9.0</v>
      </c>
      <c r="AL340" s="1">
        <v>4.0</v>
      </c>
      <c r="AM340" s="1">
        <v>1.0</v>
      </c>
      <c r="AN340" s="1">
        <v>1.0</v>
      </c>
      <c r="AO340" s="1" t="s">
        <v>229</v>
      </c>
      <c r="AP340" s="1">
        <v>1.0</v>
      </c>
      <c r="AQ340" s="1" t="s">
        <v>198</v>
      </c>
      <c r="AR340" s="1" t="s">
        <v>200</v>
      </c>
      <c r="AS340" s="1" t="s">
        <v>828</v>
      </c>
      <c r="AU340" s="1">
        <v>2.0</v>
      </c>
      <c r="AV340" s="1" t="s">
        <v>200</v>
      </c>
      <c r="AW340" s="1">
        <v>6962.0</v>
      </c>
      <c r="AX340" s="1">
        <v>2012.0</v>
      </c>
      <c r="AY340" s="1" t="s">
        <v>229</v>
      </c>
      <c r="AZ340" s="1" t="s">
        <v>200</v>
      </c>
      <c r="BA340" s="1" t="str">
        <f>"14053080420000"</f>
        <v>14053080420000</v>
      </c>
      <c r="BC340" s="1">
        <v>2208.0</v>
      </c>
      <c r="BD340" s="1">
        <v>465000.0</v>
      </c>
      <c r="BE340" s="2">
        <v>41961.0</v>
      </c>
      <c r="BF340" s="2" t="s">
        <v>5012</v>
      </c>
      <c r="BG340" s="1" t="s">
        <v>5013</v>
      </c>
      <c r="BH340" s="1">
        <v>0.0</v>
      </c>
      <c r="BJ340" s="1" t="s">
        <v>4740</v>
      </c>
      <c r="BK340" s="1" t="s">
        <v>204</v>
      </c>
      <c r="BL340" s="1" t="str">
        <f>"5700"</f>
        <v>5700</v>
      </c>
      <c r="BM340" s="1" t="str">
        <f>"0"</f>
        <v>0</v>
      </c>
      <c r="BN340" s="1">
        <v>1258.0</v>
      </c>
      <c r="BO340" s="1">
        <v>0.0</v>
      </c>
      <c r="BQ340" s="1">
        <v>299.0</v>
      </c>
      <c r="BR340" s="1">
        <v>299.0</v>
      </c>
      <c r="BS340" s="1">
        <v>299.0</v>
      </c>
      <c r="BU340" s="1" t="s">
        <v>333</v>
      </c>
      <c r="BV340" s="1" t="s">
        <v>206</v>
      </c>
      <c r="BW340" s="1" t="s">
        <v>207</v>
      </c>
      <c r="BY340" s="1" t="s">
        <v>478</v>
      </c>
      <c r="BZ340" s="1" t="s">
        <v>209</v>
      </c>
      <c r="CA340" s="1" t="s">
        <v>207</v>
      </c>
      <c r="CC340" s="1" t="s">
        <v>616</v>
      </c>
      <c r="CD340" s="1" t="s">
        <v>206</v>
      </c>
      <c r="CE340" s="1" t="s">
        <v>207</v>
      </c>
      <c r="CG340" s="1" t="s">
        <v>363</v>
      </c>
      <c r="CH340" s="1" t="s">
        <v>209</v>
      </c>
      <c r="CI340" s="1" t="s">
        <v>207</v>
      </c>
      <c r="CK340" s="1" t="s">
        <v>264</v>
      </c>
      <c r="CL340" s="1" t="s">
        <v>209</v>
      </c>
      <c r="CM340" s="1" t="s">
        <v>207</v>
      </c>
      <c r="CO340" s="1" t="s">
        <v>363</v>
      </c>
      <c r="CP340" s="1" t="s">
        <v>209</v>
      </c>
      <c r="CQ340" s="1" t="s">
        <v>207</v>
      </c>
      <c r="CS340" s="1" t="s">
        <v>300</v>
      </c>
      <c r="CT340" s="1" t="s">
        <v>206</v>
      </c>
      <c r="CU340" s="1" t="s">
        <v>207</v>
      </c>
      <c r="CW340" s="1" t="s">
        <v>300</v>
      </c>
      <c r="CX340" s="1" t="s">
        <v>206</v>
      </c>
      <c r="DA340" s="1" t="s">
        <v>200</v>
      </c>
      <c r="DC340" s="1" t="s">
        <v>642</v>
      </c>
      <c r="DE340" s="1" t="s">
        <v>229</v>
      </c>
      <c r="DF340" s="1" t="s">
        <v>619</v>
      </c>
      <c r="DG340" s="1" t="s">
        <v>3020</v>
      </c>
      <c r="DH340" s="1" t="s">
        <v>365</v>
      </c>
      <c r="DI340" s="1" t="s">
        <v>2096</v>
      </c>
      <c r="DJ340" s="1" t="s">
        <v>222</v>
      </c>
      <c r="DL340" s="1" t="s">
        <v>223</v>
      </c>
      <c r="DM340" s="1" t="s">
        <v>229</v>
      </c>
      <c r="DN340" s="1" t="s">
        <v>793</v>
      </c>
      <c r="DP340" s="1" t="s">
        <v>340</v>
      </c>
      <c r="DQ340" s="1" t="s">
        <v>228</v>
      </c>
      <c r="DR340" s="1" t="s">
        <v>229</v>
      </c>
      <c r="DV340" s="1" t="s">
        <v>5014</v>
      </c>
      <c r="DW340" s="1" t="s">
        <v>667</v>
      </c>
      <c r="DX340" s="1" t="s">
        <v>5015</v>
      </c>
      <c r="DY340" s="1" t="s">
        <v>704</v>
      </c>
      <c r="DZ340" s="1" t="s">
        <v>4827</v>
      </c>
      <c r="EA340" s="1" t="s">
        <v>3577</v>
      </c>
      <c r="EC340" s="1" t="s">
        <v>237</v>
      </c>
      <c r="EE340" s="1" t="s">
        <v>187</v>
      </c>
      <c r="EF340" s="1" t="s">
        <v>834</v>
      </c>
      <c r="EG340" s="1" t="s">
        <v>494</v>
      </c>
      <c r="EH340" s="1" t="s">
        <v>408</v>
      </c>
      <c r="EL340" s="1" t="s">
        <v>433</v>
      </c>
      <c r="EM340" s="1" t="s">
        <v>209</v>
      </c>
      <c r="EN340" s="1" t="s">
        <v>210</v>
      </c>
      <c r="EP340" s="1" t="s">
        <v>3663</v>
      </c>
      <c r="EQ340" s="1" t="s">
        <v>206</v>
      </c>
      <c r="ER340" s="1" t="s">
        <v>207</v>
      </c>
      <c r="EU340" s="1" t="s">
        <v>238</v>
      </c>
      <c r="EY340" s="1" t="s">
        <v>238</v>
      </c>
      <c r="FC340" s="1" t="s">
        <v>238</v>
      </c>
      <c r="FF340" s="1" t="s">
        <v>239</v>
      </c>
      <c r="FG340" s="1" t="s">
        <v>192</v>
      </c>
      <c r="FH340" s="1" t="s">
        <v>192</v>
      </c>
      <c r="FJ340" s="1" t="s">
        <v>5016</v>
      </c>
      <c r="FK340" s="1" t="s">
        <v>229</v>
      </c>
      <c r="FL340" s="1" t="s">
        <v>456</v>
      </c>
      <c r="FM340" s="1">
        <v>10273.0</v>
      </c>
      <c r="FN340" s="1" t="s">
        <v>2101</v>
      </c>
      <c r="FO340" s="1" t="s">
        <v>5017</v>
      </c>
      <c r="FP340" s="1">
        <v>111699.0</v>
      </c>
      <c r="FQ340" s="1" t="s">
        <v>5018</v>
      </c>
      <c r="FS340" s="1" t="s">
        <v>5019</v>
      </c>
      <c r="FU340" s="1" t="s">
        <v>5020</v>
      </c>
      <c r="FV340" s="1" t="s">
        <v>200</v>
      </c>
      <c r="FW340" s="1" t="s">
        <v>530</v>
      </c>
      <c r="FX340" s="1" t="s">
        <v>246</v>
      </c>
      <c r="FZ340" s="1" t="s">
        <v>229</v>
      </c>
      <c r="GA340" s="1" t="s">
        <v>291</v>
      </c>
      <c r="GB340" s="2">
        <v>42013.0</v>
      </c>
    </row>
    <row r="341">
      <c r="A341" s="1">
        <v>123000.0</v>
      </c>
      <c r="B341" s="1" t="s">
        <v>185</v>
      </c>
      <c r="C341" s="1" t="str">
        <f>"08771861"</f>
        <v>08771861</v>
      </c>
      <c r="D341" s="1" t="s">
        <v>186</v>
      </c>
      <c r="F341" s="1" t="str">
        <f>"8071"</f>
        <v>8071</v>
      </c>
      <c r="G341" s="2">
        <v>41951.0</v>
      </c>
      <c r="H341" s="1">
        <v>119999.0</v>
      </c>
      <c r="I341" s="1">
        <v>12.0</v>
      </c>
      <c r="J341" s="1">
        <v>119999.0</v>
      </c>
      <c r="K341" s="2">
        <v>41962.0</v>
      </c>
      <c r="L341" s="1">
        <v>12.0</v>
      </c>
      <c r="M341" s="2">
        <v>41962.0</v>
      </c>
      <c r="N341" s="1" t="s">
        <v>356</v>
      </c>
      <c r="O341" s="2">
        <v>42069.0</v>
      </c>
      <c r="P341" s="1">
        <v>230614.0</v>
      </c>
      <c r="Q341" s="1">
        <v>51102.0</v>
      </c>
      <c r="S341" s="1">
        <v>8823.0</v>
      </c>
      <c r="T341" s="1" t="s">
        <v>948</v>
      </c>
      <c r="U341" s="1" t="s">
        <v>320</v>
      </c>
      <c r="V341" s="1" t="s">
        <v>190</v>
      </c>
      <c r="W341" s="1">
        <v>60620.0</v>
      </c>
      <c r="Y341" s="1" t="s">
        <v>5021</v>
      </c>
      <c r="Z341" s="1">
        <v>1949.0</v>
      </c>
      <c r="AA341" s="1" t="s">
        <v>192</v>
      </c>
      <c r="AB341" s="1" t="s">
        <v>193</v>
      </c>
      <c r="AD341" s="1" t="s">
        <v>194</v>
      </c>
      <c r="AE341" s="1" t="s">
        <v>195</v>
      </c>
      <c r="AF341" s="1" t="s">
        <v>659</v>
      </c>
      <c r="AH341" s="1" t="s">
        <v>5022</v>
      </c>
      <c r="AI341" s="1">
        <v>0.0717</v>
      </c>
      <c r="AK341" s="1">
        <v>7.0</v>
      </c>
      <c r="AL341" s="1">
        <v>3.0</v>
      </c>
      <c r="AM341" s="1">
        <v>2.0</v>
      </c>
      <c r="AN341" s="1">
        <v>0.0</v>
      </c>
      <c r="AO341" s="1" t="s">
        <v>229</v>
      </c>
      <c r="AQ341" s="1" t="s">
        <v>198</v>
      </c>
      <c r="AR341" s="1" t="s">
        <v>192</v>
      </c>
      <c r="AS341" s="1" t="s">
        <v>199</v>
      </c>
      <c r="AT341" s="1">
        <v>1.0</v>
      </c>
      <c r="AV341" s="1" t="s">
        <v>200</v>
      </c>
      <c r="AW341" s="1">
        <v>1297.38</v>
      </c>
      <c r="AX341" s="1">
        <v>2012.0</v>
      </c>
      <c r="AZ341" s="1" t="s">
        <v>200</v>
      </c>
      <c r="BA341" s="1" t="str">
        <f>"25062120090000"</f>
        <v>25062120090000</v>
      </c>
      <c r="BC341" s="1">
        <v>1251.0</v>
      </c>
      <c r="BD341" s="1">
        <v>123000.0</v>
      </c>
      <c r="BE341" s="2">
        <v>41951.0</v>
      </c>
      <c r="BF341" s="2" t="s">
        <v>5023</v>
      </c>
      <c r="BH341" s="1">
        <v>0.0</v>
      </c>
      <c r="BK341" s="1" t="s">
        <v>204</v>
      </c>
      <c r="BL341" s="1" t="str">
        <f t="shared" ref="BL341:BM341" si="232">"0"</f>
        <v>0</v>
      </c>
      <c r="BM341" s="1" t="str">
        <f t="shared" si="232"/>
        <v>0</v>
      </c>
      <c r="BN341" s="1">
        <v>1700.0</v>
      </c>
      <c r="BO341" s="1">
        <v>8800.0</v>
      </c>
      <c r="BQ341" s="1">
        <v>299.0</v>
      </c>
      <c r="BR341" s="1">
        <v>299.0</v>
      </c>
      <c r="BS341" s="1">
        <v>299.0</v>
      </c>
      <c r="BU341" s="1" t="s">
        <v>1063</v>
      </c>
      <c r="BV341" s="1" t="s">
        <v>206</v>
      </c>
      <c r="BW341" s="1" t="s">
        <v>207</v>
      </c>
      <c r="BY341" s="1" t="s">
        <v>332</v>
      </c>
      <c r="BZ341" s="1" t="s">
        <v>206</v>
      </c>
      <c r="CA341" s="1" t="s">
        <v>207</v>
      </c>
      <c r="CD341" s="1" t="s">
        <v>204</v>
      </c>
      <c r="CG341" s="1" t="s">
        <v>363</v>
      </c>
      <c r="CH341" s="1" t="s">
        <v>206</v>
      </c>
      <c r="CI341" s="1" t="s">
        <v>207</v>
      </c>
      <c r="CK341" s="1" t="s">
        <v>264</v>
      </c>
      <c r="CL341" s="1" t="s">
        <v>206</v>
      </c>
      <c r="CM341" s="1" t="s">
        <v>207</v>
      </c>
      <c r="CO341" s="1" t="s">
        <v>392</v>
      </c>
      <c r="CP341" s="1" t="s">
        <v>42</v>
      </c>
      <c r="CQ341" s="1" t="s">
        <v>268</v>
      </c>
      <c r="CS341" s="1" t="s">
        <v>331</v>
      </c>
      <c r="CT341" s="1" t="s">
        <v>206</v>
      </c>
      <c r="CU341" s="1" t="s">
        <v>268</v>
      </c>
      <c r="CW341" s="1" t="s">
        <v>5024</v>
      </c>
      <c r="CX341" s="1" t="s">
        <v>42</v>
      </c>
      <c r="CY341" s="1" t="s">
        <v>268</v>
      </c>
      <c r="DA341" s="1" t="s">
        <v>200</v>
      </c>
      <c r="DC341" s="1" t="s">
        <v>702</v>
      </c>
      <c r="DD341" s="1" t="s">
        <v>518</v>
      </c>
      <c r="DE341" s="1" t="s">
        <v>273</v>
      </c>
      <c r="DF341" s="1" t="s">
        <v>219</v>
      </c>
      <c r="DG341" s="1" t="s">
        <v>337</v>
      </c>
      <c r="DH341" s="1" t="s">
        <v>307</v>
      </c>
      <c r="DJ341" s="1" t="s">
        <v>222</v>
      </c>
      <c r="DL341" s="1" t="s">
        <v>224</v>
      </c>
      <c r="DM341" s="1" t="s">
        <v>1464</v>
      </c>
      <c r="DQ341" s="1" t="s">
        <v>228</v>
      </c>
      <c r="DR341" s="1" t="s">
        <v>229</v>
      </c>
      <c r="DV341" s="1" t="s">
        <v>232</v>
      </c>
      <c r="DW341" s="1" t="s">
        <v>279</v>
      </c>
      <c r="DX341" s="1" t="s">
        <v>309</v>
      </c>
      <c r="DY341" s="1" t="s">
        <v>553</v>
      </c>
      <c r="DZ341" s="1" t="s">
        <v>282</v>
      </c>
      <c r="EC341" s="1" t="s">
        <v>685</v>
      </c>
      <c r="EE341" s="1" t="s">
        <v>493</v>
      </c>
      <c r="EM341" s="1" t="s">
        <v>238</v>
      </c>
      <c r="EQ341" s="1" t="s">
        <v>238</v>
      </c>
      <c r="EU341" s="1" t="s">
        <v>238</v>
      </c>
      <c r="EY341" s="1" t="s">
        <v>238</v>
      </c>
      <c r="FC341" s="1" t="s">
        <v>238</v>
      </c>
      <c r="FF341" s="1" t="s">
        <v>239</v>
      </c>
      <c r="FG341" s="1" t="s">
        <v>192</v>
      </c>
      <c r="FH341" s="1" t="s">
        <v>192</v>
      </c>
      <c r="FJ341" s="1" t="s">
        <v>524</v>
      </c>
      <c r="FK341" s="1" t="s">
        <v>229</v>
      </c>
      <c r="FL341" s="1" t="s">
        <v>5025</v>
      </c>
      <c r="FM341" s="1">
        <v>51720.0</v>
      </c>
      <c r="FN341" s="1" t="s">
        <v>5026</v>
      </c>
      <c r="FO341" s="1" t="s">
        <v>5027</v>
      </c>
      <c r="FP341" s="1">
        <v>215026.0</v>
      </c>
      <c r="FQ341" s="1" t="s">
        <v>5028</v>
      </c>
      <c r="FU341" s="1" t="s">
        <v>5029</v>
      </c>
      <c r="FV341" s="1" t="s">
        <v>200</v>
      </c>
      <c r="FW341" s="1" t="s">
        <v>290</v>
      </c>
      <c r="FX341" s="1" t="s">
        <v>655</v>
      </c>
      <c r="FZ341" s="1" t="s">
        <v>229</v>
      </c>
      <c r="GA341" s="1" t="s">
        <v>291</v>
      </c>
      <c r="GB341" s="2">
        <v>42071.0</v>
      </c>
      <c r="GC341" s="1" t="s">
        <v>5030</v>
      </c>
    </row>
    <row r="342">
      <c r="A342" s="1">
        <v>276040.0</v>
      </c>
      <c r="B342" s="1" t="s">
        <v>185</v>
      </c>
      <c r="C342" s="1" t="str">
        <f>"08774112"</f>
        <v>08774112</v>
      </c>
      <c r="D342" s="1" t="s">
        <v>186</v>
      </c>
      <c r="F342" s="1" t="str">
        <f>"136"</f>
        <v>136</v>
      </c>
      <c r="G342" s="2">
        <v>41955.0</v>
      </c>
      <c r="H342" s="1">
        <v>269825.0</v>
      </c>
      <c r="I342" s="1">
        <v>90.0</v>
      </c>
      <c r="J342" s="1">
        <v>274900.0</v>
      </c>
      <c r="K342" s="2">
        <v>42044.0</v>
      </c>
      <c r="L342" s="1">
        <v>90.0</v>
      </c>
      <c r="M342" s="2">
        <v>42044.0</v>
      </c>
      <c r="N342" s="1" t="s">
        <v>634</v>
      </c>
      <c r="O342" s="2">
        <v>42080.0</v>
      </c>
      <c r="P342" s="1">
        <v>63412.0</v>
      </c>
      <c r="Q342" s="1">
        <v>6018.0</v>
      </c>
      <c r="S342" s="1">
        <v>288.0</v>
      </c>
      <c r="T342" s="1" t="s">
        <v>5031</v>
      </c>
      <c r="U342" s="1" t="s">
        <v>1442</v>
      </c>
      <c r="V342" s="1" t="s">
        <v>5032</v>
      </c>
      <c r="W342" s="1">
        <v>60136.0</v>
      </c>
      <c r="Y342" s="1" t="s">
        <v>5033</v>
      </c>
      <c r="Z342" s="1">
        <v>2015.0</v>
      </c>
      <c r="AA342" s="1" t="s">
        <v>200</v>
      </c>
      <c r="AB342" s="1" t="s">
        <v>193</v>
      </c>
      <c r="AC342" s="1" t="s">
        <v>5034</v>
      </c>
      <c r="AD342" s="1" t="s">
        <v>5035</v>
      </c>
      <c r="AE342" s="1" t="s">
        <v>325</v>
      </c>
      <c r="AF342" s="1" t="s">
        <v>3429</v>
      </c>
      <c r="AG342" s="1" t="s">
        <v>5036</v>
      </c>
      <c r="AH342" s="1" t="s">
        <v>5037</v>
      </c>
      <c r="AI342" s="1">
        <v>0.19</v>
      </c>
      <c r="AK342" s="1">
        <v>9.0</v>
      </c>
      <c r="AL342" s="1">
        <v>4.0</v>
      </c>
      <c r="AM342" s="1">
        <v>2.0</v>
      </c>
      <c r="AN342" s="1">
        <v>1.0</v>
      </c>
      <c r="AO342" s="1" t="s">
        <v>198</v>
      </c>
      <c r="AQ342" s="1" t="s">
        <v>472</v>
      </c>
      <c r="AR342" s="1" t="s">
        <v>200</v>
      </c>
      <c r="AS342" s="1" t="s">
        <v>199</v>
      </c>
      <c r="AT342" s="1">
        <v>2.0</v>
      </c>
      <c r="AV342" s="1" t="s">
        <v>192</v>
      </c>
      <c r="AW342" s="1">
        <v>0.0</v>
      </c>
      <c r="AX342" s="1">
        <v>2013.0</v>
      </c>
      <c r="AZ342" s="1" t="s">
        <v>200</v>
      </c>
      <c r="BA342" s="1" t="str">
        <f>"0387401000"</f>
        <v>0387401000</v>
      </c>
      <c r="BC342" s="1">
        <v>2062.0</v>
      </c>
      <c r="BD342" s="1">
        <v>276040.0</v>
      </c>
      <c r="BE342" s="2">
        <v>41955.0</v>
      </c>
      <c r="BF342" s="2" t="s">
        <v>5038</v>
      </c>
      <c r="BG342" s="1" t="s">
        <v>5039</v>
      </c>
      <c r="BH342" s="1">
        <v>29.0</v>
      </c>
      <c r="BI342" s="1" t="s">
        <v>5040</v>
      </c>
      <c r="BJ342" s="1" t="s">
        <v>1182</v>
      </c>
      <c r="BK342" s="1" t="s">
        <v>474</v>
      </c>
      <c r="BL342" s="1" t="str">
        <f t="shared" ref="BL342:BM342" si="233">""</f>
        <v/>
      </c>
      <c r="BM342" s="1" t="str">
        <f t="shared" si="233"/>
        <v/>
      </c>
      <c r="BQ342" s="1">
        <v>300.0</v>
      </c>
      <c r="BR342" s="1">
        <v>300.0</v>
      </c>
      <c r="BS342" s="1">
        <v>300.0</v>
      </c>
      <c r="BU342" s="1" t="s">
        <v>303</v>
      </c>
      <c r="BV342" s="1" t="s">
        <v>206</v>
      </c>
      <c r="BW342" s="1" t="s">
        <v>210</v>
      </c>
      <c r="BY342" s="1" t="s">
        <v>361</v>
      </c>
      <c r="BZ342" s="1" t="s">
        <v>209</v>
      </c>
      <c r="CA342" s="1" t="s">
        <v>210</v>
      </c>
      <c r="CC342" s="1" t="s">
        <v>663</v>
      </c>
      <c r="CD342" s="1" t="s">
        <v>206</v>
      </c>
      <c r="CE342" s="1" t="s">
        <v>210</v>
      </c>
      <c r="CG342" s="1" t="s">
        <v>303</v>
      </c>
      <c r="CH342" s="1" t="s">
        <v>209</v>
      </c>
      <c r="CI342" s="1" t="s">
        <v>210</v>
      </c>
      <c r="CK342" s="1" t="s">
        <v>303</v>
      </c>
      <c r="CL342" s="1" t="s">
        <v>209</v>
      </c>
      <c r="CM342" s="1" t="s">
        <v>210</v>
      </c>
      <c r="CO342" s="1" t="s">
        <v>303</v>
      </c>
      <c r="CP342" s="1" t="s">
        <v>209</v>
      </c>
      <c r="CQ342" s="1" t="s">
        <v>210</v>
      </c>
      <c r="CS342" s="1" t="s">
        <v>1316</v>
      </c>
      <c r="CT342" s="1" t="s">
        <v>206</v>
      </c>
      <c r="CU342" s="1" t="s">
        <v>207</v>
      </c>
      <c r="CW342" s="1" t="s">
        <v>830</v>
      </c>
      <c r="CX342" s="1" t="s">
        <v>206</v>
      </c>
      <c r="CY342" s="1" t="s">
        <v>210</v>
      </c>
      <c r="DA342" s="1" t="s">
        <v>192</v>
      </c>
      <c r="DB342" s="2">
        <v>42005.0</v>
      </c>
      <c r="DC342" s="1" t="s">
        <v>1353</v>
      </c>
      <c r="DD342" s="1" t="s">
        <v>336</v>
      </c>
      <c r="DE342" s="1" t="s">
        <v>2851</v>
      </c>
      <c r="DF342" s="1" t="s">
        <v>219</v>
      </c>
      <c r="DG342" s="1" t="s">
        <v>1020</v>
      </c>
      <c r="DH342" s="1" t="s">
        <v>220</v>
      </c>
      <c r="DI342" s="1" t="s">
        <v>589</v>
      </c>
      <c r="DJ342" s="1" t="s">
        <v>222</v>
      </c>
      <c r="DL342" s="1" t="s">
        <v>223</v>
      </c>
      <c r="DM342" s="1" t="s">
        <v>1022</v>
      </c>
      <c r="DN342" s="1" t="s">
        <v>339</v>
      </c>
      <c r="DO342" s="1" t="s">
        <v>5041</v>
      </c>
      <c r="DP342" s="1" t="s">
        <v>340</v>
      </c>
      <c r="DQ342" s="1" t="s">
        <v>228</v>
      </c>
      <c r="DR342" s="1" t="s">
        <v>588</v>
      </c>
      <c r="DS342" s="1" t="s">
        <v>230</v>
      </c>
      <c r="DU342" s="1" t="s">
        <v>550</v>
      </c>
      <c r="DV342" s="1" t="s">
        <v>556</v>
      </c>
      <c r="DW342" s="1" t="s">
        <v>444</v>
      </c>
      <c r="DX342" s="1" t="s">
        <v>234</v>
      </c>
      <c r="DY342" s="1" t="s">
        <v>235</v>
      </c>
      <c r="DZ342" s="1" t="s">
        <v>236</v>
      </c>
      <c r="EA342" s="1" t="s">
        <v>1027</v>
      </c>
      <c r="EC342" s="1" t="s">
        <v>237</v>
      </c>
      <c r="EG342" s="1" t="s">
        <v>556</v>
      </c>
      <c r="EL342" s="1" t="s">
        <v>1904</v>
      </c>
      <c r="EM342" s="1" t="s">
        <v>206</v>
      </c>
      <c r="EN342" s="1" t="s">
        <v>207</v>
      </c>
      <c r="EQ342" s="1" t="s">
        <v>238</v>
      </c>
      <c r="EU342" s="1" t="s">
        <v>238</v>
      </c>
      <c r="EY342" s="1" t="s">
        <v>238</v>
      </c>
      <c r="FC342" s="1" t="s">
        <v>238</v>
      </c>
      <c r="FF342" s="1" t="s">
        <v>239</v>
      </c>
      <c r="FG342" s="1" t="s">
        <v>192</v>
      </c>
      <c r="FH342" s="1" t="s">
        <v>192</v>
      </c>
      <c r="FJ342" s="1" t="s">
        <v>5042</v>
      </c>
      <c r="FK342" s="1" t="s">
        <v>229</v>
      </c>
      <c r="FL342" s="1" t="s">
        <v>1031</v>
      </c>
      <c r="FM342" s="1">
        <v>222.0</v>
      </c>
      <c r="FN342" s="1" t="s">
        <v>1032</v>
      </c>
      <c r="FO342" s="1" t="s">
        <v>1033</v>
      </c>
      <c r="FP342" s="1">
        <v>1305.0</v>
      </c>
      <c r="FQ342" s="1" t="s">
        <v>1034</v>
      </c>
      <c r="FR342" s="1">
        <v>70398.0</v>
      </c>
      <c r="FT342" s="1" t="s">
        <v>5043</v>
      </c>
      <c r="FU342" s="1" t="s">
        <v>5044</v>
      </c>
      <c r="FV342" s="1" t="s">
        <v>200</v>
      </c>
      <c r="FW342" s="1" t="s">
        <v>1037</v>
      </c>
      <c r="FZ342" s="1" t="s">
        <v>229</v>
      </c>
      <c r="GA342" s="1" t="s">
        <v>291</v>
      </c>
      <c r="GB342" s="2">
        <v>42083.0</v>
      </c>
      <c r="GC342" s="1" t="s">
        <v>5045</v>
      </c>
    </row>
    <row r="343">
      <c r="A343" s="1">
        <v>43200.0</v>
      </c>
      <c r="B343" s="1" t="s">
        <v>185</v>
      </c>
      <c r="C343" s="1" t="str">
        <f>"08771625"</f>
        <v>08771625</v>
      </c>
      <c r="D343" s="1" t="s">
        <v>186</v>
      </c>
      <c r="F343" s="1" t="str">
        <f>"123"</f>
        <v>123</v>
      </c>
      <c r="G343" s="2">
        <v>41950.0</v>
      </c>
      <c r="H343" s="1">
        <v>45580.0</v>
      </c>
      <c r="I343" s="1">
        <v>25.0</v>
      </c>
      <c r="J343" s="1">
        <v>45580.0</v>
      </c>
      <c r="K343" s="2">
        <v>41974.0</v>
      </c>
      <c r="L343" s="1">
        <v>25.0</v>
      </c>
      <c r="M343" s="2">
        <v>41974.0</v>
      </c>
      <c r="N343" s="1" t="s">
        <v>249</v>
      </c>
      <c r="O343" s="2">
        <v>42034.0</v>
      </c>
      <c r="P343" s="1">
        <v>55592.0</v>
      </c>
      <c r="Q343" s="1">
        <v>5293.0</v>
      </c>
      <c r="S343" s="1">
        <v>435.0</v>
      </c>
      <c r="T343" s="1" t="s">
        <v>5046</v>
      </c>
      <c r="U343" s="1" t="s">
        <v>1442</v>
      </c>
      <c r="V343" s="1" t="s">
        <v>465</v>
      </c>
      <c r="W343" s="1">
        <v>60120.0</v>
      </c>
      <c r="Y343" s="1" t="s">
        <v>5047</v>
      </c>
      <c r="Z343" s="1" t="s">
        <v>296</v>
      </c>
      <c r="AA343" s="1" t="s">
        <v>192</v>
      </c>
      <c r="AB343" s="1" t="s">
        <v>193</v>
      </c>
      <c r="AD343" s="1" t="s">
        <v>469</v>
      </c>
      <c r="AE343" s="1" t="s">
        <v>325</v>
      </c>
      <c r="AF343" s="1" t="s">
        <v>469</v>
      </c>
      <c r="AH343" s="1" t="s">
        <v>5048</v>
      </c>
      <c r="AI343" s="1">
        <v>0.0</v>
      </c>
      <c r="AK343" s="1">
        <v>7.0</v>
      </c>
      <c r="AL343" s="1">
        <v>4.0</v>
      </c>
      <c r="AM343" s="1">
        <v>1.0</v>
      </c>
      <c r="AN343" s="1">
        <v>0.0</v>
      </c>
      <c r="AO343" s="1" t="s">
        <v>229</v>
      </c>
      <c r="AP343" s="1">
        <v>0.0</v>
      </c>
      <c r="AQ343" s="1" t="s">
        <v>198</v>
      </c>
      <c r="AR343" s="1" t="s">
        <v>200</v>
      </c>
      <c r="AS343" s="1" t="s">
        <v>199</v>
      </c>
      <c r="AT343" s="1">
        <v>1.0</v>
      </c>
      <c r="AV343" s="1" t="s">
        <v>200</v>
      </c>
      <c r="AW343" s="1">
        <v>3607.0</v>
      </c>
      <c r="AX343" s="1">
        <v>2013.0</v>
      </c>
      <c r="AY343" s="1" t="s">
        <v>229</v>
      </c>
      <c r="AZ343" s="1" t="s">
        <v>200</v>
      </c>
      <c r="BA343" s="1" t="str">
        <f>"0613132009"</f>
        <v>0613132009</v>
      </c>
      <c r="BB343" s="1" t="s">
        <v>200</v>
      </c>
      <c r="BC343" s="1">
        <v>0.0</v>
      </c>
      <c r="BD343" s="1">
        <v>43200.0</v>
      </c>
      <c r="BE343" s="2">
        <v>41950.0</v>
      </c>
      <c r="BF343" s="2" t="s">
        <v>5049</v>
      </c>
      <c r="BH343" s="1">
        <v>0.0</v>
      </c>
      <c r="BK343" s="1" t="s">
        <v>204</v>
      </c>
      <c r="BL343" s="1" t="str">
        <f>"11"</f>
        <v>11</v>
      </c>
      <c r="BM343" s="1" t="str">
        <f>"0"</f>
        <v>0</v>
      </c>
      <c r="BN343" s="1">
        <v>33.0</v>
      </c>
      <c r="BO343" s="1">
        <v>0.0</v>
      </c>
      <c r="BQ343" s="1">
        <v>46.0</v>
      </c>
      <c r="BR343" s="1">
        <v>46.0</v>
      </c>
      <c r="BS343" s="1">
        <v>46.0</v>
      </c>
      <c r="BU343" s="1" t="s">
        <v>332</v>
      </c>
      <c r="BV343" s="1" t="s">
        <v>206</v>
      </c>
      <c r="BW343" s="1" t="s">
        <v>617</v>
      </c>
      <c r="BY343" s="1" t="s">
        <v>262</v>
      </c>
      <c r="BZ343" s="1" t="s">
        <v>209</v>
      </c>
      <c r="CA343" s="1" t="s">
        <v>210</v>
      </c>
      <c r="CD343" s="1" t="s">
        <v>204</v>
      </c>
      <c r="CG343" s="1" t="s">
        <v>814</v>
      </c>
      <c r="CH343" s="1" t="s">
        <v>209</v>
      </c>
      <c r="CI343" s="1" t="s">
        <v>210</v>
      </c>
      <c r="CK343" s="1" t="s">
        <v>4975</v>
      </c>
      <c r="CL343" s="1" t="s">
        <v>209</v>
      </c>
      <c r="CM343" s="1" t="s">
        <v>210</v>
      </c>
      <c r="CO343" s="1" t="s">
        <v>584</v>
      </c>
      <c r="CP343" s="1" t="s">
        <v>206</v>
      </c>
      <c r="CQ343" s="1" t="s">
        <v>207</v>
      </c>
      <c r="CS343" s="1" t="s">
        <v>433</v>
      </c>
      <c r="CT343" s="1" t="s">
        <v>206</v>
      </c>
      <c r="CU343" s="1" t="s">
        <v>617</v>
      </c>
      <c r="CX343" s="1" t="s">
        <v>204</v>
      </c>
      <c r="DA343" s="1" t="s">
        <v>200</v>
      </c>
      <c r="DC343" s="1" t="s">
        <v>545</v>
      </c>
      <c r="DD343" s="1" t="s">
        <v>518</v>
      </c>
      <c r="DE343" s="1" t="s">
        <v>273</v>
      </c>
      <c r="DF343" s="1" t="s">
        <v>219</v>
      </c>
      <c r="DG343" s="1" t="s">
        <v>4682</v>
      </c>
      <c r="DH343" s="1" t="s">
        <v>220</v>
      </c>
      <c r="DI343" s="1" t="s">
        <v>789</v>
      </c>
      <c r="DJ343" s="1" t="s">
        <v>222</v>
      </c>
      <c r="DL343" s="1" t="s">
        <v>223</v>
      </c>
      <c r="DM343" s="1" t="s">
        <v>229</v>
      </c>
      <c r="DQ343" s="1" t="s">
        <v>228</v>
      </c>
      <c r="DR343" s="1" t="s">
        <v>229</v>
      </c>
      <c r="DV343" s="1" t="s">
        <v>494</v>
      </c>
      <c r="DW343" s="1" t="s">
        <v>891</v>
      </c>
      <c r="DX343" s="1" t="s">
        <v>234</v>
      </c>
      <c r="EA343" s="1" t="s">
        <v>344</v>
      </c>
      <c r="EC343" s="1" t="s">
        <v>237</v>
      </c>
      <c r="EE343" s="1" t="s">
        <v>187</v>
      </c>
      <c r="EG343" s="1" t="s">
        <v>494</v>
      </c>
      <c r="EL343" s="1" t="s">
        <v>3023</v>
      </c>
      <c r="EM343" s="1" t="s">
        <v>206</v>
      </c>
      <c r="EN343" s="1" t="s">
        <v>210</v>
      </c>
      <c r="EQ343" s="1" t="s">
        <v>238</v>
      </c>
      <c r="EU343" s="1" t="s">
        <v>238</v>
      </c>
      <c r="EY343" s="1" t="s">
        <v>238</v>
      </c>
      <c r="FC343" s="1" t="s">
        <v>238</v>
      </c>
      <c r="FF343" s="1" t="s">
        <v>239</v>
      </c>
      <c r="FG343" s="1" t="s">
        <v>192</v>
      </c>
      <c r="FH343" s="1" t="s">
        <v>192</v>
      </c>
      <c r="FJ343" s="1" t="s">
        <v>524</v>
      </c>
      <c r="FK343" s="1" t="s">
        <v>229</v>
      </c>
      <c r="FL343" s="1" t="s">
        <v>4954</v>
      </c>
      <c r="FM343" s="1">
        <v>24093.0</v>
      </c>
      <c r="FN343" s="1" t="s">
        <v>3335</v>
      </c>
      <c r="FO343" s="1" t="s">
        <v>4955</v>
      </c>
      <c r="FP343" s="1">
        <v>256428.0</v>
      </c>
      <c r="FQ343" s="1" t="s">
        <v>4956</v>
      </c>
      <c r="FS343" s="1" t="s">
        <v>5050</v>
      </c>
      <c r="FU343" s="1" t="s">
        <v>5051</v>
      </c>
      <c r="FV343" s="1" t="s">
        <v>200</v>
      </c>
      <c r="FW343" s="1" t="s">
        <v>4959</v>
      </c>
      <c r="FX343" s="1" t="s">
        <v>246</v>
      </c>
      <c r="FZ343" s="1" t="s">
        <v>229</v>
      </c>
      <c r="GA343" s="1" t="s">
        <v>291</v>
      </c>
      <c r="GB343" s="2">
        <v>42034.0</v>
      </c>
      <c r="GC343" s="1" t="s">
        <v>5052</v>
      </c>
    </row>
    <row r="344">
      <c r="A344" s="1">
        <v>165000.0</v>
      </c>
      <c r="B344" s="1" t="s">
        <v>185</v>
      </c>
      <c r="C344" s="1" t="str">
        <f>"08773468"</f>
        <v>08773468</v>
      </c>
      <c r="D344" s="1" t="s">
        <v>186</v>
      </c>
      <c r="F344" s="1" t="str">
        <f>"8074"</f>
        <v>8074</v>
      </c>
      <c r="G344" s="2">
        <v>41954.0</v>
      </c>
      <c r="H344" s="1">
        <v>184900.0</v>
      </c>
      <c r="I344" s="1">
        <v>43.0</v>
      </c>
      <c r="J344" s="1">
        <v>174900.0</v>
      </c>
      <c r="K344" s="2">
        <v>41995.0</v>
      </c>
      <c r="L344" s="1">
        <v>43.0</v>
      </c>
      <c r="M344" s="2">
        <v>41995.0</v>
      </c>
      <c r="N344" s="1" t="s">
        <v>187</v>
      </c>
      <c r="O344" s="2">
        <v>42054.0</v>
      </c>
      <c r="P344" s="1">
        <v>26155.0</v>
      </c>
      <c r="Q344" s="1">
        <v>25528.0</v>
      </c>
      <c r="S344" s="1">
        <v>3910.0</v>
      </c>
      <c r="T344" s="1" t="s">
        <v>5053</v>
      </c>
      <c r="U344" s="1" t="s">
        <v>320</v>
      </c>
      <c r="V344" s="1" t="s">
        <v>190</v>
      </c>
      <c r="W344" s="1">
        <v>60655.0</v>
      </c>
      <c r="Y344" s="1" t="s">
        <v>5054</v>
      </c>
      <c r="Z344" s="1">
        <v>1952.0</v>
      </c>
      <c r="AA344" s="1" t="s">
        <v>192</v>
      </c>
      <c r="AB344" s="1" t="s">
        <v>193</v>
      </c>
      <c r="AD344" s="1" t="s">
        <v>194</v>
      </c>
      <c r="AE344" s="1" t="s">
        <v>195</v>
      </c>
      <c r="AF344" s="1" t="s">
        <v>659</v>
      </c>
      <c r="AG344" s="1" t="s">
        <v>874</v>
      </c>
      <c r="AH344" s="1" t="s">
        <v>5055</v>
      </c>
      <c r="AI344" s="1">
        <v>0.1062</v>
      </c>
      <c r="AK344" s="1">
        <v>8.0</v>
      </c>
      <c r="AL344" s="1">
        <v>3.0</v>
      </c>
      <c r="AM344" s="1">
        <v>1.0</v>
      </c>
      <c r="AN344" s="1">
        <v>1.0</v>
      </c>
      <c r="AO344" s="1" t="s">
        <v>229</v>
      </c>
      <c r="AQ344" s="1" t="s">
        <v>198</v>
      </c>
      <c r="AR344" s="1" t="s">
        <v>200</v>
      </c>
      <c r="AS344" s="1" t="s">
        <v>199</v>
      </c>
      <c r="AT344" s="1">
        <v>2.0</v>
      </c>
      <c r="AV344" s="1" t="s">
        <v>200</v>
      </c>
      <c r="AW344" s="1">
        <v>662.41</v>
      </c>
      <c r="AX344" s="1">
        <v>2012.0</v>
      </c>
      <c r="AY344" s="1" t="s">
        <v>1917</v>
      </c>
      <c r="AZ344" s="1" t="s">
        <v>200</v>
      </c>
      <c r="BA344" s="1" t="str">
        <f>"24143010350000"</f>
        <v>24143010350000</v>
      </c>
      <c r="BB344" s="1" t="s">
        <v>200</v>
      </c>
      <c r="BC344" s="1">
        <v>1311.0</v>
      </c>
      <c r="BD344" s="1">
        <v>165000.0</v>
      </c>
      <c r="BE344" s="2">
        <v>41953.0</v>
      </c>
      <c r="BF344" s="2" t="s">
        <v>5056</v>
      </c>
      <c r="BH344" s="1">
        <v>0.0</v>
      </c>
      <c r="BK344" s="1" t="s">
        <v>204</v>
      </c>
      <c r="BL344" s="1" t="str">
        <f t="shared" ref="BL344:BM344" si="234">"0"</f>
        <v>0</v>
      </c>
      <c r="BM344" s="1" t="str">
        <f t="shared" si="234"/>
        <v>0</v>
      </c>
      <c r="BN344" s="1">
        <v>3910.0</v>
      </c>
      <c r="BO344" s="1">
        <v>10900.0</v>
      </c>
      <c r="BQ344" s="1">
        <v>299.0</v>
      </c>
      <c r="BR344" s="1">
        <v>299.0</v>
      </c>
      <c r="BS344" s="1">
        <v>299.0</v>
      </c>
      <c r="BU344" s="1" t="s">
        <v>270</v>
      </c>
      <c r="BV344" s="1" t="s">
        <v>206</v>
      </c>
      <c r="BW344" s="1" t="s">
        <v>210</v>
      </c>
      <c r="BX344" s="1" t="s">
        <v>229</v>
      </c>
      <c r="BY344" s="1" t="s">
        <v>302</v>
      </c>
      <c r="BZ344" s="1" t="s">
        <v>206</v>
      </c>
      <c r="CA344" s="1" t="s">
        <v>210</v>
      </c>
      <c r="CB344" s="1" t="s">
        <v>229</v>
      </c>
      <c r="CC344" s="1" t="s">
        <v>303</v>
      </c>
      <c r="CD344" s="1" t="s">
        <v>206</v>
      </c>
      <c r="CE344" s="1" t="s">
        <v>210</v>
      </c>
      <c r="CF344" s="1" t="s">
        <v>229</v>
      </c>
      <c r="CG344" s="1" t="s">
        <v>303</v>
      </c>
      <c r="CH344" s="1" t="s">
        <v>206</v>
      </c>
      <c r="CI344" s="1" t="s">
        <v>210</v>
      </c>
      <c r="CJ344" s="1" t="s">
        <v>229</v>
      </c>
      <c r="CK344" s="1" t="s">
        <v>269</v>
      </c>
      <c r="CL344" s="1" t="s">
        <v>206</v>
      </c>
      <c r="CM344" s="1" t="s">
        <v>210</v>
      </c>
      <c r="CN344" s="1" t="s">
        <v>229</v>
      </c>
      <c r="CO344" s="1" t="s">
        <v>1068</v>
      </c>
      <c r="CP344" s="1" t="s">
        <v>42</v>
      </c>
      <c r="CQ344" s="1" t="s">
        <v>210</v>
      </c>
      <c r="CR344" s="1" t="s">
        <v>229</v>
      </c>
      <c r="CS344" s="1" t="s">
        <v>303</v>
      </c>
      <c r="CT344" s="1" t="s">
        <v>206</v>
      </c>
      <c r="CU344" s="1" t="s">
        <v>617</v>
      </c>
      <c r="CV344" s="1" t="s">
        <v>229</v>
      </c>
      <c r="CX344" s="1" t="s">
        <v>204</v>
      </c>
      <c r="DA344" s="1" t="s">
        <v>200</v>
      </c>
      <c r="DC344" s="1" t="s">
        <v>702</v>
      </c>
      <c r="DE344" s="1" t="s">
        <v>273</v>
      </c>
      <c r="DF344" s="1" t="s">
        <v>219</v>
      </c>
      <c r="DG344" s="1" t="s">
        <v>337</v>
      </c>
      <c r="DH344" s="1" t="s">
        <v>365</v>
      </c>
      <c r="DI344" s="1" t="s">
        <v>831</v>
      </c>
      <c r="DJ344" s="1" t="s">
        <v>222</v>
      </c>
      <c r="DL344" s="1" t="s">
        <v>858</v>
      </c>
      <c r="DM344" s="1" t="s">
        <v>229</v>
      </c>
      <c r="DP344" s="1" t="s">
        <v>340</v>
      </c>
      <c r="DQ344" s="1" t="s">
        <v>228</v>
      </c>
      <c r="DR344" s="1" t="s">
        <v>229</v>
      </c>
      <c r="DV344" s="1" t="s">
        <v>1729</v>
      </c>
      <c r="DW344" s="1" t="s">
        <v>279</v>
      </c>
      <c r="DX344" s="1" t="s">
        <v>234</v>
      </c>
      <c r="EA344" s="1" t="s">
        <v>683</v>
      </c>
      <c r="EC344" s="1" t="s">
        <v>685</v>
      </c>
      <c r="ED344" s="1" t="s">
        <v>1761</v>
      </c>
      <c r="EE344" s="1" t="s">
        <v>1960</v>
      </c>
      <c r="EG344" s="1" t="s">
        <v>1729</v>
      </c>
      <c r="EL344" s="1" t="s">
        <v>1064</v>
      </c>
      <c r="EM344" s="1" t="s">
        <v>206</v>
      </c>
      <c r="EN344" s="1" t="s">
        <v>210</v>
      </c>
      <c r="EO344" s="1" t="s">
        <v>229</v>
      </c>
      <c r="EQ344" s="1" t="s">
        <v>238</v>
      </c>
      <c r="EU344" s="1" t="s">
        <v>238</v>
      </c>
      <c r="EY344" s="1" t="s">
        <v>238</v>
      </c>
      <c r="FC344" s="1" t="s">
        <v>238</v>
      </c>
      <c r="FF344" s="1" t="s">
        <v>239</v>
      </c>
      <c r="FG344" s="1" t="s">
        <v>192</v>
      </c>
      <c r="FH344" s="1" t="s">
        <v>192</v>
      </c>
      <c r="FJ344" s="1" t="s">
        <v>4040</v>
      </c>
      <c r="FK344" s="1" t="s">
        <v>348</v>
      </c>
      <c r="FL344" s="1" t="s">
        <v>5057</v>
      </c>
      <c r="FM344" s="1">
        <v>24274.0</v>
      </c>
      <c r="FN344" s="1" t="s">
        <v>5058</v>
      </c>
      <c r="FO344" s="1" t="s">
        <v>5059</v>
      </c>
      <c r="FP344" s="1">
        <v>606991.0</v>
      </c>
      <c r="FQ344" s="1" t="s">
        <v>5060</v>
      </c>
      <c r="FT344" s="1" t="s">
        <v>5061</v>
      </c>
      <c r="FU344" s="1" t="s">
        <v>5062</v>
      </c>
      <c r="FV344" s="1" t="s">
        <v>200</v>
      </c>
      <c r="FW344" s="1" t="s">
        <v>567</v>
      </c>
      <c r="FX344" s="1" t="s">
        <v>246</v>
      </c>
      <c r="FZ344" s="1" t="s">
        <v>229</v>
      </c>
      <c r="GA344" s="1" t="s">
        <v>291</v>
      </c>
      <c r="GB344" s="2">
        <v>42056.0</v>
      </c>
      <c r="GC344" s="1" t="s">
        <v>5063</v>
      </c>
    </row>
    <row r="345">
      <c r="A345" s="1">
        <v>449000.0</v>
      </c>
      <c r="B345" s="1" t="s">
        <v>185</v>
      </c>
      <c r="C345" s="1" t="str">
        <f>"08788033"</f>
        <v>08788033</v>
      </c>
      <c r="D345" s="1" t="s">
        <v>186</v>
      </c>
      <c r="F345" s="1" t="str">
        <f>"8028"</f>
        <v>8028</v>
      </c>
      <c r="G345" s="2">
        <v>41960.0</v>
      </c>
      <c r="H345" s="1">
        <v>449000.0</v>
      </c>
      <c r="I345" s="1">
        <v>281.0</v>
      </c>
      <c r="J345" s="1">
        <v>449000.0</v>
      </c>
      <c r="K345" s="2">
        <v>42025.0</v>
      </c>
      <c r="L345" s="1">
        <v>66.0</v>
      </c>
      <c r="M345" s="2">
        <v>42025.0</v>
      </c>
      <c r="N345" s="1" t="s">
        <v>187</v>
      </c>
      <c r="O345" s="2">
        <v>42072.0</v>
      </c>
      <c r="P345" s="1">
        <v>100062.0</v>
      </c>
      <c r="Q345" s="1">
        <v>17033.0</v>
      </c>
      <c r="S345" s="1">
        <v>2547.0</v>
      </c>
      <c r="T345" s="1" t="s">
        <v>5064</v>
      </c>
      <c r="U345" s="1" t="s">
        <v>1442</v>
      </c>
      <c r="V345" s="1" t="s">
        <v>190</v>
      </c>
      <c r="W345" s="1">
        <v>60612.0</v>
      </c>
      <c r="Y345" s="1" t="s">
        <v>5065</v>
      </c>
      <c r="Z345" s="1">
        <v>2014.0</v>
      </c>
      <c r="AA345" s="1" t="s">
        <v>200</v>
      </c>
      <c r="AB345" s="1" t="s">
        <v>193</v>
      </c>
      <c r="AD345" s="1" t="s">
        <v>194</v>
      </c>
      <c r="AE345" s="1" t="s">
        <v>195</v>
      </c>
      <c r="AF345" s="1" t="s">
        <v>827</v>
      </c>
      <c r="AH345" s="1" t="s">
        <v>5066</v>
      </c>
      <c r="AI345" s="1">
        <v>0.1377</v>
      </c>
      <c r="AK345" s="1">
        <v>9.0</v>
      </c>
      <c r="AL345" s="1">
        <v>4.0</v>
      </c>
      <c r="AM345" s="1">
        <v>3.0</v>
      </c>
      <c r="AN345" s="1">
        <v>1.0</v>
      </c>
      <c r="AO345" s="1" t="s">
        <v>198</v>
      </c>
      <c r="AQ345" s="1" t="s">
        <v>472</v>
      </c>
      <c r="AR345" s="1" t="s">
        <v>192</v>
      </c>
      <c r="AS345" s="1" t="s">
        <v>199</v>
      </c>
      <c r="AT345" s="1">
        <v>2.0</v>
      </c>
      <c r="AV345" s="1" t="s">
        <v>200</v>
      </c>
      <c r="AW345" s="1" t="s">
        <v>575</v>
      </c>
      <c r="AX345" s="1">
        <v>2013.0</v>
      </c>
      <c r="AZ345" s="1" t="s">
        <v>200</v>
      </c>
      <c r="BA345" s="1" t="str">
        <f>"16124230130000"</f>
        <v>16124230130000</v>
      </c>
      <c r="BC345" s="1">
        <v>2700.0</v>
      </c>
      <c r="BD345" s="1">
        <v>449000.0</v>
      </c>
      <c r="BE345" s="2">
        <v>41960.0</v>
      </c>
      <c r="BF345" s="2" t="s">
        <v>5067</v>
      </c>
      <c r="BH345" s="1">
        <v>0.0</v>
      </c>
      <c r="BK345" s="1" t="s">
        <v>204</v>
      </c>
      <c r="BL345" s="1" t="str">
        <f>"100"</f>
        <v>100</v>
      </c>
      <c r="BM345" s="1" t="str">
        <f>"0"</f>
        <v>0</v>
      </c>
      <c r="BN345" s="1">
        <v>2547.0</v>
      </c>
      <c r="BO345" s="1">
        <v>0.0</v>
      </c>
      <c r="BQ345" s="1">
        <v>299.0</v>
      </c>
      <c r="BR345" s="1">
        <v>299.0</v>
      </c>
      <c r="BS345" s="1">
        <v>299.0</v>
      </c>
      <c r="BU345" s="1" t="s">
        <v>3307</v>
      </c>
      <c r="BV345" s="1" t="s">
        <v>206</v>
      </c>
      <c r="BW345" s="1" t="s">
        <v>207</v>
      </c>
      <c r="BY345" s="1" t="s">
        <v>329</v>
      </c>
      <c r="BZ345" s="1" t="s">
        <v>209</v>
      </c>
      <c r="CA345" s="1" t="s">
        <v>210</v>
      </c>
      <c r="CC345" s="1" t="s">
        <v>542</v>
      </c>
      <c r="CD345" s="1" t="s">
        <v>206</v>
      </c>
      <c r="CE345" s="1" t="s">
        <v>207</v>
      </c>
      <c r="CG345" s="1" t="s">
        <v>303</v>
      </c>
      <c r="CH345" s="1" t="s">
        <v>209</v>
      </c>
      <c r="CI345" s="1" t="s">
        <v>210</v>
      </c>
      <c r="CK345" s="1" t="s">
        <v>392</v>
      </c>
      <c r="CL345" s="1" t="s">
        <v>209</v>
      </c>
      <c r="CM345" s="1" t="s">
        <v>210</v>
      </c>
      <c r="CO345" s="1" t="s">
        <v>332</v>
      </c>
      <c r="CP345" s="1" t="s">
        <v>267</v>
      </c>
      <c r="CQ345" s="1" t="s">
        <v>210</v>
      </c>
      <c r="CS345" s="1" t="s">
        <v>302</v>
      </c>
      <c r="CT345" s="1" t="s">
        <v>206</v>
      </c>
      <c r="CU345" s="1" t="s">
        <v>207</v>
      </c>
      <c r="CW345" s="1" t="s">
        <v>925</v>
      </c>
      <c r="CX345" s="1" t="s">
        <v>206</v>
      </c>
      <c r="CY345" s="1" t="s">
        <v>207</v>
      </c>
      <c r="DA345" s="1" t="s">
        <v>192</v>
      </c>
      <c r="DB345" s="2">
        <v>41992.0</v>
      </c>
      <c r="DC345" s="1" t="s">
        <v>744</v>
      </c>
      <c r="DD345" s="1" t="s">
        <v>3633</v>
      </c>
      <c r="DE345" s="1" t="s">
        <v>273</v>
      </c>
      <c r="DF345" s="1" t="s">
        <v>219</v>
      </c>
      <c r="DG345" s="1" t="s">
        <v>5068</v>
      </c>
      <c r="DH345" s="1" t="s">
        <v>220</v>
      </c>
      <c r="DI345" s="1" t="s">
        <v>732</v>
      </c>
      <c r="DJ345" s="1" t="s">
        <v>222</v>
      </c>
      <c r="DL345" s="1" t="s">
        <v>224</v>
      </c>
      <c r="DM345" s="1" t="s">
        <v>229</v>
      </c>
      <c r="DN345" s="1" t="s">
        <v>548</v>
      </c>
      <c r="DO345" s="1" t="s">
        <v>4234</v>
      </c>
      <c r="DP345" s="1" t="s">
        <v>276</v>
      </c>
      <c r="DQ345" s="1" t="s">
        <v>228</v>
      </c>
      <c r="DR345" s="1" t="s">
        <v>229</v>
      </c>
      <c r="DS345" s="1" t="s">
        <v>230</v>
      </c>
      <c r="DU345" s="1" t="s">
        <v>550</v>
      </c>
      <c r="DV345" s="1" t="s">
        <v>450</v>
      </c>
      <c r="DW345" s="1" t="s">
        <v>1026</v>
      </c>
      <c r="DX345" s="1" t="s">
        <v>234</v>
      </c>
      <c r="DY345" s="1" t="s">
        <v>704</v>
      </c>
      <c r="DZ345" s="1" t="s">
        <v>310</v>
      </c>
      <c r="EA345" s="1" t="s">
        <v>1027</v>
      </c>
      <c r="EC345" s="1" t="s">
        <v>237</v>
      </c>
      <c r="ED345" s="1" t="s">
        <v>555</v>
      </c>
      <c r="EE345" s="1" t="s">
        <v>187</v>
      </c>
      <c r="EG345" s="1" t="s">
        <v>450</v>
      </c>
      <c r="EL345" s="1" t="s">
        <v>5069</v>
      </c>
      <c r="EM345" s="1" t="s">
        <v>267</v>
      </c>
      <c r="EN345" s="1" t="s">
        <v>210</v>
      </c>
      <c r="EQ345" s="1" t="s">
        <v>238</v>
      </c>
      <c r="EU345" s="1" t="s">
        <v>238</v>
      </c>
      <c r="EY345" s="1" t="s">
        <v>238</v>
      </c>
      <c r="FC345" s="1" t="s">
        <v>238</v>
      </c>
      <c r="FF345" s="1" t="s">
        <v>239</v>
      </c>
      <c r="FG345" s="1" t="s">
        <v>192</v>
      </c>
      <c r="FH345" s="1" t="s">
        <v>192</v>
      </c>
      <c r="FJ345" s="1" t="s">
        <v>412</v>
      </c>
      <c r="FK345" s="1" t="s">
        <v>229</v>
      </c>
      <c r="FL345" s="1" t="s">
        <v>5070</v>
      </c>
      <c r="FM345" s="1">
        <v>12604.0</v>
      </c>
      <c r="FN345" s="1" t="s">
        <v>5071</v>
      </c>
      <c r="FO345" s="1" t="s">
        <v>5072</v>
      </c>
      <c r="FP345" s="1">
        <v>125093.0</v>
      </c>
      <c r="FQ345" s="1" t="s">
        <v>5073</v>
      </c>
      <c r="FR345" s="1">
        <v>148835.0</v>
      </c>
      <c r="FU345" s="1" t="s">
        <v>5074</v>
      </c>
      <c r="FV345" s="1" t="s">
        <v>200</v>
      </c>
      <c r="FW345" s="1" t="s">
        <v>530</v>
      </c>
      <c r="FX345" s="1" t="s">
        <v>246</v>
      </c>
      <c r="FZ345" s="1" t="s">
        <v>229</v>
      </c>
      <c r="GA345" s="1" t="s">
        <v>291</v>
      </c>
      <c r="GB345" s="2">
        <v>42072.0</v>
      </c>
      <c r="GC345" s="1" t="s">
        <v>5075</v>
      </c>
    </row>
    <row r="346">
      <c r="A346" s="1">
        <v>144900.0</v>
      </c>
      <c r="B346" s="1" t="s">
        <v>185</v>
      </c>
      <c r="C346" s="1" t="str">
        <f>"08786968"</f>
        <v>08786968</v>
      </c>
      <c r="D346" s="1" t="s">
        <v>186</v>
      </c>
      <c r="F346" s="1" t="str">
        <f>"8065"</f>
        <v>8065</v>
      </c>
      <c r="G346" s="2">
        <v>41958.0</v>
      </c>
      <c r="H346" s="1">
        <v>144900.0</v>
      </c>
      <c r="I346" s="1">
        <v>24.0</v>
      </c>
      <c r="J346" s="1">
        <v>144900.0</v>
      </c>
      <c r="K346" s="2">
        <v>41981.0</v>
      </c>
      <c r="L346" s="1">
        <v>24.0</v>
      </c>
      <c r="M346" s="2">
        <v>41981.0</v>
      </c>
      <c r="N346" s="1" t="s">
        <v>187</v>
      </c>
      <c r="O346" s="2">
        <v>42089.0</v>
      </c>
      <c r="P346" s="1">
        <v>877364.0</v>
      </c>
      <c r="Q346" s="1">
        <v>40131.0</v>
      </c>
      <c r="S346" s="1">
        <v>6540.0</v>
      </c>
      <c r="T346" s="1" t="s">
        <v>5076</v>
      </c>
      <c r="U346" s="1" t="s">
        <v>189</v>
      </c>
      <c r="V346" s="1" t="s">
        <v>190</v>
      </c>
      <c r="W346" s="1">
        <v>60629.0</v>
      </c>
      <c r="Y346" s="1" t="s">
        <v>5077</v>
      </c>
      <c r="Z346" s="1">
        <v>1952.0</v>
      </c>
      <c r="AA346" s="1" t="s">
        <v>192</v>
      </c>
      <c r="AB346" s="1" t="s">
        <v>193</v>
      </c>
      <c r="AD346" s="1" t="s">
        <v>194</v>
      </c>
      <c r="AE346" s="1" t="s">
        <v>195</v>
      </c>
      <c r="AF346" s="1" t="s">
        <v>659</v>
      </c>
      <c r="AH346" s="1" t="s">
        <v>5078</v>
      </c>
      <c r="AK346" s="1">
        <v>7.0</v>
      </c>
      <c r="AL346" s="1">
        <v>4.0</v>
      </c>
      <c r="AM346" s="1">
        <v>2.0</v>
      </c>
      <c r="AN346" s="1">
        <v>0.0</v>
      </c>
      <c r="AO346" s="1" t="s">
        <v>229</v>
      </c>
      <c r="AQ346" s="1" t="s">
        <v>198</v>
      </c>
      <c r="AR346" s="1" t="s">
        <v>200</v>
      </c>
      <c r="AS346" s="1" t="s">
        <v>199</v>
      </c>
      <c r="AT346" s="1">
        <v>2.0</v>
      </c>
      <c r="AV346" s="1" t="s">
        <v>200</v>
      </c>
      <c r="AW346" s="1">
        <v>2004.19</v>
      </c>
      <c r="AX346" s="1">
        <v>2013.0</v>
      </c>
      <c r="AY346" s="1" t="s">
        <v>387</v>
      </c>
      <c r="AZ346" s="1" t="s">
        <v>200</v>
      </c>
      <c r="BA346" s="1" t="str">
        <f>"19221240340000"</f>
        <v>19221240340000</v>
      </c>
      <c r="BC346" s="1">
        <v>1200.0</v>
      </c>
      <c r="BD346" s="1">
        <v>144900.0</v>
      </c>
      <c r="BE346" s="2">
        <v>41958.0</v>
      </c>
      <c r="BF346" s="1" t="s">
        <v>5079</v>
      </c>
      <c r="BH346" s="1">
        <v>0.0</v>
      </c>
      <c r="BK346" s="1" t="s">
        <v>204</v>
      </c>
      <c r="BL346" s="1" t="str">
        <f t="shared" ref="BL346:BM346" si="235">"0"</f>
        <v>0</v>
      </c>
      <c r="BM346" s="1" t="str">
        <f t="shared" si="235"/>
        <v>0</v>
      </c>
      <c r="BN346" s="1">
        <v>4300.0</v>
      </c>
      <c r="BO346" s="1">
        <v>6500.0</v>
      </c>
      <c r="BQ346" s="1">
        <v>299.0</v>
      </c>
      <c r="BR346" s="1">
        <v>299.0</v>
      </c>
      <c r="BS346" s="1">
        <v>299.0</v>
      </c>
      <c r="BU346" s="1" t="s">
        <v>1395</v>
      </c>
      <c r="BV346" s="1" t="s">
        <v>206</v>
      </c>
      <c r="BW346" s="1" t="s">
        <v>207</v>
      </c>
      <c r="BY346" s="1" t="s">
        <v>1351</v>
      </c>
      <c r="BZ346" s="1" t="s">
        <v>206</v>
      </c>
      <c r="CA346" s="1" t="s">
        <v>207</v>
      </c>
      <c r="CC346" s="1" t="s">
        <v>363</v>
      </c>
      <c r="CD346" s="1" t="s">
        <v>206</v>
      </c>
      <c r="CE346" s="1" t="s">
        <v>207</v>
      </c>
      <c r="CG346" s="1" t="s">
        <v>302</v>
      </c>
      <c r="CH346" s="1" t="s">
        <v>206</v>
      </c>
      <c r="CI346" s="1" t="s">
        <v>207</v>
      </c>
      <c r="CK346" s="1" t="s">
        <v>1299</v>
      </c>
      <c r="CL346" s="1" t="s">
        <v>209</v>
      </c>
      <c r="CO346" s="1" t="s">
        <v>2219</v>
      </c>
      <c r="CP346" s="1" t="s">
        <v>209</v>
      </c>
      <c r="CS346" s="1" t="s">
        <v>363</v>
      </c>
      <c r="CT346" s="1" t="s">
        <v>206</v>
      </c>
      <c r="CX346" s="1" t="s">
        <v>204</v>
      </c>
      <c r="DA346" s="1" t="s">
        <v>200</v>
      </c>
      <c r="DC346" s="1" t="s">
        <v>702</v>
      </c>
      <c r="DE346" s="1" t="s">
        <v>229</v>
      </c>
      <c r="DF346" s="1" t="s">
        <v>219</v>
      </c>
      <c r="DH346" s="1" t="s">
        <v>365</v>
      </c>
      <c r="DJ346" s="1" t="s">
        <v>222</v>
      </c>
      <c r="DL346" s="1" t="s">
        <v>858</v>
      </c>
      <c r="DM346" s="1" t="s">
        <v>229</v>
      </c>
      <c r="DQ346" s="1" t="s">
        <v>228</v>
      </c>
      <c r="DR346" s="1" t="s">
        <v>229</v>
      </c>
      <c r="DV346" s="1" t="s">
        <v>374</v>
      </c>
      <c r="DW346" s="1" t="s">
        <v>279</v>
      </c>
      <c r="DX346" s="1" t="s">
        <v>1287</v>
      </c>
      <c r="EC346" s="1" t="s">
        <v>645</v>
      </c>
      <c r="EG346" s="1" t="s">
        <v>374</v>
      </c>
      <c r="EL346" s="1" t="s">
        <v>1329</v>
      </c>
      <c r="EM346" s="1" t="s">
        <v>206</v>
      </c>
      <c r="EQ346" s="1" t="s">
        <v>238</v>
      </c>
      <c r="EU346" s="1" t="s">
        <v>238</v>
      </c>
      <c r="EY346" s="1" t="s">
        <v>238</v>
      </c>
      <c r="FC346" s="1" t="s">
        <v>238</v>
      </c>
      <c r="FF346" s="1" t="s">
        <v>239</v>
      </c>
      <c r="FG346" s="1" t="s">
        <v>192</v>
      </c>
      <c r="FH346" s="1" t="s">
        <v>192</v>
      </c>
      <c r="FJ346" s="1" t="s">
        <v>3613</v>
      </c>
      <c r="FK346" s="1" t="s">
        <v>1586</v>
      </c>
      <c r="FL346" s="1" t="s">
        <v>2111</v>
      </c>
      <c r="FM346" s="1">
        <v>12555.0</v>
      </c>
      <c r="FN346" s="1" t="s">
        <v>2112</v>
      </c>
      <c r="FO346" s="1" t="s">
        <v>5080</v>
      </c>
      <c r="FP346" s="1">
        <v>141732.0</v>
      </c>
      <c r="FQ346" s="1" t="s">
        <v>5081</v>
      </c>
      <c r="FU346" s="1" t="s">
        <v>5082</v>
      </c>
      <c r="FV346" s="1" t="s">
        <v>200</v>
      </c>
      <c r="FW346" s="1" t="s">
        <v>1578</v>
      </c>
      <c r="FX346" s="1" t="s">
        <v>655</v>
      </c>
      <c r="FZ346" s="1" t="s">
        <v>229</v>
      </c>
      <c r="GA346" s="1" t="s">
        <v>291</v>
      </c>
      <c r="GB346" s="2">
        <v>42090.0</v>
      </c>
      <c r="GC346" s="1" t="s">
        <v>5083</v>
      </c>
    </row>
    <row r="347">
      <c r="A347" s="1">
        <v>440000.0</v>
      </c>
      <c r="B347" s="1" t="s">
        <v>185</v>
      </c>
      <c r="C347" s="1" t="str">
        <f>"08772659"</f>
        <v>08772659</v>
      </c>
      <c r="D347" s="1" t="s">
        <v>186</v>
      </c>
      <c r="F347" s="1" t="str">
        <f>"8028"</f>
        <v>8028</v>
      </c>
      <c r="G347" s="2">
        <v>41953.0</v>
      </c>
      <c r="H347" s="1">
        <v>449000.0</v>
      </c>
      <c r="I347" s="1">
        <v>8.0</v>
      </c>
      <c r="J347" s="1">
        <v>449000.0</v>
      </c>
      <c r="K347" s="2">
        <v>41960.0</v>
      </c>
      <c r="L347" s="1">
        <v>8.0</v>
      </c>
      <c r="M347" s="2">
        <v>41960.0</v>
      </c>
      <c r="N347" s="1" t="s">
        <v>187</v>
      </c>
      <c r="O347" s="2">
        <v>42069.0</v>
      </c>
      <c r="P347" s="1">
        <v>103142.0</v>
      </c>
      <c r="Q347" s="1">
        <v>17665.0</v>
      </c>
      <c r="S347" s="1">
        <v>2549.0</v>
      </c>
      <c r="T347" s="1" t="s">
        <v>5064</v>
      </c>
      <c r="U347" s="1" t="s">
        <v>1442</v>
      </c>
      <c r="V347" s="1" t="s">
        <v>190</v>
      </c>
      <c r="W347" s="1">
        <v>60612.0</v>
      </c>
      <c r="Y347" s="1" t="s">
        <v>5084</v>
      </c>
      <c r="Z347" s="1">
        <v>2014.0</v>
      </c>
      <c r="AA347" s="1" t="s">
        <v>200</v>
      </c>
      <c r="AB347" s="1" t="s">
        <v>193</v>
      </c>
      <c r="AD347" s="1" t="s">
        <v>194</v>
      </c>
      <c r="AE347" s="1" t="s">
        <v>195</v>
      </c>
      <c r="AF347" s="1" t="s">
        <v>827</v>
      </c>
      <c r="AH347" s="1" t="s">
        <v>5066</v>
      </c>
      <c r="AI347" s="1">
        <v>0.1377</v>
      </c>
      <c r="AK347" s="1">
        <v>9.0</v>
      </c>
      <c r="AL347" s="1">
        <v>4.0</v>
      </c>
      <c r="AM347" s="1">
        <v>3.0</v>
      </c>
      <c r="AN347" s="1">
        <v>1.0</v>
      </c>
      <c r="AO347" s="1" t="s">
        <v>198</v>
      </c>
      <c r="AQ347" s="1" t="s">
        <v>472</v>
      </c>
      <c r="AR347" s="1" t="s">
        <v>192</v>
      </c>
      <c r="AS347" s="1" t="s">
        <v>199</v>
      </c>
      <c r="AT347" s="1">
        <v>2.0</v>
      </c>
      <c r="AV347" s="1" t="s">
        <v>200</v>
      </c>
      <c r="AW347" s="1" t="s">
        <v>575</v>
      </c>
      <c r="AX347" s="1">
        <v>2013.0</v>
      </c>
      <c r="AZ347" s="1" t="s">
        <v>200</v>
      </c>
      <c r="BA347" s="1" t="str">
        <f>"16124230130000"</f>
        <v>16124230130000</v>
      </c>
      <c r="BC347" s="1">
        <v>2700.0</v>
      </c>
      <c r="BD347" s="1">
        <v>440000.0</v>
      </c>
      <c r="BE347" s="2">
        <v>41953.0</v>
      </c>
      <c r="BF347" s="2" t="s">
        <v>5067</v>
      </c>
      <c r="BH347" s="1">
        <v>0.0</v>
      </c>
      <c r="BK347" s="1" t="s">
        <v>204</v>
      </c>
      <c r="BL347" s="1" t="str">
        <f>"100"</f>
        <v>100</v>
      </c>
      <c r="BM347" s="1" t="str">
        <f>"0"</f>
        <v>0</v>
      </c>
      <c r="BN347" s="1">
        <v>2549.0</v>
      </c>
      <c r="BO347" s="1">
        <v>0.0</v>
      </c>
      <c r="BQ347" s="1">
        <v>299.0</v>
      </c>
      <c r="BR347" s="1">
        <v>299.0</v>
      </c>
      <c r="BS347" s="1">
        <v>299.0</v>
      </c>
      <c r="BU347" s="1" t="s">
        <v>3307</v>
      </c>
      <c r="BV347" s="1" t="s">
        <v>206</v>
      </c>
      <c r="BW347" s="1" t="s">
        <v>207</v>
      </c>
      <c r="BY347" s="1" t="s">
        <v>329</v>
      </c>
      <c r="BZ347" s="1" t="s">
        <v>209</v>
      </c>
      <c r="CA347" s="1" t="s">
        <v>210</v>
      </c>
      <c r="CC347" s="1" t="s">
        <v>542</v>
      </c>
      <c r="CD347" s="1" t="s">
        <v>206</v>
      </c>
      <c r="CE347" s="1" t="s">
        <v>207</v>
      </c>
      <c r="CG347" s="1" t="s">
        <v>303</v>
      </c>
      <c r="CH347" s="1" t="s">
        <v>209</v>
      </c>
      <c r="CI347" s="1" t="s">
        <v>210</v>
      </c>
      <c r="CK347" s="1" t="s">
        <v>392</v>
      </c>
      <c r="CL347" s="1" t="s">
        <v>209</v>
      </c>
      <c r="CM347" s="1" t="s">
        <v>210</v>
      </c>
      <c r="CO347" s="1" t="s">
        <v>332</v>
      </c>
      <c r="CP347" s="1" t="s">
        <v>267</v>
      </c>
      <c r="CQ347" s="1" t="s">
        <v>210</v>
      </c>
      <c r="CS347" s="1" t="s">
        <v>302</v>
      </c>
      <c r="CT347" s="1" t="s">
        <v>206</v>
      </c>
      <c r="CU347" s="1" t="s">
        <v>207</v>
      </c>
      <c r="CW347" s="1" t="s">
        <v>925</v>
      </c>
      <c r="CX347" s="1" t="s">
        <v>206</v>
      </c>
      <c r="CY347" s="1" t="s">
        <v>207</v>
      </c>
      <c r="DA347" s="1" t="s">
        <v>192</v>
      </c>
      <c r="DB347" s="2">
        <v>41971.0</v>
      </c>
      <c r="DC347" s="1" t="s">
        <v>744</v>
      </c>
      <c r="DD347" s="1" t="s">
        <v>3633</v>
      </c>
      <c r="DE347" s="1" t="s">
        <v>273</v>
      </c>
      <c r="DF347" s="1" t="s">
        <v>219</v>
      </c>
      <c r="DG347" s="1" t="s">
        <v>5068</v>
      </c>
      <c r="DH347" s="1" t="s">
        <v>220</v>
      </c>
      <c r="DI347" s="1" t="s">
        <v>732</v>
      </c>
      <c r="DJ347" s="1" t="s">
        <v>222</v>
      </c>
      <c r="DL347" s="1" t="s">
        <v>224</v>
      </c>
      <c r="DM347" s="1" t="s">
        <v>229</v>
      </c>
      <c r="DN347" s="1" t="s">
        <v>548</v>
      </c>
      <c r="DO347" s="1" t="s">
        <v>4234</v>
      </c>
      <c r="DP347" s="1" t="s">
        <v>276</v>
      </c>
      <c r="DQ347" s="1" t="s">
        <v>228</v>
      </c>
      <c r="DR347" s="1" t="s">
        <v>229</v>
      </c>
      <c r="DS347" s="1" t="s">
        <v>230</v>
      </c>
      <c r="DU347" s="1" t="s">
        <v>550</v>
      </c>
      <c r="DV347" s="1" t="s">
        <v>450</v>
      </c>
      <c r="DW347" s="1" t="s">
        <v>1026</v>
      </c>
      <c r="DX347" s="1" t="s">
        <v>234</v>
      </c>
      <c r="DY347" s="1" t="s">
        <v>704</v>
      </c>
      <c r="DZ347" s="1" t="s">
        <v>310</v>
      </c>
      <c r="EA347" s="1" t="s">
        <v>1027</v>
      </c>
      <c r="EC347" s="1" t="s">
        <v>237</v>
      </c>
      <c r="ED347" s="1" t="s">
        <v>555</v>
      </c>
      <c r="EE347" s="1" t="s">
        <v>187</v>
      </c>
      <c r="EG347" s="1" t="s">
        <v>450</v>
      </c>
      <c r="EL347" s="1" t="s">
        <v>5069</v>
      </c>
      <c r="EM347" s="1" t="s">
        <v>267</v>
      </c>
      <c r="EN347" s="1" t="s">
        <v>210</v>
      </c>
      <c r="EQ347" s="1" t="s">
        <v>238</v>
      </c>
      <c r="EU347" s="1" t="s">
        <v>238</v>
      </c>
      <c r="EY347" s="1" t="s">
        <v>238</v>
      </c>
      <c r="FC347" s="1" t="s">
        <v>238</v>
      </c>
      <c r="FF347" s="1" t="s">
        <v>239</v>
      </c>
      <c r="FG347" s="1" t="s">
        <v>192</v>
      </c>
      <c r="FH347" s="1" t="s">
        <v>192</v>
      </c>
      <c r="FJ347" s="1" t="s">
        <v>412</v>
      </c>
      <c r="FK347" s="1" t="s">
        <v>229</v>
      </c>
      <c r="FL347" s="1" t="s">
        <v>5070</v>
      </c>
      <c r="FM347" s="1">
        <v>12604.0</v>
      </c>
      <c r="FN347" s="1" t="s">
        <v>5071</v>
      </c>
      <c r="FO347" s="1" t="s">
        <v>5072</v>
      </c>
      <c r="FP347" s="1">
        <v>125093.0</v>
      </c>
      <c r="FQ347" s="1" t="s">
        <v>5073</v>
      </c>
      <c r="FR347" s="1">
        <v>148835.0</v>
      </c>
      <c r="FU347" s="1" t="s">
        <v>5085</v>
      </c>
      <c r="FV347" s="1" t="s">
        <v>200</v>
      </c>
      <c r="FW347" s="1" t="s">
        <v>530</v>
      </c>
      <c r="FX347" s="1" t="s">
        <v>246</v>
      </c>
      <c r="FZ347" s="1" t="s">
        <v>229</v>
      </c>
      <c r="GA347" s="1" t="s">
        <v>291</v>
      </c>
      <c r="GB347" s="2">
        <v>42072.0</v>
      </c>
      <c r="GC347" s="1" t="s">
        <v>5075</v>
      </c>
    </row>
    <row r="348">
      <c r="A348" s="1">
        <v>326000.0</v>
      </c>
      <c r="B348" s="1" t="s">
        <v>185</v>
      </c>
      <c r="C348" s="1" t="str">
        <f>"08786083"</f>
        <v>08786083</v>
      </c>
      <c r="D348" s="1" t="s">
        <v>186</v>
      </c>
      <c r="F348" s="1" t="str">
        <f>"119"</f>
        <v>119</v>
      </c>
      <c r="G348" s="2">
        <v>41957.0</v>
      </c>
      <c r="H348" s="1">
        <v>349900.0</v>
      </c>
      <c r="I348" s="1">
        <v>104.0</v>
      </c>
      <c r="J348" s="1">
        <v>339900.0</v>
      </c>
      <c r="K348" s="2">
        <v>42060.0</v>
      </c>
      <c r="L348" s="1">
        <v>104.0</v>
      </c>
      <c r="M348" s="2">
        <v>42060.0</v>
      </c>
      <c r="N348" s="1" t="s">
        <v>187</v>
      </c>
      <c r="O348" s="2">
        <v>42087.0</v>
      </c>
      <c r="P348" s="1">
        <v>8371.0</v>
      </c>
      <c r="Q348" s="1">
        <v>49.0</v>
      </c>
      <c r="R348" s="1">
        <v>9780.0</v>
      </c>
      <c r="S348" s="1" t="s">
        <v>5086</v>
      </c>
      <c r="T348" s="1" t="s">
        <v>5087</v>
      </c>
      <c r="U348" s="1" t="s">
        <v>464</v>
      </c>
      <c r="V348" s="1" t="s">
        <v>1476</v>
      </c>
      <c r="W348" s="1">
        <v>60119.0</v>
      </c>
      <c r="Y348" s="1" t="s">
        <v>5088</v>
      </c>
      <c r="Z348" s="1">
        <v>1986.0</v>
      </c>
      <c r="AA348" s="1" t="s">
        <v>200</v>
      </c>
      <c r="AB348" s="1" t="s">
        <v>193</v>
      </c>
      <c r="AC348" s="1" t="s">
        <v>5089</v>
      </c>
      <c r="AD348" s="1" t="s">
        <v>1089</v>
      </c>
      <c r="AE348" s="1" t="s">
        <v>325</v>
      </c>
      <c r="AF348" s="1" t="s">
        <v>1632</v>
      </c>
      <c r="AH348" s="1" t="s">
        <v>5090</v>
      </c>
      <c r="AI348" s="1">
        <v>1.25</v>
      </c>
      <c r="AK348" s="1">
        <v>9.0</v>
      </c>
      <c r="AL348" s="1">
        <v>4.0</v>
      </c>
      <c r="AM348" s="1">
        <v>2.0</v>
      </c>
      <c r="AN348" s="1">
        <v>1.0</v>
      </c>
      <c r="AO348" s="1" t="s">
        <v>198</v>
      </c>
      <c r="AP348" s="1">
        <v>1.0</v>
      </c>
      <c r="AQ348" s="1" t="s">
        <v>1314</v>
      </c>
      <c r="AR348" s="1" t="s">
        <v>200</v>
      </c>
      <c r="AS348" s="1" t="s">
        <v>199</v>
      </c>
      <c r="AT348" s="1">
        <v>4.0</v>
      </c>
      <c r="AV348" s="1" t="s">
        <v>200</v>
      </c>
      <c r="AW348" s="1">
        <v>7191.8</v>
      </c>
      <c r="AX348" s="1">
        <v>2012.0</v>
      </c>
      <c r="AY348" s="1" t="s">
        <v>387</v>
      </c>
      <c r="AZ348" s="1" t="s">
        <v>200</v>
      </c>
      <c r="BA348" s="1" t="str">
        <f>"0834426001"</f>
        <v>0834426001</v>
      </c>
      <c r="BB348" s="1" t="s">
        <v>200</v>
      </c>
      <c r="BC348" s="1">
        <v>2252.0</v>
      </c>
      <c r="BD348" s="1">
        <v>326000.0</v>
      </c>
      <c r="BE348" s="2">
        <v>41957.0</v>
      </c>
      <c r="BF348" s="2" t="s">
        <v>5091</v>
      </c>
      <c r="BG348" s="1" t="s">
        <v>2198</v>
      </c>
      <c r="BH348" s="1">
        <v>0.0</v>
      </c>
      <c r="BI348" s="1" t="s">
        <v>2199</v>
      </c>
      <c r="BJ348" s="1" t="s">
        <v>2200</v>
      </c>
      <c r="BK348" s="1" t="s">
        <v>204</v>
      </c>
      <c r="BL348" s="1" t="str">
        <f t="shared" ref="BL348:BM348" si="236">""</f>
        <v/>
      </c>
      <c r="BM348" s="1" t="str">
        <f t="shared" si="236"/>
        <v/>
      </c>
      <c r="BQ348" s="1">
        <v>303.0</v>
      </c>
      <c r="BR348" s="1">
        <v>303.0</v>
      </c>
      <c r="BS348" s="1">
        <v>303.0</v>
      </c>
      <c r="BU348" s="1" t="s">
        <v>260</v>
      </c>
      <c r="BV348" s="1" t="s">
        <v>206</v>
      </c>
      <c r="BW348" s="1" t="s">
        <v>301</v>
      </c>
      <c r="BX348" s="1" t="s">
        <v>261</v>
      </c>
      <c r="BY348" s="1" t="s">
        <v>390</v>
      </c>
      <c r="BZ348" s="1" t="s">
        <v>209</v>
      </c>
      <c r="CA348" s="1" t="s">
        <v>301</v>
      </c>
      <c r="CB348" s="1" t="s">
        <v>431</v>
      </c>
      <c r="CC348" s="1" t="s">
        <v>215</v>
      </c>
      <c r="CD348" s="1" t="s">
        <v>206</v>
      </c>
      <c r="CE348" s="1" t="s">
        <v>301</v>
      </c>
      <c r="CF348" s="1" t="s">
        <v>431</v>
      </c>
      <c r="CG348" s="1" t="s">
        <v>616</v>
      </c>
      <c r="CH348" s="1" t="s">
        <v>209</v>
      </c>
      <c r="CI348" s="1" t="s">
        <v>301</v>
      </c>
      <c r="CJ348" s="1" t="s">
        <v>431</v>
      </c>
      <c r="CK348" s="1" t="s">
        <v>212</v>
      </c>
      <c r="CL348" s="1" t="s">
        <v>209</v>
      </c>
      <c r="CM348" s="1" t="s">
        <v>301</v>
      </c>
      <c r="CN348" s="1" t="s">
        <v>431</v>
      </c>
      <c r="CO348" s="1" t="s">
        <v>212</v>
      </c>
      <c r="CP348" s="1" t="s">
        <v>209</v>
      </c>
      <c r="CQ348" s="1" t="s">
        <v>301</v>
      </c>
      <c r="CR348" s="1" t="s">
        <v>431</v>
      </c>
      <c r="CS348" s="1" t="s">
        <v>265</v>
      </c>
      <c r="CT348" s="1" t="s">
        <v>206</v>
      </c>
      <c r="CU348" s="1" t="s">
        <v>301</v>
      </c>
      <c r="CV348" s="1" t="s">
        <v>229</v>
      </c>
      <c r="CW348" s="1" t="s">
        <v>434</v>
      </c>
      <c r="CX348" s="1" t="s">
        <v>206</v>
      </c>
      <c r="CY348" s="1" t="s">
        <v>301</v>
      </c>
      <c r="CZ348" s="1" t="s">
        <v>431</v>
      </c>
      <c r="DA348" s="1" t="s">
        <v>200</v>
      </c>
      <c r="DC348" s="1" t="s">
        <v>305</v>
      </c>
      <c r="DD348" s="1" t="s">
        <v>396</v>
      </c>
      <c r="DE348" s="1" t="s">
        <v>273</v>
      </c>
      <c r="DF348" s="1" t="s">
        <v>219</v>
      </c>
      <c r="DG348" s="1" t="s">
        <v>588</v>
      </c>
      <c r="DH348" s="1" t="s">
        <v>856</v>
      </c>
      <c r="DI348" s="1" t="s">
        <v>5092</v>
      </c>
      <c r="DJ348" s="1" t="s">
        <v>857</v>
      </c>
      <c r="DL348" s="1" t="s">
        <v>223</v>
      </c>
      <c r="DM348" s="1" t="s">
        <v>338</v>
      </c>
      <c r="DN348" s="1" t="s">
        <v>439</v>
      </c>
      <c r="DO348" s="1" t="s">
        <v>5093</v>
      </c>
      <c r="DP348" s="1" t="s">
        <v>340</v>
      </c>
      <c r="DQ348" s="1" t="s">
        <v>931</v>
      </c>
      <c r="DR348" s="1" t="s">
        <v>229</v>
      </c>
      <c r="DV348" s="1" t="s">
        <v>5094</v>
      </c>
      <c r="DW348" s="1" t="s">
        <v>233</v>
      </c>
      <c r="DX348" s="1" t="s">
        <v>234</v>
      </c>
      <c r="DY348" s="1" t="s">
        <v>861</v>
      </c>
      <c r="DZ348" s="1" t="s">
        <v>5095</v>
      </c>
      <c r="EB348" s="1" t="s">
        <v>937</v>
      </c>
      <c r="EC348" s="1" t="s">
        <v>237</v>
      </c>
      <c r="ED348" s="1" t="s">
        <v>407</v>
      </c>
      <c r="EG348" s="1" t="s">
        <v>720</v>
      </c>
      <c r="EH348" s="1" t="s">
        <v>449</v>
      </c>
      <c r="EL348" s="1" t="s">
        <v>4413</v>
      </c>
      <c r="EM348" s="1" t="s">
        <v>206</v>
      </c>
      <c r="EN348" s="1" t="s">
        <v>301</v>
      </c>
      <c r="EO348" s="1" t="s">
        <v>229</v>
      </c>
      <c r="EP348" s="1" t="s">
        <v>265</v>
      </c>
      <c r="EQ348" s="1" t="s">
        <v>206</v>
      </c>
      <c r="ER348" s="1" t="s">
        <v>301</v>
      </c>
      <c r="ES348" s="1" t="s">
        <v>431</v>
      </c>
      <c r="EU348" s="1" t="s">
        <v>238</v>
      </c>
      <c r="EY348" s="1" t="s">
        <v>238</v>
      </c>
      <c r="FC348" s="1" t="s">
        <v>238</v>
      </c>
      <c r="FF348" s="1" t="s">
        <v>239</v>
      </c>
      <c r="FG348" s="1" t="s">
        <v>200</v>
      </c>
      <c r="FH348" s="1" t="s">
        <v>192</v>
      </c>
      <c r="FJ348" s="1" t="s">
        <v>2133</v>
      </c>
      <c r="FK348" s="1" t="s">
        <v>229</v>
      </c>
      <c r="FL348" s="1" t="s">
        <v>1007</v>
      </c>
      <c r="FM348" s="1">
        <v>72505.0</v>
      </c>
      <c r="FN348" s="1" t="s">
        <v>5096</v>
      </c>
      <c r="FO348" s="1" t="s">
        <v>5097</v>
      </c>
      <c r="FP348" s="1">
        <v>705724.0</v>
      </c>
      <c r="FQ348" s="1" t="s">
        <v>5098</v>
      </c>
      <c r="FU348" s="1" t="s">
        <v>5099</v>
      </c>
      <c r="FV348" s="1" t="s">
        <v>200</v>
      </c>
      <c r="FW348" s="1" t="s">
        <v>290</v>
      </c>
      <c r="FZ348" s="1" t="s">
        <v>229</v>
      </c>
      <c r="GA348" s="1" t="s">
        <v>291</v>
      </c>
      <c r="GB348" s="2">
        <v>42088.0</v>
      </c>
      <c r="GC348" s="1" t="s">
        <v>5100</v>
      </c>
    </row>
    <row r="349">
      <c r="A349" s="1">
        <v>375000.0</v>
      </c>
      <c r="B349" s="1" t="s">
        <v>185</v>
      </c>
      <c r="C349" s="1" t="str">
        <f>"08788025"</f>
        <v>08788025</v>
      </c>
      <c r="D349" s="1" t="s">
        <v>186</v>
      </c>
      <c r="F349" s="1" t="str">
        <f>"8022"</f>
        <v>8022</v>
      </c>
      <c r="G349" s="2">
        <v>41960.0</v>
      </c>
      <c r="H349" s="1">
        <v>449900.0</v>
      </c>
      <c r="I349" s="1">
        <v>57.0</v>
      </c>
      <c r="J349" s="1">
        <v>399700.0</v>
      </c>
      <c r="K349" s="2">
        <v>42016.0</v>
      </c>
      <c r="L349" s="1">
        <v>57.0</v>
      </c>
      <c r="M349" s="2">
        <v>42016.0</v>
      </c>
      <c r="N349" s="1" t="s">
        <v>187</v>
      </c>
      <c r="O349" s="2">
        <v>42060.0</v>
      </c>
      <c r="P349" s="1">
        <v>112102.0</v>
      </c>
      <c r="Q349" s="1">
        <v>18705.0</v>
      </c>
      <c r="S349" s="1">
        <v>2333.0</v>
      </c>
      <c r="T349" s="1" t="s">
        <v>5101</v>
      </c>
      <c r="U349" s="1" t="s">
        <v>189</v>
      </c>
      <c r="V349" s="1" t="s">
        <v>190</v>
      </c>
      <c r="W349" s="1">
        <v>60647.0</v>
      </c>
      <c r="Y349" s="1" t="s">
        <v>5102</v>
      </c>
      <c r="Z349" s="1">
        <v>1896.0</v>
      </c>
      <c r="AA349" s="1" t="s">
        <v>192</v>
      </c>
      <c r="AB349" s="1" t="s">
        <v>193</v>
      </c>
      <c r="AD349" s="1" t="s">
        <v>194</v>
      </c>
      <c r="AE349" s="1" t="s">
        <v>195</v>
      </c>
      <c r="AF349" s="1" t="s">
        <v>196</v>
      </c>
      <c r="AG349" s="1" t="s">
        <v>5103</v>
      </c>
      <c r="AH349" s="1">
        <v>3750.0</v>
      </c>
      <c r="AI349" s="1">
        <v>0.0861</v>
      </c>
      <c r="AK349" s="1">
        <v>8.0</v>
      </c>
      <c r="AL349" s="1">
        <v>3.0</v>
      </c>
      <c r="AM349" s="1">
        <v>1.0</v>
      </c>
      <c r="AN349" s="1">
        <v>2.0</v>
      </c>
      <c r="AO349" s="1" t="s">
        <v>229</v>
      </c>
      <c r="AQ349" s="1" t="s">
        <v>198</v>
      </c>
      <c r="AR349" s="1" t="s">
        <v>192</v>
      </c>
      <c r="AS349" s="1" t="s">
        <v>199</v>
      </c>
      <c r="AT349" s="1">
        <v>2.0</v>
      </c>
      <c r="AV349" s="1" t="s">
        <v>200</v>
      </c>
      <c r="AW349" s="1">
        <v>2084.97</v>
      </c>
      <c r="AX349" s="1">
        <v>2012.0</v>
      </c>
      <c r="AY349" s="1" t="s">
        <v>387</v>
      </c>
      <c r="AZ349" s="1" t="s">
        <v>200</v>
      </c>
      <c r="BA349" s="1" t="str">
        <f>"13351060120000"</f>
        <v>13351060120000</v>
      </c>
      <c r="BC349" s="1">
        <v>1750.0</v>
      </c>
      <c r="BD349" s="1">
        <v>375000.0</v>
      </c>
      <c r="BE349" s="2">
        <v>41960.0</v>
      </c>
      <c r="BF349" s="2" t="s">
        <v>5104</v>
      </c>
      <c r="BH349" s="1">
        <v>0.0</v>
      </c>
      <c r="BK349" s="1" t="s">
        <v>204</v>
      </c>
      <c r="BL349" s="1" t="str">
        <f>"2333"</f>
        <v>2333</v>
      </c>
      <c r="BM349" s="1" t="str">
        <f t="shared" ref="BM349:BM350" si="237">"0"</f>
        <v>0</v>
      </c>
      <c r="BN349" s="1">
        <v>3700.0</v>
      </c>
      <c r="BO349" s="1">
        <v>0.0</v>
      </c>
      <c r="BQ349" s="1">
        <v>299.0</v>
      </c>
      <c r="BR349" s="1">
        <v>299.0</v>
      </c>
      <c r="BS349" s="1">
        <v>299.0</v>
      </c>
      <c r="BU349" s="1" t="s">
        <v>480</v>
      </c>
      <c r="BV349" s="1" t="s">
        <v>206</v>
      </c>
      <c r="BW349" s="1" t="s">
        <v>207</v>
      </c>
      <c r="BX349" s="1" t="s">
        <v>261</v>
      </c>
      <c r="BY349" s="1" t="s">
        <v>211</v>
      </c>
      <c r="BZ349" s="1" t="s">
        <v>209</v>
      </c>
      <c r="CA349" s="1" t="s">
        <v>210</v>
      </c>
      <c r="CB349" s="1" t="s">
        <v>261</v>
      </c>
      <c r="CC349" s="1" t="s">
        <v>331</v>
      </c>
      <c r="CD349" s="1" t="s">
        <v>206</v>
      </c>
      <c r="CE349" s="1" t="s">
        <v>207</v>
      </c>
      <c r="CF349" s="1" t="s">
        <v>261</v>
      </c>
      <c r="CG349" s="1" t="s">
        <v>433</v>
      </c>
      <c r="CH349" s="1" t="s">
        <v>209</v>
      </c>
      <c r="CI349" s="1" t="s">
        <v>207</v>
      </c>
      <c r="CJ349" s="1" t="s">
        <v>261</v>
      </c>
      <c r="CK349" s="1" t="s">
        <v>264</v>
      </c>
      <c r="CL349" s="1" t="s">
        <v>209</v>
      </c>
      <c r="CM349" s="1" t="s">
        <v>210</v>
      </c>
      <c r="CN349" s="1" t="s">
        <v>261</v>
      </c>
      <c r="CO349" s="1" t="s">
        <v>433</v>
      </c>
      <c r="CP349" s="1" t="s">
        <v>42</v>
      </c>
      <c r="CQ349" s="1" t="s">
        <v>588</v>
      </c>
      <c r="CR349" s="1" t="s">
        <v>431</v>
      </c>
      <c r="CS349" s="1" t="s">
        <v>361</v>
      </c>
      <c r="CT349" s="1" t="s">
        <v>206</v>
      </c>
      <c r="CU349" s="1" t="s">
        <v>207</v>
      </c>
      <c r="CV349" s="1" t="s">
        <v>261</v>
      </c>
      <c r="CW349" s="1" t="s">
        <v>1892</v>
      </c>
      <c r="CX349" s="1" t="s">
        <v>206</v>
      </c>
      <c r="CY349" s="1" t="s">
        <v>207</v>
      </c>
      <c r="CZ349" s="1" t="s">
        <v>261</v>
      </c>
      <c r="DA349" s="1" t="s">
        <v>200</v>
      </c>
      <c r="DC349" s="1" t="s">
        <v>642</v>
      </c>
      <c r="DD349" s="1" t="s">
        <v>731</v>
      </c>
      <c r="DE349" s="1" t="s">
        <v>273</v>
      </c>
      <c r="DF349" s="1" t="s">
        <v>2275</v>
      </c>
      <c r="DG349" s="1" t="s">
        <v>337</v>
      </c>
      <c r="DH349" s="1" t="s">
        <v>365</v>
      </c>
      <c r="DI349" s="1" t="s">
        <v>308</v>
      </c>
      <c r="DJ349" s="1" t="s">
        <v>222</v>
      </c>
      <c r="DK349" s="1" t="s">
        <v>223</v>
      </c>
      <c r="DL349" s="1" t="s">
        <v>224</v>
      </c>
      <c r="DM349" s="1" t="s">
        <v>5105</v>
      </c>
      <c r="DN349" s="1" t="s">
        <v>5106</v>
      </c>
      <c r="DO349" s="1" t="s">
        <v>549</v>
      </c>
      <c r="DP349" s="1" t="s">
        <v>340</v>
      </c>
      <c r="DQ349" s="1" t="s">
        <v>228</v>
      </c>
      <c r="DR349" s="1" t="s">
        <v>229</v>
      </c>
      <c r="DS349" s="1" t="s">
        <v>230</v>
      </c>
      <c r="DV349" s="1" t="s">
        <v>232</v>
      </c>
      <c r="DW349" s="1" t="s">
        <v>5107</v>
      </c>
      <c r="DX349" s="1" t="s">
        <v>234</v>
      </c>
      <c r="DY349" s="1" t="s">
        <v>935</v>
      </c>
      <c r="DZ349" s="1" t="s">
        <v>310</v>
      </c>
      <c r="EA349" s="1" t="s">
        <v>3112</v>
      </c>
      <c r="EC349" s="1" t="s">
        <v>237</v>
      </c>
      <c r="ED349" s="1" t="s">
        <v>555</v>
      </c>
      <c r="EE349" s="1" t="s">
        <v>493</v>
      </c>
      <c r="EM349" s="1" t="s">
        <v>238</v>
      </c>
      <c r="EQ349" s="1" t="s">
        <v>238</v>
      </c>
      <c r="EU349" s="1" t="s">
        <v>238</v>
      </c>
      <c r="EY349" s="1" t="s">
        <v>238</v>
      </c>
      <c r="FC349" s="1" t="s">
        <v>238</v>
      </c>
      <c r="FF349" s="1" t="s">
        <v>239</v>
      </c>
      <c r="FG349" s="1" t="s">
        <v>192</v>
      </c>
      <c r="FH349" s="1" t="s">
        <v>192</v>
      </c>
      <c r="FJ349" s="1" t="s">
        <v>2406</v>
      </c>
      <c r="FK349" s="1" t="s">
        <v>229</v>
      </c>
      <c r="FL349" s="1" t="s">
        <v>5108</v>
      </c>
      <c r="FM349" s="1">
        <v>14316.0</v>
      </c>
      <c r="FN349" s="1" t="s">
        <v>5109</v>
      </c>
      <c r="FO349" s="1" t="s">
        <v>5110</v>
      </c>
      <c r="FP349" s="1">
        <v>183018.0</v>
      </c>
      <c r="FQ349" s="1" t="s">
        <v>5111</v>
      </c>
      <c r="FU349" s="1" t="s">
        <v>5112</v>
      </c>
      <c r="FV349" s="1" t="s">
        <v>200</v>
      </c>
      <c r="FW349" s="1" t="s">
        <v>290</v>
      </c>
      <c r="FX349" s="1" t="s">
        <v>238</v>
      </c>
      <c r="FZ349" s="1" t="s">
        <v>229</v>
      </c>
      <c r="GA349" s="1" t="s">
        <v>291</v>
      </c>
      <c r="GB349" s="2">
        <v>42060.0</v>
      </c>
      <c r="GC349" s="1" t="s">
        <v>5113</v>
      </c>
    </row>
    <row r="350">
      <c r="A350" s="1">
        <v>159500.0</v>
      </c>
      <c r="B350" s="1" t="s">
        <v>185</v>
      </c>
      <c r="C350" s="1" t="str">
        <f>"08772914"</f>
        <v>08772914</v>
      </c>
      <c r="D350" s="1" t="s">
        <v>186</v>
      </c>
      <c r="F350" s="1" t="str">
        <f>"8017"</f>
        <v>8017</v>
      </c>
      <c r="G350" s="2">
        <v>41953.0</v>
      </c>
      <c r="H350" s="1">
        <v>154900.0</v>
      </c>
      <c r="I350" s="1">
        <v>61.0</v>
      </c>
      <c r="J350" s="1">
        <v>154900.0</v>
      </c>
      <c r="K350" s="2">
        <v>42013.0</v>
      </c>
      <c r="L350" s="1">
        <v>61.0</v>
      </c>
      <c r="M350" s="2">
        <v>42013.0</v>
      </c>
      <c r="N350" s="1" t="s">
        <v>249</v>
      </c>
      <c r="O350" s="2">
        <v>42034.0</v>
      </c>
      <c r="P350" s="1">
        <v>169998.0</v>
      </c>
      <c r="Q350" s="1">
        <v>17299.0</v>
      </c>
      <c r="S350" s="1">
        <v>3500.0</v>
      </c>
      <c r="T350" s="1" t="s">
        <v>5114</v>
      </c>
      <c r="U350" s="1" t="s">
        <v>189</v>
      </c>
      <c r="V350" s="1" t="s">
        <v>190</v>
      </c>
      <c r="W350" s="1">
        <v>60634.0</v>
      </c>
      <c r="Y350" s="1" t="s">
        <v>5115</v>
      </c>
      <c r="Z350" s="1">
        <v>1910.0</v>
      </c>
      <c r="AA350" s="1" t="s">
        <v>192</v>
      </c>
      <c r="AB350" s="1" t="s">
        <v>193</v>
      </c>
      <c r="AD350" s="1" t="s">
        <v>194</v>
      </c>
      <c r="AE350" s="1" t="s">
        <v>195</v>
      </c>
      <c r="AF350" s="1" t="s">
        <v>196</v>
      </c>
      <c r="AH350" s="1" t="s">
        <v>5116</v>
      </c>
      <c r="AI350" s="1">
        <v>0.1186</v>
      </c>
      <c r="AK350" s="1">
        <v>7.0</v>
      </c>
      <c r="AL350" s="1">
        <v>4.0</v>
      </c>
      <c r="AM350" s="1">
        <v>2.0</v>
      </c>
      <c r="AN350" s="1">
        <v>1.0</v>
      </c>
      <c r="AO350" s="1" t="s">
        <v>229</v>
      </c>
      <c r="AQ350" s="1" t="s">
        <v>198</v>
      </c>
      <c r="AR350" s="1" t="s">
        <v>192</v>
      </c>
      <c r="AS350" s="1" t="s">
        <v>199</v>
      </c>
      <c r="AT350" s="1">
        <v>2.0</v>
      </c>
      <c r="AV350" s="1" t="s">
        <v>200</v>
      </c>
      <c r="AW350" s="1">
        <v>4954.76</v>
      </c>
      <c r="AX350" s="1">
        <v>2012.0</v>
      </c>
      <c r="AZ350" s="1" t="s">
        <v>200</v>
      </c>
      <c r="BA350" s="1" t="str">
        <f>"13194060240000"</f>
        <v>13194060240000</v>
      </c>
      <c r="BC350" s="1">
        <v>1685.0</v>
      </c>
      <c r="BD350" s="1">
        <v>159500.0</v>
      </c>
      <c r="BE350" s="2">
        <v>41953.0</v>
      </c>
      <c r="BF350" s="2" t="s">
        <v>5117</v>
      </c>
      <c r="BH350" s="1">
        <v>0.0</v>
      </c>
      <c r="BK350" s="1" t="s">
        <v>204</v>
      </c>
      <c r="BL350" s="1" t="str">
        <f>"3500"</f>
        <v>3500</v>
      </c>
      <c r="BM350" s="1" t="str">
        <f t="shared" si="237"/>
        <v>0</v>
      </c>
      <c r="BN350" s="1">
        <v>6432.0</v>
      </c>
      <c r="BO350" s="1">
        <v>0.0</v>
      </c>
      <c r="BQ350" s="1">
        <v>299.0</v>
      </c>
      <c r="BR350" s="1">
        <v>299.0</v>
      </c>
      <c r="BS350" s="1">
        <v>299.0</v>
      </c>
      <c r="BU350" s="1" t="s">
        <v>300</v>
      </c>
      <c r="BV350" s="1" t="s">
        <v>206</v>
      </c>
      <c r="BY350" s="1" t="s">
        <v>264</v>
      </c>
      <c r="BZ350" s="1" t="s">
        <v>206</v>
      </c>
      <c r="CC350" s="1" t="s">
        <v>264</v>
      </c>
      <c r="CD350" s="1" t="s">
        <v>206</v>
      </c>
      <c r="CG350" s="1" t="s">
        <v>814</v>
      </c>
      <c r="CH350" s="1" t="s">
        <v>206</v>
      </c>
      <c r="CK350" s="1" t="s">
        <v>4975</v>
      </c>
      <c r="CL350" s="1" t="s">
        <v>209</v>
      </c>
      <c r="CO350" s="1" t="s">
        <v>4975</v>
      </c>
      <c r="CP350" s="1" t="s">
        <v>209</v>
      </c>
      <c r="CS350" s="1" t="s">
        <v>814</v>
      </c>
      <c r="CT350" s="1" t="s">
        <v>206</v>
      </c>
      <c r="CX350" s="1" t="s">
        <v>204</v>
      </c>
      <c r="DA350" s="1" t="s">
        <v>200</v>
      </c>
      <c r="DC350" s="1" t="s">
        <v>642</v>
      </c>
      <c r="DE350" s="1" t="s">
        <v>273</v>
      </c>
      <c r="DF350" s="1" t="s">
        <v>4120</v>
      </c>
      <c r="DH350" s="1" t="s">
        <v>365</v>
      </c>
      <c r="DJ350" s="1" t="s">
        <v>222</v>
      </c>
      <c r="DL350" s="1" t="s">
        <v>858</v>
      </c>
      <c r="DM350" s="1" t="s">
        <v>229</v>
      </c>
      <c r="DO350" s="1" t="s">
        <v>1004</v>
      </c>
      <c r="DQ350" s="1" t="s">
        <v>228</v>
      </c>
      <c r="DR350" s="1" t="s">
        <v>229</v>
      </c>
      <c r="DV350" s="1" t="s">
        <v>232</v>
      </c>
      <c r="DW350" s="1" t="s">
        <v>667</v>
      </c>
      <c r="DX350" s="1" t="s">
        <v>234</v>
      </c>
      <c r="EC350" s="1" t="s">
        <v>645</v>
      </c>
      <c r="EM350" s="1" t="s">
        <v>238</v>
      </c>
      <c r="EQ350" s="1" t="s">
        <v>238</v>
      </c>
      <c r="EU350" s="1" t="s">
        <v>238</v>
      </c>
      <c r="EY350" s="1" t="s">
        <v>238</v>
      </c>
      <c r="FC350" s="1" t="s">
        <v>238</v>
      </c>
      <c r="FF350" s="1" t="s">
        <v>239</v>
      </c>
      <c r="FG350" s="1" t="s">
        <v>192</v>
      </c>
      <c r="FH350" s="1" t="s">
        <v>192</v>
      </c>
      <c r="FJ350" s="1" t="s">
        <v>770</v>
      </c>
      <c r="FK350" s="1" t="s">
        <v>229</v>
      </c>
      <c r="FL350" s="1" t="s">
        <v>1358</v>
      </c>
      <c r="FM350" s="1">
        <v>3970.0</v>
      </c>
      <c r="FN350" s="1" t="s">
        <v>5118</v>
      </c>
      <c r="FO350" s="1" t="s">
        <v>5119</v>
      </c>
      <c r="FP350" s="1">
        <v>38687.0</v>
      </c>
      <c r="FQ350" s="1" t="s">
        <v>5120</v>
      </c>
      <c r="FU350" s="1" t="s">
        <v>5121</v>
      </c>
      <c r="FV350" s="1" t="s">
        <v>200</v>
      </c>
      <c r="FW350" s="1" t="s">
        <v>530</v>
      </c>
      <c r="FX350" s="1" t="s">
        <v>238</v>
      </c>
      <c r="FZ350" s="1" t="s">
        <v>229</v>
      </c>
      <c r="GA350" s="1" t="s">
        <v>291</v>
      </c>
      <c r="GB350" s="2">
        <v>42045.0</v>
      </c>
      <c r="GC350" s="1" t="s">
        <v>5122</v>
      </c>
    </row>
    <row r="351">
      <c r="A351" s="1">
        <v>89900.0</v>
      </c>
      <c r="B351" s="1" t="s">
        <v>185</v>
      </c>
      <c r="C351" s="1" t="str">
        <f>"08789831"</f>
        <v>08789831</v>
      </c>
      <c r="D351" s="1" t="s">
        <v>186</v>
      </c>
      <c r="F351" s="1" t="str">
        <f>"8038"</f>
        <v>8038</v>
      </c>
      <c r="G351" s="2">
        <v>41963.0</v>
      </c>
      <c r="H351" s="1">
        <v>89900.0</v>
      </c>
      <c r="I351" s="1">
        <v>6.0</v>
      </c>
      <c r="J351" s="1">
        <v>89900.0</v>
      </c>
      <c r="K351" s="2">
        <v>41968.0</v>
      </c>
      <c r="L351" s="1">
        <v>6.0</v>
      </c>
      <c r="M351" s="2">
        <v>41968.0</v>
      </c>
      <c r="N351" s="1" t="s">
        <v>249</v>
      </c>
      <c r="O351" s="2">
        <v>42025.0</v>
      </c>
      <c r="P351" s="1">
        <v>239948.0</v>
      </c>
      <c r="Q351" s="1">
        <v>25914.0</v>
      </c>
      <c r="S351" s="1">
        <v>4935.0</v>
      </c>
      <c r="T351" s="1" t="s">
        <v>1326</v>
      </c>
      <c r="U351" s="1" t="s">
        <v>189</v>
      </c>
      <c r="V351" s="1" t="s">
        <v>190</v>
      </c>
      <c r="W351" s="1">
        <v>60615.0</v>
      </c>
      <c r="Y351" s="1" t="s">
        <v>5123</v>
      </c>
      <c r="Z351" s="1">
        <v>1902.0</v>
      </c>
      <c r="AA351" s="1" t="s">
        <v>192</v>
      </c>
      <c r="AB351" s="1" t="s">
        <v>193</v>
      </c>
      <c r="AD351" s="1" t="s">
        <v>194</v>
      </c>
      <c r="AE351" s="1" t="s">
        <v>195</v>
      </c>
      <c r="AF351" s="1" t="s">
        <v>637</v>
      </c>
      <c r="AH351" s="1" t="s">
        <v>5124</v>
      </c>
      <c r="AK351" s="1">
        <v>7.0</v>
      </c>
      <c r="AL351" s="1">
        <v>4.0</v>
      </c>
      <c r="AM351" s="1">
        <v>2.0</v>
      </c>
      <c r="AN351" s="1">
        <v>1.0</v>
      </c>
      <c r="AO351" s="1" t="s">
        <v>229</v>
      </c>
      <c r="AQ351" s="1" t="s">
        <v>327</v>
      </c>
      <c r="AR351" s="1" t="s">
        <v>192</v>
      </c>
      <c r="AS351" s="1" t="s">
        <v>229</v>
      </c>
      <c r="AV351" s="1" t="s">
        <v>200</v>
      </c>
      <c r="AW351" s="1">
        <v>2315.74</v>
      </c>
      <c r="AX351" s="1">
        <v>2012.0</v>
      </c>
      <c r="AY351" s="1" t="s">
        <v>229</v>
      </c>
      <c r="AZ351" s="1" t="s">
        <v>200</v>
      </c>
      <c r="BA351" s="1" t="str">
        <f>"20101160090000"</f>
        <v>20101160090000</v>
      </c>
      <c r="BC351" s="1">
        <v>1590.0</v>
      </c>
      <c r="BD351" s="1">
        <v>89900.0</v>
      </c>
      <c r="BE351" s="2">
        <v>41963.0</v>
      </c>
      <c r="BF351" s="1" t="s">
        <v>5125</v>
      </c>
      <c r="BH351" s="1">
        <v>0.0</v>
      </c>
      <c r="BK351" s="1" t="s">
        <v>204</v>
      </c>
      <c r="BL351" s="1" t="str">
        <f>"0"</f>
        <v>0</v>
      </c>
      <c r="BM351" s="1" t="str">
        <f>"200"</f>
        <v>200</v>
      </c>
      <c r="BN351" s="1">
        <v>0.0</v>
      </c>
      <c r="BO351" s="1">
        <v>4900.0</v>
      </c>
      <c r="BQ351" s="1">
        <v>299.0</v>
      </c>
      <c r="BR351" s="1">
        <v>299.0</v>
      </c>
      <c r="BS351" s="1">
        <v>299.0</v>
      </c>
      <c r="BU351" s="1" t="s">
        <v>434</v>
      </c>
      <c r="BV351" s="1" t="s">
        <v>206</v>
      </c>
      <c r="BW351" s="1" t="s">
        <v>301</v>
      </c>
      <c r="BY351" s="1" t="s">
        <v>454</v>
      </c>
      <c r="BZ351" s="1" t="s">
        <v>209</v>
      </c>
      <c r="CA351" s="1" t="s">
        <v>210</v>
      </c>
      <c r="CC351" s="1" t="s">
        <v>215</v>
      </c>
      <c r="CD351" s="1" t="s">
        <v>206</v>
      </c>
      <c r="CE351" s="1" t="s">
        <v>301</v>
      </c>
      <c r="CG351" s="1" t="s">
        <v>3318</v>
      </c>
      <c r="CH351" s="1" t="s">
        <v>209</v>
      </c>
      <c r="CI351" s="1" t="s">
        <v>210</v>
      </c>
      <c r="CK351" s="1" t="s">
        <v>263</v>
      </c>
      <c r="CL351" s="1" t="s">
        <v>209</v>
      </c>
      <c r="CM351" s="1" t="s">
        <v>210</v>
      </c>
      <c r="CO351" s="1" t="s">
        <v>263</v>
      </c>
      <c r="CP351" s="1" t="s">
        <v>209</v>
      </c>
      <c r="CQ351" s="1" t="s">
        <v>210</v>
      </c>
      <c r="CS351" s="1" t="s">
        <v>264</v>
      </c>
      <c r="CT351" s="1" t="s">
        <v>206</v>
      </c>
      <c r="CU351" s="1" t="s">
        <v>5126</v>
      </c>
      <c r="CX351" s="1" t="s">
        <v>204</v>
      </c>
      <c r="DA351" s="1" t="s">
        <v>200</v>
      </c>
      <c r="DC351" s="1" t="s">
        <v>642</v>
      </c>
      <c r="DE351" s="1" t="s">
        <v>229</v>
      </c>
      <c r="DF351" s="1" t="s">
        <v>905</v>
      </c>
      <c r="DH351" s="1" t="s">
        <v>365</v>
      </c>
      <c r="DJ351" s="1" t="s">
        <v>222</v>
      </c>
      <c r="DL351" s="1" t="s">
        <v>223</v>
      </c>
      <c r="DM351" s="1" t="s">
        <v>3575</v>
      </c>
      <c r="DQ351" s="1" t="s">
        <v>228</v>
      </c>
      <c r="DR351" s="1" t="s">
        <v>229</v>
      </c>
      <c r="DV351" s="1" t="s">
        <v>232</v>
      </c>
      <c r="DW351" s="1" t="s">
        <v>1145</v>
      </c>
      <c r="DX351" s="1" t="s">
        <v>234</v>
      </c>
      <c r="EA351" s="1" t="s">
        <v>5127</v>
      </c>
      <c r="EC351" s="1" t="s">
        <v>237</v>
      </c>
      <c r="EE351" s="1" t="s">
        <v>1077</v>
      </c>
      <c r="EM351" s="1" t="s">
        <v>238</v>
      </c>
      <c r="EQ351" s="1" t="s">
        <v>238</v>
      </c>
      <c r="EU351" s="1" t="s">
        <v>238</v>
      </c>
      <c r="EY351" s="1" t="s">
        <v>238</v>
      </c>
      <c r="FC351" s="1" t="s">
        <v>238</v>
      </c>
      <c r="FF351" s="1" t="s">
        <v>239</v>
      </c>
      <c r="FG351" s="1" t="s">
        <v>192</v>
      </c>
      <c r="FH351" s="1" t="s">
        <v>192</v>
      </c>
      <c r="FJ351" s="1" t="s">
        <v>5128</v>
      </c>
      <c r="FK351" s="1" t="s">
        <v>229</v>
      </c>
      <c r="FL351" s="1" t="s">
        <v>5129</v>
      </c>
      <c r="FM351" s="1">
        <v>17543.0</v>
      </c>
      <c r="FN351" s="1" t="s">
        <v>5130</v>
      </c>
      <c r="FO351" s="1" t="s">
        <v>5131</v>
      </c>
      <c r="FP351" s="1">
        <v>161795.0</v>
      </c>
      <c r="FQ351" s="1" t="s">
        <v>5132</v>
      </c>
      <c r="FU351" s="1" t="s">
        <v>5133</v>
      </c>
      <c r="FV351" s="1" t="s">
        <v>192</v>
      </c>
      <c r="FW351" s="1" t="s">
        <v>530</v>
      </c>
      <c r="FX351" s="1" t="s">
        <v>655</v>
      </c>
      <c r="FZ351" s="1" t="s">
        <v>229</v>
      </c>
      <c r="GA351" s="1" t="s">
        <v>291</v>
      </c>
      <c r="GB351" s="2">
        <v>42025.0</v>
      </c>
      <c r="GC351" s="1" t="s">
        <v>5134</v>
      </c>
    </row>
    <row r="352">
      <c r="A352" s="1">
        <v>915000.0</v>
      </c>
      <c r="B352" s="1" t="s">
        <v>185</v>
      </c>
      <c r="C352" s="1" t="str">
        <f>"08787689"</f>
        <v>08787689</v>
      </c>
      <c r="D352" s="1" t="s">
        <v>186</v>
      </c>
      <c r="F352" s="1" t="str">
        <f>"8022"</f>
        <v>8022</v>
      </c>
      <c r="G352" s="2">
        <v>41960.0</v>
      </c>
      <c r="H352" s="1">
        <v>949000.0</v>
      </c>
      <c r="I352" s="1">
        <v>123.0</v>
      </c>
      <c r="J352" s="1">
        <v>949000.0</v>
      </c>
      <c r="K352" s="2">
        <v>42082.0</v>
      </c>
      <c r="L352" s="1">
        <v>123.0</v>
      </c>
      <c r="M352" s="2">
        <v>42082.0</v>
      </c>
      <c r="N352" s="1" t="s">
        <v>187</v>
      </c>
      <c r="O352" s="2">
        <v>42132.0</v>
      </c>
      <c r="P352" s="1">
        <v>859124.0</v>
      </c>
      <c r="Q352" s="1">
        <v>16734.0</v>
      </c>
      <c r="R352" s="1">
        <v>6000.0</v>
      </c>
      <c r="S352" s="1">
        <v>2214.0</v>
      </c>
      <c r="T352" s="1" t="s">
        <v>3135</v>
      </c>
      <c r="U352" s="1" t="s">
        <v>189</v>
      </c>
      <c r="V352" s="1" t="s">
        <v>190</v>
      </c>
      <c r="W352" s="1">
        <v>60647.0</v>
      </c>
      <c r="Y352" s="1" t="s">
        <v>5135</v>
      </c>
      <c r="Z352" s="1" t="s">
        <v>296</v>
      </c>
      <c r="AA352" s="1" t="s">
        <v>192</v>
      </c>
      <c r="AB352" s="1" t="s">
        <v>193</v>
      </c>
      <c r="AD352" s="1" t="s">
        <v>194</v>
      </c>
      <c r="AE352" s="1" t="s">
        <v>195</v>
      </c>
      <c r="AF352" s="1" t="s">
        <v>827</v>
      </c>
      <c r="AH352" s="1" t="s">
        <v>2611</v>
      </c>
      <c r="AK352" s="1">
        <v>9.0</v>
      </c>
      <c r="AL352" s="1">
        <v>4.0</v>
      </c>
      <c r="AM352" s="1">
        <v>3.0</v>
      </c>
      <c r="AN352" s="1">
        <v>0.0</v>
      </c>
      <c r="AO352" s="1" t="s">
        <v>198</v>
      </c>
      <c r="AP352" s="1">
        <v>1.0</v>
      </c>
      <c r="AQ352" s="1" t="s">
        <v>1314</v>
      </c>
      <c r="AR352" s="1" t="s">
        <v>200</v>
      </c>
      <c r="AS352" s="1" t="s">
        <v>199</v>
      </c>
      <c r="AT352" s="1">
        <v>2.0</v>
      </c>
      <c r="AV352" s="1" t="s">
        <v>200</v>
      </c>
      <c r="AW352" s="1">
        <v>8060.8</v>
      </c>
      <c r="AX352" s="1">
        <v>2013.0</v>
      </c>
      <c r="AY352" s="1" t="s">
        <v>387</v>
      </c>
      <c r="AZ352" s="1" t="s">
        <v>200</v>
      </c>
      <c r="BA352" s="1" t="str">
        <f>"14311040350000"</f>
        <v>14311040350000</v>
      </c>
      <c r="BB352" s="1" t="s">
        <v>200</v>
      </c>
      <c r="BC352" s="1">
        <v>3200.0</v>
      </c>
      <c r="BD352" s="1">
        <v>915000.0</v>
      </c>
      <c r="BE352" s="2">
        <v>41960.0</v>
      </c>
      <c r="BF352" s="2" t="s">
        <v>5136</v>
      </c>
      <c r="BH352" s="1">
        <v>0.0</v>
      </c>
      <c r="BK352" s="1" t="s">
        <v>204</v>
      </c>
      <c r="BL352" s="1" t="str">
        <f>"2300"</f>
        <v>2300</v>
      </c>
      <c r="BM352" s="1" t="str">
        <f>"0"</f>
        <v>0</v>
      </c>
      <c r="BN352" s="1">
        <v>2214.0</v>
      </c>
      <c r="BO352" s="1">
        <v>0.0</v>
      </c>
      <c r="BQ352" s="1">
        <v>299.0</v>
      </c>
      <c r="BR352" s="1">
        <v>299.0</v>
      </c>
      <c r="BS352" s="1">
        <v>299.0</v>
      </c>
      <c r="BU352" s="1" t="s">
        <v>1350</v>
      </c>
      <c r="BV352" s="1" t="s">
        <v>206</v>
      </c>
      <c r="BW352" s="1" t="s">
        <v>207</v>
      </c>
      <c r="BX352" s="1" t="s">
        <v>229</v>
      </c>
      <c r="BY352" s="1" t="s">
        <v>393</v>
      </c>
      <c r="BZ352" s="1" t="s">
        <v>391</v>
      </c>
      <c r="CA352" s="1" t="s">
        <v>210</v>
      </c>
      <c r="CB352" s="1" t="s">
        <v>229</v>
      </c>
      <c r="CC352" s="1" t="s">
        <v>543</v>
      </c>
      <c r="CD352" s="1" t="s">
        <v>206</v>
      </c>
      <c r="CE352" s="1" t="s">
        <v>207</v>
      </c>
      <c r="CF352" s="1" t="s">
        <v>229</v>
      </c>
      <c r="CG352" s="1" t="s">
        <v>1352</v>
      </c>
      <c r="CH352" s="1" t="s">
        <v>209</v>
      </c>
      <c r="CI352" s="1" t="s">
        <v>207</v>
      </c>
      <c r="CK352" s="1" t="s">
        <v>2461</v>
      </c>
      <c r="CL352" s="1" t="s">
        <v>209</v>
      </c>
      <c r="CM352" s="1" t="s">
        <v>210</v>
      </c>
      <c r="CN352" s="1" t="s">
        <v>229</v>
      </c>
      <c r="CO352" s="1" t="s">
        <v>3805</v>
      </c>
      <c r="CP352" s="1" t="s">
        <v>209</v>
      </c>
      <c r="CQ352" s="1" t="s">
        <v>207</v>
      </c>
      <c r="CR352" s="1" t="s">
        <v>229</v>
      </c>
      <c r="CS352" s="1" t="s">
        <v>329</v>
      </c>
      <c r="CT352" s="1" t="s">
        <v>206</v>
      </c>
      <c r="CU352" s="1" t="s">
        <v>207</v>
      </c>
      <c r="CV352" s="1" t="s">
        <v>229</v>
      </c>
      <c r="CW352" s="1" t="s">
        <v>784</v>
      </c>
      <c r="CX352" s="1" t="s">
        <v>206</v>
      </c>
      <c r="CY352" s="1" t="s">
        <v>207</v>
      </c>
      <c r="CZ352" s="1" t="s">
        <v>229</v>
      </c>
      <c r="DA352" s="1" t="s">
        <v>200</v>
      </c>
      <c r="DC352" s="1" t="s">
        <v>642</v>
      </c>
      <c r="DD352" s="1" t="s">
        <v>1930</v>
      </c>
      <c r="DE352" s="1" t="s">
        <v>273</v>
      </c>
      <c r="DF352" s="1" t="s">
        <v>219</v>
      </c>
      <c r="DG352" s="1" t="s">
        <v>5137</v>
      </c>
      <c r="DH352" s="1" t="s">
        <v>365</v>
      </c>
      <c r="DI352" s="1" t="s">
        <v>4489</v>
      </c>
      <c r="DJ352" s="1" t="s">
        <v>222</v>
      </c>
      <c r="DK352" s="1" t="s">
        <v>5138</v>
      </c>
      <c r="DL352" s="1" t="s">
        <v>3611</v>
      </c>
      <c r="DM352" s="1" t="s">
        <v>229</v>
      </c>
      <c r="DN352" s="1" t="s">
        <v>399</v>
      </c>
      <c r="DP352" s="1" t="s">
        <v>276</v>
      </c>
      <c r="DQ352" s="1" t="s">
        <v>718</v>
      </c>
      <c r="DR352" s="1" t="s">
        <v>229</v>
      </c>
      <c r="DS352" s="1" t="s">
        <v>230</v>
      </c>
      <c r="DU352" s="1" t="s">
        <v>5139</v>
      </c>
      <c r="DV352" s="1" t="s">
        <v>5140</v>
      </c>
      <c r="DW352" s="1" t="s">
        <v>3142</v>
      </c>
      <c r="DX352" s="1" t="s">
        <v>234</v>
      </c>
      <c r="DY352" s="1" t="s">
        <v>5141</v>
      </c>
      <c r="EA352" s="1" t="s">
        <v>2099</v>
      </c>
      <c r="EB352" s="1" t="s">
        <v>345</v>
      </c>
      <c r="EC352" s="1" t="s">
        <v>406</v>
      </c>
      <c r="ED352" s="1" t="s">
        <v>555</v>
      </c>
      <c r="EE352" s="1" t="s">
        <v>187</v>
      </c>
      <c r="EG352" s="1" t="s">
        <v>408</v>
      </c>
      <c r="EH352" s="1" t="s">
        <v>598</v>
      </c>
      <c r="EI352" s="1" t="s">
        <v>409</v>
      </c>
      <c r="EJ352" s="1" t="s">
        <v>310</v>
      </c>
      <c r="EK352" s="1" t="s">
        <v>588</v>
      </c>
      <c r="EL352" s="1" t="s">
        <v>3296</v>
      </c>
      <c r="EM352" s="1" t="s">
        <v>206</v>
      </c>
      <c r="EN352" s="1" t="s">
        <v>207</v>
      </c>
      <c r="EO352" s="1" t="s">
        <v>229</v>
      </c>
      <c r="EP352" s="1" t="s">
        <v>1746</v>
      </c>
      <c r="EQ352" s="1" t="s">
        <v>209</v>
      </c>
      <c r="ER352" s="1" t="s">
        <v>207</v>
      </c>
      <c r="ES352" s="1" t="s">
        <v>229</v>
      </c>
      <c r="ET352" s="1" t="s">
        <v>2467</v>
      </c>
      <c r="EU352" s="1" t="s">
        <v>391</v>
      </c>
      <c r="EV352" s="1" t="s">
        <v>210</v>
      </c>
      <c r="EW352" s="1" t="s">
        <v>229</v>
      </c>
      <c r="EX352" s="1" t="s">
        <v>1279</v>
      </c>
      <c r="EY352" s="1" t="s">
        <v>209</v>
      </c>
      <c r="EZ352" s="1" t="s">
        <v>207</v>
      </c>
      <c r="FA352" s="1" t="s">
        <v>229</v>
      </c>
      <c r="FB352" s="1" t="s">
        <v>5142</v>
      </c>
      <c r="FC352" s="1" t="s">
        <v>42</v>
      </c>
      <c r="FD352" s="1" t="s">
        <v>588</v>
      </c>
      <c r="FE352" s="1" t="s">
        <v>229</v>
      </c>
      <c r="FF352" s="1" t="s">
        <v>239</v>
      </c>
      <c r="FG352" s="1" t="s">
        <v>192</v>
      </c>
      <c r="FH352" s="1" t="s">
        <v>192</v>
      </c>
      <c r="FJ352" s="1" t="s">
        <v>799</v>
      </c>
      <c r="FK352" s="1" t="s">
        <v>229</v>
      </c>
      <c r="FL352" s="1" t="s">
        <v>562</v>
      </c>
      <c r="FM352" s="1">
        <v>17665.0</v>
      </c>
      <c r="FN352" s="1" t="s">
        <v>2998</v>
      </c>
      <c r="FO352" s="1" t="s">
        <v>5143</v>
      </c>
      <c r="FP352" s="1">
        <v>140565.0</v>
      </c>
      <c r="FQ352" s="1" t="s">
        <v>5144</v>
      </c>
      <c r="FU352" s="1" t="s">
        <v>5145</v>
      </c>
      <c r="FV352" s="1" t="s">
        <v>200</v>
      </c>
      <c r="FW352" s="1" t="s">
        <v>530</v>
      </c>
      <c r="FX352" s="1" t="s">
        <v>246</v>
      </c>
      <c r="FZ352" s="1" t="s">
        <v>229</v>
      </c>
      <c r="GA352" s="1" t="s">
        <v>291</v>
      </c>
      <c r="GB352" s="2">
        <v>42135.0</v>
      </c>
      <c r="GC352" s="1" t="s">
        <v>5146</v>
      </c>
    </row>
    <row r="353">
      <c r="A353" s="1">
        <v>353000.0</v>
      </c>
      <c r="B353" s="1" t="s">
        <v>185</v>
      </c>
      <c r="C353" s="1" t="str">
        <f>"08787063"</f>
        <v>08787063</v>
      </c>
      <c r="D353" s="1" t="s">
        <v>186</v>
      </c>
      <c r="F353" s="1" t="str">
        <f>"123"</f>
        <v>123</v>
      </c>
      <c r="G353" s="2">
        <v>41958.0</v>
      </c>
      <c r="H353" s="1">
        <v>372500.0</v>
      </c>
      <c r="I353" s="1">
        <v>195.0</v>
      </c>
      <c r="J353" s="1">
        <v>365000.0</v>
      </c>
      <c r="K353" s="2">
        <v>42073.0</v>
      </c>
      <c r="L353" s="1">
        <v>116.0</v>
      </c>
      <c r="M353" s="2">
        <v>42073.0</v>
      </c>
      <c r="N353" s="1" t="s">
        <v>187</v>
      </c>
      <c r="O353" s="2">
        <v>42135.0</v>
      </c>
      <c r="P353" s="1">
        <v>784.0</v>
      </c>
      <c r="Q353" s="1">
        <v>890.0</v>
      </c>
      <c r="S353" s="1">
        <v>3636.0</v>
      </c>
      <c r="T353" s="1" t="s">
        <v>5147</v>
      </c>
      <c r="U353" s="1" t="s">
        <v>569</v>
      </c>
      <c r="V353" s="1" t="s">
        <v>465</v>
      </c>
      <c r="W353" s="1">
        <v>60124.0</v>
      </c>
      <c r="Y353" s="1" t="s">
        <v>5148</v>
      </c>
      <c r="Z353" s="1">
        <v>2010.0</v>
      </c>
      <c r="AA353" s="1" t="s">
        <v>200</v>
      </c>
      <c r="AB353" s="1" t="s">
        <v>193</v>
      </c>
      <c r="AC353" s="1" t="s">
        <v>1970</v>
      </c>
      <c r="AD353" s="1" t="s">
        <v>469</v>
      </c>
      <c r="AE353" s="1" t="s">
        <v>325</v>
      </c>
      <c r="AF353" s="1" t="s">
        <v>572</v>
      </c>
      <c r="AG353" s="1" t="s">
        <v>5149</v>
      </c>
      <c r="AH353" s="1" t="s">
        <v>5150</v>
      </c>
      <c r="AK353" s="1">
        <v>11.0</v>
      </c>
      <c r="AL353" s="1">
        <v>4.0</v>
      </c>
      <c r="AM353" s="1">
        <v>2.0</v>
      </c>
      <c r="AN353" s="1">
        <v>1.0</v>
      </c>
      <c r="AO353" s="1" t="s">
        <v>198</v>
      </c>
      <c r="AP353" s="1">
        <v>0.0</v>
      </c>
      <c r="AQ353" s="1" t="s">
        <v>198</v>
      </c>
      <c r="AR353" s="1" t="s">
        <v>200</v>
      </c>
      <c r="AS353" s="1" t="s">
        <v>510</v>
      </c>
      <c r="AT353" s="1">
        <v>3.0</v>
      </c>
      <c r="AU353" s="1">
        <v>4.0</v>
      </c>
      <c r="AV353" s="1" t="s">
        <v>200</v>
      </c>
      <c r="AW353" s="1">
        <v>10858.0</v>
      </c>
      <c r="AX353" s="1">
        <v>2012.0</v>
      </c>
      <c r="AY353" s="1" t="s">
        <v>387</v>
      </c>
      <c r="AZ353" s="1" t="s">
        <v>200</v>
      </c>
      <c r="BA353" s="1" t="str">
        <f>"0501374015"</f>
        <v>0501374015</v>
      </c>
      <c r="BB353" s="1" t="s">
        <v>200</v>
      </c>
      <c r="BC353" s="1">
        <v>3539.0</v>
      </c>
      <c r="BD353" s="1">
        <v>353000.0</v>
      </c>
      <c r="BE353" s="2">
        <v>41958.0</v>
      </c>
      <c r="BF353" s="2" t="s">
        <v>5151</v>
      </c>
      <c r="BG353" s="1" t="s">
        <v>1974</v>
      </c>
      <c r="BH353" s="1">
        <v>38.0</v>
      </c>
      <c r="BI353" s="1" t="s">
        <v>578</v>
      </c>
      <c r="BJ353" s="1" t="s">
        <v>579</v>
      </c>
      <c r="BK353" s="1" t="s">
        <v>474</v>
      </c>
      <c r="BL353" s="1" t="str">
        <f>"11"</f>
        <v>11</v>
      </c>
      <c r="BM353" s="1" t="str">
        <f>""</f>
        <v/>
      </c>
      <c r="BN353" s="1">
        <v>38.0</v>
      </c>
      <c r="BQ353" s="1">
        <v>301.0</v>
      </c>
      <c r="BR353" s="1">
        <v>301.0</v>
      </c>
      <c r="BS353" s="1">
        <v>301.0</v>
      </c>
      <c r="BU353" s="1" t="s">
        <v>363</v>
      </c>
      <c r="BV353" s="1" t="s">
        <v>206</v>
      </c>
      <c r="BW353" s="1" t="s">
        <v>207</v>
      </c>
      <c r="BY353" s="1" t="s">
        <v>3817</v>
      </c>
      <c r="BZ353" s="1" t="s">
        <v>209</v>
      </c>
      <c r="CA353" s="1" t="s">
        <v>210</v>
      </c>
      <c r="CC353" s="1" t="s">
        <v>433</v>
      </c>
      <c r="CD353" s="1" t="s">
        <v>206</v>
      </c>
      <c r="CE353" s="1" t="s">
        <v>207</v>
      </c>
      <c r="CG353" s="1" t="s">
        <v>212</v>
      </c>
      <c r="CH353" s="1" t="s">
        <v>209</v>
      </c>
      <c r="CI353" s="1" t="s">
        <v>210</v>
      </c>
      <c r="CK353" s="1" t="s">
        <v>212</v>
      </c>
      <c r="CL353" s="1" t="s">
        <v>209</v>
      </c>
      <c r="CM353" s="1" t="s">
        <v>210</v>
      </c>
      <c r="CO353" s="1" t="s">
        <v>215</v>
      </c>
      <c r="CP353" s="1" t="s">
        <v>209</v>
      </c>
      <c r="CQ353" s="1" t="s">
        <v>210</v>
      </c>
      <c r="CS353" s="1" t="s">
        <v>769</v>
      </c>
      <c r="CT353" s="1" t="s">
        <v>206</v>
      </c>
      <c r="CU353" s="1" t="s">
        <v>207</v>
      </c>
      <c r="CW353" s="1" t="s">
        <v>480</v>
      </c>
      <c r="CX353" s="1" t="s">
        <v>206</v>
      </c>
      <c r="CY353" s="1" t="s">
        <v>210</v>
      </c>
      <c r="DA353" s="1" t="s">
        <v>200</v>
      </c>
      <c r="DC353" s="1" t="s">
        <v>1046</v>
      </c>
      <c r="DD353" s="1" t="s">
        <v>786</v>
      </c>
      <c r="DE353" s="1" t="s">
        <v>273</v>
      </c>
      <c r="DF353" s="1" t="s">
        <v>219</v>
      </c>
      <c r="DG353" s="1" t="s">
        <v>1602</v>
      </c>
      <c r="DH353" s="1" t="s">
        <v>220</v>
      </c>
      <c r="DI353" s="1" t="s">
        <v>1047</v>
      </c>
      <c r="DJ353" s="1" t="s">
        <v>222</v>
      </c>
      <c r="DL353" s="1" t="s">
        <v>484</v>
      </c>
      <c r="DM353" s="1" t="s">
        <v>338</v>
      </c>
      <c r="DN353" s="1" t="s">
        <v>485</v>
      </c>
      <c r="DO353" s="1" t="s">
        <v>5152</v>
      </c>
      <c r="DP353" s="1" t="s">
        <v>340</v>
      </c>
      <c r="DQ353" s="1" t="s">
        <v>441</v>
      </c>
      <c r="DR353" s="1" t="s">
        <v>4273</v>
      </c>
      <c r="DU353" s="1" t="s">
        <v>231</v>
      </c>
      <c r="DV353" s="1" t="s">
        <v>5153</v>
      </c>
      <c r="DW353" s="1" t="s">
        <v>233</v>
      </c>
      <c r="DX353" s="1" t="s">
        <v>234</v>
      </c>
      <c r="DY353" s="1" t="s">
        <v>1936</v>
      </c>
      <c r="DZ353" s="1" t="s">
        <v>1661</v>
      </c>
      <c r="EA353" s="1" t="s">
        <v>344</v>
      </c>
      <c r="EC353" s="1" t="s">
        <v>237</v>
      </c>
      <c r="ED353" s="1" t="s">
        <v>407</v>
      </c>
      <c r="EE353" s="1" t="s">
        <v>493</v>
      </c>
      <c r="EF353" s="1" t="s">
        <v>5154</v>
      </c>
      <c r="EG353" s="1" t="s">
        <v>556</v>
      </c>
      <c r="EH353" s="1" t="s">
        <v>598</v>
      </c>
      <c r="EI353" s="1" t="s">
        <v>341</v>
      </c>
      <c r="EJ353" s="1" t="s">
        <v>720</v>
      </c>
      <c r="EK353" s="1" t="s">
        <v>409</v>
      </c>
      <c r="EL353" s="1" t="s">
        <v>211</v>
      </c>
      <c r="EM353" s="1" t="s">
        <v>206</v>
      </c>
      <c r="EN353" s="1" t="s">
        <v>207</v>
      </c>
      <c r="EP353" s="1" t="s">
        <v>269</v>
      </c>
      <c r="EQ353" s="1" t="s">
        <v>206</v>
      </c>
      <c r="ER353" s="1" t="s">
        <v>207</v>
      </c>
      <c r="ET353" s="1" t="s">
        <v>212</v>
      </c>
      <c r="EU353" s="1" t="s">
        <v>209</v>
      </c>
      <c r="EV353" s="1" t="s">
        <v>210</v>
      </c>
      <c r="EX353" s="1" t="s">
        <v>262</v>
      </c>
      <c r="EY353" s="1" t="s">
        <v>206</v>
      </c>
      <c r="FB353" s="1" t="s">
        <v>543</v>
      </c>
      <c r="FC353" s="1" t="s">
        <v>209</v>
      </c>
      <c r="FD353" s="1" t="s">
        <v>210</v>
      </c>
      <c r="FF353" s="1" t="s">
        <v>239</v>
      </c>
      <c r="FG353" s="1" t="s">
        <v>192</v>
      </c>
      <c r="FH353" s="1" t="s">
        <v>192</v>
      </c>
      <c r="FJ353" s="1" t="s">
        <v>5155</v>
      </c>
      <c r="FK353" s="1" t="s">
        <v>229</v>
      </c>
      <c r="FL353" s="1" t="s">
        <v>456</v>
      </c>
      <c r="FM353" s="1">
        <v>23156.0</v>
      </c>
      <c r="FN353" s="1" t="s">
        <v>2553</v>
      </c>
      <c r="FO353" s="1" t="s">
        <v>5156</v>
      </c>
      <c r="FP353" s="1">
        <v>234211.0</v>
      </c>
      <c r="FQ353" s="1" t="s">
        <v>5157</v>
      </c>
      <c r="FS353" s="1" t="s">
        <v>5158</v>
      </c>
      <c r="FU353" s="1" t="s">
        <v>5159</v>
      </c>
      <c r="FV353" s="1" t="s">
        <v>200</v>
      </c>
      <c r="FW353" s="1" t="s">
        <v>290</v>
      </c>
      <c r="FZ353" s="1" t="s">
        <v>229</v>
      </c>
      <c r="GA353" s="1" t="s">
        <v>291</v>
      </c>
      <c r="GB353" s="2">
        <v>42135.0</v>
      </c>
      <c r="GC353" s="1" t="s">
        <v>5160</v>
      </c>
    </row>
    <row r="354">
      <c r="A354" s="1">
        <v>305000.0</v>
      </c>
      <c r="B354" s="1" t="s">
        <v>185</v>
      </c>
      <c r="C354" s="1" t="str">
        <f>"08860576"</f>
        <v>08860576</v>
      </c>
      <c r="D354" s="1" t="s">
        <v>186</v>
      </c>
      <c r="F354" s="1" t="str">
        <f>"8011"</f>
        <v>8011</v>
      </c>
      <c r="G354" s="2">
        <v>42076.0</v>
      </c>
      <c r="H354" s="1">
        <v>315000.0</v>
      </c>
      <c r="I354" s="1">
        <v>7.0</v>
      </c>
      <c r="J354" s="1">
        <v>315000.0</v>
      </c>
      <c r="K354" s="2">
        <v>42082.0</v>
      </c>
      <c r="L354" s="1">
        <v>7.0</v>
      </c>
      <c r="M354" s="2">
        <v>42082.0</v>
      </c>
      <c r="N354" s="1" t="s">
        <v>187</v>
      </c>
      <c r="O354" s="2">
        <v>42111.0</v>
      </c>
      <c r="P354" s="1">
        <v>122682.0</v>
      </c>
      <c r="Q354" s="1">
        <v>85360.0</v>
      </c>
      <c r="S354" s="1">
        <v>5342.0</v>
      </c>
      <c r="T354" s="1" t="s">
        <v>5161</v>
      </c>
      <c r="U354" s="1" t="s">
        <v>189</v>
      </c>
      <c r="V354" s="1" t="s">
        <v>190</v>
      </c>
      <c r="W354" s="1">
        <v>60630.0</v>
      </c>
      <c r="Y354" s="1" t="s">
        <v>5162</v>
      </c>
      <c r="Z354" s="1">
        <v>1951.0</v>
      </c>
      <c r="AA354" s="1" t="s">
        <v>192</v>
      </c>
      <c r="AB354" s="1" t="s">
        <v>193</v>
      </c>
      <c r="AD354" s="1" t="s">
        <v>194</v>
      </c>
      <c r="AE354" s="1" t="s">
        <v>195</v>
      </c>
      <c r="AF354" s="1" t="s">
        <v>196</v>
      </c>
      <c r="AH354" s="1" t="s">
        <v>1501</v>
      </c>
      <c r="AI354" s="1">
        <v>0.0861</v>
      </c>
      <c r="AK354" s="1">
        <v>9.0</v>
      </c>
      <c r="AL354" s="1">
        <v>3.0</v>
      </c>
      <c r="AM354" s="1">
        <v>3.0</v>
      </c>
      <c r="AN354" s="1">
        <v>1.0</v>
      </c>
      <c r="AO354" s="1" t="s">
        <v>198</v>
      </c>
      <c r="AP354" s="1">
        <v>0.0</v>
      </c>
      <c r="AQ354" s="1" t="s">
        <v>198</v>
      </c>
      <c r="AR354" s="1" t="s">
        <v>192</v>
      </c>
      <c r="AS354" s="1" t="s">
        <v>229</v>
      </c>
      <c r="AV354" s="1" t="s">
        <v>200</v>
      </c>
      <c r="AW354" s="1">
        <v>3977.22</v>
      </c>
      <c r="AX354" s="1">
        <v>2013.0</v>
      </c>
      <c r="AZ354" s="1" t="s">
        <v>200</v>
      </c>
      <c r="BA354" s="1" t="str">
        <f>"13091090300000"</f>
        <v>13091090300000</v>
      </c>
      <c r="BB354" s="1" t="s">
        <v>200</v>
      </c>
      <c r="BC354" s="1">
        <v>2000.0</v>
      </c>
      <c r="BD354" s="1">
        <v>305000.0</v>
      </c>
      <c r="BE354" s="2">
        <v>42076.0</v>
      </c>
      <c r="BF354" s="2" t="s">
        <v>5163</v>
      </c>
      <c r="BH354" s="1">
        <v>0.0</v>
      </c>
      <c r="BK354" s="1" t="s">
        <v>204</v>
      </c>
      <c r="BL354" s="1" t="str">
        <f>"5300"</f>
        <v>5300</v>
      </c>
      <c r="BM354" s="1" t="str">
        <f t="shared" ref="BM354:BM357" si="238">"0"</f>
        <v>0</v>
      </c>
      <c r="BN354" s="1">
        <v>5400.0</v>
      </c>
      <c r="BO354" s="1">
        <v>0.0</v>
      </c>
      <c r="BQ354" s="1">
        <v>299.0</v>
      </c>
      <c r="BR354" s="1">
        <v>299.0</v>
      </c>
      <c r="BS354" s="1">
        <v>299.0</v>
      </c>
      <c r="BU354" s="1" t="s">
        <v>2224</v>
      </c>
      <c r="BV354" s="1" t="s">
        <v>206</v>
      </c>
      <c r="BW354" s="1" t="s">
        <v>207</v>
      </c>
      <c r="BY354" s="1" t="s">
        <v>2224</v>
      </c>
      <c r="BZ354" s="1" t="s">
        <v>206</v>
      </c>
      <c r="CA354" s="1" t="s">
        <v>207</v>
      </c>
      <c r="CC354" s="1" t="s">
        <v>1796</v>
      </c>
      <c r="CD354" s="1" t="s">
        <v>206</v>
      </c>
      <c r="CE354" s="1" t="s">
        <v>207</v>
      </c>
      <c r="CF354" s="1" t="s">
        <v>431</v>
      </c>
      <c r="CG354" s="1" t="s">
        <v>393</v>
      </c>
      <c r="CH354" s="1" t="s">
        <v>209</v>
      </c>
      <c r="CI354" s="1" t="s">
        <v>210</v>
      </c>
      <c r="CK354" s="1" t="s">
        <v>331</v>
      </c>
      <c r="CL354" s="1" t="s">
        <v>209</v>
      </c>
      <c r="CM354" s="1" t="s">
        <v>210</v>
      </c>
      <c r="CO354" s="1" t="s">
        <v>495</v>
      </c>
      <c r="CP354" s="1" t="s">
        <v>42</v>
      </c>
      <c r="CQ354" s="1" t="s">
        <v>268</v>
      </c>
      <c r="CS354" s="1" t="s">
        <v>1672</v>
      </c>
      <c r="CT354" s="1" t="s">
        <v>206</v>
      </c>
      <c r="CU354" s="1" t="s">
        <v>207</v>
      </c>
      <c r="CW354" s="1" t="s">
        <v>3228</v>
      </c>
      <c r="CX354" s="1" t="s">
        <v>42</v>
      </c>
      <c r="CY354" s="1" t="s">
        <v>268</v>
      </c>
      <c r="DA354" s="1" t="s">
        <v>200</v>
      </c>
      <c r="DC354" s="1" t="s">
        <v>702</v>
      </c>
      <c r="DE354" s="1" t="s">
        <v>273</v>
      </c>
      <c r="DF354" s="1" t="s">
        <v>219</v>
      </c>
      <c r="DH354" s="1" t="s">
        <v>365</v>
      </c>
      <c r="DI354" s="1" t="s">
        <v>366</v>
      </c>
      <c r="DJ354" s="1" t="s">
        <v>222</v>
      </c>
      <c r="DL354" s="1" t="s">
        <v>224</v>
      </c>
      <c r="DM354" s="1" t="s">
        <v>1143</v>
      </c>
      <c r="DQ354" s="1" t="s">
        <v>718</v>
      </c>
      <c r="DR354" s="1" t="s">
        <v>229</v>
      </c>
      <c r="DV354" s="1" t="s">
        <v>598</v>
      </c>
      <c r="DW354" s="1" t="s">
        <v>279</v>
      </c>
      <c r="DX354" s="1" t="s">
        <v>234</v>
      </c>
      <c r="DY354" s="1" t="s">
        <v>553</v>
      </c>
      <c r="EA354" s="1" t="s">
        <v>1075</v>
      </c>
      <c r="EC354" s="1" t="s">
        <v>645</v>
      </c>
      <c r="EE354" s="1" t="s">
        <v>493</v>
      </c>
      <c r="EG354" s="1" t="s">
        <v>598</v>
      </c>
      <c r="EL354" s="1" t="s">
        <v>4153</v>
      </c>
      <c r="EM354" s="1" t="s">
        <v>209</v>
      </c>
      <c r="EN354" s="1" t="s">
        <v>210</v>
      </c>
      <c r="EQ354" s="1" t="s">
        <v>238</v>
      </c>
      <c r="EU354" s="1" t="s">
        <v>238</v>
      </c>
      <c r="EY354" s="1" t="s">
        <v>238</v>
      </c>
      <c r="FC354" s="1" t="s">
        <v>238</v>
      </c>
      <c r="FF354" s="1" t="s">
        <v>239</v>
      </c>
      <c r="FG354" s="1" t="s">
        <v>192</v>
      </c>
      <c r="FH354" s="1" t="s">
        <v>192</v>
      </c>
      <c r="FJ354" s="1" t="s">
        <v>648</v>
      </c>
      <c r="FK354" s="1" t="s">
        <v>229</v>
      </c>
      <c r="FL354" s="1" t="s">
        <v>649</v>
      </c>
      <c r="FM354" s="1">
        <v>60296.0</v>
      </c>
      <c r="FN354" s="1" t="s">
        <v>650</v>
      </c>
      <c r="FO354" s="1" t="s">
        <v>651</v>
      </c>
      <c r="FP354" s="1">
        <v>602837.0</v>
      </c>
      <c r="FQ354" s="1" t="s">
        <v>652</v>
      </c>
      <c r="FR354" s="1">
        <v>602442.0</v>
      </c>
      <c r="FU354" s="1" t="s">
        <v>653</v>
      </c>
      <c r="FV354" s="1" t="s">
        <v>200</v>
      </c>
      <c r="FW354" s="1" t="s">
        <v>654</v>
      </c>
      <c r="FX354" s="1" t="s">
        <v>238</v>
      </c>
      <c r="FZ354" s="1" t="s">
        <v>229</v>
      </c>
      <c r="GA354" s="1" t="s">
        <v>291</v>
      </c>
      <c r="GB354" s="2">
        <v>42115.0</v>
      </c>
      <c r="GC354" s="1" t="s">
        <v>1372</v>
      </c>
    </row>
    <row r="355">
      <c r="A355" s="1">
        <v>225000.0</v>
      </c>
      <c r="B355" s="1" t="s">
        <v>185</v>
      </c>
      <c r="C355" s="1" t="str">
        <f>"08806493"</f>
        <v>08806493</v>
      </c>
      <c r="D355" s="1" t="s">
        <v>186</v>
      </c>
      <c r="F355" s="1" t="str">
        <f>"8016"</f>
        <v>8016</v>
      </c>
      <c r="G355" s="2">
        <v>42000.0</v>
      </c>
      <c r="H355" s="1">
        <v>219000.0</v>
      </c>
      <c r="I355" s="1">
        <v>17.0</v>
      </c>
      <c r="J355" s="1">
        <v>219000.0</v>
      </c>
      <c r="K355" s="2">
        <v>42016.0</v>
      </c>
      <c r="L355" s="1">
        <v>17.0</v>
      </c>
      <c r="M355" s="2">
        <v>42016.0</v>
      </c>
      <c r="N355" s="1" t="s">
        <v>187</v>
      </c>
      <c r="O355" s="2">
        <v>42073.0</v>
      </c>
      <c r="P355" s="1">
        <v>120847.0</v>
      </c>
      <c r="Q355" s="1">
        <v>10274.0</v>
      </c>
      <c r="S355" s="1">
        <v>4023.0</v>
      </c>
      <c r="T355" s="1" t="s">
        <v>5164</v>
      </c>
      <c r="U355" s="1" t="s">
        <v>189</v>
      </c>
      <c r="V355" s="1" t="s">
        <v>190</v>
      </c>
      <c r="W355" s="1">
        <v>60641.0</v>
      </c>
      <c r="Y355" s="1" t="s">
        <v>5165</v>
      </c>
      <c r="Z355" s="1">
        <v>1914.0</v>
      </c>
      <c r="AA355" s="1" t="s">
        <v>192</v>
      </c>
      <c r="AB355" s="1" t="s">
        <v>193</v>
      </c>
      <c r="AD355" s="1" t="s">
        <v>194</v>
      </c>
      <c r="AE355" s="1" t="s">
        <v>195</v>
      </c>
      <c r="AF355" s="1" t="s">
        <v>196</v>
      </c>
      <c r="AH355" s="1" t="s">
        <v>3403</v>
      </c>
      <c r="AK355" s="1">
        <v>8.0</v>
      </c>
      <c r="AL355" s="1">
        <v>3.0</v>
      </c>
      <c r="AM355" s="1">
        <v>3.0</v>
      </c>
      <c r="AN355" s="1">
        <v>0.0</v>
      </c>
      <c r="AO355" s="1" t="s">
        <v>229</v>
      </c>
      <c r="AQ355" s="1" t="s">
        <v>198</v>
      </c>
      <c r="AR355" s="1" t="s">
        <v>192</v>
      </c>
      <c r="AS355" s="1" t="s">
        <v>199</v>
      </c>
      <c r="AT355" s="1">
        <v>1.0</v>
      </c>
      <c r="AV355" s="1" t="s">
        <v>200</v>
      </c>
      <c r="AW355" s="1">
        <v>4036.0</v>
      </c>
      <c r="AX355" s="1">
        <v>2013.0</v>
      </c>
      <c r="AY355" s="1" t="s">
        <v>387</v>
      </c>
      <c r="AZ355" s="1" t="s">
        <v>200</v>
      </c>
      <c r="BA355" s="1" t="str">
        <f>"13224180070000"</f>
        <v>13224180070000</v>
      </c>
      <c r="BC355" s="1">
        <v>0.0</v>
      </c>
      <c r="BD355" s="1">
        <v>225000.0</v>
      </c>
      <c r="BE355" s="2">
        <v>42000.0</v>
      </c>
      <c r="BF355" s="2" t="s">
        <v>5166</v>
      </c>
      <c r="BH355" s="1">
        <v>0.0</v>
      </c>
      <c r="BK355" s="1" t="s">
        <v>204</v>
      </c>
      <c r="BL355" s="1" t="str">
        <f>"3430"</f>
        <v>3430</v>
      </c>
      <c r="BM355" s="1" t="str">
        <f t="shared" si="238"/>
        <v>0</v>
      </c>
      <c r="BN355" s="1">
        <v>4023.0</v>
      </c>
      <c r="BO355" s="1">
        <v>0.0</v>
      </c>
      <c r="BQ355" s="1">
        <v>299.0</v>
      </c>
      <c r="BR355" s="1">
        <v>299.0</v>
      </c>
      <c r="BS355" s="1">
        <v>299.0</v>
      </c>
      <c r="BU355" s="1" t="s">
        <v>262</v>
      </c>
      <c r="BV355" s="1" t="s">
        <v>206</v>
      </c>
      <c r="BW355" s="1" t="s">
        <v>207</v>
      </c>
      <c r="BX355" s="1" t="s">
        <v>1549</v>
      </c>
      <c r="BY355" s="1" t="s">
        <v>264</v>
      </c>
      <c r="BZ355" s="1" t="s">
        <v>206</v>
      </c>
      <c r="CA355" s="1" t="s">
        <v>207</v>
      </c>
      <c r="CB355" s="1" t="s">
        <v>229</v>
      </c>
      <c r="CC355" s="1" t="s">
        <v>584</v>
      </c>
      <c r="CD355" s="1" t="s">
        <v>206</v>
      </c>
      <c r="CE355" s="1" t="s">
        <v>207</v>
      </c>
      <c r="CF355" s="1" t="s">
        <v>229</v>
      </c>
      <c r="CG355" s="1" t="s">
        <v>269</v>
      </c>
      <c r="CH355" s="1" t="s">
        <v>206</v>
      </c>
      <c r="CI355" s="1" t="s">
        <v>207</v>
      </c>
      <c r="CJ355" s="1" t="s">
        <v>229</v>
      </c>
      <c r="CK355" s="1" t="s">
        <v>584</v>
      </c>
      <c r="CL355" s="1" t="s">
        <v>209</v>
      </c>
      <c r="CM355" s="1" t="s">
        <v>210</v>
      </c>
      <c r="CN355" s="1" t="s">
        <v>229</v>
      </c>
      <c r="CO355" s="1" t="s">
        <v>269</v>
      </c>
      <c r="CP355" s="1" t="s">
        <v>42</v>
      </c>
      <c r="CQ355" s="1" t="s">
        <v>210</v>
      </c>
      <c r="CR355" s="1" t="s">
        <v>229</v>
      </c>
      <c r="CS355" s="1" t="s">
        <v>331</v>
      </c>
      <c r="CT355" s="1" t="s">
        <v>206</v>
      </c>
      <c r="CU355" s="1" t="s">
        <v>617</v>
      </c>
      <c r="CV355" s="1" t="s">
        <v>229</v>
      </c>
      <c r="CW355" s="1" t="s">
        <v>495</v>
      </c>
      <c r="CX355" s="1" t="s">
        <v>209</v>
      </c>
      <c r="CY355" s="1" t="s">
        <v>617</v>
      </c>
      <c r="CZ355" s="1" t="s">
        <v>229</v>
      </c>
      <c r="DA355" s="1" t="s">
        <v>200</v>
      </c>
      <c r="DC355" s="1" t="s">
        <v>642</v>
      </c>
      <c r="DD355" s="1" t="s">
        <v>786</v>
      </c>
      <c r="DE355" s="1" t="s">
        <v>1139</v>
      </c>
      <c r="DF355" s="1" t="s">
        <v>219</v>
      </c>
      <c r="DH355" s="1" t="s">
        <v>220</v>
      </c>
      <c r="DI355" s="1" t="s">
        <v>1120</v>
      </c>
      <c r="DJ355" s="1" t="s">
        <v>222</v>
      </c>
      <c r="DK355" s="1" t="s">
        <v>224</v>
      </c>
      <c r="DL355" s="1" t="s">
        <v>858</v>
      </c>
      <c r="DM355" s="1" t="s">
        <v>229</v>
      </c>
      <c r="DO355" s="1" t="s">
        <v>549</v>
      </c>
      <c r="DP355" s="1" t="s">
        <v>340</v>
      </c>
      <c r="DQ355" s="1" t="s">
        <v>794</v>
      </c>
      <c r="DR355" s="1" t="s">
        <v>229</v>
      </c>
      <c r="DS355" s="1" t="s">
        <v>230</v>
      </c>
      <c r="DU355" s="1" t="s">
        <v>2070</v>
      </c>
      <c r="DV355" s="1" t="s">
        <v>374</v>
      </c>
      <c r="DW355" s="1" t="s">
        <v>370</v>
      </c>
      <c r="DX355" s="1" t="s">
        <v>234</v>
      </c>
      <c r="DY355" s="1" t="s">
        <v>4097</v>
      </c>
      <c r="EC355" s="1" t="s">
        <v>645</v>
      </c>
      <c r="EG355" s="1" t="s">
        <v>374</v>
      </c>
      <c r="EL355" s="1" t="s">
        <v>1760</v>
      </c>
      <c r="EM355" s="1" t="s">
        <v>206</v>
      </c>
      <c r="EN355" s="1" t="s">
        <v>210</v>
      </c>
      <c r="EO355" s="1" t="s">
        <v>229</v>
      </c>
      <c r="EQ355" s="1" t="s">
        <v>238</v>
      </c>
      <c r="EU355" s="1" t="s">
        <v>238</v>
      </c>
      <c r="EY355" s="1" t="s">
        <v>238</v>
      </c>
      <c r="FC355" s="1" t="s">
        <v>238</v>
      </c>
      <c r="FF355" s="1" t="s">
        <v>239</v>
      </c>
      <c r="FG355" s="1" t="s">
        <v>192</v>
      </c>
      <c r="FH355" s="1" t="s">
        <v>192</v>
      </c>
      <c r="FJ355" s="1" t="s">
        <v>524</v>
      </c>
      <c r="FK355" s="1" t="s">
        <v>229</v>
      </c>
      <c r="FL355" s="1" t="s">
        <v>3156</v>
      </c>
      <c r="FM355" s="1">
        <v>84729.0</v>
      </c>
      <c r="FN355" s="1" t="s">
        <v>3157</v>
      </c>
      <c r="FO355" s="1" t="s">
        <v>5167</v>
      </c>
      <c r="FP355" s="1">
        <v>123342.0</v>
      </c>
      <c r="FQ355" s="1" t="s">
        <v>5168</v>
      </c>
      <c r="FU355" s="1" t="s">
        <v>5169</v>
      </c>
      <c r="FV355" s="1" t="s">
        <v>200</v>
      </c>
      <c r="FW355" s="1" t="s">
        <v>290</v>
      </c>
      <c r="FX355" s="1" t="s">
        <v>246</v>
      </c>
      <c r="FZ355" s="1" t="s">
        <v>229</v>
      </c>
      <c r="GA355" s="1" t="s">
        <v>291</v>
      </c>
      <c r="GB355" s="2">
        <v>42073.0</v>
      </c>
      <c r="GC355" s="1" t="s">
        <v>5170</v>
      </c>
    </row>
    <row r="356">
      <c r="A356" s="1">
        <v>625000.0</v>
      </c>
      <c r="B356" s="1" t="s">
        <v>185</v>
      </c>
      <c r="C356" s="1" t="str">
        <f>"08791441"</f>
        <v>08791441</v>
      </c>
      <c r="D356" s="1" t="s">
        <v>186</v>
      </c>
      <c r="F356" s="1" t="str">
        <f>"8021"</f>
        <v>8021</v>
      </c>
      <c r="G356" s="2">
        <v>41965.0</v>
      </c>
      <c r="H356" s="1">
        <v>649000.0</v>
      </c>
      <c r="I356" s="1">
        <v>19.0</v>
      </c>
      <c r="J356" s="1">
        <v>649000.0</v>
      </c>
      <c r="K356" s="2">
        <v>41983.0</v>
      </c>
      <c r="L356" s="1">
        <v>19.0</v>
      </c>
      <c r="M356" s="2">
        <v>41983.0</v>
      </c>
      <c r="N356" s="1" t="s">
        <v>187</v>
      </c>
      <c r="O356" s="2">
        <v>42034.0</v>
      </c>
      <c r="P356" s="1">
        <v>164725.0</v>
      </c>
      <c r="Q356" s="1">
        <v>84025.0</v>
      </c>
      <c r="R356" s="1">
        <v>2500.0</v>
      </c>
      <c r="S356" s="1">
        <v>2902.0</v>
      </c>
      <c r="T356" s="1" t="s">
        <v>5171</v>
      </c>
      <c r="U356" s="1" t="s">
        <v>189</v>
      </c>
      <c r="V356" s="1" t="s">
        <v>190</v>
      </c>
      <c r="W356" s="1">
        <v>60618.0</v>
      </c>
      <c r="Y356" s="1" t="s">
        <v>5172</v>
      </c>
      <c r="Z356" s="1">
        <v>1903.0</v>
      </c>
      <c r="AA356" s="1" t="s">
        <v>192</v>
      </c>
      <c r="AB356" s="1" t="s">
        <v>193</v>
      </c>
      <c r="AD356" s="1" t="s">
        <v>194</v>
      </c>
      <c r="AE356" s="1" t="s">
        <v>195</v>
      </c>
      <c r="AF356" s="1" t="s">
        <v>196</v>
      </c>
      <c r="AH356" s="1" t="s">
        <v>359</v>
      </c>
      <c r="AK356" s="1">
        <v>9.0</v>
      </c>
      <c r="AL356" s="1">
        <v>3.0</v>
      </c>
      <c r="AM356" s="1">
        <v>3.0</v>
      </c>
      <c r="AN356" s="1">
        <v>1.0</v>
      </c>
      <c r="AO356" s="1" t="s">
        <v>198</v>
      </c>
      <c r="AQ356" s="1" t="s">
        <v>198</v>
      </c>
      <c r="AR356" s="1" t="s">
        <v>192</v>
      </c>
      <c r="AS356" s="1" t="s">
        <v>199</v>
      </c>
      <c r="AT356" s="1">
        <v>2.0</v>
      </c>
      <c r="AV356" s="1" t="s">
        <v>200</v>
      </c>
      <c r="AW356" s="1">
        <v>6376.0</v>
      </c>
      <c r="AX356" s="1">
        <v>2013.0</v>
      </c>
      <c r="AY356" s="1" t="s">
        <v>229</v>
      </c>
      <c r="AZ356" s="1" t="s">
        <v>200</v>
      </c>
      <c r="BA356" s="1" t="str">
        <f>"13251200320000"</f>
        <v>13251200320000</v>
      </c>
      <c r="BB356" s="1" t="s">
        <v>200</v>
      </c>
      <c r="BC356" s="1">
        <v>2700.0</v>
      </c>
      <c r="BD356" s="1">
        <v>625000.0</v>
      </c>
      <c r="BE356" s="2">
        <v>41965.0</v>
      </c>
      <c r="BF356" s="2" t="s">
        <v>5173</v>
      </c>
      <c r="BH356" s="1">
        <v>0.0</v>
      </c>
      <c r="BK356" s="1" t="s">
        <v>204</v>
      </c>
      <c r="BL356" s="1" t="str">
        <f>"2902"</f>
        <v>2902</v>
      </c>
      <c r="BM356" s="1" t="str">
        <f t="shared" si="238"/>
        <v>0</v>
      </c>
      <c r="BN356" s="1">
        <v>3100.0</v>
      </c>
      <c r="BO356" s="1">
        <v>0.0</v>
      </c>
      <c r="BQ356" s="1">
        <v>299.0</v>
      </c>
      <c r="BR356" s="1">
        <v>299.0</v>
      </c>
      <c r="BS356" s="1">
        <v>299.0</v>
      </c>
      <c r="BU356" s="1" t="s">
        <v>1483</v>
      </c>
      <c r="BV356" s="1" t="s">
        <v>206</v>
      </c>
      <c r="BW356" s="1" t="s">
        <v>207</v>
      </c>
      <c r="BY356" s="1" t="s">
        <v>390</v>
      </c>
      <c r="BZ356" s="1" t="s">
        <v>209</v>
      </c>
      <c r="CA356" s="1" t="s">
        <v>210</v>
      </c>
      <c r="CC356" s="1" t="s">
        <v>332</v>
      </c>
      <c r="CD356" s="1" t="s">
        <v>206</v>
      </c>
      <c r="CE356" s="1" t="s">
        <v>207</v>
      </c>
      <c r="CG356" s="1" t="s">
        <v>392</v>
      </c>
      <c r="CH356" s="1" t="s">
        <v>209</v>
      </c>
      <c r="CI356" s="1" t="s">
        <v>210</v>
      </c>
      <c r="CK356" s="1" t="s">
        <v>212</v>
      </c>
      <c r="CL356" s="1" t="s">
        <v>209</v>
      </c>
      <c r="CM356" s="1" t="s">
        <v>210</v>
      </c>
      <c r="CO356" s="1" t="s">
        <v>266</v>
      </c>
      <c r="CP356" s="1" t="s">
        <v>42</v>
      </c>
      <c r="CQ356" s="1" t="s">
        <v>210</v>
      </c>
      <c r="CS356" s="1" t="s">
        <v>3054</v>
      </c>
      <c r="CT356" s="1" t="s">
        <v>206</v>
      </c>
      <c r="CU356" s="1" t="s">
        <v>207</v>
      </c>
      <c r="CW356" s="1" t="s">
        <v>392</v>
      </c>
      <c r="CX356" s="1" t="s">
        <v>206</v>
      </c>
      <c r="CY356" s="1" t="s">
        <v>207</v>
      </c>
      <c r="DA356" s="1" t="s">
        <v>200</v>
      </c>
      <c r="DC356" s="1" t="s">
        <v>642</v>
      </c>
      <c r="DD356" s="1" t="s">
        <v>3633</v>
      </c>
      <c r="DE356" s="1" t="s">
        <v>1810</v>
      </c>
      <c r="DF356" s="1" t="s">
        <v>1811</v>
      </c>
      <c r="DH356" s="1" t="s">
        <v>220</v>
      </c>
      <c r="DI356" s="1" t="s">
        <v>732</v>
      </c>
      <c r="DJ356" s="1" t="s">
        <v>222</v>
      </c>
      <c r="DK356" s="1" t="s">
        <v>3740</v>
      </c>
      <c r="DL356" s="1" t="s">
        <v>224</v>
      </c>
      <c r="DM356" s="1" t="s">
        <v>229</v>
      </c>
      <c r="DN356" s="1" t="s">
        <v>485</v>
      </c>
      <c r="DQ356" s="1" t="s">
        <v>228</v>
      </c>
      <c r="DR356" s="1" t="s">
        <v>229</v>
      </c>
      <c r="DS356" s="1" t="s">
        <v>368</v>
      </c>
      <c r="DU356" s="1" t="s">
        <v>1933</v>
      </c>
      <c r="DV356" s="1" t="s">
        <v>5174</v>
      </c>
      <c r="DW356" s="1" t="s">
        <v>5175</v>
      </c>
      <c r="DX356" s="1" t="s">
        <v>234</v>
      </c>
      <c r="DY356" s="1" t="s">
        <v>1051</v>
      </c>
      <c r="DZ356" s="1" t="s">
        <v>236</v>
      </c>
      <c r="EC356" s="1" t="s">
        <v>237</v>
      </c>
      <c r="ED356" s="1" t="s">
        <v>407</v>
      </c>
      <c r="EG356" s="1" t="s">
        <v>450</v>
      </c>
      <c r="EH356" s="1" t="s">
        <v>409</v>
      </c>
      <c r="EL356" s="1" t="s">
        <v>4387</v>
      </c>
      <c r="EM356" s="1" t="s">
        <v>42</v>
      </c>
      <c r="EN356" s="1" t="s">
        <v>210</v>
      </c>
      <c r="EP356" s="1" t="s">
        <v>4413</v>
      </c>
      <c r="EQ356" s="1" t="s">
        <v>209</v>
      </c>
      <c r="ER356" s="1" t="s">
        <v>210</v>
      </c>
      <c r="EU356" s="1" t="s">
        <v>238</v>
      </c>
      <c r="EY356" s="1" t="s">
        <v>238</v>
      </c>
      <c r="FC356" s="1" t="s">
        <v>238</v>
      </c>
      <c r="FF356" s="1" t="s">
        <v>239</v>
      </c>
      <c r="FG356" s="1" t="s">
        <v>192</v>
      </c>
      <c r="FH356" s="1" t="s">
        <v>192</v>
      </c>
      <c r="FJ356" s="1" t="s">
        <v>2285</v>
      </c>
      <c r="FK356" s="1" t="s">
        <v>229</v>
      </c>
      <c r="FL356" s="1" t="s">
        <v>1358</v>
      </c>
      <c r="FM356" s="1">
        <v>10272.0</v>
      </c>
      <c r="FN356" s="1" t="s">
        <v>3233</v>
      </c>
      <c r="FO356" s="1" t="s">
        <v>5176</v>
      </c>
      <c r="FP356" s="1">
        <v>102966.0</v>
      </c>
      <c r="FQ356" s="1" t="s">
        <v>5177</v>
      </c>
      <c r="FU356" s="1" t="s">
        <v>5178</v>
      </c>
      <c r="FV356" s="1" t="s">
        <v>192</v>
      </c>
      <c r="FW356" s="1" t="s">
        <v>530</v>
      </c>
      <c r="FX356" s="1" t="s">
        <v>238</v>
      </c>
      <c r="FZ356" s="1" t="s">
        <v>229</v>
      </c>
      <c r="GA356" s="1" t="s">
        <v>291</v>
      </c>
      <c r="GB356" s="2">
        <v>42035.0</v>
      </c>
      <c r="GC356" s="1" t="s">
        <v>5179</v>
      </c>
    </row>
    <row r="357">
      <c r="A357" s="1">
        <v>430000.0</v>
      </c>
      <c r="B357" s="1" t="s">
        <v>185</v>
      </c>
      <c r="C357" s="1" t="str">
        <f>"08793857"</f>
        <v>08793857</v>
      </c>
      <c r="D357" s="1" t="s">
        <v>186</v>
      </c>
      <c r="F357" s="1" t="str">
        <f>"8012"</f>
        <v>8012</v>
      </c>
      <c r="G357" s="2">
        <v>41972.0</v>
      </c>
      <c r="H357" s="1">
        <v>449900.0</v>
      </c>
      <c r="I357" s="1">
        <v>8.0</v>
      </c>
      <c r="J357" s="1">
        <v>449900.0</v>
      </c>
      <c r="K357" s="2">
        <v>41979.0</v>
      </c>
      <c r="L357" s="1">
        <v>8.0</v>
      </c>
      <c r="M357" s="2">
        <v>41979.0</v>
      </c>
      <c r="N357" s="1" t="s">
        <v>187</v>
      </c>
      <c r="O357" s="2">
        <v>42019.0</v>
      </c>
      <c r="P357" s="1">
        <v>103063.0</v>
      </c>
      <c r="Q357" s="1">
        <v>10274.0</v>
      </c>
      <c r="S357" s="1">
        <v>7000.0</v>
      </c>
      <c r="T357" s="1" t="s">
        <v>5180</v>
      </c>
      <c r="U357" s="1" t="s">
        <v>189</v>
      </c>
      <c r="V357" s="1" t="s">
        <v>190</v>
      </c>
      <c r="W357" s="1">
        <v>60646.0</v>
      </c>
      <c r="Y357" s="1" t="s">
        <v>5181</v>
      </c>
      <c r="Z357" s="1">
        <v>1947.0</v>
      </c>
      <c r="AA357" s="1" t="s">
        <v>192</v>
      </c>
      <c r="AB357" s="1" t="s">
        <v>193</v>
      </c>
      <c r="AC357" s="1" t="s">
        <v>5182</v>
      </c>
      <c r="AD357" s="1" t="s">
        <v>194</v>
      </c>
      <c r="AE357" s="1" t="s">
        <v>195</v>
      </c>
      <c r="AF357" s="1" t="s">
        <v>196</v>
      </c>
      <c r="AH357" s="1" t="s">
        <v>5183</v>
      </c>
      <c r="AK357" s="1">
        <v>8.0</v>
      </c>
      <c r="AL357" s="1">
        <v>4.0</v>
      </c>
      <c r="AM357" s="1">
        <v>2.0</v>
      </c>
      <c r="AN357" s="1">
        <v>0.0</v>
      </c>
      <c r="AO357" s="1" t="s">
        <v>229</v>
      </c>
      <c r="AP357" s="1">
        <v>1.0</v>
      </c>
      <c r="AQ357" s="1" t="s">
        <v>198</v>
      </c>
      <c r="AR357" s="1" t="s">
        <v>200</v>
      </c>
      <c r="AS357" s="1" t="s">
        <v>199</v>
      </c>
      <c r="AT357" s="1">
        <v>1.0</v>
      </c>
      <c r="AV357" s="1" t="s">
        <v>200</v>
      </c>
      <c r="AW357" s="3">
        <v>6305.0</v>
      </c>
      <c r="AX357" s="1">
        <v>2013.0</v>
      </c>
      <c r="AY357" s="1" t="s">
        <v>1179</v>
      </c>
      <c r="AZ357" s="1" t="s">
        <v>200</v>
      </c>
      <c r="BA357" s="1" t="str">
        <f>"10321220120000"</f>
        <v>10321220120000</v>
      </c>
      <c r="BB357" s="1" t="s">
        <v>200</v>
      </c>
      <c r="BC357" s="1">
        <v>1174.0</v>
      </c>
      <c r="BD357" s="1">
        <v>430000.0</v>
      </c>
      <c r="BE357" s="2">
        <v>41972.0</v>
      </c>
      <c r="BF357" s="2" t="s">
        <v>5184</v>
      </c>
      <c r="BH357" s="1">
        <v>0.0</v>
      </c>
      <c r="BK357" s="1" t="s">
        <v>204</v>
      </c>
      <c r="BL357" s="1" t="str">
        <f>"7000"</f>
        <v>7000</v>
      </c>
      <c r="BM357" s="1" t="str">
        <f t="shared" si="238"/>
        <v>0</v>
      </c>
      <c r="BN357" s="1">
        <v>6200.0</v>
      </c>
      <c r="BO357" s="1">
        <v>0.0</v>
      </c>
      <c r="BQ357" s="1">
        <v>299.0</v>
      </c>
      <c r="BR357" s="1">
        <v>299.0</v>
      </c>
      <c r="BS357" s="1">
        <v>299.0</v>
      </c>
      <c r="BU357" s="1" t="s">
        <v>453</v>
      </c>
      <c r="BV357" s="1" t="s">
        <v>206</v>
      </c>
      <c r="BW357" s="1" t="s">
        <v>207</v>
      </c>
      <c r="BX357" s="1" t="s">
        <v>1549</v>
      </c>
      <c r="BY357" s="1" t="s">
        <v>262</v>
      </c>
      <c r="BZ357" s="1" t="s">
        <v>206</v>
      </c>
      <c r="CA357" s="1" t="s">
        <v>207</v>
      </c>
      <c r="CB357" s="1" t="s">
        <v>431</v>
      </c>
      <c r="CC357" s="1" t="s">
        <v>212</v>
      </c>
      <c r="CD357" s="1" t="s">
        <v>206</v>
      </c>
      <c r="CE357" s="1" t="s">
        <v>207</v>
      </c>
      <c r="CF357" s="1" t="s">
        <v>431</v>
      </c>
      <c r="CG357" s="1" t="s">
        <v>264</v>
      </c>
      <c r="CH357" s="1" t="s">
        <v>206</v>
      </c>
      <c r="CI357" s="1" t="s">
        <v>207</v>
      </c>
      <c r="CJ357" s="1" t="s">
        <v>431</v>
      </c>
      <c r="CK357" s="1" t="s">
        <v>743</v>
      </c>
      <c r="CL357" s="1" t="s">
        <v>209</v>
      </c>
      <c r="CM357" s="1" t="s">
        <v>207</v>
      </c>
      <c r="CN357" s="1" t="s">
        <v>431</v>
      </c>
      <c r="CO357" s="1" t="s">
        <v>214</v>
      </c>
      <c r="CP357" s="1" t="s">
        <v>209</v>
      </c>
      <c r="CQ357" s="1" t="s">
        <v>207</v>
      </c>
      <c r="CS357" s="1" t="s">
        <v>1939</v>
      </c>
      <c r="CT357" s="1" t="s">
        <v>206</v>
      </c>
      <c r="CU357" s="1" t="s">
        <v>268</v>
      </c>
      <c r="CX357" s="1" t="s">
        <v>204</v>
      </c>
      <c r="DA357" s="1" t="s">
        <v>200</v>
      </c>
      <c r="DC357" s="1" t="s">
        <v>702</v>
      </c>
      <c r="DD357" s="1" t="s">
        <v>518</v>
      </c>
      <c r="DE357" s="1" t="s">
        <v>273</v>
      </c>
      <c r="DF357" s="1" t="s">
        <v>905</v>
      </c>
      <c r="DG357" s="1" t="s">
        <v>1400</v>
      </c>
      <c r="DH357" s="1" t="s">
        <v>307</v>
      </c>
      <c r="DI357" s="1" t="s">
        <v>703</v>
      </c>
      <c r="DJ357" s="1" t="s">
        <v>222</v>
      </c>
      <c r="DL357" s="1" t="s">
        <v>223</v>
      </c>
      <c r="DM357" s="1" t="s">
        <v>792</v>
      </c>
      <c r="DO357" s="1" t="s">
        <v>590</v>
      </c>
      <c r="DP357" s="1" t="s">
        <v>340</v>
      </c>
      <c r="DQ357" s="1" t="s">
        <v>228</v>
      </c>
      <c r="DR357" s="1" t="s">
        <v>229</v>
      </c>
      <c r="DS357" s="1" t="s">
        <v>401</v>
      </c>
      <c r="DV357" s="1" t="s">
        <v>5001</v>
      </c>
      <c r="DW357" s="1" t="s">
        <v>279</v>
      </c>
      <c r="DX357" s="1" t="s">
        <v>234</v>
      </c>
      <c r="DY357" s="1" t="s">
        <v>553</v>
      </c>
      <c r="DZ357" s="1" t="s">
        <v>282</v>
      </c>
      <c r="EA357" s="1" t="s">
        <v>1075</v>
      </c>
      <c r="EB357" s="1" t="s">
        <v>345</v>
      </c>
      <c r="EC357" s="1" t="s">
        <v>645</v>
      </c>
      <c r="ED357" s="1" t="s">
        <v>407</v>
      </c>
      <c r="EE357" s="1" t="s">
        <v>187</v>
      </c>
      <c r="EG357" s="1" t="s">
        <v>341</v>
      </c>
      <c r="EH357" s="1" t="s">
        <v>408</v>
      </c>
      <c r="EL357" s="1" t="s">
        <v>543</v>
      </c>
      <c r="EM357" s="1" t="s">
        <v>209</v>
      </c>
      <c r="EP357" s="1" t="s">
        <v>5185</v>
      </c>
      <c r="EQ357" s="1" t="s">
        <v>206</v>
      </c>
      <c r="ER357" s="1" t="s">
        <v>207</v>
      </c>
      <c r="EU357" s="1" t="s">
        <v>238</v>
      </c>
      <c r="EY357" s="1" t="s">
        <v>238</v>
      </c>
      <c r="FC357" s="1" t="s">
        <v>238</v>
      </c>
      <c r="FF357" s="1" t="s">
        <v>239</v>
      </c>
      <c r="FG357" s="1" t="s">
        <v>192</v>
      </c>
      <c r="FH357" s="1" t="s">
        <v>192</v>
      </c>
      <c r="FJ357" s="1" t="s">
        <v>2262</v>
      </c>
      <c r="FK357" s="1" t="s">
        <v>229</v>
      </c>
      <c r="FL357" s="1" t="s">
        <v>456</v>
      </c>
      <c r="FM357" s="1">
        <v>10013.0</v>
      </c>
      <c r="FN357" s="1" t="s">
        <v>2428</v>
      </c>
      <c r="FO357" s="1" t="s">
        <v>5186</v>
      </c>
      <c r="FP357" s="1">
        <v>133912.0</v>
      </c>
      <c r="FQ357" s="1" t="s">
        <v>5187</v>
      </c>
      <c r="FS357" s="1" t="s">
        <v>5188</v>
      </c>
      <c r="FU357" s="1" t="s">
        <v>5189</v>
      </c>
      <c r="FV357" s="1" t="s">
        <v>200</v>
      </c>
      <c r="FW357" s="1" t="s">
        <v>530</v>
      </c>
      <c r="FX357" s="1" t="s">
        <v>238</v>
      </c>
      <c r="FZ357" s="1" t="s">
        <v>229</v>
      </c>
      <c r="GA357" s="1" t="s">
        <v>291</v>
      </c>
      <c r="GB357" s="2">
        <v>42019.0</v>
      </c>
      <c r="GC357" s="1" t="s">
        <v>5190</v>
      </c>
    </row>
    <row r="358">
      <c r="A358" s="1">
        <v>236000.0</v>
      </c>
      <c r="B358" s="1" t="s">
        <v>185</v>
      </c>
      <c r="C358" s="1" t="str">
        <f>"08788330"</f>
        <v>08788330</v>
      </c>
      <c r="D358" s="1" t="s">
        <v>186</v>
      </c>
      <c r="F358" s="1" t="str">
        <f>"542"</f>
        <v>542</v>
      </c>
      <c r="G358" s="2">
        <v>41961.0</v>
      </c>
      <c r="H358" s="1">
        <v>258500.0</v>
      </c>
      <c r="I358" s="1">
        <v>160.0</v>
      </c>
      <c r="J358" s="1">
        <v>239500.0</v>
      </c>
      <c r="K358" s="2">
        <v>42118.0</v>
      </c>
      <c r="L358" s="1">
        <v>160.0</v>
      </c>
      <c r="M358" s="2">
        <v>42118.0</v>
      </c>
      <c r="N358" s="1" t="s">
        <v>356</v>
      </c>
      <c r="O358" s="2">
        <v>42145.0</v>
      </c>
      <c r="P358" s="1">
        <v>704989.0</v>
      </c>
      <c r="Q358" s="1">
        <v>79798.0</v>
      </c>
      <c r="R358" s="1">
        <v>6300.0</v>
      </c>
      <c r="S358" s="1">
        <v>706.0</v>
      </c>
      <c r="T358" s="1" t="s">
        <v>5191</v>
      </c>
      <c r="U358" s="1" t="s">
        <v>569</v>
      </c>
      <c r="V358" s="1" t="s">
        <v>3984</v>
      </c>
      <c r="W358" s="1">
        <v>60542.0</v>
      </c>
      <c r="Y358" s="1" t="s">
        <v>5192</v>
      </c>
      <c r="Z358" s="1">
        <v>1994.0</v>
      </c>
      <c r="AA358" s="1" t="s">
        <v>200</v>
      </c>
      <c r="AB358" s="1" t="s">
        <v>193</v>
      </c>
      <c r="AD358" s="1" t="s">
        <v>1089</v>
      </c>
      <c r="AE358" s="1" t="s">
        <v>325</v>
      </c>
      <c r="AF358" s="1" t="s">
        <v>2702</v>
      </c>
      <c r="AH358" s="1" t="s">
        <v>5193</v>
      </c>
      <c r="AI358" s="1">
        <v>0.23</v>
      </c>
      <c r="AK358" s="1">
        <v>10.0</v>
      </c>
      <c r="AL358" s="1">
        <v>4.0</v>
      </c>
      <c r="AM358" s="1">
        <v>2.0</v>
      </c>
      <c r="AN358" s="1">
        <v>1.0</v>
      </c>
      <c r="AO358" s="1" t="s">
        <v>198</v>
      </c>
      <c r="AP358" s="1">
        <v>1.0</v>
      </c>
      <c r="AQ358" s="1" t="s">
        <v>198</v>
      </c>
      <c r="AR358" s="1" t="s">
        <v>200</v>
      </c>
      <c r="AS358" s="1" t="s">
        <v>199</v>
      </c>
      <c r="AT358" s="1">
        <v>2.0</v>
      </c>
      <c r="AV358" s="1" t="s">
        <v>200</v>
      </c>
      <c r="AW358" s="1">
        <v>8164.44</v>
      </c>
      <c r="AX358" s="1">
        <v>2013.0</v>
      </c>
      <c r="AY358" s="1" t="s">
        <v>387</v>
      </c>
      <c r="AZ358" s="1" t="s">
        <v>200</v>
      </c>
      <c r="BA358" s="1" t="str">
        <f>"1234228007"</f>
        <v>1234228007</v>
      </c>
      <c r="BB358" s="1" t="s">
        <v>200</v>
      </c>
      <c r="BC358" s="1">
        <v>2226.0</v>
      </c>
      <c r="BD358" s="1">
        <v>236000.0</v>
      </c>
      <c r="BE358" s="2">
        <v>41959.0</v>
      </c>
      <c r="BF358" s="2" t="s">
        <v>5194</v>
      </c>
      <c r="BH358" s="1">
        <v>0.0</v>
      </c>
      <c r="BK358" s="1" t="s">
        <v>204</v>
      </c>
      <c r="BL358" s="1" t="str">
        <f t="shared" ref="BL358:BM358" si="239">"0"</f>
        <v>0</v>
      </c>
      <c r="BM358" s="1" t="str">
        <f t="shared" si="239"/>
        <v>0</v>
      </c>
      <c r="BN358" s="1">
        <v>35.0</v>
      </c>
      <c r="BO358" s="1">
        <v>3.0</v>
      </c>
      <c r="BQ358" s="1">
        <v>129.0</v>
      </c>
      <c r="BR358" s="1">
        <v>129.0</v>
      </c>
      <c r="BS358" s="1">
        <v>129.0</v>
      </c>
      <c r="BU358" s="1" t="s">
        <v>300</v>
      </c>
      <c r="BV358" s="1" t="s">
        <v>206</v>
      </c>
      <c r="BW358" s="1" t="s">
        <v>207</v>
      </c>
      <c r="BY358" s="1" t="s">
        <v>362</v>
      </c>
      <c r="BZ358" s="1" t="s">
        <v>209</v>
      </c>
      <c r="CA358" s="1" t="s">
        <v>210</v>
      </c>
      <c r="CC358" s="1" t="s">
        <v>212</v>
      </c>
      <c r="CD358" s="1" t="s">
        <v>206</v>
      </c>
      <c r="CE358" s="1" t="s">
        <v>210</v>
      </c>
      <c r="CG358" s="1" t="s">
        <v>1417</v>
      </c>
      <c r="CH358" s="1" t="s">
        <v>209</v>
      </c>
      <c r="CI358" s="1" t="s">
        <v>210</v>
      </c>
      <c r="CK358" s="1" t="s">
        <v>329</v>
      </c>
      <c r="CL358" s="1" t="s">
        <v>209</v>
      </c>
      <c r="CM358" s="1" t="s">
        <v>210</v>
      </c>
      <c r="CO358" s="1" t="s">
        <v>699</v>
      </c>
      <c r="CP358" s="1" t="s">
        <v>209</v>
      </c>
      <c r="CQ358" s="1" t="s">
        <v>210</v>
      </c>
      <c r="CS358" s="1" t="s">
        <v>304</v>
      </c>
      <c r="CT358" s="1" t="s">
        <v>206</v>
      </c>
      <c r="CU358" s="1" t="s">
        <v>207</v>
      </c>
      <c r="CW358" s="1" t="s">
        <v>1600</v>
      </c>
      <c r="CX358" s="1" t="s">
        <v>206</v>
      </c>
      <c r="CY358" s="1" t="s">
        <v>210</v>
      </c>
      <c r="DA358" s="1" t="s">
        <v>200</v>
      </c>
      <c r="DC358" s="1" t="s">
        <v>435</v>
      </c>
      <c r="DD358" s="1" t="s">
        <v>926</v>
      </c>
      <c r="DE358" s="1" t="s">
        <v>273</v>
      </c>
      <c r="DF358" s="1" t="s">
        <v>219</v>
      </c>
      <c r="DG358" s="1" t="s">
        <v>482</v>
      </c>
      <c r="DH358" s="1" t="s">
        <v>220</v>
      </c>
      <c r="DI358" s="1" t="s">
        <v>221</v>
      </c>
      <c r="DJ358" s="1" t="s">
        <v>222</v>
      </c>
      <c r="DL358" s="1" t="s">
        <v>224</v>
      </c>
      <c r="DM358" s="1" t="s">
        <v>338</v>
      </c>
      <c r="DN358" s="1" t="s">
        <v>1023</v>
      </c>
      <c r="DO358" s="1" t="s">
        <v>549</v>
      </c>
      <c r="DP358" s="1" t="s">
        <v>276</v>
      </c>
      <c r="DQ358" s="1" t="s">
        <v>441</v>
      </c>
      <c r="DR358" s="1" t="s">
        <v>229</v>
      </c>
      <c r="DS358" s="1" t="s">
        <v>230</v>
      </c>
      <c r="DU358" s="1" t="s">
        <v>5195</v>
      </c>
      <c r="DV358" s="1" t="s">
        <v>5196</v>
      </c>
      <c r="DW358" s="1" t="s">
        <v>370</v>
      </c>
      <c r="DX358" s="1" t="s">
        <v>234</v>
      </c>
      <c r="DY358" s="1" t="s">
        <v>5197</v>
      </c>
      <c r="DZ358" s="1" t="s">
        <v>310</v>
      </c>
      <c r="EA358" s="1" t="s">
        <v>344</v>
      </c>
      <c r="EB358" s="1" t="s">
        <v>937</v>
      </c>
      <c r="EC358" s="1" t="s">
        <v>237</v>
      </c>
      <c r="ED358" s="1" t="s">
        <v>407</v>
      </c>
      <c r="EE358" s="1" t="s">
        <v>493</v>
      </c>
      <c r="EH358" s="1" t="s">
        <v>450</v>
      </c>
      <c r="EI358" s="1" t="s">
        <v>451</v>
      </c>
      <c r="EJ358" s="1" t="s">
        <v>408</v>
      </c>
      <c r="EK358" s="1" t="s">
        <v>2313</v>
      </c>
      <c r="EM358" s="1" t="s">
        <v>238</v>
      </c>
      <c r="EP358" s="1" t="s">
        <v>5198</v>
      </c>
      <c r="EQ358" s="1" t="s">
        <v>42</v>
      </c>
      <c r="ER358" s="1" t="s">
        <v>210</v>
      </c>
      <c r="ES358" s="1" t="s">
        <v>1549</v>
      </c>
      <c r="ET358" s="1" t="s">
        <v>2219</v>
      </c>
      <c r="EU358" s="1" t="s">
        <v>42</v>
      </c>
      <c r="EV358" s="1" t="s">
        <v>588</v>
      </c>
      <c r="EX358" s="1" t="s">
        <v>411</v>
      </c>
      <c r="EY358" s="1" t="s">
        <v>206</v>
      </c>
      <c r="EZ358" s="1" t="s">
        <v>207</v>
      </c>
      <c r="FA358" s="1" t="s">
        <v>229</v>
      </c>
      <c r="FB358" s="1" t="s">
        <v>599</v>
      </c>
      <c r="FC358" s="1" t="s">
        <v>206</v>
      </c>
      <c r="FD358" s="1" t="s">
        <v>207</v>
      </c>
      <c r="FE358" s="1" t="s">
        <v>431</v>
      </c>
      <c r="FF358" s="1" t="s">
        <v>239</v>
      </c>
      <c r="FG358" s="1" t="s">
        <v>192</v>
      </c>
      <c r="FH358" s="1" t="s">
        <v>192</v>
      </c>
      <c r="FJ358" s="1" t="s">
        <v>347</v>
      </c>
      <c r="FK358" s="1" t="s">
        <v>229</v>
      </c>
      <c r="FL358" s="1" t="s">
        <v>2263</v>
      </c>
      <c r="FM358" s="1">
        <v>890.0</v>
      </c>
      <c r="FN358" s="1" t="s">
        <v>5199</v>
      </c>
      <c r="FO358" s="1" t="s">
        <v>5200</v>
      </c>
      <c r="FP358" s="1">
        <v>290.0</v>
      </c>
      <c r="FQ358" s="1" t="s">
        <v>5201</v>
      </c>
      <c r="FR358" s="1">
        <v>7618.0</v>
      </c>
      <c r="FU358" s="1" t="s">
        <v>5202</v>
      </c>
      <c r="FV358" s="1" t="s">
        <v>200</v>
      </c>
      <c r="FW358" s="1" t="s">
        <v>290</v>
      </c>
      <c r="FZ358" s="1" t="s">
        <v>229</v>
      </c>
      <c r="GA358" s="1" t="s">
        <v>291</v>
      </c>
      <c r="GB358" s="2">
        <v>42145.0</v>
      </c>
      <c r="GC358" s="1" t="s">
        <v>5203</v>
      </c>
    </row>
    <row r="359">
      <c r="A359" s="1">
        <v>440000.0</v>
      </c>
      <c r="B359" s="1" t="s">
        <v>185</v>
      </c>
      <c r="C359" s="1" t="str">
        <f>"08795008"</f>
        <v>08795008</v>
      </c>
      <c r="D359" s="1" t="s">
        <v>186</v>
      </c>
      <c r="F359" s="1" t="str">
        <f>"10"</f>
        <v>10</v>
      </c>
      <c r="G359" s="2">
        <v>41975.0</v>
      </c>
      <c r="H359" s="1">
        <v>465000.0</v>
      </c>
      <c r="I359" s="1">
        <v>46.0</v>
      </c>
      <c r="J359" s="1">
        <v>455000.0</v>
      </c>
      <c r="K359" s="2">
        <v>42020.0</v>
      </c>
      <c r="L359" s="1">
        <v>46.0</v>
      </c>
      <c r="M359" s="2">
        <v>42020.0</v>
      </c>
      <c r="N359" s="1" t="s">
        <v>187</v>
      </c>
      <c r="O359" s="2">
        <v>42060.0</v>
      </c>
      <c r="P359" s="1">
        <v>61410.0</v>
      </c>
      <c r="Q359" s="1">
        <v>4777.0</v>
      </c>
      <c r="S359" s="1">
        <v>511.0</v>
      </c>
      <c r="T359" s="1" t="s">
        <v>5204</v>
      </c>
      <c r="U359" s="1" t="s">
        <v>569</v>
      </c>
      <c r="V359" s="1" t="s">
        <v>914</v>
      </c>
      <c r="W359" s="1">
        <v>60010.0</v>
      </c>
      <c r="Y359" s="1" t="s">
        <v>5205</v>
      </c>
      <c r="Z359" s="1">
        <v>1978.0</v>
      </c>
      <c r="AA359" s="1" t="s">
        <v>200</v>
      </c>
      <c r="AB359" s="1" t="s">
        <v>193</v>
      </c>
      <c r="AD359" s="1" t="s">
        <v>916</v>
      </c>
      <c r="AE359" s="1" t="s">
        <v>917</v>
      </c>
      <c r="AF359" s="1" t="s">
        <v>918</v>
      </c>
      <c r="AH359" s="1" t="s">
        <v>5206</v>
      </c>
      <c r="AI359" s="1">
        <v>0.6679</v>
      </c>
      <c r="AK359" s="1">
        <v>8.0</v>
      </c>
      <c r="AL359" s="1">
        <v>4.0</v>
      </c>
      <c r="AM359" s="1">
        <v>2.0</v>
      </c>
      <c r="AN359" s="1">
        <v>1.0</v>
      </c>
      <c r="AO359" s="1" t="s">
        <v>198</v>
      </c>
      <c r="AP359" s="1">
        <v>1.0</v>
      </c>
      <c r="AQ359" s="1" t="s">
        <v>198</v>
      </c>
      <c r="AR359" s="1" t="s">
        <v>200</v>
      </c>
      <c r="AS359" s="1" t="s">
        <v>199</v>
      </c>
      <c r="AT359" s="1">
        <v>3.0</v>
      </c>
      <c r="AV359" s="1" t="s">
        <v>200</v>
      </c>
      <c r="AW359" s="1">
        <v>9297.11</v>
      </c>
      <c r="AX359" s="1">
        <v>2013.0</v>
      </c>
      <c r="AY359" s="1" t="s">
        <v>387</v>
      </c>
      <c r="AZ359" s="1" t="s">
        <v>200</v>
      </c>
      <c r="BA359" s="1" t="str">
        <f>"14332030110000"</f>
        <v>14332030110000</v>
      </c>
      <c r="BC359" s="1">
        <v>2765.0</v>
      </c>
      <c r="BD359" s="1">
        <v>440000.0</v>
      </c>
      <c r="BE359" s="2">
        <v>41975.0</v>
      </c>
      <c r="BF359" s="2" t="s">
        <v>5207</v>
      </c>
      <c r="BG359" s="1" t="s">
        <v>921</v>
      </c>
      <c r="BH359" s="1">
        <v>0.0</v>
      </c>
      <c r="BI359" s="1" t="s">
        <v>922</v>
      </c>
      <c r="BJ359" s="1" t="s">
        <v>923</v>
      </c>
      <c r="BK359" s="1" t="s">
        <v>204</v>
      </c>
      <c r="BL359" s="1" t="str">
        <f>"20"</f>
        <v>20</v>
      </c>
      <c r="BM359" s="1" t="str">
        <f t="shared" ref="BM359:BM360" si="240">"0"</f>
        <v>0</v>
      </c>
      <c r="BN359" s="1">
        <v>22.0</v>
      </c>
      <c r="BO359" s="1">
        <v>0.0</v>
      </c>
      <c r="BQ359" s="1">
        <v>95.0</v>
      </c>
      <c r="BR359" s="1">
        <v>95.0</v>
      </c>
      <c r="BS359" s="1">
        <v>95.0</v>
      </c>
      <c r="BV359" s="1" t="s">
        <v>204</v>
      </c>
      <c r="BY359" s="1" t="s">
        <v>260</v>
      </c>
      <c r="BZ359" s="1" t="s">
        <v>209</v>
      </c>
      <c r="CA359" s="1" t="s">
        <v>207</v>
      </c>
      <c r="CC359" s="1" t="s">
        <v>584</v>
      </c>
      <c r="CD359" s="1" t="s">
        <v>206</v>
      </c>
      <c r="CE359" s="1" t="s">
        <v>207</v>
      </c>
      <c r="CG359" s="1" t="s">
        <v>584</v>
      </c>
      <c r="CH359" s="1" t="s">
        <v>209</v>
      </c>
      <c r="CI359" s="1" t="s">
        <v>207</v>
      </c>
      <c r="CK359" s="1" t="s">
        <v>215</v>
      </c>
      <c r="CL359" s="1" t="s">
        <v>209</v>
      </c>
      <c r="CM359" s="1" t="s">
        <v>207</v>
      </c>
      <c r="CO359" s="1" t="s">
        <v>497</v>
      </c>
      <c r="CP359" s="1" t="s">
        <v>209</v>
      </c>
      <c r="CQ359" s="1" t="s">
        <v>207</v>
      </c>
      <c r="CS359" s="1" t="s">
        <v>584</v>
      </c>
      <c r="CT359" s="1" t="s">
        <v>206</v>
      </c>
      <c r="CU359" s="1" t="s">
        <v>617</v>
      </c>
      <c r="CW359" s="1" t="s">
        <v>4560</v>
      </c>
      <c r="CX359" s="1" t="s">
        <v>206</v>
      </c>
      <c r="CY359" s="1" t="s">
        <v>207</v>
      </c>
      <c r="DA359" s="1" t="s">
        <v>200</v>
      </c>
      <c r="DC359" s="1" t="s">
        <v>395</v>
      </c>
      <c r="DD359" s="1" t="s">
        <v>586</v>
      </c>
      <c r="DE359" s="1" t="s">
        <v>273</v>
      </c>
      <c r="DF359" s="1" t="s">
        <v>219</v>
      </c>
      <c r="DH359" s="1" t="s">
        <v>856</v>
      </c>
      <c r="DI359" s="1" t="s">
        <v>1223</v>
      </c>
      <c r="DJ359" s="1" t="s">
        <v>857</v>
      </c>
      <c r="DK359" s="1" t="s">
        <v>223</v>
      </c>
      <c r="DL359" s="1" t="s">
        <v>858</v>
      </c>
      <c r="DM359" s="1" t="s">
        <v>229</v>
      </c>
      <c r="DP359" s="1" t="s">
        <v>340</v>
      </c>
      <c r="DQ359" s="1" t="s">
        <v>1557</v>
      </c>
      <c r="DR359" s="1" t="s">
        <v>229</v>
      </c>
      <c r="DU359" s="1" t="s">
        <v>5208</v>
      </c>
      <c r="DV359" s="1" t="s">
        <v>5209</v>
      </c>
      <c r="DW359" s="1" t="s">
        <v>279</v>
      </c>
      <c r="DX359" s="1" t="s">
        <v>234</v>
      </c>
      <c r="DZ359" s="1" t="s">
        <v>5210</v>
      </c>
      <c r="EA359" s="1" t="s">
        <v>3308</v>
      </c>
      <c r="EB359" s="1" t="s">
        <v>345</v>
      </c>
      <c r="EC359" s="1" t="s">
        <v>237</v>
      </c>
      <c r="ED359" s="1" t="s">
        <v>407</v>
      </c>
      <c r="EG359" s="1" t="s">
        <v>449</v>
      </c>
      <c r="EH359" s="1" t="s">
        <v>2877</v>
      </c>
      <c r="EJ359" s="1" t="s">
        <v>408</v>
      </c>
      <c r="EK359" s="1" t="s">
        <v>2313</v>
      </c>
      <c r="EL359" s="1" t="s">
        <v>332</v>
      </c>
      <c r="EM359" s="1" t="s">
        <v>206</v>
      </c>
      <c r="EN359" s="1" t="s">
        <v>617</v>
      </c>
      <c r="EP359" s="1" t="s">
        <v>940</v>
      </c>
      <c r="EQ359" s="1" t="s">
        <v>206</v>
      </c>
      <c r="ER359" s="1" t="s">
        <v>617</v>
      </c>
      <c r="EU359" s="1" t="s">
        <v>238</v>
      </c>
      <c r="EX359" s="1" t="s">
        <v>5211</v>
      </c>
      <c r="EY359" s="1" t="s">
        <v>206</v>
      </c>
      <c r="EZ359" s="1" t="s">
        <v>207</v>
      </c>
      <c r="FB359" s="1" t="s">
        <v>5212</v>
      </c>
      <c r="FC359" s="1" t="s">
        <v>42</v>
      </c>
      <c r="FF359" s="1" t="s">
        <v>239</v>
      </c>
      <c r="FG359" s="1" t="s">
        <v>192</v>
      </c>
      <c r="FH359" s="1" t="s">
        <v>192</v>
      </c>
      <c r="FJ359" s="1" t="s">
        <v>5213</v>
      </c>
      <c r="FK359" s="1" t="s">
        <v>229</v>
      </c>
      <c r="FL359" s="1" t="s">
        <v>456</v>
      </c>
      <c r="FM359" s="1">
        <v>6026.0</v>
      </c>
      <c r="FN359" s="1" t="s">
        <v>3545</v>
      </c>
      <c r="FO359" s="1" t="s">
        <v>5214</v>
      </c>
      <c r="FP359" s="1">
        <v>62933.0</v>
      </c>
      <c r="FQ359" s="1" t="s">
        <v>5215</v>
      </c>
      <c r="FU359" s="1" t="s">
        <v>5216</v>
      </c>
      <c r="FV359" s="1" t="s">
        <v>200</v>
      </c>
      <c r="FW359" s="1" t="s">
        <v>290</v>
      </c>
      <c r="FZ359" s="1" t="s">
        <v>2993</v>
      </c>
      <c r="GA359" s="1" t="s">
        <v>291</v>
      </c>
      <c r="GB359" s="2">
        <v>42061.0</v>
      </c>
    </row>
    <row r="360">
      <c r="A360" s="1">
        <v>550000.0</v>
      </c>
      <c r="B360" s="1" t="s">
        <v>185</v>
      </c>
      <c r="C360" s="1" t="str">
        <f>"08788267"</f>
        <v>08788267</v>
      </c>
      <c r="D360" s="1" t="s">
        <v>186</v>
      </c>
      <c r="F360" s="1" t="str">
        <f>"177"</f>
        <v>177</v>
      </c>
      <c r="G360" s="2">
        <v>41961.0</v>
      </c>
      <c r="H360" s="1">
        <v>575000.0</v>
      </c>
      <c r="I360" s="1">
        <v>118.0</v>
      </c>
      <c r="J360" s="1">
        <v>562500.0</v>
      </c>
      <c r="K360" s="2">
        <v>42078.0</v>
      </c>
      <c r="L360" s="1">
        <v>118.0</v>
      </c>
      <c r="M360" s="2">
        <v>42078.0</v>
      </c>
      <c r="N360" s="1" t="s">
        <v>187</v>
      </c>
      <c r="O360" s="2">
        <v>42135.0</v>
      </c>
      <c r="P360" s="1">
        <v>227650.0</v>
      </c>
      <c r="Q360" s="1">
        <v>25244.0</v>
      </c>
      <c r="S360" s="1">
        <v>691.0</v>
      </c>
      <c r="T360" s="1" t="s">
        <v>5217</v>
      </c>
      <c r="U360" s="1" t="s">
        <v>1174</v>
      </c>
      <c r="V360" s="1" t="s">
        <v>2249</v>
      </c>
      <c r="W360" s="1">
        <v>60177.0</v>
      </c>
      <c r="Y360" s="1" t="s">
        <v>5218</v>
      </c>
      <c r="Z360" s="1">
        <v>2000.0</v>
      </c>
      <c r="AA360" s="1" t="s">
        <v>200</v>
      </c>
      <c r="AB360" s="1" t="s">
        <v>467</v>
      </c>
      <c r="AC360" s="1" t="s">
        <v>4508</v>
      </c>
      <c r="AD360" s="1" t="s">
        <v>2252</v>
      </c>
      <c r="AE360" s="1" t="s">
        <v>325</v>
      </c>
      <c r="AF360" s="1" t="s">
        <v>1203</v>
      </c>
      <c r="AH360" s="1" t="s">
        <v>5219</v>
      </c>
      <c r="AI360" s="1">
        <v>0.3026</v>
      </c>
      <c r="AK360" s="1">
        <v>12.0</v>
      </c>
      <c r="AL360" s="1">
        <v>4.0</v>
      </c>
      <c r="AM360" s="1">
        <v>5.0</v>
      </c>
      <c r="AN360" s="1">
        <v>0.0</v>
      </c>
      <c r="AO360" s="1" t="s">
        <v>198</v>
      </c>
      <c r="AP360" s="1">
        <v>1.0</v>
      </c>
      <c r="AQ360" s="1" t="s">
        <v>198</v>
      </c>
      <c r="AR360" s="1" t="s">
        <v>192</v>
      </c>
      <c r="AS360" s="1" t="s">
        <v>199</v>
      </c>
      <c r="AT360" s="1">
        <v>3.0</v>
      </c>
      <c r="AV360" s="1" t="s">
        <v>200</v>
      </c>
      <c r="AW360" s="1">
        <v>16065.98</v>
      </c>
      <c r="AX360" s="1">
        <v>2013.0</v>
      </c>
      <c r="AY360" s="1" t="s">
        <v>387</v>
      </c>
      <c r="AZ360" s="1" t="s">
        <v>200</v>
      </c>
      <c r="BA360" s="1" t="str">
        <f>"0905181012"</f>
        <v>0905181012</v>
      </c>
      <c r="BB360" s="1" t="s">
        <v>200</v>
      </c>
      <c r="BC360" s="1">
        <v>4075.0</v>
      </c>
      <c r="BD360" s="1">
        <v>550000.0</v>
      </c>
      <c r="BE360" s="2">
        <v>41961.0</v>
      </c>
      <c r="BF360" s="2" t="s">
        <v>5220</v>
      </c>
      <c r="BG360" s="1" t="s">
        <v>5221</v>
      </c>
      <c r="BH360" s="1">
        <v>117.0</v>
      </c>
      <c r="BI360" s="1" t="s">
        <v>4511</v>
      </c>
      <c r="BJ360" s="1" t="s">
        <v>2200</v>
      </c>
      <c r="BK360" s="1" t="s">
        <v>1952</v>
      </c>
      <c r="BL360" s="1" t="str">
        <f>"7"</f>
        <v>7</v>
      </c>
      <c r="BM360" s="1" t="str">
        <f t="shared" si="240"/>
        <v>0</v>
      </c>
      <c r="BN360" s="1">
        <v>37.0</v>
      </c>
      <c r="BO360" s="1">
        <v>0.0</v>
      </c>
      <c r="BQ360" s="1">
        <v>303.0</v>
      </c>
      <c r="BR360" s="1">
        <v>303.0</v>
      </c>
      <c r="BS360" s="1">
        <v>303.0</v>
      </c>
      <c r="BU360" s="1" t="s">
        <v>264</v>
      </c>
      <c r="BV360" s="1" t="s">
        <v>206</v>
      </c>
      <c r="BW360" s="1" t="s">
        <v>210</v>
      </c>
      <c r="BX360" s="1" t="s">
        <v>261</v>
      </c>
      <c r="BY360" s="1" t="s">
        <v>1953</v>
      </c>
      <c r="BZ360" s="1" t="s">
        <v>209</v>
      </c>
      <c r="CA360" s="1" t="s">
        <v>210</v>
      </c>
      <c r="CB360" s="1" t="s">
        <v>261</v>
      </c>
      <c r="CC360" s="1" t="s">
        <v>363</v>
      </c>
      <c r="CD360" s="1" t="s">
        <v>206</v>
      </c>
      <c r="CE360" s="1" t="s">
        <v>207</v>
      </c>
      <c r="CF360" s="1" t="s">
        <v>261</v>
      </c>
      <c r="CG360" s="1" t="s">
        <v>616</v>
      </c>
      <c r="CH360" s="1" t="s">
        <v>209</v>
      </c>
      <c r="CI360" s="1" t="s">
        <v>210</v>
      </c>
      <c r="CJ360" s="1" t="s">
        <v>261</v>
      </c>
      <c r="CK360" s="1" t="s">
        <v>584</v>
      </c>
      <c r="CL360" s="1" t="s">
        <v>209</v>
      </c>
      <c r="CM360" s="1" t="s">
        <v>210</v>
      </c>
      <c r="CN360" s="1" t="s">
        <v>261</v>
      </c>
      <c r="CO360" s="1" t="s">
        <v>478</v>
      </c>
      <c r="CP360" s="1" t="s">
        <v>209</v>
      </c>
      <c r="CQ360" s="1" t="s">
        <v>210</v>
      </c>
      <c r="CR360" s="1" t="s">
        <v>261</v>
      </c>
      <c r="CS360" s="1" t="s">
        <v>5222</v>
      </c>
      <c r="CT360" s="1" t="s">
        <v>206</v>
      </c>
      <c r="CU360" s="1" t="s">
        <v>207</v>
      </c>
      <c r="CV360" s="1" t="s">
        <v>431</v>
      </c>
      <c r="CW360" s="1" t="s">
        <v>5223</v>
      </c>
      <c r="CX360" s="1" t="s">
        <v>206</v>
      </c>
      <c r="CY360" s="1" t="s">
        <v>210</v>
      </c>
      <c r="CZ360" s="1" t="s">
        <v>431</v>
      </c>
      <c r="DA360" s="1" t="s">
        <v>200</v>
      </c>
      <c r="DC360" s="1" t="s">
        <v>335</v>
      </c>
      <c r="DD360" s="1" t="s">
        <v>1552</v>
      </c>
      <c r="DE360" s="1" t="s">
        <v>273</v>
      </c>
      <c r="DF360" s="1" t="s">
        <v>219</v>
      </c>
      <c r="DG360" s="1" t="s">
        <v>5224</v>
      </c>
      <c r="DH360" s="1" t="s">
        <v>220</v>
      </c>
      <c r="DI360" s="1" t="s">
        <v>5225</v>
      </c>
      <c r="DJ360" s="1" t="s">
        <v>222</v>
      </c>
      <c r="DK360" s="1" t="s">
        <v>223</v>
      </c>
      <c r="DL360" s="1" t="s">
        <v>224</v>
      </c>
      <c r="DM360" s="1" t="s">
        <v>338</v>
      </c>
      <c r="DN360" s="1" t="s">
        <v>5226</v>
      </c>
      <c r="DP360" s="1" t="s">
        <v>340</v>
      </c>
      <c r="DQ360" s="1" t="s">
        <v>441</v>
      </c>
      <c r="DR360" s="1" t="s">
        <v>2593</v>
      </c>
      <c r="DS360" s="1" t="s">
        <v>591</v>
      </c>
      <c r="DU360" s="1" t="s">
        <v>1355</v>
      </c>
      <c r="DV360" s="1" t="s">
        <v>5227</v>
      </c>
      <c r="DW360" s="1" t="s">
        <v>764</v>
      </c>
      <c r="DX360" s="1" t="s">
        <v>234</v>
      </c>
      <c r="DY360" s="1" t="s">
        <v>5228</v>
      </c>
      <c r="DZ360" s="1" t="s">
        <v>5229</v>
      </c>
      <c r="EA360" s="1" t="s">
        <v>344</v>
      </c>
      <c r="EB360" s="1" t="s">
        <v>5230</v>
      </c>
      <c r="EC360" s="1" t="s">
        <v>237</v>
      </c>
      <c r="ED360" s="1" t="s">
        <v>407</v>
      </c>
      <c r="EG360" s="1" t="s">
        <v>494</v>
      </c>
      <c r="EH360" s="1" t="s">
        <v>1407</v>
      </c>
      <c r="EI360" s="1" t="s">
        <v>1824</v>
      </c>
      <c r="EK360" s="1" t="s">
        <v>408</v>
      </c>
      <c r="EL360" s="1" t="s">
        <v>584</v>
      </c>
      <c r="EM360" s="1" t="s">
        <v>206</v>
      </c>
      <c r="EN360" s="1" t="s">
        <v>210</v>
      </c>
      <c r="EO360" s="1" t="s">
        <v>431</v>
      </c>
      <c r="EP360" s="1" t="s">
        <v>375</v>
      </c>
      <c r="EQ360" s="1" t="s">
        <v>42</v>
      </c>
      <c r="ER360" s="1" t="s">
        <v>210</v>
      </c>
      <c r="ET360" s="1" t="s">
        <v>303</v>
      </c>
      <c r="EU360" s="1" t="s">
        <v>42</v>
      </c>
      <c r="EV360" s="1" t="s">
        <v>588</v>
      </c>
      <c r="EY360" s="1" t="s">
        <v>238</v>
      </c>
      <c r="FB360" s="1" t="s">
        <v>433</v>
      </c>
      <c r="FC360" s="1" t="s">
        <v>206</v>
      </c>
      <c r="FD360" s="1" t="s">
        <v>207</v>
      </c>
      <c r="FF360" s="1" t="s">
        <v>239</v>
      </c>
      <c r="FG360" s="1" t="s">
        <v>192</v>
      </c>
      <c r="FH360" s="1" t="s">
        <v>192</v>
      </c>
      <c r="FJ360" s="1" t="s">
        <v>5231</v>
      </c>
      <c r="FK360" s="1" t="s">
        <v>229</v>
      </c>
      <c r="FL360" s="1" t="s">
        <v>456</v>
      </c>
      <c r="FM360" s="1">
        <v>49.0</v>
      </c>
      <c r="FN360" s="1" t="s">
        <v>457</v>
      </c>
      <c r="FO360" s="1" t="s">
        <v>5232</v>
      </c>
      <c r="FP360" s="1">
        <v>7841.0</v>
      </c>
      <c r="FS360" s="1" t="s">
        <v>5233</v>
      </c>
      <c r="FU360" s="1" t="s">
        <v>5234</v>
      </c>
      <c r="FV360" s="1" t="s">
        <v>200</v>
      </c>
      <c r="FW360" s="1" t="s">
        <v>290</v>
      </c>
      <c r="FZ360" s="1" t="s">
        <v>229</v>
      </c>
      <c r="GA360" s="1" t="s">
        <v>291</v>
      </c>
      <c r="GB360" s="2">
        <v>42136.0</v>
      </c>
      <c r="GC360" s="1" t="s">
        <v>5235</v>
      </c>
    </row>
    <row r="361">
      <c r="A361" s="1">
        <v>450000.0</v>
      </c>
      <c r="B361" s="1" t="s">
        <v>185</v>
      </c>
      <c r="C361" s="1" t="str">
        <f>"08798389"</f>
        <v>08798389</v>
      </c>
      <c r="D361" s="1" t="s">
        <v>186</v>
      </c>
      <c r="F361" s="1" t="str">
        <f>"10"</f>
        <v>10</v>
      </c>
      <c r="G361" s="2">
        <v>41981.0</v>
      </c>
      <c r="H361" s="1">
        <v>498000.0</v>
      </c>
      <c r="I361" s="1">
        <v>45.0</v>
      </c>
      <c r="J361" s="1">
        <v>498000.0</v>
      </c>
      <c r="K361" s="2">
        <v>42025.0</v>
      </c>
      <c r="L361" s="1">
        <v>45.0</v>
      </c>
      <c r="M361" s="2">
        <v>42025.0</v>
      </c>
      <c r="N361" s="1" t="s">
        <v>249</v>
      </c>
      <c r="O361" s="2">
        <v>42037.0</v>
      </c>
      <c r="P361" s="1">
        <v>40121.0</v>
      </c>
      <c r="Q361" s="1">
        <v>6093.0</v>
      </c>
      <c r="S361" s="1">
        <v>16.0</v>
      </c>
      <c r="T361" s="1" t="s">
        <v>5236</v>
      </c>
      <c r="U361" s="1" t="s">
        <v>464</v>
      </c>
      <c r="V361" s="1" t="s">
        <v>5237</v>
      </c>
      <c r="W361" s="1">
        <v>60010.0</v>
      </c>
      <c r="Y361" s="1" t="s">
        <v>5238</v>
      </c>
      <c r="Z361" s="1">
        <v>1968.0</v>
      </c>
      <c r="AA361" s="1" t="s">
        <v>192</v>
      </c>
      <c r="AB361" s="1" t="s">
        <v>193</v>
      </c>
      <c r="AD361" s="1" t="s">
        <v>5239</v>
      </c>
      <c r="AE361" s="1" t="s">
        <v>195</v>
      </c>
      <c r="AF361" s="1" t="s">
        <v>1948</v>
      </c>
      <c r="AH361" s="1" t="s">
        <v>5240</v>
      </c>
      <c r="AI361" s="1">
        <v>1.467</v>
      </c>
      <c r="AK361" s="1">
        <v>9.0</v>
      </c>
      <c r="AL361" s="1">
        <v>4.0</v>
      </c>
      <c r="AM361" s="1">
        <v>3.0</v>
      </c>
      <c r="AN361" s="1">
        <v>0.0</v>
      </c>
      <c r="AO361" s="1" t="s">
        <v>198</v>
      </c>
      <c r="AP361" s="1">
        <v>2.0</v>
      </c>
      <c r="AQ361" s="1" t="s">
        <v>198</v>
      </c>
      <c r="AR361" s="1" t="s">
        <v>200</v>
      </c>
      <c r="AS361" s="1" t="s">
        <v>199</v>
      </c>
      <c r="AT361" s="1">
        <v>2.0</v>
      </c>
      <c r="AV361" s="1" t="s">
        <v>200</v>
      </c>
      <c r="AW361" s="1">
        <v>8867.0</v>
      </c>
      <c r="AX361" s="1">
        <v>2013.0</v>
      </c>
      <c r="AZ361" s="1" t="s">
        <v>200</v>
      </c>
      <c r="BA361" s="1" t="str">
        <f>"01264020020000"</f>
        <v>01264020020000</v>
      </c>
      <c r="BC361" s="1">
        <v>2854.0</v>
      </c>
      <c r="BD361" s="1">
        <v>450000.0</v>
      </c>
      <c r="BE361" s="2">
        <v>41981.0</v>
      </c>
      <c r="BF361" s="2" t="s">
        <v>5241</v>
      </c>
      <c r="BG361" s="1" t="s">
        <v>5242</v>
      </c>
      <c r="BH361" s="1">
        <v>50.0</v>
      </c>
      <c r="BI361" s="1" t="s">
        <v>5243</v>
      </c>
      <c r="BJ361" s="1" t="s">
        <v>1714</v>
      </c>
      <c r="BK361" s="1" t="s">
        <v>580</v>
      </c>
      <c r="BL361" s="1" t="str">
        <f t="shared" ref="BL361:BM361" si="241">""</f>
        <v/>
      </c>
      <c r="BM361" s="1" t="str">
        <f t="shared" si="241"/>
        <v/>
      </c>
      <c r="BQ361" s="1">
        <v>220.0</v>
      </c>
      <c r="BR361" s="1">
        <v>220.0</v>
      </c>
      <c r="BS361" s="1">
        <v>220.0</v>
      </c>
      <c r="BU361" s="1" t="s">
        <v>304</v>
      </c>
      <c r="BV361" s="1" t="s">
        <v>206</v>
      </c>
      <c r="BW361" s="1" t="s">
        <v>207</v>
      </c>
      <c r="BY361" s="1" t="s">
        <v>2273</v>
      </c>
      <c r="BZ361" s="1" t="s">
        <v>209</v>
      </c>
      <c r="CA361" s="1" t="s">
        <v>207</v>
      </c>
      <c r="CC361" s="1" t="s">
        <v>1064</v>
      </c>
      <c r="CD361" s="1" t="s">
        <v>206</v>
      </c>
      <c r="CE361" s="1" t="s">
        <v>207</v>
      </c>
      <c r="CG361" s="1" t="s">
        <v>1395</v>
      </c>
      <c r="CH361" s="1" t="s">
        <v>209</v>
      </c>
      <c r="CI361" s="1" t="s">
        <v>207</v>
      </c>
      <c r="CK361" s="1" t="s">
        <v>300</v>
      </c>
      <c r="CL361" s="1" t="s">
        <v>209</v>
      </c>
      <c r="CM361" s="1" t="s">
        <v>207</v>
      </c>
      <c r="CO361" s="1" t="s">
        <v>677</v>
      </c>
      <c r="CP361" s="1" t="s">
        <v>209</v>
      </c>
      <c r="CQ361" s="1" t="s">
        <v>207</v>
      </c>
      <c r="CS361" s="1" t="s">
        <v>302</v>
      </c>
      <c r="CT361" s="1" t="s">
        <v>206</v>
      </c>
      <c r="CU361" s="1" t="s">
        <v>207</v>
      </c>
      <c r="CW361" s="1" t="s">
        <v>2564</v>
      </c>
      <c r="CX361" s="1" t="s">
        <v>206</v>
      </c>
      <c r="CY361" s="1" t="s">
        <v>207</v>
      </c>
      <c r="DA361" s="1" t="s">
        <v>200</v>
      </c>
      <c r="DC361" s="1" t="s">
        <v>517</v>
      </c>
      <c r="DE361" s="1" t="s">
        <v>273</v>
      </c>
      <c r="DF361" s="1" t="s">
        <v>619</v>
      </c>
      <c r="DG361" s="1" t="s">
        <v>1553</v>
      </c>
      <c r="DH361" s="1" t="s">
        <v>856</v>
      </c>
      <c r="DJ361" s="1" t="s">
        <v>857</v>
      </c>
      <c r="DL361" s="1" t="s">
        <v>223</v>
      </c>
      <c r="DM361" s="1" t="s">
        <v>929</v>
      </c>
      <c r="DQ361" s="1" t="s">
        <v>931</v>
      </c>
      <c r="DR361" s="1" t="s">
        <v>588</v>
      </c>
      <c r="DV361" s="1" t="s">
        <v>5244</v>
      </c>
      <c r="DW361" s="1" t="s">
        <v>964</v>
      </c>
      <c r="DX361" s="1" t="s">
        <v>234</v>
      </c>
      <c r="EA361" s="1" t="s">
        <v>447</v>
      </c>
      <c r="EC361" s="1" t="s">
        <v>237</v>
      </c>
      <c r="EG361" s="1" t="s">
        <v>374</v>
      </c>
      <c r="EH361" s="1" t="s">
        <v>1028</v>
      </c>
      <c r="EL361" s="1" t="s">
        <v>393</v>
      </c>
      <c r="EM361" s="1" t="s">
        <v>206</v>
      </c>
      <c r="EN361" s="1" t="s">
        <v>207</v>
      </c>
      <c r="EP361" s="1" t="s">
        <v>1352</v>
      </c>
      <c r="EQ361" s="1" t="s">
        <v>206</v>
      </c>
      <c r="ER361" s="1" t="s">
        <v>207</v>
      </c>
      <c r="EU361" s="1" t="s">
        <v>238</v>
      </c>
      <c r="EY361" s="1" t="s">
        <v>238</v>
      </c>
      <c r="FC361" s="1" t="s">
        <v>238</v>
      </c>
      <c r="FF361" s="1" t="s">
        <v>239</v>
      </c>
      <c r="FG361" s="1" t="s">
        <v>200</v>
      </c>
      <c r="FH361" s="1" t="s">
        <v>192</v>
      </c>
      <c r="FJ361" s="1" t="s">
        <v>2206</v>
      </c>
      <c r="FK361" s="1" t="s">
        <v>348</v>
      </c>
      <c r="FL361" s="1" t="s">
        <v>5245</v>
      </c>
      <c r="FM361" s="1">
        <v>6019.0</v>
      </c>
      <c r="FN361" s="1" t="s">
        <v>5246</v>
      </c>
      <c r="FO361" s="1" t="s">
        <v>5247</v>
      </c>
      <c r="FP361" s="1">
        <v>62265.0</v>
      </c>
      <c r="FQ361" s="1" t="s">
        <v>5248</v>
      </c>
      <c r="FU361" s="1" t="s">
        <v>5249</v>
      </c>
      <c r="FV361" s="1" t="s">
        <v>200</v>
      </c>
      <c r="FW361" s="1" t="s">
        <v>290</v>
      </c>
      <c r="FZ361" s="1" t="s">
        <v>229</v>
      </c>
      <c r="GA361" s="1" t="s">
        <v>291</v>
      </c>
      <c r="GB361" s="2">
        <v>42037.0</v>
      </c>
      <c r="GC361" s="1" t="s">
        <v>5250</v>
      </c>
    </row>
    <row r="362">
      <c r="A362" s="1">
        <v>73500.0</v>
      </c>
      <c r="B362" s="1" t="s">
        <v>185</v>
      </c>
      <c r="C362" s="1" t="str">
        <f>"08793193"</f>
        <v>08793193</v>
      </c>
      <c r="D362" s="1" t="s">
        <v>186</v>
      </c>
      <c r="F362" s="1" t="str">
        <f>"8070"</f>
        <v>8070</v>
      </c>
      <c r="G362" s="2">
        <v>41969.0</v>
      </c>
      <c r="H362" s="1">
        <v>99900.0</v>
      </c>
      <c r="I362" s="1">
        <v>126.0</v>
      </c>
      <c r="J362" s="1">
        <v>93900.0</v>
      </c>
      <c r="K362" s="2">
        <v>42093.0</v>
      </c>
      <c r="L362" s="1">
        <v>126.0</v>
      </c>
      <c r="M362" s="2">
        <v>42093.0</v>
      </c>
      <c r="N362" s="1" t="s">
        <v>249</v>
      </c>
      <c r="O362" s="2">
        <v>42116.0</v>
      </c>
      <c r="P362" s="1">
        <v>215057.0</v>
      </c>
      <c r="Q362" s="1">
        <v>60217.0</v>
      </c>
      <c r="S362" s="1">
        <v>8020.0</v>
      </c>
      <c r="T362" s="1" t="s">
        <v>5251</v>
      </c>
      <c r="U362" s="1" t="s">
        <v>189</v>
      </c>
      <c r="V362" s="1" t="s">
        <v>190</v>
      </c>
      <c r="W362" s="1">
        <v>60652.0</v>
      </c>
      <c r="Y362" s="1" t="s">
        <v>5252</v>
      </c>
      <c r="Z362" s="1">
        <v>1949.0</v>
      </c>
      <c r="AA362" s="1" t="s">
        <v>192</v>
      </c>
      <c r="AB362" s="1" t="s">
        <v>193</v>
      </c>
      <c r="AC362" s="1" t="s">
        <v>5253</v>
      </c>
      <c r="AD362" s="1" t="s">
        <v>194</v>
      </c>
      <c r="AE362" s="1" t="s">
        <v>195</v>
      </c>
      <c r="AF362" s="1" t="s">
        <v>659</v>
      </c>
      <c r="AH362" s="1" t="s">
        <v>5254</v>
      </c>
      <c r="AI362" s="1">
        <v>0.1253</v>
      </c>
      <c r="AK362" s="1">
        <v>7.0</v>
      </c>
      <c r="AL362" s="1">
        <v>4.0</v>
      </c>
      <c r="AM362" s="1">
        <v>2.0</v>
      </c>
      <c r="AN362" s="1">
        <v>0.0</v>
      </c>
      <c r="AO362" s="1" t="s">
        <v>229</v>
      </c>
      <c r="AQ362" s="1" t="s">
        <v>229</v>
      </c>
      <c r="AR362" s="1" t="s">
        <v>200</v>
      </c>
      <c r="AS362" s="1" t="s">
        <v>199</v>
      </c>
      <c r="AT362" s="1">
        <v>2.0</v>
      </c>
      <c r="AV362" s="1" t="s">
        <v>200</v>
      </c>
      <c r="AW362" s="1">
        <v>2970.0</v>
      </c>
      <c r="AX362" s="1">
        <v>2012.0</v>
      </c>
      <c r="AY362" s="1" t="s">
        <v>229</v>
      </c>
      <c r="AZ362" s="1" t="s">
        <v>200</v>
      </c>
      <c r="BA362" s="1" t="str">
        <f>"19341060500000"</f>
        <v>19341060500000</v>
      </c>
      <c r="BC362" s="1">
        <v>1738.0</v>
      </c>
      <c r="BD362" s="1">
        <v>73500.0</v>
      </c>
      <c r="BE362" s="2">
        <v>41968.0</v>
      </c>
      <c r="BF362" s="2" t="s">
        <v>5255</v>
      </c>
      <c r="BH362" s="1">
        <v>0.0</v>
      </c>
      <c r="BK362" s="1" t="s">
        <v>204</v>
      </c>
      <c r="BL362" s="1" t="str">
        <f t="shared" ref="BL362:BM362" si="242">"0"</f>
        <v>0</v>
      </c>
      <c r="BM362" s="1" t="str">
        <f t="shared" si="242"/>
        <v>0</v>
      </c>
      <c r="BN362" s="1">
        <v>4500.0</v>
      </c>
      <c r="BO362" s="1">
        <v>8000.0</v>
      </c>
      <c r="BQ362" s="1">
        <v>299.0</v>
      </c>
      <c r="BR362" s="1">
        <v>299.0</v>
      </c>
      <c r="BS362" s="1">
        <v>299.0</v>
      </c>
      <c r="BU362" s="1" t="s">
        <v>1654</v>
      </c>
      <c r="BV362" s="1" t="s">
        <v>206</v>
      </c>
      <c r="BX362" s="1" t="s">
        <v>229</v>
      </c>
      <c r="BY362" s="1" t="s">
        <v>264</v>
      </c>
      <c r="BZ362" s="1" t="s">
        <v>206</v>
      </c>
      <c r="CB362" s="1" t="s">
        <v>229</v>
      </c>
      <c r="CD362" s="1" t="s">
        <v>204</v>
      </c>
      <c r="CG362" s="1" t="s">
        <v>3432</v>
      </c>
      <c r="CH362" s="1" t="s">
        <v>206</v>
      </c>
      <c r="CJ362" s="1" t="s">
        <v>229</v>
      </c>
      <c r="CK362" s="1" t="s">
        <v>699</v>
      </c>
      <c r="CL362" s="1" t="s">
        <v>209</v>
      </c>
      <c r="CN362" s="1" t="s">
        <v>229</v>
      </c>
      <c r="CO362" s="1" t="s">
        <v>303</v>
      </c>
      <c r="CP362" s="1" t="s">
        <v>209</v>
      </c>
      <c r="CR362" s="1" t="s">
        <v>229</v>
      </c>
      <c r="CS362" s="1" t="s">
        <v>269</v>
      </c>
      <c r="CT362" s="1" t="s">
        <v>206</v>
      </c>
      <c r="CV362" s="1" t="s">
        <v>229</v>
      </c>
      <c r="CW362" s="1" t="s">
        <v>3893</v>
      </c>
      <c r="CX362" s="1" t="s">
        <v>209</v>
      </c>
      <c r="CZ362" s="1" t="s">
        <v>229</v>
      </c>
      <c r="DA362" s="1" t="s">
        <v>200</v>
      </c>
      <c r="DC362" s="1" t="s">
        <v>702</v>
      </c>
      <c r="DD362" s="1" t="s">
        <v>518</v>
      </c>
      <c r="DE362" s="1" t="s">
        <v>229</v>
      </c>
      <c r="DF362" s="1" t="s">
        <v>619</v>
      </c>
      <c r="DH362" s="1" t="s">
        <v>365</v>
      </c>
      <c r="DJ362" s="1" t="s">
        <v>222</v>
      </c>
      <c r="DL362" s="1" t="s">
        <v>229</v>
      </c>
      <c r="DM362" s="1" t="s">
        <v>229</v>
      </c>
      <c r="DQ362" s="1" t="s">
        <v>228</v>
      </c>
      <c r="DR362" s="1" t="s">
        <v>229</v>
      </c>
      <c r="DV362" s="1" t="s">
        <v>232</v>
      </c>
      <c r="DW362" s="1" t="s">
        <v>279</v>
      </c>
      <c r="DX362" s="1" t="s">
        <v>234</v>
      </c>
      <c r="EA362" s="1" t="s">
        <v>588</v>
      </c>
      <c r="EC362" s="1" t="s">
        <v>237</v>
      </c>
      <c r="ED362" s="1" t="s">
        <v>1761</v>
      </c>
      <c r="EM362" s="1" t="s">
        <v>238</v>
      </c>
      <c r="EQ362" s="1" t="s">
        <v>238</v>
      </c>
      <c r="EU362" s="1" t="s">
        <v>238</v>
      </c>
      <c r="EY362" s="1" t="s">
        <v>238</v>
      </c>
      <c r="FC362" s="1" t="s">
        <v>238</v>
      </c>
      <c r="FF362" s="1" t="s">
        <v>239</v>
      </c>
      <c r="FG362" s="1" t="s">
        <v>192</v>
      </c>
      <c r="FH362" s="1" t="s">
        <v>192</v>
      </c>
      <c r="FJ362" s="1" t="s">
        <v>5256</v>
      </c>
      <c r="FK362" s="1" t="s">
        <v>348</v>
      </c>
      <c r="FL362" s="1" t="s">
        <v>5257</v>
      </c>
      <c r="FM362" s="1">
        <v>21196.0</v>
      </c>
      <c r="FN362" s="1" t="s">
        <v>5258</v>
      </c>
      <c r="FO362" s="1" t="s">
        <v>5259</v>
      </c>
      <c r="FP362" s="1">
        <v>231153.0</v>
      </c>
      <c r="FQ362" s="1" t="s">
        <v>5258</v>
      </c>
      <c r="FU362" s="1" t="s">
        <v>5260</v>
      </c>
      <c r="FV362" s="1" t="s">
        <v>200</v>
      </c>
      <c r="FW362" s="1" t="s">
        <v>3082</v>
      </c>
      <c r="FX362" s="1" t="s">
        <v>655</v>
      </c>
      <c r="FZ362" s="1" t="s">
        <v>229</v>
      </c>
      <c r="GA362" s="1" t="s">
        <v>291</v>
      </c>
      <c r="GB362" s="2">
        <v>42116.0</v>
      </c>
      <c r="GC362" s="1" t="s">
        <v>5261</v>
      </c>
    </row>
    <row r="363">
      <c r="A363" s="1">
        <v>219000.0</v>
      </c>
      <c r="B363" s="1" t="s">
        <v>185</v>
      </c>
      <c r="C363" s="1" t="str">
        <f>"08790100"</f>
        <v>08790100</v>
      </c>
      <c r="D363" s="1" t="s">
        <v>186</v>
      </c>
      <c r="F363" s="1" t="str">
        <f>"8043"</f>
        <v>8043</v>
      </c>
      <c r="G363" s="2">
        <v>41963.0</v>
      </c>
      <c r="H363" s="1">
        <v>219000.0</v>
      </c>
      <c r="I363" s="1">
        <v>7.0</v>
      </c>
      <c r="J363" s="1">
        <v>219000.0</v>
      </c>
      <c r="K363" s="2">
        <v>41963.0</v>
      </c>
      <c r="L363" s="1">
        <v>1.0</v>
      </c>
      <c r="M363" s="2">
        <v>41963.0</v>
      </c>
      <c r="N363" s="1" t="s">
        <v>356</v>
      </c>
      <c r="O363" s="2">
        <v>41997.0</v>
      </c>
      <c r="P363" s="1">
        <v>874351.0</v>
      </c>
      <c r="Q363" s="1">
        <v>13327.0</v>
      </c>
      <c r="R363" s="1">
        <v>6000.0</v>
      </c>
      <c r="S363" s="1">
        <v>7711.0</v>
      </c>
      <c r="T363" s="1" t="s">
        <v>5262</v>
      </c>
      <c r="U363" s="1" t="s">
        <v>189</v>
      </c>
      <c r="V363" s="1" t="s">
        <v>190</v>
      </c>
      <c r="W363" s="1">
        <v>60649.0</v>
      </c>
      <c r="Y363" s="1" t="s">
        <v>5263</v>
      </c>
      <c r="Z363" s="1">
        <v>1920.0</v>
      </c>
      <c r="AA363" s="1" t="s">
        <v>192</v>
      </c>
      <c r="AB363" s="1" t="s">
        <v>193</v>
      </c>
      <c r="AD363" s="1" t="s">
        <v>194</v>
      </c>
      <c r="AE363" s="1" t="s">
        <v>195</v>
      </c>
      <c r="AF363" s="1" t="s">
        <v>637</v>
      </c>
      <c r="AH363" s="1">
        <v>5670.0</v>
      </c>
      <c r="AI363" s="1">
        <v>0.1302</v>
      </c>
      <c r="AK363" s="1">
        <v>9.0</v>
      </c>
      <c r="AL363" s="1">
        <v>3.0</v>
      </c>
      <c r="AM363" s="1">
        <v>2.0</v>
      </c>
      <c r="AN363" s="1">
        <v>1.0</v>
      </c>
      <c r="AO363" s="1" t="s">
        <v>198</v>
      </c>
      <c r="AQ363" s="1" t="s">
        <v>198</v>
      </c>
      <c r="AR363" s="1" t="s">
        <v>192</v>
      </c>
      <c r="AS363" s="1" t="s">
        <v>199</v>
      </c>
      <c r="AT363" s="1">
        <v>2.0</v>
      </c>
      <c r="AV363" s="1" t="s">
        <v>200</v>
      </c>
      <c r="AW363" s="1">
        <v>3567.75</v>
      </c>
      <c r="AX363" s="1">
        <v>2012.0</v>
      </c>
      <c r="AZ363" s="1" t="s">
        <v>200</v>
      </c>
      <c r="BA363" s="1" t="str">
        <f>"20253230030000"</f>
        <v>20253230030000</v>
      </c>
      <c r="BB363" s="1" t="s">
        <v>200</v>
      </c>
      <c r="BC363" s="1">
        <v>2200.0</v>
      </c>
      <c r="BD363" s="1">
        <v>219000.0</v>
      </c>
      <c r="BE363" s="2">
        <v>41963.0</v>
      </c>
      <c r="BF363" s="2" t="s">
        <v>5264</v>
      </c>
      <c r="BH363" s="1">
        <v>0.0</v>
      </c>
      <c r="BK363" s="1" t="s">
        <v>204</v>
      </c>
      <c r="BL363" s="1" t="str">
        <f>"0"</f>
        <v>0</v>
      </c>
      <c r="BM363" s="1" t="str">
        <f>"1800"</f>
        <v>1800</v>
      </c>
      <c r="BN363" s="1">
        <v>0.0</v>
      </c>
      <c r="BO363" s="1">
        <v>7711.0</v>
      </c>
      <c r="BQ363" s="1">
        <v>299.0</v>
      </c>
      <c r="BR363" s="1">
        <v>299.0</v>
      </c>
      <c r="BS363" s="1">
        <v>299.0</v>
      </c>
      <c r="BU363" s="1" t="s">
        <v>5265</v>
      </c>
      <c r="BV363" s="1" t="s">
        <v>206</v>
      </c>
      <c r="BW363" s="1" t="s">
        <v>207</v>
      </c>
      <c r="BY363" s="1" t="s">
        <v>334</v>
      </c>
      <c r="BZ363" s="1" t="s">
        <v>209</v>
      </c>
      <c r="CA363" s="1" t="s">
        <v>210</v>
      </c>
      <c r="CC363" s="1" t="s">
        <v>5266</v>
      </c>
      <c r="CD363" s="1" t="s">
        <v>206</v>
      </c>
      <c r="CE363" s="1" t="s">
        <v>207</v>
      </c>
      <c r="CG363" s="1" t="s">
        <v>1426</v>
      </c>
      <c r="CH363" s="1" t="s">
        <v>209</v>
      </c>
      <c r="CI363" s="1" t="s">
        <v>210</v>
      </c>
      <c r="CK363" s="1" t="s">
        <v>392</v>
      </c>
      <c r="CL363" s="1" t="s">
        <v>209</v>
      </c>
      <c r="CM363" s="1" t="s">
        <v>210</v>
      </c>
      <c r="CO363" s="1" t="s">
        <v>265</v>
      </c>
      <c r="CP363" s="1" t="s">
        <v>42</v>
      </c>
      <c r="CQ363" s="1" t="s">
        <v>268</v>
      </c>
      <c r="CS363" s="1" t="s">
        <v>213</v>
      </c>
      <c r="CT363" s="1" t="s">
        <v>206</v>
      </c>
      <c r="CU363" s="1" t="s">
        <v>207</v>
      </c>
      <c r="CW363" s="1" t="s">
        <v>1158</v>
      </c>
      <c r="CX363" s="1" t="s">
        <v>206</v>
      </c>
      <c r="CY363" s="1" t="s">
        <v>207</v>
      </c>
      <c r="DA363" s="1" t="s">
        <v>200</v>
      </c>
      <c r="DC363" s="1" t="s">
        <v>216</v>
      </c>
      <c r="DE363" s="1" t="s">
        <v>273</v>
      </c>
      <c r="DF363" s="1" t="s">
        <v>219</v>
      </c>
      <c r="DH363" s="1" t="s">
        <v>220</v>
      </c>
      <c r="DI363" s="1" t="s">
        <v>366</v>
      </c>
      <c r="DJ363" s="1" t="s">
        <v>222</v>
      </c>
      <c r="DL363" s="1" t="s">
        <v>224</v>
      </c>
      <c r="DM363" s="1" t="s">
        <v>229</v>
      </c>
      <c r="DO363" s="1" t="s">
        <v>549</v>
      </c>
      <c r="DQ363" s="1" t="s">
        <v>228</v>
      </c>
      <c r="DR363" s="1" t="s">
        <v>229</v>
      </c>
      <c r="DV363" s="1" t="s">
        <v>450</v>
      </c>
      <c r="DW363" s="1" t="s">
        <v>279</v>
      </c>
      <c r="DX363" s="1" t="s">
        <v>234</v>
      </c>
      <c r="DY363" s="1" t="s">
        <v>704</v>
      </c>
      <c r="EC363" s="1" t="s">
        <v>237</v>
      </c>
      <c r="EG363" s="1" t="s">
        <v>450</v>
      </c>
      <c r="EL363" s="1" t="s">
        <v>544</v>
      </c>
      <c r="EM363" s="1" t="s">
        <v>42</v>
      </c>
      <c r="EN363" s="1" t="s">
        <v>268</v>
      </c>
      <c r="EQ363" s="1" t="s">
        <v>238</v>
      </c>
      <c r="EU363" s="1" t="s">
        <v>238</v>
      </c>
      <c r="EY363" s="1" t="s">
        <v>238</v>
      </c>
      <c r="FC363" s="1" t="s">
        <v>238</v>
      </c>
      <c r="FF363" s="1" t="s">
        <v>239</v>
      </c>
      <c r="FG363" s="1" t="s">
        <v>192</v>
      </c>
      <c r="FH363" s="1" t="s">
        <v>192</v>
      </c>
      <c r="FJ363" s="1" t="s">
        <v>648</v>
      </c>
      <c r="FK363" s="1" t="s">
        <v>229</v>
      </c>
      <c r="FL363" s="1" t="s">
        <v>649</v>
      </c>
      <c r="FM363" s="1">
        <v>60296.0</v>
      </c>
      <c r="FN363" s="1" t="s">
        <v>650</v>
      </c>
      <c r="FO363" s="1" t="s">
        <v>651</v>
      </c>
      <c r="FP363" s="1">
        <v>602837.0</v>
      </c>
      <c r="FQ363" s="1" t="s">
        <v>652</v>
      </c>
      <c r="FR363" s="1">
        <v>602442.0</v>
      </c>
      <c r="FU363" s="1" t="s">
        <v>353</v>
      </c>
      <c r="FV363" s="1" t="s">
        <v>200</v>
      </c>
      <c r="FW363" s="1" t="s">
        <v>530</v>
      </c>
      <c r="FX363" s="1" t="s">
        <v>655</v>
      </c>
      <c r="FZ363" s="1" t="s">
        <v>229</v>
      </c>
      <c r="GA363" s="1" t="s">
        <v>291</v>
      </c>
      <c r="GB363" s="2">
        <v>42002.0</v>
      </c>
    </row>
    <row r="364">
      <c r="A364" s="1">
        <v>205000.0</v>
      </c>
      <c r="B364" s="1" t="s">
        <v>185</v>
      </c>
      <c r="C364" s="1" t="str">
        <f>"08793032"</f>
        <v>08793032</v>
      </c>
      <c r="D364" s="1" t="s">
        <v>186</v>
      </c>
      <c r="F364" s="1" t="str">
        <f>"543"</f>
        <v>543</v>
      </c>
      <c r="G364" s="2">
        <v>41969.0</v>
      </c>
      <c r="H364" s="1">
        <v>217000.0</v>
      </c>
      <c r="I364" s="1">
        <v>80.0</v>
      </c>
      <c r="J364" s="1">
        <v>199900.0</v>
      </c>
      <c r="K364" s="2">
        <v>42047.0</v>
      </c>
      <c r="L364" s="1">
        <v>80.0</v>
      </c>
      <c r="M364" s="2">
        <v>42047.0</v>
      </c>
      <c r="N364" s="1" t="s">
        <v>187</v>
      </c>
      <c r="O364" s="2">
        <v>42075.0</v>
      </c>
      <c r="P364" s="1">
        <v>223832.0</v>
      </c>
      <c r="Q364" s="1">
        <v>23099.0</v>
      </c>
      <c r="S364" s="1">
        <v>426.0</v>
      </c>
      <c r="T364" s="1" t="s">
        <v>5267</v>
      </c>
      <c r="U364" s="1" t="s">
        <v>4857</v>
      </c>
      <c r="V364" s="1" t="s">
        <v>1527</v>
      </c>
      <c r="W364" s="1">
        <v>60543.0</v>
      </c>
      <c r="Y364" s="1" t="s">
        <v>5268</v>
      </c>
      <c r="Z364" s="1">
        <v>2005.0</v>
      </c>
      <c r="AA364" s="1" t="s">
        <v>200</v>
      </c>
      <c r="AB364" s="1" t="s">
        <v>467</v>
      </c>
      <c r="AD364" s="1" t="s">
        <v>1529</v>
      </c>
      <c r="AE364" s="1" t="s">
        <v>849</v>
      </c>
      <c r="AF364" s="1" t="s">
        <v>1312</v>
      </c>
      <c r="AH364" s="1">
        <v>6781.0</v>
      </c>
      <c r="AI364" s="1">
        <v>0.1557</v>
      </c>
      <c r="AK364" s="1">
        <v>8.0</v>
      </c>
      <c r="AL364" s="1">
        <v>4.0</v>
      </c>
      <c r="AM364" s="1">
        <v>2.0</v>
      </c>
      <c r="AN364" s="1">
        <v>1.0</v>
      </c>
      <c r="AO364" s="1" t="s">
        <v>198</v>
      </c>
      <c r="AQ364" s="1" t="s">
        <v>1314</v>
      </c>
      <c r="AR364" s="1" t="s">
        <v>200</v>
      </c>
      <c r="AS364" s="1" t="s">
        <v>199</v>
      </c>
      <c r="AT364" s="1">
        <v>2.0</v>
      </c>
      <c r="AV364" s="1" t="s">
        <v>200</v>
      </c>
      <c r="AW364" s="1">
        <v>5558.22</v>
      </c>
      <c r="AX364" s="1">
        <v>2012.0</v>
      </c>
      <c r="AZ364" s="1" t="s">
        <v>545</v>
      </c>
      <c r="BA364" s="1" t="str">
        <f>"0212153007"</f>
        <v>0212153007</v>
      </c>
      <c r="BC364" s="1">
        <v>2040.0</v>
      </c>
      <c r="BD364" s="1">
        <v>205000.0</v>
      </c>
      <c r="BE364" s="2">
        <v>41968.0</v>
      </c>
      <c r="BF364" s="2" t="s">
        <v>5269</v>
      </c>
      <c r="BH364" s="1">
        <v>168.0</v>
      </c>
      <c r="BK364" s="1" t="s">
        <v>580</v>
      </c>
      <c r="BL364" s="1" t="str">
        <f t="shared" ref="BL364:BM364" si="243">""</f>
        <v/>
      </c>
      <c r="BM364" s="1" t="str">
        <f t="shared" si="243"/>
        <v/>
      </c>
      <c r="BQ364" s="1">
        <v>308.0</v>
      </c>
      <c r="BR364" s="1">
        <v>308.0</v>
      </c>
      <c r="BS364" s="1">
        <v>308.0</v>
      </c>
      <c r="BU364" s="1" t="s">
        <v>302</v>
      </c>
      <c r="BV364" s="1" t="s">
        <v>206</v>
      </c>
      <c r="BW364" s="1" t="s">
        <v>210</v>
      </c>
      <c r="BY364" s="1" t="s">
        <v>830</v>
      </c>
      <c r="BZ364" s="1" t="s">
        <v>209</v>
      </c>
      <c r="CA364" s="1" t="s">
        <v>210</v>
      </c>
      <c r="CC364" s="1" t="s">
        <v>663</v>
      </c>
      <c r="CD364" s="1" t="s">
        <v>206</v>
      </c>
      <c r="CE364" s="1" t="s">
        <v>210</v>
      </c>
      <c r="CG364" s="1" t="s">
        <v>303</v>
      </c>
      <c r="CH364" s="1" t="s">
        <v>209</v>
      </c>
      <c r="CI364" s="1" t="s">
        <v>210</v>
      </c>
      <c r="CK364" s="1" t="s">
        <v>302</v>
      </c>
      <c r="CL364" s="1" t="s">
        <v>209</v>
      </c>
      <c r="CM364" s="1" t="s">
        <v>210</v>
      </c>
      <c r="CO364" s="1" t="s">
        <v>495</v>
      </c>
      <c r="CP364" s="1" t="s">
        <v>209</v>
      </c>
      <c r="CQ364" s="1" t="s">
        <v>210</v>
      </c>
      <c r="CS364" s="1" t="s">
        <v>1158</v>
      </c>
      <c r="CT364" s="1" t="s">
        <v>206</v>
      </c>
      <c r="CU364" s="1" t="s">
        <v>617</v>
      </c>
      <c r="CW364" s="1" t="s">
        <v>361</v>
      </c>
      <c r="CX364" s="1" t="s">
        <v>206</v>
      </c>
      <c r="CY364" s="1" t="s">
        <v>210</v>
      </c>
      <c r="DA364" s="1" t="s">
        <v>200</v>
      </c>
      <c r="DC364" s="1" t="s">
        <v>481</v>
      </c>
      <c r="DE364" s="1" t="s">
        <v>273</v>
      </c>
      <c r="DF364" s="1" t="s">
        <v>219</v>
      </c>
      <c r="DH364" s="1" t="s">
        <v>220</v>
      </c>
      <c r="DJ364" s="1" t="s">
        <v>222</v>
      </c>
      <c r="DL364" s="1" t="s">
        <v>223</v>
      </c>
      <c r="DM364" s="1" t="s">
        <v>229</v>
      </c>
      <c r="DQ364" s="1" t="s">
        <v>228</v>
      </c>
      <c r="DR364" s="1" t="s">
        <v>588</v>
      </c>
      <c r="DV364" s="1" t="s">
        <v>232</v>
      </c>
      <c r="DW364" s="1" t="s">
        <v>370</v>
      </c>
      <c r="DX364" s="1" t="s">
        <v>234</v>
      </c>
      <c r="EC364" s="1" t="s">
        <v>237</v>
      </c>
      <c r="EM364" s="1" t="s">
        <v>238</v>
      </c>
      <c r="EQ364" s="1" t="s">
        <v>238</v>
      </c>
      <c r="EU364" s="1" t="s">
        <v>238</v>
      </c>
      <c r="EY364" s="1" t="s">
        <v>238</v>
      </c>
      <c r="FC364" s="1" t="s">
        <v>238</v>
      </c>
      <c r="FF364" s="1" t="s">
        <v>239</v>
      </c>
      <c r="FG364" s="1" t="s">
        <v>192</v>
      </c>
      <c r="FH364" s="1" t="s">
        <v>192</v>
      </c>
      <c r="FJ364" s="1" t="s">
        <v>1248</v>
      </c>
      <c r="FK364" s="1" t="s">
        <v>229</v>
      </c>
      <c r="FL364" s="1" t="s">
        <v>2263</v>
      </c>
      <c r="FM364" s="1">
        <v>8094.0</v>
      </c>
      <c r="FN364" s="1" t="s">
        <v>2264</v>
      </c>
      <c r="FO364" s="1" t="s">
        <v>5270</v>
      </c>
      <c r="FP364" s="1">
        <v>232535.0</v>
      </c>
      <c r="FQ364" s="1" t="s">
        <v>5271</v>
      </c>
      <c r="FU364" s="1" t="s">
        <v>5272</v>
      </c>
      <c r="FV364" s="1" t="s">
        <v>200</v>
      </c>
      <c r="FW364" s="1" t="s">
        <v>1307</v>
      </c>
      <c r="FZ364" s="1" t="s">
        <v>229</v>
      </c>
      <c r="GA364" s="1" t="s">
        <v>291</v>
      </c>
      <c r="GB364" s="2">
        <v>42075.0</v>
      </c>
      <c r="GC364" s="1" t="s">
        <v>5273</v>
      </c>
    </row>
    <row r="365">
      <c r="A365" s="1">
        <v>290000.0</v>
      </c>
      <c r="B365" s="1" t="s">
        <v>185</v>
      </c>
      <c r="C365" s="1" t="str">
        <f>"08790775"</f>
        <v>08790775</v>
      </c>
      <c r="D365" s="1" t="s">
        <v>186</v>
      </c>
      <c r="F365" s="1" t="str">
        <f>"8016"</f>
        <v>8016</v>
      </c>
      <c r="G365" s="2">
        <v>41964.0</v>
      </c>
      <c r="H365" s="1">
        <v>299900.0</v>
      </c>
      <c r="I365" s="1">
        <v>292.0</v>
      </c>
      <c r="J365" s="1">
        <v>299900.0</v>
      </c>
      <c r="K365" s="2">
        <v>42024.0</v>
      </c>
      <c r="L365" s="1">
        <v>62.0</v>
      </c>
      <c r="M365" s="2">
        <v>42024.0</v>
      </c>
      <c r="N365" s="1" t="s">
        <v>249</v>
      </c>
      <c r="O365" s="2">
        <v>42069.0</v>
      </c>
      <c r="P365" s="1">
        <v>171454.0</v>
      </c>
      <c r="Q365" s="1">
        <v>14858.0</v>
      </c>
      <c r="S365" s="1">
        <v>4339.0</v>
      </c>
      <c r="T365" s="1" t="s">
        <v>5274</v>
      </c>
      <c r="U365" s="1" t="s">
        <v>189</v>
      </c>
      <c r="V365" s="1" t="s">
        <v>190</v>
      </c>
      <c r="W365" s="1">
        <v>60618.0</v>
      </c>
      <c r="Y365" s="1" t="s">
        <v>5275</v>
      </c>
      <c r="Z365" s="1">
        <v>1906.0</v>
      </c>
      <c r="AA365" s="1" t="s">
        <v>192</v>
      </c>
      <c r="AB365" s="1" t="s">
        <v>193</v>
      </c>
      <c r="AD365" s="1" t="s">
        <v>194</v>
      </c>
      <c r="AE365" s="1" t="s">
        <v>195</v>
      </c>
      <c r="AF365" s="1" t="s">
        <v>196</v>
      </c>
      <c r="AG365" s="1" t="s">
        <v>5276</v>
      </c>
      <c r="AH365" s="1" t="s">
        <v>1133</v>
      </c>
      <c r="AI365" s="1">
        <v>0.1435</v>
      </c>
      <c r="AK365" s="1">
        <v>8.0</v>
      </c>
      <c r="AL365" s="1">
        <v>3.0</v>
      </c>
      <c r="AM365" s="1">
        <v>2.0</v>
      </c>
      <c r="AN365" s="1">
        <v>1.0</v>
      </c>
      <c r="AO365" s="1" t="s">
        <v>229</v>
      </c>
      <c r="AP365" s="1">
        <v>1.0</v>
      </c>
      <c r="AQ365" s="1" t="s">
        <v>472</v>
      </c>
      <c r="AR365" s="1" t="s">
        <v>192</v>
      </c>
      <c r="AS365" s="1" t="s">
        <v>199</v>
      </c>
      <c r="AT365" s="1">
        <v>2.0</v>
      </c>
      <c r="AV365" s="1" t="s">
        <v>200</v>
      </c>
      <c r="AW365" s="1">
        <v>4803.6</v>
      </c>
      <c r="AX365" s="1">
        <v>2013.0</v>
      </c>
      <c r="AY365" s="1" t="s">
        <v>387</v>
      </c>
      <c r="AZ365" s="1" t="s">
        <v>200</v>
      </c>
      <c r="BA365" s="1" t="str">
        <f>"13143010120000"</f>
        <v>13143010120000</v>
      </c>
      <c r="BB365" s="1" t="s">
        <v>200</v>
      </c>
      <c r="BC365" s="1">
        <v>2100.0</v>
      </c>
      <c r="BD365" s="1">
        <v>290000.0</v>
      </c>
      <c r="BE365" s="2">
        <v>41963.0</v>
      </c>
      <c r="BF365" s="2" t="s">
        <v>5277</v>
      </c>
      <c r="BH365" s="1">
        <v>0.0</v>
      </c>
      <c r="BK365" s="1" t="s">
        <v>204</v>
      </c>
      <c r="BL365" s="1" t="str">
        <f>"4339"</f>
        <v>4339</v>
      </c>
      <c r="BM365" s="1" t="str">
        <f>"0"</f>
        <v>0</v>
      </c>
      <c r="BN365" s="1">
        <v>3934.0</v>
      </c>
      <c r="BO365" s="1">
        <v>0.0</v>
      </c>
      <c r="BQ365" s="1">
        <v>299.0</v>
      </c>
      <c r="BR365" s="1">
        <v>299.0</v>
      </c>
      <c r="BS365" s="1">
        <v>299.0</v>
      </c>
      <c r="BU365" s="1" t="s">
        <v>1117</v>
      </c>
      <c r="BV365" s="1" t="s">
        <v>206</v>
      </c>
      <c r="BW365" s="1" t="s">
        <v>210</v>
      </c>
      <c r="BY365" s="1" t="s">
        <v>454</v>
      </c>
      <c r="BZ365" s="1" t="s">
        <v>209</v>
      </c>
      <c r="CB365" s="1" t="s">
        <v>1549</v>
      </c>
      <c r="CC365" s="1" t="s">
        <v>1426</v>
      </c>
      <c r="CD365" s="1" t="s">
        <v>206</v>
      </c>
      <c r="CG365" s="1" t="s">
        <v>363</v>
      </c>
      <c r="CH365" s="1" t="s">
        <v>209</v>
      </c>
      <c r="CI365" s="1" t="s">
        <v>210</v>
      </c>
      <c r="CJ365" s="1" t="s">
        <v>1549</v>
      </c>
      <c r="CK365" s="1" t="s">
        <v>212</v>
      </c>
      <c r="CL365" s="1" t="s">
        <v>209</v>
      </c>
      <c r="CO365" s="1" t="s">
        <v>363</v>
      </c>
      <c r="CP365" s="1" t="s">
        <v>42</v>
      </c>
      <c r="CQ365" s="1" t="s">
        <v>210</v>
      </c>
      <c r="CR365" s="1" t="s">
        <v>229</v>
      </c>
      <c r="CS365" s="1" t="s">
        <v>1875</v>
      </c>
      <c r="CT365" s="1" t="s">
        <v>206</v>
      </c>
      <c r="CU365" s="1" t="s">
        <v>617</v>
      </c>
      <c r="CW365" s="1" t="s">
        <v>1468</v>
      </c>
      <c r="CX365" s="1" t="s">
        <v>42</v>
      </c>
      <c r="CY365" s="1" t="s">
        <v>210</v>
      </c>
      <c r="DA365" s="1" t="s">
        <v>200</v>
      </c>
      <c r="DC365" s="1" t="s">
        <v>642</v>
      </c>
      <c r="DD365" s="1" t="s">
        <v>518</v>
      </c>
      <c r="DE365" s="1" t="s">
        <v>273</v>
      </c>
      <c r="DF365" s="1" t="s">
        <v>219</v>
      </c>
      <c r="DG365" s="1" t="s">
        <v>588</v>
      </c>
      <c r="DH365" s="1" t="s">
        <v>220</v>
      </c>
      <c r="DI365" s="1" t="s">
        <v>1401</v>
      </c>
      <c r="DJ365" s="1" t="s">
        <v>222</v>
      </c>
      <c r="DL365" s="1" t="s">
        <v>224</v>
      </c>
      <c r="DM365" s="1" t="s">
        <v>229</v>
      </c>
      <c r="DP365" s="1" t="s">
        <v>340</v>
      </c>
      <c r="DQ365" s="1" t="s">
        <v>794</v>
      </c>
      <c r="DR365" s="1" t="s">
        <v>229</v>
      </c>
      <c r="DV365" s="1" t="s">
        <v>1270</v>
      </c>
      <c r="DW365" s="1" t="s">
        <v>444</v>
      </c>
      <c r="DX365" s="1" t="s">
        <v>234</v>
      </c>
      <c r="EA365" s="1" t="s">
        <v>447</v>
      </c>
      <c r="EC365" s="1" t="s">
        <v>237</v>
      </c>
      <c r="EG365" s="1" t="s">
        <v>1270</v>
      </c>
      <c r="EL365" s="1" t="s">
        <v>558</v>
      </c>
      <c r="EM365" s="1" t="s">
        <v>42</v>
      </c>
      <c r="EQ365" s="1" t="s">
        <v>238</v>
      </c>
      <c r="EU365" s="1" t="s">
        <v>238</v>
      </c>
      <c r="EY365" s="1" t="s">
        <v>238</v>
      </c>
      <c r="FC365" s="1" t="s">
        <v>238</v>
      </c>
      <c r="FF365" s="1" t="s">
        <v>239</v>
      </c>
      <c r="FG365" s="1" t="s">
        <v>192</v>
      </c>
      <c r="FH365" s="1" t="s">
        <v>192</v>
      </c>
      <c r="FJ365" s="1" t="s">
        <v>5278</v>
      </c>
      <c r="FK365" s="1" t="s">
        <v>229</v>
      </c>
      <c r="FL365" s="1" t="s">
        <v>4660</v>
      </c>
      <c r="FM365" s="1">
        <v>8540.0</v>
      </c>
      <c r="FN365" s="1" t="s">
        <v>4661</v>
      </c>
      <c r="FO365" s="1" t="s">
        <v>5279</v>
      </c>
      <c r="FP365" s="1">
        <v>89706.0</v>
      </c>
      <c r="FQ365" s="1" t="s">
        <v>5280</v>
      </c>
      <c r="FU365" s="1" t="s">
        <v>5281</v>
      </c>
      <c r="FV365" s="1" t="s">
        <v>200</v>
      </c>
      <c r="FW365" s="1" t="s">
        <v>290</v>
      </c>
      <c r="FX365" s="1" t="s">
        <v>238</v>
      </c>
      <c r="FZ365" s="1" t="s">
        <v>229</v>
      </c>
      <c r="GA365" s="1" t="s">
        <v>291</v>
      </c>
      <c r="GB365" s="2">
        <v>42095.0</v>
      </c>
    </row>
    <row r="366">
      <c r="A366" s="1">
        <v>80000.0</v>
      </c>
      <c r="B366" s="1" t="s">
        <v>185</v>
      </c>
      <c r="C366" s="1" t="str">
        <f>"08788017"</f>
        <v>08788017</v>
      </c>
      <c r="D366" s="1" t="s">
        <v>186</v>
      </c>
      <c r="F366" s="1" t="str">
        <f>"8066"</f>
        <v>8066</v>
      </c>
      <c r="G366" s="2">
        <v>41960.0</v>
      </c>
      <c r="H366" s="1">
        <v>89900.0</v>
      </c>
      <c r="I366" s="1">
        <v>199.0</v>
      </c>
      <c r="J366" s="1">
        <v>89900.0</v>
      </c>
      <c r="K366" s="2">
        <v>41982.0</v>
      </c>
      <c r="L366" s="1">
        <v>23.0</v>
      </c>
      <c r="M366" s="2">
        <v>41982.0</v>
      </c>
      <c r="N366" s="1" t="s">
        <v>187</v>
      </c>
      <c r="O366" s="2">
        <v>42086.0</v>
      </c>
      <c r="P366" s="1">
        <v>109767.0</v>
      </c>
      <c r="Q366" s="1">
        <v>18235.0</v>
      </c>
      <c r="S366" s="1">
        <v>7236.0</v>
      </c>
      <c r="T366" s="1" t="s">
        <v>739</v>
      </c>
      <c r="U366" s="1" t="s">
        <v>189</v>
      </c>
      <c r="V366" s="1" t="s">
        <v>190</v>
      </c>
      <c r="W366" s="1">
        <v>60629.0</v>
      </c>
      <c r="Y366" s="1" t="s">
        <v>5282</v>
      </c>
      <c r="Z366" s="1">
        <v>1948.0</v>
      </c>
      <c r="AA366" s="1" t="s">
        <v>192</v>
      </c>
      <c r="AB366" s="1" t="s">
        <v>193</v>
      </c>
      <c r="AD366" s="1" t="s">
        <v>194</v>
      </c>
      <c r="AE366" s="1" t="s">
        <v>195</v>
      </c>
      <c r="AF366" s="1" t="s">
        <v>659</v>
      </c>
      <c r="AH366" s="1" t="s">
        <v>359</v>
      </c>
      <c r="AI366" s="1">
        <v>0.0868</v>
      </c>
      <c r="AK366" s="1">
        <v>7.0</v>
      </c>
      <c r="AL366" s="1">
        <v>4.0</v>
      </c>
      <c r="AM366" s="1">
        <v>1.0</v>
      </c>
      <c r="AN366" s="1">
        <v>1.0</v>
      </c>
      <c r="AO366" s="1" t="s">
        <v>229</v>
      </c>
      <c r="AQ366" s="1" t="s">
        <v>198</v>
      </c>
      <c r="AR366" s="1" t="s">
        <v>200</v>
      </c>
      <c r="AS366" s="1" t="s">
        <v>199</v>
      </c>
      <c r="AT366" s="1">
        <v>2.0</v>
      </c>
      <c r="AV366" s="1" t="s">
        <v>200</v>
      </c>
      <c r="AW366" s="1">
        <v>1671.75</v>
      </c>
      <c r="AX366" s="1">
        <v>2013.0</v>
      </c>
      <c r="AY366" s="1" t="s">
        <v>387</v>
      </c>
      <c r="AZ366" s="1" t="s">
        <v>200</v>
      </c>
      <c r="BA366" s="1" t="str">
        <f>"19262120330000"</f>
        <v>19262120330000</v>
      </c>
      <c r="BC366" s="1">
        <v>1200.0</v>
      </c>
      <c r="BD366" s="1">
        <v>80000.0</v>
      </c>
      <c r="BE366" s="2">
        <v>41960.0</v>
      </c>
      <c r="BF366" s="2" t="s">
        <v>5283</v>
      </c>
      <c r="BH366" s="1">
        <v>0.0</v>
      </c>
      <c r="BK366" s="1" t="s">
        <v>204</v>
      </c>
      <c r="BL366" s="1" t="str">
        <f t="shared" ref="BL366:BM366" si="244">"0"</f>
        <v>0</v>
      </c>
      <c r="BM366" s="1" t="str">
        <f t="shared" si="244"/>
        <v>0</v>
      </c>
      <c r="BN366" s="1">
        <v>3400.0</v>
      </c>
      <c r="BO366" s="1">
        <v>7236.0</v>
      </c>
      <c r="BQ366" s="1">
        <v>299.0</v>
      </c>
      <c r="BR366" s="1">
        <v>299.0</v>
      </c>
      <c r="BS366" s="1">
        <v>299.0</v>
      </c>
      <c r="BU366" s="1" t="s">
        <v>1426</v>
      </c>
      <c r="BV366" s="1" t="s">
        <v>206</v>
      </c>
      <c r="BW366" s="1" t="s">
        <v>207</v>
      </c>
      <c r="BX366" s="1" t="s">
        <v>229</v>
      </c>
      <c r="BY366" s="1" t="s">
        <v>1064</v>
      </c>
      <c r="BZ366" s="1" t="s">
        <v>209</v>
      </c>
      <c r="CA366" s="1" t="s">
        <v>207</v>
      </c>
      <c r="CB366" s="1" t="s">
        <v>229</v>
      </c>
      <c r="CD366" s="1" t="s">
        <v>204</v>
      </c>
      <c r="CG366" s="1" t="s">
        <v>433</v>
      </c>
      <c r="CH366" s="1" t="s">
        <v>209</v>
      </c>
      <c r="CI366" s="1" t="s">
        <v>207</v>
      </c>
      <c r="CJ366" s="1" t="s">
        <v>229</v>
      </c>
      <c r="CK366" s="1" t="s">
        <v>478</v>
      </c>
      <c r="CL366" s="1" t="s">
        <v>206</v>
      </c>
      <c r="CM366" s="1" t="s">
        <v>207</v>
      </c>
      <c r="CN366" s="1" t="s">
        <v>229</v>
      </c>
      <c r="CO366" s="1" t="s">
        <v>495</v>
      </c>
      <c r="CP366" s="1" t="s">
        <v>206</v>
      </c>
      <c r="CQ366" s="1" t="s">
        <v>207</v>
      </c>
      <c r="CR366" s="1" t="s">
        <v>229</v>
      </c>
      <c r="CS366" s="1" t="s">
        <v>1584</v>
      </c>
      <c r="CT366" s="1" t="s">
        <v>206</v>
      </c>
      <c r="CU366" s="1" t="s">
        <v>207</v>
      </c>
      <c r="CV366" s="1" t="s">
        <v>229</v>
      </c>
      <c r="CW366" s="1" t="s">
        <v>1623</v>
      </c>
      <c r="CX366" s="1" t="s">
        <v>42</v>
      </c>
      <c r="CY366" s="1" t="s">
        <v>617</v>
      </c>
      <c r="CZ366" s="1" t="s">
        <v>229</v>
      </c>
      <c r="DA366" s="1" t="s">
        <v>200</v>
      </c>
      <c r="DC366" s="1" t="s">
        <v>702</v>
      </c>
      <c r="DD366" s="1" t="s">
        <v>518</v>
      </c>
      <c r="DE366" s="1" t="s">
        <v>273</v>
      </c>
      <c r="DF366" s="1" t="s">
        <v>219</v>
      </c>
      <c r="DH366" s="1" t="s">
        <v>365</v>
      </c>
      <c r="DJ366" s="1" t="s">
        <v>222</v>
      </c>
      <c r="DK366" s="1" t="s">
        <v>224</v>
      </c>
      <c r="DL366" s="1" t="s">
        <v>858</v>
      </c>
      <c r="DM366" s="1" t="s">
        <v>229</v>
      </c>
      <c r="DQ366" s="1" t="s">
        <v>441</v>
      </c>
      <c r="DR366" s="1" t="s">
        <v>229</v>
      </c>
      <c r="DV366" s="1" t="s">
        <v>232</v>
      </c>
      <c r="DW366" s="1" t="s">
        <v>279</v>
      </c>
      <c r="DX366" s="1" t="s">
        <v>4139</v>
      </c>
      <c r="DY366" s="1" t="s">
        <v>553</v>
      </c>
      <c r="DZ366" s="1" t="s">
        <v>1333</v>
      </c>
      <c r="EC366" s="1" t="s">
        <v>645</v>
      </c>
      <c r="ED366" s="1" t="s">
        <v>555</v>
      </c>
      <c r="EM366" s="1" t="s">
        <v>238</v>
      </c>
      <c r="EQ366" s="1" t="s">
        <v>238</v>
      </c>
      <c r="EU366" s="1" t="s">
        <v>238</v>
      </c>
      <c r="EY366" s="1" t="s">
        <v>238</v>
      </c>
      <c r="FC366" s="1" t="s">
        <v>238</v>
      </c>
      <c r="FF366" s="1" t="s">
        <v>239</v>
      </c>
      <c r="FG366" s="1" t="s">
        <v>192</v>
      </c>
      <c r="FH366" s="1" t="s">
        <v>192</v>
      </c>
      <c r="FJ366" s="1" t="s">
        <v>561</v>
      </c>
      <c r="FK366" s="1" t="s">
        <v>1586</v>
      </c>
      <c r="FL366" s="1" t="s">
        <v>4433</v>
      </c>
      <c r="FM366" s="1">
        <v>18235.0</v>
      </c>
      <c r="FN366" s="1" t="s">
        <v>4434</v>
      </c>
      <c r="FO366" s="1" t="s">
        <v>5284</v>
      </c>
      <c r="FP366" s="1">
        <v>144533.0</v>
      </c>
      <c r="FQ366" s="1" t="s">
        <v>5285</v>
      </c>
      <c r="FU366" s="1" t="s">
        <v>5286</v>
      </c>
      <c r="FV366" s="1" t="s">
        <v>200</v>
      </c>
      <c r="FW366" s="1" t="s">
        <v>5287</v>
      </c>
      <c r="FX366" s="1" t="s">
        <v>655</v>
      </c>
      <c r="FZ366" s="1" t="s">
        <v>229</v>
      </c>
      <c r="GA366" s="1" t="s">
        <v>291</v>
      </c>
      <c r="GB366" s="2">
        <v>42088.0</v>
      </c>
      <c r="GC366" s="1" t="s">
        <v>3170</v>
      </c>
    </row>
    <row r="367">
      <c r="A367" s="1">
        <v>1200000.0</v>
      </c>
      <c r="B367" s="1" t="s">
        <v>185</v>
      </c>
      <c r="C367" s="1" t="str">
        <f>"08796936"</f>
        <v>08796936</v>
      </c>
      <c r="D367" s="1" t="s">
        <v>186</v>
      </c>
      <c r="F367" s="1" t="str">
        <f>"8006"</f>
        <v>8006</v>
      </c>
      <c r="G367" s="2">
        <v>41977.0</v>
      </c>
      <c r="H367" s="1">
        <v>1275000.0</v>
      </c>
      <c r="I367" s="1">
        <v>50.0</v>
      </c>
      <c r="J367" s="1">
        <v>1250000.0</v>
      </c>
      <c r="K367" s="2">
        <v>42026.0</v>
      </c>
      <c r="L367" s="1">
        <v>50.0</v>
      </c>
      <c r="M367" s="2">
        <v>42026.0</v>
      </c>
      <c r="N367" s="1" t="s">
        <v>187</v>
      </c>
      <c r="O367" s="2">
        <v>42048.0</v>
      </c>
      <c r="P367" s="1">
        <v>841607.0</v>
      </c>
      <c r="Q367" s="1">
        <v>15933.0</v>
      </c>
      <c r="S367" s="1">
        <v>1323.0</v>
      </c>
      <c r="T367" s="1" t="s">
        <v>419</v>
      </c>
      <c r="U367" s="1" t="s">
        <v>189</v>
      </c>
      <c r="V367" s="1" t="s">
        <v>190</v>
      </c>
      <c r="W367" s="1">
        <v>60657.0</v>
      </c>
      <c r="Y367" s="1" t="s">
        <v>5288</v>
      </c>
      <c r="Z367" s="1">
        <v>2006.0</v>
      </c>
      <c r="AA367" s="1" t="s">
        <v>200</v>
      </c>
      <c r="AB367" s="1" t="s">
        <v>193</v>
      </c>
      <c r="AC367" s="1" t="s">
        <v>5289</v>
      </c>
      <c r="AD367" s="1" t="s">
        <v>194</v>
      </c>
      <c r="AE367" s="1" t="s">
        <v>195</v>
      </c>
      <c r="AF367" s="1" t="s">
        <v>534</v>
      </c>
      <c r="AH367" s="1" t="s">
        <v>359</v>
      </c>
      <c r="AI367" s="1">
        <v>0.0689</v>
      </c>
      <c r="AK367" s="1">
        <v>8.0</v>
      </c>
      <c r="AL367" s="1">
        <v>4.0</v>
      </c>
      <c r="AM367" s="1">
        <v>3.0</v>
      </c>
      <c r="AN367" s="1">
        <v>1.0</v>
      </c>
      <c r="AO367" s="1" t="s">
        <v>198</v>
      </c>
      <c r="AP367" s="1">
        <v>2.0</v>
      </c>
      <c r="AQ367" s="1" t="s">
        <v>472</v>
      </c>
      <c r="AR367" s="1" t="s">
        <v>192</v>
      </c>
      <c r="AS367" s="1" t="s">
        <v>199</v>
      </c>
      <c r="AT367" s="1">
        <v>2.0</v>
      </c>
      <c r="AV367" s="1" t="s">
        <v>200</v>
      </c>
      <c r="AW367" s="1">
        <v>17102.84</v>
      </c>
      <c r="AX367" s="1">
        <v>2012.0</v>
      </c>
      <c r="AY367" s="1" t="s">
        <v>229</v>
      </c>
      <c r="AZ367" s="1" t="s">
        <v>200</v>
      </c>
      <c r="BA367" s="1" t="str">
        <f>"14291180270000"</f>
        <v>14291180270000</v>
      </c>
      <c r="BC367" s="1">
        <v>0.0</v>
      </c>
      <c r="BD367" s="1">
        <v>1200000.0</v>
      </c>
      <c r="BE367" s="2">
        <v>41977.0</v>
      </c>
      <c r="BF367" s="2" t="s">
        <v>5290</v>
      </c>
      <c r="BG367" s="1" t="s">
        <v>3405</v>
      </c>
      <c r="BH367" s="1">
        <v>0.0</v>
      </c>
      <c r="BK367" s="1" t="s">
        <v>204</v>
      </c>
      <c r="BL367" s="1" t="str">
        <f>"3000"</f>
        <v>3000</v>
      </c>
      <c r="BM367" s="1" t="str">
        <f>"0"</f>
        <v>0</v>
      </c>
      <c r="BN367" s="1">
        <v>1300.0</v>
      </c>
      <c r="BO367" s="1">
        <v>0.0</v>
      </c>
      <c r="BQ367" s="1">
        <v>299.0</v>
      </c>
      <c r="BR367" s="1">
        <v>299.0</v>
      </c>
      <c r="BS367" s="1">
        <v>299.0</v>
      </c>
      <c r="BU367" s="1" t="s">
        <v>334</v>
      </c>
      <c r="BV367" s="1" t="s">
        <v>206</v>
      </c>
      <c r="BW367" s="1" t="s">
        <v>207</v>
      </c>
      <c r="BY367" s="1" t="s">
        <v>2647</v>
      </c>
      <c r="BZ367" s="1" t="s">
        <v>209</v>
      </c>
      <c r="CA367" s="1" t="s">
        <v>207</v>
      </c>
      <c r="CC367" s="1" t="s">
        <v>784</v>
      </c>
      <c r="CD367" s="1" t="s">
        <v>206</v>
      </c>
      <c r="CE367" s="1" t="s">
        <v>207</v>
      </c>
      <c r="CG367" s="1" t="s">
        <v>303</v>
      </c>
      <c r="CH367" s="1" t="s">
        <v>209</v>
      </c>
      <c r="CI367" s="1" t="s">
        <v>207</v>
      </c>
      <c r="CK367" s="1" t="s">
        <v>270</v>
      </c>
      <c r="CL367" s="1" t="s">
        <v>209</v>
      </c>
      <c r="CM367" s="1" t="s">
        <v>207</v>
      </c>
      <c r="CO367" s="1" t="s">
        <v>1352</v>
      </c>
      <c r="CP367" s="1" t="s">
        <v>267</v>
      </c>
      <c r="CQ367" s="1" t="s">
        <v>210</v>
      </c>
      <c r="CS367" s="1" t="s">
        <v>5291</v>
      </c>
      <c r="CT367" s="1" t="s">
        <v>206</v>
      </c>
      <c r="CU367" s="1" t="s">
        <v>207</v>
      </c>
      <c r="CW367" s="1" t="s">
        <v>4252</v>
      </c>
      <c r="CX367" s="1" t="s">
        <v>267</v>
      </c>
      <c r="CY367" s="1" t="s">
        <v>210</v>
      </c>
      <c r="DA367" s="1" t="s">
        <v>200</v>
      </c>
      <c r="DC367" s="1" t="s">
        <v>481</v>
      </c>
      <c r="DE367" s="1" t="s">
        <v>218</v>
      </c>
      <c r="DF367" s="1" t="s">
        <v>745</v>
      </c>
      <c r="DG367" s="1" t="s">
        <v>2311</v>
      </c>
      <c r="DH367" s="1" t="s">
        <v>220</v>
      </c>
      <c r="DJ367" s="1" t="s">
        <v>222</v>
      </c>
      <c r="DL367" s="1" t="s">
        <v>1161</v>
      </c>
      <c r="DM367" s="1" t="s">
        <v>229</v>
      </c>
      <c r="DN367" s="1" t="s">
        <v>2873</v>
      </c>
      <c r="DQ367" s="1" t="s">
        <v>718</v>
      </c>
      <c r="DR367" s="1" t="s">
        <v>229</v>
      </c>
      <c r="DS367" s="1" t="s">
        <v>368</v>
      </c>
      <c r="DV367" s="1" t="s">
        <v>588</v>
      </c>
      <c r="DW367" s="1" t="s">
        <v>1145</v>
      </c>
      <c r="DX367" s="1" t="s">
        <v>234</v>
      </c>
      <c r="DY367" s="1" t="s">
        <v>5292</v>
      </c>
      <c r="DZ367" s="1" t="s">
        <v>5293</v>
      </c>
      <c r="EA367" s="1" t="s">
        <v>5294</v>
      </c>
      <c r="EB367" s="1" t="s">
        <v>684</v>
      </c>
      <c r="EC367" s="1" t="s">
        <v>406</v>
      </c>
      <c r="ED367" s="1" t="s">
        <v>407</v>
      </c>
      <c r="EG367" s="1" t="s">
        <v>588</v>
      </c>
      <c r="EL367" s="1" t="s">
        <v>5295</v>
      </c>
      <c r="EM367" s="1" t="s">
        <v>391</v>
      </c>
      <c r="EQ367" s="1" t="s">
        <v>238</v>
      </c>
      <c r="EU367" s="1" t="s">
        <v>238</v>
      </c>
      <c r="EY367" s="1" t="s">
        <v>238</v>
      </c>
      <c r="FC367" s="1" t="s">
        <v>238</v>
      </c>
      <c r="FF367" s="1" t="s">
        <v>239</v>
      </c>
      <c r="FG367" s="1" t="s">
        <v>192</v>
      </c>
      <c r="FH367" s="1" t="s">
        <v>192</v>
      </c>
      <c r="FJ367" s="1" t="s">
        <v>5296</v>
      </c>
      <c r="FK367" s="1" t="s">
        <v>229</v>
      </c>
      <c r="FL367" s="1" t="s">
        <v>5297</v>
      </c>
      <c r="FM367" s="1">
        <v>14681.0</v>
      </c>
      <c r="FN367" s="1" t="s">
        <v>5298</v>
      </c>
      <c r="FO367" s="1" t="s">
        <v>5299</v>
      </c>
      <c r="FP367" s="1">
        <v>160135.0</v>
      </c>
      <c r="FQ367" s="1" t="s">
        <v>5300</v>
      </c>
      <c r="FU367" s="1" t="s">
        <v>5301</v>
      </c>
      <c r="FV367" s="1" t="s">
        <v>200</v>
      </c>
      <c r="FW367" s="1" t="s">
        <v>290</v>
      </c>
      <c r="FX367" s="1" t="s">
        <v>246</v>
      </c>
      <c r="FZ367" s="1" t="s">
        <v>229</v>
      </c>
      <c r="GA367" s="1" t="s">
        <v>291</v>
      </c>
      <c r="GB367" s="2">
        <v>42050.0</v>
      </c>
      <c r="GC367" s="1" t="s">
        <v>5302</v>
      </c>
    </row>
    <row r="368">
      <c r="A368" s="1">
        <v>11500.0</v>
      </c>
      <c r="B368" s="1" t="s">
        <v>185</v>
      </c>
      <c r="C368" s="1" t="str">
        <f>"08785917"</f>
        <v>08785917</v>
      </c>
      <c r="D368" s="1" t="s">
        <v>186</v>
      </c>
      <c r="F368" s="1" t="str">
        <f>"8046"</f>
        <v>8046</v>
      </c>
      <c r="G368" s="2">
        <v>41956.0</v>
      </c>
      <c r="H368" s="1">
        <v>23000.0</v>
      </c>
      <c r="I368" s="1">
        <v>133.0</v>
      </c>
      <c r="J368" s="1">
        <v>0.0</v>
      </c>
      <c r="K368" s="2">
        <v>42088.0</v>
      </c>
      <c r="L368" s="1">
        <v>133.0</v>
      </c>
      <c r="M368" s="2">
        <v>42088.0</v>
      </c>
      <c r="N368" s="1" t="s">
        <v>249</v>
      </c>
      <c r="O368" s="2">
        <v>42089.0</v>
      </c>
      <c r="P368" s="1">
        <v>120953.0</v>
      </c>
      <c r="Q368" s="1">
        <v>84883.0</v>
      </c>
      <c r="S368" s="1">
        <v>8126.0</v>
      </c>
      <c r="T368" s="1" t="s">
        <v>5303</v>
      </c>
      <c r="U368" s="1" t="s">
        <v>189</v>
      </c>
      <c r="V368" s="1" t="s">
        <v>190</v>
      </c>
      <c r="W368" s="1">
        <v>60617.0</v>
      </c>
      <c r="Y368" s="1" t="s">
        <v>5304</v>
      </c>
      <c r="Z368" s="1">
        <v>1890.0</v>
      </c>
      <c r="AA368" s="1" t="s">
        <v>192</v>
      </c>
      <c r="AB368" s="1" t="s">
        <v>193</v>
      </c>
      <c r="AD368" s="1" t="s">
        <v>194</v>
      </c>
      <c r="AE368" s="1" t="s">
        <v>195</v>
      </c>
      <c r="AF368" s="1" t="s">
        <v>637</v>
      </c>
      <c r="AH368" s="1">
        <v>3000.0</v>
      </c>
      <c r="AI368" s="1">
        <v>0.0689</v>
      </c>
      <c r="AK368" s="1">
        <v>7.0</v>
      </c>
      <c r="AL368" s="1">
        <v>4.0</v>
      </c>
      <c r="AM368" s="1">
        <v>2.0</v>
      </c>
      <c r="AN368" s="1">
        <v>0.0</v>
      </c>
      <c r="AO368" s="1" t="s">
        <v>229</v>
      </c>
      <c r="AQ368" s="1" t="s">
        <v>198</v>
      </c>
      <c r="AR368" s="1" t="s">
        <v>200</v>
      </c>
      <c r="AS368" s="1" t="s">
        <v>199</v>
      </c>
      <c r="AT368" s="1">
        <v>1.0</v>
      </c>
      <c r="AV368" s="1" t="s">
        <v>200</v>
      </c>
      <c r="AW368" s="1">
        <v>1751.93</v>
      </c>
      <c r="AX368" s="1">
        <v>2012.0</v>
      </c>
      <c r="AZ368" s="1" t="s">
        <v>200</v>
      </c>
      <c r="BA368" s="1" t="str">
        <f>"20362210250000"</f>
        <v>20362210250000</v>
      </c>
      <c r="BC368" s="1">
        <v>1248.0</v>
      </c>
      <c r="BD368" s="1">
        <v>11500.0</v>
      </c>
      <c r="BE368" s="2">
        <v>41956.0</v>
      </c>
      <c r="BF368" s="2" t="s">
        <v>5305</v>
      </c>
      <c r="BH368" s="1">
        <v>0.0</v>
      </c>
      <c r="BK368" s="1" t="s">
        <v>204</v>
      </c>
      <c r="BL368" s="1" t="str">
        <f>"0"</f>
        <v>0</v>
      </c>
      <c r="BM368" s="1" t="str">
        <f>"2600"</f>
        <v>2600</v>
      </c>
      <c r="BN368" s="1">
        <v>0.0</v>
      </c>
      <c r="BO368" s="1">
        <v>8007.0</v>
      </c>
      <c r="BQ368" s="1">
        <v>299.0</v>
      </c>
      <c r="BR368" s="1">
        <v>299.0</v>
      </c>
      <c r="BS368" s="1">
        <v>299.0</v>
      </c>
      <c r="BU368" s="1" t="s">
        <v>2082</v>
      </c>
      <c r="BV368" s="1" t="s">
        <v>206</v>
      </c>
      <c r="BW368" s="1" t="s">
        <v>617</v>
      </c>
      <c r="BY368" s="1" t="s">
        <v>363</v>
      </c>
      <c r="BZ368" s="1" t="s">
        <v>206</v>
      </c>
      <c r="CC368" s="1" t="s">
        <v>2082</v>
      </c>
      <c r="CD368" s="1" t="s">
        <v>206</v>
      </c>
      <c r="CE368" s="1" t="s">
        <v>617</v>
      </c>
      <c r="CG368" s="1" t="s">
        <v>363</v>
      </c>
      <c r="CH368" s="1" t="s">
        <v>206</v>
      </c>
      <c r="CK368" s="1" t="s">
        <v>478</v>
      </c>
      <c r="CL368" s="1" t="s">
        <v>206</v>
      </c>
      <c r="CO368" s="1" t="s">
        <v>264</v>
      </c>
      <c r="CP368" s="1" t="s">
        <v>209</v>
      </c>
      <c r="CS368" s="1" t="s">
        <v>393</v>
      </c>
      <c r="CT368" s="1" t="s">
        <v>206</v>
      </c>
      <c r="CX368" s="1" t="s">
        <v>204</v>
      </c>
      <c r="DA368" s="1" t="s">
        <v>200</v>
      </c>
      <c r="DC368" s="1" t="s">
        <v>642</v>
      </c>
      <c r="DE368" s="1" t="s">
        <v>229</v>
      </c>
      <c r="DF368" s="1" t="s">
        <v>619</v>
      </c>
      <c r="DH368" s="1" t="s">
        <v>365</v>
      </c>
      <c r="DJ368" s="1" t="s">
        <v>222</v>
      </c>
      <c r="DL368" s="1" t="s">
        <v>223</v>
      </c>
      <c r="DM368" s="1" t="s">
        <v>229</v>
      </c>
      <c r="DQ368" s="1" t="s">
        <v>228</v>
      </c>
      <c r="DR368" s="1" t="s">
        <v>229</v>
      </c>
      <c r="DV368" s="1" t="s">
        <v>232</v>
      </c>
      <c r="DW368" s="1" t="s">
        <v>891</v>
      </c>
      <c r="DX368" s="1" t="s">
        <v>234</v>
      </c>
      <c r="EC368" s="1" t="s">
        <v>237</v>
      </c>
      <c r="EM368" s="1" t="s">
        <v>238</v>
      </c>
      <c r="EQ368" s="1" t="s">
        <v>238</v>
      </c>
      <c r="EU368" s="1" t="s">
        <v>238</v>
      </c>
      <c r="EY368" s="1" t="s">
        <v>238</v>
      </c>
      <c r="FC368" s="1" t="s">
        <v>238</v>
      </c>
      <c r="FF368" s="1" t="s">
        <v>239</v>
      </c>
      <c r="FG368" s="1" t="s">
        <v>192</v>
      </c>
      <c r="FH368" s="1" t="s">
        <v>192</v>
      </c>
      <c r="FJ368" s="1" t="s">
        <v>5306</v>
      </c>
      <c r="FK368" s="1" t="s">
        <v>229</v>
      </c>
      <c r="FL368" s="1" t="s">
        <v>3272</v>
      </c>
      <c r="FM368" s="1">
        <v>12511.0</v>
      </c>
      <c r="FN368" s="1" t="s">
        <v>3273</v>
      </c>
      <c r="FO368" s="1" t="s">
        <v>3274</v>
      </c>
      <c r="FP368" s="1">
        <v>121408.0</v>
      </c>
      <c r="FQ368" s="1" t="s">
        <v>3275</v>
      </c>
      <c r="FU368" s="1" t="s">
        <v>3276</v>
      </c>
      <c r="FV368" s="1" t="s">
        <v>200</v>
      </c>
      <c r="FW368" s="1" t="s">
        <v>1307</v>
      </c>
      <c r="FX368" s="1" t="s">
        <v>655</v>
      </c>
      <c r="FZ368" s="1" t="s">
        <v>229</v>
      </c>
      <c r="GA368" s="1" t="s">
        <v>291</v>
      </c>
      <c r="GB368" s="2">
        <v>42089.0</v>
      </c>
      <c r="GC368" s="1" t="s">
        <v>5307</v>
      </c>
    </row>
    <row r="369">
      <c r="A369" s="1">
        <v>167499.0</v>
      </c>
      <c r="B369" s="1" t="s">
        <v>185</v>
      </c>
      <c r="C369" s="1" t="str">
        <f>"08789922"</f>
        <v>08789922</v>
      </c>
      <c r="D369" s="1" t="s">
        <v>186</v>
      </c>
      <c r="F369" s="1" t="str">
        <f>"140"</f>
        <v>140</v>
      </c>
      <c r="G369" s="2">
        <v>41963.0</v>
      </c>
      <c r="H369" s="1">
        <v>206700.0</v>
      </c>
      <c r="I369" s="1">
        <v>112.0</v>
      </c>
      <c r="J369" s="1">
        <v>186400.0</v>
      </c>
      <c r="K369" s="2">
        <v>42074.0</v>
      </c>
      <c r="L369" s="1">
        <v>112.0</v>
      </c>
      <c r="M369" s="2">
        <v>42074.0</v>
      </c>
      <c r="N369" s="1" t="s">
        <v>187</v>
      </c>
      <c r="O369" s="2">
        <v>42109.0</v>
      </c>
      <c r="P369" s="1">
        <v>240200.0</v>
      </c>
      <c r="Q369" s="1">
        <v>22029.0</v>
      </c>
      <c r="S369" s="1">
        <v>980.0</v>
      </c>
      <c r="T369" s="1" t="s">
        <v>5308</v>
      </c>
      <c r="U369" s="1" t="s">
        <v>569</v>
      </c>
      <c r="V369" s="1" t="s">
        <v>4858</v>
      </c>
      <c r="W369" s="1">
        <v>60140.0</v>
      </c>
      <c r="Y369" s="1" t="s">
        <v>5309</v>
      </c>
      <c r="Z369" s="1">
        <v>2006.0</v>
      </c>
      <c r="AA369" s="1" t="s">
        <v>200</v>
      </c>
      <c r="AB369" s="1" t="s">
        <v>193</v>
      </c>
      <c r="AD369" s="1" t="s">
        <v>4860</v>
      </c>
      <c r="AE369" s="1" t="s">
        <v>325</v>
      </c>
      <c r="AF369" s="1" t="s">
        <v>3429</v>
      </c>
      <c r="AH369" s="1" t="s">
        <v>5310</v>
      </c>
      <c r="AI369" s="1">
        <v>0.1646</v>
      </c>
      <c r="AK369" s="1">
        <v>8.0</v>
      </c>
      <c r="AL369" s="1">
        <v>4.0</v>
      </c>
      <c r="AM369" s="1">
        <v>2.0</v>
      </c>
      <c r="AN369" s="1">
        <v>1.0</v>
      </c>
      <c r="AO369" s="1" t="s">
        <v>229</v>
      </c>
      <c r="AQ369" s="1" t="s">
        <v>198</v>
      </c>
      <c r="AR369" s="1" t="s">
        <v>200</v>
      </c>
      <c r="AS369" s="1" t="s">
        <v>199</v>
      </c>
      <c r="AT369" s="1">
        <v>2.0</v>
      </c>
      <c r="AV369" s="1" t="s">
        <v>200</v>
      </c>
      <c r="AW369" s="1">
        <v>6327.46</v>
      </c>
      <c r="AX369" s="1">
        <v>2013.0</v>
      </c>
      <c r="AZ369" s="1" t="s">
        <v>545</v>
      </c>
      <c r="BA369" s="1" t="str">
        <f>"0233126010"</f>
        <v>0233126010</v>
      </c>
      <c r="BC369" s="1">
        <v>3040.0</v>
      </c>
      <c r="BD369" s="1">
        <v>167499.0</v>
      </c>
      <c r="BE369" s="2">
        <v>41963.0</v>
      </c>
      <c r="BF369" s="2" t="s">
        <v>3507</v>
      </c>
      <c r="BH369" s="1">
        <v>60.0</v>
      </c>
      <c r="BK369" s="1" t="s">
        <v>474</v>
      </c>
      <c r="BL369" s="1" t="str">
        <f t="shared" ref="BL369:BM369" si="245">""</f>
        <v/>
      </c>
      <c r="BM369" s="1" t="str">
        <f t="shared" si="245"/>
        <v/>
      </c>
      <c r="BQ369" s="1">
        <v>300.0</v>
      </c>
      <c r="BR369" s="1">
        <v>300.0</v>
      </c>
      <c r="BS369" s="1">
        <v>300.0</v>
      </c>
      <c r="BU369" s="1" t="s">
        <v>3817</v>
      </c>
      <c r="BV369" s="1" t="s">
        <v>206</v>
      </c>
      <c r="BY369" s="1" t="s">
        <v>616</v>
      </c>
      <c r="BZ369" s="1" t="s">
        <v>209</v>
      </c>
      <c r="CC369" s="1" t="s">
        <v>269</v>
      </c>
      <c r="CD369" s="1" t="s">
        <v>206</v>
      </c>
      <c r="CG369" s="1" t="s">
        <v>264</v>
      </c>
      <c r="CH369" s="1" t="s">
        <v>209</v>
      </c>
      <c r="CK369" s="1" t="s">
        <v>758</v>
      </c>
      <c r="CL369" s="1" t="s">
        <v>209</v>
      </c>
      <c r="CO369" s="1" t="s">
        <v>584</v>
      </c>
      <c r="CP369" s="1" t="s">
        <v>209</v>
      </c>
      <c r="CS369" s="1" t="s">
        <v>5311</v>
      </c>
      <c r="CT369" s="1" t="s">
        <v>206</v>
      </c>
      <c r="CW369" s="1" t="s">
        <v>208</v>
      </c>
      <c r="CX369" s="1" t="s">
        <v>206</v>
      </c>
      <c r="DA369" s="1" t="s">
        <v>200</v>
      </c>
      <c r="DC369" s="1" t="s">
        <v>481</v>
      </c>
      <c r="DE369" s="1" t="s">
        <v>273</v>
      </c>
      <c r="DF369" s="1" t="s">
        <v>219</v>
      </c>
      <c r="DH369" s="1" t="s">
        <v>220</v>
      </c>
      <c r="DJ369" s="1" t="s">
        <v>222</v>
      </c>
      <c r="DL369" s="1" t="s">
        <v>224</v>
      </c>
      <c r="DM369" s="1" t="s">
        <v>229</v>
      </c>
      <c r="DQ369" s="1" t="s">
        <v>228</v>
      </c>
      <c r="DR369" s="1" t="s">
        <v>588</v>
      </c>
      <c r="DV369" s="1" t="s">
        <v>588</v>
      </c>
      <c r="DW369" s="1" t="s">
        <v>233</v>
      </c>
      <c r="DX369" s="1" t="s">
        <v>234</v>
      </c>
      <c r="EA369" s="1" t="s">
        <v>344</v>
      </c>
      <c r="EC369" s="1" t="s">
        <v>237</v>
      </c>
      <c r="EE369" s="1" t="s">
        <v>1960</v>
      </c>
      <c r="EG369" s="1" t="s">
        <v>588</v>
      </c>
      <c r="EL369" s="1" t="s">
        <v>940</v>
      </c>
      <c r="EM369" s="1" t="s">
        <v>206</v>
      </c>
      <c r="EQ369" s="1" t="s">
        <v>238</v>
      </c>
      <c r="EU369" s="1" t="s">
        <v>238</v>
      </c>
      <c r="EY369" s="1" t="s">
        <v>238</v>
      </c>
      <c r="FC369" s="1" t="s">
        <v>238</v>
      </c>
      <c r="FF369" s="1" t="s">
        <v>239</v>
      </c>
      <c r="FG369" s="1" t="s">
        <v>192</v>
      </c>
      <c r="FH369" s="1" t="s">
        <v>192</v>
      </c>
      <c r="FJ369" s="1" t="s">
        <v>347</v>
      </c>
      <c r="FK369" s="1" t="s">
        <v>229</v>
      </c>
      <c r="FL369" s="1" t="s">
        <v>3033</v>
      </c>
      <c r="FM369" s="1">
        <v>1984.0</v>
      </c>
      <c r="FN369" s="1" t="s">
        <v>3034</v>
      </c>
      <c r="FO369" s="1" t="s">
        <v>3035</v>
      </c>
      <c r="FP369" s="1">
        <v>922950.0</v>
      </c>
      <c r="FU369" s="1" t="s">
        <v>3036</v>
      </c>
      <c r="FV369" s="1" t="s">
        <v>200</v>
      </c>
      <c r="FW369" s="1" t="s">
        <v>3037</v>
      </c>
      <c r="FZ369" s="1" t="s">
        <v>229</v>
      </c>
      <c r="GA369" s="1" t="s">
        <v>291</v>
      </c>
      <c r="GB369" s="2">
        <v>42110.0</v>
      </c>
      <c r="GC369" s="1" t="s">
        <v>3510</v>
      </c>
    </row>
    <row r="370">
      <c r="A370" s="1">
        <v>259000.0</v>
      </c>
      <c r="B370" s="1" t="s">
        <v>185</v>
      </c>
      <c r="C370" s="1" t="str">
        <f>"08793559"</f>
        <v>08793559</v>
      </c>
      <c r="D370" s="1" t="s">
        <v>186</v>
      </c>
      <c r="F370" s="1" t="str">
        <f>"8018"</f>
        <v>8018</v>
      </c>
      <c r="G370" s="2">
        <v>41971.0</v>
      </c>
      <c r="H370" s="1">
        <v>264999.0</v>
      </c>
      <c r="I370" s="1">
        <v>38.0</v>
      </c>
      <c r="J370" s="1">
        <v>264999.0</v>
      </c>
      <c r="K370" s="2">
        <v>42006.0</v>
      </c>
      <c r="L370" s="1">
        <v>38.0</v>
      </c>
      <c r="M370" s="2">
        <v>42006.0</v>
      </c>
      <c r="N370" s="1" t="s">
        <v>356</v>
      </c>
      <c r="O370" s="2">
        <v>42062.0</v>
      </c>
      <c r="P370" s="1">
        <v>869394.0</v>
      </c>
      <c r="Q370" s="1">
        <v>85895.0</v>
      </c>
      <c r="S370" s="1">
        <v>2857.0</v>
      </c>
      <c r="T370" s="1" t="s">
        <v>5312</v>
      </c>
      <c r="U370" s="1" t="s">
        <v>189</v>
      </c>
      <c r="V370" s="1" t="s">
        <v>190</v>
      </c>
      <c r="W370" s="1">
        <v>60634.0</v>
      </c>
      <c r="Y370" s="1" t="s">
        <v>5313</v>
      </c>
      <c r="Z370" s="1" t="s">
        <v>296</v>
      </c>
      <c r="AA370" s="1" t="s">
        <v>192</v>
      </c>
      <c r="AB370" s="1" t="s">
        <v>193</v>
      </c>
      <c r="AD370" s="1" t="s">
        <v>194</v>
      </c>
      <c r="AE370" s="1" t="s">
        <v>195</v>
      </c>
      <c r="AF370" s="1" t="s">
        <v>196</v>
      </c>
      <c r="AH370" s="1" t="s">
        <v>5314</v>
      </c>
      <c r="AK370" s="1">
        <v>7.0</v>
      </c>
      <c r="AL370" s="1">
        <v>3.0</v>
      </c>
      <c r="AM370" s="1">
        <v>2.0</v>
      </c>
      <c r="AN370" s="1">
        <v>0.0</v>
      </c>
      <c r="AO370" s="1" t="s">
        <v>229</v>
      </c>
      <c r="AP370" s="1">
        <v>1.0</v>
      </c>
      <c r="AQ370" s="1" t="s">
        <v>198</v>
      </c>
      <c r="AR370" s="1" t="s">
        <v>192</v>
      </c>
      <c r="AS370" s="1" t="s">
        <v>199</v>
      </c>
      <c r="AT370" s="1">
        <v>2.0</v>
      </c>
      <c r="AV370" s="1" t="s">
        <v>200</v>
      </c>
      <c r="AW370" s="1">
        <v>3345.55</v>
      </c>
      <c r="AX370" s="1">
        <v>2013.0</v>
      </c>
      <c r="AY370" s="1" t="s">
        <v>387</v>
      </c>
      <c r="AZ370" s="1" t="s">
        <v>200</v>
      </c>
      <c r="BA370" s="1" t="str">
        <f>"13301290010000"</f>
        <v>13301290010000</v>
      </c>
      <c r="BC370" s="1">
        <v>1294.0</v>
      </c>
      <c r="BD370" s="1">
        <v>259000.0</v>
      </c>
      <c r="BE370" s="2">
        <v>41969.0</v>
      </c>
      <c r="BF370" s="2" t="s">
        <v>5315</v>
      </c>
      <c r="BH370" s="1">
        <v>0.0</v>
      </c>
      <c r="BK370" s="1" t="s">
        <v>204</v>
      </c>
      <c r="BL370" s="1" t="str">
        <f>"2857"</f>
        <v>2857</v>
      </c>
      <c r="BM370" s="1" t="str">
        <f>"0"</f>
        <v>0</v>
      </c>
      <c r="BN370" s="1">
        <v>7090.0</v>
      </c>
      <c r="BO370" s="1">
        <v>0.0</v>
      </c>
      <c r="BQ370" s="1">
        <v>299.0</v>
      </c>
      <c r="BR370" s="1">
        <v>299.0</v>
      </c>
      <c r="BS370" s="1">
        <v>299.0</v>
      </c>
      <c r="BU370" s="1" t="s">
        <v>432</v>
      </c>
      <c r="BV370" s="1" t="s">
        <v>206</v>
      </c>
      <c r="BW370" s="1" t="s">
        <v>207</v>
      </c>
      <c r="BY370" s="1" t="s">
        <v>1352</v>
      </c>
      <c r="BZ370" s="1" t="s">
        <v>209</v>
      </c>
      <c r="CA370" s="1" t="s">
        <v>207</v>
      </c>
      <c r="CC370" s="1" t="s">
        <v>212</v>
      </c>
      <c r="CD370" s="1" t="s">
        <v>206</v>
      </c>
      <c r="CE370" s="1" t="s">
        <v>207</v>
      </c>
      <c r="CG370" s="1" t="s">
        <v>269</v>
      </c>
      <c r="CH370" s="1" t="s">
        <v>209</v>
      </c>
      <c r="CI370" s="1" t="s">
        <v>207</v>
      </c>
      <c r="CK370" s="1" t="s">
        <v>1352</v>
      </c>
      <c r="CL370" s="1" t="s">
        <v>209</v>
      </c>
      <c r="CM370" s="1" t="s">
        <v>207</v>
      </c>
      <c r="CO370" s="1" t="s">
        <v>663</v>
      </c>
      <c r="CP370" s="1" t="s">
        <v>42</v>
      </c>
      <c r="CQ370" s="1" t="s">
        <v>210</v>
      </c>
      <c r="CS370" s="1" t="s">
        <v>269</v>
      </c>
      <c r="CT370" s="1" t="s">
        <v>206</v>
      </c>
      <c r="CU370" s="1" t="s">
        <v>268</v>
      </c>
      <c r="CX370" s="1" t="s">
        <v>204</v>
      </c>
      <c r="DA370" s="1" t="s">
        <v>200</v>
      </c>
      <c r="DC370" s="1" t="s">
        <v>395</v>
      </c>
      <c r="DE370" s="1" t="s">
        <v>273</v>
      </c>
      <c r="DF370" s="1" t="s">
        <v>219</v>
      </c>
      <c r="DH370" s="1" t="s">
        <v>365</v>
      </c>
      <c r="DI370" s="1" t="s">
        <v>366</v>
      </c>
      <c r="DJ370" s="1" t="s">
        <v>222</v>
      </c>
      <c r="DL370" s="1" t="s">
        <v>224</v>
      </c>
      <c r="DM370" s="1" t="s">
        <v>225</v>
      </c>
      <c r="DP370" s="1" t="s">
        <v>340</v>
      </c>
      <c r="DQ370" s="1" t="s">
        <v>228</v>
      </c>
      <c r="DR370" s="1" t="s">
        <v>229</v>
      </c>
      <c r="DV370" s="1" t="s">
        <v>232</v>
      </c>
      <c r="DW370" s="1" t="s">
        <v>279</v>
      </c>
      <c r="DX370" s="1" t="s">
        <v>234</v>
      </c>
      <c r="EB370" s="1" t="s">
        <v>345</v>
      </c>
      <c r="EC370" s="1" t="s">
        <v>237</v>
      </c>
      <c r="EM370" s="1" t="s">
        <v>238</v>
      </c>
      <c r="EQ370" s="1" t="s">
        <v>238</v>
      </c>
      <c r="EU370" s="1" t="s">
        <v>238</v>
      </c>
      <c r="EY370" s="1" t="s">
        <v>238</v>
      </c>
      <c r="FC370" s="1" t="s">
        <v>238</v>
      </c>
      <c r="FF370" s="1" t="s">
        <v>239</v>
      </c>
      <c r="FG370" s="1" t="s">
        <v>192</v>
      </c>
      <c r="FH370" s="1" t="s">
        <v>192</v>
      </c>
      <c r="FJ370" s="1" t="s">
        <v>770</v>
      </c>
      <c r="FK370" s="1" t="s">
        <v>229</v>
      </c>
      <c r="FL370" s="1" t="s">
        <v>5316</v>
      </c>
      <c r="FM370" s="1">
        <v>1171.0</v>
      </c>
      <c r="FN370" s="1" t="s">
        <v>5317</v>
      </c>
      <c r="FO370" s="1" t="s">
        <v>5318</v>
      </c>
      <c r="FP370" s="1">
        <v>922238.0</v>
      </c>
      <c r="FQ370" s="1" t="s">
        <v>5319</v>
      </c>
      <c r="FU370" s="1" t="s">
        <v>5320</v>
      </c>
      <c r="FV370" s="1" t="s">
        <v>192</v>
      </c>
      <c r="FW370" s="1" t="s">
        <v>290</v>
      </c>
      <c r="FX370" s="1" t="s">
        <v>238</v>
      </c>
      <c r="FZ370" s="1" t="s">
        <v>229</v>
      </c>
      <c r="GA370" s="1" t="s">
        <v>247</v>
      </c>
      <c r="GB370" s="2">
        <v>42076.0</v>
      </c>
      <c r="GC370" s="1" t="s">
        <v>5321</v>
      </c>
    </row>
    <row r="371">
      <c r="A371" s="1">
        <v>287990.0</v>
      </c>
      <c r="B371" s="1" t="s">
        <v>185</v>
      </c>
      <c r="C371" s="1" t="str">
        <f>"08793657"</f>
        <v>08793657</v>
      </c>
      <c r="D371" s="1" t="s">
        <v>186</v>
      </c>
      <c r="F371" s="1" t="str">
        <f>"123"</f>
        <v>123</v>
      </c>
      <c r="G371" s="2">
        <v>41971.0</v>
      </c>
      <c r="H371" s="1">
        <v>289990.0</v>
      </c>
      <c r="I371" s="1">
        <v>121.0</v>
      </c>
      <c r="J371" s="1">
        <v>287990.0</v>
      </c>
      <c r="K371" s="2">
        <v>42091.0</v>
      </c>
      <c r="L371" s="1">
        <v>121.0</v>
      </c>
      <c r="M371" s="2">
        <v>42091.0</v>
      </c>
      <c r="N371" s="1" t="s">
        <v>187</v>
      </c>
      <c r="O371" s="2">
        <v>42121.0</v>
      </c>
      <c r="P371" s="1">
        <v>77100.0</v>
      </c>
      <c r="Q371" s="1">
        <v>37.0</v>
      </c>
      <c r="S371" s="1">
        <v>208.0</v>
      </c>
      <c r="T371" s="1" t="s">
        <v>5322</v>
      </c>
      <c r="U371" s="1" t="s">
        <v>189</v>
      </c>
      <c r="V371" s="1" t="s">
        <v>465</v>
      </c>
      <c r="W371" s="1">
        <v>60124.0</v>
      </c>
      <c r="Y371" s="1" t="s">
        <v>2434</v>
      </c>
      <c r="Z371" s="1">
        <v>2014.0</v>
      </c>
      <c r="AA371" s="1" t="s">
        <v>200</v>
      </c>
      <c r="AB371" s="1" t="s">
        <v>467</v>
      </c>
      <c r="AC371" s="1" t="s">
        <v>3682</v>
      </c>
      <c r="AD371" s="1" t="s">
        <v>469</v>
      </c>
      <c r="AE371" s="1" t="s">
        <v>325</v>
      </c>
      <c r="AF371" s="1" t="s">
        <v>469</v>
      </c>
      <c r="AG371" s="1" t="s">
        <v>5323</v>
      </c>
      <c r="AH371" s="1" t="s">
        <v>5324</v>
      </c>
      <c r="AK371" s="1">
        <v>9.0</v>
      </c>
      <c r="AL371" s="1">
        <v>4.0</v>
      </c>
      <c r="AM371" s="1">
        <v>2.0</v>
      </c>
      <c r="AN371" s="1">
        <v>1.0</v>
      </c>
      <c r="AO371" s="1" t="s">
        <v>198</v>
      </c>
      <c r="AP371" s="1">
        <v>0.0</v>
      </c>
      <c r="AQ371" s="1" t="s">
        <v>1314</v>
      </c>
      <c r="AR371" s="1" t="s">
        <v>200</v>
      </c>
      <c r="AS371" s="1" t="s">
        <v>199</v>
      </c>
      <c r="AT371" s="1">
        <v>2.0</v>
      </c>
      <c r="AV371" s="1" t="s">
        <v>200</v>
      </c>
      <c r="AW371" s="1" t="s">
        <v>575</v>
      </c>
      <c r="AX371" s="1">
        <v>2013.0</v>
      </c>
      <c r="AZ371" s="1" t="s">
        <v>200</v>
      </c>
      <c r="BA371" s="1" t="str">
        <f>"0618451008"</f>
        <v>0618451008</v>
      </c>
      <c r="BC371" s="1">
        <v>2700.0</v>
      </c>
      <c r="BD371" s="1">
        <v>287990.0</v>
      </c>
      <c r="BE371" s="2">
        <v>41971.0</v>
      </c>
      <c r="BF371" s="2" t="s">
        <v>5325</v>
      </c>
      <c r="BG371" s="1" t="s">
        <v>3686</v>
      </c>
      <c r="BH371" s="1">
        <v>300.0</v>
      </c>
      <c r="BI371" s="1" t="s">
        <v>578</v>
      </c>
      <c r="BJ371" s="1" t="s">
        <v>579</v>
      </c>
      <c r="BK371" s="1" t="s">
        <v>580</v>
      </c>
      <c r="BL371" s="1" t="str">
        <f t="shared" ref="BL371:BM371" si="246">""</f>
        <v/>
      </c>
      <c r="BM371" s="1" t="str">
        <f t="shared" si="246"/>
        <v/>
      </c>
      <c r="BQ371" s="1">
        <v>301.0</v>
      </c>
      <c r="BR371" s="1">
        <v>301.0</v>
      </c>
      <c r="BS371" s="1">
        <v>301.0</v>
      </c>
      <c r="BU371" s="1" t="s">
        <v>212</v>
      </c>
      <c r="BV371" s="1" t="s">
        <v>206</v>
      </c>
      <c r="BW371" s="1" t="s">
        <v>210</v>
      </c>
      <c r="BY371" s="1" t="s">
        <v>2219</v>
      </c>
      <c r="BZ371" s="1" t="s">
        <v>209</v>
      </c>
      <c r="CA371" s="1" t="s">
        <v>210</v>
      </c>
      <c r="CC371" s="1" t="s">
        <v>302</v>
      </c>
      <c r="CD371" s="1" t="s">
        <v>206</v>
      </c>
      <c r="CE371" s="1" t="s">
        <v>210</v>
      </c>
      <c r="CG371" s="1" t="s">
        <v>699</v>
      </c>
      <c r="CH371" s="1" t="s">
        <v>209</v>
      </c>
      <c r="CI371" s="1" t="s">
        <v>210</v>
      </c>
      <c r="CK371" s="1" t="s">
        <v>212</v>
      </c>
      <c r="CL371" s="1" t="s">
        <v>209</v>
      </c>
      <c r="CM371" s="1" t="s">
        <v>210</v>
      </c>
      <c r="CO371" s="1" t="s">
        <v>699</v>
      </c>
      <c r="CP371" s="1" t="s">
        <v>209</v>
      </c>
      <c r="CQ371" s="1" t="s">
        <v>210</v>
      </c>
      <c r="CS371" s="1" t="s">
        <v>2224</v>
      </c>
      <c r="CT371" s="1" t="s">
        <v>206</v>
      </c>
      <c r="CU371" s="1" t="s">
        <v>301</v>
      </c>
      <c r="CW371" s="1" t="s">
        <v>2800</v>
      </c>
      <c r="CX371" s="1" t="s">
        <v>206</v>
      </c>
      <c r="CY371" s="1" t="s">
        <v>301</v>
      </c>
      <c r="DA371" s="1" t="s">
        <v>192</v>
      </c>
      <c r="DB371" s="2">
        <v>42003.0</v>
      </c>
      <c r="DC371" s="1" t="s">
        <v>1353</v>
      </c>
      <c r="DD371" s="1" t="s">
        <v>5326</v>
      </c>
      <c r="DE371" s="1" t="s">
        <v>273</v>
      </c>
      <c r="DF371" s="1" t="s">
        <v>619</v>
      </c>
      <c r="DG371" s="1" t="s">
        <v>5327</v>
      </c>
      <c r="DH371" s="1" t="s">
        <v>220</v>
      </c>
      <c r="DI371" s="1" t="s">
        <v>732</v>
      </c>
      <c r="DJ371" s="1" t="s">
        <v>222</v>
      </c>
      <c r="DK371" s="1" t="s">
        <v>223</v>
      </c>
      <c r="DL371" s="1" t="s">
        <v>223</v>
      </c>
      <c r="DM371" s="1" t="s">
        <v>792</v>
      </c>
      <c r="DN371" s="1" t="s">
        <v>5328</v>
      </c>
      <c r="DP371" s="1" t="s">
        <v>340</v>
      </c>
      <c r="DQ371" s="1" t="s">
        <v>228</v>
      </c>
      <c r="DR371" s="1" t="s">
        <v>1487</v>
      </c>
      <c r="DS371" s="1" t="s">
        <v>591</v>
      </c>
      <c r="DT371" s="1" t="s">
        <v>5329</v>
      </c>
      <c r="DU371" s="1" t="s">
        <v>5330</v>
      </c>
      <c r="DV371" s="1" t="s">
        <v>5331</v>
      </c>
      <c r="DW371" s="1" t="s">
        <v>5332</v>
      </c>
      <c r="DX371" s="1" t="s">
        <v>234</v>
      </c>
      <c r="DY371" s="1" t="s">
        <v>2446</v>
      </c>
      <c r="DZ371" s="1" t="s">
        <v>405</v>
      </c>
      <c r="EA371" s="1" t="s">
        <v>344</v>
      </c>
      <c r="EC371" s="1" t="s">
        <v>237</v>
      </c>
      <c r="ED371" s="1" t="s">
        <v>5333</v>
      </c>
      <c r="EE371" s="1" t="s">
        <v>493</v>
      </c>
      <c r="EG371" s="1" t="s">
        <v>556</v>
      </c>
      <c r="EH371" s="1" t="s">
        <v>720</v>
      </c>
      <c r="EL371" s="1" t="s">
        <v>332</v>
      </c>
      <c r="EM371" s="1" t="s">
        <v>206</v>
      </c>
      <c r="EN371" s="1" t="s">
        <v>301</v>
      </c>
      <c r="EP371" s="1" t="s">
        <v>5334</v>
      </c>
      <c r="EQ371" s="1" t="s">
        <v>206</v>
      </c>
      <c r="ER371" s="1" t="s">
        <v>617</v>
      </c>
      <c r="EU371" s="1" t="s">
        <v>238</v>
      </c>
      <c r="EY371" s="1" t="s">
        <v>238</v>
      </c>
      <c r="FC371" s="1" t="s">
        <v>238</v>
      </c>
      <c r="FF371" s="1" t="s">
        <v>2447</v>
      </c>
      <c r="FG371" s="1" t="s">
        <v>192</v>
      </c>
      <c r="FH371" s="1" t="s">
        <v>192</v>
      </c>
      <c r="FJ371" s="1" t="s">
        <v>347</v>
      </c>
      <c r="FK371" s="1" t="s">
        <v>229</v>
      </c>
      <c r="FL371" s="1" t="s">
        <v>2448</v>
      </c>
      <c r="FM371" s="1">
        <v>92038.0</v>
      </c>
      <c r="FN371" s="1" t="s">
        <v>2449</v>
      </c>
      <c r="FO371" s="1" t="s">
        <v>2450</v>
      </c>
      <c r="FP371" s="1">
        <v>21137.0</v>
      </c>
      <c r="FQ371" s="1" t="s">
        <v>2451</v>
      </c>
      <c r="FT371" s="1" t="s">
        <v>5335</v>
      </c>
      <c r="FU371" s="1" t="s">
        <v>5336</v>
      </c>
      <c r="FV371" s="1" t="s">
        <v>200</v>
      </c>
      <c r="FW371" s="1" t="s">
        <v>5337</v>
      </c>
      <c r="FZ371" s="1" t="s">
        <v>229</v>
      </c>
      <c r="GA371" s="1" t="s">
        <v>291</v>
      </c>
      <c r="GB371" s="2">
        <v>42121.0</v>
      </c>
      <c r="GC371" s="1" t="s">
        <v>5338</v>
      </c>
    </row>
    <row r="372">
      <c r="A372" s="1">
        <v>425000.0</v>
      </c>
      <c r="B372" s="1" t="s">
        <v>185</v>
      </c>
      <c r="C372" s="1" t="str">
        <f>"08792249"</f>
        <v>08792249</v>
      </c>
      <c r="D372" s="1" t="s">
        <v>186</v>
      </c>
      <c r="F372" s="1" t="str">
        <f>"177"</f>
        <v>177</v>
      </c>
      <c r="G372" s="2">
        <v>41967.0</v>
      </c>
      <c r="H372" s="1">
        <v>439900.0</v>
      </c>
      <c r="I372" s="1">
        <v>214.0</v>
      </c>
      <c r="J372" s="1">
        <v>439900.0</v>
      </c>
      <c r="K372" s="2">
        <v>42061.0</v>
      </c>
      <c r="L372" s="1">
        <v>95.0</v>
      </c>
      <c r="M372" s="2">
        <v>42061.0</v>
      </c>
      <c r="N372" s="1" t="s">
        <v>187</v>
      </c>
      <c r="O372" s="2">
        <v>42108.0</v>
      </c>
      <c r="P372" s="1">
        <v>241620.0</v>
      </c>
      <c r="Q372" s="1">
        <v>8970.0</v>
      </c>
      <c r="S372" s="1">
        <v>807.0</v>
      </c>
      <c r="T372" s="1" t="s">
        <v>5339</v>
      </c>
      <c r="U372" s="1" t="s">
        <v>569</v>
      </c>
      <c r="V372" s="1" t="s">
        <v>2249</v>
      </c>
      <c r="W372" s="1">
        <v>60177.0</v>
      </c>
      <c r="Y372" s="1" t="s">
        <v>5340</v>
      </c>
      <c r="Z372" s="1">
        <v>2002.0</v>
      </c>
      <c r="AA372" s="1" t="s">
        <v>200</v>
      </c>
      <c r="AB372" s="1" t="s">
        <v>467</v>
      </c>
      <c r="AC372" s="1" t="s">
        <v>5341</v>
      </c>
      <c r="AD372" s="1" t="s">
        <v>2252</v>
      </c>
      <c r="AE372" s="1" t="s">
        <v>325</v>
      </c>
      <c r="AF372" s="1" t="s">
        <v>1203</v>
      </c>
      <c r="AH372" s="1" t="s">
        <v>5342</v>
      </c>
      <c r="AI372" s="1">
        <v>0.229</v>
      </c>
      <c r="AK372" s="1">
        <v>10.0</v>
      </c>
      <c r="AL372" s="1">
        <v>4.0</v>
      </c>
      <c r="AM372" s="1">
        <v>3.0</v>
      </c>
      <c r="AN372" s="1">
        <v>1.0</v>
      </c>
      <c r="AO372" s="1" t="s">
        <v>198</v>
      </c>
      <c r="AP372" s="1">
        <v>1.0</v>
      </c>
      <c r="AQ372" s="1" t="s">
        <v>198</v>
      </c>
      <c r="AR372" s="1" t="s">
        <v>192</v>
      </c>
      <c r="AS372" s="1" t="s">
        <v>199</v>
      </c>
      <c r="AT372" s="1">
        <v>3.0</v>
      </c>
      <c r="AV372" s="1" t="s">
        <v>200</v>
      </c>
      <c r="AW372" s="1">
        <v>12921.0</v>
      </c>
      <c r="AX372" s="1">
        <v>2013.0</v>
      </c>
      <c r="AY372" s="1" t="s">
        <v>387</v>
      </c>
      <c r="AZ372" s="1" t="s">
        <v>200</v>
      </c>
      <c r="BA372" s="1" t="str">
        <f>"0905406017"</f>
        <v>0905406017</v>
      </c>
      <c r="BC372" s="1">
        <v>3452.0</v>
      </c>
      <c r="BD372" s="1">
        <v>425000.0</v>
      </c>
      <c r="BE372" s="2">
        <v>41967.0</v>
      </c>
      <c r="BF372" s="2" t="s">
        <v>5343</v>
      </c>
      <c r="BG372" s="1" t="s">
        <v>4510</v>
      </c>
      <c r="BH372" s="1">
        <v>117.0</v>
      </c>
      <c r="BI372" s="1" t="s">
        <v>4511</v>
      </c>
      <c r="BJ372" s="1" t="s">
        <v>2200</v>
      </c>
      <c r="BK372" s="1" t="s">
        <v>1952</v>
      </c>
      <c r="BL372" s="1" t="str">
        <f t="shared" ref="BL372:BM372" si="247">""</f>
        <v/>
      </c>
      <c r="BM372" s="1" t="str">
        <f t="shared" si="247"/>
        <v/>
      </c>
      <c r="BQ372" s="1">
        <v>303.0</v>
      </c>
      <c r="BR372" s="1">
        <v>303.0</v>
      </c>
      <c r="BS372" s="1">
        <v>303.0</v>
      </c>
      <c r="BU372" s="1" t="s">
        <v>205</v>
      </c>
      <c r="BV372" s="1" t="s">
        <v>206</v>
      </c>
      <c r="BW372" s="1" t="s">
        <v>210</v>
      </c>
      <c r="BY372" s="1" t="s">
        <v>1534</v>
      </c>
      <c r="BZ372" s="1" t="s">
        <v>209</v>
      </c>
      <c r="CA372" s="1" t="s">
        <v>210</v>
      </c>
      <c r="CB372" s="1" t="s">
        <v>431</v>
      </c>
      <c r="CC372" s="1" t="s">
        <v>205</v>
      </c>
      <c r="CD372" s="1" t="s">
        <v>206</v>
      </c>
      <c r="CE372" s="1" t="s">
        <v>207</v>
      </c>
      <c r="CF372" s="1" t="s">
        <v>1549</v>
      </c>
      <c r="CG372" s="1" t="s">
        <v>300</v>
      </c>
      <c r="CH372" s="1" t="s">
        <v>209</v>
      </c>
      <c r="CI372" s="1" t="s">
        <v>210</v>
      </c>
      <c r="CJ372" s="1" t="s">
        <v>431</v>
      </c>
      <c r="CK372" s="1" t="s">
        <v>300</v>
      </c>
      <c r="CL372" s="1" t="s">
        <v>209</v>
      </c>
      <c r="CM372" s="1" t="s">
        <v>210</v>
      </c>
      <c r="CN372" s="1" t="s">
        <v>431</v>
      </c>
      <c r="CO372" s="1" t="s">
        <v>433</v>
      </c>
      <c r="CP372" s="1" t="s">
        <v>209</v>
      </c>
      <c r="CQ372" s="1" t="s">
        <v>210</v>
      </c>
      <c r="CR372" s="1" t="s">
        <v>431</v>
      </c>
      <c r="CS372" s="1" t="s">
        <v>2014</v>
      </c>
      <c r="CT372" s="1" t="s">
        <v>206</v>
      </c>
      <c r="CU372" s="1" t="s">
        <v>207</v>
      </c>
      <c r="CW372" s="1" t="s">
        <v>2013</v>
      </c>
      <c r="CX372" s="1" t="s">
        <v>206</v>
      </c>
      <c r="CY372" s="1" t="s">
        <v>210</v>
      </c>
      <c r="CZ372" s="1" t="s">
        <v>431</v>
      </c>
      <c r="DA372" s="1" t="s">
        <v>200</v>
      </c>
      <c r="DC372" s="1" t="s">
        <v>335</v>
      </c>
      <c r="DD372" s="1" t="s">
        <v>4137</v>
      </c>
      <c r="DE372" s="1" t="s">
        <v>273</v>
      </c>
      <c r="DF372" s="1" t="s">
        <v>219</v>
      </c>
      <c r="DG372" s="1" t="s">
        <v>5344</v>
      </c>
      <c r="DH372" s="1" t="s">
        <v>220</v>
      </c>
      <c r="DI372" s="1" t="s">
        <v>5345</v>
      </c>
      <c r="DJ372" s="1" t="s">
        <v>222</v>
      </c>
      <c r="DK372" s="1" t="s">
        <v>223</v>
      </c>
      <c r="DL372" s="1" t="s">
        <v>224</v>
      </c>
      <c r="DM372" s="1" t="s">
        <v>338</v>
      </c>
      <c r="DN372" s="1" t="s">
        <v>399</v>
      </c>
      <c r="DO372" s="1" t="s">
        <v>5346</v>
      </c>
      <c r="DP372" s="1" t="s">
        <v>340</v>
      </c>
      <c r="DQ372" s="1" t="s">
        <v>228</v>
      </c>
      <c r="DR372" s="1" t="s">
        <v>2593</v>
      </c>
      <c r="DS372" s="1" t="s">
        <v>368</v>
      </c>
      <c r="DU372" s="1" t="s">
        <v>487</v>
      </c>
      <c r="DV372" s="1" t="s">
        <v>5347</v>
      </c>
      <c r="DW372" s="1" t="s">
        <v>764</v>
      </c>
      <c r="DX372" s="1" t="s">
        <v>234</v>
      </c>
      <c r="DY372" s="1" t="s">
        <v>1559</v>
      </c>
      <c r="DZ372" s="1" t="s">
        <v>5348</v>
      </c>
      <c r="EA372" s="1" t="s">
        <v>344</v>
      </c>
      <c r="EB372" s="1" t="s">
        <v>937</v>
      </c>
      <c r="EC372" s="1" t="s">
        <v>237</v>
      </c>
      <c r="ED372" s="1" t="s">
        <v>407</v>
      </c>
      <c r="EG372" s="1" t="s">
        <v>598</v>
      </c>
      <c r="EH372" s="1" t="s">
        <v>451</v>
      </c>
      <c r="EI372" s="1" t="s">
        <v>588</v>
      </c>
      <c r="EL372" s="1" t="s">
        <v>212</v>
      </c>
      <c r="EM372" s="1" t="s">
        <v>206</v>
      </c>
      <c r="EN372" s="1" t="s">
        <v>210</v>
      </c>
      <c r="EP372" s="1" t="s">
        <v>4180</v>
      </c>
      <c r="EQ372" s="1" t="s">
        <v>42</v>
      </c>
      <c r="ER372" s="1" t="s">
        <v>301</v>
      </c>
      <c r="ET372" s="1" t="s">
        <v>212</v>
      </c>
      <c r="EU372" s="1" t="s">
        <v>42</v>
      </c>
      <c r="EV372" s="1" t="s">
        <v>210</v>
      </c>
      <c r="EY372" s="1" t="s">
        <v>238</v>
      </c>
      <c r="FC372" s="1" t="s">
        <v>238</v>
      </c>
      <c r="FF372" s="1" t="s">
        <v>239</v>
      </c>
      <c r="FG372" s="1" t="s">
        <v>192</v>
      </c>
      <c r="FH372" s="1" t="s">
        <v>192</v>
      </c>
      <c r="FJ372" s="1" t="s">
        <v>1469</v>
      </c>
      <c r="FK372" s="1" t="s">
        <v>229</v>
      </c>
      <c r="FL372" s="1" t="s">
        <v>5349</v>
      </c>
      <c r="FM372" s="1">
        <v>289.0</v>
      </c>
      <c r="FN372" s="1" t="s">
        <v>5350</v>
      </c>
      <c r="FO372" s="1" t="s">
        <v>5351</v>
      </c>
      <c r="FP372" s="1">
        <v>8704.0</v>
      </c>
      <c r="FQ372" s="1" t="s">
        <v>5352</v>
      </c>
      <c r="FU372" s="1" t="s">
        <v>5353</v>
      </c>
      <c r="FV372" s="1" t="s">
        <v>200</v>
      </c>
      <c r="FW372" s="1" t="s">
        <v>5354</v>
      </c>
      <c r="FZ372" s="1" t="s">
        <v>632</v>
      </c>
      <c r="GA372" s="1" t="s">
        <v>291</v>
      </c>
      <c r="GB372" s="2">
        <v>42109.0</v>
      </c>
      <c r="GC372" s="1" t="s">
        <v>5355</v>
      </c>
    </row>
    <row r="373">
      <c r="A373" s="1">
        <v>170000.0</v>
      </c>
      <c r="B373" s="1" t="s">
        <v>185</v>
      </c>
      <c r="C373" s="1" t="str">
        <f>"08790477"</f>
        <v>08790477</v>
      </c>
      <c r="D373" s="1" t="s">
        <v>186</v>
      </c>
      <c r="F373" s="1" t="str">
        <f>"8015"</f>
        <v>8015</v>
      </c>
      <c r="G373" s="2">
        <v>41964.0</v>
      </c>
      <c r="H373" s="1">
        <v>189900.0</v>
      </c>
      <c r="I373" s="1">
        <v>81.0</v>
      </c>
      <c r="J373" s="1">
        <v>174900.0</v>
      </c>
      <c r="K373" s="2">
        <v>42039.0</v>
      </c>
      <c r="L373" s="1">
        <v>76.0</v>
      </c>
      <c r="M373" s="2">
        <v>42039.0</v>
      </c>
      <c r="N373" s="1" t="s">
        <v>249</v>
      </c>
      <c r="O373" s="2">
        <v>42053.0</v>
      </c>
      <c r="P373" s="1">
        <v>157163.0</v>
      </c>
      <c r="Q373" s="1">
        <v>15213.0</v>
      </c>
      <c r="S373" s="1">
        <v>5636.0</v>
      </c>
      <c r="T373" s="1" t="s">
        <v>5356</v>
      </c>
      <c r="U373" s="1" t="s">
        <v>320</v>
      </c>
      <c r="V373" s="1" t="s">
        <v>190</v>
      </c>
      <c r="W373" s="1">
        <v>60634.0</v>
      </c>
      <c r="Y373" s="1" t="s">
        <v>5357</v>
      </c>
      <c r="Z373" s="1">
        <v>1923.0</v>
      </c>
      <c r="AA373" s="1" t="s">
        <v>192</v>
      </c>
      <c r="AB373" s="1" t="s">
        <v>193</v>
      </c>
      <c r="AD373" s="1" t="s">
        <v>194</v>
      </c>
      <c r="AE373" s="1" t="s">
        <v>195</v>
      </c>
      <c r="AF373" s="1" t="s">
        <v>196</v>
      </c>
      <c r="AH373" s="1">
        <v>3780.0</v>
      </c>
      <c r="AI373" s="1">
        <v>0.0868</v>
      </c>
      <c r="AK373" s="1">
        <v>7.0</v>
      </c>
      <c r="AL373" s="1">
        <v>4.0</v>
      </c>
      <c r="AM373" s="1">
        <v>2.0</v>
      </c>
      <c r="AN373" s="1">
        <v>0.0</v>
      </c>
      <c r="AO373" s="1" t="s">
        <v>229</v>
      </c>
      <c r="AQ373" s="1" t="s">
        <v>198</v>
      </c>
      <c r="AR373" s="1" t="s">
        <v>192</v>
      </c>
      <c r="AS373" s="1" t="s">
        <v>199</v>
      </c>
      <c r="AT373" s="1">
        <v>2.0</v>
      </c>
      <c r="AV373" s="1" t="s">
        <v>200</v>
      </c>
      <c r="AW373" s="6">
        <v>4249.0</v>
      </c>
      <c r="AX373" s="1">
        <v>2012.0</v>
      </c>
      <c r="AZ373" s="1" t="s">
        <v>200</v>
      </c>
      <c r="BA373" s="1" t="str">
        <f>"13204240210000"</f>
        <v>13204240210000</v>
      </c>
      <c r="BC373" s="1">
        <v>1530.0</v>
      </c>
      <c r="BD373" s="1">
        <v>170000.0</v>
      </c>
      <c r="BE373" s="2">
        <v>41964.0</v>
      </c>
      <c r="BF373" s="2" t="s">
        <v>5358</v>
      </c>
      <c r="BH373" s="1">
        <v>0.0</v>
      </c>
      <c r="BK373" s="1" t="s">
        <v>204</v>
      </c>
      <c r="BL373" s="1" t="str">
        <f>"3300"</f>
        <v>3300</v>
      </c>
      <c r="BM373" s="1" t="str">
        <f>"0"</f>
        <v>0</v>
      </c>
      <c r="BN373" s="1">
        <v>5636.0</v>
      </c>
      <c r="BO373" s="1">
        <v>0.0</v>
      </c>
      <c r="BQ373" s="1">
        <v>299.0</v>
      </c>
      <c r="BR373" s="1">
        <v>299.0</v>
      </c>
      <c r="BS373" s="1">
        <v>299.0</v>
      </c>
      <c r="BU373" s="1" t="s">
        <v>211</v>
      </c>
      <c r="BV373" s="1" t="s">
        <v>206</v>
      </c>
      <c r="BW373" s="1" t="s">
        <v>207</v>
      </c>
      <c r="BY373" s="1" t="s">
        <v>264</v>
      </c>
      <c r="BZ373" s="1" t="s">
        <v>206</v>
      </c>
      <c r="CA373" s="1" t="s">
        <v>207</v>
      </c>
      <c r="CC373" s="1" t="s">
        <v>215</v>
      </c>
      <c r="CD373" s="1" t="s">
        <v>206</v>
      </c>
      <c r="CE373" s="1" t="s">
        <v>207</v>
      </c>
      <c r="CG373" s="1" t="s">
        <v>495</v>
      </c>
      <c r="CH373" s="1" t="s">
        <v>206</v>
      </c>
      <c r="CI373" s="1" t="s">
        <v>207</v>
      </c>
      <c r="CK373" s="1" t="s">
        <v>495</v>
      </c>
      <c r="CL373" s="1" t="s">
        <v>209</v>
      </c>
      <c r="CM373" s="1" t="s">
        <v>210</v>
      </c>
      <c r="CO373" s="1" t="s">
        <v>3307</v>
      </c>
      <c r="CP373" s="1" t="s">
        <v>209</v>
      </c>
      <c r="CQ373" s="1" t="s">
        <v>207</v>
      </c>
      <c r="CS373" s="1" t="s">
        <v>5359</v>
      </c>
      <c r="CT373" s="1" t="s">
        <v>206</v>
      </c>
      <c r="CU373" s="1" t="s">
        <v>268</v>
      </c>
      <c r="CX373" s="1" t="s">
        <v>204</v>
      </c>
      <c r="DA373" s="1" t="s">
        <v>200</v>
      </c>
      <c r="DC373" s="1" t="s">
        <v>216</v>
      </c>
      <c r="DE373" s="1" t="s">
        <v>229</v>
      </c>
      <c r="DF373" s="1" t="s">
        <v>619</v>
      </c>
      <c r="DH373" s="1" t="s">
        <v>365</v>
      </c>
      <c r="DJ373" s="1" t="s">
        <v>222</v>
      </c>
      <c r="DL373" s="1" t="s">
        <v>858</v>
      </c>
      <c r="DM373" s="1" t="s">
        <v>229</v>
      </c>
      <c r="DQ373" s="1" t="s">
        <v>228</v>
      </c>
      <c r="DR373" s="1" t="s">
        <v>229</v>
      </c>
      <c r="DV373" s="1" t="s">
        <v>232</v>
      </c>
      <c r="DW373" s="1" t="s">
        <v>279</v>
      </c>
      <c r="DX373" s="1" t="s">
        <v>234</v>
      </c>
      <c r="EC373" s="1" t="s">
        <v>645</v>
      </c>
      <c r="EM373" s="1" t="s">
        <v>238</v>
      </c>
      <c r="EQ373" s="1" t="s">
        <v>238</v>
      </c>
      <c r="EU373" s="1" t="s">
        <v>238</v>
      </c>
      <c r="EY373" s="1" t="s">
        <v>238</v>
      </c>
      <c r="FC373" s="1" t="s">
        <v>238</v>
      </c>
      <c r="FF373" s="1" t="s">
        <v>239</v>
      </c>
      <c r="FG373" s="1" t="s">
        <v>200</v>
      </c>
      <c r="FH373" s="1" t="s">
        <v>192</v>
      </c>
      <c r="FJ373" s="1" t="s">
        <v>1248</v>
      </c>
      <c r="FK373" s="1" t="s">
        <v>229</v>
      </c>
      <c r="FL373" s="1" t="s">
        <v>5360</v>
      </c>
      <c r="FM373" s="1">
        <v>15213.0</v>
      </c>
      <c r="FN373" s="1" t="s">
        <v>5361</v>
      </c>
      <c r="FO373" s="1" t="s">
        <v>5362</v>
      </c>
      <c r="FP373" s="1">
        <v>157163.0</v>
      </c>
      <c r="FQ373" s="1" t="s">
        <v>5363</v>
      </c>
      <c r="FR373" s="1">
        <v>133305.0</v>
      </c>
      <c r="FU373" s="1" t="s">
        <v>5364</v>
      </c>
      <c r="FV373" s="1" t="s">
        <v>200</v>
      </c>
      <c r="FW373" s="1" t="s">
        <v>354</v>
      </c>
      <c r="FX373" s="1" t="s">
        <v>246</v>
      </c>
      <c r="FZ373" s="1" t="s">
        <v>229</v>
      </c>
      <c r="GA373" s="1" t="s">
        <v>291</v>
      </c>
      <c r="GB373" s="2">
        <v>42053.0</v>
      </c>
      <c r="GC373" s="1" t="s">
        <v>5365</v>
      </c>
    </row>
    <row r="374">
      <c r="A374" s="1">
        <v>229500.0</v>
      </c>
      <c r="B374" s="1" t="s">
        <v>185</v>
      </c>
      <c r="C374" s="1" t="str">
        <f>"08790096"</f>
        <v>08790096</v>
      </c>
      <c r="D374" s="1" t="s">
        <v>186</v>
      </c>
      <c r="F374" s="1" t="str">
        <f>"174"</f>
        <v>174</v>
      </c>
      <c r="G374" s="2">
        <v>41963.0</v>
      </c>
      <c r="H374" s="1">
        <v>239000.0</v>
      </c>
      <c r="I374" s="1">
        <v>282.0</v>
      </c>
      <c r="J374" s="1">
        <v>233900.0</v>
      </c>
      <c r="K374" s="2">
        <v>42074.0</v>
      </c>
      <c r="L374" s="1">
        <v>112.0</v>
      </c>
      <c r="M374" s="2">
        <v>42074.0</v>
      </c>
      <c r="N374" s="1" t="s">
        <v>187</v>
      </c>
      <c r="O374" s="2">
        <v>42124.0</v>
      </c>
      <c r="P374" s="1">
        <v>8405.0</v>
      </c>
      <c r="Q374" s="1">
        <v>49.0</v>
      </c>
      <c r="R374" s="1">
        <v>2400.0</v>
      </c>
      <c r="S374" s="1" t="s">
        <v>5366</v>
      </c>
      <c r="T374" s="1" t="s">
        <v>5367</v>
      </c>
      <c r="U374" s="1" t="s">
        <v>1174</v>
      </c>
      <c r="V374" s="1" t="s">
        <v>1200</v>
      </c>
      <c r="W374" s="1">
        <v>60175.0</v>
      </c>
      <c r="Y374" s="1" t="s">
        <v>5368</v>
      </c>
      <c r="Z374" s="1">
        <v>1987.0</v>
      </c>
      <c r="AA374" s="1" t="s">
        <v>200</v>
      </c>
      <c r="AB374" s="1" t="s">
        <v>193</v>
      </c>
      <c r="AD374" s="1" t="s">
        <v>3766</v>
      </c>
      <c r="AE374" s="1" t="s">
        <v>325</v>
      </c>
      <c r="AF374" s="1" t="s">
        <v>1632</v>
      </c>
      <c r="AH374" s="1" t="s">
        <v>5369</v>
      </c>
      <c r="AI374" s="1">
        <v>0.76</v>
      </c>
      <c r="AK374" s="1">
        <v>9.0</v>
      </c>
      <c r="AL374" s="1">
        <v>4.0</v>
      </c>
      <c r="AM374" s="1">
        <v>2.0</v>
      </c>
      <c r="AN374" s="1">
        <v>0.0</v>
      </c>
      <c r="AO374" s="1" t="s">
        <v>229</v>
      </c>
      <c r="AP374" s="1">
        <v>1.0</v>
      </c>
      <c r="AQ374" s="1" t="s">
        <v>472</v>
      </c>
      <c r="AR374" s="1" t="s">
        <v>192</v>
      </c>
      <c r="AS374" s="1" t="s">
        <v>199</v>
      </c>
      <c r="AT374" s="1">
        <v>2.0</v>
      </c>
      <c r="AV374" s="1" t="s">
        <v>200</v>
      </c>
      <c r="AW374" s="1">
        <v>5118.0</v>
      </c>
      <c r="AX374" s="1">
        <v>2013.0</v>
      </c>
      <c r="AY374" s="1" t="s">
        <v>387</v>
      </c>
      <c r="AZ374" s="1" t="s">
        <v>200</v>
      </c>
      <c r="BA374" s="1" t="str">
        <f>"0804452004"</f>
        <v>0804452004</v>
      </c>
      <c r="BC374" s="1">
        <v>0.0</v>
      </c>
      <c r="BD374" s="1">
        <v>229500.0</v>
      </c>
      <c r="BE374" s="2">
        <v>41963.0</v>
      </c>
      <c r="BF374" s="2" t="s">
        <v>5370</v>
      </c>
      <c r="BG374" s="1" t="s">
        <v>2198</v>
      </c>
      <c r="BH374" s="1">
        <v>0.0</v>
      </c>
      <c r="BI374" s="1" t="s">
        <v>2199</v>
      </c>
      <c r="BJ374" s="1" t="s">
        <v>2200</v>
      </c>
      <c r="BK374" s="1" t="s">
        <v>204</v>
      </c>
      <c r="BL374" s="1" t="str">
        <f t="shared" ref="BL374:BM374" si="248">""</f>
        <v/>
      </c>
      <c r="BM374" s="1" t="str">
        <f t="shared" si="248"/>
        <v/>
      </c>
      <c r="BQ374" s="1">
        <v>303.0</v>
      </c>
      <c r="BR374" s="1">
        <v>303.0</v>
      </c>
      <c r="BS374" s="1">
        <v>303.0</v>
      </c>
      <c r="BU374" s="1" t="s">
        <v>784</v>
      </c>
      <c r="BV374" s="1" t="s">
        <v>206</v>
      </c>
      <c r="BW374" s="1" t="s">
        <v>207</v>
      </c>
      <c r="BY374" s="1" t="s">
        <v>215</v>
      </c>
      <c r="BZ374" s="1" t="s">
        <v>209</v>
      </c>
      <c r="CA374" s="1" t="s">
        <v>210</v>
      </c>
      <c r="CC374" s="1" t="s">
        <v>2047</v>
      </c>
      <c r="CD374" s="1" t="s">
        <v>206</v>
      </c>
      <c r="CE374" s="1" t="s">
        <v>207</v>
      </c>
      <c r="CG374" s="1" t="s">
        <v>269</v>
      </c>
      <c r="CH374" s="1" t="s">
        <v>209</v>
      </c>
      <c r="CI374" s="1" t="s">
        <v>210</v>
      </c>
      <c r="CK374" s="1" t="s">
        <v>497</v>
      </c>
      <c r="CL374" s="1" t="s">
        <v>209</v>
      </c>
      <c r="CM374" s="1" t="s">
        <v>210</v>
      </c>
      <c r="CO374" s="1" t="s">
        <v>212</v>
      </c>
      <c r="CP374" s="1" t="s">
        <v>267</v>
      </c>
      <c r="CQ374" s="1" t="s">
        <v>210</v>
      </c>
      <c r="CS374" s="1" t="s">
        <v>700</v>
      </c>
      <c r="CT374" s="1" t="s">
        <v>206</v>
      </c>
      <c r="CU374" s="1" t="s">
        <v>207</v>
      </c>
      <c r="CW374" s="1" t="s">
        <v>955</v>
      </c>
      <c r="CX374" s="1" t="s">
        <v>267</v>
      </c>
      <c r="CY374" s="1" t="s">
        <v>210</v>
      </c>
      <c r="DA374" s="1" t="s">
        <v>200</v>
      </c>
      <c r="DC374" s="1" t="s">
        <v>305</v>
      </c>
      <c r="DD374" s="1" t="s">
        <v>957</v>
      </c>
      <c r="DE374" s="1" t="s">
        <v>273</v>
      </c>
      <c r="DF374" s="1" t="s">
        <v>219</v>
      </c>
      <c r="DG374" s="1" t="s">
        <v>1553</v>
      </c>
      <c r="DH374" s="1" t="s">
        <v>856</v>
      </c>
      <c r="DI374" s="1" t="s">
        <v>2201</v>
      </c>
      <c r="DJ374" s="1" t="s">
        <v>857</v>
      </c>
      <c r="DL374" s="1" t="s">
        <v>224</v>
      </c>
      <c r="DM374" s="1" t="s">
        <v>338</v>
      </c>
      <c r="DO374" s="1" t="s">
        <v>717</v>
      </c>
      <c r="DP374" s="1" t="s">
        <v>340</v>
      </c>
      <c r="DQ374" s="1" t="s">
        <v>1557</v>
      </c>
      <c r="DR374" s="1" t="s">
        <v>229</v>
      </c>
      <c r="DS374" s="1" t="s">
        <v>230</v>
      </c>
      <c r="DU374" s="1" t="s">
        <v>3890</v>
      </c>
      <c r="DV374" s="1" t="s">
        <v>449</v>
      </c>
      <c r="DW374" s="1" t="s">
        <v>444</v>
      </c>
      <c r="DX374" s="1" t="s">
        <v>234</v>
      </c>
      <c r="DY374" s="1" t="s">
        <v>235</v>
      </c>
      <c r="DZ374" s="1" t="s">
        <v>5371</v>
      </c>
      <c r="EA374" s="1" t="s">
        <v>283</v>
      </c>
      <c r="EB374" s="1" t="s">
        <v>4968</v>
      </c>
      <c r="EC374" s="1" t="s">
        <v>284</v>
      </c>
      <c r="ED374" s="1" t="s">
        <v>407</v>
      </c>
      <c r="EG374" s="1" t="s">
        <v>449</v>
      </c>
      <c r="EL374" s="1" t="s">
        <v>516</v>
      </c>
      <c r="EM374" s="1" t="s">
        <v>206</v>
      </c>
      <c r="EN374" s="1" t="s">
        <v>207</v>
      </c>
      <c r="EQ374" s="1" t="s">
        <v>238</v>
      </c>
      <c r="EU374" s="1" t="s">
        <v>238</v>
      </c>
      <c r="EY374" s="1" t="s">
        <v>238</v>
      </c>
      <c r="FC374" s="1" t="s">
        <v>238</v>
      </c>
      <c r="FF374" s="1" t="s">
        <v>239</v>
      </c>
      <c r="FG374" s="1" t="s">
        <v>192</v>
      </c>
      <c r="FH374" s="1" t="s">
        <v>192</v>
      </c>
      <c r="FJ374" s="1" t="s">
        <v>2206</v>
      </c>
      <c r="FK374" s="1" t="s">
        <v>229</v>
      </c>
      <c r="FL374" s="1" t="s">
        <v>893</v>
      </c>
      <c r="FM374" s="1">
        <v>604.0</v>
      </c>
      <c r="FN374" s="1" t="s">
        <v>894</v>
      </c>
      <c r="FO374" s="1" t="s">
        <v>2207</v>
      </c>
      <c r="FP374" s="1">
        <v>681.0</v>
      </c>
      <c r="FQ374" s="1" t="s">
        <v>2208</v>
      </c>
      <c r="FR374" s="1">
        <v>824.0</v>
      </c>
      <c r="FS374" s="1" t="s">
        <v>2209</v>
      </c>
      <c r="FU374" s="1" t="s">
        <v>2210</v>
      </c>
      <c r="FV374" s="1" t="s">
        <v>200</v>
      </c>
      <c r="FW374" s="1" t="s">
        <v>530</v>
      </c>
      <c r="FZ374" s="1" t="s">
        <v>229</v>
      </c>
      <c r="GA374" s="1" t="s">
        <v>291</v>
      </c>
      <c r="GB374" s="2">
        <v>42124.0</v>
      </c>
    </row>
    <row r="375">
      <c r="A375" s="1">
        <v>207500.0</v>
      </c>
      <c r="B375" s="1" t="s">
        <v>185</v>
      </c>
      <c r="C375" s="1" t="str">
        <f>"08793769"</f>
        <v>08793769</v>
      </c>
      <c r="D375" s="1" t="s">
        <v>186</v>
      </c>
      <c r="F375" s="1" t="str">
        <f>"8016"</f>
        <v>8016</v>
      </c>
      <c r="G375" s="2">
        <v>41972.0</v>
      </c>
      <c r="H375" s="1">
        <v>199000.0</v>
      </c>
      <c r="I375" s="1">
        <v>7.0</v>
      </c>
      <c r="J375" s="1">
        <v>199000.0</v>
      </c>
      <c r="K375" s="2">
        <v>41977.0</v>
      </c>
      <c r="L375" s="1">
        <v>7.0</v>
      </c>
      <c r="M375" s="2">
        <v>41977.0</v>
      </c>
      <c r="N375" s="1" t="s">
        <v>249</v>
      </c>
      <c r="O375" s="2">
        <v>42016.0</v>
      </c>
      <c r="P375" s="1">
        <v>118492.0</v>
      </c>
      <c r="Q375" s="1">
        <v>18031.0</v>
      </c>
      <c r="S375" s="1">
        <v>4318.0</v>
      </c>
      <c r="T375" s="1" t="s">
        <v>3314</v>
      </c>
      <c r="U375" s="1" t="s">
        <v>189</v>
      </c>
      <c r="V375" s="1" t="s">
        <v>190</v>
      </c>
      <c r="W375" s="1">
        <v>60641.0</v>
      </c>
      <c r="Y375" s="1" t="s">
        <v>5372</v>
      </c>
      <c r="Z375" s="1">
        <v>1901.0</v>
      </c>
      <c r="AA375" s="1" t="s">
        <v>192</v>
      </c>
      <c r="AB375" s="1" t="s">
        <v>193</v>
      </c>
      <c r="AD375" s="1" t="s">
        <v>194</v>
      </c>
      <c r="AE375" s="1" t="s">
        <v>195</v>
      </c>
      <c r="AF375" s="1" t="s">
        <v>196</v>
      </c>
      <c r="AH375" s="1">
        <v>3900.0</v>
      </c>
      <c r="AI375" s="1">
        <v>0.0895</v>
      </c>
      <c r="AK375" s="1">
        <v>8.0</v>
      </c>
      <c r="AL375" s="1">
        <v>4.0</v>
      </c>
      <c r="AM375" s="1">
        <v>1.0</v>
      </c>
      <c r="AN375" s="1">
        <v>1.0</v>
      </c>
      <c r="AO375" s="1" t="s">
        <v>229</v>
      </c>
      <c r="AQ375" s="1" t="s">
        <v>198</v>
      </c>
      <c r="AR375" s="1" t="s">
        <v>200</v>
      </c>
      <c r="AS375" s="1" t="s">
        <v>199</v>
      </c>
      <c r="AT375" s="1">
        <v>2.0</v>
      </c>
      <c r="AV375" s="1" t="s">
        <v>200</v>
      </c>
      <c r="AW375" s="1">
        <v>6482.16</v>
      </c>
      <c r="AX375" s="1">
        <v>2012.0</v>
      </c>
      <c r="AY375" s="1" t="s">
        <v>229</v>
      </c>
      <c r="AZ375" s="1" t="s">
        <v>200</v>
      </c>
      <c r="BA375" s="1" t="str">
        <f>"13154020240000"</f>
        <v>13154020240000</v>
      </c>
      <c r="BC375" s="1">
        <v>1788.0</v>
      </c>
      <c r="BD375" s="1">
        <v>207500.0</v>
      </c>
      <c r="BE375" s="2">
        <v>41971.0</v>
      </c>
      <c r="BF375" s="1" t="s">
        <v>5373</v>
      </c>
      <c r="BH375" s="1">
        <v>0.0</v>
      </c>
      <c r="BK375" s="1" t="s">
        <v>204</v>
      </c>
      <c r="BL375" s="1" t="str">
        <f>"4318"</f>
        <v>4318</v>
      </c>
      <c r="BM375" s="1" t="str">
        <f t="shared" ref="BM375:BM376" si="249">"0"</f>
        <v>0</v>
      </c>
      <c r="BN375" s="1">
        <v>4200.0</v>
      </c>
      <c r="BO375" s="1">
        <v>0.0</v>
      </c>
      <c r="BQ375" s="1">
        <v>299.0</v>
      </c>
      <c r="BR375" s="1">
        <v>299.0</v>
      </c>
      <c r="BS375" s="1">
        <v>299.0</v>
      </c>
      <c r="BU375" s="1" t="s">
        <v>215</v>
      </c>
      <c r="BV375" s="1" t="s">
        <v>206</v>
      </c>
      <c r="BY375" s="1" t="s">
        <v>664</v>
      </c>
      <c r="BZ375" s="1" t="s">
        <v>209</v>
      </c>
      <c r="CC375" s="1" t="s">
        <v>663</v>
      </c>
      <c r="CD375" s="1" t="s">
        <v>206</v>
      </c>
      <c r="CG375" s="1" t="s">
        <v>516</v>
      </c>
      <c r="CH375" s="1" t="s">
        <v>209</v>
      </c>
      <c r="CK375" s="1" t="s">
        <v>2047</v>
      </c>
      <c r="CL375" s="1" t="s">
        <v>209</v>
      </c>
      <c r="CO375" s="1" t="s">
        <v>516</v>
      </c>
      <c r="CP375" s="1" t="s">
        <v>209</v>
      </c>
      <c r="CS375" s="1" t="s">
        <v>363</v>
      </c>
      <c r="CT375" s="1" t="s">
        <v>206</v>
      </c>
      <c r="CW375" s="1" t="s">
        <v>363</v>
      </c>
      <c r="CX375" s="1" t="s">
        <v>206</v>
      </c>
      <c r="DA375" s="1" t="s">
        <v>200</v>
      </c>
      <c r="DC375" s="1" t="s">
        <v>642</v>
      </c>
      <c r="DE375" s="1" t="s">
        <v>229</v>
      </c>
      <c r="DF375" s="1" t="s">
        <v>219</v>
      </c>
      <c r="DH375" s="1" t="s">
        <v>307</v>
      </c>
      <c r="DJ375" s="1" t="s">
        <v>222</v>
      </c>
      <c r="DL375" s="1" t="s">
        <v>223</v>
      </c>
      <c r="DM375" s="1" t="s">
        <v>229</v>
      </c>
      <c r="DP375" s="1" t="s">
        <v>340</v>
      </c>
      <c r="DQ375" s="1" t="s">
        <v>228</v>
      </c>
      <c r="DR375" s="1" t="s">
        <v>229</v>
      </c>
      <c r="DV375" s="1" t="s">
        <v>232</v>
      </c>
      <c r="DW375" s="1" t="s">
        <v>832</v>
      </c>
      <c r="DX375" s="1" t="s">
        <v>234</v>
      </c>
      <c r="EC375" s="1" t="s">
        <v>237</v>
      </c>
      <c r="EM375" s="1" t="s">
        <v>238</v>
      </c>
      <c r="EQ375" s="1" t="s">
        <v>238</v>
      </c>
      <c r="EU375" s="1" t="s">
        <v>238</v>
      </c>
      <c r="EY375" s="1" t="s">
        <v>238</v>
      </c>
      <c r="FC375" s="1" t="s">
        <v>238</v>
      </c>
      <c r="FF375" s="1" t="s">
        <v>239</v>
      </c>
      <c r="FG375" s="1" t="s">
        <v>192</v>
      </c>
      <c r="FH375" s="1" t="s">
        <v>192</v>
      </c>
      <c r="FJ375" s="1" t="s">
        <v>3334</v>
      </c>
      <c r="FK375" s="1" t="s">
        <v>229</v>
      </c>
      <c r="FL375" s="1" t="s">
        <v>5374</v>
      </c>
      <c r="FM375" s="1">
        <v>18031.0</v>
      </c>
      <c r="FN375" s="1" t="s">
        <v>5375</v>
      </c>
      <c r="FO375" s="1" t="s">
        <v>5376</v>
      </c>
      <c r="FP375" s="1">
        <v>118492.0</v>
      </c>
      <c r="FQ375" s="1" t="s">
        <v>5375</v>
      </c>
      <c r="FU375" s="1" t="s">
        <v>5377</v>
      </c>
      <c r="FV375" s="1" t="s">
        <v>200</v>
      </c>
      <c r="FW375" s="1" t="s">
        <v>290</v>
      </c>
      <c r="FX375" s="1" t="s">
        <v>238</v>
      </c>
      <c r="FZ375" s="1" t="s">
        <v>229</v>
      </c>
      <c r="GA375" s="1" t="s">
        <v>291</v>
      </c>
      <c r="GB375" s="2">
        <v>42018.0</v>
      </c>
      <c r="GC375" s="1" t="s">
        <v>5378</v>
      </c>
    </row>
    <row r="376">
      <c r="A376" s="1">
        <v>224900.0</v>
      </c>
      <c r="B376" s="1" t="s">
        <v>185</v>
      </c>
      <c r="C376" s="1" t="str">
        <f>"08787546"</f>
        <v>08787546</v>
      </c>
      <c r="D376" s="1" t="s">
        <v>186</v>
      </c>
      <c r="F376" s="1" t="str">
        <f>"8022"</f>
        <v>8022</v>
      </c>
      <c r="G376" s="2">
        <v>41960.0</v>
      </c>
      <c r="H376" s="1">
        <v>224900.0</v>
      </c>
      <c r="I376" s="1">
        <v>5.0</v>
      </c>
      <c r="J376" s="1">
        <v>224900.0</v>
      </c>
      <c r="K376" s="2">
        <v>41964.0</v>
      </c>
      <c r="L376" s="1">
        <v>5.0</v>
      </c>
      <c r="M376" s="2">
        <v>41964.0</v>
      </c>
      <c r="N376" s="1" t="s">
        <v>249</v>
      </c>
      <c r="O376" s="2">
        <v>41996.0</v>
      </c>
      <c r="P376" s="1">
        <v>172525.0</v>
      </c>
      <c r="Q376" s="1">
        <v>84807.0</v>
      </c>
      <c r="R376" s="1">
        <v>1285.0</v>
      </c>
      <c r="S376" s="1">
        <v>3630.0</v>
      </c>
      <c r="T376" s="1" t="s">
        <v>5379</v>
      </c>
      <c r="U376" s="1" t="s">
        <v>189</v>
      </c>
      <c r="V376" s="1" t="s">
        <v>190</v>
      </c>
      <c r="W376" s="1">
        <v>60647.0</v>
      </c>
      <c r="Y376" s="1" t="s">
        <v>5380</v>
      </c>
      <c r="Z376" s="1">
        <v>1891.0</v>
      </c>
      <c r="AA376" s="1" t="s">
        <v>192</v>
      </c>
      <c r="AB376" s="1" t="s">
        <v>193</v>
      </c>
      <c r="AD376" s="1" t="s">
        <v>194</v>
      </c>
      <c r="AE376" s="1" t="s">
        <v>195</v>
      </c>
      <c r="AF376" s="1" t="s">
        <v>196</v>
      </c>
      <c r="AH376" s="1" t="s">
        <v>741</v>
      </c>
      <c r="AI376" s="1">
        <v>0.0717</v>
      </c>
      <c r="AK376" s="1">
        <v>7.0</v>
      </c>
      <c r="AL376" s="1">
        <v>4.0</v>
      </c>
      <c r="AM376" s="1">
        <v>2.0</v>
      </c>
      <c r="AN376" s="1">
        <v>0.0</v>
      </c>
      <c r="AO376" s="1" t="s">
        <v>198</v>
      </c>
      <c r="AQ376" s="1" t="s">
        <v>198</v>
      </c>
      <c r="AR376" s="1" t="s">
        <v>200</v>
      </c>
      <c r="AS376" s="1" t="s">
        <v>199</v>
      </c>
      <c r="AT376" s="1">
        <v>2.0</v>
      </c>
      <c r="AV376" s="1" t="s">
        <v>200</v>
      </c>
      <c r="AW376" s="1">
        <v>3400.69</v>
      </c>
      <c r="AX376" s="1">
        <v>2012.0</v>
      </c>
      <c r="AZ376" s="1" t="s">
        <v>200</v>
      </c>
      <c r="BA376" s="1" t="str">
        <f>"13351260240000"</f>
        <v>13351260240000</v>
      </c>
      <c r="BB376" s="1" t="s">
        <v>200</v>
      </c>
      <c r="BC376" s="1">
        <v>1710.0</v>
      </c>
      <c r="BD376" s="1">
        <v>224900.0</v>
      </c>
      <c r="BE376" s="2">
        <v>41960.0</v>
      </c>
      <c r="BF376" s="2" t="s">
        <v>5381</v>
      </c>
      <c r="BH376" s="1">
        <v>0.0</v>
      </c>
      <c r="BK376" s="1" t="s">
        <v>204</v>
      </c>
      <c r="BL376" s="1" t="str">
        <f>"2000"</f>
        <v>2000</v>
      </c>
      <c r="BM376" s="1" t="str">
        <f t="shared" si="249"/>
        <v>0</v>
      </c>
      <c r="BN376" s="1">
        <v>3630.0</v>
      </c>
      <c r="BO376" s="1">
        <v>0.0</v>
      </c>
      <c r="BQ376" s="1">
        <v>299.0</v>
      </c>
      <c r="BR376" s="1">
        <v>299.0</v>
      </c>
      <c r="BS376" s="1">
        <v>299.0</v>
      </c>
      <c r="BU376" s="1" t="s">
        <v>433</v>
      </c>
      <c r="BV376" s="1" t="s">
        <v>206</v>
      </c>
      <c r="BY376" s="1" t="s">
        <v>5382</v>
      </c>
      <c r="BZ376" s="1" t="s">
        <v>206</v>
      </c>
      <c r="CC376" s="1" t="s">
        <v>215</v>
      </c>
      <c r="CD376" s="1" t="s">
        <v>206</v>
      </c>
      <c r="CG376" s="1" t="s">
        <v>331</v>
      </c>
      <c r="CH376" s="1" t="s">
        <v>209</v>
      </c>
      <c r="CK376" s="1" t="s">
        <v>264</v>
      </c>
      <c r="CL376" s="1" t="s">
        <v>209</v>
      </c>
      <c r="CO376" s="1" t="s">
        <v>392</v>
      </c>
      <c r="CP376" s="1" t="s">
        <v>209</v>
      </c>
      <c r="CS376" s="1" t="s">
        <v>215</v>
      </c>
      <c r="CT376" s="1" t="s">
        <v>206</v>
      </c>
      <c r="CX376" s="1" t="s">
        <v>204</v>
      </c>
      <c r="DA376" s="1" t="s">
        <v>200</v>
      </c>
      <c r="DC376" s="1" t="s">
        <v>642</v>
      </c>
      <c r="DE376" s="1" t="s">
        <v>273</v>
      </c>
      <c r="DF376" s="1" t="s">
        <v>219</v>
      </c>
      <c r="DH376" s="1" t="s">
        <v>220</v>
      </c>
      <c r="DJ376" s="1" t="s">
        <v>222</v>
      </c>
      <c r="DL376" s="1" t="s">
        <v>223</v>
      </c>
      <c r="DM376" s="1" t="s">
        <v>229</v>
      </c>
      <c r="DQ376" s="1" t="s">
        <v>228</v>
      </c>
      <c r="DR376" s="1" t="s">
        <v>229</v>
      </c>
      <c r="DV376" s="1" t="s">
        <v>232</v>
      </c>
      <c r="DW376" s="1" t="s">
        <v>370</v>
      </c>
      <c r="DX376" s="1" t="s">
        <v>234</v>
      </c>
      <c r="EA376" s="1" t="s">
        <v>644</v>
      </c>
      <c r="EC376" s="1" t="s">
        <v>645</v>
      </c>
      <c r="EM376" s="1" t="s">
        <v>238</v>
      </c>
      <c r="EQ376" s="1" t="s">
        <v>238</v>
      </c>
      <c r="EU376" s="1" t="s">
        <v>238</v>
      </c>
      <c r="EY376" s="1" t="s">
        <v>238</v>
      </c>
      <c r="FC376" s="1" t="s">
        <v>238</v>
      </c>
      <c r="FF376" s="1" t="s">
        <v>239</v>
      </c>
      <c r="FG376" s="1" t="s">
        <v>192</v>
      </c>
      <c r="FH376" s="1" t="s">
        <v>192</v>
      </c>
      <c r="FJ376" s="1" t="s">
        <v>770</v>
      </c>
      <c r="FK376" s="1" t="s">
        <v>229</v>
      </c>
      <c r="FL376" s="1" t="s">
        <v>5383</v>
      </c>
      <c r="FM376" s="1">
        <v>15904.0</v>
      </c>
      <c r="FN376" s="1" t="s">
        <v>5384</v>
      </c>
      <c r="FO376" s="1" t="s">
        <v>5385</v>
      </c>
      <c r="FP376" s="1">
        <v>141696.0</v>
      </c>
      <c r="FQ376" s="1" t="s">
        <v>5386</v>
      </c>
      <c r="FU376" s="1" t="s">
        <v>1438</v>
      </c>
      <c r="FV376" s="1" t="s">
        <v>200</v>
      </c>
      <c r="FW376" s="1" t="s">
        <v>5387</v>
      </c>
      <c r="FX376" s="1" t="s">
        <v>246</v>
      </c>
      <c r="FZ376" s="1" t="s">
        <v>632</v>
      </c>
      <c r="GA376" s="1" t="s">
        <v>291</v>
      </c>
      <c r="GB376" s="2">
        <v>41996.0</v>
      </c>
      <c r="GC376" s="1" t="s">
        <v>5388</v>
      </c>
    </row>
    <row r="377">
      <c r="A377" s="1">
        <v>222500.0</v>
      </c>
      <c r="B377" s="1" t="s">
        <v>185</v>
      </c>
      <c r="C377" s="1" t="str">
        <f>"08790382"</f>
        <v>08790382</v>
      </c>
      <c r="D377" s="1" t="s">
        <v>186</v>
      </c>
      <c r="F377" s="1" t="str">
        <f>"538"</f>
        <v>538</v>
      </c>
      <c r="G377" s="2">
        <v>41964.0</v>
      </c>
      <c r="H377" s="1">
        <v>232000.0</v>
      </c>
      <c r="I377" s="1">
        <v>22.0</v>
      </c>
      <c r="J377" s="1">
        <v>232000.0</v>
      </c>
      <c r="K377" s="2">
        <v>41985.0</v>
      </c>
      <c r="L377" s="1">
        <v>22.0</v>
      </c>
      <c r="M377" s="2">
        <v>41985.0</v>
      </c>
      <c r="N377" s="1" t="s">
        <v>249</v>
      </c>
      <c r="O377" s="2">
        <v>42034.0</v>
      </c>
      <c r="P377" s="1">
        <v>8774.0</v>
      </c>
      <c r="Q377" s="1">
        <v>771.0</v>
      </c>
      <c r="S377" s="1">
        <v>1718.0</v>
      </c>
      <c r="T377" s="1" t="s">
        <v>5389</v>
      </c>
      <c r="U377" s="1" t="s">
        <v>569</v>
      </c>
      <c r="V377" s="1" t="s">
        <v>1340</v>
      </c>
      <c r="W377" s="1">
        <v>60538.0</v>
      </c>
      <c r="Y377" s="1" t="s">
        <v>5390</v>
      </c>
      <c r="Z377" s="1">
        <v>1988.0</v>
      </c>
      <c r="AA377" s="1" t="s">
        <v>200</v>
      </c>
      <c r="AB377" s="1" t="s">
        <v>193</v>
      </c>
      <c r="AC377" s="1" t="s">
        <v>5391</v>
      </c>
      <c r="AD377" s="1" t="s">
        <v>1343</v>
      </c>
      <c r="AE377" s="1" t="s">
        <v>849</v>
      </c>
      <c r="AF377" s="1" t="s">
        <v>1529</v>
      </c>
      <c r="AG377" s="1" t="s">
        <v>5392</v>
      </c>
      <c r="AH377" s="1" t="s">
        <v>5393</v>
      </c>
      <c r="AK377" s="1">
        <v>9.0</v>
      </c>
      <c r="AL377" s="1">
        <v>3.0</v>
      </c>
      <c r="AM377" s="1">
        <v>2.0</v>
      </c>
      <c r="AN377" s="1">
        <v>0.0</v>
      </c>
      <c r="AO377" s="1" t="s">
        <v>198</v>
      </c>
      <c r="AP377" s="1">
        <v>1.0</v>
      </c>
      <c r="AQ377" s="1" t="s">
        <v>198</v>
      </c>
      <c r="AR377" s="1" t="s">
        <v>200</v>
      </c>
      <c r="AS377" s="1" t="s">
        <v>199</v>
      </c>
      <c r="AT377" s="1">
        <v>2.0</v>
      </c>
      <c r="AV377" s="1" t="s">
        <v>192</v>
      </c>
      <c r="AW377" s="1">
        <v>7105.0</v>
      </c>
      <c r="AX377" s="1">
        <v>2013.0</v>
      </c>
      <c r="AY377" s="1" t="s">
        <v>387</v>
      </c>
      <c r="AZ377" s="1" t="s">
        <v>200</v>
      </c>
      <c r="BA377" s="1" t="str">
        <f>"0304203010"</f>
        <v>0304203010</v>
      </c>
      <c r="BB377" s="1" t="s">
        <v>200</v>
      </c>
      <c r="BC377" s="1">
        <v>1693.0</v>
      </c>
      <c r="BD377" s="1">
        <v>222500.0</v>
      </c>
      <c r="BE377" s="2">
        <v>41964.0</v>
      </c>
      <c r="BF377" s="2" t="s">
        <v>5394</v>
      </c>
      <c r="BH377" s="1">
        <v>0.0</v>
      </c>
      <c r="BK377" s="1" t="s">
        <v>204</v>
      </c>
      <c r="BL377" s="1" t="str">
        <f t="shared" ref="BL377:BM377" si="250">""</f>
        <v/>
      </c>
      <c r="BM377" s="1" t="str">
        <f t="shared" si="250"/>
        <v/>
      </c>
      <c r="BQ377" s="1">
        <v>308.0</v>
      </c>
      <c r="BR377" s="1">
        <v>308.0</v>
      </c>
      <c r="BS377" s="1">
        <v>308.0</v>
      </c>
      <c r="BU377" s="1" t="s">
        <v>2442</v>
      </c>
      <c r="BV377" s="1" t="s">
        <v>206</v>
      </c>
      <c r="BW377" s="1" t="s">
        <v>210</v>
      </c>
      <c r="BX377" s="1" t="s">
        <v>431</v>
      </c>
      <c r="BY377" s="1" t="s">
        <v>1567</v>
      </c>
      <c r="BZ377" s="1" t="s">
        <v>206</v>
      </c>
      <c r="CA377" s="1" t="s">
        <v>210</v>
      </c>
      <c r="CB377" s="1" t="s">
        <v>431</v>
      </c>
      <c r="CC377" s="1" t="s">
        <v>699</v>
      </c>
      <c r="CD377" s="1" t="s">
        <v>206</v>
      </c>
      <c r="CE377" s="1" t="s">
        <v>301</v>
      </c>
      <c r="CF377" s="1" t="s">
        <v>431</v>
      </c>
      <c r="CG377" s="1" t="s">
        <v>1351</v>
      </c>
      <c r="CH377" s="1" t="s">
        <v>206</v>
      </c>
      <c r="CI377" s="1" t="s">
        <v>210</v>
      </c>
      <c r="CJ377" s="1" t="s">
        <v>431</v>
      </c>
      <c r="CK377" s="1" t="s">
        <v>1351</v>
      </c>
      <c r="CL377" s="1" t="s">
        <v>206</v>
      </c>
      <c r="CM377" s="1" t="s">
        <v>210</v>
      </c>
      <c r="CN377" s="1" t="s">
        <v>431</v>
      </c>
      <c r="CO377" s="1" t="s">
        <v>1417</v>
      </c>
      <c r="CP377" s="1" t="s">
        <v>42</v>
      </c>
      <c r="CQ377" s="1" t="s">
        <v>210</v>
      </c>
      <c r="CR377" s="1" t="s">
        <v>1549</v>
      </c>
      <c r="CS377" s="1" t="s">
        <v>4045</v>
      </c>
      <c r="CT377" s="1" t="s">
        <v>206</v>
      </c>
      <c r="CU377" s="1" t="s">
        <v>301</v>
      </c>
      <c r="CW377" s="1" t="s">
        <v>1067</v>
      </c>
      <c r="CX377" s="1" t="s">
        <v>206</v>
      </c>
      <c r="CY377" s="1" t="s">
        <v>301</v>
      </c>
      <c r="CZ377" s="1" t="s">
        <v>431</v>
      </c>
      <c r="DA377" s="1" t="s">
        <v>200</v>
      </c>
      <c r="DC377" s="1" t="s">
        <v>305</v>
      </c>
      <c r="DD377" s="1" t="s">
        <v>957</v>
      </c>
      <c r="DE377" s="1" t="s">
        <v>273</v>
      </c>
      <c r="DF377" s="1" t="s">
        <v>219</v>
      </c>
      <c r="DG377" s="1" t="s">
        <v>5395</v>
      </c>
      <c r="DH377" s="1" t="s">
        <v>220</v>
      </c>
      <c r="DI377" s="1" t="s">
        <v>221</v>
      </c>
      <c r="DJ377" s="1" t="s">
        <v>222</v>
      </c>
      <c r="DK377" s="1" t="s">
        <v>223</v>
      </c>
      <c r="DL377" s="1" t="s">
        <v>858</v>
      </c>
      <c r="DM377" s="1" t="s">
        <v>338</v>
      </c>
      <c r="DO377" s="1" t="s">
        <v>5396</v>
      </c>
      <c r="DP377" s="1" t="s">
        <v>340</v>
      </c>
      <c r="DQ377" s="1" t="s">
        <v>228</v>
      </c>
      <c r="DR377" s="1" t="s">
        <v>229</v>
      </c>
      <c r="DS377" s="1" t="s">
        <v>230</v>
      </c>
      <c r="DU377" s="1" t="s">
        <v>5397</v>
      </c>
      <c r="DV377" s="1" t="s">
        <v>598</v>
      </c>
      <c r="DW377" s="1" t="s">
        <v>444</v>
      </c>
      <c r="DX377" s="1" t="s">
        <v>234</v>
      </c>
      <c r="DY377" s="1" t="s">
        <v>4449</v>
      </c>
      <c r="DZ377" s="1" t="s">
        <v>491</v>
      </c>
      <c r="EA377" s="1" t="s">
        <v>683</v>
      </c>
      <c r="EB377" s="1" t="s">
        <v>2183</v>
      </c>
      <c r="EC377" s="1" t="s">
        <v>685</v>
      </c>
      <c r="ED377" s="1" t="s">
        <v>407</v>
      </c>
      <c r="EG377" s="1" t="s">
        <v>598</v>
      </c>
      <c r="EL377" s="1" t="s">
        <v>478</v>
      </c>
      <c r="EM377" s="1" t="s">
        <v>42</v>
      </c>
      <c r="EN377" s="1" t="s">
        <v>210</v>
      </c>
      <c r="EO377" s="1" t="s">
        <v>1549</v>
      </c>
      <c r="EQ377" s="1" t="s">
        <v>238</v>
      </c>
      <c r="EU377" s="1" t="s">
        <v>238</v>
      </c>
      <c r="EY377" s="1" t="s">
        <v>238</v>
      </c>
      <c r="FC377" s="1" t="s">
        <v>238</v>
      </c>
      <c r="FF377" s="1" t="s">
        <v>239</v>
      </c>
      <c r="FG377" s="1" t="s">
        <v>192</v>
      </c>
      <c r="FH377" s="1" t="s">
        <v>192</v>
      </c>
      <c r="FJ377" s="1" t="s">
        <v>5398</v>
      </c>
      <c r="FK377" s="1" t="s">
        <v>229</v>
      </c>
      <c r="FL377" s="1" t="s">
        <v>1007</v>
      </c>
      <c r="FM377" s="1">
        <v>22588.0</v>
      </c>
      <c r="FN377" s="1" t="s">
        <v>1321</v>
      </c>
      <c r="FO377" s="1" t="s">
        <v>2760</v>
      </c>
      <c r="FP377" s="1">
        <v>230326.0</v>
      </c>
      <c r="FQ377" s="1" t="s">
        <v>2761</v>
      </c>
      <c r="FS377" s="1" t="s">
        <v>2762</v>
      </c>
      <c r="FU377" s="1" t="s">
        <v>5399</v>
      </c>
      <c r="FV377" s="1" t="s">
        <v>200</v>
      </c>
      <c r="FW377" s="1" t="s">
        <v>290</v>
      </c>
      <c r="FZ377" s="1" t="s">
        <v>229</v>
      </c>
      <c r="GA377" s="1" t="s">
        <v>291</v>
      </c>
      <c r="GB377" s="2">
        <v>42034.0</v>
      </c>
      <c r="GC377" s="1" t="s">
        <v>5400</v>
      </c>
    </row>
    <row r="378">
      <c r="A378" s="1">
        <v>190000.0</v>
      </c>
      <c r="B378" s="1" t="s">
        <v>185</v>
      </c>
      <c r="C378" s="1" t="str">
        <f>"08790362"</f>
        <v>08790362</v>
      </c>
      <c r="D378" s="1" t="s">
        <v>186</v>
      </c>
      <c r="F378" s="1" t="str">
        <f>"8074"</f>
        <v>8074</v>
      </c>
      <c r="G378" s="2">
        <v>41963.0</v>
      </c>
      <c r="H378" s="1">
        <v>192900.0</v>
      </c>
      <c r="I378" s="1">
        <v>50.0</v>
      </c>
      <c r="J378" s="1">
        <v>192900.0</v>
      </c>
      <c r="K378" s="2">
        <v>42012.0</v>
      </c>
      <c r="L378" s="1">
        <v>50.0</v>
      </c>
      <c r="M378" s="2">
        <v>42012.0</v>
      </c>
      <c r="N378" s="1" t="s">
        <v>187</v>
      </c>
      <c r="O378" s="2">
        <v>42047.0</v>
      </c>
      <c r="P378" s="1">
        <v>137026.0</v>
      </c>
      <c r="Q378" s="1">
        <v>18720.0</v>
      </c>
      <c r="S378" s="1">
        <v>10931.0</v>
      </c>
      <c r="T378" s="1" t="s">
        <v>5401</v>
      </c>
      <c r="U378" s="1" t="s">
        <v>189</v>
      </c>
      <c r="V378" s="1" t="s">
        <v>190</v>
      </c>
      <c r="W378" s="1">
        <v>60655.0</v>
      </c>
      <c r="Y378" s="1" t="s">
        <v>5402</v>
      </c>
      <c r="Z378" s="1">
        <v>1938.0</v>
      </c>
      <c r="AA378" s="1" t="s">
        <v>192</v>
      </c>
      <c r="AB378" s="1" t="s">
        <v>193</v>
      </c>
      <c r="AD378" s="1" t="s">
        <v>194</v>
      </c>
      <c r="AE378" s="1" t="s">
        <v>195</v>
      </c>
      <c r="AF378" s="1" t="s">
        <v>659</v>
      </c>
      <c r="AH378" s="1" t="s">
        <v>5403</v>
      </c>
      <c r="AK378" s="1">
        <v>7.0</v>
      </c>
      <c r="AL378" s="1">
        <v>4.0</v>
      </c>
      <c r="AM378" s="1">
        <v>2.0</v>
      </c>
      <c r="AN378" s="1">
        <v>0.0</v>
      </c>
      <c r="AO378" s="1" t="s">
        <v>229</v>
      </c>
      <c r="AQ378" s="1" t="s">
        <v>198</v>
      </c>
      <c r="AR378" s="1" t="s">
        <v>192</v>
      </c>
      <c r="AS378" s="1" t="s">
        <v>199</v>
      </c>
      <c r="AT378" s="1">
        <v>2.0</v>
      </c>
      <c r="AV378" s="1" t="s">
        <v>200</v>
      </c>
      <c r="AW378" s="1">
        <v>3109.0</v>
      </c>
      <c r="AX378" s="1">
        <v>2013.0</v>
      </c>
      <c r="AZ378" s="1" t="s">
        <v>200</v>
      </c>
      <c r="BA378" s="1" t="str">
        <f>"24144130250000"</f>
        <v>24144130250000</v>
      </c>
      <c r="BC378" s="1">
        <v>1139.0</v>
      </c>
      <c r="BD378" s="1">
        <v>190000.0</v>
      </c>
      <c r="BE378" s="2">
        <v>41963.0</v>
      </c>
      <c r="BF378" s="2" t="s">
        <v>5404</v>
      </c>
      <c r="BH378" s="1">
        <v>0.0</v>
      </c>
      <c r="BK378" s="1" t="s">
        <v>204</v>
      </c>
      <c r="BL378" s="1" t="str">
        <f t="shared" ref="BL378:BM378" si="251">"0"</f>
        <v>0</v>
      </c>
      <c r="BM378" s="1" t="str">
        <f t="shared" si="251"/>
        <v>0</v>
      </c>
      <c r="BN378" s="1">
        <v>3400.0</v>
      </c>
      <c r="BO378" s="1">
        <v>10931.0</v>
      </c>
      <c r="BQ378" s="1">
        <v>299.0</v>
      </c>
      <c r="BR378" s="1">
        <v>299.0</v>
      </c>
      <c r="BS378" s="1">
        <v>299.0</v>
      </c>
      <c r="BU378" s="1" t="s">
        <v>433</v>
      </c>
      <c r="BV378" s="1" t="s">
        <v>206</v>
      </c>
      <c r="BW378" s="1" t="s">
        <v>207</v>
      </c>
      <c r="BX378" s="1" t="s">
        <v>229</v>
      </c>
      <c r="BY378" s="1" t="s">
        <v>495</v>
      </c>
      <c r="BZ378" s="1" t="s">
        <v>206</v>
      </c>
      <c r="CA378" s="1" t="s">
        <v>210</v>
      </c>
      <c r="CD378" s="1" t="s">
        <v>204</v>
      </c>
      <c r="CG378" s="1" t="s">
        <v>269</v>
      </c>
      <c r="CH378" s="1" t="s">
        <v>206</v>
      </c>
      <c r="CI378" s="1" t="s">
        <v>210</v>
      </c>
      <c r="CK378" s="1" t="s">
        <v>497</v>
      </c>
      <c r="CL378" s="1" t="s">
        <v>209</v>
      </c>
      <c r="CM378" s="1" t="s">
        <v>210</v>
      </c>
      <c r="CO378" s="1" t="s">
        <v>212</v>
      </c>
      <c r="CP378" s="1" t="s">
        <v>209</v>
      </c>
      <c r="CQ378" s="1" t="s">
        <v>210</v>
      </c>
      <c r="CS378" s="1" t="s">
        <v>495</v>
      </c>
      <c r="CT378" s="1" t="s">
        <v>206</v>
      </c>
      <c r="CU378" s="1" t="s">
        <v>268</v>
      </c>
      <c r="CV378" s="1" t="s">
        <v>229</v>
      </c>
      <c r="CW378" s="1" t="s">
        <v>3054</v>
      </c>
      <c r="CX378" s="1" t="s">
        <v>42</v>
      </c>
      <c r="CY378" s="1" t="s">
        <v>210</v>
      </c>
      <c r="CZ378" s="1" t="s">
        <v>229</v>
      </c>
      <c r="DA378" s="1" t="s">
        <v>200</v>
      </c>
      <c r="DC378" s="1" t="s">
        <v>1399</v>
      </c>
      <c r="DD378" s="1" t="s">
        <v>518</v>
      </c>
      <c r="DE378" s="1" t="s">
        <v>273</v>
      </c>
      <c r="DF378" s="1" t="s">
        <v>219</v>
      </c>
      <c r="DH378" s="1" t="s">
        <v>365</v>
      </c>
      <c r="DI378" s="1" t="s">
        <v>519</v>
      </c>
      <c r="DJ378" s="1" t="s">
        <v>222</v>
      </c>
      <c r="DL378" s="1" t="s">
        <v>224</v>
      </c>
      <c r="DM378" s="1" t="s">
        <v>229</v>
      </c>
      <c r="DQ378" s="1" t="s">
        <v>228</v>
      </c>
      <c r="DR378" s="1" t="s">
        <v>229</v>
      </c>
      <c r="DS378" s="1" t="s">
        <v>277</v>
      </c>
      <c r="DV378" s="1" t="s">
        <v>232</v>
      </c>
      <c r="DW378" s="1" t="s">
        <v>233</v>
      </c>
      <c r="DX378" s="1" t="s">
        <v>234</v>
      </c>
      <c r="DY378" s="1" t="s">
        <v>553</v>
      </c>
      <c r="DZ378" s="1" t="s">
        <v>343</v>
      </c>
      <c r="EA378" s="1" t="s">
        <v>1075</v>
      </c>
      <c r="EC378" s="1" t="s">
        <v>645</v>
      </c>
      <c r="EM378" s="1" t="s">
        <v>238</v>
      </c>
      <c r="EQ378" s="1" t="s">
        <v>238</v>
      </c>
      <c r="EU378" s="1" t="s">
        <v>238</v>
      </c>
      <c r="EY378" s="1" t="s">
        <v>238</v>
      </c>
      <c r="FC378" s="1" t="s">
        <v>238</v>
      </c>
      <c r="FF378" s="1" t="s">
        <v>239</v>
      </c>
      <c r="FG378" s="1" t="s">
        <v>192</v>
      </c>
      <c r="FH378" s="1" t="s">
        <v>192</v>
      </c>
      <c r="FJ378" s="1" t="s">
        <v>770</v>
      </c>
      <c r="FK378" s="1" t="s">
        <v>229</v>
      </c>
      <c r="FL378" s="1" t="s">
        <v>5405</v>
      </c>
      <c r="FM378" s="1">
        <v>60822.0</v>
      </c>
      <c r="FN378" s="1" t="s">
        <v>5406</v>
      </c>
      <c r="FO378" s="1" t="s">
        <v>5407</v>
      </c>
      <c r="FP378" s="1">
        <v>602609.0</v>
      </c>
      <c r="FQ378" s="1" t="s">
        <v>5408</v>
      </c>
      <c r="FU378" s="1" t="s">
        <v>5409</v>
      </c>
      <c r="FV378" s="1" t="s">
        <v>192</v>
      </c>
      <c r="FW378" s="1" t="s">
        <v>530</v>
      </c>
      <c r="FX378" s="1" t="s">
        <v>655</v>
      </c>
      <c r="FZ378" s="1" t="s">
        <v>229</v>
      </c>
      <c r="GA378" s="1" t="s">
        <v>291</v>
      </c>
      <c r="GB378" s="2">
        <v>42050.0</v>
      </c>
      <c r="GC378" s="1" t="s">
        <v>5410</v>
      </c>
    </row>
    <row r="379">
      <c r="A379" s="1">
        <v>215000.0</v>
      </c>
      <c r="B379" s="1" t="s">
        <v>185</v>
      </c>
      <c r="C379" s="1" t="str">
        <f>"08790711"</f>
        <v>08790711</v>
      </c>
      <c r="D379" s="1" t="s">
        <v>186</v>
      </c>
      <c r="F379" s="1" t="str">
        <f>"8065"</f>
        <v>8065</v>
      </c>
      <c r="G379" s="2">
        <v>41964.0</v>
      </c>
      <c r="H379" s="1">
        <v>217000.0</v>
      </c>
      <c r="I379" s="1">
        <v>407.0</v>
      </c>
      <c r="J379" s="1">
        <v>217000.0</v>
      </c>
      <c r="K379" s="2">
        <v>42089.0</v>
      </c>
      <c r="L379" s="1">
        <v>126.0</v>
      </c>
      <c r="M379" s="2">
        <v>42089.0</v>
      </c>
      <c r="N379" s="1" t="s">
        <v>356</v>
      </c>
      <c r="O379" s="2">
        <v>42090.0</v>
      </c>
      <c r="P379" s="1">
        <v>143680.0</v>
      </c>
      <c r="Q379" s="1">
        <v>12555.0</v>
      </c>
      <c r="R379" s="1">
        <v>5000.0</v>
      </c>
      <c r="S379" s="1">
        <v>5923.0</v>
      </c>
      <c r="T379" s="1" t="s">
        <v>5411</v>
      </c>
      <c r="U379" s="1" t="s">
        <v>189</v>
      </c>
      <c r="V379" s="1" t="s">
        <v>190</v>
      </c>
      <c r="W379" s="1">
        <v>60629.0</v>
      </c>
      <c r="X379" s="1">
        <v>4938.0</v>
      </c>
      <c r="Y379" s="1" t="s">
        <v>5412</v>
      </c>
      <c r="Z379" s="1">
        <v>1954.0</v>
      </c>
      <c r="AA379" s="1" t="s">
        <v>192</v>
      </c>
      <c r="AB379" s="1" t="s">
        <v>193</v>
      </c>
      <c r="AD379" s="1" t="s">
        <v>194</v>
      </c>
      <c r="AE379" s="1" t="s">
        <v>195</v>
      </c>
      <c r="AF379" s="1" t="s">
        <v>659</v>
      </c>
      <c r="AH379" s="1" t="s">
        <v>1501</v>
      </c>
      <c r="AI379" s="1">
        <v>0.0868</v>
      </c>
      <c r="AK379" s="1">
        <v>8.0</v>
      </c>
      <c r="AL379" s="1">
        <v>3.0</v>
      </c>
      <c r="AM379" s="1">
        <v>1.0</v>
      </c>
      <c r="AN379" s="1">
        <v>1.0</v>
      </c>
      <c r="AO379" s="1" t="s">
        <v>229</v>
      </c>
      <c r="AQ379" s="1" t="s">
        <v>198</v>
      </c>
      <c r="AR379" s="1" t="s">
        <v>192</v>
      </c>
      <c r="AS379" s="1" t="s">
        <v>199</v>
      </c>
      <c r="AT379" s="1">
        <v>2.0</v>
      </c>
      <c r="AV379" s="1" t="s">
        <v>200</v>
      </c>
      <c r="AW379" s="1">
        <v>2375.31</v>
      </c>
      <c r="AX379" s="1">
        <v>2012.0</v>
      </c>
      <c r="AY379" s="1" t="s">
        <v>387</v>
      </c>
      <c r="AZ379" s="1" t="s">
        <v>545</v>
      </c>
      <c r="BA379" s="1" t="str">
        <f>"19154030120000"</f>
        <v>19154030120000</v>
      </c>
      <c r="BB379" s="1" t="s">
        <v>200</v>
      </c>
      <c r="BC379" s="1">
        <v>1068.0</v>
      </c>
      <c r="BD379" s="1">
        <v>215000.0</v>
      </c>
      <c r="BE379" s="2">
        <v>41964.0</v>
      </c>
      <c r="BF379" s="2" t="s">
        <v>5413</v>
      </c>
      <c r="BH379" s="1">
        <v>0.0</v>
      </c>
      <c r="BK379" s="1" t="s">
        <v>204</v>
      </c>
      <c r="BL379" s="1" t="str">
        <f t="shared" ref="BL379:BM379" si="252">"0"</f>
        <v>0</v>
      </c>
      <c r="BM379" s="1" t="str">
        <f t="shared" si="252"/>
        <v>0</v>
      </c>
      <c r="BN379" s="1">
        <v>4232.0</v>
      </c>
      <c r="BO379" s="1">
        <v>5923.0</v>
      </c>
      <c r="BQ379" s="1">
        <v>299.0</v>
      </c>
      <c r="BR379" s="1">
        <v>299.0</v>
      </c>
      <c r="BS379" s="1">
        <v>299.0</v>
      </c>
      <c r="BU379" s="1" t="s">
        <v>2713</v>
      </c>
      <c r="BV379" s="1" t="s">
        <v>206</v>
      </c>
      <c r="BW379" s="1" t="s">
        <v>207</v>
      </c>
      <c r="BY379" s="1" t="s">
        <v>331</v>
      </c>
      <c r="BZ379" s="1" t="s">
        <v>206</v>
      </c>
      <c r="CA379" s="1" t="s">
        <v>207</v>
      </c>
      <c r="CC379" s="1" t="s">
        <v>542</v>
      </c>
      <c r="CD379" s="1" t="s">
        <v>206</v>
      </c>
      <c r="CE379" s="1" t="s">
        <v>268</v>
      </c>
      <c r="CG379" s="1" t="s">
        <v>699</v>
      </c>
      <c r="CH379" s="1" t="s">
        <v>206</v>
      </c>
      <c r="CI379" s="1" t="s">
        <v>207</v>
      </c>
      <c r="CK379" s="1" t="s">
        <v>699</v>
      </c>
      <c r="CL379" s="1" t="s">
        <v>206</v>
      </c>
      <c r="CM379" s="1" t="s">
        <v>207</v>
      </c>
      <c r="CO379" s="1" t="s">
        <v>331</v>
      </c>
      <c r="CP379" s="1" t="s">
        <v>42</v>
      </c>
      <c r="CQ379" s="1" t="s">
        <v>210</v>
      </c>
      <c r="CS379" s="1" t="s">
        <v>2442</v>
      </c>
      <c r="CT379" s="1" t="s">
        <v>206</v>
      </c>
      <c r="CU379" s="1" t="s">
        <v>268</v>
      </c>
      <c r="CW379" s="1" t="s">
        <v>5414</v>
      </c>
      <c r="CX379" s="1" t="s">
        <v>42</v>
      </c>
      <c r="CY379" s="1" t="s">
        <v>210</v>
      </c>
      <c r="DA379" s="1" t="s">
        <v>200</v>
      </c>
      <c r="DC379" s="1" t="s">
        <v>702</v>
      </c>
      <c r="DD379" s="1" t="s">
        <v>957</v>
      </c>
      <c r="DE379" s="1" t="s">
        <v>273</v>
      </c>
      <c r="DF379" s="1" t="s">
        <v>219</v>
      </c>
      <c r="DG379" s="1" t="s">
        <v>1160</v>
      </c>
      <c r="DH379" s="1" t="s">
        <v>365</v>
      </c>
      <c r="DI379" s="1" t="s">
        <v>366</v>
      </c>
      <c r="DJ379" s="1" t="s">
        <v>222</v>
      </c>
      <c r="DL379" s="1" t="s">
        <v>1161</v>
      </c>
      <c r="DM379" s="1" t="s">
        <v>229</v>
      </c>
      <c r="DN379" s="1" t="s">
        <v>666</v>
      </c>
      <c r="DQ379" s="1" t="s">
        <v>718</v>
      </c>
      <c r="DR379" s="1" t="s">
        <v>229</v>
      </c>
      <c r="DS379" s="1" t="s">
        <v>230</v>
      </c>
      <c r="DU379" s="1" t="s">
        <v>1355</v>
      </c>
      <c r="DV379" s="1" t="s">
        <v>232</v>
      </c>
      <c r="DW379" s="1" t="s">
        <v>279</v>
      </c>
      <c r="DX379" s="1" t="s">
        <v>309</v>
      </c>
      <c r="DY379" s="1" t="s">
        <v>5415</v>
      </c>
      <c r="EA379" s="1" t="s">
        <v>683</v>
      </c>
      <c r="EC379" s="1" t="s">
        <v>311</v>
      </c>
      <c r="ED379" s="1" t="s">
        <v>555</v>
      </c>
      <c r="EM379" s="1" t="s">
        <v>238</v>
      </c>
      <c r="EQ379" s="1" t="s">
        <v>238</v>
      </c>
      <c r="EU379" s="1" t="s">
        <v>238</v>
      </c>
      <c r="EY379" s="1" t="s">
        <v>238</v>
      </c>
      <c r="FC379" s="1" t="s">
        <v>238</v>
      </c>
      <c r="FF379" s="1" t="s">
        <v>239</v>
      </c>
      <c r="FG379" s="1" t="s">
        <v>192</v>
      </c>
      <c r="FH379" s="1" t="s">
        <v>192</v>
      </c>
      <c r="FJ379" s="1" t="s">
        <v>5416</v>
      </c>
      <c r="FK379" s="1" t="s">
        <v>229</v>
      </c>
      <c r="FL379" s="1" t="s">
        <v>5417</v>
      </c>
      <c r="FM379" s="1">
        <v>84487.0</v>
      </c>
      <c r="FN379" s="1" t="s">
        <v>5418</v>
      </c>
      <c r="FO379" s="1" t="s">
        <v>5419</v>
      </c>
      <c r="FP379" s="1">
        <v>178829.0</v>
      </c>
      <c r="FQ379" s="1" t="s">
        <v>5420</v>
      </c>
      <c r="FU379" s="1" t="s">
        <v>710</v>
      </c>
      <c r="FV379" s="1" t="s">
        <v>200</v>
      </c>
      <c r="FW379" s="1" t="s">
        <v>5421</v>
      </c>
      <c r="FX379" s="1" t="s">
        <v>655</v>
      </c>
      <c r="FZ379" s="1" t="s">
        <v>229</v>
      </c>
      <c r="GA379" s="1" t="s">
        <v>291</v>
      </c>
      <c r="GB379" s="2">
        <v>42093.0</v>
      </c>
      <c r="GC379" s="1" t="s">
        <v>5422</v>
      </c>
    </row>
    <row r="380">
      <c r="A380" s="1">
        <v>154900.0</v>
      </c>
      <c r="B380" s="1" t="s">
        <v>185</v>
      </c>
      <c r="C380" s="1" t="str">
        <f>"08794295"</f>
        <v>08794295</v>
      </c>
      <c r="D380" s="1" t="s">
        <v>186</v>
      </c>
      <c r="F380" s="1" t="str">
        <f>"8045"</f>
        <v>8045</v>
      </c>
      <c r="G380" s="2">
        <v>41974.0</v>
      </c>
      <c r="H380" s="1">
        <v>154900.0</v>
      </c>
      <c r="I380" s="1">
        <v>79.0</v>
      </c>
      <c r="J380" s="1">
        <v>154900.0</v>
      </c>
      <c r="K380" s="2">
        <v>42012.0</v>
      </c>
      <c r="L380" s="1">
        <v>39.0</v>
      </c>
      <c r="M380" s="2">
        <v>42012.0</v>
      </c>
      <c r="N380" s="1" t="s">
        <v>634</v>
      </c>
      <c r="O380" s="2">
        <v>42058.0</v>
      </c>
      <c r="P380" s="1">
        <v>158518.0</v>
      </c>
      <c r="Q380" s="1">
        <v>18720.0</v>
      </c>
      <c r="R380" s="1">
        <v>3.0</v>
      </c>
      <c r="S380" s="1">
        <v>8555.0</v>
      </c>
      <c r="T380" s="1" t="s">
        <v>5423</v>
      </c>
      <c r="U380" s="1" t="s">
        <v>1442</v>
      </c>
      <c r="V380" s="1" t="s">
        <v>190</v>
      </c>
      <c r="W380" s="1">
        <v>60617.0</v>
      </c>
      <c r="Y380" s="1" t="s">
        <v>5424</v>
      </c>
      <c r="Z380" s="1" t="s">
        <v>296</v>
      </c>
      <c r="AA380" s="1" t="s">
        <v>192</v>
      </c>
      <c r="AB380" s="1" t="s">
        <v>193</v>
      </c>
      <c r="AD380" s="1" t="s">
        <v>194</v>
      </c>
      <c r="AE380" s="1" t="s">
        <v>195</v>
      </c>
      <c r="AF380" s="1" t="s">
        <v>1154</v>
      </c>
      <c r="AH380" s="1">
        <v>3906.0</v>
      </c>
      <c r="AI380" s="1">
        <v>0.0897</v>
      </c>
      <c r="AK380" s="1">
        <v>8.0</v>
      </c>
      <c r="AL380" s="1">
        <v>3.0</v>
      </c>
      <c r="AM380" s="1">
        <v>2.0</v>
      </c>
      <c r="AN380" s="1">
        <v>0.0</v>
      </c>
      <c r="AO380" s="1" t="s">
        <v>229</v>
      </c>
      <c r="AQ380" s="1" t="s">
        <v>198</v>
      </c>
      <c r="AR380" s="1" t="s">
        <v>192</v>
      </c>
      <c r="AS380" s="1" t="s">
        <v>199</v>
      </c>
      <c r="AT380" s="1">
        <v>2.0</v>
      </c>
      <c r="AV380" s="1" t="s">
        <v>200</v>
      </c>
      <c r="AW380" s="1">
        <v>2315.42</v>
      </c>
      <c r="AX380" s="1">
        <v>2012.0</v>
      </c>
      <c r="AZ380" s="1" t="s">
        <v>200</v>
      </c>
      <c r="BA380" s="1" t="str">
        <f>"20364150630000"</f>
        <v>20364150630000</v>
      </c>
      <c r="BB380" s="1" t="s">
        <v>200</v>
      </c>
      <c r="BC380" s="1">
        <v>1217.0</v>
      </c>
      <c r="BD380" s="1">
        <v>154900.0</v>
      </c>
      <c r="BE380" s="2">
        <v>41974.0</v>
      </c>
      <c r="BF380" s="2" t="s">
        <v>5425</v>
      </c>
      <c r="BH380" s="1">
        <v>0.0</v>
      </c>
      <c r="BK380" s="1" t="s">
        <v>204</v>
      </c>
      <c r="BL380" s="1" t="str">
        <f>"0"</f>
        <v>0</v>
      </c>
      <c r="BM380" s="1" t="str">
        <f>"2000"</f>
        <v>2000</v>
      </c>
      <c r="BN380" s="1">
        <v>0.0</v>
      </c>
      <c r="BO380" s="1">
        <v>8555.0</v>
      </c>
      <c r="BQ380" s="1">
        <v>299.0</v>
      </c>
      <c r="BR380" s="1">
        <v>299.0</v>
      </c>
      <c r="BS380" s="1">
        <v>299.0</v>
      </c>
      <c r="BU380" s="1" t="s">
        <v>784</v>
      </c>
      <c r="BV380" s="1" t="s">
        <v>206</v>
      </c>
      <c r="BW380" s="1" t="s">
        <v>207</v>
      </c>
      <c r="BY380" s="1" t="s">
        <v>332</v>
      </c>
      <c r="BZ380" s="1" t="s">
        <v>206</v>
      </c>
      <c r="CA380" s="1" t="s">
        <v>207</v>
      </c>
      <c r="CC380" s="1" t="s">
        <v>542</v>
      </c>
      <c r="CD380" s="1" t="s">
        <v>206</v>
      </c>
      <c r="CE380" s="1" t="s">
        <v>207</v>
      </c>
      <c r="CG380" s="1" t="s">
        <v>212</v>
      </c>
      <c r="CH380" s="1" t="s">
        <v>206</v>
      </c>
      <c r="CI380" s="1" t="s">
        <v>207</v>
      </c>
      <c r="CK380" s="1" t="s">
        <v>699</v>
      </c>
      <c r="CL380" s="1" t="s">
        <v>206</v>
      </c>
      <c r="CM380" s="1" t="s">
        <v>207</v>
      </c>
      <c r="CO380" s="1" t="s">
        <v>699</v>
      </c>
      <c r="CP380" s="1" t="s">
        <v>42</v>
      </c>
      <c r="CQ380" s="1" t="s">
        <v>268</v>
      </c>
      <c r="CS380" s="1" t="s">
        <v>269</v>
      </c>
      <c r="CT380" s="1" t="s">
        <v>206</v>
      </c>
      <c r="CU380" s="1" t="s">
        <v>207</v>
      </c>
      <c r="CW380" s="1" t="s">
        <v>2219</v>
      </c>
      <c r="CX380" s="1" t="s">
        <v>42</v>
      </c>
      <c r="CY380" s="1" t="s">
        <v>268</v>
      </c>
      <c r="DA380" s="1" t="s">
        <v>200</v>
      </c>
      <c r="DC380" s="1" t="s">
        <v>517</v>
      </c>
      <c r="DE380" s="1" t="s">
        <v>273</v>
      </c>
      <c r="DF380" s="1" t="s">
        <v>219</v>
      </c>
      <c r="DH380" s="1" t="s">
        <v>307</v>
      </c>
      <c r="DJ380" s="1" t="s">
        <v>222</v>
      </c>
      <c r="DL380" s="1" t="s">
        <v>224</v>
      </c>
      <c r="DM380" s="1" t="s">
        <v>229</v>
      </c>
      <c r="DP380" s="1" t="s">
        <v>276</v>
      </c>
      <c r="DQ380" s="1" t="s">
        <v>228</v>
      </c>
      <c r="DR380" s="1" t="s">
        <v>229</v>
      </c>
      <c r="DV380" s="1" t="s">
        <v>232</v>
      </c>
      <c r="DW380" s="1" t="s">
        <v>279</v>
      </c>
      <c r="DX380" s="1" t="s">
        <v>234</v>
      </c>
      <c r="EA380" s="1" t="s">
        <v>683</v>
      </c>
      <c r="EC380" s="1" t="s">
        <v>685</v>
      </c>
      <c r="EM380" s="1" t="s">
        <v>238</v>
      </c>
      <c r="EQ380" s="1" t="s">
        <v>238</v>
      </c>
      <c r="EU380" s="1" t="s">
        <v>238</v>
      </c>
      <c r="EY380" s="1" t="s">
        <v>238</v>
      </c>
      <c r="FC380" s="1" t="s">
        <v>238</v>
      </c>
      <c r="FF380" s="1" t="s">
        <v>239</v>
      </c>
      <c r="FG380" s="1" t="s">
        <v>192</v>
      </c>
      <c r="FH380" s="1" t="s">
        <v>192</v>
      </c>
      <c r="FJ380" s="1" t="s">
        <v>1585</v>
      </c>
      <c r="FK380" s="1" t="s">
        <v>229</v>
      </c>
      <c r="FL380" s="1" t="s">
        <v>5426</v>
      </c>
      <c r="FM380" s="1">
        <v>16440.0</v>
      </c>
      <c r="FN380" s="1" t="s">
        <v>5427</v>
      </c>
      <c r="FO380" s="1" t="s">
        <v>5428</v>
      </c>
      <c r="FP380" s="1">
        <v>172356.0</v>
      </c>
      <c r="FQ380" s="1" t="s">
        <v>5429</v>
      </c>
      <c r="FU380" s="1" t="s">
        <v>5430</v>
      </c>
      <c r="FV380" s="1" t="s">
        <v>200</v>
      </c>
      <c r="FW380" s="1" t="s">
        <v>290</v>
      </c>
      <c r="FX380" s="1" t="s">
        <v>655</v>
      </c>
      <c r="FZ380" s="1" t="s">
        <v>229</v>
      </c>
      <c r="GA380" s="1" t="s">
        <v>291</v>
      </c>
      <c r="GB380" s="2">
        <v>42059.0</v>
      </c>
    </row>
    <row r="381">
      <c r="A381" s="1">
        <v>929000.0</v>
      </c>
      <c r="B381" s="1" t="s">
        <v>185</v>
      </c>
      <c r="C381" s="1" t="str">
        <f>"08792247"</f>
        <v>08792247</v>
      </c>
      <c r="D381" s="1" t="s">
        <v>186</v>
      </c>
      <c r="F381" s="1" t="str">
        <f>"8077"</f>
        <v>8077</v>
      </c>
      <c r="G381" s="2">
        <v>41967.0</v>
      </c>
      <c r="H381" s="1">
        <v>929000.0</v>
      </c>
      <c r="I381" s="1">
        <v>298.0</v>
      </c>
      <c r="J381" s="1">
        <v>929000.0</v>
      </c>
      <c r="K381" s="2">
        <v>42051.0</v>
      </c>
      <c r="L381" s="1">
        <v>85.0</v>
      </c>
      <c r="M381" s="2">
        <v>42051.0</v>
      </c>
      <c r="N381" s="1" t="s">
        <v>187</v>
      </c>
      <c r="O381" s="2">
        <v>42080.0</v>
      </c>
      <c r="P381" s="1">
        <v>134380.0</v>
      </c>
      <c r="Q381" s="1">
        <v>84025.0</v>
      </c>
      <c r="S381" s="1">
        <v>1668.0</v>
      </c>
      <c r="T381" s="1" t="s">
        <v>5431</v>
      </c>
      <c r="U381" s="1" t="s">
        <v>189</v>
      </c>
      <c r="V381" s="1" t="s">
        <v>190</v>
      </c>
      <c r="W381" s="1">
        <v>60660.0</v>
      </c>
      <c r="Y381" s="1" t="s">
        <v>5432</v>
      </c>
      <c r="Z381" s="1">
        <v>1901.0</v>
      </c>
      <c r="AA381" s="1" t="s">
        <v>192</v>
      </c>
      <c r="AB381" s="1" t="s">
        <v>193</v>
      </c>
      <c r="AD381" s="1" t="s">
        <v>194</v>
      </c>
      <c r="AE381" s="1" t="s">
        <v>195</v>
      </c>
      <c r="AF381" s="1" t="s">
        <v>534</v>
      </c>
      <c r="AH381" s="1" t="s">
        <v>5433</v>
      </c>
      <c r="AK381" s="1">
        <v>11.0</v>
      </c>
      <c r="AL381" s="1">
        <v>4.0</v>
      </c>
      <c r="AM381" s="1">
        <v>4.0</v>
      </c>
      <c r="AN381" s="1">
        <v>1.0</v>
      </c>
      <c r="AO381" s="1" t="s">
        <v>198</v>
      </c>
      <c r="AQ381" s="1" t="s">
        <v>472</v>
      </c>
      <c r="AR381" s="1" t="s">
        <v>192</v>
      </c>
      <c r="AS381" s="1" t="s">
        <v>199</v>
      </c>
      <c r="AT381" s="1">
        <v>2.0</v>
      </c>
      <c r="AV381" s="1" t="s">
        <v>200</v>
      </c>
      <c r="AW381" s="3">
        <v>5116.0</v>
      </c>
      <c r="AX381" s="1">
        <v>2013.0</v>
      </c>
      <c r="AY381" s="1" t="s">
        <v>387</v>
      </c>
      <c r="AZ381" s="1" t="s">
        <v>200</v>
      </c>
      <c r="BA381" s="1" t="str">
        <f>"14064120270000"</f>
        <v>14064120270000</v>
      </c>
      <c r="BC381" s="1">
        <v>3600.0</v>
      </c>
      <c r="BD381" s="1">
        <v>929000.0</v>
      </c>
      <c r="BE381" s="2">
        <v>41967.0</v>
      </c>
      <c r="BF381" s="2" t="s">
        <v>5434</v>
      </c>
      <c r="BG381" s="1" t="s">
        <v>4739</v>
      </c>
      <c r="BH381" s="1">
        <v>0.0</v>
      </c>
      <c r="BJ381" s="1" t="s">
        <v>4740</v>
      </c>
      <c r="BK381" s="1" t="s">
        <v>204</v>
      </c>
      <c r="BL381" s="1" t="str">
        <f>"5600"</f>
        <v>5600</v>
      </c>
      <c r="BM381" s="1" t="str">
        <f>"0"</f>
        <v>0</v>
      </c>
      <c r="BN381" s="1">
        <v>1668.0</v>
      </c>
      <c r="BO381" s="1">
        <v>0.0</v>
      </c>
      <c r="BQ381" s="1">
        <v>299.0</v>
      </c>
      <c r="BR381" s="1">
        <v>299.0</v>
      </c>
      <c r="BS381" s="1">
        <v>299.0</v>
      </c>
      <c r="BU381" s="1" t="s">
        <v>1069</v>
      </c>
      <c r="BV381" s="1" t="s">
        <v>206</v>
      </c>
      <c r="BW381" s="1" t="s">
        <v>207</v>
      </c>
      <c r="BY381" s="1" t="s">
        <v>541</v>
      </c>
      <c r="BZ381" s="1" t="s">
        <v>209</v>
      </c>
      <c r="CA381" s="1" t="s">
        <v>207</v>
      </c>
      <c r="CC381" s="1" t="s">
        <v>215</v>
      </c>
      <c r="CD381" s="1" t="s">
        <v>206</v>
      </c>
      <c r="CE381" s="1" t="s">
        <v>207</v>
      </c>
      <c r="CG381" s="1" t="s">
        <v>758</v>
      </c>
      <c r="CH381" s="1" t="s">
        <v>209</v>
      </c>
      <c r="CI381" s="1" t="s">
        <v>207</v>
      </c>
      <c r="CK381" s="1" t="s">
        <v>1395</v>
      </c>
      <c r="CL381" s="1" t="s">
        <v>209</v>
      </c>
      <c r="CM381" s="1" t="s">
        <v>207</v>
      </c>
      <c r="CO381" s="1" t="s">
        <v>303</v>
      </c>
      <c r="CP381" s="1" t="s">
        <v>267</v>
      </c>
      <c r="CQ381" s="1" t="s">
        <v>210</v>
      </c>
      <c r="CS381" s="1" t="s">
        <v>5435</v>
      </c>
      <c r="CT381" s="1" t="s">
        <v>206</v>
      </c>
      <c r="CU381" s="1" t="s">
        <v>207</v>
      </c>
      <c r="CW381" s="1" t="s">
        <v>1329</v>
      </c>
      <c r="CX381" s="1" t="s">
        <v>206</v>
      </c>
      <c r="CY381" s="1" t="s">
        <v>207</v>
      </c>
      <c r="DA381" s="1" t="s">
        <v>200</v>
      </c>
      <c r="DC381" s="1" t="s">
        <v>642</v>
      </c>
      <c r="DD381" s="1" t="s">
        <v>272</v>
      </c>
      <c r="DE381" s="1" t="s">
        <v>218</v>
      </c>
      <c r="DF381" s="1" t="s">
        <v>1718</v>
      </c>
      <c r="DH381" s="1" t="s">
        <v>365</v>
      </c>
      <c r="DI381" s="1" t="s">
        <v>5436</v>
      </c>
      <c r="DJ381" s="1" t="s">
        <v>222</v>
      </c>
      <c r="DL381" s="1" t="s">
        <v>1161</v>
      </c>
      <c r="DM381" s="1" t="s">
        <v>229</v>
      </c>
      <c r="DN381" s="1" t="s">
        <v>226</v>
      </c>
      <c r="DO381" s="1" t="s">
        <v>549</v>
      </c>
      <c r="DP381" s="1" t="s">
        <v>276</v>
      </c>
      <c r="DQ381" s="1" t="s">
        <v>794</v>
      </c>
      <c r="DR381" s="1" t="s">
        <v>229</v>
      </c>
      <c r="DS381" s="1" t="s">
        <v>230</v>
      </c>
      <c r="DU381" s="1" t="s">
        <v>5437</v>
      </c>
      <c r="DV381" s="1" t="s">
        <v>5438</v>
      </c>
      <c r="DW381" s="1" t="s">
        <v>1145</v>
      </c>
      <c r="DX381" s="1" t="s">
        <v>309</v>
      </c>
      <c r="DY381" s="1" t="s">
        <v>1122</v>
      </c>
      <c r="DZ381" s="1" t="s">
        <v>5439</v>
      </c>
      <c r="EC381" s="1" t="s">
        <v>237</v>
      </c>
      <c r="EG381" s="1" t="s">
        <v>598</v>
      </c>
      <c r="EH381" s="1" t="s">
        <v>409</v>
      </c>
      <c r="EI381" s="1" t="s">
        <v>494</v>
      </c>
      <c r="EJ381" s="1" t="s">
        <v>968</v>
      </c>
      <c r="EK381" s="1" t="s">
        <v>310</v>
      </c>
      <c r="EL381" s="1" t="s">
        <v>5440</v>
      </c>
      <c r="EM381" s="1" t="s">
        <v>206</v>
      </c>
      <c r="EN381" s="1" t="s">
        <v>207</v>
      </c>
      <c r="EP381" s="1" t="s">
        <v>3930</v>
      </c>
      <c r="EQ381" s="1" t="s">
        <v>209</v>
      </c>
      <c r="ER381" s="1" t="s">
        <v>207</v>
      </c>
      <c r="ET381" s="1" t="s">
        <v>5441</v>
      </c>
      <c r="EU381" s="1" t="s">
        <v>206</v>
      </c>
      <c r="EV381" s="1" t="s">
        <v>207</v>
      </c>
      <c r="EX381" s="1" t="s">
        <v>2880</v>
      </c>
      <c r="EY381" s="1" t="s">
        <v>209</v>
      </c>
      <c r="EZ381" s="1" t="s">
        <v>588</v>
      </c>
      <c r="FB381" s="1" t="s">
        <v>1279</v>
      </c>
      <c r="FC381" s="1" t="s">
        <v>206</v>
      </c>
      <c r="FD381" s="1" t="s">
        <v>588</v>
      </c>
      <c r="FF381" s="1" t="s">
        <v>239</v>
      </c>
      <c r="FG381" s="1" t="s">
        <v>192</v>
      </c>
      <c r="FH381" s="1" t="s">
        <v>192</v>
      </c>
      <c r="FJ381" s="1" t="s">
        <v>2285</v>
      </c>
      <c r="FK381" s="1" t="s">
        <v>229</v>
      </c>
      <c r="FL381" s="1" t="s">
        <v>1358</v>
      </c>
      <c r="FM381" s="1">
        <v>10115.0</v>
      </c>
      <c r="FN381" s="1" t="s">
        <v>2286</v>
      </c>
      <c r="FO381" s="1" t="s">
        <v>2881</v>
      </c>
      <c r="FP381" s="1">
        <v>124168.0</v>
      </c>
      <c r="FQ381" s="1" t="s">
        <v>2882</v>
      </c>
      <c r="FU381" s="1" t="s">
        <v>2883</v>
      </c>
      <c r="FV381" s="1" t="s">
        <v>200</v>
      </c>
      <c r="FW381" s="1" t="s">
        <v>530</v>
      </c>
      <c r="FX381" s="1" t="s">
        <v>246</v>
      </c>
      <c r="FZ381" s="1" t="s">
        <v>229</v>
      </c>
      <c r="GA381" s="1" t="s">
        <v>291</v>
      </c>
      <c r="GB381" s="2">
        <v>42080.0</v>
      </c>
      <c r="GC381" s="1" t="s">
        <v>5442</v>
      </c>
    </row>
    <row r="382">
      <c r="A382" s="1">
        <v>132000.0</v>
      </c>
      <c r="B382" s="1" t="s">
        <v>185</v>
      </c>
      <c r="C382" s="1" t="str">
        <f>"08785654"</f>
        <v>08785654</v>
      </c>
      <c r="D382" s="1" t="s">
        <v>186</v>
      </c>
      <c r="F382" s="1" t="str">
        <f>"8070"</f>
        <v>8070</v>
      </c>
      <c r="G382" s="2">
        <v>41956.0</v>
      </c>
      <c r="H382" s="1">
        <v>158000.0</v>
      </c>
      <c r="I382" s="1">
        <v>106.0</v>
      </c>
      <c r="J382" s="1">
        <v>134000.0</v>
      </c>
      <c r="K382" s="2">
        <v>42061.0</v>
      </c>
      <c r="L382" s="1">
        <v>106.0</v>
      </c>
      <c r="M382" s="2">
        <v>42061.0</v>
      </c>
      <c r="N382" s="1" t="s">
        <v>356</v>
      </c>
      <c r="O382" s="2">
        <v>42123.0</v>
      </c>
      <c r="P382" s="1">
        <v>108277.0</v>
      </c>
      <c r="Q382" s="1">
        <v>10267.0</v>
      </c>
      <c r="R382" s="1">
        <v>3960.0</v>
      </c>
      <c r="S382" s="1">
        <v>3519.0</v>
      </c>
      <c r="T382" s="1" t="s">
        <v>4526</v>
      </c>
      <c r="U382" s="1" t="s">
        <v>694</v>
      </c>
      <c r="V382" s="1" t="s">
        <v>190</v>
      </c>
      <c r="W382" s="1">
        <v>60652.0</v>
      </c>
      <c r="Y382" s="1" t="s">
        <v>5443</v>
      </c>
      <c r="Z382" s="1">
        <v>1957.0</v>
      </c>
      <c r="AA382" s="1" t="s">
        <v>192</v>
      </c>
      <c r="AB382" s="1" t="s">
        <v>193</v>
      </c>
      <c r="AD382" s="1" t="s">
        <v>194</v>
      </c>
      <c r="AE382" s="1" t="s">
        <v>195</v>
      </c>
      <c r="AF382" s="1" t="s">
        <v>659</v>
      </c>
      <c r="AH382" s="1" t="s">
        <v>5444</v>
      </c>
      <c r="AI382" s="1">
        <v>0.0868</v>
      </c>
      <c r="AK382" s="1">
        <v>8.0</v>
      </c>
      <c r="AL382" s="1">
        <v>4.0</v>
      </c>
      <c r="AM382" s="1">
        <v>2.0</v>
      </c>
      <c r="AN382" s="1">
        <v>0.0</v>
      </c>
      <c r="AO382" s="1" t="s">
        <v>229</v>
      </c>
      <c r="AQ382" s="1" t="s">
        <v>198</v>
      </c>
      <c r="AR382" s="1" t="s">
        <v>200</v>
      </c>
      <c r="AS382" s="1" t="s">
        <v>199</v>
      </c>
      <c r="AT382" s="1">
        <v>2.0</v>
      </c>
      <c r="AV382" s="1" t="s">
        <v>200</v>
      </c>
      <c r="AW382" s="1">
        <v>1201.03</v>
      </c>
      <c r="AX382" s="1">
        <v>2012.0</v>
      </c>
      <c r="AZ382" s="1" t="s">
        <v>200</v>
      </c>
      <c r="BA382" s="1" t="str">
        <f>"19354040160000"</f>
        <v>19354040160000</v>
      </c>
      <c r="BC382" s="1">
        <v>0.0</v>
      </c>
      <c r="BD382" s="1">
        <v>132000.0</v>
      </c>
      <c r="BE382" s="2">
        <v>41956.0</v>
      </c>
      <c r="BF382" s="2" t="s">
        <v>5445</v>
      </c>
      <c r="BH382" s="1">
        <v>0.0</v>
      </c>
      <c r="BK382" s="1" t="s">
        <v>204</v>
      </c>
      <c r="BL382" s="1" t="str">
        <f t="shared" ref="BL382:BM382" si="253">"0"</f>
        <v>0</v>
      </c>
      <c r="BM382" s="1" t="str">
        <f t="shared" si="253"/>
        <v>0</v>
      </c>
      <c r="BN382" s="1">
        <v>3519.0</v>
      </c>
      <c r="BO382" s="1">
        <v>8300.0</v>
      </c>
      <c r="BQ382" s="1">
        <v>299.0</v>
      </c>
      <c r="BR382" s="1">
        <v>299.0</v>
      </c>
      <c r="BS382" s="1">
        <v>299.0</v>
      </c>
      <c r="BU382" s="1" t="s">
        <v>903</v>
      </c>
      <c r="BV382" s="1" t="s">
        <v>206</v>
      </c>
      <c r="BW382" s="1" t="s">
        <v>207</v>
      </c>
      <c r="BY382" s="1" t="s">
        <v>433</v>
      </c>
      <c r="BZ382" s="1" t="s">
        <v>206</v>
      </c>
      <c r="CA382" s="1" t="s">
        <v>207</v>
      </c>
      <c r="CC382" s="1" t="s">
        <v>542</v>
      </c>
      <c r="CD382" s="1" t="s">
        <v>206</v>
      </c>
      <c r="CE382" s="1" t="s">
        <v>207</v>
      </c>
      <c r="CG382" s="1" t="s">
        <v>433</v>
      </c>
      <c r="CH382" s="1" t="s">
        <v>206</v>
      </c>
      <c r="CI382" s="1" t="s">
        <v>207</v>
      </c>
      <c r="CK382" s="1" t="s">
        <v>453</v>
      </c>
      <c r="CL382" s="1" t="s">
        <v>209</v>
      </c>
      <c r="CM382" s="1" t="s">
        <v>617</v>
      </c>
      <c r="CO382" s="1" t="s">
        <v>390</v>
      </c>
      <c r="CP382" s="1" t="s">
        <v>209</v>
      </c>
      <c r="CQ382" s="1" t="s">
        <v>210</v>
      </c>
      <c r="CS382" s="1" t="s">
        <v>390</v>
      </c>
      <c r="CT382" s="1" t="s">
        <v>206</v>
      </c>
      <c r="CU382" s="1" t="s">
        <v>268</v>
      </c>
      <c r="CW382" s="1" t="s">
        <v>5414</v>
      </c>
      <c r="CX382" s="1" t="s">
        <v>42</v>
      </c>
      <c r="CY382" s="1" t="s">
        <v>210</v>
      </c>
      <c r="DA382" s="1" t="s">
        <v>200</v>
      </c>
      <c r="DC382" s="1" t="s">
        <v>271</v>
      </c>
      <c r="DD382" s="1" t="s">
        <v>518</v>
      </c>
      <c r="DE382" s="1" t="s">
        <v>273</v>
      </c>
      <c r="DF382" s="1" t="s">
        <v>219</v>
      </c>
      <c r="DH382" s="1" t="s">
        <v>365</v>
      </c>
      <c r="DJ382" s="1" t="s">
        <v>1048</v>
      </c>
      <c r="DL382" s="1" t="s">
        <v>986</v>
      </c>
      <c r="DM382" s="1" t="s">
        <v>229</v>
      </c>
      <c r="DP382" s="1" t="s">
        <v>276</v>
      </c>
      <c r="DQ382" s="1" t="s">
        <v>228</v>
      </c>
      <c r="DR382" s="1" t="s">
        <v>229</v>
      </c>
      <c r="DS382" s="1" t="s">
        <v>230</v>
      </c>
      <c r="DV382" s="1" t="s">
        <v>232</v>
      </c>
      <c r="DW382" s="1" t="s">
        <v>279</v>
      </c>
      <c r="DX382" s="1" t="s">
        <v>234</v>
      </c>
      <c r="DY382" s="1" t="s">
        <v>4238</v>
      </c>
      <c r="EA382" s="1" t="s">
        <v>1075</v>
      </c>
      <c r="EC382" s="1" t="s">
        <v>645</v>
      </c>
      <c r="EM382" s="1" t="s">
        <v>238</v>
      </c>
      <c r="EQ382" s="1" t="s">
        <v>238</v>
      </c>
      <c r="EU382" s="1" t="s">
        <v>238</v>
      </c>
      <c r="EY382" s="1" t="s">
        <v>238</v>
      </c>
      <c r="FC382" s="1" t="s">
        <v>238</v>
      </c>
      <c r="FF382" s="1" t="s">
        <v>239</v>
      </c>
      <c r="FG382" s="1" t="s">
        <v>192</v>
      </c>
      <c r="FH382" s="1" t="s">
        <v>192</v>
      </c>
      <c r="FJ382" s="1" t="s">
        <v>1248</v>
      </c>
      <c r="FK382" s="1" t="s">
        <v>229</v>
      </c>
      <c r="FL382" s="1" t="s">
        <v>734</v>
      </c>
      <c r="FM382" s="1">
        <v>10646.0</v>
      </c>
      <c r="FN382" s="1" t="s">
        <v>735</v>
      </c>
      <c r="FO382" s="1" t="s">
        <v>5446</v>
      </c>
      <c r="FP382" s="1">
        <v>166674.0</v>
      </c>
      <c r="FQ382" s="1" t="s">
        <v>5447</v>
      </c>
      <c r="FR382" s="1">
        <v>130124.0</v>
      </c>
      <c r="FU382" s="1" t="s">
        <v>1438</v>
      </c>
      <c r="FV382" s="1" t="s">
        <v>200</v>
      </c>
      <c r="FW382" s="1" t="s">
        <v>1307</v>
      </c>
      <c r="FX382" s="1" t="s">
        <v>246</v>
      </c>
      <c r="FZ382" s="1" t="s">
        <v>229</v>
      </c>
      <c r="GA382" s="1" t="s">
        <v>291</v>
      </c>
      <c r="GB382" s="2">
        <v>42124.0</v>
      </c>
      <c r="GC382" s="1" t="s">
        <v>5448</v>
      </c>
    </row>
    <row r="383">
      <c r="A383" s="1">
        <v>279000.0</v>
      </c>
      <c r="B383" s="1" t="s">
        <v>185</v>
      </c>
      <c r="C383" s="1" t="str">
        <f>"08794904"</f>
        <v>08794904</v>
      </c>
      <c r="D383" s="1" t="s">
        <v>186</v>
      </c>
      <c r="F383" s="1" t="str">
        <f>"140"</f>
        <v>140</v>
      </c>
      <c r="G383" s="2">
        <v>41974.0</v>
      </c>
      <c r="H383" s="1">
        <v>309900.0</v>
      </c>
      <c r="I383" s="1">
        <v>70.0</v>
      </c>
      <c r="J383" s="1">
        <v>280000.0</v>
      </c>
      <c r="K383" s="2">
        <v>42043.0</v>
      </c>
      <c r="L383" s="1">
        <v>70.0</v>
      </c>
      <c r="M383" s="2">
        <v>42043.0</v>
      </c>
      <c r="N383" s="1" t="s">
        <v>356</v>
      </c>
      <c r="O383" s="2">
        <v>42108.0</v>
      </c>
      <c r="P383" s="1">
        <v>879525.0</v>
      </c>
      <c r="Q383" s="1">
        <v>7450.0</v>
      </c>
      <c r="R383" s="1">
        <v>6500.0</v>
      </c>
      <c r="S383" s="1">
        <v>1177.0</v>
      </c>
      <c r="T383" s="1" t="s">
        <v>5449</v>
      </c>
      <c r="U383" s="1" t="s">
        <v>420</v>
      </c>
      <c r="V383" s="1" t="s">
        <v>4858</v>
      </c>
      <c r="W383" s="1">
        <v>60140.0</v>
      </c>
      <c r="Y383" s="1" t="s">
        <v>5450</v>
      </c>
      <c r="Z383" s="1">
        <v>2006.0</v>
      </c>
      <c r="AA383" s="1" t="s">
        <v>200</v>
      </c>
      <c r="AB383" s="1" t="s">
        <v>467</v>
      </c>
      <c r="AD383" s="1" t="s">
        <v>4860</v>
      </c>
      <c r="AE383" s="1" t="s">
        <v>325</v>
      </c>
      <c r="AF383" s="1" t="s">
        <v>3429</v>
      </c>
      <c r="AG383" s="1" t="s">
        <v>5451</v>
      </c>
      <c r="AH383" s="1" t="s">
        <v>5452</v>
      </c>
      <c r="AI383" s="1">
        <v>0.2583</v>
      </c>
      <c r="AK383" s="1">
        <v>10.0</v>
      </c>
      <c r="AL383" s="1">
        <v>4.0</v>
      </c>
      <c r="AM383" s="1">
        <v>2.0</v>
      </c>
      <c r="AN383" s="1">
        <v>1.0</v>
      </c>
      <c r="AO383" s="1" t="s">
        <v>198</v>
      </c>
      <c r="AP383" s="1">
        <v>1.0</v>
      </c>
      <c r="AQ383" s="1" t="s">
        <v>198</v>
      </c>
      <c r="AR383" s="1" t="s">
        <v>200</v>
      </c>
      <c r="AS383" s="1" t="s">
        <v>199</v>
      </c>
      <c r="AT383" s="1">
        <v>3.0</v>
      </c>
      <c r="AV383" s="1" t="s">
        <v>200</v>
      </c>
      <c r="AW383" s="1">
        <v>9820.26</v>
      </c>
      <c r="AX383" s="1">
        <v>2013.0</v>
      </c>
      <c r="AY383" s="1" t="s">
        <v>387</v>
      </c>
      <c r="AZ383" s="1" t="s">
        <v>200</v>
      </c>
      <c r="BA383" s="1" t="str">
        <f>"0228356014"</f>
        <v>0228356014</v>
      </c>
      <c r="BC383" s="1">
        <v>3253.0</v>
      </c>
      <c r="BD383" s="1">
        <v>279000.0</v>
      </c>
      <c r="BE383" s="2">
        <v>41974.0</v>
      </c>
      <c r="BF383" s="2" t="s">
        <v>5453</v>
      </c>
      <c r="BH383" s="1">
        <v>62.0</v>
      </c>
      <c r="BK383" s="1" t="s">
        <v>474</v>
      </c>
      <c r="BL383" s="1" t="str">
        <f t="shared" ref="BL383:BM383" si="254">""</f>
        <v/>
      </c>
      <c r="BM383" s="1" t="str">
        <f t="shared" si="254"/>
        <v/>
      </c>
      <c r="BQ383" s="1">
        <v>300.0</v>
      </c>
      <c r="BR383" s="1">
        <v>300.0</v>
      </c>
      <c r="BS383" s="1">
        <v>300.0</v>
      </c>
      <c r="BU383" s="1" t="s">
        <v>480</v>
      </c>
      <c r="BV383" s="1" t="s">
        <v>206</v>
      </c>
      <c r="BW383" s="1" t="s">
        <v>210</v>
      </c>
      <c r="BX383" s="1" t="s">
        <v>239</v>
      </c>
      <c r="BY383" s="1" t="s">
        <v>639</v>
      </c>
      <c r="BZ383" s="1" t="s">
        <v>209</v>
      </c>
      <c r="CA383" s="1" t="s">
        <v>210</v>
      </c>
      <c r="CB383" s="1" t="s">
        <v>239</v>
      </c>
      <c r="CC383" s="1" t="s">
        <v>363</v>
      </c>
      <c r="CD383" s="1" t="s">
        <v>206</v>
      </c>
      <c r="CE383" s="1" t="s">
        <v>210</v>
      </c>
      <c r="CF383" s="1" t="s">
        <v>239</v>
      </c>
      <c r="CG383" s="1" t="s">
        <v>361</v>
      </c>
      <c r="CH383" s="1" t="s">
        <v>209</v>
      </c>
      <c r="CI383" s="1" t="s">
        <v>210</v>
      </c>
      <c r="CJ383" s="1" t="s">
        <v>239</v>
      </c>
      <c r="CK383" s="1" t="s">
        <v>454</v>
      </c>
      <c r="CL383" s="1" t="s">
        <v>209</v>
      </c>
      <c r="CM383" s="1" t="s">
        <v>210</v>
      </c>
      <c r="CN383" s="1" t="s">
        <v>239</v>
      </c>
      <c r="CO383" s="1" t="s">
        <v>363</v>
      </c>
      <c r="CP383" s="1" t="s">
        <v>206</v>
      </c>
      <c r="CQ383" s="1" t="s">
        <v>210</v>
      </c>
      <c r="CR383" s="1" t="s">
        <v>239</v>
      </c>
      <c r="CS383" s="1" t="s">
        <v>515</v>
      </c>
      <c r="CT383" s="1" t="s">
        <v>206</v>
      </c>
      <c r="CU383" s="1" t="s">
        <v>268</v>
      </c>
      <c r="CV383" s="1" t="s">
        <v>239</v>
      </c>
      <c r="CW383" s="1" t="s">
        <v>333</v>
      </c>
      <c r="CX383" s="1" t="s">
        <v>206</v>
      </c>
      <c r="CY383" s="1" t="s">
        <v>210</v>
      </c>
      <c r="CZ383" s="1" t="s">
        <v>239</v>
      </c>
      <c r="DA383" s="1" t="s">
        <v>200</v>
      </c>
      <c r="DC383" s="1" t="s">
        <v>481</v>
      </c>
      <c r="DD383" s="1" t="s">
        <v>1838</v>
      </c>
      <c r="DE383" s="1" t="s">
        <v>1810</v>
      </c>
      <c r="DF383" s="1" t="s">
        <v>546</v>
      </c>
      <c r="DG383" s="1" t="s">
        <v>5454</v>
      </c>
      <c r="DH383" s="1" t="s">
        <v>220</v>
      </c>
      <c r="DI383" s="1" t="s">
        <v>1141</v>
      </c>
      <c r="DJ383" s="1" t="s">
        <v>1048</v>
      </c>
      <c r="DK383" s="1" t="s">
        <v>198</v>
      </c>
      <c r="DL383" s="1" t="s">
        <v>484</v>
      </c>
      <c r="DM383" s="1" t="s">
        <v>338</v>
      </c>
      <c r="DN383" s="1" t="s">
        <v>485</v>
      </c>
      <c r="DP383" s="1" t="s">
        <v>340</v>
      </c>
      <c r="DQ383" s="1" t="s">
        <v>441</v>
      </c>
      <c r="DR383" s="1" t="s">
        <v>4273</v>
      </c>
      <c r="DS383" s="1" t="s">
        <v>368</v>
      </c>
      <c r="DU383" s="1" t="s">
        <v>3021</v>
      </c>
      <c r="DV383" s="1" t="s">
        <v>5455</v>
      </c>
      <c r="DW383" s="1" t="s">
        <v>444</v>
      </c>
      <c r="DX383" s="1" t="s">
        <v>234</v>
      </c>
      <c r="DY383" s="1" t="s">
        <v>5456</v>
      </c>
      <c r="DZ383" s="1" t="s">
        <v>1333</v>
      </c>
      <c r="EA383" s="1" t="s">
        <v>344</v>
      </c>
      <c r="EB383" s="1" t="s">
        <v>2915</v>
      </c>
      <c r="EC383" s="1" t="s">
        <v>237</v>
      </c>
      <c r="ED383" s="1" t="s">
        <v>407</v>
      </c>
      <c r="EE383" s="1" t="s">
        <v>493</v>
      </c>
      <c r="EG383" s="1" t="s">
        <v>449</v>
      </c>
      <c r="EH383" s="1" t="s">
        <v>341</v>
      </c>
      <c r="EI383" s="1" t="s">
        <v>408</v>
      </c>
      <c r="EL383" s="1" t="s">
        <v>331</v>
      </c>
      <c r="EM383" s="1" t="s">
        <v>206</v>
      </c>
      <c r="EN383" s="1" t="s">
        <v>268</v>
      </c>
      <c r="EP383" s="1" t="s">
        <v>454</v>
      </c>
      <c r="EQ383" s="1" t="s">
        <v>209</v>
      </c>
      <c r="ER383" s="1" t="s">
        <v>210</v>
      </c>
      <c r="ET383" s="1" t="s">
        <v>3596</v>
      </c>
      <c r="EU383" s="1" t="s">
        <v>206</v>
      </c>
      <c r="EV383" s="1" t="s">
        <v>268</v>
      </c>
      <c r="EY383" s="1" t="s">
        <v>238</v>
      </c>
      <c r="FC383" s="1" t="s">
        <v>238</v>
      </c>
      <c r="FF383" s="1" t="s">
        <v>239</v>
      </c>
      <c r="FG383" s="1" t="s">
        <v>192</v>
      </c>
      <c r="FH383" s="1" t="s">
        <v>192</v>
      </c>
      <c r="FJ383" s="1" t="s">
        <v>498</v>
      </c>
      <c r="FK383" s="1" t="s">
        <v>229</v>
      </c>
      <c r="FL383" s="1" t="s">
        <v>2184</v>
      </c>
      <c r="FM383" s="1">
        <v>605.0</v>
      </c>
      <c r="FN383" s="1" t="s">
        <v>2185</v>
      </c>
      <c r="FO383" s="1" t="s">
        <v>2186</v>
      </c>
      <c r="FP383" s="1">
        <v>40.0</v>
      </c>
      <c r="FQ383" s="1" t="s">
        <v>2187</v>
      </c>
      <c r="FR383" s="1">
        <v>1509.0</v>
      </c>
      <c r="FS383" s="1" t="s">
        <v>2188</v>
      </c>
      <c r="FU383" s="1" t="s">
        <v>5457</v>
      </c>
      <c r="FV383" s="1" t="s">
        <v>200</v>
      </c>
      <c r="FW383" s="1" t="s">
        <v>290</v>
      </c>
      <c r="FZ383" s="1" t="s">
        <v>229</v>
      </c>
      <c r="GA383" s="1" t="s">
        <v>291</v>
      </c>
      <c r="GB383" s="2">
        <v>42108.0</v>
      </c>
      <c r="GC383" s="1" t="s">
        <v>5458</v>
      </c>
    </row>
    <row r="384">
      <c r="A384" s="1">
        <v>1365000.0</v>
      </c>
      <c r="B384" s="1" t="s">
        <v>185</v>
      </c>
      <c r="C384" s="1" t="str">
        <f>"08790522"</f>
        <v>08790522</v>
      </c>
      <c r="D384" s="1" t="s">
        <v>186</v>
      </c>
      <c r="F384" s="1" t="str">
        <f>"8007"</f>
        <v>8007</v>
      </c>
      <c r="G384" s="2">
        <v>41964.0</v>
      </c>
      <c r="H384" s="1">
        <v>1399000.0</v>
      </c>
      <c r="I384" s="1">
        <v>106.0</v>
      </c>
      <c r="J384" s="1">
        <v>1399000.0</v>
      </c>
      <c r="K384" s="2">
        <v>42012.0</v>
      </c>
      <c r="L384" s="1">
        <v>49.0</v>
      </c>
      <c r="M384" s="2">
        <v>42012.0</v>
      </c>
      <c r="N384" s="1" t="s">
        <v>249</v>
      </c>
      <c r="O384" s="2">
        <v>42027.0</v>
      </c>
      <c r="P384" s="1">
        <v>109931.0</v>
      </c>
      <c r="Q384" s="1">
        <v>11000.0</v>
      </c>
      <c r="S384" s="1">
        <v>313.0</v>
      </c>
      <c r="T384" s="1" t="s">
        <v>5459</v>
      </c>
      <c r="U384" s="1" t="s">
        <v>694</v>
      </c>
      <c r="V384" s="1" t="s">
        <v>190</v>
      </c>
      <c r="W384" s="1">
        <v>60614.0</v>
      </c>
      <c r="Y384" s="1" t="s">
        <v>5460</v>
      </c>
      <c r="Z384" s="1" t="s">
        <v>296</v>
      </c>
      <c r="AA384" s="1" t="s">
        <v>192</v>
      </c>
      <c r="AB384" s="1" t="s">
        <v>193</v>
      </c>
      <c r="AD384" s="1" t="s">
        <v>194</v>
      </c>
      <c r="AE384" s="1" t="s">
        <v>195</v>
      </c>
      <c r="AF384" s="1" t="s">
        <v>2645</v>
      </c>
      <c r="AG384" s="1" t="s">
        <v>5461</v>
      </c>
      <c r="AH384" s="1" t="s">
        <v>5462</v>
      </c>
      <c r="AK384" s="1">
        <v>9.0</v>
      </c>
      <c r="AL384" s="1">
        <v>3.0</v>
      </c>
      <c r="AM384" s="1">
        <v>3.0</v>
      </c>
      <c r="AN384" s="1">
        <v>1.0</v>
      </c>
      <c r="AO384" s="1" t="s">
        <v>198</v>
      </c>
      <c r="AQ384" s="1" t="s">
        <v>198</v>
      </c>
      <c r="AR384" s="1" t="s">
        <v>192</v>
      </c>
      <c r="AS384" s="1" t="s">
        <v>199</v>
      </c>
      <c r="AT384" s="1">
        <v>2.0</v>
      </c>
      <c r="AV384" s="1" t="s">
        <v>200</v>
      </c>
      <c r="AW384" s="1">
        <v>8226.0</v>
      </c>
      <c r="AX384" s="1">
        <v>2013.0</v>
      </c>
      <c r="AY384" s="1" t="s">
        <v>387</v>
      </c>
      <c r="AZ384" s="1" t="s">
        <v>200</v>
      </c>
      <c r="BA384" s="1" t="str">
        <f>"14334210180000"</f>
        <v>14334210180000</v>
      </c>
      <c r="BB384" s="1" t="s">
        <v>200</v>
      </c>
      <c r="BC384" s="1">
        <v>3213.0</v>
      </c>
      <c r="BD384" s="1">
        <v>1365000.0</v>
      </c>
      <c r="BE384" s="2">
        <v>41964.0</v>
      </c>
      <c r="BF384" s="2" t="s">
        <v>5463</v>
      </c>
      <c r="BG384" s="1" t="s">
        <v>2142</v>
      </c>
      <c r="BH384" s="1">
        <v>0.0</v>
      </c>
      <c r="BI384" s="1" t="s">
        <v>2142</v>
      </c>
      <c r="BJ384" s="1" t="s">
        <v>5464</v>
      </c>
      <c r="BK384" s="1" t="s">
        <v>204</v>
      </c>
      <c r="BL384" s="1" t="str">
        <f>"1650"</f>
        <v>1650</v>
      </c>
      <c r="BM384" s="1" t="str">
        <f>"0"</f>
        <v>0</v>
      </c>
      <c r="BN384" s="1">
        <v>313.0</v>
      </c>
      <c r="BO384" s="1">
        <v>0.0</v>
      </c>
      <c r="BQ384" s="1">
        <v>299.0</v>
      </c>
      <c r="BR384" s="1">
        <v>299.0</v>
      </c>
      <c r="BS384" s="1">
        <v>299.0</v>
      </c>
      <c r="BU384" s="1" t="s">
        <v>454</v>
      </c>
      <c r="BV384" s="1" t="s">
        <v>206</v>
      </c>
      <c r="BW384" s="1" t="s">
        <v>207</v>
      </c>
      <c r="BY384" s="1" t="s">
        <v>758</v>
      </c>
      <c r="BZ384" s="1" t="s">
        <v>209</v>
      </c>
      <c r="CA384" s="1" t="s">
        <v>207</v>
      </c>
      <c r="CC384" s="1" t="s">
        <v>332</v>
      </c>
      <c r="CD384" s="1" t="s">
        <v>206</v>
      </c>
      <c r="CE384" s="1" t="s">
        <v>207</v>
      </c>
      <c r="CG384" s="1" t="s">
        <v>212</v>
      </c>
      <c r="CH384" s="1" t="s">
        <v>209</v>
      </c>
      <c r="CI384" s="1" t="s">
        <v>207</v>
      </c>
      <c r="CK384" s="1" t="s">
        <v>212</v>
      </c>
      <c r="CL384" s="1" t="s">
        <v>209</v>
      </c>
      <c r="CM384" s="1" t="s">
        <v>207</v>
      </c>
      <c r="CO384" s="1" t="s">
        <v>495</v>
      </c>
      <c r="CP384" s="1" t="s">
        <v>42</v>
      </c>
      <c r="CQ384" s="1" t="s">
        <v>210</v>
      </c>
      <c r="CS384" s="1" t="s">
        <v>390</v>
      </c>
      <c r="CT384" s="1" t="s">
        <v>206</v>
      </c>
      <c r="CU384" s="1" t="s">
        <v>207</v>
      </c>
      <c r="CW384" s="1" t="s">
        <v>639</v>
      </c>
      <c r="CX384" s="1" t="s">
        <v>206</v>
      </c>
      <c r="CY384" s="1" t="s">
        <v>207</v>
      </c>
      <c r="DA384" s="1" t="s">
        <v>200</v>
      </c>
      <c r="DC384" s="1" t="s">
        <v>642</v>
      </c>
      <c r="DD384" s="1" t="s">
        <v>217</v>
      </c>
      <c r="DE384" s="1" t="s">
        <v>1810</v>
      </c>
      <c r="DF384" s="1" t="s">
        <v>546</v>
      </c>
      <c r="DG384" s="1" t="s">
        <v>5465</v>
      </c>
      <c r="DH384" s="1" t="s">
        <v>220</v>
      </c>
      <c r="DI384" s="1" t="s">
        <v>3659</v>
      </c>
      <c r="DJ384" s="1" t="s">
        <v>222</v>
      </c>
      <c r="DK384" s="1" t="s">
        <v>223</v>
      </c>
      <c r="DL384" s="1" t="s">
        <v>224</v>
      </c>
      <c r="DM384" s="1" t="s">
        <v>5466</v>
      </c>
      <c r="DN384" s="1" t="s">
        <v>5467</v>
      </c>
      <c r="DO384" s="1" t="s">
        <v>717</v>
      </c>
      <c r="DP384" s="1" t="s">
        <v>340</v>
      </c>
      <c r="DQ384" s="1" t="s">
        <v>228</v>
      </c>
      <c r="DR384" s="1" t="s">
        <v>229</v>
      </c>
      <c r="DS384" s="1" t="s">
        <v>368</v>
      </c>
      <c r="DU384" s="1" t="s">
        <v>5468</v>
      </c>
      <c r="DV384" s="1" t="s">
        <v>5469</v>
      </c>
      <c r="DW384" s="1" t="s">
        <v>667</v>
      </c>
      <c r="DX384" s="1" t="s">
        <v>309</v>
      </c>
      <c r="DY384" s="1" t="s">
        <v>5470</v>
      </c>
      <c r="DZ384" s="1" t="s">
        <v>5471</v>
      </c>
      <c r="EA384" s="1" t="s">
        <v>344</v>
      </c>
      <c r="EC384" s="1" t="s">
        <v>237</v>
      </c>
      <c r="ED384" s="1" t="s">
        <v>1794</v>
      </c>
      <c r="EE384" s="1" t="s">
        <v>187</v>
      </c>
      <c r="EG384" s="1" t="s">
        <v>450</v>
      </c>
      <c r="EH384" s="1" t="s">
        <v>2971</v>
      </c>
      <c r="EL384" s="1" t="s">
        <v>333</v>
      </c>
      <c r="EM384" s="1" t="s">
        <v>42</v>
      </c>
      <c r="EN384" s="1" t="s">
        <v>210</v>
      </c>
      <c r="EP384" s="1" t="s">
        <v>584</v>
      </c>
      <c r="EQ384" s="1" t="s">
        <v>42</v>
      </c>
      <c r="ER384" s="1" t="s">
        <v>210</v>
      </c>
      <c r="EU384" s="1" t="s">
        <v>238</v>
      </c>
      <c r="EY384" s="1" t="s">
        <v>238</v>
      </c>
      <c r="FC384" s="1" t="s">
        <v>238</v>
      </c>
      <c r="FF384" s="1" t="s">
        <v>239</v>
      </c>
      <c r="FG384" s="1" t="s">
        <v>192</v>
      </c>
      <c r="FH384" s="1" t="s">
        <v>192</v>
      </c>
      <c r="FJ384" s="1" t="s">
        <v>524</v>
      </c>
      <c r="FK384" s="1" t="s">
        <v>557</v>
      </c>
      <c r="FL384" s="1" t="s">
        <v>771</v>
      </c>
      <c r="FM384" s="1">
        <v>16636.0</v>
      </c>
      <c r="FN384" s="1" t="s">
        <v>526</v>
      </c>
      <c r="FO384" s="1" t="s">
        <v>5472</v>
      </c>
      <c r="FP384" s="1">
        <v>106356.0</v>
      </c>
      <c r="FQ384" s="1" t="s">
        <v>5473</v>
      </c>
      <c r="FS384" s="1" t="s">
        <v>5474</v>
      </c>
      <c r="FU384" s="1" t="s">
        <v>5475</v>
      </c>
      <c r="FV384" s="1" t="s">
        <v>192</v>
      </c>
      <c r="FW384" s="1" t="s">
        <v>530</v>
      </c>
      <c r="FX384" s="1" t="s">
        <v>246</v>
      </c>
      <c r="FZ384" s="1" t="s">
        <v>229</v>
      </c>
      <c r="GA384" s="1" t="s">
        <v>247</v>
      </c>
      <c r="GB384" s="2">
        <v>42030.0</v>
      </c>
      <c r="GC384" s="1" t="s">
        <v>5476</v>
      </c>
    </row>
    <row r="385">
      <c r="A385" s="1">
        <v>201000.0</v>
      </c>
      <c r="B385" s="1" t="s">
        <v>185</v>
      </c>
      <c r="C385" s="1" t="str">
        <f>"08789458"</f>
        <v>08789458</v>
      </c>
      <c r="D385" s="1" t="s">
        <v>186</v>
      </c>
      <c r="F385" s="1" t="str">
        <f>"8069"</f>
        <v>8069</v>
      </c>
      <c r="G385" s="2">
        <v>41962.0</v>
      </c>
      <c r="H385" s="1">
        <v>199900.0</v>
      </c>
      <c r="I385" s="1">
        <v>90.0</v>
      </c>
      <c r="J385" s="1">
        <v>198000.0</v>
      </c>
      <c r="K385" s="2">
        <v>42036.0</v>
      </c>
      <c r="L385" s="1">
        <v>75.0</v>
      </c>
      <c r="M385" s="2">
        <v>42036.0</v>
      </c>
      <c r="N385" s="1" t="s">
        <v>356</v>
      </c>
      <c r="O385" s="2">
        <v>42062.0</v>
      </c>
      <c r="P385" s="1">
        <v>237317.0</v>
      </c>
      <c r="Q385" s="1">
        <v>51100.0</v>
      </c>
      <c r="S385" s="1">
        <v>7625.0</v>
      </c>
      <c r="T385" s="1" t="s">
        <v>5477</v>
      </c>
      <c r="U385" s="1" t="s">
        <v>189</v>
      </c>
      <c r="V385" s="1" t="s">
        <v>190</v>
      </c>
      <c r="W385" s="1">
        <v>60619.0</v>
      </c>
      <c r="Y385" s="1" t="s">
        <v>5478</v>
      </c>
      <c r="Z385" s="1">
        <v>1920.0</v>
      </c>
      <c r="AA385" s="1" t="s">
        <v>192</v>
      </c>
      <c r="AB385" s="1" t="s">
        <v>193</v>
      </c>
      <c r="AD385" s="1" t="s">
        <v>194</v>
      </c>
      <c r="AE385" s="1" t="s">
        <v>195</v>
      </c>
      <c r="AF385" s="1" t="s">
        <v>637</v>
      </c>
      <c r="AH385" s="1" t="s">
        <v>5479</v>
      </c>
      <c r="AI385" s="1">
        <v>0.1109</v>
      </c>
      <c r="AK385" s="1">
        <v>8.0</v>
      </c>
      <c r="AL385" s="1">
        <v>3.0</v>
      </c>
      <c r="AM385" s="1">
        <v>3.0</v>
      </c>
      <c r="AN385" s="1">
        <v>0.0</v>
      </c>
      <c r="AO385" s="1" t="s">
        <v>198</v>
      </c>
      <c r="AQ385" s="1" t="s">
        <v>198</v>
      </c>
      <c r="AR385" s="1" t="s">
        <v>192</v>
      </c>
      <c r="AS385" s="1" t="s">
        <v>199</v>
      </c>
      <c r="AT385" s="1">
        <v>2.0</v>
      </c>
      <c r="AV385" s="1" t="s">
        <v>200</v>
      </c>
      <c r="AW385" s="4">
        <v>1710.29</v>
      </c>
      <c r="AX385" s="1">
        <v>2012.0</v>
      </c>
      <c r="AZ385" s="1" t="s">
        <v>200</v>
      </c>
      <c r="BA385" s="1" t="str">
        <f>"20273090090000"</f>
        <v>20273090090000</v>
      </c>
      <c r="BC385" s="1">
        <v>2500.0</v>
      </c>
      <c r="BD385" s="1">
        <v>201000.0</v>
      </c>
      <c r="BE385" s="2">
        <v>41962.0</v>
      </c>
      <c r="BF385" s="2" t="s">
        <v>5480</v>
      </c>
      <c r="BH385" s="1">
        <v>0.0</v>
      </c>
      <c r="BK385" s="1" t="s">
        <v>204</v>
      </c>
      <c r="BL385" s="1" t="str">
        <f>"0"</f>
        <v>0</v>
      </c>
      <c r="BM385" s="1" t="str">
        <f>"200"</f>
        <v>200</v>
      </c>
      <c r="BN385" s="1">
        <v>0.0</v>
      </c>
      <c r="BO385" s="1">
        <v>7625.0</v>
      </c>
      <c r="BQ385" s="1">
        <v>299.0</v>
      </c>
      <c r="BR385" s="1">
        <v>299.0</v>
      </c>
      <c r="BS385" s="1">
        <v>299.0</v>
      </c>
      <c r="BU385" s="1" t="s">
        <v>3888</v>
      </c>
      <c r="BV385" s="1" t="s">
        <v>206</v>
      </c>
      <c r="BW385" s="1" t="s">
        <v>207</v>
      </c>
      <c r="BY385" s="1" t="s">
        <v>4817</v>
      </c>
      <c r="BZ385" s="1" t="s">
        <v>209</v>
      </c>
      <c r="CA385" s="1" t="s">
        <v>210</v>
      </c>
      <c r="CC385" s="1" t="s">
        <v>212</v>
      </c>
      <c r="CD385" s="1" t="s">
        <v>206</v>
      </c>
      <c r="CE385" s="1" t="s">
        <v>207</v>
      </c>
      <c r="CG385" s="1" t="s">
        <v>3594</v>
      </c>
      <c r="CH385" s="1" t="s">
        <v>206</v>
      </c>
      <c r="CI385" s="1" t="s">
        <v>207</v>
      </c>
      <c r="CK385" s="1" t="s">
        <v>5334</v>
      </c>
      <c r="CL385" s="1" t="s">
        <v>206</v>
      </c>
      <c r="CM385" s="1" t="s">
        <v>207</v>
      </c>
      <c r="CO385" s="1" t="s">
        <v>1672</v>
      </c>
      <c r="CP385" s="1" t="s">
        <v>42</v>
      </c>
      <c r="CQ385" s="1" t="s">
        <v>268</v>
      </c>
      <c r="CS385" s="1" t="s">
        <v>1352</v>
      </c>
      <c r="CT385" s="1" t="s">
        <v>206</v>
      </c>
      <c r="CU385" s="1" t="s">
        <v>207</v>
      </c>
      <c r="CW385" s="1" t="s">
        <v>2274</v>
      </c>
      <c r="CX385" s="1" t="s">
        <v>42</v>
      </c>
      <c r="CY385" s="1" t="s">
        <v>268</v>
      </c>
      <c r="DA385" s="1" t="s">
        <v>200</v>
      </c>
      <c r="DC385" s="1" t="s">
        <v>216</v>
      </c>
      <c r="DE385" s="1" t="s">
        <v>273</v>
      </c>
      <c r="DF385" s="1" t="s">
        <v>219</v>
      </c>
      <c r="DH385" s="1" t="s">
        <v>220</v>
      </c>
      <c r="DI385" s="1" t="s">
        <v>308</v>
      </c>
      <c r="DJ385" s="1" t="s">
        <v>222</v>
      </c>
      <c r="DL385" s="1" t="s">
        <v>224</v>
      </c>
      <c r="DM385" s="1" t="s">
        <v>229</v>
      </c>
      <c r="DN385" s="1" t="s">
        <v>666</v>
      </c>
      <c r="DQ385" s="1" t="s">
        <v>228</v>
      </c>
      <c r="DR385" s="1" t="s">
        <v>229</v>
      </c>
      <c r="DV385" s="1" t="s">
        <v>232</v>
      </c>
      <c r="DW385" s="1" t="s">
        <v>279</v>
      </c>
      <c r="DX385" s="1" t="s">
        <v>234</v>
      </c>
      <c r="EC385" s="1" t="s">
        <v>237</v>
      </c>
      <c r="EM385" s="1" t="s">
        <v>238</v>
      </c>
      <c r="EQ385" s="1" t="s">
        <v>238</v>
      </c>
      <c r="EU385" s="1" t="s">
        <v>238</v>
      </c>
      <c r="EY385" s="1" t="s">
        <v>238</v>
      </c>
      <c r="FC385" s="1" t="s">
        <v>238</v>
      </c>
      <c r="FF385" s="1" t="s">
        <v>239</v>
      </c>
      <c r="FG385" s="1" t="s">
        <v>192</v>
      </c>
      <c r="FH385" s="1" t="s">
        <v>192</v>
      </c>
      <c r="FJ385" s="1" t="s">
        <v>2285</v>
      </c>
      <c r="FK385" s="1" t="s">
        <v>557</v>
      </c>
      <c r="FL385" s="1" t="s">
        <v>734</v>
      </c>
      <c r="FM385" s="1">
        <v>10646.0</v>
      </c>
      <c r="FN385" s="1" t="s">
        <v>735</v>
      </c>
      <c r="FO385" s="1" t="s">
        <v>2738</v>
      </c>
      <c r="FP385" s="1">
        <v>105083.0</v>
      </c>
      <c r="FQ385" s="1" t="s">
        <v>2739</v>
      </c>
      <c r="FU385" s="1" t="s">
        <v>5481</v>
      </c>
      <c r="FV385" s="1" t="s">
        <v>200</v>
      </c>
      <c r="FW385" s="1" t="s">
        <v>1411</v>
      </c>
      <c r="FX385" s="1" t="s">
        <v>655</v>
      </c>
      <c r="FZ385" s="1" t="s">
        <v>229</v>
      </c>
      <c r="GA385" s="1" t="s">
        <v>291</v>
      </c>
      <c r="GB385" s="2">
        <v>42062.0</v>
      </c>
      <c r="GC385" s="1" t="s">
        <v>5482</v>
      </c>
    </row>
    <row r="386">
      <c r="A386" s="1">
        <v>270000.0</v>
      </c>
      <c r="B386" s="1" t="s">
        <v>185</v>
      </c>
      <c r="C386" s="1" t="str">
        <f>"08790502"</f>
        <v>08790502</v>
      </c>
      <c r="D386" s="1" t="s">
        <v>186</v>
      </c>
      <c r="F386" s="1" t="str">
        <f>"8076"</f>
        <v>8076</v>
      </c>
      <c r="G386" s="2">
        <v>41964.0</v>
      </c>
      <c r="H386" s="1">
        <v>319900.0</v>
      </c>
      <c r="I386" s="1">
        <v>68.0</v>
      </c>
      <c r="J386" s="1">
        <v>299000.0</v>
      </c>
      <c r="K386" s="2">
        <v>42030.0</v>
      </c>
      <c r="L386" s="1">
        <v>68.0</v>
      </c>
      <c r="M386" s="2">
        <v>42030.0</v>
      </c>
      <c r="N386" s="1" t="s">
        <v>187</v>
      </c>
      <c r="O386" s="2">
        <v>42076.0</v>
      </c>
      <c r="P386" s="1">
        <v>159151.0</v>
      </c>
      <c r="Q386" s="1">
        <v>17920.0</v>
      </c>
      <c r="S386" s="1">
        <v>5153.0</v>
      </c>
      <c r="T386" s="1" t="s">
        <v>5483</v>
      </c>
      <c r="U386" s="1" t="s">
        <v>189</v>
      </c>
      <c r="V386" s="1" t="s">
        <v>190</v>
      </c>
      <c r="W386" s="1">
        <v>60656.0</v>
      </c>
      <c r="Y386" s="1" t="s">
        <v>5484</v>
      </c>
      <c r="Z386" s="1">
        <v>1960.0</v>
      </c>
      <c r="AA386" s="1" t="s">
        <v>192</v>
      </c>
      <c r="AB386" s="1" t="s">
        <v>193</v>
      </c>
      <c r="AD386" s="1" t="s">
        <v>194</v>
      </c>
      <c r="AE386" s="1" t="s">
        <v>195</v>
      </c>
      <c r="AF386" s="1" t="s">
        <v>196</v>
      </c>
      <c r="AH386" s="1">
        <v>5000.0</v>
      </c>
      <c r="AI386" s="1">
        <v>0.1148</v>
      </c>
      <c r="AK386" s="1">
        <v>7.0</v>
      </c>
      <c r="AL386" s="1">
        <v>4.0</v>
      </c>
      <c r="AM386" s="1">
        <v>1.0</v>
      </c>
      <c r="AN386" s="1">
        <v>1.0</v>
      </c>
      <c r="AO386" s="1" t="s">
        <v>229</v>
      </c>
      <c r="AQ386" s="1" t="s">
        <v>198</v>
      </c>
      <c r="AR386" s="1" t="s">
        <v>200</v>
      </c>
      <c r="AS386" s="1" t="s">
        <v>199</v>
      </c>
      <c r="AT386" s="1">
        <v>1.0</v>
      </c>
      <c r="AV386" s="1" t="s">
        <v>200</v>
      </c>
      <c r="AW386" s="1">
        <v>3974.45</v>
      </c>
      <c r="AX386" s="1">
        <v>2013.0</v>
      </c>
      <c r="AZ386" s="1" t="s">
        <v>200</v>
      </c>
      <c r="BA386" s="1" t="str">
        <f>"12113010190000"</f>
        <v>12113010190000</v>
      </c>
      <c r="BC386" s="1">
        <v>1250.0</v>
      </c>
      <c r="BD386" s="1">
        <v>270000.0</v>
      </c>
      <c r="BE386" s="2">
        <v>41963.0</v>
      </c>
      <c r="BF386" s="2" t="s">
        <v>5485</v>
      </c>
      <c r="BH386" s="1">
        <v>0.0</v>
      </c>
      <c r="BK386" s="1" t="s">
        <v>204</v>
      </c>
      <c r="BL386" s="1" t="str">
        <f>"5153"</f>
        <v>5153</v>
      </c>
      <c r="BM386" s="1" t="str">
        <f>"0"</f>
        <v>0</v>
      </c>
      <c r="BN386" s="1">
        <v>8500.0</v>
      </c>
      <c r="BO386" s="1">
        <v>0.0</v>
      </c>
      <c r="BQ386" s="1">
        <v>299.0</v>
      </c>
      <c r="BR386" s="1">
        <v>299.0</v>
      </c>
      <c r="BS386" s="1">
        <v>299.0</v>
      </c>
      <c r="BU386" s="1" t="s">
        <v>2800</v>
      </c>
      <c r="BV386" s="1" t="s">
        <v>206</v>
      </c>
      <c r="BY386" s="1" t="s">
        <v>1483</v>
      </c>
      <c r="BZ386" s="1" t="s">
        <v>206</v>
      </c>
      <c r="CC386" s="1" t="s">
        <v>1483</v>
      </c>
      <c r="CD386" s="1" t="s">
        <v>206</v>
      </c>
      <c r="CG386" s="1" t="s">
        <v>393</v>
      </c>
      <c r="CH386" s="1" t="s">
        <v>206</v>
      </c>
      <c r="CK386" s="1" t="s">
        <v>363</v>
      </c>
      <c r="CL386" s="1" t="s">
        <v>206</v>
      </c>
      <c r="CO386" s="1" t="s">
        <v>269</v>
      </c>
      <c r="CP386" s="1" t="s">
        <v>206</v>
      </c>
      <c r="CS386" s="1" t="s">
        <v>393</v>
      </c>
      <c r="CT386" s="1" t="s">
        <v>206</v>
      </c>
      <c r="CX386" s="1" t="s">
        <v>204</v>
      </c>
      <c r="DA386" s="1" t="s">
        <v>200</v>
      </c>
      <c r="DC386" s="1" t="s">
        <v>271</v>
      </c>
      <c r="DE386" s="1" t="s">
        <v>273</v>
      </c>
      <c r="DF386" s="1" t="s">
        <v>905</v>
      </c>
      <c r="DH386" s="1" t="s">
        <v>307</v>
      </c>
      <c r="DJ386" s="1" t="s">
        <v>222</v>
      </c>
      <c r="DL386" s="1" t="s">
        <v>224</v>
      </c>
      <c r="DM386" s="1" t="s">
        <v>229</v>
      </c>
      <c r="DQ386" s="1" t="s">
        <v>228</v>
      </c>
      <c r="DR386" s="1" t="s">
        <v>229</v>
      </c>
      <c r="DV386" s="1" t="s">
        <v>232</v>
      </c>
      <c r="DW386" s="1" t="s">
        <v>279</v>
      </c>
      <c r="DX386" s="1" t="s">
        <v>234</v>
      </c>
      <c r="EC386" s="1" t="s">
        <v>685</v>
      </c>
      <c r="EM386" s="1" t="s">
        <v>238</v>
      </c>
      <c r="EQ386" s="1" t="s">
        <v>238</v>
      </c>
      <c r="EU386" s="1" t="s">
        <v>238</v>
      </c>
      <c r="EY386" s="1" t="s">
        <v>238</v>
      </c>
      <c r="FC386" s="1" t="s">
        <v>238</v>
      </c>
      <c r="FF386" s="1" t="s">
        <v>239</v>
      </c>
      <c r="FG386" s="1" t="s">
        <v>192</v>
      </c>
      <c r="FH386" s="1" t="s">
        <v>192</v>
      </c>
      <c r="FJ386" s="1" t="s">
        <v>5486</v>
      </c>
      <c r="FK386" s="1" t="s">
        <v>229</v>
      </c>
      <c r="FL386" s="1" t="s">
        <v>4540</v>
      </c>
      <c r="FM386" s="1">
        <v>18239.0</v>
      </c>
      <c r="FN386" s="1" t="s">
        <v>4541</v>
      </c>
      <c r="FO386" s="1" t="s">
        <v>4542</v>
      </c>
      <c r="FP386" s="1">
        <v>166718.0</v>
      </c>
      <c r="FU386" s="1" t="s">
        <v>1541</v>
      </c>
      <c r="FV386" s="1" t="s">
        <v>200</v>
      </c>
      <c r="FW386" s="1" t="s">
        <v>290</v>
      </c>
      <c r="FX386" s="1" t="s">
        <v>238</v>
      </c>
      <c r="FZ386" s="1" t="s">
        <v>229</v>
      </c>
      <c r="GA386" s="1" t="s">
        <v>291</v>
      </c>
      <c r="GB386" s="2">
        <v>42079.0</v>
      </c>
      <c r="GC386" s="1" t="s">
        <v>5487</v>
      </c>
    </row>
    <row r="387">
      <c r="A387" s="1">
        <v>200000.0</v>
      </c>
      <c r="B387" s="1" t="s">
        <v>185</v>
      </c>
      <c r="C387" s="1" t="str">
        <f>"08795687"</f>
        <v>08795687</v>
      </c>
      <c r="D387" s="1" t="s">
        <v>186</v>
      </c>
      <c r="F387" s="1" t="str">
        <f>"8058"</f>
        <v>8058</v>
      </c>
      <c r="G387" s="2">
        <v>41975.0</v>
      </c>
      <c r="H387" s="1">
        <v>215000.0</v>
      </c>
      <c r="I387" s="1">
        <v>80.0</v>
      </c>
      <c r="J387" s="1">
        <v>215000.0</v>
      </c>
      <c r="K387" s="2">
        <v>42054.0</v>
      </c>
      <c r="L387" s="1">
        <v>80.0</v>
      </c>
      <c r="M387" s="2">
        <v>42054.0</v>
      </c>
      <c r="N387" s="1" t="s">
        <v>187</v>
      </c>
      <c r="O387" s="2">
        <v>42102.0</v>
      </c>
      <c r="P387" s="1">
        <v>874277.0</v>
      </c>
      <c r="Q387" s="1">
        <v>12244.0</v>
      </c>
      <c r="R387" s="1">
        <v>3750.0</v>
      </c>
      <c r="S387" s="1">
        <v>3616.0</v>
      </c>
      <c r="T387" s="1" t="s">
        <v>1422</v>
      </c>
      <c r="U387" s="1" t="s">
        <v>189</v>
      </c>
      <c r="V387" s="1" t="s">
        <v>190</v>
      </c>
      <c r="W387" s="1">
        <v>60632.0</v>
      </c>
      <c r="Y387" s="1" t="s">
        <v>5488</v>
      </c>
      <c r="Z387" s="1" t="s">
        <v>296</v>
      </c>
      <c r="AA387" s="1" t="s">
        <v>192</v>
      </c>
      <c r="AB387" s="1" t="s">
        <v>193</v>
      </c>
      <c r="AD387" s="1" t="s">
        <v>194</v>
      </c>
      <c r="AE387" s="1" t="s">
        <v>195</v>
      </c>
      <c r="AF387" s="1" t="s">
        <v>1154</v>
      </c>
      <c r="AH387" s="1" t="s">
        <v>2080</v>
      </c>
      <c r="AI387" s="1">
        <v>0.0712</v>
      </c>
      <c r="AK387" s="1">
        <v>9.0</v>
      </c>
      <c r="AL387" s="1">
        <v>3.0</v>
      </c>
      <c r="AM387" s="1">
        <v>2.0</v>
      </c>
      <c r="AN387" s="1">
        <v>0.0</v>
      </c>
      <c r="AO387" s="1" t="s">
        <v>229</v>
      </c>
      <c r="AQ387" s="1" t="s">
        <v>198</v>
      </c>
      <c r="AR387" s="1" t="s">
        <v>192</v>
      </c>
      <c r="AS387" s="1" t="s">
        <v>199</v>
      </c>
      <c r="AT387" s="1">
        <v>2.0</v>
      </c>
      <c r="AV387" s="1" t="s">
        <v>200</v>
      </c>
      <c r="AW387" s="1">
        <v>3052.23</v>
      </c>
      <c r="AX387" s="1">
        <v>2012.0</v>
      </c>
      <c r="AY387" s="1" t="s">
        <v>229</v>
      </c>
      <c r="AZ387" s="1" t="s">
        <v>200</v>
      </c>
      <c r="BA387" s="1" t="str">
        <f>"16364120310000"</f>
        <v>16364120310000</v>
      </c>
      <c r="BB387" s="1" t="s">
        <v>192</v>
      </c>
      <c r="BC387" s="1">
        <v>2032.0</v>
      </c>
      <c r="BD387" s="1">
        <v>200000.0</v>
      </c>
      <c r="BE387" s="2">
        <v>41975.0</v>
      </c>
      <c r="BF387" s="2" t="s">
        <v>5489</v>
      </c>
      <c r="BH387" s="1">
        <v>0.0</v>
      </c>
      <c r="BK387" s="1" t="s">
        <v>204</v>
      </c>
      <c r="BL387" s="1" t="str">
        <f t="shared" ref="BL387:BM387" si="255">"0"</f>
        <v>0</v>
      </c>
      <c r="BM387" s="1" t="str">
        <f t="shared" si="255"/>
        <v>0</v>
      </c>
      <c r="BN387" s="1">
        <v>2650.0</v>
      </c>
      <c r="BO387" s="1">
        <v>3600.0</v>
      </c>
      <c r="BQ387" s="1">
        <v>299.0</v>
      </c>
      <c r="BR387" s="1">
        <v>299.0</v>
      </c>
      <c r="BS387" s="1">
        <v>299.0</v>
      </c>
      <c r="BU387" s="1" t="s">
        <v>1190</v>
      </c>
      <c r="BV387" s="1" t="s">
        <v>206</v>
      </c>
      <c r="BW387" s="1" t="s">
        <v>207</v>
      </c>
      <c r="BY387" s="1" t="s">
        <v>478</v>
      </c>
      <c r="BZ387" s="1" t="s">
        <v>206</v>
      </c>
      <c r="CA387" s="1" t="s">
        <v>210</v>
      </c>
      <c r="CC387" s="1" t="s">
        <v>1183</v>
      </c>
      <c r="CD387" s="1" t="s">
        <v>206</v>
      </c>
      <c r="CE387" s="1" t="s">
        <v>207</v>
      </c>
      <c r="CG387" s="1" t="s">
        <v>495</v>
      </c>
      <c r="CH387" s="1" t="s">
        <v>206</v>
      </c>
      <c r="CI387" s="1" t="s">
        <v>301</v>
      </c>
      <c r="CK387" s="1" t="s">
        <v>300</v>
      </c>
      <c r="CL387" s="1" t="s">
        <v>42</v>
      </c>
      <c r="CM387" s="1" t="s">
        <v>210</v>
      </c>
      <c r="CO387" s="1" t="s">
        <v>5490</v>
      </c>
      <c r="CP387" s="1" t="s">
        <v>114</v>
      </c>
      <c r="CQ387" s="1" t="s">
        <v>210</v>
      </c>
      <c r="CS387" s="1" t="s">
        <v>1068</v>
      </c>
      <c r="CT387" s="1" t="s">
        <v>206</v>
      </c>
      <c r="CU387" s="1" t="s">
        <v>268</v>
      </c>
      <c r="CW387" s="1" t="s">
        <v>2181</v>
      </c>
      <c r="CX387" s="1" t="s">
        <v>42</v>
      </c>
      <c r="CY387" s="1" t="s">
        <v>617</v>
      </c>
      <c r="DA387" s="1" t="s">
        <v>200</v>
      </c>
      <c r="DC387" s="1" t="s">
        <v>545</v>
      </c>
      <c r="DE387" s="1" t="s">
        <v>273</v>
      </c>
      <c r="DF387" s="1" t="s">
        <v>905</v>
      </c>
      <c r="DH387" s="1" t="s">
        <v>365</v>
      </c>
      <c r="DJ387" s="1" t="s">
        <v>222</v>
      </c>
      <c r="DK387" s="1" t="s">
        <v>224</v>
      </c>
      <c r="DL387" s="1" t="s">
        <v>224</v>
      </c>
      <c r="DM387" s="1" t="s">
        <v>229</v>
      </c>
      <c r="DQ387" s="1" t="s">
        <v>228</v>
      </c>
      <c r="DR387" s="1" t="s">
        <v>229</v>
      </c>
      <c r="DV387" s="1" t="s">
        <v>1407</v>
      </c>
      <c r="DW387" s="1" t="s">
        <v>667</v>
      </c>
      <c r="DX387" s="1" t="s">
        <v>234</v>
      </c>
      <c r="EC387" s="1" t="s">
        <v>237</v>
      </c>
      <c r="EH387" s="1" t="s">
        <v>1407</v>
      </c>
      <c r="EM387" s="1" t="s">
        <v>238</v>
      </c>
      <c r="EP387" s="1" t="s">
        <v>2082</v>
      </c>
      <c r="EQ387" s="1" t="s">
        <v>42</v>
      </c>
      <c r="ER387" s="1" t="s">
        <v>617</v>
      </c>
      <c r="EU387" s="1" t="s">
        <v>238</v>
      </c>
      <c r="EY387" s="1" t="s">
        <v>238</v>
      </c>
      <c r="FC387" s="1" t="s">
        <v>238</v>
      </c>
      <c r="FF387" s="1" t="s">
        <v>239</v>
      </c>
      <c r="FG387" s="1" t="s">
        <v>192</v>
      </c>
      <c r="FH387" s="1" t="s">
        <v>192</v>
      </c>
      <c r="FJ387" s="1" t="s">
        <v>770</v>
      </c>
      <c r="FK387" s="1" t="s">
        <v>348</v>
      </c>
      <c r="FL387" s="1" t="s">
        <v>5491</v>
      </c>
      <c r="FM387" s="1">
        <v>40131.0</v>
      </c>
      <c r="FN387" s="1" t="s">
        <v>5492</v>
      </c>
      <c r="FO387" s="1" t="s">
        <v>5493</v>
      </c>
      <c r="FP387" s="1">
        <v>189774.0</v>
      </c>
      <c r="FQ387" s="1" t="s">
        <v>5494</v>
      </c>
      <c r="FU387" s="1" t="s">
        <v>5495</v>
      </c>
      <c r="FV387" s="1" t="s">
        <v>200</v>
      </c>
      <c r="FW387" s="1" t="s">
        <v>567</v>
      </c>
      <c r="FX387" s="1" t="s">
        <v>655</v>
      </c>
      <c r="FZ387" s="1" t="s">
        <v>229</v>
      </c>
      <c r="GA387" s="1" t="s">
        <v>291</v>
      </c>
      <c r="GB387" s="2">
        <v>42102.0</v>
      </c>
      <c r="GC387" s="1" t="s">
        <v>5496</v>
      </c>
    </row>
    <row r="388">
      <c r="A388" s="1">
        <v>37000.0</v>
      </c>
      <c r="B388" s="1" t="s">
        <v>185</v>
      </c>
      <c r="C388" s="1" t="str">
        <f>"08773783"</f>
        <v>08773783</v>
      </c>
      <c r="D388" s="1" t="s">
        <v>186</v>
      </c>
      <c r="F388" s="1" t="str">
        <f>"8073"</f>
        <v>8073</v>
      </c>
      <c r="G388" s="2">
        <v>41954.0</v>
      </c>
      <c r="H388" s="1">
        <v>47200.0</v>
      </c>
      <c r="I388" s="1">
        <v>74.0</v>
      </c>
      <c r="J388" s="1">
        <v>35000.0</v>
      </c>
      <c r="K388" s="2">
        <v>42026.0</v>
      </c>
      <c r="L388" s="1">
        <v>74.0</v>
      </c>
      <c r="M388" s="2">
        <v>42026.0</v>
      </c>
      <c r="N388" s="1" t="s">
        <v>249</v>
      </c>
      <c r="O388" s="2">
        <v>42061.0</v>
      </c>
      <c r="P388" s="1">
        <v>920613.0</v>
      </c>
      <c r="Q388" s="1">
        <v>8902.0</v>
      </c>
      <c r="S388" s="1">
        <v>9028.0</v>
      </c>
      <c r="T388" s="1" t="s">
        <v>5497</v>
      </c>
      <c r="U388" s="1" t="s">
        <v>320</v>
      </c>
      <c r="V388" s="1" t="s">
        <v>190</v>
      </c>
      <c r="W388" s="1">
        <v>60620.0</v>
      </c>
      <c r="Y388" s="1" t="s">
        <v>5498</v>
      </c>
      <c r="Z388" s="1">
        <v>1922.0</v>
      </c>
      <c r="AA388" s="1" t="s">
        <v>192</v>
      </c>
      <c r="AB388" s="1" t="s">
        <v>193</v>
      </c>
      <c r="AD388" s="1" t="s">
        <v>194</v>
      </c>
      <c r="AE388" s="1" t="s">
        <v>195</v>
      </c>
      <c r="AF388" s="1" t="s">
        <v>659</v>
      </c>
      <c r="AH388" s="1" t="s">
        <v>5499</v>
      </c>
      <c r="AK388" s="1">
        <v>7.0</v>
      </c>
      <c r="AL388" s="1">
        <v>4.0</v>
      </c>
      <c r="AM388" s="1">
        <v>1.0</v>
      </c>
      <c r="AN388" s="1">
        <v>0.0</v>
      </c>
      <c r="AO388" s="1" t="s">
        <v>229</v>
      </c>
      <c r="AQ388" s="1" t="s">
        <v>198</v>
      </c>
      <c r="AR388" s="1" t="s">
        <v>192</v>
      </c>
      <c r="AS388" s="1" t="s">
        <v>199</v>
      </c>
      <c r="AT388" s="1">
        <v>2.0</v>
      </c>
      <c r="AV388" s="1" t="s">
        <v>200</v>
      </c>
      <c r="AW388" s="1">
        <v>1290.0</v>
      </c>
      <c r="AX388" s="1">
        <v>2012.0</v>
      </c>
      <c r="AZ388" s="1" t="s">
        <v>545</v>
      </c>
      <c r="BA388" s="1" t="str">
        <f>"25051290220000"</f>
        <v>25051290220000</v>
      </c>
      <c r="BC388" s="1">
        <v>0.0</v>
      </c>
      <c r="BD388" s="1">
        <v>37000.0</v>
      </c>
      <c r="BE388" s="2">
        <v>41953.0</v>
      </c>
      <c r="BF388" s="1" t="s">
        <v>5500</v>
      </c>
      <c r="BH388" s="1">
        <v>0.0</v>
      </c>
      <c r="BK388" s="1" t="s">
        <v>204</v>
      </c>
      <c r="BL388" s="1" t="str">
        <f t="shared" ref="BL388:BM388" si="256">"0"</f>
        <v>0</v>
      </c>
      <c r="BM388" s="1" t="str">
        <f t="shared" si="256"/>
        <v>0</v>
      </c>
      <c r="BN388" s="1">
        <v>1300.0</v>
      </c>
      <c r="BO388" s="1">
        <v>9028.0</v>
      </c>
      <c r="BQ388" s="1">
        <v>299.0</v>
      </c>
      <c r="BR388" s="1">
        <v>299.0</v>
      </c>
      <c r="BS388" s="1">
        <v>299.0</v>
      </c>
      <c r="BU388" s="1" t="s">
        <v>2120</v>
      </c>
      <c r="BV388" s="1" t="s">
        <v>206</v>
      </c>
      <c r="BY388" s="1" t="s">
        <v>1809</v>
      </c>
      <c r="BZ388" s="1" t="s">
        <v>209</v>
      </c>
      <c r="CC388" s="1" t="s">
        <v>331</v>
      </c>
      <c r="CD388" s="1" t="s">
        <v>206</v>
      </c>
      <c r="CG388" s="1" t="s">
        <v>214</v>
      </c>
      <c r="CH388" s="1" t="s">
        <v>209</v>
      </c>
      <c r="CK388" s="1" t="s">
        <v>264</v>
      </c>
      <c r="CL388" s="1" t="s">
        <v>206</v>
      </c>
      <c r="CO388" s="1" t="s">
        <v>495</v>
      </c>
      <c r="CP388" s="1" t="s">
        <v>206</v>
      </c>
      <c r="CS388" s="1" t="s">
        <v>497</v>
      </c>
      <c r="CT388" s="1" t="s">
        <v>206</v>
      </c>
      <c r="CX388" s="1" t="s">
        <v>204</v>
      </c>
      <c r="DA388" s="1" t="s">
        <v>200</v>
      </c>
      <c r="DC388" s="1" t="s">
        <v>216</v>
      </c>
      <c r="DD388" s="1" t="s">
        <v>518</v>
      </c>
      <c r="DE388" s="1" t="s">
        <v>229</v>
      </c>
      <c r="DF388" s="1" t="s">
        <v>219</v>
      </c>
      <c r="DH388" s="1" t="s">
        <v>365</v>
      </c>
      <c r="DJ388" s="1" t="s">
        <v>222</v>
      </c>
      <c r="DL388" s="1" t="s">
        <v>224</v>
      </c>
      <c r="DM388" s="1" t="s">
        <v>229</v>
      </c>
      <c r="DP388" s="1" t="s">
        <v>340</v>
      </c>
      <c r="DQ388" s="1" t="s">
        <v>228</v>
      </c>
      <c r="DR388" s="1" t="s">
        <v>229</v>
      </c>
      <c r="DV388" s="1" t="s">
        <v>232</v>
      </c>
      <c r="DW388" s="1" t="s">
        <v>279</v>
      </c>
      <c r="DX388" s="1" t="s">
        <v>234</v>
      </c>
      <c r="EA388" s="1" t="s">
        <v>644</v>
      </c>
      <c r="EC388" s="1" t="s">
        <v>645</v>
      </c>
      <c r="EM388" s="1" t="s">
        <v>238</v>
      </c>
      <c r="EQ388" s="1" t="s">
        <v>238</v>
      </c>
      <c r="EU388" s="1" t="s">
        <v>238</v>
      </c>
      <c r="EY388" s="1" t="s">
        <v>238</v>
      </c>
      <c r="FC388" s="1" t="s">
        <v>238</v>
      </c>
      <c r="FF388" s="1" t="s">
        <v>239</v>
      </c>
      <c r="FG388" s="1" t="s">
        <v>192</v>
      </c>
      <c r="FH388" s="1" t="s">
        <v>192</v>
      </c>
      <c r="FJ388" s="1" t="s">
        <v>5501</v>
      </c>
      <c r="FK388" s="1" t="s">
        <v>229</v>
      </c>
      <c r="FL388" s="1" t="s">
        <v>1520</v>
      </c>
      <c r="FM388" s="1">
        <v>10841.0</v>
      </c>
      <c r="FN388" s="1" t="s">
        <v>1521</v>
      </c>
      <c r="FO388" s="1" t="s">
        <v>1522</v>
      </c>
      <c r="FP388" s="1">
        <v>109860.0</v>
      </c>
      <c r="FQ388" s="1" t="s">
        <v>1521</v>
      </c>
      <c r="FU388" s="1" t="s">
        <v>1523</v>
      </c>
      <c r="FV388" s="1" t="s">
        <v>200</v>
      </c>
      <c r="FW388" s="1" t="s">
        <v>290</v>
      </c>
      <c r="FX388" s="1" t="s">
        <v>655</v>
      </c>
      <c r="FZ388" s="1" t="s">
        <v>229</v>
      </c>
      <c r="GA388" s="1" t="s">
        <v>291</v>
      </c>
      <c r="GB388" s="2">
        <v>42061.0</v>
      </c>
      <c r="GC388" s="1" t="s">
        <v>5502</v>
      </c>
    </row>
    <row r="389">
      <c r="A389" s="1">
        <v>333000.0</v>
      </c>
      <c r="B389" s="1" t="s">
        <v>185</v>
      </c>
      <c r="C389" s="1" t="str">
        <f>"08787652"</f>
        <v>08787652</v>
      </c>
      <c r="D389" s="1" t="s">
        <v>186</v>
      </c>
      <c r="F389" s="1" t="str">
        <f>"8014"</f>
        <v>8014</v>
      </c>
      <c r="G389" s="2">
        <v>41960.0</v>
      </c>
      <c r="H389" s="1">
        <v>349500.0</v>
      </c>
      <c r="I389" s="1">
        <v>10.0</v>
      </c>
      <c r="J389" s="1">
        <v>349500.0</v>
      </c>
      <c r="K389" s="2">
        <v>41969.0</v>
      </c>
      <c r="L389" s="1">
        <v>10.0</v>
      </c>
      <c r="M389" s="2">
        <v>41969.0</v>
      </c>
      <c r="N389" s="1" t="s">
        <v>187</v>
      </c>
      <c r="O389" s="2">
        <v>42018.0</v>
      </c>
      <c r="P389" s="1">
        <v>171923.0</v>
      </c>
      <c r="Q389" s="1">
        <v>84307.0</v>
      </c>
      <c r="S389" s="1">
        <v>4826.0</v>
      </c>
      <c r="T389" s="1" t="s">
        <v>5503</v>
      </c>
      <c r="U389" s="1" t="s">
        <v>189</v>
      </c>
      <c r="V389" s="1" t="s">
        <v>190</v>
      </c>
      <c r="W389" s="1">
        <v>60625.0</v>
      </c>
      <c r="Y389" s="1" t="s">
        <v>5504</v>
      </c>
      <c r="Z389" s="1">
        <v>1923.0</v>
      </c>
      <c r="AA389" s="1" t="s">
        <v>192</v>
      </c>
      <c r="AB389" s="1" t="s">
        <v>193</v>
      </c>
      <c r="AD389" s="1" t="s">
        <v>194</v>
      </c>
      <c r="AE389" s="1" t="s">
        <v>195</v>
      </c>
      <c r="AF389" s="1" t="s">
        <v>196</v>
      </c>
      <c r="AH389" s="1" t="s">
        <v>359</v>
      </c>
      <c r="AI389" s="1">
        <v>0.0861</v>
      </c>
      <c r="AK389" s="1">
        <v>7.0</v>
      </c>
      <c r="AL389" s="1">
        <v>3.0</v>
      </c>
      <c r="AM389" s="1">
        <v>2.0</v>
      </c>
      <c r="AN389" s="1">
        <v>1.0</v>
      </c>
      <c r="AO389" s="1" t="s">
        <v>1261</v>
      </c>
      <c r="AQ389" s="1" t="s">
        <v>198</v>
      </c>
      <c r="AR389" s="1" t="s">
        <v>192</v>
      </c>
      <c r="AS389" s="1" t="s">
        <v>199</v>
      </c>
      <c r="AT389" s="1">
        <v>2.0</v>
      </c>
      <c r="AV389" s="1" t="s">
        <v>200</v>
      </c>
      <c r="AW389" s="1">
        <v>4501.69</v>
      </c>
      <c r="AX389" s="1">
        <v>2013.0</v>
      </c>
      <c r="AY389" s="1" t="s">
        <v>387</v>
      </c>
      <c r="AZ389" s="1" t="s">
        <v>200</v>
      </c>
      <c r="BA389" s="1" t="str">
        <f>"13114280160000"</f>
        <v>13114280160000</v>
      </c>
      <c r="BC389" s="1">
        <v>2100.0</v>
      </c>
      <c r="BD389" s="1">
        <v>333000.0</v>
      </c>
      <c r="BE389" s="2">
        <v>41960.0</v>
      </c>
      <c r="BF389" s="2" t="s">
        <v>5505</v>
      </c>
      <c r="BH389" s="1">
        <v>0.0</v>
      </c>
      <c r="BK389" s="1" t="s">
        <v>204</v>
      </c>
      <c r="BL389" s="1" t="str">
        <f>"4826"</f>
        <v>4826</v>
      </c>
      <c r="BM389" s="1" t="str">
        <f t="shared" ref="BM389:BM391" si="257">"0"</f>
        <v>0</v>
      </c>
      <c r="BN389" s="1">
        <v>3300.0</v>
      </c>
      <c r="BO389" s="1">
        <v>0.0</v>
      </c>
      <c r="BQ389" s="1">
        <v>299.0</v>
      </c>
      <c r="BR389" s="1">
        <v>299.0</v>
      </c>
      <c r="BS389" s="1">
        <v>299.0</v>
      </c>
      <c r="BU389" s="1" t="s">
        <v>2459</v>
      </c>
      <c r="BV389" s="1" t="s">
        <v>206</v>
      </c>
      <c r="BW389" s="1" t="s">
        <v>207</v>
      </c>
      <c r="BY389" s="1" t="s">
        <v>1760</v>
      </c>
      <c r="BZ389" s="1" t="s">
        <v>209</v>
      </c>
      <c r="CA389" s="1" t="s">
        <v>210</v>
      </c>
      <c r="CC389" s="1" t="s">
        <v>303</v>
      </c>
      <c r="CD389" s="1" t="s">
        <v>206</v>
      </c>
      <c r="CE389" s="1" t="s">
        <v>207</v>
      </c>
      <c r="CG389" s="1" t="s">
        <v>1672</v>
      </c>
      <c r="CH389" s="1" t="s">
        <v>209</v>
      </c>
      <c r="CI389" s="1" t="s">
        <v>210</v>
      </c>
      <c r="CK389" s="1" t="s">
        <v>1852</v>
      </c>
      <c r="CL389" s="1" t="s">
        <v>209</v>
      </c>
      <c r="CM389" s="1" t="s">
        <v>210</v>
      </c>
      <c r="CO389" s="1" t="s">
        <v>475</v>
      </c>
      <c r="CP389" s="1" t="s">
        <v>42</v>
      </c>
      <c r="CQ389" s="1" t="s">
        <v>210</v>
      </c>
      <c r="CS389" s="1" t="s">
        <v>1352</v>
      </c>
      <c r="CT389" s="1" t="s">
        <v>206</v>
      </c>
      <c r="CU389" s="1" t="s">
        <v>207</v>
      </c>
      <c r="CX389" s="1" t="s">
        <v>204</v>
      </c>
      <c r="DA389" s="1" t="s">
        <v>200</v>
      </c>
      <c r="DC389" s="1" t="s">
        <v>216</v>
      </c>
      <c r="DE389" s="1" t="s">
        <v>273</v>
      </c>
      <c r="DF389" s="1" t="s">
        <v>219</v>
      </c>
      <c r="DH389" s="1" t="s">
        <v>365</v>
      </c>
      <c r="DJ389" s="1" t="s">
        <v>222</v>
      </c>
      <c r="DL389" s="1" t="s">
        <v>224</v>
      </c>
      <c r="DM389" s="1" t="s">
        <v>229</v>
      </c>
      <c r="DN389" s="1" t="s">
        <v>5506</v>
      </c>
      <c r="DQ389" s="1" t="s">
        <v>718</v>
      </c>
      <c r="DR389" s="1" t="s">
        <v>229</v>
      </c>
      <c r="DV389" s="1" t="s">
        <v>232</v>
      </c>
      <c r="DW389" s="1" t="s">
        <v>832</v>
      </c>
      <c r="DX389" s="1" t="s">
        <v>234</v>
      </c>
      <c r="DY389" s="1" t="s">
        <v>704</v>
      </c>
      <c r="DZ389" s="1" t="s">
        <v>236</v>
      </c>
      <c r="EC389" s="1" t="s">
        <v>237</v>
      </c>
      <c r="ED389" s="1" t="s">
        <v>407</v>
      </c>
      <c r="EM389" s="1" t="s">
        <v>238</v>
      </c>
      <c r="EQ389" s="1" t="s">
        <v>238</v>
      </c>
      <c r="EU389" s="1" t="s">
        <v>238</v>
      </c>
      <c r="EY389" s="1" t="s">
        <v>238</v>
      </c>
      <c r="FC389" s="1" t="s">
        <v>238</v>
      </c>
      <c r="FF389" s="1" t="s">
        <v>239</v>
      </c>
      <c r="FG389" s="1" t="s">
        <v>192</v>
      </c>
      <c r="FH389" s="1" t="s">
        <v>192</v>
      </c>
      <c r="FJ389" s="1" t="s">
        <v>799</v>
      </c>
      <c r="FK389" s="1" t="s">
        <v>557</v>
      </c>
      <c r="FL389" s="1" t="s">
        <v>2604</v>
      </c>
      <c r="FM389" s="1">
        <v>18016.0</v>
      </c>
      <c r="FN389" s="1" t="s">
        <v>2605</v>
      </c>
      <c r="FO389" s="1" t="s">
        <v>5507</v>
      </c>
      <c r="FP389" s="1">
        <v>144358.0</v>
      </c>
      <c r="FQ389" s="1" t="s">
        <v>5508</v>
      </c>
      <c r="FU389" s="1" t="s">
        <v>5509</v>
      </c>
      <c r="FV389" s="1" t="s">
        <v>200</v>
      </c>
      <c r="FW389" s="1" t="s">
        <v>567</v>
      </c>
      <c r="FX389" s="1" t="s">
        <v>238</v>
      </c>
      <c r="FZ389" s="1" t="s">
        <v>229</v>
      </c>
      <c r="GA389" s="1" t="s">
        <v>291</v>
      </c>
      <c r="GB389" s="2">
        <v>42032.0</v>
      </c>
      <c r="GC389" s="1" t="s">
        <v>5510</v>
      </c>
    </row>
    <row r="390">
      <c r="A390" s="1">
        <v>1045000.0</v>
      </c>
      <c r="B390" s="1" t="s">
        <v>185</v>
      </c>
      <c r="C390" s="1" t="str">
        <f>"08786029"</f>
        <v>08786029</v>
      </c>
      <c r="D390" s="1" t="s">
        <v>186</v>
      </c>
      <c r="F390" s="1" t="str">
        <f>"8007"</f>
        <v>8007</v>
      </c>
      <c r="G390" s="2">
        <v>41956.0</v>
      </c>
      <c r="H390" s="1">
        <v>1099999.0</v>
      </c>
      <c r="I390" s="1">
        <v>187.0</v>
      </c>
      <c r="J390" s="1">
        <v>1074999.0</v>
      </c>
      <c r="K390" s="2">
        <v>42007.0</v>
      </c>
      <c r="L390" s="1">
        <v>52.0</v>
      </c>
      <c r="M390" s="2">
        <v>42007.0</v>
      </c>
      <c r="N390" s="1" t="s">
        <v>187</v>
      </c>
      <c r="O390" s="2">
        <v>42048.0</v>
      </c>
      <c r="P390" s="1">
        <v>220581.0</v>
      </c>
      <c r="Q390" s="1">
        <v>25042.0</v>
      </c>
      <c r="S390" s="1">
        <v>472.0</v>
      </c>
      <c r="T390" s="1" t="s">
        <v>5511</v>
      </c>
      <c r="U390" s="1" t="s">
        <v>694</v>
      </c>
      <c r="V390" s="1" t="s">
        <v>190</v>
      </c>
      <c r="W390" s="1">
        <v>60614.0</v>
      </c>
      <c r="Y390" s="1" t="s">
        <v>5512</v>
      </c>
      <c r="Z390" s="1">
        <v>1884.0</v>
      </c>
      <c r="AA390" s="1" t="s">
        <v>192</v>
      </c>
      <c r="AB390" s="1" t="s">
        <v>193</v>
      </c>
      <c r="AD390" s="1" t="s">
        <v>194</v>
      </c>
      <c r="AE390" s="1" t="s">
        <v>195</v>
      </c>
      <c r="AF390" s="1" t="s">
        <v>534</v>
      </c>
      <c r="AH390" s="1" t="s">
        <v>5513</v>
      </c>
      <c r="AK390" s="1">
        <v>10.0</v>
      </c>
      <c r="AL390" s="1">
        <v>4.0</v>
      </c>
      <c r="AM390" s="1">
        <v>3.0</v>
      </c>
      <c r="AN390" s="1">
        <v>1.0</v>
      </c>
      <c r="AO390" s="1" t="s">
        <v>198</v>
      </c>
      <c r="AP390" s="1">
        <v>1.0</v>
      </c>
      <c r="AQ390" s="1" t="s">
        <v>472</v>
      </c>
      <c r="AR390" s="1" t="s">
        <v>192</v>
      </c>
      <c r="AS390" s="1" t="s">
        <v>199</v>
      </c>
      <c r="AT390" s="1">
        <v>1.0</v>
      </c>
      <c r="AV390" s="1" t="s">
        <v>200</v>
      </c>
      <c r="AW390" s="1">
        <v>17134.0</v>
      </c>
      <c r="AX390" s="1">
        <v>2013.0</v>
      </c>
      <c r="AY390" s="1" t="s">
        <v>387</v>
      </c>
      <c r="AZ390" s="1" t="s">
        <v>200</v>
      </c>
      <c r="BA390" s="1" t="str">
        <f>"14283180150000"</f>
        <v>14283180150000</v>
      </c>
      <c r="BB390" s="1" t="s">
        <v>200</v>
      </c>
      <c r="BC390" s="1">
        <v>3079.0</v>
      </c>
      <c r="BD390" s="1">
        <v>1045000.0</v>
      </c>
      <c r="BE390" s="2">
        <v>41956.0</v>
      </c>
      <c r="BF390" s="2" t="s">
        <v>5514</v>
      </c>
      <c r="BG390" s="1" t="s">
        <v>2870</v>
      </c>
      <c r="BH390" s="1">
        <v>98.0</v>
      </c>
      <c r="BI390" s="1" t="s">
        <v>2870</v>
      </c>
      <c r="BJ390" s="1" t="s">
        <v>2871</v>
      </c>
      <c r="BK390" s="1" t="s">
        <v>474</v>
      </c>
      <c r="BL390" s="1" t="str">
        <f>"2550"</f>
        <v>2550</v>
      </c>
      <c r="BM390" s="1" t="str">
        <f t="shared" si="257"/>
        <v>0</v>
      </c>
      <c r="BN390" s="1">
        <v>472.0</v>
      </c>
      <c r="BO390" s="1">
        <v>0.0</v>
      </c>
      <c r="BQ390" s="1">
        <v>299.0</v>
      </c>
      <c r="BR390" s="1">
        <v>299.0</v>
      </c>
      <c r="BS390" s="1">
        <v>299.0</v>
      </c>
      <c r="BU390" s="1" t="s">
        <v>5515</v>
      </c>
      <c r="BV390" s="1" t="s">
        <v>206</v>
      </c>
      <c r="BW390" s="1" t="s">
        <v>207</v>
      </c>
      <c r="BY390" s="1" t="s">
        <v>1623</v>
      </c>
      <c r="BZ390" s="1" t="s">
        <v>209</v>
      </c>
      <c r="CA390" s="1" t="s">
        <v>207</v>
      </c>
      <c r="CC390" s="1" t="s">
        <v>1117</v>
      </c>
      <c r="CD390" s="1" t="s">
        <v>206</v>
      </c>
      <c r="CE390" s="1" t="s">
        <v>207</v>
      </c>
      <c r="CG390" s="1" t="s">
        <v>264</v>
      </c>
      <c r="CH390" s="1" t="s">
        <v>209</v>
      </c>
      <c r="CI390" s="1" t="s">
        <v>207</v>
      </c>
      <c r="CK390" s="1" t="s">
        <v>1117</v>
      </c>
      <c r="CL390" s="1" t="s">
        <v>209</v>
      </c>
      <c r="CM390" s="1" t="s">
        <v>207</v>
      </c>
      <c r="CO390" s="1" t="s">
        <v>475</v>
      </c>
      <c r="CP390" s="1" t="s">
        <v>267</v>
      </c>
      <c r="CS390" s="1" t="s">
        <v>392</v>
      </c>
      <c r="CT390" s="1" t="s">
        <v>206</v>
      </c>
      <c r="CU390" s="1" t="s">
        <v>207</v>
      </c>
      <c r="CW390" s="1" t="s">
        <v>647</v>
      </c>
      <c r="CX390" s="1" t="s">
        <v>267</v>
      </c>
      <c r="CY390" s="1" t="s">
        <v>210</v>
      </c>
      <c r="DA390" s="1" t="s">
        <v>200</v>
      </c>
      <c r="DC390" s="1" t="s">
        <v>642</v>
      </c>
      <c r="DE390" s="1" t="s">
        <v>273</v>
      </c>
      <c r="DF390" s="1" t="s">
        <v>619</v>
      </c>
      <c r="DG390" s="1" t="s">
        <v>5395</v>
      </c>
      <c r="DH390" s="1" t="s">
        <v>365</v>
      </c>
      <c r="DJ390" s="1" t="s">
        <v>222</v>
      </c>
      <c r="DL390" s="1" t="s">
        <v>224</v>
      </c>
      <c r="DM390" s="1" t="s">
        <v>229</v>
      </c>
      <c r="DP390" s="1" t="s">
        <v>340</v>
      </c>
      <c r="DQ390" s="1" t="s">
        <v>228</v>
      </c>
      <c r="DR390" s="1" t="s">
        <v>44</v>
      </c>
      <c r="DV390" s="1" t="s">
        <v>5516</v>
      </c>
      <c r="DW390" s="1" t="s">
        <v>279</v>
      </c>
      <c r="DX390" s="1" t="s">
        <v>234</v>
      </c>
      <c r="EA390" s="1" t="s">
        <v>2466</v>
      </c>
      <c r="EB390" s="1" t="s">
        <v>345</v>
      </c>
      <c r="EC390" s="1" t="s">
        <v>237</v>
      </c>
      <c r="EG390" s="1" t="s">
        <v>450</v>
      </c>
      <c r="EH390" s="1" t="s">
        <v>494</v>
      </c>
      <c r="EI390" s="1" t="s">
        <v>1270</v>
      </c>
      <c r="EL390" s="1" t="s">
        <v>2481</v>
      </c>
      <c r="EM390" s="1" t="s">
        <v>267</v>
      </c>
      <c r="EP390" s="1" t="s">
        <v>433</v>
      </c>
      <c r="EQ390" s="1" t="s">
        <v>267</v>
      </c>
      <c r="ET390" s="1" t="s">
        <v>3663</v>
      </c>
      <c r="EU390" s="1" t="s">
        <v>267</v>
      </c>
      <c r="EY390" s="1" t="s">
        <v>238</v>
      </c>
      <c r="FC390" s="1" t="s">
        <v>238</v>
      </c>
      <c r="FF390" s="1" t="s">
        <v>239</v>
      </c>
      <c r="FG390" s="1" t="s">
        <v>200</v>
      </c>
      <c r="FH390" s="1" t="s">
        <v>192</v>
      </c>
      <c r="FJ390" s="1" t="s">
        <v>733</v>
      </c>
      <c r="FK390" s="1" t="s">
        <v>229</v>
      </c>
      <c r="FL390" s="1" t="s">
        <v>5517</v>
      </c>
      <c r="FM390" s="1">
        <v>84260.0</v>
      </c>
      <c r="FN390" s="1" t="s">
        <v>5518</v>
      </c>
      <c r="FO390" s="1" t="s">
        <v>5519</v>
      </c>
      <c r="FP390" s="1">
        <v>189695.0</v>
      </c>
      <c r="FQ390" s="1" t="s">
        <v>5520</v>
      </c>
      <c r="FU390" s="1" t="s">
        <v>5521</v>
      </c>
      <c r="FV390" s="1" t="s">
        <v>200</v>
      </c>
      <c r="FW390" s="1" t="s">
        <v>290</v>
      </c>
      <c r="FX390" s="1" t="s">
        <v>246</v>
      </c>
      <c r="FZ390" s="1" t="s">
        <v>229</v>
      </c>
      <c r="GA390" s="1" t="s">
        <v>291</v>
      </c>
      <c r="GB390" s="2">
        <v>42051.0</v>
      </c>
      <c r="GC390" s="1" t="s">
        <v>5522</v>
      </c>
    </row>
    <row r="391">
      <c r="A391" s="1">
        <v>261000.0</v>
      </c>
      <c r="B391" s="1" t="s">
        <v>185</v>
      </c>
      <c r="C391" s="1" t="str">
        <f>"08811374"</f>
        <v>08811374</v>
      </c>
      <c r="D391" s="1" t="s">
        <v>186</v>
      </c>
      <c r="F391" s="1" t="str">
        <f t="shared" ref="F391:F392" si="258">"123"</f>
        <v>123</v>
      </c>
      <c r="G391" s="2">
        <v>42011.0</v>
      </c>
      <c r="H391" s="1">
        <v>269900.0</v>
      </c>
      <c r="I391" s="1">
        <v>17.0</v>
      </c>
      <c r="J391" s="1">
        <v>269900.0</v>
      </c>
      <c r="K391" s="2">
        <v>42027.0</v>
      </c>
      <c r="L391" s="1">
        <v>17.0</v>
      </c>
      <c r="M391" s="2">
        <v>42027.0</v>
      </c>
      <c r="N391" s="1" t="s">
        <v>356</v>
      </c>
      <c r="O391" s="2">
        <v>42096.0</v>
      </c>
      <c r="P391" s="1">
        <v>173978.0</v>
      </c>
      <c r="Q391" s="1">
        <v>85169.0</v>
      </c>
      <c r="S391" s="1">
        <v>3130.0</v>
      </c>
      <c r="T391" s="1" t="s">
        <v>5523</v>
      </c>
      <c r="U391" s="1" t="s">
        <v>982</v>
      </c>
      <c r="V391" s="1" t="s">
        <v>465</v>
      </c>
      <c r="W391" s="1">
        <v>60124.0</v>
      </c>
      <c r="Y391" s="1" t="s">
        <v>5524</v>
      </c>
      <c r="Z391" s="1">
        <v>2011.0</v>
      </c>
      <c r="AA391" s="1" t="s">
        <v>200</v>
      </c>
      <c r="AB391" s="1" t="s">
        <v>467</v>
      </c>
      <c r="AC391" s="1" t="s">
        <v>3682</v>
      </c>
      <c r="AD391" s="1" t="s">
        <v>469</v>
      </c>
      <c r="AE391" s="1" t="s">
        <v>325</v>
      </c>
      <c r="AF391" s="1" t="s">
        <v>469</v>
      </c>
      <c r="AG391" s="1" t="s">
        <v>5525</v>
      </c>
      <c r="AH391" s="1" t="s">
        <v>5526</v>
      </c>
      <c r="AI391" s="1">
        <v>0.23</v>
      </c>
      <c r="AK391" s="1">
        <v>9.0</v>
      </c>
      <c r="AL391" s="1">
        <v>4.0</v>
      </c>
      <c r="AM391" s="1">
        <v>2.0</v>
      </c>
      <c r="AN391" s="1">
        <v>1.0</v>
      </c>
      <c r="AO391" s="1" t="s">
        <v>198</v>
      </c>
      <c r="AP391" s="1">
        <v>0.0</v>
      </c>
      <c r="AQ391" s="1" t="s">
        <v>327</v>
      </c>
      <c r="AR391" s="1" t="s">
        <v>200</v>
      </c>
      <c r="AS391" s="1" t="s">
        <v>199</v>
      </c>
      <c r="AT391" s="1">
        <v>2.0</v>
      </c>
      <c r="AV391" s="1" t="s">
        <v>200</v>
      </c>
      <c r="AW391" s="1">
        <v>7542.0</v>
      </c>
      <c r="AX391" s="1">
        <v>2013.0</v>
      </c>
      <c r="AY391" s="1" t="s">
        <v>387</v>
      </c>
      <c r="AZ391" s="1" t="s">
        <v>200</v>
      </c>
      <c r="BA391" s="1" t="str">
        <f>"0619430017"</f>
        <v>0619430017</v>
      </c>
      <c r="BC391" s="1">
        <v>2496.0</v>
      </c>
      <c r="BD391" s="1">
        <v>261000.0</v>
      </c>
      <c r="BE391" s="2">
        <v>42011.0</v>
      </c>
      <c r="BF391" s="2" t="s">
        <v>5527</v>
      </c>
      <c r="BG391" s="1" t="s">
        <v>3686</v>
      </c>
      <c r="BH391" s="1">
        <v>300.0</v>
      </c>
      <c r="BI391" s="1" t="s">
        <v>578</v>
      </c>
      <c r="BJ391" s="1" t="s">
        <v>579</v>
      </c>
      <c r="BK391" s="1" t="s">
        <v>580</v>
      </c>
      <c r="BL391" s="1" t="str">
        <f>"11"</f>
        <v>11</v>
      </c>
      <c r="BM391" s="1" t="str">
        <f t="shared" si="257"/>
        <v>0</v>
      </c>
      <c r="BN391" s="1">
        <v>38.0</v>
      </c>
      <c r="BO391" s="1">
        <v>0.0</v>
      </c>
      <c r="BQ391" s="1">
        <v>301.0</v>
      </c>
      <c r="BR391" s="1">
        <v>301.0</v>
      </c>
      <c r="BS391" s="1">
        <v>301.0</v>
      </c>
      <c r="BU391" s="1" t="s">
        <v>208</v>
      </c>
      <c r="BV391" s="1" t="s">
        <v>206</v>
      </c>
      <c r="BW391" s="1" t="s">
        <v>210</v>
      </c>
      <c r="BY391" s="1" t="s">
        <v>361</v>
      </c>
      <c r="BZ391" s="1" t="s">
        <v>209</v>
      </c>
      <c r="CA391" s="1" t="s">
        <v>210</v>
      </c>
      <c r="CC391" s="1" t="s">
        <v>264</v>
      </c>
      <c r="CD391" s="1" t="s">
        <v>206</v>
      </c>
      <c r="CE391" s="1" t="s">
        <v>207</v>
      </c>
      <c r="CG391" s="1" t="s">
        <v>262</v>
      </c>
      <c r="CH391" s="1" t="s">
        <v>209</v>
      </c>
      <c r="CI391" s="1" t="s">
        <v>210</v>
      </c>
      <c r="CK391" s="1" t="s">
        <v>332</v>
      </c>
      <c r="CL391" s="1" t="s">
        <v>209</v>
      </c>
      <c r="CM391" s="1" t="s">
        <v>210</v>
      </c>
      <c r="CN391" s="1" t="s">
        <v>229</v>
      </c>
      <c r="CO391" s="1" t="s">
        <v>212</v>
      </c>
      <c r="CP391" s="1" t="s">
        <v>209</v>
      </c>
      <c r="CQ391" s="1" t="s">
        <v>210</v>
      </c>
      <c r="CS391" s="1" t="s">
        <v>1426</v>
      </c>
      <c r="CT391" s="1" t="s">
        <v>206</v>
      </c>
      <c r="CU391" s="1" t="s">
        <v>207</v>
      </c>
      <c r="CW391" s="1" t="s">
        <v>362</v>
      </c>
      <c r="CX391" s="1" t="s">
        <v>206</v>
      </c>
      <c r="CY391" s="1" t="s">
        <v>210</v>
      </c>
      <c r="DA391" s="1" t="s">
        <v>200</v>
      </c>
      <c r="DC391" s="1" t="s">
        <v>1046</v>
      </c>
      <c r="DD391" s="1" t="s">
        <v>1838</v>
      </c>
      <c r="DE391" s="1" t="s">
        <v>273</v>
      </c>
      <c r="DF391" s="1" t="s">
        <v>219</v>
      </c>
      <c r="DG391" s="1" t="s">
        <v>5528</v>
      </c>
      <c r="DH391" s="1" t="s">
        <v>220</v>
      </c>
      <c r="DI391" s="1" t="s">
        <v>732</v>
      </c>
      <c r="DJ391" s="1" t="s">
        <v>222</v>
      </c>
      <c r="DK391" s="1" t="s">
        <v>223</v>
      </c>
      <c r="DL391" s="1" t="s">
        <v>484</v>
      </c>
      <c r="DM391" s="1" t="s">
        <v>929</v>
      </c>
      <c r="DN391" s="1" t="s">
        <v>548</v>
      </c>
      <c r="DP391" s="1" t="s">
        <v>227</v>
      </c>
      <c r="DQ391" s="1" t="s">
        <v>228</v>
      </c>
      <c r="DR391" s="1" t="s">
        <v>588</v>
      </c>
      <c r="DS391" s="1" t="s">
        <v>230</v>
      </c>
      <c r="DU391" s="1" t="s">
        <v>550</v>
      </c>
      <c r="DV391" s="1" t="s">
        <v>341</v>
      </c>
      <c r="DW391" s="1" t="s">
        <v>370</v>
      </c>
      <c r="DX391" s="1" t="s">
        <v>234</v>
      </c>
      <c r="DY391" s="1" t="s">
        <v>596</v>
      </c>
      <c r="DZ391" s="1" t="s">
        <v>5529</v>
      </c>
      <c r="EA391" s="1" t="s">
        <v>344</v>
      </c>
      <c r="EC391" s="1" t="s">
        <v>237</v>
      </c>
      <c r="ED391" s="1" t="s">
        <v>407</v>
      </c>
      <c r="EE391" s="1" t="s">
        <v>493</v>
      </c>
      <c r="EG391" s="1" t="s">
        <v>341</v>
      </c>
      <c r="EL391" s="1" t="s">
        <v>215</v>
      </c>
      <c r="EM391" s="1" t="s">
        <v>209</v>
      </c>
      <c r="EN391" s="1" t="s">
        <v>210</v>
      </c>
      <c r="EQ391" s="1" t="s">
        <v>238</v>
      </c>
      <c r="EU391" s="1" t="s">
        <v>238</v>
      </c>
      <c r="EY391" s="1" t="s">
        <v>238</v>
      </c>
      <c r="FC391" s="1" t="s">
        <v>238</v>
      </c>
      <c r="FF391" s="1" t="s">
        <v>239</v>
      </c>
      <c r="FG391" s="1" t="s">
        <v>192</v>
      </c>
      <c r="FH391" s="1" t="s">
        <v>192</v>
      </c>
      <c r="FJ391" s="1" t="s">
        <v>2262</v>
      </c>
      <c r="FK391" s="1" t="s">
        <v>348</v>
      </c>
      <c r="FL391" s="1" t="s">
        <v>5530</v>
      </c>
      <c r="FM391" s="1">
        <v>8079.0</v>
      </c>
      <c r="FN391" s="1" t="s">
        <v>5531</v>
      </c>
      <c r="FO391" s="1" t="s">
        <v>5532</v>
      </c>
      <c r="FP391" s="1">
        <v>920884.0</v>
      </c>
      <c r="FQ391" s="1" t="s">
        <v>5533</v>
      </c>
      <c r="FU391" s="1" t="s">
        <v>5534</v>
      </c>
      <c r="FV391" s="1" t="s">
        <v>200</v>
      </c>
      <c r="FW391" s="1" t="s">
        <v>290</v>
      </c>
      <c r="FZ391" s="1" t="s">
        <v>632</v>
      </c>
      <c r="GA391" s="1" t="s">
        <v>291</v>
      </c>
      <c r="GB391" s="2">
        <v>42096.0</v>
      </c>
    </row>
    <row r="392">
      <c r="A392" s="1">
        <v>370000.0</v>
      </c>
      <c r="B392" s="1" t="s">
        <v>185</v>
      </c>
      <c r="C392" s="1" t="str">
        <f>"08773975"</f>
        <v>08773975</v>
      </c>
      <c r="D392" s="1" t="s">
        <v>186</v>
      </c>
      <c r="F392" s="1" t="str">
        <f t="shared" si="258"/>
        <v>123</v>
      </c>
      <c r="G392" s="2">
        <v>41955.0</v>
      </c>
      <c r="H392" s="1">
        <v>389900.0</v>
      </c>
      <c r="I392" s="1">
        <v>156.0</v>
      </c>
      <c r="J392" s="1">
        <v>389900.0</v>
      </c>
      <c r="K392" s="2">
        <v>41990.0</v>
      </c>
      <c r="L392" s="1">
        <v>36.0</v>
      </c>
      <c r="M392" s="2">
        <v>41990.0</v>
      </c>
      <c r="N392" s="1" t="s">
        <v>249</v>
      </c>
      <c r="O392" s="2">
        <v>42055.0</v>
      </c>
      <c r="P392" s="1">
        <v>62332.0</v>
      </c>
      <c r="Q392" s="1">
        <v>4777.0</v>
      </c>
      <c r="S392" s="1">
        <v>2414.0</v>
      </c>
      <c r="T392" s="1" t="s">
        <v>5535</v>
      </c>
      <c r="U392" s="1" t="s">
        <v>569</v>
      </c>
      <c r="V392" s="1" t="s">
        <v>465</v>
      </c>
      <c r="W392" s="1">
        <v>60123.0</v>
      </c>
      <c r="Y392" s="1" t="s">
        <v>5536</v>
      </c>
      <c r="Z392" s="1">
        <v>2005.0</v>
      </c>
      <c r="AA392" s="1" t="s">
        <v>200</v>
      </c>
      <c r="AB392" s="1" t="s">
        <v>467</v>
      </c>
      <c r="AC392" s="1" t="s">
        <v>5537</v>
      </c>
      <c r="AD392" s="1" t="s">
        <v>469</v>
      </c>
      <c r="AE392" s="1" t="s">
        <v>325</v>
      </c>
      <c r="AF392" s="1" t="s">
        <v>469</v>
      </c>
      <c r="AG392" s="1" t="s">
        <v>752</v>
      </c>
      <c r="AH392" s="1" t="s">
        <v>5538</v>
      </c>
      <c r="AI392" s="1">
        <v>0.27</v>
      </c>
      <c r="AK392" s="1">
        <v>11.0</v>
      </c>
      <c r="AL392" s="1">
        <v>3.0</v>
      </c>
      <c r="AM392" s="1">
        <v>3.0</v>
      </c>
      <c r="AN392" s="1">
        <v>1.0</v>
      </c>
      <c r="AO392" s="1" t="s">
        <v>198</v>
      </c>
      <c r="AP392" s="1">
        <v>1.0</v>
      </c>
      <c r="AQ392" s="1" t="s">
        <v>198</v>
      </c>
      <c r="AR392" s="1" t="s">
        <v>192</v>
      </c>
      <c r="AS392" s="1" t="s">
        <v>199</v>
      </c>
      <c r="AT392" s="1">
        <v>3.5</v>
      </c>
      <c r="AV392" s="1" t="s">
        <v>200</v>
      </c>
      <c r="AW392" s="1">
        <v>11635.0</v>
      </c>
      <c r="AX392" s="1">
        <v>2013.0</v>
      </c>
      <c r="AY392" s="1" t="s">
        <v>387</v>
      </c>
      <c r="AZ392" s="1" t="s">
        <v>200</v>
      </c>
      <c r="BA392" s="1" t="str">
        <f>"0616103019"</f>
        <v>0616103019</v>
      </c>
      <c r="BB392" s="1" t="s">
        <v>200</v>
      </c>
      <c r="BC392" s="1">
        <v>4000.0</v>
      </c>
      <c r="BD392" s="1">
        <v>370000.0</v>
      </c>
      <c r="BE392" s="2">
        <v>41955.0</v>
      </c>
      <c r="BF392" s="2" t="s">
        <v>5539</v>
      </c>
      <c r="BG392" s="1" t="s">
        <v>3196</v>
      </c>
      <c r="BH392" s="1">
        <v>285.0</v>
      </c>
      <c r="BI392" s="1" t="s">
        <v>3197</v>
      </c>
      <c r="BJ392" s="1" t="s">
        <v>675</v>
      </c>
      <c r="BK392" s="1" t="s">
        <v>474</v>
      </c>
      <c r="BL392" s="1" t="str">
        <f t="shared" ref="BL392:BM392" si="259">""</f>
        <v/>
      </c>
      <c r="BM392" s="1" t="str">
        <f t="shared" si="259"/>
        <v/>
      </c>
      <c r="BQ392" s="1">
        <v>46.0</v>
      </c>
      <c r="BR392" s="1">
        <v>46.0</v>
      </c>
      <c r="BS392" s="1">
        <v>46.0</v>
      </c>
      <c r="BU392" s="1" t="s">
        <v>1891</v>
      </c>
      <c r="BV392" s="1" t="s">
        <v>206</v>
      </c>
      <c r="BW392" s="1" t="s">
        <v>207</v>
      </c>
      <c r="BX392" s="1" t="s">
        <v>239</v>
      </c>
      <c r="BY392" s="1" t="s">
        <v>2181</v>
      </c>
      <c r="BZ392" s="1" t="s">
        <v>206</v>
      </c>
      <c r="CA392" s="1" t="s">
        <v>210</v>
      </c>
      <c r="CB392" s="1" t="s">
        <v>239</v>
      </c>
      <c r="CC392" s="1" t="s">
        <v>730</v>
      </c>
      <c r="CD392" s="1" t="s">
        <v>206</v>
      </c>
      <c r="CE392" s="1" t="s">
        <v>207</v>
      </c>
      <c r="CF392" s="1" t="s">
        <v>239</v>
      </c>
      <c r="CG392" s="1" t="s">
        <v>758</v>
      </c>
      <c r="CH392" s="1" t="s">
        <v>209</v>
      </c>
      <c r="CI392" s="1" t="s">
        <v>210</v>
      </c>
      <c r="CJ392" s="1" t="s">
        <v>239</v>
      </c>
      <c r="CK392" s="1" t="s">
        <v>758</v>
      </c>
      <c r="CL392" s="1" t="s">
        <v>209</v>
      </c>
      <c r="CM392" s="1" t="s">
        <v>210</v>
      </c>
      <c r="CN392" s="1" t="s">
        <v>239</v>
      </c>
      <c r="CO392" s="1" t="s">
        <v>1483</v>
      </c>
      <c r="CP392" s="1" t="s">
        <v>42</v>
      </c>
      <c r="CQ392" s="1" t="s">
        <v>210</v>
      </c>
      <c r="CS392" s="1" t="s">
        <v>1483</v>
      </c>
      <c r="CT392" s="1" t="s">
        <v>206</v>
      </c>
      <c r="CU392" s="1" t="s">
        <v>207</v>
      </c>
      <c r="CW392" s="1" t="s">
        <v>5540</v>
      </c>
      <c r="CX392" s="1" t="s">
        <v>206</v>
      </c>
      <c r="CY392" s="1" t="s">
        <v>207</v>
      </c>
      <c r="DA392" s="1" t="s">
        <v>200</v>
      </c>
      <c r="DC392" s="1" t="s">
        <v>481</v>
      </c>
      <c r="DD392" s="1" t="s">
        <v>217</v>
      </c>
      <c r="DE392" s="1" t="s">
        <v>1810</v>
      </c>
      <c r="DF392" s="1" t="s">
        <v>219</v>
      </c>
      <c r="DG392" s="1" t="s">
        <v>5541</v>
      </c>
      <c r="DH392" s="1" t="s">
        <v>220</v>
      </c>
      <c r="DI392" s="1" t="s">
        <v>1003</v>
      </c>
      <c r="DJ392" s="1" t="s">
        <v>222</v>
      </c>
      <c r="DK392" s="1" t="s">
        <v>223</v>
      </c>
      <c r="DL392" s="1" t="s">
        <v>858</v>
      </c>
      <c r="DM392" s="1" t="s">
        <v>229</v>
      </c>
      <c r="DN392" s="1" t="s">
        <v>399</v>
      </c>
      <c r="DO392" s="1" t="s">
        <v>5542</v>
      </c>
      <c r="DP392" s="1" t="s">
        <v>227</v>
      </c>
      <c r="DQ392" s="1" t="s">
        <v>228</v>
      </c>
      <c r="DR392" s="1" t="s">
        <v>5543</v>
      </c>
      <c r="DS392" s="1" t="s">
        <v>368</v>
      </c>
      <c r="DU392" s="1" t="s">
        <v>1840</v>
      </c>
      <c r="DV392" s="1" t="s">
        <v>5544</v>
      </c>
      <c r="DW392" s="1" t="s">
        <v>764</v>
      </c>
      <c r="DX392" s="1" t="s">
        <v>234</v>
      </c>
      <c r="DY392" s="1" t="s">
        <v>2841</v>
      </c>
      <c r="DZ392" s="1" t="s">
        <v>4077</v>
      </c>
      <c r="EA392" s="1" t="s">
        <v>1027</v>
      </c>
      <c r="EB392" s="1" t="s">
        <v>684</v>
      </c>
      <c r="EC392" s="1" t="s">
        <v>237</v>
      </c>
      <c r="ED392" s="1" t="s">
        <v>555</v>
      </c>
      <c r="EE392" s="1" t="s">
        <v>493</v>
      </c>
      <c r="EG392" s="1" t="s">
        <v>449</v>
      </c>
      <c r="EH392" s="1" t="s">
        <v>451</v>
      </c>
      <c r="EI392" s="1" t="s">
        <v>373</v>
      </c>
      <c r="EJ392" s="1" t="s">
        <v>408</v>
      </c>
      <c r="EL392" s="1" t="s">
        <v>1229</v>
      </c>
      <c r="EM392" s="1" t="s">
        <v>206</v>
      </c>
      <c r="EN392" s="1" t="s">
        <v>207</v>
      </c>
      <c r="EP392" s="1" t="s">
        <v>3905</v>
      </c>
      <c r="EQ392" s="1" t="s">
        <v>42</v>
      </c>
      <c r="ER392" s="1" t="s">
        <v>210</v>
      </c>
      <c r="ET392" s="1" t="s">
        <v>1483</v>
      </c>
      <c r="EU392" s="1" t="s">
        <v>206</v>
      </c>
      <c r="EV392" s="1" t="s">
        <v>210</v>
      </c>
      <c r="EX392" s="1" t="s">
        <v>543</v>
      </c>
      <c r="EY392" s="1" t="s">
        <v>206</v>
      </c>
      <c r="EZ392" s="1" t="s">
        <v>207</v>
      </c>
      <c r="FC392" s="1" t="s">
        <v>238</v>
      </c>
      <c r="FF392" s="1" t="s">
        <v>239</v>
      </c>
      <c r="FG392" s="1" t="s">
        <v>192</v>
      </c>
      <c r="FH392" s="1" t="s">
        <v>192</v>
      </c>
      <c r="FJ392" s="1" t="s">
        <v>5545</v>
      </c>
      <c r="FK392" s="1" t="s">
        <v>229</v>
      </c>
      <c r="FL392" s="1" t="s">
        <v>625</v>
      </c>
      <c r="FM392" s="1">
        <v>37.0</v>
      </c>
      <c r="FN392" s="1" t="s">
        <v>626</v>
      </c>
      <c r="FO392" s="1" t="s">
        <v>627</v>
      </c>
      <c r="FP392" s="1">
        <v>77100.0</v>
      </c>
      <c r="FQ392" s="1" t="s">
        <v>628</v>
      </c>
      <c r="FR392" s="1">
        <v>164.0</v>
      </c>
      <c r="FS392" s="1" t="s">
        <v>629</v>
      </c>
      <c r="FU392" s="1" t="s">
        <v>5546</v>
      </c>
      <c r="FV392" s="1" t="s">
        <v>200</v>
      </c>
      <c r="FW392" s="1" t="s">
        <v>290</v>
      </c>
      <c r="FZ392" s="1" t="s">
        <v>632</v>
      </c>
      <c r="GA392" s="1" t="s">
        <v>291</v>
      </c>
      <c r="GB392" s="2">
        <v>42055.0</v>
      </c>
    </row>
    <row r="393">
      <c r="A393" s="1">
        <v>310000.0</v>
      </c>
      <c r="B393" s="1" t="s">
        <v>185</v>
      </c>
      <c r="C393" s="1" t="str">
        <f>"08793585"</f>
        <v>08793585</v>
      </c>
      <c r="D393" s="1" t="s">
        <v>186</v>
      </c>
      <c r="F393" s="1" t="str">
        <f>"560"</f>
        <v>560</v>
      </c>
      <c r="G393" s="2">
        <v>41971.0</v>
      </c>
      <c r="H393" s="1">
        <v>349900.0</v>
      </c>
      <c r="I393" s="1">
        <v>139.0</v>
      </c>
      <c r="J393" s="1">
        <v>319900.0</v>
      </c>
      <c r="K393" s="2">
        <v>42109.0</v>
      </c>
      <c r="L393" s="1">
        <v>139.0</v>
      </c>
      <c r="M393" s="2">
        <v>42109.0</v>
      </c>
      <c r="N393" s="1" t="s">
        <v>187</v>
      </c>
      <c r="O393" s="2">
        <v>42138.0</v>
      </c>
      <c r="P393" s="1">
        <v>232124.0</v>
      </c>
      <c r="Q393" s="1">
        <v>23156.0</v>
      </c>
      <c r="S393" s="1">
        <v>5968.0</v>
      </c>
      <c r="T393" s="1" t="s">
        <v>5547</v>
      </c>
      <c r="U393" s="1" t="s">
        <v>1174</v>
      </c>
      <c r="V393" s="1" t="s">
        <v>845</v>
      </c>
      <c r="W393" s="1">
        <v>60560.0</v>
      </c>
      <c r="Y393" s="1" t="s">
        <v>5548</v>
      </c>
      <c r="Z393" s="1">
        <v>2003.0</v>
      </c>
      <c r="AA393" s="1" t="s">
        <v>200</v>
      </c>
      <c r="AB393" s="1" t="s">
        <v>193</v>
      </c>
      <c r="AC393" s="1" t="s">
        <v>5549</v>
      </c>
      <c r="AD393" s="1" t="s">
        <v>1089</v>
      </c>
      <c r="AE393" s="1" t="s">
        <v>849</v>
      </c>
      <c r="AF393" s="1" t="s">
        <v>1529</v>
      </c>
      <c r="AG393" s="1" t="s">
        <v>752</v>
      </c>
      <c r="AH393" s="1" t="s">
        <v>5550</v>
      </c>
      <c r="AI393" s="1">
        <v>1.19</v>
      </c>
      <c r="AK393" s="1">
        <v>10.0</v>
      </c>
      <c r="AL393" s="1">
        <v>4.0</v>
      </c>
      <c r="AM393" s="1">
        <v>3.0</v>
      </c>
      <c r="AN393" s="1">
        <v>1.0</v>
      </c>
      <c r="AO393" s="1" t="s">
        <v>198</v>
      </c>
      <c r="AP393" s="1">
        <v>1.0</v>
      </c>
      <c r="AQ393" s="1" t="s">
        <v>198</v>
      </c>
      <c r="AR393" s="1" t="s">
        <v>200</v>
      </c>
      <c r="AS393" s="1" t="s">
        <v>199</v>
      </c>
      <c r="AT393" s="1">
        <v>5.0</v>
      </c>
      <c r="AV393" s="1" t="s">
        <v>200</v>
      </c>
      <c r="AW393" s="1">
        <v>11522.98</v>
      </c>
      <c r="AX393" s="1">
        <v>2013.0</v>
      </c>
      <c r="AY393" s="1" t="s">
        <v>387</v>
      </c>
      <c r="AZ393" s="1" t="s">
        <v>200</v>
      </c>
      <c r="BA393" s="1" t="str">
        <f>"0235382002"</f>
        <v>0235382002</v>
      </c>
      <c r="BB393" s="1" t="s">
        <v>200</v>
      </c>
      <c r="BC393" s="1">
        <v>3011.0</v>
      </c>
      <c r="BD393" s="1">
        <v>310000.0</v>
      </c>
      <c r="BE393" s="2">
        <v>41971.0</v>
      </c>
      <c r="BF393" s="2" t="s">
        <v>5551</v>
      </c>
      <c r="BG393" s="1" t="s">
        <v>5552</v>
      </c>
      <c r="BH393" s="1">
        <v>350.0</v>
      </c>
      <c r="BI393" s="1" t="s">
        <v>3052</v>
      </c>
      <c r="BJ393" s="1" t="s">
        <v>3053</v>
      </c>
      <c r="BK393" s="1" t="s">
        <v>580</v>
      </c>
      <c r="BL393" s="1" t="str">
        <f t="shared" ref="BL393:BM393" si="260">"0"</f>
        <v>0</v>
      </c>
      <c r="BM393" s="1" t="str">
        <f t="shared" si="260"/>
        <v>0</v>
      </c>
      <c r="BN393" s="1">
        <v>0.0</v>
      </c>
      <c r="BO393" s="1">
        <v>0.0</v>
      </c>
      <c r="BQ393" s="1">
        <v>115.0</v>
      </c>
      <c r="BR393" s="1">
        <v>115.0</v>
      </c>
      <c r="BS393" s="1">
        <v>115.0</v>
      </c>
      <c r="BU393" s="1" t="s">
        <v>363</v>
      </c>
      <c r="BV393" s="1" t="s">
        <v>206</v>
      </c>
      <c r="BW393" s="1" t="s">
        <v>210</v>
      </c>
      <c r="BX393" s="1" t="s">
        <v>1118</v>
      </c>
      <c r="BY393" s="1" t="s">
        <v>758</v>
      </c>
      <c r="BZ393" s="1" t="s">
        <v>206</v>
      </c>
      <c r="CA393" s="1" t="s">
        <v>210</v>
      </c>
      <c r="CB393" s="1" t="s">
        <v>431</v>
      </c>
      <c r="CC393" s="1" t="s">
        <v>433</v>
      </c>
      <c r="CD393" s="1" t="s">
        <v>206</v>
      </c>
      <c r="CE393" s="1" t="s">
        <v>210</v>
      </c>
      <c r="CF393" s="1" t="s">
        <v>1118</v>
      </c>
      <c r="CG393" s="1" t="s">
        <v>454</v>
      </c>
      <c r="CH393" s="1" t="s">
        <v>209</v>
      </c>
      <c r="CI393" s="1" t="s">
        <v>210</v>
      </c>
      <c r="CJ393" s="1" t="s">
        <v>431</v>
      </c>
      <c r="CK393" s="1" t="s">
        <v>262</v>
      </c>
      <c r="CL393" s="1" t="s">
        <v>209</v>
      </c>
      <c r="CM393" s="1" t="s">
        <v>210</v>
      </c>
      <c r="CN393" s="1" t="s">
        <v>431</v>
      </c>
      <c r="CO393" s="1" t="s">
        <v>454</v>
      </c>
      <c r="CP393" s="1" t="s">
        <v>209</v>
      </c>
      <c r="CQ393" s="1" t="s">
        <v>210</v>
      </c>
      <c r="CR393" s="1" t="s">
        <v>431</v>
      </c>
      <c r="CS393" s="1" t="s">
        <v>212</v>
      </c>
      <c r="CT393" s="1" t="s">
        <v>206</v>
      </c>
      <c r="CU393" s="1" t="s">
        <v>207</v>
      </c>
      <c r="CV393" s="1" t="s">
        <v>229</v>
      </c>
      <c r="CW393" s="1" t="s">
        <v>3595</v>
      </c>
      <c r="CX393" s="1" t="s">
        <v>206</v>
      </c>
      <c r="CY393" s="1" t="s">
        <v>210</v>
      </c>
      <c r="CZ393" s="1" t="s">
        <v>431</v>
      </c>
      <c r="DA393" s="1" t="s">
        <v>200</v>
      </c>
      <c r="DC393" s="1" t="s">
        <v>335</v>
      </c>
      <c r="DD393" s="1" t="s">
        <v>5553</v>
      </c>
      <c r="DE393" s="1" t="s">
        <v>273</v>
      </c>
      <c r="DF393" s="1" t="s">
        <v>619</v>
      </c>
      <c r="DG393" s="1" t="s">
        <v>5554</v>
      </c>
      <c r="DH393" s="1" t="s">
        <v>856</v>
      </c>
      <c r="DI393" s="1" t="s">
        <v>2420</v>
      </c>
      <c r="DJ393" s="1" t="s">
        <v>857</v>
      </c>
      <c r="DK393" s="1" t="s">
        <v>223</v>
      </c>
      <c r="DL393" s="1" t="s">
        <v>223</v>
      </c>
      <c r="DM393" s="1" t="s">
        <v>338</v>
      </c>
      <c r="DN393" s="1" t="s">
        <v>5555</v>
      </c>
      <c r="DO393" s="1" t="s">
        <v>486</v>
      </c>
      <c r="DP393" s="1" t="s">
        <v>340</v>
      </c>
      <c r="DQ393" s="1" t="s">
        <v>931</v>
      </c>
      <c r="DR393" s="1" t="s">
        <v>588</v>
      </c>
      <c r="DS393" s="1" t="s">
        <v>591</v>
      </c>
      <c r="DU393" s="1" t="s">
        <v>5556</v>
      </c>
      <c r="DV393" s="1" t="s">
        <v>5557</v>
      </c>
      <c r="DW393" s="1" t="s">
        <v>5558</v>
      </c>
      <c r="DX393" s="1" t="s">
        <v>234</v>
      </c>
      <c r="DY393" s="1" t="s">
        <v>5559</v>
      </c>
      <c r="DZ393" s="1" t="s">
        <v>5560</v>
      </c>
      <c r="EA393" s="1" t="s">
        <v>344</v>
      </c>
      <c r="EB393" s="1" t="s">
        <v>345</v>
      </c>
      <c r="EC393" s="1" t="s">
        <v>237</v>
      </c>
      <c r="ED393" s="1" t="s">
        <v>864</v>
      </c>
      <c r="EE393" s="1" t="s">
        <v>493</v>
      </c>
      <c r="EG393" s="1" t="s">
        <v>556</v>
      </c>
      <c r="EH393" s="1" t="s">
        <v>1571</v>
      </c>
      <c r="EI393" s="1" t="s">
        <v>341</v>
      </c>
      <c r="EL393" s="1" t="s">
        <v>212</v>
      </c>
      <c r="EM393" s="1" t="s">
        <v>206</v>
      </c>
      <c r="EN393" s="1" t="s">
        <v>207</v>
      </c>
      <c r="EO393" s="1" t="s">
        <v>431</v>
      </c>
      <c r="EP393" s="1" t="s">
        <v>5561</v>
      </c>
      <c r="EQ393" s="1" t="s">
        <v>209</v>
      </c>
      <c r="ER393" s="1" t="s">
        <v>210</v>
      </c>
      <c r="ES393" s="1" t="s">
        <v>229</v>
      </c>
      <c r="ET393" s="1" t="s">
        <v>5562</v>
      </c>
      <c r="EU393" s="1" t="s">
        <v>209</v>
      </c>
      <c r="EV393" s="1" t="s">
        <v>210</v>
      </c>
      <c r="EW393" s="1" t="s">
        <v>229</v>
      </c>
      <c r="EY393" s="1" t="s">
        <v>238</v>
      </c>
      <c r="FC393" s="1" t="s">
        <v>238</v>
      </c>
      <c r="FF393" s="1" t="s">
        <v>239</v>
      </c>
      <c r="FG393" s="1" t="s">
        <v>192</v>
      </c>
      <c r="FH393" s="1" t="s">
        <v>192</v>
      </c>
      <c r="FJ393" s="1" t="s">
        <v>733</v>
      </c>
      <c r="FK393" s="1" t="s">
        <v>229</v>
      </c>
      <c r="FL393" s="1" t="s">
        <v>974</v>
      </c>
      <c r="FM393" s="1">
        <v>23312.0</v>
      </c>
      <c r="FN393" s="1" t="s">
        <v>3834</v>
      </c>
      <c r="FO393" s="1" t="s">
        <v>3835</v>
      </c>
      <c r="FP393" s="1">
        <v>219521.0</v>
      </c>
      <c r="FQ393" s="1" t="s">
        <v>3836</v>
      </c>
      <c r="FS393" s="1" t="s">
        <v>3837</v>
      </c>
      <c r="FU393" s="1" t="s">
        <v>5563</v>
      </c>
      <c r="FV393" s="1" t="s">
        <v>200</v>
      </c>
      <c r="FW393" s="1" t="s">
        <v>567</v>
      </c>
      <c r="FZ393" s="1" t="s">
        <v>229</v>
      </c>
      <c r="GA393" s="1" t="s">
        <v>291</v>
      </c>
      <c r="GB393" s="2">
        <v>42138.0</v>
      </c>
      <c r="GC393" s="1" t="s">
        <v>5564</v>
      </c>
    </row>
    <row r="394">
      <c r="A394" s="1">
        <v>70000.0</v>
      </c>
      <c r="B394" s="1" t="s">
        <v>185</v>
      </c>
      <c r="C394" s="1" t="str">
        <f>"08795235"</f>
        <v>08795235</v>
      </c>
      <c r="D394" s="1" t="s">
        <v>186</v>
      </c>
      <c r="F394" s="1" t="str">
        <f>"115"</f>
        <v>115</v>
      </c>
      <c r="G394" s="2">
        <v>41975.0</v>
      </c>
      <c r="H394" s="1">
        <v>74900.0</v>
      </c>
      <c r="I394" s="1">
        <v>372.0</v>
      </c>
      <c r="J394" s="1">
        <v>74900.0</v>
      </c>
      <c r="K394" s="2">
        <v>41979.0</v>
      </c>
      <c r="L394" s="1">
        <v>6.0</v>
      </c>
      <c r="M394" s="2">
        <v>41979.0</v>
      </c>
      <c r="N394" s="1" t="s">
        <v>249</v>
      </c>
      <c r="O394" s="2">
        <v>42002.0</v>
      </c>
      <c r="P394" s="1">
        <v>930187.0</v>
      </c>
      <c r="Q394" s="1">
        <v>93067.0</v>
      </c>
      <c r="S394" s="1">
        <v>1315.0</v>
      </c>
      <c r="T394" s="1" t="s">
        <v>5565</v>
      </c>
      <c r="U394" s="1" t="s">
        <v>320</v>
      </c>
      <c r="V394" s="1" t="s">
        <v>610</v>
      </c>
      <c r="W394" s="1">
        <v>60115.0</v>
      </c>
      <c r="Y394" s="1" t="s">
        <v>5566</v>
      </c>
      <c r="Z394" s="1" t="s">
        <v>296</v>
      </c>
      <c r="AA394" s="1" t="s">
        <v>192</v>
      </c>
      <c r="AB394" s="1" t="s">
        <v>193</v>
      </c>
      <c r="AD394" s="1" t="s">
        <v>612</v>
      </c>
      <c r="AE394" s="1" t="s">
        <v>613</v>
      </c>
      <c r="AF394" s="1" t="s">
        <v>612</v>
      </c>
      <c r="AH394" s="1" t="s">
        <v>5567</v>
      </c>
      <c r="AI394" s="1">
        <v>0.1783</v>
      </c>
      <c r="AK394" s="1">
        <v>7.0</v>
      </c>
      <c r="AL394" s="1">
        <v>4.0</v>
      </c>
      <c r="AM394" s="1">
        <v>2.0</v>
      </c>
      <c r="AN394" s="1">
        <v>0.0</v>
      </c>
      <c r="AO394" s="1" t="s">
        <v>198</v>
      </c>
      <c r="AQ394" s="1" t="s">
        <v>198</v>
      </c>
      <c r="AR394" s="1" t="s">
        <v>200</v>
      </c>
      <c r="AS394" s="1" t="s">
        <v>199</v>
      </c>
      <c r="AT394" s="1">
        <v>1.5</v>
      </c>
      <c r="AV394" s="1" t="s">
        <v>200</v>
      </c>
      <c r="AW394" s="1">
        <v>1854.08</v>
      </c>
      <c r="AX394" s="1">
        <v>2013.0</v>
      </c>
      <c r="AY394" s="1" t="s">
        <v>1917</v>
      </c>
      <c r="AZ394" s="1" t="s">
        <v>200</v>
      </c>
      <c r="BA394" s="1" t="str">
        <f>"0823227012"</f>
        <v>0823227012</v>
      </c>
      <c r="BC394" s="1">
        <v>1479.0</v>
      </c>
      <c r="BD394" s="1">
        <v>70000.0</v>
      </c>
      <c r="BE394" s="2">
        <v>41974.0</v>
      </c>
      <c r="BF394" s="2" t="s">
        <v>5568</v>
      </c>
      <c r="BH394" s="1">
        <v>0.0</v>
      </c>
      <c r="BK394" s="1" t="s">
        <v>204</v>
      </c>
      <c r="BL394" s="1" t="str">
        <f t="shared" ref="BL394:BM394" si="261">""</f>
        <v/>
      </c>
      <c r="BM394" s="1" t="str">
        <f t="shared" si="261"/>
        <v/>
      </c>
      <c r="BQ394" s="1">
        <v>428.0</v>
      </c>
      <c r="BR394" s="1">
        <v>428.0</v>
      </c>
      <c r="BS394" s="1">
        <v>428.0</v>
      </c>
      <c r="BU394" s="1" t="s">
        <v>663</v>
      </c>
      <c r="BV394" s="1" t="s">
        <v>206</v>
      </c>
      <c r="BW394" s="1" t="s">
        <v>210</v>
      </c>
      <c r="BX394" s="1" t="s">
        <v>239</v>
      </c>
      <c r="BY394" s="1" t="s">
        <v>302</v>
      </c>
      <c r="BZ394" s="1" t="s">
        <v>206</v>
      </c>
      <c r="CA394" s="1" t="s">
        <v>617</v>
      </c>
      <c r="CB394" s="1" t="s">
        <v>239</v>
      </c>
      <c r="CC394" s="1" t="s">
        <v>663</v>
      </c>
      <c r="CD394" s="1" t="s">
        <v>206</v>
      </c>
      <c r="CE394" s="1" t="s">
        <v>210</v>
      </c>
      <c r="CF394" s="1" t="s">
        <v>239</v>
      </c>
      <c r="CG394" s="1" t="s">
        <v>363</v>
      </c>
      <c r="CH394" s="1" t="s">
        <v>209</v>
      </c>
      <c r="CI394" s="1" t="s">
        <v>210</v>
      </c>
      <c r="CJ394" s="1" t="s">
        <v>239</v>
      </c>
      <c r="CK394" s="1" t="s">
        <v>3805</v>
      </c>
      <c r="CL394" s="1" t="s">
        <v>209</v>
      </c>
      <c r="CM394" s="1" t="s">
        <v>210</v>
      </c>
      <c r="CN394" s="1" t="s">
        <v>239</v>
      </c>
      <c r="CO394" s="1" t="s">
        <v>3182</v>
      </c>
      <c r="CP394" s="1" t="s">
        <v>209</v>
      </c>
      <c r="CQ394" s="1" t="s">
        <v>210</v>
      </c>
      <c r="CR394" s="1" t="s">
        <v>239</v>
      </c>
      <c r="CS394" s="1" t="s">
        <v>4205</v>
      </c>
      <c r="CT394" s="1" t="s">
        <v>206</v>
      </c>
      <c r="CU394" s="1" t="s">
        <v>617</v>
      </c>
      <c r="CV394" s="1" t="s">
        <v>239</v>
      </c>
      <c r="CX394" s="1" t="s">
        <v>204</v>
      </c>
      <c r="DA394" s="1" t="s">
        <v>200</v>
      </c>
      <c r="DC394" s="1" t="s">
        <v>216</v>
      </c>
      <c r="DD394" s="1" t="s">
        <v>518</v>
      </c>
      <c r="DE394" s="1" t="s">
        <v>273</v>
      </c>
      <c r="DF394" s="1" t="s">
        <v>219</v>
      </c>
      <c r="DG394" s="1" t="s">
        <v>337</v>
      </c>
      <c r="DH394" s="1" t="s">
        <v>220</v>
      </c>
      <c r="DI394" s="1" t="s">
        <v>1401</v>
      </c>
      <c r="DJ394" s="1" t="s">
        <v>222</v>
      </c>
      <c r="DL394" s="1" t="s">
        <v>223</v>
      </c>
      <c r="DM394" s="1" t="s">
        <v>1268</v>
      </c>
      <c r="DP394" s="1" t="s">
        <v>340</v>
      </c>
      <c r="DQ394" s="1" t="s">
        <v>228</v>
      </c>
      <c r="DR394" s="1" t="s">
        <v>229</v>
      </c>
      <c r="DS394" s="1" t="s">
        <v>5569</v>
      </c>
      <c r="DU394" s="1" t="s">
        <v>5570</v>
      </c>
      <c r="DV394" s="1" t="s">
        <v>408</v>
      </c>
      <c r="DW394" s="1" t="s">
        <v>370</v>
      </c>
      <c r="DX394" s="1" t="s">
        <v>3205</v>
      </c>
      <c r="DY394" s="1" t="s">
        <v>1371</v>
      </c>
      <c r="DZ394" s="1" t="s">
        <v>343</v>
      </c>
      <c r="EA394" s="1" t="s">
        <v>344</v>
      </c>
      <c r="EC394" s="1" t="s">
        <v>645</v>
      </c>
      <c r="EG394" s="1" t="s">
        <v>408</v>
      </c>
      <c r="EL394" s="1" t="s">
        <v>303</v>
      </c>
      <c r="EM394" s="1" t="s">
        <v>206</v>
      </c>
      <c r="EN394" s="1" t="s">
        <v>617</v>
      </c>
      <c r="EO394" s="1" t="s">
        <v>239</v>
      </c>
      <c r="EQ394" s="1" t="s">
        <v>238</v>
      </c>
      <c r="EU394" s="1" t="s">
        <v>238</v>
      </c>
      <c r="EY394" s="1" t="s">
        <v>238</v>
      </c>
      <c r="FC394" s="1" t="s">
        <v>238</v>
      </c>
      <c r="FF394" s="1" t="s">
        <v>239</v>
      </c>
      <c r="FG394" s="1" t="s">
        <v>192</v>
      </c>
      <c r="FH394" s="1" t="s">
        <v>192</v>
      </c>
      <c r="FJ394" s="1" t="s">
        <v>5571</v>
      </c>
      <c r="FK394" s="1" t="s">
        <v>348</v>
      </c>
      <c r="FL394" s="1" t="s">
        <v>5572</v>
      </c>
      <c r="FM394" s="1">
        <v>24811.0</v>
      </c>
      <c r="FN394" s="1" t="s">
        <v>5573</v>
      </c>
      <c r="FO394" s="1" t="s">
        <v>5574</v>
      </c>
      <c r="FP394" s="1">
        <v>237447.0</v>
      </c>
      <c r="FR394" s="1">
        <v>237457.0</v>
      </c>
      <c r="FU394" s="1" t="s">
        <v>2030</v>
      </c>
      <c r="FV394" s="1" t="s">
        <v>200</v>
      </c>
      <c r="FW394" s="1" t="s">
        <v>5575</v>
      </c>
      <c r="FZ394" s="1" t="s">
        <v>229</v>
      </c>
      <c r="GA394" s="1" t="s">
        <v>291</v>
      </c>
      <c r="GB394" s="2">
        <v>42002.0</v>
      </c>
    </row>
    <row r="395">
      <c r="A395" s="1">
        <v>230000.0</v>
      </c>
      <c r="B395" s="1" t="s">
        <v>185</v>
      </c>
      <c r="C395" s="1" t="str">
        <f>"08789339"</f>
        <v>08789339</v>
      </c>
      <c r="D395" s="1" t="s">
        <v>186</v>
      </c>
      <c r="F395" s="1" t="str">
        <f>"123"</f>
        <v>123</v>
      </c>
      <c r="G395" s="2">
        <v>41962.0</v>
      </c>
      <c r="H395" s="1">
        <v>239900.0</v>
      </c>
      <c r="I395" s="1">
        <v>7.0</v>
      </c>
      <c r="J395" s="1">
        <v>234900.0</v>
      </c>
      <c r="K395" s="2">
        <v>41968.0</v>
      </c>
      <c r="L395" s="1">
        <v>7.0</v>
      </c>
      <c r="M395" s="2">
        <v>41968.0</v>
      </c>
      <c r="N395" s="1" t="s">
        <v>634</v>
      </c>
      <c r="O395" s="2">
        <v>42037.0</v>
      </c>
      <c r="P395" s="1">
        <v>625.0</v>
      </c>
      <c r="Q395" s="1">
        <v>30.0</v>
      </c>
      <c r="S395" s="1">
        <v>2845.0</v>
      </c>
      <c r="T395" s="1" t="s">
        <v>447</v>
      </c>
      <c r="U395" s="1" t="s">
        <v>569</v>
      </c>
      <c r="V395" s="1" t="s">
        <v>465</v>
      </c>
      <c r="W395" s="1">
        <v>60124.0</v>
      </c>
      <c r="Y395" s="1" t="s">
        <v>5576</v>
      </c>
      <c r="Z395" s="1">
        <v>1993.0</v>
      </c>
      <c r="AA395" s="1" t="s">
        <v>200</v>
      </c>
      <c r="AB395" s="1" t="s">
        <v>193</v>
      </c>
      <c r="AC395" s="1" t="s">
        <v>5577</v>
      </c>
      <c r="AD395" s="1" t="s">
        <v>469</v>
      </c>
      <c r="AE395" s="1" t="s">
        <v>325</v>
      </c>
      <c r="AF395" s="1" t="s">
        <v>469</v>
      </c>
      <c r="AH395" s="1" t="s">
        <v>5578</v>
      </c>
      <c r="AI395" s="1">
        <v>0.2513</v>
      </c>
      <c r="AK395" s="1">
        <v>11.0</v>
      </c>
      <c r="AL395" s="1">
        <v>4.0</v>
      </c>
      <c r="AM395" s="1">
        <v>2.0</v>
      </c>
      <c r="AN395" s="1">
        <v>1.0</v>
      </c>
      <c r="AO395" s="1" t="s">
        <v>198</v>
      </c>
      <c r="AP395" s="1">
        <v>0.0</v>
      </c>
      <c r="AQ395" s="1" t="s">
        <v>198</v>
      </c>
      <c r="AR395" s="1" t="s">
        <v>200</v>
      </c>
      <c r="AS395" s="1" t="s">
        <v>199</v>
      </c>
      <c r="AT395" s="1">
        <v>2.0</v>
      </c>
      <c r="AV395" s="1" t="s">
        <v>200</v>
      </c>
      <c r="AW395" s="4">
        <v>7063.9</v>
      </c>
      <c r="AX395" s="1">
        <v>2013.0</v>
      </c>
      <c r="AY395" s="1" t="s">
        <v>387</v>
      </c>
      <c r="AZ395" s="1" t="s">
        <v>200</v>
      </c>
      <c r="BA395" s="1" t="str">
        <f>"0617179003"</f>
        <v>0617179003</v>
      </c>
      <c r="BC395" s="1">
        <v>2235.0</v>
      </c>
      <c r="BD395" s="1">
        <v>230000.0</v>
      </c>
      <c r="BE395" s="2">
        <v>41962.0</v>
      </c>
      <c r="BF395" s="2" t="s">
        <v>5579</v>
      </c>
      <c r="BH395" s="1">
        <v>0.0</v>
      </c>
      <c r="BK395" s="1" t="s">
        <v>204</v>
      </c>
      <c r="BL395" s="1" t="str">
        <f>"11"</f>
        <v>11</v>
      </c>
      <c r="BM395" s="1" t="str">
        <f>"0"</f>
        <v>0</v>
      </c>
      <c r="BN395" s="1">
        <v>37.0</v>
      </c>
      <c r="BO395" s="1">
        <v>0.0</v>
      </c>
      <c r="BQ395" s="1">
        <v>301.0</v>
      </c>
      <c r="BR395" s="1">
        <v>301.0</v>
      </c>
      <c r="BS395" s="1">
        <v>301.0</v>
      </c>
      <c r="BU395" s="1" t="s">
        <v>454</v>
      </c>
      <c r="BV395" s="1" t="s">
        <v>206</v>
      </c>
      <c r="BW395" s="1" t="s">
        <v>301</v>
      </c>
      <c r="BY395" s="1" t="s">
        <v>544</v>
      </c>
      <c r="BZ395" s="1" t="s">
        <v>209</v>
      </c>
      <c r="CA395" s="1" t="s">
        <v>210</v>
      </c>
      <c r="CC395" s="1" t="s">
        <v>212</v>
      </c>
      <c r="CD395" s="1" t="s">
        <v>206</v>
      </c>
      <c r="CE395" s="1" t="s">
        <v>301</v>
      </c>
      <c r="CG395" s="1" t="s">
        <v>363</v>
      </c>
      <c r="CH395" s="1" t="s">
        <v>209</v>
      </c>
      <c r="CI395" s="1" t="s">
        <v>210</v>
      </c>
      <c r="CK395" s="1" t="s">
        <v>212</v>
      </c>
      <c r="CL395" s="1" t="s">
        <v>209</v>
      </c>
      <c r="CM395" s="1" t="s">
        <v>210</v>
      </c>
      <c r="CO395" s="1" t="s">
        <v>212</v>
      </c>
      <c r="CP395" s="1" t="s">
        <v>209</v>
      </c>
      <c r="CQ395" s="1" t="s">
        <v>210</v>
      </c>
      <c r="CS395" s="1" t="s">
        <v>433</v>
      </c>
      <c r="CT395" s="1" t="s">
        <v>206</v>
      </c>
      <c r="CU395" s="1" t="s">
        <v>301</v>
      </c>
      <c r="CW395" s="1" t="s">
        <v>1426</v>
      </c>
      <c r="CX395" s="1" t="s">
        <v>206</v>
      </c>
      <c r="CY395" s="1" t="s">
        <v>301</v>
      </c>
      <c r="DA395" s="1" t="s">
        <v>200</v>
      </c>
      <c r="DC395" s="1" t="s">
        <v>435</v>
      </c>
      <c r="DD395" s="1" t="s">
        <v>518</v>
      </c>
      <c r="DE395" s="1" t="s">
        <v>273</v>
      </c>
      <c r="DF395" s="1" t="s">
        <v>219</v>
      </c>
      <c r="DH395" s="1" t="s">
        <v>220</v>
      </c>
      <c r="DI395" s="1" t="s">
        <v>221</v>
      </c>
      <c r="DJ395" s="1" t="s">
        <v>222</v>
      </c>
      <c r="DL395" s="1" t="s">
        <v>224</v>
      </c>
      <c r="DM395" s="1" t="s">
        <v>338</v>
      </c>
      <c r="DN395" s="1" t="s">
        <v>485</v>
      </c>
      <c r="DO395" s="1" t="s">
        <v>549</v>
      </c>
      <c r="DP395" s="1" t="s">
        <v>340</v>
      </c>
      <c r="DQ395" s="1" t="s">
        <v>228</v>
      </c>
      <c r="DR395" s="1" t="s">
        <v>229</v>
      </c>
      <c r="DS395" s="1" t="s">
        <v>230</v>
      </c>
      <c r="DU395" s="1" t="s">
        <v>3021</v>
      </c>
      <c r="DV395" s="1" t="s">
        <v>5580</v>
      </c>
      <c r="DW395" s="1" t="s">
        <v>444</v>
      </c>
      <c r="DX395" s="1" t="s">
        <v>234</v>
      </c>
      <c r="DY395" s="1" t="s">
        <v>5581</v>
      </c>
      <c r="DZ395" s="1" t="s">
        <v>282</v>
      </c>
      <c r="EC395" s="1" t="s">
        <v>237</v>
      </c>
      <c r="ED395" s="1" t="s">
        <v>407</v>
      </c>
      <c r="EE395" s="1" t="s">
        <v>493</v>
      </c>
      <c r="EG395" s="1" t="s">
        <v>449</v>
      </c>
      <c r="EH395" s="1" t="s">
        <v>450</v>
      </c>
      <c r="EI395" s="1" t="s">
        <v>2023</v>
      </c>
      <c r="EL395" s="1" t="s">
        <v>264</v>
      </c>
      <c r="EM395" s="1" t="s">
        <v>206</v>
      </c>
      <c r="EN395" s="1" t="s">
        <v>301</v>
      </c>
      <c r="EP395" s="1" t="s">
        <v>5582</v>
      </c>
      <c r="EQ395" s="1" t="s">
        <v>42</v>
      </c>
      <c r="ER395" s="1" t="s">
        <v>617</v>
      </c>
      <c r="ET395" s="1" t="s">
        <v>784</v>
      </c>
      <c r="EU395" s="1" t="s">
        <v>42</v>
      </c>
      <c r="EV395" s="1" t="s">
        <v>617</v>
      </c>
      <c r="EY395" s="1" t="s">
        <v>238</v>
      </c>
      <c r="FC395" s="1" t="s">
        <v>238</v>
      </c>
      <c r="FF395" s="1" t="s">
        <v>239</v>
      </c>
      <c r="FG395" s="1" t="s">
        <v>192</v>
      </c>
      <c r="FH395" s="1" t="s">
        <v>192</v>
      </c>
      <c r="FJ395" s="1" t="s">
        <v>2552</v>
      </c>
      <c r="FK395" s="1" t="s">
        <v>348</v>
      </c>
      <c r="FL395" s="1" t="s">
        <v>1451</v>
      </c>
      <c r="FM395" s="1">
        <v>7450.0</v>
      </c>
      <c r="FN395" s="1" t="s">
        <v>1452</v>
      </c>
      <c r="FO395" s="1" t="s">
        <v>5583</v>
      </c>
      <c r="FP395" s="1">
        <v>70036.0</v>
      </c>
      <c r="FQ395" s="1" t="s">
        <v>5584</v>
      </c>
      <c r="FR395" s="1">
        <v>77640.0</v>
      </c>
      <c r="FU395" s="1" t="s">
        <v>5585</v>
      </c>
      <c r="FV395" s="1" t="s">
        <v>200</v>
      </c>
      <c r="FW395" s="1" t="s">
        <v>290</v>
      </c>
      <c r="FZ395" s="1" t="s">
        <v>632</v>
      </c>
      <c r="GA395" s="1" t="s">
        <v>291</v>
      </c>
      <c r="GB395" s="2">
        <v>42037.0</v>
      </c>
      <c r="GC395" s="1" t="s">
        <v>5586</v>
      </c>
    </row>
    <row r="396">
      <c r="A396" s="1">
        <v>235000.0</v>
      </c>
      <c r="B396" s="1" t="s">
        <v>185</v>
      </c>
      <c r="C396" s="1" t="str">
        <f>"08773973"</f>
        <v>08773973</v>
      </c>
      <c r="D396" s="1" t="s">
        <v>186</v>
      </c>
      <c r="F396" s="1" t="str">
        <f>"119"</f>
        <v>119</v>
      </c>
      <c r="G396" s="2">
        <v>41955.0</v>
      </c>
      <c r="H396" s="1">
        <v>255000.0</v>
      </c>
      <c r="I396" s="1">
        <v>238.0</v>
      </c>
      <c r="J396" s="1">
        <v>238900.0</v>
      </c>
      <c r="K396" s="2">
        <v>41992.0</v>
      </c>
      <c r="L396" s="1">
        <v>38.0</v>
      </c>
      <c r="M396" s="2">
        <v>41992.0</v>
      </c>
      <c r="N396" s="1" t="s">
        <v>187</v>
      </c>
      <c r="O396" s="2">
        <v>42020.0</v>
      </c>
      <c r="P396" s="1">
        <v>931587.0</v>
      </c>
      <c r="Q396" s="1">
        <v>93008.0</v>
      </c>
      <c r="S396" s="1">
        <v>832.0</v>
      </c>
      <c r="T396" s="1" t="s">
        <v>5587</v>
      </c>
      <c r="U396" s="1" t="s">
        <v>420</v>
      </c>
      <c r="V396" s="1" t="s">
        <v>1476</v>
      </c>
      <c r="W396" s="1">
        <v>60119.0</v>
      </c>
      <c r="Y396" s="1" t="s">
        <v>5588</v>
      </c>
      <c r="Z396" s="1">
        <v>1995.0</v>
      </c>
      <c r="AA396" s="1" t="s">
        <v>200</v>
      </c>
      <c r="AB396" s="1" t="s">
        <v>193</v>
      </c>
      <c r="AC396" s="1" t="s">
        <v>5589</v>
      </c>
      <c r="AD396" s="1" t="s">
        <v>1478</v>
      </c>
      <c r="AE396" s="1" t="s">
        <v>325</v>
      </c>
      <c r="AF396" s="1" t="s">
        <v>1632</v>
      </c>
      <c r="AH396" s="1" t="s">
        <v>5590</v>
      </c>
      <c r="AI396" s="1">
        <v>0.26</v>
      </c>
      <c r="AK396" s="1">
        <v>8.0</v>
      </c>
      <c r="AL396" s="1">
        <v>4.0</v>
      </c>
      <c r="AM396" s="1">
        <v>2.0</v>
      </c>
      <c r="AN396" s="1">
        <v>1.0</v>
      </c>
      <c r="AO396" s="1" t="s">
        <v>198</v>
      </c>
      <c r="AP396" s="1">
        <v>1.0</v>
      </c>
      <c r="AQ396" s="1" t="s">
        <v>198</v>
      </c>
      <c r="AR396" s="1" t="s">
        <v>200</v>
      </c>
      <c r="AS396" s="1" t="s">
        <v>199</v>
      </c>
      <c r="AT396" s="1">
        <v>2.0</v>
      </c>
      <c r="AV396" s="1" t="s">
        <v>200</v>
      </c>
      <c r="AW396" s="1">
        <v>7538.0</v>
      </c>
      <c r="AX396" s="1">
        <v>2013.0</v>
      </c>
      <c r="AY396" s="1" t="s">
        <v>387</v>
      </c>
      <c r="AZ396" s="1" t="s">
        <v>200</v>
      </c>
      <c r="BA396" s="1" t="str">
        <f>"0832326005"</f>
        <v>0832326005</v>
      </c>
      <c r="BB396" s="1" t="s">
        <v>200</v>
      </c>
      <c r="BC396" s="1">
        <v>2170.0</v>
      </c>
      <c r="BD396" s="1">
        <v>235000.0</v>
      </c>
      <c r="BE396" s="2">
        <v>41955.0</v>
      </c>
      <c r="BF396" s="2" t="s">
        <v>5591</v>
      </c>
      <c r="BH396" s="1">
        <v>0.0</v>
      </c>
      <c r="BK396" s="1" t="s">
        <v>204</v>
      </c>
      <c r="BL396" s="1" t="str">
        <f t="shared" ref="BL396:BM396" si="262">""</f>
        <v/>
      </c>
      <c r="BM396" s="1" t="str">
        <f t="shared" si="262"/>
        <v/>
      </c>
      <c r="BQ396" s="1">
        <v>302.0</v>
      </c>
      <c r="BR396" s="1">
        <v>302.0</v>
      </c>
      <c r="BS396" s="1">
        <v>302.0</v>
      </c>
      <c r="BU396" s="1" t="s">
        <v>302</v>
      </c>
      <c r="BV396" s="1" t="s">
        <v>206</v>
      </c>
      <c r="BW396" s="1" t="s">
        <v>210</v>
      </c>
      <c r="BX396" s="1" t="s">
        <v>261</v>
      </c>
      <c r="BY396" s="1" t="s">
        <v>830</v>
      </c>
      <c r="BZ396" s="1" t="s">
        <v>209</v>
      </c>
      <c r="CA396" s="1" t="s">
        <v>210</v>
      </c>
      <c r="CB396" s="1" t="s">
        <v>261</v>
      </c>
      <c r="CC396" s="1" t="s">
        <v>302</v>
      </c>
      <c r="CD396" s="1" t="s">
        <v>206</v>
      </c>
      <c r="CE396" s="1" t="s">
        <v>210</v>
      </c>
      <c r="CF396" s="1" t="s">
        <v>261</v>
      </c>
      <c r="CG396" s="1" t="s">
        <v>699</v>
      </c>
      <c r="CH396" s="1" t="s">
        <v>209</v>
      </c>
      <c r="CI396" s="1" t="s">
        <v>210</v>
      </c>
      <c r="CJ396" s="1" t="s">
        <v>261</v>
      </c>
      <c r="CK396" s="1" t="s">
        <v>699</v>
      </c>
      <c r="CL396" s="1" t="s">
        <v>209</v>
      </c>
      <c r="CM396" s="1" t="s">
        <v>210</v>
      </c>
      <c r="CN396" s="1" t="s">
        <v>261</v>
      </c>
      <c r="CO396" s="1" t="s">
        <v>303</v>
      </c>
      <c r="CP396" s="1" t="s">
        <v>209</v>
      </c>
      <c r="CQ396" s="1" t="s">
        <v>210</v>
      </c>
      <c r="CR396" s="1" t="s">
        <v>261</v>
      </c>
      <c r="CS396" s="1" t="s">
        <v>662</v>
      </c>
      <c r="CT396" s="1" t="s">
        <v>206</v>
      </c>
      <c r="CU396" s="1" t="s">
        <v>207</v>
      </c>
      <c r="CV396" s="1" t="s">
        <v>1549</v>
      </c>
      <c r="CW396" s="1" t="s">
        <v>1567</v>
      </c>
      <c r="CX396" s="1" t="s">
        <v>206</v>
      </c>
      <c r="CY396" s="1" t="s">
        <v>210</v>
      </c>
      <c r="CZ396" s="1" t="s">
        <v>431</v>
      </c>
      <c r="DA396" s="1" t="s">
        <v>200</v>
      </c>
      <c r="DC396" s="1" t="s">
        <v>678</v>
      </c>
      <c r="DD396" s="1" t="s">
        <v>396</v>
      </c>
      <c r="DE396" s="1" t="s">
        <v>273</v>
      </c>
      <c r="DF396" s="1" t="s">
        <v>219</v>
      </c>
      <c r="DG396" s="1" t="s">
        <v>3020</v>
      </c>
      <c r="DH396" s="1" t="s">
        <v>220</v>
      </c>
      <c r="DI396" s="1" t="s">
        <v>589</v>
      </c>
      <c r="DJ396" s="1" t="s">
        <v>222</v>
      </c>
      <c r="DK396" s="1" t="s">
        <v>223</v>
      </c>
      <c r="DL396" s="1" t="s">
        <v>223</v>
      </c>
      <c r="DM396" s="1" t="s">
        <v>229</v>
      </c>
      <c r="DN396" s="1" t="s">
        <v>399</v>
      </c>
      <c r="DO396" s="1" t="s">
        <v>930</v>
      </c>
      <c r="DP396" s="1" t="s">
        <v>340</v>
      </c>
      <c r="DQ396" s="1" t="s">
        <v>441</v>
      </c>
      <c r="DR396" s="1" t="s">
        <v>229</v>
      </c>
      <c r="DS396" s="1" t="s">
        <v>230</v>
      </c>
      <c r="DU396" s="1" t="s">
        <v>5592</v>
      </c>
      <c r="DV396" s="1" t="s">
        <v>720</v>
      </c>
      <c r="DW396" s="1" t="s">
        <v>891</v>
      </c>
      <c r="DX396" s="1" t="s">
        <v>234</v>
      </c>
      <c r="DY396" s="1" t="s">
        <v>490</v>
      </c>
      <c r="DZ396" s="1" t="s">
        <v>5593</v>
      </c>
      <c r="EA396" s="1" t="s">
        <v>447</v>
      </c>
      <c r="EB396" s="1" t="s">
        <v>492</v>
      </c>
      <c r="EC396" s="1" t="s">
        <v>237</v>
      </c>
      <c r="ED396" s="1" t="s">
        <v>407</v>
      </c>
      <c r="EG396" s="1" t="s">
        <v>720</v>
      </c>
      <c r="EL396" s="1" t="s">
        <v>4413</v>
      </c>
      <c r="EM396" s="1" t="s">
        <v>206</v>
      </c>
      <c r="EN396" s="1" t="s">
        <v>617</v>
      </c>
      <c r="EO396" s="1" t="s">
        <v>1549</v>
      </c>
      <c r="EQ396" s="1" t="s">
        <v>238</v>
      </c>
      <c r="EU396" s="1" t="s">
        <v>238</v>
      </c>
      <c r="EY396" s="1" t="s">
        <v>238</v>
      </c>
      <c r="FC396" s="1" t="s">
        <v>238</v>
      </c>
      <c r="FF396" s="1" t="s">
        <v>239</v>
      </c>
      <c r="FG396" s="1" t="s">
        <v>192</v>
      </c>
      <c r="FH396" s="1" t="s">
        <v>192</v>
      </c>
      <c r="FJ396" s="1" t="s">
        <v>686</v>
      </c>
      <c r="FK396" s="1" t="s">
        <v>229</v>
      </c>
      <c r="FL396" s="1" t="s">
        <v>1212</v>
      </c>
      <c r="FM396" s="1">
        <v>30.0</v>
      </c>
      <c r="FN396" s="1" t="s">
        <v>1213</v>
      </c>
      <c r="FO396" s="1" t="s">
        <v>5594</v>
      </c>
      <c r="FP396" s="1">
        <v>500.0</v>
      </c>
      <c r="FQ396" s="1" t="s">
        <v>5595</v>
      </c>
      <c r="FU396" s="1" t="s">
        <v>3617</v>
      </c>
      <c r="FV396" s="1" t="s">
        <v>200</v>
      </c>
      <c r="FW396" s="1" t="s">
        <v>290</v>
      </c>
      <c r="FZ396" s="1" t="s">
        <v>229</v>
      </c>
      <c r="GA396" s="1" t="s">
        <v>291</v>
      </c>
      <c r="GB396" s="2">
        <v>42023.0</v>
      </c>
    </row>
    <row r="397">
      <c r="A397" s="1">
        <v>175000.0</v>
      </c>
      <c r="B397" s="1" t="s">
        <v>185</v>
      </c>
      <c r="C397" s="1" t="str">
        <f>"08797952"</f>
        <v>08797952</v>
      </c>
      <c r="D397" s="1" t="s">
        <v>186</v>
      </c>
      <c r="F397" s="1" t="str">
        <f>"123"</f>
        <v>123</v>
      </c>
      <c r="G397" s="2">
        <v>41979.0</v>
      </c>
      <c r="H397" s="1">
        <v>185000.0</v>
      </c>
      <c r="I397" s="1">
        <v>106.0</v>
      </c>
      <c r="J397" s="1">
        <v>185000.0</v>
      </c>
      <c r="K397" s="2">
        <v>42083.0</v>
      </c>
      <c r="L397" s="1">
        <v>106.0</v>
      </c>
      <c r="M397" s="2">
        <v>42083.0</v>
      </c>
      <c r="N397" s="1" t="s">
        <v>356</v>
      </c>
      <c r="O397" s="2">
        <v>42116.0</v>
      </c>
      <c r="P397" s="1">
        <v>213695.0</v>
      </c>
      <c r="Q397" s="1">
        <v>20150.0</v>
      </c>
      <c r="S397" s="1">
        <v>1130.0</v>
      </c>
      <c r="T397" s="1" t="s">
        <v>2003</v>
      </c>
      <c r="U397" s="1" t="s">
        <v>569</v>
      </c>
      <c r="V397" s="1" t="s">
        <v>465</v>
      </c>
      <c r="W397" s="1">
        <v>60123.0</v>
      </c>
      <c r="X397" s="1">
        <v>1409.0</v>
      </c>
      <c r="Y397" s="1" t="s">
        <v>5596</v>
      </c>
      <c r="Z397" s="1" t="s">
        <v>296</v>
      </c>
      <c r="AA397" s="1" t="s">
        <v>192</v>
      </c>
      <c r="AB397" s="1" t="s">
        <v>193</v>
      </c>
      <c r="AC397" s="1" t="s">
        <v>5597</v>
      </c>
      <c r="AD397" s="1" t="s">
        <v>469</v>
      </c>
      <c r="AE397" s="1" t="s">
        <v>325</v>
      </c>
      <c r="AF397" s="1" t="s">
        <v>469</v>
      </c>
      <c r="AH397" s="1" t="s">
        <v>5598</v>
      </c>
      <c r="AI397" s="1">
        <v>0.2279</v>
      </c>
      <c r="AK397" s="1">
        <v>9.0</v>
      </c>
      <c r="AL397" s="1">
        <v>4.0</v>
      </c>
      <c r="AM397" s="1">
        <v>2.0</v>
      </c>
      <c r="AN397" s="1">
        <v>1.0</v>
      </c>
      <c r="AO397" s="1" t="s">
        <v>198</v>
      </c>
      <c r="AP397" s="1">
        <v>1.0</v>
      </c>
      <c r="AQ397" s="1" t="s">
        <v>1314</v>
      </c>
      <c r="AR397" s="1" t="s">
        <v>200</v>
      </c>
      <c r="AS397" s="1" t="s">
        <v>199</v>
      </c>
      <c r="AT397" s="1">
        <v>2.0</v>
      </c>
      <c r="AV397" s="1" t="s">
        <v>200</v>
      </c>
      <c r="AW397" s="1">
        <v>5355.0</v>
      </c>
      <c r="AX397" s="1">
        <v>2013.0</v>
      </c>
      <c r="AY397" s="1" t="s">
        <v>229</v>
      </c>
      <c r="AZ397" s="1" t="s">
        <v>200</v>
      </c>
      <c r="BA397" s="1" t="str">
        <f>"0603403029"</f>
        <v>0603403029</v>
      </c>
      <c r="BC397" s="1">
        <v>2069.0</v>
      </c>
      <c r="BD397" s="1">
        <v>175000.0</v>
      </c>
      <c r="BE397" s="2">
        <v>41978.0</v>
      </c>
      <c r="BF397" s="2" t="s">
        <v>5599</v>
      </c>
      <c r="BG397" s="1" t="s">
        <v>5600</v>
      </c>
      <c r="BH397" s="1">
        <v>0.0</v>
      </c>
      <c r="BI397" s="1" t="s">
        <v>3197</v>
      </c>
      <c r="BJ397" s="1" t="s">
        <v>675</v>
      </c>
      <c r="BK397" s="1" t="s">
        <v>204</v>
      </c>
      <c r="BL397" s="1" t="str">
        <f t="shared" ref="BL397:BM397" si="263">""</f>
        <v/>
      </c>
      <c r="BM397" s="1" t="str">
        <f t="shared" si="263"/>
        <v/>
      </c>
      <c r="BQ397" s="1">
        <v>46.0</v>
      </c>
      <c r="BR397" s="1">
        <v>46.0</v>
      </c>
      <c r="BS397" s="1">
        <v>46.0</v>
      </c>
      <c r="BU397" s="1" t="s">
        <v>955</v>
      </c>
      <c r="BV397" s="1" t="s">
        <v>206</v>
      </c>
      <c r="BW397" s="1" t="s">
        <v>210</v>
      </c>
      <c r="BX397" s="1" t="s">
        <v>1549</v>
      </c>
      <c r="BY397" s="1" t="s">
        <v>454</v>
      </c>
      <c r="BZ397" s="1" t="s">
        <v>209</v>
      </c>
      <c r="CA397" s="1" t="s">
        <v>207</v>
      </c>
      <c r="CB397" s="1" t="s">
        <v>1118</v>
      </c>
      <c r="CC397" s="1" t="s">
        <v>392</v>
      </c>
      <c r="CD397" s="1" t="s">
        <v>206</v>
      </c>
      <c r="CE397" s="1" t="s">
        <v>210</v>
      </c>
      <c r="CF397" s="1" t="s">
        <v>1549</v>
      </c>
      <c r="CG397" s="1" t="s">
        <v>497</v>
      </c>
      <c r="CH397" s="1" t="s">
        <v>209</v>
      </c>
      <c r="CI397" s="1" t="s">
        <v>207</v>
      </c>
      <c r="CJ397" s="1" t="s">
        <v>1118</v>
      </c>
      <c r="CK397" s="1" t="s">
        <v>1229</v>
      </c>
      <c r="CL397" s="1" t="s">
        <v>209</v>
      </c>
      <c r="CM397" s="1" t="s">
        <v>207</v>
      </c>
      <c r="CN397" s="1" t="s">
        <v>1118</v>
      </c>
      <c r="CO397" s="1" t="s">
        <v>543</v>
      </c>
      <c r="CP397" s="1" t="s">
        <v>209</v>
      </c>
      <c r="CQ397" s="1" t="s">
        <v>207</v>
      </c>
      <c r="CS397" s="1" t="s">
        <v>584</v>
      </c>
      <c r="CT397" s="1" t="s">
        <v>206</v>
      </c>
      <c r="CU397" s="1" t="s">
        <v>301</v>
      </c>
      <c r="CV397" s="1" t="s">
        <v>431</v>
      </c>
      <c r="CW397" s="1" t="s">
        <v>453</v>
      </c>
      <c r="CX397" s="1" t="s">
        <v>267</v>
      </c>
      <c r="CY397" s="1" t="s">
        <v>210</v>
      </c>
      <c r="CZ397" s="1" t="s">
        <v>1549</v>
      </c>
      <c r="DA397" s="1" t="s">
        <v>200</v>
      </c>
      <c r="DC397" s="1" t="s">
        <v>517</v>
      </c>
      <c r="DD397" s="1" t="s">
        <v>5601</v>
      </c>
      <c r="DE397" s="1" t="s">
        <v>273</v>
      </c>
      <c r="DF397" s="1" t="s">
        <v>219</v>
      </c>
      <c r="DG397" s="1" t="s">
        <v>5602</v>
      </c>
      <c r="DH397" s="1" t="s">
        <v>220</v>
      </c>
      <c r="DI397" s="1" t="s">
        <v>5603</v>
      </c>
      <c r="DJ397" s="1" t="s">
        <v>222</v>
      </c>
      <c r="DL397" s="1" t="s">
        <v>4609</v>
      </c>
      <c r="DM397" s="1" t="s">
        <v>338</v>
      </c>
      <c r="DO397" s="1" t="s">
        <v>549</v>
      </c>
      <c r="DP397" s="1" t="s">
        <v>400</v>
      </c>
      <c r="DQ397" s="1" t="s">
        <v>228</v>
      </c>
      <c r="DR397" s="1" t="s">
        <v>229</v>
      </c>
      <c r="DV397" s="1" t="s">
        <v>763</v>
      </c>
      <c r="DW397" s="1" t="s">
        <v>934</v>
      </c>
      <c r="DX397" s="1" t="s">
        <v>234</v>
      </c>
      <c r="DY397" s="1" t="s">
        <v>704</v>
      </c>
      <c r="DZ397" s="1" t="s">
        <v>446</v>
      </c>
      <c r="EA397" s="1" t="s">
        <v>5604</v>
      </c>
      <c r="EB397" s="1" t="s">
        <v>937</v>
      </c>
      <c r="EC397" s="1" t="s">
        <v>4613</v>
      </c>
      <c r="ED397" s="1" t="s">
        <v>407</v>
      </c>
      <c r="EG397" s="1" t="s">
        <v>450</v>
      </c>
      <c r="EH397" s="1" t="s">
        <v>408</v>
      </c>
      <c r="EL397" s="1" t="s">
        <v>3475</v>
      </c>
      <c r="EM397" s="1" t="s">
        <v>42</v>
      </c>
      <c r="EN397" s="1" t="s">
        <v>210</v>
      </c>
      <c r="EP397" s="1" t="s">
        <v>798</v>
      </c>
      <c r="EQ397" s="1" t="s">
        <v>267</v>
      </c>
      <c r="ER397" s="1" t="s">
        <v>617</v>
      </c>
      <c r="EU397" s="1" t="s">
        <v>238</v>
      </c>
      <c r="EY397" s="1" t="s">
        <v>238</v>
      </c>
      <c r="FC397" s="1" t="s">
        <v>238</v>
      </c>
      <c r="FF397" s="1" t="s">
        <v>239</v>
      </c>
      <c r="FG397" s="1" t="s">
        <v>192</v>
      </c>
      <c r="FH397" s="1" t="s">
        <v>192</v>
      </c>
      <c r="FJ397" s="1" t="s">
        <v>5605</v>
      </c>
      <c r="FK397" s="1" t="s">
        <v>229</v>
      </c>
      <c r="FL397" s="1" t="s">
        <v>819</v>
      </c>
      <c r="FM397" s="1">
        <v>6267.0</v>
      </c>
      <c r="FN397" s="1" t="s">
        <v>820</v>
      </c>
      <c r="FO397" s="1" t="s">
        <v>5606</v>
      </c>
      <c r="FP397" s="1">
        <v>62665.0</v>
      </c>
      <c r="FQ397" s="1" t="s">
        <v>5607</v>
      </c>
      <c r="FR397" s="1">
        <v>87675.0</v>
      </c>
      <c r="FU397" s="1" t="s">
        <v>5608</v>
      </c>
      <c r="FV397" s="1" t="s">
        <v>200</v>
      </c>
      <c r="FW397" s="1" t="s">
        <v>631</v>
      </c>
      <c r="FZ397" s="1" t="s">
        <v>229</v>
      </c>
      <c r="GA397" s="1" t="s">
        <v>291</v>
      </c>
      <c r="GB397" s="2">
        <v>42116.0</v>
      </c>
      <c r="GC397" s="1" t="s">
        <v>5609</v>
      </c>
    </row>
    <row r="398">
      <c r="A398" s="1">
        <v>245000.0</v>
      </c>
      <c r="B398" s="1" t="s">
        <v>185</v>
      </c>
      <c r="C398" s="1" t="str">
        <f>"08786086"</f>
        <v>08786086</v>
      </c>
      <c r="D398" s="1" t="s">
        <v>186</v>
      </c>
      <c r="F398" s="1" t="str">
        <f>"8043"</f>
        <v>8043</v>
      </c>
      <c r="G398" s="2">
        <v>41957.0</v>
      </c>
      <c r="H398" s="1">
        <v>259900.0</v>
      </c>
      <c r="I398" s="1">
        <v>97.0</v>
      </c>
      <c r="J398" s="1">
        <v>259900.0</v>
      </c>
      <c r="K398" s="2">
        <v>42053.0</v>
      </c>
      <c r="L398" s="1">
        <v>97.0</v>
      </c>
      <c r="M398" s="2">
        <v>42053.0</v>
      </c>
      <c r="N398" s="1" t="s">
        <v>187</v>
      </c>
      <c r="O398" s="2">
        <v>42117.0</v>
      </c>
      <c r="P398" s="1">
        <v>132496.0</v>
      </c>
      <c r="Q398" s="1">
        <v>10274.0</v>
      </c>
      <c r="S398" s="1">
        <v>7336.0</v>
      </c>
      <c r="T398" s="1" t="s">
        <v>5610</v>
      </c>
      <c r="U398" s="1" t="s">
        <v>189</v>
      </c>
      <c r="V398" s="1" t="s">
        <v>190</v>
      </c>
      <c r="W398" s="1">
        <v>60649.0</v>
      </c>
      <c r="X398" s="1">
        <v>3412.0</v>
      </c>
      <c r="Y398" s="1" t="s">
        <v>5611</v>
      </c>
      <c r="Z398" s="1">
        <v>1900.0</v>
      </c>
      <c r="AA398" s="1" t="s">
        <v>192</v>
      </c>
      <c r="AB398" s="1" t="s">
        <v>193</v>
      </c>
      <c r="AC398" s="1" t="s">
        <v>5612</v>
      </c>
      <c r="AD398" s="1" t="s">
        <v>194</v>
      </c>
      <c r="AE398" s="1" t="s">
        <v>195</v>
      </c>
      <c r="AF398" s="1" t="s">
        <v>637</v>
      </c>
      <c r="AH398" s="1" t="s">
        <v>5613</v>
      </c>
      <c r="AI398" s="1">
        <v>0.2221</v>
      </c>
      <c r="AK398" s="1">
        <v>9.0</v>
      </c>
      <c r="AL398" s="1">
        <v>3.0</v>
      </c>
      <c r="AM398" s="1">
        <v>2.0</v>
      </c>
      <c r="AN398" s="1">
        <v>1.0</v>
      </c>
      <c r="AO398" s="1" t="s">
        <v>229</v>
      </c>
      <c r="AP398" s="1">
        <v>1.0</v>
      </c>
      <c r="AQ398" s="1" t="s">
        <v>198</v>
      </c>
      <c r="AR398" s="1" t="s">
        <v>192</v>
      </c>
      <c r="AS398" s="1" t="s">
        <v>199</v>
      </c>
      <c r="AT398" s="1">
        <v>2.0</v>
      </c>
      <c r="AV398" s="1" t="s">
        <v>200</v>
      </c>
      <c r="AW398" s="1">
        <v>3965.49</v>
      </c>
      <c r="AX398" s="1">
        <v>2013.0</v>
      </c>
      <c r="AY398" s="1" t="s">
        <v>387</v>
      </c>
      <c r="AZ398" s="1" t="s">
        <v>200</v>
      </c>
      <c r="BA398" s="1" t="str">
        <f>"20252190240000"</f>
        <v>20252190240000</v>
      </c>
      <c r="BB398" s="1" t="s">
        <v>192</v>
      </c>
      <c r="BC398" s="1">
        <v>1988.0</v>
      </c>
      <c r="BD398" s="1">
        <v>245000.0</v>
      </c>
      <c r="BE398" s="2">
        <v>41957.0</v>
      </c>
      <c r="BF398" s="2" t="s">
        <v>5614</v>
      </c>
      <c r="BH398" s="1">
        <v>0.0</v>
      </c>
      <c r="BK398" s="1" t="s">
        <v>204</v>
      </c>
      <c r="BL398" s="1" t="str">
        <f>"0"</f>
        <v>0</v>
      </c>
      <c r="BM398" s="1" t="str">
        <f>"2332"</f>
        <v>2332</v>
      </c>
      <c r="BN398" s="1">
        <v>0.0</v>
      </c>
      <c r="BO398" s="1">
        <v>7336.0</v>
      </c>
      <c r="BQ398" s="1">
        <v>299.0</v>
      </c>
      <c r="BR398" s="1">
        <v>299.0</v>
      </c>
      <c r="BS398" s="1">
        <v>299.0</v>
      </c>
      <c r="BU398" s="1" t="s">
        <v>434</v>
      </c>
      <c r="BV398" s="1" t="s">
        <v>206</v>
      </c>
      <c r="BW398" s="1" t="s">
        <v>207</v>
      </c>
      <c r="BY398" s="1" t="s">
        <v>453</v>
      </c>
      <c r="BZ398" s="1" t="s">
        <v>209</v>
      </c>
      <c r="CA398" s="1" t="s">
        <v>207</v>
      </c>
      <c r="CC398" s="1" t="s">
        <v>329</v>
      </c>
      <c r="CD398" s="1" t="s">
        <v>206</v>
      </c>
      <c r="CE398" s="1" t="s">
        <v>207</v>
      </c>
      <c r="CG398" s="1" t="s">
        <v>647</v>
      </c>
      <c r="CH398" s="1" t="s">
        <v>209</v>
      </c>
      <c r="CI398" s="1" t="s">
        <v>207</v>
      </c>
      <c r="CK398" s="1" t="s">
        <v>363</v>
      </c>
      <c r="CL398" s="1" t="s">
        <v>209</v>
      </c>
      <c r="CM398" s="1" t="s">
        <v>207</v>
      </c>
      <c r="CO398" s="1" t="s">
        <v>265</v>
      </c>
      <c r="CP398" s="1" t="s">
        <v>42</v>
      </c>
      <c r="CQ398" s="1" t="s">
        <v>268</v>
      </c>
      <c r="CS398" s="1" t="s">
        <v>729</v>
      </c>
      <c r="CT398" s="1" t="s">
        <v>206</v>
      </c>
      <c r="CU398" s="1" t="s">
        <v>207</v>
      </c>
      <c r="CW398" s="1" t="s">
        <v>479</v>
      </c>
      <c r="CX398" s="1" t="s">
        <v>42</v>
      </c>
      <c r="CY398" s="1" t="s">
        <v>268</v>
      </c>
      <c r="DA398" s="1" t="s">
        <v>200</v>
      </c>
      <c r="DC398" s="1" t="s">
        <v>642</v>
      </c>
      <c r="DD398" s="1" t="s">
        <v>518</v>
      </c>
      <c r="DE398" s="1" t="s">
        <v>273</v>
      </c>
      <c r="DF398" s="1" t="s">
        <v>219</v>
      </c>
      <c r="DG398" s="1" t="s">
        <v>337</v>
      </c>
      <c r="DH398" s="1" t="s">
        <v>365</v>
      </c>
      <c r="DI398" s="1" t="s">
        <v>1141</v>
      </c>
      <c r="DJ398" s="1" t="s">
        <v>222</v>
      </c>
      <c r="DL398" s="1" t="s">
        <v>1161</v>
      </c>
      <c r="DM398" s="1" t="s">
        <v>1464</v>
      </c>
      <c r="DN398" s="1" t="s">
        <v>5615</v>
      </c>
      <c r="DO398" s="1" t="s">
        <v>717</v>
      </c>
      <c r="DP398" s="1" t="s">
        <v>340</v>
      </c>
      <c r="DQ398" s="1" t="s">
        <v>228</v>
      </c>
      <c r="DR398" s="1" t="s">
        <v>229</v>
      </c>
      <c r="DS398" s="1" t="s">
        <v>401</v>
      </c>
      <c r="DV398" s="1" t="s">
        <v>5616</v>
      </c>
      <c r="DW398" s="1" t="s">
        <v>3576</v>
      </c>
      <c r="DX398" s="1" t="s">
        <v>234</v>
      </c>
      <c r="DY398" s="1" t="s">
        <v>1122</v>
      </c>
      <c r="DZ398" s="1" t="s">
        <v>5617</v>
      </c>
      <c r="EA398" s="1" t="s">
        <v>2535</v>
      </c>
      <c r="EB398" s="1" t="s">
        <v>345</v>
      </c>
      <c r="EC398" s="1" t="s">
        <v>237</v>
      </c>
      <c r="ED398" s="1" t="s">
        <v>407</v>
      </c>
      <c r="EE398" s="1" t="s">
        <v>493</v>
      </c>
      <c r="EG398" s="1" t="s">
        <v>449</v>
      </c>
      <c r="EH398" s="1" t="s">
        <v>408</v>
      </c>
      <c r="EI398" s="1" t="s">
        <v>310</v>
      </c>
      <c r="EJ398" s="1" t="s">
        <v>5618</v>
      </c>
      <c r="EL398" s="1" t="s">
        <v>263</v>
      </c>
      <c r="EM398" s="1" t="s">
        <v>206</v>
      </c>
      <c r="EN398" s="1" t="s">
        <v>207</v>
      </c>
      <c r="EP398" s="1" t="s">
        <v>3296</v>
      </c>
      <c r="EQ398" s="1" t="s">
        <v>206</v>
      </c>
      <c r="ER398" s="1" t="s">
        <v>268</v>
      </c>
      <c r="ET398" s="1" t="s">
        <v>3538</v>
      </c>
      <c r="EU398" s="1" t="s">
        <v>206</v>
      </c>
      <c r="EX398" s="1" t="s">
        <v>584</v>
      </c>
      <c r="EY398" s="1" t="s">
        <v>206</v>
      </c>
      <c r="FC398" s="1" t="s">
        <v>238</v>
      </c>
      <c r="FF398" s="1" t="s">
        <v>239</v>
      </c>
      <c r="FG398" s="1" t="s">
        <v>192</v>
      </c>
      <c r="FH398" s="1" t="s">
        <v>192</v>
      </c>
      <c r="FJ398" s="1" t="s">
        <v>770</v>
      </c>
      <c r="FK398" s="1" t="s">
        <v>229</v>
      </c>
      <c r="FL398" s="1" t="s">
        <v>3358</v>
      </c>
      <c r="FM398" s="1">
        <v>84818.0</v>
      </c>
      <c r="FN398" s="1" t="s">
        <v>3359</v>
      </c>
      <c r="FO398" s="1" t="s">
        <v>5619</v>
      </c>
      <c r="FP398" s="1">
        <v>162070.0</v>
      </c>
      <c r="FQ398" s="1" t="s">
        <v>5620</v>
      </c>
      <c r="FR398" s="1">
        <v>841730.0</v>
      </c>
      <c r="FU398" s="1" t="s">
        <v>5621</v>
      </c>
      <c r="FV398" s="1" t="s">
        <v>200</v>
      </c>
      <c r="FW398" s="1" t="s">
        <v>530</v>
      </c>
      <c r="FX398" s="1" t="s">
        <v>655</v>
      </c>
      <c r="FZ398" s="1" t="s">
        <v>229</v>
      </c>
      <c r="GA398" s="1" t="s">
        <v>291</v>
      </c>
      <c r="GB398" s="2">
        <v>42117.0</v>
      </c>
      <c r="GC398" s="1" t="s">
        <v>5622</v>
      </c>
    </row>
    <row r="399">
      <c r="A399" s="1">
        <v>264000.0</v>
      </c>
      <c r="B399" s="1" t="s">
        <v>185</v>
      </c>
      <c r="C399" s="1" t="str">
        <f>"08773700"</f>
        <v>08773700</v>
      </c>
      <c r="D399" s="1" t="s">
        <v>186</v>
      </c>
      <c r="F399" s="1" t="str">
        <f>"8002"</f>
        <v>8002</v>
      </c>
      <c r="G399" s="2">
        <v>41954.0</v>
      </c>
      <c r="H399" s="1">
        <v>294000.0</v>
      </c>
      <c r="I399" s="1">
        <v>26.0</v>
      </c>
      <c r="J399" s="1">
        <v>284900.0</v>
      </c>
      <c r="K399" s="2">
        <v>41979.0</v>
      </c>
      <c r="L399" s="1">
        <v>26.0</v>
      </c>
      <c r="M399" s="2">
        <v>41979.0</v>
      </c>
      <c r="N399" s="1" t="s">
        <v>356</v>
      </c>
      <c r="O399" s="2">
        <v>42027.0</v>
      </c>
      <c r="P399" s="1">
        <v>157644.0</v>
      </c>
      <c r="Q399" s="1">
        <v>17393.0</v>
      </c>
      <c r="R399" s="1">
        <v>4000.0</v>
      </c>
      <c r="S399" s="1">
        <v>3142.0</v>
      </c>
      <c r="T399" s="1" t="s">
        <v>5623</v>
      </c>
      <c r="U399" s="1" t="s">
        <v>189</v>
      </c>
      <c r="V399" s="1" t="s">
        <v>190</v>
      </c>
      <c r="W399" s="1">
        <v>60645.0</v>
      </c>
      <c r="Y399" s="1" t="s">
        <v>5624</v>
      </c>
      <c r="Z399" s="1">
        <v>1954.0</v>
      </c>
      <c r="AA399" s="1" t="s">
        <v>192</v>
      </c>
      <c r="AB399" s="1" t="s">
        <v>193</v>
      </c>
      <c r="AD399" s="1" t="s">
        <v>194</v>
      </c>
      <c r="AE399" s="1" t="s">
        <v>195</v>
      </c>
      <c r="AF399" s="1" t="s">
        <v>2323</v>
      </c>
      <c r="AH399" s="1" t="s">
        <v>359</v>
      </c>
      <c r="AI399" s="1">
        <v>0.0897</v>
      </c>
      <c r="AK399" s="1">
        <v>8.0</v>
      </c>
      <c r="AL399" s="1">
        <v>4.0</v>
      </c>
      <c r="AM399" s="1">
        <v>2.0</v>
      </c>
      <c r="AN399" s="1">
        <v>0.0</v>
      </c>
      <c r="AO399" s="1" t="s">
        <v>229</v>
      </c>
      <c r="AQ399" s="1" t="s">
        <v>198</v>
      </c>
      <c r="AR399" s="1" t="s">
        <v>192</v>
      </c>
      <c r="AS399" s="1" t="s">
        <v>229</v>
      </c>
      <c r="AV399" s="1" t="s">
        <v>200</v>
      </c>
      <c r="AW399" s="1">
        <v>3466.7</v>
      </c>
      <c r="AX399" s="1">
        <v>2012.0</v>
      </c>
      <c r="AZ399" s="1" t="s">
        <v>200</v>
      </c>
      <c r="BA399" s="1" t="str">
        <f>"10253040400000"</f>
        <v>10253040400000</v>
      </c>
      <c r="BB399" s="1" t="s">
        <v>200</v>
      </c>
      <c r="BC399" s="1">
        <v>1200.0</v>
      </c>
      <c r="BD399" s="1">
        <v>264000.0</v>
      </c>
      <c r="BE399" s="2">
        <v>41954.0</v>
      </c>
      <c r="BF399" s="2" t="s">
        <v>5625</v>
      </c>
      <c r="BG399" s="1" t="s">
        <v>5626</v>
      </c>
      <c r="BH399" s="1">
        <v>0.0</v>
      </c>
      <c r="BI399" s="1" t="s">
        <v>5626</v>
      </c>
      <c r="BJ399" s="1" t="s">
        <v>5627</v>
      </c>
      <c r="BK399" s="1" t="s">
        <v>204</v>
      </c>
      <c r="BL399" s="1" t="str">
        <f>"7500"</f>
        <v>7500</v>
      </c>
      <c r="BM399" s="1" t="str">
        <f t="shared" ref="BM399:BM400" si="264">"0"</f>
        <v>0</v>
      </c>
      <c r="BN399" s="1">
        <v>3142.0</v>
      </c>
      <c r="BO399" s="1">
        <v>0.0</v>
      </c>
      <c r="BQ399" s="1">
        <v>299.0</v>
      </c>
      <c r="BR399" s="1">
        <v>299.0</v>
      </c>
      <c r="BS399" s="1">
        <v>299.0</v>
      </c>
      <c r="BU399" s="1" t="s">
        <v>333</v>
      </c>
      <c r="BV399" s="1" t="s">
        <v>206</v>
      </c>
      <c r="BW399" s="1" t="s">
        <v>207</v>
      </c>
      <c r="BX399" s="1" t="s">
        <v>1549</v>
      </c>
      <c r="BY399" s="1" t="s">
        <v>647</v>
      </c>
      <c r="BZ399" s="1" t="s">
        <v>206</v>
      </c>
      <c r="CA399" s="1" t="s">
        <v>207</v>
      </c>
      <c r="CB399" s="1" t="s">
        <v>1549</v>
      </c>
      <c r="CC399" s="1" t="s">
        <v>495</v>
      </c>
      <c r="CD399" s="1" t="s">
        <v>206</v>
      </c>
      <c r="CE399" s="1" t="s">
        <v>207</v>
      </c>
      <c r="CF399" s="1" t="s">
        <v>1549</v>
      </c>
      <c r="CG399" s="1" t="s">
        <v>332</v>
      </c>
      <c r="CH399" s="1" t="s">
        <v>206</v>
      </c>
      <c r="CI399" s="1" t="s">
        <v>207</v>
      </c>
      <c r="CJ399" s="1" t="s">
        <v>1549</v>
      </c>
      <c r="CK399" s="1" t="s">
        <v>269</v>
      </c>
      <c r="CL399" s="1" t="s">
        <v>206</v>
      </c>
      <c r="CM399" s="1" t="s">
        <v>207</v>
      </c>
      <c r="CN399" s="1" t="s">
        <v>1549</v>
      </c>
      <c r="CO399" s="1" t="s">
        <v>260</v>
      </c>
      <c r="CP399" s="1" t="s">
        <v>267</v>
      </c>
      <c r="CQ399" s="1" t="s">
        <v>210</v>
      </c>
      <c r="CR399" s="1" t="s">
        <v>239</v>
      </c>
      <c r="CS399" s="1" t="s">
        <v>647</v>
      </c>
      <c r="CT399" s="1" t="s">
        <v>206</v>
      </c>
      <c r="CU399" s="1" t="s">
        <v>1136</v>
      </c>
      <c r="CV399" s="1" t="s">
        <v>239</v>
      </c>
      <c r="CW399" s="1" t="s">
        <v>769</v>
      </c>
      <c r="CX399" s="1" t="s">
        <v>42</v>
      </c>
      <c r="CY399" s="1" t="s">
        <v>210</v>
      </c>
      <c r="CZ399" s="1" t="s">
        <v>229</v>
      </c>
      <c r="DA399" s="1" t="s">
        <v>200</v>
      </c>
      <c r="DC399" s="1" t="s">
        <v>271</v>
      </c>
      <c r="DD399" s="1" t="s">
        <v>731</v>
      </c>
      <c r="DE399" s="1" t="s">
        <v>273</v>
      </c>
      <c r="DF399" s="1" t="s">
        <v>619</v>
      </c>
      <c r="DH399" s="1" t="s">
        <v>365</v>
      </c>
      <c r="DI399" s="1" t="s">
        <v>1141</v>
      </c>
      <c r="DJ399" s="1" t="s">
        <v>222</v>
      </c>
      <c r="DL399" s="1" t="s">
        <v>224</v>
      </c>
      <c r="DM399" s="1" t="s">
        <v>1402</v>
      </c>
      <c r="DP399" s="1" t="s">
        <v>400</v>
      </c>
      <c r="DQ399" s="1" t="s">
        <v>228</v>
      </c>
      <c r="DR399" s="1" t="s">
        <v>229</v>
      </c>
      <c r="DS399" s="1" t="s">
        <v>230</v>
      </c>
      <c r="DV399" s="1" t="s">
        <v>232</v>
      </c>
      <c r="DW399" s="1" t="s">
        <v>279</v>
      </c>
      <c r="DX399" s="1" t="s">
        <v>234</v>
      </c>
      <c r="DY399" s="1" t="s">
        <v>833</v>
      </c>
      <c r="EA399" s="1" t="s">
        <v>683</v>
      </c>
      <c r="EC399" s="1" t="s">
        <v>685</v>
      </c>
      <c r="EE399" s="1" t="s">
        <v>493</v>
      </c>
      <c r="EM399" s="1" t="s">
        <v>238</v>
      </c>
      <c r="EQ399" s="1" t="s">
        <v>238</v>
      </c>
      <c r="EU399" s="1" t="s">
        <v>238</v>
      </c>
      <c r="EY399" s="1" t="s">
        <v>238</v>
      </c>
      <c r="FC399" s="1" t="s">
        <v>238</v>
      </c>
      <c r="FF399" s="1" t="s">
        <v>239</v>
      </c>
      <c r="FG399" s="1" t="s">
        <v>192</v>
      </c>
      <c r="FH399" s="1" t="s">
        <v>192</v>
      </c>
      <c r="FJ399" s="1" t="s">
        <v>5628</v>
      </c>
      <c r="FK399" s="1" t="s">
        <v>229</v>
      </c>
      <c r="FL399" s="1" t="s">
        <v>5629</v>
      </c>
      <c r="FM399" s="1">
        <v>84540.0</v>
      </c>
      <c r="FN399" s="1" t="s">
        <v>5630</v>
      </c>
      <c r="FO399" s="1" t="s">
        <v>5631</v>
      </c>
      <c r="FP399" s="1">
        <v>124821.0</v>
      </c>
      <c r="FQ399" s="1" t="s">
        <v>5632</v>
      </c>
      <c r="FU399" s="1" t="s">
        <v>5633</v>
      </c>
      <c r="FV399" s="1" t="s">
        <v>200</v>
      </c>
      <c r="FW399" s="1" t="s">
        <v>290</v>
      </c>
      <c r="FX399" s="1" t="s">
        <v>246</v>
      </c>
      <c r="FZ399" s="1" t="s">
        <v>229</v>
      </c>
      <c r="GA399" s="1" t="s">
        <v>291</v>
      </c>
      <c r="GB399" s="2">
        <v>42043.0</v>
      </c>
      <c r="GC399" s="1" t="s">
        <v>5634</v>
      </c>
    </row>
    <row r="400">
      <c r="A400" s="1">
        <v>275000.0</v>
      </c>
      <c r="B400" s="1" t="s">
        <v>185</v>
      </c>
      <c r="C400" s="1" t="str">
        <f>"08788240"</f>
        <v>08788240</v>
      </c>
      <c r="D400" s="1" t="s">
        <v>186</v>
      </c>
      <c r="F400" s="1" t="str">
        <f>"8015"</f>
        <v>8015</v>
      </c>
      <c r="G400" s="2">
        <v>41961.0</v>
      </c>
      <c r="H400" s="1">
        <v>268000.0</v>
      </c>
      <c r="I400" s="1">
        <v>8.0</v>
      </c>
      <c r="J400" s="1">
        <v>268000.0</v>
      </c>
      <c r="K400" s="2">
        <v>41968.0</v>
      </c>
      <c r="L400" s="1">
        <v>8.0</v>
      </c>
      <c r="M400" s="2">
        <v>41968.0</v>
      </c>
      <c r="N400" s="1" t="s">
        <v>187</v>
      </c>
      <c r="O400" s="2">
        <v>42018.0</v>
      </c>
      <c r="P400" s="1">
        <v>106635.0</v>
      </c>
      <c r="Q400" s="1">
        <v>84729.0</v>
      </c>
      <c r="S400" s="1">
        <v>4122.0</v>
      </c>
      <c r="T400" s="1" t="s">
        <v>5635</v>
      </c>
      <c r="U400" s="1" t="s">
        <v>189</v>
      </c>
      <c r="V400" s="1" t="s">
        <v>190</v>
      </c>
      <c r="W400" s="1">
        <v>60634.0</v>
      </c>
      <c r="Y400" s="1" t="s">
        <v>5636</v>
      </c>
      <c r="Z400" s="1" t="s">
        <v>296</v>
      </c>
      <c r="AA400" s="1" t="s">
        <v>192</v>
      </c>
      <c r="AB400" s="1" t="s">
        <v>193</v>
      </c>
      <c r="AD400" s="1" t="s">
        <v>194</v>
      </c>
      <c r="AE400" s="1" t="s">
        <v>195</v>
      </c>
      <c r="AF400" s="1" t="s">
        <v>196</v>
      </c>
      <c r="AG400" s="1" t="s">
        <v>778</v>
      </c>
      <c r="AH400" s="1" t="s">
        <v>1501</v>
      </c>
      <c r="AI400" s="1">
        <v>0.0</v>
      </c>
      <c r="AK400" s="1">
        <v>9.0</v>
      </c>
      <c r="AL400" s="1">
        <v>4.0</v>
      </c>
      <c r="AM400" s="1">
        <v>3.0</v>
      </c>
      <c r="AN400" s="1">
        <v>0.0</v>
      </c>
      <c r="AO400" s="1" t="s">
        <v>229</v>
      </c>
      <c r="AP400" s="1">
        <v>0.0</v>
      </c>
      <c r="AQ400" s="1" t="s">
        <v>198</v>
      </c>
      <c r="AR400" s="1" t="s">
        <v>192</v>
      </c>
      <c r="AS400" s="1" t="s">
        <v>199</v>
      </c>
      <c r="AT400" s="1">
        <v>2.0</v>
      </c>
      <c r="AV400" s="1" t="s">
        <v>200</v>
      </c>
      <c r="AW400" s="6">
        <v>4173.0</v>
      </c>
      <c r="AX400" s="1">
        <v>2013.0</v>
      </c>
      <c r="AY400" s="1" t="s">
        <v>229</v>
      </c>
      <c r="AZ400" s="1" t="s">
        <v>200</v>
      </c>
      <c r="BA400" s="1" t="str">
        <f>"13173150490000"</f>
        <v>13173150490000</v>
      </c>
      <c r="BB400" s="1" t="s">
        <v>200</v>
      </c>
      <c r="BC400" s="1">
        <v>0.0</v>
      </c>
      <c r="BD400" s="1">
        <v>275000.0</v>
      </c>
      <c r="BE400" s="2">
        <v>41961.0</v>
      </c>
      <c r="BF400" s="2" t="s">
        <v>5637</v>
      </c>
      <c r="BH400" s="1">
        <v>0.0</v>
      </c>
      <c r="BJ400" s="1" t="s">
        <v>1222</v>
      </c>
      <c r="BK400" s="1" t="s">
        <v>204</v>
      </c>
      <c r="BL400" s="1" t="str">
        <f>"4122"</f>
        <v>4122</v>
      </c>
      <c r="BM400" s="1" t="str">
        <f t="shared" si="264"/>
        <v>0</v>
      </c>
      <c r="BN400" s="1">
        <v>6000.0</v>
      </c>
      <c r="BO400" s="1">
        <v>0.0</v>
      </c>
      <c r="BQ400" s="1">
        <v>299.0</v>
      </c>
      <c r="BR400" s="1">
        <v>299.0</v>
      </c>
      <c r="BS400" s="1">
        <v>299.0</v>
      </c>
      <c r="BU400" s="1" t="s">
        <v>454</v>
      </c>
      <c r="BV400" s="1" t="s">
        <v>206</v>
      </c>
      <c r="BW400" s="1" t="s">
        <v>207</v>
      </c>
      <c r="BX400" s="1" t="s">
        <v>229</v>
      </c>
      <c r="BY400" s="1" t="s">
        <v>361</v>
      </c>
      <c r="BZ400" s="1" t="s">
        <v>209</v>
      </c>
      <c r="CA400" s="1" t="s">
        <v>210</v>
      </c>
      <c r="CB400" s="1" t="s">
        <v>229</v>
      </c>
      <c r="CC400" s="1" t="s">
        <v>454</v>
      </c>
      <c r="CD400" s="1" t="s">
        <v>206</v>
      </c>
      <c r="CE400" s="1" t="s">
        <v>207</v>
      </c>
      <c r="CF400" s="1" t="s">
        <v>229</v>
      </c>
      <c r="CG400" s="1" t="s">
        <v>454</v>
      </c>
      <c r="CH400" s="1" t="s">
        <v>209</v>
      </c>
      <c r="CI400" s="1" t="s">
        <v>210</v>
      </c>
      <c r="CJ400" s="1" t="s">
        <v>229</v>
      </c>
      <c r="CK400" s="1" t="s">
        <v>497</v>
      </c>
      <c r="CL400" s="1" t="s">
        <v>206</v>
      </c>
      <c r="CM400" s="1" t="s">
        <v>207</v>
      </c>
      <c r="CO400" s="1" t="s">
        <v>269</v>
      </c>
      <c r="CP400" s="1" t="s">
        <v>206</v>
      </c>
      <c r="CQ400" s="1" t="s">
        <v>207</v>
      </c>
      <c r="CS400" s="1" t="s">
        <v>212</v>
      </c>
      <c r="CT400" s="1" t="s">
        <v>206</v>
      </c>
      <c r="CU400" s="1" t="s">
        <v>207</v>
      </c>
      <c r="CV400" s="1" t="s">
        <v>229</v>
      </c>
      <c r="CX400" s="1" t="s">
        <v>204</v>
      </c>
      <c r="DA400" s="1" t="s">
        <v>200</v>
      </c>
      <c r="DC400" s="1" t="s">
        <v>545</v>
      </c>
      <c r="DD400" s="1" t="s">
        <v>1976</v>
      </c>
      <c r="DE400" s="1" t="s">
        <v>3750</v>
      </c>
      <c r="DF400" s="1" t="s">
        <v>745</v>
      </c>
      <c r="DG400" s="1" t="s">
        <v>337</v>
      </c>
      <c r="DH400" s="1" t="s">
        <v>307</v>
      </c>
      <c r="DI400" s="1" t="s">
        <v>366</v>
      </c>
      <c r="DJ400" s="1" t="s">
        <v>222</v>
      </c>
      <c r="DK400" s="1" t="s">
        <v>198</v>
      </c>
      <c r="DL400" s="1" t="s">
        <v>1161</v>
      </c>
      <c r="DM400" s="1" t="s">
        <v>229</v>
      </c>
      <c r="DP400" s="1" t="s">
        <v>340</v>
      </c>
      <c r="DQ400" s="1" t="s">
        <v>718</v>
      </c>
      <c r="DR400" s="1" t="s">
        <v>229</v>
      </c>
      <c r="DS400" s="1" t="s">
        <v>230</v>
      </c>
      <c r="DV400" s="1" t="s">
        <v>5638</v>
      </c>
      <c r="DW400" s="1" t="s">
        <v>5639</v>
      </c>
      <c r="DX400" s="1" t="s">
        <v>234</v>
      </c>
      <c r="EA400" s="1" t="s">
        <v>644</v>
      </c>
      <c r="EC400" s="1" t="s">
        <v>237</v>
      </c>
      <c r="EE400" s="1" t="s">
        <v>522</v>
      </c>
      <c r="EG400" s="1" t="s">
        <v>450</v>
      </c>
      <c r="EH400" s="1" t="s">
        <v>588</v>
      </c>
      <c r="EI400" s="1" t="s">
        <v>341</v>
      </c>
      <c r="EL400" s="1" t="s">
        <v>3262</v>
      </c>
      <c r="EM400" s="1" t="s">
        <v>42</v>
      </c>
      <c r="EN400" s="1" t="s">
        <v>210</v>
      </c>
      <c r="EO400" s="1" t="s">
        <v>229</v>
      </c>
      <c r="EP400" s="1" t="s">
        <v>433</v>
      </c>
      <c r="EQ400" s="1" t="s">
        <v>42</v>
      </c>
      <c r="ER400" s="1" t="s">
        <v>210</v>
      </c>
      <c r="ET400" s="1" t="s">
        <v>5640</v>
      </c>
      <c r="EU400" s="1" t="s">
        <v>209</v>
      </c>
      <c r="EV400" s="1" t="s">
        <v>210</v>
      </c>
      <c r="EY400" s="1" t="s">
        <v>238</v>
      </c>
      <c r="FC400" s="1" t="s">
        <v>238</v>
      </c>
      <c r="FF400" s="1" t="s">
        <v>239</v>
      </c>
      <c r="FG400" s="1" t="s">
        <v>192</v>
      </c>
      <c r="FH400" s="1" t="s">
        <v>192</v>
      </c>
      <c r="FJ400" s="1" t="s">
        <v>5641</v>
      </c>
      <c r="FK400" s="1" t="s">
        <v>229</v>
      </c>
      <c r="FL400" s="1" t="s">
        <v>5642</v>
      </c>
      <c r="FM400" s="1">
        <v>15391.0</v>
      </c>
      <c r="FN400" s="1" t="s">
        <v>5643</v>
      </c>
      <c r="FO400" s="1" t="s">
        <v>5644</v>
      </c>
      <c r="FP400" s="1">
        <v>145271.0</v>
      </c>
      <c r="FS400" s="1" t="s">
        <v>5645</v>
      </c>
      <c r="FU400" s="1" t="s">
        <v>1438</v>
      </c>
      <c r="FV400" s="1" t="s">
        <v>192</v>
      </c>
      <c r="FW400" s="1" t="s">
        <v>290</v>
      </c>
      <c r="FX400" s="1" t="s">
        <v>238</v>
      </c>
      <c r="FZ400" s="1" t="s">
        <v>229</v>
      </c>
      <c r="GA400" s="1" t="s">
        <v>291</v>
      </c>
      <c r="GB400" s="2">
        <v>42019.0</v>
      </c>
      <c r="GC400" s="1" t="s">
        <v>5646</v>
      </c>
    </row>
    <row r="401">
      <c r="A401" s="1">
        <v>340000.0</v>
      </c>
      <c r="B401" s="1" t="s">
        <v>185</v>
      </c>
      <c r="C401" s="1" t="str">
        <f>"08786313"</f>
        <v>08786313</v>
      </c>
      <c r="D401" s="1" t="s">
        <v>186</v>
      </c>
      <c r="F401" s="1" t="str">
        <f>"110"</f>
        <v>110</v>
      </c>
      <c r="G401" s="2">
        <v>41957.0</v>
      </c>
      <c r="H401" s="1">
        <v>350000.0</v>
      </c>
      <c r="I401" s="1">
        <v>206.0</v>
      </c>
      <c r="J401" s="1">
        <v>345000.0</v>
      </c>
      <c r="K401" s="2">
        <v>42069.0</v>
      </c>
      <c r="L401" s="1">
        <v>113.0</v>
      </c>
      <c r="M401" s="2">
        <v>42069.0</v>
      </c>
      <c r="N401" s="1" t="s">
        <v>187</v>
      </c>
      <c r="O401" s="2">
        <v>42093.0</v>
      </c>
      <c r="P401" s="1">
        <v>77389.0</v>
      </c>
      <c r="Q401" s="1">
        <v>432.0</v>
      </c>
      <c r="S401" s="1">
        <v>4807.0</v>
      </c>
      <c r="T401" s="1" t="s">
        <v>5647</v>
      </c>
      <c r="U401" s="1" t="s">
        <v>420</v>
      </c>
      <c r="V401" s="1" t="s">
        <v>807</v>
      </c>
      <c r="W401" s="1">
        <v>60110.0</v>
      </c>
      <c r="Y401" s="1" t="s">
        <v>5648</v>
      </c>
      <c r="Z401" s="1">
        <v>2001.0</v>
      </c>
      <c r="AA401" s="1" t="s">
        <v>200</v>
      </c>
      <c r="AB401" s="1" t="s">
        <v>193</v>
      </c>
      <c r="AC401" s="1" t="s">
        <v>2766</v>
      </c>
      <c r="AD401" s="1" t="s">
        <v>809</v>
      </c>
      <c r="AE401" s="1" t="s">
        <v>325</v>
      </c>
      <c r="AF401" s="1" t="s">
        <v>810</v>
      </c>
      <c r="AH401" s="1" t="s">
        <v>5649</v>
      </c>
      <c r="AK401" s="1">
        <v>10.0</v>
      </c>
      <c r="AL401" s="1">
        <v>4.0</v>
      </c>
      <c r="AM401" s="1">
        <v>4.0</v>
      </c>
      <c r="AN401" s="1">
        <v>0.0</v>
      </c>
      <c r="AO401" s="1" t="s">
        <v>198</v>
      </c>
      <c r="AP401" s="1">
        <v>1.0</v>
      </c>
      <c r="AQ401" s="1" t="s">
        <v>198</v>
      </c>
      <c r="AR401" s="1" t="s">
        <v>192</v>
      </c>
      <c r="AS401" s="1" t="s">
        <v>199</v>
      </c>
      <c r="AT401" s="1">
        <v>3.0</v>
      </c>
      <c r="AV401" s="1" t="s">
        <v>200</v>
      </c>
      <c r="AW401" s="1">
        <v>12133.0</v>
      </c>
      <c r="AX401" s="1">
        <v>2013.0</v>
      </c>
      <c r="AY401" s="1" t="s">
        <v>387</v>
      </c>
      <c r="AZ401" s="1" t="s">
        <v>200</v>
      </c>
      <c r="BA401" s="1" t="str">
        <f>"0308251053"</f>
        <v>0308251053</v>
      </c>
      <c r="BB401" s="1" t="s">
        <v>200</v>
      </c>
      <c r="BC401" s="1">
        <v>3778.0</v>
      </c>
      <c r="BD401" s="1">
        <v>340000.0</v>
      </c>
      <c r="BE401" s="2">
        <v>41957.0</v>
      </c>
      <c r="BF401" s="2" t="s">
        <v>5650</v>
      </c>
      <c r="BG401" s="1" t="s">
        <v>5651</v>
      </c>
      <c r="BH401" s="1">
        <v>0.0</v>
      </c>
      <c r="BI401" s="1" t="s">
        <v>5651</v>
      </c>
      <c r="BJ401" s="1" t="s">
        <v>1759</v>
      </c>
      <c r="BK401" s="1" t="s">
        <v>204</v>
      </c>
      <c r="BL401" s="1" t="str">
        <f t="shared" ref="BL401:BM401" si="265">""</f>
        <v/>
      </c>
      <c r="BM401" s="1" t="str">
        <f t="shared" si="265"/>
        <v/>
      </c>
      <c r="BQ401" s="1">
        <v>300.0</v>
      </c>
      <c r="BR401" s="1">
        <v>300.0</v>
      </c>
      <c r="BS401" s="1">
        <v>300.0</v>
      </c>
      <c r="BU401" s="1" t="s">
        <v>1299</v>
      </c>
      <c r="BV401" s="1" t="s">
        <v>206</v>
      </c>
      <c r="BW401" s="1" t="s">
        <v>210</v>
      </c>
      <c r="BX401" s="1" t="s">
        <v>239</v>
      </c>
      <c r="BY401" s="1" t="s">
        <v>1653</v>
      </c>
      <c r="BZ401" s="1" t="s">
        <v>209</v>
      </c>
      <c r="CA401" s="1" t="s">
        <v>210</v>
      </c>
      <c r="CB401" s="1" t="s">
        <v>239</v>
      </c>
      <c r="CC401" s="1" t="s">
        <v>584</v>
      </c>
      <c r="CD401" s="1" t="s">
        <v>206</v>
      </c>
      <c r="CE401" s="1" t="s">
        <v>210</v>
      </c>
      <c r="CF401" s="1" t="s">
        <v>239</v>
      </c>
      <c r="CG401" s="1" t="s">
        <v>584</v>
      </c>
      <c r="CH401" s="1" t="s">
        <v>209</v>
      </c>
      <c r="CI401" s="1" t="s">
        <v>210</v>
      </c>
      <c r="CJ401" s="1" t="s">
        <v>239</v>
      </c>
      <c r="CK401" s="1" t="s">
        <v>830</v>
      </c>
      <c r="CL401" s="1" t="s">
        <v>209</v>
      </c>
      <c r="CM401" s="1" t="s">
        <v>210</v>
      </c>
      <c r="CN401" s="1" t="s">
        <v>239</v>
      </c>
      <c r="CO401" s="1" t="s">
        <v>1417</v>
      </c>
      <c r="CP401" s="1" t="s">
        <v>209</v>
      </c>
      <c r="CQ401" s="1" t="s">
        <v>210</v>
      </c>
      <c r="CR401" s="1" t="s">
        <v>239</v>
      </c>
      <c r="CS401" s="1" t="s">
        <v>432</v>
      </c>
      <c r="CT401" s="1" t="s">
        <v>206</v>
      </c>
      <c r="CU401" s="1" t="s">
        <v>268</v>
      </c>
      <c r="CV401" s="1" t="s">
        <v>239</v>
      </c>
      <c r="CW401" s="1" t="s">
        <v>394</v>
      </c>
      <c r="CX401" s="1" t="s">
        <v>206</v>
      </c>
      <c r="CY401" s="1" t="s">
        <v>210</v>
      </c>
      <c r="CZ401" s="1" t="s">
        <v>239</v>
      </c>
      <c r="DA401" s="1" t="s">
        <v>200</v>
      </c>
      <c r="DC401" s="1" t="s">
        <v>335</v>
      </c>
      <c r="DD401" s="1" t="s">
        <v>1838</v>
      </c>
      <c r="DE401" s="1" t="s">
        <v>218</v>
      </c>
      <c r="DF401" s="1" t="s">
        <v>745</v>
      </c>
      <c r="DH401" s="1" t="s">
        <v>220</v>
      </c>
      <c r="DI401" s="1" t="s">
        <v>5652</v>
      </c>
      <c r="DJ401" s="1" t="s">
        <v>222</v>
      </c>
      <c r="DL401" s="1" t="s">
        <v>224</v>
      </c>
      <c r="DM401" s="1" t="s">
        <v>229</v>
      </c>
      <c r="DN401" s="1" t="s">
        <v>399</v>
      </c>
      <c r="DO401" s="1" t="s">
        <v>1871</v>
      </c>
      <c r="DP401" s="1" t="s">
        <v>340</v>
      </c>
      <c r="DQ401" s="1" t="s">
        <v>441</v>
      </c>
      <c r="DR401" s="1" t="s">
        <v>229</v>
      </c>
      <c r="DU401" s="1" t="s">
        <v>3487</v>
      </c>
      <c r="DV401" s="1" t="s">
        <v>5653</v>
      </c>
      <c r="DW401" s="1" t="s">
        <v>444</v>
      </c>
      <c r="DX401" s="1" t="s">
        <v>234</v>
      </c>
      <c r="DY401" s="1" t="s">
        <v>5654</v>
      </c>
      <c r="DZ401" s="1" t="s">
        <v>282</v>
      </c>
      <c r="EA401" s="1" t="s">
        <v>344</v>
      </c>
      <c r="EB401" s="1" t="s">
        <v>2183</v>
      </c>
      <c r="EC401" s="1" t="s">
        <v>237</v>
      </c>
      <c r="ED401" s="1" t="s">
        <v>407</v>
      </c>
      <c r="EG401" s="1" t="s">
        <v>494</v>
      </c>
      <c r="EH401" s="1" t="s">
        <v>450</v>
      </c>
      <c r="EI401" s="1" t="s">
        <v>408</v>
      </c>
      <c r="EJ401" s="1" t="s">
        <v>720</v>
      </c>
      <c r="EL401" s="1" t="s">
        <v>260</v>
      </c>
      <c r="EM401" s="1" t="s">
        <v>206</v>
      </c>
      <c r="EN401" s="1" t="s">
        <v>210</v>
      </c>
      <c r="EO401" s="1" t="s">
        <v>239</v>
      </c>
      <c r="EP401" s="1" t="s">
        <v>5655</v>
      </c>
      <c r="EQ401" s="1" t="s">
        <v>42</v>
      </c>
      <c r="ER401" s="1" t="s">
        <v>210</v>
      </c>
      <c r="ES401" s="1" t="s">
        <v>229</v>
      </c>
      <c r="ET401" s="1" t="s">
        <v>2613</v>
      </c>
      <c r="EU401" s="1" t="s">
        <v>206</v>
      </c>
      <c r="EV401" s="1" t="s">
        <v>268</v>
      </c>
      <c r="EW401" s="1" t="s">
        <v>229</v>
      </c>
      <c r="EX401" s="1" t="s">
        <v>1746</v>
      </c>
      <c r="EY401" s="1" t="s">
        <v>206</v>
      </c>
      <c r="EZ401" s="1" t="s">
        <v>268</v>
      </c>
      <c r="FA401" s="1" t="s">
        <v>229</v>
      </c>
      <c r="FC401" s="1" t="s">
        <v>238</v>
      </c>
      <c r="FF401" s="1" t="s">
        <v>239</v>
      </c>
      <c r="FG401" s="1" t="s">
        <v>192</v>
      </c>
      <c r="FH401" s="1" t="s">
        <v>192</v>
      </c>
      <c r="FJ401" s="1" t="s">
        <v>498</v>
      </c>
      <c r="FK401" s="1" t="s">
        <v>229</v>
      </c>
      <c r="FL401" s="1" t="s">
        <v>3848</v>
      </c>
      <c r="FM401" s="1">
        <v>432.0</v>
      </c>
      <c r="FN401" s="1" t="s">
        <v>3849</v>
      </c>
      <c r="FO401" s="1" t="s">
        <v>3850</v>
      </c>
      <c r="FP401" s="1">
        <v>77389.0</v>
      </c>
      <c r="FQ401" s="1" t="s">
        <v>3851</v>
      </c>
      <c r="FU401" s="1" t="s">
        <v>460</v>
      </c>
      <c r="FV401" s="1" t="s">
        <v>200</v>
      </c>
      <c r="FW401" s="1" t="s">
        <v>631</v>
      </c>
      <c r="FZ401" s="1" t="s">
        <v>229</v>
      </c>
      <c r="GA401" s="1" t="s">
        <v>291</v>
      </c>
      <c r="GB401" s="2">
        <v>42093.0</v>
      </c>
      <c r="GC401" s="1" t="s">
        <v>5656</v>
      </c>
    </row>
    <row r="402">
      <c r="A402" s="1">
        <v>86200.0</v>
      </c>
      <c r="B402" s="1" t="s">
        <v>185</v>
      </c>
      <c r="C402" s="1" t="str">
        <f>"08793502"</f>
        <v>08793502</v>
      </c>
      <c r="D402" s="1" t="s">
        <v>186</v>
      </c>
      <c r="F402" s="1" t="str">
        <f>"107"</f>
        <v>107</v>
      </c>
      <c r="G402" s="2">
        <v>41971.0</v>
      </c>
      <c r="H402" s="1">
        <v>74900.0</v>
      </c>
      <c r="I402" s="1">
        <v>14.0</v>
      </c>
      <c r="J402" s="1">
        <v>74900.0</v>
      </c>
      <c r="K402" s="2">
        <v>41984.0</v>
      </c>
      <c r="L402" s="1">
        <v>14.0</v>
      </c>
      <c r="M402" s="2">
        <v>41984.0</v>
      </c>
      <c r="N402" s="1" t="s">
        <v>249</v>
      </c>
      <c r="O402" s="2">
        <v>41995.0</v>
      </c>
      <c r="P402" s="1">
        <v>232535.0</v>
      </c>
      <c r="Q402" s="1">
        <v>8094.0</v>
      </c>
      <c r="S402" s="1">
        <v>406.0</v>
      </c>
      <c r="T402" s="1" t="s">
        <v>5657</v>
      </c>
      <c r="U402" s="1" t="s">
        <v>189</v>
      </c>
      <c r="V402" s="1" t="s">
        <v>294</v>
      </c>
      <c r="W402" s="1">
        <v>60107.0</v>
      </c>
      <c r="Y402" s="1" t="s">
        <v>5658</v>
      </c>
      <c r="Z402" s="1">
        <v>1972.0</v>
      </c>
      <c r="AA402" s="1" t="s">
        <v>192</v>
      </c>
      <c r="AB402" s="1" t="s">
        <v>193</v>
      </c>
      <c r="AD402" s="1" t="s">
        <v>297</v>
      </c>
      <c r="AE402" s="1" t="s">
        <v>195</v>
      </c>
      <c r="AF402" s="1" t="s">
        <v>298</v>
      </c>
      <c r="AH402" s="1">
        <v>7280.0</v>
      </c>
      <c r="AI402" s="1">
        <v>0.1671</v>
      </c>
      <c r="AK402" s="1">
        <v>6.0</v>
      </c>
      <c r="AL402" s="1">
        <v>4.0</v>
      </c>
      <c r="AM402" s="1">
        <v>1.0</v>
      </c>
      <c r="AN402" s="1">
        <v>0.0</v>
      </c>
      <c r="AO402" s="1" t="s">
        <v>229</v>
      </c>
      <c r="AQ402" s="1" t="s">
        <v>229</v>
      </c>
      <c r="AR402" s="1" t="s">
        <v>200</v>
      </c>
      <c r="AS402" s="1" t="s">
        <v>199</v>
      </c>
      <c r="AT402" s="1">
        <v>1.0</v>
      </c>
      <c r="AV402" s="1" t="s">
        <v>200</v>
      </c>
      <c r="AW402" s="1">
        <v>4587.18</v>
      </c>
      <c r="AX402" s="1">
        <v>2012.0</v>
      </c>
      <c r="AZ402" s="1" t="s">
        <v>200</v>
      </c>
      <c r="BA402" s="1" t="str">
        <f>"06264080220000"</f>
        <v>06264080220000</v>
      </c>
      <c r="BC402" s="1">
        <v>1123.0</v>
      </c>
      <c r="BD402" s="1">
        <v>86200.0</v>
      </c>
      <c r="BE402" s="2">
        <v>41971.0</v>
      </c>
      <c r="BF402" s="2" t="s">
        <v>5659</v>
      </c>
      <c r="BH402" s="1">
        <v>0.0</v>
      </c>
      <c r="BK402" s="1" t="s">
        <v>204</v>
      </c>
      <c r="BL402" s="1" t="str">
        <f t="shared" ref="BL402:BM402" si="266">""</f>
        <v/>
      </c>
      <c r="BM402" s="1" t="str">
        <f t="shared" si="266"/>
        <v/>
      </c>
      <c r="BQ402" s="1">
        <v>46.0</v>
      </c>
      <c r="BR402" s="1">
        <v>46.0</v>
      </c>
      <c r="BS402" s="1">
        <v>46.0</v>
      </c>
      <c r="BU402" s="1" t="s">
        <v>2082</v>
      </c>
      <c r="BV402" s="1" t="s">
        <v>206</v>
      </c>
      <c r="BY402" s="1" t="s">
        <v>264</v>
      </c>
      <c r="BZ402" s="1" t="s">
        <v>206</v>
      </c>
      <c r="CD402" s="1" t="s">
        <v>204</v>
      </c>
      <c r="CG402" s="1" t="s">
        <v>543</v>
      </c>
      <c r="CH402" s="1" t="s">
        <v>206</v>
      </c>
      <c r="CK402" s="1" t="s">
        <v>516</v>
      </c>
      <c r="CL402" s="1" t="s">
        <v>206</v>
      </c>
      <c r="CO402" s="1" t="s">
        <v>798</v>
      </c>
      <c r="CP402" s="1" t="s">
        <v>206</v>
      </c>
      <c r="CS402" s="1" t="s">
        <v>2082</v>
      </c>
      <c r="CT402" s="1" t="s">
        <v>206</v>
      </c>
      <c r="CX402" s="1" t="s">
        <v>204</v>
      </c>
      <c r="DA402" s="1" t="s">
        <v>200</v>
      </c>
      <c r="DC402" s="1" t="s">
        <v>517</v>
      </c>
      <c r="DE402" s="1" t="s">
        <v>229</v>
      </c>
      <c r="DF402" s="1" t="s">
        <v>219</v>
      </c>
      <c r="DH402" s="1" t="s">
        <v>220</v>
      </c>
      <c r="DJ402" s="1" t="s">
        <v>222</v>
      </c>
      <c r="DL402" s="1" t="s">
        <v>1853</v>
      </c>
      <c r="DM402" s="1" t="s">
        <v>229</v>
      </c>
      <c r="DQ402" s="1" t="s">
        <v>228</v>
      </c>
      <c r="DR402" s="1" t="s">
        <v>229</v>
      </c>
      <c r="DV402" s="1" t="s">
        <v>232</v>
      </c>
      <c r="DW402" s="1" t="s">
        <v>832</v>
      </c>
      <c r="DX402" s="1" t="s">
        <v>234</v>
      </c>
      <c r="EA402" s="1" t="s">
        <v>683</v>
      </c>
      <c r="EC402" s="1" t="s">
        <v>685</v>
      </c>
      <c r="EM402" s="1" t="s">
        <v>238</v>
      </c>
      <c r="EQ402" s="1" t="s">
        <v>238</v>
      </c>
      <c r="EU402" s="1" t="s">
        <v>238</v>
      </c>
      <c r="EY402" s="1" t="s">
        <v>238</v>
      </c>
      <c r="FC402" s="1" t="s">
        <v>238</v>
      </c>
      <c r="FF402" s="1" t="s">
        <v>239</v>
      </c>
      <c r="FG402" s="1" t="s">
        <v>192</v>
      </c>
      <c r="FH402" s="1" t="s">
        <v>192</v>
      </c>
      <c r="FJ402" s="1" t="s">
        <v>524</v>
      </c>
      <c r="FK402" s="1" t="s">
        <v>229</v>
      </c>
      <c r="FL402" s="1" t="s">
        <v>2263</v>
      </c>
      <c r="FM402" s="1">
        <v>8094.0</v>
      </c>
      <c r="FN402" s="1" t="s">
        <v>2264</v>
      </c>
      <c r="FO402" s="1" t="s">
        <v>4111</v>
      </c>
      <c r="FP402" s="1">
        <v>28736.0</v>
      </c>
      <c r="FQ402" s="1" t="s">
        <v>4112</v>
      </c>
      <c r="FU402" s="1" t="s">
        <v>5660</v>
      </c>
      <c r="FV402" s="1" t="s">
        <v>200</v>
      </c>
      <c r="FW402" s="1" t="s">
        <v>290</v>
      </c>
      <c r="FZ402" s="1" t="s">
        <v>229</v>
      </c>
      <c r="GA402" s="1" t="s">
        <v>291</v>
      </c>
      <c r="GB402" s="2">
        <v>41995.0</v>
      </c>
      <c r="GC402" s="1" t="s">
        <v>5661</v>
      </c>
    </row>
    <row r="403">
      <c r="A403" s="1">
        <v>230000.0</v>
      </c>
      <c r="B403" s="1" t="s">
        <v>185</v>
      </c>
      <c r="C403" s="1" t="str">
        <f>"08798011"</f>
        <v>08798011</v>
      </c>
      <c r="D403" s="1" t="s">
        <v>186</v>
      </c>
      <c r="F403" s="1" t="str">
        <f>"560"</f>
        <v>560</v>
      </c>
      <c r="G403" s="2">
        <v>41979.0</v>
      </c>
      <c r="H403" s="1">
        <v>234900.0</v>
      </c>
      <c r="I403" s="1">
        <v>35.0</v>
      </c>
      <c r="J403" s="1">
        <v>234900.0</v>
      </c>
      <c r="K403" s="2">
        <v>42013.0</v>
      </c>
      <c r="L403" s="1">
        <v>35.0</v>
      </c>
      <c r="M403" s="2">
        <v>42013.0</v>
      </c>
      <c r="N403" s="1" t="s">
        <v>187</v>
      </c>
      <c r="O403" s="2">
        <v>42055.0</v>
      </c>
      <c r="P403" s="1">
        <v>18093.0</v>
      </c>
      <c r="Q403" s="1">
        <v>2648.0</v>
      </c>
      <c r="S403" s="1">
        <v>2668.0</v>
      </c>
      <c r="T403" s="1" t="s">
        <v>4305</v>
      </c>
      <c r="U403" s="1" t="s">
        <v>320</v>
      </c>
      <c r="V403" s="1" t="s">
        <v>845</v>
      </c>
      <c r="W403" s="1">
        <v>60560.0</v>
      </c>
      <c r="Y403" s="1" t="s">
        <v>5662</v>
      </c>
      <c r="Z403" s="1">
        <v>2008.0</v>
      </c>
      <c r="AA403" s="1" t="s">
        <v>200</v>
      </c>
      <c r="AB403" s="1" t="s">
        <v>467</v>
      </c>
      <c r="AC403" s="1" t="s">
        <v>5663</v>
      </c>
      <c r="AD403" s="1" t="s">
        <v>848</v>
      </c>
      <c r="AE403" s="1" t="s">
        <v>849</v>
      </c>
      <c r="AF403" s="1" t="s">
        <v>1312</v>
      </c>
      <c r="AG403" s="1" t="s">
        <v>5664</v>
      </c>
      <c r="AH403" s="1" t="s">
        <v>5665</v>
      </c>
      <c r="AI403" s="1">
        <v>0.3138</v>
      </c>
      <c r="AK403" s="1">
        <v>9.0</v>
      </c>
      <c r="AL403" s="1">
        <v>4.0</v>
      </c>
      <c r="AM403" s="1">
        <v>2.0</v>
      </c>
      <c r="AN403" s="1">
        <v>1.0</v>
      </c>
      <c r="AO403" s="1" t="s">
        <v>198</v>
      </c>
      <c r="AP403" s="1">
        <v>1.0</v>
      </c>
      <c r="AQ403" s="1" t="s">
        <v>198</v>
      </c>
      <c r="AR403" s="1" t="s">
        <v>200</v>
      </c>
      <c r="AS403" s="1" t="s">
        <v>199</v>
      </c>
      <c r="AT403" s="1">
        <v>2.0</v>
      </c>
      <c r="AV403" s="1" t="s">
        <v>200</v>
      </c>
      <c r="AW403" s="1">
        <v>6957.74</v>
      </c>
      <c r="AX403" s="1">
        <v>2013.0</v>
      </c>
      <c r="AY403" s="1" t="s">
        <v>387</v>
      </c>
      <c r="AZ403" s="1" t="s">
        <v>200</v>
      </c>
      <c r="BA403" s="1" t="str">
        <f>"0223129004"</f>
        <v>0223129004</v>
      </c>
      <c r="BB403" s="1" t="s">
        <v>200</v>
      </c>
      <c r="BC403" s="1">
        <v>2615.0</v>
      </c>
      <c r="BD403" s="1">
        <v>230000.0</v>
      </c>
      <c r="BE403" s="2">
        <v>41979.0</v>
      </c>
      <c r="BF403" s="2" t="s">
        <v>5666</v>
      </c>
      <c r="BG403" s="1" t="s">
        <v>5667</v>
      </c>
      <c r="BH403" s="1">
        <v>89.0</v>
      </c>
      <c r="BI403" s="1" t="s">
        <v>3052</v>
      </c>
      <c r="BJ403" s="1" t="s">
        <v>3053</v>
      </c>
      <c r="BK403" s="1" t="s">
        <v>474</v>
      </c>
      <c r="BL403" s="1" t="str">
        <f t="shared" ref="BL403:BM403" si="267">"0"</f>
        <v>0</v>
      </c>
      <c r="BM403" s="1" t="str">
        <f t="shared" si="267"/>
        <v>0</v>
      </c>
      <c r="BN403" s="1">
        <v>44.0</v>
      </c>
      <c r="BO403" s="1">
        <v>14.0</v>
      </c>
      <c r="BP403" s="1" t="s">
        <v>5668</v>
      </c>
      <c r="BQ403" s="1">
        <v>115.0</v>
      </c>
      <c r="BR403" s="1">
        <v>115.0</v>
      </c>
      <c r="BS403" s="1">
        <v>115.0</v>
      </c>
      <c r="BT403" s="1">
        <v>115.0</v>
      </c>
      <c r="BU403" s="1" t="s">
        <v>264</v>
      </c>
      <c r="BV403" s="1" t="s">
        <v>206</v>
      </c>
      <c r="BW403" s="1" t="s">
        <v>210</v>
      </c>
      <c r="BX403" s="1" t="s">
        <v>431</v>
      </c>
      <c r="BY403" s="1" t="s">
        <v>544</v>
      </c>
      <c r="BZ403" s="1" t="s">
        <v>209</v>
      </c>
      <c r="CA403" s="1" t="s">
        <v>210</v>
      </c>
      <c r="CB403" s="1" t="s">
        <v>431</v>
      </c>
      <c r="CC403" s="1" t="s">
        <v>303</v>
      </c>
      <c r="CD403" s="1" t="s">
        <v>206</v>
      </c>
      <c r="CE403" s="1" t="s">
        <v>210</v>
      </c>
      <c r="CF403" s="1" t="s">
        <v>431</v>
      </c>
      <c r="CG403" s="1" t="s">
        <v>264</v>
      </c>
      <c r="CH403" s="1" t="s">
        <v>209</v>
      </c>
      <c r="CI403" s="1" t="s">
        <v>210</v>
      </c>
      <c r="CJ403" s="1" t="s">
        <v>431</v>
      </c>
      <c r="CK403" s="1" t="s">
        <v>699</v>
      </c>
      <c r="CL403" s="1" t="s">
        <v>209</v>
      </c>
      <c r="CM403" s="1" t="s">
        <v>210</v>
      </c>
      <c r="CN403" s="1" t="s">
        <v>431</v>
      </c>
      <c r="CO403" s="1" t="s">
        <v>699</v>
      </c>
      <c r="CP403" s="1" t="s">
        <v>209</v>
      </c>
      <c r="CQ403" s="1" t="s">
        <v>210</v>
      </c>
      <c r="CR403" s="1" t="s">
        <v>229</v>
      </c>
      <c r="CS403" s="1" t="s">
        <v>333</v>
      </c>
      <c r="CT403" s="1" t="s">
        <v>206</v>
      </c>
      <c r="CU403" s="1" t="s">
        <v>207</v>
      </c>
      <c r="CV403" s="1" t="s">
        <v>431</v>
      </c>
      <c r="CW403" s="1" t="s">
        <v>1045</v>
      </c>
      <c r="CX403" s="1" t="s">
        <v>206</v>
      </c>
      <c r="CY403" s="1" t="s">
        <v>268</v>
      </c>
      <c r="CZ403" s="1" t="s">
        <v>431</v>
      </c>
      <c r="DA403" s="1" t="s">
        <v>200</v>
      </c>
      <c r="DC403" s="1" t="s">
        <v>481</v>
      </c>
      <c r="DD403" s="1" t="s">
        <v>731</v>
      </c>
      <c r="DE403" s="1" t="s">
        <v>273</v>
      </c>
      <c r="DF403" s="1" t="s">
        <v>219</v>
      </c>
      <c r="DG403" s="1" t="s">
        <v>5669</v>
      </c>
      <c r="DH403" s="1" t="s">
        <v>220</v>
      </c>
      <c r="DJ403" s="1" t="s">
        <v>222</v>
      </c>
      <c r="DK403" s="1" t="s">
        <v>223</v>
      </c>
      <c r="DL403" s="1" t="s">
        <v>484</v>
      </c>
      <c r="DM403" s="1" t="s">
        <v>229</v>
      </c>
      <c r="DN403" s="1" t="s">
        <v>485</v>
      </c>
      <c r="DP403" s="1" t="s">
        <v>340</v>
      </c>
      <c r="DQ403" s="1" t="s">
        <v>441</v>
      </c>
      <c r="DR403" s="1" t="s">
        <v>3096</v>
      </c>
      <c r="DS403" s="1" t="s">
        <v>591</v>
      </c>
      <c r="DU403" s="1" t="s">
        <v>5670</v>
      </c>
      <c r="DV403" s="1" t="s">
        <v>598</v>
      </c>
      <c r="DW403" s="1" t="s">
        <v>444</v>
      </c>
      <c r="DX403" s="1" t="s">
        <v>234</v>
      </c>
      <c r="DY403" s="1" t="s">
        <v>490</v>
      </c>
      <c r="DZ403" s="1" t="s">
        <v>2424</v>
      </c>
      <c r="EA403" s="1" t="s">
        <v>344</v>
      </c>
      <c r="EB403" s="1" t="s">
        <v>492</v>
      </c>
      <c r="EC403" s="1" t="s">
        <v>237</v>
      </c>
      <c r="ED403" s="1" t="s">
        <v>407</v>
      </c>
      <c r="EG403" s="1" t="s">
        <v>598</v>
      </c>
      <c r="EL403" s="1" t="s">
        <v>303</v>
      </c>
      <c r="EM403" s="1" t="s">
        <v>206</v>
      </c>
      <c r="EN403" s="1" t="s">
        <v>210</v>
      </c>
      <c r="EO403" s="1" t="s">
        <v>431</v>
      </c>
      <c r="EQ403" s="1" t="s">
        <v>238</v>
      </c>
      <c r="EU403" s="1" t="s">
        <v>238</v>
      </c>
      <c r="EY403" s="1" t="s">
        <v>238</v>
      </c>
      <c r="FC403" s="1" t="s">
        <v>238</v>
      </c>
      <c r="FF403" s="1" t="s">
        <v>239</v>
      </c>
      <c r="FG403" s="1" t="s">
        <v>192</v>
      </c>
      <c r="FH403" s="1" t="s">
        <v>192</v>
      </c>
      <c r="FJ403" s="1" t="s">
        <v>3755</v>
      </c>
      <c r="FK403" s="1" t="s">
        <v>229</v>
      </c>
      <c r="FL403" s="1" t="s">
        <v>456</v>
      </c>
      <c r="FM403" s="1">
        <v>20001.0</v>
      </c>
      <c r="FN403" s="1" t="s">
        <v>5671</v>
      </c>
      <c r="FO403" s="1" t="s">
        <v>5672</v>
      </c>
      <c r="FP403" s="1">
        <v>222085.0</v>
      </c>
      <c r="FQ403" s="1" t="s">
        <v>5673</v>
      </c>
      <c r="FU403" s="1" t="s">
        <v>5674</v>
      </c>
      <c r="FV403" s="1" t="s">
        <v>200</v>
      </c>
      <c r="FW403" s="1" t="s">
        <v>5675</v>
      </c>
      <c r="FZ403" s="1" t="s">
        <v>229</v>
      </c>
      <c r="GA403" s="1" t="s">
        <v>291</v>
      </c>
      <c r="GB403" s="2">
        <v>42055.0</v>
      </c>
      <c r="GC403" s="1" t="s">
        <v>5676</v>
      </c>
    </row>
    <row r="404">
      <c r="A404" s="1">
        <v>75500.0</v>
      </c>
      <c r="B404" s="1" t="s">
        <v>185</v>
      </c>
      <c r="C404" s="1" t="str">
        <f>"08787066"</f>
        <v>08787066</v>
      </c>
      <c r="D404" s="1" t="s">
        <v>186</v>
      </c>
      <c r="F404" s="1" t="str">
        <f>"10"</f>
        <v>10</v>
      </c>
      <c r="G404" s="2">
        <v>41958.0</v>
      </c>
      <c r="H404" s="1">
        <v>84900.0</v>
      </c>
      <c r="I404" s="1">
        <v>117.0</v>
      </c>
      <c r="J404" s="1">
        <v>84900.0</v>
      </c>
      <c r="K404" s="2">
        <v>41983.0</v>
      </c>
      <c r="L404" s="1">
        <v>27.0</v>
      </c>
      <c r="M404" s="2">
        <v>41983.0</v>
      </c>
      <c r="N404" s="1" t="s">
        <v>249</v>
      </c>
      <c r="O404" s="2">
        <v>41996.0</v>
      </c>
      <c r="P404" s="1">
        <v>26066.0</v>
      </c>
      <c r="Q404" s="1">
        <v>1622.0</v>
      </c>
      <c r="S404" s="1">
        <v>39.0</v>
      </c>
      <c r="T404" s="1" t="s">
        <v>3736</v>
      </c>
      <c r="U404" s="1" t="s">
        <v>569</v>
      </c>
      <c r="V404" s="1" t="s">
        <v>5677</v>
      </c>
      <c r="W404" s="1">
        <v>60010.0</v>
      </c>
      <c r="Y404" s="1" t="s">
        <v>5678</v>
      </c>
      <c r="Z404" s="1" t="s">
        <v>296</v>
      </c>
      <c r="AA404" s="1" t="s">
        <v>192</v>
      </c>
      <c r="AB404" s="1" t="s">
        <v>193</v>
      </c>
      <c r="AC404" s="1" t="s">
        <v>5679</v>
      </c>
      <c r="AD404" s="1" t="s">
        <v>5680</v>
      </c>
      <c r="AE404" s="1" t="s">
        <v>5681</v>
      </c>
      <c r="AF404" s="1" t="s">
        <v>5682</v>
      </c>
      <c r="AH404" s="1" t="s">
        <v>5683</v>
      </c>
      <c r="AI404" s="1">
        <v>0.17</v>
      </c>
      <c r="AK404" s="1">
        <v>6.0</v>
      </c>
      <c r="AL404" s="1">
        <v>4.0</v>
      </c>
      <c r="AM404" s="1">
        <v>1.0</v>
      </c>
      <c r="AN404" s="1">
        <v>1.0</v>
      </c>
      <c r="AO404" s="1" t="s">
        <v>229</v>
      </c>
      <c r="AQ404" s="1" t="s">
        <v>198</v>
      </c>
      <c r="AR404" s="1" t="s">
        <v>200</v>
      </c>
      <c r="AS404" s="1" t="s">
        <v>828</v>
      </c>
      <c r="AU404" s="1">
        <v>4.0</v>
      </c>
      <c r="AV404" s="1" t="s">
        <v>200</v>
      </c>
      <c r="AW404" s="1">
        <v>6104.0</v>
      </c>
      <c r="AX404" s="1">
        <v>2013.0</v>
      </c>
      <c r="AZ404" s="1" t="s">
        <v>200</v>
      </c>
      <c r="BA404" s="1" t="str">
        <f>"1532478002"</f>
        <v>1532478002</v>
      </c>
      <c r="BC404" s="1">
        <v>950.0</v>
      </c>
      <c r="BD404" s="1">
        <v>75500.0</v>
      </c>
      <c r="BE404" s="2">
        <v>41957.0</v>
      </c>
      <c r="BF404" s="2" t="s">
        <v>5684</v>
      </c>
      <c r="BH404" s="1">
        <v>0.0</v>
      </c>
      <c r="BK404" s="1" t="s">
        <v>204</v>
      </c>
      <c r="BL404" s="1" t="str">
        <f>"26"</f>
        <v>26</v>
      </c>
      <c r="BM404" s="1" t="str">
        <f>"0"</f>
        <v>0</v>
      </c>
      <c r="BN404" s="1">
        <v>29.0</v>
      </c>
      <c r="BO404" s="1">
        <v>0.0</v>
      </c>
      <c r="BQ404" s="1">
        <v>118.0</v>
      </c>
      <c r="BR404" s="1">
        <v>118.0</v>
      </c>
      <c r="BS404" s="1">
        <v>118.0</v>
      </c>
      <c r="BU404" s="1" t="s">
        <v>215</v>
      </c>
      <c r="BV404" s="1" t="s">
        <v>206</v>
      </c>
      <c r="BW404" s="1" t="s">
        <v>207</v>
      </c>
      <c r="BY404" s="1" t="s">
        <v>433</v>
      </c>
      <c r="BZ404" s="1" t="s">
        <v>206</v>
      </c>
      <c r="CA404" s="1" t="s">
        <v>207</v>
      </c>
      <c r="CD404" s="1" t="s">
        <v>204</v>
      </c>
      <c r="CG404" s="1" t="s">
        <v>269</v>
      </c>
      <c r="CH404" s="1" t="s">
        <v>209</v>
      </c>
      <c r="CI404" s="1" t="s">
        <v>210</v>
      </c>
      <c r="CK404" s="1" t="s">
        <v>269</v>
      </c>
      <c r="CL404" s="1" t="s">
        <v>209</v>
      </c>
      <c r="CM404" s="1" t="s">
        <v>210</v>
      </c>
      <c r="CO404" s="1" t="s">
        <v>300</v>
      </c>
      <c r="CP404" s="1" t="s">
        <v>206</v>
      </c>
      <c r="CQ404" s="1" t="s">
        <v>207</v>
      </c>
      <c r="CS404" s="1" t="s">
        <v>454</v>
      </c>
      <c r="CT404" s="1" t="s">
        <v>206</v>
      </c>
      <c r="CU404" s="1" t="s">
        <v>268</v>
      </c>
      <c r="CX404" s="1" t="s">
        <v>204</v>
      </c>
      <c r="DA404" s="1" t="s">
        <v>200</v>
      </c>
      <c r="DC404" s="1" t="s">
        <v>545</v>
      </c>
      <c r="DE404" s="1" t="s">
        <v>273</v>
      </c>
      <c r="DF404" s="1" t="s">
        <v>619</v>
      </c>
      <c r="DH404" s="1" t="s">
        <v>856</v>
      </c>
      <c r="DI404" s="1" t="s">
        <v>308</v>
      </c>
      <c r="DJ404" s="1" t="s">
        <v>222</v>
      </c>
      <c r="DL404" s="1" t="s">
        <v>223</v>
      </c>
      <c r="DM404" s="1" t="s">
        <v>229</v>
      </c>
      <c r="DQ404" s="1" t="s">
        <v>228</v>
      </c>
      <c r="DR404" s="1" t="s">
        <v>229</v>
      </c>
      <c r="DV404" s="1" t="s">
        <v>232</v>
      </c>
      <c r="DW404" s="1" t="s">
        <v>1820</v>
      </c>
      <c r="DX404" s="1" t="s">
        <v>234</v>
      </c>
      <c r="DY404" s="1" t="s">
        <v>704</v>
      </c>
      <c r="DZ404" s="1" t="s">
        <v>2204</v>
      </c>
      <c r="EA404" s="1" t="s">
        <v>1075</v>
      </c>
      <c r="EC404" s="1" t="s">
        <v>237</v>
      </c>
      <c r="EM404" s="1" t="s">
        <v>238</v>
      </c>
      <c r="EQ404" s="1" t="s">
        <v>238</v>
      </c>
      <c r="EU404" s="1" t="s">
        <v>238</v>
      </c>
      <c r="EY404" s="1" t="s">
        <v>238</v>
      </c>
      <c r="FC404" s="1" t="s">
        <v>238</v>
      </c>
      <c r="FF404" s="1" t="s">
        <v>239</v>
      </c>
      <c r="FG404" s="1" t="s">
        <v>192</v>
      </c>
      <c r="FH404" s="1" t="s">
        <v>192</v>
      </c>
      <c r="FJ404" s="1" t="s">
        <v>1248</v>
      </c>
      <c r="FK404" s="1" t="s">
        <v>557</v>
      </c>
      <c r="FL404" s="1" t="s">
        <v>5685</v>
      </c>
      <c r="FM404" s="1">
        <v>1622.0</v>
      </c>
      <c r="FN404" s="1" t="s">
        <v>5686</v>
      </c>
      <c r="FO404" s="1" t="s">
        <v>5687</v>
      </c>
      <c r="FP404" s="1">
        <v>26066.0</v>
      </c>
      <c r="FQ404" s="1" t="s">
        <v>5686</v>
      </c>
      <c r="FU404" s="1" t="s">
        <v>5688</v>
      </c>
      <c r="FV404" s="1" t="s">
        <v>200</v>
      </c>
      <c r="FW404" s="1" t="s">
        <v>354</v>
      </c>
      <c r="FX404" s="1" t="s">
        <v>238</v>
      </c>
      <c r="FZ404" s="1" t="s">
        <v>229</v>
      </c>
      <c r="GA404" s="1" t="s">
        <v>291</v>
      </c>
      <c r="GB404" s="2">
        <v>41999.0</v>
      </c>
      <c r="GC404" s="1" t="s">
        <v>5689</v>
      </c>
    </row>
    <row r="405">
      <c r="A405" s="1">
        <v>180000.0</v>
      </c>
      <c r="B405" s="1" t="s">
        <v>185</v>
      </c>
      <c r="C405" s="1" t="str">
        <f>"08786902"</f>
        <v>08786902</v>
      </c>
      <c r="D405" s="1" t="s">
        <v>186</v>
      </c>
      <c r="F405" s="1" t="str">
        <f>"123"</f>
        <v>123</v>
      </c>
      <c r="G405" s="2">
        <v>41958.0</v>
      </c>
      <c r="H405" s="1">
        <v>185000.0</v>
      </c>
      <c r="I405" s="1">
        <v>59.0</v>
      </c>
      <c r="J405" s="1">
        <v>185000.0</v>
      </c>
      <c r="K405" s="2">
        <v>42016.0</v>
      </c>
      <c r="L405" s="1">
        <v>59.0</v>
      </c>
      <c r="M405" s="2">
        <v>42016.0</v>
      </c>
      <c r="N405" s="1" t="s">
        <v>356</v>
      </c>
      <c r="O405" s="2">
        <v>42109.0</v>
      </c>
      <c r="P405" s="1">
        <v>26380.0</v>
      </c>
      <c r="Q405" s="1">
        <v>8002.0</v>
      </c>
      <c r="S405" s="1">
        <v>662.0</v>
      </c>
      <c r="T405" s="1" t="s">
        <v>5690</v>
      </c>
      <c r="U405" s="1" t="s">
        <v>1174</v>
      </c>
      <c r="V405" s="1" t="s">
        <v>465</v>
      </c>
      <c r="W405" s="1">
        <v>60123.0</v>
      </c>
      <c r="Y405" s="1" t="s">
        <v>5691</v>
      </c>
      <c r="Z405" s="1">
        <v>1988.0</v>
      </c>
      <c r="AA405" s="1" t="s">
        <v>200</v>
      </c>
      <c r="AB405" s="1" t="s">
        <v>193</v>
      </c>
      <c r="AC405" s="1" t="s">
        <v>5692</v>
      </c>
      <c r="AD405" s="1" t="s">
        <v>469</v>
      </c>
      <c r="AE405" s="1" t="s">
        <v>325</v>
      </c>
      <c r="AF405" s="1" t="s">
        <v>469</v>
      </c>
      <c r="AG405" s="1" t="s">
        <v>5693</v>
      </c>
      <c r="AH405" s="1" t="s">
        <v>5694</v>
      </c>
      <c r="AI405" s="1">
        <v>0.19</v>
      </c>
      <c r="AK405" s="1">
        <v>9.0</v>
      </c>
      <c r="AL405" s="1">
        <v>4.0</v>
      </c>
      <c r="AM405" s="1">
        <v>2.0</v>
      </c>
      <c r="AN405" s="1">
        <v>1.0</v>
      </c>
      <c r="AO405" s="1" t="s">
        <v>198</v>
      </c>
      <c r="AP405" s="1">
        <v>1.0</v>
      </c>
      <c r="AQ405" s="1" t="s">
        <v>198</v>
      </c>
      <c r="AR405" s="1" t="s">
        <v>200</v>
      </c>
      <c r="AS405" s="1" t="s">
        <v>199</v>
      </c>
      <c r="AT405" s="1">
        <v>2.0</v>
      </c>
      <c r="AV405" s="1" t="s">
        <v>200</v>
      </c>
      <c r="AW405" s="1">
        <v>5624.18</v>
      </c>
      <c r="AX405" s="1">
        <v>2013.0</v>
      </c>
      <c r="AY405" s="1" t="s">
        <v>387</v>
      </c>
      <c r="AZ405" s="1" t="s">
        <v>200</v>
      </c>
      <c r="BA405" s="1" t="str">
        <f>"0609428020"</f>
        <v>0609428020</v>
      </c>
      <c r="BB405" s="1" t="s">
        <v>200</v>
      </c>
      <c r="BC405" s="1">
        <v>2138.0</v>
      </c>
      <c r="BD405" s="1">
        <v>180000.0</v>
      </c>
      <c r="BE405" s="2">
        <v>41958.0</v>
      </c>
      <c r="BF405" s="2" t="s">
        <v>5695</v>
      </c>
      <c r="BH405" s="1">
        <v>0.0</v>
      </c>
      <c r="BK405" s="1" t="s">
        <v>204</v>
      </c>
      <c r="BL405" s="1" t="str">
        <f t="shared" ref="BL405:BM405" si="268">""</f>
        <v/>
      </c>
      <c r="BM405" s="1" t="str">
        <f t="shared" si="268"/>
        <v/>
      </c>
      <c r="BQ405" s="1">
        <v>46.0</v>
      </c>
      <c r="BR405" s="1">
        <v>46.0</v>
      </c>
      <c r="BS405" s="1">
        <v>46.0</v>
      </c>
      <c r="BU405" s="1" t="s">
        <v>205</v>
      </c>
      <c r="BV405" s="1" t="s">
        <v>206</v>
      </c>
      <c r="BW405" s="1" t="s">
        <v>210</v>
      </c>
      <c r="BY405" s="1" t="s">
        <v>205</v>
      </c>
      <c r="BZ405" s="1" t="s">
        <v>209</v>
      </c>
      <c r="CA405" s="1" t="s">
        <v>210</v>
      </c>
      <c r="CC405" s="1" t="s">
        <v>264</v>
      </c>
      <c r="CD405" s="1" t="s">
        <v>206</v>
      </c>
      <c r="CE405" s="1" t="s">
        <v>210</v>
      </c>
      <c r="CG405" s="1" t="s">
        <v>212</v>
      </c>
      <c r="CH405" s="1" t="s">
        <v>209</v>
      </c>
      <c r="CI405" s="1" t="s">
        <v>210</v>
      </c>
      <c r="CK405" s="1" t="s">
        <v>212</v>
      </c>
      <c r="CL405" s="1" t="s">
        <v>209</v>
      </c>
      <c r="CM405" s="1" t="s">
        <v>210</v>
      </c>
      <c r="CO405" s="1" t="s">
        <v>495</v>
      </c>
      <c r="CP405" s="1" t="s">
        <v>209</v>
      </c>
      <c r="CQ405" s="1" t="s">
        <v>210</v>
      </c>
      <c r="CS405" s="1" t="s">
        <v>212</v>
      </c>
      <c r="CT405" s="1" t="s">
        <v>206</v>
      </c>
      <c r="CU405" s="1" t="s">
        <v>207</v>
      </c>
      <c r="CW405" s="1" t="s">
        <v>454</v>
      </c>
      <c r="CX405" s="1" t="s">
        <v>206</v>
      </c>
      <c r="CY405" s="1" t="s">
        <v>210</v>
      </c>
      <c r="DA405" s="1" t="s">
        <v>200</v>
      </c>
      <c r="DC405" s="1" t="s">
        <v>305</v>
      </c>
      <c r="DD405" s="1" t="s">
        <v>518</v>
      </c>
      <c r="DE405" s="1" t="s">
        <v>273</v>
      </c>
      <c r="DF405" s="1" t="s">
        <v>219</v>
      </c>
      <c r="DG405" s="1" t="s">
        <v>482</v>
      </c>
      <c r="DH405" s="1" t="s">
        <v>220</v>
      </c>
      <c r="DI405" s="1" t="s">
        <v>221</v>
      </c>
      <c r="DJ405" s="1" t="s">
        <v>222</v>
      </c>
      <c r="DL405" s="1" t="s">
        <v>223</v>
      </c>
      <c r="DM405" s="1" t="s">
        <v>338</v>
      </c>
      <c r="DP405" s="1" t="s">
        <v>340</v>
      </c>
      <c r="DQ405" s="1" t="s">
        <v>228</v>
      </c>
      <c r="DR405" s="1" t="s">
        <v>229</v>
      </c>
      <c r="DU405" s="1" t="s">
        <v>5696</v>
      </c>
      <c r="DV405" s="1" t="s">
        <v>449</v>
      </c>
      <c r="DW405" s="1" t="s">
        <v>233</v>
      </c>
      <c r="DX405" s="1" t="s">
        <v>234</v>
      </c>
      <c r="DY405" s="1" t="s">
        <v>704</v>
      </c>
      <c r="DZ405" s="1" t="s">
        <v>2204</v>
      </c>
      <c r="EA405" s="1" t="s">
        <v>447</v>
      </c>
      <c r="EB405" s="1" t="s">
        <v>345</v>
      </c>
      <c r="EC405" s="1" t="s">
        <v>237</v>
      </c>
      <c r="EE405" s="1" t="s">
        <v>493</v>
      </c>
      <c r="EG405" s="1" t="s">
        <v>449</v>
      </c>
      <c r="EL405" s="1" t="s">
        <v>375</v>
      </c>
      <c r="EM405" s="1" t="s">
        <v>206</v>
      </c>
      <c r="EN405" s="1" t="s">
        <v>207</v>
      </c>
      <c r="EQ405" s="1" t="s">
        <v>238</v>
      </c>
      <c r="EU405" s="1" t="s">
        <v>238</v>
      </c>
      <c r="EY405" s="1" t="s">
        <v>238</v>
      </c>
      <c r="FC405" s="1" t="s">
        <v>238</v>
      </c>
      <c r="FF405" s="1" t="s">
        <v>239</v>
      </c>
      <c r="FG405" s="1" t="s">
        <v>192</v>
      </c>
      <c r="FH405" s="1" t="s">
        <v>192</v>
      </c>
      <c r="FJ405" s="1" t="s">
        <v>1469</v>
      </c>
      <c r="FK405" s="1" t="s">
        <v>1586</v>
      </c>
      <c r="FL405" s="1" t="s">
        <v>3848</v>
      </c>
      <c r="FM405" s="1">
        <v>432.0</v>
      </c>
      <c r="FN405" s="1" t="s">
        <v>3849</v>
      </c>
      <c r="FO405" s="1" t="s">
        <v>5697</v>
      </c>
      <c r="FP405" s="1">
        <v>1488.0</v>
      </c>
      <c r="FQ405" s="1" t="s">
        <v>5698</v>
      </c>
      <c r="FR405" s="1">
        <v>7231.0</v>
      </c>
      <c r="FU405" s="1" t="s">
        <v>4517</v>
      </c>
      <c r="FV405" s="1" t="s">
        <v>200</v>
      </c>
      <c r="FW405" s="1" t="s">
        <v>290</v>
      </c>
      <c r="FZ405" s="1" t="s">
        <v>229</v>
      </c>
      <c r="GA405" s="1" t="s">
        <v>291</v>
      </c>
      <c r="GB405" s="2">
        <v>42109.0</v>
      </c>
      <c r="GC405" s="1" t="s">
        <v>5699</v>
      </c>
    </row>
    <row r="406">
      <c r="A406" s="1">
        <v>171000.0</v>
      </c>
      <c r="B406" s="1" t="s">
        <v>185</v>
      </c>
      <c r="C406" s="1" t="str">
        <f>"08785385"</f>
        <v>08785385</v>
      </c>
      <c r="D406" s="1" t="s">
        <v>186</v>
      </c>
      <c r="F406" s="1" t="str">
        <f>"8048"</f>
        <v>8048</v>
      </c>
      <c r="G406" s="2">
        <v>41956.0</v>
      </c>
      <c r="H406" s="1">
        <v>175900.0</v>
      </c>
      <c r="I406" s="1">
        <v>100.0</v>
      </c>
      <c r="J406" s="1">
        <v>175900.0</v>
      </c>
      <c r="K406" s="2">
        <v>41964.0</v>
      </c>
      <c r="L406" s="1">
        <v>10.0</v>
      </c>
      <c r="M406" s="2">
        <v>41964.0</v>
      </c>
      <c r="N406" s="1" t="s">
        <v>356</v>
      </c>
      <c r="O406" s="2">
        <v>42033.0</v>
      </c>
      <c r="P406" s="1">
        <v>157197.0</v>
      </c>
      <c r="Q406" s="1">
        <v>84029.0</v>
      </c>
      <c r="R406" s="1">
        <v>3.0</v>
      </c>
      <c r="S406" s="1">
        <v>2151.0</v>
      </c>
      <c r="T406" s="1" t="s">
        <v>5700</v>
      </c>
      <c r="U406" s="1" t="s">
        <v>320</v>
      </c>
      <c r="V406" s="1" t="s">
        <v>190</v>
      </c>
      <c r="W406" s="1">
        <v>60617.0</v>
      </c>
      <c r="Y406" s="1" t="s">
        <v>5701</v>
      </c>
      <c r="Z406" s="1">
        <v>1953.0</v>
      </c>
      <c r="AA406" s="1" t="s">
        <v>192</v>
      </c>
      <c r="AB406" s="1" t="s">
        <v>193</v>
      </c>
      <c r="AD406" s="1" t="s">
        <v>194</v>
      </c>
      <c r="AE406" s="1" t="s">
        <v>195</v>
      </c>
      <c r="AF406" s="1" t="s">
        <v>637</v>
      </c>
      <c r="AH406" s="1">
        <v>4125.0</v>
      </c>
      <c r="AK406" s="1">
        <v>7.0</v>
      </c>
      <c r="AL406" s="1">
        <v>3.0</v>
      </c>
      <c r="AM406" s="1">
        <v>2.0</v>
      </c>
      <c r="AN406" s="1">
        <v>0.0</v>
      </c>
      <c r="AO406" s="1" t="s">
        <v>229</v>
      </c>
      <c r="AP406" s="1">
        <v>1.0</v>
      </c>
      <c r="AQ406" s="1" t="s">
        <v>198</v>
      </c>
      <c r="AR406" s="1" t="s">
        <v>192</v>
      </c>
      <c r="AS406" s="1" t="s">
        <v>199</v>
      </c>
      <c r="AT406" s="1">
        <v>2.0</v>
      </c>
      <c r="AV406" s="1" t="s">
        <v>200</v>
      </c>
      <c r="AW406" s="1">
        <v>2100.0</v>
      </c>
      <c r="AX406" s="1">
        <v>2012.0</v>
      </c>
      <c r="AY406" s="1" t="s">
        <v>229</v>
      </c>
      <c r="AZ406" s="1" t="s">
        <v>200</v>
      </c>
      <c r="BA406" s="1" t="str">
        <f>"25012270680000"</f>
        <v>25012270680000</v>
      </c>
      <c r="BC406" s="1">
        <v>1200.0</v>
      </c>
      <c r="BD406" s="1">
        <v>171000.0</v>
      </c>
      <c r="BE406" s="2">
        <v>41955.0</v>
      </c>
      <c r="BF406" s="2" t="s">
        <v>5702</v>
      </c>
      <c r="BH406" s="1">
        <v>0.0</v>
      </c>
      <c r="BK406" s="1" t="s">
        <v>204</v>
      </c>
      <c r="BL406" s="1" t="str">
        <f>"0"</f>
        <v>0</v>
      </c>
      <c r="BM406" s="1" t="str">
        <f>"2151"</f>
        <v>2151</v>
      </c>
      <c r="BN406" s="1">
        <v>0.0</v>
      </c>
      <c r="BO406" s="1">
        <v>9000.0</v>
      </c>
      <c r="BQ406" s="1">
        <v>299.0</v>
      </c>
      <c r="BR406" s="1">
        <v>299.0</v>
      </c>
      <c r="BS406" s="1">
        <v>299.0</v>
      </c>
      <c r="BU406" s="1" t="s">
        <v>1117</v>
      </c>
      <c r="BV406" s="1" t="s">
        <v>206</v>
      </c>
      <c r="BW406" s="1" t="s">
        <v>207</v>
      </c>
      <c r="BY406" s="1" t="s">
        <v>497</v>
      </c>
      <c r="BZ406" s="1" t="s">
        <v>206</v>
      </c>
      <c r="CA406" s="1" t="s">
        <v>207</v>
      </c>
      <c r="CD406" s="1" t="s">
        <v>204</v>
      </c>
      <c r="CG406" s="1" t="s">
        <v>302</v>
      </c>
      <c r="CH406" s="1" t="s">
        <v>206</v>
      </c>
      <c r="CI406" s="1" t="s">
        <v>207</v>
      </c>
      <c r="CK406" s="1" t="s">
        <v>302</v>
      </c>
      <c r="CL406" s="1" t="s">
        <v>206</v>
      </c>
      <c r="CM406" s="1" t="s">
        <v>207</v>
      </c>
      <c r="CO406" s="1" t="s">
        <v>582</v>
      </c>
      <c r="CP406" s="1" t="s">
        <v>42</v>
      </c>
      <c r="CQ406" s="1" t="s">
        <v>268</v>
      </c>
      <c r="CS406" s="1" t="s">
        <v>729</v>
      </c>
      <c r="CT406" s="1" t="s">
        <v>206</v>
      </c>
      <c r="CU406" s="1" t="s">
        <v>268</v>
      </c>
      <c r="CW406" s="1" t="s">
        <v>3415</v>
      </c>
      <c r="CX406" s="1" t="s">
        <v>42</v>
      </c>
      <c r="CY406" s="1" t="s">
        <v>268</v>
      </c>
      <c r="DA406" s="1" t="s">
        <v>200</v>
      </c>
      <c r="DC406" s="1" t="s">
        <v>702</v>
      </c>
      <c r="DD406" s="1" t="s">
        <v>759</v>
      </c>
      <c r="DE406" s="1" t="s">
        <v>273</v>
      </c>
      <c r="DF406" s="1" t="s">
        <v>619</v>
      </c>
      <c r="DG406" s="1" t="s">
        <v>337</v>
      </c>
      <c r="DH406" s="1" t="s">
        <v>365</v>
      </c>
      <c r="DI406" s="1" t="s">
        <v>308</v>
      </c>
      <c r="DJ406" s="1" t="s">
        <v>222</v>
      </c>
      <c r="DL406" s="1" t="s">
        <v>224</v>
      </c>
      <c r="DM406" s="1" t="s">
        <v>229</v>
      </c>
      <c r="DN406" s="1" t="s">
        <v>2715</v>
      </c>
      <c r="DQ406" s="1" t="s">
        <v>228</v>
      </c>
      <c r="DR406" s="1" t="s">
        <v>229</v>
      </c>
      <c r="DU406" s="1" t="s">
        <v>681</v>
      </c>
      <c r="DV406" s="1" t="s">
        <v>232</v>
      </c>
      <c r="DW406" s="1" t="s">
        <v>279</v>
      </c>
      <c r="DX406" s="1" t="s">
        <v>309</v>
      </c>
      <c r="DY406" s="1" t="s">
        <v>5703</v>
      </c>
      <c r="EA406" s="1" t="s">
        <v>683</v>
      </c>
      <c r="EB406" s="1" t="s">
        <v>372</v>
      </c>
      <c r="EC406" s="1" t="s">
        <v>685</v>
      </c>
      <c r="ED406" s="1" t="s">
        <v>555</v>
      </c>
      <c r="EM406" s="1" t="s">
        <v>238</v>
      </c>
      <c r="EQ406" s="1" t="s">
        <v>238</v>
      </c>
      <c r="EU406" s="1" t="s">
        <v>238</v>
      </c>
      <c r="EY406" s="1" t="s">
        <v>238</v>
      </c>
      <c r="FC406" s="1" t="s">
        <v>238</v>
      </c>
      <c r="FF406" s="1" t="s">
        <v>239</v>
      </c>
      <c r="FG406" s="1" t="s">
        <v>192</v>
      </c>
      <c r="FH406" s="1" t="s">
        <v>192</v>
      </c>
      <c r="FJ406" s="1" t="s">
        <v>624</v>
      </c>
      <c r="FK406" s="1" t="s">
        <v>229</v>
      </c>
      <c r="FL406" s="1" t="s">
        <v>5704</v>
      </c>
      <c r="FM406" s="1">
        <v>16279.0</v>
      </c>
      <c r="FN406" s="1" t="s">
        <v>5705</v>
      </c>
      <c r="FO406" s="1" t="s">
        <v>5706</v>
      </c>
      <c r="FP406" s="1">
        <v>150449.0</v>
      </c>
      <c r="FQ406" s="1" t="s">
        <v>5707</v>
      </c>
      <c r="FU406" s="1" t="s">
        <v>5708</v>
      </c>
      <c r="FV406" s="1" t="s">
        <v>192</v>
      </c>
      <c r="FW406" s="1" t="s">
        <v>567</v>
      </c>
      <c r="FX406" s="1" t="s">
        <v>1739</v>
      </c>
      <c r="FZ406" s="1" t="s">
        <v>229</v>
      </c>
      <c r="GA406" s="1" t="s">
        <v>291</v>
      </c>
      <c r="GB406" s="2">
        <v>42033.0</v>
      </c>
      <c r="GC406" s="1" t="s">
        <v>5709</v>
      </c>
    </row>
    <row r="407">
      <c r="A407" s="1">
        <v>258000.0</v>
      </c>
      <c r="B407" s="1" t="s">
        <v>185</v>
      </c>
      <c r="C407" s="1" t="str">
        <f>"08816691"</f>
        <v>08816691</v>
      </c>
      <c r="D407" s="1" t="s">
        <v>186</v>
      </c>
      <c r="F407" s="1" t="str">
        <f>"174"</f>
        <v>174</v>
      </c>
      <c r="G407" s="2">
        <v>42019.0</v>
      </c>
      <c r="H407" s="1">
        <v>269900.0</v>
      </c>
      <c r="I407" s="1">
        <v>30.0</v>
      </c>
      <c r="J407" s="1">
        <v>269900.0</v>
      </c>
      <c r="K407" s="2">
        <v>42048.0</v>
      </c>
      <c r="L407" s="1">
        <v>30.0</v>
      </c>
      <c r="M407" s="2">
        <v>42048.0</v>
      </c>
      <c r="N407" s="1" t="s">
        <v>187</v>
      </c>
      <c r="O407" s="2">
        <v>42094.0</v>
      </c>
      <c r="P407" s="1">
        <v>177426.0</v>
      </c>
      <c r="Q407" s="1">
        <v>18426.0</v>
      </c>
      <c r="S407" s="1">
        <v>1513.0</v>
      </c>
      <c r="T407" s="1" t="s">
        <v>5710</v>
      </c>
      <c r="U407" s="1" t="s">
        <v>189</v>
      </c>
      <c r="V407" s="1" t="s">
        <v>1200</v>
      </c>
      <c r="W407" s="1">
        <v>60174.0</v>
      </c>
      <c r="Y407" s="1" t="s">
        <v>5711</v>
      </c>
      <c r="Z407" s="1">
        <v>1984.0</v>
      </c>
      <c r="AA407" s="1" t="s">
        <v>200</v>
      </c>
      <c r="AB407" s="1" t="s">
        <v>193</v>
      </c>
      <c r="AC407" s="1" t="s">
        <v>5712</v>
      </c>
      <c r="AD407" s="1" t="s">
        <v>1203</v>
      </c>
      <c r="AE407" s="1" t="s">
        <v>325</v>
      </c>
      <c r="AF407" s="1" t="s">
        <v>1203</v>
      </c>
      <c r="AG407" s="1" t="s">
        <v>5713</v>
      </c>
      <c r="AH407" s="1" t="s">
        <v>5714</v>
      </c>
      <c r="AI407" s="1">
        <v>0.165</v>
      </c>
      <c r="AK407" s="1">
        <v>8.0</v>
      </c>
      <c r="AL407" s="1">
        <v>4.0</v>
      </c>
      <c r="AM407" s="1">
        <v>2.0</v>
      </c>
      <c r="AN407" s="1">
        <v>1.0</v>
      </c>
      <c r="AO407" s="1" t="s">
        <v>198</v>
      </c>
      <c r="AP407" s="1">
        <v>1.0</v>
      </c>
      <c r="AQ407" s="1" t="s">
        <v>198</v>
      </c>
      <c r="AR407" s="1" t="s">
        <v>200</v>
      </c>
      <c r="AS407" s="1" t="s">
        <v>199</v>
      </c>
      <c r="AT407" s="1">
        <v>2.0</v>
      </c>
      <c r="AV407" s="1" t="s">
        <v>200</v>
      </c>
      <c r="AW407" s="1">
        <v>6278.0</v>
      </c>
      <c r="AX407" s="1">
        <v>2013.0</v>
      </c>
      <c r="AY407" s="1" t="s">
        <v>1179</v>
      </c>
      <c r="AZ407" s="1" t="s">
        <v>200</v>
      </c>
      <c r="BA407" s="1" t="str">
        <f>"0935255004"</f>
        <v>0935255004</v>
      </c>
      <c r="BC407" s="1">
        <v>1815.0</v>
      </c>
      <c r="BD407" s="1">
        <v>258000.0</v>
      </c>
      <c r="BE407" s="2">
        <v>42019.0</v>
      </c>
      <c r="BF407" s="2" t="s">
        <v>5715</v>
      </c>
      <c r="BG407" s="1" t="s">
        <v>3610</v>
      </c>
      <c r="BH407" s="1">
        <v>0.0</v>
      </c>
      <c r="BI407" s="1" t="s">
        <v>2143</v>
      </c>
      <c r="BJ407" s="1" t="s">
        <v>2144</v>
      </c>
      <c r="BK407" s="1" t="s">
        <v>204</v>
      </c>
      <c r="BL407" s="1" t="str">
        <f t="shared" ref="BL407:BM407" si="269">""</f>
        <v/>
      </c>
      <c r="BM407" s="1" t="str">
        <f t="shared" si="269"/>
        <v/>
      </c>
      <c r="BQ407" s="1">
        <v>303.0</v>
      </c>
      <c r="BR407" s="1">
        <v>303.0</v>
      </c>
      <c r="BS407" s="1">
        <v>303.0</v>
      </c>
      <c r="BU407" s="1" t="s">
        <v>664</v>
      </c>
      <c r="BV407" s="1" t="s">
        <v>206</v>
      </c>
      <c r="BW407" s="1" t="s">
        <v>210</v>
      </c>
      <c r="BX407" s="1" t="s">
        <v>1549</v>
      </c>
      <c r="BY407" s="1" t="s">
        <v>582</v>
      </c>
      <c r="BZ407" s="1" t="s">
        <v>209</v>
      </c>
      <c r="CA407" s="1" t="s">
        <v>210</v>
      </c>
      <c r="CB407" s="1" t="s">
        <v>261</v>
      </c>
      <c r="CC407" s="1" t="s">
        <v>699</v>
      </c>
      <c r="CD407" s="1" t="s">
        <v>206</v>
      </c>
      <c r="CE407" s="1" t="s">
        <v>210</v>
      </c>
      <c r="CF407" s="1" t="s">
        <v>1549</v>
      </c>
      <c r="CG407" s="1" t="s">
        <v>332</v>
      </c>
      <c r="CH407" s="1" t="s">
        <v>209</v>
      </c>
      <c r="CI407" s="1" t="s">
        <v>210</v>
      </c>
      <c r="CK407" s="1" t="s">
        <v>495</v>
      </c>
      <c r="CL407" s="1" t="s">
        <v>209</v>
      </c>
      <c r="CM407" s="1" t="s">
        <v>210</v>
      </c>
      <c r="CN407" s="1" t="s">
        <v>431</v>
      </c>
      <c r="CO407" s="1" t="s">
        <v>516</v>
      </c>
      <c r="CP407" s="1" t="s">
        <v>209</v>
      </c>
      <c r="CQ407" s="1" t="s">
        <v>210</v>
      </c>
      <c r="CR407" s="1" t="s">
        <v>431</v>
      </c>
      <c r="CS407" s="1" t="s">
        <v>1426</v>
      </c>
      <c r="CT407" s="1" t="s">
        <v>206</v>
      </c>
      <c r="CU407" s="1" t="s">
        <v>301</v>
      </c>
      <c r="CV407" s="1" t="s">
        <v>1549</v>
      </c>
      <c r="CW407" s="1" t="s">
        <v>453</v>
      </c>
      <c r="CX407" s="1" t="s">
        <v>206</v>
      </c>
      <c r="CY407" s="1" t="s">
        <v>210</v>
      </c>
      <c r="DA407" s="1" t="s">
        <v>200</v>
      </c>
      <c r="DC407" s="1" t="s">
        <v>395</v>
      </c>
      <c r="DD407" s="1" t="s">
        <v>396</v>
      </c>
      <c r="DE407" s="1" t="s">
        <v>273</v>
      </c>
      <c r="DF407" s="1" t="s">
        <v>219</v>
      </c>
      <c r="DG407" s="1" t="s">
        <v>337</v>
      </c>
      <c r="DH407" s="1" t="s">
        <v>220</v>
      </c>
      <c r="DI407" s="1" t="s">
        <v>221</v>
      </c>
      <c r="DJ407" s="1" t="s">
        <v>222</v>
      </c>
      <c r="DK407" s="1" t="s">
        <v>223</v>
      </c>
      <c r="DL407" s="1" t="s">
        <v>223</v>
      </c>
      <c r="DM407" s="1" t="s">
        <v>929</v>
      </c>
      <c r="DN407" s="1" t="s">
        <v>1319</v>
      </c>
      <c r="DO407" s="1" t="s">
        <v>717</v>
      </c>
      <c r="DP407" s="1" t="s">
        <v>340</v>
      </c>
      <c r="DQ407" s="1" t="s">
        <v>228</v>
      </c>
      <c r="DR407" s="1" t="s">
        <v>229</v>
      </c>
      <c r="DS407" s="1" t="s">
        <v>230</v>
      </c>
      <c r="DU407" s="1" t="s">
        <v>5716</v>
      </c>
      <c r="DV407" s="1" t="s">
        <v>2129</v>
      </c>
      <c r="DW407" s="1" t="s">
        <v>233</v>
      </c>
      <c r="DX407" s="1" t="s">
        <v>234</v>
      </c>
      <c r="DY407" s="1" t="s">
        <v>861</v>
      </c>
      <c r="DZ407" s="1" t="s">
        <v>5717</v>
      </c>
      <c r="EA407" s="1" t="s">
        <v>344</v>
      </c>
      <c r="EB407" s="1" t="s">
        <v>2183</v>
      </c>
      <c r="EC407" s="1" t="s">
        <v>237</v>
      </c>
      <c r="ED407" s="1" t="s">
        <v>407</v>
      </c>
      <c r="EG407" s="1" t="s">
        <v>2129</v>
      </c>
      <c r="EL407" s="1" t="s">
        <v>1350</v>
      </c>
      <c r="EM407" s="1" t="s">
        <v>206</v>
      </c>
      <c r="EN407" s="1" t="s">
        <v>210</v>
      </c>
      <c r="EQ407" s="1" t="s">
        <v>238</v>
      </c>
      <c r="EU407" s="1" t="s">
        <v>238</v>
      </c>
      <c r="EY407" s="1" t="s">
        <v>238</v>
      </c>
      <c r="FC407" s="1" t="s">
        <v>238</v>
      </c>
      <c r="FF407" s="1" t="s">
        <v>239</v>
      </c>
      <c r="FG407" s="1" t="s">
        <v>192</v>
      </c>
      <c r="FH407" s="1" t="s">
        <v>192</v>
      </c>
      <c r="FJ407" s="1" t="s">
        <v>5718</v>
      </c>
      <c r="FK407" s="1" t="s">
        <v>229</v>
      </c>
      <c r="FL407" s="1" t="s">
        <v>1212</v>
      </c>
      <c r="FM407" s="1">
        <v>30.0</v>
      </c>
      <c r="FN407" s="1" t="s">
        <v>1213</v>
      </c>
      <c r="FO407" s="1" t="s">
        <v>5719</v>
      </c>
      <c r="FP407" s="1">
        <v>1197.0</v>
      </c>
      <c r="FQ407" s="1" t="s">
        <v>5720</v>
      </c>
      <c r="FS407" s="1" t="s">
        <v>5721</v>
      </c>
      <c r="FU407" s="1" t="s">
        <v>5457</v>
      </c>
      <c r="FV407" s="1" t="s">
        <v>200</v>
      </c>
      <c r="FW407" s="1" t="s">
        <v>461</v>
      </c>
      <c r="FZ407" s="1" t="s">
        <v>229</v>
      </c>
      <c r="GA407" s="1" t="s">
        <v>291</v>
      </c>
      <c r="GB407" s="2">
        <v>42095.0</v>
      </c>
    </row>
    <row r="408">
      <c r="A408" s="1">
        <v>153000.0</v>
      </c>
      <c r="B408" s="1" t="s">
        <v>185</v>
      </c>
      <c r="C408" s="1" t="str">
        <f>"08787085"</f>
        <v>08787085</v>
      </c>
      <c r="D408" s="1" t="s">
        <v>186</v>
      </c>
      <c r="F408" s="1" t="str">
        <f>"110"</f>
        <v>110</v>
      </c>
      <c r="G408" s="2">
        <v>41958.0</v>
      </c>
      <c r="H408" s="1">
        <v>158900.0</v>
      </c>
      <c r="I408" s="1">
        <v>101.0</v>
      </c>
      <c r="J408" s="1">
        <v>154900.0</v>
      </c>
      <c r="K408" s="2">
        <v>42058.0</v>
      </c>
      <c r="L408" s="1">
        <v>101.0</v>
      </c>
      <c r="M408" s="2">
        <v>42058.0</v>
      </c>
      <c r="N408" s="1" t="s">
        <v>356</v>
      </c>
      <c r="O408" s="2">
        <v>42097.0</v>
      </c>
      <c r="P408" s="1">
        <v>87047.0</v>
      </c>
      <c r="Q408" s="1">
        <v>8340.0</v>
      </c>
      <c r="R408" s="1">
        <v>3500.0</v>
      </c>
      <c r="S408" s="1">
        <v>122.0</v>
      </c>
      <c r="T408" s="1" t="s">
        <v>5722</v>
      </c>
      <c r="U408" s="1" t="s">
        <v>189</v>
      </c>
      <c r="V408" s="1" t="s">
        <v>807</v>
      </c>
      <c r="W408" s="1">
        <v>60110.0</v>
      </c>
      <c r="Y408" s="1" t="s">
        <v>5723</v>
      </c>
      <c r="Z408" s="1">
        <v>1970.0</v>
      </c>
      <c r="AA408" s="1" t="s">
        <v>192</v>
      </c>
      <c r="AB408" s="1" t="s">
        <v>193</v>
      </c>
      <c r="AC408" s="1" t="s">
        <v>5724</v>
      </c>
      <c r="AD408" s="1" t="s">
        <v>809</v>
      </c>
      <c r="AE408" s="1" t="s">
        <v>325</v>
      </c>
      <c r="AF408" s="1" t="s">
        <v>810</v>
      </c>
      <c r="AH408" s="1" t="s">
        <v>5725</v>
      </c>
      <c r="AK408" s="1">
        <v>8.0</v>
      </c>
      <c r="AL408" s="1">
        <v>4.0</v>
      </c>
      <c r="AM408" s="1">
        <v>2.0</v>
      </c>
      <c r="AN408" s="1">
        <v>0.0</v>
      </c>
      <c r="AO408" s="1" t="s">
        <v>229</v>
      </c>
      <c r="AQ408" s="1" t="s">
        <v>5726</v>
      </c>
      <c r="AR408" s="1" t="s">
        <v>200</v>
      </c>
      <c r="AS408" s="1" t="s">
        <v>199</v>
      </c>
      <c r="AT408" s="1">
        <v>1.0</v>
      </c>
      <c r="AV408" s="1" t="s">
        <v>200</v>
      </c>
      <c r="AW408" s="1">
        <v>2768.1</v>
      </c>
      <c r="AX408" s="1">
        <v>2013.0</v>
      </c>
      <c r="AZ408" s="1" t="s">
        <v>200</v>
      </c>
      <c r="BA408" s="1" t="str">
        <f>"0313154011"</f>
        <v>0313154011</v>
      </c>
      <c r="BC408" s="1">
        <v>0.0</v>
      </c>
      <c r="BD408" s="1">
        <v>153000.0</v>
      </c>
      <c r="BE408" s="2">
        <v>41958.0</v>
      </c>
      <c r="BF408" s="2" t="s">
        <v>5727</v>
      </c>
      <c r="BH408" s="1">
        <v>0.0</v>
      </c>
      <c r="BK408" s="1" t="s">
        <v>204</v>
      </c>
      <c r="BL408" s="1" t="str">
        <f>"17"</f>
        <v>17</v>
      </c>
      <c r="BM408" s="1" t="str">
        <f>""</f>
        <v/>
      </c>
      <c r="BN408" s="1">
        <v>32.0</v>
      </c>
      <c r="BQ408" s="1">
        <v>300.0</v>
      </c>
      <c r="BR408" s="1">
        <v>300.0</v>
      </c>
      <c r="BS408" s="1">
        <v>300.0</v>
      </c>
      <c r="BU408" s="1" t="s">
        <v>616</v>
      </c>
      <c r="BV408" s="1" t="s">
        <v>206</v>
      </c>
      <c r="BW408" s="1" t="s">
        <v>207</v>
      </c>
      <c r="BX408" s="1" t="s">
        <v>431</v>
      </c>
      <c r="BY408" s="1" t="s">
        <v>433</v>
      </c>
      <c r="BZ408" s="1" t="s">
        <v>209</v>
      </c>
      <c r="CA408" s="1" t="s">
        <v>207</v>
      </c>
      <c r="CB408" s="1" t="s">
        <v>431</v>
      </c>
      <c r="CC408" s="1" t="s">
        <v>2047</v>
      </c>
      <c r="CD408" s="1" t="s">
        <v>206</v>
      </c>
      <c r="CE408" s="1" t="s">
        <v>268</v>
      </c>
      <c r="CF408" s="1" t="s">
        <v>431</v>
      </c>
      <c r="CG408" s="1" t="s">
        <v>264</v>
      </c>
      <c r="CH408" s="1" t="s">
        <v>209</v>
      </c>
      <c r="CI408" s="1" t="s">
        <v>207</v>
      </c>
      <c r="CJ408" s="1" t="s">
        <v>431</v>
      </c>
      <c r="CK408" s="1" t="s">
        <v>495</v>
      </c>
      <c r="CL408" s="1" t="s">
        <v>209</v>
      </c>
      <c r="CM408" s="1" t="s">
        <v>207</v>
      </c>
      <c r="CN408" s="1" t="s">
        <v>431</v>
      </c>
      <c r="CO408" s="1" t="s">
        <v>495</v>
      </c>
      <c r="CP408" s="1" t="s">
        <v>267</v>
      </c>
      <c r="CQ408" s="1" t="s">
        <v>268</v>
      </c>
      <c r="CR408" s="1" t="s">
        <v>431</v>
      </c>
      <c r="CS408" s="1" t="s">
        <v>262</v>
      </c>
      <c r="CT408" s="1" t="s">
        <v>206</v>
      </c>
      <c r="CU408" s="1" t="s">
        <v>268</v>
      </c>
      <c r="CV408" s="1" t="s">
        <v>431</v>
      </c>
      <c r="CW408" s="1" t="s">
        <v>616</v>
      </c>
      <c r="CX408" s="1" t="s">
        <v>267</v>
      </c>
      <c r="CY408" s="1" t="s">
        <v>268</v>
      </c>
      <c r="CZ408" s="1" t="s">
        <v>431</v>
      </c>
      <c r="DA408" s="1" t="s">
        <v>200</v>
      </c>
      <c r="DC408" s="1" t="s">
        <v>517</v>
      </c>
      <c r="DE408" s="1" t="s">
        <v>273</v>
      </c>
      <c r="DF408" s="1" t="s">
        <v>219</v>
      </c>
      <c r="DH408" s="1" t="s">
        <v>220</v>
      </c>
      <c r="DJ408" s="1" t="s">
        <v>222</v>
      </c>
      <c r="DL408" s="1" t="s">
        <v>224</v>
      </c>
      <c r="DM408" s="1" t="s">
        <v>338</v>
      </c>
      <c r="DQ408" s="1" t="s">
        <v>228</v>
      </c>
      <c r="DR408" s="1" t="s">
        <v>229</v>
      </c>
      <c r="DV408" s="1" t="s">
        <v>232</v>
      </c>
      <c r="DW408" s="1" t="s">
        <v>233</v>
      </c>
      <c r="DX408" s="1" t="s">
        <v>309</v>
      </c>
      <c r="EA408" s="1" t="s">
        <v>554</v>
      </c>
      <c r="EC408" s="1" t="s">
        <v>645</v>
      </c>
      <c r="ED408" s="1" t="s">
        <v>555</v>
      </c>
      <c r="EM408" s="1" t="s">
        <v>238</v>
      </c>
      <c r="EQ408" s="1" t="s">
        <v>238</v>
      </c>
      <c r="EU408" s="1" t="s">
        <v>238</v>
      </c>
      <c r="EY408" s="1" t="s">
        <v>238</v>
      </c>
      <c r="FC408" s="1" t="s">
        <v>238</v>
      </c>
      <c r="FF408" s="1" t="s">
        <v>239</v>
      </c>
      <c r="FG408" s="1" t="s">
        <v>192</v>
      </c>
      <c r="FH408" s="1" t="s">
        <v>192</v>
      </c>
      <c r="FJ408" s="1" t="s">
        <v>5728</v>
      </c>
      <c r="FK408" s="1" t="s">
        <v>229</v>
      </c>
      <c r="FL408" s="1" t="s">
        <v>5729</v>
      </c>
      <c r="FM408" s="1">
        <v>8074.0</v>
      </c>
      <c r="FN408" s="1" t="s">
        <v>5730</v>
      </c>
      <c r="FO408" s="1" t="s">
        <v>5731</v>
      </c>
      <c r="FP408" s="1">
        <v>84659.0</v>
      </c>
      <c r="FQ408" s="1" t="s">
        <v>5732</v>
      </c>
      <c r="FS408" s="1" t="s">
        <v>5733</v>
      </c>
      <c r="FU408" s="1" t="s">
        <v>710</v>
      </c>
      <c r="FV408" s="1" t="s">
        <v>200</v>
      </c>
      <c r="FW408" s="1" t="s">
        <v>1411</v>
      </c>
      <c r="FZ408" s="1" t="s">
        <v>229</v>
      </c>
      <c r="GA408" s="1" t="s">
        <v>291</v>
      </c>
      <c r="GB408" s="2">
        <v>42097.0</v>
      </c>
      <c r="GC408" s="1" t="s">
        <v>5734</v>
      </c>
    </row>
    <row r="409">
      <c r="A409" s="1">
        <v>462500.0</v>
      </c>
      <c r="B409" s="1" t="s">
        <v>185</v>
      </c>
      <c r="C409" s="1" t="str">
        <f>"08791778"</f>
        <v>08791778</v>
      </c>
      <c r="D409" s="1" t="s">
        <v>186</v>
      </c>
      <c r="F409" s="1" t="str">
        <f>"8072"</f>
        <v>8072</v>
      </c>
      <c r="G409" s="2">
        <v>41967.0</v>
      </c>
      <c r="H409" s="1">
        <v>492500.0</v>
      </c>
      <c r="I409" s="1">
        <v>66.0</v>
      </c>
      <c r="J409" s="1">
        <v>492500.0</v>
      </c>
      <c r="K409" s="2">
        <v>42032.0</v>
      </c>
      <c r="L409" s="1">
        <v>66.0</v>
      </c>
      <c r="M409" s="2">
        <v>42032.0</v>
      </c>
      <c r="N409" s="1" t="s">
        <v>187</v>
      </c>
      <c r="O409" s="2">
        <v>42136.0</v>
      </c>
      <c r="P409" s="1">
        <v>121686.0</v>
      </c>
      <c r="Q409" s="1">
        <v>12511.0</v>
      </c>
      <c r="S409" s="1">
        <v>10044.0</v>
      </c>
      <c r="T409" s="1" t="s">
        <v>5735</v>
      </c>
      <c r="U409" s="1" t="s">
        <v>189</v>
      </c>
      <c r="V409" s="1" t="s">
        <v>190</v>
      </c>
      <c r="W409" s="1">
        <v>60643.0</v>
      </c>
      <c r="Y409" s="1" t="s">
        <v>5736</v>
      </c>
      <c r="Z409" s="1">
        <v>1922.0</v>
      </c>
      <c r="AA409" s="1" t="s">
        <v>192</v>
      </c>
      <c r="AB409" s="1" t="s">
        <v>193</v>
      </c>
      <c r="AD409" s="1" t="s">
        <v>194</v>
      </c>
      <c r="AE409" s="1" t="s">
        <v>195</v>
      </c>
      <c r="AF409" s="1" t="s">
        <v>659</v>
      </c>
      <c r="AH409" s="1" t="s">
        <v>5737</v>
      </c>
      <c r="AK409" s="1">
        <v>8.0</v>
      </c>
      <c r="AL409" s="1">
        <v>4.0</v>
      </c>
      <c r="AM409" s="1">
        <v>3.0</v>
      </c>
      <c r="AN409" s="1">
        <v>1.0</v>
      </c>
      <c r="AO409" s="1" t="s">
        <v>198</v>
      </c>
      <c r="AP409" s="1">
        <v>1.0</v>
      </c>
      <c r="AQ409" s="1" t="s">
        <v>198</v>
      </c>
      <c r="AR409" s="1" t="s">
        <v>192</v>
      </c>
      <c r="AS409" s="1" t="s">
        <v>199</v>
      </c>
      <c r="AT409" s="1">
        <v>1.0</v>
      </c>
      <c r="AV409" s="1" t="s">
        <v>200</v>
      </c>
      <c r="AW409" s="1">
        <v>6331.18</v>
      </c>
      <c r="AX409" s="1">
        <v>2013.0</v>
      </c>
      <c r="AY409" s="1" t="s">
        <v>387</v>
      </c>
      <c r="AZ409" s="1" t="s">
        <v>200</v>
      </c>
      <c r="BA409" s="1" t="str">
        <f>"25073150170000"</f>
        <v>25073150170000</v>
      </c>
      <c r="BB409" s="1" t="s">
        <v>200</v>
      </c>
      <c r="BC409" s="1">
        <v>0.0</v>
      </c>
      <c r="BD409" s="1">
        <v>462500.0</v>
      </c>
      <c r="BE409" s="2">
        <v>41967.0</v>
      </c>
      <c r="BF409" s="2" t="s">
        <v>5738</v>
      </c>
      <c r="BH409" s="1">
        <v>0.0</v>
      </c>
      <c r="BK409" s="1" t="s">
        <v>204</v>
      </c>
      <c r="BL409" s="1" t="str">
        <f t="shared" ref="BL409:BM409" si="270">"0"</f>
        <v>0</v>
      </c>
      <c r="BM409" s="1" t="str">
        <f t="shared" si="270"/>
        <v>0</v>
      </c>
      <c r="BN409" s="1">
        <v>1900.0</v>
      </c>
      <c r="BO409" s="1">
        <v>10000.0</v>
      </c>
      <c r="BQ409" s="1">
        <v>299.0</v>
      </c>
      <c r="BR409" s="1">
        <v>299.0</v>
      </c>
      <c r="BS409" s="1">
        <v>299.0</v>
      </c>
      <c r="BU409" s="1" t="s">
        <v>1001</v>
      </c>
      <c r="BV409" s="1" t="s">
        <v>206</v>
      </c>
      <c r="BW409" s="1" t="s">
        <v>207</v>
      </c>
      <c r="BY409" s="1" t="s">
        <v>454</v>
      </c>
      <c r="BZ409" s="1" t="s">
        <v>209</v>
      </c>
      <c r="CA409" s="1" t="s">
        <v>207</v>
      </c>
      <c r="CC409" s="1" t="s">
        <v>758</v>
      </c>
      <c r="CD409" s="1" t="s">
        <v>206</v>
      </c>
      <c r="CE409" s="1" t="s">
        <v>207</v>
      </c>
      <c r="CG409" s="1" t="s">
        <v>331</v>
      </c>
      <c r="CH409" s="1" t="s">
        <v>209</v>
      </c>
      <c r="CI409" s="1" t="s">
        <v>207</v>
      </c>
      <c r="CK409" s="1" t="s">
        <v>331</v>
      </c>
      <c r="CL409" s="1" t="s">
        <v>209</v>
      </c>
      <c r="CM409" s="1" t="s">
        <v>207</v>
      </c>
      <c r="CO409" s="1" t="s">
        <v>392</v>
      </c>
      <c r="CP409" s="1" t="s">
        <v>209</v>
      </c>
      <c r="CQ409" s="1" t="s">
        <v>207</v>
      </c>
      <c r="CS409" s="1" t="s">
        <v>392</v>
      </c>
      <c r="CT409" s="1" t="s">
        <v>206</v>
      </c>
      <c r="CU409" s="1" t="s">
        <v>207</v>
      </c>
      <c r="CX409" s="1" t="s">
        <v>204</v>
      </c>
      <c r="DA409" s="1" t="s">
        <v>200</v>
      </c>
      <c r="DC409" s="1" t="s">
        <v>216</v>
      </c>
      <c r="DD409" s="1" t="s">
        <v>731</v>
      </c>
      <c r="DE409" s="1" t="s">
        <v>1905</v>
      </c>
      <c r="DF409" s="1" t="s">
        <v>787</v>
      </c>
      <c r="DG409" s="1" t="s">
        <v>337</v>
      </c>
      <c r="DH409" s="1" t="s">
        <v>365</v>
      </c>
      <c r="DI409" s="1" t="s">
        <v>703</v>
      </c>
      <c r="DJ409" s="1" t="s">
        <v>222</v>
      </c>
      <c r="DL409" s="1" t="s">
        <v>224</v>
      </c>
      <c r="DM409" s="1" t="s">
        <v>229</v>
      </c>
      <c r="DP409" s="1" t="s">
        <v>340</v>
      </c>
      <c r="DQ409" s="1" t="s">
        <v>794</v>
      </c>
      <c r="DR409" s="1" t="s">
        <v>229</v>
      </c>
      <c r="DS409" s="1" t="s">
        <v>3008</v>
      </c>
      <c r="DU409" s="1" t="s">
        <v>5739</v>
      </c>
      <c r="DV409" s="1" t="s">
        <v>5740</v>
      </c>
      <c r="DW409" s="1" t="s">
        <v>279</v>
      </c>
      <c r="DX409" s="1" t="s">
        <v>234</v>
      </c>
      <c r="EA409" s="1" t="s">
        <v>447</v>
      </c>
      <c r="EC409" s="1" t="s">
        <v>237</v>
      </c>
      <c r="EG409" s="1" t="s">
        <v>1102</v>
      </c>
      <c r="EH409" s="1" t="s">
        <v>408</v>
      </c>
      <c r="EI409" s="1" t="s">
        <v>2129</v>
      </c>
      <c r="EJ409" s="1" t="s">
        <v>450</v>
      </c>
      <c r="EL409" s="1" t="s">
        <v>640</v>
      </c>
      <c r="EM409" s="1" t="s">
        <v>206</v>
      </c>
      <c r="EN409" s="1" t="s">
        <v>210</v>
      </c>
      <c r="EP409" s="1" t="s">
        <v>4028</v>
      </c>
      <c r="EQ409" s="1" t="s">
        <v>206</v>
      </c>
      <c r="ER409" s="1" t="s">
        <v>207</v>
      </c>
      <c r="ES409" s="1" t="s">
        <v>229</v>
      </c>
      <c r="ET409" s="1" t="s">
        <v>1483</v>
      </c>
      <c r="EU409" s="1" t="s">
        <v>206</v>
      </c>
      <c r="EV409" s="1" t="s">
        <v>210</v>
      </c>
      <c r="EW409" s="1" t="s">
        <v>229</v>
      </c>
      <c r="EX409" s="1" t="s">
        <v>212</v>
      </c>
      <c r="EY409" s="1" t="s">
        <v>42</v>
      </c>
      <c r="EZ409" s="1" t="s">
        <v>210</v>
      </c>
      <c r="FA409" s="1" t="s">
        <v>229</v>
      </c>
      <c r="FC409" s="1" t="s">
        <v>238</v>
      </c>
      <c r="FF409" s="1" t="s">
        <v>239</v>
      </c>
      <c r="FG409" s="1" t="s">
        <v>192</v>
      </c>
      <c r="FH409" s="1" t="s">
        <v>192</v>
      </c>
      <c r="FJ409" s="1" t="s">
        <v>624</v>
      </c>
      <c r="FK409" s="1" t="s">
        <v>1586</v>
      </c>
      <c r="FL409" s="1" t="s">
        <v>3272</v>
      </c>
      <c r="FM409" s="1">
        <v>12511.0</v>
      </c>
      <c r="FN409" s="1" t="s">
        <v>3273</v>
      </c>
      <c r="FO409" s="1" t="s">
        <v>5741</v>
      </c>
      <c r="FP409" s="1">
        <v>121686.0</v>
      </c>
      <c r="FQ409" s="1" t="s">
        <v>5742</v>
      </c>
      <c r="FR409" s="1">
        <v>185746.0</v>
      </c>
      <c r="FU409" s="1" t="s">
        <v>5743</v>
      </c>
      <c r="FV409" s="1" t="s">
        <v>200</v>
      </c>
      <c r="FW409" s="1" t="s">
        <v>530</v>
      </c>
      <c r="FX409" s="1" t="s">
        <v>655</v>
      </c>
      <c r="FZ409" s="1" t="s">
        <v>229</v>
      </c>
      <c r="GA409" s="1" t="s">
        <v>291</v>
      </c>
      <c r="GB409" s="2">
        <v>42136.0</v>
      </c>
      <c r="GC409" s="1" t="s">
        <v>5744</v>
      </c>
    </row>
    <row r="410">
      <c r="A410" s="1">
        <v>288000.0</v>
      </c>
      <c r="B410" s="1" t="s">
        <v>185</v>
      </c>
      <c r="C410" s="1" t="str">
        <f>"08789929"</f>
        <v>08789929</v>
      </c>
      <c r="D410" s="1" t="s">
        <v>186</v>
      </c>
      <c r="F410" s="1" t="str">
        <f>"543"</f>
        <v>543</v>
      </c>
      <c r="G410" s="2">
        <v>41963.0</v>
      </c>
      <c r="H410" s="1">
        <v>304999.0</v>
      </c>
      <c r="I410" s="1">
        <v>169.0</v>
      </c>
      <c r="J410" s="1">
        <v>299999.0</v>
      </c>
      <c r="K410" s="2">
        <v>42044.0</v>
      </c>
      <c r="L410" s="1">
        <v>83.0</v>
      </c>
      <c r="M410" s="2">
        <v>42044.0</v>
      </c>
      <c r="N410" s="1" t="s">
        <v>356</v>
      </c>
      <c r="O410" s="2">
        <v>42079.0</v>
      </c>
      <c r="P410" s="1">
        <v>236934.0</v>
      </c>
      <c r="Q410" s="1">
        <v>23030.0</v>
      </c>
      <c r="R410" s="1">
        <v>472.5</v>
      </c>
      <c r="S410" s="1">
        <v>150.0</v>
      </c>
      <c r="T410" s="1" t="s">
        <v>5745</v>
      </c>
      <c r="U410" s="1" t="s">
        <v>569</v>
      </c>
      <c r="V410" s="1" t="s">
        <v>1527</v>
      </c>
      <c r="W410" s="1">
        <v>60543.0</v>
      </c>
      <c r="Y410" s="1" t="s">
        <v>5746</v>
      </c>
      <c r="Z410" s="1">
        <v>2005.0</v>
      </c>
      <c r="AA410" s="1" t="s">
        <v>200</v>
      </c>
      <c r="AB410" s="1" t="s">
        <v>467</v>
      </c>
      <c r="AC410" s="1" t="s">
        <v>5747</v>
      </c>
      <c r="AD410" s="1" t="s">
        <v>1529</v>
      </c>
      <c r="AE410" s="1" t="s">
        <v>849</v>
      </c>
      <c r="AF410" s="1" t="s">
        <v>1312</v>
      </c>
      <c r="AH410" s="1" t="s">
        <v>5748</v>
      </c>
      <c r="AI410" s="1">
        <v>0.25</v>
      </c>
      <c r="AK410" s="1">
        <v>10.0</v>
      </c>
      <c r="AL410" s="1">
        <v>4.0</v>
      </c>
      <c r="AM410" s="1">
        <v>2.0</v>
      </c>
      <c r="AN410" s="1">
        <v>1.0</v>
      </c>
      <c r="AO410" s="1" t="s">
        <v>198</v>
      </c>
      <c r="AP410" s="1">
        <v>1.0</v>
      </c>
      <c r="AQ410" s="1" t="s">
        <v>198</v>
      </c>
      <c r="AR410" s="1" t="s">
        <v>200</v>
      </c>
      <c r="AS410" s="1" t="s">
        <v>199</v>
      </c>
      <c r="AT410" s="1">
        <v>2.0</v>
      </c>
      <c r="AV410" s="1" t="s">
        <v>200</v>
      </c>
      <c r="AW410" s="1">
        <v>7388.78</v>
      </c>
      <c r="AX410" s="1">
        <v>2012.0</v>
      </c>
      <c r="AY410" s="1" t="s">
        <v>387</v>
      </c>
      <c r="AZ410" s="1" t="s">
        <v>200</v>
      </c>
      <c r="BA410" s="1" t="str">
        <f>"0213104011"</f>
        <v>0213104011</v>
      </c>
      <c r="BC410" s="1">
        <v>2775.0</v>
      </c>
      <c r="BD410" s="1">
        <v>288000.0</v>
      </c>
      <c r="BE410" s="2">
        <v>41962.0</v>
      </c>
      <c r="BF410" s="2" t="s">
        <v>5749</v>
      </c>
      <c r="BH410" s="1">
        <v>210.0</v>
      </c>
      <c r="BK410" s="1" t="s">
        <v>580</v>
      </c>
      <c r="BL410" s="1" t="str">
        <f t="shared" ref="BL410:BM410" si="271">""</f>
        <v/>
      </c>
      <c r="BM410" s="1" t="str">
        <f t="shared" si="271"/>
        <v/>
      </c>
      <c r="BQ410" s="1">
        <v>115.0</v>
      </c>
      <c r="BR410" s="1">
        <v>115.0</v>
      </c>
      <c r="BS410" s="1">
        <v>115.0</v>
      </c>
      <c r="BU410" s="1" t="s">
        <v>211</v>
      </c>
      <c r="BV410" s="1" t="s">
        <v>206</v>
      </c>
      <c r="BW410" s="1" t="s">
        <v>207</v>
      </c>
      <c r="BY410" s="1" t="s">
        <v>3989</v>
      </c>
      <c r="BZ410" s="1" t="s">
        <v>209</v>
      </c>
      <c r="CA410" s="1" t="s">
        <v>210</v>
      </c>
      <c r="CC410" s="1" t="s">
        <v>205</v>
      </c>
      <c r="CD410" s="1" t="s">
        <v>206</v>
      </c>
      <c r="CE410" s="1" t="s">
        <v>210</v>
      </c>
      <c r="CG410" s="1" t="s">
        <v>302</v>
      </c>
      <c r="CH410" s="1" t="s">
        <v>209</v>
      </c>
      <c r="CI410" s="1" t="s">
        <v>210</v>
      </c>
      <c r="CK410" s="1" t="s">
        <v>302</v>
      </c>
      <c r="CL410" s="1" t="s">
        <v>209</v>
      </c>
      <c r="CM410" s="1" t="s">
        <v>210</v>
      </c>
      <c r="CO410" s="1" t="s">
        <v>699</v>
      </c>
      <c r="CP410" s="1" t="s">
        <v>209</v>
      </c>
      <c r="CQ410" s="1" t="s">
        <v>210</v>
      </c>
      <c r="CS410" s="1" t="s">
        <v>1397</v>
      </c>
      <c r="CT410" s="1" t="s">
        <v>206</v>
      </c>
      <c r="CU410" s="1" t="s">
        <v>207</v>
      </c>
      <c r="CW410" s="1" t="s">
        <v>477</v>
      </c>
      <c r="CX410" s="1" t="s">
        <v>206</v>
      </c>
      <c r="CY410" s="1" t="s">
        <v>210</v>
      </c>
      <c r="DA410" s="1" t="s">
        <v>200</v>
      </c>
      <c r="DC410" s="1" t="s">
        <v>481</v>
      </c>
      <c r="DD410" s="1" t="s">
        <v>217</v>
      </c>
      <c r="DE410" s="1" t="s">
        <v>273</v>
      </c>
      <c r="DF410" s="1" t="s">
        <v>219</v>
      </c>
      <c r="DH410" s="1" t="s">
        <v>220</v>
      </c>
      <c r="DI410" s="1" t="s">
        <v>1813</v>
      </c>
      <c r="DJ410" s="1" t="s">
        <v>222</v>
      </c>
      <c r="DK410" s="1" t="s">
        <v>198</v>
      </c>
      <c r="DL410" s="1" t="s">
        <v>223</v>
      </c>
      <c r="DM410" s="1" t="s">
        <v>338</v>
      </c>
      <c r="DN410" s="1" t="s">
        <v>1659</v>
      </c>
      <c r="DO410" s="1" t="s">
        <v>590</v>
      </c>
      <c r="DP410" s="1" t="s">
        <v>340</v>
      </c>
      <c r="DQ410" s="1" t="s">
        <v>441</v>
      </c>
      <c r="DR410" s="1" t="s">
        <v>588</v>
      </c>
      <c r="DS410" s="1" t="s">
        <v>230</v>
      </c>
      <c r="DU410" s="1" t="s">
        <v>5750</v>
      </c>
      <c r="DV410" s="1" t="s">
        <v>5751</v>
      </c>
      <c r="DW410" s="1" t="s">
        <v>444</v>
      </c>
      <c r="DX410" s="1" t="s">
        <v>234</v>
      </c>
      <c r="DY410" s="1" t="s">
        <v>490</v>
      </c>
      <c r="DZ410" s="1" t="s">
        <v>282</v>
      </c>
      <c r="EA410" s="1" t="s">
        <v>344</v>
      </c>
      <c r="EB410" s="1" t="s">
        <v>937</v>
      </c>
      <c r="EC410" s="1" t="s">
        <v>237</v>
      </c>
      <c r="ED410" s="1" t="s">
        <v>407</v>
      </c>
      <c r="EG410" s="1" t="s">
        <v>556</v>
      </c>
      <c r="EH410" s="1" t="s">
        <v>598</v>
      </c>
      <c r="EI410" s="1" t="s">
        <v>408</v>
      </c>
      <c r="EL410" s="1" t="s">
        <v>1183</v>
      </c>
      <c r="EM410" s="1" t="s">
        <v>206</v>
      </c>
      <c r="EN410" s="1" t="s">
        <v>207</v>
      </c>
      <c r="EP410" s="1" t="s">
        <v>264</v>
      </c>
      <c r="EQ410" s="1" t="s">
        <v>206</v>
      </c>
      <c r="ER410" s="1" t="s">
        <v>210</v>
      </c>
      <c r="ET410" s="1" t="s">
        <v>2224</v>
      </c>
      <c r="EU410" s="1" t="s">
        <v>206</v>
      </c>
      <c r="EV410" s="1" t="s">
        <v>207</v>
      </c>
      <c r="EY410" s="1" t="s">
        <v>238</v>
      </c>
      <c r="FC410" s="1" t="s">
        <v>238</v>
      </c>
      <c r="FF410" s="1" t="s">
        <v>239</v>
      </c>
      <c r="FG410" s="1" t="s">
        <v>192</v>
      </c>
      <c r="FH410" s="1" t="s">
        <v>192</v>
      </c>
      <c r="FJ410" s="1" t="s">
        <v>3062</v>
      </c>
      <c r="FK410" s="1" t="s">
        <v>229</v>
      </c>
      <c r="FL410" s="1" t="s">
        <v>5752</v>
      </c>
      <c r="FM410" s="1">
        <v>23183.0</v>
      </c>
      <c r="FN410" s="1" t="s">
        <v>5753</v>
      </c>
      <c r="FO410" s="1" t="s">
        <v>5754</v>
      </c>
      <c r="FP410" s="1">
        <v>234040.0</v>
      </c>
      <c r="FQ410" s="1" t="s">
        <v>5755</v>
      </c>
      <c r="FR410" s="1">
        <v>240976.0</v>
      </c>
      <c r="FU410" s="1" t="s">
        <v>5756</v>
      </c>
      <c r="FV410" s="1" t="s">
        <v>200</v>
      </c>
      <c r="FW410" s="1" t="s">
        <v>5757</v>
      </c>
      <c r="FZ410" s="1" t="s">
        <v>229</v>
      </c>
      <c r="GA410" s="1" t="s">
        <v>291</v>
      </c>
      <c r="GB410" s="2">
        <v>42079.0</v>
      </c>
      <c r="GC410" s="1" t="s">
        <v>5758</v>
      </c>
    </row>
    <row r="411">
      <c r="A411" s="1">
        <v>510000.0</v>
      </c>
      <c r="B411" s="1" t="s">
        <v>185</v>
      </c>
      <c r="C411" s="1" t="str">
        <f>"08786898"</f>
        <v>08786898</v>
      </c>
      <c r="D411" s="1" t="s">
        <v>186</v>
      </c>
      <c r="F411" s="1" t="str">
        <f>"8009"</f>
        <v>8009</v>
      </c>
      <c r="G411" s="2">
        <v>41958.0</v>
      </c>
      <c r="H411" s="1">
        <v>588000.0</v>
      </c>
      <c r="I411" s="1">
        <v>613.0</v>
      </c>
      <c r="J411" s="1">
        <v>532000.0</v>
      </c>
      <c r="K411" s="2">
        <v>42039.0</v>
      </c>
      <c r="L411" s="1">
        <v>82.0</v>
      </c>
      <c r="M411" s="2">
        <v>42039.0</v>
      </c>
      <c r="N411" s="1" t="s">
        <v>187</v>
      </c>
      <c r="O411" s="2">
        <v>42100.0</v>
      </c>
      <c r="P411" s="1">
        <v>864414.0</v>
      </c>
      <c r="Q411" s="1">
        <v>18359.0</v>
      </c>
      <c r="S411" s="1">
        <v>7501.0</v>
      </c>
      <c r="T411" s="1" t="s">
        <v>4655</v>
      </c>
      <c r="U411" s="1" t="s">
        <v>189</v>
      </c>
      <c r="V411" s="1" t="s">
        <v>190</v>
      </c>
      <c r="W411" s="1">
        <v>60631.0</v>
      </c>
      <c r="X411" s="1">
        <v>4371.0</v>
      </c>
      <c r="Y411" s="1" t="s">
        <v>5759</v>
      </c>
      <c r="Z411" s="1">
        <v>2005.0</v>
      </c>
      <c r="AA411" s="1" t="s">
        <v>200</v>
      </c>
      <c r="AB411" s="1" t="s">
        <v>193</v>
      </c>
      <c r="AD411" s="1" t="s">
        <v>194</v>
      </c>
      <c r="AE411" s="1" t="s">
        <v>195</v>
      </c>
      <c r="AF411" s="1" t="s">
        <v>196</v>
      </c>
      <c r="AH411" s="1" t="s">
        <v>5760</v>
      </c>
      <c r="AK411" s="1">
        <v>10.0</v>
      </c>
      <c r="AL411" s="1">
        <v>4.0</v>
      </c>
      <c r="AM411" s="1">
        <v>3.0</v>
      </c>
      <c r="AN411" s="1">
        <v>2.0</v>
      </c>
      <c r="AO411" s="1" t="s">
        <v>198</v>
      </c>
      <c r="AP411" s="1">
        <v>2.0</v>
      </c>
      <c r="AQ411" s="1" t="s">
        <v>198</v>
      </c>
      <c r="AR411" s="1" t="s">
        <v>192</v>
      </c>
      <c r="AS411" s="1" t="s">
        <v>199</v>
      </c>
      <c r="AT411" s="1">
        <v>2.0</v>
      </c>
      <c r="AV411" s="1" t="s">
        <v>200</v>
      </c>
      <c r="AW411" s="1">
        <v>7163.0</v>
      </c>
      <c r="AX411" s="1">
        <v>2012.0</v>
      </c>
      <c r="AZ411" s="1" t="s">
        <v>200</v>
      </c>
      <c r="BA411" s="1" t="str">
        <f>"09254020240000"</f>
        <v>09254020240000</v>
      </c>
      <c r="BB411" s="1" t="s">
        <v>200</v>
      </c>
      <c r="BC411" s="1">
        <v>3000.0</v>
      </c>
      <c r="BD411" s="1">
        <v>510000.0</v>
      </c>
      <c r="BE411" s="2">
        <v>41958.0</v>
      </c>
      <c r="BF411" s="2" t="s">
        <v>5761</v>
      </c>
      <c r="BG411" s="1" t="s">
        <v>2632</v>
      </c>
      <c r="BH411" s="1">
        <v>0.0</v>
      </c>
      <c r="BK411" s="1" t="s">
        <v>204</v>
      </c>
      <c r="BL411" s="1" t="str">
        <f>"7501"</f>
        <v>7501</v>
      </c>
      <c r="BM411" s="1" t="str">
        <f>"0"</f>
        <v>0</v>
      </c>
      <c r="BN411" s="1">
        <v>7600.0</v>
      </c>
      <c r="BO411" s="1">
        <v>0.0</v>
      </c>
      <c r="BQ411" s="1">
        <v>299.0</v>
      </c>
      <c r="BR411" s="1">
        <v>299.0</v>
      </c>
      <c r="BS411" s="1">
        <v>299.0</v>
      </c>
      <c r="BU411" s="1" t="s">
        <v>213</v>
      </c>
      <c r="BV411" s="1" t="s">
        <v>206</v>
      </c>
      <c r="BW411" s="1" t="s">
        <v>207</v>
      </c>
      <c r="BY411" s="1" t="s">
        <v>924</v>
      </c>
      <c r="BZ411" s="1" t="s">
        <v>209</v>
      </c>
      <c r="CA411" s="1" t="s">
        <v>207</v>
      </c>
      <c r="CC411" s="1" t="s">
        <v>647</v>
      </c>
      <c r="CD411" s="1" t="s">
        <v>206</v>
      </c>
      <c r="CE411" s="1" t="s">
        <v>207</v>
      </c>
      <c r="CG411" s="1" t="s">
        <v>331</v>
      </c>
      <c r="CH411" s="1" t="s">
        <v>209</v>
      </c>
      <c r="CI411" s="1" t="s">
        <v>210</v>
      </c>
      <c r="CK411" s="1" t="s">
        <v>212</v>
      </c>
      <c r="CL411" s="1" t="s">
        <v>209</v>
      </c>
      <c r="CM411" s="1" t="s">
        <v>210</v>
      </c>
      <c r="CO411" s="1" t="s">
        <v>212</v>
      </c>
      <c r="CP411" s="1" t="s">
        <v>209</v>
      </c>
      <c r="CQ411" s="1" t="s">
        <v>210</v>
      </c>
      <c r="CS411" s="1" t="s">
        <v>433</v>
      </c>
      <c r="CT411" s="1" t="s">
        <v>206</v>
      </c>
      <c r="CU411" s="1" t="s">
        <v>207</v>
      </c>
      <c r="CW411" s="1" t="s">
        <v>5762</v>
      </c>
      <c r="CX411" s="1" t="s">
        <v>42</v>
      </c>
      <c r="CY411" s="1" t="s">
        <v>210</v>
      </c>
      <c r="DA411" s="1" t="s">
        <v>200</v>
      </c>
      <c r="DC411" s="1" t="s">
        <v>481</v>
      </c>
      <c r="DD411" s="1" t="s">
        <v>272</v>
      </c>
      <c r="DE411" s="1" t="s">
        <v>218</v>
      </c>
      <c r="DF411" s="1" t="s">
        <v>745</v>
      </c>
      <c r="DG411" s="1" t="s">
        <v>337</v>
      </c>
      <c r="DH411" s="1" t="s">
        <v>365</v>
      </c>
      <c r="DI411" s="1" t="s">
        <v>308</v>
      </c>
      <c r="DJ411" s="1" t="s">
        <v>222</v>
      </c>
      <c r="DK411" s="1" t="s">
        <v>3740</v>
      </c>
      <c r="DL411" s="1" t="s">
        <v>224</v>
      </c>
      <c r="DM411" s="1" t="s">
        <v>229</v>
      </c>
      <c r="DN411" s="1" t="s">
        <v>439</v>
      </c>
      <c r="DO411" s="1" t="s">
        <v>590</v>
      </c>
      <c r="DP411" s="1" t="s">
        <v>340</v>
      </c>
      <c r="DQ411" s="1" t="s">
        <v>228</v>
      </c>
      <c r="DR411" s="1" t="s">
        <v>229</v>
      </c>
      <c r="DS411" s="1" t="s">
        <v>368</v>
      </c>
      <c r="DU411" s="1" t="s">
        <v>746</v>
      </c>
      <c r="DV411" s="1" t="s">
        <v>5763</v>
      </c>
      <c r="DW411" s="1" t="s">
        <v>279</v>
      </c>
      <c r="DX411" s="1" t="s">
        <v>309</v>
      </c>
      <c r="EA411" s="1" t="s">
        <v>5294</v>
      </c>
      <c r="EB411" s="1" t="s">
        <v>345</v>
      </c>
      <c r="EC411" s="1" t="s">
        <v>237</v>
      </c>
      <c r="EG411" s="1" t="s">
        <v>598</v>
      </c>
      <c r="EH411" s="1" t="s">
        <v>494</v>
      </c>
      <c r="EL411" s="1" t="s">
        <v>516</v>
      </c>
      <c r="EM411" s="1" t="s">
        <v>206</v>
      </c>
      <c r="EN411" s="1" t="s">
        <v>207</v>
      </c>
      <c r="EP411" s="1" t="s">
        <v>1746</v>
      </c>
      <c r="EQ411" s="1" t="s">
        <v>209</v>
      </c>
      <c r="ER411" s="1" t="s">
        <v>207</v>
      </c>
      <c r="EU411" s="1" t="s">
        <v>238</v>
      </c>
      <c r="EY411" s="1" t="s">
        <v>238</v>
      </c>
      <c r="FC411" s="1" t="s">
        <v>238</v>
      </c>
      <c r="FF411" s="1" t="s">
        <v>239</v>
      </c>
      <c r="FG411" s="1" t="s">
        <v>192</v>
      </c>
      <c r="FH411" s="1" t="s">
        <v>192</v>
      </c>
      <c r="FJ411" s="1" t="s">
        <v>5764</v>
      </c>
      <c r="FK411" s="1" t="s">
        <v>229</v>
      </c>
      <c r="FL411" s="1" t="s">
        <v>3674</v>
      </c>
      <c r="FM411" s="1">
        <v>85213.0</v>
      </c>
      <c r="FN411" s="1" t="s">
        <v>3675</v>
      </c>
      <c r="FO411" s="1" t="s">
        <v>3676</v>
      </c>
      <c r="FP411" s="1">
        <v>167287.0</v>
      </c>
      <c r="FQ411" s="1" t="s">
        <v>3677</v>
      </c>
      <c r="FU411" s="1" t="s">
        <v>353</v>
      </c>
      <c r="FV411" s="1" t="s">
        <v>200</v>
      </c>
      <c r="FW411" s="1" t="s">
        <v>5765</v>
      </c>
      <c r="FX411" s="1" t="s">
        <v>238</v>
      </c>
      <c r="FZ411" s="1" t="s">
        <v>229</v>
      </c>
      <c r="GA411" s="1" t="s">
        <v>291</v>
      </c>
      <c r="GB411" s="2">
        <v>42104.0</v>
      </c>
      <c r="GC411" s="1" t="s">
        <v>5766</v>
      </c>
    </row>
    <row r="412">
      <c r="A412" s="1">
        <v>290000.0</v>
      </c>
      <c r="B412" s="1" t="s">
        <v>185</v>
      </c>
      <c r="C412" s="1" t="str">
        <f>"08792737"</f>
        <v>08792737</v>
      </c>
      <c r="D412" s="1" t="s">
        <v>186</v>
      </c>
      <c r="F412" s="1" t="str">
        <f>"543"</f>
        <v>543</v>
      </c>
      <c r="G412" s="2">
        <v>41968.0</v>
      </c>
      <c r="H412" s="1">
        <v>299900.0</v>
      </c>
      <c r="I412" s="1">
        <v>42.0</v>
      </c>
      <c r="J412" s="1">
        <v>299900.0</v>
      </c>
      <c r="K412" s="2">
        <v>42009.0</v>
      </c>
      <c r="L412" s="1">
        <v>42.0</v>
      </c>
      <c r="M412" s="2">
        <v>42009.0</v>
      </c>
      <c r="N412" s="1" t="s">
        <v>187</v>
      </c>
      <c r="O412" s="2">
        <v>42059.0</v>
      </c>
      <c r="P412" s="1">
        <v>241052.0</v>
      </c>
      <c r="Q412" s="1">
        <v>23156.0</v>
      </c>
      <c r="R412" s="1">
        <v>4000.0</v>
      </c>
      <c r="S412" s="1">
        <v>310.0</v>
      </c>
      <c r="T412" s="1" t="s">
        <v>5767</v>
      </c>
      <c r="U412" s="1" t="s">
        <v>320</v>
      </c>
      <c r="V412" s="1" t="s">
        <v>1527</v>
      </c>
      <c r="W412" s="1">
        <v>60543.0</v>
      </c>
      <c r="Y412" s="1" t="s">
        <v>5768</v>
      </c>
      <c r="Z412" s="1">
        <v>2009.0</v>
      </c>
      <c r="AA412" s="1" t="s">
        <v>200</v>
      </c>
      <c r="AB412" s="1" t="s">
        <v>467</v>
      </c>
      <c r="AC412" s="1" t="s">
        <v>5769</v>
      </c>
      <c r="AD412" s="1" t="s">
        <v>1529</v>
      </c>
      <c r="AE412" s="1" t="s">
        <v>849</v>
      </c>
      <c r="AF412" s="1" t="s">
        <v>1529</v>
      </c>
      <c r="AG412" s="1" t="s">
        <v>5770</v>
      </c>
      <c r="AH412" s="1" t="s">
        <v>5771</v>
      </c>
      <c r="AI412" s="1">
        <v>0.25</v>
      </c>
      <c r="AK412" s="1">
        <v>11.0</v>
      </c>
      <c r="AL412" s="1">
        <v>4.0</v>
      </c>
      <c r="AM412" s="1">
        <v>2.0</v>
      </c>
      <c r="AN412" s="1">
        <v>1.0</v>
      </c>
      <c r="AO412" s="1" t="s">
        <v>198</v>
      </c>
      <c r="AP412" s="1">
        <v>1.0</v>
      </c>
      <c r="AQ412" s="1" t="s">
        <v>1314</v>
      </c>
      <c r="AR412" s="1" t="s">
        <v>200</v>
      </c>
      <c r="AS412" s="1" t="s">
        <v>199</v>
      </c>
      <c r="AT412" s="1">
        <v>2.0</v>
      </c>
      <c r="AV412" s="1" t="s">
        <v>200</v>
      </c>
      <c r="AW412" s="3">
        <v>8599.0</v>
      </c>
      <c r="AX412" s="1">
        <v>2013.0</v>
      </c>
      <c r="AY412" s="1" t="s">
        <v>387</v>
      </c>
      <c r="AZ412" s="1" t="s">
        <v>200</v>
      </c>
      <c r="BA412" s="1" t="str">
        <f>"0311255003"</f>
        <v>0311255003</v>
      </c>
      <c r="BC412" s="1">
        <v>3303.0</v>
      </c>
      <c r="BD412" s="1">
        <v>290000.0</v>
      </c>
      <c r="BE412" s="2">
        <v>41968.0</v>
      </c>
      <c r="BF412" s="2" t="s">
        <v>5772</v>
      </c>
      <c r="BG412" s="1" t="s">
        <v>4271</v>
      </c>
      <c r="BH412" s="1">
        <v>20.0</v>
      </c>
      <c r="BI412" s="1" t="s">
        <v>3647</v>
      </c>
      <c r="BJ412" s="1" t="s">
        <v>2546</v>
      </c>
      <c r="BK412" s="1" t="s">
        <v>474</v>
      </c>
      <c r="BL412" s="1" t="str">
        <f t="shared" ref="BL412:BM412" si="272">""</f>
        <v/>
      </c>
      <c r="BM412" s="1" t="str">
        <f t="shared" si="272"/>
        <v/>
      </c>
      <c r="BP412" s="1" t="s">
        <v>5773</v>
      </c>
      <c r="BQ412" s="1">
        <v>308.0</v>
      </c>
      <c r="BR412" s="1">
        <v>308.0</v>
      </c>
      <c r="BS412" s="1">
        <v>308.0</v>
      </c>
      <c r="BU412" s="1" t="s">
        <v>332</v>
      </c>
      <c r="BV412" s="1" t="s">
        <v>206</v>
      </c>
      <c r="BW412" s="1" t="s">
        <v>210</v>
      </c>
      <c r="BX412" s="1" t="s">
        <v>239</v>
      </c>
      <c r="BY412" s="1" t="s">
        <v>362</v>
      </c>
      <c r="BZ412" s="1" t="s">
        <v>209</v>
      </c>
      <c r="CA412" s="1" t="s">
        <v>210</v>
      </c>
      <c r="CB412" s="1" t="s">
        <v>239</v>
      </c>
      <c r="CC412" s="1" t="s">
        <v>582</v>
      </c>
      <c r="CD412" s="1" t="s">
        <v>206</v>
      </c>
      <c r="CE412" s="1" t="s">
        <v>210</v>
      </c>
      <c r="CF412" s="1" t="s">
        <v>239</v>
      </c>
      <c r="CG412" s="1" t="s">
        <v>363</v>
      </c>
      <c r="CH412" s="1" t="s">
        <v>209</v>
      </c>
      <c r="CI412" s="1" t="s">
        <v>210</v>
      </c>
      <c r="CJ412" s="1" t="s">
        <v>239</v>
      </c>
      <c r="CK412" s="1" t="s">
        <v>212</v>
      </c>
      <c r="CL412" s="1" t="s">
        <v>209</v>
      </c>
      <c r="CM412" s="1" t="s">
        <v>210</v>
      </c>
      <c r="CN412" s="1" t="s">
        <v>239</v>
      </c>
      <c r="CO412" s="1" t="s">
        <v>699</v>
      </c>
      <c r="CP412" s="1" t="s">
        <v>209</v>
      </c>
      <c r="CQ412" s="1" t="s">
        <v>210</v>
      </c>
      <c r="CR412" s="1" t="s">
        <v>239</v>
      </c>
      <c r="CS412" s="1" t="s">
        <v>582</v>
      </c>
      <c r="CT412" s="1" t="s">
        <v>206</v>
      </c>
      <c r="CU412" s="1" t="s">
        <v>617</v>
      </c>
      <c r="CV412" s="1" t="s">
        <v>239</v>
      </c>
      <c r="CW412" s="1" t="s">
        <v>2120</v>
      </c>
      <c r="CX412" s="1" t="s">
        <v>206</v>
      </c>
      <c r="CY412" s="1" t="s">
        <v>210</v>
      </c>
      <c r="CZ412" s="1" t="s">
        <v>239</v>
      </c>
      <c r="DA412" s="1" t="s">
        <v>200</v>
      </c>
      <c r="DC412" s="1" t="s">
        <v>1046</v>
      </c>
      <c r="DD412" s="1" t="s">
        <v>759</v>
      </c>
      <c r="DE412" s="1" t="s">
        <v>273</v>
      </c>
      <c r="DF412" s="1" t="s">
        <v>219</v>
      </c>
      <c r="DG412" s="1" t="s">
        <v>4561</v>
      </c>
      <c r="DH412" s="1" t="s">
        <v>220</v>
      </c>
      <c r="DI412" s="1" t="s">
        <v>221</v>
      </c>
      <c r="DJ412" s="1" t="s">
        <v>222</v>
      </c>
      <c r="DK412" s="1" t="s">
        <v>198</v>
      </c>
      <c r="DL412" s="1" t="s">
        <v>223</v>
      </c>
      <c r="DM412" s="1" t="s">
        <v>338</v>
      </c>
      <c r="DN412" s="1" t="s">
        <v>1023</v>
      </c>
      <c r="DO412" s="1" t="s">
        <v>590</v>
      </c>
      <c r="DP412" s="1" t="s">
        <v>340</v>
      </c>
      <c r="DQ412" s="1" t="s">
        <v>228</v>
      </c>
      <c r="DR412" s="1" t="s">
        <v>1980</v>
      </c>
      <c r="DS412" s="1" t="s">
        <v>230</v>
      </c>
      <c r="DU412" s="1" t="s">
        <v>1187</v>
      </c>
      <c r="DV412" s="1" t="s">
        <v>3022</v>
      </c>
      <c r="DW412" s="1" t="s">
        <v>233</v>
      </c>
      <c r="DX412" s="1" t="s">
        <v>234</v>
      </c>
      <c r="DY412" s="1" t="s">
        <v>1189</v>
      </c>
      <c r="DZ412" s="1" t="s">
        <v>4077</v>
      </c>
      <c r="EA412" s="1" t="s">
        <v>344</v>
      </c>
      <c r="EB412" s="1" t="s">
        <v>937</v>
      </c>
      <c r="EC412" s="1" t="s">
        <v>237</v>
      </c>
      <c r="ED412" s="1" t="s">
        <v>407</v>
      </c>
      <c r="EE412" s="1" t="s">
        <v>493</v>
      </c>
      <c r="EG412" s="1" t="s">
        <v>556</v>
      </c>
      <c r="EH412" s="1" t="s">
        <v>494</v>
      </c>
      <c r="EI412" s="1" t="s">
        <v>557</v>
      </c>
      <c r="EL412" s="1" t="s">
        <v>623</v>
      </c>
      <c r="EM412" s="1" t="s">
        <v>206</v>
      </c>
      <c r="EN412" s="1" t="s">
        <v>617</v>
      </c>
      <c r="EO412" s="1" t="s">
        <v>239</v>
      </c>
      <c r="EP412" s="1" t="s">
        <v>264</v>
      </c>
      <c r="EQ412" s="1" t="s">
        <v>206</v>
      </c>
      <c r="ER412" s="1" t="s">
        <v>210</v>
      </c>
      <c r="ES412" s="1" t="s">
        <v>239</v>
      </c>
      <c r="ET412" s="1" t="s">
        <v>453</v>
      </c>
      <c r="EU412" s="1" t="s">
        <v>209</v>
      </c>
      <c r="EV412" s="1" t="s">
        <v>210</v>
      </c>
      <c r="EW412" s="1" t="s">
        <v>239</v>
      </c>
      <c r="EY412" s="1" t="s">
        <v>238</v>
      </c>
      <c r="FC412" s="1" t="s">
        <v>238</v>
      </c>
      <c r="FF412" s="1" t="s">
        <v>239</v>
      </c>
      <c r="FG412" s="1" t="s">
        <v>192</v>
      </c>
      <c r="FH412" s="1" t="s">
        <v>192</v>
      </c>
      <c r="FJ412" s="1" t="s">
        <v>561</v>
      </c>
      <c r="FK412" s="1" t="s">
        <v>229</v>
      </c>
      <c r="FL412" s="1" t="s">
        <v>456</v>
      </c>
      <c r="FM412" s="1">
        <v>23156.0</v>
      </c>
      <c r="FN412" s="1" t="s">
        <v>2553</v>
      </c>
      <c r="FO412" s="1" t="s">
        <v>5774</v>
      </c>
      <c r="FP412" s="1">
        <v>220324.0</v>
      </c>
      <c r="FQ412" s="1" t="s">
        <v>5775</v>
      </c>
      <c r="FS412" s="1" t="s">
        <v>5776</v>
      </c>
      <c r="FU412" s="1" t="s">
        <v>5777</v>
      </c>
      <c r="FV412" s="1" t="s">
        <v>200</v>
      </c>
      <c r="FW412" s="1" t="s">
        <v>290</v>
      </c>
      <c r="FZ412" s="1" t="s">
        <v>229</v>
      </c>
      <c r="GA412" s="1" t="s">
        <v>291</v>
      </c>
      <c r="GB412" s="2">
        <v>42059.0</v>
      </c>
      <c r="GC412" s="1" t="s">
        <v>5778</v>
      </c>
    </row>
    <row r="413">
      <c r="A413" s="1">
        <v>252500.0</v>
      </c>
      <c r="B413" s="1" t="s">
        <v>185</v>
      </c>
      <c r="C413" s="1" t="str">
        <f>"08790464"</f>
        <v>08790464</v>
      </c>
      <c r="D413" s="1" t="s">
        <v>186</v>
      </c>
      <c r="F413" s="1" t="str">
        <f>"174"</f>
        <v>174</v>
      </c>
      <c r="G413" s="2">
        <v>41964.0</v>
      </c>
      <c r="H413" s="1">
        <v>271900.0</v>
      </c>
      <c r="I413" s="1">
        <v>62.0</v>
      </c>
      <c r="J413" s="1">
        <v>268900.0</v>
      </c>
      <c r="K413" s="2">
        <v>42025.0</v>
      </c>
      <c r="L413" s="1">
        <v>62.0</v>
      </c>
      <c r="M413" s="2">
        <v>42025.0</v>
      </c>
      <c r="N413" s="1" t="s">
        <v>187</v>
      </c>
      <c r="O413" s="2">
        <v>42094.0</v>
      </c>
      <c r="P413" s="1">
        <v>215303.0</v>
      </c>
      <c r="Q413" s="1">
        <v>23163.0</v>
      </c>
      <c r="R413" s="1">
        <v>2000.0</v>
      </c>
      <c r="S413" s="1">
        <v>1810.0</v>
      </c>
      <c r="T413" s="1" t="s">
        <v>5779</v>
      </c>
      <c r="U413" s="1" t="s">
        <v>189</v>
      </c>
      <c r="V413" s="1" t="s">
        <v>1200</v>
      </c>
      <c r="W413" s="1">
        <v>60174.0</v>
      </c>
      <c r="Y413" s="1" t="s">
        <v>5780</v>
      </c>
      <c r="Z413" s="1">
        <v>1988.0</v>
      </c>
      <c r="AA413" s="1" t="s">
        <v>200</v>
      </c>
      <c r="AB413" s="1" t="s">
        <v>193</v>
      </c>
      <c r="AC413" s="1" t="s">
        <v>5712</v>
      </c>
      <c r="AD413" s="1" t="s">
        <v>1203</v>
      </c>
      <c r="AE413" s="1" t="s">
        <v>325</v>
      </c>
      <c r="AF413" s="1" t="s">
        <v>1203</v>
      </c>
      <c r="AH413" s="1" t="s">
        <v>5781</v>
      </c>
      <c r="AI413" s="1">
        <v>0.0</v>
      </c>
      <c r="AK413" s="1">
        <v>8.0</v>
      </c>
      <c r="AL413" s="1">
        <v>4.0</v>
      </c>
      <c r="AM413" s="1">
        <v>2.0</v>
      </c>
      <c r="AN413" s="1">
        <v>0.0</v>
      </c>
      <c r="AO413" s="1" t="s">
        <v>3903</v>
      </c>
      <c r="AP413" s="1">
        <v>1.0</v>
      </c>
      <c r="AQ413" s="1" t="s">
        <v>472</v>
      </c>
      <c r="AR413" s="1" t="s">
        <v>192</v>
      </c>
      <c r="AS413" s="1" t="s">
        <v>199</v>
      </c>
      <c r="AT413" s="1">
        <v>2.0</v>
      </c>
      <c r="AV413" s="1" t="s">
        <v>200</v>
      </c>
      <c r="AW413" s="1">
        <v>6112.54</v>
      </c>
      <c r="AX413" s="1">
        <v>2013.0</v>
      </c>
      <c r="AY413" s="1" t="s">
        <v>387</v>
      </c>
      <c r="AZ413" s="1" t="s">
        <v>200</v>
      </c>
      <c r="BA413" s="1" t="str">
        <f>"0935428011"</f>
        <v>0935428011</v>
      </c>
      <c r="BB413" s="1" t="s">
        <v>200</v>
      </c>
      <c r="BC413" s="1">
        <v>2017.0</v>
      </c>
      <c r="BD413" s="1">
        <v>252500.0</v>
      </c>
      <c r="BE413" s="2">
        <v>41964.0</v>
      </c>
      <c r="BF413" s="2" t="s">
        <v>5782</v>
      </c>
      <c r="BG413" s="1" t="s">
        <v>3610</v>
      </c>
      <c r="BH413" s="1">
        <v>0.0</v>
      </c>
      <c r="BI413" s="1" t="s">
        <v>2143</v>
      </c>
      <c r="BJ413" s="1" t="s">
        <v>2144</v>
      </c>
      <c r="BK413" s="1" t="s">
        <v>204</v>
      </c>
      <c r="BL413" s="1" t="str">
        <f>"2"</f>
        <v>2</v>
      </c>
      <c r="BM413" s="1" t="str">
        <f>"0"</f>
        <v>0</v>
      </c>
      <c r="BN413" s="1">
        <v>34.0</v>
      </c>
      <c r="BO413" s="1">
        <v>0.0</v>
      </c>
      <c r="BQ413" s="1">
        <v>303.0</v>
      </c>
      <c r="BR413" s="1">
        <v>303.0</v>
      </c>
      <c r="BS413" s="1">
        <v>303.0</v>
      </c>
      <c r="BU413" s="1" t="s">
        <v>434</v>
      </c>
      <c r="BV413" s="1" t="s">
        <v>206</v>
      </c>
      <c r="BW413" s="1" t="s">
        <v>210</v>
      </c>
      <c r="BX413" s="1" t="s">
        <v>239</v>
      </c>
      <c r="BY413" s="1" t="s">
        <v>925</v>
      </c>
      <c r="BZ413" s="1" t="s">
        <v>206</v>
      </c>
      <c r="CA413" s="1" t="s">
        <v>210</v>
      </c>
      <c r="CB413" s="1" t="s">
        <v>239</v>
      </c>
      <c r="CC413" s="1" t="s">
        <v>647</v>
      </c>
      <c r="CD413" s="1" t="s">
        <v>206</v>
      </c>
      <c r="CE413" s="1" t="s">
        <v>301</v>
      </c>
      <c r="CF413" s="1" t="s">
        <v>239</v>
      </c>
      <c r="CG413" s="1" t="s">
        <v>516</v>
      </c>
      <c r="CH413" s="1" t="s">
        <v>206</v>
      </c>
      <c r="CI413" s="1" t="s">
        <v>210</v>
      </c>
      <c r="CJ413" s="1" t="s">
        <v>239</v>
      </c>
      <c r="CK413" s="1" t="s">
        <v>454</v>
      </c>
      <c r="CL413" s="1" t="s">
        <v>267</v>
      </c>
      <c r="CM413" s="1" t="s">
        <v>210</v>
      </c>
      <c r="CN413" s="1" t="s">
        <v>239</v>
      </c>
      <c r="CO413" s="1" t="s">
        <v>331</v>
      </c>
      <c r="CP413" s="1" t="s">
        <v>267</v>
      </c>
      <c r="CQ413" s="1" t="s">
        <v>210</v>
      </c>
      <c r="CR413" s="1" t="s">
        <v>239</v>
      </c>
      <c r="CS413" s="1" t="s">
        <v>497</v>
      </c>
      <c r="CT413" s="1" t="s">
        <v>206</v>
      </c>
      <c r="CU413" s="1" t="s">
        <v>301</v>
      </c>
      <c r="CV413" s="1" t="s">
        <v>239</v>
      </c>
      <c r="CW413" s="1" t="s">
        <v>1623</v>
      </c>
      <c r="CX413" s="1" t="s">
        <v>267</v>
      </c>
      <c r="CY413" s="1" t="s">
        <v>210</v>
      </c>
      <c r="CZ413" s="1" t="s">
        <v>239</v>
      </c>
      <c r="DA413" s="1" t="s">
        <v>200</v>
      </c>
      <c r="DC413" s="1" t="s">
        <v>305</v>
      </c>
      <c r="DD413" s="1" t="s">
        <v>306</v>
      </c>
      <c r="DE413" s="1" t="s">
        <v>273</v>
      </c>
      <c r="DF413" s="1" t="s">
        <v>219</v>
      </c>
      <c r="DG413" s="1" t="s">
        <v>337</v>
      </c>
      <c r="DH413" s="1" t="s">
        <v>220</v>
      </c>
      <c r="DI413" s="1" t="s">
        <v>221</v>
      </c>
      <c r="DJ413" s="1" t="s">
        <v>222</v>
      </c>
      <c r="DK413" s="1" t="s">
        <v>198</v>
      </c>
      <c r="DL413" s="1" t="s">
        <v>224</v>
      </c>
      <c r="DM413" s="1" t="s">
        <v>338</v>
      </c>
      <c r="DO413" s="1" t="s">
        <v>5783</v>
      </c>
      <c r="DP413" s="1" t="s">
        <v>340</v>
      </c>
      <c r="DQ413" s="1" t="s">
        <v>228</v>
      </c>
      <c r="DR413" s="1" t="s">
        <v>229</v>
      </c>
      <c r="DS413" s="1" t="s">
        <v>230</v>
      </c>
      <c r="DU413" s="1" t="s">
        <v>5784</v>
      </c>
      <c r="DV413" s="1" t="s">
        <v>232</v>
      </c>
      <c r="DW413" s="1" t="s">
        <v>370</v>
      </c>
      <c r="DX413" s="1" t="s">
        <v>234</v>
      </c>
      <c r="DY413" s="1" t="s">
        <v>861</v>
      </c>
      <c r="DZ413" s="1" t="s">
        <v>1405</v>
      </c>
      <c r="EA413" s="1" t="s">
        <v>554</v>
      </c>
      <c r="EB413" s="1" t="s">
        <v>937</v>
      </c>
      <c r="EC413" s="1" t="s">
        <v>284</v>
      </c>
      <c r="ED413" s="1" t="s">
        <v>555</v>
      </c>
      <c r="EM413" s="1" t="s">
        <v>238</v>
      </c>
      <c r="EQ413" s="1" t="s">
        <v>238</v>
      </c>
      <c r="EU413" s="1" t="s">
        <v>238</v>
      </c>
      <c r="EY413" s="1" t="s">
        <v>238</v>
      </c>
      <c r="FC413" s="1" t="s">
        <v>238</v>
      </c>
      <c r="FF413" s="1" t="s">
        <v>239</v>
      </c>
      <c r="FG413" s="1" t="s">
        <v>192</v>
      </c>
      <c r="FH413" s="1" t="s">
        <v>192</v>
      </c>
      <c r="FJ413" s="1" t="s">
        <v>5785</v>
      </c>
      <c r="FK413" s="1" t="s">
        <v>229</v>
      </c>
      <c r="FL413" s="1" t="s">
        <v>4309</v>
      </c>
      <c r="FM413" s="1">
        <v>74.0</v>
      </c>
      <c r="FN413" s="1" t="s">
        <v>5786</v>
      </c>
      <c r="FO413" s="1" t="s">
        <v>5787</v>
      </c>
      <c r="FP413" s="1">
        <v>7710.0</v>
      </c>
      <c r="FQ413" s="1" t="s">
        <v>5788</v>
      </c>
      <c r="FU413" s="1" t="s">
        <v>5789</v>
      </c>
      <c r="FV413" s="1" t="s">
        <v>200</v>
      </c>
      <c r="FW413" s="1" t="s">
        <v>290</v>
      </c>
      <c r="FZ413" s="1" t="s">
        <v>229</v>
      </c>
      <c r="GA413" s="1" t="s">
        <v>291</v>
      </c>
      <c r="GB413" s="2">
        <v>42094.0</v>
      </c>
      <c r="GC413" s="1" t="s">
        <v>5790</v>
      </c>
    </row>
    <row r="414">
      <c r="A414" s="1">
        <v>209000.0</v>
      </c>
      <c r="B414" s="1" t="s">
        <v>185</v>
      </c>
      <c r="C414" s="1" t="str">
        <f>"08789829"</f>
        <v>08789829</v>
      </c>
      <c r="D414" s="1" t="s">
        <v>186</v>
      </c>
      <c r="F414" s="1" t="str">
        <f>"8046"</f>
        <v>8046</v>
      </c>
      <c r="G414" s="2">
        <v>41963.0</v>
      </c>
      <c r="H414" s="1">
        <v>209000.0</v>
      </c>
      <c r="I414" s="1">
        <v>1.0</v>
      </c>
      <c r="J414" s="1">
        <v>209000.0</v>
      </c>
      <c r="K414" s="2">
        <v>41963.0</v>
      </c>
      <c r="L414" s="1">
        <v>1.0</v>
      </c>
      <c r="M414" s="2">
        <v>41963.0</v>
      </c>
      <c r="N414" s="1" t="s">
        <v>634</v>
      </c>
      <c r="O414" s="2">
        <v>41995.0</v>
      </c>
      <c r="P414" s="1">
        <v>149967.0</v>
      </c>
      <c r="Q414" s="1">
        <v>16921.0</v>
      </c>
      <c r="R414" s="1">
        <v>3.0</v>
      </c>
      <c r="S414" s="1">
        <v>8007.0</v>
      </c>
      <c r="T414" s="1" t="s">
        <v>5262</v>
      </c>
      <c r="U414" s="1" t="s">
        <v>189</v>
      </c>
      <c r="V414" s="1" t="s">
        <v>190</v>
      </c>
      <c r="W414" s="1">
        <v>60617.0</v>
      </c>
      <c r="Y414" s="1" t="s">
        <v>5791</v>
      </c>
      <c r="Z414" s="1">
        <v>1915.0</v>
      </c>
      <c r="AA414" s="1" t="s">
        <v>192</v>
      </c>
      <c r="AB414" s="1" t="s">
        <v>193</v>
      </c>
      <c r="AD414" s="1" t="s">
        <v>194</v>
      </c>
      <c r="AE414" s="1" t="s">
        <v>195</v>
      </c>
      <c r="AF414" s="1" t="s">
        <v>637</v>
      </c>
      <c r="AH414" s="1" t="s">
        <v>779</v>
      </c>
      <c r="AI414" s="1">
        <v>0.0861</v>
      </c>
      <c r="AK414" s="1">
        <v>10.0</v>
      </c>
      <c r="AL414" s="1">
        <v>3.0</v>
      </c>
      <c r="AM414" s="1">
        <v>2.0</v>
      </c>
      <c r="AN414" s="1">
        <v>0.0</v>
      </c>
      <c r="AO414" s="1" t="s">
        <v>198</v>
      </c>
      <c r="AP414" s="1">
        <v>0.0</v>
      </c>
      <c r="AQ414" s="1" t="s">
        <v>198</v>
      </c>
      <c r="AR414" s="1" t="s">
        <v>200</v>
      </c>
      <c r="AS414" s="1" t="s">
        <v>199</v>
      </c>
      <c r="AT414" s="1">
        <v>2.0</v>
      </c>
      <c r="AV414" s="1" t="s">
        <v>200</v>
      </c>
      <c r="AW414" s="1">
        <v>2022.35</v>
      </c>
      <c r="AX414" s="1">
        <v>2012.0</v>
      </c>
      <c r="AZ414" s="1" t="s">
        <v>200</v>
      </c>
      <c r="BA414" s="1" t="str">
        <f>"20361100030000"</f>
        <v>20361100030000</v>
      </c>
      <c r="BB414" s="1" t="s">
        <v>200</v>
      </c>
      <c r="BC414" s="1">
        <v>1800.0</v>
      </c>
      <c r="BD414" s="1">
        <v>209000.0</v>
      </c>
      <c r="BE414" s="2">
        <v>41963.0</v>
      </c>
      <c r="BF414" s="2" t="s">
        <v>5792</v>
      </c>
      <c r="BH414" s="1">
        <v>0.0</v>
      </c>
      <c r="BK414" s="1" t="s">
        <v>204</v>
      </c>
      <c r="BL414" s="1" t="str">
        <f>"0"</f>
        <v>0</v>
      </c>
      <c r="BM414" s="1" t="str">
        <f>"1900"</f>
        <v>1900</v>
      </c>
      <c r="BN414" s="1">
        <v>0.0</v>
      </c>
      <c r="BO414" s="1">
        <v>8007.0</v>
      </c>
      <c r="BQ414" s="1">
        <v>299.0</v>
      </c>
      <c r="BR414" s="1">
        <v>299.0</v>
      </c>
      <c r="BS414" s="1">
        <v>299.0</v>
      </c>
      <c r="BU414" s="1" t="s">
        <v>1117</v>
      </c>
      <c r="BV414" s="1" t="s">
        <v>206</v>
      </c>
      <c r="BW414" s="1" t="s">
        <v>207</v>
      </c>
      <c r="BY414" s="1" t="s">
        <v>769</v>
      </c>
      <c r="BZ414" s="1" t="s">
        <v>209</v>
      </c>
      <c r="CA414" s="1" t="s">
        <v>210</v>
      </c>
      <c r="CC414" s="1" t="s">
        <v>363</v>
      </c>
      <c r="CD414" s="1" t="s">
        <v>206</v>
      </c>
      <c r="CE414" s="1" t="s">
        <v>207</v>
      </c>
      <c r="CG414" s="1" t="s">
        <v>729</v>
      </c>
      <c r="CH414" s="1" t="s">
        <v>206</v>
      </c>
      <c r="CI414" s="1" t="s">
        <v>207</v>
      </c>
      <c r="CK414" s="1" t="s">
        <v>264</v>
      </c>
      <c r="CL414" s="1" t="s">
        <v>206</v>
      </c>
      <c r="CM414" s="1" t="s">
        <v>207</v>
      </c>
      <c r="CO414" s="1" t="s">
        <v>647</v>
      </c>
      <c r="CP414" s="1" t="s">
        <v>42</v>
      </c>
      <c r="CQ414" s="1" t="s">
        <v>268</v>
      </c>
      <c r="CS414" s="1" t="s">
        <v>664</v>
      </c>
      <c r="CT414" s="1" t="s">
        <v>206</v>
      </c>
      <c r="CU414" s="1" t="s">
        <v>207</v>
      </c>
      <c r="CW414" s="1" t="s">
        <v>2059</v>
      </c>
      <c r="CX414" s="1" t="s">
        <v>42</v>
      </c>
      <c r="CY414" s="1" t="s">
        <v>268</v>
      </c>
      <c r="DA414" s="1" t="s">
        <v>200</v>
      </c>
      <c r="DC414" s="1" t="s">
        <v>216</v>
      </c>
      <c r="DD414" s="1" t="s">
        <v>518</v>
      </c>
      <c r="DE414" s="1" t="s">
        <v>273</v>
      </c>
      <c r="DF414" s="1" t="s">
        <v>219</v>
      </c>
      <c r="DH414" s="1" t="s">
        <v>220</v>
      </c>
      <c r="DI414" s="1" t="s">
        <v>366</v>
      </c>
      <c r="DJ414" s="1" t="s">
        <v>222</v>
      </c>
      <c r="DL414" s="1" t="s">
        <v>224</v>
      </c>
      <c r="DM414" s="1" t="s">
        <v>229</v>
      </c>
      <c r="DP414" s="1" t="s">
        <v>340</v>
      </c>
      <c r="DQ414" s="1" t="s">
        <v>718</v>
      </c>
      <c r="DR414" s="1" t="s">
        <v>229</v>
      </c>
      <c r="DS414" s="1" t="s">
        <v>230</v>
      </c>
      <c r="DV414" s="1" t="s">
        <v>5763</v>
      </c>
      <c r="DW414" s="1" t="s">
        <v>279</v>
      </c>
      <c r="DX414" s="1" t="s">
        <v>234</v>
      </c>
      <c r="DY414" s="1" t="s">
        <v>553</v>
      </c>
      <c r="EA414" s="1" t="s">
        <v>644</v>
      </c>
      <c r="EC414" s="1" t="s">
        <v>645</v>
      </c>
      <c r="EE414" s="1" t="s">
        <v>493</v>
      </c>
      <c r="EG414" s="1" t="s">
        <v>494</v>
      </c>
      <c r="EH414" s="1" t="s">
        <v>598</v>
      </c>
      <c r="EL414" s="1" t="s">
        <v>266</v>
      </c>
      <c r="EM414" s="1" t="s">
        <v>206</v>
      </c>
      <c r="EN414" s="1" t="s">
        <v>207</v>
      </c>
      <c r="EP414" s="1" t="s">
        <v>454</v>
      </c>
      <c r="EQ414" s="1" t="s">
        <v>209</v>
      </c>
      <c r="ER414" s="1" t="s">
        <v>210</v>
      </c>
      <c r="EU414" s="1" t="s">
        <v>238</v>
      </c>
      <c r="EY414" s="1" t="s">
        <v>238</v>
      </c>
      <c r="FC414" s="1" t="s">
        <v>238</v>
      </c>
      <c r="FF414" s="1" t="s">
        <v>239</v>
      </c>
      <c r="FG414" s="1" t="s">
        <v>192</v>
      </c>
      <c r="FH414" s="1" t="s">
        <v>192</v>
      </c>
      <c r="FJ414" s="1" t="s">
        <v>648</v>
      </c>
      <c r="FK414" s="1" t="s">
        <v>229</v>
      </c>
      <c r="FL414" s="1" t="s">
        <v>649</v>
      </c>
      <c r="FM414" s="1">
        <v>60296.0</v>
      </c>
      <c r="FN414" s="1" t="s">
        <v>650</v>
      </c>
      <c r="FO414" s="1" t="s">
        <v>651</v>
      </c>
      <c r="FP414" s="1">
        <v>602837.0</v>
      </c>
      <c r="FQ414" s="1" t="s">
        <v>652</v>
      </c>
      <c r="FR414" s="1">
        <v>602442.0</v>
      </c>
      <c r="FU414" s="1" t="s">
        <v>653</v>
      </c>
      <c r="FV414" s="1" t="s">
        <v>200</v>
      </c>
      <c r="FW414" s="1" t="s">
        <v>654</v>
      </c>
      <c r="FX414" s="1" t="s">
        <v>655</v>
      </c>
      <c r="FZ414" s="1" t="s">
        <v>229</v>
      </c>
      <c r="GA414" s="1" t="s">
        <v>291</v>
      </c>
      <c r="GB414" s="2">
        <v>41995.0</v>
      </c>
      <c r="GC414" s="1" t="s">
        <v>1372</v>
      </c>
    </row>
    <row r="415">
      <c r="A415" s="1">
        <v>60000.0</v>
      </c>
      <c r="B415" s="1" t="s">
        <v>185</v>
      </c>
      <c r="C415" s="1" t="str">
        <f>"08789290"</f>
        <v>08789290</v>
      </c>
      <c r="D415" s="1" t="s">
        <v>186</v>
      </c>
      <c r="F415" s="1" t="str">
        <f>"178"</f>
        <v>178</v>
      </c>
      <c r="G415" s="2">
        <v>41962.0</v>
      </c>
      <c r="H415" s="1">
        <v>150000.0</v>
      </c>
      <c r="I415" s="1">
        <v>66.0</v>
      </c>
      <c r="J415" s="1">
        <v>100000.0</v>
      </c>
      <c r="K415" s="2">
        <v>42026.0</v>
      </c>
      <c r="L415" s="1">
        <v>66.0</v>
      </c>
      <c r="M415" s="2">
        <v>42026.0</v>
      </c>
      <c r="N415" s="1" t="s">
        <v>249</v>
      </c>
      <c r="O415" s="2">
        <v>42040.0</v>
      </c>
      <c r="P415" s="1">
        <v>930132.0</v>
      </c>
      <c r="Q415" s="1">
        <v>93043.0</v>
      </c>
      <c r="S415" s="1">
        <v>1034.0</v>
      </c>
      <c r="T415" s="1" t="s">
        <v>610</v>
      </c>
      <c r="U415" s="1" t="s">
        <v>189</v>
      </c>
      <c r="V415" s="1" t="s">
        <v>994</v>
      </c>
      <c r="W415" s="1">
        <v>60178.0</v>
      </c>
      <c r="Y415" s="1" t="s">
        <v>5793</v>
      </c>
      <c r="Z415" s="1">
        <v>1861.0</v>
      </c>
      <c r="AA415" s="1" t="s">
        <v>192</v>
      </c>
      <c r="AB415" s="1" t="s">
        <v>193</v>
      </c>
      <c r="AD415" s="1" t="s">
        <v>997</v>
      </c>
      <c r="AE415" s="1" t="s">
        <v>613</v>
      </c>
      <c r="AF415" s="1" t="s">
        <v>997</v>
      </c>
      <c r="AH415" s="1" t="s">
        <v>5794</v>
      </c>
      <c r="AI415" s="1">
        <v>0.89</v>
      </c>
      <c r="AK415" s="1">
        <v>12.0</v>
      </c>
      <c r="AL415" s="1">
        <v>4.0</v>
      </c>
      <c r="AM415" s="1">
        <v>2.0</v>
      </c>
      <c r="AN415" s="1">
        <v>1.0</v>
      </c>
      <c r="AO415" s="1" t="s">
        <v>3903</v>
      </c>
      <c r="AP415" s="1">
        <v>2.0</v>
      </c>
      <c r="AQ415" s="1" t="s">
        <v>198</v>
      </c>
      <c r="AR415" s="1" t="s">
        <v>200</v>
      </c>
      <c r="AS415" s="1" t="s">
        <v>510</v>
      </c>
      <c r="AT415" s="1">
        <v>2.0</v>
      </c>
      <c r="AU415" s="1">
        <v>10.0</v>
      </c>
      <c r="AV415" s="1" t="s">
        <v>200</v>
      </c>
      <c r="AW415" s="1">
        <v>7266.16</v>
      </c>
      <c r="AX415" s="1">
        <v>2013.0</v>
      </c>
      <c r="AY415" s="1" t="s">
        <v>1179</v>
      </c>
      <c r="AZ415" s="1" t="s">
        <v>200</v>
      </c>
      <c r="BA415" s="1" t="str">
        <f>"0631477001"</f>
        <v>0631477001</v>
      </c>
      <c r="BB415" s="1" t="s">
        <v>200</v>
      </c>
      <c r="BC415" s="1">
        <v>3466.0</v>
      </c>
      <c r="BD415" s="1">
        <v>60000.0</v>
      </c>
      <c r="BE415" s="2">
        <v>41961.0</v>
      </c>
      <c r="BF415" s="2" t="s">
        <v>5795</v>
      </c>
      <c r="BH415" s="1">
        <v>0.0</v>
      </c>
      <c r="BK415" s="1" t="s">
        <v>204</v>
      </c>
      <c r="BL415" s="1" t="str">
        <f t="shared" ref="BL415:BM415" si="273">""</f>
        <v/>
      </c>
      <c r="BM415" s="1" t="str">
        <f t="shared" si="273"/>
        <v/>
      </c>
      <c r="BQ415" s="1">
        <v>427.0</v>
      </c>
      <c r="BR415" s="1">
        <v>427.0</v>
      </c>
      <c r="BS415" s="1">
        <v>427.0</v>
      </c>
      <c r="BU415" s="1" t="s">
        <v>214</v>
      </c>
      <c r="BV415" s="1" t="s">
        <v>206</v>
      </c>
      <c r="BW415" s="1" t="s">
        <v>210</v>
      </c>
      <c r="BX415" s="1" t="s">
        <v>261</v>
      </c>
      <c r="BY415" s="1" t="s">
        <v>454</v>
      </c>
      <c r="BZ415" s="1" t="s">
        <v>209</v>
      </c>
      <c r="CA415" s="1" t="s">
        <v>210</v>
      </c>
      <c r="CB415" s="1" t="s">
        <v>261</v>
      </c>
      <c r="CC415" s="1" t="s">
        <v>1044</v>
      </c>
      <c r="CD415" s="1" t="s">
        <v>206</v>
      </c>
      <c r="CE415" s="1" t="s">
        <v>207</v>
      </c>
      <c r="CF415" s="1" t="s">
        <v>261</v>
      </c>
      <c r="CG415" s="1" t="s">
        <v>758</v>
      </c>
      <c r="CH415" s="1" t="s">
        <v>209</v>
      </c>
      <c r="CI415" s="1" t="s">
        <v>207</v>
      </c>
      <c r="CJ415" s="1" t="s">
        <v>261</v>
      </c>
      <c r="CK415" s="1" t="s">
        <v>375</v>
      </c>
      <c r="CL415" s="1" t="s">
        <v>209</v>
      </c>
      <c r="CM415" s="1" t="s">
        <v>210</v>
      </c>
      <c r="CN415" s="1" t="s">
        <v>261</v>
      </c>
      <c r="CO415" s="1" t="s">
        <v>584</v>
      </c>
      <c r="CP415" s="1" t="s">
        <v>209</v>
      </c>
      <c r="CQ415" s="1" t="s">
        <v>207</v>
      </c>
      <c r="CR415" s="1" t="s">
        <v>261</v>
      </c>
      <c r="CS415" s="1" t="s">
        <v>1190</v>
      </c>
      <c r="CT415" s="1" t="s">
        <v>206</v>
      </c>
      <c r="CU415" s="1" t="s">
        <v>268</v>
      </c>
      <c r="CV415" s="1" t="s">
        <v>229</v>
      </c>
      <c r="CW415" s="1" t="s">
        <v>214</v>
      </c>
      <c r="CX415" s="1" t="s">
        <v>206</v>
      </c>
      <c r="CY415" s="1" t="s">
        <v>210</v>
      </c>
      <c r="CZ415" s="1" t="s">
        <v>261</v>
      </c>
      <c r="DA415" s="1" t="s">
        <v>200</v>
      </c>
      <c r="DC415" s="1" t="s">
        <v>642</v>
      </c>
      <c r="DD415" s="1" t="s">
        <v>731</v>
      </c>
      <c r="DE415" s="1" t="s">
        <v>1300</v>
      </c>
      <c r="DF415" s="1" t="s">
        <v>3540</v>
      </c>
      <c r="DG415" s="1" t="s">
        <v>274</v>
      </c>
      <c r="DH415" s="1" t="s">
        <v>220</v>
      </c>
      <c r="DJ415" s="1" t="s">
        <v>222</v>
      </c>
      <c r="DK415" s="1" t="s">
        <v>198</v>
      </c>
      <c r="DL415" s="1" t="s">
        <v>791</v>
      </c>
      <c r="DM415" s="1" t="s">
        <v>1268</v>
      </c>
      <c r="DN415" s="1" t="s">
        <v>339</v>
      </c>
      <c r="DO415" s="1" t="s">
        <v>590</v>
      </c>
      <c r="DP415" s="1" t="s">
        <v>340</v>
      </c>
      <c r="DQ415" s="1" t="s">
        <v>1557</v>
      </c>
      <c r="DR415" s="1" t="s">
        <v>229</v>
      </c>
      <c r="DS415" s="1" t="s">
        <v>277</v>
      </c>
      <c r="DU415" s="1" t="s">
        <v>1840</v>
      </c>
      <c r="DV415" s="1" t="s">
        <v>5796</v>
      </c>
      <c r="DW415" s="1" t="s">
        <v>667</v>
      </c>
      <c r="DX415" s="1" t="s">
        <v>234</v>
      </c>
      <c r="DY415" s="1" t="s">
        <v>1051</v>
      </c>
      <c r="DZ415" s="1" t="s">
        <v>5797</v>
      </c>
      <c r="EA415" s="1" t="s">
        <v>3112</v>
      </c>
      <c r="EB415" s="1" t="s">
        <v>345</v>
      </c>
      <c r="EC415" s="1" t="s">
        <v>406</v>
      </c>
      <c r="EE415" s="1" t="s">
        <v>1673</v>
      </c>
      <c r="EF415" s="1" t="s">
        <v>523</v>
      </c>
      <c r="EG415" s="1" t="s">
        <v>494</v>
      </c>
      <c r="EH415" s="1" t="s">
        <v>598</v>
      </c>
      <c r="EI415" s="1" t="s">
        <v>114</v>
      </c>
      <c r="EJ415" s="1" t="s">
        <v>5798</v>
      </c>
      <c r="EK415" s="1" t="s">
        <v>408</v>
      </c>
      <c r="EL415" s="1" t="s">
        <v>2647</v>
      </c>
      <c r="EM415" s="1" t="s">
        <v>206</v>
      </c>
      <c r="EN415" s="1" t="s">
        <v>210</v>
      </c>
      <c r="EO415" s="1" t="s">
        <v>261</v>
      </c>
      <c r="EP415" s="1" t="s">
        <v>798</v>
      </c>
      <c r="EQ415" s="1" t="s">
        <v>206</v>
      </c>
      <c r="ER415" s="1" t="s">
        <v>210</v>
      </c>
      <c r="ET415" s="1" t="s">
        <v>5799</v>
      </c>
      <c r="EU415" s="1" t="s">
        <v>391</v>
      </c>
      <c r="EX415" s="1" t="s">
        <v>543</v>
      </c>
      <c r="EY415" s="1" t="s">
        <v>209</v>
      </c>
      <c r="FB415" s="1" t="s">
        <v>5800</v>
      </c>
      <c r="FC415" s="1" t="s">
        <v>206</v>
      </c>
      <c r="FD415" s="1" t="s">
        <v>210</v>
      </c>
      <c r="FF415" s="1" t="s">
        <v>239</v>
      </c>
      <c r="FG415" s="1" t="s">
        <v>192</v>
      </c>
      <c r="FH415" s="1" t="s">
        <v>192</v>
      </c>
      <c r="FJ415" s="1" t="s">
        <v>2552</v>
      </c>
      <c r="FK415" s="1" t="s">
        <v>229</v>
      </c>
      <c r="FL415" s="1" t="s">
        <v>1007</v>
      </c>
      <c r="FM415" s="1">
        <v>93043.0</v>
      </c>
      <c r="FN415" s="1" t="s">
        <v>1008</v>
      </c>
      <c r="FO415" s="1" t="s">
        <v>5801</v>
      </c>
      <c r="FP415" s="1">
        <v>931568.0</v>
      </c>
      <c r="FQ415" s="1" t="s">
        <v>5802</v>
      </c>
      <c r="FU415" s="1" t="s">
        <v>5803</v>
      </c>
      <c r="FV415" s="1" t="s">
        <v>200</v>
      </c>
      <c r="FW415" s="1" t="s">
        <v>5804</v>
      </c>
      <c r="FZ415" s="1" t="s">
        <v>229</v>
      </c>
      <c r="GA415" s="1" t="s">
        <v>291</v>
      </c>
      <c r="GB415" s="2">
        <v>42040.0</v>
      </c>
      <c r="GC415" s="1" t="s">
        <v>5805</v>
      </c>
    </row>
    <row r="416">
      <c r="A416" s="1">
        <v>510000.0</v>
      </c>
      <c r="B416" s="1" t="s">
        <v>185</v>
      </c>
      <c r="C416" s="1" t="str">
        <f>"08795142"</f>
        <v>08795142</v>
      </c>
      <c r="D416" s="1" t="s">
        <v>186</v>
      </c>
      <c r="F416" s="1" t="str">
        <f>"10"</f>
        <v>10</v>
      </c>
      <c r="G416" s="2">
        <v>41975.0</v>
      </c>
      <c r="H416" s="1">
        <v>512500.0</v>
      </c>
      <c r="I416" s="1">
        <v>136.0</v>
      </c>
      <c r="J416" s="1">
        <v>512500.0</v>
      </c>
      <c r="K416" s="2">
        <v>42052.0</v>
      </c>
      <c r="L416" s="1">
        <v>78.0</v>
      </c>
      <c r="M416" s="2">
        <v>42052.0</v>
      </c>
      <c r="N416" s="1" t="s">
        <v>187</v>
      </c>
      <c r="O416" s="2">
        <v>42108.0</v>
      </c>
      <c r="P416" s="1">
        <v>62639.0</v>
      </c>
      <c r="Q416" s="1">
        <v>6018.0</v>
      </c>
      <c r="S416" s="1">
        <v>620.0</v>
      </c>
      <c r="T416" s="1" t="s">
        <v>5806</v>
      </c>
      <c r="U416" s="1" t="s">
        <v>1174</v>
      </c>
      <c r="V416" s="1" t="s">
        <v>1706</v>
      </c>
      <c r="W416" s="1">
        <v>60010.0</v>
      </c>
      <c r="Y416" s="1" t="s">
        <v>5807</v>
      </c>
      <c r="Z416" s="1">
        <v>1970.0</v>
      </c>
      <c r="AA416" s="1" t="s">
        <v>192</v>
      </c>
      <c r="AB416" s="1" t="s">
        <v>467</v>
      </c>
      <c r="AC416" s="1" t="s">
        <v>5808</v>
      </c>
      <c r="AD416" s="1" t="s">
        <v>1948</v>
      </c>
      <c r="AE416" s="1" t="s">
        <v>917</v>
      </c>
      <c r="AF416" s="1" t="s">
        <v>918</v>
      </c>
      <c r="AH416" s="1" t="s">
        <v>5809</v>
      </c>
      <c r="AI416" s="1">
        <v>0.4</v>
      </c>
      <c r="AK416" s="1">
        <v>8.0</v>
      </c>
      <c r="AL416" s="1">
        <v>4.0</v>
      </c>
      <c r="AM416" s="1">
        <v>2.0</v>
      </c>
      <c r="AN416" s="1">
        <v>1.0</v>
      </c>
      <c r="AO416" s="1" t="s">
        <v>198</v>
      </c>
      <c r="AP416" s="1">
        <v>1.0</v>
      </c>
      <c r="AQ416" s="1" t="s">
        <v>1314</v>
      </c>
      <c r="AR416" s="1" t="s">
        <v>200</v>
      </c>
      <c r="AS416" s="1" t="s">
        <v>199</v>
      </c>
      <c r="AT416" s="1">
        <v>2.0</v>
      </c>
      <c r="AV416" s="1" t="s">
        <v>200</v>
      </c>
      <c r="AW416" s="1">
        <v>11808.0</v>
      </c>
      <c r="AX416" s="1">
        <v>2013.0</v>
      </c>
      <c r="AY416" s="1" t="s">
        <v>229</v>
      </c>
      <c r="AZ416" s="1" t="s">
        <v>200</v>
      </c>
      <c r="BA416" s="1" t="str">
        <f>"14312010100000"</f>
        <v>14312010100000</v>
      </c>
      <c r="BC416" s="1">
        <v>2550.0</v>
      </c>
      <c r="BD416" s="1">
        <v>510000.0</v>
      </c>
      <c r="BE416" s="2">
        <v>41975.0</v>
      </c>
      <c r="BF416" s="2" t="s">
        <v>5810</v>
      </c>
      <c r="BG416" s="1" t="s">
        <v>1712</v>
      </c>
      <c r="BH416" s="1">
        <v>882.0</v>
      </c>
      <c r="BI416" s="1" t="s">
        <v>2012</v>
      </c>
      <c r="BJ416" s="1" t="s">
        <v>1714</v>
      </c>
      <c r="BK416" s="1" t="s">
        <v>580</v>
      </c>
      <c r="BL416" s="1" t="str">
        <f t="shared" ref="BL416:BM416" si="274">""</f>
        <v/>
      </c>
      <c r="BM416" s="1" t="str">
        <f t="shared" si="274"/>
        <v/>
      </c>
      <c r="BQ416" s="1">
        <v>220.0</v>
      </c>
      <c r="BR416" s="1">
        <v>220.0</v>
      </c>
      <c r="BS416" s="1">
        <v>220.0</v>
      </c>
      <c r="BU416" s="1" t="s">
        <v>616</v>
      </c>
      <c r="BV416" s="1" t="s">
        <v>206</v>
      </c>
      <c r="BW416" s="1" t="s">
        <v>210</v>
      </c>
      <c r="BY416" s="1" t="s">
        <v>211</v>
      </c>
      <c r="BZ416" s="1" t="s">
        <v>209</v>
      </c>
      <c r="CA416" s="1" t="s">
        <v>207</v>
      </c>
      <c r="CC416" s="1" t="s">
        <v>478</v>
      </c>
      <c r="CD416" s="1" t="s">
        <v>206</v>
      </c>
      <c r="CE416" s="1" t="s">
        <v>207</v>
      </c>
      <c r="CG416" s="1" t="s">
        <v>363</v>
      </c>
      <c r="CH416" s="1" t="s">
        <v>209</v>
      </c>
      <c r="CI416" s="1" t="s">
        <v>207</v>
      </c>
      <c r="CK416" s="1" t="s">
        <v>363</v>
      </c>
      <c r="CL416" s="1" t="s">
        <v>209</v>
      </c>
      <c r="CM416" s="1" t="s">
        <v>207</v>
      </c>
      <c r="CO416" s="1" t="s">
        <v>264</v>
      </c>
      <c r="CP416" s="1" t="s">
        <v>209</v>
      </c>
      <c r="CQ416" s="1" t="s">
        <v>210</v>
      </c>
      <c r="CS416" s="1" t="s">
        <v>205</v>
      </c>
      <c r="CT416" s="1" t="s">
        <v>206</v>
      </c>
      <c r="CU416" s="1" t="s">
        <v>207</v>
      </c>
      <c r="CW416" s="1" t="s">
        <v>1117</v>
      </c>
      <c r="CX416" s="1" t="s">
        <v>206</v>
      </c>
      <c r="CY416" s="1" t="s">
        <v>207</v>
      </c>
      <c r="DA416" s="1" t="s">
        <v>200</v>
      </c>
      <c r="DC416" s="1" t="s">
        <v>517</v>
      </c>
      <c r="DD416" s="1" t="s">
        <v>306</v>
      </c>
      <c r="DE416" s="1" t="s">
        <v>273</v>
      </c>
      <c r="DF416" s="1" t="s">
        <v>219</v>
      </c>
      <c r="DG416" s="1" t="s">
        <v>2593</v>
      </c>
      <c r="DH416" s="1" t="s">
        <v>220</v>
      </c>
      <c r="DI416" s="1" t="s">
        <v>789</v>
      </c>
      <c r="DJ416" s="1" t="s">
        <v>222</v>
      </c>
      <c r="DL416" s="1" t="s">
        <v>1267</v>
      </c>
      <c r="DM416" s="1" t="s">
        <v>338</v>
      </c>
      <c r="DN416" s="1" t="s">
        <v>1659</v>
      </c>
      <c r="DO416" s="1" t="s">
        <v>1606</v>
      </c>
      <c r="DP416" s="1" t="s">
        <v>340</v>
      </c>
      <c r="DQ416" s="1" t="s">
        <v>441</v>
      </c>
      <c r="DR416" s="1" t="s">
        <v>2593</v>
      </c>
      <c r="DS416" s="1" t="s">
        <v>230</v>
      </c>
      <c r="DV416" s="1" t="s">
        <v>409</v>
      </c>
      <c r="DW416" s="1" t="s">
        <v>595</v>
      </c>
      <c r="DX416" s="1" t="s">
        <v>234</v>
      </c>
      <c r="DY416" s="1" t="s">
        <v>5811</v>
      </c>
      <c r="DZ416" s="1" t="s">
        <v>5812</v>
      </c>
      <c r="EA416" s="1" t="s">
        <v>1027</v>
      </c>
      <c r="EC416" s="1" t="s">
        <v>237</v>
      </c>
      <c r="ED416" s="1" t="s">
        <v>555</v>
      </c>
      <c r="EE416" s="1" t="s">
        <v>187</v>
      </c>
      <c r="EG416" s="1" t="s">
        <v>409</v>
      </c>
      <c r="EL416" s="1" t="s">
        <v>5813</v>
      </c>
      <c r="EM416" s="1" t="s">
        <v>209</v>
      </c>
      <c r="EN416" s="1" t="s">
        <v>207</v>
      </c>
      <c r="EQ416" s="1" t="s">
        <v>238</v>
      </c>
      <c r="EU416" s="1" t="s">
        <v>238</v>
      </c>
      <c r="EY416" s="1" t="s">
        <v>238</v>
      </c>
      <c r="FC416" s="1" t="s">
        <v>238</v>
      </c>
      <c r="FF416" s="1" t="s">
        <v>2447</v>
      </c>
      <c r="FG416" s="1" t="s">
        <v>200</v>
      </c>
      <c r="FH416" s="1" t="s">
        <v>192</v>
      </c>
      <c r="FJ416" s="1" t="s">
        <v>5814</v>
      </c>
      <c r="FK416" s="1" t="s">
        <v>229</v>
      </c>
      <c r="FL416" s="1" t="s">
        <v>5815</v>
      </c>
      <c r="FM416" s="1">
        <v>6415.0</v>
      </c>
      <c r="FN416" s="1" t="s">
        <v>5816</v>
      </c>
      <c r="FO416" s="1" t="s">
        <v>5817</v>
      </c>
      <c r="FP416" s="1">
        <v>62381.0</v>
      </c>
      <c r="FQ416" s="1" t="s">
        <v>5816</v>
      </c>
      <c r="FU416" s="1" t="s">
        <v>5818</v>
      </c>
      <c r="FV416" s="1" t="s">
        <v>192</v>
      </c>
      <c r="FW416" s="1" t="s">
        <v>290</v>
      </c>
      <c r="FZ416" s="1" t="s">
        <v>229</v>
      </c>
      <c r="GA416" s="1" t="s">
        <v>291</v>
      </c>
      <c r="GB416" s="2">
        <v>42113.0</v>
      </c>
      <c r="GC416" s="1" t="s">
        <v>5819</v>
      </c>
    </row>
    <row r="417">
      <c r="A417" s="1">
        <v>255000.0</v>
      </c>
      <c r="B417" s="1" t="s">
        <v>185</v>
      </c>
      <c r="C417" s="1" t="str">
        <f>"08794491"</f>
        <v>08794491</v>
      </c>
      <c r="D417" s="1" t="s">
        <v>186</v>
      </c>
      <c r="F417" s="1" t="str">
        <f>"8074"</f>
        <v>8074</v>
      </c>
      <c r="G417" s="2">
        <v>41974.0</v>
      </c>
      <c r="H417" s="1">
        <v>260000.0</v>
      </c>
      <c r="I417" s="1">
        <v>5.0</v>
      </c>
      <c r="J417" s="1">
        <v>260000.0</v>
      </c>
      <c r="K417" s="2">
        <v>41978.0</v>
      </c>
      <c r="L417" s="1">
        <v>5.0</v>
      </c>
      <c r="M417" s="2">
        <v>41978.0</v>
      </c>
      <c r="N417" s="1" t="s">
        <v>187</v>
      </c>
      <c r="O417" s="2">
        <v>42019.0</v>
      </c>
      <c r="P417" s="1">
        <v>121433.0</v>
      </c>
      <c r="Q417" s="1">
        <v>16700.0</v>
      </c>
      <c r="S417" s="1">
        <v>10909.0</v>
      </c>
      <c r="T417" s="1" t="s">
        <v>5820</v>
      </c>
      <c r="U417" s="1" t="s">
        <v>189</v>
      </c>
      <c r="V417" s="1" t="s">
        <v>190</v>
      </c>
      <c r="W417" s="1">
        <v>60655.0</v>
      </c>
      <c r="Y417" s="1" t="s">
        <v>5821</v>
      </c>
      <c r="Z417" s="1">
        <v>1949.0</v>
      </c>
      <c r="AA417" s="1" t="s">
        <v>192</v>
      </c>
      <c r="AB417" s="1" t="s">
        <v>193</v>
      </c>
      <c r="AD417" s="1" t="s">
        <v>194</v>
      </c>
      <c r="AE417" s="1" t="s">
        <v>195</v>
      </c>
      <c r="AF417" s="1" t="s">
        <v>659</v>
      </c>
      <c r="AG417" s="1" t="s">
        <v>1392</v>
      </c>
      <c r="AH417" s="1" t="s">
        <v>5822</v>
      </c>
      <c r="AK417" s="1">
        <v>7.0</v>
      </c>
      <c r="AL417" s="1">
        <v>4.0</v>
      </c>
      <c r="AM417" s="1">
        <v>2.0</v>
      </c>
      <c r="AN417" s="1">
        <v>1.0</v>
      </c>
      <c r="AO417" s="1" t="s">
        <v>198</v>
      </c>
      <c r="AQ417" s="1" t="s">
        <v>198</v>
      </c>
      <c r="AR417" s="1" t="s">
        <v>192</v>
      </c>
      <c r="AS417" s="1" t="s">
        <v>199</v>
      </c>
      <c r="AT417" s="1">
        <v>2.0</v>
      </c>
      <c r="AV417" s="1" t="s">
        <v>200</v>
      </c>
      <c r="AW417" s="1">
        <v>4047.27</v>
      </c>
      <c r="AX417" s="1">
        <v>2012.0</v>
      </c>
      <c r="AY417" s="1" t="s">
        <v>387</v>
      </c>
      <c r="AZ417" s="1" t="s">
        <v>200</v>
      </c>
      <c r="BA417" s="1" t="str">
        <f>"24143120230000"</f>
        <v>24143120230000</v>
      </c>
      <c r="BC417" s="1">
        <v>1422.0</v>
      </c>
      <c r="BD417" s="1">
        <v>255000.0</v>
      </c>
      <c r="BE417" s="2">
        <v>41974.0</v>
      </c>
      <c r="BF417" s="2" t="s">
        <v>5823</v>
      </c>
      <c r="BG417" s="1" t="s">
        <v>5824</v>
      </c>
      <c r="BH417" s="1">
        <v>0.0</v>
      </c>
      <c r="BJ417" s="1" t="s">
        <v>5825</v>
      </c>
      <c r="BK417" s="1" t="s">
        <v>204</v>
      </c>
      <c r="BL417" s="1" t="str">
        <f t="shared" ref="BL417:BM417" si="275">"0"</f>
        <v>0</v>
      </c>
      <c r="BM417" s="1" t="str">
        <f t="shared" si="275"/>
        <v>0</v>
      </c>
      <c r="BN417" s="1">
        <v>3632.0</v>
      </c>
      <c r="BO417" s="1">
        <v>10909.0</v>
      </c>
      <c r="BQ417" s="1">
        <v>299.0</v>
      </c>
      <c r="BR417" s="1">
        <v>299.0</v>
      </c>
      <c r="BS417" s="1">
        <v>299.0</v>
      </c>
      <c r="BU417" s="1" t="s">
        <v>1395</v>
      </c>
      <c r="BV417" s="1" t="s">
        <v>206</v>
      </c>
      <c r="BW417" s="1" t="s">
        <v>207</v>
      </c>
      <c r="BY417" s="1" t="s">
        <v>663</v>
      </c>
      <c r="BZ417" s="1" t="s">
        <v>206</v>
      </c>
      <c r="CA417" s="1" t="s">
        <v>207</v>
      </c>
      <c r="CB417" s="1" t="s">
        <v>229</v>
      </c>
      <c r="CD417" s="1" t="s">
        <v>204</v>
      </c>
      <c r="CE417" s="1" t="s">
        <v>207</v>
      </c>
      <c r="CG417" s="1" t="s">
        <v>269</v>
      </c>
      <c r="CH417" s="1" t="s">
        <v>206</v>
      </c>
      <c r="CI417" s="1" t="s">
        <v>207</v>
      </c>
      <c r="CK417" s="1" t="s">
        <v>815</v>
      </c>
      <c r="CL417" s="1" t="s">
        <v>209</v>
      </c>
      <c r="CM417" s="1" t="s">
        <v>210</v>
      </c>
      <c r="CO417" s="1" t="s">
        <v>1351</v>
      </c>
      <c r="CP417" s="1" t="s">
        <v>209</v>
      </c>
      <c r="CQ417" s="1" t="s">
        <v>210</v>
      </c>
      <c r="CS417" s="1" t="s">
        <v>1183</v>
      </c>
      <c r="CT417" s="1" t="s">
        <v>206</v>
      </c>
      <c r="CU417" s="1" t="s">
        <v>207</v>
      </c>
      <c r="CW417" s="1" t="s">
        <v>5826</v>
      </c>
      <c r="CX417" s="1" t="s">
        <v>42</v>
      </c>
      <c r="CY417" s="1" t="s">
        <v>268</v>
      </c>
      <c r="CZ417" s="1" t="s">
        <v>229</v>
      </c>
      <c r="DA417" s="1" t="s">
        <v>200</v>
      </c>
      <c r="DC417" s="1" t="s">
        <v>702</v>
      </c>
      <c r="DD417" s="1" t="s">
        <v>518</v>
      </c>
      <c r="DE417" s="1" t="s">
        <v>273</v>
      </c>
      <c r="DF417" s="1" t="s">
        <v>219</v>
      </c>
      <c r="DG417" s="1" t="s">
        <v>2311</v>
      </c>
      <c r="DH417" s="1" t="s">
        <v>365</v>
      </c>
      <c r="DI417" s="1" t="s">
        <v>703</v>
      </c>
      <c r="DJ417" s="1" t="s">
        <v>222</v>
      </c>
      <c r="DK417" s="1" t="s">
        <v>223</v>
      </c>
      <c r="DL417" s="1" t="s">
        <v>224</v>
      </c>
      <c r="DM417" s="1" t="s">
        <v>229</v>
      </c>
      <c r="DO417" s="1" t="s">
        <v>549</v>
      </c>
      <c r="DQ417" s="1" t="s">
        <v>228</v>
      </c>
      <c r="DR417" s="1" t="s">
        <v>229</v>
      </c>
      <c r="DS417" s="1" t="s">
        <v>230</v>
      </c>
      <c r="DU417" s="1" t="s">
        <v>5827</v>
      </c>
      <c r="DV417" s="1" t="s">
        <v>232</v>
      </c>
      <c r="DW417" s="1" t="s">
        <v>279</v>
      </c>
      <c r="DX417" s="1" t="s">
        <v>309</v>
      </c>
      <c r="DY417" s="1" t="s">
        <v>4102</v>
      </c>
      <c r="DZ417" s="1" t="s">
        <v>5828</v>
      </c>
      <c r="EA417" s="1" t="s">
        <v>1075</v>
      </c>
      <c r="EC417" s="1" t="s">
        <v>645</v>
      </c>
      <c r="ED417" s="1" t="s">
        <v>555</v>
      </c>
      <c r="EM417" s="1" t="s">
        <v>238</v>
      </c>
      <c r="EQ417" s="1" t="s">
        <v>238</v>
      </c>
      <c r="EU417" s="1" t="s">
        <v>238</v>
      </c>
      <c r="EY417" s="1" t="s">
        <v>238</v>
      </c>
      <c r="FC417" s="1" t="s">
        <v>238</v>
      </c>
      <c r="FF417" s="1" t="s">
        <v>239</v>
      </c>
      <c r="FG417" s="1" t="s">
        <v>192</v>
      </c>
      <c r="FH417" s="1" t="s">
        <v>192</v>
      </c>
      <c r="FJ417" s="1" t="s">
        <v>5718</v>
      </c>
      <c r="FK417" s="1" t="s">
        <v>229</v>
      </c>
      <c r="FL417" s="1" t="s">
        <v>5829</v>
      </c>
      <c r="FM417" s="1">
        <v>24247.0</v>
      </c>
      <c r="FN417" s="1" t="s">
        <v>5830</v>
      </c>
      <c r="FO417" s="1" t="s">
        <v>5831</v>
      </c>
      <c r="FP417" s="1">
        <v>223100.0</v>
      </c>
      <c r="FQ417" s="1" t="s">
        <v>5832</v>
      </c>
      <c r="FU417" s="1" t="s">
        <v>5833</v>
      </c>
      <c r="FV417" s="1" t="s">
        <v>200</v>
      </c>
      <c r="FW417" s="1" t="s">
        <v>1293</v>
      </c>
      <c r="FX417" s="1" t="s">
        <v>655</v>
      </c>
      <c r="FZ417" s="1" t="s">
        <v>229</v>
      </c>
      <c r="GA417" s="1" t="s">
        <v>291</v>
      </c>
      <c r="GB417" s="2">
        <v>42020.0</v>
      </c>
      <c r="GC417" s="1" t="s">
        <v>5834</v>
      </c>
    </row>
    <row r="418">
      <c r="A418" s="1">
        <v>226000.0</v>
      </c>
      <c r="B418" s="1" t="s">
        <v>185</v>
      </c>
      <c r="C418" s="1" t="str">
        <f>"08793275"</f>
        <v>08793275</v>
      </c>
      <c r="D418" s="1" t="s">
        <v>186</v>
      </c>
      <c r="F418" s="1" t="str">
        <f>"178"</f>
        <v>178</v>
      </c>
      <c r="G418" s="2">
        <v>41969.0</v>
      </c>
      <c r="H418" s="1">
        <v>234900.0</v>
      </c>
      <c r="I418" s="1">
        <v>65.0</v>
      </c>
      <c r="J418" s="1">
        <v>234900.0</v>
      </c>
      <c r="K418" s="2">
        <v>42031.0</v>
      </c>
      <c r="L418" s="1">
        <v>65.0</v>
      </c>
      <c r="M418" s="2">
        <v>42031.0</v>
      </c>
      <c r="N418" s="1" t="s">
        <v>356</v>
      </c>
      <c r="O418" s="2">
        <v>42075.0</v>
      </c>
      <c r="P418" s="1">
        <v>1349.0</v>
      </c>
      <c r="Q418" s="1">
        <v>370.0</v>
      </c>
      <c r="S418" s="1">
        <v>1337.0</v>
      </c>
      <c r="T418" s="1" t="s">
        <v>5835</v>
      </c>
      <c r="U418" s="1" t="s">
        <v>320</v>
      </c>
      <c r="V418" s="1" t="s">
        <v>994</v>
      </c>
      <c r="W418" s="1">
        <v>60178.0</v>
      </c>
      <c r="Y418" s="1" t="s">
        <v>5836</v>
      </c>
      <c r="Z418" s="1">
        <v>1993.0</v>
      </c>
      <c r="AA418" s="1" t="s">
        <v>200</v>
      </c>
      <c r="AB418" s="1" t="s">
        <v>193</v>
      </c>
      <c r="AD418" s="1" t="s">
        <v>997</v>
      </c>
      <c r="AE418" s="1" t="s">
        <v>613</v>
      </c>
      <c r="AF418" s="1" t="s">
        <v>997</v>
      </c>
      <c r="AH418" s="1" t="s">
        <v>5837</v>
      </c>
      <c r="AI418" s="1">
        <v>0.228</v>
      </c>
      <c r="AK418" s="1">
        <v>12.0</v>
      </c>
      <c r="AL418" s="1">
        <v>4.0</v>
      </c>
      <c r="AM418" s="1">
        <v>3.0</v>
      </c>
      <c r="AN418" s="1">
        <v>1.0</v>
      </c>
      <c r="AO418" s="1" t="s">
        <v>198</v>
      </c>
      <c r="AP418" s="1">
        <v>2.0</v>
      </c>
      <c r="AQ418" s="1" t="s">
        <v>1314</v>
      </c>
      <c r="AR418" s="1" t="s">
        <v>192</v>
      </c>
      <c r="AS418" s="1" t="s">
        <v>510</v>
      </c>
      <c r="AT418" s="1">
        <v>2.0</v>
      </c>
      <c r="AU418" s="1">
        <v>3.0</v>
      </c>
      <c r="AV418" s="1" t="s">
        <v>200</v>
      </c>
      <c r="AW418" s="1">
        <v>5845.0</v>
      </c>
      <c r="AX418" s="1">
        <v>2013.0</v>
      </c>
      <c r="AY418" s="1" t="s">
        <v>387</v>
      </c>
      <c r="AZ418" s="1" t="s">
        <v>200</v>
      </c>
      <c r="BA418" s="1" t="str">
        <f>"0629148002"</f>
        <v>0629148002</v>
      </c>
      <c r="BB418" s="1" t="s">
        <v>200</v>
      </c>
      <c r="BC418" s="1">
        <v>2268.0</v>
      </c>
      <c r="BD418" s="1">
        <v>226000.0</v>
      </c>
      <c r="BE418" s="2">
        <v>41967.0</v>
      </c>
      <c r="BF418" s="2" t="s">
        <v>5838</v>
      </c>
      <c r="BH418" s="1">
        <v>0.0</v>
      </c>
      <c r="BI418" s="1" t="s">
        <v>4135</v>
      </c>
      <c r="BJ418" s="1" t="s">
        <v>4136</v>
      </c>
      <c r="BK418" s="1" t="s">
        <v>204</v>
      </c>
      <c r="BL418" s="1" t="str">
        <f t="shared" ref="BL418:BM418" si="276">""</f>
        <v/>
      </c>
      <c r="BM418" s="1" t="str">
        <f t="shared" si="276"/>
        <v/>
      </c>
      <c r="BQ418" s="1">
        <v>427.0</v>
      </c>
      <c r="BR418" s="1">
        <v>427.0</v>
      </c>
      <c r="BS418" s="1">
        <v>427.0</v>
      </c>
      <c r="BU418" s="1" t="s">
        <v>1044</v>
      </c>
      <c r="BV418" s="1" t="s">
        <v>206</v>
      </c>
      <c r="BW418" s="1" t="s">
        <v>210</v>
      </c>
      <c r="BX418" s="1" t="s">
        <v>239</v>
      </c>
      <c r="BY418" s="1" t="s">
        <v>211</v>
      </c>
      <c r="BZ418" s="1" t="s">
        <v>209</v>
      </c>
      <c r="CA418" s="1" t="s">
        <v>210</v>
      </c>
      <c r="CB418" s="1" t="s">
        <v>239</v>
      </c>
      <c r="CC418" s="1" t="s">
        <v>302</v>
      </c>
      <c r="CD418" s="1" t="s">
        <v>206</v>
      </c>
      <c r="CE418" s="1" t="s">
        <v>210</v>
      </c>
      <c r="CF418" s="1" t="s">
        <v>239</v>
      </c>
      <c r="CG418" s="1" t="s">
        <v>212</v>
      </c>
      <c r="CH418" s="1" t="s">
        <v>209</v>
      </c>
      <c r="CI418" s="1" t="s">
        <v>210</v>
      </c>
      <c r="CJ418" s="1" t="s">
        <v>239</v>
      </c>
      <c r="CK418" s="1" t="s">
        <v>264</v>
      </c>
      <c r="CL418" s="1" t="s">
        <v>209</v>
      </c>
      <c r="CM418" s="1" t="s">
        <v>210</v>
      </c>
      <c r="CN418" s="1" t="s">
        <v>239</v>
      </c>
      <c r="CO418" s="1" t="s">
        <v>495</v>
      </c>
      <c r="CP418" s="1" t="s">
        <v>209</v>
      </c>
      <c r="CQ418" s="1" t="s">
        <v>210</v>
      </c>
      <c r="CR418" s="1" t="s">
        <v>239</v>
      </c>
      <c r="CS418" s="1" t="s">
        <v>543</v>
      </c>
      <c r="CT418" s="1" t="s">
        <v>206</v>
      </c>
      <c r="CU418" s="1" t="s">
        <v>301</v>
      </c>
      <c r="CV418" s="1" t="s">
        <v>239</v>
      </c>
      <c r="CW418" s="1" t="s">
        <v>214</v>
      </c>
      <c r="CX418" s="1" t="s">
        <v>206</v>
      </c>
      <c r="CY418" s="1" t="s">
        <v>210</v>
      </c>
      <c r="CZ418" s="1" t="s">
        <v>239</v>
      </c>
      <c r="DA418" s="1" t="s">
        <v>200</v>
      </c>
      <c r="DC418" s="1" t="s">
        <v>435</v>
      </c>
      <c r="DD418" s="1" t="s">
        <v>396</v>
      </c>
      <c r="DE418" s="1" t="s">
        <v>273</v>
      </c>
      <c r="DF418" s="1" t="s">
        <v>219</v>
      </c>
      <c r="DG418" s="1" t="s">
        <v>482</v>
      </c>
      <c r="DH418" s="1" t="s">
        <v>220</v>
      </c>
      <c r="DI418" s="1" t="s">
        <v>4695</v>
      </c>
      <c r="DJ418" s="1" t="s">
        <v>222</v>
      </c>
      <c r="DK418" s="1" t="s">
        <v>223</v>
      </c>
      <c r="DL418" s="1" t="s">
        <v>1267</v>
      </c>
      <c r="DM418" s="1" t="s">
        <v>338</v>
      </c>
      <c r="DN418" s="1" t="s">
        <v>339</v>
      </c>
      <c r="DO418" s="1" t="s">
        <v>717</v>
      </c>
      <c r="DP418" s="1" t="s">
        <v>340</v>
      </c>
      <c r="DQ418" s="1" t="s">
        <v>228</v>
      </c>
      <c r="DR418" s="1" t="s">
        <v>229</v>
      </c>
      <c r="DS418" s="1" t="s">
        <v>230</v>
      </c>
      <c r="DU418" s="1" t="s">
        <v>5839</v>
      </c>
      <c r="DV418" s="1" t="s">
        <v>5840</v>
      </c>
      <c r="DW418" s="1" t="s">
        <v>934</v>
      </c>
      <c r="DX418" s="1" t="s">
        <v>234</v>
      </c>
      <c r="DY418" s="1" t="s">
        <v>5841</v>
      </c>
      <c r="DZ418" s="1" t="s">
        <v>5842</v>
      </c>
      <c r="EA418" s="1" t="s">
        <v>344</v>
      </c>
      <c r="EB418" s="1" t="s">
        <v>4251</v>
      </c>
      <c r="EC418" s="1" t="s">
        <v>237</v>
      </c>
      <c r="ED418" s="1" t="s">
        <v>407</v>
      </c>
      <c r="EF418" s="1" t="s">
        <v>5843</v>
      </c>
      <c r="EG418" s="1" t="s">
        <v>449</v>
      </c>
      <c r="EH418" s="1" t="s">
        <v>1164</v>
      </c>
      <c r="EI418" s="1" t="s">
        <v>1491</v>
      </c>
      <c r="EJ418" s="1" t="s">
        <v>1729</v>
      </c>
      <c r="EL418" s="1" t="s">
        <v>495</v>
      </c>
      <c r="EM418" s="1" t="s">
        <v>206</v>
      </c>
      <c r="EN418" s="1" t="s">
        <v>301</v>
      </c>
      <c r="EO418" s="1" t="s">
        <v>239</v>
      </c>
      <c r="EP418" s="1" t="s">
        <v>2414</v>
      </c>
      <c r="EQ418" s="1" t="s">
        <v>42</v>
      </c>
      <c r="ER418" s="1" t="s">
        <v>210</v>
      </c>
      <c r="ES418" s="1" t="s">
        <v>239</v>
      </c>
      <c r="ET418" s="1" t="s">
        <v>543</v>
      </c>
      <c r="EU418" s="1" t="s">
        <v>42</v>
      </c>
      <c r="EV418" s="1" t="s">
        <v>210</v>
      </c>
      <c r="EW418" s="1" t="s">
        <v>239</v>
      </c>
      <c r="EX418" s="1" t="s">
        <v>584</v>
      </c>
      <c r="EY418" s="1" t="s">
        <v>206</v>
      </c>
      <c r="EZ418" s="1" t="s">
        <v>268</v>
      </c>
      <c r="FA418" s="1" t="s">
        <v>239</v>
      </c>
      <c r="FC418" s="1" t="s">
        <v>238</v>
      </c>
      <c r="FF418" s="1" t="s">
        <v>239</v>
      </c>
      <c r="FG418" s="1" t="s">
        <v>192</v>
      </c>
      <c r="FH418" s="1" t="s">
        <v>192</v>
      </c>
      <c r="FJ418" s="1" t="s">
        <v>2133</v>
      </c>
      <c r="FK418" s="1" t="s">
        <v>229</v>
      </c>
      <c r="FL418" s="1" t="s">
        <v>5844</v>
      </c>
      <c r="FM418" s="1">
        <v>93084.0</v>
      </c>
      <c r="FN418" s="1" t="s">
        <v>5845</v>
      </c>
      <c r="FO418" s="1" t="s">
        <v>5846</v>
      </c>
      <c r="FP418" s="1">
        <v>930224.0</v>
      </c>
      <c r="FQ418" s="1" t="s">
        <v>5847</v>
      </c>
      <c r="FU418" s="1" t="s">
        <v>5848</v>
      </c>
      <c r="FV418" s="1" t="s">
        <v>200</v>
      </c>
      <c r="FW418" s="1" t="s">
        <v>5849</v>
      </c>
      <c r="FZ418" s="1" t="s">
        <v>229</v>
      </c>
      <c r="GA418" s="1" t="s">
        <v>291</v>
      </c>
      <c r="GB418" s="2">
        <v>42075.0</v>
      </c>
      <c r="GC418" s="1" t="s">
        <v>5850</v>
      </c>
    </row>
    <row r="419">
      <c r="A419" s="1">
        <v>249000.0</v>
      </c>
      <c r="B419" s="1" t="s">
        <v>185</v>
      </c>
      <c r="C419" s="1" t="str">
        <f>"08795159"</f>
        <v>08795159</v>
      </c>
      <c r="D419" s="1" t="s">
        <v>186</v>
      </c>
      <c r="F419" s="1" t="str">
        <f>"8061"</f>
        <v>8061</v>
      </c>
      <c r="G419" s="2">
        <v>41975.0</v>
      </c>
      <c r="H419" s="1">
        <v>249000.0</v>
      </c>
      <c r="I419" s="1">
        <v>59.0</v>
      </c>
      <c r="J419" s="1">
        <v>249000.0</v>
      </c>
      <c r="K419" s="2">
        <v>41989.0</v>
      </c>
      <c r="L419" s="1">
        <v>15.0</v>
      </c>
      <c r="M419" s="2">
        <v>41989.0</v>
      </c>
      <c r="N419" s="1" t="s">
        <v>187</v>
      </c>
      <c r="O419" s="2">
        <v>42038.0</v>
      </c>
      <c r="P419" s="1">
        <v>130234.0</v>
      </c>
      <c r="Q419" s="1">
        <v>14165.0</v>
      </c>
      <c r="S419" s="1">
        <v>724.0</v>
      </c>
      <c r="T419" s="1" t="s">
        <v>5851</v>
      </c>
      <c r="U419" s="1" t="s">
        <v>320</v>
      </c>
      <c r="V419" s="1" t="s">
        <v>190</v>
      </c>
      <c r="W419" s="1">
        <v>60609.0</v>
      </c>
      <c r="Y419" s="1" t="s">
        <v>5852</v>
      </c>
      <c r="Z419" s="1">
        <v>2004.0</v>
      </c>
      <c r="AA419" s="1" t="s">
        <v>200</v>
      </c>
      <c r="AB419" s="1" t="s">
        <v>193</v>
      </c>
      <c r="AD419" s="1" t="s">
        <v>194</v>
      </c>
      <c r="AE419" s="1" t="s">
        <v>195</v>
      </c>
      <c r="AF419" s="1" t="s">
        <v>659</v>
      </c>
      <c r="AH419" s="1" t="s">
        <v>5853</v>
      </c>
      <c r="AI419" s="1">
        <v>0.0689</v>
      </c>
      <c r="AK419" s="1">
        <v>9.0</v>
      </c>
      <c r="AL419" s="1">
        <v>2.0</v>
      </c>
      <c r="AM419" s="1">
        <v>3.0</v>
      </c>
      <c r="AN419" s="1">
        <v>0.0</v>
      </c>
      <c r="AO419" s="1" t="s">
        <v>198</v>
      </c>
      <c r="AQ419" s="1" t="s">
        <v>198</v>
      </c>
      <c r="AR419" s="1" t="s">
        <v>192</v>
      </c>
      <c r="AS419" s="1" t="s">
        <v>199</v>
      </c>
      <c r="AT419" s="1">
        <v>2.0</v>
      </c>
      <c r="AV419" s="1" t="s">
        <v>200</v>
      </c>
      <c r="AW419" s="1">
        <v>2205.71</v>
      </c>
      <c r="AX419" s="1">
        <v>2013.0</v>
      </c>
      <c r="AY419" s="1" t="s">
        <v>387</v>
      </c>
      <c r="AZ419" s="1" t="s">
        <v>200</v>
      </c>
      <c r="BA419" s="1" t="str">
        <f>"20091070390000"</f>
        <v>20091070390000</v>
      </c>
      <c r="BC419" s="1">
        <v>1254.0</v>
      </c>
      <c r="BD419" s="1">
        <v>249000.0</v>
      </c>
      <c r="BE419" s="2">
        <v>41975.0</v>
      </c>
      <c r="BF419" s="2" t="s">
        <v>5854</v>
      </c>
      <c r="BH419" s="1">
        <v>0.0</v>
      </c>
      <c r="BK419" s="1" t="s">
        <v>204</v>
      </c>
      <c r="BL419" s="1" t="str">
        <f t="shared" ref="BL419:BM419" si="277">"0"</f>
        <v>0</v>
      </c>
      <c r="BM419" s="1" t="str">
        <f t="shared" si="277"/>
        <v>0</v>
      </c>
      <c r="BN419" s="1">
        <v>724.0</v>
      </c>
      <c r="BO419" s="1">
        <v>4900.0</v>
      </c>
      <c r="BQ419" s="1">
        <v>299.0</v>
      </c>
      <c r="BR419" s="1">
        <v>299.0</v>
      </c>
      <c r="BS419" s="1">
        <v>299.0</v>
      </c>
      <c r="BU419" s="1" t="s">
        <v>743</v>
      </c>
      <c r="BV419" s="1" t="s">
        <v>206</v>
      </c>
      <c r="BW419" s="1" t="s">
        <v>207</v>
      </c>
      <c r="BY419" s="1" t="s">
        <v>265</v>
      </c>
      <c r="BZ419" s="1" t="s">
        <v>206</v>
      </c>
      <c r="CA419" s="1" t="s">
        <v>207</v>
      </c>
      <c r="CC419" s="1" t="s">
        <v>1158</v>
      </c>
      <c r="CD419" s="1" t="s">
        <v>206</v>
      </c>
      <c r="CG419" s="1" t="s">
        <v>516</v>
      </c>
      <c r="CH419" s="1" t="s">
        <v>206</v>
      </c>
      <c r="CI419" s="1" t="s">
        <v>207</v>
      </c>
      <c r="CK419" s="1" t="s">
        <v>582</v>
      </c>
      <c r="CL419" s="1" t="s">
        <v>42</v>
      </c>
      <c r="CM419" s="1" t="s">
        <v>210</v>
      </c>
      <c r="CO419" s="1" t="s">
        <v>269</v>
      </c>
      <c r="CP419" s="1" t="s">
        <v>42</v>
      </c>
      <c r="CQ419" s="1" t="s">
        <v>210</v>
      </c>
      <c r="CS419" s="1" t="s">
        <v>721</v>
      </c>
      <c r="CT419" s="1" t="s">
        <v>206</v>
      </c>
      <c r="CU419" s="1" t="s">
        <v>207</v>
      </c>
      <c r="CW419" s="1" t="s">
        <v>743</v>
      </c>
      <c r="CX419" s="1" t="s">
        <v>42</v>
      </c>
      <c r="DA419" s="1" t="s">
        <v>200</v>
      </c>
      <c r="DC419" s="1" t="s">
        <v>481</v>
      </c>
      <c r="DE419" s="1" t="s">
        <v>273</v>
      </c>
      <c r="DF419" s="1" t="s">
        <v>619</v>
      </c>
      <c r="DH419" s="1" t="s">
        <v>365</v>
      </c>
      <c r="DI419" s="1" t="s">
        <v>221</v>
      </c>
      <c r="DJ419" s="1" t="s">
        <v>222</v>
      </c>
      <c r="DL419" s="1" t="s">
        <v>224</v>
      </c>
      <c r="DM419" s="1" t="s">
        <v>229</v>
      </c>
      <c r="DP419" s="1" t="s">
        <v>340</v>
      </c>
      <c r="DQ419" s="1" t="s">
        <v>228</v>
      </c>
      <c r="DR419" s="1" t="s">
        <v>229</v>
      </c>
      <c r="DV419" s="1" t="s">
        <v>450</v>
      </c>
      <c r="DW419" s="1" t="s">
        <v>279</v>
      </c>
      <c r="DX419" s="1" t="s">
        <v>234</v>
      </c>
      <c r="DZ419" s="1" t="s">
        <v>310</v>
      </c>
      <c r="EA419" s="1" t="s">
        <v>644</v>
      </c>
      <c r="EC419" s="1" t="s">
        <v>311</v>
      </c>
      <c r="EG419" s="1" t="s">
        <v>450</v>
      </c>
      <c r="EL419" s="1" t="s">
        <v>743</v>
      </c>
      <c r="EM419" s="1" t="s">
        <v>42</v>
      </c>
      <c r="EQ419" s="1" t="s">
        <v>238</v>
      </c>
      <c r="EU419" s="1" t="s">
        <v>238</v>
      </c>
      <c r="EY419" s="1" t="s">
        <v>238</v>
      </c>
      <c r="FC419" s="1" t="s">
        <v>238</v>
      </c>
      <c r="FF419" s="1" t="s">
        <v>239</v>
      </c>
      <c r="FG419" s="1" t="s">
        <v>192</v>
      </c>
      <c r="FH419" s="1" t="s">
        <v>192</v>
      </c>
      <c r="FJ419" s="1" t="s">
        <v>5855</v>
      </c>
      <c r="FK419" s="1" t="s">
        <v>229</v>
      </c>
      <c r="FL419" s="1" t="s">
        <v>1168</v>
      </c>
      <c r="FM419" s="1">
        <v>14165.0</v>
      </c>
      <c r="FN419" s="1" t="s">
        <v>1169</v>
      </c>
      <c r="FO419" s="1" t="s">
        <v>5856</v>
      </c>
      <c r="FP419" s="1">
        <v>178515.0</v>
      </c>
      <c r="FU419" s="1" t="s">
        <v>5857</v>
      </c>
      <c r="FV419" s="1" t="s">
        <v>200</v>
      </c>
      <c r="FW419" s="1" t="s">
        <v>5858</v>
      </c>
      <c r="FX419" s="1" t="s">
        <v>246</v>
      </c>
      <c r="FZ419" s="1" t="s">
        <v>229</v>
      </c>
      <c r="GA419" s="1" t="s">
        <v>291</v>
      </c>
      <c r="GB419" s="2">
        <v>42039.0</v>
      </c>
    </row>
    <row r="420">
      <c r="A420" s="1">
        <v>310000.0</v>
      </c>
      <c r="B420" s="1" t="s">
        <v>185</v>
      </c>
      <c r="C420" s="1" t="str">
        <f>"08792998"</f>
        <v>08792998</v>
      </c>
      <c r="D420" s="1" t="s">
        <v>186</v>
      </c>
      <c r="F420" s="1" t="str">
        <f>"8016"</f>
        <v>8016</v>
      </c>
      <c r="G420" s="2">
        <v>41969.0</v>
      </c>
      <c r="H420" s="1">
        <v>340000.0</v>
      </c>
      <c r="I420" s="1">
        <v>8.0</v>
      </c>
      <c r="J420" s="1">
        <v>340000.0</v>
      </c>
      <c r="K420" s="2">
        <v>41976.0</v>
      </c>
      <c r="L420" s="1">
        <v>8.0</v>
      </c>
      <c r="M420" s="2">
        <v>41976.0</v>
      </c>
      <c r="N420" s="1" t="s">
        <v>5859</v>
      </c>
      <c r="O420" s="2">
        <v>42122.0</v>
      </c>
      <c r="P420" s="1">
        <v>170331.0</v>
      </c>
      <c r="Q420" s="1">
        <v>85886.0</v>
      </c>
      <c r="S420" s="1">
        <v>3923.0</v>
      </c>
      <c r="T420" s="1" t="s">
        <v>5860</v>
      </c>
      <c r="U420" s="1" t="s">
        <v>189</v>
      </c>
      <c r="V420" s="1" t="s">
        <v>190</v>
      </c>
      <c r="W420" s="1">
        <v>60618.0</v>
      </c>
      <c r="Y420" s="1" t="s">
        <v>5861</v>
      </c>
      <c r="Z420" s="1" t="s">
        <v>296</v>
      </c>
      <c r="AA420" s="1" t="s">
        <v>192</v>
      </c>
      <c r="AB420" s="1" t="s">
        <v>193</v>
      </c>
      <c r="AD420" s="1" t="s">
        <v>194</v>
      </c>
      <c r="AE420" s="1" t="s">
        <v>195</v>
      </c>
      <c r="AF420" s="1" t="s">
        <v>196</v>
      </c>
      <c r="AH420" s="1" t="s">
        <v>5862</v>
      </c>
      <c r="AI420" s="1">
        <v>0.2628</v>
      </c>
      <c r="AK420" s="1">
        <v>8.0</v>
      </c>
      <c r="AL420" s="1">
        <v>4.0</v>
      </c>
      <c r="AM420" s="1">
        <v>1.0</v>
      </c>
      <c r="AN420" s="1">
        <v>1.0</v>
      </c>
      <c r="AO420" s="1" t="s">
        <v>229</v>
      </c>
      <c r="AQ420" s="1" t="s">
        <v>198</v>
      </c>
      <c r="AR420" s="1" t="s">
        <v>192</v>
      </c>
      <c r="AS420" s="1" t="s">
        <v>199</v>
      </c>
      <c r="AT420" s="1">
        <v>1.0</v>
      </c>
      <c r="AV420" s="1" t="s">
        <v>200</v>
      </c>
      <c r="AW420" s="1">
        <v>0.0</v>
      </c>
      <c r="AX420" s="1">
        <v>2013.0</v>
      </c>
      <c r="AY420" s="1" t="s">
        <v>588</v>
      </c>
      <c r="AZ420" s="1" t="s">
        <v>200</v>
      </c>
      <c r="BA420" s="1" t="str">
        <f>"13231070110000"</f>
        <v>13231070110000</v>
      </c>
      <c r="BB420" s="1" t="s">
        <v>200</v>
      </c>
      <c r="BC420" s="1">
        <v>0.0</v>
      </c>
      <c r="BD420" s="1">
        <v>310000.0</v>
      </c>
      <c r="BE420" s="2">
        <v>41969.0</v>
      </c>
      <c r="BF420" s="2" t="s">
        <v>5863</v>
      </c>
      <c r="BG420" s="1" t="s">
        <v>5864</v>
      </c>
      <c r="BH420" s="1">
        <v>0.0</v>
      </c>
      <c r="BJ420" s="1" t="s">
        <v>203</v>
      </c>
      <c r="BK420" s="1" t="s">
        <v>204</v>
      </c>
      <c r="BL420" s="1" t="str">
        <f>"3900"</f>
        <v>3900</v>
      </c>
      <c r="BM420" s="1" t="str">
        <f>"0"</f>
        <v>0</v>
      </c>
      <c r="BN420" s="1">
        <v>3632.0</v>
      </c>
      <c r="BO420" s="1">
        <v>0.0</v>
      </c>
      <c r="BQ420" s="1">
        <v>299.0</v>
      </c>
      <c r="BR420" s="1">
        <v>299.0</v>
      </c>
      <c r="BS420" s="1">
        <v>299.0</v>
      </c>
      <c r="BU420" s="1" t="s">
        <v>1483</v>
      </c>
      <c r="BV420" s="1" t="s">
        <v>206</v>
      </c>
      <c r="BW420" s="1" t="s">
        <v>207</v>
      </c>
      <c r="BX420" s="1" t="s">
        <v>229</v>
      </c>
      <c r="BY420" s="1" t="s">
        <v>363</v>
      </c>
      <c r="BZ420" s="1" t="s">
        <v>209</v>
      </c>
      <c r="CA420" s="1" t="s">
        <v>207</v>
      </c>
      <c r="CB420" s="1" t="s">
        <v>229</v>
      </c>
      <c r="CC420" s="1" t="s">
        <v>1483</v>
      </c>
      <c r="CD420" s="1" t="s">
        <v>206</v>
      </c>
      <c r="CE420" s="1" t="s">
        <v>207</v>
      </c>
      <c r="CF420" s="1" t="s">
        <v>229</v>
      </c>
      <c r="CG420" s="1" t="s">
        <v>269</v>
      </c>
      <c r="CH420" s="1" t="s">
        <v>209</v>
      </c>
      <c r="CI420" s="1" t="s">
        <v>207</v>
      </c>
      <c r="CJ420" s="1" t="s">
        <v>229</v>
      </c>
      <c r="CK420" s="1" t="s">
        <v>495</v>
      </c>
      <c r="CL420" s="1" t="s">
        <v>209</v>
      </c>
      <c r="CM420" s="1" t="s">
        <v>207</v>
      </c>
      <c r="CN420" s="1" t="s">
        <v>229</v>
      </c>
      <c r="CO420" s="1" t="s">
        <v>269</v>
      </c>
      <c r="CP420" s="1" t="s">
        <v>209</v>
      </c>
      <c r="CQ420" s="1" t="s">
        <v>207</v>
      </c>
      <c r="CR420" s="1" t="s">
        <v>229</v>
      </c>
      <c r="CS420" s="1" t="s">
        <v>363</v>
      </c>
      <c r="CT420" s="1" t="s">
        <v>206</v>
      </c>
      <c r="CU420" s="1" t="s">
        <v>207</v>
      </c>
      <c r="CV420" s="1" t="s">
        <v>229</v>
      </c>
      <c r="CW420" s="1" t="s">
        <v>1483</v>
      </c>
      <c r="CX420" s="1" t="s">
        <v>206</v>
      </c>
      <c r="CY420" s="1" t="s">
        <v>207</v>
      </c>
      <c r="CZ420" s="1" t="s">
        <v>229</v>
      </c>
      <c r="DA420" s="1" t="s">
        <v>200</v>
      </c>
      <c r="DC420" s="1" t="s">
        <v>545</v>
      </c>
      <c r="DD420" s="1" t="s">
        <v>786</v>
      </c>
      <c r="DE420" s="1" t="s">
        <v>229</v>
      </c>
      <c r="DF420" s="1" t="s">
        <v>4120</v>
      </c>
      <c r="DG420" s="1" t="s">
        <v>337</v>
      </c>
      <c r="DH420" s="1" t="s">
        <v>220</v>
      </c>
      <c r="DI420" s="1" t="s">
        <v>831</v>
      </c>
      <c r="DJ420" s="1" t="s">
        <v>222</v>
      </c>
      <c r="DL420" s="1" t="s">
        <v>223</v>
      </c>
      <c r="DM420" s="1" t="s">
        <v>1143</v>
      </c>
      <c r="DO420" s="1" t="s">
        <v>5865</v>
      </c>
      <c r="DP420" s="1" t="s">
        <v>340</v>
      </c>
      <c r="DQ420" s="1" t="s">
        <v>441</v>
      </c>
      <c r="DR420" s="1" t="s">
        <v>229</v>
      </c>
      <c r="DS420" s="1" t="s">
        <v>277</v>
      </c>
      <c r="DV420" s="1" t="s">
        <v>232</v>
      </c>
      <c r="DW420" s="1" t="s">
        <v>279</v>
      </c>
      <c r="DX420" s="1" t="s">
        <v>234</v>
      </c>
      <c r="DY420" s="1" t="s">
        <v>704</v>
      </c>
      <c r="DZ420" s="1" t="s">
        <v>343</v>
      </c>
      <c r="EA420" s="1" t="s">
        <v>5294</v>
      </c>
      <c r="EC420" s="1" t="s">
        <v>237</v>
      </c>
      <c r="EM420" s="1" t="s">
        <v>238</v>
      </c>
      <c r="EQ420" s="1" t="s">
        <v>238</v>
      </c>
      <c r="EU420" s="1" t="s">
        <v>238</v>
      </c>
      <c r="EY420" s="1" t="s">
        <v>238</v>
      </c>
      <c r="FC420" s="1" t="s">
        <v>238</v>
      </c>
      <c r="FF420" s="1" t="s">
        <v>239</v>
      </c>
      <c r="FG420" s="1" t="s">
        <v>192</v>
      </c>
      <c r="FH420" s="1" t="s">
        <v>192</v>
      </c>
      <c r="FJ420" s="1" t="s">
        <v>3755</v>
      </c>
      <c r="FK420" s="1" t="s">
        <v>229</v>
      </c>
      <c r="FL420" s="1" t="s">
        <v>562</v>
      </c>
      <c r="FM420" s="1">
        <v>85774.0</v>
      </c>
      <c r="FN420" s="1" t="s">
        <v>2369</v>
      </c>
      <c r="FO420" s="1" t="s">
        <v>5866</v>
      </c>
      <c r="FP420" s="1">
        <v>130394.0</v>
      </c>
      <c r="FQ420" s="1" t="s">
        <v>5867</v>
      </c>
      <c r="FU420" s="1" t="s">
        <v>5868</v>
      </c>
      <c r="FV420" s="1" t="s">
        <v>200</v>
      </c>
      <c r="FW420" s="1" t="s">
        <v>530</v>
      </c>
      <c r="FX420" s="1" t="s">
        <v>238</v>
      </c>
      <c r="FZ420" s="1" t="s">
        <v>229</v>
      </c>
      <c r="GA420" s="1" t="s">
        <v>291</v>
      </c>
      <c r="GB420" s="2">
        <v>42122.0</v>
      </c>
      <c r="GC420" s="1" t="s">
        <v>5869</v>
      </c>
    </row>
    <row r="421">
      <c r="A421" s="1">
        <v>356900.0</v>
      </c>
      <c r="B421" s="1" t="s">
        <v>185</v>
      </c>
      <c r="C421" s="1" t="str">
        <f>"08799912"</f>
        <v>08799912</v>
      </c>
      <c r="D421" s="1" t="s">
        <v>186</v>
      </c>
      <c r="F421" s="1" t="str">
        <f>"177"</f>
        <v>177</v>
      </c>
      <c r="G421" s="2">
        <v>41983.0</v>
      </c>
      <c r="H421" s="1">
        <v>376900.0</v>
      </c>
      <c r="I421" s="1">
        <v>67.0</v>
      </c>
      <c r="J421" s="1">
        <v>364900.0</v>
      </c>
      <c r="K421" s="2">
        <v>42048.0</v>
      </c>
      <c r="L421" s="1">
        <v>67.0</v>
      </c>
      <c r="M421" s="2">
        <v>42048.0</v>
      </c>
      <c r="N421" s="1" t="s">
        <v>187</v>
      </c>
      <c r="O421" s="2">
        <v>42088.0</v>
      </c>
      <c r="P421" s="1">
        <v>920884.0</v>
      </c>
      <c r="Q421" s="1">
        <v>8079.0</v>
      </c>
      <c r="S421" s="1">
        <v>2179.0</v>
      </c>
      <c r="T421" s="1" t="s">
        <v>5341</v>
      </c>
      <c r="U421" s="1" t="s">
        <v>569</v>
      </c>
      <c r="V421" s="1" t="s">
        <v>2249</v>
      </c>
      <c r="W421" s="1">
        <v>60177.0</v>
      </c>
      <c r="Y421" s="1" t="s">
        <v>5870</v>
      </c>
      <c r="Z421" s="1">
        <v>2000.0</v>
      </c>
      <c r="AA421" s="1" t="s">
        <v>200</v>
      </c>
      <c r="AB421" s="1" t="s">
        <v>467</v>
      </c>
      <c r="AC421" s="1" t="s">
        <v>5341</v>
      </c>
      <c r="AD421" s="1" t="s">
        <v>2252</v>
      </c>
      <c r="AE421" s="1" t="s">
        <v>325</v>
      </c>
      <c r="AF421" s="1" t="s">
        <v>1203</v>
      </c>
      <c r="AH421" s="1" t="s">
        <v>5871</v>
      </c>
      <c r="AK421" s="1">
        <v>12.0</v>
      </c>
      <c r="AL421" s="1">
        <v>4.0</v>
      </c>
      <c r="AM421" s="1">
        <v>2.0</v>
      </c>
      <c r="AN421" s="1">
        <v>1.0</v>
      </c>
      <c r="AO421" s="1" t="s">
        <v>198</v>
      </c>
      <c r="AP421" s="1">
        <v>1.0</v>
      </c>
      <c r="AQ421" s="1" t="s">
        <v>198</v>
      </c>
      <c r="AR421" s="1" t="s">
        <v>200</v>
      </c>
      <c r="AS421" s="1" t="s">
        <v>199</v>
      </c>
      <c r="AT421" s="1">
        <v>2.0</v>
      </c>
      <c r="AV421" s="1" t="s">
        <v>200</v>
      </c>
      <c r="AW421" s="6">
        <v>11112.0</v>
      </c>
      <c r="AX421" s="1">
        <v>2013.0</v>
      </c>
      <c r="AY421" s="1" t="s">
        <v>387</v>
      </c>
      <c r="AZ421" s="1" t="s">
        <v>200</v>
      </c>
      <c r="BA421" s="1" t="str">
        <f>"0905379019"</f>
        <v>0905379019</v>
      </c>
      <c r="BB421" s="1" t="s">
        <v>200</v>
      </c>
      <c r="BC421" s="1">
        <v>3070.0</v>
      </c>
      <c r="BD421" s="1">
        <v>356900.0</v>
      </c>
      <c r="BE421" s="2">
        <v>41982.0</v>
      </c>
      <c r="BF421" s="2" t="s">
        <v>5872</v>
      </c>
      <c r="BG421" s="1" t="s">
        <v>5221</v>
      </c>
      <c r="BH421" s="1">
        <v>117.0</v>
      </c>
      <c r="BI421" s="1" t="s">
        <v>4511</v>
      </c>
      <c r="BJ421" s="1" t="s">
        <v>2200</v>
      </c>
      <c r="BK421" s="1" t="s">
        <v>1952</v>
      </c>
      <c r="BL421" s="1" t="str">
        <f t="shared" ref="BL421:BM421" si="278">""</f>
        <v/>
      </c>
      <c r="BM421" s="1" t="str">
        <f t="shared" si="278"/>
        <v/>
      </c>
      <c r="BN421" s="1">
        <v>3.0</v>
      </c>
      <c r="BQ421" s="1">
        <v>303.0</v>
      </c>
      <c r="BR421" s="1">
        <v>303.0</v>
      </c>
      <c r="BS421" s="1">
        <v>303.0</v>
      </c>
      <c r="BU421" s="1" t="s">
        <v>211</v>
      </c>
      <c r="BV421" s="1" t="s">
        <v>206</v>
      </c>
      <c r="BW421" s="1" t="s">
        <v>207</v>
      </c>
      <c r="BX421" s="1" t="s">
        <v>1549</v>
      </c>
      <c r="BY421" s="1" t="s">
        <v>1426</v>
      </c>
      <c r="BZ421" s="1" t="s">
        <v>209</v>
      </c>
      <c r="CA421" s="1" t="s">
        <v>210</v>
      </c>
      <c r="CB421" s="1" t="s">
        <v>431</v>
      </c>
      <c r="CC421" s="1" t="s">
        <v>215</v>
      </c>
      <c r="CD421" s="1" t="s">
        <v>206</v>
      </c>
      <c r="CE421" s="1" t="s">
        <v>207</v>
      </c>
      <c r="CF421" s="1" t="s">
        <v>1549</v>
      </c>
      <c r="CG421" s="1" t="s">
        <v>211</v>
      </c>
      <c r="CH421" s="1" t="s">
        <v>209</v>
      </c>
      <c r="CI421" s="1" t="s">
        <v>210</v>
      </c>
      <c r="CJ421" s="1" t="s">
        <v>431</v>
      </c>
      <c r="CK421" s="1" t="s">
        <v>262</v>
      </c>
      <c r="CL421" s="1" t="s">
        <v>209</v>
      </c>
      <c r="CM421" s="1" t="s">
        <v>210</v>
      </c>
      <c r="CN421" s="1" t="s">
        <v>431</v>
      </c>
      <c r="CO421" s="1" t="s">
        <v>363</v>
      </c>
      <c r="CP421" s="1" t="s">
        <v>209</v>
      </c>
      <c r="CQ421" s="1" t="s">
        <v>210</v>
      </c>
      <c r="CR421" s="1" t="s">
        <v>431</v>
      </c>
      <c r="CS421" s="1" t="s">
        <v>2872</v>
      </c>
      <c r="CT421" s="1" t="s">
        <v>206</v>
      </c>
      <c r="CU421" s="1" t="s">
        <v>207</v>
      </c>
      <c r="CV421" s="1" t="s">
        <v>431</v>
      </c>
      <c r="CW421" s="1" t="s">
        <v>3538</v>
      </c>
      <c r="CX421" s="1" t="s">
        <v>206</v>
      </c>
      <c r="CY421" s="1" t="s">
        <v>207</v>
      </c>
      <c r="CZ421" s="1" t="s">
        <v>1549</v>
      </c>
      <c r="DA421" s="1" t="s">
        <v>200</v>
      </c>
      <c r="DC421" s="1" t="s">
        <v>335</v>
      </c>
      <c r="DD421" s="1" t="s">
        <v>436</v>
      </c>
      <c r="DE421" s="1" t="s">
        <v>273</v>
      </c>
      <c r="DF421" s="1" t="s">
        <v>219</v>
      </c>
      <c r="DG421" s="1" t="s">
        <v>1266</v>
      </c>
      <c r="DH421" s="1" t="s">
        <v>220</v>
      </c>
      <c r="DI421" s="1" t="s">
        <v>5873</v>
      </c>
      <c r="DJ421" s="1" t="s">
        <v>222</v>
      </c>
      <c r="DK421" s="1" t="s">
        <v>223</v>
      </c>
      <c r="DL421" s="1" t="s">
        <v>224</v>
      </c>
      <c r="DM421" s="1" t="s">
        <v>338</v>
      </c>
      <c r="DN421" s="1" t="s">
        <v>399</v>
      </c>
      <c r="DO421" s="1" t="s">
        <v>717</v>
      </c>
      <c r="DP421" s="1" t="s">
        <v>340</v>
      </c>
      <c r="DQ421" s="1" t="s">
        <v>441</v>
      </c>
      <c r="DR421" s="1" t="s">
        <v>3096</v>
      </c>
      <c r="DS421" s="1" t="s">
        <v>368</v>
      </c>
      <c r="DU421" s="1" t="s">
        <v>5468</v>
      </c>
      <c r="DV421" s="1" t="s">
        <v>5874</v>
      </c>
      <c r="DW421" s="1" t="s">
        <v>934</v>
      </c>
      <c r="DX421" s="1" t="s">
        <v>234</v>
      </c>
      <c r="DY421" s="1" t="s">
        <v>490</v>
      </c>
      <c r="DZ421" s="1" t="s">
        <v>1100</v>
      </c>
      <c r="EA421" s="1" t="s">
        <v>344</v>
      </c>
      <c r="EB421" s="1" t="s">
        <v>937</v>
      </c>
      <c r="EC421" s="1" t="s">
        <v>237</v>
      </c>
      <c r="ED421" s="1" t="s">
        <v>407</v>
      </c>
      <c r="EG421" s="1" t="s">
        <v>1432</v>
      </c>
      <c r="EH421" s="1" t="s">
        <v>1824</v>
      </c>
      <c r="EI421" s="1" t="s">
        <v>494</v>
      </c>
      <c r="EJ421" s="1" t="s">
        <v>451</v>
      </c>
      <c r="EL421" s="1" t="s">
        <v>480</v>
      </c>
      <c r="EM421" s="1" t="s">
        <v>42</v>
      </c>
      <c r="EN421" s="1" t="s">
        <v>210</v>
      </c>
      <c r="EO421" s="1" t="s">
        <v>431</v>
      </c>
      <c r="EP421" s="1" t="s">
        <v>582</v>
      </c>
      <c r="EQ421" s="1" t="s">
        <v>42</v>
      </c>
      <c r="ER421" s="1" t="s">
        <v>210</v>
      </c>
      <c r="ES421" s="1" t="s">
        <v>229</v>
      </c>
      <c r="ET421" s="1" t="s">
        <v>495</v>
      </c>
      <c r="EU421" s="1" t="s">
        <v>206</v>
      </c>
      <c r="EV421" s="1" t="s">
        <v>207</v>
      </c>
      <c r="EW421" s="1" t="s">
        <v>431</v>
      </c>
      <c r="EX421" s="1" t="s">
        <v>4597</v>
      </c>
      <c r="EY421" s="1" t="s">
        <v>42</v>
      </c>
      <c r="EZ421" s="1" t="s">
        <v>210</v>
      </c>
      <c r="FA421" s="1" t="s">
        <v>431</v>
      </c>
      <c r="FC421" s="1" t="s">
        <v>238</v>
      </c>
      <c r="FF421" s="1" t="s">
        <v>239</v>
      </c>
      <c r="FG421" s="1" t="s">
        <v>192</v>
      </c>
      <c r="FH421" s="1" t="s">
        <v>192</v>
      </c>
      <c r="FJ421" s="1" t="s">
        <v>1493</v>
      </c>
      <c r="FK421" s="1" t="s">
        <v>229</v>
      </c>
      <c r="FL421" s="1" t="s">
        <v>456</v>
      </c>
      <c r="FM421" s="1">
        <v>49.0</v>
      </c>
      <c r="FN421" s="1" t="s">
        <v>457</v>
      </c>
      <c r="FO421" s="1" t="s">
        <v>5875</v>
      </c>
      <c r="FP421" s="1">
        <v>1535.0</v>
      </c>
      <c r="FQ421" s="1" t="s">
        <v>5876</v>
      </c>
      <c r="FR421" s="1">
        <v>1916.0</v>
      </c>
      <c r="FU421" s="1" t="s">
        <v>5877</v>
      </c>
      <c r="FV421" s="1" t="s">
        <v>200</v>
      </c>
      <c r="FW421" s="1" t="s">
        <v>290</v>
      </c>
      <c r="FX421" s="1" t="s">
        <v>246</v>
      </c>
      <c r="FZ421" s="1" t="s">
        <v>229</v>
      </c>
      <c r="GA421" s="1" t="s">
        <v>291</v>
      </c>
      <c r="GB421" s="2">
        <v>42098.0</v>
      </c>
      <c r="GC421" s="1" t="s">
        <v>5878</v>
      </c>
    </row>
    <row r="422">
      <c r="A422" s="1">
        <v>585000.0</v>
      </c>
      <c r="B422" s="1" t="s">
        <v>185</v>
      </c>
      <c r="C422" s="1" t="str">
        <f>"08824957"</f>
        <v>08824957</v>
      </c>
      <c r="D422" s="1" t="s">
        <v>186</v>
      </c>
      <c r="F422" s="1" t="str">
        <f>"174"</f>
        <v>174</v>
      </c>
      <c r="G422" s="2">
        <v>42031.0</v>
      </c>
      <c r="H422" s="1">
        <v>599900.0</v>
      </c>
      <c r="I422" s="1">
        <v>26.0</v>
      </c>
      <c r="J422" s="1">
        <v>599900.0</v>
      </c>
      <c r="K422" s="2">
        <v>42056.0</v>
      </c>
      <c r="L422" s="1">
        <v>26.0</v>
      </c>
      <c r="M422" s="2">
        <v>42056.0</v>
      </c>
      <c r="N422" s="1" t="s">
        <v>187</v>
      </c>
      <c r="O422" s="2">
        <v>42124.0</v>
      </c>
      <c r="P422" s="1">
        <v>1520.0</v>
      </c>
      <c r="Q422" s="1">
        <v>30.0</v>
      </c>
      <c r="S422" s="1">
        <v>612.0</v>
      </c>
      <c r="T422" s="1" t="s">
        <v>2399</v>
      </c>
      <c r="U422" s="1" t="s">
        <v>320</v>
      </c>
      <c r="V422" s="1" t="s">
        <v>1200</v>
      </c>
      <c r="W422" s="1">
        <v>60174.0</v>
      </c>
      <c r="Y422" s="1" t="s">
        <v>5879</v>
      </c>
      <c r="Z422" s="1">
        <v>2006.0</v>
      </c>
      <c r="AA422" s="1" t="s">
        <v>200</v>
      </c>
      <c r="AB422" s="1" t="s">
        <v>193</v>
      </c>
      <c r="AD422" s="1" t="s">
        <v>1203</v>
      </c>
      <c r="AE422" s="1" t="s">
        <v>325</v>
      </c>
      <c r="AF422" s="1" t="s">
        <v>1203</v>
      </c>
      <c r="AH422" s="1" t="s">
        <v>5880</v>
      </c>
      <c r="AI422" s="1">
        <v>0.1351</v>
      </c>
      <c r="AK422" s="1">
        <v>11.0</v>
      </c>
      <c r="AL422" s="1">
        <v>4.0</v>
      </c>
      <c r="AM422" s="1">
        <v>3.0</v>
      </c>
      <c r="AN422" s="1">
        <v>1.0</v>
      </c>
      <c r="AO422" s="1" t="s">
        <v>198</v>
      </c>
      <c r="AP422" s="1">
        <v>1.0</v>
      </c>
      <c r="AQ422" s="1" t="s">
        <v>198</v>
      </c>
      <c r="AR422" s="1" t="s">
        <v>192</v>
      </c>
      <c r="AS422" s="1" t="s">
        <v>199</v>
      </c>
      <c r="AT422" s="1">
        <v>3.0</v>
      </c>
      <c r="AV422" s="1" t="s">
        <v>200</v>
      </c>
      <c r="AW422" s="1">
        <v>18828.9</v>
      </c>
      <c r="AX422" s="1">
        <v>2013.0</v>
      </c>
      <c r="AY422" s="1" t="s">
        <v>387</v>
      </c>
      <c r="AZ422" s="1" t="s">
        <v>200</v>
      </c>
      <c r="BA422" s="1" t="str">
        <f>"0934158026"</f>
        <v>0934158026</v>
      </c>
      <c r="BB422" s="1" t="s">
        <v>200</v>
      </c>
      <c r="BC422" s="1">
        <v>3611.0</v>
      </c>
      <c r="BD422" s="1">
        <v>585000.0</v>
      </c>
      <c r="BE422" s="2">
        <v>42031.0</v>
      </c>
      <c r="BF422" s="2" t="s">
        <v>5881</v>
      </c>
      <c r="BH422" s="1">
        <v>0.0</v>
      </c>
      <c r="BK422" s="1" t="s">
        <v>204</v>
      </c>
      <c r="BL422" s="1" t="str">
        <f t="shared" ref="BL422:BM422" si="279">""</f>
        <v/>
      </c>
      <c r="BM422" s="1" t="str">
        <f t="shared" si="279"/>
        <v/>
      </c>
      <c r="BQ422" s="1">
        <v>303.0</v>
      </c>
      <c r="BR422" s="1">
        <v>303.0</v>
      </c>
      <c r="BS422" s="1">
        <v>303.0</v>
      </c>
      <c r="BU422" s="1" t="s">
        <v>1117</v>
      </c>
      <c r="BV422" s="1" t="s">
        <v>206</v>
      </c>
      <c r="BW422" s="1" t="s">
        <v>207</v>
      </c>
      <c r="BX422" s="1" t="s">
        <v>229</v>
      </c>
      <c r="BY422" s="1" t="s">
        <v>583</v>
      </c>
      <c r="BZ422" s="1" t="s">
        <v>209</v>
      </c>
      <c r="CA422" s="1" t="s">
        <v>210</v>
      </c>
      <c r="CB422" s="1" t="s">
        <v>431</v>
      </c>
      <c r="CC422" s="1" t="s">
        <v>390</v>
      </c>
      <c r="CD422" s="1" t="s">
        <v>206</v>
      </c>
      <c r="CE422" s="1" t="s">
        <v>207</v>
      </c>
      <c r="CF422" s="1" t="s">
        <v>229</v>
      </c>
      <c r="CG422" s="1" t="s">
        <v>262</v>
      </c>
      <c r="CH422" s="1" t="s">
        <v>209</v>
      </c>
      <c r="CI422" s="1" t="s">
        <v>210</v>
      </c>
      <c r="CJ422" s="1" t="s">
        <v>261</v>
      </c>
      <c r="CK422" s="1" t="s">
        <v>215</v>
      </c>
      <c r="CL422" s="1" t="s">
        <v>209</v>
      </c>
      <c r="CM422" s="1" t="s">
        <v>210</v>
      </c>
      <c r="CN422" s="1" t="s">
        <v>1118</v>
      </c>
      <c r="CO422" s="1" t="s">
        <v>215</v>
      </c>
      <c r="CP422" s="1" t="s">
        <v>209</v>
      </c>
      <c r="CQ422" s="1" t="s">
        <v>210</v>
      </c>
      <c r="CR422" s="1" t="s">
        <v>1118</v>
      </c>
      <c r="CS422" s="1" t="s">
        <v>390</v>
      </c>
      <c r="CT422" s="1" t="s">
        <v>206</v>
      </c>
      <c r="CU422" s="1" t="s">
        <v>207</v>
      </c>
      <c r="CV422" s="1" t="s">
        <v>1118</v>
      </c>
      <c r="CW422" s="1" t="s">
        <v>2592</v>
      </c>
      <c r="CX422" s="1" t="s">
        <v>206</v>
      </c>
      <c r="CY422" s="1" t="s">
        <v>207</v>
      </c>
      <c r="CZ422" s="1" t="s">
        <v>1549</v>
      </c>
      <c r="DA422" s="1" t="s">
        <v>200</v>
      </c>
      <c r="DC422" s="1" t="s">
        <v>481</v>
      </c>
      <c r="DD422" s="1" t="s">
        <v>1954</v>
      </c>
      <c r="DE422" s="1" t="s">
        <v>218</v>
      </c>
      <c r="DF422" s="1" t="s">
        <v>745</v>
      </c>
      <c r="DG422" s="1" t="s">
        <v>482</v>
      </c>
      <c r="DH422" s="1" t="s">
        <v>220</v>
      </c>
      <c r="DI422" s="1" t="s">
        <v>5882</v>
      </c>
      <c r="DJ422" s="1" t="s">
        <v>3345</v>
      </c>
      <c r="DK422" s="1" t="s">
        <v>223</v>
      </c>
      <c r="DL422" s="1" t="s">
        <v>224</v>
      </c>
      <c r="DM422" s="1" t="s">
        <v>338</v>
      </c>
      <c r="DN422" s="1" t="s">
        <v>2463</v>
      </c>
      <c r="DO422" s="1" t="s">
        <v>717</v>
      </c>
      <c r="DP422" s="1" t="s">
        <v>340</v>
      </c>
      <c r="DQ422" s="1" t="s">
        <v>228</v>
      </c>
      <c r="DR422" s="1" t="s">
        <v>229</v>
      </c>
      <c r="DS422" s="1" t="s">
        <v>5883</v>
      </c>
      <c r="DU422" s="1" t="s">
        <v>5884</v>
      </c>
      <c r="DV422" s="1" t="s">
        <v>5885</v>
      </c>
      <c r="DW422" s="1" t="s">
        <v>964</v>
      </c>
      <c r="DX422" s="1" t="s">
        <v>234</v>
      </c>
      <c r="DY422" s="1" t="s">
        <v>5886</v>
      </c>
      <c r="DZ422" s="1" t="s">
        <v>5887</v>
      </c>
      <c r="EA422" s="1" t="s">
        <v>2099</v>
      </c>
      <c r="EB422" s="1" t="s">
        <v>937</v>
      </c>
      <c r="EC422" s="1" t="s">
        <v>237</v>
      </c>
      <c r="ED422" s="1" t="s">
        <v>407</v>
      </c>
      <c r="EG422" s="1" t="s">
        <v>720</v>
      </c>
      <c r="EH422" s="1" t="s">
        <v>341</v>
      </c>
      <c r="EI422" s="1" t="s">
        <v>556</v>
      </c>
      <c r="EJ422" s="1" t="s">
        <v>408</v>
      </c>
      <c r="EK422" s="1" t="s">
        <v>450</v>
      </c>
      <c r="EL422" s="1" t="s">
        <v>265</v>
      </c>
      <c r="EM422" s="1" t="s">
        <v>206</v>
      </c>
      <c r="EN422" s="1" t="s">
        <v>1065</v>
      </c>
      <c r="EO422" s="1" t="s">
        <v>1118</v>
      </c>
      <c r="EP422" s="1" t="s">
        <v>454</v>
      </c>
      <c r="EQ422" s="1" t="s">
        <v>209</v>
      </c>
      <c r="ER422" s="1" t="s">
        <v>210</v>
      </c>
      <c r="ES422" s="1" t="s">
        <v>1118</v>
      </c>
      <c r="ET422" s="1" t="s">
        <v>925</v>
      </c>
      <c r="EU422" s="1" t="s">
        <v>206</v>
      </c>
      <c r="EV422" s="1" t="s">
        <v>207</v>
      </c>
      <c r="EW422" s="1" t="s">
        <v>1118</v>
      </c>
      <c r="EX422" s="1" t="s">
        <v>560</v>
      </c>
      <c r="EY422" s="1" t="s">
        <v>206</v>
      </c>
      <c r="EZ422" s="1" t="s">
        <v>207</v>
      </c>
      <c r="FA422" s="1" t="s">
        <v>229</v>
      </c>
      <c r="FB422" s="1" t="s">
        <v>5888</v>
      </c>
      <c r="FC422" s="1" t="s">
        <v>42</v>
      </c>
      <c r="FD422" s="1" t="s">
        <v>210</v>
      </c>
      <c r="FE422" s="1" t="s">
        <v>1549</v>
      </c>
      <c r="FF422" s="1" t="s">
        <v>239</v>
      </c>
      <c r="FG422" s="1" t="s">
        <v>192</v>
      </c>
      <c r="FH422" s="1" t="s">
        <v>192</v>
      </c>
      <c r="FJ422" s="1" t="s">
        <v>561</v>
      </c>
      <c r="FK422" s="1" t="s">
        <v>229</v>
      </c>
      <c r="FL422" s="1" t="s">
        <v>562</v>
      </c>
      <c r="FM422" s="1">
        <v>16379.0</v>
      </c>
      <c r="FN422" s="1" t="s">
        <v>563</v>
      </c>
      <c r="FO422" s="1" t="s">
        <v>5889</v>
      </c>
      <c r="FP422" s="1">
        <v>150439.0</v>
      </c>
      <c r="FQ422" s="1" t="s">
        <v>5890</v>
      </c>
      <c r="FU422" s="1" t="s">
        <v>5891</v>
      </c>
      <c r="FV422" s="1" t="s">
        <v>200</v>
      </c>
      <c r="FW422" s="1" t="s">
        <v>654</v>
      </c>
      <c r="FX422" s="1" t="s">
        <v>655</v>
      </c>
      <c r="FZ422" s="1" t="s">
        <v>229</v>
      </c>
      <c r="GA422" s="1" t="s">
        <v>291</v>
      </c>
      <c r="GB422" s="2">
        <v>42125.0</v>
      </c>
      <c r="GC422" s="1" t="s">
        <v>5892</v>
      </c>
    </row>
    <row r="423">
      <c r="A423" s="1">
        <v>568000.0</v>
      </c>
      <c r="B423" s="1" t="s">
        <v>185</v>
      </c>
      <c r="C423" s="1" t="str">
        <f>"08796007"</f>
        <v>08796007</v>
      </c>
      <c r="D423" s="1" t="s">
        <v>186</v>
      </c>
      <c r="F423" s="1" t="str">
        <f>"8016"</f>
        <v>8016</v>
      </c>
      <c r="G423" s="2">
        <v>41976.0</v>
      </c>
      <c r="H423" s="1">
        <v>575000.0</v>
      </c>
      <c r="I423" s="1">
        <v>43.0</v>
      </c>
      <c r="J423" s="1">
        <v>575000.0</v>
      </c>
      <c r="K423" s="2">
        <v>42018.0</v>
      </c>
      <c r="L423" s="1">
        <v>43.0</v>
      </c>
      <c r="M423" s="2">
        <v>42018.0</v>
      </c>
      <c r="N423" s="1" t="s">
        <v>187</v>
      </c>
      <c r="O423" s="2">
        <v>42069.0</v>
      </c>
      <c r="P423" s="1">
        <v>840931.0</v>
      </c>
      <c r="Q423" s="1">
        <v>14681.0</v>
      </c>
      <c r="S423" s="1">
        <v>4121.0</v>
      </c>
      <c r="T423" s="1" t="s">
        <v>5893</v>
      </c>
      <c r="U423" s="1" t="s">
        <v>189</v>
      </c>
      <c r="V423" s="1" t="s">
        <v>190</v>
      </c>
      <c r="W423" s="1">
        <v>60618.0</v>
      </c>
      <c r="Y423" s="1" t="s">
        <v>5894</v>
      </c>
      <c r="Z423" s="1">
        <v>2014.0</v>
      </c>
      <c r="AA423" s="1" t="s">
        <v>200</v>
      </c>
      <c r="AB423" s="1" t="s">
        <v>193</v>
      </c>
      <c r="AD423" s="1" t="s">
        <v>194</v>
      </c>
      <c r="AE423" s="1" t="s">
        <v>195</v>
      </c>
      <c r="AF423" s="1" t="s">
        <v>196</v>
      </c>
      <c r="AH423" s="1" t="s">
        <v>359</v>
      </c>
      <c r="AK423" s="1">
        <v>9.0</v>
      </c>
      <c r="AL423" s="1">
        <v>3.0</v>
      </c>
      <c r="AM423" s="1">
        <v>3.0</v>
      </c>
      <c r="AN423" s="1">
        <v>1.0</v>
      </c>
      <c r="AO423" s="1" t="s">
        <v>198</v>
      </c>
      <c r="AQ423" s="1" t="s">
        <v>198</v>
      </c>
      <c r="AR423" s="1" t="s">
        <v>192</v>
      </c>
      <c r="AS423" s="1" t="s">
        <v>199</v>
      </c>
      <c r="AT423" s="1">
        <v>2.0</v>
      </c>
      <c r="AV423" s="1" t="s">
        <v>200</v>
      </c>
      <c r="AW423" s="3">
        <v>1035.0</v>
      </c>
      <c r="AX423" s="1">
        <v>2013.0</v>
      </c>
      <c r="AY423" s="1" t="s">
        <v>229</v>
      </c>
      <c r="AZ423" s="1" t="s">
        <v>200</v>
      </c>
      <c r="BA423" s="1" t="str">
        <f>"13143230130000"</f>
        <v>13143230130000</v>
      </c>
      <c r="BC423" s="1">
        <v>3240.0</v>
      </c>
      <c r="BD423" s="1">
        <v>568000.0</v>
      </c>
      <c r="BE423" s="2">
        <v>41976.0</v>
      </c>
      <c r="BF423" s="2" t="s">
        <v>5895</v>
      </c>
      <c r="BG423" s="1" t="s">
        <v>5896</v>
      </c>
      <c r="BH423" s="1">
        <v>0.0</v>
      </c>
      <c r="BK423" s="1" t="s">
        <v>204</v>
      </c>
      <c r="BL423" s="1" t="str">
        <f>"4121"</f>
        <v>4121</v>
      </c>
      <c r="BM423" s="1" t="str">
        <f t="shared" ref="BM423:BM424" si="280">"0"</f>
        <v>0</v>
      </c>
      <c r="BN423" s="1">
        <v>3800.0</v>
      </c>
      <c r="BO423" s="1">
        <v>0.0</v>
      </c>
      <c r="BQ423" s="1">
        <v>299.0</v>
      </c>
      <c r="BR423" s="1">
        <v>299.0</v>
      </c>
      <c r="BS423" s="1">
        <v>299.0</v>
      </c>
      <c r="BU423" s="1" t="s">
        <v>616</v>
      </c>
      <c r="BV423" s="1" t="s">
        <v>206</v>
      </c>
      <c r="BW423" s="1" t="s">
        <v>207</v>
      </c>
      <c r="BY423" s="1" t="s">
        <v>329</v>
      </c>
      <c r="BZ423" s="1" t="s">
        <v>209</v>
      </c>
      <c r="CA423" s="1" t="s">
        <v>210</v>
      </c>
      <c r="CC423" s="1" t="s">
        <v>392</v>
      </c>
      <c r="CD423" s="1" t="s">
        <v>206</v>
      </c>
      <c r="CE423" s="1" t="s">
        <v>207</v>
      </c>
      <c r="CG423" s="1" t="s">
        <v>332</v>
      </c>
      <c r="CH423" s="1" t="s">
        <v>209</v>
      </c>
      <c r="CI423" s="1" t="s">
        <v>210</v>
      </c>
      <c r="CK423" s="1" t="s">
        <v>262</v>
      </c>
      <c r="CL423" s="1" t="s">
        <v>209</v>
      </c>
      <c r="CM423" s="1" t="s">
        <v>210</v>
      </c>
      <c r="CO423" s="1" t="s">
        <v>363</v>
      </c>
      <c r="CP423" s="1" t="s">
        <v>42</v>
      </c>
      <c r="CQ423" s="1" t="s">
        <v>210</v>
      </c>
      <c r="CS423" s="1" t="s">
        <v>361</v>
      </c>
      <c r="CT423" s="1" t="s">
        <v>206</v>
      </c>
      <c r="CU423" s="1" t="s">
        <v>207</v>
      </c>
      <c r="CW423" s="1" t="s">
        <v>743</v>
      </c>
      <c r="CX423" s="1" t="s">
        <v>206</v>
      </c>
      <c r="CY423" s="1" t="s">
        <v>207</v>
      </c>
      <c r="DA423" s="1" t="s">
        <v>192</v>
      </c>
      <c r="DB423" s="2">
        <v>41983.0</v>
      </c>
      <c r="DC423" s="1" t="s">
        <v>1353</v>
      </c>
      <c r="DE423" s="1" t="s">
        <v>218</v>
      </c>
      <c r="DF423" s="1" t="s">
        <v>745</v>
      </c>
      <c r="DG423" s="1" t="s">
        <v>482</v>
      </c>
      <c r="DH423" s="1" t="s">
        <v>220</v>
      </c>
      <c r="DI423" s="1" t="s">
        <v>519</v>
      </c>
      <c r="DJ423" s="1" t="s">
        <v>222</v>
      </c>
      <c r="DK423" s="1" t="s">
        <v>223</v>
      </c>
      <c r="DL423" s="1" t="s">
        <v>224</v>
      </c>
      <c r="DM423" s="1" t="s">
        <v>229</v>
      </c>
      <c r="DN423" s="1" t="s">
        <v>3293</v>
      </c>
      <c r="DQ423" s="1" t="s">
        <v>228</v>
      </c>
      <c r="DR423" s="1" t="s">
        <v>229</v>
      </c>
      <c r="DU423" s="1" t="s">
        <v>231</v>
      </c>
      <c r="DV423" s="1" t="s">
        <v>450</v>
      </c>
      <c r="DW423" s="1" t="s">
        <v>588</v>
      </c>
      <c r="DX423" s="1" t="s">
        <v>234</v>
      </c>
      <c r="DY423" s="1" t="s">
        <v>747</v>
      </c>
      <c r="DZ423" s="1" t="s">
        <v>310</v>
      </c>
      <c r="EC423" s="1" t="s">
        <v>237</v>
      </c>
      <c r="ED423" s="1" t="s">
        <v>555</v>
      </c>
      <c r="EG423" s="1" t="s">
        <v>450</v>
      </c>
      <c r="EL423" s="1" t="s">
        <v>748</v>
      </c>
      <c r="EM423" s="1" t="s">
        <v>42</v>
      </c>
      <c r="EN423" s="1" t="s">
        <v>210</v>
      </c>
      <c r="EQ423" s="1" t="s">
        <v>238</v>
      </c>
      <c r="EU423" s="1" t="s">
        <v>238</v>
      </c>
      <c r="EY423" s="1" t="s">
        <v>238</v>
      </c>
      <c r="FC423" s="1" t="s">
        <v>238</v>
      </c>
      <c r="FF423" s="1" t="s">
        <v>239</v>
      </c>
      <c r="FG423" s="1" t="s">
        <v>192</v>
      </c>
      <c r="FH423" s="1" t="s">
        <v>192</v>
      </c>
      <c r="FJ423" s="1" t="s">
        <v>2285</v>
      </c>
      <c r="FK423" s="1" t="s">
        <v>229</v>
      </c>
      <c r="FL423" s="1" t="s">
        <v>734</v>
      </c>
      <c r="FM423" s="1">
        <v>10646.0</v>
      </c>
      <c r="FN423" s="1" t="s">
        <v>735</v>
      </c>
      <c r="FO423" s="1" t="s">
        <v>736</v>
      </c>
      <c r="FP423" s="1">
        <v>139913.0</v>
      </c>
      <c r="FQ423" s="1" t="s">
        <v>737</v>
      </c>
      <c r="FU423" s="1" t="s">
        <v>5897</v>
      </c>
      <c r="FV423" s="1" t="s">
        <v>200</v>
      </c>
      <c r="FW423" s="1" t="s">
        <v>530</v>
      </c>
      <c r="FX423" s="1" t="s">
        <v>238</v>
      </c>
      <c r="FZ423" s="1" t="s">
        <v>229</v>
      </c>
      <c r="GA423" s="1" t="s">
        <v>291</v>
      </c>
      <c r="GB423" s="2">
        <v>42069.0</v>
      </c>
    </row>
    <row r="424">
      <c r="A424" s="1">
        <v>342000.0</v>
      </c>
      <c r="B424" s="1" t="s">
        <v>185</v>
      </c>
      <c r="C424" s="1" t="str">
        <f>"08793323"</f>
        <v>08793323</v>
      </c>
      <c r="D424" s="1" t="s">
        <v>186</v>
      </c>
      <c r="F424" s="1" t="str">
        <f>"8018"</f>
        <v>8018</v>
      </c>
      <c r="G424" s="2">
        <v>41969.0</v>
      </c>
      <c r="H424" s="1">
        <v>329900.0</v>
      </c>
      <c r="I424" s="1">
        <v>131.0</v>
      </c>
      <c r="J424" s="1">
        <v>329900.0</v>
      </c>
      <c r="K424" s="2">
        <v>42003.0</v>
      </c>
      <c r="L424" s="1">
        <v>35.0</v>
      </c>
      <c r="M424" s="2">
        <v>42003.0</v>
      </c>
      <c r="N424" s="1" t="s">
        <v>187</v>
      </c>
      <c r="O424" s="2">
        <v>42048.0</v>
      </c>
      <c r="P424" s="1">
        <v>150044.0</v>
      </c>
      <c r="Q424" s="1">
        <v>14703.0</v>
      </c>
      <c r="R424" s="1">
        <v>7000.0</v>
      </c>
      <c r="S424" s="1">
        <v>2711.0</v>
      </c>
      <c r="T424" s="1" t="s">
        <v>5312</v>
      </c>
      <c r="U424" s="1" t="s">
        <v>189</v>
      </c>
      <c r="V424" s="1" t="s">
        <v>190</v>
      </c>
      <c r="W424" s="1">
        <v>60707.0</v>
      </c>
      <c r="Y424" s="1" t="s">
        <v>5898</v>
      </c>
      <c r="Z424" s="1">
        <v>2007.0</v>
      </c>
      <c r="AA424" s="1" t="s">
        <v>200</v>
      </c>
      <c r="AB424" s="1" t="s">
        <v>193</v>
      </c>
      <c r="AD424" s="1" t="s">
        <v>194</v>
      </c>
      <c r="AE424" s="1" t="s">
        <v>195</v>
      </c>
      <c r="AF424" s="1" t="s">
        <v>196</v>
      </c>
      <c r="AG424" s="1" t="s">
        <v>5899</v>
      </c>
      <c r="AH424" s="1" t="s">
        <v>4868</v>
      </c>
      <c r="AI424" s="1">
        <v>0.0635</v>
      </c>
      <c r="AK424" s="1">
        <v>9.0</v>
      </c>
      <c r="AL424" s="1">
        <v>4.0</v>
      </c>
      <c r="AM424" s="1">
        <v>3.0</v>
      </c>
      <c r="AN424" s="1">
        <v>1.0</v>
      </c>
      <c r="AO424" s="1" t="s">
        <v>198</v>
      </c>
      <c r="AQ424" s="1" t="s">
        <v>472</v>
      </c>
      <c r="AR424" s="1" t="s">
        <v>192</v>
      </c>
      <c r="AS424" s="1" t="s">
        <v>199</v>
      </c>
      <c r="AT424" s="1">
        <v>2.0</v>
      </c>
      <c r="AV424" s="1" t="s">
        <v>200</v>
      </c>
      <c r="AW424" s="1">
        <v>4571.72</v>
      </c>
      <c r="AX424" s="1">
        <v>2013.0</v>
      </c>
      <c r="AY424" s="1" t="s">
        <v>387</v>
      </c>
      <c r="AZ424" s="1" t="s">
        <v>200</v>
      </c>
      <c r="BA424" s="1" t="str">
        <f>"13303020530000"</f>
        <v>13303020530000</v>
      </c>
      <c r="BB424" s="1" t="s">
        <v>200</v>
      </c>
      <c r="BC424" s="1">
        <v>2400.0</v>
      </c>
      <c r="BD424" s="1">
        <v>342000.0</v>
      </c>
      <c r="BE424" s="2">
        <v>41969.0</v>
      </c>
      <c r="BF424" s="2" t="s">
        <v>5900</v>
      </c>
      <c r="BH424" s="1">
        <v>0.0</v>
      </c>
      <c r="BK424" s="1" t="s">
        <v>204</v>
      </c>
      <c r="BL424" s="1" t="str">
        <f>"2711"</f>
        <v>2711</v>
      </c>
      <c r="BM424" s="1" t="str">
        <f t="shared" si="280"/>
        <v>0</v>
      </c>
      <c r="BN424" s="1">
        <v>7100.0</v>
      </c>
      <c r="BO424" s="1">
        <v>0.0</v>
      </c>
      <c r="BQ424" s="1">
        <v>299.0</v>
      </c>
      <c r="BR424" s="1">
        <v>299.0</v>
      </c>
      <c r="BS424" s="1">
        <v>299.0</v>
      </c>
      <c r="BU424" s="1" t="s">
        <v>1001</v>
      </c>
      <c r="BV424" s="1" t="s">
        <v>206</v>
      </c>
      <c r="BW424" s="1" t="s">
        <v>207</v>
      </c>
      <c r="BY424" s="1" t="s">
        <v>208</v>
      </c>
      <c r="BZ424" s="1" t="s">
        <v>209</v>
      </c>
      <c r="CA424" s="1" t="s">
        <v>207</v>
      </c>
      <c r="CC424" s="1" t="s">
        <v>542</v>
      </c>
      <c r="CD424" s="1" t="s">
        <v>206</v>
      </c>
      <c r="CE424" s="1" t="s">
        <v>207</v>
      </c>
      <c r="CG424" s="1" t="s">
        <v>331</v>
      </c>
      <c r="CH424" s="1" t="s">
        <v>209</v>
      </c>
      <c r="CI424" s="1" t="s">
        <v>207</v>
      </c>
      <c r="CK424" s="1" t="s">
        <v>264</v>
      </c>
      <c r="CL424" s="1" t="s">
        <v>209</v>
      </c>
      <c r="CM424" s="1" t="s">
        <v>207</v>
      </c>
      <c r="CO424" s="1" t="s">
        <v>743</v>
      </c>
      <c r="CP424" s="1" t="s">
        <v>267</v>
      </c>
      <c r="CQ424" s="1" t="s">
        <v>210</v>
      </c>
      <c r="CS424" s="1" t="s">
        <v>331</v>
      </c>
      <c r="CT424" s="1" t="s">
        <v>206</v>
      </c>
      <c r="CU424" s="1" t="s">
        <v>207</v>
      </c>
      <c r="CW424" s="1" t="s">
        <v>743</v>
      </c>
      <c r="CX424" s="1" t="s">
        <v>206</v>
      </c>
      <c r="CY424" s="1" t="s">
        <v>207</v>
      </c>
      <c r="DA424" s="1" t="s">
        <v>200</v>
      </c>
      <c r="DC424" s="1" t="s">
        <v>481</v>
      </c>
      <c r="DE424" s="1" t="s">
        <v>273</v>
      </c>
      <c r="DF424" s="1" t="s">
        <v>219</v>
      </c>
      <c r="DH424" s="1" t="s">
        <v>365</v>
      </c>
      <c r="DI424" s="1" t="s">
        <v>5901</v>
      </c>
      <c r="DJ424" s="1" t="s">
        <v>222</v>
      </c>
      <c r="DL424" s="1" t="s">
        <v>224</v>
      </c>
      <c r="DM424" s="1" t="s">
        <v>229</v>
      </c>
      <c r="DN424" s="1" t="s">
        <v>1504</v>
      </c>
      <c r="DO424" s="1" t="s">
        <v>549</v>
      </c>
      <c r="DP424" s="1" t="s">
        <v>276</v>
      </c>
      <c r="DQ424" s="1" t="s">
        <v>718</v>
      </c>
      <c r="DR424" s="1" t="s">
        <v>229</v>
      </c>
      <c r="DV424" s="1" t="s">
        <v>450</v>
      </c>
      <c r="DW424" s="1" t="s">
        <v>279</v>
      </c>
      <c r="DX424" s="1" t="s">
        <v>234</v>
      </c>
      <c r="DY424" s="1" t="s">
        <v>1122</v>
      </c>
      <c r="DZ424" s="1" t="s">
        <v>343</v>
      </c>
      <c r="EA424" s="1" t="s">
        <v>1027</v>
      </c>
      <c r="EC424" s="1" t="s">
        <v>237</v>
      </c>
      <c r="EG424" s="1" t="s">
        <v>450</v>
      </c>
      <c r="EL424" s="1" t="s">
        <v>515</v>
      </c>
      <c r="EM424" s="1" t="s">
        <v>267</v>
      </c>
      <c r="EN424" s="1" t="s">
        <v>210</v>
      </c>
      <c r="EQ424" s="1" t="s">
        <v>238</v>
      </c>
      <c r="EU424" s="1" t="s">
        <v>238</v>
      </c>
      <c r="EY424" s="1" t="s">
        <v>238</v>
      </c>
      <c r="FC424" s="1" t="s">
        <v>238</v>
      </c>
      <c r="FF424" s="1" t="s">
        <v>239</v>
      </c>
      <c r="FG424" s="1" t="s">
        <v>192</v>
      </c>
      <c r="FH424" s="1" t="s">
        <v>192</v>
      </c>
      <c r="FJ424" s="1" t="s">
        <v>561</v>
      </c>
      <c r="FK424" s="1" t="s">
        <v>229</v>
      </c>
      <c r="FL424" s="1" t="s">
        <v>5902</v>
      </c>
      <c r="FM424" s="1">
        <v>24185.0</v>
      </c>
      <c r="FN424" s="1" t="s">
        <v>5903</v>
      </c>
      <c r="FO424" s="1" t="s">
        <v>5904</v>
      </c>
      <c r="FP424" s="1">
        <v>236271.0</v>
      </c>
      <c r="FQ424" s="1" t="s">
        <v>5905</v>
      </c>
      <c r="FU424" s="1" t="s">
        <v>5906</v>
      </c>
      <c r="FV424" s="1" t="s">
        <v>200</v>
      </c>
      <c r="FW424" s="1" t="s">
        <v>530</v>
      </c>
      <c r="FX424" s="1" t="s">
        <v>238</v>
      </c>
      <c r="FZ424" s="1" t="s">
        <v>229</v>
      </c>
      <c r="GA424" s="1" t="s">
        <v>291</v>
      </c>
      <c r="GB424" s="2">
        <v>42048.0</v>
      </c>
      <c r="GC424" s="1" t="s">
        <v>5907</v>
      </c>
    </row>
    <row r="425">
      <c r="A425" s="1">
        <v>223500.0</v>
      </c>
      <c r="B425" s="1" t="s">
        <v>185</v>
      </c>
      <c r="C425" s="1" t="str">
        <f>"08795121"</f>
        <v>08795121</v>
      </c>
      <c r="D425" s="1" t="s">
        <v>186</v>
      </c>
      <c r="F425" s="1" t="str">
        <f>"174"</f>
        <v>174</v>
      </c>
      <c r="G425" s="2">
        <v>41975.0</v>
      </c>
      <c r="H425" s="1">
        <v>225000.0</v>
      </c>
      <c r="I425" s="1">
        <v>63.0</v>
      </c>
      <c r="J425" s="1">
        <v>225000.0</v>
      </c>
      <c r="K425" s="2">
        <v>42037.0</v>
      </c>
      <c r="L425" s="1">
        <v>63.0</v>
      </c>
      <c r="M425" s="2">
        <v>42037.0</v>
      </c>
      <c r="N425" s="1" t="s">
        <v>187</v>
      </c>
      <c r="O425" s="2">
        <v>42088.0</v>
      </c>
      <c r="P425" s="1">
        <v>583.0</v>
      </c>
      <c r="Q425" s="1">
        <v>383.0</v>
      </c>
      <c r="R425" s="1">
        <v>6500.0</v>
      </c>
      <c r="S425" s="1">
        <v>1505.0</v>
      </c>
      <c r="T425" s="1" t="s">
        <v>5908</v>
      </c>
      <c r="U425" s="1" t="s">
        <v>189</v>
      </c>
      <c r="V425" s="1" t="s">
        <v>1200</v>
      </c>
      <c r="W425" s="1">
        <v>60174.0</v>
      </c>
      <c r="Y425" s="1" t="s">
        <v>5909</v>
      </c>
      <c r="Z425" s="1">
        <v>1978.0</v>
      </c>
      <c r="AA425" s="1" t="s">
        <v>200</v>
      </c>
      <c r="AB425" s="1" t="s">
        <v>193</v>
      </c>
      <c r="AC425" s="1" t="s">
        <v>5910</v>
      </c>
      <c r="AD425" s="1" t="s">
        <v>1203</v>
      </c>
      <c r="AE425" s="1" t="s">
        <v>325</v>
      </c>
      <c r="AF425" s="1" t="s">
        <v>1203</v>
      </c>
      <c r="AH425" s="1" t="s">
        <v>5911</v>
      </c>
      <c r="AK425" s="1">
        <v>10.0</v>
      </c>
      <c r="AL425" s="1">
        <v>4.0</v>
      </c>
      <c r="AM425" s="1">
        <v>1.0</v>
      </c>
      <c r="AN425" s="1">
        <v>1.0</v>
      </c>
      <c r="AO425" s="1" t="s">
        <v>229</v>
      </c>
      <c r="AQ425" s="1" t="s">
        <v>198</v>
      </c>
      <c r="AR425" s="1" t="s">
        <v>200</v>
      </c>
      <c r="AS425" s="1" t="s">
        <v>199</v>
      </c>
      <c r="AT425" s="1">
        <v>2.0</v>
      </c>
      <c r="AV425" s="1" t="s">
        <v>200</v>
      </c>
      <c r="AW425" s="1">
        <v>6468.0</v>
      </c>
      <c r="AX425" s="1">
        <v>2013.0</v>
      </c>
      <c r="AY425" s="1" t="s">
        <v>387</v>
      </c>
      <c r="AZ425" s="1" t="s">
        <v>200</v>
      </c>
      <c r="BA425" s="1" t="str">
        <f>"0935178012"</f>
        <v>0935178012</v>
      </c>
      <c r="BC425" s="1">
        <v>1725.0</v>
      </c>
      <c r="BD425" s="1">
        <v>223500.0</v>
      </c>
      <c r="BE425" s="2">
        <v>41975.0</v>
      </c>
      <c r="BF425" s="2" t="s">
        <v>5912</v>
      </c>
      <c r="BG425" s="1" t="s">
        <v>5913</v>
      </c>
      <c r="BH425" s="1">
        <v>0.0</v>
      </c>
      <c r="BI425" s="1" t="s">
        <v>2143</v>
      </c>
      <c r="BJ425" s="1" t="s">
        <v>2144</v>
      </c>
      <c r="BK425" s="1" t="s">
        <v>204</v>
      </c>
      <c r="BL425" s="1" t="str">
        <f t="shared" ref="BL425:BM425" si="281">""</f>
        <v/>
      </c>
      <c r="BM425" s="1" t="str">
        <f t="shared" si="281"/>
        <v/>
      </c>
      <c r="BQ425" s="1">
        <v>303.0</v>
      </c>
      <c r="BR425" s="1">
        <v>303.0</v>
      </c>
      <c r="BS425" s="1">
        <v>303.0</v>
      </c>
      <c r="BU425" s="1" t="s">
        <v>1426</v>
      </c>
      <c r="BV425" s="1" t="s">
        <v>206</v>
      </c>
      <c r="BW425" s="1" t="s">
        <v>210</v>
      </c>
      <c r="BY425" s="1" t="s">
        <v>205</v>
      </c>
      <c r="BZ425" s="1" t="s">
        <v>209</v>
      </c>
      <c r="CA425" s="1" t="s">
        <v>210</v>
      </c>
      <c r="CC425" s="1" t="s">
        <v>212</v>
      </c>
      <c r="CD425" s="1" t="s">
        <v>206</v>
      </c>
      <c r="CE425" s="1" t="s">
        <v>210</v>
      </c>
      <c r="CG425" s="1" t="s">
        <v>699</v>
      </c>
      <c r="CH425" s="1" t="s">
        <v>209</v>
      </c>
      <c r="CI425" s="1" t="s">
        <v>210</v>
      </c>
      <c r="CK425" s="1" t="s">
        <v>516</v>
      </c>
      <c r="CL425" s="1" t="s">
        <v>209</v>
      </c>
      <c r="CM425" s="1" t="s">
        <v>210</v>
      </c>
      <c r="CO425" s="1" t="s">
        <v>495</v>
      </c>
      <c r="CP425" s="1" t="s">
        <v>209</v>
      </c>
      <c r="CQ425" s="1" t="s">
        <v>210</v>
      </c>
      <c r="CS425" s="1" t="s">
        <v>925</v>
      </c>
      <c r="CT425" s="1" t="s">
        <v>206</v>
      </c>
      <c r="CU425" s="1" t="s">
        <v>268</v>
      </c>
      <c r="CW425" s="1" t="s">
        <v>1117</v>
      </c>
      <c r="CX425" s="1" t="s">
        <v>206</v>
      </c>
      <c r="CY425" s="1" t="s">
        <v>210</v>
      </c>
      <c r="DA425" s="1" t="s">
        <v>200</v>
      </c>
      <c r="DC425" s="1" t="s">
        <v>395</v>
      </c>
      <c r="DD425" s="1" t="s">
        <v>518</v>
      </c>
      <c r="DE425" s="1" t="s">
        <v>273</v>
      </c>
      <c r="DF425" s="1" t="s">
        <v>219</v>
      </c>
      <c r="DG425" s="1" t="s">
        <v>482</v>
      </c>
      <c r="DH425" s="1" t="s">
        <v>220</v>
      </c>
      <c r="DI425" s="1" t="s">
        <v>703</v>
      </c>
      <c r="DJ425" s="1" t="s">
        <v>222</v>
      </c>
      <c r="DL425" s="1" t="s">
        <v>224</v>
      </c>
      <c r="DM425" s="1" t="s">
        <v>338</v>
      </c>
      <c r="DO425" s="1" t="s">
        <v>486</v>
      </c>
      <c r="DP425" s="1" t="s">
        <v>340</v>
      </c>
      <c r="DQ425" s="1" t="s">
        <v>228</v>
      </c>
      <c r="DR425" s="1" t="s">
        <v>229</v>
      </c>
      <c r="DS425" s="1" t="s">
        <v>230</v>
      </c>
      <c r="DU425" s="1" t="s">
        <v>5914</v>
      </c>
      <c r="DV425" s="1" t="s">
        <v>4425</v>
      </c>
      <c r="DW425" s="1" t="s">
        <v>370</v>
      </c>
      <c r="DX425" s="1" t="s">
        <v>234</v>
      </c>
      <c r="DZ425" s="1" t="s">
        <v>236</v>
      </c>
      <c r="EA425" s="1" t="s">
        <v>447</v>
      </c>
      <c r="EC425" s="1" t="s">
        <v>237</v>
      </c>
      <c r="ED425" s="1" t="s">
        <v>407</v>
      </c>
      <c r="EG425" s="1" t="s">
        <v>450</v>
      </c>
      <c r="EH425" s="1" t="s">
        <v>451</v>
      </c>
      <c r="EL425" s="1" t="s">
        <v>2681</v>
      </c>
      <c r="EM425" s="1" t="s">
        <v>42</v>
      </c>
      <c r="EN425" s="1" t="s">
        <v>210</v>
      </c>
      <c r="EP425" s="1" t="s">
        <v>212</v>
      </c>
      <c r="EQ425" s="1" t="s">
        <v>42</v>
      </c>
      <c r="ER425" s="1" t="s">
        <v>210</v>
      </c>
      <c r="EU425" s="1" t="s">
        <v>238</v>
      </c>
      <c r="EY425" s="1" t="s">
        <v>238</v>
      </c>
      <c r="FC425" s="1" t="s">
        <v>238</v>
      </c>
      <c r="FF425" s="1" t="s">
        <v>239</v>
      </c>
      <c r="FG425" s="1" t="s">
        <v>192</v>
      </c>
      <c r="FH425" s="1" t="s">
        <v>192</v>
      </c>
      <c r="FJ425" s="1" t="s">
        <v>2206</v>
      </c>
      <c r="FK425" s="1" t="s">
        <v>229</v>
      </c>
      <c r="FL425" s="1" t="s">
        <v>893</v>
      </c>
      <c r="FM425" s="1">
        <v>604.0</v>
      </c>
      <c r="FN425" s="1" t="s">
        <v>894</v>
      </c>
      <c r="FO425" s="1" t="s">
        <v>2207</v>
      </c>
      <c r="FP425" s="1">
        <v>681.0</v>
      </c>
      <c r="FQ425" s="1" t="s">
        <v>2208</v>
      </c>
      <c r="FR425" s="1">
        <v>824.0</v>
      </c>
      <c r="FS425" s="1" t="s">
        <v>2209</v>
      </c>
      <c r="FU425" s="1" t="s">
        <v>2210</v>
      </c>
      <c r="FV425" s="1" t="s">
        <v>200</v>
      </c>
      <c r="FW425" s="1" t="s">
        <v>530</v>
      </c>
      <c r="FZ425" s="1" t="s">
        <v>229</v>
      </c>
      <c r="GA425" s="1" t="s">
        <v>291</v>
      </c>
      <c r="GB425" s="2">
        <v>42088.0</v>
      </c>
    </row>
    <row r="426">
      <c r="A426" s="1">
        <v>430000.0</v>
      </c>
      <c r="B426" s="1" t="s">
        <v>185</v>
      </c>
      <c r="C426" s="1" t="str">
        <f>"08794307"</f>
        <v>08794307</v>
      </c>
      <c r="D426" s="1" t="s">
        <v>186</v>
      </c>
      <c r="F426" s="1" t="str">
        <f>"8015"</f>
        <v>8015</v>
      </c>
      <c r="G426" s="2">
        <v>41974.0</v>
      </c>
      <c r="H426" s="1">
        <v>465500.0</v>
      </c>
      <c r="I426" s="1">
        <v>84.0</v>
      </c>
      <c r="J426" s="1">
        <v>445500.0</v>
      </c>
      <c r="K426" s="2">
        <v>42057.0</v>
      </c>
      <c r="L426" s="1">
        <v>84.0</v>
      </c>
      <c r="M426" s="2">
        <v>42057.0</v>
      </c>
      <c r="N426" s="1" t="s">
        <v>187</v>
      </c>
      <c r="O426" s="2">
        <v>42094.0</v>
      </c>
      <c r="P426" s="1">
        <v>127763.0</v>
      </c>
      <c r="Q426" s="1">
        <v>18080.0</v>
      </c>
      <c r="S426" s="1">
        <v>5004.0</v>
      </c>
      <c r="T426" s="1" t="s">
        <v>5915</v>
      </c>
      <c r="U426" s="1" t="s">
        <v>320</v>
      </c>
      <c r="V426" s="1" t="s">
        <v>190</v>
      </c>
      <c r="W426" s="1">
        <v>60641.0</v>
      </c>
      <c r="Y426" s="1" t="s">
        <v>5916</v>
      </c>
      <c r="Z426" s="1">
        <v>1910.0</v>
      </c>
      <c r="AA426" s="1" t="s">
        <v>192</v>
      </c>
      <c r="AB426" s="1" t="s">
        <v>193</v>
      </c>
      <c r="AD426" s="1" t="s">
        <v>194</v>
      </c>
      <c r="AE426" s="1" t="s">
        <v>195</v>
      </c>
      <c r="AF426" s="1" t="s">
        <v>196</v>
      </c>
      <c r="AH426" s="1" t="s">
        <v>5917</v>
      </c>
      <c r="AK426" s="1">
        <v>7.0</v>
      </c>
      <c r="AL426" s="1">
        <v>4.0</v>
      </c>
      <c r="AM426" s="1">
        <v>3.0</v>
      </c>
      <c r="AN426" s="1">
        <v>0.0</v>
      </c>
      <c r="AO426" s="1" t="s">
        <v>198</v>
      </c>
      <c r="AQ426" s="1" t="s">
        <v>198</v>
      </c>
      <c r="AR426" s="1" t="s">
        <v>200</v>
      </c>
      <c r="AS426" s="1" t="s">
        <v>199</v>
      </c>
      <c r="AT426" s="1">
        <v>2.0</v>
      </c>
      <c r="AV426" s="1" t="s">
        <v>200</v>
      </c>
      <c r="AW426" s="1">
        <v>4936.79</v>
      </c>
      <c r="AX426" s="1">
        <v>2013.0</v>
      </c>
      <c r="AY426" s="1" t="s">
        <v>229</v>
      </c>
      <c r="AZ426" s="1" t="s">
        <v>200</v>
      </c>
      <c r="BA426" s="1" t="str">
        <f>"13212050390000"</f>
        <v>13212050390000</v>
      </c>
      <c r="BC426" s="1">
        <v>2900.0</v>
      </c>
      <c r="BD426" s="1">
        <v>430000.0</v>
      </c>
      <c r="BE426" s="2">
        <v>41974.0</v>
      </c>
      <c r="BF426" s="2" t="s">
        <v>5918</v>
      </c>
      <c r="BH426" s="1">
        <v>0.0</v>
      </c>
      <c r="BK426" s="1" t="s">
        <v>204</v>
      </c>
      <c r="BL426" s="1" t="str">
        <f>"3800"</f>
        <v>3800</v>
      </c>
      <c r="BM426" s="1" t="str">
        <f>"0"</f>
        <v>0</v>
      </c>
      <c r="BN426" s="1">
        <v>5004.0</v>
      </c>
      <c r="BO426" s="1">
        <v>0.0</v>
      </c>
      <c r="BQ426" s="1">
        <v>299.0</v>
      </c>
      <c r="BR426" s="1">
        <v>299.0</v>
      </c>
      <c r="BS426" s="1">
        <v>299.0</v>
      </c>
      <c r="BU426" s="1" t="s">
        <v>515</v>
      </c>
      <c r="BV426" s="1" t="s">
        <v>206</v>
      </c>
      <c r="BW426" s="1" t="s">
        <v>207</v>
      </c>
      <c r="BY426" s="1" t="s">
        <v>364</v>
      </c>
      <c r="BZ426" s="1" t="s">
        <v>391</v>
      </c>
      <c r="CA426" s="1" t="s">
        <v>210</v>
      </c>
      <c r="CC426" s="1" t="s">
        <v>211</v>
      </c>
      <c r="CD426" s="1" t="s">
        <v>206</v>
      </c>
      <c r="CE426" s="1" t="s">
        <v>207</v>
      </c>
      <c r="CG426" s="1" t="s">
        <v>743</v>
      </c>
      <c r="CH426" s="1" t="s">
        <v>209</v>
      </c>
      <c r="CI426" s="1" t="s">
        <v>210</v>
      </c>
      <c r="CK426" s="1" t="s">
        <v>584</v>
      </c>
      <c r="CL426" s="1" t="s">
        <v>209</v>
      </c>
      <c r="CM426" s="1" t="s">
        <v>210</v>
      </c>
      <c r="CO426" s="1" t="s">
        <v>584</v>
      </c>
      <c r="CP426" s="1" t="s">
        <v>209</v>
      </c>
      <c r="CQ426" s="1" t="s">
        <v>210</v>
      </c>
      <c r="CS426" s="1" t="s">
        <v>393</v>
      </c>
      <c r="CT426" s="1" t="s">
        <v>206</v>
      </c>
      <c r="CU426" s="1" t="s">
        <v>207</v>
      </c>
      <c r="CX426" s="1" t="s">
        <v>204</v>
      </c>
      <c r="DA426" s="1" t="s">
        <v>200</v>
      </c>
      <c r="DC426" s="1" t="s">
        <v>642</v>
      </c>
      <c r="DD426" s="1" t="s">
        <v>731</v>
      </c>
      <c r="DE426" s="1" t="s">
        <v>1810</v>
      </c>
      <c r="DF426" s="1" t="s">
        <v>2328</v>
      </c>
      <c r="DH426" s="1" t="s">
        <v>220</v>
      </c>
      <c r="DI426" s="1" t="s">
        <v>5919</v>
      </c>
      <c r="DJ426" s="1" t="s">
        <v>222</v>
      </c>
      <c r="DK426" s="1" t="s">
        <v>2506</v>
      </c>
      <c r="DL426" s="1" t="s">
        <v>223</v>
      </c>
      <c r="DM426" s="1" t="s">
        <v>1247</v>
      </c>
      <c r="DN426" s="1" t="s">
        <v>5920</v>
      </c>
      <c r="DP426" s="1" t="s">
        <v>276</v>
      </c>
      <c r="DQ426" s="1" t="s">
        <v>718</v>
      </c>
      <c r="DR426" s="1" t="s">
        <v>229</v>
      </c>
      <c r="DS426" s="1" t="s">
        <v>368</v>
      </c>
      <c r="DV426" s="1" t="s">
        <v>409</v>
      </c>
      <c r="DW426" s="1" t="s">
        <v>832</v>
      </c>
      <c r="DX426" s="1" t="s">
        <v>309</v>
      </c>
      <c r="DY426" s="1" t="s">
        <v>5921</v>
      </c>
      <c r="EC426" s="1" t="s">
        <v>406</v>
      </c>
      <c r="ED426" s="1" t="s">
        <v>555</v>
      </c>
      <c r="EE426" s="1" t="s">
        <v>493</v>
      </c>
      <c r="EG426" s="1" t="s">
        <v>409</v>
      </c>
      <c r="EL426" s="1" t="s">
        <v>5922</v>
      </c>
      <c r="EM426" s="1" t="s">
        <v>209</v>
      </c>
      <c r="EN426" s="1" t="s">
        <v>210</v>
      </c>
      <c r="EQ426" s="1" t="s">
        <v>238</v>
      </c>
      <c r="EU426" s="1" t="s">
        <v>238</v>
      </c>
      <c r="EY426" s="1" t="s">
        <v>238</v>
      </c>
      <c r="FC426" s="1" t="s">
        <v>238</v>
      </c>
      <c r="FF426" s="1" t="s">
        <v>2447</v>
      </c>
      <c r="FG426" s="1" t="s">
        <v>192</v>
      </c>
      <c r="FH426" s="1" t="s">
        <v>192</v>
      </c>
      <c r="FJ426" s="1" t="s">
        <v>285</v>
      </c>
      <c r="FK426" s="1" t="s">
        <v>229</v>
      </c>
      <c r="FL426" s="1" t="s">
        <v>5923</v>
      </c>
      <c r="FM426" s="1">
        <v>18229.0</v>
      </c>
      <c r="FN426" s="1" t="s">
        <v>5924</v>
      </c>
      <c r="FO426" s="1" t="s">
        <v>5925</v>
      </c>
      <c r="FP426" s="1">
        <v>144575.0</v>
      </c>
      <c r="FQ426" s="1" t="s">
        <v>5926</v>
      </c>
      <c r="FU426" s="1" t="s">
        <v>5927</v>
      </c>
      <c r="FV426" s="1" t="s">
        <v>200</v>
      </c>
      <c r="FW426" s="1" t="s">
        <v>1293</v>
      </c>
      <c r="FX426" s="1" t="s">
        <v>246</v>
      </c>
      <c r="FZ426" s="1" t="s">
        <v>229</v>
      </c>
      <c r="GA426" s="1" t="s">
        <v>291</v>
      </c>
      <c r="GB426" s="2">
        <v>42098.0</v>
      </c>
    </row>
    <row r="427">
      <c r="A427" s="1">
        <v>250000.0</v>
      </c>
      <c r="B427" s="1" t="s">
        <v>185</v>
      </c>
      <c r="C427" s="1" t="str">
        <f>"08793324"</f>
        <v>08793324</v>
      </c>
      <c r="D427" s="1" t="s">
        <v>186</v>
      </c>
      <c r="F427" s="1" t="str">
        <f>"119"</f>
        <v>119</v>
      </c>
      <c r="G427" s="2">
        <v>41969.0</v>
      </c>
      <c r="H427" s="1">
        <v>309900.0</v>
      </c>
      <c r="I427" s="1">
        <v>93.0</v>
      </c>
      <c r="J427" s="1">
        <v>249900.0</v>
      </c>
      <c r="K427" s="2">
        <v>42061.0</v>
      </c>
      <c r="L427" s="1">
        <v>93.0</v>
      </c>
      <c r="M427" s="2">
        <v>42061.0</v>
      </c>
      <c r="N427" s="1" t="s">
        <v>187</v>
      </c>
      <c r="O427" s="2">
        <v>42118.0</v>
      </c>
      <c r="P427" s="1">
        <v>2161.0</v>
      </c>
      <c r="Q427" s="1">
        <v>7450.0</v>
      </c>
      <c r="S427" s="1">
        <v>1057.0</v>
      </c>
      <c r="T427" s="1" t="s">
        <v>5928</v>
      </c>
      <c r="U427" s="1" t="s">
        <v>569</v>
      </c>
      <c r="V427" s="1" t="s">
        <v>1476</v>
      </c>
      <c r="W427" s="1">
        <v>60119.0</v>
      </c>
      <c r="Y427" s="1" t="s">
        <v>5929</v>
      </c>
      <c r="Z427" s="1">
        <v>2004.0</v>
      </c>
      <c r="AA427" s="1" t="s">
        <v>200</v>
      </c>
      <c r="AB427" s="1" t="s">
        <v>467</v>
      </c>
      <c r="AC427" s="1" t="s">
        <v>4349</v>
      </c>
      <c r="AD427" s="1" t="s">
        <v>1478</v>
      </c>
      <c r="AE427" s="1" t="s">
        <v>325</v>
      </c>
      <c r="AF427" s="1" t="s">
        <v>1479</v>
      </c>
      <c r="AH427" s="1" t="s">
        <v>5930</v>
      </c>
      <c r="AI427" s="1">
        <v>0.2606</v>
      </c>
      <c r="AK427" s="1">
        <v>10.0</v>
      </c>
      <c r="AL427" s="1">
        <v>4.0</v>
      </c>
      <c r="AM427" s="1">
        <v>2.0</v>
      </c>
      <c r="AN427" s="1">
        <v>1.0</v>
      </c>
      <c r="AO427" s="1" t="s">
        <v>198</v>
      </c>
      <c r="AP427" s="1">
        <v>2.0</v>
      </c>
      <c r="AQ427" s="1" t="s">
        <v>472</v>
      </c>
      <c r="AR427" s="1" t="s">
        <v>200</v>
      </c>
      <c r="AS427" s="1" t="s">
        <v>199</v>
      </c>
      <c r="AT427" s="1">
        <v>3.0</v>
      </c>
      <c r="AV427" s="1" t="s">
        <v>200</v>
      </c>
      <c r="AW427" s="1">
        <v>7891.98</v>
      </c>
      <c r="AX427" s="1">
        <v>2013.0</v>
      </c>
      <c r="AY427" s="1" t="s">
        <v>387</v>
      </c>
      <c r="AZ427" s="1" t="s">
        <v>200</v>
      </c>
      <c r="BA427" s="1" t="str">
        <f>"1108206006"</f>
        <v>1108206006</v>
      </c>
      <c r="BB427" s="1" t="s">
        <v>200</v>
      </c>
      <c r="BC427" s="1">
        <v>3564.0</v>
      </c>
      <c r="BD427" s="1">
        <v>250000.0</v>
      </c>
      <c r="BE427" s="2">
        <v>41969.0</v>
      </c>
      <c r="BF427" s="2" t="s">
        <v>5931</v>
      </c>
      <c r="BG427" s="1" t="s">
        <v>4351</v>
      </c>
      <c r="BH427" s="1">
        <v>240.0</v>
      </c>
      <c r="BI427" s="1" t="s">
        <v>1635</v>
      </c>
      <c r="BJ427" s="1" t="s">
        <v>1636</v>
      </c>
      <c r="BK427" s="1" t="s">
        <v>580</v>
      </c>
      <c r="BL427" s="1" t="str">
        <f t="shared" ref="BL427:BM427" si="282">"0"</f>
        <v>0</v>
      </c>
      <c r="BM427" s="1" t="str">
        <f t="shared" si="282"/>
        <v>0</v>
      </c>
      <c r="BN427" s="1">
        <v>42.0</v>
      </c>
      <c r="BO427" s="1">
        <v>0.0</v>
      </c>
      <c r="BQ427" s="1">
        <v>302.0</v>
      </c>
      <c r="BR427" s="1">
        <v>302.0</v>
      </c>
      <c r="BS427" s="1">
        <v>302.0</v>
      </c>
      <c r="BU427" s="1" t="s">
        <v>304</v>
      </c>
      <c r="BV427" s="1" t="s">
        <v>206</v>
      </c>
      <c r="BW427" s="1" t="s">
        <v>210</v>
      </c>
      <c r="BY427" s="1" t="s">
        <v>5932</v>
      </c>
      <c r="BZ427" s="1" t="s">
        <v>209</v>
      </c>
      <c r="CA427" s="1" t="s">
        <v>210</v>
      </c>
      <c r="CC427" s="1" t="s">
        <v>2442</v>
      </c>
      <c r="CD427" s="1" t="s">
        <v>206</v>
      </c>
      <c r="CE427" s="1" t="s">
        <v>210</v>
      </c>
      <c r="CG427" s="1" t="s">
        <v>478</v>
      </c>
      <c r="CH427" s="1" t="s">
        <v>209</v>
      </c>
      <c r="CI427" s="1" t="s">
        <v>210</v>
      </c>
      <c r="CK427" s="1" t="s">
        <v>1395</v>
      </c>
      <c r="CL427" s="1" t="s">
        <v>209</v>
      </c>
      <c r="CM427" s="1" t="s">
        <v>210</v>
      </c>
      <c r="CO427" s="1" t="s">
        <v>584</v>
      </c>
      <c r="CP427" s="1" t="s">
        <v>209</v>
      </c>
      <c r="CQ427" s="1" t="s">
        <v>210</v>
      </c>
      <c r="CS427" s="1" t="s">
        <v>2924</v>
      </c>
      <c r="CT427" s="1" t="s">
        <v>206</v>
      </c>
      <c r="CU427" s="1" t="s">
        <v>617</v>
      </c>
      <c r="CW427" s="1" t="s">
        <v>453</v>
      </c>
      <c r="CX427" s="1" t="s">
        <v>206</v>
      </c>
      <c r="CY427" s="1" t="s">
        <v>210</v>
      </c>
      <c r="DA427" s="1" t="s">
        <v>200</v>
      </c>
      <c r="DC427" s="1" t="s">
        <v>335</v>
      </c>
      <c r="DD427" s="1" t="s">
        <v>518</v>
      </c>
      <c r="DE427" s="1" t="s">
        <v>273</v>
      </c>
      <c r="DF427" s="1" t="s">
        <v>219</v>
      </c>
      <c r="DG427" s="1" t="s">
        <v>482</v>
      </c>
      <c r="DH427" s="1" t="s">
        <v>220</v>
      </c>
      <c r="DI427" s="1" t="s">
        <v>2547</v>
      </c>
      <c r="DJ427" s="1" t="s">
        <v>222</v>
      </c>
      <c r="DL427" s="1" t="s">
        <v>858</v>
      </c>
      <c r="DM427" s="1" t="s">
        <v>1919</v>
      </c>
      <c r="DO427" s="1" t="s">
        <v>2548</v>
      </c>
      <c r="DP427" s="1" t="s">
        <v>276</v>
      </c>
      <c r="DQ427" s="1" t="s">
        <v>441</v>
      </c>
      <c r="DR427" s="1" t="s">
        <v>1487</v>
      </c>
      <c r="DU427" s="1" t="s">
        <v>1355</v>
      </c>
      <c r="DV427" s="1" t="s">
        <v>4076</v>
      </c>
      <c r="DW427" s="1" t="s">
        <v>891</v>
      </c>
      <c r="DX427" s="1" t="s">
        <v>234</v>
      </c>
      <c r="DY427" s="1" t="s">
        <v>4238</v>
      </c>
      <c r="EA427" s="1" t="s">
        <v>344</v>
      </c>
      <c r="EB427" s="1" t="s">
        <v>5933</v>
      </c>
      <c r="EC427" s="1" t="s">
        <v>237</v>
      </c>
      <c r="EE427" s="1" t="s">
        <v>493</v>
      </c>
      <c r="EG427" s="1" t="s">
        <v>341</v>
      </c>
      <c r="EH427" s="1" t="s">
        <v>450</v>
      </c>
      <c r="EL427" s="1" t="s">
        <v>782</v>
      </c>
      <c r="EM427" s="1" t="s">
        <v>209</v>
      </c>
      <c r="EN427" s="1" t="s">
        <v>210</v>
      </c>
      <c r="EP427" s="1" t="s">
        <v>878</v>
      </c>
      <c r="EQ427" s="1" t="s">
        <v>42</v>
      </c>
      <c r="EU427" s="1" t="s">
        <v>238</v>
      </c>
      <c r="EY427" s="1" t="s">
        <v>238</v>
      </c>
      <c r="FC427" s="1" t="s">
        <v>238</v>
      </c>
      <c r="FF427" s="1" t="s">
        <v>239</v>
      </c>
      <c r="FG427" s="1" t="s">
        <v>192</v>
      </c>
      <c r="FH427" s="1" t="s">
        <v>192</v>
      </c>
      <c r="FJ427" s="1" t="s">
        <v>1248</v>
      </c>
      <c r="FK427" s="1" t="s">
        <v>229</v>
      </c>
      <c r="FL427" s="1" t="s">
        <v>1855</v>
      </c>
      <c r="FM427" s="1">
        <v>41.0</v>
      </c>
      <c r="FN427" s="1" t="s">
        <v>1856</v>
      </c>
      <c r="FO427" s="1" t="s">
        <v>1857</v>
      </c>
      <c r="FP427" s="1">
        <v>8483.0</v>
      </c>
      <c r="FQ427" s="1" t="s">
        <v>1858</v>
      </c>
      <c r="FS427" s="1" t="s">
        <v>5934</v>
      </c>
      <c r="FT427" s="1" t="s">
        <v>1860</v>
      </c>
      <c r="FU427" s="1" t="s">
        <v>5935</v>
      </c>
      <c r="FV427" s="1" t="s">
        <v>200</v>
      </c>
      <c r="FW427" s="1" t="s">
        <v>354</v>
      </c>
      <c r="FZ427" s="1" t="s">
        <v>229</v>
      </c>
      <c r="GA427" s="1" t="s">
        <v>291</v>
      </c>
      <c r="GB427" s="2">
        <v>42118.0</v>
      </c>
      <c r="GC427" s="1" t="s">
        <v>4769</v>
      </c>
    </row>
    <row r="428">
      <c r="A428" s="1">
        <v>262000.0</v>
      </c>
      <c r="B428" s="1" t="s">
        <v>185</v>
      </c>
      <c r="C428" s="1" t="str">
        <f>"08859904"</f>
        <v>08859904</v>
      </c>
      <c r="D428" s="1" t="s">
        <v>186</v>
      </c>
      <c r="F428" s="1" t="str">
        <f>"510"</f>
        <v>510</v>
      </c>
      <c r="G428" s="2">
        <v>42075.0</v>
      </c>
      <c r="H428" s="1">
        <v>279000.0</v>
      </c>
      <c r="I428" s="1">
        <v>1.0</v>
      </c>
      <c r="J428" s="1">
        <v>279000.0</v>
      </c>
      <c r="K428" s="2">
        <v>42075.0</v>
      </c>
      <c r="L428" s="1">
        <v>1.0</v>
      </c>
      <c r="M428" s="2">
        <v>42075.0</v>
      </c>
      <c r="N428" s="1" t="s">
        <v>187</v>
      </c>
      <c r="O428" s="2">
        <v>42109.0</v>
      </c>
      <c r="P428" s="1">
        <v>702484.0</v>
      </c>
      <c r="Q428" s="1">
        <v>79973.0</v>
      </c>
      <c r="S428" s="1">
        <v>1104.0</v>
      </c>
      <c r="T428" s="1" t="s">
        <v>5936</v>
      </c>
      <c r="U428" s="1" t="s">
        <v>189</v>
      </c>
      <c r="V428" s="1" t="s">
        <v>2700</v>
      </c>
      <c r="W428" s="1">
        <v>60510.0</v>
      </c>
      <c r="Y428" s="1" t="s">
        <v>5937</v>
      </c>
      <c r="Z428" s="1">
        <v>1940.0</v>
      </c>
      <c r="AA428" s="1" t="s">
        <v>192</v>
      </c>
      <c r="AB428" s="1" t="s">
        <v>193</v>
      </c>
      <c r="AD428" s="1" t="s">
        <v>1089</v>
      </c>
      <c r="AE428" s="1" t="s">
        <v>325</v>
      </c>
      <c r="AF428" s="1" t="s">
        <v>2702</v>
      </c>
      <c r="AH428" s="1" t="s">
        <v>5938</v>
      </c>
      <c r="AI428" s="1">
        <v>1.05</v>
      </c>
      <c r="AK428" s="1">
        <v>8.0</v>
      </c>
      <c r="AL428" s="1">
        <v>4.0</v>
      </c>
      <c r="AM428" s="1">
        <v>1.0</v>
      </c>
      <c r="AN428" s="1">
        <v>1.0</v>
      </c>
      <c r="AO428" s="1" t="s">
        <v>229</v>
      </c>
      <c r="AP428" s="1">
        <v>1.0</v>
      </c>
      <c r="AQ428" s="1" t="s">
        <v>1314</v>
      </c>
      <c r="AR428" s="1" t="s">
        <v>200</v>
      </c>
      <c r="AS428" s="1" t="s">
        <v>199</v>
      </c>
      <c r="AT428" s="1">
        <v>1.0</v>
      </c>
      <c r="AV428" s="1" t="s">
        <v>192</v>
      </c>
      <c r="AW428" s="1">
        <v>7006.0</v>
      </c>
      <c r="AX428" s="1">
        <v>2013.0</v>
      </c>
      <c r="AY428" s="1" t="s">
        <v>387</v>
      </c>
      <c r="AZ428" s="1" t="s">
        <v>200</v>
      </c>
      <c r="BA428" s="1" t="str">
        <f>"1227177013"</f>
        <v>1227177013</v>
      </c>
      <c r="BC428" s="1">
        <v>1863.0</v>
      </c>
      <c r="BD428" s="1">
        <v>262000.0</v>
      </c>
      <c r="BE428" s="2">
        <v>42075.0</v>
      </c>
      <c r="BF428" s="1" t="s">
        <v>5939</v>
      </c>
      <c r="BG428" s="1" t="s">
        <v>5940</v>
      </c>
      <c r="BH428" s="1">
        <v>0.0</v>
      </c>
      <c r="BI428" s="1" t="s">
        <v>3090</v>
      </c>
      <c r="BJ428" s="1" t="s">
        <v>3091</v>
      </c>
      <c r="BK428" s="1" t="s">
        <v>204</v>
      </c>
      <c r="BL428" s="1" t="str">
        <f t="shared" ref="BL428:BM428" si="283">""</f>
        <v/>
      </c>
      <c r="BM428" s="1" t="str">
        <f t="shared" si="283"/>
        <v/>
      </c>
      <c r="BQ428" s="1">
        <v>101.0</v>
      </c>
      <c r="BR428" s="1">
        <v>101.0</v>
      </c>
      <c r="BS428" s="1">
        <v>101.0</v>
      </c>
      <c r="BU428" s="1" t="s">
        <v>208</v>
      </c>
      <c r="BV428" s="1" t="s">
        <v>206</v>
      </c>
      <c r="BW428" s="1" t="s">
        <v>207</v>
      </c>
      <c r="BY428" s="1" t="s">
        <v>699</v>
      </c>
      <c r="BZ428" s="1" t="s">
        <v>206</v>
      </c>
      <c r="CA428" s="1" t="s">
        <v>207</v>
      </c>
      <c r="CC428" s="1" t="s">
        <v>212</v>
      </c>
      <c r="CD428" s="1" t="s">
        <v>206</v>
      </c>
      <c r="CE428" s="1" t="s">
        <v>207</v>
      </c>
      <c r="CG428" s="1" t="s">
        <v>699</v>
      </c>
      <c r="CH428" s="1" t="s">
        <v>206</v>
      </c>
      <c r="CI428" s="1" t="s">
        <v>207</v>
      </c>
      <c r="CK428" s="1" t="s">
        <v>1229</v>
      </c>
      <c r="CL428" s="1" t="s">
        <v>209</v>
      </c>
      <c r="CM428" s="1" t="s">
        <v>207</v>
      </c>
      <c r="CO428" s="1" t="s">
        <v>266</v>
      </c>
      <c r="CP428" s="1" t="s">
        <v>209</v>
      </c>
      <c r="CQ428" s="1" t="s">
        <v>207</v>
      </c>
      <c r="CS428" s="1" t="s">
        <v>699</v>
      </c>
      <c r="CT428" s="1" t="s">
        <v>206</v>
      </c>
      <c r="CU428" s="1" t="s">
        <v>617</v>
      </c>
      <c r="CW428" s="1" t="s">
        <v>5941</v>
      </c>
      <c r="CX428" s="1" t="s">
        <v>206</v>
      </c>
      <c r="CY428" s="1" t="s">
        <v>210</v>
      </c>
      <c r="DA428" s="1" t="s">
        <v>200</v>
      </c>
      <c r="DC428" s="1" t="s">
        <v>1399</v>
      </c>
      <c r="DE428" s="1" t="s">
        <v>273</v>
      </c>
      <c r="DF428" s="1" t="s">
        <v>219</v>
      </c>
      <c r="DH428" s="1" t="s">
        <v>856</v>
      </c>
      <c r="DJ428" s="1" t="s">
        <v>857</v>
      </c>
      <c r="DL428" s="1" t="s">
        <v>223</v>
      </c>
      <c r="DM428" s="1" t="s">
        <v>338</v>
      </c>
      <c r="DO428" s="1" t="s">
        <v>5942</v>
      </c>
      <c r="DP428" s="1" t="s">
        <v>5943</v>
      </c>
      <c r="DQ428" s="1" t="s">
        <v>931</v>
      </c>
      <c r="DR428" s="1" t="s">
        <v>229</v>
      </c>
      <c r="DS428" s="1" t="s">
        <v>401</v>
      </c>
      <c r="DU428" s="1" t="s">
        <v>5944</v>
      </c>
      <c r="DV428" s="1" t="s">
        <v>374</v>
      </c>
      <c r="DW428" s="1" t="s">
        <v>233</v>
      </c>
      <c r="DX428" s="1" t="s">
        <v>234</v>
      </c>
      <c r="DY428" s="1" t="s">
        <v>553</v>
      </c>
      <c r="DZ428" s="1" t="s">
        <v>5945</v>
      </c>
      <c r="EB428" s="1" t="s">
        <v>345</v>
      </c>
      <c r="EC428" s="1" t="s">
        <v>645</v>
      </c>
      <c r="EG428" s="1" t="s">
        <v>374</v>
      </c>
      <c r="EL428" s="1" t="s">
        <v>332</v>
      </c>
      <c r="EM428" s="1" t="s">
        <v>206</v>
      </c>
      <c r="EN428" s="1" t="s">
        <v>268</v>
      </c>
      <c r="EQ428" s="1" t="s">
        <v>238</v>
      </c>
      <c r="EU428" s="1" t="s">
        <v>238</v>
      </c>
      <c r="EY428" s="1" t="s">
        <v>238</v>
      </c>
      <c r="FC428" s="1" t="s">
        <v>238</v>
      </c>
      <c r="FF428" s="1" t="s">
        <v>239</v>
      </c>
      <c r="FG428" s="1" t="s">
        <v>192</v>
      </c>
      <c r="FH428" s="1" t="s">
        <v>192</v>
      </c>
      <c r="FJ428" s="1" t="s">
        <v>624</v>
      </c>
      <c r="FK428" s="1" t="s">
        <v>229</v>
      </c>
      <c r="FL428" s="1" t="s">
        <v>456</v>
      </c>
      <c r="FM428" s="1">
        <v>49.0</v>
      </c>
      <c r="FN428" s="1" t="s">
        <v>457</v>
      </c>
      <c r="FO428" s="1" t="s">
        <v>5946</v>
      </c>
      <c r="FP428" s="1">
        <v>1016.0</v>
      </c>
      <c r="FQ428" s="1" t="s">
        <v>5947</v>
      </c>
      <c r="FS428" s="1" t="s">
        <v>5948</v>
      </c>
      <c r="FU428" s="1" t="s">
        <v>5949</v>
      </c>
      <c r="FV428" s="1" t="s">
        <v>200</v>
      </c>
      <c r="FW428" s="1" t="s">
        <v>290</v>
      </c>
      <c r="FZ428" s="1" t="s">
        <v>229</v>
      </c>
      <c r="GA428" s="1" t="s">
        <v>291</v>
      </c>
      <c r="GB428" s="2">
        <v>42110.0</v>
      </c>
    </row>
    <row r="429">
      <c r="A429" s="1">
        <v>278000.0</v>
      </c>
      <c r="B429" s="1" t="s">
        <v>185</v>
      </c>
      <c r="C429" s="1" t="str">
        <f>"08797369"</f>
        <v>08797369</v>
      </c>
      <c r="D429" s="1" t="s">
        <v>186</v>
      </c>
      <c r="F429" s="1" t="str">
        <f>"134"</f>
        <v>134</v>
      </c>
      <c r="G429" s="2">
        <v>41978.0</v>
      </c>
      <c r="H429" s="1">
        <v>309900.0</v>
      </c>
      <c r="I429" s="1">
        <v>50.0</v>
      </c>
      <c r="J429" s="1">
        <v>294900.0</v>
      </c>
      <c r="K429" s="2">
        <v>42026.0</v>
      </c>
      <c r="L429" s="1">
        <v>50.0</v>
      </c>
      <c r="M429" s="2">
        <v>42026.0</v>
      </c>
      <c r="N429" s="1" t="s">
        <v>187</v>
      </c>
      <c r="O429" s="2">
        <v>42076.0</v>
      </c>
      <c r="P429" s="1">
        <v>920858.0</v>
      </c>
      <c r="Q429" s="1">
        <v>8079.0</v>
      </c>
      <c r="S429" s="1" t="s">
        <v>5950</v>
      </c>
      <c r="T429" s="1" t="s">
        <v>5951</v>
      </c>
      <c r="V429" s="1" t="s">
        <v>421</v>
      </c>
      <c r="W429" s="1">
        <v>60134.0</v>
      </c>
      <c r="Y429" s="1" t="s">
        <v>5952</v>
      </c>
      <c r="Z429" s="1">
        <v>2005.0</v>
      </c>
      <c r="AA429" s="1" t="s">
        <v>200</v>
      </c>
      <c r="AB429" s="1" t="s">
        <v>193</v>
      </c>
      <c r="AD429" s="1" t="s">
        <v>424</v>
      </c>
      <c r="AE429" s="1" t="s">
        <v>325</v>
      </c>
      <c r="AF429" s="1" t="s">
        <v>1479</v>
      </c>
      <c r="AH429" s="1">
        <v>10400.0</v>
      </c>
      <c r="AK429" s="1">
        <v>8.0</v>
      </c>
      <c r="AL429" s="1">
        <v>4.0</v>
      </c>
      <c r="AM429" s="1">
        <v>2.0</v>
      </c>
      <c r="AN429" s="1">
        <v>1.0</v>
      </c>
      <c r="AO429" s="1" t="s">
        <v>198</v>
      </c>
      <c r="AP429" s="1">
        <v>1.0</v>
      </c>
      <c r="AQ429" s="1" t="s">
        <v>198</v>
      </c>
      <c r="AR429" s="1" t="s">
        <v>200</v>
      </c>
      <c r="AS429" s="1" t="s">
        <v>199</v>
      </c>
      <c r="AT429" s="1">
        <v>2.0</v>
      </c>
      <c r="AV429" s="1" t="s">
        <v>200</v>
      </c>
      <c r="AW429" s="1">
        <v>8905.92</v>
      </c>
      <c r="AX429" s="1">
        <v>2013.0</v>
      </c>
      <c r="AZ429" s="1" t="s">
        <v>200</v>
      </c>
      <c r="BA429" s="1" t="str">
        <f>"1124178006"</f>
        <v>1124178006</v>
      </c>
      <c r="BC429" s="1">
        <v>2215.0</v>
      </c>
      <c r="BD429" s="1">
        <v>278000.0</v>
      </c>
      <c r="BE429" s="2">
        <v>41977.0</v>
      </c>
      <c r="BF429" s="2" t="s">
        <v>5953</v>
      </c>
      <c r="BH429" s="1">
        <v>0.0</v>
      </c>
      <c r="BK429" s="1" t="s">
        <v>204</v>
      </c>
      <c r="BL429" s="1" t="str">
        <f t="shared" ref="BL429:BM429" si="284">""</f>
        <v/>
      </c>
      <c r="BM429" s="1" t="str">
        <f t="shared" si="284"/>
        <v/>
      </c>
      <c r="BQ429" s="1">
        <v>101.0</v>
      </c>
      <c r="BR429" s="1">
        <v>101.0</v>
      </c>
      <c r="BS429" s="1">
        <v>101.0</v>
      </c>
      <c r="BU429" s="1" t="s">
        <v>1183</v>
      </c>
      <c r="BV429" s="1" t="s">
        <v>206</v>
      </c>
      <c r="BY429" s="1" t="s">
        <v>5954</v>
      </c>
      <c r="BZ429" s="1" t="s">
        <v>209</v>
      </c>
      <c r="CC429" s="1" t="s">
        <v>1417</v>
      </c>
      <c r="CD429" s="1" t="s">
        <v>206</v>
      </c>
      <c r="CG429" s="1" t="s">
        <v>302</v>
      </c>
      <c r="CH429" s="1" t="s">
        <v>209</v>
      </c>
      <c r="CK429" s="1" t="s">
        <v>363</v>
      </c>
      <c r="CL429" s="1" t="s">
        <v>209</v>
      </c>
      <c r="CO429" s="1" t="s">
        <v>1352</v>
      </c>
      <c r="CP429" s="1" t="s">
        <v>209</v>
      </c>
      <c r="CS429" s="1" t="s">
        <v>5955</v>
      </c>
      <c r="CT429" s="1" t="s">
        <v>206</v>
      </c>
      <c r="CW429" s="1" t="s">
        <v>1350</v>
      </c>
      <c r="CX429" s="1" t="s">
        <v>206</v>
      </c>
      <c r="DA429" s="1" t="s">
        <v>200</v>
      </c>
      <c r="DC429" s="1" t="s">
        <v>481</v>
      </c>
      <c r="DE429" s="1" t="s">
        <v>273</v>
      </c>
      <c r="DF429" s="1" t="s">
        <v>219</v>
      </c>
      <c r="DH429" s="1" t="s">
        <v>220</v>
      </c>
      <c r="DJ429" s="1" t="s">
        <v>222</v>
      </c>
      <c r="DL429" s="1" t="s">
        <v>223</v>
      </c>
      <c r="DM429" s="1" t="s">
        <v>229</v>
      </c>
      <c r="DQ429" s="1" t="s">
        <v>228</v>
      </c>
      <c r="DR429" s="1" t="s">
        <v>229</v>
      </c>
      <c r="DV429" s="1" t="s">
        <v>232</v>
      </c>
      <c r="DW429" s="1" t="s">
        <v>233</v>
      </c>
      <c r="DX429" s="1" t="s">
        <v>234</v>
      </c>
      <c r="EC429" s="1" t="s">
        <v>237</v>
      </c>
      <c r="EM429" s="1" t="s">
        <v>238</v>
      </c>
      <c r="EQ429" s="1" t="s">
        <v>238</v>
      </c>
      <c r="EU429" s="1" t="s">
        <v>238</v>
      </c>
      <c r="EY429" s="1" t="s">
        <v>238</v>
      </c>
      <c r="FC429" s="1" t="s">
        <v>238</v>
      </c>
      <c r="FF429" s="1" t="s">
        <v>239</v>
      </c>
      <c r="FG429" s="1" t="s">
        <v>192</v>
      </c>
      <c r="FH429" s="1" t="s">
        <v>192</v>
      </c>
      <c r="FJ429" s="1" t="s">
        <v>770</v>
      </c>
      <c r="FK429" s="1" t="s">
        <v>229</v>
      </c>
      <c r="FL429" s="1" t="s">
        <v>1383</v>
      </c>
      <c r="FM429" s="1">
        <v>24370.0</v>
      </c>
      <c r="FN429" s="1" t="s">
        <v>1384</v>
      </c>
      <c r="FO429" s="1" t="s">
        <v>1385</v>
      </c>
      <c r="FP429" s="1">
        <v>244997.0</v>
      </c>
      <c r="FQ429" s="1" t="s">
        <v>1386</v>
      </c>
      <c r="FR429" s="1">
        <v>259338.0</v>
      </c>
      <c r="FS429" s="1" t="s">
        <v>1387</v>
      </c>
      <c r="FU429" s="1" t="s">
        <v>5956</v>
      </c>
      <c r="FV429" s="1" t="s">
        <v>200</v>
      </c>
      <c r="FW429" s="1" t="s">
        <v>290</v>
      </c>
      <c r="FX429" s="1" t="s">
        <v>655</v>
      </c>
      <c r="FZ429" s="1" t="s">
        <v>229</v>
      </c>
      <c r="GA429" s="1" t="s">
        <v>291</v>
      </c>
      <c r="GB429" s="2">
        <v>42079.0</v>
      </c>
      <c r="GC429" s="1" t="s">
        <v>5957</v>
      </c>
    </row>
    <row r="430">
      <c r="A430" s="1">
        <v>175000.0</v>
      </c>
      <c r="B430" s="1" t="s">
        <v>185</v>
      </c>
      <c r="C430" s="1" t="str">
        <f>"08795822"</f>
        <v>08795822</v>
      </c>
      <c r="D430" s="1" t="s">
        <v>186</v>
      </c>
      <c r="F430" s="1" t="str">
        <f>"538"</f>
        <v>538</v>
      </c>
      <c r="G430" s="2">
        <v>41976.0</v>
      </c>
      <c r="H430" s="1">
        <v>179900.0</v>
      </c>
      <c r="I430" s="1">
        <v>19.0</v>
      </c>
      <c r="J430" s="1">
        <v>179900.0</v>
      </c>
      <c r="K430" s="2">
        <v>41981.0</v>
      </c>
      <c r="L430" s="1">
        <v>6.0</v>
      </c>
      <c r="M430" s="2">
        <v>41981.0</v>
      </c>
      <c r="N430" s="1" t="s">
        <v>187</v>
      </c>
      <c r="O430" s="2">
        <v>42016.0</v>
      </c>
      <c r="P430" s="1">
        <v>227960.0</v>
      </c>
      <c r="Q430" s="1">
        <v>23076.0</v>
      </c>
      <c r="S430" s="1">
        <v>2279.0</v>
      </c>
      <c r="T430" s="1" t="s">
        <v>5958</v>
      </c>
      <c r="U430" s="1" t="s">
        <v>1015</v>
      </c>
      <c r="V430" s="1" t="s">
        <v>1340</v>
      </c>
      <c r="W430" s="1">
        <v>60538.0</v>
      </c>
      <c r="Y430" s="1" t="s">
        <v>5959</v>
      </c>
      <c r="Z430" s="1">
        <v>2002.0</v>
      </c>
      <c r="AA430" s="1" t="s">
        <v>200</v>
      </c>
      <c r="AB430" s="1" t="s">
        <v>467</v>
      </c>
      <c r="AC430" s="1" t="s">
        <v>5960</v>
      </c>
      <c r="AD430" s="1" t="s">
        <v>1343</v>
      </c>
      <c r="AE430" s="1" t="s">
        <v>849</v>
      </c>
      <c r="AF430" s="1" t="s">
        <v>1312</v>
      </c>
      <c r="AH430" s="1" t="s">
        <v>5961</v>
      </c>
      <c r="AI430" s="1">
        <v>0.1803</v>
      </c>
      <c r="AK430" s="1">
        <v>9.0</v>
      </c>
      <c r="AL430" s="1">
        <v>4.0</v>
      </c>
      <c r="AM430" s="1">
        <v>2.0</v>
      </c>
      <c r="AN430" s="1">
        <v>1.0</v>
      </c>
      <c r="AO430" s="1" t="s">
        <v>198</v>
      </c>
      <c r="AQ430" s="1" t="s">
        <v>198</v>
      </c>
      <c r="AR430" s="1" t="s">
        <v>200</v>
      </c>
      <c r="AS430" s="1" t="s">
        <v>199</v>
      </c>
      <c r="AT430" s="1">
        <v>2.0</v>
      </c>
      <c r="AV430" s="1" t="s">
        <v>200</v>
      </c>
      <c r="AW430" s="1">
        <v>5033.0</v>
      </c>
      <c r="AX430" s="1">
        <v>2012.0</v>
      </c>
      <c r="AY430" s="1" t="s">
        <v>387</v>
      </c>
      <c r="AZ430" s="1" t="s">
        <v>192</v>
      </c>
      <c r="BA430" s="1" t="str">
        <f>"0202224022"</f>
        <v>0202224022</v>
      </c>
      <c r="BC430" s="1">
        <v>0.0</v>
      </c>
      <c r="BD430" s="1">
        <v>175000.0</v>
      </c>
      <c r="BE430" s="2">
        <v>41976.0</v>
      </c>
      <c r="BF430" s="2" t="s">
        <v>5962</v>
      </c>
      <c r="BH430" s="1">
        <v>81.0</v>
      </c>
      <c r="BK430" s="1" t="s">
        <v>1952</v>
      </c>
      <c r="BL430" s="1" t="str">
        <f t="shared" ref="BL430:BM430" si="285">""</f>
        <v/>
      </c>
      <c r="BM430" s="1" t="str">
        <f t="shared" si="285"/>
        <v/>
      </c>
      <c r="BQ430" s="1">
        <v>308.0</v>
      </c>
      <c r="BR430" s="1">
        <v>308.0</v>
      </c>
      <c r="BS430" s="1">
        <v>308.0</v>
      </c>
      <c r="BU430" s="1" t="s">
        <v>2082</v>
      </c>
      <c r="BV430" s="1" t="s">
        <v>206</v>
      </c>
      <c r="BW430" s="1" t="s">
        <v>210</v>
      </c>
      <c r="BY430" s="1" t="s">
        <v>3888</v>
      </c>
      <c r="BZ430" s="1" t="s">
        <v>209</v>
      </c>
      <c r="CA430" s="1" t="s">
        <v>210</v>
      </c>
      <c r="CC430" s="1" t="s">
        <v>1395</v>
      </c>
      <c r="CD430" s="1" t="s">
        <v>206</v>
      </c>
      <c r="CE430" s="1" t="s">
        <v>210</v>
      </c>
      <c r="CG430" s="1" t="s">
        <v>1417</v>
      </c>
      <c r="CH430" s="1" t="s">
        <v>209</v>
      </c>
      <c r="CI430" s="1" t="s">
        <v>210</v>
      </c>
      <c r="CK430" s="1" t="s">
        <v>663</v>
      </c>
      <c r="CL430" s="1" t="s">
        <v>209</v>
      </c>
      <c r="CM430" s="1" t="s">
        <v>210</v>
      </c>
      <c r="CO430" s="1" t="s">
        <v>269</v>
      </c>
      <c r="CP430" s="1" t="s">
        <v>209</v>
      </c>
      <c r="CQ430" s="1" t="s">
        <v>210</v>
      </c>
      <c r="CS430" s="1" t="s">
        <v>1760</v>
      </c>
      <c r="CT430" s="1" t="s">
        <v>267</v>
      </c>
      <c r="CU430" s="1" t="s">
        <v>617</v>
      </c>
      <c r="CW430" s="1" t="s">
        <v>1044</v>
      </c>
      <c r="CX430" s="1" t="s">
        <v>206</v>
      </c>
      <c r="CY430" s="1" t="s">
        <v>210</v>
      </c>
      <c r="DA430" s="1" t="s">
        <v>200</v>
      </c>
      <c r="DC430" s="1" t="s">
        <v>335</v>
      </c>
      <c r="DE430" s="1" t="s">
        <v>273</v>
      </c>
      <c r="DF430" s="1" t="s">
        <v>619</v>
      </c>
      <c r="DG430" s="1" t="s">
        <v>2593</v>
      </c>
      <c r="DH430" s="1" t="s">
        <v>220</v>
      </c>
      <c r="DI430" s="1" t="s">
        <v>789</v>
      </c>
      <c r="DJ430" s="1" t="s">
        <v>222</v>
      </c>
      <c r="DK430" s="1" t="s">
        <v>223</v>
      </c>
      <c r="DL430" s="1" t="s">
        <v>223</v>
      </c>
      <c r="DM430" s="1" t="s">
        <v>229</v>
      </c>
      <c r="DN430" s="1" t="s">
        <v>548</v>
      </c>
      <c r="DP430" s="1" t="s">
        <v>340</v>
      </c>
      <c r="DQ430" s="1" t="s">
        <v>228</v>
      </c>
      <c r="DR430" s="1" t="s">
        <v>2593</v>
      </c>
      <c r="DS430" s="1" t="s">
        <v>591</v>
      </c>
      <c r="DU430" s="1" t="s">
        <v>2550</v>
      </c>
      <c r="DV430" s="1" t="s">
        <v>556</v>
      </c>
      <c r="DW430" s="1" t="s">
        <v>370</v>
      </c>
      <c r="DX430" s="1" t="s">
        <v>234</v>
      </c>
      <c r="DY430" s="1" t="s">
        <v>3075</v>
      </c>
      <c r="DZ430" s="1" t="s">
        <v>2424</v>
      </c>
      <c r="EC430" s="1" t="s">
        <v>237</v>
      </c>
      <c r="EG430" s="1" t="s">
        <v>556</v>
      </c>
      <c r="EL430" s="1" t="s">
        <v>1852</v>
      </c>
      <c r="EM430" s="1" t="s">
        <v>206</v>
      </c>
      <c r="EN430" s="1" t="s">
        <v>617</v>
      </c>
      <c r="EQ430" s="1" t="s">
        <v>238</v>
      </c>
      <c r="EU430" s="1" t="s">
        <v>238</v>
      </c>
      <c r="EY430" s="1" t="s">
        <v>238</v>
      </c>
      <c r="FC430" s="1" t="s">
        <v>238</v>
      </c>
      <c r="FF430" s="1" t="s">
        <v>239</v>
      </c>
      <c r="FG430" s="1" t="s">
        <v>192</v>
      </c>
      <c r="FH430" s="1" t="s">
        <v>192</v>
      </c>
      <c r="FJ430" s="1" t="s">
        <v>1450</v>
      </c>
      <c r="FK430" s="1" t="s">
        <v>229</v>
      </c>
      <c r="FL430" s="1" t="s">
        <v>5963</v>
      </c>
      <c r="FM430" s="1">
        <v>23099.0</v>
      </c>
      <c r="FN430" s="1" t="s">
        <v>5964</v>
      </c>
      <c r="FO430" s="1" t="s">
        <v>5965</v>
      </c>
      <c r="FP430" s="1">
        <v>227658.0</v>
      </c>
      <c r="FQ430" s="1" t="s">
        <v>5966</v>
      </c>
      <c r="FS430" s="1" t="s">
        <v>5967</v>
      </c>
      <c r="FU430" s="1" t="s">
        <v>5968</v>
      </c>
      <c r="FV430" s="1" t="s">
        <v>200</v>
      </c>
      <c r="FW430" s="1" t="s">
        <v>290</v>
      </c>
      <c r="FZ430" s="1" t="s">
        <v>2993</v>
      </c>
      <c r="GA430" s="1" t="s">
        <v>291</v>
      </c>
      <c r="GB430" s="2">
        <v>42016.0</v>
      </c>
      <c r="GC430" s="1" t="s">
        <v>5969</v>
      </c>
    </row>
    <row r="431">
      <c r="A431" s="1">
        <v>260000.0</v>
      </c>
      <c r="B431" s="1" t="s">
        <v>185</v>
      </c>
      <c r="C431" s="1" t="str">
        <f>"08793333"</f>
        <v>08793333</v>
      </c>
      <c r="D431" s="1" t="s">
        <v>186</v>
      </c>
      <c r="F431" s="1" t="str">
        <f>"8016"</f>
        <v>8016</v>
      </c>
      <c r="G431" s="2">
        <v>41969.0</v>
      </c>
      <c r="H431" s="1">
        <v>280000.0</v>
      </c>
      <c r="I431" s="1">
        <v>185.0</v>
      </c>
      <c r="J431" s="1">
        <v>269900.0</v>
      </c>
      <c r="K431" s="2">
        <v>42045.0</v>
      </c>
      <c r="L431" s="1">
        <v>77.0</v>
      </c>
      <c r="M431" s="2">
        <v>42045.0</v>
      </c>
      <c r="N431" s="1" t="s">
        <v>356</v>
      </c>
      <c r="O431" s="2">
        <v>42103.0</v>
      </c>
      <c r="P431" s="1">
        <v>157239.0</v>
      </c>
      <c r="Q431" s="1">
        <v>10274.0</v>
      </c>
      <c r="S431" s="1">
        <v>4142.0</v>
      </c>
      <c r="T431" s="1" t="s">
        <v>5970</v>
      </c>
      <c r="U431" s="1" t="s">
        <v>189</v>
      </c>
      <c r="V431" s="1" t="s">
        <v>190</v>
      </c>
      <c r="W431" s="1">
        <v>60618.0</v>
      </c>
      <c r="Y431" s="1" t="s">
        <v>5971</v>
      </c>
      <c r="Z431" s="1">
        <v>1896.0</v>
      </c>
      <c r="AA431" s="1" t="s">
        <v>192</v>
      </c>
      <c r="AB431" s="1" t="s">
        <v>193</v>
      </c>
      <c r="AD431" s="1" t="s">
        <v>194</v>
      </c>
      <c r="AE431" s="1" t="s">
        <v>195</v>
      </c>
      <c r="AF431" s="1" t="s">
        <v>196</v>
      </c>
      <c r="AH431" s="1" t="s">
        <v>359</v>
      </c>
      <c r="AI431" s="1">
        <v>0.0723</v>
      </c>
      <c r="AK431" s="1">
        <v>8.0</v>
      </c>
      <c r="AL431" s="1">
        <v>4.0</v>
      </c>
      <c r="AM431" s="1">
        <v>3.0</v>
      </c>
      <c r="AN431" s="1">
        <v>0.0</v>
      </c>
      <c r="AO431" s="1" t="s">
        <v>229</v>
      </c>
      <c r="AQ431" s="1" t="s">
        <v>198</v>
      </c>
      <c r="AR431" s="1" t="s">
        <v>192</v>
      </c>
      <c r="AS431" s="1" t="s">
        <v>199</v>
      </c>
      <c r="AT431" s="1">
        <v>2.0</v>
      </c>
      <c r="AV431" s="1" t="s">
        <v>200</v>
      </c>
      <c r="AW431" s="1">
        <v>4482.0</v>
      </c>
      <c r="AX431" s="1">
        <v>2012.0</v>
      </c>
      <c r="AZ431" s="1" t="s">
        <v>200</v>
      </c>
      <c r="BA431" s="1" t="str">
        <f>"13144160250000"</f>
        <v>13144160250000</v>
      </c>
      <c r="BC431" s="1">
        <v>0.0</v>
      </c>
      <c r="BD431" s="1">
        <v>260000.0</v>
      </c>
      <c r="BE431" s="2">
        <v>41969.0</v>
      </c>
      <c r="BF431" s="2" t="s">
        <v>5972</v>
      </c>
      <c r="BH431" s="1">
        <v>0.0</v>
      </c>
      <c r="BK431" s="1" t="s">
        <v>204</v>
      </c>
      <c r="BL431" s="1" t="str">
        <f>"4142"</f>
        <v>4142</v>
      </c>
      <c r="BM431" s="1" t="str">
        <f>"0"</f>
        <v>0</v>
      </c>
      <c r="BN431" s="1">
        <v>3450.0</v>
      </c>
      <c r="BO431" s="1">
        <v>0.0</v>
      </c>
      <c r="BQ431" s="1">
        <v>299.0</v>
      </c>
      <c r="BR431" s="1">
        <v>299.0</v>
      </c>
      <c r="BS431" s="1">
        <v>299.0</v>
      </c>
      <c r="BU431" s="1" t="s">
        <v>454</v>
      </c>
      <c r="BV431" s="1" t="s">
        <v>206</v>
      </c>
      <c r="BW431" s="1" t="s">
        <v>207</v>
      </c>
      <c r="BY431" s="1" t="s">
        <v>495</v>
      </c>
      <c r="BZ431" s="1" t="s">
        <v>209</v>
      </c>
      <c r="CA431" s="1" t="s">
        <v>207</v>
      </c>
      <c r="CC431" s="1" t="s">
        <v>331</v>
      </c>
      <c r="CD431" s="1" t="s">
        <v>206</v>
      </c>
      <c r="CE431" s="1" t="s">
        <v>207</v>
      </c>
      <c r="CG431" s="1" t="s">
        <v>495</v>
      </c>
      <c r="CH431" s="1" t="s">
        <v>209</v>
      </c>
      <c r="CI431" s="1" t="s">
        <v>207</v>
      </c>
      <c r="CK431" s="1" t="s">
        <v>263</v>
      </c>
      <c r="CL431" s="1" t="s">
        <v>206</v>
      </c>
      <c r="CM431" s="1" t="s">
        <v>207</v>
      </c>
      <c r="CO431" s="1" t="s">
        <v>1745</v>
      </c>
      <c r="CP431" s="1" t="s">
        <v>206</v>
      </c>
      <c r="CQ431" s="1" t="s">
        <v>207</v>
      </c>
      <c r="CS431" s="1" t="s">
        <v>497</v>
      </c>
      <c r="CT431" s="1" t="s">
        <v>206</v>
      </c>
      <c r="CU431" s="1" t="s">
        <v>207</v>
      </c>
      <c r="CX431" s="1" t="s">
        <v>204</v>
      </c>
      <c r="DA431" s="1" t="s">
        <v>200</v>
      </c>
      <c r="DC431" s="1" t="s">
        <v>642</v>
      </c>
      <c r="DD431" s="1" t="s">
        <v>759</v>
      </c>
      <c r="DE431" s="1" t="s">
        <v>273</v>
      </c>
      <c r="DF431" s="1" t="s">
        <v>219</v>
      </c>
      <c r="DG431" s="1" t="s">
        <v>1657</v>
      </c>
      <c r="DH431" s="1" t="s">
        <v>365</v>
      </c>
      <c r="DJ431" s="1" t="s">
        <v>222</v>
      </c>
      <c r="DL431" s="1" t="s">
        <v>223</v>
      </c>
      <c r="DM431" s="1" t="s">
        <v>229</v>
      </c>
      <c r="DO431" s="1" t="s">
        <v>549</v>
      </c>
      <c r="DP431" s="1" t="s">
        <v>340</v>
      </c>
      <c r="DQ431" s="1" t="s">
        <v>228</v>
      </c>
      <c r="DR431" s="1" t="s">
        <v>229</v>
      </c>
      <c r="DV431" s="1" t="s">
        <v>5973</v>
      </c>
      <c r="DW431" s="1" t="s">
        <v>233</v>
      </c>
      <c r="DX431" s="1" t="s">
        <v>234</v>
      </c>
      <c r="DY431" s="1" t="s">
        <v>704</v>
      </c>
      <c r="DZ431" s="1" t="s">
        <v>5974</v>
      </c>
      <c r="EC431" s="1" t="s">
        <v>237</v>
      </c>
      <c r="EG431" s="1" t="s">
        <v>494</v>
      </c>
      <c r="EH431" s="1" t="s">
        <v>374</v>
      </c>
      <c r="EL431" s="1" t="s">
        <v>699</v>
      </c>
      <c r="EM431" s="1" t="s">
        <v>209</v>
      </c>
      <c r="EN431" s="1" t="s">
        <v>207</v>
      </c>
      <c r="EP431" s="1" t="s">
        <v>1745</v>
      </c>
      <c r="EQ431" s="1" t="s">
        <v>206</v>
      </c>
      <c r="ER431" s="1" t="s">
        <v>207</v>
      </c>
      <c r="EU431" s="1" t="s">
        <v>238</v>
      </c>
      <c r="EY431" s="1" t="s">
        <v>238</v>
      </c>
      <c r="FC431" s="1" t="s">
        <v>238</v>
      </c>
      <c r="FF431" s="1" t="s">
        <v>239</v>
      </c>
      <c r="FG431" s="1" t="s">
        <v>192</v>
      </c>
      <c r="FH431" s="1" t="s">
        <v>192</v>
      </c>
      <c r="FJ431" s="1" t="s">
        <v>1248</v>
      </c>
      <c r="FK431" s="1" t="s">
        <v>229</v>
      </c>
      <c r="FL431" s="1" t="s">
        <v>5975</v>
      </c>
      <c r="FM431" s="1">
        <v>3906.0</v>
      </c>
      <c r="FN431" s="1" t="s">
        <v>5976</v>
      </c>
      <c r="FO431" s="1" t="s">
        <v>5977</v>
      </c>
      <c r="FP431" s="1">
        <v>33715.0</v>
      </c>
      <c r="FQ431" s="1" t="s">
        <v>5978</v>
      </c>
      <c r="FU431" s="1" t="s">
        <v>5979</v>
      </c>
      <c r="FV431" s="1" t="s">
        <v>200</v>
      </c>
      <c r="FW431" s="1" t="s">
        <v>290</v>
      </c>
      <c r="FX431" s="1" t="s">
        <v>238</v>
      </c>
      <c r="FZ431" s="1" t="s">
        <v>229</v>
      </c>
      <c r="GA431" s="1" t="s">
        <v>291</v>
      </c>
      <c r="GB431" s="2">
        <v>42103.0</v>
      </c>
      <c r="GC431" s="1" t="s">
        <v>5980</v>
      </c>
    </row>
    <row r="432">
      <c r="A432" s="1">
        <v>150000.0</v>
      </c>
      <c r="B432" s="1" t="s">
        <v>185</v>
      </c>
      <c r="C432" s="1" t="str">
        <f>"08789766"</f>
        <v>08789766</v>
      </c>
      <c r="D432" s="1" t="s">
        <v>186</v>
      </c>
      <c r="F432" s="1" t="str">
        <f>"545"</f>
        <v>545</v>
      </c>
      <c r="G432" s="2">
        <v>41963.0</v>
      </c>
      <c r="H432" s="1">
        <v>171900.0</v>
      </c>
      <c r="I432" s="1">
        <v>43.0</v>
      </c>
      <c r="J432" s="1">
        <v>154900.0</v>
      </c>
      <c r="K432" s="2">
        <v>42005.0</v>
      </c>
      <c r="L432" s="1">
        <v>43.0</v>
      </c>
      <c r="M432" s="2">
        <v>42005.0</v>
      </c>
      <c r="N432" s="1" t="s">
        <v>356</v>
      </c>
      <c r="O432" s="2">
        <v>42054.0</v>
      </c>
      <c r="P432" s="1">
        <v>233155.0</v>
      </c>
      <c r="Q432" s="1">
        <v>23196.0</v>
      </c>
      <c r="R432" s="1">
        <v>4500.0</v>
      </c>
      <c r="S432" s="1">
        <v>3526.0</v>
      </c>
      <c r="T432" s="1" t="s">
        <v>5981</v>
      </c>
      <c r="U432" s="1" t="s">
        <v>1174</v>
      </c>
      <c r="V432" s="1" t="s">
        <v>3364</v>
      </c>
      <c r="W432" s="1">
        <v>60545.0</v>
      </c>
      <c r="Y432" s="1" t="s">
        <v>5982</v>
      </c>
      <c r="Z432" s="1">
        <v>2006.0</v>
      </c>
      <c r="AA432" s="1" t="s">
        <v>200</v>
      </c>
      <c r="AB432" s="1" t="s">
        <v>193</v>
      </c>
      <c r="AD432" s="1" t="s">
        <v>3366</v>
      </c>
      <c r="AE432" s="1" t="s">
        <v>849</v>
      </c>
      <c r="AF432" s="1" t="s">
        <v>3367</v>
      </c>
      <c r="AG432" s="1" t="s">
        <v>5983</v>
      </c>
      <c r="AH432" s="1" t="s">
        <v>5984</v>
      </c>
      <c r="AI432" s="1">
        <v>0.0</v>
      </c>
      <c r="AK432" s="1">
        <v>9.0</v>
      </c>
      <c r="AL432" s="1">
        <v>4.0</v>
      </c>
      <c r="AM432" s="1">
        <v>2.0</v>
      </c>
      <c r="AN432" s="1">
        <v>1.0</v>
      </c>
      <c r="AO432" s="1" t="s">
        <v>198</v>
      </c>
      <c r="AP432" s="1">
        <v>1.0</v>
      </c>
      <c r="AQ432" s="1" t="s">
        <v>1314</v>
      </c>
      <c r="AR432" s="1" t="s">
        <v>200</v>
      </c>
      <c r="AS432" s="1" t="s">
        <v>199</v>
      </c>
      <c r="AT432" s="1">
        <v>2.0</v>
      </c>
      <c r="AV432" s="1" t="s">
        <v>200</v>
      </c>
      <c r="AW432" s="1">
        <v>7493.0</v>
      </c>
      <c r="AX432" s="1">
        <v>2013.0</v>
      </c>
      <c r="AY432" s="1" t="s">
        <v>387</v>
      </c>
      <c r="AZ432" s="1" t="s">
        <v>192</v>
      </c>
      <c r="BA432" s="1" t="str">
        <f>"0124148012"</f>
        <v>0124148012</v>
      </c>
      <c r="BC432" s="1">
        <v>2713.0</v>
      </c>
      <c r="BD432" s="1">
        <v>150000.0</v>
      </c>
      <c r="BE432" s="2">
        <v>41963.0</v>
      </c>
      <c r="BF432" s="2" t="s">
        <v>5985</v>
      </c>
      <c r="BH432" s="1">
        <v>38.0</v>
      </c>
      <c r="BK432" s="1" t="s">
        <v>474</v>
      </c>
      <c r="BL432" s="1" t="str">
        <f t="shared" ref="BL432:BM432" si="286">"0"</f>
        <v>0</v>
      </c>
      <c r="BM432" s="1" t="str">
        <f t="shared" si="286"/>
        <v>0</v>
      </c>
      <c r="BN432" s="1">
        <v>47.0</v>
      </c>
      <c r="BO432" s="1">
        <v>13.0</v>
      </c>
      <c r="BQ432" s="1">
        <v>88.0</v>
      </c>
      <c r="BR432" s="1">
        <v>88.0</v>
      </c>
      <c r="BS432" s="1">
        <v>88.0</v>
      </c>
      <c r="BU432" s="1" t="s">
        <v>454</v>
      </c>
      <c r="BV432" s="1" t="s">
        <v>206</v>
      </c>
      <c r="BW432" s="1" t="s">
        <v>210</v>
      </c>
      <c r="BY432" s="1" t="s">
        <v>434</v>
      </c>
      <c r="BZ432" s="1" t="s">
        <v>209</v>
      </c>
      <c r="CA432" s="1" t="s">
        <v>210</v>
      </c>
      <c r="CC432" s="1" t="s">
        <v>262</v>
      </c>
      <c r="CD432" s="1" t="s">
        <v>206</v>
      </c>
      <c r="CG432" s="1" t="s">
        <v>215</v>
      </c>
      <c r="CH432" s="1" t="s">
        <v>209</v>
      </c>
      <c r="CK432" s="1" t="s">
        <v>264</v>
      </c>
      <c r="CL432" s="1" t="s">
        <v>209</v>
      </c>
      <c r="CM432" s="1" t="s">
        <v>210</v>
      </c>
      <c r="CO432" s="1" t="s">
        <v>262</v>
      </c>
      <c r="CP432" s="1" t="s">
        <v>209</v>
      </c>
      <c r="CQ432" s="1" t="s">
        <v>210</v>
      </c>
      <c r="CS432" s="1" t="s">
        <v>332</v>
      </c>
      <c r="CT432" s="1" t="s">
        <v>206</v>
      </c>
      <c r="CW432" s="1" t="s">
        <v>639</v>
      </c>
      <c r="CX432" s="1" t="s">
        <v>206</v>
      </c>
      <c r="CY432" s="1" t="s">
        <v>210</v>
      </c>
      <c r="DA432" s="1" t="s">
        <v>200</v>
      </c>
      <c r="DC432" s="1" t="s">
        <v>481</v>
      </c>
      <c r="DD432" s="1" t="s">
        <v>731</v>
      </c>
      <c r="DE432" s="1" t="s">
        <v>273</v>
      </c>
      <c r="DF432" s="1" t="s">
        <v>219</v>
      </c>
      <c r="DH432" s="1" t="s">
        <v>220</v>
      </c>
      <c r="DJ432" s="1" t="s">
        <v>222</v>
      </c>
      <c r="DL432" s="1" t="s">
        <v>223</v>
      </c>
      <c r="DM432" s="1" t="s">
        <v>338</v>
      </c>
      <c r="DP432" s="1" t="s">
        <v>276</v>
      </c>
      <c r="DQ432" s="1" t="s">
        <v>228</v>
      </c>
      <c r="DR432" s="1" t="s">
        <v>2593</v>
      </c>
      <c r="DS432" s="1" t="s">
        <v>230</v>
      </c>
      <c r="DV432" s="1" t="s">
        <v>494</v>
      </c>
      <c r="DW432" s="1" t="s">
        <v>667</v>
      </c>
      <c r="DX432" s="1" t="s">
        <v>234</v>
      </c>
      <c r="EB432" s="1" t="s">
        <v>684</v>
      </c>
      <c r="EC432" s="1" t="s">
        <v>237</v>
      </c>
      <c r="EG432" s="1" t="s">
        <v>494</v>
      </c>
      <c r="EL432" s="1" t="s">
        <v>495</v>
      </c>
      <c r="EM432" s="1" t="s">
        <v>206</v>
      </c>
      <c r="EQ432" s="1" t="s">
        <v>238</v>
      </c>
      <c r="EU432" s="1" t="s">
        <v>238</v>
      </c>
      <c r="EY432" s="1" t="s">
        <v>238</v>
      </c>
      <c r="FC432" s="1" t="s">
        <v>238</v>
      </c>
      <c r="FF432" s="1" t="s">
        <v>239</v>
      </c>
      <c r="FG432" s="1" t="s">
        <v>192</v>
      </c>
      <c r="FH432" s="1" t="s">
        <v>192</v>
      </c>
      <c r="FJ432" s="1" t="s">
        <v>347</v>
      </c>
      <c r="FK432" s="1" t="s">
        <v>229</v>
      </c>
      <c r="FL432" s="1" t="s">
        <v>4309</v>
      </c>
      <c r="FM432" s="1">
        <v>83.0</v>
      </c>
      <c r="FN432" s="1" t="s">
        <v>4310</v>
      </c>
      <c r="FO432" s="1" t="s">
        <v>4311</v>
      </c>
      <c r="FP432" s="1">
        <v>287.0</v>
      </c>
      <c r="FQ432" s="1" t="s">
        <v>4312</v>
      </c>
      <c r="FU432" s="1" t="s">
        <v>4313</v>
      </c>
      <c r="FV432" s="1" t="s">
        <v>200</v>
      </c>
      <c r="FW432" s="1" t="s">
        <v>1411</v>
      </c>
      <c r="FZ432" s="1" t="s">
        <v>632</v>
      </c>
      <c r="GA432" s="1" t="s">
        <v>291</v>
      </c>
      <c r="GB432" s="2">
        <v>42055.0</v>
      </c>
      <c r="GC432" s="1" t="s">
        <v>5986</v>
      </c>
    </row>
    <row r="433">
      <c r="A433" s="1">
        <v>390000.0</v>
      </c>
      <c r="B433" s="1" t="s">
        <v>185</v>
      </c>
      <c r="C433" s="1" t="str">
        <f>"08793385"</f>
        <v>08793385</v>
      </c>
      <c r="D433" s="1" t="s">
        <v>186</v>
      </c>
      <c r="F433" s="1" t="str">
        <f>"174"</f>
        <v>174</v>
      </c>
      <c r="G433" s="2">
        <v>41969.0</v>
      </c>
      <c r="H433" s="1">
        <v>399900.0</v>
      </c>
      <c r="I433" s="1">
        <v>21.0</v>
      </c>
      <c r="J433" s="1">
        <v>399900.0</v>
      </c>
      <c r="K433" s="2">
        <v>41989.0</v>
      </c>
      <c r="L433" s="1">
        <v>21.0</v>
      </c>
      <c r="M433" s="2">
        <v>41989.0</v>
      </c>
      <c r="N433" s="1" t="s">
        <v>249</v>
      </c>
      <c r="O433" s="2">
        <v>42034.0</v>
      </c>
      <c r="P433" s="1">
        <v>233661.0</v>
      </c>
      <c r="Q433" s="1">
        <v>23023.0</v>
      </c>
      <c r="S433" s="1">
        <v>1005.0</v>
      </c>
      <c r="T433" s="1" t="s">
        <v>5987</v>
      </c>
      <c r="U433" s="1" t="s">
        <v>320</v>
      </c>
      <c r="V433" s="1" t="s">
        <v>1200</v>
      </c>
      <c r="W433" s="1">
        <v>60174.0</v>
      </c>
      <c r="Y433" s="1" t="s">
        <v>5988</v>
      </c>
      <c r="Z433" s="1">
        <v>1930.0</v>
      </c>
      <c r="AA433" s="1" t="s">
        <v>192</v>
      </c>
      <c r="AB433" s="1" t="s">
        <v>193</v>
      </c>
      <c r="AD433" s="1" t="s">
        <v>1203</v>
      </c>
      <c r="AE433" s="1" t="s">
        <v>325</v>
      </c>
      <c r="AF433" s="1" t="s">
        <v>1203</v>
      </c>
      <c r="AH433" s="1" t="s">
        <v>5989</v>
      </c>
      <c r="AI433" s="1">
        <v>0.15</v>
      </c>
      <c r="AK433" s="1">
        <v>10.0</v>
      </c>
      <c r="AL433" s="1">
        <v>4.0</v>
      </c>
      <c r="AM433" s="1">
        <v>3.0</v>
      </c>
      <c r="AN433" s="1">
        <v>0.0</v>
      </c>
      <c r="AO433" s="1" t="s">
        <v>198</v>
      </c>
      <c r="AP433" s="1">
        <v>1.0</v>
      </c>
      <c r="AQ433" s="1" t="s">
        <v>198</v>
      </c>
      <c r="AR433" s="1" t="s">
        <v>192</v>
      </c>
      <c r="AS433" s="1" t="s">
        <v>199</v>
      </c>
      <c r="AT433" s="1">
        <v>1.5</v>
      </c>
      <c r="AV433" s="1" t="s">
        <v>200</v>
      </c>
      <c r="AW433" s="1">
        <v>6277.0</v>
      </c>
      <c r="AX433" s="1">
        <v>2013.0</v>
      </c>
      <c r="AY433" s="1" t="s">
        <v>387</v>
      </c>
      <c r="AZ433" s="1" t="s">
        <v>200</v>
      </c>
      <c r="BA433" s="1" t="str">
        <f>"0934333011"</f>
        <v>0934333011</v>
      </c>
      <c r="BB433" s="1" t="s">
        <v>200</v>
      </c>
      <c r="BC433" s="1">
        <v>2215.0</v>
      </c>
      <c r="BD433" s="1">
        <v>390000.0</v>
      </c>
      <c r="BE433" s="2">
        <v>41969.0</v>
      </c>
      <c r="BF433" s="2" t="s">
        <v>5990</v>
      </c>
      <c r="BG433" s="1" t="s">
        <v>5991</v>
      </c>
      <c r="BH433" s="1">
        <v>0.0</v>
      </c>
      <c r="BI433" s="1" t="s">
        <v>2199</v>
      </c>
      <c r="BJ433" s="1" t="s">
        <v>2144</v>
      </c>
      <c r="BK433" s="1" t="s">
        <v>204</v>
      </c>
      <c r="BL433" s="1" t="str">
        <f>"2"</f>
        <v>2</v>
      </c>
      <c r="BM433" s="1" t="str">
        <f>"0"</f>
        <v>0</v>
      </c>
      <c r="BN433" s="1">
        <v>35.0</v>
      </c>
      <c r="BO433" s="1">
        <v>0.0</v>
      </c>
      <c r="BQ433" s="1">
        <v>303.0</v>
      </c>
      <c r="BR433" s="1">
        <v>303.0</v>
      </c>
      <c r="BS433" s="1">
        <v>303.0</v>
      </c>
      <c r="BU433" s="1" t="s">
        <v>479</v>
      </c>
      <c r="BV433" s="1" t="s">
        <v>206</v>
      </c>
      <c r="BW433" s="1" t="s">
        <v>207</v>
      </c>
      <c r="BY433" s="1" t="s">
        <v>784</v>
      </c>
      <c r="BZ433" s="1" t="s">
        <v>209</v>
      </c>
      <c r="CA433" s="1" t="s">
        <v>210</v>
      </c>
      <c r="CC433" s="1" t="s">
        <v>331</v>
      </c>
      <c r="CD433" s="1" t="s">
        <v>206</v>
      </c>
      <c r="CE433" s="1" t="s">
        <v>207</v>
      </c>
      <c r="CG433" s="1" t="s">
        <v>495</v>
      </c>
      <c r="CH433" s="1" t="s">
        <v>206</v>
      </c>
      <c r="CI433" s="1" t="s">
        <v>207</v>
      </c>
      <c r="CK433" s="1" t="s">
        <v>699</v>
      </c>
      <c r="CL433" s="1" t="s">
        <v>206</v>
      </c>
      <c r="CM433" s="1" t="s">
        <v>210</v>
      </c>
      <c r="CO433" s="1" t="s">
        <v>329</v>
      </c>
      <c r="CP433" s="1" t="s">
        <v>209</v>
      </c>
      <c r="CQ433" s="1" t="s">
        <v>210</v>
      </c>
      <c r="CS433" s="1" t="s">
        <v>5992</v>
      </c>
      <c r="CT433" s="1" t="s">
        <v>206</v>
      </c>
      <c r="CU433" s="1" t="s">
        <v>207</v>
      </c>
      <c r="CW433" s="1" t="s">
        <v>454</v>
      </c>
      <c r="CX433" s="1" t="s">
        <v>42</v>
      </c>
      <c r="CY433" s="1" t="s">
        <v>210</v>
      </c>
      <c r="DA433" s="1" t="s">
        <v>200</v>
      </c>
      <c r="DC433" s="1" t="s">
        <v>785</v>
      </c>
      <c r="DD433" s="1" t="s">
        <v>679</v>
      </c>
      <c r="DE433" s="1" t="s">
        <v>273</v>
      </c>
      <c r="DF433" s="1" t="s">
        <v>219</v>
      </c>
      <c r="DG433" s="1" t="s">
        <v>482</v>
      </c>
      <c r="DH433" s="1" t="s">
        <v>220</v>
      </c>
      <c r="DI433" s="1" t="s">
        <v>519</v>
      </c>
      <c r="DJ433" s="1" t="s">
        <v>222</v>
      </c>
      <c r="DK433" s="1" t="s">
        <v>223</v>
      </c>
      <c r="DL433" s="1" t="s">
        <v>224</v>
      </c>
      <c r="DM433" s="1" t="s">
        <v>338</v>
      </c>
      <c r="DN433" s="1" t="s">
        <v>439</v>
      </c>
      <c r="DO433" s="1" t="s">
        <v>486</v>
      </c>
      <c r="DP433" s="1" t="s">
        <v>340</v>
      </c>
      <c r="DQ433" s="1" t="s">
        <v>228</v>
      </c>
      <c r="DR433" s="1" t="s">
        <v>229</v>
      </c>
      <c r="DS433" s="1" t="s">
        <v>368</v>
      </c>
      <c r="DU433" s="1" t="s">
        <v>487</v>
      </c>
      <c r="DV433" s="1" t="s">
        <v>5993</v>
      </c>
      <c r="DW433" s="1" t="s">
        <v>764</v>
      </c>
      <c r="DX433" s="1" t="s">
        <v>234</v>
      </c>
      <c r="DY433" s="1" t="s">
        <v>371</v>
      </c>
      <c r="DZ433" s="1" t="s">
        <v>5994</v>
      </c>
      <c r="EB433" s="1" t="s">
        <v>5995</v>
      </c>
      <c r="EC433" s="1" t="s">
        <v>237</v>
      </c>
      <c r="ED433" s="1" t="s">
        <v>407</v>
      </c>
      <c r="EG433" s="1" t="s">
        <v>341</v>
      </c>
      <c r="EH433" s="1" t="s">
        <v>1467</v>
      </c>
      <c r="EI433" s="1" t="s">
        <v>720</v>
      </c>
      <c r="EJ433" s="1" t="s">
        <v>374</v>
      </c>
      <c r="EL433" s="1" t="s">
        <v>1939</v>
      </c>
      <c r="EM433" s="1" t="s">
        <v>209</v>
      </c>
      <c r="EN433" s="1" t="s">
        <v>210</v>
      </c>
      <c r="EP433" s="1" t="s">
        <v>264</v>
      </c>
      <c r="EQ433" s="1" t="s">
        <v>42</v>
      </c>
      <c r="ER433" s="1" t="s">
        <v>210</v>
      </c>
      <c r="ET433" s="1" t="s">
        <v>2047</v>
      </c>
      <c r="EU433" s="1" t="s">
        <v>206</v>
      </c>
      <c r="EV433" s="1" t="s">
        <v>268</v>
      </c>
      <c r="EX433" s="1" t="s">
        <v>452</v>
      </c>
      <c r="EY433" s="1" t="s">
        <v>206</v>
      </c>
      <c r="EZ433" s="1" t="s">
        <v>207</v>
      </c>
      <c r="FC433" s="1" t="s">
        <v>238</v>
      </c>
      <c r="FF433" s="1" t="s">
        <v>239</v>
      </c>
      <c r="FG433" s="1" t="s">
        <v>192</v>
      </c>
      <c r="FH433" s="1" t="s">
        <v>192</v>
      </c>
      <c r="FJ433" s="1" t="s">
        <v>498</v>
      </c>
      <c r="FK433" s="1" t="s">
        <v>229</v>
      </c>
      <c r="FL433" s="1" t="s">
        <v>893</v>
      </c>
      <c r="FM433" s="1">
        <v>604.0</v>
      </c>
      <c r="FN433" s="1" t="s">
        <v>894</v>
      </c>
      <c r="FO433" s="1" t="s">
        <v>895</v>
      </c>
      <c r="FP433" s="1">
        <v>381.0</v>
      </c>
      <c r="FQ433" s="1" t="s">
        <v>896</v>
      </c>
      <c r="FR433" s="1">
        <v>8297.0</v>
      </c>
      <c r="FS433" s="1" t="s">
        <v>5996</v>
      </c>
      <c r="FU433" s="1" t="s">
        <v>5997</v>
      </c>
      <c r="FV433" s="1" t="s">
        <v>200</v>
      </c>
      <c r="FW433" s="1" t="s">
        <v>290</v>
      </c>
      <c r="FZ433" s="1" t="s">
        <v>229</v>
      </c>
      <c r="GA433" s="1" t="s">
        <v>291</v>
      </c>
      <c r="GB433" s="2">
        <v>42034.0</v>
      </c>
      <c r="GC433" s="1" t="s">
        <v>5998</v>
      </c>
    </row>
    <row r="434">
      <c r="A434" s="1">
        <v>100000.0</v>
      </c>
      <c r="B434" s="1" t="s">
        <v>185</v>
      </c>
      <c r="C434" s="1" t="str">
        <f>"08797613"</f>
        <v>08797613</v>
      </c>
      <c r="D434" s="1" t="s">
        <v>186</v>
      </c>
      <c r="F434" s="1" t="str">
        <f>"103"</f>
        <v>103</v>
      </c>
      <c r="G434" s="2">
        <v>41978.0</v>
      </c>
      <c r="H434" s="1">
        <v>129726.0</v>
      </c>
      <c r="I434" s="1">
        <v>45.0</v>
      </c>
      <c r="J434" s="1">
        <v>120000.0</v>
      </c>
      <c r="K434" s="2">
        <v>42022.0</v>
      </c>
      <c r="L434" s="1">
        <v>45.0</v>
      </c>
      <c r="M434" s="2">
        <v>42022.0</v>
      </c>
      <c r="N434" s="1" t="s">
        <v>249</v>
      </c>
      <c r="O434" s="2">
        <v>42052.0</v>
      </c>
      <c r="P434" s="1">
        <v>259137.0</v>
      </c>
      <c r="Q434" s="1">
        <v>22833.0</v>
      </c>
      <c r="S434" s="1">
        <v>1329.0</v>
      </c>
      <c r="T434" s="1" t="s">
        <v>2436</v>
      </c>
      <c r="U434" s="1" t="s">
        <v>1015</v>
      </c>
      <c r="V434" s="1" t="s">
        <v>251</v>
      </c>
      <c r="W434" s="1">
        <v>60133.0</v>
      </c>
      <c r="Y434" s="1" t="s">
        <v>5999</v>
      </c>
      <c r="Z434" s="1">
        <v>1973.0</v>
      </c>
      <c r="AA434" s="1" t="s">
        <v>192</v>
      </c>
      <c r="AB434" s="1" t="s">
        <v>193</v>
      </c>
      <c r="AD434" s="1" t="s">
        <v>254</v>
      </c>
      <c r="AE434" s="1" t="s">
        <v>1258</v>
      </c>
      <c r="AF434" s="1" t="s">
        <v>1259</v>
      </c>
      <c r="AH434" s="1" t="s">
        <v>1345</v>
      </c>
      <c r="AK434" s="1">
        <v>8.0</v>
      </c>
      <c r="AL434" s="1">
        <v>2.0</v>
      </c>
      <c r="AM434" s="1">
        <v>2.0</v>
      </c>
      <c r="AN434" s="1">
        <v>0.0</v>
      </c>
      <c r="AO434" s="1" t="s">
        <v>229</v>
      </c>
      <c r="AP434" s="1">
        <v>1.0</v>
      </c>
      <c r="AQ434" s="1" t="s">
        <v>198</v>
      </c>
      <c r="AR434" s="1" t="s">
        <v>192</v>
      </c>
      <c r="AS434" s="1" t="s">
        <v>199</v>
      </c>
      <c r="AT434" s="1">
        <v>2.0</v>
      </c>
      <c r="AV434" s="1" t="s">
        <v>200</v>
      </c>
      <c r="AW434" s="1">
        <v>6371.0</v>
      </c>
      <c r="AX434" s="1">
        <v>2013.0</v>
      </c>
      <c r="AZ434" s="1" t="s">
        <v>200</v>
      </c>
      <c r="BA434" s="1" t="str">
        <f>"0207201012"</f>
        <v>0207201012</v>
      </c>
      <c r="BC434" s="1">
        <v>1300.0</v>
      </c>
      <c r="BD434" s="1">
        <v>100000.0</v>
      </c>
      <c r="BE434" s="2">
        <v>41978.0</v>
      </c>
      <c r="BF434" s="1" t="s">
        <v>6000</v>
      </c>
      <c r="BH434" s="1">
        <v>63.0</v>
      </c>
      <c r="BK434" s="1" t="s">
        <v>474</v>
      </c>
      <c r="BL434" s="1" t="str">
        <f t="shared" ref="BL434:BM434" si="287">""</f>
        <v/>
      </c>
      <c r="BM434" s="1" t="str">
        <f t="shared" si="287"/>
        <v/>
      </c>
      <c r="BQ434" s="1">
        <v>20.0</v>
      </c>
      <c r="BR434" s="1">
        <v>108.0</v>
      </c>
      <c r="BS434" s="1">
        <v>20.0</v>
      </c>
      <c r="BU434" s="1" t="s">
        <v>480</v>
      </c>
      <c r="BV434" s="1" t="s">
        <v>206</v>
      </c>
      <c r="BW434" s="1" t="s">
        <v>588</v>
      </c>
      <c r="BY434" s="1" t="s">
        <v>454</v>
      </c>
      <c r="BZ434" s="1" t="s">
        <v>206</v>
      </c>
      <c r="CA434" s="1" t="s">
        <v>588</v>
      </c>
      <c r="CC434" s="1" t="s">
        <v>212</v>
      </c>
      <c r="CD434" s="1" t="s">
        <v>206</v>
      </c>
      <c r="CE434" s="1" t="s">
        <v>588</v>
      </c>
      <c r="CG434" s="1" t="s">
        <v>264</v>
      </c>
      <c r="CH434" s="1" t="s">
        <v>206</v>
      </c>
      <c r="CI434" s="1" t="s">
        <v>588</v>
      </c>
      <c r="CK434" s="1" t="s">
        <v>302</v>
      </c>
      <c r="CL434" s="1" t="s">
        <v>42</v>
      </c>
      <c r="CM434" s="1" t="s">
        <v>588</v>
      </c>
      <c r="CO434" s="1" t="s">
        <v>269</v>
      </c>
      <c r="CP434" s="1" t="s">
        <v>42</v>
      </c>
      <c r="CQ434" s="1" t="s">
        <v>588</v>
      </c>
      <c r="CS434" s="1" t="s">
        <v>264</v>
      </c>
      <c r="CT434" s="1" t="s">
        <v>206</v>
      </c>
      <c r="CU434" s="1" t="s">
        <v>588</v>
      </c>
      <c r="CW434" s="1" t="s">
        <v>480</v>
      </c>
      <c r="CX434" s="1" t="s">
        <v>42</v>
      </c>
      <c r="CY434" s="1" t="s">
        <v>588</v>
      </c>
      <c r="DA434" s="1" t="s">
        <v>200</v>
      </c>
      <c r="DC434" s="1" t="s">
        <v>517</v>
      </c>
      <c r="DD434" s="1" t="s">
        <v>618</v>
      </c>
      <c r="DE434" s="1" t="s">
        <v>273</v>
      </c>
      <c r="DF434" s="1" t="s">
        <v>619</v>
      </c>
      <c r="DH434" s="1" t="s">
        <v>365</v>
      </c>
      <c r="DI434" s="1" t="s">
        <v>789</v>
      </c>
      <c r="DJ434" s="1" t="s">
        <v>222</v>
      </c>
      <c r="DL434" s="1" t="s">
        <v>858</v>
      </c>
      <c r="DM434" s="1" t="s">
        <v>1247</v>
      </c>
      <c r="DP434" s="1" t="s">
        <v>340</v>
      </c>
      <c r="DQ434" s="1" t="s">
        <v>228</v>
      </c>
      <c r="DR434" s="1" t="s">
        <v>229</v>
      </c>
      <c r="DS434" s="1" t="s">
        <v>230</v>
      </c>
      <c r="DV434" s="1" t="s">
        <v>310</v>
      </c>
      <c r="DW434" s="1" t="s">
        <v>444</v>
      </c>
      <c r="DX434" s="1" t="s">
        <v>234</v>
      </c>
      <c r="DY434" s="1" t="s">
        <v>1189</v>
      </c>
      <c r="DZ434" s="1" t="s">
        <v>310</v>
      </c>
      <c r="EB434" s="1" t="s">
        <v>345</v>
      </c>
      <c r="EC434" s="1" t="s">
        <v>311</v>
      </c>
      <c r="EE434" s="1" t="s">
        <v>187</v>
      </c>
      <c r="EG434" s="1" t="s">
        <v>310</v>
      </c>
      <c r="EL434" s="1" t="s">
        <v>264</v>
      </c>
      <c r="EM434" s="1" t="s">
        <v>206</v>
      </c>
      <c r="EQ434" s="1" t="s">
        <v>238</v>
      </c>
      <c r="EU434" s="1" t="s">
        <v>238</v>
      </c>
      <c r="EY434" s="1" t="s">
        <v>238</v>
      </c>
      <c r="FC434" s="1" t="s">
        <v>238</v>
      </c>
      <c r="FF434" s="1" t="s">
        <v>239</v>
      </c>
      <c r="FG434" s="1" t="s">
        <v>192</v>
      </c>
      <c r="FH434" s="1" t="s">
        <v>192</v>
      </c>
      <c r="FJ434" s="1" t="s">
        <v>6001</v>
      </c>
      <c r="FK434" s="1" t="s">
        <v>229</v>
      </c>
      <c r="FL434" s="1" t="s">
        <v>6002</v>
      </c>
      <c r="FM434" s="1">
        <v>90370.0</v>
      </c>
      <c r="FN434" s="1" t="s">
        <v>6003</v>
      </c>
      <c r="FO434" s="1" t="s">
        <v>6004</v>
      </c>
      <c r="FP434" s="1">
        <v>901645.0</v>
      </c>
      <c r="FU434" s="1" t="s">
        <v>6005</v>
      </c>
      <c r="FV434" s="1" t="s">
        <v>200</v>
      </c>
      <c r="FW434" s="1" t="s">
        <v>567</v>
      </c>
      <c r="FZ434" s="1" t="s">
        <v>229</v>
      </c>
      <c r="GA434" s="1" t="s">
        <v>291</v>
      </c>
      <c r="GB434" s="2">
        <v>42053.0</v>
      </c>
    </row>
    <row r="435">
      <c r="A435" s="1">
        <v>42500.0</v>
      </c>
      <c r="B435" s="1" t="s">
        <v>185</v>
      </c>
      <c r="C435" s="1" t="str">
        <f>"08774408"</f>
        <v>08774408</v>
      </c>
      <c r="D435" s="1" t="s">
        <v>186</v>
      </c>
      <c r="F435" s="1" t="str">
        <f>"8071"</f>
        <v>8071</v>
      </c>
      <c r="G435" s="2">
        <v>41955.0</v>
      </c>
      <c r="H435" s="1">
        <v>46000.0</v>
      </c>
      <c r="I435" s="1">
        <v>22.0</v>
      </c>
      <c r="J435" s="1">
        <v>42500.0</v>
      </c>
      <c r="K435" s="2">
        <v>41976.0</v>
      </c>
      <c r="L435" s="1">
        <v>22.0</v>
      </c>
      <c r="M435" s="2">
        <v>41976.0</v>
      </c>
      <c r="N435" s="1" t="s">
        <v>187</v>
      </c>
      <c r="O435" s="2">
        <v>41991.0</v>
      </c>
      <c r="P435" s="1">
        <v>602837.0</v>
      </c>
      <c r="Q435" s="1">
        <v>60296.0</v>
      </c>
      <c r="S435" s="1">
        <v>8449.0</v>
      </c>
      <c r="T435" s="1" t="s">
        <v>6006</v>
      </c>
      <c r="U435" s="1" t="s">
        <v>320</v>
      </c>
      <c r="V435" s="1" t="s">
        <v>190</v>
      </c>
      <c r="W435" s="1">
        <v>60620.0</v>
      </c>
      <c r="Y435" s="1" t="s">
        <v>6007</v>
      </c>
      <c r="Z435" s="1">
        <v>1938.0</v>
      </c>
      <c r="AA435" s="1" t="s">
        <v>192</v>
      </c>
      <c r="AB435" s="1" t="s">
        <v>193</v>
      </c>
      <c r="AD435" s="1" t="s">
        <v>194</v>
      </c>
      <c r="AE435" s="1" t="s">
        <v>195</v>
      </c>
      <c r="AF435" s="1" t="s">
        <v>1154</v>
      </c>
      <c r="AH435" s="1" t="s">
        <v>741</v>
      </c>
      <c r="AI435" s="1">
        <v>0.0955</v>
      </c>
      <c r="AK435" s="1">
        <v>7.0</v>
      </c>
      <c r="AL435" s="1">
        <v>4.0</v>
      </c>
      <c r="AM435" s="1">
        <v>1.0</v>
      </c>
      <c r="AN435" s="1">
        <v>1.0</v>
      </c>
      <c r="AO435" s="1" t="s">
        <v>229</v>
      </c>
      <c r="AQ435" s="1" t="s">
        <v>198</v>
      </c>
      <c r="AR435" s="1" t="s">
        <v>200</v>
      </c>
      <c r="AS435" s="1" t="s">
        <v>229</v>
      </c>
      <c r="AV435" s="1" t="s">
        <v>200</v>
      </c>
      <c r="AW435" s="1">
        <v>1538.94</v>
      </c>
      <c r="AX435" s="1">
        <v>2012.0</v>
      </c>
      <c r="AZ435" s="1" t="s">
        <v>200</v>
      </c>
      <c r="BA435" s="1" t="str">
        <f>"20323130430000"</f>
        <v>20323130430000</v>
      </c>
      <c r="BC435" s="1">
        <v>1100.0</v>
      </c>
      <c r="BD435" s="1">
        <v>42500.0</v>
      </c>
      <c r="BE435" s="2">
        <v>41955.0</v>
      </c>
      <c r="BF435" s="2" t="s">
        <v>6008</v>
      </c>
      <c r="BH435" s="1">
        <v>0.0</v>
      </c>
      <c r="BK435" s="1" t="s">
        <v>204</v>
      </c>
      <c r="BL435" s="1" t="str">
        <f t="shared" ref="BL435:BM435" si="288">"0"</f>
        <v>0</v>
      </c>
      <c r="BM435" s="1" t="str">
        <f t="shared" si="288"/>
        <v>0</v>
      </c>
      <c r="BN435" s="1">
        <v>1300.0</v>
      </c>
      <c r="BO435" s="1">
        <v>8448.0</v>
      </c>
      <c r="BQ435" s="1">
        <v>299.0</v>
      </c>
      <c r="BR435" s="1">
        <v>299.0</v>
      </c>
      <c r="BS435" s="1">
        <v>299.0</v>
      </c>
      <c r="BU435" s="1" t="s">
        <v>662</v>
      </c>
      <c r="BV435" s="1" t="s">
        <v>206</v>
      </c>
      <c r="BY435" s="1" t="s">
        <v>1190</v>
      </c>
      <c r="BZ435" s="1" t="s">
        <v>209</v>
      </c>
      <c r="CC435" s="1" t="s">
        <v>1417</v>
      </c>
      <c r="CD435" s="1" t="s">
        <v>206</v>
      </c>
      <c r="CG435" s="1" t="s">
        <v>1351</v>
      </c>
      <c r="CH435" s="1" t="s">
        <v>206</v>
      </c>
      <c r="CK435" s="1" t="s">
        <v>699</v>
      </c>
      <c r="CL435" s="1" t="s">
        <v>206</v>
      </c>
      <c r="CO435" s="1" t="s">
        <v>815</v>
      </c>
      <c r="CP435" s="1" t="s">
        <v>209</v>
      </c>
      <c r="CS435" s="1" t="s">
        <v>1417</v>
      </c>
      <c r="CT435" s="1" t="s">
        <v>206</v>
      </c>
      <c r="CX435" s="1" t="s">
        <v>204</v>
      </c>
      <c r="DA435" s="1" t="s">
        <v>200</v>
      </c>
      <c r="DC435" s="1" t="s">
        <v>1399</v>
      </c>
      <c r="DE435" s="1" t="s">
        <v>229</v>
      </c>
      <c r="DF435" s="1" t="s">
        <v>619</v>
      </c>
      <c r="DH435" s="1" t="s">
        <v>220</v>
      </c>
      <c r="DJ435" s="1" t="s">
        <v>4047</v>
      </c>
      <c r="DL435" s="1" t="s">
        <v>223</v>
      </c>
      <c r="DM435" s="1" t="s">
        <v>229</v>
      </c>
      <c r="DQ435" s="1" t="s">
        <v>794</v>
      </c>
      <c r="DR435" s="1" t="s">
        <v>229</v>
      </c>
      <c r="DV435" s="1" t="s">
        <v>374</v>
      </c>
      <c r="DW435" s="1" t="s">
        <v>279</v>
      </c>
      <c r="DX435" s="1" t="s">
        <v>234</v>
      </c>
      <c r="EA435" s="1" t="s">
        <v>644</v>
      </c>
      <c r="EC435" s="1" t="s">
        <v>685</v>
      </c>
      <c r="EG435" s="1" t="s">
        <v>374</v>
      </c>
      <c r="EL435" s="1" t="s">
        <v>2569</v>
      </c>
      <c r="EM435" s="1" t="s">
        <v>206</v>
      </c>
      <c r="EQ435" s="1" t="s">
        <v>238</v>
      </c>
      <c r="EU435" s="1" t="s">
        <v>238</v>
      </c>
      <c r="EY435" s="1" t="s">
        <v>238</v>
      </c>
      <c r="FC435" s="1" t="s">
        <v>238</v>
      </c>
      <c r="FF435" s="1" t="s">
        <v>239</v>
      </c>
      <c r="FG435" s="1" t="s">
        <v>192</v>
      </c>
      <c r="FH435" s="1" t="s">
        <v>192</v>
      </c>
      <c r="FJ435" s="1" t="s">
        <v>6009</v>
      </c>
      <c r="FK435" s="1" t="s">
        <v>229</v>
      </c>
      <c r="FL435" s="1" t="s">
        <v>4048</v>
      </c>
      <c r="FM435" s="1">
        <v>84077.0</v>
      </c>
      <c r="FN435" s="1" t="s">
        <v>4049</v>
      </c>
      <c r="FO435" s="1" t="s">
        <v>4050</v>
      </c>
      <c r="FP435" s="1">
        <v>175275.0</v>
      </c>
      <c r="FU435" s="1" t="s">
        <v>1541</v>
      </c>
      <c r="FV435" s="1" t="s">
        <v>200</v>
      </c>
      <c r="FW435" s="1" t="s">
        <v>354</v>
      </c>
      <c r="FX435" s="1" t="s">
        <v>655</v>
      </c>
      <c r="FZ435" s="1" t="s">
        <v>229</v>
      </c>
      <c r="GA435" s="1" t="s">
        <v>291</v>
      </c>
      <c r="GB435" s="2">
        <v>41991.0</v>
      </c>
      <c r="GC435" s="1" t="s">
        <v>6010</v>
      </c>
    </row>
    <row r="436">
      <c r="A436" s="1">
        <v>980000.0</v>
      </c>
      <c r="B436" s="1" t="s">
        <v>185</v>
      </c>
      <c r="C436" s="1" t="str">
        <f>"08786947"</f>
        <v>08786947</v>
      </c>
      <c r="D436" s="1" t="s">
        <v>186</v>
      </c>
      <c r="F436" s="1" t="str">
        <f>"8024"</f>
        <v>8024</v>
      </c>
      <c r="G436" s="2">
        <v>41958.0</v>
      </c>
      <c r="H436" s="1">
        <v>1059999.0</v>
      </c>
      <c r="I436" s="1">
        <v>120.0</v>
      </c>
      <c r="J436" s="1">
        <v>1059999.0</v>
      </c>
      <c r="K436" s="2">
        <v>42077.0</v>
      </c>
      <c r="L436" s="1">
        <v>120.0</v>
      </c>
      <c r="M436" s="2">
        <v>42077.0</v>
      </c>
      <c r="N436" s="1" t="s">
        <v>187</v>
      </c>
      <c r="O436" s="2">
        <v>42079.0</v>
      </c>
      <c r="P436" s="1">
        <v>127599.0</v>
      </c>
      <c r="Q436" s="1">
        <v>84025.0</v>
      </c>
      <c r="S436" s="1">
        <v>1937.0</v>
      </c>
      <c r="T436" s="1" t="s">
        <v>6011</v>
      </c>
      <c r="U436" s="1" t="s">
        <v>320</v>
      </c>
      <c r="V436" s="1" t="s">
        <v>190</v>
      </c>
      <c r="W436" s="1">
        <v>60622.0</v>
      </c>
      <c r="Y436" s="1" t="s">
        <v>6012</v>
      </c>
      <c r="Z436" s="1">
        <v>2014.0</v>
      </c>
      <c r="AA436" s="1" t="s">
        <v>200</v>
      </c>
      <c r="AB436" s="1" t="s">
        <v>193</v>
      </c>
      <c r="AD436" s="1" t="s">
        <v>194</v>
      </c>
      <c r="AE436" s="1" t="s">
        <v>195</v>
      </c>
      <c r="AF436" s="1" t="s">
        <v>827</v>
      </c>
      <c r="AH436" s="1" t="s">
        <v>6013</v>
      </c>
      <c r="AI436" s="1">
        <v>0.0523</v>
      </c>
      <c r="AK436" s="1">
        <v>7.0</v>
      </c>
      <c r="AL436" s="1">
        <v>4.0</v>
      </c>
      <c r="AM436" s="1">
        <v>3.0</v>
      </c>
      <c r="AN436" s="1">
        <v>1.0</v>
      </c>
      <c r="AO436" s="1" t="s">
        <v>198</v>
      </c>
      <c r="AQ436" s="1" t="s">
        <v>198</v>
      </c>
      <c r="AR436" s="1" t="s">
        <v>192</v>
      </c>
      <c r="AS436" s="1" t="s">
        <v>199</v>
      </c>
      <c r="AT436" s="1">
        <v>2.5</v>
      </c>
      <c r="AV436" s="1" t="s">
        <v>200</v>
      </c>
      <c r="AW436" s="1">
        <v>5985.0</v>
      </c>
      <c r="AX436" s="1">
        <v>2012.0</v>
      </c>
      <c r="AY436" s="1" t="s">
        <v>229</v>
      </c>
      <c r="AZ436" s="1" t="s">
        <v>200</v>
      </c>
      <c r="BA436" s="1" t="str">
        <f>"17072160090000"</f>
        <v>17072160090000</v>
      </c>
      <c r="BC436" s="1">
        <v>3300.0</v>
      </c>
      <c r="BD436" s="1">
        <v>980000.0</v>
      </c>
      <c r="BE436" s="2">
        <v>41958.0</v>
      </c>
      <c r="BF436" s="2" t="s">
        <v>6014</v>
      </c>
      <c r="BH436" s="1">
        <v>0.0</v>
      </c>
      <c r="BK436" s="1" t="s">
        <v>204</v>
      </c>
      <c r="BL436" s="1" t="str">
        <f>"600"</f>
        <v>600</v>
      </c>
      <c r="BM436" s="1" t="str">
        <f t="shared" ref="BM436:BM437" si="289">"0"</f>
        <v>0</v>
      </c>
      <c r="BN436" s="1">
        <v>1937.0</v>
      </c>
      <c r="BO436" s="1">
        <v>0.0</v>
      </c>
      <c r="BQ436" s="1">
        <v>299.0</v>
      </c>
      <c r="BR436" s="1">
        <v>299.0</v>
      </c>
      <c r="BS436" s="1">
        <v>299.0</v>
      </c>
      <c r="BU436" s="1" t="s">
        <v>1623</v>
      </c>
      <c r="BV436" s="1" t="s">
        <v>206</v>
      </c>
      <c r="BY436" s="1" t="s">
        <v>214</v>
      </c>
      <c r="BZ436" s="1" t="s">
        <v>209</v>
      </c>
      <c r="CD436" s="1" t="s">
        <v>204</v>
      </c>
      <c r="CG436" s="1" t="s">
        <v>211</v>
      </c>
      <c r="CH436" s="1" t="s">
        <v>209</v>
      </c>
      <c r="CK436" s="1" t="s">
        <v>212</v>
      </c>
      <c r="CL436" s="1" t="s">
        <v>209</v>
      </c>
      <c r="CO436" s="1" t="s">
        <v>925</v>
      </c>
      <c r="CP436" s="1" t="s">
        <v>206</v>
      </c>
      <c r="CS436" s="1" t="s">
        <v>1623</v>
      </c>
      <c r="CT436" s="1" t="s">
        <v>206</v>
      </c>
      <c r="CW436" s="1" t="s">
        <v>6015</v>
      </c>
      <c r="CX436" s="1" t="s">
        <v>42</v>
      </c>
      <c r="DA436" s="1" t="s">
        <v>192</v>
      </c>
      <c r="DB436" s="2">
        <v>41993.0</v>
      </c>
      <c r="DC436" s="1" t="s">
        <v>744</v>
      </c>
      <c r="DD436" s="1" t="s">
        <v>306</v>
      </c>
      <c r="DE436" s="1" t="s">
        <v>3750</v>
      </c>
      <c r="DF436" s="1" t="s">
        <v>2328</v>
      </c>
      <c r="DH436" s="1" t="s">
        <v>365</v>
      </c>
      <c r="DI436" s="1" t="s">
        <v>6016</v>
      </c>
      <c r="DJ436" s="1" t="s">
        <v>222</v>
      </c>
      <c r="DL436" s="1" t="s">
        <v>224</v>
      </c>
      <c r="DM436" s="1" t="s">
        <v>338</v>
      </c>
      <c r="DN436" s="1" t="s">
        <v>6017</v>
      </c>
      <c r="DP436" s="1" t="s">
        <v>276</v>
      </c>
      <c r="DQ436" s="1" t="s">
        <v>228</v>
      </c>
      <c r="DR436" s="1" t="s">
        <v>229</v>
      </c>
      <c r="DS436" s="1" t="s">
        <v>6018</v>
      </c>
      <c r="DV436" s="1" t="s">
        <v>232</v>
      </c>
      <c r="DW436" s="1" t="s">
        <v>279</v>
      </c>
      <c r="DX436" s="1" t="s">
        <v>234</v>
      </c>
      <c r="DY436" s="1" t="s">
        <v>6019</v>
      </c>
      <c r="DZ436" s="1" t="s">
        <v>5293</v>
      </c>
      <c r="EA436" s="1" t="s">
        <v>1027</v>
      </c>
      <c r="EC436" s="1" t="s">
        <v>237</v>
      </c>
      <c r="ED436" s="1" t="s">
        <v>555</v>
      </c>
      <c r="EM436" s="1" t="s">
        <v>238</v>
      </c>
      <c r="EQ436" s="1" t="s">
        <v>238</v>
      </c>
      <c r="EU436" s="1" t="s">
        <v>238</v>
      </c>
      <c r="EY436" s="1" t="s">
        <v>238</v>
      </c>
      <c r="FC436" s="1" t="s">
        <v>238</v>
      </c>
      <c r="FF436" s="1" t="s">
        <v>239</v>
      </c>
      <c r="FG436" s="1" t="s">
        <v>192</v>
      </c>
      <c r="FH436" s="1" t="s">
        <v>192</v>
      </c>
      <c r="FJ436" s="1" t="s">
        <v>6020</v>
      </c>
      <c r="FK436" s="1" t="s">
        <v>557</v>
      </c>
      <c r="FL436" s="1" t="s">
        <v>3794</v>
      </c>
      <c r="FM436" s="1">
        <v>16734.0</v>
      </c>
      <c r="FN436" s="1" t="s">
        <v>6021</v>
      </c>
      <c r="FO436" s="1" t="s">
        <v>6022</v>
      </c>
      <c r="FP436" s="1">
        <v>859124.0</v>
      </c>
      <c r="FQ436" s="1" t="s">
        <v>6023</v>
      </c>
      <c r="FU436" s="1" t="s">
        <v>6024</v>
      </c>
      <c r="FV436" s="1" t="s">
        <v>192</v>
      </c>
      <c r="FW436" s="1" t="s">
        <v>530</v>
      </c>
      <c r="FX436" s="1" t="s">
        <v>246</v>
      </c>
      <c r="FZ436" s="1" t="s">
        <v>229</v>
      </c>
      <c r="GA436" s="1" t="s">
        <v>291</v>
      </c>
      <c r="GB436" s="2">
        <v>42079.0</v>
      </c>
      <c r="GC436" s="1" t="s">
        <v>6025</v>
      </c>
    </row>
    <row r="437">
      <c r="A437" s="1">
        <v>445000.0</v>
      </c>
      <c r="B437" s="1" t="s">
        <v>185</v>
      </c>
      <c r="C437" s="1" t="str">
        <f>"08788276"</f>
        <v>08788276</v>
      </c>
      <c r="D437" s="1" t="s">
        <v>186</v>
      </c>
      <c r="F437" s="1" t="str">
        <f>"177"</f>
        <v>177</v>
      </c>
      <c r="G437" s="2">
        <v>41961.0</v>
      </c>
      <c r="H437" s="1">
        <v>459900.0</v>
      </c>
      <c r="I437" s="1">
        <v>122.0</v>
      </c>
      <c r="J437" s="1">
        <v>450000.0</v>
      </c>
      <c r="K437" s="2">
        <v>42082.0</v>
      </c>
      <c r="L437" s="1">
        <v>122.0</v>
      </c>
      <c r="M437" s="2">
        <v>42082.0</v>
      </c>
      <c r="N437" s="1" t="s">
        <v>187</v>
      </c>
      <c r="O437" s="2">
        <v>42132.0</v>
      </c>
      <c r="P437" s="1">
        <v>214605.0</v>
      </c>
      <c r="Q437" s="1">
        <v>25309.0</v>
      </c>
      <c r="S437" s="1">
        <v>572.0</v>
      </c>
      <c r="T437" s="1" t="s">
        <v>6026</v>
      </c>
      <c r="U437" s="1" t="s">
        <v>569</v>
      </c>
      <c r="V437" s="1" t="s">
        <v>2249</v>
      </c>
      <c r="W437" s="1">
        <v>60177.0</v>
      </c>
      <c r="Y437" s="1" t="s">
        <v>6027</v>
      </c>
      <c r="Z437" s="1">
        <v>2001.0</v>
      </c>
      <c r="AA437" s="1" t="s">
        <v>200</v>
      </c>
      <c r="AB437" s="1" t="s">
        <v>467</v>
      </c>
      <c r="AC437" s="1" t="s">
        <v>4508</v>
      </c>
      <c r="AD437" s="1" t="s">
        <v>2252</v>
      </c>
      <c r="AE437" s="1" t="s">
        <v>325</v>
      </c>
      <c r="AF437" s="1" t="s">
        <v>1203</v>
      </c>
      <c r="AH437" s="1" t="s">
        <v>6028</v>
      </c>
      <c r="AI437" s="1">
        <v>0.2907</v>
      </c>
      <c r="AK437" s="1">
        <v>9.0</v>
      </c>
      <c r="AL437" s="1">
        <v>4.0</v>
      </c>
      <c r="AM437" s="1">
        <v>2.0</v>
      </c>
      <c r="AN437" s="1">
        <v>1.0</v>
      </c>
      <c r="AO437" s="1" t="s">
        <v>198</v>
      </c>
      <c r="AP437" s="1">
        <v>1.0</v>
      </c>
      <c r="AQ437" s="1" t="s">
        <v>257</v>
      </c>
      <c r="AR437" s="1" t="s">
        <v>200</v>
      </c>
      <c r="AS437" s="1" t="s">
        <v>199</v>
      </c>
      <c r="AT437" s="1">
        <v>4.0</v>
      </c>
      <c r="AV437" s="1" t="s">
        <v>192</v>
      </c>
      <c r="AW437" s="1">
        <v>14991.58</v>
      </c>
      <c r="AX437" s="1">
        <v>2013.0</v>
      </c>
      <c r="AZ437" s="1" t="s">
        <v>200</v>
      </c>
      <c r="BA437" s="1" t="str">
        <f>"0905152001"</f>
        <v>0905152001</v>
      </c>
      <c r="BC437" s="1">
        <v>3450.0</v>
      </c>
      <c r="BD437" s="1">
        <v>445000.0</v>
      </c>
      <c r="BE437" s="2">
        <v>41961.0</v>
      </c>
      <c r="BF437" s="2" t="s">
        <v>6029</v>
      </c>
      <c r="BG437" s="1" t="s">
        <v>5221</v>
      </c>
      <c r="BH437" s="1">
        <v>117.0</v>
      </c>
      <c r="BI437" s="1" t="s">
        <v>4511</v>
      </c>
      <c r="BJ437" s="1" t="s">
        <v>2200</v>
      </c>
      <c r="BK437" s="1" t="s">
        <v>1952</v>
      </c>
      <c r="BL437" s="1" t="str">
        <f>"7"</f>
        <v>7</v>
      </c>
      <c r="BM437" s="1" t="str">
        <f t="shared" si="289"/>
        <v>0</v>
      </c>
      <c r="BN437" s="1">
        <v>37.0</v>
      </c>
      <c r="BO437" s="1">
        <v>0.0</v>
      </c>
      <c r="BQ437" s="1">
        <v>303.0</v>
      </c>
      <c r="BR437" s="1">
        <v>303.0</v>
      </c>
      <c r="BS437" s="1">
        <v>303.0</v>
      </c>
      <c r="BU437" s="1" t="s">
        <v>758</v>
      </c>
      <c r="BV437" s="1" t="s">
        <v>206</v>
      </c>
      <c r="BW437" s="1" t="s">
        <v>210</v>
      </c>
      <c r="BX437" s="1" t="s">
        <v>239</v>
      </c>
      <c r="BY437" s="1" t="s">
        <v>1534</v>
      </c>
      <c r="BZ437" s="1" t="s">
        <v>209</v>
      </c>
      <c r="CA437" s="1" t="s">
        <v>210</v>
      </c>
      <c r="CB437" s="1" t="s">
        <v>239</v>
      </c>
      <c r="CC437" s="1" t="s">
        <v>393</v>
      </c>
      <c r="CD437" s="1" t="s">
        <v>206</v>
      </c>
      <c r="CE437" s="1" t="s">
        <v>210</v>
      </c>
      <c r="CF437" s="1" t="s">
        <v>239</v>
      </c>
      <c r="CG437" s="1" t="s">
        <v>454</v>
      </c>
      <c r="CH437" s="1" t="s">
        <v>209</v>
      </c>
      <c r="CI437" s="1" t="s">
        <v>210</v>
      </c>
      <c r="CJ437" s="1" t="s">
        <v>239</v>
      </c>
      <c r="CK437" s="1" t="s">
        <v>433</v>
      </c>
      <c r="CL437" s="1" t="s">
        <v>209</v>
      </c>
      <c r="CM437" s="1" t="s">
        <v>210</v>
      </c>
      <c r="CN437" s="1" t="s">
        <v>239</v>
      </c>
      <c r="CO437" s="1" t="s">
        <v>454</v>
      </c>
      <c r="CP437" s="1" t="s">
        <v>209</v>
      </c>
      <c r="CQ437" s="1" t="s">
        <v>210</v>
      </c>
      <c r="CR437" s="1" t="s">
        <v>239</v>
      </c>
      <c r="CS437" s="1" t="s">
        <v>2181</v>
      </c>
      <c r="CT437" s="1" t="s">
        <v>206</v>
      </c>
      <c r="CU437" s="1" t="s">
        <v>207</v>
      </c>
      <c r="CV437" s="1" t="s">
        <v>239</v>
      </c>
      <c r="CW437" s="1" t="s">
        <v>2014</v>
      </c>
      <c r="CX437" s="1" t="s">
        <v>206</v>
      </c>
      <c r="CY437" s="1" t="s">
        <v>210</v>
      </c>
      <c r="CZ437" s="1" t="s">
        <v>239</v>
      </c>
      <c r="DA437" s="1" t="s">
        <v>200</v>
      </c>
      <c r="DC437" s="1" t="s">
        <v>335</v>
      </c>
      <c r="DD437" s="1" t="s">
        <v>436</v>
      </c>
      <c r="DE437" s="1" t="s">
        <v>273</v>
      </c>
      <c r="DF437" s="1" t="s">
        <v>219</v>
      </c>
      <c r="DG437" s="1" t="s">
        <v>6030</v>
      </c>
      <c r="DH437" s="1" t="s">
        <v>220</v>
      </c>
      <c r="DI437" s="1" t="s">
        <v>6031</v>
      </c>
      <c r="DJ437" s="1" t="s">
        <v>222</v>
      </c>
      <c r="DL437" s="1" t="s">
        <v>223</v>
      </c>
      <c r="DM437" s="1" t="s">
        <v>338</v>
      </c>
      <c r="DN437" s="1" t="s">
        <v>399</v>
      </c>
      <c r="DO437" s="1" t="s">
        <v>6032</v>
      </c>
      <c r="DP437" s="1" t="s">
        <v>340</v>
      </c>
      <c r="DQ437" s="1" t="s">
        <v>441</v>
      </c>
      <c r="DR437" s="1" t="s">
        <v>2593</v>
      </c>
      <c r="DU437" s="1" t="s">
        <v>1840</v>
      </c>
      <c r="DV437" s="1" t="s">
        <v>598</v>
      </c>
      <c r="DW437" s="1" t="s">
        <v>764</v>
      </c>
      <c r="DX437" s="1" t="s">
        <v>234</v>
      </c>
      <c r="DY437" s="1" t="s">
        <v>490</v>
      </c>
      <c r="DZ437" s="1" t="s">
        <v>310</v>
      </c>
      <c r="EB437" s="1" t="s">
        <v>937</v>
      </c>
      <c r="EC437" s="1" t="s">
        <v>237</v>
      </c>
      <c r="ED437" s="1" t="s">
        <v>407</v>
      </c>
      <c r="EG437" s="1" t="s">
        <v>598</v>
      </c>
      <c r="EL437" s="1" t="s">
        <v>331</v>
      </c>
      <c r="EM437" s="1" t="s">
        <v>206</v>
      </c>
      <c r="EN437" s="1" t="s">
        <v>210</v>
      </c>
      <c r="EO437" s="1" t="s">
        <v>239</v>
      </c>
      <c r="EQ437" s="1" t="s">
        <v>238</v>
      </c>
      <c r="EU437" s="1" t="s">
        <v>238</v>
      </c>
      <c r="EY437" s="1" t="s">
        <v>238</v>
      </c>
      <c r="FC437" s="1" t="s">
        <v>238</v>
      </c>
      <c r="FF437" s="1" t="s">
        <v>239</v>
      </c>
      <c r="FG437" s="1" t="s">
        <v>192</v>
      </c>
      <c r="FH437" s="1" t="s">
        <v>192</v>
      </c>
      <c r="FJ437" s="1" t="s">
        <v>2133</v>
      </c>
      <c r="FK437" s="1" t="s">
        <v>229</v>
      </c>
      <c r="FL437" s="1" t="s">
        <v>456</v>
      </c>
      <c r="FM437" s="1">
        <v>49.0</v>
      </c>
      <c r="FN437" s="1" t="s">
        <v>457</v>
      </c>
      <c r="FO437" s="1" t="s">
        <v>5232</v>
      </c>
      <c r="FP437" s="1">
        <v>7841.0</v>
      </c>
      <c r="FS437" s="1" t="s">
        <v>5233</v>
      </c>
      <c r="FU437" s="1" t="s">
        <v>6033</v>
      </c>
      <c r="FV437" s="1" t="s">
        <v>200</v>
      </c>
      <c r="FW437" s="1" t="s">
        <v>290</v>
      </c>
      <c r="FZ437" s="1" t="s">
        <v>229</v>
      </c>
      <c r="GA437" s="1" t="s">
        <v>291</v>
      </c>
      <c r="GB437" s="2">
        <v>42132.0</v>
      </c>
      <c r="GC437" s="1" t="s">
        <v>6034</v>
      </c>
    </row>
    <row r="438">
      <c r="A438" s="1">
        <v>41000.0</v>
      </c>
      <c r="B438" s="1" t="s">
        <v>185</v>
      </c>
      <c r="C438" s="1" t="str">
        <f>"08786844"</f>
        <v>08786844</v>
      </c>
      <c r="D438" s="1" t="s">
        <v>186</v>
      </c>
      <c r="F438" s="1" t="str">
        <f>"8073"</f>
        <v>8073</v>
      </c>
      <c r="G438" s="2">
        <v>41957.0</v>
      </c>
      <c r="H438" s="1">
        <v>18900.0</v>
      </c>
      <c r="I438" s="1">
        <v>12.0</v>
      </c>
      <c r="J438" s="1">
        <v>18900.0</v>
      </c>
      <c r="K438" s="2">
        <v>41968.0</v>
      </c>
      <c r="L438" s="1">
        <v>12.0</v>
      </c>
      <c r="M438" s="2">
        <v>41968.0</v>
      </c>
      <c r="N438" s="1" t="s">
        <v>249</v>
      </c>
      <c r="O438" s="2">
        <v>42017.0</v>
      </c>
      <c r="P438" s="1">
        <v>99999.0</v>
      </c>
      <c r="Q438" s="1" t="s">
        <v>947</v>
      </c>
      <c r="S438" s="1">
        <v>10120.0</v>
      </c>
      <c r="T438" s="1" t="s">
        <v>6035</v>
      </c>
      <c r="U438" s="1" t="s">
        <v>320</v>
      </c>
      <c r="V438" s="1" t="s">
        <v>190</v>
      </c>
      <c r="W438" s="1">
        <v>60643.0</v>
      </c>
      <c r="Y438" s="1" t="s">
        <v>6036</v>
      </c>
      <c r="Z438" s="1">
        <v>1948.0</v>
      </c>
      <c r="AA438" s="1" t="s">
        <v>192</v>
      </c>
      <c r="AB438" s="1" t="s">
        <v>193</v>
      </c>
      <c r="AD438" s="1" t="s">
        <v>194</v>
      </c>
      <c r="AE438" s="1" t="s">
        <v>195</v>
      </c>
      <c r="AF438" s="1" t="s">
        <v>659</v>
      </c>
      <c r="AH438" s="1">
        <v>3932.0</v>
      </c>
      <c r="AK438" s="1">
        <v>6.0</v>
      </c>
      <c r="AL438" s="1">
        <v>4.0</v>
      </c>
      <c r="AM438" s="1">
        <v>2.0</v>
      </c>
      <c r="AN438" s="1">
        <v>0.0</v>
      </c>
      <c r="AO438" s="1" t="s">
        <v>229</v>
      </c>
      <c r="AQ438" s="1" t="s">
        <v>198</v>
      </c>
      <c r="AR438" s="1" t="s">
        <v>200</v>
      </c>
      <c r="AS438" s="1" t="s">
        <v>199</v>
      </c>
      <c r="AT438" s="1">
        <v>2.0</v>
      </c>
      <c r="AV438" s="1" t="s">
        <v>200</v>
      </c>
      <c r="AW438" s="1">
        <v>2119.0</v>
      </c>
      <c r="AX438" s="1">
        <v>2012.0</v>
      </c>
      <c r="AZ438" s="1" t="s">
        <v>200</v>
      </c>
      <c r="BA438" s="1" t="str">
        <f>"25084200320000"</f>
        <v>25084200320000</v>
      </c>
      <c r="BC438" s="1">
        <v>1360.0</v>
      </c>
      <c r="BD438" s="1">
        <v>41000.0</v>
      </c>
      <c r="BE438" s="2">
        <v>41957.0</v>
      </c>
      <c r="BF438" s="2" t="s">
        <v>6037</v>
      </c>
      <c r="BH438" s="1">
        <v>0.0</v>
      </c>
      <c r="BK438" s="1" t="s">
        <v>204</v>
      </c>
      <c r="BL438" s="1" t="str">
        <f t="shared" ref="BL438:BM438" si="290">"0"</f>
        <v>0</v>
      </c>
      <c r="BM438" s="1" t="str">
        <f t="shared" si="290"/>
        <v>0</v>
      </c>
      <c r="BN438" s="1">
        <v>1000.0</v>
      </c>
      <c r="BO438" s="1">
        <v>10120.0</v>
      </c>
      <c r="BQ438" s="1">
        <v>299.0</v>
      </c>
      <c r="BR438" s="1">
        <v>299.0</v>
      </c>
      <c r="BS438" s="1">
        <v>299.0</v>
      </c>
      <c r="BU438" s="1" t="s">
        <v>454</v>
      </c>
      <c r="BV438" s="1" t="s">
        <v>206</v>
      </c>
      <c r="BY438" s="1" t="s">
        <v>495</v>
      </c>
      <c r="BZ438" s="1" t="s">
        <v>206</v>
      </c>
      <c r="CD438" s="1" t="s">
        <v>204</v>
      </c>
      <c r="CG438" s="1" t="s">
        <v>269</v>
      </c>
      <c r="CH438" s="1" t="s">
        <v>206</v>
      </c>
      <c r="CK438" s="1" t="s">
        <v>699</v>
      </c>
      <c r="CL438" s="1" t="s">
        <v>209</v>
      </c>
      <c r="CO438" s="1" t="s">
        <v>699</v>
      </c>
      <c r="CP438" s="1" t="s">
        <v>209</v>
      </c>
      <c r="CS438" s="1" t="s">
        <v>392</v>
      </c>
      <c r="CT438" s="1" t="s">
        <v>206</v>
      </c>
      <c r="CX438" s="1" t="s">
        <v>204</v>
      </c>
      <c r="DA438" s="1" t="s">
        <v>200</v>
      </c>
      <c r="DC438" s="1" t="s">
        <v>702</v>
      </c>
      <c r="DE438" s="1" t="s">
        <v>229</v>
      </c>
      <c r="DF438" s="1" t="s">
        <v>619</v>
      </c>
      <c r="DH438" s="1" t="s">
        <v>365</v>
      </c>
      <c r="DJ438" s="1" t="s">
        <v>222</v>
      </c>
      <c r="DL438" s="1" t="s">
        <v>223</v>
      </c>
      <c r="DM438" s="1" t="s">
        <v>229</v>
      </c>
      <c r="DQ438" s="1" t="s">
        <v>718</v>
      </c>
      <c r="DR438" s="1" t="s">
        <v>229</v>
      </c>
      <c r="DV438" s="1" t="s">
        <v>232</v>
      </c>
      <c r="DW438" s="1" t="s">
        <v>279</v>
      </c>
      <c r="DX438" s="1" t="s">
        <v>309</v>
      </c>
      <c r="EC438" s="1" t="s">
        <v>645</v>
      </c>
      <c r="EE438" s="1" t="s">
        <v>1673</v>
      </c>
      <c r="EM438" s="1" t="s">
        <v>238</v>
      </c>
      <c r="EQ438" s="1" t="s">
        <v>238</v>
      </c>
      <c r="EU438" s="1" t="s">
        <v>238</v>
      </c>
      <c r="EY438" s="1" t="s">
        <v>238</v>
      </c>
      <c r="FC438" s="1" t="s">
        <v>238</v>
      </c>
      <c r="FF438" s="1" t="s">
        <v>239</v>
      </c>
      <c r="FG438" s="1" t="s">
        <v>192</v>
      </c>
      <c r="FH438" s="1" t="s">
        <v>192</v>
      </c>
      <c r="FJ438" s="1" t="s">
        <v>6038</v>
      </c>
      <c r="FK438" s="1" t="s">
        <v>229</v>
      </c>
      <c r="FL438" s="1" t="s">
        <v>6039</v>
      </c>
      <c r="FM438" s="1">
        <v>12278.0</v>
      </c>
      <c r="FN438" s="1" t="s">
        <v>6040</v>
      </c>
      <c r="FO438" s="1" t="s">
        <v>6041</v>
      </c>
      <c r="FP438" s="1">
        <v>119957.0</v>
      </c>
      <c r="FQ438" s="1" t="s">
        <v>6040</v>
      </c>
      <c r="FU438" s="1" t="s">
        <v>6042</v>
      </c>
      <c r="FV438" s="1" t="s">
        <v>200</v>
      </c>
      <c r="FW438" s="1" t="s">
        <v>567</v>
      </c>
      <c r="FX438" s="1" t="s">
        <v>655</v>
      </c>
      <c r="FZ438" s="1" t="s">
        <v>229</v>
      </c>
      <c r="GA438" s="1" t="s">
        <v>291</v>
      </c>
      <c r="GB438" s="2">
        <v>42019.0</v>
      </c>
      <c r="GC438" s="1" t="s">
        <v>6043</v>
      </c>
    </row>
    <row r="439">
      <c r="A439" s="1">
        <v>524900.0</v>
      </c>
      <c r="B439" s="1" t="s">
        <v>185</v>
      </c>
      <c r="C439" s="1" t="str">
        <f>"08789199"</f>
        <v>08789199</v>
      </c>
      <c r="D439" s="1" t="s">
        <v>186</v>
      </c>
      <c r="F439" s="1" t="str">
        <f>"8021"</f>
        <v>8021</v>
      </c>
      <c r="G439" s="2">
        <v>41962.0</v>
      </c>
      <c r="H439" s="1">
        <v>524900.0</v>
      </c>
      <c r="I439" s="1">
        <v>29.0</v>
      </c>
      <c r="J439" s="1">
        <v>524900.0</v>
      </c>
      <c r="K439" s="2">
        <v>41966.0</v>
      </c>
      <c r="L439" s="1">
        <v>5.0</v>
      </c>
      <c r="M439" s="2">
        <v>41966.0</v>
      </c>
      <c r="N439" s="1" t="s">
        <v>187</v>
      </c>
      <c r="O439" s="2">
        <v>42030.0</v>
      </c>
      <c r="P439" s="1">
        <v>161088.0</v>
      </c>
      <c r="Q439" s="1">
        <v>84730.0</v>
      </c>
      <c r="S439" s="1">
        <v>2826.0</v>
      </c>
      <c r="T439" s="1" t="s">
        <v>6044</v>
      </c>
      <c r="U439" s="1" t="s">
        <v>320</v>
      </c>
      <c r="V439" s="1" t="s">
        <v>190</v>
      </c>
      <c r="W439" s="1">
        <v>60618.0</v>
      </c>
      <c r="Y439" s="1" t="s">
        <v>6045</v>
      </c>
      <c r="Z439" s="1">
        <v>1911.0</v>
      </c>
      <c r="AA439" s="1" t="s">
        <v>192</v>
      </c>
      <c r="AB439" s="1" t="s">
        <v>193</v>
      </c>
      <c r="AD439" s="1" t="s">
        <v>194</v>
      </c>
      <c r="AE439" s="1" t="s">
        <v>195</v>
      </c>
      <c r="AF439" s="1" t="s">
        <v>196</v>
      </c>
      <c r="AH439" s="1" t="s">
        <v>3180</v>
      </c>
      <c r="AK439" s="1">
        <v>9.0</v>
      </c>
      <c r="AL439" s="1">
        <v>3.0</v>
      </c>
      <c r="AM439" s="1">
        <v>3.0</v>
      </c>
      <c r="AN439" s="1">
        <v>1.0</v>
      </c>
      <c r="AO439" s="1" t="s">
        <v>198</v>
      </c>
      <c r="AQ439" s="1" t="s">
        <v>198</v>
      </c>
      <c r="AR439" s="1" t="s">
        <v>192</v>
      </c>
      <c r="AS439" s="1" t="s">
        <v>199</v>
      </c>
      <c r="AT439" s="1">
        <v>2.0</v>
      </c>
      <c r="AV439" s="1" t="s">
        <v>200</v>
      </c>
      <c r="AW439" s="1">
        <v>4175.1</v>
      </c>
      <c r="AX439" s="1">
        <v>2013.0</v>
      </c>
      <c r="AY439" s="1" t="s">
        <v>229</v>
      </c>
      <c r="AZ439" s="1" t="s">
        <v>200</v>
      </c>
      <c r="BA439" s="1" t="str">
        <f>"13243140480000"</f>
        <v>13243140480000</v>
      </c>
      <c r="BB439" s="1" t="s">
        <v>200</v>
      </c>
      <c r="BC439" s="1">
        <v>2500.0</v>
      </c>
      <c r="BD439" s="1">
        <v>524900.0</v>
      </c>
      <c r="BE439" s="2">
        <v>41962.0</v>
      </c>
      <c r="BF439" s="2" t="s">
        <v>6046</v>
      </c>
      <c r="BG439" s="1" t="s">
        <v>6047</v>
      </c>
      <c r="BH439" s="1">
        <v>0.0</v>
      </c>
      <c r="BI439" s="1" t="s">
        <v>6047</v>
      </c>
      <c r="BJ439" s="1" t="s">
        <v>203</v>
      </c>
      <c r="BK439" s="1" t="s">
        <v>204</v>
      </c>
      <c r="BL439" s="1" t="str">
        <f>"3340"</f>
        <v>3340</v>
      </c>
      <c r="BM439" s="1" t="str">
        <f>"0"</f>
        <v>0</v>
      </c>
      <c r="BN439" s="1">
        <v>2826.0</v>
      </c>
      <c r="BO439" s="1">
        <v>0.0</v>
      </c>
      <c r="BQ439" s="1">
        <v>299.0</v>
      </c>
      <c r="BR439" s="1">
        <v>299.0</v>
      </c>
      <c r="BS439" s="1">
        <v>299.0</v>
      </c>
      <c r="BU439" s="1" t="s">
        <v>924</v>
      </c>
      <c r="BV439" s="1" t="s">
        <v>206</v>
      </c>
      <c r="BW439" s="1" t="s">
        <v>207</v>
      </c>
      <c r="BY439" s="1" t="s">
        <v>758</v>
      </c>
      <c r="BZ439" s="1" t="s">
        <v>209</v>
      </c>
      <c r="CA439" s="1" t="s">
        <v>210</v>
      </c>
      <c r="CC439" s="1" t="s">
        <v>433</v>
      </c>
      <c r="CD439" s="1" t="s">
        <v>206</v>
      </c>
      <c r="CE439" s="1" t="s">
        <v>207</v>
      </c>
      <c r="CG439" s="1" t="s">
        <v>699</v>
      </c>
      <c r="CH439" s="1" t="s">
        <v>209</v>
      </c>
      <c r="CI439" s="1" t="s">
        <v>210</v>
      </c>
      <c r="CK439" s="1" t="s">
        <v>495</v>
      </c>
      <c r="CL439" s="1" t="s">
        <v>209</v>
      </c>
      <c r="CM439" s="1" t="s">
        <v>210</v>
      </c>
      <c r="CO439" s="1" t="s">
        <v>1745</v>
      </c>
      <c r="CP439" s="1" t="s">
        <v>42</v>
      </c>
      <c r="CQ439" s="1" t="s">
        <v>210</v>
      </c>
      <c r="CS439" s="1" t="s">
        <v>262</v>
      </c>
      <c r="CT439" s="1" t="s">
        <v>206</v>
      </c>
      <c r="CU439" s="1" t="s">
        <v>207</v>
      </c>
      <c r="CW439" s="1" t="s">
        <v>497</v>
      </c>
      <c r="CX439" s="1" t="s">
        <v>206</v>
      </c>
      <c r="CY439" s="1" t="s">
        <v>207</v>
      </c>
      <c r="DA439" s="1" t="s">
        <v>200</v>
      </c>
      <c r="DC439" s="1" t="s">
        <v>642</v>
      </c>
      <c r="DD439" s="1" t="s">
        <v>731</v>
      </c>
      <c r="DE439" s="1" t="s">
        <v>1810</v>
      </c>
      <c r="DF439" s="1" t="s">
        <v>546</v>
      </c>
      <c r="DG439" s="1" t="s">
        <v>6048</v>
      </c>
      <c r="DH439" s="1" t="s">
        <v>307</v>
      </c>
      <c r="DI439" s="1" t="s">
        <v>732</v>
      </c>
      <c r="DJ439" s="1" t="s">
        <v>222</v>
      </c>
      <c r="DL439" s="1" t="s">
        <v>1161</v>
      </c>
      <c r="DM439" s="1" t="s">
        <v>229</v>
      </c>
      <c r="DN439" s="1" t="s">
        <v>485</v>
      </c>
      <c r="DO439" s="1" t="s">
        <v>5346</v>
      </c>
      <c r="DQ439" s="1" t="s">
        <v>228</v>
      </c>
      <c r="DR439" s="1" t="s">
        <v>229</v>
      </c>
      <c r="DS439" s="1" t="s">
        <v>401</v>
      </c>
      <c r="DU439" s="1" t="s">
        <v>3487</v>
      </c>
      <c r="DV439" s="1" t="s">
        <v>2058</v>
      </c>
      <c r="DW439" s="1" t="s">
        <v>444</v>
      </c>
      <c r="DX439" s="1" t="s">
        <v>234</v>
      </c>
      <c r="DY439" s="1" t="s">
        <v>235</v>
      </c>
      <c r="DZ439" s="1" t="s">
        <v>236</v>
      </c>
      <c r="EC439" s="1" t="s">
        <v>237</v>
      </c>
      <c r="ED439" s="1" t="s">
        <v>407</v>
      </c>
      <c r="EG439" s="1" t="s">
        <v>450</v>
      </c>
      <c r="EH439" s="1" t="s">
        <v>310</v>
      </c>
      <c r="EL439" s="1" t="s">
        <v>394</v>
      </c>
      <c r="EM439" s="1" t="s">
        <v>42</v>
      </c>
      <c r="EN439" s="1" t="s">
        <v>210</v>
      </c>
      <c r="EP439" s="1" t="s">
        <v>212</v>
      </c>
      <c r="EQ439" s="1" t="s">
        <v>206</v>
      </c>
      <c r="ER439" s="1" t="s">
        <v>588</v>
      </c>
      <c r="EU439" s="1" t="s">
        <v>238</v>
      </c>
      <c r="EY439" s="1" t="s">
        <v>238</v>
      </c>
      <c r="FC439" s="1" t="s">
        <v>238</v>
      </c>
      <c r="FF439" s="1" t="s">
        <v>239</v>
      </c>
      <c r="FG439" s="1" t="s">
        <v>192</v>
      </c>
      <c r="FH439" s="1" t="s">
        <v>192</v>
      </c>
      <c r="FJ439" s="1" t="s">
        <v>733</v>
      </c>
      <c r="FK439" s="1" t="s">
        <v>229</v>
      </c>
      <c r="FL439" s="1" t="s">
        <v>974</v>
      </c>
      <c r="FM439" s="1">
        <v>84228.0</v>
      </c>
      <c r="FN439" s="1" t="s">
        <v>6049</v>
      </c>
      <c r="FO439" s="1" t="s">
        <v>6050</v>
      </c>
      <c r="FP439" s="1">
        <v>121063.0</v>
      </c>
      <c r="FQ439" s="1" t="s">
        <v>6051</v>
      </c>
      <c r="FR439" s="1">
        <v>169087.0</v>
      </c>
      <c r="FU439" s="1" t="s">
        <v>6052</v>
      </c>
      <c r="FV439" s="1" t="s">
        <v>200</v>
      </c>
      <c r="FW439" s="1" t="s">
        <v>567</v>
      </c>
      <c r="FX439" s="1" t="s">
        <v>246</v>
      </c>
      <c r="FZ439" s="1" t="s">
        <v>2993</v>
      </c>
      <c r="GA439" s="1" t="s">
        <v>291</v>
      </c>
      <c r="GB439" s="2">
        <v>42030.0</v>
      </c>
    </row>
    <row r="440">
      <c r="A440" s="1">
        <v>49400.0</v>
      </c>
      <c r="B440" s="1" t="s">
        <v>185</v>
      </c>
      <c r="C440" s="1" t="str">
        <f>"08787068"</f>
        <v>08787068</v>
      </c>
      <c r="D440" s="1" t="s">
        <v>186</v>
      </c>
      <c r="F440" s="1" t="str">
        <f>"8073"</f>
        <v>8073</v>
      </c>
      <c r="G440" s="2">
        <v>41958.0</v>
      </c>
      <c r="H440" s="1">
        <v>47500.0</v>
      </c>
      <c r="I440" s="1">
        <v>40.0</v>
      </c>
      <c r="J440" s="1">
        <v>47500.0</v>
      </c>
      <c r="K440" s="2">
        <v>41996.0</v>
      </c>
      <c r="L440" s="1">
        <v>40.0</v>
      </c>
      <c r="M440" s="2">
        <v>41996.0</v>
      </c>
      <c r="N440" s="1" t="s">
        <v>249</v>
      </c>
      <c r="O440" s="2">
        <v>42025.0</v>
      </c>
      <c r="P440" s="1">
        <v>242966.0</v>
      </c>
      <c r="Q440" s="1">
        <v>24859.0</v>
      </c>
      <c r="S440" s="1">
        <v>9546.0</v>
      </c>
      <c r="T440" s="1" t="s">
        <v>4169</v>
      </c>
      <c r="U440" s="1" t="s">
        <v>320</v>
      </c>
      <c r="V440" s="1" t="s">
        <v>190</v>
      </c>
      <c r="W440" s="1">
        <v>60643.0</v>
      </c>
      <c r="Y440" s="1" t="s">
        <v>6053</v>
      </c>
      <c r="Z440" s="1">
        <v>1952.0</v>
      </c>
      <c r="AA440" s="1" t="s">
        <v>192</v>
      </c>
      <c r="AB440" s="1" t="s">
        <v>193</v>
      </c>
      <c r="AD440" s="1" t="s">
        <v>194</v>
      </c>
      <c r="AE440" s="1" t="s">
        <v>195</v>
      </c>
      <c r="AF440" s="1" t="s">
        <v>659</v>
      </c>
      <c r="AH440" s="1" t="s">
        <v>359</v>
      </c>
      <c r="AI440" s="1">
        <v>0.0926</v>
      </c>
      <c r="AK440" s="1">
        <v>8.0</v>
      </c>
      <c r="AL440" s="1">
        <v>2.0</v>
      </c>
      <c r="AM440" s="1">
        <v>2.0</v>
      </c>
      <c r="AN440" s="1">
        <v>0.0</v>
      </c>
      <c r="AO440" s="1" t="s">
        <v>229</v>
      </c>
      <c r="AQ440" s="1" t="s">
        <v>198</v>
      </c>
      <c r="AR440" s="1" t="s">
        <v>192</v>
      </c>
      <c r="AS440" s="1" t="s">
        <v>229</v>
      </c>
      <c r="AV440" s="1" t="s">
        <v>200</v>
      </c>
      <c r="AW440" s="1">
        <v>1745.0</v>
      </c>
      <c r="AX440" s="1">
        <v>2012.0</v>
      </c>
      <c r="AZ440" s="1" t="s">
        <v>200</v>
      </c>
      <c r="BA440" s="1" t="str">
        <f>"25081030870000"</f>
        <v>25081030870000</v>
      </c>
      <c r="BC440" s="1">
        <v>937.0</v>
      </c>
      <c r="BD440" s="1">
        <v>49400.0</v>
      </c>
      <c r="BE440" s="2">
        <v>41957.0</v>
      </c>
      <c r="BF440" s="1" t="s">
        <v>6054</v>
      </c>
      <c r="BH440" s="1">
        <v>0.0</v>
      </c>
      <c r="BK440" s="1" t="s">
        <v>204</v>
      </c>
      <c r="BL440" s="1" t="str">
        <f t="shared" ref="BL440:BM440" si="291">"0"</f>
        <v>0</v>
      </c>
      <c r="BM440" s="1" t="str">
        <f t="shared" si="291"/>
        <v>0</v>
      </c>
      <c r="BN440" s="1">
        <v>1400.0</v>
      </c>
      <c r="BO440" s="1">
        <v>9546.0</v>
      </c>
      <c r="BQ440" s="1">
        <v>299.0</v>
      </c>
      <c r="BR440" s="1">
        <v>299.0</v>
      </c>
      <c r="BS440" s="1">
        <v>299.0</v>
      </c>
      <c r="BU440" s="1" t="s">
        <v>1426</v>
      </c>
      <c r="BV440" s="1" t="s">
        <v>206</v>
      </c>
      <c r="BW440" s="1" t="s">
        <v>207</v>
      </c>
      <c r="BY440" s="1" t="s">
        <v>363</v>
      </c>
      <c r="BZ440" s="1" t="s">
        <v>206</v>
      </c>
      <c r="CC440" s="1" t="s">
        <v>269</v>
      </c>
      <c r="CD440" s="1" t="s">
        <v>206</v>
      </c>
      <c r="CG440" s="1" t="s">
        <v>269</v>
      </c>
      <c r="CH440" s="1" t="s">
        <v>206</v>
      </c>
      <c r="CK440" s="1" t="s">
        <v>363</v>
      </c>
      <c r="CL440" s="1" t="s">
        <v>42</v>
      </c>
      <c r="CO440" s="1" t="s">
        <v>495</v>
      </c>
      <c r="CP440" s="1" t="s">
        <v>42</v>
      </c>
      <c r="CS440" s="1" t="s">
        <v>392</v>
      </c>
      <c r="CT440" s="1" t="s">
        <v>206</v>
      </c>
      <c r="CU440" s="1" t="s">
        <v>268</v>
      </c>
      <c r="CW440" s="1" t="s">
        <v>6055</v>
      </c>
      <c r="CX440" s="1" t="s">
        <v>42</v>
      </c>
      <c r="DA440" s="1" t="s">
        <v>200</v>
      </c>
      <c r="DC440" s="1" t="s">
        <v>702</v>
      </c>
      <c r="DE440" s="1" t="s">
        <v>273</v>
      </c>
      <c r="DF440" s="1" t="s">
        <v>219</v>
      </c>
      <c r="DH440" s="1" t="s">
        <v>365</v>
      </c>
      <c r="DJ440" s="1" t="s">
        <v>222</v>
      </c>
      <c r="DL440" s="1" t="s">
        <v>224</v>
      </c>
      <c r="DM440" s="1" t="s">
        <v>1143</v>
      </c>
      <c r="DQ440" s="1" t="s">
        <v>228</v>
      </c>
      <c r="DR440" s="1" t="s">
        <v>229</v>
      </c>
      <c r="DV440" s="1" t="s">
        <v>232</v>
      </c>
      <c r="DW440" s="1" t="s">
        <v>279</v>
      </c>
      <c r="DX440" s="1" t="s">
        <v>309</v>
      </c>
      <c r="EA440" s="1" t="s">
        <v>683</v>
      </c>
      <c r="EC440" s="1" t="s">
        <v>685</v>
      </c>
      <c r="EM440" s="1" t="s">
        <v>238</v>
      </c>
      <c r="EQ440" s="1" t="s">
        <v>238</v>
      </c>
      <c r="EU440" s="1" t="s">
        <v>238</v>
      </c>
      <c r="EY440" s="1" t="s">
        <v>238</v>
      </c>
      <c r="FC440" s="1" t="s">
        <v>238</v>
      </c>
      <c r="FF440" s="1" t="s">
        <v>239</v>
      </c>
      <c r="FG440" s="1" t="s">
        <v>192</v>
      </c>
      <c r="FH440" s="1" t="s">
        <v>192</v>
      </c>
      <c r="FJ440" s="1" t="s">
        <v>1248</v>
      </c>
      <c r="FK440" s="1" t="s">
        <v>229</v>
      </c>
      <c r="FL440" s="1" t="s">
        <v>6056</v>
      </c>
      <c r="FM440" s="1">
        <v>14186.0</v>
      </c>
      <c r="FN440" s="1" t="s">
        <v>6057</v>
      </c>
      <c r="FO440" s="1" t="s">
        <v>6058</v>
      </c>
      <c r="FP440" s="1">
        <v>122979.0</v>
      </c>
      <c r="FQ440" s="1" t="s">
        <v>6057</v>
      </c>
      <c r="FU440" s="1" t="s">
        <v>4990</v>
      </c>
      <c r="FV440" s="1" t="s">
        <v>200</v>
      </c>
      <c r="FW440" s="1" t="s">
        <v>2754</v>
      </c>
      <c r="FX440" s="1" t="s">
        <v>655</v>
      </c>
      <c r="FZ440" s="1" t="s">
        <v>229</v>
      </c>
      <c r="GA440" s="1" t="s">
        <v>291</v>
      </c>
      <c r="GB440" s="2">
        <v>42026.0</v>
      </c>
      <c r="GC440" s="1" t="s">
        <v>6059</v>
      </c>
    </row>
    <row r="441">
      <c r="A441" s="1">
        <v>137000.0</v>
      </c>
      <c r="B441" s="1" t="s">
        <v>185</v>
      </c>
      <c r="C441" s="1" t="str">
        <f>"08785950"</f>
        <v>08785950</v>
      </c>
      <c r="D441" s="1" t="s">
        <v>186</v>
      </c>
      <c r="F441" s="1" t="str">
        <f>"123"</f>
        <v>123</v>
      </c>
      <c r="G441" s="2">
        <v>41956.0</v>
      </c>
      <c r="H441" s="1">
        <v>139900.0</v>
      </c>
      <c r="I441" s="1">
        <v>157.0</v>
      </c>
      <c r="J441" s="1">
        <v>139850.0</v>
      </c>
      <c r="K441" s="2">
        <v>42002.0</v>
      </c>
      <c r="L441" s="1">
        <v>47.0</v>
      </c>
      <c r="M441" s="2">
        <v>42002.0</v>
      </c>
      <c r="N441" s="1" t="s">
        <v>356</v>
      </c>
      <c r="O441" s="2">
        <v>42066.0</v>
      </c>
      <c r="P441" s="1">
        <v>351103.0</v>
      </c>
      <c r="Q441" s="1">
        <v>35108.0</v>
      </c>
      <c r="S441" s="1">
        <v>455.0</v>
      </c>
      <c r="T441" s="1" t="s">
        <v>6060</v>
      </c>
      <c r="U441" s="1" t="s">
        <v>320</v>
      </c>
      <c r="V441" s="1" t="s">
        <v>465</v>
      </c>
      <c r="W441" s="1">
        <v>60123.0</v>
      </c>
      <c r="Y441" s="1" t="s">
        <v>6061</v>
      </c>
      <c r="Z441" s="1">
        <v>1913.0</v>
      </c>
      <c r="AA441" s="1" t="s">
        <v>192</v>
      </c>
      <c r="AB441" s="1" t="s">
        <v>193</v>
      </c>
      <c r="AD441" s="1" t="s">
        <v>469</v>
      </c>
      <c r="AE441" s="1" t="s">
        <v>325</v>
      </c>
      <c r="AF441" s="1" t="s">
        <v>469</v>
      </c>
      <c r="AH441" s="1" t="s">
        <v>6062</v>
      </c>
      <c r="AI441" s="1">
        <v>0.0</v>
      </c>
      <c r="AK441" s="1">
        <v>8.0</v>
      </c>
      <c r="AL441" s="1">
        <v>4.0</v>
      </c>
      <c r="AM441" s="1">
        <v>2.0</v>
      </c>
      <c r="AN441" s="1">
        <v>0.0</v>
      </c>
      <c r="AO441" s="1" t="s">
        <v>198</v>
      </c>
      <c r="AP441" s="1">
        <v>1.0</v>
      </c>
      <c r="AQ441" s="1" t="s">
        <v>327</v>
      </c>
      <c r="AR441" s="1" t="s">
        <v>200</v>
      </c>
      <c r="AS441" s="1" t="s">
        <v>199</v>
      </c>
      <c r="AT441" s="1">
        <v>1.0</v>
      </c>
      <c r="AV441" s="1" t="s">
        <v>200</v>
      </c>
      <c r="AW441" s="1">
        <v>4777.12</v>
      </c>
      <c r="AX441" s="1">
        <v>2013.0</v>
      </c>
      <c r="AY441" s="1" t="s">
        <v>229</v>
      </c>
      <c r="AZ441" s="1" t="s">
        <v>200</v>
      </c>
      <c r="BA441" s="1" t="str">
        <f>"0623259001"</f>
        <v>0623259001</v>
      </c>
      <c r="BC441" s="1">
        <v>2030.0</v>
      </c>
      <c r="BD441" s="1">
        <v>137000.0</v>
      </c>
      <c r="BE441" s="2">
        <v>41956.0</v>
      </c>
      <c r="BF441" s="2" t="s">
        <v>6063</v>
      </c>
      <c r="BG441" s="1" t="s">
        <v>6064</v>
      </c>
      <c r="BH441" s="1">
        <v>0.0</v>
      </c>
      <c r="BI441" s="1" t="s">
        <v>674</v>
      </c>
      <c r="BJ441" s="1" t="s">
        <v>675</v>
      </c>
      <c r="BK441" s="1" t="s">
        <v>204</v>
      </c>
      <c r="BL441" s="1" t="str">
        <f t="shared" ref="BL441:BM441" si="292">""</f>
        <v/>
      </c>
      <c r="BM441" s="1" t="str">
        <f t="shared" si="292"/>
        <v/>
      </c>
      <c r="BQ441" s="1">
        <v>46.0</v>
      </c>
      <c r="BR441" s="1">
        <v>46.0</v>
      </c>
      <c r="BS441" s="1">
        <v>46.0</v>
      </c>
      <c r="BU441" s="1" t="s">
        <v>300</v>
      </c>
      <c r="BV441" s="1" t="s">
        <v>206</v>
      </c>
      <c r="BW441" s="1" t="s">
        <v>207</v>
      </c>
      <c r="BX441" s="1" t="s">
        <v>229</v>
      </c>
      <c r="BY441" s="1" t="s">
        <v>2273</v>
      </c>
      <c r="BZ441" s="1" t="s">
        <v>209</v>
      </c>
      <c r="CA441" s="1" t="s">
        <v>207</v>
      </c>
      <c r="CB441" s="1" t="s">
        <v>229</v>
      </c>
      <c r="CC441" s="1" t="s">
        <v>361</v>
      </c>
      <c r="CD441" s="1" t="s">
        <v>206</v>
      </c>
      <c r="CE441" s="1" t="s">
        <v>207</v>
      </c>
      <c r="CF441" s="1" t="s">
        <v>229</v>
      </c>
      <c r="CG441" s="1" t="s">
        <v>729</v>
      </c>
      <c r="CH441" s="1" t="s">
        <v>209</v>
      </c>
      <c r="CI441" s="1" t="s">
        <v>207</v>
      </c>
      <c r="CJ441" s="1" t="s">
        <v>229</v>
      </c>
      <c r="CK441" s="1" t="s">
        <v>332</v>
      </c>
      <c r="CL441" s="1" t="s">
        <v>209</v>
      </c>
      <c r="CM441" s="1" t="s">
        <v>207</v>
      </c>
      <c r="CN441" s="1" t="s">
        <v>229</v>
      </c>
      <c r="CO441" s="1" t="s">
        <v>332</v>
      </c>
      <c r="CP441" s="1" t="s">
        <v>209</v>
      </c>
      <c r="CQ441" s="1" t="s">
        <v>207</v>
      </c>
      <c r="CR441" s="1" t="s">
        <v>229</v>
      </c>
      <c r="CS441" s="1" t="s">
        <v>361</v>
      </c>
      <c r="CT441" s="1" t="s">
        <v>206</v>
      </c>
      <c r="CU441" s="1" t="s">
        <v>617</v>
      </c>
      <c r="CV441" s="1" t="s">
        <v>229</v>
      </c>
      <c r="CX441" s="1" t="s">
        <v>204</v>
      </c>
      <c r="DA441" s="1" t="s">
        <v>200</v>
      </c>
      <c r="DC441" s="1" t="s">
        <v>642</v>
      </c>
      <c r="DD441" s="1" t="s">
        <v>731</v>
      </c>
      <c r="DE441" s="1" t="s">
        <v>273</v>
      </c>
      <c r="DF441" s="1" t="s">
        <v>219</v>
      </c>
      <c r="DG441" s="1" t="s">
        <v>337</v>
      </c>
      <c r="DH441" s="1" t="s">
        <v>220</v>
      </c>
      <c r="DI441" s="1" t="s">
        <v>959</v>
      </c>
      <c r="DJ441" s="1" t="s">
        <v>222</v>
      </c>
      <c r="DL441" s="1" t="s">
        <v>791</v>
      </c>
      <c r="DM441" s="1" t="s">
        <v>1658</v>
      </c>
      <c r="DO441" s="1" t="s">
        <v>549</v>
      </c>
      <c r="DP441" s="1" t="s">
        <v>340</v>
      </c>
      <c r="DQ441" s="1" t="s">
        <v>228</v>
      </c>
      <c r="DR441" s="1" t="s">
        <v>229</v>
      </c>
      <c r="DU441" s="1" t="s">
        <v>6065</v>
      </c>
      <c r="DV441" s="1" t="s">
        <v>494</v>
      </c>
      <c r="DW441" s="1" t="s">
        <v>667</v>
      </c>
      <c r="DX441" s="1" t="s">
        <v>234</v>
      </c>
      <c r="DY441" s="1" t="s">
        <v>6066</v>
      </c>
      <c r="DZ441" s="1" t="s">
        <v>1490</v>
      </c>
      <c r="EB441" s="1" t="s">
        <v>345</v>
      </c>
      <c r="EC441" s="1" t="s">
        <v>237</v>
      </c>
      <c r="EE441" s="1" t="s">
        <v>493</v>
      </c>
      <c r="EG441" s="1" t="s">
        <v>494</v>
      </c>
      <c r="EL441" s="1" t="s">
        <v>332</v>
      </c>
      <c r="EM441" s="1" t="s">
        <v>206</v>
      </c>
      <c r="EN441" s="1" t="s">
        <v>207</v>
      </c>
      <c r="EO441" s="1" t="s">
        <v>229</v>
      </c>
      <c r="EQ441" s="1" t="s">
        <v>238</v>
      </c>
      <c r="EU441" s="1" t="s">
        <v>238</v>
      </c>
      <c r="EY441" s="1" t="s">
        <v>238</v>
      </c>
      <c r="FC441" s="1" t="s">
        <v>238</v>
      </c>
      <c r="FF441" s="1" t="s">
        <v>239</v>
      </c>
      <c r="FG441" s="1" t="s">
        <v>192</v>
      </c>
      <c r="FH441" s="1" t="s">
        <v>192</v>
      </c>
      <c r="FJ441" s="1" t="s">
        <v>6067</v>
      </c>
      <c r="FK441" s="1" t="s">
        <v>229</v>
      </c>
      <c r="FL441" s="1" t="s">
        <v>625</v>
      </c>
      <c r="FM441" s="1">
        <v>37.0</v>
      </c>
      <c r="FN441" s="1" t="s">
        <v>626</v>
      </c>
      <c r="FO441" s="1" t="s">
        <v>1272</v>
      </c>
      <c r="FP441" s="1">
        <v>7683.0</v>
      </c>
      <c r="FQ441" s="1" t="s">
        <v>1273</v>
      </c>
      <c r="FR441" s="1">
        <v>8360.0</v>
      </c>
      <c r="FU441" s="1" t="s">
        <v>6068</v>
      </c>
      <c r="FV441" s="1" t="s">
        <v>200</v>
      </c>
      <c r="FW441" s="1" t="s">
        <v>631</v>
      </c>
      <c r="FZ441" s="1" t="s">
        <v>229</v>
      </c>
      <c r="GA441" s="1" t="s">
        <v>291</v>
      </c>
      <c r="GB441" s="2">
        <v>42066.0</v>
      </c>
      <c r="GC441" s="1" t="s">
        <v>6069</v>
      </c>
    </row>
    <row r="442">
      <c r="A442" s="1">
        <v>250000.0</v>
      </c>
      <c r="B442" s="1" t="s">
        <v>185</v>
      </c>
      <c r="C442" s="1" t="str">
        <f>"08786219"</f>
        <v>08786219</v>
      </c>
      <c r="D442" s="1" t="s">
        <v>186</v>
      </c>
      <c r="F442" s="1" t="str">
        <f>"134"</f>
        <v>134</v>
      </c>
      <c r="G442" s="2">
        <v>41957.0</v>
      </c>
      <c r="H442" s="1">
        <v>269900.0</v>
      </c>
      <c r="I442" s="1">
        <v>125.0</v>
      </c>
      <c r="J442" s="1">
        <v>259000.0</v>
      </c>
      <c r="K442" s="2">
        <v>42081.0</v>
      </c>
      <c r="L442" s="1">
        <v>125.0</v>
      </c>
      <c r="M442" s="2">
        <v>42081.0</v>
      </c>
      <c r="N442" s="1" t="s">
        <v>187</v>
      </c>
      <c r="O442" s="2">
        <v>42131.0</v>
      </c>
      <c r="P442" s="1">
        <v>87468.0</v>
      </c>
      <c r="Q442" s="1">
        <v>8666.0</v>
      </c>
      <c r="S442" s="1">
        <v>104.0</v>
      </c>
      <c r="T442" s="1" t="s">
        <v>5910</v>
      </c>
      <c r="U442" s="1" t="s">
        <v>569</v>
      </c>
      <c r="V442" s="1" t="s">
        <v>421</v>
      </c>
      <c r="W442" s="1">
        <v>60134.0</v>
      </c>
      <c r="Y442" s="1" t="s">
        <v>6070</v>
      </c>
      <c r="Z442" s="1">
        <v>1978.0</v>
      </c>
      <c r="AA442" s="1" t="s">
        <v>200</v>
      </c>
      <c r="AB442" s="1" t="s">
        <v>467</v>
      </c>
      <c r="AC442" s="1" t="s">
        <v>2686</v>
      </c>
      <c r="AD442" s="1" t="s">
        <v>424</v>
      </c>
      <c r="AE442" s="1" t="s">
        <v>325</v>
      </c>
      <c r="AF442" s="1" t="s">
        <v>424</v>
      </c>
      <c r="AG442" s="1" t="s">
        <v>6071</v>
      </c>
      <c r="AH442" s="1" t="s">
        <v>6072</v>
      </c>
      <c r="AI442" s="1">
        <v>0.246</v>
      </c>
      <c r="AK442" s="1">
        <v>9.0</v>
      </c>
      <c r="AL442" s="1">
        <v>4.0</v>
      </c>
      <c r="AM442" s="1">
        <v>2.0</v>
      </c>
      <c r="AN442" s="1">
        <v>1.0</v>
      </c>
      <c r="AO442" s="1" t="s">
        <v>198</v>
      </c>
      <c r="AP442" s="1">
        <v>1.0</v>
      </c>
      <c r="AQ442" s="1" t="s">
        <v>198</v>
      </c>
      <c r="AR442" s="1" t="s">
        <v>200</v>
      </c>
      <c r="AS442" s="1" t="s">
        <v>199</v>
      </c>
      <c r="AT442" s="1">
        <v>2.0</v>
      </c>
      <c r="AV442" s="1" t="s">
        <v>200</v>
      </c>
      <c r="AW442" s="1">
        <v>7680.44</v>
      </c>
      <c r="AX442" s="1">
        <v>2013.0</v>
      </c>
      <c r="AY442" s="1" t="s">
        <v>1179</v>
      </c>
      <c r="AZ442" s="1" t="s">
        <v>200</v>
      </c>
      <c r="BA442" s="1" t="str">
        <f>"1204302001"</f>
        <v>1204302001</v>
      </c>
      <c r="BB442" s="1" t="s">
        <v>200</v>
      </c>
      <c r="BC442" s="1">
        <v>2275.0</v>
      </c>
      <c r="BD442" s="1">
        <v>250000.0</v>
      </c>
      <c r="BE442" s="2">
        <v>41957.0</v>
      </c>
      <c r="BF442" s="2" t="s">
        <v>6073</v>
      </c>
      <c r="BG442" s="1" t="s">
        <v>428</v>
      </c>
      <c r="BH442" s="1">
        <v>300.0</v>
      </c>
      <c r="BI442" s="1" t="s">
        <v>429</v>
      </c>
      <c r="BJ442" s="1" t="s">
        <v>430</v>
      </c>
      <c r="BK442" s="1" t="s">
        <v>580</v>
      </c>
      <c r="BL442" s="1" t="str">
        <f t="shared" ref="BL442:BM442" si="293">""</f>
        <v/>
      </c>
      <c r="BM442" s="1" t="str">
        <f t="shared" si="293"/>
        <v/>
      </c>
      <c r="BQ442" s="1">
        <v>304.0</v>
      </c>
      <c r="BR442" s="1">
        <v>304.0</v>
      </c>
      <c r="BS442" s="1">
        <v>304.0</v>
      </c>
      <c r="BU442" s="1" t="s">
        <v>361</v>
      </c>
      <c r="BV442" s="1" t="s">
        <v>206</v>
      </c>
      <c r="BW442" s="1" t="s">
        <v>210</v>
      </c>
      <c r="BX442" s="1" t="s">
        <v>431</v>
      </c>
      <c r="BY442" s="1" t="s">
        <v>1483</v>
      </c>
      <c r="BZ442" s="1" t="s">
        <v>209</v>
      </c>
      <c r="CA442" s="1" t="s">
        <v>210</v>
      </c>
      <c r="CC442" s="1" t="s">
        <v>363</v>
      </c>
      <c r="CD442" s="1" t="s">
        <v>206</v>
      </c>
      <c r="CE442" s="1" t="s">
        <v>210</v>
      </c>
      <c r="CG442" s="1" t="s">
        <v>454</v>
      </c>
      <c r="CH442" s="1" t="s">
        <v>209</v>
      </c>
      <c r="CI442" s="1" t="s">
        <v>210</v>
      </c>
      <c r="CK442" s="1" t="s">
        <v>830</v>
      </c>
      <c r="CL442" s="1" t="s">
        <v>209</v>
      </c>
      <c r="CM442" s="1" t="s">
        <v>210</v>
      </c>
      <c r="CO442" s="1" t="s">
        <v>1395</v>
      </c>
      <c r="CP442" s="1" t="s">
        <v>209</v>
      </c>
      <c r="CQ442" s="1" t="s">
        <v>210</v>
      </c>
      <c r="CS442" s="1" t="s">
        <v>639</v>
      </c>
      <c r="CT442" s="1" t="s">
        <v>206</v>
      </c>
      <c r="CU442" s="1" t="s">
        <v>617</v>
      </c>
      <c r="CW442" s="1" t="s">
        <v>432</v>
      </c>
      <c r="CX442" s="1" t="s">
        <v>206</v>
      </c>
      <c r="CY442" s="1" t="s">
        <v>210</v>
      </c>
      <c r="DA442" s="1" t="s">
        <v>200</v>
      </c>
      <c r="DC442" s="1" t="s">
        <v>395</v>
      </c>
      <c r="DD442" s="1" t="s">
        <v>518</v>
      </c>
      <c r="DE442" s="1" t="s">
        <v>273</v>
      </c>
      <c r="DF442" s="1" t="s">
        <v>219</v>
      </c>
      <c r="DH442" s="1" t="s">
        <v>220</v>
      </c>
      <c r="DI442" s="1" t="s">
        <v>308</v>
      </c>
      <c r="DJ442" s="1" t="s">
        <v>222</v>
      </c>
      <c r="DL442" s="1" t="s">
        <v>858</v>
      </c>
      <c r="DM442" s="1" t="s">
        <v>338</v>
      </c>
      <c r="DP442" s="1" t="s">
        <v>340</v>
      </c>
      <c r="DQ442" s="1" t="s">
        <v>441</v>
      </c>
      <c r="DR442" s="1" t="s">
        <v>3096</v>
      </c>
      <c r="DS442" s="1" t="s">
        <v>230</v>
      </c>
      <c r="DV442" s="1" t="s">
        <v>450</v>
      </c>
      <c r="DW442" s="1" t="s">
        <v>370</v>
      </c>
      <c r="DX442" s="1" t="s">
        <v>234</v>
      </c>
      <c r="DZ442" s="1" t="s">
        <v>282</v>
      </c>
      <c r="EA442" s="1" t="s">
        <v>447</v>
      </c>
      <c r="EB442" s="1" t="s">
        <v>684</v>
      </c>
      <c r="EC442" s="1" t="s">
        <v>237</v>
      </c>
      <c r="ED442" s="1" t="s">
        <v>407</v>
      </c>
      <c r="EG442" s="1" t="s">
        <v>450</v>
      </c>
      <c r="EL442" s="1" t="s">
        <v>6074</v>
      </c>
      <c r="EM442" s="1" t="s">
        <v>42</v>
      </c>
      <c r="EN442" s="1" t="s">
        <v>210</v>
      </c>
      <c r="EQ442" s="1" t="s">
        <v>238</v>
      </c>
      <c r="EU442" s="1" t="s">
        <v>238</v>
      </c>
      <c r="EY442" s="1" t="s">
        <v>238</v>
      </c>
      <c r="FC442" s="1" t="s">
        <v>238</v>
      </c>
      <c r="FF442" s="1" t="s">
        <v>239</v>
      </c>
      <c r="FG442" s="1" t="s">
        <v>192</v>
      </c>
      <c r="FH442" s="1" t="s">
        <v>192</v>
      </c>
      <c r="FJ442" s="1" t="s">
        <v>770</v>
      </c>
      <c r="FK442" s="1" t="s">
        <v>229</v>
      </c>
      <c r="FL442" s="1" t="s">
        <v>1893</v>
      </c>
      <c r="FM442" s="1">
        <v>23187.0</v>
      </c>
      <c r="FN442" s="1" t="s">
        <v>1894</v>
      </c>
      <c r="FO442" s="1" t="s">
        <v>6075</v>
      </c>
      <c r="FP442" s="1">
        <v>233699.0</v>
      </c>
      <c r="FQ442" s="1" t="s">
        <v>6076</v>
      </c>
      <c r="FR442" s="1">
        <v>233963.0</v>
      </c>
      <c r="FU442" s="1" t="s">
        <v>6077</v>
      </c>
      <c r="FV442" s="1" t="s">
        <v>200</v>
      </c>
      <c r="FW442" s="1" t="s">
        <v>290</v>
      </c>
      <c r="FX442" s="1" t="s">
        <v>655</v>
      </c>
      <c r="FZ442" s="1" t="s">
        <v>229</v>
      </c>
      <c r="GA442" s="1" t="s">
        <v>291</v>
      </c>
      <c r="GB442" s="2">
        <v>42131.0</v>
      </c>
      <c r="GC442" s="1" t="s">
        <v>6078</v>
      </c>
    </row>
    <row r="443">
      <c r="A443" s="1">
        <v>325500.0</v>
      </c>
      <c r="B443" s="1" t="s">
        <v>185</v>
      </c>
      <c r="C443" s="1" t="str">
        <f>"08788566"</f>
        <v>08788566</v>
      </c>
      <c r="D443" s="1" t="s">
        <v>186</v>
      </c>
      <c r="F443" s="1" t="str">
        <f>"10"</f>
        <v>10</v>
      </c>
      <c r="G443" s="2">
        <v>41961.0</v>
      </c>
      <c r="H443" s="1">
        <v>389900.0</v>
      </c>
      <c r="I443" s="1">
        <v>105.0</v>
      </c>
      <c r="J443" s="1">
        <v>337500.0</v>
      </c>
      <c r="K443" s="2">
        <v>42065.0</v>
      </c>
      <c r="L443" s="1">
        <v>105.0</v>
      </c>
      <c r="M443" s="2">
        <v>42065.0</v>
      </c>
      <c r="N443" s="1" t="s">
        <v>187</v>
      </c>
      <c r="O443" s="2">
        <v>42111.0</v>
      </c>
      <c r="P443" s="1">
        <v>226116.0</v>
      </c>
      <c r="Q443" s="1">
        <v>25888.0</v>
      </c>
      <c r="S443" s="1">
        <v>101.0</v>
      </c>
      <c r="T443" s="1" t="s">
        <v>6079</v>
      </c>
      <c r="U443" s="1" t="s">
        <v>569</v>
      </c>
      <c r="V443" s="1" t="s">
        <v>914</v>
      </c>
      <c r="W443" s="1">
        <v>60010.0</v>
      </c>
      <c r="Y443" s="1" t="s">
        <v>6080</v>
      </c>
      <c r="Z443" s="1" t="s">
        <v>296</v>
      </c>
      <c r="AA443" s="1" t="s">
        <v>200</v>
      </c>
      <c r="AB443" s="1" t="s">
        <v>193</v>
      </c>
      <c r="AC443" s="1" t="s">
        <v>6081</v>
      </c>
      <c r="AD443" s="1" t="s">
        <v>916</v>
      </c>
      <c r="AE443" s="1" t="s">
        <v>917</v>
      </c>
      <c r="AF443" s="1" t="s">
        <v>918</v>
      </c>
      <c r="AH443" s="1" t="s">
        <v>6082</v>
      </c>
      <c r="AK443" s="1">
        <v>8.0</v>
      </c>
      <c r="AL443" s="1">
        <v>4.0</v>
      </c>
      <c r="AM443" s="1">
        <v>2.0</v>
      </c>
      <c r="AN443" s="1">
        <v>1.0</v>
      </c>
      <c r="AO443" s="1" t="s">
        <v>198</v>
      </c>
      <c r="AQ443" s="1" t="s">
        <v>198</v>
      </c>
      <c r="AR443" s="1" t="s">
        <v>200</v>
      </c>
      <c r="AS443" s="1" t="s">
        <v>199</v>
      </c>
      <c r="AT443" s="1">
        <v>3.0</v>
      </c>
      <c r="AV443" s="1" t="s">
        <v>200</v>
      </c>
      <c r="AW443" s="1">
        <v>10696.72</v>
      </c>
      <c r="AX443" s="1">
        <v>2013.0</v>
      </c>
      <c r="AZ443" s="1" t="s">
        <v>545</v>
      </c>
      <c r="BA443" s="1" t="str">
        <f>"14334020450000"</f>
        <v>14334020450000</v>
      </c>
      <c r="BC443" s="1">
        <v>0.0</v>
      </c>
      <c r="BD443" s="1">
        <v>325500.0</v>
      </c>
      <c r="BE443" s="2">
        <v>41961.0</v>
      </c>
      <c r="BF443" s="1" t="s">
        <v>6083</v>
      </c>
      <c r="BH443" s="1">
        <v>0.0</v>
      </c>
      <c r="BK443" s="1" t="s">
        <v>204</v>
      </c>
      <c r="BL443" s="1" t="str">
        <f>"20"</f>
        <v>20</v>
      </c>
      <c r="BM443" s="1" t="str">
        <f>""</f>
        <v/>
      </c>
      <c r="BN443" s="1">
        <v>22.0</v>
      </c>
      <c r="BQ443" s="1">
        <v>95.0</v>
      </c>
      <c r="BR443" s="1">
        <v>95.0</v>
      </c>
      <c r="BS443" s="1">
        <v>95.0</v>
      </c>
      <c r="BU443" s="1" t="s">
        <v>1426</v>
      </c>
      <c r="BV443" s="1" t="s">
        <v>206</v>
      </c>
      <c r="BY443" s="1" t="s">
        <v>1534</v>
      </c>
      <c r="BZ443" s="1" t="s">
        <v>209</v>
      </c>
      <c r="CC443" s="1" t="s">
        <v>743</v>
      </c>
      <c r="CD443" s="1" t="s">
        <v>206</v>
      </c>
      <c r="CG443" s="1" t="s">
        <v>758</v>
      </c>
      <c r="CH443" s="1" t="s">
        <v>209</v>
      </c>
      <c r="CK443" s="1" t="s">
        <v>758</v>
      </c>
      <c r="CL443" s="1" t="s">
        <v>209</v>
      </c>
      <c r="CO443" s="1" t="s">
        <v>269</v>
      </c>
      <c r="CP443" s="1" t="s">
        <v>209</v>
      </c>
      <c r="CS443" s="1" t="s">
        <v>1426</v>
      </c>
      <c r="CT443" s="1" t="s">
        <v>206</v>
      </c>
      <c r="CW443" s="1" t="s">
        <v>1350</v>
      </c>
      <c r="CX443" s="1" t="s">
        <v>206</v>
      </c>
      <c r="DA443" s="1" t="s">
        <v>200</v>
      </c>
      <c r="DC443" s="1" t="s">
        <v>545</v>
      </c>
      <c r="DE443" s="1" t="s">
        <v>229</v>
      </c>
      <c r="DF443" s="1" t="s">
        <v>219</v>
      </c>
      <c r="DH443" s="1" t="s">
        <v>856</v>
      </c>
      <c r="DJ443" s="1" t="s">
        <v>857</v>
      </c>
      <c r="DL443" s="1" t="s">
        <v>6084</v>
      </c>
      <c r="DM443" s="1" t="s">
        <v>229</v>
      </c>
      <c r="DQ443" s="1" t="s">
        <v>1557</v>
      </c>
      <c r="DR443" s="1" t="s">
        <v>229</v>
      </c>
      <c r="DV443" s="1" t="s">
        <v>232</v>
      </c>
      <c r="DW443" s="1" t="s">
        <v>934</v>
      </c>
      <c r="DX443" s="1" t="s">
        <v>234</v>
      </c>
      <c r="EC443" s="1" t="s">
        <v>237</v>
      </c>
      <c r="EM443" s="1" t="s">
        <v>238</v>
      </c>
      <c r="EQ443" s="1" t="s">
        <v>238</v>
      </c>
      <c r="EU443" s="1" t="s">
        <v>238</v>
      </c>
      <c r="EY443" s="1" t="s">
        <v>238</v>
      </c>
      <c r="FC443" s="1" t="s">
        <v>238</v>
      </c>
      <c r="FF443" s="1" t="s">
        <v>239</v>
      </c>
      <c r="FG443" s="1" t="s">
        <v>192</v>
      </c>
      <c r="FH443" s="1" t="s">
        <v>192</v>
      </c>
      <c r="FJ443" s="1" t="s">
        <v>6085</v>
      </c>
      <c r="FK443" s="1" t="s">
        <v>229</v>
      </c>
      <c r="FL443" s="1" t="s">
        <v>6086</v>
      </c>
      <c r="FM443" s="1">
        <v>1560.0</v>
      </c>
      <c r="FN443" s="1" t="s">
        <v>6087</v>
      </c>
      <c r="FO443" s="1" t="s">
        <v>6088</v>
      </c>
      <c r="FP443" s="1">
        <v>88911.0</v>
      </c>
      <c r="FQ443" s="1" t="s">
        <v>6087</v>
      </c>
      <c r="FU443" s="1" t="s">
        <v>3447</v>
      </c>
      <c r="FV443" s="1" t="s">
        <v>200</v>
      </c>
      <c r="FW443" s="1" t="s">
        <v>290</v>
      </c>
      <c r="FX443" s="1" t="s">
        <v>655</v>
      </c>
      <c r="FZ443" s="1" t="s">
        <v>229</v>
      </c>
      <c r="GA443" s="1" t="s">
        <v>291</v>
      </c>
      <c r="GB443" s="2">
        <v>42117.0</v>
      </c>
      <c r="GC443" s="1" t="s">
        <v>6089</v>
      </c>
    </row>
    <row r="444">
      <c r="A444" s="1">
        <v>170000.0</v>
      </c>
      <c r="B444" s="1" t="s">
        <v>185</v>
      </c>
      <c r="C444" s="1" t="str">
        <f>"08791636"</f>
        <v>08791636</v>
      </c>
      <c r="D444" s="1" t="s">
        <v>186</v>
      </c>
      <c r="F444" s="1" t="str">
        <f>"545"</f>
        <v>545</v>
      </c>
      <c r="G444" s="2">
        <v>41967.0</v>
      </c>
      <c r="H444" s="1">
        <v>170000.0</v>
      </c>
      <c r="I444" s="1">
        <v>13.0</v>
      </c>
      <c r="J444" s="1">
        <v>170000.0</v>
      </c>
      <c r="K444" s="2">
        <v>41979.0</v>
      </c>
      <c r="L444" s="1">
        <v>13.0</v>
      </c>
      <c r="M444" s="2">
        <v>41979.0</v>
      </c>
      <c r="N444" s="1" t="s">
        <v>187</v>
      </c>
      <c r="O444" s="2">
        <v>42018.0</v>
      </c>
      <c r="P444" s="1">
        <v>236029.0</v>
      </c>
      <c r="Q444" s="1">
        <v>23156.0</v>
      </c>
      <c r="R444" s="1">
        <v>1000.0</v>
      </c>
      <c r="S444" s="1">
        <v>514.0</v>
      </c>
      <c r="T444" s="1" t="s">
        <v>6090</v>
      </c>
      <c r="U444" s="1" t="s">
        <v>320</v>
      </c>
      <c r="V444" s="1" t="s">
        <v>3364</v>
      </c>
      <c r="W444" s="1">
        <v>60545.0</v>
      </c>
      <c r="X444" s="1">
        <v>1492.0</v>
      </c>
      <c r="Y444" s="1" t="s">
        <v>6091</v>
      </c>
      <c r="Z444" s="1">
        <v>2006.0</v>
      </c>
      <c r="AA444" s="1" t="s">
        <v>200</v>
      </c>
      <c r="AB444" s="1" t="s">
        <v>467</v>
      </c>
      <c r="AC444" s="1" t="s">
        <v>6092</v>
      </c>
      <c r="AD444" s="1" t="s">
        <v>3366</v>
      </c>
      <c r="AE444" s="1" t="s">
        <v>849</v>
      </c>
      <c r="AF444" s="1" t="s">
        <v>3367</v>
      </c>
      <c r="AG444" s="1" t="s">
        <v>6093</v>
      </c>
      <c r="AH444" s="1" t="s">
        <v>3926</v>
      </c>
      <c r="AK444" s="1">
        <v>9.0</v>
      </c>
      <c r="AL444" s="1">
        <v>4.0</v>
      </c>
      <c r="AM444" s="1">
        <v>2.0</v>
      </c>
      <c r="AN444" s="1">
        <v>1.0</v>
      </c>
      <c r="AO444" s="1" t="s">
        <v>198</v>
      </c>
      <c r="AP444" s="1">
        <v>1.0</v>
      </c>
      <c r="AQ444" s="1" t="s">
        <v>198</v>
      </c>
      <c r="AR444" s="1" t="s">
        <v>200</v>
      </c>
      <c r="AS444" s="1" t="s">
        <v>199</v>
      </c>
      <c r="AT444" s="1">
        <v>2.0</v>
      </c>
      <c r="AV444" s="1" t="s">
        <v>200</v>
      </c>
      <c r="AW444" s="1">
        <v>6405.0</v>
      </c>
      <c r="AX444" s="1">
        <v>2013.0</v>
      </c>
      <c r="AY444" s="1" t="s">
        <v>229</v>
      </c>
      <c r="AZ444" s="1" t="s">
        <v>200</v>
      </c>
      <c r="BA444" s="1" t="str">
        <f>"0124254001"</f>
        <v>0124254001</v>
      </c>
      <c r="BB444" s="1" t="s">
        <v>200</v>
      </c>
      <c r="BC444" s="1">
        <v>2192.0</v>
      </c>
      <c r="BD444" s="1">
        <v>170000.0</v>
      </c>
      <c r="BE444" s="2">
        <v>41967.0</v>
      </c>
      <c r="BF444" s="2" t="s">
        <v>6094</v>
      </c>
      <c r="BG444" s="1" t="s">
        <v>3370</v>
      </c>
      <c r="BH444" s="1">
        <v>35.0</v>
      </c>
      <c r="BI444" s="1" t="s">
        <v>3371</v>
      </c>
      <c r="BJ444" s="1" t="s">
        <v>3372</v>
      </c>
      <c r="BK444" s="1" t="s">
        <v>474</v>
      </c>
      <c r="BL444" s="1" t="str">
        <f t="shared" ref="BL444:BM444" si="294">"0"</f>
        <v>0</v>
      </c>
      <c r="BM444" s="1" t="str">
        <f t="shared" si="294"/>
        <v>0</v>
      </c>
      <c r="BN444" s="1">
        <v>45.0</v>
      </c>
      <c r="BO444" s="1">
        <v>13.0</v>
      </c>
      <c r="BQ444" s="1">
        <v>88.0</v>
      </c>
      <c r="BR444" s="1">
        <v>88.0</v>
      </c>
      <c r="BS444" s="1">
        <v>88.0</v>
      </c>
      <c r="BU444" s="1" t="s">
        <v>215</v>
      </c>
      <c r="BV444" s="1" t="s">
        <v>206</v>
      </c>
      <c r="BW444" s="1" t="s">
        <v>210</v>
      </c>
      <c r="BY444" s="1" t="s">
        <v>208</v>
      </c>
      <c r="BZ444" s="1" t="s">
        <v>209</v>
      </c>
      <c r="CA444" s="1" t="s">
        <v>210</v>
      </c>
      <c r="CC444" s="1" t="s">
        <v>212</v>
      </c>
      <c r="CD444" s="1" t="s">
        <v>206</v>
      </c>
      <c r="CE444" s="1" t="s">
        <v>210</v>
      </c>
      <c r="CG444" s="1" t="s">
        <v>212</v>
      </c>
      <c r="CH444" s="1" t="s">
        <v>209</v>
      </c>
      <c r="CI444" s="1" t="s">
        <v>210</v>
      </c>
      <c r="CK444" s="1" t="s">
        <v>478</v>
      </c>
      <c r="CL444" s="1" t="s">
        <v>209</v>
      </c>
      <c r="CM444" s="1" t="s">
        <v>210</v>
      </c>
      <c r="CO444" s="1" t="s">
        <v>363</v>
      </c>
      <c r="CP444" s="1" t="s">
        <v>209</v>
      </c>
      <c r="CQ444" s="1" t="s">
        <v>210</v>
      </c>
      <c r="CS444" s="1" t="s">
        <v>543</v>
      </c>
      <c r="CT444" s="1" t="s">
        <v>206</v>
      </c>
      <c r="CU444" s="1" t="s">
        <v>207</v>
      </c>
      <c r="CW444" s="1" t="s">
        <v>616</v>
      </c>
      <c r="CX444" s="1" t="s">
        <v>206</v>
      </c>
      <c r="CY444" s="1" t="s">
        <v>210</v>
      </c>
      <c r="DA444" s="1" t="s">
        <v>200</v>
      </c>
      <c r="DC444" s="1" t="s">
        <v>481</v>
      </c>
      <c r="DD444" s="1" t="s">
        <v>336</v>
      </c>
      <c r="DE444" s="1" t="s">
        <v>273</v>
      </c>
      <c r="DF444" s="1" t="s">
        <v>219</v>
      </c>
      <c r="DG444" s="1" t="s">
        <v>3259</v>
      </c>
      <c r="DH444" s="1" t="s">
        <v>220</v>
      </c>
      <c r="DJ444" s="1" t="s">
        <v>222</v>
      </c>
      <c r="DL444" s="1" t="s">
        <v>223</v>
      </c>
      <c r="DM444" s="1" t="s">
        <v>338</v>
      </c>
      <c r="DO444" s="1" t="s">
        <v>590</v>
      </c>
      <c r="DP444" s="1" t="s">
        <v>340</v>
      </c>
      <c r="DQ444" s="1" t="s">
        <v>228</v>
      </c>
      <c r="DR444" s="1" t="s">
        <v>6095</v>
      </c>
      <c r="DV444" s="1" t="s">
        <v>556</v>
      </c>
      <c r="DW444" s="1" t="s">
        <v>233</v>
      </c>
      <c r="DX444" s="1" t="s">
        <v>234</v>
      </c>
      <c r="DY444" s="1" t="s">
        <v>1051</v>
      </c>
      <c r="DZ444" s="1" t="s">
        <v>1466</v>
      </c>
      <c r="EB444" s="1" t="s">
        <v>345</v>
      </c>
      <c r="EC444" s="1" t="s">
        <v>237</v>
      </c>
      <c r="EE444" s="1" t="s">
        <v>1334</v>
      </c>
      <c r="EG444" s="1" t="s">
        <v>556</v>
      </c>
      <c r="EL444" s="1" t="s">
        <v>1939</v>
      </c>
      <c r="EM444" s="1" t="s">
        <v>206</v>
      </c>
      <c r="EN444" s="1" t="s">
        <v>207</v>
      </c>
      <c r="EQ444" s="1" t="s">
        <v>238</v>
      </c>
      <c r="EU444" s="1" t="s">
        <v>238</v>
      </c>
      <c r="EY444" s="1" t="s">
        <v>238</v>
      </c>
      <c r="FC444" s="1" t="s">
        <v>238</v>
      </c>
      <c r="FF444" s="1" t="s">
        <v>239</v>
      </c>
      <c r="FG444" s="1" t="s">
        <v>200</v>
      </c>
      <c r="FH444" s="1" t="s">
        <v>192</v>
      </c>
      <c r="FJ444" s="1" t="s">
        <v>2133</v>
      </c>
      <c r="FK444" s="1" t="s">
        <v>229</v>
      </c>
      <c r="FL444" s="1" t="s">
        <v>4369</v>
      </c>
      <c r="FM444" s="1">
        <v>23279.0</v>
      </c>
      <c r="FN444" s="1" t="s">
        <v>6096</v>
      </c>
      <c r="FO444" s="1" t="s">
        <v>6097</v>
      </c>
      <c r="FP444" s="1">
        <v>241401.0</v>
      </c>
      <c r="FS444" s="1" t="s">
        <v>6098</v>
      </c>
      <c r="FU444" s="1" t="s">
        <v>6099</v>
      </c>
      <c r="FV444" s="1" t="s">
        <v>200</v>
      </c>
      <c r="FW444" s="1" t="s">
        <v>290</v>
      </c>
      <c r="FZ444" s="1" t="s">
        <v>504</v>
      </c>
      <c r="GA444" s="1" t="s">
        <v>291</v>
      </c>
      <c r="GB444" s="2">
        <v>42020.0</v>
      </c>
      <c r="GC444" s="1" t="s">
        <v>6100</v>
      </c>
    </row>
    <row r="445">
      <c r="A445" s="1">
        <v>510000.0</v>
      </c>
      <c r="B445" s="1" t="s">
        <v>185</v>
      </c>
      <c r="C445" s="1" t="str">
        <f>"08787231"</f>
        <v>08787231</v>
      </c>
      <c r="D445" s="1" t="s">
        <v>186</v>
      </c>
      <c r="F445" s="1" t="str">
        <f>"10"</f>
        <v>10</v>
      </c>
      <c r="G445" s="2">
        <v>41959.0</v>
      </c>
      <c r="H445" s="1">
        <v>575000.0</v>
      </c>
      <c r="I445" s="1">
        <v>110.0</v>
      </c>
      <c r="J445" s="1">
        <v>549900.0</v>
      </c>
      <c r="K445" s="2">
        <v>42068.0</v>
      </c>
      <c r="L445" s="1">
        <v>110.0</v>
      </c>
      <c r="M445" s="2">
        <v>42068.0</v>
      </c>
      <c r="N445" s="1" t="s">
        <v>187</v>
      </c>
      <c r="O445" s="2">
        <v>42114.0</v>
      </c>
      <c r="P445" s="1">
        <v>180664.0</v>
      </c>
      <c r="Q445" s="1">
        <v>17299.0</v>
      </c>
      <c r="S445" s="1">
        <v>25925.0</v>
      </c>
      <c r="T445" s="1" t="s">
        <v>6101</v>
      </c>
      <c r="U445" s="1" t="s">
        <v>1015</v>
      </c>
      <c r="V445" s="1" t="s">
        <v>2004</v>
      </c>
      <c r="W445" s="1">
        <v>60010.0</v>
      </c>
      <c r="Y445" s="1" t="s">
        <v>6102</v>
      </c>
      <c r="Z445" s="1">
        <v>1988.0</v>
      </c>
      <c r="AA445" s="1" t="s">
        <v>200</v>
      </c>
      <c r="AB445" s="1" t="s">
        <v>193</v>
      </c>
      <c r="AC445" s="1" t="s">
        <v>6103</v>
      </c>
      <c r="AD445" s="1" t="s">
        <v>2007</v>
      </c>
      <c r="AE445" s="1" t="s">
        <v>917</v>
      </c>
      <c r="AF445" s="1" t="s">
        <v>2008</v>
      </c>
      <c r="AG445" s="1" t="s">
        <v>6104</v>
      </c>
      <c r="AH445" s="1" t="s">
        <v>6105</v>
      </c>
      <c r="AI445" s="1">
        <v>1.0</v>
      </c>
      <c r="AK445" s="1">
        <v>10.0</v>
      </c>
      <c r="AL445" s="1">
        <v>4.0</v>
      </c>
      <c r="AM445" s="1">
        <v>2.0</v>
      </c>
      <c r="AN445" s="1">
        <v>2.0</v>
      </c>
      <c r="AO445" s="1" t="s">
        <v>198</v>
      </c>
      <c r="AP445" s="1">
        <v>2.0</v>
      </c>
      <c r="AQ445" s="1" t="s">
        <v>198</v>
      </c>
      <c r="AR445" s="1" t="s">
        <v>200</v>
      </c>
      <c r="AS445" s="1" t="s">
        <v>199</v>
      </c>
      <c r="AT445" s="1">
        <v>3.0</v>
      </c>
      <c r="AV445" s="1" t="s">
        <v>200</v>
      </c>
      <c r="AW445" s="1">
        <v>12967.56</v>
      </c>
      <c r="AX445" s="1">
        <v>2013.0</v>
      </c>
      <c r="AZ445" s="1" t="s">
        <v>200</v>
      </c>
      <c r="BA445" s="1" t="str">
        <f>"13032030050000"</f>
        <v>13032030050000</v>
      </c>
      <c r="BB445" s="1" t="s">
        <v>200</v>
      </c>
      <c r="BC445" s="1">
        <v>3990.0</v>
      </c>
      <c r="BD445" s="1">
        <v>510000.0</v>
      </c>
      <c r="BE445" s="2">
        <v>41959.0</v>
      </c>
      <c r="BF445" s="2" t="s">
        <v>6106</v>
      </c>
      <c r="BG445" s="1" t="s">
        <v>2011</v>
      </c>
      <c r="BH445" s="1">
        <v>400.0</v>
      </c>
      <c r="BI445" s="1" t="s">
        <v>2012</v>
      </c>
      <c r="BJ445" s="1" t="s">
        <v>1714</v>
      </c>
      <c r="BK445" s="1" t="s">
        <v>580</v>
      </c>
      <c r="BL445" s="1" t="str">
        <f t="shared" ref="BL445:BM445" si="295">""</f>
        <v/>
      </c>
      <c r="BM445" s="1" t="str">
        <f t="shared" si="295"/>
        <v/>
      </c>
      <c r="BQ445" s="1">
        <v>220.0</v>
      </c>
      <c r="BR445" s="1">
        <v>220.0</v>
      </c>
      <c r="BS445" s="1">
        <v>220.0</v>
      </c>
      <c r="BU445" s="1" t="s">
        <v>878</v>
      </c>
      <c r="BV445" s="1" t="s">
        <v>206</v>
      </c>
      <c r="BW445" s="1" t="s">
        <v>210</v>
      </c>
      <c r="BY445" s="1" t="s">
        <v>2273</v>
      </c>
      <c r="BZ445" s="1" t="s">
        <v>209</v>
      </c>
      <c r="CA445" s="1" t="s">
        <v>210</v>
      </c>
      <c r="CC445" s="1" t="s">
        <v>677</v>
      </c>
      <c r="CD445" s="1" t="s">
        <v>206</v>
      </c>
      <c r="CE445" s="1" t="s">
        <v>207</v>
      </c>
      <c r="CG445" s="1" t="s">
        <v>1299</v>
      </c>
      <c r="CH445" s="1" t="s">
        <v>209</v>
      </c>
      <c r="CI445" s="1" t="s">
        <v>210</v>
      </c>
      <c r="CK445" s="1" t="s">
        <v>495</v>
      </c>
      <c r="CL445" s="1" t="s">
        <v>209</v>
      </c>
      <c r="CM445" s="1" t="s">
        <v>210</v>
      </c>
      <c r="CO445" s="1" t="s">
        <v>478</v>
      </c>
      <c r="CP445" s="1" t="s">
        <v>209</v>
      </c>
      <c r="CQ445" s="1" t="s">
        <v>210</v>
      </c>
      <c r="CS445" s="1" t="s">
        <v>1567</v>
      </c>
      <c r="CT445" s="1" t="s">
        <v>206</v>
      </c>
      <c r="CU445" s="1" t="s">
        <v>207</v>
      </c>
      <c r="CW445" s="1" t="s">
        <v>4919</v>
      </c>
      <c r="CX445" s="1" t="s">
        <v>206</v>
      </c>
      <c r="CY445" s="1" t="s">
        <v>207</v>
      </c>
      <c r="DA445" s="1" t="s">
        <v>200</v>
      </c>
      <c r="DC445" s="1" t="s">
        <v>305</v>
      </c>
      <c r="DD445" s="1" t="s">
        <v>336</v>
      </c>
      <c r="DE445" s="1" t="s">
        <v>273</v>
      </c>
      <c r="DF445" s="1" t="s">
        <v>219</v>
      </c>
      <c r="DG445" s="1" t="s">
        <v>6107</v>
      </c>
      <c r="DH445" s="1" t="s">
        <v>856</v>
      </c>
      <c r="DI445" s="1" t="s">
        <v>6108</v>
      </c>
      <c r="DJ445" s="1" t="s">
        <v>857</v>
      </c>
      <c r="DL445" s="1" t="s">
        <v>3611</v>
      </c>
      <c r="DM445" s="1" t="s">
        <v>929</v>
      </c>
      <c r="DN445" s="1" t="s">
        <v>399</v>
      </c>
      <c r="DO445" s="1" t="s">
        <v>440</v>
      </c>
      <c r="DP445" s="1" t="s">
        <v>340</v>
      </c>
      <c r="DQ445" s="1" t="s">
        <v>931</v>
      </c>
      <c r="DR445" s="1" t="s">
        <v>1185</v>
      </c>
      <c r="DU445" s="1" t="s">
        <v>6109</v>
      </c>
      <c r="DV445" s="1" t="s">
        <v>6110</v>
      </c>
      <c r="DW445" s="1" t="s">
        <v>279</v>
      </c>
      <c r="DX445" s="1" t="s">
        <v>234</v>
      </c>
      <c r="DY445" s="1" t="s">
        <v>1821</v>
      </c>
      <c r="DZ445" s="1" t="s">
        <v>6111</v>
      </c>
      <c r="EA445" s="1" t="s">
        <v>344</v>
      </c>
      <c r="EB445" s="1" t="s">
        <v>492</v>
      </c>
      <c r="EC445" s="1" t="s">
        <v>237</v>
      </c>
      <c r="ED445" s="1" t="s">
        <v>555</v>
      </c>
      <c r="EG445" s="1" t="s">
        <v>449</v>
      </c>
      <c r="EH445" s="1" t="s">
        <v>1028</v>
      </c>
      <c r="EI445" s="1" t="s">
        <v>408</v>
      </c>
      <c r="EJ445" s="1" t="s">
        <v>310</v>
      </c>
      <c r="EK445" s="1" t="s">
        <v>374</v>
      </c>
      <c r="EL445" s="1" t="s">
        <v>1939</v>
      </c>
      <c r="EM445" s="1" t="s">
        <v>206</v>
      </c>
      <c r="EN445" s="1" t="s">
        <v>207</v>
      </c>
      <c r="EP445" s="1" t="s">
        <v>300</v>
      </c>
      <c r="EQ445" s="1" t="s">
        <v>206</v>
      </c>
      <c r="ER445" s="1" t="s">
        <v>210</v>
      </c>
      <c r="ET445" s="1" t="s">
        <v>1688</v>
      </c>
      <c r="EU445" s="1" t="s">
        <v>206</v>
      </c>
      <c r="EV445" s="1" t="s">
        <v>207</v>
      </c>
      <c r="EX445" s="1" t="s">
        <v>758</v>
      </c>
      <c r="EY445" s="1" t="s">
        <v>206</v>
      </c>
      <c r="EZ445" s="1" t="s">
        <v>588</v>
      </c>
      <c r="FB445" s="1" t="s">
        <v>1418</v>
      </c>
      <c r="FC445" s="1" t="s">
        <v>206</v>
      </c>
      <c r="FD445" s="1" t="s">
        <v>588</v>
      </c>
      <c r="FF445" s="1" t="s">
        <v>239</v>
      </c>
      <c r="FG445" s="1" t="s">
        <v>192</v>
      </c>
      <c r="FH445" s="1" t="s">
        <v>192</v>
      </c>
      <c r="FJ445" s="1" t="s">
        <v>561</v>
      </c>
      <c r="FK445" s="1" t="s">
        <v>229</v>
      </c>
      <c r="FL445" s="1" t="s">
        <v>562</v>
      </c>
      <c r="FM445" s="1">
        <v>4777.0</v>
      </c>
      <c r="FN445" s="1" t="s">
        <v>6112</v>
      </c>
      <c r="FO445" s="1" t="s">
        <v>6113</v>
      </c>
      <c r="FP445" s="1">
        <v>62184.0</v>
      </c>
      <c r="FQ445" s="1" t="s">
        <v>6114</v>
      </c>
      <c r="FU445" s="1" t="s">
        <v>6115</v>
      </c>
      <c r="FV445" s="1" t="s">
        <v>200</v>
      </c>
      <c r="FW445" s="1" t="s">
        <v>6116</v>
      </c>
      <c r="FX445" s="1" t="s">
        <v>238</v>
      </c>
      <c r="FZ445" s="1" t="s">
        <v>229</v>
      </c>
      <c r="GA445" s="1" t="s">
        <v>291</v>
      </c>
      <c r="GB445" s="2">
        <v>42116.0</v>
      </c>
      <c r="GC445" s="1" t="s">
        <v>6117</v>
      </c>
    </row>
    <row r="446">
      <c r="A446" s="1">
        <v>313000.0</v>
      </c>
      <c r="B446" s="1" t="s">
        <v>185</v>
      </c>
      <c r="C446" s="1" t="str">
        <f>"08785785"</f>
        <v>08785785</v>
      </c>
      <c r="D446" s="1" t="s">
        <v>186</v>
      </c>
      <c r="F446" s="1" t="str">
        <f t="shared" ref="F446:F447" si="296">"8011"</f>
        <v>8011</v>
      </c>
      <c r="G446" s="2">
        <v>41956.0</v>
      </c>
      <c r="H446" s="1">
        <v>341900.0</v>
      </c>
      <c r="I446" s="1">
        <v>70.0</v>
      </c>
      <c r="J446" s="1">
        <v>341900.0</v>
      </c>
      <c r="K446" s="2">
        <v>42001.0</v>
      </c>
      <c r="L446" s="1">
        <v>46.0</v>
      </c>
      <c r="M446" s="2">
        <v>42001.0</v>
      </c>
      <c r="N446" s="1" t="s">
        <v>356</v>
      </c>
      <c r="O446" s="2">
        <v>42045.0</v>
      </c>
      <c r="P446" s="1">
        <v>874904.0</v>
      </c>
      <c r="Q446" s="1">
        <v>10267.0</v>
      </c>
      <c r="S446" s="1">
        <v>6034.0</v>
      </c>
      <c r="T446" s="1" t="s">
        <v>2416</v>
      </c>
      <c r="U446" s="1" t="s">
        <v>189</v>
      </c>
      <c r="V446" s="1" t="s">
        <v>190</v>
      </c>
      <c r="W446" s="1">
        <v>60646.0</v>
      </c>
      <c r="Y446" s="1" t="s">
        <v>6118</v>
      </c>
      <c r="Z446" s="1">
        <v>1920.0</v>
      </c>
      <c r="AA446" s="1" t="s">
        <v>192</v>
      </c>
      <c r="AB446" s="1" t="s">
        <v>193</v>
      </c>
      <c r="AD446" s="1" t="s">
        <v>194</v>
      </c>
      <c r="AE446" s="1" t="s">
        <v>195</v>
      </c>
      <c r="AF446" s="1" t="s">
        <v>196</v>
      </c>
      <c r="AH446" s="1" t="s">
        <v>6119</v>
      </c>
      <c r="AK446" s="1">
        <v>8.0</v>
      </c>
      <c r="AL446" s="1">
        <v>4.0</v>
      </c>
      <c r="AM446" s="1">
        <v>1.0</v>
      </c>
      <c r="AN446" s="1">
        <v>1.0</v>
      </c>
      <c r="AO446" s="1" t="s">
        <v>229</v>
      </c>
      <c r="AQ446" s="1" t="s">
        <v>198</v>
      </c>
      <c r="AR446" s="1" t="s">
        <v>200</v>
      </c>
      <c r="AS446" s="1" t="s">
        <v>199</v>
      </c>
      <c r="AT446" s="1">
        <v>2.0</v>
      </c>
      <c r="AV446" s="1" t="s">
        <v>200</v>
      </c>
      <c r="AW446" s="1">
        <v>4738.45</v>
      </c>
      <c r="AX446" s="1">
        <v>2013.0</v>
      </c>
      <c r="AY446" s="1" t="s">
        <v>387</v>
      </c>
      <c r="AZ446" s="1" t="s">
        <v>200</v>
      </c>
      <c r="BA446" s="1" t="str">
        <f>"13052130310000"</f>
        <v>13052130310000</v>
      </c>
      <c r="BB446" s="1" t="s">
        <v>200</v>
      </c>
      <c r="BC446" s="1">
        <v>1757.0</v>
      </c>
      <c r="BD446" s="1">
        <v>313000.0</v>
      </c>
      <c r="BE446" s="2">
        <v>41956.0</v>
      </c>
      <c r="BF446" s="2" t="s">
        <v>6120</v>
      </c>
      <c r="BH446" s="1">
        <v>0.0</v>
      </c>
      <c r="BK446" s="1" t="s">
        <v>204</v>
      </c>
      <c r="BL446" s="1" t="str">
        <f>"6034"</f>
        <v>6034</v>
      </c>
      <c r="BM446" s="1" t="str">
        <f t="shared" ref="BM446:BM447" si="297">"0"</f>
        <v>0</v>
      </c>
      <c r="BN446" s="1">
        <v>5900.0</v>
      </c>
      <c r="BO446" s="1">
        <v>0.0</v>
      </c>
      <c r="BQ446" s="1">
        <v>299.0</v>
      </c>
      <c r="BR446" s="1">
        <v>299.0</v>
      </c>
      <c r="BS446" s="1">
        <v>299.0</v>
      </c>
      <c r="BU446" s="1" t="s">
        <v>205</v>
      </c>
      <c r="BV446" s="1" t="s">
        <v>206</v>
      </c>
      <c r="BW446" s="1" t="s">
        <v>207</v>
      </c>
      <c r="BY446" s="1" t="s">
        <v>2181</v>
      </c>
      <c r="BZ446" s="1" t="s">
        <v>209</v>
      </c>
      <c r="CA446" s="1" t="s">
        <v>207</v>
      </c>
      <c r="CC446" s="1" t="s">
        <v>215</v>
      </c>
      <c r="CD446" s="1" t="s">
        <v>206</v>
      </c>
      <c r="CE446" s="1" t="s">
        <v>207</v>
      </c>
      <c r="CG446" s="1" t="s">
        <v>454</v>
      </c>
      <c r="CH446" s="1" t="s">
        <v>209</v>
      </c>
      <c r="CI446" s="1" t="s">
        <v>207</v>
      </c>
      <c r="CK446" s="1" t="s">
        <v>212</v>
      </c>
      <c r="CL446" s="1" t="s">
        <v>206</v>
      </c>
      <c r="CM446" s="1" t="s">
        <v>207</v>
      </c>
      <c r="CO446" s="1" t="s">
        <v>495</v>
      </c>
      <c r="CP446" s="1" t="s">
        <v>206</v>
      </c>
      <c r="CQ446" s="1" t="s">
        <v>207</v>
      </c>
      <c r="CS446" s="1" t="s">
        <v>215</v>
      </c>
      <c r="CT446" s="1" t="s">
        <v>206</v>
      </c>
      <c r="CU446" s="1" t="s">
        <v>207</v>
      </c>
      <c r="CW446" s="1" t="s">
        <v>6121</v>
      </c>
      <c r="CX446" s="1" t="s">
        <v>42</v>
      </c>
      <c r="CY446" s="1" t="s">
        <v>268</v>
      </c>
      <c r="DA446" s="1" t="s">
        <v>200</v>
      </c>
      <c r="DC446" s="1" t="s">
        <v>216</v>
      </c>
      <c r="DD446" s="1" t="s">
        <v>518</v>
      </c>
      <c r="DE446" s="1" t="s">
        <v>273</v>
      </c>
      <c r="DF446" s="1" t="s">
        <v>219</v>
      </c>
      <c r="DG446" s="1" t="s">
        <v>1317</v>
      </c>
      <c r="DH446" s="1" t="s">
        <v>365</v>
      </c>
      <c r="DI446" s="1" t="s">
        <v>6122</v>
      </c>
      <c r="DJ446" s="1" t="s">
        <v>222</v>
      </c>
      <c r="DK446" s="1" t="s">
        <v>1570</v>
      </c>
      <c r="DL446" s="1" t="s">
        <v>224</v>
      </c>
      <c r="DM446" s="1" t="s">
        <v>1143</v>
      </c>
      <c r="DO446" s="1" t="s">
        <v>549</v>
      </c>
      <c r="DP446" s="1" t="s">
        <v>340</v>
      </c>
      <c r="DQ446" s="1" t="s">
        <v>794</v>
      </c>
      <c r="DR446" s="1" t="s">
        <v>229</v>
      </c>
      <c r="DS446" s="1" t="s">
        <v>401</v>
      </c>
      <c r="DV446" s="1" t="s">
        <v>6123</v>
      </c>
      <c r="DW446" s="1" t="s">
        <v>279</v>
      </c>
      <c r="DX446" s="1" t="s">
        <v>234</v>
      </c>
      <c r="DY446" s="1" t="s">
        <v>6124</v>
      </c>
      <c r="DZ446" s="1" t="s">
        <v>6125</v>
      </c>
      <c r="EA446" s="1" t="s">
        <v>644</v>
      </c>
      <c r="EC446" s="1" t="s">
        <v>645</v>
      </c>
      <c r="ED446" s="1" t="s">
        <v>407</v>
      </c>
      <c r="EE446" s="1" t="s">
        <v>493</v>
      </c>
      <c r="EG446" s="1" t="s">
        <v>374</v>
      </c>
      <c r="EH446" s="1" t="s">
        <v>408</v>
      </c>
      <c r="EI446" s="1" t="s">
        <v>310</v>
      </c>
      <c r="EL446" s="1" t="s">
        <v>6126</v>
      </c>
      <c r="EM446" s="1" t="s">
        <v>206</v>
      </c>
      <c r="EN446" s="1" t="s">
        <v>210</v>
      </c>
      <c r="EP446" s="1" t="s">
        <v>6127</v>
      </c>
      <c r="EQ446" s="1" t="s">
        <v>206</v>
      </c>
      <c r="ER446" s="1" t="s">
        <v>207</v>
      </c>
      <c r="ET446" s="1" t="s">
        <v>700</v>
      </c>
      <c r="EU446" s="1" t="s">
        <v>206</v>
      </c>
      <c r="EV446" s="1" t="s">
        <v>207</v>
      </c>
      <c r="EY446" s="1" t="s">
        <v>238</v>
      </c>
      <c r="FC446" s="1" t="s">
        <v>238</v>
      </c>
      <c r="FF446" s="1" t="s">
        <v>239</v>
      </c>
      <c r="FG446" s="1" t="s">
        <v>192</v>
      </c>
      <c r="FH446" s="1" t="s">
        <v>192</v>
      </c>
      <c r="FJ446" s="1" t="s">
        <v>561</v>
      </c>
      <c r="FK446" s="1" t="s">
        <v>229</v>
      </c>
      <c r="FL446" s="1" t="s">
        <v>1124</v>
      </c>
      <c r="FM446" s="1">
        <v>10267.0</v>
      </c>
      <c r="FN446" s="1" t="s">
        <v>3908</v>
      </c>
      <c r="FO446" s="1" t="s">
        <v>6128</v>
      </c>
      <c r="FP446" s="1">
        <v>103409.0</v>
      </c>
      <c r="FQ446" s="1" t="s">
        <v>6129</v>
      </c>
      <c r="FU446" s="1" t="s">
        <v>6130</v>
      </c>
      <c r="FV446" s="1" t="s">
        <v>200</v>
      </c>
      <c r="FW446" s="1" t="s">
        <v>567</v>
      </c>
      <c r="FX446" s="1" t="s">
        <v>238</v>
      </c>
      <c r="FZ446" s="1" t="s">
        <v>229</v>
      </c>
      <c r="GA446" s="1" t="s">
        <v>291</v>
      </c>
      <c r="GB446" s="2">
        <v>42046.0</v>
      </c>
      <c r="GC446" s="1" t="s">
        <v>6131</v>
      </c>
    </row>
    <row r="447">
      <c r="A447" s="1">
        <v>485045.0</v>
      </c>
      <c r="B447" s="1" t="s">
        <v>185</v>
      </c>
      <c r="C447" s="1" t="str">
        <f>"08789099"</f>
        <v>08789099</v>
      </c>
      <c r="D447" s="1" t="s">
        <v>186</v>
      </c>
      <c r="F447" s="1" t="str">
        <f t="shared" si="296"/>
        <v>8011</v>
      </c>
      <c r="G447" s="2">
        <v>41962.0</v>
      </c>
      <c r="H447" s="1">
        <v>479000.0</v>
      </c>
      <c r="I447" s="1">
        <v>14.0</v>
      </c>
      <c r="J447" s="1">
        <v>479000.0</v>
      </c>
      <c r="K447" s="2">
        <v>41975.0</v>
      </c>
      <c r="L447" s="1">
        <v>14.0</v>
      </c>
      <c r="M447" s="2">
        <v>41975.0</v>
      </c>
      <c r="N447" s="1" t="s">
        <v>187</v>
      </c>
      <c r="O447" s="2">
        <v>41985.0</v>
      </c>
      <c r="P447" s="1">
        <v>106635.0</v>
      </c>
      <c r="Q447" s="1">
        <v>84729.0</v>
      </c>
      <c r="S447" s="1">
        <v>5638.0</v>
      </c>
      <c r="T447" s="1" t="s">
        <v>4428</v>
      </c>
      <c r="U447" s="1" t="s">
        <v>189</v>
      </c>
      <c r="V447" s="1" t="s">
        <v>190</v>
      </c>
      <c r="W447" s="1">
        <v>60646.0</v>
      </c>
      <c r="Y447" s="1" t="s">
        <v>6132</v>
      </c>
      <c r="Z447" s="1">
        <v>2014.0</v>
      </c>
      <c r="AA447" s="1" t="s">
        <v>200</v>
      </c>
      <c r="AB447" s="1" t="s">
        <v>193</v>
      </c>
      <c r="AD447" s="1" t="s">
        <v>194</v>
      </c>
      <c r="AE447" s="1" t="s">
        <v>195</v>
      </c>
      <c r="AF447" s="1" t="s">
        <v>196</v>
      </c>
      <c r="AG447" s="1" t="s">
        <v>6133</v>
      </c>
      <c r="AH447" s="1" t="s">
        <v>6134</v>
      </c>
      <c r="AI447" s="1">
        <v>0.0899</v>
      </c>
      <c r="AK447" s="1">
        <v>9.0</v>
      </c>
      <c r="AL447" s="1">
        <v>3.0</v>
      </c>
      <c r="AM447" s="1">
        <v>3.0</v>
      </c>
      <c r="AN447" s="1">
        <v>1.0</v>
      </c>
      <c r="AO447" s="1" t="s">
        <v>198</v>
      </c>
      <c r="AP447" s="1">
        <v>1.0</v>
      </c>
      <c r="AQ447" s="1" t="s">
        <v>1314</v>
      </c>
      <c r="AR447" s="1" t="s">
        <v>200</v>
      </c>
      <c r="AS447" s="1" t="s">
        <v>199</v>
      </c>
      <c r="AT447" s="1">
        <v>2.0</v>
      </c>
      <c r="AV447" s="1" t="s">
        <v>200</v>
      </c>
      <c r="AW447" s="1" t="s">
        <v>575</v>
      </c>
      <c r="AX447" s="1">
        <v>2013.0</v>
      </c>
      <c r="AY447" s="1" t="s">
        <v>229</v>
      </c>
      <c r="AZ447" s="1" t="s">
        <v>200</v>
      </c>
      <c r="BA447" s="1" t="str">
        <f>"13043120380000"</f>
        <v>13043120380000</v>
      </c>
      <c r="BC447" s="1">
        <v>2783.0</v>
      </c>
      <c r="BD447" s="1">
        <v>485045.0</v>
      </c>
      <c r="BE447" s="2">
        <v>41962.0</v>
      </c>
      <c r="BF447" s="2" t="s">
        <v>6135</v>
      </c>
      <c r="BH447" s="1">
        <v>125.0</v>
      </c>
      <c r="BK447" s="1" t="s">
        <v>474</v>
      </c>
      <c r="BL447" s="1" t="str">
        <f>"5706"</f>
        <v>5706</v>
      </c>
      <c r="BM447" s="1" t="str">
        <f t="shared" si="297"/>
        <v>0</v>
      </c>
      <c r="BN447" s="1">
        <v>5300.0</v>
      </c>
      <c r="BO447" s="1">
        <v>0.0</v>
      </c>
      <c r="BQ447" s="1">
        <v>299.0</v>
      </c>
      <c r="BR447" s="1">
        <v>299.0</v>
      </c>
      <c r="BS447" s="1">
        <v>299.0</v>
      </c>
      <c r="BU447" s="1" t="s">
        <v>361</v>
      </c>
      <c r="BV447" s="1" t="s">
        <v>42</v>
      </c>
      <c r="BW447" s="1" t="s">
        <v>207</v>
      </c>
      <c r="BY447" s="1" t="s">
        <v>1426</v>
      </c>
      <c r="BZ447" s="1" t="s">
        <v>391</v>
      </c>
      <c r="CA447" s="1" t="s">
        <v>210</v>
      </c>
      <c r="CC447" s="1" t="s">
        <v>516</v>
      </c>
      <c r="CD447" s="1" t="s">
        <v>209</v>
      </c>
      <c r="CE447" s="1" t="s">
        <v>207</v>
      </c>
      <c r="CG447" s="1" t="s">
        <v>269</v>
      </c>
      <c r="CH447" s="1" t="s">
        <v>391</v>
      </c>
      <c r="CI447" s="1" t="s">
        <v>210</v>
      </c>
      <c r="CK447" s="1" t="s">
        <v>495</v>
      </c>
      <c r="CL447" s="1" t="s">
        <v>391</v>
      </c>
      <c r="CM447" s="1" t="s">
        <v>210</v>
      </c>
      <c r="CO447" s="1" t="s">
        <v>2459</v>
      </c>
      <c r="CP447" s="1" t="s">
        <v>42</v>
      </c>
      <c r="CQ447" s="1" t="s">
        <v>210</v>
      </c>
      <c r="CS447" s="1" t="s">
        <v>640</v>
      </c>
      <c r="CT447" s="1" t="s">
        <v>209</v>
      </c>
      <c r="CU447" s="1" t="s">
        <v>207</v>
      </c>
      <c r="CW447" s="1" t="s">
        <v>390</v>
      </c>
      <c r="CX447" s="1" t="s">
        <v>209</v>
      </c>
      <c r="CY447" s="1" t="s">
        <v>207</v>
      </c>
      <c r="DA447" s="1" t="s">
        <v>192</v>
      </c>
      <c r="DB447" s="2">
        <v>41974.0</v>
      </c>
      <c r="DC447" s="1" t="s">
        <v>744</v>
      </c>
      <c r="DD447" s="1" t="s">
        <v>306</v>
      </c>
      <c r="DE447" s="1" t="s">
        <v>273</v>
      </c>
      <c r="DF447" s="1" t="s">
        <v>219</v>
      </c>
      <c r="DG447" s="1" t="s">
        <v>337</v>
      </c>
      <c r="DH447" s="1" t="s">
        <v>307</v>
      </c>
      <c r="DI447" s="1" t="s">
        <v>1003</v>
      </c>
      <c r="DJ447" s="1" t="s">
        <v>1048</v>
      </c>
      <c r="DL447" s="1" t="s">
        <v>224</v>
      </c>
      <c r="DM447" s="1" t="s">
        <v>229</v>
      </c>
      <c r="DN447" s="1" t="s">
        <v>548</v>
      </c>
      <c r="DP447" s="1" t="s">
        <v>340</v>
      </c>
      <c r="DQ447" s="1" t="s">
        <v>228</v>
      </c>
      <c r="DR447" s="1" t="s">
        <v>6136</v>
      </c>
      <c r="DS447" s="1" t="s">
        <v>230</v>
      </c>
      <c r="DU447" s="1" t="s">
        <v>6137</v>
      </c>
      <c r="DV447" s="1" t="s">
        <v>1164</v>
      </c>
      <c r="DW447" s="1" t="s">
        <v>964</v>
      </c>
      <c r="DX447" s="1" t="s">
        <v>234</v>
      </c>
      <c r="DZ447" s="1" t="s">
        <v>310</v>
      </c>
      <c r="EA447" s="1" t="s">
        <v>3112</v>
      </c>
      <c r="EB447" s="1" t="s">
        <v>1639</v>
      </c>
      <c r="EC447" s="1" t="s">
        <v>406</v>
      </c>
      <c r="EG447" s="1" t="s">
        <v>1164</v>
      </c>
      <c r="EL447" s="1" t="s">
        <v>1067</v>
      </c>
      <c r="EM447" s="1" t="s">
        <v>42</v>
      </c>
      <c r="EN447" s="1" t="s">
        <v>210</v>
      </c>
      <c r="EQ447" s="1" t="s">
        <v>238</v>
      </c>
      <c r="EU447" s="1" t="s">
        <v>238</v>
      </c>
      <c r="EY447" s="1" t="s">
        <v>238</v>
      </c>
      <c r="FC447" s="1" t="s">
        <v>238</v>
      </c>
      <c r="FF447" s="1" t="s">
        <v>239</v>
      </c>
      <c r="FG447" s="1" t="s">
        <v>192</v>
      </c>
      <c r="FH447" s="1" t="s">
        <v>192</v>
      </c>
      <c r="FJ447" s="1" t="s">
        <v>799</v>
      </c>
      <c r="FK447" s="1" t="s">
        <v>229</v>
      </c>
      <c r="FL447" s="1" t="s">
        <v>3156</v>
      </c>
      <c r="FM447" s="1">
        <v>84729.0</v>
      </c>
      <c r="FN447" s="1" t="s">
        <v>3157</v>
      </c>
      <c r="FO447" s="1" t="s">
        <v>4104</v>
      </c>
      <c r="FP447" s="1">
        <v>106635.0</v>
      </c>
      <c r="FQ447" s="1" t="s">
        <v>4105</v>
      </c>
      <c r="FU447" s="1" t="s">
        <v>6138</v>
      </c>
      <c r="FV447" s="1" t="s">
        <v>200</v>
      </c>
      <c r="FW447" s="1" t="s">
        <v>290</v>
      </c>
      <c r="FX447" s="1" t="s">
        <v>238</v>
      </c>
      <c r="FZ447" s="1" t="s">
        <v>229</v>
      </c>
      <c r="GA447" s="1" t="s">
        <v>291</v>
      </c>
      <c r="GB447" s="2">
        <v>41988.0</v>
      </c>
      <c r="GC447" s="1" t="s">
        <v>6139</v>
      </c>
    </row>
    <row r="448">
      <c r="A448" s="1">
        <v>380000.0</v>
      </c>
      <c r="B448" s="1" t="s">
        <v>185</v>
      </c>
      <c r="C448" s="1" t="str">
        <f>"08806799"</f>
        <v>08806799</v>
      </c>
      <c r="D448" s="1" t="s">
        <v>186</v>
      </c>
      <c r="F448" s="1" t="str">
        <f>"174"</f>
        <v>174</v>
      </c>
      <c r="G448" s="2">
        <v>42002.0</v>
      </c>
      <c r="H448" s="1">
        <v>390000.0</v>
      </c>
      <c r="I448" s="1">
        <v>30.0</v>
      </c>
      <c r="J448" s="1">
        <v>390000.0</v>
      </c>
      <c r="K448" s="2">
        <v>42031.0</v>
      </c>
      <c r="L448" s="1">
        <v>30.0</v>
      </c>
      <c r="M448" s="2">
        <v>42031.0</v>
      </c>
      <c r="N448" s="1" t="s">
        <v>187</v>
      </c>
      <c r="O448" s="2">
        <v>42089.0</v>
      </c>
      <c r="P448" s="1">
        <v>8034.0</v>
      </c>
      <c r="Q448" s="1">
        <v>280.0</v>
      </c>
      <c r="S448" s="1" t="s">
        <v>6140</v>
      </c>
      <c r="T448" s="1" t="s">
        <v>6141</v>
      </c>
      <c r="U448" s="1" t="s">
        <v>569</v>
      </c>
      <c r="V448" s="1" t="s">
        <v>1200</v>
      </c>
      <c r="W448" s="1">
        <v>60175.0</v>
      </c>
      <c r="Y448" s="1" t="s">
        <v>6142</v>
      </c>
      <c r="Z448" s="1">
        <v>1982.0</v>
      </c>
      <c r="AA448" s="1" t="s">
        <v>200</v>
      </c>
      <c r="AB448" s="1" t="s">
        <v>193</v>
      </c>
      <c r="AC448" s="1" t="s">
        <v>6143</v>
      </c>
      <c r="AD448" s="1" t="s">
        <v>1089</v>
      </c>
      <c r="AE448" s="1" t="s">
        <v>325</v>
      </c>
      <c r="AF448" s="1" t="s">
        <v>1203</v>
      </c>
      <c r="AH448" s="1" t="s">
        <v>6144</v>
      </c>
      <c r="AI448" s="1">
        <v>1.3236</v>
      </c>
      <c r="AK448" s="1">
        <v>8.0</v>
      </c>
      <c r="AL448" s="1">
        <v>4.0</v>
      </c>
      <c r="AM448" s="1">
        <v>3.0</v>
      </c>
      <c r="AN448" s="1">
        <v>0.0</v>
      </c>
      <c r="AO448" s="1" t="s">
        <v>198</v>
      </c>
      <c r="AP448" s="1">
        <v>2.0</v>
      </c>
      <c r="AQ448" s="1" t="s">
        <v>951</v>
      </c>
      <c r="AR448" s="1" t="s">
        <v>192</v>
      </c>
      <c r="AS448" s="1" t="s">
        <v>229</v>
      </c>
      <c r="AV448" s="1" t="s">
        <v>200</v>
      </c>
      <c r="AW448" s="1">
        <v>9577.08</v>
      </c>
      <c r="AX448" s="1">
        <v>2013.0</v>
      </c>
      <c r="AY448" s="1" t="s">
        <v>387</v>
      </c>
      <c r="AZ448" s="1" t="s">
        <v>200</v>
      </c>
      <c r="BA448" s="1" t="str">
        <f>"0907401007"</f>
        <v>0907401007</v>
      </c>
      <c r="BC448" s="1">
        <v>2382.0</v>
      </c>
      <c r="BD448" s="1">
        <v>380000.0</v>
      </c>
      <c r="BE448" s="2">
        <v>42002.0</v>
      </c>
      <c r="BF448" s="1" t="s">
        <v>6145</v>
      </c>
      <c r="BG448" s="1" t="s">
        <v>4510</v>
      </c>
      <c r="BH448" s="1">
        <v>0.0</v>
      </c>
      <c r="BI448" s="1" t="s">
        <v>2199</v>
      </c>
      <c r="BJ448" s="1" t="s">
        <v>2200</v>
      </c>
      <c r="BK448" s="1" t="s">
        <v>204</v>
      </c>
      <c r="BL448" s="1" t="str">
        <f t="shared" ref="BL448:BM448" si="298">""</f>
        <v/>
      </c>
      <c r="BM448" s="1" t="str">
        <f t="shared" si="298"/>
        <v/>
      </c>
      <c r="BQ448" s="1">
        <v>303.0</v>
      </c>
      <c r="BR448" s="1">
        <v>303.0</v>
      </c>
      <c r="BS448" s="1">
        <v>303.0</v>
      </c>
      <c r="BU448" s="1" t="s">
        <v>6146</v>
      </c>
      <c r="BV448" s="1" t="s">
        <v>206</v>
      </c>
      <c r="BW448" s="1" t="s">
        <v>207</v>
      </c>
      <c r="BY448" s="1" t="s">
        <v>260</v>
      </c>
      <c r="BZ448" s="1" t="s">
        <v>206</v>
      </c>
      <c r="CC448" s="1" t="s">
        <v>393</v>
      </c>
      <c r="CD448" s="1" t="s">
        <v>206</v>
      </c>
      <c r="CE448" s="1" t="s">
        <v>207</v>
      </c>
      <c r="CG448" s="1" t="s">
        <v>1351</v>
      </c>
      <c r="CH448" s="1" t="s">
        <v>206</v>
      </c>
      <c r="CK448" s="1" t="s">
        <v>584</v>
      </c>
      <c r="CL448" s="1" t="s">
        <v>206</v>
      </c>
      <c r="CO448" s="1" t="s">
        <v>390</v>
      </c>
      <c r="CP448" s="1" t="s">
        <v>1697</v>
      </c>
      <c r="CS448" s="1" t="s">
        <v>1519</v>
      </c>
      <c r="CT448" s="1" t="s">
        <v>206</v>
      </c>
      <c r="CU448" s="1" t="s">
        <v>207</v>
      </c>
      <c r="CW448" s="1" t="s">
        <v>2130</v>
      </c>
      <c r="CX448" s="1" t="s">
        <v>1697</v>
      </c>
      <c r="CY448" s="1" t="s">
        <v>210</v>
      </c>
      <c r="DA448" s="1" t="s">
        <v>200</v>
      </c>
      <c r="DC448" s="1" t="s">
        <v>395</v>
      </c>
      <c r="DD448" s="1" t="s">
        <v>855</v>
      </c>
      <c r="DE448" s="1" t="s">
        <v>273</v>
      </c>
      <c r="DF448" s="1" t="s">
        <v>619</v>
      </c>
      <c r="DH448" s="1" t="s">
        <v>856</v>
      </c>
      <c r="DJ448" s="1" t="s">
        <v>857</v>
      </c>
      <c r="DK448" s="1" t="s">
        <v>223</v>
      </c>
      <c r="DL448" s="1" t="s">
        <v>224</v>
      </c>
      <c r="DM448" s="1" t="s">
        <v>229</v>
      </c>
      <c r="DP448" s="1" t="s">
        <v>340</v>
      </c>
      <c r="DQ448" s="1" t="s">
        <v>931</v>
      </c>
      <c r="DR448" s="1" t="s">
        <v>229</v>
      </c>
      <c r="DV448" s="1" t="s">
        <v>408</v>
      </c>
      <c r="DW448" s="1" t="s">
        <v>279</v>
      </c>
      <c r="DX448" s="1" t="s">
        <v>234</v>
      </c>
      <c r="DY448" s="1" t="s">
        <v>1006</v>
      </c>
      <c r="DZ448" s="1" t="s">
        <v>310</v>
      </c>
      <c r="EA448" s="1" t="s">
        <v>683</v>
      </c>
      <c r="EB448" s="1" t="s">
        <v>345</v>
      </c>
      <c r="EC448" s="1" t="s">
        <v>685</v>
      </c>
      <c r="EG448" s="1" t="s">
        <v>408</v>
      </c>
      <c r="EL448" s="1" t="s">
        <v>6147</v>
      </c>
      <c r="EM448" s="1" t="s">
        <v>206</v>
      </c>
      <c r="EN448" s="1" t="s">
        <v>207</v>
      </c>
      <c r="EQ448" s="1" t="s">
        <v>238</v>
      </c>
      <c r="EU448" s="1" t="s">
        <v>238</v>
      </c>
      <c r="EY448" s="1" t="s">
        <v>238</v>
      </c>
      <c r="FC448" s="1" t="s">
        <v>238</v>
      </c>
      <c r="FF448" s="1" t="s">
        <v>239</v>
      </c>
      <c r="FG448" s="1" t="s">
        <v>200</v>
      </c>
      <c r="FH448" s="1" t="s">
        <v>192</v>
      </c>
      <c r="FJ448" s="1" t="s">
        <v>3786</v>
      </c>
      <c r="FK448" s="1" t="s">
        <v>229</v>
      </c>
      <c r="FL448" s="1" t="s">
        <v>6148</v>
      </c>
      <c r="FM448" s="1">
        <v>431.0</v>
      </c>
      <c r="FN448" s="1" t="s">
        <v>6149</v>
      </c>
      <c r="FO448" s="1" t="s">
        <v>6150</v>
      </c>
      <c r="FP448" s="1">
        <v>8307.0</v>
      </c>
      <c r="FU448" s="1" t="s">
        <v>6151</v>
      </c>
      <c r="FV448" s="1" t="s">
        <v>200</v>
      </c>
      <c r="FW448" s="1" t="s">
        <v>2754</v>
      </c>
      <c r="FZ448" s="1" t="s">
        <v>229</v>
      </c>
      <c r="GA448" s="1" t="s">
        <v>291</v>
      </c>
      <c r="GB448" s="2">
        <v>42090.0</v>
      </c>
    </row>
    <row r="449">
      <c r="A449" s="1">
        <v>190499.0</v>
      </c>
      <c r="B449" s="1" t="s">
        <v>185</v>
      </c>
      <c r="C449" s="1" t="str">
        <f>"08788937"</f>
        <v>08788937</v>
      </c>
      <c r="D449" s="1" t="s">
        <v>186</v>
      </c>
      <c r="F449" s="1" t="str">
        <f>"8017"</f>
        <v>8017</v>
      </c>
      <c r="G449" s="2">
        <v>41962.0</v>
      </c>
      <c r="H449" s="1">
        <v>204580.0</v>
      </c>
      <c r="I449" s="1">
        <v>64.0</v>
      </c>
      <c r="J449" s="1">
        <v>204580.0</v>
      </c>
      <c r="K449" s="2">
        <v>42024.0</v>
      </c>
      <c r="L449" s="1">
        <v>64.0</v>
      </c>
      <c r="M449" s="2">
        <v>42024.0</v>
      </c>
      <c r="N449" s="1" t="s">
        <v>249</v>
      </c>
      <c r="O449" s="2">
        <v>42038.0</v>
      </c>
      <c r="P449" s="1">
        <v>180115.0</v>
      </c>
      <c r="Q449" s="1">
        <v>84124.0</v>
      </c>
      <c r="S449" s="1">
        <v>3342.0</v>
      </c>
      <c r="T449" s="1" t="s">
        <v>6152</v>
      </c>
      <c r="U449" s="1" t="s">
        <v>189</v>
      </c>
      <c r="V449" s="1" t="s">
        <v>190</v>
      </c>
      <c r="W449" s="1">
        <v>60634.0</v>
      </c>
      <c r="Y449" s="1" t="s">
        <v>6153</v>
      </c>
      <c r="Z449" s="1">
        <v>1951.0</v>
      </c>
      <c r="AA449" s="1" t="s">
        <v>192</v>
      </c>
      <c r="AB449" s="1" t="s">
        <v>193</v>
      </c>
      <c r="AD449" s="1" t="s">
        <v>194</v>
      </c>
      <c r="AE449" s="1" t="s">
        <v>195</v>
      </c>
      <c r="AF449" s="1" t="s">
        <v>196</v>
      </c>
      <c r="AH449" s="1" t="s">
        <v>1501</v>
      </c>
      <c r="AI449" s="1">
        <v>0.096</v>
      </c>
      <c r="AK449" s="1">
        <v>7.0</v>
      </c>
      <c r="AL449" s="1">
        <v>4.0</v>
      </c>
      <c r="AM449" s="1">
        <v>1.0</v>
      </c>
      <c r="AN449" s="1">
        <v>1.0</v>
      </c>
      <c r="AO449" s="1" t="s">
        <v>229</v>
      </c>
      <c r="AQ449" s="1" t="s">
        <v>198</v>
      </c>
      <c r="AR449" s="1" t="s">
        <v>192</v>
      </c>
      <c r="AS449" s="1" t="s">
        <v>199</v>
      </c>
      <c r="AT449" s="1">
        <v>1.0</v>
      </c>
      <c r="AV449" s="1" t="s">
        <v>200</v>
      </c>
      <c r="AW449" s="1">
        <v>4413.36</v>
      </c>
      <c r="AX449" s="1">
        <v>2012.0</v>
      </c>
      <c r="AZ449" s="1" t="s">
        <v>200</v>
      </c>
      <c r="BA449" s="1" t="str">
        <f>"13193220360000"</f>
        <v>13193220360000</v>
      </c>
      <c r="BC449" s="1">
        <v>1402.0</v>
      </c>
      <c r="BD449" s="1">
        <v>190499.0</v>
      </c>
      <c r="BE449" s="2">
        <v>41961.0</v>
      </c>
      <c r="BF449" s="1" t="s">
        <v>6154</v>
      </c>
      <c r="BH449" s="1">
        <v>0.0</v>
      </c>
      <c r="BK449" s="1" t="s">
        <v>204</v>
      </c>
      <c r="BL449" s="1" t="str">
        <f>"3342"</f>
        <v>3342</v>
      </c>
      <c r="BM449" s="1" t="str">
        <f t="shared" ref="BM449:BM451" si="299">"0"</f>
        <v>0</v>
      </c>
      <c r="BN449" s="1">
        <v>6932.0</v>
      </c>
      <c r="BO449" s="1">
        <v>0.0</v>
      </c>
      <c r="BQ449" s="1">
        <v>299.0</v>
      </c>
      <c r="BR449" s="1">
        <v>299.0</v>
      </c>
      <c r="BS449" s="1">
        <v>299.0</v>
      </c>
      <c r="BU449" s="1" t="s">
        <v>878</v>
      </c>
      <c r="BV449" s="1" t="s">
        <v>206</v>
      </c>
      <c r="BY449" s="1" t="s">
        <v>1352</v>
      </c>
      <c r="BZ449" s="1" t="s">
        <v>206</v>
      </c>
      <c r="CC449" s="1" t="s">
        <v>2903</v>
      </c>
      <c r="CD449" s="1" t="s">
        <v>206</v>
      </c>
      <c r="CG449" s="1" t="s">
        <v>663</v>
      </c>
      <c r="CH449" s="1" t="s">
        <v>206</v>
      </c>
      <c r="CK449" s="1" t="s">
        <v>303</v>
      </c>
      <c r="CL449" s="1" t="s">
        <v>209</v>
      </c>
      <c r="CO449" s="1" t="s">
        <v>303</v>
      </c>
      <c r="CP449" s="1" t="s">
        <v>209</v>
      </c>
      <c r="CS449" s="1" t="s">
        <v>269</v>
      </c>
      <c r="CT449" s="1" t="s">
        <v>206</v>
      </c>
      <c r="CX449" s="1" t="s">
        <v>204</v>
      </c>
      <c r="DA449" s="1" t="s">
        <v>200</v>
      </c>
      <c r="DC449" s="1" t="s">
        <v>702</v>
      </c>
      <c r="DE449" s="1" t="s">
        <v>273</v>
      </c>
      <c r="DF449" s="1" t="s">
        <v>219</v>
      </c>
      <c r="DH449" s="1" t="s">
        <v>307</v>
      </c>
      <c r="DJ449" s="1" t="s">
        <v>222</v>
      </c>
      <c r="DL449" s="1" t="s">
        <v>858</v>
      </c>
      <c r="DM449" s="1" t="s">
        <v>229</v>
      </c>
      <c r="DQ449" s="1" t="s">
        <v>228</v>
      </c>
      <c r="DR449" s="1" t="s">
        <v>229</v>
      </c>
      <c r="DV449" s="1" t="s">
        <v>588</v>
      </c>
      <c r="DW449" s="1" t="s">
        <v>279</v>
      </c>
      <c r="DX449" s="1" t="s">
        <v>234</v>
      </c>
      <c r="EA449" s="1" t="s">
        <v>644</v>
      </c>
      <c r="EC449" s="1" t="s">
        <v>237</v>
      </c>
      <c r="EG449" s="1" t="s">
        <v>588</v>
      </c>
      <c r="EL449" s="1" t="s">
        <v>2394</v>
      </c>
      <c r="EM449" s="1" t="s">
        <v>206</v>
      </c>
      <c r="EQ449" s="1" t="s">
        <v>238</v>
      </c>
      <c r="EU449" s="1" t="s">
        <v>238</v>
      </c>
      <c r="EY449" s="1" t="s">
        <v>238</v>
      </c>
      <c r="FC449" s="1" t="s">
        <v>238</v>
      </c>
      <c r="FF449" s="1" t="s">
        <v>239</v>
      </c>
      <c r="FG449" s="1" t="s">
        <v>200</v>
      </c>
      <c r="FH449" s="1" t="s">
        <v>192</v>
      </c>
      <c r="FJ449" s="1" t="s">
        <v>686</v>
      </c>
      <c r="FK449" s="1" t="s">
        <v>229</v>
      </c>
      <c r="FL449" s="1" t="s">
        <v>1997</v>
      </c>
      <c r="FM449" s="1">
        <v>84124.0</v>
      </c>
      <c r="FN449" s="1" t="s">
        <v>3335</v>
      </c>
      <c r="FO449" s="1" t="s">
        <v>6155</v>
      </c>
      <c r="FP449" s="1">
        <v>180115.0</v>
      </c>
      <c r="FQ449" s="1" t="s">
        <v>6156</v>
      </c>
      <c r="FU449" s="1" t="s">
        <v>6157</v>
      </c>
      <c r="FV449" s="1" t="s">
        <v>200</v>
      </c>
      <c r="FW449" s="1" t="s">
        <v>567</v>
      </c>
      <c r="FX449" s="1" t="s">
        <v>238</v>
      </c>
      <c r="FZ449" s="1" t="s">
        <v>229</v>
      </c>
      <c r="GA449" s="1" t="s">
        <v>291</v>
      </c>
      <c r="GB449" s="2">
        <v>42038.0</v>
      </c>
      <c r="GC449" s="1" t="s">
        <v>6158</v>
      </c>
    </row>
    <row r="450">
      <c r="A450" s="1">
        <v>1475000.0</v>
      </c>
      <c r="B450" s="1" t="s">
        <v>185</v>
      </c>
      <c r="C450" s="1" t="str">
        <f>"08841301"</f>
        <v>08841301</v>
      </c>
      <c r="D450" s="1" t="s">
        <v>186</v>
      </c>
      <c r="F450" s="1" t="str">
        <f>"8007"</f>
        <v>8007</v>
      </c>
      <c r="G450" s="2">
        <v>42053.0</v>
      </c>
      <c r="H450" s="1">
        <v>1599900.0</v>
      </c>
      <c r="I450" s="1">
        <v>30.0</v>
      </c>
      <c r="J450" s="1">
        <v>1599900.0</v>
      </c>
      <c r="K450" s="2">
        <v>42082.0</v>
      </c>
      <c r="L450" s="1">
        <v>30.0</v>
      </c>
      <c r="M450" s="2">
        <v>42082.0</v>
      </c>
      <c r="N450" s="1" t="s">
        <v>187</v>
      </c>
      <c r="O450" s="2">
        <v>42125.0</v>
      </c>
      <c r="P450" s="1">
        <v>127964.0</v>
      </c>
      <c r="Q450" s="1">
        <v>10900.0</v>
      </c>
      <c r="S450" s="1">
        <v>1842.0</v>
      </c>
      <c r="T450" s="1" t="s">
        <v>6159</v>
      </c>
      <c r="U450" s="1" t="s">
        <v>320</v>
      </c>
      <c r="V450" s="1" t="s">
        <v>190</v>
      </c>
      <c r="W450" s="1">
        <v>60614.0</v>
      </c>
      <c r="Y450" s="1" t="s">
        <v>6160</v>
      </c>
      <c r="Z450" s="1">
        <v>1894.0</v>
      </c>
      <c r="AA450" s="1" t="s">
        <v>192</v>
      </c>
      <c r="AB450" s="1" t="s">
        <v>193</v>
      </c>
      <c r="AD450" s="1" t="s">
        <v>194</v>
      </c>
      <c r="AE450" s="1" t="s">
        <v>195</v>
      </c>
      <c r="AF450" s="1" t="s">
        <v>2645</v>
      </c>
      <c r="AH450" s="1" t="s">
        <v>4868</v>
      </c>
      <c r="AI450" s="1">
        <v>0.0</v>
      </c>
      <c r="AK450" s="1">
        <v>10.0</v>
      </c>
      <c r="AL450" s="1">
        <v>4.0</v>
      </c>
      <c r="AM450" s="1">
        <v>3.0</v>
      </c>
      <c r="AN450" s="1">
        <v>1.0</v>
      </c>
      <c r="AO450" s="1" t="s">
        <v>198</v>
      </c>
      <c r="AP450" s="1">
        <v>1.0</v>
      </c>
      <c r="AQ450" s="1" t="s">
        <v>198</v>
      </c>
      <c r="AR450" s="1" t="s">
        <v>192</v>
      </c>
      <c r="AS450" s="1" t="s">
        <v>199</v>
      </c>
      <c r="AT450" s="1">
        <v>2.0</v>
      </c>
      <c r="AV450" s="1" t="s">
        <v>200</v>
      </c>
      <c r="AW450" s="1">
        <v>17396.39</v>
      </c>
      <c r="AX450" s="1">
        <v>2013.0</v>
      </c>
      <c r="AY450" s="1" t="s">
        <v>387</v>
      </c>
      <c r="AZ450" s="1" t="s">
        <v>200</v>
      </c>
      <c r="BA450" s="1" t="str">
        <f>"14324120450000"</f>
        <v>14324120450000</v>
      </c>
      <c r="BB450" s="1" t="s">
        <v>200</v>
      </c>
      <c r="BC450" s="1">
        <v>0.0</v>
      </c>
      <c r="BD450" s="1">
        <v>1475000.0</v>
      </c>
      <c r="BE450" s="2">
        <v>42053.0</v>
      </c>
      <c r="BF450" s="2" t="s">
        <v>6161</v>
      </c>
      <c r="BH450" s="1">
        <v>0.0</v>
      </c>
      <c r="BK450" s="1" t="s">
        <v>204</v>
      </c>
      <c r="BL450" s="1" t="str">
        <f>"1842"</f>
        <v>1842</v>
      </c>
      <c r="BM450" s="1" t="str">
        <f t="shared" si="299"/>
        <v>0</v>
      </c>
      <c r="BN450" s="1">
        <v>900.0</v>
      </c>
      <c r="BO450" s="1">
        <v>0.0</v>
      </c>
      <c r="BQ450" s="1">
        <v>299.0</v>
      </c>
      <c r="BR450" s="1">
        <v>299.0</v>
      </c>
      <c r="BS450" s="1">
        <v>299.0</v>
      </c>
      <c r="BU450" s="1" t="s">
        <v>639</v>
      </c>
      <c r="BV450" s="1" t="s">
        <v>206</v>
      </c>
      <c r="BW450" s="1" t="s">
        <v>207</v>
      </c>
      <c r="BY450" s="1" t="s">
        <v>260</v>
      </c>
      <c r="BZ450" s="1" t="s">
        <v>209</v>
      </c>
      <c r="CA450" s="1" t="s">
        <v>210</v>
      </c>
      <c r="CC450" s="1" t="s">
        <v>331</v>
      </c>
      <c r="CD450" s="1" t="s">
        <v>206</v>
      </c>
      <c r="CE450" s="1" t="s">
        <v>207</v>
      </c>
      <c r="CG450" s="1" t="s">
        <v>584</v>
      </c>
      <c r="CH450" s="1" t="s">
        <v>209</v>
      </c>
      <c r="CI450" s="1" t="s">
        <v>210</v>
      </c>
      <c r="CK450" s="1" t="s">
        <v>392</v>
      </c>
      <c r="CL450" s="1" t="s">
        <v>209</v>
      </c>
      <c r="CM450" s="1" t="s">
        <v>207</v>
      </c>
      <c r="CO450" s="1" t="s">
        <v>2617</v>
      </c>
      <c r="CP450" s="1" t="s">
        <v>209</v>
      </c>
      <c r="CQ450" s="1" t="s">
        <v>210</v>
      </c>
      <c r="CS450" s="1" t="s">
        <v>392</v>
      </c>
      <c r="CT450" s="1" t="s">
        <v>206</v>
      </c>
      <c r="CU450" s="1" t="s">
        <v>207</v>
      </c>
      <c r="CW450" s="1" t="s">
        <v>6162</v>
      </c>
      <c r="CX450" s="1" t="s">
        <v>42</v>
      </c>
      <c r="CY450" s="1" t="s">
        <v>210</v>
      </c>
      <c r="DA450" s="1" t="s">
        <v>200</v>
      </c>
      <c r="DC450" s="1" t="s">
        <v>642</v>
      </c>
      <c r="DD450" s="1" t="s">
        <v>436</v>
      </c>
      <c r="DE450" s="1" t="s">
        <v>273</v>
      </c>
      <c r="DF450" s="1" t="s">
        <v>219</v>
      </c>
      <c r="DH450" s="1" t="s">
        <v>588</v>
      </c>
      <c r="DI450" s="1" t="s">
        <v>221</v>
      </c>
      <c r="DJ450" s="1" t="s">
        <v>588</v>
      </c>
      <c r="DL450" s="1" t="s">
        <v>224</v>
      </c>
      <c r="DM450" s="1" t="s">
        <v>229</v>
      </c>
      <c r="DN450" s="1" t="s">
        <v>399</v>
      </c>
      <c r="DP450" s="1" t="s">
        <v>340</v>
      </c>
      <c r="DQ450" s="1" t="s">
        <v>718</v>
      </c>
      <c r="DR450" s="1" t="s">
        <v>229</v>
      </c>
      <c r="DS450" s="1" t="s">
        <v>230</v>
      </c>
      <c r="DU450" s="1" t="s">
        <v>2728</v>
      </c>
      <c r="DV450" s="1" t="s">
        <v>6163</v>
      </c>
      <c r="DW450" s="1" t="s">
        <v>279</v>
      </c>
      <c r="DX450" s="1" t="s">
        <v>234</v>
      </c>
      <c r="DY450" s="1" t="s">
        <v>4102</v>
      </c>
      <c r="DZ450" s="1" t="s">
        <v>6164</v>
      </c>
      <c r="EB450" s="1" t="s">
        <v>937</v>
      </c>
      <c r="EC450" s="1" t="s">
        <v>237</v>
      </c>
      <c r="EE450" s="1" t="s">
        <v>187</v>
      </c>
      <c r="EG450" s="1" t="s">
        <v>556</v>
      </c>
      <c r="EH450" s="1" t="s">
        <v>1164</v>
      </c>
      <c r="EI450" s="1" t="s">
        <v>1103</v>
      </c>
      <c r="EL450" s="1" t="s">
        <v>699</v>
      </c>
      <c r="EM450" s="1" t="s">
        <v>206</v>
      </c>
      <c r="EN450" s="1" t="s">
        <v>207</v>
      </c>
      <c r="EP450" s="1" t="s">
        <v>583</v>
      </c>
      <c r="EQ450" s="1" t="s">
        <v>206</v>
      </c>
      <c r="ER450" s="1" t="s">
        <v>210</v>
      </c>
      <c r="ET450" s="1" t="s">
        <v>1137</v>
      </c>
      <c r="EU450" s="1" t="s">
        <v>42</v>
      </c>
      <c r="EY450" s="1" t="s">
        <v>238</v>
      </c>
      <c r="FC450" s="1" t="s">
        <v>238</v>
      </c>
      <c r="FF450" s="1" t="s">
        <v>239</v>
      </c>
      <c r="FG450" s="1" t="s">
        <v>192</v>
      </c>
      <c r="FH450" s="1" t="s">
        <v>192</v>
      </c>
      <c r="FJ450" s="1" t="s">
        <v>2285</v>
      </c>
      <c r="FK450" s="1" t="s">
        <v>229</v>
      </c>
      <c r="FL450" s="1" t="s">
        <v>1358</v>
      </c>
      <c r="FM450" s="1">
        <v>12198.0</v>
      </c>
      <c r="FN450" s="1" t="s">
        <v>6165</v>
      </c>
      <c r="FO450" s="1" t="s">
        <v>6166</v>
      </c>
      <c r="FP450" s="1">
        <v>129359.0</v>
      </c>
      <c r="FQ450" s="1" t="s">
        <v>6167</v>
      </c>
      <c r="FU450" s="1" t="s">
        <v>6168</v>
      </c>
      <c r="FV450" s="1" t="s">
        <v>200</v>
      </c>
      <c r="FW450" s="1" t="s">
        <v>290</v>
      </c>
      <c r="FX450" s="1" t="s">
        <v>238</v>
      </c>
      <c r="FZ450" s="1" t="s">
        <v>229</v>
      </c>
      <c r="GA450" s="1" t="s">
        <v>291</v>
      </c>
      <c r="GB450" s="2">
        <v>42125.0</v>
      </c>
      <c r="GC450" s="1" t="s">
        <v>6169</v>
      </c>
    </row>
    <row r="451">
      <c r="A451" s="1">
        <v>758000.0</v>
      </c>
      <c r="B451" s="1" t="s">
        <v>185</v>
      </c>
      <c r="C451" s="1" t="str">
        <f>"08791963"</f>
        <v>08791963</v>
      </c>
      <c r="D451" s="1" t="s">
        <v>186</v>
      </c>
      <c r="F451" s="1" t="str">
        <f>"10"</f>
        <v>10</v>
      </c>
      <c r="G451" s="2">
        <v>41967.0</v>
      </c>
      <c r="H451" s="1">
        <v>785000.0</v>
      </c>
      <c r="I451" s="1">
        <v>67.0</v>
      </c>
      <c r="J451" s="1">
        <v>785000.0</v>
      </c>
      <c r="K451" s="2">
        <v>42033.0</v>
      </c>
      <c r="L451" s="1">
        <v>67.0</v>
      </c>
      <c r="M451" s="2">
        <v>42033.0</v>
      </c>
      <c r="N451" s="1" t="s">
        <v>187</v>
      </c>
      <c r="O451" s="2">
        <v>42094.0</v>
      </c>
      <c r="P451" s="1">
        <v>840239.0</v>
      </c>
      <c r="Q451" s="1">
        <v>84025.0</v>
      </c>
      <c r="S451" s="1">
        <v>603.0</v>
      </c>
      <c r="T451" s="1" t="s">
        <v>6170</v>
      </c>
      <c r="U451" s="1" t="s">
        <v>320</v>
      </c>
      <c r="V451" s="1" t="s">
        <v>1706</v>
      </c>
      <c r="W451" s="1">
        <v>60010.0</v>
      </c>
      <c r="Y451" s="1" t="s">
        <v>6171</v>
      </c>
      <c r="Z451" s="1" t="s">
        <v>296</v>
      </c>
      <c r="AA451" s="1" t="s">
        <v>192</v>
      </c>
      <c r="AB451" s="1" t="s">
        <v>193</v>
      </c>
      <c r="AD451" s="1" t="s">
        <v>1948</v>
      </c>
      <c r="AE451" s="1" t="s">
        <v>195</v>
      </c>
      <c r="AF451" s="1" t="s">
        <v>1948</v>
      </c>
      <c r="AH451" s="1" t="s">
        <v>6172</v>
      </c>
      <c r="AI451" s="1">
        <v>0.4542</v>
      </c>
      <c r="AK451" s="1">
        <v>11.0</v>
      </c>
      <c r="AL451" s="1">
        <v>4.0</v>
      </c>
      <c r="AM451" s="1">
        <v>3.0</v>
      </c>
      <c r="AN451" s="1">
        <v>1.0</v>
      </c>
      <c r="AO451" s="1" t="s">
        <v>198</v>
      </c>
      <c r="AP451" s="1">
        <v>2.0</v>
      </c>
      <c r="AQ451" s="1" t="s">
        <v>1314</v>
      </c>
      <c r="AR451" s="1" t="s">
        <v>200</v>
      </c>
      <c r="AS451" s="1" t="s">
        <v>199</v>
      </c>
      <c r="AT451" s="1">
        <v>3.0</v>
      </c>
      <c r="AV451" s="1" t="s">
        <v>200</v>
      </c>
      <c r="AW451" s="1">
        <v>11193.98</v>
      </c>
      <c r="AX451" s="1">
        <v>2013.0</v>
      </c>
      <c r="AY451" s="1" t="s">
        <v>387</v>
      </c>
      <c r="AZ451" s="1" t="s">
        <v>200</v>
      </c>
      <c r="BA451" s="1" t="str">
        <f>"01011240550000"</f>
        <v>01011240550000</v>
      </c>
      <c r="BC451" s="1">
        <v>3261.0</v>
      </c>
      <c r="BD451" s="1">
        <v>758000.0</v>
      </c>
      <c r="BE451" s="2">
        <v>41967.0</v>
      </c>
      <c r="BF451" s="2" t="s">
        <v>6173</v>
      </c>
      <c r="BG451" s="1" t="s">
        <v>6174</v>
      </c>
      <c r="BH451" s="1">
        <v>0.0</v>
      </c>
      <c r="BI451" s="1" t="s">
        <v>5243</v>
      </c>
      <c r="BJ451" s="1" t="s">
        <v>1714</v>
      </c>
      <c r="BK451" s="1" t="s">
        <v>204</v>
      </c>
      <c r="BL451" s="1" t="str">
        <f>"18"</f>
        <v>18</v>
      </c>
      <c r="BM451" s="1" t="str">
        <f t="shared" si="299"/>
        <v>0</v>
      </c>
      <c r="BN451" s="1">
        <v>25.0</v>
      </c>
      <c r="BO451" s="1">
        <v>0.0</v>
      </c>
      <c r="BQ451" s="1">
        <v>220.0</v>
      </c>
      <c r="BR451" s="1">
        <v>220.0</v>
      </c>
      <c r="BS451" s="1">
        <v>220.0</v>
      </c>
      <c r="BU451" s="1" t="s">
        <v>1063</v>
      </c>
      <c r="BV451" s="1" t="s">
        <v>206</v>
      </c>
      <c r="BW451" s="1" t="s">
        <v>207</v>
      </c>
      <c r="BX451" s="1" t="s">
        <v>229</v>
      </c>
      <c r="BY451" s="1" t="s">
        <v>1534</v>
      </c>
      <c r="BZ451" s="1" t="s">
        <v>209</v>
      </c>
      <c r="CA451" s="1" t="s">
        <v>207</v>
      </c>
      <c r="CB451" s="1" t="s">
        <v>229</v>
      </c>
      <c r="CC451" s="1" t="s">
        <v>300</v>
      </c>
      <c r="CD451" s="1" t="s">
        <v>206</v>
      </c>
      <c r="CE451" s="1" t="s">
        <v>207</v>
      </c>
      <c r="CF451" s="1" t="s">
        <v>229</v>
      </c>
      <c r="CG451" s="1" t="s">
        <v>663</v>
      </c>
      <c r="CH451" s="1" t="s">
        <v>209</v>
      </c>
      <c r="CI451" s="1" t="s">
        <v>207</v>
      </c>
      <c r="CJ451" s="1" t="s">
        <v>229</v>
      </c>
      <c r="CK451" s="1" t="s">
        <v>1352</v>
      </c>
      <c r="CL451" s="1" t="s">
        <v>209</v>
      </c>
      <c r="CM451" s="1" t="s">
        <v>207</v>
      </c>
      <c r="CN451" s="1" t="s">
        <v>229</v>
      </c>
      <c r="CO451" s="1" t="s">
        <v>1329</v>
      </c>
      <c r="CP451" s="1" t="s">
        <v>209</v>
      </c>
      <c r="CQ451" s="1" t="s">
        <v>207</v>
      </c>
      <c r="CR451" s="1" t="s">
        <v>229</v>
      </c>
      <c r="CS451" s="1" t="s">
        <v>1190</v>
      </c>
      <c r="CT451" s="1" t="s">
        <v>206</v>
      </c>
      <c r="CU451" s="1" t="s">
        <v>207</v>
      </c>
      <c r="CV451" s="1" t="s">
        <v>229</v>
      </c>
      <c r="CW451" s="1" t="s">
        <v>6175</v>
      </c>
      <c r="CX451" s="1" t="s">
        <v>206</v>
      </c>
      <c r="CY451" s="1" t="s">
        <v>207</v>
      </c>
      <c r="CZ451" s="1" t="s">
        <v>229</v>
      </c>
      <c r="DA451" s="1" t="s">
        <v>200</v>
      </c>
      <c r="DC451" s="1" t="s">
        <v>642</v>
      </c>
      <c r="DD451" s="1" t="s">
        <v>1838</v>
      </c>
      <c r="DE451" s="1" t="s">
        <v>273</v>
      </c>
      <c r="DF451" s="1" t="s">
        <v>219</v>
      </c>
      <c r="DG451" s="1" t="s">
        <v>337</v>
      </c>
      <c r="DH451" s="1" t="s">
        <v>220</v>
      </c>
      <c r="DI451" s="1" t="s">
        <v>6176</v>
      </c>
      <c r="DJ451" s="1" t="s">
        <v>222</v>
      </c>
      <c r="DL451" s="1" t="s">
        <v>224</v>
      </c>
      <c r="DM451" s="1" t="s">
        <v>229</v>
      </c>
      <c r="DN451" s="1" t="s">
        <v>399</v>
      </c>
      <c r="DP451" s="1" t="s">
        <v>340</v>
      </c>
      <c r="DQ451" s="1" t="s">
        <v>228</v>
      </c>
      <c r="DR451" s="1" t="s">
        <v>229</v>
      </c>
      <c r="DS451" s="1" t="s">
        <v>368</v>
      </c>
      <c r="DU451" s="1" t="s">
        <v>6177</v>
      </c>
      <c r="DV451" s="1" t="s">
        <v>6178</v>
      </c>
      <c r="DW451" s="1" t="s">
        <v>667</v>
      </c>
      <c r="DX451" s="1" t="s">
        <v>234</v>
      </c>
      <c r="DY451" s="1" t="s">
        <v>6179</v>
      </c>
      <c r="DZ451" s="1" t="s">
        <v>282</v>
      </c>
      <c r="EA451" s="1" t="s">
        <v>3112</v>
      </c>
      <c r="EB451" s="1" t="s">
        <v>767</v>
      </c>
      <c r="EC451" s="1" t="s">
        <v>237</v>
      </c>
      <c r="ED451" s="1" t="s">
        <v>555</v>
      </c>
      <c r="EG451" s="1" t="s">
        <v>449</v>
      </c>
      <c r="EH451" s="1" t="s">
        <v>450</v>
      </c>
      <c r="EI451" s="1" t="s">
        <v>598</v>
      </c>
      <c r="EJ451" s="1" t="s">
        <v>720</v>
      </c>
      <c r="EK451" s="1" t="s">
        <v>1571</v>
      </c>
      <c r="EL451" s="1" t="s">
        <v>6180</v>
      </c>
      <c r="EM451" s="1" t="s">
        <v>206</v>
      </c>
      <c r="EN451" s="1" t="s">
        <v>207</v>
      </c>
      <c r="EO451" s="1" t="s">
        <v>229</v>
      </c>
      <c r="EP451" s="1" t="s">
        <v>1417</v>
      </c>
      <c r="EQ451" s="1" t="s">
        <v>42</v>
      </c>
      <c r="ET451" s="1" t="s">
        <v>1904</v>
      </c>
      <c r="EU451" s="1" t="s">
        <v>42</v>
      </c>
      <c r="EX451" s="1" t="s">
        <v>2367</v>
      </c>
      <c r="EY451" s="1" t="s">
        <v>206</v>
      </c>
      <c r="EZ451" s="1" t="s">
        <v>268</v>
      </c>
      <c r="FA451" s="1" t="s">
        <v>229</v>
      </c>
      <c r="FB451" s="1" t="s">
        <v>3594</v>
      </c>
      <c r="FC451" s="1" t="s">
        <v>209</v>
      </c>
      <c r="FF451" s="1" t="s">
        <v>239</v>
      </c>
      <c r="FG451" s="1" t="s">
        <v>192</v>
      </c>
      <c r="FH451" s="1" t="s">
        <v>192</v>
      </c>
      <c r="FJ451" s="1" t="s">
        <v>6181</v>
      </c>
      <c r="FK451" s="1" t="s">
        <v>229</v>
      </c>
      <c r="FL451" s="1" t="s">
        <v>6182</v>
      </c>
      <c r="FM451" s="1">
        <v>4575.0</v>
      </c>
      <c r="FN451" s="1" t="s">
        <v>735</v>
      </c>
      <c r="FO451" s="1" t="s">
        <v>6183</v>
      </c>
      <c r="FP451" s="1">
        <v>62697.0</v>
      </c>
      <c r="FQ451" s="1" t="s">
        <v>6184</v>
      </c>
      <c r="FU451" s="1" t="s">
        <v>6185</v>
      </c>
      <c r="FV451" s="1" t="s">
        <v>200</v>
      </c>
      <c r="FW451" s="1" t="s">
        <v>290</v>
      </c>
      <c r="FX451" s="1" t="s">
        <v>655</v>
      </c>
      <c r="FZ451" s="1" t="s">
        <v>229</v>
      </c>
      <c r="GA451" s="1" t="s">
        <v>291</v>
      </c>
      <c r="GB451" s="2">
        <v>42095.0</v>
      </c>
      <c r="GC451" s="1" t="s">
        <v>6186</v>
      </c>
    </row>
    <row r="452">
      <c r="A452" s="1">
        <v>319990.0</v>
      </c>
      <c r="B452" s="1" t="s">
        <v>185</v>
      </c>
      <c r="C452" s="1" t="str">
        <f>"08791324"</f>
        <v>08791324</v>
      </c>
      <c r="D452" s="1" t="s">
        <v>186</v>
      </c>
      <c r="F452" s="1" t="str">
        <f>"140"</f>
        <v>140</v>
      </c>
      <c r="G452" s="2">
        <v>41965.0</v>
      </c>
      <c r="H452" s="1">
        <v>329990.0</v>
      </c>
      <c r="I452" s="1">
        <v>77.0</v>
      </c>
      <c r="J452" s="1">
        <v>319990.0</v>
      </c>
      <c r="K452" s="2">
        <v>42041.0</v>
      </c>
      <c r="L452" s="1">
        <v>77.0</v>
      </c>
      <c r="M452" s="2">
        <v>42041.0</v>
      </c>
      <c r="N452" s="1" t="s">
        <v>187</v>
      </c>
      <c r="O452" s="2">
        <v>42094.0</v>
      </c>
      <c r="P452" s="1">
        <v>50343.0</v>
      </c>
      <c r="Q452" s="1">
        <v>5105.0</v>
      </c>
      <c r="S452" s="1">
        <v>140.0</v>
      </c>
      <c r="T452" s="1" t="s">
        <v>6187</v>
      </c>
      <c r="U452" s="1" t="s">
        <v>1015</v>
      </c>
      <c r="V452" s="1" t="s">
        <v>4858</v>
      </c>
      <c r="W452" s="1">
        <v>60140.0</v>
      </c>
      <c r="Y452" s="1" t="s">
        <v>6188</v>
      </c>
      <c r="Z452" s="1">
        <v>2014.0</v>
      </c>
      <c r="AA452" s="1" t="s">
        <v>200</v>
      </c>
      <c r="AB452" s="1" t="s">
        <v>467</v>
      </c>
      <c r="AC452" s="1" t="s">
        <v>6189</v>
      </c>
      <c r="AD452" s="1" t="s">
        <v>4860</v>
      </c>
      <c r="AE452" s="1" t="s">
        <v>325</v>
      </c>
      <c r="AF452" s="1" t="s">
        <v>3429</v>
      </c>
      <c r="AG452" s="1" t="s">
        <v>6190</v>
      </c>
      <c r="AH452" s="1" t="s">
        <v>6191</v>
      </c>
      <c r="AK452" s="1">
        <v>9.0</v>
      </c>
      <c r="AL452" s="1">
        <v>4.0</v>
      </c>
      <c r="AM452" s="1">
        <v>2.0</v>
      </c>
      <c r="AN452" s="1">
        <v>1.0</v>
      </c>
      <c r="AO452" s="1" t="s">
        <v>198</v>
      </c>
      <c r="AP452" s="1">
        <v>1.0</v>
      </c>
      <c r="AQ452" s="1" t="s">
        <v>472</v>
      </c>
      <c r="AR452" s="1" t="s">
        <v>200</v>
      </c>
      <c r="AS452" s="1" t="s">
        <v>199</v>
      </c>
      <c r="AT452" s="1">
        <v>2.0</v>
      </c>
      <c r="AV452" s="1" t="s">
        <v>200</v>
      </c>
      <c r="AW452" s="1" t="s">
        <v>575</v>
      </c>
      <c r="AX452" s="1">
        <v>2013.0</v>
      </c>
      <c r="AY452" s="1" t="s">
        <v>387</v>
      </c>
      <c r="AZ452" s="1" t="s">
        <v>200</v>
      </c>
      <c r="BA452" s="1" t="str">
        <f>"0228476030"</f>
        <v>0228476030</v>
      </c>
      <c r="BB452" s="1" t="s">
        <v>200</v>
      </c>
      <c r="BC452" s="1">
        <v>2865.0</v>
      </c>
      <c r="BD452" s="1">
        <v>319990.0</v>
      </c>
      <c r="BE452" s="2">
        <v>41965.0</v>
      </c>
      <c r="BF452" s="2" t="s">
        <v>6192</v>
      </c>
      <c r="BG452" s="1" t="s">
        <v>6193</v>
      </c>
      <c r="BH452" s="1">
        <v>65.0</v>
      </c>
      <c r="BI452" s="1" t="s">
        <v>5040</v>
      </c>
      <c r="BJ452" s="1" t="s">
        <v>1182</v>
      </c>
      <c r="BK452" s="1" t="s">
        <v>204</v>
      </c>
      <c r="BL452" s="1" t="str">
        <f t="shared" ref="BL452:BM452" si="300">""</f>
        <v/>
      </c>
      <c r="BM452" s="1" t="str">
        <f t="shared" si="300"/>
        <v/>
      </c>
      <c r="BP452" s="1" t="s">
        <v>6194</v>
      </c>
      <c r="BQ452" s="1">
        <v>300.0</v>
      </c>
      <c r="BR452" s="1">
        <v>300.0</v>
      </c>
      <c r="BS452" s="1">
        <v>300.0</v>
      </c>
      <c r="BV452" s="1" t="s">
        <v>204</v>
      </c>
      <c r="BY452" s="1" t="s">
        <v>1426</v>
      </c>
      <c r="BZ452" s="1" t="s">
        <v>209</v>
      </c>
      <c r="CA452" s="1" t="s">
        <v>210</v>
      </c>
      <c r="CD452" s="1" t="s">
        <v>204</v>
      </c>
      <c r="CG452" s="1" t="s">
        <v>332</v>
      </c>
      <c r="CH452" s="1" t="s">
        <v>209</v>
      </c>
      <c r="CI452" s="1" t="s">
        <v>210</v>
      </c>
      <c r="CK452" s="1" t="s">
        <v>264</v>
      </c>
      <c r="CL452" s="1" t="s">
        <v>209</v>
      </c>
      <c r="CM452" s="1" t="s">
        <v>210</v>
      </c>
      <c r="CO452" s="1" t="s">
        <v>677</v>
      </c>
      <c r="CP452" s="1" t="s">
        <v>209</v>
      </c>
      <c r="CQ452" s="1" t="s">
        <v>210</v>
      </c>
      <c r="CS452" s="1" t="s">
        <v>2647</v>
      </c>
      <c r="CT452" s="1" t="s">
        <v>206</v>
      </c>
      <c r="CU452" s="1" t="s">
        <v>617</v>
      </c>
      <c r="CW452" s="1" t="s">
        <v>924</v>
      </c>
      <c r="CX452" s="1" t="s">
        <v>206</v>
      </c>
      <c r="CY452" s="1" t="s">
        <v>210</v>
      </c>
      <c r="DA452" s="1" t="s">
        <v>192</v>
      </c>
      <c r="DB452" s="2">
        <v>42034.0</v>
      </c>
      <c r="DC452" s="1" t="s">
        <v>1353</v>
      </c>
      <c r="DD452" s="1" t="s">
        <v>1838</v>
      </c>
      <c r="DE452" s="1" t="s">
        <v>273</v>
      </c>
      <c r="DF452" s="1" t="s">
        <v>219</v>
      </c>
      <c r="DG452" s="1" t="s">
        <v>5669</v>
      </c>
      <c r="DH452" s="1" t="s">
        <v>220</v>
      </c>
      <c r="DI452" s="1" t="s">
        <v>308</v>
      </c>
      <c r="DJ452" s="1" t="s">
        <v>222</v>
      </c>
      <c r="DK452" s="1" t="s">
        <v>223</v>
      </c>
      <c r="DL452" s="1" t="s">
        <v>223</v>
      </c>
      <c r="DM452" s="1" t="s">
        <v>1022</v>
      </c>
      <c r="DN452" s="1" t="s">
        <v>485</v>
      </c>
      <c r="DO452" s="1" t="s">
        <v>1606</v>
      </c>
      <c r="DQ452" s="1" t="s">
        <v>228</v>
      </c>
      <c r="DR452" s="1" t="s">
        <v>1980</v>
      </c>
      <c r="DS452" s="1" t="s">
        <v>368</v>
      </c>
      <c r="DT452" s="1" t="s">
        <v>6195</v>
      </c>
      <c r="DU452" s="1" t="s">
        <v>6196</v>
      </c>
      <c r="DV452" s="1" t="s">
        <v>6197</v>
      </c>
      <c r="DW452" s="1" t="s">
        <v>1072</v>
      </c>
      <c r="DX452" s="1" t="s">
        <v>234</v>
      </c>
      <c r="DY452" s="1" t="s">
        <v>596</v>
      </c>
      <c r="EA452" s="1" t="s">
        <v>344</v>
      </c>
      <c r="EB452" s="1" t="s">
        <v>5230</v>
      </c>
      <c r="EC452" s="1" t="s">
        <v>237</v>
      </c>
      <c r="ED452" s="1" t="s">
        <v>6198</v>
      </c>
      <c r="EG452" s="1" t="s">
        <v>1028</v>
      </c>
      <c r="EH452" s="1" t="s">
        <v>556</v>
      </c>
      <c r="EI452" s="1" t="s">
        <v>494</v>
      </c>
      <c r="EL452" s="1" t="s">
        <v>1351</v>
      </c>
      <c r="EM452" s="1" t="s">
        <v>206</v>
      </c>
      <c r="EN452" s="1" t="s">
        <v>210</v>
      </c>
      <c r="EP452" s="1" t="s">
        <v>363</v>
      </c>
      <c r="EQ452" s="1" t="s">
        <v>206</v>
      </c>
      <c r="ER452" s="1" t="s">
        <v>617</v>
      </c>
      <c r="ET452" s="1" t="s">
        <v>270</v>
      </c>
      <c r="EU452" s="1" t="s">
        <v>206</v>
      </c>
      <c r="EV452" s="1" t="s">
        <v>207</v>
      </c>
      <c r="EY452" s="1" t="s">
        <v>238</v>
      </c>
      <c r="FC452" s="1" t="s">
        <v>238</v>
      </c>
      <c r="FF452" s="1" t="s">
        <v>239</v>
      </c>
      <c r="FG452" s="1" t="s">
        <v>192</v>
      </c>
      <c r="FH452" s="1" t="s">
        <v>192</v>
      </c>
      <c r="FJ452" s="1" t="s">
        <v>347</v>
      </c>
      <c r="FK452" s="1" t="s">
        <v>229</v>
      </c>
      <c r="FL452" s="1" t="s">
        <v>2448</v>
      </c>
      <c r="FM452" s="1">
        <v>92038.0</v>
      </c>
      <c r="FN452" s="1" t="s">
        <v>2449</v>
      </c>
      <c r="FO452" s="1" t="s">
        <v>2450</v>
      </c>
      <c r="FP452" s="1">
        <v>21137.0</v>
      </c>
      <c r="FQ452" s="1" t="s">
        <v>2451</v>
      </c>
      <c r="FT452" s="1" t="s">
        <v>6199</v>
      </c>
      <c r="FU452" s="1" t="s">
        <v>6200</v>
      </c>
      <c r="FV452" s="1" t="s">
        <v>200</v>
      </c>
      <c r="FW452" s="1" t="s">
        <v>6201</v>
      </c>
      <c r="FZ452" s="1" t="s">
        <v>229</v>
      </c>
      <c r="GA452" s="1" t="s">
        <v>291</v>
      </c>
      <c r="GB452" s="2">
        <v>42097.0</v>
      </c>
      <c r="GC452" s="1" t="s">
        <v>6202</v>
      </c>
    </row>
    <row r="453">
      <c r="A453" s="1">
        <v>420000.0</v>
      </c>
      <c r="B453" s="1" t="s">
        <v>185</v>
      </c>
      <c r="C453" s="1" t="str">
        <f>"08788556"</f>
        <v>08788556</v>
      </c>
      <c r="D453" s="1" t="s">
        <v>186</v>
      </c>
      <c r="F453" s="1" t="str">
        <f>"543"</f>
        <v>543</v>
      </c>
      <c r="G453" s="2">
        <v>41961.0</v>
      </c>
      <c r="H453" s="1">
        <v>439900.0</v>
      </c>
      <c r="I453" s="1">
        <v>95.0</v>
      </c>
      <c r="J453" s="1">
        <v>434900.0</v>
      </c>
      <c r="K453" s="2">
        <v>42055.0</v>
      </c>
      <c r="L453" s="1">
        <v>95.0</v>
      </c>
      <c r="M453" s="2">
        <v>42055.0</v>
      </c>
      <c r="N453" s="1" t="s">
        <v>187</v>
      </c>
      <c r="O453" s="2">
        <v>42129.0</v>
      </c>
      <c r="P453" s="1">
        <v>922909.0</v>
      </c>
      <c r="Q453" s="1">
        <v>25055.0</v>
      </c>
      <c r="S453" s="1">
        <v>172.0</v>
      </c>
      <c r="T453" s="1" t="s">
        <v>6203</v>
      </c>
      <c r="U453" s="1" t="s">
        <v>1015</v>
      </c>
      <c r="V453" s="1" t="s">
        <v>1527</v>
      </c>
      <c r="W453" s="1">
        <v>60543.0</v>
      </c>
      <c r="Y453" s="1" t="s">
        <v>6204</v>
      </c>
      <c r="Z453" s="1">
        <v>2005.0</v>
      </c>
      <c r="AA453" s="1" t="s">
        <v>200</v>
      </c>
      <c r="AB453" s="1" t="s">
        <v>467</v>
      </c>
      <c r="AC453" s="1" t="s">
        <v>6205</v>
      </c>
      <c r="AD453" s="1" t="s">
        <v>1529</v>
      </c>
      <c r="AE453" s="1" t="s">
        <v>849</v>
      </c>
      <c r="AF453" s="1" t="s">
        <v>1529</v>
      </c>
      <c r="AG453" s="1" t="s">
        <v>6206</v>
      </c>
      <c r="AH453" s="1" t="s">
        <v>6207</v>
      </c>
      <c r="AK453" s="1">
        <v>11.0</v>
      </c>
      <c r="AL453" s="1">
        <v>4.0</v>
      </c>
      <c r="AM453" s="1">
        <v>3.0</v>
      </c>
      <c r="AN453" s="1">
        <v>1.0</v>
      </c>
      <c r="AO453" s="1" t="s">
        <v>198</v>
      </c>
      <c r="AP453" s="1">
        <v>1.0</v>
      </c>
      <c r="AQ453" s="1" t="s">
        <v>472</v>
      </c>
      <c r="AR453" s="1" t="s">
        <v>192</v>
      </c>
      <c r="AS453" s="1" t="s">
        <v>199</v>
      </c>
      <c r="AT453" s="1">
        <v>3.0</v>
      </c>
      <c r="AV453" s="1" t="s">
        <v>200</v>
      </c>
      <c r="AW453" s="1" t="s">
        <v>575</v>
      </c>
      <c r="AX453" s="1">
        <v>2013.0</v>
      </c>
      <c r="AY453" s="1" t="s">
        <v>588</v>
      </c>
      <c r="AZ453" s="1" t="s">
        <v>200</v>
      </c>
      <c r="BA453" s="1" t="str">
        <f>"0328106015"</f>
        <v>0328106015</v>
      </c>
      <c r="BB453" s="1" t="s">
        <v>200</v>
      </c>
      <c r="BC453" s="1">
        <v>3380.0</v>
      </c>
      <c r="BD453" s="1">
        <v>420000.0</v>
      </c>
      <c r="BE453" s="2">
        <v>41961.0</v>
      </c>
      <c r="BF453" s="2" t="s">
        <v>6208</v>
      </c>
      <c r="BG453" s="1" t="s">
        <v>1532</v>
      </c>
      <c r="BH453" s="1">
        <v>140.0</v>
      </c>
      <c r="BI453" s="1" t="s">
        <v>1533</v>
      </c>
      <c r="BJ453" s="1" t="s">
        <v>1349</v>
      </c>
      <c r="BK453" s="1" t="s">
        <v>580</v>
      </c>
      <c r="BL453" s="1" t="str">
        <f t="shared" ref="BL453:BM453" si="301">"0"</f>
        <v>0</v>
      </c>
      <c r="BM453" s="1" t="str">
        <f t="shared" si="301"/>
        <v>0</v>
      </c>
      <c r="BN453" s="1">
        <v>37.0</v>
      </c>
      <c r="BO453" s="1">
        <v>13.0</v>
      </c>
      <c r="BQ453" s="1">
        <v>308.0</v>
      </c>
      <c r="BR453" s="1">
        <v>308.0</v>
      </c>
      <c r="BS453" s="1">
        <v>308.0</v>
      </c>
      <c r="BU453" s="1" t="s">
        <v>331</v>
      </c>
      <c r="BV453" s="1" t="s">
        <v>206</v>
      </c>
      <c r="BW453" s="1" t="s">
        <v>207</v>
      </c>
      <c r="BY453" s="1" t="s">
        <v>2800</v>
      </c>
      <c r="BZ453" s="1" t="s">
        <v>209</v>
      </c>
      <c r="CA453" s="1" t="s">
        <v>210</v>
      </c>
      <c r="CC453" s="1" t="s">
        <v>454</v>
      </c>
      <c r="CD453" s="1" t="s">
        <v>206</v>
      </c>
      <c r="CE453" s="1" t="s">
        <v>207</v>
      </c>
      <c r="CG453" s="1" t="s">
        <v>363</v>
      </c>
      <c r="CH453" s="1" t="s">
        <v>209</v>
      </c>
      <c r="CI453" s="1" t="s">
        <v>210</v>
      </c>
      <c r="CK453" s="1" t="s">
        <v>454</v>
      </c>
      <c r="CL453" s="1" t="s">
        <v>209</v>
      </c>
      <c r="CM453" s="1" t="s">
        <v>210</v>
      </c>
      <c r="CO453" s="1" t="s">
        <v>433</v>
      </c>
      <c r="CP453" s="1" t="s">
        <v>209</v>
      </c>
      <c r="CQ453" s="1" t="s">
        <v>210</v>
      </c>
      <c r="CS453" s="1" t="s">
        <v>393</v>
      </c>
      <c r="CT453" s="1" t="s">
        <v>206</v>
      </c>
      <c r="CU453" s="1" t="s">
        <v>268</v>
      </c>
      <c r="CW453" s="1" t="s">
        <v>782</v>
      </c>
      <c r="CX453" s="1" t="s">
        <v>206</v>
      </c>
      <c r="CY453" s="1" t="s">
        <v>210</v>
      </c>
      <c r="DA453" s="1" t="s">
        <v>200</v>
      </c>
      <c r="DC453" s="1" t="s">
        <v>481</v>
      </c>
      <c r="DD453" s="1" t="s">
        <v>4137</v>
      </c>
      <c r="DE453" s="1" t="s">
        <v>1810</v>
      </c>
      <c r="DF453" s="1" t="s">
        <v>219</v>
      </c>
      <c r="DG453" s="1" t="s">
        <v>482</v>
      </c>
      <c r="DH453" s="1" t="s">
        <v>220</v>
      </c>
      <c r="DI453" s="1" t="s">
        <v>5873</v>
      </c>
      <c r="DJ453" s="1" t="s">
        <v>1048</v>
      </c>
      <c r="DK453" s="1" t="s">
        <v>223</v>
      </c>
      <c r="DL453" s="1" t="s">
        <v>1161</v>
      </c>
      <c r="DM453" s="1" t="s">
        <v>338</v>
      </c>
      <c r="DN453" s="1" t="s">
        <v>2463</v>
      </c>
      <c r="DO453" s="1" t="s">
        <v>590</v>
      </c>
      <c r="DP453" s="1" t="s">
        <v>340</v>
      </c>
      <c r="DQ453" s="1" t="s">
        <v>441</v>
      </c>
      <c r="DR453" s="1" t="s">
        <v>588</v>
      </c>
      <c r="DS453" s="1" t="s">
        <v>368</v>
      </c>
      <c r="DU453" s="1" t="s">
        <v>6209</v>
      </c>
      <c r="DV453" s="1" t="s">
        <v>6210</v>
      </c>
      <c r="DW453" s="1" t="s">
        <v>1957</v>
      </c>
      <c r="DX453" s="1" t="s">
        <v>6211</v>
      </c>
      <c r="DY453" s="1" t="s">
        <v>6212</v>
      </c>
      <c r="DZ453" s="1" t="s">
        <v>310</v>
      </c>
      <c r="EA453" s="1" t="s">
        <v>344</v>
      </c>
      <c r="EB453" s="1" t="s">
        <v>767</v>
      </c>
      <c r="EC453" s="1" t="s">
        <v>237</v>
      </c>
      <c r="ED453" s="1" t="s">
        <v>407</v>
      </c>
      <c r="EE453" s="1" t="s">
        <v>493</v>
      </c>
      <c r="EG453" s="1" t="s">
        <v>556</v>
      </c>
      <c r="EH453" s="1" t="s">
        <v>494</v>
      </c>
      <c r="EI453" s="1" t="s">
        <v>408</v>
      </c>
      <c r="EJ453" s="1" t="s">
        <v>720</v>
      </c>
      <c r="EK453" s="1" t="s">
        <v>450</v>
      </c>
      <c r="EL453" s="1" t="s">
        <v>640</v>
      </c>
      <c r="EM453" s="1" t="s">
        <v>206</v>
      </c>
      <c r="EN453" s="1" t="s">
        <v>268</v>
      </c>
      <c r="EP453" s="1" t="s">
        <v>2224</v>
      </c>
      <c r="EQ453" s="1" t="s">
        <v>206</v>
      </c>
      <c r="ER453" s="1" t="s">
        <v>210</v>
      </c>
      <c r="ET453" s="1" t="s">
        <v>264</v>
      </c>
      <c r="EU453" s="1" t="s">
        <v>206</v>
      </c>
      <c r="EV453" s="1" t="s">
        <v>207</v>
      </c>
      <c r="EX453" s="1" t="s">
        <v>516</v>
      </c>
      <c r="EY453" s="1" t="s">
        <v>206</v>
      </c>
      <c r="EZ453" s="1" t="s">
        <v>268</v>
      </c>
      <c r="FB453" s="1" t="s">
        <v>1286</v>
      </c>
      <c r="FC453" s="1" t="s">
        <v>42</v>
      </c>
      <c r="FD453" s="1" t="s">
        <v>210</v>
      </c>
      <c r="FF453" s="1" t="s">
        <v>239</v>
      </c>
      <c r="FG453" s="1" t="s">
        <v>192</v>
      </c>
      <c r="FH453" s="1" t="s">
        <v>192</v>
      </c>
      <c r="FJ453" s="1" t="s">
        <v>6213</v>
      </c>
      <c r="FK453" s="1" t="s">
        <v>348</v>
      </c>
      <c r="FL453" s="1" t="s">
        <v>4627</v>
      </c>
      <c r="FM453" s="1">
        <v>23030.0</v>
      </c>
      <c r="FN453" s="1" t="s">
        <v>4628</v>
      </c>
      <c r="FO453" s="1" t="s">
        <v>6214</v>
      </c>
      <c r="FP453" s="1">
        <v>231898.0</v>
      </c>
      <c r="FQ453" s="1" t="s">
        <v>6215</v>
      </c>
      <c r="FT453" s="1" t="s">
        <v>6216</v>
      </c>
      <c r="FU453" s="1" t="s">
        <v>6217</v>
      </c>
      <c r="FV453" s="1" t="s">
        <v>200</v>
      </c>
      <c r="FW453" s="1" t="s">
        <v>6218</v>
      </c>
      <c r="FZ453" s="1" t="s">
        <v>229</v>
      </c>
      <c r="GA453" s="1" t="s">
        <v>247</v>
      </c>
      <c r="GB453" s="2">
        <v>42130.0</v>
      </c>
      <c r="GC453" s="1" t="s">
        <v>6219</v>
      </c>
    </row>
    <row r="454">
      <c r="A454" s="1">
        <v>230000.0</v>
      </c>
      <c r="B454" s="1" t="s">
        <v>185</v>
      </c>
      <c r="C454" s="1" t="str">
        <f>"08794781"</f>
        <v>08794781</v>
      </c>
      <c r="D454" s="1" t="s">
        <v>186</v>
      </c>
      <c r="F454" s="1" t="str">
        <f>"145"</f>
        <v>145</v>
      </c>
      <c r="G454" s="2">
        <v>41974.0</v>
      </c>
      <c r="H454" s="1">
        <v>240000.0</v>
      </c>
      <c r="I454" s="1">
        <v>10.0</v>
      </c>
      <c r="J454" s="1">
        <v>240000.0</v>
      </c>
      <c r="K454" s="2">
        <v>41981.0</v>
      </c>
      <c r="L454" s="1">
        <v>10.0</v>
      </c>
      <c r="M454" s="2">
        <v>41981.0</v>
      </c>
      <c r="N454" s="1" t="s">
        <v>187</v>
      </c>
      <c r="O454" s="2">
        <v>42019.0</v>
      </c>
      <c r="P454" s="1">
        <v>40519.0</v>
      </c>
      <c r="Q454" s="1">
        <v>4415.0</v>
      </c>
      <c r="S454" s="1">
        <v>8700.0</v>
      </c>
      <c r="T454" s="1" t="s">
        <v>6220</v>
      </c>
      <c r="U454" s="1" t="s">
        <v>464</v>
      </c>
      <c r="V454" s="1" t="s">
        <v>1782</v>
      </c>
      <c r="W454" s="1">
        <v>60145.0</v>
      </c>
      <c r="Y454" s="1" t="s">
        <v>6221</v>
      </c>
      <c r="Z454" s="1">
        <v>2003.0</v>
      </c>
      <c r="AA454" s="1" t="s">
        <v>200</v>
      </c>
      <c r="AB454" s="1" t="s">
        <v>193</v>
      </c>
      <c r="AC454" s="1" t="s">
        <v>6222</v>
      </c>
      <c r="AD454" s="1" t="s">
        <v>1785</v>
      </c>
      <c r="AE454" s="1" t="s">
        <v>613</v>
      </c>
      <c r="AF454" s="1" t="s">
        <v>1785</v>
      </c>
      <c r="AG454" s="1" t="s">
        <v>6223</v>
      </c>
      <c r="AH454" s="1" t="s">
        <v>6224</v>
      </c>
      <c r="AI454" s="1">
        <v>0.76</v>
      </c>
      <c r="AK454" s="1">
        <v>9.0</v>
      </c>
      <c r="AL454" s="1">
        <v>3.0</v>
      </c>
      <c r="AM454" s="1">
        <v>3.0</v>
      </c>
      <c r="AN454" s="1">
        <v>0.0</v>
      </c>
      <c r="AO454" s="1" t="s">
        <v>198</v>
      </c>
      <c r="AP454" s="1">
        <v>1.0</v>
      </c>
      <c r="AQ454" s="1" t="s">
        <v>327</v>
      </c>
      <c r="AR454" s="1" t="s">
        <v>192</v>
      </c>
      <c r="AS454" s="1" t="s">
        <v>199</v>
      </c>
      <c r="AT454" s="1">
        <v>4.0</v>
      </c>
      <c r="AV454" s="1" t="s">
        <v>200</v>
      </c>
      <c r="AW454" s="1">
        <v>6202.0</v>
      </c>
      <c r="AX454" s="1">
        <v>2013.0</v>
      </c>
      <c r="AY454" s="1" t="s">
        <v>387</v>
      </c>
      <c r="AZ454" s="1" t="s">
        <v>200</v>
      </c>
      <c r="BA454" s="1" t="str">
        <f>"0221176013"</f>
        <v>0221176013</v>
      </c>
      <c r="BB454" s="1" t="s">
        <v>200</v>
      </c>
      <c r="BC454" s="1">
        <v>1800.0</v>
      </c>
      <c r="BD454" s="1">
        <v>230000.0</v>
      </c>
      <c r="BE454" s="2">
        <v>41972.0</v>
      </c>
      <c r="BF454" s="2" t="s">
        <v>6225</v>
      </c>
      <c r="BG454" s="1" t="s">
        <v>6226</v>
      </c>
      <c r="BH454" s="1">
        <v>0.0</v>
      </c>
      <c r="BI454" s="1" t="s">
        <v>6227</v>
      </c>
      <c r="BJ454" s="1" t="s">
        <v>6228</v>
      </c>
      <c r="BK454" s="1" t="s">
        <v>204</v>
      </c>
      <c r="BL454" s="1" t="str">
        <f t="shared" ref="BL454:BM454" si="302">"0"</f>
        <v>0</v>
      </c>
      <c r="BM454" s="1" t="str">
        <f t="shared" si="302"/>
        <v>0</v>
      </c>
      <c r="BN454" s="1">
        <v>0.0</v>
      </c>
      <c r="BO454" s="1">
        <v>0.0</v>
      </c>
      <c r="BQ454" s="1">
        <v>424.0</v>
      </c>
      <c r="BR454" s="1">
        <v>424.0</v>
      </c>
      <c r="BS454" s="1">
        <v>424.0</v>
      </c>
      <c r="BV454" s="1" t="s">
        <v>204</v>
      </c>
      <c r="BY454" s="1" t="s">
        <v>758</v>
      </c>
      <c r="BZ454" s="1" t="s">
        <v>206</v>
      </c>
      <c r="CA454" s="1" t="s">
        <v>210</v>
      </c>
      <c r="CB454" s="1" t="s">
        <v>239</v>
      </c>
      <c r="CC454" s="1" t="s">
        <v>331</v>
      </c>
      <c r="CD454" s="1" t="s">
        <v>206</v>
      </c>
      <c r="CE454" s="1" t="s">
        <v>207</v>
      </c>
      <c r="CF454" s="1" t="s">
        <v>239</v>
      </c>
      <c r="CG454" s="1" t="s">
        <v>363</v>
      </c>
      <c r="CH454" s="1" t="s">
        <v>206</v>
      </c>
      <c r="CI454" s="1" t="s">
        <v>210</v>
      </c>
      <c r="CJ454" s="1" t="s">
        <v>239</v>
      </c>
      <c r="CK454" s="1" t="s">
        <v>212</v>
      </c>
      <c r="CL454" s="1" t="s">
        <v>206</v>
      </c>
      <c r="CM454" s="1" t="s">
        <v>210</v>
      </c>
      <c r="CN454" s="1" t="s">
        <v>239</v>
      </c>
      <c r="CO454" s="1" t="s">
        <v>212</v>
      </c>
      <c r="CP454" s="1" t="s">
        <v>42</v>
      </c>
      <c r="CQ454" s="1" t="s">
        <v>210</v>
      </c>
      <c r="CS454" s="1" t="s">
        <v>2261</v>
      </c>
      <c r="CT454" s="1" t="s">
        <v>206</v>
      </c>
      <c r="CU454" s="1" t="s">
        <v>268</v>
      </c>
      <c r="CV454" s="1" t="s">
        <v>239</v>
      </c>
      <c r="CW454" s="1" t="s">
        <v>6229</v>
      </c>
      <c r="CX454" s="1" t="s">
        <v>267</v>
      </c>
      <c r="CY454" s="1" t="s">
        <v>588</v>
      </c>
      <c r="DA454" s="1" t="s">
        <v>200</v>
      </c>
      <c r="DC454" s="1" t="s">
        <v>335</v>
      </c>
      <c r="DD454" s="1" t="s">
        <v>957</v>
      </c>
      <c r="DE454" s="1" t="s">
        <v>273</v>
      </c>
      <c r="DF454" s="1" t="s">
        <v>219</v>
      </c>
      <c r="DG454" s="1" t="s">
        <v>6230</v>
      </c>
      <c r="DH454" s="1" t="s">
        <v>220</v>
      </c>
      <c r="DI454" s="1" t="s">
        <v>1141</v>
      </c>
      <c r="DJ454" s="1" t="s">
        <v>857</v>
      </c>
      <c r="DK454" s="1" t="s">
        <v>223</v>
      </c>
      <c r="DL454" s="1" t="s">
        <v>1161</v>
      </c>
      <c r="DM454" s="1" t="s">
        <v>338</v>
      </c>
      <c r="DN454" s="1" t="s">
        <v>339</v>
      </c>
      <c r="DP454" s="1" t="s">
        <v>340</v>
      </c>
      <c r="DQ454" s="1" t="s">
        <v>1557</v>
      </c>
      <c r="DR454" s="1" t="s">
        <v>229</v>
      </c>
      <c r="DS454" s="1" t="s">
        <v>368</v>
      </c>
      <c r="DU454" s="1" t="s">
        <v>4354</v>
      </c>
      <c r="DV454" s="1" t="s">
        <v>6231</v>
      </c>
      <c r="DW454" s="1" t="s">
        <v>964</v>
      </c>
      <c r="DX454" s="1" t="s">
        <v>234</v>
      </c>
      <c r="DY454" s="1" t="s">
        <v>1958</v>
      </c>
      <c r="DZ454" s="1" t="s">
        <v>6232</v>
      </c>
      <c r="EA454" s="1" t="s">
        <v>683</v>
      </c>
      <c r="EB454" s="1" t="s">
        <v>937</v>
      </c>
      <c r="EC454" s="1" t="s">
        <v>685</v>
      </c>
      <c r="ED454" s="1" t="s">
        <v>407</v>
      </c>
      <c r="EE454" s="1" t="s">
        <v>493</v>
      </c>
      <c r="EG454" s="1" t="s">
        <v>598</v>
      </c>
      <c r="EH454" s="1" t="s">
        <v>1164</v>
      </c>
      <c r="EL454" s="1" t="s">
        <v>699</v>
      </c>
      <c r="EM454" s="1" t="s">
        <v>42</v>
      </c>
      <c r="EN454" s="1" t="s">
        <v>210</v>
      </c>
      <c r="EP454" s="1" t="s">
        <v>854</v>
      </c>
      <c r="EQ454" s="1" t="s">
        <v>206</v>
      </c>
      <c r="ER454" s="1" t="s">
        <v>210</v>
      </c>
      <c r="ES454" s="1" t="s">
        <v>239</v>
      </c>
      <c r="EU454" s="1" t="s">
        <v>238</v>
      </c>
      <c r="EY454" s="1" t="s">
        <v>238</v>
      </c>
      <c r="FC454" s="1" t="s">
        <v>238</v>
      </c>
      <c r="FF454" s="1" t="s">
        <v>239</v>
      </c>
      <c r="FG454" s="1" t="s">
        <v>192</v>
      </c>
      <c r="FH454" s="1" t="s">
        <v>192</v>
      </c>
      <c r="FJ454" s="1" t="s">
        <v>498</v>
      </c>
      <c r="FK454" s="1" t="s">
        <v>348</v>
      </c>
      <c r="FL454" s="1" t="s">
        <v>6233</v>
      </c>
      <c r="FM454" s="1">
        <v>7630.0</v>
      </c>
      <c r="FN454" s="1" t="s">
        <v>6234</v>
      </c>
      <c r="FO454" s="1" t="s">
        <v>6235</v>
      </c>
      <c r="FP454" s="1">
        <v>77883.0</v>
      </c>
      <c r="FQ454" s="1" t="s">
        <v>6236</v>
      </c>
      <c r="FS454" s="1" t="s">
        <v>6237</v>
      </c>
      <c r="FU454" s="1" t="s">
        <v>6238</v>
      </c>
      <c r="FV454" s="1" t="s">
        <v>200</v>
      </c>
      <c r="FW454" s="1" t="s">
        <v>2754</v>
      </c>
      <c r="FX454" s="1" t="s">
        <v>238</v>
      </c>
      <c r="FZ454" s="1" t="s">
        <v>229</v>
      </c>
      <c r="GA454" s="1" t="s">
        <v>291</v>
      </c>
      <c r="GB454" s="2">
        <v>42020.0</v>
      </c>
      <c r="GC454" s="1" t="s">
        <v>6239</v>
      </c>
    </row>
    <row r="455">
      <c r="A455" s="1">
        <v>287990.0</v>
      </c>
      <c r="B455" s="1" t="s">
        <v>185</v>
      </c>
      <c r="C455" s="1" t="str">
        <f>"08790091"</f>
        <v>08790091</v>
      </c>
      <c r="D455" s="1" t="s">
        <v>186</v>
      </c>
      <c r="F455" s="1" t="str">
        <f>"123"</f>
        <v>123</v>
      </c>
      <c r="G455" s="2">
        <v>41963.0</v>
      </c>
      <c r="H455" s="1">
        <v>294990.0</v>
      </c>
      <c r="I455" s="1">
        <v>84.0</v>
      </c>
      <c r="J455" s="1">
        <v>287990.0</v>
      </c>
      <c r="K455" s="2">
        <v>42046.0</v>
      </c>
      <c r="L455" s="1">
        <v>84.0</v>
      </c>
      <c r="M455" s="2">
        <v>42046.0</v>
      </c>
      <c r="N455" s="1" t="s">
        <v>187</v>
      </c>
      <c r="O455" s="2">
        <v>42086.0</v>
      </c>
      <c r="P455" s="1">
        <v>874772.0</v>
      </c>
      <c r="Q455" s="1">
        <v>85692.0</v>
      </c>
      <c r="S455" s="1">
        <v>216.0</v>
      </c>
      <c r="T455" s="1" t="s">
        <v>5322</v>
      </c>
      <c r="U455" s="1" t="s">
        <v>189</v>
      </c>
      <c r="V455" s="1" t="s">
        <v>465</v>
      </c>
      <c r="W455" s="1">
        <v>60124.0</v>
      </c>
      <c r="Y455" s="1" t="s">
        <v>6240</v>
      </c>
      <c r="Z455" s="1">
        <v>2014.0</v>
      </c>
      <c r="AA455" s="1" t="s">
        <v>200</v>
      </c>
      <c r="AB455" s="1" t="s">
        <v>467</v>
      </c>
      <c r="AC455" s="1" t="s">
        <v>3682</v>
      </c>
      <c r="AD455" s="1" t="s">
        <v>469</v>
      </c>
      <c r="AE455" s="1" t="s">
        <v>325</v>
      </c>
      <c r="AF455" s="1" t="s">
        <v>469</v>
      </c>
      <c r="AG455" s="1" t="s">
        <v>6241</v>
      </c>
      <c r="AH455" s="1" t="s">
        <v>5324</v>
      </c>
      <c r="AK455" s="1">
        <v>10.0</v>
      </c>
      <c r="AL455" s="1">
        <v>4.0</v>
      </c>
      <c r="AM455" s="1">
        <v>2.0</v>
      </c>
      <c r="AN455" s="1">
        <v>1.0</v>
      </c>
      <c r="AO455" s="1" t="s">
        <v>198</v>
      </c>
      <c r="AP455" s="1">
        <v>0.0</v>
      </c>
      <c r="AQ455" s="1" t="s">
        <v>198</v>
      </c>
      <c r="AR455" s="1" t="s">
        <v>200</v>
      </c>
      <c r="AS455" s="1" t="s">
        <v>199</v>
      </c>
      <c r="AT455" s="1">
        <v>2.0</v>
      </c>
      <c r="AV455" s="1" t="s">
        <v>200</v>
      </c>
      <c r="AW455" s="1" t="s">
        <v>575</v>
      </c>
      <c r="AX455" s="1">
        <v>2013.0</v>
      </c>
      <c r="AZ455" s="1" t="s">
        <v>200</v>
      </c>
      <c r="BA455" s="1" t="str">
        <f>"0618451004"</f>
        <v>0618451004</v>
      </c>
      <c r="BC455" s="1">
        <v>2565.0</v>
      </c>
      <c r="BD455" s="1">
        <v>287990.0</v>
      </c>
      <c r="BE455" s="2">
        <v>41963.0</v>
      </c>
      <c r="BF455" s="2" t="s">
        <v>6242</v>
      </c>
      <c r="BG455" s="1" t="s">
        <v>3686</v>
      </c>
      <c r="BH455" s="1">
        <v>25.0</v>
      </c>
      <c r="BI455" s="1" t="s">
        <v>578</v>
      </c>
      <c r="BJ455" s="1" t="s">
        <v>579</v>
      </c>
      <c r="BK455" s="1" t="s">
        <v>474</v>
      </c>
      <c r="BL455" s="1" t="str">
        <f t="shared" ref="BL455:BM455" si="303">""</f>
        <v/>
      </c>
      <c r="BM455" s="1" t="str">
        <f t="shared" si="303"/>
        <v/>
      </c>
      <c r="BQ455" s="1">
        <v>301.0</v>
      </c>
      <c r="BR455" s="1">
        <v>301.0</v>
      </c>
      <c r="BS455" s="1">
        <v>301.0</v>
      </c>
      <c r="BU455" s="1" t="s">
        <v>478</v>
      </c>
      <c r="BV455" s="1" t="s">
        <v>206</v>
      </c>
      <c r="BW455" s="1" t="s">
        <v>210</v>
      </c>
      <c r="BY455" s="1" t="s">
        <v>1426</v>
      </c>
      <c r="BZ455" s="1" t="s">
        <v>209</v>
      </c>
      <c r="CA455" s="1" t="s">
        <v>210</v>
      </c>
      <c r="CC455" s="1" t="s">
        <v>332</v>
      </c>
      <c r="CD455" s="1" t="s">
        <v>206</v>
      </c>
      <c r="CE455" s="1" t="s">
        <v>210</v>
      </c>
      <c r="CG455" s="1" t="s">
        <v>212</v>
      </c>
      <c r="CH455" s="1" t="s">
        <v>209</v>
      </c>
      <c r="CI455" s="1" t="s">
        <v>210</v>
      </c>
      <c r="CK455" s="1" t="s">
        <v>212</v>
      </c>
      <c r="CL455" s="1" t="s">
        <v>209</v>
      </c>
      <c r="CM455" s="1" t="s">
        <v>210</v>
      </c>
      <c r="CO455" s="1" t="s">
        <v>478</v>
      </c>
      <c r="CP455" s="1" t="s">
        <v>209</v>
      </c>
      <c r="CQ455" s="1" t="s">
        <v>210</v>
      </c>
      <c r="CS455" s="1" t="s">
        <v>215</v>
      </c>
      <c r="CT455" s="1" t="s">
        <v>206</v>
      </c>
      <c r="CU455" s="1" t="s">
        <v>588</v>
      </c>
      <c r="CW455" s="1" t="s">
        <v>782</v>
      </c>
      <c r="CX455" s="1" t="s">
        <v>206</v>
      </c>
      <c r="CY455" s="1" t="s">
        <v>588</v>
      </c>
      <c r="DA455" s="1" t="s">
        <v>192</v>
      </c>
      <c r="DB455" s="2">
        <v>41985.0</v>
      </c>
      <c r="DC455" s="1" t="s">
        <v>1353</v>
      </c>
      <c r="DD455" s="1" t="s">
        <v>786</v>
      </c>
      <c r="DE455" s="1" t="s">
        <v>273</v>
      </c>
      <c r="DF455" s="1" t="s">
        <v>619</v>
      </c>
      <c r="DG455" s="1" t="s">
        <v>6243</v>
      </c>
      <c r="DH455" s="1" t="s">
        <v>220</v>
      </c>
      <c r="DI455" s="1" t="s">
        <v>589</v>
      </c>
      <c r="DJ455" s="1" t="s">
        <v>222</v>
      </c>
      <c r="DK455" s="1" t="s">
        <v>223</v>
      </c>
      <c r="DL455" s="1" t="s">
        <v>484</v>
      </c>
      <c r="DM455" s="1" t="s">
        <v>1143</v>
      </c>
      <c r="DN455" s="1" t="s">
        <v>485</v>
      </c>
      <c r="DO455" s="1" t="s">
        <v>486</v>
      </c>
      <c r="DP455" s="1" t="s">
        <v>340</v>
      </c>
      <c r="DQ455" s="1" t="s">
        <v>228</v>
      </c>
      <c r="DR455" s="1" t="s">
        <v>1185</v>
      </c>
      <c r="DS455" s="1" t="s">
        <v>591</v>
      </c>
      <c r="DT455" s="1" t="s">
        <v>6244</v>
      </c>
      <c r="DU455" s="1" t="s">
        <v>5330</v>
      </c>
      <c r="DV455" s="1" t="s">
        <v>2381</v>
      </c>
      <c r="DW455" s="1" t="s">
        <v>5332</v>
      </c>
      <c r="DX455" s="1" t="s">
        <v>234</v>
      </c>
      <c r="DY455" s="1" t="s">
        <v>3075</v>
      </c>
      <c r="DZ455" s="1" t="s">
        <v>405</v>
      </c>
      <c r="EA455" s="1" t="s">
        <v>1326</v>
      </c>
      <c r="EC455" s="1" t="s">
        <v>237</v>
      </c>
      <c r="ED455" s="1" t="s">
        <v>1794</v>
      </c>
      <c r="EE455" s="1" t="s">
        <v>493</v>
      </c>
      <c r="EG455" s="1" t="s">
        <v>556</v>
      </c>
      <c r="EH455" s="1" t="s">
        <v>494</v>
      </c>
      <c r="EL455" s="1" t="s">
        <v>1760</v>
      </c>
      <c r="EM455" s="1" t="s">
        <v>206</v>
      </c>
      <c r="EN455" s="1" t="s">
        <v>588</v>
      </c>
      <c r="EP455" s="1" t="s">
        <v>1417</v>
      </c>
      <c r="EQ455" s="1" t="s">
        <v>206</v>
      </c>
      <c r="ER455" s="1" t="s">
        <v>588</v>
      </c>
      <c r="EU455" s="1" t="s">
        <v>238</v>
      </c>
      <c r="EY455" s="1" t="s">
        <v>238</v>
      </c>
      <c r="FC455" s="1" t="s">
        <v>238</v>
      </c>
      <c r="FF455" s="1" t="s">
        <v>2447</v>
      </c>
      <c r="FG455" s="1" t="s">
        <v>192</v>
      </c>
      <c r="FH455" s="1" t="s">
        <v>192</v>
      </c>
      <c r="FJ455" s="1" t="s">
        <v>6245</v>
      </c>
      <c r="FK455" s="1" t="s">
        <v>229</v>
      </c>
      <c r="FL455" s="1" t="s">
        <v>2448</v>
      </c>
      <c r="FM455" s="1">
        <v>92038.0</v>
      </c>
      <c r="FN455" s="1" t="s">
        <v>2449</v>
      </c>
      <c r="FO455" s="1" t="s">
        <v>2450</v>
      </c>
      <c r="FP455" s="1">
        <v>21137.0</v>
      </c>
      <c r="FQ455" s="1" t="s">
        <v>2451</v>
      </c>
      <c r="FT455" s="1" t="s">
        <v>6246</v>
      </c>
      <c r="FU455" s="1" t="s">
        <v>6247</v>
      </c>
      <c r="FV455" s="1" t="s">
        <v>200</v>
      </c>
      <c r="FW455" s="1" t="s">
        <v>2453</v>
      </c>
      <c r="FZ455" s="1" t="s">
        <v>229</v>
      </c>
      <c r="GA455" s="1" t="s">
        <v>291</v>
      </c>
      <c r="GB455" s="2">
        <v>42093.0</v>
      </c>
      <c r="GC455" s="1" t="s">
        <v>6248</v>
      </c>
    </row>
    <row r="456">
      <c r="A456" s="1">
        <v>190000.0</v>
      </c>
      <c r="B456" s="1" t="s">
        <v>185</v>
      </c>
      <c r="C456" s="1" t="str">
        <f>"08788904"</f>
        <v>08788904</v>
      </c>
      <c r="D456" s="1" t="s">
        <v>186</v>
      </c>
      <c r="F456" s="1" t="str">
        <f>"8045"</f>
        <v>8045</v>
      </c>
      <c r="G456" s="2">
        <v>41961.0</v>
      </c>
      <c r="H456" s="1">
        <v>192500.0</v>
      </c>
      <c r="I456" s="1">
        <v>4.0</v>
      </c>
      <c r="J456" s="1">
        <v>192500.0</v>
      </c>
      <c r="K456" s="2">
        <v>41961.0</v>
      </c>
      <c r="L456" s="1">
        <v>4.0</v>
      </c>
      <c r="M456" s="2">
        <v>41961.0</v>
      </c>
      <c r="N456" s="1" t="s">
        <v>356</v>
      </c>
      <c r="O456" s="2">
        <v>42004.0</v>
      </c>
      <c r="P456" s="1">
        <v>86206.0</v>
      </c>
      <c r="Q456" s="1">
        <v>8654.0</v>
      </c>
      <c r="R456" s="1">
        <v>5000.0</v>
      </c>
      <c r="S456" s="1">
        <v>7830.0</v>
      </c>
      <c r="T456" s="1" t="s">
        <v>3014</v>
      </c>
      <c r="U456" s="1" t="s">
        <v>189</v>
      </c>
      <c r="V456" s="1" t="s">
        <v>190</v>
      </c>
      <c r="W456" s="1">
        <v>60619.0</v>
      </c>
      <c r="Y456" s="1" t="s">
        <v>6249</v>
      </c>
      <c r="Z456" s="1">
        <v>1920.0</v>
      </c>
      <c r="AA456" s="1" t="s">
        <v>192</v>
      </c>
      <c r="AB456" s="1" t="s">
        <v>193</v>
      </c>
      <c r="AD456" s="1" t="s">
        <v>194</v>
      </c>
      <c r="AE456" s="1" t="s">
        <v>195</v>
      </c>
      <c r="AF456" s="1" t="s">
        <v>637</v>
      </c>
      <c r="AH456" s="1" t="s">
        <v>359</v>
      </c>
      <c r="AI456" s="1">
        <v>0.0932</v>
      </c>
      <c r="AK456" s="1">
        <v>8.0</v>
      </c>
      <c r="AL456" s="1">
        <v>3.0</v>
      </c>
      <c r="AM456" s="1">
        <v>3.0</v>
      </c>
      <c r="AN456" s="1">
        <v>0.0</v>
      </c>
      <c r="AO456" s="1" t="s">
        <v>198</v>
      </c>
      <c r="AP456" s="1">
        <v>1.0</v>
      </c>
      <c r="AQ456" s="1" t="s">
        <v>198</v>
      </c>
      <c r="AR456" s="1" t="s">
        <v>192</v>
      </c>
      <c r="AS456" s="1" t="s">
        <v>199</v>
      </c>
      <c r="AT456" s="1">
        <v>2.0</v>
      </c>
      <c r="AV456" s="1" t="s">
        <v>200</v>
      </c>
      <c r="AW456" s="1">
        <v>32.0</v>
      </c>
      <c r="AX456" s="1">
        <v>2013.0</v>
      </c>
      <c r="AY456" s="1" t="s">
        <v>1917</v>
      </c>
      <c r="AZ456" s="1" t="s">
        <v>200</v>
      </c>
      <c r="BA456" s="1" t="str">
        <f>"20264240300000"</f>
        <v>20264240300000</v>
      </c>
      <c r="BB456" s="1" t="s">
        <v>200</v>
      </c>
      <c r="BC456" s="1">
        <v>1437.0</v>
      </c>
      <c r="BD456" s="1">
        <v>190000.0</v>
      </c>
      <c r="BE456" s="2">
        <v>41958.0</v>
      </c>
      <c r="BF456" s="2" t="s">
        <v>6250</v>
      </c>
      <c r="BH456" s="1">
        <v>0.0</v>
      </c>
      <c r="BK456" s="1" t="s">
        <v>204</v>
      </c>
      <c r="BL456" s="1" t="str">
        <f t="shared" ref="BL456:BL457" si="304">"0"</f>
        <v>0</v>
      </c>
      <c r="BM456" s="1" t="str">
        <f>"1300"</f>
        <v>1300</v>
      </c>
      <c r="BN456" s="1">
        <v>0.0</v>
      </c>
      <c r="BO456" s="1">
        <v>7830.0</v>
      </c>
      <c r="BQ456" s="1">
        <v>299.0</v>
      </c>
      <c r="BR456" s="1">
        <v>299.0</v>
      </c>
      <c r="BS456" s="1">
        <v>299.0</v>
      </c>
      <c r="BU456" s="1" t="s">
        <v>211</v>
      </c>
      <c r="BV456" s="1" t="s">
        <v>206</v>
      </c>
      <c r="BW456" s="1" t="s">
        <v>207</v>
      </c>
      <c r="BX456" s="1" t="s">
        <v>229</v>
      </c>
      <c r="BY456" s="1" t="s">
        <v>205</v>
      </c>
      <c r="BZ456" s="1" t="s">
        <v>209</v>
      </c>
      <c r="CA456" s="1" t="s">
        <v>210</v>
      </c>
      <c r="CC456" s="1" t="s">
        <v>1852</v>
      </c>
      <c r="CD456" s="1" t="s">
        <v>206</v>
      </c>
      <c r="CE456" s="1" t="s">
        <v>207</v>
      </c>
      <c r="CG456" s="1" t="s">
        <v>497</v>
      </c>
      <c r="CH456" s="1" t="s">
        <v>206</v>
      </c>
      <c r="CI456" s="1" t="s">
        <v>207</v>
      </c>
      <c r="CK456" s="1" t="s">
        <v>269</v>
      </c>
      <c r="CL456" s="1" t="s">
        <v>206</v>
      </c>
      <c r="CM456" s="1" t="s">
        <v>207</v>
      </c>
      <c r="CO456" s="1" t="s">
        <v>269</v>
      </c>
      <c r="CP456" s="1" t="s">
        <v>42</v>
      </c>
      <c r="CQ456" s="1" t="s">
        <v>268</v>
      </c>
      <c r="CS456" s="1" t="s">
        <v>264</v>
      </c>
      <c r="CT456" s="1" t="s">
        <v>206</v>
      </c>
      <c r="CU456" s="1" t="s">
        <v>268</v>
      </c>
      <c r="CW456" s="1" t="s">
        <v>2861</v>
      </c>
      <c r="CX456" s="1" t="s">
        <v>42</v>
      </c>
      <c r="CY456" s="1" t="s">
        <v>268</v>
      </c>
      <c r="DA456" s="1" t="s">
        <v>200</v>
      </c>
      <c r="DC456" s="1" t="s">
        <v>216</v>
      </c>
      <c r="DD456" s="1" t="s">
        <v>306</v>
      </c>
      <c r="DE456" s="1" t="s">
        <v>273</v>
      </c>
      <c r="DF456" s="1" t="s">
        <v>619</v>
      </c>
      <c r="DH456" s="1" t="s">
        <v>365</v>
      </c>
      <c r="DI456" s="1" t="s">
        <v>308</v>
      </c>
      <c r="DJ456" s="1" t="s">
        <v>222</v>
      </c>
      <c r="DK456" s="1" t="s">
        <v>224</v>
      </c>
      <c r="DL456" s="1" t="s">
        <v>224</v>
      </c>
      <c r="DM456" s="1" t="s">
        <v>229</v>
      </c>
      <c r="DN456" s="1" t="s">
        <v>6251</v>
      </c>
      <c r="DP456" s="1" t="s">
        <v>276</v>
      </c>
      <c r="DQ456" s="1" t="s">
        <v>228</v>
      </c>
      <c r="DR456" s="1" t="s">
        <v>229</v>
      </c>
      <c r="DS456" s="1" t="s">
        <v>277</v>
      </c>
      <c r="DV456" s="1" t="s">
        <v>232</v>
      </c>
      <c r="DW456" s="1" t="s">
        <v>279</v>
      </c>
      <c r="DX456" s="1" t="s">
        <v>234</v>
      </c>
      <c r="DY456" s="1" t="s">
        <v>1371</v>
      </c>
      <c r="EA456" s="1" t="s">
        <v>644</v>
      </c>
      <c r="EB456" s="1" t="s">
        <v>797</v>
      </c>
      <c r="EC456" s="1" t="s">
        <v>645</v>
      </c>
      <c r="ED456" s="1" t="s">
        <v>555</v>
      </c>
      <c r="EM456" s="1" t="s">
        <v>238</v>
      </c>
      <c r="EQ456" s="1" t="s">
        <v>238</v>
      </c>
      <c r="EU456" s="1" t="s">
        <v>238</v>
      </c>
      <c r="EY456" s="1" t="s">
        <v>238</v>
      </c>
      <c r="FC456" s="1" t="s">
        <v>238</v>
      </c>
      <c r="FF456" s="1" t="s">
        <v>239</v>
      </c>
      <c r="FG456" s="1" t="s">
        <v>192</v>
      </c>
      <c r="FH456" s="1" t="s">
        <v>192</v>
      </c>
      <c r="FJ456" s="1" t="s">
        <v>524</v>
      </c>
      <c r="FK456" s="1" t="s">
        <v>229</v>
      </c>
      <c r="FL456" s="1" t="s">
        <v>3787</v>
      </c>
      <c r="FM456" s="1">
        <v>8654.0</v>
      </c>
      <c r="FN456" s="1" t="s">
        <v>3788</v>
      </c>
      <c r="FO456" s="1" t="s">
        <v>3789</v>
      </c>
      <c r="FP456" s="1">
        <v>86206.0</v>
      </c>
      <c r="FQ456" s="1" t="s">
        <v>3788</v>
      </c>
      <c r="FU456" s="1" t="s">
        <v>6252</v>
      </c>
      <c r="FV456" s="1" t="s">
        <v>200</v>
      </c>
      <c r="FW456" s="1" t="s">
        <v>290</v>
      </c>
      <c r="FX456" s="1" t="s">
        <v>655</v>
      </c>
      <c r="FZ456" s="1" t="s">
        <v>229</v>
      </c>
      <c r="GA456" s="1" t="s">
        <v>291</v>
      </c>
      <c r="GB456" s="2">
        <v>42004.0</v>
      </c>
    </row>
    <row r="457">
      <c r="A457" s="1">
        <v>180000.0</v>
      </c>
      <c r="B457" s="1" t="s">
        <v>185</v>
      </c>
      <c r="C457" s="1" t="str">
        <f>"08788834"</f>
        <v>08788834</v>
      </c>
      <c r="D457" s="1" t="s">
        <v>186</v>
      </c>
      <c r="F457" s="1" t="str">
        <f>"8025"</f>
        <v>8025</v>
      </c>
      <c r="G457" s="2">
        <v>41961.0</v>
      </c>
      <c r="H457" s="1">
        <v>195000.0</v>
      </c>
      <c r="I457" s="1">
        <v>190.0</v>
      </c>
      <c r="J457" s="1">
        <v>185000.0</v>
      </c>
      <c r="K457" s="2">
        <v>41986.0</v>
      </c>
      <c r="L457" s="1">
        <v>27.0</v>
      </c>
      <c r="M457" s="2">
        <v>41986.0</v>
      </c>
      <c r="N457" s="1" t="s">
        <v>634</v>
      </c>
      <c r="O457" s="2">
        <v>42061.0</v>
      </c>
      <c r="P457" s="1">
        <v>901473.0</v>
      </c>
      <c r="Q457" s="1">
        <v>90871.0</v>
      </c>
      <c r="R457" s="1">
        <v>5400.0</v>
      </c>
      <c r="S457" s="1">
        <v>5555.0</v>
      </c>
      <c r="T457" s="1" t="s">
        <v>6253</v>
      </c>
      <c r="U457" s="1" t="s">
        <v>320</v>
      </c>
      <c r="V457" s="1" t="s">
        <v>190</v>
      </c>
      <c r="W457" s="1">
        <v>60644.0</v>
      </c>
      <c r="Y457" s="1" t="s">
        <v>6254</v>
      </c>
      <c r="Z457" s="1">
        <v>1898.0</v>
      </c>
      <c r="AA457" s="1" t="s">
        <v>192</v>
      </c>
      <c r="AB457" s="1" t="s">
        <v>193</v>
      </c>
      <c r="AD457" s="1" t="s">
        <v>194</v>
      </c>
      <c r="AE457" s="1" t="s">
        <v>195</v>
      </c>
      <c r="AF457" s="1" t="s">
        <v>827</v>
      </c>
      <c r="AH457" s="1" t="s">
        <v>6255</v>
      </c>
      <c r="AK457" s="1">
        <v>8.0</v>
      </c>
      <c r="AL457" s="1">
        <v>4.0</v>
      </c>
      <c r="AM457" s="1">
        <v>3.0</v>
      </c>
      <c r="AN457" s="1">
        <v>1.0</v>
      </c>
      <c r="AO457" s="1" t="s">
        <v>198</v>
      </c>
      <c r="AQ457" s="1" t="s">
        <v>198</v>
      </c>
      <c r="AR457" s="1" t="s">
        <v>192</v>
      </c>
      <c r="AS457" s="1" t="s">
        <v>199</v>
      </c>
      <c r="AT457" s="1">
        <v>3.0</v>
      </c>
      <c r="AV457" s="1" t="s">
        <v>200</v>
      </c>
      <c r="AW457" s="1">
        <v>2863.77</v>
      </c>
      <c r="AX457" s="1">
        <v>2013.0</v>
      </c>
      <c r="AY457" s="1" t="s">
        <v>229</v>
      </c>
      <c r="AZ457" s="1" t="s">
        <v>200</v>
      </c>
      <c r="BA457" s="1" t="str">
        <f>"16161030060000"</f>
        <v>16161030060000</v>
      </c>
      <c r="BC457" s="1">
        <v>2600.0</v>
      </c>
      <c r="BD457" s="1">
        <v>180000.0</v>
      </c>
      <c r="BE457" s="2">
        <v>41960.0</v>
      </c>
      <c r="BF457" s="1" t="s">
        <v>6256</v>
      </c>
      <c r="BH457" s="1">
        <v>0.0</v>
      </c>
      <c r="BK457" s="1" t="s">
        <v>204</v>
      </c>
      <c r="BL457" s="1" t="str">
        <f t="shared" si="304"/>
        <v>0</v>
      </c>
      <c r="BM457" s="1" t="str">
        <f t="shared" ref="BM457:BM458" si="305">"0"</f>
        <v>0</v>
      </c>
      <c r="BN457" s="1">
        <v>5555.0</v>
      </c>
      <c r="BO457" s="1">
        <v>100.0</v>
      </c>
      <c r="BQ457" s="1">
        <v>299.0</v>
      </c>
      <c r="BR457" s="1">
        <v>299.0</v>
      </c>
      <c r="BS457" s="1">
        <v>299.0</v>
      </c>
      <c r="BU457" s="1" t="s">
        <v>6257</v>
      </c>
      <c r="BV457" s="1" t="s">
        <v>206</v>
      </c>
      <c r="BW457" s="1" t="s">
        <v>207</v>
      </c>
      <c r="BY457" s="1" t="s">
        <v>6258</v>
      </c>
      <c r="BZ457" s="1" t="s">
        <v>209</v>
      </c>
      <c r="CA457" s="1" t="s">
        <v>207</v>
      </c>
      <c r="CC457" s="1" t="s">
        <v>542</v>
      </c>
      <c r="CD457" s="1" t="s">
        <v>206</v>
      </c>
      <c r="CE457" s="1" t="s">
        <v>207</v>
      </c>
      <c r="CG457" s="1" t="s">
        <v>1000</v>
      </c>
      <c r="CH457" s="1" t="s">
        <v>209</v>
      </c>
      <c r="CI457" s="1" t="s">
        <v>207</v>
      </c>
      <c r="CK457" s="1" t="s">
        <v>454</v>
      </c>
      <c r="CL457" s="1" t="s">
        <v>209</v>
      </c>
      <c r="CM457" s="1" t="s">
        <v>207</v>
      </c>
      <c r="CO457" s="1" t="s">
        <v>432</v>
      </c>
      <c r="CP457" s="1" t="s">
        <v>206</v>
      </c>
      <c r="CQ457" s="1" t="s">
        <v>207</v>
      </c>
      <c r="CS457" s="1" t="s">
        <v>2121</v>
      </c>
      <c r="CT457" s="1" t="s">
        <v>206</v>
      </c>
      <c r="CU457" s="1" t="s">
        <v>268</v>
      </c>
      <c r="CW457" s="1" t="s">
        <v>6259</v>
      </c>
      <c r="CX457" s="1" t="s">
        <v>42</v>
      </c>
      <c r="CY457" s="1" t="s">
        <v>268</v>
      </c>
      <c r="DA457" s="1" t="s">
        <v>200</v>
      </c>
      <c r="DC457" s="1" t="s">
        <v>642</v>
      </c>
      <c r="DD457" s="1" t="s">
        <v>6260</v>
      </c>
      <c r="DE457" s="1" t="s">
        <v>273</v>
      </c>
      <c r="DF457" s="1" t="s">
        <v>219</v>
      </c>
      <c r="DH457" s="1" t="s">
        <v>220</v>
      </c>
      <c r="DI457" s="1" t="s">
        <v>703</v>
      </c>
      <c r="DJ457" s="1" t="s">
        <v>222</v>
      </c>
      <c r="DL457" s="1" t="s">
        <v>1161</v>
      </c>
      <c r="DM457" s="1" t="s">
        <v>229</v>
      </c>
      <c r="DN457" s="1" t="s">
        <v>666</v>
      </c>
      <c r="DP457" s="1" t="s">
        <v>276</v>
      </c>
      <c r="DQ457" s="1" t="s">
        <v>228</v>
      </c>
      <c r="DR457" s="1" t="s">
        <v>229</v>
      </c>
      <c r="DV457" s="1" t="s">
        <v>232</v>
      </c>
      <c r="DW457" s="1" t="s">
        <v>233</v>
      </c>
      <c r="DX457" s="1" t="s">
        <v>234</v>
      </c>
      <c r="EC457" s="1" t="s">
        <v>237</v>
      </c>
      <c r="ED457" s="1" t="s">
        <v>555</v>
      </c>
      <c r="EM457" s="1" t="s">
        <v>238</v>
      </c>
      <c r="EQ457" s="1" t="s">
        <v>238</v>
      </c>
      <c r="EU457" s="1" t="s">
        <v>238</v>
      </c>
      <c r="EY457" s="1" t="s">
        <v>238</v>
      </c>
      <c r="FC457" s="1" t="s">
        <v>238</v>
      </c>
      <c r="FF457" s="1" t="s">
        <v>239</v>
      </c>
      <c r="FG457" s="1" t="s">
        <v>192</v>
      </c>
      <c r="FH457" s="1" t="s">
        <v>192</v>
      </c>
      <c r="FJ457" s="1" t="s">
        <v>412</v>
      </c>
      <c r="FK457" s="1" t="s">
        <v>229</v>
      </c>
      <c r="FL457" s="1" t="s">
        <v>6261</v>
      </c>
      <c r="FM457" s="1">
        <v>18505.0</v>
      </c>
      <c r="FN457" s="1" t="s">
        <v>6262</v>
      </c>
      <c r="FO457" s="1" t="s">
        <v>6263</v>
      </c>
      <c r="FP457" s="1">
        <v>173718.0</v>
      </c>
      <c r="FQ457" s="1" t="s">
        <v>6264</v>
      </c>
      <c r="FU457" s="1" t="s">
        <v>6265</v>
      </c>
      <c r="FV457" s="1" t="s">
        <v>200</v>
      </c>
      <c r="FW457" s="1" t="s">
        <v>290</v>
      </c>
      <c r="FX457" s="1" t="s">
        <v>246</v>
      </c>
      <c r="FZ457" s="1" t="s">
        <v>229</v>
      </c>
      <c r="GA457" s="1" t="s">
        <v>291</v>
      </c>
      <c r="GB457" s="2">
        <v>42061.0</v>
      </c>
      <c r="GC457" s="1" t="s">
        <v>6266</v>
      </c>
    </row>
    <row r="458">
      <c r="A458" s="1">
        <v>920000.0</v>
      </c>
      <c r="B458" s="1" t="s">
        <v>185</v>
      </c>
      <c r="C458" s="1" t="str">
        <f>"08794293"</f>
        <v>08794293</v>
      </c>
      <c r="D458" s="1" t="s">
        <v>186</v>
      </c>
      <c r="F458" s="1" t="str">
        <f>"8003"</f>
        <v>8003</v>
      </c>
      <c r="G458" s="2">
        <v>41974.0</v>
      </c>
      <c r="H458" s="1">
        <v>949000.0</v>
      </c>
      <c r="I458" s="1">
        <v>53.0</v>
      </c>
      <c r="J458" s="1">
        <v>949000.0</v>
      </c>
      <c r="K458" s="2">
        <v>42025.0</v>
      </c>
      <c r="L458" s="1">
        <v>53.0</v>
      </c>
      <c r="M458" s="2">
        <v>42025.0</v>
      </c>
      <c r="N458" s="1" t="s">
        <v>187</v>
      </c>
      <c r="O458" s="2">
        <v>42093.0</v>
      </c>
      <c r="P458" s="1">
        <v>163213.0</v>
      </c>
      <c r="Q458" s="1">
        <v>17670.0</v>
      </c>
      <c r="S458" s="1">
        <v>1714.5</v>
      </c>
      <c r="T458" s="1" t="s">
        <v>6267</v>
      </c>
      <c r="U458" s="1" t="s">
        <v>320</v>
      </c>
      <c r="V458" s="1" t="s">
        <v>190</v>
      </c>
      <c r="W458" s="1">
        <v>60640.0</v>
      </c>
      <c r="Y458" s="1" t="s">
        <v>6268</v>
      </c>
      <c r="Z458" s="1">
        <v>2000.0</v>
      </c>
      <c r="AA458" s="1" t="s">
        <v>200</v>
      </c>
      <c r="AB458" s="1" t="s">
        <v>193</v>
      </c>
      <c r="AD458" s="1" t="s">
        <v>194</v>
      </c>
      <c r="AE458" s="1" t="s">
        <v>195</v>
      </c>
      <c r="AF458" s="1" t="s">
        <v>534</v>
      </c>
      <c r="AH458" s="1" t="s">
        <v>741</v>
      </c>
      <c r="AK458" s="1">
        <v>9.0</v>
      </c>
      <c r="AL458" s="1">
        <v>3.0</v>
      </c>
      <c r="AM458" s="1">
        <v>3.0</v>
      </c>
      <c r="AN458" s="1">
        <v>1.0</v>
      </c>
      <c r="AO458" s="1" t="s">
        <v>198</v>
      </c>
      <c r="AP458" s="1">
        <v>2.0</v>
      </c>
      <c r="AQ458" s="1" t="s">
        <v>198</v>
      </c>
      <c r="AR458" s="1" t="s">
        <v>192</v>
      </c>
      <c r="AS458" s="1" t="s">
        <v>199</v>
      </c>
      <c r="AT458" s="1">
        <v>2.0</v>
      </c>
      <c r="AV458" s="1" t="s">
        <v>200</v>
      </c>
      <c r="AW458" s="1">
        <v>14926.35</v>
      </c>
      <c r="AX458" s="1">
        <v>2012.0</v>
      </c>
      <c r="AY458" s="1" t="s">
        <v>387</v>
      </c>
      <c r="AZ458" s="1" t="s">
        <v>200</v>
      </c>
      <c r="BA458" s="1" t="str">
        <f>"14074030450000"</f>
        <v>14074030450000</v>
      </c>
      <c r="BB458" s="1" t="s">
        <v>200</v>
      </c>
      <c r="BC458" s="1">
        <v>3900.0</v>
      </c>
      <c r="BD458" s="1">
        <v>920000.0</v>
      </c>
      <c r="BE458" s="2">
        <v>41973.0</v>
      </c>
      <c r="BF458" s="2" t="s">
        <v>6269</v>
      </c>
      <c r="BH458" s="1">
        <v>0.0</v>
      </c>
      <c r="BK458" s="1" t="s">
        <v>204</v>
      </c>
      <c r="BL458" s="1" t="str">
        <f>"5100"</f>
        <v>5100</v>
      </c>
      <c r="BM458" s="1" t="str">
        <f t="shared" si="305"/>
        <v>0</v>
      </c>
      <c r="BN458" s="1">
        <v>1714.0</v>
      </c>
      <c r="BO458" s="1">
        <v>0.0</v>
      </c>
      <c r="BQ458" s="1">
        <v>299.0</v>
      </c>
      <c r="BR458" s="1">
        <v>299.0</v>
      </c>
      <c r="BS458" s="1">
        <v>299.0</v>
      </c>
      <c r="BU458" s="1" t="s">
        <v>480</v>
      </c>
      <c r="BV458" s="1" t="s">
        <v>206</v>
      </c>
      <c r="BW458" s="1" t="s">
        <v>207</v>
      </c>
      <c r="BX458" s="1" t="s">
        <v>431</v>
      </c>
      <c r="BY458" s="1" t="s">
        <v>334</v>
      </c>
      <c r="BZ458" s="1" t="s">
        <v>209</v>
      </c>
      <c r="CA458" s="1" t="s">
        <v>207</v>
      </c>
      <c r="CB458" s="1" t="s">
        <v>1549</v>
      </c>
      <c r="CC458" s="1" t="s">
        <v>784</v>
      </c>
      <c r="CD458" s="1" t="s">
        <v>206</v>
      </c>
      <c r="CE458" s="1" t="s">
        <v>207</v>
      </c>
      <c r="CF458" s="1" t="s">
        <v>431</v>
      </c>
      <c r="CG458" s="1" t="s">
        <v>1426</v>
      </c>
      <c r="CH458" s="1" t="s">
        <v>209</v>
      </c>
      <c r="CI458" s="1" t="s">
        <v>207</v>
      </c>
      <c r="CJ458" s="1" t="s">
        <v>431</v>
      </c>
      <c r="CK458" s="1" t="s">
        <v>332</v>
      </c>
      <c r="CL458" s="1" t="s">
        <v>209</v>
      </c>
      <c r="CM458" s="1" t="s">
        <v>207</v>
      </c>
      <c r="CN458" s="1" t="s">
        <v>431</v>
      </c>
      <c r="CO458" s="1" t="s">
        <v>215</v>
      </c>
      <c r="CP458" s="1" t="s">
        <v>42</v>
      </c>
      <c r="CQ458" s="1" t="s">
        <v>210</v>
      </c>
      <c r="CR458" s="1" t="s">
        <v>229</v>
      </c>
      <c r="CS458" s="1" t="s">
        <v>260</v>
      </c>
      <c r="CT458" s="1" t="s">
        <v>206</v>
      </c>
      <c r="CU458" s="1" t="s">
        <v>207</v>
      </c>
      <c r="CW458" s="1" t="s">
        <v>782</v>
      </c>
      <c r="CX458" s="1" t="s">
        <v>206</v>
      </c>
      <c r="CY458" s="1" t="s">
        <v>207</v>
      </c>
      <c r="CZ458" s="1" t="s">
        <v>229</v>
      </c>
      <c r="DA458" s="1" t="s">
        <v>200</v>
      </c>
      <c r="DC458" s="1" t="s">
        <v>335</v>
      </c>
      <c r="DD458" s="1" t="s">
        <v>3874</v>
      </c>
      <c r="DE458" s="1" t="s">
        <v>273</v>
      </c>
      <c r="DF458" s="1" t="s">
        <v>619</v>
      </c>
      <c r="DH458" s="1" t="s">
        <v>365</v>
      </c>
      <c r="DI458" s="1" t="s">
        <v>5225</v>
      </c>
      <c r="DJ458" s="1" t="s">
        <v>222</v>
      </c>
      <c r="DL458" s="1" t="s">
        <v>224</v>
      </c>
      <c r="DM458" s="1" t="s">
        <v>229</v>
      </c>
      <c r="DP458" s="1" t="s">
        <v>340</v>
      </c>
      <c r="DQ458" s="1" t="s">
        <v>228</v>
      </c>
      <c r="DR458" s="1" t="s">
        <v>229</v>
      </c>
      <c r="DS458" s="1" t="s">
        <v>591</v>
      </c>
      <c r="DV458" s="1" t="s">
        <v>450</v>
      </c>
      <c r="DW458" s="1" t="s">
        <v>370</v>
      </c>
      <c r="DX458" s="1" t="s">
        <v>234</v>
      </c>
      <c r="EC458" s="1" t="s">
        <v>237</v>
      </c>
      <c r="EG458" s="1" t="s">
        <v>450</v>
      </c>
      <c r="EL458" s="1" t="s">
        <v>2130</v>
      </c>
      <c r="EM458" s="1" t="s">
        <v>42</v>
      </c>
      <c r="EQ458" s="1" t="s">
        <v>238</v>
      </c>
      <c r="EU458" s="1" t="s">
        <v>238</v>
      </c>
      <c r="EY458" s="1" t="s">
        <v>238</v>
      </c>
      <c r="FC458" s="1" t="s">
        <v>238</v>
      </c>
      <c r="FF458" s="1" t="s">
        <v>239</v>
      </c>
      <c r="FG458" s="1" t="s">
        <v>192</v>
      </c>
      <c r="FH458" s="1" t="s">
        <v>192</v>
      </c>
      <c r="FJ458" s="1" t="s">
        <v>733</v>
      </c>
      <c r="FK458" s="1" t="s">
        <v>229</v>
      </c>
      <c r="FL458" s="1" t="s">
        <v>974</v>
      </c>
      <c r="FM458" s="1">
        <v>85269.0</v>
      </c>
      <c r="FN458" s="1" t="s">
        <v>6270</v>
      </c>
      <c r="FO458" s="1" t="s">
        <v>6271</v>
      </c>
      <c r="FP458" s="1">
        <v>131252.0</v>
      </c>
      <c r="FQ458" s="1" t="s">
        <v>6272</v>
      </c>
      <c r="FU458" s="1" t="s">
        <v>1438</v>
      </c>
      <c r="FV458" s="1" t="s">
        <v>200</v>
      </c>
      <c r="FW458" s="1" t="s">
        <v>6273</v>
      </c>
      <c r="FX458" s="1" t="s">
        <v>246</v>
      </c>
      <c r="FZ458" s="1" t="s">
        <v>229</v>
      </c>
      <c r="GA458" s="1" t="s">
        <v>291</v>
      </c>
      <c r="GB458" s="2">
        <v>42094.0</v>
      </c>
      <c r="GC458" s="1" t="s">
        <v>6274</v>
      </c>
    </row>
    <row r="459">
      <c r="A459" s="1">
        <v>522000.0</v>
      </c>
      <c r="B459" s="1" t="s">
        <v>185</v>
      </c>
      <c r="C459" s="1" t="str">
        <f>"08794042"</f>
        <v>08794042</v>
      </c>
      <c r="D459" s="1" t="s">
        <v>186</v>
      </c>
      <c r="F459" s="1" t="str">
        <f>"8060"</f>
        <v>8060</v>
      </c>
      <c r="G459" s="2">
        <v>41973.0</v>
      </c>
      <c r="H459" s="1">
        <v>529500.0</v>
      </c>
      <c r="I459" s="1">
        <v>48.0</v>
      </c>
      <c r="J459" s="1">
        <v>529500.0</v>
      </c>
      <c r="K459" s="2">
        <v>42020.0</v>
      </c>
      <c r="L459" s="1">
        <v>48.0</v>
      </c>
      <c r="M459" s="2">
        <v>42020.0</v>
      </c>
      <c r="N459" s="1" t="s">
        <v>187</v>
      </c>
      <c r="O459" s="2">
        <v>42068.0</v>
      </c>
      <c r="P459" s="1">
        <v>108944.0</v>
      </c>
      <c r="Q459" s="1">
        <v>85774.0</v>
      </c>
      <c r="S459" s="1">
        <v>1225.0</v>
      </c>
      <c r="T459" s="1" t="s">
        <v>6275</v>
      </c>
      <c r="U459" s="1" t="s">
        <v>320</v>
      </c>
      <c r="V459" s="1" t="s">
        <v>190</v>
      </c>
      <c r="W459" s="1">
        <v>60608.0</v>
      </c>
      <c r="Y459" s="1" t="s">
        <v>6276</v>
      </c>
      <c r="Z459" s="1">
        <v>2003.0</v>
      </c>
      <c r="AA459" s="1" t="s">
        <v>200</v>
      </c>
      <c r="AB459" s="1" t="s">
        <v>467</v>
      </c>
      <c r="AD459" s="1" t="s">
        <v>194</v>
      </c>
      <c r="AE459" s="1" t="s">
        <v>195</v>
      </c>
      <c r="AF459" s="1" t="s">
        <v>1154</v>
      </c>
      <c r="AH459" s="1" t="s">
        <v>6277</v>
      </c>
      <c r="AK459" s="1">
        <v>9.0</v>
      </c>
      <c r="AL459" s="1">
        <v>4.0</v>
      </c>
      <c r="AM459" s="1">
        <v>3.0</v>
      </c>
      <c r="AN459" s="1">
        <v>1.0</v>
      </c>
      <c r="AO459" s="1" t="s">
        <v>198</v>
      </c>
      <c r="AP459" s="1">
        <v>0.0</v>
      </c>
      <c r="AQ459" s="1" t="s">
        <v>472</v>
      </c>
      <c r="AR459" s="1" t="s">
        <v>192</v>
      </c>
      <c r="AS459" s="1" t="s">
        <v>199</v>
      </c>
      <c r="AT459" s="1">
        <v>2.0</v>
      </c>
      <c r="AV459" s="1" t="s">
        <v>200</v>
      </c>
      <c r="AW459" s="1">
        <v>5553.0</v>
      </c>
      <c r="AX459" s="1">
        <v>2013.0</v>
      </c>
      <c r="AY459" s="1" t="s">
        <v>387</v>
      </c>
      <c r="AZ459" s="1" t="s">
        <v>200</v>
      </c>
      <c r="BA459" s="1" t="str">
        <f>"17321170130000"</f>
        <v>17321170130000</v>
      </c>
      <c r="BB459" s="1" t="s">
        <v>200</v>
      </c>
      <c r="BC459" s="1">
        <v>0.0</v>
      </c>
      <c r="BD459" s="1">
        <v>522000.0</v>
      </c>
      <c r="BE459" s="2">
        <v>41973.0</v>
      </c>
      <c r="BF459" s="2" t="s">
        <v>6278</v>
      </c>
      <c r="BG459" s="1" t="s">
        <v>6279</v>
      </c>
      <c r="BH459" s="1">
        <v>148.0</v>
      </c>
      <c r="BI459" s="1" t="s">
        <v>6279</v>
      </c>
      <c r="BJ459" s="1" t="s">
        <v>6280</v>
      </c>
      <c r="BK459" s="1" t="s">
        <v>474</v>
      </c>
      <c r="BL459" s="1" t="str">
        <f t="shared" ref="BL459:BM459" si="306">"0"</f>
        <v>0</v>
      </c>
      <c r="BM459" s="1" t="str">
        <f t="shared" si="306"/>
        <v>0</v>
      </c>
      <c r="BN459" s="1">
        <v>1225.0</v>
      </c>
      <c r="BO459" s="1">
        <v>3300.0</v>
      </c>
      <c r="BQ459" s="1">
        <v>299.0</v>
      </c>
      <c r="BR459" s="1">
        <v>299.0</v>
      </c>
      <c r="BS459" s="1">
        <v>299.0</v>
      </c>
      <c r="BU459" s="1" t="s">
        <v>3154</v>
      </c>
      <c r="BV459" s="1" t="s">
        <v>206</v>
      </c>
      <c r="BW459" s="1" t="s">
        <v>207</v>
      </c>
      <c r="BY459" s="1" t="s">
        <v>541</v>
      </c>
      <c r="BZ459" s="1" t="s">
        <v>209</v>
      </c>
      <c r="CA459" s="1" t="s">
        <v>210</v>
      </c>
      <c r="CC459" s="1" t="s">
        <v>542</v>
      </c>
      <c r="CD459" s="1" t="s">
        <v>206</v>
      </c>
      <c r="CE459" s="1" t="s">
        <v>207</v>
      </c>
      <c r="CG459" s="1" t="s">
        <v>215</v>
      </c>
      <c r="CH459" s="1" t="s">
        <v>209</v>
      </c>
      <c r="CI459" s="1" t="s">
        <v>210</v>
      </c>
      <c r="CK459" s="1" t="s">
        <v>495</v>
      </c>
      <c r="CL459" s="1" t="s">
        <v>209</v>
      </c>
      <c r="CM459" s="1" t="s">
        <v>210</v>
      </c>
      <c r="CO459" s="1" t="s">
        <v>433</v>
      </c>
      <c r="CP459" s="1" t="s">
        <v>267</v>
      </c>
      <c r="CQ459" s="1" t="s">
        <v>210</v>
      </c>
      <c r="CS459" s="1" t="s">
        <v>361</v>
      </c>
      <c r="CT459" s="1" t="s">
        <v>206</v>
      </c>
      <c r="CU459" s="1" t="s">
        <v>207</v>
      </c>
      <c r="CW459" s="1" t="s">
        <v>664</v>
      </c>
      <c r="CX459" s="1" t="s">
        <v>206</v>
      </c>
      <c r="CY459" s="1" t="s">
        <v>207</v>
      </c>
      <c r="DA459" s="1" t="s">
        <v>200</v>
      </c>
      <c r="DC459" s="1" t="s">
        <v>335</v>
      </c>
      <c r="DD459" s="1" t="s">
        <v>1838</v>
      </c>
      <c r="DE459" s="1" t="s">
        <v>273</v>
      </c>
      <c r="DF459" s="1" t="s">
        <v>6281</v>
      </c>
      <c r="DG459" s="1" t="s">
        <v>2462</v>
      </c>
      <c r="DH459" s="1" t="s">
        <v>365</v>
      </c>
      <c r="DI459" s="1" t="s">
        <v>6282</v>
      </c>
      <c r="DJ459" s="1" t="s">
        <v>222</v>
      </c>
      <c r="DL459" s="1" t="s">
        <v>224</v>
      </c>
      <c r="DM459" s="1" t="s">
        <v>1464</v>
      </c>
      <c r="DN459" s="1" t="s">
        <v>399</v>
      </c>
      <c r="DO459" s="1" t="s">
        <v>717</v>
      </c>
      <c r="DP459" s="1" t="s">
        <v>276</v>
      </c>
      <c r="DQ459" s="1" t="s">
        <v>794</v>
      </c>
      <c r="DR459" s="1" t="s">
        <v>6283</v>
      </c>
      <c r="DS459" s="1" t="s">
        <v>230</v>
      </c>
      <c r="DU459" s="1" t="s">
        <v>6284</v>
      </c>
      <c r="DV459" s="1" t="s">
        <v>6285</v>
      </c>
      <c r="DW459" s="1" t="s">
        <v>3876</v>
      </c>
      <c r="DX459" s="1" t="s">
        <v>234</v>
      </c>
      <c r="DY459" s="1" t="s">
        <v>747</v>
      </c>
      <c r="DZ459" s="1" t="s">
        <v>2648</v>
      </c>
      <c r="EA459" s="1" t="s">
        <v>344</v>
      </c>
      <c r="EC459" s="1" t="s">
        <v>237</v>
      </c>
      <c r="ED459" s="1" t="s">
        <v>555</v>
      </c>
      <c r="EE459" s="1" t="s">
        <v>187</v>
      </c>
      <c r="EG459" s="1" t="s">
        <v>450</v>
      </c>
      <c r="EH459" s="1" t="s">
        <v>409</v>
      </c>
      <c r="EI459" s="1" t="s">
        <v>5618</v>
      </c>
      <c r="EJ459" s="1" t="s">
        <v>409</v>
      </c>
      <c r="EK459" s="1" t="s">
        <v>409</v>
      </c>
      <c r="EL459" s="1" t="s">
        <v>394</v>
      </c>
      <c r="EM459" s="1" t="s">
        <v>267</v>
      </c>
      <c r="EN459" s="1" t="s">
        <v>210</v>
      </c>
      <c r="EP459" s="1" t="s">
        <v>6286</v>
      </c>
      <c r="EQ459" s="1" t="s">
        <v>209</v>
      </c>
      <c r="ER459" s="1" t="s">
        <v>210</v>
      </c>
      <c r="ET459" s="1" t="s">
        <v>1992</v>
      </c>
      <c r="EU459" s="1" t="s">
        <v>206</v>
      </c>
      <c r="EV459" s="1" t="s">
        <v>2128</v>
      </c>
      <c r="EX459" s="1" t="s">
        <v>6286</v>
      </c>
      <c r="EY459" s="1" t="s">
        <v>209</v>
      </c>
      <c r="EZ459" s="1" t="s">
        <v>210</v>
      </c>
      <c r="FB459" s="1" t="s">
        <v>6287</v>
      </c>
      <c r="FC459" s="1" t="s">
        <v>267</v>
      </c>
      <c r="FD459" s="1" t="s">
        <v>210</v>
      </c>
      <c r="FF459" s="1" t="s">
        <v>239</v>
      </c>
      <c r="FG459" s="1" t="s">
        <v>192</v>
      </c>
      <c r="FH459" s="1" t="s">
        <v>192</v>
      </c>
      <c r="FJ459" s="1" t="s">
        <v>2285</v>
      </c>
      <c r="FK459" s="1" t="s">
        <v>229</v>
      </c>
      <c r="FL459" s="1" t="s">
        <v>974</v>
      </c>
      <c r="FM459" s="1">
        <v>10900.0</v>
      </c>
      <c r="FN459" s="1" t="s">
        <v>1435</v>
      </c>
      <c r="FO459" s="1" t="s">
        <v>6288</v>
      </c>
      <c r="FP459" s="1">
        <v>113690.0</v>
      </c>
      <c r="FQ459" s="1" t="s">
        <v>6289</v>
      </c>
      <c r="FU459" s="1" t="s">
        <v>6290</v>
      </c>
      <c r="FV459" s="1" t="s">
        <v>200</v>
      </c>
      <c r="FW459" s="1" t="s">
        <v>290</v>
      </c>
      <c r="FX459" s="1" t="s">
        <v>246</v>
      </c>
      <c r="FZ459" s="1" t="s">
        <v>229</v>
      </c>
      <c r="GA459" s="1" t="s">
        <v>291</v>
      </c>
      <c r="GB459" s="2">
        <v>42069.0</v>
      </c>
      <c r="GC459" s="1" t="s">
        <v>6291</v>
      </c>
    </row>
    <row r="460">
      <c r="A460" s="1">
        <v>155000.0</v>
      </c>
      <c r="B460" s="1" t="s">
        <v>185</v>
      </c>
      <c r="C460" s="1" t="str">
        <f>"08796915"</f>
        <v>08796915</v>
      </c>
      <c r="D460" s="1" t="s">
        <v>186</v>
      </c>
      <c r="F460" s="1" t="str">
        <f>"8044"</f>
        <v>8044</v>
      </c>
      <c r="G460" s="2">
        <v>41977.0</v>
      </c>
      <c r="H460" s="1">
        <v>154900.0</v>
      </c>
      <c r="I460" s="1">
        <v>12.0</v>
      </c>
      <c r="J460" s="1">
        <v>159900.0</v>
      </c>
      <c r="K460" s="2">
        <v>41988.0</v>
      </c>
      <c r="L460" s="1">
        <v>12.0</v>
      </c>
      <c r="M460" s="2">
        <v>41988.0</v>
      </c>
      <c r="N460" s="1" t="s">
        <v>356</v>
      </c>
      <c r="O460" s="2">
        <v>42059.0</v>
      </c>
      <c r="P460" s="1">
        <v>105854.0</v>
      </c>
      <c r="Q460" s="1">
        <v>85700.0</v>
      </c>
      <c r="R460" s="1">
        <v>4106.0</v>
      </c>
      <c r="S460" s="1">
        <v>8314.0</v>
      </c>
      <c r="T460" s="1" t="s">
        <v>6292</v>
      </c>
      <c r="U460" s="1" t="s">
        <v>189</v>
      </c>
      <c r="V460" s="1" t="s">
        <v>190</v>
      </c>
      <c r="W460" s="1">
        <v>60620.0</v>
      </c>
      <c r="Y460" s="1" t="s">
        <v>6293</v>
      </c>
      <c r="Z460" s="1">
        <v>1925.0</v>
      </c>
      <c r="AA460" s="1" t="s">
        <v>192</v>
      </c>
      <c r="AB460" s="1" t="s">
        <v>193</v>
      </c>
      <c r="AD460" s="1" t="s">
        <v>194</v>
      </c>
      <c r="AE460" s="1" t="s">
        <v>195</v>
      </c>
      <c r="AF460" s="1" t="s">
        <v>659</v>
      </c>
      <c r="AH460" s="1">
        <v>3720.0</v>
      </c>
      <c r="AI460" s="1">
        <v>0.0854</v>
      </c>
      <c r="AK460" s="1">
        <v>10.0</v>
      </c>
      <c r="AL460" s="1">
        <v>4.0</v>
      </c>
      <c r="AM460" s="1">
        <v>2.0</v>
      </c>
      <c r="AN460" s="1">
        <v>1.0</v>
      </c>
      <c r="AO460" s="1" t="s">
        <v>229</v>
      </c>
      <c r="AQ460" s="1" t="s">
        <v>198</v>
      </c>
      <c r="AR460" s="1" t="s">
        <v>192</v>
      </c>
      <c r="AS460" s="1" t="s">
        <v>828</v>
      </c>
      <c r="AU460" s="1">
        <v>2.0</v>
      </c>
      <c r="AV460" s="1" t="s">
        <v>200</v>
      </c>
      <c r="AW460" s="1">
        <v>2240.01</v>
      </c>
      <c r="AX460" s="1">
        <v>2012.0</v>
      </c>
      <c r="AZ460" s="1" t="s">
        <v>200</v>
      </c>
      <c r="BA460" s="1" t="str">
        <f>"20334030250000"</f>
        <v>20334030250000</v>
      </c>
      <c r="BC460" s="1">
        <v>1650.0</v>
      </c>
      <c r="BD460" s="1">
        <v>155000.0</v>
      </c>
      <c r="BE460" s="2">
        <v>41977.0</v>
      </c>
      <c r="BF460" s="2" t="s">
        <v>6294</v>
      </c>
      <c r="BH460" s="1">
        <v>0.0</v>
      </c>
      <c r="BK460" s="1" t="s">
        <v>204</v>
      </c>
      <c r="BL460" s="1" t="str">
        <f t="shared" ref="BL460:BM460" si="307">"0"</f>
        <v>0</v>
      </c>
      <c r="BM460" s="1" t="str">
        <f t="shared" si="307"/>
        <v>0</v>
      </c>
      <c r="BN460" s="1">
        <v>30.0</v>
      </c>
      <c r="BO460" s="1">
        <v>8314.0</v>
      </c>
      <c r="BQ460" s="1">
        <v>299.0</v>
      </c>
      <c r="BR460" s="1">
        <v>299.0</v>
      </c>
      <c r="BS460" s="1">
        <v>299.0</v>
      </c>
      <c r="BU460" s="1" t="s">
        <v>2713</v>
      </c>
      <c r="BV460" s="1" t="s">
        <v>206</v>
      </c>
      <c r="BW460" s="1" t="s">
        <v>207</v>
      </c>
      <c r="BY460" s="1" t="s">
        <v>663</v>
      </c>
      <c r="BZ460" s="1" t="s">
        <v>206</v>
      </c>
      <c r="CA460" s="1" t="s">
        <v>207</v>
      </c>
      <c r="CC460" s="1" t="s">
        <v>300</v>
      </c>
      <c r="CD460" s="1" t="s">
        <v>206</v>
      </c>
      <c r="CE460" s="1" t="s">
        <v>207</v>
      </c>
      <c r="CG460" s="1" t="s">
        <v>1068</v>
      </c>
      <c r="CH460" s="1" t="s">
        <v>209</v>
      </c>
      <c r="CI460" s="1" t="s">
        <v>210</v>
      </c>
      <c r="CK460" s="1" t="s">
        <v>302</v>
      </c>
      <c r="CL460" s="1" t="s">
        <v>209</v>
      </c>
      <c r="CM460" s="1" t="s">
        <v>210</v>
      </c>
      <c r="CO460" s="1" t="s">
        <v>478</v>
      </c>
      <c r="CP460" s="1" t="s">
        <v>209</v>
      </c>
      <c r="CQ460" s="1" t="s">
        <v>210</v>
      </c>
      <c r="CS460" s="1" t="s">
        <v>1329</v>
      </c>
      <c r="CT460" s="1" t="s">
        <v>206</v>
      </c>
      <c r="CU460" s="1" t="s">
        <v>268</v>
      </c>
      <c r="CX460" s="1" t="s">
        <v>204</v>
      </c>
      <c r="DA460" s="1" t="s">
        <v>200</v>
      </c>
      <c r="DC460" s="1" t="s">
        <v>785</v>
      </c>
      <c r="DE460" s="1" t="s">
        <v>273</v>
      </c>
      <c r="DF460" s="1" t="s">
        <v>219</v>
      </c>
      <c r="DH460" s="1" t="s">
        <v>220</v>
      </c>
      <c r="DI460" s="1" t="s">
        <v>732</v>
      </c>
      <c r="DJ460" s="1" t="s">
        <v>222</v>
      </c>
      <c r="DL460" s="1" t="s">
        <v>224</v>
      </c>
      <c r="DM460" s="1" t="s">
        <v>229</v>
      </c>
      <c r="DQ460" s="1" t="s">
        <v>228</v>
      </c>
      <c r="DR460" s="1" t="s">
        <v>229</v>
      </c>
      <c r="DU460" s="1" t="s">
        <v>962</v>
      </c>
      <c r="DV460" s="1" t="s">
        <v>6295</v>
      </c>
      <c r="DW460" s="1" t="s">
        <v>279</v>
      </c>
      <c r="DX460" s="1" t="s">
        <v>234</v>
      </c>
      <c r="DY460" s="1" t="s">
        <v>704</v>
      </c>
      <c r="EC460" s="1" t="s">
        <v>237</v>
      </c>
      <c r="EG460" s="1" t="s">
        <v>449</v>
      </c>
      <c r="EH460" s="1" t="s">
        <v>450</v>
      </c>
      <c r="EI460" s="1" t="s">
        <v>1491</v>
      </c>
      <c r="EL460" s="1" t="s">
        <v>1352</v>
      </c>
      <c r="EM460" s="1" t="s">
        <v>206</v>
      </c>
      <c r="EN460" s="1" t="s">
        <v>268</v>
      </c>
      <c r="EP460" s="1" t="s">
        <v>3307</v>
      </c>
      <c r="EQ460" s="1" t="s">
        <v>42</v>
      </c>
      <c r="ER460" s="1" t="s">
        <v>268</v>
      </c>
      <c r="ET460" s="1" t="s">
        <v>6296</v>
      </c>
      <c r="EU460" s="1" t="s">
        <v>42</v>
      </c>
      <c r="EV460" s="1" t="s">
        <v>268</v>
      </c>
      <c r="EY460" s="1" t="s">
        <v>238</v>
      </c>
      <c r="FC460" s="1" t="s">
        <v>238</v>
      </c>
      <c r="FF460" s="1" t="s">
        <v>239</v>
      </c>
      <c r="FG460" s="1" t="s">
        <v>200</v>
      </c>
      <c r="FH460" s="1" t="s">
        <v>192</v>
      </c>
      <c r="FJ460" s="1" t="s">
        <v>2156</v>
      </c>
      <c r="FK460" s="1" t="s">
        <v>229</v>
      </c>
      <c r="FL460" s="1" t="s">
        <v>3443</v>
      </c>
      <c r="FM460" s="1">
        <v>8658.0</v>
      </c>
      <c r="FN460" s="1" t="s">
        <v>3444</v>
      </c>
      <c r="FO460" s="1" t="s">
        <v>3445</v>
      </c>
      <c r="FP460" s="1">
        <v>84760.0</v>
      </c>
      <c r="FQ460" s="1" t="s">
        <v>3444</v>
      </c>
      <c r="FS460" s="1" t="s">
        <v>3446</v>
      </c>
      <c r="FU460" s="1" t="s">
        <v>6297</v>
      </c>
      <c r="FV460" s="1" t="s">
        <v>192</v>
      </c>
      <c r="FW460" s="1" t="s">
        <v>567</v>
      </c>
      <c r="FX460" s="1" t="s">
        <v>655</v>
      </c>
      <c r="FZ460" s="1" t="s">
        <v>229</v>
      </c>
      <c r="GA460" s="1" t="s">
        <v>291</v>
      </c>
      <c r="GB460" s="2">
        <v>42069.0</v>
      </c>
      <c r="GC460" s="1" t="s">
        <v>6298</v>
      </c>
    </row>
    <row r="461">
      <c r="A461" s="1">
        <v>233000.0</v>
      </c>
      <c r="B461" s="1" t="s">
        <v>185</v>
      </c>
      <c r="C461" s="1" t="str">
        <f>"08791508"</f>
        <v>08791508</v>
      </c>
      <c r="D461" s="1" t="s">
        <v>186</v>
      </c>
      <c r="F461" s="1" t="str">
        <f>"543"</f>
        <v>543</v>
      </c>
      <c r="G461" s="2">
        <v>41966.0</v>
      </c>
      <c r="H461" s="1">
        <v>240000.0</v>
      </c>
      <c r="I461" s="1">
        <v>57.0</v>
      </c>
      <c r="J461" s="1">
        <v>240000.0</v>
      </c>
      <c r="K461" s="2">
        <v>42022.0</v>
      </c>
      <c r="L461" s="1">
        <v>57.0</v>
      </c>
      <c r="M461" s="2">
        <v>42022.0</v>
      </c>
      <c r="N461" s="1" t="s">
        <v>187</v>
      </c>
      <c r="O461" s="2">
        <v>42062.0</v>
      </c>
      <c r="P461" s="1">
        <v>234304.0</v>
      </c>
      <c r="Q461" s="1">
        <v>23265.0</v>
      </c>
      <c r="S461" s="1">
        <v>606.0</v>
      </c>
      <c r="T461" s="1" t="s">
        <v>6299</v>
      </c>
      <c r="U461" s="1" t="s">
        <v>420</v>
      </c>
      <c r="V461" s="1" t="s">
        <v>1527</v>
      </c>
      <c r="W461" s="1">
        <v>60543.0</v>
      </c>
      <c r="Y461" s="1" t="s">
        <v>6300</v>
      </c>
      <c r="Z461" s="1">
        <v>2002.0</v>
      </c>
      <c r="AA461" s="1" t="s">
        <v>200</v>
      </c>
      <c r="AB461" s="1" t="s">
        <v>193</v>
      </c>
      <c r="AC461" s="1" t="s">
        <v>6301</v>
      </c>
      <c r="AD461" s="1" t="s">
        <v>1529</v>
      </c>
      <c r="AE461" s="1" t="s">
        <v>849</v>
      </c>
      <c r="AF461" s="1" t="s">
        <v>1529</v>
      </c>
      <c r="AG461" s="1" t="s">
        <v>6302</v>
      </c>
      <c r="AH461" s="1" t="s">
        <v>6303</v>
      </c>
      <c r="AI461" s="1">
        <v>0.3</v>
      </c>
      <c r="AK461" s="1">
        <v>10.0</v>
      </c>
      <c r="AL461" s="1">
        <v>4.0</v>
      </c>
      <c r="AM461" s="1">
        <v>2.0</v>
      </c>
      <c r="AN461" s="1">
        <v>1.0</v>
      </c>
      <c r="AO461" s="1" t="s">
        <v>198</v>
      </c>
      <c r="AP461" s="1">
        <v>1.0</v>
      </c>
      <c r="AQ461" s="1" t="s">
        <v>198</v>
      </c>
      <c r="AR461" s="1" t="s">
        <v>200</v>
      </c>
      <c r="AS461" s="1" t="s">
        <v>199</v>
      </c>
      <c r="AT461" s="1">
        <v>2.0</v>
      </c>
      <c r="AV461" s="1" t="s">
        <v>200</v>
      </c>
      <c r="AW461" s="1">
        <v>8090.52</v>
      </c>
      <c r="AX461" s="1">
        <v>2012.0</v>
      </c>
      <c r="AY461" s="1" t="s">
        <v>387</v>
      </c>
      <c r="AZ461" s="1" t="s">
        <v>200</v>
      </c>
      <c r="BA461" s="1" t="str">
        <f>"0318218018"</f>
        <v>0318218018</v>
      </c>
      <c r="BC461" s="1">
        <v>2900.0</v>
      </c>
      <c r="BD461" s="1">
        <v>233000.0</v>
      </c>
      <c r="BE461" s="2">
        <v>41966.0</v>
      </c>
      <c r="BF461" s="2" t="s">
        <v>6304</v>
      </c>
      <c r="BG461" s="1" t="s">
        <v>4985</v>
      </c>
      <c r="BH461" s="1">
        <v>250.0</v>
      </c>
      <c r="BI461" s="1" t="s">
        <v>1348</v>
      </c>
      <c r="BJ461" s="1" t="s">
        <v>1349</v>
      </c>
      <c r="BK461" s="1" t="s">
        <v>580</v>
      </c>
      <c r="BL461" s="1" t="str">
        <f t="shared" ref="BL461:BM461" si="308">""</f>
        <v/>
      </c>
      <c r="BM461" s="1" t="str">
        <f t="shared" si="308"/>
        <v/>
      </c>
      <c r="BQ461" s="1">
        <v>308.0</v>
      </c>
      <c r="BR461" s="1">
        <v>308.0</v>
      </c>
      <c r="BS461" s="1">
        <v>308.0</v>
      </c>
      <c r="BU461" s="1" t="s">
        <v>758</v>
      </c>
      <c r="BV461" s="1" t="s">
        <v>206</v>
      </c>
      <c r="BW461" s="1" t="s">
        <v>210</v>
      </c>
      <c r="BX461" s="1" t="s">
        <v>431</v>
      </c>
      <c r="BY461" s="1" t="s">
        <v>616</v>
      </c>
      <c r="BZ461" s="1" t="s">
        <v>209</v>
      </c>
      <c r="CA461" s="1" t="s">
        <v>210</v>
      </c>
      <c r="CB461" s="1" t="s">
        <v>431</v>
      </c>
      <c r="CC461" s="1" t="s">
        <v>215</v>
      </c>
      <c r="CD461" s="1" t="s">
        <v>206</v>
      </c>
      <c r="CE461" s="1" t="s">
        <v>210</v>
      </c>
      <c r="CF461" s="1" t="s">
        <v>431</v>
      </c>
      <c r="CG461" s="1" t="s">
        <v>331</v>
      </c>
      <c r="CH461" s="1" t="s">
        <v>209</v>
      </c>
      <c r="CI461" s="1" t="s">
        <v>210</v>
      </c>
      <c r="CJ461" s="1" t="s">
        <v>431</v>
      </c>
      <c r="CK461" s="1" t="s">
        <v>212</v>
      </c>
      <c r="CL461" s="1" t="s">
        <v>209</v>
      </c>
      <c r="CM461" s="1" t="s">
        <v>210</v>
      </c>
      <c r="CN461" s="1" t="s">
        <v>431</v>
      </c>
      <c r="CO461" s="1" t="s">
        <v>212</v>
      </c>
      <c r="CP461" s="1" t="s">
        <v>206</v>
      </c>
      <c r="CQ461" s="1" t="s">
        <v>210</v>
      </c>
      <c r="CR461" s="1" t="s">
        <v>1549</v>
      </c>
      <c r="CS461" s="1" t="s">
        <v>453</v>
      </c>
      <c r="CT461" s="1" t="s">
        <v>206</v>
      </c>
      <c r="CU461" s="1" t="s">
        <v>617</v>
      </c>
      <c r="CV461" s="1" t="s">
        <v>431</v>
      </c>
      <c r="CW461" s="1" t="s">
        <v>854</v>
      </c>
      <c r="CX461" s="1" t="s">
        <v>206</v>
      </c>
      <c r="CY461" s="1" t="s">
        <v>210</v>
      </c>
      <c r="CZ461" s="1" t="s">
        <v>431</v>
      </c>
      <c r="DA461" s="1" t="s">
        <v>200</v>
      </c>
      <c r="DC461" s="1" t="s">
        <v>335</v>
      </c>
      <c r="DD461" s="1" t="s">
        <v>336</v>
      </c>
      <c r="DE461" s="1" t="s">
        <v>273</v>
      </c>
      <c r="DF461" s="1" t="s">
        <v>619</v>
      </c>
      <c r="DG461" s="1" t="s">
        <v>482</v>
      </c>
      <c r="DH461" s="1" t="s">
        <v>220</v>
      </c>
      <c r="DI461" s="1" t="s">
        <v>221</v>
      </c>
      <c r="DJ461" s="1" t="s">
        <v>222</v>
      </c>
      <c r="DL461" s="1" t="s">
        <v>223</v>
      </c>
      <c r="DM461" s="1" t="s">
        <v>338</v>
      </c>
      <c r="DN461" s="1" t="s">
        <v>485</v>
      </c>
      <c r="DO461" s="1" t="s">
        <v>6305</v>
      </c>
      <c r="DP461" s="1" t="s">
        <v>340</v>
      </c>
      <c r="DQ461" s="1" t="s">
        <v>441</v>
      </c>
      <c r="DR461" s="1" t="s">
        <v>229</v>
      </c>
      <c r="DS461" s="1" t="s">
        <v>277</v>
      </c>
      <c r="DU461" s="1" t="s">
        <v>4274</v>
      </c>
      <c r="DV461" s="1" t="s">
        <v>6306</v>
      </c>
      <c r="DW461" s="1" t="s">
        <v>233</v>
      </c>
      <c r="DX461" s="1" t="s">
        <v>234</v>
      </c>
      <c r="DY461" s="1" t="s">
        <v>5456</v>
      </c>
      <c r="DZ461" s="1" t="s">
        <v>1405</v>
      </c>
      <c r="EA461" s="1" t="s">
        <v>344</v>
      </c>
      <c r="EB461" s="1" t="s">
        <v>684</v>
      </c>
      <c r="EC461" s="1" t="s">
        <v>237</v>
      </c>
      <c r="ED461" s="1" t="s">
        <v>407</v>
      </c>
      <c r="EE461" s="1" t="s">
        <v>493</v>
      </c>
      <c r="EG461" s="1" t="s">
        <v>1121</v>
      </c>
      <c r="EH461" s="1" t="s">
        <v>341</v>
      </c>
      <c r="EL461" s="1" t="s">
        <v>495</v>
      </c>
      <c r="EM461" s="1" t="s">
        <v>209</v>
      </c>
      <c r="EN461" s="1" t="s">
        <v>210</v>
      </c>
      <c r="EO461" s="1" t="s">
        <v>431</v>
      </c>
      <c r="EP461" s="1" t="s">
        <v>215</v>
      </c>
      <c r="EQ461" s="1" t="s">
        <v>209</v>
      </c>
      <c r="ER461" s="1" t="s">
        <v>210</v>
      </c>
      <c r="ES461" s="1" t="s">
        <v>431</v>
      </c>
      <c r="EU461" s="1" t="s">
        <v>238</v>
      </c>
      <c r="EY461" s="1" t="s">
        <v>238</v>
      </c>
      <c r="FC461" s="1" t="s">
        <v>238</v>
      </c>
      <c r="FF461" s="1" t="s">
        <v>239</v>
      </c>
      <c r="FG461" s="1" t="s">
        <v>192</v>
      </c>
      <c r="FH461" s="1" t="s">
        <v>192</v>
      </c>
      <c r="FJ461" s="1" t="s">
        <v>6307</v>
      </c>
      <c r="FK461" s="1" t="s">
        <v>229</v>
      </c>
      <c r="FL461" s="1" t="s">
        <v>866</v>
      </c>
      <c r="FM461" s="1">
        <v>23836.0</v>
      </c>
      <c r="FN461" s="1" t="s">
        <v>867</v>
      </c>
      <c r="FO461" s="1" t="s">
        <v>6308</v>
      </c>
      <c r="FP461" s="1">
        <v>235918.0</v>
      </c>
      <c r="FQ461" s="1" t="s">
        <v>6309</v>
      </c>
      <c r="FR461" s="1">
        <v>242660.0</v>
      </c>
      <c r="FU461" s="1" t="s">
        <v>6310</v>
      </c>
      <c r="FV461" s="1" t="s">
        <v>200</v>
      </c>
      <c r="FW461" s="1" t="s">
        <v>290</v>
      </c>
      <c r="FZ461" s="1" t="s">
        <v>2993</v>
      </c>
      <c r="GA461" s="1" t="s">
        <v>291</v>
      </c>
      <c r="GB461" s="2">
        <v>42062.0</v>
      </c>
      <c r="GC461" s="1" t="s">
        <v>6311</v>
      </c>
    </row>
    <row r="462">
      <c r="A462" s="1">
        <v>425000.0</v>
      </c>
      <c r="B462" s="1" t="s">
        <v>185</v>
      </c>
      <c r="C462" s="1" t="str">
        <f>"08791327"</f>
        <v>08791327</v>
      </c>
      <c r="D462" s="1" t="s">
        <v>186</v>
      </c>
      <c r="F462" s="1" t="str">
        <f>"134"</f>
        <v>134</v>
      </c>
      <c r="G462" s="2">
        <v>41965.0</v>
      </c>
      <c r="H462" s="1">
        <v>447000.0</v>
      </c>
      <c r="I462" s="1">
        <v>239.0</v>
      </c>
      <c r="J462" s="1">
        <v>447000.0</v>
      </c>
      <c r="K462" s="2">
        <v>42051.0</v>
      </c>
      <c r="L462" s="1">
        <v>87.0</v>
      </c>
      <c r="M462" s="2">
        <v>42051.0</v>
      </c>
      <c r="N462" s="1" t="s">
        <v>187</v>
      </c>
      <c r="O462" s="2">
        <v>42082.0</v>
      </c>
      <c r="P462" s="1">
        <v>920884.0</v>
      </c>
      <c r="Q462" s="1">
        <v>8079.0</v>
      </c>
      <c r="S462" s="1">
        <v>2234.0</v>
      </c>
      <c r="T462" s="1" t="s">
        <v>806</v>
      </c>
      <c r="U462" s="1" t="s">
        <v>420</v>
      </c>
      <c r="V462" s="1" t="s">
        <v>421</v>
      </c>
      <c r="W462" s="1">
        <v>60134.0</v>
      </c>
      <c r="Y462" s="1" t="s">
        <v>6312</v>
      </c>
      <c r="Z462" s="1">
        <v>1999.0</v>
      </c>
      <c r="AA462" s="1" t="s">
        <v>200</v>
      </c>
      <c r="AB462" s="1" t="s">
        <v>193</v>
      </c>
      <c r="AC462" s="1" t="s">
        <v>3521</v>
      </c>
      <c r="AD462" s="1" t="s">
        <v>424</v>
      </c>
      <c r="AE462" s="1" t="s">
        <v>325</v>
      </c>
      <c r="AF462" s="1" t="s">
        <v>424</v>
      </c>
      <c r="AH462" s="1" t="s">
        <v>6313</v>
      </c>
      <c r="AK462" s="1">
        <v>9.0</v>
      </c>
      <c r="AL462" s="1">
        <v>4.0</v>
      </c>
      <c r="AM462" s="1">
        <v>3.0</v>
      </c>
      <c r="AN462" s="1">
        <v>1.0</v>
      </c>
      <c r="AO462" s="1" t="s">
        <v>198</v>
      </c>
      <c r="AP462" s="1">
        <v>1.0</v>
      </c>
      <c r="AQ462" s="1" t="s">
        <v>198</v>
      </c>
      <c r="AR462" s="1" t="s">
        <v>200</v>
      </c>
      <c r="AS462" s="1" t="s">
        <v>199</v>
      </c>
      <c r="AT462" s="1">
        <v>3.0</v>
      </c>
      <c r="AV462" s="1" t="s">
        <v>200</v>
      </c>
      <c r="AW462" s="1">
        <v>14929.0</v>
      </c>
      <c r="AX462" s="1">
        <v>2013.0</v>
      </c>
      <c r="AY462" s="1" t="s">
        <v>387</v>
      </c>
      <c r="AZ462" s="1" t="s">
        <v>200</v>
      </c>
      <c r="BA462" s="1" t="str">
        <f>"1216127019"</f>
        <v>1216127019</v>
      </c>
      <c r="BB462" s="1" t="s">
        <v>200</v>
      </c>
      <c r="BC462" s="1">
        <v>3256.0</v>
      </c>
      <c r="BD462" s="1">
        <v>425000.0</v>
      </c>
      <c r="BE462" s="2">
        <v>41965.0</v>
      </c>
      <c r="BF462" s="2" t="s">
        <v>6314</v>
      </c>
      <c r="BG462" s="1" t="s">
        <v>3524</v>
      </c>
      <c r="BH462" s="1">
        <v>0.0</v>
      </c>
      <c r="BI462" s="1" t="s">
        <v>429</v>
      </c>
      <c r="BJ462" s="1" t="s">
        <v>430</v>
      </c>
      <c r="BK462" s="1" t="s">
        <v>204</v>
      </c>
      <c r="BL462" s="1" t="str">
        <f t="shared" ref="BL462:BM462" si="309">"0"</f>
        <v>0</v>
      </c>
      <c r="BM462" s="1" t="str">
        <f t="shared" si="309"/>
        <v>0</v>
      </c>
      <c r="BN462" s="1">
        <v>36.0</v>
      </c>
      <c r="BO462" s="1">
        <v>0.0</v>
      </c>
      <c r="BQ462" s="1">
        <v>304.0</v>
      </c>
      <c r="BR462" s="1">
        <v>304.0</v>
      </c>
      <c r="BS462" s="1">
        <v>304.0</v>
      </c>
      <c r="BU462" s="1" t="s">
        <v>1395</v>
      </c>
      <c r="BV462" s="1" t="s">
        <v>206</v>
      </c>
      <c r="BW462" s="1" t="s">
        <v>210</v>
      </c>
      <c r="BY462" s="1" t="s">
        <v>662</v>
      </c>
      <c r="BZ462" s="1" t="s">
        <v>209</v>
      </c>
      <c r="CA462" s="1" t="s">
        <v>210</v>
      </c>
      <c r="CC462" s="1" t="s">
        <v>1395</v>
      </c>
      <c r="CD462" s="1" t="s">
        <v>206</v>
      </c>
      <c r="CE462" s="1" t="s">
        <v>207</v>
      </c>
      <c r="CG462" s="1" t="s">
        <v>1395</v>
      </c>
      <c r="CH462" s="1" t="s">
        <v>209</v>
      </c>
      <c r="CI462" s="1" t="s">
        <v>210</v>
      </c>
      <c r="CK462" s="1" t="s">
        <v>478</v>
      </c>
      <c r="CL462" s="1" t="s">
        <v>209</v>
      </c>
      <c r="CM462" s="1" t="s">
        <v>210</v>
      </c>
      <c r="CO462" s="1" t="s">
        <v>478</v>
      </c>
      <c r="CP462" s="1" t="s">
        <v>209</v>
      </c>
      <c r="CQ462" s="1" t="s">
        <v>210</v>
      </c>
      <c r="CS462" s="1" t="s">
        <v>6315</v>
      </c>
      <c r="CT462" s="1" t="s">
        <v>206</v>
      </c>
      <c r="CU462" s="1" t="s">
        <v>207</v>
      </c>
      <c r="CW462" s="1" t="s">
        <v>6316</v>
      </c>
      <c r="CX462" s="1" t="s">
        <v>206</v>
      </c>
      <c r="CY462" s="1" t="s">
        <v>210</v>
      </c>
      <c r="DA462" s="1" t="s">
        <v>200</v>
      </c>
      <c r="DC462" s="1" t="s">
        <v>678</v>
      </c>
      <c r="DD462" s="1" t="s">
        <v>4023</v>
      </c>
      <c r="DE462" s="1" t="s">
        <v>273</v>
      </c>
      <c r="DF462" s="1" t="s">
        <v>219</v>
      </c>
      <c r="DG462" s="1" t="s">
        <v>482</v>
      </c>
      <c r="DH462" s="1" t="s">
        <v>220</v>
      </c>
      <c r="DI462" s="1" t="s">
        <v>1813</v>
      </c>
      <c r="DJ462" s="1" t="s">
        <v>222</v>
      </c>
      <c r="DK462" s="1" t="s">
        <v>198</v>
      </c>
      <c r="DL462" s="1" t="s">
        <v>223</v>
      </c>
      <c r="DM462" s="1" t="s">
        <v>929</v>
      </c>
      <c r="DN462" s="1" t="s">
        <v>399</v>
      </c>
      <c r="DO462" s="1" t="s">
        <v>6317</v>
      </c>
      <c r="DP462" s="1" t="s">
        <v>340</v>
      </c>
      <c r="DQ462" s="1" t="s">
        <v>441</v>
      </c>
      <c r="DR462" s="1" t="s">
        <v>229</v>
      </c>
      <c r="DS462" s="1" t="s">
        <v>591</v>
      </c>
      <c r="DU462" s="1" t="s">
        <v>6318</v>
      </c>
      <c r="DV462" s="1" t="s">
        <v>494</v>
      </c>
      <c r="DW462" s="1" t="s">
        <v>1957</v>
      </c>
      <c r="DX462" s="1" t="s">
        <v>234</v>
      </c>
      <c r="DY462" s="1" t="s">
        <v>490</v>
      </c>
      <c r="DZ462" s="1" t="s">
        <v>6319</v>
      </c>
      <c r="EA462" s="1" t="s">
        <v>344</v>
      </c>
      <c r="EB462" s="1" t="s">
        <v>1639</v>
      </c>
      <c r="EC462" s="1" t="s">
        <v>237</v>
      </c>
      <c r="ED462" s="1" t="s">
        <v>555</v>
      </c>
      <c r="EE462" s="1" t="s">
        <v>493</v>
      </c>
      <c r="EG462" s="1" t="s">
        <v>494</v>
      </c>
      <c r="EL462" s="1" t="s">
        <v>300</v>
      </c>
      <c r="EM462" s="1" t="s">
        <v>206</v>
      </c>
      <c r="EN462" s="1" t="s">
        <v>210</v>
      </c>
      <c r="EQ462" s="1" t="s">
        <v>238</v>
      </c>
      <c r="EU462" s="1" t="s">
        <v>238</v>
      </c>
      <c r="EY462" s="1" t="s">
        <v>238</v>
      </c>
      <c r="FC462" s="1" t="s">
        <v>238</v>
      </c>
      <c r="FF462" s="1" t="s">
        <v>239</v>
      </c>
      <c r="FG462" s="1" t="s">
        <v>192</v>
      </c>
      <c r="FH462" s="1" t="s">
        <v>192</v>
      </c>
      <c r="FJ462" s="1" t="s">
        <v>2206</v>
      </c>
      <c r="FK462" s="1" t="s">
        <v>229</v>
      </c>
      <c r="FL462" s="1" t="s">
        <v>3527</v>
      </c>
      <c r="FM462" s="1">
        <v>464.0</v>
      </c>
      <c r="FN462" s="1" t="s">
        <v>3528</v>
      </c>
      <c r="FO462" s="1" t="s">
        <v>3529</v>
      </c>
      <c r="FP462" s="1">
        <v>1333.0</v>
      </c>
      <c r="FQ462" s="1" t="s">
        <v>3530</v>
      </c>
      <c r="FR462" s="1">
        <v>624.0</v>
      </c>
      <c r="FS462" s="1" t="s">
        <v>3531</v>
      </c>
      <c r="FU462" s="1" t="s">
        <v>3532</v>
      </c>
      <c r="FV462" s="1" t="s">
        <v>200</v>
      </c>
      <c r="FW462" s="1" t="s">
        <v>567</v>
      </c>
      <c r="FZ462" s="1" t="s">
        <v>504</v>
      </c>
      <c r="GA462" s="1" t="s">
        <v>291</v>
      </c>
      <c r="GB462" s="2">
        <v>42083.0</v>
      </c>
    </row>
    <row r="463">
      <c r="A463" s="1">
        <v>2250.0</v>
      </c>
      <c r="B463" s="1" t="s">
        <v>185</v>
      </c>
      <c r="C463" s="1" t="str">
        <f>"08791334"</f>
        <v>08791334</v>
      </c>
      <c r="D463" s="1" t="s">
        <v>186</v>
      </c>
      <c r="F463" s="1" t="str">
        <f>"8061"</f>
        <v>8061</v>
      </c>
      <c r="G463" s="2">
        <v>41965.0</v>
      </c>
      <c r="H463" s="1">
        <v>12000.0</v>
      </c>
      <c r="I463" s="1">
        <v>35.0</v>
      </c>
      <c r="J463" s="1">
        <v>11000.0</v>
      </c>
      <c r="K463" s="2">
        <v>41999.0</v>
      </c>
      <c r="L463" s="1">
        <v>35.0</v>
      </c>
      <c r="M463" s="2">
        <v>41999.0</v>
      </c>
      <c r="N463" s="1" t="s">
        <v>249</v>
      </c>
      <c r="O463" s="2">
        <v>42034.0</v>
      </c>
      <c r="P463" s="1">
        <v>99999.0</v>
      </c>
      <c r="Q463" s="1" t="s">
        <v>947</v>
      </c>
      <c r="S463" s="1">
        <v>5345.0</v>
      </c>
      <c r="T463" s="1" t="s">
        <v>6320</v>
      </c>
      <c r="U463" s="1" t="s">
        <v>320</v>
      </c>
      <c r="V463" s="1" t="s">
        <v>190</v>
      </c>
      <c r="W463" s="1">
        <v>60609.0</v>
      </c>
      <c r="Y463" s="1" t="s">
        <v>6321</v>
      </c>
      <c r="Z463" s="1">
        <v>1870.0</v>
      </c>
      <c r="AA463" s="1" t="s">
        <v>192</v>
      </c>
      <c r="AB463" s="1" t="s">
        <v>193</v>
      </c>
      <c r="AD463" s="1" t="s">
        <v>194</v>
      </c>
      <c r="AE463" s="1" t="s">
        <v>195</v>
      </c>
      <c r="AF463" s="1" t="s">
        <v>1154</v>
      </c>
      <c r="AH463" s="1" t="s">
        <v>6322</v>
      </c>
      <c r="AI463" s="1">
        <v>0.1281</v>
      </c>
      <c r="AK463" s="1">
        <v>7.0</v>
      </c>
      <c r="AL463" s="1">
        <v>3.0</v>
      </c>
      <c r="AM463" s="1">
        <v>2.0</v>
      </c>
      <c r="AN463" s="1">
        <v>0.0</v>
      </c>
      <c r="AO463" s="1" t="s">
        <v>1261</v>
      </c>
      <c r="AQ463" s="1" t="s">
        <v>198</v>
      </c>
      <c r="AR463" s="1" t="s">
        <v>192</v>
      </c>
      <c r="AS463" s="1" t="s">
        <v>828</v>
      </c>
      <c r="AU463" s="1">
        <v>2.0</v>
      </c>
      <c r="AV463" s="1" t="s">
        <v>200</v>
      </c>
      <c r="AW463" s="1">
        <v>1793.18</v>
      </c>
      <c r="AX463" s="1">
        <v>2012.0</v>
      </c>
      <c r="AZ463" s="1" t="s">
        <v>545</v>
      </c>
      <c r="BA463" s="1" t="str">
        <f>"20084170180000"</f>
        <v>20084170180000</v>
      </c>
      <c r="BC463" s="1">
        <v>1633.0</v>
      </c>
      <c r="BD463" s="1">
        <v>2250.0</v>
      </c>
      <c r="BE463" s="2">
        <v>41965.0</v>
      </c>
      <c r="BF463" s="2" t="s">
        <v>6323</v>
      </c>
      <c r="BH463" s="1">
        <v>0.0</v>
      </c>
      <c r="BK463" s="1" t="s">
        <v>204</v>
      </c>
      <c r="BL463" s="1" t="str">
        <f t="shared" ref="BL463:BM463" si="310">"0"</f>
        <v>0</v>
      </c>
      <c r="BM463" s="1" t="str">
        <f t="shared" si="310"/>
        <v>0</v>
      </c>
      <c r="BN463" s="1">
        <v>1100.0</v>
      </c>
      <c r="BO463" s="1">
        <v>5345.0</v>
      </c>
      <c r="BQ463" s="1">
        <v>299.0</v>
      </c>
      <c r="BR463" s="1">
        <v>299.0</v>
      </c>
      <c r="BS463" s="1">
        <v>299.0</v>
      </c>
      <c r="BU463" s="1" t="s">
        <v>363</v>
      </c>
      <c r="BV463" s="1" t="s">
        <v>206</v>
      </c>
      <c r="BY463" s="1" t="s">
        <v>363</v>
      </c>
      <c r="BZ463" s="1" t="s">
        <v>206</v>
      </c>
      <c r="CC463" s="1" t="s">
        <v>478</v>
      </c>
      <c r="CD463" s="1" t="s">
        <v>206</v>
      </c>
      <c r="CG463" s="1" t="s">
        <v>212</v>
      </c>
      <c r="CH463" s="1" t="s">
        <v>206</v>
      </c>
      <c r="CK463" s="1" t="s">
        <v>363</v>
      </c>
      <c r="CL463" s="1" t="s">
        <v>209</v>
      </c>
      <c r="CO463" s="1" t="s">
        <v>332</v>
      </c>
      <c r="CP463" s="1" t="s">
        <v>42</v>
      </c>
      <c r="CS463" s="1" t="s">
        <v>215</v>
      </c>
      <c r="CT463" s="1" t="s">
        <v>206</v>
      </c>
      <c r="CX463" s="1" t="s">
        <v>204</v>
      </c>
      <c r="DA463" s="1" t="s">
        <v>200</v>
      </c>
      <c r="DC463" s="1" t="s">
        <v>642</v>
      </c>
      <c r="DE463" s="1" t="s">
        <v>229</v>
      </c>
      <c r="DF463" s="1" t="s">
        <v>619</v>
      </c>
      <c r="DH463" s="1" t="s">
        <v>220</v>
      </c>
      <c r="DJ463" s="1" t="s">
        <v>222</v>
      </c>
      <c r="DL463" s="1" t="s">
        <v>223</v>
      </c>
      <c r="DM463" s="1" t="s">
        <v>229</v>
      </c>
      <c r="DQ463" s="1" t="s">
        <v>228</v>
      </c>
      <c r="DR463" s="1" t="s">
        <v>229</v>
      </c>
      <c r="DV463" s="1" t="s">
        <v>232</v>
      </c>
      <c r="DW463" s="1" t="s">
        <v>667</v>
      </c>
      <c r="DX463" s="1" t="s">
        <v>234</v>
      </c>
      <c r="EC463" s="1" t="s">
        <v>237</v>
      </c>
      <c r="EM463" s="1" t="s">
        <v>238</v>
      </c>
      <c r="EQ463" s="1" t="s">
        <v>238</v>
      </c>
      <c r="EU463" s="1" t="s">
        <v>238</v>
      </c>
      <c r="EY463" s="1" t="s">
        <v>238</v>
      </c>
      <c r="FC463" s="1" t="s">
        <v>238</v>
      </c>
      <c r="FF463" s="1" t="s">
        <v>2447</v>
      </c>
      <c r="FG463" s="1" t="s">
        <v>192</v>
      </c>
      <c r="FH463" s="1" t="s">
        <v>192</v>
      </c>
      <c r="FJ463" s="1" t="s">
        <v>6324</v>
      </c>
      <c r="FK463" s="1" t="s">
        <v>229</v>
      </c>
      <c r="FL463" s="1" t="s">
        <v>1663</v>
      </c>
      <c r="FM463" s="1">
        <v>17299.0</v>
      </c>
      <c r="FN463" s="1" t="s">
        <v>1664</v>
      </c>
      <c r="FO463" s="1" t="s">
        <v>6325</v>
      </c>
      <c r="FP463" s="1">
        <v>169763.0</v>
      </c>
      <c r="FQ463" s="1" t="s">
        <v>6326</v>
      </c>
      <c r="FU463" s="1" t="s">
        <v>6327</v>
      </c>
      <c r="FV463" s="1" t="s">
        <v>200</v>
      </c>
      <c r="FW463" s="1" t="s">
        <v>290</v>
      </c>
      <c r="FX463" s="1" t="s">
        <v>655</v>
      </c>
      <c r="FZ463" s="1" t="s">
        <v>229</v>
      </c>
      <c r="GA463" s="1" t="s">
        <v>291</v>
      </c>
      <c r="GB463" s="2">
        <v>42037.0</v>
      </c>
      <c r="GC463" s="1" t="s">
        <v>6328</v>
      </c>
    </row>
    <row r="464">
      <c r="A464" s="1">
        <v>285000.0</v>
      </c>
      <c r="B464" s="1" t="s">
        <v>185</v>
      </c>
      <c r="C464" s="1" t="str">
        <f>"08792089"</f>
        <v>08792089</v>
      </c>
      <c r="D464" s="1" t="s">
        <v>186</v>
      </c>
      <c r="F464" s="1" t="str">
        <f>"8055"</f>
        <v>8055</v>
      </c>
      <c r="G464" s="2">
        <v>41967.0</v>
      </c>
      <c r="H464" s="1">
        <v>294900.0</v>
      </c>
      <c r="I464" s="1">
        <v>59.0</v>
      </c>
      <c r="J464" s="1">
        <v>294900.0</v>
      </c>
      <c r="K464" s="2">
        <v>42025.0</v>
      </c>
      <c r="L464" s="1">
        <v>59.0</v>
      </c>
      <c r="M464" s="2">
        <v>42025.0</v>
      </c>
      <c r="N464" s="1" t="s">
        <v>187</v>
      </c>
      <c r="O464" s="2">
        <v>42093.0</v>
      </c>
      <c r="P464" s="1">
        <v>242052.0</v>
      </c>
      <c r="Q464" s="1">
        <v>23868.0</v>
      </c>
      <c r="S464" s="1">
        <v>13409.0</v>
      </c>
      <c r="T464" s="1" t="s">
        <v>6329</v>
      </c>
      <c r="V464" s="1" t="s">
        <v>190</v>
      </c>
      <c r="W464" s="1">
        <v>60633.0</v>
      </c>
      <c r="Y464" s="1" t="s">
        <v>6330</v>
      </c>
      <c r="Z464" s="1">
        <v>2008.0</v>
      </c>
      <c r="AA464" s="1" t="s">
        <v>200</v>
      </c>
      <c r="AB464" s="1" t="s">
        <v>193</v>
      </c>
      <c r="AD464" s="1" t="s">
        <v>194</v>
      </c>
      <c r="AE464" s="1" t="s">
        <v>195</v>
      </c>
      <c r="AF464" s="1" t="s">
        <v>637</v>
      </c>
      <c r="AH464" s="1" t="s">
        <v>6331</v>
      </c>
      <c r="AI464" s="1">
        <v>0.0861</v>
      </c>
      <c r="AK464" s="1">
        <v>7.0</v>
      </c>
      <c r="AL464" s="1">
        <v>4.0</v>
      </c>
      <c r="AM464" s="1">
        <v>3.0</v>
      </c>
      <c r="AN464" s="1">
        <v>1.0</v>
      </c>
      <c r="AO464" s="1" t="s">
        <v>198</v>
      </c>
      <c r="AQ464" s="1" t="s">
        <v>198</v>
      </c>
      <c r="AR464" s="1" t="s">
        <v>192</v>
      </c>
      <c r="AS464" s="1" t="s">
        <v>199</v>
      </c>
      <c r="AT464" s="1">
        <v>2.0</v>
      </c>
      <c r="AV464" s="1" t="s">
        <v>200</v>
      </c>
      <c r="AW464" s="1">
        <v>3509.03</v>
      </c>
      <c r="AX464" s="1">
        <v>2012.0</v>
      </c>
      <c r="AY464" s="1" t="s">
        <v>387</v>
      </c>
      <c r="AZ464" s="1" t="s">
        <v>200</v>
      </c>
      <c r="BA464" s="1" t="str">
        <f>"26323030040000"</f>
        <v>26323030040000</v>
      </c>
      <c r="BC464" s="1">
        <v>2374.0</v>
      </c>
      <c r="BD464" s="1">
        <v>285000.0</v>
      </c>
      <c r="BE464" s="2">
        <v>41967.0</v>
      </c>
      <c r="BF464" s="2" t="s">
        <v>6332</v>
      </c>
      <c r="BH464" s="1">
        <v>0.0</v>
      </c>
      <c r="BK464" s="1" t="s">
        <v>204</v>
      </c>
      <c r="BL464" s="1" t="str">
        <f>"0"</f>
        <v>0</v>
      </c>
      <c r="BM464" s="1" t="str">
        <f>"3600"</f>
        <v>3600</v>
      </c>
      <c r="BN464" s="1">
        <v>0.0</v>
      </c>
      <c r="BO464" s="1">
        <v>13409.0</v>
      </c>
      <c r="BQ464" s="1">
        <v>299.0</v>
      </c>
      <c r="BR464" s="1">
        <v>299.0</v>
      </c>
      <c r="BS464" s="1">
        <v>299.0</v>
      </c>
      <c r="BU464" s="1" t="s">
        <v>364</v>
      </c>
      <c r="BV464" s="1" t="s">
        <v>206</v>
      </c>
      <c r="BW464" s="1" t="s">
        <v>207</v>
      </c>
      <c r="BY464" s="1" t="s">
        <v>676</v>
      </c>
      <c r="BZ464" s="1" t="s">
        <v>209</v>
      </c>
      <c r="CA464" s="1" t="s">
        <v>210</v>
      </c>
      <c r="CC464" s="1" t="s">
        <v>542</v>
      </c>
      <c r="CD464" s="1" t="s">
        <v>206</v>
      </c>
      <c r="CG464" s="1" t="s">
        <v>830</v>
      </c>
      <c r="CH464" s="1" t="s">
        <v>209</v>
      </c>
      <c r="CI464" s="1" t="s">
        <v>210</v>
      </c>
      <c r="CK464" s="1" t="s">
        <v>1064</v>
      </c>
      <c r="CL464" s="1" t="s">
        <v>209</v>
      </c>
      <c r="CM464" s="1" t="s">
        <v>210</v>
      </c>
      <c r="CO464" s="1" t="s">
        <v>584</v>
      </c>
      <c r="CP464" s="1" t="s">
        <v>209</v>
      </c>
      <c r="CQ464" s="1" t="s">
        <v>210</v>
      </c>
      <c r="CS464" s="1" t="s">
        <v>677</v>
      </c>
      <c r="CT464" s="1" t="s">
        <v>206</v>
      </c>
      <c r="CU464" s="1" t="s">
        <v>207</v>
      </c>
      <c r="CX464" s="1" t="s">
        <v>204</v>
      </c>
      <c r="DA464" s="1" t="s">
        <v>200</v>
      </c>
      <c r="DC464" s="1" t="s">
        <v>481</v>
      </c>
      <c r="DE464" s="1" t="s">
        <v>273</v>
      </c>
      <c r="DF464" s="1" t="s">
        <v>4878</v>
      </c>
      <c r="DH464" s="1" t="s">
        <v>220</v>
      </c>
      <c r="DJ464" s="1" t="s">
        <v>222</v>
      </c>
      <c r="DL464" s="1" t="s">
        <v>224</v>
      </c>
      <c r="DM464" s="1" t="s">
        <v>229</v>
      </c>
      <c r="DQ464" s="1" t="s">
        <v>718</v>
      </c>
      <c r="DR464" s="1" t="s">
        <v>229</v>
      </c>
      <c r="DV464" s="1" t="s">
        <v>232</v>
      </c>
      <c r="DW464" s="1" t="s">
        <v>279</v>
      </c>
      <c r="DX464" s="1" t="s">
        <v>234</v>
      </c>
      <c r="EC464" s="1" t="s">
        <v>237</v>
      </c>
      <c r="EM464" s="1" t="s">
        <v>238</v>
      </c>
      <c r="EQ464" s="1" t="s">
        <v>238</v>
      </c>
      <c r="EU464" s="1" t="s">
        <v>238</v>
      </c>
      <c r="EY464" s="1" t="s">
        <v>238</v>
      </c>
      <c r="FC464" s="1" t="s">
        <v>238</v>
      </c>
      <c r="FF464" s="1" t="s">
        <v>239</v>
      </c>
      <c r="FG464" s="1" t="s">
        <v>192</v>
      </c>
      <c r="FH464" s="1" t="s">
        <v>192</v>
      </c>
      <c r="FJ464" s="1" t="s">
        <v>6307</v>
      </c>
      <c r="FK464" s="1" t="s">
        <v>229</v>
      </c>
      <c r="FL464" s="1" t="s">
        <v>6333</v>
      </c>
      <c r="FM464" s="1">
        <v>12139.0</v>
      </c>
      <c r="FN464" s="1" t="s">
        <v>6334</v>
      </c>
      <c r="FO464" s="1" t="s">
        <v>6335</v>
      </c>
      <c r="FP464" s="1">
        <v>124517.0</v>
      </c>
      <c r="FQ464" s="1" t="s">
        <v>6334</v>
      </c>
      <c r="FU464" s="1" t="s">
        <v>6336</v>
      </c>
      <c r="FV464" s="1" t="s">
        <v>200</v>
      </c>
      <c r="FW464" s="1" t="s">
        <v>530</v>
      </c>
      <c r="FX464" s="1" t="s">
        <v>655</v>
      </c>
      <c r="FZ464" s="1" t="s">
        <v>229</v>
      </c>
      <c r="GA464" s="1" t="s">
        <v>247</v>
      </c>
      <c r="GB464" s="2">
        <v>42094.0</v>
      </c>
    </row>
    <row r="465">
      <c r="A465" s="1">
        <v>185000.0</v>
      </c>
      <c r="B465" s="1" t="s">
        <v>185</v>
      </c>
      <c r="C465" s="1" t="str">
        <f>"08790571"</f>
        <v>08790571</v>
      </c>
      <c r="D465" s="1" t="s">
        <v>186</v>
      </c>
      <c r="F465" s="1" t="str">
        <f>"8015"</f>
        <v>8015</v>
      </c>
      <c r="G465" s="2">
        <v>41964.0</v>
      </c>
      <c r="H465" s="1">
        <v>229900.0</v>
      </c>
      <c r="I465" s="1">
        <v>81.0</v>
      </c>
      <c r="J465" s="1">
        <v>200000.0</v>
      </c>
      <c r="K465" s="2">
        <v>42044.0</v>
      </c>
      <c r="L465" s="1">
        <v>81.0</v>
      </c>
      <c r="M465" s="2">
        <v>42044.0</v>
      </c>
      <c r="N465" s="1" t="s">
        <v>249</v>
      </c>
      <c r="O465" s="2">
        <v>42080.0</v>
      </c>
      <c r="P465" s="1">
        <v>144547.0</v>
      </c>
      <c r="Q465" s="1">
        <v>14858.0</v>
      </c>
      <c r="S465" s="1">
        <v>5048.0</v>
      </c>
      <c r="T465" s="1" t="s">
        <v>6337</v>
      </c>
      <c r="U465" s="1" t="s">
        <v>320</v>
      </c>
      <c r="V465" s="1" t="s">
        <v>190</v>
      </c>
      <c r="W465" s="1">
        <v>60641.0</v>
      </c>
      <c r="Y465" s="1" t="s">
        <v>6338</v>
      </c>
      <c r="Z465" s="1">
        <v>1914.0</v>
      </c>
      <c r="AA465" s="1" t="s">
        <v>192</v>
      </c>
      <c r="AB465" s="1" t="s">
        <v>193</v>
      </c>
      <c r="AD465" s="1" t="s">
        <v>194</v>
      </c>
      <c r="AE465" s="1" t="s">
        <v>195</v>
      </c>
      <c r="AF465" s="1" t="s">
        <v>196</v>
      </c>
      <c r="AH465" s="1" t="s">
        <v>741</v>
      </c>
      <c r="AK465" s="1">
        <v>9.0</v>
      </c>
      <c r="AL465" s="1">
        <v>4.0</v>
      </c>
      <c r="AM465" s="1">
        <v>2.0</v>
      </c>
      <c r="AN465" s="1">
        <v>1.0</v>
      </c>
      <c r="AO465" s="1" t="s">
        <v>229</v>
      </c>
      <c r="AP465" s="1">
        <v>0.0</v>
      </c>
      <c r="AQ465" s="1" t="s">
        <v>198</v>
      </c>
      <c r="AR465" s="1" t="s">
        <v>192</v>
      </c>
      <c r="AS465" s="1" t="s">
        <v>199</v>
      </c>
      <c r="AT465" s="1">
        <v>2.0</v>
      </c>
      <c r="AV465" s="1" t="s">
        <v>200</v>
      </c>
      <c r="AW465" s="1">
        <v>4229.0</v>
      </c>
      <c r="AX465" s="1">
        <v>2013.0</v>
      </c>
      <c r="AY465" s="1" t="s">
        <v>229</v>
      </c>
      <c r="AZ465" s="1" t="s">
        <v>200</v>
      </c>
      <c r="BA465" s="1" t="str">
        <f>"13212130220000"</f>
        <v>13212130220000</v>
      </c>
      <c r="BB465" s="1" t="s">
        <v>200</v>
      </c>
      <c r="BC465" s="1">
        <v>1792.0</v>
      </c>
      <c r="BD465" s="1">
        <v>185000.0</v>
      </c>
      <c r="BE465" s="2">
        <v>41964.0</v>
      </c>
      <c r="BF465" s="1" t="s">
        <v>6339</v>
      </c>
      <c r="BH465" s="1">
        <v>0.0</v>
      </c>
      <c r="BK465" s="1" t="s">
        <v>204</v>
      </c>
      <c r="BL465" s="1" t="str">
        <f>"3800"</f>
        <v>3800</v>
      </c>
      <c r="BM465" s="1" t="str">
        <f>"0"</f>
        <v>0</v>
      </c>
      <c r="BN465" s="1">
        <v>5048.0</v>
      </c>
      <c r="BO465" s="1">
        <v>0.0</v>
      </c>
      <c r="BQ465" s="1">
        <v>299.0</v>
      </c>
      <c r="BR465" s="1">
        <v>299.0</v>
      </c>
      <c r="BS465" s="1">
        <v>299.0</v>
      </c>
      <c r="BU465" s="1" t="s">
        <v>647</v>
      </c>
      <c r="BV465" s="1" t="s">
        <v>206</v>
      </c>
      <c r="BW465" s="1" t="s">
        <v>210</v>
      </c>
      <c r="BX465" s="1" t="s">
        <v>239</v>
      </c>
      <c r="BY465" s="1" t="s">
        <v>1190</v>
      </c>
      <c r="BZ465" s="1" t="s">
        <v>209</v>
      </c>
      <c r="CA465" s="1" t="s">
        <v>210</v>
      </c>
      <c r="CB465" s="1" t="s">
        <v>229</v>
      </c>
      <c r="CC465" s="1" t="s">
        <v>495</v>
      </c>
      <c r="CD465" s="1" t="s">
        <v>206</v>
      </c>
      <c r="CE465" s="1" t="s">
        <v>210</v>
      </c>
      <c r="CF465" s="1" t="s">
        <v>239</v>
      </c>
      <c r="CG465" s="1" t="s">
        <v>495</v>
      </c>
      <c r="CH465" s="1" t="s">
        <v>209</v>
      </c>
      <c r="CI465" s="1" t="s">
        <v>210</v>
      </c>
      <c r="CJ465" s="1" t="s">
        <v>229</v>
      </c>
      <c r="CK465" s="1" t="s">
        <v>269</v>
      </c>
      <c r="CL465" s="1" t="s">
        <v>206</v>
      </c>
      <c r="CM465" s="1" t="s">
        <v>210</v>
      </c>
      <c r="CN465" s="1" t="s">
        <v>229</v>
      </c>
      <c r="CO465" s="1" t="s">
        <v>516</v>
      </c>
      <c r="CP465" s="1" t="s">
        <v>206</v>
      </c>
      <c r="CQ465" s="1" t="s">
        <v>210</v>
      </c>
      <c r="CR465" s="1" t="s">
        <v>229</v>
      </c>
      <c r="CS465" s="1" t="s">
        <v>495</v>
      </c>
      <c r="CT465" s="1" t="s">
        <v>206</v>
      </c>
      <c r="CU465" s="1" t="s">
        <v>268</v>
      </c>
      <c r="CV465" s="1" t="s">
        <v>229</v>
      </c>
      <c r="CW465" s="1" t="s">
        <v>330</v>
      </c>
      <c r="CX465" s="1" t="s">
        <v>42</v>
      </c>
      <c r="CY465" s="1" t="s">
        <v>210</v>
      </c>
      <c r="DA465" s="1" t="s">
        <v>200</v>
      </c>
      <c r="DC465" s="1" t="s">
        <v>642</v>
      </c>
      <c r="DD465" s="1" t="s">
        <v>306</v>
      </c>
      <c r="DE465" s="1" t="s">
        <v>273</v>
      </c>
      <c r="DF465" s="1" t="s">
        <v>219</v>
      </c>
      <c r="DH465" s="1" t="s">
        <v>365</v>
      </c>
      <c r="DI465" s="1" t="s">
        <v>831</v>
      </c>
      <c r="DJ465" s="1" t="s">
        <v>222</v>
      </c>
      <c r="DK465" s="1" t="s">
        <v>224</v>
      </c>
      <c r="DL465" s="1" t="s">
        <v>224</v>
      </c>
      <c r="DM465" s="1" t="s">
        <v>229</v>
      </c>
      <c r="DO465" s="1" t="s">
        <v>549</v>
      </c>
      <c r="DP465" s="1" t="s">
        <v>340</v>
      </c>
      <c r="DQ465" s="1" t="s">
        <v>228</v>
      </c>
      <c r="DR465" s="1" t="s">
        <v>229</v>
      </c>
      <c r="DV465" s="1" t="s">
        <v>6340</v>
      </c>
      <c r="DW465" s="1" t="s">
        <v>370</v>
      </c>
      <c r="DX465" s="1" t="s">
        <v>234</v>
      </c>
      <c r="DY465" s="1" t="s">
        <v>6341</v>
      </c>
      <c r="EA465" s="1" t="s">
        <v>644</v>
      </c>
      <c r="EC465" s="1" t="s">
        <v>645</v>
      </c>
      <c r="ED465" s="1" t="s">
        <v>555</v>
      </c>
      <c r="EE465" s="1" t="s">
        <v>522</v>
      </c>
      <c r="EG465" s="1" t="s">
        <v>1121</v>
      </c>
      <c r="EH465" s="1" t="s">
        <v>374</v>
      </c>
      <c r="EL465" s="1" t="s">
        <v>363</v>
      </c>
      <c r="EM465" s="1" t="s">
        <v>209</v>
      </c>
      <c r="EN465" s="1" t="s">
        <v>210</v>
      </c>
      <c r="EP465" s="1" t="s">
        <v>4153</v>
      </c>
      <c r="EQ465" s="1" t="s">
        <v>206</v>
      </c>
      <c r="EU465" s="1" t="s">
        <v>238</v>
      </c>
      <c r="EY465" s="1" t="s">
        <v>238</v>
      </c>
      <c r="FC465" s="1" t="s">
        <v>238</v>
      </c>
      <c r="FF465" s="1" t="s">
        <v>239</v>
      </c>
      <c r="FG465" s="1" t="s">
        <v>192</v>
      </c>
      <c r="FH465" s="1" t="s">
        <v>192</v>
      </c>
      <c r="FJ465" s="1" t="s">
        <v>1506</v>
      </c>
      <c r="FK465" s="1" t="s">
        <v>229</v>
      </c>
      <c r="FL465" s="1" t="s">
        <v>836</v>
      </c>
      <c r="FM465" s="1">
        <v>18080.0</v>
      </c>
      <c r="FN465" s="1" t="s">
        <v>837</v>
      </c>
      <c r="FO465" s="1" t="s">
        <v>6342</v>
      </c>
      <c r="FP465" s="1">
        <v>108714.0</v>
      </c>
      <c r="FQ465" s="1" t="s">
        <v>6343</v>
      </c>
      <c r="FU465" s="1" t="s">
        <v>6344</v>
      </c>
      <c r="FV465" s="1" t="s">
        <v>200</v>
      </c>
      <c r="FW465" s="1" t="s">
        <v>567</v>
      </c>
      <c r="FX465" s="1" t="s">
        <v>246</v>
      </c>
      <c r="FZ465" s="1" t="s">
        <v>229</v>
      </c>
      <c r="GA465" s="1" t="s">
        <v>291</v>
      </c>
      <c r="GB465" s="2">
        <v>42081.0</v>
      </c>
      <c r="GC465" s="1" t="s">
        <v>6345</v>
      </c>
    </row>
    <row r="466">
      <c r="A466" s="1">
        <v>255000.0</v>
      </c>
      <c r="B466" s="1" t="s">
        <v>185</v>
      </c>
      <c r="C466" s="1" t="str">
        <f>"08791457"</f>
        <v>08791457</v>
      </c>
      <c r="D466" s="1" t="s">
        <v>186</v>
      </c>
      <c r="F466" s="1" t="str">
        <f>"8064"</f>
        <v>8064</v>
      </c>
      <c r="G466" s="2">
        <v>41966.0</v>
      </c>
      <c r="H466" s="1">
        <v>259900.0</v>
      </c>
      <c r="I466" s="1">
        <v>4.0</v>
      </c>
      <c r="J466" s="1">
        <v>259900.0</v>
      </c>
      <c r="K466" s="2">
        <v>41966.0</v>
      </c>
      <c r="L466" s="1">
        <v>4.0</v>
      </c>
      <c r="M466" s="2">
        <v>41966.0</v>
      </c>
      <c r="N466" s="1" t="s">
        <v>356</v>
      </c>
      <c r="O466" s="2">
        <v>41985.0</v>
      </c>
      <c r="P466" s="1">
        <v>86206.0</v>
      </c>
      <c r="Q466" s="1">
        <v>8654.0</v>
      </c>
      <c r="R466" s="1">
        <v>4000.0</v>
      </c>
      <c r="S466" s="1">
        <v>6026.0</v>
      </c>
      <c r="T466" s="1" t="s">
        <v>6346</v>
      </c>
      <c r="U466" s="1" t="s">
        <v>189</v>
      </c>
      <c r="V466" s="1" t="s">
        <v>190</v>
      </c>
      <c r="W466" s="1">
        <v>60638.0</v>
      </c>
      <c r="Y466" s="1" t="s">
        <v>6347</v>
      </c>
      <c r="Z466" s="1">
        <v>1947.0</v>
      </c>
      <c r="AA466" s="1" t="s">
        <v>192</v>
      </c>
      <c r="AB466" s="1" t="s">
        <v>193</v>
      </c>
      <c r="AD466" s="1" t="s">
        <v>194</v>
      </c>
      <c r="AE466" s="1" t="s">
        <v>195</v>
      </c>
      <c r="AF466" s="1" t="s">
        <v>659</v>
      </c>
      <c r="AH466" s="1">
        <v>3750.0</v>
      </c>
      <c r="AI466" s="1">
        <v>0.0861</v>
      </c>
      <c r="AK466" s="1">
        <v>8.0</v>
      </c>
      <c r="AL466" s="1">
        <v>3.0</v>
      </c>
      <c r="AM466" s="1">
        <v>2.0</v>
      </c>
      <c r="AN466" s="1">
        <v>0.0</v>
      </c>
      <c r="AO466" s="1" t="s">
        <v>229</v>
      </c>
      <c r="AQ466" s="1" t="s">
        <v>198</v>
      </c>
      <c r="AR466" s="1" t="s">
        <v>192</v>
      </c>
      <c r="AS466" s="1" t="s">
        <v>199</v>
      </c>
      <c r="AT466" s="1">
        <v>2.0</v>
      </c>
      <c r="AV466" s="1" t="s">
        <v>200</v>
      </c>
      <c r="AW466" s="1">
        <v>2111.91</v>
      </c>
      <c r="AX466" s="1">
        <v>2012.0</v>
      </c>
      <c r="AZ466" s="1" t="s">
        <v>200</v>
      </c>
      <c r="BA466" s="1" t="str">
        <f>"19174090300000"</f>
        <v>19174090300000</v>
      </c>
      <c r="BC466" s="1">
        <v>816.0</v>
      </c>
      <c r="BD466" s="1">
        <v>255000.0</v>
      </c>
      <c r="BE466" s="2">
        <v>41963.0</v>
      </c>
      <c r="BF466" s="2" t="s">
        <v>6348</v>
      </c>
      <c r="BH466" s="1">
        <v>0.0</v>
      </c>
      <c r="BK466" s="1" t="s">
        <v>204</v>
      </c>
      <c r="BL466" s="1" t="str">
        <f t="shared" ref="BL466:BM466" si="311">"0"</f>
        <v>0</v>
      </c>
      <c r="BM466" s="1" t="str">
        <f t="shared" si="311"/>
        <v>0</v>
      </c>
      <c r="BN466" s="1">
        <v>5900.0</v>
      </c>
      <c r="BO466" s="1">
        <v>8026.0</v>
      </c>
      <c r="BQ466" s="1">
        <v>299.0</v>
      </c>
      <c r="BR466" s="1">
        <v>299.0</v>
      </c>
      <c r="BS466" s="1">
        <v>299.0</v>
      </c>
      <c r="BU466" s="1" t="s">
        <v>541</v>
      </c>
      <c r="BV466" s="1" t="s">
        <v>206</v>
      </c>
      <c r="BW466" s="1" t="s">
        <v>207</v>
      </c>
      <c r="BY466" s="1" t="s">
        <v>215</v>
      </c>
      <c r="BZ466" s="1" t="s">
        <v>206</v>
      </c>
      <c r="CA466" s="1" t="s">
        <v>207</v>
      </c>
      <c r="CC466" s="1" t="s">
        <v>699</v>
      </c>
      <c r="CD466" s="1" t="s">
        <v>206</v>
      </c>
      <c r="CE466" s="1" t="s">
        <v>207</v>
      </c>
      <c r="CG466" s="1" t="s">
        <v>543</v>
      </c>
      <c r="CH466" s="1" t="s">
        <v>206</v>
      </c>
      <c r="CI466" s="1" t="s">
        <v>207</v>
      </c>
      <c r="CK466" s="1" t="s">
        <v>332</v>
      </c>
      <c r="CL466" s="1" t="s">
        <v>206</v>
      </c>
      <c r="CM466" s="1" t="s">
        <v>207</v>
      </c>
      <c r="CO466" s="1" t="s">
        <v>303</v>
      </c>
      <c r="CP466" s="1" t="s">
        <v>42</v>
      </c>
      <c r="CQ466" s="1" t="s">
        <v>268</v>
      </c>
      <c r="CS466" s="1" t="s">
        <v>215</v>
      </c>
      <c r="CT466" s="1" t="s">
        <v>206</v>
      </c>
      <c r="CU466" s="1" t="s">
        <v>268</v>
      </c>
      <c r="CW466" s="1" t="s">
        <v>2219</v>
      </c>
      <c r="CX466" s="1" t="s">
        <v>42</v>
      </c>
      <c r="CY466" s="1" t="s">
        <v>268</v>
      </c>
      <c r="DA466" s="1" t="s">
        <v>200</v>
      </c>
      <c r="DC466" s="1" t="s">
        <v>702</v>
      </c>
      <c r="DD466" s="1" t="s">
        <v>731</v>
      </c>
      <c r="DE466" s="1" t="s">
        <v>273</v>
      </c>
      <c r="DF466" s="1" t="s">
        <v>619</v>
      </c>
      <c r="DH466" s="1" t="s">
        <v>220</v>
      </c>
      <c r="DI466" s="1" t="s">
        <v>308</v>
      </c>
      <c r="DJ466" s="1" t="s">
        <v>222</v>
      </c>
      <c r="DL466" s="1" t="s">
        <v>224</v>
      </c>
      <c r="DM466" s="1" t="s">
        <v>229</v>
      </c>
      <c r="DP466" s="1" t="s">
        <v>276</v>
      </c>
      <c r="DQ466" s="1" t="s">
        <v>228</v>
      </c>
      <c r="DR466" s="1" t="s">
        <v>229</v>
      </c>
      <c r="DV466" s="1" t="s">
        <v>232</v>
      </c>
      <c r="DW466" s="1" t="s">
        <v>279</v>
      </c>
      <c r="DX466" s="1" t="s">
        <v>234</v>
      </c>
      <c r="DZ466" s="1" t="s">
        <v>343</v>
      </c>
      <c r="EC466" s="1" t="s">
        <v>685</v>
      </c>
      <c r="ED466" s="1" t="s">
        <v>407</v>
      </c>
      <c r="EM466" s="1" t="s">
        <v>238</v>
      </c>
      <c r="EQ466" s="1" t="s">
        <v>238</v>
      </c>
      <c r="EU466" s="1" t="s">
        <v>238</v>
      </c>
      <c r="EY466" s="1" t="s">
        <v>238</v>
      </c>
      <c r="FC466" s="1" t="s">
        <v>238</v>
      </c>
      <c r="FF466" s="1" t="s">
        <v>239</v>
      </c>
      <c r="FG466" s="1" t="s">
        <v>192</v>
      </c>
      <c r="FH466" s="1" t="s">
        <v>192</v>
      </c>
      <c r="FJ466" s="1" t="s">
        <v>524</v>
      </c>
      <c r="FK466" s="1" t="s">
        <v>229</v>
      </c>
      <c r="FL466" s="1" t="s">
        <v>3787</v>
      </c>
      <c r="FM466" s="1">
        <v>8654.0</v>
      </c>
      <c r="FN466" s="1" t="s">
        <v>3788</v>
      </c>
      <c r="FO466" s="1" t="s">
        <v>3789</v>
      </c>
      <c r="FP466" s="1">
        <v>86206.0</v>
      </c>
      <c r="FQ466" s="1" t="s">
        <v>3788</v>
      </c>
      <c r="FU466" s="1" t="s">
        <v>6252</v>
      </c>
      <c r="FV466" s="1" t="s">
        <v>200</v>
      </c>
      <c r="FW466" s="1" t="s">
        <v>290</v>
      </c>
      <c r="FX466" s="1" t="s">
        <v>655</v>
      </c>
      <c r="FZ466" s="1" t="s">
        <v>229</v>
      </c>
      <c r="GA466" s="1" t="s">
        <v>291</v>
      </c>
      <c r="GB466" s="2">
        <v>41987.0</v>
      </c>
    </row>
    <row r="467">
      <c r="A467" s="1">
        <v>535000.0</v>
      </c>
      <c r="B467" s="1" t="s">
        <v>185</v>
      </c>
      <c r="C467" s="1" t="str">
        <f>"08795079"</f>
        <v>08795079</v>
      </c>
      <c r="D467" s="1" t="s">
        <v>186</v>
      </c>
      <c r="F467" s="1" t="str">
        <f>"8021"</f>
        <v>8021</v>
      </c>
      <c r="G467" s="2">
        <v>41975.0</v>
      </c>
      <c r="H467" s="1">
        <v>549900.0</v>
      </c>
      <c r="I467" s="1">
        <v>119.0</v>
      </c>
      <c r="J467" s="1">
        <v>549900.0</v>
      </c>
      <c r="K467" s="2">
        <v>41981.0</v>
      </c>
      <c r="L467" s="1">
        <v>7.0</v>
      </c>
      <c r="M467" s="2">
        <v>41981.0</v>
      </c>
      <c r="N467" s="1" t="s">
        <v>187</v>
      </c>
      <c r="O467" s="2">
        <v>42033.0</v>
      </c>
      <c r="P467" s="1">
        <v>841607.0</v>
      </c>
      <c r="Q467" s="1">
        <v>15933.0</v>
      </c>
      <c r="R467" s="1">
        <v>5000.0</v>
      </c>
      <c r="S467" s="1">
        <v>3021.0</v>
      </c>
      <c r="T467" s="1" t="s">
        <v>6349</v>
      </c>
      <c r="U467" s="1" t="s">
        <v>189</v>
      </c>
      <c r="V467" s="1" t="s">
        <v>190</v>
      </c>
      <c r="W467" s="1">
        <v>60618.0</v>
      </c>
      <c r="Y467" s="1" t="s">
        <v>6350</v>
      </c>
      <c r="Z467" s="1">
        <v>2014.0</v>
      </c>
      <c r="AA467" s="1" t="s">
        <v>200</v>
      </c>
      <c r="AB467" s="1" t="s">
        <v>193</v>
      </c>
      <c r="AD467" s="1" t="s">
        <v>194</v>
      </c>
      <c r="AE467" s="1" t="s">
        <v>195</v>
      </c>
      <c r="AF467" s="1" t="s">
        <v>196</v>
      </c>
      <c r="AH467" s="1" t="s">
        <v>6351</v>
      </c>
      <c r="AK467" s="1">
        <v>9.0</v>
      </c>
      <c r="AL467" s="1">
        <v>4.0</v>
      </c>
      <c r="AM467" s="1">
        <v>3.0</v>
      </c>
      <c r="AN467" s="1">
        <v>1.0</v>
      </c>
      <c r="AO467" s="1" t="s">
        <v>198</v>
      </c>
      <c r="AP467" s="1">
        <v>1.0</v>
      </c>
      <c r="AQ467" s="1" t="s">
        <v>472</v>
      </c>
      <c r="AR467" s="1" t="s">
        <v>192</v>
      </c>
      <c r="AS467" s="1" t="s">
        <v>199</v>
      </c>
      <c r="AT467" s="1">
        <v>2.0</v>
      </c>
      <c r="AV467" s="1" t="s">
        <v>200</v>
      </c>
      <c r="AW467" s="1" t="s">
        <v>575</v>
      </c>
      <c r="AX467" s="1">
        <v>2013.0</v>
      </c>
      <c r="AY467" s="1" t="s">
        <v>229</v>
      </c>
      <c r="AZ467" s="1" t="s">
        <v>545</v>
      </c>
      <c r="BA467" s="1" t="str">
        <f>"13262160080000"</f>
        <v>13262160080000</v>
      </c>
      <c r="BC467" s="1">
        <v>0.0</v>
      </c>
      <c r="BD467" s="1">
        <v>535000.0</v>
      </c>
      <c r="BE467" s="2">
        <v>41975.0</v>
      </c>
      <c r="BF467" s="2" t="s">
        <v>6352</v>
      </c>
      <c r="BH467" s="1">
        <v>0.0</v>
      </c>
      <c r="BK467" s="1" t="s">
        <v>204</v>
      </c>
      <c r="BL467" s="1" t="str">
        <f>"3021"</f>
        <v>3021</v>
      </c>
      <c r="BM467" s="1" t="str">
        <f>"0"</f>
        <v>0</v>
      </c>
      <c r="BN467" s="1">
        <v>3400.0</v>
      </c>
      <c r="BO467" s="1">
        <v>0.0</v>
      </c>
      <c r="BQ467" s="1">
        <v>299.0</v>
      </c>
      <c r="BR467" s="1">
        <v>299.0</v>
      </c>
      <c r="BS467" s="1">
        <v>299.0</v>
      </c>
      <c r="BU467" s="1" t="s">
        <v>3595</v>
      </c>
      <c r="BV467" s="1" t="s">
        <v>206</v>
      </c>
      <c r="BW467" s="1" t="s">
        <v>207</v>
      </c>
      <c r="BY467" s="1" t="s">
        <v>211</v>
      </c>
      <c r="BZ467" s="1" t="s">
        <v>209</v>
      </c>
      <c r="CA467" s="1" t="s">
        <v>210</v>
      </c>
      <c r="CC467" s="1" t="s">
        <v>542</v>
      </c>
      <c r="CD467" s="1" t="s">
        <v>206</v>
      </c>
      <c r="CE467" s="1" t="s">
        <v>207</v>
      </c>
      <c r="CG467" s="1" t="s">
        <v>743</v>
      </c>
      <c r="CH467" s="1" t="s">
        <v>209</v>
      </c>
      <c r="CI467" s="1" t="s">
        <v>210</v>
      </c>
      <c r="CK467" s="1" t="s">
        <v>699</v>
      </c>
      <c r="CL467" s="1" t="s">
        <v>209</v>
      </c>
      <c r="CM467" s="1" t="s">
        <v>210</v>
      </c>
      <c r="CO467" s="1" t="s">
        <v>211</v>
      </c>
      <c r="CP467" s="1" t="s">
        <v>267</v>
      </c>
      <c r="CQ467" s="1" t="s">
        <v>210</v>
      </c>
      <c r="CS467" s="1" t="s">
        <v>743</v>
      </c>
      <c r="CT467" s="1" t="s">
        <v>206</v>
      </c>
      <c r="CU467" s="1" t="s">
        <v>207</v>
      </c>
      <c r="CW467" s="1" t="s">
        <v>1426</v>
      </c>
      <c r="CX467" s="1" t="s">
        <v>206</v>
      </c>
      <c r="CY467" s="1" t="s">
        <v>207</v>
      </c>
      <c r="DA467" s="1" t="s">
        <v>192</v>
      </c>
      <c r="DB467" s="2">
        <v>41975.0</v>
      </c>
      <c r="DC467" s="1" t="s">
        <v>744</v>
      </c>
      <c r="DD467" s="1" t="s">
        <v>731</v>
      </c>
      <c r="DE467" s="1" t="s">
        <v>273</v>
      </c>
      <c r="DF467" s="1" t="s">
        <v>219</v>
      </c>
      <c r="DG467" s="1" t="s">
        <v>1657</v>
      </c>
      <c r="DH467" s="1" t="s">
        <v>365</v>
      </c>
      <c r="DI467" s="1" t="s">
        <v>1003</v>
      </c>
      <c r="DJ467" s="1" t="s">
        <v>222</v>
      </c>
      <c r="DL467" s="1" t="s">
        <v>224</v>
      </c>
      <c r="DM467" s="1" t="s">
        <v>229</v>
      </c>
      <c r="DN467" s="1" t="s">
        <v>399</v>
      </c>
      <c r="DP467" s="1" t="s">
        <v>276</v>
      </c>
      <c r="DQ467" s="1" t="s">
        <v>228</v>
      </c>
      <c r="DR467" s="1" t="s">
        <v>229</v>
      </c>
      <c r="DS467" s="1" t="s">
        <v>230</v>
      </c>
      <c r="DV467" s="1" t="s">
        <v>450</v>
      </c>
      <c r="DW467" s="1" t="s">
        <v>1026</v>
      </c>
      <c r="DX467" s="1" t="s">
        <v>234</v>
      </c>
      <c r="DY467" s="1" t="s">
        <v>704</v>
      </c>
      <c r="DZ467" s="1" t="s">
        <v>310</v>
      </c>
      <c r="EB467" s="1" t="s">
        <v>492</v>
      </c>
      <c r="EC467" s="1" t="s">
        <v>237</v>
      </c>
      <c r="ED467" s="1" t="s">
        <v>555</v>
      </c>
      <c r="EG467" s="1" t="s">
        <v>450</v>
      </c>
      <c r="EL467" s="1" t="s">
        <v>1377</v>
      </c>
      <c r="EM467" s="1" t="s">
        <v>267</v>
      </c>
      <c r="EN467" s="1" t="s">
        <v>210</v>
      </c>
      <c r="EQ467" s="1" t="s">
        <v>238</v>
      </c>
      <c r="EU467" s="1" t="s">
        <v>238</v>
      </c>
      <c r="EY467" s="1" t="s">
        <v>238</v>
      </c>
      <c r="FC467" s="1" t="s">
        <v>238</v>
      </c>
      <c r="FF467" s="1" t="s">
        <v>239</v>
      </c>
      <c r="FG467" s="1" t="s">
        <v>192</v>
      </c>
      <c r="FH467" s="1" t="s">
        <v>192</v>
      </c>
      <c r="FJ467" s="1" t="s">
        <v>6353</v>
      </c>
      <c r="FK467" s="1" t="s">
        <v>229</v>
      </c>
      <c r="FL467" s="1" t="s">
        <v>6354</v>
      </c>
      <c r="FM467" s="1">
        <v>15191.0</v>
      </c>
      <c r="FN467" s="1" t="s">
        <v>6355</v>
      </c>
      <c r="FO467" s="1" t="s">
        <v>6356</v>
      </c>
      <c r="FP467" s="1">
        <v>161581.0</v>
      </c>
      <c r="FQ467" s="1" t="s">
        <v>6357</v>
      </c>
      <c r="FU467" s="1" t="s">
        <v>6358</v>
      </c>
      <c r="FV467" s="1" t="s">
        <v>200</v>
      </c>
      <c r="FW467" s="1" t="s">
        <v>567</v>
      </c>
      <c r="FX467" s="1" t="s">
        <v>238</v>
      </c>
      <c r="FZ467" s="1" t="s">
        <v>504</v>
      </c>
      <c r="GA467" s="1" t="s">
        <v>291</v>
      </c>
      <c r="GB467" s="2">
        <v>42033.0</v>
      </c>
      <c r="GC467" s="1" t="s">
        <v>6359</v>
      </c>
    </row>
    <row r="468">
      <c r="A468" s="1">
        <v>145000.0</v>
      </c>
      <c r="B468" s="1" t="s">
        <v>185</v>
      </c>
      <c r="C468" s="1" t="str">
        <f>"08793307"</f>
        <v>08793307</v>
      </c>
      <c r="D468" s="1" t="s">
        <v>186</v>
      </c>
      <c r="F468" s="1" t="str">
        <f>"560"</f>
        <v>560</v>
      </c>
      <c r="G468" s="2">
        <v>41969.0</v>
      </c>
      <c r="H468" s="1">
        <v>189900.0</v>
      </c>
      <c r="I468" s="1">
        <v>29.0</v>
      </c>
      <c r="J468" s="1">
        <v>189900.0</v>
      </c>
      <c r="K468" s="2">
        <v>41996.0</v>
      </c>
      <c r="L468" s="1">
        <v>29.0</v>
      </c>
      <c r="M468" s="2">
        <v>41996.0</v>
      </c>
      <c r="N468" s="1" t="s">
        <v>249</v>
      </c>
      <c r="O468" s="2">
        <v>42013.0</v>
      </c>
      <c r="P468" s="1">
        <v>705048.0</v>
      </c>
      <c r="Q468" s="1">
        <v>79766.0</v>
      </c>
      <c r="S468" s="1">
        <v>9923.0</v>
      </c>
      <c r="T468" s="1" t="s">
        <v>6360</v>
      </c>
      <c r="U468" s="1" t="s">
        <v>464</v>
      </c>
      <c r="V468" s="1" t="s">
        <v>845</v>
      </c>
      <c r="W468" s="1">
        <v>60560.0</v>
      </c>
      <c r="Y468" s="1" t="s">
        <v>6361</v>
      </c>
      <c r="Z468" s="1" t="s">
        <v>296</v>
      </c>
      <c r="AA468" s="1" t="s">
        <v>192</v>
      </c>
      <c r="AB468" s="1" t="s">
        <v>193</v>
      </c>
      <c r="AD468" s="1" t="s">
        <v>1089</v>
      </c>
      <c r="AE468" s="1" t="s">
        <v>849</v>
      </c>
      <c r="AF468" s="1" t="s">
        <v>2153</v>
      </c>
      <c r="AH468" s="1" t="s">
        <v>6362</v>
      </c>
      <c r="AI468" s="1">
        <v>5.0</v>
      </c>
      <c r="AK468" s="1">
        <v>7.0</v>
      </c>
      <c r="AL468" s="1">
        <v>4.0</v>
      </c>
      <c r="AM468" s="1">
        <v>1.0</v>
      </c>
      <c r="AN468" s="1">
        <v>0.0</v>
      </c>
      <c r="AO468" s="1" t="s">
        <v>229</v>
      </c>
      <c r="AP468" s="1">
        <v>0.0</v>
      </c>
      <c r="AQ468" s="1" t="s">
        <v>198</v>
      </c>
      <c r="AR468" s="1" t="s">
        <v>200</v>
      </c>
      <c r="AS468" s="1" t="s">
        <v>510</v>
      </c>
      <c r="AT468" s="1">
        <v>10.0</v>
      </c>
      <c r="AU468" s="1">
        <v>20.0</v>
      </c>
      <c r="AV468" s="1" t="s">
        <v>200</v>
      </c>
      <c r="AW468" s="4">
        <v>4239.76</v>
      </c>
      <c r="AX468" s="1">
        <v>2013.0</v>
      </c>
      <c r="AY468" s="1" t="s">
        <v>387</v>
      </c>
      <c r="AZ468" s="1" t="s">
        <v>200</v>
      </c>
      <c r="BA468" s="1" t="str">
        <f>"0521300002"</f>
        <v>0521300002</v>
      </c>
      <c r="BC468" s="1">
        <v>0.0</v>
      </c>
      <c r="BD468" s="1">
        <v>145000.0</v>
      </c>
      <c r="BE468" s="2">
        <v>41968.0</v>
      </c>
      <c r="BF468" s="2" t="s">
        <v>6363</v>
      </c>
      <c r="BH468" s="1">
        <v>0.0</v>
      </c>
      <c r="BK468" s="1" t="s">
        <v>204</v>
      </c>
      <c r="BL468" s="1" t="str">
        <f t="shared" ref="BL468:BM468" si="312">""</f>
        <v/>
      </c>
      <c r="BM468" s="1" t="str">
        <f t="shared" si="312"/>
        <v/>
      </c>
      <c r="BQ468" s="1">
        <v>115.0</v>
      </c>
      <c r="BR468" s="1">
        <v>115.0</v>
      </c>
      <c r="BS468" s="1">
        <v>115.0</v>
      </c>
      <c r="BU468" s="1" t="s">
        <v>478</v>
      </c>
      <c r="BV468" s="1" t="s">
        <v>206</v>
      </c>
      <c r="BY468" s="1" t="s">
        <v>940</v>
      </c>
      <c r="BZ468" s="1" t="s">
        <v>206</v>
      </c>
      <c r="CC468" s="1" t="s">
        <v>478</v>
      </c>
      <c r="CD468" s="1" t="s">
        <v>206</v>
      </c>
      <c r="CG468" s="1" t="s">
        <v>411</v>
      </c>
      <c r="CH468" s="1" t="s">
        <v>209</v>
      </c>
      <c r="CK468" s="1" t="s">
        <v>5441</v>
      </c>
      <c r="CL468" s="1" t="s">
        <v>209</v>
      </c>
      <c r="CO468" s="1" t="s">
        <v>410</v>
      </c>
      <c r="CP468" s="1" t="s">
        <v>209</v>
      </c>
      <c r="CS468" s="1" t="s">
        <v>363</v>
      </c>
      <c r="CT468" s="1" t="s">
        <v>206</v>
      </c>
      <c r="CX468" s="1" t="s">
        <v>204</v>
      </c>
      <c r="DA468" s="1" t="s">
        <v>200</v>
      </c>
      <c r="DC468" s="1" t="s">
        <v>545</v>
      </c>
      <c r="DE468" s="1" t="s">
        <v>229</v>
      </c>
      <c r="DF468" s="1" t="s">
        <v>6364</v>
      </c>
      <c r="DH468" s="1" t="s">
        <v>856</v>
      </c>
      <c r="DJ468" s="1" t="s">
        <v>857</v>
      </c>
      <c r="DK468" s="1" t="s">
        <v>223</v>
      </c>
      <c r="DL468" s="1" t="s">
        <v>6365</v>
      </c>
      <c r="DM468" s="1" t="s">
        <v>229</v>
      </c>
      <c r="DP468" s="1" t="s">
        <v>340</v>
      </c>
      <c r="DQ468" s="1" t="s">
        <v>6366</v>
      </c>
      <c r="DR468" s="1" t="s">
        <v>229</v>
      </c>
      <c r="DV468" s="1" t="s">
        <v>232</v>
      </c>
      <c r="DW468" s="1" t="s">
        <v>964</v>
      </c>
      <c r="DX468" s="1" t="s">
        <v>234</v>
      </c>
      <c r="DZ468" s="1" t="s">
        <v>343</v>
      </c>
      <c r="EA468" s="1" t="s">
        <v>622</v>
      </c>
      <c r="EC468" s="1" t="s">
        <v>237</v>
      </c>
      <c r="ED468" s="1" t="s">
        <v>5333</v>
      </c>
      <c r="EF468" s="1" t="s">
        <v>523</v>
      </c>
      <c r="EM468" s="1" t="s">
        <v>238</v>
      </c>
      <c r="EQ468" s="1" t="s">
        <v>238</v>
      </c>
      <c r="EU468" s="1" t="s">
        <v>238</v>
      </c>
      <c r="EY468" s="1" t="s">
        <v>238</v>
      </c>
      <c r="FC468" s="1" t="s">
        <v>238</v>
      </c>
      <c r="FF468" s="1" t="s">
        <v>239</v>
      </c>
      <c r="FG468" s="1" t="s">
        <v>192</v>
      </c>
      <c r="FH468" s="1" t="s">
        <v>192</v>
      </c>
      <c r="FJ468" s="1" t="s">
        <v>3786</v>
      </c>
      <c r="FK468" s="1" t="s">
        <v>229</v>
      </c>
      <c r="FL468" s="1" t="s">
        <v>525</v>
      </c>
      <c r="FM468" s="1">
        <v>22029.0</v>
      </c>
      <c r="FN468" s="1" t="s">
        <v>526</v>
      </c>
      <c r="FO468" s="1" t="s">
        <v>3024</v>
      </c>
      <c r="FP468" s="1">
        <v>232152.0</v>
      </c>
      <c r="FQ468" s="1" t="s">
        <v>3025</v>
      </c>
      <c r="FS468" s="1" t="s">
        <v>3026</v>
      </c>
      <c r="FT468" s="1" t="s">
        <v>6367</v>
      </c>
      <c r="FU468" s="1" t="s">
        <v>710</v>
      </c>
      <c r="FV468" s="1" t="s">
        <v>200</v>
      </c>
      <c r="FW468" s="1" t="s">
        <v>530</v>
      </c>
      <c r="FZ468" s="1" t="s">
        <v>229</v>
      </c>
      <c r="GA468" s="1" t="s">
        <v>291</v>
      </c>
      <c r="GB468" s="2">
        <v>42013.0</v>
      </c>
      <c r="GC468" s="1" t="s">
        <v>6368</v>
      </c>
    </row>
    <row r="469">
      <c r="A469" s="1">
        <v>94500.0</v>
      </c>
      <c r="B469" s="1" t="s">
        <v>185</v>
      </c>
      <c r="C469" s="1" t="str">
        <f>"08791974"</f>
        <v>08791974</v>
      </c>
      <c r="D469" s="1" t="s">
        <v>186</v>
      </c>
      <c r="F469" s="1" t="str">
        <f>"8065"</f>
        <v>8065</v>
      </c>
      <c r="G469" s="2">
        <v>41967.0</v>
      </c>
      <c r="H469" s="1">
        <v>127100.0</v>
      </c>
      <c r="I469" s="1">
        <v>52.0</v>
      </c>
      <c r="J469" s="1">
        <v>127100.0</v>
      </c>
      <c r="K469" s="2">
        <v>42018.0</v>
      </c>
      <c r="L469" s="1">
        <v>52.0</v>
      </c>
      <c r="M469" s="2">
        <v>42018.0</v>
      </c>
      <c r="N469" s="1" t="s">
        <v>249</v>
      </c>
      <c r="O469" s="2">
        <v>42046.0</v>
      </c>
      <c r="P469" s="1">
        <v>84146.0</v>
      </c>
      <c r="Q469" s="1">
        <v>24093.0</v>
      </c>
      <c r="S469" s="1">
        <v>6635.0</v>
      </c>
      <c r="T469" s="1" t="s">
        <v>6369</v>
      </c>
      <c r="U469" s="1" t="s">
        <v>320</v>
      </c>
      <c r="V469" s="1" t="s">
        <v>190</v>
      </c>
      <c r="W469" s="1">
        <v>60629.0</v>
      </c>
      <c r="X469" s="1">
        <v>5615.0</v>
      </c>
      <c r="Y469" s="1" t="s">
        <v>6370</v>
      </c>
      <c r="Z469" s="1">
        <v>1954.0</v>
      </c>
      <c r="AA469" s="1" t="s">
        <v>192</v>
      </c>
      <c r="AB469" s="1" t="s">
        <v>193</v>
      </c>
      <c r="AD469" s="1" t="s">
        <v>194</v>
      </c>
      <c r="AE469" s="1" t="s">
        <v>195</v>
      </c>
      <c r="AF469" s="1" t="s">
        <v>659</v>
      </c>
      <c r="AG469" s="1" t="s">
        <v>874</v>
      </c>
      <c r="AH469" s="1" t="s">
        <v>359</v>
      </c>
      <c r="AK469" s="1">
        <v>6.0</v>
      </c>
      <c r="AL469" s="1">
        <v>3.0</v>
      </c>
      <c r="AM469" s="1">
        <v>2.0</v>
      </c>
      <c r="AN469" s="1">
        <v>0.0</v>
      </c>
      <c r="AO469" s="1" t="s">
        <v>229</v>
      </c>
      <c r="AQ469" s="1" t="s">
        <v>198</v>
      </c>
      <c r="AR469" s="1" t="s">
        <v>192</v>
      </c>
      <c r="AS469" s="1" t="s">
        <v>199</v>
      </c>
      <c r="AT469" s="1">
        <v>2.0</v>
      </c>
      <c r="AV469" s="1" t="s">
        <v>200</v>
      </c>
      <c r="AW469" s="1">
        <v>2313.48</v>
      </c>
      <c r="AX469" s="1">
        <v>2013.0</v>
      </c>
      <c r="AY469" s="1" t="s">
        <v>229</v>
      </c>
      <c r="AZ469" s="1" t="s">
        <v>200</v>
      </c>
      <c r="BA469" s="1" t="str">
        <f>"19221260120000"</f>
        <v>19221260120000</v>
      </c>
      <c r="BB469" s="1" t="s">
        <v>200</v>
      </c>
      <c r="BC469" s="1">
        <v>1064.0</v>
      </c>
      <c r="BD469" s="1">
        <v>94500.0</v>
      </c>
      <c r="BE469" s="2">
        <v>41967.0</v>
      </c>
      <c r="BF469" s="1" t="s">
        <v>6371</v>
      </c>
      <c r="BH469" s="1">
        <v>0.0</v>
      </c>
      <c r="BK469" s="1" t="s">
        <v>204</v>
      </c>
      <c r="BL469" s="1" t="str">
        <f t="shared" ref="BL469:BM469" si="313">"0"</f>
        <v>0</v>
      </c>
      <c r="BM469" s="1" t="str">
        <f t="shared" si="313"/>
        <v>0</v>
      </c>
      <c r="BN469" s="1">
        <v>4500.0</v>
      </c>
      <c r="BO469" s="1">
        <v>6635.0</v>
      </c>
      <c r="BQ469" s="1">
        <v>299.0</v>
      </c>
      <c r="BR469" s="1">
        <v>299.0</v>
      </c>
      <c r="BS469" s="1">
        <v>299.0</v>
      </c>
      <c r="BU469" s="1" t="s">
        <v>262</v>
      </c>
      <c r="BV469" s="1" t="s">
        <v>206</v>
      </c>
      <c r="BY469" s="1" t="s">
        <v>699</v>
      </c>
      <c r="BZ469" s="1" t="s">
        <v>206</v>
      </c>
      <c r="CD469" s="1" t="s">
        <v>204</v>
      </c>
      <c r="CG469" s="1" t="s">
        <v>699</v>
      </c>
      <c r="CH469" s="1" t="s">
        <v>206</v>
      </c>
      <c r="CK469" s="1" t="s">
        <v>495</v>
      </c>
      <c r="CL469" s="1" t="s">
        <v>206</v>
      </c>
      <c r="CO469" s="1" t="s">
        <v>303</v>
      </c>
      <c r="CP469" s="1" t="s">
        <v>42</v>
      </c>
      <c r="CS469" s="1" t="s">
        <v>582</v>
      </c>
      <c r="CT469" s="1" t="s">
        <v>206</v>
      </c>
      <c r="CX469" s="1" t="s">
        <v>204</v>
      </c>
      <c r="DA469" s="1" t="s">
        <v>200</v>
      </c>
      <c r="DC469" s="1" t="s">
        <v>702</v>
      </c>
      <c r="DD469" s="1" t="s">
        <v>396</v>
      </c>
      <c r="DE469" s="1" t="s">
        <v>229</v>
      </c>
      <c r="DF469" s="1" t="s">
        <v>219</v>
      </c>
      <c r="DH469" s="1" t="s">
        <v>365</v>
      </c>
      <c r="DJ469" s="1" t="s">
        <v>222</v>
      </c>
      <c r="DL469" s="1" t="s">
        <v>1161</v>
      </c>
      <c r="DM469" s="1" t="s">
        <v>229</v>
      </c>
      <c r="DQ469" s="1" t="s">
        <v>718</v>
      </c>
      <c r="DR469" s="1" t="s">
        <v>229</v>
      </c>
      <c r="DS469" s="1" t="s">
        <v>230</v>
      </c>
      <c r="DV469" s="1" t="s">
        <v>232</v>
      </c>
      <c r="DW469" s="1" t="s">
        <v>279</v>
      </c>
      <c r="DX469" s="1" t="s">
        <v>234</v>
      </c>
      <c r="EA469" s="1" t="s">
        <v>1302</v>
      </c>
      <c r="EC469" s="1" t="s">
        <v>311</v>
      </c>
      <c r="EM469" s="1" t="s">
        <v>238</v>
      </c>
      <c r="EQ469" s="1" t="s">
        <v>238</v>
      </c>
      <c r="EU469" s="1" t="s">
        <v>238</v>
      </c>
      <c r="EY469" s="1" t="s">
        <v>238</v>
      </c>
      <c r="FC469" s="1" t="s">
        <v>238</v>
      </c>
      <c r="FF469" s="1" t="s">
        <v>239</v>
      </c>
      <c r="FG469" s="1" t="s">
        <v>192</v>
      </c>
      <c r="FH469" s="1" t="s">
        <v>200</v>
      </c>
      <c r="FJ469" s="1" t="s">
        <v>6372</v>
      </c>
      <c r="FK469" s="1" t="s">
        <v>229</v>
      </c>
      <c r="FL469" s="1" t="s">
        <v>4954</v>
      </c>
      <c r="FM469" s="1">
        <v>24093.0</v>
      </c>
      <c r="FN469" s="1" t="s">
        <v>3335</v>
      </c>
      <c r="FO469" s="1" t="s">
        <v>6373</v>
      </c>
      <c r="FP469" s="1">
        <v>84146.0</v>
      </c>
      <c r="FQ469" s="1" t="s">
        <v>6374</v>
      </c>
      <c r="FU469" s="1" t="s">
        <v>6375</v>
      </c>
      <c r="FV469" s="1" t="s">
        <v>200</v>
      </c>
      <c r="FW469" s="1" t="s">
        <v>1511</v>
      </c>
      <c r="FX469" s="1" t="s">
        <v>655</v>
      </c>
      <c r="FZ469" s="1" t="s">
        <v>229</v>
      </c>
      <c r="GA469" s="1" t="s">
        <v>291</v>
      </c>
      <c r="GB469" s="2">
        <v>42047.0</v>
      </c>
      <c r="GC469" s="1" t="s">
        <v>6376</v>
      </c>
    </row>
    <row r="470">
      <c r="A470" s="1">
        <v>143000.0</v>
      </c>
      <c r="B470" s="1" t="s">
        <v>185</v>
      </c>
      <c r="C470" s="1" t="str">
        <f>"08794809"</f>
        <v>08794809</v>
      </c>
      <c r="D470" s="1" t="s">
        <v>186</v>
      </c>
      <c r="F470" s="1" t="str">
        <f>"110"</f>
        <v>110</v>
      </c>
      <c r="G470" s="2">
        <v>41974.0</v>
      </c>
      <c r="H470" s="1">
        <v>149900.0</v>
      </c>
      <c r="I470" s="1">
        <v>67.0</v>
      </c>
      <c r="J470" s="1">
        <v>148900.0</v>
      </c>
      <c r="K470" s="2">
        <v>42039.0</v>
      </c>
      <c r="L470" s="1">
        <v>67.0</v>
      </c>
      <c r="M470" s="2">
        <v>42039.0</v>
      </c>
      <c r="N470" s="1" t="s">
        <v>356</v>
      </c>
      <c r="O470" s="2">
        <v>42075.0</v>
      </c>
      <c r="P470" s="1">
        <v>70319.0</v>
      </c>
      <c r="Q470" s="1">
        <v>267.0</v>
      </c>
      <c r="R470" s="1">
        <v>3000.0</v>
      </c>
      <c r="S470" s="1">
        <v>3046.0</v>
      </c>
      <c r="T470" s="1" t="s">
        <v>6377</v>
      </c>
      <c r="U470" s="1" t="s">
        <v>569</v>
      </c>
      <c r="V470" s="1" t="s">
        <v>807</v>
      </c>
      <c r="W470" s="1">
        <v>60110.0</v>
      </c>
      <c r="Y470" s="1" t="s">
        <v>6378</v>
      </c>
      <c r="Z470" s="1">
        <v>1969.0</v>
      </c>
      <c r="AA470" s="1" t="s">
        <v>192</v>
      </c>
      <c r="AB470" s="1" t="s">
        <v>193</v>
      </c>
      <c r="AC470" s="1" t="s">
        <v>6379</v>
      </c>
      <c r="AD470" s="1" t="s">
        <v>809</v>
      </c>
      <c r="AE470" s="1" t="s">
        <v>325</v>
      </c>
      <c r="AF470" s="1" t="s">
        <v>810</v>
      </c>
      <c r="AH470" s="1" t="s">
        <v>6380</v>
      </c>
      <c r="AI470" s="1">
        <v>0.0</v>
      </c>
      <c r="AK470" s="1">
        <v>7.0</v>
      </c>
      <c r="AL470" s="1">
        <v>4.0</v>
      </c>
      <c r="AM470" s="1">
        <v>2.0</v>
      </c>
      <c r="AN470" s="1">
        <v>0.0</v>
      </c>
      <c r="AO470" s="1" t="s">
        <v>229</v>
      </c>
      <c r="AP470" s="1">
        <v>0.0</v>
      </c>
      <c r="AQ470" s="1" t="s">
        <v>327</v>
      </c>
      <c r="AR470" s="1" t="s">
        <v>192</v>
      </c>
      <c r="AS470" s="1" t="s">
        <v>199</v>
      </c>
      <c r="AT470" s="1">
        <v>2.0</v>
      </c>
      <c r="AV470" s="1" t="s">
        <v>200</v>
      </c>
      <c r="AW470" s="1">
        <v>2957.0</v>
      </c>
      <c r="AX470" s="1">
        <v>2013.0</v>
      </c>
      <c r="AY470" s="1" t="s">
        <v>387</v>
      </c>
      <c r="AZ470" s="1" t="s">
        <v>200</v>
      </c>
      <c r="BA470" s="1" t="str">
        <f>"0324201004"</f>
        <v>0324201004</v>
      </c>
      <c r="BC470" s="1">
        <v>1628.0</v>
      </c>
      <c r="BD470" s="1">
        <v>143000.0</v>
      </c>
      <c r="BE470" s="2">
        <v>41973.0</v>
      </c>
      <c r="BF470" s="1" t="s">
        <v>6381</v>
      </c>
      <c r="BH470" s="1">
        <v>0.0</v>
      </c>
      <c r="BK470" s="1" t="s">
        <v>204</v>
      </c>
      <c r="BL470" s="1" t="str">
        <f>"17"</f>
        <v>17</v>
      </c>
      <c r="BM470" s="1" t="str">
        <f>"0"</f>
        <v>0</v>
      </c>
      <c r="BN470" s="1">
        <v>32.0</v>
      </c>
      <c r="BO470" s="1">
        <v>0.0</v>
      </c>
      <c r="BQ470" s="1">
        <v>300.0</v>
      </c>
      <c r="BR470" s="1">
        <v>300.0</v>
      </c>
      <c r="BS470" s="1">
        <v>300.0</v>
      </c>
      <c r="BU470" s="1" t="s">
        <v>434</v>
      </c>
      <c r="BV470" s="1" t="s">
        <v>206</v>
      </c>
      <c r="BY470" s="1" t="s">
        <v>332</v>
      </c>
      <c r="BZ470" s="1" t="s">
        <v>206</v>
      </c>
      <c r="CA470" s="1" t="s">
        <v>210</v>
      </c>
      <c r="CD470" s="1" t="s">
        <v>204</v>
      </c>
      <c r="CG470" s="1" t="s">
        <v>264</v>
      </c>
      <c r="CH470" s="1" t="s">
        <v>206</v>
      </c>
      <c r="CI470" s="1" t="s">
        <v>210</v>
      </c>
      <c r="CK470" s="1" t="s">
        <v>495</v>
      </c>
      <c r="CL470" s="1" t="s">
        <v>206</v>
      </c>
      <c r="CM470" s="1" t="s">
        <v>210</v>
      </c>
      <c r="CO470" s="1" t="s">
        <v>433</v>
      </c>
      <c r="CP470" s="1" t="s">
        <v>1697</v>
      </c>
      <c r="CQ470" s="1" t="s">
        <v>268</v>
      </c>
      <c r="CS470" s="1" t="s">
        <v>361</v>
      </c>
      <c r="CT470" s="1" t="s">
        <v>206</v>
      </c>
      <c r="CU470" s="1" t="s">
        <v>301</v>
      </c>
      <c r="CW470" s="1" t="s">
        <v>433</v>
      </c>
      <c r="CX470" s="1" t="s">
        <v>1697</v>
      </c>
      <c r="CY470" s="1" t="s">
        <v>268</v>
      </c>
      <c r="DA470" s="1" t="s">
        <v>200</v>
      </c>
      <c r="DC470" s="1" t="s">
        <v>517</v>
      </c>
      <c r="DD470" s="1" t="s">
        <v>518</v>
      </c>
      <c r="DE470" s="1" t="s">
        <v>273</v>
      </c>
      <c r="DF470" s="1" t="s">
        <v>219</v>
      </c>
      <c r="DH470" s="1" t="s">
        <v>220</v>
      </c>
      <c r="DI470" s="1" t="s">
        <v>308</v>
      </c>
      <c r="DJ470" s="1" t="s">
        <v>222</v>
      </c>
      <c r="DL470" s="1" t="s">
        <v>1161</v>
      </c>
      <c r="DM470" s="1" t="s">
        <v>338</v>
      </c>
      <c r="DQ470" s="1" t="s">
        <v>228</v>
      </c>
      <c r="DR470" s="1" t="s">
        <v>229</v>
      </c>
      <c r="DS470" s="1" t="s">
        <v>230</v>
      </c>
      <c r="DV470" s="1" t="s">
        <v>232</v>
      </c>
      <c r="DW470" s="1" t="s">
        <v>233</v>
      </c>
      <c r="DX470" s="1" t="s">
        <v>234</v>
      </c>
      <c r="DY470" s="1" t="s">
        <v>1006</v>
      </c>
      <c r="EA470" s="1" t="s">
        <v>554</v>
      </c>
      <c r="EC470" s="1" t="s">
        <v>284</v>
      </c>
      <c r="ED470" s="1" t="s">
        <v>407</v>
      </c>
      <c r="EM470" s="1" t="s">
        <v>238</v>
      </c>
      <c r="EQ470" s="1" t="s">
        <v>238</v>
      </c>
      <c r="EU470" s="1" t="s">
        <v>238</v>
      </c>
      <c r="EY470" s="1" t="s">
        <v>238</v>
      </c>
      <c r="FC470" s="1" t="s">
        <v>238</v>
      </c>
      <c r="FF470" s="1" t="s">
        <v>239</v>
      </c>
      <c r="FG470" s="1" t="s">
        <v>192</v>
      </c>
      <c r="FH470" s="1" t="s">
        <v>192</v>
      </c>
      <c r="FJ470" s="1" t="s">
        <v>1450</v>
      </c>
      <c r="FK470" s="1" t="s">
        <v>229</v>
      </c>
      <c r="FL470" s="1" t="s">
        <v>6382</v>
      </c>
      <c r="FM470" s="1">
        <v>267.0</v>
      </c>
      <c r="FN470" s="1" t="s">
        <v>6383</v>
      </c>
      <c r="FO470" s="1" t="s">
        <v>6384</v>
      </c>
      <c r="FP470" s="1">
        <v>77526.0</v>
      </c>
      <c r="FQ470" s="1" t="s">
        <v>6383</v>
      </c>
      <c r="FU470" s="1" t="s">
        <v>6385</v>
      </c>
      <c r="FV470" s="1" t="s">
        <v>200</v>
      </c>
      <c r="FW470" s="1" t="s">
        <v>530</v>
      </c>
      <c r="FZ470" s="1" t="s">
        <v>229</v>
      </c>
      <c r="GA470" s="1" t="s">
        <v>291</v>
      </c>
      <c r="GB470" s="2">
        <v>42076.0</v>
      </c>
      <c r="GC470" s="1" t="s">
        <v>6386</v>
      </c>
    </row>
    <row r="471">
      <c r="A471" s="1">
        <v>246000.0</v>
      </c>
      <c r="B471" s="1" t="s">
        <v>185</v>
      </c>
      <c r="C471" s="1" t="str">
        <f>"08793242"</f>
        <v>08793242</v>
      </c>
      <c r="D471" s="1" t="s">
        <v>186</v>
      </c>
      <c r="F471" s="1" t="str">
        <f>"634"</f>
        <v>634</v>
      </c>
      <c r="G471" s="2">
        <v>41969.0</v>
      </c>
      <c r="H471" s="1">
        <v>272900.0</v>
      </c>
      <c r="I471" s="1">
        <v>77.0</v>
      </c>
      <c r="J471" s="1">
        <v>249900.0</v>
      </c>
      <c r="K471" s="2">
        <v>42045.0</v>
      </c>
      <c r="L471" s="1">
        <v>77.0</v>
      </c>
      <c r="M471" s="2">
        <v>42045.0</v>
      </c>
      <c r="N471" s="1" t="s">
        <v>187</v>
      </c>
      <c r="O471" s="2">
        <v>42124.0</v>
      </c>
      <c r="P471" s="1">
        <v>28990.0</v>
      </c>
      <c r="Q471" s="1">
        <v>8426.0</v>
      </c>
      <c r="S471" s="1">
        <v>8209.0</v>
      </c>
      <c r="T471" s="1" t="s">
        <v>6387</v>
      </c>
      <c r="U471" s="1" t="s">
        <v>189</v>
      </c>
      <c r="V471" s="1" t="s">
        <v>6388</v>
      </c>
      <c r="W471" s="1">
        <v>60706.0</v>
      </c>
      <c r="Y471" s="1" t="s">
        <v>6389</v>
      </c>
      <c r="Z471" s="1">
        <v>1953.0</v>
      </c>
      <c r="AA471" s="1" t="s">
        <v>192</v>
      </c>
      <c r="AB471" s="1" t="s">
        <v>193</v>
      </c>
      <c r="AD471" s="1" t="s">
        <v>6390</v>
      </c>
      <c r="AE471" s="1" t="s">
        <v>195</v>
      </c>
      <c r="AF471" s="1" t="s">
        <v>2347</v>
      </c>
      <c r="AH471" s="1" t="s">
        <v>6391</v>
      </c>
      <c r="AI471" s="1">
        <v>0.1176</v>
      </c>
      <c r="AK471" s="1">
        <v>6.0</v>
      </c>
      <c r="AL471" s="1">
        <v>4.0</v>
      </c>
      <c r="AM471" s="1">
        <v>1.0</v>
      </c>
      <c r="AN471" s="1">
        <v>1.0</v>
      </c>
      <c r="AO471" s="1" t="s">
        <v>229</v>
      </c>
      <c r="AQ471" s="1" t="s">
        <v>198</v>
      </c>
      <c r="AR471" s="1" t="s">
        <v>192</v>
      </c>
      <c r="AS471" s="1" t="s">
        <v>199</v>
      </c>
      <c r="AT471" s="1">
        <v>2.0</v>
      </c>
      <c r="AV471" s="1" t="s">
        <v>200</v>
      </c>
      <c r="AW471" s="1">
        <v>5799.77</v>
      </c>
      <c r="AX471" s="1">
        <v>2012.0</v>
      </c>
      <c r="AZ471" s="1" t="s">
        <v>200</v>
      </c>
      <c r="BA471" s="1" t="str">
        <f>"12142040330000"</f>
        <v>12142040330000</v>
      </c>
      <c r="BC471" s="1">
        <v>1174.0</v>
      </c>
      <c r="BD471" s="1">
        <v>246000.0</v>
      </c>
      <c r="BE471" s="2">
        <v>41969.0</v>
      </c>
      <c r="BF471" s="1" t="s">
        <v>6392</v>
      </c>
      <c r="BH471" s="1">
        <v>0.0</v>
      </c>
      <c r="BK471" s="1" t="s">
        <v>204</v>
      </c>
      <c r="BL471" s="1" t="str">
        <f>"4600"</f>
        <v>4600</v>
      </c>
      <c r="BM471" s="1" t="str">
        <f>""</f>
        <v/>
      </c>
      <c r="BN471" s="1">
        <v>8209.0</v>
      </c>
      <c r="BQ471" s="1">
        <v>234.0</v>
      </c>
      <c r="BR471" s="1">
        <v>234.0</v>
      </c>
      <c r="BS471" s="1">
        <v>234.0</v>
      </c>
      <c r="BU471" s="1" t="s">
        <v>582</v>
      </c>
      <c r="BV471" s="1" t="s">
        <v>206</v>
      </c>
      <c r="BY471" s="1" t="s">
        <v>497</v>
      </c>
      <c r="BZ471" s="1" t="s">
        <v>206</v>
      </c>
      <c r="CD471" s="1" t="s">
        <v>204</v>
      </c>
      <c r="CG471" s="1" t="s">
        <v>816</v>
      </c>
      <c r="CH471" s="1" t="s">
        <v>206</v>
      </c>
      <c r="CK471" s="1" t="s">
        <v>816</v>
      </c>
      <c r="CL471" s="1" t="s">
        <v>206</v>
      </c>
      <c r="CO471" s="1" t="s">
        <v>269</v>
      </c>
      <c r="CP471" s="1" t="s">
        <v>206</v>
      </c>
      <c r="CS471" s="1" t="s">
        <v>647</v>
      </c>
      <c r="CT471" s="1" t="s">
        <v>206</v>
      </c>
      <c r="CX471" s="1" t="s">
        <v>204</v>
      </c>
      <c r="DA471" s="1" t="s">
        <v>200</v>
      </c>
      <c r="DC471" s="1" t="s">
        <v>702</v>
      </c>
      <c r="DD471" s="1" t="s">
        <v>518</v>
      </c>
      <c r="DE471" s="1" t="s">
        <v>273</v>
      </c>
      <c r="DF471" s="1" t="s">
        <v>219</v>
      </c>
      <c r="DH471" s="1" t="s">
        <v>365</v>
      </c>
      <c r="DJ471" s="1" t="s">
        <v>222</v>
      </c>
      <c r="DL471" s="1" t="s">
        <v>858</v>
      </c>
      <c r="DM471" s="1" t="s">
        <v>229</v>
      </c>
      <c r="DP471" s="1" t="s">
        <v>276</v>
      </c>
      <c r="DQ471" s="1" t="s">
        <v>228</v>
      </c>
      <c r="DR471" s="1" t="s">
        <v>229</v>
      </c>
      <c r="DV471" s="1" t="s">
        <v>232</v>
      </c>
      <c r="DW471" s="1" t="s">
        <v>279</v>
      </c>
      <c r="DX471" s="1" t="s">
        <v>234</v>
      </c>
      <c r="DY471" s="1" t="s">
        <v>704</v>
      </c>
      <c r="DZ471" s="1" t="s">
        <v>310</v>
      </c>
      <c r="EC471" s="1" t="s">
        <v>685</v>
      </c>
      <c r="EM471" s="1" t="s">
        <v>238</v>
      </c>
      <c r="EQ471" s="1" t="s">
        <v>238</v>
      </c>
      <c r="EU471" s="1" t="s">
        <v>238</v>
      </c>
      <c r="EY471" s="1" t="s">
        <v>238</v>
      </c>
      <c r="FC471" s="1" t="s">
        <v>238</v>
      </c>
      <c r="FF471" s="1" t="s">
        <v>239</v>
      </c>
      <c r="FG471" s="1" t="s">
        <v>192</v>
      </c>
      <c r="FH471" s="1" t="s">
        <v>192</v>
      </c>
      <c r="FJ471" s="1" t="s">
        <v>1248</v>
      </c>
      <c r="FK471" s="1" t="s">
        <v>229</v>
      </c>
      <c r="FL471" s="1" t="s">
        <v>1358</v>
      </c>
      <c r="FM471" s="1">
        <v>3970.0</v>
      </c>
      <c r="FN471" s="1" t="s">
        <v>5118</v>
      </c>
      <c r="FO471" s="1" t="s">
        <v>5119</v>
      </c>
      <c r="FP471" s="1">
        <v>38687.0</v>
      </c>
      <c r="FQ471" s="1" t="s">
        <v>5120</v>
      </c>
      <c r="FU471" s="1" t="s">
        <v>5121</v>
      </c>
      <c r="FV471" s="1" t="s">
        <v>200</v>
      </c>
      <c r="FW471" s="1" t="s">
        <v>354</v>
      </c>
      <c r="FX471" s="1" t="s">
        <v>246</v>
      </c>
      <c r="FZ471" s="1" t="s">
        <v>229</v>
      </c>
      <c r="GA471" s="1" t="s">
        <v>291</v>
      </c>
      <c r="GB471" s="2">
        <v>42125.0</v>
      </c>
      <c r="GC471" s="1" t="s">
        <v>6393</v>
      </c>
    </row>
    <row r="472">
      <c r="A472" s="1">
        <v>270000.0</v>
      </c>
      <c r="B472" s="1" t="s">
        <v>185</v>
      </c>
      <c r="C472" s="1" t="str">
        <f>"08791830"</f>
        <v>08791830</v>
      </c>
      <c r="D472" s="1" t="s">
        <v>186</v>
      </c>
      <c r="F472" s="1" t="str">
        <f t="shared" ref="F472:F473" si="315">"123"</f>
        <v>123</v>
      </c>
      <c r="G472" s="2">
        <v>41967.0</v>
      </c>
      <c r="H472" s="1">
        <v>284900.0</v>
      </c>
      <c r="I472" s="1">
        <v>61.0</v>
      </c>
      <c r="J472" s="1">
        <v>284900.0</v>
      </c>
      <c r="K472" s="2">
        <v>42027.0</v>
      </c>
      <c r="L472" s="1">
        <v>61.0</v>
      </c>
      <c r="M472" s="2">
        <v>42027.0</v>
      </c>
      <c r="N472" s="1" t="s">
        <v>356</v>
      </c>
      <c r="O472" s="2">
        <v>42073.0</v>
      </c>
      <c r="P472" s="1">
        <v>501194.0</v>
      </c>
      <c r="Q472" s="1">
        <v>51720.0</v>
      </c>
      <c r="R472" s="1">
        <v>6000.0</v>
      </c>
      <c r="S472" s="1">
        <v>1073.0</v>
      </c>
      <c r="T472" s="1" t="s">
        <v>6394</v>
      </c>
      <c r="U472" s="1" t="s">
        <v>569</v>
      </c>
      <c r="V472" s="1" t="s">
        <v>465</v>
      </c>
      <c r="W472" s="1">
        <v>60120.0</v>
      </c>
      <c r="Y472" s="1" t="s">
        <v>6395</v>
      </c>
      <c r="Z472" s="1">
        <v>1995.0</v>
      </c>
      <c r="AA472" s="1" t="s">
        <v>200</v>
      </c>
      <c r="AB472" s="1" t="s">
        <v>193</v>
      </c>
      <c r="AC472" s="1" t="s">
        <v>6396</v>
      </c>
      <c r="AD472" s="1" t="s">
        <v>469</v>
      </c>
      <c r="AE472" s="1" t="s">
        <v>195</v>
      </c>
      <c r="AF472" s="1" t="s">
        <v>469</v>
      </c>
      <c r="AH472" s="1" t="s">
        <v>6397</v>
      </c>
      <c r="AI472" s="1">
        <v>0.2221</v>
      </c>
      <c r="AK472" s="1">
        <v>8.0</v>
      </c>
      <c r="AL472" s="1">
        <v>4.0</v>
      </c>
      <c r="AM472" s="1">
        <v>2.0</v>
      </c>
      <c r="AN472" s="1">
        <v>1.0</v>
      </c>
      <c r="AO472" s="1" t="s">
        <v>198</v>
      </c>
      <c r="AP472" s="1">
        <v>1.0</v>
      </c>
      <c r="AQ472" s="1" t="s">
        <v>1314</v>
      </c>
      <c r="AR472" s="1" t="s">
        <v>200</v>
      </c>
      <c r="AS472" s="1" t="s">
        <v>199</v>
      </c>
      <c r="AT472" s="1">
        <v>3.0</v>
      </c>
      <c r="AV472" s="1" t="s">
        <v>200</v>
      </c>
      <c r="AW472" s="1">
        <v>8408.94</v>
      </c>
      <c r="AX472" s="1">
        <v>2013.0</v>
      </c>
      <c r="AZ472" s="1" t="s">
        <v>200</v>
      </c>
      <c r="BA472" s="1" t="str">
        <f>"06072190050000"</f>
        <v>06072190050000</v>
      </c>
      <c r="BC472" s="1">
        <v>2389.0</v>
      </c>
      <c r="BD472" s="1">
        <v>270000.0</v>
      </c>
      <c r="BE472" s="2">
        <v>41967.0</v>
      </c>
      <c r="BF472" s="2" t="s">
        <v>6398</v>
      </c>
      <c r="BH472" s="1">
        <v>240.0</v>
      </c>
      <c r="BK472" s="1" t="s">
        <v>580</v>
      </c>
      <c r="BL472" s="1" t="str">
        <f t="shared" ref="BL472:BM472" si="314">""</f>
        <v/>
      </c>
      <c r="BM472" s="1" t="str">
        <f t="shared" si="314"/>
        <v/>
      </c>
      <c r="BQ472" s="1">
        <v>46.0</v>
      </c>
      <c r="BR472" s="1">
        <v>46.0</v>
      </c>
      <c r="BS472" s="1">
        <v>46.0</v>
      </c>
      <c r="BU472" s="1" t="s">
        <v>205</v>
      </c>
      <c r="BV472" s="1" t="s">
        <v>206</v>
      </c>
      <c r="BW472" s="1" t="s">
        <v>210</v>
      </c>
      <c r="BX472" s="1" t="s">
        <v>239</v>
      </c>
      <c r="BY472" s="1" t="s">
        <v>664</v>
      </c>
      <c r="BZ472" s="1" t="s">
        <v>209</v>
      </c>
      <c r="CA472" s="1" t="s">
        <v>210</v>
      </c>
      <c r="CC472" s="1" t="s">
        <v>363</v>
      </c>
      <c r="CD472" s="1" t="s">
        <v>206</v>
      </c>
      <c r="CE472" s="1" t="s">
        <v>210</v>
      </c>
      <c r="CF472" s="1" t="s">
        <v>239</v>
      </c>
      <c r="CG472" s="1" t="s">
        <v>582</v>
      </c>
      <c r="CH472" s="1" t="s">
        <v>209</v>
      </c>
      <c r="CI472" s="1" t="s">
        <v>210</v>
      </c>
      <c r="CK472" s="1" t="s">
        <v>497</v>
      </c>
      <c r="CL472" s="1" t="s">
        <v>209</v>
      </c>
      <c r="CM472" s="1" t="s">
        <v>210</v>
      </c>
      <c r="CO472" s="1" t="s">
        <v>495</v>
      </c>
      <c r="CP472" s="1" t="s">
        <v>209</v>
      </c>
      <c r="CQ472" s="1" t="s">
        <v>210</v>
      </c>
      <c r="CS472" s="1" t="s">
        <v>6399</v>
      </c>
      <c r="CT472" s="1" t="s">
        <v>206</v>
      </c>
      <c r="CU472" s="1" t="s">
        <v>268</v>
      </c>
      <c r="CW472" s="1" t="s">
        <v>784</v>
      </c>
      <c r="CX472" s="1" t="s">
        <v>206</v>
      </c>
      <c r="CY472" s="1" t="s">
        <v>210</v>
      </c>
      <c r="DA472" s="1" t="s">
        <v>200</v>
      </c>
      <c r="DC472" s="1" t="s">
        <v>678</v>
      </c>
      <c r="DD472" s="1" t="s">
        <v>436</v>
      </c>
      <c r="DE472" s="1" t="s">
        <v>273</v>
      </c>
      <c r="DF472" s="1" t="s">
        <v>219</v>
      </c>
      <c r="DH472" s="1" t="s">
        <v>220</v>
      </c>
      <c r="DI472" s="1" t="s">
        <v>703</v>
      </c>
      <c r="DJ472" s="1" t="s">
        <v>222</v>
      </c>
      <c r="DL472" s="1" t="s">
        <v>223</v>
      </c>
      <c r="DM472" s="1" t="s">
        <v>338</v>
      </c>
      <c r="DN472" s="1" t="s">
        <v>548</v>
      </c>
      <c r="DO472" s="1" t="s">
        <v>549</v>
      </c>
      <c r="DP472" s="1" t="s">
        <v>400</v>
      </c>
      <c r="DQ472" s="1" t="s">
        <v>441</v>
      </c>
      <c r="DR472" s="1" t="s">
        <v>229</v>
      </c>
      <c r="DV472" s="1" t="s">
        <v>232</v>
      </c>
      <c r="DW472" s="1" t="s">
        <v>233</v>
      </c>
      <c r="DX472" s="1" t="s">
        <v>234</v>
      </c>
      <c r="DY472" s="1" t="s">
        <v>3846</v>
      </c>
      <c r="DZ472" s="1" t="s">
        <v>2424</v>
      </c>
      <c r="EB472" s="1" t="s">
        <v>345</v>
      </c>
      <c r="EC472" s="1" t="s">
        <v>237</v>
      </c>
      <c r="EM472" s="1" t="s">
        <v>238</v>
      </c>
      <c r="EQ472" s="1" t="s">
        <v>238</v>
      </c>
      <c r="EU472" s="1" t="s">
        <v>238</v>
      </c>
      <c r="EY472" s="1" t="s">
        <v>238</v>
      </c>
      <c r="FC472" s="1" t="s">
        <v>238</v>
      </c>
      <c r="FF472" s="1" t="s">
        <v>239</v>
      </c>
      <c r="FG472" s="1" t="s">
        <v>192</v>
      </c>
      <c r="FH472" s="1" t="s">
        <v>192</v>
      </c>
      <c r="FJ472" s="1" t="s">
        <v>4892</v>
      </c>
      <c r="FK472" s="1" t="s">
        <v>229</v>
      </c>
      <c r="FL472" s="1" t="s">
        <v>562</v>
      </c>
      <c r="FM472" s="1">
        <v>4777.0</v>
      </c>
      <c r="FN472" s="1" t="s">
        <v>6112</v>
      </c>
      <c r="FO472" s="1" t="s">
        <v>6400</v>
      </c>
      <c r="FP472" s="1">
        <v>39265.0</v>
      </c>
      <c r="FQ472" s="1" t="s">
        <v>6401</v>
      </c>
      <c r="FU472" s="1" t="s">
        <v>6402</v>
      </c>
      <c r="FV472" s="1" t="s">
        <v>200</v>
      </c>
      <c r="FW472" s="1" t="s">
        <v>6403</v>
      </c>
      <c r="FZ472" s="1" t="s">
        <v>229</v>
      </c>
      <c r="GA472" s="1" t="s">
        <v>291</v>
      </c>
      <c r="GB472" s="2">
        <v>42073.0</v>
      </c>
      <c r="GC472" s="1" t="s">
        <v>6404</v>
      </c>
    </row>
    <row r="473">
      <c r="A473" s="1">
        <v>41000.0</v>
      </c>
      <c r="B473" s="1" t="s">
        <v>185</v>
      </c>
      <c r="C473" s="1" t="str">
        <f>"08793429"</f>
        <v>08793429</v>
      </c>
      <c r="D473" s="1" t="s">
        <v>186</v>
      </c>
      <c r="F473" s="1" t="str">
        <f t="shared" si="315"/>
        <v>123</v>
      </c>
      <c r="G473" s="2">
        <v>41970.0</v>
      </c>
      <c r="H473" s="1">
        <v>37100.0</v>
      </c>
      <c r="I473" s="1">
        <v>20.0</v>
      </c>
      <c r="J473" s="1">
        <v>37100.0</v>
      </c>
      <c r="K473" s="2">
        <v>41989.0</v>
      </c>
      <c r="L473" s="1">
        <v>20.0</v>
      </c>
      <c r="M473" s="2">
        <v>41989.0</v>
      </c>
      <c r="N473" s="1" t="s">
        <v>249</v>
      </c>
      <c r="O473" s="2">
        <v>42080.0</v>
      </c>
      <c r="P473" s="1">
        <v>8132.0</v>
      </c>
      <c r="Q473" s="1">
        <v>264.0</v>
      </c>
      <c r="S473" s="1">
        <v>418.0</v>
      </c>
      <c r="T473" s="1" t="s">
        <v>6405</v>
      </c>
      <c r="U473" s="1" t="s">
        <v>320</v>
      </c>
      <c r="V473" s="1" t="s">
        <v>465</v>
      </c>
      <c r="W473" s="1">
        <v>60120.0</v>
      </c>
      <c r="Y473" s="1" t="s">
        <v>6406</v>
      </c>
      <c r="Z473" s="1">
        <v>1901.0</v>
      </c>
      <c r="AA473" s="1" t="s">
        <v>192</v>
      </c>
      <c r="AB473" s="1" t="s">
        <v>193</v>
      </c>
      <c r="AD473" s="1" t="s">
        <v>469</v>
      </c>
      <c r="AE473" s="1" t="s">
        <v>325</v>
      </c>
      <c r="AF473" s="1" t="s">
        <v>469</v>
      </c>
      <c r="AH473" s="1" t="s">
        <v>6407</v>
      </c>
      <c r="AI473" s="1">
        <v>0.1612</v>
      </c>
      <c r="AK473" s="1">
        <v>8.0</v>
      </c>
      <c r="AL473" s="1">
        <v>4.0</v>
      </c>
      <c r="AM473" s="1">
        <v>2.0</v>
      </c>
      <c r="AN473" s="1">
        <v>0.0</v>
      </c>
      <c r="AO473" s="1" t="s">
        <v>229</v>
      </c>
      <c r="AQ473" s="1" t="s">
        <v>198</v>
      </c>
      <c r="AR473" s="1" t="s">
        <v>200</v>
      </c>
      <c r="AS473" s="1" t="s">
        <v>229</v>
      </c>
      <c r="AV473" s="1" t="s">
        <v>200</v>
      </c>
      <c r="AW473" s="1">
        <v>3815.96</v>
      </c>
      <c r="AX473" s="1">
        <v>2013.0</v>
      </c>
      <c r="AZ473" s="1" t="s">
        <v>545</v>
      </c>
      <c r="BA473" s="1" t="str">
        <f>"0624402012"</f>
        <v>0624402012</v>
      </c>
      <c r="BC473" s="1">
        <v>1764.0</v>
      </c>
      <c r="BD473" s="1">
        <v>41000.0</v>
      </c>
      <c r="BE473" s="2">
        <v>41970.0</v>
      </c>
      <c r="BF473" s="2" t="s">
        <v>3507</v>
      </c>
      <c r="BH473" s="1">
        <v>0.0</v>
      </c>
      <c r="BK473" s="1" t="s">
        <v>204</v>
      </c>
      <c r="BL473" s="1" t="str">
        <f>"10"</f>
        <v>10</v>
      </c>
      <c r="BM473" s="1" t="str">
        <f>"0"</f>
        <v>0</v>
      </c>
      <c r="BN473" s="1">
        <v>33.0</v>
      </c>
      <c r="BO473" s="1">
        <v>0.0</v>
      </c>
      <c r="BQ473" s="1">
        <v>46.0</v>
      </c>
      <c r="BR473" s="1">
        <v>46.0</v>
      </c>
      <c r="BS473" s="1">
        <v>46.0</v>
      </c>
      <c r="BU473" s="1" t="s">
        <v>433</v>
      </c>
      <c r="BV473" s="1" t="s">
        <v>206</v>
      </c>
      <c r="BY473" s="1" t="s">
        <v>393</v>
      </c>
      <c r="BZ473" s="1" t="s">
        <v>209</v>
      </c>
      <c r="CC473" s="1" t="s">
        <v>269</v>
      </c>
      <c r="CD473" s="1" t="s">
        <v>206</v>
      </c>
      <c r="CG473" s="1" t="s">
        <v>363</v>
      </c>
      <c r="CH473" s="1" t="s">
        <v>209</v>
      </c>
      <c r="CK473" s="1" t="s">
        <v>264</v>
      </c>
      <c r="CL473" s="1" t="s">
        <v>209</v>
      </c>
      <c r="CO473" s="1" t="s">
        <v>269</v>
      </c>
      <c r="CP473" s="1" t="s">
        <v>209</v>
      </c>
      <c r="CS473" s="1" t="s">
        <v>433</v>
      </c>
      <c r="CT473" s="1" t="s">
        <v>206</v>
      </c>
      <c r="CW473" s="1" t="s">
        <v>2219</v>
      </c>
      <c r="CX473" s="1" t="s">
        <v>206</v>
      </c>
      <c r="DA473" s="1" t="s">
        <v>200</v>
      </c>
      <c r="DC473" s="1" t="s">
        <v>642</v>
      </c>
      <c r="DE473" s="1" t="s">
        <v>273</v>
      </c>
      <c r="DF473" s="1" t="s">
        <v>219</v>
      </c>
      <c r="DH473" s="1" t="s">
        <v>220</v>
      </c>
      <c r="DJ473" s="1" t="s">
        <v>222</v>
      </c>
      <c r="DL473" s="1" t="s">
        <v>223</v>
      </c>
      <c r="DM473" s="1" t="s">
        <v>229</v>
      </c>
      <c r="DQ473" s="1" t="s">
        <v>228</v>
      </c>
      <c r="DR473" s="1" t="s">
        <v>229</v>
      </c>
      <c r="DV473" s="1" t="s">
        <v>232</v>
      </c>
      <c r="DW473" s="1" t="s">
        <v>588</v>
      </c>
      <c r="DX473" s="1" t="s">
        <v>234</v>
      </c>
      <c r="EC473" s="1" t="s">
        <v>237</v>
      </c>
      <c r="EE473" s="1" t="s">
        <v>1960</v>
      </c>
      <c r="EM473" s="1" t="s">
        <v>238</v>
      </c>
      <c r="EQ473" s="1" t="s">
        <v>238</v>
      </c>
      <c r="EU473" s="1" t="s">
        <v>238</v>
      </c>
      <c r="EY473" s="1" t="s">
        <v>238</v>
      </c>
      <c r="FC473" s="1" t="s">
        <v>238</v>
      </c>
      <c r="FF473" s="1" t="s">
        <v>239</v>
      </c>
      <c r="FG473" s="1" t="s">
        <v>192</v>
      </c>
      <c r="FH473" s="1" t="s">
        <v>192</v>
      </c>
      <c r="FJ473" s="1" t="s">
        <v>3509</v>
      </c>
      <c r="FK473" s="1" t="s">
        <v>229</v>
      </c>
      <c r="FL473" s="1" t="s">
        <v>3033</v>
      </c>
      <c r="FM473" s="1">
        <v>1984.0</v>
      </c>
      <c r="FN473" s="1" t="s">
        <v>3034</v>
      </c>
      <c r="FO473" s="1" t="s">
        <v>3035</v>
      </c>
      <c r="FP473" s="1">
        <v>922950.0</v>
      </c>
      <c r="FU473" s="1" t="s">
        <v>3036</v>
      </c>
      <c r="FV473" s="1" t="s">
        <v>200</v>
      </c>
      <c r="FW473" s="1" t="s">
        <v>3037</v>
      </c>
      <c r="FZ473" s="1" t="s">
        <v>229</v>
      </c>
      <c r="GA473" s="1" t="s">
        <v>291</v>
      </c>
      <c r="GB473" s="2">
        <v>42082.0</v>
      </c>
      <c r="GC473" s="1" t="s">
        <v>3510</v>
      </c>
    </row>
    <row r="474">
      <c r="A474" s="1">
        <v>200000.0</v>
      </c>
      <c r="B474" s="1" t="s">
        <v>185</v>
      </c>
      <c r="C474" s="1" t="str">
        <f>"08796587"</f>
        <v>08796587</v>
      </c>
      <c r="D474" s="1" t="s">
        <v>186</v>
      </c>
      <c r="F474" s="1" t="str">
        <f>"103"</f>
        <v>103</v>
      </c>
      <c r="G474" s="2">
        <v>41977.0</v>
      </c>
      <c r="H474" s="1">
        <v>210000.0</v>
      </c>
      <c r="I474" s="1">
        <v>204.0</v>
      </c>
      <c r="J474" s="1">
        <v>210000.0</v>
      </c>
      <c r="K474" s="2">
        <v>42017.0</v>
      </c>
      <c r="L474" s="1">
        <v>41.0</v>
      </c>
      <c r="M474" s="2">
        <v>42017.0</v>
      </c>
      <c r="N474" s="1" t="s">
        <v>356</v>
      </c>
      <c r="O474" s="2">
        <v>42069.0</v>
      </c>
      <c r="P474" s="1">
        <v>180200.0</v>
      </c>
      <c r="Q474" s="1">
        <v>14402.0</v>
      </c>
      <c r="R474" s="1">
        <v>5000.0</v>
      </c>
      <c r="S474" s="1">
        <v>3885.0</v>
      </c>
      <c r="T474" s="1" t="s">
        <v>6408</v>
      </c>
      <c r="U474" s="1" t="s">
        <v>569</v>
      </c>
      <c r="V474" s="1" t="s">
        <v>251</v>
      </c>
      <c r="W474" s="1">
        <v>60133.0</v>
      </c>
      <c r="Y474" s="1" t="s">
        <v>6409</v>
      </c>
      <c r="Z474" s="1">
        <v>1978.0</v>
      </c>
      <c r="AA474" s="1" t="s">
        <v>200</v>
      </c>
      <c r="AB474" s="1" t="s">
        <v>193</v>
      </c>
      <c r="AC474" s="1" t="s">
        <v>6410</v>
      </c>
      <c r="AD474" s="1" t="s">
        <v>254</v>
      </c>
      <c r="AE474" s="1" t="s">
        <v>1258</v>
      </c>
      <c r="AF474" s="1" t="s">
        <v>3935</v>
      </c>
      <c r="AH474" s="1" t="s">
        <v>6411</v>
      </c>
      <c r="AK474" s="1">
        <v>8.0</v>
      </c>
      <c r="AL474" s="1">
        <v>4.0</v>
      </c>
      <c r="AM474" s="1">
        <v>2.0</v>
      </c>
      <c r="AN474" s="1">
        <v>1.0</v>
      </c>
      <c r="AO474" s="1" t="s">
        <v>198</v>
      </c>
      <c r="AP474" s="1">
        <v>1.0</v>
      </c>
      <c r="AQ474" s="1" t="s">
        <v>229</v>
      </c>
      <c r="AR474" s="1" t="s">
        <v>200</v>
      </c>
      <c r="AS474" s="1" t="s">
        <v>199</v>
      </c>
      <c r="AT474" s="1">
        <v>2.0</v>
      </c>
      <c r="AV474" s="1" t="s">
        <v>200</v>
      </c>
      <c r="AW474" s="1">
        <v>8425.88</v>
      </c>
      <c r="AX474" s="1">
        <v>2013.0</v>
      </c>
      <c r="AY474" s="1" t="s">
        <v>229</v>
      </c>
      <c r="AZ474" s="1" t="s">
        <v>200</v>
      </c>
      <c r="BA474" s="1" t="str">
        <f>"0124104010"</f>
        <v>0124104010</v>
      </c>
      <c r="BB474" s="1" t="s">
        <v>200</v>
      </c>
      <c r="BC474" s="1">
        <v>2200.0</v>
      </c>
      <c r="BD474" s="1">
        <v>200000.0</v>
      </c>
      <c r="BE474" s="2">
        <v>41977.0</v>
      </c>
      <c r="BF474" s="2" t="s">
        <v>6412</v>
      </c>
      <c r="BG474" s="1" t="s">
        <v>4294</v>
      </c>
      <c r="BH474" s="1">
        <v>0.0</v>
      </c>
      <c r="BI474" s="1" t="s">
        <v>4295</v>
      </c>
      <c r="BJ474" s="1" t="s">
        <v>514</v>
      </c>
      <c r="BK474" s="1" t="s">
        <v>204</v>
      </c>
      <c r="BL474" s="1" t="str">
        <f t="shared" ref="BL474:BM474" si="316">""</f>
        <v/>
      </c>
      <c r="BM474" s="1" t="str">
        <f t="shared" si="316"/>
        <v/>
      </c>
      <c r="BQ474" s="1">
        <v>46.0</v>
      </c>
      <c r="BR474" s="1">
        <v>46.0</v>
      </c>
      <c r="BS474" s="1">
        <v>46.0</v>
      </c>
      <c r="BU474" s="1" t="s">
        <v>955</v>
      </c>
      <c r="BV474" s="1" t="s">
        <v>206</v>
      </c>
      <c r="BW474" s="1" t="s">
        <v>210</v>
      </c>
      <c r="BX474" s="1" t="s">
        <v>239</v>
      </c>
      <c r="BY474" s="1" t="s">
        <v>924</v>
      </c>
      <c r="BZ474" s="1" t="s">
        <v>209</v>
      </c>
      <c r="CA474" s="1" t="s">
        <v>301</v>
      </c>
      <c r="CB474" s="1" t="s">
        <v>239</v>
      </c>
      <c r="CC474" s="1" t="s">
        <v>264</v>
      </c>
      <c r="CD474" s="1" t="s">
        <v>206</v>
      </c>
      <c r="CE474" s="1" t="s">
        <v>210</v>
      </c>
      <c r="CF474" s="1" t="s">
        <v>239</v>
      </c>
      <c r="CG474" s="1" t="s">
        <v>212</v>
      </c>
      <c r="CH474" s="1" t="s">
        <v>209</v>
      </c>
      <c r="CI474" s="1" t="s">
        <v>301</v>
      </c>
      <c r="CJ474" s="1" t="s">
        <v>239</v>
      </c>
      <c r="CK474" s="1" t="s">
        <v>264</v>
      </c>
      <c r="CL474" s="1" t="s">
        <v>209</v>
      </c>
      <c r="CM474" s="1" t="s">
        <v>301</v>
      </c>
      <c r="CN474" s="1" t="s">
        <v>239</v>
      </c>
      <c r="CO474" s="1" t="s">
        <v>269</v>
      </c>
      <c r="CP474" s="1" t="s">
        <v>209</v>
      </c>
      <c r="CQ474" s="1" t="s">
        <v>301</v>
      </c>
      <c r="CR474" s="1" t="s">
        <v>239</v>
      </c>
      <c r="CS474" s="1" t="s">
        <v>205</v>
      </c>
      <c r="CT474" s="1" t="s">
        <v>206</v>
      </c>
      <c r="CU474" s="1" t="s">
        <v>617</v>
      </c>
      <c r="CV474" s="1" t="s">
        <v>239</v>
      </c>
      <c r="CW474" s="1" t="s">
        <v>1001</v>
      </c>
      <c r="CX474" s="1" t="s">
        <v>267</v>
      </c>
      <c r="CY474" s="1" t="s">
        <v>301</v>
      </c>
      <c r="CZ474" s="1" t="s">
        <v>239</v>
      </c>
      <c r="DA474" s="1" t="s">
        <v>200</v>
      </c>
      <c r="DC474" s="1" t="s">
        <v>395</v>
      </c>
      <c r="DD474" s="1" t="s">
        <v>518</v>
      </c>
      <c r="DE474" s="1" t="s">
        <v>273</v>
      </c>
      <c r="DF474" s="1" t="s">
        <v>219</v>
      </c>
      <c r="DG474" s="1" t="s">
        <v>337</v>
      </c>
      <c r="DH474" s="1" t="s">
        <v>365</v>
      </c>
      <c r="DI474" s="1" t="s">
        <v>221</v>
      </c>
      <c r="DJ474" s="1" t="s">
        <v>222</v>
      </c>
      <c r="DL474" s="1" t="s">
        <v>1853</v>
      </c>
      <c r="DM474" s="1" t="s">
        <v>229</v>
      </c>
      <c r="DN474" s="1" t="s">
        <v>339</v>
      </c>
      <c r="DO474" s="1" t="s">
        <v>590</v>
      </c>
      <c r="DP474" s="1" t="s">
        <v>340</v>
      </c>
      <c r="DQ474" s="1" t="s">
        <v>441</v>
      </c>
      <c r="DR474" s="1" t="s">
        <v>229</v>
      </c>
      <c r="DU474" s="1" t="s">
        <v>2070</v>
      </c>
      <c r="DV474" s="1" t="s">
        <v>408</v>
      </c>
      <c r="DW474" s="1" t="s">
        <v>934</v>
      </c>
      <c r="DX474" s="1" t="s">
        <v>5015</v>
      </c>
      <c r="DY474" s="1" t="s">
        <v>861</v>
      </c>
      <c r="DZ474" s="1" t="s">
        <v>6413</v>
      </c>
      <c r="EA474" s="1" t="s">
        <v>283</v>
      </c>
      <c r="EB474" s="1" t="s">
        <v>937</v>
      </c>
      <c r="EC474" s="1" t="s">
        <v>284</v>
      </c>
      <c r="ED474" s="1" t="s">
        <v>555</v>
      </c>
      <c r="EE474" s="1" t="s">
        <v>493</v>
      </c>
      <c r="EG474" s="1" t="s">
        <v>408</v>
      </c>
      <c r="EL474" s="1" t="s">
        <v>6414</v>
      </c>
      <c r="EM474" s="1" t="s">
        <v>206</v>
      </c>
      <c r="EN474" s="1" t="s">
        <v>268</v>
      </c>
      <c r="EO474" s="1" t="s">
        <v>229</v>
      </c>
      <c r="EQ474" s="1" t="s">
        <v>238</v>
      </c>
      <c r="EU474" s="1" t="s">
        <v>238</v>
      </c>
      <c r="EY474" s="1" t="s">
        <v>238</v>
      </c>
      <c r="FC474" s="1" t="s">
        <v>238</v>
      </c>
      <c r="FF474" s="1" t="s">
        <v>239</v>
      </c>
      <c r="FG474" s="1" t="s">
        <v>192</v>
      </c>
      <c r="FH474" s="1" t="s">
        <v>192</v>
      </c>
      <c r="FJ474" s="1" t="s">
        <v>1450</v>
      </c>
      <c r="FK474" s="1" t="s">
        <v>348</v>
      </c>
      <c r="FL474" s="1" t="s">
        <v>2786</v>
      </c>
      <c r="FM474" s="1">
        <v>25266.0</v>
      </c>
      <c r="FN474" s="1" t="s">
        <v>2787</v>
      </c>
      <c r="FO474" s="1" t="s">
        <v>2788</v>
      </c>
      <c r="FP474" s="1">
        <v>231049.0</v>
      </c>
      <c r="FQ474" s="1" t="s">
        <v>2789</v>
      </c>
      <c r="FR474" s="1">
        <v>259155.0</v>
      </c>
      <c r="FS474" s="1" t="s">
        <v>6415</v>
      </c>
      <c r="FU474" s="1" t="s">
        <v>6416</v>
      </c>
      <c r="FV474" s="1" t="s">
        <v>200</v>
      </c>
      <c r="FW474" s="1" t="s">
        <v>6417</v>
      </c>
      <c r="FZ474" s="1" t="s">
        <v>229</v>
      </c>
      <c r="GA474" s="1" t="s">
        <v>291</v>
      </c>
      <c r="GB474" s="2">
        <v>42069.0</v>
      </c>
      <c r="GC474" s="1" t="s">
        <v>6418</v>
      </c>
    </row>
    <row r="475">
      <c r="A475" s="1">
        <v>261000.0</v>
      </c>
      <c r="B475" s="1" t="s">
        <v>185</v>
      </c>
      <c r="C475" s="1" t="str">
        <f>"08799157"</f>
        <v>08799157</v>
      </c>
      <c r="D475" s="1" t="s">
        <v>186</v>
      </c>
      <c r="F475" s="1" t="str">
        <f>"8010"</f>
        <v>8010</v>
      </c>
      <c r="G475" s="2">
        <v>41982.0</v>
      </c>
      <c r="H475" s="1">
        <v>284900.0</v>
      </c>
      <c r="I475" s="1">
        <v>78.0</v>
      </c>
      <c r="J475" s="1">
        <v>284900.0</v>
      </c>
      <c r="K475" s="2">
        <v>42059.0</v>
      </c>
      <c r="L475" s="1">
        <v>78.0</v>
      </c>
      <c r="M475" s="2">
        <v>42059.0</v>
      </c>
      <c r="N475" s="1" t="s">
        <v>249</v>
      </c>
      <c r="O475" s="2">
        <v>42083.0</v>
      </c>
      <c r="P475" s="1">
        <v>140316.0</v>
      </c>
      <c r="Q475" s="1">
        <v>16312.0</v>
      </c>
      <c r="S475" s="1">
        <v>6968.0</v>
      </c>
      <c r="T475" s="1" t="s">
        <v>6419</v>
      </c>
      <c r="U475" s="1" t="s">
        <v>320</v>
      </c>
      <c r="V475" s="1" t="s">
        <v>190</v>
      </c>
      <c r="W475" s="1">
        <v>60631.0</v>
      </c>
      <c r="Y475" s="1" t="s">
        <v>6420</v>
      </c>
      <c r="Z475" s="1">
        <v>1927.0</v>
      </c>
      <c r="AA475" s="1" t="s">
        <v>192</v>
      </c>
      <c r="AB475" s="1" t="s">
        <v>193</v>
      </c>
      <c r="AD475" s="1" t="s">
        <v>194</v>
      </c>
      <c r="AE475" s="1" t="s">
        <v>195</v>
      </c>
      <c r="AF475" s="1" t="s">
        <v>196</v>
      </c>
      <c r="AH475" s="1" t="s">
        <v>6421</v>
      </c>
      <c r="AI475" s="1">
        <v>0.1377</v>
      </c>
      <c r="AK475" s="1">
        <v>10.0</v>
      </c>
      <c r="AL475" s="1">
        <v>4.0</v>
      </c>
      <c r="AM475" s="1">
        <v>1.0</v>
      </c>
      <c r="AN475" s="1">
        <v>1.0</v>
      </c>
      <c r="AO475" s="1" t="s">
        <v>229</v>
      </c>
      <c r="AQ475" s="1" t="s">
        <v>198</v>
      </c>
      <c r="AR475" s="1" t="s">
        <v>200</v>
      </c>
      <c r="AS475" s="1" t="s">
        <v>199</v>
      </c>
      <c r="AT475" s="1">
        <v>1.0</v>
      </c>
      <c r="AV475" s="1" t="s">
        <v>200</v>
      </c>
      <c r="AW475" s="1">
        <v>4527.98</v>
      </c>
      <c r="AX475" s="1">
        <v>2013.0</v>
      </c>
      <c r="AY475" s="1" t="s">
        <v>229</v>
      </c>
      <c r="AZ475" s="1" t="s">
        <v>200</v>
      </c>
      <c r="BA475" s="1" t="str">
        <f>"10313080380000"</f>
        <v>10313080380000</v>
      </c>
      <c r="BC475" s="1">
        <v>1120.0</v>
      </c>
      <c r="BD475" s="1">
        <v>261000.0</v>
      </c>
      <c r="BE475" s="2">
        <v>41982.0</v>
      </c>
      <c r="BF475" s="2" t="s">
        <v>6422</v>
      </c>
      <c r="BH475" s="1">
        <v>0.0</v>
      </c>
      <c r="BK475" s="1" t="s">
        <v>204</v>
      </c>
      <c r="BL475" s="1" t="str">
        <f>"6400"</f>
        <v>6400</v>
      </c>
      <c r="BM475" s="1" t="str">
        <f>"0"</f>
        <v>0</v>
      </c>
      <c r="BN475" s="1">
        <v>6948.0</v>
      </c>
      <c r="BO475" s="1">
        <v>0.0</v>
      </c>
      <c r="BQ475" s="1">
        <v>299.0</v>
      </c>
      <c r="BR475" s="1">
        <v>299.0</v>
      </c>
      <c r="BS475" s="1">
        <v>299.0</v>
      </c>
      <c r="BU475" s="1" t="s">
        <v>214</v>
      </c>
      <c r="BV475" s="1" t="s">
        <v>206</v>
      </c>
      <c r="BW475" s="1" t="s">
        <v>210</v>
      </c>
      <c r="BX475" s="1" t="s">
        <v>239</v>
      </c>
      <c r="BY475" s="1" t="s">
        <v>332</v>
      </c>
      <c r="BZ475" s="1" t="s">
        <v>206</v>
      </c>
      <c r="CA475" s="1" t="s">
        <v>210</v>
      </c>
      <c r="CB475" s="1" t="s">
        <v>239</v>
      </c>
      <c r="CC475" s="1" t="s">
        <v>363</v>
      </c>
      <c r="CD475" s="1" t="s">
        <v>206</v>
      </c>
      <c r="CE475" s="1" t="s">
        <v>210</v>
      </c>
      <c r="CF475" s="1" t="s">
        <v>239</v>
      </c>
      <c r="CG475" s="1" t="s">
        <v>495</v>
      </c>
      <c r="CH475" s="1" t="s">
        <v>206</v>
      </c>
      <c r="CI475" s="1" t="s">
        <v>210</v>
      </c>
      <c r="CJ475" s="1" t="s">
        <v>239</v>
      </c>
      <c r="CK475" s="1" t="s">
        <v>1892</v>
      </c>
      <c r="CL475" s="1" t="s">
        <v>209</v>
      </c>
      <c r="CM475" s="1" t="s">
        <v>588</v>
      </c>
      <c r="CO475" s="1" t="s">
        <v>784</v>
      </c>
      <c r="CP475" s="1" t="s">
        <v>209</v>
      </c>
      <c r="CQ475" s="1" t="s">
        <v>588</v>
      </c>
      <c r="CR475" s="1" t="s">
        <v>239</v>
      </c>
      <c r="CS475" s="1" t="s">
        <v>699</v>
      </c>
      <c r="CT475" s="1" t="s">
        <v>206</v>
      </c>
      <c r="CU475" s="1" t="s">
        <v>617</v>
      </c>
      <c r="CV475" s="1" t="s">
        <v>229</v>
      </c>
      <c r="CX475" s="1" t="s">
        <v>204</v>
      </c>
      <c r="DA475" s="1" t="s">
        <v>200</v>
      </c>
      <c r="DC475" s="1" t="s">
        <v>785</v>
      </c>
      <c r="DD475" s="1" t="s">
        <v>518</v>
      </c>
      <c r="DE475" s="1" t="s">
        <v>229</v>
      </c>
      <c r="DF475" s="1" t="s">
        <v>6423</v>
      </c>
      <c r="DH475" s="1" t="s">
        <v>307</v>
      </c>
      <c r="DI475" s="1" t="s">
        <v>1401</v>
      </c>
      <c r="DJ475" s="1" t="s">
        <v>222</v>
      </c>
      <c r="DL475" s="1" t="s">
        <v>223</v>
      </c>
      <c r="DM475" s="1" t="s">
        <v>792</v>
      </c>
      <c r="DP475" s="1" t="s">
        <v>340</v>
      </c>
      <c r="DQ475" s="1" t="s">
        <v>794</v>
      </c>
      <c r="DR475" s="1" t="s">
        <v>229</v>
      </c>
      <c r="DV475" s="1" t="s">
        <v>6424</v>
      </c>
      <c r="DW475" s="1" t="s">
        <v>279</v>
      </c>
      <c r="DX475" s="1" t="s">
        <v>234</v>
      </c>
      <c r="DY475" s="1" t="s">
        <v>1371</v>
      </c>
      <c r="EA475" s="1" t="s">
        <v>644</v>
      </c>
      <c r="EC475" s="1" t="s">
        <v>645</v>
      </c>
      <c r="EG475" s="1" t="s">
        <v>450</v>
      </c>
      <c r="EH475" s="1" t="s">
        <v>1491</v>
      </c>
      <c r="EI475" s="1" t="s">
        <v>373</v>
      </c>
      <c r="EL475" s="1" t="s">
        <v>6425</v>
      </c>
      <c r="EM475" s="1" t="s">
        <v>42</v>
      </c>
      <c r="EN475" s="1" t="s">
        <v>588</v>
      </c>
      <c r="EP475" s="1" t="s">
        <v>375</v>
      </c>
      <c r="EQ475" s="1" t="s">
        <v>42</v>
      </c>
      <c r="ER475" s="1" t="s">
        <v>588</v>
      </c>
      <c r="ET475" s="1" t="s">
        <v>3672</v>
      </c>
      <c r="EU475" s="1" t="s">
        <v>206</v>
      </c>
      <c r="EV475" s="1" t="s">
        <v>588</v>
      </c>
      <c r="EY475" s="1" t="s">
        <v>238</v>
      </c>
      <c r="FC475" s="1" t="s">
        <v>238</v>
      </c>
      <c r="FF475" s="1" t="s">
        <v>239</v>
      </c>
      <c r="FG475" s="1" t="s">
        <v>192</v>
      </c>
      <c r="FH475" s="1" t="s">
        <v>192</v>
      </c>
      <c r="FJ475" s="1" t="s">
        <v>4122</v>
      </c>
      <c r="FK475" s="1" t="s">
        <v>229</v>
      </c>
      <c r="FL475" s="1" t="s">
        <v>413</v>
      </c>
      <c r="FM475" s="1">
        <v>13691.0</v>
      </c>
      <c r="FN475" s="1" t="s">
        <v>414</v>
      </c>
      <c r="FO475" s="1" t="s">
        <v>6426</v>
      </c>
      <c r="FP475" s="1">
        <v>162887.0</v>
      </c>
      <c r="FQ475" s="1" t="s">
        <v>6427</v>
      </c>
      <c r="FU475" s="1" t="s">
        <v>6428</v>
      </c>
      <c r="FV475" s="1" t="s">
        <v>200</v>
      </c>
      <c r="FW475" s="1" t="s">
        <v>530</v>
      </c>
      <c r="FX475" s="1" t="s">
        <v>246</v>
      </c>
      <c r="FZ475" s="1" t="s">
        <v>229</v>
      </c>
      <c r="GA475" s="1" t="s">
        <v>291</v>
      </c>
      <c r="GB475" s="2">
        <v>42083.0</v>
      </c>
    </row>
    <row r="476">
      <c r="A476" s="1">
        <v>260000.0</v>
      </c>
      <c r="B476" s="1" t="s">
        <v>185</v>
      </c>
      <c r="C476" s="1" t="str">
        <f>"08796127"</f>
        <v>08796127</v>
      </c>
      <c r="D476" s="1" t="s">
        <v>186</v>
      </c>
      <c r="F476" s="1" t="str">
        <f>"123"</f>
        <v>123</v>
      </c>
      <c r="G476" s="2">
        <v>41976.0</v>
      </c>
      <c r="H476" s="1">
        <v>255000.0</v>
      </c>
      <c r="I476" s="1">
        <v>8.0</v>
      </c>
      <c r="J476" s="1">
        <v>255000.0</v>
      </c>
      <c r="K476" s="2">
        <v>41981.0</v>
      </c>
      <c r="L476" s="1">
        <v>6.0</v>
      </c>
      <c r="M476" s="2">
        <v>41981.0</v>
      </c>
      <c r="N476" s="1" t="s">
        <v>249</v>
      </c>
      <c r="O476" s="2">
        <v>42031.0</v>
      </c>
      <c r="P476" s="1">
        <v>8589.0</v>
      </c>
      <c r="Q476" s="1">
        <v>289.0</v>
      </c>
      <c r="S476" s="1" t="s">
        <v>6429</v>
      </c>
      <c r="T476" s="1" t="s">
        <v>6430</v>
      </c>
      <c r="U476" s="1" t="s">
        <v>1174</v>
      </c>
      <c r="V476" s="1" t="s">
        <v>465</v>
      </c>
      <c r="W476" s="1">
        <v>60124.0</v>
      </c>
      <c r="Y476" s="1" t="s">
        <v>6431</v>
      </c>
      <c r="Z476" s="1">
        <v>1979.0</v>
      </c>
      <c r="AA476" s="1" t="s">
        <v>200</v>
      </c>
      <c r="AB476" s="1" t="s">
        <v>193</v>
      </c>
      <c r="AD476" s="1" t="s">
        <v>1089</v>
      </c>
      <c r="AE476" s="1" t="s">
        <v>325</v>
      </c>
      <c r="AF476" s="1" t="s">
        <v>469</v>
      </c>
      <c r="AG476" s="1" t="s">
        <v>6432</v>
      </c>
      <c r="AH476" s="1" t="s">
        <v>6433</v>
      </c>
      <c r="AI476" s="1">
        <v>0.58</v>
      </c>
      <c r="AK476" s="1">
        <v>9.0</v>
      </c>
      <c r="AL476" s="1">
        <v>4.0</v>
      </c>
      <c r="AM476" s="1">
        <v>2.0</v>
      </c>
      <c r="AN476" s="1">
        <v>1.0</v>
      </c>
      <c r="AO476" s="1" t="s">
        <v>198</v>
      </c>
      <c r="AP476" s="1">
        <v>1.0</v>
      </c>
      <c r="AQ476" s="1" t="s">
        <v>198</v>
      </c>
      <c r="AR476" s="1" t="s">
        <v>200</v>
      </c>
      <c r="AS476" s="1" t="s">
        <v>199</v>
      </c>
      <c r="AT476" s="1">
        <v>2.5</v>
      </c>
      <c r="AV476" s="1" t="s">
        <v>200</v>
      </c>
      <c r="AW476" s="1">
        <v>5610.0</v>
      </c>
      <c r="AX476" s="1">
        <v>2013.0</v>
      </c>
      <c r="AY476" s="1" t="s">
        <v>387</v>
      </c>
      <c r="AZ476" s="1" t="s">
        <v>200</v>
      </c>
      <c r="BA476" s="1" t="str">
        <f>"0631252006"</f>
        <v>0631252006</v>
      </c>
      <c r="BB476" s="1" t="s">
        <v>200</v>
      </c>
      <c r="BC476" s="1">
        <v>2800.0</v>
      </c>
      <c r="BD476" s="1">
        <v>260000.0</v>
      </c>
      <c r="BE476" s="2">
        <v>41976.0</v>
      </c>
      <c r="BF476" s="2" t="s">
        <v>6434</v>
      </c>
      <c r="BG476" s="1" t="s">
        <v>2439</v>
      </c>
      <c r="BH476" s="1">
        <v>0.0</v>
      </c>
      <c r="BI476" s="1" t="s">
        <v>674</v>
      </c>
      <c r="BJ476" s="1" t="s">
        <v>2440</v>
      </c>
      <c r="BK476" s="1" t="s">
        <v>204</v>
      </c>
      <c r="BL476" s="1" t="str">
        <f t="shared" ref="BL476:BM476" si="317">""</f>
        <v/>
      </c>
      <c r="BM476" s="1" t="str">
        <f t="shared" si="317"/>
        <v/>
      </c>
      <c r="BQ476" s="1">
        <v>46.0</v>
      </c>
      <c r="BR476" s="1">
        <v>46.0</v>
      </c>
      <c r="BS476" s="1">
        <v>46.0</v>
      </c>
      <c r="BU476" s="1" t="s">
        <v>1244</v>
      </c>
      <c r="BV476" s="1" t="s">
        <v>206</v>
      </c>
      <c r="BW476" s="1" t="s">
        <v>210</v>
      </c>
      <c r="BY476" s="1" t="s">
        <v>361</v>
      </c>
      <c r="BZ476" s="1" t="s">
        <v>209</v>
      </c>
      <c r="CA476" s="1" t="s">
        <v>210</v>
      </c>
      <c r="CC476" s="1" t="s">
        <v>433</v>
      </c>
      <c r="CD476" s="1" t="s">
        <v>206</v>
      </c>
      <c r="CE476" s="1" t="s">
        <v>210</v>
      </c>
      <c r="CG476" s="1" t="s">
        <v>331</v>
      </c>
      <c r="CH476" s="1" t="s">
        <v>209</v>
      </c>
      <c r="CI476" s="1" t="s">
        <v>210</v>
      </c>
      <c r="CK476" s="1" t="s">
        <v>264</v>
      </c>
      <c r="CL476" s="1" t="s">
        <v>209</v>
      </c>
      <c r="CM476" s="1" t="s">
        <v>210</v>
      </c>
      <c r="CO476" s="1" t="s">
        <v>264</v>
      </c>
      <c r="CP476" s="1" t="s">
        <v>209</v>
      </c>
      <c r="CQ476" s="1" t="s">
        <v>210</v>
      </c>
      <c r="CS476" s="1" t="s">
        <v>392</v>
      </c>
      <c r="CT476" s="1" t="s">
        <v>206</v>
      </c>
      <c r="CU476" s="1" t="s">
        <v>588</v>
      </c>
      <c r="CW476" s="1" t="s">
        <v>515</v>
      </c>
      <c r="CX476" s="1" t="s">
        <v>267</v>
      </c>
      <c r="CY476" s="1" t="s">
        <v>210</v>
      </c>
      <c r="DA476" s="1" t="s">
        <v>200</v>
      </c>
      <c r="DC476" s="1" t="s">
        <v>395</v>
      </c>
      <c r="DD476" s="1" t="s">
        <v>518</v>
      </c>
      <c r="DE476" s="1" t="s">
        <v>273</v>
      </c>
      <c r="DF476" s="1" t="s">
        <v>219</v>
      </c>
      <c r="DG476" s="1" t="s">
        <v>1553</v>
      </c>
      <c r="DH476" s="1" t="s">
        <v>856</v>
      </c>
      <c r="DI476" s="1" t="s">
        <v>308</v>
      </c>
      <c r="DJ476" s="1" t="s">
        <v>857</v>
      </c>
      <c r="DK476" s="1" t="s">
        <v>223</v>
      </c>
      <c r="DL476" s="1" t="s">
        <v>223</v>
      </c>
      <c r="DM476" s="1" t="s">
        <v>338</v>
      </c>
      <c r="DO476" s="1" t="s">
        <v>6435</v>
      </c>
      <c r="DP476" s="1" t="s">
        <v>340</v>
      </c>
      <c r="DQ476" s="1" t="s">
        <v>1557</v>
      </c>
      <c r="DR476" s="1" t="s">
        <v>229</v>
      </c>
      <c r="DS476" s="1" t="s">
        <v>368</v>
      </c>
      <c r="DU476" s="1" t="s">
        <v>6436</v>
      </c>
      <c r="DV476" s="1" t="s">
        <v>6437</v>
      </c>
      <c r="DW476" s="1" t="s">
        <v>964</v>
      </c>
      <c r="DX476" s="1" t="s">
        <v>234</v>
      </c>
      <c r="DY476" s="1" t="s">
        <v>490</v>
      </c>
      <c r="DZ476" s="1" t="s">
        <v>1100</v>
      </c>
      <c r="EA476" s="1" t="s">
        <v>5604</v>
      </c>
      <c r="EB476" s="1" t="s">
        <v>5230</v>
      </c>
      <c r="EC476" s="1" t="s">
        <v>237</v>
      </c>
      <c r="ED476" s="1" t="s">
        <v>407</v>
      </c>
      <c r="EH476" s="1" t="s">
        <v>408</v>
      </c>
      <c r="EI476" s="1" t="s">
        <v>409</v>
      </c>
      <c r="EJ476" s="1" t="s">
        <v>310</v>
      </c>
      <c r="EK476" s="1" t="s">
        <v>449</v>
      </c>
      <c r="EM476" s="1" t="s">
        <v>238</v>
      </c>
      <c r="EP476" s="1" t="s">
        <v>6438</v>
      </c>
      <c r="EQ476" s="1" t="s">
        <v>206</v>
      </c>
      <c r="ER476" s="1" t="s">
        <v>207</v>
      </c>
      <c r="ET476" s="1" t="s">
        <v>2047</v>
      </c>
      <c r="EU476" s="1" t="s">
        <v>209</v>
      </c>
      <c r="EV476" s="1" t="s">
        <v>210</v>
      </c>
      <c r="EX476" s="1" t="s">
        <v>878</v>
      </c>
      <c r="EY476" s="1" t="s">
        <v>206</v>
      </c>
      <c r="EZ476" s="1" t="s">
        <v>207</v>
      </c>
      <c r="FB476" s="1" t="s">
        <v>1672</v>
      </c>
      <c r="FC476" s="1" t="s">
        <v>206</v>
      </c>
      <c r="FD476" s="1" t="s">
        <v>588</v>
      </c>
      <c r="FF476" s="1" t="s">
        <v>239</v>
      </c>
      <c r="FG476" s="1" t="s">
        <v>192</v>
      </c>
      <c r="FH476" s="1" t="s">
        <v>192</v>
      </c>
      <c r="FJ476" s="1" t="s">
        <v>2206</v>
      </c>
      <c r="FK476" s="1" t="s">
        <v>229</v>
      </c>
      <c r="FL476" s="1" t="s">
        <v>893</v>
      </c>
      <c r="FM476" s="1">
        <v>604.0</v>
      </c>
      <c r="FN476" s="1" t="s">
        <v>894</v>
      </c>
      <c r="FO476" s="1" t="s">
        <v>6439</v>
      </c>
      <c r="FP476" s="1">
        <v>1279.0</v>
      </c>
      <c r="FQ476" s="1" t="s">
        <v>6440</v>
      </c>
      <c r="FS476" s="1" t="s">
        <v>6441</v>
      </c>
      <c r="FU476" s="1" t="s">
        <v>6442</v>
      </c>
      <c r="FV476" s="1" t="s">
        <v>200</v>
      </c>
      <c r="FW476" s="1" t="s">
        <v>290</v>
      </c>
      <c r="FZ476" s="1" t="s">
        <v>632</v>
      </c>
      <c r="GA476" s="1" t="s">
        <v>291</v>
      </c>
      <c r="GB476" s="2">
        <v>42031.0</v>
      </c>
      <c r="GC476" s="1" t="s">
        <v>6443</v>
      </c>
    </row>
    <row r="477">
      <c r="A477" s="1">
        <v>18000.0</v>
      </c>
      <c r="B477" s="1" t="s">
        <v>185</v>
      </c>
      <c r="C477" s="1" t="str">
        <f>"08794440"</f>
        <v>08794440</v>
      </c>
      <c r="D477" s="1" t="s">
        <v>186</v>
      </c>
      <c r="F477" s="1" t="str">
        <f>"8066"</f>
        <v>8066</v>
      </c>
      <c r="G477" s="2">
        <v>41974.0</v>
      </c>
      <c r="H477" s="1">
        <v>29900.0</v>
      </c>
      <c r="I477" s="1">
        <v>101.0</v>
      </c>
      <c r="J477" s="1">
        <v>29900.0</v>
      </c>
      <c r="K477" s="2">
        <v>41978.0</v>
      </c>
      <c r="L477" s="1">
        <v>5.0</v>
      </c>
      <c r="M477" s="2">
        <v>41978.0</v>
      </c>
      <c r="N477" s="1" t="s">
        <v>249</v>
      </c>
      <c r="O477" s="2">
        <v>41990.0</v>
      </c>
      <c r="P477" s="1">
        <v>104172.0</v>
      </c>
      <c r="Q477" s="1">
        <v>84036.0</v>
      </c>
      <c r="S477" s="1">
        <v>7014.0</v>
      </c>
      <c r="T477" s="1" t="s">
        <v>6444</v>
      </c>
      <c r="U477" s="1" t="s">
        <v>189</v>
      </c>
      <c r="V477" s="1" t="s">
        <v>190</v>
      </c>
      <c r="W477" s="1">
        <v>60636.0</v>
      </c>
      <c r="Y477" s="1" t="s">
        <v>6445</v>
      </c>
      <c r="Z477" s="1">
        <v>1922.0</v>
      </c>
      <c r="AA477" s="1" t="s">
        <v>192</v>
      </c>
      <c r="AB477" s="1" t="s">
        <v>193</v>
      </c>
      <c r="AD477" s="1" t="s">
        <v>194</v>
      </c>
      <c r="AE477" s="1" t="s">
        <v>195</v>
      </c>
      <c r="AF477" s="1" t="s">
        <v>659</v>
      </c>
      <c r="AH477" s="1" t="s">
        <v>4868</v>
      </c>
      <c r="AI477" s="1">
        <v>0.0717</v>
      </c>
      <c r="AK477" s="1">
        <v>7.0</v>
      </c>
      <c r="AL477" s="1">
        <v>4.0</v>
      </c>
      <c r="AM477" s="1">
        <v>1.0</v>
      </c>
      <c r="AN477" s="1">
        <v>0.0</v>
      </c>
      <c r="AO477" s="1" t="s">
        <v>229</v>
      </c>
      <c r="AQ477" s="1" t="s">
        <v>198</v>
      </c>
      <c r="AR477" s="1" t="s">
        <v>200</v>
      </c>
      <c r="AS477" s="1" t="s">
        <v>229</v>
      </c>
      <c r="AV477" s="1" t="s">
        <v>200</v>
      </c>
      <c r="AW477" s="1">
        <v>1356.61</v>
      </c>
      <c r="AX477" s="1">
        <v>2012.0</v>
      </c>
      <c r="AZ477" s="1" t="s">
        <v>200</v>
      </c>
      <c r="BA477" s="1" t="str">
        <f>"20193320250000"</f>
        <v>20193320250000</v>
      </c>
      <c r="BB477" s="1" t="s">
        <v>200</v>
      </c>
      <c r="BC477" s="1">
        <v>861.0</v>
      </c>
      <c r="BD477" s="1">
        <v>18000.0</v>
      </c>
      <c r="BE477" s="2">
        <v>41974.0</v>
      </c>
      <c r="BF477" s="1" t="s">
        <v>6446</v>
      </c>
      <c r="BH477" s="1">
        <v>0.0</v>
      </c>
      <c r="BK477" s="1" t="s">
        <v>204</v>
      </c>
      <c r="BL477" s="1" t="str">
        <f t="shared" ref="BL477:BM477" si="318">"0"</f>
        <v>0</v>
      </c>
      <c r="BM477" s="1" t="str">
        <f t="shared" si="318"/>
        <v>0</v>
      </c>
      <c r="BN477" s="1">
        <v>2100.0</v>
      </c>
      <c r="BO477" s="1">
        <v>7014.0</v>
      </c>
      <c r="BQ477" s="1">
        <v>299.0</v>
      </c>
      <c r="BR477" s="1">
        <v>299.0</v>
      </c>
      <c r="BS477" s="1">
        <v>299.0</v>
      </c>
      <c r="BU477" s="1" t="s">
        <v>264</v>
      </c>
      <c r="BV477" s="1" t="s">
        <v>206</v>
      </c>
      <c r="BY477" s="1" t="s">
        <v>495</v>
      </c>
      <c r="BZ477" s="1" t="s">
        <v>206</v>
      </c>
      <c r="CC477" s="1" t="s">
        <v>269</v>
      </c>
      <c r="CD477" s="1" t="s">
        <v>206</v>
      </c>
      <c r="CG477" s="1" t="s">
        <v>269</v>
      </c>
      <c r="CH477" s="1" t="s">
        <v>206</v>
      </c>
      <c r="CK477" s="1" t="s">
        <v>1417</v>
      </c>
      <c r="CL477" s="1" t="s">
        <v>209</v>
      </c>
      <c r="CO477" s="1" t="s">
        <v>663</v>
      </c>
      <c r="CP477" s="1" t="s">
        <v>209</v>
      </c>
      <c r="CS477" s="1" t="s">
        <v>269</v>
      </c>
      <c r="CT477" s="1" t="s">
        <v>206</v>
      </c>
      <c r="CX477" s="1" t="s">
        <v>204</v>
      </c>
      <c r="DA477" s="1" t="s">
        <v>200</v>
      </c>
      <c r="DC477" s="1" t="s">
        <v>216</v>
      </c>
      <c r="DE477" s="1" t="s">
        <v>229</v>
      </c>
      <c r="DF477" s="1" t="s">
        <v>229</v>
      </c>
      <c r="DH477" s="1" t="s">
        <v>365</v>
      </c>
      <c r="DJ477" s="1" t="s">
        <v>222</v>
      </c>
      <c r="DL477" s="1" t="s">
        <v>791</v>
      </c>
      <c r="DM477" s="1" t="s">
        <v>229</v>
      </c>
      <c r="DQ477" s="1" t="s">
        <v>228</v>
      </c>
      <c r="DR477" s="1" t="s">
        <v>229</v>
      </c>
      <c r="DV477" s="1" t="s">
        <v>232</v>
      </c>
      <c r="DW477" s="1" t="s">
        <v>279</v>
      </c>
      <c r="DX477" s="1" t="s">
        <v>309</v>
      </c>
      <c r="EA477" s="1" t="s">
        <v>644</v>
      </c>
      <c r="EC477" s="1" t="s">
        <v>685</v>
      </c>
      <c r="EM477" s="1" t="s">
        <v>238</v>
      </c>
      <c r="EQ477" s="1" t="s">
        <v>238</v>
      </c>
      <c r="EU477" s="1" t="s">
        <v>238</v>
      </c>
      <c r="EY477" s="1" t="s">
        <v>238</v>
      </c>
      <c r="FC477" s="1" t="s">
        <v>238</v>
      </c>
      <c r="FF477" s="1" t="s">
        <v>229</v>
      </c>
      <c r="FG477" s="1" t="s">
        <v>200</v>
      </c>
      <c r="FH477" s="1" t="s">
        <v>200</v>
      </c>
      <c r="FJ477" s="1" t="s">
        <v>770</v>
      </c>
      <c r="FK477" s="1" t="s">
        <v>229</v>
      </c>
      <c r="FL477" s="1" t="s">
        <v>6447</v>
      </c>
      <c r="FM477" s="1">
        <v>84036.0</v>
      </c>
      <c r="FN477" s="1" t="s">
        <v>6448</v>
      </c>
      <c r="FO477" s="1" t="s">
        <v>6449</v>
      </c>
      <c r="FP477" s="1">
        <v>104172.0</v>
      </c>
      <c r="FQ477" s="1" t="s">
        <v>6448</v>
      </c>
      <c r="FR477" s="1">
        <v>189090.0</v>
      </c>
      <c r="FU477" s="1" t="s">
        <v>3678</v>
      </c>
      <c r="FV477" s="1" t="s">
        <v>200</v>
      </c>
      <c r="FW477" s="1" t="s">
        <v>6450</v>
      </c>
      <c r="FX477" s="1" t="s">
        <v>655</v>
      </c>
      <c r="FZ477" s="1" t="s">
        <v>229</v>
      </c>
      <c r="GA477" s="1" t="s">
        <v>291</v>
      </c>
      <c r="GB477" s="2">
        <v>41990.0</v>
      </c>
      <c r="GC477" s="1" t="s">
        <v>6451</v>
      </c>
    </row>
    <row r="478">
      <c r="A478" s="1">
        <v>299900.0</v>
      </c>
      <c r="B478" s="1" t="s">
        <v>185</v>
      </c>
      <c r="C478" s="1" t="str">
        <f>"08796933"</f>
        <v>08796933</v>
      </c>
      <c r="D478" s="1" t="s">
        <v>186</v>
      </c>
      <c r="F478" s="1" t="str">
        <f>"8072"</f>
        <v>8072</v>
      </c>
      <c r="G478" s="2">
        <v>41977.0</v>
      </c>
      <c r="H478" s="1">
        <v>299900.0</v>
      </c>
      <c r="I478" s="1">
        <v>13.0</v>
      </c>
      <c r="J478" s="1">
        <v>299900.0</v>
      </c>
      <c r="K478" s="2">
        <v>41989.0</v>
      </c>
      <c r="L478" s="1">
        <v>13.0</v>
      </c>
      <c r="M478" s="2">
        <v>41989.0</v>
      </c>
      <c r="N478" s="1" t="s">
        <v>634</v>
      </c>
      <c r="O478" s="2">
        <v>42033.0</v>
      </c>
      <c r="P478" s="1">
        <v>236138.0</v>
      </c>
      <c r="Q478" s="1">
        <v>61153.0</v>
      </c>
      <c r="R478" s="1">
        <v>6682.0</v>
      </c>
      <c r="S478" s="1">
        <v>10126.0</v>
      </c>
      <c r="T478" s="1" t="s">
        <v>657</v>
      </c>
      <c r="U478" s="1" t="s">
        <v>320</v>
      </c>
      <c r="V478" s="1" t="s">
        <v>190</v>
      </c>
      <c r="W478" s="1">
        <v>60643.0</v>
      </c>
      <c r="Y478" s="1" t="s">
        <v>6452</v>
      </c>
      <c r="Z478" s="1">
        <v>1895.0</v>
      </c>
      <c r="AA478" s="1" t="s">
        <v>192</v>
      </c>
      <c r="AB478" s="1" t="s">
        <v>193</v>
      </c>
      <c r="AD478" s="1" t="s">
        <v>194</v>
      </c>
      <c r="AE478" s="1" t="s">
        <v>195</v>
      </c>
      <c r="AF478" s="1" t="s">
        <v>659</v>
      </c>
      <c r="AH478" s="1">
        <v>3750.0</v>
      </c>
      <c r="AI478" s="1">
        <v>0.0861</v>
      </c>
      <c r="AK478" s="1">
        <v>8.0</v>
      </c>
      <c r="AL478" s="1">
        <v>3.0</v>
      </c>
      <c r="AM478" s="1">
        <v>3.0</v>
      </c>
      <c r="AN478" s="1">
        <v>1.0</v>
      </c>
      <c r="AO478" s="1" t="s">
        <v>198</v>
      </c>
      <c r="AQ478" s="1" t="s">
        <v>198</v>
      </c>
      <c r="AR478" s="1" t="s">
        <v>192</v>
      </c>
      <c r="AS478" s="1" t="s">
        <v>199</v>
      </c>
      <c r="AT478" s="1">
        <v>2.0</v>
      </c>
      <c r="AV478" s="1" t="s">
        <v>200</v>
      </c>
      <c r="AW478" s="1">
        <v>2335.23</v>
      </c>
      <c r="AX478" s="1">
        <v>2012.0</v>
      </c>
      <c r="AZ478" s="1" t="s">
        <v>200</v>
      </c>
      <c r="BA478" s="1" t="str">
        <f>"25083070560000"</f>
        <v>25083070560000</v>
      </c>
      <c r="BC478" s="1">
        <v>1500.0</v>
      </c>
      <c r="BD478" s="1">
        <v>299900.0</v>
      </c>
      <c r="BE478" s="2">
        <v>41977.0</v>
      </c>
      <c r="BF478" s="2" t="s">
        <v>6453</v>
      </c>
      <c r="BH478" s="1">
        <v>0.0</v>
      </c>
      <c r="BK478" s="1" t="s">
        <v>204</v>
      </c>
      <c r="BL478" s="1" t="str">
        <f t="shared" ref="BL478:BM478" si="319">"0"</f>
        <v>0</v>
      </c>
      <c r="BM478" s="1" t="str">
        <f t="shared" si="319"/>
        <v>0</v>
      </c>
      <c r="BN478" s="1">
        <v>1507.0</v>
      </c>
      <c r="BO478" s="1">
        <v>10126.0</v>
      </c>
      <c r="BQ478" s="1">
        <v>299.0</v>
      </c>
      <c r="BR478" s="1">
        <v>299.0</v>
      </c>
      <c r="BS478" s="1">
        <v>299.0</v>
      </c>
      <c r="BU478" s="1" t="s">
        <v>1809</v>
      </c>
      <c r="BV478" s="1" t="s">
        <v>206</v>
      </c>
      <c r="BW478" s="1" t="s">
        <v>207</v>
      </c>
      <c r="BY478" s="1" t="s">
        <v>390</v>
      </c>
      <c r="BZ478" s="1" t="s">
        <v>209</v>
      </c>
      <c r="CA478" s="1" t="s">
        <v>210</v>
      </c>
      <c r="CC478" s="1" t="s">
        <v>2713</v>
      </c>
      <c r="CD478" s="1" t="s">
        <v>206</v>
      </c>
      <c r="CE478" s="1" t="s">
        <v>207</v>
      </c>
      <c r="CG478" s="1" t="s">
        <v>758</v>
      </c>
      <c r="CH478" s="1" t="s">
        <v>209</v>
      </c>
      <c r="CI478" s="1" t="s">
        <v>210</v>
      </c>
      <c r="CK478" s="1" t="s">
        <v>363</v>
      </c>
      <c r="CL478" s="1" t="s">
        <v>209</v>
      </c>
      <c r="CM478" s="1" t="s">
        <v>210</v>
      </c>
      <c r="CO478" s="1" t="s">
        <v>332</v>
      </c>
      <c r="CP478" s="1" t="s">
        <v>42</v>
      </c>
      <c r="CS478" s="1" t="s">
        <v>1229</v>
      </c>
      <c r="CT478" s="1" t="s">
        <v>206</v>
      </c>
      <c r="CU478" s="1" t="s">
        <v>207</v>
      </c>
      <c r="CW478" s="1" t="s">
        <v>854</v>
      </c>
      <c r="CX478" s="1" t="s">
        <v>42</v>
      </c>
      <c r="DA478" s="1" t="s">
        <v>200</v>
      </c>
      <c r="DC478" s="1" t="s">
        <v>642</v>
      </c>
      <c r="DE478" s="1" t="s">
        <v>273</v>
      </c>
      <c r="DF478" s="1" t="s">
        <v>219</v>
      </c>
      <c r="DH478" s="1" t="s">
        <v>365</v>
      </c>
      <c r="DI478" s="1" t="s">
        <v>366</v>
      </c>
      <c r="DJ478" s="1" t="s">
        <v>222</v>
      </c>
      <c r="DL478" s="1" t="s">
        <v>224</v>
      </c>
      <c r="DM478" s="1" t="s">
        <v>229</v>
      </c>
      <c r="DQ478" s="1" t="s">
        <v>228</v>
      </c>
      <c r="DR478" s="1" t="s">
        <v>229</v>
      </c>
      <c r="DS478" s="1" t="s">
        <v>230</v>
      </c>
      <c r="DV478" s="1" t="s">
        <v>232</v>
      </c>
      <c r="DW478" s="1" t="s">
        <v>444</v>
      </c>
      <c r="DX478" s="1" t="s">
        <v>234</v>
      </c>
      <c r="DY478" s="1" t="s">
        <v>704</v>
      </c>
      <c r="DZ478" s="1" t="s">
        <v>310</v>
      </c>
      <c r="EC478" s="1" t="s">
        <v>237</v>
      </c>
      <c r="EE478" s="1" t="s">
        <v>493</v>
      </c>
      <c r="EM478" s="1" t="s">
        <v>238</v>
      </c>
      <c r="EQ478" s="1" t="s">
        <v>238</v>
      </c>
      <c r="EU478" s="1" t="s">
        <v>238</v>
      </c>
      <c r="EY478" s="1" t="s">
        <v>238</v>
      </c>
      <c r="FC478" s="1" t="s">
        <v>238</v>
      </c>
      <c r="FF478" s="1" t="s">
        <v>239</v>
      </c>
      <c r="FG478" s="1" t="s">
        <v>192</v>
      </c>
      <c r="FH478" s="1" t="s">
        <v>192</v>
      </c>
      <c r="FJ478" s="1" t="s">
        <v>648</v>
      </c>
      <c r="FK478" s="1" t="s">
        <v>229</v>
      </c>
      <c r="FL478" s="1" t="s">
        <v>649</v>
      </c>
      <c r="FM478" s="1">
        <v>60296.0</v>
      </c>
      <c r="FN478" s="1" t="s">
        <v>650</v>
      </c>
      <c r="FO478" s="1" t="s">
        <v>651</v>
      </c>
      <c r="FP478" s="1">
        <v>602837.0</v>
      </c>
      <c r="FQ478" s="1" t="s">
        <v>652</v>
      </c>
      <c r="FR478" s="1">
        <v>602442.0</v>
      </c>
      <c r="FU478" s="1" t="s">
        <v>653</v>
      </c>
      <c r="FV478" s="1" t="s">
        <v>200</v>
      </c>
      <c r="FW478" s="1" t="s">
        <v>654</v>
      </c>
      <c r="FX478" s="1" t="s">
        <v>655</v>
      </c>
      <c r="FZ478" s="1" t="s">
        <v>229</v>
      </c>
      <c r="GA478" s="1" t="s">
        <v>291</v>
      </c>
      <c r="GB478" s="2">
        <v>42033.0</v>
      </c>
      <c r="GC478" s="1" t="s">
        <v>1372</v>
      </c>
    </row>
    <row r="479">
      <c r="A479" s="1">
        <v>885900.0</v>
      </c>
      <c r="B479" s="1" t="s">
        <v>185</v>
      </c>
      <c r="C479" s="1" t="str">
        <f>"08798231"</f>
        <v>08798231</v>
      </c>
      <c r="D479" s="1" t="s">
        <v>186</v>
      </c>
      <c r="F479" s="1" t="str">
        <f>"8022"</f>
        <v>8022</v>
      </c>
      <c r="G479" s="2">
        <v>41980.0</v>
      </c>
      <c r="H479" s="1">
        <v>799900.0</v>
      </c>
      <c r="I479" s="1">
        <v>1.0</v>
      </c>
      <c r="J479" s="1">
        <v>799900.0</v>
      </c>
      <c r="K479" s="2">
        <v>41980.0</v>
      </c>
      <c r="L479" s="1">
        <v>1.0</v>
      </c>
      <c r="M479" s="2">
        <v>41980.0</v>
      </c>
      <c r="N479" s="1" t="s">
        <v>187</v>
      </c>
      <c r="O479" s="2">
        <v>42142.0</v>
      </c>
      <c r="P479" s="1">
        <v>133045.0</v>
      </c>
      <c r="Q479" s="1">
        <v>84404.0</v>
      </c>
      <c r="S479" s="1">
        <v>2633.0</v>
      </c>
      <c r="T479" s="1" t="s">
        <v>6454</v>
      </c>
      <c r="U479" s="1" t="s">
        <v>189</v>
      </c>
      <c r="V479" s="1" t="s">
        <v>190</v>
      </c>
      <c r="W479" s="1">
        <v>60647.0</v>
      </c>
      <c r="Y479" s="1" t="s">
        <v>6455</v>
      </c>
      <c r="Z479" s="1">
        <v>2015.0</v>
      </c>
      <c r="AA479" s="1" t="s">
        <v>200</v>
      </c>
      <c r="AB479" s="1" t="s">
        <v>193</v>
      </c>
      <c r="AD479" s="1" t="s">
        <v>194</v>
      </c>
      <c r="AE479" s="1" t="s">
        <v>195</v>
      </c>
      <c r="AF479" s="1" t="s">
        <v>827</v>
      </c>
      <c r="AG479" s="1" t="s">
        <v>6456</v>
      </c>
      <c r="AH479" s="1" t="s">
        <v>359</v>
      </c>
      <c r="AK479" s="1">
        <v>9.0</v>
      </c>
      <c r="AL479" s="1">
        <v>4.0</v>
      </c>
      <c r="AM479" s="1">
        <v>3.0</v>
      </c>
      <c r="AN479" s="1">
        <v>1.0</v>
      </c>
      <c r="AO479" s="1" t="s">
        <v>198</v>
      </c>
      <c r="AP479" s="1">
        <v>1.0</v>
      </c>
      <c r="AQ479" s="1" t="s">
        <v>257</v>
      </c>
      <c r="AR479" s="1" t="s">
        <v>192</v>
      </c>
      <c r="AS479" s="1" t="s">
        <v>199</v>
      </c>
      <c r="AT479" s="1">
        <v>2.0</v>
      </c>
      <c r="AV479" s="1" t="s">
        <v>200</v>
      </c>
      <c r="AW479" s="1" t="s">
        <v>575</v>
      </c>
      <c r="AX479" s="1">
        <v>2013.0</v>
      </c>
      <c r="AZ479" s="1" t="s">
        <v>545</v>
      </c>
      <c r="BA479" s="1" t="str">
        <f>"13362070060000"</f>
        <v>13362070060000</v>
      </c>
      <c r="BC479" s="1">
        <v>0.0</v>
      </c>
      <c r="BD479" s="1">
        <v>885900.0</v>
      </c>
      <c r="BE479" s="2">
        <v>41980.0</v>
      </c>
      <c r="BF479" s="1" t="s">
        <v>6457</v>
      </c>
      <c r="BH479" s="1">
        <v>0.0</v>
      </c>
      <c r="BK479" s="1" t="s">
        <v>204</v>
      </c>
      <c r="BL479" s="1" t="str">
        <f>"2300"</f>
        <v>2300</v>
      </c>
      <c r="BM479" s="1" t="str">
        <f>"0"</f>
        <v>0</v>
      </c>
      <c r="BN479" s="1">
        <v>2633.0</v>
      </c>
      <c r="BO479" s="1">
        <v>0.0</v>
      </c>
      <c r="BQ479" s="1">
        <v>299.0</v>
      </c>
      <c r="BR479" s="1">
        <v>299.0</v>
      </c>
      <c r="BS479" s="1">
        <v>299.0</v>
      </c>
      <c r="BU479" s="1" t="s">
        <v>5223</v>
      </c>
      <c r="BV479" s="1" t="s">
        <v>206</v>
      </c>
      <c r="BW479" s="1" t="s">
        <v>207</v>
      </c>
      <c r="BY479" s="1" t="s">
        <v>208</v>
      </c>
      <c r="BZ479" s="1" t="s">
        <v>209</v>
      </c>
      <c r="CA479" s="1" t="s">
        <v>207</v>
      </c>
      <c r="CC479" s="1" t="s">
        <v>542</v>
      </c>
      <c r="CD479" s="1" t="s">
        <v>206</v>
      </c>
      <c r="CE479" s="1" t="s">
        <v>207</v>
      </c>
      <c r="CG479" s="1" t="s">
        <v>331</v>
      </c>
      <c r="CH479" s="1" t="s">
        <v>209</v>
      </c>
      <c r="CI479" s="1" t="s">
        <v>207</v>
      </c>
      <c r="CK479" s="1" t="s">
        <v>663</v>
      </c>
      <c r="CL479" s="1" t="s">
        <v>209</v>
      </c>
      <c r="CM479" s="1" t="s">
        <v>207</v>
      </c>
      <c r="CO479" s="1" t="s">
        <v>390</v>
      </c>
      <c r="CP479" s="1" t="s">
        <v>267</v>
      </c>
      <c r="CQ479" s="1" t="s">
        <v>210</v>
      </c>
      <c r="CS479" s="1" t="s">
        <v>329</v>
      </c>
      <c r="CT479" s="1" t="s">
        <v>206</v>
      </c>
      <c r="CU479" s="1" t="s">
        <v>207</v>
      </c>
      <c r="CW479" s="1" t="s">
        <v>2120</v>
      </c>
      <c r="CX479" s="1" t="s">
        <v>206</v>
      </c>
      <c r="CY479" s="1" t="s">
        <v>207</v>
      </c>
      <c r="DA479" s="1" t="s">
        <v>192</v>
      </c>
      <c r="DB479" s="2">
        <v>42095.0</v>
      </c>
      <c r="DC479" s="1" t="s">
        <v>744</v>
      </c>
      <c r="DD479" s="1" t="s">
        <v>731</v>
      </c>
      <c r="DE479" s="1" t="s">
        <v>273</v>
      </c>
      <c r="DF479" s="1" t="s">
        <v>619</v>
      </c>
      <c r="DH479" s="1" t="s">
        <v>220</v>
      </c>
      <c r="DI479" s="1" t="s">
        <v>6458</v>
      </c>
      <c r="DJ479" s="1" t="s">
        <v>222</v>
      </c>
      <c r="DL479" s="1" t="s">
        <v>224</v>
      </c>
      <c r="DM479" s="1" t="s">
        <v>229</v>
      </c>
      <c r="DN479" s="1" t="s">
        <v>2676</v>
      </c>
      <c r="DP479" s="1" t="s">
        <v>276</v>
      </c>
      <c r="DQ479" s="1" t="s">
        <v>441</v>
      </c>
      <c r="DR479" s="1" t="s">
        <v>229</v>
      </c>
      <c r="DU479" s="1" t="s">
        <v>6459</v>
      </c>
      <c r="DV479" s="1" t="s">
        <v>2058</v>
      </c>
      <c r="DW479" s="1" t="s">
        <v>279</v>
      </c>
      <c r="DX479" s="1" t="s">
        <v>234</v>
      </c>
      <c r="DY479" s="1" t="s">
        <v>704</v>
      </c>
      <c r="EB479" s="1" t="s">
        <v>1639</v>
      </c>
      <c r="EC479" s="1" t="s">
        <v>237</v>
      </c>
      <c r="EG479" s="1" t="s">
        <v>450</v>
      </c>
      <c r="EH479" s="1" t="s">
        <v>310</v>
      </c>
      <c r="EL479" s="1" t="s">
        <v>2861</v>
      </c>
      <c r="EM479" s="1" t="s">
        <v>267</v>
      </c>
      <c r="EN479" s="1" t="s">
        <v>210</v>
      </c>
      <c r="EP479" s="1" t="s">
        <v>4180</v>
      </c>
      <c r="EQ479" s="1" t="s">
        <v>206</v>
      </c>
      <c r="EU479" s="1" t="s">
        <v>238</v>
      </c>
      <c r="EY479" s="1" t="s">
        <v>238</v>
      </c>
      <c r="FC479" s="1" t="s">
        <v>238</v>
      </c>
      <c r="FF479" s="1" t="s">
        <v>239</v>
      </c>
      <c r="FG479" s="1" t="s">
        <v>192</v>
      </c>
      <c r="FH479" s="1" t="s">
        <v>192</v>
      </c>
      <c r="FJ479" s="1" t="s">
        <v>3755</v>
      </c>
      <c r="FK479" s="1" t="s">
        <v>229</v>
      </c>
      <c r="FL479" s="1" t="s">
        <v>6354</v>
      </c>
      <c r="FM479" s="1">
        <v>15191.0</v>
      </c>
      <c r="FN479" s="1" t="s">
        <v>6355</v>
      </c>
      <c r="FO479" s="1" t="s">
        <v>6460</v>
      </c>
      <c r="FP479" s="1">
        <v>137452.0</v>
      </c>
      <c r="FQ479" s="1" t="s">
        <v>6461</v>
      </c>
      <c r="FR479" s="1">
        <v>102294.0</v>
      </c>
      <c r="FU479" s="1" t="s">
        <v>6462</v>
      </c>
      <c r="FV479" s="1" t="s">
        <v>200</v>
      </c>
      <c r="FW479" s="1" t="s">
        <v>567</v>
      </c>
      <c r="FX479" s="1" t="s">
        <v>246</v>
      </c>
      <c r="FZ479" s="1" t="s">
        <v>229</v>
      </c>
      <c r="GA479" s="1" t="s">
        <v>291</v>
      </c>
      <c r="GB479" s="2">
        <v>42142.0</v>
      </c>
      <c r="GC479" s="1" t="s">
        <v>6463</v>
      </c>
    </row>
    <row r="480">
      <c r="A480" s="1">
        <v>84100.0</v>
      </c>
      <c r="B480" s="1" t="s">
        <v>185</v>
      </c>
      <c r="C480" s="1" t="str">
        <f>"08792852"</f>
        <v>08792852</v>
      </c>
      <c r="D480" s="1" t="s">
        <v>186</v>
      </c>
      <c r="F480" s="1" t="str">
        <f>"545"</f>
        <v>545</v>
      </c>
      <c r="G480" s="2">
        <v>41968.0</v>
      </c>
      <c r="H480" s="1">
        <v>84000.0</v>
      </c>
      <c r="I480" s="1">
        <v>10.0</v>
      </c>
      <c r="J480" s="1">
        <v>84000.0</v>
      </c>
      <c r="K480" s="2">
        <v>41977.0</v>
      </c>
      <c r="L480" s="1">
        <v>10.0</v>
      </c>
      <c r="M480" s="2">
        <v>41977.0</v>
      </c>
      <c r="N480" s="1" t="s">
        <v>187</v>
      </c>
      <c r="O480" s="2">
        <v>42003.0</v>
      </c>
      <c r="P480" s="1">
        <v>239683.0</v>
      </c>
      <c r="Q480" s="1">
        <v>25897.0</v>
      </c>
      <c r="S480" s="1">
        <v>802.0</v>
      </c>
      <c r="T480" s="1" t="s">
        <v>6464</v>
      </c>
      <c r="U480" s="1" t="s">
        <v>320</v>
      </c>
      <c r="V480" s="1" t="s">
        <v>3364</v>
      </c>
      <c r="W480" s="1">
        <v>60545.0</v>
      </c>
      <c r="Y480" s="1" t="s">
        <v>6465</v>
      </c>
      <c r="Z480" s="1">
        <v>1955.0</v>
      </c>
      <c r="AA480" s="1" t="s">
        <v>192</v>
      </c>
      <c r="AB480" s="1" t="s">
        <v>193</v>
      </c>
      <c r="AD480" s="1" t="s">
        <v>3366</v>
      </c>
      <c r="AE480" s="1" t="s">
        <v>849</v>
      </c>
      <c r="AF480" s="1" t="s">
        <v>3367</v>
      </c>
      <c r="AH480" s="1" t="s">
        <v>6466</v>
      </c>
      <c r="AK480" s="1">
        <v>7.0</v>
      </c>
      <c r="AL480" s="1">
        <v>4.0</v>
      </c>
      <c r="AM480" s="1">
        <v>2.0</v>
      </c>
      <c r="AN480" s="1">
        <v>0.0</v>
      </c>
      <c r="AO480" s="1" t="s">
        <v>229</v>
      </c>
      <c r="AQ480" s="1" t="s">
        <v>198</v>
      </c>
      <c r="AR480" s="1" t="s">
        <v>200</v>
      </c>
      <c r="AS480" s="1" t="s">
        <v>199</v>
      </c>
      <c r="AT480" s="1">
        <v>2.5</v>
      </c>
      <c r="AV480" s="1" t="s">
        <v>200</v>
      </c>
      <c r="AW480" s="1">
        <v>4758.8</v>
      </c>
      <c r="AX480" s="1">
        <v>2013.0</v>
      </c>
      <c r="AY480" s="1" t="s">
        <v>387</v>
      </c>
      <c r="AZ480" s="1" t="s">
        <v>200</v>
      </c>
      <c r="BA480" s="1" t="str">
        <f>"0127106016"</f>
        <v>0127106016</v>
      </c>
      <c r="BB480" s="1" t="s">
        <v>200</v>
      </c>
      <c r="BC480" s="1">
        <v>1224.0</v>
      </c>
      <c r="BD480" s="1">
        <v>84100.0</v>
      </c>
      <c r="BE480" s="2">
        <v>41968.0</v>
      </c>
      <c r="BF480" s="2" t="s">
        <v>6467</v>
      </c>
      <c r="BH480" s="1">
        <v>0.0</v>
      </c>
      <c r="BK480" s="1" t="s">
        <v>204</v>
      </c>
      <c r="BL480" s="1" t="str">
        <f t="shared" ref="BL480:BM480" si="320">"0"</f>
        <v>0</v>
      </c>
      <c r="BM480" s="1" t="str">
        <f t="shared" si="320"/>
        <v>0</v>
      </c>
      <c r="BN480" s="1">
        <v>0.0</v>
      </c>
      <c r="BO480" s="1">
        <v>0.0</v>
      </c>
      <c r="BQ480" s="1">
        <v>88.0</v>
      </c>
      <c r="BR480" s="1">
        <v>88.0</v>
      </c>
      <c r="BS480" s="1">
        <v>88.0</v>
      </c>
      <c r="BU480" s="1" t="s">
        <v>582</v>
      </c>
      <c r="BV480" s="1" t="s">
        <v>206</v>
      </c>
      <c r="BY480" s="1" t="s">
        <v>329</v>
      </c>
      <c r="BZ480" s="1" t="s">
        <v>206</v>
      </c>
      <c r="CD480" s="1" t="s">
        <v>204</v>
      </c>
      <c r="CG480" s="1" t="s">
        <v>497</v>
      </c>
      <c r="CH480" s="1" t="s">
        <v>209</v>
      </c>
      <c r="CK480" s="1" t="s">
        <v>495</v>
      </c>
      <c r="CL480" s="1" t="s">
        <v>209</v>
      </c>
      <c r="CO480" s="1" t="s">
        <v>265</v>
      </c>
      <c r="CP480" s="1" t="s">
        <v>209</v>
      </c>
      <c r="CS480" s="1" t="s">
        <v>331</v>
      </c>
      <c r="CT480" s="1" t="s">
        <v>206</v>
      </c>
      <c r="CW480" s="1" t="s">
        <v>3539</v>
      </c>
      <c r="CX480" s="1" t="s">
        <v>42</v>
      </c>
      <c r="DA480" s="1" t="s">
        <v>200</v>
      </c>
      <c r="DC480" s="1" t="s">
        <v>271</v>
      </c>
      <c r="DD480" s="1" t="s">
        <v>518</v>
      </c>
      <c r="DE480" s="1" t="s">
        <v>273</v>
      </c>
      <c r="DF480" s="1" t="s">
        <v>219</v>
      </c>
      <c r="DG480" s="1" t="s">
        <v>337</v>
      </c>
      <c r="DH480" s="1" t="s">
        <v>220</v>
      </c>
      <c r="DJ480" s="1" t="s">
        <v>222</v>
      </c>
      <c r="DL480" s="1" t="s">
        <v>858</v>
      </c>
      <c r="DM480" s="1" t="s">
        <v>338</v>
      </c>
      <c r="DO480" s="1" t="s">
        <v>549</v>
      </c>
      <c r="DQ480" s="1" t="s">
        <v>228</v>
      </c>
      <c r="DR480" s="1" t="s">
        <v>229</v>
      </c>
      <c r="DU480" s="1" t="s">
        <v>5827</v>
      </c>
      <c r="DV480" s="1" t="s">
        <v>232</v>
      </c>
      <c r="DW480" s="1" t="s">
        <v>233</v>
      </c>
      <c r="DX480" s="1" t="s">
        <v>234</v>
      </c>
      <c r="DZ480" s="1" t="s">
        <v>282</v>
      </c>
      <c r="EA480" s="1" t="s">
        <v>1075</v>
      </c>
      <c r="EC480" s="1" t="s">
        <v>237</v>
      </c>
      <c r="EM480" s="1" t="s">
        <v>238</v>
      </c>
      <c r="EQ480" s="1" t="s">
        <v>238</v>
      </c>
      <c r="EU480" s="1" t="s">
        <v>238</v>
      </c>
      <c r="EY480" s="1" t="s">
        <v>238</v>
      </c>
      <c r="FC480" s="1" t="s">
        <v>238</v>
      </c>
      <c r="FF480" s="1" t="s">
        <v>239</v>
      </c>
      <c r="FG480" s="1" t="s">
        <v>192</v>
      </c>
      <c r="FH480" s="1" t="s">
        <v>192</v>
      </c>
      <c r="FJ480" s="1" t="s">
        <v>624</v>
      </c>
      <c r="FK480" s="1" t="s">
        <v>229</v>
      </c>
      <c r="FL480" s="1" t="s">
        <v>1289</v>
      </c>
      <c r="FM480" s="1">
        <v>25618.0</v>
      </c>
      <c r="FN480" s="1" t="s">
        <v>6468</v>
      </c>
      <c r="FO480" s="1" t="s">
        <v>6469</v>
      </c>
      <c r="FP480" s="1">
        <v>228878.0</v>
      </c>
      <c r="FQ480" s="1" t="s">
        <v>6470</v>
      </c>
      <c r="FR480" s="1">
        <v>225808.0</v>
      </c>
      <c r="FU480" s="1" t="s">
        <v>6471</v>
      </c>
      <c r="FV480" s="1" t="s">
        <v>200</v>
      </c>
      <c r="FW480" s="1" t="s">
        <v>6472</v>
      </c>
      <c r="FX480" s="1" t="s">
        <v>246</v>
      </c>
      <c r="FZ480" s="1" t="s">
        <v>229</v>
      </c>
      <c r="GA480" s="1" t="s">
        <v>291</v>
      </c>
      <c r="GB480" s="2">
        <v>42004.0</v>
      </c>
    </row>
    <row r="481">
      <c r="A481" s="1">
        <v>247000.0</v>
      </c>
      <c r="B481" s="1" t="s">
        <v>185</v>
      </c>
      <c r="C481" s="1" t="str">
        <f>"08795280"</f>
        <v>08795280</v>
      </c>
      <c r="D481" s="1" t="s">
        <v>186</v>
      </c>
      <c r="F481" s="1" t="str">
        <f>"119"</f>
        <v>119</v>
      </c>
      <c r="G481" s="2">
        <v>41975.0</v>
      </c>
      <c r="H481" s="1">
        <v>256000.0</v>
      </c>
      <c r="I481" s="1">
        <v>155.0</v>
      </c>
      <c r="J481" s="1">
        <v>256000.0</v>
      </c>
      <c r="K481" s="2">
        <v>42003.0</v>
      </c>
      <c r="L481" s="1">
        <v>29.0</v>
      </c>
      <c r="M481" s="2">
        <v>42003.0</v>
      </c>
      <c r="N481" s="1" t="s">
        <v>187</v>
      </c>
      <c r="O481" s="2">
        <v>42046.0</v>
      </c>
      <c r="P481" s="1">
        <v>8034.0</v>
      </c>
      <c r="Q481" s="1">
        <v>280.0</v>
      </c>
      <c r="S481" s="1">
        <v>1074.0</v>
      </c>
      <c r="T481" s="1" t="s">
        <v>6473</v>
      </c>
      <c r="U481" s="1" t="s">
        <v>320</v>
      </c>
      <c r="V481" s="1" t="s">
        <v>1476</v>
      </c>
      <c r="W481" s="1">
        <v>60119.0</v>
      </c>
      <c r="Y481" s="1" t="s">
        <v>6474</v>
      </c>
      <c r="Z481" s="1">
        <v>2004.0</v>
      </c>
      <c r="AA481" s="1" t="s">
        <v>200</v>
      </c>
      <c r="AB481" s="1" t="s">
        <v>467</v>
      </c>
      <c r="AC481" s="1" t="s">
        <v>4349</v>
      </c>
      <c r="AD481" s="1" t="s">
        <v>1478</v>
      </c>
      <c r="AE481" s="1" t="s">
        <v>325</v>
      </c>
      <c r="AF481" s="1" t="s">
        <v>1479</v>
      </c>
      <c r="AH481" s="1" t="s">
        <v>6475</v>
      </c>
      <c r="AK481" s="1">
        <v>9.0</v>
      </c>
      <c r="AL481" s="1">
        <v>4.0</v>
      </c>
      <c r="AM481" s="1">
        <v>2.0</v>
      </c>
      <c r="AN481" s="1">
        <v>1.0</v>
      </c>
      <c r="AO481" s="1" t="s">
        <v>198</v>
      </c>
      <c r="AQ481" s="1" t="s">
        <v>1314</v>
      </c>
      <c r="AR481" s="1" t="s">
        <v>200</v>
      </c>
      <c r="AS481" s="1" t="s">
        <v>199</v>
      </c>
      <c r="AT481" s="1">
        <v>2.0</v>
      </c>
      <c r="AV481" s="1" t="s">
        <v>200</v>
      </c>
      <c r="AW481" s="1">
        <v>6336.0</v>
      </c>
      <c r="AX481" s="1">
        <v>2013.0</v>
      </c>
      <c r="AZ481" s="1" t="s">
        <v>200</v>
      </c>
      <c r="BA481" s="1" t="str">
        <f>"1108179008"</f>
        <v>1108179008</v>
      </c>
      <c r="BB481" s="1" t="s">
        <v>200</v>
      </c>
      <c r="BC481" s="1">
        <v>3160.0</v>
      </c>
      <c r="BD481" s="1">
        <v>247000.0</v>
      </c>
      <c r="BE481" s="2">
        <v>41975.0</v>
      </c>
      <c r="BF481" s="2" t="s">
        <v>6476</v>
      </c>
      <c r="BG481" s="1" t="s">
        <v>4351</v>
      </c>
      <c r="BH481" s="1">
        <v>240.0</v>
      </c>
      <c r="BI481" s="1" t="s">
        <v>4352</v>
      </c>
      <c r="BJ481" s="1" t="s">
        <v>1636</v>
      </c>
      <c r="BK481" s="1" t="s">
        <v>580</v>
      </c>
      <c r="BL481" s="1" t="str">
        <f t="shared" ref="BL481:BM481" si="321">""</f>
        <v/>
      </c>
      <c r="BM481" s="1" t="str">
        <f t="shared" si="321"/>
        <v/>
      </c>
      <c r="BQ481" s="1">
        <v>302.0</v>
      </c>
      <c r="BR481" s="1">
        <v>302.0</v>
      </c>
      <c r="BS481" s="1">
        <v>302.0</v>
      </c>
      <c r="BU481" s="1" t="s">
        <v>334</v>
      </c>
      <c r="BV481" s="1" t="s">
        <v>206</v>
      </c>
      <c r="BW481" s="1" t="s">
        <v>207</v>
      </c>
      <c r="BX481" s="1" t="s">
        <v>239</v>
      </c>
      <c r="BY481" s="1" t="s">
        <v>3307</v>
      </c>
      <c r="BZ481" s="1" t="s">
        <v>209</v>
      </c>
      <c r="CA481" s="1" t="s">
        <v>210</v>
      </c>
      <c r="CB481" s="1" t="s">
        <v>239</v>
      </c>
      <c r="CC481" s="1" t="s">
        <v>215</v>
      </c>
      <c r="CD481" s="1" t="s">
        <v>206</v>
      </c>
      <c r="CE481" s="1" t="s">
        <v>207</v>
      </c>
      <c r="CF481" s="1" t="s">
        <v>239</v>
      </c>
      <c r="CG481" s="1" t="s">
        <v>212</v>
      </c>
      <c r="CH481" s="1" t="s">
        <v>209</v>
      </c>
      <c r="CI481" s="1" t="s">
        <v>210</v>
      </c>
      <c r="CJ481" s="1" t="s">
        <v>239</v>
      </c>
      <c r="CK481" s="1" t="s">
        <v>1417</v>
      </c>
      <c r="CL481" s="1" t="s">
        <v>209</v>
      </c>
      <c r="CM481" s="1" t="s">
        <v>210</v>
      </c>
      <c r="CN481" s="1" t="s">
        <v>239</v>
      </c>
      <c r="CO481" s="1" t="s">
        <v>1417</v>
      </c>
      <c r="CP481" s="1" t="s">
        <v>209</v>
      </c>
      <c r="CQ481" s="1" t="s">
        <v>210</v>
      </c>
      <c r="CR481" s="1" t="s">
        <v>239</v>
      </c>
      <c r="CS481" s="1" t="s">
        <v>1244</v>
      </c>
      <c r="CT481" s="1" t="s">
        <v>206</v>
      </c>
      <c r="CU481" s="1" t="s">
        <v>207</v>
      </c>
      <c r="CV481" s="1" t="s">
        <v>239</v>
      </c>
      <c r="CW481" s="1" t="s">
        <v>334</v>
      </c>
      <c r="CX481" s="1" t="s">
        <v>206</v>
      </c>
      <c r="CY481" s="1" t="s">
        <v>207</v>
      </c>
      <c r="CZ481" s="1" t="s">
        <v>239</v>
      </c>
      <c r="DA481" s="1" t="s">
        <v>200</v>
      </c>
      <c r="DC481" s="1" t="s">
        <v>481</v>
      </c>
      <c r="DD481" s="1" t="s">
        <v>396</v>
      </c>
      <c r="DE481" s="1" t="s">
        <v>273</v>
      </c>
      <c r="DF481" s="1" t="s">
        <v>219</v>
      </c>
      <c r="DH481" s="1" t="s">
        <v>220</v>
      </c>
      <c r="DI481" s="1" t="s">
        <v>1003</v>
      </c>
      <c r="DJ481" s="1" t="s">
        <v>222</v>
      </c>
      <c r="DL481" s="1" t="s">
        <v>224</v>
      </c>
      <c r="DM481" s="1" t="s">
        <v>338</v>
      </c>
      <c r="DN481" s="1" t="s">
        <v>367</v>
      </c>
      <c r="DO481" s="1" t="s">
        <v>549</v>
      </c>
      <c r="DP481" s="1" t="s">
        <v>340</v>
      </c>
      <c r="DQ481" s="1" t="s">
        <v>228</v>
      </c>
      <c r="DR481" s="1" t="s">
        <v>1487</v>
      </c>
      <c r="DS481" s="1" t="s">
        <v>230</v>
      </c>
      <c r="DV481" s="1" t="s">
        <v>341</v>
      </c>
      <c r="DW481" s="1" t="s">
        <v>233</v>
      </c>
      <c r="DX481" s="1" t="s">
        <v>309</v>
      </c>
      <c r="DY481" s="1" t="s">
        <v>5581</v>
      </c>
      <c r="EA481" s="1" t="s">
        <v>344</v>
      </c>
      <c r="EC481" s="1" t="s">
        <v>237</v>
      </c>
      <c r="ED481" s="1" t="s">
        <v>407</v>
      </c>
      <c r="EG481" s="1" t="s">
        <v>341</v>
      </c>
      <c r="EL481" s="1" t="s">
        <v>1623</v>
      </c>
      <c r="EM481" s="1" t="s">
        <v>209</v>
      </c>
      <c r="EN481" s="1" t="s">
        <v>210</v>
      </c>
      <c r="EO481" s="1" t="s">
        <v>239</v>
      </c>
      <c r="EQ481" s="1" t="s">
        <v>238</v>
      </c>
      <c r="EU481" s="1" t="s">
        <v>238</v>
      </c>
      <c r="EY481" s="1" t="s">
        <v>238</v>
      </c>
      <c r="FC481" s="1" t="s">
        <v>238</v>
      </c>
      <c r="FF481" s="1" t="s">
        <v>239</v>
      </c>
      <c r="FG481" s="1" t="s">
        <v>192</v>
      </c>
      <c r="FH481" s="1" t="s">
        <v>192</v>
      </c>
      <c r="FJ481" s="1" t="s">
        <v>1280</v>
      </c>
      <c r="FK481" s="1" t="s">
        <v>229</v>
      </c>
      <c r="FL481" s="1" t="s">
        <v>4369</v>
      </c>
      <c r="FM481" s="1">
        <v>23279.0</v>
      </c>
      <c r="FN481" s="1" t="s">
        <v>6096</v>
      </c>
      <c r="FO481" s="1" t="s">
        <v>6477</v>
      </c>
      <c r="FP481" s="1">
        <v>242111.0</v>
      </c>
      <c r="FQ481" s="1" t="s">
        <v>6478</v>
      </c>
      <c r="FT481" s="1" t="s">
        <v>6479</v>
      </c>
      <c r="FU481" s="1" t="s">
        <v>6480</v>
      </c>
      <c r="FV481" s="1" t="s">
        <v>200</v>
      </c>
      <c r="FW481" s="1" t="s">
        <v>530</v>
      </c>
      <c r="FZ481" s="1" t="s">
        <v>229</v>
      </c>
      <c r="GA481" s="1" t="s">
        <v>291</v>
      </c>
      <c r="GB481" s="2">
        <v>42048.0</v>
      </c>
      <c r="GC481" s="1" t="s">
        <v>6481</v>
      </c>
    </row>
    <row r="482">
      <c r="A482" s="1">
        <v>194000.0</v>
      </c>
      <c r="B482" s="1" t="s">
        <v>185</v>
      </c>
      <c r="C482" s="1" t="str">
        <f>"08795628"</f>
        <v>08795628</v>
      </c>
      <c r="D482" s="1" t="s">
        <v>186</v>
      </c>
      <c r="F482" s="1" t="str">
        <f>"103"</f>
        <v>103</v>
      </c>
      <c r="G482" s="2">
        <v>41975.0</v>
      </c>
      <c r="H482" s="1">
        <v>197750.0</v>
      </c>
      <c r="I482" s="1">
        <v>58.0</v>
      </c>
      <c r="J482" s="1">
        <v>194000.0</v>
      </c>
      <c r="K482" s="2">
        <v>42032.0</v>
      </c>
      <c r="L482" s="1">
        <v>58.0</v>
      </c>
      <c r="M482" s="2">
        <v>42032.0</v>
      </c>
      <c r="N482" s="1" t="s">
        <v>356</v>
      </c>
      <c r="O482" s="2">
        <v>42087.0</v>
      </c>
      <c r="P482" s="1">
        <v>766.0</v>
      </c>
      <c r="Q482" s="1">
        <v>771.0</v>
      </c>
      <c r="R482" s="1">
        <v>2.0</v>
      </c>
      <c r="S482" s="1">
        <v>2265.0</v>
      </c>
      <c r="T482" s="1" t="s">
        <v>250</v>
      </c>
      <c r="U482" s="1" t="s">
        <v>189</v>
      </c>
      <c r="V482" s="1" t="s">
        <v>251</v>
      </c>
      <c r="W482" s="1">
        <v>60133.0</v>
      </c>
      <c r="Y482" s="1" t="s">
        <v>6482</v>
      </c>
      <c r="Z482" s="1">
        <v>1973.0</v>
      </c>
      <c r="AA482" s="1" t="s">
        <v>192</v>
      </c>
      <c r="AB482" s="1" t="s">
        <v>193</v>
      </c>
      <c r="AD482" s="1" t="s">
        <v>254</v>
      </c>
      <c r="AE482" s="1" t="s">
        <v>195</v>
      </c>
      <c r="AF482" s="1" t="s">
        <v>298</v>
      </c>
      <c r="AH482" s="1" t="s">
        <v>6483</v>
      </c>
      <c r="AI482" s="1">
        <v>0.1917</v>
      </c>
      <c r="AK482" s="1">
        <v>7.0</v>
      </c>
      <c r="AL482" s="1">
        <v>4.0</v>
      </c>
      <c r="AM482" s="1">
        <v>2.0</v>
      </c>
      <c r="AN482" s="1">
        <v>0.0</v>
      </c>
      <c r="AO482" s="1" t="s">
        <v>229</v>
      </c>
      <c r="AQ482" s="1" t="s">
        <v>1314</v>
      </c>
      <c r="AR482" s="1" t="s">
        <v>200</v>
      </c>
      <c r="AS482" s="1" t="s">
        <v>199</v>
      </c>
      <c r="AT482" s="1">
        <v>2.1</v>
      </c>
      <c r="AV482" s="1" t="s">
        <v>200</v>
      </c>
      <c r="AW482" s="1">
        <v>6197.0</v>
      </c>
      <c r="AX482" s="1">
        <v>2012.0</v>
      </c>
      <c r="AY482" s="1" t="s">
        <v>229</v>
      </c>
      <c r="AZ482" s="1" t="s">
        <v>200</v>
      </c>
      <c r="BA482" s="1" t="str">
        <f>"06363120150000"</f>
        <v>06363120150000</v>
      </c>
      <c r="BC482" s="1">
        <v>1488.0</v>
      </c>
      <c r="BD482" s="1">
        <v>194000.0</v>
      </c>
      <c r="BE482" s="2">
        <v>41975.0</v>
      </c>
      <c r="BF482" s="2" t="s">
        <v>6484</v>
      </c>
      <c r="BH482" s="1">
        <v>0.0</v>
      </c>
      <c r="BK482" s="1" t="s">
        <v>204</v>
      </c>
      <c r="BL482" s="1" t="str">
        <f t="shared" ref="BL482:BM482" si="322">""</f>
        <v/>
      </c>
      <c r="BM482" s="1" t="str">
        <f t="shared" si="322"/>
        <v/>
      </c>
      <c r="BQ482" s="1">
        <v>46.0</v>
      </c>
      <c r="BR482" s="1">
        <v>46.0</v>
      </c>
      <c r="BS482" s="1">
        <v>46.0</v>
      </c>
      <c r="BU482" s="1" t="s">
        <v>830</v>
      </c>
      <c r="BV482" s="1" t="s">
        <v>206</v>
      </c>
      <c r="BW482" s="1" t="s">
        <v>301</v>
      </c>
      <c r="BY482" s="1" t="s">
        <v>1064</v>
      </c>
      <c r="BZ482" s="1" t="s">
        <v>391</v>
      </c>
      <c r="CA482" s="1" t="s">
        <v>210</v>
      </c>
      <c r="CD482" s="1" t="s">
        <v>204</v>
      </c>
      <c r="CG482" s="1" t="s">
        <v>663</v>
      </c>
      <c r="CH482" s="1" t="s">
        <v>209</v>
      </c>
      <c r="CI482" s="1" t="s">
        <v>210</v>
      </c>
      <c r="CK482" s="1" t="s">
        <v>1584</v>
      </c>
      <c r="CL482" s="1" t="s">
        <v>209</v>
      </c>
      <c r="CM482" s="1" t="s">
        <v>210</v>
      </c>
      <c r="CO482" s="1" t="s">
        <v>1672</v>
      </c>
      <c r="CP482" s="1" t="s">
        <v>391</v>
      </c>
      <c r="CQ482" s="1" t="s">
        <v>210</v>
      </c>
      <c r="CS482" s="1" t="s">
        <v>1329</v>
      </c>
      <c r="CT482" s="1" t="s">
        <v>206</v>
      </c>
      <c r="CU482" s="1" t="s">
        <v>301</v>
      </c>
      <c r="CW482" s="1" t="s">
        <v>677</v>
      </c>
      <c r="CX482" s="1" t="s">
        <v>267</v>
      </c>
      <c r="CY482" s="1" t="s">
        <v>301</v>
      </c>
      <c r="DA482" s="1" t="s">
        <v>200</v>
      </c>
      <c r="DC482" s="1" t="s">
        <v>517</v>
      </c>
      <c r="DD482" s="1" t="s">
        <v>518</v>
      </c>
      <c r="DE482" s="1" t="s">
        <v>6485</v>
      </c>
      <c r="DF482" s="1" t="s">
        <v>219</v>
      </c>
      <c r="DG482" s="1" t="s">
        <v>1160</v>
      </c>
      <c r="DH482" s="1" t="s">
        <v>220</v>
      </c>
      <c r="DI482" s="1" t="s">
        <v>366</v>
      </c>
      <c r="DJ482" s="1" t="s">
        <v>222</v>
      </c>
      <c r="DK482" s="1" t="s">
        <v>1301</v>
      </c>
      <c r="DL482" s="1" t="s">
        <v>224</v>
      </c>
      <c r="DM482" s="1" t="s">
        <v>929</v>
      </c>
      <c r="DQ482" s="1" t="s">
        <v>228</v>
      </c>
      <c r="DR482" s="1" t="s">
        <v>229</v>
      </c>
      <c r="DV482" s="1" t="s">
        <v>232</v>
      </c>
      <c r="DW482" s="1" t="s">
        <v>489</v>
      </c>
      <c r="DX482" s="1" t="s">
        <v>309</v>
      </c>
      <c r="DY482" s="1" t="s">
        <v>861</v>
      </c>
      <c r="EA482" s="1" t="s">
        <v>5604</v>
      </c>
      <c r="EC482" s="1" t="s">
        <v>4613</v>
      </c>
      <c r="ED482" s="1" t="s">
        <v>407</v>
      </c>
      <c r="EM482" s="1" t="s">
        <v>238</v>
      </c>
      <c r="EQ482" s="1" t="s">
        <v>238</v>
      </c>
      <c r="EU482" s="1" t="s">
        <v>238</v>
      </c>
      <c r="EY482" s="1" t="s">
        <v>238</v>
      </c>
      <c r="FC482" s="1" t="s">
        <v>238</v>
      </c>
      <c r="FF482" s="1" t="s">
        <v>239</v>
      </c>
      <c r="FG482" s="1" t="s">
        <v>192</v>
      </c>
      <c r="FH482" s="1" t="s">
        <v>192</v>
      </c>
      <c r="FJ482" s="1" t="s">
        <v>3299</v>
      </c>
      <c r="FK482" s="1" t="s">
        <v>229</v>
      </c>
      <c r="FL482" s="1" t="s">
        <v>6486</v>
      </c>
      <c r="FM482" s="1">
        <v>18541.0</v>
      </c>
      <c r="FN482" s="1" t="s">
        <v>6487</v>
      </c>
      <c r="FO482" s="1" t="s">
        <v>6488</v>
      </c>
      <c r="FP482" s="1">
        <v>174296.0</v>
      </c>
      <c r="FQ482" s="1" t="s">
        <v>6489</v>
      </c>
      <c r="FU482" s="1" t="s">
        <v>6490</v>
      </c>
      <c r="FV482" s="1" t="s">
        <v>200</v>
      </c>
      <c r="FW482" s="1" t="s">
        <v>290</v>
      </c>
      <c r="FZ482" s="1" t="s">
        <v>229</v>
      </c>
      <c r="GA482" s="1" t="s">
        <v>291</v>
      </c>
      <c r="GB482" s="2">
        <v>42089.0</v>
      </c>
      <c r="GC482" s="1" t="s">
        <v>6491</v>
      </c>
    </row>
    <row r="483">
      <c r="A483" s="1">
        <v>65500.0</v>
      </c>
      <c r="B483" s="1" t="s">
        <v>185</v>
      </c>
      <c r="C483" s="1" t="str">
        <f>"08796350"</f>
        <v>08796350</v>
      </c>
      <c r="D483" s="1" t="s">
        <v>186</v>
      </c>
      <c r="F483" s="1" t="str">
        <f>"8038"</f>
        <v>8038</v>
      </c>
      <c r="G483" s="2">
        <v>41976.0</v>
      </c>
      <c r="H483" s="1">
        <v>80000.0</v>
      </c>
      <c r="I483" s="1">
        <v>51.0</v>
      </c>
      <c r="J483" s="1">
        <v>80000.0</v>
      </c>
      <c r="K483" s="2">
        <v>42026.0</v>
      </c>
      <c r="L483" s="1">
        <v>51.0</v>
      </c>
      <c r="M483" s="2">
        <v>42026.0</v>
      </c>
      <c r="N483" s="1" t="s">
        <v>249</v>
      </c>
      <c r="O483" s="2">
        <v>42046.0</v>
      </c>
      <c r="P483" s="1">
        <v>875541.0</v>
      </c>
      <c r="Q483" s="1">
        <v>12293.0</v>
      </c>
      <c r="S483" s="1">
        <v>4442.0</v>
      </c>
      <c r="T483" s="1" t="s">
        <v>4823</v>
      </c>
      <c r="U483" s="1" t="s">
        <v>189</v>
      </c>
      <c r="V483" s="1" t="s">
        <v>190</v>
      </c>
      <c r="W483" s="1">
        <v>60653.0</v>
      </c>
      <c r="X483" s="1">
        <v>3414.0</v>
      </c>
      <c r="Y483" s="1" t="s">
        <v>6492</v>
      </c>
      <c r="Z483" s="1">
        <v>1883.0</v>
      </c>
      <c r="AA483" s="1" t="s">
        <v>192</v>
      </c>
      <c r="AB483" s="1" t="s">
        <v>193</v>
      </c>
      <c r="AD483" s="1" t="s">
        <v>194</v>
      </c>
      <c r="AE483" s="1" t="s">
        <v>195</v>
      </c>
      <c r="AF483" s="1" t="s">
        <v>637</v>
      </c>
      <c r="AH483" s="1" t="s">
        <v>359</v>
      </c>
      <c r="AI483" s="1">
        <v>0.067</v>
      </c>
      <c r="AK483" s="1">
        <v>7.0</v>
      </c>
      <c r="AL483" s="1">
        <v>4.0</v>
      </c>
      <c r="AM483" s="1">
        <v>2.0</v>
      </c>
      <c r="AN483" s="1">
        <v>1.0</v>
      </c>
      <c r="AO483" s="1" t="s">
        <v>229</v>
      </c>
      <c r="AQ483" s="1" t="s">
        <v>198</v>
      </c>
      <c r="AR483" s="1" t="s">
        <v>192</v>
      </c>
      <c r="AS483" s="1" t="s">
        <v>229</v>
      </c>
      <c r="AV483" s="1" t="s">
        <v>200</v>
      </c>
      <c r="AW483" s="4">
        <v>2837.94</v>
      </c>
      <c r="AX483" s="1">
        <v>2013.0</v>
      </c>
      <c r="AY483" s="1" t="s">
        <v>1179</v>
      </c>
      <c r="AZ483" s="1" t="s">
        <v>200</v>
      </c>
      <c r="BA483" s="1" t="str">
        <f>"20034070410000"</f>
        <v>20034070410000</v>
      </c>
      <c r="BC483" s="1">
        <v>2560.0</v>
      </c>
      <c r="BD483" s="1">
        <v>65500.0</v>
      </c>
      <c r="BE483" s="2">
        <v>41976.0</v>
      </c>
      <c r="BF483" s="1" t="s">
        <v>6493</v>
      </c>
      <c r="BH483" s="1">
        <v>0.0</v>
      </c>
      <c r="BK483" s="1" t="s">
        <v>204</v>
      </c>
      <c r="BL483" s="1" t="str">
        <f>"0"</f>
        <v>0</v>
      </c>
      <c r="BM483" s="1" t="str">
        <f>"700"</f>
        <v>700</v>
      </c>
      <c r="BN483" s="1">
        <v>0.0</v>
      </c>
      <c r="BO483" s="1">
        <v>4442.0</v>
      </c>
      <c r="BQ483" s="1">
        <v>299.0</v>
      </c>
      <c r="BR483" s="1">
        <v>299.0</v>
      </c>
      <c r="BS483" s="1">
        <v>299.0</v>
      </c>
      <c r="BU483" s="1" t="s">
        <v>730</v>
      </c>
      <c r="BV483" s="1" t="s">
        <v>206</v>
      </c>
      <c r="BY483" s="1" t="s">
        <v>1299</v>
      </c>
      <c r="BZ483" s="1" t="s">
        <v>209</v>
      </c>
      <c r="CC483" s="1" t="s">
        <v>2082</v>
      </c>
      <c r="CD483" s="1" t="s">
        <v>206</v>
      </c>
      <c r="CG483" s="1" t="s">
        <v>264</v>
      </c>
      <c r="CH483" s="1" t="s">
        <v>209</v>
      </c>
      <c r="CK483" s="1" t="s">
        <v>269</v>
      </c>
      <c r="CL483" s="1" t="s">
        <v>209</v>
      </c>
      <c r="CO483" s="1" t="s">
        <v>264</v>
      </c>
      <c r="CP483" s="1" t="s">
        <v>209</v>
      </c>
      <c r="CS483" s="1" t="s">
        <v>647</v>
      </c>
      <c r="CT483" s="1" t="s">
        <v>206</v>
      </c>
      <c r="CX483" s="1" t="s">
        <v>204</v>
      </c>
      <c r="DA483" s="1" t="s">
        <v>200</v>
      </c>
      <c r="DC483" s="1" t="s">
        <v>642</v>
      </c>
      <c r="DE483" s="1" t="s">
        <v>229</v>
      </c>
      <c r="DF483" s="1" t="s">
        <v>619</v>
      </c>
      <c r="DH483" s="1" t="s">
        <v>365</v>
      </c>
      <c r="DJ483" s="1" t="s">
        <v>222</v>
      </c>
      <c r="DL483" s="1" t="s">
        <v>858</v>
      </c>
      <c r="DM483" s="1" t="s">
        <v>229</v>
      </c>
      <c r="DQ483" s="1" t="s">
        <v>228</v>
      </c>
      <c r="DR483" s="1" t="s">
        <v>229</v>
      </c>
      <c r="DV483" s="1" t="s">
        <v>232</v>
      </c>
      <c r="DW483" s="1" t="s">
        <v>6494</v>
      </c>
      <c r="DX483" s="1" t="s">
        <v>234</v>
      </c>
      <c r="EC483" s="1" t="s">
        <v>237</v>
      </c>
      <c r="EM483" s="1" t="s">
        <v>238</v>
      </c>
      <c r="EQ483" s="1" t="s">
        <v>238</v>
      </c>
      <c r="EU483" s="1" t="s">
        <v>238</v>
      </c>
      <c r="EY483" s="1" t="s">
        <v>238</v>
      </c>
      <c r="FC483" s="1" t="s">
        <v>238</v>
      </c>
      <c r="FF483" s="1" t="s">
        <v>239</v>
      </c>
      <c r="FG483" s="1" t="s">
        <v>192</v>
      </c>
      <c r="FH483" s="1" t="s">
        <v>192</v>
      </c>
      <c r="FJ483" s="1" t="s">
        <v>6495</v>
      </c>
      <c r="FK483" s="1" t="s">
        <v>1586</v>
      </c>
      <c r="FL483" s="1" t="s">
        <v>1124</v>
      </c>
      <c r="FM483" s="1">
        <v>12293.0</v>
      </c>
      <c r="FN483" s="1" t="s">
        <v>3300</v>
      </c>
      <c r="FO483" s="1" t="s">
        <v>6496</v>
      </c>
      <c r="FP483" s="1">
        <v>875541.0</v>
      </c>
      <c r="FQ483" s="1" t="s">
        <v>6497</v>
      </c>
      <c r="FU483" s="1" t="s">
        <v>6498</v>
      </c>
      <c r="FV483" s="1" t="s">
        <v>200</v>
      </c>
      <c r="FW483" s="1" t="s">
        <v>290</v>
      </c>
      <c r="FX483" s="1" t="s">
        <v>655</v>
      </c>
      <c r="FZ483" s="1" t="s">
        <v>229</v>
      </c>
      <c r="GA483" s="1" t="s">
        <v>291</v>
      </c>
      <c r="GB483" s="2">
        <v>42046.0</v>
      </c>
      <c r="GC483" s="1" t="s">
        <v>6499</v>
      </c>
    </row>
    <row r="484">
      <c r="A484" s="1">
        <v>215000.0</v>
      </c>
      <c r="B484" s="1" t="s">
        <v>185</v>
      </c>
      <c r="C484" s="1" t="str">
        <f>"08798668"</f>
        <v>08798668</v>
      </c>
      <c r="D484" s="1" t="s">
        <v>186</v>
      </c>
      <c r="F484" s="1" t="str">
        <f>"8022"</f>
        <v>8022</v>
      </c>
      <c r="G484" s="2">
        <v>41981.0</v>
      </c>
      <c r="H484" s="1">
        <v>229900.0</v>
      </c>
      <c r="I484" s="1">
        <v>40.0</v>
      </c>
      <c r="J484" s="1">
        <v>229900.0</v>
      </c>
      <c r="K484" s="2">
        <v>42020.0</v>
      </c>
      <c r="L484" s="1">
        <v>40.0</v>
      </c>
      <c r="M484" s="2">
        <v>42020.0</v>
      </c>
      <c r="N484" s="1" t="s">
        <v>187</v>
      </c>
      <c r="O484" s="2">
        <v>42046.0</v>
      </c>
      <c r="P484" s="1">
        <v>180800.0</v>
      </c>
      <c r="Q484" s="1">
        <v>18016.0</v>
      </c>
      <c r="S484" s="1">
        <v>2719.0</v>
      </c>
      <c r="T484" s="1" t="s">
        <v>6500</v>
      </c>
      <c r="U484" s="1" t="s">
        <v>189</v>
      </c>
      <c r="V484" s="1" t="s">
        <v>190</v>
      </c>
      <c r="W484" s="1">
        <v>60647.0</v>
      </c>
      <c r="Y484" s="1" t="s">
        <v>6501</v>
      </c>
      <c r="Z484" s="1" t="s">
        <v>296</v>
      </c>
      <c r="AA484" s="1" t="s">
        <v>192</v>
      </c>
      <c r="AB484" s="1" t="s">
        <v>193</v>
      </c>
      <c r="AD484" s="1" t="s">
        <v>194</v>
      </c>
      <c r="AE484" s="1" t="s">
        <v>195</v>
      </c>
      <c r="AF484" s="1" t="s">
        <v>827</v>
      </c>
      <c r="AH484" s="1" t="s">
        <v>6502</v>
      </c>
      <c r="AK484" s="1">
        <v>7.0</v>
      </c>
      <c r="AL484" s="1">
        <v>3.0</v>
      </c>
      <c r="AM484" s="1">
        <v>1.0</v>
      </c>
      <c r="AN484" s="1">
        <v>0.0</v>
      </c>
      <c r="AO484" s="1" t="s">
        <v>229</v>
      </c>
      <c r="AQ484" s="1" t="s">
        <v>198</v>
      </c>
      <c r="AR484" s="1" t="s">
        <v>200</v>
      </c>
      <c r="AS484" s="1" t="s">
        <v>229</v>
      </c>
      <c r="AV484" s="1" t="s">
        <v>200</v>
      </c>
      <c r="AW484" s="1">
        <v>239.6</v>
      </c>
      <c r="AX484" s="1">
        <v>2013.0</v>
      </c>
      <c r="AY484" s="1" t="s">
        <v>1917</v>
      </c>
      <c r="AZ484" s="1" t="s">
        <v>200</v>
      </c>
      <c r="BA484" s="1" t="str">
        <f>"13254060160000"</f>
        <v>13254060160000</v>
      </c>
      <c r="BC484" s="1">
        <v>800.0</v>
      </c>
      <c r="BD484" s="1">
        <v>215000.0</v>
      </c>
      <c r="BE484" s="2">
        <v>41981.0</v>
      </c>
      <c r="BF484" s="1" t="s">
        <v>6503</v>
      </c>
      <c r="BH484" s="1">
        <v>0.0</v>
      </c>
      <c r="BK484" s="1" t="s">
        <v>204</v>
      </c>
      <c r="BL484" s="1" t="str">
        <f>"2700"</f>
        <v>2700</v>
      </c>
      <c r="BM484" s="1" t="str">
        <f>"0"</f>
        <v>0</v>
      </c>
      <c r="BN484" s="1">
        <v>2500.0</v>
      </c>
      <c r="BO484" s="1">
        <v>0.0</v>
      </c>
      <c r="BQ484" s="1">
        <v>299.0</v>
      </c>
      <c r="BR484" s="1">
        <v>299.0</v>
      </c>
      <c r="BS484" s="1">
        <v>299.0</v>
      </c>
      <c r="BU484" s="1" t="s">
        <v>211</v>
      </c>
      <c r="BV484" s="1" t="s">
        <v>206</v>
      </c>
      <c r="BW484" s="1" t="s">
        <v>210</v>
      </c>
      <c r="BY484" s="1" t="s">
        <v>1245</v>
      </c>
      <c r="BZ484" s="1" t="s">
        <v>206</v>
      </c>
      <c r="CA484" s="1" t="s">
        <v>210</v>
      </c>
      <c r="CD484" s="1" t="s">
        <v>204</v>
      </c>
      <c r="CG484" s="1" t="s">
        <v>798</v>
      </c>
      <c r="CH484" s="1" t="s">
        <v>206</v>
      </c>
      <c r="CI484" s="1" t="s">
        <v>210</v>
      </c>
      <c r="CK484" s="1" t="s">
        <v>263</v>
      </c>
      <c r="CL484" s="1" t="s">
        <v>42</v>
      </c>
      <c r="CM484" s="1" t="s">
        <v>210</v>
      </c>
      <c r="CO484" s="1" t="s">
        <v>433</v>
      </c>
      <c r="CP484" s="1" t="s">
        <v>114</v>
      </c>
      <c r="CQ484" s="1" t="s">
        <v>210</v>
      </c>
      <c r="CS484" s="1" t="s">
        <v>647</v>
      </c>
      <c r="CT484" s="1" t="s">
        <v>206</v>
      </c>
      <c r="CU484" s="1" t="s">
        <v>268</v>
      </c>
      <c r="CX484" s="1" t="s">
        <v>204</v>
      </c>
      <c r="DA484" s="1" t="s">
        <v>200</v>
      </c>
      <c r="DC484" s="1" t="s">
        <v>545</v>
      </c>
      <c r="DD484" s="1" t="s">
        <v>518</v>
      </c>
      <c r="DE484" s="1" t="s">
        <v>229</v>
      </c>
      <c r="DF484" s="1" t="s">
        <v>619</v>
      </c>
      <c r="DH484" s="1" t="s">
        <v>365</v>
      </c>
      <c r="DI484" s="1" t="s">
        <v>3624</v>
      </c>
      <c r="DJ484" s="1" t="s">
        <v>222</v>
      </c>
      <c r="DL484" s="1" t="s">
        <v>224</v>
      </c>
      <c r="DM484" s="1" t="s">
        <v>229</v>
      </c>
      <c r="DQ484" s="1" t="s">
        <v>228</v>
      </c>
      <c r="DR484" s="1" t="s">
        <v>229</v>
      </c>
      <c r="DV484" s="1" t="s">
        <v>6504</v>
      </c>
      <c r="DW484" s="1" t="s">
        <v>667</v>
      </c>
      <c r="DX484" s="1" t="s">
        <v>234</v>
      </c>
      <c r="EC484" s="1" t="s">
        <v>645</v>
      </c>
      <c r="EG484" s="1" t="s">
        <v>588</v>
      </c>
      <c r="EH484" s="1" t="s">
        <v>373</v>
      </c>
      <c r="EL484" s="1" t="s">
        <v>262</v>
      </c>
      <c r="EM484" s="1" t="s">
        <v>42</v>
      </c>
      <c r="EP484" s="1" t="s">
        <v>721</v>
      </c>
      <c r="EQ484" s="1" t="s">
        <v>206</v>
      </c>
      <c r="ER484" s="1" t="s">
        <v>210</v>
      </c>
      <c r="EU484" s="1" t="s">
        <v>238</v>
      </c>
      <c r="EY484" s="1" t="s">
        <v>238</v>
      </c>
      <c r="FC484" s="1" t="s">
        <v>238</v>
      </c>
      <c r="FF484" s="1" t="s">
        <v>239</v>
      </c>
      <c r="FG484" s="1" t="s">
        <v>192</v>
      </c>
      <c r="FH484" s="1" t="s">
        <v>192</v>
      </c>
      <c r="FJ484" s="1" t="s">
        <v>4471</v>
      </c>
      <c r="FK484" s="1" t="s">
        <v>229</v>
      </c>
      <c r="FL484" s="1" t="s">
        <v>6505</v>
      </c>
      <c r="FM484" s="1">
        <v>8015.0</v>
      </c>
      <c r="FN484" s="1" t="s">
        <v>6506</v>
      </c>
      <c r="FO484" s="1" t="s">
        <v>6507</v>
      </c>
      <c r="FP484" s="1">
        <v>29245.0</v>
      </c>
      <c r="FQ484" s="1" t="s">
        <v>6506</v>
      </c>
      <c r="FU484" s="1" t="s">
        <v>1751</v>
      </c>
      <c r="FV484" s="1" t="s">
        <v>200</v>
      </c>
      <c r="FW484" s="1" t="s">
        <v>567</v>
      </c>
      <c r="FX484" s="1" t="s">
        <v>238</v>
      </c>
      <c r="FZ484" s="1" t="s">
        <v>229</v>
      </c>
      <c r="GA484" s="1" t="s">
        <v>291</v>
      </c>
      <c r="GB484" s="2">
        <v>42047.0</v>
      </c>
      <c r="GC484" s="1" t="s">
        <v>6508</v>
      </c>
    </row>
    <row r="485">
      <c r="A485" s="1">
        <v>189000.0</v>
      </c>
      <c r="B485" s="1" t="s">
        <v>185</v>
      </c>
      <c r="C485" s="1" t="str">
        <f>"08793373"</f>
        <v>08793373</v>
      </c>
      <c r="D485" s="1" t="s">
        <v>186</v>
      </c>
      <c r="F485" s="1" t="str">
        <f>"123"</f>
        <v>123</v>
      </c>
      <c r="G485" s="2">
        <v>41969.0</v>
      </c>
      <c r="H485" s="1">
        <v>189000.0</v>
      </c>
      <c r="I485" s="1">
        <v>69.0</v>
      </c>
      <c r="J485" s="1">
        <v>189000.0</v>
      </c>
      <c r="K485" s="2">
        <v>42037.0</v>
      </c>
      <c r="L485" s="1">
        <v>69.0</v>
      </c>
      <c r="M485" s="2">
        <v>42037.0</v>
      </c>
      <c r="N485" s="1" t="s">
        <v>356</v>
      </c>
      <c r="O485" s="2">
        <v>42082.0</v>
      </c>
      <c r="P485" s="1">
        <v>141806.0</v>
      </c>
      <c r="Q485" s="1">
        <v>85615.0</v>
      </c>
      <c r="R485" s="1">
        <v>7000.0</v>
      </c>
      <c r="S485" s="1">
        <v>543.0</v>
      </c>
      <c r="T485" s="1" t="s">
        <v>6509</v>
      </c>
      <c r="U485" s="1" t="s">
        <v>420</v>
      </c>
      <c r="V485" s="1" t="s">
        <v>465</v>
      </c>
      <c r="W485" s="1">
        <v>60123.0</v>
      </c>
      <c r="Y485" s="1" t="s">
        <v>6510</v>
      </c>
      <c r="Z485" s="1">
        <v>1995.0</v>
      </c>
      <c r="AA485" s="1" t="s">
        <v>200</v>
      </c>
      <c r="AB485" s="1" t="s">
        <v>193</v>
      </c>
      <c r="AC485" s="1" t="s">
        <v>5692</v>
      </c>
      <c r="AD485" s="1" t="s">
        <v>469</v>
      </c>
      <c r="AE485" s="1" t="s">
        <v>325</v>
      </c>
      <c r="AF485" s="1" t="s">
        <v>469</v>
      </c>
      <c r="AH485" s="1">
        <v>8920.0</v>
      </c>
      <c r="AI485" s="1">
        <v>0.2048</v>
      </c>
      <c r="AK485" s="1">
        <v>9.0</v>
      </c>
      <c r="AL485" s="1">
        <v>4.0</v>
      </c>
      <c r="AM485" s="1">
        <v>2.0</v>
      </c>
      <c r="AN485" s="1">
        <v>1.0</v>
      </c>
      <c r="AO485" s="1" t="s">
        <v>198</v>
      </c>
      <c r="AP485" s="1">
        <v>1.0</v>
      </c>
      <c r="AQ485" s="1" t="s">
        <v>1314</v>
      </c>
      <c r="AR485" s="1" t="s">
        <v>200</v>
      </c>
      <c r="AS485" s="1" t="s">
        <v>199</v>
      </c>
      <c r="AT485" s="1">
        <v>2.5</v>
      </c>
      <c r="AV485" s="1" t="s">
        <v>200</v>
      </c>
      <c r="AW485" s="1">
        <v>5501.34</v>
      </c>
      <c r="AX485" s="1">
        <v>2013.0</v>
      </c>
      <c r="AY485" s="1" t="s">
        <v>387</v>
      </c>
      <c r="AZ485" s="1" t="s">
        <v>200</v>
      </c>
      <c r="BA485" s="1" t="str">
        <f>"0609454003"</f>
        <v>0609454003</v>
      </c>
      <c r="BC485" s="1">
        <v>2028.0</v>
      </c>
      <c r="BD485" s="1">
        <v>189000.0</v>
      </c>
      <c r="BE485" s="2">
        <v>41969.0</v>
      </c>
      <c r="BF485" s="2" t="s">
        <v>6511</v>
      </c>
      <c r="BH485" s="1">
        <v>0.0</v>
      </c>
      <c r="BK485" s="1" t="s">
        <v>204</v>
      </c>
      <c r="BL485" s="1" t="str">
        <f t="shared" ref="BL485:BM485" si="323">""</f>
        <v/>
      </c>
      <c r="BM485" s="1" t="str">
        <f t="shared" si="323"/>
        <v/>
      </c>
      <c r="BQ485" s="1">
        <v>46.0</v>
      </c>
      <c r="BR485" s="1">
        <v>46.0</v>
      </c>
      <c r="BS485" s="1">
        <v>46.0</v>
      </c>
      <c r="BU485" s="1" t="s">
        <v>758</v>
      </c>
      <c r="BV485" s="1" t="s">
        <v>206</v>
      </c>
      <c r="BW485" s="1" t="s">
        <v>210</v>
      </c>
      <c r="BX485" s="1" t="s">
        <v>431</v>
      </c>
      <c r="BY485" s="1" t="s">
        <v>477</v>
      </c>
      <c r="BZ485" s="1" t="s">
        <v>209</v>
      </c>
      <c r="CA485" s="1" t="s">
        <v>210</v>
      </c>
      <c r="CB485" s="1" t="s">
        <v>431</v>
      </c>
      <c r="CC485" s="1" t="s">
        <v>663</v>
      </c>
      <c r="CD485" s="1" t="s">
        <v>206</v>
      </c>
      <c r="CE485" s="1" t="s">
        <v>210</v>
      </c>
      <c r="CF485" s="1" t="s">
        <v>431</v>
      </c>
      <c r="CG485" s="1" t="s">
        <v>1190</v>
      </c>
      <c r="CH485" s="1" t="s">
        <v>209</v>
      </c>
      <c r="CI485" s="1" t="s">
        <v>210</v>
      </c>
      <c r="CJ485" s="1" t="s">
        <v>431</v>
      </c>
      <c r="CK485" s="1" t="s">
        <v>264</v>
      </c>
      <c r="CL485" s="1" t="s">
        <v>209</v>
      </c>
      <c r="CM485" s="1" t="s">
        <v>210</v>
      </c>
      <c r="CN485" s="1" t="s">
        <v>431</v>
      </c>
      <c r="CO485" s="1" t="s">
        <v>1672</v>
      </c>
      <c r="CP485" s="1" t="s">
        <v>209</v>
      </c>
      <c r="CQ485" s="1" t="s">
        <v>210</v>
      </c>
      <c r="CR485" s="1" t="s">
        <v>431</v>
      </c>
      <c r="CS485" s="1" t="s">
        <v>1760</v>
      </c>
      <c r="CT485" s="1" t="s">
        <v>206</v>
      </c>
      <c r="CU485" s="1" t="s">
        <v>301</v>
      </c>
      <c r="CV485" s="1" t="s">
        <v>431</v>
      </c>
      <c r="CW485" s="1" t="s">
        <v>1395</v>
      </c>
      <c r="CX485" s="1" t="s">
        <v>206</v>
      </c>
      <c r="CY485" s="1" t="s">
        <v>210</v>
      </c>
      <c r="CZ485" s="1" t="s">
        <v>431</v>
      </c>
      <c r="DA485" s="1" t="s">
        <v>200</v>
      </c>
      <c r="DC485" s="1" t="s">
        <v>678</v>
      </c>
      <c r="DD485" s="1" t="s">
        <v>6260</v>
      </c>
      <c r="DE485" s="1" t="s">
        <v>273</v>
      </c>
      <c r="DF485" s="1" t="s">
        <v>219</v>
      </c>
      <c r="DG485" s="1" t="s">
        <v>482</v>
      </c>
      <c r="DH485" s="1" t="s">
        <v>220</v>
      </c>
      <c r="DI485" s="1" t="s">
        <v>221</v>
      </c>
      <c r="DJ485" s="1" t="s">
        <v>222</v>
      </c>
      <c r="DL485" s="1" t="s">
        <v>224</v>
      </c>
      <c r="DM485" s="1" t="s">
        <v>338</v>
      </c>
      <c r="DN485" s="1" t="s">
        <v>793</v>
      </c>
      <c r="DO485" s="1" t="s">
        <v>440</v>
      </c>
      <c r="DP485" s="1" t="s">
        <v>340</v>
      </c>
      <c r="DQ485" s="1" t="s">
        <v>228</v>
      </c>
      <c r="DR485" s="1" t="s">
        <v>229</v>
      </c>
      <c r="DS485" s="1" t="s">
        <v>230</v>
      </c>
      <c r="DV485" s="1" t="s">
        <v>556</v>
      </c>
      <c r="DW485" s="1" t="s">
        <v>444</v>
      </c>
      <c r="DX485" s="1" t="s">
        <v>234</v>
      </c>
      <c r="DY485" s="1" t="s">
        <v>861</v>
      </c>
      <c r="DZ485" s="1" t="s">
        <v>236</v>
      </c>
      <c r="EA485" s="1" t="s">
        <v>447</v>
      </c>
      <c r="EB485" s="1" t="s">
        <v>345</v>
      </c>
      <c r="EC485" s="1" t="s">
        <v>237</v>
      </c>
      <c r="ED485" s="1" t="s">
        <v>407</v>
      </c>
      <c r="EE485" s="1" t="s">
        <v>493</v>
      </c>
      <c r="EG485" s="1" t="s">
        <v>556</v>
      </c>
      <c r="EL485" s="1" t="s">
        <v>2425</v>
      </c>
      <c r="EM485" s="1" t="s">
        <v>206</v>
      </c>
      <c r="EN485" s="1" t="s">
        <v>301</v>
      </c>
      <c r="EO485" s="1" t="s">
        <v>431</v>
      </c>
      <c r="EQ485" s="1" t="s">
        <v>238</v>
      </c>
      <c r="EU485" s="1" t="s">
        <v>238</v>
      </c>
      <c r="EY485" s="1" t="s">
        <v>238</v>
      </c>
      <c r="FC485" s="1" t="s">
        <v>238</v>
      </c>
      <c r="FF485" s="1" t="s">
        <v>239</v>
      </c>
      <c r="FG485" s="1" t="s">
        <v>192</v>
      </c>
      <c r="FH485" s="1" t="s">
        <v>192</v>
      </c>
      <c r="FJ485" s="1" t="s">
        <v>498</v>
      </c>
      <c r="FK485" s="1" t="s">
        <v>229</v>
      </c>
      <c r="FL485" s="1" t="s">
        <v>6233</v>
      </c>
      <c r="FM485" s="1">
        <v>7630.0</v>
      </c>
      <c r="FN485" s="1" t="s">
        <v>6234</v>
      </c>
      <c r="FO485" s="1" t="s">
        <v>6512</v>
      </c>
      <c r="FP485" s="1">
        <v>8561.0</v>
      </c>
      <c r="FU485" s="1" t="s">
        <v>6513</v>
      </c>
      <c r="FV485" s="1" t="s">
        <v>200</v>
      </c>
      <c r="FW485" s="1" t="s">
        <v>290</v>
      </c>
      <c r="FZ485" s="1" t="s">
        <v>229</v>
      </c>
      <c r="GA485" s="1" t="s">
        <v>247</v>
      </c>
      <c r="GB485" s="2">
        <v>42086.0</v>
      </c>
      <c r="GC485" s="1" t="s">
        <v>6514</v>
      </c>
    </row>
    <row r="486">
      <c r="A486" s="1">
        <v>125000.0</v>
      </c>
      <c r="B486" s="1" t="s">
        <v>185</v>
      </c>
      <c r="C486" s="1" t="str">
        <f>"08795828"</f>
        <v>08795828</v>
      </c>
      <c r="D486" s="1" t="s">
        <v>186</v>
      </c>
      <c r="F486" s="1" t="str">
        <f>"8075"</f>
        <v>8075</v>
      </c>
      <c r="G486" s="2">
        <v>41976.0</v>
      </c>
      <c r="H486" s="1">
        <v>149445.0</v>
      </c>
      <c r="I486" s="1">
        <v>180.0</v>
      </c>
      <c r="J486" s="1">
        <v>121050.0</v>
      </c>
      <c r="K486" s="2">
        <v>42033.0</v>
      </c>
      <c r="L486" s="1">
        <v>58.0</v>
      </c>
      <c r="M486" s="2">
        <v>42033.0</v>
      </c>
      <c r="N486" s="1" t="s">
        <v>249</v>
      </c>
      <c r="O486" s="2">
        <v>42082.0</v>
      </c>
      <c r="P486" s="1">
        <v>184307.0</v>
      </c>
      <c r="Q486" s="1">
        <v>10274.0</v>
      </c>
      <c r="S486" s="1">
        <v>11607.0</v>
      </c>
      <c r="T486" s="1" t="s">
        <v>6515</v>
      </c>
      <c r="U486" s="1" t="s">
        <v>189</v>
      </c>
      <c r="V486" s="1" t="s">
        <v>190</v>
      </c>
      <c r="W486" s="1">
        <v>60643.0</v>
      </c>
      <c r="Y486" s="1" t="s">
        <v>6516</v>
      </c>
      <c r="Z486" s="1">
        <v>1930.0</v>
      </c>
      <c r="AA486" s="1" t="s">
        <v>192</v>
      </c>
      <c r="AB486" s="1" t="s">
        <v>193</v>
      </c>
      <c r="AD486" s="1" t="s">
        <v>194</v>
      </c>
      <c r="AE486" s="1" t="s">
        <v>195</v>
      </c>
      <c r="AF486" s="1" t="s">
        <v>1154</v>
      </c>
      <c r="AH486" s="1">
        <v>7500.0</v>
      </c>
      <c r="AI486" s="1">
        <v>0.1722</v>
      </c>
      <c r="AK486" s="1">
        <v>7.0</v>
      </c>
      <c r="AL486" s="1">
        <v>4.0</v>
      </c>
      <c r="AM486" s="1">
        <v>1.0</v>
      </c>
      <c r="AN486" s="1">
        <v>0.0</v>
      </c>
      <c r="AO486" s="1" t="s">
        <v>229</v>
      </c>
      <c r="AQ486" s="1" t="s">
        <v>198</v>
      </c>
      <c r="AR486" s="1" t="s">
        <v>200</v>
      </c>
      <c r="AS486" s="1" t="s">
        <v>828</v>
      </c>
      <c r="AU486" s="1">
        <v>2.0</v>
      </c>
      <c r="AV486" s="1" t="s">
        <v>200</v>
      </c>
      <c r="AW486" s="1">
        <v>3684.0</v>
      </c>
      <c r="AX486" s="1">
        <v>2013.0</v>
      </c>
      <c r="AY486" s="1" t="s">
        <v>229</v>
      </c>
      <c r="AZ486" s="1" t="s">
        <v>200</v>
      </c>
      <c r="BA486" s="1" t="str">
        <f>"25193050020000"</f>
        <v>25193050020000</v>
      </c>
      <c r="BC486" s="1">
        <v>1250.0</v>
      </c>
      <c r="BD486" s="1">
        <v>125000.0</v>
      </c>
      <c r="BE486" s="2">
        <v>41976.0</v>
      </c>
      <c r="BF486" s="2" t="s">
        <v>6517</v>
      </c>
      <c r="BH486" s="1">
        <v>0.0</v>
      </c>
      <c r="BK486" s="1" t="s">
        <v>204</v>
      </c>
      <c r="BL486" s="1" t="str">
        <f t="shared" ref="BL486:BM486" si="324">"0"</f>
        <v>0</v>
      </c>
      <c r="BM486" s="1" t="str">
        <f t="shared" si="324"/>
        <v>0</v>
      </c>
      <c r="BN486" s="1">
        <v>2200.0</v>
      </c>
      <c r="BO486" s="1">
        <v>11607.0</v>
      </c>
      <c r="BQ486" s="1">
        <v>299.0</v>
      </c>
      <c r="BR486" s="1">
        <v>299.0</v>
      </c>
      <c r="BS486" s="1">
        <v>299.0</v>
      </c>
      <c r="BU486" s="1" t="s">
        <v>783</v>
      </c>
      <c r="BV486" s="1" t="s">
        <v>206</v>
      </c>
      <c r="BW486" s="1" t="s">
        <v>207</v>
      </c>
      <c r="BY486" s="1" t="s">
        <v>3623</v>
      </c>
      <c r="BZ486" s="1" t="s">
        <v>209</v>
      </c>
      <c r="CA486" s="1" t="s">
        <v>210</v>
      </c>
      <c r="CC486" s="1" t="s">
        <v>584</v>
      </c>
      <c r="CD486" s="1" t="s">
        <v>206</v>
      </c>
      <c r="CE486" s="1" t="s">
        <v>207</v>
      </c>
      <c r="CG486" s="1" t="s">
        <v>212</v>
      </c>
      <c r="CH486" s="1" t="s">
        <v>206</v>
      </c>
      <c r="CI486" s="1" t="s">
        <v>207</v>
      </c>
      <c r="CK486" s="1" t="s">
        <v>699</v>
      </c>
      <c r="CL486" s="1" t="s">
        <v>206</v>
      </c>
      <c r="CM486" s="1" t="s">
        <v>207</v>
      </c>
      <c r="CO486" s="1" t="s">
        <v>262</v>
      </c>
      <c r="CP486" s="1" t="s">
        <v>209</v>
      </c>
      <c r="CQ486" s="1" t="s">
        <v>210</v>
      </c>
      <c r="CS486" s="1" t="s">
        <v>699</v>
      </c>
      <c r="CT486" s="1" t="s">
        <v>206</v>
      </c>
      <c r="CU486" s="1" t="s">
        <v>617</v>
      </c>
      <c r="CX486" s="1" t="s">
        <v>204</v>
      </c>
      <c r="DA486" s="1" t="s">
        <v>200</v>
      </c>
      <c r="DC486" s="1" t="s">
        <v>785</v>
      </c>
      <c r="DD486" s="1" t="s">
        <v>518</v>
      </c>
      <c r="DE486" s="1" t="s">
        <v>273</v>
      </c>
      <c r="DF486" s="1" t="s">
        <v>219</v>
      </c>
      <c r="DH486" s="1" t="s">
        <v>365</v>
      </c>
      <c r="DJ486" s="1" t="s">
        <v>222</v>
      </c>
      <c r="DL486" s="1" t="s">
        <v>223</v>
      </c>
      <c r="DM486" s="1" t="s">
        <v>229</v>
      </c>
      <c r="DP486" s="1" t="s">
        <v>340</v>
      </c>
      <c r="DQ486" s="1" t="s">
        <v>228</v>
      </c>
      <c r="DR486" s="1" t="s">
        <v>229</v>
      </c>
      <c r="DV486" s="1" t="s">
        <v>374</v>
      </c>
      <c r="DW486" s="1" t="s">
        <v>279</v>
      </c>
      <c r="DX486" s="1" t="s">
        <v>4087</v>
      </c>
      <c r="EC486" s="1" t="s">
        <v>645</v>
      </c>
      <c r="EG486" s="1" t="s">
        <v>374</v>
      </c>
      <c r="EL486" s="1" t="s">
        <v>6518</v>
      </c>
      <c r="EM486" s="1" t="s">
        <v>206</v>
      </c>
      <c r="EN486" s="1" t="s">
        <v>207</v>
      </c>
      <c r="EO486" s="1" t="s">
        <v>229</v>
      </c>
      <c r="EQ486" s="1" t="s">
        <v>238</v>
      </c>
      <c r="EU486" s="1" t="s">
        <v>238</v>
      </c>
      <c r="EY486" s="1" t="s">
        <v>238</v>
      </c>
      <c r="FC486" s="1" t="s">
        <v>238</v>
      </c>
      <c r="FF486" s="1" t="s">
        <v>239</v>
      </c>
      <c r="FG486" s="1" t="s">
        <v>192</v>
      </c>
      <c r="FH486" s="1" t="s">
        <v>192</v>
      </c>
      <c r="FJ486" s="1" t="s">
        <v>6519</v>
      </c>
      <c r="FK486" s="1" t="s">
        <v>229</v>
      </c>
      <c r="FL486" s="1" t="s">
        <v>6520</v>
      </c>
      <c r="FM486" s="1">
        <v>14778.0</v>
      </c>
      <c r="FN486" s="1" t="s">
        <v>6521</v>
      </c>
      <c r="FO486" s="1" t="s">
        <v>6522</v>
      </c>
      <c r="FP486" s="1">
        <v>104294.0</v>
      </c>
      <c r="FQ486" s="1" t="s">
        <v>6521</v>
      </c>
      <c r="FU486" s="1" t="s">
        <v>6523</v>
      </c>
      <c r="FV486" s="1" t="s">
        <v>200</v>
      </c>
      <c r="FW486" s="1" t="s">
        <v>290</v>
      </c>
      <c r="FX486" s="1" t="s">
        <v>655</v>
      </c>
      <c r="FZ486" s="1" t="s">
        <v>229</v>
      </c>
      <c r="GA486" s="1" t="s">
        <v>291</v>
      </c>
      <c r="GB486" s="2">
        <v>42082.0</v>
      </c>
    </row>
    <row r="487">
      <c r="A487" s="1">
        <v>210000.0</v>
      </c>
      <c r="B487" s="1" t="s">
        <v>185</v>
      </c>
      <c r="C487" s="1" t="str">
        <f>"08795408"</f>
        <v>08795408</v>
      </c>
      <c r="D487" s="1" t="s">
        <v>186</v>
      </c>
      <c r="F487" s="1" t="str">
        <f>"123"</f>
        <v>123</v>
      </c>
      <c r="G487" s="2">
        <v>41975.0</v>
      </c>
      <c r="H487" s="1">
        <v>210000.0</v>
      </c>
      <c r="I487" s="1">
        <v>25.0</v>
      </c>
      <c r="J487" s="1">
        <v>210000.0</v>
      </c>
      <c r="K487" s="2">
        <v>41999.0</v>
      </c>
      <c r="L487" s="1">
        <v>25.0</v>
      </c>
      <c r="M487" s="2">
        <v>41999.0</v>
      </c>
      <c r="N487" s="1" t="s">
        <v>356</v>
      </c>
      <c r="O487" s="2">
        <v>42093.0</v>
      </c>
      <c r="P487" s="1">
        <v>27668.0</v>
      </c>
      <c r="Q487" s="1">
        <v>1666.0</v>
      </c>
      <c r="S487" s="1">
        <v>1010.0</v>
      </c>
      <c r="T487" s="1" t="s">
        <v>6524</v>
      </c>
      <c r="U487" s="1" t="s">
        <v>1174</v>
      </c>
      <c r="V487" s="1" t="s">
        <v>465</v>
      </c>
      <c r="W487" s="1">
        <v>60120.0</v>
      </c>
      <c r="Y487" s="1" t="s">
        <v>6525</v>
      </c>
      <c r="Z487" s="1">
        <v>1989.0</v>
      </c>
      <c r="AA487" s="1" t="s">
        <v>200</v>
      </c>
      <c r="AB487" s="1" t="s">
        <v>193</v>
      </c>
      <c r="AC487" s="1" t="s">
        <v>6396</v>
      </c>
      <c r="AD487" s="1" t="s">
        <v>469</v>
      </c>
      <c r="AE487" s="1" t="s">
        <v>195</v>
      </c>
      <c r="AF487" s="1" t="s">
        <v>469</v>
      </c>
      <c r="AH487" s="1" t="s">
        <v>6526</v>
      </c>
      <c r="AI487" s="1">
        <v>0.2259</v>
      </c>
      <c r="AK487" s="1">
        <v>10.0</v>
      </c>
      <c r="AL487" s="1">
        <v>4.0</v>
      </c>
      <c r="AM487" s="1">
        <v>2.0</v>
      </c>
      <c r="AN487" s="1">
        <v>1.0</v>
      </c>
      <c r="AO487" s="1" t="s">
        <v>198</v>
      </c>
      <c r="AP487" s="1">
        <v>1.0</v>
      </c>
      <c r="AQ487" s="1" t="s">
        <v>198</v>
      </c>
      <c r="AR487" s="1" t="s">
        <v>200</v>
      </c>
      <c r="AS487" s="1" t="s">
        <v>199</v>
      </c>
      <c r="AT487" s="1">
        <v>2.0</v>
      </c>
      <c r="AV487" s="1" t="s">
        <v>200</v>
      </c>
      <c r="AW487" s="1">
        <v>7036.0</v>
      </c>
      <c r="AX487" s="1">
        <v>2013.0</v>
      </c>
      <c r="AY487" s="1" t="s">
        <v>387</v>
      </c>
      <c r="AZ487" s="1" t="s">
        <v>200</v>
      </c>
      <c r="BA487" s="1" t="str">
        <f>"06072040120000"</f>
        <v>06072040120000</v>
      </c>
      <c r="BB487" s="1" t="s">
        <v>200</v>
      </c>
      <c r="BC487" s="1">
        <v>3000.0</v>
      </c>
      <c r="BD487" s="1">
        <v>210000.0</v>
      </c>
      <c r="BE487" s="2">
        <v>41975.0</v>
      </c>
      <c r="BF487" s="1" t="s">
        <v>6527</v>
      </c>
      <c r="BG487" s="1" t="s">
        <v>6528</v>
      </c>
      <c r="BH487" s="1">
        <v>180.0</v>
      </c>
      <c r="BI487" s="1" t="s">
        <v>1242</v>
      </c>
      <c r="BJ487" s="1" t="s">
        <v>1243</v>
      </c>
      <c r="BK487" s="1" t="s">
        <v>580</v>
      </c>
      <c r="BL487" s="1" t="str">
        <f>"12"</f>
        <v>12</v>
      </c>
      <c r="BM487" s="1" t="str">
        <f>"0"</f>
        <v>0</v>
      </c>
      <c r="BN487" s="1">
        <v>32.0</v>
      </c>
      <c r="BO487" s="1">
        <v>0.0</v>
      </c>
      <c r="BQ487" s="1">
        <v>46.0</v>
      </c>
      <c r="BR487" s="1">
        <v>46.0</v>
      </c>
      <c r="BS487" s="1">
        <v>46.0</v>
      </c>
      <c r="BU487" s="1" t="s">
        <v>211</v>
      </c>
      <c r="BV487" s="1" t="s">
        <v>206</v>
      </c>
      <c r="BW487" s="1" t="s">
        <v>207</v>
      </c>
      <c r="BX487" s="1" t="s">
        <v>239</v>
      </c>
      <c r="BY487" s="1" t="s">
        <v>453</v>
      </c>
      <c r="BZ487" s="1" t="s">
        <v>209</v>
      </c>
      <c r="CA487" s="1" t="s">
        <v>207</v>
      </c>
      <c r="CB487" s="1" t="s">
        <v>239</v>
      </c>
      <c r="CC487" s="1" t="s">
        <v>433</v>
      </c>
      <c r="CD487" s="1" t="s">
        <v>206</v>
      </c>
      <c r="CE487" s="1" t="s">
        <v>207</v>
      </c>
      <c r="CF487" s="1" t="s">
        <v>239</v>
      </c>
      <c r="CG487" s="1" t="s">
        <v>433</v>
      </c>
      <c r="CH487" s="1" t="s">
        <v>209</v>
      </c>
      <c r="CI487" s="1" t="s">
        <v>207</v>
      </c>
      <c r="CJ487" s="1" t="s">
        <v>239</v>
      </c>
      <c r="CK487" s="1" t="s">
        <v>212</v>
      </c>
      <c r="CL487" s="1" t="s">
        <v>209</v>
      </c>
      <c r="CM487" s="1" t="s">
        <v>207</v>
      </c>
      <c r="CN487" s="1" t="s">
        <v>239</v>
      </c>
      <c r="CO487" s="1" t="s">
        <v>264</v>
      </c>
      <c r="CP487" s="1" t="s">
        <v>209</v>
      </c>
      <c r="CQ487" s="1" t="s">
        <v>207</v>
      </c>
      <c r="CR487" s="1" t="s">
        <v>239</v>
      </c>
      <c r="CS487" s="1" t="s">
        <v>433</v>
      </c>
      <c r="CT487" s="1" t="s">
        <v>206</v>
      </c>
      <c r="CU487" s="1" t="s">
        <v>588</v>
      </c>
      <c r="CV487" s="1" t="s">
        <v>239</v>
      </c>
      <c r="CW487" s="1" t="s">
        <v>616</v>
      </c>
      <c r="CX487" s="1" t="s">
        <v>206</v>
      </c>
      <c r="CY487" s="1" t="s">
        <v>207</v>
      </c>
      <c r="CZ487" s="1" t="s">
        <v>239</v>
      </c>
      <c r="DA487" s="1" t="s">
        <v>200</v>
      </c>
      <c r="DC487" s="1" t="s">
        <v>435</v>
      </c>
      <c r="DD487" s="1" t="s">
        <v>518</v>
      </c>
      <c r="DE487" s="1" t="s">
        <v>273</v>
      </c>
      <c r="DF487" s="1" t="s">
        <v>219</v>
      </c>
      <c r="DH487" s="1" t="s">
        <v>220</v>
      </c>
      <c r="DI487" s="1" t="s">
        <v>789</v>
      </c>
      <c r="DJ487" s="1" t="s">
        <v>222</v>
      </c>
      <c r="DL487" s="1" t="s">
        <v>858</v>
      </c>
      <c r="DM487" s="1" t="s">
        <v>229</v>
      </c>
      <c r="DN487" s="1" t="s">
        <v>485</v>
      </c>
      <c r="DP487" s="1" t="s">
        <v>340</v>
      </c>
      <c r="DQ487" s="1" t="s">
        <v>228</v>
      </c>
      <c r="DR487" s="1" t="s">
        <v>588</v>
      </c>
      <c r="DV487" s="1" t="s">
        <v>4513</v>
      </c>
      <c r="DW487" s="1" t="s">
        <v>233</v>
      </c>
      <c r="DX487" s="1" t="s">
        <v>234</v>
      </c>
      <c r="DY487" s="1" t="s">
        <v>1051</v>
      </c>
      <c r="DZ487" s="1" t="s">
        <v>310</v>
      </c>
      <c r="EA487" s="1" t="s">
        <v>447</v>
      </c>
      <c r="EB487" s="1" t="s">
        <v>1639</v>
      </c>
      <c r="EC487" s="1" t="s">
        <v>237</v>
      </c>
      <c r="ED487" s="1" t="s">
        <v>555</v>
      </c>
      <c r="EE487" s="1" t="s">
        <v>493</v>
      </c>
      <c r="EG487" s="1" t="s">
        <v>449</v>
      </c>
      <c r="EH487" s="1" t="s">
        <v>494</v>
      </c>
      <c r="EL487" s="1" t="s">
        <v>2047</v>
      </c>
      <c r="EM487" s="1" t="s">
        <v>206</v>
      </c>
      <c r="EN487" s="1" t="s">
        <v>588</v>
      </c>
      <c r="EP487" s="1" t="s">
        <v>212</v>
      </c>
      <c r="EQ487" s="1" t="s">
        <v>206</v>
      </c>
      <c r="ER487" s="1" t="s">
        <v>207</v>
      </c>
      <c r="ES487" s="1" t="s">
        <v>239</v>
      </c>
      <c r="EU487" s="1" t="s">
        <v>238</v>
      </c>
      <c r="EY487" s="1" t="s">
        <v>238</v>
      </c>
      <c r="FC487" s="1" t="s">
        <v>238</v>
      </c>
      <c r="FF487" s="1" t="s">
        <v>239</v>
      </c>
      <c r="FG487" s="1" t="s">
        <v>192</v>
      </c>
      <c r="FH487" s="1" t="s">
        <v>192</v>
      </c>
      <c r="FJ487" s="1" t="s">
        <v>498</v>
      </c>
      <c r="FK487" s="1" t="s">
        <v>229</v>
      </c>
      <c r="FL487" s="1" t="s">
        <v>3218</v>
      </c>
      <c r="FM487" s="1">
        <v>25215.0</v>
      </c>
      <c r="FN487" s="1" t="s">
        <v>3219</v>
      </c>
      <c r="FO487" s="1" t="s">
        <v>6529</v>
      </c>
      <c r="FP487" s="1">
        <v>230573.0</v>
      </c>
      <c r="FQ487" s="1" t="s">
        <v>6530</v>
      </c>
      <c r="FU487" s="1" t="s">
        <v>6531</v>
      </c>
      <c r="FV487" s="1" t="s">
        <v>200</v>
      </c>
      <c r="FW487" s="1" t="s">
        <v>631</v>
      </c>
      <c r="FZ487" s="1" t="s">
        <v>229</v>
      </c>
      <c r="GA487" s="1" t="s">
        <v>291</v>
      </c>
      <c r="GB487" s="2">
        <v>42093.0</v>
      </c>
    </row>
    <row r="488">
      <c r="A488" s="1">
        <v>229000.0</v>
      </c>
      <c r="B488" s="1" t="s">
        <v>185</v>
      </c>
      <c r="C488" s="1" t="str">
        <f>"08794288"</f>
        <v>08794288</v>
      </c>
      <c r="D488" s="1" t="s">
        <v>186</v>
      </c>
      <c r="F488" s="1" t="str">
        <f>"136"</f>
        <v>136</v>
      </c>
      <c r="G488" s="2">
        <v>41974.0</v>
      </c>
      <c r="H488" s="1">
        <v>269900.0</v>
      </c>
      <c r="I488" s="1">
        <v>81.0</v>
      </c>
      <c r="J488" s="1">
        <v>239900.0</v>
      </c>
      <c r="K488" s="2">
        <v>42054.0</v>
      </c>
      <c r="L488" s="1">
        <v>81.0</v>
      </c>
      <c r="M488" s="2">
        <v>42054.0</v>
      </c>
      <c r="N488" s="1" t="s">
        <v>187</v>
      </c>
      <c r="O488" s="2">
        <v>42081.0</v>
      </c>
      <c r="P488" s="1">
        <v>84326.0</v>
      </c>
      <c r="Q488" s="1">
        <v>1763.0</v>
      </c>
      <c r="R488" s="1">
        <v>500.0</v>
      </c>
      <c r="S488" s="1">
        <v>400.0</v>
      </c>
      <c r="T488" s="1" t="s">
        <v>6532</v>
      </c>
      <c r="U488" s="1" t="s">
        <v>569</v>
      </c>
      <c r="V488" s="1" t="s">
        <v>5032</v>
      </c>
      <c r="W488" s="1">
        <v>60136.0</v>
      </c>
      <c r="Y488" s="1" t="s">
        <v>6533</v>
      </c>
      <c r="Z488" s="1" t="s">
        <v>296</v>
      </c>
      <c r="AA488" s="1" t="s">
        <v>192</v>
      </c>
      <c r="AB488" s="1" t="s">
        <v>193</v>
      </c>
      <c r="AD488" s="1" t="s">
        <v>5035</v>
      </c>
      <c r="AE488" s="1" t="s">
        <v>325</v>
      </c>
      <c r="AF488" s="1" t="s">
        <v>3429</v>
      </c>
      <c r="AH488" s="1">
        <v>9213.0</v>
      </c>
      <c r="AI488" s="1">
        <v>0.2115</v>
      </c>
      <c r="AK488" s="1">
        <v>9.0</v>
      </c>
      <c r="AL488" s="1">
        <v>4.0</v>
      </c>
      <c r="AM488" s="1">
        <v>2.0</v>
      </c>
      <c r="AN488" s="1">
        <v>1.0</v>
      </c>
      <c r="AO488" s="1" t="s">
        <v>198</v>
      </c>
      <c r="AP488" s="1">
        <v>1.0</v>
      </c>
      <c r="AQ488" s="1" t="s">
        <v>198</v>
      </c>
      <c r="AR488" s="1" t="s">
        <v>200</v>
      </c>
      <c r="AS488" s="1" t="s">
        <v>199</v>
      </c>
      <c r="AT488" s="1">
        <v>2.0</v>
      </c>
      <c r="AV488" s="1" t="s">
        <v>192</v>
      </c>
      <c r="AW488" s="1">
        <v>6782.0</v>
      </c>
      <c r="AX488" s="1">
        <v>2013.0</v>
      </c>
      <c r="AY488" s="1" t="s">
        <v>387</v>
      </c>
      <c r="AZ488" s="1" t="s">
        <v>545</v>
      </c>
      <c r="BA488" s="1" t="str">
        <f>"0236202026"</f>
        <v>0236202026</v>
      </c>
      <c r="BC488" s="1">
        <v>0.0</v>
      </c>
      <c r="BD488" s="1">
        <v>229000.0</v>
      </c>
      <c r="BE488" s="2">
        <v>41974.0</v>
      </c>
      <c r="BF488" s="2" t="s">
        <v>6534</v>
      </c>
      <c r="BH488" s="1">
        <v>320.0</v>
      </c>
      <c r="BK488" s="1" t="s">
        <v>580</v>
      </c>
      <c r="BL488" s="1" t="str">
        <f t="shared" ref="BL488:BM488" si="325">""</f>
        <v/>
      </c>
      <c r="BM488" s="1" t="str">
        <f t="shared" si="325"/>
        <v/>
      </c>
      <c r="BQ488" s="1">
        <v>300.0</v>
      </c>
      <c r="BR488" s="1">
        <v>300.0</v>
      </c>
      <c r="BS488" s="1">
        <v>300.0</v>
      </c>
      <c r="BU488" s="1" t="s">
        <v>639</v>
      </c>
      <c r="BV488" s="1" t="s">
        <v>206</v>
      </c>
      <c r="BW488" s="1" t="s">
        <v>207</v>
      </c>
      <c r="BX488" s="1" t="s">
        <v>229</v>
      </c>
      <c r="BY488" s="1" t="s">
        <v>544</v>
      </c>
      <c r="BZ488" s="1" t="s">
        <v>209</v>
      </c>
      <c r="CA488" s="1" t="s">
        <v>210</v>
      </c>
      <c r="CB488" s="1" t="s">
        <v>229</v>
      </c>
      <c r="CC488" s="1" t="s">
        <v>269</v>
      </c>
      <c r="CD488" s="1" t="s">
        <v>206</v>
      </c>
      <c r="CE488" s="1" t="s">
        <v>207</v>
      </c>
      <c r="CF488" s="1" t="s">
        <v>229</v>
      </c>
      <c r="CG488" s="1" t="s">
        <v>212</v>
      </c>
      <c r="CH488" s="1" t="s">
        <v>209</v>
      </c>
      <c r="CI488" s="1" t="s">
        <v>210</v>
      </c>
      <c r="CJ488" s="1" t="s">
        <v>229</v>
      </c>
      <c r="CK488" s="1" t="s">
        <v>215</v>
      </c>
      <c r="CL488" s="1" t="s">
        <v>209</v>
      </c>
      <c r="CM488" s="1" t="s">
        <v>210</v>
      </c>
      <c r="CN488" s="1" t="s">
        <v>229</v>
      </c>
      <c r="CO488" s="1" t="s">
        <v>329</v>
      </c>
      <c r="CP488" s="1" t="s">
        <v>209</v>
      </c>
      <c r="CQ488" s="1" t="s">
        <v>210</v>
      </c>
      <c r="CR488" s="1" t="s">
        <v>229</v>
      </c>
      <c r="CS488" s="1" t="s">
        <v>453</v>
      </c>
      <c r="CT488" s="1" t="s">
        <v>206</v>
      </c>
      <c r="CU488" s="1" t="s">
        <v>268</v>
      </c>
      <c r="CV488" s="1" t="s">
        <v>229</v>
      </c>
      <c r="CX488" s="1" t="s">
        <v>204</v>
      </c>
      <c r="DA488" s="1" t="s">
        <v>200</v>
      </c>
      <c r="DC488" s="1" t="s">
        <v>545</v>
      </c>
      <c r="DD488" s="1" t="s">
        <v>518</v>
      </c>
      <c r="DE488" s="1" t="s">
        <v>273</v>
      </c>
      <c r="DF488" s="1" t="s">
        <v>219</v>
      </c>
      <c r="DH488" s="1" t="s">
        <v>220</v>
      </c>
      <c r="DJ488" s="1" t="s">
        <v>222</v>
      </c>
      <c r="DL488" s="1" t="s">
        <v>223</v>
      </c>
      <c r="DM488" s="1" t="s">
        <v>229</v>
      </c>
      <c r="DP488" s="1" t="s">
        <v>340</v>
      </c>
      <c r="DQ488" s="1" t="s">
        <v>228</v>
      </c>
      <c r="DR488" s="1" t="s">
        <v>229</v>
      </c>
      <c r="DV488" s="1" t="s">
        <v>6535</v>
      </c>
      <c r="DW488" s="1" t="s">
        <v>233</v>
      </c>
      <c r="DX488" s="1" t="s">
        <v>234</v>
      </c>
      <c r="EC488" s="1" t="s">
        <v>237</v>
      </c>
      <c r="EG488" s="1" t="s">
        <v>598</v>
      </c>
      <c r="EH488" s="1" t="s">
        <v>341</v>
      </c>
      <c r="EL488" s="1" t="s">
        <v>264</v>
      </c>
      <c r="EM488" s="1" t="s">
        <v>206</v>
      </c>
      <c r="EN488" s="1" t="s">
        <v>207</v>
      </c>
      <c r="EO488" s="1" t="s">
        <v>229</v>
      </c>
      <c r="EP488" s="1" t="s">
        <v>1426</v>
      </c>
      <c r="EQ488" s="1" t="s">
        <v>209</v>
      </c>
      <c r="ER488" s="1" t="s">
        <v>210</v>
      </c>
      <c r="ES488" s="1" t="s">
        <v>229</v>
      </c>
      <c r="EU488" s="1" t="s">
        <v>238</v>
      </c>
      <c r="EY488" s="1" t="s">
        <v>238</v>
      </c>
      <c r="FC488" s="1" t="s">
        <v>238</v>
      </c>
      <c r="FF488" s="1" t="s">
        <v>239</v>
      </c>
      <c r="FG488" s="1" t="s">
        <v>192</v>
      </c>
      <c r="FH488" s="1" t="s">
        <v>192</v>
      </c>
      <c r="FJ488" s="1" t="s">
        <v>347</v>
      </c>
      <c r="FK488" s="1" t="s">
        <v>229</v>
      </c>
      <c r="FL488" s="1" t="s">
        <v>4635</v>
      </c>
      <c r="FM488" s="1">
        <v>1666.0</v>
      </c>
      <c r="FN488" s="1" t="s">
        <v>4636</v>
      </c>
      <c r="FO488" s="1" t="s">
        <v>4637</v>
      </c>
      <c r="FP488" s="1">
        <v>26352.0</v>
      </c>
      <c r="FQ488" s="1" t="s">
        <v>4638</v>
      </c>
      <c r="FU488" s="1" t="s">
        <v>6536</v>
      </c>
      <c r="FV488" s="1" t="s">
        <v>200</v>
      </c>
      <c r="FW488" s="1" t="s">
        <v>354</v>
      </c>
      <c r="FZ488" s="1" t="s">
        <v>229</v>
      </c>
      <c r="GA488" s="1" t="s">
        <v>291</v>
      </c>
      <c r="GB488" s="2">
        <v>42082.0</v>
      </c>
      <c r="GC488" s="1" t="s">
        <v>4640</v>
      </c>
    </row>
    <row r="489">
      <c r="A489" s="1">
        <v>251000.0</v>
      </c>
      <c r="B489" s="1" t="s">
        <v>185</v>
      </c>
      <c r="C489" s="1" t="str">
        <f>"08800218"</f>
        <v>08800218</v>
      </c>
      <c r="D489" s="1" t="s">
        <v>186</v>
      </c>
      <c r="F489" s="1" t="str">
        <f>"554"</f>
        <v>554</v>
      </c>
      <c r="G489" s="2">
        <v>41983.0</v>
      </c>
      <c r="H489" s="1">
        <v>259900.0</v>
      </c>
      <c r="I489" s="1">
        <v>52.0</v>
      </c>
      <c r="J489" s="1">
        <v>247000.0</v>
      </c>
      <c r="K489" s="2">
        <v>42034.0</v>
      </c>
      <c r="L489" s="1">
        <v>52.0</v>
      </c>
      <c r="M489" s="2">
        <v>42034.0</v>
      </c>
      <c r="N489" s="1" t="s">
        <v>187</v>
      </c>
      <c r="O489" s="2">
        <v>42061.0</v>
      </c>
      <c r="P489" s="1">
        <v>220742.0</v>
      </c>
      <c r="Q489" s="1">
        <v>25083.0</v>
      </c>
      <c r="S489" s="1">
        <v>224.0</v>
      </c>
      <c r="T489" s="1" t="s">
        <v>6537</v>
      </c>
      <c r="U489" s="1" t="s">
        <v>569</v>
      </c>
      <c r="V489" s="1" t="s">
        <v>2212</v>
      </c>
      <c r="W489" s="1">
        <v>60554.0</v>
      </c>
      <c r="Y489" s="1" t="s">
        <v>6538</v>
      </c>
      <c r="Z489" s="1">
        <v>2002.0</v>
      </c>
      <c r="AA489" s="1" t="s">
        <v>200</v>
      </c>
      <c r="AB489" s="1" t="s">
        <v>467</v>
      </c>
      <c r="AC489" s="1" t="s">
        <v>6539</v>
      </c>
      <c r="AD489" s="1" t="s">
        <v>1887</v>
      </c>
      <c r="AE489" s="1" t="s">
        <v>325</v>
      </c>
      <c r="AF489" s="1" t="s">
        <v>1887</v>
      </c>
      <c r="AG489" s="1" t="s">
        <v>6540</v>
      </c>
      <c r="AH489" s="1" t="s">
        <v>6541</v>
      </c>
      <c r="AK489" s="1">
        <v>8.0</v>
      </c>
      <c r="AL489" s="1">
        <v>4.0</v>
      </c>
      <c r="AM489" s="1">
        <v>3.0</v>
      </c>
      <c r="AN489" s="1">
        <v>1.0</v>
      </c>
      <c r="AO489" s="1" t="s">
        <v>198</v>
      </c>
      <c r="AP489" s="1">
        <v>1.0</v>
      </c>
      <c r="AQ489" s="1" t="s">
        <v>198</v>
      </c>
      <c r="AR489" s="1" t="s">
        <v>192</v>
      </c>
      <c r="AS489" s="1" t="s">
        <v>199</v>
      </c>
      <c r="AT489" s="1">
        <v>2.0</v>
      </c>
      <c r="AV489" s="1" t="s">
        <v>200</v>
      </c>
      <c r="AW489" s="1">
        <v>8116.58</v>
      </c>
      <c r="AX489" s="1">
        <v>2013.0</v>
      </c>
      <c r="AZ489" s="1" t="s">
        <v>545</v>
      </c>
      <c r="BA489" s="1" t="str">
        <f>"1415176009"</f>
        <v>1415176009</v>
      </c>
      <c r="BC489" s="1">
        <v>2666.0</v>
      </c>
      <c r="BD489" s="1">
        <v>251000.0</v>
      </c>
      <c r="BE489" s="2">
        <v>41983.0</v>
      </c>
      <c r="BF489" s="2" t="s">
        <v>6542</v>
      </c>
      <c r="BH489" s="1">
        <v>180.0</v>
      </c>
      <c r="BK489" s="1" t="s">
        <v>580</v>
      </c>
      <c r="BL489" s="1" t="str">
        <f t="shared" ref="BL489:BM489" si="326">""</f>
        <v/>
      </c>
      <c r="BM489" s="1" t="str">
        <f t="shared" si="326"/>
        <v/>
      </c>
      <c r="BQ489" s="1">
        <v>302.0</v>
      </c>
      <c r="BR489" s="1">
        <v>302.0</v>
      </c>
      <c r="BS489" s="1">
        <v>302.0</v>
      </c>
      <c r="BU489" s="1" t="s">
        <v>205</v>
      </c>
      <c r="BV489" s="1" t="s">
        <v>206</v>
      </c>
      <c r="BY489" s="1" t="s">
        <v>211</v>
      </c>
      <c r="BZ489" s="1" t="s">
        <v>209</v>
      </c>
      <c r="CC489" s="1" t="s">
        <v>332</v>
      </c>
      <c r="CD489" s="1" t="s">
        <v>206</v>
      </c>
      <c r="CG489" s="1" t="s">
        <v>212</v>
      </c>
      <c r="CH489" s="1" t="s">
        <v>209</v>
      </c>
      <c r="CK489" s="1" t="s">
        <v>264</v>
      </c>
      <c r="CL489" s="1" t="s">
        <v>209</v>
      </c>
      <c r="CO489" s="1" t="s">
        <v>264</v>
      </c>
      <c r="CP489" s="1" t="s">
        <v>209</v>
      </c>
      <c r="CS489" s="1" t="s">
        <v>329</v>
      </c>
      <c r="CT489" s="1" t="s">
        <v>206</v>
      </c>
      <c r="CW489" s="1" t="s">
        <v>1244</v>
      </c>
      <c r="CX489" s="1" t="s">
        <v>206</v>
      </c>
      <c r="DA489" s="1" t="s">
        <v>200</v>
      </c>
      <c r="DC489" s="1" t="s">
        <v>335</v>
      </c>
      <c r="DE489" s="1" t="s">
        <v>273</v>
      </c>
      <c r="DF489" s="1" t="s">
        <v>219</v>
      </c>
      <c r="DH489" s="1" t="s">
        <v>220</v>
      </c>
      <c r="DJ489" s="1" t="s">
        <v>222</v>
      </c>
      <c r="DL489" s="1" t="s">
        <v>858</v>
      </c>
      <c r="DM489" s="1" t="s">
        <v>1268</v>
      </c>
      <c r="DQ489" s="1" t="s">
        <v>228</v>
      </c>
      <c r="DR489" s="1" t="s">
        <v>588</v>
      </c>
      <c r="DV489" s="1" t="s">
        <v>232</v>
      </c>
      <c r="DW489" s="1" t="s">
        <v>2602</v>
      </c>
      <c r="DX489" s="1" t="s">
        <v>234</v>
      </c>
      <c r="EC489" s="1" t="s">
        <v>237</v>
      </c>
      <c r="ED489" s="1" t="s">
        <v>6543</v>
      </c>
      <c r="EM489" s="1" t="s">
        <v>238</v>
      </c>
      <c r="EQ489" s="1" t="s">
        <v>238</v>
      </c>
      <c r="EU489" s="1" t="s">
        <v>238</v>
      </c>
      <c r="EY489" s="1" t="s">
        <v>238</v>
      </c>
      <c r="FC489" s="1" t="s">
        <v>238</v>
      </c>
      <c r="FF489" s="1" t="s">
        <v>239</v>
      </c>
      <c r="FG489" s="1" t="s">
        <v>192</v>
      </c>
      <c r="FH489" s="1" t="s">
        <v>192</v>
      </c>
      <c r="FJ489" s="1" t="s">
        <v>347</v>
      </c>
      <c r="FK489" s="1" t="s">
        <v>229</v>
      </c>
      <c r="FL489" s="1" t="s">
        <v>1775</v>
      </c>
      <c r="FM489" s="1">
        <v>31982.0</v>
      </c>
      <c r="FN489" s="1" t="s">
        <v>1776</v>
      </c>
      <c r="FO489" s="1" t="s">
        <v>1777</v>
      </c>
      <c r="FP489" s="1">
        <v>319888.0</v>
      </c>
      <c r="FQ489" s="1" t="s">
        <v>1778</v>
      </c>
      <c r="FU489" s="1" t="s">
        <v>6544</v>
      </c>
      <c r="FV489" s="1" t="s">
        <v>200</v>
      </c>
      <c r="FW489" s="1" t="s">
        <v>354</v>
      </c>
      <c r="FZ489" s="1" t="s">
        <v>229</v>
      </c>
      <c r="GA489" s="1" t="s">
        <v>291</v>
      </c>
      <c r="GB489" s="2">
        <v>42061.0</v>
      </c>
      <c r="GC489" s="1" t="s">
        <v>6545</v>
      </c>
    </row>
    <row r="490">
      <c r="A490" s="1">
        <v>895000.0</v>
      </c>
      <c r="B490" s="1" t="s">
        <v>185</v>
      </c>
      <c r="C490" s="1" t="str">
        <f>"08793964"</f>
        <v>08793964</v>
      </c>
      <c r="D490" s="1" t="s">
        <v>186</v>
      </c>
      <c r="F490" s="1" t="str">
        <f>"8007"</f>
        <v>8007</v>
      </c>
      <c r="G490" s="2">
        <v>41973.0</v>
      </c>
      <c r="H490" s="1">
        <v>899000.0</v>
      </c>
      <c r="I490" s="1">
        <v>1.0</v>
      </c>
      <c r="J490" s="1">
        <v>899000.0</v>
      </c>
      <c r="K490" s="2">
        <v>41973.0</v>
      </c>
      <c r="L490" s="1">
        <v>1.0</v>
      </c>
      <c r="M490" s="2">
        <v>41973.0</v>
      </c>
      <c r="N490" s="1" t="s">
        <v>187</v>
      </c>
      <c r="O490" s="2">
        <v>41973.0</v>
      </c>
      <c r="P490" s="1">
        <v>123111.0</v>
      </c>
      <c r="Q490" s="1">
        <v>14242.0</v>
      </c>
      <c r="S490" s="1">
        <v>1118.0</v>
      </c>
      <c r="T490" s="1" t="s">
        <v>6546</v>
      </c>
      <c r="U490" s="1" t="s">
        <v>189</v>
      </c>
      <c r="V490" s="1" t="s">
        <v>190</v>
      </c>
      <c r="W490" s="1">
        <v>60614.0</v>
      </c>
      <c r="Y490" s="1" t="s">
        <v>6547</v>
      </c>
      <c r="Z490" s="1" t="s">
        <v>296</v>
      </c>
      <c r="AA490" s="1" t="s">
        <v>192</v>
      </c>
      <c r="AB490" s="1" t="s">
        <v>193</v>
      </c>
      <c r="AD490" s="1" t="s">
        <v>194</v>
      </c>
      <c r="AE490" s="1" t="s">
        <v>195</v>
      </c>
      <c r="AF490" s="1" t="s">
        <v>2645</v>
      </c>
      <c r="AH490" s="1" t="s">
        <v>6548</v>
      </c>
      <c r="AK490" s="1">
        <v>11.0</v>
      </c>
      <c r="AL490" s="1">
        <v>4.0</v>
      </c>
      <c r="AM490" s="1">
        <v>3.0</v>
      </c>
      <c r="AN490" s="1">
        <v>0.0</v>
      </c>
      <c r="AO490" s="1" t="s">
        <v>1261</v>
      </c>
      <c r="AP490" s="1">
        <v>1.0</v>
      </c>
      <c r="AQ490" s="1" t="s">
        <v>951</v>
      </c>
      <c r="AR490" s="1" t="s">
        <v>200</v>
      </c>
      <c r="AS490" s="1" t="s">
        <v>199</v>
      </c>
      <c r="AT490" s="1">
        <v>2.0</v>
      </c>
      <c r="AV490" s="1" t="s">
        <v>200</v>
      </c>
      <c r="AW490" s="1">
        <v>19386.0</v>
      </c>
      <c r="AX490" s="1">
        <v>2012.0</v>
      </c>
      <c r="AY490" s="1" t="s">
        <v>387</v>
      </c>
      <c r="AZ490" s="1" t="s">
        <v>200</v>
      </c>
      <c r="BA490" s="1" t="str">
        <f>"14322060310000"</f>
        <v>14322060310000</v>
      </c>
      <c r="BC490" s="1">
        <v>3100.0</v>
      </c>
      <c r="BD490" s="1">
        <v>895000.0</v>
      </c>
      <c r="BE490" s="2">
        <v>41973.0</v>
      </c>
      <c r="BF490" s="2" t="s">
        <v>6549</v>
      </c>
      <c r="BH490" s="1">
        <v>0.0</v>
      </c>
      <c r="BK490" s="1" t="s">
        <v>204</v>
      </c>
      <c r="BL490" s="1" t="str">
        <f>"2200"</f>
        <v>2200</v>
      </c>
      <c r="BM490" s="1" t="str">
        <f t="shared" ref="BM490:BM491" si="327">"0"</f>
        <v>0</v>
      </c>
      <c r="BN490" s="1">
        <v>1118.0</v>
      </c>
      <c r="BO490" s="1">
        <v>0.0</v>
      </c>
      <c r="BQ490" s="1">
        <v>299.0</v>
      </c>
      <c r="BR490" s="1">
        <v>299.0</v>
      </c>
      <c r="BS490" s="1">
        <v>299.0</v>
      </c>
      <c r="BU490" s="1" t="s">
        <v>393</v>
      </c>
      <c r="BV490" s="1" t="s">
        <v>209</v>
      </c>
      <c r="BW490" s="1" t="s">
        <v>207</v>
      </c>
      <c r="BY490" s="1" t="s">
        <v>758</v>
      </c>
      <c r="BZ490" s="1" t="s">
        <v>391</v>
      </c>
      <c r="CA490" s="1" t="s">
        <v>210</v>
      </c>
      <c r="CC490" s="1" t="s">
        <v>331</v>
      </c>
      <c r="CD490" s="1" t="s">
        <v>209</v>
      </c>
      <c r="CE490" s="1" t="s">
        <v>207</v>
      </c>
      <c r="CG490" s="1" t="s">
        <v>434</v>
      </c>
      <c r="CH490" s="1" t="s">
        <v>391</v>
      </c>
      <c r="CI490" s="1" t="s">
        <v>210</v>
      </c>
      <c r="CK490" s="1" t="s">
        <v>814</v>
      </c>
      <c r="CL490" s="1" t="s">
        <v>209</v>
      </c>
      <c r="CM490" s="1" t="s">
        <v>210</v>
      </c>
      <c r="CO490" s="1" t="s">
        <v>331</v>
      </c>
      <c r="CP490" s="1" t="s">
        <v>206</v>
      </c>
      <c r="CQ490" s="1" t="s">
        <v>207</v>
      </c>
      <c r="CS490" s="1" t="s">
        <v>331</v>
      </c>
      <c r="CT490" s="1" t="s">
        <v>209</v>
      </c>
      <c r="CU490" s="1" t="s">
        <v>207</v>
      </c>
      <c r="CW490" s="1" t="s">
        <v>544</v>
      </c>
      <c r="CX490" s="1" t="s">
        <v>206</v>
      </c>
      <c r="CY490" s="1" t="s">
        <v>207</v>
      </c>
      <c r="DA490" s="1" t="s">
        <v>200</v>
      </c>
      <c r="DC490" s="1" t="s">
        <v>642</v>
      </c>
      <c r="DE490" s="1" t="s">
        <v>218</v>
      </c>
      <c r="DF490" s="1" t="s">
        <v>745</v>
      </c>
      <c r="DG490" s="1" t="s">
        <v>337</v>
      </c>
      <c r="DH490" s="1" t="s">
        <v>365</v>
      </c>
      <c r="DI490" s="1" t="s">
        <v>703</v>
      </c>
      <c r="DJ490" s="1" t="s">
        <v>222</v>
      </c>
      <c r="DL490" s="1" t="s">
        <v>6365</v>
      </c>
      <c r="DM490" s="1" t="s">
        <v>229</v>
      </c>
      <c r="DN490" s="1" t="s">
        <v>339</v>
      </c>
      <c r="DP490" s="1" t="s">
        <v>340</v>
      </c>
      <c r="DQ490" s="1" t="s">
        <v>718</v>
      </c>
      <c r="DR490" s="1" t="s">
        <v>229</v>
      </c>
      <c r="DS490" s="1" t="s">
        <v>401</v>
      </c>
      <c r="DU490" s="1" t="s">
        <v>4671</v>
      </c>
      <c r="DV490" s="1" t="s">
        <v>6550</v>
      </c>
      <c r="DW490" s="1" t="s">
        <v>279</v>
      </c>
      <c r="DX490" s="1" t="s">
        <v>234</v>
      </c>
      <c r="DY490" s="1" t="s">
        <v>4102</v>
      </c>
      <c r="DZ490" s="1" t="s">
        <v>310</v>
      </c>
      <c r="EA490" s="1" t="s">
        <v>1027</v>
      </c>
      <c r="EB490" s="1" t="s">
        <v>6551</v>
      </c>
      <c r="EC490" s="1" t="s">
        <v>406</v>
      </c>
      <c r="EG490" s="1" t="s">
        <v>494</v>
      </c>
      <c r="EH490" s="1" t="s">
        <v>556</v>
      </c>
      <c r="EI490" s="1" t="s">
        <v>1121</v>
      </c>
      <c r="EL490" s="1" t="s">
        <v>814</v>
      </c>
      <c r="EM490" s="1" t="s">
        <v>391</v>
      </c>
      <c r="EN490" s="1" t="s">
        <v>207</v>
      </c>
      <c r="EP490" s="1" t="s">
        <v>1119</v>
      </c>
      <c r="EQ490" s="1" t="s">
        <v>209</v>
      </c>
      <c r="ER490" s="1" t="s">
        <v>207</v>
      </c>
      <c r="ET490" s="1" t="s">
        <v>331</v>
      </c>
      <c r="EU490" s="1" t="s">
        <v>206</v>
      </c>
      <c r="EV490" s="1" t="s">
        <v>207</v>
      </c>
      <c r="EY490" s="1" t="s">
        <v>238</v>
      </c>
      <c r="FC490" s="1" t="s">
        <v>238</v>
      </c>
      <c r="FF490" s="1" t="s">
        <v>239</v>
      </c>
      <c r="FG490" s="1" t="s">
        <v>192</v>
      </c>
      <c r="FH490" s="1" t="s">
        <v>192</v>
      </c>
      <c r="FJ490" s="1" t="s">
        <v>4684</v>
      </c>
      <c r="FK490" s="1" t="s">
        <v>229</v>
      </c>
      <c r="FL490" s="1" t="s">
        <v>4685</v>
      </c>
      <c r="FM490" s="1">
        <v>14242.0</v>
      </c>
      <c r="FN490" s="1" t="s">
        <v>4686</v>
      </c>
      <c r="FO490" s="1" t="s">
        <v>4687</v>
      </c>
      <c r="FP490" s="1">
        <v>123111.0</v>
      </c>
      <c r="FQ490" s="1" t="s">
        <v>4688</v>
      </c>
      <c r="FU490" s="1" t="s">
        <v>6552</v>
      </c>
      <c r="FV490" s="1" t="s">
        <v>200</v>
      </c>
      <c r="FW490" s="1" t="s">
        <v>567</v>
      </c>
      <c r="FX490" s="1" t="s">
        <v>246</v>
      </c>
      <c r="FZ490" s="1" t="s">
        <v>229</v>
      </c>
      <c r="GA490" s="1" t="s">
        <v>291</v>
      </c>
      <c r="GB490" s="2">
        <v>41973.0</v>
      </c>
      <c r="GC490" s="1" t="s">
        <v>6552</v>
      </c>
    </row>
    <row r="491">
      <c r="A491" s="1">
        <v>1475000.0</v>
      </c>
      <c r="B491" s="1" t="s">
        <v>185</v>
      </c>
      <c r="C491" s="1" t="str">
        <f>"08811820"</f>
        <v>08811820</v>
      </c>
      <c r="D491" s="1" t="s">
        <v>186</v>
      </c>
      <c r="F491" s="1" t="str">
        <f>"8006"</f>
        <v>8006</v>
      </c>
      <c r="G491" s="2">
        <v>42011.0</v>
      </c>
      <c r="H491" s="1">
        <v>1595000.0</v>
      </c>
      <c r="I491" s="1">
        <v>14.0</v>
      </c>
      <c r="J491" s="1">
        <v>1595000.0</v>
      </c>
      <c r="K491" s="2">
        <v>42022.0</v>
      </c>
      <c r="L491" s="1">
        <v>14.0</v>
      </c>
      <c r="M491" s="2">
        <v>42022.0</v>
      </c>
      <c r="N491" s="1" t="s">
        <v>187</v>
      </c>
      <c r="O491" s="2">
        <v>42114.0</v>
      </c>
      <c r="P491" s="1">
        <v>99999.0</v>
      </c>
      <c r="Q491" s="1" t="s">
        <v>947</v>
      </c>
      <c r="S491" s="1">
        <v>3721.0</v>
      </c>
      <c r="T491" s="1" t="s">
        <v>6553</v>
      </c>
      <c r="U491" s="1" t="s">
        <v>189</v>
      </c>
      <c r="V491" s="1" t="s">
        <v>190</v>
      </c>
      <c r="W491" s="1">
        <v>60613.0</v>
      </c>
      <c r="Y491" s="1" t="s">
        <v>6554</v>
      </c>
      <c r="Z491" s="1">
        <v>2004.0</v>
      </c>
      <c r="AA491" s="1" t="s">
        <v>200</v>
      </c>
      <c r="AB491" s="1" t="s">
        <v>193</v>
      </c>
      <c r="AD491" s="1" t="s">
        <v>194</v>
      </c>
      <c r="AE491" s="1" t="s">
        <v>195</v>
      </c>
      <c r="AF491" s="1" t="s">
        <v>534</v>
      </c>
      <c r="AH491" s="1" t="s">
        <v>741</v>
      </c>
      <c r="AK491" s="1">
        <v>11.0</v>
      </c>
      <c r="AL491" s="1">
        <v>4.0</v>
      </c>
      <c r="AM491" s="1">
        <v>3.0</v>
      </c>
      <c r="AN491" s="1">
        <v>1.0</v>
      </c>
      <c r="AO491" s="1" t="s">
        <v>198</v>
      </c>
      <c r="AP491" s="1">
        <v>2.0</v>
      </c>
      <c r="AQ491" s="1" t="s">
        <v>472</v>
      </c>
      <c r="AR491" s="1" t="s">
        <v>192</v>
      </c>
      <c r="AS491" s="1" t="s">
        <v>199</v>
      </c>
      <c r="AT491" s="1">
        <v>2.0</v>
      </c>
      <c r="AV491" s="1" t="s">
        <v>200</v>
      </c>
      <c r="AW491" s="1">
        <v>21870.33</v>
      </c>
      <c r="AX491" s="1">
        <v>2013.0</v>
      </c>
      <c r="AY491" s="1" t="s">
        <v>387</v>
      </c>
      <c r="AZ491" s="1" t="s">
        <v>200</v>
      </c>
      <c r="BA491" s="1" t="str">
        <f>"14201120220000"</f>
        <v>14201120220000</v>
      </c>
      <c r="BC491" s="1">
        <v>4150.0</v>
      </c>
      <c r="BD491" s="1">
        <v>1475000.0</v>
      </c>
      <c r="BE491" s="2">
        <v>42009.0</v>
      </c>
      <c r="BF491" s="2" t="s">
        <v>6555</v>
      </c>
      <c r="BG491" s="1" t="s">
        <v>6556</v>
      </c>
      <c r="BH491" s="1">
        <v>0.0</v>
      </c>
      <c r="BK491" s="1" t="s">
        <v>204</v>
      </c>
      <c r="BL491" s="1" t="str">
        <f>"3721"</f>
        <v>3721</v>
      </c>
      <c r="BM491" s="1" t="str">
        <f t="shared" si="327"/>
        <v>0</v>
      </c>
      <c r="BN491" s="1">
        <v>1500.0</v>
      </c>
      <c r="BO491" s="1">
        <v>0.0</v>
      </c>
      <c r="BQ491" s="1">
        <v>299.0</v>
      </c>
      <c r="BR491" s="1">
        <v>299.0</v>
      </c>
      <c r="BS491" s="1">
        <v>299.0</v>
      </c>
      <c r="BU491" s="1" t="s">
        <v>5069</v>
      </c>
      <c r="BV491" s="1" t="s">
        <v>206</v>
      </c>
      <c r="BW491" s="1" t="s">
        <v>207</v>
      </c>
      <c r="BX491" s="1" t="s">
        <v>261</v>
      </c>
      <c r="BY491" s="1" t="s">
        <v>5291</v>
      </c>
      <c r="BZ491" s="1" t="s">
        <v>209</v>
      </c>
      <c r="CA491" s="1" t="s">
        <v>207</v>
      </c>
      <c r="CB491" s="1" t="s">
        <v>1550</v>
      </c>
      <c r="CC491" s="1" t="s">
        <v>542</v>
      </c>
      <c r="CD491" s="1" t="s">
        <v>206</v>
      </c>
      <c r="CE491" s="1" t="s">
        <v>207</v>
      </c>
      <c r="CF491" s="1" t="s">
        <v>261</v>
      </c>
      <c r="CG491" s="1" t="s">
        <v>784</v>
      </c>
      <c r="CH491" s="1" t="s">
        <v>209</v>
      </c>
      <c r="CI491" s="1" t="s">
        <v>207</v>
      </c>
      <c r="CJ491" s="1" t="s">
        <v>1550</v>
      </c>
      <c r="CK491" s="1" t="s">
        <v>815</v>
      </c>
      <c r="CL491" s="1" t="s">
        <v>209</v>
      </c>
      <c r="CM491" s="1" t="s">
        <v>207</v>
      </c>
      <c r="CN491" s="1" t="s">
        <v>1549</v>
      </c>
      <c r="CO491" s="1" t="s">
        <v>332</v>
      </c>
      <c r="CP491" s="1" t="s">
        <v>267</v>
      </c>
      <c r="CQ491" s="1" t="s">
        <v>210</v>
      </c>
      <c r="CR491" s="1" t="s">
        <v>1549</v>
      </c>
      <c r="CS491" s="1" t="s">
        <v>480</v>
      </c>
      <c r="CT491" s="1" t="s">
        <v>206</v>
      </c>
      <c r="CU491" s="1" t="s">
        <v>207</v>
      </c>
      <c r="CV491" s="1" t="s">
        <v>261</v>
      </c>
      <c r="CW491" s="1" t="s">
        <v>334</v>
      </c>
      <c r="CX491" s="1" t="s">
        <v>206</v>
      </c>
      <c r="CY491" s="1" t="s">
        <v>207</v>
      </c>
      <c r="CZ491" s="1" t="s">
        <v>261</v>
      </c>
      <c r="DA491" s="1" t="s">
        <v>200</v>
      </c>
      <c r="DC491" s="1" t="s">
        <v>335</v>
      </c>
      <c r="DD491" s="1" t="s">
        <v>1838</v>
      </c>
      <c r="DE491" s="1" t="s">
        <v>1810</v>
      </c>
      <c r="DF491" s="1" t="s">
        <v>745</v>
      </c>
      <c r="DG491" s="1" t="s">
        <v>482</v>
      </c>
      <c r="DH491" s="1" t="s">
        <v>307</v>
      </c>
      <c r="DI491" s="1" t="s">
        <v>6557</v>
      </c>
      <c r="DJ491" s="1" t="s">
        <v>222</v>
      </c>
      <c r="DL491" s="1" t="s">
        <v>1161</v>
      </c>
      <c r="DM491" s="1" t="s">
        <v>1658</v>
      </c>
      <c r="DN491" s="1" t="s">
        <v>6558</v>
      </c>
      <c r="DO491" s="1" t="s">
        <v>717</v>
      </c>
      <c r="DP491" s="1" t="s">
        <v>276</v>
      </c>
      <c r="DQ491" s="1" t="s">
        <v>718</v>
      </c>
      <c r="DR491" s="1" t="s">
        <v>229</v>
      </c>
      <c r="DV491" s="1" t="s">
        <v>6559</v>
      </c>
      <c r="DW491" s="1" t="s">
        <v>2602</v>
      </c>
      <c r="DX491" s="1" t="s">
        <v>234</v>
      </c>
      <c r="DY491" s="1" t="s">
        <v>6560</v>
      </c>
      <c r="DZ491" s="1" t="s">
        <v>6561</v>
      </c>
      <c r="EB491" s="1" t="s">
        <v>937</v>
      </c>
      <c r="EC491" s="1" t="s">
        <v>237</v>
      </c>
      <c r="ED491" s="1" t="s">
        <v>555</v>
      </c>
      <c r="EG491" s="1" t="s">
        <v>310</v>
      </c>
      <c r="EH491" s="1" t="s">
        <v>449</v>
      </c>
      <c r="EI491" s="1" t="s">
        <v>2877</v>
      </c>
      <c r="EJ491" s="1" t="s">
        <v>450</v>
      </c>
      <c r="EK491" s="1" t="s">
        <v>1103</v>
      </c>
      <c r="EL491" s="1" t="s">
        <v>1279</v>
      </c>
      <c r="EM491" s="1" t="s">
        <v>206</v>
      </c>
      <c r="EN491" s="1" t="s">
        <v>588</v>
      </c>
      <c r="EP491" s="1" t="s">
        <v>6562</v>
      </c>
      <c r="EQ491" s="1" t="s">
        <v>206</v>
      </c>
      <c r="ER491" s="1" t="s">
        <v>207</v>
      </c>
      <c r="ES491" s="1" t="s">
        <v>1549</v>
      </c>
      <c r="ET491" s="1" t="s">
        <v>6563</v>
      </c>
      <c r="EU491" s="1" t="s">
        <v>206</v>
      </c>
      <c r="EV491" s="1" t="s">
        <v>207</v>
      </c>
      <c r="EX491" s="1" t="s">
        <v>3122</v>
      </c>
      <c r="EY491" s="1" t="s">
        <v>267</v>
      </c>
      <c r="EZ491" s="1" t="s">
        <v>210</v>
      </c>
      <c r="FA491" s="1" t="s">
        <v>431</v>
      </c>
      <c r="FB491" s="1" t="s">
        <v>4046</v>
      </c>
      <c r="FC491" s="1" t="s">
        <v>267</v>
      </c>
      <c r="FD491" s="1" t="s">
        <v>1136</v>
      </c>
      <c r="FF491" s="1" t="s">
        <v>239</v>
      </c>
      <c r="FG491" s="1" t="s">
        <v>192</v>
      </c>
      <c r="FH491" s="1" t="s">
        <v>192</v>
      </c>
      <c r="FJ491" s="1" t="s">
        <v>4404</v>
      </c>
      <c r="FK491" s="1" t="s">
        <v>229</v>
      </c>
      <c r="FL491" s="1" t="s">
        <v>6564</v>
      </c>
      <c r="FM491" s="1">
        <v>15933.0</v>
      </c>
      <c r="FN491" s="1" t="s">
        <v>6565</v>
      </c>
      <c r="FO491" s="1" t="s">
        <v>6566</v>
      </c>
      <c r="FP491" s="1">
        <v>841607.0</v>
      </c>
      <c r="FQ491" s="1" t="s">
        <v>6567</v>
      </c>
      <c r="FU491" s="1" t="s">
        <v>6568</v>
      </c>
      <c r="FV491" s="1" t="s">
        <v>200</v>
      </c>
      <c r="FW491" s="1" t="s">
        <v>530</v>
      </c>
      <c r="FX491" s="1" t="s">
        <v>238</v>
      </c>
      <c r="FZ491" s="1" t="s">
        <v>2993</v>
      </c>
      <c r="GA491" s="1" t="s">
        <v>291</v>
      </c>
      <c r="GB491" s="2">
        <v>42116.0</v>
      </c>
      <c r="GC491" s="1" t="s">
        <v>6569</v>
      </c>
    </row>
    <row r="492">
      <c r="A492" s="1">
        <v>175000.0</v>
      </c>
      <c r="B492" s="1" t="s">
        <v>185</v>
      </c>
      <c r="C492" s="1" t="str">
        <f>"08817165"</f>
        <v>08817165</v>
      </c>
      <c r="D492" s="1" t="s">
        <v>186</v>
      </c>
      <c r="F492" s="1" t="str">
        <f>"174"</f>
        <v>174</v>
      </c>
      <c r="G492" s="2">
        <v>42019.0</v>
      </c>
      <c r="H492" s="1">
        <v>178000.0</v>
      </c>
      <c r="I492" s="1">
        <v>13.0</v>
      </c>
      <c r="J492" s="1">
        <v>178000.0</v>
      </c>
      <c r="K492" s="2">
        <v>42031.0</v>
      </c>
      <c r="L492" s="1">
        <v>13.0</v>
      </c>
      <c r="M492" s="2">
        <v>42031.0</v>
      </c>
      <c r="N492" s="1" t="s">
        <v>356</v>
      </c>
      <c r="O492" s="2">
        <v>42062.0</v>
      </c>
      <c r="P492" s="1">
        <v>77121.0</v>
      </c>
      <c r="Q492" s="1">
        <v>7375.0</v>
      </c>
      <c r="S492" s="1">
        <v>1109.0</v>
      </c>
      <c r="T492" s="1" t="s">
        <v>6570</v>
      </c>
      <c r="U492" s="1" t="s">
        <v>320</v>
      </c>
      <c r="V492" s="1" t="s">
        <v>1200</v>
      </c>
      <c r="W492" s="1">
        <v>60174.0</v>
      </c>
      <c r="Y492" s="1" t="s">
        <v>6571</v>
      </c>
      <c r="Z492" s="1">
        <v>1925.0</v>
      </c>
      <c r="AA492" s="1" t="s">
        <v>192</v>
      </c>
      <c r="AB492" s="1" t="s">
        <v>193</v>
      </c>
      <c r="AD492" s="1" t="s">
        <v>1203</v>
      </c>
      <c r="AE492" s="1" t="s">
        <v>325</v>
      </c>
      <c r="AF492" s="1" t="s">
        <v>1203</v>
      </c>
      <c r="AG492" s="1" t="s">
        <v>6572</v>
      </c>
      <c r="AH492" s="6">
        <v>8023.0</v>
      </c>
      <c r="AI492" s="1">
        <v>0.1842</v>
      </c>
      <c r="AK492" s="1">
        <v>8.0</v>
      </c>
      <c r="AL492" s="1">
        <v>4.0</v>
      </c>
      <c r="AM492" s="1">
        <v>1.0</v>
      </c>
      <c r="AN492" s="1">
        <v>0.0</v>
      </c>
      <c r="AO492" s="1" t="s">
        <v>229</v>
      </c>
      <c r="AQ492" s="1" t="s">
        <v>198</v>
      </c>
      <c r="AR492" s="1" t="s">
        <v>200</v>
      </c>
      <c r="AS492" s="1" t="s">
        <v>199</v>
      </c>
      <c r="AT492" s="1">
        <v>1.0</v>
      </c>
      <c r="AV492" s="1" t="s">
        <v>200</v>
      </c>
      <c r="AW492" s="1">
        <v>4807.0</v>
      </c>
      <c r="AX492" s="1">
        <v>2013.0</v>
      </c>
      <c r="AY492" s="1" t="s">
        <v>387</v>
      </c>
      <c r="AZ492" s="1" t="s">
        <v>200</v>
      </c>
      <c r="BA492" s="1" t="str">
        <f>"0933202017"</f>
        <v>0933202017</v>
      </c>
      <c r="BB492" s="1" t="s">
        <v>200</v>
      </c>
      <c r="BC492" s="1">
        <v>1160.0</v>
      </c>
      <c r="BD492" s="1">
        <v>175000.0</v>
      </c>
      <c r="BE492" s="2">
        <v>42019.0</v>
      </c>
      <c r="BF492" s="2" t="s">
        <v>6573</v>
      </c>
      <c r="BH492" s="1">
        <v>0.0</v>
      </c>
      <c r="BJ492" s="1" t="s">
        <v>2144</v>
      </c>
      <c r="BK492" s="1" t="s">
        <v>204</v>
      </c>
      <c r="BL492" s="1" t="str">
        <f t="shared" ref="BL492:BM492" si="328">""</f>
        <v/>
      </c>
      <c r="BM492" s="1" t="str">
        <f t="shared" si="328"/>
        <v/>
      </c>
      <c r="BQ492" s="1">
        <v>303.0</v>
      </c>
      <c r="BR492" s="1">
        <v>303.0</v>
      </c>
      <c r="BS492" s="1">
        <v>303.0</v>
      </c>
      <c r="BU492" s="1" t="s">
        <v>205</v>
      </c>
      <c r="BV492" s="1" t="s">
        <v>206</v>
      </c>
      <c r="BW492" s="1" t="s">
        <v>207</v>
      </c>
      <c r="BX492" s="1" t="s">
        <v>431</v>
      </c>
      <c r="BY492" s="1" t="s">
        <v>215</v>
      </c>
      <c r="BZ492" s="1" t="s">
        <v>206</v>
      </c>
      <c r="CA492" s="1" t="s">
        <v>207</v>
      </c>
      <c r="CB492" s="1" t="s">
        <v>431</v>
      </c>
      <c r="CC492" s="1" t="s">
        <v>212</v>
      </c>
      <c r="CD492" s="1" t="s">
        <v>206</v>
      </c>
      <c r="CE492" s="1" t="s">
        <v>207</v>
      </c>
      <c r="CF492" s="1" t="s">
        <v>431</v>
      </c>
      <c r="CG492" s="1" t="s">
        <v>265</v>
      </c>
      <c r="CH492" s="1" t="s">
        <v>206</v>
      </c>
      <c r="CI492" s="1" t="s">
        <v>207</v>
      </c>
      <c r="CJ492" s="1" t="s">
        <v>431</v>
      </c>
      <c r="CK492" s="1" t="s">
        <v>543</v>
      </c>
      <c r="CL492" s="1" t="s">
        <v>209</v>
      </c>
      <c r="CM492" s="1" t="s">
        <v>207</v>
      </c>
      <c r="CN492" s="1" t="s">
        <v>1549</v>
      </c>
      <c r="CO492" s="1" t="s">
        <v>205</v>
      </c>
      <c r="CP492" s="1" t="s">
        <v>209</v>
      </c>
      <c r="CQ492" s="1" t="s">
        <v>207</v>
      </c>
      <c r="CR492" s="1" t="s">
        <v>1549</v>
      </c>
      <c r="CS492" s="1" t="s">
        <v>640</v>
      </c>
      <c r="CT492" s="1" t="s">
        <v>206</v>
      </c>
      <c r="CU492" s="1" t="s">
        <v>1065</v>
      </c>
      <c r="CV492" s="1" t="s">
        <v>431</v>
      </c>
      <c r="CX492" s="1" t="s">
        <v>204</v>
      </c>
      <c r="DA492" s="1" t="s">
        <v>200</v>
      </c>
      <c r="DC492" s="1" t="s">
        <v>785</v>
      </c>
      <c r="DD492" s="1" t="s">
        <v>396</v>
      </c>
      <c r="DE492" s="1" t="s">
        <v>273</v>
      </c>
      <c r="DF492" s="1" t="s">
        <v>219</v>
      </c>
      <c r="DG492" s="1" t="s">
        <v>2747</v>
      </c>
      <c r="DH492" s="1" t="s">
        <v>220</v>
      </c>
      <c r="DI492" s="1" t="s">
        <v>1141</v>
      </c>
      <c r="DJ492" s="1" t="s">
        <v>222</v>
      </c>
      <c r="DL492" s="1" t="s">
        <v>791</v>
      </c>
      <c r="DM492" s="1" t="s">
        <v>229</v>
      </c>
      <c r="DO492" s="1" t="s">
        <v>549</v>
      </c>
      <c r="DP492" s="1" t="s">
        <v>340</v>
      </c>
      <c r="DQ492" s="1" t="s">
        <v>228</v>
      </c>
      <c r="DR492" s="1" t="s">
        <v>229</v>
      </c>
      <c r="DU492" s="1" t="s">
        <v>2070</v>
      </c>
      <c r="DV492" s="1" t="s">
        <v>556</v>
      </c>
      <c r="DW492" s="1" t="s">
        <v>667</v>
      </c>
      <c r="DX492" s="1" t="s">
        <v>234</v>
      </c>
      <c r="DY492" s="1" t="s">
        <v>553</v>
      </c>
      <c r="DZ492" s="1" t="s">
        <v>236</v>
      </c>
      <c r="EA492" s="1" t="s">
        <v>644</v>
      </c>
      <c r="EC492" s="1" t="s">
        <v>645</v>
      </c>
      <c r="EG492" s="1" t="s">
        <v>556</v>
      </c>
      <c r="EL492" s="1" t="s">
        <v>640</v>
      </c>
      <c r="EM492" s="1" t="s">
        <v>206</v>
      </c>
      <c r="EN492" s="1" t="s">
        <v>1065</v>
      </c>
      <c r="EO492" s="1" t="s">
        <v>431</v>
      </c>
      <c r="EQ492" s="1" t="s">
        <v>238</v>
      </c>
      <c r="EU492" s="1" t="s">
        <v>238</v>
      </c>
      <c r="EY492" s="1" t="s">
        <v>238</v>
      </c>
      <c r="FC492" s="1" t="s">
        <v>238</v>
      </c>
      <c r="FF492" s="1" t="s">
        <v>239</v>
      </c>
      <c r="FG492" s="1" t="s">
        <v>200</v>
      </c>
      <c r="FH492" s="1" t="s">
        <v>192</v>
      </c>
      <c r="FJ492" s="1" t="s">
        <v>4239</v>
      </c>
      <c r="FK492" s="1" t="s">
        <v>229</v>
      </c>
      <c r="FL492" s="1" t="s">
        <v>456</v>
      </c>
      <c r="FM492" s="1">
        <v>49.0</v>
      </c>
      <c r="FN492" s="1" t="s">
        <v>457</v>
      </c>
      <c r="FO492" s="1" t="s">
        <v>6574</v>
      </c>
      <c r="FP492" s="1">
        <v>7644.0</v>
      </c>
      <c r="FQ492" s="1" t="s">
        <v>6575</v>
      </c>
      <c r="FU492" s="1" t="s">
        <v>6576</v>
      </c>
      <c r="FV492" s="1" t="s">
        <v>200</v>
      </c>
      <c r="FW492" s="1" t="s">
        <v>290</v>
      </c>
      <c r="FZ492" s="1" t="s">
        <v>229</v>
      </c>
      <c r="GA492" s="1" t="s">
        <v>291</v>
      </c>
      <c r="GB492" s="2">
        <v>42062.0</v>
      </c>
      <c r="GC492" s="1" t="s">
        <v>6577</v>
      </c>
    </row>
    <row r="493">
      <c r="A493" s="1">
        <v>1070000.0</v>
      </c>
      <c r="B493" s="1" t="s">
        <v>185</v>
      </c>
      <c r="C493" s="1" t="str">
        <f>"08790997"</f>
        <v>08790997</v>
      </c>
      <c r="D493" s="1" t="s">
        <v>186</v>
      </c>
      <c r="F493" s="1" t="str">
        <f>"8022"</f>
        <v>8022</v>
      </c>
      <c r="G493" s="2">
        <v>41964.0</v>
      </c>
      <c r="H493" s="1">
        <v>1150000.0</v>
      </c>
      <c r="I493" s="1">
        <v>68.0</v>
      </c>
      <c r="J493" s="1">
        <v>1150000.0</v>
      </c>
      <c r="K493" s="2">
        <v>42031.0</v>
      </c>
      <c r="L493" s="1">
        <v>68.0</v>
      </c>
      <c r="M493" s="2">
        <v>42031.0</v>
      </c>
      <c r="N493" s="1" t="s">
        <v>249</v>
      </c>
      <c r="O493" s="2">
        <v>42065.0</v>
      </c>
      <c r="P493" s="1">
        <v>129954.0</v>
      </c>
      <c r="Q493" s="1">
        <v>10115.0</v>
      </c>
      <c r="S493" s="1">
        <v>2120.0</v>
      </c>
      <c r="T493" s="1" t="s">
        <v>6578</v>
      </c>
      <c r="U493" s="1" t="s">
        <v>320</v>
      </c>
      <c r="V493" s="1" t="s">
        <v>190</v>
      </c>
      <c r="W493" s="1">
        <v>60647.0</v>
      </c>
      <c r="Y493" s="1" t="s">
        <v>6579</v>
      </c>
      <c r="Z493" s="1">
        <v>1861.0</v>
      </c>
      <c r="AA493" s="1" t="s">
        <v>192</v>
      </c>
      <c r="AB493" s="1" t="s">
        <v>193</v>
      </c>
      <c r="AD493" s="1" t="s">
        <v>194</v>
      </c>
      <c r="AE493" s="1" t="s">
        <v>195</v>
      </c>
      <c r="AF493" s="1" t="s">
        <v>534</v>
      </c>
      <c r="AH493" s="1" t="s">
        <v>6580</v>
      </c>
      <c r="AI493" s="1">
        <v>0.0551</v>
      </c>
      <c r="AK493" s="1">
        <v>9.0</v>
      </c>
      <c r="AL493" s="1">
        <v>3.0</v>
      </c>
      <c r="AM493" s="1">
        <v>3.0</v>
      </c>
      <c r="AN493" s="1">
        <v>1.0</v>
      </c>
      <c r="AO493" s="1" t="s">
        <v>198</v>
      </c>
      <c r="AP493" s="1">
        <v>1.0</v>
      </c>
      <c r="AQ493" s="1" t="s">
        <v>198</v>
      </c>
      <c r="AR493" s="1" t="s">
        <v>192</v>
      </c>
      <c r="AS493" s="1" t="s">
        <v>199</v>
      </c>
      <c r="AT493" s="1">
        <v>2.0</v>
      </c>
      <c r="AV493" s="1" t="s">
        <v>200</v>
      </c>
      <c r="AW493" s="1">
        <v>493.39</v>
      </c>
      <c r="AX493" s="1">
        <v>2012.0</v>
      </c>
      <c r="AZ493" s="1" t="s">
        <v>200</v>
      </c>
      <c r="BA493" s="1" t="str">
        <f>"14313040330000"</f>
        <v>14313040330000</v>
      </c>
      <c r="BC493" s="1">
        <v>3200.0</v>
      </c>
      <c r="BD493" s="1">
        <v>1070000.0</v>
      </c>
      <c r="BE493" s="2">
        <v>41964.0</v>
      </c>
      <c r="BF493" s="2" t="s">
        <v>6581</v>
      </c>
      <c r="BH493" s="1">
        <v>0.0</v>
      </c>
      <c r="BK493" s="1" t="s">
        <v>204</v>
      </c>
      <c r="BL493" s="1" t="str">
        <f>"1900"</f>
        <v>1900</v>
      </c>
      <c r="BM493" s="1" t="str">
        <f t="shared" ref="BM493:BM494" si="329">"0"</f>
        <v>0</v>
      </c>
      <c r="BN493" s="1">
        <v>2120.0</v>
      </c>
      <c r="BO493" s="1">
        <v>0.0</v>
      </c>
      <c r="BQ493" s="1">
        <v>299.0</v>
      </c>
      <c r="BR493" s="1">
        <v>299.0</v>
      </c>
      <c r="BS493" s="1">
        <v>299.0</v>
      </c>
      <c r="BU493" s="1" t="s">
        <v>1825</v>
      </c>
      <c r="BV493" s="1" t="s">
        <v>206</v>
      </c>
      <c r="BW493" s="1" t="s">
        <v>207</v>
      </c>
      <c r="BX493" s="1" t="s">
        <v>229</v>
      </c>
      <c r="BY493" s="1" t="s">
        <v>390</v>
      </c>
      <c r="BZ493" s="1" t="s">
        <v>209</v>
      </c>
      <c r="CA493" s="1" t="s">
        <v>207</v>
      </c>
      <c r="CB493" s="1" t="s">
        <v>229</v>
      </c>
      <c r="CC493" s="1" t="s">
        <v>542</v>
      </c>
      <c r="CD493" s="1" t="s">
        <v>206</v>
      </c>
      <c r="CG493" s="1" t="s">
        <v>392</v>
      </c>
      <c r="CH493" s="1" t="s">
        <v>209</v>
      </c>
      <c r="CI493" s="1" t="s">
        <v>207</v>
      </c>
      <c r="CJ493" s="1" t="s">
        <v>229</v>
      </c>
      <c r="CK493" s="1" t="s">
        <v>497</v>
      </c>
      <c r="CL493" s="1" t="s">
        <v>209</v>
      </c>
      <c r="CM493" s="1" t="s">
        <v>207</v>
      </c>
      <c r="CN493" s="1" t="s">
        <v>229</v>
      </c>
      <c r="CO493" s="1" t="s">
        <v>497</v>
      </c>
      <c r="CP493" s="1" t="s">
        <v>42</v>
      </c>
      <c r="CQ493" s="1" t="s">
        <v>210</v>
      </c>
      <c r="CR493" s="1" t="s">
        <v>229</v>
      </c>
      <c r="CS493" s="1" t="s">
        <v>924</v>
      </c>
      <c r="CT493" s="1" t="s">
        <v>206</v>
      </c>
      <c r="CU493" s="1" t="s">
        <v>207</v>
      </c>
      <c r="CV493" s="1" t="s">
        <v>229</v>
      </c>
      <c r="CW493" s="1" t="s">
        <v>390</v>
      </c>
      <c r="CX493" s="1" t="s">
        <v>206</v>
      </c>
      <c r="CY493" s="1" t="s">
        <v>207</v>
      </c>
      <c r="CZ493" s="1" t="s">
        <v>229</v>
      </c>
      <c r="DA493" s="1" t="s">
        <v>200</v>
      </c>
      <c r="DC493" s="1" t="s">
        <v>642</v>
      </c>
      <c r="DD493" s="1" t="s">
        <v>5326</v>
      </c>
      <c r="DE493" s="1" t="s">
        <v>273</v>
      </c>
      <c r="DF493" s="1" t="s">
        <v>219</v>
      </c>
      <c r="DH493" s="1" t="s">
        <v>307</v>
      </c>
      <c r="DI493" s="1" t="s">
        <v>6582</v>
      </c>
      <c r="DJ493" s="1" t="s">
        <v>222</v>
      </c>
      <c r="DL493" s="1" t="s">
        <v>224</v>
      </c>
      <c r="DM493" s="1" t="s">
        <v>229</v>
      </c>
      <c r="DN493" s="1" t="s">
        <v>3803</v>
      </c>
      <c r="DP493" s="1" t="s">
        <v>227</v>
      </c>
      <c r="DQ493" s="1" t="s">
        <v>228</v>
      </c>
      <c r="DR493" s="1" t="s">
        <v>229</v>
      </c>
      <c r="DS493" s="1" t="s">
        <v>591</v>
      </c>
      <c r="DV493" s="1" t="s">
        <v>5174</v>
      </c>
      <c r="DW493" s="1" t="s">
        <v>5175</v>
      </c>
      <c r="DX493" s="1" t="s">
        <v>309</v>
      </c>
      <c r="DY493" s="1" t="s">
        <v>6583</v>
      </c>
      <c r="EA493" s="1" t="s">
        <v>588</v>
      </c>
      <c r="EC493" s="1" t="s">
        <v>237</v>
      </c>
      <c r="ED493" s="1" t="s">
        <v>1761</v>
      </c>
      <c r="EG493" s="1" t="s">
        <v>450</v>
      </c>
      <c r="EH493" s="1" t="s">
        <v>409</v>
      </c>
      <c r="EL493" s="1" t="s">
        <v>6584</v>
      </c>
      <c r="EM493" s="1" t="s">
        <v>42</v>
      </c>
      <c r="EN493" s="1" t="s">
        <v>210</v>
      </c>
      <c r="EP493" s="1" t="s">
        <v>3702</v>
      </c>
      <c r="EQ493" s="1" t="s">
        <v>209</v>
      </c>
      <c r="ER493" s="1" t="s">
        <v>207</v>
      </c>
      <c r="EU493" s="1" t="s">
        <v>238</v>
      </c>
      <c r="EY493" s="1" t="s">
        <v>238</v>
      </c>
      <c r="FC493" s="1" t="s">
        <v>238</v>
      </c>
      <c r="FF493" s="1" t="s">
        <v>239</v>
      </c>
      <c r="FG493" s="1" t="s">
        <v>192</v>
      </c>
      <c r="FH493" s="1" t="s">
        <v>192</v>
      </c>
      <c r="FJ493" s="1" t="s">
        <v>561</v>
      </c>
      <c r="FK493" s="1" t="s">
        <v>229</v>
      </c>
      <c r="FL493" s="1" t="s">
        <v>562</v>
      </c>
      <c r="FM493" s="1">
        <v>14703.0</v>
      </c>
      <c r="FN493" s="1" t="s">
        <v>2570</v>
      </c>
      <c r="FO493" s="1" t="s">
        <v>4198</v>
      </c>
      <c r="FP493" s="1">
        <v>110847.0</v>
      </c>
      <c r="FQ493" s="1" t="s">
        <v>4199</v>
      </c>
      <c r="FU493" s="1" t="s">
        <v>6585</v>
      </c>
      <c r="FV493" s="1" t="s">
        <v>192</v>
      </c>
      <c r="FW493" s="1" t="s">
        <v>290</v>
      </c>
      <c r="FX493" s="1" t="s">
        <v>246</v>
      </c>
      <c r="FZ493" s="1" t="s">
        <v>229</v>
      </c>
      <c r="GA493" s="1" t="s">
        <v>291</v>
      </c>
      <c r="GB493" s="2">
        <v>42066.0</v>
      </c>
      <c r="GC493" s="1" t="s">
        <v>6586</v>
      </c>
    </row>
    <row r="494">
      <c r="A494" s="1">
        <v>1050000.0</v>
      </c>
      <c r="B494" s="1" t="s">
        <v>185</v>
      </c>
      <c r="C494" s="1" t="str">
        <f>"08790846"</f>
        <v>08790846</v>
      </c>
      <c r="D494" s="1" t="s">
        <v>186</v>
      </c>
      <c r="F494" s="1" t="str">
        <f>"8024"</f>
        <v>8024</v>
      </c>
      <c r="G494" s="2">
        <v>41964.0</v>
      </c>
      <c r="H494" s="1">
        <v>1199000.0</v>
      </c>
      <c r="I494" s="1">
        <v>132.0</v>
      </c>
      <c r="J494" s="1">
        <v>1199000.0</v>
      </c>
      <c r="K494" s="2">
        <v>41964.0</v>
      </c>
      <c r="L494" s="1">
        <v>1.0</v>
      </c>
      <c r="M494" s="2">
        <v>41964.0</v>
      </c>
      <c r="N494" s="1" t="s">
        <v>187</v>
      </c>
      <c r="O494" s="2">
        <v>42012.0</v>
      </c>
      <c r="P494" s="1">
        <v>874127.0</v>
      </c>
      <c r="Q494" s="1">
        <v>16525.0</v>
      </c>
      <c r="S494" s="1">
        <v>1735.0</v>
      </c>
      <c r="T494" s="1" t="s">
        <v>6587</v>
      </c>
      <c r="U494" s="1" t="s">
        <v>189</v>
      </c>
      <c r="V494" s="1" t="s">
        <v>190</v>
      </c>
      <c r="W494" s="1">
        <v>60622.0</v>
      </c>
      <c r="Y494" s="1" t="s">
        <v>6588</v>
      </c>
      <c r="Z494" s="1">
        <v>2001.0</v>
      </c>
      <c r="AA494" s="1" t="s">
        <v>200</v>
      </c>
      <c r="AB494" s="1" t="s">
        <v>193</v>
      </c>
      <c r="AD494" s="1" t="s">
        <v>194</v>
      </c>
      <c r="AE494" s="1" t="s">
        <v>195</v>
      </c>
      <c r="AF494" s="1" t="s">
        <v>2645</v>
      </c>
      <c r="AH494" s="1" t="s">
        <v>6589</v>
      </c>
      <c r="AK494" s="1">
        <v>9.0</v>
      </c>
      <c r="AL494" s="1">
        <v>4.0</v>
      </c>
      <c r="AM494" s="1">
        <v>3.0</v>
      </c>
      <c r="AN494" s="1">
        <v>1.0</v>
      </c>
      <c r="AO494" s="1" t="s">
        <v>198</v>
      </c>
      <c r="AP494" s="1">
        <v>2.0</v>
      </c>
      <c r="AQ494" s="1" t="s">
        <v>472</v>
      </c>
      <c r="AR494" s="1" t="s">
        <v>192</v>
      </c>
      <c r="AS494" s="1" t="s">
        <v>199</v>
      </c>
      <c r="AT494" s="1">
        <v>2.0</v>
      </c>
      <c r="AV494" s="1" t="s">
        <v>200</v>
      </c>
      <c r="AW494" s="1">
        <v>14408.27</v>
      </c>
      <c r="AX494" s="1">
        <v>2012.0</v>
      </c>
      <c r="AY494" s="1" t="s">
        <v>387</v>
      </c>
      <c r="AZ494" s="1" t="s">
        <v>200</v>
      </c>
      <c r="BA494" s="1" t="str">
        <f>"14314210050000"</f>
        <v>14314210050000</v>
      </c>
      <c r="BC494" s="1">
        <v>3600.0</v>
      </c>
      <c r="BD494" s="1">
        <v>1050000.0</v>
      </c>
      <c r="BE494" s="2">
        <v>41964.0</v>
      </c>
      <c r="BF494" s="2" t="s">
        <v>6590</v>
      </c>
      <c r="BH494" s="1">
        <v>0.0</v>
      </c>
      <c r="BK494" s="1" t="s">
        <v>204</v>
      </c>
      <c r="BL494" s="1" t="str">
        <f>"1735"</f>
        <v>1735</v>
      </c>
      <c r="BM494" s="1" t="str">
        <f t="shared" si="329"/>
        <v>0</v>
      </c>
      <c r="BN494" s="1">
        <v>1730.0</v>
      </c>
      <c r="BO494" s="1">
        <v>0.0</v>
      </c>
      <c r="BQ494" s="1">
        <v>299.0</v>
      </c>
      <c r="BR494" s="1">
        <v>299.0</v>
      </c>
      <c r="BS494" s="1">
        <v>299.0</v>
      </c>
      <c r="BU494" s="1" t="s">
        <v>6591</v>
      </c>
      <c r="BV494" s="1" t="s">
        <v>206</v>
      </c>
      <c r="BW494" s="1" t="s">
        <v>207</v>
      </c>
      <c r="BY494" s="1" t="s">
        <v>213</v>
      </c>
      <c r="BZ494" s="1" t="s">
        <v>209</v>
      </c>
      <c r="CA494" s="1" t="s">
        <v>207</v>
      </c>
      <c r="CC494" s="1" t="s">
        <v>542</v>
      </c>
      <c r="CD494" s="1" t="s">
        <v>206</v>
      </c>
      <c r="CE494" s="1" t="s">
        <v>207</v>
      </c>
      <c r="CG494" s="1" t="s">
        <v>393</v>
      </c>
      <c r="CH494" s="1" t="s">
        <v>209</v>
      </c>
      <c r="CI494" s="1" t="s">
        <v>210</v>
      </c>
      <c r="CK494" s="1" t="s">
        <v>262</v>
      </c>
      <c r="CL494" s="1" t="s">
        <v>209</v>
      </c>
      <c r="CM494" s="1" t="s">
        <v>210</v>
      </c>
      <c r="CO494" s="1" t="s">
        <v>211</v>
      </c>
      <c r="CP494" s="1" t="s">
        <v>267</v>
      </c>
      <c r="CQ494" s="1" t="s">
        <v>588</v>
      </c>
      <c r="CS494" s="1" t="s">
        <v>1584</v>
      </c>
      <c r="CT494" s="1" t="s">
        <v>206</v>
      </c>
      <c r="CU494" s="1" t="s">
        <v>207</v>
      </c>
      <c r="CW494" s="1" t="s">
        <v>6591</v>
      </c>
      <c r="CX494" s="1" t="s">
        <v>267</v>
      </c>
      <c r="CY494" s="1" t="s">
        <v>588</v>
      </c>
      <c r="DA494" s="1" t="s">
        <v>200</v>
      </c>
      <c r="DC494" s="1" t="s">
        <v>335</v>
      </c>
      <c r="DD494" s="1" t="s">
        <v>759</v>
      </c>
      <c r="DE494" s="1" t="s">
        <v>218</v>
      </c>
      <c r="DF494" s="1" t="s">
        <v>6592</v>
      </c>
      <c r="DG494" s="1" t="s">
        <v>6593</v>
      </c>
      <c r="DH494" s="1" t="s">
        <v>307</v>
      </c>
      <c r="DI494" s="1" t="s">
        <v>959</v>
      </c>
      <c r="DJ494" s="1" t="s">
        <v>222</v>
      </c>
      <c r="DL494" s="1" t="s">
        <v>588</v>
      </c>
      <c r="DM494" s="1" t="s">
        <v>229</v>
      </c>
      <c r="DN494" s="1" t="s">
        <v>2873</v>
      </c>
      <c r="DO494" s="1" t="s">
        <v>717</v>
      </c>
      <c r="DP494" s="1" t="s">
        <v>276</v>
      </c>
      <c r="DQ494" s="1" t="s">
        <v>718</v>
      </c>
      <c r="DR494" s="1" t="s">
        <v>229</v>
      </c>
      <c r="DS494" s="1" t="s">
        <v>591</v>
      </c>
      <c r="DU494" s="1" t="s">
        <v>6594</v>
      </c>
      <c r="DV494" s="1" t="s">
        <v>1163</v>
      </c>
      <c r="DW494" s="1" t="s">
        <v>279</v>
      </c>
      <c r="DX494" s="1" t="s">
        <v>234</v>
      </c>
      <c r="DY494" s="1" t="s">
        <v>6595</v>
      </c>
      <c r="DZ494" s="1" t="s">
        <v>6596</v>
      </c>
      <c r="EA494" s="1" t="s">
        <v>1027</v>
      </c>
      <c r="EB494" s="1" t="s">
        <v>684</v>
      </c>
      <c r="EC494" s="1" t="s">
        <v>406</v>
      </c>
      <c r="EG494" s="1" t="s">
        <v>1164</v>
      </c>
      <c r="EH494" s="1" t="s">
        <v>310</v>
      </c>
      <c r="EL494" s="1" t="s">
        <v>729</v>
      </c>
      <c r="EM494" s="1" t="s">
        <v>206</v>
      </c>
      <c r="EN494" s="1" t="s">
        <v>207</v>
      </c>
      <c r="EP494" s="1" t="s">
        <v>583</v>
      </c>
      <c r="EQ494" s="1" t="s">
        <v>391</v>
      </c>
      <c r="ER494" s="1" t="s">
        <v>588</v>
      </c>
      <c r="EU494" s="1" t="s">
        <v>238</v>
      </c>
      <c r="EY494" s="1" t="s">
        <v>238</v>
      </c>
      <c r="FC494" s="1" t="s">
        <v>238</v>
      </c>
      <c r="FF494" s="1" t="s">
        <v>239</v>
      </c>
      <c r="FG494" s="1" t="s">
        <v>192</v>
      </c>
      <c r="FH494" s="1" t="s">
        <v>192</v>
      </c>
      <c r="FJ494" s="1" t="s">
        <v>6597</v>
      </c>
      <c r="FK494" s="1" t="s">
        <v>229</v>
      </c>
      <c r="FL494" s="1" t="s">
        <v>734</v>
      </c>
      <c r="FM494" s="1">
        <v>10646.0</v>
      </c>
      <c r="FN494" s="1" t="s">
        <v>735</v>
      </c>
      <c r="FO494" s="1" t="s">
        <v>6598</v>
      </c>
      <c r="FP494" s="1">
        <v>177008.0</v>
      </c>
      <c r="FQ494" s="1" t="s">
        <v>6599</v>
      </c>
      <c r="FU494" s="1" t="s">
        <v>6600</v>
      </c>
      <c r="FV494" s="1" t="s">
        <v>200</v>
      </c>
      <c r="FW494" s="1" t="s">
        <v>290</v>
      </c>
      <c r="FX494" s="1" t="s">
        <v>238</v>
      </c>
      <c r="FZ494" s="1" t="s">
        <v>229</v>
      </c>
      <c r="GA494" s="1" t="s">
        <v>291</v>
      </c>
      <c r="GB494" s="2">
        <v>42012.0</v>
      </c>
    </row>
    <row r="495">
      <c r="A495" s="1">
        <v>260000.0</v>
      </c>
      <c r="B495" s="1" t="s">
        <v>185</v>
      </c>
      <c r="C495" s="1" t="str">
        <f>"08790753"</f>
        <v>08790753</v>
      </c>
      <c r="D495" s="1" t="s">
        <v>186</v>
      </c>
      <c r="F495" s="1" t="str">
        <f>"178"</f>
        <v>178</v>
      </c>
      <c r="G495" s="2">
        <v>41964.0</v>
      </c>
      <c r="H495" s="1">
        <v>269900.0</v>
      </c>
      <c r="I495" s="1">
        <v>41.0</v>
      </c>
      <c r="J495" s="1">
        <v>269900.0</v>
      </c>
      <c r="K495" s="2">
        <v>42004.0</v>
      </c>
      <c r="L495" s="1">
        <v>41.0</v>
      </c>
      <c r="M495" s="2">
        <v>42004.0</v>
      </c>
      <c r="N495" s="1" t="s">
        <v>187</v>
      </c>
      <c r="O495" s="2">
        <v>42030.0</v>
      </c>
      <c r="P495" s="1">
        <v>930163.0</v>
      </c>
      <c r="Q495" s="1">
        <v>93044.0</v>
      </c>
      <c r="S495" s="1">
        <v>923.0</v>
      </c>
      <c r="T495" s="1" t="s">
        <v>6601</v>
      </c>
      <c r="U495" s="1" t="s">
        <v>569</v>
      </c>
      <c r="V495" s="1" t="s">
        <v>994</v>
      </c>
      <c r="W495" s="1">
        <v>60178.0</v>
      </c>
      <c r="Y495" s="1" t="s">
        <v>6602</v>
      </c>
      <c r="Z495" s="1">
        <v>2006.0</v>
      </c>
      <c r="AA495" s="1" t="s">
        <v>200</v>
      </c>
      <c r="AB495" s="1" t="s">
        <v>193</v>
      </c>
      <c r="AD495" s="1" t="s">
        <v>997</v>
      </c>
      <c r="AE495" s="1" t="s">
        <v>613</v>
      </c>
      <c r="AF495" s="1" t="s">
        <v>997</v>
      </c>
      <c r="AH495" s="1" t="s">
        <v>6603</v>
      </c>
      <c r="AI495" s="1">
        <v>0.21</v>
      </c>
      <c r="AK495" s="1">
        <v>9.0</v>
      </c>
      <c r="AL495" s="1">
        <v>3.0</v>
      </c>
      <c r="AM495" s="1">
        <v>3.0</v>
      </c>
      <c r="AN495" s="1">
        <v>0.0</v>
      </c>
      <c r="AO495" s="1" t="s">
        <v>198</v>
      </c>
      <c r="AP495" s="1">
        <v>1.0</v>
      </c>
      <c r="AQ495" s="1" t="s">
        <v>472</v>
      </c>
      <c r="AR495" s="1" t="s">
        <v>192</v>
      </c>
      <c r="AS495" s="1" t="s">
        <v>199</v>
      </c>
      <c r="AT495" s="1">
        <v>2.0</v>
      </c>
      <c r="AV495" s="1" t="s">
        <v>200</v>
      </c>
      <c r="AW495" s="1">
        <v>7005.0</v>
      </c>
      <c r="AX495" s="1">
        <v>2013.0</v>
      </c>
      <c r="AY495" s="1" t="s">
        <v>387</v>
      </c>
      <c r="AZ495" s="1" t="s">
        <v>545</v>
      </c>
      <c r="BA495" s="1" t="str">
        <f>"0628355012"</f>
        <v>0628355012</v>
      </c>
      <c r="BC495" s="1">
        <v>2084.0</v>
      </c>
      <c r="BD495" s="1">
        <v>260000.0</v>
      </c>
      <c r="BE495" s="2">
        <v>41964.0</v>
      </c>
      <c r="BF495" s="2" t="s">
        <v>6604</v>
      </c>
      <c r="BH495" s="1">
        <v>0.0</v>
      </c>
      <c r="BJ495" s="1" t="s">
        <v>4136</v>
      </c>
      <c r="BK495" s="1" t="s">
        <v>204</v>
      </c>
      <c r="BL495" s="1" t="str">
        <f t="shared" ref="BL495:BM495" si="330">""</f>
        <v/>
      </c>
      <c r="BM495" s="1" t="str">
        <f t="shared" si="330"/>
        <v/>
      </c>
      <c r="BQ495" s="1">
        <v>427.0</v>
      </c>
      <c r="BR495" s="1">
        <v>427.0</v>
      </c>
      <c r="BS495" s="1">
        <v>427.0</v>
      </c>
      <c r="BV495" s="1" t="s">
        <v>204</v>
      </c>
      <c r="BY495" s="1" t="s">
        <v>616</v>
      </c>
      <c r="BZ495" s="1" t="s">
        <v>206</v>
      </c>
      <c r="CA495" s="1" t="s">
        <v>210</v>
      </c>
      <c r="CD495" s="1" t="s">
        <v>204</v>
      </c>
      <c r="CG495" s="1" t="s">
        <v>363</v>
      </c>
      <c r="CH495" s="1" t="s">
        <v>206</v>
      </c>
      <c r="CI495" s="1" t="s">
        <v>210</v>
      </c>
      <c r="CK495" s="1" t="s">
        <v>363</v>
      </c>
      <c r="CL495" s="1" t="s">
        <v>206</v>
      </c>
      <c r="CM495" s="1" t="s">
        <v>210</v>
      </c>
      <c r="CO495" s="1" t="s">
        <v>1158</v>
      </c>
      <c r="CP495" s="1" t="s">
        <v>42</v>
      </c>
      <c r="CQ495" s="1" t="s">
        <v>210</v>
      </c>
      <c r="CS495" s="1" t="s">
        <v>1534</v>
      </c>
      <c r="CT495" s="1" t="s">
        <v>206</v>
      </c>
      <c r="CU495" s="1" t="s">
        <v>207</v>
      </c>
      <c r="CW495" s="1" t="s">
        <v>854</v>
      </c>
      <c r="CX495" s="1" t="s">
        <v>206</v>
      </c>
      <c r="CY495" s="1" t="s">
        <v>207</v>
      </c>
      <c r="CZ495" s="1" t="s">
        <v>431</v>
      </c>
      <c r="DA495" s="1" t="s">
        <v>200</v>
      </c>
      <c r="DC495" s="1" t="s">
        <v>481</v>
      </c>
      <c r="DE495" s="1" t="s">
        <v>273</v>
      </c>
      <c r="DF495" s="1" t="s">
        <v>219</v>
      </c>
      <c r="DG495" s="1" t="s">
        <v>337</v>
      </c>
      <c r="DH495" s="1" t="s">
        <v>220</v>
      </c>
      <c r="DI495" s="1" t="s">
        <v>519</v>
      </c>
      <c r="DJ495" s="1" t="s">
        <v>222</v>
      </c>
      <c r="DL495" s="1" t="s">
        <v>224</v>
      </c>
      <c r="DM495" s="1" t="s">
        <v>229</v>
      </c>
      <c r="DN495" s="1" t="s">
        <v>399</v>
      </c>
      <c r="DQ495" s="1" t="s">
        <v>228</v>
      </c>
      <c r="DR495" s="1" t="s">
        <v>229</v>
      </c>
      <c r="DV495" s="1" t="s">
        <v>6605</v>
      </c>
      <c r="DW495" s="1" t="s">
        <v>444</v>
      </c>
      <c r="DX495" s="1" t="s">
        <v>234</v>
      </c>
      <c r="DY495" s="1" t="s">
        <v>6606</v>
      </c>
      <c r="DZ495" s="1" t="s">
        <v>1490</v>
      </c>
      <c r="EA495" s="1" t="s">
        <v>683</v>
      </c>
      <c r="EB495" s="1" t="s">
        <v>684</v>
      </c>
      <c r="EC495" s="1" t="s">
        <v>685</v>
      </c>
      <c r="EE495" s="1" t="s">
        <v>493</v>
      </c>
      <c r="EI495" s="1" t="s">
        <v>408</v>
      </c>
      <c r="EJ495" s="1" t="s">
        <v>450</v>
      </c>
      <c r="EK495" s="1" t="s">
        <v>451</v>
      </c>
      <c r="EM495" s="1" t="s">
        <v>238</v>
      </c>
      <c r="EQ495" s="1" t="s">
        <v>238</v>
      </c>
      <c r="ET495" s="1" t="s">
        <v>1796</v>
      </c>
      <c r="EU495" s="1" t="s">
        <v>206</v>
      </c>
      <c r="EV495" s="1" t="s">
        <v>207</v>
      </c>
      <c r="EX495" s="1" t="s">
        <v>6607</v>
      </c>
      <c r="EY495" s="1" t="s">
        <v>42</v>
      </c>
      <c r="EZ495" s="1" t="s">
        <v>210</v>
      </c>
      <c r="FB495" s="1" t="s">
        <v>623</v>
      </c>
      <c r="FC495" s="1" t="s">
        <v>42</v>
      </c>
      <c r="FD495" s="1" t="s">
        <v>301</v>
      </c>
      <c r="FF495" s="1" t="s">
        <v>239</v>
      </c>
      <c r="FG495" s="1" t="s">
        <v>192</v>
      </c>
      <c r="FH495" s="1" t="s">
        <v>192</v>
      </c>
      <c r="FJ495" s="1" t="s">
        <v>624</v>
      </c>
      <c r="FK495" s="1" t="s">
        <v>229</v>
      </c>
      <c r="FL495" s="1" t="s">
        <v>6608</v>
      </c>
      <c r="FM495" s="1">
        <v>93067.0</v>
      </c>
      <c r="FN495" s="1" t="s">
        <v>6609</v>
      </c>
      <c r="FO495" s="1" t="s">
        <v>6610</v>
      </c>
      <c r="FP495" s="1">
        <v>930193.0</v>
      </c>
      <c r="FQ495" s="1" t="s">
        <v>6611</v>
      </c>
      <c r="FS495" s="1" t="s">
        <v>6612</v>
      </c>
      <c r="FU495" s="1" t="s">
        <v>1438</v>
      </c>
      <c r="FV495" s="1" t="s">
        <v>200</v>
      </c>
      <c r="FW495" s="1" t="s">
        <v>6613</v>
      </c>
      <c r="FZ495" s="1" t="s">
        <v>229</v>
      </c>
      <c r="GA495" s="1" t="s">
        <v>291</v>
      </c>
      <c r="GB495" s="2">
        <v>42031.0</v>
      </c>
    </row>
    <row r="496">
      <c r="A496" s="1">
        <v>115000.0</v>
      </c>
      <c r="B496" s="1" t="s">
        <v>185</v>
      </c>
      <c r="C496" s="1" t="str">
        <f>"08792076"</f>
        <v>08792076</v>
      </c>
      <c r="D496" s="1" t="s">
        <v>186</v>
      </c>
      <c r="F496" s="1" t="str">
        <f>"8073"</f>
        <v>8073</v>
      </c>
      <c r="G496" s="2">
        <v>41967.0</v>
      </c>
      <c r="H496" s="1">
        <v>120000.0</v>
      </c>
      <c r="I496" s="1">
        <v>137.0</v>
      </c>
      <c r="J496" s="1">
        <v>120000.0</v>
      </c>
      <c r="K496" s="2">
        <v>42101.0</v>
      </c>
      <c r="L496" s="1">
        <v>137.0</v>
      </c>
      <c r="M496" s="2">
        <v>42101.0</v>
      </c>
      <c r="N496" s="1" t="s">
        <v>249</v>
      </c>
      <c r="O496" s="2">
        <v>42128.0</v>
      </c>
      <c r="P496" s="1">
        <v>241705.0</v>
      </c>
      <c r="Q496" s="1">
        <v>22029.0</v>
      </c>
      <c r="S496" s="1">
        <v>9916.0</v>
      </c>
      <c r="T496" s="1" t="s">
        <v>2655</v>
      </c>
      <c r="U496" s="1" t="s">
        <v>320</v>
      </c>
      <c r="V496" s="1" t="s">
        <v>190</v>
      </c>
      <c r="W496" s="1">
        <v>60643.0</v>
      </c>
      <c r="Y496" s="1" t="s">
        <v>6614</v>
      </c>
      <c r="Z496" s="1">
        <v>1927.0</v>
      </c>
      <c r="AA496" s="1" t="s">
        <v>192</v>
      </c>
      <c r="AB496" s="1" t="s">
        <v>193</v>
      </c>
      <c r="AD496" s="1" t="s">
        <v>194</v>
      </c>
      <c r="AE496" s="1" t="s">
        <v>195</v>
      </c>
      <c r="AF496" s="1" t="s">
        <v>659</v>
      </c>
      <c r="AH496" s="1" t="s">
        <v>6615</v>
      </c>
      <c r="AI496" s="1">
        <v>0.0889</v>
      </c>
      <c r="AK496" s="1">
        <v>8.0</v>
      </c>
      <c r="AL496" s="1">
        <v>3.0</v>
      </c>
      <c r="AM496" s="1">
        <v>1.0</v>
      </c>
      <c r="AN496" s="1">
        <v>1.0</v>
      </c>
      <c r="AO496" s="1" t="s">
        <v>229</v>
      </c>
      <c r="AP496" s="1">
        <v>1.0</v>
      </c>
      <c r="AQ496" s="1" t="s">
        <v>198</v>
      </c>
      <c r="AR496" s="1" t="s">
        <v>192</v>
      </c>
      <c r="AS496" s="1" t="s">
        <v>199</v>
      </c>
      <c r="AT496" s="1">
        <v>2.5</v>
      </c>
      <c r="AV496" s="1" t="s">
        <v>200</v>
      </c>
      <c r="AW496" s="1">
        <v>1028.74</v>
      </c>
      <c r="AX496" s="1">
        <v>2012.0</v>
      </c>
      <c r="AY496" s="1" t="s">
        <v>6616</v>
      </c>
      <c r="AZ496" s="1" t="s">
        <v>200</v>
      </c>
      <c r="BA496" s="1" t="str">
        <f>"25084040250000"</f>
        <v>25084040250000</v>
      </c>
      <c r="BB496" s="1" t="s">
        <v>200</v>
      </c>
      <c r="BC496" s="1">
        <v>1248.0</v>
      </c>
      <c r="BD496" s="1">
        <v>115000.0</v>
      </c>
      <c r="BE496" s="2">
        <v>41965.0</v>
      </c>
      <c r="BF496" s="2" t="s">
        <v>6617</v>
      </c>
      <c r="BH496" s="1">
        <v>0.0</v>
      </c>
      <c r="BK496" s="1" t="s">
        <v>204</v>
      </c>
      <c r="BL496" s="1" t="str">
        <f t="shared" ref="BL496:BM496" si="331">"0"</f>
        <v>0</v>
      </c>
      <c r="BM496" s="1" t="str">
        <f t="shared" si="331"/>
        <v>0</v>
      </c>
      <c r="BN496" s="1">
        <v>900.0</v>
      </c>
      <c r="BO496" s="1">
        <v>9916.0</v>
      </c>
      <c r="BQ496" s="1">
        <v>299.0</v>
      </c>
      <c r="BR496" s="1">
        <v>299.0</v>
      </c>
      <c r="BS496" s="1">
        <v>299.0</v>
      </c>
      <c r="BU496" s="1" t="s">
        <v>1067</v>
      </c>
      <c r="BV496" s="1" t="s">
        <v>206</v>
      </c>
      <c r="BW496" s="1" t="s">
        <v>210</v>
      </c>
      <c r="BX496" s="1" t="s">
        <v>1549</v>
      </c>
      <c r="BY496" s="1" t="s">
        <v>1351</v>
      </c>
      <c r="BZ496" s="1" t="s">
        <v>206</v>
      </c>
      <c r="CA496" s="1" t="s">
        <v>207</v>
      </c>
      <c r="CC496" s="1" t="s">
        <v>6618</v>
      </c>
      <c r="CD496" s="1" t="s">
        <v>206</v>
      </c>
      <c r="CE496" s="1" t="s">
        <v>210</v>
      </c>
      <c r="CF496" s="1" t="s">
        <v>1549</v>
      </c>
      <c r="CG496" s="1" t="s">
        <v>1672</v>
      </c>
      <c r="CH496" s="1" t="s">
        <v>206</v>
      </c>
      <c r="CI496" s="1" t="s">
        <v>207</v>
      </c>
      <c r="CK496" s="1" t="s">
        <v>1418</v>
      </c>
      <c r="CL496" s="1" t="s">
        <v>206</v>
      </c>
      <c r="CO496" s="1" t="s">
        <v>269</v>
      </c>
      <c r="CP496" s="1" t="s">
        <v>42</v>
      </c>
      <c r="CS496" s="1" t="s">
        <v>1329</v>
      </c>
      <c r="CT496" s="1" t="s">
        <v>206</v>
      </c>
      <c r="CU496" s="1" t="s">
        <v>588</v>
      </c>
      <c r="CV496" s="1" t="s">
        <v>261</v>
      </c>
      <c r="CX496" s="1" t="s">
        <v>204</v>
      </c>
      <c r="DA496" s="1" t="s">
        <v>200</v>
      </c>
      <c r="DC496" s="1" t="s">
        <v>785</v>
      </c>
      <c r="DE496" s="1" t="s">
        <v>1300</v>
      </c>
      <c r="DF496" s="1" t="s">
        <v>4086</v>
      </c>
      <c r="DH496" s="1" t="s">
        <v>307</v>
      </c>
      <c r="DI496" s="1" t="s">
        <v>6619</v>
      </c>
      <c r="DJ496" s="1" t="s">
        <v>222</v>
      </c>
      <c r="DK496" s="1" t="s">
        <v>223</v>
      </c>
      <c r="DL496" s="1" t="s">
        <v>224</v>
      </c>
      <c r="DM496" s="1" t="s">
        <v>1143</v>
      </c>
      <c r="DN496" s="1" t="s">
        <v>367</v>
      </c>
      <c r="DP496" s="1" t="s">
        <v>340</v>
      </c>
      <c r="DQ496" s="1" t="s">
        <v>718</v>
      </c>
      <c r="DR496" s="1" t="s">
        <v>229</v>
      </c>
      <c r="DV496" s="1" t="s">
        <v>450</v>
      </c>
      <c r="DW496" s="1" t="s">
        <v>279</v>
      </c>
      <c r="DX496" s="1" t="s">
        <v>234</v>
      </c>
      <c r="DY496" s="1" t="s">
        <v>553</v>
      </c>
      <c r="EA496" s="1" t="s">
        <v>644</v>
      </c>
      <c r="EB496" s="1" t="s">
        <v>797</v>
      </c>
      <c r="EC496" s="1" t="s">
        <v>685</v>
      </c>
      <c r="ED496" s="1" t="s">
        <v>407</v>
      </c>
      <c r="EI496" s="1" t="s">
        <v>450</v>
      </c>
      <c r="EM496" s="1" t="s">
        <v>238</v>
      </c>
      <c r="EQ496" s="1" t="s">
        <v>238</v>
      </c>
      <c r="ET496" s="1" t="s">
        <v>6620</v>
      </c>
      <c r="EU496" s="1" t="s">
        <v>42</v>
      </c>
      <c r="EV496" s="1" t="s">
        <v>588</v>
      </c>
      <c r="EY496" s="1" t="s">
        <v>238</v>
      </c>
      <c r="FC496" s="1" t="s">
        <v>238</v>
      </c>
      <c r="FF496" s="1" t="s">
        <v>239</v>
      </c>
      <c r="FG496" s="1" t="s">
        <v>192</v>
      </c>
      <c r="FH496" s="1" t="s">
        <v>192</v>
      </c>
      <c r="FJ496" s="1" t="s">
        <v>770</v>
      </c>
      <c r="FK496" s="1" t="s">
        <v>229</v>
      </c>
      <c r="FL496" s="1" t="s">
        <v>525</v>
      </c>
      <c r="FM496" s="1">
        <v>22029.0</v>
      </c>
      <c r="FN496" s="1" t="s">
        <v>526</v>
      </c>
      <c r="FO496" s="1" t="s">
        <v>6621</v>
      </c>
      <c r="FP496" s="1">
        <v>241705.0</v>
      </c>
      <c r="FU496" s="1" t="s">
        <v>6622</v>
      </c>
      <c r="FV496" s="1" t="s">
        <v>200</v>
      </c>
      <c r="FW496" s="1" t="s">
        <v>6623</v>
      </c>
      <c r="FX496" s="1" t="s">
        <v>655</v>
      </c>
      <c r="FZ496" s="1" t="s">
        <v>229</v>
      </c>
      <c r="GA496" s="1" t="s">
        <v>291</v>
      </c>
      <c r="GB496" s="2">
        <v>42129.0</v>
      </c>
      <c r="GC496" s="1" t="s">
        <v>6624</v>
      </c>
    </row>
    <row r="497">
      <c r="A497" s="1">
        <v>210000.0</v>
      </c>
      <c r="B497" s="1" t="s">
        <v>185</v>
      </c>
      <c r="C497" s="1" t="str">
        <f>"08791754"</f>
        <v>08791754</v>
      </c>
      <c r="D497" s="1" t="s">
        <v>186</v>
      </c>
      <c r="F497" s="1" t="str">
        <f>"8017"</f>
        <v>8017</v>
      </c>
      <c r="G497" s="2">
        <v>41967.0</v>
      </c>
      <c r="H497" s="1">
        <v>230000.0</v>
      </c>
      <c r="I497" s="1">
        <v>120.0</v>
      </c>
      <c r="J497" s="1">
        <v>219000.0</v>
      </c>
      <c r="K497" s="2">
        <v>42086.0</v>
      </c>
      <c r="L497" s="1">
        <v>120.0</v>
      </c>
      <c r="M497" s="2">
        <v>42086.0</v>
      </c>
      <c r="N497" s="1" t="s">
        <v>187</v>
      </c>
      <c r="O497" s="2">
        <v>42122.0</v>
      </c>
      <c r="P497" s="1">
        <v>238047.0</v>
      </c>
      <c r="Q497" s="1">
        <v>23959.0</v>
      </c>
      <c r="S497" s="1">
        <v>3300.0</v>
      </c>
      <c r="T497" s="1" t="s">
        <v>6625</v>
      </c>
      <c r="U497" s="1" t="s">
        <v>189</v>
      </c>
      <c r="V497" s="1" t="s">
        <v>190</v>
      </c>
      <c r="W497" s="1">
        <v>60634.0</v>
      </c>
      <c r="Y497" s="1" t="s">
        <v>6626</v>
      </c>
      <c r="Z497" s="1">
        <v>1953.0</v>
      </c>
      <c r="AA497" s="1" t="s">
        <v>192</v>
      </c>
      <c r="AB497" s="1" t="s">
        <v>193</v>
      </c>
      <c r="AD497" s="1" t="s">
        <v>194</v>
      </c>
      <c r="AE497" s="1" t="s">
        <v>195</v>
      </c>
      <c r="AF497" s="1" t="s">
        <v>196</v>
      </c>
      <c r="AH497" s="1" t="s">
        <v>6627</v>
      </c>
      <c r="AI497" s="1">
        <v>0.0891</v>
      </c>
      <c r="AK497" s="1">
        <v>8.0</v>
      </c>
      <c r="AL497" s="1">
        <v>3.0</v>
      </c>
      <c r="AM497" s="1">
        <v>2.0</v>
      </c>
      <c r="AN497" s="1">
        <v>0.0</v>
      </c>
      <c r="AO497" s="1" t="s">
        <v>229</v>
      </c>
      <c r="AP497" s="1">
        <v>2.0</v>
      </c>
      <c r="AQ497" s="1" t="s">
        <v>198</v>
      </c>
      <c r="AR497" s="1" t="s">
        <v>192</v>
      </c>
      <c r="AS497" s="1" t="s">
        <v>199</v>
      </c>
      <c r="AT497" s="1">
        <v>2.0</v>
      </c>
      <c r="AV497" s="1" t="s">
        <v>200</v>
      </c>
      <c r="AW497" s="1">
        <v>3495.76</v>
      </c>
      <c r="AX497" s="1">
        <v>2013.0</v>
      </c>
      <c r="AY497" s="1" t="s">
        <v>387</v>
      </c>
      <c r="AZ497" s="1" t="s">
        <v>200</v>
      </c>
      <c r="BA497" s="1" t="str">
        <f>"12244220300000"</f>
        <v>12244220300000</v>
      </c>
      <c r="BC497" s="1">
        <v>1097.0</v>
      </c>
      <c r="BD497" s="1">
        <v>210000.0</v>
      </c>
      <c r="BE497" s="2">
        <v>41967.0</v>
      </c>
      <c r="BF497" s="2" t="s">
        <v>6628</v>
      </c>
      <c r="BH497" s="1">
        <v>0.0</v>
      </c>
      <c r="BK497" s="1" t="s">
        <v>204</v>
      </c>
      <c r="BL497" s="1" t="str">
        <f>"3300"</f>
        <v>3300</v>
      </c>
      <c r="BM497" s="1" t="str">
        <f t="shared" ref="BM497:BM498" si="332">"0"</f>
        <v>0</v>
      </c>
      <c r="BN497" s="1">
        <v>7231.0</v>
      </c>
      <c r="BO497" s="1">
        <v>0.0</v>
      </c>
      <c r="BQ497" s="1">
        <v>299.0</v>
      </c>
      <c r="BR497" s="1">
        <v>299.0</v>
      </c>
      <c r="BS497" s="1">
        <v>299.0</v>
      </c>
      <c r="BU497" s="1" t="s">
        <v>2647</v>
      </c>
      <c r="BV497" s="1" t="s">
        <v>206</v>
      </c>
      <c r="BW497" s="1" t="s">
        <v>207</v>
      </c>
      <c r="BY497" s="1" t="s">
        <v>478</v>
      </c>
      <c r="BZ497" s="1" t="s">
        <v>206</v>
      </c>
      <c r="CA497" s="1" t="s">
        <v>207</v>
      </c>
      <c r="CC497" s="1" t="s">
        <v>1760</v>
      </c>
      <c r="CD497" s="1" t="s">
        <v>206</v>
      </c>
      <c r="CG497" s="1" t="s">
        <v>303</v>
      </c>
      <c r="CH497" s="1" t="s">
        <v>206</v>
      </c>
      <c r="CI497" s="1" t="s">
        <v>207</v>
      </c>
      <c r="CK497" s="1" t="s">
        <v>303</v>
      </c>
      <c r="CL497" s="1" t="s">
        <v>206</v>
      </c>
      <c r="CM497" s="1" t="s">
        <v>207</v>
      </c>
      <c r="CO497" s="1" t="s">
        <v>475</v>
      </c>
      <c r="CP497" s="1" t="s">
        <v>42</v>
      </c>
      <c r="CS497" s="1" t="s">
        <v>1584</v>
      </c>
      <c r="CT497" s="1" t="s">
        <v>206</v>
      </c>
      <c r="CU497" s="1" t="s">
        <v>268</v>
      </c>
      <c r="CW497" s="1" t="s">
        <v>1067</v>
      </c>
      <c r="CX497" s="1" t="s">
        <v>206</v>
      </c>
      <c r="CY497" s="1" t="s">
        <v>210</v>
      </c>
      <c r="DA497" s="1" t="s">
        <v>200</v>
      </c>
      <c r="DC497" s="1" t="s">
        <v>702</v>
      </c>
      <c r="DD497" s="1" t="s">
        <v>618</v>
      </c>
      <c r="DE497" s="1" t="s">
        <v>273</v>
      </c>
      <c r="DF497" s="1" t="s">
        <v>219</v>
      </c>
      <c r="DG497" s="1" t="s">
        <v>337</v>
      </c>
      <c r="DH497" s="1" t="s">
        <v>365</v>
      </c>
      <c r="DI497" s="1" t="s">
        <v>6629</v>
      </c>
      <c r="DJ497" s="1" t="s">
        <v>222</v>
      </c>
      <c r="DL497" s="1" t="s">
        <v>224</v>
      </c>
      <c r="DM497" s="1" t="s">
        <v>229</v>
      </c>
      <c r="DO497" s="1" t="s">
        <v>590</v>
      </c>
      <c r="DP497" s="1" t="s">
        <v>340</v>
      </c>
      <c r="DQ497" s="1" t="s">
        <v>228</v>
      </c>
      <c r="DR497" s="1" t="s">
        <v>229</v>
      </c>
      <c r="DV497" s="1" t="s">
        <v>232</v>
      </c>
      <c r="DW497" s="1" t="s">
        <v>279</v>
      </c>
      <c r="DX497" s="1" t="s">
        <v>234</v>
      </c>
      <c r="DY497" s="1" t="s">
        <v>704</v>
      </c>
      <c r="DZ497" s="1" t="s">
        <v>282</v>
      </c>
      <c r="EA497" s="1" t="s">
        <v>644</v>
      </c>
      <c r="EC497" s="1" t="s">
        <v>685</v>
      </c>
      <c r="ED497" s="1" t="s">
        <v>555</v>
      </c>
      <c r="EE497" s="1" t="s">
        <v>588</v>
      </c>
      <c r="EM497" s="1" t="s">
        <v>238</v>
      </c>
      <c r="EQ497" s="1" t="s">
        <v>238</v>
      </c>
      <c r="EU497" s="1" t="s">
        <v>238</v>
      </c>
      <c r="EY497" s="1" t="s">
        <v>238</v>
      </c>
      <c r="FC497" s="1" t="s">
        <v>238</v>
      </c>
      <c r="FF497" s="1" t="s">
        <v>239</v>
      </c>
      <c r="FG497" s="1" t="s">
        <v>192</v>
      </c>
      <c r="FH497" s="1" t="s">
        <v>192</v>
      </c>
      <c r="FJ497" s="1" t="s">
        <v>624</v>
      </c>
      <c r="FK497" s="1" t="s">
        <v>229</v>
      </c>
      <c r="FL497" s="1" t="s">
        <v>3818</v>
      </c>
      <c r="FM497" s="1">
        <v>23959.0</v>
      </c>
      <c r="FN497" s="1" t="s">
        <v>3819</v>
      </c>
      <c r="FO497" s="1" t="s">
        <v>6630</v>
      </c>
      <c r="FP497" s="1">
        <v>242592.0</v>
      </c>
      <c r="FS497" s="1">
        <v>7.086910244E9</v>
      </c>
      <c r="FU497" s="1" t="s">
        <v>3821</v>
      </c>
      <c r="FV497" s="1" t="s">
        <v>200</v>
      </c>
      <c r="FW497" s="1" t="s">
        <v>290</v>
      </c>
      <c r="FX497" s="1" t="s">
        <v>238</v>
      </c>
      <c r="FZ497" s="1" t="s">
        <v>229</v>
      </c>
      <c r="GA497" s="1" t="s">
        <v>291</v>
      </c>
      <c r="GB497" s="2">
        <v>42122.0</v>
      </c>
      <c r="GC497" s="1" t="s">
        <v>6631</v>
      </c>
    </row>
    <row r="498">
      <c r="A498" s="1">
        <v>160000.0</v>
      </c>
      <c r="B498" s="1" t="s">
        <v>185</v>
      </c>
      <c r="C498" s="1" t="str">
        <f>"08790393"</f>
        <v>08790393</v>
      </c>
      <c r="D498" s="1" t="s">
        <v>186</v>
      </c>
      <c r="F498" s="1" t="str">
        <f>"110"</f>
        <v>110</v>
      </c>
      <c r="G498" s="2">
        <v>41964.0</v>
      </c>
      <c r="H498" s="1">
        <v>196100.0</v>
      </c>
      <c r="I498" s="1">
        <v>88.0</v>
      </c>
      <c r="J498" s="1">
        <v>176100.0</v>
      </c>
      <c r="K498" s="2">
        <v>42051.0</v>
      </c>
      <c r="L498" s="1">
        <v>88.0</v>
      </c>
      <c r="M498" s="2">
        <v>42051.0</v>
      </c>
      <c r="N498" s="1" t="s">
        <v>187</v>
      </c>
      <c r="O498" s="2">
        <v>42103.0</v>
      </c>
      <c r="P498" s="1">
        <v>77526.0</v>
      </c>
      <c r="Q498" s="1">
        <v>267.0</v>
      </c>
      <c r="S498" s="1">
        <v>3068.0</v>
      </c>
      <c r="T498" s="1" t="s">
        <v>6632</v>
      </c>
      <c r="U498" s="1" t="s">
        <v>569</v>
      </c>
      <c r="V498" s="1" t="s">
        <v>807</v>
      </c>
      <c r="W498" s="1">
        <v>60110.0</v>
      </c>
      <c r="Y498" s="1" t="s">
        <v>6633</v>
      </c>
      <c r="Z498" s="1">
        <v>2002.0</v>
      </c>
      <c r="AA498" s="1" t="s">
        <v>200</v>
      </c>
      <c r="AB498" s="1" t="s">
        <v>193</v>
      </c>
      <c r="AD498" s="1" t="s">
        <v>809</v>
      </c>
      <c r="AE498" s="1" t="s">
        <v>325</v>
      </c>
      <c r="AF498" s="1" t="s">
        <v>810</v>
      </c>
      <c r="AH498" s="1" t="s">
        <v>6634</v>
      </c>
      <c r="AI498" s="1">
        <v>0.25</v>
      </c>
      <c r="AK498" s="1">
        <v>8.0</v>
      </c>
      <c r="AL498" s="1">
        <v>4.0</v>
      </c>
      <c r="AM498" s="1">
        <v>2.0</v>
      </c>
      <c r="AN498" s="1">
        <v>1.0</v>
      </c>
      <c r="AO498" s="1" t="s">
        <v>229</v>
      </c>
      <c r="AP498" s="1">
        <v>1.0</v>
      </c>
      <c r="AQ498" s="1" t="s">
        <v>198</v>
      </c>
      <c r="AR498" s="1" t="s">
        <v>200</v>
      </c>
      <c r="AS498" s="1" t="s">
        <v>199</v>
      </c>
      <c r="AT498" s="1">
        <v>2.0</v>
      </c>
      <c r="AV498" s="1" t="s">
        <v>200</v>
      </c>
      <c r="AW498" s="1">
        <v>7325.68</v>
      </c>
      <c r="AX498" s="1">
        <v>2013.0</v>
      </c>
      <c r="AZ498" s="1" t="s">
        <v>545</v>
      </c>
      <c r="BA498" s="1" t="str">
        <f>"0317226007"</f>
        <v>0317226007</v>
      </c>
      <c r="BC498" s="1">
        <v>2237.0</v>
      </c>
      <c r="BD498" s="1">
        <v>160000.0</v>
      </c>
      <c r="BE498" s="2">
        <v>41964.0</v>
      </c>
      <c r="BF498" s="2" t="s">
        <v>3507</v>
      </c>
      <c r="BH498" s="1">
        <v>250.0</v>
      </c>
      <c r="BK498" s="1" t="s">
        <v>580</v>
      </c>
      <c r="BL498" s="1" t="str">
        <f>"18"</f>
        <v>18</v>
      </c>
      <c r="BM498" s="1" t="str">
        <f t="shared" si="332"/>
        <v>0</v>
      </c>
      <c r="BN498" s="1">
        <v>36.0</v>
      </c>
      <c r="BO498" s="1">
        <v>0.0</v>
      </c>
      <c r="BQ498" s="1">
        <v>300.0</v>
      </c>
      <c r="BR498" s="1">
        <v>300.0</v>
      </c>
      <c r="BS498" s="1">
        <v>300.0</v>
      </c>
      <c r="BU498" s="1" t="s">
        <v>495</v>
      </c>
      <c r="BV498" s="1" t="s">
        <v>206</v>
      </c>
      <c r="BY498" s="1" t="s">
        <v>434</v>
      </c>
      <c r="BZ498" s="1" t="s">
        <v>209</v>
      </c>
      <c r="CC498" s="1" t="s">
        <v>1395</v>
      </c>
      <c r="CD498" s="1" t="s">
        <v>206</v>
      </c>
      <c r="CG498" s="1" t="s">
        <v>264</v>
      </c>
      <c r="CH498" s="1" t="s">
        <v>209</v>
      </c>
      <c r="CK498" s="1" t="s">
        <v>699</v>
      </c>
      <c r="CL498" s="1" t="s">
        <v>209</v>
      </c>
      <c r="CO498" s="1" t="s">
        <v>269</v>
      </c>
      <c r="CP498" s="1" t="s">
        <v>209</v>
      </c>
      <c r="CS498" s="1" t="s">
        <v>758</v>
      </c>
      <c r="CT498" s="1" t="s">
        <v>206</v>
      </c>
      <c r="CW498" s="1" t="s">
        <v>784</v>
      </c>
      <c r="CX498" s="1" t="s">
        <v>206</v>
      </c>
      <c r="DA498" s="1" t="s">
        <v>200</v>
      </c>
      <c r="DC498" s="1" t="s">
        <v>335</v>
      </c>
      <c r="DE498" s="1" t="s">
        <v>273</v>
      </c>
      <c r="DF498" s="1" t="s">
        <v>219</v>
      </c>
      <c r="DH498" s="1" t="s">
        <v>220</v>
      </c>
      <c r="DJ498" s="1" t="s">
        <v>222</v>
      </c>
      <c r="DL498" s="1" t="s">
        <v>588</v>
      </c>
      <c r="DM498" s="1" t="s">
        <v>229</v>
      </c>
      <c r="DQ498" s="1" t="s">
        <v>228</v>
      </c>
      <c r="DR498" s="1" t="s">
        <v>588</v>
      </c>
      <c r="DV498" s="1" t="s">
        <v>232</v>
      </c>
      <c r="DW498" s="1" t="s">
        <v>667</v>
      </c>
      <c r="DX498" s="1" t="s">
        <v>234</v>
      </c>
      <c r="EA498" s="1" t="s">
        <v>344</v>
      </c>
      <c r="EC498" s="1" t="s">
        <v>237</v>
      </c>
      <c r="EE498" s="1" t="s">
        <v>1960</v>
      </c>
      <c r="EM498" s="1" t="s">
        <v>238</v>
      </c>
      <c r="EQ498" s="1" t="s">
        <v>238</v>
      </c>
      <c r="EU498" s="1" t="s">
        <v>238</v>
      </c>
      <c r="EY498" s="1" t="s">
        <v>238</v>
      </c>
      <c r="FC498" s="1" t="s">
        <v>238</v>
      </c>
      <c r="FF498" s="1" t="s">
        <v>239</v>
      </c>
      <c r="FG498" s="1" t="s">
        <v>192</v>
      </c>
      <c r="FH498" s="1" t="s">
        <v>192</v>
      </c>
      <c r="FJ498" s="1" t="s">
        <v>347</v>
      </c>
      <c r="FK498" s="1" t="s">
        <v>229</v>
      </c>
      <c r="FL498" s="1" t="s">
        <v>3033</v>
      </c>
      <c r="FM498" s="1">
        <v>1984.0</v>
      </c>
      <c r="FN498" s="1" t="s">
        <v>3034</v>
      </c>
      <c r="FO498" s="1" t="s">
        <v>3035</v>
      </c>
      <c r="FP498" s="1">
        <v>922950.0</v>
      </c>
      <c r="FU498" s="1" t="s">
        <v>3036</v>
      </c>
      <c r="FV498" s="1" t="s">
        <v>200</v>
      </c>
      <c r="FW498" s="1" t="s">
        <v>3037</v>
      </c>
      <c r="FZ498" s="1" t="s">
        <v>229</v>
      </c>
      <c r="GA498" s="1" t="s">
        <v>291</v>
      </c>
      <c r="GB498" s="2">
        <v>42104.0</v>
      </c>
      <c r="GC498" s="1" t="s">
        <v>3510</v>
      </c>
    </row>
    <row r="499">
      <c r="A499" s="1">
        <v>135000.0</v>
      </c>
      <c r="B499" s="1" t="s">
        <v>185</v>
      </c>
      <c r="C499" s="1" t="str">
        <f>"08790566"</f>
        <v>08790566</v>
      </c>
      <c r="D499" s="1" t="s">
        <v>186</v>
      </c>
      <c r="F499" s="1" t="str">
        <f>"8071"</f>
        <v>8071</v>
      </c>
      <c r="G499" s="2">
        <v>41964.0</v>
      </c>
      <c r="H499" s="1">
        <v>135000.0</v>
      </c>
      <c r="I499" s="1">
        <v>92.0</v>
      </c>
      <c r="J499" s="1">
        <v>135000.0</v>
      </c>
      <c r="K499" s="2">
        <v>42055.0</v>
      </c>
      <c r="L499" s="1">
        <v>92.0</v>
      </c>
      <c r="M499" s="2">
        <v>42055.0</v>
      </c>
      <c r="N499" s="1" t="s">
        <v>187</v>
      </c>
      <c r="O499" s="2">
        <v>42118.0</v>
      </c>
      <c r="P499" s="1">
        <v>243589.0</v>
      </c>
      <c r="Q499" s="1">
        <v>24073.0</v>
      </c>
      <c r="S499" s="1">
        <v>7720.0</v>
      </c>
      <c r="T499" s="1" t="s">
        <v>4544</v>
      </c>
      <c r="U499" s="1" t="s">
        <v>320</v>
      </c>
      <c r="V499" s="1" t="s">
        <v>190</v>
      </c>
      <c r="W499" s="1">
        <v>60620.0</v>
      </c>
      <c r="Y499" s="1" t="s">
        <v>6635</v>
      </c>
      <c r="Z499" s="1">
        <v>1900.0</v>
      </c>
      <c r="AA499" s="1" t="s">
        <v>192</v>
      </c>
      <c r="AB499" s="1" t="s">
        <v>193</v>
      </c>
      <c r="AD499" s="1" t="s">
        <v>194</v>
      </c>
      <c r="AE499" s="1" t="s">
        <v>195</v>
      </c>
      <c r="AF499" s="1" t="s">
        <v>659</v>
      </c>
      <c r="AH499" s="1" t="s">
        <v>6636</v>
      </c>
      <c r="AI499" s="1">
        <v>0.1148</v>
      </c>
      <c r="AK499" s="1">
        <v>8.0</v>
      </c>
      <c r="AL499" s="1">
        <v>4.0</v>
      </c>
      <c r="AM499" s="1">
        <v>2.0</v>
      </c>
      <c r="AN499" s="1">
        <v>1.0</v>
      </c>
      <c r="AO499" s="1" t="s">
        <v>198</v>
      </c>
      <c r="AQ499" s="1" t="s">
        <v>198</v>
      </c>
      <c r="AR499" s="1" t="s">
        <v>192</v>
      </c>
      <c r="AS499" s="1" t="s">
        <v>828</v>
      </c>
      <c r="AU499" s="1">
        <v>2.0</v>
      </c>
      <c r="AV499" s="1" t="s">
        <v>200</v>
      </c>
      <c r="AW499" s="1">
        <v>2078.57</v>
      </c>
      <c r="AX499" s="1">
        <v>2013.0</v>
      </c>
      <c r="AY499" s="1" t="s">
        <v>229</v>
      </c>
      <c r="AZ499" s="1" t="s">
        <v>200</v>
      </c>
      <c r="BA499" s="1" t="str">
        <f>"20294210200000"</f>
        <v>20294210200000</v>
      </c>
      <c r="BB499" s="1" t="s">
        <v>200</v>
      </c>
      <c r="BC499" s="1">
        <v>1640.0</v>
      </c>
      <c r="BD499" s="1">
        <v>135000.0</v>
      </c>
      <c r="BE499" s="2">
        <v>41964.0</v>
      </c>
      <c r="BF499" s="2" t="s">
        <v>6637</v>
      </c>
      <c r="BH499" s="1">
        <v>0.0</v>
      </c>
      <c r="BK499" s="1" t="s">
        <v>204</v>
      </c>
      <c r="BL499" s="1" t="str">
        <f t="shared" ref="BL499:BM499" si="333">"0"</f>
        <v>0</v>
      </c>
      <c r="BM499" s="1" t="str">
        <f t="shared" si="333"/>
        <v>0</v>
      </c>
      <c r="BN499" s="1">
        <v>900.0</v>
      </c>
      <c r="BO499" s="1">
        <v>7720.0</v>
      </c>
      <c r="BQ499" s="1">
        <v>299.0</v>
      </c>
      <c r="BR499" s="1">
        <v>299.0</v>
      </c>
      <c r="BS499" s="1">
        <v>299.0</v>
      </c>
      <c r="BU499" s="1" t="s">
        <v>215</v>
      </c>
      <c r="BV499" s="1" t="s">
        <v>206</v>
      </c>
      <c r="BW499" s="1" t="s">
        <v>207</v>
      </c>
      <c r="BY499" s="1" t="s">
        <v>433</v>
      </c>
      <c r="BZ499" s="1" t="s">
        <v>209</v>
      </c>
      <c r="CA499" s="1" t="s">
        <v>210</v>
      </c>
      <c r="CC499" s="1" t="s">
        <v>699</v>
      </c>
      <c r="CD499" s="1" t="s">
        <v>206</v>
      </c>
      <c r="CE499" s="1" t="s">
        <v>207</v>
      </c>
      <c r="CG499" s="1" t="s">
        <v>699</v>
      </c>
      <c r="CH499" s="1" t="s">
        <v>209</v>
      </c>
      <c r="CI499" s="1" t="s">
        <v>210</v>
      </c>
      <c r="CK499" s="1" t="s">
        <v>495</v>
      </c>
      <c r="CL499" s="1" t="s">
        <v>209</v>
      </c>
      <c r="CM499" s="1" t="s">
        <v>210</v>
      </c>
      <c r="CO499" s="1" t="s">
        <v>699</v>
      </c>
      <c r="CP499" s="1" t="s">
        <v>206</v>
      </c>
      <c r="CQ499" s="1" t="s">
        <v>210</v>
      </c>
      <c r="CS499" s="1" t="s">
        <v>215</v>
      </c>
      <c r="CT499" s="1" t="s">
        <v>206</v>
      </c>
      <c r="CU499" s="1" t="s">
        <v>207</v>
      </c>
      <c r="CX499" s="1" t="s">
        <v>204</v>
      </c>
      <c r="DA499" s="1" t="s">
        <v>200</v>
      </c>
      <c r="DC499" s="1" t="s">
        <v>642</v>
      </c>
      <c r="DE499" s="1" t="s">
        <v>273</v>
      </c>
      <c r="DF499" s="1" t="s">
        <v>219</v>
      </c>
      <c r="DG499" s="1" t="s">
        <v>337</v>
      </c>
      <c r="DH499" s="1" t="s">
        <v>220</v>
      </c>
      <c r="DI499" s="1" t="s">
        <v>703</v>
      </c>
      <c r="DJ499" s="1" t="s">
        <v>222</v>
      </c>
      <c r="DL499" s="1" t="s">
        <v>223</v>
      </c>
      <c r="DM499" s="1" t="s">
        <v>229</v>
      </c>
      <c r="DN499" s="1" t="s">
        <v>793</v>
      </c>
      <c r="DO499" s="1" t="s">
        <v>717</v>
      </c>
      <c r="DP499" s="1" t="s">
        <v>340</v>
      </c>
      <c r="DQ499" s="1" t="s">
        <v>228</v>
      </c>
      <c r="DR499" s="1" t="s">
        <v>229</v>
      </c>
      <c r="DS499" s="1" t="s">
        <v>230</v>
      </c>
      <c r="DV499" s="1" t="s">
        <v>1028</v>
      </c>
      <c r="DW499" s="1" t="s">
        <v>370</v>
      </c>
      <c r="DX499" s="1" t="s">
        <v>234</v>
      </c>
      <c r="DY499" s="1" t="s">
        <v>553</v>
      </c>
      <c r="DZ499" s="1" t="s">
        <v>1333</v>
      </c>
      <c r="EC499" s="1" t="s">
        <v>237</v>
      </c>
      <c r="EE499" s="1" t="s">
        <v>493</v>
      </c>
      <c r="EF499" s="1" t="s">
        <v>834</v>
      </c>
      <c r="EG499" s="1" t="s">
        <v>1028</v>
      </c>
      <c r="EL499" s="1" t="s">
        <v>798</v>
      </c>
      <c r="EM499" s="1" t="s">
        <v>209</v>
      </c>
      <c r="EN499" s="1" t="s">
        <v>207</v>
      </c>
      <c r="EQ499" s="1" t="s">
        <v>238</v>
      </c>
      <c r="EU499" s="1" t="s">
        <v>238</v>
      </c>
      <c r="EY499" s="1" t="s">
        <v>238</v>
      </c>
      <c r="FC499" s="1" t="s">
        <v>238</v>
      </c>
      <c r="FF499" s="1" t="s">
        <v>239</v>
      </c>
      <c r="FG499" s="1" t="s">
        <v>192</v>
      </c>
      <c r="FH499" s="1" t="s">
        <v>192</v>
      </c>
      <c r="FJ499" s="1" t="s">
        <v>770</v>
      </c>
      <c r="FK499" s="1" t="s">
        <v>229</v>
      </c>
      <c r="FL499" s="1" t="s">
        <v>3794</v>
      </c>
      <c r="FM499" s="1">
        <v>24073.0</v>
      </c>
      <c r="FN499" s="1" t="s">
        <v>6021</v>
      </c>
      <c r="FO499" s="1" t="s">
        <v>6638</v>
      </c>
      <c r="FP499" s="1">
        <v>243589.0</v>
      </c>
      <c r="FU499" s="1" t="s">
        <v>6639</v>
      </c>
      <c r="FV499" s="1" t="s">
        <v>200</v>
      </c>
      <c r="FW499" s="1" t="s">
        <v>530</v>
      </c>
      <c r="FX499" s="1" t="s">
        <v>655</v>
      </c>
      <c r="FZ499" s="1" t="s">
        <v>229</v>
      </c>
      <c r="GA499" s="1" t="s">
        <v>291</v>
      </c>
      <c r="GB499" s="2">
        <v>42118.0</v>
      </c>
      <c r="GC499" s="1" t="s">
        <v>6640</v>
      </c>
    </row>
    <row r="500">
      <c r="A500" s="1">
        <v>399000.0</v>
      </c>
      <c r="B500" s="1" t="s">
        <v>185</v>
      </c>
      <c r="C500" s="1" t="str">
        <f>"08792981"</f>
        <v>08792981</v>
      </c>
      <c r="D500" s="1" t="s">
        <v>186</v>
      </c>
      <c r="F500" s="1" t="str">
        <f>"8038"</f>
        <v>8038</v>
      </c>
      <c r="G500" s="2">
        <v>41969.0</v>
      </c>
      <c r="H500" s="1">
        <v>399000.0</v>
      </c>
      <c r="I500" s="1">
        <v>240.0</v>
      </c>
      <c r="J500" s="1">
        <v>399000.0</v>
      </c>
      <c r="K500" s="2">
        <v>42031.0</v>
      </c>
      <c r="L500" s="1">
        <v>63.0</v>
      </c>
      <c r="M500" s="2">
        <v>42031.0</v>
      </c>
      <c r="N500" s="1" t="s">
        <v>187</v>
      </c>
      <c r="O500" s="2">
        <v>42061.0</v>
      </c>
      <c r="P500" s="1">
        <v>841536.0</v>
      </c>
      <c r="Q500" s="1">
        <v>18705.0</v>
      </c>
      <c r="S500" s="1">
        <v>425.0</v>
      </c>
      <c r="T500" s="1" t="s">
        <v>6641</v>
      </c>
      <c r="U500" s="1" t="s">
        <v>1442</v>
      </c>
      <c r="V500" s="1" t="s">
        <v>190</v>
      </c>
      <c r="W500" s="1">
        <v>60653.0</v>
      </c>
      <c r="Y500" s="1" t="s">
        <v>6642</v>
      </c>
      <c r="Z500" s="1" t="s">
        <v>296</v>
      </c>
      <c r="AA500" s="1" t="s">
        <v>192</v>
      </c>
      <c r="AB500" s="1" t="s">
        <v>193</v>
      </c>
      <c r="AD500" s="1" t="s">
        <v>194</v>
      </c>
      <c r="AE500" s="1" t="s">
        <v>195</v>
      </c>
      <c r="AF500" s="1" t="s">
        <v>637</v>
      </c>
      <c r="AH500" s="1" t="s">
        <v>6643</v>
      </c>
      <c r="AK500" s="1">
        <v>8.0</v>
      </c>
      <c r="AL500" s="1">
        <v>4.0</v>
      </c>
      <c r="AM500" s="1">
        <v>3.0</v>
      </c>
      <c r="AN500" s="1">
        <v>1.0</v>
      </c>
      <c r="AO500" s="1" t="s">
        <v>198</v>
      </c>
      <c r="AQ500" s="1" t="s">
        <v>472</v>
      </c>
      <c r="AR500" s="1" t="s">
        <v>192</v>
      </c>
      <c r="AS500" s="1" t="s">
        <v>199</v>
      </c>
      <c r="AT500" s="1">
        <v>1.0</v>
      </c>
      <c r="AV500" s="1" t="s">
        <v>200</v>
      </c>
      <c r="AW500" s="1">
        <v>2708.82</v>
      </c>
      <c r="AX500" s="1">
        <v>2013.0</v>
      </c>
      <c r="AY500" s="1" t="s">
        <v>229</v>
      </c>
      <c r="AZ500" s="1" t="s">
        <v>200</v>
      </c>
      <c r="BA500" s="1" t="str">
        <f>"20032030060000"</f>
        <v>20032030060000</v>
      </c>
      <c r="BC500" s="1">
        <v>2900.0</v>
      </c>
      <c r="BD500" s="1">
        <v>399000.0</v>
      </c>
      <c r="BE500" s="2">
        <v>41969.0</v>
      </c>
      <c r="BF500" s="2" t="s">
        <v>6644</v>
      </c>
      <c r="BH500" s="1">
        <v>0.0</v>
      </c>
      <c r="BK500" s="1" t="s">
        <v>204</v>
      </c>
      <c r="BL500" s="1" t="str">
        <f>"0"</f>
        <v>0</v>
      </c>
      <c r="BM500" s="1" t="str">
        <f>"425"</f>
        <v>425</v>
      </c>
      <c r="BN500" s="1">
        <v>0.0</v>
      </c>
      <c r="BO500" s="1">
        <v>3950.0</v>
      </c>
      <c r="BQ500" s="1">
        <v>299.0</v>
      </c>
      <c r="BR500" s="1">
        <v>299.0</v>
      </c>
      <c r="BS500" s="1">
        <v>299.0</v>
      </c>
      <c r="BU500" s="1" t="s">
        <v>6645</v>
      </c>
      <c r="BV500" s="1" t="s">
        <v>206</v>
      </c>
      <c r="BW500" s="1" t="s">
        <v>207</v>
      </c>
      <c r="BY500" s="1" t="s">
        <v>214</v>
      </c>
      <c r="BZ500" s="1" t="s">
        <v>209</v>
      </c>
      <c r="CA500" s="1" t="s">
        <v>207</v>
      </c>
      <c r="CC500" s="1" t="s">
        <v>542</v>
      </c>
      <c r="CD500" s="1" t="s">
        <v>206</v>
      </c>
      <c r="CE500" s="1" t="s">
        <v>207</v>
      </c>
      <c r="CG500" s="1" t="s">
        <v>264</v>
      </c>
      <c r="CH500" s="1" t="s">
        <v>209</v>
      </c>
      <c r="CI500" s="1" t="s">
        <v>207</v>
      </c>
      <c r="CK500" s="1" t="s">
        <v>264</v>
      </c>
      <c r="CL500" s="1" t="s">
        <v>209</v>
      </c>
      <c r="CM500" s="1" t="s">
        <v>207</v>
      </c>
      <c r="CO500" s="1" t="s">
        <v>269</v>
      </c>
      <c r="CP500" s="1" t="s">
        <v>267</v>
      </c>
      <c r="CQ500" s="1" t="s">
        <v>1136</v>
      </c>
      <c r="CS500" s="1" t="s">
        <v>924</v>
      </c>
      <c r="CT500" s="1" t="s">
        <v>206</v>
      </c>
      <c r="CU500" s="1" t="s">
        <v>207</v>
      </c>
      <c r="CW500" s="1" t="s">
        <v>208</v>
      </c>
      <c r="CX500" s="1" t="s">
        <v>267</v>
      </c>
      <c r="CY500" s="1" t="s">
        <v>1136</v>
      </c>
      <c r="DA500" s="1" t="s">
        <v>200</v>
      </c>
      <c r="DC500" s="1" t="s">
        <v>545</v>
      </c>
      <c r="DE500" s="1" t="s">
        <v>273</v>
      </c>
      <c r="DF500" s="1" t="s">
        <v>219</v>
      </c>
      <c r="DH500" s="1" t="s">
        <v>220</v>
      </c>
      <c r="DJ500" s="1" t="s">
        <v>222</v>
      </c>
      <c r="DL500" s="1" t="s">
        <v>224</v>
      </c>
      <c r="DM500" s="1" t="s">
        <v>3575</v>
      </c>
      <c r="DQ500" s="1" t="s">
        <v>228</v>
      </c>
      <c r="DR500" s="1" t="s">
        <v>229</v>
      </c>
      <c r="DV500" s="1" t="s">
        <v>232</v>
      </c>
      <c r="DW500" s="1" t="s">
        <v>2128</v>
      </c>
      <c r="DX500" s="1" t="s">
        <v>234</v>
      </c>
      <c r="EC500" s="1" t="s">
        <v>237</v>
      </c>
      <c r="EM500" s="1" t="s">
        <v>238</v>
      </c>
      <c r="EQ500" s="1" t="s">
        <v>238</v>
      </c>
      <c r="EU500" s="1" t="s">
        <v>238</v>
      </c>
      <c r="EY500" s="1" t="s">
        <v>238</v>
      </c>
      <c r="FC500" s="1" t="s">
        <v>238</v>
      </c>
      <c r="FF500" s="1" t="s">
        <v>239</v>
      </c>
      <c r="FG500" s="1" t="s">
        <v>192</v>
      </c>
      <c r="FH500" s="1" t="s">
        <v>192</v>
      </c>
      <c r="FJ500" s="1" t="s">
        <v>2285</v>
      </c>
      <c r="FK500" s="1" t="s">
        <v>557</v>
      </c>
      <c r="FL500" s="1" t="s">
        <v>734</v>
      </c>
      <c r="FM500" s="1">
        <v>10646.0</v>
      </c>
      <c r="FN500" s="1" t="s">
        <v>735</v>
      </c>
      <c r="FO500" s="1" t="s">
        <v>2738</v>
      </c>
      <c r="FP500" s="1">
        <v>105083.0</v>
      </c>
      <c r="FQ500" s="1" t="s">
        <v>2739</v>
      </c>
      <c r="FU500" s="1" t="s">
        <v>6646</v>
      </c>
      <c r="FV500" s="1" t="s">
        <v>200</v>
      </c>
      <c r="FW500" s="1" t="s">
        <v>1411</v>
      </c>
      <c r="FX500" s="1" t="s">
        <v>1739</v>
      </c>
      <c r="FZ500" s="1" t="s">
        <v>229</v>
      </c>
      <c r="GA500" s="1" t="s">
        <v>291</v>
      </c>
      <c r="GB500" s="2">
        <v>42061.0</v>
      </c>
      <c r="GC500" s="1" t="s">
        <v>6647</v>
      </c>
    </row>
    <row r="501">
      <c r="A501" s="1">
        <v>1070000.0</v>
      </c>
      <c r="B501" s="1" t="s">
        <v>185</v>
      </c>
      <c r="C501" s="1" t="str">
        <f>"08794184"</f>
        <v>08794184</v>
      </c>
      <c r="D501" s="1" t="s">
        <v>186</v>
      </c>
      <c r="F501" s="1" t="str">
        <f>"8006"</f>
        <v>8006</v>
      </c>
      <c r="G501" s="2">
        <v>41974.0</v>
      </c>
      <c r="H501" s="1">
        <v>1199000.0</v>
      </c>
      <c r="I501" s="1">
        <v>94.0</v>
      </c>
      <c r="J501" s="1">
        <v>1150000.0</v>
      </c>
      <c r="K501" s="2">
        <v>42067.0</v>
      </c>
      <c r="L501" s="1">
        <v>94.0</v>
      </c>
      <c r="M501" s="2">
        <v>42067.0</v>
      </c>
      <c r="N501" s="1" t="s">
        <v>187</v>
      </c>
      <c r="O501" s="2">
        <v>42121.0</v>
      </c>
      <c r="P501" s="1">
        <v>129845.0</v>
      </c>
      <c r="Q501" s="1">
        <v>13963.0</v>
      </c>
      <c r="S501" s="1">
        <v>3825.0</v>
      </c>
      <c r="T501" s="1" t="s">
        <v>6648</v>
      </c>
      <c r="U501" s="1" t="s">
        <v>189</v>
      </c>
      <c r="V501" s="1" t="s">
        <v>190</v>
      </c>
      <c r="W501" s="1">
        <v>60613.0</v>
      </c>
      <c r="Y501" s="1" t="s">
        <v>6649</v>
      </c>
      <c r="Z501" s="1">
        <v>1881.0</v>
      </c>
      <c r="AA501" s="1" t="s">
        <v>192</v>
      </c>
      <c r="AB501" s="1" t="s">
        <v>193</v>
      </c>
      <c r="AD501" s="1" t="s">
        <v>194</v>
      </c>
      <c r="AE501" s="1" t="s">
        <v>195</v>
      </c>
      <c r="AF501" s="1" t="s">
        <v>534</v>
      </c>
      <c r="AH501" s="1" t="s">
        <v>6351</v>
      </c>
      <c r="AK501" s="1">
        <v>10.0</v>
      </c>
      <c r="AL501" s="1">
        <v>4.0</v>
      </c>
      <c r="AM501" s="1">
        <v>3.0</v>
      </c>
      <c r="AN501" s="1">
        <v>1.0</v>
      </c>
      <c r="AO501" s="1" t="s">
        <v>198</v>
      </c>
      <c r="AP501" s="1">
        <v>2.0</v>
      </c>
      <c r="AQ501" s="1" t="s">
        <v>198</v>
      </c>
      <c r="AR501" s="1" t="s">
        <v>192</v>
      </c>
      <c r="AS501" s="1" t="s">
        <v>199</v>
      </c>
      <c r="AT501" s="1">
        <v>2.0</v>
      </c>
      <c r="AV501" s="1" t="s">
        <v>200</v>
      </c>
      <c r="AW501" s="1">
        <v>12410.0</v>
      </c>
      <c r="AX501" s="1">
        <v>2013.0</v>
      </c>
      <c r="AY501" s="1" t="s">
        <v>229</v>
      </c>
      <c r="AZ501" s="1" t="s">
        <v>192</v>
      </c>
      <c r="BA501" s="1" t="str">
        <f>"14192160130000"</f>
        <v>14192160130000</v>
      </c>
      <c r="BB501" s="1" t="s">
        <v>200</v>
      </c>
      <c r="BC501" s="1">
        <v>3305.0</v>
      </c>
      <c r="BD501" s="1">
        <v>1070000.0</v>
      </c>
      <c r="BE501" s="2">
        <v>41974.0</v>
      </c>
      <c r="BF501" s="2" t="s">
        <v>6650</v>
      </c>
      <c r="BG501" s="1" t="s">
        <v>6556</v>
      </c>
      <c r="BH501" s="1">
        <v>0.0</v>
      </c>
      <c r="BI501" s="1" t="s">
        <v>6556</v>
      </c>
      <c r="BJ501" s="1" t="s">
        <v>538</v>
      </c>
      <c r="BK501" s="1" t="s">
        <v>204</v>
      </c>
      <c r="BL501" s="1" t="str">
        <f>"3825"</f>
        <v>3825</v>
      </c>
      <c r="BM501" s="1" t="str">
        <f>"0"</f>
        <v>0</v>
      </c>
      <c r="BN501" s="1">
        <v>1650.0</v>
      </c>
      <c r="BO501" s="1">
        <v>0.0</v>
      </c>
      <c r="BQ501" s="1">
        <v>299.0</v>
      </c>
      <c r="BR501" s="1">
        <v>299.0</v>
      </c>
      <c r="BS501" s="1">
        <v>299.0</v>
      </c>
      <c r="BU501" s="1" t="s">
        <v>2082</v>
      </c>
      <c r="BV501" s="1" t="s">
        <v>206</v>
      </c>
      <c r="BW501" s="1" t="s">
        <v>207</v>
      </c>
      <c r="BX501" s="1" t="s">
        <v>431</v>
      </c>
      <c r="BY501" s="1" t="s">
        <v>662</v>
      </c>
      <c r="BZ501" s="1" t="s">
        <v>209</v>
      </c>
      <c r="CA501" s="1" t="s">
        <v>207</v>
      </c>
      <c r="CB501" s="1" t="s">
        <v>1118</v>
      </c>
      <c r="CC501" s="1" t="s">
        <v>1567</v>
      </c>
      <c r="CD501" s="1" t="s">
        <v>206</v>
      </c>
      <c r="CE501" s="1" t="s">
        <v>207</v>
      </c>
      <c r="CF501" s="1" t="s">
        <v>431</v>
      </c>
      <c r="CG501" s="1" t="s">
        <v>677</v>
      </c>
      <c r="CH501" s="1" t="s">
        <v>209</v>
      </c>
      <c r="CI501" s="1" t="s">
        <v>207</v>
      </c>
      <c r="CJ501" s="1" t="s">
        <v>229</v>
      </c>
      <c r="CK501" s="1" t="s">
        <v>1183</v>
      </c>
      <c r="CL501" s="1" t="s">
        <v>209</v>
      </c>
      <c r="CM501" s="1" t="s">
        <v>207</v>
      </c>
      <c r="CN501" s="1" t="s">
        <v>1118</v>
      </c>
      <c r="CO501" s="1" t="s">
        <v>1584</v>
      </c>
      <c r="CP501" s="1" t="s">
        <v>267</v>
      </c>
      <c r="CQ501" s="1" t="s">
        <v>210</v>
      </c>
      <c r="CR501" s="1" t="s">
        <v>229</v>
      </c>
      <c r="CS501" s="1" t="s">
        <v>584</v>
      </c>
      <c r="CT501" s="1" t="s">
        <v>206</v>
      </c>
      <c r="CU501" s="1" t="s">
        <v>207</v>
      </c>
      <c r="CV501" s="1" t="s">
        <v>431</v>
      </c>
      <c r="CW501" s="1" t="s">
        <v>1045</v>
      </c>
      <c r="CX501" s="1" t="s">
        <v>206</v>
      </c>
      <c r="CZ501" s="1" t="s">
        <v>229</v>
      </c>
      <c r="DA501" s="1" t="s">
        <v>200</v>
      </c>
      <c r="DC501" s="1" t="s">
        <v>642</v>
      </c>
      <c r="DD501" s="1" t="s">
        <v>586</v>
      </c>
      <c r="DE501" s="1" t="s">
        <v>218</v>
      </c>
      <c r="DF501" s="1" t="s">
        <v>219</v>
      </c>
      <c r="DH501" s="1" t="s">
        <v>220</v>
      </c>
      <c r="DI501" s="1" t="s">
        <v>6651</v>
      </c>
      <c r="DJ501" s="1" t="s">
        <v>222</v>
      </c>
      <c r="DL501" s="1" t="s">
        <v>224</v>
      </c>
      <c r="DM501" s="1" t="s">
        <v>229</v>
      </c>
      <c r="DN501" s="1" t="s">
        <v>6652</v>
      </c>
      <c r="DP501" s="1" t="s">
        <v>276</v>
      </c>
      <c r="DQ501" s="1" t="s">
        <v>718</v>
      </c>
      <c r="DR501" s="1" t="s">
        <v>229</v>
      </c>
      <c r="DS501" s="1" t="s">
        <v>277</v>
      </c>
      <c r="DU501" s="1" t="s">
        <v>3021</v>
      </c>
      <c r="DV501" s="1" t="s">
        <v>6653</v>
      </c>
      <c r="DW501" s="1" t="s">
        <v>233</v>
      </c>
      <c r="DX501" s="1" t="s">
        <v>234</v>
      </c>
      <c r="DY501" s="1" t="s">
        <v>6654</v>
      </c>
      <c r="DZ501" s="1" t="s">
        <v>6655</v>
      </c>
      <c r="EA501" s="1" t="s">
        <v>344</v>
      </c>
      <c r="EB501" s="1" t="s">
        <v>4251</v>
      </c>
      <c r="EC501" s="1" t="s">
        <v>406</v>
      </c>
      <c r="ED501" s="1" t="s">
        <v>555</v>
      </c>
      <c r="EE501" s="1" t="s">
        <v>187</v>
      </c>
      <c r="EG501" s="1" t="s">
        <v>450</v>
      </c>
      <c r="EH501" s="1" t="s">
        <v>598</v>
      </c>
      <c r="EI501" s="1" t="s">
        <v>720</v>
      </c>
      <c r="EJ501" s="1" t="s">
        <v>1103</v>
      </c>
      <c r="EK501" s="1" t="s">
        <v>2877</v>
      </c>
      <c r="EL501" s="1" t="s">
        <v>2800</v>
      </c>
      <c r="EM501" s="1" t="s">
        <v>267</v>
      </c>
      <c r="EN501" s="1" t="s">
        <v>210</v>
      </c>
      <c r="EO501" s="1" t="s">
        <v>229</v>
      </c>
      <c r="EP501" s="1" t="s">
        <v>6656</v>
      </c>
      <c r="EQ501" s="1" t="s">
        <v>391</v>
      </c>
      <c r="ER501" s="1" t="s">
        <v>207</v>
      </c>
      <c r="ES501" s="1" t="s">
        <v>229</v>
      </c>
      <c r="ET501" s="1" t="s">
        <v>6657</v>
      </c>
      <c r="EU501" s="1" t="s">
        <v>267</v>
      </c>
      <c r="EV501" s="1" t="s">
        <v>268</v>
      </c>
      <c r="EX501" s="1" t="s">
        <v>1672</v>
      </c>
      <c r="EY501" s="1" t="s">
        <v>267</v>
      </c>
      <c r="EZ501" s="1" t="s">
        <v>210</v>
      </c>
      <c r="FA501" s="1" t="s">
        <v>229</v>
      </c>
      <c r="FB501" s="1" t="s">
        <v>4450</v>
      </c>
      <c r="FC501" s="1" t="s">
        <v>206</v>
      </c>
      <c r="FD501" s="1" t="s">
        <v>207</v>
      </c>
      <c r="FE501" s="1" t="s">
        <v>229</v>
      </c>
      <c r="FF501" s="1" t="s">
        <v>239</v>
      </c>
      <c r="FG501" s="1" t="s">
        <v>192</v>
      </c>
      <c r="FH501" s="1" t="s">
        <v>192</v>
      </c>
      <c r="FJ501" s="1" t="s">
        <v>6658</v>
      </c>
      <c r="FK501" s="1" t="s">
        <v>229</v>
      </c>
      <c r="FL501" s="1" t="s">
        <v>456</v>
      </c>
      <c r="FM501" s="1">
        <v>10274.0</v>
      </c>
      <c r="FN501" s="1" t="s">
        <v>4794</v>
      </c>
      <c r="FO501" s="1" t="s">
        <v>6659</v>
      </c>
      <c r="FP501" s="1">
        <v>120847.0</v>
      </c>
      <c r="FQ501" s="1" t="s">
        <v>6660</v>
      </c>
      <c r="FU501" s="1" t="s">
        <v>6661</v>
      </c>
      <c r="FV501" s="1" t="s">
        <v>200</v>
      </c>
      <c r="FW501" s="1" t="s">
        <v>290</v>
      </c>
      <c r="FX501" s="1" t="s">
        <v>238</v>
      </c>
      <c r="FZ501" s="1" t="s">
        <v>229</v>
      </c>
      <c r="GA501" s="1" t="s">
        <v>291</v>
      </c>
      <c r="GB501" s="2">
        <v>42121.0</v>
      </c>
      <c r="GC501" s="1" t="s">
        <v>6662</v>
      </c>
    </row>
    <row r="502">
      <c r="A502" s="1">
        <v>175000.0</v>
      </c>
      <c r="B502" s="1" t="s">
        <v>185</v>
      </c>
      <c r="C502" s="1" t="str">
        <f>"08793504"</f>
        <v>08793504</v>
      </c>
      <c r="D502" s="1" t="s">
        <v>186</v>
      </c>
      <c r="F502" s="1" t="str">
        <f>"123"</f>
        <v>123</v>
      </c>
      <c r="G502" s="2">
        <v>41971.0</v>
      </c>
      <c r="H502" s="1">
        <v>215900.0</v>
      </c>
      <c r="I502" s="1">
        <v>78.0</v>
      </c>
      <c r="J502" s="1">
        <v>189900.0</v>
      </c>
      <c r="K502" s="2">
        <v>42047.0</v>
      </c>
      <c r="L502" s="1">
        <v>78.0</v>
      </c>
      <c r="M502" s="2">
        <v>42047.0</v>
      </c>
      <c r="N502" s="1" t="s">
        <v>187</v>
      </c>
      <c r="O502" s="2">
        <v>42087.0</v>
      </c>
      <c r="P502" s="1">
        <v>1279.0</v>
      </c>
      <c r="Q502" s="1">
        <v>604.0</v>
      </c>
      <c r="S502" s="1" t="s">
        <v>6663</v>
      </c>
      <c r="T502" s="1" t="s">
        <v>6664</v>
      </c>
      <c r="U502" s="1" t="s">
        <v>1174</v>
      </c>
      <c r="V502" s="1" t="s">
        <v>465</v>
      </c>
      <c r="W502" s="1">
        <v>60124.0</v>
      </c>
      <c r="Y502" s="1" t="s">
        <v>6665</v>
      </c>
      <c r="Z502" s="1">
        <v>1982.0</v>
      </c>
      <c r="AA502" s="1" t="s">
        <v>200</v>
      </c>
      <c r="AB502" s="1" t="s">
        <v>193</v>
      </c>
      <c r="AD502" s="1" t="s">
        <v>1089</v>
      </c>
      <c r="AE502" s="1" t="s">
        <v>325</v>
      </c>
      <c r="AF502" s="1" t="s">
        <v>3429</v>
      </c>
      <c r="AH502" s="1" t="s">
        <v>6666</v>
      </c>
      <c r="AK502" s="1">
        <v>7.0</v>
      </c>
      <c r="AL502" s="1">
        <v>4.0</v>
      </c>
      <c r="AM502" s="1">
        <v>2.0</v>
      </c>
      <c r="AN502" s="1">
        <v>1.0</v>
      </c>
      <c r="AO502" s="1" t="s">
        <v>198</v>
      </c>
      <c r="AP502" s="1">
        <v>1.0</v>
      </c>
      <c r="AQ502" s="1" t="s">
        <v>229</v>
      </c>
      <c r="AR502" s="1" t="s">
        <v>200</v>
      </c>
      <c r="AS502" s="1" t="s">
        <v>199</v>
      </c>
      <c r="AT502" s="1">
        <v>2.0</v>
      </c>
      <c r="AV502" s="1" t="s">
        <v>200</v>
      </c>
      <c r="AW502" s="1">
        <v>4665.24</v>
      </c>
      <c r="AX502" s="1">
        <v>2013.0</v>
      </c>
      <c r="AZ502" s="1" t="s">
        <v>200</v>
      </c>
      <c r="BA502" s="1" t="str">
        <f>"0235427006"</f>
        <v>0235427006</v>
      </c>
      <c r="BC502" s="1">
        <v>2184.0</v>
      </c>
      <c r="BD502" s="1">
        <v>175000.0</v>
      </c>
      <c r="BE502" s="2">
        <v>41970.0</v>
      </c>
      <c r="BF502" s="2" t="s">
        <v>6667</v>
      </c>
      <c r="BH502" s="1">
        <v>0.0</v>
      </c>
      <c r="BK502" s="1" t="s">
        <v>204</v>
      </c>
      <c r="BL502" s="1" t="str">
        <f t="shared" ref="BL502:BM502" si="334">""</f>
        <v/>
      </c>
      <c r="BM502" s="1" t="str">
        <f t="shared" si="334"/>
        <v/>
      </c>
      <c r="BQ502" s="1">
        <v>300.0</v>
      </c>
      <c r="BR502" s="1">
        <v>300.0</v>
      </c>
      <c r="BS502" s="1">
        <v>300.0</v>
      </c>
      <c r="BU502" s="1" t="s">
        <v>2082</v>
      </c>
      <c r="BV502" s="1" t="s">
        <v>206</v>
      </c>
      <c r="BW502" s="1" t="s">
        <v>210</v>
      </c>
      <c r="BY502" s="1" t="s">
        <v>304</v>
      </c>
      <c r="BZ502" s="1" t="s">
        <v>209</v>
      </c>
      <c r="CA502" s="1" t="s">
        <v>210</v>
      </c>
      <c r="CD502" s="1" t="s">
        <v>204</v>
      </c>
      <c r="CG502" s="1" t="s">
        <v>663</v>
      </c>
      <c r="CH502" s="1" t="s">
        <v>209</v>
      </c>
      <c r="CI502" s="1" t="s">
        <v>210</v>
      </c>
      <c r="CK502" s="1" t="s">
        <v>269</v>
      </c>
      <c r="CL502" s="1" t="s">
        <v>209</v>
      </c>
      <c r="CM502" s="1" t="s">
        <v>210</v>
      </c>
      <c r="CO502" s="1" t="s">
        <v>303</v>
      </c>
      <c r="CP502" s="1" t="s">
        <v>209</v>
      </c>
      <c r="CQ502" s="1" t="s">
        <v>207</v>
      </c>
      <c r="CS502" s="1" t="s">
        <v>2647</v>
      </c>
      <c r="CT502" s="1" t="s">
        <v>206</v>
      </c>
      <c r="CU502" s="1" t="s">
        <v>268</v>
      </c>
      <c r="CW502" s="1" t="s">
        <v>264</v>
      </c>
      <c r="CX502" s="1" t="s">
        <v>206</v>
      </c>
      <c r="CY502" s="1" t="s">
        <v>210</v>
      </c>
      <c r="DA502" s="1" t="s">
        <v>200</v>
      </c>
      <c r="DC502" s="1" t="s">
        <v>395</v>
      </c>
      <c r="DE502" s="1" t="s">
        <v>273</v>
      </c>
      <c r="DF502" s="1" t="s">
        <v>619</v>
      </c>
      <c r="DH502" s="1" t="s">
        <v>856</v>
      </c>
      <c r="DJ502" s="1" t="s">
        <v>857</v>
      </c>
      <c r="DL502" s="1" t="s">
        <v>229</v>
      </c>
      <c r="DM502" s="1" t="s">
        <v>338</v>
      </c>
      <c r="DQ502" s="1" t="s">
        <v>1557</v>
      </c>
      <c r="DR502" s="1" t="s">
        <v>229</v>
      </c>
      <c r="DV502" s="1" t="s">
        <v>232</v>
      </c>
      <c r="DW502" s="1" t="s">
        <v>964</v>
      </c>
      <c r="DX502" s="1" t="s">
        <v>234</v>
      </c>
      <c r="EC502" s="1" t="s">
        <v>237</v>
      </c>
      <c r="EM502" s="1" t="s">
        <v>238</v>
      </c>
      <c r="EQ502" s="1" t="s">
        <v>238</v>
      </c>
      <c r="EU502" s="1" t="s">
        <v>238</v>
      </c>
      <c r="EY502" s="1" t="s">
        <v>238</v>
      </c>
      <c r="FC502" s="1" t="s">
        <v>238</v>
      </c>
      <c r="FF502" s="1" t="s">
        <v>239</v>
      </c>
      <c r="FG502" s="1" t="s">
        <v>192</v>
      </c>
      <c r="FH502" s="1" t="s">
        <v>192</v>
      </c>
      <c r="FJ502" s="1" t="s">
        <v>1248</v>
      </c>
      <c r="FK502" s="1" t="s">
        <v>229</v>
      </c>
      <c r="FL502" s="1" t="s">
        <v>1855</v>
      </c>
      <c r="FM502" s="1">
        <v>41.0</v>
      </c>
      <c r="FN502" s="1" t="s">
        <v>1856</v>
      </c>
      <c r="FO502" s="1" t="s">
        <v>1857</v>
      </c>
      <c r="FP502" s="1">
        <v>8483.0</v>
      </c>
      <c r="FQ502" s="1" t="s">
        <v>1858</v>
      </c>
      <c r="FU502" s="1" t="s">
        <v>6668</v>
      </c>
      <c r="FV502" s="1" t="s">
        <v>200</v>
      </c>
      <c r="FW502" s="1" t="s">
        <v>354</v>
      </c>
      <c r="FZ502" s="1" t="s">
        <v>229</v>
      </c>
      <c r="GA502" s="1" t="s">
        <v>291</v>
      </c>
      <c r="GB502" s="2">
        <v>42087.0</v>
      </c>
      <c r="GC502" s="1" t="s">
        <v>4769</v>
      </c>
    </row>
    <row r="503">
      <c r="A503" s="1">
        <v>165000.0</v>
      </c>
      <c r="B503" s="1" t="s">
        <v>185</v>
      </c>
      <c r="C503" s="1" t="str">
        <f>"08793687"</f>
        <v>08793687</v>
      </c>
      <c r="D503" s="1" t="s">
        <v>186</v>
      </c>
      <c r="F503" s="1" t="str">
        <f t="shared" ref="F503:F504" si="336">"8070"</f>
        <v>8070</v>
      </c>
      <c r="G503" s="2">
        <v>41971.0</v>
      </c>
      <c r="H503" s="1">
        <v>172500.0</v>
      </c>
      <c r="I503" s="1">
        <v>64.0</v>
      </c>
      <c r="J503" s="1">
        <v>164900.0</v>
      </c>
      <c r="K503" s="2">
        <v>42034.0</v>
      </c>
      <c r="L503" s="1">
        <v>64.0</v>
      </c>
      <c r="M503" s="2">
        <v>42034.0</v>
      </c>
      <c r="N503" s="1" t="s">
        <v>187</v>
      </c>
      <c r="O503" s="2">
        <v>42108.0</v>
      </c>
      <c r="P503" s="1">
        <v>123579.0</v>
      </c>
      <c r="Q503" s="1">
        <v>12177.0</v>
      </c>
      <c r="S503" s="1">
        <v>4224.0</v>
      </c>
      <c r="T503" s="1" t="s">
        <v>6669</v>
      </c>
      <c r="U503" s="1" t="s">
        <v>320</v>
      </c>
      <c r="V503" s="1" t="s">
        <v>190</v>
      </c>
      <c r="W503" s="1">
        <v>60652.0</v>
      </c>
      <c r="Y503" s="1" t="s">
        <v>6670</v>
      </c>
      <c r="Z503" s="1">
        <v>1958.0</v>
      </c>
      <c r="AA503" s="1" t="s">
        <v>192</v>
      </c>
      <c r="AB503" s="1" t="s">
        <v>193</v>
      </c>
      <c r="AD503" s="1" t="s">
        <v>194</v>
      </c>
      <c r="AE503" s="1" t="s">
        <v>195</v>
      </c>
      <c r="AF503" s="1" t="s">
        <v>659</v>
      </c>
      <c r="AH503" s="1">
        <v>5230.0</v>
      </c>
      <c r="AI503" s="1">
        <v>0.1201</v>
      </c>
      <c r="AK503" s="1">
        <v>7.0</v>
      </c>
      <c r="AL503" s="1">
        <v>4.0</v>
      </c>
      <c r="AM503" s="1">
        <v>3.0</v>
      </c>
      <c r="AN503" s="1">
        <v>0.0</v>
      </c>
      <c r="AO503" s="1" t="s">
        <v>229</v>
      </c>
      <c r="AQ503" s="1" t="s">
        <v>198</v>
      </c>
      <c r="AR503" s="1" t="s">
        <v>192</v>
      </c>
      <c r="AS503" s="1" t="s">
        <v>199</v>
      </c>
      <c r="AT503" s="1">
        <v>2.0</v>
      </c>
      <c r="AV503" s="1" t="s">
        <v>200</v>
      </c>
      <c r="AW503" s="1">
        <v>3121.05</v>
      </c>
      <c r="AX503" s="1">
        <v>2013.0</v>
      </c>
      <c r="AZ503" s="1" t="s">
        <v>200</v>
      </c>
      <c r="BA503" s="1" t="str">
        <f>"19274080540000"</f>
        <v>19274080540000</v>
      </c>
      <c r="BB503" s="1" t="s">
        <v>200</v>
      </c>
      <c r="BC503" s="1">
        <v>2145.0</v>
      </c>
      <c r="BD503" s="1">
        <v>165000.0</v>
      </c>
      <c r="BE503" s="2">
        <v>41971.0</v>
      </c>
      <c r="BF503" s="2" t="s">
        <v>6671</v>
      </c>
      <c r="BH503" s="1">
        <v>0.0</v>
      </c>
      <c r="BK503" s="1" t="s">
        <v>204</v>
      </c>
      <c r="BL503" s="1" t="str">
        <f t="shared" ref="BL503:BM503" si="335">"0"</f>
        <v>0</v>
      </c>
      <c r="BM503" s="1" t="str">
        <f t="shared" si="335"/>
        <v>0</v>
      </c>
      <c r="BN503" s="1">
        <v>4224.0</v>
      </c>
      <c r="BO503" s="1">
        <v>7800.0</v>
      </c>
      <c r="BQ503" s="1">
        <v>299.0</v>
      </c>
      <c r="BR503" s="1">
        <v>299.0</v>
      </c>
      <c r="BS503" s="1">
        <v>299.0</v>
      </c>
      <c r="BU503" s="1" t="s">
        <v>434</v>
      </c>
      <c r="BV503" s="1" t="s">
        <v>206</v>
      </c>
      <c r="BY503" s="1" t="s">
        <v>215</v>
      </c>
      <c r="BZ503" s="1" t="s">
        <v>206</v>
      </c>
      <c r="CD503" s="1" t="s">
        <v>204</v>
      </c>
      <c r="CG503" s="1" t="s">
        <v>363</v>
      </c>
      <c r="CH503" s="1" t="s">
        <v>206</v>
      </c>
      <c r="CK503" s="1" t="s">
        <v>584</v>
      </c>
      <c r="CL503" s="1" t="s">
        <v>209</v>
      </c>
      <c r="CO503" s="1" t="s">
        <v>215</v>
      </c>
      <c r="CP503" s="1" t="s">
        <v>209</v>
      </c>
      <c r="CS503" s="1" t="s">
        <v>1426</v>
      </c>
      <c r="CT503" s="1" t="s">
        <v>206</v>
      </c>
      <c r="CW503" s="1" t="s">
        <v>6672</v>
      </c>
      <c r="CX503" s="1" t="s">
        <v>42</v>
      </c>
      <c r="DA503" s="1" t="s">
        <v>200</v>
      </c>
      <c r="DC503" s="1" t="s">
        <v>271</v>
      </c>
      <c r="DE503" s="1" t="s">
        <v>273</v>
      </c>
      <c r="DF503" s="1" t="s">
        <v>219</v>
      </c>
      <c r="DG503" s="1" t="s">
        <v>2237</v>
      </c>
      <c r="DH503" s="1" t="s">
        <v>220</v>
      </c>
      <c r="DJ503" s="1" t="s">
        <v>222</v>
      </c>
      <c r="DL503" s="1" t="s">
        <v>858</v>
      </c>
      <c r="DM503" s="1" t="s">
        <v>229</v>
      </c>
      <c r="DO503" s="1" t="s">
        <v>549</v>
      </c>
      <c r="DQ503" s="1" t="s">
        <v>228</v>
      </c>
      <c r="DR503" s="1" t="s">
        <v>229</v>
      </c>
      <c r="DS503" s="1" t="s">
        <v>401</v>
      </c>
      <c r="DV503" s="1" t="s">
        <v>232</v>
      </c>
      <c r="DW503" s="1" t="s">
        <v>934</v>
      </c>
      <c r="DX503" s="1" t="s">
        <v>234</v>
      </c>
      <c r="EA503" s="1" t="s">
        <v>344</v>
      </c>
      <c r="EC503" s="1" t="s">
        <v>237</v>
      </c>
      <c r="ED503" s="1" t="s">
        <v>407</v>
      </c>
      <c r="EM503" s="1" t="s">
        <v>238</v>
      </c>
      <c r="EQ503" s="1" t="s">
        <v>238</v>
      </c>
      <c r="EU503" s="1" t="s">
        <v>238</v>
      </c>
      <c r="EY503" s="1" t="s">
        <v>238</v>
      </c>
      <c r="FC503" s="1" t="s">
        <v>238</v>
      </c>
      <c r="FF503" s="1" t="s">
        <v>239</v>
      </c>
      <c r="FG503" s="1" t="s">
        <v>192</v>
      </c>
      <c r="FH503" s="1" t="s">
        <v>192</v>
      </c>
      <c r="FJ503" s="1" t="s">
        <v>524</v>
      </c>
      <c r="FK503" s="1" t="s">
        <v>229</v>
      </c>
      <c r="FL503" s="1" t="s">
        <v>6673</v>
      </c>
      <c r="FM503" s="1">
        <v>84089.0</v>
      </c>
      <c r="FN503" s="1" t="s">
        <v>6674</v>
      </c>
      <c r="FO503" s="1" t="s">
        <v>6675</v>
      </c>
      <c r="FP503" s="1">
        <v>110193.0</v>
      </c>
      <c r="FQ503" s="1" t="s">
        <v>6676</v>
      </c>
      <c r="FT503" s="1" t="s">
        <v>6677</v>
      </c>
      <c r="FU503" s="1" t="s">
        <v>6678</v>
      </c>
      <c r="FV503" s="1" t="s">
        <v>200</v>
      </c>
      <c r="FW503" s="1" t="s">
        <v>290</v>
      </c>
      <c r="FX503" s="1" t="s">
        <v>246</v>
      </c>
      <c r="FZ503" s="1" t="s">
        <v>229</v>
      </c>
      <c r="GA503" s="1" t="s">
        <v>291</v>
      </c>
      <c r="GB503" s="2">
        <v>42114.0</v>
      </c>
      <c r="GC503" s="1" t="s">
        <v>6679</v>
      </c>
    </row>
    <row r="504">
      <c r="A504" s="1">
        <v>100500.0</v>
      </c>
      <c r="B504" s="1" t="s">
        <v>185</v>
      </c>
      <c r="C504" s="1" t="str">
        <f>"08797208"</f>
        <v>08797208</v>
      </c>
      <c r="D504" s="1" t="s">
        <v>186</v>
      </c>
      <c r="F504" s="1" t="str">
        <f t="shared" si="336"/>
        <v>8070</v>
      </c>
      <c r="G504" s="2">
        <v>41977.0</v>
      </c>
      <c r="H504" s="1">
        <v>100500.0</v>
      </c>
      <c r="I504" s="1">
        <v>50.0</v>
      </c>
      <c r="J504" s="1">
        <v>100500.0</v>
      </c>
      <c r="K504" s="2">
        <v>42025.0</v>
      </c>
      <c r="L504" s="1">
        <v>50.0</v>
      </c>
      <c r="M504" s="2">
        <v>42025.0</v>
      </c>
      <c r="N504" s="1" t="s">
        <v>249</v>
      </c>
      <c r="O504" s="2">
        <v>42045.0</v>
      </c>
      <c r="P504" s="1">
        <v>189258.0</v>
      </c>
      <c r="Q504" s="1">
        <v>85043.0</v>
      </c>
      <c r="S504" s="1">
        <v>8027.0</v>
      </c>
      <c r="T504" s="1" t="s">
        <v>2032</v>
      </c>
      <c r="U504" s="1" t="s">
        <v>189</v>
      </c>
      <c r="V504" s="1" t="s">
        <v>190</v>
      </c>
      <c r="W504" s="1">
        <v>60652.0</v>
      </c>
      <c r="X504" s="1">
        <v>2726.0</v>
      </c>
      <c r="Y504" s="1" t="s">
        <v>6680</v>
      </c>
      <c r="Z504" s="1">
        <v>1950.0</v>
      </c>
      <c r="AA504" s="1" t="s">
        <v>192</v>
      </c>
      <c r="AB504" s="1" t="s">
        <v>193</v>
      </c>
      <c r="AD504" s="1" t="s">
        <v>194</v>
      </c>
      <c r="AE504" s="1" t="s">
        <v>195</v>
      </c>
      <c r="AF504" s="1" t="s">
        <v>659</v>
      </c>
      <c r="AH504" s="1" t="s">
        <v>1393</v>
      </c>
      <c r="AI504" s="1">
        <v>0.0868</v>
      </c>
      <c r="AK504" s="1">
        <v>9.0</v>
      </c>
      <c r="AL504" s="1">
        <v>3.0</v>
      </c>
      <c r="AM504" s="1">
        <v>2.0</v>
      </c>
      <c r="AN504" s="1">
        <v>0.0</v>
      </c>
      <c r="AO504" s="1" t="s">
        <v>229</v>
      </c>
      <c r="AQ504" s="1" t="s">
        <v>198</v>
      </c>
      <c r="AR504" s="1" t="s">
        <v>192</v>
      </c>
      <c r="AS504" s="1" t="s">
        <v>199</v>
      </c>
      <c r="AT504" s="1">
        <v>2.0</v>
      </c>
      <c r="AV504" s="1" t="s">
        <v>200</v>
      </c>
      <c r="AW504" s="1">
        <v>1705.21</v>
      </c>
      <c r="AX504" s="1">
        <v>2013.0</v>
      </c>
      <c r="AY504" s="1" t="s">
        <v>387</v>
      </c>
      <c r="AZ504" s="1" t="s">
        <v>200</v>
      </c>
      <c r="BA504" s="1" t="str">
        <f>"19361140090000"</f>
        <v>19361140090000</v>
      </c>
      <c r="BB504" s="1" t="s">
        <v>200</v>
      </c>
      <c r="BC504" s="1">
        <v>1171.0</v>
      </c>
      <c r="BD504" s="1">
        <v>100500.0</v>
      </c>
      <c r="BE504" s="2">
        <v>41976.0</v>
      </c>
      <c r="BF504" s="2" t="s">
        <v>6681</v>
      </c>
      <c r="BH504" s="1">
        <v>0.0</v>
      </c>
      <c r="BK504" s="1" t="s">
        <v>204</v>
      </c>
      <c r="BL504" s="1" t="str">
        <f t="shared" ref="BL504:BM504" si="337">"0"</f>
        <v>0</v>
      </c>
      <c r="BM504" s="1" t="str">
        <f t="shared" si="337"/>
        <v>0</v>
      </c>
      <c r="BN504" s="1">
        <v>3.0</v>
      </c>
      <c r="BO504" s="1">
        <v>9.0</v>
      </c>
      <c r="BQ504" s="1">
        <v>299.0</v>
      </c>
      <c r="BR504" s="1">
        <v>299.0</v>
      </c>
      <c r="BS504" s="1">
        <v>299.0</v>
      </c>
      <c r="BU504" s="1" t="s">
        <v>1183</v>
      </c>
      <c r="BV504" s="1" t="s">
        <v>206</v>
      </c>
      <c r="BW504" s="1" t="s">
        <v>207</v>
      </c>
      <c r="BY504" s="1" t="s">
        <v>363</v>
      </c>
      <c r="BZ504" s="1" t="s">
        <v>206</v>
      </c>
      <c r="CA504" s="1" t="s">
        <v>207</v>
      </c>
      <c r="CC504" s="1" t="s">
        <v>663</v>
      </c>
      <c r="CD504" s="1" t="s">
        <v>206</v>
      </c>
      <c r="CE504" s="1" t="s">
        <v>207</v>
      </c>
      <c r="CG504" s="1" t="s">
        <v>302</v>
      </c>
      <c r="CH504" s="1" t="s">
        <v>206</v>
      </c>
      <c r="CI504" s="1" t="s">
        <v>207</v>
      </c>
      <c r="CK504" s="1" t="s">
        <v>699</v>
      </c>
      <c r="CL504" s="1" t="s">
        <v>206</v>
      </c>
      <c r="CM504" s="1" t="s">
        <v>207</v>
      </c>
      <c r="CO504" s="1" t="s">
        <v>1417</v>
      </c>
      <c r="CP504" s="1" t="s">
        <v>42</v>
      </c>
      <c r="CQ504" s="1" t="s">
        <v>210</v>
      </c>
      <c r="CS504" s="1" t="s">
        <v>1329</v>
      </c>
      <c r="CT504" s="1" t="s">
        <v>206</v>
      </c>
      <c r="CU504" s="1" t="s">
        <v>617</v>
      </c>
      <c r="CW504" s="1" t="s">
        <v>6682</v>
      </c>
      <c r="CX504" s="1" t="s">
        <v>42</v>
      </c>
      <c r="CY504" s="1" t="s">
        <v>268</v>
      </c>
      <c r="DA504" s="1" t="s">
        <v>200</v>
      </c>
      <c r="DC504" s="1" t="s">
        <v>702</v>
      </c>
      <c r="DD504" s="1" t="s">
        <v>518</v>
      </c>
      <c r="DE504" s="1" t="s">
        <v>229</v>
      </c>
      <c r="DF504" s="1" t="s">
        <v>219</v>
      </c>
      <c r="DG504" s="1" t="s">
        <v>337</v>
      </c>
      <c r="DH504" s="1" t="s">
        <v>307</v>
      </c>
      <c r="DJ504" s="1" t="s">
        <v>222</v>
      </c>
      <c r="DL504" s="1" t="s">
        <v>224</v>
      </c>
      <c r="DM504" s="1" t="s">
        <v>1402</v>
      </c>
      <c r="DO504" s="1" t="s">
        <v>549</v>
      </c>
      <c r="DP504" s="1" t="s">
        <v>276</v>
      </c>
      <c r="DQ504" s="1" t="s">
        <v>228</v>
      </c>
      <c r="DR504" s="1" t="s">
        <v>229</v>
      </c>
      <c r="DS504" s="1" t="s">
        <v>401</v>
      </c>
      <c r="DU504" s="1" t="s">
        <v>1840</v>
      </c>
      <c r="DV504" s="1" t="s">
        <v>494</v>
      </c>
      <c r="DW504" s="1" t="s">
        <v>279</v>
      </c>
      <c r="DX504" s="1" t="s">
        <v>234</v>
      </c>
      <c r="DY504" s="1" t="s">
        <v>553</v>
      </c>
      <c r="DZ504" s="1" t="s">
        <v>282</v>
      </c>
      <c r="EA504" s="1" t="s">
        <v>644</v>
      </c>
      <c r="EC504" s="1" t="s">
        <v>685</v>
      </c>
      <c r="EG504" s="1" t="s">
        <v>494</v>
      </c>
      <c r="EL504" s="1" t="s">
        <v>300</v>
      </c>
      <c r="EM504" s="1" t="s">
        <v>42</v>
      </c>
      <c r="EN504" s="1" t="s">
        <v>210</v>
      </c>
      <c r="EQ504" s="1" t="s">
        <v>238</v>
      </c>
      <c r="EU504" s="1" t="s">
        <v>238</v>
      </c>
      <c r="EY504" s="1" t="s">
        <v>238</v>
      </c>
      <c r="FC504" s="1" t="s">
        <v>238</v>
      </c>
      <c r="FF504" s="1" t="s">
        <v>239</v>
      </c>
      <c r="FG504" s="1" t="s">
        <v>192</v>
      </c>
      <c r="FH504" s="1" t="s">
        <v>192</v>
      </c>
      <c r="FJ504" s="1" t="s">
        <v>347</v>
      </c>
      <c r="FK504" s="1" t="s">
        <v>229</v>
      </c>
      <c r="FL504" s="1" t="s">
        <v>4260</v>
      </c>
      <c r="FM504" s="1">
        <v>40335.0</v>
      </c>
      <c r="FN504" s="1" t="s">
        <v>4261</v>
      </c>
      <c r="FO504" s="1" t="s">
        <v>4262</v>
      </c>
      <c r="FP504" s="1">
        <v>401613.0</v>
      </c>
      <c r="FQ504" s="1" t="s">
        <v>4261</v>
      </c>
      <c r="FR504" s="1">
        <v>408023.0</v>
      </c>
      <c r="FU504" s="1" t="s">
        <v>6683</v>
      </c>
      <c r="FV504" s="1" t="s">
        <v>200</v>
      </c>
      <c r="FW504" s="1" t="s">
        <v>354</v>
      </c>
      <c r="FX504" s="1" t="s">
        <v>655</v>
      </c>
      <c r="FZ504" s="1" t="s">
        <v>229</v>
      </c>
      <c r="GA504" s="1" t="s">
        <v>291</v>
      </c>
      <c r="GB504" s="2">
        <v>42045.0</v>
      </c>
      <c r="GC504" s="1" t="s">
        <v>6684</v>
      </c>
    </row>
    <row r="505">
      <c r="A505" s="1">
        <v>224000.0</v>
      </c>
      <c r="B505" s="1" t="s">
        <v>185</v>
      </c>
      <c r="C505" s="1" t="str">
        <f>"08793080"</f>
        <v>08793080</v>
      </c>
      <c r="D505" s="1" t="s">
        <v>186</v>
      </c>
      <c r="F505" s="1" t="str">
        <f>"560"</f>
        <v>560</v>
      </c>
      <c r="G505" s="2">
        <v>41969.0</v>
      </c>
      <c r="H505" s="1">
        <v>229900.0</v>
      </c>
      <c r="I505" s="1">
        <v>570.0</v>
      </c>
      <c r="J505" s="1">
        <v>229900.0</v>
      </c>
      <c r="K505" s="2">
        <v>41977.0</v>
      </c>
      <c r="L505" s="1">
        <v>9.0</v>
      </c>
      <c r="M505" s="2">
        <v>41977.0</v>
      </c>
      <c r="N505" s="1" t="s">
        <v>356</v>
      </c>
      <c r="O505" s="2">
        <v>42013.0</v>
      </c>
      <c r="P505" s="1">
        <v>214136.0</v>
      </c>
      <c r="Q505" s="1">
        <v>25816.0</v>
      </c>
      <c r="R505" s="1">
        <v>4000.0</v>
      </c>
      <c r="S505" s="1">
        <v>1638.0</v>
      </c>
      <c r="T505" s="1" t="s">
        <v>6685</v>
      </c>
      <c r="U505" s="1" t="s">
        <v>569</v>
      </c>
      <c r="V505" s="1" t="s">
        <v>845</v>
      </c>
      <c r="W505" s="1">
        <v>60560.0</v>
      </c>
      <c r="Y505" s="1" t="s">
        <v>6686</v>
      </c>
      <c r="Z505" s="1">
        <v>2012.0</v>
      </c>
      <c r="AA505" s="1" t="s">
        <v>200</v>
      </c>
      <c r="AB505" s="1" t="s">
        <v>467</v>
      </c>
      <c r="AD505" s="1" t="s">
        <v>848</v>
      </c>
      <c r="AE505" s="1" t="s">
        <v>849</v>
      </c>
      <c r="AF505" s="1" t="s">
        <v>1312</v>
      </c>
      <c r="AH505" s="1" t="s">
        <v>6687</v>
      </c>
      <c r="AI505" s="1">
        <v>0.3038</v>
      </c>
      <c r="AK505" s="1">
        <v>9.0</v>
      </c>
      <c r="AL505" s="1">
        <v>4.0</v>
      </c>
      <c r="AM505" s="1">
        <v>2.0</v>
      </c>
      <c r="AN505" s="1">
        <v>1.0</v>
      </c>
      <c r="AO505" s="1" t="s">
        <v>198</v>
      </c>
      <c r="AP505" s="1">
        <v>1.0</v>
      </c>
      <c r="AQ505" s="1" t="s">
        <v>198</v>
      </c>
      <c r="AR505" s="1" t="s">
        <v>200</v>
      </c>
      <c r="AS505" s="1" t="s">
        <v>199</v>
      </c>
      <c r="AT505" s="1">
        <v>2.0</v>
      </c>
      <c r="AV505" s="1" t="s">
        <v>200</v>
      </c>
      <c r="AW505" s="1">
        <v>9345.0</v>
      </c>
      <c r="AX505" s="1">
        <v>2013.0</v>
      </c>
      <c r="AZ505" s="1" t="s">
        <v>192</v>
      </c>
      <c r="BA505" s="1" t="str">
        <f>"0222481019"</f>
        <v>0222481019</v>
      </c>
      <c r="BB505" s="1" t="s">
        <v>200</v>
      </c>
      <c r="BC505" s="1">
        <v>2464.0</v>
      </c>
      <c r="BD505" s="1">
        <v>224000.0</v>
      </c>
      <c r="BE505" s="2">
        <v>41969.0</v>
      </c>
      <c r="BF505" s="2" t="s">
        <v>6688</v>
      </c>
      <c r="BH505" s="1">
        <v>27.0</v>
      </c>
      <c r="BK505" s="1" t="s">
        <v>474</v>
      </c>
      <c r="BL505" s="1" t="str">
        <f t="shared" ref="BL505:BM505" si="338">""</f>
        <v/>
      </c>
      <c r="BM505" s="1" t="str">
        <f t="shared" si="338"/>
        <v/>
      </c>
      <c r="BQ505" s="1">
        <v>115.0</v>
      </c>
      <c r="BR505" s="1">
        <v>115.0</v>
      </c>
      <c r="BS505" s="1">
        <v>115.0</v>
      </c>
      <c r="BU505" s="1" t="s">
        <v>495</v>
      </c>
      <c r="BV505" s="1" t="s">
        <v>206</v>
      </c>
      <c r="BW505" s="1" t="s">
        <v>207</v>
      </c>
      <c r="BY505" s="1" t="s">
        <v>924</v>
      </c>
      <c r="BZ505" s="1" t="s">
        <v>209</v>
      </c>
      <c r="CA505" s="1" t="s">
        <v>210</v>
      </c>
      <c r="CC505" s="1" t="s">
        <v>495</v>
      </c>
      <c r="CD505" s="1" t="s">
        <v>206</v>
      </c>
      <c r="CE505" s="1" t="s">
        <v>207</v>
      </c>
      <c r="CG505" s="1" t="s">
        <v>264</v>
      </c>
      <c r="CH505" s="1" t="s">
        <v>209</v>
      </c>
      <c r="CI505" s="1" t="s">
        <v>210</v>
      </c>
      <c r="CK505" s="1" t="s">
        <v>332</v>
      </c>
      <c r="CL505" s="1" t="s">
        <v>209</v>
      </c>
      <c r="CM505" s="1" t="s">
        <v>210</v>
      </c>
      <c r="CO505" s="1" t="s">
        <v>699</v>
      </c>
      <c r="CP505" s="1" t="s">
        <v>209</v>
      </c>
      <c r="CQ505" s="1" t="s">
        <v>210</v>
      </c>
      <c r="CS505" s="1" t="s">
        <v>616</v>
      </c>
      <c r="CT505" s="1" t="s">
        <v>206</v>
      </c>
      <c r="CU505" s="1" t="s">
        <v>207</v>
      </c>
      <c r="CV505" s="1" t="s">
        <v>229</v>
      </c>
      <c r="CW505" s="1" t="s">
        <v>390</v>
      </c>
      <c r="CX505" s="1" t="s">
        <v>206</v>
      </c>
      <c r="CY505" s="1" t="s">
        <v>207</v>
      </c>
      <c r="DA505" s="1" t="s">
        <v>200</v>
      </c>
      <c r="DC505" s="1" t="s">
        <v>1046</v>
      </c>
      <c r="DD505" s="1" t="s">
        <v>336</v>
      </c>
      <c r="DE505" s="1" t="s">
        <v>273</v>
      </c>
      <c r="DF505" s="1" t="s">
        <v>219</v>
      </c>
      <c r="DH505" s="1" t="s">
        <v>220</v>
      </c>
      <c r="DI505" s="1" t="s">
        <v>1141</v>
      </c>
      <c r="DJ505" s="1" t="s">
        <v>222</v>
      </c>
      <c r="DK505" s="1" t="s">
        <v>1301</v>
      </c>
      <c r="DL505" s="1" t="s">
        <v>484</v>
      </c>
      <c r="DM505" s="1" t="s">
        <v>338</v>
      </c>
      <c r="DN505" s="1" t="s">
        <v>485</v>
      </c>
      <c r="DP505" s="1" t="s">
        <v>276</v>
      </c>
      <c r="DQ505" s="1" t="s">
        <v>228</v>
      </c>
      <c r="DR505" s="1" t="s">
        <v>1487</v>
      </c>
      <c r="DS505" s="1" t="s">
        <v>368</v>
      </c>
      <c r="DV505" s="1" t="s">
        <v>598</v>
      </c>
      <c r="DW505" s="1" t="s">
        <v>444</v>
      </c>
      <c r="DX505" s="1" t="s">
        <v>234</v>
      </c>
      <c r="DY505" s="1" t="s">
        <v>490</v>
      </c>
      <c r="EB505" s="1" t="s">
        <v>684</v>
      </c>
      <c r="EC505" s="1" t="s">
        <v>237</v>
      </c>
      <c r="ED505" s="1" t="s">
        <v>407</v>
      </c>
      <c r="EG505" s="1" t="s">
        <v>598</v>
      </c>
      <c r="EL505" s="1" t="s">
        <v>1352</v>
      </c>
      <c r="EM505" s="1" t="s">
        <v>206</v>
      </c>
      <c r="EN505" s="1" t="s">
        <v>210</v>
      </c>
      <c r="EQ505" s="1" t="s">
        <v>238</v>
      </c>
      <c r="EU505" s="1" t="s">
        <v>238</v>
      </c>
      <c r="EY505" s="1" t="s">
        <v>238</v>
      </c>
      <c r="FC505" s="1" t="s">
        <v>238</v>
      </c>
      <c r="FF505" s="1" t="s">
        <v>239</v>
      </c>
      <c r="FG505" s="1" t="s">
        <v>192</v>
      </c>
      <c r="FH505" s="1" t="s">
        <v>192</v>
      </c>
      <c r="FJ505" s="1" t="s">
        <v>3514</v>
      </c>
      <c r="FK505" s="1" t="s">
        <v>229</v>
      </c>
      <c r="FL505" s="1" t="s">
        <v>6689</v>
      </c>
      <c r="FM505" s="1">
        <v>74002.0</v>
      </c>
      <c r="FN505" s="1" t="s">
        <v>6690</v>
      </c>
      <c r="FO505" s="1" t="s">
        <v>6691</v>
      </c>
      <c r="FP505" s="1">
        <v>702404.0</v>
      </c>
      <c r="FQ505" s="1" t="s">
        <v>6690</v>
      </c>
      <c r="FR505" s="1">
        <v>701227.0</v>
      </c>
      <c r="FU505" s="1" t="s">
        <v>6692</v>
      </c>
      <c r="FV505" s="1" t="s">
        <v>192</v>
      </c>
      <c r="FW505" s="1" t="s">
        <v>461</v>
      </c>
      <c r="FZ505" s="1" t="s">
        <v>229</v>
      </c>
      <c r="GA505" s="1" t="s">
        <v>291</v>
      </c>
      <c r="GB505" s="2">
        <v>42014.0</v>
      </c>
      <c r="GC505" s="1" t="s">
        <v>6693</v>
      </c>
    </row>
    <row r="506">
      <c r="A506" s="1">
        <v>999000.0</v>
      </c>
      <c r="B506" s="1" t="s">
        <v>185</v>
      </c>
      <c r="C506" s="1" t="str">
        <f>"08794648"</f>
        <v>08794648</v>
      </c>
      <c r="D506" s="1" t="s">
        <v>186</v>
      </c>
      <c r="F506" s="1" t="str">
        <f>"8006"</f>
        <v>8006</v>
      </c>
      <c r="G506" s="2">
        <v>41974.0</v>
      </c>
      <c r="H506" s="1">
        <v>999000.0</v>
      </c>
      <c r="I506" s="1">
        <v>235.0</v>
      </c>
      <c r="J506" s="1">
        <v>999000.0</v>
      </c>
      <c r="K506" s="2">
        <v>41977.0</v>
      </c>
      <c r="L506" s="1">
        <v>4.0</v>
      </c>
      <c r="M506" s="2">
        <v>41977.0</v>
      </c>
      <c r="N506" s="1" t="s">
        <v>187</v>
      </c>
      <c r="O506" s="2">
        <v>42024.0</v>
      </c>
      <c r="P506" s="1">
        <v>125360.0</v>
      </c>
      <c r="Q506" s="1">
        <v>14470.0</v>
      </c>
      <c r="S506" s="1">
        <v>1410.0</v>
      </c>
      <c r="T506" s="1" t="s">
        <v>4400</v>
      </c>
      <c r="U506" s="1" t="s">
        <v>189</v>
      </c>
      <c r="V506" s="1" t="s">
        <v>190</v>
      </c>
      <c r="W506" s="1">
        <v>60613.0</v>
      </c>
      <c r="Y506" s="1" t="s">
        <v>6694</v>
      </c>
      <c r="Z506" s="1" t="s">
        <v>296</v>
      </c>
      <c r="AA506" s="1" t="s">
        <v>200</v>
      </c>
      <c r="AB506" s="1" t="s">
        <v>193</v>
      </c>
      <c r="AC506" s="1" t="s">
        <v>6695</v>
      </c>
      <c r="AD506" s="1" t="s">
        <v>194</v>
      </c>
      <c r="AE506" s="1" t="s">
        <v>195</v>
      </c>
      <c r="AF506" s="1" t="s">
        <v>2645</v>
      </c>
      <c r="AH506" s="1" t="s">
        <v>6696</v>
      </c>
      <c r="AK506" s="1">
        <v>9.0</v>
      </c>
      <c r="AL506" s="1">
        <v>3.0</v>
      </c>
      <c r="AM506" s="1">
        <v>3.0</v>
      </c>
      <c r="AN506" s="1">
        <v>1.0</v>
      </c>
      <c r="AO506" s="1" t="s">
        <v>198</v>
      </c>
      <c r="AP506" s="1">
        <v>1.0</v>
      </c>
      <c r="AQ506" s="1" t="s">
        <v>198</v>
      </c>
      <c r="AR506" s="1" t="s">
        <v>200</v>
      </c>
      <c r="AS506" s="1" t="s">
        <v>199</v>
      </c>
      <c r="AT506" s="1">
        <v>2.0</v>
      </c>
      <c r="AV506" s="1" t="s">
        <v>200</v>
      </c>
      <c r="AW506" s="1">
        <v>15529.26</v>
      </c>
      <c r="AX506" s="1">
        <v>2013.0</v>
      </c>
      <c r="AY506" s="1" t="s">
        <v>387</v>
      </c>
      <c r="AZ506" s="1" t="s">
        <v>200</v>
      </c>
      <c r="BA506" s="1" t="str">
        <f>"14173100430000"</f>
        <v>14173100430000</v>
      </c>
      <c r="BC506" s="1">
        <v>2850.0</v>
      </c>
      <c r="BD506" s="1">
        <v>999000.0</v>
      </c>
      <c r="BE506" s="2">
        <v>41974.0</v>
      </c>
      <c r="BF506" s="2" t="s">
        <v>6697</v>
      </c>
      <c r="BH506" s="1">
        <v>0.0</v>
      </c>
      <c r="BK506" s="1" t="s">
        <v>204</v>
      </c>
      <c r="BL506" s="1" t="str">
        <f>"4100"</f>
        <v>4100</v>
      </c>
      <c r="BM506" s="1" t="str">
        <f t="shared" ref="BM506:BM507" si="339">"0"</f>
        <v>0</v>
      </c>
      <c r="BN506" s="1">
        <v>1410.0</v>
      </c>
      <c r="BO506" s="1">
        <v>0.0</v>
      </c>
      <c r="BQ506" s="1">
        <v>299.0</v>
      </c>
      <c r="BR506" s="1">
        <v>299.0</v>
      </c>
      <c r="BS506" s="1">
        <v>299.0</v>
      </c>
      <c r="BU506" s="1" t="s">
        <v>479</v>
      </c>
      <c r="BV506" s="1" t="s">
        <v>206</v>
      </c>
      <c r="BY506" s="1" t="s">
        <v>479</v>
      </c>
      <c r="BZ506" s="1" t="s">
        <v>209</v>
      </c>
      <c r="CC506" s="1" t="s">
        <v>4180</v>
      </c>
      <c r="CD506" s="1" t="s">
        <v>206</v>
      </c>
      <c r="CG506" s="1" t="s">
        <v>495</v>
      </c>
      <c r="CH506" s="1" t="s">
        <v>209</v>
      </c>
      <c r="CK506" s="1" t="s">
        <v>264</v>
      </c>
      <c r="CL506" s="1" t="s">
        <v>209</v>
      </c>
      <c r="CO506" s="1" t="s">
        <v>213</v>
      </c>
      <c r="CP506" s="1" t="s">
        <v>42</v>
      </c>
      <c r="CS506" s="1" t="s">
        <v>730</v>
      </c>
      <c r="CT506" s="1" t="s">
        <v>206</v>
      </c>
      <c r="CW506" s="1" t="s">
        <v>208</v>
      </c>
      <c r="CX506" s="1" t="s">
        <v>206</v>
      </c>
      <c r="DA506" s="1" t="s">
        <v>200</v>
      </c>
      <c r="DC506" s="1" t="s">
        <v>545</v>
      </c>
      <c r="DD506" s="1" t="s">
        <v>1838</v>
      </c>
      <c r="DE506" s="1" t="s">
        <v>218</v>
      </c>
      <c r="DF506" s="1" t="s">
        <v>1718</v>
      </c>
      <c r="DH506" s="1" t="s">
        <v>365</v>
      </c>
      <c r="DI506" s="1" t="s">
        <v>6698</v>
      </c>
      <c r="DJ506" s="1" t="s">
        <v>6699</v>
      </c>
      <c r="DL506" s="1" t="s">
        <v>1161</v>
      </c>
      <c r="DM506" s="1" t="s">
        <v>229</v>
      </c>
      <c r="DN506" s="1" t="s">
        <v>2873</v>
      </c>
      <c r="DP506" s="1" t="s">
        <v>276</v>
      </c>
      <c r="DQ506" s="1" t="s">
        <v>718</v>
      </c>
      <c r="DR506" s="1" t="s">
        <v>229</v>
      </c>
      <c r="DS506" s="1" t="s">
        <v>591</v>
      </c>
      <c r="DU506" s="1" t="s">
        <v>6700</v>
      </c>
      <c r="DV506" s="1" t="s">
        <v>6701</v>
      </c>
      <c r="DW506" s="1" t="s">
        <v>3876</v>
      </c>
      <c r="DX506" s="1" t="s">
        <v>234</v>
      </c>
      <c r="DY506" s="1" t="s">
        <v>6702</v>
      </c>
      <c r="DZ506" s="1" t="s">
        <v>5293</v>
      </c>
      <c r="EA506" s="1" t="s">
        <v>5127</v>
      </c>
      <c r="EB506" s="1" t="s">
        <v>684</v>
      </c>
      <c r="EC506" s="1" t="s">
        <v>237</v>
      </c>
      <c r="EG506" s="1" t="s">
        <v>450</v>
      </c>
      <c r="EI506" s="1" t="s">
        <v>588</v>
      </c>
      <c r="EL506" s="1" t="s">
        <v>1206</v>
      </c>
      <c r="EM506" s="1" t="s">
        <v>42</v>
      </c>
      <c r="EQ506" s="1" t="s">
        <v>238</v>
      </c>
      <c r="ET506" s="1" t="s">
        <v>1158</v>
      </c>
      <c r="EU506" s="1" t="s">
        <v>42</v>
      </c>
      <c r="EY506" s="1" t="s">
        <v>238</v>
      </c>
      <c r="FC506" s="1" t="s">
        <v>238</v>
      </c>
      <c r="FF506" s="1" t="s">
        <v>239</v>
      </c>
      <c r="FG506" s="1" t="s">
        <v>192</v>
      </c>
      <c r="FH506" s="1" t="s">
        <v>192</v>
      </c>
      <c r="FJ506" s="1" t="s">
        <v>2285</v>
      </c>
      <c r="FK506" s="1" t="s">
        <v>1586</v>
      </c>
      <c r="FL506" s="1" t="s">
        <v>1358</v>
      </c>
      <c r="FM506" s="1">
        <v>10272.0</v>
      </c>
      <c r="FN506" s="1" t="s">
        <v>3233</v>
      </c>
      <c r="FO506" s="1" t="s">
        <v>6703</v>
      </c>
      <c r="FP506" s="1">
        <v>123828.0</v>
      </c>
      <c r="FQ506" s="1" t="s">
        <v>6704</v>
      </c>
      <c r="FU506" s="1" t="s">
        <v>6705</v>
      </c>
      <c r="FV506" s="1" t="s">
        <v>200</v>
      </c>
      <c r="FW506" s="1" t="s">
        <v>631</v>
      </c>
      <c r="FX506" s="1" t="s">
        <v>246</v>
      </c>
      <c r="FZ506" s="1" t="s">
        <v>229</v>
      </c>
      <c r="GA506" s="1" t="s">
        <v>291</v>
      </c>
      <c r="GB506" s="2">
        <v>42025.0</v>
      </c>
      <c r="GC506" s="1" t="s">
        <v>6706</v>
      </c>
    </row>
    <row r="507">
      <c r="A507" s="1">
        <v>385000.0</v>
      </c>
      <c r="B507" s="1" t="s">
        <v>185</v>
      </c>
      <c r="C507" s="1" t="str">
        <f>"08794730"</f>
        <v>08794730</v>
      </c>
      <c r="D507" s="1" t="s">
        <v>186</v>
      </c>
      <c r="F507" s="1" t="str">
        <f>"134"</f>
        <v>134</v>
      </c>
      <c r="G507" s="2">
        <v>41974.0</v>
      </c>
      <c r="H507" s="1">
        <v>399900.0</v>
      </c>
      <c r="I507" s="1">
        <v>37.0</v>
      </c>
      <c r="J507" s="1">
        <v>399900.0</v>
      </c>
      <c r="K507" s="2">
        <v>42010.0</v>
      </c>
      <c r="L507" s="1">
        <v>37.0</v>
      </c>
      <c r="M507" s="2">
        <v>42010.0</v>
      </c>
      <c r="N507" s="1" t="s">
        <v>187</v>
      </c>
      <c r="O507" s="2">
        <v>42068.0</v>
      </c>
      <c r="P507" s="1">
        <v>624.0</v>
      </c>
      <c r="Q507" s="1">
        <v>464.0</v>
      </c>
      <c r="S507" s="1" t="s">
        <v>6707</v>
      </c>
      <c r="T507" s="1" t="s">
        <v>6708</v>
      </c>
      <c r="U507" s="1" t="s">
        <v>420</v>
      </c>
      <c r="V507" s="1" t="s">
        <v>421</v>
      </c>
      <c r="W507" s="1">
        <v>60134.0</v>
      </c>
      <c r="Y507" s="1" t="s">
        <v>6709</v>
      </c>
      <c r="Z507" s="1">
        <v>2007.0</v>
      </c>
      <c r="AA507" s="1" t="s">
        <v>200</v>
      </c>
      <c r="AB507" s="1" t="s">
        <v>193</v>
      </c>
      <c r="AC507" s="1" t="s">
        <v>2935</v>
      </c>
      <c r="AD507" s="1" t="s">
        <v>1089</v>
      </c>
      <c r="AE507" s="1" t="s">
        <v>325</v>
      </c>
      <c r="AF507" s="1" t="s">
        <v>1479</v>
      </c>
      <c r="AG507" s="1" t="s">
        <v>6710</v>
      </c>
      <c r="AH507" s="1" t="s">
        <v>6711</v>
      </c>
      <c r="AK507" s="1">
        <v>10.0</v>
      </c>
      <c r="AL507" s="1">
        <v>4.0</v>
      </c>
      <c r="AM507" s="1">
        <v>4.0</v>
      </c>
      <c r="AN507" s="1">
        <v>0.0</v>
      </c>
      <c r="AO507" s="1" t="s">
        <v>198</v>
      </c>
      <c r="AP507" s="1">
        <v>1.0</v>
      </c>
      <c r="AQ507" s="1" t="s">
        <v>198</v>
      </c>
      <c r="AR507" s="1" t="s">
        <v>200</v>
      </c>
      <c r="AS507" s="1" t="s">
        <v>199</v>
      </c>
      <c r="AT507" s="1">
        <v>2.0</v>
      </c>
      <c r="AV507" s="1" t="s">
        <v>200</v>
      </c>
      <c r="AW507" s="1">
        <v>10906.0</v>
      </c>
      <c r="AX507" s="1">
        <v>2013.0</v>
      </c>
      <c r="AY507" s="1" t="s">
        <v>387</v>
      </c>
      <c r="AZ507" s="1" t="s">
        <v>200</v>
      </c>
      <c r="BA507" s="1" t="str">
        <f>"1112153002"</f>
        <v>1112153002</v>
      </c>
      <c r="BB507" s="1" t="s">
        <v>200</v>
      </c>
      <c r="BC507" s="1">
        <v>2776.0</v>
      </c>
      <c r="BD507" s="1">
        <v>385000.0</v>
      </c>
      <c r="BE507" s="2">
        <v>41974.0</v>
      </c>
      <c r="BF507" s="2" t="s">
        <v>6712</v>
      </c>
      <c r="BG507" s="1" t="s">
        <v>6713</v>
      </c>
      <c r="BH507" s="1">
        <v>0.0</v>
      </c>
      <c r="BI507" s="1" t="s">
        <v>429</v>
      </c>
      <c r="BJ507" s="1" t="s">
        <v>430</v>
      </c>
      <c r="BK507" s="1" t="s">
        <v>204</v>
      </c>
      <c r="BL507" s="1" t="str">
        <f>"1"</f>
        <v>1</v>
      </c>
      <c r="BM507" s="1" t="str">
        <f t="shared" si="339"/>
        <v>0</v>
      </c>
      <c r="BN507" s="1">
        <v>39.0</v>
      </c>
      <c r="BO507" s="1">
        <v>0.0</v>
      </c>
      <c r="BQ507" s="1">
        <v>304.0</v>
      </c>
      <c r="BR507" s="1">
        <v>304.0</v>
      </c>
      <c r="BS507" s="1">
        <v>304.0</v>
      </c>
      <c r="BU507" s="1" t="s">
        <v>647</v>
      </c>
      <c r="BV507" s="1" t="s">
        <v>206</v>
      </c>
      <c r="BW507" s="1" t="s">
        <v>210</v>
      </c>
      <c r="BY507" s="1" t="s">
        <v>453</v>
      </c>
      <c r="BZ507" s="1" t="s">
        <v>209</v>
      </c>
      <c r="CA507" s="1" t="s">
        <v>210</v>
      </c>
      <c r="CC507" s="1" t="s">
        <v>497</v>
      </c>
      <c r="CD507" s="1" t="s">
        <v>206</v>
      </c>
      <c r="CE507" s="1" t="s">
        <v>210</v>
      </c>
      <c r="CG507" s="1" t="s">
        <v>215</v>
      </c>
      <c r="CH507" s="1" t="s">
        <v>209</v>
      </c>
      <c r="CI507" s="1" t="s">
        <v>210</v>
      </c>
      <c r="CK507" s="1" t="s">
        <v>497</v>
      </c>
      <c r="CL507" s="1" t="s">
        <v>209</v>
      </c>
      <c r="CM507" s="1" t="s">
        <v>210</v>
      </c>
      <c r="CO507" s="1" t="s">
        <v>332</v>
      </c>
      <c r="CP507" s="1" t="s">
        <v>209</v>
      </c>
      <c r="CQ507" s="1" t="s">
        <v>210</v>
      </c>
      <c r="CS507" s="1" t="s">
        <v>6714</v>
      </c>
      <c r="CT507" s="1" t="s">
        <v>206</v>
      </c>
      <c r="CU507" s="1" t="s">
        <v>207</v>
      </c>
      <c r="CW507" s="1" t="s">
        <v>2120</v>
      </c>
      <c r="CX507" s="1" t="s">
        <v>206</v>
      </c>
      <c r="CY507" s="1" t="s">
        <v>210</v>
      </c>
      <c r="DA507" s="1" t="s">
        <v>200</v>
      </c>
      <c r="DC507" s="1" t="s">
        <v>481</v>
      </c>
      <c r="DD507" s="1" t="s">
        <v>5326</v>
      </c>
      <c r="DE507" s="1" t="s">
        <v>273</v>
      </c>
      <c r="DF507" s="1" t="s">
        <v>219</v>
      </c>
      <c r="DG507" s="1" t="s">
        <v>2379</v>
      </c>
      <c r="DH507" s="1" t="s">
        <v>1603</v>
      </c>
      <c r="DI507" s="1" t="s">
        <v>275</v>
      </c>
      <c r="DJ507" s="1" t="s">
        <v>222</v>
      </c>
      <c r="DK507" s="1" t="s">
        <v>223</v>
      </c>
      <c r="DL507" s="1" t="s">
        <v>223</v>
      </c>
      <c r="DM507" s="1" t="s">
        <v>929</v>
      </c>
      <c r="DN507" s="1" t="s">
        <v>548</v>
      </c>
      <c r="DO507" s="1" t="s">
        <v>930</v>
      </c>
      <c r="DP507" s="1" t="s">
        <v>340</v>
      </c>
      <c r="DQ507" s="1" t="s">
        <v>228</v>
      </c>
      <c r="DR507" s="1" t="s">
        <v>229</v>
      </c>
      <c r="DS507" s="1" t="s">
        <v>591</v>
      </c>
      <c r="DU507" s="1" t="s">
        <v>6715</v>
      </c>
      <c r="DV507" s="1" t="s">
        <v>4513</v>
      </c>
      <c r="DW507" s="1" t="s">
        <v>1072</v>
      </c>
      <c r="DX507" s="1" t="s">
        <v>234</v>
      </c>
      <c r="DY507" s="1" t="s">
        <v>6716</v>
      </c>
      <c r="DZ507" s="1" t="s">
        <v>310</v>
      </c>
      <c r="EA507" s="1" t="s">
        <v>344</v>
      </c>
      <c r="EB507" s="1" t="s">
        <v>2183</v>
      </c>
      <c r="EC507" s="1" t="s">
        <v>237</v>
      </c>
      <c r="ED507" s="1" t="s">
        <v>407</v>
      </c>
      <c r="EG507" s="1" t="s">
        <v>494</v>
      </c>
      <c r="EH507" s="1" t="s">
        <v>449</v>
      </c>
      <c r="EL507" s="1" t="s">
        <v>212</v>
      </c>
      <c r="EM507" s="1" t="s">
        <v>206</v>
      </c>
      <c r="EN507" s="1" t="s">
        <v>210</v>
      </c>
      <c r="EP507" s="1" t="s">
        <v>475</v>
      </c>
      <c r="EQ507" s="1" t="s">
        <v>206</v>
      </c>
      <c r="ER507" s="1" t="s">
        <v>207</v>
      </c>
      <c r="EU507" s="1" t="s">
        <v>238</v>
      </c>
      <c r="EY507" s="1" t="s">
        <v>238</v>
      </c>
      <c r="FC507" s="1" t="s">
        <v>238</v>
      </c>
      <c r="FF507" s="1" t="s">
        <v>239</v>
      </c>
      <c r="FG507" s="1" t="s">
        <v>192</v>
      </c>
      <c r="FH507" s="1" t="s">
        <v>192</v>
      </c>
      <c r="FJ507" s="1" t="s">
        <v>624</v>
      </c>
      <c r="FK507" s="1" t="s">
        <v>229</v>
      </c>
      <c r="FL507" s="1" t="s">
        <v>1641</v>
      </c>
      <c r="FM507" s="1">
        <v>280.0</v>
      </c>
      <c r="FN507" s="1" t="s">
        <v>1642</v>
      </c>
      <c r="FO507" s="1" t="s">
        <v>1643</v>
      </c>
      <c r="FP507" s="1">
        <v>1127.0</v>
      </c>
      <c r="FQ507" s="1" t="s">
        <v>1644</v>
      </c>
      <c r="FR507" s="1">
        <v>2089.0</v>
      </c>
      <c r="FS507" s="1" t="s">
        <v>1645</v>
      </c>
      <c r="FU507" s="1" t="s">
        <v>6717</v>
      </c>
      <c r="FV507" s="1" t="s">
        <v>200</v>
      </c>
      <c r="FW507" s="1" t="s">
        <v>290</v>
      </c>
      <c r="FZ507" s="1" t="s">
        <v>229</v>
      </c>
      <c r="GA507" s="1" t="s">
        <v>291</v>
      </c>
      <c r="GB507" s="2">
        <v>42068.0</v>
      </c>
      <c r="GC507" s="1" t="s">
        <v>6718</v>
      </c>
    </row>
    <row r="508">
      <c r="A508" s="1">
        <v>207900.0</v>
      </c>
      <c r="B508" s="1" t="s">
        <v>185</v>
      </c>
      <c r="C508" s="1" t="str">
        <f>"08791462"</f>
        <v>08791462</v>
      </c>
      <c r="D508" s="1" t="s">
        <v>186</v>
      </c>
      <c r="F508" s="1" t="str">
        <f>"123"</f>
        <v>123</v>
      </c>
      <c r="G508" s="2">
        <v>41966.0</v>
      </c>
      <c r="H508" s="1">
        <v>214500.0</v>
      </c>
      <c r="I508" s="1">
        <v>375.0</v>
      </c>
      <c r="J508" s="1">
        <v>214500.0</v>
      </c>
      <c r="K508" s="2">
        <v>41970.0</v>
      </c>
      <c r="L508" s="1">
        <v>5.0</v>
      </c>
      <c r="M508" s="2">
        <v>41970.0</v>
      </c>
      <c r="N508" s="1" t="s">
        <v>634</v>
      </c>
      <c r="O508" s="2">
        <v>42018.0</v>
      </c>
      <c r="P508" s="1">
        <v>50813.0</v>
      </c>
      <c r="Q508" s="1">
        <v>5108.0</v>
      </c>
      <c r="S508" s="1">
        <v>331.0</v>
      </c>
      <c r="T508" s="1" t="s">
        <v>6719</v>
      </c>
      <c r="U508" s="1" t="s">
        <v>694</v>
      </c>
      <c r="V508" s="1" t="s">
        <v>465</v>
      </c>
      <c r="W508" s="1">
        <v>60123.0</v>
      </c>
      <c r="Y508" s="1" t="s">
        <v>6720</v>
      </c>
      <c r="Z508" s="1">
        <v>1930.0</v>
      </c>
      <c r="AA508" s="1" t="s">
        <v>192</v>
      </c>
      <c r="AB508" s="1" t="s">
        <v>193</v>
      </c>
      <c r="AD508" s="1" t="s">
        <v>469</v>
      </c>
      <c r="AE508" s="1" t="s">
        <v>325</v>
      </c>
      <c r="AF508" s="1" t="s">
        <v>469</v>
      </c>
      <c r="AH508" s="1" t="s">
        <v>6721</v>
      </c>
      <c r="AK508" s="1">
        <v>8.0</v>
      </c>
      <c r="AL508" s="1">
        <v>4.0</v>
      </c>
      <c r="AM508" s="1">
        <v>1.0</v>
      </c>
      <c r="AN508" s="1">
        <v>1.0</v>
      </c>
      <c r="AO508" s="1" t="s">
        <v>229</v>
      </c>
      <c r="AP508" s="1">
        <v>1.0</v>
      </c>
      <c r="AQ508" s="1" t="s">
        <v>198</v>
      </c>
      <c r="AR508" s="1" t="s">
        <v>200</v>
      </c>
      <c r="AS508" s="1" t="s">
        <v>199</v>
      </c>
      <c r="AT508" s="1">
        <v>1.0</v>
      </c>
      <c r="AV508" s="1" t="s">
        <v>200</v>
      </c>
      <c r="AW508" s="1">
        <v>5177.88</v>
      </c>
      <c r="AX508" s="1">
        <v>2013.0</v>
      </c>
      <c r="AY508" s="1" t="s">
        <v>387</v>
      </c>
      <c r="AZ508" s="1" t="s">
        <v>200</v>
      </c>
      <c r="BA508" s="1" t="str">
        <f>"0614109004"</f>
        <v>0614109004</v>
      </c>
      <c r="BB508" s="1" t="s">
        <v>200</v>
      </c>
      <c r="BC508" s="1">
        <v>2000.0</v>
      </c>
      <c r="BD508" s="1">
        <v>207900.0</v>
      </c>
      <c r="BE508" s="2">
        <v>41966.0</v>
      </c>
      <c r="BF508" s="2" t="s">
        <v>6722</v>
      </c>
      <c r="BG508" s="1" t="s">
        <v>6723</v>
      </c>
      <c r="BH508" s="1">
        <v>0.0</v>
      </c>
      <c r="BI508" s="1" t="s">
        <v>3197</v>
      </c>
      <c r="BJ508" s="1" t="s">
        <v>675</v>
      </c>
      <c r="BK508" s="1" t="s">
        <v>204</v>
      </c>
      <c r="BL508" s="1" t="str">
        <f>"11"</f>
        <v>11</v>
      </c>
      <c r="BM508" s="1" t="str">
        <f>""</f>
        <v/>
      </c>
      <c r="BN508" s="1">
        <v>34.0</v>
      </c>
      <c r="BQ508" s="1">
        <v>46.0</v>
      </c>
      <c r="BR508" s="1">
        <v>46.0</v>
      </c>
      <c r="BS508" s="1">
        <v>46.0</v>
      </c>
      <c r="BU508" s="1" t="s">
        <v>784</v>
      </c>
      <c r="BV508" s="1" t="s">
        <v>206</v>
      </c>
      <c r="BW508" s="1" t="s">
        <v>207</v>
      </c>
      <c r="BX508" s="1" t="s">
        <v>431</v>
      </c>
      <c r="BY508" s="1" t="s">
        <v>454</v>
      </c>
      <c r="BZ508" s="1" t="s">
        <v>209</v>
      </c>
      <c r="CA508" s="1" t="s">
        <v>207</v>
      </c>
      <c r="CB508" s="1" t="s">
        <v>431</v>
      </c>
      <c r="CC508" s="1" t="s">
        <v>329</v>
      </c>
      <c r="CD508" s="1" t="s">
        <v>206</v>
      </c>
      <c r="CE508" s="1" t="s">
        <v>207</v>
      </c>
      <c r="CF508" s="1" t="s">
        <v>431</v>
      </c>
      <c r="CG508" s="1" t="s">
        <v>433</v>
      </c>
      <c r="CH508" s="1" t="s">
        <v>209</v>
      </c>
      <c r="CI508" s="1" t="s">
        <v>207</v>
      </c>
      <c r="CJ508" s="1" t="s">
        <v>431</v>
      </c>
      <c r="CK508" s="1" t="s">
        <v>623</v>
      </c>
      <c r="CL508" s="1" t="s">
        <v>209</v>
      </c>
      <c r="CM508" s="1" t="s">
        <v>207</v>
      </c>
      <c r="CN508" s="1" t="s">
        <v>431</v>
      </c>
      <c r="CO508" s="1" t="s">
        <v>623</v>
      </c>
      <c r="CP508" s="1" t="s">
        <v>209</v>
      </c>
      <c r="CQ508" s="1" t="s">
        <v>207</v>
      </c>
      <c r="CR508" s="1" t="s">
        <v>229</v>
      </c>
      <c r="CS508" s="1" t="s">
        <v>664</v>
      </c>
      <c r="CT508" s="1" t="s">
        <v>206</v>
      </c>
      <c r="CU508" s="1" t="s">
        <v>207</v>
      </c>
      <c r="CV508" s="1" t="s">
        <v>431</v>
      </c>
      <c r="CX508" s="1" t="s">
        <v>204</v>
      </c>
      <c r="DA508" s="1" t="s">
        <v>200</v>
      </c>
      <c r="DC508" s="1" t="s">
        <v>785</v>
      </c>
      <c r="DD508" s="1" t="s">
        <v>518</v>
      </c>
      <c r="DE508" s="1" t="s">
        <v>273</v>
      </c>
      <c r="DF508" s="1" t="s">
        <v>219</v>
      </c>
      <c r="DG508" s="1" t="s">
        <v>337</v>
      </c>
      <c r="DH508" s="1" t="s">
        <v>220</v>
      </c>
      <c r="DI508" s="1" t="s">
        <v>221</v>
      </c>
      <c r="DJ508" s="1" t="s">
        <v>222</v>
      </c>
      <c r="DK508" s="1" t="s">
        <v>198</v>
      </c>
      <c r="DL508" s="1" t="s">
        <v>858</v>
      </c>
      <c r="DM508" s="1" t="s">
        <v>1143</v>
      </c>
      <c r="DP508" s="1" t="s">
        <v>340</v>
      </c>
      <c r="DQ508" s="1" t="s">
        <v>228</v>
      </c>
      <c r="DR508" s="1" t="s">
        <v>229</v>
      </c>
      <c r="DS508" s="1" t="s">
        <v>230</v>
      </c>
      <c r="DU508" s="1" t="s">
        <v>6724</v>
      </c>
      <c r="DV508" s="1" t="s">
        <v>450</v>
      </c>
      <c r="DW508" s="1" t="s">
        <v>279</v>
      </c>
      <c r="DX508" s="1" t="s">
        <v>234</v>
      </c>
      <c r="DY508" s="1" t="s">
        <v>704</v>
      </c>
      <c r="DZ508" s="1" t="s">
        <v>6725</v>
      </c>
      <c r="EA508" s="1" t="s">
        <v>5294</v>
      </c>
      <c r="EB508" s="1" t="s">
        <v>345</v>
      </c>
      <c r="EC508" s="1" t="s">
        <v>237</v>
      </c>
      <c r="EE508" s="1" t="s">
        <v>493</v>
      </c>
      <c r="EG508" s="1" t="s">
        <v>450</v>
      </c>
      <c r="EL508" s="1" t="s">
        <v>784</v>
      </c>
      <c r="EM508" s="1" t="s">
        <v>42</v>
      </c>
      <c r="EN508" s="1" t="s">
        <v>588</v>
      </c>
      <c r="EO508" s="1" t="s">
        <v>229</v>
      </c>
      <c r="EQ508" s="1" t="s">
        <v>238</v>
      </c>
      <c r="EU508" s="1" t="s">
        <v>238</v>
      </c>
      <c r="EY508" s="1" t="s">
        <v>238</v>
      </c>
      <c r="FC508" s="1" t="s">
        <v>238</v>
      </c>
      <c r="FF508" s="1" t="s">
        <v>239</v>
      </c>
      <c r="FG508" s="1" t="s">
        <v>192</v>
      </c>
      <c r="FH508" s="1" t="s">
        <v>192</v>
      </c>
      <c r="FJ508" s="1" t="s">
        <v>6726</v>
      </c>
      <c r="FK508" s="1" t="s">
        <v>229</v>
      </c>
      <c r="FL508" s="1" t="s">
        <v>625</v>
      </c>
      <c r="FM508" s="1">
        <v>37.0</v>
      </c>
      <c r="FN508" s="1" t="s">
        <v>626</v>
      </c>
      <c r="FO508" s="1" t="s">
        <v>1272</v>
      </c>
      <c r="FP508" s="1">
        <v>7683.0</v>
      </c>
      <c r="FQ508" s="1" t="s">
        <v>1273</v>
      </c>
      <c r="FR508" s="1">
        <v>8360.0</v>
      </c>
      <c r="FU508" s="1" t="s">
        <v>6727</v>
      </c>
      <c r="FV508" s="1" t="s">
        <v>200</v>
      </c>
      <c r="FW508" s="1" t="s">
        <v>631</v>
      </c>
      <c r="FZ508" s="1" t="s">
        <v>229</v>
      </c>
      <c r="GA508" s="1" t="s">
        <v>291</v>
      </c>
      <c r="GB508" s="2">
        <v>42018.0</v>
      </c>
      <c r="GC508" s="1" t="s">
        <v>6728</v>
      </c>
    </row>
    <row r="509">
      <c r="A509" s="1">
        <v>290000.0</v>
      </c>
      <c r="B509" s="1" t="s">
        <v>185</v>
      </c>
      <c r="C509" s="1" t="str">
        <f>"08795940"</f>
        <v>08795940</v>
      </c>
      <c r="D509" s="1" t="s">
        <v>186</v>
      </c>
      <c r="F509" s="1" t="str">
        <f>"136"</f>
        <v>136</v>
      </c>
      <c r="G509" s="2">
        <v>41976.0</v>
      </c>
      <c r="H509" s="1">
        <v>309000.0</v>
      </c>
      <c r="I509" s="1">
        <v>226.0</v>
      </c>
      <c r="J509" s="1">
        <v>309000.0</v>
      </c>
      <c r="K509" s="2">
        <v>42021.0</v>
      </c>
      <c r="L509" s="1">
        <v>46.0</v>
      </c>
      <c r="M509" s="2">
        <v>42021.0</v>
      </c>
      <c r="N509" s="1" t="s">
        <v>356</v>
      </c>
      <c r="O509" s="2">
        <v>42062.0</v>
      </c>
      <c r="P509" s="1">
        <v>243639.0</v>
      </c>
      <c r="Q509" s="1">
        <v>25718.0</v>
      </c>
      <c r="S509" s="1">
        <v>268.0</v>
      </c>
      <c r="T509" s="1" t="s">
        <v>5031</v>
      </c>
      <c r="U509" s="1" t="s">
        <v>1442</v>
      </c>
      <c r="V509" s="1" t="s">
        <v>5032</v>
      </c>
      <c r="W509" s="1">
        <v>60136.0</v>
      </c>
      <c r="Y509" s="1" t="s">
        <v>6729</v>
      </c>
      <c r="Z509" s="1">
        <v>2008.0</v>
      </c>
      <c r="AA509" s="1" t="s">
        <v>200</v>
      </c>
      <c r="AB509" s="1" t="s">
        <v>193</v>
      </c>
      <c r="AC509" s="1" t="s">
        <v>6730</v>
      </c>
      <c r="AD509" s="1" t="s">
        <v>5035</v>
      </c>
      <c r="AE509" s="1" t="s">
        <v>325</v>
      </c>
      <c r="AF509" s="1" t="s">
        <v>3429</v>
      </c>
      <c r="AG509" s="1" t="s">
        <v>2589</v>
      </c>
      <c r="AH509" s="1" t="s">
        <v>6731</v>
      </c>
      <c r="AI509" s="1">
        <v>0.25</v>
      </c>
      <c r="AK509" s="1">
        <v>9.0</v>
      </c>
      <c r="AL509" s="1">
        <v>4.0</v>
      </c>
      <c r="AM509" s="1">
        <v>2.0</v>
      </c>
      <c r="AN509" s="1">
        <v>1.0</v>
      </c>
      <c r="AO509" s="1" t="s">
        <v>198</v>
      </c>
      <c r="AP509" s="1">
        <v>1.0</v>
      </c>
      <c r="AQ509" s="1" t="s">
        <v>198</v>
      </c>
      <c r="AR509" s="1" t="s">
        <v>200</v>
      </c>
      <c r="AS509" s="1" t="s">
        <v>199</v>
      </c>
      <c r="AT509" s="1">
        <v>2.0</v>
      </c>
      <c r="AV509" s="1" t="s">
        <v>200</v>
      </c>
      <c r="AW509" s="1">
        <v>9516.28</v>
      </c>
      <c r="AX509" s="1">
        <v>2013.0</v>
      </c>
      <c r="AY509" s="1" t="s">
        <v>387</v>
      </c>
      <c r="AZ509" s="1" t="s">
        <v>200</v>
      </c>
      <c r="BA509" s="1" t="str">
        <f>"0224177008"</f>
        <v>0224177008</v>
      </c>
      <c r="BB509" s="1" t="s">
        <v>200</v>
      </c>
      <c r="BC509" s="1">
        <v>2671.0</v>
      </c>
      <c r="BD509" s="1">
        <v>290000.0</v>
      </c>
      <c r="BE509" s="2">
        <v>41976.0</v>
      </c>
      <c r="BF509" s="2" t="s">
        <v>6732</v>
      </c>
      <c r="BG509" s="1" t="s">
        <v>5039</v>
      </c>
      <c r="BH509" s="1">
        <v>88.0</v>
      </c>
      <c r="BI509" s="1" t="s">
        <v>1182</v>
      </c>
      <c r="BJ509" s="1" t="s">
        <v>1182</v>
      </c>
      <c r="BK509" s="1" t="s">
        <v>1952</v>
      </c>
      <c r="BL509" s="1" t="str">
        <f>"16"</f>
        <v>16</v>
      </c>
      <c r="BM509" s="1" t="str">
        <f>"0"</f>
        <v>0</v>
      </c>
      <c r="BN509" s="1">
        <v>37.0</v>
      </c>
      <c r="BO509" s="1">
        <v>0.0</v>
      </c>
      <c r="BQ509" s="1">
        <v>300.0</v>
      </c>
      <c r="BR509" s="1">
        <v>300.0</v>
      </c>
      <c r="BS509" s="1">
        <v>300.0</v>
      </c>
      <c r="BU509" s="1" t="s">
        <v>495</v>
      </c>
      <c r="BV509" s="1" t="s">
        <v>206</v>
      </c>
      <c r="BW509" s="1" t="s">
        <v>210</v>
      </c>
      <c r="BX509" s="1" t="s">
        <v>239</v>
      </c>
      <c r="BY509" s="1" t="s">
        <v>1000</v>
      </c>
      <c r="BZ509" s="1" t="s">
        <v>209</v>
      </c>
      <c r="CA509" s="1" t="s">
        <v>210</v>
      </c>
      <c r="CB509" s="1" t="s">
        <v>239</v>
      </c>
      <c r="CC509" s="1" t="s">
        <v>699</v>
      </c>
      <c r="CD509" s="1" t="s">
        <v>206</v>
      </c>
      <c r="CE509" s="1" t="s">
        <v>210</v>
      </c>
      <c r="CF509" s="1" t="s">
        <v>239</v>
      </c>
      <c r="CG509" s="1" t="s">
        <v>495</v>
      </c>
      <c r="CH509" s="1" t="s">
        <v>209</v>
      </c>
      <c r="CI509" s="1" t="s">
        <v>210</v>
      </c>
      <c r="CK509" s="1" t="s">
        <v>212</v>
      </c>
      <c r="CL509" s="1" t="s">
        <v>209</v>
      </c>
      <c r="CM509" s="1" t="s">
        <v>210</v>
      </c>
      <c r="CN509" s="1" t="s">
        <v>239</v>
      </c>
      <c r="CO509" s="1" t="s">
        <v>215</v>
      </c>
      <c r="CP509" s="1" t="s">
        <v>209</v>
      </c>
      <c r="CQ509" s="1" t="s">
        <v>210</v>
      </c>
      <c r="CR509" s="1" t="s">
        <v>239</v>
      </c>
      <c r="CS509" s="1" t="s">
        <v>1000</v>
      </c>
      <c r="CT509" s="1" t="s">
        <v>206</v>
      </c>
      <c r="CU509" s="1" t="s">
        <v>268</v>
      </c>
      <c r="CV509" s="1" t="s">
        <v>239</v>
      </c>
      <c r="CW509" s="1" t="s">
        <v>782</v>
      </c>
      <c r="CX509" s="1" t="s">
        <v>206</v>
      </c>
      <c r="CY509" s="1" t="s">
        <v>210</v>
      </c>
      <c r="CZ509" s="1" t="s">
        <v>239</v>
      </c>
      <c r="DA509" s="1" t="s">
        <v>200</v>
      </c>
      <c r="DC509" s="1" t="s">
        <v>481</v>
      </c>
      <c r="DD509" s="1" t="s">
        <v>586</v>
      </c>
      <c r="DE509" s="1" t="s">
        <v>273</v>
      </c>
      <c r="DF509" s="1" t="s">
        <v>219</v>
      </c>
      <c r="DG509" s="1" t="s">
        <v>482</v>
      </c>
      <c r="DH509" s="1" t="s">
        <v>220</v>
      </c>
      <c r="DI509" s="1" t="s">
        <v>221</v>
      </c>
      <c r="DJ509" s="1" t="s">
        <v>222</v>
      </c>
      <c r="DL509" s="1" t="s">
        <v>224</v>
      </c>
      <c r="DM509" s="1" t="s">
        <v>929</v>
      </c>
      <c r="DN509" s="1" t="s">
        <v>485</v>
      </c>
      <c r="DO509" s="1" t="s">
        <v>6733</v>
      </c>
      <c r="DP509" s="1" t="s">
        <v>276</v>
      </c>
      <c r="DQ509" s="1" t="s">
        <v>228</v>
      </c>
      <c r="DR509" s="1" t="s">
        <v>588</v>
      </c>
      <c r="DU509" s="1" t="s">
        <v>746</v>
      </c>
      <c r="DV509" s="1" t="s">
        <v>494</v>
      </c>
      <c r="DW509" s="1" t="s">
        <v>444</v>
      </c>
      <c r="DX509" s="1" t="s">
        <v>234</v>
      </c>
      <c r="DY509" s="1" t="s">
        <v>521</v>
      </c>
      <c r="DZ509" s="1" t="s">
        <v>2424</v>
      </c>
      <c r="EA509" s="1" t="s">
        <v>447</v>
      </c>
      <c r="EB509" s="1" t="s">
        <v>492</v>
      </c>
      <c r="EC509" s="1" t="s">
        <v>237</v>
      </c>
      <c r="ED509" s="1" t="s">
        <v>407</v>
      </c>
      <c r="EG509" s="1" t="s">
        <v>494</v>
      </c>
      <c r="EL509" s="1" t="s">
        <v>699</v>
      </c>
      <c r="EM509" s="1" t="s">
        <v>206</v>
      </c>
      <c r="EN509" s="1" t="s">
        <v>210</v>
      </c>
      <c r="EO509" s="1" t="s">
        <v>239</v>
      </c>
      <c r="EQ509" s="1" t="s">
        <v>238</v>
      </c>
      <c r="EU509" s="1" t="s">
        <v>238</v>
      </c>
      <c r="EY509" s="1" t="s">
        <v>238</v>
      </c>
      <c r="FC509" s="1" t="s">
        <v>238</v>
      </c>
      <c r="FF509" s="1" t="s">
        <v>239</v>
      </c>
      <c r="FG509" s="1" t="s">
        <v>192</v>
      </c>
      <c r="FH509" s="1" t="s">
        <v>192</v>
      </c>
      <c r="FJ509" s="1" t="s">
        <v>6734</v>
      </c>
      <c r="FK509" s="1" t="s">
        <v>229</v>
      </c>
      <c r="FL509" s="1" t="s">
        <v>2263</v>
      </c>
      <c r="FM509" s="1">
        <v>7661.0</v>
      </c>
      <c r="FN509" s="1" t="s">
        <v>4356</v>
      </c>
      <c r="FO509" s="1" t="s">
        <v>6735</v>
      </c>
      <c r="FP509" s="1">
        <v>77025.0</v>
      </c>
      <c r="FQ509" s="1" t="s">
        <v>6736</v>
      </c>
      <c r="FU509" s="1" t="s">
        <v>6737</v>
      </c>
      <c r="FV509" s="1" t="s">
        <v>200</v>
      </c>
      <c r="FW509" s="1" t="s">
        <v>290</v>
      </c>
      <c r="FZ509" s="1" t="s">
        <v>229</v>
      </c>
      <c r="GA509" s="1" t="s">
        <v>291</v>
      </c>
      <c r="GB509" s="2">
        <v>42066.0</v>
      </c>
    </row>
    <row r="510">
      <c r="A510" s="1">
        <v>250000.0</v>
      </c>
      <c r="B510" s="1" t="s">
        <v>185</v>
      </c>
      <c r="C510" s="1" t="str">
        <f>"08792983"</f>
        <v>08792983</v>
      </c>
      <c r="D510" s="1" t="s">
        <v>186</v>
      </c>
      <c r="F510" s="1" t="str">
        <f>"8074"</f>
        <v>8074</v>
      </c>
      <c r="G510" s="2">
        <v>41969.0</v>
      </c>
      <c r="H510" s="1">
        <v>249900.0</v>
      </c>
      <c r="I510" s="1">
        <v>4.0</v>
      </c>
      <c r="J510" s="1">
        <v>249900.0</v>
      </c>
      <c r="K510" s="2">
        <v>41972.0</v>
      </c>
      <c r="L510" s="1">
        <v>4.0</v>
      </c>
      <c r="M510" s="2">
        <v>41972.0</v>
      </c>
      <c r="N510" s="1" t="s">
        <v>187</v>
      </c>
      <c r="O510" s="2">
        <v>41995.0</v>
      </c>
      <c r="P510" s="1">
        <v>603149.0</v>
      </c>
      <c r="Q510" s="1">
        <v>22616.0</v>
      </c>
      <c r="S510" s="1">
        <v>10919.0</v>
      </c>
      <c r="T510" s="1" t="s">
        <v>2983</v>
      </c>
      <c r="U510" s="1" t="s">
        <v>189</v>
      </c>
      <c r="V510" s="1" t="s">
        <v>190</v>
      </c>
      <c r="W510" s="1">
        <v>60655.0</v>
      </c>
      <c r="Y510" s="1" t="s">
        <v>6738</v>
      </c>
      <c r="Z510" s="1">
        <v>1921.0</v>
      </c>
      <c r="AA510" s="1" t="s">
        <v>192</v>
      </c>
      <c r="AB510" s="1" t="s">
        <v>193</v>
      </c>
      <c r="AD510" s="1" t="s">
        <v>194</v>
      </c>
      <c r="AE510" s="1" t="s">
        <v>195</v>
      </c>
      <c r="AF510" s="1" t="s">
        <v>659</v>
      </c>
      <c r="AH510" s="1" t="s">
        <v>3560</v>
      </c>
      <c r="AI510" s="1">
        <v>0.0947</v>
      </c>
      <c r="AK510" s="1">
        <v>8.0</v>
      </c>
      <c r="AL510" s="1">
        <v>3.0</v>
      </c>
      <c r="AM510" s="1">
        <v>2.0</v>
      </c>
      <c r="AN510" s="1">
        <v>0.0</v>
      </c>
      <c r="AO510" s="1" t="s">
        <v>1261</v>
      </c>
      <c r="AQ510" s="1" t="s">
        <v>198</v>
      </c>
      <c r="AR510" s="1" t="s">
        <v>192</v>
      </c>
      <c r="AS510" s="1" t="s">
        <v>199</v>
      </c>
      <c r="AT510" s="1">
        <v>2.0</v>
      </c>
      <c r="AV510" s="1" t="s">
        <v>200</v>
      </c>
      <c r="AW510" s="1">
        <v>2414.4</v>
      </c>
      <c r="AX510" s="1">
        <v>2013.0</v>
      </c>
      <c r="AY510" s="1" t="s">
        <v>229</v>
      </c>
      <c r="AZ510" s="1" t="s">
        <v>200</v>
      </c>
      <c r="BA510" s="1" t="str">
        <f>"24133080060000"</f>
        <v>24133080060000</v>
      </c>
      <c r="BC510" s="1">
        <v>0.0</v>
      </c>
      <c r="BD510" s="1">
        <v>250000.0</v>
      </c>
      <c r="BE510" s="2">
        <v>41969.0</v>
      </c>
      <c r="BF510" s="2" t="s">
        <v>6739</v>
      </c>
      <c r="BH510" s="1">
        <v>0.0</v>
      </c>
      <c r="BK510" s="1" t="s">
        <v>204</v>
      </c>
      <c r="BL510" s="1" t="str">
        <f t="shared" ref="BL510:BM510" si="340">"0"</f>
        <v>0</v>
      </c>
      <c r="BM510" s="1" t="str">
        <f t="shared" si="340"/>
        <v>0</v>
      </c>
      <c r="BN510" s="1">
        <v>3200.0</v>
      </c>
      <c r="BO510" s="1">
        <v>10919.0</v>
      </c>
      <c r="BQ510" s="1">
        <v>299.0</v>
      </c>
      <c r="BR510" s="1">
        <v>299.0</v>
      </c>
      <c r="BS510" s="1">
        <v>299.0</v>
      </c>
      <c r="BU510" s="1" t="s">
        <v>433</v>
      </c>
      <c r="BV510" s="1" t="s">
        <v>206</v>
      </c>
      <c r="BW510" s="1" t="s">
        <v>207</v>
      </c>
      <c r="BY510" s="1" t="s">
        <v>215</v>
      </c>
      <c r="BZ510" s="1" t="s">
        <v>206</v>
      </c>
      <c r="CA510" s="1" t="s">
        <v>210</v>
      </c>
      <c r="CC510" s="1" t="s">
        <v>264</v>
      </c>
      <c r="CD510" s="1" t="s">
        <v>206</v>
      </c>
      <c r="CE510" s="1" t="s">
        <v>207</v>
      </c>
      <c r="CG510" s="1" t="s">
        <v>623</v>
      </c>
      <c r="CH510" s="1" t="s">
        <v>206</v>
      </c>
      <c r="CI510" s="1" t="s">
        <v>210</v>
      </c>
      <c r="CK510" s="1" t="s">
        <v>623</v>
      </c>
      <c r="CL510" s="1" t="s">
        <v>206</v>
      </c>
      <c r="CM510" s="1" t="s">
        <v>210</v>
      </c>
      <c r="CO510" s="1" t="s">
        <v>495</v>
      </c>
      <c r="CP510" s="1" t="s">
        <v>42</v>
      </c>
      <c r="CQ510" s="1" t="s">
        <v>210</v>
      </c>
      <c r="CS510" s="1" t="s">
        <v>212</v>
      </c>
      <c r="CT510" s="1" t="s">
        <v>206</v>
      </c>
      <c r="CU510" s="1" t="s">
        <v>207</v>
      </c>
      <c r="CX510" s="1" t="s">
        <v>204</v>
      </c>
      <c r="DA510" s="1" t="s">
        <v>200</v>
      </c>
      <c r="DC510" s="1" t="s">
        <v>216</v>
      </c>
      <c r="DD510" s="1" t="s">
        <v>759</v>
      </c>
      <c r="DE510" s="1" t="s">
        <v>273</v>
      </c>
      <c r="DF510" s="1" t="s">
        <v>219</v>
      </c>
      <c r="DH510" s="1" t="s">
        <v>307</v>
      </c>
      <c r="DI510" s="1" t="s">
        <v>366</v>
      </c>
      <c r="DJ510" s="1" t="s">
        <v>222</v>
      </c>
      <c r="DL510" s="1" t="s">
        <v>224</v>
      </c>
      <c r="DM510" s="1" t="s">
        <v>229</v>
      </c>
      <c r="DN510" s="1" t="s">
        <v>2296</v>
      </c>
      <c r="DP510" s="1" t="s">
        <v>340</v>
      </c>
      <c r="DQ510" s="1" t="s">
        <v>228</v>
      </c>
      <c r="DR510" s="1" t="s">
        <v>229</v>
      </c>
      <c r="DV510" s="1" t="s">
        <v>4466</v>
      </c>
      <c r="DW510" s="1" t="s">
        <v>233</v>
      </c>
      <c r="DX510" s="1" t="s">
        <v>234</v>
      </c>
      <c r="DY510" s="1" t="s">
        <v>1122</v>
      </c>
      <c r="DZ510" s="1" t="s">
        <v>310</v>
      </c>
      <c r="EA510" s="1" t="s">
        <v>644</v>
      </c>
      <c r="EC510" s="1" t="s">
        <v>685</v>
      </c>
      <c r="ED510" s="1" t="s">
        <v>555</v>
      </c>
      <c r="EG510" s="1" t="s">
        <v>450</v>
      </c>
      <c r="EH510" s="1" t="s">
        <v>1270</v>
      </c>
      <c r="EL510" s="1" t="s">
        <v>432</v>
      </c>
      <c r="EM510" s="1" t="s">
        <v>42</v>
      </c>
      <c r="EN510" s="1" t="s">
        <v>210</v>
      </c>
      <c r="EP510" s="1" t="s">
        <v>4153</v>
      </c>
      <c r="EQ510" s="1" t="s">
        <v>42</v>
      </c>
      <c r="EU510" s="1" t="s">
        <v>238</v>
      </c>
      <c r="EY510" s="1" t="s">
        <v>238</v>
      </c>
      <c r="FC510" s="1" t="s">
        <v>238</v>
      </c>
      <c r="FF510" s="1" t="s">
        <v>239</v>
      </c>
      <c r="FG510" s="1" t="s">
        <v>192</v>
      </c>
      <c r="FH510" s="1" t="s">
        <v>192</v>
      </c>
      <c r="FJ510" s="1" t="s">
        <v>799</v>
      </c>
      <c r="FK510" s="1" t="s">
        <v>348</v>
      </c>
      <c r="FL510" s="1" t="s">
        <v>562</v>
      </c>
      <c r="FM510" s="1">
        <v>15694.0</v>
      </c>
      <c r="FN510" s="1" t="s">
        <v>3145</v>
      </c>
      <c r="FO510" s="1" t="s">
        <v>6740</v>
      </c>
      <c r="FP510" s="1">
        <v>174807.0</v>
      </c>
      <c r="FQ510" s="1" t="s">
        <v>6741</v>
      </c>
      <c r="FU510" s="1" t="s">
        <v>6742</v>
      </c>
      <c r="FV510" s="1" t="s">
        <v>200</v>
      </c>
      <c r="FW510" s="1" t="s">
        <v>290</v>
      </c>
      <c r="FX510" s="1" t="s">
        <v>655</v>
      </c>
      <c r="FZ510" s="1" t="s">
        <v>229</v>
      </c>
      <c r="GA510" s="1" t="s">
        <v>291</v>
      </c>
      <c r="GB510" s="2">
        <v>41996.0</v>
      </c>
    </row>
    <row r="511">
      <c r="A511" s="1">
        <v>247000.0</v>
      </c>
      <c r="B511" s="1" t="s">
        <v>185</v>
      </c>
      <c r="C511" s="1" t="str">
        <f>"08813954"</f>
        <v>08813954</v>
      </c>
      <c r="D511" s="1" t="s">
        <v>186</v>
      </c>
      <c r="F511" s="1" t="str">
        <f t="shared" ref="F511:F512" si="342">"510"</f>
        <v>510</v>
      </c>
      <c r="G511" s="2">
        <v>42015.0</v>
      </c>
      <c r="H511" s="1">
        <v>254900.0</v>
      </c>
      <c r="I511" s="1">
        <v>213.0</v>
      </c>
      <c r="J511" s="1">
        <v>254900.0</v>
      </c>
      <c r="K511" s="2">
        <v>42029.0</v>
      </c>
      <c r="L511" s="1">
        <v>15.0</v>
      </c>
      <c r="M511" s="2">
        <v>42029.0</v>
      </c>
      <c r="N511" s="1" t="s">
        <v>187</v>
      </c>
      <c r="O511" s="2">
        <v>42088.0</v>
      </c>
      <c r="P511" s="1">
        <v>8770.0</v>
      </c>
      <c r="Q511" s="1">
        <v>890.0</v>
      </c>
      <c r="S511" s="1">
        <v>609.0</v>
      </c>
      <c r="T511" s="1" t="s">
        <v>5149</v>
      </c>
      <c r="U511" s="1" t="s">
        <v>320</v>
      </c>
      <c r="V511" s="1" t="s">
        <v>2700</v>
      </c>
      <c r="W511" s="1">
        <v>60510.0</v>
      </c>
      <c r="Y511" s="1" t="s">
        <v>6743</v>
      </c>
      <c r="Z511" s="1">
        <v>1924.0</v>
      </c>
      <c r="AA511" s="1" t="s">
        <v>192</v>
      </c>
      <c r="AB511" s="1" t="s">
        <v>193</v>
      </c>
      <c r="AC511" s="1" t="s">
        <v>6744</v>
      </c>
      <c r="AD511" s="1" t="s">
        <v>2702</v>
      </c>
      <c r="AE511" s="1" t="s">
        <v>325</v>
      </c>
      <c r="AF511" s="1" t="s">
        <v>2702</v>
      </c>
      <c r="AH511" s="1" t="s">
        <v>6745</v>
      </c>
      <c r="AK511" s="1">
        <v>8.0</v>
      </c>
      <c r="AL511" s="1">
        <v>4.0</v>
      </c>
      <c r="AM511" s="1">
        <v>2.0</v>
      </c>
      <c r="AN511" s="1">
        <v>0.0</v>
      </c>
      <c r="AO511" s="1" t="s">
        <v>1261</v>
      </c>
      <c r="AQ511" s="1" t="s">
        <v>198</v>
      </c>
      <c r="AR511" s="1" t="s">
        <v>200</v>
      </c>
      <c r="AS511" s="1" t="s">
        <v>199</v>
      </c>
      <c r="AT511" s="1">
        <v>1.0</v>
      </c>
      <c r="AV511" s="1" t="s">
        <v>200</v>
      </c>
      <c r="AW511" s="1">
        <v>3286.72</v>
      </c>
      <c r="AX511" s="1">
        <v>2013.0</v>
      </c>
      <c r="AY511" s="1" t="s">
        <v>387</v>
      </c>
      <c r="AZ511" s="1" t="s">
        <v>200</v>
      </c>
      <c r="BA511" s="1" t="str">
        <f>"1222355007"</f>
        <v>1222355007</v>
      </c>
      <c r="BB511" s="1" t="s">
        <v>200</v>
      </c>
      <c r="BC511" s="1">
        <v>1768.0</v>
      </c>
      <c r="BD511" s="1">
        <v>247000.0</v>
      </c>
      <c r="BE511" s="2">
        <v>42015.0</v>
      </c>
      <c r="BF511" s="2" t="s">
        <v>6746</v>
      </c>
      <c r="BG511" s="1" t="s">
        <v>5940</v>
      </c>
      <c r="BH511" s="1">
        <v>0.0</v>
      </c>
      <c r="BI511" s="1" t="s">
        <v>3090</v>
      </c>
      <c r="BJ511" s="1" t="s">
        <v>3091</v>
      </c>
      <c r="BK511" s="1" t="s">
        <v>204</v>
      </c>
      <c r="BL511" s="1" t="str">
        <f t="shared" ref="BL511:BM511" si="341">""</f>
        <v/>
      </c>
      <c r="BM511" s="1" t="str">
        <f t="shared" si="341"/>
        <v/>
      </c>
      <c r="BQ511" s="1">
        <v>101.0</v>
      </c>
      <c r="BR511" s="1">
        <v>101.0</v>
      </c>
      <c r="BS511" s="1">
        <v>101.0</v>
      </c>
      <c r="BU511" s="1" t="s">
        <v>584</v>
      </c>
      <c r="BV511" s="1" t="s">
        <v>206</v>
      </c>
      <c r="BW511" s="1" t="s">
        <v>207</v>
      </c>
      <c r="BX511" s="1" t="s">
        <v>229</v>
      </c>
      <c r="BY511" s="1" t="s">
        <v>1044</v>
      </c>
      <c r="BZ511" s="1" t="s">
        <v>209</v>
      </c>
      <c r="CA511" s="1" t="s">
        <v>207</v>
      </c>
      <c r="CB511" s="1" t="s">
        <v>1550</v>
      </c>
      <c r="CC511" s="1" t="s">
        <v>332</v>
      </c>
      <c r="CD511" s="1" t="s">
        <v>206</v>
      </c>
      <c r="CE511" s="1" t="s">
        <v>207</v>
      </c>
      <c r="CF511" s="1" t="s">
        <v>1549</v>
      </c>
      <c r="CG511" s="1" t="s">
        <v>1760</v>
      </c>
      <c r="CH511" s="1" t="s">
        <v>209</v>
      </c>
      <c r="CI511" s="1" t="s">
        <v>207</v>
      </c>
      <c r="CJ511" s="1" t="s">
        <v>229</v>
      </c>
      <c r="CK511" s="1" t="s">
        <v>3805</v>
      </c>
      <c r="CL511" s="1" t="s">
        <v>209</v>
      </c>
      <c r="CM511" s="1" t="s">
        <v>207</v>
      </c>
      <c r="CN511" s="1" t="s">
        <v>229</v>
      </c>
      <c r="CO511" s="1" t="s">
        <v>495</v>
      </c>
      <c r="CP511" s="1" t="s">
        <v>206</v>
      </c>
      <c r="CQ511" s="1" t="s">
        <v>207</v>
      </c>
      <c r="CR511" s="1" t="s">
        <v>1549</v>
      </c>
      <c r="CS511" s="1" t="s">
        <v>1745</v>
      </c>
      <c r="CT511" s="1" t="s">
        <v>206</v>
      </c>
      <c r="CU511" s="1" t="s">
        <v>268</v>
      </c>
      <c r="CV511" s="1" t="s">
        <v>229</v>
      </c>
      <c r="CX511" s="1" t="s">
        <v>204</v>
      </c>
      <c r="DA511" s="1" t="s">
        <v>200</v>
      </c>
      <c r="DC511" s="1" t="s">
        <v>216</v>
      </c>
      <c r="DE511" s="1" t="s">
        <v>1810</v>
      </c>
      <c r="DF511" s="1" t="s">
        <v>1811</v>
      </c>
      <c r="DG511" s="1" t="s">
        <v>2747</v>
      </c>
      <c r="DH511" s="1" t="s">
        <v>220</v>
      </c>
      <c r="DI511" s="1" t="s">
        <v>308</v>
      </c>
      <c r="DJ511" s="1" t="s">
        <v>1379</v>
      </c>
      <c r="DK511" s="1" t="s">
        <v>2312</v>
      </c>
      <c r="DL511" s="1" t="s">
        <v>223</v>
      </c>
      <c r="DM511" s="1" t="s">
        <v>6747</v>
      </c>
      <c r="DN511" s="1" t="s">
        <v>339</v>
      </c>
      <c r="DO511" s="1" t="s">
        <v>486</v>
      </c>
      <c r="DP511" s="1" t="s">
        <v>340</v>
      </c>
      <c r="DQ511" s="1" t="s">
        <v>441</v>
      </c>
      <c r="DR511" s="1" t="s">
        <v>229</v>
      </c>
      <c r="DS511" s="1" t="s">
        <v>368</v>
      </c>
      <c r="DU511" s="1" t="s">
        <v>681</v>
      </c>
      <c r="DV511" s="1" t="s">
        <v>598</v>
      </c>
      <c r="DW511" s="1" t="s">
        <v>233</v>
      </c>
      <c r="DX511" s="1" t="s">
        <v>234</v>
      </c>
      <c r="DY511" s="1" t="s">
        <v>553</v>
      </c>
      <c r="DZ511" s="1" t="s">
        <v>6748</v>
      </c>
      <c r="EA511" s="1" t="s">
        <v>1326</v>
      </c>
      <c r="EC511" s="1" t="s">
        <v>237</v>
      </c>
      <c r="EG511" s="1" t="s">
        <v>598</v>
      </c>
      <c r="EL511" s="1" t="s">
        <v>495</v>
      </c>
      <c r="EM511" s="1" t="s">
        <v>206</v>
      </c>
      <c r="EN511" s="1" t="s">
        <v>207</v>
      </c>
      <c r="EO511" s="1" t="s">
        <v>1549</v>
      </c>
      <c r="EQ511" s="1" t="s">
        <v>238</v>
      </c>
      <c r="EU511" s="1" t="s">
        <v>238</v>
      </c>
      <c r="EY511" s="1" t="s">
        <v>238</v>
      </c>
      <c r="FC511" s="1" t="s">
        <v>238</v>
      </c>
      <c r="FF511" s="1" t="s">
        <v>239</v>
      </c>
      <c r="FG511" s="1" t="s">
        <v>192</v>
      </c>
      <c r="FH511" s="1" t="s">
        <v>192</v>
      </c>
      <c r="FJ511" s="1" t="s">
        <v>285</v>
      </c>
      <c r="FK511" s="1" t="s">
        <v>229</v>
      </c>
      <c r="FL511" s="1" t="s">
        <v>4309</v>
      </c>
      <c r="FM511" s="1">
        <v>973.0</v>
      </c>
      <c r="FN511" s="1" t="s">
        <v>6749</v>
      </c>
      <c r="FO511" s="1" t="s">
        <v>6750</v>
      </c>
      <c r="FP511" s="1">
        <v>7546.0</v>
      </c>
      <c r="FQ511" s="1" t="s">
        <v>6751</v>
      </c>
      <c r="FU511" s="1" t="s">
        <v>6752</v>
      </c>
      <c r="FV511" s="1" t="s">
        <v>192</v>
      </c>
      <c r="FW511" s="1" t="s">
        <v>567</v>
      </c>
      <c r="FX511" s="1" t="s">
        <v>655</v>
      </c>
      <c r="FZ511" s="1" t="s">
        <v>632</v>
      </c>
      <c r="GA511" s="1" t="s">
        <v>291</v>
      </c>
      <c r="GB511" s="2">
        <v>42088.0</v>
      </c>
      <c r="GC511" s="1" t="s">
        <v>6753</v>
      </c>
    </row>
    <row r="512">
      <c r="A512" s="1">
        <v>352000.0</v>
      </c>
      <c r="B512" s="1" t="s">
        <v>185</v>
      </c>
      <c r="C512" s="1" t="str">
        <f>"08794950"</f>
        <v>08794950</v>
      </c>
      <c r="D512" s="1" t="s">
        <v>186</v>
      </c>
      <c r="F512" s="1" t="str">
        <f t="shared" si="342"/>
        <v>510</v>
      </c>
      <c r="G512" s="2">
        <v>41974.0</v>
      </c>
      <c r="H512" s="1">
        <v>369900.0</v>
      </c>
      <c r="I512" s="1">
        <v>36.0</v>
      </c>
      <c r="J512" s="1">
        <v>369900.0</v>
      </c>
      <c r="K512" s="2">
        <v>42009.0</v>
      </c>
      <c r="L512" s="1">
        <v>36.0</v>
      </c>
      <c r="M512" s="2">
        <v>42009.0</v>
      </c>
      <c r="N512" s="1" t="s">
        <v>187</v>
      </c>
      <c r="O512" s="2">
        <v>42069.0</v>
      </c>
      <c r="P512" s="1">
        <v>1333.0</v>
      </c>
      <c r="Q512" s="1">
        <v>464.0</v>
      </c>
      <c r="S512" s="1">
        <v>2314.0</v>
      </c>
      <c r="T512" s="1" t="s">
        <v>6754</v>
      </c>
      <c r="U512" s="1" t="s">
        <v>420</v>
      </c>
      <c r="V512" s="1" t="s">
        <v>2700</v>
      </c>
      <c r="W512" s="1">
        <v>60510.0</v>
      </c>
      <c r="Y512" s="1" t="s">
        <v>6755</v>
      </c>
      <c r="Z512" s="1">
        <v>1994.0</v>
      </c>
      <c r="AA512" s="1" t="s">
        <v>200</v>
      </c>
      <c r="AB512" s="1" t="s">
        <v>193</v>
      </c>
      <c r="AC512" s="1" t="s">
        <v>6205</v>
      </c>
      <c r="AD512" s="1" t="s">
        <v>2702</v>
      </c>
      <c r="AE512" s="1" t="s">
        <v>325</v>
      </c>
      <c r="AF512" s="1" t="s">
        <v>424</v>
      </c>
      <c r="AH512" s="1" t="s">
        <v>6756</v>
      </c>
      <c r="AI512" s="1">
        <v>0.4348</v>
      </c>
      <c r="AK512" s="1">
        <v>11.0</v>
      </c>
      <c r="AL512" s="1">
        <v>4.0</v>
      </c>
      <c r="AM512" s="1">
        <v>2.0</v>
      </c>
      <c r="AN512" s="1">
        <v>2.0</v>
      </c>
      <c r="AO512" s="1" t="s">
        <v>198</v>
      </c>
      <c r="AP512" s="1">
        <v>1.0</v>
      </c>
      <c r="AQ512" s="1" t="s">
        <v>1314</v>
      </c>
      <c r="AR512" s="1" t="s">
        <v>192</v>
      </c>
      <c r="AS512" s="1" t="s">
        <v>199</v>
      </c>
      <c r="AT512" s="1">
        <v>2.0</v>
      </c>
      <c r="AV512" s="1" t="s">
        <v>200</v>
      </c>
      <c r="AW512" s="1">
        <v>7929.78</v>
      </c>
      <c r="AX512" s="1">
        <v>2013.0</v>
      </c>
      <c r="AZ512" s="1" t="s">
        <v>200</v>
      </c>
      <c r="BA512" s="1" t="str">
        <f>"1220229011"</f>
        <v>1220229011</v>
      </c>
      <c r="BC512" s="1">
        <v>2325.0</v>
      </c>
      <c r="BD512" s="1">
        <v>352000.0</v>
      </c>
      <c r="BE512" s="2">
        <v>41974.0</v>
      </c>
      <c r="BF512" s="2" t="s">
        <v>6757</v>
      </c>
      <c r="BH512" s="1">
        <v>0.0</v>
      </c>
      <c r="BJ512" s="1" t="s">
        <v>3091</v>
      </c>
      <c r="BK512" s="1" t="s">
        <v>204</v>
      </c>
      <c r="BL512" s="1" t="str">
        <f t="shared" ref="BL512:BM512" si="343">""</f>
        <v/>
      </c>
      <c r="BM512" s="1" t="str">
        <f t="shared" si="343"/>
        <v/>
      </c>
      <c r="BQ512" s="1">
        <v>101.0</v>
      </c>
      <c r="BR512" s="1">
        <v>101.0</v>
      </c>
      <c r="BS512" s="1">
        <v>101.0</v>
      </c>
      <c r="BU512" s="1" t="s">
        <v>329</v>
      </c>
      <c r="BV512" s="1" t="s">
        <v>206</v>
      </c>
      <c r="BW512" s="1" t="s">
        <v>207</v>
      </c>
      <c r="BY512" s="1" t="s">
        <v>214</v>
      </c>
      <c r="BZ512" s="1" t="s">
        <v>206</v>
      </c>
      <c r="CA512" s="1" t="s">
        <v>207</v>
      </c>
      <c r="CC512" s="1" t="s">
        <v>699</v>
      </c>
      <c r="CD512" s="1" t="s">
        <v>206</v>
      </c>
      <c r="CE512" s="1" t="s">
        <v>207</v>
      </c>
      <c r="CG512" s="1" t="s">
        <v>331</v>
      </c>
      <c r="CH512" s="1" t="s">
        <v>209</v>
      </c>
      <c r="CI512" s="1" t="s">
        <v>210</v>
      </c>
      <c r="CK512" s="1" t="s">
        <v>332</v>
      </c>
      <c r="CL512" s="1" t="s">
        <v>209</v>
      </c>
      <c r="CM512" s="1" t="s">
        <v>210</v>
      </c>
      <c r="CO512" s="1" t="s">
        <v>699</v>
      </c>
      <c r="CP512" s="1" t="s">
        <v>209</v>
      </c>
      <c r="CQ512" s="1" t="s">
        <v>210</v>
      </c>
      <c r="CS512" s="1" t="s">
        <v>215</v>
      </c>
      <c r="CT512" s="1" t="s">
        <v>206</v>
      </c>
      <c r="CU512" s="1" t="s">
        <v>207</v>
      </c>
      <c r="CW512" s="1" t="s">
        <v>616</v>
      </c>
      <c r="CX512" s="1" t="s">
        <v>206</v>
      </c>
      <c r="CY512" s="1" t="s">
        <v>207</v>
      </c>
      <c r="DA512" s="1" t="s">
        <v>200</v>
      </c>
      <c r="DC512" s="1" t="s">
        <v>678</v>
      </c>
      <c r="DD512" s="1" t="s">
        <v>306</v>
      </c>
      <c r="DE512" s="1" t="s">
        <v>273</v>
      </c>
      <c r="DF512" s="1" t="s">
        <v>219</v>
      </c>
      <c r="DH512" s="1" t="s">
        <v>220</v>
      </c>
      <c r="DI512" s="1" t="s">
        <v>817</v>
      </c>
      <c r="DJ512" s="1" t="s">
        <v>222</v>
      </c>
      <c r="DK512" s="1" t="s">
        <v>223</v>
      </c>
      <c r="DL512" s="1" t="s">
        <v>1267</v>
      </c>
      <c r="DM512" s="1" t="s">
        <v>338</v>
      </c>
      <c r="DN512" s="1" t="s">
        <v>399</v>
      </c>
      <c r="DO512" s="1" t="s">
        <v>6305</v>
      </c>
      <c r="DP512" s="1" t="s">
        <v>340</v>
      </c>
      <c r="DQ512" s="1" t="s">
        <v>441</v>
      </c>
      <c r="DR512" s="1" t="s">
        <v>229</v>
      </c>
      <c r="DU512" s="1" t="s">
        <v>6758</v>
      </c>
      <c r="DV512" s="1" t="s">
        <v>6759</v>
      </c>
      <c r="DW512" s="1" t="s">
        <v>279</v>
      </c>
      <c r="DX512" s="1" t="s">
        <v>234</v>
      </c>
      <c r="DY512" s="1" t="s">
        <v>1958</v>
      </c>
      <c r="DZ512" s="1" t="s">
        <v>310</v>
      </c>
      <c r="EC512" s="1" t="s">
        <v>237</v>
      </c>
      <c r="ED512" s="1" t="s">
        <v>864</v>
      </c>
      <c r="EG512" s="1" t="s">
        <v>556</v>
      </c>
      <c r="EH512" s="1" t="s">
        <v>598</v>
      </c>
      <c r="EI512" s="1" t="s">
        <v>450</v>
      </c>
      <c r="EL512" s="1" t="s">
        <v>363</v>
      </c>
      <c r="EM512" s="1" t="s">
        <v>206</v>
      </c>
      <c r="EN512" s="1" t="s">
        <v>207</v>
      </c>
      <c r="EP512" s="1" t="s">
        <v>329</v>
      </c>
      <c r="EQ512" s="1" t="s">
        <v>42</v>
      </c>
      <c r="ER512" s="1" t="s">
        <v>210</v>
      </c>
      <c r="ET512" s="1" t="s">
        <v>6760</v>
      </c>
      <c r="EU512" s="1" t="s">
        <v>42</v>
      </c>
      <c r="EV512" s="1" t="s">
        <v>210</v>
      </c>
      <c r="EY512" s="1" t="s">
        <v>238</v>
      </c>
      <c r="FC512" s="1" t="s">
        <v>238</v>
      </c>
      <c r="FF512" s="1" t="s">
        <v>239</v>
      </c>
      <c r="FG512" s="1" t="s">
        <v>192</v>
      </c>
      <c r="FH512" s="1" t="s">
        <v>192</v>
      </c>
      <c r="FJ512" s="1" t="s">
        <v>6761</v>
      </c>
      <c r="FK512" s="1" t="s">
        <v>229</v>
      </c>
      <c r="FL512" s="1" t="s">
        <v>1289</v>
      </c>
      <c r="FM512" s="1">
        <v>306.0</v>
      </c>
      <c r="FN512" s="1" t="s">
        <v>6762</v>
      </c>
      <c r="FO512" s="1" t="s">
        <v>6763</v>
      </c>
      <c r="FP512" s="1">
        <v>310457.0</v>
      </c>
      <c r="FQ512" s="1" t="s">
        <v>6764</v>
      </c>
      <c r="FU512" s="1" t="s">
        <v>6765</v>
      </c>
      <c r="FV512" s="1" t="s">
        <v>200</v>
      </c>
      <c r="FW512" s="1" t="s">
        <v>6766</v>
      </c>
      <c r="FZ512" s="1" t="s">
        <v>632</v>
      </c>
      <c r="GA512" s="1" t="s">
        <v>291</v>
      </c>
      <c r="GB512" s="2">
        <v>42072.0</v>
      </c>
    </row>
    <row r="513">
      <c r="A513" s="1">
        <v>195000.0</v>
      </c>
      <c r="B513" s="1" t="s">
        <v>185</v>
      </c>
      <c r="C513" s="1" t="str">
        <f>"08792288"</f>
        <v>08792288</v>
      </c>
      <c r="D513" s="1" t="s">
        <v>186</v>
      </c>
      <c r="F513" s="1" t="str">
        <f>"560"</f>
        <v>560</v>
      </c>
      <c r="G513" s="2">
        <v>41967.0</v>
      </c>
      <c r="H513" s="1">
        <v>198000.0</v>
      </c>
      <c r="I513" s="1">
        <v>24.0</v>
      </c>
      <c r="J513" s="1">
        <v>198000.0</v>
      </c>
      <c r="K513" s="2">
        <v>41990.0</v>
      </c>
      <c r="L513" s="1">
        <v>24.0</v>
      </c>
      <c r="M513" s="2">
        <v>41990.0</v>
      </c>
      <c r="N513" s="1" t="s">
        <v>187</v>
      </c>
      <c r="O513" s="2">
        <v>42034.0</v>
      </c>
      <c r="P513" s="1">
        <v>918.0</v>
      </c>
      <c r="Q513" s="1">
        <v>83.0</v>
      </c>
      <c r="R513" s="1">
        <v>4000.0</v>
      </c>
      <c r="S513" s="1">
        <v>40.0</v>
      </c>
      <c r="T513" s="1" t="s">
        <v>6767</v>
      </c>
      <c r="U513" s="1" t="s">
        <v>569</v>
      </c>
      <c r="V513" s="1" t="s">
        <v>845</v>
      </c>
      <c r="W513" s="1">
        <v>60560.0</v>
      </c>
      <c r="Y513" s="1" t="s">
        <v>6768</v>
      </c>
      <c r="Z513" s="1" t="s">
        <v>296</v>
      </c>
      <c r="AA513" s="1" t="s">
        <v>192</v>
      </c>
      <c r="AB513" s="1" t="s">
        <v>193</v>
      </c>
      <c r="AC513" s="1" t="s">
        <v>6769</v>
      </c>
      <c r="AD513" s="1" t="s">
        <v>1089</v>
      </c>
      <c r="AE513" s="1" t="s">
        <v>849</v>
      </c>
      <c r="AF513" s="1" t="s">
        <v>2153</v>
      </c>
      <c r="AH513" s="1" t="s">
        <v>6770</v>
      </c>
      <c r="AI513" s="1">
        <v>0.991</v>
      </c>
      <c r="AK513" s="1">
        <v>8.0</v>
      </c>
      <c r="AL513" s="1">
        <v>4.0</v>
      </c>
      <c r="AM513" s="1">
        <v>2.0</v>
      </c>
      <c r="AN513" s="1">
        <v>1.0</v>
      </c>
      <c r="AO513" s="1" t="s">
        <v>198</v>
      </c>
      <c r="AP513" s="1">
        <v>1.0</v>
      </c>
      <c r="AQ513" s="1" t="s">
        <v>6771</v>
      </c>
      <c r="AR513" s="1" t="s">
        <v>192</v>
      </c>
      <c r="AS513" s="1" t="s">
        <v>199</v>
      </c>
      <c r="AT513" s="1">
        <v>2.5</v>
      </c>
      <c r="AV513" s="1" t="s">
        <v>200</v>
      </c>
      <c r="AW513" s="1">
        <v>6008.62</v>
      </c>
      <c r="AX513" s="1">
        <v>2013.0</v>
      </c>
      <c r="AY513" s="1" t="s">
        <v>387</v>
      </c>
      <c r="AZ513" s="1" t="s">
        <v>200</v>
      </c>
      <c r="BA513" s="1" t="str">
        <f>"0507328004"</f>
        <v>0507328004</v>
      </c>
      <c r="BC513" s="1">
        <v>2088.0</v>
      </c>
      <c r="BD513" s="1">
        <v>195000.0</v>
      </c>
      <c r="BE513" s="2">
        <v>41967.0</v>
      </c>
      <c r="BF513" s="2" t="s">
        <v>6772</v>
      </c>
      <c r="BH513" s="1">
        <v>0.0</v>
      </c>
      <c r="BK513" s="1" t="s">
        <v>204</v>
      </c>
      <c r="BL513" s="1" t="str">
        <f t="shared" ref="BL513:BM513" si="344">""</f>
        <v/>
      </c>
      <c r="BM513" s="1" t="str">
        <f t="shared" si="344"/>
        <v/>
      </c>
      <c r="BQ513" s="1">
        <v>115.0</v>
      </c>
      <c r="BR513" s="1">
        <v>115.0</v>
      </c>
      <c r="BS513" s="1">
        <v>115.0</v>
      </c>
      <c r="BU513" s="1" t="s">
        <v>1000</v>
      </c>
      <c r="BV513" s="1" t="s">
        <v>206</v>
      </c>
      <c r="BW513" s="1" t="s">
        <v>210</v>
      </c>
      <c r="BY513" s="1" t="s">
        <v>214</v>
      </c>
      <c r="BZ513" s="1" t="s">
        <v>209</v>
      </c>
      <c r="CA513" s="1" t="s">
        <v>210</v>
      </c>
      <c r="CC513" s="1" t="s">
        <v>331</v>
      </c>
      <c r="CD513" s="1" t="s">
        <v>206</v>
      </c>
      <c r="CE513" s="1" t="s">
        <v>207</v>
      </c>
      <c r="CG513" s="1" t="s">
        <v>215</v>
      </c>
      <c r="CH513" s="1" t="s">
        <v>209</v>
      </c>
      <c r="CI513" s="1" t="s">
        <v>210</v>
      </c>
      <c r="CK513" s="1" t="s">
        <v>264</v>
      </c>
      <c r="CL513" s="1" t="s">
        <v>209</v>
      </c>
      <c r="CM513" s="1" t="s">
        <v>210</v>
      </c>
      <c r="CO513" s="1" t="s">
        <v>497</v>
      </c>
      <c r="CP513" s="1" t="s">
        <v>267</v>
      </c>
      <c r="CS513" s="1" t="s">
        <v>329</v>
      </c>
      <c r="CT513" s="1" t="s">
        <v>206</v>
      </c>
      <c r="CU513" s="1" t="s">
        <v>207</v>
      </c>
      <c r="CW513" s="1" t="s">
        <v>434</v>
      </c>
      <c r="CX513" s="1" t="s">
        <v>267</v>
      </c>
      <c r="CY513" s="1" t="s">
        <v>617</v>
      </c>
      <c r="DA513" s="1" t="s">
        <v>200</v>
      </c>
      <c r="DC513" s="1" t="s">
        <v>545</v>
      </c>
      <c r="DD513" s="1" t="s">
        <v>336</v>
      </c>
      <c r="DE513" s="1" t="s">
        <v>1139</v>
      </c>
      <c r="DF513" s="1" t="s">
        <v>6773</v>
      </c>
      <c r="DG513" s="1" t="s">
        <v>1553</v>
      </c>
      <c r="DH513" s="1" t="s">
        <v>856</v>
      </c>
      <c r="DI513" s="1" t="s">
        <v>1120</v>
      </c>
      <c r="DJ513" s="1" t="s">
        <v>857</v>
      </c>
      <c r="DK513" s="1" t="s">
        <v>223</v>
      </c>
      <c r="DL513" s="1" t="s">
        <v>224</v>
      </c>
      <c r="DM513" s="1" t="s">
        <v>338</v>
      </c>
      <c r="DO513" s="1" t="s">
        <v>1208</v>
      </c>
      <c r="DQ513" s="1" t="s">
        <v>931</v>
      </c>
      <c r="DR513" s="1" t="s">
        <v>229</v>
      </c>
      <c r="DS513" s="1" t="s">
        <v>230</v>
      </c>
      <c r="DU513" s="1" t="s">
        <v>2070</v>
      </c>
      <c r="DV513" s="1" t="s">
        <v>232</v>
      </c>
      <c r="DW513" s="1" t="s">
        <v>489</v>
      </c>
      <c r="DX513" s="1" t="s">
        <v>1287</v>
      </c>
      <c r="DY513" s="1" t="s">
        <v>704</v>
      </c>
      <c r="DZ513" s="1" t="s">
        <v>6774</v>
      </c>
      <c r="EA513" s="1" t="s">
        <v>283</v>
      </c>
      <c r="EB513" s="1" t="s">
        <v>345</v>
      </c>
      <c r="EC513" s="1" t="s">
        <v>284</v>
      </c>
      <c r="ED513" s="1" t="s">
        <v>407</v>
      </c>
      <c r="EM513" s="1" t="s">
        <v>238</v>
      </c>
      <c r="EQ513" s="1" t="s">
        <v>238</v>
      </c>
      <c r="EU513" s="1" t="s">
        <v>238</v>
      </c>
      <c r="EY513" s="1" t="s">
        <v>238</v>
      </c>
      <c r="FC513" s="1" t="s">
        <v>238</v>
      </c>
      <c r="FF513" s="1" t="s">
        <v>239</v>
      </c>
      <c r="FG513" s="1" t="s">
        <v>192</v>
      </c>
      <c r="FH513" s="1" t="s">
        <v>192</v>
      </c>
      <c r="FJ513" s="1" t="s">
        <v>3062</v>
      </c>
      <c r="FK513" s="1" t="s">
        <v>348</v>
      </c>
      <c r="FL513" s="1" t="s">
        <v>1007</v>
      </c>
      <c r="FM513" s="1">
        <v>23196.0</v>
      </c>
      <c r="FN513" s="1" t="s">
        <v>3741</v>
      </c>
      <c r="FO513" s="1" t="s">
        <v>6775</v>
      </c>
      <c r="FP513" s="1">
        <v>233155.0</v>
      </c>
      <c r="FQ513" s="1" t="s">
        <v>6776</v>
      </c>
      <c r="FR513" s="1">
        <v>221629.0</v>
      </c>
      <c r="FS513" s="1" t="s">
        <v>6777</v>
      </c>
      <c r="FU513" s="1" t="s">
        <v>6778</v>
      </c>
      <c r="FV513" s="1" t="s">
        <v>200</v>
      </c>
      <c r="FW513" s="1" t="s">
        <v>290</v>
      </c>
      <c r="FZ513" s="1" t="s">
        <v>229</v>
      </c>
      <c r="GA513" s="1" t="s">
        <v>291</v>
      </c>
      <c r="GB513" s="2">
        <v>42034.0</v>
      </c>
      <c r="GC513" s="1" t="s">
        <v>6779</v>
      </c>
    </row>
    <row r="514">
      <c r="A514" s="1">
        <v>150000.0</v>
      </c>
      <c r="B514" s="1" t="s">
        <v>185</v>
      </c>
      <c r="C514" s="1" t="str">
        <f>"08796544"</f>
        <v>08796544</v>
      </c>
      <c r="D514" s="1" t="s">
        <v>186</v>
      </c>
      <c r="F514" s="1" t="str">
        <f>"8071"</f>
        <v>8071</v>
      </c>
      <c r="G514" s="2">
        <v>41976.0</v>
      </c>
      <c r="H514" s="1">
        <v>169900.0</v>
      </c>
      <c r="I514" s="1">
        <v>60.0</v>
      </c>
      <c r="J514" s="1">
        <v>159900.0</v>
      </c>
      <c r="K514" s="2">
        <v>42035.0</v>
      </c>
      <c r="L514" s="1">
        <v>60.0</v>
      </c>
      <c r="M514" s="2">
        <v>42035.0</v>
      </c>
      <c r="N514" s="1" t="s">
        <v>356</v>
      </c>
      <c r="O514" s="2">
        <v>42079.0</v>
      </c>
      <c r="P514" s="1">
        <v>237514.0</v>
      </c>
      <c r="Q514" s="1">
        <v>60321.0</v>
      </c>
      <c r="S514" s="1">
        <v>7816.0</v>
      </c>
      <c r="T514" s="1" t="s">
        <v>6780</v>
      </c>
      <c r="U514" s="1" t="s">
        <v>189</v>
      </c>
      <c r="V514" s="1" t="s">
        <v>190</v>
      </c>
      <c r="W514" s="1">
        <v>60620.0</v>
      </c>
      <c r="Y514" s="1" t="s">
        <v>6781</v>
      </c>
      <c r="Z514" s="1">
        <v>1950.0</v>
      </c>
      <c r="AA514" s="1" t="s">
        <v>192</v>
      </c>
      <c r="AB514" s="1" t="s">
        <v>193</v>
      </c>
      <c r="AD514" s="1" t="s">
        <v>194</v>
      </c>
      <c r="AE514" s="1" t="s">
        <v>195</v>
      </c>
      <c r="AF514" s="1" t="s">
        <v>659</v>
      </c>
      <c r="AH514" s="1">
        <v>3750.0</v>
      </c>
      <c r="AI514" s="1">
        <v>0.0861</v>
      </c>
      <c r="AK514" s="1">
        <v>8.0</v>
      </c>
      <c r="AL514" s="1">
        <v>3.0</v>
      </c>
      <c r="AM514" s="1">
        <v>3.0</v>
      </c>
      <c r="AN514" s="1">
        <v>0.0</v>
      </c>
      <c r="AO514" s="1" t="s">
        <v>229</v>
      </c>
      <c r="AQ514" s="1" t="s">
        <v>198</v>
      </c>
      <c r="AR514" s="1" t="s">
        <v>192</v>
      </c>
      <c r="AS514" s="1" t="s">
        <v>199</v>
      </c>
      <c r="AT514" s="1">
        <v>2.0</v>
      </c>
      <c r="AV514" s="1" t="s">
        <v>200</v>
      </c>
      <c r="AW514" s="1">
        <v>1294.87</v>
      </c>
      <c r="AX514" s="1">
        <v>2013.0</v>
      </c>
      <c r="AY514" s="1" t="s">
        <v>387</v>
      </c>
      <c r="AZ514" s="1" t="s">
        <v>200</v>
      </c>
      <c r="BA514" s="1" t="str">
        <f>"20304290220000"</f>
        <v>20304290220000</v>
      </c>
      <c r="BC514" s="1">
        <v>1475.0</v>
      </c>
      <c r="BD514" s="1">
        <v>150000.0</v>
      </c>
      <c r="BE514" s="2">
        <v>41976.0</v>
      </c>
      <c r="BF514" s="2" t="s">
        <v>6782</v>
      </c>
      <c r="BH514" s="1">
        <v>0.0</v>
      </c>
      <c r="BK514" s="1" t="s">
        <v>204</v>
      </c>
      <c r="BL514" s="1" t="str">
        <f t="shared" ref="BL514:BM514" si="345">"0"</f>
        <v>0</v>
      </c>
      <c r="BM514" s="1" t="str">
        <f t="shared" si="345"/>
        <v>0</v>
      </c>
      <c r="BN514" s="1">
        <v>1900.0</v>
      </c>
      <c r="BO514" s="1">
        <v>7818.0</v>
      </c>
      <c r="BQ514" s="1">
        <v>299.0</v>
      </c>
      <c r="BR514" s="1">
        <v>299.0</v>
      </c>
      <c r="BS514" s="1">
        <v>299.0</v>
      </c>
      <c r="BU514" s="1" t="s">
        <v>1426</v>
      </c>
      <c r="BV514" s="1" t="s">
        <v>206</v>
      </c>
      <c r="BW514" s="1" t="s">
        <v>207</v>
      </c>
      <c r="BY514" s="1" t="s">
        <v>582</v>
      </c>
      <c r="BZ514" s="1" t="s">
        <v>206</v>
      </c>
      <c r="CC514" s="1" t="s">
        <v>497</v>
      </c>
      <c r="CD514" s="1" t="s">
        <v>206</v>
      </c>
      <c r="CE514" s="1" t="s">
        <v>207</v>
      </c>
      <c r="CG514" s="1" t="s">
        <v>647</v>
      </c>
      <c r="CH514" s="1" t="s">
        <v>209</v>
      </c>
      <c r="CK514" s="1" t="s">
        <v>205</v>
      </c>
      <c r="CL514" s="1" t="s">
        <v>209</v>
      </c>
      <c r="CO514" s="1" t="s">
        <v>332</v>
      </c>
      <c r="CP514" s="1" t="s">
        <v>42</v>
      </c>
      <c r="CS514" s="1" t="s">
        <v>215</v>
      </c>
      <c r="CT514" s="1" t="s">
        <v>206</v>
      </c>
      <c r="CW514" s="1" t="s">
        <v>6783</v>
      </c>
      <c r="CX514" s="1" t="s">
        <v>42</v>
      </c>
      <c r="DA514" s="1" t="s">
        <v>200</v>
      </c>
      <c r="DC514" s="1" t="s">
        <v>702</v>
      </c>
      <c r="DE514" s="1" t="s">
        <v>273</v>
      </c>
      <c r="DF514" s="1" t="s">
        <v>905</v>
      </c>
      <c r="DH514" s="1" t="s">
        <v>220</v>
      </c>
      <c r="DI514" s="1" t="s">
        <v>308</v>
      </c>
      <c r="DJ514" s="1" t="s">
        <v>222</v>
      </c>
      <c r="DL514" s="1" t="s">
        <v>224</v>
      </c>
      <c r="DM514" s="1" t="s">
        <v>229</v>
      </c>
      <c r="DN514" s="1" t="s">
        <v>6784</v>
      </c>
      <c r="DQ514" s="1" t="s">
        <v>228</v>
      </c>
      <c r="DR514" s="1" t="s">
        <v>229</v>
      </c>
      <c r="DV514" s="1" t="s">
        <v>232</v>
      </c>
      <c r="DW514" s="1" t="s">
        <v>279</v>
      </c>
      <c r="DX514" s="1" t="s">
        <v>234</v>
      </c>
      <c r="DY514" s="1" t="s">
        <v>4426</v>
      </c>
      <c r="DZ514" s="1" t="s">
        <v>4152</v>
      </c>
      <c r="EA514" s="1" t="s">
        <v>1075</v>
      </c>
      <c r="EC514" s="1" t="s">
        <v>645</v>
      </c>
      <c r="EM514" s="1" t="s">
        <v>238</v>
      </c>
      <c r="EQ514" s="1" t="s">
        <v>238</v>
      </c>
      <c r="EU514" s="1" t="s">
        <v>238</v>
      </c>
      <c r="EY514" s="1" t="s">
        <v>238</v>
      </c>
      <c r="FC514" s="1" t="s">
        <v>238</v>
      </c>
      <c r="FF514" s="1" t="s">
        <v>239</v>
      </c>
      <c r="FG514" s="1" t="s">
        <v>192</v>
      </c>
      <c r="FH514" s="1" t="s">
        <v>192</v>
      </c>
      <c r="FJ514" s="1" t="s">
        <v>624</v>
      </c>
      <c r="FK514" s="1" t="s">
        <v>229</v>
      </c>
      <c r="FL514" s="1" t="s">
        <v>2037</v>
      </c>
      <c r="FM514" s="1">
        <v>60321.0</v>
      </c>
      <c r="FN514" s="1" t="s">
        <v>2038</v>
      </c>
      <c r="FO514" s="1" t="s">
        <v>6785</v>
      </c>
      <c r="FP514" s="1">
        <v>228390.0</v>
      </c>
      <c r="FQ514" s="1" t="s">
        <v>6786</v>
      </c>
      <c r="FU514" s="1" t="s">
        <v>6787</v>
      </c>
      <c r="FV514" s="1" t="s">
        <v>200</v>
      </c>
      <c r="FW514" s="1" t="s">
        <v>290</v>
      </c>
      <c r="FX514" s="1" t="s">
        <v>655</v>
      </c>
      <c r="FZ514" s="1" t="s">
        <v>632</v>
      </c>
      <c r="GA514" s="1" t="s">
        <v>291</v>
      </c>
      <c r="GB514" s="2">
        <v>42079.0</v>
      </c>
    </row>
    <row r="515">
      <c r="A515" s="1">
        <v>155000.0</v>
      </c>
      <c r="B515" s="1" t="s">
        <v>185</v>
      </c>
      <c r="C515" s="1" t="str">
        <f>"08793765"</f>
        <v>08793765</v>
      </c>
      <c r="D515" s="1" t="s">
        <v>186</v>
      </c>
      <c r="F515" s="1" t="str">
        <f>"8045"</f>
        <v>8045</v>
      </c>
      <c r="G515" s="2">
        <v>41972.0</v>
      </c>
      <c r="H515" s="1">
        <v>157900.0</v>
      </c>
      <c r="I515" s="1">
        <v>145.0</v>
      </c>
      <c r="J515" s="1">
        <v>157900.0</v>
      </c>
      <c r="K515" s="2">
        <v>41984.0</v>
      </c>
      <c r="L515" s="1">
        <v>13.0</v>
      </c>
      <c r="M515" s="2">
        <v>41984.0</v>
      </c>
      <c r="N515" s="1" t="s">
        <v>356</v>
      </c>
      <c r="O515" s="2">
        <v>42027.0</v>
      </c>
      <c r="P515" s="1">
        <v>240419.0</v>
      </c>
      <c r="Q515" s="1">
        <v>51041.0</v>
      </c>
      <c r="R515" s="1">
        <v>2.0</v>
      </c>
      <c r="S515" s="1">
        <v>8648.0</v>
      </c>
      <c r="T515" s="1" t="s">
        <v>635</v>
      </c>
      <c r="U515" s="1" t="s">
        <v>189</v>
      </c>
      <c r="V515" s="1" t="s">
        <v>190</v>
      </c>
      <c r="W515" s="1">
        <v>60617.0</v>
      </c>
      <c r="Y515" s="1" t="s">
        <v>6788</v>
      </c>
      <c r="Z515" s="1">
        <v>1950.0</v>
      </c>
      <c r="AA515" s="1" t="s">
        <v>192</v>
      </c>
      <c r="AB515" s="1" t="s">
        <v>193</v>
      </c>
      <c r="AD515" s="1" t="s">
        <v>194</v>
      </c>
      <c r="AE515" s="1" t="s">
        <v>195</v>
      </c>
      <c r="AF515" s="1" t="s">
        <v>637</v>
      </c>
      <c r="AH515" s="1" t="s">
        <v>359</v>
      </c>
      <c r="AI515" s="1">
        <v>0.0964</v>
      </c>
      <c r="AK515" s="1">
        <v>8.0</v>
      </c>
      <c r="AL515" s="1">
        <v>3.0</v>
      </c>
      <c r="AM515" s="1">
        <v>2.0</v>
      </c>
      <c r="AN515" s="1">
        <v>0.0</v>
      </c>
      <c r="AO515" s="1" t="s">
        <v>229</v>
      </c>
      <c r="AQ515" s="1" t="s">
        <v>198</v>
      </c>
      <c r="AR515" s="1" t="s">
        <v>200</v>
      </c>
      <c r="AS515" s="1" t="s">
        <v>199</v>
      </c>
      <c r="AT515" s="1">
        <v>2.0</v>
      </c>
      <c r="AV515" s="1" t="s">
        <v>200</v>
      </c>
      <c r="AW515" s="1">
        <v>1899.43</v>
      </c>
      <c r="AX515" s="1">
        <v>2013.0</v>
      </c>
      <c r="AY515" s="1" t="s">
        <v>229</v>
      </c>
      <c r="AZ515" s="1" t="s">
        <v>200</v>
      </c>
      <c r="BA515" s="1" t="str">
        <f>"20364220610000"</f>
        <v>20364220610000</v>
      </c>
      <c r="BB515" s="1" t="s">
        <v>200</v>
      </c>
      <c r="BC515" s="1">
        <v>1136.0</v>
      </c>
      <c r="BD515" s="1">
        <v>155000.0</v>
      </c>
      <c r="BE515" s="2">
        <v>41972.0</v>
      </c>
      <c r="BF515" s="2" t="s">
        <v>6789</v>
      </c>
      <c r="BH515" s="1">
        <v>0.0</v>
      </c>
      <c r="BK515" s="1" t="s">
        <v>204</v>
      </c>
      <c r="BL515" s="1" t="str">
        <f>"0"</f>
        <v>0</v>
      </c>
      <c r="BM515" s="1" t="str">
        <f>"2030"</f>
        <v>2030</v>
      </c>
      <c r="BN515" s="1">
        <v>0.0</v>
      </c>
      <c r="BO515" s="1">
        <v>8648.0</v>
      </c>
      <c r="BQ515" s="1">
        <v>299.0</v>
      </c>
      <c r="BR515" s="1">
        <v>299.0</v>
      </c>
      <c r="BS515" s="1">
        <v>299.0</v>
      </c>
      <c r="BU515" s="1" t="s">
        <v>1426</v>
      </c>
      <c r="BV515" s="1" t="s">
        <v>206</v>
      </c>
      <c r="BW515" s="1" t="s">
        <v>207</v>
      </c>
      <c r="BX515" s="1" t="s">
        <v>229</v>
      </c>
      <c r="BY515" s="1" t="s">
        <v>363</v>
      </c>
      <c r="BZ515" s="1" t="s">
        <v>206</v>
      </c>
      <c r="CA515" s="1" t="s">
        <v>207</v>
      </c>
      <c r="CC515" s="1" t="s">
        <v>542</v>
      </c>
      <c r="CD515" s="1" t="s">
        <v>206</v>
      </c>
      <c r="CG515" s="1" t="s">
        <v>699</v>
      </c>
      <c r="CH515" s="1" t="s">
        <v>206</v>
      </c>
      <c r="CI515" s="1" t="s">
        <v>207</v>
      </c>
      <c r="CK515" s="1" t="s">
        <v>264</v>
      </c>
      <c r="CL515" s="1" t="s">
        <v>206</v>
      </c>
      <c r="CM515" s="1" t="s">
        <v>207</v>
      </c>
      <c r="CO515" s="1" t="s">
        <v>215</v>
      </c>
      <c r="CP515" s="1" t="s">
        <v>42</v>
      </c>
      <c r="CS515" s="1" t="s">
        <v>1600</v>
      </c>
      <c r="CT515" s="1" t="s">
        <v>206</v>
      </c>
      <c r="CU515" s="1" t="s">
        <v>268</v>
      </c>
      <c r="CW515" s="1" t="s">
        <v>2122</v>
      </c>
      <c r="CX515" s="1" t="s">
        <v>42</v>
      </c>
      <c r="CY515" s="1" t="s">
        <v>268</v>
      </c>
      <c r="DA515" s="1" t="s">
        <v>200</v>
      </c>
      <c r="DC515" s="1" t="s">
        <v>702</v>
      </c>
      <c r="DE515" s="1" t="s">
        <v>229</v>
      </c>
      <c r="DF515" s="1" t="s">
        <v>619</v>
      </c>
      <c r="DH515" s="1" t="s">
        <v>220</v>
      </c>
      <c r="DJ515" s="1" t="s">
        <v>222</v>
      </c>
      <c r="DL515" s="1" t="s">
        <v>1161</v>
      </c>
      <c r="DM515" s="1" t="s">
        <v>229</v>
      </c>
      <c r="DQ515" s="1" t="s">
        <v>228</v>
      </c>
      <c r="DR515" s="1" t="s">
        <v>229</v>
      </c>
      <c r="DS515" s="1" t="s">
        <v>277</v>
      </c>
      <c r="DV515" s="1" t="s">
        <v>232</v>
      </c>
      <c r="DW515" s="1" t="s">
        <v>279</v>
      </c>
      <c r="DX515" s="1" t="s">
        <v>234</v>
      </c>
      <c r="EA515" s="1" t="s">
        <v>683</v>
      </c>
      <c r="EC515" s="1" t="s">
        <v>685</v>
      </c>
      <c r="ED515" s="1" t="s">
        <v>407</v>
      </c>
      <c r="EM515" s="1" t="s">
        <v>238</v>
      </c>
      <c r="EQ515" s="1" t="s">
        <v>238</v>
      </c>
      <c r="EU515" s="1" t="s">
        <v>238</v>
      </c>
      <c r="EY515" s="1" t="s">
        <v>238</v>
      </c>
      <c r="FC515" s="1" t="s">
        <v>238</v>
      </c>
      <c r="FF515" s="1" t="s">
        <v>239</v>
      </c>
      <c r="FG515" s="1" t="s">
        <v>192</v>
      </c>
      <c r="FH515" s="1" t="s">
        <v>192</v>
      </c>
      <c r="FJ515" s="1" t="s">
        <v>6790</v>
      </c>
      <c r="FK515" s="1" t="s">
        <v>229</v>
      </c>
      <c r="FL515" s="1" t="s">
        <v>649</v>
      </c>
      <c r="FM515" s="1">
        <v>60296.0</v>
      </c>
      <c r="FN515" s="1" t="s">
        <v>650</v>
      </c>
      <c r="FO515" s="1" t="s">
        <v>651</v>
      </c>
      <c r="FP515" s="1">
        <v>602837.0</v>
      </c>
      <c r="FQ515" s="1" t="s">
        <v>652</v>
      </c>
      <c r="FR515" s="1">
        <v>602442.0</v>
      </c>
      <c r="FU515" s="1">
        <v>607.0</v>
      </c>
      <c r="FV515" s="1" t="s">
        <v>200</v>
      </c>
      <c r="FW515" s="1" t="s">
        <v>1411</v>
      </c>
      <c r="FX515" s="1" t="s">
        <v>655</v>
      </c>
      <c r="FZ515" s="1" t="s">
        <v>229</v>
      </c>
      <c r="GA515" s="1" t="s">
        <v>291</v>
      </c>
      <c r="GB515" s="2">
        <v>42027.0</v>
      </c>
    </row>
    <row r="516">
      <c r="A516" s="1">
        <v>420000.0</v>
      </c>
      <c r="B516" s="1" t="s">
        <v>185</v>
      </c>
      <c r="C516" s="1" t="str">
        <f>"08794582"</f>
        <v>08794582</v>
      </c>
      <c r="D516" s="1" t="s">
        <v>186</v>
      </c>
      <c r="F516" s="1" t="str">
        <f>"510"</f>
        <v>510</v>
      </c>
      <c r="G516" s="2">
        <v>41974.0</v>
      </c>
      <c r="H516" s="1">
        <v>435000.0</v>
      </c>
      <c r="I516" s="1">
        <v>68.0</v>
      </c>
      <c r="J516" s="1">
        <v>435000.0</v>
      </c>
      <c r="K516" s="2">
        <v>42041.0</v>
      </c>
      <c r="L516" s="1">
        <v>68.0</v>
      </c>
      <c r="M516" s="2">
        <v>42041.0</v>
      </c>
      <c r="N516" s="1" t="s">
        <v>187</v>
      </c>
      <c r="O516" s="2">
        <v>42090.0</v>
      </c>
      <c r="P516" s="1">
        <v>241068.0</v>
      </c>
      <c r="Q516" s="1">
        <v>25558.0</v>
      </c>
      <c r="R516" s="1">
        <v>2500.0</v>
      </c>
      <c r="S516" s="1">
        <v>492.0</v>
      </c>
      <c r="T516" s="1" t="s">
        <v>6791</v>
      </c>
      <c r="U516" s="1" t="s">
        <v>569</v>
      </c>
      <c r="V516" s="1" t="s">
        <v>2700</v>
      </c>
      <c r="W516" s="1">
        <v>60510.0</v>
      </c>
      <c r="Y516" s="1" t="s">
        <v>6792</v>
      </c>
      <c r="Z516" s="1">
        <v>1997.0</v>
      </c>
      <c r="AA516" s="1" t="s">
        <v>200</v>
      </c>
      <c r="AB516" s="1" t="s">
        <v>193</v>
      </c>
      <c r="AC516" s="1" t="s">
        <v>6793</v>
      </c>
      <c r="AD516" s="1" t="s">
        <v>2702</v>
      </c>
      <c r="AE516" s="1" t="s">
        <v>325</v>
      </c>
      <c r="AF516" s="1" t="s">
        <v>2702</v>
      </c>
      <c r="AH516" s="1" t="s">
        <v>6794</v>
      </c>
      <c r="AI516" s="1">
        <v>0.3084</v>
      </c>
      <c r="AK516" s="1">
        <v>10.0</v>
      </c>
      <c r="AL516" s="1">
        <v>4.0</v>
      </c>
      <c r="AM516" s="1">
        <v>3.0</v>
      </c>
      <c r="AN516" s="1">
        <v>1.0</v>
      </c>
      <c r="AO516" s="1" t="s">
        <v>198</v>
      </c>
      <c r="AP516" s="1">
        <v>1.0</v>
      </c>
      <c r="AQ516" s="1" t="s">
        <v>472</v>
      </c>
      <c r="AR516" s="1" t="s">
        <v>192</v>
      </c>
      <c r="AS516" s="1" t="s">
        <v>199</v>
      </c>
      <c r="AT516" s="1">
        <v>3.0</v>
      </c>
      <c r="AV516" s="1" t="s">
        <v>200</v>
      </c>
      <c r="AW516" s="1">
        <v>10936.22</v>
      </c>
      <c r="AX516" s="1">
        <v>2013.0</v>
      </c>
      <c r="AY516" s="1" t="s">
        <v>387</v>
      </c>
      <c r="AZ516" s="1" t="s">
        <v>200</v>
      </c>
      <c r="BA516" s="1" t="str">
        <f>"1226306007"</f>
        <v>1226306007</v>
      </c>
      <c r="BB516" s="1" t="s">
        <v>200</v>
      </c>
      <c r="BC516" s="1">
        <v>3096.0</v>
      </c>
      <c r="BD516" s="1">
        <v>420000.0</v>
      </c>
      <c r="BE516" s="2">
        <v>41974.0</v>
      </c>
      <c r="BF516" s="2" t="s">
        <v>6795</v>
      </c>
      <c r="BG516" s="1" t="s">
        <v>6796</v>
      </c>
      <c r="BH516" s="1">
        <v>0.0</v>
      </c>
      <c r="BI516" s="1" t="s">
        <v>3090</v>
      </c>
      <c r="BJ516" s="1" t="s">
        <v>3091</v>
      </c>
      <c r="BK516" s="1" t="s">
        <v>204</v>
      </c>
      <c r="BL516" s="1" t="str">
        <f t="shared" ref="BL516:BM516" si="346">""</f>
        <v/>
      </c>
      <c r="BM516" s="1" t="str">
        <f t="shared" si="346"/>
        <v/>
      </c>
      <c r="BQ516" s="1">
        <v>101.0</v>
      </c>
      <c r="BR516" s="1">
        <v>101.0</v>
      </c>
      <c r="BS516" s="1">
        <v>101.0</v>
      </c>
      <c r="BU516" s="1" t="s">
        <v>6797</v>
      </c>
      <c r="BV516" s="1" t="s">
        <v>206</v>
      </c>
      <c r="BW516" s="1" t="s">
        <v>207</v>
      </c>
      <c r="BX516" s="1" t="s">
        <v>239</v>
      </c>
      <c r="BY516" s="1" t="s">
        <v>769</v>
      </c>
      <c r="BZ516" s="1" t="s">
        <v>209</v>
      </c>
      <c r="CA516" s="1" t="s">
        <v>210</v>
      </c>
      <c r="CB516" s="1" t="s">
        <v>239</v>
      </c>
      <c r="CC516" s="1" t="s">
        <v>542</v>
      </c>
      <c r="CD516" s="1" t="s">
        <v>206</v>
      </c>
      <c r="CE516" s="1" t="s">
        <v>207</v>
      </c>
      <c r="CF516" s="1" t="s">
        <v>239</v>
      </c>
      <c r="CG516" s="1" t="s">
        <v>329</v>
      </c>
      <c r="CH516" s="1" t="s">
        <v>209</v>
      </c>
      <c r="CI516" s="1" t="s">
        <v>210</v>
      </c>
      <c r="CJ516" s="1" t="s">
        <v>239</v>
      </c>
      <c r="CK516" s="1" t="s">
        <v>205</v>
      </c>
      <c r="CL516" s="1" t="s">
        <v>209</v>
      </c>
      <c r="CM516" s="1" t="s">
        <v>210</v>
      </c>
      <c r="CN516" s="1" t="s">
        <v>239</v>
      </c>
      <c r="CO516" s="1" t="s">
        <v>454</v>
      </c>
      <c r="CP516" s="1" t="s">
        <v>209</v>
      </c>
      <c r="CQ516" s="1" t="s">
        <v>210</v>
      </c>
      <c r="CR516" s="1" t="s">
        <v>239</v>
      </c>
      <c r="CS516" s="1" t="s">
        <v>453</v>
      </c>
      <c r="CT516" s="1" t="s">
        <v>206</v>
      </c>
      <c r="CU516" s="1" t="s">
        <v>207</v>
      </c>
      <c r="CW516" s="1" t="s">
        <v>3092</v>
      </c>
      <c r="CX516" s="1" t="s">
        <v>206</v>
      </c>
      <c r="CY516" s="1" t="s">
        <v>207</v>
      </c>
      <c r="CZ516" s="1" t="s">
        <v>239</v>
      </c>
      <c r="DA516" s="1" t="s">
        <v>200</v>
      </c>
      <c r="DC516" s="1" t="s">
        <v>678</v>
      </c>
      <c r="DD516" s="1" t="s">
        <v>336</v>
      </c>
      <c r="DE516" s="1" t="s">
        <v>273</v>
      </c>
      <c r="DF516" s="1" t="s">
        <v>219</v>
      </c>
      <c r="DG516" s="1" t="s">
        <v>482</v>
      </c>
      <c r="DH516" s="1" t="s">
        <v>220</v>
      </c>
      <c r="DI516" s="1" t="s">
        <v>6798</v>
      </c>
      <c r="DJ516" s="1" t="s">
        <v>222</v>
      </c>
      <c r="DK516" s="1" t="s">
        <v>223</v>
      </c>
      <c r="DL516" s="1" t="s">
        <v>224</v>
      </c>
      <c r="DM516" s="1" t="s">
        <v>338</v>
      </c>
      <c r="DN516" s="1" t="s">
        <v>399</v>
      </c>
      <c r="DO516" s="1" t="s">
        <v>6799</v>
      </c>
      <c r="DP516" s="1" t="s">
        <v>276</v>
      </c>
      <c r="DQ516" s="1" t="s">
        <v>441</v>
      </c>
      <c r="DR516" s="1" t="s">
        <v>229</v>
      </c>
      <c r="DU516" s="1" t="s">
        <v>487</v>
      </c>
      <c r="DV516" s="1" t="s">
        <v>2692</v>
      </c>
      <c r="DW516" s="1" t="s">
        <v>1210</v>
      </c>
      <c r="DX516" s="1" t="s">
        <v>234</v>
      </c>
      <c r="DY516" s="1" t="s">
        <v>6800</v>
      </c>
      <c r="DZ516" s="1" t="s">
        <v>6125</v>
      </c>
      <c r="EA516" s="1" t="s">
        <v>588</v>
      </c>
      <c r="EB516" s="1" t="s">
        <v>5230</v>
      </c>
      <c r="EC516" s="1" t="s">
        <v>237</v>
      </c>
      <c r="ED516" s="1" t="s">
        <v>864</v>
      </c>
      <c r="EG516" s="1" t="s">
        <v>598</v>
      </c>
      <c r="EH516" s="1" t="s">
        <v>450</v>
      </c>
      <c r="EL516" s="1" t="s">
        <v>332</v>
      </c>
      <c r="EM516" s="1" t="s">
        <v>206</v>
      </c>
      <c r="EN516" s="1" t="s">
        <v>207</v>
      </c>
      <c r="EO516" s="1" t="s">
        <v>239</v>
      </c>
      <c r="EP516" s="1" t="s">
        <v>6801</v>
      </c>
      <c r="EQ516" s="1" t="s">
        <v>42</v>
      </c>
      <c r="ES516" s="1" t="s">
        <v>239</v>
      </c>
      <c r="EU516" s="1" t="s">
        <v>238</v>
      </c>
      <c r="EY516" s="1" t="s">
        <v>238</v>
      </c>
      <c r="FC516" s="1" t="s">
        <v>238</v>
      </c>
      <c r="FF516" s="1" t="s">
        <v>239</v>
      </c>
      <c r="FG516" s="1" t="s">
        <v>192</v>
      </c>
      <c r="FH516" s="1" t="s">
        <v>192</v>
      </c>
      <c r="FJ516" s="1" t="s">
        <v>624</v>
      </c>
      <c r="FK516" s="1" t="s">
        <v>229</v>
      </c>
      <c r="FL516" s="1" t="s">
        <v>1641</v>
      </c>
      <c r="FM516" s="1">
        <v>280.0</v>
      </c>
      <c r="FN516" s="1" t="s">
        <v>1642</v>
      </c>
      <c r="FO516" s="1" t="s">
        <v>1643</v>
      </c>
      <c r="FP516" s="1">
        <v>1127.0</v>
      </c>
      <c r="FQ516" s="1" t="s">
        <v>1644</v>
      </c>
      <c r="FR516" s="1">
        <v>2089.0</v>
      </c>
      <c r="FU516" s="1" t="s">
        <v>6802</v>
      </c>
      <c r="FV516" s="1" t="s">
        <v>200</v>
      </c>
      <c r="FW516" s="1" t="s">
        <v>290</v>
      </c>
      <c r="FZ516" s="1" t="s">
        <v>229</v>
      </c>
      <c r="GA516" s="1" t="s">
        <v>291</v>
      </c>
      <c r="GB516" s="2">
        <v>42090.0</v>
      </c>
      <c r="GC516" s="1" t="s">
        <v>6803</v>
      </c>
    </row>
    <row r="517">
      <c r="A517" s="1">
        <v>134500.0</v>
      </c>
      <c r="B517" s="1" t="s">
        <v>185</v>
      </c>
      <c r="C517" s="1" t="str">
        <f>"08796380"</f>
        <v>08796380</v>
      </c>
      <c r="D517" s="1" t="s">
        <v>186</v>
      </c>
      <c r="F517" s="1" t="str">
        <f>"123"</f>
        <v>123</v>
      </c>
      <c r="G517" s="2">
        <v>41976.0</v>
      </c>
      <c r="H517" s="1">
        <v>137900.0</v>
      </c>
      <c r="I517" s="1">
        <v>14.0</v>
      </c>
      <c r="J517" s="1">
        <v>137900.0</v>
      </c>
      <c r="K517" s="2">
        <v>41989.0</v>
      </c>
      <c r="L517" s="1">
        <v>14.0</v>
      </c>
      <c r="M517" s="2">
        <v>41989.0</v>
      </c>
      <c r="N517" s="1" t="s">
        <v>249</v>
      </c>
      <c r="O517" s="2">
        <v>42026.0</v>
      </c>
      <c r="P517" s="1">
        <v>33776.0</v>
      </c>
      <c r="Q517" s="1">
        <v>4178.0</v>
      </c>
      <c r="R517" s="1">
        <v>4000.0</v>
      </c>
      <c r="S517" s="1">
        <v>669.0</v>
      </c>
      <c r="T517" s="1" t="s">
        <v>6804</v>
      </c>
      <c r="U517" s="1" t="s">
        <v>189</v>
      </c>
      <c r="V517" s="1" t="s">
        <v>465</v>
      </c>
      <c r="W517" s="1">
        <v>60120.0</v>
      </c>
      <c r="Y517" s="1" t="s">
        <v>6805</v>
      </c>
      <c r="Z517" s="1" t="s">
        <v>296</v>
      </c>
      <c r="AA517" s="1" t="s">
        <v>192</v>
      </c>
      <c r="AB517" s="1" t="s">
        <v>193</v>
      </c>
      <c r="AD517" s="1" t="s">
        <v>469</v>
      </c>
      <c r="AE517" s="1" t="s">
        <v>325</v>
      </c>
      <c r="AF517" s="1" t="s">
        <v>469</v>
      </c>
      <c r="AH517" s="1" t="s">
        <v>6806</v>
      </c>
      <c r="AI517" s="1">
        <v>0.1533</v>
      </c>
      <c r="AK517" s="1">
        <v>7.0</v>
      </c>
      <c r="AL517" s="1">
        <v>4.0</v>
      </c>
      <c r="AM517" s="1">
        <v>2.0</v>
      </c>
      <c r="AN517" s="1">
        <v>0.0</v>
      </c>
      <c r="AO517" s="1" t="s">
        <v>229</v>
      </c>
      <c r="AQ517" s="1" t="s">
        <v>198</v>
      </c>
      <c r="AR517" s="1" t="s">
        <v>192</v>
      </c>
      <c r="AS517" s="1" t="s">
        <v>199</v>
      </c>
      <c r="AT517" s="1">
        <v>3.0</v>
      </c>
      <c r="AV517" s="1" t="s">
        <v>200</v>
      </c>
      <c r="AW517" s="1">
        <v>2435.46</v>
      </c>
      <c r="AX517" s="1">
        <v>2013.0</v>
      </c>
      <c r="AZ517" s="1" t="s">
        <v>200</v>
      </c>
      <c r="BA517" s="1" t="str">
        <f>"0612229006"</f>
        <v>0612229006</v>
      </c>
      <c r="BC517" s="1">
        <v>1400.0</v>
      </c>
      <c r="BD517" s="1">
        <v>134500.0</v>
      </c>
      <c r="BE517" s="2">
        <v>41976.0</v>
      </c>
      <c r="BF517" s="2" t="s">
        <v>6807</v>
      </c>
      <c r="BG517" s="1" t="s">
        <v>1241</v>
      </c>
      <c r="BH517" s="1">
        <v>0.0</v>
      </c>
      <c r="BI517" s="1" t="s">
        <v>1242</v>
      </c>
      <c r="BJ517" s="1" t="s">
        <v>1243</v>
      </c>
      <c r="BK517" s="1" t="s">
        <v>204</v>
      </c>
      <c r="BL517" s="1" t="str">
        <f t="shared" ref="BL517:BM517" si="347">""</f>
        <v/>
      </c>
      <c r="BM517" s="1" t="str">
        <f t="shared" si="347"/>
        <v/>
      </c>
      <c r="BQ517" s="1">
        <v>46.0</v>
      </c>
      <c r="BR517" s="1">
        <v>46.0</v>
      </c>
      <c r="BS517" s="1">
        <v>46.0</v>
      </c>
      <c r="BU517" s="1" t="s">
        <v>758</v>
      </c>
      <c r="BV517" s="1" t="s">
        <v>206</v>
      </c>
      <c r="BW517" s="1" t="s">
        <v>210</v>
      </c>
      <c r="BY517" s="1" t="s">
        <v>265</v>
      </c>
      <c r="BZ517" s="1" t="s">
        <v>206</v>
      </c>
      <c r="CA517" s="1" t="s">
        <v>210</v>
      </c>
      <c r="CC517" s="1" t="s">
        <v>269</v>
      </c>
      <c r="CD517" s="1" t="s">
        <v>206</v>
      </c>
      <c r="CE517" s="1" t="s">
        <v>210</v>
      </c>
      <c r="CG517" s="1" t="s">
        <v>798</v>
      </c>
      <c r="CH517" s="1" t="s">
        <v>206</v>
      </c>
      <c r="CI517" s="1" t="s">
        <v>210</v>
      </c>
      <c r="CK517" s="1" t="s">
        <v>212</v>
      </c>
      <c r="CL517" s="1" t="s">
        <v>206</v>
      </c>
      <c r="CM517" s="1" t="s">
        <v>210</v>
      </c>
      <c r="CO517" s="1" t="s">
        <v>212</v>
      </c>
      <c r="CP517" s="1" t="s">
        <v>206</v>
      </c>
      <c r="CS517" s="1" t="s">
        <v>392</v>
      </c>
      <c r="CT517" s="1" t="s">
        <v>206</v>
      </c>
      <c r="CU517" s="1" t="s">
        <v>617</v>
      </c>
      <c r="CX517" s="1" t="s">
        <v>204</v>
      </c>
      <c r="DA517" s="1" t="s">
        <v>200</v>
      </c>
      <c r="DC517" s="1" t="s">
        <v>702</v>
      </c>
      <c r="DE517" s="1" t="s">
        <v>1139</v>
      </c>
      <c r="DF517" s="1" t="s">
        <v>4891</v>
      </c>
      <c r="DH517" s="1" t="s">
        <v>220</v>
      </c>
      <c r="DJ517" s="1" t="s">
        <v>222</v>
      </c>
      <c r="DL517" s="1" t="s">
        <v>858</v>
      </c>
      <c r="DM517" s="1" t="s">
        <v>229</v>
      </c>
      <c r="DQ517" s="1" t="s">
        <v>228</v>
      </c>
      <c r="DR517" s="1" t="s">
        <v>229</v>
      </c>
      <c r="DV517" s="1" t="s">
        <v>232</v>
      </c>
      <c r="DW517" s="1" t="s">
        <v>233</v>
      </c>
      <c r="DX517" s="1" t="s">
        <v>234</v>
      </c>
      <c r="EC517" s="1" t="s">
        <v>685</v>
      </c>
      <c r="EM517" s="1" t="s">
        <v>238</v>
      </c>
      <c r="EQ517" s="1" t="s">
        <v>238</v>
      </c>
      <c r="EU517" s="1" t="s">
        <v>238</v>
      </c>
      <c r="EY517" s="1" t="s">
        <v>238</v>
      </c>
      <c r="FC517" s="1" t="s">
        <v>238</v>
      </c>
      <c r="FF517" s="1" t="s">
        <v>239</v>
      </c>
      <c r="FG517" s="1" t="s">
        <v>200</v>
      </c>
      <c r="FH517" s="1" t="s">
        <v>192</v>
      </c>
      <c r="FJ517" s="1" t="s">
        <v>6808</v>
      </c>
      <c r="FK517" s="1" t="s">
        <v>229</v>
      </c>
      <c r="FL517" s="1" t="s">
        <v>6809</v>
      </c>
      <c r="FM517" s="1">
        <v>25329.0</v>
      </c>
      <c r="FN517" s="1" t="s">
        <v>6810</v>
      </c>
      <c r="FO517" s="1" t="s">
        <v>6811</v>
      </c>
      <c r="FP517" s="1">
        <v>240400.0</v>
      </c>
      <c r="FQ517" s="1" t="s">
        <v>6812</v>
      </c>
      <c r="FU517" s="1" t="s">
        <v>6813</v>
      </c>
      <c r="FV517" s="1" t="s">
        <v>200</v>
      </c>
      <c r="FW517" s="1" t="s">
        <v>1511</v>
      </c>
      <c r="FZ517" s="1" t="s">
        <v>229</v>
      </c>
      <c r="GA517" s="1" t="s">
        <v>291</v>
      </c>
      <c r="GB517" s="2">
        <v>42027.0</v>
      </c>
      <c r="GC517" s="1" t="s">
        <v>6814</v>
      </c>
    </row>
    <row r="518">
      <c r="A518" s="1">
        <v>97000.0</v>
      </c>
      <c r="B518" s="1" t="s">
        <v>185</v>
      </c>
      <c r="C518" s="1" t="str">
        <f>"08793210"</f>
        <v>08793210</v>
      </c>
      <c r="D518" s="1" t="s">
        <v>186</v>
      </c>
      <c r="F518" s="1" t="str">
        <f>"8074"</f>
        <v>8074</v>
      </c>
      <c r="G518" s="2">
        <v>41969.0</v>
      </c>
      <c r="H518" s="1">
        <v>119900.0</v>
      </c>
      <c r="I518" s="1">
        <v>74.0</v>
      </c>
      <c r="J518" s="1">
        <v>102000.0</v>
      </c>
      <c r="K518" s="2">
        <v>42042.0</v>
      </c>
      <c r="L518" s="1">
        <v>74.0</v>
      </c>
      <c r="M518" s="2">
        <v>42042.0</v>
      </c>
      <c r="N518" s="1" t="s">
        <v>187</v>
      </c>
      <c r="O518" s="2">
        <v>42074.0</v>
      </c>
      <c r="P518" s="1">
        <v>602569.0</v>
      </c>
      <c r="Q518" s="1">
        <v>61043.0</v>
      </c>
      <c r="S518" s="1">
        <v>10947.0</v>
      </c>
      <c r="T518" s="1" t="s">
        <v>2162</v>
      </c>
      <c r="U518" s="1" t="s">
        <v>189</v>
      </c>
      <c r="V518" s="1" t="s">
        <v>190</v>
      </c>
      <c r="W518" s="1">
        <v>60655.0</v>
      </c>
      <c r="Y518" s="1" t="s">
        <v>6815</v>
      </c>
      <c r="Z518" s="1">
        <v>1939.0</v>
      </c>
      <c r="AA518" s="1" t="s">
        <v>192</v>
      </c>
      <c r="AB518" s="1" t="s">
        <v>193</v>
      </c>
      <c r="AD518" s="1" t="s">
        <v>194</v>
      </c>
      <c r="AE518" s="1" t="s">
        <v>195</v>
      </c>
      <c r="AF518" s="1" t="s">
        <v>659</v>
      </c>
      <c r="AH518" s="1" t="s">
        <v>6816</v>
      </c>
      <c r="AK518" s="1">
        <v>8.0</v>
      </c>
      <c r="AL518" s="1">
        <v>4.0</v>
      </c>
      <c r="AM518" s="1">
        <v>2.0</v>
      </c>
      <c r="AN518" s="1">
        <v>1.0</v>
      </c>
      <c r="AO518" s="1" t="s">
        <v>2068</v>
      </c>
      <c r="AQ518" s="1" t="s">
        <v>1314</v>
      </c>
      <c r="AR518" s="1" t="s">
        <v>200</v>
      </c>
      <c r="AS518" s="1" t="s">
        <v>199</v>
      </c>
      <c r="AT518" s="1">
        <v>2.0</v>
      </c>
      <c r="AV518" s="1" t="s">
        <v>200</v>
      </c>
      <c r="AW518" s="1">
        <v>3752.54</v>
      </c>
      <c r="AX518" s="1">
        <v>2012.0</v>
      </c>
      <c r="AZ518" s="1" t="s">
        <v>200</v>
      </c>
      <c r="BA518" s="1" t="str">
        <f>"24133100170000"</f>
        <v>24133100170000</v>
      </c>
      <c r="BB518" s="1" t="s">
        <v>200</v>
      </c>
      <c r="BC518" s="1">
        <v>1833.0</v>
      </c>
      <c r="BD518" s="1">
        <v>97000.0</v>
      </c>
      <c r="BE518" s="2">
        <v>41969.0</v>
      </c>
      <c r="BF518" s="1" t="s">
        <v>6817</v>
      </c>
      <c r="BH518" s="1">
        <v>0.0</v>
      </c>
      <c r="BK518" s="1" t="s">
        <v>204</v>
      </c>
      <c r="BL518" s="1" t="str">
        <f t="shared" ref="BL518:BM518" si="348">"0"</f>
        <v>0</v>
      </c>
      <c r="BM518" s="1" t="str">
        <f t="shared" si="348"/>
        <v>0</v>
      </c>
      <c r="BN518" s="1">
        <v>3120.0</v>
      </c>
      <c r="BO518" s="1">
        <v>10947.0</v>
      </c>
      <c r="BQ518" s="1">
        <v>299.0</v>
      </c>
      <c r="BR518" s="1">
        <v>299.0</v>
      </c>
      <c r="BS518" s="1">
        <v>299.0</v>
      </c>
      <c r="BU518" s="1" t="s">
        <v>4403</v>
      </c>
      <c r="BV518" s="1" t="s">
        <v>206</v>
      </c>
      <c r="BW518" s="1" t="s">
        <v>1790</v>
      </c>
      <c r="BY518" s="1" t="s">
        <v>5291</v>
      </c>
      <c r="BZ518" s="1" t="s">
        <v>209</v>
      </c>
      <c r="CA518" s="1" t="s">
        <v>588</v>
      </c>
      <c r="CC518" s="1" t="s">
        <v>1760</v>
      </c>
      <c r="CD518" s="1" t="s">
        <v>206</v>
      </c>
      <c r="CE518" s="1" t="s">
        <v>1790</v>
      </c>
      <c r="CF518" s="1" t="s">
        <v>229</v>
      </c>
      <c r="CG518" s="1" t="s">
        <v>1760</v>
      </c>
      <c r="CH518" s="1" t="s">
        <v>209</v>
      </c>
      <c r="CI518" s="1" t="s">
        <v>588</v>
      </c>
      <c r="CK518" s="1" t="s">
        <v>3805</v>
      </c>
      <c r="CL518" s="1" t="s">
        <v>209</v>
      </c>
      <c r="CM518" s="1" t="s">
        <v>588</v>
      </c>
      <c r="CO518" s="1" t="s">
        <v>1584</v>
      </c>
      <c r="CP518" s="1" t="s">
        <v>209</v>
      </c>
      <c r="CQ518" s="1" t="s">
        <v>588</v>
      </c>
      <c r="CS518" s="1" t="s">
        <v>2425</v>
      </c>
      <c r="CT518" s="1" t="s">
        <v>206</v>
      </c>
      <c r="CU518" s="1" t="s">
        <v>1790</v>
      </c>
      <c r="CX518" s="1" t="s">
        <v>204</v>
      </c>
      <c r="DA518" s="1" t="s">
        <v>200</v>
      </c>
      <c r="DC518" s="1" t="s">
        <v>1399</v>
      </c>
      <c r="DD518" s="1" t="s">
        <v>518</v>
      </c>
      <c r="DE518" s="1" t="s">
        <v>229</v>
      </c>
      <c r="DF518" s="1" t="s">
        <v>6818</v>
      </c>
      <c r="DG518" s="1" t="s">
        <v>337</v>
      </c>
      <c r="DH518" s="1" t="s">
        <v>365</v>
      </c>
      <c r="DI518" s="1" t="s">
        <v>2096</v>
      </c>
      <c r="DJ518" s="1" t="s">
        <v>222</v>
      </c>
      <c r="DL518" s="1" t="s">
        <v>223</v>
      </c>
      <c r="DM518" s="1" t="s">
        <v>229</v>
      </c>
      <c r="DO518" s="1" t="s">
        <v>549</v>
      </c>
      <c r="DP518" s="1" t="s">
        <v>276</v>
      </c>
      <c r="DQ518" s="1" t="s">
        <v>794</v>
      </c>
      <c r="DR518" s="1" t="s">
        <v>229</v>
      </c>
      <c r="DS518" s="1" t="s">
        <v>401</v>
      </c>
      <c r="DU518" s="1" t="s">
        <v>6819</v>
      </c>
      <c r="DV518" s="1" t="s">
        <v>5014</v>
      </c>
      <c r="DW518" s="1" t="s">
        <v>233</v>
      </c>
      <c r="DX518" s="1" t="s">
        <v>309</v>
      </c>
      <c r="EC518" s="1" t="s">
        <v>237</v>
      </c>
      <c r="EG518" s="1" t="s">
        <v>408</v>
      </c>
      <c r="EH518" s="1" t="s">
        <v>494</v>
      </c>
      <c r="EL518" s="1" t="s">
        <v>6820</v>
      </c>
      <c r="EM518" s="1" t="s">
        <v>206</v>
      </c>
      <c r="EN518" s="1" t="s">
        <v>1790</v>
      </c>
      <c r="EO518" s="1" t="s">
        <v>229</v>
      </c>
      <c r="EP518" s="1" t="s">
        <v>663</v>
      </c>
      <c r="EQ518" s="1" t="s">
        <v>206</v>
      </c>
      <c r="ER518" s="1" t="s">
        <v>588</v>
      </c>
      <c r="EU518" s="1" t="s">
        <v>238</v>
      </c>
      <c r="EY518" s="1" t="s">
        <v>238</v>
      </c>
      <c r="FC518" s="1" t="s">
        <v>238</v>
      </c>
      <c r="FF518" s="1" t="s">
        <v>239</v>
      </c>
      <c r="FG518" s="1" t="s">
        <v>192</v>
      </c>
      <c r="FH518" s="1" t="s">
        <v>192</v>
      </c>
      <c r="FJ518" s="1" t="s">
        <v>6821</v>
      </c>
      <c r="FK518" s="1" t="s">
        <v>229</v>
      </c>
      <c r="FL518" s="1" t="s">
        <v>3272</v>
      </c>
      <c r="FM518" s="1">
        <v>12511.0</v>
      </c>
      <c r="FN518" s="1" t="s">
        <v>3273</v>
      </c>
      <c r="FO518" s="1" t="s">
        <v>6822</v>
      </c>
      <c r="FP518" s="1">
        <v>109722.0</v>
      </c>
      <c r="FQ518" s="1" t="s">
        <v>6823</v>
      </c>
      <c r="FU518" s="1" t="s">
        <v>6824</v>
      </c>
      <c r="FV518" s="1" t="s">
        <v>200</v>
      </c>
      <c r="FW518" s="1" t="s">
        <v>290</v>
      </c>
      <c r="FX518" s="1" t="s">
        <v>655</v>
      </c>
      <c r="FZ518" s="1" t="s">
        <v>229</v>
      </c>
      <c r="GA518" s="1" t="s">
        <v>291</v>
      </c>
      <c r="GB518" s="2">
        <v>42074.0</v>
      </c>
      <c r="GC518" s="1" t="s">
        <v>6825</v>
      </c>
    </row>
    <row r="519">
      <c r="A519" s="1">
        <v>205000.0</v>
      </c>
      <c r="B519" s="1" t="s">
        <v>185</v>
      </c>
      <c r="C519" s="1" t="str">
        <f>"08799528"</f>
        <v>08799528</v>
      </c>
      <c r="D519" s="1" t="s">
        <v>186</v>
      </c>
      <c r="F519" s="1" t="str">
        <f t="shared" ref="F519:F521" si="350">"174"</f>
        <v>174</v>
      </c>
      <c r="G519" s="2">
        <v>41982.0</v>
      </c>
      <c r="H519" s="1">
        <v>210000.0</v>
      </c>
      <c r="I519" s="1">
        <v>21.0</v>
      </c>
      <c r="J519" s="1">
        <v>210000.0</v>
      </c>
      <c r="K519" s="2">
        <v>42002.0</v>
      </c>
      <c r="L519" s="1">
        <v>21.0</v>
      </c>
      <c r="M519" s="2">
        <v>42002.0</v>
      </c>
      <c r="N519" s="1" t="s">
        <v>1512</v>
      </c>
      <c r="O519" s="2">
        <v>42053.0</v>
      </c>
      <c r="P519" s="1">
        <v>1535.0</v>
      </c>
      <c r="Q519" s="1">
        <v>49.0</v>
      </c>
      <c r="S519" s="1" t="s">
        <v>6826</v>
      </c>
      <c r="T519" s="1" t="s">
        <v>6827</v>
      </c>
      <c r="U519" s="1" t="s">
        <v>569</v>
      </c>
      <c r="V519" s="1" t="s">
        <v>1200</v>
      </c>
      <c r="W519" s="1">
        <v>60175.0</v>
      </c>
      <c r="Y519" s="1" t="s">
        <v>6828</v>
      </c>
      <c r="Z519" s="1">
        <v>1979.0</v>
      </c>
      <c r="AA519" s="1" t="s">
        <v>200</v>
      </c>
      <c r="AB519" s="1" t="s">
        <v>193</v>
      </c>
      <c r="AD519" s="1" t="s">
        <v>1089</v>
      </c>
      <c r="AE519" s="1" t="s">
        <v>325</v>
      </c>
      <c r="AF519" s="1" t="s">
        <v>1203</v>
      </c>
      <c r="AH519" s="1">
        <v>0.948</v>
      </c>
      <c r="AK519" s="1">
        <v>7.0</v>
      </c>
      <c r="AL519" s="1">
        <v>4.0</v>
      </c>
      <c r="AM519" s="1">
        <v>2.0</v>
      </c>
      <c r="AN519" s="1">
        <v>0.0</v>
      </c>
      <c r="AO519" s="1" t="s">
        <v>229</v>
      </c>
      <c r="AQ519" s="1" t="s">
        <v>198</v>
      </c>
      <c r="AR519" s="1" t="s">
        <v>200</v>
      </c>
      <c r="AS519" s="1" t="s">
        <v>199</v>
      </c>
      <c r="AT519" s="1">
        <v>3.0</v>
      </c>
      <c r="AV519" s="1" t="s">
        <v>200</v>
      </c>
      <c r="AW519" s="1">
        <v>8339.0</v>
      </c>
      <c r="AX519" s="1">
        <v>2013.0</v>
      </c>
      <c r="AZ519" s="1" t="s">
        <v>200</v>
      </c>
      <c r="BA519" s="1" t="str">
        <f>"0906228001"</f>
        <v>0906228001</v>
      </c>
      <c r="BC519" s="1">
        <v>1824.0</v>
      </c>
      <c r="BD519" s="1">
        <v>205000.0</v>
      </c>
      <c r="BE519" s="2">
        <v>41982.0</v>
      </c>
      <c r="BF519" s="2" t="s">
        <v>6829</v>
      </c>
      <c r="BH519" s="1">
        <v>0.0</v>
      </c>
      <c r="BK519" s="1" t="s">
        <v>204</v>
      </c>
      <c r="BL519" s="1" t="str">
        <f t="shared" ref="BL519:BM519" si="349">""</f>
        <v/>
      </c>
      <c r="BM519" s="1" t="str">
        <f t="shared" si="349"/>
        <v/>
      </c>
      <c r="BQ519" s="1">
        <v>303.0</v>
      </c>
      <c r="BR519" s="1">
        <v>303.0</v>
      </c>
      <c r="BS519" s="1">
        <v>303.0</v>
      </c>
      <c r="BV519" s="1" t="s">
        <v>204</v>
      </c>
      <c r="BY519" s="1" t="s">
        <v>1045</v>
      </c>
      <c r="BZ519" s="1" t="s">
        <v>209</v>
      </c>
      <c r="CC519" s="1" t="s">
        <v>4403</v>
      </c>
      <c r="CD519" s="1" t="s">
        <v>206</v>
      </c>
      <c r="CG519" s="1" t="s">
        <v>1045</v>
      </c>
      <c r="CH519" s="1" t="s">
        <v>209</v>
      </c>
      <c r="CK519" s="1" t="s">
        <v>478</v>
      </c>
      <c r="CL519" s="1" t="s">
        <v>206</v>
      </c>
      <c r="CO519" s="1" t="s">
        <v>699</v>
      </c>
      <c r="CP519" s="1" t="s">
        <v>206</v>
      </c>
      <c r="CS519" s="1" t="s">
        <v>3888</v>
      </c>
      <c r="CT519" s="1" t="s">
        <v>206</v>
      </c>
      <c r="CW519" s="1" t="s">
        <v>5414</v>
      </c>
      <c r="CX519" s="1" t="s">
        <v>206</v>
      </c>
      <c r="DA519" s="1" t="s">
        <v>200</v>
      </c>
      <c r="DC519" s="1" t="s">
        <v>395</v>
      </c>
      <c r="DE519" s="1" t="s">
        <v>273</v>
      </c>
      <c r="DF519" s="1" t="s">
        <v>219</v>
      </c>
      <c r="DH519" s="1" t="s">
        <v>856</v>
      </c>
      <c r="DJ519" s="1" t="s">
        <v>857</v>
      </c>
      <c r="DL519" s="1" t="s">
        <v>223</v>
      </c>
      <c r="DM519" s="1" t="s">
        <v>229</v>
      </c>
      <c r="DQ519" s="1" t="s">
        <v>931</v>
      </c>
      <c r="DR519" s="1" t="s">
        <v>229</v>
      </c>
      <c r="DV519" s="1" t="s">
        <v>232</v>
      </c>
      <c r="DW519" s="1" t="s">
        <v>667</v>
      </c>
      <c r="DX519" s="1" t="s">
        <v>234</v>
      </c>
      <c r="EC519" s="1" t="s">
        <v>237</v>
      </c>
      <c r="EM519" s="1" t="s">
        <v>238</v>
      </c>
      <c r="EQ519" s="1" t="s">
        <v>238</v>
      </c>
      <c r="EU519" s="1" t="s">
        <v>238</v>
      </c>
      <c r="EY519" s="1" t="s">
        <v>238</v>
      </c>
      <c r="FC519" s="1" t="s">
        <v>238</v>
      </c>
      <c r="FF519" s="1" t="s">
        <v>239</v>
      </c>
      <c r="FG519" s="1" t="s">
        <v>192</v>
      </c>
      <c r="FH519" s="1" t="s">
        <v>192</v>
      </c>
      <c r="FJ519" s="1" t="s">
        <v>770</v>
      </c>
      <c r="FK519" s="1" t="s">
        <v>229</v>
      </c>
      <c r="FL519" s="1" t="s">
        <v>5844</v>
      </c>
      <c r="FM519" s="1">
        <v>93084.0</v>
      </c>
      <c r="FN519" s="1" t="s">
        <v>5845</v>
      </c>
      <c r="FO519" s="1" t="s">
        <v>6830</v>
      </c>
      <c r="FP519" s="1">
        <v>930228.0</v>
      </c>
      <c r="FQ519" s="1" t="s">
        <v>6831</v>
      </c>
      <c r="FU519" s="1" t="s">
        <v>6832</v>
      </c>
      <c r="FV519" s="1" t="s">
        <v>200</v>
      </c>
      <c r="FW519" s="1" t="s">
        <v>3082</v>
      </c>
      <c r="FZ519" s="1" t="s">
        <v>229</v>
      </c>
      <c r="GA519" s="1" t="s">
        <v>291</v>
      </c>
      <c r="GB519" s="2">
        <v>42053.0</v>
      </c>
      <c r="GC519" s="1" t="s">
        <v>6833</v>
      </c>
    </row>
    <row r="520">
      <c r="A520" s="1">
        <v>955000.0</v>
      </c>
      <c r="B520" s="1" t="s">
        <v>185</v>
      </c>
      <c r="C520" s="1" t="str">
        <f>"08796701"</f>
        <v>08796701</v>
      </c>
      <c r="D520" s="1" t="s">
        <v>186</v>
      </c>
      <c r="F520" s="1" t="str">
        <f t="shared" si="350"/>
        <v>174</v>
      </c>
      <c r="G520" s="2">
        <v>41977.0</v>
      </c>
      <c r="H520" s="1">
        <v>959900.0</v>
      </c>
      <c r="I520" s="1">
        <v>75.0</v>
      </c>
      <c r="J520" s="1">
        <v>959900.0</v>
      </c>
      <c r="K520" s="2">
        <v>42051.0</v>
      </c>
      <c r="L520" s="1">
        <v>75.0</v>
      </c>
      <c r="M520" s="2">
        <v>42051.0</v>
      </c>
      <c r="N520" s="1" t="s">
        <v>187</v>
      </c>
      <c r="O520" s="2">
        <v>42095.0</v>
      </c>
      <c r="P520" s="1">
        <v>232800.0</v>
      </c>
      <c r="Q520" s="1">
        <v>23099.0</v>
      </c>
      <c r="S520" s="1" t="s">
        <v>6834</v>
      </c>
      <c r="T520" s="1" t="s">
        <v>6835</v>
      </c>
      <c r="U520" s="1" t="s">
        <v>569</v>
      </c>
      <c r="V520" s="1" t="s">
        <v>1200</v>
      </c>
      <c r="W520" s="1">
        <v>60175.0</v>
      </c>
      <c r="Y520" s="1" t="s">
        <v>6836</v>
      </c>
      <c r="Z520" s="1">
        <v>2014.0</v>
      </c>
      <c r="AA520" s="1" t="s">
        <v>200</v>
      </c>
      <c r="AB520" s="1" t="s">
        <v>467</v>
      </c>
      <c r="AC520" s="1" t="s">
        <v>6837</v>
      </c>
      <c r="AD520" s="1" t="s">
        <v>1089</v>
      </c>
      <c r="AE520" s="1" t="s">
        <v>325</v>
      </c>
      <c r="AF520" s="1" t="s">
        <v>1632</v>
      </c>
      <c r="AH520" s="1" t="s">
        <v>6838</v>
      </c>
      <c r="AI520" s="1">
        <v>0.5</v>
      </c>
      <c r="AK520" s="1">
        <v>9.0</v>
      </c>
      <c r="AL520" s="1">
        <v>4.0</v>
      </c>
      <c r="AM520" s="1">
        <v>4.0</v>
      </c>
      <c r="AN520" s="1">
        <v>1.0</v>
      </c>
      <c r="AO520" s="1" t="s">
        <v>198</v>
      </c>
      <c r="AP520" s="1">
        <v>2.0</v>
      </c>
      <c r="AQ520" s="1" t="s">
        <v>327</v>
      </c>
      <c r="AR520" s="1" t="s">
        <v>200</v>
      </c>
      <c r="AS520" s="1" t="s">
        <v>199</v>
      </c>
      <c r="AT520" s="1">
        <v>4.0</v>
      </c>
      <c r="AV520" s="1" t="s">
        <v>192</v>
      </c>
      <c r="AW520" s="1">
        <v>2691.0</v>
      </c>
      <c r="AX520" s="1">
        <v>2013.0</v>
      </c>
      <c r="AZ520" s="1" t="s">
        <v>200</v>
      </c>
      <c r="BA520" s="1" t="str">
        <f>"0824127002"</f>
        <v>0824127002</v>
      </c>
      <c r="BC520" s="1">
        <v>4406.0</v>
      </c>
      <c r="BD520" s="1">
        <v>955000.0</v>
      </c>
      <c r="BE520" s="2">
        <v>41977.0</v>
      </c>
      <c r="BF520" s="2" t="s">
        <v>6839</v>
      </c>
      <c r="BG520" s="1" t="s">
        <v>6840</v>
      </c>
      <c r="BH520" s="1">
        <v>1700.0</v>
      </c>
      <c r="BI520" s="1" t="s">
        <v>2199</v>
      </c>
      <c r="BJ520" s="1" t="s">
        <v>2200</v>
      </c>
      <c r="BK520" s="1" t="s">
        <v>580</v>
      </c>
      <c r="BL520" s="1" t="str">
        <f t="shared" ref="BL520:BM520" si="351">""</f>
        <v/>
      </c>
      <c r="BM520" s="1" t="str">
        <f t="shared" si="351"/>
        <v/>
      </c>
      <c r="BQ520" s="1">
        <v>303.0</v>
      </c>
      <c r="BR520" s="1">
        <v>303.0</v>
      </c>
      <c r="BS520" s="1">
        <v>303.0</v>
      </c>
      <c r="BU520" s="1" t="s">
        <v>393</v>
      </c>
      <c r="BV520" s="1" t="s">
        <v>206</v>
      </c>
      <c r="BW520" s="1" t="s">
        <v>207</v>
      </c>
      <c r="BY520" s="1" t="s">
        <v>6841</v>
      </c>
      <c r="BZ520" s="1" t="s">
        <v>209</v>
      </c>
      <c r="CA520" s="1" t="s">
        <v>210</v>
      </c>
      <c r="CC520" s="1" t="s">
        <v>1068</v>
      </c>
      <c r="CD520" s="1" t="s">
        <v>206</v>
      </c>
      <c r="CE520" s="1" t="s">
        <v>207</v>
      </c>
      <c r="CG520" s="1" t="s">
        <v>1068</v>
      </c>
      <c r="CH520" s="1" t="s">
        <v>209</v>
      </c>
      <c r="CI520" s="1" t="s">
        <v>210</v>
      </c>
      <c r="CK520" s="1" t="s">
        <v>215</v>
      </c>
      <c r="CL520" s="1" t="s">
        <v>209</v>
      </c>
      <c r="CM520" s="1" t="s">
        <v>210</v>
      </c>
      <c r="CO520" s="1" t="s">
        <v>215</v>
      </c>
      <c r="CP520" s="1" t="s">
        <v>209</v>
      </c>
      <c r="CQ520" s="1" t="s">
        <v>210</v>
      </c>
      <c r="CS520" s="1" t="s">
        <v>3595</v>
      </c>
      <c r="CT520" s="1" t="s">
        <v>206</v>
      </c>
      <c r="CU520" s="1" t="s">
        <v>207</v>
      </c>
      <c r="CW520" s="1" t="s">
        <v>2592</v>
      </c>
      <c r="CX520" s="1" t="s">
        <v>206</v>
      </c>
      <c r="CY520" s="1" t="s">
        <v>207</v>
      </c>
      <c r="DA520" s="1" t="s">
        <v>192</v>
      </c>
      <c r="DB520" s="2">
        <v>41977.0</v>
      </c>
      <c r="DC520" s="1" t="s">
        <v>1353</v>
      </c>
      <c r="DD520" s="1" t="s">
        <v>4137</v>
      </c>
      <c r="DE520" s="1" t="s">
        <v>273</v>
      </c>
      <c r="DF520" s="1" t="s">
        <v>219</v>
      </c>
      <c r="DG520" s="1" t="s">
        <v>3020</v>
      </c>
      <c r="DH520" s="1" t="s">
        <v>220</v>
      </c>
      <c r="DI520" s="1" t="s">
        <v>6842</v>
      </c>
      <c r="DJ520" s="1" t="s">
        <v>222</v>
      </c>
      <c r="DL520" s="1" t="s">
        <v>2220</v>
      </c>
      <c r="DM520" s="1" t="s">
        <v>338</v>
      </c>
      <c r="DN520" s="1" t="s">
        <v>485</v>
      </c>
      <c r="DO520" s="1" t="s">
        <v>6843</v>
      </c>
      <c r="DP520" s="1" t="s">
        <v>340</v>
      </c>
      <c r="DQ520" s="1" t="s">
        <v>1557</v>
      </c>
      <c r="DR520" s="1" t="s">
        <v>588</v>
      </c>
      <c r="DU520" s="1" t="s">
        <v>1049</v>
      </c>
      <c r="DV520" s="1" t="s">
        <v>6844</v>
      </c>
      <c r="DW520" s="1" t="s">
        <v>764</v>
      </c>
      <c r="DX520" s="1" t="s">
        <v>234</v>
      </c>
      <c r="DY520" s="1" t="s">
        <v>5228</v>
      </c>
      <c r="DZ520" s="1" t="s">
        <v>766</v>
      </c>
      <c r="EA520" s="1" t="s">
        <v>344</v>
      </c>
      <c r="EC520" s="1" t="s">
        <v>237</v>
      </c>
      <c r="ED520" s="1" t="s">
        <v>407</v>
      </c>
      <c r="EG520" s="1" t="s">
        <v>1028</v>
      </c>
      <c r="EH520" s="1" t="s">
        <v>408</v>
      </c>
      <c r="EL520" s="1" t="s">
        <v>584</v>
      </c>
      <c r="EM520" s="1" t="s">
        <v>206</v>
      </c>
      <c r="EN520" s="1" t="s">
        <v>207</v>
      </c>
      <c r="EP520" s="1" t="s">
        <v>2425</v>
      </c>
      <c r="EQ520" s="1" t="s">
        <v>206</v>
      </c>
      <c r="ER520" s="1" t="s">
        <v>207</v>
      </c>
      <c r="EU520" s="1" t="s">
        <v>238</v>
      </c>
      <c r="EY520" s="1" t="s">
        <v>238</v>
      </c>
      <c r="FC520" s="1" t="s">
        <v>238</v>
      </c>
      <c r="FF520" s="1" t="s">
        <v>239</v>
      </c>
      <c r="FG520" s="1" t="s">
        <v>192</v>
      </c>
      <c r="FH520" s="1" t="s">
        <v>192</v>
      </c>
      <c r="FJ520" s="1" t="s">
        <v>6845</v>
      </c>
      <c r="FK520" s="1" t="s">
        <v>229</v>
      </c>
      <c r="FL520" s="1" t="s">
        <v>893</v>
      </c>
      <c r="FM520" s="1">
        <v>604.0</v>
      </c>
      <c r="FN520" s="1" t="s">
        <v>894</v>
      </c>
      <c r="FO520" s="1" t="s">
        <v>6439</v>
      </c>
      <c r="FP520" s="1">
        <v>1279.0</v>
      </c>
      <c r="FQ520" s="1" t="s">
        <v>6440</v>
      </c>
      <c r="FS520" s="1" t="s">
        <v>6441</v>
      </c>
      <c r="FU520" s="1" t="s">
        <v>6846</v>
      </c>
      <c r="FV520" s="1" t="s">
        <v>200</v>
      </c>
      <c r="FW520" s="1" t="s">
        <v>290</v>
      </c>
      <c r="FZ520" s="1" t="s">
        <v>632</v>
      </c>
      <c r="GA520" s="1" t="s">
        <v>291</v>
      </c>
      <c r="GB520" s="2">
        <v>42096.0</v>
      </c>
      <c r="GC520" s="1" t="s">
        <v>6847</v>
      </c>
    </row>
    <row r="521">
      <c r="A521" s="1">
        <v>292500.0</v>
      </c>
      <c r="B521" s="1" t="s">
        <v>185</v>
      </c>
      <c r="C521" s="1" t="str">
        <f>"08800404"</f>
        <v>08800404</v>
      </c>
      <c r="D521" s="1" t="s">
        <v>186</v>
      </c>
      <c r="F521" s="1" t="str">
        <f t="shared" si="350"/>
        <v>174</v>
      </c>
      <c r="G521" s="2">
        <v>41984.0</v>
      </c>
      <c r="H521" s="1">
        <v>312000.0</v>
      </c>
      <c r="I521" s="1">
        <v>94.0</v>
      </c>
      <c r="J521" s="1">
        <v>299900.0</v>
      </c>
      <c r="K521" s="2">
        <v>42075.0</v>
      </c>
      <c r="L521" s="1">
        <v>94.0</v>
      </c>
      <c r="M521" s="2">
        <v>42075.0</v>
      </c>
      <c r="N521" s="1" t="s">
        <v>634</v>
      </c>
      <c r="O521" s="2">
        <v>42123.0</v>
      </c>
      <c r="P521" s="1">
        <v>7679.0</v>
      </c>
      <c r="Q521" s="1">
        <v>30.0</v>
      </c>
      <c r="S521" s="1" t="s">
        <v>6848</v>
      </c>
      <c r="T521" s="1" t="s">
        <v>6849</v>
      </c>
      <c r="U521" s="1" t="s">
        <v>569</v>
      </c>
      <c r="V521" s="1" t="s">
        <v>1200</v>
      </c>
      <c r="W521" s="1">
        <v>60175.0</v>
      </c>
      <c r="Y521" s="1" t="s">
        <v>6850</v>
      </c>
      <c r="Z521" s="1">
        <v>1977.0</v>
      </c>
      <c r="AA521" s="1" t="s">
        <v>192</v>
      </c>
      <c r="AB521" s="1" t="s">
        <v>193</v>
      </c>
      <c r="AD521" s="1" t="s">
        <v>1089</v>
      </c>
      <c r="AE521" s="1" t="s">
        <v>325</v>
      </c>
      <c r="AF521" s="1" t="s">
        <v>1632</v>
      </c>
      <c r="AH521" s="1" t="s">
        <v>6851</v>
      </c>
      <c r="AI521" s="1">
        <v>0.9929</v>
      </c>
      <c r="AK521" s="1">
        <v>10.0</v>
      </c>
      <c r="AL521" s="1">
        <v>4.0</v>
      </c>
      <c r="AM521" s="1">
        <v>2.0</v>
      </c>
      <c r="AN521" s="1">
        <v>1.0</v>
      </c>
      <c r="AO521" s="1" t="s">
        <v>198</v>
      </c>
      <c r="AP521" s="1">
        <v>1.0</v>
      </c>
      <c r="AQ521" s="1" t="s">
        <v>198</v>
      </c>
      <c r="AR521" s="1" t="s">
        <v>200</v>
      </c>
      <c r="AS521" s="1" t="s">
        <v>199</v>
      </c>
      <c r="AT521" s="1">
        <v>2.0</v>
      </c>
      <c r="AV521" s="1" t="s">
        <v>200</v>
      </c>
      <c r="AW521" s="1">
        <v>6625.08</v>
      </c>
      <c r="AX521" s="1">
        <v>2013.0</v>
      </c>
      <c r="AY521" s="1" t="s">
        <v>387</v>
      </c>
      <c r="AZ521" s="1" t="s">
        <v>200</v>
      </c>
      <c r="BA521" s="1" t="str">
        <f>"0825326008"</f>
        <v>0825326008</v>
      </c>
      <c r="BB521" s="1" t="s">
        <v>200</v>
      </c>
      <c r="BC521" s="1">
        <v>2268.0</v>
      </c>
      <c r="BD521" s="1">
        <v>292500.0</v>
      </c>
      <c r="BE521" s="2">
        <v>41982.0</v>
      </c>
      <c r="BF521" s="2" t="s">
        <v>6852</v>
      </c>
      <c r="BG521" s="1" t="s">
        <v>2198</v>
      </c>
      <c r="BH521" s="1">
        <v>0.0</v>
      </c>
      <c r="BI521" s="1" t="s">
        <v>2199</v>
      </c>
      <c r="BJ521" s="1" t="s">
        <v>2144</v>
      </c>
      <c r="BK521" s="1" t="s">
        <v>204</v>
      </c>
      <c r="BL521" s="1" t="str">
        <f t="shared" ref="BL521:BM521" si="352">""</f>
        <v/>
      </c>
      <c r="BM521" s="1" t="str">
        <f t="shared" si="352"/>
        <v/>
      </c>
      <c r="BQ521" s="1">
        <v>303.0</v>
      </c>
      <c r="BR521" s="1">
        <v>303.0</v>
      </c>
      <c r="BS521" s="1">
        <v>303.0</v>
      </c>
      <c r="BU521" s="1" t="s">
        <v>616</v>
      </c>
      <c r="BV521" s="1" t="s">
        <v>206</v>
      </c>
      <c r="BW521" s="1" t="s">
        <v>210</v>
      </c>
      <c r="BY521" s="1" t="s">
        <v>208</v>
      </c>
      <c r="BZ521" s="1" t="s">
        <v>209</v>
      </c>
      <c r="CA521" s="1" t="s">
        <v>210</v>
      </c>
      <c r="CB521" s="1" t="s">
        <v>431</v>
      </c>
      <c r="CC521" s="1" t="s">
        <v>264</v>
      </c>
      <c r="CD521" s="1" t="s">
        <v>206</v>
      </c>
      <c r="CE521" s="1" t="s">
        <v>210</v>
      </c>
      <c r="CG521" s="1" t="s">
        <v>205</v>
      </c>
      <c r="CH521" s="1" t="s">
        <v>209</v>
      </c>
      <c r="CI521" s="1" t="s">
        <v>210</v>
      </c>
      <c r="CK521" s="1" t="s">
        <v>215</v>
      </c>
      <c r="CL521" s="1" t="s">
        <v>209</v>
      </c>
      <c r="CM521" s="1" t="s">
        <v>210</v>
      </c>
      <c r="CO521" s="1" t="s">
        <v>212</v>
      </c>
      <c r="CP521" s="1" t="s">
        <v>209</v>
      </c>
      <c r="CQ521" s="1" t="s">
        <v>210</v>
      </c>
      <c r="CS521" s="1" t="s">
        <v>205</v>
      </c>
      <c r="CT521" s="1" t="s">
        <v>206</v>
      </c>
      <c r="CU521" s="1" t="s">
        <v>588</v>
      </c>
      <c r="CW521" s="1" t="s">
        <v>784</v>
      </c>
      <c r="CX521" s="1" t="s">
        <v>206</v>
      </c>
      <c r="CY521" s="1" t="s">
        <v>207</v>
      </c>
      <c r="CZ521" s="1" t="s">
        <v>239</v>
      </c>
      <c r="DA521" s="1" t="s">
        <v>200</v>
      </c>
      <c r="DC521" s="1" t="s">
        <v>395</v>
      </c>
      <c r="DD521" s="1" t="s">
        <v>679</v>
      </c>
      <c r="DE521" s="1" t="s">
        <v>273</v>
      </c>
      <c r="DF521" s="1" t="s">
        <v>6853</v>
      </c>
      <c r="DH521" s="1" t="s">
        <v>856</v>
      </c>
      <c r="DI521" s="1" t="s">
        <v>703</v>
      </c>
      <c r="DJ521" s="1" t="s">
        <v>857</v>
      </c>
      <c r="DK521" s="1" t="s">
        <v>223</v>
      </c>
      <c r="DL521" s="1" t="s">
        <v>858</v>
      </c>
      <c r="DM521" s="1" t="s">
        <v>338</v>
      </c>
      <c r="DN521" s="1" t="s">
        <v>339</v>
      </c>
      <c r="DO521" s="1" t="s">
        <v>6854</v>
      </c>
      <c r="DP521" s="1" t="s">
        <v>340</v>
      </c>
      <c r="DQ521" s="1" t="s">
        <v>1557</v>
      </c>
      <c r="DR521" s="1" t="s">
        <v>229</v>
      </c>
      <c r="DS521" s="1" t="s">
        <v>230</v>
      </c>
      <c r="DU521" s="1" t="s">
        <v>6855</v>
      </c>
      <c r="DV521" s="1" t="s">
        <v>6856</v>
      </c>
      <c r="DW521" s="1" t="s">
        <v>1026</v>
      </c>
      <c r="DX521" s="1" t="s">
        <v>234</v>
      </c>
      <c r="DY521" s="1" t="s">
        <v>4026</v>
      </c>
      <c r="DZ521" s="1" t="s">
        <v>6857</v>
      </c>
      <c r="EA521" s="1" t="s">
        <v>447</v>
      </c>
      <c r="EB521" s="1" t="s">
        <v>684</v>
      </c>
      <c r="EC521" s="1" t="s">
        <v>237</v>
      </c>
      <c r="ED521" s="1" t="s">
        <v>407</v>
      </c>
      <c r="EE521" s="1" t="s">
        <v>493</v>
      </c>
      <c r="EG521" s="1" t="s">
        <v>1102</v>
      </c>
      <c r="EH521" s="1" t="s">
        <v>2313</v>
      </c>
      <c r="EI521" s="1" t="s">
        <v>450</v>
      </c>
      <c r="EJ521" s="1" t="s">
        <v>598</v>
      </c>
      <c r="EL521" s="1" t="s">
        <v>541</v>
      </c>
      <c r="EM521" s="1" t="s">
        <v>206</v>
      </c>
      <c r="EN521" s="1" t="s">
        <v>210</v>
      </c>
      <c r="EP521" s="1" t="s">
        <v>560</v>
      </c>
      <c r="EQ521" s="1" t="s">
        <v>206</v>
      </c>
      <c r="ER521" s="1" t="s">
        <v>588</v>
      </c>
      <c r="ET521" s="1" t="s">
        <v>6858</v>
      </c>
      <c r="EU521" s="1" t="s">
        <v>267</v>
      </c>
      <c r="EV521" s="1" t="s">
        <v>210</v>
      </c>
      <c r="EX521" s="1" t="s">
        <v>212</v>
      </c>
      <c r="EY521" s="1" t="s">
        <v>267</v>
      </c>
      <c r="EZ521" s="1" t="s">
        <v>210</v>
      </c>
      <c r="FC521" s="1" t="s">
        <v>238</v>
      </c>
      <c r="FF521" s="1" t="s">
        <v>239</v>
      </c>
      <c r="FG521" s="1" t="s">
        <v>192</v>
      </c>
      <c r="FH521" s="1" t="s">
        <v>192</v>
      </c>
      <c r="FJ521" s="1" t="s">
        <v>4578</v>
      </c>
      <c r="FK521" s="1" t="s">
        <v>229</v>
      </c>
      <c r="FL521" s="1" t="s">
        <v>2580</v>
      </c>
      <c r="FM521" s="1">
        <v>23265.0</v>
      </c>
      <c r="FN521" s="1" t="s">
        <v>2581</v>
      </c>
      <c r="FO521" s="1" t="s">
        <v>6859</v>
      </c>
      <c r="FP521" s="1">
        <v>215634.0</v>
      </c>
      <c r="FQ521" s="1" t="s">
        <v>6860</v>
      </c>
      <c r="FU521" s="1" t="s">
        <v>6861</v>
      </c>
      <c r="FV521" s="1" t="s">
        <v>200</v>
      </c>
      <c r="FW521" s="1" t="s">
        <v>290</v>
      </c>
      <c r="FZ521" s="1" t="s">
        <v>229</v>
      </c>
      <c r="GA521" s="1" t="s">
        <v>291</v>
      </c>
      <c r="GB521" s="2">
        <v>42124.0</v>
      </c>
    </row>
    <row r="522">
      <c r="A522" s="1">
        <v>300000.0</v>
      </c>
      <c r="B522" s="1" t="s">
        <v>185</v>
      </c>
      <c r="C522" s="1" t="str">
        <f>"08795277"</f>
        <v>08795277</v>
      </c>
      <c r="D522" s="1" t="s">
        <v>186</v>
      </c>
      <c r="F522" s="1" t="str">
        <f>"8011"</f>
        <v>8011</v>
      </c>
      <c r="G522" s="2">
        <v>41975.0</v>
      </c>
      <c r="H522" s="1">
        <v>339000.0</v>
      </c>
      <c r="I522" s="1">
        <v>99.0</v>
      </c>
      <c r="J522" s="1">
        <v>319000.0</v>
      </c>
      <c r="K522" s="2">
        <v>42025.0</v>
      </c>
      <c r="L522" s="1">
        <v>51.0</v>
      </c>
      <c r="M522" s="2">
        <v>42025.0</v>
      </c>
      <c r="N522" s="1" t="s">
        <v>187</v>
      </c>
      <c r="O522" s="2">
        <v>42061.0</v>
      </c>
      <c r="P522" s="1">
        <v>179854.0</v>
      </c>
      <c r="Q522" s="1">
        <v>18705.0</v>
      </c>
      <c r="S522" s="1">
        <v>5113.0</v>
      </c>
      <c r="T522" s="1" t="s">
        <v>6862</v>
      </c>
      <c r="U522" s="1" t="s">
        <v>189</v>
      </c>
      <c r="V522" s="1" t="s">
        <v>190</v>
      </c>
      <c r="W522" s="1">
        <v>60630.0</v>
      </c>
      <c r="Y522" s="1" t="s">
        <v>6863</v>
      </c>
      <c r="Z522" s="1">
        <v>1925.0</v>
      </c>
      <c r="AA522" s="1" t="s">
        <v>192</v>
      </c>
      <c r="AB522" s="1" t="s">
        <v>193</v>
      </c>
      <c r="AC522" s="1" t="s">
        <v>6864</v>
      </c>
      <c r="AD522" s="1" t="s">
        <v>194</v>
      </c>
      <c r="AE522" s="1" t="s">
        <v>195</v>
      </c>
      <c r="AF522" s="1" t="s">
        <v>196</v>
      </c>
      <c r="AH522" s="1" t="s">
        <v>6865</v>
      </c>
      <c r="AI522" s="1">
        <v>0.25</v>
      </c>
      <c r="AK522" s="1">
        <v>11.0</v>
      </c>
      <c r="AL522" s="1">
        <v>4.0</v>
      </c>
      <c r="AM522" s="1">
        <v>2.0</v>
      </c>
      <c r="AN522" s="1">
        <v>1.0</v>
      </c>
      <c r="AO522" s="1" t="s">
        <v>229</v>
      </c>
      <c r="AQ522" s="1" t="s">
        <v>198</v>
      </c>
      <c r="AR522" s="1" t="s">
        <v>192</v>
      </c>
      <c r="AS522" s="1" t="s">
        <v>199</v>
      </c>
      <c r="AT522" s="1">
        <v>2.0</v>
      </c>
      <c r="AV522" s="1" t="s">
        <v>200</v>
      </c>
      <c r="AW522" s="1">
        <v>5576.0</v>
      </c>
      <c r="AX522" s="1">
        <v>2013.0</v>
      </c>
      <c r="AY522" s="1" t="s">
        <v>387</v>
      </c>
      <c r="AZ522" s="1" t="s">
        <v>200</v>
      </c>
      <c r="BA522" s="1" t="str">
        <f>"13084030200000"</f>
        <v>13084030200000</v>
      </c>
      <c r="BC522" s="1">
        <v>2152.0</v>
      </c>
      <c r="BD522" s="1">
        <v>300000.0</v>
      </c>
      <c r="BE522" s="2">
        <v>41975.0</v>
      </c>
      <c r="BF522" s="2" t="s">
        <v>6866</v>
      </c>
      <c r="BG522" s="1" t="s">
        <v>2531</v>
      </c>
      <c r="BH522" s="1">
        <v>0.0</v>
      </c>
      <c r="BJ522" s="1" t="s">
        <v>1222</v>
      </c>
      <c r="BK522" s="1" t="s">
        <v>204</v>
      </c>
      <c r="BL522" s="1" t="str">
        <f>"5111"</f>
        <v>5111</v>
      </c>
      <c r="BM522" s="1" t="str">
        <f t="shared" ref="BM522:BM524" si="353">"0"</f>
        <v>0</v>
      </c>
      <c r="BN522" s="1">
        <v>5800.0</v>
      </c>
      <c r="BO522" s="1">
        <v>0.0</v>
      </c>
      <c r="BQ522" s="1">
        <v>299.0</v>
      </c>
      <c r="BR522" s="1">
        <v>299.0</v>
      </c>
      <c r="BS522" s="1">
        <v>299.0</v>
      </c>
      <c r="BU522" s="1" t="s">
        <v>1426</v>
      </c>
      <c r="BV522" s="1" t="s">
        <v>206</v>
      </c>
      <c r="BW522" s="1" t="s">
        <v>207</v>
      </c>
      <c r="BX522" s="1" t="s">
        <v>431</v>
      </c>
      <c r="BY522" s="1" t="s">
        <v>497</v>
      </c>
      <c r="BZ522" s="1" t="s">
        <v>206</v>
      </c>
      <c r="CA522" s="1" t="s">
        <v>207</v>
      </c>
      <c r="CB522" s="1" t="s">
        <v>1549</v>
      </c>
      <c r="CC522" s="1" t="s">
        <v>363</v>
      </c>
      <c r="CD522" s="1" t="s">
        <v>206</v>
      </c>
      <c r="CE522" s="1" t="s">
        <v>207</v>
      </c>
      <c r="CF522" s="1" t="s">
        <v>1118</v>
      </c>
      <c r="CG522" s="1" t="s">
        <v>392</v>
      </c>
      <c r="CH522" s="1" t="s">
        <v>209</v>
      </c>
      <c r="CI522" s="1" t="s">
        <v>207</v>
      </c>
      <c r="CJ522" s="1" t="s">
        <v>1549</v>
      </c>
      <c r="CK522" s="1" t="s">
        <v>392</v>
      </c>
      <c r="CL522" s="1" t="s">
        <v>209</v>
      </c>
      <c r="CM522" s="1" t="s">
        <v>207</v>
      </c>
      <c r="CN522" s="1" t="s">
        <v>1549</v>
      </c>
      <c r="CO522" s="1" t="s">
        <v>433</v>
      </c>
      <c r="CP522" s="1" t="s">
        <v>209</v>
      </c>
      <c r="CQ522" s="1" t="s">
        <v>207</v>
      </c>
      <c r="CR522" s="1" t="s">
        <v>1549</v>
      </c>
      <c r="CS522" s="1" t="s">
        <v>904</v>
      </c>
      <c r="CT522" s="1" t="s">
        <v>206</v>
      </c>
      <c r="CU522" s="1" t="s">
        <v>268</v>
      </c>
      <c r="CV522" s="1" t="s">
        <v>1549</v>
      </c>
      <c r="CW522" s="1" t="s">
        <v>647</v>
      </c>
      <c r="CX522" s="1" t="s">
        <v>206</v>
      </c>
      <c r="CY522" s="1" t="s">
        <v>207</v>
      </c>
      <c r="CZ522" s="1" t="s">
        <v>229</v>
      </c>
      <c r="DA522" s="1" t="s">
        <v>200</v>
      </c>
      <c r="DC522" s="1" t="s">
        <v>785</v>
      </c>
      <c r="DD522" s="1" t="s">
        <v>436</v>
      </c>
      <c r="DE522" s="1" t="s">
        <v>1300</v>
      </c>
      <c r="DF522" s="1" t="s">
        <v>6867</v>
      </c>
      <c r="DG522" s="1" t="s">
        <v>337</v>
      </c>
      <c r="DH522" s="1" t="s">
        <v>365</v>
      </c>
      <c r="DI522" s="1" t="s">
        <v>1223</v>
      </c>
      <c r="DJ522" s="1" t="s">
        <v>222</v>
      </c>
      <c r="DK522" s="1" t="s">
        <v>2506</v>
      </c>
      <c r="DL522" s="1" t="s">
        <v>224</v>
      </c>
      <c r="DM522" s="1" t="s">
        <v>338</v>
      </c>
      <c r="DN522" s="1" t="s">
        <v>666</v>
      </c>
      <c r="DO522" s="1" t="s">
        <v>549</v>
      </c>
      <c r="DP522" s="1" t="s">
        <v>276</v>
      </c>
      <c r="DQ522" s="1" t="s">
        <v>718</v>
      </c>
      <c r="DR522" s="1" t="s">
        <v>229</v>
      </c>
      <c r="DS522" s="1" t="s">
        <v>591</v>
      </c>
      <c r="DV522" s="1" t="s">
        <v>6868</v>
      </c>
      <c r="DW522" s="1" t="s">
        <v>279</v>
      </c>
      <c r="DX522" s="1" t="s">
        <v>234</v>
      </c>
      <c r="DZ522" s="1" t="s">
        <v>491</v>
      </c>
      <c r="EA522" s="1" t="s">
        <v>644</v>
      </c>
      <c r="EC522" s="1" t="s">
        <v>237</v>
      </c>
      <c r="ED522" s="1" t="s">
        <v>407</v>
      </c>
      <c r="EG522" s="1" t="s">
        <v>449</v>
      </c>
      <c r="EH522" s="1" t="s">
        <v>557</v>
      </c>
      <c r="EI522" s="1" t="s">
        <v>450</v>
      </c>
      <c r="EL522" s="1" t="s">
        <v>332</v>
      </c>
      <c r="EM522" s="1" t="s">
        <v>206</v>
      </c>
      <c r="EN522" s="1" t="s">
        <v>268</v>
      </c>
      <c r="EO522" s="1" t="s">
        <v>431</v>
      </c>
      <c r="EP522" s="1" t="s">
        <v>263</v>
      </c>
      <c r="EQ522" s="1" t="s">
        <v>42</v>
      </c>
      <c r="ER522" s="1" t="s">
        <v>207</v>
      </c>
      <c r="ES522" s="1" t="s">
        <v>1549</v>
      </c>
      <c r="ET522" s="1" t="s">
        <v>3375</v>
      </c>
      <c r="EU522" s="1" t="s">
        <v>42</v>
      </c>
      <c r="EV522" s="1" t="s">
        <v>617</v>
      </c>
      <c r="EW522" s="1" t="s">
        <v>229</v>
      </c>
      <c r="EY522" s="1" t="s">
        <v>238</v>
      </c>
      <c r="FC522" s="1" t="s">
        <v>238</v>
      </c>
      <c r="FF522" s="1" t="s">
        <v>239</v>
      </c>
      <c r="FG522" s="1" t="s">
        <v>192</v>
      </c>
      <c r="FH522" s="1" t="s">
        <v>192</v>
      </c>
      <c r="FJ522" s="1" t="s">
        <v>1123</v>
      </c>
      <c r="FK522" s="1" t="s">
        <v>229</v>
      </c>
      <c r="FL522" s="1" t="s">
        <v>456</v>
      </c>
      <c r="FM522" s="1">
        <v>8012.0</v>
      </c>
      <c r="FN522" s="1" t="s">
        <v>6869</v>
      </c>
      <c r="FO522" s="1" t="s">
        <v>6870</v>
      </c>
      <c r="FP522" s="1">
        <v>81614.0</v>
      </c>
      <c r="FQ522" s="1" t="s">
        <v>6871</v>
      </c>
      <c r="FU522" s="1" t="s">
        <v>6872</v>
      </c>
      <c r="FV522" s="1" t="s">
        <v>200</v>
      </c>
      <c r="FW522" s="1" t="s">
        <v>290</v>
      </c>
      <c r="FX522" s="1" t="s">
        <v>238</v>
      </c>
      <c r="FZ522" s="1" t="s">
        <v>229</v>
      </c>
      <c r="GA522" s="1" t="s">
        <v>291</v>
      </c>
      <c r="GB522" s="2">
        <v>42061.0</v>
      </c>
      <c r="GC522" s="1" t="s">
        <v>6873</v>
      </c>
    </row>
    <row r="523">
      <c r="A523" s="1">
        <v>387500.0</v>
      </c>
      <c r="B523" s="1" t="s">
        <v>185</v>
      </c>
      <c r="C523" s="1" t="str">
        <f>"08798928"</f>
        <v>08798928</v>
      </c>
      <c r="D523" s="1" t="s">
        <v>186</v>
      </c>
      <c r="F523" s="1" t="str">
        <f>"123"</f>
        <v>123</v>
      </c>
      <c r="G523" s="2">
        <v>41981.0</v>
      </c>
      <c r="H523" s="1">
        <v>387500.0</v>
      </c>
      <c r="I523" s="1">
        <v>266.0</v>
      </c>
      <c r="J523" s="1">
        <v>387500.0</v>
      </c>
      <c r="K523" s="2">
        <v>41987.0</v>
      </c>
      <c r="L523" s="1">
        <v>7.0</v>
      </c>
      <c r="M523" s="2">
        <v>41987.0</v>
      </c>
      <c r="N523" s="1" t="s">
        <v>187</v>
      </c>
      <c r="O523" s="2">
        <v>42034.0</v>
      </c>
      <c r="P523" s="1">
        <v>2161.0</v>
      </c>
      <c r="Q523" s="1">
        <v>7450.0</v>
      </c>
      <c r="S523" s="1" t="s">
        <v>6874</v>
      </c>
      <c r="T523" s="1" t="s">
        <v>423</v>
      </c>
      <c r="U523" s="1" t="s">
        <v>569</v>
      </c>
      <c r="V523" s="1" t="s">
        <v>465</v>
      </c>
      <c r="W523" s="1">
        <v>60124.0</v>
      </c>
      <c r="Y523" s="1" t="s">
        <v>6875</v>
      </c>
      <c r="Z523" s="1">
        <v>1996.0</v>
      </c>
      <c r="AA523" s="1" t="s">
        <v>200</v>
      </c>
      <c r="AB523" s="1" t="s">
        <v>193</v>
      </c>
      <c r="AC523" s="1" t="s">
        <v>6876</v>
      </c>
      <c r="AD523" s="1" t="s">
        <v>1089</v>
      </c>
      <c r="AE523" s="1" t="s">
        <v>325</v>
      </c>
      <c r="AF523" s="1" t="s">
        <v>469</v>
      </c>
      <c r="AH523" s="1" t="s">
        <v>6877</v>
      </c>
      <c r="AI523" s="1">
        <v>1.47</v>
      </c>
      <c r="AK523" s="1">
        <v>12.0</v>
      </c>
      <c r="AL523" s="1">
        <v>4.0</v>
      </c>
      <c r="AM523" s="1">
        <v>4.0</v>
      </c>
      <c r="AN523" s="1">
        <v>0.0</v>
      </c>
      <c r="AO523" s="1" t="s">
        <v>198</v>
      </c>
      <c r="AQ523" s="1" t="s">
        <v>327</v>
      </c>
      <c r="AR523" s="1" t="s">
        <v>192</v>
      </c>
      <c r="AS523" s="1" t="s">
        <v>199</v>
      </c>
      <c r="AT523" s="1">
        <v>3.0</v>
      </c>
      <c r="AV523" s="1" t="s">
        <v>200</v>
      </c>
      <c r="AW523" s="1">
        <v>10987.14</v>
      </c>
      <c r="AX523" s="1">
        <v>2013.0</v>
      </c>
      <c r="AY523" s="1" t="s">
        <v>229</v>
      </c>
      <c r="AZ523" s="1" t="s">
        <v>200</v>
      </c>
      <c r="BA523" s="1" t="str">
        <f>"0620176016"</f>
        <v>0620176016</v>
      </c>
      <c r="BB523" s="1" t="s">
        <v>200</v>
      </c>
      <c r="BC523" s="1">
        <v>4882.0</v>
      </c>
      <c r="BD523" s="1">
        <v>387500.0</v>
      </c>
      <c r="BE523" s="2">
        <v>41981.0</v>
      </c>
      <c r="BF523" s="2" t="s">
        <v>6878</v>
      </c>
      <c r="BH523" s="1">
        <v>0.0</v>
      </c>
      <c r="BK523" s="1" t="s">
        <v>204</v>
      </c>
      <c r="BL523" s="1" t="str">
        <f>"10"</f>
        <v>10</v>
      </c>
      <c r="BM523" s="1" t="str">
        <f t="shared" si="353"/>
        <v>0</v>
      </c>
      <c r="BN523" s="1">
        <v>38.0</v>
      </c>
      <c r="BO523" s="1">
        <v>0.0</v>
      </c>
      <c r="BQ523" s="1">
        <v>301.0</v>
      </c>
      <c r="BR523" s="1">
        <v>301.0</v>
      </c>
      <c r="BS523" s="1">
        <v>301.0</v>
      </c>
      <c r="BU523" s="1" t="s">
        <v>1244</v>
      </c>
      <c r="BV523" s="1" t="s">
        <v>206</v>
      </c>
      <c r="BW523" s="1" t="s">
        <v>210</v>
      </c>
      <c r="BY523" s="1" t="s">
        <v>6879</v>
      </c>
      <c r="BZ523" s="1" t="s">
        <v>206</v>
      </c>
      <c r="CA523" s="1" t="s">
        <v>210</v>
      </c>
      <c r="CB523" s="1" t="s">
        <v>431</v>
      </c>
      <c r="CC523" s="1" t="s">
        <v>215</v>
      </c>
      <c r="CD523" s="1" t="s">
        <v>206</v>
      </c>
      <c r="CE523" s="1" t="s">
        <v>210</v>
      </c>
      <c r="CF523" s="1" t="s">
        <v>431</v>
      </c>
      <c r="CG523" s="1" t="s">
        <v>215</v>
      </c>
      <c r="CH523" s="1" t="s">
        <v>206</v>
      </c>
      <c r="CI523" s="1" t="s">
        <v>210</v>
      </c>
      <c r="CJ523" s="1" t="s">
        <v>431</v>
      </c>
      <c r="CK523" s="1" t="s">
        <v>433</v>
      </c>
      <c r="CL523" s="1" t="s">
        <v>206</v>
      </c>
      <c r="CM523" s="1" t="s">
        <v>210</v>
      </c>
      <c r="CN523" s="1" t="s">
        <v>431</v>
      </c>
      <c r="CO523" s="1" t="s">
        <v>433</v>
      </c>
      <c r="CP523" s="1" t="s">
        <v>1697</v>
      </c>
      <c r="CQ523" s="1" t="s">
        <v>210</v>
      </c>
      <c r="CS523" s="1" t="s">
        <v>1206</v>
      </c>
      <c r="CT523" s="1" t="s">
        <v>206</v>
      </c>
      <c r="CU523" s="1" t="s">
        <v>268</v>
      </c>
      <c r="CV523" s="1" t="s">
        <v>431</v>
      </c>
      <c r="CW523" s="1" t="s">
        <v>6880</v>
      </c>
      <c r="CX523" s="1" t="s">
        <v>1697</v>
      </c>
      <c r="CY523" s="1" t="s">
        <v>210</v>
      </c>
      <c r="CZ523" s="1" t="s">
        <v>431</v>
      </c>
      <c r="DA523" s="1" t="s">
        <v>200</v>
      </c>
      <c r="DC523" s="1" t="s">
        <v>678</v>
      </c>
      <c r="DD523" s="1" t="s">
        <v>1930</v>
      </c>
      <c r="DE523" s="1" t="s">
        <v>273</v>
      </c>
      <c r="DF523" s="1" t="s">
        <v>905</v>
      </c>
      <c r="DG523" s="1" t="s">
        <v>1553</v>
      </c>
      <c r="DH523" s="1" t="s">
        <v>856</v>
      </c>
      <c r="DI523" s="1" t="s">
        <v>6881</v>
      </c>
      <c r="DJ523" s="1" t="s">
        <v>857</v>
      </c>
      <c r="DK523" s="1" t="s">
        <v>198</v>
      </c>
      <c r="DL523" s="1" t="s">
        <v>1161</v>
      </c>
      <c r="DM523" s="1" t="s">
        <v>229</v>
      </c>
      <c r="DN523" s="1" t="s">
        <v>6882</v>
      </c>
      <c r="DO523" s="1" t="s">
        <v>6883</v>
      </c>
      <c r="DP523" s="1" t="s">
        <v>340</v>
      </c>
      <c r="DQ523" s="1" t="s">
        <v>931</v>
      </c>
      <c r="DR523" s="1" t="s">
        <v>229</v>
      </c>
      <c r="DV523" s="1" t="s">
        <v>6884</v>
      </c>
      <c r="DW523" s="1" t="s">
        <v>1210</v>
      </c>
      <c r="DX523" s="1" t="s">
        <v>1287</v>
      </c>
      <c r="DY523" s="1" t="s">
        <v>6885</v>
      </c>
      <c r="DZ523" s="1" t="s">
        <v>1661</v>
      </c>
      <c r="EA523" s="1" t="s">
        <v>683</v>
      </c>
      <c r="EC523" s="1" t="s">
        <v>685</v>
      </c>
      <c r="ED523" s="1" t="s">
        <v>407</v>
      </c>
      <c r="EG523" s="1" t="s">
        <v>1121</v>
      </c>
      <c r="EH523" s="1" t="s">
        <v>494</v>
      </c>
      <c r="EI523" s="1" t="s">
        <v>1824</v>
      </c>
      <c r="EJ523" s="1" t="s">
        <v>1407</v>
      </c>
      <c r="EL523" s="1" t="s">
        <v>584</v>
      </c>
      <c r="EM523" s="1" t="s">
        <v>1697</v>
      </c>
      <c r="EN523" s="1" t="s">
        <v>301</v>
      </c>
      <c r="EP523" s="1" t="s">
        <v>269</v>
      </c>
      <c r="EQ523" s="1" t="s">
        <v>1697</v>
      </c>
      <c r="ER523" s="1" t="s">
        <v>210</v>
      </c>
      <c r="ET523" s="1" t="s">
        <v>2403</v>
      </c>
      <c r="EU523" s="1" t="s">
        <v>1697</v>
      </c>
      <c r="EV523" s="1" t="s">
        <v>210</v>
      </c>
      <c r="EX523" s="1" t="s">
        <v>700</v>
      </c>
      <c r="EY523" s="1" t="s">
        <v>1697</v>
      </c>
      <c r="EZ523" s="1" t="s">
        <v>301</v>
      </c>
      <c r="FC523" s="1" t="s">
        <v>238</v>
      </c>
      <c r="FF523" s="1" t="s">
        <v>239</v>
      </c>
      <c r="FG523" s="1" t="s">
        <v>192</v>
      </c>
      <c r="FH523" s="1" t="s">
        <v>192</v>
      </c>
      <c r="FJ523" s="1" t="s">
        <v>1538</v>
      </c>
      <c r="FK523" s="1" t="s">
        <v>229</v>
      </c>
      <c r="FL523" s="1" t="s">
        <v>1358</v>
      </c>
      <c r="FM523" s="1">
        <v>23591.0</v>
      </c>
      <c r="FN523" s="1" t="s">
        <v>2134</v>
      </c>
      <c r="FO523" s="1" t="s">
        <v>2135</v>
      </c>
      <c r="FP523" s="1">
        <v>230500.0</v>
      </c>
      <c r="FQ523" s="1" t="s">
        <v>2136</v>
      </c>
      <c r="FU523" s="1" t="s">
        <v>6886</v>
      </c>
      <c r="FV523" s="1" t="s">
        <v>200</v>
      </c>
      <c r="FW523" s="1" t="s">
        <v>290</v>
      </c>
      <c r="FZ523" s="1" t="s">
        <v>229</v>
      </c>
      <c r="GA523" s="1" t="s">
        <v>291</v>
      </c>
      <c r="GB523" s="2">
        <v>42034.0</v>
      </c>
      <c r="GC523" s="1" t="s">
        <v>6887</v>
      </c>
    </row>
    <row r="524">
      <c r="A524" s="1">
        <v>450000.0</v>
      </c>
      <c r="B524" s="1" t="s">
        <v>185</v>
      </c>
      <c r="C524" s="1" t="str">
        <f>"08799937"</f>
        <v>08799937</v>
      </c>
      <c r="D524" s="1" t="s">
        <v>186</v>
      </c>
      <c r="F524" s="1" t="str">
        <f>"8012"</f>
        <v>8012</v>
      </c>
      <c r="G524" s="2">
        <v>41983.0</v>
      </c>
      <c r="H524" s="1">
        <v>599900.0</v>
      </c>
      <c r="I524" s="1">
        <v>482.0</v>
      </c>
      <c r="J524" s="1">
        <v>599900.0</v>
      </c>
      <c r="K524" s="2">
        <v>41983.0</v>
      </c>
      <c r="L524" s="1">
        <v>1.0</v>
      </c>
      <c r="M524" s="2">
        <v>41983.0</v>
      </c>
      <c r="N524" s="1" t="s">
        <v>187</v>
      </c>
      <c r="O524" s="2">
        <v>42031.0</v>
      </c>
      <c r="P524" s="1">
        <v>106151.0</v>
      </c>
      <c r="Q524" s="1">
        <v>10267.0</v>
      </c>
      <c r="S524" s="1">
        <v>7051.0</v>
      </c>
      <c r="T524" s="1" t="s">
        <v>2995</v>
      </c>
      <c r="U524" s="1" t="s">
        <v>189</v>
      </c>
      <c r="V524" s="1" t="s">
        <v>190</v>
      </c>
      <c r="W524" s="1">
        <v>60646.0</v>
      </c>
      <c r="Y524" s="1" t="s">
        <v>6888</v>
      </c>
      <c r="Z524" s="1">
        <v>1938.0</v>
      </c>
      <c r="AA524" s="1" t="s">
        <v>192</v>
      </c>
      <c r="AB524" s="1" t="s">
        <v>193</v>
      </c>
      <c r="AD524" s="1" t="s">
        <v>194</v>
      </c>
      <c r="AE524" s="1" t="s">
        <v>195</v>
      </c>
      <c r="AF524" s="1" t="s">
        <v>196</v>
      </c>
      <c r="AH524" s="1" t="s">
        <v>1133</v>
      </c>
      <c r="AI524" s="1">
        <v>0.1148</v>
      </c>
      <c r="AK524" s="1">
        <v>8.0</v>
      </c>
      <c r="AL524" s="1">
        <v>4.0</v>
      </c>
      <c r="AM524" s="1">
        <v>2.0</v>
      </c>
      <c r="AN524" s="1">
        <v>1.0</v>
      </c>
      <c r="AO524" s="1" t="s">
        <v>198</v>
      </c>
      <c r="AP524" s="1">
        <v>1.0</v>
      </c>
      <c r="AQ524" s="1" t="s">
        <v>229</v>
      </c>
      <c r="AS524" s="1" t="s">
        <v>199</v>
      </c>
      <c r="AT524" s="1">
        <v>1.0</v>
      </c>
      <c r="AV524" s="1" t="s">
        <v>200</v>
      </c>
      <c r="AW524" s="1">
        <v>0.0</v>
      </c>
      <c r="AX524" s="1">
        <v>2012.0</v>
      </c>
      <c r="AZ524" s="1" t="s">
        <v>200</v>
      </c>
      <c r="BA524" s="1" t="str">
        <f>"10322060620000"</f>
        <v>10322060620000</v>
      </c>
      <c r="BC524" s="1">
        <v>0.0</v>
      </c>
      <c r="BD524" s="1">
        <v>450000.0</v>
      </c>
      <c r="BE524" s="2">
        <v>41983.0</v>
      </c>
      <c r="BF524" s="1" t="s">
        <v>6889</v>
      </c>
      <c r="BG524" s="1" t="s">
        <v>2364</v>
      </c>
      <c r="BH524" s="1">
        <v>0.0</v>
      </c>
      <c r="BK524" s="1" t="s">
        <v>204</v>
      </c>
      <c r="BL524" s="1" t="str">
        <f>"7051"</f>
        <v>7051</v>
      </c>
      <c r="BM524" s="1" t="str">
        <f t="shared" si="353"/>
        <v>0</v>
      </c>
      <c r="BN524" s="1">
        <v>6000.0</v>
      </c>
      <c r="BO524" s="1">
        <v>0.0</v>
      </c>
      <c r="BQ524" s="1">
        <v>299.0</v>
      </c>
      <c r="BR524" s="1">
        <v>299.0</v>
      </c>
      <c r="BS524" s="1">
        <v>299.0</v>
      </c>
      <c r="BU524" s="1" t="s">
        <v>334</v>
      </c>
      <c r="BV524" s="1" t="s">
        <v>206</v>
      </c>
      <c r="BW524" s="1" t="s">
        <v>207</v>
      </c>
      <c r="BY524" s="1" t="s">
        <v>496</v>
      </c>
      <c r="BZ524" s="1" t="s">
        <v>209</v>
      </c>
      <c r="CC524" s="1" t="s">
        <v>333</v>
      </c>
      <c r="CD524" s="1" t="s">
        <v>206</v>
      </c>
      <c r="CE524" s="1" t="s">
        <v>207</v>
      </c>
      <c r="CG524" s="1" t="s">
        <v>496</v>
      </c>
      <c r="CH524" s="1" t="s">
        <v>209</v>
      </c>
      <c r="CK524" s="1" t="s">
        <v>496</v>
      </c>
      <c r="CL524" s="1" t="s">
        <v>209</v>
      </c>
      <c r="CO524" s="1" t="s">
        <v>393</v>
      </c>
      <c r="CP524" s="1" t="s">
        <v>209</v>
      </c>
      <c r="CS524" s="1" t="s">
        <v>330</v>
      </c>
      <c r="CT524" s="1" t="s">
        <v>206</v>
      </c>
      <c r="CU524" s="1" t="s">
        <v>207</v>
      </c>
      <c r="CW524" s="1" t="s">
        <v>6890</v>
      </c>
      <c r="CX524" s="1" t="s">
        <v>206</v>
      </c>
      <c r="CY524" s="1" t="s">
        <v>207</v>
      </c>
      <c r="DA524" s="1" t="s">
        <v>200</v>
      </c>
      <c r="DC524" s="1" t="s">
        <v>1399</v>
      </c>
      <c r="DE524" s="1" t="s">
        <v>273</v>
      </c>
      <c r="DF524" s="1" t="s">
        <v>619</v>
      </c>
      <c r="DH524" s="1" t="s">
        <v>365</v>
      </c>
      <c r="DJ524" s="1" t="s">
        <v>222</v>
      </c>
      <c r="DL524" s="1" t="s">
        <v>229</v>
      </c>
      <c r="DM524" s="1" t="s">
        <v>3697</v>
      </c>
      <c r="DQ524" s="1" t="s">
        <v>228</v>
      </c>
      <c r="DR524" s="1" t="s">
        <v>229</v>
      </c>
      <c r="DV524" s="1" t="s">
        <v>232</v>
      </c>
      <c r="DW524" s="1" t="s">
        <v>279</v>
      </c>
      <c r="DX524" s="1" t="s">
        <v>234</v>
      </c>
      <c r="EC524" s="1" t="s">
        <v>237</v>
      </c>
      <c r="EM524" s="1" t="s">
        <v>238</v>
      </c>
      <c r="EQ524" s="1" t="s">
        <v>238</v>
      </c>
      <c r="EU524" s="1" t="s">
        <v>238</v>
      </c>
      <c r="EY524" s="1" t="s">
        <v>238</v>
      </c>
      <c r="FC524" s="1" t="s">
        <v>238</v>
      </c>
      <c r="FF524" s="1" t="s">
        <v>239</v>
      </c>
      <c r="FG524" s="1" t="s">
        <v>192</v>
      </c>
      <c r="FH524" s="1" t="s">
        <v>192</v>
      </c>
      <c r="FJ524" s="1" t="s">
        <v>6891</v>
      </c>
      <c r="FK524" s="1" t="s">
        <v>1586</v>
      </c>
      <c r="FL524" s="1" t="s">
        <v>456</v>
      </c>
      <c r="FM524" s="1">
        <v>10013.0</v>
      </c>
      <c r="FN524" s="1" t="s">
        <v>2428</v>
      </c>
      <c r="FO524" s="1" t="s">
        <v>6892</v>
      </c>
      <c r="FP524" s="1">
        <v>144665.0</v>
      </c>
      <c r="FQ524" s="1" t="s">
        <v>6893</v>
      </c>
      <c r="FU524" s="1" t="s">
        <v>6894</v>
      </c>
      <c r="FV524" s="1" t="s">
        <v>200</v>
      </c>
      <c r="FW524" s="1" t="s">
        <v>290</v>
      </c>
      <c r="FX524" s="1" t="s">
        <v>238</v>
      </c>
      <c r="FZ524" s="1" t="s">
        <v>229</v>
      </c>
      <c r="GA524" s="1" t="s">
        <v>291</v>
      </c>
      <c r="GB524" s="2">
        <v>42032.0</v>
      </c>
      <c r="GC524" s="1" t="s">
        <v>3170</v>
      </c>
    </row>
    <row r="525">
      <c r="A525" s="1">
        <v>255000.0</v>
      </c>
      <c r="B525" s="1" t="s">
        <v>185</v>
      </c>
      <c r="C525" s="1" t="str">
        <f>"08794064"</f>
        <v>08794064</v>
      </c>
      <c r="D525" s="1" t="s">
        <v>186</v>
      </c>
      <c r="F525" s="1" t="str">
        <f>"542"</f>
        <v>542</v>
      </c>
      <c r="G525" s="2">
        <v>41973.0</v>
      </c>
      <c r="H525" s="1">
        <v>270000.0</v>
      </c>
      <c r="I525" s="1">
        <v>267.0</v>
      </c>
      <c r="J525" s="1">
        <v>259900.0</v>
      </c>
      <c r="K525" s="2">
        <v>42058.0</v>
      </c>
      <c r="L525" s="1">
        <v>86.0</v>
      </c>
      <c r="M525" s="2">
        <v>42058.0</v>
      </c>
      <c r="N525" s="1" t="s">
        <v>356</v>
      </c>
      <c r="O525" s="2">
        <v>42097.0</v>
      </c>
      <c r="P525" s="1">
        <v>136414.0</v>
      </c>
      <c r="Q525" s="1">
        <v>16525.0</v>
      </c>
      <c r="S525" s="1">
        <v>912.0</v>
      </c>
      <c r="T525" s="1" t="s">
        <v>6895</v>
      </c>
      <c r="U525" s="1" t="s">
        <v>569</v>
      </c>
      <c r="V525" s="1" t="s">
        <v>3984</v>
      </c>
      <c r="W525" s="1">
        <v>60542.0</v>
      </c>
      <c r="Y525" s="1" t="s">
        <v>6896</v>
      </c>
      <c r="Z525" s="1">
        <v>2006.0</v>
      </c>
      <c r="AA525" s="1" t="s">
        <v>200</v>
      </c>
      <c r="AB525" s="1" t="s">
        <v>467</v>
      </c>
      <c r="AC525" s="1" t="s">
        <v>6897</v>
      </c>
      <c r="AD525" s="1" t="s">
        <v>3986</v>
      </c>
      <c r="AE525" s="1" t="s">
        <v>325</v>
      </c>
      <c r="AF525" s="1" t="s">
        <v>1479</v>
      </c>
      <c r="AH525" s="1" t="s">
        <v>6898</v>
      </c>
      <c r="AI525" s="1">
        <v>0.3298</v>
      </c>
      <c r="AK525" s="1">
        <v>8.0</v>
      </c>
      <c r="AL525" s="1">
        <v>4.0</v>
      </c>
      <c r="AM525" s="1">
        <v>2.0</v>
      </c>
      <c r="AN525" s="1">
        <v>1.0</v>
      </c>
      <c r="AO525" s="1" t="s">
        <v>198</v>
      </c>
      <c r="AP525" s="1">
        <v>1.0</v>
      </c>
      <c r="AQ525" s="1" t="s">
        <v>198</v>
      </c>
      <c r="AR525" s="1" t="s">
        <v>200</v>
      </c>
      <c r="AS525" s="1" t="s">
        <v>199</v>
      </c>
      <c r="AT525" s="1">
        <v>3.0</v>
      </c>
      <c r="AV525" s="1" t="s">
        <v>200</v>
      </c>
      <c r="AW525" s="1">
        <v>10213.0</v>
      </c>
      <c r="AX525" s="1">
        <v>2013.0</v>
      </c>
      <c r="AZ525" s="1" t="s">
        <v>200</v>
      </c>
      <c r="BA525" s="1" t="str">
        <f>"1136227008"</f>
        <v>1136227008</v>
      </c>
      <c r="BC525" s="1">
        <v>2519.0</v>
      </c>
      <c r="BD525" s="1">
        <v>255000.0</v>
      </c>
      <c r="BE525" s="2">
        <v>41973.0</v>
      </c>
      <c r="BF525" s="2" t="s">
        <v>6899</v>
      </c>
      <c r="BH525" s="1">
        <v>45.0</v>
      </c>
      <c r="BK525" s="1" t="s">
        <v>1952</v>
      </c>
      <c r="BL525" s="1" t="str">
        <f t="shared" ref="BL525:BM525" si="354">""</f>
        <v/>
      </c>
      <c r="BM525" s="1" t="str">
        <f t="shared" si="354"/>
        <v/>
      </c>
      <c r="BQ525" s="1">
        <v>302.0</v>
      </c>
      <c r="BR525" s="1">
        <v>302.0</v>
      </c>
      <c r="BS525" s="1">
        <v>302.0</v>
      </c>
      <c r="BU525" s="1" t="s">
        <v>1567</v>
      </c>
      <c r="BV525" s="1" t="s">
        <v>206</v>
      </c>
      <c r="BX525" s="1" t="s">
        <v>229</v>
      </c>
      <c r="BY525" s="1" t="s">
        <v>433</v>
      </c>
      <c r="BZ525" s="1" t="s">
        <v>209</v>
      </c>
      <c r="CC525" s="1" t="s">
        <v>2459</v>
      </c>
      <c r="CD525" s="1" t="s">
        <v>206</v>
      </c>
      <c r="CG525" s="1" t="s">
        <v>212</v>
      </c>
      <c r="CH525" s="1" t="s">
        <v>209</v>
      </c>
      <c r="CK525" s="1" t="s">
        <v>363</v>
      </c>
      <c r="CL525" s="1" t="s">
        <v>209</v>
      </c>
      <c r="CO525" s="1" t="s">
        <v>1417</v>
      </c>
      <c r="CP525" s="1" t="s">
        <v>209</v>
      </c>
      <c r="CR525" s="1" t="s">
        <v>229</v>
      </c>
      <c r="CS525" s="1" t="s">
        <v>639</v>
      </c>
      <c r="CT525" s="1" t="s">
        <v>206</v>
      </c>
      <c r="CW525" s="1" t="s">
        <v>215</v>
      </c>
      <c r="CX525" s="1" t="s">
        <v>206</v>
      </c>
      <c r="DA525" s="1" t="s">
        <v>200</v>
      </c>
      <c r="DC525" s="1" t="s">
        <v>481</v>
      </c>
      <c r="DE525" s="1" t="s">
        <v>273</v>
      </c>
      <c r="DF525" s="1" t="s">
        <v>2275</v>
      </c>
      <c r="DH525" s="1" t="s">
        <v>588</v>
      </c>
      <c r="DJ525" s="1" t="s">
        <v>588</v>
      </c>
      <c r="DL525" s="1" t="s">
        <v>223</v>
      </c>
      <c r="DM525" s="1" t="s">
        <v>229</v>
      </c>
      <c r="DQ525" s="1" t="s">
        <v>228</v>
      </c>
      <c r="DR525" s="1" t="s">
        <v>229</v>
      </c>
      <c r="DV525" s="1" t="s">
        <v>232</v>
      </c>
      <c r="DW525" s="1" t="s">
        <v>444</v>
      </c>
      <c r="DX525" s="1" t="s">
        <v>234</v>
      </c>
      <c r="DY525" s="1" t="s">
        <v>3846</v>
      </c>
      <c r="DZ525" s="1" t="s">
        <v>1466</v>
      </c>
      <c r="EC525" s="1" t="s">
        <v>237</v>
      </c>
      <c r="EE525" s="1" t="s">
        <v>493</v>
      </c>
      <c r="EM525" s="1" t="s">
        <v>238</v>
      </c>
      <c r="EQ525" s="1" t="s">
        <v>238</v>
      </c>
      <c r="EU525" s="1" t="s">
        <v>238</v>
      </c>
      <c r="EY525" s="1" t="s">
        <v>238</v>
      </c>
      <c r="FC525" s="1" t="s">
        <v>238</v>
      </c>
      <c r="FF525" s="1" t="s">
        <v>239</v>
      </c>
      <c r="FG525" s="1" t="s">
        <v>192</v>
      </c>
      <c r="FH525" s="1" t="s">
        <v>192</v>
      </c>
      <c r="FJ525" s="1" t="s">
        <v>1469</v>
      </c>
      <c r="FK525" s="1" t="s">
        <v>229</v>
      </c>
      <c r="FL525" s="1" t="s">
        <v>2157</v>
      </c>
      <c r="FM525" s="1">
        <v>79777.0</v>
      </c>
      <c r="FN525" s="1" t="s">
        <v>2158</v>
      </c>
      <c r="FO525" s="1" t="s">
        <v>6900</v>
      </c>
      <c r="FP525" s="1">
        <v>705374.0</v>
      </c>
      <c r="FQ525" s="1" t="s">
        <v>6901</v>
      </c>
      <c r="FS525" s="1" t="s">
        <v>6902</v>
      </c>
      <c r="FU525" s="1" t="s">
        <v>6903</v>
      </c>
      <c r="FV525" s="1" t="s">
        <v>200</v>
      </c>
      <c r="FW525" s="1" t="s">
        <v>1511</v>
      </c>
      <c r="FZ525" s="1" t="s">
        <v>229</v>
      </c>
      <c r="GA525" s="1" t="s">
        <v>291</v>
      </c>
      <c r="GB525" s="2">
        <v>42097.0</v>
      </c>
      <c r="GC525" s="1" t="s">
        <v>6904</v>
      </c>
    </row>
    <row r="526">
      <c r="A526" s="1">
        <v>183000.0</v>
      </c>
      <c r="B526" s="1" t="s">
        <v>185</v>
      </c>
      <c r="C526" s="1" t="str">
        <f>"08794319"</f>
        <v>08794319</v>
      </c>
      <c r="D526" s="1" t="s">
        <v>186</v>
      </c>
      <c r="F526" s="1" t="str">
        <f>"8048"</f>
        <v>8048</v>
      </c>
      <c r="G526" s="2">
        <v>41974.0</v>
      </c>
      <c r="H526" s="1">
        <v>189000.0</v>
      </c>
      <c r="I526" s="1">
        <v>33.0</v>
      </c>
      <c r="J526" s="1">
        <v>189000.0</v>
      </c>
      <c r="K526" s="2">
        <v>42006.0</v>
      </c>
      <c r="L526" s="1">
        <v>33.0</v>
      </c>
      <c r="M526" s="2">
        <v>42006.0</v>
      </c>
      <c r="N526" s="1" t="s">
        <v>356</v>
      </c>
      <c r="O526" s="2">
        <v>42109.0</v>
      </c>
      <c r="P526" s="1">
        <v>216403.0</v>
      </c>
      <c r="Q526" s="1">
        <v>60119.0</v>
      </c>
      <c r="R526" s="1">
        <v>5370.0</v>
      </c>
      <c r="S526" s="1">
        <v>1736.0</v>
      </c>
      <c r="T526" s="1" t="s">
        <v>6905</v>
      </c>
      <c r="U526" s="1" t="s">
        <v>320</v>
      </c>
      <c r="V526" s="1" t="s">
        <v>190</v>
      </c>
      <c r="W526" s="1">
        <v>60617.0</v>
      </c>
      <c r="Y526" s="1" t="s">
        <v>6906</v>
      </c>
      <c r="Z526" s="1">
        <v>1958.0</v>
      </c>
      <c r="AA526" s="1" t="s">
        <v>192</v>
      </c>
      <c r="AB526" s="1" t="s">
        <v>193</v>
      </c>
      <c r="AD526" s="1" t="s">
        <v>194</v>
      </c>
      <c r="AE526" s="1" t="s">
        <v>195</v>
      </c>
      <c r="AF526" s="1" t="s">
        <v>637</v>
      </c>
      <c r="AH526" s="1" t="s">
        <v>6907</v>
      </c>
      <c r="AK526" s="1">
        <v>8.0</v>
      </c>
      <c r="AL526" s="1">
        <v>3.0</v>
      </c>
      <c r="AM526" s="1">
        <v>2.0</v>
      </c>
      <c r="AN526" s="1">
        <v>1.0</v>
      </c>
      <c r="AO526" s="1" t="s">
        <v>198</v>
      </c>
      <c r="AQ526" s="1" t="s">
        <v>198</v>
      </c>
      <c r="AR526" s="1" t="s">
        <v>200</v>
      </c>
      <c r="AS526" s="1" t="s">
        <v>199</v>
      </c>
      <c r="AT526" s="1">
        <v>2.0</v>
      </c>
      <c r="AV526" s="1" t="s">
        <v>200</v>
      </c>
      <c r="AW526" s="1">
        <v>2854.0</v>
      </c>
      <c r="AX526" s="1">
        <v>2012.0</v>
      </c>
      <c r="AY526" s="1" t="s">
        <v>1179</v>
      </c>
      <c r="AZ526" s="1" t="s">
        <v>200</v>
      </c>
      <c r="BA526" s="1" t="str">
        <f>"25013030100000"</f>
        <v>25013030100000</v>
      </c>
      <c r="BC526" s="1">
        <v>2200.0</v>
      </c>
      <c r="BD526" s="1">
        <v>183000.0</v>
      </c>
      <c r="BE526" s="2">
        <v>41974.0</v>
      </c>
      <c r="BF526" s="2" t="s">
        <v>6908</v>
      </c>
      <c r="BH526" s="1">
        <v>0.0</v>
      </c>
      <c r="BK526" s="1" t="s">
        <v>204</v>
      </c>
      <c r="BL526" s="1" t="str">
        <f t="shared" ref="BL526:BL527" si="355">"0"</f>
        <v>0</v>
      </c>
      <c r="BM526" s="1" t="str">
        <f>"1700"</f>
        <v>1700</v>
      </c>
      <c r="BN526" s="1">
        <v>0.0</v>
      </c>
      <c r="BO526" s="1">
        <v>9200.0</v>
      </c>
      <c r="BQ526" s="1">
        <v>299.0</v>
      </c>
      <c r="BR526" s="1">
        <v>299.0</v>
      </c>
      <c r="BS526" s="1">
        <v>299.0</v>
      </c>
      <c r="BU526" s="1" t="s">
        <v>4469</v>
      </c>
      <c r="BV526" s="1" t="s">
        <v>206</v>
      </c>
      <c r="BY526" s="1" t="s">
        <v>329</v>
      </c>
      <c r="BZ526" s="1" t="s">
        <v>209</v>
      </c>
      <c r="CC526" s="1" t="s">
        <v>814</v>
      </c>
      <c r="CD526" s="1" t="s">
        <v>206</v>
      </c>
      <c r="CG526" s="1" t="s">
        <v>495</v>
      </c>
      <c r="CH526" s="1" t="s">
        <v>209</v>
      </c>
      <c r="CK526" s="1" t="s">
        <v>331</v>
      </c>
      <c r="CL526" s="1" t="s">
        <v>42</v>
      </c>
      <c r="CO526" s="1" t="s">
        <v>478</v>
      </c>
      <c r="CP526" s="1" t="s">
        <v>209</v>
      </c>
      <c r="CS526" s="1" t="s">
        <v>495</v>
      </c>
      <c r="CT526" s="1" t="s">
        <v>206</v>
      </c>
      <c r="CW526" s="1" t="s">
        <v>1809</v>
      </c>
      <c r="CX526" s="1" t="s">
        <v>42</v>
      </c>
      <c r="DA526" s="1" t="s">
        <v>200</v>
      </c>
      <c r="DC526" s="1" t="s">
        <v>271</v>
      </c>
      <c r="DD526" s="1" t="s">
        <v>306</v>
      </c>
      <c r="DE526" s="1" t="s">
        <v>6909</v>
      </c>
      <c r="DF526" s="1" t="s">
        <v>219</v>
      </c>
      <c r="DG526" s="1" t="s">
        <v>337</v>
      </c>
      <c r="DH526" s="1" t="s">
        <v>307</v>
      </c>
      <c r="DI526" s="1" t="s">
        <v>221</v>
      </c>
      <c r="DJ526" s="1" t="s">
        <v>222</v>
      </c>
      <c r="DL526" s="1" t="s">
        <v>1853</v>
      </c>
      <c r="DM526" s="1" t="s">
        <v>229</v>
      </c>
      <c r="DO526" s="1" t="s">
        <v>549</v>
      </c>
      <c r="DP526" s="1" t="s">
        <v>340</v>
      </c>
      <c r="DQ526" s="1" t="s">
        <v>794</v>
      </c>
      <c r="DR526" s="1" t="s">
        <v>229</v>
      </c>
      <c r="DS526" s="1" t="s">
        <v>401</v>
      </c>
      <c r="DV526" s="1" t="s">
        <v>232</v>
      </c>
      <c r="DW526" s="1" t="s">
        <v>279</v>
      </c>
      <c r="DX526" s="1" t="s">
        <v>234</v>
      </c>
      <c r="DZ526" s="1" t="s">
        <v>282</v>
      </c>
      <c r="EA526" s="1" t="s">
        <v>644</v>
      </c>
      <c r="EC526" s="1" t="s">
        <v>284</v>
      </c>
      <c r="EE526" s="1" t="s">
        <v>187</v>
      </c>
      <c r="EM526" s="1" t="s">
        <v>238</v>
      </c>
      <c r="EQ526" s="1" t="s">
        <v>238</v>
      </c>
      <c r="EU526" s="1" t="s">
        <v>238</v>
      </c>
      <c r="EY526" s="1" t="s">
        <v>238</v>
      </c>
      <c r="FC526" s="1" t="s">
        <v>238</v>
      </c>
      <c r="FF526" s="1" t="s">
        <v>239</v>
      </c>
      <c r="FG526" s="1" t="s">
        <v>192</v>
      </c>
      <c r="FH526" s="1" t="s">
        <v>192</v>
      </c>
      <c r="FJ526" s="1" t="s">
        <v>6910</v>
      </c>
      <c r="FK526" s="1" t="s">
        <v>229</v>
      </c>
      <c r="FL526" s="1" t="s">
        <v>734</v>
      </c>
      <c r="FM526" s="1">
        <v>10646.0</v>
      </c>
      <c r="FN526" s="1" t="s">
        <v>735</v>
      </c>
      <c r="FO526" s="1" t="s">
        <v>6911</v>
      </c>
      <c r="FP526" s="1">
        <v>110039.0</v>
      </c>
      <c r="FQ526" s="1" t="s">
        <v>6912</v>
      </c>
      <c r="FU526" s="1" t="s">
        <v>6913</v>
      </c>
      <c r="FV526" s="1" t="s">
        <v>200</v>
      </c>
      <c r="FW526" s="1" t="s">
        <v>290</v>
      </c>
      <c r="FX526" s="1" t="s">
        <v>1739</v>
      </c>
      <c r="FZ526" s="1" t="s">
        <v>229</v>
      </c>
      <c r="GA526" s="1" t="s">
        <v>291</v>
      </c>
      <c r="GB526" s="2">
        <v>42110.0</v>
      </c>
    </row>
    <row r="527">
      <c r="A527" s="1">
        <v>210000.0</v>
      </c>
      <c r="B527" s="1" t="s">
        <v>185</v>
      </c>
      <c r="C527" s="1" t="str">
        <f>"08793490"</f>
        <v>08793490</v>
      </c>
      <c r="D527" s="1" t="s">
        <v>186</v>
      </c>
      <c r="F527" s="1" t="str">
        <f t="shared" ref="F527:F528" si="356">"538"</f>
        <v>538</v>
      </c>
      <c r="G527" s="2">
        <v>41971.0</v>
      </c>
      <c r="H527" s="1">
        <v>219900.0</v>
      </c>
      <c r="I527" s="1">
        <v>35.0</v>
      </c>
      <c r="J527" s="1">
        <v>219900.0</v>
      </c>
      <c r="K527" s="2">
        <v>42005.0</v>
      </c>
      <c r="L527" s="1">
        <v>35.0</v>
      </c>
      <c r="M527" s="2">
        <v>42005.0</v>
      </c>
      <c r="N527" s="1" t="s">
        <v>356</v>
      </c>
      <c r="O527" s="2">
        <v>42030.0</v>
      </c>
      <c r="P527" s="1">
        <v>237973.0</v>
      </c>
      <c r="Q527" s="1">
        <v>22029.0</v>
      </c>
      <c r="R527" s="1">
        <v>3000.0</v>
      </c>
      <c r="S527" s="1">
        <v>2401.0</v>
      </c>
      <c r="T527" s="1" t="s">
        <v>421</v>
      </c>
      <c r="U527" s="1" t="s">
        <v>1174</v>
      </c>
      <c r="V527" s="1" t="s">
        <v>1340</v>
      </c>
      <c r="W527" s="1">
        <v>60538.0</v>
      </c>
      <c r="Y527" s="1" t="s">
        <v>6914</v>
      </c>
      <c r="Z527" s="1">
        <v>2003.0</v>
      </c>
      <c r="AA527" s="1" t="s">
        <v>200</v>
      </c>
      <c r="AB527" s="1" t="s">
        <v>467</v>
      </c>
      <c r="AC527" s="1" t="s">
        <v>3016</v>
      </c>
      <c r="AD527" s="1" t="s">
        <v>1343</v>
      </c>
      <c r="AE527" s="1" t="s">
        <v>849</v>
      </c>
      <c r="AF527" s="1" t="s">
        <v>1312</v>
      </c>
      <c r="AH527" s="1" t="s">
        <v>6915</v>
      </c>
      <c r="AI527" s="1">
        <v>0.2204</v>
      </c>
      <c r="AK527" s="1">
        <v>11.0</v>
      </c>
      <c r="AL527" s="1">
        <v>4.0</v>
      </c>
      <c r="AM527" s="1">
        <v>2.0</v>
      </c>
      <c r="AN527" s="1">
        <v>1.0</v>
      </c>
      <c r="AO527" s="1" t="s">
        <v>198</v>
      </c>
      <c r="AP527" s="1">
        <v>1.0</v>
      </c>
      <c r="AQ527" s="1" t="s">
        <v>1314</v>
      </c>
      <c r="AR527" s="1" t="s">
        <v>200</v>
      </c>
      <c r="AS527" s="1" t="s">
        <v>199</v>
      </c>
      <c r="AT527" s="1">
        <v>2.0</v>
      </c>
      <c r="AV527" s="1" t="s">
        <v>200</v>
      </c>
      <c r="AW527" s="1">
        <v>7055.14</v>
      </c>
      <c r="AX527" s="1">
        <v>2013.0</v>
      </c>
      <c r="AY527" s="1" t="s">
        <v>387</v>
      </c>
      <c r="AZ527" s="1" t="s">
        <v>200</v>
      </c>
      <c r="BA527" s="1" t="str">
        <f>"0202483001"</f>
        <v>0202483001</v>
      </c>
      <c r="BB527" s="1" t="s">
        <v>200</v>
      </c>
      <c r="BC527" s="1">
        <v>2858.0</v>
      </c>
      <c r="BD527" s="1">
        <v>210000.0</v>
      </c>
      <c r="BE527" s="2">
        <v>41971.0</v>
      </c>
      <c r="BF527" s="2" t="s">
        <v>6916</v>
      </c>
      <c r="BG527" s="1" t="s">
        <v>1837</v>
      </c>
      <c r="BH527" s="1">
        <v>0.0</v>
      </c>
      <c r="BI527" s="1" t="s">
        <v>1533</v>
      </c>
      <c r="BJ527" s="1" t="s">
        <v>1349</v>
      </c>
      <c r="BK527" s="1" t="s">
        <v>204</v>
      </c>
      <c r="BL527" s="1" t="str">
        <f t="shared" si="355"/>
        <v>0</v>
      </c>
      <c r="BM527" s="1" t="str">
        <f>"0"</f>
        <v>0</v>
      </c>
      <c r="BN527" s="1">
        <v>40.0</v>
      </c>
      <c r="BO527" s="1">
        <v>11.0</v>
      </c>
      <c r="BQ527" s="1">
        <v>308.0</v>
      </c>
      <c r="BR527" s="1">
        <v>308.0</v>
      </c>
      <c r="BS527" s="1">
        <v>308.0</v>
      </c>
      <c r="BU527" s="1" t="s">
        <v>215</v>
      </c>
      <c r="BV527" s="1" t="s">
        <v>206</v>
      </c>
      <c r="BW527" s="1" t="s">
        <v>210</v>
      </c>
      <c r="BX527" s="1" t="s">
        <v>239</v>
      </c>
      <c r="BY527" s="1" t="s">
        <v>432</v>
      </c>
      <c r="BZ527" s="1" t="s">
        <v>209</v>
      </c>
      <c r="CA527" s="1" t="s">
        <v>210</v>
      </c>
      <c r="CB527" s="1" t="s">
        <v>239</v>
      </c>
      <c r="CC527" s="1" t="s">
        <v>215</v>
      </c>
      <c r="CD527" s="1" t="s">
        <v>206</v>
      </c>
      <c r="CE527" s="1" t="s">
        <v>210</v>
      </c>
      <c r="CF527" s="1" t="s">
        <v>6917</v>
      </c>
      <c r="CG527" s="1" t="s">
        <v>584</v>
      </c>
      <c r="CH527" s="1" t="s">
        <v>209</v>
      </c>
      <c r="CI527" s="1" t="s">
        <v>210</v>
      </c>
      <c r="CJ527" s="1" t="s">
        <v>239</v>
      </c>
      <c r="CK527" s="1" t="s">
        <v>332</v>
      </c>
      <c r="CL527" s="1" t="s">
        <v>209</v>
      </c>
      <c r="CM527" s="1" t="s">
        <v>210</v>
      </c>
      <c r="CN527" s="1" t="s">
        <v>239</v>
      </c>
      <c r="CO527" s="1" t="s">
        <v>264</v>
      </c>
      <c r="CP527" s="1" t="s">
        <v>209</v>
      </c>
      <c r="CQ527" s="1" t="s">
        <v>210</v>
      </c>
      <c r="CR527" s="1" t="s">
        <v>239</v>
      </c>
      <c r="CS527" s="1" t="s">
        <v>264</v>
      </c>
      <c r="CT527" s="1" t="s">
        <v>206</v>
      </c>
      <c r="CU527" s="1" t="s">
        <v>268</v>
      </c>
      <c r="CV527" s="1" t="s">
        <v>239</v>
      </c>
      <c r="CW527" s="1" t="s">
        <v>479</v>
      </c>
      <c r="CX527" s="1" t="s">
        <v>206</v>
      </c>
      <c r="CY527" s="1" t="s">
        <v>210</v>
      </c>
      <c r="CZ527" s="1" t="s">
        <v>239</v>
      </c>
      <c r="DA527" s="1" t="s">
        <v>200</v>
      </c>
      <c r="DC527" s="1" t="s">
        <v>335</v>
      </c>
      <c r="DD527" s="1" t="s">
        <v>396</v>
      </c>
      <c r="DE527" s="1" t="s">
        <v>273</v>
      </c>
      <c r="DF527" s="1" t="s">
        <v>219</v>
      </c>
      <c r="DG527" s="1" t="s">
        <v>3020</v>
      </c>
      <c r="DH527" s="1" t="s">
        <v>220</v>
      </c>
      <c r="DI527" s="1" t="s">
        <v>221</v>
      </c>
      <c r="DJ527" s="1" t="s">
        <v>222</v>
      </c>
      <c r="DL527" s="1" t="s">
        <v>223</v>
      </c>
      <c r="DM527" s="1" t="s">
        <v>338</v>
      </c>
      <c r="DN527" s="1" t="s">
        <v>1023</v>
      </c>
      <c r="DO527" s="1" t="s">
        <v>590</v>
      </c>
      <c r="DP527" s="1" t="s">
        <v>340</v>
      </c>
      <c r="DQ527" s="1" t="s">
        <v>228</v>
      </c>
      <c r="DR527" s="1" t="s">
        <v>229</v>
      </c>
      <c r="DU527" s="1" t="s">
        <v>1049</v>
      </c>
      <c r="DV527" s="1" t="s">
        <v>3690</v>
      </c>
      <c r="DW527" s="1" t="s">
        <v>233</v>
      </c>
      <c r="DX527" s="1" t="s">
        <v>234</v>
      </c>
      <c r="DY527" s="1" t="s">
        <v>3075</v>
      </c>
      <c r="DZ527" s="1" t="s">
        <v>1466</v>
      </c>
      <c r="EC527" s="1" t="s">
        <v>237</v>
      </c>
      <c r="ED527" s="1" t="s">
        <v>407</v>
      </c>
      <c r="EG527" s="1" t="s">
        <v>556</v>
      </c>
      <c r="EH527" s="1" t="s">
        <v>494</v>
      </c>
      <c r="EI527" s="1" t="s">
        <v>341</v>
      </c>
      <c r="EJ527" s="1" t="s">
        <v>408</v>
      </c>
      <c r="EL527" s="1" t="s">
        <v>264</v>
      </c>
      <c r="EM527" s="1" t="s">
        <v>206</v>
      </c>
      <c r="EN527" s="1" t="s">
        <v>268</v>
      </c>
      <c r="EO527" s="1" t="s">
        <v>239</v>
      </c>
      <c r="EP527" s="1" t="s">
        <v>269</v>
      </c>
      <c r="EQ527" s="1" t="s">
        <v>206</v>
      </c>
      <c r="ER527" s="1" t="s">
        <v>210</v>
      </c>
      <c r="ES527" s="1" t="s">
        <v>239</v>
      </c>
      <c r="ET527" s="1" t="s">
        <v>768</v>
      </c>
      <c r="EU527" s="1" t="s">
        <v>209</v>
      </c>
      <c r="EV527" s="1" t="s">
        <v>210</v>
      </c>
      <c r="EW527" s="1" t="s">
        <v>239</v>
      </c>
      <c r="EX527" s="1" t="s">
        <v>3805</v>
      </c>
      <c r="EY527" s="1" t="s">
        <v>206</v>
      </c>
      <c r="EZ527" s="1" t="s">
        <v>268</v>
      </c>
      <c r="FC527" s="1" t="s">
        <v>238</v>
      </c>
      <c r="FF527" s="1" t="s">
        <v>239</v>
      </c>
      <c r="FG527" s="1" t="s">
        <v>192</v>
      </c>
      <c r="FH527" s="1" t="s">
        <v>192</v>
      </c>
      <c r="FJ527" s="1" t="s">
        <v>624</v>
      </c>
      <c r="FK527" s="1" t="s">
        <v>229</v>
      </c>
      <c r="FL527" s="1" t="s">
        <v>6918</v>
      </c>
      <c r="FM527" s="1">
        <v>31580.0</v>
      </c>
      <c r="FN527" s="1" t="s">
        <v>6919</v>
      </c>
      <c r="FO527" s="1" t="s">
        <v>6920</v>
      </c>
      <c r="FP527" s="1">
        <v>8171.0</v>
      </c>
      <c r="FQ527" s="1" t="s">
        <v>6921</v>
      </c>
      <c r="FU527" s="1" t="s">
        <v>6922</v>
      </c>
      <c r="FV527" s="1" t="s">
        <v>200</v>
      </c>
      <c r="FW527" s="1" t="s">
        <v>290</v>
      </c>
      <c r="FZ527" s="1" t="s">
        <v>229</v>
      </c>
      <c r="GA527" s="1" t="s">
        <v>291</v>
      </c>
      <c r="GB527" s="2">
        <v>42032.0</v>
      </c>
      <c r="GC527" s="1" t="s">
        <v>6923</v>
      </c>
    </row>
    <row r="528">
      <c r="A528" s="1">
        <v>195000.0</v>
      </c>
      <c r="B528" s="1" t="s">
        <v>185</v>
      </c>
      <c r="C528" s="1" t="str">
        <f>"08796589"</f>
        <v>08796589</v>
      </c>
      <c r="D528" s="1" t="s">
        <v>186</v>
      </c>
      <c r="F528" s="1" t="str">
        <f t="shared" si="356"/>
        <v>538</v>
      </c>
      <c r="G528" s="2">
        <v>41977.0</v>
      </c>
      <c r="H528" s="1">
        <v>204900.0</v>
      </c>
      <c r="I528" s="1">
        <v>45.0</v>
      </c>
      <c r="J528" s="1">
        <v>204900.0</v>
      </c>
      <c r="K528" s="2">
        <v>41992.0</v>
      </c>
      <c r="L528" s="1">
        <v>16.0</v>
      </c>
      <c r="M528" s="2">
        <v>41992.0</v>
      </c>
      <c r="N528" s="1" t="s">
        <v>187</v>
      </c>
      <c r="O528" s="2">
        <v>42025.0</v>
      </c>
      <c r="P528" s="1">
        <v>820134.0</v>
      </c>
      <c r="Q528" s="1">
        <v>82025.0</v>
      </c>
      <c r="R528" s="1">
        <v>500.0</v>
      </c>
      <c r="S528" s="1">
        <v>2427.0</v>
      </c>
      <c r="T528" s="1" t="s">
        <v>6924</v>
      </c>
      <c r="U528" s="1" t="s">
        <v>464</v>
      </c>
      <c r="V528" s="1" t="s">
        <v>1340</v>
      </c>
      <c r="W528" s="1">
        <v>60538.0</v>
      </c>
      <c r="Y528" s="1" t="s">
        <v>6925</v>
      </c>
      <c r="Z528" s="1">
        <v>2010.0</v>
      </c>
      <c r="AA528" s="1" t="s">
        <v>200</v>
      </c>
      <c r="AB528" s="1" t="s">
        <v>467</v>
      </c>
      <c r="AC528" s="1" t="s">
        <v>6926</v>
      </c>
      <c r="AD528" s="1" t="s">
        <v>1343</v>
      </c>
      <c r="AE528" s="1" t="s">
        <v>849</v>
      </c>
      <c r="AF528" s="1" t="s">
        <v>1312</v>
      </c>
      <c r="AG528" s="1" t="s">
        <v>6927</v>
      </c>
      <c r="AH528" s="1" t="s">
        <v>6928</v>
      </c>
      <c r="AK528" s="1">
        <v>7.0</v>
      </c>
      <c r="AL528" s="1">
        <v>4.0</v>
      </c>
      <c r="AM528" s="1">
        <v>2.0</v>
      </c>
      <c r="AN528" s="1">
        <v>1.0</v>
      </c>
      <c r="AO528" s="1" t="s">
        <v>198</v>
      </c>
      <c r="AP528" s="1">
        <v>1.0</v>
      </c>
      <c r="AQ528" s="1" t="s">
        <v>198</v>
      </c>
      <c r="AR528" s="1" t="s">
        <v>200</v>
      </c>
      <c r="AS528" s="1" t="s">
        <v>199</v>
      </c>
      <c r="AT528" s="1">
        <v>2.0</v>
      </c>
      <c r="AV528" s="1" t="s">
        <v>200</v>
      </c>
      <c r="AW528" s="1">
        <v>5331.0</v>
      </c>
      <c r="AX528" s="1">
        <v>2013.0</v>
      </c>
      <c r="AY528" s="1" t="s">
        <v>387</v>
      </c>
      <c r="AZ528" s="1" t="s">
        <v>200</v>
      </c>
      <c r="BA528" s="1" t="str">
        <f>"0203477014"</f>
        <v>0203477014</v>
      </c>
      <c r="BB528" s="1" t="s">
        <v>200</v>
      </c>
      <c r="BC528" s="1">
        <v>1773.0</v>
      </c>
      <c r="BD528" s="1">
        <v>195000.0</v>
      </c>
      <c r="BE528" s="2">
        <v>41977.0</v>
      </c>
      <c r="BF528" s="2" t="s">
        <v>6929</v>
      </c>
      <c r="BH528" s="1">
        <v>260.0</v>
      </c>
      <c r="BJ528" s="1" t="s">
        <v>3053</v>
      </c>
      <c r="BK528" s="1" t="s">
        <v>580</v>
      </c>
      <c r="BL528" s="1" t="str">
        <f t="shared" ref="BL528:BM528" si="357">""</f>
        <v/>
      </c>
      <c r="BM528" s="1" t="str">
        <f t="shared" si="357"/>
        <v/>
      </c>
      <c r="BN528" s="1">
        <v>40.0</v>
      </c>
      <c r="BO528" s="1">
        <v>10.0</v>
      </c>
      <c r="BQ528" s="1">
        <v>115.0</v>
      </c>
      <c r="BR528" s="1">
        <v>115.0</v>
      </c>
      <c r="BS528" s="1">
        <v>115.0</v>
      </c>
      <c r="BU528" s="1" t="s">
        <v>214</v>
      </c>
      <c r="BV528" s="1" t="s">
        <v>206</v>
      </c>
      <c r="BW528" s="1" t="s">
        <v>207</v>
      </c>
      <c r="BX528" s="1" t="s">
        <v>431</v>
      </c>
      <c r="BY528" s="1" t="s">
        <v>758</v>
      </c>
      <c r="BZ528" s="1" t="s">
        <v>209</v>
      </c>
      <c r="CA528" s="1" t="s">
        <v>210</v>
      </c>
      <c r="CB528" s="1" t="s">
        <v>431</v>
      </c>
      <c r="CD528" s="1" t="s">
        <v>204</v>
      </c>
      <c r="CG528" s="1" t="s">
        <v>212</v>
      </c>
      <c r="CH528" s="1" t="s">
        <v>209</v>
      </c>
      <c r="CI528" s="1" t="s">
        <v>210</v>
      </c>
      <c r="CJ528" s="1" t="s">
        <v>431</v>
      </c>
      <c r="CK528" s="1" t="s">
        <v>269</v>
      </c>
      <c r="CL528" s="1" t="s">
        <v>209</v>
      </c>
      <c r="CM528" s="1" t="s">
        <v>210</v>
      </c>
      <c r="CN528" s="1" t="s">
        <v>431</v>
      </c>
      <c r="CO528" s="1" t="s">
        <v>269</v>
      </c>
      <c r="CP528" s="1" t="s">
        <v>209</v>
      </c>
      <c r="CQ528" s="1" t="s">
        <v>210</v>
      </c>
      <c r="CR528" s="1" t="s">
        <v>431</v>
      </c>
      <c r="CS528" s="1" t="s">
        <v>212</v>
      </c>
      <c r="CT528" s="1" t="s">
        <v>206</v>
      </c>
      <c r="CU528" s="1" t="s">
        <v>207</v>
      </c>
      <c r="CV528" s="1" t="s">
        <v>431</v>
      </c>
      <c r="CX528" s="1" t="s">
        <v>204</v>
      </c>
      <c r="DA528" s="1" t="s">
        <v>200</v>
      </c>
      <c r="DC528" s="1" t="s">
        <v>1046</v>
      </c>
      <c r="DD528" s="1" t="s">
        <v>1838</v>
      </c>
      <c r="DE528" s="1" t="s">
        <v>273</v>
      </c>
      <c r="DF528" s="1" t="s">
        <v>219</v>
      </c>
      <c r="DG528" s="1" t="s">
        <v>337</v>
      </c>
      <c r="DH528" s="1" t="s">
        <v>220</v>
      </c>
      <c r="DI528" s="1" t="s">
        <v>1003</v>
      </c>
      <c r="DJ528" s="1" t="s">
        <v>222</v>
      </c>
      <c r="DK528" s="1" t="s">
        <v>223</v>
      </c>
      <c r="DL528" s="1" t="s">
        <v>223</v>
      </c>
      <c r="DM528" s="1" t="s">
        <v>338</v>
      </c>
      <c r="DN528" s="1" t="s">
        <v>399</v>
      </c>
      <c r="DQ528" s="1" t="s">
        <v>228</v>
      </c>
      <c r="DR528" s="1" t="s">
        <v>1487</v>
      </c>
      <c r="DS528" s="1" t="s">
        <v>368</v>
      </c>
      <c r="DU528" s="1" t="s">
        <v>1024</v>
      </c>
      <c r="DV528" s="1" t="s">
        <v>6930</v>
      </c>
      <c r="DW528" s="1" t="s">
        <v>233</v>
      </c>
      <c r="DX528" s="1" t="s">
        <v>309</v>
      </c>
      <c r="DY528" s="1" t="s">
        <v>1051</v>
      </c>
      <c r="DZ528" s="1" t="s">
        <v>343</v>
      </c>
      <c r="EB528" s="1" t="s">
        <v>345</v>
      </c>
      <c r="EC528" s="1" t="s">
        <v>237</v>
      </c>
      <c r="ED528" s="1" t="s">
        <v>555</v>
      </c>
      <c r="EE528" s="1" t="s">
        <v>493</v>
      </c>
      <c r="EG528" s="1" t="s">
        <v>588</v>
      </c>
      <c r="EH528" s="1" t="s">
        <v>449</v>
      </c>
      <c r="EL528" s="1" t="s">
        <v>269</v>
      </c>
      <c r="EM528" s="1" t="s">
        <v>206</v>
      </c>
      <c r="EN528" s="1" t="s">
        <v>207</v>
      </c>
      <c r="EO528" s="1" t="s">
        <v>431</v>
      </c>
      <c r="EP528" s="1" t="s">
        <v>623</v>
      </c>
      <c r="EQ528" s="1" t="s">
        <v>206</v>
      </c>
      <c r="ER528" s="1" t="s">
        <v>207</v>
      </c>
      <c r="ES528" s="1" t="s">
        <v>239</v>
      </c>
      <c r="EU528" s="1" t="s">
        <v>238</v>
      </c>
      <c r="EY528" s="1" t="s">
        <v>238</v>
      </c>
      <c r="FC528" s="1" t="s">
        <v>238</v>
      </c>
      <c r="FF528" s="1" t="s">
        <v>239</v>
      </c>
      <c r="FG528" s="1" t="s">
        <v>192</v>
      </c>
      <c r="FH528" s="1" t="s">
        <v>192</v>
      </c>
      <c r="FJ528" s="1" t="s">
        <v>5416</v>
      </c>
      <c r="FK528" s="1" t="s">
        <v>229</v>
      </c>
      <c r="FL528" s="1" t="s">
        <v>6931</v>
      </c>
      <c r="FM528" s="1">
        <v>25795.0</v>
      </c>
      <c r="FN528" s="1" t="s">
        <v>6932</v>
      </c>
      <c r="FO528" s="1" t="s">
        <v>6933</v>
      </c>
      <c r="FP528" s="1">
        <v>214414.0</v>
      </c>
      <c r="FQ528" s="1" t="s">
        <v>6934</v>
      </c>
      <c r="FS528" s="1" t="s">
        <v>6935</v>
      </c>
      <c r="FU528" s="1" t="s">
        <v>6936</v>
      </c>
      <c r="FV528" s="1" t="s">
        <v>200</v>
      </c>
      <c r="FW528" s="1" t="s">
        <v>290</v>
      </c>
      <c r="FZ528" s="1" t="s">
        <v>229</v>
      </c>
      <c r="GA528" s="1" t="s">
        <v>291</v>
      </c>
      <c r="GB528" s="2">
        <v>42025.0</v>
      </c>
      <c r="GC528" s="1" t="s">
        <v>6937</v>
      </c>
    </row>
    <row r="529">
      <c r="A529" s="1">
        <v>415000.0</v>
      </c>
      <c r="B529" s="1" t="s">
        <v>185</v>
      </c>
      <c r="C529" s="1" t="str">
        <f>"08796898"</f>
        <v>08796898</v>
      </c>
      <c r="D529" s="1" t="s">
        <v>186</v>
      </c>
      <c r="F529" s="1" t="str">
        <f>"8075"</f>
        <v>8075</v>
      </c>
      <c r="G529" s="2">
        <v>41977.0</v>
      </c>
      <c r="H529" s="1">
        <v>439999.0</v>
      </c>
      <c r="I529" s="1">
        <v>56.0</v>
      </c>
      <c r="J529" s="1">
        <v>439999.0</v>
      </c>
      <c r="K529" s="2">
        <v>42030.0</v>
      </c>
      <c r="L529" s="1">
        <v>56.0</v>
      </c>
      <c r="M529" s="2">
        <v>42030.0</v>
      </c>
      <c r="N529" s="1" t="s">
        <v>187</v>
      </c>
      <c r="O529" s="2">
        <v>42069.0</v>
      </c>
      <c r="P529" s="1">
        <v>226575.0</v>
      </c>
      <c r="Q529" s="1">
        <v>60035.0</v>
      </c>
      <c r="S529" s="1">
        <v>10759.0</v>
      </c>
      <c r="T529" s="1" t="s">
        <v>1513</v>
      </c>
      <c r="U529" s="1" t="s">
        <v>189</v>
      </c>
      <c r="V529" s="1" t="s">
        <v>190</v>
      </c>
      <c r="W529" s="1">
        <v>60655.0</v>
      </c>
      <c r="Y529" s="1" t="s">
        <v>6938</v>
      </c>
      <c r="Z529" s="1">
        <v>1948.0</v>
      </c>
      <c r="AA529" s="1" t="s">
        <v>192</v>
      </c>
      <c r="AB529" s="1" t="s">
        <v>193</v>
      </c>
      <c r="AD529" s="1" t="s">
        <v>194</v>
      </c>
      <c r="AE529" s="1" t="s">
        <v>195</v>
      </c>
      <c r="AF529" s="1" t="s">
        <v>659</v>
      </c>
      <c r="AG529" s="1" t="s">
        <v>5899</v>
      </c>
      <c r="AH529" s="1" t="s">
        <v>6939</v>
      </c>
      <c r="AK529" s="1">
        <v>8.0</v>
      </c>
      <c r="AL529" s="1">
        <v>4.0</v>
      </c>
      <c r="AM529" s="1">
        <v>2.0</v>
      </c>
      <c r="AN529" s="1">
        <v>1.0</v>
      </c>
      <c r="AO529" s="1" t="s">
        <v>229</v>
      </c>
      <c r="AP529" s="1">
        <v>2.0</v>
      </c>
      <c r="AQ529" s="1" t="s">
        <v>198</v>
      </c>
      <c r="AR529" s="1" t="s">
        <v>192</v>
      </c>
      <c r="AS529" s="1" t="s">
        <v>199</v>
      </c>
      <c r="AT529" s="1">
        <v>2.0</v>
      </c>
      <c r="AV529" s="1" t="s">
        <v>200</v>
      </c>
      <c r="AW529" s="1">
        <v>4699.0</v>
      </c>
      <c r="AX529" s="1">
        <v>2013.0</v>
      </c>
      <c r="AY529" s="1" t="s">
        <v>387</v>
      </c>
      <c r="AZ529" s="1" t="s">
        <v>200</v>
      </c>
      <c r="BA529" s="1" t="str">
        <f>"24134030160000"</f>
        <v>24134030160000</v>
      </c>
      <c r="BB529" s="1" t="s">
        <v>200</v>
      </c>
      <c r="BC529" s="1">
        <v>2786.0</v>
      </c>
      <c r="BD529" s="1">
        <v>415000.0</v>
      </c>
      <c r="BE529" s="2">
        <v>41975.0</v>
      </c>
      <c r="BF529" s="2" t="s">
        <v>6940</v>
      </c>
      <c r="BG529" s="1" t="s">
        <v>6941</v>
      </c>
      <c r="BH529" s="1">
        <v>0.0</v>
      </c>
      <c r="BK529" s="1" t="s">
        <v>204</v>
      </c>
      <c r="BL529" s="1" t="str">
        <f t="shared" ref="BL529:BM529" si="358">"0"</f>
        <v>0</v>
      </c>
      <c r="BM529" s="1" t="str">
        <f t="shared" si="358"/>
        <v>0</v>
      </c>
      <c r="BN529" s="1">
        <v>2650.0</v>
      </c>
      <c r="BO529" s="1">
        <v>10800.0</v>
      </c>
      <c r="BQ529" s="1">
        <v>299.0</v>
      </c>
      <c r="BR529" s="1">
        <v>299.0</v>
      </c>
      <c r="BS529" s="1">
        <v>299.0</v>
      </c>
      <c r="BU529" s="1" t="s">
        <v>6942</v>
      </c>
      <c r="BV529" s="1" t="s">
        <v>206</v>
      </c>
      <c r="BW529" s="1" t="s">
        <v>207</v>
      </c>
      <c r="BX529" s="1" t="s">
        <v>239</v>
      </c>
      <c r="BY529" s="1" t="s">
        <v>1483</v>
      </c>
      <c r="BZ529" s="1" t="s">
        <v>209</v>
      </c>
      <c r="CA529" s="1" t="s">
        <v>207</v>
      </c>
      <c r="CB529" s="1" t="s">
        <v>239</v>
      </c>
      <c r="CC529" s="1" t="s">
        <v>1350</v>
      </c>
      <c r="CD529" s="1" t="s">
        <v>206</v>
      </c>
      <c r="CE529" s="1" t="s">
        <v>207</v>
      </c>
      <c r="CF529" s="1" t="s">
        <v>239</v>
      </c>
      <c r="CG529" s="1" t="s">
        <v>213</v>
      </c>
      <c r="CH529" s="1" t="s">
        <v>209</v>
      </c>
      <c r="CI529" s="1" t="s">
        <v>207</v>
      </c>
      <c r="CJ529" s="1" t="s">
        <v>239</v>
      </c>
      <c r="CK529" s="1" t="s">
        <v>211</v>
      </c>
      <c r="CL529" s="1" t="s">
        <v>209</v>
      </c>
      <c r="CM529" s="1" t="s">
        <v>210</v>
      </c>
      <c r="CN529" s="1" t="s">
        <v>239</v>
      </c>
      <c r="CO529" s="1" t="s">
        <v>454</v>
      </c>
      <c r="CP529" s="1" t="s">
        <v>209</v>
      </c>
      <c r="CQ529" s="1" t="s">
        <v>207</v>
      </c>
      <c r="CR529" s="1" t="s">
        <v>239</v>
      </c>
      <c r="CS529" s="1" t="s">
        <v>1299</v>
      </c>
      <c r="CT529" s="1" t="s">
        <v>206</v>
      </c>
      <c r="CU529" s="1" t="s">
        <v>268</v>
      </c>
      <c r="CV529" s="1" t="s">
        <v>239</v>
      </c>
      <c r="CW529" s="1" t="s">
        <v>6943</v>
      </c>
      <c r="CX529" s="1" t="s">
        <v>42</v>
      </c>
      <c r="CY529" s="1" t="s">
        <v>588</v>
      </c>
      <c r="CZ529" s="1" t="s">
        <v>229</v>
      </c>
      <c r="DA529" s="1" t="s">
        <v>200</v>
      </c>
      <c r="DC529" s="1" t="s">
        <v>702</v>
      </c>
      <c r="DD529" s="1" t="s">
        <v>518</v>
      </c>
      <c r="DE529" s="1" t="s">
        <v>273</v>
      </c>
      <c r="DF529" s="1" t="s">
        <v>219</v>
      </c>
      <c r="DG529" s="1" t="s">
        <v>1400</v>
      </c>
      <c r="DH529" s="1" t="s">
        <v>365</v>
      </c>
      <c r="DI529" s="1" t="s">
        <v>703</v>
      </c>
      <c r="DJ529" s="1" t="s">
        <v>1379</v>
      </c>
      <c r="DL529" s="1" t="s">
        <v>986</v>
      </c>
      <c r="DM529" s="1" t="s">
        <v>1464</v>
      </c>
      <c r="DN529" s="1" t="s">
        <v>666</v>
      </c>
      <c r="DO529" s="1" t="s">
        <v>1004</v>
      </c>
      <c r="DP529" s="1" t="s">
        <v>340</v>
      </c>
      <c r="DQ529" s="1" t="s">
        <v>228</v>
      </c>
      <c r="DR529" s="1" t="s">
        <v>229</v>
      </c>
      <c r="DS529" s="1" t="s">
        <v>401</v>
      </c>
      <c r="DU529" s="1" t="s">
        <v>962</v>
      </c>
      <c r="DV529" s="1" t="s">
        <v>408</v>
      </c>
      <c r="DW529" s="1" t="s">
        <v>279</v>
      </c>
      <c r="DX529" s="1" t="s">
        <v>234</v>
      </c>
      <c r="DY529" s="1" t="s">
        <v>1122</v>
      </c>
      <c r="DZ529" s="1" t="s">
        <v>1490</v>
      </c>
      <c r="EA529" s="1" t="s">
        <v>447</v>
      </c>
      <c r="EB529" s="1" t="s">
        <v>345</v>
      </c>
      <c r="EC529" s="1" t="s">
        <v>237</v>
      </c>
      <c r="ED529" s="1" t="s">
        <v>555</v>
      </c>
      <c r="EE529" s="1" t="s">
        <v>493</v>
      </c>
      <c r="EG529" s="1" t="s">
        <v>408</v>
      </c>
      <c r="EL529" s="1" t="s">
        <v>1746</v>
      </c>
      <c r="EM529" s="1" t="s">
        <v>206</v>
      </c>
      <c r="EN529" s="1" t="s">
        <v>207</v>
      </c>
      <c r="EO529" s="1" t="s">
        <v>229</v>
      </c>
      <c r="EQ529" s="1" t="s">
        <v>238</v>
      </c>
      <c r="EU529" s="1" t="s">
        <v>238</v>
      </c>
      <c r="EY529" s="1" t="s">
        <v>238</v>
      </c>
      <c r="FC529" s="1" t="s">
        <v>238</v>
      </c>
      <c r="FF529" s="1" t="s">
        <v>239</v>
      </c>
      <c r="FG529" s="1" t="s">
        <v>192</v>
      </c>
      <c r="FH529" s="1" t="s">
        <v>192</v>
      </c>
      <c r="FJ529" s="1" t="s">
        <v>6944</v>
      </c>
      <c r="FK529" s="1" t="s">
        <v>348</v>
      </c>
      <c r="FL529" s="1" t="s">
        <v>4804</v>
      </c>
      <c r="FM529" s="1">
        <v>60035.0</v>
      </c>
      <c r="FN529" s="1" t="s">
        <v>4805</v>
      </c>
      <c r="FO529" s="1" t="s">
        <v>6945</v>
      </c>
      <c r="FP529" s="1">
        <v>601262.0</v>
      </c>
      <c r="FQ529" s="1" t="s">
        <v>6946</v>
      </c>
      <c r="FU529" s="1" t="s">
        <v>6947</v>
      </c>
      <c r="FV529" s="1" t="s">
        <v>200</v>
      </c>
      <c r="FW529" s="1" t="s">
        <v>530</v>
      </c>
      <c r="FX529" s="1" t="s">
        <v>655</v>
      </c>
      <c r="FZ529" s="1" t="s">
        <v>229</v>
      </c>
      <c r="GA529" s="1" t="s">
        <v>291</v>
      </c>
      <c r="GB529" s="2">
        <v>42069.0</v>
      </c>
      <c r="GC529" s="1" t="s">
        <v>6948</v>
      </c>
    </row>
    <row r="530">
      <c r="A530" s="1">
        <v>244500.0</v>
      </c>
      <c r="B530" s="1" t="s">
        <v>185</v>
      </c>
      <c r="C530" s="1" t="str">
        <f>"08796465"</f>
        <v>08796465</v>
      </c>
      <c r="D530" s="1" t="s">
        <v>186</v>
      </c>
      <c r="F530" s="1" t="str">
        <f>"538"</f>
        <v>538</v>
      </c>
      <c r="G530" s="2">
        <v>41976.0</v>
      </c>
      <c r="H530" s="1">
        <v>258000.0</v>
      </c>
      <c r="I530" s="1">
        <v>43.0</v>
      </c>
      <c r="J530" s="1">
        <v>244500.0</v>
      </c>
      <c r="K530" s="2">
        <v>42018.0</v>
      </c>
      <c r="L530" s="1">
        <v>43.0</v>
      </c>
      <c r="M530" s="2">
        <v>42018.0</v>
      </c>
      <c r="N530" s="1" t="s">
        <v>187</v>
      </c>
      <c r="O530" s="2">
        <v>42062.0</v>
      </c>
      <c r="P530" s="1">
        <v>210417.0</v>
      </c>
      <c r="Q530" s="1">
        <v>20150.0</v>
      </c>
      <c r="S530" s="1">
        <v>2660.0</v>
      </c>
      <c r="T530" s="1" t="s">
        <v>6949</v>
      </c>
      <c r="U530" s="1" t="s">
        <v>1174</v>
      </c>
      <c r="V530" s="1" t="s">
        <v>1340</v>
      </c>
      <c r="W530" s="1">
        <v>60538.0</v>
      </c>
      <c r="Y530" s="1" t="s">
        <v>6950</v>
      </c>
      <c r="Z530" s="1">
        <v>2001.0</v>
      </c>
      <c r="AA530" s="1" t="s">
        <v>200</v>
      </c>
      <c r="AB530" s="1" t="s">
        <v>193</v>
      </c>
      <c r="AD530" s="1" t="s">
        <v>1343</v>
      </c>
      <c r="AE530" s="1" t="s">
        <v>849</v>
      </c>
      <c r="AF530" s="1" t="s">
        <v>1312</v>
      </c>
      <c r="AH530" s="1" t="s">
        <v>4038</v>
      </c>
      <c r="AI530" s="1">
        <v>0.1936</v>
      </c>
      <c r="AK530" s="1">
        <v>13.0</v>
      </c>
      <c r="AL530" s="1">
        <v>4.0</v>
      </c>
      <c r="AM530" s="1">
        <v>2.0</v>
      </c>
      <c r="AN530" s="1">
        <v>1.0</v>
      </c>
      <c r="AO530" s="1" t="s">
        <v>198</v>
      </c>
      <c r="AP530" s="1">
        <v>1.0</v>
      </c>
      <c r="AQ530" s="1" t="s">
        <v>198</v>
      </c>
      <c r="AR530" s="1" t="s">
        <v>200</v>
      </c>
      <c r="AS530" s="1" t="s">
        <v>199</v>
      </c>
      <c r="AT530" s="1">
        <v>2.0</v>
      </c>
      <c r="AV530" s="1" t="s">
        <v>192</v>
      </c>
      <c r="AW530" s="1">
        <v>7970.02</v>
      </c>
      <c r="AX530" s="1">
        <v>2013.0</v>
      </c>
      <c r="AZ530" s="1" t="s">
        <v>200</v>
      </c>
      <c r="BA530" s="1" t="str">
        <f>"0202480009"</f>
        <v>0202480009</v>
      </c>
      <c r="BC530" s="1">
        <v>2907.0</v>
      </c>
      <c r="BD530" s="1">
        <v>244500.0</v>
      </c>
      <c r="BE530" s="2">
        <v>41976.0</v>
      </c>
      <c r="BF530" s="2" t="s">
        <v>6951</v>
      </c>
      <c r="BH530" s="1">
        <v>0.0</v>
      </c>
      <c r="BK530" s="1" t="s">
        <v>204</v>
      </c>
      <c r="BL530" s="1" t="str">
        <f t="shared" ref="BL530:BM530" si="359">""</f>
        <v/>
      </c>
      <c r="BM530" s="1" t="str">
        <f t="shared" si="359"/>
        <v/>
      </c>
      <c r="BQ530" s="1">
        <v>308.0</v>
      </c>
      <c r="BR530" s="1">
        <v>308.0</v>
      </c>
      <c r="BS530" s="1">
        <v>308.0</v>
      </c>
      <c r="BU530" s="1" t="s">
        <v>329</v>
      </c>
      <c r="BV530" s="1" t="s">
        <v>206</v>
      </c>
      <c r="BW530" s="1" t="s">
        <v>210</v>
      </c>
      <c r="BY530" s="1" t="s">
        <v>432</v>
      </c>
      <c r="BZ530" s="1" t="s">
        <v>209</v>
      </c>
      <c r="CA530" s="1" t="s">
        <v>210</v>
      </c>
      <c r="CC530" s="1" t="s">
        <v>433</v>
      </c>
      <c r="CD530" s="1" t="s">
        <v>206</v>
      </c>
      <c r="CE530" s="1" t="s">
        <v>210</v>
      </c>
      <c r="CG530" s="1" t="s">
        <v>390</v>
      </c>
      <c r="CH530" s="1" t="s">
        <v>209</v>
      </c>
      <c r="CI530" s="1" t="s">
        <v>210</v>
      </c>
      <c r="CK530" s="1" t="s">
        <v>329</v>
      </c>
      <c r="CL530" s="1" t="s">
        <v>209</v>
      </c>
      <c r="CM530" s="1" t="s">
        <v>210</v>
      </c>
      <c r="CO530" s="1" t="s">
        <v>212</v>
      </c>
      <c r="CP530" s="1" t="s">
        <v>209</v>
      </c>
      <c r="CQ530" s="1" t="s">
        <v>210</v>
      </c>
      <c r="CS530" s="1" t="s">
        <v>215</v>
      </c>
      <c r="CT530" s="1" t="s">
        <v>206</v>
      </c>
      <c r="CW530" s="1" t="s">
        <v>583</v>
      </c>
      <c r="CX530" s="1" t="s">
        <v>206</v>
      </c>
      <c r="CY530" s="1" t="s">
        <v>210</v>
      </c>
      <c r="DA530" s="1" t="s">
        <v>200</v>
      </c>
      <c r="DC530" s="1" t="s">
        <v>335</v>
      </c>
      <c r="DD530" s="1" t="s">
        <v>855</v>
      </c>
      <c r="DE530" s="1" t="s">
        <v>273</v>
      </c>
      <c r="DF530" s="1" t="s">
        <v>219</v>
      </c>
      <c r="DG530" s="1" t="s">
        <v>3020</v>
      </c>
      <c r="DH530" s="1" t="s">
        <v>220</v>
      </c>
      <c r="DJ530" s="1" t="s">
        <v>222</v>
      </c>
      <c r="DL530" s="1" t="s">
        <v>224</v>
      </c>
      <c r="DM530" s="1" t="s">
        <v>338</v>
      </c>
      <c r="DN530" s="1" t="s">
        <v>485</v>
      </c>
      <c r="DO530" s="1" t="s">
        <v>6843</v>
      </c>
      <c r="DP530" s="1" t="s">
        <v>340</v>
      </c>
      <c r="DQ530" s="1" t="s">
        <v>228</v>
      </c>
      <c r="DR530" s="1" t="s">
        <v>229</v>
      </c>
      <c r="DS530" s="1" t="s">
        <v>368</v>
      </c>
      <c r="DV530" s="1" t="s">
        <v>6952</v>
      </c>
      <c r="DW530" s="1" t="s">
        <v>233</v>
      </c>
      <c r="DX530" s="1" t="s">
        <v>234</v>
      </c>
      <c r="DY530" s="1" t="s">
        <v>6953</v>
      </c>
      <c r="DZ530" s="1" t="s">
        <v>6954</v>
      </c>
      <c r="EB530" s="1" t="s">
        <v>937</v>
      </c>
      <c r="EC530" s="1" t="s">
        <v>237</v>
      </c>
      <c r="EE530" s="1" t="s">
        <v>493</v>
      </c>
      <c r="EG530" s="1" t="s">
        <v>449</v>
      </c>
      <c r="EI530" s="1" t="s">
        <v>557</v>
      </c>
      <c r="EJ530" s="1" t="s">
        <v>598</v>
      </c>
      <c r="EK530" s="1" t="s">
        <v>450</v>
      </c>
      <c r="EL530" s="1" t="s">
        <v>5311</v>
      </c>
      <c r="EM530" s="1" t="s">
        <v>206</v>
      </c>
      <c r="EN530" s="1" t="s">
        <v>617</v>
      </c>
      <c r="EQ530" s="1" t="s">
        <v>238</v>
      </c>
      <c r="ET530" s="1" t="s">
        <v>453</v>
      </c>
      <c r="EU530" s="1" t="s">
        <v>209</v>
      </c>
      <c r="EV530" s="1" t="s">
        <v>210</v>
      </c>
      <c r="EX530" s="1" t="s">
        <v>269</v>
      </c>
      <c r="EY530" s="1" t="s">
        <v>206</v>
      </c>
      <c r="EZ530" s="1" t="s">
        <v>210</v>
      </c>
      <c r="FB530" s="1" t="s">
        <v>6955</v>
      </c>
      <c r="FC530" s="1" t="s">
        <v>42</v>
      </c>
      <c r="FD530" s="1" t="s">
        <v>210</v>
      </c>
      <c r="FF530" s="1" t="s">
        <v>239</v>
      </c>
      <c r="FG530" s="1" t="s">
        <v>192</v>
      </c>
      <c r="FH530" s="1" t="s">
        <v>192</v>
      </c>
      <c r="FJ530" s="1" t="s">
        <v>1248</v>
      </c>
      <c r="FK530" s="1" t="s">
        <v>229</v>
      </c>
      <c r="FL530" s="1" t="s">
        <v>1007</v>
      </c>
      <c r="FM530" s="1">
        <v>22588.0</v>
      </c>
      <c r="FN530" s="1" t="s">
        <v>1321</v>
      </c>
      <c r="FO530" s="1" t="s">
        <v>3635</v>
      </c>
      <c r="FP530" s="1">
        <v>222152.0</v>
      </c>
      <c r="FQ530" s="1" t="s">
        <v>3636</v>
      </c>
      <c r="FR530" s="1">
        <v>226878.0</v>
      </c>
      <c r="FS530" s="1" t="s">
        <v>3637</v>
      </c>
      <c r="FU530" s="1" t="s">
        <v>6956</v>
      </c>
      <c r="FV530" s="1" t="s">
        <v>200</v>
      </c>
      <c r="FW530" s="1" t="s">
        <v>354</v>
      </c>
      <c r="FZ530" s="1" t="s">
        <v>229</v>
      </c>
      <c r="GA530" s="1" t="s">
        <v>291</v>
      </c>
      <c r="GB530" s="2">
        <v>42062.0</v>
      </c>
      <c r="GC530" s="1" t="s">
        <v>3639</v>
      </c>
    </row>
    <row r="531">
      <c r="A531" s="1">
        <v>265000.0</v>
      </c>
      <c r="B531" s="1" t="s">
        <v>185</v>
      </c>
      <c r="C531" s="1" t="str">
        <f>"08800496"</f>
        <v>08800496</v>
      </c>
      <c r="D531" s="1" t="s">
        <v>186</v>
      </c>
      <c r="F531" s="1" t="str">
        <f>"8056"</f>
        <v>8056</v>
      </c>
      <c r="G531" s="2">
        <v>41984.0</v>
      </c>
      <c r="H531" s="1">
        <v>275000.0</v>
      </c>
      <c r="I531" s="1">
        <v>26.0</v>
      </c>
      <c r="J531" s="1">
        <v>275000.0</v>
      </c>
      <c r="K531" s="2">
        <v>42009.0</v>
      </c>
      <c r="L531" s="1">
        <v>26.0</v>
      </c>
      <c r="M531" s="2">
        <v>42009.0</v>
      </c>
      <c r="N531" s="1" t="s">
        <v>187</v>
      </c>
      <c r="O531" s="2">
        <v>42037.0</v>
      </c>
      <c r="P531" s="1">
        <v>26486.0</v>
      </c>
      <c r="Q531" s="1">
        <v>25993.0</v>
      </c>
      <c r="S531" s="1">
        <v>5630.0</v>
      </c>
      <c r="T531" s="1" t="s">
        <v>6957</v>
      </c>
      <c r="U531" s="1" t="s">
        <v>189</v>
      </c>
      <c r="V531" s="1" t="s">
        <v>190</v>
      </c>
      <c r="W531" s="1">
        <v>60638.0</v>
      </c>
      <c r="Y531" s="1" t="s">
        <v>6958</v>
      </c>
      <c r="Z531" s="1">
        <v>1951.0</v>
      </c>
      <c r="AA531" s="1" t="s">
        <v>192</v>
      </c>
      <c r="AB531" s="1" t="s">
        <v>193</v>
      </c>
      <c r="AD531" s="1" t="s">
        <v>194</v>
      </c>
      <c r="AE531" s="1" t="s">
        <v>195</v>
      </c>
      <c r="AF531" s="1" t="s">
        <v>659</v>
      </c>
      <c r="AH531" s="1" t="s">
        <v>5314</v>
      </c>
      <c r="AI531" s="1">
        <v>0.1076</v>
      </c>
      <c r="AK531" s="1">
        <v>7.0</v>
      </c>
      <c r="AL531" s="1">
        <v>3.0</v>
      </c>
      <c r="AM531" s="1">
        <v>2.0</v>
      </c>
      <c r="AN531" s="1">
        <v>0.0</v>
      </c>
      <c r="AO531" s="1" t="s">
        <v>229</v>
      </c>
      <c r="AQ531" s="1" t="s">
        <v>198</v>
      </c>
      <c r="AR531" s="1" t="s">
        <v>192</v>
      </c>
      <c r="AS531" s="1" t="s">
        <v>199</v>
      </c>
      <c r="AT531" s="1">
        <v>2.0</v>
      </c>
      <c r="AV531" s="1" t="s">
        <v>200</v>
      </c>
      <c r="AW531" s="1">
        <v>2261.76</v>
      </c>
      <c r="AX531" s="1">
        <v>2013.0</v>
      </c>
      <c r="AY531" s="1" t="s">
        <v>387</v>
      </c>
      <c r="AZ531" s="1" t="s">
        <v>200</v>
      </c>
      <c r="BA531" s="1" t="str">
        <f>"19171150480000"</f>
        <v>19171150480000</v>
      </c>
      <c r="BB531" s="1" t="s">
        <v>200</v>
      </c>
      <c r="BC531" s="1">
        <v>0.0</v>
      </c>
      <c r="BD531" s="1">
        <v>265000.0</v>
      </c>
      <c r="BE531" s="2">
        <v>41984.0</v>
      </c>
      <c r="BF531" s="2" t="s">
        <v>6959</v>
      </c>
      <c r="BH531" s="1">
        <v>0.0</v>
      </c>
      <c r="BK531" s="1" t="s">
        <v>204</v>
      </c>
      <c r="BL531" s="1" t="str">
        <f t="shared" ref="BL531:BM531" si="360">"0"</f>
        <v>0</v>
      </c>
      <c r="BM531" s="1" t="str">
        <f t="shared" si="360"/>
        <v>0</v>
      </c>
      <c r="BN531" s="1">
        <v>6000.0</v>
      </c>
      <c r="BO531" s="1">
        <v>5630.0</v>
      </c>
      <c r="BQ531" s="1">
        <v>299.0</v>
      </c>
      <c r="BR531" s="1">
        <v>299.0</v>
      </c>
      <c r="BS531" s="1">
        <v>299.0</v>
      </c>
      <c r="BU531" s="1" t="s">
        <v>925</v>
      </c>
      <c r="BV531" s="1" t="s">
        <v>206</v>
      </c>
      <c r="BW531" s="1" t="s">
        <v>207</v>
      </c>
      <c r="BY531" s="1" t="s">
        <v>212</v>
      </c>
      <c r="BZ531" s="1" t="s">
        <v>206</v>
      </c>
      <c r="CA531" s="1" t="s">
        <v>207</v>
      </c>
      <c r="CD531" s="1" t="s">
        <v>204</v>
      </c>
      <c r="CG531" s="1" t="s">
        <v>495</v>
      </c>
      <c r="CH531" s="1" t="s">
        <v>206</v>
      </c>
      <c r="CI531" s="1" t="s">
        <v>207</v>
      </c>
      <c r="CK531" s="1" t="s">
        <v>303</v>
      </c>
      <c r="CL531" s="1" t="s">
        <v>206</v>
      </c>
      <c r="CM531" s="1" t="s">
        <v>207</v>
      </c>
      <c r="CO531" s="1" t="s">
        <v>497</v>
      </c>
      <c r="CP531" s="1" t="s">
        <v>42</v>
      </c>
      <c r="CQ531" s="1" t="s">
        <v>301</v>
      </c>
      <c r="CS531" s="1" t="s">
        <v>331</v>
      </c>
      <c r="CT531" s="1" t="s">
        <v>206</v>
      </c>
      <c r="CU531" s="1" t="s">
        <v>207</v>
      </c>
      <c r="CW531" s="1" t="s">
        <v>3154</v>
      </c>
      <c r="CX531" s="1" t="s">
        <v>42</v>
      </c>
      <c r="CY531" s="1" t="s">
        <v>301</v>
      </c>
      <c r="DA531" s="1" t="s">
        <v>200</v>
      </c>
      <c r="DC531" s="1" t="s">
        <v>702</v>
      </c>
      <c r="DD531" s="1" t="s">
        <v>306</v>
      </c>
      <c r="DE531" s="1" t="s">
        <v>273</v>
      </c>
      <c r="DF531" s="1" t="s">
        <v>219</v>
      </c>
      <c r="DH531" s="1" t="s">
        <v>365</v>
      </c>
      <c r="DI531" s="1" t="s">
        <v>1120</v>
      </c>
      <c r="DJ531" s="1" t="s">
        <v>222</v>
      </c>
      <c r="DL531" s="1" t="s">
        <v>224</v>
      </c>
      <c r="DM531" s="1" t="s">
        <v>229</v>
      </c>
      <c r="DN531" s="1" t="s">
        <v>367</v>
      </c>
      <c r="DQ531" s="1" t="s">
        <v>794</v>
      </c>
      <c r="DR531" s="1" t="s">
        <v>229</v>
      </c>
      <c r="DU531" s="1" t="s">
        <v>2636</v>
      </c>
      <c r="DV531" s="1" t="s">
        <v>232</v>
      </c>
      <c r="DW531" s="1" t="s">
        <v>279</v>
      </c>
      <c r="DX531" s="1" t="s">
        <v>234</v>
      </c>
      <c r="DY531" s="1" t="s">
        <v>704</v>
      </c>
      <c r="EA531" s="1" t="s">
        <v>683</v>
      </c>
      <c r="EC531" s="1" t="s">
        <v>311</v>
      </c>
      <c r="EE531" s="1" t="s">
        <v>493</v>
      </c>
      <c r="EM531" s="1" t="s">
        <v>238</v>
      </c>
      <c r="EQ531" s="1" t="s">
        <v>238</v>
      </c>
      <c r="EU531" s="1" t="s">
        <v>238</v>
      </c>
      <c r="EY531" s="1" t="s">
        <v>238</v>
      </c>
      <c r="FC531" s="1" t="s">
        <v>238</v>
      </c>
      <c r="FF531" s="1" t="s">
        <v>239</v>
      </c>
      <c r="FG531" s="1" t="s">
        <v>192</v>
      </c>
      <c r="FH531" s="1" t="s">
        <v>192</v>
      </c>
      <c r="FJ531" s="1" t="s">
        <v>1573</v>
      </c>
      <c r="FK531" s="1" t="s">
        <v>229</v>
      </c>
      <c r="FL531" s="1" t="s">
        <v>2263</v>
      </c>
      <c r="FM531" s="1">
        <v>8092.0</v>
      </c>
      <c r="FN531" s="1" t="s">
        <v>4078</v>
      </c>
      <c r="FO531" s="1" t="s">
        <v>6960</v>
      </c>
      <c r="FP531" s="1">
        <v>89383.0</v>
      </c>
      <c r="FQ531" s="1" t="s">
        <v>6961</v>
      </c>
      <c r="FU531" s="1" t="s">
        <v>6962</v>
      </c>
      <c r="FV531" s="1" t="s">
        <v>200</v>
      </c>
      <c r="FW531" s="1" t="s">
        <v>567</v>
      </c>
      <c r="FX531" s="1" t="s">
        <v>655</v>
      </c>
      <c r="FZ531" s="1" t="s">
        <v>229</v>
      </c>
      <c r="GA531" s="1" t="s">
        <v>291</v>
      </c>
      <c r="GB531" s="2">
        <v>42037.0</v>
      </c>
      <c r="GC531" s="1" t="s">
        <v>6963</v>
      </c>
    </row>
    <row r="532">
      <c r="A532" s="1">
        <v>185000.0</v>
      </c>
      <c r="B532" s="1" t="s">
        <v>185</v>
      </c>
      <c r="C532" s="1" t="str">
        <f>"08796866"</f>
        <v>08796866</v>
      </c>
      <c r="D532" s="1" t="s">
        <v>186</v>
      </c>
      <c r="F532" s="1" t="str">
        <f>"118"</f>
        <v>118</v>
      </c>
      <c r="G532" s="2">
        <v>41977.0</v>
      </c>
      <c r="H532" s="1">
        <v>185000.0</v>
      </c>
      <c r="I532" s="1">
        <v>1.0</v>
      </c>
      <c r="J532" s="1">
        <v>185000.0</v>
      </c>
      <c r="K532" s="2">
        <v>41977.0</v>
      </c>
      <c r="L532" s="1">
        <v>1.0</v>
      </c>
      <c r="M532" s="2">
        <v>41977.0</v>
      </c>
      <c r="N532" s="1" t="s">
        <v>187</v>
      </c>
      <c r="O532" s="2">
        <v>41977.0</v>
      </c>
      <c r="P532" s="1">
        <v>77389.0</v>
      </c>
      <c r="Q532" s="1">
        <v>432.0</v>
      </c>
      <c r="S532" s="1">
        <v>509.0</v>
      </c>
      <c r="T532" s="1" t="s">
        <v>6964</v>
      </c>
      <c r="U532" s="1" t="s">
        <v>1174</v>
      </c>
      <c r="V532" s="1" t="s">
        <v>3438</v>
      </c>
      <c r="W532" s="1">
        <v>60118.0</v>
      </c>
      <c r="Y532" s="1" t="s">
        <v>6965</v>
      </c>
      <c r="Z532" s="1">
        <v>1967.0</v>
      </c>
      <c r="AA532" s="1" t="s">
        <v>192</v>
      </c>
      <c r="AB532" s="1" t="s">
        <v>193</v>
      </c>
      <c r="AD532" s="1" t="s">
        <v>3440</v>
      </c>
      <c r="AE532" s="1" t="s">
        <v>325</v>
      </c>
      <c r="AF532" s="1" t="s">
        <v>810</v>
      </c>
      <c r="AH532" s="1" t="s">
        <v>6966</v>
      </c>
      <c r="AK532" s="1">
        <v>8.0</v>
      </c>
      <c r="AL532" s="1">
        <v>4.0</v>
      </c>
      <c r="AM532" s="1">
        <v>2.0</v>
      </c>
      <c r="AN532" s="1">
        <v>1.0</v>
      </c>
      <c r="AO532" s="1" t="s">
        <v>198</v>
      </c>
      <c r="AQ532" s="1" t="s">
        <v>198</v>
      </c>
      <c r="AR532" s="1" t="s">
        <v>200</v>
      </c>
      <c r="AS532" s="1" t="s">
        <v>199</v>
      </c>
      <c r="AT532" s="1">
        <v>2.0</v>
      </c>
      <c r="AV532" s="1" t="s">
        <v>200</v>
      </c>
      <c r="AW532" s="1">
        <v>6722.64</v>
      </c>
      <c r="AX532" s="1">
        <v>2013.0</v>
      </c>
      <c r="AZ532" s="1" t="s">
        <v>200</v>
      </c>
      <c r="BA532" s="1" t="str">
        <f>"0329127008"</f>
        <v>0329127008</v>
      </c>
      <c r="BB532" s="1" t="s">
        <v>200</v>
      </c>
      <c r="BC532" s="1">
        <v>1608.0</v>
      </c>
      <c r="BD532" s="1">
        <v>185000.0</v>
      </c>
      <c r="BE532" s="2">
        <v>41977.0</v>
      </c>
      <c r="BF532" s="1" t="s">
        <v>6967</v>
      </c>
      <c r="BH532" s="1">
        <v>0.0</v>
      </c>
      <c r="BK532" s="1" t="s">
        <v>204</v>
      </c>
      <c r="BL532" s="1" t="str">
        <f t="shared" ref="BL532:BM532" si="361">""</f>
        <v/>
      </c>
      <c r="BM532" s="1" t="str">
        <f t="shared" si="361"/>
        <v/>
      </c>
      <c r="BQ532" s="1">
        <v>300.0</v>
      </c>
      <c r="BR532" s="1">
        <v>300.0</v>
      </c>
      <c r="BS532" s="1">
        <v>300.0</v>
      </c>
      <c r="BU532" s="1" t="s">
        <v>2647</v>
      </c>
      <c r="BV532" s="1" t="s">
        <v>206</v>
      </c>
      <c r="BY532" s="1" t="s">
        <v>677</v>
      </c>
      <c r="BZ532" s="1" t="s">
        <v>206</v>
      </c>
      <c r="CC532" s="1" t="s">
        <v>363</v>
      </c>
      <c r="CD532" s="1" t="s">
        <v>206</v>
      </c>
      <c r="CG532" s="1" t="s">
        <v>516</v>
      </c>
      <c r="CH532" s="1" t="s">
        <v>206</v>
      </c>
      <c r="CK532" s="1" t="s">
        <v>663</v>
      </c>
      <c r="CL532" s="1" t="s">
        <v>206</v>
      </c>
      <c r="CO532" s="1" t="s">
        <v>269</v>
      </c>
      <c r="CP532" s="1" t="s">
        <v>206</v>
      </c>
      <c r="CS532" s="1" t="s">
        <v>2082</v>
      </c>
      <c r="CT532" s="1" t="s">
        <v>206</v>
      </c>
      <c r="CW532" s="1" t="s">
        <v>2082</v>
      </c>
      <c r="CX532" s="1" t="s">
        <v>206</v>
      </c>
      <c r="DA532" s="1" t="s">
        <v>200</v>
      </c>
      <c r="DC532" s="1" t="s">
        <v>517</v>
      </c>
      <c r="DE532" s="1" t="s">
        <v>273</v>
      </c>
      <c r="DF532" s="1" t="s">
        <v>219</v>
      </c>
      <c r="DH532" s="1" t="s">
        <v>220</v>
      </c>
      <c r="DJ532" s="1" t="s">
        <v>857</v>
      </c>
      <c r="DL532" s="1" t="s">
        <v>223</v>
      </c>
      <c r="DM532" s="1" t="s">
        <v>229</v>
      </c>
      <c r="DQ532" s="1" t="s">
        <v>228</v>
      </c>
      <c r="DR532" s="1" t="s">
        <v>229</v>
      </c>
      <c r="DV532" s="1" t="s">
        <v>232</v>
      </c>
      <c r="DW532" s="1" t="s">
        <v>233</v>
      </c>
      <c r="DX532" s="1" t="s">
        <v>234</v>
      </c>
      <c r="EA532" s="1" t="s">
        <v>622</v>
      </c>
      <c r="EC532" s="1" t="s">
        <v>685</v>
      </c>
      <c r="EM532" s="1" t="s">
        <v>238</v>
      </c>
      <c r="EQ532" s="1" t="s">
        <v>238</v>
      </c>
      <c r="EU532" s="1" t="s">
        <v>238</v>
      </c>
      <c r="EY532" s="1" t="s">
        <v>238</v>
      </c>
      <c r="FC532" s="1" t="s">
        <v>238</v>
      </c>
      <c r="FF532" s="1" t="s">
        <v>239</v>
      </c>
      <c r="FG532" s="1" t="s">
        <v>192</v>
      </c>
      <c r="FH532" s="1" t="s">
        <v>192</v>
      </c>
      <c r="FJ532" s="1" t="s">
        <v>498</v>
      </c>
      <c r="FK532" s="1" t="s">
        <v>229</v>
      </c>
      <c r="FL532" s="1" t="s">
        <v>3848</v>
      </c>
      <c r="FM532" s="1">
        <v>432.0</v>
      </c>
      <c r="FN532" s="1" t="s">
        <v>3849</v>
      </c>
      <c r="FO532" s="1" t="s">
        <v>3850</v>
      </c>
      <c r="FP532" s="1">
        <v>77389.0</v>
      </c>
      <c r="FQ532" s="1" t="s">
        <v>3851</v>
      </c>
      <c r="FU532" s="1" t="s">
        <v>6968</v>
      </c>
      <c r="FV532" s="1" t="s">
        <v>200</v>
      </c>
      <c r="FW532" s="1" t="s">
        <v>290</v>
      </c>
      <c r="FZ532" s="1" t="s">
        <v>229</v>
      </c>
      <c r="GA532" s="1" t="s">
        <v>291</v>
      </c>
      <c r="GB532" s="2">
        <v>41977.0</v>
      </c>
    </row>
    <row r="533">
      <c r="A533" s="1">
        <v>899000.0</v>
      </c>
      <c r="B533" s="1" t="s">
        <v>185</v>
      </c>
      <c r="C533" s="1" t="str">
        <f>"08800729"</f>
        <v>08800729</v>
      </c>
      <c r="D533" s="1" t="s">
        <v>186</v>
      </c>
      <c r="F533" s="1" t="str">
        <f>"8005"</f>
        <v>8005</v>
      </c>
      <c r="G533" s="2">
        <v>41984.0</v>
      </c>
      <c r="H533" s="1">
        <v>899000.0</v>
      </c>
      <c r="I533" s="1">
        <v>102.0</v>
      </c>
      <c r="J533" s="1">
        <v>899000.0</v>
      </c>
      <c r="K533" s="2">
        <v>41983.0</v>
      </c>
      <c r="L533" s="1">
        <v>1.0</v>
      </c>
      <c r="M533" s="2">
        <v>41983.0</v>
      </c>
      <c r="N533" s="1" t="s">
        <v>187</v>
      </c>
      <c r="O533" s="2">
        <v>41984.0</v>
      </c>
      <c r="P533" s="1">
        <v>113405.0</v>
      </c>
      <c r="Q533" s="1">
        <v>15752.0</v>
      </c>
      <c r="S533" s="1">
        <v>2422.0</v>
      </c>
      <c r="T533" s="1" t="s">
        <v>6969</v>
      </c>
      <c r="U533" s="1" t="s">
        <v>189</v>
      </c>
      <c r="V533" s="1" t="s">
        <v>190</v>
      </c>
      <c r="W533" s="1">
        <v>60618.0</v>
      </c>
      <c r="Y533" s="1" t="s">
        <v>6970</v>
      </c>
      <c r="Z533" s="1">
        <v>2014.0</v>
      </c>
      <c r="AA533" s="1" t="s">
        <v>200</v>
      </c>
      <c r="AB533" s="1" t="s">
        <v>193</v>
      </c>
      <c r="AD533" s="1" t="s">
        <v>194</v>
      </c>
      <c r="AE533" s="1" t="s">
        <v>195</v>
      </c>
      <c r="AF533" s="1" t="s">
        <v>2645</v>
      </c>
      <c r="AH533" s="1" t="s">
        <v>6971</v>
      </c>
      <c r="AK533" s="1">
        <v>11.0</v>
      </c>
      <c r="AL533" s="1">
        <v>4.0</v>
      </c>
      <c r="AM533" s="1">
        <v>3.0</v>
      </c>
      <c r="AN533" s="1">
        <v>1.0</v>
      </c>
      <c r="AO533" s="1" t="s">
        <v>198</v>
      </c>
      <c r="AP533" s="1">
        <v>1.0</v>
      </c>
      <c r="AQ533" s="1" t="s">
        <v>472</v>
      </c>
      <c r="AR533" s="1" t="s">
        <v>192</v>
      </c>
      <c r="AS533" s="1" t="s">
        <v>199</v>
      </c>
      <c r="AT533" s="1">
        <v>2.0</v>
      </c>
      <c r="AV533" s="1" t="s">
        <v>200</v>
      </c>
      <c r="AW533" s="1" t="s">
        <v>575</v>
      </c>
      <c r="AX533" s="1">
        <v>2013.0</v>
      </c>
      <c r="AY533" s="1" t="s">
        <v>229</v>
      </c>
      <c r="AZ533" s="1" t="s">
        <v>200</v>
      </c>
      <c r="BA533" s="1" t="str">
        <f>"13242090170000"</f>
        <v>13242090170000</v>
      </c>
      <c r="BC533" s="1">
        <v>3750.0</v>
      </c>
      <c r="BD533" s="1">
        <v>899000.0</v>
      </c>
      <c r="BE533" s="2">
        <v>41983.0</v>
      </c>
      <c r="BF533" s="2" t="s">
        <v>6972</v>
      </c>
      <c r="BG533" s="1" t="s">
        <v>6973</v>
      </c>
      <c r="BH533" s="1">
        <v>0.0</v>
      </c>
      <c r="BJ533" s="1" t="s">
        <v>538</v>
      </c>
      <c r="BK533" s="1" t="s">
        <v>204</v>
      </c>
      <c r="BL533" s="1" t="str">
        <f>"3600"</f>
        <v>3600</v>
      </c>
      <c r="BM533" s="1" t="str">
        <f>"0"</f>
        <v>0</v>
      </c>
      <c r="BN533" s="1">
        <v>2422.0</v>
      </c>
      <c r="BO533" s="1">
        <v>0.0</v>
      </c>
      <c r="BQ533" s="1">
        <v>299.0</v>
      </c>
      <c r="BR533" s="1">
        <v>299.0</v>
      </c>
      <c r="BS533" s="1">
        <v>299.0</v>
      </c>
      <c r="BU533" s="1" t="s">
        <v>262</v>
      </c>
      <c r="BV533" s="1" t="s">
        <v>206</v>
      </c>
      <c r="BW533" s="1" t="s">
        <v>207</v>
      </c>
      <c r="BY533" s="1" t="s">
        <v>260</v>
      </c>
      <c r="BZ533" s="1" t="s">
        <v>209</v>
      </c>
      <c r="CA533" s="1" t="s">
        <v>207</v>
      </c>
      <c r="CC533" s="1" t="s">
        <v>582</v>
      </c>
      <c r="CD533" s="1" t="s">
        <v>206</v>
      </c>
      <c r="CE533" s="1" t="s">
        <v>207</v>
      </c>
      <c r="CG533" s="1" t="s">
        <v>925</v>
      </c>
      <c r="CH533" s="1" t="s">
        <v>209</v>
      </c>
      <c r="CI533" s="1" t="s">
        <v>207</v>
      </c>
      <c r="CK533" s="1" t="s">
        <v>264</v>
      </c>
      <c r="CL533" s="1" t="s">
        <v>209</v>
      </c>
      <c r="CM533" s="1" t="s">
        <v>207</v>
      </c>
      <c r="CO533" s="1" t="s">
        <v>495</v>
      </c>
      <c r="CP533" s="1" t="s">
        <v>267</v>
      </c>
      <c r="CQ533" s="1" t="s">
        <v>210</v>
      </c>
      <c r="CS533" s="1" t="s">
        <v>3594</v>
      </c>
      <c r="CT533" s="1" t="s">
        <v>206</v>
      </c>
      <c r="CU533" s="1" t="s">
        <v>207</v>
      </c>
      <c r="CW533" s="1" t="s">
        <v>260</v>
      </c>
      <c r="CX533" s="1" t="s">
        <v>267</v>
      </c>
      <c r="CY533" s="1" t="s">
        <v>210</v>
      </c>
      <c r="DA533" s="1" t="s">
        <v>192</v>
      </c>
      <c r="DB533" s="2">
        <v>41998.0</v>
      </c>
      <c r="DC533" s="1" t="s">
        <v>744</v>
      </c>
      <c r="DD533" s="1" t="s">
        <v>1838</v>
      </c>
      <c r="DE533" s="1" t="s">
        <v>218</v>
      </c>
      <c r="DF533" s="1" t="s">
        <v>745</v>
      </c>
      <c r="DG533" s="1" t="s">
        <v>5068</v>
      </c>
      <c r="DH533" s="1" t="s">
        <v>365</v>
      </c>
      <c r="DI533" s="1" t="s">
        <v>519</v>
      </c>
      <c r="DJ533" s="1" t="s">
        <v>222</v>
      </c>
      <c r="DL533" s="1" t="s">
        <v>224</v>
      </c>
      <c r="DM533" s="1" t="s">
        <v>229</v>
      </c>
      <c r="DN533" s="1" t="s">
        <v>6974</v>
      </c>
      <c r="DO533" s="1" t="s">
        <v>4234</v>
      </c>
      <c r="DP533" s="1" t="s">
        <v>340</v>
      </c>
      <c r="DQ533" s="1" t="s">
        <v>718</v>
      </c>
      <c r="DR533" s="1" t="s">
        <v>229</v>
      </c>
      <c r="DS533" s="1" t="s">
        <v>230</v>
      </c>
      <c r="DU533" s="1" t="s">
        <v>6975</v>
      </c>
      <c r="DV533" s="1" t="s">
        <v>6976</v>
      </c>
      <c r="DW533" s="1" t="s">
        <v>1026</v>
      </c>
      <c r="DX533" s="1" t="s">
        <v>234</v>
      </c>
      <c r="DY533" s="1" t="s">
        <v>6977</v>
      </c>
      <c r="DZ533" s="1" t="s">
        <v>6978</v>
      </c>
      <c r="EA533" s="1" t="s">
        <v>1027</v>
      </c>
      <c r="EB533" s="1" t="s">
        <v>6979</v>
      </c>
      <c r="EC533" s="1" t="s">
        <v>237</v>
      </c>
      <c r="ED533" s="1" t="s">
        <v>555</v>
      </c>
      <c r="EG533" s="1" t="s">
        <v>556</v>
      </c>
      <c r="EH533" s="1" t="s">
        <v>1164</v>
      </c>
      <c r="EI533" s="1" t="s">
        <v>450</v>
      </c>
      <c r="EL533" s="1" t="s">
        <v>265</v>
      </c>
      <c r="EM533" s="1" t="s">
        <v>206</v>
      </c>
      <c r="EN533" s="1" t="s">
        <v>207</v>
      </c>
      <c r="EP533" s="1" t="s">
        <v>480</v>
      </c>
      <c r="EQ533" s="1" t="s">
        <v>206</v>
      </c>
      <c r="ER533" s="1" t="s">
        <v>207</v>
      </c>
      <c r="ET533" s="1" t="s">
        <v>5291</v>
      </c>
      <c r="EU533" s="1" t="s">
        <v>267</v>
      </c>
      <c r="EV533" s="1" t="s">
        <v>210</v>
      </c>
      <c r="EY533" s="1" t="s">
        <v>238</v>
      </c>
      <c r="FC533" s="1" t="s">
        <v>238</v>
      </c>
      <c r="FF533" s="1" t="s">
        <v>239</v>
      </c>
      <c r="FG533" s="1" t="s">
        <v>192</v>
      </c>
      <c r="FH533" s="1" t="s">
        <v>192</v>
      </c>
      <c r="FJ533" s="1" t="s">
        <v>6980</v>
      </c>
      <c r="FK533" s="1" t="s">
        <v>229</v>
      </c>
      <c r="FL533" s="1" t="s">
        <v>5070</v>
      </c>
      <c r="FM533" s="1">
        <v>12604.0</v>
      </c>
      <c r="FN533" s="1" t="s">
        <v>5071</v>
      </c>
      <c r="FO533" s="1" t="s">
        <v>5072</v>
      </c>
      <c r="FP533" s="1">
        <v>125093.0</v>
      </c>
      <c r="FQ533" s="1" t="s">
        <v>5073</v>
      </c>
      <c r="FR533" s="1">
        <v>148835.0</v>
      </c>
      <c r="FU533" s="1" t="s">
        <v>6981</v>
      </c>
      <c r="FV533" s="1" t="s">
        <v>192</v>
      </c>
      <c r="FW533" s="1" t="s">
        <v>654</v>
      </c>
      <c r="FX533" s="1" t="s">
        <v>246</v>
      </c>
      <c r="FZ533" s="1" t="s">
        <v>229</v>
      </c>
      <c r="GA533" s="1" t="s">
        <v>247</v>
      </c>
      <c r="GB533" s="2">
        <v>41984.0</v>
      </c>
      <c r="GC533" s="1" t="s">
        <v>6982</v>
      </c>
    </row>
    <row r="534">
      <c r="A534" s="1">
        <v>292000.0</v>
      </c>
      <c r="B534" s="1" t="s">
        <v>185</v>
      </c>
      <c r="C534" s="1" t="str">
        <f>"08802068"</f>
        <v>08802068</v>
      </c>
      <c r="D534" s="1" t="s">
        <v>186</v>
      </c>
      <c r="F534" s="1" t="str">
        <f>"123"</f>
        <v>123</v>
      </c>
      <c r="G534" s="2">
        <v>41988.0</v>
      </c>
      <c r="H534" s="1">
        <v>315000.0</v>
      </c>
      <c r="I534" s="1">
        <v>125.0</v>
      </c>
      <c r="J534" s="1">
        <v>300000.0</v>
      </c>
      <c r="K534" s="2">
        <v>42111.0</v>
      </c>
      <c r="L534" s="1">
        <v>125.0</v>
      </c>
      <c r="M534" s="2">
        <v>42111.0</v>
      </c>
      <c r="N534" s="1" t="s">
        <v>187</v>
      </c>
      <c r="O534" s="2">
        <v>42146.0</v>
      </c>
      <c r="P534" s="1">
        <v>77389.0</v>
      </c>
      <c r="Q534" s="1">
        <v>432.0</v>
      </c>
      <c r="R534" s="1">
        <v>5000.0</v>
      </c>
      <c r="S534" s="1">
        <v>3021.0</v>
      </c>
      <c r="T534" s="1" t="s">
        <v>6983</v>
      </c>
      <c r="U534" s="1" t="s">
        <v>189</v>
      </c>
      <c r="V534" s="1" t="s">
        <v>465</v>
      </c>
      <c r="W534" s="1">
        <v>60124.0</v>
      </c>
      <c r="Y534" s="1" t="s">
        <v>6984</v>
      </c>
      <c r="Z534" s="1">
        <v>2005.0</v>
      </c>
      <c r="AA534" s="1" t="s">
        <v>200</v>
      </c>
      <c r="AB534" s="1" t="s">
        <v>193</v>
      </c>
      <c r="AC534" s="1" t="s">
        <v>4586</v>
      </c>
      <c r="AD534" s="1" t="s">
        <v>469</v>
      </c>
      <c r="AE534" s="1" t="s">
        <v>325</v>
      </c>
      <c r="AF534" s="1" t="s">
        <v>469</v>
      </c>
      <c r="AH534" s="1" t="s">
        <v>6985</v>
      </c>
      <c r="AK534" s="1">
        <v>9.0</v>
      </c>
      <c r="AL534" s="1">
        <v>4.0</v>
      </c>
      <c r="AM534" s="1">
        <v>2.0</v>
      </c>
      <c r="AN534" s="1">
        <v>1.0</v>
      </c>
      <c r="AO534" s="1" t="s">
        <v>198</v>
      </c>
      <c r="AP534" s="1">
        <v>1.0</v>
      </c>
      <c r="AQ534" s="1" t="s">
        <v>198</v>
      </c>
      <c r="AR534" s="1" t="s">
        <v>200</v>
      </c>
      <c r="AS534" s="1" t="s">
        <v>199</v>
      </c>
      <c r="AT534" s="1">
        <v>2.0</v>
      </c>
      <c r="AV534" s="1" t="s">
        <v>200</v>
      </c>
      <c r="AW534" s="1">
        <v>9621.0</v>
      </c>
      <c r="AX534" s="1">
        <v>2013.0</v>
      </c>
      <c r="AY534" s="1" t="s">
        <v>387</v>
      </c>
      <c r="AZ534" s="1" t="s">
        <v>200</v>
      </c>
      <c r="BA534" s="1" t="str">
        <f>"0617310003"</f>
        <v>0617310003</v>
      </c>
      <c r="BC534" s="1">
        <v>3500.0</v>
      </c>
      <c r="BD534" s="1">
        <v>292000.0</v>
      </c>
      <c r="BE534" s="2">
        <v>41987.0</v>
      </c>
      <c r="BF534" s="2" t="s">
        <v>6986</v>
      </c>
      <c r="BH534" s="1">
        <v>275.0</v>
      </c>
      <c r="BK534" s="1" t="s">
        <v>580</v>
      </c>
      <c r="BL534" s="1" t="str">
        <f t="shared" ref="BL534:BM534" si="362">""</f>
        <v/>
      </c>
      <c r="BM534" s="1" t="str">
        <f t="shared" si="362"/>
        <v/>
      </c>
      <c r="BQ534" s="1">
        <v>301.0</v>
      </c>
      <c r="BR534" s="1">
        <v>301.0</v>
      </c>
      <c r="BS534" s="1">
        <v>301.0</v>
      </c>
      <c r="BU534" s="1" t="s">
        <v>390</v>
      </c>
      <c r="BV534" s="1" t="s">
        <v>206</v>
      </c>
      <c r="BW534" s="1" t="s">
        <v>210</v>
      </c>
      <c r="BY534" s="1" t="s">
        <v>260</v>
      </c>
      <c r="BZ534" s="1" t="s">
        <v>209</v>
      </c>
      <c r="CA534" s="1" t="s">
        <v>210</v>
      </c>
      <c r="CC534" s="1" t="s">
        <v>329</v>
      </c>
      <c r="CD534" s="1" t="s">
        <v>206</v>
      </c>
      <c r="CE534" s="1" t="s">
        <v>210</v>
      </c>
      <c r="CG534" s="1" t="s">
        <v>329</v>
      </c>
      <c r="CH534" s="1" t="s">
        <v>209</v>
      </c>
      <c r="CI534" s="1" t="s">
        <v>210</v>
      </c>
      <c r="CK534" s="1" t="s">
        <v>329</v>
      </c>
      <c r="CL534" s="1" t="s">
        <v>209</v>
      </c>
      <c r="CM534" s="1" t="s">
        <v>210</v>
      </c>
      <c r="CO534" s="1" t="s">
        <v>784</v>
      </c>
      <c r="CP534" s="1" t="s">
        <v>209</v>
      </c>
      <c r="CQ534" s="1" t="s">
        <v>210</v>
      </c>
      <c r="CS534" s="1" t="s">
        <v>1158</v>
      </c>
      <c r="CT534" s="1" t="s">
        <v>206</v>
      </c>
      <c r="CU534" s="1" t="s">
        <v>268</v>
      </c>
      <c r="CW534" s="1" t="s">
        <v>1534</v>
      </c>
      <c r="CX534" s="1" t="s">
        <v>206</v>
      </c>
      <c r="CY534" s="1" t="s">
        <v>210</v>
      </c>
      <c r="DA534" s="1" t="s">
        <v>200</v>
      </c>
      <c r="DC534" s="1" t="s">
        <v>481</v>
      </c>
      <c r="DD534" s="1" t="s">
        <v>1954</v>
      </c>
      <c r="DE534" s="1" t="s">
        <v>273</v>
      </c>
      <c r="DF534" s="1" t="s">
        <v>219</v>
      </c>
      <c r="DG534" s="1" t="s">
        <v>482</v>
      </c>
      <c r="DH534" s="1" t="s">
        <v>220</v>
      </c>
      <c r="DI534" s="1" t="s">
        <v>1047</v>
      </c>
      <c r="DJ534" s="1" t="s">
        <v>222</v>
      </c>
      <c r="DK534" s="1" t="s">
        <v>223</v>
      </c>
      <c r="DL534" s="1" t="s">
        <v>223</v>
      </c>
      <c r="DM534" s="1" t="s">
        <v>338</v>
      </c>
      <c r="DN534" s="1" t="s">
        <v>485</v>
      </c>
      <c r="DO534" s="1" t="s">
        <v>549</v>
      </c>
      <c r="DP534" s="1" t="s">
        <v>340</v>
      </c>
      <c r="DQ534" s="1" t="s">
        <v>228</v>
      </c>
      <c r="DR534" s="1" t="s">
        <v>1487</v>
      </c>
      <c r="DS534" s="1" t="s">
        <v>230</v>
      </c>
      <c r="DV534" s="1" t="s">
        <v>494</v>
      </c>
      <c r="DW534" s="1" t="s">
        <v>444</v>
      </c>
      <c r="DX534" s="1" t="s">
        <v>234</v>
      </c>
      <c r="DY534" s="1" t="s">
        <v>1189</v>
      </c>
      <c r="DZ534" s="1" t="s">
        <v>2424</v>
      </c>
      <c r="EA534" s="1" t="s">
        <v>447</v>
      </c>
      <c r="EB534" s="1" t="s">
        <v>937</v>
      </c>
      <c r="EC534" s="1" t="s">
        <v>237</v>
      </c>
      <c r="ED534" s="1" t="s">
        <v>407</v>
      </c>
      <c r="EE534" s="1" t="s">
        <v>493</v>
      </c>
      <c r="EG534" s="1" t="s">
        <v>494</v>
      </c>
      <c r="EL534" s="1" t="s">
        <v>363</v>
      </c>
      <c r="EM534" s="1" t="s">
        <v>206</v>
      </c>
      <c r="EN534" s="1" t="s">
        <v>210</v>
      </c>
      <c r="EQ534" s="1" t="s">
        <v>238</v>
      </c>
      <c r="EU534" s="1" t="s">
        <v>238</v>
      </c>
      <c r="EY534" s="1" t="s">
        <v>238</v>
      </c>
      <c r="FC534" s="1" t="s">
        <v>238</v>
      </c>
      <c r="FF534" s="1" t="s">
        <v>239</v>
      </c>
      <c r="FG534" s="1" t="s">
        <v>192</v>
      </c>
      <c r="FH534" s="1" t="s">
        <v>192</v>
      </c>
      <c r="FJ534" s="1" t="s">
        <v>4181</v>
      </c>
      <c r="FK534" s="1" t="s">
        <v>348</v>
      </c>
      <c r="FL534" s="1" t="s">
        <v>6233</v>
      </c>
      <c r="FM534" s="1">
        <v>7630.0</v>
      </c>
      <c r="FN534" s="1" t="s">
        <v>6234</v>
      </c>
      <c r="FO534" s="1" t="s">
        <v>6987</v>
      </c>
      <c r="FP534" s="1">
        <v>70092.0</v>
      </c>
      <c r="FQ534" s="1" t="s">
        <v>6988</v>
      </c>
      <c r="FU534" s="1" t="s">
        <v>6989</v>
      </c>
      <c r="FV534" s="1" t="s">
        <v>200</v>
      </c>
      <c r="FW534" s="1" t="s">
        <v>6990</v>
      </c>
      <c r="FZ534" s="1" t="s">
        <v>229</v>
      </c>
      <c r="GA534" s="1" t="s">
        <v>291</v>
      </c>
      <c r="GB534" s="2">
        <v>42146.0</v>
      </c>
    </row>
    <row r="535">
      <c r="A535" s="1">
        <v>1165000.0</v>
      </c>
      <c r="B535" s="1" t="s">
        <v>185</v>
      </c>
      <c r="C535" s="1" t="str">
        <f>"08795060"</f>
        <v>08795060</v>
      </c>
      <c r="D535" s="1" t="s">
        <v>186</v>
      </c>
      <c r="F535" s="1" t="str">
        <f>"8024"</f>
        <v>8024</v>
      </c>
      <c r="G535" s="2">
        <v>41975.0</v>
      </c>
      <c r="H535" s="1">
        <v>1224900.0</v>
      </c>
      <c r="I535" s="1">
        <v>38.0</v>
      </c>
      <c r="J535" s="1">
        <v>1224900.0</v>
      </c>
      <c r="K535" s="2">
        <v>41989.0</v>
      </c>
      <c r="L535" s="1">
        <v>15.0</v>
      </c>
      <c r="M535" s="2">
        <v>41989.0</v>
      </c>
      <c r="N535" s="1" t="s">
        <v>187</v>
      </c>
      <c r="O535" s="2">
        <v>42044.0</v>
      </c>
      <c r="P535" s="1">
        <v>125093.0</v>
      </c>
      <c r="Q535" s="1">
        <v>12604.0</v>
      </c>
      <c r="S535" s="1">
        <v>1631.0</v>
      </c>
      <c r="T535" s="1" t="s">
        <v>6991</v>
      </c>
      <c r="U535" s="1" t="s">
        <v>189</v>
      </c>
      <c r="V535" s="1" t="s">
        <v>190</v>
      </c>
      <c r="W535" s="1">
        <v>60647.0</v>
      </c>
      <c r="Y535" s="1" t="s">
        <v>6992</v>
      </c>
      <c r="Z535" s="1">
        <v>1887.0</v>
      </c>
      <c r="AA535" s="1" t="s">
        <v>192</v>
      </c>
      <c r="AB535" s="1" t="s">
        <v>193</v>
      </c>
      <c r="AD535" s="1" t="s">
        <v>194</v>
      </c>
      <c r="AE535" s="1" t="s">
        <v>195</v>
      </c>
      <c r="AF535" s="1" t="s">
        <v>827</v>
      </c>
      <c r="AH535" s="1" t="s">
        <v>741</v>
      </c>
      <c r="AK535" s="1">
        <v>10.0</v>
      </c>
      <c r="AL535" s="1">
        <v>4.0</v>
      </c>
      <c r="AM535" s="1">
        <v>3.0</v>
      </c>
      <c r="AN535" s="1">
        <v>1.0</v>
      </c>
      <c r="AO535" s="1" t="s">
        <v>198</v>
      </c>
      <c r="AP535" s="1">
        <v>2.0</v>
      </c>
      <c r="AQ535" s="1" t="s">
        <v>198</v>
      </c>
      <c r="AR535" s="1" t="s">
        <v>192</v>
      </c>
      <c r="AS535" s="1" t="s">
        <v>199</v>
      </c>
      <c r="AT535" s="1">
        <v>2.0</v>
      </c>
      <c r="AV535" s="1" t="s">
        <v>200</v>
      </c>
      <c r="AW535" s="1">
        <v>8137.1</v>
      </c>
      <c r="AX535" s="1">
        <v>2013.0</v>
      </c>
      <c r="AY535" s="1" t="s">
        <v>387</v>
      </c>
      <c r="AZ535" s="1" t="s">
        <v>200</v>
      </c>
      <c r="BA535" s="1" t="str">
        <f>"14313270150000"</f>
        <v>14313270150000</v>
      </c>
      <c r="BC535" s="1">
        <v>4250.0</v>
      </c>
      <c r="BD535" s="1">
        <v>1165000.0</v>
      </c>
      <c r="BE535" s="2">
        <v>41975.0</v>
      </c>
      <c r="BF535" s="2" t="s">
        <v>6993</v>
      </c>
      <c r="BG535" s="1" t="s">
        <v>6994</v>
      </c>
      <c r="BH535" s="1">
        <v>0.0</v>
      </c>
      <c r="BK535" s="1" t="s">
        <v>204</v>
      </c>
      <c r="BL535" s="1" t="str">
        <f>"1631"</f>
        <v>1631</v>
      </c>
      <c r="BM535" s="1" t="str">
        <f>"0"</f>
        <v>0</v>
      </c>
      <c r="BN535" s="1">
        <v>2350.0</v>
      </c>
      <c r="BO535" s="1">
        <v>0.0</v>
      </c>
      <c r="BQ535" s="1">
        <v>299.0</v>
      </c>
      <c r="BR535" s="1">
        <v>299.0</v>
      </c>
      <c r="BS535" s="1">
        <v>299.0</v>
      </c>
      <c r="BU535" s="1" t="s">
        <v>361</v>
      </c>
      <c r="BV535" s="1" t="s">
        <v>206</v>
      </c>
      <c r="BW535" s="1" t="s">
        <v>207</v>
      </c>
      <c r="BY535" s="1" t="s">
        <v>758</v>
      </c>
      <c r="BZ535" s="1" t="s">
        <v>209</v>
      </c>
      <c r="CA535" s="1" t="s">
        <v>207</v>
      </c>
      <c r="CC535" s="1" t="s">
        <v>260</v>
      </c>
      <c r="CD535" s="1" t="s">
        <v>206</v>
      </c>
      <c r="CE535" s="1" t="s">
        <v>207</v>
      </c>
      <c r="CG535" s="1" t="s">
        <v>331</v>
      </c>
      <c r="CH535" s="1" t="s">
        <v>209</v>
      </c>
      <c r="CI535" s="1" t="s">
        <v>207</v>
      </c>
      <c r="CK535" s="1" t="s">
        <v>332</v>
      </c>
      <c r="CL535" s="1" t="s">
        <v>209</v>
      </c>
      <c r="CM535" s="1" t="s">
        <v>207</v>
      </c>
      <c r="CO535" s="1" t="s">
        <v>332</v>
      </c>
      <c r="CP535" s="1" t="s">
        <v>209</v>
      </c>
      <c r="CQ535" s="1" t="s">
        <v>207</v>
      </c>
      <c r="CS535" s="1" t="s">
        <v>260</v>
      </c>
      <c r="CT535" s="1" t="s">
        <v>206</v>
      </c>
      <c r="CU535" s="1" t="s">
        <v>207</v>
      </c>
      <c r="CW535" s="1" t="s">
        <v>2749</v>
      </c>
      <c r="CX535" s="1" t="s">
        <v>206</v>
      </c>
      <c r="CY535" s="1" t="s">
        <v>207</v>
      </c>
      <c r="DA535" s="1" t="s">
        <v>200</v>
      </c>
      <c r="DC535" s="1" t="s">
        <v>642</v>
      </c>
      <c r="DD535" s="1" t="s">
        <v>336</v>
      </c>
      <c r="DE535" s="1" t="s">
        <v>273</v>
      </c>
      <c r="DF535" s="1" t="s">
        <v>219</v>
      </c>
      <c r="DG535" s="1" t="s">
        <v>1657</v>
      </c>
      <c r="DH535" s="1" t="s">
        <v>365</v>
      </c>
      <c r="DI535" s="1" t="s">
        <v>6995</v>
      </c>
      <c r="DJ535" s="1" t="s">
        <v>222</v>
      </c>
      <c r="DL535" s="1" t="s">
        <v>224</v>
      </c>
      <c r="DM535" s="1" t="s">
        <v>229</v>
      </c>
      <c r="DN535" s="1" t="s">
        <v>2873</v>
      </c>
      <c r="DO535" s="1" t="s">
        <v>4234</v>
      </c>
      <c r="DP535" s="1" t="s">
        <v>340</v>
      </c>
      <c r="DQ535" s="1" t="s">
        <v>718</v>
      </c>
      <c r="DR535" s="1" t="s">
        <v>229</v>
      </c>
      <c r="DS535" s="1" t="s">
        <v>368</v>
      </c>
      <c r="DU535" s="1" t="s">
        <v>6996</v>
      </c>
      <c r="DV535" s="1" t="s">
        <v>6997</v>
      </c>
      <c r="DW535" s="1" t="s">
        <v>279</v>
      </c>
      <c r="DX535" s="1" t="s">
        <v>234</v>
      </c>
      <c r="DY535" s="1" t="s">
        <v>6998</v>
      </c>
      <c r="DZ535" s="1" t="s">
        <v>5293</v>
      </c>
      <c r="EA535" s="1" t="s">
        <v>1027</v>
      </c>
      <c r="EB535" s="1" t="s">
        <v>6551</v>
      </c>
      <c r="EC535" s="1" t="s">
        <v>237</v>
      </c>
      <c r="ED535" s="1" t="s">
        <v>555</v>
      </c>
      <c r="EE535" s="1" t="s">
        <v>187</v>
      </c>
      <c r="EG535" s="1" t="s">
        <v>450</v>
      </c>
      <c r="EH535" s="1" t="s">
        <v>1467</v>
      </c>
      <c r="EI535" s="1" t="s">
        <v>1103</v>
      </c>
      <c r="EL535" s="1" t="s">
        <v>2014</v>
      </c>
      <c r="EM535" s="1" t="s">
        <v>42</v>
      </c>
      <c r="EN535" s="1" t="s">
        <v>268</v>
      </c>
      <c r="EP535" s="1" t="s">
        <v>1001</v>
      </c>
      <c r="EQ535" s="1" t="s">
        <v>42</v>
      </c>
      <c r="ER535" s="1" t="s">
        <v>268</v>
      </c>
      <c r="ET535" s="1" t="s">
        <v>6999</v>
      </c>
      <c r="EU535" s="1" t="s">
        <v>42</v>
      </c>
      <c r="EV535" s="1" t="s">
        <v>268</v>
      </c>
      <c r="EY535" s="1" t="s">
        <v>238</v>
      </c>
      <c r="FC535" s="1" t="s">
        <v>238</v>
      </c>
      <c r="FF535" s="1" t="s">
        <v>239</v>
      </c>
      <c r="FG535" s="1" t="s">
        <v>192</v>
      </c>
      <c r="FH535" s="1" t="s">
        <v>192</v>
      </c>
      <c r="FJ535" s="1" t="s">
        <v>412</v>
      </c>
      <c r="FK535" s="1" t="s">
        <v>229</v>
      </c>
      <c r="FL535" s="1" t="s">
        <v>5070</v>
      </c>
      <c r="FM535" s="1">
        <v>12604.0</v>
      </c>
      <c r="FN535" s="1" t="s">
        <v>5071</v>
      </c>
      <c r="FO535" s="1" t="s">
        <v>5072</v>
      </c>
      <c r="FP535" s="1">
        <v>125093.0</v>
      </c>
      <c r="FQ535" s="1" t="s">
        <v>5073</v>
      </c>
      <c r="FR535" s="1">
        <v>148835.0</v>
      </c>
      <c r="FU535" s="1" t="s">
        <v>5074</v>
      </c>
      <c r="FV535" s="1" t="s">
        <v>200</v>
      </c>
      <c r="FW535" s="1" t="s">
        <v>530</v>
      </c>
      <c r="FX535" s="1" t="s">
        <v>238</v>
      </c>
      <c r="FZ535" s="1" t="s">
        <v>229</v>
      </c>
      <c r="GA535" s="1" t="s">
        <v>291</v>
      </c>
      <c r="GB535" s="2">
        <v>42045.0</v>
      </c>
      <c r="GC535" s="1" t="s">
        <v>7000</v>
      </c>
    </row>
    <row r="536">
      <c r="A536" s="1">
        <v>59000.0</v>
      </c>
      <c r="B536" s="1" t="s">
        <v>185</v>
      </c>
      <c r="C536" s="1" t="str">
        <f>"08798517"</f>
        <v>08798517</v>
      </c>
      <c r="D536" s="1" t="s">
        <v>186</v>
      </c>
      <c r="F536" s="1" t="str">
        <f>"8048"</f>
        <v>8048</v>
      </c>
      <c r="G536" s="2">
        <v>41981.0</v>
      </c>
      <c r="H536" s="1">
        <v>91500.0</v>
      </c>
      <c r="I536" s="1">
        <v>55.0</v>
      </c>
      <c r="J536" s="1">
        <v>79900.0</v>
      </c>
      <c r="K536" s="2">
        <v>42032.0</v>
      </c>
      <c r="L536" s="1">
        <v>55.0</v>
      </c>
      <c r="M536" s="2">
        <v>42032.0</v>
      </c>
      <c r="N536" s="1" t="s">
        <v>5859</v>
      </c>
      <c r="O536" s="2">
        <v>42058.0</v>
      </c>
      <c r="P536" s="1">
        <v>157343.0</v>
      </c>
      <c r="Q536" s="1">
        <v>14090.0</v>
      </c>
      <c r="S536" s="1">
        <v>2101.0</v>
      </c>
      <c r="T536" s="1" t="s">
        <v>7001</v>
      </c>
      <c r="U536" s="1" t="s">
        <v>320</v>
      </c>
      <c r="V536" s="1" t="s">
        <v>190</v>
      </c>
      <c r="W536" s="1">
        <v>60617.0</v>
      </c>
      <c r="Y536" s="1" t="s">
        <v>7002</v>
      </c>
      <c r="Z536" s="1">
        <v>1921.0</v>
      </c>
      <c r="AA536" s="1" t="s">
        <v>192</v>
      </c>
      <c r="AB536" s="1" t="s">
        <v>193</v>
      </c>
      <c r="AD536" s="1" t="s">
        <v>194</v>
      </c>
      <c r="AE536" s="1" t="s">
        <v>195</v>
      </c>
      <c r="AF536" s="1" t="s">
        <v>659</v>
      </c>
      <c r="AH536" s="1" t="s">
        <v>359</v>
      </c>
      <c r="AK536" s="1">
        <v>9.0</v>
      </c>
      <c r="AL536" s="1">
        <v>4.0</v>
      </c>
      <c r="AM536" s="1">
        <v>2.0</v>
      </c>
      <c r="AN536" s="1">
        <v>0.0</v>
      </c>
      <c r="AO536" s="1" t="s">
        <v>229</v>
      </c>
      <c r="AQ536" s="1" t="s">
        <v>198</v>
      </c>
      <c r="AR536" s="1" t="s">
        <v>200</v>
      </c>
      <c r="AS536" s="1" t="s">
        <v>199</v>
      </c>
      <c r="AT536" s="1">
        <v>1.0</v>
      </c>
      <c r="AV536" s="1" t="s">
        <v>200</v>
      </c>
      <c r="AW536" s="1">
        <v>2090.0</v>
      </c>
      <c r="AX536" s="1">
        <v>2012.0</v>
      </c>
      <c r="AZ536" s="1" t="s">
        <v>200</v>
      </c>
      <c r="BA536" s="1" t="str">
        <f>"25014190010000"</f>
        <v>25014190010000</v>
      </c>
      <c r="BB536" s="1" t="s">
        <v>200</v>
      </c>
      <c r="BC536" s="1">
        <v>1200.0</v>
      </c>
      <c r="BD536" s="1">
        <v>59000.0</v>
      </c>
      <c r="BE536" s="2">
        <v>41978.0</v>
      </c>
      <c r="BF536" s="1" t="s">
        <v>7003</v>
      </c>
      <c r="BH536" s="1">
        <v>0.0</v>
      </c>
      <c r="BK536" s="1" t="s">
        <v>204</v>
      </c>
      <c r="BL536" s="1" t="str">
        <f t="shared" ref="BL536:BL537" si="363">"0"</f>
        <v>0</v>
      </c>
      <c r="BM536" s="1" t="str">
        <f>"2100"</f>
        <v>2100</v>
      </c>
      <c r="BN536" s="1">
        <v>0.0</v>
      </c>
      <c r="BO536" s="1">
        <v>9300.0</v>
      </c>
      <c r="BQ536" s="1">
        <v>299.0</v>
      </c>
      <c r="BR536" s="1">
        <v>299.0</v>
      </c>
      <c r="BS536" s="1">
        <v>299.0</v>
      </c>
      <c r="BU536" s="1" t="s">
        <v>3054</v>
      </c>
      <c r="BV536" s="1" t="s">
        <v>206</v>
      </c>
      <c r="BW536" s="1" t="s">
        <v>207</v>
      </c>
      <c r="BY536" s="1" t="s">
        <v>497</v>
      </c>
      <c r="BZ536" s="1" t="s">
        <v>206</v>
      </c>
      <c r="CA536" s="1" t="s">
        <v>210</v>
      </c>
      <c r="CD536" s="1" t="s">
        <v>204</v>
      </c>
      <c r="CG536" s="1" t="s">
        <v>640</v>
      </c>
      <c r="CH536" s="1" t="s">
        <v>206</v>
      </c>
      <c r="CI536" s="1" t="s">
        <v>210</v>
      </c>
      <c r="CK536" s="1" t="s">
        <v>3182</v>
      </c>
      <c r="CL536" s="1" t="s">
        <v>209</v>
      </c>
      <c r="CM536" s="1" t="s">
        <v>210</v>
      </c>
      <c r="CO536" s="1" t="s">
        <v>729</v>
      </c>
      <c r="CP536" s="1" t="s">
        <v>209</v>
      </c>
      <c r="CQ536" s="1" t="s">
        <v>210</v>
      </c>
      <c r="CS536" s="1" t="s">
        <v>495</v>
      </c>
      <c r="CT536" s="1" t="s">
        <v>206</v>
      </c>
      <c r="CU536" s="1" t="s">
        <v>207</v>
      </c>
      <c r="CW536" s="1" t="s">
        <v>7004</v>
      </c>
      <c r="CX536" s="1" t="s">
        <v>42</v>
      </c>
      <c r="CY536" s="1" t="s">
        <v>268</v>
      </c>
      <c r="DA536" s="1" t="s">
        <v>200</v>
      </c>
      <c r="DC536" s="1" t="s">
        <v>216</v>
      </c>
      <c r="DE536" s="1" t="s">
        <v>273</v>
      </c>
      <c r="DF536" s="1" t="s">
        <v>219</v>
      </c>
      <c r="DH536" s="1" t="s">
        <v>365</v>
      </c>
      <c r="DJ536" s="1" t="s">
        <v>222</v>
      </c>
      <c r="DL536" s="1" t="s">
        <v>224</v>
      </c>
      <c r="DM536" s="1" t="s">
        <v>229</v>
      </c>
      <c r="DQ536" s="1" t="s">
        <v>718</v>
      </c>
      <c r="DR536" s="1" t="s">
        <v>229</v>
      </c>
      <c r="DS536" s="1" t="s">
        <v>230</v>
      </c>
      <c r="DV536" s="1" t="s">
        <v>7005</v>
      </c>
      <c r="DW536" s="1" t="s">
        <v>279</v>
      </c>
      <c r="DX536" s="1" t="s">
        <v>234</v>
      </c>
      <c r="EA536" s="1" t="s">
        <v>644</v>
      </c>
      <c r="EC536" s="1" t="s">
        <v>645</v>
      </c>
      <c r="EG536" s="1" t="s">
        <v>1164</v>
      </c>
      <c r="EH536" s="1" t="s">
        <v>449</v>
      </c>
      <c r="EL536" s="1" t="s">
        <v>904</v>
      </c>
      <c r="EM536" s="1" t="s">
        <v>209</v>
      </c>
      <c r="EN536" s="1" t="s">
        <v>210</v>
      </c>
      <c r="EP536" s="1" t="s">
        <v>495</v>
      </c>
      <c r="EQ536" s="1" t="s">
        <v>206</v>
      </c>
      <c r="ER536" s="1" t="s">
        <v>207</v>
      </c>
      <c r="EU536" s="1" t="s">
        <v>238</v>
      </c>
      <c r="EY536" s="1" t="s">
        <v>238</v>
      </c>
      <c r="FC536" s="1" t="s">
        <v>238</v>
      </c>
      <c r="FF536" s="1" t="s">
        <v>239</v>
      </c>
      <c r="FG536" s="1" t="s">
        <v>192</v>
      </c>
      <c r="FH536" s="1" t="s">
        <v>192</v>
      </c>
      <c r="FJ536" s="1" t="s">
        <v>1248</v>
      </c>
      <c r="FK536" s="1" t="s">
        <v>229</v>
      </c>
      <c r="FL536" s="1" t="s">
        <v>3729</v>
      </c>
      <c r="FM536" s="1">
        <v>16492.0</v>
      </c>
      <c r="FN536" s="1" t="s">
        <v>3730</v>
      </c>
      <c r="FO536" s="1" t="s">
        <v>3731</v>
      </c>
      <c r="FP536" s="1">
        <v>143711.0</v>
      </c>
      <c r="FQ536" s="1" t="s">
        <v>3732</v>
      </c>
      <c r="FU536" s="1" t="s">
        <v>6077</v>
      </c>
      <c r="FV536" s="1" t="s">
        <v>200</v>
      </c>
      <c r="FW536" s="1" t="s">
        <v>290</v>
      </c>
      <c r="FX536" s="1" t="s">
        <v>1739</v>
      </c>
      <c r="FZ536" s="1" t="s">
        <v>229</v>
      </c>
      <c r="GA536" s="1" t="s">
        <v>291</v>
      </c>
      <c r="GB536" s="2">
        <v>42062.0</v>
      </c>
      <c r="GC536" s="1" t="s">
        <v>7006</v>
      </c>
    </row>
    <row r="537">
      <c r="A537" s="1">
        <v>66134.0</v>
      </c>
      <c r="B537" s="1" t="s">
        <v>185</v>
      </c>
      <c r="C537" s="1" t="str">
        <f>"08798126"</f>
        <v>08798126</v>
      </c>
      <c r="D537" s="1" t="s">
        <v>186</v>
      </c>
      <c r="F537" s="1" t="str">
        <f>"8030"</f>
        <v>8030</v>
      </c>
      <c r="G537" s="2">
        <v>41979.0</v>
      </c>
      <c r="H537" s="1">
        <v>138160.0</v>
      </c>
      <c r="I537" s="1">
        <v>10.0</v>
      </c>
      <c r="J537" s="1">
        <v>138160.0</v>
      </c>
      <c r="K537" s="2">
        <v>41988.0</v>
      </c>
      <c r="L537" s="1">
        <v>10.0</v>
      </c>
      <c r="M537" s="2">
        <v>41988.0</v>
      </c>
      <c r="N537" s="1" t="s">
        <v>249</v>
      </c>
      <c r="O537" s="2">
        <v>42010.0</v>
      </c>
      <c r="P537" s="1">
        <v>228203.0</v>
      </c>
      <c r="Q537" s="1">
        <v>25929.0</v>
      </c>
      <c r="S537" s="1">
        <v>3123.0</v>
      </c>
      <c r="T537" s="1" t="s">
        <v>3708</v>
      </c>
      <c r="U537" s="1" t="s">
        <v>189</v>
      </c>
      <c r="V537" s="1" t="s">
        <v>190</v>
      </c>
      <c r="W537" s="1">
        <v>60623.0</v>
      </c>
      <c r="Y537" s="1" t="s">
        <v>7007</v>
      </c>
      <c r="Z537" s="1">
        <v>1910.0</v>
      </c>
      <c r="AA537" s="1" t="s">
        <v>192</v>
      </c>
      <c r="AB537" s="1" t="s">
        <v>193</v>
      </c>
      <c r="AC537" s="1" t="s">
        <v>7008</v>
      </c>
      <c r="AD537" s="1" t="s">
        <v>194</v>
      </c>
      <c r="AE537" s="1" t="s">
        <v>195</v>
      </c>
      <c r="AF537" s="1" t="s">
        <v>1154</v>
      </c>
      <c r="AH537" s="1" t="s">
        <v>741</v>
      </c>
      <c r="AI537" s="1">
        <v>0.0717</v>
      </c>
      <c r="AK537" s="1">
        <v>9.0</v>
      </c>
      <c r="AL537" s="1">
        <v>3.0</v>
      </c>
      <c r="AM537" s="1">
        <v>1.0</v>
      </c>
      <c r="AN537" s="1">
        <v>1.0</v>
      </c>
      <c r="AO537" s="1" t="s">
        <v>229</v>
      </c>
      <c r="AQ537" s="1" t="s">
        <v>951</v>
      </c>
      <c r="AR537" s="1" t="s">
        <v>192</v>
      </c>
      <c r="AS537" s="1" t="s">
        <v>828</v>
      </c>
      <c r="AU537" s="1">
        <v>2.0</v>
      </c>
      <c r="AV537" s="1" t="s">
        <v>200</v>
      </c>
      <c r="AW537" s="1">
        <v>1970.28</v>
      </c>
      <c r="AX537" s="1">
        <v>2013.0</v>
      </c>
      <c r="AY537" s="1" t="s">
        <v>588</v>
      </c>
      <c r="AZ537" s="1" t="s">
        <v>200</v>
      </c>
      <c r="BA537" s="1" t="str">
        <f>"16351040090000"</f>
        <v>16351040090000</v>
      </c>
      <c r="BB537" s="1" t="s">
        <v>200</v>
      </c>
      <c r="BC537" s="1">
        <v>0.0</v>
      </c>
      <c r="BD537" s="1">
        <v>66134.0</v>
      </c>
      <c r="BE537" s="2">
        <v>41979.0</v>
      </c>
      <c r="BF537" s="2" t="s">
        <v>7009</v>
      </c>
      <c r="BH537" s="1">
        <v>0.0</v>
      </c>
      <c r="BK537" s="1" t="s">
        <v>204</v>
      </c>
      <c r="BL537" s="1" t="str">
        <f t="shared" si="363"/>
        <v>0</v>
      </c>
      <c r="BM537" s="1" t="str">
        <f t="shared" ref="BM537:BM538" si="364">"0"</f>
        <v>0</v>
      </c>
      <c r="BN537" s="1">
        <v>3800.0</v>
      </c>
      <c r="BO537" s="1">
        <v>3123.0</v>
      </c>
      <c r="BQ537" s="1">
        <v>299.0</v>
      </c>
      <c r="BR537" s="1">
        <v>299.0</v>
      </c>
      <c r="BS537" s="1">
        <v>299.0</v>
      </c>
      <c r="BU537" s="1" t="s">
        <v>215</v>
      </c>
      <c r="BV537" s="1" t="s">
        <v>206</v>
      </c>
      <c r="BW537" s="1" t="s">
        <v>301</v>
      </c>
      <c r="BX537" s="1" t="s">
        <v>229</v>
      </c>
      <c r="BY537" s="1" t="s">
        <v>940</v>
      </c>
      <c r="BZ537" s="1" t="s">
        <v>206</v>
      </c>
      <c r="CA537" s="1" t="s">
        <v>301</v>
      </c>
      <c r="CB537" s="1" t="s">
        <v>229</v>
      </c>
      <c r="CD537" s="1" t="s">
        <v>204</v>
      </c>
      <c r="CG537" s="1" t="s">
        <v>5359</v>
      </c>
      <c r="CH537" s="1" t="s">
        <v>206</v>
      </c>
      <c r="CI537" s="1" t="s">
        <v>588</v>
      </c>
      <c r="CJ537" s="1" t="s">
        <v>229</v>
      </c>
      <c r="CK537" s="1" t="s">
        <v>3930</v>
      </c>
      <c r="CL537" s="1" t="s">
        <v>206</v>
      </c>
      <c r="CM537" s="1" t="s">
        <v>588</v>
      </c>
      <c r="CN537" s="1" t="s">
        <v>229</v>
      </c>
      <c r="CO537" s="1" t="s">
        <v>4787</v>
      </c>
      <c r="CP537" s="1" t="s">
        <v>42</v>
      </c>
      <c r="CQ537" s="1" t="s">
        <v>268</v>
      </c>
      <c r="CR537" s="1" t="s">
        <v>229</v>
      </c>
      <c r="CS537" s="1" t="s">
        <v>212</v>
      </c>
      <c r="CT537" s="1" t="s">
        <v>206</v>
      </c>
      <c r="CU537" s="1" t="s">
        <v>268</v>
      </c>
      <c r="CV537" s="1" t="s">
        <v>229</v>
      </c>
      <c r="CW537" s="1" t="s">
        <v>699</v>
      </c>
      <c r="CX537" s="1" t="s">
        <v>42</v>
      </c>
      <c r="CY537" s="1" t="s">
        <v>268</v>
      </c>
      <c r="CZ537" s="1" t="s">
        <v>229</v>
      </c>
      <c r="DA537" s="1" t="s">
        <v>200</v>
      </c>
      <c r="DC537" s="1" t="s">
        <v>642</v>
      </c>
      <c r="DD537" s="1" t="s">
        <v>518</v>
      </c>
      <c r="DE537" s="1" t="s">
        <v>273</v>
      </c>
      <c r="DF537" s="1" t="s">
        <v>219</v>
      </c>
      <c r="DG537" s="1" t="s">
        <v>1657</v>
      </c>
      <c r="DH537" s="1" t="s">
        <v>307</v>
      </c>
      <c r="DJ537" s="1" t="s">
        <v>222</v>
      </c>
      <c r="DL537" s="1" t="s">
        <v>1161</v>
      </c>
      <c r="DM537" s="1" t="s">
        <v>229</v>
      </c>
      <c r="DO537" s="1" t="s">
        <v>549</v>
      </c>
      <c r="DQ537" s="1" t="s">
        <v>718</v>
      </c>
      <c r="DR537" s="1" t="s">
        <v>229</v>
      </c>
      <c r="DS537" s="1" t="s">
        <v>401</v>
      </c>
      <c r="DU537" s="1" t="s">
        <v>2070</v>
      </c>
      <c r="DV537" s="1" t="s">
        <v>7010</v>
      </c>
      <c r="DW537" s="1" t="s">
        <v>489</v>
      </c>
      <c r="DX537" s="1" t="s">
        <v>234</v>
      </c>
      <c r="EA537" s="1" t="s">
        <v>588</v>
      </c>
      <c r="EC537" s="1" t="s">
        <v>645</v>
      </c>
      <c r="EE537" s="1" t="s">
        <v>1673</v>
      </c>
      <c r="EG537" s="1" t="s">
        <v>598</v>
      </c>
      <c r="EH537" s="1" t="s">
        <v>449</v>
      </c>
      <c r="EL537" s="1" t="s">
        <v>4975</v>
      </c>
      <c r="EM537" s="1" t="s">
        <v>42</v>
      </c>
      <c r="EN537" s="1" t="s">
        <v>268</v>
      </c>
      <c r="EO537" s="1" t="s">
        <v>229</v>
      </c>
      <c r="EP537" s="1" t="s">
        <v>4975</v>
      </c>
      <c r="EQ537" s="1" t="s">
        <v>42</v>
      </c>
      <c r="ER537" s="1" t="s">
        <v>268</v>
      </c>
      <c r="ES537" s="1" t="s">
        <v>229</v>
      </c>
      <c r="EU537" s="1" t="s">
        <v>238</v>
      </c>
      <c r="EY537" s="1" t="s">
        <v>238</v>
      </c>
      <c r="FC537" s="1" t="s">
        <v>238</v>
      </c>
      <c r="FF537" s="1" t="s">
        <v>239</v>
      </c>
      <c r="FG537" s="1" t="s">
        <v>192</v>
      </c>
      <c r="FH537" s="1" t="s">
        <v>192</v>
      </c>
      <c r="FJ537" s="1" t="s">
        <v>7011</v>
      </c>
      <c r="FK537" s="1" t="s">
        <v>229</v>
      </c>
      <c r="FL537" s="1" t="s">
        <v>1997</v>
      </c>
      <c r="FM537" s="1">
        <v>85367.0</v>
      </c>
      <c r="FN537" s="1" t="s">
        <v>1998</v>
      </c>
      <c r="FO537" s="1" t="s">
        <v>7012</v>
      </c>
      <c r="FP537" s="1">
        <v>103732.0</v>
      </c>
      <c r="FQ537" s="1" t="s">
        <v>7013</v>
      </c>
      <c r="FU537" s="1" t="s">
        <v>7014</v>
      </c>
      <c r="FV537" s="1" t="s">
        <v>200</v>
      </c>
      <c r="FW537" s="1" t="s">
        <v>4959</v>
      </c>
      <c r="FX537" s="1" t="s">
        <v>655</v>
      </c>
      <c r="FZ537" s="1" t="s">
        <v>229</v>
      </c>
      <c r="GA537" s="1" t="s">
        <v>291</v>
      </c>
      <c r="GB537" s="2">
        <v>42011.0</v>
      </c>
      <c r="GC537" s="1" t="s">
        <v>7015</v>
      </c>
    </row>
    <row r="538">
      <c r="A538" s="1">
        <v>587000.0</v>
      </c>
      <c r="B538" s="1" t="s">
        <v>185</v>
      </c>
      <c r="C538" s="1" t="str">
        <f>"08801880"</f>
        <v>08801880</v>
      </c>
      <c r="D538" s="1" t="s">
        <v>186</v>
      </c>
      <c r="F538" s="1" t="str">
        <f>"8004"</f>
        <v>8004</v>
      </c>
      <c r="G538" s="2">
        <v>41987.0</v>
      </c>
      <c r="H538" s="1">
        <v>650000.0</v>
      </c>
      <c r="I538" s="1">
        <v>97.0</v>
      </c>
      <c r="J538" s="1">
        <v>599000.0</v>
      </c>
      <c r="K538" s="2">
        <v>42083.0</v>
      </c>
      <c r="L538" s="1">
        <v>97.0</v>
      </c>
      <c r="M538" s="2">
        <v>42083.0</v>
      </c>
      <c r="N538" s="1" t="s">
        <v>187</v>
      </c>
      <c r="O538" s="2">
        <v>42138.0</v>
      </c>
      <c r="P538" s="1">
        <v>112446.0</v>
      </c>
      <c r="Q538" s="1">
        <v>10273.0</v>
      </c>
      <c r="S538" s="1">
        <v>2969.0</v>
      </c>
      <c r="T538" s="1" t="s">
        <v>7016</v>
      </c>
      <c r="U538" s="1" t="s">
        <v>189</v>
      </c>
      <c r="V538" s="1" t="s">
        <v>190</v>
      </c>
      <c r="W538" s="1">
        <v>60625.0</v>
      </c>
      <c r="Y538" s="1" t="s">
        <v>7017</v>
      </c>
      <c r="Z538" s="1">
        <v>1948.0</v>
      </c>
      <c r="AA538" s="1" t="s">
        <v>192</v>
      </c>
      <c r="AB538" s="1" t="s">
        <v>193</v>
      </c>
      <c r="AC538" s="1" t="s">
        <v>7018</v>
      </c>
      <c r="AD538" s="1" t="s">
        <v>194</v>
      </c>
      <c r="AE538" s="1" t="s">
        <v>195</v>
      </c>
      <c r="AF538" s="1" t="s">
        <v>196</v>
      </c>
      <c r="AH538" s="1" t="s">
        <v>7019</v>
      </c>
      <c r="AK538" s="1">
        <v>10.0</v>
      </c>
      <c r="AL538" s="1">
        <v>4.0</v>
      </c>
      <c r="AM538" s="1">
        <v>2.0</v>
      </c>
      <c r="AN538" s="1">
        <v>2.0</v>
      </c>
      <c r="AO538" s="1" t="s">
        <v>229</v>
      </c>
      <c r="AP538" s="1">
        <v>2.0</v>
      </c>
      <c r="AQ538" s="1" t="s">
        <v>198</v>
      </c>
      <c r="AR538" s="1" t="s">
        <v>192</v>
      </c>
      <c r="AS538" s="1" t="s">
        <v>199</v>
      </c>
      <c r="AT538" s="1">
        <v>2.0</v>
      </c>
      <c r="AV538" s="1" t="s">
        <v>200</v>
      </c>
      <c r="AW538" s="1">
        <v>7808.84</v>
      </c>
      <c r="AX538" s="1">
        <v>2013.0</v>
      </c>
      <c r="AY538" s="1" t="s">
        <v>1179</v>
      </c>
      <c r="AZ538" s="1" t="s">
        <v>200</v>
      </c>
      <c r="BA538" s="1" t="str">
        <f>"13121080010000"</f>
        <v>13121080010000</v>
      </c>
      <c r="BB538" s="1" t="s">
        <v>200</v>
      </c>
      <c r="BC538" s="1">
        <v>0.0</v>
      </c>
      <c r="BD538" s="1">
        <v>587000.0</v>
      </c>
      <c r="BE538" s="2">
        <v>41987.0</v>
      </c>
      <c r="BF538" s="2" t="s">
        <v>7020</v>
      </c>
      <c r="BH538" s="1">
        <v>0.0</v>
      </c>
      <c r="BK538" s="1" t="s">
        <v>204</v>
      </c>
      <c r="BL538" s="1" t="str">
        <f>"5500"</f>
        <v>5500</v>
      </c>
      <c r="BM538" s="1" t="str">
        <f t="shared" si="364"/>
        <v>0</v>
      </c>
      <c r="BN538" s="1">
        <v>2969.0</v>
      </c>
      <c r="BO538" s="1">
        <v>0.0</v>
      </c>
      <c r="BQ538" s="1">
        <v>299.0</v>
      </c>
      <c r="BR538" s="1">
        <v>299.0</v>
      </c>
      <c r="BS538" s="1">
        <v>299.0</v>
      </c>
      <c r="BU538" s="1" t="s">
        <v>4353</v>
      </c>
      <c r="BV538" s="1" t="s">
        <v>206</v>
      </c>
      <c r="BW538" s="1" t="s">
        <v>207</v>
      </c>
      <c r="BX538" s="1" t="s">
        <v>229</v>
      </c>
      <c r="BY538" s="1" t="s">
        <v>434</v>
      </c>
      <c r="BZ538" s="1" t="s">
        <v>209</v>
      </c>
      <c r="CA538" s="1" t="s">
        <v>207</v>
      </c>
      <c r="CB538" s="1" t="s">
        <v>229</v>
      </c>
      <c r="CC538" s="1" t="s">
        <v>214</v>
      </c>
      <c r="CD538" s="1" t="s">
        <v>206</v>
      </c>
      <c r="CE538" s="1" t="s">
        <v>207</v>
      </c>
      <c r="CF538" s="1" t="s">
        <v>229</v>
      </c>
      <c r="CG538" s="1" t="s">
        <v>262</v>
      </c>
      <c r="CH538" s="1" t="s">
        <v>209</v>
      </c>
      <c r="CI538" s="1" t="s">
        <v>207</v>
      </c>
      <c r="CJ538" s="1" t="s">
        <v>229</v>
      </c>
      <c r="CK538" s="1" t="s">
        <v>647</v>
      </c>
      <c r="CL538" s="1" t="s">
        <v>209</v>
      </c>
      <c r="CM538" s="1" t="s">
        <v>207</v>
      </c>
      <c r="CN538" s="1" t="s">
        <v>229</v>
      </c>
      <c r="CO538" s="1" t="s">
        <v>331</v>
      </c>
      <c r="CP538" s="1" t="s">
        <v>209</v>
      </c>
      <c r="CQ538" s="1" t="s">
        <v>207</v>
      </c>
      <c r="CR538" s="1" t="s">
        <v>229</v>
      </c>
      <c r="CS538" s="1" t="s">
        <v>331</v>
      </c>
      <c r="CT538" s="1" t="s">
        <v>206</v>
      </c>
      <c r="CU538" s="1" t="s">
        <v>207</v>
      </c>
      <c r="CW538" s="1" t="s">
        <v>925</v>
      </c>
      <c r="CX538" s="1" t="s">
        <v>206</v>
      </c>
      <c r="CY538" s="1" t="s">
        <v>207</v>
      </c>
      <c r="DA538" s="1" t="s">
        <v>200</v>
      </c>
      <c r="DC538" s="1" t="s">
        <v>702</v>
      </c>
      <c r="DD538" s="1" t="s">
        <v>518</v>
      </c>
      <c r="DE538" s="1" t="s">
        <v>273</v>
      </c>
      <c r="DF538" s="1" t="s">
        <v>619</v>
      </c>
      <c r="DH538" s="1" t="s">
        <v>365</v>
      </c>
      <c r="DI538" s="1" t="s">
        <v>703</v>
      </c>
      <c r="DJ538" s="1" t="s">
        <v>1379</v>
      </c>
      <c r="DL538" s="1" t="s">
        <v>858</v>
      </c>
      <c r="DM538" s="1" t="s">
        <v>229</v>
      </c>
      <c r="DO538" s="1" t="s">
        <v>1004</v>
      </c>
      <c r="DP538" s="1" t="s">
        <v>340</v>
      </c>
      <c r="DQ538" s="1" t="s">
        <v>228</v>
      </c>
      <c r="DR538" s="1" t="s">
        <v>229</v>
      </c>
      <c r="DS538" s="1" t="s">
        <v>5569</v>
      </c>
      <c r="DV538" s="1" t="s">
        <v>7021</v>
      </c>
      <c r="DW538" s="1" t="s">
        <v>279</v>
      </c>
      <c r="DX538" s="1" t="s">
        <v>234</v>
      </c>
      <c r="DZ538" s="1" t="s">
        <v>7022</v>
      </c>
      <c r="EA538" s="1" t="s">
        <v>447</v>
      </c>
      <c r="EB538" s="1" t="s">
        <v>345</v>
      </c>
      <c r="EC538" s="1" t="s">
        <v>237</v>
      </c>
      <c r="EG538" s="1" t="s">
        <v>556</v>
      </c>
      <c r="EH538" s="1" t="s">
        <v>450</v>
      </c>
      <c r="EI538" s="1" t="s">
        <v>408</v>
      </c>
      <c r="EJ538" s="1" t="s">
        <v>1103</v>
      </c>
      <c r="EK538" s="1" t="s">
        <v>588</v>
      </c>
      <c r="EL538" s="1" t="s">
        <v>263</v>
      </c>
      <c r="EM538" s="1" t="s">
        <v>206</v>
      </c>
      <c r="EN538" s="1" t="s">
        <v>207</v>
      </c>
      <c r="EO538" s="1" t="s">
        <v>229</v>
      </c>
      <c r="EP538" s="1" t="s">
        <v>1716</v>
      </c>
      <c r="EQ538" s="1" t="s">
        <v>42</v>
      </c>
      <c r="ES538" s="1" t="s">
        <v>229</v>
      </c>
      <c r="ET538" s="1" t="s">
        <v>516</v>
      </c>
      <c r="EU538" s="1" t="s">
        <v>206</v>
      </c>
      <c r="EV538" s="1" t="s">
        <v>207</v>
      </c>
      <c r="EW538" s="1" t="s">
        <v>229</v>
      </c>
      <c r="EX538" s="1" t="s">
        <v>7023</v>
      </c>
      <c r="EY538" s="1" t="s">
        <v>42</v>
      </c>
      <c r="FA538" s="1" t="s">
        <v>229</v>
      </c>
      <c r="FB538" s="1" t="s">
        <v>798</v>
      </c>
      <c r="FC538" s="1" t="s">
        <v>42</v>
      </c>
      <c r="FE538" s="1" t="s">
        <v>229</v>
      </c>
      <c r="FF538" s="1" t="s">
        <v>239</v>
      </c>
      <c r="FG538" s="1" t="s">
        <v>192</v>
      </c>
      <c r="FH538" s="1" t="s">
        <v>192</v>
      </c>
      <c r="FJ538" s="1" t="s">
        <v>7024</v>
      </c>
      <c r="FK538" s="1" t="s">
        <v>229</v>
      </c>
      <c r="FL538" s="1" t="s">
        <v>3156</v>
      </c>
      <c r="FM538" s="1">
        <v>84729.0</v>
      </c>
      <c r="FN538" s="1" t="s">
        <v>3157</v>
      </c>
      <c r="FO538" s="1" t="s">
        <v>4104</v>
      </c>
      <c r="FP538" s="1">
        <v>106635.0</v>
      </c>
      <c r="FQ538" s="1" t="s">
        <v>4105</v>
      </c>
      <c r="FR538" s="1">
        <v>115952.0</v>
      </c>
      <c r="FU538" s="1" t="s">
        <v>7025</v>
      </c>
      <c r="FV538" s="1" t="s">
        <v>200</v>
      </c>
      <c r="FW538" s="1" t="s">
        <v>530</v>
      </c>
      <c r="FX538" s="1" t="s">
        <v>246</v>
      </c>
      <c r="FZ538" s="1" t="s">
        <v>229</v>
      </c>
      <c r="GA538" s="1" t="s">
        <v>291</v>
      </c>
      <c r="GB538" s="2">
        <v>42145.0</v>
      </c>
      <c r="GC538" s="1" t="s">
        <v>7026</v>
      </c>
    </row>
    <row r="539">
      <c r="A539" s="1">
        <v>325000.0</v>
      </c>
      <c r="B539" s="1" t="s">
        <v>185</v>
      </c>
      <c r="C539" s="1" t="str">
        <f>"08803172"</f>
        <v>08803172</v>
      </c>
      <c r="D539" s="1" t="s">
        <v>186</v>
      </c>
      <c r="F539" s="1" t="str">
        <f>"123"</f>
        <v>123</v>
      </c>
      <c r="G539" s="2">
        <v>41989.0</v>
      </c>
      <c r="H539" s="1">
        <v>349000.0</v>
      </c>
      <c r="I539" s="1">
        <v>105.0</v>
      </c>
      <c r="J539" s="1">
        <v>329000.0</v>
      </c>
      <c r="K539" s="2">
        <v>42092.0</v>
      </c>
      <c r="L539" s="1">
        <v>105.0</v>
      </c>
      <c r="M539" s="2">
        <v>42092.0</v>
      </c>
      <c r="N539" s="1" t="s">
        <v>187</v>
      </c>
      <c r="O539" s="2">
        <v>42138.0</v>
      </c>
      <c r="P539" s="1">
        <v>77439.0</v>
      </c>
      <c r="Q539" s="1">
        <v>7661.0</v>
      </c>
      <c r="S539" s="1">
        <v>345.0</v>
      </c>
      <c r="T539" s="1" t="s">
        <v>468</v>
      </c>
      <c r="U539" s="1" t="s">
        <v>569</v>
      </c>
      <c r="V539" s="1" t="s">
        <v>465</v>
      </c>
      <c r="W539" s="1">
        <v>60124.0</v>
      </c>
      <c r="Y539" s="1" t="s">
        <v>7027</v>
      </c>
      <c r="Z539" s="1">
        <v>2006.0</v>
      </c>
      <c r="AA539" s="1" t="s">
        <v>200</v>
      </c>
      <c r="AB539" s="1" t="s">
        <v>193</v>
      </c>
      <c r="AC539" s="1" t="s">
        <v>468</v>
      </c>
      <c r="AD539" s="1" t="s">
        <v>469</v>
      </c>
      <c r="AE539" s="1" t="s">
        <v>325</v>
      </c>
      <c r="AF539" s="1" t="s">
        <v>572</v>
      </c>
      <c r="AG539" s="1" t="s">
        <v>425</v>
      </c>
      <c r="AH539" s="1" t="s">
        <v>7028</v>
      </c>
      <c r="AK539" s="1">
        <v>14.0</v>
      </c>
      <c r="AL539" s="1">
        <v>4.0</v>
      </c>
      <c r="AM539" s="1">
        <v>2.0</v>
      </c>
      <c r="AN539" s="1">
        <v>1.0</v>
      </c>
      <c r="AO539" s="1" t="s">
        <v>198</v>
      </c>
      <c r="AP539" s="1">
        <v>1.0</v>
      </c>
      <c r="AQ539" s="1" t="s">
        <v>198</v>
      </c>
      <c r="AR539" s="1" t="s">
        <v>200</v>
      </c>
      <c r="AS539" s="1" t="s">
        <v>199</v>
      </c>
      <c r="AT539" s="1">
        <v>2.5</v>
      </c>
      <c r="AV539" s="1" t="s">
        <v>200</v>
      </c>
      <c r="AW539" s="1">
        <v>8635.72</v>
      </c>
      <c r="AX539" s="1">
        <v>2013.0</v>
      </c>
      <c r="AY539" s="1" t="s">
        <v>387</v>
      </c>
      <c r="AZ539" s="1" t="s">
        <v>200</v>
      </c>
      <c r="BA539" s="1" t="str">
        <f>"0524480005"</f>
        <v>0524480005</v>
      </c>
      <c r="BC539" s="1">
        <v>2653.0</v>
      </c>
      <c r="BD539" s="1">
        <v>325000.0</v>
      </c>
      <c r="BE539" s="2">
        <v>41988.0</v>
      </c>
      <c r="BF539" s="2" t="s">
        <v>7029</v>
      </c>
      <c r="BH539" s="1">
        <v>35.0</v>
      </c>
      <c r="BK539" s="1" t="s">
        <v>474</v>
      </c>
      <c r="BL539" s="1" t="str">
        <f t="shared" ref="BL539:BM539" si="365">""</f>
        <v/>
      </c>
      <c r="BM539" s="1" t="str">
        <f t="shared" si="365"/>
        <v/>
      </c>
      <c r="BQ539" s="1">
        <v>301.0</v>
      </c>
      <c r="BR539" s="1">
        <v>301.0</v>
      </c>
      <c r="BS539" s="1">
        <v>301.0</v>
      </c>
      <c r="BU539" s="1" t="s">
        <v>269</v>
      </c>
      <c r="BV539" s="1" t="s">
        <v>206</v>
      </c>
      <c r="BW539" s="1" t="s">
        <v>210</v>
      </c>
      <c r="BX539" s="1" t="s">
        <v>431</v>
      </c>
      <c r="BY539" s="1" t="s">
        <v>214</v>
      </c>
      <c r="BZ539" s="1" t="s">
        <v>209</v>
      </c>
      <c r="CA539" s="1" t="s">
        <v>210</v>
      </c>
      <c r="CB539" s="1" t="s">
        <v>431</v>
      </c>
      <c r="CC539" s="1" t="s">
        <v>269</v>
      </c>
      <c r="CD539" s="1" t="s">
        <v>206</v>
      </c>
      <c r="CE539" s="1" t="s">
        <v>210</v>
      </c>
      <c r="CF539" s="1" t="s">
        <v>431</v>
      </c>
      <c r="CG539" s="1" t="s">
        <v>264</v>
      </c>
      <c r="CH539" s="1" t="s">
        <v>209</v>
      </c>
      <c r="CI539" s="1" t="s">
        <v>210</v>
      </c>
      <c r="CJ539" s="1" t="s">
        <v>431</v>
      </c>
      <c r="CK539" s="1" t="s">
        <v>392</v>
      </c>
      <c r="CL539" s="1" t="s">
        <v>209</v>
      </c>
      <c r="CM539" s="1" t="s">
        <v>210</v>
      </c>
      <c r="CN539" s="1" t="s">
        <v>431</v>
      </c>
      <c r="CO539" s="1" t="s">
        <v>269</v>
      </c>
      <c r="CP539" s="1" t="s">
        <v>206</v>
      </c>
      <c r="CQ539" s="1" t="s">
        <v>210</v>
      </c>
      <c r="CR539" s="1" t="s">
        <v>431</v>
      </c>
      <c r="CS539" s="1" t="s">
        <v>729</v>
      </c>
      <c r="CT539" s="1" t="s">
        <v>206</v>
      </c>
      <c r="CU539" s="1" t="s">
        <v>207</v>
      </c>
      <c r="CV539" s="1" t="s">
        <v>229</v>
      </c>
      <c r="CW539" s="1" t="s">
        <v>214</v>
      </c>
      <c r="CX539" s="1" t="s">
        <v>206</v>
      </c>
      <c r="CY539" s="1" t="s">
        <v>210</v>
      </c>
      <c r="CZ539" s="1" t="s">
        <v>431</v>
      </c>
      <c r="DA539" s="1" t="s">
        <v>200</v>
      </c>
      <c r="DC539" s="1" t="s">
        <v>481</v>
      </c>
      <c r="DD539" s="1" t="s">
        <v>518</v>
      </c>
      <c r="DE539" s="1" t="s">
        <v>273</v>
      </c>
      <c r="DF539" s="1" t="s">
        <v>619</v>
      </c>
      <c r="DG539" s="1" t="s">
        <v>482</v>
      </c>
      <c r="DH539" s="1" t="s">
        <v>220</v>
      </c>
      <c r="DI539" s="1" t="s">
        <v>221</v>
      </c>
      <c r="DJ539" s="1" t="s">
        <v>222</v>
      </c>
      <c r="DK539" s="1" t="s">
        <v>223</v>
      </c>
      <c r="DL539" s="1" t="s">
        <v>224</v>
      </c>
      <c r="DM539" s="1" t="s">
        <v>338</v>
      </c>
      <c r="DN539" s="1" t="s">
        <v>1023</v>
      </c>
      <c r="DO539" s="1" t="s">
        <v>6435</v>
      </c>
      <c r="DP539" s="1" t="s">
        <v>276</v>
      </c>
      <c r="DQ539" s="1" t="s">
        <v>441</v>
      </c>
      <c r="DR539" s="1" t="s">
        <v>1487</v>
      </c>
      <c r="DS539" s="1" t="s">
        <v>230</v>
      </c>
      <c r="DU539" s="1" t="s">
        <v>7030</v>
      </c>
      <c r="DV539" s="1" t="s">
        <v>7031</v>
      </c>
      <c r="DW539" s="1" t="s">
        <v>588</v>
      </c>
      <c r="DX539" s="1" t="s">
        <v>234</v>
      </c>
      <c r="DY539" s="1" t="s">
        <v>490</v>
      </c>
      <c r="DZ539" s="1" t="s">
        <v>7032</v>
      </c>
      <c r="EA539" s="1" t="s">
        <v>344</v>
      </c>
      <c r="EB539" s="1" t="s">
        <v>2915</v>
      </c>
      <c r="EC539" s="1" t="s">
        <v>237</v>
      </c>
      <c r="ED539" s="1" t="s">
        <v>407</v>
      </c>
      <c r="EG539" s="1" t="s">
        <v>556</v>
      </c>
      <c r="EH539" s="1" t="s">
        <v>494</v>
      </c>
      <c r="EI539" s="1" t="s">
        <v>341</v>
      </c>
      <c r="EJ539" s="1" t="s">
        <v>450</v>
      </c>
      <c r="EK539" s="1" t="s">
        <v>1824</v>
      </c>
      <c r="EL539" s="1" t="s">
        <v>2224</v>
      </c>
      <c r="EM539" s="1" t="s">
        <v>206</v>
      </c>
      <c r="EN539" s="1" t="s">
        <v>207</v>
      </c>
      <c r="EO539" s="1" t="s">
        <v>1549</v>
      </c>
      <c r="EP539" s="1" t="s">
        <v>269</v>
      </c>
      <c r="EQ539" s="1" t="s">
        <v>206</v>
      </c>
      <c r="ER539" s="1" t="s">
        <v>210</v>
      </c>
      <c r="ES539" s="1" t="s">
        <v>431</v>
      </c>
      <c r="ET539" s="1" t="s">
        <v>433</v>
      </c>
      <c r="EU539" s="1" t="s">
        <v>209</v>
      </c>
      <c r="EV539" s="1" t="s">
        <v>210</v>
      </c>
      <c r="EW539" s="1" t="s">
        <v>431</v>
      </c>
      <c r="EX539" s="1" t="s">
        <v>6425</v>
      </c>
      <c r="EY539" s="1" t="s">
        <v>42</v>
      </c>
      <c r="EZ539" s="1" t="s">
        <v>210</v>
      </c>
      <c r="FA539" s="1" t="s">
        <v>229</v>
      </c>
      <c r="FB539" s="1" t="s">
        <v>1426</v>
      </c>
      <c r="FC539" s="1" t="s">
        <v>42</v>
      </c>
      <c r="FD539" s="1" t="s">
        <v>210</v>
      </c>
      <c r="FE539" s="1" t="s">
        <v>229</v>
      </c>
      <c r="FF539" s="1" t="s">
        <v>239</v>
      </c>
      <c r="FG539" s="1" t="s">
        <v>192</v>
      </c>
      <c r="FH539" s="1" t="s">
        <v>192</v>
      </c>
      <c r="FJ539" s="1" t="s">
        <v>2552</v>
      </c>
      <c r="FK539" s="1" t="s">
        <v>229</v>
      </c>
      <c r="FL539" s="1" t="s">
        <v>7033</v>
      </c>
      <c r="FM539" s="1">
        <v>226.0</v>
      </c>
      <c r="FN539" s="1" t="s">
        <v>7034</v>
      </c>
      <c r="FO539" s="1" t="s">
        <v>7035</v>
      </c>
      <c r="FP539" s="1">
        <v>8172.0</v>
      </c>
      <c r="FQ539" s="1" t="s">
        <v>7036</v>
      </c>
      <c r="FU539" s="1" t="s">
        <v>7037</v>
      </c>
      <c r="FV539" s="1" t="s">
        <v>192</v>
      </c>
      <c r="FW539" s="1" t="s">
        <v>290</v>
      </c>
      <c r="FZ539" s="1" t="s">
        <v>229</v>
      </c>
      <c r="GA539" s="1" t="s">
        <v>291</v>
      </c>
      <c r="GB539" s="2">
        <v>42140.0</v>
      </c>
      <c r="GC539" s="1" t="s">
        <v>7038</v>
      </c>
    </row>
    <row r="540">
      <c r="A540" s="1">
        <v>305000.0</v>
      </c>
      <c r="B540" s="1" t="s">
        <v>185</v>
      </c>
      <c r="C540" s="1" t="str">
        <f>"08802275"</f>
        <v>08802275</v>
      </c>
      <c r="D540" s="1" t="s">
        <v>186</v>
      </c>
      <c r="F540" s="1" t="str">
        <f>"8017"</f>
        <v>8017</v>
      </c>
      <c r="G540" s="2">
        <v>41988.0</v>
      </c>
      <c r="H540" s="1">
        <v>314900.0</v>
      </c>
      <c r="I540" s="1">
        <v>19.0</v>
      </c>
      <c r="J540" s="1">
        <v>314900.0</v>
      </c>
      <c r="K540" s="2">
        <v>42006.0</v>
      </c>
      <c r="L540" s="1">
        <v>19.0</v>
      </c>
      <c r="M540" s="2">
        <v>42006.0</v>
      </c>
      <c r="N540" s="1" t="s">
        <v>187</v>
      </c>
      <c r="O540" s="2">
        <v>42039.0</v>
      </c>
      <c r="P540" s="1">
        <v>242592.0</v>
      </c>
      <c r="Q540" s="1">
        <v>23959.0</v>
      </c>
      <c r="S540" s="1">
        <v>3640.0</v>
      </c>
      <c r="T540" s="1" t="s">
        <v>7039</v>
      </c>
      <c r="U540" s="1" t="s">
        <v>189</v>
      </c>
      <c r="V540" s="1" t="s">
        <v>190</v>
      </c>
      <c r="W540" s="1">
        <v>60634.0</v>
      </c>
      <c r="X540" s="1">
        <v>3325.0</v>
      </c>
      <c r="Y540" s="1" t="s">
        <v>7040</v>
      </c>
      <c r="Z540" s="1" t="s">
        <v>296</v>
      </c>
      <c r="AA540" s="1" t="s">
        <v>192</v>
      </c>
      <c r="AB540" s="1" t="s">
        <v>193</v>
      </c>
      <c r="AD540" s="1" t="s">
        <v>194</v>
      </c>
      <c r="AE540" s="1" t="s">
        <v>195</v>
      </c>
      <c r="AF540" s="1" t="s">
        <v>196</v>
      </c>
      <c r="AG540" s="1" t="s">
        <v>778</v>
      </c>
      <c r="AH540" s="1" t="s">
        <v>779</v>
      </c>
      <c r="AI540" s="1">
        <v>0.0861</v>
      </c>
      <c r="AK540" s="1">
        <v>8.0</v>
      </c>
      <c r="AL540" s="1">
        <v>3.0</v>
      </c>
      <c r="AM540" s="1">
        <v>3.0</v>
      </c>
      <c r="AN540" s="1">
        <v>0.0</v>
      </c>
      <c r="AO540" s="1" t="s">
        <v>198</v>
      </c>
      <c r="AP540" s="1">
        <v>0.0</v>
      </c>
      <c r="AQ540" s="1" t="s">
        <v>198</v>
      </c>
      <c r="AR540" s="1" t="s">
        <v>192</v>
      </c>
      <c r="AS540" s="1" t="s">
        <v>199</v>
      </c>
      <c r="AT540" s="1">
        <v>2.0</v>
      </c>
      <c r="AV540" s="1" t="s">
        <v>200</v>
      </c>
      <c r="AW540" s="1">
        <v>4303.75</v>
      </c>
      <c r="AX540" s="1">
        <v>2013.0</v>
      </c>
      <c r="AZ540" s="1" t="s">
        <v>200</v>
      </c>
      <c r="BA540" s="1" t="str">
        <f>"12242270140000"</f>
        <v>12242270140000</v>
      </c>
      <c r="BB540" s="1" t="s">
        <v>200</v>
      </c>
      <c r="BC540" s="1">
        <v>2000.0</v>
      </c>
      <c r="BD540" s="1">
        <v>305000.0</v>
      </c>
      <c r="BE540" s="2">
        <v>41988.0</v>
      </c>
      <c r="BF540" s="2" t="s">
        <v>7041</v>
      </c>
      <c r="BH540" s="1">
        <v>0.0</v>
      </c>
      <c r="BK540" s="1" t="s">
        <v>204</v>
      </c>
      <c r="BL540" s="1" t="str">
        <f>"3640"</f>
        <v>3640</v>
      </c>
      <c r="BM540" s="1" t="str">
        <f>"0"</f>
        <v>0</v>
      </c>
      <c r="BN540" s="1">
        <v>7400.0</v>
      </c>
      <c r="BO540" s="1">
        <v>0.0</v>
      </c>
      <c r="BQ540" s="1">
        <v>299.0</v>
      </c>
      <c r="BR540" s="1">
        <v>299.0</v>
      </c>
      <c r="BS540" s="1">
        <v>299.0</v>
      </c>
      <c r="BU540" s="1" t="s">
        <v>925</v>
      </c>
      <c r="BV540" s="1" t="s">
        <v>206</v>
      </c>
      <c r="BW540" s="1" t="s">
        <v>207</v>
      </c>
      <c r="BY540" s="1" t="s">
        <v>969</v>
      </c>
      <c r="BZ540" s="1" t="s">
        <v>206</v>
      </c>
      <c r="CA540" s="1" t="s">
        <v>207</v>
      </c>
      <c r="CC540" s="1" t="s">
        <v>542</v>
      </c>
      <c r="CD540" s="1" t="s">
        <v>206</v>
      </c>
      <c r="CE540" s="1" t="s">
        <v>207</v>
      </c>
      <c r="CG540" s="1" t="s">
        <v>497</v>
      </c>
      <c r="CH540" s="1" t="s">
        <v>206</v>
      </c>
      <c r="CI540" s="1" t="s">
        <v>207</v>
      </c>
      <c r="CK540" s="1" t="s">
        <v>215</v>
      </c>
      <c r="CL540" s="1" t="s">
        <v>206</v>
      </c>
      <c r="CM540" s="1" t="s">
        <v>207</v>
      </c>
      <c r="CO540" s="1" t="s">
        <v>453</v>
      </c>
      <c r="CP540" s="1" t="s">
        <v>42</v>
      </c>
      <c r="CQ540" s="1" t="s">
        <v>268</v>
      </c>
      <c r="CS540" s="1" t="s">
        <v>2224</v>
      </c>
      <c r="CT540" s="1" t="s">
        <v>206</v>
      </c>
      <c r="CU540" s="1" t="s">
        <v>207</v>
      </c>
      <c r="CW540" s="1" t="s">
        <v>730</v>
      </c>
      <c r="CX540" s="1" t="s">
        <v>206</v>
      </c>
      <c r="CY540" s="1" t="s">
        <v>207</v>
      </c>
      <c r="DA540" s="1" t="s">
        <v>200</v>
      </c>
      <c r="DC540" s="1" t="s">
        <v>545</v>
      </c>
      <c r="DD540" s="1" t="s">
        <v>957</v>
      </c>
      <c r="DE540" s="1" t="s">
        <v>273</v>
      </c>
      <c r="DF540" s="1" t="s">
        <v>3258</v>
      </c>
      <c r="DG540" s="1" t="s">
        <v>337</v>
      </c>
      <c r="DH540" s="1" t="s">
        <v>365</v>
      </c>
      <c r="DI540" s="1" t="s">
        <v>7042</v>
      </c>
      <c r="DJ540" s="1" t="s">
        <v>222</v>
      </c>
      <c r="DL540" s="1" t="s">
        <v>858</v>
      </c>
      <c r="DM540" s="1" t="s">
        <v>338</v>
      </c>
      <c r="DO540" s="1" t="s">
        <v>549</v>
      </c>
      <c r="DP540" s="1" t="s">
        <v>276</v>
      </c>
      <c r="DQ540" s="1" t="s">
        <v>228</v>
      </c>
      <c r="DR540" s="1" t="s">
        <v>229</v>
      </c>
      <c r="DS540" s="1" t="s">
        <v>401</v>
      </c>
      <c r="DU540" s="1" t="s">
        <v>2070</v>
      </c>
      <c r="DV540" s="1" t="s">
        <v>232</v>
      </c>
      <c r="DW540" s="1" t="s">
        <v>667</v>
      </c>
      <c r="DX540" s="1" t="s">
        <v>234</v>
      </c>
      <c r="DY540" s="1" t="s">
        <v>553</v>
      </c>
      <c r="EA540" s="1" t="s">
        <v>644</v>
      </c>
      <c r="EC540" s="1" t="s">
        <v>645</v>
      </c>
      <c r="ED540" s="1" t="s">
        <v>1794</v>
      </c>
      <c r="EM540" s="1" t="s">
        <v>238</v>
      </c>
      <c r="EQ540" s="1" t="s">
        <v>238</v>
      </c>
      <c r="EU540" s="1" t="s">
        <v>238</v>
      </c>
      <c r="EY540" s="1" t="s">
        <v>238</v>
      </c>
      <c r="FC540" s="1" t="s">
        <v>238</v>
      </c>
      <c r="FF540" s="1" t="s">
        <v>239</v>
      </c>
      <c r="FG540" s="1" t="s">
        <v>192</v>
      </c>
      <c r="FH540" s="1" t="s">
        <v>192</v>
      </c>
      <c r="FJ540" s="1" t="s">
        <v>4892</v>
      </c>
      <c r="FK540" s="1" t="s">
        <v>229</v>
      </c>
      <c r="FL540" s="1" t="s">
        <v>4433</v>
      </c>
      <c r="FM540" s="1">
        <v>18235.0</v>
      </c>
      <c r="FN540" s="1" t="s">
        <v>4434</v>
      </c>
      <c r="FO540" s="1" t="s">
        <v>7043</v>
      </c>
      <c r="FP540" s="1">
        <v>109767.0</v>
      </c>
      <c r="FQ540" s="1" t="s">
        <v>7044</v>
      </c>
      <c r="FR540" s="1">
        <v>875719.0</v>
      </c>
      <c r="FU540" s="1" t="s">
        <v>7045</v>
      </c>
      <c r="FV540" s="1" t="s">
        <v>200</v>
      </c>
      <c r="FW540" s="1" t="s">
        <v>290</v>
      </c>
      <c r="FX540" s="1" t="s">
        <v>238</v>
      </c>
      <c r="FZ540" s="1" t="s">
        <v>229</v>
      </c>
      <c r="GA540" s="1" t="s">
        <v>291</v>
      </c>
      <c r="GB540" s="2">
        <v>42039.0</v>
      </c>
      <c r="GC540" s="1" t="s">
        <v>7045</v>
      </c>
    </row>
    <row r="541">
      <c r="A541" s="1">
        <v>174000.0</v>
      </c>
      <c r="B541" s="1" t="s">
        <v>185</v>
      </c>
      <c r="C541" s="1" t="str">
        <f>"08797740"</f>
        <v>08797740</v>
      </c>
      <c r="D541" s="1" t="s">
        <v>186</v>
      </c>
      <c r="F541" s="1" t="str">
        <f>"8046"</f>
        <v>8046</v>
      </c>
      <c r="G541" s="2">
        <v>41978.0</v>
      </c>
      <c r="H541" s="1">
        <v>179900.0</v>
      </c>
      <c r="I541" s="1">
        <v>182.0</v>
      </c>
      <c r="J541" s="1">
        <v>179900.0</v>
      </c>
      <c r="K541" s="2">
        <v>42080.0</v>
      </c>
      <c r="L541" s="1">
        <v>103.0</v>
      </c>
      <c r="M541" s="2">
        <v>42080.0</v>
      </c>
      <c r="N541" s="1" t="s">
        <v>356</v>
      </c>
      <c r="O541" s="2">
        <v>42146.0</v>
      </c>
      <c r="P541" s="1">
        <v>237581.0</v>
      </c>
      <c r="Q541" s="1">
        <v>61153.0</v>
      </c>
      <c r="R541" s="1">
        <v>4000.0</v>
      </c>
      <c r="S541" s="1">
        <v>7938.0</v>
      </c>
      <c r="T541" s="1" t="s">
        <v>7046</v>
      </c>
      <c r="U541" s="1" t="s">
        <v>1442</v>
      </c>
      <c r="V541" s="1" t="s">
        <v>190</v>
      </c>
      <c r="W541" s="1">
        <v>60617.0</v>
      </c>
      <c r="X541" s="1">
        <v>1101.0</v>
      </c>
      <c r="Y541" s="1" t="s">
        <v>7047</v>
      </c>
      <c r="Z541" s="1">
        <v>1950.0</v>
      </c>
      <c r="AA541" s="1" t="s">
        <v>192</v>
      </c>
      <c r="AB541" s="1" t="s">
        <v>193</v>
      </c>
      <c r="AC541" s="1" t="s">
        <v>7048</v>
      </c>
      <c r="AD541" s="1" t="s">
        <v>194</v>
      </c>
      <c r="AE541" s="1" t="s">
        <v>195</v>
      </c>
      <c r="AF541" s="1" t="s">
        <v>637</v>
      </c>
      <c r="AG541" s="1" t="s">
        <v>1132</v>
      </c>
      <c r="AH541" s="1" t="s">
        <v>7049</v>
      </c>
      <c r="AI541" s="1">
        <v>0.1282</v>
      </c>
      <c r="AK541" s="1">
        <v>8.0</v>
      </c>
      <c r="AL541" s="1">
        <v>3.0</v>
      </c>
      <c r="AM541" s="1">
        <v>3.0</v>
      </c>
      <c r="AN541" s="1">
        <v>0.0</v>
      </c>
      <c r="AO541" s="1" t="s">
        <v>198</v>
      </c>
      <c r="AP541" s="1">
        <v>1.0</v>
      </c>
      <c r="AQ541" s="1" t="s">
        <v>327</v>
      </c>
      <c r="AR541" s="1" t="s">
        <v>192</v>
      </c>
      <c r="AS541" s="1" t="s">
        <v>510</v>
      </c>
      <c r="AT541" s="1">
        <v>2.0</v>
      </c>
      <c r="AU541" s="1">
        <v>8.0</v>
      </c>
      <c r="AV541" s="1" t="s">
        <v>200</v>
      </c>
      <c r="AW541" s="1">
        <v>2735.0</v>
      </c>
      <c r="AX541" s="1">
        <v>2013.0</v>
      </c>
      <c r="AY541" s="1" t="s">
        <v>229</v>
      </c>
      <c r="AZ541" s="1" t="s">
        <v>200</v>
      </c>
      <c r="BA541" s="1" t="str">
        <f>"20362070350000"</f>
        <v>20362070350000</v>
      </c>
      <c r="BB541" s="1" t="s">
        <v>200</v>
      </c>
      <c r="BC541" s="1">
        <v>1800.0</v>
      </c>
      <c r="BD541" s="1">
        <v>174000.0</v>
      </c>
      <c r="BE541" s="2">
        <v>41978.0</v>
      </c>
      <c r="BF541" s="2" t="s">
        <v>7050</v>
      </c>
      <c r="BH541" s="1">
        <v>0.0</v>
      </c>
      <c r="BK541" s="1" t="s">
        <v>204</v>
      </c>
      <c r="BL541" s="1" t="str">
        <f t="shared" ref="BL541:BL542" si="366">"0"</f>
        <v>0</v>
      </c>
      <c r="BM541" s="1" t="str">
        <f>"2400"</f>
        <v>2400</v>
      </c>
      <c r="BN541" s="1">
        <v>0.0</v>
      </c>
      <c r="BO541" s="1">
        <v>7900.0</v>
      </c>
      <c r="BQ541" s="1">
        <v>299.0</v>
      </c>
      <c r="BR541" s="1">
        <v>299.0</v>
      </c>
      <c r="BS541" s="1">
        <v>299.0</v>
      </c>
      <c r="BU541" s="1" t="s">
        <v>5655</v>
      </c>
      <c r="BV541" s="1" t="s">
        <v>206</v>
      </c>
      <c r="BW541" s="1" t="s">
        <v>207</v>
      </c>
      <c r="BX541" s="1" t="s">
        <v>6917</v>
      </c>
      <c r="BY541" s="1" t="s">
        <v>758</v>
      </c>
      <c r="BZ541" s="1" t="s">
        <v>206</v>
      </c>
      <c r="CA541" s="1" t="s">
        <v>207</v>
      </c>
      <c r="CB541" s="1" t="s">
        <v>431</v>
      </c>
      <c r="CC541" s="1" t="s">
        <v>542</v>
      </c>
      <c r="CD541" s="1" t="s">
        <v>206</v>
      </c>
      <c r="CE541" s="1" t="s">
        <v>207</v>
      </c>
      <c r="CF541" s="1" t="s">
        <v>6917</v>
      </c>
      <c r="CG541" s="1" t="s">
        <v>584</v>
      </c>
      <c r="CH541" s="1" t="s">
        <v>206</v>
      </c>
      <c r="CI541" s="1" t="s">
        <v>207</v>
      </c>
      <c r="CJ541" s="1" t="s">
        <v>431</v>
      </c>
      <c r="CK541" s="1" t="s">
        <v>433</v>
      </c>
      <c r="CL541" s="1" t="s">
        <v>206</v>
      </c>
      <c r="CM541" s="1" t="s">
        <v>207</v>
      </c>
      <c r="CN541" s="1" t="s">
        <v>431</v>
      </c>
      <c r="CO541" s="1" t="s">
        <v>616</v>
      </c>
      <c r="CP541" s="1" t="s">
        <v>42</v>
      </c>
      <c r="CQ541" s="1" t="s">
        <v>268</v>
      </c>
      <c r="CR541" s="1" t="s">
        <v>229</v>
      </c>
      <c r="CS541" s="1" t="s">
        <v>211</v>
      </c>
      <c r="CT541" s="1" t="s">
        <v>206</v>
      </c>
      <c r="CU541" s="1" t="s">
        <v>268</v>
      </c>
      <c r="CV541" s="1" t="s">
        <v>229</v>
      </c>
      <c r="CW541" s="1" t="s">
        <v>1286</v>
      </c>
      <c r="CX541" s="1" t="s">
        <v>42</v>
      </c>
      <c r="CY541" s="1" t="s">
        <v>268</v>
      </c>
      <c r="CZ541" s="1" t="s">
        <v>229</v>
      </c>
      <c r="DA541" s="1" t="s">
        <v>200</v>
      </c>
      <c r="DC541" s="1" t="s">
        <v>702</v>
      </c>
      <c r="DD541" s="1" t="s">
        <v>7051</v>
      </c>
      <c r="DE541" s="1" t="s">
        <v>273</v>
      </c>
      <c r="DF541" s="1" t="s">
        <v>219</v>
      </c>
      <c r="DG541" s="1" t="s">
        <v>482</v>
      </c>
      <c r="DH541" s="1" t="s">
        <v>307</v>
      </c>
      <c r="DI541" s="1" t="s">
        <v>366</v>
      </c>
      <c r="DJ541" s="1" t="s">
        <v>3345</v>
      </c>
      <c r="DK541" s="1" t="s">
        <v>223</v>
      </c>
      <c r="DL541" s="1" t="s">
        <v>224</v>
      </c>
      <c r="DM541" s="1" t="s">
        <v>1464</v>
      </c>
      <c r="DN541" s="1" t="s">
        <v>7052</v>
      </c>
      <c r="DP541" s="1" t="s">
        <v>276</v>
      </c>
      <c r="DQ541" s="1" t="s">
        <v>794</v>
      </c>
      <c r="DR541" s="1" t="s">
        <v>229</v>
      </c>
      <c r="DS541" s="1" t="s">
        <v>401</v>
      </c>
      <c r="DU541" s="1" t="s">
        <v>2959</v>
      </c>
      <c r="DV541" s="1" t="s">
        <v>232</v>
      </c>
      <c r="DW541" s="1" t="s">
        <v>7053</v>
      </c>
      <c r="DX541" s="1" t="s">
        <v>234</v>
      </c>
      <c r="DY541" s="1" t="s">
        <v>7054</v>
      </c>
      <c r="DZ541" s="1" t="s">
        <v>7055</v>
      </c>
      <c r="EA541" s="1" t="s">
        <v>683</v>
      </c>
      <c r="EB541" s="1" t="s">
        <v>372</v>
      </c>
      <c r="EC541" s="1" t="s">
        <v>311</v>
      </c>
      <c r="EE541" s="1" t="s">
        <v>493</v>
      </c>
      <c r="EF541" s="1" t="s">
        <v>7056</v>
      </c>
      <c r="EM541" s="1" t="s">
        <v>238</v>
      </c>
      <c r="EQ541" s="1" t="s">
        <v>238</v>
      </c>
      <c r="EU541" s="1" t="s">
        <v>238</v>
      </c>
      <c r="EY541" s="1" t="s">
        <v>238</v>
      </c>
      <c r="FC541" s="1" t="s">
        <v>238</v>
      </c>
      <c r="FF541" s="1" t="s">
        <v>239</v>
      </c>
      <c r="FG541" s="1" t="s">
        <v>192</v>
      </c>
      <c r="FH541" s="1" t="s">
        <v>192</v>
      </c>
      <c r="FJ541" s="1" t="s">
        <v>524</v>
      </c>
      <c r="FK541" s="1" t="s">
        <v>557</v>
      </c>
      <c r="FL541" s="1" t="s">
        <v>525</v>
      </c>
      <c r="FM541" s="1">
        <v>22029.0</v>
      </c>
      <c r="FN541" s="1" t="s">
        <v>526</v>
      </c>
      <c r="FO541" s="1" t="s">
        <v>7057</v>
      </c>
      <c r="FP541" s="1">
        <v>221800.0</v>
      </c>
      <c r="FQ541" s="1" t="s">
        <v>7058</v>
      </c>
      <c r="FS541" s="1" t="s">
        <v>7059</v>
      </c>
      <c r="FU541" s="1" t="s">
        <v>7060</v>
      </c>
      <c r="FV541" s="1" t="s">
        <v>192</v>
      </c>
      <c r="FW541" s="1" t="s">
        <v>1293</v>
      </c>
      <c r="FX541" s="1" t="s">
        <v>655</v>
      </c>
      <c r="FZ541" s="1" t="s">
        <v>229</v>
      </c>
      <c r="GA541" s="1" t="s">
        <v>291</v>
      </c>
      <c r="GB541" s="2">
        <v>42148.0</v>
      </c>
      <c r="GC541" s="1" t="s">
        <v>7061</v>
      </c>
    </row>
    <row r="542">
      <c r="A542" s="1">
        <v>369500.0</v>
      </c>
      <c r="B542" s="1" t="s">
        <v>185</v>
      </c>
      <c r="C542" s="1" t="str">
        <f>"08801219"</f>
        <v>08801219</v>
      </c>
      <c r="D542" s="1" t="s">
        <v>186</v>
      </c>
      <c r="F542" s="1" t="str">
        <f>"8072"</f>
        <v>8072</v>
      </c>
      <c r="G542" s="2">
        <v>41985.0</v>
      </c>
      <c r="H542" s="1">
        <v>399000.0</v>
      </c>
      <c r="I542" s="1">
        <v>104.0</v>
      </c>
      <c r="J542" s="1">
        <v>399000.0</v>
      </c>
      <c r="K542" s="2">
        <v>41996.0</v>
      </c>
      <c r="L542" s="1">
        <v>12.0</v>
      </c>
      <c r="M542" s="2">
        <v>41996.0</v>
      </c>
      <c r="N542" s="1" t="s">
        <v>187</v>
      </c>
      <c r="O542" s="2">
        <v>42062.0</v>
      </c>
      <c r="P542" s="1">
        <v>130439.0</v>
      </c>
      <c r="Q542" s="1">
        <v>10900.0</v>
      </c>
      <c r="R542" s="1">
        <v>2000.0</v>
      </c>
      <c r="S542" s="1">
        <v>9647.0</v>
      </c>
      <c r="T542" s="1" t="s">
        <v>7062</v>
      </c>
      <c r="U542" s="1" t="s">
        <v>189</v>
      </c>
      <c r="V542" s="1" t="s">
        <v>190</v>
      </c>
      <c r="W542" s="1">
        <v>60643.0</v>
      </c>
      <c r="Y542" s="1" t="s">
        <v>7063</v>
      </c>
      <c r="Z542" s="1">
        <v>1913.0</v>
      </c>
      <c r="AA542" s="1" t="s">
        <v>192</v>
      </c>
      <c r="AB542" s="1" t="s">
        <v>193</v>
      </c>
      <c r="AC542" s="1" t="s">
        <v>7064</v>
      </c>
      <c r="AD542" s="1" t="s">
        <v>194</v>
      </c>
      <c r="AE542" s="1" t="s">
        <v>195</v>
      </c>
      <c r="AF542" s="1" t="s">
        <v>659</v>
      </c>
      <c r="AH542" s="1" t="s">
        <v>7065</v>
      </c>
      <c r="AI542" s="1">
        <v>0.1423</v>
      </c>
      <c r="AK542" s="1">
        <v>9.0</v>
      </c>
      <c r="AL542" s="1">
        <v>4.0</v>
      </c>
      <c r="AM542" s="1">
        <v>1.0</v>
      </c>
      <c r="AN542" s="1">
        <v>1.0</v>
      </c>
      <c r="AO542" s="1" t="s">
        <v>229</v>
      </c>
      <c r="AP542" s="1">
        <v>1.0</v>
      </c>
      <c r="AQ542" s="1" t="s">
        <v>198</v>
      </c>
      <c r="AR542" s="1" t="s">
        <v>192</v>
      </c>
      <c r="AS542" s="1" t="s">
        <v>199</v>
      </c>
      <c r="AT542" s="1">
        <v>2.0</v>
      </c>
      <c r="AV542" s="1" t="s">
        <v>200</v>
      </c>
      <c r="AW542" s="1">
        <v>4603.73</v>
      </c>
      <c r="AX542" s="1">
        <v>2012.0</v>
      </c>
      <c r="AY542" s="1" t="s">
        <v>387</v>
      </c>
      <c r="AZ542" s="1" t="s">
        <v>200</v>
      </c>
      <c r="BA542" s="1" t="str">
        <f>"25071150100000"</f>
        <v>25071150100000</v>
      </c>
      <c r="BC542" s="1">
        <v>1886.0</v>
      </c>
      <c r="BD542" s="1">
        <v>369500.0</v>
      </c>
      <c r="BE542" s="2">
        <v>41985.0</v>
      </c>
      <c r="BF542" s="2" t="s">
        <v>7066</v>
      </c>
      <c r="BG542" s="1" t="s">
        <v>7067</v>
      </c>
      <c r="BH542" s="1">
        <v>0.0</v>
      </c>
      <c r="BI542" s="1" t="s">
        <v>7067</v>
      </c>
      <c r="BJ542" s="1" t="s">
        <v>5825</v>
      </c>
      <c r="BK542" s="1" t="s">
        <v>204</v>
      </c>
      <c r="BL542" s="1" t="str">
        <f t="shared" si="366"/>
        <v>0</v>
      </c>
      <c r="BM542" s="1" t="str">
        <f t="shared" ref="BM542:BM545" si="367">"0"</f>
        <v>0</v>
      </c>
      <c r="BN542" s="1">
        <v>2000.0</v>
      </c>
      <c r="BO542" s="1">
        <v>9647.0</v>
      </c>
      <c r="BQ542" s="1">
        <v>299.0</v>
      </c>
      <c r="BR542" s="1">
        <v>299.0</v>
      </c>
      <c r="BS542" s="1">
        <v>299.0</v>
      </c>
      <c r="BU542" s="1" t="s">
        <v>544</v>
      </c>
      <c r="BV542" s="1" t="s">
        <v>206</v>
      </c>
      <c r="BW542" s="1" t="s">
        <v>207</v>
      </c>
      <c r="BX542" s="1" t="s">
        <v>1549</v>
      </c>
      <c r="BY542" s="1" t="s">
        <v>332</v>
      </c>
      <c r="BZ542" s="1" t="s">
        <v>209</v>
      </c>
      <c r="CA542" s="1" t="s">
        <v>207</v>
      </c>
      <c r="CB542" s="1" t="s">
        <v>1549</v>
      </c>
      <c r="CC542" s="1" t="s">
        <v>331</v>
      </c>
      <c r="CD542" s="1" t="s">
        <v>206</v>
      </c>
      <c r="CE542" s="1" t="s">
        <v>207</v>
      </c>
      <c r="CF542" s="1" t="s">
        <v>1549</v>
      </c>
      <c r="CG542" s="1" t="s">
        <v>497</v>
      </c>
      <c r="CH542" s="1" t="s">
        <v>209</v>
      </c>
      <c r="CI542" s="1" t="s">
        <v>207</v>
      </c>
      <c r="CJ542" s="1" t="s">
        <v>1549</v>
      </c>
      <c r="CK542" s="1" t="s">
        <v>212</v>
      </c>
      <c r="CL542" s="1" t="s">
        <v>209</v>
      </c>
      <c r="CM542" s="1" t="s">
        <v>207</v>
      </c>
      <c r="CN542" s="1" t="s">
        <v>1549</v>
      </c>
      <c r="CO542" s="1" t="s">
        <v>495</v>
      </c>
      <c r="CP542" s="1" t="s">
        <v>209</v>
      </c>
      <c r="CQ542" s="1" t="s">
        <v>207</v>
      </c>
      <c r="CR542" s="1" t="s">
        <v>1549</v>
      </c>
      <c r="CS542" s="1" t="s">
        <v>1229</v>
      </c>
      <c r="CT542" s="1" t="s">
        <v>206</v>
      </c>
      <c r="CU542" s="1" t="s">
        <v>268</v>
      </c>
      <c r="CV542" s="1" t="s">
        <v>1549</v>
      </c>
      <c r="CX542" s="1" t="s">
        <v>204</v>
      </c>
      <c r="DA542" s="1" t="s">
        <v>200</v>
      </c>
      <c r="DC542" s="1" t="s">
        <v>642</v>
      </c>
      <c r="DD542" s="1" t="s">
        <v>518</v>
      </c>
      <c r="DE542" s="1" t="s">
        <v>7068</v>
      </c>
      <c r="DF542" s="1" t="s">
        <v>619</v>
      </c>
      <c r="DG542" s="1" t="s">
        <v>2311</v>
      </c>
      <c r="DH542" s="1" t="s">
        <v>365</v>
      </c>
      <c r="DI542" s="1" t="s">
        <v>519</v>
      </c>
      <c r="DJ542" s="1" t="s">
        <v>222</v>
      </c>
      <c r="DK542" s="1" t="s">
        <v>7069</v>
      </c>
      <c r="DL542" s="1" t="s">
        <v>858</v>
      </c>
      <c r="DM542" s="1" t="s">
        <v>229</v>
      </c>
      <c r="DO542" s="1" t="s">
        <v>549</v>
      </c>
      <c r="DP542" s="1" t="s">
        <v>340</v>
      </c>
      <c r="DQ542" s="1" t="s">
        <v>228</v>
      </c>
      <c r="DR542" s="1" t="s">
        <v>229</v>
      </c>
      <c r="DS542" s="1" t="s">
        <v>230</v>
      </c>
      <c r="DV542" s="1" t="s">
        <v>7070</v>
      </c>
      <c r="DW542" s="1" t="s">
        <v>279</v>
      </c>
      <c r="DX542" s="1" t="s">
        <v>234</v>
      </c>
      <c r="DY542" s="1" t="s">
        <v>704</v>
      </c>
      <c r="DZ542" s="1" t="s">
        <v>343</v>
      </c>
      <c r="EA542" s="1" t="s">
        <v>3577</v>
      </c>
      <c r="EB542" s="1" t="s">
        <v>345</v>
      </c>
      <c r="EC542" s="1" t="s">
        <v>237</v>
      </c>
      <c r="ED542" s="1" t="s">
        <v>312</v>
      </c>
      <c r="EG542" s="1" t="s">
        <v>408</v>
      </c>
      <c r="EH542" s="1" t="s">
        <v>7071</v>
      </c>
      <c r="EI542" s="1" t="s">
        <v>373</v>
      </c>
      <c r="EJ542" s="1" t="s">
        <v>1270</v>
      </c>
      <c r="EK542" s="1" t="s">
        <v>310</v>
      </c>
      <c r="EL542" s="1" t="s">
        <v>3182</v>
      </c>
      <c r="EM542" s="1" t="s">
        <v>206</v>
      </c>
      <c r="EN542" s="1" t="s">
        <v>207</v>
      </c>
      <c r="EO542" s="1" t="s">
        <v>1549</v>
      </c>
      <c r="EP542" s="1" t="s">
        <v>6180</v>
      </c>
      <c r="EQ542" s="1" t="s">
        <v>42</v>
      </c>
      <c r="ER542" s="1" t="s">
        <v>588</v>
      </c>
      <c r="ES542" s="1" t="s">
        <v>1118</v>
      </c>
      <c r="ET542" s="1" t="s">
        <v>3508</v>
      </c>
      <c r="EU542" s="1" t="s">
        <v>206</v>
      </c>
      <c r="EV542" s="1" t="s">
        <v>207</v>
      </c>
      <c r="EW542" s="1" t="s">
        <v>1549</v>
      </c>
      <c r="EX542" s="1" t="s">
        <v>584</v>
      </c>
      <c r="EY542" s="1" t="s">
        <v>42</v>
      </c>
      <c r="EZ542" s="1" t="s">
        <v>588</v>
      </c>
      <c r="FA542" s="1" t="s">
        <v>229</v>
      </c>
      <c r="FB542" s="1" t="s">
        <v>452</v>
      </c>
      <c r="FC542" s="1" t="s">
        <v>206</v>
      </c>
      <c r="FD542" s="1" t="s">
        <v>588</v>
      </c>
      <c r="FE542" s="1" t="s">
        <v>229</v>
      </c>
      <c r="FF542" s="1" t="s">
        <v>239</v>
      </c>
      <c r="FG542" s="1" t="s">
        <v>200</v>
      </c>
      <c r="FH542" s="1" t="s">
        <v>192</v>
      </c>
      <c r="FJ542" s="1" t="s">
        <v>524</v>
      </c>
      <c r="FK542" s="1" t="s">
        <v>229</v>
      </c>
      <c r="FL542" s="1" t="s">
        <v>7072</v>
      </c>
      <c r="FM542" s="1">
        <v>24891.0</v>
      </c>
      <c r="FN542" s="1" t="s">
        <v>7073</v>
      </c>
      <c r="FO542" s="1" t="s">
        <v>7074</v>
      </c>
      <c r="FP542" s="1">
        <v>237799.0</v>
      </c>
      <c r="FU542" s="1" t="s">
        <v>7075</v>
      </c>
      <c r="FV542" s="1" t="s">
        <v>200</v>
      </c>
      <c r="FW542" s="1" t="s">
        <v>290</v>
      </c>
      <c r="FX542" s="1" t="s">
        <v>655</v>
      </c>
      <c r="FZ542" s="1" t="s">
        <v>229</v>
      </c>
      <c r="GA542" s="1" t="s">
        <v>291</v>
      </c>
      <c r="GB542" s="2">
        <v>42062.0</v>
      </c>
      <c r="GC542" s="1" t="s">
        <v>7076</v>
      </c>
    </row>
    <row r="543">
      <c r="A543" s="1">
        <v>247000.0</v>
      </c>
      <c r="B543" s="1" t="s">
        <v>185</v>
      </c>
      <c r="C543" s="1" t="str">
        <f>"08801178"</f>
        <v>08801178</v>
      </c>
      <c r="D543" s="1" t="s">
        <v>186</v>
      </c>
      <c r="F543" s="1" t="str">
        <f>"107"</f>
        <v>107</v>
      </c>
      <c r="G543" s="2">
        <v>41985.0</v>
      </c>
      <c r="H543" s="1">
        <v>269900.0</v>
      </c>
      <c r="I543" s="1">
        <v>88.0</v>
      </c>
      <c r="J543" s="1">
        <v>254900.0</v>
      </c>
      <c r="K543" s="2">
        <v>42072.0</v>
      </c>
      <c r="L543" s="1">
        <v>88.0</v>
      </c>
      <c r="M543" s="2">
        <v>42072.0</v>
      </c>
      <c r="N543" s="1" t="s">
        <v>634</v>
      </c>
      <c r="O543" s="2">
        <v>42122.0</v>
      </c>
      <c r="P543" s="1">
        <v>218833.0</v>
      </c>
      <c r="Q543" s="1">
        <v>24113.0</v>
      </c>
      <c r="S543" s="1">
        <v>1216.0</v>
      </c>
      <c r="T543" s="1" t="s">
        <v>4037</v>
      </c>
      <c r="U543" s="1" t="s">
        <v>1442</v>
      </c>
      <c r="V543" s="1" t="s">
        <v>294</v>
      </c>
      <c r="W543" s="1">
        <v>60107.0</v>
      </c>
      <c r="Y543" s="1" t="s">
        <v>7077</v>
      </c>
      <c r="Z543" s="1">
        <v>2001.0</v>
      </c>
      <c r="AA543" s="1" t="s">
        <v>200</v>
      </c>
      <c r="AB543" s="1" t="s">
        <v>193</v>
      </c>
      <c r="AD543" s="1" t="s">
        <v>297</v>
      </c>
      <c r="AE543" s="1" t="s">
        <v>195</v>
      </c>
      <c r="AF543" s="1" t="s">
        <v>298</v>
      </c>
      <c r="AG543" s="1" t="s">
        <v>752</v>
      </c>
      <c r="AH543" s="1" t="s">
        <v>7078</v>
      </c>
      <c r="AI543" s="1">
        <v>0.1998</v>
      </c>
      <c r="AK543" s="1">
        <v>8.0</v>
      </c>
      <c r="AL543" s="1">
        <v>4.0</v>
      </c>
      <c r="AM543" s="1">
        <v>3.0</v>
      </c>
      <c r="AN543" s="1">
        <v>1.0</v>
      </c>
      <c r="AO543" s="1" t="s">
        <v>198</v>
      </c>
      <c r="AQ543" s="1" t="s">
        <v>229</v>
      </c>
      <c r="AR543" s="1" t="s">
        <v>200</v>
      </c>
      <c r="AS543" s="1" t="s">
        <v>199</v>
      </c>
      <c r="AT543" s="1">
        <v>2.0</v>
      </c>
      <c r="AV543" s="1" t="s">
        <v>200</v>
      </c>
      <c r="AW543" s="1">
        <v>7625.0</v>
      </c>
      <c r="AX543" s="1">
        <v>2013.0</v>
      </c>
      <c r="AY543" s="1" t="s">
        <v>387</v>
      </c>
      <c r="AZ543" s="1" t="s">
        <v>200</v>
      </c>
      <c r="BA543" s="1" t="str">
        <f>"06251140180000"</f>
        <v>06251140180000</v>
      </c>
      <c r="BC543" s="1">
        <v>2467.0</v>
      </c>
      <c r="BD543" s="1">
        <v>247000.0</v>
      </c>
      <c r="BE543" s="2">
        <v>41985.0</v>
      </c>
      <c r="BF543" s="2" t="s">
        <v>7079</v>
      </c>
      <c r="BH543" s="1">
        <v>0.0</v>
      </c>
      <c r="BK543" s="1" t="s">
        <v>204</v>
      </c>
      <c r="BL543" s="1" t="str">
        <f>"10"</f>
        <v>10</v>
      </c>
      <c r="BM543" s="1" t="str">
        <f t="shared" si="367"/>
        <v>0</v>
      </c>
      <c r="BN543" s="1">
        <v>27.0</v>
      </c>
      <c r="BO543" s="1">
        <v>0.0</v>
      </c>
      <c r="BQ543" s="1">
        <v>46.0</v>
      </c>
      <c r="BR543" s="1">
        <v>46.0</v>
      </c>
      <c r="BS543" s="1">
        <v>46.0</v>
      </c>
      <c r="BU543" s="1" t="s">
        <v>2205</v>
      </c>
      <c r="BV543" s="1" t="s">
        <v>206</v>
      </c>
      <c r="BW543" s="1" t="s">
        <v>207</v>
      </c>
      <c r="BY543" s="1" t="s">
        <v>1891</v>
      </c>
      <c r="BZ543" s="1" t="s">
        <v>209</v>
      </c>
      <c r="CA543" s="1" t="s">
        <v>210</v>
      </c>
      <c r="CC543" s="1" t="s">
        <v>390</v>
      </c>
      <c r="CD543" s="1" t="s">
        <v>206</v>
      </c>
      <c r="CE543" s="1" t="s">
        <v>207</v>
      </c>
      <c r="CG543" s="1" t="s">
        <v>699</v>
      </c>
      <c r="CH543" s="1" t="s">
        <v>209</v>
      </c>
      <c r="CI543" s="1" t="s">
        <v>210</v>
      </c>
      <c r="CK543" s="1" t="s">
        <v>543</v>
      </c>
      <c r="CL543" s="1" t="s">
        <v>209</v>
      </c>
      <c r="CM543" s="1" t="s">
        <v>210</v>
      </c>
      <c r="CO543" s="1" t="s">
        <v>543</v>
      </c>
      <c r="CP543" s="1" t="s">
        <v>209</v>
      </c>
      <c r="CQ543" s="1" t="s">
        <v>210</v>
      </c>
      <c r="CS543" s="1" t="s">
        <v>1064</v>
      </c>
      <c r="CT543" s="1" t="s">
        <v>206</v>
      </c>
      <c r="CU543" s="1" t="s">
        <v>268</v>
      </c>
      <c r="CW543" s="1" t="s">
        <v>1043</v>
      </c>
      <c r="CX543" s="1" t="s">
        <v>206</v>
      </c>
      <c r="CY543" s="1" t="s">
        <v>207</v>
      </c>
      <c r="DA543" s="1" t="s">
        <v>200</v>
      </c>
      <c r="DC543" s="1" t="s">
        <v>335</v>
      </c>
      <c r="DE543" s="1" t="s">
        <v>273</v>
      </c>
      <c r="DF543" s="1" t="s">
        <v>219</v>
      </c>
      <c r="DH543" s="1" t="s">
        <v>220</v>
      </c>
      <c r="DI543" s="1" t="s">
        <v>7080</v>
      </c>
      <c r="DJ543" s="1" t="s">
        <v>222</v>
      </c>
      <c r="DL543" s="1" t="s">
        <v>520</v>
      </c>
      <c r="DM543" s="1" t="s">
        <v>229</v>
      </c>
      <c r="DO543" s="1" t="s">
        <v>590</v>
      </c>
      <c r="DP543" s="1" t="s">
        <v>276</v>
      </c>
      <c r="DQ543" s="1" t="s">
        <v>228</v>
      </c>
      <c r="DR543" s="1" t="s">
        <v>229</v>
      </c>
      <c r="DS543" s="1" t="s">
        <v>230</v>
      </c>
      <c r="DV543" s="1" t="s">
        <v>232</v>
      </c>
      <c r="DW543" s="1" t="s">
        <v>891</v>
      </c>
      <c r="DX543" s="1" t="s">
        <v>234</v>
      </c>
      <c r="DY543" s="1" t="s">
        <v>7081</v>
      </c>
      <c r="DZ543" s="1" t="s">
        <v>446</v>
      </c>
      <c r="EA543" s="1" t="s">
        <v>447</v>
      </c>
      <c r="EC543" s="1" t="s">
        <v>237</v>
      </c>
      <c r="ED543" s="1" t="s">
        <v>407</v>
      </c>
      <c r="EM543" s="1" t="s">
        <v>238</v>
      </c>
      <c r="EQ543" s="1" t="s">
        <v>238</v>
      </c>
      <c r="EU543" s="1" t="s">
        <v>238</v>
      </c>
      <c r="EY543" s="1" t="s">
        <v>238</v>
      </c>
      <c r="FC543" s="1" t="s">
        <v>238</v>
      </c>
      <c r="FF543" s="1" t="s">
        <v>239</v>
      </c>
      <c r="FG543" s="1" t="s">
        <v>192</v>
      </c>
      <c r="FH543" s="1" t="s">
        <v>192</v>
      </c>
      <c r="FJ543" s="1" t="s">
        <v>4598</v>
      </c>
      <c r="FK543" s="1" t="s">
        <v>229</v>
      </c>
      <c r="FL543" s="1" t="s">
        <v>1962</v>
      </c>
      <c r="FM543" s="1">
        <v>8073.0</v>
      </c>
      <c r="FN543" s="1" t="s">
        <v>1963</v>
      </c>
      <c r="FO543" s="1" t="s">
        <v>7082</v>
      </c>
      <c r="FP543" s="1">
        <v>81699.0</v>
      </c>
      <c r="FQ543" s="1" t="s">
        <v>7083</v>
      </c>
      <c r="FU543" s="1" t="s">
        <v>7084</v>
      </c>
      <c r="FV543" s="1" t="s">
        <v>200</v>
      </c>
      <c r="FW543" s="1" t="s">
        <v>290</v>
      </c>
      <c r="FZ543" s="1" t="s">
        <v>229</v>
      </c>
      <c r="GA543" s="1" t="s">
        <v>291</v>
      </c>
      <c r="GB543" s="2">
        <v>42122.0</v>
      </c>
      <c r="GC543" s="1" t="s">
        <v>7085</v>
      </c>
    </row>
    <row r="544">
      <c r="A544" s="1">
        <v>470000.0</v>
      </c>
      <c r="B544" s="1" t="s">
        <v>185</v>
      </c>
      <c r="C544" s="1" t="str">
        <f>"08799141"</f>
        <v>08799141</v>
      </c>
      <c r="D544" s="1" t="s">
        <v>186</v>
      </c>
      <c r="F544" s="1" t="str">
        <f>"8022"</f>
        <v>8022</v>
      </c>
      <c r="G544" s="2">
        <v>41982.0</v>
      </c>
      <c r="H544" s="1">
        <v>499900.0</v>
      </c>
      <c r="I544" s="1">
        <v>248.0</v>
      </c>
      <c r="J544" s="1">
        <v>499900.0</v>
      </c>
      <c r="K544" s="2">
        <v>42042.0</v>
      </c>
      <c r="L544" s="1">
        <v>61.0</v>
      </c>
      <c r="M544" s="2">
        <v>42042.0</v>
      </c>
      <c r="N544" s="1" t="s">
        <v>187</v>
      </c>
      <c r="O544" s="2">
        <v>42083.0</v>
      </c>
      <c r="P544" s="1">
        <v>113690.0</v>
      </c>
      <c r="Q544" s="1">
        <v>10900.0</v>
      </c>
      <c r="S544" s="1">
        <v>1859.0</v>
      </c>
      <c r="T544" s="1" t="s">
        <v>7086</v>
      </c>
      <c r="U544" s="1" t="s">
        <v>189</v>
      </c>
      <c r="V544" s="1" t="s">
        <v>190</v>
      </c>
      <c r="W544" s="1">
        <v>60647.0</v>
      </c>
      <c r="Y544" s="1" t="s">
        <v>7087</v>
      </c>
      <c r="Z544" s="1">
        <v>1896.0</v>
      </c>
      <c r="AA544" s="1" t="s">
        <v>192</v>
      </c>
      <c r="AB544" s="1" t="s">
        <v>193</v>
      </c>
      <c r="AD544" s="1" t="s">
        <v>194</v>
      </c>
      <c r="AE544" s="1" t="s">
        <v>195</v>
      </c>
      <c r="AF544" s="1" t="s">
        <v>2645</v>
      </c>
      <c r="AH544" s="1" t="s">
        <v>359</v>
      </c>
      <c r="AK544" s="1">
        <v>8.0</v>
      </c>
      <c r="AL544" s="1">
        <v>3.0</v>
      </c>
      <c r="AM544" s="1">
        <v>3.0</v>
      </c>
      <c r="AN544" s="1">
        <v>1.0</v>
      </c>
      <c r="AO544" s="1" t="s">
        <v>198</v>
      </c>
      <c r="AQ544" s="1" t="s">
        <v>198</v>
      </c>
      <c r="AR544" s="1" t="s">
        <v>192</v>
      </c>
      <c r="AS544" s="1" t="s">
        <v>199</v>
      </c>
      <c r="AT544" s="1">
        <v>2.0</v>
      </c>
      <c r="AV544" s="1" t="s">
        <v>200</v>
      </c>
      <c r="AW544" s="1">
        <v>3082.0</v>
      </c>
      <c r="AX544" s="1">
        <v>2013.0</v>
      </c>
      <c r="AY544" s="1" t="s">
        <v>387</v>
      </c>
      <c r="AZ544" s="1" t="s">
        <v>200</v>
      </c>
      <c r="BA544" s="1" t="str">
        <f>"13364090010000"</f>
        <v>13364090010000</v>
      </c>
      <c r="BC544" s="1">
        <v>0.0</v>
      </c>
      <c r="BD544" s="1">
        <v>470000.0</v>
      </c>
      <c r="BE544" s="2">
        <v>41982.0</v>
      </c>
      <c r="BF544" s="2" t="s">
        <v>7088</v>
      </c>
      <c r="BH544" s="1">
        <v>0.0</v>
      </c>
      <c r="BK544" s="1" t="s">
        <v>204</v>
      </c>
      <c r="BL544" s="1" t="str">
        <f>"1859"</f>
        <v>1859</v>
      </c>
      <c r="BM544" s="1" t="str">
        <f t="shared" si="367"/>
        <v>0</v>
      </c>
      <c r="BN544" s="1">
        <v>2800.0</v>
      </c>
      <c r="BO544" s="1">
        <v>0.0</v>
      </c>
      <c r="BQ544" s="1">
        <v>299.0</v>
      </c>
      <c r="BR544" s="1">
        <v>299.0</v>
      </c>
      <c r="BS544" s="1">
        <v>299.0</v>
      </c>
      <c r="BU544" s="1" t="s">
        <v>1286</v>
      </c>
      <c r="BV544" s="1" t="s">
        <v>206</v>
      </c>
      <c r="BW544" s="1" t="s">
        <v>207</v>
      </c>
      <c r="BY544" s="1" t="s">
        <v>616</v>
      </c>
      <c r="BZ544" s="1" t="s">
        <v>209</v>
      </c>
      <c r="CA544" s="1" t="s">
        <v>210</v>
      </c>
      <c r="CC544" s="1" t="s">
        <v>1000</v>
      </c>
      <c r="CD544" s="1" t="s">
        <v>206</v>
      </c>
      <c r="CE544" s="1" t="s">
        <v>207</v>
      </c>
      <c r="CG544" s="1" t="s">
        <v>1000</v>
      </c>
      <c r="CH544" s="1" t="s">
        <v>209</v>
      </c>
      <c r="CI544" s="1" t="s">
        <v>210</v>
      </c>
      <c r="CK544" s="1" t="s">
        <v>264</v>
      </c>
      <c r="CL544" s="1" t="s">
        <v>209</v>
      </c>
      <c r="CM544" s="1" t="s">
        <v>207</v>
      </c>
      <c r="CO544" s="1" t="s">
        <v>363</v>
      </c>
      <c r="CP544" s="1" t="s">
        <v>42</v>
      </c>
      <c r="CS544" s="1" t="s">
        <v>5311</v>
      </c>
      <c r="CT544" s="1" t="s">
        <v>206</v>
      </c>
      <c r="CU544" s="1" t="s">
        <v>207</v>
      </c>
      <c r="CW544" s="1" t="s">
        <v>3387</v>
      </c>
      <c r="CX544" s="1" t="s">
        <v>42</v>
      </c>
      <c r="DA544" s="1" t="s">
        <v>200</v>
      </c>
      <c r="DC544" s="1" t="s">
        <v>642</v>
      </c>
      <c r="DE544" s="1" t="s">
        <v>1810</v>
      </c>
      <c r="DF544" s="1" t="s">
        <v>7089</v>
      </c>
      <c r="DG544" s="1" t="s">
        <v>7090</v>
      </c>
      <c r="DH544" s="1" t="s">
        <v>307</v>
      </c>
      <c r="DI544" s="1" t="s">
        <v>7091</v>
      </c>
      <c r="DJ544" s="1" t="s">
        <v>222</v>
      </c>
      <c r="DL544" s="1" t="s">
        <v>224</v>
      </c>
      <c r="DM544" s="1" t="s">
        <v>1402</v>
      </c>
      <c r="DN544" s="1" t="s">
        <v>226</v>
      </c>
      <c r="DO544" s="1" t="s">
        <v>590</v>
      </c>
      <c r="DP544" s="1" t="s">
        <v>276</v>
      </c>
      <c r="DQ544" s="1" t="s">
        <v>718</v>
      </c>
      <c r="DR544" s="1" t="s">
        <v>229</v>
      </c>
      <c r="DS544" s="1" t="s">
        <v>230</v>
      </c>
      <c r="DV544" s="1" t="s">
        <v>232</v>
      </c>
      <c r="DW544" s="1" t="s">
        <v>7092</v>
      </c>
      <c r="DX544" s="1" t="s">
        <v>234</v>
      </c>
      <c r="DY544" s="1" t="s">
        <v>7093</v>
      </c>
      <c r="DZ544" s="1" t="s">
        <v>310</v>
      </c>
      <c r="EC544" s="1" t="s">
        <v>237</v>
      </c>
      <c r="EM544" s="1" t="s">
        <v>238</v>
      </c>
      <c r="EQ544" s="1" t="s">
        <v>238</v>
      </c>
      <c r="EU544" s="1" t="s">
        <v>238</v>
      </c>
      <c r="EY544" s="1" t="s">
        <v>238</v>
      </c>
      <c r="FC544" s="1" t="s">
        <v>238</v>
      </c>
      <c r="FF544" s="1" t="s">
        <v>239</v>
      </c>
      <c r="FG544" s="1" t="s">
        <v>192</v>
      </c>
      <c r="FH544" s="1" t="s">
        <v>192</v>
      </c>
      <c r="FJ544" s="1" t="s">
        <v>6761</v>
      </c>
      <c r="FK544" s="1" t="s">
        <v>229</v>
      </c>
      <c r="FL544" s="1" t="s">
        <v>5426</v>
      </c>
      <c r="FM544" s="1">
        <v>16440.0</v>
      </c>
      <c r="FN544" s="1" t="s">
        <v>5427</v>
      </c>
      <c r="FO544" s="1" t="s">
        <v>7094</v>
      </c>
      <c r="FP544" s="1">
        <v>151408.0</v>
      </c>
      <c r="FQ544" s="1" t="s">
        <v>7095</v>
      </c>
      <c r="FR544" s="1">
        <v>152805.0</v>
      </c>
      <c r="FU544" s="1" t="s">
        <v>7096</v>
      </c>
      <c r="FV544" s="1" t="s">
        <v>200</v>
      </c>
      <c r="FW544" s="1" t="s">
        <v>530</v>
      </c>
      <c r="FX544" s="1" t="s">
        <v>238</v>
      </c>
      <c r="FZ544" s="1" t="s">
        <v>229</v>
      </c>
      <c r="GA544" s="1" t="s">
        <v>291</v>
      </c>
      <c r="GB544" s="2">
        <v>42087.0</v>
      </c>
      <c r="GC544" s="1" t="s">
        <v>7097</v>
      </c>
    </row>
    <row r="545">
      <c r="A545" s="1">
        <v>770000.0</v>
      </c>
      <c r="B545" s="1" t="s">
        <v>185</v>
      </c>
      <c r="C545" s="1" t="str">
        <f>"08803022"</f>
        <v>08803022</v>
      </c>
      <c r="D545" s="1" t="s">
        <v>186</v>
      </c>
      <c r="F545" s="1" t="str">
        <f>"8004"</f>
        <v>8004</v>
      </c>
      <c r="G545" s="2">
        <v>41989.0</v>
      </c>
      <c r="H545" s="1">
        <v>800000.0</v>
      </c>
      <c r="I545" s="1">
        <v>227.0</v>
      </c>
      <c r="J545" s="1">
        <v>800000.0</v>
      </c>
      <c r="K545" s="2">
        <v>42020.0</v>
      </c>
      <c r="L545" s="1">
        <v>32.0</v>
      </c>
      <c r="M545" s="2">
        <v>42020.0</v>
      </c>
      <c r="N545" s="1" t="s">
        <v>187</v>
      </c>
      <c r="O545" s="2">
        <v>42059.0</v>
      </c>
      <c r="P545" s="1">
        <v>185209.0</v>
      </c>
      <c r="Q545" s="1">
        <v>18705.0</v>
      </c>
      <c r="R545" s="1">
        <v>10000.0</v>
      </c>
      <c r="S545" s="1">
        <v>4915.0</v>
      </c>
      <c r="T545" s="1" t="s">
        <v>7062</v>
      </c>
      <c r="U545" s="1" t="s">
        <v>189</v>
      </c>
      <c r="V545" s="1" t="s">
        <v>190</v>
      </c>
      <c r="W545" s="1">
        <v>60625.0</v>
      </c>
      <c r="Y545" s="1" t="s">
        <v>7098</v>
      </c>
      <c r="Z545" s="1">
        <v>1997.0</v>
      </c>
      <c r="AA545" s="1" t="s">
        <v>200</v>
      </c>
      <c r="AB545" s="1" t="s">
        <v>193</v>
      </c>
      <c r="AD545" s="1" t="s">
        <v>194</v>
      </c>
      <c r="AE545" s="1" t="s">
        <v>195</v>
      </c>
      <c r="AF545" s="1" t="s">
        <v>2645</v>
      </c>
      <c r="AH545" s="1" t="s">
        <v>7099</v>
      </c>
      <c r="AI545" s="1">
        <v>0.0728</v>
      </c>
      <c r="AK545" s="1">
        <v>9.0</v>
      </c>
      <c r="AL545" s="1">
        <v>3.0</v>
      </c>
      <c r="AM545" s="1">
        <v>3.0</v>
      </c>
      <c r="AN545" s="1">
        <v>1.0</v>
      </c>
      <c r="AO545" s="1" t="s">
        <v>198</v>
      </c>
      <c r="AP545" s="1">
        <v>3.0</v>
      </c>
      <c r="AQ545" s="1" t="s">
        <v>198</v>
      </c>
      <c r="AR545" s="1" t="s">
        <v>192</v>
      </c>
      <c r="AS545" s="1" t="s">
        <v>199</v>
      </c>
      <c r="AT545" s="1">
        <v>2.0</v>
      </c>
      <c r="AV545" s="1" t="s">
        <v>200</v>
      </c>
      <c r="AW545" s="1">
        <v>14185.0</v>
      </c>
      <c r="AX545" s="1">
        <v>2013.0</v>
      </c>
      <c r="AY545" s="1" t="s">
        <v>387</v>
      </c>
      <c r="AZ545" s="1" t="s">
        <v>200</v>
      </c>
      <c r="BA545" s="1" t="str">
        <f>"14073170160000"</f>
        <v>14073170160000</v>
      </c>
      <c r="BC545" s="1">
        <v>0.0</v>
      </c>
      <c r="BD545" s="1">
        <v>770000.0</v>
      </c>
      <c r="BE545" s="2">
        <v>41989.0</v>
      </c>
      <c r="BF545" s="2" t="s">
        <v>7100</v>
      </c>
      <c r="BH545" s="1">
        <v>0.0</v>
      </c>
      <c r="BK545" s="1" t="s">
        <v>204</v>
      </c>
      <c r="BL545" s="1" t="str">
        <f>"4900"</f>
        <v>4900</v>
      </c>
      <c r="BM545" s="1" t="str">
        <f t="shared" si="367"/>
        <v>0</v>
      </c>
      <c r="BN545" s="1">
        <v>2100.0</v>
      </c>
      <c r="BO545" s="1">
        <v>0.0</v>
      </c>
      <c r="BQ545" s="1">
        <v>299.0</v>
      </c>
      <c r="BR545" s="1">
        <v>299.0</v>
      </c>
      <c r="BS545" s="1">
        <v>299.0</v>
      </c>
      <c r="BU545" s="1" t="s">
        <v>639</v>
      </c>
      <c r="BV545" s="1" t="s">
        <v>206</v>
      </c>
      <c r="BW545" s="1" t="s">
        <v>207</v>
      </c>
      <c r="BX545" s="1" t="s">
        <v>1118</v>
      </c>
      <c r="BY545" s="1" t="s">
        <v>208</v>
      </c>
      <c r="BZ545" s="1" t="s">
        <v>209</v>
      </c>
      <c r="CA545" s="1" t="s">
        <v>210</v>
      </c>
      <c r="CB545" s="1" t="s">
        <v>431</v>
      </c>
      <c r="CC545" s="1" t="s">
        <v>262</v>
      </c>
      <c r="CD545" s="1" t="s">
        <v>206</v>
      </c>
      <c r="CE545" s="1" t="s">
        <v>207</v>
      </c>
      <c r="CF545" s="1" t="s">
        <v>1118</v>
      </c>
      <c r="CG545" s="1" t="s">
        <v>4180</v>
      </c>
      <c r="CH545" s="1" t="s">
        <v>209</v>
      </c>
      <c r="CI545" s="1" t="s">
        <v>210</v>
      </c>
      <c r="CJ545" s="1" t="s">
        <v>1118</v>
      </c>
      <c r="CK545" s="1" t="s">
        <v>212</v>
      </c>
      <c r="CL545" s="1" t="s">
        <v>209</v>
      </c>
      <c r="CM545" s="1" t="s">
        <v>210</v>
      </c>
      <c r="CN545" s="1" t="s">
        <v>1549</v>
      </c>
      <c r="CO545" s="1" t="s">
        <v>1158</v>
      </c>
      <c r="CP545" s="1" t="s">
        <v>42</v>
      </c>
      <c r="CQ545" s="1" t="s">
        <v>210</v>
      </c>
      <c r="CR545" s="1" t="s">
        <v>1118</v>
      </c>
      <c r="CS545" s="1" t="s">
        <v>541</v>
      </c>
      <c r="CT545" s="1" t="s">
        <v>206</v>
      </c>
      <c r="CU545" s="1" t="s">
        <v>207</v>
      </c>
      <c r="CV545" s="1" t="s">
        <v>1118</v>
      </c>
      <c r="CW545" s="1" t="s">
        <v>432</v>
      </c>
      <c r="CX545" s="1" t="s">
        <v>206</v>
      </c>
      <c r="CY545" s="1" t="s">
        <v>207</v>
      </c>
      <c r="CZ545" s="1" t="s">
        <v>1118</v>
      </c>
      <c r="DA545" s="1" t="s">
        <v>200</v>
      </c>
      <c r="DC545" s="1" t="s">
        <v>678</v>
      </c>
      <c r="DD545" s="1" t="s">
        <v>306</v>
      </c>
      <c r="DE545" s="1" t="s">
        <v>273</v>
      </c>
      <c r="DF545" s="1" t="s">
        <v>219</v>
      </c>
      <c r="DH545" s="1" t="s">
        <v>220</v>
      </c>
      <c r="DI545" s="1" t="s">
        <v>221</v>
      </c>
      <c r="DJ545" s="1" t="s">
        <v>222</v>
      </c>
      <c r="DL545" s="1" t="s">
        <v>1161</v>
      </c>
      <c r="DM545" s="1" t="s">
        <v>229</v>
      </c>
      <c r="DN545" s="1" t="s">
        <v>548</v>
      </c>
      <c r="DP545" s="1" t="s">
        <v>276</v>
      </c>
      <c r="DQ545" s="1" t="s">
        <v>228</v>
      </c>
      <c r="DR545" s="1" t="s">
        <v>229</v>
      </c>
      <c r="DU545" s="1" t="s">
        <v>7101</v>
      </c>
      <c r="DV545" s="1" t="s">
        <v>450</v>
      </c>
      <c r="DW545" s="1" t="s">
        <v>832</v>
      </c>
      <c r="DX545" s="1" t="s">
        <v>280</v>
      </c>
      <c r="DY545" s="1" t="s">
        <v>935</v>
      </c>
      <c r="EC545" s="1" t="s">
        <v>406</v>
      </c>
      <c r="ED545" s="1" t="s">
        <v>555</v>
      </c>
      <c r="EG545" s="1" t="s">
        <v>450</v>
      </c>
      <c r="EL545" s="1" t="s">
        <v>2414</v>
      </c>
      <c r="EM545" s="1" t="s">
        <v>42</v>
      </c>
      <c r="EN545" s="1" t="s">
        <v>210</v>
      </c>
      <c r="EO545" s="1" t="s">
        <v>431</v>
      </c>
      <c r="EQ545" s="1" t="s">
        <v>238</v>
      </c>
      <c r="EU545" s="1" t="s">
        <v>238</v>
      </c>
      <c r="EY545" s="1" t="s">
        <v>238</v>
      </c>
      <c r="FC545" s="1" t="s">
        <v>238</v>
      </c>
      <c r="FF545" s="1" t="s">
        <v>239</v>
      </c>
      <c r="FG545" s="1" t="s">
        <v>192</v>
      </c>
      <c r="FH545" s="1" t="s">
        <v>192</v>
      </c>
      <c r="FJ545" s="1" t="s">
        <v>7102</v>
      </c>
      <c r="FK545" s="1" t="s">
        <v>229</v>
      </c>
      <c r="FL545" s="1" t="s">
        <v>2718</v>
      </c>
      <c r="FM545" s="1">
        <v>85470.0</v>
      </c>
      <c r="FN545" s="1" t="s">
        <v>2719</v>
      </c>
      <c r="FO545" s="1" t="s">
        <v>7103</v>
      </c>
      <c r="FP545" s="1">
        <v>106968.0</v>
      </c>
      <c r="FQ545" s="1" t="s">
        <v>7104</v>
      </c>
      <c r="FS545" s="1" t="s">
        <v>7105</v>
      </c>
      <c r="FU545" s="1" t="s">
        <v>7106</v>
      </c>
      <c r="FV545" s="1" t="s">
        <v>200</v>
      </c>
      <c r="FW545" s="1" t="s">
        <v>290</v>
      </c>
      <c r="FX545" s="1" t="s">
        <v>238</v>
      </c>
      <c r="FZ545" s="1" t="s">
        <v>229</v>
      </c>
      <c r="GA545" s="1" t="s">
        <v>291</v>
      </c>
      <c r="GB545" s="2">
        <v>42061.0</v>
      </c>
      <c r="GC545" s="1" t="s">
        <v>7107</v>
      </c>
    </row>
    <row r="546">
      <c r="A546" s="1">
        <v>285000.0</v>
      </c>
      <c r="B546" s="1" t="s">
        <v>185</v>
      </c>
      <c r="C546" s="1" t="str">
        <f>"08800627"</f>
        <v>08800627</v>
      </c>
      <c r="D546" s="1" t="s">
        <v>186</v>
      </c>
      <c r="F546" s="1" t="str">
        <f>"174"</f>
        <v>174</v>
      </c>
      <c r="G546" s="2">
        <v>41984.0</v>
      </c>
      <c r="H546" s="1">
        <v>336000.0</v>
      </c>
      <c r="I546" s="1">
        <v>125.0</v>
      </c>
      <c r="J546" s="1">
        <v>289900.0</v>
      </c>
      <c r="K546" s="2">
        <v>42108.0</v>
      </c>
      <c r="L546" s="1">
        <v>125.0</v>
      </c>
      <c r="M546" s="2">
        <v>42108.0</v>
      </c>
      <c r="N546" s="1" t="s">
        <v>249</v>
      </c>
      <c r="O546" s="2">
        <v>42143.0</v>
      </c>
      <c r="P546" s="1">
        <v>181.0</v>
      </c>
      <c r="Q546" s="1">
        <v>771.0</v>
      </c>
      <c r="S546" s="1" t="s">
        <v>7108</v>
      </c>
      <c r="T546" s="1" t="s">
        <v>7109</v>
      </c>
      <c r="U546" s="1" t="s">
        <v>1174</v>
      </c>
      <c r="V546" s="1" t="s">
        <v>1200</v>
      </c>
      <c r="W546" s="1">
        <v>60175.0</v>
      </c>
      <c r="Y546" s="1" t="s">
        <v>7110</v>
      </c>
      <c r="Z546" s="1">
        <v>1970.0</v>
      </c>
      <c r="AA546" s="1" t="s">
        <v>192</v>
      </c>
      <c r="AB546" s="1" t="s">
        <v>193</v>
      </c>
      <c r="AD546" s="1" t="s">
        <v>1203</v>
      </c>
      <c r="AE546" s="1" t="s">
        <v>325</v>
      </c>
      <c r="AF546" s="1" t="s">
        <v>1203</v>
      </c>
      <c r="AH546" s="1">
        <v>87716.0</v>
      </c>
      <c r="AI546" s="1">
        <v>2.0137</v>
      </c>
      <c r="AK546" s="1">
        <v>8.0</v>
      </c>
      <c r="AL546" s="1">
        <v>4.0</v>
      </c>
      <c r="AM546" s="1">
        <v>2.0</v>
      </c>
      <c r="AN546" s="1">
        <v>1.0</v>
      </c>
      <c r="AO546" s="1" t="s">
        <v>198</v>
      </c>
      <c r="AP546" s="1">
        <v>2.0</v>
      </c>
      <c r="AQ546" s="1" t="s">
        <v>951</v>
      </c>
      <c r="AR546" s="1" t="s">
        <v>200</v>
      </c>
      <c r="AS546" s="1" t="s">
        <v>199</v>
      </c>
      <c r="AT546" s="1">
        <v>2.0</v>
      </c>
      <c r="AV546" s="1" t="s">
        <v>200</v>
      </c>
      <c r="AW546" s="1">
        <v>9341.04</v>
      </c>
      <c r="AX546" s="1">
        <v>2013.0</v>
      </c>
      <c r="AZ546" s="1" t="s">
        <v>200</v>
      </c>
      <c r="BA546" s="1" t="str">
        <f>"0920302004"</f>
        <v>0920302004</v>
      </c>
      <c r="BC546" s="1">
        <v>2424.0</v>
      </c>
      <c r="BD546" s="1">
        <v>285000.0</v>
      </c>
      <c r="BE546" s="2">
        <v>41984.0</v>
      </c>
      <c r="BF546" s="2" t="s">
        <v>7111</v>
      </c>
      <c r="BH546" s="1">
        <v>0.0</v>
      </c>
      <c r="BK546" s="1" t="s">
        <v>204</v>
      </c>
      <c r="BL546" s="1" t="str">
        <f t="shared" ref="BL546:BM546" si="368">""</f>
        <v/>
      </c>
      <c r="BM546" s="1" t="str">
        <f t="shared" si="368"/>
        <v/>
      </c>
      <c r="BQ546" s="1">
        <v>303.0</v>
      </c>
      <c r="BR546" s="1">
        <v>303.0</v>
      </c>
      <c r="BS546" s="1">
        <v>303.0</v>
      </c>
      <c r="BU546" s="1" t="s">
        <v>496</v>
      </c>
      <c r="BV546" s="1" t="s">
        <v>206</v>
      </c>
      <c r="BW546" s="1" t="s">
        <v>207</v>
      </c>
      <c r="BY546" s="1" t="s">
        <v>496</v>
      </c>
      <c r="BZ546" s="1" t="s">
        <v>209</v>
      </c>
      <c r="CA546" s="1" t="s">
        <v>207</v>
      </c>
      <c r="CC546" s="1" t="s">
        <v>393</v>
      </c>
      <c r="CD546" s="1" t="s">
        <v>206</v>
      </c>
      <c r="CE546" s="1" t="s">
        <v>207</v>
      </c>
      <c r="CG546" s="1" t="s">
        <v>300</v>
      </c>
      <c r="CH546" s="1" t="s">
        <v>209</v>
      </c>
      <c r="CI546" s="1" t="s">
        <v>207</v>
      </c>
      <c r="CK546" s="1" t="s">
        <v>363</v>
      </c>
      <c r="CL546" s="1" t="s">
        <v>209</v>
      </c>
      <c r="CM546" s="1" t="s">
        <v>207</v>
      </c>
      <c r="CO546" s="1" t="s">
        <v>363</v>
      </c>
      <c r="CP546" s="1" t="s">
        <v>209</v>
      </c>
      <c r="CQ546" s="1" t="s">
        <v>207</v>
      </c>
      <c r="CS546" s="1" t="s">
        <v>663</v>
      </c>
      <c r="CT546" s="1" t="s">
        <v>206</v>
      </c>
      <c r="CU546" s="1" t="s">
        <v>207</v>
      </c>
      <c r="CW546" s="1" t="s">
        <v>677</v>
      </c>
      <c r="CX546" s="1" t="s">
        <v>206</v>
      </c>
      <c r="CY546" s="1" t="s">
        <v>207</v>
      </c>
      <c r="DA546" s="1" t="s">
        <v>200</v>
      </c>
      <c r="DC546" s="1" t="s">
        <v>517</v>
      </c>
      <c r="DD546" s="1" t="s">
        <v>855</v>
      </c>
      <c r="DE546" s="1" t="s">
        <v>273</v>
      </c>
      <c r="DF546" s="1" t="s">
        <v>619</v>
      </c>
      <c r="DH546" s="1" t="s">
        <v>856</v>
      </c>
      <c r="DI546" s="1" t="s">
        <v>7112</v>
      </c>
      <c r="DJ546" s="1" t="s">
        <v>857</v>
      </c>
      <c r="DL546" s="1" t="s">
        <v>223</v>
      </c>
      <c r="DM546" s="1" t="s">
        <v>229</v>
      </c>
      <c r="DO546" s="1" t="s">
        <v>1208</v>
      </c>
      <c r="DP546" s="1" t="s">
        <v>340</v>
      </c>
      <c r="DQ546" s="1" t="s">
        <v>860</v>
      </c>
      <c r="DR546" s="1" t="s">
        <v>229</v>
      </c>
      <c r="DV546" s="1" t="s">
        <v>232</v>
      </c>
      <c r="DW546" s="1" t="s">
        <v>444</v>
      </c>
      <c r="DX546" s="1" t="s">
        <v>234</v>
      </c>
      <c r="DY546" s="1" t="s">
        <v>704</v>
      </c>
      <c r="DZ546" s="1" t="s">
        <v>7113</v>
      </c>
      <c r="EC546" s="1" t="s">
        <v>237</v>
      </c>
      <c r="EM546" s="1" t="s">
        <v>238</v>
      </c>
      <c r="EQ546" s="1" t="s">
        <v>238</v>
      </c>
      <c r="EU546" s="1" t="s">
        <v>238</v>
      </c>
      <c r="EY546" s="1" t="s">
        <v>238</v>
      </c>
      <c r="FC546" s="1" t="s">
        <v>238</v>
      </c>
      <c r="FF546" s="1" t="s">
        <v>239</v>
      </c>
      <c r="FG546" s="1" t="s">
        <v>192</v>
      </c>
      <c r="FH546" s="1" t="s">
        <v>192</v>
      </c>
      <c r="FJ546" s="1" t="s">
        <v>2156</v>
      </c>
      <c r="FK546" s="1" t="s">
        <v>229</v>
      </c>
      <c r="FL546" s="1" t="s">
        <v>1855</v>
      </c>
      <c r="FM546" s="1">
        <v>41.0</v>
      </c>
      <c r="FN546" s="1" t="s">
        <v>1856</v>
      </c>
      <c r="FO546" s="1" t="s">
        <v>1857</v>
      </c>
      <c r="FP546" s="1">
        <v>8483.0</v>
      </c>
      <c r="FQ546" s="1" t="s">
        <v>1858</v>
      </c>
      <c r="FS546" s="1" t="s">
        <v>7114</v>
      </c>
      <c r="FT546" s="1" t="s">
        <v>1860</v>
      </c>
      <c r="FU546" s="1" t="s">
        <v>7115</v>
      </c>
      <c r="FV546" s="1" t="s">
        <v>200</v>
      </c>
      <c r="FW546" s="1" t="s">
        <v>354</v>
      </c>
      <c r="FZ546" s="1" t="s">
        <v>229</v>
      </c>
      <c r="GA546" s="1" t="s">
        <v>291</v>
      </c>
      <c r="GB546" s="2">
        <v>42143.0</v>
      </c>
      <c r="GC546" s="1" t="s">
        <v>4769</v>
      </c>
    </row>
    <row r="547">
      <c r="A547" s="1">
        <v>1340000.0</v>
      </c>
      <c r="B547" s="1" t="s">
        <v>185</v>
      </c>
      <c r="C547" s="1" t="str">
        <f>"08804663"</f>
        <v>08804663</v>
      </c>
      <c r="D547" s="1" t="s">
        <v>186</v>
      </c>
      <c r="F547" s="1" t="str">
        <f>"8005"</f>
        <v>8005</v>
      </c>
      <c r="G547" s="2">
        <v>41992.0</v>
      </c>
      <c r="H547" s="1">
        <v>1395000.0</v>
      </c>
      <c r="I547" s="1">
        <v>168.0</v>
      </c>
      <c r="J547" s="1">
        <v>1395000.0</v>
      </c>
      <c r="K547" s="2">
        <v>42007.0</v>
      </c>
      <c r="L547" s="1">
        <v>16.0</v>
      </c>
      <c r="M547" s="2">
        <v>42007.0</v>
      </c>
      <c r="N547" s="1" t="s">
        <v>249</v>
      </c>
      <c r="O547" s="2">
        <v>42094.0</v>
      </c>
      <c r="P547" s="1">
        <v>122634.0</v>
      </c>
      <c r="Q547" s="1">
        <v>10317.0</v>
      </c>
      <c r="S547" s="1">
        <v>3425.0</v>
      </c>
      <c r="T547" s="1" t="s">
        <v>6515</v>
      </c>
      <c r="U547" s="1" t="s">
        <v>189</v>
      </c>
      <c r="V547" s="1" t="s">
        <v>190</v>
      </c>
      <c r="W547" s="1">
        <v>60618.0</v>
      </c>
      <c r="Y547" s="1" t="s">
        <v>7116</v>
      </c>
      <c r="Z547" s="1">
        <v>2014.0</v>
      </c>
      <c r="AA547" s="1" t="s">
        <v>200</v>
      </c>
      <c r="AB547" s="1" t="s">
        <v>193</v>
      </c>
      <c r="AD547" s="1" t="s">
        <v>194</v>
      </c>
      <c r="AE547" s="1" t="s">
        <v>195</v>
      </c>
      <c r="AF547" s="1" t="s">
        <v>2645</v>
      </c>
      <c r="AH547" s="1" t="s">
        <v>741</v>
      </c>
      <c r="AK547" s="1">
        <v>9.0</v>
      </c>
      <c r="AL547" s="1">
        <v>4.0</v>
      </c>
      <c r="AM547" s="1">
        <v>4.0</v>
      </c>
      <c r="AN547" s="1">
        <v>1.0</v>
      </c>
      <c r="AO547" s="1" t="s">
        <v>198</v>
      </c>
      <c r="AP547" s="1">
        <v>1.0</v>
      </c>
      <c r="AQ547" s="1" t="s">
        <v>472</v>
      </c>
      <c r="AR547" s="1" t="s">
        <v>192</v>
      </c>
      <c r="AS547" s="1" t="s">
        <v>199</v>
      </c>
      <c r="AT547" s="1">
        <v>2.0</v>
      </c>
      <c r="AV547" s="1" t="s">
        <v>200</v>
      </c>
      <c r="AW547" s="1">
        <v>9524.63</v>
      </c>
      <c r="AX547" s="1">
        <v>2013.0</v>
      </c>
      <c r="AY547" s="1" t="s">
        <v>229</v>
      </c>
      <c r="AZ547" s="1" t="s">
        <v>200</v>
      </c>
      <c r="BA547" s="1" t="str">
        <f>"14193110140000"</f>
        <v>14193110140000</v>
      </c>
      <c r="BC547" s="1">
        <v>3400.0</v>
      </c>
      <c r="BD547" s="1">
        <v>1340000.0</v>
      </c>
      <c r="BE547" s="2">
        <v>41992.0</v>
      </c>
      <c r="BF547" s="2" t="s">
        <v>7117</v>
      </c>
      <c r="BG547" s="1" t="s">
        <v>7118</v>
      </c>
      <c r="BH547" s="1">
        <v>0.0</v>
      </c>
      <c r="BI547" s="1" t="s">
        <v>7118</v>
      </c>
      <c r="BJ547" s="1" t="s">
        <v>538</v>
      </c>
      <c r="BK547" s="1" t="s">
        <v>204</v>
      </c>
      <c r="BL547" s="1" t="str">
        <f>"3425"</f>
        <v>3425</v>
      </c>
      <c r="BM547" s="1" t="str">
        <f t="shared" ref="BM547:BM548" si="369">"0"</f>
        <v>0</v>
      </c>
      <c r="BN547" s="1">
        <v>2232.0</v>
      </c>
      <c r="BO547" s="1">
        <v>0.0</v>
      </c>
      <c r="BQ547" s="1">
        <v>299.0</v>
      </c>
      <c r="BR547" s="1">
        <v>299.0</v>
      </c>
      <c r="BS547" s="1">
        <v>299.0</v>
      </c>
      <c r="BU547" s="1" t="s">
        <v>1483</v>
      </c>
      <c r="BV547" s="1" t="s">
        <v>206</v>
      </c>
      <c r="BW547" s="1" t="s">
        <v>207</v>
      </c>
      <c r="BY547" s="1" t="s">
        <v>758</v>
      </c>
      <c r="BZ547" s="1" t="s">
        <v>209</v>
      </c>
      <c r="CA547" s="1" t="s">
        <v>207</v>
      </c>
      <c r="CC547" s="1" t="s">
        <v>940</v>
      </c>
      <c r="CD547" s="1" t="s">
        <v>206</v>
      </c>
      <c r="CE547" s="1" t="s">
        <v>207</v>
      </c>
      <c r="CG547" s="1" t="s">
        <v>478</v>
      </c>
      <c r="CH547" s="1" t="s">
        <v>209</v>
      </c>
      <c r="CI547" s="1" t="s">
        <v>207</v>
      </c>
      <c r="CK547" s="1" t="s">
        <v>478</v>
      </c>
      <c r="CL547" s="1" t="s">
        <v>209</v>
      </c>
      <c r="CM547" s="1" t="s">
        <v>207</v>
      </c>
      <c r="CO547" s="1" t="s">
        <v>7119</v>
      </c>
      <c r="CP547" s="1" t="s">
        <v>267</v>
      </c>
      <c r="CQ547" s="1" t="s">
        <v>1136</v>
      </c>
      <c r="CS547" s="1" t="s">
        <v>7120</v>
      </c>
      <c r="CT547" s="1" t="s">
        <v>206</v>
      </c>
      <c r="CU547" s="1" t="s">
        <v>207</v>
      </c>
      <c r="CW547" s="1" t="s">
        <v>3355</v>
      </c>
      <c r="CX547" s="1" t="s">
        <v>206</v>
      </c>
      <c r="CY547" s="1" t="s">
        <v>207</v>
      </c>
      <c r="DA547" s="1" t="s">
        <v>192</v>
      </c>
      <c r="DB547" s="2">
        <v>42005.0</v>
      </c>
      <c r="DC547" s="1" t="s">
        <v>1353</v>
      </c>
      <c r="DD547" s="1" t="s">
        <v>436</v>
      </c>
      <c r="DE547" s="1" t="s">
        <v>218</v>
      </c>
      <c r="DF547" s="1" t="s">
        <v>1718</v>
      </c>
      <c r="DH547" s="1" t="s">
        <v>365</v>
      </c>
      <c r="DI547" s="1" t="s">
        <v>7121</v>
      </c>
      <c r="DJ547" s="1" t="s">
        <v>222</v>
      </c>
      <c r="DL547" s="1" t="s">
        <v>1161</v>
      </c>
      <c r="DM547" s="1" t="s">
        <v>229</v>
      </c>
      <c r="DN547" s="1" t="s">
        <v>399</v>
      </c>
      <c r="DO547" s="1" t="s">
        <v>549</v>
      </c>
      <c r="DP547" s="1" t="s">
        <v>276</v>
      </c>
      <c r="DQ547" s="1" t="s">
        <v>718</v>
      </c>
      <c r="DR547" s="1" t="s">
        <v>229</v>
      </c>
      <c r="DS547" s="1" t="s">
        <v>230</v>
      </c>
      <c r="DU547" s="1" t="s">
        <v>7122</v>
      </c>
      <c r="DV547" s="1" t="s">
        <v>7123</v>
      </c>
      <c r="DW547" s="1" t="s">
        <v>279</v>
      </c>
      <c r="DX547" s="1" t="s">
        <v>309</v>
      </c>
      <c r="DY547" s="1" t="s">
        <v>7124</v>
      </c>
      <c r="DZ547" s="1" t="s">
        <v>310</v>
      </c>
      <c r="EB547" s="1" t="s">
        <v>492</v>
      </c>
      <c r="EC547" s="1" t="s">
        <v>237</v>
      </c>
      <c r="ED547" s="1" t="s">
        <v>555</v>
      </c>
      <c r="EE547" s="1" t="s">
        <v>187</v>
      </c>
      <c r="EG547" s="1" t="s">
        <v>450</v>
      </c>
      <c r="EH547" s="1" t="s">
        <v>1102</v>
      </c>
      <c r="EI547" s="1" t="s">
        <v>310</v>
      </c>
      <c r="EJ547" s="1" t="s">
        <v>408</v>
      </c>
      <c r="EK547" s="1" t="s">
        <v>310</v>
      </c>
      <c r="EL547" s="1" t="s">
        <v>7125</v>
      </c>
      <c r="EM547" s="1" t="s">
        <v>267</v>
      </c>
      <c r="EN547" s="1" t="s">
        <v>1136</v>
      </c>
      <c r="EP547" s="1" t="s">
        <v>363</v>
      </c>
      <c r="EQ547" s="1" t="s">
        <v>206</v>
      </c>
      <c r="ER547" s="1" t="s">
        <v>207</v>
      </c>
      <c r="ET547" s="1" t="s">
        <v>363</v>
      </c>
      <c r="EU547" s="1" t="s">
        <v>206</v>
      </c>
      <c r="EX547" s="1" t="s">
        <v>7126</v>
      </c>
      <c r="EY547" s="1" t="s">
        <v>206</v>
      </c>
      <c r="EZ547" s="1" t="s">
        <v>207</v>
      </c>
      <c r="FB547" s="1" t="s">
        <v>363</v>
      </c>
      <c r="FC547" s="1" t="s">
        <v>209</v>
      </c>
      <c r="FF547" s="1" t="s">
        <v>239</v>
      </c>
      <c r="FG547" s="1" t="s">
        <v>192</v>
      </c>
      <c r="FH547" s="1" t="s">
        <v>192</v>
      </c>
      <c r="FJ547" s="1" t="s">
        <v>733</v>
      </c>
      <c r="FK547" s="1" t="s">
        <v>229</v>
      </c>
      <c r="FL547" s="1" t="s">
        <v>1358</v>
      </c>
      <c r="FM547" s="1">
        <v>10115.0</v>
      </c>
      <c r="FN547" s="1" t="s">
        <v>2286</v>
      </c>
      <c r="FO547" s="1" t="s">
        <v>2881</v>
      </c>
      <c r="FP547" s="1">
        <v>124168.0</v>
      </c>
      <c r="FQ547" s="1" t="s">
        <v>2882</v>
      </c>
      <c r="FU547" s="1" t="s">
        <v>2883</v>
      </c>
      <c r="FV547" s="1" t="s">
        <v>192</v>
      </c>
      <c r="FW547" s="1" t="s">
        <v>567</v>
      </c>
      <c r="FX547" s="1" t="s">
        <v>238</v>
      </c>
      <c r="FZ547" s="1" t="s">
        <v>229</v>
      </c>
      <c r="GA547" s="1" t="s">
        <v>291</v>
      </c>
      <c r="GB547" s="2">
        <v>42094.0</v>
      </c>
    </row>
    <row r="548">
      <c r="A548" s="1">
        <v>889000.0</v>
      </c>
      <c r="B548" s="1" t="s">
        <v>185</v>
      </c>
      <c r="C548" s="1" t="str">
        <f>"08834166"</f>
        <v>08834166</v>
      </c>
      <c r="D548" s="1" t="s">
        <v>186</v>
      </c>
      <c r="F548" s="1" t="str">
        <f>"8004"</f>
        <v>8004</v>
      </c>
      <c r="G548" s="2">
        <v>42044.0</v>
      </c>
      <c r="H548" s="1">
        <v>859900.0</v>
      </c>
      <c r="I548" s="1">
        <v>5.0</v>
      </c>
      <c r="J548" s="1">
        <v>859900.0</v>
      </c>
      <c r="K548" s="2">
        <v>42048.0</v>
      </c>
      <c r="L548" s="1">
        <v>5.0</v>
      </c>
      <c r="M548" s="2">
        <v>42048.0</v>
      </c>
      <c r="N548" s="1" t="s">
        <v>187</v>
      </c>
      <c r="O548" s="2">
        <v>42083.0</v>
      </c>
      <c r="P548" s="1">
        <v>120019.0</v>
      </c>
      <c r="Q548" s="1">
        <v>16379.0</v>
      </c>
      <c r="S548" s="1">
        <v>1911.0</v>
      </c>
      <c r="T548" s="1" t="s">
        <v>7127</v>
      </c>
      <c r="U548" s="1" t="s">
        <v>189</v>
      </c>
      <c r="V548" s="1" t="s">
        <v>190</v>
      </c>
      <c r="W548" s="1">
        <v>60640.0</v>
      </c>
      <c r="Y548" s="1" t="s">
        <v>7128</v>
      </c>
      <c r="Z548" s="1">
        <v>1901.0</v>
      </c>
      <c r="AA548" s="1" t="s">
        <v>192</v>
      </c>
      <c r="AB548" s="1" t="s">
        <v>193</v>
      </c>
      <c r="AD548" s="1" t="s">
        <v>194</v>
      </c>
      <c r="AE548" s="1" t="s">
        <v>195</v>
      </c>
      <c r="AF548" s="1" t="s">
        <v>534</v>
      </c>
      <c r="AH548" s="1" t="s">
        <v>359</v>
      </c>
      <c r="AK548" s="1">
        <v>9.0</v>
      </c>
      <c r="AL548" s="1">
        <v>3.0</v>
      </c>
      <c r="AM548" s="1">
        <v>3.0</v>
      </c>
      <c r="AN548" s="1">
        <v>1.0</v>
      </c>
      <c r="AO548" s="1" t="s">
        <v>198</v>
      </c>
      <c r="AQ548" s="1" t="s">
        <v>198</v>
      </c>
      <c r="AR548" s="1" t="s">
        <v>192</v>
      </c>
      <c r="AS548" s="1" t="s">
        <v>199</v>
      </c>
      <c r="AT548" s="1">
        <v>2.0</v>
      </c>
      <c r="AV548" s="1" t="s">
        <v>200</v>
      </c>
      <c r="AW548" s="4">
        <v>5339.28</v>
      </c>
      <c r="AX548" s="1">
        <v>2013.0</v>
      </c>
      <c r="AY548" s="1" t="s">
        <v>229</v>
      </c>
      <c r="AZ548" s="1" t="s">
        <v>200</v>
      </c>
      <c r="BA548" s="1" t="str">
        <f>"14072210090000"</f>
        <v>14072210090000</v>
      </c>
      <c r="BC548" s="1">
        <v>3200.0</v>
      </c>
      <c r="BD548" s="1">
        <v>889000.0</v>
      </c>
      <c r="BE548" s="2">
        <v>42044.0</v>
      </c>
      <c r="BF548" s="2" t="s">
        <v>7129</v>
      </c>
      <c r="BG548" s="1" t="s">
        <v>953</v>
      </c>
      <c r="BH548" s="1">
        <v>0.0</v>
      </c>
      <c r="BK548" s="1" t="s">
        <v>204</v>
      </c>
      <c r="BL548" s="1" t="str">
        <f>"5311"</f>
        <v>5311</v>
      </c>
      <c r="BM548" s="1" t="str">
        <f t="shared" si="369"/>
        <v>0</v>
      </c>
      <c r="BN548" s="1">
        <v>1911.0</v>
      </c>
      <c r="BO548" s="1">
        <v>0.0</v>
      </c>
      <c r="BQ548" s="1">
        <v>299.0</v>
      </c>
      <c r="BR548" s="1">
        <v>299.0</v>
      </c>
      <c r="BS548" s="1">
        <v>299.0</v>
      </c>
      <c r="BU548" s="1" t="s">
        <v>515</v>
      </c>
      <c r="BV548" s="1" t="s">
        <v>206</v>
      </c>
      <c r="BW548" s="1" t="s">
        <v>207</v>
      </c>
      <c r="BY548" s="1" t="s">
        <v>393</v>
      </c>
      <c r="BZ548" s="1" t="s">
        <v>209</v>
      </c>
      <c r="CA548" s="1" t="s">
        <v>207</v>
      </c>
      <c r="CC548" s="1" t="s">
        <v>454</v>
      </c>
      <c r="CD548" s="1" t="s">
        <v>206</v>
      </c>
      <c r="CE548" s="1" t="s">
        <v>207</v>
      </c>
      <c r="CG548" s="1" t="s">
        <v>392</v>
      </c>
      <c r="CH548" s="1" t="s">
        <v>209</v>
      </c>
      <c r="CI548" s="1" t="s">
        <v>207</v>
      </c>
      <c r="CK548" s="1" t="s">
        <v>392</v>
      </c>
      <c r="CL548" s="1" t="s">
        <v>209</v>
      </c>
      <c r="CM548" s="1" t="s">
        <v>207</v>
      </c>
      <c r="CO548" s="1" t="s">
        <v>212</v>
      </c>
      <c r="CP548" s="1" t="s">
        <v>42</v>
      </c>
      <c r="CQ548" s="1" t="s">
        <v>210</v>
      </c>
      <c r="CS548" s="1" t="s">
        <v>647</v>
      </c>
      <c r="CT548" s="1" t="s">
        <v>206</v>
      </c>
      <c r="CU548" s="1" t="s">
        <v>207</v>
      </c>
      <c r="CW548" s="1" t="s">
        <v>480</v>
      </c>
      <c r="CX548" s="1" t="s">
        <v>206</v>
      </c>
      <c r="CY548" s="1" t="s">
        <v>207</v>
      </c>
      <c r="DA548" s="1" t="s">
        <v>200</v>
      </c>
      <c r="DC548" s="1" t="s">
        <v>642</v>
      </c>
      <c r="DD548" s="1" t="s">
        <v>731</v>
      </c>
      <c r="DE548" s="1" t="s">
        <v>218</v>
      </c>
      <c r="DF548" s="1" t="s">
        <v>745</v>
      </c>
      <c r="DG548" s="1" t="s">
        <v>482</v>
      </c>
      <c r="DH548" s="1" t="s">
        <v>220</v>
      </c>
      <c r="DI548" s="1" t="s">
        <v>519</v>
      </c>
      <c r="DJ548" s="1" t="s">
        <v>222</v>
      </c>
      <c r="DK548" s="1" t="s">
        <v>223</v>
      </c>
      <c r="DL548" s="1" t="s">
        <v>224</v>
      </c>
      <c r="DM548" s="1" t="s">
        <v>229</v>
      </c>
      <c r="DN548" s="1" t="s">
        <v>548</v>
      </c>
      <c r="DQ548" s="1" t="s">
        <v>228</v>
      </c>
      <c r="DR548" s="1" t="s">
        <v>229</v>
      </c>
      <c r="DU548" s="1" t="s">
        <v>1049</v>
      </c>
      <c r="DV548" s="1" t="s">
        <v>7130</v>
      </c>
      <c r="DW548" s="1" t="s">
        <v>588</v>
      </c>
      <c r="DX548" s="1" t="s">
        <v>234</v>
      </c>
      <c r="DY548" s="1" t="s">
        <v>747</v>
      </c>
      <c r="DZ548" s="1" t="s">
        <v>236</v>
      </c>
      <c r="EC548" s="1" t="s">
        <v>237</v>
      </c>
      <c r="ED548" s="1" t="s">
        <v>555</v>
      </c>
      <c r="EG548" s="1" t="s">
        <v>450</v>
      </c>
      <c r="EH548" s="1" t="s">
        <v>720</v>
      </c>
      <c r="EL548" s="1" t="s">
        <v>3202</v>
      </c>
      <c r="EM548" s="1" t="s">
        <v>42</v>
      </c>
      <c r="EN548" s="1" t="s">
        <v>210</v>
      </c>
      <c r="EP548" s="1" t="s">
        <v>2337</v>
      </c>
      <c r="EQ548" s="1" t="s">
        <v>206</v>
      </c>
      <c r="ER548" s="1" t="s">
        <v>268</v>
      </c>
      <c r="EU548" s="1" t="s">
        <v>238</v>
      </c>
      <c r="EY548" s="1" t="s">
        <v>238</v>
      </c>
      <c r="FC548" s="1" t="s">
        <v>238</v>
      </c>
      <c r="FF548" s="1" t="s">
        <v>239</v>
      </c>
      <c r="FG548" s="1" t="s">
        <v>192</v>
      </c>
      <c r="FH548" s="1" t="s">
        <v>192</v>
      </c>
      <c r="FJ548" s="1" t="s">
        <v>973</v>
      </c>
      <c r="FK548" s="1" t="s">
        <v>229</v>
      </c>
      <c r="FL548" s="1" t="s">
        <v>734</v>
      </c>
      <c r="FM548" s="1">
        <v>10646.0</v>
      </c>
      <c r="FN548" s="1" t="s">
        <v>735</v>
      </c>
      <c r="FO548" s="1" t="s">
        <v>736</v>
      </c>
      <c r="FP548" s="1">
        <v>139913.0</v>
      </c>
      <c r="FQ548" s="1" t="s">
        <v>737</v>
      </c>
      <c r="FU548" s="1" t="s">
        <v>738</v>
      </c>
      <c r="FV548" s="1" t="s">
        <v>200</v>
      </c>
      <c r="FW548" s="1" t="s">
        <v>530</v>
      </c>
      <c r="FX548" s="1" t="s">
        <v>246</v>
      </c>
      <c r="FZ548" s="1" t="s">
        <v>229</v>
      </c>
      <c r="GA548" s="1" t="s">
        <v>291</v>
      </c>
      <c r="GB548" s="2">
        <v>42083.0</v>
      </c>
    </row>
    <row r="549">
      <c r="A549" s="1">
        <v>9500.0</v>
      </c>
      <c r="B549" s="1" t="s">
        <v>185</v>
      </c>
      <c r="C549" s="1" t="str">
        <f>"08802526"</f>
        <v>08802526</v>
      </c>
      <c r="D549" s="1" t="s">
        <v>186</v>
      </c>
      <c r="F549" s="1" t="str">
        <f>"8067"</f>
        <v>8067</v>
      </c>
      <c r="G549" s="2">
        <v>41988.0</v>
      </c>
      <c r="H549" s="1">
        <v>14900.0</v>
      </c>
      <c r="I549" s="1">
        <v>95.0</v>
      </c>
      <c r="J549" s="1">
        <v>11500.0</v>
      </c>
      <c r="K549" s="2">
        <v>42082.0</v>
      </c>
      <c r="L549" s="1">
        <v>95.0</v>
      </c>
      <c r="M549" s="2">
        <v>42082.0</v>
      </c>
      <c r="N549" s="1" t="s">
        <v>249</v>
      </c>
      <c r="O549" s="2">
        <v>42114.0</v>
      </c>
      <c r="P549" s="1">
        <v>180123.0</v>
      </c>
      <c r="Q549" s="1">
        <v>16339.0</v>
      </c>
      <c r="S549" s="1">
        <v>7222.0</v>
      </c>
      <c r="T549" s="1" t="s">
        <v>6648</v>
      </c>
      <c r="U549" s="1" t="s">
        <v>189</v>
      </c>
      <c r="V549" s="1" t="s">
        <v>190</v>
      </c>
      <c r="W549" s="1">
        <v>60636.0</v>
      </c>
      <c r="Y549" s="1" t="s">
        <v>7131</v>
      </c>
      <c r="Z549" s="1">
        <v>1910.0</v>
      </c>
      <c r="AA549" s="1" t="s">
        <v>192</v>
      </c>
      <c r="AB549" s="1" t="s">
        <v>193</v>
      </c>
      <c r="AD549" s="1" t="s">
        <v>194</v>
      </c>
      <c r="AE549" s="1" t="s">
        <v>195</v>
      </c>
      <c r="AF549" s="1" t="s">
        <v>659</v>
      </c>
      <c r="AH549" s="1" t="s">
        <v>359</v>
      </c>
      <c r="AI549" s="1">
        <v>0.0717</v>
      </c>
      <c r="AK549" s="1">
        <v>8.0</v>
      </c>
      <c r="AL549" s="1">
        <v>4.0</v>
      </c>
      <c r="AM549" s="1">
        <v>2.0</v>
      </c>
      <c r="AN549" s="1">
        <v>1.0</v>
      </c>
      <c r="AO549" s="1" t="s">
        <v>229</v>
      </c>
      <c r="AQ549" s="1" t="s">
        <v>198</v>
      </c>
      <c r="AR549" s="1" t="s">
        <v>192</v>
      </c>
      <c r="AS549" s="1" t="s">
        <v>828</v>
      </c>
      <c r="AU549" s="1">
        <v>2.0</v>
      </c>
      <c r="AV549" s="1" t="s">
        <v>200</v>
      </c>
      <c r="AW549" s="1">
        <v>1116.9</v>
      </c>
      <c r="AX549" s="1">
        <v>2013.0</v>
      </c>
      <c r="AZ549" s="1" t="s">
        <v>200</v>
      </c>
      <c r="BA549" s="1" t="str">
        <f>"20302140330000"</f>
        <v>20302140330000</v>
      </c>
      <c r="BC549" s="1">
        <v>1260.0</v>
      </c>
      <c r="BD549" s="1">
        <v>9500.0</v>
      </c>
      <c r="BE549" s="2">
        <v>41988.0</v>
      </c>
      <c r="BF549" s="1" t="s">
        <v>7132</v>
      </c>
      <c r="BH549" s="1">
        <v>0.0</v>
      </c>
      <c r="BK549" s="1" t="s">
        <v>204</v>
      </c>
      <c r="BL549" s="1" t="str">
        <f t="shared" ref="BL549:BM549" si="370">"0"</f>
        <v>0</v>
      </c>
      <c r="BM549" s="1" t="str">
        <f t="shared" si="370"/>
        <v>0</v>
      </c>
      <c r="BN549" s="1">
        <v>1634.0</v>
      </c>
      <c r="BO549" s="1">
        <v>7200.0</v>
      </c>
      <c r="BQ549" s="1">
        <v>299.0</v>
      </c>
      <c r="BR549" s="1">
        <v>299.0</v>
      </c>
      <c r="BS549" s="1">
        <v>299.0</v>
      </c>
      <c r="BU549" s="1" t="s">
        <v>363</v>
      </c>
      <c r="BV549" s="1" t="s">
        <v>206</v>
      </c>
      <c r="BW549" s="1" t="s">
        <v>207</v>
      </c>
      <c r="BY549" s="1" t="s">
        <v>1064</v>
      </c>
      <c r="BZ549" s="1" t="s">
        <v>209</v>
      </c>
      <c r="CA549" s="1" t="s">
        <v>210</v>
      </c>
      <c r="CC549" s="1" t="s">
        <v>584</v>
      </c>
      <c r="CD549" s="1" t="s">
        <v>206</v>
      </c>
      <c r="CE549" s="1" t="s">
        <v>207</v>
      </c>
      <c r="CF549" s="1" t="s">
        <v>229</v>
      </c>
      <c r="CG549" s="1" t="s">
        <v>5440</v>
      </c>
      <c r="CH549" s="1" t="s">
        <v>206</v>
      </c>
      <c r="CI549" s="1" t="s">
        <v>210</v>
      </c>
      <c r="CK549" s="1" t="s">
        <v>7133</v>
      </c>
      <c r="CL549" s="1" t="s">
        <v>206</v>
      </c>
      <c r="CM549" s="1" t="s">
        <v>210</v>
      </c>
      <c r="CO549" s="1" t="s">
        <v>363</v>
      </c>
      <c r="CP549" s="1" t="s">
        <v>209</v>
      </c>
      <c r="CQ549" s="1" t="s">
        <v>210</v>
      </c>
      <c r="CS549" s="1" t="s">
        <v>475</v>
      </c>
      <c r="CT549" s="1" t="s">
        <v>206</v>
      </c>
      <c r="CU549" s="1" t="s">
        <v>617</v>
      </c>
      <c r="CX549" s="1" t="s">
        <v>204</v>
      </c>
      <c r="DA549" s="1" t="s">
        <v>200</v>
      </c>
      <c r="DC549" s="1" t="s">
        <v>642</v>
      </c>
      <c r="DE549" s="1" t="s">
        <v>273</v>
      </c>
      <c r="DF549" s="1" t="s">
        <v>219</v>
      </c>
      <c r="DG549" s="1" t="s">
        <v>337</v>
      </c>
      <c r="DH549" s="1" t="s">
        <v>365</v>
      </c>
      <c r="DJ549" s="1" t="s">
        <v>222</v>
      </c>
      <c r="DL549" s="1" t="s">
        <v>223</v>
      </c>
      <c r="DM549" s="1" t="s">
        <v>229</v>
      </c>
      <c r="DQ549" s="1" t="s">
        <v>228</v>
      </c>
      <c r="DR549" s="1" t="s">
        <v>229</v>
      </c>
      <c r="DS549" s="1" t="s">
        <v>230</v>
      </c>
      <c r="DV549" s="1" t="s">
        <v>556</v>
      </c>
      <c r="DW549" s="1" t="s">
        <v>7134</v>
      </c>
      <c r="DX549" s="1" t="s">
        <v>234</v>
      </c>
      <c r="DY549" s="1" t="s">
        <v>704</v>
      </c>
      <c r="EA549" s="1" t="s">
        <v>1075</v>
      </c>
      <c r="EC549" s="1" t="s">
        <v>645</v>
      </c>
      <c r="EE549" s="1" t="s">
        <v>1673</v>
      </c>
      <c r="EG549" s="1" t="s">
        <v>556</v>
      </c>
      <c r="EL549" s="1" t="s">
        <v>7135</v>
      </c>
      <c r="EM549" s="1" t="s">
        <v>206</v>
      </c>
      <c r="EN549" s="1" t="s">
        <v>617</v>
      </c>
      <c r="EQ549" s="1" t="s">
        <v>238</v>
      </c>
      <c r="EU549" s="1" t="s">
        <v>238</v>
      </c>
      <c r="EY549" s="1" t="s">
        <v>238</v>
      </c>
      <c r="FC549" s="1" t="s">
        <v>238</v>
      </c>
      <c r="FF549" s="1" t="s">
        <v>239</v>
      </c>
      <c r="FG549" s="1" t="s">
        <v>192</v>
      </c>
      <c r="FH549" s="1" t="s">
        <v>192</v>
      </c>
      <c r="FJ549" s="1" t="s">
        <v>3728</v>
      </c>
      <c r="FK549" s="1" t="s">
        <v>229</v>
      </c>
      <c r="FL549" s="1" t="s">
        <v>7136</v>
      </c>
      <c r="FM549" s="1">
        <v>22824.0</v>
      </c>
      <c r="FN549" s="1" t="s">
        <v>7137</v>
      </c>
      <c r="FO549" s="1" t="s">
        <v>7138</v>
      </c>
      <c r="FP549" s="1">
        <v>216933.0</v>
      </c>
      <c r="FQ549" s="1" t="s">
        <v>7139</v>
      </c>
      <c r="FU549" s="1" t="s">
        <v>7140</v>
      </c>
      <c r="FV549" s="1" t="s">
        <v>200</v>
      </c>
      <c r="FW549" s="1" t="s">
        <v>3082</v>
      </c>
      <c r="FX549" s="1" t="s">
        <v>655</v>
      </c>
      <c r="FZ549" s="1" t="s">
        <v>229</v>
      </c>
      <c r="GA549" s="1" t="s">
        <v>291</v>
      </c>
      <c r="GB549" s="2">
        <v>42114.0</v>
      </c>
      <c r="GC549" s="1" t="s">
        <v>7141</v>
      </c>
    </row>
    <row r="550">
      <c r="A550" s="1">
        <v>115000.0</v>
      </c>
      <c r="B550" s="1" t="s">
        <v>185</v>
      </c>
      <c r="C550" s="1" t="str">
        <f>"08800246"</f>
        <v>08800246</v>
      </c>
      <c r="D550" s="1" t="s">
        <v>186</v>
      </c>
      <c r="F550" s="1" t="str">
        <f>"123"</f>
        <v>123</v>
      </c>
      <c r="G550" s="2">
        <v>41983.0</v>
      </c>
      <c r="H550" s="1">
        <v>115500.0</v>
      </c>
      <c r="I550" s="1">
        <v>22.0</v>
      </c>
      <c r="J550" s="1">
        <v>115500.0</v>
      </c>
      <c r="K550" s="2">
        <v>42003.0</v>
      </c>
      <c r="L550" s="1">
        <v>22.0</v>
      </c>
      <c r="M550" s="2">
        <v>42003.0</v>
      </c>
      <c r="N550" s="1" t="s">
        <v>187</v>
      </c>
      <c r="O550" s="2">
        <v>42033.0</v>
      </c>
      <c r="P550" s="1">
        <v>7576.0</v>
      </c>
      <c r="Q550" s="1">
        <v>7375.0</v>
      </c>
      <c r="S550" s="1">
        <v>945.0</v>
      </c>
      <c r="T550" s="1" t="s">
        <v>7142</v>
      </c>
      <c r="U550" s="1" t="s">
        <v>189</v>
      </c>
      <c r="V550" s="1" t="s">
        <v>465</v>
      </c>
      <c r="W550" s="1">
        <v>60120.0</v>
      </c>
      <c r="Y550" s="1" t="s">
        <v>7143</v>
      </c>
      <c r="Z550" s="1">
        <v>1964.0</v>
      </c>
      <c r="AA550" s="1" t="s">
        <v>192</v>
      </c>
      <c r="AB550" s="1" t="s">
        <v>193</v>
      </c>
      <c r="AD550" s="1" t="s">
        <v>469</v>
      </c>
      <c r="AE550" s="1" t="s">
        <v>195</v>
      </c>
      <c r="AF550" s="1" t="s">
        <v>298</v>
      </c>
      <c r="AH550" s="1" t="s">
        <v>7144</v>
      </c>
      <c r="AI550" s="1">
        <v>0.1708</v>
      </c>
      <c r="AK550" s="1">
        <v>8.0</v>
      </c>
      <c r="AL550" s="1">
        <v>4.0</v>
      </c>
      <c r="AM550" s="1">
        <v>2.0</v>
      </c>
      <c r="AN550" s="1">
        <v>1.0</v>
      </c>
      <c r="AO550" s="1" t="s">
        <v>198</v>
      </c>
      <c r="AQ550" s="1" t="s">
        <v>1314</v>
      </c>
      <c r="AR550" s="1" t="s">
        <v>192</v>
      </c>
      <c r="AS550" s="1" t="s">
        <v>199</v>
      </c>
      <c r="AT550" s="1">
        <v>2.0</v>
      </c>
      <c r="AV550" s="1" t="s">
        <v>200</v>
      </c>
      <c r="AW550" s="1">
        <v>3930.82</v>
      </c>
      <c r="AX550" s="1">
        <v>2013.0</v>
      </c>
      <c r="AZ550" s="1" t="s">
        <v>200</v>
      </c>
      <c r="BA550" s="1" t="str">
        <f>"06071060640000"</f>
        <v>06071060640000</v>
      </c>
      <c r="BB550" s="1" t="s">
        <v>200</v>
      </c>
      <c r="BC550" s="1">
        <v>1272.0</v>
      </c>
      <c r="BD550" s="1">
        <v>115000.0</v>
      </c>
      <c r="BE550" s="2">
        <v>41982.0</v>
      </c>
      <c r="BF550" s="2" t="s">
        <v>7145</v>
      </c>
      <c r="BG550" s="1" t="s">
        <v>1241</v>
      </c>
      <c r="BH550" s="1">
        <v>0.0</v>
      </c>
      <c r="BI550" s="1" t="s">
        <v>1242</v>
      </c>
      <c r="BJ550" s="1" t="s">
        <v>1243</v>
      </c>
      <c r="BK550" s="1" t="s">
        <v>204</v>
      </c>
      <c r="BL550" s="1" t="str">
        <f t="shared" ref="BL550:BM550" si="371">""</f>
        <v/>
      </c>
      <c r="BM550" s="1" t="str">
        <f t="shared" si="371"/>
        <v/>
      </c>
      <c r="BQ550" s="1">
        <v>46.0</v>
      </c>
      <c r="BR550" s="1">
        <v>46.0</v>
      </c>
      <c r="BS550" s="1">
        <v>46.0</v>
      </c>
      <c r="BU550" s="1" t="s">
        <v>784</v>
      </c>
      <c r="BV550" s="1" t="s">
        <v>206</v>
      </c>
      <c r="BW550" s="1" t="s">
        <v>207</v>
      </c>
      <c r="BY550" s="1" t="s">
        <v>262</v>
      </c>
      <c r="BZ550" s="1" t="s">
        <v>206</v>
      </c>
      <c r="CA550" s="1" t="s">
        <v>207</v>
      </c>
      <c r="CC550" s="1" t="s">
        <v>264</v>
      </c>
      <c r="CD550" s="1" t="s">
        <v>206</v>
      </c>
      <c r="CE550" s="1" t="s">
        <v>207</v>
      </c>
      <c r="CG550" s="1" t="s">
        <v>495</v>
      </c>
      <c r="CH550" s="1" t="s">
        <v>206</v>
      </c>
      <c r="CI550" s="1" t="s">
        <v>207</v>
      </c>
      <c r="CK550" s="1" t="s">
        <v>269</v>
      </c>
      <c r="CL550" s="1" t="s">
        <v>206</v>
      </c>
      <c r="CM550" s="1" t="s">
        <v>207</v>
      </c>
      <c r="CO550" s="1" t="s">
        <v>332</v>
      </c>
      <c r="CP550" s="1" t="s">
        <v>267</v>
      </c>
      <c r="CQ550" s="1" t="s">
        <v>301</v>
      </c>
      <c r="CS550" s="1" t="s">
        <v>331</v>
      </c>
      <c r="CT550" s="1" t="s">
        <v>267</v>
      </c>
      <c r="CU550" s="1" t="s">
        <v>617</v>
      </c>
      <c r="CW550" s="1" t="s">
        <v>616</v>
      </c>
      <c r="CX550" s="1" t="s">
        <v>267</v>
      </c>
      <c r="CY550" s="1" t="s">
        <v>301</v>
      </c>
      <c r="DA550" s="1" t="s">
        <v>200</v>
      </c>
      <c r="DC550" s="1" t="s">
        <v>517</v>
      </c>
      <c r="DD550" s="1" t="s">
        <v>518</v>
      </c>
      <c r="DE550" s="1" t="s">
        <v>273</v>
      </c>
      <c r="DF550" s="1" t="s">
        <v>219</v>
      </c>
      <c r="DH550" s="1" t="s">
        <v>220</v>
      </c>
      <c r="DJ550" s="1" t="s">
        <v>222</v>
      </c>
      <c r="DL550" s="1" t="s">
        <v>224</v>
      </c>
      <c r="DM550" s="1" t="s">
        <v>4610</v>
      </c>
      <c r="DO550" s="1" t="s">
        <v>7146</v>
      </c>
      <c r="DP550" s="1" t="s">
        <v>400</v>
      </c>
      <c r="DQ550" s="1" t="s">
        <v>228</v>
      </c>
      <c r="DR550" s="1" t="s">
        <v>229</v>
      </c>
      <c r="DV550" s="1" t="s">
        <v>232</v>
      </c>
      <c r="DW550" s="1" t="s">
        <v>233</v>
      </c>
      <c r="DX550" s="1" t="s">
        <v>234</v>
      </c>
      <c r="DY550" s="1" t="s">
        <v>704</v>
      </c>
      <c r="DZ550" s="1" t="s">
        <v>1100</v>
      </c>
      <c r="EA550" s="1" t="s">
        <v>588</v>
      </c>
      <c r="EC550" s="1" t="s">
        <v>311</v>
      </c>
      <c r="EM550" s="1" t="s">
        <v>238</v>
      </c>
      <c r="EQ550" s="1" t="s">
        <v>238</v>
      </c>
      <c r="EU550" s="1" t="s">
        <v>238</v>
      </c>
      <c r="EY550" s="1" t="s">
        <v>238</v>
      </c>
      <c r="FC550" s="1" t="s">
        <v>238</v>
      </c>
      <c r="FF550" s="1" t="s">
        <v>239</v>
      </c>
      <c r="FG550" s="1" t="s">
        <v>192</v>
      </c>
      <c r="FH550" s="1" t="s">
        <v>192</v>
      </c>
      <c r="FJ550" s="1" t="s">
        <v>524</v>
      </c>
      <c r="FK550" s="1" t="s">
        <v>229</v>
      </c>
      <c r="FL550" s="1" t="s">
        <v>974</v>
      </c>
      <c r="FM550" s="1">
        <v>3770.0</v>
      </c>
      <c r="FN550" s="1" t="s">
        <v>7147</v>
      </c>
      <c r="FO550" s="1" t="s">
        <v>7148</v>
      </c>
      <c r="FP550" s="1">
        <v>32251.0</v>
      </c>
      <c r="FQ550" s="1" t="s">
        <v>7149</v>
      </c>
      <c r="FS550" s="1" t="s">
        <v>7150</v>
      </c>
      <c r="FU550" s="1" t="s">
        <v>7151</v>
      </c>
      <c r="FV550" s="1" t="s">
        <v>200</v>
      </c>
      <c r="FW550" s="1" t="s">
        <v>1511</v>
      </c>
      <c r="FZ550" s="1" t="s">
        <v>229</v>
      </c>
      <c r="GA550" s="1" t="s">
        <v>291</v>
      </c>
      <c r="GB550" s="2">
        <v>42033.0</v>
      </c>
      <c r="GC550" s="1" t="s">
        <v>7152</v>
      </c>
    </row>
    <row r="551">
      <c r="A551" s="1">
        <v>109500.0</v>
      </c>
      <c r="B551" s="1" t="s">
        <v>185</v>
      </c>
      <c r="C551" s="1" t="str">
        <f>"08805658"</f>
        <v>08805658</v>
      </c>
      <c r="D551" s="1" t="s">
        <v>186</v>
      </c>
      <c r="F551" s="1" t="str">
        <f>"115"</f>
        <v>115</v>
      </c>
      <c r="G551" s="2">
        <v>41996.0</v>
      </c>
      <c r="H551" s="1">
        <v>143600.0</v>
      </c>
      <c r="I551" s="1">
        <v>90.0</v>
      </c>
      <c r="J551" s="1">
        <v>136500.0</v>
      </c>
      <c r="K551" s="2">
        <v>42054.0</v>
      </c>
      <c r="L551" s="1">
        <v>60.0</v>
      </c>
      <c r="M551" s="2">
        <v>42054.0</v>
      </c>
      <c r="N551" s="1" t="s">
        <v>249</v>
      </c>
      <c r="O551" s="2">
        <v>42074.0</v>
      </c>
      <c r="P551" s="1">
        <v>930128.0</v>
      </c>
      <c r="Q551" s="1">
        <v>93043.0</v>
      </c>
      <c r="S551" s="1">
        <v>195.0</v>
      </c>
      <c r="T551" s="1" t="s">
        <v>7153</v>
      </c>
      <c r="U551" s="1" t="s">
        <v>1174</v>
      </c>
      <c r="V551" s="1" t="s">
        <v>610</v>
      </c>
      <c r="W551" s="1">
        <v>60115.0</v>
      </c>
      <c r="Y551" s="1" t="s">
        <v>7154</v>
      </c>
      <c r="Z551" s="1">
        <v>2006.0</v>
      </c>
      <c r="AA551" s="1" t="s">
        <v>200</v>
      </c>
      <c r="AB551" s="1" t="s">
        <v>193</v>
      </c>
      <c r="AD551" s="1" t="s">
        <v>612</v>
      </c>
      <c r="AE551" s="1" t="s">
        <v>613</v>
      </c>
      <c r="AF551" s="1" t="s">
        <v>612</v>
      </c>
      <c r="AH551" s="1" t="s">
        <v>7155</v>
      </c>
      <c r="AI551" s="1">
        <v>0.23</v>
      </c>
      <c r="AK551" s="1">
        <v>7.0</v>
      </c>
      <c r="AL551" s="1">
        <v>4.0</v>
      </c>
      <c r="AM551" s="1">
        <v>2.0</v>
      </c>
      <c r="AN551" s="1">
        <v>1.0</v>
      </c>
      <c r="AO551" s="1" t="s">
        <v>198</v>
      </c>
      <c r="AP551" s="1">
        <v>1.0</v>
      </c>
      <c r="AQ551" s="1" t="s">
        <v>198</v>
      </c>
      <c r="AR551" s="1" t="s">
        <v>200</v>
      </c>
      <c r="AS551" s="1" t="s">
        <v>199</v>
      </c>
      <c r="AT551" s="1">
        <v>2.0</v>
      </c>
      <c r="AV551" s="1" t="s">
        <v>200</v>
      </c>
      <c r="AW551" s="1">
        <v>5977.4</v>
      </c>
      <c r="AX551" s="1">
        <v>2013.0</v>
      </c>
      <c r="AY551" s="1" t="s">
        <v>229</v>
      </c>
      <c r="AZ551" s="1" t="s">
        <v>200</v>
      </c>
      <c r="BA551" s="1" t="str">
        <f>"0811350014"</f>
        <v>0811350014</v>
      </c>
      <c r="BB551" s="1" t="s">
        <v>200</v>
      </c>
      <c r="BC551" s="1">
        <v>1800.0</v>
      </c>
      <c r="BD551" s="1">
        <v>109500.0</v>
      </c>
      <c r="BE551" s="2">
        <v>41995.0</v>
      </c>
      <c r="BF551" s="1" t="s">
        <v>7156</v>
      </c>
      <c r="BH551" s="1">
        <v>0.0</v>
      </c>
      <c r="BK551" s="1" t="s">
        <v>204</v>
      </c>
      <c r="BL551" s="1" t="str">
        <f t="shared" ref="BL551:BM551" si="372">""</f>
        <v/>
      </c>
      <c r="BM551" s="1" t="str">
        <f t="shared" si="372"/>
        <v/>
      </c>
      <c r="BQ551" s="1">
        <v>428.0</v>
      </c>
      <c r="BR551" s="1">
        <v>428.0</v>
      </c>
      <c r="BS551" s="1">
        <v>428.0</v>
      </c>
      <c r="BU551" s="1" t="s">
        <v>260</v>
      </c>
      <c r="BV551" s="1" t="s">
        <v>206</v>
      </c>
      <c r="BW551" s="1" t="s">
        <v>210</v>
      </c>
      <c r="BX551" s="1" t="s">
        <v>431</v>
      </c>
      <c r="BY551" s="1" t="s">
        <v>205</v>
      </c>
      <c r="BZ551" s="1" t="s">
        <v>209</v>
      </c>
      <c r="CA551" s="1" t="s">
        <v>210</v>
      </c>
      <c r="CB551" s="1" t="s">
        <v>431</v>
      </c>
      <c r="CC551" s="1" t="s">
        <v>495</v>
      </c>
      <c r="CD551" s="1" t="s">
        <v>206</v>
      </c>
      <c r="CE551" s="1" t="s">
        <v>210</v>
      </c>
      <c r="CF551" s="1" t="s">
        <v>431</v>
      </c>
      <c r="CG551" s="1" t="s">
        <v>925</v>
      </c>
      <c r="CH551" s="1" t="s">
        <v>209</v>
      </c>
      <c r="CI551" s="1" t="s">
        <v>210</v>
      </c>
      <c r="CJ551" s="1" t="s">
        <v>431</v>
      </c>
      <c r="CK551" s="1" t="s">
        <v>264</v>
      </c>
      <c r="CL551" s="1" t="s">
        <v>209</v>
      </c>
      <c r="CM551" s="1" t="s">
        <v>210</v>
      </c>
      <c r="CN551" s="1" t="s">
        <v>431</v>
      </c>
      <c r="CO551" s="1" t="s">
        <v>269</v>
      </c>
      <c r="CP551" s="1" t="s">
        <v>209</v>
      </c>
      <c r="CQ551" s="1" t="s">
        <v>210</v>
      </c>
      <c r="CR551" s="1" t="s">
        <v>431</v>
      </c>
      <c r="CS551" s="1" t="s">
        <v>262</v>
      </c>
      <c r="CT551" s="1" t="s">
        <v>206</v>
      </c>
      <c r="CU551" s="1" t="s">
        <v>207</v>
      </c>
      <c r="CV551" s="1" t="s">
        <v>431</v>
      </c>
      <c r="CX551" s="1" t="s">
        <v>204</v>
      </c>
      <c r="DA551" s="1" t="s">
        <v>200</v>
      </c>
      <c r="DC551" s="1" t="s">
        <v>481</v>
      </c>
      <c r="DD551" s="1" t="s">
        <v>518</v>
      </c>
      <c r="DE551" s="1" t="s">
        <v>273</v>
      </c>
      <c r="DF551" s="1" t="s">
        <v>219</v>
      </c>
      <c r="DH551" s="1" t="s">
        <v>220</v>
      </c>
      <c r="DI551" s="1" t="s">
        <v>3203</v>
      </c>
      <c r="DJ551" s="1" t="s">
        <v>222</v>
      </c>
      <c r="DL551" s="1" t="s">
        <v>223</v>
      </c>
      <c r="DM551" s="1" t="s">
        <v>229</v>
      </c>
      <c r="DQ551" s="1" t="s">
        <v>441</v>
      </c>
      <c r="DR551" s="1" t="s">
        <v>229</v>
      </c>
      <c r="DV551" s="1" t="s">
        <v>232</v>
      </c>
      <c r="DW551" s="1" t="s">
        <v>7157</v>
      </c>
      <c r="DX551" s="1" t="s">
        <v>234</v>
      </c>
      <c r="DY551" s="1" t="s">
        <v>704</v>
      </c>
      <c r="EB551" s="1" t="s">
        <v>684</v>
      </c>
      <c r="EC551" s="1" t="s">
        <v>237</v>
      </c>
      <c r="EM551" s="1" t="s">
        <v>238</v>
      </c>
      <c r="EQ551" s="1" t="s">
        <v>238</v>
      </c>
      <c r="EU551" s="1" t="s">
        <v>238</v>
      </c>
      <c r="EY551" s="1" t="s">
        <v>238</v>
      </c>
      <c r="FC551" s="1" t="s">
        <v>238</v>
      </c>
      <c r="FF551" s="1" t="s">
        <v>2447</v>
      </c>
      <c r="FG551" s="1" t="s">
        <v>192</v>
      </c>
      <c r="FH551" s="1" t="s">
        <v>192</v>
      </c>
      <c r="FJ551" s="1" t="s">
        <v>6372</v>
      </c>
      <c r="FK551" s="1" t="s">
        <v>229</v>
      </c>
      <c r="FL551" s="1" t="s">
        <v>4954</v>
      </c>
      <c r="FM551" s="1">
        <v>25558.0</v>
      </c>
      <c r="FN551" s="1" t="s">
        <v>1998</v>
      </c>
      <c r="FO551" s="1" t="s">
        <v>7158</v>
      </c>
      <c r="FP551" s="1">
        <v>241068.0</v>
      </c>
      <c r="FQ551" s="1" t="s">
        <v>7159</v>
      </c>
      <c r="FU551" s="1" t="s">
        <v>7160</v>
      </c>
      <c r="FV551" s="1" t="s">
        <v>200</v>
      </c>
      <c r="FW551" s="1" t="s">
        <v>290</v>
      </c>
      <c r="FZ551" s="1" t="s">
        <v>229</v>
      </c>
      <c r="GA551" s="1" t="s">
        <v>291</v>
      </c>
      <c r="GB551" s="2">
        <v>42075.0</v>
      </c>
      <c r="GC551" s="1" t="s">
        <v>7161</v>
      </c>
    </row>
    <row r="552">
      <c r="A552" s="1">
        <v>199950.0</v>
      </c>
      <c r="B552" s="1" t="s">
        <v>185</v>
      </c>
      <c r="C552" s="1" t="str">
        <f>"08806459"</f>
        <v>08806459</v>
      </c>
      <c r="D552" s="1" t="s">
        <v>186</v>
      </c>
      <c r="F552" s="1" t="str">
        <f>"538"</f>
        <v>538</v>
      </c>
      <c r="G552" s="2">
        <v>42000.0</v>
      </c>
      <c r="H552" s="1">
        <v>207500.0</v>
      </c>
      <c r="I552" s="1">
        <v>55.0</v>
      </c>
      <c r="J552" s="1">
        <v>199950.0</v>
      </c>
      <c r="K552" s="2">
        <v>42054.0</v>
      </c>
      <c r="L552" s="1">
        <v>55.0</v>
      </c>
      <c r="M552" s="2">
        <v>42054.0</v>
      </c>
      <c r="N552" s="1" t="s">
        <v>187</v>
      </c>
      <c r="O552" s="2">
        <v>42100.0</v>
      </c>
      <c r="P552" s="1">
        <v>217273.0</v>
      </c>
      <c r="Q552" s="1">
        <v>23842.0</v>
      </c>
      <c r="S552" s="1">
        <v>2420.0</v>
      </c>
      <c r="T552" s="1" t="s">
        <v>7162</v>
      </c>
      <c r="U552" s="1" t="s">
        <v>1174</v>
      </c>
      <c r="V552" s="1" t="s">
        <v>1340</v>
      </c>
      <c r="W552" s="1">
        <v>60538.0</v>
      </c>
      <c r="Y552" s="1" t="s">
        <v>7163</v>
      </c>
      <c r="Z552" s="1">
        <v>2003.0</v>
      </c>
      <c r="AA552" s="1" t="s">
        <v>200</v>
      </c>
      <c r="AB552" s="1" t="s">
        <v>193</v>
      </c>
      <c r="AC552" s="1" t="s">
        <v>7164</v>
      </c>
      <c r="AD552" s="1" t="s">
        <v>1343</v>
      </c>
      <c r="AE552" s="1" t="s">
        <v>849</v>
      </c>
      <c r="AF552" s="1" t="s">
        <v>1312</v>
      </c>
      <c r="AH552" s="1" t="s">
        <v>2576</v>
      </c>
      <c r="AK552" s="1">
        <v>10.0</v>
      </c>
      <c r="AL552" s="1">
        <v>4.0</v>
      </c>
      <c r="AM552" s="1">
        <v>2.0</v>
      </c>
      <c r="AN552" s="1">
        <v>1.0</v>
      </c>
      <c r="AO552" s="1" t="s">
        <v>198</v>
      </c>
      <c r="AQ552" s="1" t="s">
        <v>198</v>
      </c>
      <c r="AR552" s="1" t="s">
        <v>200</v>
      </c>
      <c r="AS552" s="1" t="s">
        <v>199</v>
      </c>
      <c r="AT552" s="1">
        <v>2.0</v>
      </c>
      <c r="AV552" s="1" t="s">
        <v>200</v>
      </c>
      <c r="AW552" s="1">
        <v>6239.0</v>
      </c>
      <c r="AX552" s="1">
        <v>2013.0</v>
      </c>
      <c r="AY552" s="1" t="s">
        <v>852</v>
      </c>
      <c r="AZ552" s="1" t="s">
        <v>200</v>
      </c>
      <c r="BA552" s="1" t="str">
        <f>"0202483027"</f>
        <v>0202483027</v>
      </c>
      <c r="BC552" s="1">
        <v>2085.0</v>
      </c>
      <c r="BD552" s="1">
        <v>199950.0</v>
      </c>
      <c r="BE552" s="2">
        <v>42000.0</v>
      </c>
      <c r="BF552" s="2" t="s">
        <v>7165</v>
      </c>
      <c r="BG552" s="1" t="s">
        <v>1837</v>
      </c>
      <c r="BH552" s="1">
        <v>0.0</v>
      </c>
      <c r="BI552" s="1" t="s">
        <v>1533</v>
      </c>
      <c r="BJ552" s="1" t="s">
        <v>1349</v>
      </c>
      <c r="BK552" s="1" t="s">
        <v>204</v>
      </c>
      <c r="BL552" s="1" t="str">
        <f t="shared" ref="BL552:BM552" si="373">"0"</f>
        <v>0</v>
      </c>
      <c r="BM552" s="1" t="str">
        <f t="shared" si="373"/>
        <v>0</v>
      </c>
      <c r="BN552" s="1">
        <v>0.0</v>
      </c>
      <c r="BO552" s="1">
        <v>0.0</v>
      </c>
      <c r="BQ552" s="1">
        <v>308.0</v>
      </c>
      <c r="BR552" s="1">
        <v>308.0</v>
      </c>
      <c r="BS552" s="1">
        <v>308.0</v>
      </c>
      <c r="BU552" s="1" t="s">
        <v>215</v>
      </c>
      <c r="BV552" s="1" t="s">
        <v>206</v>
      </c>
      <c r="BW552" s="1" t="s">
        <v>301</v>
      </c>
      <c r="BY552" s="1" t="s">
        <v>433</v>
      </c>
      <c r="BZ552" s="1" t="s">
        <v>209</v>
      </c>
      <c r="CA552" s="1" t="s">
        <v>210</v>
      </c>
      <c r="CC552" s="1" t="s">
        <v>269</v>
      </c>
      <c r="CD552" s="1" t="s">
        <v>206</v>
      </c>
      <c r="CE552" s="1" t="s">
        <v>301</v>
      </c>
      <c r="CG552" s="1" t="s">
        <v>212</v>
      </c>
      <c r="CH552" s="1" t="s">
        <v>209</v>
      </c>
      <c r="CI552" s="1" t="s">
        <v>210</v>
      </c>
      <c r="CK552" s="1" t="s">
        <v>699</v>
      </c>
      <c r="CL552" s="1" t="s">
        <v>209</v>
      </c>
      <c r="CM552" s="1" t="s">
        <v>210</v>
      </c>
      <c r="CO552" s="1" t="s">
        <v>269</v>
      </c>
      <c r="CP552" s="1" t="s">
        <v>209</v>
      </c>
      <c r="CQ552" s="1" t="s">
        <v>210</v>
      </c>
      <c r="CS552" s="1" t="s">
        <v>582</v>
      </c>
      <c r="CT552" s="1" t="s">
        <v>206</v>
      </c>
      <c r="CU552" s="1" t="s">
        <v>268</v>
      </c>
      <c r="CW552" s="1" t="s">
        <v>582</v>
      </c>
      <c r="CX552" s="1" t="s">
        <v>206</v>
      </c>
      <c r="DA552" s="1" t="s">
        <v>200</v>
      </c>
      <c r="DC552" s="1" t="s">
        <v>335</v>
      </c>
      <c r="DD552" s="1" t="s">
        <v>217</v>
      </c>
      <c r="DE552" s="1" t="s">
        <v>273</v>
      </c>
      <c r="DF552" s="1" t="s">
        <v>219</v>
      </c>
      <c r="DG552" s="1" t="s">
        <v>7166</v>
      </c>
      <c r="DH552" s="1" t="s">
        <v>220</v>
      </c>
      <c r="DI552" s="1" t="s">
        <v>1003</v>
      </c>
      <c r="DJ552" s="1" t="s">
        <v>222</v>
      </c>
      <c r="DL552" s="1" t="s">
        <v>223</v>
      </c>
      <c r="DM552" s="1" t="s">
        <v>338</v>
      </c>
      <c r="DN552" s="1" t="s">
        <v>367</v>
      </c>
      <c r="DP552" s="1" t="s">
        <v>276</v>
      </c>
      <c r="DQ552" s="1" t="s">
        <v>228</v>
      </c>
      <c r="DR552" s="1" t="s">
        <v>229</v>
      </c>
      <c r="DS552" s="1" t="s">
        <v>230</v>
      </c>
      <c r="DU552" s="1" t="s">
        <v>1840</v>
      </c>
      <c r="DV552" s="1" t="s">
        <v>2891</v>
      </c>
      <c r="DW552" s="1" t="s">
        <v>233</v>
      </c>
      <c r="DX552" s="1" t="s">
        <v>234</v>
      </c>
      <c r="DY552" s="1" t="s">
        <v>861</v>
      </c>
      <c r="DZ552" s="1" t="s">
        <v>343</v>
      </c>
      <c r="EA552" s="1" t="s">
        <v>344</v>
      </c>
      <c r="EC552" s="1" t="s">
        <v>237</v>
      </c>
      <c r="ED552" s="1" t="s">
        <v>555</v>
      </c>
      <c r="EG552" s="1" t="s">
        <v>557</v>
      </c>
      <c r="EH552" s="1" t="s">
        <v>450</v>
      </c>
      <c r="EL552" s="1" t="s">
        <v>955</v>
      </c>
      <c r="EM552" s="1" t="s">
        <v>209</v>
      </c>
      <c r="EN552" s="1" t="s">
        <v>210</v>
      </c>
      <c r="EP552" s="1" t="s">
        <v>1892</v>
      </c>
      <c r="EQ552" s="1" t="s">
        <v>42</v>
      </c>
      <c r="ER552" s="1" t="s">
        <v>210</v>
      </c>
      <c r="EU552" s="1" t="s">
        <v>238</v>
      </c>
      <c r="EY552" s="1" t="s">
        <v>238</v>
      </c>
      <c r="FC552" s="1" t="s">
        <v>238</v>
      </c>
      <c r="FF552" s="1" t="s">
        <v>239</v>
      </c>
      <c r="FG552" s="1" t="s">
        <v>192</v>
      </c>
      <c r="FH552" s="1" t="s">
        <v>192</v>
      </c>
      <c r="FJ552" s="1" t="s">
        <v>770</v>
      </c>
      <c r="FK552" s="1" t="s">
        <v>229</v>
      </c>
      <c r="FL552" s="1" t="s">
        <v>525</v>
      </c>
      <c r="FM552" s="1">
        <v>22029.0</v>
      </c>
      <c r="FN552" s="1" t="s">
        <v>526</v>
      </c>
      <c r="FO552" s="1" t="s">
        <v>1842</v>
      </c>
      <c r="FP552" s="1">
        <v>231272.0</v>
      </c>
      <c r="FQ552" s="1" t="s">
        <v>1843</v>
      </c>
      <c r="FS552" s="1" t="s">
        <v>1844</v>
      </c>
      <c r="FT552" s="1" t="s">
        <v>1845</v>
      </c>
      <c r="FU552" s="1" t="s">
        <v>7167</v>
      </c>
      <c r="FV552" s="1" t="s">
        <v>200</v>
      </c>
      <c r="FW552" s="1" t="s">
        <v>290</v>
      </c>
      <c r="FZ552" s="1" t="s">
        <v>632</v>
      </c>
      <c r="GA552" s="1" t="s">
        <v>291</v>
      </c>
      <c r="GB552" s="2">
        <v>42100.0</v>
      </c>
      <c r="GC552" s="1" t="s">
        <v>7168</v>
      </c>
    </row>
    <row r="553">
      <c r="A553" s="1">
        <v>200000.0</v>
      </c>
      <c r="B553" s="1" t="s">
        <v>185</v>
      </c>
      <c r="C553" s="1" t="str">
        <f>"08806881"</f>
        <v>08806881</v>
      </c>
      <c r="D553" s="1" t="s">
        <v>186</v>
      </c>
      <c r="F553" s="1" t="str">
        <f>"123"</f>
        <v>123</v>
      </c>
      <c r="G553" s="2">
        <v>42002.0</v>
      </c>
      <c r="H553" s="1">
        <v>262500.0</v>
      </c>
      <c r="I553" s="1">
        <v>92.0</v>
      </c>
      <c r="J553" s="1">
        <v>208900.0</v>
      </c>
      <c r="K553" s="2">
        <v>42093.0</v>
      </c>
      <c r="L553" s="1">
        <v>92.0</v>
      </c>
      <c r="M553" s="2">
        <v>42093.0</v>
      </c>
      <c r="N553" s="1" t="s">
        <v>356</v>
      </c>
      <c r="O553" s="2">
        <v>42111.0</v>
      </c>
      <c r="P553" s="1">
        <v>8423.0</v>
      </c>
      <c r="Q553" s="1">
        <v>7450.0</v>
      </c>
      <c r="S553" s="1">
        <v>521.0</v>
      </c>
      <c r="T553" s="1" t="s">
        <v>7169</v>
      </c>
      <c r="U553" s="1" t="s">
        <v>1442</v>
      </c>
      <c r="V553" s="1" t="s">
        <v>465</v>
      </c>
      <c r="W553" s="1">
        <v>60123.0</v>
      </c>
      <c r="Y553" s="1" t="s">
        <v>7170</v>
      </c>
      <c r="Z553" s="1">
        <v>1960.0</v>
      </c>
      <c r="AA553" s="1" t="s">
        <v>192</v>
      </c>
      <c r="AB553" s="1" t="s">
        <v>193</v>
      </c>
      <c r="AC553" s="1" t="s">
        <v>7171</v>
      </c>
      <c r="AD553" s="1" t="s">
        <v>469</v>
      </c>
      <c r="AE553" s="1" t="s">
        <v>325</v>
      </c>
      <c r="AF553" s="1" t="s">
        <v>469</v>
      </c>
      <c r="AH553" s="1" t="s">
        <v>7172</v>
      </c>
      <c r="AK553" s="1">
        <v>10.0</v>
      </c>
      <c r="AL553" s="1">
        <v>4.0</v>
      </c>
      <c r="AM553" s="1">
        <v>2.0</v>
      </c>
      <c r="AN553" s="1">
        <v>2.0</v>
      </c>
      <c r="AO553" s="1" t="s">
        <v>198</v>
      </c>
      <c r="AP553" s="1">
        <v>1.0</v>
      </c>
      <c r="AQ553" s="1" t="s">
        <v>1314</v>
      </c>
      <c r="AR553" s="1" t="s">
        <v>192</v>
      </c>
      <c r="AS553" s="1" t="s">
        <v>199</v>
      </c>
      <c r="AT553" s="1">
        <v>2.0</v>
      </c>
      <c r="AV553" s="1" t="s">
        <v>200</v>
      </c>
      <c r="AW553" s="1">
        <v>6016.64</v>
      </c>
      <c r="AX553" s="1">
        <v>2013.0</v>
      </c>
      <c r="AY553" s="1" t="s">
        <v>387</v>
      </c>
      <c r="AZ553" s="1" t="s">
        <v>200</v>
      </c>
      <c r="BA553" s="1" t="str">
        <f>"0610480003"</f>
        <v>0610480003</v>
      </c>
      <c r="BC553" s="1">
        <v>2694.0</v>
      </c>
      <c r="BD553" s="1">
        <v>200000.0</v>
      </c>
      <c r="BE553" s="2">
        <v>42002.0</v>
      </c>
      <c r="BF553" s="2" t="s">
        <v>7173</v>
      </c>
      <c r="BG553" s="1" t="s">
        <v>6723</v>
      </c>
      <c r="BH553" s="1">
        <v>0.0</v>
      </c>
      <c r="BI553" s="1" t="s">
        <v>3197</v>
      </c>
      <c r="BJ553" s="1" t="s">
        <v>675</v>
      </c>
      <c r="BK553" s="1" t="s">
        <v>204</v>
      </c>
      <c r="BL553" s="1" t="str">
        <f t="shared" ref="BL553:BM553" si="374">""</f>
        <v/>
      </c>
      <c r="BM553" s="1" t="str">
        <f t="shared" si="374"/>
        <v/>
      </c>
      <c r="BQ553" s="1">
        <v>46.0</v>
      </c>
      <c r="BR553" s="1">
        <v>46.0</v>
      </c>
      <c r="BS553" s="1">
        <v>46.0</v>
      </c>
      <c r="BU553" s="1" t="s">
        <v>3092</v>
      </c>
      <c r="BV553" s="1" t="s">
        <v>206</v>
      </c>
      <c r="BW553" s="1" t="s">
        <v>210</v>
      </c>
      <c r="BX553" s="1" t="s">
        <v>239</v>
      </c>
      <c r="BY553" s="1" t="s">
        <v>743</v>
      </c>
      <c r="BZ553" s="1" t="s">
        <v>206</v>
      </c>
      <c r="CA553" s="1" t="s">
        <v>210</v>
      </c>
      <c r="CB553" s="1" t="s">
        <v>239</v>
      </c>
      <c r="CC553" s="1" t="s">
        <v>215</v>
      </c>
      <c r="CD553" s="1" t="s">
        <v>206</v>
      </c>
      <c r="CE553" s="1" t="s">
        <v>207</v>
      </c>
      <c r="CF553" s="1" t="s">
        <v>239</v>
      </c>
      <c r="CG553" s="1" t="s">
        <v>1158</v>
      </c>
      <c r="CH553" s="1" t="s">
        <v>206</v>
      </c>
      <c r="CI553" s="1" t="s">
        <v>210</v>
      </c>
      <c r="CJ553" s="1" t="s">
        <v>239</v>
      </c>
      <c r="CK553" s="1" t="s">
        <v>331</v>
      </c>
      <c r="CL553" s="1" t="s">
        <v>206</v>
      </c>
      <c r="CM553" s="1" t="s">
        <v>210</v>
      </c>
      <c r="CN553" s="1" t="s">
        <v>239</v>
      </c>
      <c r="CO553" s="1" t="s">
        <v>264</v>
      </c>
      <c r="CP553" s="1" t="s">
        <v>206</v>
      </c>
      <c r="CQ553" s="1" t="s">
        <v>210</v>
      </c>
      <c r="CR553" s="1" t="s">
        <v>239</v>
      </c>
      <c r="CS553" s="1" t="s">
        <v>497</v>
      </c>
      <c r="CT553" s="1" t="s">
        <v>206</v>
      </c>
      <c r="CU553" s="1" t="s">
        <v>268</v>
      </c>
      <c r="CV553" s="1" t="s">
        <v>239</v>
      </c>
      <c r="CW553" s="1" t="s">
        <v>544</v>
      </c>
      <c r="CX553" s="1" t="s">
        <v>206</v>
      </c>
      <c r="CY553" s="1" t="s">
        <v>268</v>
      </c>
      <c r="CZ553" s="1" t="s">
        <v>239</v>
      </c>
      <c r="DA553" s="1" t="s">
        <v>200</v>
      </c>
      <c r="DC553" s="1" t="s">
        <v>271</v>
      </c>
      <c r="DD553" s="1" t="s">
        <v>926</v>
      </c>
      <c r="DE553" s="1" t="s">
        <v>218</v>
      </c>
      <c r="DF553" s="1" t="s">
        <v>2328</v>
      </c>
      <c r="DG553" s="1" t="s">
        <v>337</v>
      </c>
      <c r="DH553" s="1" t="s">
        <v>220</v>
      </c>
      <c r="DI553" s="1" t="s">
        <v>7174</v>
      </c>
      <c r="DJ553" s="1" t="s">
        <v>222</v>
      </c>
      <c r="DK553" s="1" t="s">
        <v>223</v>
      </c>
      <c r="DL553" s="1" t="s">
        <v>224</v>
      </c>
      <c r="DM553" s="1" t="s">
        <v>338</v>
      </c>
      <c r="DN553" s="1" t="s">
        <v>548</v>
      </c>
      <c r="DO553" s="1" t="s">
        <v>1556</v>
      </c>
      <c r="DP553" s="1" t="s">
        <v>340</v>
      </c>
      <c r="DQ553" s="1" t="s">
        <v>441</v>
      </c>
      <c r="DR553" s="1" t="s">
        <v>229</v>
      </c>
      <c r="DS553" s="1" t="s">
        <v>368</v>
      </c>
      <c r="DU553" s="1" t="s">
        <v>7175</v>
      </c>
      <c r="DV553" s="1" t="s">
        <v>1465</v>
      </c>
      <c r="DW553" s="1" t="s">
        <v>1145</v>
      </c>
      <c r="DX553" s="1" t="s">
        <v>234</v>
      </c>
      <c r="DY553" s="1" t="s">
        <v>553</v>
      </c>
      <c r="DZ553" s="1" t="s">
        <v>6413</v>
      </c>
      <c r="EA553" s="1" t="s">
        <v>683</v>
      </c>
      <c r="EB553" s="1" t="s">
        <v>345</v>
      </c>
      <c r="EC553" s="1" t="s">
        <v>685</v>
      </c>
      <c r="ED553" s="1" t="s">
        <v>407</v>
      </c>
      <c r="EG553" s="1" t="s">
        <v>450</v>
      </c>
      <c r="EH553" s="1" t="s">
        <v>1467</v>
      </c>
      <c r="EL553" s="1" t="s">
        <v>3262</v>
      </c>
      <c r="EM553" s="1" t="s">
        <v>42</v>
      </c>
      <c r="EN553" s="1" t="s">
        <v>617</v>
      </c>
      <c r="EP553" s="1" t="s">
        <v>215</v>
      </c>
      <c r="EQ553" s="1" t="s">
        <v>42</v>
      </c>
      <c r="ER553" s="1" t="s">
        <v>301</v>
      </c>
      <c r="EU553" s="1" t="s">
        <v>238</v>
      </c>
      <c r="EY553" s="1" t="s">
        <v>238</v>
      </c>
      <c r="FC553" s="1" t="s">
        <v>238</v>
      </c>
      <c r="FF553" s="1" t="s">
        <v>239</v>
      </c>
      <c r="FG553" s="1" t="s">
        <v>192</v>
      </c>
      <c r="FH553" s="1" t="s">
        <v>192</v>
      </c>
      <c r="FJ553" s="1" t="s">
        <v>347</v>
      </c>
      <c r="FK553" s="1" t="s">
        <v>229</v>
      </c>
      <c r="FL553" s="1" t="s">
        <v>2263</v>
      </c>
      <c r="FM553" s="1">
        <v>7661.0</v>
      </c>
      <c r="FN553" s="1" t="s">
        <v>4356</v>
      </c>
      <c r="FO553" s="1" t="s">
        <v>7176</v>
      </c>
      <c r="FP553" s="1">
        <v>7844.0</v>
      </c>
      <c r="FQ553" s="1" t="s">
        <v>7177</v>
      </c>
      <c r="FU553" s="1" t="s">
        <v>4359</v>
      </c>
      <c r="FV553" s="1" t="s">
        <v>200</v>
      </c>
      <c r="FW553" s="1" t="s">
        <v>1307</v>
      </c>
      <c r="FZ553" s="1" t="s">
        <v>229</v>
      </c>
      <c r="GA553" s="1" t="s">
        <v>291</v>
      </c>
      <c r="GB553" s="2">
        <v>42114.0</v>
      </c>
      <c r="GC553" s="1" t="s">
        <v>7178</v>
      </c>
    </row>
    <row r="554">
      <c r="A554" s="1">
        <v>415000.0</v>
      </c>
      <c r="B554" s="1" t="s">
        <v>185</v>
      </c>
      <c r="C554" s="1" t="str">
        <f>"08799751"</f>
        <v>08799751</v>
      </c>
      <c r="D554" s="1" t="s">
        <v>186</v>
      </c>
      <c r="F554" s="1" t="str">
        <f>"8014"</f>
        <v>8014</v>
      </c>
      <c r="G554" s="2">
        <v>41983.0</v>
      </c>
      <c r="H554" s="1">
        <v>425000.0</v>
      </c>
      <c r="I554" s="1">
        <v>38.0</v>
      </c>
      <c r="J554" s="1">
        <v>425000.0</v>
      </c>
      <c r="K554" s="2">
        <v>42019.0</v>
      </c>
      <c r="L554" s="1">
        <v>38.0</v>
      </c>
      <c r="M554" s="2">
        <v>42019.0</v>
      </c>
      <c r="N554" s="1" t="s">
        <v>187</v>
      </c>
      <c r="O554" s="2">
        <v>42076.0</v>
      </c>
      <c r="P554" s="1">
        <v>874664.0</v>
      </c>
      <c r="Q554" s="1">
        <v>16636.0</v>
      </c>
      <c r="S554" s="1">
        <v>4925.0</v>
      </c>
      <c r="T554" s="1" t="s">
        <v>7179</v>
      </c>
      <c r="U554" s="1" t="s">
        <v>189</v>
      </c>
      <c r="V554" s="1" t="s">
        <v>190</v>
      </c>
      <c r="W554" s="1">
        <v>60630.0</v>
      </c>
      <c r="Y554" s="1" t="s">
        <v>7180</v>
      </c>
      <c r="Z554" s="1">
        <v>1916.0</v>
      </c>
      <c r="AA554" s="1" t="s">
        <v>192</v>
      </c>
      <c r="AB554" s="1" t="s">
        <v>193</v>
      </c>
      <c r="AC554" s="1" t="s">
        <v>7181</v>
      </c>
      <c r="AD554" s="1" t="s">
        <v>194</v>
      </c>
      <c r="AE554" s="1" t="s">
        <v>195</v>
      </c>
      <c r="AF554" s="1" t="s">
        <v>196</v>
      </c>
      <c r="AH554" s="1" t="s">
        <v>7182</v>
      </c>
      <c r="AI554" s="1">
        <v>0.0875</v>
      </c>
      <c r="AK554" s="1">
        <v>8.0</v>
      </c>
      <c r="AL554" s="1">
        <v>4.0</v>
      </c>
      <c r="AM554" s="1">
        <v>2.0</v>
      </c>
      <c r="AN554" s="1">
        <v>0.0</v>
      </c>
      <c r="AO554" s="1" t="s">
        <v>198</v>
      </c>
      <c r="AQ554" s="1" t="s">
        <v>198</v>
      </c>
      <c r="AR554" s="1" t="s">
        <v>200</v>
      </c>
      <c r="AS554" s="1" t="s">
        <v>199</v>
      </c>
      <c r="AT554" s="1">
        <v>2.0</v>
      </c>
      <c r="AV554" s="1" t="s">
        <v>200</v>
      </c>
      <c r="AW554" s="1">
        <v>918.21</v>
      </c>
      <c r="AX554" s="1">
        <v>2012.0</v>
      </c>
      <c r="AY554" s="1" t="s">
        <v>1179</v>
      </c>
      <c r="AZ554" s="1" t="s">
        <v>200</v>
      </c>
      <c r="BA554" s="1" t="str">
        <f>"13104160120000"</f>
        <v>13104160120000</v>
      </c>
      <c r="BB554" s="1" t="s">
        <v>200</v>
      </c>
      <c r="BC554" s="1">
        <v>1245.0</v>
      </c>
      <c r="BD554" s="1">
        <v>415000.0</v>
      </c>
      <c r="BE554" s="2">
        <v>41982.0</v>
      </c>
      <c r="BF554" s="2" t="s">
        <v>7183</v>
      </c>
      <c r="BH554" s="1">
        <v>0.0</v>
      </c>
      <c r="BK554" s="1" t="s">
        <v>204</v>
      </c>
      <c r="BL554" s="1" t="str">
        <f>"4925"</f>
        <v>4925</v>
      </c>
      <c r="BM554" s="1" t="str">
        <f t="shared" ref="BM554:BM555" si="375">"0"</f>
        <v>0</v>
      </c>
      <c r="BN554" s="1">
        <v>4234.0</v>
      </c>
      <c r="BO554" s="1">
        <v>0.0</v>
      </c>
      <c r="BQ554" s="1">
        <v>299.0</v>
      </c>
      <c r="BR554" s="1">
        <v>299.0</v>
      </c>
      <c r="BS554" s="1">
        <v>299.0</v>
      </c>
      <c r="BU554" s="1" t="s">
        <v>639</v>
      </c>
      <c r="BV554" s="1" t="s">
        <v>206</v>
      </c>
      <c r="BW554" s="1" t="s">
        <v>207</v>
      </c>
      <c r="BX554" s="1" t="s">
        <v>239</v>
      </c>
      <c r="BY554" s="1" t="s">
        <v>1395</v>
      </c>
      <c r="BZ554" s="1" t="s">
        <v>209</v>
      </c>
      <c r="CA554" s="1" t="s">
        <v>207</v>
      </c>
      <c r="CC554" s="1" t="s">
        <v>215</v>
      </c>
      <c r="CD554" s="1" t="s">
        <v>206</v>
      </c>
      <c r="CE554" s="1" t="s">
        <v>207</v>
      </c>
      <c r="CG554" s="1" t="s">
        <v>543</v>
      </c>
      <c r="CH554" s="1" t="s">
        <v>206</v>
      </c>
      <c r="CI554" s="1" t="s">
        <v>207</v>
      </c>
      <c r="CK554" s="1" t="s">
        <v>543</v>
      </c>
      <c r="CL554" s="1" t="s">
        <v>206</v>
      </c>
      <c r="CM554" s="1" t="s">
        <v>207</v>
      </c>
      <c r="CO554" s="1" t="s">
        <v>1584</v>
      </c>
      <c r="CP554" s="1" t="s">
        <v>209</v>
      </c>
      <c r="CQ554" s="1" t="s">
        <v>207</v>
      </c>
      <c r="CS554" s="1" t="s">
        <v>332</v>
      </c>
      <c r="CT554" s="1" t="s">
        <v>206</v>
      </c>
      <c r="CX554" s="1" t="s">
        <v>204</v>
      </c>
      <c r="DA554" s="1" t="s">
        <v>200</v>
      </c>
      <c r="DC554" s="1" t="s">
        <v>216</v>
      </c>
      <c r="DD554" s="1" t="s">
        <v>396</v>
      </c>
      <c r="DE554" s="1" t="s">
        <v>273</v>
      </c>
      <c r="DF554" s="1" t="s">
        <v>6818</v>
      </c>
      <c r="DG554" s="1" t="s">
        <v>5137</v>
      </c>
      <c r="DH554" s="1" t="s">
        <v>365</v>
      </c>
      <c r="DI554" s="1" t="s">
        <v>7184</v>
      </c>
      <c r="DJ554" s="1" t="s">
        <v>222</v>
      </c>
      <c r="DL554" s="1" t="s">
        <v>986</v>
      </c>
      <c r="DM554" s="1" t="s">
        <v>225</v>
      </c>
      <c r="DO554" s="1" t="s">
        <v>549</v>
      </c>
      <c r="DP554" s="1" t="s">
        <v>340</v>
      </c>
      <c r="DQ554" s="1" t="s">
        <v>794</v>
      </c>
      <c r="DR554" s="1" t="s">
        <v>229</v>
      </c>
      <c r="DS554" s="1" t="s">
        <v>230</v>
      </c>
      <c r="DV554" s="1" t="s">
        <v>6340</v>
      </c>
      <c r="DW554" s="1" t="s">
        <v>279</v>
      </c>
      <c r="DX554" s="1" t="s">
        <v>234</v>
      </c>
      <c r="DY554" s="1" t="s">
        <v>2423</v>
      </c>
      <c r="DZ554" s="1" t="s">
        <v>1333</v>
      </c>
      <c r="EA554" s="1" t="s">
        <v>644</v>
      </c>
      <c r="EC554" s="1" t="s">
        <v>645</v>
      </c>
      <c r="EG554" s="1" t="s">
        <v>374</v>
      </c>
      <c r="EH554" s="1" t="s">
        <v>1121</v>
      </c>
      <c r="EL554" s="1" t="s">
        <v>215</v>
      </c>
      <c r="EM554" s="1" t="s">
        <v>206</v>
      </c>
      <c r="EN554" s="1" t="s">
        <v>207</v>
      </c>
      <c r="EP554" s="1" t="s">
        <v>6438</v>
      </c>
      <c r="EQ554" s="1" t="s">
        <v>209</v>
      </c>
      <c r="ER554" s="1" t="s">
        <v>207</v>
      </c>
      <c r="EU554" s="1" t="s">
        <v>238</v>
      </c>
      <c r="EY554" s="1" t="s">
        <v>238</v>
      </c>
      <c r="FC554" s="1" t="s">
        <v>238</v>
      </c>
      <c r="FF554" s="1" t="s">
        <v>239</v>
      </c>
      <c r="FG554" s="1" t="s">
        <v>200</v>
      </c>
      <c r="FH554" s="1" t="s">
        <v>192</v>
      </c>
      <c r="FJ554" s="1" t="s">
        <v>7185</v>
      </c>
      <c r="FK554" s="1" t="s">
        <v>229</v>
      </c>
      <c r="FL554" s="1" t="s">
        <v>771</v>
      </c>
      <c r="FM554" s="1">
        <v>16636.0</v>
      </c>
      <c r="FN554" s="1" t="s">
        <v>526</v>
      </c>
      <c r="FO554" s="1" t="s">
        <v>7186</v>
      </c>
      <c r="FP554" s="1">
        <v>874664.0</v>
      </c>
      <c r="FQ554" s="1" t="s">
        <v>7187</v>
      </c>
      <c r="FU554" s="1" t="s">
        <v>7188</v>
      </c>
      <c r="FV554" s="1" t="s">
        <v>192</v>
      </c>
      <c r="FW554" s="1" t="s">
        <v>7186</v>
      </c>
      <c r="FX554" s="1" t="s">
        <v>238</v>
      </c>
      <c r="FZ554" s="1" t="s">
        <v>229</v>
      </c>
      <c r="GA554" s="1" t="s">
        <v>247</v>
      </c>
      <c r="GB554" s="2">
        <v>42076.0</v>
      </c>
      <c r="GC554" s="1" t="s">
        <v>7189</v>
      </c>
    </row>
    <row r="555">
      <c r="A555" s="1">
        <v>676500.0</v>
      </c>
      <c r="B555" s="1" t="s">
        <v>185</v>
      </c>
      <c r="C555" s="1" t="str">
        <f>"08796996"</f>
        <v>08796996</v>
      </c>
      <c r="D555" s="1" t="s">
        <v>186</v>
      </c>
      <c r="F555" s="1" t="str">
        <f>"8016"</f>
        <v>8016</v>
      </c>
      <c r="G555" s="2">
        <v>41977.0</v>
      </c>
      <c r="H555" s="1">
        <v>699000.0</v>
      </c>
      <c r="I555" s="1">
        <v>59.0</v>
      </c>
      <c r="J555" s="1">
        <v>699000.0</v>
      </c>
      <c r="K555" s="2">
        <v>42035.0</v>
      </c>
      <c r="L555" s="1">
        <v>59.0</v>
      </c>
      <c r="M555" s="2">
        <v>42035.0</v>
      </c>
      <c r="N555" s="1" t="s">
        <v>187</v>
      </c>
      <c r="O555" s="2">
        <v>42080.0</v>
      </c>
      <c r="P555" s="1">
        <v>219572.0</v>
      </c>
      <c r="Q555" s="1">
        <v>22025.0</v>
      </c>
      <c r="S555" s="1">
        <v>3649.0</v>
      </c>
      <c r="T555" s="1" t="s">
        <v>2643</v>
      </c>
      <c r="U555" s="1" t="s">
        <v>189</v>
      </c>
      <c r="V555" s="1" t="s">
        <v>190</v>
      </c>
      <c r="W555" s="1">
        <v>60618.0</v>
      </c>
      <c r="Y555" s="1" t="s">
        <v>7190</v>
      </c>
      <c r="Z555" s="1">
        <v>1900.0</v>
      </c>
      <c r="AA555" s="1" t="s">
        <v>192</v>
      </c>
      <c r="AB555" s="1" t="s">
        <v>193</v>
      </c>
      <c r="AD555" s="1" t="s">
        <v>194</v>
      </c>
      <c r="AE555" s="1" t="s">
        <v>195</v>
      </c>
      <c r="AF555" s="1" t="s">
        <v>196</v>
      </c>
      <c r="AH555" s="1" t="s">
        <v>359</v>
      </c>
      <c r="AI555" s="1">
        <v>0.0803</v>
      </c>
      <c r="AK555" s="1">
        <v>10.0</v>
      </c>
      <c r="AL555" s="1">
        <v>4.0</v>
      </c>
      <c r="AM555" s="1">
        <v>3.0</v>
      </c>
      <c r="AN555" s="1">
        <v>1.0</v>
      </c>
      <c r="AO555" s="1" t="s">
        <v>198</v>
      </c>
      <c r="AQ555" s="1" t="s">
        <v>229</v>
      </c>
      <c r="AR555" s="1" t="s">
        <v>200</v>
      </c>
      <c r="AS555" s="1" t="s">
        <v>199</v>
      </c>
      <c r="AT555" s="1">
        <v>2.0</v>
      </c>
      <c r="AV555" s="1" t="s">
        <v>200</v>
      </c>
      <c r="AW555" s="1">
        <v>3341.69</v>
      </c>
      <c r="AX555" s="1">
        <v>2013.0</v>
      </c>
      <c r="AY555" s="1" t="s">
        <v>387</v>
      </c>
      <c r="AZ555" s="1" t="s">
        <v>200</v>
      </c>
      <c r="BA555" s="1" t="str">
        <f>"13241280040000"</f>
        <v>13241280040000</v>
      </c>
      <c r="BB555" s="1" t="s">
        <v>200</v>
      </c>
      <c r="BC555" s="1">
        <v>3200.0</v>
      </c>
      <c r="BD555" s="1">
        <v>676500.0</v>
      </c>
      <c r="BE555" s="2">
        <v>41977.0</v>
      </c>
      <c r="BF555" s="2" t="s">
        <v>7191</v>
      </c>
      <c r="BH555" s="1">
        <v>0.0</v>
      </c>
      <c r="BK555" s="1" t="s">
        <v>204</v>
      </c>
      <c r="BL555" s="1" t="str">
        <f>"3649"</f>
        <v>3649</v>
      </c>
      <c r="BM555" s="1" t="str">
        <f t="shared" si="375"/>
        <v>0</v>
      </c>
      <c r="BN555" s="1">
        <v>3000.0</v>
      </c>
      <c r="BO555" s="1">
        <v>0.0</v>
      </c>
      <c r="BQ555" s="1">
        <v>299.0</v>
      </c>
      <c r="BR555" s="1">
        <v>299.0</v>
      </c>
      <c r="BS555" s="1">
        <v>299.0</v>
      </c>
      <c r="BU555" s="1" t="s">
        <v>743</v>
      </c>
      <c r="BV555" s="1" t="s">
        <v>209</v>
      </c>
      <c r="BW555" s="1" t="s">
        <v>207</v>
      </c>
      <c r="BX555" s="1" t="s">
        <v>229</v>
      </c>
      <c r="BY555" s="1" t="s">
        <v>333</v>
      </c>
      <c r="BZ555" s="1" t="s">
        <v>391</v>
      </c>
      <c r="CA555" s="1" t="s">
        <v>207</v>
      </c>
      <c r="CB555" s="1" t="s">
        <v>229</v>
      </c>
      <c r="CC555" s="1" t="s">
        <v>212</v>
      </c>
      <c r="CD555" s="1" t="s">
        <v>209</v>
      </c>
      <c r="CE555" s="1" t="s">
        <v>207</v>
      </c>
      <c r="CF555" s="1" t="s">
        <v>229</v>
      </c>
      <c r="CG555" s="1" t="s">
        <v>211</v>
      </c>
      <c r="CH555" s="1" t="s">
        <v>391</v>
      </c>
      <c r="CI555" s="1" t="s">
        <v>207</v>
      </c>
      <c r="CJ555" s="1" t="s">
        <v>229</v>
      </c>
      <c r="CK555" s="1" t="s">
        <v>263</v>
      </c>
      <c r="CL555" s="1" t="s">
        <v>391</v>
      </c>
      <c r="CM555" s="1" t="s">
        <v>207</v>
      </c>
      <c r="CN555" s="1" t="s">
        <v>229</v>
      </c>
      <c r="CO555" s="1" t="s">
        <v>332</v>
      </c>
      <c r="CP555" s="1" t="s">
        <v>206</v>
      </c>
      <c r="CQ555" s="1" t="s">
        <v>210</v>
      </c>
      <c r="CR555" s="1" t="s">
        <v>229</v>
      </c>
      <c r="CS555" s="1" t="s">
        <v>904</v>
      </c>
      <c r="CT555" s="1" t="s">
        <v>209</v>
      </c>
      <c r="CU555" s="1" t="s">
        <v>207</v>
      </c>
      <c r="CV555" s="1" t="s">
        <v>229</v>
      </c>
      <c r="CW555" s="1" t="s">
        <v>260</v>
      </c>
      <c r="CX555" s="1" t="s">
        <v>206</v>
      </c>
      <c r="CY555" s="1" t="s">
        <v>210</v>
      </c>
      <c r="CZ555" s="1" t="s">
        <v>229</v>
      </c>
      <c r="DA555" s="1" t="s">
        <v>200</v>
      </c>
      <c r="DC555" s="1" t="s">
        <v>642</v>
      </c>
      <c r="DD555" s="1" t="s">
        <v>731</v>
      </c>
      <c r="DE555" s="1" t="s">
        <v>1810</v>
      </c>
      <c r="DF555" s="1" t="s">
        <v>1811</v>
      </c>
      <c r="DG555" s="1" t="s">
        <v>482</v>
      </c>
      <c r="DH555" s="1" t="s">
        <v>220</v>
      </c>
      <c r="DI555" s="1" t="s">
        <v>7192</v>
      </c>
      <c r="DJ555" s="1" t="s">
        <v>222</v>
      </c>
      <c r="DL555" s="1" t="s">
        <v>520</v>
      </c>
      <c r="DM555" s="1" t="s">
        <v>1658</v>
      </c>
      <c r="DN555" s="1" t="s">
        <v>399</v>
      </c>
      <c r="DO555" s="1" t="s">
        <v>549</v>
      </c>
      <c r="DP555" s="1" t="s">
        <v>340</v>
      </c>
      <c r="DQ555" s="1" t="s">
        <v>441</v>
      </c>
      <c r="DR555" s="1" t="s">
        <v>229</v>
      </c>
      <c r="DS555" s="1" t="s">
        <v>368</v>
      </c>
      <c r="DU555" s="1" t="s">
        <v>1049</v>
      </c>
      <c r="DV555" s="1" t="s">
        <v>7193</v>
      </c>
      <c r="DW555" s="1" t="s">
        <v>233</v>
      </c>
      <c r="DX555" s="1" t="s">
        <v>234</v>
      </c>
      <c r="DY555" s="1" t="s">
        <v>3183</v>
      </c>
      <c r="DZ555" s="1" t="s">
        <v>7194</v>
      </c>
      <c r="EA555" s="1" t="s">
        <v>3112</v>
      </c>
      <c r="EC555" s="1" t="s">
        <v>406</v>
      </c>
      <c r="ED555" s="1" t="s">
        <v>4163</v>
      </c>
      <c r="EG555" s="1" t="s">
        <v>968</v>
      </c>
      <c r="EH555" s="1" t="s">
        <v>310</v>
      </c>
      <c r="EI555" s="1" t="s">
        <v>409</v>
      </c>
      <c r="EJ555" s="1" t="s">
        <v>1121</v>
      </c>
      <c r="EK555" s="1" t="s">
        <v>494</v>
      </c>
      <c r="EL555" s="1" t="s">
        <v>516</v>
      </c>
      <c r="EM555" s="1" t="s">
        <v>209</v>
      </c>
      <c r="EP555" s="1" t="s">
        <v>1229</v>
      </c>
      <c r="EQ555" s="1" t="s">
        <v>391</v>
      </c>
      <c r="ET555" s="1" t="s">
        <v>560</v>
      </c>
      <c r="EU555" s="1" t="s">
        <v>391</v>
      </c>
      <c r="EV555" s="1" t="s">
        <v>207</v>
      </c>
      <c r="EX555" s="1" t="s">
        <v>329</v>
      </c>
      <c r="EY555" s="1" t="s">
        <v>209</v>
      </c>
      <c r="EZ555" s="1" t="s">
        <v>207</v>
      </c>
      <c r="FB555" s="1" t="s">
        <v>729</v>
      </c>
      <c r="FC555" s="1" t="s">
        <v>209</v>
      </c>
      <c r="FD555" s="1" t="s">
        <v>207</v>
      </c>
      <c r="FF555" s="1" t="s">
        <v>239</v>
      </c>
      <c r="FG555" s="1" t="s">
        <v>192</v>
      </c>
      <c r="FH555" s="1" t="s">
        <v>192</v>
      </c>
      <c r="FJ555" s="1" t="s">
        <v>799</v>
      </c>
      <c r="FK555" s="1" t="s">
        <v>229</v>
      </c>
      <c r="FL555" s="1" t="s">
        <v>562</v>
      </c>
      <c r="FM555" s="1">
        <v>84307.0</v>
      </c>
      <c r="FN555" s="1" t="s">
        <v>7195</v>
      </c>
      <c r="FO555" s="1" t="s">
        <v>7196</v>
      </c>
      <c r="FP555" s="1">
        <v>171923.0</v>
      </c>
      <c r="FQ555" s="1" t="s">
        <v>7197</v>
      </c>
      <c r="FU555" s="1" t="s">
        <v>7198</v>
      </c>
      <c r="FV555" s="1" t="s">
        <v>192</v>
      </c>
      <c r="FW555" s="1" t="s">
        <v>290</v>
      </c>
      <c r="FX555" s="1" t="s">
        <v>238</v>
      </c>
      <c r="FZ555" s="1" t="s">
        <v>2993</v>
      </c>
      <c r="GA555" s="1" t="s">
        <v>291</v>
      </c>
      <c r="GB555" s="2">
        <v>42081.0</v>
      </c>
      <c r="GC555" s="1" t="s">
        <v>7199</v>
      </c>
    </row>
    <row r="556">
      <c r="A556" s="1">
        <v>168000.0</v>
      </c>
      <c r="B556" s="1" t="s">
        <v>185</v>
      </c>
      <c r="C556" s="1" t="str">
        <f>"08797674"</f>
        <v>08797674</v>
      </c>
      <c r="D556" s="1" t="s">
        <v>186</v>
      </c>
      <c r="F556" s="1" t="str">
        <f>"8075"</f>
        <v>8075</v>
      </c>
      <c r="G556" s="2">
        <v>41978.0</v>
      </c>
      <c r="H556" s="1">
        <v>168900.0</v>
      </c>
      <c r="I556" s="1">
        <v>85.0</v>
      </c>
      <c r="J556" s="1">
        <v>168900.0</v>
      </c>
      <c r="K556" s="2">
        <v>42062.0</v>
      </c>
      <c r="L556" s="1">
        <v>85.0</v>
      </c>
      <c r="M556" s="2">
        <v>42062.0</v>
      </c>
      <c r="N556" s="1" t="s">
        <v>356</v>
      </c>
      <c r="O556" s="2">
        <v>42125.0</v>
      </c>
      <c r="P556" s="1">
        <v>140024.0</v>
      </c>
      <c r="Q556" s="1">
        <v>85609.0</v>
      </c>
      <c r="R556" s="1">
        <v>5700.0</v>
      </c>
      <c r="S556" s="1">
        <v>11016.0</v>
      </c>
      <c r="T556" s="1" t="s">
        <v>2655</v>
      </c>
      <c r="U556" s="1" t="s">
        <v>320</v>
      </c>
      <c r="V556" s="1" t="s">
        <v>190</v>
      </c>
      <c r="W556" s="1">
        <v>60643.0</v>
      </c>
      <c r="Y556" s="1" t="s">
        <v>7200</v>
      </c>
      <c r="Z556" s="1">
        <v>1945.0</v>
      </c>
      <c r="AA556" s="1" t="s">
        <v>192</v>
      </c>
      <c r="AB556" s="1" t="s">
        <v>193</v>
      </c>
      <c r="AD556" s="1" t="s">
        <v>194</v>
      </c>
      <c r="AE556" s="1" t="s">
        <v>195</v>
      </c>
      <c r="AF556" s="1" t="s">
        <v>659</v>
      </c>
      <c r="AH556" s="1">
        <v>7390.0</v>
      </c>
      <c r="AI556" s="1">
        <v>0.1697</v>
      </c>
      <c r="AK556" s="1">
        <v>8.0</v>
      </c>
      <c r="AL556" s="1">
        <v>3.0</v>
      </c>
      <c r="AM556" s="1">
        <v>2.0</v>
      </c>
      <c r="AN556" s="1">
        <v>0.0</v>
      </c>
      <c r="AO556" s="1" t="s">
        <v>229</v>
      </c>
      <c r="AP556" s="1">
        <v>1.0</v>
      </c>
      <c r="AQ556" s="1" t="s">
        <v>198</v>
      </c>
      <c r="AR556" s="1" t="s">
        <v>192</v>
      </c>
      <c r="AS556" s="1" t="s">
        <v>199</v>
      </c>
      <c r="AT556" s="1">
        <v>2.0</v>
      </c>
      <c r="AV556" s="1" t="s">
        <v>200</v>
      </c>
      <c r="AW556" s="1">
        <v>2082.89</v>
      </c>
      <c r="AX556" s="1">
        <v>2013.0</v>
      </c>
      <c r="AZ556" s="1" t="s">
        <v>200</v>
      </c>
      <c r="BA556" s="1" t="str">
        <f>"25174200390000"</f>
        <v>25174200390000</v>
      </c>
      <c r="BC556" s="1">
        <v>1204.0</v>
      </c>
      <c r="BD556" s="1">
        <v>168000.0</v>
      </c>
      <c r="BE556" s="2">
        <v>41978.0</v>
      </c>
      <c r="BF556" s="2" t="s">
        <v>7201</v>
      </c>
      <c r="BH556" s="1">
        <v>0.0</v>
      </c>
      <c r="BK556" s="1" t="s">
        <v>204</v>
      </c>
      <c r="BL556" s="1" t="str">
        <f t="shared" ref="BL556:BM556" si="376">"0"</f>
        <v>0</v>
      </c>
      <c r="BM556" s="1" t="str">
        <f t="shared" si="376"/>
        <v>0</v>
      </c>
      <c r="BN556" s="1">
        <v>1000.0</v>
      </c>
      <c r="BO556" s="1">
        <v>11016.0</v>
      </c>
      <c r="BQ556" s="1">
        <v>299.0</v>
      </c>
      <c r="BR556" s="1">
        <v>299.0</v>
      </c>
      <c r="BS556" s="1">
        <v>299.0</v>
      </c>
      <c r="BU556" s="1" t="s">
        <v>7202</v>
      </c>
      <c r="BV556" s="1" t="s">
        <v>206</v>
      </c>
      <c r="BW556" s="1" t="s">
        <v>207</v>
      </c>
      <c r="BX556" s="1" t="s">
        <v>431</v>
      </c>
      <c r="BY556" s="1" t="s">
        <v>1351</v>
      </c>
      <c r="BZ556" s="1" t="s">
        <v>206</v>
      </c>
      <c r="CA556" s="1" t="s">
        <v>207</v>
      </c>
      <c r="CB556" s="1" t="s">
        <v>431</v>
      </c>
      <c r="CC556" s="1" t="s">
        <v>542</v>
      </c>
      <c r="CD556" s="1" t="s">
        <v>206</v>
      </c>
      <c r="CE556" s="1" t="s">
        <v>207</v>
      </c>
      <c r="CF556" s="1" t="s">
        <v>431</v>
      </c>
      <c r="CG556" s="1" t="s">
        <v>663</v>
      </c>
      <c r="CH556" s="1" t="s">
        <v>206</v>
      </c>
      <c r="CI556" s="1" t="s">
        <v>207</v>
      </c>
      <c r="CJ556" s="1" t="s">
        <v>431</v>
      </c>
      <c r="CK556" s="1" t="s">
        <v>663</v>
      </c>
      <c r="CL556" s="1" t="s">
        <v>206</v>
      </c>
      <c r="CM556" s="1" t="s">
        <v>207</v>
      </c>
      <c r="CN556" s="1" t="s">
        <v>431</v>
      </c>
      <c r="CO556" s="1" t="s">
        <v>1904</v>
      </c>
      <c r="CP556" s="1" t="s">
        <v>42</v>
      </c>
      <c r="CQ556" s="1" t="s">
        <v>268</v>
      </c>
      <c r="CR556" s="1" t="s">
        <v>229</v>
      </c>
      <c r="CS556" s="1" t="s">
        <v>640</v>
      </c>
      <c r="CT556" s="1" t="s">
        <v>206</v>
      </c>
      <c r="CU556" s="1" t="s">
        <v>268</v>
      </c>
      <c r="CV556" s="1" t="s">
        <v>431</v>
      </c>
      <c r="CW556" s="1" t="s">
        <v>7203</v>
      </c>
      <c r="CX556" s="1" t="s">
        <v>42</v>
      </c>
      <c r="CY556" s="1" t="s">
        <v>268</v>
      </c>
      <c r="CZ556" s="1" t="s">
        <v>229</v>
      </c>
      <c r="DA556" s="1" t="s">
        <v>200</v>
      </c>
      <c r="DC556" s="1" t="s">
        <v>702</v>
      </c>
      <c r="DD556" s="1" t="s">
        <v>7204</v>
      </c>
      <c r="DE556" s="1" t="s">
        <v>2851</v>
      </c>
      <c r="DF556" s="1" t="s">
        <v>219</v>
      </c>
      <c r="DG556" s="1" t="s">
        <v>587</v>
      </c>
      <c r="DH556" s="1" t="s">
        <v>307</v>
      </c>
      <c r="DI556" s="1" t="s">
        <v>308</v>
      </c>
      <c r="DJ556" s="1" t="s">
        <v>222</v>
      </c>
      <c r="DK556" s="1" t="s">
        <v>223</v>
      </c>
      <c r="DL556" s="1" t="s">
        <v>224</v>
      </c>
      <c r="DM556" s="1" t="s">
        <v>229</v>
      </c>
      <c r="DN556" s="1" t="s">
        <v>7205</v>
      </c>
      <c r="DO556" s="1" t="s">
        <v>6305</v>
      </c>
      <c r="DP556" s="1" t="s">
        <v>276</v>
      </c>
      <c r="DQ556" s="1" t="s">
        <v>228</v>
      </c>
      <c r="DR556" s="1" t="s">
        <v>229</v>
      </c>
      <c r="DS556" s="1" t="s">
        <v>401</v>
      </c>
      <c r="DV556" s="1" t="s">
        <v>232</v>
      </c>
      <c r="DW556" s="1" t="s">
        <v>279</v>
      </c>
      <c r="DX556" s="1" t="s">
        <v>234</v>
      </c>
      <c r="DY556" s="1" t="s">
        <v>7054</v>
      </c>
      <c r="EA556" s="1" t="s">
        <v>683</v>
      </c>
      <c r="EB556" s="1" t="s">
        <v>372</v>
      </c>
      <c r="EC556" s="1" t="s">
        <v>685</v>
      </c>
      <c r="ED556" s="1" t="s">
        <v>407</v>
      </c>
      <c r="EE556" s="1" t="s">
        <v>493</v>
      </c>
      <c r="EM556" s="1" t="s">
        <v>238</v>
      </c>
      <c r="EQ556" s="1" t="s">
        <v>238</v>
      </c>
      <c r="EU556" s="1" t="s">
        <v>238</v>
      </c>
      <c r="EY556" s="1" t="s">
        <v>238</v>
      </c>
      <c r="FC556" s="1" t="s">
        <v>238</v>
      </c>
      <c r="FF556" s="1" t="s">
        <v>239</v>
      </c>
      <c r="FG556" s="1" t="s">
        <v>192</v>
      </c>
      <c r="FH556" s="1" t="s">
        <v>192</v>
      </c>
      <c r="FJ556" s="1" t="s">
        <v>7206</v>
      </c>
      <c r="FK556" s="1" t="s">
        <v>229</v>
      </c>
      <c r="FL556" s="1" t="s">
        <v>525</v>
      </c>
      <c r="FM556" s="1">
        <v>22029.0</v>
      </c>
      <c r="FN556" s="1" t="s">
        <v>526</v>
      </c>
      <c r="FO556" s="1" t="s">
        <v>7057</v>
      </c>
      <c r="FP556" s="1">
        <v>221800.0</v>
      </c>
      <c r="FQ556" s="1" t="s">
        <v>7058</v>
      </c>
      <c r="FU556" s="1" t="s">
        <v>7207</v>
      </c>
      <c r="FV556" s="1" t="s">
        <v>192</v>
      </c>
      <c r="FW556" s="1" t="s">
        <v>530</v>
      </c>
      <c r="FX556" s="1" t="s">
        <v>655</v>
      </c>
      <c r="FZ556" s="1" t="s">
        <v>229</v>
      </c>
      <c r="GA556" s="1" t="s">
        <v>291</v>
      </c>
      <c r="GB556" s="2">
        <v>42130.0</v>
      </c>
      <c r="GC556" s="1" t="s">
        <v>7208</v>
      </c>
    </row>
    <row r="557">
      <c r="A557" s="1">
        <v>90500.0</v>
      </c>
      <c r="B557" s="1" t="s">
        <v>185</v>
      </c>
      <c r="C557" s="1" t="str">
        <f>"08799610"</f>
        <v>08799610</v>
      </c>
      <c r="D557" s="1" t="s">
        <v>186</v>
      </c>
      <c r="F557" s="1" t="str">
        <f>"123"</f>
        <v>123</v>
      </c>
      <c r="G557" s="2">
        <v>41982.0</v>
      </c>
      <c r="H557" s="1">
        <v>104900.0</v>
      </c>
      <c r="I557" s="1">
        <v>411.0</v>
      </c>
      <c r="J557" s="1">
        <v>89900.0</v>
      </c>
      <c r="K557" s="2">
        <v>42026.0</v>
      </c>
      <c r="L557" s="1">
        <v>46.0</v>
      </c>
      <c r="M557" s="2">
        <v>42026.0</v>
      </c>
      <c r="N557" s="1" t="s">
        <v>249</v>
      </c>
      <c r="O557" s="2">
        <v>42034.0</v>
      </c>
      <c r="P557" s="1">
        <v>62592.0</v>
      </c>
      <c r="Q557" s="1">
        <v>6097.0</v>
      </c>
      <c r="S557" s="1">
        <v>826.0</v>
      </c>
      <c r="T557" s="1" t="s">
        <v>7209</v>
      </c>
      <c r="U557" s="1" t="s">
        <v>320</v>
      </c>
      <c r="V557" s="1" t="s">
        <v>465</v>
      </c>
      <c r="W557" s="1">
        <v>60123.0</v>
      </c>
      <c r="Y557" s="1" t="s">
        <v>7210</v>
      </c>
      <c r="Z557" s="1">
        <v>1920.0</v>
      </c>
      <c r="AA557" s="1" t="s">
        <v>192</v>
      </c>
      <c r="AB557" s="1" t="s">
        <v>193</v>
      </c>
      <c r="AD557" s="1" t="s">
        <v>469</v>
      </c>
      <c r="AE557" s="1" t="s">
        <v>325</v>
      </c>
      <c r="AF557" s="1" t="s">
        <v>469</v>
      </c>
      <c r="AG557" s="1" t="s">
        <v>7211</v>
      </c>
      <c r="AH557" s="1" t="s">
        <v>7212</v>
      </c>
      <c r="AI557" s="1">
        <v>0.1993</v>
      </c>
      <c r="AK557" s="1">
        <v>10.0</v>
      </c>
      <c r="AL557" s="1">
        <v>4.0</v>
      </c>
      <c r="AM557" s="1">
        <v>1.0</v>
      </c>
      <c r="AN557" s="1">
        <v>0.0</v>
      </c>
      <c r="AO557" s="1" t="s">
        <v>229</v>
      </c>
      <c r="AP557" s="1">
        <v>0.0</v>
      </c>
      <c r="AQ557" s="1" t="s">
        <v>198</v>
      </c>
      <c r="AR557" s="1" t="s">
        <v>200</v>
      </c>
      <c r="AS557" s="1" t="s">
        <v>199</v>
      </c>
      <c r="AT557" s="1">
        <v>3.0</v>
      </c>
      <c r="AV557" s="1" t="s">
        <v>200</v>
      </c>
      <c r="AW557" s="1">
        <v>3324.51</v>
      </c>
      <c r="AX557" s="1">
        <v>2013.0</v>
      </c>
      <c r="AZ557" s="1" t="s">
        <v>200</v>
      </c>
      <c r="BA557" s="1" t="str">
        <f>"0623105014"</f>
        <v>0623105014</v>
      </c>
      <c r="BC557" s="1">
        <v>2094.0</v>
      </c>
      <c r="BD557" s="1">
        <v>90500.0</v>
      </c>
      <c r="BE557" s="2">
        <v>41981.0</v>
      </c>
      <c r="BF557" s="2" t="s">
        <v>7213</v>
      </c>
      <c r="BG557" s="1" t="s">
        <v>673</v>
      </c>
      <c r="BH557" s="1">
        <v>0.0</v>
      </c>
      <c r="BI557" s="1" t="s">
        <v>674</v>
      </c>
      <c r="BJ557" s="1" t="s">
        <v>675</v>
      </c>
      <c r="BK557" s="1" t="s">
        <v>204</v>
      </c>
      <c r="BL557" s="1" t="str">
        <f>"42"</f>
        <v>42</v>
      </c>
      <c r="BM557" s="1" t="str">
        <f t="shared" ref="BM557:BM558" si="377">"0"</f>
        <v>0</v>
      </c>
      <c r="BN557" s="1">
        <v>88.0</v>
      </c>
      <c r="BO557" s="1">
        <v>0.0</v>
      </c>
      <c r="BP557" s="1" t="s">
        <v>7214</v>
      </c>
      <c r="BQ557" s="1">
        <v>46.0</v>
      </c>
      <c r="BR557" s="1">
        <v>46.0</v>
      </c>
      <c r="BS557" s="1">
        <v>46.0</v>
      </c>
      <c r="BU557" s="1" t="s">
        <v>211</v>
      </c>
      <c r="BV557" s="1" t="s">
        <v>206</v>
      </c>
      <c r="BW557" s="1" t="s">
        <v>210</v>
      </c>
      <c r="BX557" s="1" t="s">
        <v>229</v>
      </c>
      <c r="BY557" s="1" t="s">
        <v>495</v>
      </c>
      <c r="BZ557" s="1" t="s">
        <v>206</v>
      </c>
      <c r="CA557" s="1" t="s">
        <v>210</v>
      </c>
      <c r="CB557" s="1" t="s">
        <v>229</v>
      </c>
      <c r="CC557" s="1" t="s">
        <v>363</v>
      </c>
      <c r="CD557" s="1" t="s">
        <v>206</v>
      </c>
      <c r="CE557" s="1" t="s">
        <v>210</v>
      </c>
      <c r="CF557" s="1" t="s">
        <v>229</v>
      </c>
      <c r="CG557" s="1" t="s">
        <v>265</v>
      </c>
      <c r="CH557" s="1" t="s">
        <v>206</v>
      </c>
      <c r="CI557" s="1" t="s">
        <v>210</v>
      </c>
      <c r="CJ557" s="1" t="s">
        <v>229</v>
      </c>
      <c r="CK557" s="1" t="s">
        <v>264</v>
      </c>
      <c r="CL557" s="1" t="s">
        <v>209</v>
      </c>
      <c r="CM557" s="1" t="s">
        <v>210</v>
      </c>
      <c r="CN557" s="1" t="s">
        <v>229</v>
      </c>
      <c r="CO557" s="1" t="s">
        <v>264</v>
      </c>
      <c r="CP557" s="1" t="s">
        <v>209</v>
      </c>
      <c r="CQ557" s="1" t="s">
        <v>210</v>
      </c>
      <c r="CR557" s="1" t="s">
        <v>229</v>
      </c>
      <c r="CS557" s="1" t="s">
        <v>269</v>
      </c>
      <c r="CT557" s="1" t="s">
        <v>206</v>
      </c>
      <c r="CU557" s="1" t="s">
        <v>301</v>
      </c>
      <c r="CV557" s="1" t="s">
        <v>431</v>
      </c>
      <c r="CX557" s="1" t="s">
        <v>204</v>
      </c>
      <c r="DA557" s="1" t="s">
        <v>200</v>
      </c>
      <c r="DC557" s="1" t="s">
        <v>216</v>
      </c>
      <c r="DD557" s="1" t="s">
        <v>618</v>
      </c>
      <c r="DE557" s="1" t="s">
        <v>273</v>
      </c>
      <c r="DF557" s="1" t="s">
        <v>219</v>
      </c>
      <c r="DG557" s="1" t="s">
        <v>482</v>
      </c>
      <c r="DH557" s="1" t="s">
        <v>220</v>
      </c>
      <c r="DJ557" s="1" t="s">
        <v>222</v>
      </c>
      <c r="DK557" s="1" t="s">
        <v>223</v>
      </c>
      <c r="DL557" s="1" t="s">
        <v>858</v>
      </c>
      <c r="DM557" s="1" t="s">
        <v>3697</v>
      </c>
      <c r="DO557" s="1" t="s">
        <v>549</v>
      </c>
      <c r="DP557" s="1" t="s">
        <v>276</v>
      </c>
      <c r="DQ557" s="1" t="s">
        <v>228</v>
      </c>
      <c r="DR557" s="1" t="s">
        <v>229</v>
      </c>
      <c r="DS557" s="1" t="s">
        <v>401</v>
      </c>
      <c r="DU557" s="1" t="s">
        <v>278</v>
      </c>
      <c r="DV557" s="1" t="s">
        <v>7215</v>
      </c>
      <c r="DW557" s="1" t="s">
        <v>370</v>
      </c>
      <c r="DX557" s="1" t="s">
        <v>234</v>
      </c>
      <c r="DY557" s="1" t="s">
        <v>3295</v>
      </c>
      <c r="DZ557" s="1" t="s">
        <v>1333</v>
      </c>
      <c r="EA557" s="1" t="s">
        <v>644</v>
      </c>
      <c r="EC557" s="1" t="s">
        <v>645</v>
      </c>
      <c r="EE557" s="1" t="s">
        <v>1673</v>
      </c>
      <c r="EG557" s="1" t="s">
        <v>341</v>
      </c>
      <c r="EH557" s="1" t="s">
        <v>1491</v>
      </c>
      <c r="EI557" s="1" t="s">
        <v>373</v>
      </c>
      <c r="EL557" s="1" t="s">
        <v>269</v>
      </c>
      <c r="EM557" s="1" t="s">
        <v>209</v>
      </c>
      <c r="EN557" s="1" t="s">
        <v>210</v>
      </c>
      <c r="EO557" s="1" t="s">
        <v>229</v>
      </c>
      <c r="EP557" s="1" t="s">
        <v>1825</v>
      </c>
      <c r="EQ557" s="1" t="s">
        <v>42</v>
      </c>
      <c r="ER557" s="1" t="s">
        <v>588</v>
      </c>
      <c r="ES557" s="1" t="s">
        <v>229</v>
      </c>
      <c r="ET557" s="1" t="s">
        <v>7216</v>
      </c>
      <c r="EU557" s="1" t="s">
        <v>206</v>
      </c>
      <c r="EV557" s="1" t="s">
        <v>210</v>
      </c>
      <c r="EW557" s="1" t="s">
        <v>229</v>
      </c>
      <c r="EY557" s="1" t="s">
        <v>238</v>
      </c>
      <c r="FC557" s="1" t="s">
        <v>238</v>
      </c>
      <c r="FF557" s="1" t="s">
        <v>239</v>
      </c>
      <c r="FG557" s="1" t="s">
        <v>192</v>
      </c>
      <c r="FH557" s="1" t="s">
        <v>192</v>
      </c>
      <c r="FJ557" s="1" t="s">
        <v>770</v>
      </c>
      <c r="FK557" s="1" t="s">
        <v>229</v>
      </c>
      <c r="FL557" s="1" t="s">
        <v>3077</v>
      </c>
      <c r="FM557" s="1">
        <v>5575.0</v>
      </c>
      <c r="FN557" s="1" t="s">
        <v>3078</v>
      </c>
      <c r="FO557" s="1" t="s">
        <v>3079</v>
      </c>
      <c r="FP557" s="1">
        <v>50852.0</v>
      </c>
      <c r="FQ557" s="1" t="s">
        <v>3080</v>
      </c>
      <c r="FR557" s="1">
        <v>54802.0</v>
      </c>
      <c r="FS557" s="1" t="s">
        <v>7217</v>
      </c>
      <c r="FU557" s="1" t="s">
        <v>7218</v>
      </c>
      <c r="FV557" s="1" t="s">
        <v>200</v>
      </c>
      <c r="FW557" s="1" t="s">
        <v>3082</v>
      </c>
      <c r="FZ557" s="1" t="s">
        <v>632</v>
      </c>
      <c r="GA557" s="1" t="s">
        <v>291</v>
      </c>
      <c r="GB557" s="2">
        <v>42034.0</v>
      </c>
      <c r="GC557" s="1" t="s">
        <v>7219</v>
      </c>
    </row>
    <row r="558">
      <c r="A558" s="1">
        <v>912500.0</v>
      </c>
      <c r="B558" s="1" t="s">
        <v>185</v>
      </c>
      <c r="C558" s="1" t="str">
        <f>"08797408"</f>
        <v>08797408</v>
      </c>
      <c r="D558" s="1" t="s">
        <v>186</v>
      </c>
      <c r="F558" s="1" t="str">
        <f>"8005"</f>
        <v>8005</v>
      </c>
      <c r="G558" s="2">
        <v>41978.0</v>
      </c>
      <c r="H558" s="1">
        <v>910000.0</v>
      </c>
      <c r="I558" s="1">
        <v>5.0</v>
      </c>
      <c r="J558" s="1">
        <v>910000.0</v>
      </c>
      <c r="K558" s="2">
        <v>41982.0</v>
      </c>
      <c r="L558" s="1">
        <v>5.0</v>
      </c>
      <c r="M558" s="2">
        <v>41982.0</v>
      </c>
      <c r="N558" s="1" t="s">
        <v>187</v>
      </c>
      <c r="O558" s="2">
        <v>42034.0</v>
      </c>
      <c r="P558" s="1">
        <v>107438.0</v>
      </c>
      <c r="Q558" s="1">
        <v>84025.0</v>
      </c>
      <c r="S558" s="1">
        <v>2004.0</v>
      </c>
      <c r="T558" s="1" t="s">
        <v>7220</v>
      </c>
      <c r="U558" s="1" t="s">
        <v>320</v>
      </c>
      <c r="V558" s="1" t="s">
        <v>190</v>
      </c>
      <c r="W558" s="1">
        <v>60618.0</v>
      </c>
      <c r="Y558" s="1" t="s">
        <v>7221</v>
      </c>
      <c r="Z558" s="1">
        <v>2006.0</v>
      </c>
      <c r="AA558" s="1" t="s">
        <v>200</v>
      </c>
      <c r="AB558" s="1" t="s">
        <v>193</v>
      </c>
      <c r="AD558" s="1" t="s">
        <v>194</v>
      </c>
      <c r="AE558" s="1" t="s">
        <v>195</v>
      </c>
      <c r="AF558" s="1" t="s">
        <v>2645</v>
      </c>
      <c r="AH558" s="1" t="s">
        <v>7222</v>
      </c>
      <c r="AK558" s="1">
        <v>8.0</v>
      </c>
      <c r="AL558" s="1">
        <v>3.0</v>
      </c>
      <c r="AM558" s="1">
        <v>3.0</v>
      </c>
      <c r="AN558" s="1">
        <v>1.0</v>
      </c>
      <c r="AO558" s="1" t="s">
        <v>198</v>
      </c>
      <c r="AP558" s="1">
        <v>2.0</v>
      </c>
      <c r="AQ558" s="1" t="s">
        <v>198</v>
      </c>
      <c r="AR558" s="1" t="s">
        <v>192</v>
      </c>
      <c r="AS558" s="1" t="s">
        <v>199</v>
      </c>
      <c r="AT558" s="1">
        <v>2.0</v>
      </c>
      <c r="AV558" s="1" t="s">
        <v>200</v>
      </c>
      <c r="AW558" s="1">
        <v>9516.22</v>
      </c>
      <c r="AX558" s="1">
        <v>2012.0</v>
      </c>
      <c r="AY558" s="1" t="s">
        <v>387</v>
      </c>
      <c r="AZ558" s="1" t="s">
        <v>200</v>
      </c>
      <c r="BA558" s="1" t="str">
        <f>"14301061080000"</f>
        <v>14301061080000</v>
      </c>
      <c r="BC558" s="1">
        <v>2900.0</v>
      </c>
      <c r="BD558" s="1">
        <v>912500.0</v>
      </c>
      <c r="BE558" s="2">
        <v>41978.0</v>
      </c>
      <c r="BF558" s="2" t="s">
        <v>7223</v>
      </c>
      <c r="BH558" s="1">
        <v>0.0</v>
      </c>
      <c r="BK558" s="1" t="s">
        <v>204</v>
      </c>
      <c r="BL558" s="1" t="str">
        <f>"3100"</f>
        <v>3100</v>
      </c>
      <c r="BM558" s="1" t="str">
        <f t="shared" si="377"/>
        <v>0</v>
      </c>
      <c r="BN558" s="1">
        <v>2004.0</v>
      </c>
      <c r="BO558" s="1">
        <v>0.0</v>
      </c>
      <c r="BQ558" s="1">
        <v>299.0</v>
      </c>
      <c r="BR558" s="1">
        <v>299.0</v>
      </c>
      <c r="BS558" s="1">
        <v>299.0</v>
      </c>
      <c r="BU558" s="1" t="s">
        <v>390</v>
      </c>
      <c r="BV558" s="1" t="s">
        <v>206</v>
      </c>
      <c r="BW558" s="1" t="s">
        <v>207</v>
      </c>
      <c r="BX558" s="1" t="s">
        <v>431</v>
      </c>
      <c r="BY558" s="1" t="s">
        <v>329</v>
      </c>
      <c r="BZ558" s="1" t="s">
        <v>209</v>
      </c>
      <c r="CA558" s="1" t="s">
        <v>207</v>
      </c>
      <c r="CB558" s="1" t="s">
        <v>431</v>
      </c>
      <c r="CC558" s="1" t="s">
        <v>329</v>
      </c>
      <c r="CD558" s="1" t="s">
        <v>206</v>
      </c>
      <c r="CE558" s="1" t="s">
        <v>207</v>
      </c>
      <c r="CF558" s="1" t="s">
        <v>431</v>
      </c>
      <c r="CG558" s="1" t="s">
        <v>332</v>
      </c>
      <c r="CH558" s="1" t="s">
        <v>209</v>
      </c>
      <c r="CI558" s="1" t="s">
        <v>207</v>
      </c>
      <c r="CJ558" s="1" t="s">
        <v>431</v>
      </c>
      <c r="CK558" s="1" t="s">
        <v>332</v>
      </c>
      <c r="CL558" s="1" t="s">
        <v>209</v>
      </c>
      <c r="CM558" s="1" t="s">
        <v>207</v>
      </c>
      <c r="CN558" s="1" t="s">
        <v>431</v>
      </c>
      <c r="CO558" s="1" t="s">
        <v>215</v>
      </c>
      <c r="CP558" s="1" t="s">
        <v>42</v>
      </c>
      <c r="CQ558" s="1" t="s">
        <v>210</v>
      </c>
      <c r="CR558" s="1" t="s">
        <v>431</v>
      </c>
      <c r="CS558" s="1" t="s">
        <v>584</v>
      </c>
      <c r="CT558" s="1" t="s">
        <v>206</v>
      </c>
      <c r="CU558" s="1" t="s">
        <v>207</v>
      </c>
      <c r="CV558" s="1" t="s">
        <v>431</v>
      </c>
      <c r="CW558" s="1" t="s">
        <v>1001</v>
      </c>
      <c r="CX558" s="1" t="s">
        <v>42</v>
      </c>
      <c r="CY558" s="1" t="s">
        <v>210</v>
      </c>
      <c r="CZ558" s="1" t="s">
        <v>431</v>
      </c>
      <c r="DA558" s="1" t="s">
        <v>200</v>
      </c>
      <c r="DC558" s="1" t="s">
        <v>481</v>
      </c>
      <c r="DD558" s="1" t="s">
        <v>217</v>
      </c>
      <c r="DE558" s="1" t="s">
        <v>273</v>
      </c>
      <c r="DF558" s="1" t="s">
        <v>7224</v>
      </c>
      <c r="DH558" s="1" t="s">
        <v>365</v>
      </c>
      <c r="DI558" s="1" t="s">
        <v>7225</v>
      </c>
      <c r="DJ558" s="1" t="s">
        <v>222</v>
      </c>
      <c r="DL558" s="1" t="s">
        <v>224</v>
      </c>
      <c r="DM558" s="1" t="s">
        <v>229</v>
      </c>
      <c r="DN558" s="1" t="s">
        <v>6974</v>
      </c>
      <c r="DO558" s="1" t="s">
        <v>440</v>
      </c>
      <c r="DP558" s="1" t="s">
        <v>340</v>
      </c>
      <c r="DQ558" s="1" t="s">
        <v>228</v>
      </c>
      <c r="DR558" s="1" t="s">
        <v>229</v>
      </c>
      <c r="DS558" s="1" t="s">
        <v>277</v>
      </c>
      <c r="DU558" s="1" t="s">
        <v>4323</v>
      </c>
      <c r="DV558" s="1" t="s">
        <v>1103</v>
      </c>
      <c r="DW558" s="1" t="s">
        <v>1145</v>
      </c>
      <c r="DX558" s="1" t="s">
        <v>234</v>
      </c>
      <c r="DY558" s="1" t="s">
        <v>7226</v>
      </c>
      <c r="DZ558" s="1" t="s">
        <v>5293</v>
      </c>
      <c r="EA558" s="1" t="s">
        <v>2466</v>
      </c>
      <c r="EB558" s="1" t="s">
        <v>684</v>
      </c>
      <c r="EC558" s="1" t="s">
        <v>588</v>
      </c>
      <c r="ED558" s="1" t="s">
        <v>555</v>
      </c>
      <c r="EG558" s="1" t="s">
        <v>1103</v>
      </c>
      <c r="EL558" s="1" t="s">
        <v>4450</v>
      </c>
      <c r="EM558" s="1" t="s">
        <v>42</v>
      </c>
      <c r="EN558" s="1" t="s">
        <v>210</v>
      </c>
      <c r="EQ558" s="1" t="s">
        <v>238</v>
      </c>
      <c r="EU558" s="1" t="s">
        <v>238</v>
      </c>
      <c r="EY558" s="1" t="s">
        <v>238</v>
      </c>
      <c r="FC558" s="1" t="s">
        <v>238</v>
      </c>
      <c r="FF558" s="1" t="s">
        <v>239</v>
      </c>
      <c r="FG558" s="1" t="s">
        <v>192</v>
      </c>
      <c r="FH558" s="1" t="s">
        <v>192</v>
      </c>
      <c r="FJ558" s="1" t="s">
        <v>561</v>
      </c>
      <c r="FK558" s="1" t="s">
        <v>229</v>
      </c>
      <c r="FL558" s="1" t="s">
        <v>562</v>
      </c>
      <c r="FM558" s="1">
        <v>16379.0</v>
      </c>
      <c r="FN558" s="1" t="s">
        <v>563</v>
      </c>
      <c r="FO558" s="1" t="s">
        <v>7227</v>
      </c>
      <c r="FP558" s="1">
        <v>108789.0</v>
      </c>
      <c r="FQ558" s="1" t="s">
        <v>7228</v>
      </c>
      <c r="FR558" s="1">
        <v>108861.0</v>
      </c>
      <c r="FU558" s="1" t="s">
        <v>7229</v>
      </c>
      <c r="FV558" s="1" t="s">
        <v>200</v>
      </c>
      <c r="FW558" s="1" t="s">
        <v>631</v>
      </c>
      <c r="FX558" s="1" t="s">
        <v>246</v>
      </c>
      <c r="FZ558" s="1" t="s">
        <v>229</v>
      </c>
      <c r="GA558" s="1" t="s">
        <v>291</v>
      </c>
      <c r="GB558" s="2">
        <v>42035.0</v>
      </c>
      <c r="GC558" s="1" t="s">
        <v>7230</v>
      </c>
    </row>
    <row r="559">
      <c r="A559" s="1">
        <v>11775.0</v>
      </c>
      <c r="B559" s="1" t="s">
        <v>185</v>
      </c>
      <c r="C559" s="1" t="str">
        <f>"08799421"</f>
        <v>08799421</v>
      </c>
      <c r="D559" s="1" t="s">
        <v>186</v>
      </c>
      <c r="F559" s="1" t="str">
        <f>"8049"</f>
        <v>8049</v>
      </c>
      <c r="G559" s="2">
        <v>41982.0</v>
      </c>
      <c r="H559" s="1">
        <v>23900.0</v>
      </c>
      <c r="I559" s="1">
        <v>125.0</v>
      </c>
      <c r="J559" s="1">
        <v>14900.0</v>
      </c>
      <c r="K559" s="2">
        <v>42040.0</v>
      </c>
      <c r="L559" s="1">
        <v>59.0</v>
      </c>
      <c r="M559" s="2">
        <v>42040.0</v>
      </c>
      <c r="N559" s="1" t="s">
        <v>249</v>
      </c>
      <c r="O559" s="2">
        <v>42065.0</v>
      </c>
      <c r="P559" s="1">
        <v>923494.0</v>
      </c>
      <c r="Q559" s="1">
        <v>92081.0</v>
      </c>
      <c r="S559" s="1">
        <v>9312.0</v>
      </c>
      <c r="T559" s="1" t="s">
        <v>7231</v>
      </c>
      <c r="U559" s="1" t="s">
        <v>320</v>
      </c>
      <c r="V559" s="1" t="s">
        <v>190</v>
      </c>
      <c r="W559" s="1">
        <v>60620.0</v>
      </c>
      <c r="Y559" s="1" t="s">
        <v>7232</v>
      </c>
      <c r="Z559" s="1">
        <v>1903.0</v>
      </c>
      <c r="AA559" s="1" t="s">
        <v>192</v>
      </c>
      <c r="AB559" s="1" t="s">
        <v>193</v>
      </c>
      <c r="AD559" s="1" t="s">
        <v>194</v>
      </c>
      <c r="AE559" s="1" t="s">
        <v>195</v>
      </c>
      <c r="AF559" s="1" t="s">
        <v>659</v>
      </c>
      <c r="AH559" s="1" t="s">
        <v>7233</v>
      </c>
      <c r="AI559" s="1">
        <v>0.1708</v>
      </c>
      <c r="AK559" s="1">
        <v>7.0</v>
      </c>
      <c r="AL559" s="1">
        <v>4.0</v>
      </c>
      <c r="AM559" s="1">
        <v>2.0</v>
      </c>
      <c r="AN559" s="1">
        <v>0.0</v>
      </c>
      <c r="AO559" s="1" t="s">
        <v>229</v>
      </c>
      <c r="AQ559" s="1" t="s">
        <v>198</v>
      </c>
      <c r="AR559" s="1" t="s">
        <v>200</v>
      </c>
      <c r="AS559" s="1" t="s">
        <v>229</v>
      </c>
      <c r="AV559" s="1" t="s">
        <v>200</v>
      </c>
      <c r="AW559" s="1">
        <v>2194.59</v>
      </c>
      <c r="AX559" s="1">
        <v>2012.0</v>
      </c>
      <c r="AZ559" s="1" t="s">
        <v>545</v>
      </c>
      <c r="BA559" s="1" t="str">
        <f>"25044080230000"</f>
        <v>25044080230000</v>
      </c>
      <c r="BC559" s="1">
        <v>1425.0</v>
      </c>
      <c r="BD559" s="1">
        <v>11775.0</v>
      </c>
      <c r="BE559" s="2">
        <v>41982.0</v>
      </c>
      <c r="BF559" s="1" t="s">
        <v>7234</v>
      </c>
      <c r="BG559" s="1" t="s">
        <v>7235</v>
      </c>
      <c r="BH559" s="1">
        <v>0.0</v>
      </c>
      <c r="BJ559" s="1" t="s">
        <v>7236</v>
      </c>
      <c r="BK559" s="1" t="s">
        <v>204</v>
      </c>
      <c r="BL559" s="1" t="str">
        <f t="shared" ref="BL559:BM559" si="378">"0"</f>
        <v>0</v>
      </c>
      <c r="BM559" s="1" t="str">
        <f t="shared" si="378"/>
        <v>0</v>
      </c>
      <c r="BN559" s="1">
        <v>140.0</v>
      </c>
      <c r="BO559" s="1">
        <v>9300.0</v>
      </c>
      <c r="BQ559" s="1">
        <v>299.0</v>
      </c>
      <c r="BR559" s="1">
        <v>299.0</v>
      </c>
      <c r="BS559" s="1">
        <v>299.0</v>
      </c>
      <c r="BU559" s="1" t="s">
        <v>1068</v>
      </c>
      <c r="BV559" s="1" t="s">
        <v>206</v>
      </c>
      <c r="BY559" s="1" t="s">
        <v>363</v>
      </c>
      <c r="BZ559" s="1" t="s">
        <v>206</v>
      </c>
      <c r="CC559" s="1" t="s">
        <v>542</v>
      </c>
      <c r="CD559" s="1" t="s">
        <v>206</v>
      </c>
      <c r="CG559" s="1" t="s">
        <v>1672</v>
      </c>
      <c r="CH559" s="1" t="s">
        <v>206</v>
      </c>
      <c r="CK559" s="1" t="s">
        <v>1672</v>
      </c>
      <c r="CL559" s="1" t="s">
        <v>209</v>
      </c>
      <c r="CO559" s="1" t="s">
        <v>300</v>
      </c>
      <c r="CP559" s="1" t="s">
        <v>209</v>
      </c>
      <c r="CS559" s="1" t="s">
        <v>663</v>
      </c>
      <c r="CT559" s="1" t="s">
        <v>206</v>
      </c>
      <c r="CX559" s="1" t="s">
        <v>204</v>
      </c>
      <c r="DA559" s="1" t="s">
        <v>200</v>
      </c>
      <c r="DC559" s="1" t="s">
        <v>642</v>
      </c>
      <c r="DE559" s="1" t="s">
        <v>229</v>
      </c>
      <c r="DF559" s="1" t="s">
        <v>588</v>
      </c>
      <c r="DH559" s="1" t="s">
        <v>220</v>
      </c>
      <c r="DJ559" s="1" t="s">
        <v>222</v>
      </c>
      <c r="DL559" s="1" t="s">
        <v>223</v>
      </c>
      <c r="DM559" s="1" t="s">
        <v>229</v>
      </c>
      <c r="DO559" s="1" t="s">
        <v>549</v>
      </c>
      <c r="DQ559" s="1" t="s">
        <v>228</v>
      </c>
      <c r="DR559" s="1" t="s">
        <v>229</v>
      </c>
      <c r="DV559" s="1" t="s">
        <v>232</v>
      </c>
      <c r="DW559" s="1" t="s">
        <v>588</v>
      </c>
      <c r="DX559" s="1" t="s">
        <v>234</v>
      </c>
      <c r="EA559" s="1" t="s">
        <v>344</v>
      </c>
      <c r="EC559" s="1" t="s">
        <v>237</v>
      </c>
      <c r="EM559" s="1" t="s">
        <v>238</v>
      </c>
      <c r="EQ559" s="1" t="s">
        <v>238</v>
      </c>
      <c r="EU559" s="1" t="s">
        <v>238</v>
      </c>
      <c r="EY559" s="1" t="s">
        <v>238</v>
      </c>
      <c r="FC559" s="1" t="s">
        <v>238</v>
      </c>
      <c r="FF559" s="1" t="s">
        <v>239</v>
      </c>
      <c r="FG559" s="1" t="s">
        <v>192</v>
      </c>
      <c r="FH559" s="1" t="s">
        <v>192</v>
      </c>
      <c r="FJ559" s="1" t="s">
        <v>7237</v>
      </c>
      <c r="FK559" s="1" t="s">
        <v>348</v>
      </c>
      <c r="FL559" s="1" t="s">
        <v>7238</v>
      </c>
      <c r="FM559" s="1">
        <v>92081.0</v>
      </c>
      <c r="FN559" s="1" t="s">
        <v>7239</v>
      </c>
      <c r="FO559" s="1" t="s">
        <v>7240</v>
      </c>
      <c r="FP559" s="1">
        <v>923494.0</v>
      </c>
      <c r="FT559" s="1" t="s">
        <v>7241</v>
      </c>
      <c r="FU559" s="1" t="s">
        <v>7242</v>
      </c>
      <c r="FV559" s="1" t="s">
        <v>200</v>
      </c>
      <c r="FW559" s="1" t="s">
        <v>7243</v>
      </c>
      <c r="FX559" s="1" t="s">
        <v>655</v>
      </c>
      <c r="FZ559" s="1" t="s">
        <v>229</v>
      </c>
      <c r="GA559" s="1" t="s">
        <v>247</v>
      </c>
      <c r="GB559" s="2">
        <v>42065.0</v>
      </c>
      <c r="GC559" s="1" t="s">
        <v>7244</v>
      </c>
    </row>
    <row r="560">
      <c r="A560" s="1">
        <v>310000.0</v>
      </c>
      <c r="B560" s="1" t="s">
        <v>185</v>
      </c>
      <c r="C560" s="1" t="str">
        <f>"08798378"</f>
        <v>08798378</v>
      </c>
      <c r="D560" s="1" t="s">
        <v>186</v>
      </c>
      <c r="F560" s="1" t="str">
        <f>"136"</f>
        <v>136</v>
      </c>
      <c r="G560" s="2">
        <v>41980.0</v>
      </c>
      <c r="H560" s="1">
        <v>335000.0</v>
      </c>
      <c r="I560" s="1">
        <v>5.0</v>
      </c>
      <c r="J560" s="1">
        <v>335000.0</v>
      </c>
      <c r="K560" s="2">
        <v>41984.0</v>
      </c>
      <c r="L560" s="1">
        <v>5.0</v>
      </c>
      <c r="M560" s="2">
        <v>41984.0</v>
      </c>
      <c r="N560" s="1" t="s">
        <v>187</v>
      </c>
      <c r="O560" s="2">
        <v>42002.0</v>
      </c>
      <c r="P560" s="1">
        <v>55398.0</v>
      </c>
      <c r="Q560" s="1">
        <v>5300.0</v>
      </c>
      <c r="S560" s="1">
        <v>300.0</v>
      </c>
      <c r="T560" s="1" t="s">
        <v>5149</v>
      </c>
      <c r="U560" s="1" t="s">
        <v>420</v>
      </c>
      <c r="V560" s="1" t="s">
        <v>5032</v>
      </c>
      <c r="W560" s="1">
        <v>60136.0</v>
      </c>
      <c r="Y560" s="1" t="s">
        <v>7245</v>
      </c>
      <c r="Z560" s="1">
        <v>2007.0</v>
      </c>
      <c r="AA560" s="1" t="s">
        <v>200</v>
      </c>
      <c r="AB560" s="1" t="s">
        <v>193</v>
      </c>
      <c r="AC560" s="1" t="s">
        <v>5034</v>
      </c>
      <c r="AD560" s="1" t="s">
        <v>5035</v>
      </c>
      <c r="AE560" s="1" t="s">
        <v>325</v>
      </c>
      <c r="AF560" s="1" t="s">
        <v>3429</v>
      </c>
      <c r="AG560" s="1" t="s">
        <v>7246</v>
      </c>
      <c r="AH560" s="1" t="s">
        <v>7247</v>
      </c>
      <c r="AI560" s="1">
        <v>0.062</v>
      </c>
      <c r="AK560" s="1">
        <v>10.0</v>
      </c>
      <c r="AL560" s="1">
        <v>4.0</v>
      </c>
      <c r="AM560" s="1">
        <v>2.0</v>
      </c>
      <c r="AN560" s="1">
        <v>1.0</v>
      </c>
      <c r="AO560" s="1" t="s">
        <v>198</v>
      </c>
      <c r="AP560" s="1">
        <v>1.0</v>
      </c>
      <c r="AQ560" s="1" t="s">
        <v>198</v>
      </c>
      <c r="AR560" s="1" t="s">
        <v>200</v>
      </c>
      <c r="AS560" s="1" t="s">
        <v>199</v>
      </c>
      <c r="AT560" s="1">
        <v>3.0</v>
      </c>
      <c r="AV560" s="1" t="s">
        <v>200</v>
      </c>
      <c r="AW560" s="1">
        <v>9992.48</v>
      </c>
      <c r="AX560" s="1">
        <v>2013.0</v>
      </c>
      <c r="AY560" s="1" t="s">
        <v>387</v>
      </c>
      <c r="AZ560" s="1" t="s">
        <v>192</v>
      </c>
      <c r="BA560" s="1" t="str">
        <f>"0213380003"</f>
        <v>0213380003</v>
      </c>
      <c r="BB560" s="1" t="s">
        <v>200</v>
      </c>
      <c r="BC560" s="1">
        <v>3229.0</v>
      </c>
      <c r="BD560" s="1">
        <v>310000.0</v>
      </c>
      <c r="BE560" s="2">
        <v>41980.0</v>
      </c>
      <c r="BF560" s="2" t="s">
        <v>7248</v>
      </c>
      <c r="BG560" s="1" t="s">
        <v>5039</v>
      </c>
      <c r="BH560" s="1">
        <v>29.0</v>
      </c>
      <c r="BI560" s="1" t="s">
        <v>1093</v>
      </c>
      <c r="BJ560" s="1" t="s">
        <v>1182</v>
      </c>
      <c r="BK560" s="1" t="s">
        <v>474</v>
      </c>
      <c r="BL560" s="1" t="str">
        <f>"16"</f>
        <v>16</v>
      </c>
      <c r="BM560" s="1" t="str">
        <f t="shared" ref="BM560:BM562" si="379">"0"</f>
        <v>0</v>
      </c>
      <c r="BN560" s="1">
        <v>37.0</v>
      </c>
      <c r="BO560" s="1">
        <v>0.0</v>
      </c>
      <c r="BQ560" s="1">
        <v>300.0</v>
      </c>
      <c r="BR560" s="1">
        <v>300.0</v>
      </c>
      <c r="BS560" s="1">
        <v>300.0</v>
      </c>
      <c r="BU560" s="1" t="s">
        <v>215</v>
      </c>
      <c r="BV560" s="1" t="s">
        <v>206</v>
      </c>
      <c r="BW560" s="1" t="s">
        <v>210</v>
      </c>
      <c r="BY560" s="1" t="s">
        <v>334</v>
      </c>
      <c r="BZ560" s="1" t="s">
        <v>209</v>
      </c>
      <c r="CA560" s="1" t="s">
        <v>210</v>
      </c>
      <c r="CC560" s="1" t="s">
        <v>363</v>
      </c>
      <c r="CD560" s="1" t="s">
        <v>206</v>
      </c>
      <c r="CE560" s="1" t="s">
        <v>210</v>
      </c>
      <c r="CG560" s="1" t="s">
        <v>331</v>
      </c>
      <c r="CH560" s="1" t="s">
        <v>209</v>
      </c>
      <c r="CI560" s="1" t="s">
        <v>210</v>
      </c>
      <c r="CK560" s="1" t="s">
        <v>212</v>
      </c>
      <c r="CL560" s="1" t="s">
        <v>209</v>
      </c>
      <c r="CM560" s="1" t="s">
        <v>210</v>
      </c>
      <c r="CO560" s="1" t="s">
        <v>264</v>
      </c>
      <c r="CP560" s="1" t="s">
        <v>209</v>
      </c>
      <c r="CQ560" s="1" t="s">
        <v>210</v>
      </c>
      <c r="CS560" s="1" t="s">
        <v>784</v>
      </c>
      <c r="CT560" s="1" t="s">
        <v>206</v>
      </c>
      <c r="CU560" s="1" t="s">
        <v>207</v>
      </c>
      <c r="CW560" s="1" t="s">
        <v>334</v>
      </c>
      <c r="CX560" s="1" t="s">
        <v>206</v>
      </c>
      <c r="CY560" s="1" t="s">
        <v>210</v>
      </c>
      <c r="DA560" s="1" t="s">
        <v>200</v>
      </c>
      <c r="DC560" s="1" t="s">
        <v>481</v>
      </c>
      <c r="DD560" s="1" t="s">
        <v>1838</v>
      </c>
      <c r="DE560" s="1" t="s">
        <v>273</v>
      </c>
      <c r="DF560" s="1" t="s">
        <v>219</v>
      </c>
      <c r="DG560" s="1" t="s">
        <v>482</v>
      </c>
      <c r="DH560" s="1" t="s">
        <v>220</v>
      </c>
      <c r="DI560" s="1" t="s">
        <v>1813</v>
      </c>
      <c r="DJ560" s="1" t="s">
        <v>222</v>
      </c>
      <c r="DL560" s="1" t="s">
        <v>223</v>
      </c>
      <c r="DM560" s="1" t="s">
        <v>929</v>
      </c>
      <c r="DN560" s="1" t="s">
        <v>548</v>
      </c>
      <c r="DO560" s="1" t="s">
        <v>717</v>
      </c>
      <c r="DP560" s="1" t="s">
        <v>276</v>
      </c>
      <c r="DQ560" s="1" t="s">
        <v>441</v>
      </c>
      <c r="DR560" s="1" t="s">
        <v>588</v>
      </c>
      <c r="DS560" s="1" t="s">
        <v>591</v>
      </c>
      <c r="DU560" s="1" t="s">
        <v>746</v>
      </c>
      <c r="DV560" s="1" t="s">
        <v>7249</v>
      </c>
      <c r="DW560" s="1" t="s">
        <v>279</v>
      </c>
      <c r="DX560" s="1" t="s">
        <v>234</v>
      </c>
      <c r="DY560" s="1" t="s">
        <v>1006</v>
      </c>
      <c r="DZ560" s="1" t="s">
        <v>7250</v>
      </c>
      <c r="EA560" s="1" t="s">
        <v>344</v>
      </c>
      <c r="EB560" s="1" t="s">
        <v>345</v>
      </c>
      <c r="EC560" s="1" t="s">
        <v>237</v>
      </c>
      <c r="EG560" s="1" t="s">
        <v>341</v>
      </c>
      <c r="EJ560" s="1" t="s">
        <v>408</v>
      </c>
      <c r="EK560" s="1" t="s">
        <v>494</v>
      </c>
      <c r="EL560" s="1" t="s">
        <v>433</v>
      </c>
      <c r="EM560" s="1" t="s">
        <v>209</v>
      </c>
      <c r="EN560" s="1" t="s">
        <v>210</v>
      </c>
      <c r="EO560" s="1" t="s">
        <v>229</v>
      </c>
      <c r="EQ560" s="1" t="s">
        <v>238</v>
      </c>
      <c r="EU560" s="1" t="s">
        <v>238</v>
      </c>
      <c r="EX560" s="1" t="s">
        <v>7251</v>
      </c>
      <c r="EY560" s="1" t="s">
        <v>206</v>
      </c>
      <c r="EZ560" s="1" t="s">
        <v>207</v>
      </c>
      <c r="FA560" s="1" t="s">
        <v>229</v>
      </c>
      <c r="FB560" s="1" t="s">
        <v>269</v>
      </c>
      <c r="FC560" s="1" t="s">
        <v>206</v>
      </c>
      <c r="FD560" s="1" t="s">
        <v>210</v>
      </c>
      <c r="FF560" s="1" t="s">
        <v>239</v>
      </c>
      <c r="FG560" s="1" t="s">
        <v>192</v>
      </c>
      <c r="FH560" s="1" t="s">
        <v>192</v>
      </c>
      <c r="FJ560" s="1" t="s">
        <v>1506</v>
      </c>
      <c r="FK560" s="1" t="s">
        <v>229</v>
      </c>
      <c r="FL560" s="1" t="s">
        <v>4635</v>
      </c>
      <c r="FM560" s="1">
        <v>1666.0</v>
      </c>
      <c r="FN560" s="1" t="s">
        <v>4636</v>
      </c>
      <c r="FO560" s="1" t="s">
        <v>7252</v>
      </c>
      <c r="FP560" s="1">
        <v>237561.0</v>
      </c>
      <c r="FQ560" s="1" t="s">
        <v>7253</v>
      </c>
      <c r="FU560" s="1" t="s">
        <v>7254</v>
      </c>
      <c r="FV560" s="1" t="s">
        <v>200</v>
      </c>
      <c r="FW560" s="1" t="s">
        <v>290</v>
      </c>
      <c r="FZ560" s="1" t="s">
        <v>229</v>
      </c>
      <c r="GA560" s="1" t="s">
        <v>291</v>
      </c>
      <c r="GB560" s="2">
        <v>42003.0</v>
      </c>
      <c r="GC560" s="1" t="s">
        <v>7255</v>
      </c>
    </row>
    <row r="561">
      <c r="A561" s="1">
        <v>820000.0</v>
      </c>
      <c r="B561" s="1" t="s">
        <v>185</v>
      </c>
      <c r="C561" s="1" t="str">
        <f>"08805938"</f>
        <v>08805938</v>
      </c>
      <c r="D561" s="1" t="s">
        <v>186</v>
      </c>
      <c r="F561" s="1" t="str">
        <f>"8010"</f>
        <v>8010</v>
      </c>
      <c r="G561" s="2">
        <v>41997.0</v>
      </c>
      <c r="H561" s="1">
        <v>839000.0</v>
      </c>
      <c r="I561" s="1">
        <v>1.0</v>
      </c>
      <c r="J561" s="1">
        <v>839000.0</v>
      </c>
      <c r="K561" s="2">
        <v>41997.0</v>
      </c>
      <c r="L561" s="1">
        <v>1.0</v>
      </c>
      <c r="M561" s="2">
        <v>41997.0</v>
      </c>
      <c r="N561" s="1" t="s">
        <v>187</v>
      </c>
      <c r="O561" s="2">
        <v>41997.0</v>
      </c>
      <c r="P561" s="1">
        <v>236454.0</v>
      </c>
      <c r="Q561" s="1">
        <v>20179.0</v>
      </c>
      <c r="S561" s="1">
        <v>5750.0</v>
      </c>
      <c r="T561" s="1" t="s">
        <v>7256</v>
      </c>
      <c r="U561" s="1" t="s">
        <v>189</v>
      </c>
      <c r="V561" s="1" t="s">
        <v>190</v>
      </c>
      <c r="W561" s="1">
        <v>60631.0</v>
      </c>
      <c r="Y561" s="1" t="s">
        <v>7257</v>
      </c>
      <c r="Z561" s="1">
        <v>1992.0</v>
      </c>
      <c r="AA561" s="1" t="s">
        <v>200</v>
      </c>
      <c r="AB561" s="1" t="s">
        <v>193</v>
      </c>
      <c r="AD561" s="1" t="s">
        <v>194</v>
      </c>
      <c r="AE561" s="1" t="s">
        <v>195</v>
      </c>
      <c r="AF561" s="1" t="s">
        <v>196</v>
      </c>
      <c r="AH561" s="1" t="s">
        <v>7258</v>
      </c>
      <c r="AI561" s="1">
        <v>0.2107</v>
      </c>
      <c r="AK561" s="1">
        <v>8.0</v>
      </c>
      <c r="AL561" s="1">
        <v>4.0</v>
      </c>
      <c r="AM561" s="1">
        <v>2.0</v>
      </c>
      <c r="AN561" s="1">
        <v>1.0</v>
      </c>
      <c r="AO561" s="1" t="s">
        <v>198</v>
      </c>
      <c r="AQ561" s="1" t="s">
        <v>198</v>
      </c>
      <c r="AR561" s="1" t="s">
        <v>200</v>
      </c>
      <c r="AS561" s="1" t="s">
        <v>199</v>
      </c>
      <c r="AT561" s="1">
        <v>3.0</v>
      </c>
      <c r="AV561" s="1" t="s">
        <v>200</v>
      </c>
      <c r="AW561" s="1">
        <v>10026.18</v>
      </c>
      <c r="AX561" s="1">
        <v>2012.0</v>
      </c>
      <c r="AZ561" s="1" t="s">
        <v>200</v>
      </c>
      <c r="BA561" s="1" t="str">
        <f>"13063080100000"</f>
        <v>13063080100000</v>
      </c>
      <c r="BC561" s="1">
        <v>0.0</v>
      </c>
      <c r="BD561" s="1">
        <v>820000.0</v>
      </c>
      <c r="BE561" s="2">
        <v>41997.0</v>
      </c>
      <c r="BF561" s="2" t="s">
        <v>7259</v>
      </c>
      <c r="BH561" s="1">
        <v>0.0</v>
      </c>
      <c r="BK561" s="1" t="s">
        <v>204</v>
      </c>
      <c r="BL561" s="1" t="str">
        <f>"5700"</f>
        <v>5700</v>
      </c>
      <c r="BM561" s="1" t="str">
        <f t="shared" si="379"/>
        <v>0</v>
      </c>
      <c r="BN561" s="1">
        <v>7000.0</v>
      </c>
      <c r="BO561" s="1">
        <v>0.0</v>
      </c>
      <c r="BQ561" s="1">
        <v>299.0</v>
      </c>
      <c r="BR561" s="1">
        <v>299.0</v>
      </c>
      <c r="BS561" s="1">
        <v>299.0</v>
      </c>
      <c r="BU561" s="1" t="s">
        <v>329</v>
      </c>
      <c r="BV561" s="1" t="s">
        <v>206</v>
      </c>
      <c r="BY561" s="1" t="s">
        <v>1534</v>
      </c>
      <c r="BZ561" s="1" t="s">
        <v>209</v>
      </c>
      <c r="CC561" s="1" t="s">
        <v>205</v>
      </c>
      <c r="CD561" s="1" t="s">
        <v>206</v>
      </c>
      <c r="CG561" s="1" t="s">
        <v>784</v>
      </c>
      <c r="CH561" s="1" t="s">
        <v>206</v>
      </c>
      <c r="CK561" s="1" t="s">
        <v>208</v>
      </c>
      <c r="CL561" s="1" t="s">
        <v>209</v>
      </c>
      <c r="CO561" s="1" t="s">
        <v>582</v>
      </c>
      <c r="CP561" s="1" t="s">
        <v>206</v>
      </c>
      <c r="CS561" s="1" t="s">
        <v>543</v>
      </c>
      <c r="CT561" s="1" t="s">
        <v>206</v>
      </c>
      <c r="CW561" s="1" t="s">
        <v>1892</v>
      </c>
      <c r="CX561" s="1" t="s">
        <v>206</v>
      </c>
      <c r="DA561" s="1" t="s">
        <v>200</v>
      </c>
      <c r="DC561" s="1" t="s">
        <v>435</v>
      </c>
      <c r="DE561" s="1" t="s">
        <v>273</v>
      </c>
      <c r="DF561" s="1" t="s">
        <v>619</v>
      </c>
      <c r="DH561" s="1" t="s">
        <v>220</v>
      </c>
      <c r="DJ561" s="1" t="s">
        <v>222</v>
      </c>
      <c r="DL561" s="1" t="s">
        <v>223</v>
      </c>
      <c r="DM561" s="1" t="s">
        <v>229</v>
      </c>
      <c r="DQ561" s="1" t="s">
        <v>228</v>
      </c>
      <c r="DR561" s="1" t="s">
        <v>229</v>
      </c>
      <c r="DV561" s="1" t="s">
        <v>232</v>
      </c>
      <c r="DW561" s="1" t="s">
        <v>233</v>
      </c>
      <c r="DX561" s="1" t="s">
        <v>234</v>
      </c>
      <c r="EA561" s="1" t="s">
        <v>447</v>
      </c>
      <c r="EC561" s="1" t="s">
        <v>237</v>
      </c>
      <c r="EM561" s="1" t="s">
        <v>238</v>
      </c>
      <c r="EQ561" s="1" t="s">
        <v>238</v>
      </c>
      <c r="EU561" s="1" t="s">
        <v>238</v>
      </c>
      <c r="EY561" s="1" t="s">
        <v>238</v>
      </c>
      <c r="FC561" s="1" t="s">
        <v>238</v>
      </c>
      <c r="FF561" s="1" t="s">
        <v>239</v>
      </c>
      <c r="FG561" s="1" t="s">
        <v>192</v>
      </c>
      <c r="FH561" s="1" t="s">
        <v>192</v>
      </c>
      <c r="FJ561" s="1" t="s">
        <v>6020</v>
      </c>
      <c r="FK561" s="1" t="s">
        <v>229</v>
      </c>
      <c r="FL561" s="1" t="s">
        <v>7260</v>
      </c>
      <c r="FM561" s="1">
        <v>85813.0</v>
      </c>
      <c r="FN561" s="1" t="s">
        <v>7261</v>
      </c>
      <c r="FO561" s="1" t="s">
        <v>7262</v>
      </c>
      <c r="FP561" s="1">
        <v>878316.0</v>
      </c>
      <c r="FQ561" s="1" t="s">
        <v>7263</v>
      </c>
      <c r="FR561" s="1">
        <v>183457.0</v>
      </c>
      <c r="FU561" s="1" t="s">
        <v>7264</v>
      </c>
      <c r="FV561" s="1" t="s">
        <v>200</v>
      </c>
      <c r="FW561" s="1" t="s">
        <v>290</v>
      </c>
      <c r="FX561" s="1" t="s">
        <v>238</v>
      </c>
      <c r="FZ561" s="1" t="s">
        <v>229</v>
      </c>
      <c r="GA561" s="1" t="s">
        <v>291</v>
      </c>
      <c r="GB561" s="2">
        <v>41997.0</v>
      </c>
      <c r="GC561" s="1" t="s">
        <v>7265</v>
      </c>
    </row>
    <row r="562">
      <c r="A562" s="1">
        <v>830000.0</v>
      </c>
      <c r="B562" s="1" t="s">
        <v>185</v>
      </c>
      <c r="C562" s="1" t="str">
        <f>"08820199"</f>
        <v>08820199</v>
      </c>
      <c r="D562" s="1" t="s">
        <v>186</v>
      </c>
      <c r="F562" s="1" t="str">
        <f>"8004"</f>
        <v>8004</v>
      </c>
      <c r="G562" s="2">
        <v>42024.0</v>
      </c>
      <c r="H562" s="1">
        <v>834900.0</v>
      </c>
      <c r="I562" s="1">
        <v>1.0</v>
      </c>
      <c r="J562" s="1">
        <v>834900.0</v>
      </c>
      <c r="K562" s="2">
        <v>42024.0</v>
      </c>
      <c r="L562" s="1">
        <v>1.0</v>
      </c>
      <c r="M562" s="2">
        <v>42024.0</v>
      </c>
      <c r="N562" s="1" t="s">
        <v>187</v>
      </c>
      <c r="O562" s="2">
        <v>42061.0</v>
      </c>
      <c r="P562" s="1">
        <v>117915.0</v>
      </c>
      <c r="Q562" s="1">
        <v>15694.0</v>
      </c>
      <c r="R562" s="1">
        <v>1500.0</v>
      </c>
      <c r="S562" s="1">
        <v>1829.0</v>
      </c>
      <c r="T562" s="1" t="s">
        <v>7266</v>
      </c>
      <c r="U562" s="1" t="s">
        <v>189</v>
      </c>
      <c r="V562" s="1" t="s">
        <v>190</v>
      </c>
      <c r="W562" s="1">
        <v>60640.0</v>
      </c>
      <c r="Y562" s="1" t="s">
        <v>7267</v>
      </c>
      <c r="Z562" s="1">
        <v>1900.0</v>
      </c>
      <c r="AA562" s="1" t="s">
        <v>192</v>
      </c>
      <c r="AB562" s="1" t="s">
        <v>193</v>
      </c>
      <c r="AD562" s="1" t="s">
        <v>194</v>
      </c>
      <c r="AE562" s="1" t="s">
        <v>195</v>
      </c>
      <c r="AF562" s="1" t="s">
        <v>534</v>
      </c>
      <c r="AH562" s="1" t="s">
        <v>359</v>
      </c>
      <c r="AK562" s="1">
        <v>9.0</v>
      </c>
      <c r="AL562" s="1">
        <v>3.0</v>
      </c>
      <c r="AM562" s="1">
        <v>3.0</v>
      </c>
      <c r="AN562" s="1">
        <v>1.0</v>
      </c>
      <c r="AO562" s="1" t="s">
        <v>198</v>
      </c>
      <c r="AQ562" s="1" t="s">
        <v>198</v>
      </c>
      <c r="AR562" s="1" t="s">
        <v>192</v>
      </c>
      <c r="AS562" s="1" t="s">
        <v>199</v>
      </c>
      <c r="AT562" s="1">
        <v>2.0</v>
      </c>
      <c r="AV562" s="1" t="s">
        <v>200</v>
      </c>
      <c r="AW562" s="4">
        <v>6061.42</v>
      </c>
      <c r="AX562" s="1">
        <v>2013.0</v>
      </c>
      <c r="AY562" s="1" t="s">
        <v>387</v>
      </c>
      <c r="AZ562" s="1" t="s">
        <v>200</v>
      </c>
      <c r="BA562" s="1" t="str">
        <f>"14072170040000"</f>
        <v>14072170040000</v>
      </c>
      <c r="BC562" s="1">
        <v>3200.0</v>
      </c>
      <c r="BD562" s="1">
        <v>830000.0</v>
      </c>
      <c r="BE562" s="2">
        <v>42024.0</v>
      </c>
      <c r="BF562" s="1" t="s">
        <v>7265</v>
      </c>
      <c r="BG562" s="1" t="s">
        <v>953</v>
      </c>
      <c r="BH562" s="1">
        <v>0.0</v>
      </c>
      <c r="BK562" s="1" t="s">
        <v>204</v>
      </c>
      <c r="BL562" s="1" t="str">
        <f>"5330"</f>
        <v>5330</v>
      </c>
      <c r="BM562" s="1" t="str">
        <f t="shared" si="379"/>
        <v>0</v>
      </c>
      <c r="BN562" s="1">
        <v>1829.0</v>
      </c>
      <c r="BO562" s="1">
        <v>0.0</v>
      </c>
      <c r="BQ562" s="1">
        <v>299.0</v>
      </c>
      <c r="BR562" s="1">
        <v>299.0</v>
      </c>
      <c r="BS562" s="1">
        <v>299.0</v>
      </c>
      <c r="BU562" s="1" t="s">
        <v>515</v>
      </c>
      <c r="BV562" s="1" t="s">
        <v>206</v>
      </c>
      <c r="BW562" s="1" t="s">
        <v>207</v>
      </c>
      <c r="BY562" s="1" t="s">
        <v>393</v>
      </c>
      <c r="BZ562" s="1" t="s">
        <v>209</v>
      </c>
      <c r="CA562" s="1" t="s">
        <v>210</v>
      </c>
      <c r="CC562" s="1" t="s">
        <v>454</v>
      </c>
      <c r="CD562" s="1" t="s">
        <v>206</v>
      </c>
      <c r="CE562" s="1" t="s">
        <v>207</v>
      </c>
      <c r="CG562" s="1" t="s">
        <v>392</v>
      </c>
      <c r="CH562" s="1" t="s">
        <v>209</v>
      </c>
      <c r="CI562" s="1" t="s">
        <v>210</v>
      </c>
      <c r="CK562" s="1" t="s">
        <v>392</v>
      </c>
      <c r="CL562" s="1" t="s">
        <v>209</v>
      </c>
      <c r="CM562" s="1" t="s">
        <v>210</v>
      </c>
      <c r="CO562" s="1" t="s">
        <v>212</v>
      </c>
      <c r="CP562" s="1" t="s">
        <v>42</v>
      </c>
      <c r="CQ562" s="1" t="s">
        <v>210</v>
      </c>
      <c r="CS562" s="1" t="s">
        <v>647</v>
      </c>
      <c r="CT562" s="1" t="s">
        <v>206</v>
      </c>
      <c r="CU562" s="1" t="s">
        <v>207</v>
      </c>
      <c r="CW562" s="1" t="s">
        <v>480</v>
      </c>
      <c r="CX562" s="1" t="s">
        <v>206</v>
      </c>
      <c r="CY562" s="1" t="s">
        <v>207</v>
      </c>
      <c r="DA562" s="1" t="s">
        <v>200</v>
      </c>
      <c r="DC562" s="1" t="s">
        <v>642</v>
      </c>
      <c r="DD562" s="1" t="s">
        <v>731</v>
      </c>
      <c r="DE562" s="1" t="s">
        <v>218</v>
      </c>
      <c r="DF562" s="1" t="s">
        <v>745</v>
      </c>
      <c r="DG562" s="1" t="s">
        <v>482</v>
      </c>
      <c r="DH562" s="1" t="s">
        <v>220</v>
      </c>
      <c r="DI562" s="1" t="s">
        <v>519</v>
      </c>
      <c r="DJ562" s="1" t="s">
        <v>222</v>
      </c>
      <c r="DK562" s="1" t="s">
        <v>223</v>
      </c>
      <c r="DL562" s="1" t="s">
        <v>224</v>
      </c>
      <c r="DM562" s="1" t="s">
        <v>229</v>
      </c>
      <c r="DN562" s="1" t="s">
        <v>548</v>
      </c>
      <c r="DQ562" s="1" t="s">
        <v>228</v>
      </c>
      <c r="DR562" s="1" t="s">
        <v>229</v>
      </c>
      <c r="DU562" s="1" t="s">
        <v>1049</v>
      </c>
      <c r="DV562" s="1" t="s">
        <v>7130</v>
      </c>
      <c r="DW562" s="1" t="s">
        <v>588</v>
      </c>
      <c r="DX562" s="1" t="s">
        <v>234</v>
      </c>
      <c r="DY562" s="1" t="s">
        <v>747</v>
      </c>
      <c r="DZ562" s="1" t="s">
        <v>236</v>
      </c>
      <c r="EC562" s="1" t="s">
        <v>237</v>
      </c>
      <c r="ED562" s="1" t="s">
        <v>555</v>
      </c>
      <c r="EG562" s="1" t="s">
        <v>450</v>
      </c>
      <c r="EH562" s="1" t="s">
        <v>720</v>
      </c>
      <c r="EL562" s="1" t="s">
        <v>3202</v>
      </c>
      <c r="EM562" s="1" t="s">
        <v>42</v>
      </c>
      <c r="EN562" s="1" t="s">
        <v>210</v>
      </c>
      <c r="EP562" s="1" t="s">
        <v>2337</v>
      </c>
      <c r="EQ562" s="1" t="s">
        <v>206</v>
      </c>
      <c r="ER562" s="1" t="s">
        <v>268</v>
      </c>
      <c r="EU562" s="1" t="s">
        <v>238</v>
      </c>
      <c r="EY562" s="1" t="s">
        <v>238</v>
      </c>
      <c r="FC562" s="1" t="s">
        <v>238</v>
      </c>
      <c r="FF562" s="1" t="s">
        <v>239</v>
      </c>
      <c r="FG562" s="1" t="s">
        <v>192</v>
      </c>
      <c r="FH562" s="1" t="s">
        <v>192</v>
      </c>
      <c r="FJ562" s="1" t="s">
        <v>973</v>
      </c>
      <c r="FK562" s="1" t="s">
        <v>229</v>
      </c>
      <c r="FL562" s="1" t="s">
        <v>734</v>
      </c>
      <c r="FM562" s="1">
        <v>10646.0</v>
      </c>
      <c r="FN562" s="1" t="s">
        <v>735</v>
      </c>
      <c r="FO562" s="1" t="s">
        <v>736</v>
      </c>
      <c r="FP562" s="1">
        <v>139913.0</v>
      </c>
      <c r="FQ562" s="1" t="s">
        <v>737</v>
      </c>
      <c r="FU562" s="1" t="s">
        <v>738</v>
      </c>
      <c r="FV562" s="1" t="s">
        <v>200</v>
      </c>
      <c r="FW562" s="1" t="s">
        <v>530</v>
      </c>
      <c r="FX562" s="1" t="s">
        <v>246</v>
      </c>
      <c r="FZ562" s="1" t="s">
        <v>229</v>
      </c>
      <c r="GA562" s="1" t="s">
        <v>291</v>
      </c>
      <c r="GB562" s="2">
        <v>42062.0</v>
      </c>
      <c r="GC562" s="1" t="s">
        <v>7268</v>
      </c>
    </row>
    <row r="563">
      <c r="A563" s="1">
        <v>179900.0</v>
      </c>
      <c r="B563" s="1" t="s">
        <v>185</v>
      </c>
      <c r="C563" s="1" t="str">
        <f>"08798420"</f>
        <v>08798420</v>
      </c>
      <c r="D563" s="1" t="s">
        <v>186</v>
      </c>
      <c r="F563" s="1" t="str">
        <f>"8073"</f>
        <v>8073</v>
      </c>
      <c r="G563" s="2">
        <v>41981.0</v>
      </c>
      <c r="H563" s="1">
        <v>179900.0</v>
      </c>
      <c r="I563" s="1">
        <v>47.0</v>
      </c>
      <c r="J563" s="1">
        <v>179900.0</v>
      </c>
      <c r="K563" s="2">
        <v>42025.0</v>
      </c>
      <c r="L563" s="1">
        <v>47.0</v>
      </c>
      <c r="M563" s="2">
        <v>42025.0</v>
      </c>
      <c r="N563" s="1" t="s">
        <v>356</v>
      </c>
      <c r="O563" s="2">
        <v>42068.0</v>
      </c>
      <c r="P563" s="1">
        <v>238411.0</v>
      </c>
      <c r="Q563" s="1">
        <v>60296.0</v>
      </c>
      <c r="R563" s="1">
        <v>3.0</v>
      </c>
      <c r="S563" s="1">
        <v>10611.0</v>
      </c>
      <c r="T563" s="1" t="s">
        <v>2655</v>
      </c>
      <c r="U563" s="1" t="s">
        <v>320</v>
      </c>
      <c r="V563" s="1" t="s">
        <v>190</v>
      </c>
      <c r="W563" s="1">
        <v>60643.0</v>
      </c>
      <c r="Y563" s="1" t="s">
        <v>7269</v>
      </c>
      <c r="Z563" s="1">
        <v>1926.0</v>
      </c>
      <c r="AA563" s="1" t="s">
        <v>192</v>
      </c>
      <c r="AB563" s="1" t="s">
        <v>193</v>
      </c>
      <c r="AD563" s="1" t="s">
        <v>194</v>
      </c>
      <c r="AE563" s="1" t="s">
        <v>195</v>
      </c>
      <c r="AF563" s="1" t="s">
        <v>659</v>
      </c>
      <c r="AH563" s="1" t="s">
        <v>359</v>
      </c>
      <c r="AI563" s="1">
        <v>0.0896</v>
      </c>
      <c r="AK563" s="1">
        <v>10.0</v>
      </c>
      <c r="AL563" s="1">
        <v>3.0</v>
      </c>
      <c r="AM563" s="1">
        <v>3.0</v>
      </c>
      <c r="AN563" s="1">
        <v>0.0</v>
      </c>
      <c r="AO563" s="1" t="s">
        <v>198</v>
      </c>
      <c r="AQ563" s="1" t="s">
        <v>198</v>
      </c>
      <c r="AR563" s="1" t="s">
        <v>192</v>
      </c>
      <c r="AS563" s="1" t="s">
        <v>199</v>
      </c>
      <c r="AT563" s="1">
        <v>2.0</v>
      </c>
      <c r="AV563" s="1" t="s">
        <v>200</v>
      </c>
      <c r="AW563" s="1">
        <v>1995.69</v>
      </c>
      <c r="AX563" s="1">
        <v>2012.0</v>
      </c>
      <c r="AZ563" s="1" t="s">
        <v>200</v>
      </c>
      <c r="BA563" s="1" t="str">
        <f>"25172280040000"</f>
        <v>25172280040000</v>
      </c>
      <c r="BC563" s="1">
        <v>1800.0</v>
      </c>
      <c r="BD563" s="1">
        <v>179900.0</v>
      </c>
      <c r="BE563" s="2">
        <v>41979.0</v>
      </c>
      <c r="BF563" s="2" t="s">
        <v>7270</v>
      </c>
      <c r="BH563" s="1">
        <v>0.0</v>
      </c>
      <c r="BK563" s="1" t="s">
        <v>204</v>
      </c>
      <c r="BL563" s="1" t="str">
        <f t="shared" ref="BL563:BM563" si="380">"0"</f>
        <v>0</v>
      </c>
      <c r="BM563" s="1" t="str">
        <f t="shared" si="380"/>
        <v>0</v>
      </c>
      <c r="BN563" s="1">
        <v>900.0</v>
      </c>
      <c r="BO563" s="1">
        <v>10611.0</v>
      </c>
      <c r="BQ563" s="1">
        <v>299.0</v>
      </c>
      <c r="BR563" s="1">
        <v>299.0</v>
      </c>
      <c r="BS563" s="1">
        <v>299.0</v>
      </c>
      <c r="BU563" s="1" t="s">
        <v>3989</v>
      </c>
      <c r="BV563" s="1" t="s">
        <v>206</v>
      </c>
      <c r="BW563" s="1" t="s">
        <v>207</v>
      </c>
      <c r="BY563" s="1" t="s">
        <v>616</v>
      </c>
      <c r="BZ563" s="1" t="s">
        <v>209</v>
      </c>
      <c r="CA563" s="1" t="s">
        <v>210</v>
      </c>
      <c r="CC563" s="1" t="s">
        <v>363</v>
      </c>
      <c r="CD563" s="1" t="s">
        <v>206</v>
      </c>
      <c r="CE563" s="1" t="s">
        <v>207</v>
      </c>
      <c r="CG563" s="1" t="s">
        <v>700</v>
      </c>
      <c r="CH563" s="1" t="s">
        <v>206</v>
      </c>
      <c r="CI563" s="1" t="s">
        <v>207</v>
      </c>
      <c r="CK563" s="1" t="s">
        <v>269</v>
      </c>
      <c r="CL563" s="1" t="s">
        <v>206</v>
      </c>
      <c r="CM563" s="1" t="s">
        <v>207</v>
      </c>
      <c r="CO563" s="1" t="s">
        <v>497</v>
      </c>
      <c r="CP563" s="1" t="s">
        <v>42</v>
      </c>
      <c r="CQ563" s="1" t="s">
        <v>268</v>
      </c>
      <c r="CS563" s="1" t="s">
        <v>2461</v>
      </c>
      <c r="CT563" s="1" t="s">
        <v>206</v>
      </c>
      <c r="CU563" s="1" t="s">
        <v>207</v>
      </c>
      <c r="CW563" s="1" t="s">
        <v>985</v>
      </c>
      <c r="CX563" s="1" t="s">
        <v>42</v>
      </c>
      <c r="CY563" s="1" t="s">
        <v>268</v>
      </c>
      <c r="DA563" s="1" t="s">
        <v>200</v>
      </c>
      <c r="DC563" s="1" t="s">
        <v>785</v>
      </c>
      <c r="DE563" s="1" t="s">
        <v>273</v>
      </c>
      <c r="DF563" s="1" t="s">
        <v>219</v>
      </c>
      <c r="DH563" s="1" t="s">
        <v>365</v>
      </c>
      <c r="DI563" s="1" t="s">
        <v>366</v>
      </c>
      <c r="DJ563" s="1" t="s">
        <v>222</v>
      </c>
      <c r="DL563" s="1" t="s">
        <v>224</v>
      </c>
      <c r="DM563" s="1" t="s">
        <v>229</v>
      </c>
      <c r="DQ563" s="1" t="s">
        <v>228</v>
      </c>
      <c r="DR563" s="1" t="s">
        <v>229</v>
      </c>
      <c r="DS563" s="1" t="s">
        <v>230</v>
      </c>
      <c r="DV563" s="1" t="s">
        <v>5763</v>
      </c>
      <c r="DW563" s="1" t="s">
        <v>279</v>
      </c>
      <c r="DX563" s="1" t="s">
        <v>234</v>
      </c>
      <c r="DY563" s="1" t="s">
        <v>553</v>
      </c>
      <c r="EA563" s="1" t="s">
        <v>644</v>
      </c>
      <c r="EC563" s="1" t="s">
        <v>237</v>
      </c>
      <c r="EE563" s="1" t="s">
        <v>493</v>
      </c>
      <c r="EG563" s="1" t="s">
        <v>494</v>
      </c>
      <c r="EH563" s="1" t="s">
        <v>598</v>
      </c>
      <c r="EL563" s="1" t="s">
        <v>4153</v>
      </c>
      <c r="EM563" s="1" t="s">
        <v>209</v>
      </c>
      <c r="EN563" s="1" t="s">
        <v>210</v>
      </c>
      <c r="EP563" s="1" t="s">
        <v>264</v>
      </c>
      <c r="EQ563" s="1" t="s">
        <v>206</v>
      </c>
      <c r="ER563" s="1" t="s">
        <v>207</v>
      </c>
      <c r="EU563" s="1" t="s">
        <v>238</v>
      </c>
      <c r="EY563" s="1" t="s">
        <v>238</v>
      </c>
      <c r="FC563" s="1" t="s">
        <v>238</v>
      </c>
      <c r="FF563" s="1" t="s">
        <v>239</v>
      </c>
      <c r="FG563" s="1" t="s">
        <v>192</v>
      </c>
      <c r="FH563" s="1" t="s">
        <v>192</v>
      </c>
      <c r="FJ563" s="1" t="s">
        <v>648</v>
      </c>
      <c r="FK563" s="1" t="s">
        <v>229</v>
      </c>
      <c r="FL563" s="1" t="s">
        <v>649</v>
      </c>
      <c r="FM563" s="1">
        <v>60296.0</v>
      </c>
      <c r="FN563" s="1" t="s">
        <v>650</v>
      </c>
      <c r="FO563" s="1" t="s">
        <v>651</v>
      </c>
      <c r="FP563" s="1">
        <v>602837.0</v>
      </c>
      <c r="FQ563" s="1" t="s">
        <v>652</v>
      </c>
      <c r="FR563" s="1">
        <v>602442.0</v>
      </c>
      <c r="FU563" s="1" t="s">
        <v>653</v>
      </c>
      <c r="FV563" s="1" t="s">
        <v>200</v>
      </c>
      <c r="FW563" s="1" t="s">
        <v>654</v>
      </c>
      <c r="FX563" s="1" t="s">
        <v>655</v>
      </c>
      <c r="FZ563" s="1" t="s">
        <v>229</v>
      </c>
      <c r="GA563" s="1" t="s">
        <v>291</v>
      </c>
      <c r="GB563" s="2">
        <v>42069.0</v>
      </c>
      <c r="GC563" s="1" t="s">
        <v>1372</v>
      </c>
    </row>
    <row r="564">
      <c r="A564" s="1">
        <v>42099.0</v>
      </c>
      <c r="B564" s="1" t="s">
        <v>185</v>
      </c>
      <c r="C564" s="1" t="str">
        <f>"08797385"</f>
        <v>08797385</v>
      </c>
      <c r="D564" s="1" t="s">
        <v>186</v>
      </c>
      <c r="F564" s="1" t="str">
        <f>"8044"</f>
        <v>8044</v>
      </c>
      <c r="G564" s="2">
        <v>41978.0</v>
      </c>
      <c r="H564" s="1">
        <v>47700.0</v>
      </c>
      <c r="I564" s="1">
        <v>26.0</v>
      </c>
      <c r="J564" s="1">
        <v>47700.0</v>
      </c>
      <c r="K564" s="2">
        <v>42003.0</v>
      </c>
      <c r="L564" s="1">
        <v>26.0</v>
      </c>
      <c r="M564" s="2">
        <v>42003.0</v>
      </c>
      <c r="N564" s="1" t="s">
        <v>249</v>
      </c>
      <c r="O564" s="2">
        <v>42045.0</v>
      </c>
      <c r="P564" s="1">
        <v>99999.0</v>
      </c>
      <c r="Q564" s="1" t="s">
        <v>947</v>
      </c>
      <c r="S564" s="1">
        <v>8031.0</v>
      </c>
      <c r="T564" s="1" t="s">
        <v>7271</v>
      </c>
      <c r="U564" s="1" t="s">
        <v>189</v>
      </c>
      <c r="V564" s="1" t="s">
        <v>190</v>
      </c>
      <c r="W564" s="1">
        <v>60620.0</v>
      </c>
      <c r="Y564" s="1" t="s">
        <v>7272</v>
      </c>
      <c r="Z564" s="1">
        <v>1926.0</v>
      </c>
      <c r="AA564" s="1" t="s">
        <v>192</v>
      </c>
      <c r="AB564" s="1" t="s">
        <v>193</v>
      </c>
      <c r="AD564" s="1" t="s">
        <v>194</v>
      </c>
      <c r="AE564" s="1" t="s">
        <v>195</v>
      </c>
      <c r="AF564" s="1" t="s">
        <v>659</v>
      </c>
      <c r="AH564" s="1" t="s">
        <v>779</v>
      </c>
      <c r="AI564" s="1">
        <v>0.0854</v>
      </c>
      <c r="AK564" s="1">
        <v>7.0</v>
      </c>
      <c r="AL564" s="1">
        <v>4.0</v>
      </c>
      <c r="AM564" s="1">
        <v>1.0</v>
      </c>
      <c r="AN564" s="1">
        <v>0.0</v>
      </c>
      <c r="AO564" s="1" t="s">
        <v>229</v>
      </c>
      <c r="AQ564" s="1" t="s">
        <v>198</v>
      </c>
      <c r="AR564" s="1" t="s">
        <v>200</v>
      </c>
      <c r="AS564" s="1" t="s">
        <v>199</v>
      </c>
      <c r="AT564" s="1">
        <v>1.0</v>
      </c>
      <c r="AV564" s="1" t="s">
        <v>200</v>
      </c>
      <c r="AW564" s="1">
        <v>1483.68</v>
      </c>
      <c r="AX564" s="1">
        <v>2012.0</v>
      </c>
      <c r="AZ564" s="1" t="s">
        <v>545</v>
      </c>
      <c r="BA564" s="1" t="str">
        <f>"20332110110000"</f>
        <v>20332110110000</v>
      </c>
      <c r="BC564" s="1">
        <v>1154.0</v>
      </c>
      <c r="BD564" s="1">
        <v>42099.0</v>
      </c>
      <c r="BE564" s="2">
        <v>41978.0</v>
      </c>
      <c r="BF564" s="2" t="s">
        <v>3507</v>
      </c>
      <c r="BH564" s="1">
        <v>0.0</v>
      </c>
      <c r="BK564" s="1" t="s">
        <v>204</v>
      </c>
      <c r="BL564" s="1" t="str">
        <f t="shared" ref="BL564:BM564" si="381">"0"</f>
        <v>0</v>
      </c>
      <c r="BM564" s="1" t="str">
        <f t="shared" si="381"/>
        <v>0</v>
      </c>
      <c r="BN564" s="1">
        <v>232.0</v>
      </c>
      <c r="BO564" s="1">
        <v>8033.0</v>
      </c>
      <c r="BQ564" s="1">
        <v>299.0</v>
      </c>
      <c r="BR564" s="1">
        <v>299.0</v>
      </c>
      <c r="BS564" s="1">
        <v>299.0</v>
      </c>
      <c r="BU564" s="1" t="s">
        <v>1426</v>
      </c>
      <c r="BV564" s="1" t="s">
        <v>206</v>
      </c>
      <c r="BY564" s="1" t="s">
        <v>743</v>
      </c>
      <c r="BZ564" s="1" t="s">
        <v>206</v>
      </c>
      <c r="CC564" s="1" t="s">
        <v>798</v>
      </c>
      <c r="CD564" s="1" t="s">
        <v>206</v>
      </c>
      <c r="CG564" s="1" t="s">
        <v>363</v>
      </c>
      <c r="CH564" s="1" t="s">
        <v>206</v>
      </c>
      <c r="CK564" s="1" t="s">
        <v>363</v>
      </c>
      <c r="CL564" s="1" t="s">
        <v>206</v>
      </c>
      <c r="CO564" s="1" t="s">
        <v>814</v>
      </c>
      <c r="CP564" s="1" t="s">
        <v>206</v>
      </c>
      <c r="CS564" s="1" t="s">
        <v>814</v>
      </c>
      <c r="CT564" s="1" t="s">
        <v>206</v>
      </c>
      <c r="CX564" s="1" t="s">
        <v>204</v>
      </c>
      <c r="DA564" s="1" t="s">
        <v>200</v>
      </c>
      <c r="DC564" s="1" t="s">
        <v>785</v>
      </c>
      <c r="DE564" s="1" t="s">
        <v>273</v>
      </c>
      <c r="DF564" s="1" t="s">
        <v>219</v>
      </c>
      <c r="DH564" s="1" t="s">
        <v>365</v>
      </c>
      <c r="DJ564" s="1" t="s">
        <v>222</v>
      </c>
      <c r="DL564" s="1" t="s">
        <v>224</v>
      </c>
      <c r="DM564" s="1" t="s">
        <v>229</v>
      </c>
      <c r="DQ564" s="1" t="s">
        <v>228</v>
      </c>
      <c r="DR564" s="1" t="s">
        <v>229</v>
      </c>
      <c r="DV564" s="1" t="s">
        <v>232</v>
      </c>
      <c r="DW564" s="1" t="s">
        <v>279</v>
      </c>
      <c r="DX564" s="1" t="s">
        <v>234</v>
      </c>
      <c r="EC564" s="1" t="s">
        <v>685</v>
      </c>
      <c r="EE564" s="1" t="s">
        <v>1673</v>
      </c>
      <c r="EM564" s="1" t="s">
        <v>238</v>
      </c>
      <c r="EQ564" s="1" t="s">
        <v>238</v>
      </c>
      <c r="EU564" s="1" t="s">
        <v>238</v>
      </c>
      <c r="EY564" s="1" t="s">
        <v>238</v>
      </c>
      <c r="FC564" s="1" t="s">
        <v>238</v>
      </c>
      <c r="FF564" s="1" t="s">
        <v>239</v>
      </c>
      <c r="FG564" s="1" t="s">
        <v>192</v>
      </c>
      <c r="FH564" s="1" t="s">
        <v>192</v>
      </c>
      <c r="FJ564" s="1" t="s">
        <v>347</v>
      </c>
      <c r="FK564" s="1" t="s">
        <v>229</v>
      </c>
      <c r="FL564" s="1" t="s">
        <v>3033</v>
      </c>
      <c r="FM564" s="1">
        <v>1984.0</v>
      </c>
      <c r="FN564" s="1" t="s">
        <v>3034</v>
      </c>
      <c r="FO564" s="1" t="s">
        <v>3035</v>
      </c>
      <c r="FP564" s="1">
        <v>922950.0</v>
      </c>
      <c r="FU564" s="1" t="s">
        <v>3036</v>
      </c>
      <c r="FV564" s="1" t="s">
        <v>200</v>
      </c>
      <c r="FW564" s="1" t="s">
        <v>3037</v>
      </c>
      <c r="FX564" s="1" t="s">
        <v>655</v>
      </c>
      <c r="FZ564" s="1" t="s">
        <v>229</v>
      </c>
      <c r="GA564" s="1" t="s">
        <v>291</v>
      </c>
      <c r="GB564" s="2">
        <v>42046.0</v>
      </c>
      <c r="GC564" s="1" t="s">
        <v>3510</v>
      </c>
    </row>
    <row r="565">
      <c r="A565" s="1">
        <v>183000.0</v>
      </c>
      <c r="B565" s="1" t="s">
        <v>185</v>
      </c>
      <c r="C565" s="1" t="str">
        <f>"08797279"</f>
        <v>08797279</v>
      </c>
      <c r="D565" s="1" t="s">
        <v>186</v>
      </c>
      <c r="F565" s="1" t="str">
        <f>"103"</f>
        <v>103</v>
      </c>
      <c r="G565" s="2">
        <v>41978.0</v>
      </c>
      <c r="H565" s="1">
        <v>189800.0</v>
      </c>
      <c r="I565" s="1">
        <v>156.0</v>
      </c>
      <c r="J565" s="1">
        <v>189800.0</v>
      </c>
      <c r="K565" s="2">
        <v>42002.0</v>
      </c>
      <c r="L565" s="1">
        <v>25.0</v>
      </c>
      <c r="M565" s="2">
        <v>42002.0</v>
      </c>
      <c r="N565" s="1" t="s">
        <v>356</v>
      </c>
      <c r="O565" s="2">
        <v>42034.0</v>
      </c>
      <c r="P565" s="1">
        <v>920884.0</v>
      </c>
      <c r="Q565" s="1">
        <v>8079.0</v>
      </c>
      <c r="R565" s="1">
        <v>4000.0</v>
      </c>
      <c r="S565" s="1">
        <v>1420.0</v>
      </c>
      <c r="T565" s="1" t="s">
        <v>7273</v>
      </c>
      <c r="U565" s="1" t="s">
        <v>189</v>
      </c>
      <c r="V565" s="1" t="s">
        <v>251</v>
      </c>
      <c r="W565" s="1">
        <v>60133.0</v>
      </c>
      <c r="Y565" s="1" t="s">
        <v>7274</v>
      </c>
      <c r="Z565" s="1">
        <v>1964.0</v>
      </c>
      <c r="AA565" s="1" t="s">
        <v>192</v>
      </c>
      <c r="AB565" s="1" t="s">
        <v>193</v>
      </c>
      <c r="AD565" s="1" t="s">
        <v>254</v>
      </c>
      <c r="AE565" s="1" t="s">
        <v>195</v>
      </c>
      <c r="AF565" s="1" t="s">
        <v>255</v>
      </c>
      <c r="AH565" s="1" t="s">
        <v>7275</v>
      </c>
      <c r="AI565" s="1">
        <v>0.1832</v>
      </c>
      <c r="AK565" s="1">
        <v>7.0</v>
      </c>
      <c r="AL565" s="1">
        <v>3.0</v>
      </c>
      <c r="AM565" s="1">
        <v>1.0</v>
      </c>
      <c r="AN565" s="1">
        <v>1.0</v>
      </c>
      <c r="AO565" s="1" t="s">
        <v>229</v>
      </c>
      <c r="AQ565" s="1" t="s">
        <v>198</v>
      </c>
      <c r="AR565" s="1" t="s">
        <v>192</v>
      </c>
      <c r="AS565" s="1" t="s">
        <v>199</v>
      </c>
      <c r="AT565" s="1">
        <v>1.0</v>
      </c>
      <c r="AV565" s="1" t="s">
        <v>200</v>
      </c>
      <c r="AW565" s="1">
        <v>1667.97</v>
      </c>
      <c r="AX565" s="1">
        <v>2013.0</v>
      </c>
      <c r="AY565" s="1" t="s">
        <v>1917</v>
      </c>
      <c r="AZ565" s="1" t="s">
        <v>200</v>
      </c>
      <c r="BA565" s="1" t="str">
        <f>"07311030200000"</f>
        <v>07311030200000</v>
      </c>
      <c r="BB565" s="1" t="s">
        <v>200</v>
      </c>
      <c r="BC565" s="1">
        <v>1136.0</v>
      </c>
      <c r="BD565" s="1">
        <v>183000.0</v>
      </c>
      <c r="BE565" s="2">
        <v>41978.0</v>
      </c>
      <c r="BF565" s="1" t="s">
        <v>7276</v>
      </c>
      <c r="BG565" s="1" t="s">
        <v>7277</v>
      </c>
      <c r="BH565" s="1">
        <v>0.0</v>
      </c>
      <c r="BJ565" s="1" t="s">
        <v>259</v>
      </c>
      <c r="BK565" s="1" t="s">
        <v>204</v>
      </c>
      <c r="BL565" s="1" t="str">
        <f t="shared" ref="BL565:BM565" si="382">""</f>
        <v/>
      </c>
      <c r="BM565" s="1" t="str">
        <f t="shared" si="382"/>
        <v/>
      </c>
      <c r="BQ565" s="1">
        <v>54.0</v>
      </c>
      <c r="BR565" s="1">
        <v>211.0</v>
      </c>
      <c r="BS565" s="1">
        <v>54.0</v>
      </c>
      <c r="BU565" s="1" t="s">
        <v>1483</v>
      </c>
      <c r="BV565" s="1" t="s">
        <v>206</v>
      </c>
      <c r="BW565" s="1" t="s">
        <v>617</v>
      </c>
      <c r="BX565" s="1" t="s">
        <v>229</v>
      </c>
      <c r="BY565" s="1" t="s">
        <v>647</v>
      </c>
      <c r="BZ565" s="1" t="s">
        <v>206</v>
      </c>
      <c r="CA565" s="1" t="s">
        <v>210</v>
      </c>
      <c r="CB565" s="1" t="s">
        <v>229</v>
      </c>
      <c r="CC565" s="1" t="s">
        <v>265</v>
      </c>
      <c r="CD565" s="1" t="s">
        <v>206</v>
      </c>
      <c r="CE565" s="1" t="s">
        <v>617</v>
      </c>
      <c r="CF565" s="1" t="s">
        <v>229</v>
      </c>
      <c r="CG565" s="1" t="s">
        <v>495</v>
      </c>
      <c r="CH565" s="1" t="s">
        <v>206</v>
      </c>
      <c r="CI565" s="1" t="s">
        <v>210</v>
      </c>
      <c r="CJ565" s="1" t="s">
        <v>229</v>
      </c>
      <c r="CK565" s="1" t="s">
        <v>269</v>
      </c>
      <c r="CL565" s="1" t="s">
        <v>206</v>
      </c>
      <c r="CM565" s="1" t="s">
        <v>210</v>
      </c>
      <c r="CN565" s="1" t="s">
        <v>229</v>
      </c>
      <c r="CO565" s="1" t="s">
        <v>300</v>
      </c>
      <c r="CP565" s="1" t="s">
        <v>42</v>
      </c>
      <c r="CS565" s="1" t="s">
        <v>264</v>
      </c>
      <c r="CT565" s="1" t="s">
        <v>206</v>
      </c>
      <c r="CU565" s="1" t="s">
        <v>617</v>
      </c>
      <c r="CV565" s="1" t="s">
        <v>229</v>
      </c>
      <c r="CX565" s="1" t="s">
        <v>204</v>
      </c>
      <c r="DA565" s="1" t="s">
        <v>200</v>
      </c>
      <c r="DC565" s="1" t="s">
        <v>271</v>
      </c>
      <c r="DE565" s="1" t="s">
        <v>273</v>
      </c>
      <c r="DF565" s="1" t="s">
        <v>219</v>
      </c>
      <c r="DH565" s="1" t="s">
        <v>220</v>
      </c>
      <c r="DI565" s="1" t="s">
        <v>366</v>
      </c>
      <c r="DJ565" s="1" t="s">
        <v>222</v>
      </c>
      <c r="DL565" s="1" t="s">
        <v>224</v>
      </c>
      <c r="DM565" s="1" t="s">
        <v>229</v>
      </c>
      <c r="DQ565" s="1" t="s">
        <v>228</v>
      </c>
      <c r="DR565" s="1" t="s">
        <v>229</v>
      </c>
      <c r="DV565" s="1" t="s">
        <v>232</v>
      </c>
      <c r="DW565" s="1" t="s">
        <v>667</v>
      </c>
      <c r="DX565" s="1" t="s">
        <v>234</v>
      </c>
      <c r="EC565" s="1" t="s">
        <v>311</v>
      </c>
      <c r="ED565" s="1" t="s">
        <v>555</v>
      </c>
      <c r="EM565" s="1" t="s">
        <v>238</v>
      </c>
      <c r="EQ565" s="1" t="s">
        <v>238</v>
      </c>
      <c r="EU565" s="1" t="s">
        <v>238</v>
      </c>
      <c r="EY565" s="1" t="s">
        <v>238</v>
      </c>
      <c r="FC565" s="1" t="s">
        <v>238</v>
      </c>
      <c r="FF565" s="1" t="s">
        <v>239</v>
      </c>
      <c r="FG565" s="1" t="s">
        <v>192</v>
      </c>
      <c r="FH565" s="1" t="s">
        <v>192</v>
      </c>
      <c r="FJ565" s="1" t="s">
        <v>4598</v>
      </c>
      <c r="FK565" s="1" t="s">
        <v>229</v>
      </c>
      <c r="FL565" s="1" t="s">
        <v>7278</v>
      </c>
      <c r="FM565" s="1">
        <v>17589.0</v>
      </c>
      <c r="FN565" s="1" t="s">
        <v>7279</v>
      </c>
      <c r="FO565" s="1" t="s">
        <v>7280</v>
      </c>
      <c r="FP565" s="1">
        <v>132655.0</v>
      </c>
      <c r="FQ565" s="1" t="s">
        <v>7281</v>
      </c>
      <c r="FU565" s="1" t="s">
        <v>7282</v>
      </c>
      <c r="FV565" s="1" t="s">
        <v>192</v>
      </c>
      <c r="FW565" s="1" t="s">
        <v>631</v>
      </c>
      <c r="FZ565" s="1" t="s">
        <v>229</v>
      </c>
      <c r="GA565" s="1" t="s">
        <v>291</v>
      </c>
      <c r="GB565" s="2">
        <v>42034.0</v>
      </c>
      <c r="GC565" s="1" t="s">
        <v>7283</v>
      </c>
    </row>
    <row r="566">
      <c r="A566" s="1">
        <v>420000.0</v>
      </c>
      <c r="B566" s="1" t="s">
        <v>185</v>
      </c>
      <c r="C566" s="1" t="str">
        <f>"08797274"</f>
        <v>08797274</v>
      </c>
      <c r="D566" s="1" t="s">
        <v>186</v>
      </c>
      <c r="F566" s="1" t="str">
        <f>"134"</f>
        <v>134</v>
      </c>
      <c r="G566" s="2">
        <v>41978.0</v>
      </c>
      <c r="H566" s="1">
        <v>439000.0</v>
      </c>
      <c r="I566" s="1">
        <v>266.0</v>
      </c>
      <c r="J566" s="1">
        <v>425000.0</v>
      </c>
      <c r="K566" s="2">
        <v>42011.0</v>
      </c>
      <c r="L566" s="1">
        <v>34.0</v>
      </c>
      <c r="M566" s="2">
        <v>42011.0</v>
      </c>
      <c r="N566" s="1" t="s">
        <v>634</v>
      </c>
      <c r="O566" s="2">
        <v>42052.0</v>
      </c>
      <c r="P566" s="1">
        <v>237572.0</v>
      </c>
      <c r="Q566" s="1">
        <v>25660.0</v>
      </c>
      <c r="S566" s="1">
        <v>2241.0</v>
      </c>
      <c r="T566" s="1" t="s">
        <v>7284</v>
      </c>
      <c r="U566" s="1" t="s">
        <v>420</v>
      </c>
      <c r="V566" s="1" t="s">
        <v>421</v>
      </c>
      <c r="W566" s="1">
        <v>60134.0</v>
      </c>
      <c r="X566" s="1">
        <v>4316.0</v>
      </c>
      <c r="Y566" s="1" t="s">
        <v>7285</v>
      </c>
      <c r="Z566" s="1">
        <v>1994.0</v>
      </c>
      <c r="AA566" s="1" t="s">
        <v>200</v>
      </c>
      <c r="AB566" s="1" t="s">
        <v>193</v>
      </c>
      <c r="AC566" s="1" t="s">
        <v>3521</v>
      </c>
      <c r="AD566" s="1" t="s">
        <v>424</v>
      </c>
      <c r="AE566" s="1" t="s">
        <v>325</v>
      </c>
      <c r="AF566" s="1" t="s">
        <v>424</v>
      </c>
      <c r="AG566" s="1" t="s">
        <v>7286</v>
      </c>
      <c r="AH566" s="1" t="s">
        <v>7287</v>
      </c>
      <c r="AI566" s="1">
        <v>0.73</v>
      </c>
      <c r="AK566" s="1">
        <v>10.0</v>
      </c>
      <c r="AL566" s="1">
        <v>4.0</v>
      </c>
      <c r="AM566" s="1">
        <v>3.0</v>
      </c>
      <c r="AN566" s="1">
        <v>0.0</v>
      </c>
      <c r="AO566" s="1" t="s">
        <v>198</v>
      </c>
      <c r="AP566" s="1">
        <v>1.0</v>
      </c>
      <c r="AQ566" s="1" t="s">
        <v>198</v>
      </c>
      <c r="AR566" s="1" t="s">
        <v>200</v>
      </c>
      <c r="AS566" s="1" t="s">
        <v>199</v>
      </c>
      <c r="AT566" s="1">
        <v>3.0</v>
      </c>
      <c r="AV566" s="1" t="s">
        <v>192</v>
      </c>
      <c r="AW566" s="1">
        <v>14071.0</v>
      </c>
      <c r="AX566" s="1">
        <v>2013.0</v>
      </c>
      <c r="AY566" s="1" t="s">
        <v>387</v>
      </c>
      <c r="AZ566" s="1" t="s">
        <v>200</v>
      </c>
      <c r="BA566" s="1" t="str">
        <f>"1209302008"</f>
        <v>1209302008</v>
      </c>
      <c r="BB566" s="1" t="s">
        <v>200</v>
      </c>
      <c r="BC566" s="1">
        <v>3151.0</v>
      </c>
      <c r="BD566" s="1">
        <v>420000.0</v>
      </c>
      <c r="BE566" s="2">
        <v>41978.0</v>
      </c>
      <c r="BF566" s="2" t="s">
        <v>7288</v>
      </c>
      <c r="BH566" s="1">
        <v>0.0</v>
      </c>
      <c r="BK566" s="1" t="s">
        <v>204</v>
      </c>
      <c r="BL566" s="1" t="str">
        <f t="shared" ref="BL566:BM566" si="383">"0"</f>
        <v>0</v>
      </c>
      <c r="BM566" s="1" t="str">
        <f t="shared" si="383"/>
        <v>0</v>
      </c>
      <c r="BN566" s="1">
        <v>36.0</v>
      </c>
      <c r="BO566" s="1">
        <v>0.0</v>
      </c>
      <c r="BQ566" s="1">
        <v>304.0</v>
      </c>
      <c r="BR566" s="1">
        <v>304.0</v>
      </c>
      <c r="BS566" s="1">
        <v>304.0</v>
      </c>
      <c r="BU566" s="1" t="s">
        <v>433</v>
      </c>
      <c r="BV566" s="1" t="s">
        <v>206</v>
      </c>
      <c r="BW566" s="1" t="s">
        <v>207</v>
      </c>
      <c r="BX566" s="1" t="s">
        <v>229</v>
      </c>
      <c r="BY566" s="1" t="s">
        <v>480</v>
      </c>
      <c r="BZ566" s="1" t="s">
        <v>209</v>
      </c>
      <c r="CA566" s="1" t="s">
        <v>210</v>
      </c>
      <c r="CB566" s="1" t="s">
        <v>229</v>
      </c>
      <c r="CC566" s="1" t="s">
        <v>329</v>
      </c>
      <c r="CD566" s="1" t="s">
        <v>206</v>
      </c>
      <c r="CE566" s="1" t="s">
        <v>207</v>
      </c>
      <c r="CF566" s="1" t="s">
        <v>229</v>
      </c>
      <c r="CG566" s="1" t="s">
        <v>329</v>
      </c>
      <c r="CH566" s="1" t="s">
        <v>209</v>
      </c>
      <c r="CI566" s="1" t="s">
        <v>210</v>
      </c>
      <c r="CJ566" s="1" t="s">
        <v>229</v>
      </c>
      <c r="CK566" s="1" t="s">
        <v>215</v>
      </c>
      <c r="CL566" s="1" t="s">
        <v>209</v>
      </c>
      <c r="CM566" s="1" t="s">
        <v>210</v>
      </c>
      <c r="CN566" s="1" t="s">
        <v>229</v>
      </c>
      <c r="CO566" s="1" t="s">
        <v>363</v>
      </c>
      <c r="CP566" s="1" t="s">
        <v>209</v>
      </c>
      <c r="CQ566" s="1" t="s">
        <v>210</v>
      </c>
      <c r="CR566" s="1" t="s">
        <v>229</v>
      </c>
      <c r="CS566" s="1" t="s">
        <v>1534</v>
      </c>
      <c r="CT566" s="1" t="s">
        <v>206</v>
      </c>
      <c r="CU566" s="1" t="s">
        <v>268</v>
      </c>
      <c r="CV566" s="1" t="s">
        <v>229</v>
      </c>
      <c r="CW566" s="1" t="s">
        <v>1534</v>
      </c>
      <c r="CX566" s="1" t="s">
        <v>206</v>
      </c>
      <c r="CY566" s="1" t="s">
        <v>207</v>
      </c>
      <c r="CZ566" s="1" t="s">
        <v>229</v>
      </c>
      <c r="DA566" s="1" t="s">
        <v>200</v>
      </c>
      <c r="DC566" s="1" t="s">
        <v>678</v>
      </c>
      <c r="DD566" s="1" t="s">
        <v>5326</v>
      </c>
      <c r="DE566" s="1" t="s">
        <v>273</v>
      </c>
      <c r="DF566" s="1" t="s">
        <v>219</v>
      </c>
      <c r="DG566" s="1" t="s">
        <v>1602</v>
      </c>
      <c r="DH566" s="1" t="s">
        <v>220</v>
      </c>
      <c r="DI566" s="1" t="s">
        <v>221</v>
      </c>
      <c r="DJ566" s="1" t="s">
        <v>222</v>
      </c>
      <c r="DK566" s="1" t="s">
        <v>1555</v>
      </c>
      <c r="DL566" s="1" t="s">
        <v>224</v>
      </c>
      <c r="DM566" s="1" t="s">
        <v>929</v>
      </c>
      <c r="DN566" s="1" t="s">
        <v>399</v>
      </c>
      <c r="DO566" s="1" t="s">
        <v>7289</v>
      </c>
      <c r="DP566" s="1" t="s">
        <v>340</v>
      </c>
      <c r="DQ566" s="1" t="s">
        <v>1557</v>
      </c>
      <c r="DR566" s="1" t="s">
        <v>229</v>
      </c>
      <c r="DS566" s="1" t="s">
        <v>230</v>
      </c>
      <c r="DU566" s="1" t="s">
        <v>7290</v>
      </c>
      <c r="DV566" s="1" t="s">
        <v>7291</v>
      </c>
      <c r="DW566" s="1" t="s">
        <v>764</v>
      </c>
      <c r="DX566" s="1" t="s">
        <v>234</v>
      </c>
      <c r="DY566" s="1" t="s">
        <v>4218</v>
      </c>
      <c r="DZ566" s="1" t="s">
        <v>6232</v>
      </c>
      <c r="EA566" s="1" t="s">
        <v>344</v>
      </c>
      <c r="EB566" s="1" t="s">
        <v>937</v>
      </c>
      <c r="EC566" s="1" t="s">
        <v>237</v>
      </c>
      <c r="ED566" s="1" t="s">
        <v>407</v>
      </c>
      <c r="EE566" s="1" t="s">
        <v>493</v>
      </c>
      <c r="EG566" s="1" t="s">
        <v>494</v>
      </c>
      <c r="EH566" s="1" t="s">
        <v>450</v>
      </c>
      <c r="EL566" s="1" t="s">
        <v>329</v>
      </c>
      <c r="EM566" s="1" t="s">
        <v>206</v>
      </c>
      <c r="EN566" s="1" t="s">
        <v>207</v>
      </c>
      <c r="EO566" s="1" t="s">
        <v>239</v>
      </c>
      <c r="EP566" s="1" t="s">
        <v>6591</v>
      </c>
      <c r="EQ566" s="1" t="s">
        <v>42</v>
      </c>
      <c r="ER566" s="1" t="s">
        <v>210</v>
      </c>
      <c r="EU566" s="1" t="s">
        <v>238</v>
      </c>
      <c r="EY566" s="1" t="s">
        <v>238</v>
      </c>
      <c r="FC566" s="1" t="s">
        <v>238</v>
      </c>
      <c r="FF566" s="1" t="s">
        <v>239</v>
      </c>
      <c r="FG566" s="1" t="s">
        <v>192</v>
      </c>
      <c r="FH566" s="1" t="s">
        <v>192</v>
      </c>
      <c r="FJ566" s="1" t="s">
        <v>7292</v>
      </c>
      <c r="FK566" s="1" t="s">
        <v>229</v>
      </c>
      <c r="FL566" s="1" t="s">
        <v>1007</v>
      </c>
      <c r="FM566" s="1">
        <v>771.0</v>
      </c>
      <c r="FN566" s="1" t="s">
        <v>1494</v>
      </c>
      <c r="FO566" s="1" t="s">
        <v>1495</v>
      </c>
      <c r="FP566" s="1">
        <v>680.0</v>
      </c>
      <c r="FQ566" s="1" t="s">
        <v>1496</v>
      </c>
      <c r="FU566" s="1" t="s">
        <v>7293</v>
      </c>
      <c r="FV566" s="1" t="s">
        <v>200</v>
      </c>
      <c r="FW566" s="1" t="s">
        <v>7294</v>
      </c>
      <c r="FZ566" s="1" t="s">
        <v>229</v>
      </c>
      <c r="GA566" s="1" t="s">
        <v>291</v>
      </c>
      <c r="GB566" s="2">
        <v>42052.0</v>
      </c>
      <c r="GC566" s="1" t="s">
        <v>7295</v>
      </c>
    </row>
    <row r="567">
      <c r="A567" s="1">
        <v>133750.0</v>
      </c>
      <c r="B567" s="1" t="s">
        <v>185</v>
      </c>
      <c r="C567" s="1" t="str">
        <f>"08799800"</f>
        <v>08799800</v>
      </c>
      <c r="D567" s="1" t="s">
        <v>186</v>
      </c>
      <c r="F567" s="1" t="str">
        <f>"115"</f>
        <v>115</v>
      </c>
      <c r="G567" s="2">
        <v>41983.0</v>
      </c>
      <c r="H567" s="1">
        <v>139900.0</v>
      </c>
      <c r="I567" s="1">
        <v>219.0</v>
      </c>
      <c r="J567" s="1">
        <v>139900.0</v>
      </c>
      <c r="K567" s="2">
        <v>42015.0</v>
      </c>
      <c r="L567" s="1">
        <v>33.0</v>
      </c>
      <c r="M567" s="2">
        <v>42015.0</v>
      </c>
      <c r="N567" s="1" t="s">
        <v>187</v>
      </c>
      <c r="O567" s="2">
        <v>42072.0</v>
      </c>
      <c r="P567" s="1">
        <v>931569.0</v>
      </c>
      <c r="Q567" s="1">
        <v>93175.0</v>
      </c>
      <c r="S567" s="1">
        <v>749.0</v>
      </c>
      <c r="T567" s="1" t="s">
        <v>7296</v>
      </c>
      <c r="U567" s="1" t="s">
        <v>569</v>
      </c>
      <c r="V567" s="1" t="s">
        <v>610</v>
      </c>
      <c r="W567" s="1">
        <v>60115.0</v>
      </c>
      <c r="Y567" s="1" t="s">
        <v>7297</v>
      </c>
      <c r="Z567" s="1">
        <v>1964.0</v>
      </c>
      <c r="AA567" s="1" t="s">
        <v>192</v>
      </c>
      <c r="AB567" s="1" t="s">
        <v>193</v>
      </c>
      <c r="AC567" s="1" t="s">
        <v>7298</v>
      </c>
      <c r="AD567" s="1" t="s">
        <v>612</v>
      </c>
      <c r="AE567" s="1" t="s">
        <v>613</v>
      </c>
      <c r="AF567" s="1" t="s">
        <v>612</v>
      </c>
      <c r="AH567" s="1" t="s">
        <v>7299</v>
      </c>
      <c r="AI567" s="1">
        <v>0.2242</v>
      </c>
      <c r="AK567" s="1">
        <v>10.0</v>
      </c>
      <c r="AL567" s="1">
        <v>4.0</v>
      </c>
      <c r="AM567" s="1">
        <v>2.0</v>
      </c>
      <c r="AN567" s="1">
        <v>1.0</v>
      </c>
      <c r="AO567" s="1" t="s">
        <v>229</v>
      </c>
      <c r="AQ567" s="1" t="s">
        <v>198</v>
      </c>
      <c r="AR567" s="1" t="s">
        <v>192</v>
      </c>
      <c r="AS567" s="1" t="s">
        <v>199</v>
      </c>
      <c r="AT567" s="1">
        <v>2.0</v>
      </c>
      <c r="AV567" s="1" t="s">
        <v>200</v>
      </c>
      <c r="AW567" s="1">
        <v>4727.84</v>
      </c>
      <c r="AX567" s="1">
        <v>2013.0</v>
      </c>
      <c r="AY567" s="1" t="s">
        <v>387</v>
      </c>
      <c r="AZ567" s="1" t="s">
        <v>200</v>
      </c>
      <c r="BA567" s="1" t="str">
        <f>"0815182007"</f>
        <v>0815182007</v>
      </c>
      <c r="BC567" s="1">
        <v>1664.0</v>
      </c>
      <c r="BD567" s="1">
        <v>133750.0</v>
      </c>
      <c r="BE567" s="2">
        <v>41983.0</v>
      </c>
      <c r="BF567" s="2" t="s">
        <v>7300</v>
      </c>
      <c r="BH567" s="1">
        <v>0.0</v>
      </c>
      <c r="BK567" s="1" t="s">
        <v>204</v>
      </c>
      <c r="BL567" s="1" t="str">
        <f t="shared" ref="BL567:BM567" si="384">""</f>
        <v/>
      </c>
      <c r="BM567" s="1" t="str">
        <f t="shared" si="384"/>
        <v/>
      </c>
      <c r="BQ567" s="1">
        <v>428.0</v>
      </c>
      <c r="BR567" s="1">
        <v>428.0</v>
      </c>
      <c r="BS567" s="1">
        <v>428.0</v>
      </c>
      <c r="BU567" s="1" t="s">
        <v>2414</v>
      </c>
      <c r="BV567" s="1" t="s">
        <v>206</v>
      </c>
      <c r="BW567" s="1" t="s">
        <v>210</v>
      </c>
      <c r="BX567" s="1" t="s">
        <v>239</v>
      </c>
      <c r="BY567" s="1" t="s">
        <v>758</v>
      </c>
      <c r="BZ567" s="1" t="s">
        <v>209</v>
      </c>
      <c r="CA567" s="1" t="s">
        <v>210</v>
      </c>
      <c r="CB567" s="1" t="s">
        <v>431</v>
      </c>
      <c r="CC567" s="1" t="s">
        <v>497</v>
      </c>
      <c r="CD567" s="1" t="s">
        <v>206</v>
      </c>
      <c r="CE567" s="1" t="s">
        <v>210</v>
      </c>
      <c r="CF567" s="1" t="s">
        <v>239</v>
      </c>
      <c r="CG567" s="1" t="s">
        <v>497</v>
      </c>
      <c r="CH567" s="1" t="s">
        <v>209</v>
      </c>
      <c r="CI567" s="1" t="s">
        <v>210</v>
      </c>
      <c r="CJ567" s="1" t="s">
        <v>431</v>
      </c>
      <c r="CK567" s="1" t="s">
        <v>516</v>
      </c>
      <c r="CL567" s="1" t="s">
        <v>209</v>
      </c>
      <c r="CM567" s="1" t="s">
        <v>210</v>
      </c>
      <c r="CN567" s="1" t="s">
        <v>431</v>
      </c>
      <c r="CO567" s="1" t="s">
        <v>758</v>
      </c>
      <c r="CP567" s="1" t="s">
        <v>209</v>
      </c>
      <c r="CQ567" s="1" t="s">
        <v>210</v>
      </c>
      <c r="CR567" s="1" t="s">
        <v>431</v>
      </c>
      <c r="CS567" s="1" t="s">
        <v>205</v>
      </c>
      <c r="CT567" s="1" t="s">
        <v>206</v>
      </c>
      <c r="CU567" s="1" t="s">
        <v>207</v>
      </c>
      <c r="CV567" s="1" t="s">
        <v>239</v>
      </c>
      <c r="CW567" s="1" t="s">
        <v>332</v>
      </c>
      <c r="CX567" s="1" t="s">
        <v>42</v>
      </c>
      <c r="CY567" s="1" t="s">
        <v>210</v>
      </c>
      <c r="DA567" s="1" t="s">
        <v>200</v>
      </c>
      <c r="DC567" s="1" t="s">
        <v>271</v>
      </c>
      <c r="DD567" s="1" t="s">
        <v>518</v>
      </c>
      <c r="DE567" s="1" t="s">
        <v>273</v>
      </c>
      <c r="DF567" s="1" t="s">
        <v>787</v>
      </c>
      <c r="DG567" s="1" t="s">
        <v>2747</v>
      </c>
      <c r="DH567" s="1" t="s">
        <v>220</v>
      </c>
      <c r="DI567" s="1" t="s">
        <v>959</v>
      </c>
      <c r="DJ567" s="1" t="s">
        <v>222</v>
      </c>
      <c r="DL567" s="1" t="s">
        <v>858</v>
      </c>
      <c r="DM567" s="1" t="s">
        <v>229</v>
      </c>
      <c r="DP567" s="1" t="s">
        <v>340</v>
      </c>
      <c r="DQ567" s="1" t="s">
        <v>228</v>
      </c>
      <c r="DR567" s="1" t="s">
        <v>229</v>
      </c>
      <c r="DU567" s="1" t="s">
        <v>7301</v>
      </c>
      <c r="DV567" s="1" t="s">
        <v>7302</v>
      </c>
      <c r="DW567" s="1" t="s">
        <v>233</v>
      </c>
      <c r="DX567" s="1" t="s">
        <v>234</v>
      </c>
      <c r="DY567" s="1" t="s">
        <v>704</v>
      </c>
      <c r="DZ567" s="1" t="s">
        <v>7303</v>
      </c>
      <c r="EA567" s="1" t="s">
        <v>344</v>
      </c>
      <c r="EC567" s="1" t="s">
        <v>237</v>
      </c>
      <c r="ED567" s="1" t="s">
        <v>555</v>
      </c>
      <c r="EE567" s="1" t="s">
        <v>493</v>
      </c>
      <c r="EG567" s="1" t="s">
        <v>598</v>
      </c>
      <c r="EH567" s="1" t="s">
        <v>2129</v>
      </c>
      <c r="EI567" s="1" t="s">
        <v>450</v>
      </c>
      <c r="EL567" s="1" t="s">
        <v>543</v>
      </c>
      <c r="EM567" s="1" t="s">
        <v>42</v>
      </c>
      <c r="EN567" s="1" t="s">
        <v>210</v>
      </c>
      <c r="EP567" s="1" t="s">
        <v>454</v>
      </c>
      <c r="EQ567" s="1" t="s">
        <v>206</v>
      </c>
      <c r="ET567" s="1" t="s">
        <v>331</v>
      </c>
      <c r="EU567" s="1" t="s">
        <v>42</v>
      </c>
      <c r="EV567" s="1" t="s">
        <v>617</v>
      </c>
      <c r="EY567" s="1" t="s">
        <v>238</v>
      </c>
      <c r="FC567" s="1" t="s">
        <v>238</v>
      </c>
      <c r="FF567" s="1" t="s">
        <v>239</v>
      </c>
      <c r="FG567" s="1" t="s">
        <v>192</v>
      </c>
      <c r="FH567" s="1" t="s">
        <v>192</v>
      </c>
      <c r="FJ567" s="1" t="s">
        <v>7304</v>
      </c>
      <c r="FK567" s="1" t="s">
        <v>229</v>
      </c>
      <c r="FL567" s="1" t="s">
        <v>456</v>
      </c>
      <c r="FM567" s="1">
        <v>49.0</v>
      </c>
      <c r="FN567" s="1" t="s">
        <v>457</v>
      </c>
      <c r="FO567" s="1" t="s">
        <v>7305</v>
      </c>
      <c r="FP567" s="1">
        <v>7198.0</v>
      </c>
      <c r="FQ567" s="1" t="s">
        <v>7306</v>
      </c>
      <c r="FS567" s="1">
        <v>8.157620085E9</v>
      </c>
      <c r="FU567" s="1" t="s">
        <v>7307</v>
      </c>
      <c r="FV567" s="1" t="s">
        <v>200</v>
      </c>
      <c r="FW567" s="1" t="s">
        <v>290</v>
      </c>
      <c r="FX567" s="1" t="s">
        <v>246</v>
      </c>
      <c r="FZ567" s="1" t="s">
        <v>229</v>
      </c>
      <c r="GA567" s="1" t="s">
        <v>291</v>
      </c>
      <c r="GB567" s="2">
        <v>42072.0</v>
      </c>
      <c r="GC567" s="1" t="s">
        <v>7308</v>
      </c>
    </row>
    <row r="568">
      <c r="A568" s="1">
        <v>143000.0</v>
      </c>
      <c r="B568" s="1" t="s">
        <v>185</v>
      </c>
      <c r="C568" s="1" t="str">
        <f>"08798346"</f>
        <v>08798346</v>
      </c>
      <c r="D568" s="1" t="s">
        <v>186</v>
      </c>
      <c r="F568" s="1" t="str">
        <f>"8062"</f>
        <v>8062</v>
      </c>
      <c r="G568" s="2">
        <v>41980.0</v>
      </c>
      <c r="H568" s="1">
        <v>160000.0</v>
      </c>
      <c r="I568" s="1">
        <v>82.0</v>
      </c>
      <c r="J568" s="1">
        <v>154900.0</v>
      </c>
      <c r="K568" s="2">
        <v>42059.0</v>
      </c>
      <c r="L568" s="1">
        <v>82.0</v>
      </c>
      <c r="M568" s="2">
        <v>42059.0</v>
      </c>
      <c r="N568" s="1" t="s">
        <v>356</v>
      </c>
      <c r="O568" s="2">
        <v>42123.0</v>
      </c>
      <c r="P568" s="1">
        <v>234950.0</v>
      </c>
      <c r="Q568" s="1">
        <v>60119.0</v>
      </c>
      <c r="R568" s="1">
        <v>4500.0</v>
      </c>
      <c r="S568" s="1">
        <v>5719.0</v>
      </c>
      <c r="T568" s="1" t="s">
        <v>7309</v>
      </c>
      <c r="U568" s="1" t="s">
        <v>189</v>
      </c>
      <c r="V568" s="1" t="s">
        <v>190</v>
      </c>
      <c r="W568" s="1">
        <v>60629.0</v>
      </c>
      <c r="Y568" s="1" t="s">
        <v>7310</v>
      </c>
      <c r="Z568" s="1">
        <v>1942.0</v>
      </c>
      <c r="AA568" s="1" t="s">
        <v>192</v>
      </c>
      <c r="AB568" s="1" t="s">
        <v>193</v>
      </c>
      <c r="AD568" s="1" t="s">
        <v>194</v>
      </c>
      <c r="AE568" s="1" t="s">
        <v>195</v>
      </c>
      <c r="AF568" s="1" t="s">
        <v>659</v>
      </c>
      <c r="AH568" s="1" t="s">
        <v>1115</v>
      </c>
      <c r="AI568" s="1">
        <v>0.0868</v>
      </c>
      <c r="AK568" s="1">
        <v>6.0</v>
      </c>
      <c r="AL568" s="1">
        <v>4.0</v>
      </c>
      <c r="AM568" s="1">
        <v>1.0</v>
      </c>
      <c r="AN568" s="1">
        <v>1.0</v>
      </c>
      <c r="AO568" s="1" t="s">
        <v>229</v>
      </c>
      <c r="AQ568" s="1" t="s">
        <v>198</v>
      </c>
      <c r="AR568" s="1" t="s">
        <v>200</v>
      </c>
      <c r="AS568" s="1" t="s">
        <v>199</v>
      </c>
      <c r="AT568" s="1">
        <v>2.0</v>
      </c>
      <c r="AV568" s="1" t="s">
        <v>200</v>
      </c>
      <c r="AW568" s="1">
        <v>355.78</v>
      </c>
      <c r="AX568" s="1">
        <v>2013.0</v>
      </c>
      <c r="AY568" s="1" t="s">
        <v>1917</v>
      </c>
      <c r="AZ568" s="1" t="s">
        <v>200</v>
      </c>
      <c r="BA568" s="1" t="str">
        <f>"19152170070000"</f>
        <v>19152170070000</v>
      </c>
      <c r="BC568" s="1">
        <v>1200.0</v>
      </c>
      <c r="BD568" s="1">
        <v>143000.0</v>
      </c>
      <c r="BE568" s="2">
        <v>41978.0</v>
      </c>
      <c r="BF568" s="1" t="s">
        <v>7311</v>
      </c>
      <c r="BH568" s="1">
        <v>0.0</v>
      </c>
      <c r="BK568" s="1" t="s">
        <v>204</v>
      </c>
      <c r="BL568" s="1" t="str">
        <f t="shared" ref="BL568:BM568" si="385">"0"</f>
        <v>0</v>
      </c>
      <c r="BM568" s="1" t="str">
        <f t="shared" si="385"/>
        <v>0</v>
      </c>
      <c r="BN568" s="1">
        <v>4300.0</v>
      </c>
      <c r="BO568" s="1">
        <v>5719.0</v>
      </c>
      <c r="BP568" s="1" t="s">
        <v>7312</v>
      </c>
      <c r="BQ568" s="1">
        <v>299.0</v>
      </c>
      <c r="BR568" s="1">
        <v>299.0</v>
      </c>
      <c r="BS568" s="1">
        <v>299.0</v>
      </c>
      <c r="BU568" s="1" t="s">
        <v>2713</v>
      </c>
      <c r="BV568" s="1" t="s">
        <v>206</v>
      </c>
      <c r="BW568" s="1" t="s">
        <v>210</v>
      </c>
      <c r="BY568" s="1" t="s">
        <v>663</v>
      </c>
      <c r="BZ568" s="1" t="s">
        <v>206</v>
      </c>
      <c r="CA568" s="1" t="s">
        <v>207</v>
      </c>
      <c r="CD568" s="1" t="s">
        <v>204</v>
      </c>
      <c r="CG568" s="1" t="s">
        <v>269</v>
      </c>
      <c r="CH568" s="1" t="s">
        <v>206</v>
      </c>
      <c r="CI568" s="1" t="s">
        <v>207</v>
      </c>
      <c r="CK568" s="1" t="s">
        <v>300</v>
      </c>
      <c r="CL568" s="1" t="s">
        <v>209</v>
      </c>
      <c r="CM568" s="1" t="s">
        <v>617</v>
      </c>
      <c r="CO568" s="1" t="s">
        <v>264</v>
      </c>
      <c r="CP568" s="1" t="s">
        <v>209</v>
      </c>
      <c r="CQ568" s="1" t="s">
        <v>617</v>
      </c>
      <c r="CS568" s="1" t="s">
        <v>269</v>
      </c>
      <c r="CT568" s="1" t="s">
        <v>206</v>
      </c>
      <c r="CU568" s="1" t="s">
        <v>617</v>
      </c>
      <c r="CX568" s="1" t="s">
        <v>204</v>
      </c>
      <c r="DA568" s="1" t="s">
        <v>200</v>
      </c>
      <c r="DC568" s="1" t="s">
        <v>1399</v>
      </c>
      <c r="DD568" s="1" t="s">
        <v>518</v>
      </c>
      <c r="DE568" s="1" t="s">
        <v>273</v>
      </c>
      <c r="DF568" s="1" t="s">
        <v>219</v>
      </c>
      <c r="DG568" s="1" t="s">
        <v>482</v>
      </c>
      <c r="DH568" s="1" t="s">
        <v>365</v>
      </c>
      <c r="DJ568" s="1" t="s">
        <v>222</v>
      </c>
      <c r="DL568" s="1" t="s">
        <v>223</v>
      </c>
      <c r="DM568" s="1" t="s">
        <v>229</v>
      </c>
      <c r="DQ568" s="1" t="s">
        <v>228</v>
      </c>
      <c r="DR568" s="1" t="s">
        <v>229</v>
      </c>
      <c r="DV568" s="1" t="s">
        <v>374</v>
      </c>
      <c r="DW568" s="1" t="s">
        <v>279</v>
      </c>
      <c r="DX568" s="1" t="s">
        <v>234</v>
      </c>
      <c r="EA568" s="1" t="s">
        <v>1075</v>
      </c>
      <c r="EC568" s="1" t="s">
        <v>645</v>
      </c>
      <c r="EG568" s="1" t="s">
        <v>374</v>
      </c>
      <c r="EL568" s="1" t="s">
        <v>1229</v>
      </c>
      <c r="EM568" s="1" t="s">
        <v>206</v>
      </c>
      <c r="EQ568" s="1" t="s">
        <v>238</v>
      </c>
      <c r="EU568" s="1" t="s">
        <v>238</v>
      </c>
      <c r="EY568" s="1" t="s">
        <v>238</v>
      </c>
      <c r="FC568" s="1" t="s">
        <v>238</v>
      </c>
      <c r="FF568" s="1" t="s">
        <v>239</v>
      </c>
      <c r="FG568" s="1" t="s">
        <v>192</v>
      </c>
      <c r="FH568" s="1" t="s">
        <v>192</v>
      </c>
      <c r="FJ568" s="1" t="s">
        <v>624</v>
      </c>
      <c r="FK568" s="1" t="s">
        <v>229</v>
      </c>
      <c r="FL568" s="1" t="s">
        <v>2111</v>
      </c>
      <c r="FM568" s="1">
        <v>12555.0</v>
      </c>
      <c r="FN568" s="1" t="s">
        <v>2112</v>
      </c>
      <c r="FO568" s="1" t="s">
        <v>7313</v>
      </c>
      <c r="FP568" s="1">
        <v>184000.0</v>
      </c>
      <c r="FU568" s="1" t="s">
        <v>710</v>
      </c>
      <c r="FV568" s="1" t="s">
        <v>200</v>
      </c>
      <c r="FW568" s="1" t="s">
        <v>1511</v>
      </c>
      <c r="FX568" s="1" t="s">
        <v>655</v>
      </c>
      <c r="FZ568" s="1" t="s">
        <v>229</v>
      </c>
      <c r="GA568" s="1" t="s">
        <v>291</v>
      </c>
      <c r="GB568" s="2">
        <v>42124.0</v>
      </c>
      <c r="GC568" s="1" t="s">
        <v>7314</v>
      </c>
    </row>
    <row r="569">
      <c r="A569" s="1">
        <v>450000.0</v>
      </c>
      <c r="B569" s="1" t="s">
        <v>185</v>
      </c>
      <c r="C569" s="1" t="str">
        <f>"08801012"</f>
        <v>08801012</v>
      </c>
      <c r="D569" s="1" t="s">
        <v>186</v>
      </c>
      <c r="F569" s="1" t="str">
        <f>"119"</f>
        <v>119</v>
      </c>
      <c r="G569" s="2">
        <v>41985.0</v>
      </c>
      <c r="H569" s="1">
        <v>459900.0</v>
      </c>
      <c r="I569" s="1">
        <v>78.0</v>
      </c>
      <c r="J569" s="1">
        <v>459900.0</v>
      </c>
      <c r="K569" s="2">
        <v>42060.0</v>
      </c>
      <c r="L569" s="1">
        <v>78.0</v>
      </c>
      <c r="M569" s="2">
        <v>42060.0</v>
      </c>
      <c r="N569" s="1" t="s">
        <v>187</v>
      </c>
      <c r="O569" s="2">
        <v>42103.0</v>
      </c>
      <c r="P569" s="1">
        <v>313816.0</v>
      </c>
      <c r="Q569" s="1">
        <v>300.0</v>
      </c>
      <c r="S569" s="1" t="s">
        <v>7315</v>
      </c>
      <c r="T569" s="1" t="s">
        <v>7316</v>
      </c>
      <c r="U569" s="1" t="s">
        <v>569</v>
      </c>
      <c r="V569" s="1" t="s">
        <v>1476</v>
      </c>
      <c r="W569" s="1">
        <v>60119.0</v>
      </c>
      <c r="Y569" s="1" t="s">
        <v>7317</v>
      </c>
      <c r="Z569" s="1">
        <v>1991.0</v>
      </c>
      <c r="AA569" s="1" t="s">
        <v>200</v>
      </c>
      <c r="AB569" s="1" t="s">
        <v>193</v>
      </c>
      <c r="AC569" s="1" t="s">
        <v>7316</v>
      </c>
      <c r="AD569" s="1" t="s">
        <v>1089</v>
      </c>
      <c r="AE569" s="1" t="s">
        <v>325</v>
      </c>
      <c r="AF569" s="1" t="s">
        <v>1479</v>
      </c>
      <c r="AG569" s="1" t="s">
        <v>7318</v>
      </c>
      <c r="AH569" s="1" t="s">
        <v>7319</v>
      </c>
      <c r="AK569" s="1">
        <v>9.0</v>
      </c>
      <c r="AL569" s="1">
        <v>4.0</v>
      </c>
      <c r="AM569" s="1">
        <v>3.0</v>
      </c>
      <c r="AN569" s="1">
        <v>1.0</v>
      </c>
      <c r="AO569" s="1" t="s">
        <v>198</v>
      </c>
      <c r="AP569" s="1">
        <v>2.0</v>
      </c>
      <c r="AQ569" s="1" t="s">
        <v>198</v>
      </c>
      <c r="AR569" s="1" t="s">
        <v>200</v>
      </c>
      <c r="AS569" s="1" t="s">
        <v>199</v>
      </c>
      <c r="AT569" s="1">
        <v>3.0</v>
      </c>
      <c r="AV569" s="1" t="s">
        <v>200</v>
      </c>
      <c r="AW569" s="4">
        <v>16166.0</v>
      </c>
      <c r="AX569" s="1">
        <v>2013.0</v>
      </c>
      <c r="AY569" s="1" t="s">
        <v>387</v>
      </c>
      <c r="AZ569" s="1" t="s">
        <v>200</v>
      </c>
      <c r="BA569" s="1" t="str">
        <f>"1129103007"</f>
        <v>1129103007</v>
      </c>
      <c r="BB569" s="1" t="s">
        <v>200</v>
      </c>
      <c r="BC569" s="1">
        <v>4116.0</v>
      </c>
      <c r="BD569" s="1">
        <v>450000.0</v>
      </c>
      <c r="BE569" s="2">
        <v>41983.0</v>
      </c>
      <c r="BF569" s="2" t="s">
        <v>7320</v>
      </c>
      <c r="BH569" s="1">
        <v>0.0</v>
      </c>
      <c r="BK569" s="1" t="s">
        <v>204</v>
      </c>
      <c r="BL569" s="1" t="str">
        <f t="shared" ref="BL569:BM569" si="386">"0"</f>
        <v>0</v>
      </c>
      <c r="BM569" s="1" t="str">
        <f t="shared" si="386"/>
        <v>0</v>
      </c>
      <c r="BN569" s="1">
        <v>43.0</v>
      </c>
      <c r="BO569" s="1">
        <v>2.0</v>
      </c>
      <c r="BQ569" s="1">
        <v>302.0</v>
      </c>
      <c r="BR569" s="1">
        <v>302.0</v>
      </c>
      <c r="BS569" s="1">
        <v>302.0</v>
      </c>
      <c r="BU569" s="1" t="s">
        <v>3475</v>
      </c>
      <c r="BV569" s="1" t="s">
        <v>206</v>
      </c>
      <c r="BW569" s="1" t="s">
        <v>210</v>
      </c>
      <c r="BX569" s="1" t="s">
        <v>1118</v>
      </c>
      <c r="BY569" s="1" t="s">
        <v>1279</v>
      </c>
      <c r="BZ569" s="1" t="s">
        <v>206</v>
      </c>
      <c r="CA569" s="1" t="s">
        <v>210</v>
      </c>
      <c r="CB569" s="1" t="s">
        <v>431</v>
      </c>
      <c r="CC569" s="1" t="s">
        <v>361</v>
      </c>
      <c r="CD569" s="1" t="s">
        <v>206</v>
      </c>
      <c r="CE569" s="1" t="s">
        <v>210</v>
      </c>
      <c r="CF569" s="1" t="s">
        <v>1118</v>
      </c>
      <c r="CG569" s="1" t="s">
        <v>454</v>
      </c>
      <c r="CH569" s="1" t="s">
        <v>209</v>
      </c>
      <c r="CI569" s="1" t="s">
        <v>210</v>
      </c>
      <c r="CJ569" s="1" t="s">
        <v>1118</v>
      </c>
      <c r="CK569" s="1" t="s">
        <v>2120</v>
      </c>
      <c r="CL569" s="1" t="s">
        <v>209</v>
      </c>
      <c r="CM569" s="1" t="s">
        <v>210</v>
      </c>
      <c r="CO569" s="1" t="s">
        <v>329</v>
      </c>
      <c r="CP569" s="1" t="s">
        <v>209</v>
      </c>
      <c r="CQ569" s="1" t="s">
        <v>210</v>
      </c>
      <c r="CR569" s="1" t="s">
        <v>1118</v>
      </c>
      <c r="CS569" s="1" t="s">
        <v>2130</v>
      </c>
      <c r="CT569" s="1" t="s">
        <v>206</v>
      </c>
      <c r="CU569" s="1" t="s">
        <v>207</v>
      </c>
      <c r="CV569" s="1" t="s">
        <v>1118</v>
      </c>
      <c r="CW569" s="1" t="s">
        <v>3658</v>
      </c>
      <c r="CX569" s="1" t="s">
        <v>267</v>
      </c>
      <c r="CY569" s="1" t="s">
        <v>210</v>
      </c>
      <c r="CZ569" s="1" t="s">
        <v>1118</v>
      </c>
      <c r="DA569" s="1" t="s">
        <v>200</v>
      </c>
      <c r="DC569" s="1" t="s">
        <v>435</v>
      </c>
      <c r="DD569" s="1" t="s">
        <v>4137</v>
      </c>
      <c r="DE569" s="1" t="s">
        <v>273</v>
      </c>
      <c r="DF569" s="1" t="s">
        <v>219</v>
      </c>
      <c r="DG569" s="1" t="s">
        <v>2123</v>
      </c>
      <c r="DH569" s="1" t="s">
        <v>856</v>
      </c>
      <c r="DI569" s="1" t="s">
        <v>7321</v>
      </c>
      <c r="DJ569" s="1" t="s">
        <v>857</v>
      </c>
      <c r="DK569" s="1" t="s">
        <v>223</v>
      </c>
      <c r="DL569" s="1" t="s">
        <v>223</v>
      </c>
      <c r="DM569" s="1" t="s">
        <v>338</v>
      </c>
      <c r="DN569" s="1" t="s">
        <v>439</v>
      </c>
      <c r="DP569" s="1" t="s">
        <v>340</v>
      </c>
      <c r="DQ569" s="1" t="s">
        <v>931</v>
      </c>
      <c r="DR569" s="1" t="s">
        <v>229</v>
      </c>
      <c r="DS569" s="1" t="s">
        <v>277</v>
      </c>
      <c r="DU569" s="1" t="s">
        <v>7322</v>
      </c>
      <c r="DV569" s="1" t="s">
        <v>1961</v>
      </c>
      <c r="DW569" s="1" t="s">
        <v>279</v>
      </c>
      <c r="DX569" s="1" t="s">
        <v>234</v>
      </c>
      <c r="DY569" s="1" t="s">
        <v>1958</v>
      </c>
      <c r="DZ569" s="1" t="s">
        <v>2204</v>
      </c>
      <c r="EA569" s="1" t="s">
        <v>344</v>
      </c>
      <c r="EB569" s="1" t="s">
        <v>5995</v>
      </c>
      <c r="EC569" s="1" t="s">
        <v>237</v>
      </c>
      <c r="ED569" s="1" t="s">
        <v>407</v>
      </c>
      <c r="EE569" s="1" t="s">
        <v>187</v>
      </c>
      <c r="EG569" s="1" t="s">
        <v>1961</v>
      </c>
      <c r="EL569" s="1" t="s">
        <v>433</v>
      </c>
      <c r="EM569" s="1" t="s">
        <v>209</v>
      </c>
      <c r="EN569" s="1" t="s">
        <v>210</v>
      </c>
      <c r="EO569" s="1" t="s">
        <v>431</v>
      </c>
      <c r="EQ569" s="1" t="s">
        <v>238</v>
      </c>
      <c r="EU569" s="1" t="s">
        <v>238</v>
      </c>
      <c r="EY569" s="1" t="s">
        <v>238</v>
      </c>
      <c r="FC569" s="1" t="s">
        <v>238</v>
      </c>
      <c r="FF569" s="1" t="s">
        <v>239</v>
      </c>
      <c r="FG569" s="1" t="s">
        <v>192</v>
      </c>
      <c r="FH569" s="1" t="s">
        <v>192</v>
      </c>
      <c r="FJ569" s="1" t="s">
        <v>7323</v>
      </c>
      <c r="FK569" s="1" t="s">
        <v>229</v>
      </c>
      <c r="FL569" s="1" t="s">
        <v>7324</v>
      </c>
      <c r="FM569" s="1">
        <v>494.0</v>
      </c>
      <c r="FN569" s="1" t="s">
        <v>7325</v>
      </c>
      <c r="FO569" s="1" t="s">
        <v>7326</v>
      </c>
      <c r="FP569" s="1">
        <v>1183.0</v>
      </c>
      <c r="FQ569" s="1" t="s">
        <v>7325</v>
      </c>
      <c r="FR569" s="1">
        <v>519.0</v>
      </c>
      <c r="FU569" s="1" t="s">
        <v>7327</v>
      </c>
      <c r="FV569" s="1" t="s">
        <v>200</v>
      </c>
      <c r="FW569" s="1" t="s">
        <v>2754</v>
      </c>
      <c r="FZ569" s="1" t="s">
        <v>229</v>
      </c>
      <c r="GA569" s="1" t="s">
        <v>291</v>
      </c>
      <c r="GB569" s="2">
        <v>42103.0</v>
      </c>
      <c r="GC569" s="1" t="s">
        <v>7328</v>
      </c>
    </row>
    <row r="570">
      <c r="A570" s="1">
        <v>203000.0</v>
      </c>
      <c r="B570" s="1" t="s">
        <v>185</v>
      </c>
      <c r="C570" s="1" t="str">
        <f>"08796513"</f>
        <v>08796513</v>
      </c>
      <c r="D570" s="1" t="s">
        <v>186</v>
      </c>
      <c r="F570" s="1" t="str">
        <f>"8070"</f>
        <v>8070</v>
      </c>
      <c r="G570" s="2">
        <v>41976.0</v>
      </c>
      <c r="H570" s="1">
        <v>209900.0</v>
      </c>
      <c r="I570" s="1">
        <v>289.0</v>
      </c>
      <c r="J570" s="1">
        <v>209900.0</v>
      </c>
      <c r="K570" s="2">
        <v>42039.0</v>
      </c>
      <c r="L570" s="1">
        <v>64.0</v>
      </c>
      <c r="M570" s="2">
        <v>42039.0</v>
      </c>
      <c r="N570" s="1" t="s">
        <v>356</v>
      </c>
      <c r="O570" s="2">
        <v>42069.0</v>
      </c>
      <c r="P570" s="1">
        <v>407672.0</v>
      </c>
      <c r="Q570" s="1">
        <v>40315.0</v>
      </c>
      <c r="S570" s="1">
        <v>3926.0</v>
      </c>
      <c r="T570" s="1" t="s">
        <v>4526</v>
      </c>
      <c r="U570" s="1" t="s">
        <v>320</v>
      </c>
      <c r="V570" s="1" t="s">
        <v>190</v>
      </c>
      <c r="W570" s="1">
        <v>60652.0</v>
      </c>
      <c r="Y570" s="1" t="s">
        <v>7329</v>
      </c>
      <c r="Z570" s="1">
        <v>1944.0</v>
      </c>
      <c r="AA570" s="1" t="s">
        <v>192</v>
      </c>
      <c r="AB570" s="1" t="s">
        <v>193</v>
      </c>
      <c r="AD570" s="1" t="s">
        <v>194</v>
      </c>
      <c r="AE570" s="1" t="s">
        <v>195</v>
      </c>
      <c r="AF570" s="1" t="s">
        <v>659</v>
      </c>
      <c r="AH570" s="1" t="s">
        <v>7330</v>
      </c>
      <c r="AI570" s="1">
        <v>0.1033</v>
      </c>
      <c r="AK570" s="1">
        <v>8.0</v>
      </c>
      <c r="AL570" s="1">
        <v>3.0</v>
      </c>
      <c r="AM570" s="1">
        <v>3.0</v>
      </c>
      <c r="AN570" s="1">
        <v>0.0</v>
      </c>
      <c r="AO570" s="1" t="s">
        <v>229</v>
      </c>
      <c r="AQ570" s="1" t="s">
        <v>198</v>
      </c>
      <c r="AR570" s="1" t="s">
        <v>192</v>
      </c>
      <c r="AS570" s="1" t="s">
        <v>199</v>
      </c>
      <c r="AT570" s="1">
        <v>1.5</v>
      </c>
      <c r="AV570" s="1" t="s">
        <v>200</v>
      </c>
      <c r="AW570" s="1">
        <v>1699.13</v>
      </c>
      <c r="AX570" s="1">
        <v>2013.0</v>
      </c>
      <c r="AZ570" s="1" t="s">
        <v>200</v>
      </c>
      <c r="BA570" s="1" t="str">
        <f>"19351250470000"</f>
        <v>19351250470000</v>
      </c>
      <c r="BC570" s="1">
        <v>837.0</v>
      </c>
      <c r="BD570" s="1">
        <v>203000.0</v>
      </c>
      <c r="BE570" s="2">
        <v>41976.0</v>
      </c>
      <c r="BF570" s="2" t="s">
        <v>7331</v>
      </c>
      <c r="BH570" s="1">
        <v>0.0</v>
      </c>
      <c r="BK570" s="1" t="s">
        <v>204</v>
      </c>
      <c r="BL570" s="1" t="str">
        <f t="shared" ref="BL570:BM570" si="387">"0"</f>
        <v>0</v>
      </c>
      <c r="BM570" s="1" t="str">
        <f t="shared" si="387"/>
        <v>0</v>
      </c>
      <c r="BN570" s="1">
        <v>3926.0</v>
      </c>
      <c r="BO570" s="1">
        <v>8300.0</v>
      </c>
      <c r="BQ570" s="1">
        <v>299.0</v>
      </c>
      <c r="BR570" s="1">
        <v>299.0</v>
      </c>
      <c r="BS570" s="1">
        <v>299.0</v>
      </c>
      <c r="BU570" s="1" t="s">
        <v>1158</v>
      </c>
      <c r="BV570" s="1" t="s">
        <v>206</v>
      </c>
      <c r="BW570" s="1" t="s">
        <v>207</v>
      </c>
      <c r="BY570" s="1" t="s">
        <v>1483</v>
      </c>
      <c r="BZ570" s="1" t="s">
        <v>209</v>
      </c>
      <c r="CA570" s="1" t="s">
        <v>210</v>
      </c>
      <c r="CC570" s="1" t="s">
        <v>269</v>
      </c>
      <c r="CD570" s="1" t="s">
        <v>206</v>
      </c>
      <c r="CE570" s="1" t="s">
        <v>207</v>
      </c>
      <c r="CG570" s="1" t="s">
        <v>497</v>
      </c>
      <c r="CH570" s="1" t="s">
        <v>209</v>
      </c>
      <c r="CI570" s="1" t="s">
        <v>210</v>
      </c>
      <c r="CK570" s="1" t="s">
        <v>699</v>
      </c>
      <c r="CL570" s="1" t="s">
        <v>206</v>
      </c>
      <c r="CM570" s="1" t="s">
        <v>207</v>
      </c>
      <c r="CO570" s="1" t="s">
        <v>495</v>
      </c>
      <c r="CP570" s="1" t="s">
        <v>42</v>
      </c>
      <c r="CQ570" s="1" t="s">
        <v>268</v>
      </c>
      <c r="CS570" s="1" t="s">
        <v>497</v>
      </c>
      <c r="CT570" s="1" t="s">
        <v>206</v>
      </c>
      <c r="CU570" s="1" t="s">
        <v>207</v>
      </c>
      <c r="CW570" s="1" t="s">
        <v>784</v>
      </c>
      <c r="CX570" s="1" t="s">
        <v>42</v>
      </c>
      <c r="CY570" s="1" t="s">
        <v>268</v>
      </c>
      <c r="DA570" s="1" t="s">
        <v>200</v>
      </c>
      <c r="DC570" s="1" t="s">
        <v>1399</v>
      </c>
      <c r="DD570" s="1" t="s">
        <v>306</v>
      </c>
      <c r="DE570" s="1" t="s">
        <v>273</v>
      </c>
      <c r="DF570" s="1" t="s">
        <v>219</v>
      </c>
      <c r="DG570" s="1" t="s">
        <v>337</v>
      </c>
      <c r="DH570" s="1" t="s">
        <v>307</v>
      </c>
      <c r="DI570" s="1" t="s">
        <v>1463</v>
      </c>
      <c r="DJ570" s="1" t="s">
        <v>222</v>
      </c>
      <c r="DL570" s="1" t="s">
        <v>1536</v>
      </c>
      <c r="DM570" s="1" t="s">
        <v>229</v>
      </c>
      <c r="DN570" s="1" t="s">
        <v>5615</v>
      </c>
      <c r="DO570" s="1" t="s">
        <v>717</v>
      </c>
      <c r="DP570" s="1" t="s">
        <v>340</v>
      </c>
      <c r="DQ570" s="1" t="s">
        <v>794</v>
      </c>
      <c r="DR570" s="1" t="s">
        <v>229</v>
      </c>
      <c r="DS570" s="1" t="s">
        <v>230</v>
      </c>
      <c r="DU570" s="1" t="s">
        <v>1840</v>
      </c>
      <c r="DV570" s="1" t="s">
        <v>310</v>
      </c>
      <c r="DW570" s="1" t="s">
        <v>279</v>
      </c>
      <c r="DX570" s="1" t="s">
        <v>234</v>
      </c>
      <c r="DY570" s="1" t="s">
        <v>553</v>
      </c>
      <c r="DZ570" s="1" t="s">
        <v>310</v>
      </c>
      <c r="EA570" s="1" t="s">
        <v>1075</v>
      </c>
      <c r="EC570" s="1" t="s">
        <v>645</v>
      </c>
      <c r="ED570" s="1" t="s">
        <v>407</v>
      </c>
      <c r="EG570" s="1" t="s">
        <v>310</v>
      </c>
      <c r="EL570" s="1" t="s">
        <v>393</v>
      </c>
      <c r="EM570" s="1" t="s">
        <v>206</v>
      </c>
      <c r="EN570" s="1" t="s">
        <v>207</v>
      </c>
      <c r="EQ570" s="1" t="s">
        <v>238</v>
      </c>
      <c r="EU570" s="1" t="s">
        <v>238</v>
      </c>
      <c r="EY570" s="1" t="s">
        <v>238</v>
      </c>
      <c r="FC570" s="1" t="s">
        <v>238</v>
      </c>
      <c r="FF570" s="1" t="s">
        <v>239</v>
      </c>
      <c r="FG570" s="1" t="s">
        <v>192</v>
      </c>
      <c r="FH570" s="1" t="s">
        <v>192</v>
      </c>
      <c r="FJ570" s="1" t="s">
        <v>624</v>
      </c>
      <c r="FK570" s="1" t="s">
        <v>229</v>
      </c>
      <c r="FL570" s="1" t="s">
        <v>2862</v>
      </c>
      <c r="FM570" s="1">
        <v>61146.0</v>
      </c>
      <c r="FN570" s="1" t="s">
        <v>2863</v>
      </c>
      <c r="FO570" s="1" t="s">
        <v>2864</v>
      </c>
      <c r="FP570" s="1">
        <v>607725.0</v>
      </c>
      <c r="FQ570" s="1" t="s">
        <v>2865</v>
      </c>
      <c r="FU570" s="1" t="s">
        <v>7332</v>
      </c>
      <c r="FV570" s="1" t="s">
        <v>192</v>
      </c>
      <c r="FW570" s="1" t="s">
        <v>290</v>
      </c>
      <c r="FX570" s="1" t="s">
        <v>246</v>
      </c>
      <c r="FZ570" s="1" t="s">
        <v>229</v>
      </c>
      <c r="GA570" s="1" t="s">
        <v>291</v>
      </c>
      <c r="GB570" s="2">
        <v>42069.0</v>
      </c>
      <c r="GC570" s="1" t="s">
        <v>7333</v>
      </c>
    </row>
    <row r="571">
      <c r="A571" s="1">
        <v>255000.0</v>
      </c>
      <c r="B571" s="1" t="s">
        <v>185</v>
      </c>
      <c r="C571" s="1" t="str">
        <f>"08799114"</f>
        <v>08799114</v>
      </c>
      <c r="D571" s="1" t="s">
        <v>186</v>
      </c>
      <c r="F571" s="1" t="str">
        <f>"123"</f>
        <v>123</v>
      </c>
      <c r="G571" s="2">
        <v>41982.0</v>
      </c>
      <c r="H571" s="1">
        <v>274900.0</v>
      </c>
      <c r="I571" s="1">
        <v>261.0</v>
      </c>
      <c r="J571" s="1">
        <v>269500.0</v>
      </c>
      <c r="K571" s="2">
        <v>42069.0</v>
      </c>
      <c r="L571" s="1">
        <v>88.0</v>
      </c>
      <c r="M571" s="2">
        <v>42069.0</v>
      </c>
      <c r="N571" s="1" t="s">
        <v>356</v>
      </c>
      <c r="O571" s="2">
        <v>42111.0</v>
      </c>
      <c r="P571" s="1">
        <v>88211.0</v>
      </c>
      <c r="Q571" s="1">
        <v>1845.0</v>
      </c>
      <c r="S571" s="1">
        <v>2019.0</v>
      </c>
      <c r="T571" s="1" t="s">
        <v>7334</v>
      </c>
      <c r="U571" s="1" t="s">
        <v>569</v>
      </c>
      <c r="V571" s="1" t="s">
        <v>465</v>
      </c>
      <c r="W571" s="1">
        <v>60123.0</v>
      </c>
      <c r="Y571" s="1" t="s">
        <v>7335</v>
      </c>
      <c r="Z571" s="1">
        <v>2010.0</v>
      </c>
      <c r="AA571" s="1" t="s">
        <v>200</v>
      </c>
      <c r="AB571" s="1" t="s">
        <v>193</v>
      </c>
      <c r="AC571" s="1" t="s">
        <v>3193</v>
      </c>
      <c r="AD571" s="1" t="s">
        <v>469</v>
      </c>
      <c r="AE571" s="1" t="s">
        <v>325</v>
      </c>
      <c r="AF571" s="1" t="s">
        <v>469</v>
      </c>
      <c r="AG571" s="1" t="s">
        <v>2436</v>
      </c>
      <c r="AH571" s="1" t="s">
        <v>3194</v>
      </c>
      <c r="AK571" s="1">
        <v>10.0</v>
      </c>
      <c r="AL571" s="1">
        <v>4.0</v>
      </c>
      <c r="AM571" s="1">
        <v>2.0</v>
      </c>
      <c r="AN571" s="1">
        <v>1.0</v>
      </c>
      <c r="AO571" s="1" t="s">
        <v>198</v>
      </c>
      <c r="AP571" s="1">
        <v>1.0</v>
      </c>
      <c r="AQ571" s="1" t="s">
        <v>198</v>
      </c>
      <c r="AR571" s="1" t="s">
        <v>200</v>
      </c>
      <c r="AS571" s="1" t="s">
        <v>199</v>
      </c>
      <c r="AT571" s="1">
        <v>3.0</v>
      </c>
      <c r="AV571" s="1" t="s">
        <v>200</v>
      </c>
      <c r="AW571" s="1">
        <v>6245.0</v>
      </c>
      <c r="AX571" s="1">
        <v>2013.0</v>
      </c>
      <c r="AY571" s="1" t="s">
        <v>387</v>
      </c>
      <c r="AZ571" s="1" t="s">
        <v>200</v>
      </c>
      <c r="BA571" s="1" t="str">
        <f>"0616251026"</f>
        <v>0616251026</v>
      </c>
      <c r="BB571" s="1" t="s">
        <v>200</v>
      </c>
      <c r="BC571" s="1">
        <v>2450.0</v>
      </c>
      <c r="BD571" s="1">
        <v>255000.0</v>
      </c>
      <c r="BE571" s="2">
        <v>41982.0</v>
      </c>
      <c r="BF571" s="2" t="s">
        <v>7336</v>
      </c>
      <c r="BG571" s="1" t="s">
        <v>3196</v>
      </c>
      <c r="BH571" s="1">
        <v>480.0</v>
      </c>
      <c r="BI571" s="1" t="s">
        <v>3197</v>
      </c>
      <c r="BJ571" s="1" t="s">
        <v>675</v>
      </c>
      <c r="BK571" s="1" t="s">
        <v>580</v>
      </c>
      <c r="BL571" s="1" t="str">
        <f>"11"</f>
        <v>11</v>
      </c>
      <c r="BM571" s="1" t="str">
        <f>"0"</f>
        <v>0</v>
      </c>
      <c r="BN571" s="1">
        <v>38.0</v>
      </c>
      <c r="BO571" s="1">
        <v>0.0</v>
      </c>
      <c r="BQ571" s="1">
        <v>46.0</v>
      </c>
      <c r="BR571" s="1">
        <v>46.0</v>
      </c>
      <c r="BS571" s="1">
        <v>46.0</v>
      </c>
      <c r="BU571" s="1" t="s">
        <v>1397</v>
      </c>
      <c r="BV571" s="1" t="s">
        <v>206</v>
      </c>
      <c r="BW571" s="1" t="s">
        <v>210</v>
      </c>
      <c r="BX571" s="1" t="s">
        <v>239</v>
      </c>
      <c r="BY571" s="1" t="s">
        <v>1350</v>
      </c>
      <c r="BZ571" s="1" t="s">
        <v>209</v>
      </c>
      <c r="CA571" s="1" t="s">
        <v>210</v>
      </c>
      <c r="CB571" s="1" t="s">
        <v>239</v>
      </c>
      <c r="CC571" s="1" t="s">
        <v>542</v>
      </c>
      <c r="CD571" s="1" t="s">
        <v>206</v>
      </c>
      <c r="CE571" s="1" t="s">
        <v>210</v>
      </c>
      <c r="CF571" s="1" t="s">
        <v>239</v>
      </c>
      <c r="CG571" s="1" t="s">
        <v>1417</v>
      </c>
      <c r="CH571" s="1" t="s">
        <v>209</v>
      </c>
      <c r="CI571" s="1" t="s">
        <v>210</v>
      </c>
      <c r="CJ571" s="1" t="s">
        <v>239</v>
      </c>
      <c r="CK571" s="1" t="s">
        <v>302</v>
      </c>
      <c r="CL571" s="1" t="s">
        <v>209</v>
      </c>
      <c r="CM571" s="1" t="s">
        <v>210</v>
      </c>
      <c r="CN571" s="1" t="s">
        <v>239</v>
      </c>
      <c r="CO571" s="1" t="s">
        <v>699</v>
      </c>
      <c r="CP571" s="1" t="s">
        <v>209</v>
      </c>
      <c r="CQ571" s="1" t="s">
        <v>210</v>
      </c>
      <c r="CR571" s="1" t="s">
        <v>239</v>
      </c>
      <c r="CS571" s="1" t="s">
        <v>453</v>
      </c>
      <c r="CT571" s="1" t="s">
        <v>206</v>
      </c>
      <c r="CU571" s="1" t="s">
        <v>207</v>
      </c>
      <c r="CV571" s="1" t="s">
        <v>239</v>
      </c>
      <c r="CW571" s="1" t="s">
        <v>784</v>
      </c>
      <c r="CX571" s="1" t="s">
        <v>206</v>
      </c>
      <c r="CY571" s="1" t="s">
        <v>210</v>
      </c>
      <c r="CZ571" s="1" t="s">
        <v>239</v>
      </c>
      <c r="DA571" s="1" t="s">
        <v>200</v>
      </c>
      <c r="DC571" s="1" t="s">
        <v>1046</v>
      </c>
      <c r="DD571" s="1" t="s">
        <v>336</v>
      </c>
      <c r="DE571" s="1" t="s">
        <v>273</v>
      </c>
      <c r="DF571" s="1" t="s">
        <v>219</v>
      </c>
      <c r="DG571" s="1" t="s">
        <v>482</v>
      </c>
      <c r="DH571" s="1" t="s">
        <v>220</v>
      </c>
      <c r="DI571" s="1" t="s">
        <v>519</v>
      </c>
      <c r="DJ571" s="1" t="s">
        <v>222</v>
      </c>
      <c r="DL571" s="1" t="s">
        <v>484</v>
      </c>
      <c r="DM571" s="1" t="s">
        <v>338</v>
      </c>
      <c r="DN571" s="1" t="s">
        <v>485</v>
      </c>
      <c r="DO571" s="1" t="s">
        <v>549</v>
      </c>
      <c r="DP571" s="1" t="s">
        <v>276</v>
      </c>
      <c r="DQ571" s="1" t="s">
        <v>228</v>
      </c>
      <c r="DR571" s="1" t="s">
        <v>1487</v>
      </c>
      <c r="DS571" s="1" t="s">
        <v>368</v>
      </c>
      <c r="DU571" s="1" t="s">
        <v>7337</v>
      </c>
      <c r="DV571" s="1" t="s">
        <v>7010</v>
      </c>
      <c r="DW571" s="1" t="s">
        <v>444</v>
      </c>
      <c r="DX571" s="1" t="s">
        <v>234</v>
      </c>
      <c r="DY571" s="1" t="s">
        <v>7338</v>
      </c>
      <c r="DZ571" s="1" t="s">
        <v>491</v>
      </c>
      <c r="EA571" s="1" t="s">
        <v>447</v>
      </c>
      <c r="EB571" s="1" t="s">
        <v>937</v>
      </c>
      <c r="EC571" s="1" t="s">
        <v>237</v>
      </c>
      <c r="ED571" s="1" t="s">
        <v>407</v>
      </c>
      <c r="EE571" s="1" t="s">
        <v>1077</v>
      </c>
      <c r="EG571" s="1" t="s">
        <v>449</v>
      </c>
      <c r="EH571" s="1" t="s">
        <v>598</v>
      </c>
      <c r="EL571" s="1" t="s">
        <v>1230</v>
      </c>
      <c r="EM571" s="1" t="s">
        <v>206</v>
      </c>
      <c r="EN571" s="1" t="s">
        <v>207</v>
      </c>
      <c r="EO571" s="1" t="s">
        <v>239</v>
      </c>
      <c r="EP571" s="1" t="s">
        <v>269</v>
      </c>
      <c r="EQ571" s="1" t="s">
        <v>206</v>
      </c>
      <c r="ER571" s="1" t="s">
        <v>210</v>
      </c>
      <c r="ES571" s="1" t="s">
        <v>239</v>
      </c>
      <c r="EU571" s="1" t="s">
        <v>238</v>
      </c>
      <c r="EY571" s="1" t="s">
        <v>238</v>
      </c>
      <c r="FC571" s="1" t="s">
        <v>238</v>
      </c>
      <c r="FF571" s="1" t="s">
        <v>239</v>
      </c>
      <c r="FG571" s="1" t="s">
        <v>192</v>
      </c>
      <c r="FH571" s="1" t="s">
        <v>192</v>
      </c>
      <c r="FJ571" s="1" t="s">
        <v>7339</v>
      </c>
      <c r="FK571" s="1" t="s">
        <v>229</v>
      </c>
      <c r="FL571" s="1" t="s">
        <v>1124</v>
      </c>
      <c r="FM571" s="1">
        <v>8059.0</v>
      </c>
      <c r="FN571" s="1" t="s">
        <v>7340</v>
      </c>
      <c r="FO571" s="1" t="s">
        <v>7341</v>
      </c>
      <c r="FP571" s="1">
        <v>83466.0</v>
      </c>
      <c r="FQ571" s="1" t="s">
        <v>7342</v>
      </c>
      <c r="FU571" s="1" t="s">
        <v>7343</v>
      </c>
      <c r="FV571" s="1" t="s">
        <v>200</v>
      </c>
      <c r="FW571" s="1" t="s">
        <v>530</v>
      </c>
      <c r="FZ571" s="1" t="s">
        <v>229</v>
      </c>
      <c r="GA571" s="1" t="s">
        <v>291</v>
      </c>
      <c r="GB571" s="2">
        <v>42111.0</v>
      </c>
    </row>
    <row r="572">
      <c r="A572" s="1">
        <v>219500.0</v>
      </c>
      <c r="B572" s="1" t="s">
        <v>185</v>
      </c>
      <c r="C572" s="1" t="str">
        <f>"08799026"</f>
        <v>08799026</v>
      </c>
      <c r="D572" s="1" t="s">
        <v>186</v>
      </c>
      <c r="F572" s="1" t="str">
        <f>"538"</f>
        <v>538</v>
      </c>
      <c r="G572" s="2">
        <v>41981.0</v>
      </c>
      <c r="H572" s="1">
        <v>229000.0</v>
      </c>
      <c r="I572" s="1">
        <v>129.0</v>
      </c>
      <c r="J572" s="1">
        <v>225000.0</v>
      </c>
      <c r="K572" s="2">
        <v>42109.0</v>
      </c>
      <c r="L572" s="1">
        <v>129.0</v>
      </c>
      <c r="M572" s="2">
        <v>42109.0</v>
      </c>
      <c r="N572" s="1" t="s">
        <v>187</v>
      </c>
      <c r="O572" s="2">
        <v>42144.0</v>
      </c>
      <c r="P572" s="1">
        <v>79.0</v>
      </c>
      <c r="Q572" s="1">
        <v>41.0</v>
      </c>
      <c r="R572" s="1">
        <v>2000.0</v>
      </c>
      <c r="S572" s="1">
        <v>2924.0</v>
      </c>
      <c r="T572" s="1" t="s">
        <v>7344</v>
      </c>
      <c r="U572" s="1" t="s">
        <v>1174</v>
      </c>
      <c r="V572" s="1" t="s">
        <v>1340</v>
      </c>
      <c r="W572" s="1">
        <v>60538.0</v>
      </c>
      <c r="Y572" s="1" t="s">
        <v>7345</v>
      </c>
      <c r="Z572" s="1">
        <v>2007.0</v>
      </c>
      <c r="AA572" s="1" t="s">
        <v>200</v>
      </c>
      <c r="AB572" s="1" t="s">
        <v>193</v>
      </c>
      <c r="AC572" s="1" t="s">
        <v>7346</v>
      </c>
      <c r="AD572" s="1" t="s">
        <v>1343</v>
      </c>
      <c r="AE572" s="1" t="s">
        <v>325</v>
      </c>
      <c r="AF572" s="1" t="s">
        <v>1887</v>
      </c>
      <c r="AH572" s="1" t="s">
        <v>7347</v>
      </c>
      <c r="AI572" s="1">
        <v>0.203</v>
      </c>
      <c r="AK572" s="1">
        <v>9.0</v>
      </c>
      <c r="AL572" s="1">
        <v>4.0</v>
      </c>
      <c r="AM572" s="1">
        <v>2.0</v>
      </c>
      <c r="AN572" s="1">
        <v>1.0</v>
      </c>
      <c r="AO572" s="1" t="s">
        <v>198</v>
      </c>
      <c r="AP572" s="1">
        <v>0.0</v>
      </c>
      <c r="AQ572" s="1" t="s">
        <v>198</v>
      </c>
      <c r="AR572" s="1" t="s">
        <v>200</v>
      </c>
      <c r="AS572" s="1" t="s">
        <v>199</v>
      </c>
      <c r="AT572" s="1">
        <v>2.0</v>
      </c>
      <c r="AV572" s="1" t="s">
        <v>200</v>
      </c>
      <c r="AW572" s="1">
        <v>7255.0</v>
      </c>
      <c r="AX572" s="1">
        <v>2013.0</v>
      </c>
      <c r="AY572" s="1" t="s">
        <v>387</v>
      </c>
      <c r="AZ572" s="1" t="s">
        <v>192</v>
      </c>
      <c r="BA572" s="1" t="str">
        <f>"1435402005"</f>
        <v>1435402005</v>
      </c>
      <c r="BB572" s="1" t="s">
        <v>200</v>
      </c>
      <c r="BC572" s="1">
        <v>2344.0</v>
      </c>
      <c r="BD572" s="1">
        <v>219500.0</v>
      </c>
      <c r="BE572" s="2">
        <v>41981.0</v>
      </c>
      <c r="BF572" s="2" t="s">
        <v>7348</v>
      </c>
      <c r="BG572" s="1" t="s">
        <v>1890</v>
      </c>
      <c r="BH572" s="1">
        <v>0.0</v>
      </c>
      <c r="BI572" s="1" t="s">
        <v>1635</v>
      </c>
      <c r="BJ572" s="1" t="s">
        <v>1636</v>
      </c>
      <c r="BK572" s="1" t="s">
        <v>204</v>
      </c>
      <c r="BL572" s="1" t="str">
        <f t="shared" ref="BL572:BM572" si="388">""</f>
        <v/>
      </c>
      <c r="BM572" s="1" t="str">
        <f t="shared" si="388"/>
        <v/>
      </c>
      <c r="BQ572" s="1">
        <v>302.0</v>
      </c>
      <c r="BR572" s="1">
        <v>302.0</v>
      </c>
      <c r="BS572" s="1">
        <v>302.0</v>
      </c>
      <c r="BU572" s="1" t="s">
        <v>213</v>
      </c>
      <c r="BV572" s="1" t="s">
        <v>206</v>
      </c>
      <c r="BW572" s="1" t="s">
        <v>210</v>
      </c>
      <c r="BX572" s="1" t="s">
        <v>431</v>
      </c>
      <c r="BY572" s="1" t="s">
        <v>390</v>
      </c>
      <c r="BZ572" s="1" t="s">
        <v>209</v>
      </c>
      <c r="CA572" s="1" t="s">
        <v>210</v>
      </c>
      <c r="CB572" s="1" t="s">
        <v>431</v>
      </c>
      <c r="CC572" s="1" t="s">
        <v>264</v>
      </c>
      <c r="CD572" s="1" t="s">
        <v>206</v>
      </c>
      <c r="CE572" s="1" t="s">
        <v>210</v>
      </c>
      <c r="CF572" s="1" t="s">
        <v>431</v>
      </c>
      <c r="CG572" s="1" t="s">
        <v>495</v>
      </c>
      <c r="CH572" s="1" t="s">
        <v>209</v>
      </c>
      <c r="CI572" s="1" t="s">
        <v>210</v>
      </c>
      <c r="CJ572" s="1" t="s">
        <v>431</v>
      </c>
      <c r="CK572" s="1" t="s">
        <v>215</v>
      </c>
      <c r="CL572" s="1" t="s">
        <v>209</v>
      </c>
      <c r="CM572" s="1" t="s">
        <v>210</v>
      </c>
      <c r="CN572" s="1" t="s">
        <v>431</v>
      </c>
      <c r="CO572" s="1" t="s">
        <v>215</v>
      </c>
      <c r="CP572" s="1" t="s">
        <v>209</v>
      </c>
      <c r="CQ572" s="1" t="s">
        <v>210</v>
      </c>
      <c r="CR572" s="1" t="s">
        <v>431</v>
      </c>
      <c r="CS572" s="1" t="s">
        <v>1158</v>
      </c>
      <c r="CT572" s="1" t="s">
        <v>206</v>
      </c>
      <c r="CU572" s="1" t="s">
        <v>617</v>
      </c>
      <c r="CW572" s="1" t="s">
        <v>213</v>
      </c>
      <c r="CX572" s="1" t="s">
        <v>206</v>
      </c>
      <c r="CY572" s="1" t="s">
        <v>301</v>
      </c>
      <c r="CZ572" s="1" t="s">
        <v>431</v>
      </c>
      <c r="DA572" s="1" t="s">
        <v>200</v>
      </c>
      <c r="DC572" s="1" t="s">
        <v>481</v>
      </c>
      <c r="DD572" s="1" t="s">
        <v>396</v>
      </c>
      <c r="DE572" s="1" t="s">
        <v>273</v>
      </c>
      <c r="DF572" s="1" t="s">
        <v>219</v>
      </c>
      <c r="DG572" s="1" t="s">
        <v>1020</v>
      </c>
      <c r="DH572" s="1" t="s">
        <v>220</v>
      </c>
      <c r="DI572" s="1" t="s">
        <v>221</v>
      </c>
      <c r="DJ572" s="1" t="s">
        <v>1048</v>
      </c>
      <c r="DK572" s="1" t="s">
        <v>1555</v>
      </c>
      <c r="DL572" s="1" t="s">
        <v>1870</v>
      </c>
      <c r="DM572" s="1" t="s">
        <v>338</v>
      </c>
      <c r="DN572" s="1" t="s">
        <v>485</v>
      </c>
      <c r="DO572" s="1" t="s">
        <v>549</v>
      </c>
      <c r="DP572" s="1" t="s">
        <v>340</v>
      </c>
      <c r="DQ572" s="1" t="s">
        <v>228</v>
      </c>
      <c r="DR572" s="1" t="s">
        <v>229</v>
      </c>
      <c r="DS572" s="1" t="s">
        <v>591</v>
      </c>
      <c r="DU572" s="1" t="s">
        <v>3021</v>
      </c>
      <c r="DV572" s="1" t="s">
        <v>7349</v>
      </c>
      <c r="DW572" s="1" t="s">
        <v>233</v>
      </c>
      <c r="DX572" s="1" t="s">
        <v>234</v>
      </c>
      <c r="DY572" s="1" t="s">
        <v>521</v>
      </c>
      <c r="DZ572" s="1" t="s">
        <v>1466</v>
      </c>
      <c r="EA572" s="1" t="s">
        <v>344</v>
      </c>
      <c r="EC572" s="1" t="s">
        <v>237</v>
      </c>
      <c r="ED572" s="1" t="s">
        <v>1406</v>
      </c>
      <c r="EH572" s="1" t="s">
        <v>450</v>
      </c>
      <c r="EI572" s="1" t="s">
        <v>1103</v>
      </c>
      <c r="EJ572" s="1" t="s">
        <v>588</v>
      </c>
      <c r="EM572" s="1" t="s">
        <v>238</v>
      </c>
      <c r="EP572" s="1" t="s">
        <v>748</v>
      </c>
      <c r="EQ572" s="1" t="s">
        <v>42</v>
      </c>
      <c r="ER572" s="1" t="s">
        <v>588</v>
      </c>
      <c r="ET572" s="1" t="s">
        <v>758</v>
      </c>
      <c r="EU572" s="1" t="s">
        <v>42</v>
      </c>
      <c r="EX572" s="1" t="s">
        <v>433</v>
      </c>
      <c r="EY572" s="1" t="s">
        <v>42</v>
      </c>
      <c r="FC572" s="1" t="s">
        <v>238</v>
      </c>
      <c r="FF572" s="1" t="s">
        <v>239</v>
      </c>
      <c r="FG572" s="1" t="s">
        <v>192</v>
      </c>
      <c r="FH572" s="1" t="s">
        <v>192</v>
      </c>
      <c r="FJ572" s="1" t="s">
        <v>313</v>
      </c>
      <c r="FK572" s="1" t="s">
        <v>229</v>
      </c>
      <c r="FL572" s="1" t="s">
        <v>1007</v>
      </c>
      <c r="FM572" s="1">
        <v>23286.0</v>
      </c>
      <c r="FN572" s="1" t="s">
        <v>4221</v>
      </c>
      <c r="FO572" s="1" t="s">
        <v>7350</v>
      </c>
      <c r="FP572" s="1">
        <v>225367.0</v>
      </c>
      <c r="FQ572" s="1" t="s">
        <v>7351</v>
      </c>
      <c r="FU572" s="1" t="s">
        <v>7352</v>
      </c>
      <c r="FV572" s="1" t="s">
        <v>200</v>
      </c>
      <c r="FW572" s="1" t="s">
        <v>290</v>
      </c>
      <c r="FZ572" s="1" t="s">
        <v>229</v>
      </c>
      <c r="GA572" s="1" t="s">
        <v>291</v>
      </c>
      <c r="GB572" s="2">
        <v>42144.0</v>
      </c>
      <c r="GC572" s="1" t="s">
        <v>7353</v>
      </c>
    </row>
    <row r="573">
      <c r="A573" s="1">
        <v>175000.0</v>
      </c>
      <c r="B573" s="1" t="s">
        <v>185</v>
      </c>
      <c r="C573" s="1" t="str">
        <f>"08800140"</f>
        <v>08800140</v>
      </c>
      <c r="D573" s="1" t="s">
        <v>186</v>
      </c>
      <c r="F573" s="1" t="str">
        <f>"8015"</f>
        <v>8015</v>
      </c>
      <c r="G573" s="2">
        <v>41983.0</v>
      </c>
      <c r="H573" s="1">
        <v>179000.0</v>
      </c>
      <c r="I573" s="1">
        <v>8.0</v>
      </c>
      <c r="J573" s="1">
        <v>179000.0</v>
      </c>
      <c r="K573" s="2">
        <v>41990.0</v>
      </c>
      <c r="L573" s="1">
        <v>8.0</v>
      </c>
      <c r="M573" s="2">
        <v>41990.0</v>
      </c>
      <c r="N573" s="1" t="s">
        <v>249</v>
      </c>
      <c r="O573" s="2">
        <v>42026.0</v>
      </c>
      <c r="P573" s="1">
        <v>89706.0</v>
      </c>
      <c r="Q573" s="1">
        <v>8540.0</v>
      </c>
      <c r="S573" s="1">
        <v>5654.0</v>
      </c>
      <c r="T573" s="1" t="s">
        <v>1113</v>
      </c>
      <c r="U573" s="1" t="s">
        <v>189</v>
      </c>
      <c r="V573" s="1" t="s">
        <v>190</v>
      </c>
      <c r="W573" s="1">
        <v>60634.0</v>
      </c>
      <c r="Y573" s="1" t="s">
        <v>7354</v>
      </c>
      <c r="Z573" s="1">
        <v>1923.0</v>
      </c>
      <c r="AA573" s="1" t="s">
        <v>192</v>
      </c>
      <c r="AB573" s="1" t="s">
        <v>193</v>
      </c>
      <c r="AD573" s="1" t="s">
        <v>194</v>
      </c>
      <c r="AE573" s="1" t="s">
        <v>195</v>
      </c>
      <c r="AF573" s="1" t="s">
        <v>196</v>
      </c>
      <c r="AH573" s="1" t="s">
        <v>359</v>
      </c>
      <c r="AI573" s="1">
        <v>0.0861</v>
      </c>
      <c r="AK573" s="1">
        <v>7.0</v>
      </c>
      <c r="AL573" s="1">
        <v>4.0</v>
      </c>
      <c r="AM573" s="1">
        <v>2.0</v>
      </c>
      <c r="AN573" s="1">
        <v>1.0</v>
      </c>
      <c r="AO573" s="1" t="s">
        <v>229</v>
      </c>
      <c r="AQ573" s="1" t="s">
        <v>198</v>
      </c>
      <c r="AR573" s="1" t="s">
        <v>192</v>
      </c>
      <c r="AS573" s="1" t="s">
        <v>199</v>
      </c>
      <c r="AT573" s="1">
        <v>2.0</v>
      </c>
      <c r="AV573" s="1" t="s">
        <v>200</v>
      </c>
      <c r="AW573" s="1">
        <v>3615.6</v>
      </c>
      <c r="AX573" s="1">
        <v>2012.0</v>
      </c>
      <c r="AZ573" s="1" t="s">
        <v>200</v>
      </c>
      <c r="BA573" s="1" t="str">
        <f>"13204070170000"</f>
        <v>13204070170000</v>
      </c>
      <c r="BC573" s="1">
        <v>1449.0</v>
      </c>
      <c r="BD573" s="1">
        <v>175000.0</v>
      </c>
      <c r="BE573" s="2">
        <v>41983.0</v>
      </c>
      <c r="BF573" s="1" t="s">
        <v>7355</v>
      </c>
      <c r="BH573" s="1">
        <v>0.0</v>
      </c>
      <c r="BK573" s="1" t="s">
        <v>204</v>
      </c>
      <c r="BL573" s="1" t="str">
        <f>"3400"</f>
        <v>3400</v>
      </c>
      <c r="BM573" s="1" t="str">
        <f>"0"</f>
        <v>0</v>
      </c>
      <c r="BN573" s="1">
        <v>5400.0</v>
      </c>
      <c r="BO573" s="1">
        <v>0.0</v>
      </c>
      <c r="BQ573" s="1">
        <v>299.0</v>
      </c>
      <c r="BR573" s="1">
        <v>299.0</v>
      </c>
      <c r="BS573" s="1">
        <v>299.0</v>
      </c>
      <c r="BU573" s="1" t="s">
        <v>300</v>
      </c>
      <c r="BV573" s="1" t="s">
        <v>206</v>
      </c>
      <c r="BW573" s="1" t="s">
        <v>207</v>
      </c>
      <c r="BX573" s="1" t="s">
        <v>229</v>
      </c>
      <c r="BY573" s="1" t="s">
        <v>363</v>
      </c>
      <c r="BZ573" s="1" t="s">
        <v>209</v>
      </c>
      <c r="CC573" s="1" t="s">
        <v>212</v>
      </c>
      <c r="CD573" s="1" t="s">
        <v>206</v>
      </c>
      <c r="CE573" s="1" t="s">
        <v>207</v>
      </c>
      <c r="CF573" s="1" t="s">
        <v>229</v>
      </c>
      <c r="CG573" s="1" t="s">
        <v>269</v>
      </c>
      <c r="CH573" s="1" t="s">
        <v>206</v>
      </c>
      <c r="CK573" s="1" t="s">
        <v>269</v>
      </c>
      <c r="CL573" s="1" t="s">
        <v>206</v>
      </c>
      <c r="CO573" s="1" t="s">
        <v>699</v>
      </c>
      <c r="CP573" s="1" t="s">
        <v>209</v>
      </c>
      <c r="CS573" s="1" t="s">
        <v>263</v>
      </c>
      <c r="CT573" s="1" t="s">
        <v>206</v>
      </c>
      <c r="CU573" s="1" t="s">
        <v>207</v>
      </c>
      <c r="CV573" s="1" t="s">
        <v>229</v>
      </c>
      <c r="CX573" s="1" t="s">
        <v>204</v>
      </c>
      <c r="DA573" s="1" t="s">
        <v>200</v>
      </c>
      <c r="DC573" s="1" t="s">
        <v>216</v>
      </c>
      <c r="DE573" s="1" t="s">
        <v>229</v>
      </c>
      <c r="DF573" s="1" t="s">
        <v>4891</v>
      </c>
      <c r="DH573" s="1" t="s">
        <v>365</v>
      </c>
      <c r="DJ573" s="1" t="s">
        <v>222</v>
      </c>
      <c r="DL573" s="1" t="s">
        <v>223</v>
      </c>
      <c r="DM573" s="1" t="s">
        <v>225</v>
      </c>
      <c r="DP573" s="1" t="s">
        <v>340</v>
      </c>
      <c r="DQ573" s="1" t="s">
        <v>228</v>
      </c>
      <c r="DR573" s="1" t="s">
        <v>229</v>
      </c>
      <c r="DV573" s="1" t="s">
        <v>232</v>
      </c>
      <c r="DW573" s="1" t="s">
        <v>279</v>
      </c>
      <c r="DX573" s="1" t="s">
        <v>234</v>
      </c>
      <c r="DZ573" s="1" t="s">
        <v>343</v>
      </c>
      <c r="EA573" s="1" t="s">
        <v>644</v>
      </c>
      <c r="EC573" s="1" t="s">
        <v>237</v>
      </c>
      <c r="EE573" s="1" t="s">
        <v>1673</v>
      </c>
      <c r="EM573" s="1" t="s">
        <v>238</v>
      </c>
      <c r="EQ573" s="1" t="s">
        <v>238</v>
      </c>
      <c r="EU573" s="1" t="s">
        <v>238</v>
      </c>
      <c r="EY573" s="1" t="s">
        <v>238</v>
      </c>
      <c r="FC573" s="1" t="s">
        <v>238</v>
      </c>
      <c r="FF573" s="1" t="s">
        <v>239</v>
      </c>
      <c r="FG573" s="1" t="s">
        <v>192</v>
      </c>
      <c r="FH573" s="1" t="s">
        <v>192</v>
      </c>
      <c r="FJ573" s="1" t="s">
        <v>1469</v>
      </c>
      <c r="FK573" s="1" t="s">
        <v>229</v>
      </c>
      <c r="FL573" s="1" t="s">
        <v>7356</v>
      </c>
      <c r="FM573" s="1">
        <v>25999.0</v>
      </c>
      <c r="FN573" s="1" t="s">
        <v>7357</v>
      </c>
      <c r="FO573" s="1" t="s">
        <v>7358</v>
      </c>
      <c r="FP573" s="1">
        <v>89569.0</v>
      </c>
      <c r="FQ573" s="1" t="s">
        <v>7359</v>
      </c>
      <c r="FU573" s="1" t="s">
        <v>7360</v>
      </c>
      <c r="FV573" s="1" t="s">
        <v>200</v>
      </c>
      <c r="FW573" s="1" t="s">
        <v>290</v>
      </c>
      <c r="FX573" s="1" t="s">
        <v>246</v>
      </c>
      <c r="FZ573" s="1" t="s">
        <v>229</v>
      </c>
      <c r="GA573" s="1" t="s">
        <v>291</v>
      </c>
      <c r="GB573" s="2">
        <v>42027.0</v>
      </c>
      <c r="GC573" s="1" t="s">
        <v>7361</v>
      </c>
    </row>
    <row r="574">
      <c r="A574" s="1">
        <v>65000.0</v>
      </c>
      <c r="B574" s="1" t="s">
        <v>185</v>
      </c>
      <c r="C574" s="1" t="str">
        <f>"08800271"</f>
        <v>08800271</v>
      </c>
      <c r="D574" s="1" t="s">
        <v>186</v>
      </c>
      <c r="F574" s="1" t="str">
        <f>"8045"</f>
        <v>8045</v>
      </c>
      <c r="G574" s="2">
        <v>41983.0</v>
      </c>
      <c r="H574" s="1">
        <v>62000.0</v>
      </c>
      <c r="I574" s="1">
        <v>31.0</v>
      </c>
      <c r="J574" s="1">
        <v>62000.0</v>
      </c>
      <c r="K574" s="2">
        <v>42012.0</v>
      </c>
      <c r="L574" s="1">
        <v>31.0</v>
      </c>
      <c r="M574" s="2">
        <v>42012.0</v>
      </c>
      <c r="N574" s="1" t="s">
        <v>1512</v>
      </c>
      <c r="O574" s="2">
        <v>42062.0</v>
      </c>
      <c r="P574" s="1">
        <v>705725.0</v>
      </c>
      <c r="Q574" s="1">
        <v>79784.0</v>
      </c>
      <c r="R574" s="1">
        <v>1950.0</v>
      </c>
      <c r="S574" s="1">
        <v>1724.0</v>
      </c>
      <c r="T574" s="1" t="s">
        <v>3304</v>
      </c>
      <c r="U574" s="1" t="s">
        <v>320</v>
      </c>
      <c r="V574" s="1" t="s">
        <v>190</v>
      </c>
      <c r="W574" s="1">
        <v>60617.0</v>
      </c>
      <c r="Y574" s="1" t="s">
        <v>7362</v>
      </c>
      <c r="Z574" s="1">
        <v>1923.0</v>
      </c>
      <c r="AA574" s="1" t="s">
        <v>192</v>
      </c>
      <c r="AB574" s="1" t="s">
        <v>193</v>
      </c>
      <c r="AD574" s="1" t="s">
        <v>194</v>
      </c>
      <c r="AE574" s="1" t="s">
        <v>195</v>
      </c>
      <c r="AF574" s="1" t="s">
        <v>637</v>
      </c>
      <c r="AH574" s="6">
        <v>5000.0</v>
      </c>
      <c r="AI574" s="1">
        <v>0.1148</v>
      </c>
      <c r="AK574" s="1">
        <v>7.0</v>
      </c>
      <c r="AL574" s="1">
        <v>4.0</v>
      </c>
      <c r="AM574" s="1">
        <v>2.0</v>
      </c>
      <c r="AN574" s="1">
        <v>1.0</v>
      </c>
      <c r="AO574" s="1" t="s">
        <v>229</v>
      </c>
      <c r="AQ574" s="1" t="s">
        <v>198</v>
      </c>
      <c r="AR574" s="1" t="s">
        <v>192</v>
      </c>
      <c r="AS574" s="1" t="s">
        <v>199</v>
      </c>
      <c r="AT574" s="1">
        <v>2.0</v>
      </c>
      <c r="AV574" s="1" t="s">
        <v>200</v>
      </c>
      <c r="AW574" s="1">
        <v>2268.0</v>
      </c>
      <c r="AX574" s="1">
        <v>2013.0</v>
      </c>
      <c r="AY574" s="1" t="s">
        <v>387</v>
      </c>
      <c r="AZ574" s="1" t="s">
        <v>200</v>
      </c>
      <c r="BA574" s="1" t="str">
        <f>"20363030240000"</f>
        <v>20363030240000</v>
      </c>
      <c r="BC574" s="1">
        <v>1769.0</v>
      </c>
      <c r="BD574" s="1">
        <v>65000.0</v>
      </c>
      <c r="BE574" s="2">
        <v>41982.0</v>
      </c>
      <c r="BF574" s="2" t="s">
        <v>7363</v>
      </c>
      <c r="BH574" s="1">
        <v>0.0</v>
      </c>
      <c r="BK574" s="1" t="s">
        <v>204</v>
      </c>
      <c r="BL574" s="1" t="str">
        <f>"0"</f>
        <v>0</v>
      </c>
      <c r="BM574" s="1" t="str">
        <f>"1700"</f>
        <v>1700</v>
      </c>
      <c r="BN574" s="1">
        <v>0.0</v>
      </c>
      <c r="BO574" s="1">
        <v>8400.0</v>
      </c>
      <c r="BQ574" s="1">
        <v>299.0</v>
      </c>
      <c r="BR574" s="1">
        <v>299.0</v>
      </c>
      <c r="BS574" s="1">
        <v>299.0</v>
      </c>
      <c r="BU574" s="1" t="s">
        <v>454</v>
      </c>
      <c r="BV574" s="1" t="s">
        <v>206</v>
      </c>
      <c r="BY574" s="1" t="s">
        <v>663</v>
      </c>
      <c r="BZ574" s="1" t="s">
        <v>206</v>
      </c>
      <c r="CC574" s="1" t="s">
        <v>269</v>
      </c>
      <c r="CD574" s="1" t="s">
        <v>206</v>
      </c>
      <c r="CG574" s="1" t="s">
        <v>269</v>
      </c>
      <c r="CH574" s="1" t="s">
        <v>209</v>
      </c>
      <c r="CK574" s="1" t="s">
        <v>269</v>
      </c>
      <c r="CL574" s="1" t="s">
        <v>209</v>
      </c>
      <c r="CO574" s="1" t="s">
        <v>269</v>
      </c>
      <c r="CP574" s="1" t="s">
        <v>209</v>
      </c>
      <c r="CS574" s="1" t="s">
        <v>264</v>
      </c>
      <c r="CT574" s="1" t="s">
        <v>206</v>
      </c>
      <c r="CX574" s="1" t="s">
        <v>204</v>
      </c>
      <c r="DA574" s="1" t="s">
        <v>200</v>
      </c>
      <c r="DC574" s="1" t="s">
        <v>216</v>
      </c>
      <c r="DE574" s="1" t="s">
        <v>229</v>
      </c>
      <c r="DF574" s="1" t="s">
        <v>7364</v>
      </c>
      <c r="DH574" s="1" t="s">
        <v>365</v>
      </c>
      <c r="DJ574" s="1" t="s">
        <v>222</v>
      </c>
      <c r="DL574" s="1" t="s">
        <v>858</v>
      </c>
      <c r="DM574" s="1" t="s">
        <v>229</v>
      </c>
      <c r="DQ574" s="1" t="s">
        <v>228</v>
      </c>
      <c r="DR574" s="1" t="s">
        <v>229</v>
      </c>
      <c r="DV574" s="1" t="s">
        <v>232</v>
      </c>
      <c r="DW574" s="1" t="s">
        <v>279</v>
      </c>
      <c r="DX574" s="1" t="s">
        <v>234</v>
      </c>
      <c r="EA574" s="1" t="s">
        <v>644</v>
      </c>
      <c r="EC574" s="1" t="s">
        <v>645</v>
      </c>
      <c r="EM574" s="1" t="s">
        <v>238</v>
      </c>
      <c r="EQ574" s="1" t="s">
        <v>238</v>
      </c>
      <c r="EU574" s="1" t="s">
        <v>238</v>
      </c>
      <c r="EY574" s="1" t="s">
        <v>238</v>
      </c>
      <c r="FC574" s="1" t="s">
        <v>238</v>
      </c>
      <c r="FF574" s="1" t="s">
        <v>239</v>
      </c>
      <c r="FG574" s="1" t="s">
        <v>192</v>
      </c>
      <c r="FH574" s="1" t="s">
        <v>192</v>
      </c>
      <c r="FJ574" s="1" t="s">
        <v>7365</v>
      </c>
      <c r="FK574" s="1" t="s">
        <v>229</v>
      </c>
      <c r="FL574" s="1" t="s">
        <v>7366</v>
      </c>
      <c r="FM574" s="1">
        <v>84674.0</v>
      </c>
      <c r="FN574" s="1" t="s">
        <v>7367</v>
      </c>
      <c r="FO574" s="1" t="s">
        <v>7368</v>
      </c>
      <c r="FP574" s="1">
        <v>109817.0</v>
      </c>
      <c r="FQ574" s="1" t="s">
        <v>7369</v>
      </c>
      <c r="FR574" s="1">
        <v>178784.0</v>
      </c>
      <c r="FU574" s="1" t="s">
        <v>710</v>
      </c>
      <c r="FV574" s="1" t="s">
        <v>200</v>
      </c>
      <c r="FW574" s="1" t="s">
        <v>1307</v>
      </c>
      <c r="FX574" s="1" t="s">
        <v>1739</v>
      </c>
      <c r="FZ574" s="1" t="s">
        <v>229</v>
      </c>
      <c r="GA574" s="1" t="s">
        <v>291</v>
      </c>
      <c r="GB574" s="2">
        <v>42062.0</v>
      </c>
      <c r="GC574" s="1" t="s">
        <v>7370</v>
      </c>
    </row>
    <row r="575">
      <c r="A575" s="1">
        <v>220000.0</v>
      </c>
      <c r="B575" s="1" t="s">
        <v>185</v>
      </c>
      <c r="C575" s="1" t="str">
        <f>"08797929"</f>
        <v>08797929</v>
      </c>
      <c r="D575" s="1" t="s">
        <v>186</v>
      </c>
      <c r="F575" s="1" t="str">
        <f>"8019"</f>
        <v>8019</v>
      </c>
      <c r="G575" s="2">
        <v>41979.0</v>
      </c>
      <c r="H575" s="1">
        <v>229900.0</v>
      </c>
      <c r="I575" s="1">
        <v>79.0</v>
      </c>
      <c r="J575" s="1">
        <v>229900.0</v>
      </c>
      <c r="K575" s="2">
        <v>42009.0</v>
      </c>
      <c r="L575" s="1">
        <v>31.0</v>
      </c>
      <c r="M575" s="2">
        <v>42009.0</v>
      </c>
      <c r="N575" s="1" t="s">
        <v>356</v>
      </c>
      <c r="O575" s="2">
        <v>42075.0</v>
      </c>
      <c r="P575" s="1">
        <v>843574.0</v>
      </c>
      <c r="Q575" s="1">
        <v>84291.0</v>
      </c>
      <c r="S575" s="1">
        <v>6404.0</v>
      </c>
      <c r="T575" s="1" t="s">
        <v>7371</v>
      </c>
      <c r="U575" s="1" t="s">
        <v>189</v>
      </c>
      <c r="V575" s="1" t="s">
        <v>190</v>
      </c>
      <c r="W575" s="1">
        <v>60707.0</v>
      </c>
      <c r="Y575" s="1" t="s">
        <v>7372</v>
      </c>
      <c r="Z575" s="1">
        <v>1954.0</v>
      </c>
      <c r="AA575" s="1" t="s">
        <v>192</v>
      </c>
      <c r="AB575" s="1" t="s">
        <v>193</v>
      </c>
      <c r="AD575" s="1" t="s">
        <v>194</v>
      </c>
      <c r="AE575" s="1" t="s">
        <v>195</v>
      </c>
      <c r="AF575" s="1" t="s">
        <v>196</v>
      </c>
      <c r="AH575" s="1">
        <v>0.08</v>
      </c>
      <c r="AK575" s="1">
        <v>6.0</v>
      </c>
      <c r="AL575" s="1">
        <v>4.0</v>
      </c>
      <c r="AM575" s="1">
        <v>2.0</v>
      </c>
      <c r="AN575" s="1">
        <v>0.0</v>
      </c>
      <c r="AO575" s="1" t="s">
        <v>229</v>
      </c>
      <c r="AQ575" s="1" t="s">
        <v>198</v>
      </c>
      <c r="AR575" s="1" t="s">
        <v>200</v>
      </c>
      <c r="AS575" s="1" t="s">
        <v>199</v>
      </c>
      <c r="AT575" s="1">
        <v>2.0</v>
      </c>
      <c r="AV575" s="1" t="s">
        <v>200</v>
      </c>
      <c r="AW575" s="1">
        <v>3055.0</v>
      </c>
      <c r="AX575" s="1">
        <v>2012.0</v>
      </c>
      <c r="AZ575" s="1" t="s">
        <v>200</v>
      </c>
      <c r="BA575" s="1" t="str">
        <f>"13312110350000"</f>
        <v>13312110350000</v>
      </c>
      <c r="BC575" s="1">
        <v>1370.0</v>
      </c>
      <c r="BD575" s="1">
        <v>220000.0</v>
      </c>
      <c r="BE575" s="2">
        <v>41979.0</v>
      </c>
      <c r="BF575" s="2" t="s">
        <v>7373</v>
      </c>
      <c r="BH575" s="1">
        <v>0.0</v>
      </c>
      <c r="BK575" s="1" t="s">
        <v>204</v>
      </c>
      <c r="BL575" s="1" t="str">
        <f>"2148"</f>
        <v>2148</v>
      </c>
      <c r="BM575" s="1" t="str">
        <f>"0"</f>
        <v>0</v>
      </c>
      <c r="BN575" s="1">
        <v>6400.0</v>
      </c>
      <c r="BO575" s="1">
        <v>0.0</v>
      </c>
      <c r="BQ575" s="1">
        <v>299.0</v>
      </c>
      <c r="BR575" s="1">
        <v>299.0</v>
      </c>
      <c r="BS575" s="1">
        <v>299.0</v>
      </c>
      <c r="BU575" s="1" t="s">
        <v>363</v>
      </c>
      <c r="BV575" s="1" t="s">
        <v>206</v>
      </c>
      <c r="BY575" s="1" t="s">
        <v>264</v>
      </c>
      <c r="BZ575" s="1" t="s">
        <v>206</v>
      </c>
      <c r="CD575" s="1" t="s">
        <v>204</v>
      </c>
      <c r="CG575" s="1" t="s">
        <v>814</v>
      </c>
      <c r="CH575" s="1" t="s">
        <v>209</v>
      </c>
      <c r="CK575" s="1" t="s">
        <v>3318</v>
      </c>
      <c r="CL575" s="1" t="s">
        <v>209</v>
      </c>
      <c r="CO575" s="1" t="s">
        <v>4975</v>
      </c>
      <c r="CP575" s="1" t="s">
        <v>209</v>
      </c>
      <c r="CS575" s="1" t="s">
        <v>663</v>
      </c>
      <c r="CT575" s="1" t="s">
        <v>206</v>
      </c>
      <c r="CX575" s="1" t="s">
        <v>204</v>
      </c>
      <c r="DA575" s="1" t="s">
        <v>200</v>
      </c>
      <c r="DC575" s="1" t="s">
        <v>702</v>
      </c>
      <c r="DE575" s="1" t="s">
        <v>273</v>
      </c>
      <c r="DF575" s="1" t="s">
        <v>219</v>
      </c>
      <c r="DH575" s="1" t="s">
        <v>220</v>
      </c>
      <c r="DJ575" s="1" t="s">
        <v>222</v>
      </c>
      <c r="DL575" s="1" t="s">
        <v>224</v>
      </c>
      <c r="DM575" s="1" t="s">
        <v>229</v>
      </c>
      <c r="DQ575" s="1" t="s">
        <v>228</v>
      </c>
      <c r="DR575" s="1" t="s">
        <v>229</v>
      </c>
      <c r="DV575" s="1" t="s">
        <v>232</v>
      </c>
      <c r="DW575" s="1" t="s">
        <v>279</v>
      </c>
      <c r="DX575" s="1" t="s">
        <v>234</v>
      </c>
      <c r="EC575" s="1" t="s">
        <v>645</v>
      </c>
      <c r="EM575" s="1" t="s">
        <v>238</v>
      </c>
      <c r="EQ575" s="1" t="s">
        <v>238</v>
      </c>
      <c r="EU575" s="1" t="s">
        <v>238</v>
      </c>
      <c r="EY575" s="1" t="s">
        <v>238</v>
      </c>
      <c r="FC575" s="1" t="s">
        <v>238</v>
      </c>
      <c r="FF575" s="1" t="s">
        <v>239</v>
      </c>
      <c r="FG575" s="1" t="s">
        <v>192</v>
      </c>
      <c r="FH575" s="1" t="s">
        <v>192</v>
      </c>
      <c r="FJ575" s="1" t="s">
        <v>1450</v>
      </c>
      <c r="FK575" s="1" t="s">
        <v>229</v>
      </c>
      <c r="FL575" s="1" t="s">
        <v>7374</v>
      </c>
      <c r="FM575" s="1">
        <v>84291.0</v>
      </c>
      <c r="FN575" s="1" t="s">
        <v>7375</v>
      </c>
      <c r="FO575" s="1" t="s">
        <v>7376</v>
      </c>
      <c r="FP575" s="1">
        <v>163505.0</v>
      </c>
      <c r="FU575" s="1" t="s">
        <v>7377</v>
      </c>
      <c r="FV575" s="1" t="s">
        <v>200</v>
      </c>
      <c r="FW575" s="1" t="s">
        <v>290</v>
      </c>
      <c r="FX575" s="1" t="s">
        <v>246</v>
      </c>
      <c r="FZ575" s="1" t="s">
        <v>229</v>
      </c>
      <c r="GA575" s="1" t="s">
        <v>291</v>
      </c>
      <c r="GB575" s="2">
        <v>42076.0</v>
      </c>
      <c r="GC575" s="1" t="s">
        <v>7378</v>
      </c>
    </row>
    <row r="576">
      <c r="A576" s="1">
        <v>167000.0</v>
      </c>
      <c r="B576" s="1" t="s">
        <v>185</v>
      </c>
      <c r="C576" s="1" t="str">
        <f>"08798861"</f>
        <v>08798861</v>
      </c>
      <c r="D576" s="1" t="s">
        <v>186</v>
      </c>
      <c r="F576" s="1" t="str">
        <f>"8057"</f>
        <v>8057</v>
      </c>
      <c r="G576" s="2">
        <v>41981.0</v>
      </c>
      <c r="H576" s="1">
        <v>179900.0</v>
      </c>
      <c r="I576" s="1">
        <v>255.0</v>
      </c>
      <c r="J576" s="1">
        <v>179900.0</v>
      </c>
      <c r="K576" s="2">
        <v>42026.0</v>
      </c>
      <c r="L576" s="1">
        <v>46.0</v>
      </c>
      <c r="M576" s="2">
        <v>42026.0</v>
      </c>
      <c r="N576" s="1" t="s">
        <v>187</v>
      </c>
      <c r="O576" s="2">
        <v>42074.0</v>
      </c>
      <c r="P576" s="1">
        <v>841981.0</v>
      </c>
      <c r="Q576" s="1">
        <v>10115.0</v>
      </c>
      <c r="R576" s="1">
        <v>5000.0</v>
      </c>
      <c r="S576" s="1">
        <v>4816.0</v>
      </c>
      <c r="T576" s="1" t="s">
        <v>7379</v>
      </c>
      <c r="U576" s="1" t="s">
        <v>189</v>
      </c>
      <c r="V576" s="1" t="s">
        <v>190</v>
      </c>
      <c r="W576" s="1">
        <v>60632.0</v>
      </c>
      <c r="Y576" s="1" t="s">
        <v>7380</v>
      </c>
      <c r="Z576" s="1">
        <v>1922.0</v>
      </c>
      <c r="AA576" s="1" t="s">
        <v>192</v>
      </c>
      <c r="AB576" s="1" t="s">
        <v>193</v>
      </c>
      <c r="AD576" s="1" t="s">
        <v>194</v>
      </c>
      <c r="AE576" s="1" t="s">
        <v>195</v>
      </c>
      <c r="AF576" s="1" t="s">
        <v>659</v>
      </c>
      <c r="AH576" s="1" t="s">
        <v>1501</v>
      </c>
      <c r="AI576" s="1">
        <v>0.0868</v>
      </c>
      <c r="AK576" s="1">
        <v>7.0</v>
      </c>
      <c r="AL576" s="1">
        <v>4.0</v>
      </c>
      <c r="AM576" s="1">
        <v>2.0</v>
      </c>
      <c r="AN576" s="1">
        <v>0.0</v>
      </c>
      <c r="AO576" s="1" t="s">
        <v>198</v>
      </c>
      <c r="AP576" s="1">
        <v>0.0</v>
      </c>
      <c r="AQ576" s="1" t="s">
        <v>1314</v>
      </c>
      <c r="AR576" s="1" t="s">
        <v>200</v>
      </c>
      <c r="AS576" s="1" t="s">
        <v>199</v>
      </c>
      <c r="AT576" s="1">
        <v>2.0</v>
      </c>
      <c r="AV576" s="1" t="s">
        <v>200</v>
      </c>
      <c r="AW576" s="1">
        <v>2229.46</v>
      </c>
      <c r="AX576" s="1">
        <v>2012.0</v>
      </c>
      <c r="AZ576" s="1" t="s">
        <v>200</v>
      </c>
      <c r="BA576" s="1" t="str">
        <f>"19102080260000"</f>
        <v>19102080260000</v>
      </c>
      <c r="BC576" s="1">
        <v>1315.0</v>
      </c>
      <c r="BD576" s="1">
        <v>167000.0</v>
      </c>
      <c r="BE576" s="2">
        <v>41981.0</v>
      </c>
      <c r="BF576" s="2" t="s">
        <v>7381</v>
      </c>
      <c r="BH576" s="1">
        <v>0.0</v>
      </c>
      <c r="BK576" s="1" t="s">
        <v>204</v>
      </c>
      <c r="BL576" s="1" t="str">
        <f t="shared" ref="BL576:BM576" si="389">"0"</f>
        <v>0</v>
      </c>
      <c r="BM576" s="1" t="str">
        <f t="shared" si="389"/>
        <v>0</v>
      </c>
      <c r="BN576" s="1">
        <v>4400.0</v>
      </c>
      <c r="BO576" s="1">
        <v>4816.0</v>
      </c>
      <c r="BQ576" s="1">
        <v>299.0</v>
      </c>
      <c r="BR576" s="1">
        <v>299.0</v>
      </c>
      <c r="BS576" s="1">
        <v>299.0</v>
      </c>
      <c r="BU576" s="1" t="s">
        <v>1426</v>
      </c>
      <c r="BV576" s="1" t="s">
        <v>206</v>
      </c>
      <c r="BY576" s="1" t="s">
        <v>2565</v>
      </c>
      <c r="BZ576" s="1" t="s">
        <v>209</v>
      </c>
      <c r="CA576" s="1" t="s">
        <v>210</v>
      </c>
      <c r="CC576" s="1" t="s">
        <v>542</v>
      </c>
      <c r="CD576" s="1" t="s">
        <v>206</v>
      </c>
      <c r="CG576" s="1" t="s">
        <v>264</v>
      </c>
      <c r="CH576" s="1" t="s">
        <v>206</v>
      </c>
      <c r="CK576" s="1" t="s">
        <v>3508</v>
      </c>
      <c r="CL576" s="1" t="s">
        <v>206</v>
      </c>
      <c r="CO576" s="1" t="s">
        <v>663</v>
      </c>
      <c r="CP576" s="1" t="s">
        <v>206</v>
      </c>
      <c r="CS576" s="1" t="s">
        <v>264</v>
      </c>
      <c r="CT576" s="1" t="s">
        <v>206</v>
      </c>
      <c r="CX576" s="1" t="s">
        <v>204</v>
      </c>
      <c r="DA576" s="1" t="s">
        <v>200</v>
      </c>
      <c r="DC576" s="1" t="s">
        <v>216</v>
      </c>
      <c r="DE576" s="1" t="s">
        <v>273</v>
      </c>
      <c r="DF576" s="1" t="s">
        <v>619</v>
      </c>
      <c r="DH576" s="1" t="s">
        <v>220</v>
      </c>
      <c r="DJ576" s="1" t="s">
        <v>222</v>
      </c>
      <c r="DL576" s="1" t="s">
        <v>223</v>
      </c>
      <c r="DM576" s="1" t="s">
        <v>229</v>
      </c>
      <c r="DQ576" s="1" t="s">
        <v>228</v>
      </c>
      <c r="DR576" s="1" t="s">
        <v>229</v>
      </c>
      <c r="DV576" s="1" t="s">
        <v>232</v>
      </c>
      <c r="DW576" s="1" t="s">
        <v>444</v>
      </c>
      <c r="DX576" s="1" t="s">
        <v>234</v>
      </c>
      <c r="EA576" s="1" t="s">
        <v>588</v>
      </c>
      <c r="EC576" s="1" t="s">
        <v>237</v>
      </c>
      <c r="EE576" s="1" t="s">
        <v>493</v>
      </c>
      <c r="EM576" s="1" t="s">
        <v>238</v>
      </c>
      <c r="EQ576" s="1" t="s">
        <v>238</v>
      </c>
      <c r="EU576" s="1" t="s">
        <v>238</v>
      </c>
      <c r="EY576" s="1" t="s">
        <v>238</v>
      </c>
      <c r="FC576" s="1" t="s">
        <v>238</v>
      </c>
      <c r="FF576" s="1" t="s">
        <v>239</v>
      </c>
      <c r="FG576" s="1" t="s">
        <v>200</v>
      </c>
      <c r="FH576" s="1" t="s">
        <v>192</v>
      </c>
      <c r="FJ576" s="1" t="s">
        <v>7382</v>
      </c>
      <c r="FK576" s="1" t="s">
        <v>229</v>
      </c>
      <c r="FL576" s="1" t="s">
        <v>1304</v>
      </c>
      <c r="FM576" s="1">
        <v>84745.0</v>
      </c>
      <c r="FN576" s="1" t="s">
        <v>1305</v>
      </c>
      <c r="FO576" s="1" t="s">
        <v>1306</v>
      </c>
      <c r="FP576" s="1">
        <v>186815.0</v>
      </c>
      <c r="FR576" s="1">
        <v>870124.0</v>
      </c>
      <c r="FU576" s="1" t="s">
        <v>1438</v>
      </c>
      <c r="FV576" s="1" t="s">
        <v>192</v>
      </c>
      <c r="FW576" s="1" t="s">
        <v>530</v>
      </c>
      <c r="FX576" s="1" t="s">
        <v>655</v>
      </c>
      <c r="FZ576" s="1" t="s">
        <v>229</v>
      </c>
      <c r="GA576" s="1" t="s">
        <v>291</v>
      </c>
      <c r="GB576" s="2">
        <v>42074.0</v>
      </c>
    </row>
    <row r="577">
      <c r="A577" s="1">
        <v>490000.0</v>
      </c>
      <c r="B577" s="1" t="s">
        <v>185</v>
      </c>
      <c r="C577" s="1" t="str">
        <f>"08800485"</f>
        <v>08800485</v>
      </c>
      <c r="D577" s="1" t="s">
        <v>186</v>
      </c>
      <c r="F577" s="1" t="str">
        <f>"8022"</f>
        <v>8022</v>
      </c>
      <c r="G577" s="2">
        <v>41984.0</v>
      </c>
      <c r="H577" s="1">
        <v>499900.0</v>
      </c>
      <c r="I577" s="1">
        <v>50.0</v>
      </c>
      <c r="J577" s="1">
        <v>499900.0</v>
      </c>
      <c r="K577" s="2">
        <v>41988.0</v>
      </c>
      <c r="L577" s="1">
        <v>5.0</v>
      </c>
      <c r="M577" s="2">
        <v>41988.0</v>
      </c>
      <c r="N577" s="1" t="s">
        <v>187</v>
      </c>
      <c r="O577" s="2">
        <v>42027.0</v>
      </c>
      <c r="P577" s="1">
        <v>112102.0</v>
      </c>
      <c r="Q577" s="1">
        <v>18705.0</v>
      </c>
      <c r="S577" s="1">
        <v>2057.0</v>
      </c>
      <c r="T577" s="1" t="s">
        <v>3708</v>
      </c>
      <c r="U577" s="1" t="s">
        <v>189</v>
      </c>
      <c r="V577" s="1" t="s">
        <v>190</v>
      </c>
      <c r="W577" s="1">
        <v>60647.0</v>
      </c>
      <c r="Y577" s="1" t="s">
        <v>7383</v>
      </c>
      <c r="Z577" s="1">
        <v>2014.0</v>
      </c>
      <c r="AA577" s="1" t="s">
        <v>200</v>
      </c>
      <c r="AB577" s="1" t="s">
        <v>193</v>
      </c>
      <c r="AD577" s="1" t="s">
        <v>194</v>
      </c>
      <c r="AE577" s="1" t="s">
        <v>195</v>
      </c>
      <c r="AF577" s="1" t="s">
        <v>196</v>
      </c>
      <c r="AH577" s="1" t="s">
        <v>741</v>
      </c>
      <c r="AK577" s="1">
        <v>8.0</v>
      </c>
      <c r="AL577" s="1">
        <v>4.0</v>
      </c>
      <c r="AM577" s="1">
        <v>3.0</v>
      </c>
      <c r="AN577" s="1">
        <v>1.0</v>
      </c>
      <c r="AO577" s="1" t="s">
        <v>198</v>
      </c>
      <c r="AQ577" s="1" t="s">
        <v>198</v>
      </c>
      <c r="AR577" s="1" t="s">
        <v>192</v>
      </c>
      <c r="AS577" s="1" t="s">
        <v>199</v>
      </c>
      <c r="AT577" s="1">
        <v>2.0</v>
      </c>
      <c r="AV577" s="1" t="s">
        <v>200</v>
      </c>
      <c r="AW577" s="1" t="s">
        <v>575</v>
      </c>
      <c r="AX577" s="1">
        <v>2013.0</v>
      </c>
      <c r="AZ577" s="1" t="s">
        <v>200</v>
      </c>
      <c r="BA577" s="1" t="str">
        <f>"13351250010000"</f>
        <v>13351250010000</v>
      </c>
      <c r="BC577" s="1">
        <v>3500.0</v>
      </c>
      <c r="BD577" s="1">
        <v>490000.0</v>
      </c>
      <c r="BE577" s="2">
        <v>41984.0</v>
      </c>
      <c r="BF577" s="2" t="s">
        <v>7384</v>
      </c>
      <c r="BH577" s="1">
        <v>0.0</v>
      </c>
      <c r="BK577" s="1" t="s">
        <v>204</v>
      </c>
      <c r="BL577" s="1" t="str">
        <f>"2000"</f>
        <v>2000</v>
      </c>
      <c r="BM577" s="1" t="str">
        <f>"0"</f>
        <v>0</v>
      </c>
      <c r="BN577" s="1">
        <v>3700.0</v>
      </c>
      <c r="BO577" s="1">
        <v>0.0</v>
      </c>
      <c r="BQ577" s="1">
        <v>299.0</v>
      </c>
      <c r="BR577" s="1">
        <v>299.0</v>
      </c>
      <c r="BS577" s="1">
        <v>299.0</v>
      </c>
      <c r="BU577" s="1" t="s">
        <v>2800</v>
      </c>
      <c r="BV577" s="1" t="s">
        <v>206</v>
      </c>
      <c r="BW577" s="1" t="s">
        <v>207</v>
      </c>
      <c r="BY577" s="1" t="s">
        <v>784</v>
      </c>
      <c r="BZ577" s="1" t="s">
        <v>209</v>
      </c>
      <c r="CA577" s="1" t="s">
        <v>210</v>
      </c>
      <c r="CC577" s="1" t="s">
        <v>454</v>
      </c>
      <c r="CD577" s="1" t="s">
        <v>206</v>
      </c>
      <c r="CE577" s="1" t="s">
        <v>207</v>
      </c>
      <c r="CG577" s="1" t="s">
        <v>393</v>
      </c>
      <c r="CH577" s="1" t="s">
        <v>209</v>
      </c>
      <c r="CI577" s="1" t="s">
        <v>210</v>
      </c>
      <c r="CK577" s="1" t="s">
        <v>331</v>
      </c>
      <c r="CL577" s="1" t="s">
        <v>209</v>
      </c>
      <c r="CM577" s="1" t="s">
        <v>210</v>
      </c>
      <c r="CO577" s="1" t="s">
        <v>212</v>
      </c>
      <c r="CP577" s="1" t="s">
        <v>206</v>
      </c>
      <c r="CQ577" s="1" t="s">
        <v>207</v>
      </c>
      <c r="CS577" s="1" t="s">
        <v>1483</v>
      </c>
      <c r="CT577" s="1" t="s">
        <v>206</v>
      </c>
      <c r="CU577" s="1" t="s">
        <v>207</v>
      </c>
      <c r="CX577" s="1" t="s">
        <v>204</v>
      </c>
      <c r="DA577" s="1" t="s">
        <v>192</v>
      </c>
      <c r="DB577" s="2">
        <v>41988.0</v>
      </c>
      <c r="DC577" s="1" t="s">
        <v>1353</v>
      </c>
      <c r="DD577" s="1" t="s">
        <v>731</v>
      </c>
      <c r="DE577" s="1" t="s">
        <v>218</v>
      </c>
      <c r="DF577" s="1" t="s">
        <v>745</v>
      </c>
      <c r="DG577" s="1" t="s">
        <v>482</v>
      </c>
      <c r="DH577" s="1" t="s">
        <v>220</v>
      </c>
      <c r="DI577" s="1" t="s">
        <v>519</v>
      </c>
      <c r="DJ577" s="1" t="s">
        <v>222</v>
      </c>
      <c r="DK577" s="1" t="s">
        <v>223</v>
      </c>
      <c r="DL577" s="1" t="s">
        <v>224</v>
      </c>
      <c r="DM577" s="1" t="s">
        <v>229</v>
      </c>
      <c r="DN577" s="1" t="s">
        <v>399</v>
      </c>
      <c r="DO577" s="1" t="s">
        <v>590</v>
      </c>
      <c r="DQ577" s="1" t="s">
        <v>228</v>
      </c>
      <c r="DR577" s="1" t="s">
        <v>229</v>
      </c>
      <c r="DU577" s="1" t="s">
        <v>746</v>
      </c>
      <c r="DV577" s="1" t="s">
        <v>450</v>
      </c>
      <c r="DW577" s="1" t="s">
        <v>595</v>
      </c>
      <c r="DX577" s="1" t="s">
        <v>234</v>
      </c>
      <c r="DY577" s="1" t="s">
        <v>7385</v>
      </c>
      <c r="EC577" s="1" t="s">
        <v>237</v>
      </c>
      <c r="ED577" s="1" t="s">
        <v>555</v>
      </c>
      <c r="EG577" s="1" t="s">
        <v>450</v>
      </c>
      <c r="EL577" s="1" t="s">
        <v>7386</v>
      </c>
      <c r="EM577" s="1" t="s">
        <v>42</v>
      </c>
      <c r="EN577" s="1" t="s">
        <v>210</v>
      </c>
      <c r="EQ577" s="1" t="s">
        <v>238</v>
      </c>
      <c r="EU577" s="1" t="s">
        <v>238</v>
      </c>
      <c r="EY577" s="1" t="s">
        <v>238</v>
      </c>
      <c r="FC577" s="1" t="s">
        <v>238</v>
      </c>
      <c r="FF577" s="1" t="s">
        <v>239</v>
      </c>
      <c r="FG577" s="1" t="s">
        <v>192</v>
      </c>
      <c r="FH577" s="1" t="s">
        <v>192</v>
      </c>
      <c r="FJ577" s="1" t="s">
        <v>2285</v>
      </c>
      <c r="FK577" s="1" t="s">
        <v>229</v>
      </c>
      <c r="FL577" s="1" t="s">
        <v>734</v>
      </c>
      <c r="FM577" s="1">
        <v>10646.0</v>
      </c>
      <c r="FN577" s="1" t="s">
        <v>735</v>
      </c>
      <c r="FO577" s="1" t="s">
        <v>736</v>
      </c>
      <c r="FP577" s="1">
        <v>139913.0</v>
      </c>
      <c r="FQ577" s="1" t="s">
        <v>737</v>
      </c>
      <c r="FU577" s="1" t="s">
        <v>5897</v>
      </c>
      <c r="FV577" s="1" t="s">
        <v>200</v>
      </c>
      <c r="FW577" s="1" t="s">
        <v>530</v>
      </c>
      <c r="FX577" s="1" t="s">
        <v>238</v>
      </c>
      <c r="FZ577" s="1" t="s">
        <v>229</v>
      </c>
      <c r="GA577" s="1" t="s">
        <v>291</v>
      </c>
      <c r="GB577" s="2">
        <v>42030.0</v>
      </c>
    </row>
    <row r="578">
      <c r="A578" s="1">
        <v>172000.0</v>
      </c>
      <c r="B578" s="1" t="s">
        <v>185</v>
      </c>
      <c r="C578" s="1" t="str">
        <f>"08798250"</f>
        <v>08798250</v>
      </c>
      <c r="D578" s="1" t="s">
        <v>186</v>
      </c>
      <c r="F578" s="1" t="str">
        <f>"115"</f>
        <v>115</v>
      </c>
      <c r="G578" s="2">
        <v>41980.0</v>
      </c>
      <c r="H578" s="1">
        <v>184900.0</v>
      </c>
      <c r="I578" s="1">
        <v>122.0</v>
      </c>
      <c r="J578" s="1">
        <v>184900.0</v>
      </c>
      <c r="K578" s="2">
        <v>42100.0</v>
      </c>
      <c r="L578" s="1">
        <v>122.0</v>
      </c>
      <c r="M578" s="2">
        <v>42100.0</v>
      </c>
      <c r="N578" s="1" t="s">
        <v>249</v>
      </c>
      <c r="O578" s="2">
        <v>42142.0</v>
      </c>
      <c r="P578" s="1">
        <v>930102.0</v>
      </c>
      <c r="Q578" s="1">
        <v>93043.0</v>
      </c>
      <c r="S578" s="1">
        <v>1515.0</v>
      </c>
      <c r="T578" s="1" t="s">
        <v>7387</v>
      </c>
      <c r="U578" s="1" t="s">
        <v>1015</v>
      </c>
      <c r="V578" s="1" t="s">
        <v>610</v>
      </c>
      <c r="W578" s="1">
        <v>60115.0</v>
      </c>
      <c r="Y578" s="1" t="s">
        <v>7388</v>
      </c>
      <c r="Z578" s="1">
        <v>1998.0</v>
      </c>
      <c r="AA578" s="1" t="s">
        <v>200</v>
      </c>
      <c r="AB578" s="1" t="s">
        <v>193</v>
      </c>
      <c r="AD578" s="1" t="s">
        <v>612</v>
      </c>
      <c r="AE578" s="1" t="s">
        <v>613</v>
      </c>
      <c r="AF578" s="1" t="s">
        <v>612</v>
      </c>
      <c r="AG578" s="1" t="s">
        <v>4668</v>
      </c>
      <c r="AH578" s="1" t="s">
        <v>326</v>
      </c>
      <c r="AK578" s="1">
        <v>8.0</v>
      </c>
      <c r="AL578" s="1">
        <v>4.0</v>
      </c>
      <c r="AM578" s="1">
        <v>2.0</v>
      </c>
      <c r="AN578" s="1">
        <v>1.0</v>
      </c>
      <c r="AO578" s="1" t="s">
        <v>198</v>
      </c>
      <c r="AP578" s="1">
        <v>1.0</v>
      </c>
      <c r="AQ578" s="1" t="s">
        <v>198</v>
      </c>
      <c r="AR578" s="1" t="s">
        <v>192</v>
      </c>
      <c r="AS578" s="1" t="s">
        <v>199</v>
      </c>
      <c r="AT578" s="1">
        <v>2.0</v>
      </c>
      <c r="AV578" s="1" t="s">
        <v>200</v>
      </c>
      <c r="AW578" s="1">
        <v>6595.0</v>
      </c>
      <c r="AX578" s="1">
        <v>2013.0</v>
      </c>
      <c r="AY578" s="1" t="s">
        <v>387</v>
      </c>
      <c r="AZ578" s="1" t="s">
        <v>200</v>
      </c>
      <c r="BA578" s="1" t="str">
        <f>"0815248027"</f>
        <v>0815248027</v>
      </c>
      <c r="BC578" s="1">
        <v>2100.0</v>
      </c>
      <c r="BD578" s="1">
        <v>172000.0</v>
      </c>
      <c r="BE578" s="2">
        <v>41979.0</v>
      </c>
      <c r="BF578" s="2" t="s">
        <v>7389</v>
      </c>
      <c r="BH578" s="1">
        <v>0.0</v>
      </c>
      <c r="BK578" s="1" t="s">
        <v>204</v>
      </c>
      <c r="BL578" s="1" t="str">
        <f t="shared" ref="BL578:BM578" si="390">"0"</f>
        <v>0</v>
      </c>
      <c r="BM578" s="1" t="str">
        <f t="shared" si="390"/>
        <v>0</v>
      </c>
      <c r="BN578" s="1">
        <v>0.0</v>
      </c>
      <c r="BO578" s="1">
        <v>0.0</v>
      </c>
      <c r="BQ578" s="1">
        <v>428.0</v>
      </c>
      <c r="BR578" s="1">
        <v>428.0</v>
      </c>
      <c r="BS578" s="1">
        <v>428.0</v>
      </c>
      <c r="BU578" s="1" t="s">
        <v>584</v>
      </c>
      <c r="BV578" s="1" t="s">
        <v>206</v>
      </c>
      <c r="BW578" s="1" t="s">
        <v>210</v>
      </c>
      <c r="BX578" s="1" t="s">
        <v>229</v>
      </c>
      <c r="BY578" s="1" t="s">
        <v>393</v>
      </c>
      <c r="BZ578" s="1" t="s">
        <v>206</v>
      </c>
      <c r="CA578" s="1" t="s">
        <v>210</v>
      </c>
      <c r="CB578" s="1" t="s">
        <v>229</v>
      </c>
      <c r="CD578" s="1" t="s">
        <v>204</v>
      </c>
      <c r="CG578" s="1" t="s">
        <v>1417</v>
      </c>
      <c r="CH578" s="1" t="s">
        <v>209</v>
      </c>
      <c r="CI578" s="1" t="s">
        <v>210</v>
      </c>
      <c r="CJ578" s="1" t="s">
        <v>431</v>
      </c>
      <c r="CK578" s="1" t="s">
        <v>265</v>
      </c>
      <c r="CL578" s="1" t="s">
        <v>209</v>
      </c>
      <c r="CM578" s="1" t="s">
        <v>210</v>
      </c>
      <c r="CN578" s="1" t="s">
        <v>431</v>
      </c>
      <c r="CO578" s="1" t="s">
        <v>699</v>
      </c>
      <c r="CP578" s="1" t="s">
        <v>209</v>
      </c>
      <c r="CQ578" s="1" t="s">
        <v>210</v>
      </c>
      <c r="CR578" s="1" t="s">
        <v>431</v>
      </c>
      <c r="CS578" s="1" t="s">
        <v>3375</v>
      </c>
      <c r="CT578" s="1" t="s">
        <v>206</v>
      </c>
      <c r="CU578" s="1" t="s">
        <v>301</v>
      </c>
      <c r="CV578" s="1" t="s">
        <v>431</v>
      </c>
      <c r="CW578" s="1" t="s">
        <v>743</v>
      </c>
      <c r="CX578" s="1" t="s">
        <v>206</v>
      </c>
      <c r="CY578" s="1" t="s">
        <v>210</v>
      </c>
      <c r="CZ578" s="1" t="s">
        <v>431</v>
      </c>
      <c r="DA578" s="1" t="s">
        <v>200</v>
      </c>
      <c r="DC578" s="1" t="s">
        <v>678</v>
      </c>
      <c r="DD578" s="1" t="s">
        <v>306</v>
      </c>
      <c r="DE578" s="1" t="s">
        <v>273</v>
      </c>
      <c r="DF578" s="1" t="s">
        <v>219</v>
      </c>
      <c r="DG578" s="1" t="s">
        <v>337</v>
      </c>
      <c r="DH578" s="1" t="s">
        <v>220</v>
      </c>
      <c r="DI578" s="1" t="s">
        <v>959</v>
      </c>
      <c r="DJ578" s="1" t="s">
        <v>222</v>
      </c>
      <c r="DL578" s="1" t="s">
        <v>223</v>
      </c>
      <c r="DM578" s="1" t="s">
        <v>338</v>
      </c>
      <c r="DQ578" s="1" t="s">
        <v>228</v>
      </c>
      <c r="DR578" s="1" t="s">
        <v>229</v>
      </c>
      <c r="DV578" s="1" t="s">
        <v>557</v>
      </c>
      <c r="DW578" s="1" t="s">
        <v>233</v>
      </c>
      <c r="DX578" s="1" t="s">
        <v>234</v>
      </c>
      <c r="DY578" s="1" t="s">
        <v>7390</v>
      </c>
      <c r="DZ578" s="1" t="s">
        <v>1333</v>
      </c>
      <c r="EB578" s="1" t="s">
        <v>345</v>
      </c>
      <c r="EC578" s="1" t="s">
        <v>237</v>
      </c>
      <c r="ED578" s="1" t="s">
        <v>555</v>
      </c>
      <c r="EE578" s="1" t="s">
        <v>493</v>
      </c>
      <c r="EG578" s="1" t="s">
        <v>557</v>
      </c>
      <c r="EL578" s="1" t="s">
        <v>475</v>
      </c>
      <c r="EM578" s="1" t="s">
        <v>209</v>
      </c>
      <c r="EN578" s="1" t="s">
        <v>210</v>
      </c>
      <c r="EO578" s="1" t="s">
        <v>229</v>
      </c>
      <c r="EQ578" s="1" t="s">
        <v>238</v>
      </c>
      <c r="EU578" s="1" t="s">
        <v>238</v>
      </c>
      <c r="EY578" s="1" t="s">
        <v>238</v>
      </c>
      <c r="FC578" s="1" t="s">
        <v>238</v>
      </c>
      <c r="FF578" s="1" t="s">
        <v>239</v>
      </c>
      <c r="FG578" s="1" t="s">
        <v>200</v>
      </c>
      <c r="FH578" s="1" t="s">
        <v>192</v>
      </c>
      <c r="FJ578" s="1" t="s">
        <v>7391</v>
      </c>
      <c r="FK578" s="1" t="s">
        <v>229</v>
      </c>
      <c r="FL578" s="1" t="s">
        <v>1007</v>
      </c>
      <c r="FM578" s="1">
        <v>93043.0</v>
      </c>
      <c r="FN578" s="1" t="s">
        <v>1008</v>
      </c>
      <c r="FO578" s="1" t="s">
        <v>7392</v>
      </c>
      <c r="FP578" s="1">
        <v>930101.0</v>
      </c>
      <c r="FQ578" s="1" t="s">
        <v>7393</v>
      </c>
      <c r="FU578" s="1" t="s">
        <v>7394</v>
      </c>
      <c r="FV578" s="1" t="s">
        <v>200</v>
      </c>
      <c r="FW578" s="1" t="s">
        <v>7395</v>
      </c>
      <c r="FZ578" s="1" t="s">
        <v>229</v>
      </c>
      <c r="GA578" s="1" t="s">
        <v>291</v>
      </c>
      <c r="GB578" s="2">
        <v>42142.0</v>
      </c>
      <c r="GC578" s="1" t="s">
        <v>7396</v>
      </c>
    </row>
    <row r="579">
      <c r="A579" s="1">
        <v>211500.0</v>
      </c>
      <c r="B579" s="1" t="s">
        <v>185</v>
      </c>
      <c r="C579" s="1" t="str">
        <f>"08803682"</f>
        <v>08803682</v>
      </c>
      <c r="D579" s="1" t="s">
        <v>186</v>
      </c>
      <c r="F579" s="1" t="str">
        <f>"8056"</f>
        <v>8056</v>
      </c>
      <c r="G579" s="2">
        <v>41990.0</v>
      </c>
      <c r="H579" s="1">
        <v>214900.0</v>
      </c>
      <c r="I579" s="1">
        <v>30.0</v>
      </c>
      <c r="J579" s="1">
        <v>214900.0</v>
      </c>
      <c r="K579" s="2">
        <v>42018.0</v>
      </c>
      <c r="L579" s="1">
        <v>30.0</v>
      </c>
      <c r="M579" s="2">
        <v>42018.0</v>
      </c>
      <c r="N579" s="1" t="s">
        <v>187</v>
      </c>
      <c r="O579" s="2">
        <v>42069.0</v>
      </c>
      <c r="P579" s="1">
        <v>238256.0</v>
      </c>
      <c r="Q579" s="1">
        <v>60321.0</v>
      </c>
      <c r="R579" s="1">
        <v>6345.0</v>
      </c>
      <c r="S579" s="1">
        <v>5415.0</v>
      </c>
      <c r="T579" s="1" t="s">
        <v>3330</v>
      </c>
      <c r="U579" s="1" t="s">
        <v>189</v>
      </c>
      <c r="V579" s="1" t="s">
        <v>190</v>
      </c>
      <c r="W579" s="1">
        <v>60638.0</v>
      </c>
      <c r="Y579" s="1" t="s">
        <v>7397</v>
      </c>
      <c r="Z579" s="1">
        <v>1950.0</v>
      </c>
      <c r="AA579" s="1" t="s">
        <v>192</v>
      </c>
      <c r="AB579" s="1" t="s">
        <v>193</v>
      </c>
      <c r="AD579" s="1" t="s">
        <v>194</v>
      </c>
      <c r="AE579" s="1" t="s">
        <v>195</v>
      </c>
      <c r="AF579" s="1" t="s">
        <v>659</v>
      </c>
      <c r="AH579" s="1">
        <v>3750.0</v>
      </c>
      <c r="AK579" s="1">
        <v>6.0</v>
      </c>
      <c r="AL579" s="1">
        <v>4.0</v>
      </c>
      <c r="AM579" s="1">
        <v>3.0</v>
      </c>
      <c r="AN579" s="1">
        <v>0.0</v>
      </c>
      <c r="AO579" s="1" t="s">
        <v>229</v>
      </c>
      <c r="AQ579" s="1" t="s">
        <v>198</v>
      </c>
      <c r="AR579" s="1" t="s">
        <v>200</v>
      </c>
      <c r="AS579" s="1" t="s">
        <v>229</v>
      </c>
      <c r="AV579" s="1" t="s">
        <v>200</v>
      </c>
      <c r="AW579" s="1">
        <v>2296.95</v>
      </c>
      <c r="AX579" s="1">
        <v>2013.0</v>
      </c>
      <c r="AY579" s="1" t="s">
        <v>387</v>
      </c>
      <c r="AZ579" s="1" t="s">
        <v>200</v>
      </c>
      <c r="BA579" s="1" t="str">
        <f>"19074240050000"</f>
        <v>19074240050000</v>
      </c>
      <c r="BC579" s="1">
        <v>1400.0</v>
      </c>
      <c r="BD579" s="1">
        <v>211500.0</v>
      </c>
      <c r="BE579" s="2">
        <v>41989.0</v>
      </c>
      <c r="BF579" s="2" t="s">
        <v>7398</v>
      </c>
      <c r="BH579" s="1">
        <v>0.0</v>
      </c>
      <c r="BK579" s="1" t="s">
        <v>204</v>
      </c>
      <c r="BL579" s="1" t="str">
        <f t="shared" ref="BL579:BM579" si="391">"0"</f>
        <v>0</v>
      </c>
      <c r="BM579" s="1" t="str">
        <f t="shared" si="391"/>
        <v>0</v>
      </c>
      <c r="BN579" s="1">
        <v>6800.0</v>
      </c>
      <c r="BO579" s="1">
        <v>5415.0</v>
      </c>
      <c r="BQ579" s="1">
        <v>299.0</v>
      </c>
      <c r="BR579" s="1">
        <v>299.0</v>
      </c>
      <c r="BS579" s="1">
        <v>299.0</v>
      </c>
      <c r="BU579" s="1" t="s">
        <v>4403</v>
      </c>
      <c r="BV579" s="1" t="s">
        <v>206</v>
      </c>
      <c r="BW579" s="1" t="s">
        <v>207</v>
      </c>
      <c r="BX579" s="1" t="s">
        <v>229</v>
      </c>
      <c r="BY579" s="1" t="s">
        <v>302</v>
      </c>
      <c r="BZ579" s="1" t="s">
        <v>206</v>
      </c>
      <c r="CA579" s="1" t="s">
        <v>207</v>
      </c>
      <c r="CB579" s="1" t="s">
        <v>229</v>
      </c>
      <c r="CD579" s="1" t="s">
        <v>204</v>
      </c>
      <c r="CG579" s="1" t="s">
        <v>495</v>
      </c>
      <c r="CH579" s="1" t="s">
        <v>206</v>
      </c>
      <c r="CI579" s="1" t="s">
        <v>207</v>
      </c>
      <c r="CJ579" s="1" t="s">
        <v>229</v>
      </c>
      <c r="CK579" s="1" t="s">
        <v>269</v>
      </c>
      <c r="CL579" s="1" t="s">
        <v>209</v>
      </c>
      <c r="CM579" s="1" t="s">
        <v>210</v>
      </c>
      <c r="CN579" s="1" t="s">
        <v>229</v>
      </c>
      <c r="CO579" s="1" t="s">
        <v>269</v>
      </c>
      <c r="CP579" s="1" t="s">
        <v>209</v>
      </c>
      <c r="CQ579" s="1" t="s">
        <v>210</v>
      </c>
      <c r="CR579" s="1" t="s">
        <v>229</v>
      </c>
      <c r="CS579" s="1" t="s">
        <v>1183</v>
      </c>
      <c r="CT579" s="1" t="s">
        <v>206</v>
      </c>
      <c r="CU579" s="1" t="s">
        <v>268</v>
      </c>
      <c r="CV579" s="1" t="s">
        <v>229</v>
      </c>
      <c r="CX579" s="1" t="s">
        <v>204</v>
      </c>
      <c r="DA579" s="1" t="s">
        <v>200</v>
      </c>
      <c r="DC579" s="1" t="s">
        <v>702</v>
      </c>
      <c r="DE579" s="1" t="s">
        <v>273</v>
      </c>
      <c r="DF579" s="1" t="s">
        <v>219</v>
      </c>
      <c r="DH579" s="1" t="s">
        <v>365</v>
      </c>
      <c r="DJ579" s="1" t="s">
        <v>222</v>
      </c>
      <c r="DK579" s="1" t="s">
        <v>4207</v>
      </c>
      <c r="DL579" s="1" t="s">
        <v>858</v>
      </c>
      <c r="DM579" s="1" t="s">
        <v>229</v>
      </c>
      <c r="DQ579" s="1" t="s">
        <v>228</v>
      </c>
      <c r="DR579" s="1" t="s">
        <v>229</v>
      </c>
      <c r="DV579" s="1" t="s">
        <v>232</v>
      </c>
      <c r="DW579" s="1" t="s">
        <v>279</v>
      </c>
      <c r="DX579" s="1" t="s">
        <v>234</v>
      </c>
      <c r="EA579" s="1" t="s">
        <v>1075</v>
      </c>
      <c r="EC579" s="1" t="s">
        <v>645</v>
      </c>
      <c r="EM579" s="1" t="s">
        <v>238</v>
      </c>
      <c r="EQ579" s="1" t="s">
        <v>238</v>
      </c>
      <c r="EU579" s="1" t="s">
        <v>238</v>
      </c>
      <c r="EY579" s="1" t="s">
        <v>238</v>
      </c>
      <c r="FC579" s="1" t="s">
        <v>238</v>
      </c>
      <c r="FF579" s="1" t="s">
        <v>239</v>
      </c>
      <c r="FG579" s="1" t="s">
        <v>192</v>
      </c>
      <c r="FH579" s="1" t="s">
        <v>192</v>
      </c>
      <c r="FJ579" s="1" t="s">
        <v>770</v>
      </c>
      <c r="FK579" s="1" t="s">
        <v>229</v>
      </c>
      <c r="FL579" s="1" t="s">
        <v>1625</v>
      </c>
      <c r="FM579" s="1">
        <v>16416.0</v>
      </c>
      <c r="FN579" s="1" t="s">
        <v>1626</v>
      </c>
      <c r="FO579" s="1" t="s">
        <v>7399</v>
      </c>
      <c r="FP579" s="1">
        <v>148228.0</v>
      </c>
      <c r="FQ579" s="1" t="s">
        <v>1626</v>
      </c>
      <c r="FU579" s="1" t="s">
        <v>1628</v>
      </c>
      <c r="FV579" s="1" t="s">
        <v>200</v>
      </c>
      <c r="FW579" s="1" t="s">
        <v>7400</v>
      </c>
      <c r="FX579" s="1" t="s">
        <v>655</v>
      </c>
      <c r="FZ579" s="1" t="s">
        <v>229</v>
      </c>
      <c r="GA579" s="1" t="s">
        <v>291</v>
      </c>
      <c r="GB579" s="2">
        <v>42072.0</v>
      </c>
      <c r="GC579" s="1" t="s">
        <v>7401</v>
      </c>
    </row>
    <row r="580">
      <c r="A580" s="1">
        <v>349900.0</v>
      </c>
      <c r="B580" s="1" t="s">
        <v>185</v>
      </c>
      <c r="C580" s="1" t="str">
        <f>"08804543"</f>
        <v>08804543</v>
      </c>
      <c r="D580" s="1" t="s">
        <v>186</v>
      </c>
      <c r="F580" s="1" t="str">
        <f>"134"</f>
        <v>134</v>
      </c>
      <c r="G580" s="2">
        <v>41992.0</v>
      </c>
      <c r="H580" s="1">
        <v>369500.0</v>
      </c>
      <c r="I580" s="1">
        <v>136.0</v>
      </c>
      <c r="J580" s="1">
        <v>359900.0</v>
      </c>
      <c r="K580" s="2">
        <v>42072.0</v>
      </c>
      <c r="L580" s="1">
        <v>84.0</v>
      </c>
      <c r="M580" s="2">
        <v>42072.0</v>
      </c>
      <c r="N580" s="1" t="s">
        <v>187</v>
      </c>
      <c r="O580" s="2">
        <v>42125.0</v>
      </c>
      <c r="P580" s="1">
        <v>83331.0</v>
      </c>
      <c r="Q580" s="1">
        <v>8073.0</v>
      </c>
      <c r="S580" s="1" t="s">
        <v>7402</v>
      </c>
      <c r="T580" s="1" t="s">
        <v>7403</v>
      </c>
      <c r="U580" s="1" t="s">
        <v>7404</v>
      </c>
      <c r="V580" s="1" t="s">
        <v>421</v>
      </c>
      <c r="W580" s="1">
        <v>60134.0</v>
      </c>
      <c r="Y580" s="1" t="s">
        <v>7405</v>
      </c>
      <c r="Z580" s="1">
        <v>1999.0</v>
      </c>
      <c r="AA580" s="1" t="s">
        <v>200</v>
      </c>
      <c r="AB580" s="1" t="s">
        <v>193</v>
      </c>
      <c r="AC580" s="1" t="s">
        <v>7406</v>
      </c>
      <c r="AD580" s="1" t="s">
        <v>424</v>
      </c>
      <c r="AE580" s="1" t="s">
        <v>325</v>
      </c>
      <c r="AF580" s="1" t="s">
        <v>1479</v>
      </c>
      <c r="AG580" s="1" t="s">
        <v>7407</v>
      </c>
      <c r="AH580" s="1" t="s">
        <v>5193</v>
      </c>
      <c r="AI580" s="1">
        <v>0.23</v>
      </c>
      <c r="AK580" s="1">
        <v>12.0</v>
      </c>
      <c r="AL580" s="1">
        <v>4.0</v>
      </c>
      <c r="AM580" s="1">
        <v>3.0</v>
      </c>
      <c r="AN580" s="1">
        <v>1.0</v>
      </c>
      <c r="AO580" s="1" t="s">
        <v>198</v>
      </c>
      <c r="AP580" s="1">
        <v>1.0</v>
      </c>
      <c r="AQ580" s="1" t="s">
        <v>198</v>
      </c>
      <c r="AR580" s="1" t="s">
        <v>192</v>
      </c>
      <c r="AS580" s="1" t="s">
        <v>199</v>
      </c>
      <c r="AT580" s="1">
        <v>3.0</v>
      </c>
      <c r="AV580" s="1" t="s">
        <v>200</v>
      </c>
      <c r="AW580" s="1">
        <v>10894.18</v>
      </c>
      <c r="AX580" s="1">
        <v>2013.0</v>
      </c>
      <c r="AY580" s="1" t="s">
        <v>387</v>
      </c>
      <c r="AZ580" s="1" t="s">
        <v>200</v>
      </c>
      <c r="BA580" s="1" t="str">
        <f>"1112203002"</f>
        <v>1112203002</v>
      </c>
      <c r="BC580" s="1">
        <v>2771.0</v>
      </c>
      <c r="BD580" s="1">
        <v>349900.0</v>
      </c>
      <c r="BE580" s="2">
        <v>41989.0</v>
      </c>
      <c r="BF580" s="2" t="s">
        <v>7408</v>
      </c>
      <c r="BG580" s="1" t="s">
        <v>6713</v>
      </c>
      <c r="BH580" s="1">
        <v>0.0</v>
      </c>
      <c r="BI580" s="1" t="s">
        <v>429</v>
      </c>
      <c r="BJ580" s="1" t="s">
        <v>430</v>
      </c>
      <c r="BK580" s="1" t="s">
        <v>204</v>
      </c>
      <c r="BL580" s="1" t="str">
        <f t="shared" ref="BL580:BM580" si="392">""</f>
        <v/>
      </c>
      <c r="BM580" s="1" t="str">
        <f t="shared" si="392"/>
        <v/>
      </c>
      <c r="BQ580" s="1">
        <v>304.0</v>
      </c>
      <c r="BR580" s="1">
        <v>304.0</v>
      </c>
      <c r="BS580" s="1">
        <v>304.0</v>
      </c>
      <c r="BU580" s="1" t="s">
        <v>454</v>
      </c>
      <c r="BV580" s="1" t="s">
        <v>206</v>
      </c>
      <c r="BW580" s="1" t="s">
        <v>210</v>
      </c>
      <c r="BY580" s="1" t="s">
        <v>1600</v>
      </c>
      <c r="BZ580" s="1" t="s">
        <v>209</v>
      </c>
      <c r="CA580" s="1" t="s">
        <v>210</v>
      </c>
      <c r="CC580" s="1" t="s">
        <v>2459</v>
      </c>
      <c r="CD580" s="1" t="s">
        <v>206</v>
      </c>
      <c r="CE580" s="1" t="s">
        <v>210</v>
      </c>
      <c r="CG580" s="1" t="s">
        <v>495</v>
      </c>
      <c r="CH580" s="1" t="s">
        <v>209</v>
      </c>
      <c r="CI580" s="1" t="s">
        <v>210</v>
      </c>
      <c r="CK580" s="1" t="s">
        <v>1417</v>
      </c>
      <c r="CL580" s="1" t="s">
        <v>209</v>
      </c>
      <c r="CM580" s="1" t="s">
        <v>210</v>
      </c>
      <c r="CO580" s="1" t="s">
        <v>699</v>
      </c>
      <c r="CP580" s="1" t="s">
        <v>209</v>
      </c>
      <c r="CQ580" s="1" t="s">
        <v>210</v>
      </c>
      <c r="CS580" s="1" t="s">
        <v>1064</v>
      </c>
      <c r="CT580" s="1" t="s">
        <v>206</v>
      </c>
      <c r="CU580" s="1" t="s">
        <v>268</v>
      </c>
      <c r="CW580" s="1" t="s">
        <v>1045</v>
      </c>
      <c r="CX580" s="1" t="s">
        <v>206</v>
      </c>
      <c r="CY580" s="1" t="s">
        <v>210</v>
      </c>
      <c r="DA580" s="1" t="s">
        <v>200</v>
      </c>
      <c r="DC580" s="1" t="s">
        <v>678</v>
      </c>
      <c r="DD580" s="1" t="s">
        <v>336</v>
      </c>
      <c r="DE580" s="1" t="s">
        <v>273</v>
      </c>
      <c r="DF580" s="1" t="s">
        <v>619</v>
      </c>
      <c r="DG580" s="1" t="s">
        <v>1602</v>
      </c>
      <c r="DH580" s="1" t="s">
        <v>220</v>
      </c>
      <c r="DI580" s="1" t="s">
        <v>519</v>
      </c>
      <c r="DJ580" s="1" t="s">
        <v>222</v>
      </c>
      <c r="DL580" s="1" t="s">
        <v>224</v>
      </c>
      <c r="DM580" s="1" t="s">
        <v>929</v>
      </c>
      <c r="DN580" s="1" t="s">
        <v>439</v>
      </c>
      <c r="DO580" s="1" t="s">
        <v>3889</v>
      </c>
      <c r="DP580" s="1" t="s">
        <v>340</v>
      </c>
      <c r="DQ580" s="1" t="s">
        <v>228</v>
      </c>
      <c r="DR580" s="1" t="s">
        <v>229</v>
      </c>
      <c r="DS580" s="1" t="s">
        <v>230</v>
      </c>
      <c r="DU580" s="1" t="s">
        <v>7409</v>
      </c>
      <c r="DV580" s="1" t="s">
        <v>7410</v>
      </c>
      <c r="DW580" s="1" t="s">
        <v>934</v>
      </c>
      <c r="DX580" s="1" t="s">
        <v>234</v>
      </c>
      <c r="DY580" s="1" t="s">
        <v>7411</v>
      </c>
      <c r="DZ580" s="1" t="s">
        <v>310</v>
      </c>
      <c r="EA580" s="1" t="s">
        <v>344</v>
      </c>
      <c r="EB580" s="1" t="s">
        <v>1639</v>
      </c>
      <c r="EC580" s="1" t="s">
        <v>237</v>
      </c>
      <c r="ED580" s="1" t="s">
        <v>555</v>
      </c>
      <c r="EE580" s="1" t="s">
        <v>493</v>
      </c>
      <c r="EG580" s="1" t="s">
        <v>449</v>
      </c>
      <c r="EH580" s="1" t="s">
        <v>494</v>
      </c>
      <c r="EI580" s="1" t="s">
        <v>450</v>
      </c>
      <c r="EJ580" s="1" t="s">
        <v>2023</v>
      </c>
      <c r="EK580" s="1" t="s">
        <v>450</v>
      </c>
      <c r="EL580" s="1" t="s">
        <v>2425</v>
      </c>
      <c r="EM580" s="1" t="s">
        <v>206</v>
      </c>
      <c r="EN580" s="1" t="s">
        <v>268</v>
      </c>
      <c r="EP580" s="1" t="s">
        <v>303</v>
      </c>
      <c r="EQ580" s="1" t="s">
        <v>206</v>
      </c>
      <c r="ER580" s="1" t="s">
        <v>210</v>
      </c>
      <c r="ET580" s="1" t="s">
        <v>7412</v>
      </c>
      <c r="EU580" s="1" t="s">
        <v>42</v>
      </c>
      <c r="EV580" s="1" t="s">
        <v>210</v>
      </c>
      <c r="EX580" s="1" t="s">
        <v>208</v>
      </c>
      <c r="EY580" s="1" t="s">
        <v>42</v>
      </c>
      <c r="EZ580" s="1" t="s">
        <v>210</v>
      </c>
      <c r="FB580" s="1" t="s">
        <v>7413</v>
      </c>
      <c r="FC580" s="1" t="s">
        <v>42</v>
      </c>
      <c r="FD580" s="1" t="s">
        <v>210</v>
      </c>
      <c r="FF580" s="1" t="s">
        <v>239</v>
      </c>
      <c r="FG580" s="1" t="s">
        <v>192</v>
      </c>
      <c r="FH580" s="1" t="s">
        <v>192</v>
      </c>
      <c r="FJ580" s="1" t="s">
        <v>7414</v>
      </c>
      <c r="FK580" s="1" t="s">
        <v>229</v>
      </c>
      <c r="FL580" s="1" t="s">
        <v>1358</v>
      </c>
      <c r="FM580" s="1">
        <v>23591.0</v>
      </c>
      <c r="FN580" s="1" t="s">
        <v>2134</v>
      </c>
      <c r="FO580" s="1" t="s">
        <v>4614</v>
      </c>
      <c r="FP580" s="1">
        <v>245649.0</v>
      </c>
      <c r="FQ580" s="1" t="s">
        <v>4615</v>
      </c>
      <c r="FS580" s="1" t="s">
        <v>4616</v>
      </c>
      <c r="FU580" s="1" t="s">
        <v>7415</v>
      </c>
      <c r="FV580" s="1" t="s">
        <v>200</v>
      </c>
      <c r="FW580" s="1" t="s">
        <v>7416</v>
      </c>
      <c r="FX580" s="1" t="s">
        <v>246</v>
      </c>
      <c r="FZ580" s="1" t="s">
        <v>229</v>
      </c>
      <c r="GA580" s="1" t="s">
        <v>291</v>
      </c>
      <c r="GB580" s="2">
        <v>42125.0</v>
      </c>
      <c r="GC580" s="1" t="s">
        <v>7417</v>
      </c>
    </row>
    <row r="581">
      <c r="A581" s="1">
        <v>320000.0</v>
      </c>
      <c r="B581" s="1" t="s">
        <v>185</v>
      </c>
      <c r="C581" s="1" t="str">
        <f>"08803174"</f>
        <v>08803174</v>
      </c>
      <c r="D581" s="1" t="s">
        <v>186</v>
      </c>
      <c r="F581" s="1" t="str">
        <f>"8074"</f>
        <v>8074</v>
      </c>
      <c r="G581" s="2">
        <v>41989.0</v>
      </c>
      <c r="H581" s="1">
        <v>345000.0</v>
      </c>
      <c r="I581" s="1">
        <v>1.0</v>
      </c>
      <c r="J581" s="1">
        <v>345000.0</v>
      </c>
      <c r="K581" s="2">
        <v>41989.0</v>
      </c>
      <c r="L581" s="1">
        <v>1.0</v>
      </c>
      <c r="M581" s="2">
        <v>41989.0</v>
      </c>
      <c r="N581" s="1" t="s">
        <v>356</v>
      </c>
      <c r="O581" s="2">
        <v>41989.0</v>
      </c>
      <c r="P581" s="1">
        <v>147108.0</v>
      </c>
      <c r="Q581" s="1">
        <v>18920.0</v>
      </c>
      <c r="S581" s="1">
        <v>10757.0</v>
      </c>
      <c r="T581" s="1" t="s">
        <v>5893</v>
      </c>
      <c r="U581" s="1" t="s">
        <v>189</v>
      </c>
      <c r="V581" s="1" t="s">
        <v>190</v>
      </c>
      <c r="W581" s="1">
        <v>60655.0</v>
      </c>
      <c r="Y581" s="1" t="s">
        <v>7418</v>
      </c>
      <c r="Z581" s="1">
        <v>1958.0</v>
      </c>
      <c r="AA581" s="1" t="s">
        <v>192</v>
      </c>
      <c r="AB581" s="1" t="s">
        <v>193</v>
      </c>
      <c r="AD581" s="1" t="s">
        <v>194</v>
      </c>
      <c r="AE581" s="1" t="s">
        <v>195</v>
      </c>
      <c r="AF581" s="1" t="s">
        <v>1154</v>
      </c>
      <c r="AH581" s="1" t="s">
        <v>7419</v>
      </c>
      <c r="AK581" s="1">
        <v>8.0</v>
      </c>
      <c r="AL581" s="1">
        <v>3.0</v>
      </c>
      <c r="AM581" s="1">
        <v>2.0</v>
      </c>
      <c r="AN581" s="1">
        <v>0.0</v>
      </c>
      <c r="AO581" s="1" t="s">
        <v>229</v>
      </c>
      <c r="AQ581" s="1" t="s">
        <v>198</v>
      </c>
      <c r="AR581" s="1" t="s">
        <v>192</v>
      </c>
      <c r="AS581" s="1" t="s">
        <v>199</v>
      </c>
      <c r="AT581" s="1">
        <v>2.0</v>
      </c>
      <c r="AV581" s="1" t="s">
        <v>200</v>
      </c>
      <c r="AW581" s="1">
        <v>3506.0</v>
      </c>
      <c r="AX581" s="1">
        <v>2013.0</v>
      </c>
      <c r="AZ581" s="1" t="s">
        <v>200</v>
      </c>
      <c r="BA581" s="1" t="str">
        <f>"24143190310000"</f>
        <v>24143190310000</v>
      </c>
      <c r="BC581" s="1">
        <v>1423.0</v>
      </c>
      <c r="BD581" s="1">
        <v>320000.0</v>
      </c>
      <c r="BE581" s="2">
        <v>41989.0</v>
      </c>
      <c r="BH581" s="1">
        <v>0.0</v>
      </c>
      <c r="BK581" s="1" t="s">
        <v>204</v>
      </c>
      <c r="BL581" s="1" t="str">
        <f t="shared" ref="BL581:BM581" si="393">"0"</f>
        <v>0</v>
      </c>
      <c r="BM581" s="1" t="str">
        <f t="shared" si="393"/>
        <v>0</v>
      </c>
      <c r="BN581" s="1">
        <v>3400.0</v>
      </c>
      <c r="BO581" s="1">
        <v>10757.0</v>
      </c>
      <c r="BQ581" s="1">
        <v>299.0</v>
      </c>
      <c r="BR581" s="1">
        <v>299.0</v>
      </c>
      <c r="BS581" s="1">
        <v>299.0</v>
      </c>
      <c r="BU581" s="1" t="s">
        <v>213</v>
      </c>
      <c r="BV581" s="1" t="s">
        <v>206</v>
      </c>
      <c r="BY581" s="1" t="s">
        <v>392</v>
      </c>
      <c r="BZ581" s="1" t="s">
        <v>206</v>
      </c>
      <c r="CC581" s="1" t="s">
        <v>542</v>
      </c>
      <c r="CD581" s="1" t="s">
        <v>206</v>
      </c>
      <c r="CG581" s="1" t="s">
        <v>363</v>
      </c>
      <c r="CH581" s="1" t="s">
        <v>206</v>
      </c>
      <c r="CK581" s="1" t="s">
        <v>265</v>
      </c>
      <c r="CL581" s="1" t="s">
        <v>206</v>
      </c>
      <c r="CO581" s="1" t="s">
        <v>264</v>
      </c>
      <c r="CP581" s="1" t="s">
        <v>42</v>
      </c>
      <c r="CS581" s="1" t="s">
        <v>208</v>
      </c>
      <c r="CT581" s="1" t="s">
        <v>206</v>
      </c>
      <c r="CW581" s="1" t="s">
        <v>544</v>
      </c>
      <c r="CX581" s="1" t="s">
        <v>42</v>
      </c>
      <c r="DA581" s="1" t="s">
        <v>200</v>
      </c>
      <c r="DC581" s="1" t="s">
        <v>271</v>
      </c>
      <c r="DE581" s="1" t="s">
        <v>273</v>
      </c>
      <c r="DF581" s="1" t="s">
        <v>619</v>
      </c>
      <c r="DH581" s="1" t="s">
        <v>220</v>
      </c>
      <c r="DJ581" s="1" t="s">
        <v>222</v>
      </c>
      <c r="DL581" s="1" t="s">
        <v>224</v>
      </c>
      <c r="DM581" s="1" t="s">
        <v>229</v>
      </c>
      <c r="DQ581" s="1" t="s">
        <v>228</v>
      </c>
      <c r="DR581" s="1" t="s">
        <v>229</v>
      </c>
      <c r="DV581" s="1" t="s">
        <v>232</v>
      </c>
      <c r="DW581" s="1" t="s">
        <v>279</v>
      </c>
      <c r="DX581" s="1" t="s">
        <v>234</v>
      </c>
      <c r="EC581" s="1" t="s">
        <v>685</v>
      </c>
      <c r="EM581" s="1" t="s">
        <v>238</v>
      </c>
      <c r="EQ581" s="1" t="s">
        <v>238</v>
      </c>
      <c r="EU581" s="1" t="s">
        <v>238</v>
      </c>
      <c r="EY581" s="1" t="s">
        <v>238</v>
      </c>
      <c r="FC581" s="1" t="s">
        <v>238</v>
      </c>
      <c r="FF581" s="1" t="s">
        <v>239</v>
      </c>
      <c r="FG581" s="1" t="s">
        <v>192</v>
      </c>
      <c r="FH581" s="1" t="s">
        <v>192</v>
      </c>
      <c r="FJ581" s="1" t="s">
        <v>770</v>
      </c>
      <c r="FK581" s="1" t="s">
        <v>229</v>
      </c>
      <c r="FL581" s="1" t="s">
        <v>7420</v>
      </c>
      <c r="FM581" s="1">
        <v>18920.0</v>
      </c>
      <c r="FN581" s="1" t="s">
        <v>7421</v>
      </c>
      <c r="FO581" s="1" t="s">
        <v>7422</v>
      </c>
      <c r="FP581" s="1">
        <v>147108.0</v>
      </c>
      <c r="FQ581" s="1" t="s">
        <v>7421</v>
      </c>
      <c r="FS581" s="1" t="s">
        <v>7423</v>
      </c>
      <c r="FU581" s="1" t="s">
        <v>7424</v>
      </c>
      <c r="FV581" s="1" t="s">
        <v>200</v>
      </c>
      <c r="FW581" s="1" t="s">
        <v>631</v>
      </c>
      <c r="FX581" s="1" t="s">
        <v>655</v>
      </c>
      <c r="FZ581" s="1" t="s">
        <v>229</v>
      </c>
      <c r="GA581" s="1" t="s">
        <v>291</v>
      </c>
      <c r="GB581" s="2">
        <v>41989.0</v>
      </c>
    </row>
    <row r="582">
      <c r="A582" s="1">
        <v>316500.0</v>
      </c>
      <c r="B582" s="1" t="s">
        <v>185</v>
      </c>
      <c r="C582" s="1" t="str">
        <f>"08797820"</f>
        <v>08797820</v>
      </c>
      <c r="D582" s="1" t="s">
        <v>186</v>
      </c>
      <c r="F582" s="1" t="str">
        <f>"123"</f>
        <v>123</v>
      </c>
      <c r="G582" s="2">
        <v>41978.0</v>
      </c>
      <c r="H582" s="1">
        <v>325000.0</v>
      </c>
      <c r="I582" s="1">
        <v>282.0</v>
      </c>
      <c r="J582" s="1">
        <v>325000.0</v>
      </c>
      <c r="K582" s="2">
        <v>42086.0</v>
      </c>
      <c r="L582" s="1">
        <v>109.0</v>
      </c>
      <c r="M582" s="2">
        <v>42086.0</v>
      </c>
      <c r="N582" s="1" t="s">
        <v>187</v>
      </c>
      <c r="O582" s="2">
        <v>42124.0</v>
      </c>
      <c r="P582" s="1">
        <v>920884.0</v>
      </c>
      <c r="Q582" s="1">
        <v>8079.0</v>
      </c>
      <c r="R582" s="1">
        <v>6000.0</v>
      </c>
      <c r="S582" s="1">
        <v>2964.0</v>
      </c>
      <c r="T582" s="1" t="s">
        <v>2797</v>
      </c>
      <c r="U582" s="1" t="s">
        <v>569</v>
      </c>
      <c r="V582" s="1" t="s">
        <v>465</v>
      </c>
      <c r="W582" s="1">
        <v>60124.0</v>
      </c>
      <c r="Y582" s="1" t="s">
        <v>7425</v>
      </c>
      <c r="Z582" s="1">
        <v>2005.0</v>
      </c>
      <c r="AA582" s="1" t="s">
        <v>200</v>
      </c>
      <c r="AB582" s="1" t="s">
        <v>193</v>
      </c>
      <c r="AC582" s="1" t="s">
        <v>7426</v>
      </c>
      <c r="AD582" s="1" t="s">
        <v>469</v>
      </c>
      <c r="AE582" s="1" t="s">
        <v>325</v>
      </c>
      <c r="AF582" s="1" t="s">
        <v>469</v>
      </c>
      <c r="AG582" s="1" t="s">
        <v>1312</v>
      </c>
      <c r="AH582" s="1">
        <v>13509.0</v>
      </c>
      <c r="AI582" s="1">
        <v>0.31</v>
      </c>
      <c r="AK582" s="1">
        <v>10.0</v>
      </c>
      <c r="AL582" s="1">
        <v>4.0</v>
      </c>
      <c r="AM582" s="1">
        <v>2.0</v>
      </c>
      <c r="AN582" s="1">
        <v>1.0</v>
      </c>
      <c r="AO582" s="1" t="s">
        <v>198</v>
      </c>
      <c r="AQ582" s="1" t="s">
        <v>198</v>
      </c>
      <c r="AR582" s="1" t="s">
        <v>200</v>
      </c>
      <c r="AS582" s="1" t="s">
        <v>199</v>
      </c>
      <c r="AT582" s="1">
        <v>3.0</v>
      </c>
      <c r="AV582" s="1" t="s">
        <v>200</v>
      </c>
      <c r="AW582" s="6">
        <v>8401.0</v>
      </c>
      <c r="AX582" s="1">
        <v>2013.0</v>
      </c>
      <c r="AY582" s="1" t="s">
        <v>387</v>
      </c>
      <c r="AZ582" s="1" t="s">
        <v>200</v>
      </c>
      <c r="BA582" s="1" t="str">
        <f>"0620371007"</f>
        <v>0620371007</v>
      </c>
      <c r="BB582" s="1" t="s">
        <v>200</v>
      </c>
      <c r="BC582" s="1">
        <v>3148.0</v>
      </c>
      <c r="BD582" s="1">
        <v>316500.0</v>
      </c>
      <c r="BE582" s="2">
        <v>41978.0</v>
      </c>
      <c r="BF582" s="2" t="s">
        <v>7427</v>
      </c>
      <c r="BG582" s="1" t="s">
        <v>577</v>
      </c>
      <c r="BH582" s="1">
        <v>72.0</v>
      </c>
      <c r="BI582" s="1" t="s">
        <v>578</v>
      </c>
      <c r="BJ582" s="1" t="s">
        <v>579</v>
      </c>
      <c r="BK582" s="1" t="s">
        <v>474</v>
      </c>
      <c r="BL582" s="1" t="str">
        <f>"9"</f>
        <v>9</v>
      </c>
      <c r="BM582" s="1" t="str">
        <f>"0"</f>
        <v>0</v>
      </c>
      <c r="BN582" s="1">
        <v>38.0</v>
      </c>
      <c r="BO582" s="1">
        <v>0.0</v>
      </c>
      <c r="BQ582" s="1">
        <v>301.0</v>
      </c>
      <c r="BR582" s="1">
        <v>301.0</v>
      </c>
      <c r="BS582" s="1">
        <v>301.0</v>
      </c>
      <c r="BU582" s="1" t="s">
        <v>433</v>
      </c>
      <c r="BV582" s="1" t="s">
        <v>206</v>
      </c>
      <c r="BW582" s="1" t="s">
        <v>210</v>
      </c>
      <c r="BY582" s="1" t="s">
        <v>3623</v>
      </c>
      <c r="BZ582" s="1" t="s">
        <v>209</v>
      </c>
      <c r="CA582" s="1" t="s">
        <v>210</v>
      </c>
      <c r="CC582" s="1" t="s">
        <v>212</v>
      </c>
      <c r="CD582" s="1" t="s">
        <v>206</v>
      </c>
      <c r="CE582" s="1" t="s">
        <v>210</v>
      </c>
      <c r="CG582" s="1" t="s">
        <v>262</v>
      </c>
      <c r="CH582" s="1" t="s">
        <v>209</v>
      </c>
      <c r="CI582" s="1" t="s">
        <v>210</v>
      </c>
      <c r="CK582" s="1" t="s">
        <v>262</v>
      </c>
      <c r="CL582" s="1" t="s">
        <v>209</v>
      </c>
      <c r="CM582" s="1" t="s">
        <v>210</v>
      </c>
      <c r="CO582" s="1" t="s">
        <v>262</v>
      </c>
      <c r="CP582" s="1" t="s">
        <v>209</v>
      </c>
      <c r="CQ582" s="1" t="s">
        <v>210</v>
      </c>
      <c r="CS582" s="1" t="s">
        <v>1623</v>
      </c>
      <c r="CT582" s="1" t="s">
        <v>206</v>
      </c>
      <c r="CU582" s="1" t="s">
        <v>207</v>
      </c>
      <c r="CW582" s="1" t="s">
        <v>477</v>
      </c>
      <c r="CX582" s="1" t="s">
        <v>206</v>
      </c>
      <c r="CY582" s="1" t="s">
        <v>210</v>
      </c>
      <c r="DA582" s="1" t="s">
        <v>200</v>
      </c>
      <c r="DC582" s="1" t="s">
        <v>481</v>
      </c>
      <c r="DD582" s="1" t="s">
        <v>1838</v>
      </c>
      <c r="DE582" s="1" t="s">
        <v>273</v>
      </c>
      <c r="DF582" s="1" t="s">
        <v>219</v>
      </c>
      <c r="DG582" s="1" t="s">
        <v>1266</v>
      </c>
      <c r="DH582" s="1" t="s">
        <v>220</v>
      </c>
      <c r="DI582" s="1" t="s">
        <v>1003</v>
      </c>
      <c r="DJ582" s="1" t="s">
        <v>222</v>
      </c>
      <c r="DK582" s="1" t="s">
        <v>223</v>
      </c>
      <c r="DL582" s="1" t="s">
        <v>223</v>
      </c>
      <c r="DM582" s="1" t="s">
        <v>3697</v>
      </c>
      <c r="DN582" s="1" t="s">
        <v>339</v>
      </c>
      <c r="DO582" s="1" t="s">
        <v>440</v>
      </c>
      <c r="DP582" s="1" t="s">
        <v>276</v>
      </c>
      <c r="DQ582" s="1" t="s">
        <v>441</v>
      </c>
      <c r="DR582" s="1" t="s">
        <v>4273</v>
      </c>
      <c r="DS582" s="1" t="s">
        <v>368</v>
      </c>
      <c r="DU582" s="1" t="s">
        <v>2785</v>
      </c>
      <c r="DV582" s="1" t="s">
        <v>1188</v>
      </c>
      <c r="DW582" s="1" t="s">
        <v>279</v>
      </c>
      <c r="DX582" s="1" t="s">
        <v>234</v>
      </c>
      <c r="DY582" s="1" t="s">
        <v>235</v>
      </c>
      <c r="DZ582" s="1" t="s">
        <v>966</v>
      </c>
      <c r="EA582" s="1" t="s">
        <v>447</v>
      </c>
      <c r="EC582" s="1" t="s">
        <v>237</v>
      </c>
      <c r="ED582" s="1" t="s">
        <v>407</v>
      </c>
      <c r="EG582" s="1" t="s">
        <v>494</v>
      </c>
      <c r="EH582" s="1" t="s">
        <v>341</v>
      </c>
      <c r="EL582" s="1" t="s">
        <v>433</v>
      </c>
      <c r="EM582" s="1" t="s">
        <v>206</v>
      </c>
      <c r="EN582" s="1" t="s">
        <v>210</v>
      </c>
      <c r="EP582" s="1" t="s">
        <v>729</v>
      </c>
      <c r="EQ582" s="1" t="s">
        <v>209</v>
      </c>
      <c r="ER582" s="1" t="s">
        <v>210</v>
      </c>
      <c r="EU582" s="1" t="s">
        <v>238</v>
      </c>
      <c r="EY582" s="1" t="s">
        <v>238</v>
      </c>
      <c r="FC582" s="1" t="s">
        <v>238</v>
      </c>
      <c r="FF582" s="1" t="s">
        <v>239</v>
      </c>
      <c r="FG582" s="1" t="s">
        <v>192</v>
      </c>
      <c r="FH582" s="1" t="s">
        <v>192</v>
      </c>
      <c r="FJ582" s="1" t="s">
        <v>7428</v>
      </c>
      <c r="FK582" s="1" t="s">
        <v>348</v>
      </c>
      <c r="FL582" s="1" t="s">
        <v>5530</v>
      </c>
      <c r="FM582" s="1">
        <v>8079.0</v>
      </c>
      <c r="FN582" s="1" t="s">
        <v>5531</v>
      </c>
      <c r="FO582" s="1" t="s">
        <v>5532</v>
      </c>
      <c r="FP582" s="1">
        <v>920884.0</v>
      </c>
      <c r="FQ582" s="1" t="s">
        <v>5533</v>
      </c>
      <c r="FU582" s="1" t="s">
        <v>7429</v>
      </c>
      <c r="FV582" s="1" t="s">
        <v>200</v>
      </c>
      <c r="FW582" s="1" t="s">
        <v>290</v>
      </c>
      <c r="FZ582" s="1" t="s">
        <v>2993</v>
      </c>
      <c r="GA582" s="1" t="s">
        <v>291</v>
      </c>
      <c r="GB582" s="2">
        <v>42125.0</v>
      </c>
    </row>
    <row r="583">
      <c r="A583" s="1">
        <v>216000.0</v>
      </c>
      <c r="B583" s="1" t="s">
        <v>185</v>
      </c>
      <c r="C583" s="1" t="str">
        <f>"08806090"</f>
        <v>08806090</v>
      </c>
      <c r="D583" s="1" t="s">
        <v>186</v>
      </c>
      <c r="F583" s="1" t="str">
        <f>"543"</f>
        <v>543</v>
      </c>
      <c r="G583" s="2">
        <v>41999.0</v>
      </c>
      <c r="H583" s="1">
        <v>249900.0</v>
      </c>
      <c r="I583" s="1">
        <v>55.0</v>
      </c>
      <c r="J583" s="1">
        <v>234900.0</v>
      </c>
      <c r="K583" s="2">
        <v>42053.0</v>
      </c>
      <c r="L583" s="1">
        <v>55.0</v>
      </c>
      <c r="M583" s="2">
        <v>42053.0</v>
      </c>
      <c r="N583" s="1" t="s">
        <v>187</v>
      </c>
      <c r="O583" s="2">
        <v>42096.0</v>
      </c>
      <c r="P583" s="1">
        <v>8171.0</v>
      </c>
      <c r="Q583" s="1">
        <v>31580.0</v>
      </c>
      <c r="R583" s="1">
        <v>2000.0</v>
      </c>
      <c r="S583" s="1">
        <v>309.0</v>
      </c>
      <c r="T583" s="1" t="s">
        <v>7430</v>
      </c>
      <c r="U583" s="1" t="s">
        <v>569</v>
      </c>
      <c r="V583" s="1" t="s">
        <v>1527</v>
      </c>
      <c r="W583" s="1">
        <v>60543.0</v>
      </c>
      <c r="Y583" s="1" t="s">
        <v>7431</v>
      </c>
      <c r="Z583" s="1">
        <v>2004.0</v>
      </c>
      <c r="AA583" s="1" t="s">
        <v>200</v>
      </c>
      <c r="AB583" s="1" t="s">
        <v>467</v>
      </c>
      <c r="AC583" s="1" t="s">
        <v>7432</v>
      </c>
      <c r="AD583" s="1" t="s">
        <v>1529</v>
      </c>
      <c r="AE583" s="1" t="s">
        <v>849</v>
      </c>
      <c r="AF583" s="1" t="s">
        <v>1529</v>
      </c>
      <c r="AH583" s="1" t="s">
        <v>7433</v>
      </c>
      <c r="AI583" s="1">
        <v>0.2825</v>
      </c>
      <c r="AK583" s="1">
        <v>11.0</v>
      </c>
      <c r="AL583" s="1">
        <v>4.0</v>
      </c>
      <c r="AM583" s="1">
        <v>2.0</v>
      </c>
      <c r="AN583" s="1">
        <v>1.0</v>
      </c>
      <c r="AO583" s="1" t="s">
        <v>198</v>
      </c>
      <c r="AQ583" s="1" t="s">
        <v>198</v>
      </c>
      <c r="AR583" s="1" t="s">
        <v>200</v>
      </c>
      <c r="AS583" s="1" t="s">
        <v>199</v>
      </c>
      <c r="AT583" s="1">
        <v>2.0</v>
      </c>
      <c r="AV583" s="1" t="s">
        <v>200</v>
      </c>
      <c r="AW583" s="1">
        <v>7712.14</v>
      </c>
      <c r="AX583" s="1">
        <v>2012.0</v>
      </c>
      <c r="AZ583" s="1" t="s">
        <v>200</v>
      </c>
      <c r="BA583" s="1" t="str">
        <f>"0329251015"</f>
        <v>0329251015</v>
      </c>
      <c r="BC583" s="1">
        <v>2524.0</v>
      </c>
      <c r="BD583" s="1">
        <v>216000.0</v>
      </c>
      <c r="BE583" s="2">
        <v>41999.0</v>
      </c>
      <c r="BF583" s="2" t="s">
        <v>7434</v>
      </c>
      <c r="BH583" s="1">
        <v>242.0</v>
      </c>
      <c r="BK583" s="1" t="s">
        <v>580</v>
      </c>
      <c r="BL583" s="1" t="str">
        <f t="shared" ref="BL583:BM583" si="394">""</f>
        <v/>
      </c>
      <c r="BM583" s="1" t="str">
        <f t="shared" si="394"/>
        <v/>
      </c>
      <c r="BQ583" s="1">
        <v>308.0</v>
      </c>
      <c r="BR583" s="1">
        <v>308.0</v>
      </c>
      <c r="BS583" s="1">
        <v>308.0</v>
      </c>
      <c r="BU583" s="1" t="s">
        <v>205</v>
      </c>
      <c r="BV583" s="1" t="s">
        <v>206</v>
      </c>
      <c r="BW583" s="1" t="s">
        <v>210</v>
      </c>
      <c r="BY583" s="1" t="s">
        <v>2120</v>
      </c>
      <c r="BZ583" s="1" t="s">
        <v>209</v>
      </c>
      <c r="CA583" s="1" t="s">
        <v>210</v>
      </c>
      <c r="CC583" s="1" t="s">
        <v>300</v>
      </c>
      <c r="CD583" s="1" t="s">
        <v>206</v>
      </c>
      <c r="CE583" s="1" t="s">
        <v>210</v>
      </c>
      <c r="CG583" s="1" t="s">
        <v>1397</v>
      </c>
      <c r="CH583" s="1" t="s">
        <v>209</v>
      </c>
      <c r="CI583" s="1" t="s">
        <v>210</v>
      </c>
      <c r="CK583" s="1" t="s">
        <v>363</v>
      </c>
      <c r="CL583" s="1" t="s">
        <v>209</v>
      </c>
      <c r="CM583" s="1" t="s">
        <v>210</v>
      </c>
      <c r="CO583" s="1" t="s">
        <v>1351</v>
      </c>
      <c r="CP583" s="1" t="s">
        <v>209</v>
      </c>
      <c r="CQ583" s="1" t="s">
        <v>210</v>
      </c>
      <c r="CS583" s="1" t="s">
        <v>2155</v>
      </c>
      <c r="CT583" s="1" t="s">
        <v>206</v>
      </c>
      <c r="CU583" s="1" t="s">
        <v>207</v>
      </c>
      <c r="CW583" s="1" t="s">
        <v>2155</v>
      </c>
      <c r="CX583" s="1" t="s">
        <v>206</v>
      </c>
      <c r="CY583" s="1" t="s">
        <v>210</v>
      </c>
      <c r="DA583" s="1" t="s">
        <v>200</v>
      </c>
      <c r="DC583" s="1" t="s">
        <v>335</v>
      </c>
      <c r="DD583" s="1" t="s">
        <v>518</v>
      </c>
      <c r="DE583" s="1" t="s">
        <v>273</v>
      </c>
      <c r="DF583" s="1" t="s">
        <v>219</v>
      </c>
      <c r="DH583" s="1" t="s">
        <v>1603</v>
      </c>
      <c r="DJ583" s="1" t="s">
        <v>222</v>
      </c>
      <c r="DL583" s="1" t="s">
        <v>224</v>
      </c>
      <c r="DM583" s="1" t="s">
        <v>229</v>
      </c>
      <c r="DP583" s="1" t="s">
        <v>340</v>
      </c>
      <c r="DQ583" s="1" t="s">
        <v>228</v>
      </c>
      <c r="DR583" s="1" t="s">
        <v>588</v>
      </c>
      <c r="DS583" s="1" t="s">
        <v>591</v>
      </c>
      <c r="DV583" s="1" t="s">
        <v>7435</v>
      </c>
      <c r="DW583" s="1" t="s">
        <v>444</v>
      </c>
      <c r="DX583" s="1" t="s">
        <v>234</v>
      </c>
      <c r="EC583" s="1" t="s">
        <v>237</v>
      </c>
      <c r="EG583" s="1" t="s">
        <v>556</v>
      </c>
      <c r="EH583" s="1" t="s">
        <v>450</v>
      </c>
      <c r="EI583" s="1" t="s">
        <v>451</v>
      </c>
      <c r="EL583" s="1" t="s">
        <v>478</v>
      </c>
      <c r="EM583" s="1" t="s">
        <v>206</v>
      </c>
      <c r="EN583" s="1" t="s">
        <v>207</v>
      </c>
      <c r="EP583" s="1" t="s">
        <v>3262</v>
      </c>
      <c r="EQ583" s="1" t="s">
        <v>42</v>
      </c>
      <c r="ER583" s="1" t="s">
        <v>268</v>
      </c>
      <c r="ET583" s="1" t="s">
        <v>1286</v>
      </c>
      <c r="EU583" s="1" t="s">
        <v>42</v>
      </c>
      <c r="EV583" s="1" t="s">
        <v>268</v>
      </c>
      <c r="EY583" s="1" t="s">
        <v>238</v>
      </c>
      <c r="FC583" s="1" t="s">
        <v>238</v>
      </c>
      <c r="FF583" s="1" t="s">
        <v>239</v>
      </c>
      <c r="FG583" s="1" t="s">
        <v>192</v>
      </c>
      <c r="FH583" s="1" t="s">
        <v>192</v>
      </c>
      <c r="FJ583" s="1" t="s">
        <v>770</v>
      </c>
      <c r="FK583" s="1" t="s">
        <v>229</v>
      </c>
      <c r="FL583" s="1" t="s">
        <v>7436</v>
      </c>
      <c r="FM583" s="1">
        <v>79988.0</v>
      </c>
      <c r="FN583" s="1" t="s">
        <v>7437</v>
      </c>
      <c r="FO583" s="1" t="s">
        <v>7438</v>
      </c>
      <c r="FP583" s="1">
        <v>703106.0</v>
      </c>
      <c r="FQ583" s="1" t="s">
        <v>7439</v>
      </c>
      <c r="FS583" s="1" t="s">
        <v>7440</v>
      </c>
      <c r="FU583" s="1" t="s">
        <v>1438</v>
      </c>
      <c r="FV583" s="1" t="s">
        <v>200</v>
      </c>
      <c r="FW583" s="1" t="s">
        <v>7441</v>
      </c>
      <c r="FZ583" s="1" t="s">
        <v>229</v>
      </c>
      <c r="GA583" s="1" t="s">
        <v>291</v>
      </c>
      <c r="GB583" s="2">
        <v>42096.0</v>
      </c>
      <c r="GC583" s="1" t="s">
        <v>7442</v>
      </c>
    </row>
    <row r="584">
      <c r="A584" s="1">
        <v>63000.0</v>
      </c>
      <c r="B584" s="1" t="s">
        <v>185</v>
      </c>
      <c r="C584" s="1" t="str">
        <f>"08803904"</f>
        <v>08803904</v>
      </c>
      <c r="D584" s="1" t="s">
        <v>186</v>
      </c>
      <c r="F584" s="1" t="str">
        <f>"8052"</f>
        <v>8052</v>
      </c>
      <c r="G584" s="2">
        <v>41991.0</v>
      </c>
      <c r="H584" s="1">
        <v>73900.0</v>
      </c>
      <c r="I584" s="1">
        <v>63.0</v>
      </c>
      <c r="J584" s="1">
        <v>73900.0</v>
      </c>
      <c r="K584" s="2">
        <v>42052.0</v>
      </c>
      <c r="L584" s="1">
        <v>63.0</v>
      </c>
      <c r="M584" s="2">
        <v>42052.0</v>
      </c>
      <c r="N584" s="1" t="s">
        <v>249</v>
      </c>
      <c r="O584" s="2">
        <v>42058.0</v>
      </c>
      <c r="P584" s="1">
        <v>229381.0</v>
      </c>
      <c r="Q584" s="1">
        <v>24575.0</v>
      </c>
      <c r="S584" s="1">
        <v>11047.0</v>
      </c>
      <c r="T584" s="1" t="s">
        <v>7443</v>
      </c>
      <c r="V584" s="1" t="s">
        <v>190</v>
      </c>
      <c r="W584" s="1">
        <v>60617.0</v>
      </c>
      <c r="Y584" s="1" t="s">
        <v>7444</v>
      </c>
      <c r="Z584" s="1">
        <v>1942.0</v>
      </c>
      <c r="AA584" s="1" t="s">
        <v>192</v>
      </c>
      <c r="AB584" s="1" t="s">
        <v>193</v>
      </c>
      <c r="AD584" s="1" t="s">
        <v>194</v>
      </c>
      <c r="AE584" s="1" t="s">
        <v>195</v>
      </c>
      <c r="AF584" s="1" t="s">
        <v>637</v>
      </c>
      <c r="AH584" s="1" t="s">
        <v>359</v>
      </c>
      <c r="AK584" s="1">
        <v>6.0</v>
      </c>
      <c r="AL584" s="1">
        <v>4.0</v>
      </c>
      <c r="AM584" s="1">
        <v>1.0</v>
      </c>
      <c r="AN584" s="1">
        <v>1.0</v>
      </c>
      <c r="AO584" s="1" t="s">
        <v>229</v>
      </c>
      <c r="AQ584" s="1" t="s">
        <v>198</v>
      </c>
      <c r="AR584" s="1" t="s">
        <v>200</v>
      </c>
      <c r="AS584" s="1" t="s">
        <v>199</v>
      </c>
      <c r="AT584" s="1">
        <v>2.0</v>
      </c>
      <c r="AV584" s="1" t="s">
        <v>200</v>
      </c>
      <c r="AW584" s="1">
        <v>1708.0</v>
      </c>
      <c r="AX584" s="1">
        <v>2013.0</v>
      </c>
      <c r="AY584" s="1" t="s">
        <v>229</v>
      </c>
      <c r="AZ584" s="1" t="s">
        <v>200</v>
      </c>
      <c r="BA584" s="1" t="str">
        <f>"26174010150000"</f>
        <v>26174010150000</v>
      </c>
      <c r="BB584" s="1" t="s">
        <v>200</v>
      </c>
      <c r="BC584" s="1">
        <v>950.0</v>
      </c>
      <c r="BD584" s="1">
        <v>63000.0</v>
      </c>
      <c r="BE584" s="2">
        <v>41990.0</v>
      </c>
      <c r="BF584" s="1" t="s">
        <v>7445</v>
      </c>
      <c r="BH584" s="1">
        <v>0.0</v>
      </c>
      <c r="BK584" s="1" t="s">
        <v>204</v>
      </c>
      <c r="BL584" s="1" t="str">
        <f t="shared" ref="BL584:BL585" si="395">"0"</f>
        <v>0</v>
      </c>
      <c r="BM584" s="1" t="str">
        <f>"3800"</f>
        <v>3800</v>
      </c>
      <c r="BN584" s="1">
        <v>0.0</v>
      </c>
      <c r="BO584" s="1">
        <v>11000.0</v>
      </c>
      <c r="BQ584" s="1">
        <v>299.0</v>
      </c>
      <c r="BR584" s="1">
        <v>299.0</v>
      </c>
      <c r="BS584" s="1">
        <v>299.0</v>
      </c>
      <c r="BU584" s="1" t="s">
        <v>433</v>
      </c>
      <c r="BV584" s="1" t="s">
        <v>206</v>
      </c>
      <c r="BY584" s="1" t="s">
        <v>264</v>
      </c>
      <c r="BZ584" s="1" t="s">
        <v>209</v>
      </c>
      <c r="CD584" s="1" t="s">
        <v>204</v>
      </c>
      <c r="CG584" s="1" t="s">
        <v>495</v>
      </c>
      <c r="CH584" s="1" t="s">
        <v>209</v>
      </c>
      <c r="CK584" s="1" t="s">
        <v>700</v>
      </c>
      <c r="CL584" s="1" t="s">
        <v>391</v>
      </c>
      <c r="CO584" s="1" t="s">
        <v>331</v>
      </c>
      <c r="CP584" s="1" t="s">
        <v>7446</v>
      </c>
      <c r="CS584" s="1" t="s">
        <v>497</v>
      </c>
      <c r="CT584" s="1" t="s">
        <v>206</v>
      </c>
      <c r="CX584" s="1" t="s">
        <v>204</v>
      </c>
      <c r="DA584" s="1" t="s">
        <v>200</v>
      </c>
      <c r="DC584" s="1" t="s">
        <v>1399</v>
      </c>
      <c r="DE584" s="1" t="s">
        <v>273</v>
      </c>
      <c r="DF584" s="1" t="s">
        <v>219</v>
      </c>
      <c r="DH584" s="1" t="s">
        <v>220</v>
      </c>
      <c r="DJ584" s="1" t="s">
        <v>222</v>
      </c>
      <c r="DL584" s="1" t="s">
        <v>223</v>
      </c>
      <c r="DM584" s="1" t="s">
        <v>229</v>
      </c>
      <c r="DQ584" s="1" t="s">
        <v>718</v>
      </c>
      <c r="DR584" s="1" t="s">
        <v>229</v>
      </c>
      <c r="DS584" s="1" t="s">
        <v>230</v>
      </c>
      <c r="DV584" s="1" t="s">
        <v>232</v>
      </c>
      <c r="DW584" s="1" t="s">
        <v>279</v>
      </c>
      <c r="DX584" s="1" t="s">
        <v>1287</v>
      </c>
      <c r="EC584" s="1" t="s">
        <v>645</v>
      </c>
      <c r="EE584" s="1" t="s">
        <v>1960</v>
      </c>
      <c r="EM584" s="1" t="s">
        <v>238</v>
      </c>
      <c r="EQ584" s="1" t="s">
        <v>238</v>
      </c>
      <c r="EU584" s="1" t="s">
        <v>238</v>
      </c>
      <c r="EY584" s="1" t="s">
        <v>238</v>
      </c>
      <c r="FC584" s="1" t="s">
        <v>238</v>
      </c>
      <c r="FF584" s="1" t="s">
        <v>239</v>
      </c>
      <c r="FG584" s="1" t="s">
        <v>192</v>
      </c>
      <c r="FH584" s="1" t="s">
        <v>192</v>
      </c>
      <c r="FJ584" s="1" t="s">
        <v>770</v>
      </c>
      <c r="FK584" s="1" t="s">
        <v>229</v>
      </c>
      <c r="FL584" s="1" t="s">
        <v>7447</v>
      </c>
      <c r="FM584" s="1">
        <v>14066.0</v>
      </c>
      <c r="FN584" s="1" t="s">
        <v>7448</v>
      </c>
      <c r="FO584" s="1" t="s">
        <v>7449</v>
      </c>
      <c r="FP584" s="1">
        <v>129751.0</v>
      </c>
      <c r="FQ584" s="1" t="s">
        <v>7448</v>
      </c>
      <c r="FS584" s="1" t="s">
        <v>7450</v>
      </c>
      <c r="FU584" s="1" t="s">
        <v>7451</v>
      </c>
      <c r="FV584" s="1" t="s">
        <v>200</v>
      </c>
      <c r="FW584" s="1" t="s">
        <v>1511</v>
      </c>
      <c r="FX584" s="1" t="s">
        <v>655</v>
      </c>
      <c r="FZ584" s="1" t="s">
        <v>229</v>
      </c>
      <c r="GA584" s="1" t="s">
        <v>291</v>
      </c>
      <c r="GB584" s="2">
        <v>42058.0</v>
      </c>
    </row>
    <row r="585">
      <c r="A585" s="1">
        <v>57900.0</v>
      </c>
      <c r="B585" s="1" t="s">
        <v>185</v>
      </c>
      <c r="C585" s="1" t="str">
        <f>"08803968"</f>
        <v>08803968</v>
      </c>
      <c r="D585" s="1" t="s">
        <v>186</v>
      </c>
      <c r="F585" s="1" t="str">
        <f>"8045"</f>
        <v>8045</v>
      </c>
      <c r="G585" s="2">
        <v>41991.0</v>
      </c>
      <c r="H585" s="1">
        <v>59900.0</v>
      </c>
      <c r="I585" s="1">
        <v>23.0</v>
      </c>
      <c r="J585" s="1">
        <v>59900.0</v>
      </c>
      <c r="K585" s="2">
        <v>42012.0</v>
      </c>
      <c r="L585" s="1">
        <v>23.0</v>
      </c>
      <c r="M585" s="2">
        <v>42012.0</v>
      </c>
      <c r="N585" s="1" t="s">
        <v>588</v>
      </c>
      <c r="O585" s="2">
        <v>42046.0</v>
      </c>
      <c r="P585" s="1">
        <v>875541.0</v>
      </c>
      <c r="Q585" s="1">
        <v>12293.0</v>
      </c>
      <c r="S585" s="1">
        <v>1744.0</v>
      </c>
      <c r="T585" s="1" t="s">
        <v>3351</v>
      </c>
      <c r="U585" s="1" t="s">
        <v>320</v>
      </c>
      <c r="V585" s="1" t="s">
        <v>190</v>
      </c>
      <c r="W585" s="1">
        <v>60617.0</v>
      </c>
      <c r="Y585" s="1" t="s">
        <v>7452</v>
      </c>
      <c r="Z585" s="1">
        <v>1920.0</v>
      </c>
      <c r="AA585" s="1" t="s">
        <v>192</v>
      </c>
      <c r="AB585" s="1" t="s">
        <v>193</v>
      </c>
      <c r="AD585" s="1" t="s">
        <v>194</v>
      </c>
      <c r="AE585" s="1" t="s">
        <v>195</v>
      </c>
      <c r="AF585" s="1" t="s">
        <v>659</v>
      </c>
      <c r="AH585" s="1">
        <v>3120.0</v>
      </c>
      <c r="AI585" s="1">
        <v>0.0861</v>
      </c>
      <c r="AK585" s="1">
        <v>8.0</v>
      </c>
      <c r="AL585" s="1">
        <v>4.0</v>
      </c>
      <c r="AM585" s="1">
        <v>1.0</v>
      </c>
      <c r="AN585" s="1">
        <v>0.0</v>
      </c>
      <c r="AO585" s="1" t="s">
        <v>229</v>
      </c>
      <c r="AP585" s="1">
        <v>1.0</v>
      </c>
      <c r="AQ585" s="1" t="s">
        <v>198</v>
      </c>
      <c r="AR585" s="1" t="s">
        <v>200</v>
      </c>
      <c r="AS585" s="1" t="s">
        <v>229</v>
      </c>
      <c r="AV585" s="1" t="s">
        <v>192</v>
      </c>
      <c r="AW585" s="1">
        <v>2295.46</v>
      </c>
      <c r="AX585" s="1">
        <v>2012.0</v>
      </c>
      <c r="AZ585" s="1" t="s">
        <v>200</v>
      </c>
      <c r="BA585" s="1" t="str">
        <f>"20363110320000"</f>
        <v>20363110320000</v>
      </c>
      <c r="BC585" s="1">
        <v>0.0</v>
      </c>
      <c r="BD585" s="1">
        <v>57900.0</v>
      </c>
      <c r="BE585" s="2">
        <v>41990.0</v>
      </c>
      <c r="BF585" s="2" t="s">
        <v>7453</v>
      </c>
      <c r="BH585" s="1">
        <v>0.0</v>
      </c>
      <c r="BK585" s="1" t="s">
        <v>204</v>
      </c>
      <c r="BL585" s="1" t="str">
        <f t="shared" si="395"/>
        <v>0</v>
      </c>
      <c r="BM585" s="1" t="str">
        <f>"1700"</f>
        <v>1700</v>
      </c>
      <c r="BN585" s="1">
        <v>0.0</v>
      </c>
      <c r="BO585" s="1">
        <v>8500.0</v>
      </c>
      <c r="BQ585" s="1">
        <v>299.0</v>
      </c>
      <c r="BR585" s="1">
        <v>299.0</v>
      </c>
      <c r="BS585" s="1">
        <v>299.0</v>
      </c>
      <c r="BU585" s="1" t="s">
        <v>544</v>
      </c>
      <c r="BV585" s="1" t="s">
        <v>206</v>
      </c>
      <c r="BW585" s="1" t="s">
        <v>207</v>
      </c>
      <c r="BY585" s="1" t="s">
        <v>496</v>
      </c>
      <c r="BZ585" s="1" t="s">
        <v>209</v>
      </c>
      <c r="CC585" s="1" t="s">
        <v>1395</v>
      </c>
      <c r="CD585" s="1" t="s">
        <v>206</v>
      </c>
      <c r="CE585" s="1" t="s">
        <v>207</v>
      </c>
      <c r="CG585" s="1" t="s">
        <v>363</v>
      </c>
      <c r="CH585" s="1" t="s">
        <v>206</v>
      </c>
      <c r="CK585" s="1" t="s">
        <v>269</v>
      </c>
      <c r="CL585" s="1" t="s">
        <v>206</v>
      </c>
      <c r="CO585" s="1" t="s">
        <v>269</v>
      </c>
      <c r="CP585" s="1" t="s">
        <v>206</v>
      </c>
      <c r="CS585" s="1" t="s">
        <v>452</v>
      </c>
      <c r="CT585" s="1" t="s">
        <v>206</v>
      </c>
      <c r="CW585" s="1" t="s">
        <v>1426</v>
      </c>
      <c r="CX585" s="1" t="s">
        <v>206</v>
      </c>
      <c r="DA585" s="1" t="s">
        <v>200</v>
      </c>
      <c r="DC585" s="1" t="s">
        <v>216</v>
      </c>
      <c r="DE585" s="1" t="s">
        <v>229</v>
      </c>
      <c r="DF585" s="1" t="s">
        <v>619</v>
      </c>
      <c r="DH585" s="1" t="s">
        <v>365</v>
      </c>
      <c r="DJ585" s="1" t="s">
        <v>222</v>
      </c>
      <c r="DL585" s="1" t="s">
        <v>791</v>
      </c>
      <c r="DM585" s="1" t="s">
        <v>229</v>
      </c>
      <c r="DQ585" s="1" t="s">
        <v>228</v>
      </c>
      <c r="DR585" s="1" t="s">
        <v>229</v>
      </c>
      <c r="DV585" s="1" t="s">
        <v>232</v>
      </c>
      <c r="DW585" s="1" t="s">
        <v>279</v>
      </c>
      <c r="DX585" s="1" t="s">
        <v>234</v>
      </c>
      <c r="EC585" s="1" t="s">
        <v>645</v>
      </c>
      <c r="EM585" s="1" t="s">
        <v>238</v>
      </c>
      <c r="EQ585" s="1" t="s">
        <v>238</v>
      </c>
      <c r="EU585" s="1" t="s">
        <v>238</v>
      </c>
      <c r="EY585" s="1" t="s">
        <v>238</v>
      </c>
      <c r="FC585" s="1" t="s">
        <v>238</v>
      </c>
      <c r="FF585" s="1" t="s">
        <v>239</v>
      </c>
      <c r="FG585" s="1" t="s">
        <v>200</v>
      </c>
      <c r="FH585" s="1" t="s">
        <v>192</v>
      </c>
      <c r="FJ585" s="1" t="s">
        <v>7454</v>
      </c>
      <c r="FK585" s="1" t="s">
        <v>229</v>
      </c>
      <c r="FL585" s="1" t="s">
        <v>7455</v>
      </c>
      <c r="FM585" s="1">
        <v>84460.0</v>
      </c>
      <c r="FN585" s="1" t="s">
        <v>7456</v>
      </c>
      <c r="FO585" s="1" t="s">
        <v>7457</v>
      </c>
      <c r="FP585" s="1">
        <v>144103.0</v>
      </c>
      <c r="FU585" s="1" t="s">
        <v>7458</v>
      </c>
      <c r="FV585" s="1" t="s">
        <v>200</v>
      </c>
      <c r="FW585" s="1" t="s">
        <v>1897</v>
      </c>
      <c r="FX585" s="1" t="s">
        <v>1739</v>
      </c>
      <c r="FZ585" s="1" t="s">
        <v>229</v>
      </c>
      <c r="GA585" s="1" t="s">
        <v>291</v>
      </c>
      <c r="GB585" s="2">
        <v>42058.0</v>
      </c>
      <c r="GC585" s="1" t="s">
        <v>7459</v>
      </c>
    </row>
    <row r="586">
      <c r="A586" s="1">
        <v>170904.0</v>
      </c>
      <c r="B586" s="1" t="s">
        <v>185</v>
      </c>
      <c r="C586" s="1" t="str">
        <f>"08800402"</f>
        <v>08800402</v>
      </c>
      <c r="D586" s="1" t="s">
        <v>186</v>
      </c>
      <c r="F586" s="1" t="str">
        <f>"538"</f>
        <v>538</v>
      </c>
      <c r="G586" s="2">
        <v>41984.0</v>
      </c>
      <c r="H586" s="1">
        <v>195700.0</v>
      </c>
      <c r="I586" s="1">
        <v>42.0</v>
      </c>
      <c r="J586" s="1">
        <v>195700.0</v>
      </c>
      <c r="K586" s="2">
        <v>42024.0</v>
      </c>
      <c r="L586" s="1">
        <v>42.0</v>
      </c>
      <c r="M586" s="2">
        <v>42024.0</v>
      </c>
      <c r="N586" s="1" t="s">
        <v>249</v>
      </c>
      <c r="O586" s="2">
        <v>42053.0</v>
      </c>
      <c r="P586" s="1">
        <v>226116.0</v>
      </c>
      <c r="Q586" s="1">
        <v>25888.0</v>
      </c>
      <c r="S586" s="1">
        <v>2641.0</v>
      </c>
      <c r="T586" s="1" t="s">
        <v>7460</v>
      </c>
      <c r="U586" s="1" t="s">
        <v>1015</v>
      </c>
      <c r="V586" s="1" t="s">
        <v>1340</v>
      </c>
      <c r="W586" s="1">
        <v>60538.0</v>
      </c>
      <c r="Y586" s="1" t="s">
        <v>7461</v>
      </c>
      <c r="Z586" s="1">
        <v>2006.0</v>
      </c>
      <c r="AA586" s="1" t="s">
        <v>200</v>
      </c>
      <c r="AB586" s="1" t="s">
        <v>467</v>
      </c>
      <c r="AD586" s="1" t="s">
        <v>1343</v>
      </c>
      <c r="AE586" s="1" t="s">
        <v>849</v>
      </c>
      <c r="AF586" s="1" t="s">
        <v>1312</v>
      </c>
      <c r="AH586" s="1" t="s">
        <v>7462</v>
      </c>
      <c r="AK586" s="1">
        <v>8.0</v>
      </c>
      <c r="AL586" s="1">
        <v>4.0</v>
      </c>
      <c r="AM586" s="1">
        <v>2.0</v>
      </c>
      <c r="AN586" s="1">
        <v>1.0</v>
      </c>
      <c r="AO586" s="1" t="s">
        <v>198</v>
      </c>
      <c r="AP586" s="1">
        <v>1.0</v>
      </c>
      <c r="AQ586" s="1" t="s">
        <v>198</v>
      </c>
      <c r="AR586" s="1" t="s">
        <v>200</v>
      </c>
      <c r="AS586" s="1" t="s">
        <v>199</v>
      </c>
      <c r="AT586" s="1">
        <v>2.0</v>
      </c>
      <c r="AV586" s="1" t="s">
        <v>200</v>
      </c>
      <c r="AW586" s="1">
        <v>6565.0</v>
      </c>
      <c r="AX586" s="1">
        <v>2012.0</v>
      </c>
      <c r="AZ586" s="1" t="s">
        <v>545</v>
      </c>
      <c r="BA586" s="1" t="str">
        <f>"0210130004"</f>
        <v>0210130004</v>
      </c>
      <c r="BB586" s="1" t="s">
        <v>200</v>
      </c>
      <c r="BC586" s="1">
        <v>2422.0</v>
      </c>
      <c r="BD586" s="1">
        <v>170904.0</v>
      </c>
      <c r="BE586" s="2">
        <v>41983.0</v>
      </c>
      <c r="BF586" s="2" t="s">
        <v>7463</v>
      </c>
      <c r="BH586" s="1">
        <v>150.0</v>
      </c>
      <c r="BK586" s="1" t="s">
        <v>580</v>
      </c>
      <c r="BL586" s="1" t="str">
        <f t="shared" ref="BL586:BM586" si="396">""</f>
        <v/>
      </c>
      <c r="BM586" s="1" t="str">
        <f t="shared" si="396"/>
        <v/>
      </c>
      <c r="BQ586" s="1">
        <v>115.0</v>
      </c>
      <c r="BR586" s="1">
        <v>115.0</v>
      </c>
      <c r="BS586" s="1">
        <v>115.0</v>
      </c>
      <c r="BU586" s="1" t="s">
        <v>2082</v>
      </c>
      <c r="BV586" s="1" t="s">
        <v>206</v>
      </c>
      <c r="BY586" s="1" t="s">
        <v>1395</v>
      </c>
      <c r="BZ586" s="1" t="s">
        <v>209</v>
      </c>
      <c r="CA586" s="1" t="s">
        <v>210</v>
      </c>
      <c r="CC586" s="1" t="s">
        <v>663</v>
      </c>
      <c r="CD586" s="1" t="s">
        <v>206</v>
      </c>
      <c r="CG586" s="1" t="s">
        <v>269</v>
      </c>
      <c r="CH586" s="1" t="s">
        <v>209</v>
      </c>
      <c r="CK586" s="1" t="s">
        <v>663</v>
      </c>
      <c r="CL586" s="1" t="s">
        <v>209</v>
      </c>
      <c r="CO586" s="1" t="s">
        <v>303</v>
      </c>
      <c r="CP586" s="1" t="s">
        <v>209</v>
      </c>
      <c r="CS586" s="1" t="s">
        <v>454</v>
      </c>
      <c r="CT586" s="1" t="s">
        <v>206</v>
      </c>
      <c r="CW586" s="1" t="s">
        <v>1068</v>
      </c>
      <c r="CX586" s="1" t="s">
        <v>206</v>
      </c>
      <c r="DA586" s="1" t="s">
        <v>200</v>
      </c>
      <c r="DC586" s="1" t="s">
        <v>481</v>
      </c>
      <c r="DE586" s="1" t="s">
        <v>273</v>
      </c>
      <c r="DF586" s="1" t="s">
        <v>219</v>
      </c>
      <c r="DH586" s="1" t="s">
        <v>220</v>
      </c>
      <c r="DJ586" s="1" t="s">
        <v>222</v>
      </c>
      <c r="DL586" s="1" t="s">
        <v>223</v>
      </c>
      <c r="DM586" s="1" t="s">
        <v>229</v>
      </c>
      <c r="DQ586" s="1" t="s">
        <v>228</v>
      </c>
      <c r="DR586" s="1" t="s">
        <v>588</v>
      </c>
      <c r="DV586" s="1" t="s">
        <v>232</v>
      </c>
      <c r="DW586" s="1" t="s">
        <v>667</v>
      </c>
      <c r="DX586" s="1" t="s">
        <v>234</v>
      </c>
      <c r="EC586" s="1" t="s">
        <v>237</v>
      </c>
      <c r="EM586" s="1" t="s">
        <v>238</v>
      </c>
      <c r="EQ586" s="1" t="s">
        <v>238</v>
      </c>
      <c r="EU586" s="1" t="s">
        <v>238</v>
      </c>
      <c r="EY586" s="1" t="s">
        <v>238</v>
      </c>
      <c r="FC586" s="1" t="s">
        <v>238</v>
      </c>
      <c r="FF586" s="1" t="s">
        <v>239</v>
      </c>
      <c r="FG586" s="1" t="s">
        <v>192</v>
      </c>
      <c r="FH586" s="1" t="s">
        <v>192</v>
      </c>
      <c r="FJ586" s="1" t="s">
        <v>1248</v>
      </c>
      <c r="FK586" s="1" t="s">
        <v>229</v>
      </c>
      <c r="FL586" s="1" t="s">
        <v>3990</v>
      </c>
      <c r="FM586" s="1">
        <v>8698.0</v>
      </c>
      <c r="FN586" s="1" t="s">
        <v>3991</v>
      </c>
      <c r="FO586" s="1" t="s">
        <v>3992</v>
      </c>
      <c r="FP586" s="1">
        <v>85273.0</v>
      </c>
      <c r="FQ586" s="1" t="s">
        <v>3991</v>
      </c>
      <c r="FU586" s="1" t="s">
        <v>3993</v>
      </c>
      <c r="FV586" s="1" t="s">
        <v>200</v>
      </c>
      <c r="FW586" s="1" t="s">
        <v>1524</v>
      </c>
      <c r="FZ586" s="1" t="s">
        <v>229</v>
      </c>
      <c r="GA586" s="1" t="s">
        <v>291</v>
      </c>
      <c r="GB586" s="2">
        <v>42053.0</v>
      </c>
      <c r="GC586" s="1" t="s">
        <v>7464</v>
      </c>
    </row>
    <row r="587">
      <c r="A587" s="1">
        <v>389900.0</v>
      </c>
      <c r="B587" s="1" t="s">
        <v>185</v>
      </c>
      <c r="C587" s="1" t="str">
        <f>"08801878"</f>
        <v>08801878</v>
      </c>
      <c r="D587" s="1" t="s">
        <v>186</v>
      </c>
      <c r="F587" s="1" t="str">
        <f>"174"</f>
        <v>174</v>
      </c>
      <c r="G587" s="2">
        <v>41987.0</v>
      </c>
      <c r="H587" s="1">
        <v>439900.0</v>
      </c>
      <c r="I587" s="1">
        <v>30.0</v>
      </c>
      <c r="J587" s="1">
        <v>399900.0</v>
      </c>
      <c r="K587" s="2">
        <v>42016.0</v>
      </c>
      <c r="L587" s="1">
        <v>30.0</v>
      </c>
      <c r="M587" s="2">
        <v>42016.0</v>
      </c>
      <c r="N587" s="1" t="s">
        <v>187</v>
      </c>
      <c r="O587" s="2">
        <v>42109.0</v>
      </c>
      <c r="P587" s="1">
        <v>242017.0</v>
      </c>
      <c r="Q587" s="1">
        <v>24285.0</v>
      </c>
      <c r="S587" s="1">
        <v>2703.0</v>
      </c>
      <c r="T587" s="1" t="s">
        <v>1199</v>
      </c>
      <c r="U587" s="1" t="s">
        <v>464</v>
      </c>
      <c r="V587" s="1" t="s">
        <v>1200</v>
      </c>
      <c r="W587" s="1">
        <v>60174.0</v>
      </c>
      <c r="Y587" s="1" t="s">
        <v>7465</v>
      </c>
      <c r="Z587" s="1">
        <v>1996.0</v>
      </c>
      <c r="AA587" s="1" t="s">
        <v>200</v>
      </c>
      <c r="AB587" s="1" t="s">
        <v>193</v>
      </c>
      <c r="AC587" s="1" t="s">
        <v>1202</v>
      </c>
      <c r="AD587" s="1" t="s">
        <v>1203</v>
      </c>
      <c r="AE587" s="1" t="s">
        <v>325</v>
      </c>
      <c r="AF587" s="1" t="s">
        <v>1203</v>
      </c>
      <c r="AG587" s="1" t="s">
        <v>752</v>
      </c>
      <c r="AH587" s="1" t="s">
        <v>7466</v>
      </c>
      <c r="AI587" s="1">
        <v>0.32</v>
      </c>
      <c r="AK587" s="1">
        <v>10.0</v>
      </c>
      <c r="AL587" s="1">
        <v>4.0</v>
      </c>
      <c r="AM587" s="1">
        <v>4.0</v>
      </c>
      <c r="AN587" s="1">
        <v>0.0</v>
      </c>
      <c r="AO587" s="1" t="s">
        <v>198</v>
      </c>
      <c r="AP587" s="1">
        <v>1.0</v>
      </c>
      <c r="AQ587" s="1" t="s">
        <v>198</v>
      </c>
      <c r="AR587" s="1" t="s">
        <v>192</v>
      </c>
      <c r="AS587" s="1" t="s">
        <v>199</v>
      </c>
      <c r="AT587" s="1">
        <v>3.0</v>
      </c>
      <c r="AV587" s="1" t="s">
        <v>200</v>
      </c>
      <c r="AW587" s="1">
        <v>12581.5</v>
      </c>
      <c r="AX587" s="1">
        <v>2013.0</v>
      </c>
      <c r="AY587" s="1" t="s">
        <v>1179</v>
      </c>
      <c r="AZ587" s="1" t="s">
        <v>200</v>
      </c>
      <c r="BA587" s="1" t="str">
        <f>"0924154007"</f>
        <v>0924154007</v>
      </c>
      <c r="BB587" s="1" t="s">
        <v>200</v>
      </c>
      <c r="BC587" s="1">
        <v>3484.0</v>
      </c>
      <c r="BD587" s="1">
        <v>389900.0</v>
      </c>
      <c r="BE587" s="2">
        <v>41987.0</v>
      </c>
      <c r="BF587" s="2" t="s">
        <v>7467</v>
      </c>
      <c r="BG587" s="1" t="s">
        <v>3610</v>
      </c>
      <c r="BH587" s="1">
        <v>230.0</v>
      </c>
      <c r="BI587" s="1" t="s">
        <v>2143</v>
      </c>
      <c r="BJ587" s="1" t="s">
        <v>2144</v>
      </c>
      <c r="BK587" s="1" t="s">
        <v>580</v>
      </c>
      <c r="BL587" s="1" t="str">
        <f t="shared" ref="BL587:BM587" si="397">""</f>
        <v/>
      </c>
      <c r="BM587" s="1" t="str">
        <f t="shared" si="397"/>
        <v/>
      </c>
      <c r="BQ587" s="1">
        <v>303.0</v>
      </c>
      <c r="BR587" s="1">
        <v>303.0</v>
      </c>
      <c r="BS587" s="1">
        <v>303.0</v>
      </c>
      <c r="BU587" s="1" t="s">
        <v>1535</v>
      </c>
      <c r="BV587" s="1" t="s">
        <v>206</v>
      </c>
      <c r="BW587" s="1" t="s">
        <v>210</v>
      </c>
      <c r="BY587" s="1" t="s">
        <v>2492</v>
      </c>
      <c r="BZ587" s="1" t="s">
        <v>209</v>
      </c>
      <c r="CA587" s="1" t="s">
        <v>210</v>
      </c>
      <c r="CC587" s="1" t="s">
        <v>758</v>
      </c>
      <c r="CD587" s="1" t="s">
        <v>206</v>
      </c>
      <c r="CE587" s="1" t="s">
        <v>207</v>
      </c>
      <c r="CF587" s="1" t="s">
        <v>1549</v>
      </c>
      <c r="CG587" s="1" t="s">
        <v>758</v>
      </c>
      <c r="CH587" s="1" t="s">
        <v>209</v>
      </c>
      <c r="CI587" s="1" t="s">
        <v>210</v>
      </c>
      <c r="CK587" s="1" t="s">
        <v>393</v>
      </c>
      <c r="CL587" s="1" t="s">
        <v>209</v>
      </c>
      <c r="CM587" s="1" t="s">
        <v>210</v>
      </c>
      <c r="CO587" s="1" t="s">
        <v>393</v>
      </c>
      <c r="CP587" s="1" t="s">
        <v>209</v>
      </c>
      <c r="CQ587" s="1" t="s">
        <v>210</v>
      </c>
      <c r="CS587" s="1" t="s">
        <v>4387</v>
      </c>
      <c r="CT587" s="1" t="s">
        <v>206</v>
      </c>
      <c r="CU587" s="1" t="s">
        <v>207</v>
      </c>
      <c r="CW587" s="1" t="s">
        <v>7468</v>
      </c>
      <c r="CX587" s="1" t="s">
        <v>206</v>
      </c>
      <c r="CY587" s="1" t="s">
        <v>210</v>
      </c>
      <c r="DA587" s="1" t="s">
        <v>200</v>
      </c>
      <c r="DC587" s="1" t="s">
        <v>678</v>
      </c>
      <c r="DD587" s="1" t="s">
        <v>436</v>
      </c>
      <c r="DE587" s="1" t="s">
        <v>273</v>
      </c>
      <c r="DF587" s="1" t="s">
        <v>219</v>
      </c>
      <c r="DG587" s="1" t="s">
        <v>7469</v>
      </c>
      <c r="DH587" s="1" t="s">
        <v>220</v>
      </c>
      <c r="DI587" s="1" t="s">
        <v>308</v>
      </c>
      <c r="DJ587" s="1" t="s">
        <v>222</v>
      </c>
      <c r="DL587" s="1" t="s">
        <v>224</v>
      </c>
      <c r="DM587" s="1" t="s">
        <v>229</v>
      </c>
      <c r="DN587" s="1" t="s">
        <v>1659</v>
      </c>
      <c r="DP587" s="1" t="s">
        <v>340</v>
      </c>
      <c r="DQ587" s="1" t="s">
        <v>441</v>
      </c>
      <c r="DR587" s="1" t="s">
        <v>588</v>
      </c>
      <c r="DS587" s="1" t="s">
        <v>591</v>
      </c>
      <c r="DV587" s="1" t="s">
        <v>2692</v>
      </c>
      <c r="DW587" s="1" t="s">
        <v>279</v>
      </c>
      <c r="DX587" s="1" t="s">
        <v>234</v>
      </c>
      <c r="DY587" s="1" t="s">
        <v>7470</v>
      </c>
      <c r="DZ587" s="1" t="s">
        <v>282</v>
      </c>
      <c r="EC587" s="1" t="s">
        <v>237</v>
      </c>
      <c r="EG587" s="1" t="s">
        <v>598</v>
      </c>
      <c r="EH587" s="1" t="s">
        <v>450</v>
      </c>
      <c r="EL587" s="1" t="s">
        <v>830</v>
      </c>
      <c r="EM587" s="1" t="s">
        <v>206</v>
      </c>
      <c r="EN587" s="1" t="s">
        <v>210</v>
      </c>
      <c r="EP587" s="1" t="s">
        <v>7471</v>
      </c>
      <c r="EQ587" s="1" t="s">
        <v>267</v>
      </c>
      <c r="ER587" s="1" t="s">
        <v>210</v>
      </c>
      <c r="EU587" s="1" t="s">
        <v>238</v>
      </c>
      <c r="EY587" s="1" t="s">
        <v>238</v>
      </c>
      <c r="FC587" s="1" t="s">
        <v>238</v>
      </c>
      <c r="FF587" s="1" t="s">
        <v>239</v>
      </c>
      <c r="FG587" s="1" t="s">
        <v>192</v>
      </c>
      <c r="FH587" s="1" t="s">
        <v>192</v>
      </c>
      <c r="FJ587" s="1" t="s">
        <v>7472</v>
      </c>
      <c r="FK587" s="1" t="s">
        <v>229</v>
      </c>
      <c r="FL587" s="1" t="s">
        <v>7473</v>
      </c>
      <c r="FM587" s="1">
        <v>303.0</v>
      </c>
      <c r="FN587" s="1" t="s">
        <v>7474</v>
      </c>
      <c r="FO587" s="1" t="s">
        <v>7475</v>
      </c>
      <c r="FP587" s="1">
        <v>8523.0</v>
      </c>
      <c r="FQ587" s="1" t="s">
        <v>7476</v>
      </c>
      <c r="FU587" s="1" t="s">
        <v>7477</v>
      </c>
      <c r="FV587" s="1" t="s">
        <v>200</v>
      </c>
      <c r="FW587" s="1" t="s">
        <v>290</v>
      </c>
      <c r="FZ587" s="1" t="s">
        <v>229</v>
      </c>
      <c r="GA587" s="1" t="s">
        <v>291</v>
      </c>
      <c r="GB587" s="2">
        <v>42115.0</v>
      </c>
      <c r="GC587" s="1" t="s">
        <v>7478</v>
      </c>
    </row>
    <row r="588">
      <c r="A588" s="1">
        <v>255000.0</v>
      </c>
      <c r="B588" s="1" t="s">
        <v>185</v>
      </c>
      <c r="C588" s="1" t="str">
        <f>"08803432"</f>
        <v>08803432</v>
      </c>
      <c r="D588" s="1" t="s">
        <v>186</v>
      </c>
      <c r="F588" s="1" t="str">
        <f>"118"</f>
        <v>118</v>
      </c>
      <c r="G588" s="2">
        <v>41990.0</v>
      </c>
      <c r="H588" s="1">
        <v>259900.0</v>
      </c>
      <c r="I588" s="1">
        <v>237.0</v>
      </c>
      <c r="J588" s="1">
        <v>259900.0</v>
      </c>
      <c r="K588" s="2">
        <v>42023.0</v>
      </c>
      <c r="L588" s="1">
        <v>34.0</v>
      </c>
      <c r="M588" s="2">
        <v>42023.0</v>
      </c>
      <c r="N588" s="1" t="s">
        <v>588</v>
      </c>
      <c r="O588" s="2">
        <v>42065.0</v>
      </c>
      <c r="P588" s="1">
        <v>53762.0</v>
      </c>
      <c r="Q588" s="1">
        <v>5136.0</v>
      </c>
      <c r="S588" s="1" t="s">
        <v>7479</v>
      </c>
      <c r="T588" s="1" t="s">
        <v>7480</v>
      </c>
      <c r="U588" s="1" t="s">
        <v>569</v>
      </c>
      <c r="V588" s="1" t="s">
        <v>7481</v>
      </c>
      <c r="W588" s="1">
        <v>60118.0</v>
      </c>
      <c r="X588" s="1">
        <v>2502.0</v>
      </c>
      <c r="Y588" s="1" t="s">
        <v>7482</v>
      </c>
      <c r="Z588" s="1">
        <v>1965.0</v>
      </c>
      <c r="AA588" s="1" t="s">
        <v>192</v>
      </c>
      <c r="AB588" s="1" t="s">
        <v>193</v>
      </c>
      <c r="AC588" s="1" t="s">
        <v>7480</v>
      </c>
      <c r="AD588" s="1" t="s">
        <v>1089</v>
      </c>
      <c r="AE588" s="1" t="s">
        <v>325</v>
      </c>
      <c r="AF588" s="1" t="s">
        <v>810</v>
      </c>
      <c r="AH588" s="1" t="s">
        <v>7483</v>
      </c>
      <c r="AI588" s="1">
        <v>0.75</v>
      </c>
      <c r="AK588" s="1">
        <v>7.0</v>
      </c>
      <c r="AL588" s="1">
        <v>4.0</v>
      </c>
      <c r="AM588" s="1">
        <v>2.0</v>
      </c>
      <c r="AN588" s="1">
        <v>1.0</v>
      </c>
      <c r="AO588" s="1" t="s">
        <v>198</v>
      </c>
      <c r="AP588" s="1">
        <v>2.0</v>
      </c>
      <c r="AQ588" s="1" t="s">
        <v>6771</v>
      </c>
      <c r="AR588" s="1" t="s">
        <v>200</v>
      </c>
      <c r="AS588" s="1" t="s">
        <v>199</v>
      </c>
      <c r="AT588" s="1">
        <v>2.0</v>
      </c>
      <c r="AV588" s="1" t="s">
        <v>200</v>
      </c>
      <c r="AW588" s="1">
        <v>7744.24</v>
      </c>
      <c r="AX588" s="1">
        <v>2013.0</v>
      </c>
      <c r="AY588" s="1" t="s">
        <v>387</v>
      </c>
      <c r="AZ588" s="1" t="s">
        <v>200</v>
      </c>
      <c r="BA588" s="1" t="str">
        <f>"0329451010"</f>
        <v>0329451010</v>
      </c>
      <c r="BB588" s="1" t="s">
        <v>200</v>
      </c>
      <c r="BC588" s="1">
        <v>0.0</v>
      </c>
      <c r="BD588" s="1">
        <v>255000.0</v>
      </c>
      <c r="BE588" s="2">
        <v>41990.0</v>
      </c>
      <c r="BF588" s="2" t="s">
        <v>7484</v>
      </c>
      <c r="BG588" s="1" t="s">
        <v>1092</v>
      </c>
      <c r="BH588" s="1">
        <v>35.0</v>
      </c>
      <c r="BI588" s="1" t="s">
        <v>1093</v>
      </c>
      <c r="BJ588" s="1" t="s">
        <v>1094</v>
      </c>
      <c r="BK588" s="1" t="s">
        <v>580</v>
      </c>
      <c r="BL588" s="1" t="str">
        <f>"15"</f>
        <v>15</v>
      </c>
      <c r="BM588" s="1" t="str">
        <f t="shared" ref="BM588:BM589" si="398">"0"</f>
        <v>0</v>
      </c>
      <c r="BN588" s="1">
        <v>36.0</v>
      </c>
      <c r="BO588" s="1">
        <v>0.0</v>
      </c>
      <c r="BQ588" s="1">
        <v>300.0</v>
      </c>
      <c r="BR588" s="1">
        <v>300.0</v>
      </c>
      <c r="BS588" s="1">
        <v>300.0</v>
      </c>
      <c r="BU588" s="1" t="s">
        <v>453</v>
      </c>
      <c r="BV588" s="1" t="s">
        <v>206</v>
      </c>
      <c r="BW588" s="1" t="s">
        <v>207</v>
      </c>
      <c r="BX588" s="1" t="s">
        <v>1549</v>
      </c>
      <c r="BY588" s="1" t="s">
        <v>211</v>
      </c>
      <c r="BZ588" s="1" t="s">
        <v>209</v>
      </c>
      <c r="CA588" s="1" t="s">
        <v>210</v>
      </c>
      <c r="CB588" s="1" t="s">
        <v>1549</v>
      </c>
      <c r="CD588" s="1" t="s">
        <v>204</v>
      </c>
      <c r="CG588" s="1" t="s">
        <v>392</v>
      </c>
      <c r="CH588" s="1" t="s">
        <v>209</v>
      </c>
      <c r="CI588" s="1" t="s">
        <v>210</v>
      </c>
      <c r="CJ588" s="1" t="s">
        <v>1549</v>
      </c>
      <c r="CK588" s="1" t="s">
        <v>699</v>
      </c>
      <c r="CL588" s="1" t="s">
        <v>209</v>
      </c>
      <c r="CM588" s="1" t="s">
        <v>210</v>
      </c>
      <c r="CN588" s="1" t="s">
        <v>1549</v>
      </c>
      <c r="CO588" s="1" t="s">
        <v>4975</v>
      </c>
      <c r="CP588" s="1" t="s">
        <v>206</v>
      </c>
      <c r="CQ588" s="1" t="s">
        <v>210</v>
      </c>
      <c r="CR588" s="1" t="s">
        <v>1549</v>
      </c>
      <c r="CS588" s="1" t="s">
        <v>955</v>
      </c>
      <c r="CT588" s="1" t="s">
        <v>206</v>
      </c>
      <c r="CU588" s="1" t="s">
        <v>207</v>
      </c>
      <c r="CV588" s="1" t="s">
        <v>1549</v>
      </c>
      <c r="CW588" s="1" t="s">
        <v>783</v>
      </c>
      <c r="CX588" s="1" t="s">
        <v>1697</v>
      </c>
      <c r="CY588" s="1" t="s">
        <v>207</v>
      </c>
      <c r="CZ588" s="1" t="s">
        <v>1549</v>
      </c>
      <c r="DA588" s="1" t="s">
        <v>200</v>
      </c>
      <c r="DC588" s="1" t="s">
        <v>517</v>
      </c>
      <c r="DD588" s="1" t="s">
        <v>957</v>
      </c>
      <c r="DE588" s="1" t="s">
        <v>273</v>
      </c>
      <c r="DF588" s="1" t="s">
        <v>7485</v>
      </c>
      <c r="DG588" s="1" t="s">
        <v>1553</v>
      </c>
      <c r="DH588" s="1" t="s">
        <v>856</v>
      </c>
      <c r="DI588" s="1" t="s">
        <v>221</v>
      </c>
      <c r="DJ588" s="1" t="s">
        <v>857</v>
      </c>
      <c r="DK588" s="1" t="s">
        <v>223</v>
      </c>
      <c r="DL588" s="1" t="s">
        <v>224</v>
      </c>
      <c r="DM588" s="1" t="s">
        <v>338</v>
      </c>
      <c r="DO588" s="1" t="s">
        <v>7486</v>
      </c>
      <c r="DQ588" s="1" t="s">
        <v>1557</v>
      </c>
      <c r="DR588" s="1" t="s">
        <v>229</v>
      </c>
      <c r="DS588" s="1" t="s">
        <v>230</v>
      </c>
      <c r="DU588" s="1" t="s">
        <v>2550</v>
      </c>
      <c r="DV588" s="1" t="s">
        <v>1102</v>
      </c>
      <c r="DW588" s="1" t="s">
        <v>934</v>
      </c>
      <c r="DX588" s="1" t="s">
        <v>234</v>
      </c>
      <c r="DY588" s="1" t="s">
        <v>704</v>
      </c>
      <c r="DZ588" s="1" t="s">
        <v>446</v>
      </c>
      <c r="EA588" s="1" t="s">
        <v>283</v>
      </c>
      <c r="EB588" s="1" t="s">
        <v>937</v>
      </c>
      <c r="EC588" s="1" t="s">
        <v>284</v>
      </c>
      <c r="ED588" s="1" t="s">
        <v>407</v>
      </c>
      <c r="EG588" s="1" t="s">
        <v>1102</v>
      </c>
      <c r="EL588" s="1" t="s">
        <v>955</v>
      </c>
      <c r="EM588" s="1" t="s">
        <v>206</v>
      </c>
      <c r="EN588" s="1" t="s">
        <v>207</v>
      </c>
      <c r="EO588" s="1" t="s">
        <v>1549</v>
      </c>
      <c r="EQ588" s="1" t="s">
        <v>238</v>
      </c>
      <c r="EU588" s="1" t="s">
        <v>238</v>
      </c>
      <c r="EY588" s="1" t="s">
        <v>238</v>
      </c>
      <c r="FC588" s="1" t="s">
        <v>238</v>
      </c>
      <c r="FF588" s="1" t="s">
        <v>239</v>
      </c>
      <c r="FG588" s="1" t="s">
        <v>192</v>
      </c>
      <c r="FH588" s="1" t="s">
        <v>192</v>
      </c>
      <c r="FJ588" s="1" t="s">
        <v>498</v>
      </c>
      <c r="FK588" s="1" t="s">
        <v>229</v>
      </c>
      <c r="FL588" s="1" t="s">
        <v>3848</v>
      </c>
      <c r="FM588" s="1">
        <v>432.0</v>
      </c>
      <c r="FN588" s="1" t="s">
        <v>3849</v>
      </c>
      <c r="FO588" s="1" t="s">
        <v>3850</v>
      </c>
      <c r="FP588" s="1">
        <v>77389.0</v>
      </c>
      <c r="FQ588" s="1" t="s">
        <v>3851</v>
      </c>
      <c r="FU588" s="1" t="s">
        <v>6968</v>
      </c>
      <c r="FV588" s="1" t="s">
        <v>200</v>
      </c>
      <c r="FW588" s="1" t="s">
        <v>290</v>
      </c>
      <c r="FZ588" s="1" t="s">
        <v>229</v>
      </c>
      <c r="GA588" s="1" t="s">
        <v>291</v>
      </c>
      <c r="GB588" s="2">
        <v>42065.0</v>
      </c>
    </row>
    <row r="589">
      <c r="A589" s="1">
        <v>260000.0</v>
      </c>
      <c r="B589" s="1" t="s">
        <v>185</v>
      </c>
      <c r="C589" s="1" t="str">
        <f>"08805957"</f>
        <v>08805957</v>
      </c>
      <c r="D589" s="1" t="s">
        <v>186</v>
      </c>
      <c r="F589" s="1" t="str">
        <f>"134"</f>
        <v>134</v>
      </c>
      <c r="G589" s="2">
        <v>41997.0</v>
      </c>
      <c r="H589" s="1">
        <v>299900.0</v>
      </c>
      <c r="I589" s="1">
        <v>51.0</v>
      </c>
      <c r="J589" s="1">
        <v>279900.0</v>
      </c>
      <c r="K589" s="2">
        <v>42047.0</v>
      </c>
      <c r="L589" s="1">
        <v>51.0</v>
      </c>
      <c r="M589" s="2">
        <v>42047.0</v>
      </c>
      <c r="N589" s="1" t="s">
        <v>187</v>
      </c>
      <c r="O589" s="2">
        <v>42109.0</v>
      </c>
      <c r="P589" s="1">
        <v>1535.0</v>
      </c>
      <c r="Q589" s="1">
        <v>49.0</v>
      </c>
      <c r="S589" s="1">
        <v>3210.0</v>
      </c>
      <c r="T589" s="1" t="s">
        <v>7487</v>
      </c>
      <c r="U589" s="1" t="s">
        <v>569</v>
      </c>
      <c r="V589" s="1" t="s">
        <v>421</v>
      </c>
      <c r="W589" s="1">
        <v>60134.0</v>
      </c>
      <c r="Y589" s="1" t="s">
        <v>7488</v>
      </c>
      <c r="Z589" s="1">
        <v>2000.0</v>
      </c>
      <c r="AA589" s="1" t="s">
        <v>200</v>
      </c>
      <c r="AB589" s="1" t="s">
        <v>193</v>
      </c>
      <c r="AC589" s="1" t="s">
        <v>7489</v>
      </c>
      <c r="AD589" s="1" t="s">
        <v>424</v>
      </c>
      <c r="AE589" s="1" t="s">
        <v>325</v>
      </c>
      <c r="AF589" s="1" t="s">
        <v>424</v>
      </c>
      <c r="AG589" s="1" t="s">
        <v>7490</v>
      </c>
      <c r="AH589" s="1" t="s">
        <v>7491</v>
      </c>
      <c r="AI589" s="1">
        <v>0.1515</v>
      </c>
      <c r="AK589" s="1">
        <v>9.0</v>
      </c>
      <c r="AL589" s="1">
        <v>4.0</v>
      </c>
      <c r="AM589" s="1">
        <v>2.0</v>
      </c>
      <c r="AN589" s="1">
        <v>1.0</v>
      </c>
      <c r="AO589" s="1" t="s">
        <v>198</v>
      </c>
      <c r="AP589" s="1">
        <v>1.0</v>
      </c>
      <c r="AQ589" s="1" t="s">
        <v>198</v>
      </c>
      <c r="AR589" s="1" t="s">
        <v>200</v>
      </c>
      <c r="AS589" s="1" t="s">
        <v>199</v>
      </c>
      <c r="AT589" s="1">
        <v>2.0</v>
      </c>
      <c r="AV589" s="1" t="s">
        <v>200</v>
      </c>
      <c r="AW589" s="1">
        <v>9284.24</v>
      </c>
      <c r="AX589" s="1">
        <v>2013.0</v>
      </c>
      <c r="AZ589" s="1" t="s">
        <v>200</v>
      </c>
      <c r="BA589" s="1" t="str">
        <f>"1205378007"</f>
        <v>1205378007</v>
      </c>
      <c r="BB589" s="1" t="s">
        <v>200</v>
      </c>
      <c r="BC589" s="1">
        <v>2420.0</v>
      </c>
      <c r="BD589" s="1">
        <v>260000.0</v>
      </c>
      <c r="BE589" s="2">
        <v>41997.0</v>
      </c>
      <c r="BF589" s="2" t="s">
        <v>7492</v>
      </c>
      <c r="BG589" s="1" t="s">
        <v>7493</v>
      </c>
      <c r="BH589" s="1">
        <v>0.0</v>
      </c>
      <c r="BI589" s="1" t="s">
        <v>429</v>
      </c>
      <c r="BJ589" s="1" t="s">
        <v>430</v>
      </c>
      <c r="BK589" s="1" t="s">
        <v>204</v>
      </c>
      <c r="BL589" s="1" t="str">
        <f>"1"</f>
        <v>1</v>
      </c>
      <c r="BM589" s="1" t="str">
        <f t="shared" si="398"/>
        <v>0</v>
      </c>
      <c r="BN589" s="1">
        <v>37.0</v>
      </c>
      <c r="BO589" s="1">
        <v>0.0</v>
      </c>
      <c r="BQ589" s="1">
        <v>304.0</v>
      </c>
      <c r="BR589" s="1">
        <v>304.0</v>
      </c>
      <c r="BS589" s="1">
        <v>304.0</v>
      </c>
      <c r="BU589" s="1" t="s">
        <v>584</v>
      </c>
      <c r="BV589" s="1" t="s">
        <v>206</v>
      </c>
      <c r="BW589" s="1" t="s">
        <v>210</v>
      </c>
      <c r="BX589" s="1" t="s">
        <v>229</v>
      </c>
      <c r="BY589" s="1" t="s">
        <v>1043</v>
      </c>
      <c r="BZ589" s="1" t="s">
        <v>209</v>
      </c>
      <c r="CA589" s="1" t="s">
        <v>210</v>
      </c>
      <c r="CC589" s="1" t="s">
        <v>2459</v>
      </c>
      <c r="CD589" s="1" t="s">
        <v>206</v>
      </c>
      <c r="CE589" s="1" t="s">
        <v>210</v>
      </c>
      <c r="CG589" s="1" t="s">
        <v>1417</v>
      </c>
      <c r="CH589" s="1" t="s">
        <v>209</v>
      </c>
      <c r="CI589" s="1" t="s">
        <v>210</v>
      </c>
      <c r="CK589" s="1" t="s">
        <v>302</v>
      </c>
      <c r="CL589" s="1" t="s">
        <v>209</v>
      </c>
      <c r="CM589" s="1" t="s">
        <v>210</v>
      </c>
      <c r="CO589" s="1" t="s">
        <v>269</v>
      </c>
      <c r="CP589" s="1" t="s">
        <v>209</v>
      </c>
      <c r="CQ589" s="1" t="s">
        <v>210</v>
      </c>
      <c r="CS589" s="1" t="s">
        <v>2879</v>
      </c>
      <c r="CT589" s="1" t="s">
        <v>206</v>
      </c>
      <c r="CU589" s="1" t="s">
        <v>207</v>
      </c>
      <c r="CW589" s="1" t="s">
        <v>2273</v>
      </c>
      <c r="CX589" s="1" t="s">
        <v>206</v>
      </c>
      <c r="CY589" s="1" t="s">
        <v>210</v>
      </c>
      <c r="DA589" s="1" t="s">
        <v>200</v>
      </c>
      <c r="DC589" s="1" t="s">
        <v>335</v>
      </c>
      <c r="DD589" s="1" t="s">
        <v>396</v>
      </c>
      <c r="DE589" s="1" t="s">
        <v>273</v>
      </c>
      <c r="DF589" s="1" t="s">
        <v>905</v>
      </c>
      <c r="DG589" s="1" t="s">
        <v>1020</v>
      </c>
      <c r="DH589" s="1" t="s">
        <v>1603</v>
      </c>
      <c r="DJ589" s="1" t="s">
        <v>222</v>
      </c>
      <c r="DK589" s="1" t="s">
        <v>223</v>
      </c>
      <c r="DL589" s="1" t="s">
        <v>223</v>
      </c>
      <c r="DM589" s="1" t="s">
        <v>1464</v>
      </c>
      <c r="DN589" s="1" t="s">
        <v>367</v>
      </c>
      <c r="DO589" s="1" t="s">
        <v>549</v>
      </c>
      <c r="DP589" s="1" t="s">
        <v>340</v>
      </c>
      <c r="DQ589" s="1" t="s">
        <v>228</v>
      </c>
      <c r="DR589" s="1" t="s">
        <v>229</v>
      </c>
      <c r="DU589" s="1" t="s">
        <v>7494</v>
      </c>
      <c r="DV589" s="1" t="s">
        <v>494</v>
      </c>
      <c r="DW589" s="1" t="s">
        <v>444</v>
      </c>
      <c r="DX589" s="1" t="s">
        <v>234</v>
      </c>
      <c r="DY589" s="1" t="s">
        <v>490</v>
      </c>
      <c r="DZ589" s="1" t="s">
        <v>236</v>
      </c>
      <c r="EC589" s="1" t="s">
        <v>237</v>
      </c>
      <c r="EG589" s="1" t="s">
        <v>494</v>
      </c>
      <c r="EL589" s="1" t="s">
        <v>1351</v>
      </c>
      <c r="EM589" s="1" t="s">
        <v>206</v>
      </c>
      <c r="EN589" s="1" t="s">
        <v>210</v>
      </c>
      <c r="EQ589" s="1" t="s">
        <v>238</v>
      </c>
      <c r="EU589" s="1" t="s">
        <v>238</v>
      </c>
      <c r="EY589" s="1" t="s">
        <v>238</v>
      </c>
      <c r="FC589" s="1" t="s">
        <v>238</v>
      </c>
      <c r="FF589" s="1" t="s">
        <v>239</v>
      </c>
      <c r="FG589" s="1" t="s">
        <v>192</v>
      </c>
      <c r="FH589" s="1" t="s">
        <v>192</v>
      </c>
      <c r="FJ589" s="1" t="s">
        <v>347</v>
      </c>
      <c r="FK589" s="1" t="s">
        <v>229</v>
      </c>
      <c r="FL589" s="1" t="s">
        <v>7495</v>
      </c>
      <c r="FM589" s="1">
        <v>24145.0</v>
      </c>
      <c r="FN589" s="1" t="s">
        <v>7496</v>
      </c>
      <c r="FO589" s="1" t="s">
        <v>7497</v>
      </c>
      <c r="FP589" s="1">
        <v>233839.0</v>
      </c>
      <c r="FQ589" s="1" t="s">
        <v>7496</v>
      </c>
      <c r="FU589" s="1" t="s">
        <v>7498</v>
      </c>
      <c r="FV589" s="1" t="s">
        <v>200</v>
      </c>
      <c r="FW589" s="1" t="s">
        <v>290</v>
      </c>
      <c r="FZ589" s="1" t="s">
        <v>229</v>
      </c>
      <c r="GA589" s="1" t="s">
        <v>247</v>
      </c>
      <c r="GB589" s="2">
        <v>42118.0</v>
      </c>
      <c r="GC589" s="1" t="s">
        <v>7499</v>
      </c>
    </row>
    <row r="590">
      <c r="A590" s="1">
        <v>142000.0</v>
      </c>
      <c r="B590" s="1" t="s">
        <v>185</v>
      </c>
      <c r="C590" s="1" t="str">
        <f>"08807142"</f>
        <v>08807142</v>
      </c>
      <c r="D590" s="1" t="s">
        <v>186</v>
      </c>
      <c r="F590" s="1" t="str">
        <f>"123"</f>
        <v>123</v>
      </c>
      <c r="G590" s="2">
        <v>42003.0</v>
      </c>
      <c r="H590" s="1">
        <v>149900.0</v>
      </c>
      <c r="I590" s="1">
        <v>30.0</v>
      </c>
      <c r="J590" s="1">
        <v>149900.0</v>
      </c>
      <c r="K590" s="2">
        <v>42032.0</v>
      </c>
      <c r="L590" s="1">
        <v>30.0</v>
      </c>
      <c r="M590" s="2">
        <v>42032.0</v>
      </c>
      <c r="N590" s="1" t="s">
        <v>356</v>
      </c>
      <c r="O590" s="2">
        <v>42075.0</v>
      </c>
      <c r="P590" s="1">
        <v>874280.0</v>
      </c>
      <c r="Q590" s="1">
        <v>18705.0</v>
      </c>
      <c r="S590" s="1">
        <v>787.0</v>
      </c>
      <c r="T590" s="1" t="s">
        <v>66</v>
      </c>
      <c r="U590" s="1" t="s">
        <v>320</v>
      </c>
      <c r="V590" s="1" t="s">
        <v>465</v>
      </c>
      <c r="W590" s="1">
        <v>60123.0</v>
      </c>
      <c r="Y590" s="1" t="s">
        <v>7500</v>
      </c>
      <c r="Z590" s="1">
        <v>1903.0</v>
      </c>
      <c r="AA590" s="1" t="s">
        <v>192</v>
      </c>
      <c r="AB590" s="1" t="s">
        <v>193</v>
      </c>
      <c r="AD590" s="1" t="s">
        <v>469</v>
      </c>
      <c r="AE590" s="1" t="s">
        <v>325</v>
      </c>
      <c r="AF590" s="1" t="s">
        <v>469</v>
      </c>
      <c r="AH590" s="1" t="s">
        <v>7501</v>
      </c>
      <c r="AK590" s="1">
        <v>9.0</v>
      </c>
      <c r="AL590" s="1">
        <v>4.0</v>
      </c>
      <c r="AM590" s="1">
        <v>1.0</v>
      </c>
      <c r="AN590" s="1">
        <v>1.0</v>
      </c>
      <c r="AO590" s="1" t="s">
        <v>7502</v>
      </c>
      <c r="AP590" s="1">
        <v>1.0</v>
      </c>
      <c r="AQ590" s="1" t="s">
        <v>198</v>
      </c>
      <c r="AR590" s="1" t="s">
        <v>200</v>
      </c>
      <c r="AS590" s="1" t="s">
        <v>828</v>
      </c>
      <c r="AU590" s="1">
        <v>3.0</v>
      </c>
      <c r="AV590" s="1" t="s">
        <v>200</v>
      </c>
      <c r="AW590" s="1">
        <v>3529.0</v>
      </c>
      <c r="AX590" s="1">
        <v>2013.0</v>
      </c>
      <c r="AY590" s="1" t="s">
        <v>1179</v>
      </c>
      <c r="AZ590" s="1" t="s">
        <v>200</v>
      </c>
      <c r="BA590" s="1" t="str">
        <f>"0614380001"</f>
        <v>0614380001</v>
      </c>
      <c r="BB590" s="1" t="s">
        <v>200</v>
      </c>
      <c r="BC590" s="1">
        <v>1884.0</v>
      </c>
      <c r="BD590" s="1">
        <v>142000.0</v>
      </c>
      <c r="BE590" s="2">
        <v>42003.0</v>
      </c>
      <c r="BF590" s="1" t="s">
        <v>7503</v>
      </c>
      <c r="BH590" s="1">
        <v>0.0</v>
      </c>
      <c r="BK590" s="1" t="s">
        <v>204</v>
      </c>
      <c r="BL590" s="1" t="str">
        <f t="shared" ref="BL590:BM590" si="399">""</f>
        <v/>
      </c>
      <c r="BM590" s="1" t="str">
        <f t="shared" si="399"/>
        <v/>
      </c>
      <c r="BQ590" s="1">
        <v>46.0</v>
      </c>
      <c r="BR590" s="1">
        <v>46.0</v>
      </c>
      <c r="BS590" s="1">
        <v>46.0</v>
      </c>
      <c r="BU590" s="1" t="s">
        <v>213</v>
      </c>
      <c r="BV590" s="1" t="s">
        <v>206</v>
      </c>
      <c r="BW590" s="1" t="s">
        <v>210</v>
      </c>
      <c r="BY590" s="1" t="s">
        <v>332</v>
      </c>
      <c r="BZ590" s="1" t="s">
        <v>206</v>
      </c>
      <c r="CA590" s="1" t="s">
        <v>207</v>
      </c>
      <c r="CC590" s="1" t="s">
        <v>758</v>
      </c>
      <c r="CD590" s="1" t="s">
        <v>206</v>
      </c>
      <c r="CE590" s="1" t="s">
        <v>207</v>
      </c>
      <c r="CG590" s="1" t="s">
        <v>1483</v>
      </c>
      <c r="CH590" s="1" t="s">
        <v>209</v>
      </c>
      <c r="CI590" s="1" t="s">
        <v>207</v>
      </c>
      <c r="CK590" s="1" t="s">
        <v>211</v>
      </c>
      <c r="CL590" s="1" t="s">
        <v>209</v>
      </c>
      <c r="CM590" s="1" t="s">
        <v>207</v>
      </c>
      <c r="CO590" s="1" t="s">
        <v>647</v>
      </c>
      <c r="CP590" s="1" t="s">
        <v>209</v>
      </c>
      <c r="CQ590" s="1" t="s">
        <v>207</v>
      </c>
      <c r="CS590" s="1" t="s">
        <v>263</v>
      </c>
      <c r="CT590" s="1" t="s">
        <v>206</v>
      </c>
      <c r="CU590" s="1" t="s">
        <v>617</v>
      </c>
      <c r="CW590" s="1" t="s">
        <v>716</v>
      </c>
      <c r="CX590" s="1" t="s">
        <v>267</v>
      </c>
      <c r="CY590" s="1" t="s">
        <v>210</v>
      </c>
      <c r="DA590" s="1" t="s">
        <v>200</v>
      </c>
      <c r="DC590" s="1" t="s">
        <v>642</v>
      </c>
      <c r="DE590" s="1" t="s">
        <v>1300</v>
      </c>
      <c r="DF590" s="1" t="s">
        <v>787</v>
      </c>
      <c r="DH590" s="1" t="s">
        <v>220</v>
      </c>
      <c r="DI590" s="1" t="s">
        <v>789</v>
      </c>
      <c r="DJ590" s="1" t="s">
        <v>222</v>
      </c>
      <c r="DL590" s="1" t="s">
        <v>858</v>
      </c>
      <c r="DM590" s="1" t="s">
        <v>229</v>
      </c>
      <c r="DP590" s="1" t="s">
        <v>340</v>
      </c>
      <c r="DQ590" s="1" t="s">
        <v>1557</v>
      </c>
      <c r="DR590" s="1" t="s">
        <v>229</v>
      </c>
      <c r="DS590" s="1" t="s">
        <v>401</v>
      </c>
      <c r="DV590" s="1" t="s">
        <v>7504</v>
      </c>
      <c r="DW590" s="1" t="s">
        <v>370</v>
      </c>
      <c r="DX590" s="1" t="s">
        <v>234</v>
      </c>
      <c r="DY590" s="1" t="s">
        <v>2240</v>
      </c>
      <c r="EA590" s="1" t="s">
        <v>3112</v>
      </c>
      <c r="EC590" s="1" t="s">
        <v>237</v>
      </c>
      <c r="EF590" s="1" t="s">
        <v>7505</v>
      </c>
      <c r="EG590" s="1" t="s">
        <v>449</v>
      </c>
      <c r="EH590" s="1" t="s">
        <v>1103</v>
      </c>
      <c r="EI590" s="1" t="s">
        <v>2129</v>
      </c>
      <c r="EJ590" s="1" t="s">
        <v>2877</v>
      </c>
      <c r="EL590" s="1" t="s">
        <v>263</v>
      </c>
      <c r="EM590" s="1" t="s">
        <v>206</v>
      </c>
      <c r="EN590" s="1" t="s">
        <v>617</v>
      </c>
      <c r="EP590" s="1" t="s">
        <v>214</v>
      </c>
      <c r="EQ590" s="1" t="s">
        <v>267</v>
      </c>
      <c r="ER590" s="1" t="s">
        <v>588</v>
      </c>
      <c r="ET590" s="1" t="s">
        <v>214</v>
      </c>
      <c r="EU590" s="1" t="s">
        <v>206</v>
      </c>
      <c r="EV590" s="1" t="s">
        <v>588</v>
      </c>
      <c r="EX590" s="1" t="s">
        <v>264</v>
      </c>
      <c r="EY590" s="1" t="s">
        <v>267</v>
      </c>
      <c r="FC590" s="1" t="s">
        <v>238</v>
      </c>
      <c r="FF590" s="1" t="s">
        <v>239</v>
      </c>
      <c r="FG590" s="1" t="s">
        <v>192</v>
      </c>
      <c r="FH590" s="1" t="s">
        <v>192</v>
      </c>
      <c r="FJ590" s="1" t="s">
        <v>2552</v>
      </c>
      <c r="FK590" s="1" t="s">
        <v>348</v>
      </c>
      <c r="FL590" s="1" t="s">
        <v>7506</v>
      </c>
      <c r="FM590" s="1">
        <v>122.0</v>
      </c>
      <c r="FN590" s="1" t="s">
        <v>7507</v>
      </c>
      <c r="FO590" s="1" t="s">
        <v>7508</v>
      </c>
      <c r="FP590" s="1">
        <v>77797.0</v>
      </c>
      <c r="FU590" s="1" t="s">
        <v>7509</v>
      </c>
      <c r="FV590" s="1" t="s">
        <v>200</v>
      </c>
      <c r="FW590" s="1" t="s">
        <v>7510</v>
      </c>
      <c r="FZ590" s="1" t="s">
        <v>229</v>
      </c>
      <c r="GA590" s="1" t="s">
        <v>291</v>
      </c>
      <c r="GB590" s="2">
        <v>42075.0</v>
      </c>
      <c r="GC590" s="1" t="s">
        <v>7511</v>
      </c>
    </row>
    <row r="591">
      <c r="A591" s="1">
        <v>225000.0</v>
      </c>
      <c r="B591" s="1" t="s">
        <v>185</v>
      </c>
      <c r="C591" s="1" t="str">
        <f>"08806335"</f>
        <v>08806335</v>
      </c>
      <c r="D591" s="1" t="s">
        <v>186</v>
      </c>
      <c r="F591" s="1" t="str">
        <f>"140"</f>
        <v>140</v>
      </c>
      <c r="G591" s="2">
        <v>41999.0</v>
      </c>
      <c r="H591" s="1">
        <v>230000.0</v>
      </c>
      <c r="I591" s="1">
        <v>15.0</v>
      </c>
      <c r="J591" s="1">
        <v>230000.0</v>
      </c>
      <c r="K591" s="2">
        <v>42013.0</v>
      </c>
      <c r="L591" s="1">
        <v>15.0</v>
      </c>
      <c r="M591" s="2">
        <v>42013.0</v>
      </c>
      <c r="N591" s="1" t="s">
        <v>187</v>
      </c>
      <c r="O591" s="2">
        <v>42046.0</v>
      </c>
      <c r="P591" s="1">
        <v>7968.0</v>
      </c>
      <c r="Q591" s="1">
        <v>372.0</v>
      </c>
      <c r="S591" s="1">
        <v>712.0</v>
      </c>
      <c r="T591" s="1" t="s">
        <v>7512</v>
      </c>
      <c r="U591" s="1" t="s">
        <v>569</v>
      </c>
      <c r="V591" s="1" t="s">
        <v>321</v>
      </c>
      <c r="W591" s="1">
        <v>60140.0</v>
      </c>
      <c r="Y591" s="1" t="s">
        <v>7513</v>
      </c>
      <c r="Z591" s="1">
        <v>2008.0</v>
      </c>
      <c r="AA591" s="1" t="s">
        <v>200</v>
      </c>
      <c r="AB591" s="1" t="s">
        <v>193</v>
      </c>
      <c r="AC591" s="1" t="s">
        <v>7514</v>
      </c>
      <c r="AD591" s="1" t="s">
        <v>324</v>
      </c>
      <c r="AE591" s="1" t="s">
        <v>325</v>
      </c>
      <c r="AF591" s="1" t="s">
        <v>324</v>
      </c>
      <c r="AG591" s="1" t="s">
        <v>7515</v>
      </c>
      <c r="AH591" s="1" t="s">
        <v>7516</v>
      </c>
      <c r="AK591" s="1">
        <v>10.0</v>
      </c>
      <c r="AL591" s="1">
        <v>4.0</v>
      </c>
      <c r="AM591" s="1">
        <v>2.0</v>
      </c>
      <c r="AN591" s="1">
        <v>1.0</v>
      </c>
      <c r="AO591" s="1" t="s">
        <v>198</v>
      </c>
      <c r="AP591" s="1">
        <v>0.0</v>
      </c>
      <c r="AQ591" s="1" t="s">
        <v>1314</v>
      </c>
      <c r="AR591" s="1" t="s">
        <v>200</v>
      </c>
      <c r="AS591" s="1" t="s">
        <v>199</v>
      </c>
      <c r="AT591" s="1">
        <v>2.0</v>
      </c>
      <c r="AV591" s="1" t="s">
        <v>200</v>
      </c>
      <c r="AW591" s="1" t="s">
        <v>575</v>
      </c>
      <c r="AX591" s="1">
        <v>2013.0</v>
      </c>
      <c r="AZ591" s="1" t="s">
        <v>192</v>
      </c>
      <c r="BA591" s="1" t="str">
        <f>"0126178008"</f>
        <v>0126178008</v>
      </c>
      <c r="BC591" s="1">
        <v>2775.0</v>
      </c>
      <c r="BD591" s="1">
        <v>225000.0</v>
      </c>
      <c r="BE591" s="2">
        <v>41999.0</v>
      </c>
      <c r="BF591" s="1" t="s">
        <v>7517</v>
      </c>
      <c r="BG591" s="1" t="s">
        <v>7518</v>
      </c>
      <c r="BH591" s="1">
        <v>364.0</v>
      </c>
      <c r="BI591" s="1" t="s">
        <v>5040</v>
      </c>
      <c r="BJ591" s="1" t="s">
        <v>1182</v>
      </c>
      <c r="BK591" s="1" t="s">
        <v>580</v>
      </c>
      <c r="BL591" s="1" t="str">
        <f>"6"</f>
        <v>6</v>
      </c>
      <c r="BM591" s="1" t="str">
        <f>"0"</f>
        <v>0</v>
      </c>
      <c r="BN591" s="1">
        <v>45.0</v>
      </c>
      <c r="BO591" s="1">
        <v>0.0</v>
      </c>
      <c r="BQ591" s="1">
        <v>300.0</v>
      </c>
      <c r="BR591" s="1">
        <v>300.0</v>
      </c>
      <c r="BS591" s="1">
        <v>300.0</v>
      </c>
      <c r="BU591" s="1" t="s">
        <v>300</v>
      </c>
      <c r="BV591" s="1" t="s">
        <v>206</v>
      </c>
      <c r="BW591" s="1" t="s">
        <v>210</v>
      </c>
      <c r="BX591" s="1" t="s">
        <v>229</v>
      </c>
      <c r="BY591" s="1" t="s">
        <v>260</v>
      </c>
      <c r="BZ591" s="1" t="s">
        <v>209</v>
      </c>
      <c r="CA591" s="1" t="s">
        <v>210</v>
      </c>
      <c r="CB591" s="1" t="s">
        <v>229</v>
      </c>
      <c r="CC591" s="1" t="s">
        <v>332</v>
      </c>
      <c r="CD591" s="1" t="s">
        <v>206</v>
      </c>
      <c r="CE591" s="1" t="s">
        <v>210</v>
      </c>
      <c r="CF591" s="1" t="s">
        <v>229</v>
      </c>
      <c r="CG591" s="1" t="s">
        <v>332</v>
      </c>
      <c r="CH591" s="1" t="s">
        <v>209</v>
      </c>
      <c r="CI591" s="1" t="s">
        <v>210</v>
      </c>
      <c r="CJ591" s="1" t="s">
        <v>229</v>
      </c>
      <c r="CK591" s="1" t="s">
        <v>215</v>
      </c>
      <c r="CL591" s="1" t="s">
        <v>209</v>
      </c>
      <c r="CM591" s="1" t="s">
        <v>210</v>
      </c>
      <c r="CN591" s="1" t="s">
        <v>229</v>
      </c>
      <c r="CO591" s="1" t="s">
        <v>264</v>
      </c>
      <c r="CP591" s="1" t="s">
        <v>209</v>
      </c>
      <c r="CQ591" s="1" t="s">
        <v>210</v>
      </c>
      <c r="CR591" s="1" t="s">
        <v>229</v>
      </c>
      <c r="CS591" s="1" t="s">
        <v>1395</v>
      </c>
      <c r="CT591" s="1" t="s">
        <v>206</v>
      </c>
      <c r="CU591" s="1" t="s">
        <v>617</v>
      </c>
      <c r="CV591" s="1" t="s">
        <v>229</v>
      </c>
      <c r="CW591" s="1" t="s">
        <v>1190</v>
      </c>
      <c r="CX591" s="1" t="s">
        <v>206</v>
      </c>
      <c r="CY591" s="1" t="s">
        <v>210</v>
      </c>
      <c r="CZ591" s="1" t="s">
        <v>229</v>
      </c>
      <c r="DA591" s="1" t="s">
        <v>200</v>
      </c>
      <c r="DC591" s="1" t="s">
        <v>481</v>
      </c>
      <c r="DD591" s="1" t="s">
        <v>336</v>
      </c>
      <c r="DE591" s="1" t="s">
        <v>229</v>
      </c>
      <c r="DF591" s="1" t="s">
        <v>619</v>
      </c>
      <c r="DG591" s="1" t="s">
        <v>1160</v>
      </c>
      <c r="DH591" s="1" t="s">
        <v>220</v>
      </c>
      <c r="DI591" s="1" t="s">
        <v>1021</v>
      </c>
      <c r="DJ591" s="1" t="s">
        <v>222</v>
      </c>
      <c r="DL591" s="1" t="s">
        <v>223</v>
      </c>
      <c r="DM591" s="1" t="s">
        <v>338</v>
      </c>
      <c r="DN591" s="1" t="s">
        <v>548</v>
      </c>
      <c r="DP591" s="1" t="s">
        <v>340</v>
      </c>
      <c r="DQ591" s="1" t="s">
        <v>441</v>
      </c>
      <c r="DR591" s="1" t="s">
        <v>588</v>
      </c>
      <c r="DS591" s="1" t="s">
        <v>277</v>
      </c>
      <c r="DU591" s="1" t="s">
        <v>7519</v>
      </c>
      <c r="DV591" s="1" t="s">
        <v>7520</v>
      </c>
      <c r="DW591" s="1" t="s">
        <v>279</v>
      </c>
      <c r="DX591" s="1" t="s">
        <v>234</v>
      </c>
      <c r="EA591" s="1" t="s">
        <v>344</v>
      </c>
      <c r="EC591" s="1" t="s">
        <v>237</v>
      </c>
      <c r="EG591" s="1" t="s">
        <v>556</v>
      </c>
      <c r="EH591" s="1" t="s">
        <v>1121</v>
      </c>
      <c r="EL591" s="1" t="s">
        <v>375</v>
      </c>
      <c r="EM591" s="1" t="s">
        <v>206</v>
      </c>
      <c r="EN591" s="1" t="s">
        <v>617</v>
      </c>
      <c r="EO591" s="1" t="s">
        <v>229</v>
      </c>
      <c r="EP591" s="1" t="s">
        <v>1229</v>
      </c>
      <c r="EQ591" s="1" t="s">
        <v>209</v>
      </c>
      <c r="ER591" s="1" t="s">
        <v>210</v>
      </c>
      <c r="EU591" s="1" t="s">
        <v>238</v>
      </c>
      <c r="EY591" s="1" t="s">
        <v>238</v>
      </c>
      <c r="FC591" s="1" t="s">
        <v>238</v>
      </c>
      <c r="FF591" s="1" t="s">
        <v>239</v>
      </c>
      <c r="FG591" s="1" t="s">
        <v>192</v>
      </c>
      <c r="FH591" s="1" t="s">
        <v>192</v>
      </c>
      <c r="FJ591" s="1" t="s">
        <v>7521</v>
      </c>
      <c r="FK591" s="1" t="s">
        <v>229</v>
      </c>
      <c r="FL591" s="1" t="s">
        <v>4369</v>
      </c>
      <c r="FM591" s="1">
        <v>23120.0</v>
      </c>
      <c r="FN591" s="1" t="s">
        <v>4370</v>
      </c>
      <c r="FO591" s="1" t="s">
        <v>7522</v>
      </c>
      <c r="FP591" s="1">
        <v>225948.0</v>
      </c>
      <c r="FQ591" s="1" t="s">
        <v>7523</v>
      </c>
      <c r="FU591" s="1" t="s">
        <v>7524</v>
      </c>
      <c r="FV591" s="1" t="s">
        <v>200</v>
      </c>
      <c r="FW591" s="1" t="s">
        <v>290</v>
      </c>
      <c r="FZ591" s="1" t="s">
        <v>229</v>
      </c>
      <c r="GA591" s="1" t="s">
        <v>291</v>
      </c>
      <c r="GB591" s="2">
        <v>42047.0</v>
      </c>
    </row>
    <row r="592">
      <c r="A592" s="1">
        <v>157000.0</v>
      </c>
      <c r="B592" s="1" t="s">
        <v>185</v>
      </c>
      <c r="C592" s="1" t="str">
        <f>"08800076"</f>
        <v>08800076</v>
      </c>
      <c r="D592" s="1" t="s">
        <v>186</v>
      </c>
      <c r="F592" s="1" t="str">
        <f>"146"</f>
        <v>146</v>
      </c>
      <c r="G592" s="2">
        <v>41983.0</v>
      </c>
      <c r="H592" s="1">
        <v>169000.0</v>
      </c>
      <c r="I592" s="1">
        <v>5.0</v>
      </c>
      <c r="J592" s="1">
        <v>169000.0</v>
      </c>
      <c r="K592" s="2">
        <v>41987.0</v>
      </c>
      <c r="L592" s="1">
        <v>5.0</v>
      </c>
      <c r="M592" s="2">
        <v>41987.0</v>
      </c>
      <c r="N592" s="1" t="s">
        <v>356</v>
      </c>
      <c r="O592" s="2">
        <v>42041.0</v>
      </c>
      <c r="P592" s="1">
        <v>77883.0</v>
      </c>
      <c r="Q592" s="1">
        <v>7630.0</v>
      </c>
      <c r="S592" s="1">
        <v>503.0</v>
      </c>
      <c r="T592" s="1" t="s">
        <v>7525</v>
      </c>
      <c r="U592" s="1" t="s">
        <v>569</v>
      </c>
      <c r="V592" s="1" t="s">
        <v>7526</v>
      </c>
      <c r="W592" s="1">
        <v>60146.0</v>
      </c>
      <c r="Y592" s="1" t="s">
        <v>7527</v>
      </c>
      <c r="Z592" s="1" t="s">
        <v>296</v>
      </c>
      <c r="AA592" s="1" t="s">
        <v>200</v>
      </c>
      <c r="AB592" s="1" t="s">
        <v>193</v>
      </c>
      <c r="AD592" s="1" t="s">
        <v>7528</v>
      </c>
      <c r="AE592" s="1" t="s">
        <v>613</v>
      </c>
      <c r="AF592" s="1" t="s">
        <v>5046</v>
      </c>
      <c r="AH592" s="1" t="s">
        <v>7529</v>
      </c>
      <c r="AI592" s="1">
        <v>0.23</v>
      </c>
      <c r="AK592" s="1">
        <v>9.0</v>
      </c>
      <c r="AL592" s="1">
        <v>4.0</v>
      </c>
      <c r="AM592" s="1">
        <v>2.0</v>
      </c>
      <c r="AN592" s="1">
        <v>1.0</v>
      </c>
      <c r="AO592" s="1" t="s">
        <v>198</v>
      </c>
      <c r="AP592" s="1">
        <v>2.0</v>
      </c>
      <c r="AQ592" s="1" t="s">
        <v>1314</v>
      </c>
      <c r="AR592" s="1" t="s">
        <v>200</v>
      </c>
      <c r="AS592" s="1" t="s">
        <v>199</v>
      </c>
      <c r="AT592" s="1">
        <v>3.0</v>
      </c>
      <c r="AV592" s="1" t="s">
        <v>200</v>
      </c>
      <c r="AW592" s="1">
        <v>5474.54</v>
      </c>
      <c r="AX592" s="1">
        <v>2013.0</v>
      </c>
      <c r="AZ592" s="1" t="s">
        <v>200</v>
      </c>
      <c r="BA592" s="1" t="str">
        <f>"0126426019"</f>
        <v>0126426019</v>
      </c>
      <c r="BC592" s="1">
        <v>3300.0</v>
      </c>
      <c r="BD592" s="1">
        <v>157000.0</v>
      </c>
      <c r="BE592" s="2">
        <v>41983.0</v>
      </c>
      <c r="BF592" s="2" t="s">
        <v>7530</v>
      </c>
      <c r="BH592" s="1">
        <v>0.0</v>
      </c>
      <c r="BK592" s="1" t="s">
        <v>204</v>
      </c>
      <c r="BL592" s="1" t="str">
        <f t="shared" ref="BL592:BM592" si="400">""</f>
        <v/>
      </c>
      <c r="BM592" s="1" t="str">
        <f t="shared" si="400"/>
        <v/>
      </c>
      <c r="BQ592" s="1">
        <v>426.0</v>
      </c>
      <c r="BR592" s="1">
        <v>426.0</v>
      </c>
      <c r="BS592" s="1">
        <v>426.0</v>
      </c>
      <c r="BU592" s="1" t="s">
        <v>434</v>
      </c>
      <c r="BV592" s="1" t="s">
        <v>206</v>
      </c>
      <c r="BW592" s="1" t="s">
        <v>210</v>
      </c>
      <c r="BY592" s="1" t="s">
        <v>2182</v>
      </c>
      <c r="BZ592" s="1" t="s">
        <v>209</v>
      </c>
      <c r="CA592" s="1" t="s">
        <v>210</v>
      </c>
      <c r="CC592" s="1" t="s">
        <v>363</v>
      </c>
      <c r="CD592" s="1" t="s">
        <v>206</v>
      </c>
      <c r="CE592" s="1" t="s">
        <v>210</v>
      </c>
      <c r="CG592" s="1" t="s">
        <v>215</v>
      </c>
      <c r="CH592" s="1" t="s">
        <v>209</v>
      </c>
      <c r="CI592" s="1" t="s">
        <v>210</v>
      </c>
      <c r="CK592" s="1" t="s">
        <v>433</v>
      </c>
      <c r="CL592" s="1" t="s">
        <v>209</v>
      </c>
      <c r="CM592" s="1" t="s">
        <v>210</v>
      </c>
      <c r="CO592" s="1" t="s">
        <v>433</v>
      </c>
      <c r="CP592" s="1" t="s">
        <v>209</v>
      </c>
      <c r="CQ592" s="1" t="s">
        <v>210</v>
      </c>
      <c r="CS592" s="1" t="s">
        <v>1000</v>
      </c>
      <c r="CT592" s="1" t="s">
        <v>206</v>
      </c>
      <c r="CU592" s="1" t="s">
        <v>207</v>
      </c>
      <c r="CW592" s="1" t="s">
        <v>1623</v>
      </c>
      <c r="CX592" s="1" t="s">
        <v>206</v>
      </c>
      <c r="CY592" s="1" t="s">
        <v>210</v>
      </c>
      <c r="DA592" s="1" t="s">
        <v>200</v>
      </c>
      <c r="DC592" s="1" t="s">
        <v>481</v>
      </c>
      <c r="DD592" s="1" t="s">
        <v>518</v>
      </c>
      <c r="DE592" s="1" t="s">
        <v>273</v>
      </c>
      <c r="DF592" s="1" t="s">
        <v>219</v>
      </c>
      <c r="DH592" s="1" t="s">
        <v>220</v>
      </c>
      <c r="DI592" s="1" t="s">
        <v>1070</v>
      </c>
      <c r="DJ592" s="1" t="s">
        <v>222</v>
      </c>
      <c r="DL592" s="1" t="s">
        <v>223</v>
      </c>
      <c r="DM592" s="1" t="s">
        <v>229</v>
      </c>
      <c r="DN592" s="1" t="s">
        <v>485</v>
      </c>
      <c r="DP592" s="1" t="s">
        <v>340</v>
      </c>
      <c r="DQ592" s="1" t="s">
        <v>228</v>
      </c>
      <c r="DR592" s="1" t="s">
        <v>229</v>
      </c>
      <c r="DS592" s="1" t="s">
        <v>230</v>
      </c>
      <c r="DV592" s="1" t="s">
        <v>341</v>
      </c>
      <c r="DW592" s="1" t="s">
        <v>233</v>
      </c>
      <c r="DX592" s="1" t="s">
        <v>234</v>
      </c>
      <c r="DY592" s="1" t="s">
        <v>1051</v>
      </c>
      <c r="EA592" s="1" t="s">
        <v>447</v>
      </c>
      <c r="EB592" s="1" t="s">
        <v>684</v>
      </c>
      <c r="EC592" s="1" t="s">
        <v>237</v>
      </c>
      <c r="ED592" s="1" t="s">
        <v>555</v>
      </c>
      <c r="EG592" s="1" t="s">
        <v>341</v>
      </c>
      <c r="EL592" s="1" t="s">
        <v>854</v>
      </c>
      <c r="EM592" s="1" t="s">
        <v>209</v>
      </c>
      <c r="EN592" s="1" t="s">
        <v>210</v>
      </c>
      <c r="EQ592" s="1" t="s">
        <v>238</v>
      </c>
      <c r="EU592" s="1" t="s">
        <v>238</v>
      </c>
      <c r="EY592" s="1" t="s">
        <v>238</v>
      </c>
      <c r="FC592" s="1" t="s">
        <v>238</v>
      </c>
      <c r="FF592" s="1" t="s">
        <v>239</v>
      </c>
      <c r="FG592" s="1" t="s">
        <v>192</v>
      </c>
      <c r="FH592" s="1" t="s">
        <v>192</v>
      </c>
      <c r="FJ592" s="1" t="s">
        <v>455</v>
      </c>
      <c r="FK592" s="1" t="s">
        <v>229</v>
      </c>
      <c r="FL592" s="1" t="s">
        <v>6608</v>
      </c>
      <c r="FM592" s="1">
        <v>93067.0</v>
      </c>
      <c r="FN592" s="1" t="s">
        <v>6609</v>
      </c>
      <c r="FO592" s="1" t="s">
        <v>6610</v>
      </c>
      <c r="FP592" s="1">
        <v>930193.0</v>
      </c>
      <c r="FQ592" s="1" t="s">
        <v>6611</v>
      </c>
      <c r="FU592" s="1" t="s">
        <v>3678</v>
      </c>
      <c r="FV592" s="1" t="s">
        <v>200</v>
      </c>
      <c r="FW592" s="1" t="s">
        <v>6613</v>
      </c>
      <c r="FZ592" s="1" t="s">
        <v>229</v>
      </c>
      <c r="GA592" s="1" t="s">
        <v>291</v>
      </c>
      <c r="GB592" s="2">
        <v>42041.0</v>
      </c>
      <c r="GC592" s="1" t="s">
        <v>7531</v>
      </c>
    </row>
    <row r="593">
      <c r="A593" s="1">
        <v>38000.0</v>
      </c>
      <c r="B593" s="1" t="s">
        <v>185</v>
      </c>
      <c r="C593" s="1" t="str">
        <f>"08801624"</f>
        <v>08801624</v>
      </c>
      <c r="D593" s="1" t="s">
        <v>186</v>
      </c>
      <c r="F593" s="1" t="str">
        <f>"8042"</f>
        <v>8042</v>
      </c>
      <c r="G593" s="2">
        <v>41985.0</v>
      </c>
      <c r="H593" s="1">
        <v>45900.0</v>
      </c>
      <c r="I593" s="1">
        <v>105.0</v>
      </c>
      <c r="J593" s="1">
        <v>45000.0</v>
      </c>
      <c r="K593" s="2">
        <v>41985.0</v>
      </c>
      <c r="L593" s="1">
        <v>2.0</v>
      </c>
      <c r="M593" s="2">
        <v>41985.0</v>
      </c>
      <c r="N593" s="1" t="s">
        <v>249</v>
      </c>
      <c r="O593" s="2">
        <v>42101.0</v>
      </c>
      <c r="P593" s="1">
        <v>235814.0</v>
      </c>
      <c r="Q593" s="1">
        <v>22994.0</v>
      </c>
      <c r="S593" s="1">
        <v>6630.0</v>
      </c>
      <c r="T593" s="1" t="s">
        <v>7532</v>
      </c>
      <c r="U593" s="1" t="s">
        <v>189</v>
      </c>
      <c r="V593" s="1" t="s">
        <v>190</v>
      </c>
      <c r="W593" s="1">
        <v>60637.0</v>
      </c>
      <c r="Y593" s="1" t="s">
        <v>7533</v>
      </c>
      <c r="Z593" s="1">
        <v>1885.0</v>
      </c>
      <c r="AA593" s="1" t="s">
        <v>192</v>
      </c>
      <c r="AB593" s="1" t="s">
        <v>193</v>
      </c>
      <c r="AD593" s="1" t="s">
        <v>194</v>
      </c>
      <c r="AE593" s="1" t="s">
        <v>195</v>
      </c>
      <c r="AF593" s="1" t="s">
        <v>1154</v>
      </c>
      <c r="AH593" s="1" t="s">
        <v>359</v>
      </c>
      <c r="AI593" s="1">
        <v>0.0745</v>
      </c>
      <c r="AK593" s="1">
        <v>7.0</v>
      </c>
      <c r="AL593" s="1">
        <v>4.0</v>
      </c>
      <c r="AM593" s="1">
        <v>2.0</v>
      </c>
      <c r="AN593" s="1">
        <v>1.0</v>
      </c>
      <c r="AO593" s="1" t="s">
        <v>2068</v>
      </c>
      <c r="AP593" s="1">
        <v>1.0</v>
      </c>
      <c r="AQ593" s="1" t="s">
        <v>198</v>
      </c>
      <c r="AR593" s="1" t="s">
        <v>200</v>
      </c>
      <c r="AS593" s="1" t="s">
        <v>229</v>
      </c>
      <c r="AV593" s="1" t="s">
        <v>200</v>
      </c>
      <c r="AW593" s="1">
        <v>2687.0</v>
      </c>
      <c r="AX593" s="1">
        <v>2012.0</v>
      </c>
      <c r="AY593" s="1" t="s">
        <v>229</v>
      </c>
      <c r="AZ593" s="1" t="s">
        <v>200</v>
      </c>
      <c r="BA593" s="1" t="str">
        <f>"20232230210000"</f>
        <v>20232230210000</v>
      </c>
      <c r="BB593" s="1" t="s">
        <v>200</v>
      </c>
      <c r="BC593" s="1">
        <v>1800.0</v>
      </c>
      <c r="BD593" s="1">
        <v>38000.0</v>
      </c>
      <c r="BE593" s="2">
        <v>41984.0</v>
      </c>
      <c r="BF593" s="1" t="s">
        <v>7534</v>
      </c>
      <c r="BH593" s="1">
        <v>0.0</v>
      </c>
      <c r="BK593" s="1" t="s">
        <v>204</v>
      </c>
      <c r="BL593" s="1" t="str">
        <f t="shared" ref="BL593:BL594" si="401">"0"</f>
        <v>0</v>
      </c>
      <c r="BM593" s="1" t="str">
        <f>"1000"</f>
        <v>1000</v>
      </c>
      <c r="BN593" s="1">
        <v>0.0</v>
      </c>
      <c r="BO593" s="1">
        <v>6630.0</v>
      </c>
      <c r="BQ593" s="1">
        <v>299.0</v>
      </c>
      <c r="BR593" s="1">
        <v>299.0</v>
      </c>
      <c r="BS593" s="1">
        <v>299.0</v>
      </c>
      <c r="BU593" s="1" t="s">
        <v>329</v>
      </c>
      <c r="BV593" s="1" t="s">
        <v>206</v>
      </c>
      <c r="BY593" s="1" t="s">
        <v>1395</v>
      </c>
      <c r="BZ593" s="1" t="s">
        <v>209</v>
      </c>
      <c r="CC593" s="1" t="s">
        <v>329</v>
      </c>
      <c r="CD593" s="1" t="s">
        <v>206</v>
      </c>
      <c r="CG593" s="1" t="s">
        <v>303</v>
      </c>
      <c r="CH593" s="1" t="s">
        <v>209</v>
      </c>
      <c r="CK593" s="1" t="s">
        <v>269</v>
      </c>
      <c r="CL593" s="1" t="s">
        <v>209</v>
      </c>
      <c r="CO593" s="1" t="s">
        <v>2459</v>
      </c>
      <c r="CP593" s="1" t="s">
        <v>209</v>
      </c>
      <c r="CS593" s="1" t="s">
        <v>1316</v>
      </c>
      <c r="CT593" s="1" t="s">
        <v>206</v>
      </c>
      <c r="CV593" s="1" t="s">
        <v>229</v>
      </c>
      <c r="CX593" s="1" t="s">
        <v>204</v>
      </c>
      <c r="CZ593" s="1" t="s">
        <v>229</v>
      </c>
      <c r="DA593" s="1" t="s">
        <v>200</v>
      </c>
      <c r="DC593" s="1" t="s">
        <v>642</v>
      </c>
      <c r="DE593" s="1" t="s">
        <v>229</v>
      </c>
      <c r="DF593" s="1" t="s">
        <v>787</v>
      </c>
      <c r="DH593" s="1" t="s">
        <v>307</v>
      </c>
      <c r="DJ593" s="1" t="s">
        <v>222</v>
      </c>
      <c r="DL593" s="1" t="s">
        <v>223</v>
      </c>
      <c r="DM593" s="1" t="s">
        <v>229</v>
      </c>
      <c r="DQ593" s="1" t="s">
        <v>718</v>
      </c>
      <c r="DR593" s="1" t="s">
        <v>229</v>
      </c>
      <c r="DS593" s="1" t="s">
        <v>230</v>
      </c>
      <c r="DV593" s="1" t="s">
        <v>232</v>
      </c>
      <c r="DW593" s="1" t="s">
        <v>279</v>
      </c>
      <c r="DX593" s="1" t="s">
        <v>234</v>
      </c>
      <c r="DZ593" s="1" t="s">
        <v>7535</v>
      </c>
      <c r="EA593" s="1" t="s">
        <v>3112</v>
      </c>
      <c r="EB593" s="1" t="s">
        <v>797</v>
      </c>
      <c r="EC593" s="1" t="s">
        <v>406</v>
      </c>
      <c r="EM593" s="1" t="s">
        <v>238</v>
      </c>
      <c r="EQ593" s="1" t="s">
        <v>238</v>
      </c>
      <c r="EU593" s="1" t="s">
        <v>238</v>
      </c>
      <c r="EY593" s="1" t="s">
        <v>238</v>
      </c>
      <c r="FC593" s="1" t="s">
        <v>238</v>
      </c>
      <c r="FF593" s="1" t="s">
        <v>239</v>
      </c>
      <c r="FG593" s="1" t="s">
        <v>192</v>
      </c>
      <c r="FH593" s="1" t="s">
        <v>192</v>
      </c>
      <c r="FJ593" s="1" t="s">
        <v>1248</v>
      </c>
      <c r="FK593" s="1" t="s">
        <v>1586</v>
      </c>
      <c r="FL593" s="1" t="s">
        <v>7536</v>
      </c>
      <c r="FM593" s="1">
        <v>22994.0</v>
      </c>
      <c r="FN593" s="1" t="s">
        <v>7537</v>
      </c>
      <c r="FO593" s="1" t="s">
        <v>7538</v>
      </c>
      <c r="FP593" s="1">
        <v>235814.0</v>
      </c>
      <c r="FQ593" s="1" t="s">
        <v>7539</v>
      </c>
      <c r="FU593" s="1" t="s">
        <v>7540</v>
      </c>
      <c r="FV593" s="1" t="s">
        <v>192</v>
      </c>
      <c r="FW593" s="1" t="s">
        <v>530</v>
      </c>
      <c r="FX593" s="1" t="s">
        <v>655</v>
      </c>
      <c r="FZ593" s="1" t="s">
        <v>229</v>
      </c>
      <c r="GA593" s="1" t="s">
        <v>291</v>
      </c>
      <c r="GB593" s="2">
        <v>42113.0</v>
      </c>
      <c r="GC593" s="1" t="s">
        <v>7541</v>
      </c>
    </row>
    <row r="594">
      <c r="A594" s="1">
        <v>350000.0</v>
      </c>
      <c r="B594" s="1" t="s">
        <v>185</v>
      </c>
      <c r="C594" s="1" t="str">
        <f>"08804295"</f>
        <v>08804295</v>
      </c>
      <c r="D594" s="1" t="s">
        <v>186</v>
      </c>
      <c r="F594" s="1" t="str">
        <f>"8072"</f>
        <v>8072</v>
      </c>
      <c r="G594" s="2">
        <v>41992.0</v>
      </c>
      <c r="H594" s="1">
        <v>359900.0</v>
      </c>
      <c r="I594" s="1">
        <v>18.0</v>
      </c>
      <c r="J594" s="1">
        <v>359900.0</v>
      </c>
      <c r="K594" s="2">
        <v>42009.0</v>
      </c>
      <c r="L594" s="1">
        <v>18.0</v>
      </c>
      <c r="M594" s="2">
        <v>42009.0</v>
      </c>
      <c r="N594" s="1" t="s">
        <v>634</v>
      </c>
      <c r="O594" s="2">
        <v>42041.0</v>
      </c>
      <c r="P594" s="1">
        <v>169742.0</v>
      </c>
      <c r="Q594" s="1">
        <v>85991.0</v>
      </c>
      <c r="R594" s="1">
        <v>6283.0</v>
      </c>
      <c r="S594" s="1">
        <v>1620.0</v>
      </c>
      <c r="T594" s="1" t="s">
        <v>7542</v>
      </c>
      <c r="U594" s="1" t="s">
        <v>694</v>
      </c>
      <c r="V594" s="1" t="s">
        <v>190</v>
      </c>
      <c r="W594" s="1">
        <v>60643.0</v>
      </c>
      <c r="Y594" s="1" t="s">
        <v>7543</v>
      </c>
      <c r="Z594" s="1">
        <v>1922.0</v>
      </c>
      <c r="AA594" s="1" t="s">
        <v>192</v>
      </c>
      <c r="AB594" s="1" t="s">
        <v>193</v>
      </c>
      <c r="AD594" s="1" t="s">
        <v>194</v>
      </c>
      <c r="AE594" s="1" t="s">
        <v>195</v>
      </c>
      <c r="AF594" s="1" t="s">
        <v>659</v>
      </c>
      <c r="AH594" s="1">
        <v>5700.0</v>
      </c>
      <c r="AI594" s="1">
        <v>0.1309</v>
      </c>
      <c r="AK594" s="1">
        <v>8.0</v>
      </c>
      <c r="AL594" s="1">
        <v>4.0</v>
      </c>
      <c r="AM594" s="1">
        <v>3.0</v>
      </c>
      <c r="AN594" s="1">
        <v>1.0</v>
      </c>
      <c r="AO594" s="1" t="s">
        <v>198</v>
      </c>
      <c r="AQ594" s="1" t="s">
        <v>198</v>
      </c>
      <c r="AR594" s="1" t="s">
        <v>192</v>
      </c>
      <c r="AS594" s="1" t="s">
        <v>199</v>
      </c>
      <c r="AT594" s="1">
        <v>2.0</v>
      </c>
      <c r="AV594" s="1" t="s">
        <v>200</v>
      </c>
      <c r="AW594" s="1">
        <v>2860.33</v>
      </c>
      <c r="AX594" s="1">
        <v>2012.0</v>
      </c>
      <c r="AZ594" s="1" t="s">
        <v>200</v>
      </c>
      <c r="BA594" s="1" t="str">
        <f>"25182090230000"</f>
        <v>25182090230000</v>
      </c>
      <c r="BC594" s="1">
        <v>1600.0</v>
      </c>
      <c r="BD594" s="1">
        <v>350000.0</v>
      </c>
      <c r="BE594" s="2">
        <v>41992.0</v>
      </c>
      <c r="BF594" s="2" t="s">
        <v>7544</v>
      </c>
      <c r="BH594" s="1">
        <v>0.0</v>
      </c>
      <c r="BK594" s="1" t="s">
        <v>204</v>
      </c>
      <c r="BL594" s="1" t="str">
        <f t="shared" si="401"/>
        <v>0</v>
      </c>
      <c r="BM594" s="1" t="str">
        <f t="shared" ref="BM594:BM595" si="402">"0"</f>
        <v>0</v>
      </c>
      <c r="BN594" s="1">
        <v>1620.0</v>
      </c>
      <c r="BO594" s="1">
        <v>10500.0</v>
      </c>
      <c r="BQ594" s="1">
        <v>299.0</v>
      </c>
      <c r="BR594" s="1">
        <v>299.0</v>
      </c>
      <c r="BS594" s="1">
        <v>299.0</v>
      </c>
      <c r="BU594" s="1" t="s">
        <v>2219</v>
      </c>
      <c r="BV594" s="1" t="s">
        <v>206</v>
      </c>
      <c r="BW594" s="1" t="s">
        <v>207</v>
      </c>
      <c r="BY594" s="1" t="s">
        <v>544</v>
      </c>
      <c r="BZ594" s="1" t="s">
        <v>209</v>
      </c>
      <c r="CA594" s="1" t="s">
        <v>210</v>
      </c>
      <c r="CC594" s="1" t="s">
        <v>758</v>
      </c>
      <c r="CD594" s="1" t="s">
        <v>206</v>
      </c>
      <c r="CE594" s="1" t="s">
        <v>207</v>
      </c>
      <c r="CG594" s="1" t="s">
        <v>1329</v>
      </c>
      <c r="CH594" s="1" t="s">
        <v>209</v>
      </c>
      <c r="CI594" s="1" t="s">
        <v>210</v>
      </c>
      <c r="CK594" s="1" t="s">
        <v>584</v>
      </c>
      <c r="CL594" s="1" t="s">
        <v>206</v>
      </c>
      <c r="CM594" s="1" t="s">
        <v>207</v>
      </c>
      <c r="CO594" s="1" t="s">
        <v>215</v>
      </c>
      <c r="CP594" s="1" t="s">
        <v>206</v>
      </c>
      <c r="CQ594" s="1" t="s">
        <v>207</v>
      </c>
      <c r="CS594" s="1" t="s">
        <v>300</v>
      </c>
      <c r="CT594" s="1" t="s">
        <v>206</v>
      </c>
      <c r="CU594" s="1" t="s">
        <v>207</v>
      </c>
      <c r="CW594" s="1" t="s">
        <v>7545</v>
      </c>
      <c r="CX594" s="1" t="s">
        <v>42</v>
      </c>
      <c r="CY594" s="1" t="s">
        <v>268</v>
      </c>
      <c r="DA594" s="1" t="s">
        <v>200</v>
      </c>
      <c r="DC594" s="1" t="s">
        <v>216</v>
      </c>
      <c r="DE594" s="1" t="s">
        <v>273</v>
      </c>
      <c r="DF594" s="1" t="s">
        <v>219</v>
      </c>
      <c r="DH594" s="1" t="s">
        <v>220</v>
      </c>
      <c r="DI594" s="1" t="s">
        <v>366</v>
      </c>
      <c r="DJ594" s="1" t="s">
        <v>222</v>
      </c>
      <c r="DL594" s="1" t="s">
        <v>224</v>
      </c>
      <c r="DM594" s="1" t="s">
        <v>229</v>
      </c>
      <c r="DQ594" s="1" t="s">
        <v>228</v>
      </c>
      <c r="DR594" s="1" t="s">
        <v>229</v>
      </c>
      <c r="DS594" s="1" t="s">
        <v>230</v>
      </c>
      <c r="DV594" s="1" t="s">
        <v>232</v>
      </c>
      <c r="DW594" s="1" t="s">
        <v>279</v>
      </c>
      <c r="DX594" s="1" t="s">
        <v>234</v>
      </c>
      <c r="DY594" s="1" t="s">
        <v>553</v>
      </c>
      <c r="EC594" s="1" t="s">
        <v>645</v>
      </c>
      <c r="EE594" s="1" t="s">
        <v>493</v>
      </c>
      <c r="EM594" s="1" t="s">
        <v>238</v>
      </c>
      <c r="EQ594" s="1" t="s">
        <v>238</v>
      </c>
      <c r="EU594" s="1" t="s">
        <v>238</v>
      </c>
      <c r="EY594" s="1" t="s">
        <v>238</v>
      </c>
      <c r="FC594" s="1" t="s">
        <v>238</v>
      </c>
      <c r="FF594" s="1" t="s">
        <v>239</v>
      </c>
      <c r="FG594" s="1" t="s">
        <v>192</v>
      </c>
      <c r="FH594" s="1" t="s">
        <v>192</v>
      </c>
      <c r="FJ594" s="1" t="s">
        <v>648</v>
      </c>
      <c r="FK594" s="1" t="s">
        <v>229</v>
      </c>
      <c r="FL594" s="1" t="s">
        <v>649</v>
      </c>
      <c r="FM594" s="1">
        <v>60296.0</v>
      </c>
      <c r="FN594" s="1" t="s">
        <v>650</v>
      </c>
      <c r="FO594" s="1" t="s">
        <v>651</v>
      </c>
      <c r="FP594" s="1">
        <v>602837.0</v>
      </c>
      <c r="FQ594" s="1" t="s">
        <v>652</v>
      </c>
      <c r="FR594" s="1">
        <v>602442.0</v>
      </c>
      <c r="FU594" s="1" t="s">
        <v>653</v>
      </c>
      <c r="FV594" s="1" t="s">
        <v>200</v>
      </c>
      <c r="FW594" s="1" t="s">
        <v>654</v>
      </c>
      <c r="FX594" s="1" t="s">
        <v>246</v>
      </c>
      <c r="FZ594" s="1" t="s">
        <v>229</v>
      </c>
      <c r="GA594" s="1" t="s">
        <v>291</v>
      </c>
      <c r="GB594" s="2">
        <v>42044.0</v>
      </c>
      <c r="GC594" s="1" t="s">
        <v>1372</v>
      </c>
    </row>
    <row r="595">
      <c r="A595" s="1">
        <v>381000.0</v>
      </c>
      <c r="B595" s="1" t="s">
        <v>185</v>
      </c>
      <c r="C595" s="1" t="str">
        <f>"08800165"</f>
        <v>08800165</v>
      </c>
      <c r="D595" s="1" t="s">
        <v>186</v>
      </c>
      <c r="F595" s="1" t="str">
        <f>"8014"</f>
        <v>8014</v>
      </c>
      <c r="G595" s="2">
        <v>41983.0</v>
      </c>
      <c r="H595" s="1">
        <v>399000.0</v>
      </c>
      <c r="I595" s="1">
        <v>22.0</v>
      </c>
      <c r="J595" s="1">
        <v>399000.0</v>
      </c>
      <c r="K595" s="2">
        <v>42004.0</v>
      </c>
      <c r="L595" s="1">
        <v>22.0</v>
      </c>
      <c r="M595" s="2">
        <v>42004.0</v>
      </c>
      <c r="N595" s="1" t="s">
        <v>187</v>
      </c>
      <c r="O595" s="2">
        <v>42039.0</v>
      </c>
      <c r="P595" s="1">
        <v>140764.0</v>
      </c>
      <c r="Q595" s="1">
        <v>84025.0</v>
      </c>
      <c r="S595" s="1">
        <v>4514.0</v>
      </c>
      <c r="T595" s="1" t="s">
        <v>7546</v>
      </c>
      <c r="U595" s="1" t="s">
        <v>189</v>
      </c>
      <c r="V595" s="1" t="s">
        <v>190</v>
      </c>
      <c r="W595" s="1">
        <v>60625.0</v>
      </c>
      <c r="Y595" s="1" t="s">
        <v>7547</v>
      </c>
      <c r="Z595" s="1" t="s">
        <v>296</v>
      </c>
      <c r="AA595" s="1" t="s">
        <v>192</v>
      </c>
      <c r="AB595" s="1" t="s">
        <v>193</v>
      </c>
      <c r="AD595" s="1" t="s">
        <v>194</v>
      </c>
      <c r="AE595" s="1" t="s">
        <v>195</v>
      </c>
      <c r="AF595" s="1" t="s">
        <v>196</v>
      </c>
      <c r="AH595" s="1" t="s">
        <v>7548</v>
      </c>
      <c r="AK595" s="1">
        <v>8.0</v>
      </c>
      <c r="AL595" s="1">
        <v>3.0</v>
      </c>
      <c r="AM595" s="1">
        <v>2.0</v>
      </c>
      <c r="AN595" s="1">
        <v>1.0</v>
      </c>
      <c r="AO595" s="1" t="s">
        <v>198</v>
      </c>
      <c r="AQ595" s="1" t="s">
        <v>198</v>
      </c>
      <c r="AR595" s="1" t="s">
        <v>200</v>
      </c>
      <c r="AS595" s="1" t="s">
        <v>199</v>
      </c>
      <c r="AT595" s="1">
        <v>2.0</v>
      </c>
      <c r="AV595" s="1" t="s">
        <v>200</v>
      </c>
      <c r="AW595" s="1">
        <v>3846.23</v>
      </c>
      <c r="AX595" s="1">
        <v>2013.0</v>
      </c>
      <c r="AY595" s="1" t="s">
        <v>229</v>
      </c>
      <c r="AZ595" s="1" t="s">
        <v>200</v>
      </c>
      <c r="BA595" s="1" t="str">
        <f>"13142160280000"</f>
        <v>13142160280000</v>
      </c>
      <c r="BB595" s="1" t="s">
        <v>200</v>
      </c>
      <c r="BC595" s="1">
        <v>0.0</v>
      </c>
      <c r="BD595" s="1">
        <v>381000.0</v>
      </c>
      <c r="BE595" s="2">
        <v>41983.0</v>
      </c>
      <c r="BF595" s="2" t="s">
        <v>7549</v>
      </c>
      <c r="BH595" s="1">
        <v>0.0</v>
      </c>
      <c r="BK595" s="1" t="s">
        <v>204</v>
      </c>
      <c r="BL595" s="1" t="str">
        <f>"4514"</f>
        <v>4514</v>
      </c>
      <c r="BM595" s="1" t="str">
        <f t="shared" si="402"/>
        <v>0</v>
      </c>
      <c r="BN595" s="1">
        <v>3400.0</v>
      </c>
      <c r="BO595" s="1">
        <v>0.0</v>
      </c>
      <c r="BQ595" s="1">
        <v>299.0</v>
      </c>
      <c r="BR595" s="1">
        <v>299.0</v>
      </c>
      <c r="BS595" s="1">
        <v>299.0</v>
      </c>
      <c r="BU595" s="1" t="s">
        <v>730</v>
      </c>
      <c r="BV595" s="1" t="s">
        <v>206</v>
      </c>
      <c r="BW595" s="1" t="s">
        <v>207</v>
      </c>
      <c r="BY595" s="1" t="s">
        <v>211</v>
      </c>
      <c r="BZ595" s="1" t="s">
        <v>209</v>
      </c>
      <c r="CA595" s="1" t="s">
        <v>207</v>
      </c>
      <c r="CC595" s="1" t="s">
        <v>215</v>
      </c>
      <c r="CD595" s="1" t="s">
        <v>206</v>
      </c>
      <c r="CE595" s="1" t="s">
        <v>207</v>
      </c>
      <c r="CG595" s="1" t="s">
        <v>1875</v>
      </c>
      <c r="CH595" s="1" t="s">
        <v>209</v>
      </c>
      <c r="CI595" s="1" t="s">
        <v>207</v>
      </c>
      <c r="CK595" s="1" t="s">
        <v>1875</v>
      </c>
      <c r="CL595" s="1" t="s">
        <v>209</v>
      </c>
      <c r="CM595" s="1" t="s">
        <v>207</v>
      </c>
      <c r="CO595" s="1" t="s">
        <v>264</v>
      </c>
      <c r="CP595" s="1" t="s">
        <v>42</v>
      </c>
      <c r="CS595" s="1" t="s">
        <v>5640</v>
      </c>
      <c r="CT595" s="1" t="s">
        <v>206</v>
      </c>
      <c r="CU595" s="1" t="s">
        <v>207</v>
      </c>
      <c r="CX595" s="1" t="s">
        <v>204</v>
      </c>
      <c r="DA595" s="1" t="s">
        <v>200</v>
      </c>
      <c r="DC595" s="1" t="s">
        <v>545</v>
      </c>
      <c r="DD595" s="1" t="s">
        <v>396</v>
      </c>
      <c r="DE595" s="1" t="s">
        <v>273</v>
      </c>
      <c r="DF595" s="1" t="s">
        <v>219</v>
      </c>
      <c r="DH595" s="1" t="s">
        <v>365</v>
      </c>
      <c r="DI595" s="1" t="s">
        <v>5901</v>
      </c>
      <c r="DJ595" s="1" t="s">
        <v>222</v>
      </c>
      <c r="DL595" s="1" t="s">
        <v>224</v>
      </c>
      <c r="DM595" s="1" t="s">
        <v>229</v>
      </c>
      <c r="DP595" s="1" t="s">
        <v>340</v>
      </c>
      <c r="DQ595" s="1" t="s">
        <v>794</v>
      </c>
      <c r="DR595" s="1" t="s">
        <v>229</v>
      </c>
      <c r="DV595" s="1" t="s">
        <v>494</v>
      </c>
      <c r="DW595" s="1" t="s">
        <v>667</v>
      </c>
      <c r="DX595" s="1" t="s">
        <v>234</v>
      </c>
      <c r="DZ595" s="1" t="s">
        <v>310</v>
      </c>
      <c r="EC595" s="1" t="s">
        <v>237</v>
      </c>
      <c r="EG595" s="1" t="s">
        <v>494</v>
      </c>
      <c r="EL595" s="1" t="s">
        <v>4180</v>
      </c>
      <c r="EM595" s="1" t="s">
        <v>206</v>
      </c>
      <c r="EN595" s="1" t="s">
        <v>207</v>
      </c>
      <c r="EQ595" s="1" t="s">
        <v>238</v>
      </c>
      <c r="EU595" s="1" t="s">
        <v>238</v>
      </c>
      <c r="EY595" s="1" t="s">
        <v>238</v>
      </c>
      <c r="FC595" s="1" t="s">
        <v>238</v>
      </c>
      <c r="FF595" s="1" t="s">
        <v>239</v>
      </c>
      <c r="FG595" s="1" t="s">
        <v>192</v>
      </c>
      <c r="FH595" s="1" t="s">
        <v>192</v>
      </c>
      <c r="FJ595" s="1" t="s">
        <v>2285</v>
      </c>
      <c r="FK595" s="1" t="s">
        <v>229</v>
      </c>
      <c r="FL595" s="1" t="s">
        <v>974</v>
      </c>
      <c r="FM595" s="1">
        <v>14470.0</v>
      </c>
      <c r="FN595" s="1" t="s">
        <v>3407</v>
      </c>
      <c r="FO595" s="1" t="s">
        <v>7550</v>
      </c>
      <c r="FP595" s="1">
        <v>170363.0</v>
      </c>
      <c r="FQ595" s="1" t="s">
        <v>7551</v>
      </c>
      <c r="FU595" s="1" t="s">
        <v>7552</v>
      </c>
      <c r="FV595" s="1" t="s">
        <v>200</v>
      </c>
      <c r="FW595" s="1" t="s">
        <v>290</v>
      </c>
      <c r="FX595" s="1" t="s">
        <v>238</v>
      </c>
      <c r="FZ595" s="1" t="s">
        <v>229</v>
      </c>
      <c r="GA595" s="1" t="s">
        <v>291</v>
      </c>
      <c r="GB595" s="2">
        <v>42040.0</v>
      </c>
      <c r="GC595" s="1" t="s">
        <v>7553</v>
      </c>
    </row>
    <row r="596">
      <c r="A596" s="1">
        <v>39000.0</v>
      </c>
      <c r="B596" s="1" t="s">
        <v>185</v>
      </c>
      <c r="C596" s="1" t="str">
        <f>"08804362"</f>
        <v>08804362</v>
      </c>
      <c r="D596" s="1" t="s">
        <v>186</v>
      </c>
      <c r="F596" s="1" t="str">
        <f>"8046"</f>
        <v>8046</v>
      </c>
      <c r="G596" s="2">
        <v>41992.0</v>
      </c>
      <c r="H596" s="1">
        <v>42500.0</v>
      </c>
      <c r="I596" s="1">
        <v>18.0</v>
      </c>
      <c r="J596" s="1">
        <v>42500.0</v>
      </c>
      <c r="K596" s="2">
        <v>42009.0</v>
      </c>
      <c r="L596" s="1">
        <v>18.0</v>
      </c>
      <c r="M596" s="2">
        <v>42009.0</v>
      </c>
      <c r="N596" s="1" t="s">
        <v>249</v>
      </c>
      <c r="O596" s="2">
        <v>42030.0</v>
      </c>
      <c r="P596" s="1">
        <v>139484.0</v>
      </c>
      <c r="Q596" s="1">
        <v>84495.0</v>
      </c>
      <c r="S596" s="1">
        <v>8515.0</v>
      </c>
      <c r="T596" s="1" t="s">
        <v>7554</v>
      </c>
      <c r="U596" s="1" t="s">
        <v>189</v>
      </c>
      <c r="V596" s="1" t="s">
        <v>190</v>
      </c>
      <c r="W596" s="1">
        <v>60617.0</v>
      </c>
      <c r="Y596" s="1" t="s">
        <v>7555</v>
      </c>
      <c r="Z596" s="1">
        <v>1941.0</v>
      </c>
      <c r="AA596" s="1" t="s">
        <v>192</v>
      </c>
      <c r="AB596" s="1" t="s">
        <v>193</v>
      </c>
      <c r="AD596" s="1" t="s">
        <v>194</v>
      </c>
      <c r="AE596" s="1" t="s">
        <v>195</v>
      </c>
      <c r="AF596" s="1" t="s">
        <v>637</v>
      </c>
      <c r="AH596" s="1" t="s">
        <v>1501</v>
      </c>
      <c r="AK596" s="1">
        <v>7.0</v>
      </c>
      <c r="AL596" s="1">
        <v>4.0</v>
      </c>
      <c r="AM596" s="1">
        <v>1.0</v>
      </c>
      <c r="AN596" s="1">
        <v>0.0</v>
      </c>
      <c r="AO596" s="1" t="s">
        <v>229</v>
      </c>
      <c r="AQ596" s="1" t="s">
        <v>198</v>
      </c>
      <c r="AR596" s="1" t="s">
        <v>200</v>
      </c>
      <c r="AS596" s="1" t="s">
        <v>199</v>
      </c>
      <c r="AT596" s="1">
        <v>1.0</v>
      </c>
      <c r="AV596" s="1" t="s">
        <v>200</v>
      </c>
      <c r="AW596" s="1">
        <v>1250.0</v>
      </c>
      <c r="AX596" s="1">
        <v>2013.0</v>
      </c>
      <c r="AY596" s="1" t="s">
        <v>229</v>
      </c>
      <c r="AZ596" s="1" t="s">
        <v>200</v>
      </c>
      <c r="BA596" s="1" t="str">
        <f>"21313170050000"</f>
        <v>21313170050000</v>
      </c>
      <c r="BB596" s="1" t="s">
        <v>200</v>
      </c>
      <c r="BC596" s="1">
        <v>1350.0</v>
      </c>
      <c r="BD596" s="1">
        <v>39000.0</v>
      </c>
      <c r="BE596" s="2">
        <v>41992.0</v>
      </c>
      <c r="BF596" s="2" t="s">
        <v>7556</v>
      </c>
      <c r="BH596" s="1">
        <v>0.0</v>
      </c>
      <c r="BK596" s="1" t="s">
        <v>204</v>
      </c>
      <c r="BL596" s="1" t="str">
        <f>"0"</f>
        <v>0</v>
      </c>
      <c r="BM596" s="1" t="str">
        <f>"2450"</f>
        <v>2450</v>
      </c>
      <c r="BN596" s="1">
        <v>0.0</v>
      </c>
      <c r="BO596" s="1">
        <v>8500.0</v>
      </c>
      <c r="BQ596" s="1">
        <v>299.0</v>
      </c>
      <c r="BR596" s="1">
        <v>299.0</v>
      </c>
      <c r="BS596" s="1">
        <v>299.0</v>
      </c>
      <c r="BU596" s="1" t="s">
        <v>743</v>
      </c>
      <c r="BV596" s="1" t="s">
        <v>206</v>
      </c>
      <c r="BW596" s="1" t="s">
        <v>207</v>
      </c>
      <c r="BY596" s="1" t="s">
        <v>392</v>
      </c>
      <c r="BZ596" s="1" t="s">
        <v>206</v>
      </c>
      <c r="CA596" s="1" t="s">
        <v>207</v>
      </c>
      <c r="CC596" s="1" t="s">
        <v>212</v>
      </c>
      <c r="CD596" s="1" t="s">
        <v>206</v>
      </c>
      <c r="CE596" s="1" t="s">
        <v>207</v>
      </c>
      <c r="CG596" s="1" t="s">
        <v>212</v>
      </c>
      <c r="CH596" s="1" t="s">
        <v>206</v>
      </c>
      <c r="CI596" s="1" t="s">
        <v>207</v>
      </c>
      <c r="CK596" s="1" t="s">
        <v>758</v>
      </c>
      <c r="CL596" s="1" t="s">
        <v>209</v>
      </c>
      <c r="CM596" s="1" t="s">
        <v>210</v>
      </c>
      <c r="CO596" s="1" t="s">
        <v>647</v>
      </c>
      <c r="CP596" s="1" t="s">
        <v>209</v>
      </c>
      <c r="CQ596" s="1" t="s">
        <v>210</v>
      </c>
      <c r="CS596" s="1" t="s">
        <v>269</v>
      </c>
      <c r="CT596" s="1" t="s">
        <v>206</v>
      </c>
      <c r="CU596" s="1" t="s">
        <v>268</v>
      </c>
      <c r="CX596" s="1" t="s">
        <v>204</v>
      </c>
      <c r="DA596" s="1" t="s">
        <v>200</v>
      </c>
      <c r="DC596" s="1" t="s">
        <v>1399</v>
      </c>
      <c r="DE596" s="1" t="s">
        <v>229</v>
      </c>
      <c r="DF596" s="1" t="s">
        <v>4086</v>
      </c>
      <c r="DH596" s="1" t="s">
        <v>220</v>
      </c>
      <c r="DI596" s="1" t="s">
        <v>831</v>
      </c>
      <c r="DJ596" s="1" t="s">
        <v>222</v>
      </c>
      <c r="DL596" s="1" t="s">
        <v>223</v>
      </c>
      <c r="DM596" s="1" t="s">
        <v>229</v>
      </c>
      <c r="DQ596" s="1" t="s">
        <v>794</v>
      </c>
      <c r="DR596" s="1" t="s">
        <v>229</v>
      </c>
      <c r="DV596" s="1" t="s">
        <v>232</v>
      </c>
      <c r="DW596" s="1" t="s">
        <v>279</v>
      </c>
      <c r="DX596" s="1" t="s">
        <v>234</v>
      </c>
      <c r="EA596" s="1" t="s">
        <v>1075</v>
      </c>
      <c r="EC596" s="1" t="s">
        <v>645</v>
      </c>
      <c r="EE596" s="1" t="s">
        <v>1673</v>
      </c>
      <c r="EM596" s="1" t="s">
        <v>238</v>
      </c>
      <c r="EQ596" s="1" t="s">
        <v>238</v>
      </c>
      <c r="EU596" s="1" t="s">
        <v>238</v>
      </c>
      <c r="EY596" s="1" t="s">
        <v>238</v>
      </c>
      <c r="FC596" s="1" t="s">
        <v>238</v>
      </c>
      <c r="FF596" s="1" t="s">
        <v>239</v>
      </c>
      <c r="FG596" s="1" t="s">
        <v>192</v>
      </c>
      <c r="FH596" s="1" t="s">
        <v>192</v>
      </c>
      <c r="FJ596" s="1" t="s">
        <v>4863</v>
      </c>
      <c r="FK596" s="1" t="s">
        <v>229</v>
      </c>
      <c r="FL596" s="1" t="s">
        <v>7557</v>
      </c>
      <c r="FM596" s="1">
        <v>84495.0</v>
      </c>
      <c r="FN596" s="1" t="s">
        <v>7558</v>
      </c>
      <c r="FO596" s="1" t="s">
        <v>7559</v>
      </c>
      <c r="FP596" s="1">
        <v>139484.0</v>
      </c>
      <c r="FQ596" s="1" t="s">
        <v>7558</v>
      </c>
      <c r="FU596" s="1" t="s">
        <v>710</v>
      </c>
      <c r="FV596" s="1" t="s">
        <v>192</v>
      </c>
      <c r="FW596" s="1" t="s">
        <v>290</v>
      </c>
      <c r="FX596" s="1" t="s">
        <v>655</v>
      </c>
      <c r="FZ596" s="1" t="s">
        <v>229</v>
      </c>
      <c r="GA596" s="1" t="s">
        <v>291</v>
      </c>
      <c r="GB596" s="2">
        <v>42030.0</v>
      </c>
      <c r="GC596" s="1" t="s">
        <v>7560</v>
      </c>
    </row>
    <row r="597">
      <c r="A597" s="1">
        <v>68224.0</v>
      </c>
      <c r="B597" s="1" t="s">
        <v>185</v>
      </c>
      <c r="C597" s="1" t="str">
        <f>"08804377"</f>
        <v>08804377</v>
      </c>
      <c r="D597" s="1" t="s">
        <v>186</v>
      </c>
      <c r="F597" s="1" t="str">
        <f>"174"</f>
        <v>174</v>
      </c>
      <c r="G597" s="2">
        <v>41992.0</v>
      </c>
      <c r="H597" s="1">
        <v>66780.0</v>
      </c>
      <c r="I597" s="1">
        <v>8.0</v>
      </c>
      <c r="J597" s="1">
        <v>66780.0</v>
      </c>
      <c r="K597" s="2">
        <v>41999.0</v>
      </c>
      <c r="L597" s="1">
        <v>8.0</v>
      </c>
      <c r="M597" s="2">
        <v>41999.0</v>
      </c>
      <c r="N597" s="1" t="s">
        <v>249</v>
      </c>
      <c r="O597" s="2">
        <v>42020.0</v>
      </c>
      <c r="P597" s="1">
        <v>36925.0</v>
      </c>
      <c r="Q597" s="1">
        <v>3811.0</v>
      </c>
      <c r="S597" s="1" t="s">
        <v>7561</v>
      </c>
      <c r="T597" s="1" t="s">
        <v>7562</v>
      </c>
      <c r="U597" s="1" t="s">
        <v>982</v>
      </c>
      <c r="V597" s="1" t="s">
        <v>1200</v>
      </c>
      <c r="W597" s="1">
        <v>60174.0</v>
      </c>
      <c r="Y597" s="1" t="s">
        <v>7563</v>
      </c>
      <c r="Z597" s="1">
        <v>1959.0</v>
      </c>
      <c r="AA597" s="1" t="s">
        <v>192</v>
      </c>
      <c r="AB597" s="1" t="s">
        <v>193</v>
      </c>
      <c r="AD597" s="1" t="s">
        <v>1203</v>
      </c>
      <c r="AE597" s="1" t="s">
        <v>325</v>
      </c>
      <c r="AF597" s="1" t="s">
        <v>1203</v>
      </c>
      <c r="AH597" s="1">
        <v>9555.0</v>
      </c>
      <c r="AI597" s="1">
        <v>0.2345</v>
      </c>
      <c r="AK597" s="1">
        <v>8.0</v>
      </c>
      <c r="AL597" s="1">
        <v>4.0</v>
      </c>
      <c r="AM597" s="1">
        <v>1.0</v>
      </c>
      <c r="AN597" s="1">
        <v>0.0</v>
      </c>
      <c r="AO597" s="1" t="s">
        <v>229</v>
      </c>
      <c r="AQ597" s="1" t="s">
        <v>229</v>
      </c>
      <c r="AR597" s="1" t="s">
        <v>200</v>
      </c>
      <c r="AS597" s="1" t="s">
        <v>199</v>
      </c>
      <c r="AT597" s="1">
        <v>1.0</v>
      </c>
      <c r="AV597" s="1" t="s">
        <v>200</v>
      </c>
      <c r="AW597" s="1">
        <v>3395.52</v>
      </c>
      <c r="AX597" s="1">
        <v>2013.0</v>
      </c>
      <c r="AZ597" s="1" t="s">
        <v>545</v>
      </c>
      <c r="BA597" s="1" t="str">
        <f>"0911356026"</f>
        <v>0911356026</v>
      </c>
      <c r="BC597" s="1">
        <v>1360.0</v>
      </c>
      <c r="BD597" s="1">
        <v>68224.0</v>
      </c>
      <c r="BE597" s="2">
        <v>41992.0</v>
      </c>
      <c r="BF597" s="2" t="s">
        <v>3507</v>
      </c>
      <c r="BH597" s="1">
        <v>0.0</v>
      </c>
      <c r="BK597" s="1" t="s">
        <v>204</v>
      </c>
      <c r="BL597" s="1" t="str">
        <f>"6"</f>
        <v>6</v>
      </c>
      <c r="BM597" s="1" t="str">
        <f>""</f>
        <v/>
      </c>
      <c r="BN597" s="1">
        <v>6.0</v>
      </c>
      <c r="BQ597" s="1">
        <v>303.0</v>
      </c>
      <c r="BR597" s="1">
        <v>303.0</v>
      </c>
      <c r="BS597" s="1">
        <v>303.0</v>
      </c>
      <c r="BU597" s="1" t="s">
        <v>433</v>
      </c>
      <c r="BV597" s="1" t="s">
        <v>206</v>
      </c>
      <c r="BY597" s="1" t="s">
        <v>1063</v>
      </c>
      <c r="BZ597" s="1" t="s">
        <v>206</v>
      </c>
      <c r="CC597" s="1" t="s">
        <v>269</v>
      </c>
      <c r="CD597" s="1" t="s">
        <v>206</v>
      </c>
      <c r="CG597" s="1" t="s">
        <v>830</v>
      </c>
      <c r="CH597" s="1" t="s">
        <v>206</v>
      </c>
      <c r="CK597" s="1" t="s">
        <v>433</v>
      </c>
      <c r="CL597" s="1" t="s">
        <v>206</v>
      </c>
      <c r="CO597" s="1" t="s">
        <v>269</v>
      </c>
      <c r="CP597" s="1" t="s">
        <v>206</v>
      </c>
      <c r="CS597" s="1" t="s">
        <v>269</v>
      </c>
      <c r="CT597" s="1" t="s">
        <v>206</v>
      </c>
      <c r="CW597" s="1" t="s">
        <v>2082</v>
      </c>
      <c r="CX597" s="1" t="s">
        <v>206</v>
      </c>
      <c r="DA597" s="1" t="s">
        <v>200</v>
      </c>
      <c r="DC597" s="1" t="s">
        <v>271</v>
      </c>
      <c r="DE597" s="1" t="s">
        <v>273</v>
      </c>
      <c r="DF597" s="1" t="s">
        <v>219</v>
      </c>
      <c r="DH597" s="1" t="s">
        <v>220</v>
      </c>
      <c r="DJ597" s="1" t="s">
        <v>222</v>
      </c>
      <c r="DL597" s="1" t="s">
        <v>229</v>
      </c>
      <c r="DM597" s="1" t="s">
        <v>229</v>
      </c>
      <c r="DQ597" s="1" t="s">
        <v>228</v>
      </c>
      <c r="DR597" s="1" t="s">
        <v>229</v>
      </c>
      <c r="DV597" s="1" t="s">
        <v>232</v>
      </c>
      <c r="DW597" s="1" t="s">
        <v>667</v>
      </c>
      <c r="DX597" s="1" t="s">
        <v>234</v>
      </c>
      <c r="EC597" s="1" t="s">
        <v>685</v>
      </c>
      <c r="EE597" s="1" t="s">
        <v>1960</v>
      </c>
      <c r="EM597" s="1" t="s">
        <v>238</v>
      </c>
      <c r="EQ597" s="1" t="s">
        <v>238</v>
      </c>
      <c r="EU597" s="1" t="s">
        <v>238</v>
      </c>
      <c r="EY597" s="1" t="s">
        <v>238</v>
      </c>
      <c r="FC597" s="1" t="s">
        <v>238</v>
      </c>
      <c r="FF597" s="1" t="s">
        <v>239</v>
      </c>
      <c r="FG597" s="1" t="s">
        <v>192</v>
      </c>
      <c r="FH597" s="1" t="s">
        <v>192</v>
      </c>
      <c r="FJ597" s="1" t="s">
        <v>347</v>
      </c>
      <c r="FK597" s="1" t="s">
        <v>229</v>
      </c>
      <c r="FL597" s="1" t="s">
        <v>3033</v>
      </c>
      <c r="FM597" s="1">
        <v>1984.0</v>
      </c>
      <c r="FN597" s="1" t="s">
        <v>3034</v>
      </c>
      <c r="FO597" s="1" t="s">
        <v>3035</v>
      </c>
      <c r="FP597" s="1">
        <v>922950.0</v>
      </c>
      <c r="FU597" s="1" t="s">
        <v>3036</v>
      </c>
      <c r="FV597" s="1" t="s">
        <v>200</v>
      </c>
      <c r="FW597" s="1" t="s">
        <v>4335</v>
      </c>
      <c r="FZ597" s="1" t="s">
        <v>229</v>
      </c>
      <c r="GA597" s="1" t="s">
        <v>291</v>
      </c>
      <c r="GB597" s="2">
        <v>42022.0</v>
      </c>
      <c r="GC597" s="1" t="s">
        <v>7564</v>
      </c>
    </row>
    <row r="598">
      <c r="A598" s="1">
        <v>624000.0</v>
      </c>
      <c r="B598" s="1" t="s">
        <v>185</v>
      </c>
      <c r="C598" s="1" t="str">
        <f>"08858877"</f>
        <v>08858877</v>
      </c>
      <c r="D598" s="1" t="s">
        <v>186</v>
      </c>
      <c r="F598" s="1" t="str">
        <f>"8016"</f>
        <v>8016</v>
      </c>
      <c r="G598" s="2">
        <v>42074.0</v>
      </c>
      <c r="H598" s="1">
        <v>649900.0</v>
      </c>
      <c r="I598" s="1">
        <v>13.0</v>
      </c>
      <c r="J598" s="1">
        <v>649900.0</v>
      </c>
      <c r="K598" s="2">
        <v>42086.0</v>
      </c>
      <c r="L598" s="1">
        <v>13.0</v>
      </c>
      <c r="M598" s="2">
        <v>42086.0</v>
      </c>
      <c r="N598" s="1" t="s">
        <v>187</v>
      </c>
      <c r="O598" s="2">
        <v>42131.0</v>
      </c>
      <c r="P598" s="1">
        <v>99999.0</v>
      </c>
      <c r="Q598" s="1" t="s">
        <v>947</v>
      </c>
      <c r="S598" s="1">
        <v>4028.0</v>
      </c>
      <c r="T598" s="1" t="s">
        <v>7565</v>
      </c>
      <c r="U598" s="1" t="s">
        <v>189</v>
      </c>
      <c r="V598" s="1" t="s">
        <v>190</v>
      </c>
      <c r="W598" s="1">
        <v>60618.0</v>
      </c>
      <c r="X598" s="1">
        <v>2114.0</v>
      </c>
      <c r="Y598" s="1" t="s">
        <v>7566</v>
      </c>
      <c r="Z598" s="1">
        <v>1906.0</v>
      </c>
      <c r="AA598" s="1" t="s">
        <v>192</v>
      </c>
      <c r="AB598" s="1" t="s">
        <v>193</v>
      </c>
      <c r="AC598" s="1" t="s">
        <v>7567</v>
      </c>
      <c r="AD598" s="1" t="s">
        <v>194</v>
      </c>
      <c r="AE598" s="1" t="s">
        <v>195</v>
      </c>
      <c r="AF598" s="1" t="s">
        <v>534</v>
      </c>
      <c r="AG598" s="1" t="s">
        <v>5103</v>
      </c>
      <c r="AH598" s="1" t="s">
        <v>7548</v>
      </c>
      <c r="AI598" s="1">
        <v>0.1085</v>
      </c>
      <c r="AK598" s="1">
        <v>9.0</v>
      </c>
      <c r="AL598" s="1">
        <v>3.0</v>
      </c>
      <c r="AM598" s="1">
        <v>3.0</v>
      </c>
      <c r="AN598" s="1">
        <v>1.0</v>
      </c>
      <c r="AO598" s="1" t="s">
        <v>198</v>
      </c>
      <c r="AQ598" s="1" t="s">
        <v>198</v>
      </c>
      <c r="AR598" s="1" t="s">
        <v>192</v>
      </c>
      <c r="AS598" s="1" t="s">
        <v>510</v>
      </c>
      <c r="AT598" s="1">
        <v>2.0</v>
      </c>
      <c r="AU598" s="1">
        <v>2.0</v>
      </c>
      <c r="AV598" s="1" t="s">
        <v>200</v>
      </c>
      <c r="AW598" s="1">
        <v>5551.84</v>
      </c>
      <c r="AX598" s="1">
        <v>2013.0</v>
      </c>
      <c r="AY598" s="1" t="s">
        <v>229</v>
      </c>
      <c r="AZ598" s="1" t="s">
        <v>545</v>
      </c>
      <c r="BA598" s="1" t="str">
        <f>"13143330190000"</f>
        <v>13143330190000</v>
      </c>
      <c r="BC598" s="1">
        <v>3000.0</v>
      </c>
      <c r="BD598" s="1">
        <v>624000.0</v>
      </c>
      <c r="BE598" s="2">
        <v>42074.0</v>
      </c>
      <c r="BF598" s="2" t="s">
        <v>7568</v>
      </c>
      <c r="BG598" s="1" t="s">
        <v>7569</v>
      </c>
      <c r="BH598" s="1">
        <v>0.0</v>
      </c>
      <c r="BK598" s="1" t="s">
        <v>204</v>
      </c>
      <c r="BL598" s="1" t="str">
        <f>"4028"</f>
        <v>4028</v>
      </c>
      <c r="BM598" s="1" t="str">
        <f>"0"</f>
        <v>0</v>
      </c>
      <c r="BN598" s="1">
        <v>3600.0</v>
      </c>
      <c r="BO598" s="1">
        <v>0.0</v>
      </c>
      <c r="BQ598" s="1">
        <v>299.0</v>
      </c>
      <c r="BR598" s="1">
        <v>299.0</v>
      </c>
      <c r="BS598" s="1">
        <v>299.0</v>
      </c>
      <c r="BU598" s="1" t="s">
        <v>393</v>
      </c>
      <c r="BV598" s="1" t="s">
        <v>206</v>
      </c>
      <c r="BW598" s="1" t="s">
        <v>207</v>
      </c>
      <c r="BX598" s="1" t="s">
        <v>229</v>
      </c>
      <c r="BY598" s="1" t="s">
        <v>212</v>
      </c>
      <c r="BZ598" s="1" t="s">
        <v>209</v>
      </c>
      <c r="CA598" s="1" t="s">
        <v>207</v>
      </c>
      <c r="CB598" s="1" t="s">
        <v>229</v>
      </c>
      <c r="CC598" s="1" t="s">
        <v>363</v>
      </c>
      <c r="CD598" s="1" t="s">
        <v>206</v>
      </c>
      <c r="CE598" s="1" t="s">
        <v>207</v>
      </c>
      <c r="CF598" s="1" t="s">
        <v>229</v>
      </c>
      <c r="CG598" s="1" t="s">
        <v>699</v>
      </c>
      <c r="CH598" s="1" t="s">
        <v>209</v>
      </c>
      <c r="CI598" s="1" t="s">
        <v>207</v>
      </c>
      <c r="CJ598" s="1" t="s">
        <v>229</v>
      </c>
      <c r="CK598" s="1" t="s">
        <v>265</v>
      </c>
      <c r="CL598" s="1" t="s">
        <v>209</v>
      </c>
      <c r="CM598" s="1" t="s">
        <v>207</v>
      </c>
      <c r="CO598" s="1" t="s">
        <v>495</v>
      </c>
      <c r="CP598" s="1" t="s">
        <v>42</v>
      </c>
      <c r="CQ598" s="1" t="s">
        <v>210</v>
      </c>
      <c r="CR598" s="1" t="s">
        <v>229</v>
      </c>
      <c r="CS598" s="1" t="s">
        <v>392</v>
      </c>
      <c r="CT598" s="1" t="s">
        <v>206</v>
      </c>
      <c r="CU598" s="1" t="s">
        <v>207</v>
      </c>
      <c r="CV598" s="1" t="s">
        <v>229</v>
      </c>
      <c r="CW598" s="1" t="s">
        <v>2224</v>
      </c>
      <c r="CX598" s="1" t="s">
        <v>42</v>
      </c>
      <c r="CY598" s="1" t="s">
        <v>210</v>
      </c>
      <c r="CZ598" s="1" t="s">
        <v>229</v>
      </c>
      <c r="DA598" s="1" t="s">
        <v>200</v>
      </c>
      <c r="DC598" s="1" t="s">
        <v>642</v>
      </c>
      <c r="DD598" s="1" t="s">
        <v>306</v>
      </c>
      <c r="DE598" s="1" t="s">
        <v>273</v>
      </c>
      <c r="DF598" s="1" t="s">
        <v>219</v>
      </c>
      <c r="DG598" s="1" t="s">
        <v>3175</v>
      </c>
      <c r="DH598" s="1" t="s">
        <v>365</v>
      </c>
      <c r="DI598" s="1" t="s">
        <v>7570</v>
      </c>
      <c r="DJ598" s="1" t="s">
        <v>222</v>
      </c>
      <c r="DK598" s="1" t="s">
        <v>4233</v>
      </c>
      <c r="DL598" s="1" t="s">
        <v>1161</v>
      </c>
      <c r="DM598" s="1" t="s">
        <v>1143</v>
      </c>
      <c r="DN598" s="1" t="s">
        <v>548</v>
      </c>
      <c r="DO598" s="1" t="s">
        <v>549</v>
      </c>
      <c r="DP598" s="1" t="s">
        <v>276</v>
      </c>
      <c r="DQ598" s="1" t="s">
        <v>441</v>
      </c>
      <c r="DR598" s="1" t="s">
        <v>229</v>
      </c>
      <c r="DU598" s="1" t="s">
        <v>550</v>
      </c>
      <c r="DV598" s="1" t="s">
        <v>7571</v>
      </c>
      <c r="DW598" s="1" t="s">
        <v>233</v>
      </c>
      <c r="DX598" s="1" t="s">
        <v>234</v>
      </c>
      <c r="DY598" s="1" t="s">
        <v>7572</v>
      </c>
      <c r="DZ598" s="1" t="s">
        <v>7573</v>
      </c>
      <c r="EA598" s="1" t="s">
        <v>622</v>
      </c>
      <c r="EC598" s="1" t="s">
        <v>4792</v>
      </c>
      <c r="ED598" s="1" t="s">
        <v>555</v>
      </c>
      <c r="EE598" s="1" t="s">
        <v>187</v>
      </c>
      <c r="EF598" s="1" t="s">
        <v>834</v>
      </c>
      <c r="EG598" s="1" t="s">
        <v>1467</v>
      </c>
      <c r="EI598" s="1" t="s">
        <v>408</v>
      </c>
      <c r="EJ598" s="1" t="s">
        <v>1270</v>
      </c>
      <c r="EK598" s="1" t="s">
        <v>310</v>
      </c>
      <c r="EL598" s="1" t="s">
        <v>7413</v>
      </c>
      <c r="EM598" s="1" t="s">
        <v>391</v>
      </c>
      <c r="EN598" s="1" t="s">
        <v>210</v>
      </c>
      <c r="EO598" s="1" t="s">
        <v>229</v>
      </c>
      <c r="EQ598" s="1" t="s">
        <v>238</v>
      </c>
      <c r="ET598" s="1" t="s">
        <v>543</v>
      </c>
      <c r="EU598" s="1" t="s">
        <v>206</v>
      </c>
      <c r="EV598" s="1" t="s">
        <v>207</v>
      </c>
      <c r="EW598" s="1" t="s">
        <v>229</v>
      </c>
      <c r="EX598" s="1" t="s">
        <v>559</v>
      </c>
      <c r="EY598" s="1" t="s">
        <v>42</v>
      </c>
      <c r="EZ598" s="1" t="s">
        <v>268</v>
      </c>
      <c r="FA598" s="1" t="s">
        <v>229</v>
      </c>
      <c r="FB598" s="1" t="s">
        <v>269</v>
      </c>
      <c r="FC598" s="1" t="s">
        <v>206</v>
      </c>
      <c r="FD598" s="1" t="s">
        <v>588</v>
      </c>
      <c r="FE598" s="1" t="s">
        <v>229</v>
      </c>
      <c r="FF598" s="1" t="s">
        <v>239</v>
      </c>
      <c r="FG598" s="1" t="s">
        <v>192</v>
      </c>
      <c r="FH598" s="1" t="s">
        <v>192</v>
      </c>
      <c r="FJ598" s="1" t="s">
        <v>799</v>
      </c>
      <c r="FK598" s="1" t="s">
        <v>229</v>
      </c>
      <c r="FL598" s="1" t="s">
        <v>562</v>
      </c>
      <c r="FM598" s="1">
        <v>84307.0</v>
      </c>
      <c r="FN598" s="1" t="s">
        <v>7195</v>
      </c>
      <c r="FO598" s="1" t="s">
        <v>7574</v>
      </c>
      <c r="FP598" s="1">
        <v>127449.0</v>
      </c>
      <c r="FQ598" s="1" t="s">
        <v>7575</v>
      </c>
      <c r="FU598" s="1" t="s">
        <v>7576</v>
      </c>
      <c r="FV598" s="1" t="s">
        <v>192</v>
      </c>
      <c r="FW598" s="1" t="s">
        <v>7577</v>
      </c>
      <c r="FX598" s="1" t="s">
        <v>238</v>
      </c>
      <c r="FZ598" s="1" t="s">
        <v>229</v>
      </c>
      <c r="GA598" s="1" t="s">
        <v>291</v>
      </c>
      <c r="GB598" s="2">
        <v>42131.0</v>
      </c>
      <c r="GC598" s="1" t="s">
        <v>7578</v>
      </c>
    </row>
    <row r="599">
      <c r="A599" s="1">
        <v>380000.0</v>
      </c>
      <c r="B599" s="1" t="s">
        <v>185</v>
      </c>
      <c r="C599" s="1" t="str">
        <f>"08805962"</f>
        <v>08805962</v>
      </c>
      <c r="D599" s="1" t="s">
        <v>186</v>
      </c>
      <c r="F599" s="1" t="str">
        <f>"174"</f>
        <v>174</v>
      </c>
      <c r="G599" s="2">
        <v>41997.0</v>
      </c>
      <c r="H599" s="1">
        <v>415000.0</v>
      </c>
      <c r="I599" s="1">
        <v>388.0</v>
      </c>
      <c r="J599" s="1">
        <v>381800.0</v>
      </c>
      <c r="K599" s="2">
        <v>42090.0</v>
      </c>
      <c r="L599" s="1">
        <v>94.0</v>
      </c>
      <c r="M599" s="2">
        <v>42090.0</v>
      </c>
      <c r="N599" s="1" t="s">
        <v>249</v>
      </c>
      <c r="O599" s="2">
        <v>42121.0</v>
      </c>
      <c r="P599" s="1">
        <v>1455.0</v>
      </c>
      <c r="Q599" s="1">
        <v>357.0</v>
      </c>
      <c r="S599" s="1">
        <v>2708.0</v>
      </c>
      <c r="T599" s="1" t="s">
        <v>7579</v>
      </c>
      <c r="U599" s="1" t="s">
        <v>420</v>
      </c>
      <c r="V599" s="1" t="s">
        <v>1200</v>
      </c>
      <c r="W599" s="1">
        <v>60174.0</v>
      </c>
      <c r="Y599" s="1" t="s">
        <v>7580</v>
      </c>
      <c r="Z599" s="1">
        <v>1990.0</v>
      </c>
      <c r="AA599" s="1" t="s">
        <v>200</v>
      </c>
      <c r="AB599" s="1" t="s">
        <v>193</v>
      </c>
      <c r="AD599" s="1" t="s">
        <v>1203</v>
      </c>
      <c r="AE599" s="1" t="s">
        <v>325</v>
      </c>
      <c r="AF599" s="1" t="s">
        <v>1203</v>
      </c>
      <c r="AH599" s="1" t="s">
        <v>7581</v>
      </c>
      <c r="AK599" s="1">
        <v>8.0</v>
      </c>
      <c r="AL599" s="1">
        <v>4.0</v>
      </c>
      <c r="AM599" s="1">
        <v>3.0</v>
      </c>
      <c r="AN599" s="1">
        <v>1.0</v>
      </c>
      <c r="AO599" s="1" t="s">
        <v>198</v>
      </c>
      <c r="AP599" s="1">
        <v>2.0</v>
      </c>
      <c r="AQ599" s="1" t="s">
        <v>198</v>
      </c>
      <c r="AR599" s="1" t="s">
        <v>200</v>
      </c>
      <c r="AS599" s="1" t="s">
        <v>199</v>
      </c>
      <c r="AT599" s="1">
        <v>3.0</v>
      </c>
      <c r="AV599" s="1" t="s">
        <v>200</v>
      </c>
      <c r="AW599" s="1">
        <v>13408.0</v>
      </c>
      <c r="AX599" s="1">
        <v>2013.0</v>
      </c>
      <c r="AY599" s="1" t="s">
        <v>387</v>
      </c>
      <c r="AZ599" s="1" t="s">
        <v>192</v>
      </c>
      <c r="BA599" s="1" t="str">
        <f>"0924326004"</f>
        <v>0924326004</v>
      </c>
      <c r="BB599" s="1" t="s">
        <v>200</v>
      </c>
      <c r="BC599" s="1">
        <v>0.0</v>
      </c>
      <c r="BD599" s="1">
        <v>380000.0</v>
      </c>
      <c r="BE599" s="2">
        <v>41997.0</v>
      </c>
      <c r="BF599" s="2" t="s">
        <v>7582</v>
      </c>
      <c r="BH599" s="1">
        <v>75.0</v>
      </c>
      <c r="BK599" s="1" t="s">
        <v>580</v>
      </c>
      <c r="BL599" s="1" t="str">
        <f t="shared" ref="BL599:BM599" si="403">""</f>
        <v/>
      </c>
      <c r="BM599" s="1" t="str">
        <f t="shared" si="403"/>
        <v/>
      </c>
      <c r="BQ599" s="1">
        <v>303.0</v>
      </c>
      <c r="BR599" s="1">
        <v>303.0</v>
      </c>
      <c r="BS599" s="1">
        <v>303.0</v>
      </c>
      <c r="BU599" s="1" t="s">
        <v>454</v>
      </c>
      <c r="BV599" s="1" t="s">
        <v>206</v>
      </c>
      <c r="BW599" s="1" t="s">
        <v>210</v>
      </c>
      <c r="BX599" s="1" t="s">
        <v>239</v>
      </c>
      <c r="BY599" s="1" t="s">
        <v>544</v>
      </c>
      <c r="BZ599" s="1" t="s">
        <v>209</v>
      </c>
      <c r="CA599" s="1" t="s">
        <v>210</v>
      </c>
      <c r="CB599" s="1" t="s">
        <v>239</v>
      </c>
      <c r="CC599" s="1" t="s">
        <v>647</v>
      </c>
      <c r="CD599" s="1" t="s">
        <v>206</v>
      </c>
      <c r="CE599" s="1" t="s">
        <v>210</v>
      </c>
      <c r="CF599" s="1" t="s">
        <v>239</v>
      </c>
      <c r="CG599" s="1" t="s">
        <v>332</v>
      </c>
      <c r="CH599" s="1" t="s">
        <v>209</v>
      </c>
      <c r="CI599" s="1" t="s">
        <v>210</v>
      </c>
      <c r="CK599" s="1" t="s">
        <v>212</v>
      </c>
      <c r="CL599" s="1" t="s">
        <v>209</v>
      </c>
      <c r="CM599" s="1" t="s">
        <v>210</v>
      </c>
      <c r="CO599" s="1" t="s">
        <v>212</v>
      </c>
      <c r="CP599" s="1" t="s">
        <v>209</v>
      </c>
      <c r="CQ599" s="1" t="s">
        <v>210</v>
      </c>
      <c r="CS599" s="1" t="s">
        <v>925</v>
      </c>
      <c r="CT599" s="1" t="s">
        <v>206</v>
      </c>
      <c r="CU599" s="1" t="s">
        <v>207</v>
      </c>
      <c r="CW599" s="1" t="s">
        <v>544</v>
      </c>
      <c r="CX599" s="1" t="s">
        <v>206</v>
      </c>
      <c r="CY599" s="1" t="s">
        <v>210</v>
      </c>
      <c r="DA599" s="1" t="s">
        <v>200</v>
      </c>
      <c r="DC599" s="1" t="s">
        <v>435</v>
      </c>
      <c r="DE599" s="1" t="s">
        <v>218</v>
      </c>
      <c r="DF599" s="1" t="s">
        <v>745</v>
      </c>
      <c r="DH599" s="1" t="s">
        <v>220</v>
      </c>
      <c r="DJ599" s="1" t="s">
        <v>222</v>
      </c>
      <c r="DK599" s="1" t="s">
        <v>223</v>
      </c>
      <c r="DL599" s="1" t="s">
        <v>1161</v>
      </c>
      <c r="DM599" s="1" t="s">
        <v>229</v>
      </c>
      <c r="DN599" s="1" t="s">
        <v>439</v>
      </c>
      <c r="DQ599" s="1" t="s">
        <v>1557</v>
      </c>
      <c r="DR599" s="1" t="s">
        <v>229</v>
      </c>
      <c r="DS599" s="1" t="s">
        <v>368</v>
      </c>
      <c r="DU599" s="1" t="s">
        <v>7583</v>
      </c>
      <c r="DV599" s="1" t="s">
        <v>232</v>
      </c>
      <c r="DW599" s="1" t="s">
        <v>279</v>
      </c>
      <c r="DX599" s="1" t="s">
        <v>588</v>
      </c>
      <c r="DZ599" s="1" t="s">
        <v>310</v>
      </c>
      <c r="EC599" s="1" t="s">
        <v>237</v>
      </c>
      <c r="ED599" s="1" t="s">
        <v>407</v>
      </c>
      <c r="EM599" s="1" t="s">
        <v>238</v>
      </c>
      <c r="EQ599" s="1" t="s">
        <v>238</v>
      </c>
      <c r="EU599" s="1" t="s">
        <v>238</v>
      </c>
      <c r="EY599" s="1" t="s">
        <v>238</v>
      </c>
      <c r="FC599" s="1" t="s">
        <v>238</v>
      </c>
      <c r="FF599" s="1" t="s">
        <v>239</v>
      </c>
      <c r="FG599" s="1" t="s">
        <v>192</v>
      </c>
      <c r="FH599" s="1" t="s">
        <v>192</v>
      </c>
      <c r="FJ599" s="1" t="s">
        <v>524</v>
      </c>
      <c r="FK599" s="1" t="s">
        <v>348</v>
      </c>
      <c r="FL599" s="1" t="s">
        <v>602</v>
      </c>
      <c r="FM599" s="1">
        <v>25645.0</v>
      </c>
      <c r="FN599" s="1" t="s">
        <v>603</v>
      </c>
      <c r="FO599" s="1" t="s">
        <v>7584</v>
      </c>
      <c r="FP599" s="1">
        <v>89449.0</v>
      </c>
      <c r="FQ599" s="1" t="s">
        <v>7585</v>
      </c>
      <c r="FU599" s="1" t="s">
        <v>7586</v>
      </c>
      <c r="FV599" s="1" t="s">
        <v>200</v>
      </c>
      <c r="FW599" s="1" t="s">
        <v>4583</v>
      </c>
      <c r="FZ599" s="1" t="s">
        <v>229</v>
      </c>
      <c r="GA599" s="1" t="s">
        <v>291</v>
      </c>
      <c r="GB599" s="2">
        <v>42122.0</v>
      </c>
      <c r="GC599" s="1" t="s">
        <v>7587</v>
      </c>
    </row>
    <row r="600">
      <c r="A600" s="1">
        <v>274500.0</v>
      </c>
      <c r="B600" s="1" t="s">
        <v>185</v>
      </c>
      <c r="C600" s="1" t="str">
        <f>"08807453"</f>
        <v>08807453</v>
      </c>
      <c r="D600" s="1" t="s">
        <v>186</v>
      </c>
      <c r="F600" s="1" t="str">
        <f>"510"</f>
        <v>510</v>
      </c>
      <c r="G600" s="2">
        <v>42003.0</v>
      </c>
      <c r="H600" s="1">
        <v>287000.0</v>
      </c>
      <c r="I600" s="1">
        <v>37.0</v>
      </c>
      <c r="J600" s="1">
        <v>287000.0</v>
      </c>
      <c r="K600" s="2">
        <v>42038.0</v>
      </c>
      <c r="L600" s="1">
        <v>37.0</v>
      </c>
      <c r="M600" s="2">
        <v>42038.0</v>
      </c>
      <c r="N600" s="1" t="s">
        <v>187</v>
      </c>
      <c r="O600" s="2">
        <v>42094.0</v>
      </c>
      <c r="P600" s="1">
        <v>381.0</v>
      </c>
      <c r="Q600" s="1">
        <v>604.0</v>
      </c>
      <c r="S600" s="1">
        <v>733.0</v>
      </c>
      <c r="T600" s="1" t="s">
        <v>7588</v>
      </c>
      <c r="U600" s="1" t="s">
        <v>569</v>
      </c>
      <c r="V600" s="1" t="s">
        <v>2700</v>
      </c>
      <c r="W600" s="1">
        <v>60510.0</v>
      </c>
      <c r="Y600" s="1" t="s">
        <v>7589</v>
      </c>
      <c r="Z600" s="1">
        <v>1990.0</v>
      </c>
      <c r="AA600" s="1" t="s">
        <v>200</v>
      </c>
      <c r="AB600" s="1" t="s">
        <v>193</v>
      </c>
      <c r="AC600" s="1" t="s">
        <v>7590</v>
      </c>
      <c r="AD600" s="1" t="s">
        <v>2702</v>
      </c>
      <c r="AE600" s="1" t="s">
        <v>325</v>
      </c>
      <c r="AF600" s="1" t="s">
        <v>2702</v>
      </c>
      <c r="AH600" s="1" t="s">
        <v>7591</v>
      </c>
      <c r="AK600" s="1">
        <v>10.0</v>
      </c>
      <c r="AL600" s="1">
        <v>4.0</v>
      </c>
      <c r="AM600" s="1">
        <v>3.0</v>
      </c>
      <c r="AN600" s="1">
        <v>0.0</v>
      </c>
      <c r="AO600" s="1" t="s">
        <v>198</v>
      </c>
      <c r="AP600" s="1">
        <v>1.0</v>
      </c>
      <c r="AQ600" s="1" t="s">
        <v>198</v>
      </c>
      <c r="AR600" s="1" t="s">
        <v>200</v>
      </c>
      <c r="AS600" s="1" t="s">
        <v>199</v>
      </c>
      <c r="AT600" s="1">
        <v>2.0</v>
      </c>
      <c r="AV600" s="1" t="s">
        <v>200</v>
      </c>
      <c r="AW600" s="1">
        <v>8818.0</v>
      </c>
      <c r="AX600" s="1">
        <v>2013.0</v>
      </c>
      <c r="AY600" s="1" t="s">
        <v>387</v>
      </c>
      <c r="AZ600" s="1" t="s">
        <v>200</v>
      </c>
      <c r="BA600" s="1" t="str">
        <f>"12214510130000"</f>
        <v>12214510130000</v>
      </c>
      <c r="BB600" s="1" t="s">
        <v>200</v>
      </c>
      <c r="BC600" s="1">
        <v>2414.0</v>
      </c>
      <c r="BD600" s="1">
        <v>274500.0</v>
      </c>
      <c r="BE600" s="2">
        <v>42002.0</v>
      </c>
      <c r="BF600" s="2" t="s">
        <v>7592</v>
      </c>
      <c r="BG600" s="1" t="s">
        <v>5940</v>
      </c>
      <c r="BH600" s="1">
        <v>0.0</v>
      </c>
      <c r="BI600" s="1" t="s">
        <v>3090</v>
      </c>
      <c r="BJ600" s="1" t="s">
        <v>3091</v>
      </c>
      <c r="BK600" s="1" t="s">
        <v>204</v>
      </c>
      <c r="BL600" s="1" t="str">
        <f t="shared" ref="BL600:BM600" si="404">"0"</f>
        <v>0</v>
      </c>
      <c r="BM600" s="1" t="str">
        <f t="shared" si="404"/>
        <v>0</v>
      </c>
      <c r="BN600" s="1">
        <v>6.0</v>
      </c>
      <c r="BO600" s="1">
        <v>2.0</v>
      </c>
      <c r="BQ600" s="1">
        <v>101.0</v>
      </c>
      <c r="BR600" s="1">
        <v>101.0</v>
      </c>
      <c r="BS600" s="1">
        <v>101.0</v>
      </c>
      <c r="BU600" s="1" t="s">
        <v>729</v>
      </c>
      <c r="BV600" s="1" t="s">
        <v>206</v>
      </c>
      <c r="BW600" s="1" t="s">
        <v>207</v>
      </c>
      <c r="BX600" s="1" t="s">
        <v>239</v>
      </c>
      <c r="BY600" s="1" t="s">
        <v>616</v>
      </c>
      <c r="BZ600" s="1" t="s">
        <v>209</v>
      </c>
      <c r="CA600" s="1" t="s">
        <v>210</v>
      </c>
      <c r="CB600" s="1" t="s">
        <v>239</v>
      </c>
      <c r="CC600" s="1" t="s">
        <v>332</v>
      </c>
      <c r="CD600" s="1" t="s">
        <v>206</v>
      </c>
      <c r="CE600" s="1" t="s">
        <v>207</v>
      </c>
      <c r="CF600" s="1" t="s">
        <v>239</v>
      </c>
      <c r="CG600" s="1" t="s">
        <v>331</v>
      </c>
      <c r="CH600" s="1" t="s">
        <v>209</v>
      </c>
      <c r="CI600" s="1" t="s">
        <v>210</v>
      </c>
      <c r="CJ600" s="1" t="s">
        <v>239</v>
      </c>
      <c r="CK600" s="1" t="s">
        <v>699</v>
      </c>
      <c r="CL600" s="1" t="s">
        <v>209</v>
      </c>
      <c r="CM600" s="1" t="s">
        <v>210</v>
      </c>
      <c r="CN600" s="1" t="s">
        <v>239</v>
      </c>
      <c r="CO600" s="1" t="s">
        <v>495</v>
      </c>
      <c r="CP600" s="1" t="s">
        <v>209</v>
      </c>
      <c r="CQ600" s="1" t="s">
        <v>210</v>
      </c>
      <c r="CR600" s="1" t="s">
        <v>239</v>
      </c>
      <c r="CS600" s="1" t="s">
        <v>647</v>
      </c>
      <c r="CT600" s="1" t="s">
        <v>206</v>
      </c>
      <c r="CU600" s="1" t="s">
        <v>207</v>
      </c>
      <c r="CV600" s="1" t="s">
        <v>239</v>
      </c>
      <c r="CW600" s="1" t="s">
        <v>1483</v>
      </c>
      <c r="CX600" s="1" t="s">
        <v>206</v>
      </c>
      <c r="CY600" s="1" t="s">
        <v>207</v>
      </c>
      <c r="CZ600" s="1" t="s">
        <v>239</v>
      </c>
      <c r="DA600" s="1" t="s">
        <v>200</v>
      </c>
      <c r="DC600" s="1" t="s">
        <v>435</v>
      </c>
      <c r="DD600" s="1" t="s">
        <v>336</v>
      </c>
      <c r="DE600" s="1" t="s">
        <v>273</v>
      </c>
      <c r="DF600" s="1" t="s">
        <v>219</v>
      </c>
      <c r="DG600" s="1" t="s">
        <v>337</v>
      </c>
      <c r="DH600" s="1" t="s">
        <v>220</v>
      </c>
      <c r="DI600" s="1" t="s">
        <v>7593</v>
      </c>
      <c r="DJ600" s="1" t="s">
        <v>222</v>
      </c>
      <c r="DK600" s="1" t="s">
        <v>198</v>
      </c>
      <c r="DL600" s="1" t="s">
        <v>223</v>
      </c>
      <c r="DM600" s="1" t="s">
        <v>338</v>
      </c>
      <c r="DN600" s="1" t="s">
        <v>399</v>
      </c>
      <c r="DP600" s="1" t="s">
        <v>340</v>
      </c>
      <c r="DQ600" s="1" t="s">
        <v>441</v>
      </c>
      <c r="DR600" s="1" t="s">
        <v>229</v>
      </c>
      <c r="DS600" s="1" t="s">
        <v>230</v>
      </c>
      <c r="DU600" s="1" t="s">
        <v>7594</v>
      </c>
      <c r="DV600" s="1" t="s">
        <v>4513</v>
      </c>
      <c r="DW600" s="1" t="s">
        <v>764</v>
      </c>
      <c r="DX600" s="1" t="s">
        <v>234</v>
      </c>
      <c r="DY600" s="1" t="s">
        <v>7595</v>
      </c>
      <c r="DZ600" s="1" t="s">
        <v>4393</v>
      </c>
      <c r="EA600" s="1" t="s">
        <v>3308</v>
      </c>
      <c r="EB600" s="1" t="s">
        <v>937</v>
      </c>
      <c r="EC600" s="1" t="s">
        <v>237</v>
      </c>
      <c r="ED600" s="1" t="s">
        <v>407</v>
      </c>
      <c r="EG600" s="1" t="s">
        <v>494</v>
      </c>
      <c r="EH600" s="1" t="s">
        <v>449</v>
      </c>
      <c r="EL600" s="1" t="s">
        <v>303</v>
      </c>
      <c r="EM600" s="1" t="s">
        <v>206</v>
      </c>
      <c r="EN600" s="1" t="s">
        <v>207</v>
      </c>
      <c r="EO600" s="1" t="s">
        <v>239</v>
      </c>
      <c r="EP600" s="1" t="s">
        <v>497</v>
      </c>
      <c r="EQ600" s="1" t="s">
        <v>206</v>
      </c>
      <c r="ER600" s="1" t="s">
        <v>207</v>
      </c>
      <c r="EU600" s="1" t="s">
        <v>238</v>
      </c>
      <c r="EY600" s="1" t="s">
        <v>238</v>
      </c>
      <c r="FC600" s="1" t="s">
        <v>238</v>
      </c>
      <c r="FF600" s="1" t="s">
        <v>239</v>
      </c>
      <c r="FG600" s="1" t="s">
        <v>192</v>
      </c>
      <c r="FH600" s="1" t="s">
        <v>192</v>
      </c>
      <c r="FJ600" s="1" t="s">
        <v>1469</v>
      </c>
      <c r="FK600" s="1" t="s">
        <v>229</v>
      </c>
      <c r="FL600" s="1" t="s">
        <v>7596</v>
      </c>
      <c r="FM600" s="1">
        <v>357.0</v>
      </c>
      <c r="FN600" s="1" t="s">
        <v>7597</v>
      </c>
      <c r="FO600" s="1" t="s">
        <v>7598</v>
      </c>
      <c r="FP600" s="1">
        <v>13.0</v>
      </c>
      <c r="FQ600" s="1" t="s">
        <v>7599</v>
      </c>
      <c r="FS600" s="1" t="s">
        <v>7600</v>
      </c>
      <c r="FU600" s="1" t="s">
        <v>7601</v>
      </c>
      <c r="FV600" s="1" t="s">
        <v>200</v>
      </c>
      <c r="FW600" s="1" t="s">
        <v>290</v>
      </c>
      <c r="FZ600" s="1" t="s">
        <v>229</v>
      </c>
      <c r="GA600" s="1" t="s">
        <v>291</v>
      </c>
      <c r="GB600" s="2">
        <v>42094.0</v>
      </c>
      <c r="GC600" s="1" t="s">
        <v>7602</v>
      </c>
    </row>
    <row r="601">
      <c r="A601" s="1">
        <v>335000.0</v>
      </c>
      <c r="B601" s="1" t="s">
        <v>185</v>
      </c>
      <c r="C601" s="1" t="str">
        <f>"08806086"</f>
        <v>08806086</v>
      </c>
      <c r="D601" s="1" t="s">
        <v>186</v>
      </c>
      <c r="F601" s="1" t="str">
        <f>"134"</f>
        <v>134</v>
      </c>
      <c r="G601" s="2">
        <v>41999.0</v>
      </c>
      <c r="H601" s="1">
        <v>345000.0</v>
      </c>
      <c r="I601" s="1">
        <v>493.0</v>
      </c>
      <c r="J601" s="1">
        <v>339900.0</v>
      </c>
      <c r="K601" s="2">
        <v>42039.0</v>
      </c>
      <c r="L601" s="1">
        <v>41.0</v>
      </c>
      <c r="M601" s="2">
        <v>42039.0</v>
      </c>
      <c r="N601" s="1" t="s">
        <v>187</v>
      </c>
      <c r="O601" s="2">
        <v>42067.0</v>
      </c>
      <c r="P601" s="1">
        <v>259500.0</v>
      </c>
      <c r="Q601" s="1">
        <v>25279.0</v>
      </c>
      <c r="S601" s="1" t="s">
        <v>7603</v>
      </c>
      <c r="T601" s="1" t="s">
        <v>7604</v>
      </c>
      <c r="U601" s="1" t="s">
        <v>420</v>
      </c>
      <c r="V601" s="1" t="s">
        <v>421</v>
      </c>
      <c r="W601" s="1">
        <v>60134.0</v>
      </c>
      <c r="Y601" s="1" t="s">
        <v>7605</v>
      </c>
      <c r="Z601" s="1">
        <v>2008.0</v>
      </c>
      <c r="AA601" s="1" t="s">
        <v>200</v>
      </c>
      <c r="AB601" s="1" t="s">
        <v>193</v>
      </c>
      <c r="AC601" s="1" t="s">
        <v>2935</v>
      </c>
      <c r="AD601" s="1" t="s">
        <v>1089</v>
      </c>
      <c r="AE601" s="1" t="s">
        <v>325</v>
      </c>
      <c r="AF601" s="1" t="s">
        <v>1479</v>
      </c>
      <c r="AH601" s="1" t="s">
        <v>7606</v>
      </c>
      <c r="AK601" s="1">
        <v>9.0</v>
      </c>
      <c r="AL601" s="1">
        <v>4.0</v>
      </c>
      <c r="AM601" s="1">
        <v>2.0</v>
      </c>
      <c r="AN601" s="1">
        <v>1.0</v>
      </c>
      <c r="AO601" s="1" t="s">
        <v>198</v>
      </c>
      <c r="AP601" s="1">
        <v>1.0</v>
      </c>
      <c r="AQ601" s="1" t="s">
        <v>198</v>
      </c>
      <c r="AR601" s="1" t="s">
        <v>200</v>
      </c>
      <c r="AS601" s="1" t="s">
        <v>199</v>
      </c>
      <c r="AT601" s="1">
        <v>2.0</v>
      </c>
      <c r="AV601" s="1" t="s">
        <v>200</v>
      </c>
      <c r="AW601" s="1">
        <v>10382.0</v>
      </c>
      <c r="AX601" s="1">
        <v>2013.0</v>
      </c>
      <c r="AY601" s="1" t="s">
        <v>387</v>
      </c>
      <c r="AZ601" s="1" t="s">
        <v>200</v>
      </c>
      <c r="BA601" s="1" t="str">
        <f>"1111277017"</f>
        <v>1111277017</v>
      </c>
      <c r="BB601" s="1" t="s">
        <v>200</v>
      </c>
      <c r="BC601" s="1">
        <v>2689.0</v>
      </c>
      <c r="BD601" s="1">
        <v>335000.0</v>
      </c>
      <c r="BE601" s="2">
        <v>41999.0</v>
      </c>
      <c r="BF601" s="2" t="s">
        <v>7607</v>
      </c>
      <c r="BG601" s="1" t="s">
        <v>6713</v>
      </c>
      <c r="BH601" s="1">
        <v>0.0</v>
      </c>
      <c r="BI601" s="1" t="s">
        <v>429</v>
      </c>
      <c r="BJ601" s="1" t="s">
        <v>430</v>
      </c>
      <c r="BK601" s="1" t="s">
        <v>204</v>
      </c>
      <c r="BL601" s="1" t="str">
        <f>"1"</f>
        <v>1</v>
      </c>
      <c r="BM601" s="1" t="str">
        <f>"0"</f>
        <v>0</v>
      </c>
      <c r="BN601" s="1">
        <v>39.0</v>
      </c>
      <c r="BO601" s="1">
        <v>0.0</v>
      </c>
      <c r="BQ601" s="1">
        <v>304.0</v>
      </c>
      <c r="BR601" s="1">
        <v>304.0</v>
      </c>
      <c r="BS601" s="1">
        <v>304.0</v>
      </c>
      <c r="BU601" s="1" t="s">
        <v>729</v>
      </c>
      <c r="BV601" s="1" t="s">
        <v>206</v>
      </c>
      <c r="BW601" s="1" t="s">
        <v>210</v>
      </c>
      <c r="BY601" s="1" t="s">
        <v>1117</v>
      </c>
      <c r="BZ601" s="1" t="s">
        <v>209</v>
      </c>
      <c r="CA601" s="1" t="s">
        <v>210</v>
      </c>
      <c r="CC601" s="1" t="s">
        <v>729</v>
      </c>
      <c r="CD601" s="1" t="s">
        <v>206</v>
      </c>
      <c r="CE601" s="1" t="s">
        <v>210</v>
      </c>
      <c r="CG601" s="1" t="s">
        <v>215</v>
      </c>
      <c r="CH601" s="1" t="s">
        <v>209</v>
      </c>
      <c r="CI601" s="1" t="s">
        <v>210</v>
      </c>
      <c r="CK601" s="1" t="s">
        <v>497</v>
      </c>
      <c r="CL601" s="1" t="s">
        <v>209</v>
      </c>
      <c r="CM601" s="1" t="s">
        <v>210</v>
      </c>
      <c r="CO601" s="1" t="s">
        <v>212</v>
      </c>
      <c r="CP601" s="1" t="s">
        <v>209</v>
      </c>
      <c r="CQ601" s="1" t="s">
        <v>210</v>
      </c>
      <c r="CS601" s="1" t="s">
        <v>854</v>
      </c>
      <c r="CT601" s="1" t="s">
        <v>206</v>
      </c>
      <c r="CU601" s="1" t="s">
        <v>207</v>
      </c>
      <c r="CW601" s="1" t="s">
        <v>362</v>
      </c>
      <c r="CX601" s="1" t="s">
        <v>206</v>
      </c>
      <c r="CY601" s="1" t="s">
        <v>210</v>
      </c>
      <c r="DA601" s="1" t="s">
        <v>200</v>
      </c>
      <c r="DC601" s="1" t="s">
        <v>481</v>
      </c>
      <c r="DD601" s="1" t="s">
        <v>1838</v>
      </c>
      <c r="DE601" s="1" t="s">
        <v>273</v>
      </c>
      <c r="DF601" s="1" t="s">
        <v>219</v>
      </c>
      <c r="DG601" s="1" t="s">
        <v>2379</v>
      </c>
      <c r="DH601" s="1" t="s">
        <v>1603</v>
      </c>
      <c r="DI601" s="1" t="s">
        <v>221</v>
      </c>
      <c r="DJ601" s="1" t="s">
        <v>222</v>
      </c>
      <c r="DK601" s="1" t="s">
        <v>198</v>
      </c>
      <c r="DL601" s="1" t="s">
        <v>484</v>
      </c>
      <c r="DM601" s="1" t="s">
        <v>929</v>
      </c>
      <c r="DN601" s="1" t="s">
        <v>485</v>
      </c>
      <c r="DO601" s="1" t="s">
        <v>930</v>
      </c>
      <c r="DP601" s="1" t="s">
        <v>340</v>
      </c>
      <c r="DQ601" s="1" t="s">
        <v>228</v>
      </c>
      <c r="DR601" s="1" t="s">
        <v>229</v>
      </c>
      <c r="DS601" s="1" t="s">
        <v>368</v>
      </c>
      <c r="DU601" s="1" t="s">
        <v>1933</v>
      </c>
      <c r="DV601" s="1" t="s">
        <v>494</v>
      </c>
      <c r="DW601" s="1" t="s">
        <v>444</v>
      </c>
      <c r="DX601" s="1" t="s">
        <v>234</v>
      </c>
      <c r="DY601" s="1" t="s">
        <v>1936</v>
      </c>
      <c r="DZ601" s="1" t="s">
        <v>1661</v>
      </c>
      <c r="EA601" s="1" t="s">
        <v>344</v>
      </c>
      <c r="EB601" s="1" t="s">
        <v>2915</v>
      </c>
      <c r="EC601" s="1" t="s">
        <v>237</v>
      </c>
      <c r="ED601" s="1" t="s">
        <v>555</v>
      </c>
      <c r="EE601" s="1" t="s">
        <v>493</v>
      </c>
      <c r="EG601" s="1" t="s">
        <v>494</v>
      </c>
      <c r="EL601" s="1" t="s">
        <v>264</v>
      </c>
      <c r="EM601" s="1" t="s">
        <v>206</v>
      </c>
      <c r="EN601" s="1" t="s">
        <v>210</v>
      </c>
      <c r="EQ601" s="1" t="s">
        <v>238</v>
      </c>
      <c r="EU601" s="1" t="s">
        <v>238</v>
      </c>
      <c r="EY601" s="1" t="s">
        <v>238</v>
      </c>
      <c r="FC601" s="1" t="s">
        <v>238</v>
      </c>
      <c r="FF601" s="1" t="s">
        <v>239</v>
      </c>
      <c r="FG601" s="1" t="s">
        <v>192</v>
      </c>
      <c r="FH601" s="1" t="s">
        <v>192</v>
      </c>
      <c r="FJ601" s="1" t="s">
        <v>2206</v>
      </c>
      <c r="FK601" s="1" t="s">
        <v>229</v>
      </c>
      <c r="FL601" s="1" t="s">
        <v>3527</v>
      </c>
      <c r="FM601" s="1">
        <v>464.0</v>
      </c>
      <c r="FN601" s="1" t="s">
        <v>3528</v>
      </c>
      <c r="FO601" s="1" t="s">
        <v>3529</v>
      </c>
      <c r="FP601" s="1">
        <v>1333.0</v>
      </c>
      <c r="FQ601" s="1" t="s">
        <v>3530</v>
      </c>
      <c r="FR601" s="1">
        <v>624.0</v>
      </c>
      <c r="FS601" s="1" t="s">
        <v>3531</v>
      </c>
      <c r="FU601" s="1" t="s">
        <v>3532</v>
      </c>
      <c r="FV601" s="1" t="s">
        <v>200</v>
      </c>
      <c r="FW601" s="1" t="s">
        <v>567</v>
      </c>
      <c r="FZ601" s="1" t="s">
        <v>504</v>
      </c>
      <c r="GA601" s="1" t="s">
        <v>291</v>
      </c>
      <c r="GB601" s="2">
        <v>42067.0</v>
      </c>
    </row>
    <row r="602">
      <c r="A602" s="1">
        <v>14929.0</v>
      </c>
      <c r="B602" s="1" t="s">
        <v>185</v>
      </c>
      <c r="C602" s="1" t="str">
        <f>"08802732"</f>
        <v>08802732</v>
      </c>
      <c r="D602" s="1" t="s">
        <v>186</v>
      </c>
      <c r="F602" s="1" t="str">
        <f>"8046"</f>
        <v>8046</v>
      </c>
      <c r="G602" s="2">
        <v>41989.0</v>
      </c>
      <c r="H602" s="1">
        <v>22000.0</v>
      </c>
      <c r="I602" s="1">
        <v>336.0</v>
      </c>
      <c r="J602" s="1">
        <v>18000.0</v>
      </c>
      <c r="K602" s="2">
        <v>42046.0</v>
      </c>
      <c r="L602" s="1">
        <v>58.0</v>
      </c>
      <c r="M602" s="2">
        <v>42046.0</v>
      </c>
      <c r="N602" s="1" t="s">
        <v>249</v>
      </c>
      <c r="O602" s="2">
        <v>42111.0</v>
      </c>
      <c r="P602" s="1">
        <v>141888.0</v>
      </c>
      <c r="Q602" s="1">
        <v>16279.0</v>
      </c>
      <c r="S602" s="1">
        <v>8745.0</v>
      </c>
      <c r="T602" s="1" t="s">
        <v>7608</v>
      </c>
      <c r="U602" s="1" t="s">
        <v>189</v>
      </c>
      <c r="V602" s="1" t="s">
        <v>190</v>
      </c>
      <c r="W602" s="1">
        <v>60617.0</v>
      </c>
      <c r="Y602" s="1" t="s">
        <v>7609</v>
      </c>
      <c r="Z602" s="1">
        <v>1920.0</v>
      </c>
      <c r="AA602" s="1" t="s">
        <v>192</v>
      </c>
      <c r="AB602" s="1" t="s">
        <v>193</v>
      </c>
      <c r="AD602" s="1" t="s">
        <v>194</v>
      </c>
      <c r="AE602" s="1" t="s">
        <v>195</v>
      </c>
      <c r="AF602" s="1" t="s">
        <v>637</v>
      </c>
      <c r="AH602" s="1">
        <v>3750.0</v>
      </c>
      <c r="AI602" s="1">
        <v>0.0861</v>
      </c>
      <c r="AK602" s="1">
        <v>8.0</v>
      </c>
      <c r="AL602" s="1">
        <v>4.0</v>
      </c>
      <c r="AM602" s="1">
        <v>1.0</v>
      </c>
      <c r="AN602" s="1">
        <v>0.0</v>
      </c>
      <c r="AO602" s="1" t="s">
        <v>229</v>
      </c>
      <c r="AQ602" s="1" t="s">
        <v>198</v>
      </c>
      <c r="AR602" s="1" t="s">
        <v>200</v>
      </c>
      <c r="AS602" s="1" t="s">
        <v>229</v>
      </c>
      <c r="AV602" s="1" t="s">
        <v>200</v>
      </c>
      <c r="AW602" s="1">
        <v>1290.0</v>
      </c>
      <c r="AX602" s="1">
        <v>2013.0</v>
      </c>
      <c r="AZ602" s="1" t="s">
        <v>200</v>
      </c>
      <c r="BA602" s="1" t="str">
        <f>"26061020150000"</f>
        <v>26061020150000</v>
      </c>
      <c r="BB602" s="1" t="s">
        <v>200</v>
      </c>
      <c r="BC602" s="1">
        <v>1152.0</v>
      </c>
      <c r="BD602" s="1">
        <v>14929.0</v>
      </c>
      <c r="BE602" s="2">
        <v>41989.0</v>
      </c>
      <c r="BF602" s="1" t="s">
        <v>7610</v>
      </c>
      <c r="BH602" s="1">
        <v>0.0</v>
      </c>
      <c r="BK602" s="1" t="s">
        <v>204</v>
      </c>
      <c r="BL602" s="1" t="str">
        <f t="shared" ref="BL602:BL604" si="405">"0"</f>
        <v>0</v>
      </c>
      <c r="BM602" s="1" t="str">
        <f>"2500"</f>
        <v>2500</v>
      </c>
      <c r="BN602" s="1">
        <v>0.0</v>
      </c>
      <c r="BO602" s="1">
        <v>8745.0</v>
      </c>
      <c r="BQ602" s="1">
        <v>299.0</v>
      </c>
      <c r="BR602" s="1">
        <v>299.0</v>
      </c>
      <c r="BS602" s="1">
        <v>299.0</v>
      </c>
      <c r="BU602" s="1" t="s">
        <v>4399</v>
      </c>
      <c r="BV602" s="1" t="s">
        <v>206</v>
      </c>
      <c r="BY602" s="1" t="s">
        <v>264</v>
      </c>
      <c r="BZ602" s="1" t="s">
        <v>206</v>
      </c>
      <c r="CC602" s="1" t="s">
        <v>363</v>
      </c>
      <c r="CD602" s="1" t="s">
        <v>206</v>
      </c>
      <c r="CG602" s="1" t="s">
        <v>495</v>
      </c>
      <c r="CH602" s="1" t="s">
        <v>206</v>
      </c>
      <c r="CK602" s="1" t="s">
        <v>215</v>
      </c>
      <c r="CL602" s="1" t="s">
        <v>209</v>
      </c>
      <c r="CO602" s="1" t="s">
        <v>211</v>
      </c>
      <c r="CP602" s="1" t="s">
        <v>209</v>
      </c>
      <c r="CS602" s="1" t="s">
        <v>331</v>
      </c>
      <c r="CT602" s="1" t="s">
        <v>206</v>
      </c>
      <c r="CX602" s="1" t="s">
        <v>204</v>
      </c>
      <c r="DA602" s="1" t="s">
        <v>200</v>
      </c>
      <c r="DC602" s="1" t="s">
        <v>216</v>
      </c>
      <c r="DE602" s="1" t="s">
        <v>229</v>
      </c>
      <c r="DF602" s="1" t="s">
        <v>787</v>
      </c>
      <c r="DH602" s="1" t="s">
        <v>365</v>
      </c>
      <c r="DJ602" s="1" t="s">
        <v>222</v>
      </c>
      <c r="DL602" s="1" t="s">
        <v>858</v>
      </c>
      <c r="DM602" s="1" t="s">
        <v>229</v>
      </c>
      <c r="DQ602" s="1" t="s">
        <v>228</v>
      </c>
      <c r="DR602" s="1" t="s">
        <v>229</v>
      </c>
      <c r="DV602" s="1" t="s">
        <v>494</v>
      </c>
      <c r="DW602" s="1" t="s">
        <v>279</v>
      </c>
      <c r="DX602" s="1" t="s">
        <v>234</v>
      </c>
      <c r="EA602" s="1" t="s">
        <v>644</v>
      </c>
      <c r="EC602" s="1" t="s">
        <v>645</v>
      </c>
      <c r="EG602" s="1" t="s">
        <v>494</v>
      </c>
      <c r="EL602" s="1" t="s">
        <v>495</v>
      </c>
      <c r="EM602" s="1" t="s">
        <v>209</v>
      </c>
      <c r="EQ602" s="1" t="s">
        <v>238</v>
      </c>
      <c r="EU602" s="1" t="s">
        <v>238</v>
      </c>
      <c r="EY602" s="1" t="s">
        <v>238</v>
      </c>
      <c r="FC602" s="1" t="s">
        <v>238</v>
      </c>
      <c r="FF602" s="1" t="s">
        <v>239</v>
      </c>
      <c r="FG602" s="1" t="s">
        <v>192</v>
      </c>
      <c r="FH602" s="1" t="s">
        <v>200</v>
      </c>
      <c r="FJ602" s="1" t="s">
        <v>524</v>
      </c>
      <c r="FK602" s="1" t="s">
        <v>229</v>
      </c>
      <c r="FL602" s="1" t="s">
        <v>4954</v>
      </c>
      <c r="FM602" s="1">
        <v>24093.0</v>
      </c>
      <c r="FN602" s="1" t="s">
        <v>3335</v>
      </c>
      <c r="FO602" s="1" t="s">
        <v>6373</v>
      </c>
      <c r="FP602" s="1">
        <v>84146.0</v>
      </c>
      <c r="FQ602" s="1" t="s">
        <v>6374</v>
      </c>
      <c r="FU602" s="1" t="s">
        <v>7611</v>
      </c>
      <c r="FV602" s="1" t="s">
        <v>200</v>
      </c>
      <c r="FW602" s="1" t="s">
        <v>1293</v>
      </c>
      <c r="FX602" s="1" t="s">
        <v>655</v>
      </c>
      <c r="FZ602" s="1" t="s">
        <v>229</v>
      </c>
      <c r="GA602" s="1" t="s">
        <v>291</v>
      </c>
      <c r="GB602" s="2">
        <v>42130.0</v>
      </c>
      <c r="GC602" s="1" t="s">
        <v>7612</v>
      </c>
    </row>
    <row r="603">
      <c r="A603" s="1">
        <v>81000.0</v>
      </c>
      <c r="B603" s="1" t="s">
        <v>185</v>
      </c>
      <c r="C603" s="1" t="str">
        <f>"08806705"</f>
        <v>08806705</v>
      </c>
      <c r="D603" s="1" t="s">
        <v>186</v>
      </c>
      <c r="F603" s="1" t="str">
        <f>"8038"</f>
        <v>8038</v>
      </c>
      <c r="G603" s="2">
        <v>42002.0</v>
      </c>
      <c r="H603" s="1">
        <v>65000.0</v>
      </c>
      <c r="I603" s="1">
        <v>16.0</v>
      </c>
      <c r="J603" s="1">
        <v>65000.0</v>
      </c>
      <c r="K603" s="2">
        <v>42017.0</v>
      </c>
      <c r="L603" s="1">
        <v>16.0</v>
      </c>
      <c r="M603" s="2">
        <v>42017.0</v>
      </c>
      <c r="N603" s="1" t="s">
        <v>249</v>
      </c>
      <c r="O603" s="2">
        <v>42047.0</v>
      </c>
      <c r="P603" s="1">
        <v>175275.0</v>
      </c>
      <c r="Q603" s="1">
        <v>84077.0</v>
      </c>
      <c r="S603" s="1">
        <v>608.0</v>
      </c>
      <c r="T603" s="1" t="s">
        <v>7613</v>
      </c>
      <c r="U603" s="1" t="s">
        <v>189</v>
      </c>
      <c r="V603" s="1" t="s">
        <v>190</v>
      </c>
      <c r="W603" s="1">
        <v>60653.0</v>
      </c>
      <c r="Y603" s="1" t="s">
        <v>7614</v>
      </c>
      <c r="Z603" s="1">
        <v>1880.0</v>
      </c>
      <c r="AA603" s="1" t="s">
        <v>192</v>
      </c>
      <c r="AB603" s="1" t="s">
        <v>193</v>
      </c>
      <c r="AD603" s="1" t="s">
        <v>194</v>
      </c>
      <c r="AE603" s="1" t="s">
        <v>195</v>
      </c>
      <c r="AF603" s="1" t="s">
        <v>637</v>
      </c>
      <c r="AH603" s="1" t="s">
        <v>741</v>
      </c>
      <c r="AI603" s="1">
        <v>0.0556</v>
      </c>
      <c r="AK603" s="1">
        <v>7.0</v>
      </c>
      <c r="AL603" s="1">
        <v>4.0</v>
      </c>
      <c r="AM603" s="1">
        <v>2.0</v>
      </c>
      <c r="AN603" s="1">
        <v>0.0</v>
      </c>
      <c r="AO603" s="1" t="s">
        <v>229</v>
      </c>
      <c r="AQ603" s="1" t="s">
        <v>198</v>
      </c>
      <c r="AR603" s="1" t="s">
        <v>200</v>
      </c>
      <c r="AS603" s="1" t="s">
        <v>229</v>
      </c>
      <c r="AV603" s="1" t="s">
        <v>200</v>
      </c>
      <c r="AW603" s="1">
        <v>2497.38</v>
      </c>
      <c r="AX603" s="1">
        <v>2012.0</v>
      </c>
      <c r="AZ603" s="1" t="s">
        <v>200</v>
      </c>
      <c r="BA603" s="1" t="str">
        <f>"20032140290000"</f>
        <v>20032140290000</v>
      </c>
      <c r="BC603" s="1">
        <v>1800.0</v>
      </c>
      <c r="BD603" s="1">
        <v>81000.0</v>
      </c>
      <c r="BE603" s="2">
        <v>42002.0</v>
      </c>
      <c r="BF603" s="2" t="s">
        <v>7615</v>
      </c>
      <c r="BH603" s="1">
        <v>0.0</v>
      </c>
      <c r="BK603" s="1" t="s">
        <v>204</v>
      </c>
      <c r="BL603" s="1" t="str">
        <f t="shared" si="405"/>
        <v>0</v>
      </c>
      <c r="BM603" s="1" t="str">
        <f>"608"</f>
        <v>608</v>
      </c>
      <c r="BN603" s="1">
        <v>0.0</v>
      </c>
      <c r="BO603" s="1">
        <v>4100.0</v>
      </c>
      <c r="BQ603" s="1">
        <v>299.0</v>
      </c>
      <c r="BR603" s="1">
        <v>299.0</v>
      </c>
      <c r="BS603" s="1">
        <v>299.0</v>
      </c>
      <c r="BU603" s="1" t="s">
        <v>2459</v>
      </c>
      <c r="BV603" s="1" t="s">
        <v>206</v>
      </c>
      <c r="BY603" s="1" t="s">
        <v>1395</v>
      </c>
      <c r="BZ603" s="1" t="s">
        <v>209</v>
      </c>
      <c r="CA603" s="1" t="s">
        <v>210</v>
      </c>
      <c r="CC603" s="1" t="s">
        <v>300</v>
      </c>
      <c r="CD603" s="1" t="s">
        <v>206</v>
      </c>
      <c r="CG603" s="1" t="s">
        <v>363</v>
      </c>
      <c r="CH603" s="1" t="s">
        <v>206</v>
      </c>
      <c r="CI603" s="1" t="s">
        <v>210</v>
      </c>
      <c r="CK603" s="1" t="s">
        <v>543</v>
      </c>
      <c r="CL603" s="1" t="s">
        <v>209</v>
      </c>
      <c r="CM603" s="1" t="s">
        <v>210</v>
      </c>
      <c r="CO603" s="1" t="s">
        <v>4046</v>
      </c>
      <c r="CP603" s="1" t="s">
        <v>209</v>
      </c>
      <c r="CQ603" s="1" t="s">
        <v>210</v>
      </c>
      <c r="CS603" s="1" t="s">
        <v>263</v>
      </c>
      <c r="CT603" s="1" t="s">
        <v>206</v>
      </c>
      <c r="CX603" s="1" t="s">
        <v>204</v>
      </c>
      <c r="DA603" s="1" t="s">
        <v>200</v>
      </c>
      <c r="DC603" s="1" t="s">
        <v>642</v>
      </c>
      <c r="DD603" s="1" t="s">
        <v>518</v>
      </c>
      <c r="DE603" s="1" t="s">
        <v>229</v>
      </c>
      <c r="DF603" s="1" t="s">
        <v>619</v>
      </c>
      <c r="DH603" s="1" t="s">
        <v>365</v>
      </c>
      <c r="DJ603" s="1" t="s">
        <v>222</v>
      </c>
      <c r="DL603" s="1" t="s">
        <v>223</v>
      </c>
      <c r="DM603" s="1" t="s">
        <v>229</v>
      </c>
      <c r="DP603" s="1" t="s">
        <v>340</v>
      </c>
      <c r="DQ603" s="1" t="s">
        <v>228</v>
      </c>
      <c r="DR603" s="1" t="s">
        <v>229</v>
      </c>
      <c r="DV603" s="1" t="s">
        <v>232</v>
      </c>
      <c r="DW603" s="1" t="s">
        <v>279</v>
      </c>
      <c r="DX603" s="1" t="s">
        <v>234</v>
      </c>
      <c r="EC603" s="1" t="s">
        <v>237</v>
      </c>
      <c r="EM603" s="1" t="s">
        <v>238</v>
      </c>
      <c r="EQ603" s="1" t="s">
        <v>238</v>
      </c>
      <c r="EU603" s="1" t="s">
        <v>238</v>
      </c>
      <c r="EY603" s="1" t="s">
        <v>238</v>
      </c>
      <c r="FC603" s="1" t="s">
        <v>238</v>
      </c>
      <c r="FF603" s="1" t="s">
        <v>239</v>
      </c>
      <c r="FG603" s="1" t="s">
        <v>192</v>
      </c>
      <c r="FH603" s="1" t="s">
        <v>192</v>
      </c>
      <c r="FJ603" s="1" t="s">
        <v>524</v>
      </c>
      <c r="FK603" s="1" t="s">
        <v>229</v>
      </c>
      <c r="FL603" s="1" t="s">
        <v>4048</v>
      </c>
      <c r="FM603" s="1">
        <v>84077.0</v>
      </c>
      <c r="FN603" s="1" t="s">
        <v>4049</v>
      </c>
      <c r="FO603" s="1" t="s">
        <v>4050</v>
      </c>
      <c r="FP603" s="1">
        <v>175275.0</v>
      </c>
      <c r="FU603" s="1" t="s">
        <v>1541</v>
      </c>
      <c r="FV603" s="1" t="s">
        <v>200</v>
      </c>
      <c r="FW603" s="1" t="s">
        <v>290</v>
      </c>
      <c r="FX603" s="1" t="s">
        <v>1739</v>
      </c>
      <c r="FZ603" s="1" t="s">
        <v>229</v>
      </c>
      <c r="GA603" s="1" t="s">
        <v>291</v>
      </c>
      <c r="GB603" s="2">
        <v>42047.0</v>
      </c>
      <c r="GC603" s="1" t="s">
        <v>7616</v>
      </c>
    </row>
    <row r="604">
      <c r="A604" s="1">
        <v>40550.0</v>
      </c>
      <c r="B604" s="1" t="s">
        <v>185</v>
      </c>
      <c r="C604" s="1" t="str">
        <f>"08807521"</f>
        <v>08807521</v>
      </c>
      <c r="D604" s="1" t="s">
        <v>186</v>
      </c>
      <c r="F604" s="1" t="str">
        <f>"8071"</f>
        <v>8071</v>
      </c>
      <c r="G604" s="2">
        <v>42003.0</v>
      </c>
      <c r="H604" s="1">
        <v>39900.0</v>
      </c>
      <c r="I604" s="1">
        <v>33.0</v>
      </c>
      <c r="J604" s="1">
        <v>39900.0</v>
      </c>
      <c r="K604" s="2">
        <v>42034.0</v>
      </c>
      <c r="L604" s="1">
        <v>33.0</v>
      </c>
      <c r="M604" s="2">
        <v>42034.0</v>
      </c>
      <c r="N604" s="1" t="s">
        <v>249</v>
      </c>
      <c r="O604" s="2">
        <v>42059.0</v>
      </c>
      <c r="P604" s="1">
        <v>116214.0</v>
      </c>
      <c r="Q604" s="1">
        <v>12619.0</v>
      </c>
      <c r="S604" s="1">
        <v>8109.0</v>
      </c>
      <c r="T604" s="1" t="s">
        <v>2622</v>
      </c>
      <c r="U604" s="1" t="s">
        <v>320</v>
      </c>
      <c r="V604" s="1" t="s">
        <v>190</v>
      </c>
      <c r="W604" s="1">
        <v>60620.0</v>
      </c>
      <c r="Y604" s="1" t="s">
        <v>7617</v>
      </c>
      <c r="Z604" s="1">
        <v>1915.0</v>
      </c>
      <c r="AA604" s="1" t="s">
        <v>192</v>
      </c>
      <c r="AB604" s="1" t="s">
        <v>193</v>
      </c>
      <c r="AD604" s="1" t="s">
        <v>194</v>
      </c>
      <c r="AE604" s="1" t="s">
        <v>195</v>
      </c>
      <c r="AF604" s="1" t="s">
        <v>1154</v>
      </c>
      <c r="AH604" s="1" t="s">
        <v>1501</v>
      </c>
      <c r="AI604" s="1">
        <v>0.0918</v>
      </c>
      <c r="AK604" s="1">
        <v>7.0</v>
      </c>
      <c r="AL604" s="1">
        <v>4.0</v>
      </c>
      <c r="AM604" s="1">
        <v>2.0</v>
      </c>
      <c r="AN604" s="1">
        <v>0.0</v>
      </c>
      <c r="AO604" s="1" t="s">
        <v>229</v>
      </c>
      <c r="AQ604" s="1" t="s">
        <v>198</v>
      </c>
      <c r="AR604" s="1" t="s">
        <v>200</v>
      </c>
      <c r="AS604" s="1" t="s">
        <v>199</v>
      </c>
      <c r="AT604" s="1">
        <v>2.0</v>
      </c>
      <c r="AV604" s="1" t="s">
        <v>200</v>
      </c>
      <c r="AW604" s="1">
        <v>2368.69</v>
      </c>
      <c r="AX604" s="1">
        <v>2012.0</v>
      </c>
      <c r="AZ604" s="1" t="s">
        <v>200</v>
      </c>
      <c r="BA604" s="1" t="str">
        <f>"20321230030000"</f>
        <v>20321230030000</v>
      </c>
      <c r="BC604" s="1">
        <v>1898.0</v>
      </c>
      <c r="BD604" s="1">
        <v>40550.0</v>
      </c>
      <c r="BE604" s="2">
        <v>42002.0</v>
      </c>
      <c r="BF604" s="2" t="s">
        <v>7618</v>
      </c>
      <c r="BH604" s="1">
        <v>0.0</v>
      </c>
      <c r="BK604" s="1" t="s">
        <v>204</v>
      </c>
      <c r="BL604" s="1" t="str">
        <f t="shared" si="405"/>
        <v>0</v>
      </c>
      <c r="BM604" s="1" t="str">
        <f>"0"</f>
        <v>0</v>
      </c>
      <c r="BN604" s="1">
        <v>1232.0</v>
      </c>
      <c r="BO604" s="1">
        <v>8100.0</v>
      </c>
      <c r="BQ604" s="1">
        <v>299.0</v>
      </c>
      <c r="BR604" s="1">
        <v>299.0</v>
      </c>
      <c r="BS604" s="1">
        <v>299.0</v>
      </c>
      <c r="BU604" s="1" t="s">
        <v>333</v>
      </c>
      <c r="BV604" s="1" t="s">
        <v>206</v>
      </c>
      <c r="BX604" s="1" t="s">
        <v>229</v>
      </c>
      <c r="BY604" s="1" t="s">
        <v>329</v>
      </c>
      <c r="BZ604" s="1" t="s">
        <v>206</v>
      </c>
      <c r="CC604" s="1" t="s">
        <v>743</v>
      </c>
      <c r="CD604" s="1" t="s">
        <v>206</v>
      </c>
      <c r="CF604" s="1" t="s">
        <v>229</v>
      </c>
      <c r="CG604" s="1" t="s">
        <v>433</v>
      </c>
      <c r="CH604" s="1" t="s">
        <v>206</v>
      </c>
      <c r="CK604" s="1" t="s">
        <v>332</v>
      </c>
      <c r="CL604" s="1" t="s">
        <v>209</v>
      </c>
      <c r="CO604" s="1" t="s">
        <v>433</v>
      </c>
      <c r="CP604" s="1" t="s">
        <v>209</v>
      </c>
      <c r="CS604" s="1" t="s">
        <v>362</v>
      </c>
      <c r="CT604" s="1" t="s">
        <v>206</v>
      </c>
      <c r="CU604" s="1" t="s">
        <v>617</v>
      </c>
      <c r="CV604" s="1" t="s">
        <v>229</v>
      </c>
      <c r="CX604" s="1" t="s">
        <v>204</v>
      </c>
      <c r="DA604" s="1" t="s">
        <v>200</v>
      </c>
      <c r="DC604" s="1" t="s">
        <v>216</v>
      </c>
      <c r="DE604" s="1" t="s">
        <v>229</v>
      </c>
      <c r="DF604" s="1" t="s">
        <v>619</v>
      </c>
      <c r="DH604" s="1" t="s">
        <v>220</v>
      </c>
      <c r="DJ604" s="1" t="s">
        <v>222</v>
      </c>
      <c r="DL604" s="1" t="s">
        <v>223</v>
      </c>
      <c r="DM604" s="1" t="s">
        <v>229</v>
      </c>
      <c r="DQ604" s="1" t="s">
        <v>718</v>
      </c>
      <c r="DR604" s="1" t="s">
        <v>229</v>
      </c>
      <c r="DV604" s="1" t="s">
        <v>232</v>
      </c>
      <c r="DW604" s="1" t="s">
        <v>279</v>
      </c>
      <c r="DX604" s="1" t="s">
        <v>234</v>
      </c>
      <c r="EA604" s="1" t="s">
        <v>644</v>
      </c>
      <c r="EC604" s="1" t="s">
        <v>237</v>
      </c>
      <c r="EM604" s="1" t="s">
        <v>238</v>
      </c>
      <c r="EQ604" s="1" t="s">
        <v>238</v>
      </c>
      <c r="EU604" s="1" t="s">
        <v>238</v>
      </c>
      <c r="EY604" s="1" t="s">
        <v>238</v>
      </c>
      <c r="FC604" s="1" t="s">
        <v>238</v>
      </c>
      <c r="FF604" s="1" t="s">
        <v>239</v>
      </c>
      <c r="FG604" s="1" t="s">
        <v>192</v>
      </c>
      <c r="FH604" s="1" t="s">
        <v>192</v>
      </c>
      <c r="FJ604" s="1" t="s">
        <v>770</v>
      </c>
      <c r="FK604" s="1" t="s">
        <v>229</v>
      </c>
      <c r="FL604" s="1" t="s">
        <v>4531</v>
      </c>
      <c r="FM604" s="1">
        <v>12619.0</v>
      </c>
      <c r="FN604" s="1" t="s">
        <v>4532</v>
      </c>
      <c r="FO604" s="1" t="s">
        <v>4533</v>
      </c>
      <c r="FP604" s="1">
        <v>116214.0</v>
      </c>
      <c r="FQ604" s="1" t="s">
        <v>4532</v>
      </c>
      <c r="FU604" s="1" t="s">
        <v>4534</v>
      </c>
      <c r="FV604" s="1" t="s">
        <v>200</v>
      </c>
      <c r="FW604" s="1" t="s">
        <v>1897</v>
      </c>
      <c r="FX604" s="1" t="s">
        <v>655</v>
      </c>
      <c r="FZ604" s="1" t="s">
        <v>229</v>
      </c>
      <c r="GA604" s="1" t="s">
        <v>291</v>
      </c>
      <c r="GB604" s="2">
        <v>42060.0</v>
      </c>
      <c r="GC604" s="1" t="s">
        <v>7619</v>
      </c>
    </row>
    <row r="605">
      <c r="A605" s="1">
        <v>470000.0</v>
      </c>
      <c r="B605" s="1" t="s">
        <v>185</v>
      </c>
      <c r="C605" s="1" t="str">
        <f>"08812235"</f>
        <v>08812235</v>
      </c>
      <c r="D605" s="1" t="s">
        <v>186</v>
      </c>
      <c r="F605" s="1" t="str">
        <f>"10"</f>
        <v>10</v>
      </c>
      <c r="G605" s="2">
        <v>42012.0</v>
      </c>
      <c r="H605" s="1">
        <v>479000.0</v>
      </c>
      <c r="I605" s="1">
        <v>8.0</v>
      </c>
      <c r="J605" s="1">
        <v>479000.0</v>
      </c>
      <c r="K605" s="2">
        <v>42019.0</v>
      </c>
      <c r="L605" s="1">
        <v>8.0</v>
      </c>
      <c r="M605" s="2">
        <v>42019.0</v>
      </c>
      <c r="N605" s="1" t="s">
        <v>187</v>
      </c>
      <c r="O605" s="2">
        <v>42094.0</v>
      </c>
      <c r="P605" s="1">
        <v>43030.0</v>
      </c>
      <c r="Q605" s="1">
        <v>8405.0</v>
      </c>
      <c r="S605" s="1">
        <v>20080.0</v>
      </c>
      <c r="T605" s="1" t="s">
        <v>7620</v>
      </c>
      <c r="U605" s="1" t="s">
        <v>1174</v>
      </c>
      <c r="V605" s="1" t="s">
        <v>914</v>
      </c>
      <c r="W605" s="1">
        <v>60010.0</v>
      </c>
      <c r="Y605" s="1" t="s">
        <v>7621</v>
      </c>
      <c r="Z605" s="1">
        <v>1994.0</v>
      </c>
      <c r="AA605" s="1" t="s">
        <v>200</v>
      </c>
      <c r="AB605" s="1" t="s">
        <v>193</v>
      </c>
      <c r="AD605" s="1" t="s">
        <v>916</v>
      </c>
      <c r="AE605" s="1" t="s">
        <v>917</v>
      </c>
      <c r="AF605" s="1" t="s">
        <v>918</v>
      </c>
      <c r="AH605" s="1" t="s">
        <v>7622</v>
      </c>
      <c r="AI605" s="1">
        <v>1.3761</v>
      </c>
      <c r="AK605" s="1">
        <v>8.0</v>
      </c>
      <c r="AL605" s="1">
        <v>4.0</v>
      </c>
      <c r="AM605" s="1">
        <v>2.0</v>
      </c>
      <c r="AN605" s="1">
        <v>1.0</v>
      </c>
      <c r="AO605" s="1" t="s">
        <v>198</v>
      </c>
      <c r="AP605" s="1">
        <v>2.0</v>
      </c>
      <c r="AQ605" s="1" t="s">
        <v>198</v>
      </c>
      <c r="AR605" s="1" t="s">
        <v>200</v>
      </c>
      <c r="AS605" s="1" t="s">
        <v>199</v>
      </c>
      <c r="AT605" s="1">
        <v>3.0</v>
      </c>
      <c r="AV605" s="1" t="s">
        <v>200</v>
      </c>
      <c r="AW605" s="1">
        <v>10642.36</v>
      </c>
      <c r="AX605" s="1">
        <v>2013.0</v>
      </c>
      <c r="AY605" s="1" t="s">
        <v>387</v>
      </c>
      <c r="AZ605" s="1" t="s">
        <v>200</v>
      </c>
      <c r="BA605" s="1" t="str">
        <f>"14334070130000"</f>
        <v>14334070130000</v>
      </c>
      <c r="BB605" s="1" t="s">
        <v>200</v>
      </c>
      <c r="BC605" s="1">
        <v>0.0</v>
      </c>
      <c r="BD605" s="1">
        <v>470000.0</v>
      </c>
      <c r="BE605" s="2">
        <v>42012.0</v>
      </c>
      <c r="BF605" s="2" t="s">
        <v>7623</v>
      </c>
      <c r="BG605" s="1" t="s">
        <v>921</v>
      </c>
      <c r="BH605" s="1">
        <v>0.0</v>
      </c>
      <c r="BI605" s="1" t="s">
        <v>922</v>
      </c>
      <c r="BJ605" s="1" t="s">
        <v>923</v>
      </c>
      <c r="BK605" s="1" t="s">
        <v>204</v>
      </c>
      <c r="BL605" s="1" t="str">
        <f t="shared" ref="BL605:BM605" si="406">""</f>
        <v/>
      </c>
      <c r="BM605" s="1" t="str">
        <f t="shared" si="406"/>
        <v/>
      </c>
      <c r="BQ605" s="1">
        <v>95.0</v>
      </c>
      <c r="BR605" s="1">
        <v>95.0</v>
      </c>
      <c r="BS605" s="1">
        <v>95.0</v>
      </c>
      <c r="BU605" s="1" t="s">
        <v>390</v>
      </c>
      <c r="BV605" s="1" t="s">
        <v>206</v>
      </c>
      <c r="BW605" s="1" t="s">
        <v>210</v>
      </c>
      <c r="BY605" s="1" t="s">
        <v>2800</v>
      </c>
      <c r="BZ605" s="1" t="s">
        <v>209</v>
      </c>
      <c r="CA605" s="1" t="s">
        <v>210</v>
      </c>
      <c r="CC605" s="1" t="s">
        <v>215</v>
      </c>
      <c r="CD605" s="1" t="s">
        <v>206</v>
      </c>
      <c r="CE605" s="1" t="s">
        <v>207</v>
      </c>
      <c r="CG605" s="1" t="s">
        <v>332</v>
      </c>
      <c r="CH605" s="1" t="s">
        <v>209</v>
      </c>
      <c r="CI605" s="1" t="s">
        <v>210</v>
      </c>
      <c r="CK605" s="1" t="s">
        <v>212</v>
      </c>
      <c r="CL605" s="1" t="s">
        <v>209</v>
      </c>
      <c r="CM605" s="1" t="s">
        <v>210</v>
      </c>
      <c r="CO605" s="1" t="s">
        <v>1483</v>
      </c>
      <c r="CP605" s="1" t="s">
        <v>206</v>
      </c>
      <c r="CQ605" s="1" t="s">
        <v>210</v>
      </c>
      <c r="CS605" s="1" t="s">
        <v>432</v>
      </c>
      <c r="CT605" s="1" t="s">
        <v>206</v>
      </c>
      <c r="CU605" s="1" t="s">
        <v>207</v>
      </c>
      <c r="CW605" s="1" t="s">
        <v>453</v>
      </c>
      <c r="CX605" s="1" t="s">
        <v>206</v>
      </c>
      <c r="CY605" s="1" t="s">
        <v>207</v>
      </c>
      <c r="DA605" s="1" t="s">
        <v>200</v>
      </c>
      <c r="DC605" s="1" t="s">
        <v>435</v>
      </c>
      <c r="DD605" s="1" t="s">
        <v>518</v>
      </c>
      <c r="DE605" s="1" t="s">
        <v>273</v>
      </c>
      <c r="DF605" s="1" t="s">
        <v>219</v>
      </c>
      <c r="DH605" s="1" t="s">
        <v>856</v>
      </c>
      <c r="DI605" s="1" t="s">
        <v>2970</v>
      </c>
      <c r="DJ605" s="1" t="s">
        <v>857</v>
      </c>
      <c r="DL605" s="1" t="s">
        <v>224</v>
      </c>
      <c r="DM605" s="1" t="s">
        <v>229</v>
      </c>
      <c r="DO605" s="1" t="s">
        <v>7624</v>
      </c>
      <c r="DP605" s="1" t="s">
        <v>340</v>
      </c>
      <c r="DQ605" s="1" t="s">
        <v>931</v>
      </c>
      <c r="DR605" s="1" t="s">
        <v>229</v>
      </c>
      <c r="DV605" s="1" t="s">
        <v>232</v>
      </c>
      <c r="DW605" s="1" t="s">
        <v>279</v>
      </c>
      <c r="DX605" s="1" t="s">
        <v>234</v>
      </c>
      <c r="DY605" s="1" t="s">
        <v>7625</v>
      </c>
      <c r="DZ605" s="1" t="s">
        <v>7626</v>
      </c>
      <c r="EA605" s="1" t="s">
        <v>447</v>
      </c>
      <c r="EC605" s="1" t="s">
        <v>237</v>
      </c>
      <c r="EM605" s="1" t="s">
        <v>238</v>
      </c>
      <c r="EQ605" s="1" t="s">
        <v>238</v>
      </c>
      <c r="EU605" s="1" t="s">
        <v>238</v>
      </c>
      <c r="EY605" s="1" t="s">
        <v>238</v>
      </c>
      <c r="FC605" s="1" t="s">
        <v>238</v>
      </c>
      <c r="FF605" s="1" t="s">
        <v>239</v>
      </c>
      <c r="FG605" s="1" t="s">
        <v>192</v>
      </c>
      <c r="FH605" s="1" t="s">
        <v>192</v>
      </c>
      <c r="FJ605" s="1" t="s">
        <v>733</v>
      </c>
      <c r="FK605" s="1" t="s">
        <v>229</v>
      </c>
      <c r="FL605" s="1" t="s">
        <v>974</v>
      </c>
      <c r="FM605" s="1">
        <v>3790.0</v>
      </c>
      <c r="FN605" s="1" t="s">
        <v>7627</v>
      </c>
      <c r="FO605" s="1" t="s">
        <v>7628</v>
      </c>
      <c r="FP605" s="1">
        <v>39083.0</v>
      </c>
      <c r="FQ605" s="1" t="s">
        <v>7629</v>
      </c>
      <c r="FU605" s="1" t="s">
        <v>7630</v>
      </c>
      <c r="FV605" s="1" t="s">
        <v>200</v>
      </c>
      <c r="FW605" s="1" t="s">
        <v>290</v>
      </c>
      <c r="FX605" s="1" t="s">
        <v>238</v>
      </c>
      <c r="FZ605" s="1" t="s">
        <v>229</v>
      </c>
      <c r="GA605" s="1" t="s">
        <v>291</v>
      </c>
      <c r="GB605" s="2">
        <v>42094.0</v>
      </c>
      <c r="GC605" s="1" t="s">
        <v>7631</v>
      </c>
    </row>
    <row r="606">
      <c r="A606" s="1">
        <v>58000.0</v>
      </c>
      <c r="B606" s="1" t="s">
        <v>185</v>
      </c>
      <c r="C606" s="1" t="str">
        <f>"08807451"</f>
        <v>08807451</v>
      </c>
      <c r="D606" s="1" t="s">
        <v>186</v>
      </c>
      <c r="F606" s="1" t="str">
        <f>"8065"</f>
        <v>8065</v>
      </c>
      <c r="G606" s="2">
        <v>42003.0</v>
      </c>
      <c r="H606" s="1">
        <v>63000.0</v>
      </c>
      <c r="I606" s="1">
        <v>21.0</v>
      </c>
      <c r="J606" s="1">
        <v>63000.0</v>
      </c>
      <c r="K606" s="2">
        <v>42023.0</v>
      </c>
      <c r="L606" s="1">
        <v>21.0</v>
      </c>
      <c r="M606" s="2">
        <v>42023.0</v>
      </c>
      <c r="N606" s="1" t="s">
        <v>249</v>
      </c>
      <c r="O606" s="2">
        <v>42073.0</v>
      </c>
      <c r="P606" s="1">
        <v>243450.0</v>
      </c>
      <c r="Q606" s="1">
        <v>60873.0</v>
      </c>
      <c r="S606" s="1">
        <v>3644.0</v>
      </c>
      <c r="T606" s="1" t="s">
        <v>7632</v>
      </c>
      <c r="U606" s="1" t="s">
        <v>320</v>
      </c>
      <c r="V606" s="1" t="s">
        <v>190</v>
      </c>
      <c r="W606" s="1">
        <v>60629.0</v>
      </c>
      <c r="Y606" s="1" t="s">
        <v>7633</v>
      </c>
      <c r="Z606" s="1">
        <v>1900.0</v>
      </c>
      <c r="AA606" s="1" t="s">
        <v>192</v>
      </c>
      <c r="AB606" s="1" t="s">
        <v>193</v>
      </c>
      <c r="AD606" s="1" t="s">
        <v>194</v>
      </c>
      <c r="AE606" s="1" t="s">
        <v>195</v>
      </c>
      <c r="AF606" s="1" t="s">
        <v>659</v>
      </c>
      <c r="AH606" s="1" t="s">
        <v>7634</v>
      </c>
      <c r="AI606" s="1">
        <v>0.0996</v>
      </c>
      <c r="AK606" s="1">
        <v>8.0</v>
      </c>
      <c r="AL606" s="1">
        <v>4.0</v>
      </c>
      <c r="AM606" s="1">
        <v>1.0</v>
      </c>
      <c r="AN606" s="1">
        <v>1.0</v>
      </c>
      <c r="AO606" s="1" t="s">
        <v>229</v>
      </c>
      <c r="AQ606" s="1" t="s">
        <v>198</v>
      </c>
      <c r="AR606" s="1" t="s">
        <v>200</v>
      </c>
      <c r="AS606" s="1" t="s">
        <v>199</v>
      </c>
      <c r="AT606" s="1">
        <v>2.0</v>
      </c>
      <c r="AV606" s="1" t="s">
        <v>200</v>
      </c>
      <c r="AW606" s="1">
        <v>2113.53</v>
      </c>
      <c r="AX606" s="1">
        <v>2012.0</v>
      </c>
      <c r="AZ606" s="1" t="s">
        <v>545</v>
      </c>
      <c r="BA606" s="1" t="str">
        <f>"19231070250000"</f>
        <v>19231070250000</v>
      </c>
      <c r="BC606" s="1">
        <v>1320.0</v>
      </c>
      <c r="BD606" s="1">
        <v>58000.0</v>
      </c>
      <c r="BE606" s="2">
        <v>42003.0</v>
      </c>
      <c r="BF606" s="1" t="s">
        <v>7635</v>
      </c>
      <c r="BH606" s="1">
        <v>0.0</v>
      </c>
      <c r="BK606" s="1" t="s">
        <v>204</v>
      </c>
      <c r="BL606" s="1" t="str">
        <f t="shared" ref="BL606:BM606" si="407">"0"</f>
        <v>0</v>
      </c>
      <c r="BM606" s="1" t="str">
        <f t="shared" si="407"/>
        <v>0</v>
      </c>
      <c r="BN606" s="1">
        <v>3644.0</v>
      </c>
      <c r="BO606" s="1">
        <v>6400.0</v>
      </c>
      <c r="BQ606" s="1">
        <v>299.0</v>
      </c>
      <c r="BR606" s="1">
        <v>299.0</v>
      </c>
      <c r="BS606" s="1">
        <v>299.0</v>
      </c>
      <c r="BU606" s="1" t="s">
        <v>582</v>
      </c>
      <c r="BV606" s="1" t="s">
        <v>206</v>
      </c>
      <c r="BY606" s="1" t="s">
        <v>454</v>
      </c>
      <c r="BZ606" s="1" t="s">
        <v>209</v>
      </c>
      <c r="CC606" s="1" t="s">
        <v>392</v>
      </c>
      <c r="CD606" s="1" t="s">
        <v>206</v>
      </c>
      <c r="CG606" s="1" t="s">
        <v>264</v>
      </c>
      <c r="CH606" s="1" t="s">
        <v>209</v>
      </c>
      <c r="CK606" s="1" t="s">
        <v>497</v>
      </c>
      <c r="CL606" s="1" t="s">
        <v>209</v>
      </c>
      <c r="CO606" s="1" t="s">
        <v>497</v>
      </c>
      <c r="CP606" s="1" t="s">
        <v>209</v>
      </c>
      <c r="CS606" s="1" t="s">
        <v>699</v>
      </c>
      <c r="CT606" s="1" t="s">
        <v>206</v>
      </c>
      <c r="CW606" s="1" t="s">
        <v>4787</v>
      </c>
      <c r="CX606" s="1" t="s">
        <v>209</v>
      </c>
      <c r="DA606" s="1" t="s">
        <v>200</v>
      </c>
      <c r="DC606" s="1" t="s">
        <v>642</v>
      </c>
      <c r="DE606" s="1" t="s">
        <v>229</v>
      </c>
      <c r="DF606" s="1" t="s">
        <v>219</v>
      </c>
      <c r="DH606" s="1" t="s">
        <v>307</v>
      </c>
      <c r="DJ606" s="1" t="s">
        <v>222</v>
      </c>
      <c r="DL606" s="1" t="s">
        <v>858</v>
      </c>
      <c r="DM606" s="1" t="s">
        <v>1464</v>
      </c>
      <c r="DQ606" s="1" t="s">
        <v>228</v>
      </c>
      <c r="DR606" s="1" t="s">
        <v>229</v>
      </c>
      <c r="DV606" s="1" t="s">
        <v>374</v>
      </c>
      <c r="DW606" s="1" t="s">
        <v>891</v>
      </c>
      <c r="DX606" s="1" t="s">
        <v>234</v>
      </c>
      <c r="EC606" s="1" t="s">
        <v>237</v>
      </c>
      <c r="EG606" s="1" t="s">
        <v>374</v>
      </c>
      <c r="EL606" s="1" t="s">
        <v>5359</v>
      </c>
      <c r="EM606" s="1" t="s">
        <v>206</v>
      </c>
      <c r="EQ606" s="1" t="s">
        <v>238</v>
      </c>
      <c r="EU606" s="1" t="s">
        <v>238</v>
      </c>
      <c r="EY606" s="1" t="s">
        <v>238</v>
      </c>
      <c r="FC606" s="1" t="s">
        <v>238</v>
      </c>
      <c r="FF606" s="1" t="s">
        <v>229</v>
      </c>
      <c r="FG606" s="1" t="s">
        <v>200</v>
      </c>
      <c r="FH606" s="1" t="s">
        <v>200</v>
      </c>
      <c r="FJ606" s="1" t="s">
        <v>347</v>
      </c>
      <c r="FK606" s="1" t="s">
        <v>229</v>
      </c>
      <c r="FL606" s="1" t="s">
        <v>7636</v>
      </c>
      <c r="FM606" s="1">
        <v>60828.0</v>
      </c>
      <c r="FN606" s="1" t="s">
        <v>7637</v>
      </c>
      <c r="FO606" s="1" t="s">
        <v>7638</v>
      </c>
      <c r="FP606" s="1">
        <v>505122.0</v>
      </c>
      <c r="FQ606" s="1" t="s">
        <v>7639</v>
      </c>
      <c r="FU606" s="1" t="s">
        <v>7640</v>
      </c>
      <c r="FV606" s="1" t="s">
        <v>200</v>
      </c>
      <c r="FW606" s="1" t="s">
        <v>1578</v>
      </c>
      <c r="FX606" s="1" t="s">
        <v>246</v>
      </c>
      <c r="FZ606" s="1" t="s">
        <v>504</v>
      </c>
      <c r="GA606" s="1" t="s">
        <v>291</v>
      </c>
      <c r="GB606" s="2">
        <v>42073.0</v>
      </c>
      <c r="GC606" s="1" t="s">
        <v>7641</v>
      </c>
    </row>
    <row r="607">
      <c r="A607" s="1">
        <v>227900.0</v>
      </c>
      <c r="B607" s="1" t="s">
        <v>185</v>
      </c>
      <c r="C607" s="1" t="str">
        <f>"08803662"</f>
        <v>08803662</v>
      </c>
      <c r="D607" s="1" t="s">
        <v>186</v>
      </c>
      <c r="F607" s="1" t="str">
        <f>"8056"</f>
        <v>8056</v>
      </c>
      <c r="G607" s="2">
        <v>41990.0</v>
      </c>
      <c r="H607" s="1">
        <v>249800.0</v>
      </c>
      <c r="I607" s="1">
        <v>82.0</v>
      </c>
      <c r="J607" s="1">
        <v>229900.0</v>
      </c>
      <c r="K607" s="2">
        <v>42044.0</v>
      </c>
      <c r="L607" s="1">
        <v>55.0</v>
      </c>
      <c r="M607" s="2">
        <v>42044.0</v>
      </c>
      <c r="N607" s="1" t="s">
        <v>187</v>
      </c>
      <c r="O607" s="2">
        <v>42076.0</v>
      </c>
      <c r="P607" s="1">
        <v>163945.0</v>
      </c>
      <c r="Q607" s="1">
        <v>84125.0</v>
      </c>
      <c r="R607" s="1">
        <v>3.5</v>
      </c>
      <c r="S607" s="1">
        <v>5731.0</v>
      </c>
      <c r="T607" s="1" t="s">
        <v>6346</v>
      </c>
      <c r="U607" s="1" t="s">
        <v>189</v>
      </c>
      <c r="V607" s="1" t="s">
        <v>190</v>
      </c>
      <c r="W607" s="1">
        <v>60638.0</v>
      </c>
      <c r="Y607" s="1" t="s">
        <v>7642</v>
      </c>
      <c r="Z607" s="1">
        <v>1951.0</v>
      </c>
      <c r="AA607" s="1" t="s">
        <v>192</v>
      </c>
      <c r="AB607" s="1" t="s">
        <v>193</v>
      </c>
      <c r="AD607" s="1" t="s">
        <v>194</v>
      </c>
      <c r="AE607" s="1" t="s">
        <v>195</v>
      </c>
      <c r="AF607" s="1" t="s">
        <v>659</v>
      </c>
      <c r="AH607" s="1" t="s">
        <v>7643</v>
      </c>
      <c r="AI607" s="1">
        <v>0.1085</v>
      </c>
      <c r="AK607" s="1">
        <v>6.0</v>
      </c>
      <c r="AL607" s="1">
        <v>4.0</v>
      </c>
      <c r="AM607" s="1">
        <v>1.0</v>
      </c>
      <c r="AN607" s="1">
        <v>1.0</v>
      </c>
      <c r="AO607" s="1" t="s">
        <v>229</v>
      </c>
      <c r="AQ607" s="1" t="s">
        <v>229</v>
      </c>
      <c r="AR607" s="1" t="s">
        <v>200</v>
      </c>
      <c r="AS607" s="1" t="s">
        <v>199</v>
      </c>
      <c r="AT607" s="1">
        <v>2.0</v>
      </c>
      <c r="AV607" s="1" t="s">
        <v>200</v>
      </c>
      <c r="AW607" s="1">
        <v>2577.83</v>
      </c>
      <c r="AX607" s="1">
        <v>2013.0</v>
      </c>
      <c r="AY607" s="1" t="s">
        <v>387</v>
      </c>
      <c r="AZ607" s="1" t="s">
        <v>200</v>
      </c>
      <c r="BA607" s="1" t="str">
        <f>"19172180330000"</f>
        <v>19172180330000</v>
      </c>
      <c r="BC607" s="1">
        <v>1750.0</v>
      </c>
      <c r="BD607" s="1">
        <v>227900.0</v>
      </c>
      <c r="BE607" s="2">
        <v>41990.0</v>
      </c>
      <c r="BF607" s="2" t="s">
        <v>7644</v>
      </c>
      <c r="BH607" s="1">
        <v>0.0</v>
      </c>
      <c r="BK607" s="1" t="s">
        <v>204</v>
      </c>
      <c r="BL607" s="1" t="str">
        <f t="shared" ref="BL607:BM607" si="408">"0"</f>
        <v>0</v>
      </c>
      <c r="BM607" s="1" t="str">
        <f t="shared" si="408"/>
        <v>0</v>
      </c>
      <c r="BN607" s="1">
        <v>5800.0</v>
      </c>
      <c r="BO607" s="1">
        <v>5731.0</v>
      </c>
      <c r="BQ607" s="1">
        <v>299.0</v>
      </c>
      <c r="BR607" s="1">
        <v>299.0</v>
      </c>
      <c r="BS607" s="1">
        <v>299.0</v>
      </c>
      <c r="BU607" s="1" t="s">
        <v>743</v>
      </c>
      <c r="BV607" s="1" t="s">
        <v>206</v>
      </c>
      <c r="BW607" s="1" t="s">
        <v>207</v>
      </c>
      <c r="BX607" s="1" t="s">
        <v>431</v>
      </c>
      <c r="BY607" s="1" t="s">
        <v>743</v>
      </c>
      <c r="BZ607" s="1" t="s">
        <v>209</v>
      </c>
      <c r="CA607" s="1" t="s">
        <v>210</v>
      </c>
      <c r="CB607" s="1" t="s">
        <v>431</v>
      </c>
      <c r="CD607" s="1" t="s">
        <v>204</v>
      </c>
      <c r="CG607" s="1" t="s">
        <v>393</v>
      </c>
      <c r="CH607" s="1" t="s">
        <v>209</v>
      </c>
      <c r="CI607" s="1" t="s">
        <v>210</v>
      </c>
      <c r="CJ607" s="1" t="s">
        <v>431</v>
      </c>
      <c r="CK607" s="1" t="s">
        <v>264</v>
      </c>
      <c r="CL607" s="1" t="s">
        <v>206</v>
      </c>
      <c r="CM607" s="1" t="s">
        <v>207</v>
      </c>
      <c r="CN607" s="1" t="s">
        <v>431</v>
      </c>
      <c r="CO607" s="1" t="s">
        <v>264</v>
      </c>
      <c r="CP607" s="1" t="s">
        <v>206</v>
      </c>
      <c r="CQ607" s="1" t="s">
        <v>207</v>
      </c>
      <c r="CR607" s="1" t="s">
        <v>431</v>
      </c>
      <c r="CS607" s="1" t="s">
        <v>743</v>
      </c>
      <c r="CT607" s="1" t="s">
        <v>206</v>
      </c>
      <c r="CU607" s="1" t="s">
        <v>2615</v>
      </c>
      <c r="CV607" s="1" t="s">
        <v>431</v>
      </c>
      <c r="CX607" s="1" t="s">
        <v>204</v>
      </c>
      <c r="DA607" s="1" t="s">
        <v>200</v>
      </c>
      <c r="DC607" s="1" t="s">
        <v>702</v>
      </c>
      <c r="DE607" s="1" t="s">
        <v>273</v>
      </c>
      <c r="DF607" s="1" t="s">
        <v>219</v>
      </c>
      <c r="DG607" s="1" t="s">
        <v>1160</v>
      </c>
      <c r="DH607" s="1" t="s">
        <v>307</v>
      </c>
      <c r="DJ607" s="1" t="s">
        <v>222</v>
      </c>
      <c r="DL607" s="1" t="s">
        <v>229</v>
      </c>
      <c r="DM607" s="1" t="s">
        <v>1464</v>
      </c>
      <c r="DQ607" s="1" t="s">
        <v>794</v>
      </c>
      <c r="DR607" s="1" t="s">
        <v>229</v>
      </c>
      <c r="DV607" s="1" t="s">
        <v>232</v>
      </c>
      <c r="DW607" s="1" t="s">
        <v>5175</v>
      </c>
      <c r="DX607" s="1" t="s">
        <v>234</v>
      </c>
      <c r="DY607" s="1" t="s">
        <v>7645</v>
      </c>
      <c r="DZ607" s="1" t="s">
        <v>405</v>
      </c>
      <c r="EA607" s="1" t="s">
        <v>588</v>
      </c>
      <c r="EC607" s="1" t="s">
        <v>645</v>
      </c>
      <c r="ED607" s="1" t="s">
        <v>407</v>
      </c>
      <c r="EM607" s="1" t="s">
        <v>238</v>
      </c>
      <c r="EQ607" s="1" t="s">
        <v>238</v>
      </c>
      <c r="EU607" s="1" t="s">
        <v>238</v>
      </c>
      <c r="EY607" s="1" t="s">
        <v>238</v>
      </c>
      <c r="FC607" s="1" t="s">
        <v>238</v>
      </c>
      <c r="FF607" s="1" t="s">
        <v>239</v>
      </c>
      <c r="FG607" s="1" t="s">
        <v>192</v>
      </c>
      <c r="FH607" s="1" t="s">
        <v>192</v>
      </c>
      <c r="FJ607" s="1" t="s">
        <v>7646</v>
      </c>
      <c r="FK607" s="1" t="s">
        <v>229</v>
      </c>
      <c r="FL607" s="1" t="s">
        <v>7366</v>
      </c>
      <c r="FM607" s="1">
        <v>84674.0</v>
      </c>
      <c r="FN607" s="1" t="s">
        <v>7367</v>
      </c>
      <c r="FO607" s="1" t="s">
        <v>7647</v>
      </c>
      <c r="FP607" s="1">
        <v>178784.0</v>
      </c>
      <c r="FQ607" s="1" t="s">
        <v>7648</v>
      </c>
      <c r="FR607" s="1">
        <v>841844.0</v>
      </c>
      <c r="FU607" s="1" t="s">
        <v>6077</v>
      </c>
      <c r="FV607" s="1" t="s">
        <v>200</v>
      </c>
      <c r="FW607" s="1" t="s">
        <v>654</v>
      </c>
      <c r="FX607" s="1" t="s">
        <v>655</v>
      </c>
      <c r="FZ607" s="1" t="s">
        <v>632</v>
      </c>
      <c r="GA607" s="1" t="s">
        <v>291</v>
      </c>
      <c r="GB607" s="2">
        <v>42080.0</v>
      </c>
      <c r="GC607" s="1" t="s">
        <v>7649</v>
      </c>
    </row>
    <row r="608">
      <c r="A608" s="1">
        <v>392000.0</v>
      </c>
      <c r="B608" s="1" t="s">
        <v>185</v>
      </c>
      <c r="C608" s="1" t="str">
        <f>"08810909"</f>
        <v>08810909</v>
      </c>
      <c r="D608" s="1" t="s">
        <v>186</v>
      </c>
      <c r="F608" s="1" t="str">
        <f>"134"</f>
        <v>134</v>
      </c>
      <c r="G608" s="2">
        <v>42010.0</v>
      </c>
      <c r="H608" s="1">
        <v>429900.0</v>
      </c>
      <c r="I608" s="1">
        <v>217.0</v>
      </c>
      <c r="J608" s="1">
        <v>399900.0</v>
      </c>
      <c r="K608" s="2">
        <v>42093.0</v>
      </c>
      <c r="L608" s="1">
        <v>85.0</v>
      </c>
      <c r="M608" s="2">
        <v>42093.0</v>
      </c>
      <c r="N608" s="1" t="s">
        <v>187</v>
      </c>
      <c r="O608" s="2">
        <v>42139.0</v>
      </c>
      <c r="P608" s="1">
        <v>1405.0</v>
      </c>
      <c r="Q608" s="1">
        <v>30.0</v>
      </c>
      <c r="S608" s="1">
        <v>496.0</v>
      </c>
      <c r="T608" s="1" t="s">
        <v>7650</v>
      </c>
      <c r="U608" s="1" t="s">
        <v>464</v>
      </c>
      <c r="V608" s="1" t="s">
        <v>421</v>
      </c>
      <c r="W608" s="1">
        <v>60134.0</v>
      </c>
      <c r="Y608" s="1" t="s">
        <v>7651</v>
      </c>
      <c r="Z608" s="1">
        <v>1997.0</v>
      </c>
      <c r="AA608" s="1" t="s">
        <v>200</v>
      </c>
      <c r="AB608" s="1" t="s">
        <v>193</v>
      </c>
      <c r="AC608" s="1" t="s">
        <v>7652</v>
      </c>
      <c r="AD608" s="1" t="s">
        <v>424</v>
      </c>
      <c r="AE608" s="1" t="s">
        <v>325</v>
      </c>
      <c r="AF608" s="1" t="s">
        <v>424</v>
      </c>
      <c r="AH608" s="1" t="s">
        <v>7653</v>
      </c>
      <c r="AI608" s="1">
        <v>0.39</v>
      </c>
      <c r="AK608" s="1">
        <v>9.0</v>
      </c>
      <c r="AL608" s="1">
        <v>4.0</v>
      </c>
      <c r="AM608" s="1">
        <v>2.0</v>
      </c>
      <c r="AN608" s="1">
        <v>2.0</v>
      </c>
      <c r="AO608" s="1" t="s">
        <v>198</v>
      </c>
      <c r="AP608" s="1">
        <v>1.0</v>
      </c>
      <c r="AQ608" s="1" t="s">
        <v>198</v>
      </c>
      <c r="AR608" s="1" t="s">
        <v>192</v>
      </c>
      <c r="AS608" s="1" t="s">
        <v>199</v>
      </c>
      <c r="AT608" s="1">
        <v>3.0</v>
      </c>
      <c r="AV608" s="1" t="s">
        <v>200</v>
      </c>
      <c r="AW608" s="1">
        <v>10084.0</v>
      </c>
      <c r="AX608" s="1">
        <v>2013.0</v>
      </c>
      <c r="AY608" s="1" t="s">
        <v>387</v>
      </c>
      <c r="AZ608" s="1" t="s">
        <v>200</v>
      </c>
      <c r="BA608" s="1" t="str">
        <f>"1208103006"</f>
        <v>1208103006</v>
      </c>
      <c r="BB608" s="1" t="s">
        <v>200</v>
      </c>
      <c r="BC608" s="1">
        <v>2800.0</v>
      </c>
      <c r="BD608" s="1">
        <v>392000.0</v>
      </c>
      <c r="BE608" s="2">
        <v>42009.0</v>
      </c>
      <c r="BF608" s="2" t="s">
        <v>7654</v>
      </c>
      <c r="BG608" s="1" t="s">
        <v>7493</v>
      </c>
      <c r="BH608" s="1">
        <v>0.0</v>
      </c>
      <c r="BI608" s="1" t="s">
        <v>429</v>
      </c>
      <c r="BJ608" s="1" t="s">
        <v>430</v>
      </c>
      <c r="BK608" s="1" t="s">
        <v>204</v>
      </c>
      <c r="BL608" s="1" t="str">
        <f>"1"</f>
        <v>1</v>
      </c>
      <c r="BM608" s="1" t="str">
        <f t="shared" ref="BM608:BM610" si="409">"0"</f>
        <v>0</v>
      </c>
      <c r="BN608" s="1">
        <v>38.0</v>
      </c>
      <c r="BO608" s="1">
        <v>0.0</v>
      </c>
      <c r="BQ608" s="1">
        <v>304.0</v>
      </c>
      <c r="BR608" s="1">
        <v>304.0</v>
      </c>
      <c r="BS608" s="1">
        <v>304.0</v>
      </c>
      <c r="BU608" s="1" t="s">
        <v>454</v>
      </c>
      <c r="BV608" s="1" t="s">
        <v>206</v>
      </c>
      <c r="BW608" s="1" t="s">
        <v>207</v>
      </c>
      <c r="BX608" s="1" t="s">
        <v>229</v>
      </c>
      <c r="BY608" s="1" t="s">
        <v>784</v>
      </c>
      <c r="BZ608" s="1" t="s">
        <v>209</v>
      </c>
      <c r="CA608" s="1" t="s">
        <v>207</v>
      </c>
      <c r="CB608" s="1" t="s">
        <v>431</v>
      </c>
      <c r="CC608" s="1" t="s">
        <v>300</v>
      </c>
      <c r="CD608" s="1" t="s">
        <v>206</v>
      </c>
      <c r="CE608" s="1" t="s">
        <v>207</v>
      </c>
      <c r="CF608" s="1" t="s">
        <v>229</v>
      </c>
      <c r="CG608" s="1" t="s">
        <v>215</v>
      </c>
      <c r="CH608" s="1" t="s">
        <v>209</v>
      </c>
      <c r="CI608" s="1" t="s">
        <v>207</v>
      </c>
      <c r="CJ608" s="1" t="s">
        <v>431</v>
      </c>
      <c r="CK608" s="1" t="s">
        <v>300</v>
      </c>
      <c r="CL608" s="1" t="s">
        <v>209</v>
      </c>
      <c r="CM608" s="1" t="s">
        <v>207</v>
      </c>
      <c r="CN608" s="1" t="s">
        <v>431</v>
      </c>
      <c r="CO608" s="1" t="s">
        <v>300</v>
      </c>
      <c r="CP608" s="1" t="s">
        <v>209</v>
      </c>
      <c r="CQ608" s="1" t="s">
        <v>207</v>
      </c>
      <c r="CR608" s="1" t="s">
        <v>431</v>
      </c>
      <c r="CS608" s="1" t="s">
        <v>453</v>
      </c>
      <c r="CT608" s="1" t="s">
        <v>206</v>
      </c>
      <c r="CU608" s="1" t="s">
        <v>207</v>
      </c>
      <c r="CW608" s="1" t="s">
        <v>854</v>
      </c>
      <c r="CX608" s="1" t="s">
        <v>206</v>
      </c>
      <c r="CY608" s="1" t="s">
        <v>207</v>
      </c>
      <c r="CZ608" s="1" t="s">
        <v>1118</v>
      </c>
      <c r="DA608" s="1" t="s">
        <v>200</v>
      </c>
      <c r="DC608" s="1" t="s">
        <v>678</v>
      </c>
      <c r="DD608" s="1" t="s">
        <v>1838</v>
      </c>
      <c r="DE608" s="1" t="s">
        <v>273</v>
      </c>
      <c r="DF608" s="1" t="s">
        <v>219</v>
      </c>
      <c r="DG608" s="1" t="s">
        <v>1400</v>
      </c>
      <c r="DH608" s="1" t="s">
        <v>220</v>
      </c>
      <c r="DI608" s="1" t="s">
        <v>221</v>
      </c>
      <c r="DJ608" s="1" t="s">
        <v>222</v>
      </c>
      <c r="DK608" s="1" t="s">
        <v>1555</v>
      </c>
      <c r="DL608" s="1" t="s">
        <v>224</v>
      </c>
      <c r="DM608" s="1" t="s">
        <v>338</v>
      </c>
      <c r="DN608" s="1" t="s">
        <v>399</v>
      </c>
      <c r="DO608" s="1" t="s">
        <v>761</v>
      </c>
      <c r="DP608" s="1" t="s">
        <v>340</v>
      </c>
      <c r="DQ608" s="1" t="s">
        <v>441</v>
      </c>
      <c r="DR608" s="1" t="s">
        <v>229</v>
      </c>
      <c r="DS608" s="1" t="s">
        <v>591</v>
      </c>
      <c r="DU608" s="1" t="s">
        <v>7655</v>
      </c>
      <c r="DV608" s="1" t="s">
        <v>5014</v>
      </c>
      <c r="DW608" s="1" t="s">
        <v>1026</v>
      </c>
      <c r="DX608" s="1" t="s">
        <v>234</v>
      </c>
      <c r="DY608" s="1" t="s">
        <v>7656</v>
      </c>
      <c r="DZ608" s="1" t="s">
        <v>282</v>
      </c>
      <c r="EA608" s="1" t="s">
        <v>3308</v>
      </c>
      <c r="EB608" s="1" t="s">
        <v>937</v>
      </c>
      <c r="EC608" s="1" t="s">
        <v>237</v>
      </c>
      <c r="ED608" s="1" t="s">
        <v>407</v>
      </c>
      <c r="EG608" s="1" t="s">
        <v>494</v>
      </c>
      <c r="EH608" s="1" t="s">
        <v>408</v>
      </c>
      <c r="EL608" s="1" t="s">
        <v>663</v>
      </c>
      <c r="EM608" s="1" t="s">
        <v>206</v>
      </c>
      <c r="EN608" s="1" t="s">
        <v>207</v>
      </c>
      <c r="EP608" s="1" t="s">
        <v>560</v>
      </c>
      <c r="EQ608" s="1" t="s">
        <v>206</v>
      </c>
      <c r="ER608" s="1" t="s">
        <v>207</v>
      </c>
      <c r="EU608" s="1" t="s">
        <v>238</v>
      </c>
      <c r="EY608" s="1" t="s">
        <v>238</v>
      </c>
      <c r="FC608" s="1" t="s">
        <v>238</v>
      </c>
      <c r="FF608" s="1" t="s">
        <v>239</v>
      </c>
      <c r="FG608" s="1" t="s">
        <v>192</v>
      </c>
      <c r="FH608" s="1" t="s">
        <v>192</v>
      </c>
      <c r="FJ608" s="1" t="s">
        <v>624</v>
      </c>
      <c r="FK608" s="1" t="s">
        <v>229</v>
      </c>
      <c r="FL608" s="1" t="s">
        <v>2263</v>
      </c>
      <c r="FM608" s="1">
        <v>890.0</v>
      </c>
      <c r="FN608" s="1" t="s">
        <v>5199</v>
      </c>
      <c r="FO608" s="1" t="s">
        <v>7657</v>
      </c>
      <c r="FP608" s="1">
        <v>486.0</v>
      </c>
      <c r="FQ608" s="1" t="s">
        <v>7658</v>
      </c>
      <c r="FU608" s="1" t="s">
        <v>7659</v>
      </c>
      <c r="FV608" s="1" t="s">
        <v>200</v>
      </c>
      <c r="FW608" s="1" t="s">
        <v>2754</v>
      </c>
      <c r="FZ608" s="1" t="s">
        <v>229</v>
      </c>
      <c r="GA608" s="1" t="s">
        <v>291</v>
      </c>
      <c r="GB608" s="2">
        <v>42145.0</v>
      </c>
      <c r="GC608" s="1" t="s">
        <v>7660</v>
      </c>
    </row>
    <row r="609">
      <c r="A609" s="1">
        <v>79000.0</v>
      </c>
      <c r="B609" s="1" t="s">
        <v>185</v>
      </c>
      <c r="C609" s="1" t="str">
        <f>"08799584"</f>
        <v>08799584</v>
      </c>
      <c r="D609" s="1" t="s">
        <v>186</v>
      </c>
      <c r="F609" s="1" t="str">
        <f>"110"</f>
        <v>110</v>
      </c>
      <c r="G609" s="2">
        <v>41982.0</v>
      </c>
      <c r="H609" s="1">
        <v>79900.0</v>
      </c>
      <c r="I609" s="1">
        <v>15.0</v>
      </c>
      <c r="J609" s="1">
        <v>79900.0</v>
      </c>
      <c r="K609" s="2">
        <v>41996.0</v>
      </c>
      <c r="L609" s="1">
        <v>15.0</v>
      </c>
      <c r="M609" s="2">
        <v>41996.0</v>
      </c>
      <c r="N609" s="1" t="s">
        <v>249</v>
      </c>
      <c r="O609" s="2">
        <v>42033.0</v>
      </c>
      <c r="P609" s="1">
        <v>81663.0</v>
      </c>
      <c r="Q609" s="1">
        <v>8942.0</v>
      </c>
      <c r="S609" s="1">
        <v>279.0</v>
      </c>
      <c r="T609" s="1" t="s">
        <v>7661</v>
      </c>
      <c r="U609" s="1" t="s">
        <v>1174</v>
      </c>
      <c r="V609" s="1" t="s">
        <v>807</v>
      </c>
      <c r="W609" s="1">
        <v>60110.0</v>
      </c>
      <c r="Y609" s="1" t="s">
        <v>7662</v>
      </c>
      <c r="Z609" s="1">
        <v>1961.0</v>
      </c>
      <c r="AA609" s="1" t="s">
        <v>192</v>
      </c>
      <c r="AB609" s="1" t="s">
        <v>193</v>
      </c>
      <c r="AD609" s="1" t="s">
        <v>1089</v>
      </c>
      <c r="AE609" s="1" t="s">
        <v>325</v>
      </c>
      <c r="AF609" s="1" t="s">
        <v>810</v>
      </c>
      <c r="AH609" s="1">
        <v>18318.0</v>
      </c>
      <c r="AK609" s="1">
        <v>8.0</v>
      </c>
      <c r="AL609" s="1">
        <v>4.0</v>
      </c>
      <c r="AM609" s="1">
        <v>1.0</v>
      </c>
      <c r="AN609" s="1">
        <v>0.0</v>
      </c>
      <c r="AO609" s="1" t="s">
        <v>229</v>
      </c>
      <c r="AP609" s="1">
        <v>0.0</v>
      </c>
      <c r="AQ609" s="1" t="s">
        <v>6771</v>
      </c>
      <c r="AR609" s="1" t="s">
        <v>200</v>
      </c>
      <c r="AS609" s="1" t="s">
        <v>199</v>
      </c>
      <c r="AT609" s="1">
        <v>1.0</v>
      </c>
      <c r="AV609" s="1" t="s">
        <v>200</v>
      </c>
      <c r="AW609" s="1">
        <v>3626.4</v>
      </c>
      <c r="AX609" s="1">
        <v>2013.0</v>
      </c>
      <c r="AY609" s="1" t="s">
        <v>229</v>
      </c>
      <c r="AZ609" s="1" t="s">
        <v>200</v>
      </c>
      <c r="BA609" s="1" t="str">
        <f>"0311304033"</f>
        <v>0311304033</v>
      </c>
      <c r="BC609" s="1">
        <v>1120.0</v>
      </c>
      <c r="BD609" s="1">
        <v>79000.0</v>
      </c>
      <c r="BE609" s="2">
        <v>41982.0</v>
      </c>
      <c r="BF609" s="2" t="s">
        <v>7663</v>
      </c>
      <c r="BG609" s="1" t="s">
        <v>7664</v>
      </c>
      <c r="BH609" s="1">
        <v>0.0</v>
      </c>
      <c r="BI609" s="1" t="s">
        <v>7665</v>
      </c>
      <c r="BJ609" s="1" t="s">
        <v>1094</v>
      </c>
      <c r="BK609" s="1" t="s">
        <v>204</v>
      </c>
      <c r="BL609" s="1" t="str">
        <f>"18"</f>
        <v>18</v>
      </c>
      <c r="BM609" s="1" t="str">
        <f t="shared" si="409"/>
        <v>0</v>
      </c>
      <c r="BN609" s="1">
        <v>33.0</v>
      </c>
      <c r="BO609" s="1">
        <v>0.0</v>
      </c>
      <c r="BQ609" s="1">
        <v>300.0</v>
      </c>
      <c r="BR609" s="1">
        <v>300.0</v>
      </c>
      <c r="BS609" s="1">
        <v>300.0</v>
      </c>
      <c r="BU609" s="1" t="s">
        <v>664</v>
      </c>
      <c r="BV609" s="1" t="s">
        <v>206</v>
      </c>
      <c r="BW609" s="1" t="s">
        <v>207</v>
      </c>
      <c r="BY609" s="1" t="s">
        <v>329</v>
      </c>
      <c r="BZ609" s="1" t="s">
        <v>206</v>
      </c>
      <c r="CA609" s="1" t="s">
        <v>207</v>
      </c>
      <c r="CD609" s="1" t="s">
        <v>204</v>
      </c>
      <c r="CG609" s="1" t="s">
        <v>497</v>
      </c>
      <c r="CH609" s="1" t="s">
        <v>206</v>
      </c>
      <c r="CI609" s="1" t="s">
        <v>207</v>
      </c>
      <c r="CK609" s="1" t="s">
        <v>495</v>
      </c>
      <c r="CL609" s="1" t="s">
        <v>206</v>
      </c>
      <c r="CM609" s="1" t="s">
        <v>207</v>
      </c>
      <c r="CO609" s="1" t="s">
        <v>392</v>
      </c>
      <c r="CP609" s="1" t="s">
        <v>267</v>
      </c>
      <c r="CQ609" s="1" t="s">
        <v>617</v>
      </c>
      <c r="CR609" s="1" t="s">
        <v>229</v>
      </c>
      <c r="CS609" s="1" t="s">
        <v>2224</v>
      </c>
      <c r="CT609" s="1" t="s">
        <v>206</v>
      </c>
      <c r="CU609" s="1" t="s">
        <v>617</v>
      </c>
      <c r="CW609" s="1" t="s">
        <v>453</v>
      </c>
      <c r="CX609" s="1" t="s">
        <v>267</v>
      </c>
      <c r="CY609" s="1" t="s">
        <v>617</v>
      </c>
      <c r="CZ609" s="1" t="s">
        <v>229</v>
      </c>
      <c r="DA609" s="1" t="s">
        <v>200</v>
      </c>
      <c r="DC609" s="1" t="s">
        <v>271</v>
      </c>
      <c r="DD609" s="1" t="s">
        <v>518</v>
      </c>
      <c r="DE609" s="1" t="s">
        <v>1300</v>
      </c>
      <c r="DF609" s="1" t="s">
        <v>219</v>
      </c>
      <c r="DG609" s="1" t="s">
        <v>7666</v>
      </c>
      <c r="DH609" s="1" t="s">
        <v>7667</v>
      </c>
      <c r="DJ609" s="1" t="s">
        <v>857</v>
      </c>
      <c r="DL609" s="1" t="s">
        <v>224</v>
      </c>
      <c r="DM609" s="1" t="s">
        <v>3697</v>
      </c>
      <c r="DO609" s="1" t="s">
        <v>7668</v>
      </c>
      <c r="DQ609" s="1" t="s">
        <v>441</v>
      </c>
      <c r="DR609" s="1" t="s">
        <v>229</v>
      </c>
      <c r="DU609" s="1" t="s">
        <v>7519</v>
      </c>
      <c r="DV609" s="1" t="s">
        <v>450</v>
      </c>
      <c r="DW609" s="1" t="s">
        <v>279</v>
      </c>
      <c r="DX609" s="1" t="s">
        <v>234</v>
      </c>
      <c r="DY609" s="1" t="s">
        <v>987</v>
      </c>
      <c r="DZ609" s="1" t="s">
        <v>310</v>
      </c>
      <c r="EA609" s="1" t="s">
        <v>683</v>
      </c>
      <c r="EC609" s="1" t="s">
        <v>685</v>
      </c>
      <c r="EE609" s="1" t="s">
        <v>1673</v>
      </c>
      <c r="EG609" s="1" t="s">
        <v>450</v>
      </c>
      <c r="EL609" s="1" t="s">
        <v>616</v>
      </c>
      <c r="EM609" s="1" t="s">
        <v>267</v>
      </c>
      <c r="EQ609" s="1" t="s">
        <v>238</v>
      </c>
      <c r="EU609" s="1" t="s">
        <v>238</v>
      </c>
      <c r="EY609" s="1" t="s">
        <v>238</v>
      </c>
      <c r="FC609" s="1" t="s">
        <v>238</v>
      </c>
      <c r="FF609" s="1" t="s">
        <v>239</v>
      </c>
      <c r="FG609" s="1" t="s">
        <v>192</v>
      </c>
      <c r="FH609" s="1" t="s">
        <v>192</v>
      </c>
      <c r="FJ609" s="1" t="s">
        <v>770</v>
      </c>
      <c r="FK609" s="1" t="s">
        <v>229</v>
      </c>
      <c r="FL609" s="1" t="s">
        <v>7669</v>
      </c>
      <c r="FM609" s="1">
        <v>5085.0</v>
      </c>
      <c r="FN609" s="1" t="s">
        <v>7670</v>
      </c>
      <c r="FO609" s="1" t="s">
        <v>7671</v>
      </c>
      <c r="FP609" s="1">
        <v>55549.0</v>
      </c>
      <c r="FU609" s="1" t="s">
        <v>7672</v>
      </c>
      <c r="FV609" s="1" t="s">
        <v>200</v>
      </c>
      <c r="FW609" s="1" t="s">
        <v>7673</v>
      </c>
      <c r="FZ609" s="1" t="s">
        <v>229</v>
      </c>
      <c r="GA609" s="1" t="s">
        <v>291</v>
      </c>
      <c r="GB609" s="2">
        <v>42034.0</v>
      </c>
      <c r="GC609" s="1" t="s">
        <v>7674</v>
      </c>
    </row>
    <row r="610">
      <c r="A610" s="1">
        <v>252000.0</v>
      </c>
      <c r="B610" s="1" t="s">
        <v>185</v>
      </c>
      <c r="C610" s="1" t="str">
        <f>"08798205"</f>
        <v>08798205</v>
      </c>
      <c r="D610" s="1" t="s">
        <v>186</v>
      </c>
      <c r="F610" s="1" t="str">
        <f>"177"</f>
        <v>177</v>
      </c>
      <c r="G610" s="2">
        <v>41980.0</v>
      </c>
      <c r="H610" s="1">
        <v>270000.0</v>
      </c>
      <c r="I610" s="1">
        <v>267.0</v>
      </c>
      <c r="J610" s="1">
        <v>267500.0</v>
      </c>
      <c r="K610" s="2">
        <v>42065.0</v>
      </c>
      <c r="L610" s="1">
        <v>86.0</v>
      </c>
      <c r="M610" s="2">
        <v>42065.0</v>
      </c>
      <c r="N610" s="1" t="s">
        <v>187</v>
      </c>
      <c r="O610" s="2">
        <v>42121.0</v>
      </c>
      <c r="P610" s="1">
        <v>232956.0</v>
      </c>
      <c r="Q610" s="1">
        <v>22739.0</v>
      </c>
      <c r="R610" s="1">
        <v>1500.0</v>
      </c>
      <c r="S610" s="1">
        <v>25.0</v>
      </c>
      <c r="T610" s="1" t="s">
        <v>7675</v>
      </c>
      <c r="U610" s="1" t="s">
        <v>320</v>
      </c>
      <c r="V610" s="1" t="s">
        <v>2249</v>
      </c>
      <c r="W610" s="1">
        <v>60177.0</v>
      </c>
      <c r="Y610" s="1" t="s">
        <v>7676</v>
      </c>
      <c r="Z610" s="1">
        <v>2000.0</v>
      </c>
      <c r="AA610" s="1" t="s">
        <v>200</v>
      </c>
      <c r="AB610" s="1" t="s">
        <v>193</v>
      </c>
      <c r="AC610" s="1" t="s">
        <v>7677</v>
      </c>
      <c r="AD610" s="1" t="s">
        <v>2252</v>
      </c>
      <c r="AE610" s="1" t="s">
        <v>325</v>
      </c>
      <c r="AF610" s="1" t="s">
        <v>469</v>
      </c>
      <c r="AH610" s="1" t="s">
        <v>7678</v>
      </c>
      <c r="AK610" s="1">
        <v>9.0</v>
      </c>
      <c r="AL610" s="1">
        <v>4.0</v>
      </c>
      <c r="AM610" s="1">
        <v>2.0</v>
      </c>
      <c r="AN610" s="1">
        <v>1.0</v>
      </c>
      <c r="AO610" s="1" t="s">
        <v>198</v>
      </c>
      <c r="AP610" s="1">
        <v>1.0</v>
      </c>
      <c r="AQ610" s="1" t="s">
        <v>198</v>
      </c>
      <c r="AR610" s="1" t="s">
        <v>200</v>
      </c>
      <c r="AS610" s="1" t="s">
        <v>199</v>
      </c>
      <c r="AT610" s="1">
        <v>2.0</v>
      </c>
      <c r="AV610" s="1" t="s">
        <v>200</v>
      </c>
      <c r="AW610" s="1">
        <v>6334.32</v>
      </c>
      <c r="AX610" s="1">
        <v>2013.0</v>
      </c>
      <c r="AY610" s="1" t="s">
        <v>387</v>
      </c>
      <c r="AZ610" s="1" t="s">
        <v>200</v>
      </c>
      <c r="BA610" s="1" t="str">
        <f>"0634251036"</f>
        <v>0634251036</v>
      </c>
      <c r="BB610" s="1" t="s">
        <v>200</v>
      </c>
      <c r="BC610" s="1">
        <v>0.0</v>
      </c>
      <c r="BD610" s="1">
        <v>252000.0</v>
      </c>
      <c r="BE610" s="2">
        <v>41980.0</v>
      </c>
      <c r="BF610" s="2" t="s">
        <v>7679</v>
      </c>
      <c r="BG610" s="1" t="s">
        <v>7680</v>
      </c>
      <c r="BH610" s="1">
        <v>0.0</v>
      </c>
      <c r="BI610" s="1" t="s">
        <v>3197</v>
      </c>
      <c r="BJ610" s="1" t="s">
        <v>2440</v>
      </c>
      <c r="BK610" s="1" t="s">
        <v>204</v>
      </c>
      <c r="BL610" s="1" t="str">
        <f>"8"</f>
        <v>8</v>
      </c>
      <c r="BM610" s="1" t="str">
        <f t="shared" si="409"/>
        <v>0</v>
      </c>
      <c r="BN610" s="1">
        <v>35.0</v>
      </c>
      <c r="BO610" s="1">
        <v>0.0</v>
      </c>
      <c r="BQ610" s="1">
        <v>46.0</v>
      </c>
      <c r="BR610" s="1">
        <v>46.0</v>
      </c>
      <c r="BS610" s="1">
        <v>46.0</v>
      </c>
      <c r="BU610" s="1" t="s">
        <v>758</v>
      </c>
      <c r="BV610" s="1" t="s">
        <v>206</v>
      </c>
      <c r="BW610" s="1" t="s">
        <v>207</v>
      </c>
      <c r="BY610" s="1" t="s">
        <v>390</v>
      </c>
      <c r="BZ610" s="1" t="s">
        <v>209</v>
      </c>
      <c r="CA610" s="1" t="s">
        <v>207</v>
      </c>
      <c r="CC610" s="1" t="s">
        <v>584</v>
      </c>
      <c r="CD610" s="1" t="s">
        <v>206</v>
      </c>
      <c r="CE610" s="1" t="s">
        <v>207</v>
      </c>
      <c r="CG610" s="1" t="s">
        <v>332</v>
      </c>
      <c r="CH610" s="1" t="s">
        <v>209</v>
      </c>
      <c r="CI610" s="1" t="s">
        <v>207</v>
      </c>
      <c r="CK610" s="1" t="s">
        <v>212</v>
      </c>
      <c r="CL610" s="1" t="s">
        <v>209</v>
      </c>
      <c r="CM610" s="1" t="s">
        <v>207</v>
      </c>
      <c r="CO610" s="1" t="s">
        <v>699</v>
      </c>
      <c r="CP610" s="1" t="s">
        <v>209</v>
      </c>
      <c r="CQ610" s="1" t="s">
        <v>207</v>
      </c>
      <c r="CS610" s="1" t="s">
        <v>969</v>
      </c>
      <c r="CT610" s="1" t="s">
        <v>206</v>
      </c>
      <c r="CU610" s="1" t="s">
        <v>207</v>
      </c>
      <c r="CW610" s="1" t="s">
        <v>924</v>
      </c>
      <c r="CX610" s="1" t="s">
        <v>206</v>
      </c>
      <c r="CY610" s="1" t="s">
        <v>207</v>
      </c>
      <c r="DA610" s="1" t="s">
        <v>200</v>
      </c>
      <c r="DC610" s="1" t="s">
        <v>335</v>
      </c>
      <c r="DD610" s="1" t="s">
        <v>518</v>
      </c>
      <c r="DE610" s="1" t="s">
        <v>273</v>
      </c>
      <c r="DF610" s="1" t="s">
        <v>219</v>
      </c>
      <c r="DG610" s="1" t="s">
        <v>337</v>
      </c>
      <c r="DH610" s="1" t="s">
        <v>365</v>
      </c>
      <c r="DI610" s="1" t="s">
        <v>221</v>
      </c>
      <c r="DJ610" s="1" t="s">
        <v>222</v>
      </c>
      <c r="DL610" s="1" t="s">
        <v>223</v>
      </c>
      <c r="DM610" s="1" t="s">
        <v>229</v>
      </c>
      <c r="DN610" s="1" t="s">
        <v>399</v>
      </c>
      <c r="DP610" s="1" t="s">
        <v>340</v>
      </c>
      <c r="DQ610" s="1" t="s">
        <v>228</v>
      </c>
      <c r="DR610" s="1" t="s">
        <v>229</v>
      </c>
      <c r="DS610" s="1" t="s">
        <v>230</v>
      </c>
      <c r="DV610" s="1" t="s">
        <v>449</v>
      </c>
      <c r="DW610" s="1" t="s">
        <v>489</v>
      </c>
      <c r="DX610" s="1" t="s">
        <v>234</v>
      </c>
      <c r="DY610" s="1" t="s">
        <v>704</v>
      </c>
      <c r="DZ610" s="1" t="s">
        <v>2424</v>
      </c>
      <c r="EA610" s="1" t="s">
        <v>447</v>
      </c>
      <c r="EB610" s="1" t="s">
        <v>1639</v>
      </c>
      <c r="EC610" s="1" t="s">
        <v>237</v>
      </c>
      <c r="ED610" s="1" t="s">
        <v>4163</v>
      </c>
      <c r="EE610" s="1" t="s">
        <v>493</v>
      </c>
      <c r="EG610" s="1" t="s">
        <v>449</v>
      </c>
      <c r="EL610" s="1" t="s">
        <v>262</v>
      </c>
      <c r="EM610" s="1" t="s">
        <v>206</v>
      </c>
      <c r="EN610" s="1" t="s">
        <v>207</v>
      </c>
      <c r="EQ610" s="1" t="s">
        <v>238</v>
      </c>
      <c r="EU610" s="1" t="s">
        <v>238</v>
      </c>
      <c r="EY610" s="1" t="s">
        <v>238</v>
      </c>
      <c r="FC610" s="1" t="s">
        <v>238</v>
      </c>
      <c r="FF610" s="1" t="s">
        <v>239</v>
      </c>
      <c r="FG610" s="1" t="s">
        <v>192</v>
      </c>
      <c r="FH610" s="1" t="s">
        <v>192</v>
      </c>
      <c r="FJ610" s="1" t="s">
        <v>7681</v>
      </c>
      <c r="FK610" s="1" t="s">
        <v>229</v>
      </c>
      <c r="FL610" s="1" t="s">
        <v>5530</v>
      </c>
      <c r="FM610" s="1">
        <v>8098.0</v>
      </c>
      <c r="FN610" s="1" t="s">
        <v>7682</v>
      </c>
      <c r="FO610" s="1" t="s">
        <v>7683</v>
      </c>
      <c r="FP610" s="1">
        <v>84598.0</v>
      </c>
      <c r="FQ610" s="1" t="s">
        <v>7684</v>
      </c>
      <c r="FU610" s="1" t="s">
        <v>7685</v>
      </c>
      <c r="FV610" s="1" t="s">
        <v>200</v>
      </c>
      <c r="FW610" s="1" t="s">
        <v>290</v>
      </c>
      <c r="FX610" s="1" t="s">
        <v>1739</v>
      </c>
      <c r="FZ610" s="1" t="s">
        <v>229</v>
      </c>
      <c r="GA610" s="1" t="s">
        <v>291</v>
      </c>
      <c r="GB610" s="2">
        <v>42122.0</v>
      </c>
    </row>
    <row r="611">
      <c r="A611" s="1">
        <v>142500.0</v>
      </c>
      <c r="B611" s="1" t="s">
        <v>185</v>
      </c>
      <c r="C611" s="1" t="str">
        <f>"08797037"</f>
        <v>08797037</v>
      </c>
      <c r="D611" s="1" t="s">
        <v>186</v>
      </c>
      <c r="F611" s="1" t="str">
        <f>"560"</f>
        <v>560</v>
      </c>
      <c r="G611" s="2">
        <v>41977.0</v>
      </c>
      <c r="H611" s="1">
        <v>213100.0</v>
      </c>
      <c r="I611" s="1">
        <v>146.0</v>
      </c>
      <c r="J611" s="1">
        <v>198100.0</v>
      </c>
      <c r="K611" s="2">
        <v>42122.0</v>
      </c>
      <c r="L611" s="1">
        <v>146.0</v>
      </c>
      <c r="M611" s="2">
        <v>42122.0</v>
      </c>
      <c r="N611" s="1" t="s">
        <v>249</v>
      </c>
      <c r="O611" s="2">
        <v>42143.0</v>
      </c>
      <c r="P611" s="1">
        <v>310410.0</v>
      </c>
      <c r="Q611" s="1">
        <v>306.0</v>
      </c>
      <c r="S611" s="1">
        <v>231.0</v>
      </c>
      <c r="T611" s="1" t="s">
        <v>7686</v>
      </c>
      <c r="U611" s="1" t="s">
        <v>1015</v>
      </c>
      <c r="V611" s="1" t="s">
        <v>845</v>
      </c>
      <c r="W611" s="1">
        <v>60560.0</v>
      </c>
      <c r="Y611" s="1" t="s">
        <v>7687</v>
      </c>
      <c r="Z611" s="1">
        <v>2003.0</v>
      </c>
      <c r="AA611" s="1" t="s">
        <v>200</v>
      </c>
      <c r="AB611" s="1" t="s">
        <v>193</v>
      </c>
      <c r="AC611" s="1" t="s">
        <v>7688</v>
      </c>
      <c r="AD611" s="1" t="s">
        <v>1089</v>
      </c>
      <c r="AE611" s="1" t="s">
        <v>849</v>
      </c>
      <c r="AF611" s="1" t="s">
        <v>850</v>
      </c>
      <c r="AH611" s="1" t="s">
        <v>7689</v>
      </c>
      <c r="AI611" s="1">
        <v>0.2422</v>
      </c>
      <c r="AK611" s="1">
        <v>10.0</v>
      </c>
      <c r="AL611" s="1">
        <v>4.0</v>
      </c>
      <c r="AM611" s="1">
        <v>2.0</v>
      </c>
      <c r="AN611" s="1">
        <v>1.0</v>
      </c>
      <c r="AO611" s="1" t="s">
        <v>198</v>
      </c>
      <c r="AP611" s="1">
        <v>1.0</v>
      </c>
      <c r="AQ611" s="1" t="s">
        <v>198</v>
      </c>
      <c r="AR611" s="1" t="s">
        <v>200</v>
      </c>
      <c r="AS611" s="1" t="s">
        <v>199</v>
      </c>
      <c r="AT611" s="1">
        <v>3.0</v>
      </c>
      <c r="AV611" s="1" t="s">
        <v>200</v>
      </c>
      <c r="AW611" s="1">
        <v>7513.0</v>
      </c>
      <c r="AX611" s="1">
        <v>2012.0</v>
      </c>
      <c r="AZ611" s="1" t="s">
        <v>545</v>
      </c>
      <c r="BA611" s="1" t="str">
        <f>"0505475017"</f>
        <v>0505475017</v>
      </c>
      <c r="BB611" s="1" t="s">
        <v>200</v>
      </c>
      <c r="BC611" s="1">
        <v>2500.0</v>
      </c>
      <c r="BD611" s="1">
        <v>142500.0</v>
      </c>
      <c r="BE611" s="2">
        <v>41977.0</v>
      </c>
      <c r="BF611" s="2" t="s">
        <v>7690</v>
      </c>
      <c r="BH611" s="1">
        <v>0.0</v>
      </c>
      <c r="BK611" s="1" t="s">
        <v>204</v>
      </c>
      <c r="BL611" s="1" t="str">
        <f t="shared" ref="BL611:BM611" si="410">""</f>
        <v/>
      </c>
      <c r="BM611" s="1" t="str">
        <f t="shared" si="410"/>
        <v/>
      </c>
      <c r="BQ611" s="1">
        <v>115.0</v>
      </c>
      <c r="BR611" s="1">
        <v>115.0</v>
      </c>
      <c r="BS611" s="1">
        <v>115.0</v>
      </c>
      <c r="BU611" s="1" t="s">
        <v>331</v>
      </c>
      <c r="BV611" s="1" t="s">
        <v>206</v>
      </c>
      <c r="BW611" s="1" t="s">
        <v>617</v>
      </c>
      <c r="BY611" s="1" t="s">
        <v>2800</v>
      </c>
      <c r="BZ611" s="1" t="s">
        <v>209</v>
      </c>
      <c r="CA611" s="1" t="s">
        <v>210</v>
      </c>
      <c r="CC611" s="1" t="s">
        <v>363</v>
      </c>
      <c r="CD611" s="1" t="s">
        <v>206</v>
      </c>
      <c r="CE611" s="1" t="s">
        <v>617</v>
      </c>
      <c r="CG611" s="1" t="s">
        <v>454</v>
      </c>
      <c r="CH611" s="1" t="s">
        <v>209</v>
      </c>
      <c r="CI611" s="1" t="s">
        <v>617</v>
      </c>
      <c r="CK611" s="1" t="s">
        <v>478</v>
      </c>
      <c r="CL611" s="1" t="s">
        <v>209</v>
      </c>
      <c r="CM611" s="1" t="s">
        <v>301</v>
      </c>
      <c r="CO611" s="1" t="s">
        <v>331</v>
      </c>
      <c r="CP611" s="1" t="s">
        <v>209</v>
      </c>
      <c r="CQ611" s="1" t="s">
        <v>617</v>
      </c>
      <c r="CS611" s="1" t="s">
        <v>2647</v>
      </c>
      <c r="CT611" s="1" t="s">
        <v>206</v>
      </c>
      <c r="CU611" s="1" t="s">
        <v>207</v>
      </c>
      <c r="CW611" s="1" t="s">
        <v>662</v>
      </c>
      <c r="CX611" s="1" t="s">
        <v>206</v>
      </c>
      <c r="CY611" s="1" t="s">
        <v>268</v>
      </c>
      <c r="DA611" s="1" t="s">
        <v>200</v>
      </c>
      <c r="DC611" s="1" t="s">
        <v>335</v>
      </c>
      <c r="DD611" s="1" t="s">
        <v>926</v>
      </c>
      <c r="DE611" s="1" t="s">
        <v>229</v>
      </c>
      <c r="DF611" s="1" t="s">
        <v>229</v>
      </c>
      <c r="DH611" s="1" t="s">
        <v>220</v>
      </c>
      <c r="DJ611" s="1" t="s">
        <v>222</v>
      </c>
      <c r="DL611" s="1" t="s">
        <v>223</v>
      </c>
      <c r="DM611" s="1" t="s">
        <v>229</v>
      </c>
      <c r="DO611" s="1" t="s">
        <v>440</v>
      </c>
      <c r="DP611" s="1" t="s">
        <v>340</v>
      </c>
      <c r="DQ611" s="1" t="s">
        <v>228</v>
      </c>
      <c r="DR611" s="1" t="s">
        <v>229</v>
      </c>
      <c r="DS611" s="1" t="s">
        <v>230</v>
      </c>
      <c r="DV611" s="1" t="s">
        <v>2381</v>
      </c>
      <c r="DW611" s="1" t="s">
        <v>370</v>
      </c>
      <c r="DX611" s="1" t="s">
        <v>1287</v>
      </c>
      <c r="DZ611" s="1" t="s">
        <v>1466</v>
      </c>
      <c r="EC611" s="1" t="s">
        <v>237</v>
      </c>
      <c r="EE611" s="1" t="s">
        <v>187</v>
      </c>
      <c r="EG611" s="1" t="s">
        <v>556</v>
      </c>
      <c r="EH611" s="1" t="s">
        <v>494</v>
      </c>
      <c r="EL611" s="1" t="s">
        <v>830</v>
      </c>
      <c r="EM611" s="1" t="s">
        <v>206</v>
      </c>
      <c r="EN611" s="1" t="s">
        <v>207</v>
      </c>
      <c r="EP611" s="1" t="s">
        <v>699</v>
      </c>
      <c r="EQ611" s="1" t="s">
        <v>206</v>
      </c>
      <c r="ER611" s="1" t="s">
        <v>588</v>
      </c>
      <c r="EU611" s="1" t="s">
        <v>238</v>
      </c>
      <c r="EY611" s="1" t="s">
        <v>238</v>
      </c>
      <c r="FC611" s="1" t="s">
        <v>238</v>
      </c>
      <c r="FF611" s="1" t="s">
        <v>239</v>
      </c>
      <c r="FG611" s="1" t="s">
        <v>192</v>
      </c>
      <c r="FH611" s="1" t="s">
        <v>192</v>
      </c>
      <c r="FJ611" s="1" t="s">
        <v>7691</v>
      </c>
      <c r="FK611" s="1" t="s">
        <v>229</v>
      </c>
      <c r="FL611" s="1" t="s">
        <v>4954</v>
      </c>
      <c r="FM611" s="1">
        <v>25558.0</v>
      </c>
      <c r="FN611" s="1" t="s">
        <v>1998</v>
      </c>
      <c r="FO611" s="1" t="s">
        <v>7692</v>
      </c>
      <c r="FP611" s="1">
        <v>220342.0</v>
      </c>
      <c r="FQ611" s="1" t="s">
        <v>7693</v>
      </c>
      <c r="FU611" s="1" t="s">
        <v>710</v>
      </c>
      <c r="FV611" s="1" t="s">
        <v>200</v>
      </c>
      <c r="FW611" s="1" t="s">
        <v>567</v>
      </c>
      <c r="FZ611" s="1" t="s">
        <v>229</v>
      </c>
      <c r="GA611" s="1" t="s">
        <v>291</v>
      </c>
      <c r="GB611" s="2">
        <v>42143.0</v>
      </c>
      <c r="GC611" s="1" t="s">
        <v>7694</v>
      </c>
    </row>
    <row r="612">
      <c r="A612" s="1">
        <v>460000.0</v>
      </c>
      <c r="B612" s="1" t="s">
        <v>185</v>
      </c>
      <c r="C612" s="1" t="str">
        <f>"08808857"</f>
        <v>08808857</v>
      </c>
      <c r="D612" s="1" t="s">
        <v>186</v>
      </c>
      <c r="F612" s="1" t="str">
        <f>"8072"</f>
        <v>8072</v>
      </c>
      <c r="G612" s="2">
        <v>42007.0</v>
      </c>
      <c r="H612" s="1">
        <v>469900.0</v>
      </c>
      <c r="I612" s="1">
        <v>90.0</v>
      </c>
      <c r="J612" s="1">
        <v>469900.0</v>
      </c>
      <c r="K612" s="2">
        <v>42010.0</v>
      </c>
      <c r="L612" s="1">
        <v>4.0</v>
      </c>
      <c r="M612" s="2">
        <v>42010.0</v>
      </c>
      <c r="N612" s="1" t="s">
        <v>249</v>
      </c>
      <c r="O612" s="2">
        <v>42034.0</v>
      </c>
      <c r="P612" s="1">
        <v>601995.0</v>
      </c>
      <c r="Q612" s="1">
        <v>60035.0</v>
      </c>
      <c r="R612" s="1">
        <v>2500.0</v>
      </c>
      <c r="S612" s="1">
        <v>9024.0</v>
      </c>
      <c r="T612" s="1" t="s">
        <v>6515</v>
      </c>
      <c r="U612" s="1" t="s">
        <v>189</v>
      </c>
      <c r="V612" s="1" t="s">
        <v>190</v>
      </c>
      <c r="W612" s="1">
        <v>60643.0</v>
      </c>
      <c r="Y612" s="1" t="s">
        <v>7695</v>
      </c>
      <c r="Z612" s="1">
        <v>1930.0</v>
      </c>
      <c r="AA612" s="1" t="s">
        <v>192</v>
      </c>
      <c r="AB612" s="1" t="s">
        <v>193</v>
      </c>
      <c r="AC612" s="1" t="s">
        <v>7064</v>
      </c>
      <c r="AD612" s="1" t="s">
        <v>194</v>
      </c>
      <c r="AE612" s="1" t="s">
        <v>195</v>
      </c>
      <c r="AF612" s="1" t="s">
        <v>659</v>
      </c>
      <c r="AH612" s="1" t="s">
        <v>7696</v>
      </c>
      <c r="AI612" s="1">
        <v>0.1708</v>
      </c>
      <c r="AK612" s="1">
        <v>11.0</v>
      </c>
      <c r="AL612" s="1">
        <v>3.0</v>
      </c>
      <c r="AM612" s="1">
        <v>2.0</v>
      </c>
      <c r="AN612" s="1">
        <v>1.0</v>
      </c>
      <c r="AO612" s="1" t="s">
        <v>229</v>
      </c>
      <c r="AP612" s="1">
        <v>1.0</v>
      </c>
      <c r="AQ612" s="1" t="s">
        <v>198</v>
      </c>
      <c r="AR612" s="1" t="s">
        <v>200</v>
      </c>
      <c r="AS612" s="1" t="s">
        <v>510</v>
      </c>
      <c r="AT612" s="1">
        <v>2.0</v>
      </c>
      <c r="AU612" s="1">
        <v>2.0</v>
      </c>
      <c r="AV612" s="1" t="s">
        <v>200</v>
      </c>
      <c r="AW612" s="1">
        <v>4507.0</v>
      </c>
      <c r="AX612" s="1">
        <v>2012.0</v>
      </c>
      <c r="AY612" s="1" t="s">
        <v>387</v>
      </c>
      <c r="AZ612" s="1" t="s">
        <v>200</v>
      </c>
      <c r="BA612" s="1" t="str">
        <f>"25061170180000"</f>
        <v>25061170180000</v>
      </c>
      <c r="BC612" s="1">
        <v>2400.0</v>
      </c>
      <c r="BD612" s="1">
        <v>460000.0</v>
      </c>
      <c r="BE612" s="2">
        <v>42007.0</v>
      </c>
      <c r="BF612" s="2" t="s">
        <v>7697</v>
      </c>
      <c r="BH612" s="1">
        <v>0.0</v>
      </c>
      <c r="BK612" s="1" t="s">
        <v>204</v>
      </c>
      <c r="BL612" s="1" t="str">
        <f t="shared" ref="BL612:BM612" si="411">"0"</f>
        <v>0</v>
      </c>
      <c r="BM612" s="1" t="str">
        <f t="shared" si="411"/>
        <v>0</v>
      </c>
      <c r="BN612" s="1">
        <v>2250.0</v>
      </c>
      <c r="BO612" s="1">
        <v>9024.0</v>
      </c>
      <c r="BQ612" s="1">
        <v>299.0</v>
      </c>
      <c r="BR612" s="1">
        <v>299.0</v>
      </c>
      <c r="BS612" s="1">
        <v>299.0</v>
      </c>
      <c r="BU612" s="1" t="s">
        <v>479</v>
      </c>
      <c r="BV612" s="1" t="s">
        <v>206</v>
      </c>
      <c r="BW612" s="1" t="s">
        <v>207</v>
      </c>
      <c r="BY612" s="1" t="s">
        <v>743</v>
      </c>
      <c r="BZ612" s="1" t="s">
        <v>209</v>
      </c>
      <c r="CA612" s="1" t="s">
        <v>207</v>
      </c>
      <c r="CC612" s="1" t="s">
        <v>758</v>
      </c>
      <c r="CD612" s="1" t="s">
        <v>206</v>
      </c>
      <c r="CE612" s="1" t="s">
        <v>207</v>
      </c>
      <c r="CG612" s="1" t="s">
        <v>454</v>
      </c>
      <c r="CH612" s="1" t="s">
        <v>209</v>
      </c>
      <c r="CI612" s="1" t="s">
        <v>207</v>
      </c>
      <c r="CK612" s="1" t="s">
        <v>263</v>
      </c>
      <c r="CL612" s="1" t="s">
        <v>206</v>
      </c>
      <c r="CM612" s="1" t="s">
        <v>207</v>
      </c>
      <c r="CO612" s="1" t="s">
        <v>2224</v>
      </c>
      <c r="CP612" s="1" t="s">
        <v>42</v>
      </c>
      <c r="CQ612" s="1" t="s">
        <v>588</v>
      </c>
      <c r="CS612" s="1" t="s">
        <v>215</v>
      </c>
      <c r="CT612" s="1" t="s">
        <v>206</v>
      </c>
      <c r="CU612" s="1" t="s">
        <v>207</v>
      </c>
      <c r="CW612" s="1" t="s">
        <v>334</v>
      </c>
      <c r="CX612" s="1" t="s">
        <v>206</v>
      </c>
      <c r="CY612" s="1" t="s">
        <v>207</v>
      </c>
      <c r="DA612" s="1" t="s">
        <v>200</v>
      </c>
      <c r="DC612" s="1" t="s">
        <v>785</v>
      </c>
      <c r="DD612" s="1" t="s">
        <v>759</v>
      </c>
      <c r="DE612" s="1" t="s">
        <v>273</v>
      </c>
      <c r="DF612" s="1" t="s">
        <v>4120</v>
      </c>
      <c r="DG612" s="1" t="s">
        <v>337</v>
      </c>
      <c r="DH612" s="1" t="s">
        <v>220</v>
      </c>
      <c r="DI612" s="1" t="s">
        <v>703</v>
      </c>
      <c r="DJ612" s="1" t="s">
        <v>222</v>
      </c>
      <c r="DL612" s="1" t="s">
        <v>224</v>
      </c>
      <c r="DM612" s="1" t="s">
        <v>1464</v>
      </c>
      <c r="DN612" s="1" t="s">
        <v>1486</v>
      </c>
      <c r="DO612" s="1" t="s">
        <v>486</v>
      </c>
      <c r="DP612" s="1" t="s">
        <v>340</v>
      </c>
      <c r="DQ612" s="1" t="s">
        <v>794</v>
      </c>
      <c r="DR612" s="1" t="s">
        <v>229</v>
      </c>
      <c r="DU612" s="1" t="s">
        <v>2070</v>
      </c>
      <c r="DV612" s="1" t="s">
        <v>7698</v>
      </c>
      <c r="DW612" s="1" t="s">
        <v>279</v>
      </c>
      <c r="DX612" s="1" t="s">
        <v>234</v>
      </c>
      <c r="DY612" s="1" t="s">
        <v>1099</v>
      </c>
      <c r="DZ612" s="1" t="s">
        <v>7699</v>
      </c>
      <c r="EA612" s="1" t="s">
        <v>257</v>
      </c>
      <c r="EB612" s="1" t="s">
        <v>345</v>
      </c>
      <c r="EC612" s="1" t="s">
        <v>237</v>
      </c>
      <c r="ED612" s="1" t="s">
        <v>407</v>
      </c>
      <c r="EF612" s="1" t="s">
        <v>5154</v>
      </c>
      <c r="EG612" s="1" t="s">
        <v>556</v>
      </c>
      <c r="EH612" s="1" t="s">
        <v>1228</v>
      </c>
      <c r="EI612" s="1" t="s">
        <v>2129</v>
      </c>
      <c r="EJ612" s="1" t="s">
        <v>450</v>
      </c>
      <c r="EK612" s="1" t="s">
        <v>2971</v>
      </c>
      <c r="EL612" s="1" t="s">
        <v>2047</v>
      </c>
      <c r="EM612" s="1" t="s">
        <v>206</v>
      </c>
      <c r="EN612" s="1" t="s">
        <v>207</v>
      </c>
      <c r="EP612" s="1" t="s">
        <v>640</v>
      </c>
      <c r="EQ612" s="1" t="s">
        <v>209</v>
      </c>
      <c r="ER612" s="1" t="s">
        <v>207</v>
      </c>
      <c r="ET612" s="1" t="s">
        <v>699</v>
      </c>
      <c r="EU612" s="1" t="s">
        <v>206</v>
      </c>
      <c r="EV612" s="1" t="s">
        <v>588</v>
      </c>
      <c r="EX612" s="1" t="s">
        <v>333</v>
      </c>
      <c r="EY612" s="1" t="s">
        <v>42</v>
      </c>
      <c r="EZ612" s="1" t="s">
        <v>210</v>
      </c>
      <c r="FB612" s="1" t="s">
        <v>647</v>
      </c>
      <c r="FC612" s="1" t="s">
        <v>42</v>
      </c>
      <c r="FD612" s="1" t="s">
        <v>210</v>
      </c>
      <c r="FF612" s="1" t="s">
        <v>239</v>
      </c>
      <c r="FG612" s="1" t="s">
        <v>192</v>
      </c>
      <c r="FH612" s="1" t="s">
        <v>192</v>
      </c>
      <c r="FJ612" s="1" t="s">
        <v>524</v>
      </c>
      <c r="FK612" s="1" t="s">
        <v>229</v>
      </c>
      <c r="FL612" s="1" t="s">
        <v>2718</v>
      </c>
      <c r="FM612" s="1">
        <v>85470.0</v>
      </c>
      <c r="FN612" s="1" t="s">
        <v>2719</v>
      </c>
      <c r="FO612" s="1" t="s">
        <v>7700</v>
      </c>
      <c r="FP612" s="1">
        <v>167142.0</v>
      </c>
      <c r="FQ612" s="1" t="s">
        <v>7701</v>
      </c>
      <c r="FS612" s="1" t="s">
        <v>7702</v>
      </c>
      <c r="FU612" s="1" t="s">
        <v>7703</v>
      </c>
      <c r="FV612" s="1" t="s">
        <v>200</v>
      </c>
      <c r="FW612" s="1" t="s">
        <v>2754</v>
      </c>
      <c r="FX612" s="1" t="s">
        <v>655</v>
      </c>
      <c r="FZ612" s="1" t="s">
        <v>229</v>
      </c>
      <c r="GA612" s="1" t="s">
        <v>291</v>
      </c>
      <c r="GB612" s="2">
        <v>42037.0</v>
      </c>
      <c r="GC612" s="1" t="s">
        <v>7704</v>
      </c>
    </row>
    <row r="613">
      <c r="A613" s="1">
        <v>216000.0</v>
      </c>
      <c r="B613" s="1" t="s">
        <v>185</v>
      </c>
      <c r="C613" s="1" t="str">
        <f>"08796651"</f>
        <v>08796651</v>
      </c>
      <c r="D613" s="1" t="s">
        <v>186</v>
      </c>
      <c r="F613" s="1" t="str">
        <f>"8043"</f>
        <v>8043</v>
      </c>
      <c r="G613" s="2">
        <v>41977.0</v>
      </c>
      <c r="H613" s="1">
        <v>229900.0</v>
      </c>
      <c r="I613" s="1">
        <v>339.0</v>
      </c>
      <c r="J613" s="1">
        <v>229900.0</v>
      </c>
      <c r="K613" s="2">
        <v>42031.0</v>
      </c>
      <c r="L613" s="1">
        <v>55.0</v>
      </c>
      <c r="M613" s="2">
        <v>42031.0</v>
      </c>
      <c r="N613" s="1" t="s">
        <v>356</v>
      </c>
      <c r="O613" s="2">
        <v>42075.0</v>
      </c>
      <c r="P613" s="1">
        <v>162665.0</v>
      </c>
      <c r="Q613" s="1">
        <v>10273.0</v>
      </c>
      <c r="R613" s="1">
        <v>6000.0</v>
      </c>
      <c r="S613" s="1">
        <v>7354.0</v>
      </c>
      <c r="T613" s="1" t="s">
        <v>7705</v>
      </c>
      <c r="U613" s="1" t="s">
        <v>189</v>
      </c>
      <c r="V613" s="1" t="s">
        <v>190</v>
      </c>
      <c r="W613" s="1">
        <v>60649.0</v>
      </c>
      <c r="Y613" s="1" t="s">
        <v>7706</v>
      </c>
      <c r="Z613" s="1">
        <v>1915.0</v>
      </c>
      <c r="AA613" s="1" t="s">
        <v>192</v>
      </c>
      <c r="AB613" s="1" t="s">
        <v>193</v>
      </c>
      <c r="AD613" s="1" t="s">
        <v>194</v>
      </c>
      <c r="AE613" s="1" t="s">
        <v>195</v>
      </c>
      <c r="AF613" s="1" t="s">
        <v>637</v>
      </c>
      <c r="AH613" s="1" t="s">
        <v>7233</v>
      </c>
      <c r="AI613" s="1">
        <v>0.0888</v>
      </c>
      <c r="AK613" s="1">
        <v>9.0</v>
      </c>
      <c r="AL613" s="1">
        <v>3.0</v>
      </c>
      <c r="AM613" s="1">
        <v>3.0</v>
      </c>
      <c r="AN613" s="1">
        <v>1.0</v>
      </c>
      <c r="AO613" s="1" t="s">
        <v>198</v>
      </c>
      <c r="AP613" s="1">
        <v>0.0</v>
      </c>
      <c r="AQ613" s="1" t="s">
        <v>198</v>
      </c>
      <c r="AR613" s="1" t="s">
        <v>192</v>
      </c>
      <c r="AS613" s="1" t="s">
        <v>199</v>
      </c>
      <c r="AT613" s="1">
        <v>2.0</v>
      </c>
      <c r="AV613" s="1" t="s">
        <v>200</v>
      </c>
      <c r="AW613" s="1">
        <v>2889.07</v>
      </c>
      <c r="AX613" s="1">
        <v>2012.0</v>
      </c>
      <c r="AZ613" s="1" t="s">
        <v>200</v>
      </c>
      <c r="BA613" s="1" t="str">
        <f>"20252140230000"</f>
        <v>20252140230000</v>
      </c>
      <c r="BB613" s="1" t="s">
        <v>200</v>
      </c>
      <c r="BC613" s="1">
        <v>1600.0</v>
      </c>
      <c r="BD613" s="1">
        <v>216000.0</v>
      </c>
      <c r="BE613" s="2">
        <v>41977.0</v>
      </c>
      <c r="BF613" s="2" t="s">
        <v>7707</v>
      </c>
      <c r="BG613" s="1" t="s">
        <v>7708</v>
      </c>
      <c r="BH613" s="1">
        <v>0.0</v>
      </c>
      <c r="BJ613" s="1" t="s">
        <v>7709</v>
      </c>
      <c r="BK613" s="1" t="s">
        <v>204</v>
      </c>
      <c r="BL613" s="1" t="str">
        <f>"0"</f>
        <v>0</v>
      </c>
      <c r="BM613" s="1" t="str">
        <f>"2000"</f>
        <v>2000</v>
      </c>
      <c r="BN613" s="1">
        <v>0.0</v>
      </c>
      <c r="BO613" s="1">
        <v>7300.0</v>
      </c>
      <c r="BQ613" s="1">
        <v>299.0</v>
      </c>
      <c r="BR613" s="1">
        <v>299.0</v>
      </c>
      <c r="BS613" s="1">
        <v>299.0</v>
      </c>
      <c r="BU613" s="1" t="s">
        <v>2800</v>
      </c>
      <c r="BV613" s="1" t="s">
        <v>206</v>
      </c>
      <c r="BW613" s="1" t="s">
        <v>207</v>
      </c>
      <c r="BY613" s="1" t="s">
        <v>830</v>
      </c>
      <c r="BZ613" s="1" t="s">
        <v>209</v>
      </c>
      <c r="CA613" s="1" t="s">
        <v>210</v>
      </c>
      <c r="CC613" s="1" t="s">
        <v>264</v>
      </c>
      <c r="CD613" s="1" t="s">
        <v>206</v>
      </c>
      <c r="CE613" s="1" t="s">
        <v>207</v>
      </c>
      <c r="CG613" s="1" t="s">
        <v>663</v>
      </c>
      <c r="CH613" s="1" t="s">
        <v>209</v>
      </c>
      <c r="CI613" s="1" t="s">
        <v>210</v>
      </c>
      <c r="CK613" s="1" t="s">
        <v>663</v>
      </c>
      <c r="CL613" s="1" t="s">
        <v>209</v>
      </c>
      <c r="CM613" s="1" t="s">
        <v>210</v>
      </c>
      <c r="CO613" s="1" t="s">
        <v>516</v>
      </c>
      <c r="CP613" s="1" t="s">
        <v>42</v>
      </c>
      <c r="CQ613" s="1" t="s">
        <v>268</v>
      </c>
      <c r="CS613" s="1" t="s">
        <v>454</v>
      </c>
      <c r="CT613" s="1" t="s">
        <v>206</v>
      </c>
      <c r="CU613" s="1" t="s">
        <v>207</v>
      </c>
      <c r="CW613" s="1" t="s">
        <v>264</v>
      </c>
      <c r="CX613" s="1" t="s">
        <v>206</v>
      </c>
      <c r="CY613" s="1" t="s">
        <v>207</v>
      </c>
      <c r="DA613" s="1" t="s">
        <v>200</v>
      </c>
      <c r="DC613" s="1" t="s">
        <v>216</v>
      </c>
      <c r="DE613" s="1" t="s">
        <v>273</v>
      </c>
      <c r="DF613" s="1" t="s">
        <v>219</v>
      </c>
      <c r="DH613" s="1" t="s">
        <v>307</v>
      </c>
      <c r="DI613" s="1" t="s">
        <v>366</v>
      </c>
      <c r="DJ613" s="1" t="s">
        <v>222</v>
      </c>
      <c r="DL613" s="1" t="s">
        <v>224</v>
      </c>
      <c r="DM613" s="1" t="s">
        <v>229</v>
      </c>
      <c r="DQ613" s="1" t="s">
        <v>228</v>
      </c>
      <c r="DR613" s="1" t="s">
        <v>229</v>
      </c>
      <c r="DS613" s="1" t="s">
        <v>230</v>
      </c>
      <c r="DV613" s="1" t="s">
        <v>450</v>
      </c>
      <c r="DW613" s="1" t="s">
        <v>279</v>
      </c>
      <c r="DX613" s="1" t="s">
        <v>234</v>
      </c>
      <c r="DY613" s="1" t="s">
        <v>704</v>
      </c>
      <c r="EC613" s="1" t="s">
        <v>237</v>
      </c>
      <c r="EE613" s="1" t="s">
        <v>493</v>
      </c>
      <c r="EG613" s="1" t="s">
        <v>450</v>
      </c>
      <c r="EL613" s="1" t="s">
        <v>784</v>
      </c>
      <c r="EM613" s="1" t="s">
        <v>42</v>
      </c>
      <c r="EN613" s="1" t="s">
        <v>268</v>
      </c>
      <c r="EQ613" s="1" t="s">
        <v>238</v>
      </c>
      <c r="EU613" s="1" t="s">
        <v>238</v>
      </c>
      <c r="EY613" s="1" t="s">
        <v>238</v>
      </c>
      <c r="FC613" s="1" t="s">
        <v>238</v>
      </c>
      <c r="FF613" s="1" t="s">
        <v>239</v>
      </c>
      <c r="FG613" s="1" t="s">
        <v>192</v>
      </c>
      <c r="FH613" s="1" t="s">
        <v>192</v>
      </c>
      <c r="FJ613" s="1" t="s">
        <v>648</v>
      </c>
      <c r="FK613" s="1" t="s">
        <v>229</v>
      </c>
      <c r="FL613" s="1" t="s">
        <v>649</v>
      </c>
      <c r="FM613" s="1">
        <v>60296.0</v>
      </c>
      <c r="FN613" s="1" t="s">
        <v>650</v>
      </c>
      <c r="FO613" s="1" t="s">
        <v>651</v>
      </c>
      <c r="FP613" s="1">
        <v>602837.0</v>
      </c>
      <c r="FQ613" s="1" t="s">
        <v>652</v>
      </c>
      <c r="FR613" s="1">
        <v>602442.0</v>
      </c>
      <c r="FU613" s="1" t="s">
        <v>653</v>
      </c>
      <c r="FV613" s="1" t="s">
        <v>200</v>
      </c>
      <c r="FW613" s="1" t="s">
        <v>654</v>
      </c>
      <c r="FX613" s="1" t="s">
        <v>655</v>
      </c>
      <c r="FZ613" s="1" t="s">
        <v>229</v>
      </c>
      <c r="GA613" s="1" t="s">
        <v>291</v>
      </c>
      <c r="GB613" s="2">
        <v>42075.0</v>
      </c>
      <c r="GC613" s="1" t="s">
        <v>1372</v>
      </c>
    </row>
    <row r="614">
      <c r="A614" s="1">
        <v>152500.0</v>
      </c>
      <c r="B614" s="1" t="s">
        <v>185</v>
      </c>
      <c r="C614" s="1" t="str">
        <f>"08796193"</f>
        <v>08796193</v>
      </c>
      <c r="D614" s="1" t="s">
        <v>186</v>
      </c>
      <c r="F614" s="1" t="str">
        <f>"119"</f>
        <v>119</v>
      </c>
      <c r="G614" s="2">
        <v>41976.0</v>
      </c>
      <c r="H614" s="1">
        <v>149900.0</v>
      </c>
      <c r="I614" s="1">
        <v>212.0</v>
      </c>
      <c r="J614" s="1">
        <v>149900.0</v>
      </c>
      <c r="K614" s="2">
        <v>41976.0</v>
      </c>
      <c r="L614" s="1">
        <v>1.0</v>
      </c>
      <c r="M614" s="2">
        <v>41976.0</v>
      </c>
      <c r="N614" s="1" t="s">
        <v>187</v>
      </c>
      <c r="O614" s="2">
        <v>41992.0</v>
      </c>
      <c r="P614" s="1">
        <v>57.0</v>
      </c>
      <c r="Q614" s="1">
        <v>352.0</v>
      </c>
      <c r="R614" s="1">
        <v>4575.0</v>
      </c>
      <c r="S614" s="1">
        <v>411.0</v>
      </c>
      <c r="T614" s="1" t="s">
        <v>7710</v>
      </c>
      <c r="U614" s="1" t="s">
        <v>320</v>
      </c>
      <c r="V614" s="1" t="s">
        <v>1476</v>
      </c>
      <c r="W614" s="1">
        <v>60119.0</v>
      </c>
      <c r="Y614" s="1" t="s">
        <v>7711</v>
      </c>
      <c r="Z614" s="1" t="s">
        <v>296</v>
      </c>
      <c r="AA614" s="1" t="s">
        <v>192</v>
      </c>
      <c r="AB614" s="1" t="s">
        <v>193</v>
      </c>
      <c r="AD614" s="1" t="s">
        <v>1478</v>
      </c>
      <c r="AE614" s="1" t="s">
        <v>325</v>
      </c>
      <c r="AF614" s="1" t="s">
        <v>1479</v>
      </c>
      <c r="AH614" s="1" t="s">
        <v>7712</v>
      </c>
      <c r="AI614" s="1">
        <v>0.25</v>
      </c>
      <c r="AK614" s="1">
        <v>8.0</v>
      </c>
      <c r="AL614" s="1">
        <v>4.0</v>
      </c>
      <c r="AM614" s="1">
        <v>2.0</v>
      </c>
      <c r="AN614" s="1">
        <v>0.0</v>
      </c>
      <c r="AO614" s="1" t="s">
        <v>229</v>
      </c>
      <c r="AQ614" s="1" t="s">
        <v>1314</v>
      </c>
      <c r="AR614" s="1" t="s">
        <v>200</v>
      </c>
      <c r="AS614" s="1" t="s">
        <v>199</v>
      </c>
      <c r="AT614" s="1">
        <v>2.0</v>
      </c>
      <c r="AV614" s="1" t="s">
        <v>200</v>
      </c>
      <c r="AW614" s="1">
        <v>3536.0</v>
      </c>
      <c r="AX614" s="1">
        <v>2013.0</v>
      </c>
      <c r="AY614" s="1" t="s">
        <v>229</v>
      </c>
      <c r="AZ614" s="1" t="s">
        <v>200</v>
      </c>
      <c r="BA614" s="1" t="str">
        <f>"1106237002"</f>
        <v>1106237002</v>
      </c>
      <c r="BB614" s="1" t="s">
        <v>200</v>
      </c>
      <c r="BC614" s="1">
        <v>1520.0</v>
      </c>
      <c r="BD614" s="1">
        <v>152500.0</v>
      </c>
      <c r="BE614" s="2">
        <v>41976.0</v>
      </c>
      <c r="BF614" s="2" t="s">
        <v>7713</v>
      </c>
      <c r="BG614" s="1" t="s">
        <v>1634</v>
      </c>
      <c r="BH614" s="1">
        <v>0.0</v>
      </c>
      <c r="BI614" s="1" t="s">
        <v>1635</v>
      </c>
      <c r="BJ614" s="1" t="s">
        <v>7714</v>
      </c>
      <c r="BK614" s="1" t="s">
        <v>204</v>
      </c>
      <c r="BL614" s="1" t="str">
        <f>"1"</f>
        <v>1</v>
      </c>
      <c r="BM614" s="1" t="str">
        <f t="shared" ref="BM614:BM615" si="412">"0"</f>
        <v>0</v>
      </c>
      <c r="BN614" s="1">
        <v>44.0</v>
      </c>
      <c r="BO614" s="1">
        <v>0.0</v>
      </c>
      <c r="BQ614" s="1">
        <v>302.0</v>
      </c>
      <c r="BR614" s="1">
        <v>302.0</v>
      </c>
      <c r="BS614" s="1">
        <v>302.0</v>
      </c>
      <c r="BU614" s="1" t="s">
        <v>7715</v>
      </c>
      <c r="BV614" s="1" t="s">
        <v>206</v>
      </c>
      <c r="BW614" s="1" t="s">
        <v>210</v>
      </c>
      <c r="BX614" s="1" t="s">
        <v>229</v>
      </c>
      <c r="BY614" s="1" t="s">
        <v>497</v>
      </c>
      <c r="BZ614" s="1" t="s">
        <v>209</v>
      </c>
      <c r="CA614" s="1" t="s">
        <v>210</v>
      </c>
      <c r="CC614" s="1" t="s">
        <v>262</v>
      </c>
      <c r="CD614" s="1" t="s">
        <v>206</v>
      </c>
      <c r="CE614" s="1" t="s">
        <v>210</v>
      </c>
      <c r="CF614" s="1" t="s">
        <v>229</v>
      </c>
      <c r="CG614" s="1" t="s">
        <v>215</v>
      </c>
      <c r="CH614" s="1" t="s">
        <v>209</v>
      </c>
      <c r="CI614" s="1" t="s">
        <v>210</v>
      </c>
      <c r="CK614" s="1" t="s">
        <v>495</v>
      </c>
      <c r="CL614" s="1" t="s">
        <v>209</v>
      </c>
      <c r="CM614" s="1" t="s">
        <v>210</v>
      </c>
      <c r="CO614" s="1" t="s">
        <v>269</v>
      </c>
      <c r="CP614" s="1" t="s">
        <v>206</v>
      </c>
      <c r="CQ614" s="1" t="s">
        <v>210</v>
      </c>
      <c r="CS614" s="1" t="s">
        <v>212</v>
      </c>
      <c r="CT614" s="1" t="s">
        <v>206</v>
      </c>
      <c r="CU614" s="1" t="s">
        <v>268</v>
      </c>
      <c r="CX614" s="1" t="s">
        <v>204</v>
      </c>
      <c r="DA614" s="1" t="s">
        <v>200</v>
      </c>
      <c r="DC614" s="1" t="s">
        <v>642</v>
      </c>
      <c r="DD614" s="1" t="s">
        <v>5601</v>
      </c>
      <c r="DE614" s="1" t="s">
        <v>1139</v>
      </c>
      <c r="DF614" s="1" t="s">
        <v>787</v>
      </c>
      <c r="DG614" s="1" t="s">
        <v>1812</v>
      </c>
      <c r="DH614" s="1" t="s">
        <v>220</v>
      </c>
      <c r="DI614" s="1" t="s">
        <v>831</v>
      </c>
      <c r="DJ614" s="1" t="s">
        <v>222</v>
      </c>
      <c r="DK614" s="1" t="s">
        <v>223</v>
      </c>
      <c r="DL614" s="1" t="s">
        <v>223</v>
      </c>
      <c r="DM614" s="1" t="s">
        <v>929</v>
      </c>
      <c r="DN614" s="1" t="s">
        <v>367</v>
      </c>
      <c r="DP614" s="1" t="s">
        <v>340</v>
      </c>
      <c r="DQ614" s="1" t="s">
        <v>228</v>
      </c>
      <c r="DR614" s="1" t="s">
        <v>229</v>
      </c>
      <c r="DU614" s="1" t="s">
        <v>487</v>
      </c>
      <c r="DV614" s="1" t="s">
        <v>1164</v>
      </c>
      <c r="DW614" s="1" t="s">
        <v>891</v>
      </c>
      <c r="DX614" s="1" t="s">
        <v>309</v>
      </c>
      <c r="DY614" s="1" t="s">
        <v>1371</v>
      </c>
      <c r="DZ614" s="1" t="s">
        <v>1854</v>
      </c>
      <c r="EA614" s="1" t="s">
        <v>622</v>
      </c>
      <c r="EC614" s="1" t="s">
        <v>237</v>
      </c>
      <c r="EH614" s="1" t="s">
        <v>1164</v>
      </c>
      <c r="EM614" s="1" t="s">
        <v>238</v>
      </c>
      <c r="EP614" s="1" t="s">
        <v>1395</v>
      </c>
      <c r="EQ614" s="1" t="s">
        <v>206</v>
      </c>
      <c r="ER614" s="1" t="s">
        <v>210</v>
      </c>
      <c r="EU614" s="1" t="s">
        <v>238</v>
      </c>
      <c r="EY614" s="1" t="s">
        <v>238</v>
      </c>
      <c r="FC614" s="1" t="s">
        <v>238</v>
      </c>
      <c r="FF614" s="1" t="s">
        <v>239</v>
      </c>
      <c r="FG614" s="1" t="s">
        <v>192</v>
      </c>
      <c r="FH614" s="1" t="s">
        <v>192</v>
      </c>
      <c r="FJ614" s="1" t="s">
        <v>624</v>
      </c>
      <c r="FK614" s="1" t="s">
        <v>229</v>
      </c>
      <c r="FL614" s="1" t="s">
        <v>625</v>
      </c>
      <c r="FM614" s="1">
        <v>37.0</v>
      </c>
      <c r="FN614" s="1" t="s">
        <v>626</v>
      </c>
      <c r="FO614" s="1" t="s">
        <v>7657</v>
      </c>
      <c r="FP614" s="1">
        <v>486.0</v>
      </c>
      <c r="FQ614" s="1" t="s">
        <v>7658</v>
      </c>
      <c r="FS614" s="1" t="s">
        <v>7716</v>
      </c>
      <c r="FU614" s="1" t="s">
        <v>3678</v>
      </c>
      <c r="FV614" s="1" t="s">
        <v>200</v>
      </c>
      <c r="FW614" s="1" t="s">
        <v>290</v>
      </c>
      <c r="FX614" s="1" t="s">
        <v>246</v>
      </c>
      <c r="FZ614" s="1" t="s">
        <v>229</v>
      </c>
      <c r="GA614" s="1" t="s">
        <v>291</v>
      </c>
      <c r="GB614" s="2">
        <v>41992.0</v>
      </c>
    </row>
    <row r="615">
      <c r="A615" s="1">
        <v>390000.0</v>
      </c>
      <c r="B615" s="1" t="s">
        <v>185</v>
      </c>
      <c r="C615" s="1" t="str">
        <f>"08799675"</f>
        <v>08799675</v>
      </c>
      <c r="D615" s="1" t="s">
        <v>186</v>
      </c>
      <c r="F615" s="1" t="str">
        <f>"8016"</f>
        <v>8016</v>
      </c>
      <c r="G615" s="2">
        <v>41982.0</v>
      </c>
      <c r="H615" s="1">
        <v>399900.0</v>
      </c>
      <c r="I615" s="1">
        <v>57.0</v>
      </c>
      <c r="J615" s="1">
        <v>399900.0</v>
      </c>
      <c r="K615" s="2">
        <v>42038.0</v>
      </c>
      <c r="L615" s="1">
        <v>57.0</v>
      </c>
      <c r="M615" s="2">
        <v>42038.0</v>
      </c>
      <c r="N615" s="1" t="s">
        <v>187</v>
      </c>
      <c r="O615" s="2">
        <v>42069.0</v>
      </c>
      <c r="P615" s="1">
        <v>172460.0</v>
      </c>
      <c r="Q615" s="1">
        <v>12983.0</v>
      </c>
      <c r="R615" s="1">
        <v>3.0</v>
      </c>
      <c r="S615" s="1">
        <v>4609.0</v>
      </c>
      <c r="T615" s="1" t="s">
        <v>5076</v>
      </c>
      <c r="U615" s="1" t="s">
        <v>189</v>
      </c>
      <c r="V615" s="1" t="s">
        <v>190</v>
      </c>
      <c r="W615" s="1">
        <v>60630.0</v>
      </c>
      <c r="Y615" s="1" t="s">
        <v>7717</v>
      </c>
      <c r="Z615" s="1">
        <v>1916.0</v>
      </c>
      <c r="AA615" s="1" t="s">
        <v>192</v>
      </c>
      <c r="AB615" s="1" t="s">
        <v>193</v>
      </c>
      <c r="AC615" s="1" t="s">
        <v>7718</v>
      </c>
      <c r="AD615" s="1" t="s">
        <v>194</v>
      </c>
      <c r="AE615" s="1" t="s">
        <v>195</v>
      </c>
      <c r="AF615" s="1" t="s">
        <v>196</v>
      </c>
      <c r="AG615" s="1" t="s">
        <v>7719</v>
      </c>
      <c r="AH615" s="1" t="s">
        <v>7720</v>
      </c>
      <c r="AI615" s="1">
        <v>0.1136</v>
      </c>
      <c r="AK615" s="1">
        <v>9.0</v>
      </c>
      <c r="AL615" s="1">
        <v>4.0</v>
      </c>
      <c r="AM615" s="1">
        <v>3.0</v>
      </c>
      <c r="AN615" s="1">
        <v>0.0</v>
      </c>
      <c r="AO615" s="1" t="s">
        <v>229</v>
      </c>
      <c r="AQ615" s="1" t="s">
        <v>198</v>
      </c>
      <c r="AR615" s="1" t="s">
        <v>192</v>
      </c>
      <c r="AS615" s="1" t="s">
        <v>199</v>
      </c>
      <c r="AT615" s="1">
        <v>2.5</v>
      </c>
      <c r="AV615" s="1" t="s">
        <v>200</v>
      </c>
      <c r="AW615" s="1">
        <v>5172.64</v>
      </c>
      <c r="AX615" s="1">
        <v>2013.0</v>
      </c>
      <c r="AY615" s="1" t="s">
        <v>387</v>
      </c>
      <c r="AZ615" s="1" t="s">
        <v>200</v>
      </c>
      <c r="BA615" s="1" t="str">
        <f>"13151150170000"</f>
        <v>13151150170000</v>
      </c>
      <c r="BB615" s="1" t="s">
        <v>200</v>
      </c>
      <c r="BC615" s="1">
        <v>2255.0</v>
      </c>
      <c r="BD615" s="1">
        <v>390000.0</v>
      </c>
      <c r="BE615" s="2">
        <v>41982.0</v>
      </c>
      <c r="BF615" s="2" t="s">
        <v>7721</v>
      </c>
      <c r="BG615" s="1" t="s">
        <v>2519</v>
      </c>
      <c r="BH615" s="1">
        <v>0.0</v>
      </c>
      <c r="BJ615" s="1" t="s">
        <v>1222</v>
      </c>
      <c r="BK615" s="1" t="s">
        <v>204</v>
      </c>
      <c r="BL615" s="1" t="str">
        <f>"4609"</f>
        <v>4609</v>
      </c>
      <c r="BM615" s="1" t="str">
        <f t="shared" si="412"/>
        <v>0</v>
      </c>
      <c r="BN615" s="1">
        <v>4400.0</v>
      </c>
      <c r="BO615" s="1">
        <v>0.0</v>
      </c>
      <c r="BQ615" s="1">
        <v>299.0</v>
      </c>
      <c r="BR615" s="1">
        <v>299.0</v>
      </c>
      <c r="BS615" s="1">
        <v>299.0</v>
      </c>
      <c r="BU615" s="1" t="s">
        <v>1426</v>
      </c>
      <c r="BV615" s="1" t="s">
        <v>206</v>
      </c>
      <c r="BW615" s="1" t="s">
        <v>210</v>
      </c>
      <c r="BX615" s="1" t="s">
        <v>431</v>
      </c>
      <c r="BY615" s="1" t="s">
        <v>583</v>
      </c>
      <c r="BZ615" s="1" t="s">
        <v>209</v>
      </c>
      <c r="CA615" s="1" t="s">
        <v>210</v>
      </c>
      <c r="CB615" s="1" t="s">
        <v>431</v>
      </c>
      <c r="CC615" s="1" t="s">
        <v>393</v>
      </c>
      <c r="CD615" s="1" t="s">
        <v>206</v>
      </c>
      <c r="CE615" s="1" t="s">
        <v>210</v>
      </c>
      <c r="CG615" s="1" t="s">
        <v>390</v>
      </c>
      <c r="CH615" s="1" t="s">
        <v>209</v>
      </c>
      <c r="CI615" s="1" t="s">
        <v>210</v>
      </c>
      <c r="CK615" s="1" t="s">
        <v>332</v>
      </c>
      <c r="CL615" s="1" t="s">
        <v>206</v>
      </c>
      <c r="CM615" s="1" t="s">
        <v>207</v>
      </c>
      <c r="CO615" s="1" t="s">
        <v>332</v>
      </c>
      <c r="CP615" s="1" t="s">
        <v>206</v>
      </c>
      <c r="CQ615" s="1" t="s">
        <v>210</v>
      </c>
      <c r="CS615" s="1" t="s">
        <v>1426</v>
      </c>
      <c r="CT615" s="1" t="s">
        <v>206</v>
      </c>
      <c r="CU615" s="1" t="s">
        <v>2615</v>
      </c>
      <c r="CX615" s="1" t="s">
        <v>204</v>
      </c>
      <c r="DA615" s="1" t="s">
        <v>200</v>
      </c>
      <c r="DC615" s="1" t="s">
        <v>216</v>
      </c>
      <c r="DD615" s="1" t="s">
        <v>272</v>
      </c>
      <c r="DE615" s="1" t="s">
        <v>273</v>
      </c>
      <c r="DF615" s="1" t="s">
        <v>219</v>
      </c>
      <c r="DG615" s="1" t="s">
        <v>337</v>
      </c>
      <c r="DH615" s="1" t="s">
        <v>365</v>
      </c>
      <c r="DI615" s="1" t="s">
        <v>7722</v>
      </c>
      <c r="DJ615" s="1" t="s">
        <v>1048</v>
      </c>
      <c r="DK615" s="1" t="s">
        <v>1570</v>
      </c>
      <c r="DL615" s="1" t="s">
        <v>7723</v>
      </c>
      <c r="DM615" s="1" t="s">
        <v>1658</v>
      </c>
      <c r="DO615" s="1" t="s">
        <v>1208</v>
      </c>
      <c r="DP615" s="1" t="s">
        <v>340</v>
      </c>
      <c r="DQ615" s="1" t="s">
        <v>794</v>
      </c>
      <c r="DR615" s="1" t="s">
        <v>229</v>
      </c>
      <c r="DS615" s="1" t="s">
        <v>368</v>
      </c>
      <c r="DU615" s="1" t="s">
        <v>3625</v>
      </c>
      <c r="DV615" s="1" t="s">
        <v>7724</v>
      </c>
      <c r="DW615" s="1" t="s">
        <v>1820</v>
      </c>
      <c r="DX615" s="1" t="s">
        <v>234</v>
      </c>
      <c r="DY615" s="1" t="s">
        <v>553</v>
      </c>
      <c r="DZ615" s="1" t="s">
        <v>7725</v>
      </c>
      <c r="EA615" s="1" t="s">
        <v>644</v>
      </c>
      <c r="EC615" s="1" t="s">
        <v>237</v>
      </c>
      <c r="ED615" s="1" t="s">
        <v>555</v>
      </c>
      <c r="EE615" s="1" t="s">
        <v>493</v>
      </c>
      <c r="EG615" s="1" t="s">
        <v>556</v>
      </c>
      <c r="EH615" s="1" t="s">
        <v>598</v>
      </c>
      <c r="EI615" s="1" t="s">
        <v>310</v>
      </c>
      <c r="EL615" s="1" t="s">
        <v>1245</v>
      </c>
      <c r="EM615" s="1" t="s">
        <v>206</v>
      </c>
      <c r="EP615" s="1" t="s">
        <v>265</v>
      </c>
      <c r="EQ615" s="1" t="s">
        <v>209</v>
      </c>
      <c r="ET615" s="1" t="s">
        <v>729</v>
      </c>
      <c r="EU615" s="1" t="s">
        <v>206</v>
      </c>
      <c r="EY615" s="1" t="s">
        <v>238</v>
      </c>
      <c r="FC615" s="1" t="s">
        <v>238</v>
      </c>
      <c r="FF615" s="1" t="s">
        <v>239</v>
      </c>
      <c r="FG615" s="1" t="s">
        <v>192</v>
      </c>
      <c r="FH615" s="1" t="s">
        <v>192</v>
      </c>
      <c r="FJ615" s="1" t="s">
        <v>2262</v>
      </c>
      <c r="FK615" s="1" t="s">
        <v>229</v>
      </c>
      <c r="FL615" s="1" t="s">
        <v>1289</v>
      </c>
      <c r="FM615" s="1">
        <v>85078.0</v>
      </c>
      <c r="FN615" s="1" t="s">
        <v>7726</v>
      </c>
      <c r="FO615" s="1" t="s">
        <v>7727</v>
      </c>
      <c r="FP615" s="1">
        <v>126753.0</v>
      </c>
      <c r="FQ615" s="1" t="s">
        <v>7728</v>
      </c>
      <c r="FS615" s="1" t="s">
        <v>7729</v>
      </c>
      <c r="FU615" s="1" t="s">
        <v>7730</v>
      </c>
      <c r="FV615" s="1" t="s">
        <v>200</v>
      </c>
      <c r="FW615" s="1" t="s">
        <v>654</v>
      </c>
      <c r="FX615" s="1" t="s">
        <v>238</v>
      </c>
      <c r="FZ615" s="1" t="s">
        <v>229</v>
      </c>
      <c r="GA615" s="1" t="s">
        <v>291</v>
      </c>
      <c r="GB615" s="2">
        <v>42069.0</v>
      </c>
      <c r="GC615" s="1" t="s">
        <v>7731</v>
      </c>
    </row>
    <row r="616">
      <c r="A616" s="1">
        <v>98000.0</v>
      </c>
      <c r="B616" s="1" t="s">
        <v>185</v>
      </c>
      <c r="C616" s="1" t="str">
        <f>"08797186"</f>
        <v>08797186</v>
      </c>
      <c r="D616" s="1" t="s">
        <v>186</v>
      </c>
      <c r="F616" s="1" t="str">
        <f>"8031"</f>
        <v>8031</v>
      </c>
      <c r="G616" s="2">
        <v>41977.0</v>
      </c>
      <c r="H616" s="1">
        <v>136500.0</v>
      </c>
      <c r="I616" s="1">
        <v>68.0</v>
      </c>
      <c r="J616" s="1">
        <v>124500.0</v>
      </c>
      <c r="K616" s="2">
        <v>42024.0</v>
      </c>
      <c r="L616" s="1">
        <v>48.0</v>
      </c>
      <c r="M616" s="2">
        <v>42024.0</v>
      </c>
      <c r="N616" s="1" t="s">
        <v>249</v>
      </c>
      <c r="O616" s="2">
        <v>42083.0</v>
      </c>
      <c r="P616" s="1">
        <v>106928.0</v>
      </c>
      <c r="Q616" s="1">
        <v>84820.0</v>
      </c>
      <c r="S616" s="1">
        <v>1338.0</v>
      </c>
      <c r="T616" s="1" t="s">
        <v>7732</v>
      </c>
      <c r="U616" s="1" t="s">
        <v>320</v>
      </c>
      <c r="V616" s="1" t="s">
        <v>190</v>
      </c>
      <c r="W616" s="1">
        <v>60608.0</v>
      </c>
      <c r="Y616" s="1" t="s">
        <v>7733</v>
      </c>
      <c r="Z616" s="1">
        <v>1878.0</v>
      </c>
      <c r="AA616" s="1" t="s">
        <v>192</v>
      </c>
      <c r="AB616" s="1" t="s">
        <v>193</v>
      </c>
      <c r="AD616" s="1" t="s">
        <v>194</v>
      </c>
      <c r="AE616" s="1" t="s">
        <v>195</v>
      </c>
      <c r="AF616" s="1" t="s">
        <v>659</v>
      </c>
      <c r="AH616" s="1" t="s">
        <v>6548</v>
      </c>
      <c r="AK616" s="1">
        <v>7.0</v>
      </c>
      <c r="AL616" s="1">
        <v>4.0</v>
      </c>
      <c r="AM616" s="1">
        <v>2.0</v>
      </c>
      <c r="AN616" s="1">
        <v>0.0</v>
      </c>
      <c r="AO616" s="1" t="s">
        <v>229</v>
      </c>
      <c r="AQ616" s="1" t="s">
        <v>229</v>
      </c>
      <c r="AS616" s="1" t="s">
        <v>199</v>
      </c>
      <c r="AT616" s="1">
        <v>1.0</v>
      </c>
      <c r="AV616" s="1" t="s">
        <v>200</v>
      </c>
      <c r="AW616" s="1">
        <v>1000.0</v>
      </c>
      <c r="AX616" s="1">
        <v>2012.0</v>
      </c>
      <c r="AY616" s="1" t="s">
        <v>229</v>
      </c>
      <c r="AZ616" s="1" t="s">
        <v>200</v>
      </c>
      <c r="BA616" s="1" t="str">
        <f>"17203230270000"</f>
        <v>17203230270000</v>
      </c>
      <c r="BC616" s="1">
        <v>2182.0</v>
      </c>
      <c r="BD616" s="1">
        <v>98000.0</v>
      </c>
      <c r="BE616" s="2">
        <v>41977.0</v>
      </c>
      <c r="BF616" s="1" t="s">
        <v>7734</v>
      </c>
      <c r="BH616" s="1">
        <v>0.0</v>
      </c>
      <c r="BK616" s="1" t="s">
        <v>204</v>
      </c>
      <c r="BL616" s="1" t="str">
        <f t="shared" ref="BL616:BM616" si="413">"0"</f>
        <v>0</v>
      </c>
      <c r="BM616" s="1" t="str">
        <f t="shared" si="413"/>
        <v>0</v>
      </c>
      <c r="BN616" s="1">
        <v>1338.0</v>
      </c>
      <c r="BO616" s="1">
        <v>1900.0</v>
      </c>
      <c r="BQ616" s="1">
        <v>299.0</v>
      </c>
      <c r="BR616" s="1">
        <v>299.0</v>
      </c>
      <c r="BS616" s="1">
        <v>299.0</v>
      </c>
      <c r="BU616" s="1" t="s">
        <v>300</v>
      </c>
      <c r="BV616" s="1" t="s">
        <v>206</v>
      </c>
      <c r="BY616" s="1" t="s">
        <v>215</v>
      </c>
      <c r="BZ616" s="1" t="s">
        <v>209</v>
      </c>
      <c r="CD616" s="1" t="s">
        <v>204</v>
      </c>
      <c r="CG616" s="1" t="s">
        <v>1688</v>
      </c>
      <c r="CH616" s="1" t="s">
        <v>209</v>
      </c>
      <c r="CK616" s="1" t="s">
        <v>4153</v>
      </c>
      <c r="CL616" s="1" t="s">
        <v>206</v>
      </c>
      <c r="CO616" s="1" t="s">
        <v>599</v>
      </c>
      <c r="CP616" s="1" t="s">
        <v>209</v>
      </c>
      <c r="CS616" s="1" t="s">
        <v>211</v>
      </c>
      <c r="CT616" s="1" t="s">
        <v>206</v>
      </c>
      <c r="CW616" s="1" t="s">
        <v>211</v>
      </c>
      <c r="CX616" s="1" t="s">
        <v>209</v>
      </c>
      <c r="DA616" s="1" t="s">
        <v>200</v>
      </c>
      <c r="DC616" s="1" t="s">
        <v>642</v>
      </c>
      <c r="DE616" s="1" t="s">
        <v>229</v>
      </c>
      <c r="DF616" s="1" t="s">
        <v>619</v>
      </c>
      <c r="DG616" s="1" t="s">
        <v>1657</v>
      </c>
      <c r="DH616" s="1" t="s">
        <v>220</v>
      </c>
      <c r="DJ616" s="1" t="s">
        <v>222</v>
      </c>
      <c r="DL616" s="1" t="s">
        <v>229</v>
      </c>
      <c r="DM616" s="1" t="s">
        <v>229</v>
      </c>
      <c r="DQ616" s="1" t="s">
        <v>228</v>
      </c>
      <c r="DR616" s="1" t="s">
        <v>229</v>
      </c>
      <c r="DV616" s="1" t="s">
        <v>232</v>
      </c>
      <c r="DW616" s="1" t="s">
        <v>667</v>
      </c>
      <c r="DX616" s="1" t="s">
        <v>234</v>
      </c>
      <c r="EA616" s="1" t="s">
        <v>344</v>
      </c>
      <c r="EC616" s="1" t="s">
        <v>4340</v>
      </c>
      <c r="EM616" s="1" t="s">
        <v>238</v>
      </c>
      <c r="EQ616" s="1" t="s">
        <v>238</v>
      </c>
      <c r="EU616" s="1" t="s">
        <v>238</v>
      </c>
      <c r="EY616" s="1" t="s">
        <v>238</v>
      </c>
      <c r="FC616" s="1" t="s">
        <v>238</v>
      </c>
      <c r="FF616" s="1" t="s">
        <v>239</v>
      </c>
      <c r="FG616" s="1" t="s">
        <v>192</v>
      </c>
      <c r="FH616" s="1" t="s">
        <v>192</v>
      </c>
      <c r="FJ616" s="1" t="s">
        <v>1248</v>
      </c>
      <c r="FK616" s="1" t="s">
        <v>229</v>
      </c>
      <c r="FL616" s="1" t="s">
        <v>7735</v>
      </c>
      <c r="FM616" s="1">
        <v>18982.0</v>
      </c>
      <c r="FN616" s="1" t="s">
        <v>7736</v>
      </c>
      <c r="FO616" s="1" t="s">
        <v>7737</v>
      </c>
      <c r="FP616" s="1">
        <v>168237.0</v>
      </c>
      <c r="FU616" s="1" t="s">
        <v>7738</v>
      </c>
      <c r="FV616" s="1" t="s">
        <v>200</v>
      </c>
      <c r="FW616" s="1" t="s">
        <v>354</v>
      </c>
      <c r="FX616" s="1" t="s">
        <v>246</v>
      </c>
      <c r="FZ616" s="1" t="s">
        <v>229</v>
      </c>
      <c r="GA616" s="1" t="s">
        <v>291</v>
      </c>
      <c r="GB616" s="2">
        <v>42087.0</v>
      </c>
      <c r="GC616" s="1" t="s">
        <v>7739</v>
      </c>
    </row>
    <row r="617">
      <c r="A617" s="1">
        <v>217000.0</v>
      </c>
      <c r="B617" s="1" t="s">
        <v>185</v>
      </c>
      <c r="C617" s="1" t="str">
        <f>"08802491"</f>
        <v>08802491</v>
      </c>
      <c r="D617" s="1" t="s">
        <v>186</v>
      </c>
      <c r="F617" s="1" t="str">
        <f>"136"</f>
        <v>136</v>
      </c>
      <c r="G617" s="2">
        <v>41988.0</v>
      </c>
      <c r="H617" s="1">
        <v>239900.0</v>
      </c>
      <c r="I617" s="1">
        <v>94.0</v>
      </c>
      <c r="J617" s="1">
        <v>224900.0</v>
      </c>
      <c r="K617" s="2">
        <v>42081.0</v>
      </c>
      <c r="L617" s="1">
        <v>94.0</v>
      </c>
      <c r="M617" s="2">
        <v>42081.0</v>
      </c>
      <c r="N617" s="1" t="s">
        <v>187</v>
      </c>
      <c r="O617" s="2">
        <v>42110.0</v>
      </c>
      <c r="P617" s="1">
        <v>241523.0</v>
      </c>
      <c r="Q617" s="1">
        <v>25718.0</v>
      </c>
      <c r="S617" s="1">
        <v>250.0</v>
      </c>
      <c r="T617" s="1" t="s">
        <v>7740</v>
      </c>
      <c r="U617" s="1" t="s">
        <v>1015</v>
      </c>
      <c r="V617" s="1" t="s">
        <v>5032</v>
      </c>
      <c r="W617" s="1">
        <v>60136.0</v>
      </c>
      <c r="Y617" s="1" t="s">
        <v>7741</v>
      </c>
      <c r="Z617" s="1">
        <v>2002.0</v>
      </c>
      <c r="AA617" s="1" t="s">
        <v>200</v>
      </c>
      <c r="AB617" s="1" t="s">
        <v>467</v>
      </c>
      <c r="AC617" s="1" t="s">
        <v>7742</v>
      </c>
      <c r="AD617" s="1" t="s">
        <v>5035</v>
      </c>
      <c r="AE617" s="1" t="s">
        <v>325</v>
      </c>
      <c r="AF617" s="1" t="s">
        <v>3429</v>
      </c>
      <c r="AG617" s="1" t="s">
        <v>7743</v>
      </c>
      <c r="AH617" s="1" t="s">
        <v>7744</v>
      </c>
      <c r="AI617" s="1">
        <v>0.27</v>
      </c>
      <c r="AK617" s="1">
        <v>10.0</v>
      </c>
      <c r="AL617" s="1">
        <v>4.0</v>
      </c>
      <c r="AM617" s="1">
        <v>2.0</v>
      </c>
      <c r="AN617" s="1">
        <v>1.0</v>
      </c>
      <c r="AO617" s="1" t="s">
        <v>198</v>
      </c>
      <c r="AP617" s="1">
        <v>1.0</v>
      </c>
      <c r="AQ617" s="1" t="s">
        <v>1314</v>
      </c>
      <c r="AR617" s="1" t="s">
        <v>200</v>
      </c>
      <c r="AS617" s="1" t="s">
        <v>199</v>
      </c>
      <c r="AT617" s="1">
        <v>2.0</v>
      </c>
      <c r="AV617" s="1" t="s">
        <v>200</v>
      </c>
      <c r="AW617" s="1">
        <v>6367.92</v>
      </c>
      <c r="AX617" s="1">
        <v>2013.0</v>
      </c>
      <c r="AY617" s="1" t="s">
        <v>387</v>
      </c>
      <c r="AZ617" s="1" t="s">
        <v>200</v>
      </c>
      <c r="BA617" s="1" t="str">
        <f>"0236127033"</f>
        <v>0236127033</v>
      </c>
      <c r="BC617" s="1">
        <v>2355.0</v>
      </c>
      <c r="BD617" s="1">
        <v>217000.0</v>
      </c>
      <c r="BE617" s="2">
        <v>41988.0</v>
      </c>
      <c r="BF617" s="2" t="s">
        <v>7745</v>
      </c>
      <c r="BG617" s="1" t="s">
        <v>5039</v>
      </c>
      <c r="BH617" s="1">
        <v>0.0</v>
      </c>
      <c r="BJ617" s="1" t="s">
        <v>1182</v>
      </c>
      <c r="BK617" s="1" t="s">
        <v>204</v>
      </c>
      <c r="BL617" s="1" t="str">
        <f t="shared" ref="BL617:BM617" si="414">""</f>
        <v/>
      </c>
      <c r="BM617" s="1" t="str">
        <f t="shared" si="414"/>
        <v/>
      </c>
      <c r="BQ617" s="1">
        <v>300.0</v>
      </c>
      <c r="BR617" s="1">
        <v>300.0</v>
      </c>
      <c r="BS617" s="1">
        <v>300.0</v>
      </c>
      <c r="BU617" s="1" t="s">
        <v>332</v>
      </c>
      <c r="BV617" s="1" t="s">
        <v>206</v>
      </c>
      <c r="BW617" s="1" t="s">
        <v>5126</v>
      </c>
      <c r="BX617" s="1" t="s">
        <v>239</v>
      </c>
      <c r="BY617" s="1" t="s">
        <v>214</v>
      </c>
      <c r="BZ617" s="1" t="s">
        <v>209</v>
      </c>
      <c r="CA617" s="1" t="s">
        <v>210</v>
      </c>
      <c r="CB617" s="1" t="s">
        <v>239</v>
      </c>
      <c r="CC617" s="1" t="s">
        <v>215</v>
      </c>
      <c r="CD617" s="1" t="s">
        <v>206</v>
      </c>
      <c r="CE617" s="1" t="s">
        <v>5126</v>
      </c>
      <c r="CF617" s="1" t="s">
        <v>239</v>
      </c>
      <c r="CG617" s="1" t="s">
        <v>332</v>
      </c>
      <c r="CH617" s="1" t="s">
        <v>209</v>
      </c>
      <c r="CI617" s="1" t="s">
        <v>210</v>
      </c>
      <c r="CJ617" s="1" t="s">
        <v>239</v>
      </c>
      <c r="CK617" s="1" t="s">
        <v>495</v>
      </c>
      <c r="CL617" s="1" t="s">
        <v>209</v>
      </c>
      <c r="CM617" s="1" t="s">
        <v>210</v>
      </c>
      <c r="CN617" s="1" t="s">
        <v>239</v>
      </c>
      <c r="CO617" s="1" t="s">
        <v>495</v>
      </c>
      <c r="CP617" s="1" t="s">
        <v>209</v>
      </c>
      <c r="CQ617" s="1" t="s">
        <v>210</v>
      </c>
      <c r="CR617" s="1" t="s">
        <v>239</v>
      </c>
      <c r="CS617" s="1" t="s">
        <v>215</v>
      </c>
      <c r="CT617" s="1" t="s">
        <v>206</v>
      </c>
      <c r="CU617" s="1" t="s">
        <v>207</v>
      </c>
      <c r="CV617" s="1" t="s">
        <v>239</v>
      </c>
      <c r="CW617" s="1" t="s">
        <v>2120</v>
      </c>
      <c r="CX617" s="1" t="s">
        <v>206</v>
      </c>
      <c r="CY617" s="1" t="s">
        <v>210</v>
      </c>
      <c r="CZ617" s="1" t="s">
        <v>239</v>
      </c>
      <c r="DA617" s="1" t="s">
        <v>200</v>
      </c>
      <c r="DC617" s="1" t="s">
        <v>335</v>
      </c>
      <c r="DD617" s="1" t="s">
        <v>336</v>
      </c>
      <c r="DE617" s="1" t="s">
        <v>273</v>
      </c>
      <c r="DF617" s="1" t="s">
        <v>219</v>
      </c>
      <c r="DG617" s="1" t="s">
        <v>1020</v>
      </c>
      <c r="DH617" s="1" t="s">
        <v>220</v>
      </c>
      <c r="DI617" s="1" t="s">
        <v>221</v>
      </c>
      <c r="DJ617" s="1" t="s">
        <v>222</v>
      </c>
      <c r="DK617" s="1" t="s">
        <v>223</v>
      </c>
      <c r="DL617" s="1" t="s">
        <v>223</v>
      </c>
      <c r="DM617" s="1" t="s">
        <v>1022</v>
      </c>
      <c r="DN617" s="1" t="s">
        <v>7746</v>
      </c>
      <c r="DO617" s="1" t="s">
        <v>486</v>
      </c>
      <c r="DP617" s="1" t="s">
        <v>340</v>
      </c>
      <c r="DQ617" s="1" t="s">
        <v>441</v>
      </c>
      <c r="DR617" s="1" t="s">
        <v>229</v>
      </c>
      <c r="DS617" s="1" t="s">
        <v>3204</v>
      </c>
      <c r="DU617" s="1" t="s">
        <v>6137</v>
      </c>
      <c r="DV617" s="1" t="s">
        <v>7747</v>
      </c>
      <c r="DW617" s="1" t="s">
        <v>233</v>
      </c>
      <c r="DX617" s="1" t="s">
        <v>234</v>
      </c>
      <c r="DY617" s="1" t="s">
        <v>1006</v>
      </c>
      <c r="DZ617" s="1" t="s">
        <v>1405</v>
      </c>
      <c r="EA617" s="1" t="s">
        <v>447</v>
      </c>
      <c r="EB617" s="1" t="s">
        <v>2915</v>
      </c>
      <c r="EC617" s="1" t="s">
        <v>237</v>
      </c>
      <c r="ED617" s="1" t="s">
        <v>407</v>
      </c>
      <c r="EE617" s="1" t="s">
        <v>493</v>
      </c>
      <c r="EG617" s="1" t="s">
        <v>449</v>
      </c>
      <c r="EH617" s="1" t="s">
        <v>494</v>
      </c>
      <c r="EI617" s="1" t="s">
        <v>408</v>
      </c>
      <c r="EL617" s="1" t="s">
        <v>647</v>
      </c>
      <c r="EM617" s="1" t="s">
        <v>206</v>
      </c>
      <c r="EN617" s="1" t="s">
        <v>207</v>
      </c>
      <c r="EO617" s="1" t="s">
        <v>239</v>
      </c>
      <c r="EP617" s="1" t="s">
        <v>269</v>
      </c>
      <c r="EQ617" s="1" t="s">
        <v>206</v>
      </c>
      <c r="ER617" s="1" t="s">
        <v>5126</v>
      </c>
      <c r="ES617" s="1" t="s">
        <v>239</v>
      </c>
      <c r="ET617" s="1" t="s">
        <v>215</v>
      </c>
      <c r="EU617" s="1" t="s">
        <v>206</v>
      </c>
      <c r="EV617" s="1" t="s">
        <v>207</v>
      </c>
      <c r="EY617" s="1" t="s">
        <v>238</v>
      </c>
      <c r="FC617" s="1" t="s">
        <v>238</v>
      </c>
      <c r="FF617" s="1" t="s">
        <v>239</v>
      </c>
      <c r="FG617" s="1" t="s">
        <v>192</v>
      </c>
      <c r="FH617" s="1" t="s">
        <v>192</v>
      </c>
      <c r="FJ617" s="1" t="s">
        <v>7748</v>
      </c>
      <c r="FK617" s="1" t="s">
        <v>229</v>
      </c>
      <c r="FL617" s="1" t="s">
        <v>625</v>
      </c>
      <c r="FM617" s="1">
        <v>37.0</v>
      </c>
      <c r="FN617" s="1" t="s">
        <v>626</v>
      </c>
      <c r="FO617" s="1" t="s">
        <v>7749</v>
      </c>
      <c r="FP617" s="1">
        <v>77292.0</v>
      </c>
      <c r="FQ617" s="1" t="s">
        <v>7750</v>
      </c>
      <c r="FS617" s="1" t="s">
        <v>7751</v>
      </c>
      <c r="FU617" s="1" t="s">
        <v>7752</v>
      </c>
      <c r="FV617" s="1" t="s">
        <v>200</v>
      </c>
      <c r="FW617" s="1" t="s">
        <v>7753</v>
      </c>
      <c r="FZ617" s="1" t="s">
        <v>632</v>
      </c>
      <c r="GA617" s="1" t="s">
        <v>291</v>
      </c>
      <c r="GB617" s="2">
        <v>42110.0</v>
      </c>
      <c r="GC617" s="1" t="s">
        <v>7754</v>
      </c>
    </row>
    <row r="618">
      <c r="A618" s="1">
        <v>195000.0</v>
      </c>
      <c r="B618" s="1" t="s">
        <v>185</v>
      </c>
      <c r="C618" s="1" t="str">
        <f>"08795783"</f>
        <v>08795783</v>
      </c>
      <c r="D618" s="1" t="s">
        <v>186</v>
      </c>
      <c r="F618" s="1" t="str">
        <f>"8064"</f>
        <v>8064</v>
      </c>
      <c r="G618" s="2">
        <v>41976.0</v>
      </c>
      <c r="H618" s="1">
        <v>209000.0</v>
      </c>
      <c r="I618" s="1">
        <v>78.0</v>
      </c>
      <c r="J618" s="1">
        <v>209000.0</v>
      </c>
      <c r="K618" s="2">
        <v>42052.0</v>
      </c>
      <c r="L618" s="1">
        <v>78.0</v>
      </c>
      <c r="M618" s="2">
        <v>42052.0</v>
      </c>
      <c r="N618" s="1" t="s">
        <v>187</v>
      </c>
      <c r="O618" s="2">
        <v>42090.0</v>
      </c>
      <c r="P618" s="1">
        <v>176287.0</v>
      </c>
      <c r="Q618" s="1">
        <v>13691.0</v>
      </c>
      <c r="S618" s="1">
        <v>6128.0</v>
      </c>
      <c r="T618" s="1" t="s">
        <v>7755</v>
      </c>
      <c r="U618" s="1" t="s">
        <v>189</v>
      </c>
      <c r="V618" s="1" t="s">
        <v>190</v>
      </c>
      <c r="W618" s="1">
        <v>60638.0</v>
      </c>
      <c r="X618" s="1">
        <v>4508.0</v>
      </c>
      <c r="Y618" s="1" t="s">
        <v>7756</v>
      </c>
      <c r="Z618" s="1">
        <v>1983.0</v>
      </c>
      <c r="AA618" s="1" t="s">
        <v>200</v>
      </c>
      <c r="AB618" s="1" t="s">
        <v>193</v>
      </c>
      <c r="AD618" s="1" t="s">
        <v>194</v>
      </c>
      <c r="AE618" s="1" t="s">
        <v>195</v>
      </c>
      <c r="AF618" s="1" t="s">
        <v>659</v>
      </c>
      <c r="AH618" s="1" t="s">
        <v>7757</v>
      </c>
      <c r="AI618" s="1">
        <v>0.0712</v>
      </c>
      <c r="AK618" s="1">
        <v>9.0</v>
      </c>
      <c r="AL618" s="1">
        <v>3.0</v>
      </c>
      <c r="AM618" s="1">
        <v>2.0</v>
      </c>
      <c r="AN618" s="1">
        <v>0.0</v>
      </c>
      <c r="AO618" s="1" t="s">
        <v>229</v>
      </c>
      <c r="AQ618" s="1" t="s">
        <v>198</v>
      </c>
      <c r="AR618" s="1" t="s">
        <v>192</v>
      </c>
      <c r="AS618" s="1" t="s">
        <v>199</v>
      </c>
      <c r="AT618" s="1">
        <v>2.0</v>
      </c>
      <c r="AV618" s="1" t="s">
        <v>200</v>
      </c>
      <c r="AW618" s="1">
        <v>2578.77</v>
      </c>
      <c r="AX618" s="1">
        <v>2013.0</v>
      </c>
      <c r="AY618" s="1" t="s">
        <v>387</v>
      </c>
      <c r="AZ618" s="1" t="s">
        <v>200</v>
      </c>
      <c r="BA618" s="1" t="str">
        <f>"19174230320000"</f>
        <v>19174230320000</v>
      </c>
      <c r="BB618" s="1" t="s">
        <v>200</v>
      </c>
      <c r="BC618" s="1">
        <v>1120.0</v>
      </c>
      <c r="BD618" s="1">
        <v>195000.0</v>
      </c>
      <c r="BE618" s="2">
        <v>41975.0</v>
      </c>
      <c r="BF618" s="2" t="s">
        <v>7758</v>
      </c>
      <c r="BH618" s="1">
        <v>0.0</v>
      </c>
      <c r="BK618" s="1" t="s">
        <v>204</v>
      </c>
      <c r="BL618" s="1" t="str">
        <f t="shared" ref="BL618:BM618" si="415">"0"</f>
        <v>0</v>
      </c>
      <c r="BM618" s="1" t="str">
        <f t="shared" si="415"/>
        <v>0</v>
      </c>
      <c r="BN618" s="1">
        <v>5600.0</v>
      </c>
      <c r="BO618" s="1">
        <v>6128.0</v>
      </c>
      <c r="BQ618" s="1">
        <v>299.0</v>
      </c>
      <c r="BR618" s="1">
        <v>299.0</v>
      </c>
      <c r="BS618" s="1">
        <v>299.0</v>
      </c>
      <c r="BU618" s="1" t="s">
        <v>616</v>
      </c>
      <c r="BV618" s="1" t="s">
        <v>206</v>
      </c>
      <c r="BW618" s="1" t="s">
        <v>207</v>
      </c>
      <c r="BX618" s="1" t="s">
        <v>261</v>
      </c>
      <c r="BY618" s="1" t="s">
        <v>969</v>
      </c>
      <c r="BZ618" s="1" t="s">
        <v>206</v>
      </c>
      <c r="CA618" s="1" t="s">
        <v>210</v>
      </c>
      <c r="CB618" s="1" t="s">
        <v>261</v>
      </c>
      <c r="CD618" s="1" t="s">
        <v>204</v>
      </c>
      <c r="CG618" s="1" t="s">
        <v>7759</v>
      </c>
      <c r="CH618" s="1" t="s">
        <v>206</v>
      </c>
      <c r="CI618" s="1" t="s">
        <v>210</v>
      </c>
      <c r="CJ618" s="1" t="s">
        <v>261</v>
      </c>
      <c r="CK618" s="1" t="s">
        <v>7760</v>
      </c>
      <c r="CL618" s="1" t="s">
        <v>206</v>
      </c>
      <c r="CM618" s="1" t="s">
        <v>207</v>
      </c>
      <c r="CN618" s="1" t="s">
        <v>431</v>
      </c>
      <c r="CO618" s="1" t="s">
        <v>7760</v>
      </c>
      <c r="CP618" s="1" t="s">
        <v>42</v>
      </c>
      <c r="CQ618" s="1" t="s">
        <v>210</v>
      </c>
      <c r="CS618" s="1" t="s">
        <v>4975</v>
      </c>
      <c r="CT618" s="1" t="s">
        <v>206</v>
      </c>
      <c r="CU618" s="1" t="s">
        <v>268</v>
      </c>
      <c r="CV618" s="1" t="s">
        <v>431</v>
      </c>
      <c r="CW618" s="1" t="s">
        <v>784</v>
      </c>
      <c r="CX618" s="1" t="s">
        <v>42</v>
      </c>
      <c r="CY618" s="1" t="s">
        <v>210</v>
      </c>
      <c r="DA618" s="1" t="s">
        <v>200</v>
      </c>
      <c r="DC618" s="1" t="s">
        <v>395</v>
      </c>
      <c r="DD618" s="1" t="s">
        <v>518</v>
      </c>
      <c r="DE618" s="1" t="s">
        <v>273</v>
      </c>
      <c r="DF618" s="1" t="s">
        <v>905</v>
      </c>
      <c r="DG618" s="1" t="s">
        <v>337</v>
      </c>
      <c r="DH618" s="1" t="s">
        <v>307</v>
      </c>
      <c r="DI618" s="1" t="s">
        <v>7761</v>
      </c>
      <c r="DJ618" s="1" t="s">
        <v>1048</v>
      </c>
      <c r="DL618" s="1" t="s">
        <v>224</v>
      </c>
      <c r="DM618" s="1" t="s">
        <v>4610</v>
      </c>
      <c r="DO618" s="1" t="s">
        <v>549</v>
      </c>
      <c r="DQ618" s="1" t="s">
        <v>718</v>
      </c>
      <c r="DR618" s="1" t="s">
        <v>229</v>
      </c>
      <c r="DS618" s="1" t="s">
        <v>401</v>
      </c>
      <c r="DU618" s="1" t="s">
        <v>4274</v>
      </c>
      <c r="DV618" s="1" t="s">
        <v>7762</v>
      </c>
      <c r="DW618" s="1" t="s">
        <v>279</v>
      </c>
      <c r="DX618" s="1" t="s">
        <v>234</v>
      </c>
      <c r="DY618" s="1" t="s">
        <v>3963</v>
      </c>
      <c r="DZ618" s="1" t="s">
        <v>405</v>
      </c>
      <c r="EA618" s="1" t="s">
        <v>644</v>
      </c>
      <c r="EC618" s="1" t="s">
        <v>685</v>
      </c>
      <c r="ED618" s="1" t="s">
        <v>4163</v>
      </c>
      <c r="EE618" s="1" t="s">
        <v>493</v>
      </c>
      <c r="EG618" s="1" t="s">
        <v>449</v>
      </c>
      <c r="EH618" s="1" t="s">
        <v>1407</v>
      </c>
      <c r="EL618" s="1" t="s">
        <v>4975</v>
      </c>
      <c r="EM618" s="1" t="s">
        <v>206</v>
      </c>
      <c r="EN618" s="1" t="s">
        <v>268</v>
      </c>
      <c r="EO618" s="1" t="s">
        <v>431</v>
      </c>
      <c r="EP618" s="1" t="s">
        <v>784</v>
      </c>
      <c r="EQ618" s="1" t="s">
        <v>42</v>
      </c>
      <c r="ER618" s="1" t="s">
        <v>617</v>
      </c>
      <c r="EU618" s="1" t="s">
        <v>238</v>
      </c>
      <c r="EY618" s="1" t="s">
        <v>238</v>
      </c>
      <c r="FC618" s="1" t="s">
        <v>238</v>
      </c>
      <c r="FF618" s="1" t="s">
        <v>239</v>
      </c>
      <c r="FG618" s="1" t="s">
        <v>192</v>
      </c>
      <c r="FH618" s="1" t="s">
        <v>192</v>
      </c>
      <c r="FJ618" s="1" t="s">
        <v>524</v>
      </c>
      <c r="FK618" s="1" t="s">
        <v>229</v>
      </c>
      <c r="FL618" s="1" t="s">
        <v>1358</v>
      </c>
      <c r="FM618" s="1">
        <v>51100.0</v>
      </c>
      <c r="FN618" s="1" t="s">
        <v>7763</v>
      </c>
      <c r="FO618" s="1" t="s">
        <v>7764</v>
      </c>
      <c r="FP618" s="1">
        <v>220328.0</v>
      </c>
      <c r="FQ618" s="1" t="s">
        <v>7765</v>
      </c>
      <c r="FS618" s="1" t="s">
        <v>7766</v>
      </c>
      <c r="FU618" s="1" t="s">
        <v>7767</v>
      </c>
      <c r="FV618" s="1" t="s">
        <v>200</v>
      </c>
      <c r="FW618" s="1" t="s">
        <v>7768</v>
      </c>
      <c r="FX618" s="1" t="s">
        <v>655</v>
      </c>
      <c r="FZ618" s="1" t="s">
        <v>229</v>
      </c>
      <c r="GA618" s="1" t="s">
        <v>291</v>
      </c>
      <c r="GB618" s="2">
        <v>42090.0</v>
      </c>
      <c r="GC618" s="1" t="s">
        <v>7769</v>
      </c>
    </row>
    <row r="619">
      <c r="A619" s="1">
        <v>205000.0</v>
      </c>
      <c r="B619" s="1" t="s">
        <v>185</v>
      </c>
      <c r="C619" s="1" t="str">
        <f>"08799396"</f>
        <v>08799396</v>
      </c>
      <c r="D619" s="1" t="s">
        <v>186</v>
      </c>
      <c r="F619" s="1" t="str">
        <f>"8019"</f>
        <v>8019</v>
      </c>
      <c r="G619" s="2">
        <v>41982.0</v>
      </c>
      <c r="H619" s="1">
        <v>227900.0</v>
      </c>
      <c r="I619" s="1">
        <v>77.0</v>
      </c>
      <c r="J619" s="1">
        <v>227900.0</v>
      </c>
      <c r="K619" s="2">
        <v>42058.0</v>
      </c>
      <c r="L619" s="1">
        <v>77.0</v>
      </c>
      <c r="M619" s="2">
        <v>42058.0</v>
      </c>
      <c r="N619" s="1" t="s">
        <v>356</v>
      </c>
      <c r="O619" s="2">
        <v>42128.0</v>
      </c>
      <c r="P619" s="1">
        <v>176910.0</v>
      </c>
      <c r="Q619" s="1">
        <v>84729.0</v>
      </c>
      <c r="S619" s="1">
        <v>5237.0</v>
      </c>
      <c r="T619" s="1" t="s">
        <v>7770</v>
      </c>
      <c r="U619" s="1" t="s">
        <v>320</v>
      </c>
      <c r="V619" s="1" t="s">
        <v>190</v>
      </c>
      <c r="W619" s="1">
        <v>60641.0</v>
      </c>
      <c r="Y619" s="1" t="s">
        <v>7771</v>
      </c>
      <c r="Z619" s="1">
        <v>1927.0</v>
      </c>
      <c r="AA619" s="1" t="s">
        <v>192</v>
      </c>
      <c r="AB619" s="1" t="s">
        <v>193</v>
      </c>
      <c r="AD619" s="1" t="s">
        <v>194</v>
      </c>
      <c r="AE619" s="1" t="s">
        <v>195</v>
      </c>
      <c r="AF619" s="1" t="s">
        <v>196</v>
      </c>
      <c r="AH619" s="1" t="s">
        <v>1501</v>
      </c>
      <c r="AK619" s="1">
        <v>7.0</v>
      </c>
      <c r="AL619" s="1">
        <v>4.0</v>
      </c>
      <c r="AM619" s="1">
        <v>2.0</v>
      </c>
      <c r="AN619" s="1">
        <v>1.0</v>
      </c>
      <c r="AO619" s="1" t="s">
        <v>229</v>
      </c>
      <c r="AQ619" s="1" t="s">
        <v>198</v>
      </c>
      <c r="AR619" s="1" t="s">
        <v>192</v>
      </c>
      <c r="AS619" s="1" t="s">
        <v>199</v>
      </c>
      <c r="AT619" s="1">
        <v>2.5</v>
      </c>
      <c r="AV619" s="1" t="s">
        <v>200</v>
      </c>
      <c r="AW619" s="1">
        <v>3618.0</v>
      </c>
      <c r="AX619" s="1">
        <v>2012.0</v>
      </c>
      <c r="AY619" s="1" t="s">
        <v>387</v>
      </c>
      <c r="AZ619" s="1" t="s">
        <v>200</v>
      </c>
      <c r="BA619" s="1" t="str">
        <f>"13281290080000"</f>
        <v>13281290080000</v>
      </c>
      <c r="BC619" s="1">
        <v>1311.0</v>
      </c>
      <c r="BD619" s="1">
        <v>205000.0</v>
      </c>
      <c r="BE619" s="2">
        <v>41982.0</v>
      </c>
      <c r="BF619" s="2" t="s">
        <v>7772</v>
      </c>
      <c r="BH619" s="1">
        <v>0.0</v>
      </c>
      <c r="BK619" s="1" t="s">
        <v>204</v>
      </c>
      <c r="BL619" s="1" t="str">
        <f>"2900"</f>
        <v>2900</v>
      </c>
      <c r="BM619" s="1" t="str">
        <f>"0"</f>
        <v>0</v>
      </c>
      <c r="BN619" s="1">
        <v>5237.0</v>
      </c>
      <c r="BO619" s="1">
        <v>0.0</v>
      </c>
      <c r="BQ619" s="1">
        <v>299.0</v>
      </c>
      <c r="BR619" s="1">
        <v>299.0</v>
      </c>
      <c r="BS619" s="1">
        <v>299.0</v>
      </c>
      <c r="BU619" s="1" t="s">
        <v>361</v>
      </c>
      <c r="BV619" s="1" t="s">
        <v>206</v>
      </c>
      <c r="BW619" s="1" t="s">
        <v>207</v>
      </c>
      <c r="BY619" s="1" t="s">
        <v>392</v>
      </c>
      <c r="BZ619" s="1" t="s">
        <v>206</v>
      </c>
      <c r="CA619" s="1" t="s">
        <v>207</v>
      </c>
      <c r="CC619" s="1" t="s">
        <v>433</v>
      </c>
      <c r="CD619" s="1" t="s">
        <v>206</v>
      </c>
      <c r="CE619" s="1" t="s">
        <v>207</v>
      </c>
      <c r="CG619" s="1" t="s">
        <v>212</v>
      </c>
      <c r="CH619" s="1" t="s">
        <v>206</v>
      </c>
      <c r="CI619" s="1" t="s">
        <v>207</v>
      </c>
      <c r="CK619" s="1" t="s">
        <v>816</v>
      </c>
      <c r="CL619" s="1" t="s">
        <v>209</v>
      </c>
      <c r="CM619" s="1" t="s">
        <v>210</v>
      </c>
      <c r="CO619" s="1" t="s">
        <v>925</v>
      </c>
      <c r="CP619" s="1" t="s">
        <v>209</v>
      </c>
      <c r="CQ619" s="1" t="s">
        <v>207</v>
      </c>
      <c r="CS619" s="1" t="s">
        <v>363</v>
      </c>
      <c r="CT619" s="1" t="s">
        <v>206</v>
      </c>
      <c r="CU619" s="1" t="s">
        <v>268</v>
      </c>
      <c r="CX619" s="1" t="s">
        <v>204</v>
      </c>
      <c r="DA619" s="1" t="s">
        <v>200</v>
      </c>
      <c r="DC619" s="1" t="s">
        <v>785</v>
      </c>
      <c r="DE619" s="1" t="s">
        <v>273</v>
      </c>
      <c r="DF619" s="1" t="s">
        <v>219</v>
      </c>
      <c r="DH619" s="1" t="s">
        <v>365</v>
      </c>
      <c r="DJ619" s="1" t="s">
        <v>222</v>
      </c>
      <c r="DK619" s="1" t="s">
        <v>224</v>
      </c>
      <c r="DL619" s="1" t="s">
        <v>224</v>
      </c>
      <c r="DM619" s="1" t="s">
        <v>229</v>
      </c>
      <c r="DQ619" s="1" t="s">
        <v>718</v>
      </c>
      <c r="DR619" s="1" t="s">
        <v>229</v>
      </c>
      <c r="DS619" s="1" t="s">
        <v>401</v>
      </c>
      <c r="DV619" s="1" t="s">
        <v>232</v>
      </c>
      <c r="DW619" s="1" t="s">
        <v>279</v>
      </c>
      <c r="DX619" s="1" t="s">
        <v>234</v>
      </c>
      <c r="EA619" s="1" t="s">
        <v>644</v>
      </c>
      <c r="EC619" s="1" t="s">
        <v>645</v>
      </c>
      <c r="EM619" s="1" t="s">
        <v>238</v>
      </c>
      <c r="EQ619" s="1" t="s">
        <v>238</v>
      </c>
      <c r="EU619" s="1" t="s">
        <v>238</v>
      </c>
      <c r="EY619" s="1" t="s">
        <v>238</v>
      </c>
      <c r="FC619" s="1" t="s">
        <v>238</v>
      </c>
      <c r="FF619" s="1" t="s">
        <v>239</v>
      </c>
      <c r="FG619" s="1" t="s">
        <v>192</v>
      </c>
      <c r="FH619" s="1" t="s">
        <v>192</v>
      </c>
      <c r="FJ619" s="1" t="s">
        <v>1280</v>
      </c>
      <c r="FK619" s="1" t="s">
        <v>229</v>
      </c>
      <c r="FL619" s="1" t="s">
        <v>3500</v>
      </c>
      <c r="FM619" s="1">
        <v>12279.0</v>
      </c>
      <c r="FN619" s="1" t="s">
        <v>3501</v>
      </c>
      <c r="FO619" s="1" t="s">
        <v>7773</v>
      </c>
      <c r="FP619" s="1">
        <v>129608.0</v>
      </c>
      <c r="FQ619" s="1" t="s">
        <v>7774</v>
      </c>
      <c r="FU619" s="1" t="s">
        <v>7775</v>
      </c>
      <c r="FV619" s="1" t="s">
        <v>200</v>
      </c>
      <c r="FW619" s="1" t="s">
        <v>290</v>
      </c>
      <c r="FX619" s="1" t="s">
        <v>246</v>
      </c>
      <c r="FZ619" s="1" t="s">
        <v>229</v>
      </c>
      <c r="GA619" s="1" t="s">
        <v>291</v>
      </c>
      <c r="GB619" s="2">
        <v>42129.0</v>
      </c>
      <c r="GC619" s="1" t="s">
        <v>7776</v>
      </c>
    </row>
    <row r="620">
      <c r="A620" s="1">
        <v>340000.0</v>
      </c>
      <c r="B620" s="1" t="s">
        <v>185</v>
      </c>
      <c r="C620" s="1" t="str">
        <f>"08806542"</f>
        <v>08806542</v>
      </c>
      <c r="D620" s="1" t="s">
        <v>186</v>
      </c>
      <c r="F620" s="1" t="str">
        <f>"10"</f>
        <v>10</v>
      </c>
      <c r="G620" s="2">
        <v>42001.0</v>
      </c>
      <c r="H620" s="1">
        <v>365000.0</v>
      </c>
      <c r="I620" s="1">
        <v>86.0</v>
      </c>
      <c r="J620" s="1">
        <v>349000.0</v>
      </c>
      <c r="K620" s="2">
        <v>42033.0</v>
      </c>
      <c r="L620" s="1">
        <v>33.0</v>
      </c>
      <c r="M620" s="2">
        <v>42033.0</v>
      </c>
      <c r="N620" s="1" t="s">
        <v>187</v>
      </c>
      <c r="O620" s="2">
        <v>42069.0</v>
      </c>
      <c r="P620" s="1">
        <v>239864.0</v>
      </c>
      <c r="Q620" s="1">
        <v>22029.0</v>
      </c>
      <c r="S620" s="1">
        <v>163.0</v>
      </c>
      <c r="T620" s="1" t="s">
        <v>7296</v>
      </c>
      <c r="U620" s="1" t="s">
        <v>569</v>
      </c>
      <c r="V620" s="1" t="s">
        <v>1706</v>
      </c>
      <c r="W620" s="1">
        <v>60010.0</v>
      </c>
      <c r="Y620" s="1" t="s">
        <v>7777</v>
      </c>
      <c r="Z620" s="1">
        <v>1962.0</v>
      </c>
      <c r="AA620" s="1" t="s">
        <v>192</v>
      </c>
      <c r="AB620" s="1" t="s">
        <v>193</v>
      </c>
      <c r="AC620" s="1" t="s">
        <v>7778</v>
      </c>
      <c r="AD620" s="1" t="s">
        <v>1089</v>
      </c>
      <c r="AE620" s="1" t="s">
        <v>195</v>
      </c>
      <c r="AF620" s="1" t="s">
        <v>1708</v>
      </c>
      <c r="AH620" s="1" t="s">
        <v>7779</v>
      </c>
      <c r="AI620" s="1">
        <v>0.8379</v>
      </c>
      <c r="AK620" s="1">
        <v>11.0</v>
      </c>
      <c r="AL620" s="1">
        <v>4.0</v>
      </c>
      <c r="AM620" s="1">
        <v>2.0</v>
      </c>
      <c r="AN620" s="1">
        <v>1.0</v>
      </c>
      <c r="AO620" s="1" t="s">
        <v>198</v>
      </c>
      <c r="AP620" s="1">
        <v>1.0</v>
      </c>
      <c r="AQ620" s="1" t="s">
        <v>472</v>
      </c>
      <c r="AR620" s="1" t="s">
        <v>200</v>
      </c>
      <c r="AS620" s="1" t="s">
        <v>199</v>
      </c>
      <c r="AT620" s="1">
        <v>2.0</v>
      </c>
      <c r="AV620" s="1" t="s">
        <v>200</v>
      </c>
      <c r="AW620" s="1">
        <v>8649.73</v>
      </c>
      <c r="AX620" s="1">
        <v>2013.0</v>
      </c>
      <c r="AY620" s="1" t="s">
        <v>387</v>
      </c>
      <c r="AZ620" s="1" t="s">
        <v>545</v>
      </c>
      <c r="BA620" s="1" t="str">
        <f>"02064070010000"</f>
        <v>02064070010000</v>
      </c>
      <c r="BC620" s="1">
        <v>2800.0</v>
      </c>
      <c r="BD620" s="1">
        <v>340000.0</v>
      </c>
      <c r="BE620" s="2">
        <v>42001.0</v>
      </c>
      <c r="BF620" s="2" t="s">
        <v>7780</v>
      </c>
      <c r="BH620" s="1">
        <v>20.0</v>
      </c>
      <c r="BK620" s="1" t="s">
        <v>580</v>
      </c>
      <c r="BL620" s="1" t="str">
        <f t="shared" ref="BL620:BM620" si="416">""</f>
        <v/>
      </c>
      <c r="BM620" s="1" t="str">
        <f t="shared" si="416"/>
        <v/>
      </c>
      <c r="BQ620" s="1">
        <v>220.0</v>
      </c>
      <c r="BR620" s="1">
        <v>220.0</v>
      </c>
      <c r="BS620" s="1">
        <v>220.0</v>
      </c>
      <c r="BU620" s="1" t="s">
        <v>2014</v>
      </c>
      <c r="BV620" s="1" t="s">
        <v>206</v>
      </c>
      <c r="BW620" s="1" t="s">
        <v>210</v>
      </c>
      <c r="BX620" s="1" t="s">
        <v>1549</v>
      </c>
      <c r="BY620" s="1" t="s">
        <v>300</v>
      </c>
      <c r="BZ620" s="1" t="s">
        <v>209</v>
      </c>
      <c r="CC620" s="1" t="s">
        <v>331</v>
      </c>
      <c r="CD620" s="1" t="s">
        <v>206</v>
      </c>
      <c r="CE620" s="1" t="s">
        <v>210</v>
      </c>
      <c r="CF620" s="1" t="s">
        <v>229</v>
      </c>
      <c r="CG620" s="1" t="s">
        <v>5440</v>
      </c>
      <c r="CH620" s="1" t="s">
        <v>209</v>
      </c>
      <c r="CI620" s="1" t="s">
        <v>210</v>
      </c>
      <c r="CJ620" s="1" t="s">
        <v>1549</v>
      </c>
      <c r="CK620" s="1" t="s">
        <v>5440</v>
      </c>
      <c r="CL620" s="1" t="s">
        <v>209</v>
      </c>
      <c r="CM620" s="1" t="s">
        <v>210</v>
      </c>
      <c r="CN620" s="1" t="s">
        <v>229</v>
      </c>
      <c r="CO620" s="1" t="s">
        <v>663</v>
      </c>
      <c r="CP620" s="1" t="s">
        <v>209</v>
      </c>
      <c r="CQ620" s="1" t="s">
        <v>210</v>
      </c>
      <c r="CR620" s="1" t="s">
        <v>1549</v>
      </c>
      <c r="CS620" s="1" t="s">
        <v>478</v>
      </c>
      <c r="CT620" s="1" t="s">
        <v>206</v>
      </c>
      <c r="CU620" s="1" t="s">
        <v>268</v>
      </c>
      <c r="CV620" s="1" t="s">
        <v>229</v>
      </c>
      <c r="CW620" s="1" t="s">
        <v>7781</v>
      </c>
      <c r="CX620" s="1" t="s">
        <v>206</v>
      </c>
      <c r="CY620" s="1" t="s">
        <v>210</v>
      </c>
      <c r="CZ620" s="1" t="s">
        <v>1549</v>
      </c>
      <c r="DA620" s="1" t="s">
        <v>200</v>
      </c>
      <c r="DC620" s="1" t="s">
        <v>271</v>
      </c>
      <c r="DE620" s="1" t="s">
        <v>273</v>
      </c>
      <c r="DF620" s="1" t="s">
        <v>219</v>
      </c>
      <c r="DG620" s="1" t="s">
        <v>337</v>
      </c>
      <c r="DH620" s="1" t="s">
        <v>856</v>
      </c>
      <c r="DI620" s="1" t="s">
        <v>7782</v>
      </c>
      <c r="DJ620" s="1" t="s">
        <v>857</v>
      </c>
      <c r="DK620" s="1" t="s">
        <v>3740</v>
      </c>
      <c r="DL620" s="1" t="s">
        <v>224</v>
      </c>
      <c r="DM620" s="1" t="s">
        <v>1919</v>
      </c>
      <c r="DO620" s="1" t="s">
        <v>2297</v>
      </c>
      <c r="DP620" s="1" t="s">
        <v>276</v>
      </c>
      <c r="DQ620" s="1" t="s">
        <v>1557</v>
      </c>
      <c r="DR620" s="1" t="s">
        <v>229</v>
      </c>
      <c r="DV620" s="1" t="s">
        <v>7783</v>
      </c>
      <c r="DW620" s="1" t="s">
        <v>489</v>
      </c>
      <c r="DX620" s="1" t="s">
        <v>234</v>
      </c>
      <c r="DY620" s="1" t="s">
        <v>1006</v>
      </c>
      <c r="DZ620" s="1" t="s">
        <v>7784</v>
      </c>
      <c r="EA620" s="1" t="s">
        <v>283</v>
      </c>
      <c r="EB620" s="1" t="s">
        <v>345</v>
      </c>
      <c r="EC620" s="1" t="s">
        <v>237</v>
      </c>
      <c r="EG620" s="1" t="s">
        <v>1491</v>
      </c>
      <c r="EH620" s="1" t="s">
        <v>450</v>
      </c>
      <c r="EI620" s="1" t="s">
        <v>598</v>
      </c>
      <c r="EJ620" s="1" t="s">
        <v>1270</v>
      </c>
      <c r="EL620" s="1" t="s">
        <v>1746</v>
      </c>
      <c r="EM620" s="1" t="s">
        <v>206</v>
      </c>
      <c r="EN620" s="1" t="s">
        <v>588</v>
      </c>
      <c r="EO620" s="1" t="s">
        <v>229</v>
      </c>
      <c r="EP620" s="1" t="s">
        <v>1433</v>
      </c>
      <c r="EQ620" s="1" t="s">
        <v>267</v>
      </c>
      <c r="ER620" s="1" t="s">
        <v>268</v>
      </c>
      <c r="ES620" s="1" t="s">
        <v>1118</v>
      </c>
      <c r="ET620" s="1" t="s">
        <v>3594</v>
      </c>
      <c r="EU620" s="1" t="s">
        <v>267</v>
      </c>
      <c r="EV620" s="1" t="s">
        <v>268</v>
      </c>
      <c r="EW620" s="1" t="s">
        <v>1549</v>
      </c>
      <c r="EX620" s="1" t="s">
        <v>1746</v>
      </c>
      <c r="EY620" s="1" t="s">
        <v>267</v>
      </c>
      <c r="EZ620" s="1" t="s">
        <v>588</v>
      </c>
      <c r="FA620" s="1" t="s">
        <v>229</v>
      </c>
      <c r="FC620" s="1" t="s">
        <v>238</v>
      </c>
      <c r="FF620" s="1" t="s">
        <v>239</v>
      </c>
      <c r="FG620" s="1" t="s">
        <v>192</v>
      </c>
      <c r="FH620" s="1" t="s">
        <v>192</v>
      </c>
      <c r="FJ620" s="1" t="s">
        <v>7785</v>
      </c>
      <c r="FK620" s="1" t="s">
        <v>229</v>
      </c>
      <c r="FL620" s="1" t="s">
        <v>525</v>
      </c>
      <c r="FM620" s="1">
        <v>22029.0</v>
      </c>
      <c r="FN620" s="1" t="s">
        <v>526</v>
      </c>
      <c r="FO620" s="1" t="s">
        <v>7786</v>
      </c>
      <c r="FP620" s="1">
        <v>239864.0</v>
      </c>
      <c r="FQ620" s="1" t="s">
        <v>7787</v>
      </c>
      <c r="FU620" s="1" t="s">
        <v>7788</v>
      </c>
      <c r="FV620" s="1" t="s">
        <v>200</v>
      </c>
      <c r="FW620" s="1" t="s">
        <v>290</v>
      </c>
      <c r="FZ620" s="1" t="s">
        <v>632</v>
      </c>
      <c r="GA620" s="1" t="s">
        <v>291</v>
      </c>
      <c r="GB620" s="2">
        <v>42069.0</v>
      </c>
      <c r="GC620" s="1" t="s">
        <v>7789</v>
      </c>
    </row>
    <row r="621">
      <c r="A621" s="1">
        <v>265000.0</v>
      </c>
      <c r="B621" s="1" t="s">
        <v>185</v>
      </c>
      <c r="C621" s="1" t="str">
        <f>"08800575"</f>
        <v>08800575</v>
      </c>
      <c r="D621" s="1" t="s">
        <v>186</v>
      </c>
      <c r="F621" s="1" t="str">
        <f>"8020"</f>
        <v>8020</v>
      </c>
      <c r="G621" s="2">
        <v>41984.0</v>
      </c>
      <c r="H621" s="1">
        <v>260000.0</v>
      </c>
      <c r="I621" s="1">
        <v>23.0</v>
      </c>
      <c r="J621" s="1">
        <v>260000.0</v>
      </c>
      <c r="K621" s="2">
        <v>42006.0</v>
      </c>
      <c r="L621" s="1">
        <v>23.0</v>
      </c>
      <c r="M621" s="2">
        <v>42006.0</v>
      </c>
      <c r="N621" s="1" t="s">
        <v>187</v>
      </c>
      <c r="O621" s="2">
        <v>42060.0</v>
      </c>
      <c r="P621" s="1">
        <v>118250.0</v>
      </c>
      <c r="Q621" s="1">
        <v>10988.0</v>
      </c>
      <c r="S621" s="1">
        <v>2252.0</v>
      </c>
      <c r="T621" s="1" t="s">
        <v>4899</v>
      </c>
      <c r="U621" s="1" t="s">
        <v>189</v>
      </c>
      <c r="V621" s="1" t="s">
        <v>190</v>
      </c>
      <c r="W621" s="1">
        <v>60639.0</v>
      </c>
      <c r="Y621" s="1" t="s">
        <v>7790</v>
      </c>
      <c r="Z621" s="1" t="s">
        <v>296</v>
      </c>
      <c r="AA621" s="1" t="s">
        <v>192</v>
      </c>
      <c r="AB621" s="1" t="s">
        <v>193</v>
      </c>
      <c r="AD621" s="1" t="s">
        <v>194</v>
      </c>
      <c r="AE621" s="1" t="s">
        <v>195</v>
      </c>
      <c r="AF621" s="1" t="s">
        <v>196</v>
      </c>
      <c r="AH621" s="1" t="s">
        <v>1501</v>
      </c>
      <c r="AK621" s="1">
        <v>7.0</v>
      </c>
      <c r="AL621" s="1">
        <v>4.0</v>
      </c>
      <c r="AM621" s="1">
        <v>2.0</v>
      </c>
      <c r="AN621" s="1">
        <v>0.0</v>
      </c>
      <c r="AO621" s="1" t="s">
        <v>229</v>
      </c>
      <c r="AQ621" s="1" t="s">
        <v>198</v>
      </c>
      <c r="AR621" s="1" t="s">
        <v>200</v>
      </c>
      <c r="AS621" s="1" t="s">
        <v>199</v>
      </c>
      <c r="AT621" s="1">
        <v>2.0</v>
      </c>
      <c r="AV621" s="1" t="s">
        <v>200</v>
      </c>
      <c r="AW621" s="1">
        <v>3384.0</v>
      </c>
      <c r="AX621" s="1">
        <v>2013.0</v>
      </c>
      <c r="AY621" s="1" t="s">
        <v>387</v>
      </c>
      <c r="AZ621" s="1" t="s">
        <v>200</v>
      </c>
      <c r="BA621" s="1" t="str">
        <f>"13342140230000"</f>
        <v>13342140230000</v>
      </c>
      <c r="BC621" s="1">
        <v>0.0</v>
      </c>
      <c r="BD621" s="1">
        <v>265000.0</v>
      </c>
      <c r="BE621" s="2">
        <v>41984.0</v>
      </c>
      <c r="BF621" s="2" t="s">
        <v>7791</v>
      </c>
      <c r="BH621" s="1">
        <v>0.0</v>
      </c>
      <c r="BK621" s="1" t="s">
        <v>204</v>
      </c>
      <c r="BL621" s="1" t="str">
        <f>"2252"</f>
        <v>2252</v>
      </c>
      <c r="BM621" s="1" t="str">
        <f>"0"</f>
        <v>0</v>
      </c>
      <c r="BN621" s="1">
        <v>4100.0</v>
      </c>
      <c r="BO621" s="1">
        <v>0.0</v>
      </c>
      <c r="BQ621" s="1">
        <v>299.0</v>
      </c>
      <c r="BR621" s="1">
        <v>299.0</v>
      </c>
      <c r="BS621" s="1">
        <v>299.0</v>
      </c>
      <c r="BU621" s="1" t="s">
        <v>616</v>
      </c>
      <c r="BV621" s="1" t="s">
        <v>206</v>
      </c>
      <c r="BW621" s="1" t="s">
        <v>207</v>
      </c>
      <c r="BX621" s="1" t="s">
        <v>229</v>
      </c>
      <c r="BY621" s="1" t="s">
        <v>1426</v>
      </c>
      <c r="BZ621" s="1" t="s">
        <v>209</v>
      </c>
      <c r="CA621" s="1" t="s">
        <v>207</v>
      </c>
      <c r="CB621" s="1" t="s">
        <v>229</v>
      </c>
      <c r="CC621" s="1" t="s">
        <v>329</v>
      </c>
      <c r="CD621" s="1" t="s">
        <v>206</v>
      </c>
      <c r="CE621" s="1" t="s">
        <v>207</v>
      </c>
      <c r="CF621" s="1" t="s">
        <v>229</v>
      </c>
      <c r="CG621" s="1" t="s">
        <v>544</v>
      </c>
      <c r="CH621" s="1" t="s">
        <v>209</v>
      </c>
      <c r="CI621" s="1" t="s">
        <v>207</v>
      </c>
      <c r="CJ621" s="1" t="s">
        <v>229</v>
      </c>
      <c r="CK621" s="1" t="s">
        <v>700</v>
      </c>
      <c r="CL621" s="1" t="s">
        <v>206</v>
      </c>
      <c r="CM621" s="1" t="s">
        <v>207</v>
      </c>
      <c r="CN621" s="1" t="s">
        <v>229</v>
      </c>
      <c r="CO621" s="1" t="s">
        <v>264</v>
      </c>
      <c r="CP621" s="1" t="s">
        <v>206</v>
      </c>
      <c r="CQ621" s="1" t="s">
        <v>207</v>
      </c>
      <c r="CR621" s="1" t="s">
        <v>229</v>
      </c>
      <c r="CS621" s="1" t="s">
        <v>390</v>
      </c>
      <c r="CT621" s="1" t="s">
        <v>206</v>
      </c>
      <c r="CU621" s="1" t="s">
        <v>207</v>
      </c>
      <c r="CV621" s="1" t="s">
        <v>229</v>
      </c>
      <c r="CX621" s="1" t="s">
        <v>204</v>
      </c>
      <c r="DA621" s="1" t="s">
        <v>200</v>
      </c>
      <c r="DC621" s="1" t="s">
        <v>545</v>
      </c>
      <c r="DE621" s="1" t="s">
        <v>1905</v>
      </c>
      <c r="DF621" s="1" t="s">
        <v>219</v>
      </c>
      <c r="DH621" s="1" t="s">
        <v>365</v>
      </c>
      <c r="DI621" s="1" t="s">
        <v>519</v>
      </c>
      <c r="DJ621" s="1" t="s">
        <v>222</v>
      </c>
      <c r="DL621" s="1" t="s">
        <v>223</v>
      </c>
      <c r="DM621" s="1" t="s">
        <v>1464</v>
      </c>
      <c r="DQ621" s="1" t="s">
        <v>228</v>
      </c>
      <c r="DR621" s="1" t="s">
        <v>229</v>
      </c>
      <c r="DV621" s="1" t="s">
        <v>7792</v>
      </c>
      <c r="DW621" s="1" t="s">
        <v>279</v>
      </c>
      <c r="DX621" s="1" t="s">
        <v>234</v>
      </c>
      <c r="DY621" s="1" t="s">
        <v>704</v>
      </c>
      <c r="DZ621" s="1" t="s">
        <v>766</v>
      </c>
      <c r="EC621" s="1" t="s">
        <v>237</v>
      </c>
      <c r="ED621" s="1" t="s">
        <v>555</v>
      </c>
      <c r="EE621" s="1" t="s">
        <v>522</v>
      </c>
      <c r="EG621" s="1" t="s">
        <v>1102</v>
      </c>
      <c r="EH621" s="1" t="s">
        <v>310</v>
      </c>
      <c r="EK621" s="1" t="s">
        <v>1103</v>
      </c>
      <c r="EL621" s="1" t="s">
        <v>6126</v>
      </c>
      <c r="EM621" s="1" t="s">
        <v>206</v>
      </c>
      <c r="EN621" s="1" t="s">
        <v>207</v>
      </c>
      <c r="EO621" s="1" t="s">
        <v>229</v>
      </c>
      <c r="EP621" s="1" t="s">
        <v>559</v>
      </c>
      <c r="EQ621" s="1" t="s">
        <v>206</v>
      </c>
      <c r="EU621" s="1" t="s">
        <v>238</v>
      </c>
      <c r="EY621" s="1" t="s">
        <v>238</v>
      </c>
      <c r="FB621" s="1" t="s">
        <v>495</v>
      </c>
      <c r="FC621" s="1" t="s">
        <v>42</v>
      </c>
      <c r="FF621" s="1" t="s">
        <v>239</v>
      </c>
      <c r="FG621" s="1" t="s">
        <v>192</v>
      </c>
      <c r="FH621" s="1" t="s">
        <v>192</v>
      </c>
      <c r="FJ621" s="1" t="s">
        <v>799</v>
      </c>
      <c r="FK621" s="1" t="s">
        <v>229</v>
      </c>
      <c r="FL621" s="1" t="s">
        <v>3156</v>
      </c>
      <c r="FM621" s="1">
        <v>84729.0</v>
      </c>
      <c r="FN621" s="1" t="s">
        <v>3157</v>
      </c>
      <c r="FO621" s="1" t="s">
        <v>7793</v>
      </c>
      <c r="FP621" s="1">
        <v>159036.0</v>
      </c>
      <c r="FQ621" s="1" t="s">
        <v>7794</v>
      </c>
      <c r="FU621" s="1" t="s">
        <v>7795</v>
      </c>
      <c r="FV621" s="1" t="s">
        <v>200</v>
      </c>
      <c r="FW621" s="1" t="s">
        <v>530</v>
      </c>
      <c r="FX621" s="1" t="s">
        <v>238</v>
      </c>
      <c r="FZ621" s="1" t="s">
        <v>229</v>
      </c>
      <c r="GA621" s="1" t="s">
        <v>291</v>
      </c>
      <c r="GB621" s="2">
        <v>42060.0</v>
      </c>
      <c r="GC621" s="1" t="s">
        <v>7796</v>
      </c>
    </row>
    <row r="622">
      <c r="A622" s="1">
        <v>319000.0</v>
      </c>
      <c r="B622" s="1" t="s">
        <v>185</v>
      </c>
      <c r="C622" s="1" t="str">
        <f>"08797382"</f>
        <v>08797382</v>
      </c>
      <c r="D622" s="1" t="s">
        <v>186</v>
      </c>
      <c r="F622" s="1" t="str">
        <f>"8042"</f>
        <v>8042</v>
      </c>
      <c r="G622" s="2">
        <v>41978.0</v>
      </c>
      <c r="H622" s="1">
        <v>319900.0</v>
      </c>
      <c r="I622" s="1">
        <v>335.0</v>
      </c>
      <c r="J622" s="1">
        <v>319900.0</v>
      </c>
      <c r="K622" s="2">
        <v>42072.0</v>
      </c>
      <c r="L622" s="1">
        <v>95.0</v>
      </c>
      <c r="M622" s="2">
        <v>42072.0</v>
      </c>
      <c r="N622" s="1" t="s">
        <v>187</v>
      </c>
      <c r="O622" s="2">
        <v>42117.0</v>
      </c>
      <c r="P622" s="1">
        <v>113209.0</v>
      </c>
      <c r="Q622" s="1">
        <v>84992.0</v>
      </c>
      <c r="S622" s="1">
        <v>6651.0</v>
      </c>
      <c r="T622" s="1" t="s">
        <v>7797</v>
      </c>
      <c r="U622" s="1" t="s">
        <v>189</v>
      </c>
      <c r="V622" s="1" t="s">
        <v>190</v>
      </c>
      <c r="W622" s="1">
        <v>60637.0</v>
      </c>
      <c r="Y622" s="1" t="s">
        <v>7798</v>
      </c>
      <c r="Z622" s="1">
        <v>1904.0</v>
      </c>
      <c r="AA622" s="1" t="s">
        <v>192</v>
      </c>
      <c r="AB622" s="1" t="s">
        <v>193</v>
      </c>
      <c r="AD622" s="1" t="s">
        <v>194</v>
      </c>
      <c r="AE622" s="1" t="s">
        <v>195</v>
      </c>
      <c r="AF622" s="1" t="s">
        <v>637</v>
      </c>
      <c r="AG622" s="1" t="s">
        <v>7799</v>
      </c>
      <c r="AH622" s="1" t="s">
        <v>6502</v>
      </c>
      <c r="AK622" s="1">
        <v>9.0</v>
      </c>
      <c r="AL622" s="1">
        <v>4.0</v>
      </c>
      <c r="AM622" s="1">
        <v>3.0</v>
      </c>
      <c r="AN622" s="1">
        <v>1.0</v>
      </c>
      <c r="AO622" s="1" t="s">
        <v>198</v>
      </c>
      <c r="AP622" s="1">
        <v>1.0</v>
      </c>
      <c r="AQ622" s="1" t="s">
        <v>198</v>
      </c>
      <c r="AR622" s="1" t="s">
        <v>192</v>
      </c>
      <c r="AS622" s="1" t="s">
        <v>199</v>
      </c>
      <c r="AT622" s="1">
        <v>2.0</v>
      </c>
      <c r="AV622" s="1" t="s">
        <v>200</v>
      </c>
      <c r="AW622" s="4">
        <v>1917.13</v>
      </c>
      <c r="AX622" s="1">
        <v>2013.0</v>
      </c>
      <c r="AY622" s="1" t="s">
        <v>229</v>
      </c>
      <c r="AZ622" s="1" t="s">
        <v>200</v>
      </c>
      <c r="BA622" s="1" t="str">
        <f>"20231260210000"</f>
        <v>20231260210000</v>
      </c>
      <c r="BC622" s="1">
        <v>1452.0</v>
      </c>
      <c r="BD622" s="1">
        <v>319000.0</v>
      </c>
      <c r="BE622" s="2">
        <v>41978.0</v>
      </c>
      <c r="BF622" s="2" t="s">
        <v>7800</v>
      </c>
      <c r="BH622" s="1">
        <v>0.0</v>
      </c>
      <c r="BK622" s="1" t="s">
        <v>204</v>
      </c>
      <c r="BL622" s="1" t="str">
        <f t="shared" ref="BL622:BL623" si="417">"0"</f>
        <v>0</v>
      </c>
      <c r="BM622" s="1" t="str">
        <f>"1100"</f>
        <v>1100</v>
      </c>
      <c r="BN622" s="1">
        <v>0.0</v>
      </c>
      <c r="BO622" s="1">
        <v>6651.0</v>
      </c>
      <c r="BQ622" s="1">
        <v>299.0</v>
      </c>
      <c r="BR622" s="1">
        <v>299.0</v>
      </c>
      <c r="BS622" s="1">
        <v>299.0</v>
      </c>
      <c r="BU622" s="1" t="s">
        <v>331</v>
      </c>
      <c r="BV622" s="1" t="s">
        <v>206</v>
      </c>
      <c r="BW622" s="1" t="s">
        <v>207</v>
      </c>
      <c r="BX622" s="1" t="s">
        <v>229</v>
      </c>
      <c r="BY622" s="1" t="s">
        <v>331</v>
      </c>
      <c r="BZ622" s="1" t="s">
        <v>209</v>
      </c>
      <c r="CA622" s="1" t="s">
        <v>210</v>
      </c>
      <c r="CB622" s="1" t="s">
        <v>229</v>
      </c>
      <c r="CC622" s="1" t="s">
        <v>495</v>
      </c>
      <c r="CD622" s="1" t="s">
        <v>206</v>
      </c>
      <c r="CE622" s="1" t="s">
        <v>207</v>
      </c>
      <c r="CF622" s="1" t="s">
        <v>229</v>
      </c>
      <c r="CG622" s="1" t="s">
        <v>699</v>
      </c>
      <c r="CH622" s="1" t="s">
        <v>209</v>
      </c>
      <c r="CI622" s="1" t="s">
        <v>210</v>
      </c>
      <c r="CJ622" s="1" t="s">
        <v>229</v>
      </c>
      <c r="CK622" s="1" t="s">
        <v>495</v>
      </c>
      <c r="CL622" s="1" t="s">
        <v>267</v>
      </c>
      <c r="CM622" s="1" t="s">
        <v>210</v>
      </c>
      <c r="CN622" s="1" t="s">
        <v>229</v>
      </c>
      <c r="CO622" s="1" t="s">
        <v>265</v>
      </c>
      <c r="CP622" s="1" t="s">
        <v>209</v>
      </c>
      <c r="CQ622" s="1" t="s">
        <v>210</v>
      </c>
      <c r="CS622" s="1" t="s">
        <v>582</v>
      </c>
      <c r="CT622" s="1" t="s">
        <v>206</v>
      </c>
      <c r="CU622" s="1" t="s">
        <v>207</v>
      </c>
      <c r="CV622" s="1" t="s">
        <v>229</v>
      </c>
      <c r="CW622" s="1" t="s">
        <v>904</v>
      </c>
      <c r="CX622" s="1" t="s">
        <v>206</v>
      </c>
      <c r="CY622" s="1" t="s">
        <v>207</v>
      </c>
      <c r="DA622" s="1" t="s">
        <v>200</v>
      </c>
      <c r="DC622" s="1" t="s">
        <v>642</v>
      </c>
      <c r="DD622" s="1" t="s">
        <v>759</v>
      </c>
      <c r="DE622" s="1" t="s">
        <v>273</v>
      </c>
      <c r="DF622" s="1" t="s">
        <v>619</v>
      </c>
      <c r="DG622" s="1" t="s">
        <v>337</v>
      </c>
      <c r="DH622" s="1" t="s">
        <v>220</v>
      </c>
      <c r="DI622" s="1" t="s">
        <v>366</v>
      </c>
      <c r="DJ622" s="1" t="s">
        <v>222</v>
      </c>
      <c r="DL622" s="1" t="s">
        <v>224</v>
      </c>
      <c r="DM622" s="1" t="s">
        <v>1402</v>
      </c>
      <c r="DN622" s="1" t="s">
        <v>339</v>
      </c>
      <c r="DO622" s="1" t="s">
        <v>717</v>
      </c>
      <c r="DP622" s="1" t="s">
        <v>340</v>
      </c>
      <c r="DQ622" s="1" t="s">
        <v>228</v>
      </c>
      <c r="DR622" s="1" t="s">
        <v>229</v>
      </c>
      <c r="DS622" s="1" t="s">
        <v>230</v>
      </c>
      <c r="DU622" s="1" t="s">
        <v>7801</v>
      </c>
      <c r="DV622" s="1" t="s">
        <v>7802</v>
      </c>
      <c r="DW622" s="1" t="s">
        <v>279</v>
      </c>
      <c r="DX622" s="1" t="s">
        <v>234</v>
      </c>
      <c r="DY622" s="1" t="s">
        <v>935</v>
      </c>
      <c r="DZ622" s="1" t="s">
        <v>491</v>
      </c>
      <c r="EA622" s="1" t="s">
        <v>644</v>
      </c>
      <c r="EB622" s="1" t="s">
        <v>7803</v>
      </c>
      <c r="EC622" s="1" t="s">
        <v>645</v>
      </c>
      <c r="ED622" s="1" t="s">
        <v>407</v>
      </c>
      <c r="EE622" s="1" t="s">
        <v>493</v>
      </c>
      <c r="EG622" s="1" t="s">
        <v>494</v>
      </c>
      <c r="EH622" s="1" t="s">
        <v>408</v>
      </c>
      <c r="EI622" s="1" t="s">
        <v>310</v>
      </c>
      <c r="EJ622" s="1" t="s">
        <v>588</v>
      </c>
      <c r="EL622" s="1" t="s">
        <v>213</v>
      </c>
      <c r="EM622" s="1" t="s">
        <v>267</v>
      </c>
      <c r="EN622" s="1" t="s">
        <v>210</v>
      </c>
      <c r="EP622" s="1" t="s">
        <v>7804</v>
      </c>
      <c r="EQ622" s="1" t="s">
        <v>206</v>
      </c>
      <c r="ER622" s="1" t="s">
        <v>207</v>
      </c>
      <c r="ET622" s="1" t="s">
        <v>5992</v>
      </c>
      <c r="EU622" s="1" t="s">
        <v>206</v>
      </c>
      <c r="EV622" s="1" t="s">
        <v>207</v>
      </c>
      <c r="EX622" s="1" t="s">
        <v>2613</v>
      </c>
      <c r="EY622" s="1" t="s">
        <v>206</v>
      </c>
      <c r="EZ622" s="1" t="s">
        <v>207</v>
      </c>
      <c r="FC622" s="1" t="s">
        <v>238</v>
      </c>
      <c r="FF622" s="1" t="s">
        <v>239</v>
      </c>
      <c r="FG622" s="1" t="s">
        <v>192</v>
      </c>
      <c r="FH622" s="1" t="s">
        <v>192</v>
      </c>
      <c r="FJ622" s="1" t="s">
        <v>733</v>
      </c>
      <c r="FK622" s="1" t="s">
        <v>229</v>
      </c>
      <c r="FL622" s="1" t="s">
        <v>2469</v>
      </c>
      <c r="FM622" s="1">
        <v>84992.0</v>
      </c>
      <c r="FN622" s="1" t="s">
        <v>2470</v>
      </c>
      <c r="FO622" s="1" t="s">
        <v>2471</v>
      </c>
      <c r="FP622" s="1">
        <v>113209.0</v>
      </c>
      <c r="FQ622" s="1" t="s">
        <v>2472</v>
      </c>
      <c r="FU622" s="1" t="s">
        <v>7805</v>
      </c>
      <c r="FV622" s="1" t="s">
        <v>200</v>
      </c>
      <c r="FW622" s="1" t="s">
        <v>290</v>
      </c>
      <c r="FX622" s="1" t="s">
        <v>655</v>
      </c>
      <c r="FZ622" s="1" t="s">
        <v>229</v>
      </c>
      <c r="GA622" s="1" t="s">
        <v>291</v>
      </c>
      <c r="GB622" s="2">
        <v>42135.0</v>
      </c>
      <c r="GC622" s="1" t="s">
        <v>7806</v>
      </c>
    </row>
    <row r="623">
      <c r="A623" s="1">
        <v>162500.0</v>
      </c>
      <c r="B623" s="1" t="s">
        <v>185</v>
      </c>
      <c r="C623" s="1" t="str">
        <f>"08799694"</f>
        <v>08799694</v>
      </c>
      <c r="D623" s="1" t="s">
        <v>186</v>
      </c>
      <c r="F623" s="1" t="str">
        <f>"8062"</f>
        <v>8062</v>
      </c>
      <c r="G623" s="2">
        <v>41982.0</v>
      </c>
      <c r="H623" s="1">
        <v>177900.0</v>
      </c>
      <c r="I623" s="1">
        <v>103.0</v>
      </c>
      <c r="J623" s="1">
        <v>164900.0</v>
      </c>
      <c r="K623" s="2">
        <v>42084.0</v>
      </c>
      <c r="L623" s="1">
        <v>103.0</v>
      </c>
      <c r="M623" s="2">
        <v>42084.0</v>
      </c>
      <c r="N623" s="1" t="s">
        <v>187</v>
      </c>
      <c r="O623" s="2">
        <v>42124.0</v>
      </c>
      <c r="P623" s="1">
        <v>131980.0</v>
      </c>
      <c r="Q623" s="1">
        <v>12555.0</v>
      </c>
      <c r="R623" s="1">
        <v>3.0</v>
      </c>
      <c r="S623" s="1">
        <v>5444.0</v>
      </c>
      <c r="T623" s="1" t="s">
        <v>5076</v>
      </c>
      <c r="U623" s="1" t="s">
        <v>189</v>
      </c>
      <c r="V623" s="1" t="s">
        <v>190</v>
      </c>
      <c r="W623" s="1">
        <v>60632.0</v>
      </c>
      <c r="Y623" s="1" t="s">
        <v>7807</v>
      </c>
      <c r="Z623" s="1">
        <v>1953.0</v>
      </c>
      <c r="AA623" s="1" t="s">
        <v>192</v>
      </c>
      <c r="AB623" s="1" t="s">
        <v>193</v>
      </c>
      <c r="AD623" s="1" t="s">
        <v>194</v>
      </c>
      <c r="AE623" s="1" t="s">
        <v>195</v>
      </c>
      <c r="AF623" s="1" t="s">
        <v>827</v>
      </c>
      <c r="AH623" s="1" t="s">
        <v>7808</v>
      </c>
      <c r="AI623" s="1">
        <v>0.0865</v>
      </c>
      <c r="AK623" s="1">
        <v>8.0</v>
      </c>
      <c r="AL623" s="1">
        <v>4.0</v>
      </c>
      <c r="AM623" s="1">
        <v>1.0</v>
      </c>
      <c r="AN623" s="1">
        <v>0.0</v>
      </c>
      <c r="AO623" s="1" t="s">
        <v>229</v>
      </c>
      <c r="AQ623" s="1" t="s">
        <v>198</v>
      </c>
      <c r="AR623" s="1" t="s">
        <v>200</v>
      </c>
      <c r="AS623" s="1" t="s">
        <v>199</v>
      </c>
      <c r="AT623" s="1">
        <v>2.0</v>
      </c>
      <c r="AV623" s="1" t="s">
        <v>200</v>
      </c>
      <c r="AW623" s="1">
        <v>486.18</v>
      </c>
      <c r="AX623" s="1">
        <v>2013.0</v>
      </c>
      <c r="AY623" s="1" t="s">
        <v>1917</v>
      </c>
      <c r="AZ623" s="1" t="s">
        <v>200</v>
      </c>
      <c r="BA623" s="1" t="str">
        <f>"19103260300000"</f>
        <v>19103260300000</v>
      </c>
      <c r="BC623" s="1">
        <v>1108.0</v>
      </c>
      <c r="BD623" s="1">
        <v>162500.0</v>
      </c>
      <c r="BE623" s="2">
        <v>41982.0</v>
      </c>
      <c r="BF623" s="2" t="s">
        <v>7809</v>
      </c>
      <c r="BH623" s="1">
        <v>0.0</v>
      </c>
      <c r="BK623" s="1" t="s">
        <v>204</v>
      </c>
      <c r="BL623" s="1" t="str">
        <f t="shared" si="417"/>
        <v>0</v>
      </c>
      <c r="BM623" s="1" t="str">
        <f t="shared" ref="BM623:BM624" si="418">"0"</f>
        <v>0</v>
      </c>
      <c r="BN623" s="1">
        <v>4400.0</v>
      </c>
      <c r="BO623" s="1">
        <v>5400.0</v>
      </c>
      <c r="BQ623" s="1">
        <v>299.0</v>
      </c>
      <c r="BR623" s="1">
        <v>299.0</v>
      </c>
      <c r="BS623" s="1">
        <v>299.0</v>
      </c>
      <c r="BU623" s="1" t="s">
        <v>677</v>
      </c>
      <c r="BV623" s="1" t="s">
        <v>206</v>
      </c>
      <c r="BW623" s="1" t="s">
        <v>210</v>
      </c>
      <c r="BX623" s="1" t="s">
        <v>239</v>
      </c>
      <c r="BY623" s="1" t="s">
        <v>2082</v>
      </c>
      <c r="BZ623" s="1" t="s">
        <v>206</v>
      </c>
      <c r="CA623" s="1" t="s">
        <v>210</v>
      </c>
      <c r="CB623" s="1" t="s">
        <v>239</v>
      </c>
      <c r="CC623" s="1" t="s">
        <v>542</v>
      </c>
      <c r="CD623" s="1" t="s">
        <v>206</v>
      </c>
      <c r="CG623" s="1" t="s">
        <v>300</v>
      </c>
      <c r="CH623" s="1" t="s">
        <v>206</v>
      </c>
      <c r="CI623" s="1" t="s">
        <v>210</v>
      </c>
      <c r="CJ623" s="1" t="s">
        <v>239</v>
      </c>
      <c r="CK623" s="1" t="s">
        <v>300</v>
      </c>
      <c r="CL623" s="1" t="s">
        <v>209</v>
      </c>
      <c r="CM623" s="1" t="s">
        <v>210</v>
      </c>
      <c r="CN623" s="1" t="s">
        <v>239</v>
      </c>
      <c r="CO623" s="1" t="s">
        <v>300</v>
      </c>
      <c r="CP623" s="1" t="s">
        <v>209</v>
      </c>
      <c r="CQ623" s="1" t="s">
        <v>588</v>
      </c>
      <c r="CR623" s="1" t="s">
        <v>239</v>
      </c>
      <c r="CS623" s="1" t="s">
        <v>677</v>
      </c>
      <c r="CT623" s="1" t="s">
        <v>206</v>
      </c>
      <c r="CU623" s="1" t="s">
        <v>588</v>
      </c>
      <c r="CV623" s="1" t="s">
        <v>239</v>
      </c>
      <c r="CW623" s="1" t="s">
        <v>1518</v>
      </c>
      <c r="CX623" s="1" t="s">
        <v>42</v>
      </c>
      <c r="CY623" s="1" t="s">
        <v>588</v>
      </c>
      <c r="CZ623" s="1" t="s">
        <v>239</v>
      </c>
      <c r="DA623" s="1" t="s">
        <v>200</v>
      </c>
      <c r="DC623" s="1" t="s">
        <v>702</v>
      </c>
      <c r="DD623" s="1" t="s">
        <v>518</v>
      </c>
      <c r="DE623" s="1" t="s">
        <v>273</v>
      </c>
      <c r="DF623" s="1" t="s">
        <v>219</v>
      </c>
      <c r="DG623" s="1" t="s">
        <v>482</v>
      </c>
      <c r="DH623" s="1" t="s">
        <v>307</v>
      </c>
      <c r="DI623" s="1" t="s">
        <v>1463</v>
      </c>
      <c r="DJ623" s="1" t="s">
        <v>222</v>
      </c>
      <c r="DK623" s="1" t="s">
        <v>790</v>
      </c>
      <c r="DL623" s="1" t="s">
        <v>858</v>
      </c>
      <c r="DM623" s="1" t="s">
        <v>1919</v>
      </c>
      <c r="DO623" s="1" t="s">
        <v>549</v>
      </c>
      <c r="DQ623" s="1" t="s">
        <v>228</v>
      </c>
      <c r="DR623" s="1" t="s">
        <v>229</v>
      </c>
      <c r="DS623" s="1" t="s">
        <v>230</v>
      </c>
      <c r="DV623" s="1" t="s">
        <v>232</v>
      </c>
      <c r="DW623" s="1" t="s">
        <v>279</v>
      </c>
      <c r="DX623" s="1" t="s">
        <v>309</v>
      </c>
      <c r="DY623" s="1" t="s">
        <v>553</v>
      </c>
      <c r="DZ623" s="1" t="s">
        <v>405</v>
      </c>
      <c r="EA623" s="1" t="s">
        <v>1075</v>
      </c>
      <c r="EC623" s="1" t="s">
        <v>645</v>
      </c>
      <c r="EE623" s="1" t="s">
        <v>493</v>
      </c>
      <c r="EM623" s="1" t="s">
        <v>238</v>
      </c>
      <c r="EQ623" s="1" t="s">
        <v>238</v>
      </c>
      <c r="EU623" s="1" t="s">
        <v>238</v>
      </c>
      <c r="EY623" s="1" t="s">
        <v>238</v>
      </c>
      <c r="FC623" s="1" t="s">
        <v>238</v>
      </c>
      <c r="FF623" s="1" t="s">
        <v>239</v>
      </c>
      <c r="FG623" s="1" t="s">
        <v>192</v>
      </c>
      <c r="FH623" s="1" t="s">
        <v>192</v>
      </c>
      <c r="FJ623" s="1" t="s">
        <v>1573</v>
      </c>
      <c r="FK623" s="1" t="s">
        <v>229</v>
      </c>
      <c r="FL623" s="1" t="s">
        <v>2111</v>
      </c>
      <c r="FM623" s="1">
        <v>12555.0</v>
      </c>
      <c r="FN623" s="1" t="s">
        <v>2112</v>
      </c>
      <c r="FO623" s="1" t="s">
        <v>7810</v>
      </c>
      <c r="FP623" s="1">
        <v>153399.0</v>
      </c>
      <c r="FQ623" s="1" t="s">
        <v>7811</v>
      </c>
      <c r="FU623" s="1" t="s">
        <v>1438</v>
      </c>
      <c r="FV623" s="1" t="s">
        <v>200</v>
      </c>
      <c r="FW623" s="1" t="s">
        <v>290</v>
      </c>
      <c r="FX623" s="1" t="s">
        <v>655</v>
      </c>
      <c r="FZ623" s="1" t="s">
        <v>229</v>
      </c>
      <c r="GA623" s="1" t="s">
        <v>291</v>
      </c>
      <c r="GB623" s="2">
        <v>42124.0</v>
      </c>
      <c r="GC623" s="1" t="s">
        <v>7812</v>
      </c>
    </row>
    <row r="624">
      <c r="A624" s="1">
        <v>895048.0</v>
      </c>
      <c r="B624" s="1" t="s">
        <v>185</v>
      </c>
      <c r="C624" s="1" t="str">
        <f>"08800483"</f>
        <v>08800483</v>
      </c>
      <c r="D624" s="1" t="s">
        <v>186</v>
      </c>
      <c r="F624" s="1" t="str">
        <f>"8009"</f>
        <v>8009</v>
      </c>
      <c r="G624" s="2">
        <v>41984.0</v>
      </c>
      <c r="H624" s="1">
        <v>899000.0</v>
      </c>
      <c r="I624" s="1">
        <v>1.0</v>
      </c>
      <c r="J624" s="1">
        <v>899000.0</v>
      </c>
      <c r="K624" s="2">
        <v>41983.0</v>
      </c>
      <c r="L624" s="1">
        <v>1.0</v>
      </c>
      <c r="M624" s="2">
        <v>41983.0</v>
      </c>
      <c r="N624" s="1" t="s">
        <v>187</v>
      </c>
      <c r="O624" s="2">
        <v>42010.0</v>
      </c>
      <c r="P624" s="1">
        <v>99999.0</v>
      </c>
      <c r="Q624" s="1" t="s">
        <v>947</v>
      </c>
      <c r="S624" s="1">
        <v>6850.0</v>
      </c>
      <c r="T624" s="1" t="s">
        <v>7813</v>
      </c>
      <c r="U624" s="1" t="s">
        <v>189</v>
      </c>
      <c r="V624" s="1" t="s">
        <v>190</v>
      </c>
      <c r="W624" s="1">
        <v>60631.0</v>
      </c>
      <c r="Y624" s="1" t="s">
        <v>7814</v>
      </c>
      <c r="Z624" s="1">
        <v>2014.0</v>
      </c>
      <c r="AA624" s="1" t="s">
        <v>200</v>
      </c>
      <c r="AB624" s="1" t="s">
        <v>193</v>
      </c>
      <c r="AD624" s="1" t="s">
        <v>194</v>
      </c>
      <c r="AE624" s="1" t="s">
        <v>195</v>
      </c>
      <c r="AF624" s="1" t="s">
        <v>196</v>
      </c>
      <c r="AH624" s="1" t="s">
        <v>7815</v>
      </c>
      <c r="AI624" s="1">
        <v>0.0</v>
      </c>
      <c r="AK624" s="1">
        <v>11.0</v>
      </c>
      <c r="AL624" s="1">
        <v>4.0</v>
      </c>
      <c r="AM624" s="1">
        <v>4.0</v>
      </c>
      <c r="AN624" s="1">
        <v>1.0</v>
      </c>
      <c r="AO624" s="1" t="s">
        <v>198</v>
      </c>
      <c r="AQ624" s="1" t="s">
        <v>198</v>
      </c>
      <c r="AR624" s="1" t="s">
        <v>192</v>
      </c>
      <c r="AS624" s="1" t="s">
        <v>199</v>
      </c>
      <c r="AT624" s="1">
        <v>3.0</v>
      </c>
      <c r="AV624" s="1" t="s">
        <v>200</v>
      </c>
      <c r="AW624" s="1">
        <v>1712.37</v>
      </c>
      <c r="AX624" s="1">
        <v>2013.0</v>
      </c>
      <c r="AY624" s="1" t="s">
        <v>229</v>
      </c>
      <c r="AZ624" s="1" t="s">
        <v>200</v>
      </c>
      <c r="BA624" s="1" t="str">
        <f>"09362250180000"</f>
        <v>09362250180000</v>
      </c>
      <c r="BB624" s="1" t="s">
        <v>200</v>
      </c>
      <c r="BC624" s="1">
        <v>0.0</v>
      </c>
      <c r="BD624" s="1">
        <v>895048.0</v>
      </c>
      <c r="BE624" s="2">
        <v>41983.0</v>
      </c>
      <c r="BF624" s="1" t="s">
        <v>7816</v>
      </c>
      <c r="BG624" s="1" t="s">
        <v>2632</v>
      </c>
      <c r="BH624" s="1">
        <v>0.0</v>
      </c>
      <c r="BI624" s="1" t="s">
        <v>2632</v>
      </c>
      <c r="BJ624" s="1" t="s">
        <v>1222</v>
      </c>
      <c r="BK624" s="1" t="s">
        <v>204</v>
      </c>
      <c r="BL624" s="1" t="str">
        <f>"6850"</f>
        <v>6850</v>
      </c>
      <c r="BM624" s="1" t="str">
        <f t="shared" si="418"/>
        <v>0</v>
      </c>
      <c r="BN624" s="1">
        <v>7450.0</v>
      </c>
      <c r="BO624" s="1">
        <v>0.0</v>
      </c>
      <c r="BQ624" s="1">
        <v>299.0</v>
      </c>
      <c r="BR624" s="1">
        <v>299.0</v>
      </c>
      <c r="BS624" s="1">
        <v>299.0</v>
      </c>
      <c r="BU624" s="1" t="s">
        <v>212</v>
      </c>
      <c r="BV624" s="1" t="s">
        <v>206</v>
      </c>
      <c r="BW624" s="1" t="s">
        <v>207</v>
      </c>
      <c r="BY624" s="1" t="s">
        <v>639</v>
      </c>
      <c r="BZ624" s="1" t="s">
        <v>209</v>
      </c>
      <c r="CA624" s="1" t="s">
        <v>207</v>
      </c>
      <c r="CC624" s="1" t="s">
        <v>329</v>
      </c>
      <c r="CD624" s="1" t="s">
        <v>206</v>
      </c>
      <c r="CE624" s="1" t="s">
        <v>207</v>
      </c>
      <c r="CG624" s="1" t="s">
        <v>212</v>
      </c>
      <c r="CH624" s="1" t="s">
        <v>209</v>
      </c>
      <c r="CI624" s="1" t="s">
        <v>207</v>
      </c>
      <c r="CK624" s="1" t="s">
        <v>332</v>
      </c>
      <c r="CL624" s="1" t="s">
        <v>209</v>
      </c>
      <c r="CM624" s="1" t="s">
        <v>207</v>
      </c>
      <c r="CO624" s="1" t="s">
        <v>212</v>
      </c>
      <c r="CP624" s="1" t="s">
        <v>209</v>
      </c>
      <c r="CQ624" s="1" t="s">
        <v>207</v>
      </c>
      <c r="CS624" s="1" t="s">
        <v>213</v>
      </c>
      <c r="CT624" s="1" t="s">
        <v>206</v>
      </c>
      <c r="CU624" s="1" t="s">
        <v>207</v>
      </c>
      <c r="CW624" s="1" t="s">
        <v>2120</v>
      </c>
      <c r="CX624" s="1" t="s">
        <v>206</v>
      </c>
      <c r="CY624" s="1" t="s">
        <v>207</v>
      </c>
      <c r="DA624" s="1" t="s">
        <v>192</v>
      </c>
      <c r="DB624" s="2">
        <v>42010.0</v>
      </c>
      <c r="DC624" s="1" t="s">
        <v>1353</v>
      </c>
      <c r="DD624" s="1" t="s">
        <v>518</v>
      </c>
      <c r="DE624" s="1" t="s">
        <v>273</v>
      </c>
      <c r="DF624" s="1" t="s">
        <v>619</v>
      </c>
      <c r="DG624" s="1" t="s">
        <v>2311</v>
      </c>
      <c r="DH624" s="1" t="s">
        <v>365</v>
      </c>
      <c r="DI624" s="1" t="s">
        <v>7817</v>
      </c>
      <c r="DJ624" s="1" t="s">
        <v>222</v>
      </c>
      <c r="DL624" s="1" t="s">
        <v>224</v>
      </c>
      <c r="DM624" s="1" t="s">
        <v>1464</v>
      </c>
      <c r="DN624" s="1" t="s">
        <v>399</v>
      </c>
      <c r="DO624" s="1" t="s">
        <v>549</v>
      </c>
      <c r="DP624" s="1" t="s">
        <v>340</v>
      </c>
      <c r="DQ624" s="1" t="s">
        <v>794</v>
      </c>
      <c r="DR624" s="1" t="s">
        <v>229</v>
      </c>
      <c r="DS624" s="1" t="s">
        <v>368</v>
      </c>
      <c r="DV624" s="1" t="s">
        <v>7818</v>
      </c>
      <c r="DW624" s="1" t="s">
        <v>7819</v>
      </c>
      <c r="DX624" s="1" t="s">
        <v>234</v>
      </c>
      <c r="DY624" s="1" t="s">
        <v>2972</v>
      </c>
      <c r="DZ624" s="1" t="s">
        <v>236</v>
      </c>
      <c r="EA624" s="1" t="s">
        <v>344</v>
      </c>
      <c r="EC624" s="1" t="s">
        <v>237</v>
      </c>
      <c r="ED624" s="1" t="s">
        <v>555</v>
      </c>
      <c r="EE624" s="1" t="s">
        <v>187</v>
      </c>
      <c r="EG624" s="1" t="s">
        <v>450</v>
      </c>
      <c r="EH624" s="1" t="s">
        <v>409</v>
      </c>
      <c r="EI624" s="1" t="s">
        <v>1103</v>
      </c>
      <c r="EJ624" s="1" t="s">
        <v>409</v>
      </c>
      <c r="EK624" s="1" t="s">
        <v>1824</v>
      </c>
      <c r="EL624" s="1" t="s">
        <v>7820</v>
      </c>
      <c r="EM624" s="1" t="s">
        <v>42</v>
      </c>
      <c r="EN624" s="1" t="s">
        <v>2128</v>
      </c>
      <c r="EP624" s="1" t="s">
        <v>7821</v>
      </c>
      <c r="EQ624" s="1" t="s">
        <v>209</v>
      </c>
      <c r="ER624" s="1" t="s">
        <v>207</v>
      </c>
      <c r="ET624" s="1" t="s">
        <v>329</v>
      </c>
      <c r="EU624" s="1" t="s">
        <v>42</v>
      </c>
      <c r="EV624" s="1" t="s">
        <v>268</v>
      </c>
      <c r="EX624" s="1" t="s">
        <v>6287</v>
      </c>
      <c r="EY624" s="1" t="s">
        <v>209</v>
      </c>
      <c r="EZ624" s="1" t="s">
        <v>207</v>
      </c>
      <c r="FB624" s="1" t="s">
        <v>1158</v>
      </c>
      <c r="FC624" s="1" t="s">
        <v>42</v>
      </c>
      <c r="FD624" s="1" t="s">
        <v>210</v>
      </c>
      <c r="FF624" s="1" t="s">
        <v>229</v>
      </c>
      <c r="FG624" s="1" t="s">
        <v>200</v>
      </c>
      <c r="FH624" s="1" t="s">
        <v>200</v>
      </c>
      <c r="FJ624" s="1" t="s">
        <v>3263</v>
      </c>
      <c r="FK624" s="1" t="s">
        <v>229</v>
      </c>
      <c r="FL624" s="1" t="s">
        <v>1663</v>
      </c>
      <c r="FM624" s="1">
        <v>17299.0</v>
      </c>
      <c r="FN624" s="1" t="s">
        <v>1664</v>
      </c>
      <c r="FO624" s="1" t="s">
        <v>7822</v>
      </c>
      <c r="FP624" s="1">
        <v>154355.0</v>
      </c>
      <c r="FQ624" s="1" t="s">
        <v>7823</v>
      </c>
      <c r="FU624" s="1" t="s">
        <v>7824</v>
      </c>
      <c r="FV624" s="1" t="s">
        <v>200</v>
      </c>
      <c r="FW624" s="1" t="s">
        <v>290</v>
      </c>
      <c r="FX624" s="1" t="s">
        <v>238</v>
      </c>
      <c r="FZ624" s="1" t="s">
        <v>229</v>
      </c>
      <c r="GA624" s="1" t="s">
        <v>291</v>
      </c>
      <c r="GB624" s="2">
        <v>42011.0</v>
      </c>
      <c r="GC624" s="1" t="s">
        <v>6552</v>
      </c>
    </row>
    <row r="625">
      <c r="A625" s="1">
        <v>525000.0</v>
      </c>
      <c r="B625" s="1" t="s">
        <v>185</v>
      </c>
      <c r="C625" s="1" t="str">
        <f>"08803893"</f>
        <v>08803893</v>
      </c>
      <c r="D625" s="1" t="s">
        <v>186</v>
      </c>
      <c r="F625" s="1" t="str">
        <f>"174"</f>
        <v>174</v>
      </c>
      <c r="G625" s="2">
        <v>41991.0</v>
      </c>
      <c r="H625" s="1">
        <v>549800.0</v>
      </c>
      <c r="I625" s="1">
        <v>77.0</v>
      </c>
      <c r="J625" s="1">
        <v>549800.0</v>
      </c>
      <c r="K625" s="2">
        <v>42046.0</v>
      </c>
      <c r="L625" s="1">
        <v>56.0</v>
      </c>
      <c r="M625" s="2">
        <v>42046.0</v>
      </c>
      <c r="N625" s="1" t="s">
        <v>187</v>
      </c>
      <c r="O625" s="2">
        <v>42095.0</v>
      </c>
      <c r="P625" s="1">
        <v>136753.0</v>
      </c>
      <c r="Q625" s="1">
        <v>17665.0</v>
      </c>
      <c r="S625" s="1">
        <v>3128.0</v>
      </c>
      <c r="T625" s="1" t="s">
        <v>7825</v>
      </c>
      <c r="U625" s="1" t="s">
        <v>1015</v>
      </c>
      <c r="V625" s="1" t="s">
        <v>1200</v>
      </c>
      <c r="W625" s="1">
        <v>60174.0</v>
      </c>
      <c r="Y625" s="1" t="s">
        <v>7826</v>
      </c>
      <c r="Z625" s="1">
        <v>2005.0</v>
      </c>
      <c r="AA625" s="1" t="s">
        <v>200</v>
      </c>
      <c r="AB625" s="1" t="s">
        <v>193</v>
      </c>
      <c r="AC625" s="1" t="s">
        <v>7827</v>
      </c>
      <c r="AD625" s="1" t="s">
        <v>1203</v>
      </c>
      <c r="AE625" s="1" t="s">
        <v>325</v>
      </c>
      <c r="AF625" s="1" t="s">
        <v>1203</v>
      </c>
      <c r="AG625" s="1" t="s">
        <v>7828</v>
      </c>
      <c r="AH625" s="1" t="s">
        <v>7829</v>
      </c>
      <c r="AK625" s="1">
        <v>9.0</v>
      </c>
      <c r="AL625" s="1">
        <v>4.0</v>
      </c>
      <c r="AM625" s="1">
        <v>3.0</v>
      </c>
      <c r="AN625" s="1">
        <v>0.0</v>
      </c>
      <c r="AO625" s="1" t="s">
        <v>198</v>
      </c>
      <c r="AP625" s="1">
        <v>1.0</v>
      </c>
      <c r="AQ625" s="1" t="s">
        <v>198</v>
      </c>
      <c r="AR625" s="1" t="s">
        <v>200</v>
      </c>
      <c r="AS625" s="1" t="s">
        <v>199</v>
      </c>
      <c r="AT625" s="1">
        <v>3.0</v>
      </c>
      <c r="AV625" s="1" t="s">
        <v>200</v>
      </c>
      <c r="AW625" s="1">
        <v>14957.76</v>
      </c>
      <c r="AX625" s="1">
        <v>2013.0</v>
      </c>
      <c r="AY625" s="1" t="s">
        <v>387</v>
      </c>
      <c r="AZ625" s="1" t="s">
        <v>200</v>
      </c>
      <c r="BA625" s="1" t="str">
        <f>"0924372012"</f>
        <v>0924372012</v>
      </c>
      <c r="BC625" s="1">
        <v>3255.0</v>
      </c>
      <c r="BD625" s="1">
        <v>525000.0</v>
      </c>
      <c r="BE625" s="2">
        <v>41991.0</v>
      </c>
      <c r="BF625" s="2" t="s">
        <v>7830</v>
      </c>
      <c r="BH625" s="1">
        <v>250.0</v>
      </c>
      <c r="BI625" s="1" t="s">
        <v>2143</v>
      </c>
      <c r="BJ625" s="1" t="s">
        <v>2144</v>
      </c>
      <c r="BK625" s="1" t="s">
        <v>580</v>
      </c>
      <c r="BL625" s="1" t="str">
        <f>"4"</f>
        <v>4</v>
      </c>
      <c r="BM625" s="1" t="str">
        <f>""</f>
        <v/>
      </c>
      <c r="BN625" s="1">
        <v>33.0</v>
      </c>
      <c r="BQ625" s="1">
        <v>303.0</v>
      </c>
      <c r="BR625" s="1">
        <v>303.0</v>
      </c>
      <c r="BS625" s="1">
        <v>303.0</v>
      </c>
      <c r="BU625" s="1" t="s">
        <v>454</v>
      </c>
      <c r="BV625" s="1" t="s">
        <v>206</v>
      </c>
      <c r="BW625" s="1" t="s">
        <v>210</v>
      </c>
      <c r="BX625" s="1" t="s">
        <v>239</v>
      </c>
      <c r="BY625" s="1" t="s">
        <v>544</v>
      </c>
      <c r="BZ625" s="1" t="s">
        <v>209</v>
      </c>
      <c r="CA625" s="1" t="s">
        <v>210</v>
      </c>
      <c r="CB625" s="1" t="s">
        <v>239</v>
      </c>
      <c r="CC625" s="1" t="s">
        <v>329</v>
      </c>
      <c r="CD625" s="1" t="s">
        <v>206</v>
      </c>
      <c r="CE625" s="1" t="s">
        <v>210</v>
      </c>
      <c r="CF625" s="1" t="s">
        <v>239</v>
      </c>
      <c r="CG625" s="1" t="s">
        <v>329</v>
      </c>
      <c r="CH625" s="1" t="s">
        <v>209</v>
      </c>
      <c r="CI625" s="1" t="s">
        <v>210</v>
      </c>
      <c r="CJ625" s="1" t="s">
        <v>239</v>
      </c>
      <c r="CK625" s="1" t="s">
        <v>433</v>
      </c>
      <c r="CL625" s="1" t="s">
        <v>209</v>
      </c>
      <c r="CM625" s="1" t="s">
        <v>210</v>
      </c>
      <c r="CN625" s="1" t="s">
        <v>239</v>
      </c>
      <c r="CO625" s="1" t="s">
        <v>363</v>
      </c>
      <c r="CP625" s="1" t="s">
        <v>209</v>
      </c>
      <c r="CQ625" s="1" t="s">
        <v>210</v>
      </c>
      <c r="CR625" s="1" t="s">
        <v>239</v>
      </c>
      <c r="CS625" s="1" t="s">
        <v>2181</v>
      </c>
      <c r="CT625" s="1" t="s">
        <v>206</v>
      </c>
      <c r="CU625" s="1" t="s">
        <v>207</v>
      </c>
      <c r="CV625" s="1" t="s">
        <v>239</v>
      </c>
      <c r="CW625" s="1" t="s">
        <v>583</v>
      </c>
      <c r="CX625" s="1" t="s">
        <v>206</v>
      </c>
      <c r="CY625" s="1" t="s">
        <v>210</v>
      </c>
      <c r="CZ625" s="1" t="s">
        <v>239</v>
      </c>
      <c r="DA625" s="1" t="s">
        <v>200</v>
      </c>
      <c r="DC625" s="1" t="s">
        <v>481</v>
      </c>
      <c r="DD625" s="1" t="s">
        <v>1428</v>
      </c>
      <c r="DE625" s="1" t="s">
        <v>273</v>
      </c>
      <c r="DF625" s="1" t="s">
        <v>219</v>
      </c>
      <c r="DG625" s="1" t="s">
        <v>482</v>
      </c>
      <c r="DH625" s="1" t="s">
        <v>220</v>
      </c>
      <c r="DI625" s="1" t="s">
        <v>275</v>
      </c>
      <c r="DJ625" s="1" t="s">
        <v>222</v>
      </c>
      <c r="DL625" s="1" t="s">
        <v>484</v>
      </c>
      <c r="DM625" s="1" t="s">
        <v>338</v>
      </c>
      <c r="DN625" s="1" t="s">
        <v>399</v>
      </c>
      <c r="DO625" s="1" t="s">
        <v>486</v>
      </c>
      <c r="DP625" s="1" t="s">
        <v>340</v>
      </c>
      <c r="DQ625" s="1" t="s">
        <v>228</v>
      </c>
      <c r="DR625" s="1" t="s">
        <v>229</v>
      </c>
      <c r="DS625" s="1" t="s">
        <v>230</v>
      </c>
      <c r="DU625" s="1" t="s">
        <v>7831</v>
      </c>
      <c r="DV625" s="1" t="s">
        <v>598</v>
      </c>
      <c r="DW625" s="1" t="s">
        <v>764</v>
      </c>
      <c r="DX625" s="1" t="s">
        <v>234</v>
      </c>
      <c r="DY625" s="1" t="s">
        <v>7385</v>
      </c>
      <c r="DZ625" s="1" t="s">
        <v>2648</v>
      </c>
      <c r="EA625" s="1" t="s">
        <v>344</v>
      </c>
      <c r="EB625" s="1" t="s">
        <v>492</v>
      </c>
      <c r="EC625" s="1" t="s">
        <v>237</v>
      </c>
      <c r="ED625" s="1" t="s">
        <v>407</v>
      </c>
      <c r="EE625" s="1" t="s">
        <v>187</v>
      </c>
      <c r="EG625" s="1" t="s">
        <v>598</v>
      </c>
      <c r="EL625" s="1" t="s">
        <v>497</v>
      </c>
      <c r="EM625" s="1" t="s">
        <v>206</v>
      </c>
      <c r="EN625" s="1" t="s">
        <v>210</v>
      </c>
      <c r="EO625" s="1" t="s">
        <v>239</v>
      </c>
      <c r="EQ625" s="1" t="s">
        <v>238</v>
      </c>
      <c r="EU625" s="1" t="s">
        <v>238</v>
      </c>
      <c r="EY625" s="1" t="s">
        <v>238</v>
      </c>
      <c r="FC625" s="1" t="s">
        <v>238</v>
      </c>
      <c r="FF625" s="1" t="s">
        <v>239</v>
      </c>
      <c r="FG625" s="1" t="s">
        <v>192</v>
      </c>
      <c r="FH625" s="1" t="s">
        <v>192</v>
      </c>
      <c r="FJ625" s="1" t="s">
        <v>524</v>
      </c>
      <c r="FK625" s="1" t="s">
        <v>229</v>
      </c>
      <c r="FL625" s="1" t="s">
        <v>1212</v>
      </c>
      <c r="FM625" s="1">
        <v>30.0</v>
      </c>
      <c r="FN625" s="1" t="s">
        <v>1213</v>
      </c>
      <c r="FO625" s="1" t="s">
        <v>1214</v>
      </c>
      <c r="FP625" s="1">
        <v>329.0</v>
      </c>
      <c r="FQ625" s="1" t="s">
        <v>1215</v>
      </c>
      <c r="FR625" s="1">
        <v>7526.0</v>
      </c>
      <c r="FU625" s="1" t="s">
        <v>7832</v>
      </c>
      <c r="FV625" s="1" t="s">
        <v>200</v>
      </c>
      <c r="FW625" s="1" t="s">
        <v>631</v>
      </c>
      <c r="FX625" s="1" t="s">
        <v>1739</v>
      </c>
      <c r="FZ625" s="1" t="s">
        <v>229</v>
      </c>
      <c r="GA625" s="1" t="s">
        <v>291</v>
      </c>
      <c r="GB625" s="2">
        <v>42095.0</v>
      </c>
      <c r="GC625" s="1" t="s">
        <v>7833</v>
      </c>
    </row>
    <row r="626">
      <c r="A626" s="1">
        <v>179900.0</v>
      </c>
      <c r="B626" s="1" t="s">
        <v>185</v>
      </c>
      <c r="C626" s="1" t="str">
        <f>"08801031"</f>
        <v>08801031</v>
      </c>
      <c r="D626" s="1" t="s">
        <v>186</v>
      </c>
      <c r="F626" s="1" t="str">
        <f>"8056"</f>
        <v>8056</v>
      </c>
      <c r="G626" s="2">
        <v>41985.0</v>
      </c>
      <c r="H626" s="1">
        <v>179900.0</v>
      </c>
      <c r="I626" s="1">
        <v>104.0</v>
      </c>
      <c r="J626" s="1">
        <v>179900.0</v>
      </c>
      <c r="K626" s="2">
        <v>42087.0</v>
      </c>
      <c r="L626" s="1">
        <v>104.0</v>
      </c>
      <c r="M626" s="2">
        <v>42087.0</v>
      </c>
      <c r="N626" s="1" t="s">
        <v>187</v>
      </c>
      <c r="O626" s="2">
        <v>42132.0</v>
      </c>
      <c r="P626" s="1">
        <v>229926.0</v>
      </c>
      <c r="Q626" s="1">
        <v>22049.0</v>
      </c>
      <c r="R626" s="1">
        <v>5000.0</v>
      </c>
      <c r="S626" s="1">
        <v>5142.0</v>
      </c>
      <c r="T626" s="1" t="s">
        <v>357</v>
      </c>
      <c r="U626" s="1" t="s">
        <v>189</v>
      </c>
      <c r="V626" s="1" t="s">
        <v>190</v>
      </c>
      <c r="W626" s="1">
        <v>60638.0</v>
      </c>
      <c r="Y626" s="1" t="s">
        <v>7834</v>
      </c>
      <c r="Z626" s="1">
        <v>1950.0</v>
      </c>
      <c r="AA626" s="1" t="s">
        <v>192</v>
      </c>
      <c r="AB626" s="1" t="s">
        <v>193</v>
      </c>
      <c r="AD626" s="1" t="s">
        <v>194</v>
      </c>
      <c r="AE626" s="1" t="s">
        <v>195</v>
      </c>
      <c r="AF626" s="1" t="s">
        <v>659</v>
      </c>
      <c r="AH626" s="1" t="s">
        <v>1501</v>
      </c>
      <c r="AI626" s="1">
        <v>0.0868</v>
      </c>
      <c r="AK626" s="1">
        <v>7.0</v>
      </c>
      <c r="AL626" s="1">
        <v>4.0</v>
      </c>
      <c r="AM626" s="1">
        <v>1.0</v>
      </c>
      <c r="AN626" s="1">
        <v>1.0</v>
      </c>
      <c r="AO626" s="1" t="s">
        <v>229</v>
      </c>
      <c r="AP626" s="1">
        <v>1.0</v>
      </c>
      <c r="AQ626" s="1" t="s">
        <v>327</v>
      </c>
      <c r="AR626" s="1" t="s">
        <v>200</v>
      </c>
      <c r="AS626" s="1" t="s">
        <v>199</v>
      </c>
      <c r="AT626" s="1">
        <v>2.0</v>
      </c>
      <c r="AV626" s="1" t="s">
        <v>200</v>
      </c>
      <c r="AW626" s="1">
        <v>421.9</v>
      </c>
      <c r="AX626" s="1">
        <v>2013.0</v>
      </c>
      <c r="AY626" s="1" t="s">
        <v>1917</v>
      </c>
      <c r="AZ626" s="1" t="s">
        <v>200</v>
      </c>
      <c r="BA626" s="1" t="str">
        <f>"19094020320000"</f>
        <v>19094020320000</v>
      </c>
      <c r="BC626" s="1">
        <v>1200.0</v>
      </c>
      <c r="BD626" s="1">
        <v>179900.0</v>
      </c>
      <c r="BE626" s="2">
        <v>41984.0</v>
      </c>
      <c r="BF626" s="2" t="s">
        <v>7835</v>
      </c>
      <c r="BH626" s="1">
        <v>0.0</v>
      </c>
      <c r="BK626" s="1" t="s">
        <v>204</v>
      </c>
      <c r="BL626" s="1" t="str">
        <f t="shared" ref="BL626:BM626" si="419">"0"</f>
        <v>0</v>
      </c>
      <c r="BM626" s="1" t="str">
        <f t="shared" si="419"/>
        <v>0</v>
      </c>
      <c r="BN626" s="1">
        <v>5400.0</v>
      </c>
      <c r="BO626" s="1">
        <v>5100.0</v>
      </c>
      <c r="BQ626" s="1">
        <v>299.0</v>
      </c>
      <c r="BR626" s="1">
        <v>299.0</v>
      </c>
      <c r="BS626" s="1">
        <v>299.0</v>
      </c>
      <c r="BU626" s="1" t="s">
        <v>1395</v>
      </c>
      <c r="BV626" s="1" t="s">
        <v>206</v>
      </c>
      <c r="BW626" s="1" t="s">
        <v>207</v>
      </c>
      <c r="BX626" s="1" t="s">
        <v>431</v>
      </c>
      <c r="BY626" s="1" t="s">
        <v>478</v>
      </c>
      <c r="BZ626" s="1" t="s">
        <v>206</v>
      </c>
      <c r="CA626" s="1" t="s">
        <v>207</v>
      </c>
      <c r="CD626" s="1" t="s">
        <v>204</v>
      </c>
      <c r="CG626" s="1" t="s">
        <v>363</v>
      </c>
      <c r="CH626" s="1" t="s">
        <v>206</v>
      </c>
      <c r="CK626" s="1" t="s">
        <v>1395</v>
      </c>
      <c r="CL626" s="1" t="s">
        <v>209</v>
      </c>
      <c r="CO626" s="1" t="s">
        <v>1395</v>
      </c>
      <c r="CP626" s="1" t="s">
        <v>209</v>
      </c>
      <c r="CS626" s="1" t="s">
        <v>478</v>
      </c>
      <c r="CT626" s="1" t="s">
        <v>206</v>
      </c>
      <c r="CU626" s="1" t="s">
        <v>617</v>
      </c>
      <c r="CV626" s="1" t="s">
        <v>1549</v>
      </c>
      <c r="CW626" s="1" t="s">
        <v>364</v>
      </c>
      <c r="CX626" s="1" t="s">
        <v>206</v>
      </c>
      <c r="CZ626" s="1" t="s">
        <v>431</v>
      </c>
      <c r="DA626" s="1" t="s">
        <v>200</v>
      </c>
      <c r="DC626" s="1" t="s">
        <v>702</v>
      </c>
      <c r="DD626" s="1" t="s">
        <v>518</v>
      </c>
      <c r="DE626" s="1" t="s">
        <v>273</v>
      </c>
      <c r="DF626" s="1" t="s">
        <v>219</v>
      </c>
      <c r="DG626" s="1" t="s">
        <v>337</v>
      </c>
      <c r="DH626" s="1" t="s">
        <v>307</v>
      </c>
      <c r="DI626" s="1" t="s">
        <v>1401</v>
      </c>
      <c r="DJ626" s="1" t="s">
        <v>3345</v>
      </c>
      <c r="DK626" s="1" t="s">
        <v>224</v>
      </c>
      <c r="DL626" s="1" t="s">
        <v>7836</v>
      </c>
      <c r="DM626" s="1" t="s">
        <v>229</v>
      </c>
      <c r="DQ626" s="1" t="s">
        <v>228</v>
      </c>
      <c r="DR626" s="1" t="s">
        <v>229</v>
      </c>
      <c r="DV626" s="1" t="s">
        <v>232</v>
      </c>
      <c r="DW626" s="1" t="s">
        <v>279</v>
      </c>
      <c r="DX626" s="1" t="s">
        <v>3205</v>
      </c>
      <c r="EA626" s="1" t="s">
        <v>1075</v>
      </c>
      <c r="EC626" s="1" t="s">
        <v>645</v>
      </c>
      <c r="EM626" s="1" t="s">
        <v>238</v>
      </c>
      <c r="EQ626" s="1" t="s">
        <v>238</v>
      </c>
      <c r="EU626" s="1" t="s">
        <v>238</v>
      </c>
      <c r="EY626" s="1" t="s">
        <v>238</v>
      </c>
      <c r="FC626" s="1" t="s">
        <v>238</v>
      </c>
      <c r="FF626" s="1" t="s">
        <v>239</v>
      </c>
      <c r="FG626" s="1" t="s">
        <v>192</v>
      </c>
      <c r="FH626" s="1" t="s">
        <v>192</v>
      </c>
      <c r="FJ626" s="1" t="s">
        <v>7837</v>
      </c>
      <c r="FK626" s="1" t="s">
        <v>229</v>
      </c>
      <c r="FL626" s="1" t="s">
        <v>5704</v>
      </c>
      <c r="FM626" s="1">
        <v>22616.0</v>
      </c>
      <c r="FN626" s="1" t="s">
        <v>5705</v>
      </c>
      <c r="FO626" s="1" t="s">
        <v>7838</v>
      </c>
      <c r="FP626" s="1">
        <v>602461.0</v>
      </c>
      <c r="FQ626" s="1" t="s">
        <v>7839</v>
      </c>
      <c r="FU626" s="1" t="s">
        <v>7840</v>
      </c>
      <c r="FV626" s="1" t="s">
        <v>200</v>
      </c>
      <c r="FW626" s="1" t="s">
        <v>1293</v>
      </c>
      <c r="FX626" s="1" t="s">
        <v>655</v>
      </c>
      <c r="FZ626" s="1" t="s">
        <v>229</v>
      </c>
      <c r="GA626" s="1" t="s">
        <v>291</v>
      </c>
      <c r="GB626" s="2">
        <v>42135.0</v>
      </c>
      <c r="GC626" s="1" t="s">
        <v>7841</v>
      </c>
    </row>
    <row r="627">
      <c r="A627" s="1">
        <v>323750.0</v>
      </c>
      <c r="B627" s="1" t="s">
        <v>185</v>
      </c>
      <c r="C627" s="1" t="str">
        <f>"08800179"</f>
        <v>08800179</v>
      </c>
      <c r="D627" s="1" t="s">
        <v>186</v>
      </c>
      <c r="F627" s="1" t="str">
        <f>"174"</f>
        <v>174</v>
      </c>
      <c r="G627" s="2">
        <v>41983.0</v>
      </c>
      <c r="H627" s="1">
        <v>340000.0</v>
      </c>
      <c r="I627" s="1">
        <v>238.0</v>
      </c>
      <c r="J627" s="1">
        <v>335000.0</v>
      </c>
      <c r="K627" s="2">
        <v>42086.0</v>
      </c>
      <c r="L627" s="1">
        <v>104.0</v>
      </c>
      <c r="M627" s="2">
        <v>42086.0</v>
      </c>
      <c r="N627" s="1" t="s">
        <v>187</v>
      </c>
      <c r="O627" s="2">
        <v>42124.0</v>
      </c>
      <c r="P627" s="1">
        <v>77100.0</v>
      </c>
      <c r="Q627" s="1">
        <v>37.0</v>
      </c>
      <c r="S627" s="1" t="s">
        <v>7842</v>
      </c>
      <c r="T627" s="1" t="s">
        <v>7843</v>
      </c>
      <c r="U627" s="1" t="s">
        <v>569</v>
      </c>
      <c r="V627" s="1" t="s">
        <v>1200</v>
      </c>
      <c r="W627" s="1">
        <v>60175.0</v>
      </c>
      <c r="Y627" s="1" t="s">
        <v>7844</v>
      </c>
      <c r="Z627" s="1">
        <v>1982.0</v>
      </c>
      <c r="AA627" s="1" t="s">
        <v>200</v>
      </c>
      <c r="AB627" s="1" t="s">
        <v>467</v>
      </c>
      <c r="AC627" s="1" t="s">
        <v>7845</v>
      </c>
      <c r="AD627" s="1" t="s">
        <v>1089</v>
      </c>
      <c r="AE627" s="1" t="s">
        <v>325</v>
      </c>
      <c r="AF627" s="1" t="s">
        <v>1632</v>
      </c>
      <c r="AH627" s="1" t="s">
        <v>7846</v>
      </c>
      <c r="AI627" s="1">
        <v>0.81</v>
      </c>
      <c r="AK627" s="1">
        <v>11.0</v>
      </c>
      <c r="AL627" s="1">
        <v>4.0</v>
      </c>
      <c r="AM627" s="1">
        <v>2.0</v>
      </c>
      <c r="AN627" s="1">
        <v>1.0</v>
      </c>
      <c r="AO627" s="1" t="s">
        <v>198</v>
      </c>
      <c r="AP627" s="1">
        <v>2.0</v>
      </c>
      <c r="AQ627" s="1" t="s">
        <v>198</v>
      </c>
      <c r="AR627" s="1" t="s">
        <v>200</v>
      </c>
      <c r="AS627" s="1" t="s">
        <v>199</v>
      </c>
      <c r="AT627" s="1">
        <v>2.5</v>
      </c>
      <c r="AV627" s="1" t="s">
        <v>200</v>
      </c>
      <c r="AW627" s="1">
        <v>10784.8</v>
      </c>
      <c r="AX627" s="1">
        <v>2013.0</v>
      </c>
      <c r="AY627" s="1" t="s">
        <v>1179</v>
      </c>
      <c r="AZ627" s="1" t="s">
        <v>200</v>
      </c>
      <c r="BA627" s="1" t="str">
        <f>"0816276028"</f>
        <v>0816276028</v>
      </c>
      <c r="BB627" s="1" t="s">
        <v>200</v>
      </c>
      <c r="BC627" s="1">
        <v>3057.0</v>
      </c>
      <c r="BD627" s="1">
        <v>323750.0</v>
      </c>
      <c r="BE627" s="2">
        <v>41983.0</v>
      </c>
      <c r="BF627" s="2" t="s">
        <v>7847</v>
      </c>
      <c r="BG627" s="1" t="s">
        <v>7848</v>
      </c>
      <c r="BH627" s="1">
        <v>375.0</v>
      </c>
      <c r="BI627" s="1" t="s">
        <v>1975</v>
      </c>
      <c r="BJ627" s="1" t="s">
        <v>579</v>
      </c>
      <c r="BK627" s="1" t="s">
        <v>580</v>
      </c>
      <c r="BL627" s="1" t="str">
        <f>"5"</f>
        <v>5</v>
      </c>
      <c r="BM627" s="1" t="str">
        <f t="shared" ref="BM627:BM628" si="420">"0"</f>
        <v>0</v>
      </c>
      <c r="BN627" s="1">
        <v>42.0</v>
      </c>
      <c r="BO627" s="1">
        <v>0.0</v>
      </c>
      <c r="BQ627" s="1">
        <v>301.0</v>
      </c>
      <c r="BR627" s="1">
        <v>301.0</v>
      </c>
      <c r="BS627" s="1">
        <v>301.0</v>
      </c>
      <c r="BU627" s="1" t="s">
        <v>784</v>
      </c>
      <c r="BV627" s="1" t="s">
        <v>206</v>
      </c>
      <c r="BW627" s="1" t="s">
        <v>210</v>
      </c>
      <c r="BX627" s="1" t="s">
        <v>261</v>
      </c>
      <c r="BY627" s="1" t="s">
        <v>1892</v>
      </c>
      <c r="BZ627" s="1" t="s">
        <v>209</v>
      </c>
      <c r="CA627" s="1" t="s">
        <v>210</v>
      </c>
      <c r="CB627" s="1" t="s">
        <v>261</v>
      </c>
      <c r="CC627" s="1" t="s">
        <v>393</v>
      </c>
      <c r="CD627" s="1" t="s">
        <v>206</v>
      </c>
      <c r="CE627" s="1" t="s">
        <v>210</v>
      </c>
      <c r="CF627" s="1" t="s">
        <v>431</v>
      </c>
      <c r="CG627" s="1" t="s">
        <v>215</v>
      </c>
      <c r="CH627" s="1" t="s">
        <v>209</v>
      </c>
      <c r="CI627" s="1" t="s">
        <v>207</v>
      </c>
      <c r="CJ627" s="1" t="s">
        <v>1549</v>
      </c>
      <c r="CK627" s="1" t="s">
        <v>699</v>
      </c>
      <c r="CL627" s="1" t="s">
        <v>209</v>
      </c>
      <c r="CM627" s="1" t="s">
        <v>207</v>
      </c>
      <c r="CO627" s="1" t="s">
        <v>1551</v>
      </c>
      <c r="CP627" s="1" t="s">
        <v>209</v>
      </c>
      <c r="CQ627" s="1" t="s">
        <v>207</v>
      </c>
      <c r="CR627" s="1" t="s">
        <v>261</v>
      </c>
      <c r="CS627" s="1" t="s">
        <v>647</v>
      </c>
      <c r="CT627" s="1" t="s">
        <v>206</v>
      </c>
      <c r="CU627" s="1" t="s">
        <v>207</v>
      </c>
      <c r="CW627" s="1" t="s">
        <v>453</v>
      </c>
      <c r="CX627" s="1" t="s">
        <v>206</v>
      </c>
      <c r="CY627" s="1" t="s">
        <v>207</v>
      </c>
      <c r="DA627" s="1" t="s">
        <v>200</v>
      </c>
      <c r="DC627" s="1" t="s">
        <v>395</v>
      </c>
      <c r="DD627" s="1" t="s">
        <v>336</v>
      </c>
      <c r="DE627" s="1" t="s">
        <v>218</v>
      </c>
      <c r="DF627" s="1" t="s">
        <v>745</v>
      </c>
      <c r="DG627" s="1" t="s">
        <v>7849</v>
      </c>
      <c r="DH627" s="1" t="s">
        <v>1603</v>
      </c>
      <c r="DI627" s="1" t="s">
        <v>221</v>
      </c>
      <c r="DJ627" s="1" t="s">
        <v>222</v>
      </c>
      <c r="DK627" s="1" t="s">
        <v>223</v>
      </c>
      <c r="DL627" s="1" t="s">
        <v>3611</v>
      </c>
      <c r="DM627" s="1" t="s">
        <v>338</v>
      </c>
      <c r="DN627" s="1" t="s">
        <v>399</v>
      </c>
      <c r="DO627" s="1" t="s">
        <v>7850</v>
      </c>
      <c r="DP627" s="1" t="s">
        <v>340</v>
      </c>
      <c r="DQ627" s="1" t="s">
        <v>1557</v>
      </c>
      <c r="DR627" s="1" t="s">
        <v>7851</v>
      </c>
      <c r="DS627" s="1" t="s">
        <v>230</v>
      </c>
      <c r="DU627" s="1" t="s">
        <v>7852</v>
      </c>
      <c r="DV627" s="1" t="s">
        <v>7853</v>
      </c>
      <c r="DW627" s="1" t="s">
        <v>964</v>
      </c>
      <c r="DX627" s="1" t="s">
        <v>234</v>
      </c>
      <c r="DY627" s="1" t="s">
        <v>7854</v>
      </c>
      <c r="DZ627" s="1" t="s">
        <v>6164</v>
      </c>
      <c r="EA627" s="1" t="s">
        <v>447</v>
      </c>
      <c r="EB627" s="1" t="s">
        <v>492</v>
      </c>
      <c r="EC627" s="1" t="s">
        <v>237</v>
      </c>
      <c r="EG627" s="1" t="s">
        <v>449</v>
      </c>
      <c r="EH627" s="1" t="s">
        <v>494</v>
      </c>
      <c r="EI627" s="1" t="s">
        <v>408</v>
      </c>
      <c r="EJ627" s="1" t="s">
        <v>1121</v>
      </c>
      <c r="EL627" s="1" t="s">
        <v>969</v>
      </c>
      <c r="EM627" s="1" t="s">
        <v>206</v>
      </c>
      <c r="EN627" s="1" t="s">
        <v>207</v>
      </c>
      <c r="EP627" s="1" t="s">
        <v>264</v>
      </c>
      <c r="EQ627" s="1" t="s">
        <v>206</v>
      </c>
      <c r="ER627" s="1" t="s">
        <v>210</v>
      </c>
      <c r="ET627" s="1" t="s">
        <v>814</v>
      </c>
      <c r="EU627" s="1" t="s">
        <v>206</v>
      </c>
      <c r="EV627" s="1" t="s">
        <v>268</v>
      </c>
      <c r="EW627" s="1" t="s">
        <v>229</v>
      </c>
      <c r="EX627" s="1" t="s">
        <v>332</v>
      </c>
      <c r="EY627" s="1" t="s">
        <v>209</v>
      </c>
      <c r="EZ627" s="1" t="s">
        <v>268</v>
      </c>
      <c r="FA627" s="1" t="s">
        <v>476</v>
      </c>
      <c r="FC627" s="1" t="s">
        <v>238</v>
      </c>
      <c r="FF627" s="1" t="s">
        <v>239</v>
      </c>
      <c r="FG627" s="1" t="s">
        <v>192</v>
      </c>
      <c r="FH627" s="1" t="s">
        <v>192</v>
      </c>
      <c r="FJ627" s="1" t="s">
        <v>1469</v>
      </c>
      <c r="FK627" s="1" t="s">
        <v>229</v>
      </c>
      <c r="FL627" s="1" t="s">
        <v>456</v>
      </c>
      <c r="FM627" s="1">
        <v>49.0</v>
      </c>
      <c r="FN627" s="1" t="s">
        <v>457</v>
      </c>
      <c r="FO627" s="1" t="s">
        <v>7855</v>
      </c>
      <c r="FP627" s="1">
        <v>720.0</v>
      </c>
      <c r="FQ627" s="1" t="s">
        <v>7856</v>
      </c>
      <c r="FS627" s="1" t="s">
        <v>7857</v>
      </c>
      <c r="FU627" s="1" t="s">
        <v>7858</v>
      </c>
      <c r="FV627" s="1" t="s">
        <v>200</v>
      </c>
      <c r="FW627" s="1" t="s">
        <v>1293</v>
      </c>
      <c r="FZ627" s="1" t="s">
        <v>229</v>
      </c>
      <c r="GA627" s="1" t="s">
        <v>291</v>
      </c>
      <c r="GB627" s="2">
        <v>42124.0</v>
      </c>
      <c r="GC627" s="1" t="s">
        <v>7859</v>
      </c>
    </row>
    <row r="628">
      <c r="A628" s="1">
        <v>360000.0</v>
      </c>
      <c r="B628" s="1" t="s">
        <v>185</v>
      </c>
      <c r="C628" s="1" t="str">
        <f>"08798003"</f>
        <v>08798003</v>
      </c>
      <c r="D628" s="1" t="s">
        <v>186</v>
      </c>
      <c r="F628" s="1" t="str">
        <f>"8015"</f>
        <v>8015</v>
      </c>
      <c r="G628" s="2">
        <v>41979.0</v>
      </c>
      <c r="H628" s="1">
        <v>374000.0</v>
      </c>
      <c r="I628" s="1">
        <v>11.0</v>
      </c>
      <c r="J628" s="1">
        <v>374000.0</v>
      </c>
      <c r="K628" s="2">
        <v>41988.0</v>
      </c>
      <c r="L628" s="1">
        <v>11.0</v>
      </c>
      <c r="M628" s="2">
        <v>41988.0</v>
      </c>
      <c r="N628" s="1" t="s">
        <v>187</v>
      </c>
      <c r="O628" s="2">
        <v>42020.0</v>
      </c>
      <c r="P628" s="1">
        <v>38830.0</v>
      </c>
      <c r="Q628" s="1">
        <v>4459.0</v>
      </c>
      <c r="S628" s="1">
        <v>5618.0</v>
      </c>
      <c r="T628" s="1" t="s">
        <v>7860</v>
      </c>
      <c r="U628" s="1" t="s">
        <v>189</v>
      </c>
      <c r="V628" s="1" t="s">
        <v>190</v>
      </c>
      <c r="W628" s="1">
        <v>60634.0</v>
      </c>
      <c r="Y628" s="1" t="s">
        <v>7861</v>
      </c>
      <c r="Z628" s="1">
        <v>1909.0</v>
      </c>
      <c r="AA628" s="1" t="s">
        <v>192</v>
      </c>
      <c r="AB628" s="1" t="s">
        <v>193</v>
      </c>
      <c r="AD628" s="1" t="s">
        <v>194</v>
      </c>
      <c r="AE628" s="1" t="s">
        <v>195</v>
      </c>
      <c r="AF628" s="1" t="s">
        <v>196</v>
      </c>
      <c r="AH628" s="1" t="s">
        <v>7862</v>
      </c>
      <c r="AI628" s="1">
        <v>0.0874</v>
      </c>
      <c r="AK628" s="1">
        <v>7.0</v>
      </c>
      <c r="AL628" s="1">
        <v>3.0</v>
      </c>
      <c r="AM628" s="1">
        <v>3.0</v>
      </c>
      <c r="AN628" s="1">
        <v>1.0</v>
      </c>
      <c r="AO628" s="1" t="s">
        <v>198</v>
      </c>
      <c r="AQ628" s="1" t="s">
        <v>198</v>
      </c>
      <c r="AR628" s="1" t="s">
        <v>192</v>
      </c>
      <c r="AS628" s="1" t="s">
        <v>199</v>
      </c>
      <c r="AT628" s="1">
        <v>2.5</v>
      </c>
      <c r="AV628" s="1" t="s">
        <v>200</v>
      </c>
      <c r="AW628" s="1">
        <v>3902.58</v>
      </c>
      <c r="AX628" s="1">
        <v>2012.0</v>
      </c>
      <c r="AZ628" s="1" t="s">
        <v>200</v>
      </c>
      <c r="BA628" s="1" t="str">
        <f>"13202110250000"</f>
        <v>13202110250000</v>
      </c>
      <c r="BC628" s="1">
        <v>1850.0</v>
      </c>
      <c r="BD628" s="1">
        <v>360000.0</v>
      </c>
      <c r="BE628" s="2">
        <v>41978.0</v>
      </c>
      <c r="BF628" s="2" t="s">
        <v>7863</v>
      </c>
      <c r="BH628" s="1">
        <v>0.0</v>
      </c>
      <c r="BK628" s="1" t="s">
        <v>204</v>
      </c>
      <c r="BL628" s="1" t="str">
        <f>"3850"</f>
        <v>3850</v>
      </c>
      <c r="BM628" s="1" t="str">
        <f t="shared" si="420"/>
        <v>0</v>
      </c>
      <c r="BN628" s="1">
        <v>5618.0</v>
      </c>
      <c r="BO628" s="1">
        <v>0.0</v>
      </c>
      <c r="BQ628" s="1">
        <v>299.0</v>
      </c>
      <c r="BR628" s="1">
        <v>299.0</v>
      </c>
      <c r="BS628" s="1">
        <v>299.0</v>
      </c>
      <c r="BU628" s="1" t="s">
        <v>433</v>
      </c>
      <c r="BV628" s="1" t="s">
        <v>206</v>
      </c>
      <c r="BW628" s="1" t="s">
        <v>207</v>
      </c>
      <c r="BY628" s="1" t="s">
        <v>582</v>
      </c>
      <c r="BZ628" s="1" t="s">
        <v>209</v>
      </c>
      <c r="CA628" s="1" t="s">
        <v>207</v>
      </c>
      <c r="CC628" s="1" t="s">
        <v>758</v>
      </c>
      <c r="CD628" s="1" t="s">
        <v>206</v>
      </c>
      <c r="CE628" s="1" t="s">
        <v>207</v>
      </c>
      <c r="CG628" s="1" t="s">
        <v>212</v>
      </c>
      <c r="CH628" s="1" t="s">
        <v>209</v>
      </c>
      <c r="CI628" s="1" t="s">
        <v>207</v>
      </c>
      <c r="CK628" s="1" t="s">
        <v>516</v>
      </c>
      <c r="CL628" s="1" t="s">
        <v>209</v>
      </c>
      <c r="CM628" s="1" t="s">
        <v>207</v>
      </c>
      <c r="CO628" s="1" t="s">
        <v>495</v>
      </c>
      <c r="CP628" s="1" t="s">
        <v>42</v>
      </c>
      <c r="CQ628" s="1" t="s">
        <v>210</v>
      </c>
      <c r="CS628" s="1" t="s">
        <v>264</v>
      </c>
      <c r="CT628" s="1" t="s">
        <v>206</v>
      </c>
      <c r="CU628" s="1" t="s">
        <v>588</v>
      </c>
      <c r="CX628" s="1" t="s">
        <v>204</v>
      </c>
      <c r="DA628" s="1" t="s">
        <v>200</v>
      </c>
      <c r="DC628" s="1" t="s">
        <v>642</v>
      </c>
      <c r="DD628" s="1" t="s">
        <v>518</v>
      </c>
      <c r="DE628" s="1" t="s">
        <v>273</v>
      </c>
      <c r="DF628" s="1" t="s">
        <v>619</v>
      </c>
      <c r="DG628" s="1" t="s">
        <v>2311</v>
      </c>
      <c r="DH628" s="1" t="s">
        <v>307</v>
      </c>
      <c r="DI628" s="1" t="s">
        <v>1141</v>
      </c>
      <c r="DJ628" s="1" t="s">
        <v>3345</v>
      </c>
      <c r="DL628" s="1" t="s">
        <v>224</v>
      </c>
      <c r="DM628" s="1" t="s">
        <v>229</v>
      </c>
      <c r="DN628" s="1" t="s">
        <v>339</v>
      </c>
      <c r="DP628" s="1" t="s">
        <v>340</v>
      </c>
      <c r="DQ628" s="1" t="s">
        <v>228</v>
      </c>
      <c r="DR628" s="1" t="s">
        <v>229</v>
      </c>
      <c r="DS628" s="1" t="s">
        <v>591</v>
      </c>
      <c r="DV628" s="1" t="s">
        <v>232</v>
      </c>
      <c r="DW628" s="1" t="s">
        <v>7134</v>
      </c>
      <c r="DX628" s="1" t="s">
        <v>234</v>
      </c>
      <c r="DZ628" s="1" t="s">
        <v>766</v>
      </c>
      <c r="EC628" s="1" t="s">
        <v>237</v>
      </c>
      <c r="ED628" s="1" t="s">
        <v>407</v>
      </c>
      <c r="EE628" s="1" t="s">
        <v>493</v>
      </c>
      <c r="EM628" s="1" t="s">
        <v>238</v>
      </c>
      <c r="EQ628" s="1" t="s">
        <v>238</v>
      </c>
      <c r="EU628" s="1" t="s">
        <v>238</v>
      </c>
      <c r="EY628" s="1" t="s">
        <v>238</v>
      </c>
      <c r="FC628" s="1" t="s">
        <v>238</v>
      </c>
      <c r="FF628" s="1" t="s">
        <v>239</v>
      </c>
      <c r="FG628" s="1" t="s">
        <v>192</v>
      </c>
      <c r="FH628" s="1" t="s">
        <v>192</v>
      </c>
      <c r="FJ628" s="1" t="s">
        <v>412</v>
      </c>
      <c r="FK628" s="1" t="s">
        <v>229</v>
      </c>
      <c r="FL628" s="1" t="s">
        <v>7864</v>
      </c>
      <c r="FM628" s="1">
        <v>85100.0</v>
      </c>
      <c r="FN628" s="1" t="s">
        <v>7865</v>
      </c>
      <c r="FO628" s="1" t="s">
        <v>7866</v>
      </c>
      <c r="FP628" s="1">
        <v>132241.0</v>
      </c>
      <c r="FQ628" s="1" t="s">
        <v>7867</v>
      </c>
      <c r="FU628" s="1" t="s">
        <v>4733</v>
      </c>
      <c r="FV628" s="1" t="s">
        <v>200</v>
      </c>
      <c r="FW628" s="1" t="s">
        <v>7868</v>
      </c>
      <c r="FX628" s="1" t="s">
        <v>246</v>
      </c>
      <c r="FZ628" s="1" t="s">
        <v>229</v>
      </c>
      <c r="GA628" s="1" t="s">
        <v>291</v>
      </c>
      <c r="GB628" s="2">
        <v>42023.0</v>
      </c>
    </row>
    <row r="629">
      <c r="A629" s="1">
        <v>250000.0</v>
      </c>
      <c r="B629" s="1" t="s">
        <v>185</v>
      </c>
      <c r="C629" s="1" t="str">
        <f>"08798451"</f>
        <v>08798451</v>
      </c>
      <c r="D629" s="1" t="s">
        <v>186</v>
      </c>
      <c r="F629" s="1" t="str">
        <f>"123"</f>
        <v>123</v>
      </c>
      <c r="G629" s="2">
        <v>41981.0</v>
      </c>
      <c r="H629" s="1">
        <v>334900.0</v>
      </c>
      <c r="I629" s="1">
        <v>99.0</v>
      </c>
      <c r="J629" s="1">
        <v>279900.0</v>
      </c>
      <c r="K629" s="2">
        <v>42079.0</v>
      </c>
      <c r="L629" s="1">
        <v>99.0</v>
      </c>
      <c r="M629" s="2">
        <v>42079.0</v>
      </c>
      <c r="N629" s="1" t="s">
        <v>187</v>
      </c>
      <c r="O629" s="2">
        <v>42122.0</v>
      </c>
      <c r="P629" s="1">
        <v>2070.0</v>
      </c>
      <c r="Q629" s="1">
        <v>264.0</v>
      </c>
      <c r="S629" s="1">
        <v>3009.0</v>
      </c>
      <c r="T629" s="1" t="s">
        <v>7869</v>
      </c>
      <c r="U629" s="1" t="s">
        <v>189</v>
      </c>
      <c r="V629" s="1" t="s">
        <v>465</v>
      </c>
      <c r="W629" s="1">
        <v>60123.0</v>
      </c>
      <c r="Y629" s="1" t="s">
        <v>7870</v>
      </c>
      <c r="Z629" s="1">
        <v>2005.0</v>
      </c>
      <c r="AA629" s="1" t="s">
        <v>200</v>
      </c>
      <c r="AB629" s="1" t="s">
        <v>193</v>
      </c>
      <c r="AC629" s="1" t="s">
        <v>3682</v>
      </c>
      <c r="AD629" s="1" t="s">
        <v>469</v>
      </c>
      <c r="AE629" s="1" t="s">
        <v>325</v>
      </c>
      <c r="AF629" s="1" t="s">
        <v>469</v>
      </c>
      <c r="AH629" s="1">
        <v>10890.0</v>
      </c>
      <c r="AK629" s="1">
        <v>11.0</v>
      </c>
      <c r="AL629" s="1">
        <v>4.0</v>
      </c>
      <c r="AM629" s="1">
        <v>3.0</v>
      </c>
      <c r="AN629" s="1">
        <v>1.0</v>
      </c>
      <c r="AO629" s="1" t="s">
        <v>198</v>
      </c>
      <c r="AQ629" s="1" t="s">
        <v>198</v>
      </c>
      <c r="AR629" s="1" t="s">
        <v>192</v>
      </c>
      <c r="AS629" s="1" t="s">
        <v>199</v>
      </c>
      <c r="AT629" s="1">
        <v>2.0</v>
      </c>
      <c r="AV629" s="1" t="s">
        <v>200</v>
      </c>
      <c r="AW629" s="1">
        <v>8072.0</v>
      </c>
      <c r="AX629" s="1">
        <v>2013.0</v>
      </c>
      <c r="AY629" s="1" t="s">
        <v>387</v>
      </c>
      <c r="AZ629" s="1" t="s">
        <v>200</v>
      </c>
      <c r="BA629" s="1" t="str">
        <f>"0617152009"</f>
        <v>0617152009</v>
      </c>
      <c r="BB629" s="1" t="s">
        <v>200</v>
      </c>
      <c r="BC629" s="1">
        <v>2850.0</v>
      </c>
      <c r="BD629" s="1">
        <v>250000.0</v>
      </c>
      <c r="BE629" s="2">
        <v>41981.0</v>
      </c>
      <c r="BF629" s="2" t="s">
        <v>7871</v>
      </c>
      <c r="BH629" s="1">
        <v>275.0</v>
      </c>
      <c r="BK629" s="1" t="s">
        <v>580</v>
      </c>
      <c r="BL629" s="1" t="str">
        <f t="shared" ref="BL629:BM629" si="421">""</f>
        <v/>
      </c>
      <c r="BM629" s="1" t="str">
        <f t="shared" si="421"/>
        <v/>
      </c>
      <c r="BQ629" s="1">
        <v>301.0</v>
      </c>
      <c r="BR629" s="1">
        <v>301.0</v>
      </c>
      <c r="BS629" s="1">
        <v>301.0</v>
      </c>
      <c r="BU629" s="1" t="s">
        <v>1064</v>
      </c>
      <c r="BV629" s="1" t="s">
        <v>206</v>
      </c>
      <c r="BW629" s="1" t="s">
        <v>210</v>
      </c>
      <c r="BX629" s="1" t="s">
        <v>229</v>
      </c>
      <c r="BY629" s="1" t="s">
        <v>1299</v>
      </c>
      <c r="BZ629" s="1" t="s">
        <v>209</v>
      </c>
      <c r="CA629" s="1" t="s">
        <v>210</v>
      </c>
      <c r="CB629" s="1" t="s">
        <v>229</v>
      </c>
      <c r="CC629" s="1" t="s">
        <v>830</v>
      </c>
      <c r="CD629" s="1" t="s">
        <v>206</v>
      </c>
      <c r="CE629" s="1" t="s">
        <v>210</v>
      </c>
      <c r="CF629" s="1" t="s">
        <v>229</v>
      </c>
      <c r="CG629" s="1" t="s">
        <v>663</v>
      </c>
      <c r="CH629" s="1" t="s">
        <v>209</v>
      </c>
      <c r="CI629" s="1" t="s">
        <v>210</v>
      </c>
      <c r="CJ629" s="1" t="s">
        <v>229</v>
      </c>
      <c r="CK629" s="1" t="s">
        <v>363</v>
      </c>
      <c r="CL629" s="1" t="s">
        <v>209</v>
      </c>
      <c r="CM629" s="1" t="s">
        <v>210</v>
      </c>
      <c r="CN629" s="1" t="s">
        <v>229</v>
      </c>
      <c r="CO629" s="1" t="s">
        <v>663</v>
      </c>
      <c r="CP629" s="1" t="s">
        <v>209</v>
      </c>
      <c r="CQ629" s="1" t="s">
        <v>210</v>
      </c>
      <c r="CR629" s="1" t="s">
        <v>229</v>
      </c>
      <c r="CS629" s="1" t="s">
        <v>7781</v>
      </c>
      <c r="CT629" s="1" t="s">
        <v>206</v>
      </c>
      <c r="CU629" s="1" t="s">
        <v>207</v>
      </c>
      <c r="CV629" s="1" t="s">
        <v>229</v>
      </c>
      <c r="CW629" s="1" t="s">
        <v>1064</v>
      </c>
      <c r="CX629" s="1" t="s">
        <v>206</v>
      </c>
      <c r="CY629" s="1" t="s">
        <v>210</v>
      </c>
      <c r="CZ629" s="1" t="s">
        <v>229</v>
      </c>
      <c r="DA629" s="1" t="s">
        <v>200</v>
      </c>
      <c r="DC629" s="1" t="s">
        <v>481</v>
      </c>
      <c r="DE629" s="1" t="s">
        <v>273</v>
      </c>
      <c r="DF629" s="1" t="s">
        <v>219</v>
      </c>
      <c r="DH629" s="1" t="s">
        <v>220</v>
      </c>
      <c r="DJ629" s="1" t="s">
        <v>222</v>
      </c>
      <c r="DL629" s="1" t="s">
        <v>224</v>
      </c>
      <c r="DM629" s="1" t="s">
        <v>338</v>
      </c>
      <c r="DN629" s="1" t="s">
        <v>548</v>
      </c>
      <c r="DQ629" s="1" t="s">
        <v>228</v>
      </c>
      <c r="DR629" s="1" t="s">
        <v>588</v>
      </c>
      <c r="DV629" s="1" t="s">
        <v>7872</v>
      </c>
      <c r="DW629" s="1" t="s">
        <v>279</v>
      </c>
      <c r="DX629" s="1" t="s">
        <v>234</v>
      </c>
      <c r="DZ629" s="1" t="s">
        <v>310</v>
      </c>
      <c r="EA629" s="1" t="s">
        <v>1027</v>
      </c>
      <c r="EC629" s="1" t="s">
        <v>237</v>
      </c>
      <c r="EG629" s="1" t="s">
        <v>450</v>
      </c>
      <c r="EH629" s="1" t="s">
        <v>1824</v>
      </c>
      <c r="EI629" s="1" t="s">
        <v>557</v>
      </c>
      <c r="EL629" s="1" t="s">
        <v>7873</v>
      </c>
      <c r="EM629" s="1" t="s">
        <v>42</v>
      </c>
      <c r="EN629" s="1" t="s">
        <v>268</v>
      </c>
      <c r="EO629" s="1" t="s">
        <v>229</v>
      </c>
      <c r="EP629" s="1" t="s">
        <v>2273</v>
      </c>
      <c r="EQ629" s="1" t="s">
        <v>42</v>
      </c>
      <c r="ER629" s="1" t="s">
        <v>268</v>
      </c>
      <c r="ES629" s="1" t="s">
        <v>229</v>
      </c>
      <c r="ET629" s="1" t="s">
        <v>1351</v>
      </c>
      <c r="EU629" s="1" t="s">
        <v>42</v>
      </c>
      <c r="EV629" s="1" t="s">
        <v>268</v>
      </c>
      <c r="EW629" s="1" t="s">
        <v>229</v>
      </c>
      <c r="EY629" s="1" t="s">
        <v>238</v>
      </c>
      <c r="FC629" s="1" t="s">
        <v>238</v>
      </c>
      <c r="FF629" s="1" t="s">
        <v>239</v>
      </c>
      <c r="FG629" s="1" t="s">
        <v>192</v>
      </c>
      <c r="FH629" s="1" t="s">
        <v>192</v>
      </c>
      <c r="FJ629" s="1" t="s">
        <v>347</v>
      </c>
      <c r="FK629" s="1" t="s">
        <v>229</v>
      </c>
      <c r="FL629" s="1" t="s">
        <v>4635</v>
      </c>
      <c r="FM629" s="1">
        <v>1666.0</v>
      </c>
      <c r="FN629" s="1" t="s">
        <v>4636</v>
      </c>
      <c r="FO629" s="1" t="s">
        <v>4637</v>
      </c>
      <c r="FP629" s="1">
        <v>26352.0</v>
      </c>
      <c r="FQ629" s="1" t="s">
        <v>4638</v>
      </c>
      <c r="FU629" s="1" t="s">
        <v>7874</v>
      </c>
      <c r="FV629" s="1" t="s">
        <v>192</v>
      </c>
      <c r="FW629" s="1" t="s">
        <v>354</v>
      </c>
      <c r="FZ629" s="1" t="s">
        <v>229</v>
      </c>
      <c r="GA629" s="1" t="s">
        <v>291</v>
      </c>
      <c r="GB629" s="2">
        <v>42122.0</v>
      </c>
      <c r="GC629" s="1" t="s">
        <v>4640</v>
      </c>
    </row>
    <row r="630">
      <c r="A630" s="1">
        <v>205000.0</v>
      </c>
      <c r="B630" s="1" t="s">
        <v>185</v>
      </c>
      <c r="C630" s="1" t="str">
        <f>"08798144"</f>
        <v>08798144</v>
      </c>
      <c r="D630" s="1" t="s">
        <v>186</v>
      </c>
      <c r="F630" s="1" t="str">
        <f t="shared" ref="F630:F631" si="423">"103"</f>
        <v>103</v>
      </c>
      <c r="G630" s="2">
        <v>41979.0</v>
      </c>
      <c r="H630" s="1">
        <v>215000.0</v>
      </c>
      <c r="I630" s="1">
        <v>71.0</v>
      </c>
      <c r="J630" s="1">
        <v>215000.0</v>
      </c>
      <c r="K630" s="2">
        <v>42049.0</v>
      </c>
      <c r="L630" s="1">
        <v>71.0</v>
      </c>
      <c r="M630" s="2">
        <v>42049.0</v>
      </c>
      <c r="N630" s="1" t="s">
        <v>249</v>
      </c>
      <c r="O630" s="2">
        <v>42069.0</v>
      </c>
      <c r="P630" s="1">
        <v>219233.0</v>
      </c>
      <c r="Q630" s="1">
        <v>1109.0</v>
      </c>
      <c r="S630" s="1">
        <v>6809.0</v>
      </c>
      <c r="T630" s="1" t="s">
        <v>2321</v>
      </c>
      <c r="U630" s="1" t="s">
        <v>320</v>
      </c>
      <c r="V630" s="1" t="s">
        <v>251</v>
      </c>
      <c r="W630" s="1">
        <v>60133.0</v>
      </c>
      <c r="Y630" s="1" t="s">
        <v>7875</v>
      </c>
      <c r="Z630" s="1">
        <v>1964.0</v>
      </c>
      <c r="AA630" s="1" t="s">
        <v>192</v>
      </c>
      <c r="AB630" s="1" t="s">
        <v>193</v>
      </c>
      <c r="AC630" s="1" t="s">
        <v>253</v>
      </c>
      <c r="AD630" s="1" t="s">
        <v>254</v>
      </c>
      <c r="AE630" s="1" t="s">
        <v>195</v>
      </c>
      <c r="AF630" s="1" t="s">
        <v>255</v>
      </c>
      <c r="AH630" s="1" t="s">
        <v>256</v>
      </c>
      <c r="AI630" s="1">
        <v>0.1791</v>
      </c>
      <c r="AK630" s="1">
        <v>9.0</v>
      </c>
      <c r="AL630" s="1">
        <v>4.0</v>
      </c>
      <c r="AM630" s="1">
        <v>2.0</v>
      </c>
      <c r="AN630" s="1">
        <v>0.0</v>
      </c>
      <c r="AO630" s="1" t="s">
        <v>229</v>
      </c>
      <c r="AP630" s="1">
        <v>1.0</v>
      </c>
      <c r="AQ630" s="1" t="s">
        <v>198</v>
      </c>
      <c r="AR630" s="1" t="s">
        <v>192</v>
      </c>
      <c r="AS630" s="1" t="s">
        <v>199</v>
      </c>
      <c r="AT630" s="1">
        <v>2.5</v>
      </c>
      <c r="AV630" s="1" t="s">
        <v>200</v>
      </c>
      <c r="AW630" s="1">
        <v>5472.23</v>
      </c>
      <c r="AX630" s="1">
        <v>2012.0</v>
      </c>
      <c r="AY630" s="1" t="s">
        <v>387</v>
      </c>
      <c r="AZ630" s="1" t="s">
        <v>200</v>
      </c>
      <c r="BA630" s="1" t="str">
        <f>"07311020360000"</f>
        <v>07311020360000</v>
      </c>
      <c r="BB630" s="1" t="s">
        <v>200</v>
      </c>
      <c r="BC630" s="1">
        <v>1516.0</v>
      </c>
      <c r="BD630" s="1">
        <v>205000.0</v>
      </c>
      <c r="BE630" s="2">
        <v>41979.0</v>
      </c>
      <c r="BF630" s="2" t="s">
        <v>7876</v>
      </c>
      <c r="BG630" s="1" t="s">
        <v>7277</v>
      </c>
      <c r="BH630" s="1">
        <v>0.0</v>
      </c>
      <c r="BI630" s="1" t="s">
        <v>7877</v>
      </c>
      <c r="BJ630" s="1" t="s">
        <v>259</v>
      </c>
      <c r="BK630" s="1" t="s">
        <v>204</v>
      </c>
      <c r="BL630" s="1" t="str">
        <f t="shared" ref="BL630:BM630" si="422">""</f>
        <v/>
      </c>
      <c r="BM630" s="1" t="str">
        <f t="shared" si="422"/>
        <v/>
      </c>
      <c r="BQ630" s="1">
        <v>54.0</v>
      </c>
      <c r="BR630" s="1">
        <v>211.0</v>
      </c>
      <c r="BS630" s="1">
        <v>54.0</v>
      </c>
      <c r="BU630" s="1" t="s">
        <v>1483</v>
      </c>
      <c r="BV630" s="1" t="s">
        <v>206</v>
      </c>
      <c r="BW630" s="1" t="s">
        <v>210</v>
      </c>
      <c r="BX630" s="1" t="s">
        <v>239</v>
      </c>
      <c r="BY630" s="1" t="s">
        <v>729</v>
      </c>
      <c r="BZ630" s="1" t="s">
        <v>206</v>
      </c>
      <c r="CA630" s="1" t="s">
        <v>301</v>
      </c>
      <c r="CB630" s="1" t="s">
        <v>239</v>
      </c>
      <c r="CC630" s="1" t="s">
        <v>265</v>
      </c>
      <c r="CD630" s="1" t="s">
        <v>206</v>
      </c>
      <c r="CE630" s="1" t="s">
        <v>301</v>
      </c>
      <c r="CF630" s="1" t="s">
        <v>239</v>
      </c>
      <c r="CG630" s="1" t="s">
        <v>264</v>
      </c>
      <c r="CH630" s="1" t="s">
        <v>206</v>
      </c>
      <c r="CI630" s="1" t="s">
        <v>301</v>
      </c>
      <c r="CJ630" s="1" t="s">
        <v>239</v>
      </c>
      <c r="CK630" s="1" t="s">
        <v>516</v>
      </c>
      <c r="CL630" s="1" t="s">
        <v>206</v>
      </c>
      <c r="CM630" s="1" t="s">
        <v>301</v>
      </c>
      <c r="CN630" s="1" t="s">
        <v>239</v>
      </c>
      <c r="CO630" s="1" t="s">
        <v>332</v>
      </c>
      <c r="CP630" s="1" t="s">
        <v>267</v>
      </c>
      <c r="CQ630" s="1" t="s">
        <v>210</v>
      </c>
      <c r="CR630" s="1" t="s">
        <v>239</v>
      </c>
      <c r="CS630" s="1" t="s">
        <v>497</v>
      </c>
      <c r="CT630" s="1" t="s">
        <v>206</v>
      </c>
      <c r="CU630" s="1" t="s">
        <v>301</v>
      </c>
      <c r="CV630" s="1" t="s">
        <v>239</v>
      </c>
      <c r="CW630" s="1" t="s">
        <v>955</v>
      </c>
      <c r="CX630" s="1" t="s">
        <v>267</v>
      </c>
      <c r="CY630" s="1" t="s">
        <v>210</v>
      </c>
      <c r="CZ630" s="1" t="s">
        <v>239</v>
      </c>
      <c r="DA630" s="1" t="s">
        <v>200</v>
      </c>
      <c r="DC630" s="1" t="s">
        <v>271</v>
      </c>
      <c r="DE630" s="1" t="s">
        <v>273</v>
      </c>
      <c r="DF630" s="1" t="s">
        <v>219</v>
      </c>
      <c r="DG630" s="1" t="s">
        <v>337</v>
      </c>
      <c r="DH630" s="1" t="s">
        <v>307</v>
      </c>
      <c r="DI630" s="1" t="s">
        <v>703</v>
      </c>
      <c r="DJ630" s="1" t="s">
        <v>222</v>
      </c>
      <c r="DL630" s="1" t="s">
        <v>224</v>
      </c>
      <c r="DM630" s="1" t="s">
        <v>1658</v>
      </c>
      <c r="DN630" s="1" t="s">
        <v>7878</v>
      </c>
      <c r="DO630" s="1" t="s">
        <v>549</v>
      </c>
      <c r="DP630" s="1" t="s">
        <v>400</v>
      </c>
      <c r="DQ630" s="1" t="s">
        <v>228</v>
      </c>
      <c r="DR630" s="1" t="s">
        <v>229</v>
      </c>
      <c r="DU630" s="1" t="s">
        <v>7879</v>
      </c>
      <c r="DV630" s="1" t="s">
        <v>557</v>
      </c>
      <c r="DW630" s="1" t="s">
        <v>5175</v>
      </c>
      <c r="DX630" s="1" t="s">
        <v>234</v>
      </c>
      <c r="DY630" s="1" t="s">
        <v>7880</v>
      </c>
      <c r="DZ630" s="1" t="s">
        <v>7881</v>
      </c>
      <c r="EB630" s="1" t="s">
        <v>448</v>
      </c>
      <c r="EC630" s="1" t="s">
        <v>311</v>
      </c>
      <c r="ED630" s="1" t="s">
        <v>407</v>
      </c>
      <c r="EE630" s="1" t="s">
        <v>493</v>
      </c>
      <c r="EG630" s="1" t="s">
        <v>557</v>
      </c>
      <c r="EL630" s="1" t="s">
        <v>1244</v>
      </c>
      <c r="EM630" s="1" t="s">
        <v>267</v>
      </c>
      <c r="EN630" s="1" t="s">
        <v>210</v>
      </c>
      <c r="EO630" s="1" t="s">
        <v>239</v>
      </c>
      <c r="EQ630" s="1" t="s">
        <v>238</v>
      </c>
      <c r="EU630" s="1" t="s">
        <v>238</v>
      </c>
      <c r="EY630" s="1" t="s">
        <v>238</v>
      </c>
      <c r="FC630" s="1" t="s">
        <v>238</v>
      </c>
      <c r="FF630" s="1" t="s">
        <v>239</v>
      </c>
      <c r="FG630" s="1" t="s">
        <v>192</v>
      </c>
      <c r="FH630" s="1" t="s">
        <v>192</v>
      </c>
      <c r="FJ630" s="1" t="s">
        <v>7882</v>
      </c>
      <c r="FK630" s="1" t="s">
        <v>229</v>
      </c>
      <c r="FL630" s="1" t="s">
        <v>7883</v>
      </c>
      <c r="FM630" s="1">
        <v>22739.0</v>
      </c>
      <c r="FN630" s="1" t="s">
        <v>7884</v>
      </c>
      <c r="FO630" s="1" t="s">
        <v>7885</v>
      </c>
      <c r="FP630" s="1">
        <v>231119.0</v>
      </c>
      <c r="FQ630" s="1" t="s">
        <v>7886</v>
      </c>
      <c r="FS630" s="1" t="s">
        <v>7887</v>
      </c>
      <c r="FU630" s="1" t="s">
        <v>7888</v>
      </c>
      <c r="FV630" s="1" t="s">
        <v>200</v>
      </c>
      <c r="FW630" s="1" t="s">
        <v>530</v>
      </c>
      <c r="FZ630" s="1" t="s">
        <v>229</v>
      </c>
      <c r="GA630" s="1" t="s">
        <v>291</v>
      </c>
      <c r="GB630" s="2">
        <v>42069.0</v>
      </c>
      <c r="GC630" s="1" t="s">
        <v>7889</v>
      </c>
    </row>
    <row r="631">
      <c r="A631" s="1">
        <v>119900.0</v>
      </c>
      <c r="B631" s="1" t="s">
        <v>185</v>
      </c>
      <c r="C631" s="1" t="str">
        <f>"08798570"</f>
        <v>08798570</v>
      </c>
      <c r="D631" s="1" t="s">
        <v>186</v>
      </c>
      <c r="F631" s="1" t="str">
        <f t="shared" si="423"/>
        <v>103</v>
      </c>
      <c r="G631" s="2">
        <v>41981.0</v>
      </c>
      <c r="H631" s="1">
        <v>139900.0</v>
      </c>
      <c r="I631" s="1">
        <v>160.0</v>
      </c>
      <c r="J631" s="1">
        <v>119900.0</v>
      </c>
      <c r="K631" s="2">
        <v>42045.0</v>
      </c>
      <c r="L631" s="1">
        <v>65.0</v>
      </c>
      <c r="M631" s="2">
        <v>42045.0</v>
      </c>
      <c r="N631" s="1" t="s">
        <v>249</v>
      </c>
      <c r="O631" s="2">
        <v>42061.0</v>
      </c>
      <c r="P631" s="1">
        <v>242030.0</v>
      </c>
      <c r="Q631" s="1">
        <v>25808.0</v>
      </c>
      <c r="S631" s="1">
        <v>2193.0</v>
      </c>
      <c r="T631" s="1" t="s">
        <v>7890</v>
      </c>
      <c r="U631" s="1" t="s">
        <v>320</v>
      </c>
      <c r="V631" s="1" t="s">
        <v>251</v>
      </c>
      <c r="W631" s="1">
        <v>60133.0</v>
      </c>
      <c r="Y631" s="1" t="s">
        <v>7891</v>
      </c>
      <c r="Z631" s="1">
        <v>1973.0</v>
      </c>
      <c r="AA631" s="1" t="s">
        <v>192</v>
      </c>
      <c r="AB631" s="1" t="s">
        <v>193</v>
      </c>
      <c r="AC631" s="1" t="s">
        <v>508</v>
      </c>
      <c r="AD631" s="1" t="s">
        <v>254</v>
      </c>
      <c r="AE631" s="1" t="s">
        <v>195</v>
      </c>
      <c r="AF631" s="1" t="s">
        <v>298</v>
      </c>
      <c r="AH631" s="1" t="s">
        <v>7892</v>
      </c>
      <c r="AK631" s="1">
        <v>6.0</v>
      </c>
      <c r="AL631" s="1">
        <v>4.0</v>
      </c>
      <c r="AM631" s="1">
        <v>2.0</v>
      </c>
      <c r="AN631" s="1">
        <v>0.0</v>
      </c>
      <c r="AO631" s="1" t="s">
        <v>229</v>
      </c>
      <c r="AQ631" s="1" t="s">
        <v>472</v>
      </c>
      <c r="AR631" s="1" t="s">
        <v>192</v>
      </c>
      <c r="AS631" s="1" t="s">
        <v>199</v>
      </c>
      <c r="AT631" s="1">
        <v>2.0</v>
      </c>
      <c r="AV631" s="1" t="s">
        <v>200</v>
      </c>
      <c r="AW631" s="1">
        <v>5008.0</v>
      </c>
      <c r="AX631" s="1">
        <v>2012.0</v>
      </c>
      <c r="AY631" s="1" t="s">
        <v>229</v>
      </c>
      <c r="AZ631" s="1" t="s">
        <v>200</v>
      </c>
      <c r="BA631" s="1" t="str">
        <f>"06363130150000"</f>
        <v>06363130150000</v>
      </c>
      <c r="BB631" s="1" t="s">
        <v>200</v>
      </c>
      <c r="BC631" s="1">
        <v>748.0</v>
      </c>
      <c r="BD631" s="1">
        <v>119900.0</v>
      </c>
      <c r="BE631" s="2">
        <v>41981.0</v>
      </c>
      <c r="BF631" s="2" t="s">
        <v>7893</v>
      </c>
      <c r="BG631" s="1" t="s">
        <v>7894</v>
      </c>
      <c r="BH631" s="1">
        <v>0.0</v>
      </c>
      <c r="BI631" s="1" t="s">
        <v>513</v>
      </c>
      <c r="BJ631" s="1" t="s">
        <v>757</v>
      </c>
      <c r="BK631" s="1" t="s">
        <v>204</v>
      </c>
      <c r="BL631" s="1" t="str">
        <f>"8"</f>
        <v>8</v>
      </c>
      <c r="BM631" s="1" t="str">
        <f>"0"</f>
        <v>0</v>
      </c>
      <c r="BN631" s="1">
        <v>27.0</v>
      </c>
      <c r="BO631" s="1">
        <v>0.0</v>
      </c>
      <c r="BQ631" s="1">
        <v>46.0</v>
      </c>
      <c r="BR631" s="1">
        <v>46.0</v>
      </c>
      <c r="BS631" s="1">
        <v>46.0</v>
      </c>
      <c r="BU631" s="1" t="s">
        <v>262</v>
      </c>
      <c r="BV631" s="1" t="s">
        <v>206</v>
      </c>
      <c r="BW631" s="1" t="s">
        <v>268</v>
      </c>
      <c r="BY631" s="1" t="s">
        <v>215</v>
      </c>
      <c r="BZ631" s="1" t="s">
        <v>206</v>
      </c>
      <c r="CA631" s="1" t="s">
        <v>1790</v>
      </c>
      <c r="CD631" s="1" t="s">
        <v>204</v>
      </c>
      <c r="CG631" s="1" t="s">
        <v>495</v>
      </c>
      <c r="CH631" s="1" t="s">
        <v>206</v>
      </c>
      <c r="CI631" s="1" t="s">
        <v>1790</v>
      </c>
      <c r="CK631" s="1" t="s">
        <v>264</v>
      </c>
      <c r="CL631" s="1" t="s">
        <v>267</v>
      </c>
      <c r="CM631" s="1" t="s">
        <v>268</v>
      </c>
      <c r="CO631" s="1" t="s">
        <v>329</v>
      </c>
      <c r="CP631" s="1" t="s">
        <v>267</v>
      </c>
      <c r="CQ631" s="1" t="s">
        <v>268</v>
      </c>
      <c r="CS631" s="1" t="s">
        <v>582</v>
      </c>
      <c r="CT631" s="1" t="s">
        <v>206</v>
      </c>
      <c r="CU631" s="1" t="s">
        <v>268</v>
      </c>
      <c r="CX631" s="1" t="s">
        <v>204</v>
      </c>
      <c r="DA631" s="1" t="s">
        <v>200</v>
      </c>
      <c r="DC631" s="1" t="s">
        <v>517</v>
      </c>
      <c r="DE631" s="1" t="s">
        <v>273</v>
      </c>
      <c r="DF631" s="1" t="s">
        <v>619</v>
      </c>
      <c r="DH631" s="1" t="s">
        <v>220</v>
      </c>
      <c r="DJ631" s="1" t="s">
        <v>222</v>
      </c>
      <c r="DL631" s="1" t="s">
        <v>224</v>
      </c>
      <c r="DM631" s="1" t="s">
        <v>229</v>
      </c>
      <c r="DQ631" s="1" t="s">
        <v>441</v>
      </c>
      <c r="DR631" s="1" t="s">
        <v>229</v>
      </c>
      <c r="DU631" s="1" t="s">
        <v>1355</v>
      </c>
      <c r="DV631" s="1" t="s">
        <v>232</v>
      </c>
      <c r="DW631" s="1" t="s">
        <v>233</v>
      </c>
      <c r="DX631" s="1" t="s">
        <v>234</v>
      </c>
      <c r="EC631" s="1" t="s">
        <v>311</v>
      </c>
      <c r="EM631" s="1" t="s">
        <v>238</v>
      </c>
      <c r="EQ631" s="1" t="s">
        <v>238</v>
      </c>
      <c r="EU631" s="1" t="s">
        <v>238</v>
      </c>
      <c r="EY631" s="1" t="s">
        <v>238</v>
      </c>
      <c r="FC631" s="1" t="s">
        <v>238</v>
      </c>
      <c r="FF631" s="1" t="s">
        <v>239</v>
      </c>
      <c r="FG631" s="1" t="s">
        <v>192</v>
      </c>
      <c r="FH631" s="1" t="s">
        <v>192</v>
      </c>
      <c r="FJ631" s="1" t="s">
        <v>1248</v>
      </c>
      <c r="FK631" s="1" t="s">
        <v>229</v>
      </c>
      <c r="FL631" s="1" t="s">
        <v>286</v>
      </c>
      <c r="FM631" s="1">
        <v>23948.0</v>
      </c>
      <c r="FN631" s="1" t="s">
        <v>287</v>
      </c>
      <c r="FO631" s="1" t="s">
        <v>7895</v>
      </c>
      <c r="FP631" s="1">
        <v>214765.0</v>
      </c>
      <c r="FQ631" s="1" t="s">
        <v>7896</v>
      </c>
      <c r="FU631" s="1" t="s">
        <v>3678</v>
      </c>
      <c r="FV631" s="1" t="s">
        <v>200</v>
      </c>
      <c r="FW631" s="1" t="s">
        <v>354</v>
      </c>
      <c r="FZ631" s="1" t="s">
        <v>229</v>
      </c>
      <c r="GA631" s="1" t="s">
        <v>291</v>
      </c>
      <c r="GB631" s="2">
        <v>42061.0</v>
      </c>
      <c r="GC631" s="1" t="s">
        <v>7897</v>
      </c>
    </row>
    <row r="632">
      <c r="A632" s="1">
        <v>182620.0</v>
      </c>
      <c r="B632" s="1" t="s">
        <v>185</v>
      </c>
      <c r="C632" s="1" t="str">
        <f>"08797893"</f>
        <v>08797893</v>
      </c>
      <c r="D632" s="1" t="s">
        <v>186</v>
      </c>
      <c r="F632" s="1" t="str">
        <f>"8075"</f>
        <v>8075</v>
      </c>
      <c r="G632" s="2">
        <v>41978.0</v>
      </c>
      <c r="H632" s="1">
        <v>174900.0</v>
      </c>
      <c r="I632" s="1">
        <v>34.0</v>
      </c>
      <c r="J632" s="1">
        <v>174900.0</v>
      </c>
      <c r="K632" s="2">
        <v>42011.0</v>
      </c>
      <c r="L632" s="1">
        <v>34.0</v>
      </c>
      <c r="M632" s="2">
        <v>42011.0</v>
      </c>
      <c r="N632" s="1" t="s">
        <v>356</v>
      </c>
      <c r="O632" s="2">
        <v>42075.0</v>
      </c>
      <c r="P632" s="1">
        <v>215837.0</v>
      </c>
      <c r="Q632" s="1">
        <v>61080.0</v>
      </c>
      <c r="R632" s="1">
        <v>4610.18</v>
      </c>
      <c r="S632" s="1">
        <v>10728.0</v>
      </c>
      <c r="T632" s="1" t="s">
        <v>7898</v>
      </c>
      <c r="U632" s="1" t="s">
        <v>189</v>
      </c>
      <c r="V632" s="1" t="s">
        <v>190</v>
      </c>
      <c r="W632" s="1">
        <v>60643.0</v>
      </c>
      <c r="Y632" s="1" t="s">
        <v>7899</v>
      </c>
      <c r="Z632" s="1">
        <v>1920.0</v>
      </c>
      <c r="AA632" s="1" t="s">
        <v>192</v>
      </c>
      <c r="AB632" s="1" t="s">
        <v>193</v>
      </c>
      <c r="AD632" s="1" t="s">
        <v>194</v>
      </c>
      <c r="AE632" s="1" t="s">
        <v>195</v>
      </c>
      <c r="AF632" s="1" t="s">
        <v>659</v>
      </c>
      <c r="AH632" s="1" t="s">
        <v>7900</v>
      </c>
      <c r="AI632" s="1">
        <v>0.1007</v>
      </c>
      <c r="AK632" s="1">
        <v>7.0</v>
      </c>
      <c r="AL632" s="1">
        <v>4.0</v>
      </c>
      <c r="AM632" s="1">
        <v>2.0</v>
      </c>
      <c r="AN632" s="1">
        <v>0.0</v>
      </c>
      <c r="AO632" s="1" t="s">
        <v>229</v>
      </c>
      <c r="AQ632" s="1" t="s">
        <v>198</v>
      </c>
      <c r="AR632" s="1" t="s">
        <v>200</v>
      </c>
      <c r="AS632" s="1" t="s">
        <v>828</v>
      </c>
      <c r="AU632" s="1">
        <v>2.0</v>
      </c>
      <c r="AV632" s="1" t="s">
        <v>200</v>
      </c>
      <c r="AW632" s="1">
        <v>2654.25</v>
      </c>
      <c r="AX632" s="1">
        <v>2012.0</v>
      </c>
      <c r="AZ632" s="1" t="s">
        <v>200</v>
      </c>
      <c r="BA632" s="1" t="str">
        <f>"25184010090000"</f>
        <v>25184010090000</v>
      </c>
      <c r="BC632" s="1">
        <v>1515.0</v>
      </c>
      <c r="BD632" s="1">
        <v>182620.0</v>
      </c>
      <c r="BE632" s="2">
        <v>41978.0</v>
      </c>
      <c r="BF632" s="2" t="s">
        <v>7901</v>
      </c>
      <c r="BH632" s="1">
        <v>0.0</v>
      </c>
      <c r="BK632" s="1" t="s">
        <v>204</v>
      </c>
      <c r="BL632" s="1" t="str">
        <f t="shared" ref="BL632:BM632" si="424">"0"</f>
        <v>0</v>
      </c>
      <c r="BM632" s="1" t="str">
        <f t="shared" si="424"/>
        <v>0</v>
      </c>
      <c r="BN632" s="1">
        <v>1900.0</v>
      </c>
      <c r="BO632" s="1">
        <v>10700.0</v>
      </c>
      <c r="BQ632" s="1">
        <v>299.0</v>
      </c>
      <c r="BR632" s="1">
        <v>299.0</v>
      </c>
      <c r="BS632" s="1">
        <v>299.0</v>
      </c>
      <c r="BU632" s="1" t="s">
        <v>332</v>
      </c>
      <c r="BV632" s="1" t="s">
        <v>206</v>
      </c>
      <c r="BW632" s="1" t="s">
        <v>207</v>
      </c>
      <c r="BY632" s="1" t="s">
        <v>332</v>
      </c>
      <c r="BZ632" s="1" t="s">
        <v>206</v>
      </c>
      <c r="CA632" s="1" t="s">
        <v>207</v>
      </c>
      <c r="CC632" s="1" t="s">
        <v>1064</v>
      </c>
      <c r="CD632" s="1" t="s">
        <v>206</v>
      </c>
      <c r="CE632" s="1" t="s">
        <v>207</v>
      </c>
      <c r="CG632" s="1" t="s">
        <v>212</v>
      </c>
      <c r="CH632" s="1" t="s">
        <v>206</v>
      </c>
      <c r="CI632" s="1" t="s">
        <v>207</v>
      </c>
      <c r="CK632" s="1" t="s">
        <v>211</v>
      </c>
      <c r="CL632" s="1" t="s">
        <v>209</v>
      </c>
      <c r="CM632" s="1" t="s">
        <v>210</v>
      </c>
      <c r="CO632" s="1" t="s">
        <v>729</v>
      </c>
      <c r="CP632" s="1" t="s">
        <v>206</v>
      </c>
      <c r="CQ632" s="1" t="s">
        <v>210</v>
      </c>
      <c r="CS632" s="1" t="s">
        <v>433</v>
      </c>
      <c r="CT632" s="1" t="s">
        <v>206</v>
      </c>
      <c r="CU632" s="1" t="s">
        <v>207</v>
      </c>
      <c r="CX632" s="1" t="s">
        <v>204</v>
      </c>
      <c r="DA632" s="1" t="s">
        <v>200</v>
      </c>
      <c r="DC632" s="1" t="s">
        <v>216</v>
      </c>
      <c r="DE632" s="1" t="s">
        <v>273</v>
      </c>
      <c r="DF632" s="1" t="s">
        <v>219</v>
      </c>
      <c r="DH632" s="1" t="s">
        <v>307</v>
      </c>
      <c r="DJ632" s="1" t="s">
        <v>222</v>
      </c>
      <c r="DL632" s="1" t="s">
        <v>223</v>
      </c>
      <c r="DM632" s="1" t="s">
        <v>229</v>
      </c>
      <c r="DQ632" s="1" t="s">
        <v>228</v>
      </c>
      <c r="DR632" s="1" t="s">
        <v>229</v>
      </c>
      <c r="DV632" s="1" t="s">
        <v>232</v>
      </c>
      <c r="DW632" s="1" t="s">
        <v>279</v>
      </c>
      <c r="DX632" s="1" t="s">
        <v>309</v>
      </c>
      <c r="EC632" s="1" t="s">
        <v>645</v>
      </c>
      <c r="EM632" s="1" t="s">
        <v>238</v>
      </c>
      <c r="EQ632" s="1" t="s">
        <v>238</v>
      </c>
      <c r="EU632" s="1" t="s">
        <v>238</v>
      </c>
      <c r="EY632" s="1" t="s">
        <v>238</v>
      </c>
      <c r="FC632" s="1" t="s">
        <v>238</v>
      </c>
      <c r="FF632" s="1" t="s">
        <v>239</v>
      </c>
      <c r="FG632" s="1" t="s">
        <v>192</v>
      </c>
      <c r="FH632" s="1" t="s">
        <v>192</v>
      </c>
      <c r="FJ632" s="1" t="s">
        <v>524</v>
      </c>
      <c r="FK632" s="1" t="s">
        <v>229</v>
      </c>
      <c r="FL632" s="1" t="s">
        <v>1625</v>
      </c>
      <c r="FM632" s="1">
        <v>16416.0</v>
      </c>
      <c r="FN632" s="1" t="s">
        <v>1626</v>
      </c>
      <c r="FO632" s="1" t="s">
        <v>1627</v>
      </c>
      <c r="FP632" s="1">
        <v>143061.0</v>
      </c>
      <c r="FQ632" s="1" t="s">
        <v>1626</v>
      </c>
      <c r="FU632" s="1" t="s">
        <v>1628</v>
      </c>
      <c r="FV632" s="1" t="s">
        <v>200</v>
      </c>
      <c r="FW632" s="1" t="s">
        <v>290</v>
      </c>
      <c r="FX632" s="1" t="s">
        <v>655</v>
      </c>
      <c r="FZ632" s="1" t="s">
        <v>229</v>
      </c>
      <c r="GA632" s="1" t="s">
        <v>291</v>
      </c>
      <c r="GB632" s="2">
        <v>42083.0</v>
      </c>
    </row>
    <row r="633">
      <c r="A633" s="1">
        <v>248000.0</v>
      </c>
      <c r="B633" s="1" t="s">
        <v>185</v>
      </c>
      <c r="C633" s="1" t="str">
        <f>"08801933"</f>
        <v>08801933</v>
      </c>
      <c r="D633" s="1" t="s">
        <v>186</v>
      </c>
      <c r="F633" s="1" t="str">
        <f>"123"</f>
        <v>123</v>
      </c>
      <c r="G633" s="2">
        <v>41987.0</v>
      </c>
      <c r="H633" s="1">
        <v>264900.0</v>
      </c>
      <c r="I633" s="1">
        <v>31.0</v>
      </c>
      <c r="J633" s="1">
        <v>264900.0</v>
      </c>
      <c r="K633" s="2">
        <v>42016.0</v>
      </c>
      <c r="L633" s="1">
        <v>31.0</v>
      </c>
      <c r="M633" s="2">
        <v>42016.0</v>
      </c>
      <c r="N633" s="1" t="s">
        <v>356</v>
      </c>
      <c r="O633" s="2">
        <v>42054.0</v>
      </c>
      <c r="P633" s="1">
        <v>237561.0</v>
      </c>
      <c r="Q633" s="1">
        <v>1666.0</v>
      </c>
      <c r="S633" s="1">
        <v>756.0</v>
      </c>
      <c r="T633" s="1" t="s">
        <v>7902</v>
      </c>
      <c r="U633" s="1" t="s">
        <v>569</v>
      </c>
      <c r="V633" s="1" t="s">
        <v>465</v>
      </c>
      <c r="W633" s="1">
        <v>60124.0</v>
      </c>
      <c r="Y633" s="1" t="s">
        <v>7903</v>
      </c>
      <c r="Z633" s="1">
        <v>1996.0</v>
      </c>
      <c r="AA633" s="1" t="s">
        <v>200</v>
      </c>
      <c r="AB633" s="1" t="s">
        <v>193</v>
      </c>
      <c r="AD633" s="1" t="s">
        <v>469</v>
      </c>
      <c r="AE633" s="1" t="s">
        <v>325</v>
      </c>
      <c r="AF633" s="1" t="s">
        <v>469</v>
      </c>
      <c r="AH633" s="1" t="s">
        <v>7904</v>
      </c>
      <c r="AK633" s="1">
        <v>10.0</v>
      </c>
      <c r="AL633" s="1">
        <v>3.0</v>
      </c>
      <c r="AM633" s="1">
        <v>3.0</v>
      </c>
      <c r="AN633" s="1">
        <v>1.0</v>
      </c>
      <c r="AO633" s="1" t="s">
        <v>198</v>
      </c>
      <c r="AQ633" s="1" t="s">
        <v>198</v>
      </c>
      <c r="AR633" s="1" t="s">
        <v>192</v>
      </c>
      <c r="AS633" s="1" t="s">
        <v>199</v>
      </c>
      <c r="AT633" s="1">
        <v>2.0</v>
      </c>
      <c r="AV633" s="1" t="s">
        <v>200</v>
      </c>
      <c r="AW633" s="1">
        <v>6548.11</v>
      </c>
      <c r="AX633" s="1">
        <v>2013.0</v>
      </c>
      <c r="AY633" s="1" t="s">
        <v>387</v>
      </c>
      <c r="AZ633" s="1" t="s">
        <v>200</v>
      </c>
      <c r="BA633" s="1" t="str">
        <f>"0628103012"</f>
        <v>0628103012</v>
      </c>
      <c r="BC633" s="1">
        <v>2819.0</v>
      </c>
      <c r="BD633" s="1">
        <v>248000.0</v>
      </c>
      <c r="BE633" s="2">
        <v>41986.0</v>
      </c>
      <c r="BF633" s="2" t="s">
        <v>7905</v>
      </c>
      <c r="BH633" s="1">
        <v>50.0</v>
      </c>
      <c r="BK633" s="1" t="s">
        <v>580</v>
      </c>
      <c r="BL633" s="1" t="str">
        <f t="shared" ref="BL633:BM633" si="425">""</f>
        <v/>
      </c>
      <c r="BM633" s="1" t="str">
        <f t="shared" si="425"/>
        <v/>
      </c>
      <c r="BQ633" s="1">
        <v>46.0</v>
      </c>
      <c r="BR633" s="1">
        <v>46.0</v>
      </c>
      <c r="BS633" s="1">
        <v>46.0</v>
      </c>
      <c r="BU633" s="1" t="s">
        <v>433</v>
      </c>
      <c r="BV633" s="1" t="s">
        <v>206</v>
      </c>
      <c r="BW633" s="1" t="s">
        <v>210</v>
      </c>
      <c r="BY633" s="1" t="s">
        <v>333</v>
      </c>
      <c r="BZ633" s="1" t="s">
        <v>209</v>
      </c>
      <c r="CA633" s="1" t="s">
        <v>210</v>
      </c>
      <c r="CC633" s="1" t="s">
        <v>212</v>
      </c>
      <c r="CD633" s="1" t="s">
        <v>206</v>
      </c>
      <c r="CE633" s="1" t="s">
        <v>210</v>
      </c>
      <c r="CG633" s="1" t="s">
        <v>329</v>
      </c>
      <c r="CH633" s="1" t="s">
        <v>209</v>
      </c>
      <c r="CI633" s="1" t="s">
        <v>210</v>
      </c>
      <c r="CK633" s="1" t="s">
        <v>454</v>
      </c>
      <c r="CL633" s="1" t="s">
        <v>209</v>
      </c>
      <c r="CM633" s="1" t="s">
        <v>210</v>
      </c>
      <c r="CO633" s="1" t="s">
        <v>758</v>
      </c>
      <c r="CP633" s="1" t="s">
        <v>42</v>
      </c>
      <c r="CQ633" s="1" t="s">
        <v>210</v>
      </c>
      <c r="CS633" s="1" t="s">
        <v>495</v>
      </c>
      <c r="CT633" s="1" t="s">
        <v>206</v>
      </c>
      <c r="CU633" s="1" t="s">
        <v>268</v>
      </c>
      <c r="CW633" s="1" t="s">
        <v>540</v>
      </c>
      <c r="CX633" s="1" t="s">
        <v>206</v>
      </c>
      <c r="CY633" s="1" t="s">
        <v>210</v>
      </c>
      <c r="DA633" s="1" t="s">
        <v>200</v>
      </c>
      <c r="DC633" s="1" t="s">
        <v>678</v>
      </c>
      <c r="DD633" s="1" t="s">
        <v>518</v>
      </c>
      <c r="DE633" s="1" t="s">
        <v>273</v>
      </c>
      <c r="DF633" s="1" t="s">
        <v>219</v>
      </c>
      <c r="DG633" s="1" t="s">
        <v>1317</v>
      </c>
      <c r="DH633" s="1" t="s">
        <v>220</v>
      </c>
      <c r="DJ633" s="1" t="s">
        <v>222</v>
      </c>
      <c r="DL633" s="1" t="s">
        <v>224</v>
      </c>
      <c r="DM633" s="1" t="s">
        <v>229</v>
      </c>
      <c r="DN633" s="1" t="s">
        <v>439</v>
      </c>
      <c r="DQ633" s="1" t="s">
        <v>228</v>
      </c>
      <c r="DR633" s="1" t="s">
        <v>229</v>
      </c>
      <c r="DV633" s="1" t="s">
        <v>2259</v>
      </c>
      <c r="DW633" s="1" t="s">
        <v>444</v>
      </c>
      <c r="DX633" s="1" t="s">
        <v>234</v>
      </c>
      <c r="DY633" s="1" t="s">
        <v>1189</v>
      </c>
      <c r="DZ633" s="1" t="s">
        <v>2424</v>
      </c>
      <c r="EC633" s="1" t="s">
        <v>237</v>
      </c>
      <c r="EG633" s="1" t="s">
        <v>449</v>
      </c>
      <c r="EH633" s="1" t="s">
        <v>450</v>
      </c>
      <c r="EL633" s="1" t="s">
        <v>516</v>
      </c>
      <c r="EM633" s="1" t="s">
        <v>206</v>
      </c>
      <c r="EN633" s="1" t="s">
        <v>268</v>
      </c>
      <c r="EP633" s="1" t="s">
        <v>1378</v>
      </c>
      <c r="EQ633" s="1" t="s">
        <v>42</v>
      </c>
      <c r="EU633" s="1" t="s">
        <v>238</v>
      </c>
      <c r="EY633" s="1" t="s">
        <v>238</v>
      </c>
      <c r="FC633" s="1" t="s">
        <v>238</v>
      </c>
      <c r="FF633" s="1" t="s">
        <v>239</v>
      </c>
      <c r="FG633" s="1" t="s">
        <v>192</v>
      </c>
      <c r="FH633" s="1" t="s">
        <v>192</v>
      </c>
      <c r="FJ633" s="1" t="s">
        <v>7906</v>
      </c>
      <c r="FK633" s="1" t="s">
        <v>229</v>
      </c>
      <c r="FL633" s="1" t="s">
        <v>819</v>
      </c>
      <c r="FM633" s="1">
        <v>6267.0</v>
      </c>
      <c r="FN633" s="1" t="s">
        <v>820</v>
      </c>
      <c r="FO633" s="1" t="s">
        <v>7907</v>
      </c>
      <c r="FP633" s="1">
        <v>38359.0</v>
      </c>
      <c r="FQ633" s="1" t="s">
        <v>7908</v>
      </c>
      <c r="FU633" s="1" t="s">
        <v>7909</v>
      </c>
      <c r="FV633" s="1" t="s">
        <v>200</v>
      </c>
      <c r="FW633" s="1" t="s">
        <v>354</v>
      </c>
      <c r="FZ633" s="1" t="s">
        <v>229</v>
      </c>
      <c r="GA633" s="1" t="s">
        <v>291</v>
      </c>
      <c r="GB633" s="2">
        <v>42054.0</v>
      </c>
      <c r="GC633" s="1" t="s">
        <v>7910</v>
      </c>
    </row>
    <row r="634">
      <c r="A634" s="1">
        <v>735000.0</v>
      </c>
      <c r="B634" s="1" t="s">
        <v>185</v>
      </c>
      <c r="C634" s="1" t="str">
        <f>"08830730"</f>
        <v>08830730</v>
      </c>
      <c r="D634" s="1" t="s">
        <v>186</v>
      </c>
      <c r="F634" s="1" t="str">
        <f>"8022"</f>
        <v>8022</v>
      </c>
      <c r="G634" s="2">
        <v>42039.0</v>
      </c>
      <c r="H634" s="1">
        <v>775000.0</v>
      </c>
      <c r="I634" s="1">
        <v>15.0</v>
      </c>
      <c r="J634" s="1">
        <v>775000.0</v>
      </c>
      <c r="K634" s="2">
        <v>42053.0</v>
      </c>
      <c r="L634" s="1">
        <v>15.0</v>
      </c>
      <c r="M634" s="2">
        <v>42053.0</v>
      </c>
      <c r="N634" s="1" t="s">
        <v>187</v>
      </c>
      <c r="O634" s="2">
        <v>42093.0</v>
      </c>
      <c r="P634" s="1">
        <v>88619.0</v>
      </c>
      <c r="Q634" s="1">
        <v>8665.0</v>
      </c>
      <c r="S634" s="1">
        <v>2442.0</v>
      </c>
      <c r="T634" s="1" t="s">
        <v>7911</v>
      </c>
      <c r="U634" s="1" t="s">
        <v>320</v>
      </c>
      <c r="V634" s="1" t="s">
        <v>190</v>
      </c>
      <c r="W634" s="1">
        <v>60647.0</v>
      </c>
      <c r="Y634" s="1" t="s">
        <v>7912</v>
      </c>
      <c r="Z634" s="1">
        <v>2002.0</v>
      </c>
      <c r="AA634" s="1" t="s">
        <v>200</v>
      </c>
      <c r="AB634" s="1" t="s">
        <v>193</v>
      </c>
      <c r="AD634" s="1" t="s">
        <v>194</v>
      </c>
      <c r="AE634" s="1" t="s">
        <v>195</v>
      </c>
      <c r="AF634" s="1" t="s">
        <v>827</v>
      </c>
      <c r="AH634" s="1" t="s">
        <v>3586</v>
      </c>
      <c r="AK634" s="1">
        <v>10.0</v>
      </c>
      <c r="AL634" s="1">
        <v>4.0</v>
      </c>
      <c r="AM634" s="1">
        <v>3.0</v>
      </c>
      <c r="AN634" s="1">
        <v>1.0</v>
      </c>
      <c r="AO634" s="1" t="s">
        <v>198</v>
      </c>
      <c r="AP634" s="1">
        <v>2.0</v>
      </c>
      <c r="AQ634" s="1" t="s">
        <v>472</v>
      </c>
      <c r="AR634" s="1" t="s">
        <v>192</v>
      </c>
      <c r="AS634" s="1" t="s">
        <v>199</v>
      </c>
      <c r="AT634" s="1">
        <v>2.0</v>
      </c>
      <c r="AV634" s="1" t="s">
        <v>200</v>
      </c>
      <c r="AW634" s="1">
        <v>8692.97</v>
      </c>
      <c r="AX634" s="1">
        <v>2013.0</v>
      </c>
      <c r="AY634" s="1" t="s">
        <v>387</v>
      </c>
      <c r="AZ634" s="1" t="s">
        <v>200</v>
      </c>
      <c r="BA634" s="1" t="str">
        <f>"13364080320000"</f>
        <v>13364080320000</v>
      </c>
      <c r="BC634" s="1">
        <v>0.0</v>
      </c>
      <c r="BD634" s="1">
        <v>735000.0</v>
      </c>
      <c r="BE634" s="2">
        <v>42039.0</v>
      </c>
      <c r="BF634" s="2" t="s">
        <v>7913</v>
      </c>
      <c r="BH634" s="1">
        <v>0.0</v>
      </c>
      <c r="BK634" s="1" t="s">
        <v>204</v>
      </c>
      <c r="BL634" s="1" t="str">
        <f>"1900"</f>
        <v>1900</v>
      </c>
      <c r="BM634" s="1" t="str">
        <f t="shared" ref="BM634:BM635" si="426">"0"</f>
        <v>0</v>
      </c>
      <c r="BN634" s="1">
        <v>2442.0</v>
      </c>
      <c r="BO634" s="1">
        <v>0.0</v>
      </c>
      <c r="BQ634" s="1">
        <v>299.0</v>
      </c>
      <c r="BR634" s="1">
        <v>299.0</v>
      </c>
      <c r="BS634" s="1">
        <v>299.0</v>
      </c>
      <c r="BU634" s="1" t="s">
        <v>454</v>
      </c>
      <c r="BV634" s="1" t="s">
        <v>206</v>
      </c>
      <c r="BW634" s="1" t="s">
        <v>207</v>
      </c>
      <c r="BY634" s="1" t="s">
        <v>784</v>
      </c>
      <c r="BZ634" s="1" t="s">
        <v>209</v>
      </c>
      <c r="CA634" s="1" t="s">
        <v>210</v>
      </c>
      <c r="CC634" s="1" t="s">
        <v>392</v>
      </c>
      <c r="CD634" s="1" t="s">
        <v>206</v>
      </c>
      <c r="CE634" s="1" t="s">
        <v>207</v>
      </c>
      <c r="CG634" s="1" t="s">
        <v>969</v>
      </c>
      <c r="CH634" s="1" t="s">
        <v>209</v>
      </c>
      <c r="CI634" s="1" t="s">
        <v>210</v>
      </c>
      <c r="CK634" s="1" t="s">
        <v>2505</v>
      </c>
      <c r="CL634" s="1" t="s">
        <v>209</v>
      </c>
      <c r="CM634" s="1" t="s">
        <v>210</v>
      </c>
      <c r="CO634" s="1" t="s">
        <v>329</v>
      </c>
      <c r="CP634" s="1" t="s">
        <v>267</v>
      </c>
      <c r="CQ634" s="1" t="s">
        <v>210</v>
      </c>
      <c r="CS634" s="1" t="s">
        <v>214</v>
      </c>
      <c r="CT634" s="1" t="s">
        <v>206</v>
      </c>
      <c r="CU634" s="1" t="s">
        <v>207</v>
      </c>
      <c r="CW634" s="1" t="s">
        <v>782</v>
      </c>
      <c r="CX634" s="1" t="s">
        <v>206</v>
      </c>
      <c r="CY634" s="1" t="s">
        <v>207</v>
      </c>
      <c r="DA634" s="1" t="s">
        <v>200</v>
      </c>
      <c r="DC634" s="1" t="s">
        <v>335</v>
      </c>
      <c r="DD634" s="1" t="s">
        <v>7914</v>
      </c>
      <c r="DE634" s="1" t="s">
        <v>273</v>
      </c>
      <c r="DF634" s="1" t="s">
        <v>219</v>
      </c>
      <c r="DG634" s="1" t="s">
        <v>1657</v>
      </c>
      <c r="DH634" s="1" t="s">
        <v>307</v>
      </c>
      <c r="DI634" s="1" t="s">
        <v>5225</v>
      </c>
      <c r="DJ634" s="1" t="s">
        <v>222</v>
      </c>
      <c r="DL634" s="1" t="s">
        <v>224</v>
      </c>
      <c r="DM634" s="1" t="s">
        <v>229</v>
      </c>
      <c r="DN634" s="1" t="s">
        <v>399</v>
      </c>
      <c r="DP634" s="1" t="s">
        <v>276</v>
      </c>
      <c r="DQ634" s="1" t="s">
        <v>228</v>
      </c>
      <c r="DR634" s="1" t="s">
        <v>229</v>
      </c>
      <c r="DS634" s="1" t="s">
        <v>230</v>
      </c>
      <c r="DV634" s="1" t="s">
        <v>2692</v>
      </c>
      <c r="DW634" s="1" t="s">
        <v>279</v>
      </c>
      <c r="DX634" s="1" t="s">
        <v>234</v>
      </c>
      <c r="DY634" s="1" t="s">
        <v>7915</v>
      </c>
      <c r="DZ634" s="1" t="s">
        <v>1100</v>
      </c>
      <c r="EA634" s="1" t="s">
        <v>344</v>
      </c>
      <c r="EB634" s="1" t="s">
        <v>767</v>
      </c>
      <c r="EC634" s="1" t="s">
        <v>237</v>
      </c>
      <c r="ED634" s="1" t="s">
        <v>555</v>
      </c>
      <c r="EG634" s="1" t="s">
        <v>450</v>
      </c>
      <c r="EH634" s="1" t="s">
        <v>598</v>
      </c>
      <c r="EL634" s="1" t="s">
        <v>715</v>
      </c>
      <c r="EM634" s="1" t="s">
        <v>267</v>
      </c>
      <c r="EN634" s="1" t="s">
        <v>210</v>
      </c>
      <c r="EP634" s="1" t="s">
        <v>925</v>
      </c>
      <c r="EQ634" s="1" t="s">
        <v>267</v>
      </c>
      <c r="ER634" s="1" t="s">
        <v>210</v>
      </c>
      <c r="EU634" s="1" t="s">
        <v>238</v>
      </c>
      <c r="EY634" s="1" t="s">
        <v>238</v>
      </c>
      <c r="FC634" s="1" t="s">
        <v>238</v>
      </c>
      <c r="FF634" s="1" t="s">
        <v>239</v>
      </c>
      <c r="FG634" s="1" t="s">
        <v>192</v>
      </c>
      <c r="FH634" s="1" t="s">
        <v>192</v>
      </c>
      <c r="FJ634" s="1" t="s">
        <v>6658</v>
      </c>
      <c r="FK634" s="1" t="s">
        <v>229</v>
      </c>
      <c r="FL634" s="1" t="s">
        <v>456</v>
      </c>
      <c r="FM634" s="1">
        <v>10274.0</v>
      </c>
      <c r="FN634" s="1" t="s">
        <v>4794</v>
      </c>
      <c r="FO634" s="1" t="s">
        <v>7916</v>
      </c>
      <c r="FP634" s="1">
        <v>167318.0</v>
      </c>
      <c r="FQ634" s="1" t="s">
        <v>7917</v>
      </c>
      <c r="FR634" s="1">
        <v>111630.0</v>
      </c>
      <c r="FU634" s="1" t="s">
        <v>7918</v>
      </c>
      <c r="FV634" s="1" t="s">
        <v>200</v>
      </c>
      <c r="FW634" s="1" t="s">
        <v>290</v>
      </c>
      <c r="FX634" s="1" t="s">
        <v>246</v>
      </c>
      <c r="FZ634" s="1" t="s">
        <v>229</v>
      </c>
      <c r="GA634" s="1" t="s">
        <v>291</v>
      </c>
      <c r="GB634" s="2">
        <v>42093.0</v>
      </c>
    </row>
    <row r="635">
      <c r="A635" s="1">
        <v>725000.0</v>
      </c>
      <c r="B635" s="1" t="s">
        <v>185</v>
      </c>
      <c r="C635" s="1" t="str">
        <f>"08798503"</f>
        <v>08798503</v>
      </c>
      <c r="D635" s="1" t="s">
        <v>186</v>
      </c>
      <c r="F635" s="1" t="str">
        <f>"8004"</f>
        <v>8004</v>
      </c>
      <c r="G635" s="2">
        <v>41981.0</v>
      </c>
      <c r="H635" s="1">
        <v>725000.0</v>
      </c>
      <c r="I635" s="1">
        <v>36.0</v>
      </c>
      <c r="J635" s="1">
        <v>725000.0</v>
      </c>
      <c r="K635" s="2">
        <v>41932.0</v>
      </c>
      <c r="L635" s="1">
        <v>36.0</v>
      </c>
      <c r="M635" s="2">
        <v>41932.0</v>
      </c>
      <c r="N635" s="1" t="s">
        <v>187</v>
      </c>
      <c r="O635" s="2">
        <v>41981.0</v>
      </c>
      <c r="P635" s="1">
        <v>130152.0</v>
      </c>
      <c r="Q635" s="1">
        <v>84180.0</v>
      </c>
      <c r="S635" s="1">
        <v>4453.0</v>
      </c>
      <c r="T635" s="1" t="s">
        <v>7919</v>
      </c>
      <c r="U635" s="1" t="s">
        <v>189</v>
      </c>
      <c r="V635" s="1" t="s">
        <v>190</v>
      </c>
      <c r="W635" s="1">
        <v>60640.0</v>
      </c>
      <c r="Y635" s="1" t="s">
        <v>7920</v>
      </c>
      <c r="Z635" s="1">
        <v>2008.0</v>
      </c>
      <c r="AA635" s="1" t="s">
        <v>200</v>
      </c>
      <c r="AB635" s="1" t="s">
        <v>467</v>
      </c>
      <c r="AD635" s="1" t="s">
        <v>194</v>
      </c>
      <c r="AE635" s="1" t="s">
        <v>195</v>
      </c>
      <c r="AF635" s="1" t="s">
        <v>534</v>
      </c>
      <c r="AG635" s="1" t="s">
        <v>7921</v>
      </c>
      <c r="AH635" s="1" t="s">
        <v>7922</v>
      </c>
      <c r="AK635" s="1">
        <v>8.0</v>
      </c>
      <c r="AL635" s="1">
        <v>4.0</v>
      </c>
      <c r="AM635" s="1">
        <v>2.0</v>
      </c>
      <c r="AN635" s="1">
        <v>1.0</v>
      </c>
      <c r="AO635" s="1" t="s">
        <v>198</v>
      </c>
      <c r="AP635" s="1">
        <v>1.0</v>
      </c>
      <c r="AQ635" s="1" t="s">
        <v>472</v>
      </c>
      <c r="AR635" s="1" t="s">
        <v>200</v>
      </c>
      <c r="AS635" s="1" t="s">
        <v>199</v>
      </c>
      <c r="AT635" s="1">
        <v>2.0</v>
      </c>
      <c r="AV635" s="1" t="s">
        <v>200</v>
      </c>
      <c r="AW635" s="1">
        <v>8681.23</v>
      </c>
      <c r="AX635" s="1">
        <v>2012.0</v>
      </c>
      <c r="AY635" s="1" t="s">
        <v>387</v>
      </c>
      <c r="AZ635" s="1" t="s">
        <v>200</v>
      </c>
      <c r="BA635" s="1" t="str">
        <f>"14182200320000"</f>
        <v>14182200320000</v>
      </c>
      <c r="BB635" s="1" t="s">
        <v>200</v>
      </c>
      <c r="BC635" s="1">
        <v>0.0</v>
      </c>
      <c r="BD635" s="1">
        <v>725000.0</v>
      </c>
      <c r="BE635" s="2">
        <v>41897.0</v>
      </c>
      <c r="BF635" s="2" t="s">
        <v>7923</v>
      </c>
      <c r="BH635" s="1">
        <v>50.0</v>
      </c>
      <c r="BK635" s="1" t="s">
        <v>1952</v>
      </c>
      <c r="BL635" s="1" t="str">
        <f>"4453"</f>
        <v>4453</v>
      </c>
      <c r="BM635" s="1" t="str">
        <f t="shared" si="426"/>
        <v>0</v>
      </c>
      <c r="BN635" s="1">
        <v>1850.0</v>
      </c>
      <c r="BO635" s="1">
        <v>0.0</v>
      </c>
      <c r="BQ635" s="1">
        <v>299.0</v>
      </c>
      <c r="BR635" s="1">
        <v>299.0</v>
      </c>
      <c r="BS635" s="1">
        <v>299.0</v>
      </c>
      <c r="BU635" s="1" t="s">
        <v>260</v>
      </c>
      <c r="BV635" s="1" t="s">
        <v>206</v>
      </c>
      <c r="BW635" s="1" t="s">
        <v>207</v>
      </c>
      <c r="BY635" s="1" t="s">
        <v>262</v>
      </c>
      <c r="BZ635" s="1" t="s">
        <v>209</v>
      </c>
      <c r="CA635" s="1" t="s">
        <v>207</v>
      </c>
      <c r="CC635" s="1" t="s">
        <v>478</v>
      </c>
      <c r="CD635" s="1" t="s">
        <v>206</v>
      </c>
      <c r="CE635" s="1" t="s">
        <v>207</v>
      </c>
      <c r="CG635" s="1" t="s">
        <v>303</v>
      </c>
      <c r="CH635" s="1" t="s">
        <v>209</v>
      </c>
      <c r="CI635" s="1" t="s">
        <v>210</v>
      </c>
      <c r="CK635" s="1" t="s">
        <v>303</v>
      </c>
      <c r="CL635" s="1" t="s">
        <v>209</v>
      </c>
      <c r="CM635" s="1" t="s">
        <v>210</v>
      </c>
      <c r="CO635" s="1" t="s">
        <v>1351</v>
      </c>
      <c r="CP635" s="1" t="s">
        <v>267</v>
      </c>
      <c r="CQ635" s="1" t="s">
        <v>210</v>
      </c>
      <c r="CS635" s="1" t="s">
        <v>1351</v>
      </c>
      <c r="CT635" s="1" t="s">
        <v>206</v>
      </c>
      <c r="CU635" s="1" t="s">
        <v>207</v>
      </c>
      <c r="CW635" s="1" t="s">
        <v>480</v>
      </c>
      <c r="CX635" s="1" t="s">
        <v>267</v>
      </c>
      <c r="CY635" s="1" t="s">
        <v>207</v>
      </c>
      <c r="DA635" s="1" t="s">
        <v>200</v>
      </c>
      <c r="DC635" s="1" t="s">
        <v>481</v>
      </c>
      <c r="DD635" s="1" t="s">
        <v>679</v>
      </c>
      <c r="DE635" s="1" t="s">
        <v>218</v>
      </c>
      <c r="DF635" s="1" t="s">
        <v>6592</v>
      </c>
      <c r="DG635" s="1" t="s">
        <v>7924</v>
      </c>
      <c r="DH635" s="1" t="s">
        <v>307</v>
      </c>
      <c r="DI635" s="1" t="s">
        <v>7925</v>
      </c>
      <c r="DJ635" s="1" t="s">
        <v>1048</v>
      </c>
      <c r="DL635" s="1" t="s">
        <v>224</v>
      </c>
      <c r="DM635" s="1" t="s">
        <v>229</v>
      </c>
      <c r="DN635" s="1" t="s">
        <v>2873</v>
      </c>
      <c r="DO635" s="1" t="s">
        <v>590</v>
      </c>
      <c r="DQ635" s="1" t="s">
        <v>794</v>
      </c>
      <c r="DR635" s="1" t="s">
        <v>7926</v>
      </c>
      <c r="DS635" s="1" t="s">
        <v>368</v>
      </c>
      <c r="DU635" s="1" t="s">
        <v>2464</v>
      </c>
      <c r="DV635" s="1" t="s">
        <v>720</v>
      </c>
      <c r="DW635" s="1" t="s">
        <v>1145</v>
      </c>
      <c r="DX635" s="1" t="s">
        <v>234</v>
      </c>
      <c r="DY635" s="1" t="s">
        <v>4102</v>
      </c>
      <c r="DZ635" s="1" t="s">
        <v>968</v>
      </c>
      <c r="EA635" s="1" t="s">
        <v>2466</v>
      </c>
      <c r="EB635" s="1" t="s">
        <v>684</v>
      </c>
      <c r="EC635" s="1" t="s">
        <v>406</v>
      </c>
      <c r="ED635" s="1" t="s">
        <v>864</v>
      </c>
      <c r="EI635" s="1" t="s">
        <v>720</v>
      </c>
      <c r="EM635" s="1" t="s">
        <v>238</v>
      </c>
      <c r="EQ635" s="1" t="s">
        <v>238</v>
      </c>
      <c r="ET635" s="1" t="s">
        <v>2902</v>
      </c>
      <c r="EU635" s="1" t="s">
        <v>267</v>
      </c>
      <c r="EV635" s="1" t="s">
        <v>268</v>
      </c>
      <c r="EY635" s="1" t="s">
        <v>238</v>
      </c>
      <c r="FC635" s="1" t="s">
        <v>238</v>
      </c>
      <c r="FF635" s="1" t="s">
        <v>239</v>
      </c>
      <c r="FG635" s="1" t="s">
        <v>192</v>
      </c>
      <c r="FH635" s="1" t="s">
        <v>192</v>
      </c>
      <c r="FJ635" s="1" t="s">
        <v>799</v>
      </c>
      <c r="FK635" s="1" t="s">
        <v>229</v>
      </c>
      <c r="FL635" s="1" t="s">
        <v>7927</v>
      </c>
      <c r="FM635" s="1">
        <v>84404.0</v>
      </c>
      <c r="FN635" s="1" t="s">
        <v>7928</v>
      </c>
      <c r="FO635" s="1" t="s">
        <v>7929</v>
      </c>
      <c r="FP635" s="1">
        <v>111872.0</v>
      </c>
      <c r="FU635" s="1" t="s">
        <v>7930</v>
      </c>
      <c r="FV635" s="1" t="s">
        <v>200</v>
      </c>
      <c r="FW635" s="1" t="s">
        <v>290</v>
      </c>
      <c r="FX635" s="1" t="s">
        <v>238</v>
      </c>
      <c r="FZ635" s="1" t="s">
        <v>229</v>
      </c>
      <c r="GA635" s="1" t="s">
        <v>291</v>
      </c>
      <c r="GB635" s="2">
        <v>41982.0</v>
      </c>
      <c r="GC635" s="1" t="s">
        <v>7931</v>
      </c>
    </row>
    <row r="636">
      <c r="A636" s="1">
        <v>60000.0</v>
      </c>
      <c r="B636" s="1" t="s">
        <v>185</v>
      </c>
      <c r="C636" s="1" t="str">
        <f>"08797588"</f>
        <v>08797588</v>
      </c>
      <c r="D636" s="1" t="s">
        <v>186</v>
      </c>
      <c r="F636" s="1" t="str">
        <f>"8066"</f>
        <v>8066</v>
      </c>
      <c r="G636" s="2">
        <v>41978.0</v>
      </c>
      <c r="H636" s="1">
        <v>42000.0</v>
      </c>
      <c r="I636" s="1">
        <v>13.0</v>
      </c>
      <c r="J636" s="1">
        <v>42000.0</v>
      </c>
      <c r="K636" s="2">
        <v>41990.0</v>
      </c>
      <c r="L636" s="1">
        <v>13.0</v>
      </c>
      <c r="M636" s="2">
        <v>41990.0</v>
      </c>
      <c r="N636" s="1" t="s">
        <v>249</v>
      </c>
      <c r="O636" s="2">
        <v>42059.0</v>
      </c>
      <c r="P636" s="1">
        <v>131980.0</v>
      </c>
      <c r="Q636" s="1">
        <v>12555.0</v>
      </c>
      <c r="S636" s="1">
        <v>6000.0</v>
      </c>
      <c r="T636" s="1" t="s">
        <v>3199</v>
      </c>
      <c r="U636" s="1" t="s">
        <v>189</v>
      </c>
      <c r="V636" s="1" t="s">
        <v>190</v>
      </c>
      <c r="W636" s="1">
        <v>60629.0</v>
      </c>
      <c r="Y636" s="1" t="s">
        <v>7932</v>
      </c>
      <c r="Z636" s="1" t="s">
        <v>296</v>
      </c>
      <c r="AA636" s="1" t="s">
        <v>192</v>
      </c>
      <c r="AB636" s="1" t="s">
        <v>193</v>
      </c>
      <c r="AD636" s="1" t="s">
        <v>194</v>
      </c>
      <c r="AE636" s="1" t="s">
        <v>195</v>
      </c>
      <c r="AF636" s="1" t="s">
        <v>1154</v>
      </c>
      <c r="AH636" s="1" t="s">
        <v>741</v>
      </c>
      <c r="AI636" s="1">
        <v>0.0838</v>
      </c>
      <c r="AK636" s="1">
        <v>7.0</v>
      </c>
      <c r="AL636" s="1">
        <v>4.0</v>
      </c>
      <c r="AM636" s="1">
        <v>1.0</v>
      </c>
      <c r="AN636" s="1">
        <v>0.0</v>
      </c>
      <c r="AO636" s="1" t="s">
        <v>229</v>
      </c>
      <c r="AQ636" s="1" t="s">
        <v>198</v>
      </c>
      <c r="AR636" s="1" t="s">
        <v>200</v>
      </c>
      <c r="AS636" s="1" t="s">
        <v>199</v>
      </c>
      <c r="AT636" s="1">
        <v>2.0</v>
      </c>
      <c r="AV636" s="1" t="s">
        <v>200</v>
      </c>
      <c r="AW636" s="1">
        <v>1803.44</v>
      </c>
      <c r="AX636" s="1">
        <v>2012.0</v>
      </c>
      <c r="AZ636" s="1" t="s">
        <v>200</v>
      </c>
      <c r="BA636" s="1" t="str">
        <f>"19134080150000"</f>
        <v>19134080150000</v>
      </c>
      <c r="BC636" s="1">
        <v>0.0</v>
      </c>
      <c r="BD636" s="1">
        <v>60000.0</v>
      </c>
      <c r="BE636" s="2">
        <v>41978.0</v>
      </c>
      <c r="BF636" s="1" t="s">
        <v>7933</v>
      </c>
      <c r="BH636" s="1">
        <v>0.0</v>
      </c>
      <c r="BK636" s="1" t="s">
        <v>204</v>
      </c>
      <c r="BL636" s="1" t="str">
        <f t="shared" ref="BL636:BM636" si="427">"0"</f>
        <v>0</v>
      </c>
      <c r="BM636" s="1" t="str">
        <f t="shared" si="427"/>
        <v>0</v>
      </c>
      <c r="BN636" s="1">
        <v>2700.0</v>
      </c>
      <c r="BO636" s="1">
        <v>6000.0</v>
      </c>
      <c r="BQ636" s="1">
        <v>299.0</v>
      </c>
      <c r="BR636" s="1">
        <v>299.0</v>
      </c>
      <c r="BS636" s="1">
        <v>299.0</v>
      </c>
      <c r="BU636" s="1" t="s">
        <v>205</v>
      </c>
      <c r="BV636" s="1" t="s">
        <v>206</v>
      </c>
      <c r="BW636" s="1" t="s">
        <v>207</v>
      </c>
      <c r="BY636" s="1" t="s">
        <v>495</v>
      </c>
      <c r="BZ636" s="1" t="s">
        <v>206</v>
      </c>
      <c r="CA636" s="1" t="s">
        <v>207</v>
      </c>
      <c r="CC636" s="1" t="s">
        <v>454</v>
      </c>
      <c r="CD636" s="1" t="s">
        <v>206</v>
      </c>
      <c r="CE636" s="1" t="s">
        <v>207</v>
      </c>
      <c r="CG636" s="1" t="s">
        <v>816</v>
      </c>
      <c r="CH636" s="1" t="s">
        <v>206</v>
      </c>
      <c r="CI636" s="1" t="s">
        <v>207</v>
      </c>
      <c r="CK636" s="1" t="s">
        <v>816</v>
      </c>
      <c r="CL636" s="1" t="s">
        <v>209</v>
      </c>
      <c r="CO636" s="1" t="s">
        <v>814</v>
      </c>
      <c r="CP636" s="1" t="s">
        <v>209</v>
      </c>
      <c r="CS636" s="1" t="s">
        <v>264</v>
      </c>
      <c r="CT636" s="1" t="s">
        <v>206</v>
      </c>
      <c r="CU636" s="1" t="s">
        <v>207</v>
      </c>
      <c r="CX636" s="1" t="s">
        <v>204</v>
      </c>
      <c r="DA636" s="1" t="s">
        <v>200</v>
      </c>
      <c r="DC636" s="1" t="s">
        <v>271</v>
      </c>
      <c r="DE636" s="1" t="s">
        <v>229</v>
      </c>
      <c r="DF636" s="1" t="s">
        <v>4120</v>
      </c>
      <c r="DH636" s="1" t="s">
        <v>365</v>
      </c>
      <c r="DJ636" s="1" t="s">
        <v>222</v>
      </c>
      <c r="DK636" s="1" t="s">
        <v>1301</v>
      </c>
      <c r="DL636" s="1" t="s">
        <v>858</v>
      </c>
      <c r="DM636" s="1" t="s">
        <v>229</v>
      </c>
      <c r="DQ636" s="1" t="s">
        <v>718</v>
      </c>
      <c r="DR636" s="1" t="s">
        <v>229</v>
      </c>
      <c r="DS636" s="1" t="s">
        <v>230</v>
      </c>
      <c r="DV636" s="1" t="s">
        <v>232</v>
      </c>
      <c r="DW636" s="1" t="s">
        <v>279</v>
      </c>
      <c r="DX636" s="1" t="s">
        <v>234</v>
      </c>
      <c r="EA636" s="1" t="s">
        <v>644</v>
      </c>
      <c r="EC636" s="1" t="s">
        <v>645</v>
      </c>
      <c r="EM636" s="1" t="s">
        <v>238</v>
      </c>
      <c r="EQ636" s="1" t="s">
        <v>238</v>
      </c>
      <c r="EU636" s="1" t="s">
        <v>238</v>
      </c>
      <c r="EY636" s="1" t="s">
        <v>238</v>
      </c>
      <c r="FC636" s="1" t="s">
        <v>238</v>
      </c>
      <c r="FF636" s="1" t="s">
        <v>239</v>
      </c>
      <c r="FG636" s="1" t="s">
        <v>192</v>
      </c>
      <c r="FH636" s="1" t="s">
        <v>192</v>
      </c>
      <c r="FJ636" s="1" t="s">
        <v>7934</v>
      </c>
      <c r="FK636" s="1" t="s">
        <v>229</v>
      </c>
      <c r="FL636" s="1" t="s">
        <v>7636</v>
      </c>
      <c r="FM636" s="1">
        <v>60828.0</v>
      </c>
      <c r="FN636" s="1" t="s">
        <v>7637</v>
      </c>
      <c r="FO636" s="1" t="s">
        <v>7638</v>
      </c>
      <c r="FP636" s="1">
        <v>505122.0</v>
      </c>
      <c r="FQ636" s="1" t="s">
        <v>7639</v>
      </c>
      <c r="FU636" s="1" t="s">
        <v>3993</v>
      </c>
      <c r="FV636" s="1" t="s">
        <v>200</v>
      </c>
      <c r="FW636" s="1" t="s">
        <v>1524</v>
      </c>
      <c r="FX636" s="1" t="s">
        <v>655</v>
      </c>
      <c r="FZ636" s="1" t="s">
        <v>229</v>
      </c>
      <c r="GA636" s="1" t="s">
        <v>291</v>
      </c>
      <c r="GB636" s="2">
        <v>42059.0</v>
      </c>
    </row>
    <row r="637">
      <c r="A637" s="1">
        <v>225000.0</v>
      </c>
      <c r="B637" s="1" t="s">
        <v>185</v>
      </c>
      <c r="C637" s="1" t="str">
        <f>"08802606"</f>
        <v>08802606</v>
      </c>
      <c r="D637" s="1" t="s">
        <v>186</v>
      </c>
      <c r="F637" s="1" t="str">
        <f>"10"</f>
        <v>10</v>
      </c>
      <c r="G637" s="2">
        <v>41988.0</v>
      </c>
      <c r="H637" s="1">
        <v>240000.0</v>
      </c>
      <c r="I637" s="1">
        <v>72.0</v>
      </c>
      <c r="J637" s="1">
        <v>225000.0</v>
      </c>
      <c r="K637" s="2">
        <v>42059.0</v>
      </c>
      <c r="L637" s="1">
        <v>72.0</v>
      </c>
      <c r="M637" s="2">
        <v>42059.0</v>
      </c>
      <c r="N637" s="1" t="s">
        <v>187</v>
      </c>
      <c r="O637" s="2">
        <v>42097.0</v>
      </c>
      <c r="P637" s="1">
        <v>63411.0</v>
      </c>
      <c r="Q637" s="1">
        <v>6278.0</v>
      </c>
      <c r="R637" s="1">
        <v>4500.0</v>
      </c>
      <c r="S637" s="1">
        <v>28620.0</v>
      </c>
      <c r="T637" s="1" t="s">
        <v>7935</v>
      </c>
      <c r="U637" s="1" t="s">
        <v>569</v>
      </c>
      <c r="V637" s="1" t="s">
        <v>1706</v>
      </c>
      <c r="W637" s="1">
        <v>60010.0</v>
      </c>
      <c r="Y637" s="1" t="s">
        <v>7936</v>
      </c>
      <c r="Z637" s="1">
        <v>1939.0</v>
      </c>
      <c r="AA637" s="1" t="s">
        <v>192</v>
      </c>
      <c r="AB637" s="1" t="s">
        <v>193</v>
      </c>
      <c r="AC637" s="1" t="s">
        <v>7937</v>
      </c>
      <c r="AD637" s="1" t="s">
        <v>1089</v>
      </c>
      <c r="AE637" s="1" t="s">
        <v>917</v>
      </c>
      <c r="AF637" s="1" t="s">
        <v>2008</v>
      </c>
      <c r="AH637" s="1" t="s">
        <v>7938</v>
      </c>
      <c r="AK637" s="1">
        <v>7.0</v>
      </c>
      <c r="AL637" s="1">
        <v>4.0</v>
      </c>
      <c r="AM637" s="1">
        <v>2.0</v>
      </c>
      <c r="AN637" s="1">
        <v>0.0</v>
      </c>
      <c r="AO637" s="1" t="s">
        <v>198</v>
      </c>
      <c r="AP637" s="1">
        <v>1.0</v>
      </c>
      <c r="AQ637" s="1" t="s">
        <v>951</v>
      </c>
      <c r="AR637" s="1" t="s">
        <v>192</v>
      </c>
      <c r="AS637" s="1" t="s">
        <v>199</v>
      </c>
      <c r="AT637" s="1">
        <v>2.0</v>
      </c>
      <c r="AV637" s="1" t="s">
        <v>192</v>
      </c>
      <c r="AW637" s="1">
        <v>4665.0</v>
      </c>
      <c r="AX637" s="1">
        <v>2013.0</v>
      </c>
      <c r="AY637" s="1" t="s">
        <v>229</v>
      </c>
      <c r="AZ637" s="1" t="s">
        <v>200</v>
      </c>
      <c r="BA637" s="1" t="str">
        <f>"13161100040000"</f>
        <v>13161100040000</v>
      </c>
      <c r="BB637" s="1" t="s">
        <v>192</v>
      </c>
      <c r="BC637" s="1">
        <v>1883.0</v>
      </c>
      <c r="BD637" s="1">
        <v>225000.0</v>
      </c>
      <c r="BE637" s="2">
        <v>41988.0</v>
      </c>
      <c r="BF637" s="2" t="s">
        <v>7939</v>
      </c>
      <c r="BH637" s="1">
        <v>0.0</v>
      </c>
      <c r="BJ637" s="1" t="s">
        <v>7940</v>
      </c>
      <c r="BK637" s="1" t="s">
        <v>204</v>
      </c>
      <c r="BL637" s="1" t="str">
        <f t="shared" ref="BL637:BM637" si="428">""</f>
        <v/>
      </c>
      <c r="BM637" s="1" t="str">
        <f t="shared" si="428"/>
        <v/>
      </c>
      <c r="BQ637" s="1">
        <v>220.0</v>
      </c>
      <c r="BR637" s="1">
        <v>220.0</v>
      </c>
      <c r="BS637" s="1">
        <v>220.0</v>
      </c>
      <c r="BU637" s="1" t="s">
        <v>7941</v>
      </c>
      <c r="BV637" s="1" t="s">
        <v>206</v>
      </c>
      <c r="BW637" s="1" t="s">
        <v>210</v>
      </c>
      <c r="BY637" s="1" t="s">
        <v>454</v>
      </c>
      <c r="BZ637" s="1" t="s">
        <v>206</v>
      </c>
      <c r="CA637" s="1" t="s">
        <v>210</v>
      </c>
      <c r="CC637" s="1" t="s">
        <v>212</v>
      </c>
      <c r="CD637" s="1" t="s">
        <v>206</v>
      </c>
      <c r="CE637" s="1" t="s">
        <v>210</v>
      </c>
      <c r="CG637" s="1" t="s">
        <v>212</v>
      </c>
      <c r="CH637" s="1" t="s">
        <v>206</v>
      </c>
      <c r="CI637" s="1" t="s">
        <v>207</v>
      </c>
      <c r="CK637" s="1" t="s">
        <v>495</v>
      </c>
      <c r="CL637" s="1" t="s">
        <v>267</v>
      </c>
      <c r="CM637" s="1" t="s">
        <v>210</v>
      </c>
      <c r="CO637" s="1" t="s">
        <v>543</v>
      </c>
      <c r="CP637" s="1" t="s">
        <v>267</v>
      </c>
      <c r="CQ637" s="1" t="s">
        <v>210</v>
      </c>
      <c r="CS637" s="1" t="s">
        <v>582</v>
      </c>
      <c r="CT637" s="1" t="s">
        <v>206</v>
      </c>
      <c r="CU637" s="1" t="s">
        <v>268</v>
      </c>
      <c r="CX637" s="1" t="s">
        <v>204</v>
      </c>
      <c r="DA637" s="1" t="s">
        <v>200</v>
      </c>
      <c r="DC637" s="1" t="s">
        <v>1399</v>
      </c>
      <c r="DD637" s="1" t="s">
        <v>855</v>
      </c>
      <c r="DE637" s="1" t="s">
        <v>273</v>
      </c>
      <c r="DF637" s="1" t="s">
        <v>905</v>
      </c>
      <c r="DG637" s="1" t="s">
        <v>7942</v>
      </c>
      <c r="DH637" s="1" t="s">
        <v>856</v>
      </c>
      <c r="DJ637" s="1" t="s">
        <v>857</v>
      </c>
      <c r="DL637" s="1" t="s">
        <v>224</v>
      </c>
      <c r="DM637" s="1" t="s">
        <v>229</v>
      </c>
      <c r="DO637" s="1" t="s">
        <v>717</v>
      </c>
      <c r="DP637" s="1" t="s">
        <v>340</v>
      </c>
      <c r="DQ637" s="1" t="s">
        <v>441</v>
      </c>
      <c r="DR637" s="1" t="s">
        <v>229</v>
      </c>
      <c r="DU637" s="1" t="s">
        <v>7943</v>
      </c>
      <c r="DV637" s="1" t="s">
        <v>1103</v>
      </c>
      <c r="DW637" s="1" t="s">
        <v>667</v>
      </c>
      <c r="DX637" s="1" t="s">
        <v>234</v>
      </c>
      <c r="DY637" s="1" t="s">
        <v>235</v>
      </c>
      <c r="DZ637" s="1" t="s">
        <v>7944</v>
      </c>
      <c r="EA637" s="1" t="s">
        <v>554</v>
      </c>
      <c r="EB637" s="1" t="s">
        <v>492</v>
      </c>
      <c r="EC637" s="1" t="s">
        <v>311</v>
      </c>
      <c r="EH637" s="1" t="s">
        <v>1103</v>
      </c>
      <c r="EM637" s="1" t="s">
        <v>238</v>
      </c>
      <c r="EP637" s="1" t="s">
        <v>646</v>
      </c>
      <c r="EQ637" s="1" t="s">
        <v>267</v>
      </c>
      <c r="ER637" s="1" t="s">
        <v>588</v>
      </c>
      <c r="EU637" s="1" t="s">
        <v>238</v>
      </c>
      <c r="EY637" s="1" t="s">
        <v>238</v>
      </c>
      <c r="FC637" s="1" t="s">
        <v>238</v>
      </c>
      <c r="FF637" s="1" t="s">
        <v>239</v>
      </c>
      <c r="FG637" s="1" t="s">
        <v>192</v>
      </c>
      <c r="FH637" s="1" t="s">
        <v>192</v>
      </c>
      <c r="FJ637" s="1" t="s">
        <v>7945</v>
      </c>
      <c r="FK637" s="1" t="s">
        <v>229</v>
      </c>
      <c r="FL637" s="1" t="s">
        <v>6689</v>
      </c>
      <c r="FM637" s="1">
        <v>74002.0</v>
      </c>
      <c r="FN637" s="1" t="s">
        <v>6690</v>
      </c>
      <c r="FO637" s="1" t="s">
        <v>6691</v>
      </c>
      <c r="FP637" s="1">
        <v>702404.0</v>
      </c>
      <c r="FQ637" s="1" t="s">
        <v>6690</v>
      </c>
      <c r="FR637" s="1">
        <v>701227.0</v>
      </c>
      <c r="FU637" s="1" t="s">
        <v>6692</v>
      </c>
      <c r="FV637" s="1" t="s">
        <v>192</v>
      </c>
      <c r="FW637" s="1" t="s">
        <v>461</v>
      </c>
      <c r="FX637" s="1" t="s">
        <v>246</v>
      </c>
      <c r="FZ637" s="1" t="s">
        <v>229</v>
      </c>
      <c r="GA637" s="1" t="s">
        <v>291</v>
      </c>
      <c r="GB637" s="2">
        <v>42098.0</v>
      </c>
      <c r="GC637" s="1" t="s">
        <v>7946</v>
      </c>
    </row>
    <row r="638">
      <c r="A638" s="1">
        <v>749000.0</v>
      </c>
      <c r="B638" s="1" t="s">
        <v>185</v>
      </c>
      <c r="C638" s="1" t="str">
        <f>"08801171"</f>
        <v>08801171</v>
      </c>
      <c r="D638" s="1" t="s">
        <v>186</v>
      </c>
      <c r="F638" s="1" t="str">
        <f>"8004"</f>
        <v>8004</v>
      </c>
      <c r="G638" s="2">
        <v>41985.0</v>
      </c>
      <c r="H638" s="1">
        <v>749000.0</v>
      </c>
      <c r="I638" s="1">
        <v>47.0</v>
      </c>
      <c r="J638" s="1">
        <v>749000.0</v>
      </c>
      <c r="K638" s="2">
        <v>41985.0</v>
      </c>
      <c r="L638" s="1">
        <v>1.0</v>
      </c>
      <c r="M638" s="2">
        <v>41985.0</v>
      </c>
      <c r="N638" s="1" t="s">
        <v>187</v>
      </c>
      <c r="O638" s="2">
        <v>41985.0</v>
      </c>
      <c r="P638" s="1">
        <v>109813.0</v>
      </c>
      <c r="Q638" s="1">
        <v>18080.0</v>
      </c>
      <c r="S638" s="1">
        <v>2425.0</v>
      </c>
      <c r="T638" s="1" t="s">
        <v>6267</v>
      </c>
      <c r="U638" s="1" t="s">
        <v>320</v>
      </c>
      <c r="V638" s="1" t="s">
        <v>190</v>
      </c>
      <c r="W638" s="1">
        <v>60625.0</v>
      </c>
      <c r="Y638" s="1" t="s">
        <v>7947</v>
      </c>
      <c r="Z638" s="1">
        <v>2011.0</v>
      </c>
      <c r="AA638" s="1" t="s">
        <v>200</v>
      </c>
      <c r="AB638" s="1" t="s">
        <v>193</v>
      </c>
      <c r="AD638" s="1" t="s">
        <v>194</v>
      </c>
      <c r="AE638" s="1" t="s">
        <v>195</v>
      </c>
      <c r="AF638" s="1" t="s">
        <v>2645</v>
      </c>
      <c r="AH638" s="1" t="s">
        <v>7948</v>
      </c>
      <c r="AK638" s="1">
        <v>9.0</v>
      </c>
      <c r="AL638" s="1">
        <v>3.0</v>
      </c>
      <c r="AM638" s="1">
        <v>3.0</v>
      </c>
      <c r="AN638" s="1">
        <v>1.0</v>
      </c>
      <c r="AO638" s="1" t="s">
        <v>198</v>
      </c>
      <c r="AP638" s="1">
        <v>2.0</v>
      </c>
      <c r="AQ638" s="1" t="s">
        <v>472</v>
      </c>
      <c r="AR638" s="1" t="s">
        <v>192</v>
      </c>
      <c r="AS638" s="1" t="s">
        <v>199</v>
      </c>
      <c r="AT638" s="1">
        <v>2.0</v>
      </c>
      <c r="AV638" s="1" t="s">
        <v>200</v>
      </c>
      <c r="AW638" s="1">
        <v>9243.0</v>
      </c>
      <c r="AX638" s="1">
        <v>2012.0</v>
      </c>
      <c r="AY638" s="1" t="s">
        <v>229</v>
      </c>
      <c r="AZ638" s="1" t="s">
        <v>200</v>
      </c>
      <c r="BA638" s="1" t="str">
        <f>"13124030200000"</f>
        <v>13124030200000</v>
      </c>
      <c r="BB638" s="1" t="s">
        <v>200</v>
      </c>
      <c r="BC638" s="1">
        <v>3400.0</v>
      </c>
      <c r="BD638" s="1">
        <v>749000.0</v>
      </c>
      <c r="BE638" s="2">
        <v>41985.0</v>
      </c>
      <c r="BF638" s="1" t="s">
        <v>7949</v>
      </c>
      <c r="BH638" s="1">
        <v>0.0</v>
      </c>
      <c r="BK638" s="1" t="s">
        <v>204</v>
      </c>
      <c r="BL638" s="1" t="str">
        <f>"5132"</f>
        <v>5132</v>
      </c>
      <c r="BM638" s="1" t="str">
        <f>"0"</f>
        <v>0</v>
      </c>
      <c r="BN638" s="1">
        <v>2425.0</v>
      </c>
      <c r="BO638" s="1">
        <v>0.0</v>
      </c>
      <c r="BQ638" s="1">
        <v>299.0</v>
      </c>
      <c r="BR638" s="1">
        <v>299.0</v>
      </c>
      <c r="BS638" s="1">
        <v>299.0</v>
      </c>
      <c r="BU638" s="1" t="s">
        <v>7950</v>
      </c>
      <c r="BV638" s="1" t="s">
        <v>206</v>
      </c>
      <c r="BW638" s="1" t="s">
        <v>207</v>
      </c>
      <c r="BX638" s="1" t="s">
        <v>229</v>
      </c>
      <c r="BY638" s="1" t="s">
        <v>1567</v>
      </c>
      <c r="BZ638" s="1" t="s">
        <v>209</v>
      </c>
      <c r="CA638" s="1" t="s">
        <v>207</v>
      </c>
      <c r="CB638" s="1" t="s">
        <v>229</v>
      </c>
      <c r="CC638" s="1" t="s">
        <v>542</v>
      </c>
      <c r="CD638" s="1" t="s">
        <v>206</v>
      </c>
      <c r="CE638" s="1" t="s">
        <v>207</v>
      </c>
      <c r="CF638" s="1" t="s">
        <v>229</v>
      </c>
      <c r="CG638" s="1" t="s">
        <v>303</v>
      </c>
      <c r="CH638" s="1" t="s">
        <v>209</v>
      </c>
      <c r="CI638" s="1" t="s">
        <v>207</v>
      </c>
      <c r="CJ638" s="1" t="s">
        <v>229</v>
      </c>
      <c r="CK638" s="1" t="s">
        <v>2460</v>
      </c>
      <c r="CL638" s="1" t="s">
        <v>209</v>
      </c>
      <c r="CM638" s="1" t="s">
        <v>207</v>
      </c>
      <c r="CN638" s="1" t="s">
        <v>229</v>
      </c>
      <c r="CO638" s="1" t="s">
        <v>1600</v>
      </c>
      <c r="CP638" s="1" t="s">
        <v>42</v>
      </c>
      <c r="CQ638" s="1" t="s">
        <v>210</v>
      </c>
      <c r="CR638" s="1" t="s">
        <v>229</v>
      </c>
      <c r="CS638" s="1" t="s">
        <v>1351</v>
      </c>
      <c r="CT638" s="1" t="s">
        <v>206</v>
      </c>
      <c r="CU638" s="1" t="s">
        <v>207</v>
      </c>
      <c r="CV638" s="1" t="s">
        <v>229</v>
      </c>
      <c r="CW638" s="1" t="s">
        <v>2900</v>
      </c>
      <c r="CX638" s="1" t="s">
        <v>206</v>
      </c>
      <c r="CY638" s="1" t="s">
        <v>207</v>
      </c>
      <c r="CZ638" s="1" t="s">
        <v>229</v>
      </c>
      <c r="DA638" s="1" t="s">
        <v>200</v>
      </c>
      <c r="DC638" s="1" t="s">
        <v>1046</v>
      </c>
      <c r="DD638" s="1" t="s">
        <v>759</v>
      </c>
      <c r="DE638" s="1" t="s">
        <v>273</v>
      </c>
      <c r="DF638" s="1" t="s">
        <v>2328</v>
      </c>
      <c r="DH638" s="1" t="s">
        <v>220</v>
      </c>
      <c r="DI638" s="1" t="s">
        <v>7951</v>
      </c>
      <c r="DJ638" s="1" t="s">
        <v>3345</v>
      </c>
      <c r="DK638" s="1" t="s">
        <v>223</v>
      </c>
      <c r="DL638" s="1" t="s">
        <v>224</v>
      </c>
      <c r="DM638" s="1" t="s">
        <v>1464</v>
      </c>
      <c r="DN638" s="1" t="s">
        <v>399</v>
      </c>
      <c r="DO638" s="1" t="s">
        <v>549</v>
      </c>
      <c r="DP638" s="1" t="s">
        <v>276</v>
      </c>
      <c r="DQ638" s="1" t="s">
        <v>228</v>
      </c>
      <c r="DR638" s="1" t="s">
        <v>229</v>
      </c>
      <c r="DS638" s="1" t="s">
        <v>368</v>
      </c>
      <c r="DU638" s="1" t="s">
        <v>3562</v>
      </c>
      <c r="DV638" s="1" t="s">
        <v>450</v>
      </c>
      <c r="DW638" s="1" t="s">
        <v>588</v>
      </c>
      <c r="DX638" s="1" t="s">
        <v>234</v>
      </c>
      <c r="DY638" s="1" t="s">
        <v>7952</v>
      </c>
      <c r="DZ638" s="1" t="s">
        <v>766</v>
      </c>
      <c r="EA638" s="1" t="s">
        <v>344</v>
      </c>
      <c r="EC638" s="1" t="s">
        <v>237</v>
      </c>
      <c r="EG638" s="1" t="s">
        <v>450</v>
      </c>
      <c r="EL638" s="1" t="s">
        <v>1600</v>
      </c>
      <c r="EM638" s="1" t="s">
        <v>42</v>
      </c>
      <c r="EN638" s="1" t="s">
        <v>210</v>
      </c>
      <c r="EO638" s="1" t="s">
        <v>229</v>
      </c>
      <c r="EQ638" s="1" t="s">
        <v>238</v>
      </c>
      <c r="EU638" s="1" t="s">
        <v>238</v>
      </c>
      <c r="EY638" s="1" t="s">
        <v>238</v>
      </c>
      <c r="FC638" s="1" t="s">
        <v>238</v>
      </c>
      <c r="FF638" s="1" t="s">
        <v>239</v>
      </c>
      <c r="FG638" s="1" t="s">
        <v>192</v>
      </c>
      <c r="FH638" s="1" t="s">
        <v>192</v>
      </c>
      <c r="FJ638" s="1" t="s">
        <v>524</v>
      </c>
      <c r="FK638" s="1" t="s">
        <v>229</v>
      </c>
      <c r="FL638" s="1" t="s">
        <v>836</v>
      </c>
      <c r="FM638" s="1">
        <v>18080.0</v>
      </c>
      <c r="FN638" s="1" t="s">
        <v>837</v>
      </c>
      <c r="FO638" s="1" t="s">
        <v>7953</v>
      </c>
      <c r="FP638" s="1">
        <v>109813.0</v>
      </c>
      <c r="FQ638" s="1" t="s">
        <v>7954</v>
      </c>
      <c r="FS638" s="1" t="s">
        <v>7955</v>
      </c>
      <c r="FU638" s="1" t="s">
        <v>7956</v>
      </c>
      <c r="FV638" s="1" t="s">
        <v>200</v>
      </c>
      <c r="FW638" s="1" t="s">
        <v>290</v>
      </c>
      <c r="FX638" s="1" t="s">
        <v>246</v>
      </c>
      <c r="FZ638" s="1" t="s">
        <v>229</v>
      </c>
      <c r="GA638" s="1" t="s">
        <v>291</v>
      </c>
      <c r="GB638" s="2">
        <v>41985.0</v>
      </c>
      <c r="GC638" s="1" t="s">
        <v>7957</v>
      </c>
    </row>
    <row r="639">
      <c r="A639" s="1">
        <v>130000.0</v>
      </c>
      <c r="B639" s="1" t="s">
        <v>185</v>
      </c>
      <c r="C639" s="1" t="str">
        <f>"08802238"</f>
        <v>08802238</v>
      </c>
      <c r="D639" s="1" t="s">
        <v>186</v>
      </c>
      <c r="F639" s="1" t="str">
        <f>"8070"</f>
        <v>8070</v>
      </c>
      <c r="G639" s="2">
        <v>41988.0</v>
      </c>
      <c r="H639" s="1">
        <v>135000.0</v>
      </c>
      <c r="I639" s="1">
        <v>31.0</v>
      </c>
      <c r="J639" s="1">
        <v>135000.0</v>
      </c>
      <c r="K639" s="2">
        <v>42018.0</v>
      </c>
      <c r="L639" s="1">
        <v>31.0</v>
      </c>
      <c r="M639" s="2">
        <v>42018.0</v>
      </c>
      <c r="N639" s="1" t="s">
        <v>187</v>
      </c>
      <c r="O639" s="2">
        <v>42116.0</v>
      </c>
      <c r="P639" s="1">
        <v>406041.0</v>
      </c>
      <c r="Q639" s="1">
        <v>40125.0</v>
      </c>
      <c r="S639" s="1">
        <v>4267.0</v>
      </c>
      <c r="T639" s="1" t="s">
        <v>3948</v>
      </c>
      <c r="U639" s="1" t="s">
        <v>320</v>
      </c>
      <c r="V639" s="1" t="s">
        <v>190</v>
      </c>
      <c r="W639" s="1">
        <v>60652.0</v>
      </c>
      <c r="Y639" s="1" t="s">
        <v>7958</v>
      </c>
      <c r="Z639" s="1">
        <v>1953.0</v>
      </c>
      <c r="AA639" s="1" t="s">
        <v>192</v>
      </c>
      <c r="AB639" s="1" t="s">
        <v>193</v>
      </c>
      <c r="AD639" s="1" t="s">
        <v>194</v>
      </c>
      <c r="AE639" s="1" t="s">
        <v>195</v>
      </c>
      <c r="AF639" s="1" t="s">
        <v>659</v>
      </c>
      <c r="AH639" s="1">
        <v>4725.0</v>
      </c>
      <c r="AI639" s="1">
        <v>0.1085</v>
      </c>
      <c r="AK639" s="1">
        <v>7.0</v>
      </c>
      <c r="AL639" s="1">
        <v>3.0</v>
      </c>
      <c r="AM639" s="1">
        <v>2.0</v>
      </c>
      <c r="AN639" s="1">
        <v>0.0</v>
      </c>
      <c r="AO639" s="1" t="s">
        <v>229</v>
      </c>
      <c r="AQ639" s="1" t="s">
        <v>198</v>
      </c>
      <c r="AR639" s="1" t="s">
        <v>192</v>
      </c>
      <c r="AS639" s="1" t="s">
        <v>199</v>
      </c>
      <c r="AT639" s="1">
        <v>2.0</v>
      </c>
      <c r="AV639" s="1" t="s">
        <v>200</v>
      </c>
      <c r="AW639" s="1">
        <v>2013.87</v>
      </c>
      <c r="AX639" s="1">
        <v>2013.0</v>
      </c>
      <c r="AZ639" s="1" t="s">
        <v>200</v>
      </c>
      <c r="BA639" s="1" t="str">
        <f>"19342070280000"</f>
        <v>19342070280000</v>
      </c>
      <c r="BC639" s="1">
        <v>1025.0</v>
      </c>
      <c r="BD639" s="1">
        <v>130000.0</v>
      </c>
      <c r="BE639" s="2">
        <v>41988.0</v>
      </c>
      <c r="BF639" s="1" t="s">
        <v>7959</v>
      </c>
      <c r="BH639" s="1">
        <v>0.0</v>
      </c>
      <c r="BK639" s="1" t="s">
        <v>204</v>
      </c>
      <c r="BL639" s="1" t="str">
        <f t="shared" ref="BL639:BM639" si="429">"0"</f>
        <v>0</v>
      </c>
      <c r="BM639" s="1" t="str">
        <f t="shared" si="429"/>
        <v>0</v>
      </c>
      <c r="BN639" s="1">
        <v>4267.0</v>
      </c>
      <c r="BO639" s="1">
        <v>8100.0</v>
      </c>
      <c r="BQ639" s="1">
        <v>299.0</v>
      </c>
      <c r="BR639" s="1">
        <v>299.0</v>
      </c>
      <c r="BS639" s="1">
        <v>299.0</v>
      </c>
      <c r="BU639" s="1" t="s">
        <v>925</v>
      </c>
      <c r="BV639" s="1" t="s">
        <v>206</v>
      </c>
      <c r="BY639" s="1" t="s">
        <v>495</v>
      </c>
      <c r="BZ639" s="1" t="s">
        <v>206</v>
      </c>
      <c r="CD639" s="1" t="s">
        <v>204</v>
      </c>
      <c r="CG639" s="1" t="s">
        <v>814</v>
      </c>
      <c r="CH639" s="1" t="s">
        <v>206</v>
      </c>
      <c r="CK639" s="1" t="s">
        <v>814</v>
      </c>
      <c r="CL639" s="1" t="s">
        <v>206</v>
      </c>
      <c r="CO639" s="1" t="s">
        <v>814</v>
      </c>
      <c r="CP639" s="1" t="s">
        <v>42</v>
      </c>
      <c r="CS639" s="1" t="s">
        <v>4180</v>
      </c>
      <c r="CT639" s="1" t="s">
        <v>206</v>
      </c>
      <c r="CW639" s="1" t="s">
        <v>730</v>
      </c>
      <c r="CX639" s="1" t="s">
        <v>206</v>
      </c>
      <c r="DA639" s="1" t="s">
        <v>200</v>
      </c>
      <c r="DC639" s="1" t="s">
        <v>702</v>
      </c>
      <c r="DE639" s="1" t="s">
        <v>273</v>
      </c>
      <c r="DF639" s="1" t="s">
        <v>905</v>
      </c>
      <c r="DH639" s="1" t="s">
        <v>365</v>
      </c>
      <c r="DJ639" s="1" t="s">
        <v>222</v>
      </c>
      <c r="DL639" s="1" t="s">
        <v>224</v>
      </c>
      <c r="DM639" s="1" t="s">
        <v>229</v>
      </c>
      <c r="DQ639" s="1" t="s">
        <v>228</v>
      </c>
      <c r="DR639" s="1" t="s">
        <v>229</v>
      </c>
      <c r="DV639" s="1" t="s">
        <v>232</v>
      </c>
      <c r="DW639" s="1" t="s">
        <v>279</v>
      </c>
      <c r="DX639" s="1" t="s">
        <v>234</v>
      </c>
      <c r="EC639" s="1" t="s">
        <v>685</v>
      </c>
      <c r="EM639" s="1" t="s">
        <v>238</v>
      </c>
      <c r="EQ639" s="1" t="s">
        <v>238</v>
      </c>
      <c r="EU639" s="1" t="s">
        <v>238</v>
      </c>
      <c r="EY639" s="1" t="s">
        <v>238</v>
      </c>
      <c r="FC639" s="1" t="s">
        <v>238</v>
      </c>
      <c r="FF639" s="1" t="s">
        <v>239</v>
      </c>
      <c r="FG639" s="1" t="s">
        <v>192</v>
      </c>
      <c r="FH639" s="1" t="s">
        <v>192</v>
      </c>
      <c r="FJ639" s="1" t="s">
        <v>7960</v>
      </c>
      <c r="FK639" s="1" t="s">
        <v>1586</v>
      </c>
      <c r="FL639" s="1" t="s">
        <v>1663</v>
      </c>
      <c r="FM639" s="1">
        <v>17299.0</v>
      </c>
      <c r="FN639" s="1" t="s">
        <v>1664</v>
      </c>
      <c r="FO639" s="1" t="s">
        <v>7961</v>
      </c>
      <c r="FP639" s="1">
        <v>181780.0</v>
      </c>
      <c r="FQ639" s="1" t="s">
        <v>7962</v>
      </c>
      <c r="FU639" s="1" t="s">
        <v>7963</v>
      </c>
      <c r="FV639" s="1" t="s">
        <v>200</v>
      </c>
      <c r="FW639" s="1" t="s">
        <v>290</v>
      </c>
      <c r="FX639" s="1" t="s">
        <v>246</v>
      </c>
      <c r="FZ639" s="1" t="s">
        <v>229</v>
      </c>
      <c r="GA639" s="1" t="s">
        <v>291</v>
      </c>
      <c r="GB639" s="2">
        <v>42116.0</v>
      </c>
      <c r="GC639" s="1" t="s">
        <v>7964</v>
      </c>
    </row>
    <row r="640">
      <c r="A640" s="1">
        <v>149900.0</v>
      </c>
      <c r="B640" s="1" t="s">
        <v>185</v>
      </c>
      <c r="C640" s="1" t="str">
        <f>"08805539"</f>
        <v>08805539</v>
      </c>
      <c r="D640" s="1" t="s">
        <v>186</v>
      </c>
      <c r="F640" s="1" t="str">
        <f>"8073"</f>
        <v>8073</v>
      </c>
      <c r="G640" s="2">
        <v>41996.0</v>
      </c>
      <c r="H640" s="1">
        <v>149900.0</v>
      </c>
      <c r="I640" s="1">
        <v>4.0</v>
      </c>
      <c r="J640" s="1">
        <v>149900.0</v>
      </c>
      <c r="K640" s="2">
        <v>41999.0</v>
      </c>
      <c r="L640" s="1">
        <v>4.0</v>
      </c>
      <c r="M640" s="2">
        <v>41999.0</v>
      </c>
      <c r="N640" s="1" t="s">
        <v>634</v>
      </c>
      <c r="O640" s="2">
        <v>42066.0</v>
      </c>
      <c r="P640" s="1">
        <v>840914.0</v>
      </c>
      <c r="Q640" s="1">
        <v>86002.0</v>
      </c>
      <c r="R640" s="1">
        <v>4000.0</v>
      </c>
      <c r="S640" s="1">
        <v>9129.0</v>
      </c>
      <c r="T640" s="1" t="s">
        <v>7965</v>
      </c>
      <c r="U640" s="1" t="s">
        <v>189</v>
      </c>
      <c r="V640" s="1" t="s">
        <v>190</v>
      </c>
      <c r="W640" s="1">
        <v>60620.0</v>
      </c>
      <c r="Y640" s="1" t="s">
        <v>7966</v>
      </c>
      <c r="Z640" s="1">
        <v>1959.0</v>
      </c>
      <c r="AA640" s="1" t="s">
        <v>192</v>
      </c>
      <c r="AB640" s="1" t="s">
        <v>193</v>
      </c>
      <c r="AD640" s="1" t="s">
        <v>194</v>
      </c>
      <c r="AE640" s="1" t="s">
        <v>195</v>
      </c>
      <c r="AF640" s="1" t="s">
        <v>659</v>
      </c>
      <c r="AH640" s="1">
        <v>3125.0</v>
      </c>
      <c r="AI640" s="1">
        <v>0.0717</v>
      </c>
      <c r="AK640" s="1">
        <v>6.0</v>
      </c>
      <c r="AL640" s="1">
        <v>3.0</v>
      </c>
      <c r="AM640" s="1">
        <v>2.0</v>
      </c>
      <c r="AN640" s="1">
        <v>0.0</v>
      </c>
      <c r="AO640" s="1" t="s">
        <v>229</v>
      </c>
      <c r="AQ640" s="1" t="s">
        <v>198</v>
      </c>
      <c r="AR640" s="1" t="s">
        <v>192</v>
      </c>
      <c r="AS640" s="1" t="s">
        <v>199</v>
      </c>
      <c r="AT640" s="1">
        <v>2.0</v>
      </c>
      <c r="AV640" s="1" t="s">
        <v>200</v>
      </c>
      <c r="AW640" s="1">
        <v>2136.13</v>
      </c>
      <c r="AX640" s="1">
        <v>2012.0</v>
      </c>
      <c r="AZ640" s="1" t="s">
        <v>200</v>
      </c>
      <c r="BA640" s="1" t="str">
        <f>"25043050120000"</f>
        <v>25043050120000</v>
      </c>
      <c r="BC640" s="1">
        <v>1029.0</v>
      </c>
      <c r="BD640" s="1">
        <v>149900.0</v>
      </c>
      <c r="BE640" s="2">
        <v>41996.0</v>
      </c>
      <c r="BF640" s="1" t="s">
        <v>7967</v>
      </c>
      <c r="BH640" s="1">
        <v>0.0</v>
      </c>
      <c r="BK640" s="1" t="s">
        <v>204</v>
      </c>
      <c r="BL640" s="1" t="str">
        <f t="shared" ref="BL640:BM640" si="430">"0"</f>
        <v>0</v>
      </c>
      <c r="BM640" s="1" t="str">
        <f t="shared" si="430"/>
        <v>0</v>
      </c>
      <c r="BN640" s="1">
        <v>432.0</v>
      </c>
      <c r="BO640" s="1">
        <v>9129.0</v>
      </c>
      <c r="BQ640" s="1">
        <v>299.0</v>
      </c>
      <c r="BR640" s="1">
        <v>299.0</v>
      </c>
      <c r="BS640" s="1">
        <v>299.0</v>
      </c>
      <c r="BU640" s="1" t="s">
        <v>304</v>
      </c>
      <c r="BV640" s="1" t="s">
        <v>206</v>
      </c>
      <c r="BW640" s="1" t="s">
        <v>207</v>
      </c>
      <c r="BX640" s="1" t="s">
        <v>431</v>
      </c>
      <c r="BY640" s="1" t="s">
        <v>925</v>
      </c>
      <c r="BZ640" s="1" t="s">
        <v>206</v>
      </c>
      <c r="CA640" s="1" t="s">
        <v>207</v>
      </c>
      <c r="CB640" s="1" t="s">
        <v>431</v>
      </c>
      <c r="CD640" s="1" t="s">
        <v>204</v>
      </c>
      <c r="CG640" s="1" t="s">
        <v>2460</v>
      </c>
      <c r="CH640" s="1" t="s">
        <v>206</v>
      </c>
      <c r="CI640" s="1" t="s">
        <v>207</v>
      </c>
      <c r="CJ640" s="1" t="s">
        <v>431</v>
      </c>
      <c r="CK640" s="1" t="s">
        <v>663</v>
      </c>
      <c r="CL640" s="1" t="s">
        <v>206</v>
      </c>
      <c r="CM640" s="1" t="s">
        <v>207</v>
      </c>
      <c r="CN640" s="1" t="s">
        <v>431</v>
      </c>
      <c r="CO640" s="1" t="s">
        <v>2713</v>
      </c>
      <c r="CP640" s="1" t="s">
        <v>42</v>
      </c>
      <c r="CQ640" s="1" t="s">
        <v>268</v>
      </c>
      <c r="CS640" s="1" t="s">
        <v>3045</v>
      </c>
      <c r="CT640" s="1" t="s">
        <v>206</v>
      </c>
      <c r="CU640" s="1" t="s">
        <v>268</v>
      </c>
      <c r="CV640" s="1" t="s">
        <v>431</v>
      </c>
      <c r="CX640" s="1" t="s">
        <v>204</v>
      </c>
      <c r="DA640" s="1" t="s">
        <v>200</v>
      </c>
      <c r="DC640" s="1" t="s">
        <v>271</v>
      </c>
      <c r="DD640" s="1" t="s">
        <v>518</v>
      </c>
      <c r="DE640" s="1" t="s">
        <v>273</v>
      </c>
      <c r="DF640" s="1" t="s">
        <v>619</v>
      </c>
      <c r="DG640" s="1" t="s">
        <v>482</v>
      </c>
      <c r="DH640" s="1" t="s">
        <v>365</v>
      </c>
      <c r="DI640" s="1" t="s">
        <v>7968</v>
      </c>
      <c r="DJ640" s="1" t="s">
        <v>222</v>
      </c>
      <c r="DL640" s="1" t="s">
        <v>224</v>
      </c>
      <c r="DM640" s="1" t="s">
        <v>229</v>
      </c>
      <c r="DN640" s="1" t="s">
        <v>7969</v>
      </c>
      <c r="DQ640" s="1" t="s">
        <v>228</v>
      </c>
      <c r="DR640" s="1" t="s">
        <v>229</v>
      </c>
      <c r="DV640" s="1" t="s">
        <v>408</v>
      </c>
      <c r="DW640" s="1" t="s">
        <v>279</v>
      </c>
      <c r="DX640" s="1" t="s">
        <v>234</v>
      </c>
      <c r="DY640" s="1" t="s">
        <v>553</v>
      </c>
      <c r="DZ640" s="1" t="s">
        <v>405</v>
      </c>
      <c r="EA640" s="1" t="s">
        <v>1302</v>
      </c>
      <c r="EC640" s="1" t="s">
        <v>685</v>
      </c>
      <c r="ED640" s="1" t="s">
        <v>555</v>
      </c>
      <c r="EE640" s="1" t="s">
        <v>1334</v>
      </c>
      <c r="EG640" s="1" t="s">
        <v>408</v>
      </c>
      <c r="EL640" s="1" t="s">
        <v>2394</v>
      </c>
      <c r="EM640" s="1" t="s">
        <v>206</v>
      </c>
      <c r="EN640" s="1" t="s">
        <v>617</v>
      </c>
      <c r="EQ640" s="1" t="s">
        <v>238</v>
      </c>
      <c r="EU640" s="1" t="s">
        <v>238</v>
      </c>
      <c r="EY640" s="1" t="s">
        <v>238</v>
      </c>
      <c r="FC640" s="1" t="s">
        <v>238</v>
      </c>
      <c r="FF640" s="1" t="s">
        <v>239</v>
      </c>
      <c r="FG640" s="1" t="s">
        <v>192</v>
      </c>
      <c r="FH640" s="1" t="s">
        <v>192</v>
      </c>
      <c r="FJ640" s="1" t="s">
        <v>1288</v>
      </c>
      <c r="FK640" s="1" t="s">
        <v>229</v>
      </c>
      <c r="FL640" s="1" t="s">
        <v>1335</v>
      </c>
      <c r="FM640" s="1">
        <v>86002.0</v>
      </c>
      <c r="FN640" s="1" t="s">
        <v>7970</v>
      </c>
      <c r="FO640" s="1" t="s">
        <v>7971</v>
      </c>
      <c r="FP640" s="1">
        <v>840914.0</v>
      </c>
      <c r="FU640" s="1" t="s">
        <v>1338</v>
      </c>
      <c r="FV640" s="1" t="s">
        <v>200</v>
      </c>
      <c r="FW640" s="1" t="s">
        <v>530</v>
      </c>
      <c r="FX640" s="1" t="s">
        <v>655</v>
      </c>
      <c r="FZ640" s="1" t="s">
        <v>229</v>
      </c>
      <c r="GA640" s="1" t="s">
        <v>291</v>
      </c>
      <c r="GB640" s="2">
        <v>42067.0</v>
      </c>
    </row>
    <row r="641">
      <c r="A641" s="1">
        <v>80750.0</v>
      </c>
      <c r="B641" s="1" t="s">
        <v>185</v>
      </c>
      <c r="C641" s="1" t="str">
        <f>"08802545"</f>
        <v>08802545</v>
      </c>
      <c r="D641" s="1" t="s">
        <v>186</v>
      </c>
      <c r="F641" s="1" t="str">
        <f>"123"</f>
        <v>123</v>
      </c>
      <c r="G641" s="2">
        <v>41988.0</v>
      </c>
      <c r="H641" s="1">
        <v>79900.0</v>
      </c>
      <c r="I641" s="1">
        <v>22.0</v>
      </c>
      <c r="J641" s="1">
        <v>79900.0</v>
      </c>
      <c r="K641" s="2">
        <v>42009.0</v>
      </c>
      <c r="L641" s="1">
        <v>22.0</v>
      </c>
      <c r="M641" s="2">
        <v>42009.0</v>
      </c>
      <c r="N641" s="1" t="s">
        <v>249</v>
      </c>
      <c r="O641" s="2">
        <v>42016.0</v>
      </c>
      <c r="P641" s="1">
        <v>8264.0</v>
      </c>
      <c r="Q641" s="1">
        <v>7450.0</v>
      </c>
      <c r="S641" s="1">
        <v>601.0</v>
      </c>
      <c r="T641" s="1" t="s">
        <v>899</v>
      </c>
      <c r="U641" s="1" t="s">
        <v>189</v>
      </c>
      <c r="V641" s="1" t="s">
        <v>465</v>
      </c>
      <c r="W641" s="1">
        <v>60120.0</v>
      </c>
      <c r="Y641" s="1" t="s">
        <v>7972</v>
      </c>
      <c r="Z641" s="1">
        <v>1925.0</v>
      </c>
      <c r="AA641" s="1" t="s">
        <v>192</v>
      </c>
      <c r="AB641" s="1" t="s">
        <v>193</v>
      </c>
      <c r="AD641" s="1" t="s">
        <v>469</v>
      </c>
      <c r="AE641" s="1" t="s">
        <v>325</v>
      </c>
      <c r="AF641" s="1" t="s">
        <v>469</v>
      </c>
      <c r="AG641" s="1" t="s">
        <v>4668</v>
      </c>
      <c r="AH641" s="1" t="s">
        <v>7973</v>
      </c>
      <c r="AK641" s="1">
        <v>7.0</v>
      </c>
      <c r="AL641" s="1">
        <v>4.0</v>
      </c>
      <c r="AM641" s="1">
        <v>1.0</v>
      </c>
      <c r="AN641" s="1">
        <v>1.0</v>
      </c>
      <c r="AO641" s="1" t="s">
        <v>229</v>
      </c>
      <c r="AQ641" s="1" t="s">
        <v>198</v>
      </c>
      <c r="AR641" s="1" t="s">
        <v>200</v>
      </c>
      <c r="AS641" s="1" t="s">
        <v>199</v>
      </c>
      <c r="AT641" s="1">
        <v>2.0</v>
      </c>
      <c r="AV641" s="1" t="s">
        <v>200</v>
      </c>
      <c r="AW641" s="1">
        <v>3875.0</v>
      </c>
      <c r="AX641" s="1">
        <v>2013.0</v>
      </c>
      <c r="AY641" s="1" t="s">
        <v>387</v>
      </c>
      <c r="AZ641" s="1" t="s">
        <v>545</v>
      </c>
      <c r="BA641" s="1" t="str">
        <f>"0612428001"</f>
        <v>0612428001</v>
      </c>
      <c r="BB641" s="1" t="s">
        <v>200</v>
      </c>
      <c r="BC641" s="1">
        <v>1556.0</v>
      </c>
      <c r="BD641" s="1">
        <v>80750.0</v>
      </c>
      <c r="BE641" s="2">
        <v>41988.0</v>
      </c>
      <c r="BF641" s="1" t="s">
        <v>7974</v>
      </c>
      <c r="BH641" s="1">
        <v>0.0</v>
      </c>
      <c r="BK641" s="1" t="s">
        <v>204</v>
      </c>
      <c r="BL641" s="1" t="str">
        <f>"12"</f>
        <v>12</v>
      </c>
      <c r="BM641" s="1" t="str">
        <f>""</f>
        <v/>
      </c>
      <c r="BN641" s="1">
        <v>33.0</v>
      </c>
      <c r="BQ641" s="1">
        <v>46.0</v>
      </c>
      <c r="BR641" s="1">
        <v>46.0</v>
      </c>
      <c r="BS641" s="1">
        <v>46.0</v>
      </c>
      <c r="BU641" s="1" t="s">
        <v>393</v>
      </c>
      <c r="BV641" s="1" t="s">
        <v>206</v>
      </c>
      <c r="BY641" s="1" t="s">
        <v>264</v>
      </c>
      <c r="BZ641" s="1" t="s">
        <v>209</v>
      </c>
      <c r="CC641" s="1" t="s">
        <v>433</v>
      </c>
      <c r="CD641" s="1" t="s">
        <v>206</v>
      </c>
      <c r="CG641" s="1" t="s">
        <v>375</v>
      </c>
      <c r="CH641" s="1" t="s">
        <v>209</v>
      </c>
      <c r="CK641" s="1" t="s">
        <v>264</v>
      </c>
      <c r="CL641" s="1" t="s">
        <v>209</v>
      </c>
      <c r="CO641" s="1" t="s">
        <v>543</v>
      </c>
      <c r="CP641" s="1" t="s">
        <v>209</v>
      </c>
      <c r="CS641" s="1" t="s">
        <v>215</v>
      </c>
      <c r="CT641" s="1" t="s">
        <v>206</v>
      </c>
      <c r="CX641" s="1" t="s">
        <v>204</v>
      </c>
      <c r="DA641" s="1" t="s">
        <v>200</v>
      </c>
      <c r="DC641" s="1" t="s">
        <v>785</v>
      </c>
      <c r="DE641" s="1" t="s">
        <v>229</v>
      </c>
      <c r="DF641" s="1" t="s">
        <v>619</v>
      </c>
      <c r="DH641" s="1" t="s">
        <v>220</v>
      </c>
      <c r="DJ641" s="1" t="s">
        <v>222</v>
      </c>
      <c r="DL641" s="1" t="s">
        <v>858</v>
      </c>
      <c r="DM641" s="1" t="s">
        <v>229</v>
      </c>
      <c r="DO641" s="1" t="s">
        <v>590</v>
      </c>
      <c r="DP641" s="1" t="s">
        <v>340</v>
      </c>
      <c r="DQ641" s="1" t="s">
        <v>228</v>
      </c>
      <c r="DR641" s="1" t="s">
        <v>229</v>
      </c>
      <c r="DV641" s="1" t="s">
        <v>374</v>
      </c>
      <c r="DW641" s="1" t="s">
        <v>370</v>
      </c>
      <c r="DX641" s="1" t="s">
        <v>234</v>
      </c>
      <c r="EA641" s="1" t="s">
        <v>3577</v>
      </c>
      <c r="EC641" s="1" t="s">
        <v>237</v>
      </c>
      <c r="EG641" s="1" t="s">
        <v>374</v>
      </c>
      <c r="EL641" s="1" t="s">
        <v>7975</v>
      </c>
      <c r="EM641" s="1" t="s">
        <v>206</v>
      </c>
      <c r="EQ641" s="1" t="s">
        <v>238</v>
      </c>
      <c r="EU641" s="1" t="s">
        <v>238</v>
      </c>
      <c r="EY641" s="1" t="s">
        <v>238</v>
      </c>
      <c r="FC641" s="1" t="s">
        <v>238</v>
      </c>
      <c r="FF641" s="1" t="s">
        <v>239</v>
      </c>
      <c r="FG641" s="1" t="s">
        <v>192</v>
      </c>
      <c r="FH641" s="1" t="s">
        <v>200</v>
      </c>
      <c r="FJ641" s="1" t="s">
        <v>347</v>
      </c>
      <c r="FK641" s="1" t="s">
        <v>229</v>
      </c>
      <c r="FL641" s="1" t="s">
        <v>2263</v>
      </c>
      <c r="FM641" s="1">
        <v>7661.0</v>
      </c>
      <c r="FN641" s="1" t="s">
        <v>4356</v>
      </c>
      <c r="FO641" s="1" t="s">
        <v>7976</v>
      </c>
      <c r="FP641" s="1">
        <v>77015.0</v>
      </c>
      <c r="FU641" s="1" t="s">
        <v>7977</v>
      </c>
      <c r="FV641" s="1" t="s">
        <v>192</v>
      </c>
      <c r="FW641" s="1" t="s">
        <v>567</v>
      </c>
      <c r="FZ641" s="1" t="s">
        <v>632</v>
      </c>
      <c r="GA641" s="1" t="s">
        <v>291</v>
      </c>
      <c r="GB641" s="2">
        <v>42018.0</v>
      </c>
      <c r="GC641" s="1" t="s">
        <v>7978</v>
      </c>
    </row>
    <row r="642">
      <c r="A642" s="1">
        <v>40000.0</v>
      </c>
      <c r="B642" s="1" t="s">
        <v>185</v>
      </c>
      <c r="C642" s="1" t="str">
        <f>"08803244"</f>
        <v>08803244</v>
      </c>
      <c r="D642" s="1" t="s">
        <v>186</v>
      </c>
      <c r="F642" s="1" t="str">
        <f>"8075"</f>
        <v>8075</v>
      </c>
      <c r="G642" s="2">
        <v>41990.0</v>
      </c>
      <c r="H642" s="1">
        <v>59000.0</v>
      </c>
      <c r="I642" s="1">
        <v>290.0</v>
      </c>
      <c r="J642" s="1">
        <v>59000.0</v>
      </c>
      <c r="K642" s="2">
        <v>42055.0</v>
      </c>
      <c r="L642" s="1">
        <v>66.0</v>
      </c>
      <c r="M642" s="2">
        <v>42055.0</v>
      </c>
      <c r="N642" s="1" t="s">
        <v>187</v>
      </c>
      <c r="O642" s="2">
        <v>42080.0</v>
      </c>
      <c r="P642" s="1">
        <v>240648.0</v>
      </c>
      <c r="Q642" s="1">
        <v>25658.0</v>
      </c>
      <c r="S642" s="1">
        <v>11212.0</v>
      </c>
      <c r="T642" s="1" t="s">
        <v>7979</v>
      </c>
      <c r="U642" s="1" t="s">
        <v>189</v>
      </c>
      <c r="V642" s="1" t="s">
        <v>190</v>
      </c>
      <c r="W642" s="1">
        <v>60643.0</v>
      </c>
      <c r="Y642" s="1" t="s">
        <v>7980</v>
      </c>
      <c r="Z642" s="1">
        <v>1911.0</v>
      </c>
      <c r="AA642" s="1" t="s">
        <v>192</v>
      </c>
      <c r="AB642" s="1" t="s">
        <v>193</v>
      </c>
      <c r="AD642" s="1" t="s">
        <v>194</v>
      </c>
      <c r="AE642" s="1" t="s">
        <v>195</v>
      </c>
      <c r="AF642" s="1" t="s">
        <v>659</v>
      </c>
      <c r="AH642" s="1" t="s">
        <v>7981</v>
      </c>
      <c r="AI642" s="1">
        <v>0.0</v>
      </c>
      <c r="AK642" s="1">
        <v>8.0</v>
      </c>
      <c r="AL642" s="1">
        <v>4.0</v>
      </c>
      <c r="AM642" s="1">
        <v>2.0</v>
      </c>
      <c r="AN642" s="1">
        <v>0.0</v>
      </c>
      <c r="AO642" s="1" t="s">
        <v>229</v>
      </c>
      <c r="AP642" s="1">
        <v>1.0</v>
      </c>
      <c r="AQ642" s="1" t="s">
        <v>198</v>
      </c>
      <c r="AR642" s="1" t="s">
        <v>200</v>
      </c>
      <c r="AS642" s="1" t="s">
        <v>229</v>
      </c>
      <c r="AV642" s="1" t="s">
        <v>200</v>
      </c>
      <c r="AW642" s="1">
        <v>2018.79</v>
      </c>
      <c r="AX642" s="1">
        <v>2013.0</v>
      </c>
      <c r="AY642" s="1" t="s">
        <v>229</v>
      </c>
      <c r="AZ642" s="1" t="s">
        <v>200</v>
      </c>
      <c r="BA642" s="1" t="str">
        <f>"25192090230000"</f>
        <v>25192090230000</v>
      </c>
      <c r="BB642" s="1" t="s">
        <v>200</v>
      </c>
      <c r="BC642" s="1">
        <v>0.0</v>
      </c>
      <c r="BD642" s="1">
        <v>40000.0</v>
      </c>
      <c r="BE642" s="2">
        <v>41990.0</v>
      </c>
      <c r="BF642" s="2" t="s">
        <v>7982</v>
      </c>
      <c r="BH642" s="1">
        <v>0.0</v>
      </c>
      <c r="BK642" s="1" t="s">
        <v>204</v>
      </c>
      <c r="BL642" s="1" t="str">
        <f t="shared" ref="BL642:BM642" si="431">"0"</f>
        <v>0</v>
      </c>
      <c r="BM642" s="1" t="str">
        <f t="shared" si="431"/>
        <v>0</v>
      </c>
      <c r="BN642" s="1">
        <v>1932.0</v>
      </c>
      <c r="BO642" s="1">
        <v>11212.0</v>
      </c>
      <c r="BQ642" s="1">
        <v>299.0</v>
      </c>
      <c r="BR642" s="1">
        <v>299.0</v>
      </c>
      <c r="BS642" s="1">
        <v>299.0</v>
      </c>
      <c r="BU642" s="1" t="s">
        <v>363</v>
      </c>
      <c r="BV642" s="1" t="s">
        <v>206</v>
      </c>
      <c r="BY642" s="1" t="s">
        <v>663</v>
      </c>
      <c r="BZ642" s="1" t="s">
        <v>209</v>
      </c>
      <c r="CC642" s="1" t="s">
        <v>363</v>
      </c>
      <c r="CD642" s="1" t="s">
        <v>206</v>
      </c>
      <c r="CG642" s="1" t="s">
        <v>303</v>
      </c>
      <c r="CH642" s="1" t="s">
        <v>209</v>
      </c>
      <c r="CK642" s="1" t="s">
        <v>332</v>
      </c>
      <c r="CL642" s="1" t="s">
        <v>206</v>
      </c>
      <c r="CO642" s="1" t="s">
        <v>303</v>
      </c>
      <c r="CP642" s="1" t="s">
        <v>206</v>
      </c>
      <c r="CS642" s="1" t="s">
        <v>478</v>
      </c>
      <c r="CT642" s="1" t="s">
        <v>206</v>
      </c>
      <c r="CX642" s="1" t="s">
        <v>204</v>
      </c>
      <c r="DA642" s="1" t="s">
        <v>200</v>
      </c>
      <c r="DC642" s="1" t="s">
        <v>642</v>
      </c>
      <c r="DE642" s="1" t="s">
        <v>229</v>
      </c>
      <c r="DF642" s="1" t="s">
        <v>619</v>
      </c>
      <c r="DG642" s="1" t="s">
        <v>337</v>
      </c>
      <c r="DH642" s="1" t="s">
        <v>365</v>
      </c>
      <c r="DJ642" s="1" t="s">
        <v>222</v>
      </c>
      <c r="DL642" s="1" t="s">
        <v>223</v>
      </c>
      <c r="DM642" s="1" t="s">
        <v>229</v>
      </c>
      <c r="DQ642" s="1" t="s">
        <v>794</v>
      </c>
      <c r="DR642" s="1" t="s">
        <v>229</v>
      </c>
      <c r="DV642" s="1" t="s">
        <v>494</v>
      </c>
      <c r="DW642" s="1" t="s">
        <v>489</v>
      </c>
      <c r="DX642" s="1" t="s">
        <v>234</v>
      </c>
      <c r="EB642" s="1" t="s">
        <v>345</v>
      </c>
      <c r="EC642" s="1" t="s">
        <v>645</v>
      </c>
      <c r="EG642" s="1" t="s">
        <v>494</v>
      </c>
      <c r="EL642" s="1" t="s">
        <v>269</v>
      </c>
      <c r="EM642" s="1" t="s">
        <v>209</v>
      </c>
      <c r="EQ642" s="1" t="s">
        <v>238</v>
      </c>
      <c r="EU642" s="1" t="s">
        <v>238</v>
      </c>
      <c r="EY642" s="1" t="s">
        <v>238</v>
      </c>
      <c r="FC642" s="1" t="s">
        <v>238</v>
      </c>
      <c r="FF642" s="1" t="s">
        <v>229</v>
      </c>
      <c r="FG642" s="1" t="s">
        <v>200</v>
      </c>
      <c r="FH642" s="1" t="s">
        <v>200</v>
      </c>
      <c r="FJ642" s="1" t="s">
        <v>7983</v>
      </c>
      <c r="FK642" s="1" t="s">
        <v>229</v>
      </c>
      <c r="FL642" s="1" t="s">
        <v>7984</v>
      </c>
      <c r="FM642" s="1">
        <v>25658.0</v>
      </c>
      <c r="FN642" s="1" t="s">
        <v>7985</v>
      </c>
      <c r="FO642" s="1" t="s">
        <v>7986</v>
      </c>
      <c r="FP642" s="1">
        <v>240648.0</v>
      </c>
      <c r="FR642" s="1">
        <v>242292.0</v>
      </c>
      <c r="FS642" s="1" t="s">
        <v>7987</v>
      </c>
      <c r="FU642" s="1" t="s">
        <v>2030</v>
      </c>
      <c r="FV642" s="1" t="s">
        <v>200</v>
      </c>
      <c r="FW642" s="1" t="s">
        <v>290</v>
      </c>
      <c r="FX642" s="1" t="s">
        <v>655</v>
      </c>
      <c r="FZ642" s="1" t="s">
        <v>229</v>
      </c>
      <c r="GA642" s="1" t="s">
        <v>291</v>
      </c>
      <c r="GB642" s="2">
        <v>42080.0</v>
      </c>
      <c r="GC642" s="1" t="s">
        <v>7988</v>
      </c>
    </row>
    <row r="643">
      <c r="A643" s="1">
        <v>98000.0</v>
      </c>
      <c r="B643" s="1" t="s">
        <v>185</v>
      </c>
      <c r="C643" s="1" t="str">
        <f>"08800879"</f>
        <v>08800879</v>
      </c>
      <c r="D643" s="1" t="s">
        <v>186</v>
      </c>
      <c r="F643" s="1" t="str">
        <f>"8030"</f>
        <v>8030</v>
      </c>
      <c r="G643" s="2">
        <v>41984.0</v>
      </c>
      <c r="H643" s="1">
        <v>119900.0</v>
      </c>
      <c r="I643" s="1">
        <v>78.0</v>
      </c>
      <c r="J643" s="1">
        <v>109900.0</v>
      </c>
      <c r="K643" s="2">
        <v>42026.0</v>
      </c>
      <c r="L643" s="1">
        <v>43.0</v>
      </c>
      <c r="M643" s="2">
        <v>42026.0</v>
      </c>
      <c r="N643" s="1" t="s">
        <v>356</v>
      </c>
      <c r="O643" s="2">
        <v>42062.0</v>
      </c>
      <c r="P643" s="1">
        <v>110639.0</v>
      </c>
      <c r="Q643" s="1">
        <v>10874.0</v>
      </c>
      <c r="R643" s="1">
        <v>1000.0</v>
      </c>
      <c r="S643" s="1">
        <v>2826.0</v>
      </c>
      <c r="T643" s="1" t="s">
        <v>7989</v>
      </c>
      <c r="U643" s="1" t="s">
        <v>189</v>
      </c>
      <c r="V643" s="1" t="s">
        <v>190</v>
      </c>
      <c r="W643" s="1">
        <v>60623.0</v>
      </c>
      <c r="X643" s="1">
        <v>4439.0</v>
      </c>
      <c r="Y643" s="1" t="s">
        <v>7990</v>
      </c>
      <c r="Z643" s="1">
        <v>1908.0</v>
      </c>
      <c r="AA643" s="1" t="s">
        <v>192</v>
      </c>
      <c r="AB643" s="1" t="s">
        <v>193</v>
      </c>
      <c r="AD643" s="1" t="s">
        <v>194</v>
      </c>
      <c r="AE643" s="1" t="s">
        <v>195</v>
      </c>
      <c r="AF643" s="1" t="s">
        <v>827</v>
      </c>
      <c r="AH643" s="1" t="s">
        <v>741</v>
      </c>
      <c r="AI643" s="1">
        <v>0.0</v>
      </c>
      <c r="AK643" s="1">
        <v>7.0</v>
      </c>
      <c r="AL643" s="1">
        <v>3.0</v>
      </c>
      <c r="AM643" s="1">
        <v>2.0</v>
      </c>
      <c r="AN643" s="1">
        <v>0.0</v>
      </c>
      <c r="AO643" s="1" t="s">
        <v>229</v>
      </c>
      <c r="AQ643" s="1" t="s">
        <v>198</v>
      </c>
      <c r="AR643" s="1" t="s">
        <v>192</v>
      </c>
      <c r="AS643" s="1" t="s">
        <v>199</v>
      </c>
      <c r="AT643" s="1">
        <v>2.0</v>
      </c>
      <c r="AV643" s="1" t="s">
        <v>200</v>
      </c>
      <c r="AW643" s="1">
        <v>1439.0</v>
      </c>
      <c r="AX643" s="1">
        <v>2013.0</v>
      </c>
      <c r="AY643" s="1" t="s">
        <v>387</v>
      </c>
      <c r="AZ643" s="1" t="s">
        <v>200</v>
      </c>
      <c r="BA643" s="1" t="str">
        <f>"16274210350000"</f>
        <v>16274210350000</v>
      </c>
      <c r="BB643" s="1" t="s">
        <v>200</v>
      </c>
      <c r="BC643" s="1">
        <v>0.0</v>
      </c>
      <c r="BD643" s="1">
        <v>98000.0</v>
      </c>
      <c r="BE643" s="2">
        <v>41984.0</v>
      </c>
      <c r="BF643" s="2" t="s">
        <v>7991</v>
      </c>
      <c r="BH643" s="1">
        <v>0.0</v>
      </c>
      <c r="BK643" s="1" t="s">
        <v>204</v>
      </c>
      <c r="BL643" s="1" t="str">
        <f t="shared" ref="BL643:BM643" si="432">"0"</f>
        <v>0</v>
      </c>
      <c r="BM643" s="1" t="str">
        <f t="shared" si="432"/>
        <v>0</v>
      </c>
      <c r="BN643" s="1">
        <v>4100.0</v>
      </c>
      <c r="BO643" s="1">
        <v>2826.0</v>
      </c>
      <c r="BQ643" s="1">
        <v>299.0</v>
      </c>
      <c r="BR643" s="1">
        <v>299.0</v>
      </c>
      <c r="BS643" s="1">
        <v>299.0</v>
      </c>
      <c r="BU643" s="1" t="s">
        <v>433</v>
      </c>
      <c r="BV643" s="1" t="s">
        <v>206</v>
      </c>
      <c r="BY643" s="1" t="s">
        <v>363</v>
      </c>
      <c r="BZ643" s="1" t="s">
        <v>206</v>
      </c>
      <c r="CA643" s="1" t="s">
        <v>210</v>
      </c>
      <c r="CD643" s="1" t="s">
        <v>204</v>
      </c>
      <c r="CG643" s="1" t="s">
        <v>363</v>
      </c>
      <c r="CH643" s="1" t="s">
        <v>206</v>
      </c>
      <c r="CI643" s="1" t="s">
        <v>210</v>
      </c>
      <c r="CK643" s="1" t="s">
        <v>363</v>
      </c>
      <c r="CL643" s="1" t="s">
        <v>209</v>
      </c>
      <c r="CM643" s="1" t="s">
        <v>210</v>
      </c>
      <c r="CO643" s="1" t="s">
        <v>2647</v>
      </c>
      <c r="CP643" s="1" t="s">
        <v>42</v>
      </c>
      <c r="CS643" s="1" t="s">
        <v>433</v>
      </c>
      <c r="CT643" s="1" t="s">
        <v>206</v>
      </c>
      <c r="CW643" s="1" t="s">
        <v>363</v>
      </c>
      <c r="CX643" s="1" t="s">
        <v>42</v>
      </c>
      <c r="DA643" s="1" t="s">
        <v>200</v>
      </c>
      <c r="DC643" s="1" t="s">
        <v>642</v>
      </c>
      <c r="DE643" s="1" t="s">
        <v>2851</v>
      </c>
      <c r="DF643" s="1" t="s">
        <v>787</v>
      </c>
      <c r="DH643" s="1" t="s">
        <v>365</v>
      </c>
      <c r="DJ643" s="1" t="s">
        <v>222</v>
      </c>
      <c r="DL643" s="1" t="s">
        <v>224</v>
      </c>
      <c r="DM643" s="1" t="s">
        <v>229</v>
      </c>
      <c r="DQ643" s="1" t="s">
        <v>228</v>
      </c>
      <c r="DR643" s="1" t="s">
        <v>229</v>
      </c>
      <c r="DV643" s="1" t="s">
        <v>232</v>
      </c>
      <c r="DW643" s="1" t="s">
        <v>279</v>
      </c>
      <c r="DX643" s="1" t="s">
        <v>234</v>
      </c>
      <c r="EC643" s="1" t="s">
        <v>645</v>
      </c>
      <c r="EM643" s="1" t="s">
        <v>238</v>
      </c>
      <c r="EQ643" s="1" t="s">
        <v>238</v>
      </c>
      <c r="EU643" s="1" t="s">
        <v>238</v>
      </c>
      <c r="EY643" s="1" t="s">
        <v>238</v>
      </c>
      <c r="FC643" s="1" t="s">
        <v>238</v>
      </c>
      <c r="FF643" s="1" t="s">
        <v>239</v>
      </c>
      <c r="FG643" s="1" t="s">
        <v>192</v>
      </c>
      <c r="FH643" s="1" t="s">
        <v>192</v>
      </c>
      <c r="FJ643" s="1" t="s">
        <v>347</v>
      </c>
      <c r="FK643" s="1" t="s">
        <v>229</v>
      </c>
      <c r="FL643" s="1" t="s">
        <v>7992</v>
      </c>
      <c r="FM643" s="1">
        <v>24780.0</v>
      </c>
      <c r="FN643" s="1" t="s">
        <v>7993</v>
      </c>
      <c r="FO643" s="1" t="s">
        <v>7994</v>
      </c>
      <c r="FP643" s="1">
        <v>237284.0</v>
      </c>
      <c r="FU643" s="1" t="s">
        <v>3760</v>
      </c>
      <c r="FV643" s="1" t="s">
        <v>200</v>
      </c>
      <c r="FW643" s="1" t="s">
        <v>631</v>
      </c>
      <c r="FX643" s="1" t="s">
        <v>655</v>
      </c>
      <c r="FZ643" s="1" t="s">
        <v>2993</v>
      </c>
      <c r="GA643" s="1" t="s">
        <v>291</v>
      </c>
      <c r="GB643" s="2">
        <v>42065.0</v>
      </c>
      <c r="GC643" s="1" t="s">
        <v>7995</v>
      </c>
    </row>
    <row r="644">
      <c r="A644" s="1">
        <v>216000.0</v>
      </c>
      <c r="B644" s="1" t="s">
        <v>185</v>
      </c>
      <c r="C644" s="1" t="str">
        <f>"08806612"</f>
        <v>08806612</v>
      </c>
      <c r="D644" s="1" t="s">
        <v>186</v>
      </c>
      <c r="F644" s="1" t="str">
        <f>"8015"</f>
        <v>8015</v>
      </c>
      <c r="G644" s="2">
        <v>42001.0</v>
      </c>
      <c r="H644" s="1">
        <v>219900.0</v>
      </c>
      <c r="I644" s="1">
        <v>18.0</v>
      </c>
      <c r="J644" s="1">
        <v>219900.0</v>
      </c>
      <c r="K644" s="2">
        <v>42018.0</v>
      </c>
      <c r="L644" s="1">
        <v>18.0</v>
      </c>
      <c r="M644" s="2">
        <v>42018.0</v>
      </c>
      <c r="N644" s="1" t="s">
        <v>634</v>
      </c>
      <c r="O644" s="2">
        <v>42090.0</v>
      </c>
      <c r="P644" s="1">
        <v>874450.0</v>
      </c>
      <c r="Q644" s="1">
        <v>13691.0</v>
      </c>
      <c r="S644" s="1">
        <v>5141.0</v>
      </c>
      <c r="T644" s="1" t="s">
        <v>7996</v>
      </c>
      <c r="U644" s="1" t="s">
        <v>189</v>
      </c>
      <c r="V644" s="1" t="s">
        <v>190</v>
      </c>
      <c r="W644" s="1">
        <v>60641.0</v>
      </c>
      <c r="Y644" s="1" t="s">
        <v>7997</v>
      </c>
      <c r="Z644" s="1">
        <v>1921.0</v>
      </c>
      <c r="AA644" s="1" t="s">
        <v>192</v>
      </c>
      <c r="AB644" s="1" t="s">
        <v>193</v>
      </c>
      <c r="AD644" s="1" t="s">
        <v>194</v>
      </c>
      <c r="AE644" s="1" t="s">
        <v>195</v>
      </c>
      <c r="AF644" s="1" t="s">
        <v>196</v>
      </c>
      <c r="AH644" s="1" t="s">
        <v>7998</v>
      </c>
      <c r="AK644" s="1">
        <v>7.0</v>
      </c>
      <c r="AL644" s="1">
        <v>4.0</v>
      </c>
      <c r="AM644" s="1">
        <v>2.0</v>
      </c>
      <c r="AN644" s="1">
        <v>1.0</v>
      </c>
      <c r="AO644" s="1" t="s">
        <v>198</v>
      </c>
      <c r="AQ644" s="1" t="s">
        <v>198</v>
      </c>
      <c r="AR644" s="1" t="s">
        <v>200</v>
      </c>
      <c r="AS644" s="1" t="s">
        <v>199</v>
      </c>
      <c r="AT644" s="1">
        <v>2.0</v>
      </c>
      <c r="AV644" s="1" t="s">
        <v>200</v>
      </c>
      <c r="AW644" s="1">
        <v>3435.0</v>
      </c>
      <c r="AX644" s="1">
        <v>2013.0</v>
      </c>
      <c r="AY644" s="1" t="s">
        <v>387</v>
      </c>
      <c r="AZ644" s="1" t="s">
        <v>545</v>
      </c>
      <c r="BA644" s="1" t="str">
        <f>"13214040060000"</f>
        <v>13214040060000</v>
      </c>
      <c r="BC644" s="1">
        <v>1800.0</v>
      </c>
      <c r="BD644" s="1">
        <v>216000.0</v>
      </c>
      <c r="BE644" s="2">
        <v>42001.0</v>
      </c>
      <c r="BF644" s="2" t="s">
        <v>7999</v>
      </c>
      <c r="BH644" s="1">
        <v>0.0</v>
      </c>
      <c r="BK644" s="1" t="s">
        <v>204</v>
      </c>
      <c r="BL644" s="1" t="str">
        <f>"3500"</f>
        <v>3500</v>
      </c>
      <c r="BM644" s="1" t="str">
        <f t="shared" ref="BM644:BM646" si="433">"0"</f>
        <v>0</v>
      </c>
      <c r="BN644" s="1">
        <v>5141.0</v>
      </c>
      <c r="BO644" s="1">
        <v>0.0</v>
      </c>
      <c r="BQ644" s="1">
        <v>299.0</v>
      </c>
      <c r="BR644" s="1">
        <v>299.0</v>
      </c>
      <c r="BS644" s="1">
        <v>299.0</v>
      </c>
      <c r="BU644" s="1" t="s">
        <v>758</v>
      </c>
      <c r="BV644" s="1" t="s">
        <v>206</v>
      </c>
      <c r="BW644" s="1" t="s">
        <v>210</v>
      </c>
      <c r="BY644" s="1" t="s">
        <v>304</v>
      </c>
      <c r="BZ644" s="1" t="s">
        <v>209</v>
      </c>
      <c r="CC644" s="1" t="s">
        <v>584</v>
      </c>
      <c r="CD644" s="1" t="s">
        <v>206</v>
      </c>
      <c r="CE644" s="1" t="s">
        <v>210</v>
      </c>
      <c r="CG644" s="1" t="s">
        <v>269</v>
      </c>
      <c r="CH644" s="1" t="s">
        <v>206</v>
      </c>
      <c r="CK644" s="1" t="s">
        <v>269</v>
      </c>
      <c r="CL644" s="1" t="s">
        <v>206</v>
      </c>
      <c r="CO644" s="1" t="s">
        <v>1299</v>
      </c>
      <c r="CP644" s="1" t="s">
        <v>209</v>
      </c>
      <c r="CS644" s="1" t="s">
        <v>454</v>
      </c>
      <c r="CT644" s="1" t="s">
        <v>206</v>
      </c>
      <c r="CX644" s="1" t="s">
        <v>204</v>
      </c>
      <c r="DA644" s="1" t="s">
        <v>200</v>
      </c>
      <c r="DC644" s="1" t="s">
        <v>216</v>
      </c>
      <c r="DD644" s="1" t="s">
        <v>786</v>
      </c>
      <c r="DE644" s="1" t="s">
        <v>273</v>
      </c>
      <c r="DF644" s="1" t="s">
        <v>219</v>
      </c>
      <c r="DH644" s="1" t="s">
        <v>365</v>
      </c>
      <c r="DI644" s="1" t="s">
        <v>703</v>
      </c>
      <c r="DJ644" s="1" t="s">
        <v>222</v>
      </c>
      <c r="DK644" s="1" t="s">
        <v>224</v>
      </c>
      <c r="DL644" s="1" t="s">
        <v>1161</v>
      </c>
      <c r="DM644" s="1" t="s">
        <v>229</v>
      </c>
      <c r="DP644" s="1" t="s">
        <v>340</v>
      </c>
      <c r="DQ644" s="1" t="s">
        <v>794</v>
      </c>
      <c r="DR644" s="1" t="s">
        <v>229</v>
      </c>
      <c r="DS644" s="1" t="s">
        <v>401</v>
      </c>
      <c r="DU644" s="1" t="s">
        <v>962</v>
      </c>
      <c r="DV644" s="1" t="s">
        <v>232</v>
      </c>
      <c r="DW644" s="1" t="s">
        <v>667</v>
      </c>
      <c r="DX644" s="1" t="s">
        <v>234</v>
      </c>
      <c r="DY644" s="1" t="s">
        <v>987</v>
      </c>
      <c r="EA644" s="1" t="s">
        <v>644</v>
      </c>
      <c r="EC644" s="1" t="s">
        <v>237</v>
      </c>
      <c r="EM644" s="1" t="s">
        <v>238</v>
      </c>
      <c r="EQ644" s="1" t="s">
        <v>238</v>
      </c>
      <c r="EU644" s="1" t="s">
        <v>238</v>
      </c>
      <c r="EY644" s="1" t="s">
        <v>238</v>
      </c>
      <c r="FC644" s="1" t="s">
        <v>238</v>
      </c>
      <c r="FF644" s="1" t="s">
        <v>239</v>
      </c>
      <c r="FG644" s="1" t="s">
        <v>192</v>
      </c>
      <c r="FH644" s="1" t="s">
        <v>192</v>
      </c>
      <c r="FJ644" s="1" t="s">
        <v>4404</v>
      </c>
      <c r="FK644" s="1" t="s">
        <v>229</v>
      </c>
      <c r="FL644" s="1" t="s">
        <v>8000</v>
      </c>
      <c r="FM644" s="1">
        <v>84947.0</v>
      </c>
      <c r="FN644" s="1" t="s">
        <v>8001</v>
      </c>
      <c r="FO644" s="1" t="s">
        <v>8002</v>
      </c>
      <c r="FP644" s="1">
        <v>188468.0</v>
      </c>
      <c r="FQ644" s="1" t="s">
        <v>8001</v>
      </c>
      <c r="FU644" s="1" t="s">
        <v>8003</v>
      </c>
      <c r="FV644" s="1" t="s">
        <v>200</v>
      </c>
      <c r="FW644" s="1" t="s">
        <v>290</v>
      </c>
      <c r="FX644" s="1" t="s">
        <v>246</v>
      </c>
      <c r="FZ644" s="1" t="s">
        <v>229</v>
      </c>
      <c r="GA644" s="1" t="s">
        <v>291</v>
      </c>
      <c r="GB644" s="2">
        <v>42090.0</v>
      </c>
      <c r="GC644" s="1" t="s">
        <v>8004</v>
      </c>
    </row>
    <row r="645">
      <c r="A645" s="1">
        <v>170000.0</v>
      </c>
      <c r="B645" s="1" t="s">
        <v>185</v>
      </c>
      <c r="C645" s="1" t="str">
        <f>"08806397"</f>
        <v>08806397</v>
      </c>
      <c r="D645" s="1" t="s">
        <v>186</v>
      </c>
      <c r="F645" s="1" t="str">
        <f>"8019"</f>
        <v>8019</v>
      </c>
      <c r="G645" s="2">
        <v>42000.0</v>
      </c>
      <c r="H645" s="1">
        <v>199000.0</v>
      </c>
      <c r="I645" s="1">
        <v>27.0</v>
      </c>
      <c r="J645" s="1">
        <v>175000.0</v>
      </c>
      <c r="K645" s="2">
        <v>42026.0</v>
      </c>
      <c r="L645" s="1">
        <v>27.0</v>
      </c>
      <c r="M645" s="2">
        <v>42026.0</v>
      </c>
      <c r="N645" s="1" t="s">
        <v>249</v>
      </c>
      <c r="O645" s="2">
        <v>42128.0</v>
      </c>
      <c r="P645" s="1">
        <v>40862.0</v>
      </c>
      <c r="Q645" s="1">
        <v>3910.0</v>
      </c>
      <c r="S645" s="1">
        <v>6043.0</v>
      </c>
      <c r="T645" s="1" t="s">
        <v>8005</v>
      </c>
      <c r="U645" s="1" t="s">
        <v>320</v>
      </c>
      <c r="V645" s="1" t="s">
        <v>190</v>
      </c>
      <c r="W645" s="1">
        <v>60634.0</v>
      </c>
      <c r="Y645" s="1" t="s">
        <v>8006</v>
      </c>
      <c r="Z645" s="1">
        <v>1928.0</v>
      </c>
      <c r="AA645" s="1" t="s">
        <v>192</v>
      </c>
      <c r="AB645" s="1" t="s">
        <v>193</v>
      </c>
      <c r="AD645" s="1" t="s">
        <v>194</v>
      </c>
      <c r="AE645" s="1" t="s">
        <v>195</v>
      </c>
      <c r="AF645" s="1" t="s">
        <v>196</v>
      </c>
      <c r="AH645" s="1" t="s">
        <v>779</v>
      </c>
      <c r="AK645" s="1">
        <v>8.0</v>
      </c>
      <c r="AL645" s="1">
        <v>4.0</v>
      </c>
      <c r="AM645" s="1">
        <v>3.0</v>
      </c>
      <c r="AN645" s="1">
        <v>0.0</v>
      </c>
      <c r="AO645" s="1" t="s">
        <v>229</v>
      </c>
      <c r="AQ645" s="1" t="s">
        <v>198</v>
      </c>
      <c r="AR645" s="1" t="s">
        <v>192</v>
      </c>
      <c r="AS645" s="1" t="s">
        <v>199</v>
      </c>
      <c r="AT645" s="1">
        <v>2.0</v>
      </c>
      <c r="AV645" s="1" t="s">
        <v>200</v>
      </c>
      <c r="AW645" s="1">
        <v>3201.08</v>
      </c>
      <c r="AX645" s="1">
        <v>2013.0</v>
      </c>
      <c r="AZ645" s="1" t="s">
        <v>200</v>
      </c>
      <c r="BA645" s="1" t="str">
        <f>"13291120060000"</f>
        <v>13291120060000</v>
      </c>
      <c r="BB645" s="1" t="s">
        <v>200</v>
      </c>
      <c r="BC645" s="1">
        <v>2016.0</v>
      </c>
      <c r="BD645" s="1">
        <v>170000.0</v>
      </c>
      <c r="BE645" s="2">
        <v>42000.0</v>
      </c>
      <c r="BF645" s="2" t="s">
        <v>8007</v>
      </c>
      <c r="BH645" s="1">
        <v>0.0</v>
      </c>
      <c r="BK645" s="1" t="s">
        <v>204</v>
      </c>
      <c r="BL645" s="1" t="str">
        <f>"3032"</f>
        <v>3032</v>
      </c>
      <c r="BM645" s="1" t="str">
        <f t="shared" si="433"/>
        <v>0</v>
      </c>
      <c r="BN645" s="1">
        <v>6043.0</v>
      </c>
      <c r="BO645" s="1">
        <v>0.0</v>
      </c>
      <c r="BQ645" s="1">
        <v>299.0</v>
      </c>
      <c r="BR645" s="1">
        <v>299.0</v>
      </c>
      <c r="BS645" s="1">
        <v>299.0</v>
      </c>
      <c r="BU645" s="1" t="s">
        <v>2120</v>
      </c>
      <c r="BV645" s="1" t="s">
        <v>206</v>
      </c>
      <c r="BW645" s="1" t="s">
        <v>207</v>
      </c>
      <c r="BY645" s="1" t="s">
        <v>215</v>
      </c>
      <c r="BZ645" s="1" t="s">
        <v>206</v>
      </c>
      <c r="CA645" s="1" t="s">
        <v>207</v>
      </c>
      <c r="CC645" s="1" t="s">
        <v>433</v>
      </c>
      <c r="CD645" s="1" t="s">
        <v>206</v>
      </c>
      <c r="CE645" s="1" t="s">
        <v>207</v>
      </c>
      <c r="CG645" s="1" t="s">
        <v>363</v>
      </c>
      <c r="CH645" s="1" t="s">
        <v>206</v>
      </c>
      <c r="CK645" s="1" t="s">
        <v>265</v>
      </c>
      <c r="CL645" s="1" t="s">
        <v>206</v>
      </c>
      <c r="CO645" s="1" t="s">
        <v>616</v>
      </c>
      <c r="CP645" s="1" t="s">
        <v>209</v>
      </c>
      <c r="CS645" s="1" t="s">
        <v>215</v>
      </c>
      <c r="CT645" s="1" t="s">
        <v>206</v>
      </c>
      <c r="CU645" s="1" t="s">
        <v>617</v>
      </c>
      <c r="CW645" s="1" t="s">
        <v>213</v>
      </c>
      <c r="CX645" s="1" t="s">
        <v>209</v>
      </c>
      <c r="DA645" s="1" t="s">
        <v>200</v>
      </c>
      <c r="DC645" s="1" t="s">
        <v>785</v>
      </c>
      <c r="DE645" s="1" t="s">
        <v>8008</v>
      </c>
      <c r="DF645" s="1" t="s">
        <v>4120</v>
      </c>
      <c r="DH645" s="1" t="s">
        <v>220</v>
      </c>
      <c r="DJ645" s="1" t="s">
        <v>222</v>
      </c>
      <c r="DL645" s="1" t="s">
        <v>224</v>
      </c>
      <c r="DM645" s="1" t="s">
        <v>225</v>
      </c>
      <c r="DQ645" s="1" t="s">
        <v>718</v>
      </c>
      <c r="DR645" s="1" t="s">
        <v>229</v>
      </c>
      <c r="DV645" s="1" t="s">
        <v>232</v>
      </c>
      <c r="DW645" s="1" t="s">
        <v>279</v>
      </c>
      <c r="DX645" s="1" t="s">
        <v>234</v>
      </c>
      <c r="EA645" s="1" t="s">
        <v>644</v>
      </c>
      <c r="EC645" s="1" t="s">
        <v>645</v>
      </c>
      <c r="EM645" s="1" t="s">
        <v>238</v>
      </c>
      <c r="EQ645" s="1" t="s">
        <v>238</v>
      </c>
      <c r="EU645" s="1" t="s">
        <v>238</v>
      </c>
      <c r="EY645" s="1" t="s">
        <v>238</v>
      </c>
      <c r="FC645" s="1" t="s">
        <v>238</v>
      </c>
      <c r="FF645" s="1" t="s">
        <v>239</v>
      </c>
      <c r="FG645" s="1" t="s">
        <v>192</v>
      </c>
      <c r="FH645" s="1" t="s">
        <v>192</v>
      </c>
      <c r="FJ645" s="1" t="s">
        <v>8009</v>
      </c>
      <c r="FK645" s="1" t="s">
        <v>1586</v>
      </c>
      <c r="FL645" s="1" t="s">
        <v>1358</v>
      </c>
      <c r="FM645" s="1">
        <v>10272.0</v>
      </c>
      <c r="FN645" s="1" t="s">
        <v>3233</v>
      </c>
      <c r="FO645" s="1" t="s">
        <v>8010</v>
      </c>
      <c r="FP645" s="1">
        <v>174535.0</v>
      </c>
      <c r="FQ645" s="1" t="s">
        <v>8011</v>
      </c>
      <c r="FU645" s="1" t="s">
        <v>3678</v>
      </c>
      <c r="FV645" s="1" t="s">
        <v>200</v>
      </c>
      <c r="FW645" s="1" t="s">
        <v>290</v>
      </c>
      <c r="FX645" s="1" t="s">
        <v>246</v>
      </c>
      <c r="FZ645" s="1" t="s">
        <v>229</v>
      </c>
      <c r="GA645" s="1" t="s">
        <v>291</v>
      </c>
      <c r="GB645" s="2">
        <v>42129.0</v>
      </c>
      <c r="GC645" s="1" t="s">
        <v>8012</v>
      </c>
    </row>
    <row r="646">
      <c r="A646" s="1">
        <v>260000.0</v>
      </c>
      <c r="B646" s="1" t="s">
        <v>185</v>
      </c>
      <c r="C646" s="1" t="str">
        <f>"08806834"</f>
        <v>08806834</v>
      </c>
      <c r="D646" s="1" t="s">
        <v>186</v>
      </c>
      <c r="F646" s="1" t="str">
        <f>"8015"</f>
        <v>8015</v>
      </c>
      <c r="G646" s="2">
        <v>42002.0</v>
      </c>
      <c r="H646" s="1">
        <v>274900.0</v>
      </c>
      <c r="I646" s="1">
        <v>1.0</v>
      </c>
      <c r="J646" s="1">
        <v>274900.0</v>
      </c>
      <c r="K646" s="2">
        <v>42002.0</v>
      </c>
      <c r="L646" s="1">
        <v>1.0</v>
      </c>
      <c r="M646" s="2">
        <v>42002.0</v>
      </c>
      <c r="N646" s="1" t="s">
        <v>187</v>
      </c>
      <c r="O646" s="2">
        <v>42004.0</v>
      </c>
      <c r="P646" s="1">
        <v>840053.0</v>
      </c>
      <c r="Q646" s="1">
        <v>85100.0</v>
      </c>
      <c r="S646" s="1">
        <v>6234.0</v>
      </c>
      <c r="T646" s="1" t="s">
        <v>2897</v>
      </c>
      <c r="U646" s="1" t="s">
        <v>189</v>
      </c>
      <c r="V646" s="1" t="s">
        <v>190</v>
      </c>
      <c r="W646" s="1">
        <v>60634.0</v>
      </c>
      <c r="Y646" s="1" t="s">
        <v>8013</v>
      </c>
      <c r="Z646" s="1" t="s">
        <v>296</v>
      </c>
      <c r="AA646" s="1" t="s">
        <v>192</v>
      </c>
      <c r="AB646" s="1" t="s">
        <v>193</v>
      </c>
      <c r="AD646" s="1" t="s">
        <v>194</v>
      </c>
      <c r="AE646" s="1" t="s">
        <v>195</v>
      </c>
      <c r="AF646" s="1" t="s">
        <v>196</v>
      </c>
      <c r="AH646" s="1">
        <v>3540.0</v>
      </c>
      <c r="AK646" s="1">
        <v>9.0</v>
      </c>
      <c r="AL646" s="1">
        <v>3.0</v>
      </c>
      <c r="AM646" s="1">
        <v>4.0</v>
      </c>
      <c r="AN646" s="1">
        <v>0.0</v>
      </c>
      <c r="AO646" s="1" t="s">
        <v>229</v>
      </c>
      <c r="AP646" s="1">
        <v>0.0</v>
      </c>
      <c r="AQ646" s="1" t="s">
        <v>198</v>
      </c>
      <c r="AR646" s="1" t="s">
        <v>192</v>
      </c>
      <c r="AS646" s="1" t="s">
        <v>199</v>
      </c>
      <c r="AT646" s="1">
        <v>1.0</v>
      </c>
      <c r="AV646" s="1" t="s">
        <v>200</v>
      </c>
      <c r="AW646" s="1">
        <v>2786.42</v>
      </c>
      <c r="AX646" s="1">
        <v>2012.0</v>
      </c>
      <c r="AY646" s="1" t="s">
        <v>1179</v>
      </c>
      <c r="AZ646" s="1" t="s">
        <v>200</v>
      </c>
      <c r="BA646" s="1" t="str">
        <f>"13173100460000"</f>
        <v>13173100460000</v>
      </c>
      <c r="BB646" s="1" t="s">
        <v>200</v>
      </c>
      <c r="BC646" s="1">
        <v>2500.0</v>
      </c>
      <c r="BD646" s="1">
        <v>260000.0</v>
      </c>
      <c r="BE646" s="2">
        <v>42002.0</v>
      </c>
      <c r="BF646" s="2" t="s">
        <v>8014</v>
      </c>
      <c r="BG646" s="1" t="s">
        <v>202</v>
      </c>
      <c r="BH646" s="1">
        <v>0.0</v>
      </c>
      <c r="BI646" s="1" t="s">
        <v>202</v>
      </c>
      <c r="BJ646" s="1" t="s">
        <v>1222</v>
      </c>
      <c r="BK646" s="1" t="s">
        <v>204</v>
      </c>
      <c r="BL646" s="1" t="str">
        <f>"4050"</f>
        <v>4050</v>
      </c>
      <c r="BM646" s="1" t="str">
        <f t="shared" si="433"/>
        <v>0</v>
      </c>
      <c r="BN646" s="1">
        <v>6234.0</v>
      </c>
      <c r="BO646" s="1">
        <v>0.0</v>
      </c>
      <c r="BQ646" s="1">
        <v>299.0</v>
      </c>
      <c r="BR646" s="1">
        <v>299.0</v>
      </c>
      <c r="BS646" s="1">
        <v>299.0</v>
      </c>
      <c r="BU646" s="1" t="s">
        <v>433</v>
      </c>
      <c r="BV646" s="1" t="s">
        <v>206</v>
      </c>
      <c r="BW646" s="1" t="s">
        <v>207</v>
      </c>
      <c r="BY646" s="1" t="s">
        <v>497</v>
      </c>
      <c r="BZ646" s="1" t="s">
        <v>206</v>
      </c>
      <c r="CA646" s="1" t="s">
        <v>207</v>
      </c>
      <c r="CC646" s="1" t="s">
        <v>269</v>
      </c>
      <c r="CD646" s="1" t="s">
        <v>206</v>
      </c>
      <c r="CE646" s="1" t="s">
        <v>207</v>
      </c>
      <c r="CG646" s="1" t="s">
        <v>212</v>
      </c>
      <c r="CH646" s="1" t="s">
        <v>209</v>
      </c>
      <c r="CI646" s="1" t="s">
        <v>207</v>
      </c>
      <c r="CK646" s="1" t="s">
        <v>331</v>
      </c>
      <c r="CL646" s="1" t="s">
        <v>209</v>
      </c>
      <c r="CM646" s="1" t="s">
        <v>207</v>
      </c>
      <c r="CO646" s="1" t="s">
        <v>495</v>
      </c>
      <c r="CP646" s="1" t="s">
        <v>42</v>
      </c>
      <c r="CQ646" s="1" t="s">
        <v>207</v>
      </c>
      <c r="CS646" s="1" t="s">
        <v>211</v>
      </c>
      <c r="CT646" s="1" t="s">
        <v>206</v>
      </c>
      <c r="CU646" s="1" t="s">
        <v>207</v>
      </c>
      <c r="CW646" s="1" t="s">
        <v>784</v>
      </c>
      <c r="CX646" s="1" t="s">
        <v>209</v>
      </c>
      <c r="CY646" s="1" t="s">
        <v>207</v>
      </c>
      <c r="DA646" s="1" t="s">
        <v>200</v>
      </c>
      <c r="DC646" s="1" t="s">
        <v>785</v>
      </c>
      <c r="DD646" s="1" t="s">
        <v>8015</v>
      </c>
      <c r="DE646" s="1" t="s">
        <v>273</v>
      </c>
      <c r="DF646" s="1" t="s">
        <v>8016</v>
      </c>
      <c r="DH646" s="1" t="s">
        <v>307</v>
      </c>
      <c r="DJ646" s="1" t="s">
        <v>222</v>
      </c>
      <c r="DL646" s="1" t="s">
        <v>1161</v>
      </c>
      <c r="DM646" s="1" t="s">
        <v>338</v>
      </c>
      <c r="DN646" s="1" t="s">
        <v>666</v>
      </c>
      <c r="DO646" s="1" t="s">
        <v>549</v>
      </c>
      <c r="DP646" s="1" t="s">
        <v>276</v>
      </c>
      <c r="DQ646" s="1" t="s">
        <v>228</v>
      </c>
      <c r="DR646" s="1" t="s">
        <v>229</v>
      </c>
      <c r="DS646" s="1" t="s">
        <v>230</v>
      </c>
      <c r="DV646" s="1" t="s">
        <v>8017</v>
      </c>
      <c r="DW646" s="1" t="s">
        <v>891</v>
      </c>
      <c r="DX646" s="1" t="s">
        <v>234</v>
      </c>
      <c r="DY646" s="1" t="s">
        <v>8018</v>
      </c>
      <c r="DZ646" s="1" t="s">
        <v>966</v>
      </c>
      <c r="EC646" s="1" t="s">
        <v>645</v>
      </c>
      <c r="EG646" s="1" t="s">
        <v>1164</v>
      </c>
      <c r="EH646" s="1" t="s">
        <v>1102</v>
      </c>
      <c r="EL646" s="1" t="s">
        <v>1891</v>
      </c>
      <c r="EM646" s="1" t="s">
        <v>42</v>
      </c>
      <c r="EN646" s="1" t="s">
        <v>207</v>
      </c>
      <c r="EP646" s="1" t="s">
        <v>558</v>
      </c>
      <c r="EQ646" s="1" t="s">
        <v>206</v>
      </c>
      <c r="ER646" s="1" t="s">
        <v>5126</v>
      </c>
      <c r="EU646" s="1" t="s">
        <v>238</v>
      </c>
      <c r="EY646" s="1" t="s">
        <v>238</v>
      </c>
      <c r="FC646" s="1" t="s">
        <v>238</v>
      </c>
      <c r="FF646" s="1" t="s">
        <v>229</v>
      </c>
      <c r="FG646" s="1" t="s">
        <v>200</v>
      </c>
      <c r="FH646" s="1" t="s">
        <v>200</v>
      </c>
      <c r="FJ646" s="1" t="s">
        <v>412</v>
      </c>
      <c r="FK646" s="1" t="s">
        <v>229</v>
      </c>
      <c r="FL646" s="1" t="s">
        <v>8019</v>
      </c>
      <c r="FM646" s="1">
        <v>14541.0</v>
      </c>
      <c r="FN646" s="1" t="s">
        <v>8020</v>
      </c>
      <c r="FO646" s="1" t="s">
        <v>8021</v>
      </c>
      <c r="FP646" s="1">
        <v>104662.0</v>
      </c>
      <c r="FQ646" s="1" t="s">
        <v>8022</v>
      </c>
      <c r="FU646" s="1" t="s">
        <v>8023</v>
      </c>
      <c r="FV646" s="1" t="s">
        <v>200</v>
      </c>
      <c r="FW646" s="1" t="s">
        <v>290</v>
      </c>
      <c r="FX646" s="1" t="s">
        <v>246</v>
      </c>
      <c r="FZ646" s="1" t="s">
        <v>229</v>
      </c>
      <c r="GA646" s="1" t="s">
        <v>291</v>
      </c>
      <c r="GB646" s="2">
        <v>42004.0</v>
      </c>
    </row>
    <row r="647">
      <c r="A647" s="1">
        <v>170000.0</v>
      </c>
      <c r="B647" s="1" t="s">
        <v>185</v>
      </c>
      <c r="C647" s="1" t="str">
        <f>"08803152"</f>
        <v>08803152</v>
      </c>
      <c r="D647" s="1" t="s">
        <v>186</v>
      </c>
      <c r="F647" s="1" t="str">
        <f>"174"</f>
        <v>174</v>
      </c>
      <c r="G647" s="2">
        <v>41989.0</v>
      </c>
      <c r="H647" s="1">
        <v>190000.0</v>
      </c>
      <c r="I647" s="1">
        <v>112.0</v>
      </c>
      <c r="J647" s="1">
        <v>170000.0</v>
      </c>
      <c r="K647" s="2">
        <v>42100.0</v>
      </c>
      <c r="L647" s="1">
        <v>112.0</v>
      </c>
      <c r="M647" s="2">
        <v>42100.0</v>
      </c>
      <c r="N647" s="1" t="s">
        <v>187</v>
      </c>
      <c r="O647" s="2">
        <v>42146.0</v>
      </c>
      <c r="P647" s="1">
        <v>239180.0</v>
      </c>
      <c r="Q647" s="1">
        <v>25329.0</v>
      </c>
      <c r="S647" s="1">
        <v>1905.0</v>
      </c>
      <c r="T647" s="1" t="s">
        <v>8024</v>
      </c>
      <c r="U647" s="1" t="s">
        <v>189</v>
      </c>
      <c r="V647" s="1" t="s">
        <v>1200</v>
      </c>
      <c r="W647" s="1">
        <v>60174.0</v>
      </c>
      <c r="Y647" s="1" t="s">
        <v>8025</v>
      </c>
      <c r="Z647" s="1">
        <v>1966.0</v>
      </c>
      <c r="AA647" s="1" t="s">
        <v>192</v>
      </c>
      <c r="AB647" s="1" t="s">
        <v>193</v>
      </c>
      <c r="AD647" s="1" t="s">
        <v>1203</v>
      </c>
      <c r="AE647" s="1" t="s">
        <v>325</v>
      </c>
      <c r="AF647" s="1" t="s">
        <v>1203</v>
      </c>
      <c r="AH647" s="1">
        <v>8050.0</v>
      </c>
      <c r="AI647" s="1">
        <v>0.185</v>
      </c>
      <c r="AK647" s="1">
        <v>8.0</v>
      </c>
      <c r="AL647" s="1">
        <v>4.0</v>
      </c>
      <c r="AM647" s="1">
        <v>3.0</v>
      </c>
      <c r="AN647" s="1">
        <v>0.0</v>
      </c>
      <c r="AO647" s="1" t="s">
        <v>198</v>
      </c>
      <c r="AQ647" s="1" t="s">
        <v>198</v>
      </c>
      <c r="AR647" s="1" t="s">
        <v>192</v>
      </c>
      <c r="AS647" s="1" t="s">
        <v>199</v>
      </c>
      <c r="AT647" s="1">
        <v>2.0</v>
      </c>
      <c r="AV647" s="1" t="s">
        <v>200</v>
      </c>
      <c r="AW647" s="1">
        <v>5310.8</v>
      </c>
      <c r="AX647" s="1">
        <v>2013.0</v>
      </c>
      <c r="AZ647" s="1" t="s">
        <v>200</v>
      </c>
      <c r="BA647" s="1" t="str">
        <f>"0935451002"</f>
        <v>0935451002</v>
      </c>
      <c r="BC647" s="1">
        <v>1266.0</v>
      </c>
      <c r="BD647" s="1">
        <v>170000.0</v>
      </c>
      <c r="BE647" s="2">
        <v>41989.0</v>
      </c>
      <c r="BF647" s="2" t="s">
        <v>8026</v>
      </c>
      <c r="BH647" s="1">
        <v>0.0</v>
      </c>
      <c r="BK647" s="1" t="s">
        <v>204</v>
      </c>
      <c r="BL647" s="1" t="str">
        <f t="shared" ref="BL647:BM647" si="434">""</f>
        <v/>
      </c>
      <c r="BM647" s="1" t="str">
        <f t="shared" si="434"/>
        <v/>
      </c>
      <c r="BQ647" s="1">
        <v>303.0</v>
      </c>
      <c r="BR647" s="1">
        <v>303.0</v>
      </c>
      <c r="BS647" s="1">
        <v>303.0</v>
      </c>
      <c r="BU647" s="1" t="s">
        <v>1001</v>
      </c>
      <c r="BV647" s="1" t="s">
        <v>206</v>
      </c>
      <c r="BY647" s="1" t="s">
        <v>497</v>
      </c>
      <c r="BZ647" s="1" t="s">
        <v>206</v>
      </c>
      <c r="CC647" s="1" t="s">
        <v>497</v>
      </c>
      <c r="CD647" s="1" t="s">
        <v>206</v>
      </c>
      <c r="CG647" s="1" t="s">
        <v>516</v>
      </c>
      <c r="CH647" s="1" t="s">
        <v>206</v>
      </c>
      <c r="CK647" s="1" t="s">
        <v>495</v>
      </c>
      <c r="CL647" s="1" t="s">
        <v>206</v>
      </c>
      <c r="CO647" s="1" t="s">
        <v>363</v>
      </c>
      <c r="CP647" s="1" t="s">
        <v>267</v>
      </c>
      <c r="CS647" s="1" t="s">
        <v>1068</v>
      </c>
      <c r="CT647" s="1" t="s">
        <v>206</v>
      </c>
      <c r="CW647" s="1" t="s">
        <v>1875</v>
      </c>
      <c r="CX647" s="1" t="s">
        <v>267</v>
      </c>
      <c r="DA647" s="1" t="s">
        <v>200</v>
      </c>
      <c r="DC647" s="1" t="s">
        <v>517</v>
      </c>
      <c r="DE647" s="1" t="s">
        <v>273</v>
      </c>
      <c r="DF647" s="1" t="s">
        <v>219</v>
      </c>
      <c r="DH647" s="1" t="s">
        <v>220</v>
      </c>
      <c r="DJ647" s="1" t="s">
        <v>222</v>
      </c>
      <c r="DL647" s="1" t="s">
        <v>858</v>
      </c>
      <c r="DM647" s="1" t="s">
        <v>229</v>
      </c>
      <c r="DQ647" s="1" t="s">
        <v>228</v>
      </c>
      <c r="DR647" s="1" t="s">
        <v>229</v>
      </c>
      <c r="DV647" s="1" t="s">
        <v>408</v>
      </c>
      <c r="DW647" s="1" t="s">
        <v>667</v>
      </c>
      <c r="DX647" s="1" t="s">
        <v>234</v>
      </c>
      <c r="EC647" s="1" t="s">
        <v>284</v>
      </c>
      <c r="EG647" s="1" t="s">
        <v>408</v>
      </c>
      <c r="EL647" s="1" t="s">
        <v>1774</v>
      </c>
      <c r="EM647" s="1" t="s">
        <v>206</v>
      </c>
      <c r="EQ647" s="1" t="s">
        <v>238</v>
      </c>
      <c r="EU647" s="1" t="s">
        <v>238</v>
      </c>
      <c r="EY647" s="1" t="s">
        <v>238</v>
      </c>
      <c r="FC647" s="1" t="s">
        <v>238</v>
      </c>
      <c r="FF647" s="1" t="s">
        <v>239</v>
      </c>
      <c r="FG647" s="1" t="s">
        <v>192</v>
      </c>
      <c r="FH647" s="1" t="s">
        <v>192</v>
      </c>
      <c r="FJ647" s="1" t="s">
        <v>524</v>
      </c>
      <c r="FK647" s="1" t="s">
        <v>229</v>
      </c>
      <c r="FL647" s="1" t="s">
        <v>8027</v>
      </c>
      <c r="FM647" s="1">
        <v>231.0</v>
      </c>
      <c r="FN647" s="1" t="s">
        <v>8028</v>
      </c>
      <c r="FO647" s="1" t="s">
        <v>8029</v>
      </c>
      <c r="FP647" s="1">
        <v>301667.0</v>
      </c>
      <c r="FQ647" s="1" t="s">
        <v>8028</v>
      </c>
      <c r="FR647" s="1">
        <v>8873.0</v>
      </c>
      <c r="FU647" s="1" t="s">
        <v>8030</v>
      </c>
      <c r="FV647" s="1" t="s">
        <v>200</v>
      </c>
      <c r="FW647" s="1" t="s">
        <v>2754</v>
      </c>
      <c r="FZ647" s="1" t="s">
        <v>229</v>
      </c>
      <c r="GA647" s="1" t="s">
        <v>247</v>
      </c>
      <c r="GB647" s="2">
        <v>42146.0</v>
      </c>
      <c r="GC647" s="1" t="s">
        <v>8031</v>
      </c>
    </row>
    <row r="648">
      <c r="A648" s="1">
        <v>167000.0</v>
      </c>
      <c r="B648" s="1" t="s">
        <v>185</v>
      </c>
      <c r="C648" s="1" t="str">
        <f>"08801308"</f>
        <v>08801308</v>
      </c>
      <c r="D648" s="1" t="s">
        <v>186</v>
      </c>
      <c r="F648" s="1" t="str">
        <f>"8065"</f>
        <v>8065</v>
      </c>
      <c r="G648" s="2">
        <v>41985.0</v>
      </c>
      <c r="H648" s="1">
        <v>184900.0</v>
      </c>
      <c r="I648" s="1">
        <v>63.0</v>
      </c>
      <c r="J648" s="1">
        <v>169000.0</v>
      </c>
      <c r="K648" s="2">
        <v>42047.0</v>
      </c>
      <c r="L648" s="1">
        <v>63.0</v>
      </c>
      <c r="M648" s="2">
        <v>42047.0</v>
      </c>
      <c r="N648" s="1" t="s">
        <v>356</v>
      </c>
      <c r="O648" s="2">
        <v>42130.0</v>
      </c>
      <c r="P648" s="1">
        <v>239822.0</v>
      </c>
      <c r="Q648" s="1">
        <v>23641.0</v>
      </c>
      <c r="S648" s="1">
        <v>7209.0</v>
      </c>
      <c r="T648" s="1" t="s">
        <v>8032</v>
      </c>
      <c r="U648" s="1" t="s">
        <v>189</v>
      </c>
      <c r="V648" s="1" t="s">
        <v>190</v>
      </c>
      <c r="W648" s="1">
        <v>60629.0</v>
      </c>
      <c r="Y648" s="1" t="s">
        <v>8033</v>
      </c>
      <c r="Z648" s="1">
        <v>1957.0</v>
      </c>
      <c r="AA648" s="1" t="s">
        <v>192</v>
      </c>
      <c r="AB648" s="1" t="s">
        <v>193</v>
      </c>
      <c r="AD648" s="1" t="s">
        <v>194</v>
      </c>
      <c r="AE648" s="1" t="s">
        <v>195</v>
      </c>
      <c r="AF648" s="1" t="s">
        <v>659</v>
      </c>
      <c r="AG648" s="1" t="s">
        <v>1392</v>
      </c>
      <c r="AH648" s="1" t="s">
        <v>1501</v>
      </c>
      <c r="AI648" s="1">
        <v>0.0</v>
      </c>
      <c r="AK648" s="1">
        <v>6.0</v>
      </c>
      <c r="AL648" s="1">
        <v>4.0</v>
      </c>
      <c r="AM648" s="1">
        <v>2.0</v>
      </c>
      <c r="AN648" s="1">
        <v>0.0</v>
      </c>
      <c r="AO648" s="1" t="s">
        <v>229</v>
      </c>
      <c r="AP648" s="1">
        <v>0.0</v>
      </c>
      <c r="AQ648" s="1" t="s">
        <v>198</v>
      </c>
      <c r="AR648" s="1" t="s">
        <v>200</v>
      </c>
      <c r="AS648" s="1" t="s">
        <v>199</v>
      </c>
      <c r="AT648" s="1">
        <v>2.0</v>
      </c>
      <c r="AV648" s="1" t="s">
        <v>200</v>
      </c>
      <c r="AW648" s="1">
        <v>2281.53</v>
      </c>
      <c r="AX648" s="1">
        <v>2013.0</v>
      </c>
      <c r="AY648" s="1" t="s">
        <v>387</v>
      </c>
      <c r="AZ648" s="1" t="s">
        <v>200</v>
      </c>
      <c r="BA648" s="1" t="str">
        <f>"19261110030000"</f>
        <v>19261110030000</v>
      </c>
      <c r="BB648" s="1" t="s">
        <v>200</v>
      </c>
      <c r="BC648" s="1">
        <v>1014.0</v>
      </c>
      <c r="BD648" s="1">
        <v>167000.0</v>
      </c>
      <c r="BE648" s="2">
        <v>41985.0</v>
      </c>
      <c r="BF648" s="2" t="s">
        <v>8034</v>
      </c>
      <c r="BH648" s="1">
        <v>0.0</v>
      </c>
      <c r="BK648" s="1" t="s">
        <v>204</v>
      </c>
      <c r="BL648" s="1" t="str">
        <f t="shared" ref="BL648:BM648" si="435">"0"</f>
        <v>0</v>
      </c>
      <c r="BM648" s="1" t="str">
        <f t="shared" si="435"/>
        <v>0</v>
      </c>
      <c r="BN648" s="1">
        <v>3800.0</v>
      </c>
      <c r="BO648" s="1">
        <v>7209.0</v>
      </c>
      <c r="BQ648" s="1">
        <v>299.0</v>
      </c>
      <c r="BR648" s="1">
        <v>299.0</v>
      </c>
      <c r="BS648" s="1">
        <v>299.0</v>
      </c>
      <c r="BU648" s="1" t="s">
        <v>955</v>
      </c>
      <c r="BV648" s="1" t="s">
        <v>206</v>
      </c>
      <c r="BW648" s="1" t="s">
        <v>207</v>
      </c>
      <c r="BY648" s="1" t="s">
        <v>433</v>
      </c>
      <c r="BZ648" s="1" t="s">
        <v>206</v>
      </c>
      <c r="CA648" s="1" t="s">
        <v>207</v>
      </c>
      <c r="CD648" s="1" t="s">
        <v>204</v>
      </c>
      <c r="CG648" s="1" t="s">
        <v>215</v>
      </c>
      <c r="CH648" s="1" t="s">
        <v>206</v>
      </c>
      <c r="CI648" s="1" t="s">
        <v>207</v>
      </c>
      <c r="CK648" s="1" t="s">
        <v>208</v>
      </c>
      <c r="CL648" s="1" t="s">
        <v>209</v>
      </c>
      <c r="CM648" s="1" t="s">
        <v>207</v>
      </c>
      <c r="CO648" s="1" t="s">
        <v>361</v>
      </c>
      <c r="CP648" s="1" t="s">
        <v>209</v>
      </c>
      <c r="CQ648" s="1" t="s">
        <v>210</v>
      </c>
      <c r="CS648" s="1" t="s">
        <v>454</v>
      </c>
      <c r="CT648" s="1" t="s">
        <v>206</v>
      </c>
      <c r="CU648" s="1" t="s">
        <v>1790</v>
      </c>
      <c r="CV648" s="1" t="s">
        <v>229</v>
      </c>
      <c r="CX648" s="1" t="s">
        <v>204</v>
      </c>
      <c r="DA648" s="1" t="s">
        <v>200</v>
      </c>
      <c r="DC648" s="1" t="s">
        <v>271</v>
      </c>
      <c r="DD648" s="1" t="s">
        <v>518</v>
      </c>
      <c r="DE648" s="1" t="s">
        <v>273</v>
      </c>
      <c r="DF648" s="1" t="s">
        <v>219</v>
      </c>
      <c r="DG648" s="1" t="s">
        <v>337</v>
      </c>
      <c r="DH648" s="1" t="s">
        <v>220</v>
      </c>
      <c r="DI648" s="1" t="s">
        <v>2096</v>
      </c>
      <c r="DJ648" s="1" t="s">
        <v>222</v>
      </c>
      <c r="DK648" s="1" t="s">
        <v>1380</v>
      </c>
      <c r="DL648" s="1" t="s">
        <v>858</v>
      </c>
      <c r="DM648" s="1" t="s">
        <v>229</v>
      </c>
      <c r="DO648" s="1" t="s">
        <v>549</v>
      </c>
      <c r="DQ648" s="1" t="s">
        <v>228</v>
      </c>
      <c r="DR648" s="1" t="s">
        <v>229</v>
      </c>
      <c r="DS648" s="1" t="s">
        <v>230</v>
      </c>
      <c r="DV648" s="1" t="s">
        <v>232</v>
      </c>
      <c r="DW648" s="1" t="s">
        <v>279</v>
      </c>
      <c r="DX648" s="1" t="s">
        <v>234</v>
      </c>
      <c r="EA648" s="1" t="s">
        <v>1075</v>
      </c>
      <c r="EC648" s="1" t="s">
        <v>645</v>
      </c>
      <c r="EM648" s="1" t="s">
        <v>238</v>
      </c>
      <c r="EQ648" s="1" t="s">
        <v>238</v>
      </c>
      <c r="EU648" s="1" t="s">
        <v>238</v>
      </c>
      <c r="EY648" s="1" t="s">
        <v>238</v>
      </c>
      <c r="FC648" s="1" t="s">
        <v>238</v>
      </c>
      <c r="FF648" s="1" t="s">
        <v>239</v>
      </c>
      <c r="FG648" s="1" t="s">
        <v>192</v>
      </c>
      <c r="FH648" s="1" t="s">
        <v>192</v>
      </c>
      <c r="FJ648" s="1" t="s">
        <v>8035</v>
      </c>
      <c r="FK648" s="1" t="s">
        <v>229</v>
      </c>
      <c r="FL648" s="1" t="s">
        <v>8036</v>
      </c>
      <c r="FM648" s="1">
        <v>23444.0</v>
      </c>
      <c r="FN648" s="1" t="s">
        <v>8037</v>
      </c>
      <c r="FO648" s="1" t="s">
        <v>8038</v>
      </c>
      <c r="FP648" s="1">
        <v>234622.0</v>
      </c>
      <c r="FQ648" s="1" t="s">
        <v>8037</v>
      </c>
      <c r="FS648" s="1" t="s">
        <v>8039</v>
      </c>
      <c r="FT648" s="1" t="s">
        <v>8039</v>
      </c>
      <c r="FU648" s="1" t="s">
        <v>8040</v>
      </c>
      <c r="FV648" s="1" t="s">
        <v>200</v>
      </c>
      <c r="FW648" s="1" t="s">
        <v>1307</v>
      </c>
      <c r="FX648" s="1" t="s">
        <v>655</v>
      </c>
      <c r="FZ648" s="1" t="s">
        <v>229</v>
      </c>
      <c r="GA648" s="1" t="s">
        <v>291</v>
      </c>
      <c r="GB648" s="2">
        <v>42130.0</v>
      </c>
      <c r="GC648" s="1" t="s">
        <v>8041</v>
      </c>
    </row>
    <row r="649">
      <c r="A649" s="1">
        <v>555000.0</v>
      </c>
      <c r="B649" s="1" t="s">
        <v>185</v>
      </c>
      <c r="C649" s="1" t="str">
        <f>"08845585"</f>
        <v>08845585</v>
      </c>
      <c r="D649" s="1" t="s">
        <v>186</v>
      </c>
      <c r="F649" s="1" t="str">
        <f>"8014"</f>
        <v>8014</v>
      </c>
      <c r="G649" s="2">
        <v>42059.0</v>
      </c>
      <c r="H649" s="1">
        <v>559900.0</v>
      </c>
      <c r="I649" s="1">
        <v>22.0</v>
      </c>
      <c r="J649" s="1">
        <v>559900.0</v>
      </c>
      <c r="K649" s="2">
        <v>42080.0</v>
      </c>
      <c r="L649" s="1">
        <v>22.0</v>
      </c>
      <c r="M649" s="2">
        <v>42080.0</v>
      </c>
      <c r="N649" s="1" t="s">
        <v>187</v>
      </c>
      <c r="O649" s="2">
        <v>42118.0</v>
      </c>
      <c r="P649" s="1">
        <v>103865.0</v>
      </c>
      <c r="Q649" s="1">
        <v>11062.0</v>
      </c>
      <c r="S649" s="1">
        <v>4702.0</v>
      </c>
      <c r="T649" s="1" t="s">
        <v>8042</v>
      </c>
      <c r="U649" s="1" t="s">
        <v>189</v>
      </c>
      <c r="V649" s="1" t="s">
        <v>190</v>
      </c>
      <c r="W649" s="1">
        <v>60630.0</v>
      </c>
      <c r="Y649" s="1" t="s">
        <v>8043</v>
      </c>
      <c r="Z649" s="1">
        <v>2015.0</v>
      </c>
      <c r="AA649" s="1" t="s">
        <v>200</v>
      </c>
      <c r="AB649" s="1" t="s">
        <v>193</v>
      </c>
      <c r="AD649" s="1" t="s">
        <v>194</v>
      </c>
      <c r="AE649" s="1" t="s">
        <v>195</v>
      </c>
      <c r="AF649" s="1" t="s">
        <v>196</v>
      </c>
      <c r="AH649" s="1" t="s">
        <v>8044</v>
      </c>
      <c r="AK649" s="1">
        <v>8.0</v>
      </c>
      <c r="AL649" s="1">
        <v>4.0</v>
      </c>
      <c r="AM649" s="1">
        <v>3.0</v>
      </c>
      <c r="AN649" s="1">
        <v>1.0</v>
      </c>
      <c r="AO649" s="1" t="s">
        <v>198</v>
      </c>
      <c r="AQ649" s="1" t="s">
        <v>198</v>
      </c>
      <c r="AR649" s="1" t="s">
        <v>192</v>
      </c>
      <c r="AS649" s="1" t="s">
        <v>199</v>
      </c>
      <c r="AT649" s="1">
        <v>2.0</v>
      </c>
      <c r="AV649" s="1" t="s">
        <v>200</v>
      </c>
      <c r="AW649" s="4">
        <v>3168.96</v>
      </c>
      <c r="AX649" s="1">
        <v>2013.0</v>
      </c>
      <c r="AY649" s="1" t="s">
        <v>387</v>
      </c>
      <c r="AZ649" s="1" t="s">
        <v>200</v>
      </c>
      <c r="BA649" s="1" t="str">
        <f>"13152140340000"</f>
        <v>13152140340000</v>
      </c>
      <c r="BC649" s="1">
        <v>3500.0</v>
      </c>
      <c r="BD649" s="1">
        <v>555000.0</v>
      </c>
      <c r="BE649" s="2">
        <v>42059.0</v>
      </c>
      <c r="BF649" s="2" t="s">
        <v>8045</v>
      </c>
      <c r="BH649" s="1">
        <v>0.0</v>
      </c>
      <c r="BK649" s="1" t="s">
        <v>204</v>
      </c>
      <c r="BL649" s="1" t="str">
        <f>"4700"</f>
        <v>4700</v>
      </c>
      <c r="BM649" s="1" t="str">
        <f>"0"</f>
        <v>0</v>
      </c>
      <c r="BN649" s="1">
        <v>4200.0</v>
      </c>
      <c r="BO649" s="1">
        <v>0.0</v>
      </c>
      <c r="BQ649" s="1">
        <v>299.0</v>
      </c>
      <c r="BR649" s="1">
        <v>299.0</v>
      </c>
      <c r="BS649" s="1">
        <v>299.0</v>
      </c>
      <c r="BU649" s="1" t="s">
        <v>477</v>
      </c>
      <c r="BV649" s="1" t="s">
        <v>206</v>
      </c>
      <c r="BW649" s="1" t="s">
        <v>207</v>
      </c>
      <c r="BY649" s="1" t="s">
        <v>784</v>
      </c>
      <c r="BZ649" s="1" t="s">
        <v>209</v>
      </c>
      <c r="CA649" s="1" t="s">
        <v>210</v>
      </c>
      <c r="CC649" s="1" t="s">
        <v>640</v>
      </c>
      <c r="CD649" s="1" t="s">
        <v>206</v>
      </c>
      <c r="CE649" s="1" t="s">
        <v>207</v>
      </c>
      <c r="CG649" s="1" t="s">
        <v>393</v>
      </c>
      <c r="CH649" s="1" t="s">
        <v>209</v>
      </c>
      <c r="CI649" s="1" t="s">
        <v>210</v>
      </c>
      <c r="CK649" s="1" t="s">
        <v>332</v>
      </c>
      <c r="CL649" s="1" t="s">
        <v>209</v>
      </c>
      <c r="CM649" s="1" t="s">
        <v>210</v>
      </c>
      <c r="CO649" s="1" t="s">
        <v>212</v>
      </c>
      <c r="CP649" s="1" t="s">
        <v>206</v>
      </c>
      <c r="CQ649" s="1" t="s">
        <v>207</v>
      </c>
      <c r="CS649" s="1" t="s">
        <v>331</v>
      </c>
      <c r="CT649" s="1" t="s">
        <v>206</v>
      </c>
      <c r="CU649" s="1" t="s">
        <v>207</v>
      </c>
      <c r="CX649" s="1" t="s">
        <v>204</v>
      </c>
      <c r="DA649" s="1" t="s">
        <v>192</v>
      </c>
      <c r="DB649" s="2">
        <v>42062.0</v>
      </c>
      <c r="DC649" s="1" t="s">
        <v>1353</v>
      </c>
      <c r="DD649" s="1" t="s">
        <v>731</v>
      </c>
      <c r="DE649" s="1" t="s">
        <v>218</v>
      </c>
      <c r="DF649" s="1" t="s">
        <v>745</v>
      </c>
      <c r="DG649" s="1" t="s">
        <v>337</v>
      </c>
      <c r="DH649" s="1" t="s">
        <v>220</v>
      </c>
      <c r="DI649" s="1" t="s">
        <v>519</v>
      </c>
      <c r="DJ649" s="1" t="s">
        <v>222</v>
      </c>
      <c r="DK649" s="1" t="s">
        <v>223</v>
      </c>
      <c r="DL649" s="1" t="s">
        <v>224</v>
      </c>
      <c r="DM649" s="1" t="s">
        <v>229</v>
      </c>
      <c r="DN649" s="1" t="s">
        <v>399</v>
      </c>
      <c r="DP649" s="1" t="s">
        <v>276</v>
      </c>
      <c r="DQ649" s="1" t="s">
        <v>228</v>
      </c>
      <c r="DR649" s="1" t="s">
        <v>229</v>
      </c>
      <c r="DU649" s="1" t="s">
        <v>746</v>
      </c>
      <c r="DV649" s="1" t="s">
        <v>450</v>
      </c>
      <c r="DW649" s="1" t="s">
        <v>588</v>
      </c>
      <c r="DX649" s="1" t="s">
        <v>234</v>
      </c>
      <c r="DY649" s="1" t="s">
        <v>7385</v>
      </c>
      <c r="EC649" s="1" t="s">
        <v>237</v>
      </c>
      <c r="ED649" s="1" t="s">
        <v>555</v>
      </c>
      <c r="EG649" s="1" t="s">
        <v>450</v>
      </c>
      <c r="EL649" s="1" t="s">
        <v>8046</v>
      </c>
      <c r="EM649" s="1" t="s">
        <v>42</v>
      </c>
      <c r="EN649" s="1" t="s">
        <v>210</v>
      </c>
      <c r="EQ649" s="1" t="s">
        <v>238</v>
      </c>
      <c r="EU649" s="1" t="s">
        <v>238</v>
      </c>
      <c r="EY649" s="1" t="s">
        <v>238</v>
      </c>
      <c r="FC649" s="1" t="s">
        <v>238</v>
      </c>
      <c r="FF649" s="1" t="s">
        <v>239</v>
      </c>
      <c r="FG649" s="1" t="s">
        <v>192</v>
      </c>
      <c r="FH649" s="1" t="s">
        <v>192</v>
      </c>
      <c r="FJ649" s="1" t="s">
        <v>973</v>
      </c>
      <c r="FK649" s="1" t="s">
        <v>229</v>
      </c>
      <c r="FL649" s="1" t="s">
        <v>734</v>
      </c>
      <c r="FM649" s="1">
        <v>10646.0</v>
      </c>
      <c r="FN649" s="1" t="s">
        <v>735</v>
      </c>
      <c r="FO649" s="1" t="s">
        <v>736</v>
      </c>
      <c r="FP649" s="1">
        <v>139913.0</v>
      </c>
      <c r="FQ649" s="1" t="s">
        <v>737</v>
      </c>
      <c r="FU649" s="1" t="s">
        <v>738</v>
      </c>
      <c r="FV649" s="1" t="s">
        <v>200</v>
      </c>
      <c r="FW649" s="1" t="s">
        <v>530</v>
      </c>
      <c r="FX649" s="1" t="s">
        <v>238</v>
      </c>
      <c r="FZ649" s="1" t="s">
        <v>229</v>
      </c>
      <c r="GA649" s="1" t="s">
        <v>291</v>
      </c>
      <c r="GB649" s="2">
        <v>42118.0</v>
      </c>
    </row>
    <row r="650">
      <c r="A650" s="1">
        <v>430000.0</v>
      </c>
      <c r="B650" s="1" t="s">
        <v>185</v>
      </c>
      <c r="C650" s="1" t="str">
        <f>"08813774"</f>
        <v>08813774</v>
      </c>
      <c r="D650" s="1" t="s">
        <v>186</v>
      </c>
      <c r="F650" s="1" t="str">
        <f>"542"</f>
        <v>542</v>
      </c>
      <c r="G650" s="2">
        <v>42014.0</v>
      </c>
      <c r="H650" s="1">
        <v>450000.0</v>
      </c>
      <c r="I650" s="1">
        <v>23.0</v>
      </c>
      <c r="J650" s="1">
        <v>450000.0</v>
      </c>
      <c r="K650" s="2">
        <v>42036.0</v>
      </c>
      <c r="L650" s="1">
        <v>23.0</v>
      </c>
      <c r="M650" s="2">
        <v>42036.0</v>
      </c>
      <c r="N650" s="1" t="s">
        <v>187</v>
      </c>
      <c r="O650" s="2">
        <v>42082.0</v>
      </c>
      <c r="P650" s="1">
        <v>239875.0</v>
      </c>
      <c r="Q650" s="1">
        <v>22039.0</v>
      </c>
      <c r="S650" s="1">
        <v>430.0</v>
      </c>
      <c r="T650" s="1" t="s">
        <v>8047</v>
      </c>
      <c r="U650" s="1" t="s">
        <v>420</v>
      </c>
      <c r="V650" s="1" t="s">
        <v>3984</v>
      </c>
      <c r="W650" s="1">
        <v>60542.0</v>
      </c>
      <c r="Y650" s="1" t="s">
        <v>8048</v>
      </c>
      <c r="Z650" s="1">
        <v>2005.0</v>
      </c>
      <c r="AA650" s="1" t="s">
        <v>200</v>
      </c>
      <c r="AB650" s="1" t="s">
        <v>467</v>
      </c>
      <c r="AC650" s="1" t="s">
        <v>8049</v>
      </c>
      <c r="AD650" s="1" t="s">
        <v>3826</v>
      </c>
      <c r="AE650" s="1" t="s">
        <v>325</v>
      </c>
      <c r="AF650" s="1" t="s">
        <v>1479</v>
      </c>
      <c r="AG650" s="1" t="s">
        <v>8050</v>
      </c>
      <c r="AH650" s="1" t="s">
        <v>8051</v>
      </c>
      <c r="AI650" s="1">
        <v>0.4458</v>
      </c>
      <c r="AK650" s="1">
        <v>10.0</v>
      </c>
      <c r="AL650" s="1">
        <v>4.0</v>
      </c>
      <c r="AM650" s="1">
        <v>3.0</v>
      </c>
      <c r="AN650" s="1">
        <v>1.0</v>
      </c>
      <c r="AO650" s="1" t="s">
        <v>198</v>
      </c>
      <c r="AP650" s="1">
        <v>1.0</v>
      </c>
      <c r="AQ650" s="1" t="s">
        <v>198</v>
      </c>
      <c r="AR650" s="1" t="s">
        <v>200</v>
      </c>
      <c r="AS650" s="1" t="s">
        <v>199</v>
      </c>
      <c r="AT650" s="1">
        <v>3.0</v>
      </c>
      <c r="AV650" s="1" t="s">
        <v>200</v>
      </c>
      <c r="AW650" s="1">
        <v>14763.22</v>
      </c>
      <c r="AX650" s="1">
        <v>2013.0</v>
      </c>
      <c r="AZ650" s="1" t="s">
        <v>200</v>
      </c>
      <c r="BA650" s="1" t="str">
        <f>"1136354009"</f>
        <v>1136354009</v>
      </c>
      <c r="BC650" s="1">
        <v>3359.0</v>
      </c>
      <c r="BD650" s="1">
        <v>430000.0</v>
      </c>
      <c r="BE650" s="2">
        <v>42014.0</v>
      </c>
      <c r="BF650" s="2" t="s">
        <v>8052</v>
      </c>
      <c r="BG650" s="1" t="s">
        <v>4420</v>
      </c>
      <c r="BH650" s="1">
        <v>398.0</v>
      </c>
      <c r="BI650" s="1" t="s">
        <v>4421</v>
      </c>
      <c r="BJ650" s="1" t="s">
        <v>3831</v>
      </c>
      <c r="BK650" s="1" t="s">
        <v>580</v>
      </c>
      <c r="BL650" s="1" t="str">
        <f t="shared" ref="BL650:BM650" si="436">""</f>
        <v/>
      </c>
      <c r="BM650" s="1" t="str">
        <f t="shared" si="436"/>
        <v/>
      </c>
      <c r="BQ650" s="1">
        <v>129.0</v>
      </c>
      <c r="BR650" s="1">
        <v>129.0</v>
      </c>
      <c r="BS650" s="1">
        <v>129.0</v>
      </c>
      <c r="BU650" s="1" t="s">
        <v>260</v>
      </c>
      <c r="BV650" s="1" t="s">
        <v>206</v>
      </c>
      <c r="BW650" s="1" t="s">
        <v>207</v>
      </c>
      <c r="BX650" s="1" t="s">
        <v>261</v>
      </c>
      <c r="BY650" s="1" t="s">
        <v>743</v>
      </c>
      <c r="BZ650" s="1" t="s">
        <v>209</v>
      </c>
      <c r="CA650" s="1" t="s">
        <v>210</v>
      </c>
      <c r="CB650" s="1" t="s">
        <v>261</v>
      </c>
      <c r="CC650" s="1" t="s">
        <v>213</v>
      </c>
      <c r="CD650" s="1" t="s">
        <v>206</v>
      </c>
      <c r="CE650" s="1" t="s">
        <v>207</v>
      </c>
      <c r="CF650" s="1" t="s">
        <v>261</v>
      </c>
      <c r="CG650" s="1" t="s">
        <v>433</v>
      </c>
      <c r="CH650" s="1" t="s">
        <v>209</v>
      </c>
      <c r="CI650" s="1" t="s">
        <v>210</v>
      </c>
      <c r="CJ650" s="1" t="s">
        <v>261</v>
      </c>
      <c r="CK650" s="1" t="s">
        <v>454</v>
      </c>
      <c r="CL650" s="1" t="s">
        <v>209</v>
      </c>
      <c r="CM650" s="1" t="s">
        <v>210</v>
      </c>
      <c r="CN650" s="1" t="s">
        <v>261</v>
      </c>
      <c r="CO650" s="1" t="s">
        <v>433</v>
      </c>
      <c r="CP650" s="1" t="s">
        <v>209</v>
      </c>
      <c r="CQ650" s="1" t="s">
        <v>210</v>
      </c>
      <c r="CR650" s="1" t="s">
        <v>261</v>
      </c>
      <c r="CS650" s="1" t="s">
        <v>1534</v>
      </c>
      <c r="CT650" s="1" t="s">
        <v>206</v>
      </c>
      <c r="CU650" s="1" t="s">
        <v>207</v>
      </c>
      <c r="CV650" s="1" t="s">
        <v>431</v>
      </c>
      <c r="CW650" s="1" t="s">
        <v>3595</v>
      </c>
      <c r="CX650" s="1" t="s">
        <v>206</v>
      </c>
      <c r="CY650" s="1" t="s">
        <v>210</v>
      </c>
      <c r="CZ650" s="1" t="s">
        <v>1550</v>
      </c>
      <c r="DA650" s="1" t="s">
        <v>200</v>
      </c>
      <c r="DC650" s="1" t="s">
        <v>481</v>
      </c>
      <c r="DD650" s="1" t="s">
        <v>1838</v>
      </c>
      <c r="DE650" s="1" t="s">
        <v>1810</v>
      </c>
      <c r="DF650" s="1" t="s">
        <v>1811</v>
      </c>
      <c r="DG650" s="1" t="s">
        <v>337</v>
      </c>
      <c r="DH650" s="1" t="s">
        <v>307</v>
      </c>
      <c r="DI650" s="1" t="s">
        <v>8053</v>
      </c>
      <c r="DJ650" s="1" t="s">
        <v>222</v>
      </c>
      <c r="DL650" s="1" t="s">
        <v>484</v>
      </c>
      <c r="DM650" s="1" t="s">
        <v>338</v>
      </c>
      <c r="DN650" s="1" t="s">
        <v>1486</v>
      </c>
      <c r="DO650" s="1" t="s">
        <v>8054</v>
      </c>
      <c r="DP650" s="1" t="s">
        <v>340</v>
      </c>
      <c r="DQ650" s="1" t="s">
        <v>441</v>
      </c>
      <c r="DR650" s="1" t="s">
        <v>588</v>
      </c>
      <c r="DS650" s="1" t="s">
        <v>5883</v>
      </c>
      <c r="DU650" s="1" t="s">
        <v>8055</v>
      </c>
      <c r="DV650" s="1" t="s">
        <v>8056</v>
      </c>
      <c r="DW650" s="1" t="s">
        <v>1026</v>
      </c>
      <c r="DX650" s="1" t="s">
        <v>234</v>
      </c>
      <c r="DY650" s="1" t="s">
        <v>1559</v>
      </c>
      <c r="DZ650" s="1" t="s">
        <v>2424</v>
      </c>
      <c r="EA650" s="1" t="s">
        <v>344</v>
      </c>
      <c r="EB650" s="1" t="s">
        <v>492</v>
      </c>
      <c r="EC650" s="1" t="s">
        <v>237</v>
      </c>
      <c r="ED650" s="1" t="s">
        <v>555</v>
      </c>
      <c r="EG650" s="1" t="s">
        <v>598</v>
      </c>
      <c r="EH650" s="1" t="s">
        <v>1121</v>
      </c>
      <c r="EI650" s="1" t="s">
        <v>409</v>
      </c>
      <c r="EL650" s="1" t="s">
        <v>363</v>
      </c>
      <c r="EM650" s="1" t="s">
        <v>206</v>
      </c>
      <c r="EN650" s="1" t="s">
        <v>207</v>
      </c>
      <c r="EO650" s="1" t="s">
        <v>261</v>
      </c>
      <c r="EP650" s="1" t="s">
        <v>215</v>
      </c>
      <c r="EQ650" s="1" t="s">
        <v>209</v>
      </c>
      <c r="ER650" s="1" t="s">
        <v>210</v>
      </c>
      <c r="ES650" s="1" t="s">
        <v>261</v>
      </c>
      <c r="ET650" s="1" t="s">
        <v>265</v>
      </c>
      <c r="EU650" s="1" t="s">
        <v>209</v>
      </c>
      <c r="EV650" s="1" t="s">
        <v>210</v>
      </c>
      <c r="EW650" s="1" t="s">
        <v>431</v>
      </c>
      <c r="EY650" s="1" t="s">
        <v>238</v>
      </c>
      <c r="FC650" s="1" t="s">
        <v>238</v>
      </c>
      <c r="FF650" s="1" t="s">
        <v>239</v>
      </c>
      <c r="FG650" s="1" t="s">
        <v>192</v>
      </c>
      <c r="FH650" s="1" t="s">
        <v>192</v>
      </c>
      <c r="FJ650" s="1" t="s">
        <v>799</v>
      </c>
      <c r="FK650" s="1" t="s">
        <v>229</v>
      </c>
      <c r="FL650" s="1" t="s">
        <v>456</v>
      </c>
      <c r="FM650" s="1">
        <v>23156.0</v>
      </c>
      <c r="FN650" s="1" t="s">
        <v>2553</v>
      </c>
      <c r="FO650" s="1" t="s">
        <v>8057</v>
      </c>
      <c r="FP650" s="1">
        <v>219138.0</v>
      </c>
      <c r="FQ650" s="1" t="s">
        <v>8058</v>
      </c>
      <c r="FR650" s="1">
        <v>227482.0</v>
      </c>
      <c r="FU650" s="1" t="s">
        <v>8059</v>
      </c>
      <c r="FV650" s="1" t="s">
        <v>200</v>
      </c>
      <c r="FW650" s="1" t="s">
        <v>290</v>
      </c>
      <c r="FZ650" s="1" t="s">
        <v>229</v>
      </c>
      <c r="GA650" s="1" t="s">
        <v>291</v>
      </c>
      <c r="GB650" s="2">
        <v>42083.0</v>
      </c>
      <c r="GC650" s="1" t="s">
        <v>8060</v>
      </c>
    </row>
    <row r="651">
      <c r="A651" s="1">
        <v>135000.0</v>
      </c>
      <c r="B651" s="1" t="s">
        <v>185</v>
      </c>
      <c r="C651" s="1" t="str">
        <f>"08800080"</f>
        <v>08800080</v>
      </c>
      <c r="D651" s="1" t="s">
        <v>186</v>
      </c>
      <c r="F651" s="1" t="str">
        <f>"8062"</f>
        <v>8062</v>
      </c>
      <c r="G651" s="2">
        <v>41983.0</v>
      </c>
      <c r="H651" s="1">
        <v>149900.0</v>
      </c>
      <c r="I651" s="1">
        <v>27.0</v>
      </c>
      <c r="J651" s="1">
        <v>149900.0</v>
      </c>
      <c r="K651" s="2">
        <v>42009.0</v>
      </c>
      <c r="L651" s="1">
        <v>27.0</v>
      </c>
      <c r="M651" s="2">
        <v>42009.0</v>
      </c>
      <c r="N651" s="1" t="s">
        <v>356</v>
      </c>
      <c r="O651" s="2">
        <v>42067.0</v>
      </c>
      <c r="P651" s="1">
        <v>118410.0</v>
      </c>
      <c r="Q651" s="1">
        <v>14442.0</v>
      </c>
      <c r="S651" s="1">
        <v>3922.0</v>
      </c>
      <c r="T651" s="1" t="s">
        <v>8061</v>
      </c>
      <c r="U651" s="1" t="s">
        <v>320</v>
      </c>
      <c r="V651" s="1" t="s">
        <v>190</v>
      </c>
      <c r="W651" s="1">
        <v>60629.0</v>
      </c>
      <c r="Y651" s="1" t="s">
        <v>8062</v>
      </c>
      <c r="Z651" s="1">
        <v>1909.0</v>
      </c>
      <c r="AA651" s="1" t="s">
        <v>192</v>
      </c>
      <c r="AB651" s="1" t="s">
        <v>193</v>
      </c>
      <c r="AD651" s="1" t="s">
        <v>194</v>
      </c>
      <c r="AE651" s="1" t="s">
        <v>195</v>
      </c>
      <c r="AF651" s="1" t="s">
        <v>659</v>
      </c>
      <c r="AH651" s="1" t="s">
        <v>1501</v>
      </c>
      <c r="AI651" s="1">
        <v>0.0803</v>
      </c>
      <c r="AK651" s="1">
        <v>6.0</v>
      </c>
      <c r="AL651" s="1">
        <v>4.0</v>
      </c>
      <c r="AM651" s="1">
        <v>1.0</v>
      </c>
      <c r="AN651" s="1">
        <v>0.0</v>
      </c>
      <c r="AO651" s="1" t="s">
        <v>229</v>
      </c>
      <c r="AQ651" s="1" t="s">
        <v>1314</v>
      </c>
      <c r="AR651" s="1" t="s">
        <v>200</v>
      </c>
      <c r="AS651" s="1" t="s">
        <v>199</v>
      </c>
      <c r="AT651" s="1">
        <v>2.0</v>
      </c>
      <c r="AV651" s="1" t="s">
        <v>192</v>
      </c>
      <c r="AW651" s="1">
        <v>1693.0</v>
      </c>
      <c r="AX651" s="1">
        <v>2012.0</v>
      </c>
      <c r="AZ651" s="1" t="s">
        <v>200</v>
      </c>
      <c r="BA651" s="1" t="str">
        <f>"19141120340000"</f>
        <v>19141120340000</v>
      </c>
      <c r="BC651" s="1">
        <v>792.0</v>
      </c>
      <c r="BD651" s="1">
        <v>135000.0</v>
      </c>
      <c r="BE651" s="2">
        <v>41983.0</v>
      </c>
      <c r="BF651" s="2" t="s">
        <v>8063</v>
      </c>
      <c r="BH651" s="1">
        <v>0.0</v>
      </c>
      <c r="BK651" s="1" t="s">
        <v>204</v>
      </c>
      <c r="BL651" s="1" t="str">
        <f t="shared" ref="BL651:BM651" si="437">"0"</f>
        <v>0</v>
      </c>
      <c r="BM651" s="1" t="str">
        <f t="shared" si="437"/>
        <v>0</v>
      </c>
      <c r="BN651" s="1">
        <v>3922.0</v>
      </c>
      <c r="BO651" s="1">
        <v>5700.0</v>
      </c>
      <c r="BQ651" s="1">
        <v>299.0</v>
      </c>
      <c r="BR651" s="1">
        <v>299.0</v>
      </c>
      <c r="BS651" s="1">
        <v>299.0</v>
      </c>
      <c r="BU651" s="1" t="s">
        <v>478</v>
      </c>
      <c r="BV651" s="1" t="s">
        <v>206</v>
      </c>
      <c r="BW651" s="1" t="s">
        <v>207</v>
      </c>
      <c r="BY651" s="1" t="s">
        <v>1760</v>
      </c>
      <c r="BZ651" s="1" t="s">
        <v>206</v>
      </c>
      <c r="CA651" s="1" t="s">
        <v>207</v>
      </c>
      <c r="CD651" s="1" t="s">
        <v>204</v>
      </c>
      <c r="CG651" s="1" t="s">
        <v>3805</v>
      </c>
      <c r="CH651" s="1" t="s">
        <v>206</v>
      </c>
      <c r="CI651" s="1" t="s">
        <v>207</v>
      </c>
      <c r="CK651" s="1" t="s">
        <v>302</v>
      </c>
      <c r="CL651" s="1" t="s">
        <v>267</v>
      </c>
      <c r="CM651" s="1" t="s">
        <v>210</v>
      </c>
      <c r="CO651" s="1" t="s">
        <v>3805</v>
      </c>
      <c r="CP651" s="1" t="s">
        <v>267</v>
      </c>
      <c r="CQ651" s="1" t="s">
        <v>210</v>
      </c>
      <c r="CS651" s="1" t="s">
        <v>3888</v>
      </c>
      <c r="CT651" s="1" t="s">
        <v>206</v>
      </c>
      <c r="CU651" s="1" t="s">
        <v>301</v>
      </c>
      <c r="CX651" s="1" t="s">
        <v>204</v>
      </c>
      <c r="DA651" s="1" t="s">
        <v>200</v>
      </c>
      <c r="DC651" s="1" t="s">
        <v>642</v>
      </c>
      <c r="DE651" s="1" t="s">
        <v>229</v>
      </c>
      <c r="DF651" s="1" t="s">
        <v>4120</v>
      </c>
      <c r="DH651" s="1" t="s">
        <v>220</v>
      </c>
      <c r="DJ651" s="1" t="s">
        <v>222</v>
      </c>
      <c r="DL651" s="1" t="s">
        <v>858</v>
      </c>
      <c r="DM651" s="1" t="s">
        <v>229</v>
      </c>
      <c r="DQ651" s="1" t="s">
        <v>718</v>
      </c>
      <c r="DR651" s="1" t="s">
        <v>229</v>
      </c>
      <c r="DV651" s="1" t="s">
        <v>232</v>
      </c>
      <c r="DW651" s="1" t="s">
        <v>8064</v>
      </c>
      <c r="DX651" s="1" t="s">
        <v>234</v>
      </c>
      <c r="EC651" s="1" t="s">
        <v>645</v>
      </c>
      <c r="EM651" s="1" t="s">
        <v>238</v>
      </c>
      <c r="EQ651" s="1" t="s">
        <v>238</v>
      </c>
      <c r="EU651" s="1" t="s">
        <v>238</v>
      </c>
      <c r="EY651" s="1" t="s">
        <v>238</v>
      </c>
      <c r="FC651" s="1" t="s">
        <v>238</v>
      </c>
      <c r="FF651" s="1" t="s">
        <v>239</v>
      </c>
      <c r="FG651" s="1" t="s">
        <v>192</v>
      </c>
      <c r="FH651" s="1" t="s">
        <v>192</v>
      </c>
      <c r="FJ651" s="1" t="s">
        <v>285</v>
      </c>
      <c r="FK651" s="1" t="s">
        <v>229</v>
      </c>
      <c r="FL651" s="1" t="s">
        <v>8065</v>
      </c>
      <c r="FM651" s="1">
        <v>14442.0</v>
      </c>
      <c r="FN651" s="1" t="s">
        <v>8066</v>
      </c>
      <c r="FO651" s="1" t="s">
        <v>8067</v>
      </c>
      <c r="FP651" s="1">
        <v>126101.0</v>
      </c>
      <c r="FU651" s="1" t="s">
        <v>1751</v>
      </c>
      <c r="FV651" s="1" t="s">
        <v>200</v>
      </c>
      <c r="FW651" s="1" t="s">
        <v>567</v>
      </c>
      <c r="FX651" s="1" t="s">
        <v>246</v>
      </c>
      <c r="FZ651" s="1" t="s">
        <v>229</v>
      </c>
      <c r="GA651" s="1" t="s">
        <v>291</v>
      </c>
      <c r="GB651" s="2">
        <v>42067.0</v>
      </c>
      <c r="GC651" s="1" t="s">
        <v>8068</v>
      </c>
    </row>
    <row r="652">
      <c r="A652" s="1">
        <v>235000.0</v>
      </c>
      <c r="B652" s="1" t="s">
        <v>185</v>
      </c>
      <c r="C652" s="1" t="str">
        <f>"08806994"</f>
        <v>08806994</v>
      </c>
      <c r="D652" s="1" t="s">
        <v>186</v>
      </c>
      <c r="F652" s="1" t="str">
        <f>"123"</f>
        <v>123</v>
      </c>
      <c r="G652" s="2">
        <v>42002.0</v>
      </c>
      <c r="H652" s="1">
        <v>249900.0</v>
      </c>
      <c r="I652" s="1">
        <v>225.0</v>
      </c>
      <c r="J652" s="1">
        <v>235000.0</v>
      </c>
      <c r="K652" s="2">
        <v>42021.0</v>
      </c>
      <c r="L652" s="1">
        <v>20.0</v>
      </c>
      <c r="M652" s="2">
        <v>42021.0</v>
      </c>
      <c r="N652" s="1" t="s">
        <v>356</v>
      </c>
      <c r="O652" s="2">
        <v>42047.0</v>
      </c>
      <c r="P652" s="1">
        <v>77121.0</v>
      </c>
      <c r="Q652" s="1">
        <v>7375.0</v>
      </c>
      <c r="S652" s="1">
        <v>1229.0</v>
      </c>
      <c r="T652" s="1" t="s">
        <v>8069</v>
      </c>
      <c r="U652" s="1" t="s">
        <v>420</v>
      </c>
      <c r="V652" s="1" t="s">
        <v>465</v>
      </c>
      <c r="W652" s="1">
        <v>60123.0</v>
      </c>
      <c r="Y652" s="1" t="s">
        <v>8070</v>
      </c>
      <c r="Z652" s="1">
        <v>1999.0</v>
      </c>
      <c r="AA652" s="1" t="s">
        <v>200</v>
      </c>
      <c r="AB652" s="1" t="s">
        <v>193</v>
      </c>
      <c r="AC652" s="1" t="s">
        <v>8071</v>
      </c>
      <c r="AD652" s="1" t="s">
        <v>469</v>
      </c>
      <c r="AE652" s="1" t="s">
        <v>325</v>
      </c>
      <c r="AF652" s="1" t="s">
        <v>469</v>
      </c>
      <c r="AG652" s="1" t="s">
        <v>8072</v>
      </c>
      <c r="AH652" s="1" t="s">
        <v>8073</v>
      </c>
      <c r="AI652" s="1">
        <v>0.3</v>
      </c>
      <c r="AK652" s="1">
        <v>11.0</v>
      </c>
      <c r="AL652" s="1">
        <v>4.0</v>
      </c>
      <c r="AM652" s="1">
        <v>2.0</v>
      </c>
      <c r="AN652" s="1">
        <v>1.0</v>
      </c>
      <c r="AO652" s="1" t="s">
        <v>198</v>
      </c>
      <c r="AP652" s="1">
        <v>1.0</v>
      </c>
      <c r="AQ652" s="1" t="s">
        <v>198</v>
      </c>
      <c r="AR652" s="1" t="s">
        <v>200</v>
      </c>
      <c r="AS652" s="1" t="s">
        <v>199</v>
      </c>
      <c r="AT652" s="1">
        <v>2.0</v>
      </c>
      <c r="AV652" s="1" t="s">
        <v>200</v>
      </c>
      <c r="AW652" s="1">
        <v>6480.3</v>
      </c>
      <c r="AX652" s="1">
        <v>2013.0</v>
      </c>
      <c r="AY652" s="1" t="s">
        <v>387</v>
      </c>
      <c r="AZ652" s="1" t="s">
        <v>200</v>
      </c>
      <c r="BA652" s="1" t="str">
        <f>"0628378007"</f>
        <v>0628378007</v>
      </c>
      <c r="BB652" s="1" t="s">
        <v>200</v>
      </c>
      <c r="BC652" s="1">
        <v>2475.0</v>
      </c>
      <c r="BD652" s="1">
        <v>235000.0</v>
      </c>
      <c r="BE652" s="2">
        <v>42002.0</v>
      </c>
      <c r="BF652" s="2" t="s">
        <v>8074</v>
      </c>
      <c r="BG652" s="1" t="s">
        <v>8075</v>
      </c>
      <c r="BH652" s="1">
        <v>135.0</v>
      </c>
      <c r="BI652" s="1" t="s">
        <v>8076</v>
      </c>
      <c r="BJ652" s="1" t="s">
        <v>2440</v>
      </c>
      <c r="BK652" s="1" t="s">
        <v>580</v>
      </c>
      <c r="BL652" s="1" t="str">
        <f>"9"</f>
        <v>9</v>
      </c>
      <c r="BM652" s="1" t="str">
        <f>"0"</f>
        <v>0</v>
      </c>
      <c r="BN652" s="1">
        <v>36.0</v>
      </c>
      <c r="BO652" s="1">
        <v>0.0</v>
      </c>
      <c r="BQ652" s="1">
        <v>46.0</v>
      </c>
      <c r="BR652" s="1">
        <v>46.0</v>
      </c>
      <c r="BS652" s="1">
        <v>46.0</v>
      </c>
      <c r="BU652" s="1" t="s">
        <v>332</v>
      </c>
      <c r="BV652" s="1" t="s">
        <v>206</v>
      </c>
      <c r="BW652" s="1" t="s">
        <v>207</v>
      </c>
      <c r="BY652" s="1" t="s">
        <v>743</v>
      </c>
      <c r="BZ652" s="1" t="s">
        <v>209</v>
      </c>
      <c r="CA652" s="1" t="s">
        <v>210</v>
      </c>
      <c r="CC652" s="1" t="s">
        <v>212</v>
      </c>
      <c r="CD652" s="1" t="s">
        <v>206</v>
      </c>
      <c r="CE652" s="1" t="s">
        <v>207</v>
      </c>
      <c r="CG652" s="1" t="s">
        <v>264</v>
      </c>
      <c r="CH652" s="1" t="s">
        <v>209</v>
      </c>
      <c r="CI652" s="1" t="s">
        <v>210</v>
      </c>
      <c r="CK652" s="1" t="s">
        <v>212</v>
      </c>
      <c r="CL652" s="1" t="s">
        <v>209</v>
      </c>
      <c r="CM652" s="1" t="s">
        <v>210</v>
      </c>
      <c r="CO652" s="1" t="s">
        <v>495</v>
      </c>
      <c r="CP652" s="1" t="s">
        <v>209</v>
      </c>
      <c r="CQ652" s="1" t="s">
        <v>210</v>
      </c>
      <c r="CS652" s="1" t="s">
        <v>212</v>
      </c>
      <c r="CT652" s="1" t="s">
        <v>206</v>
      </c>
      <c r="CU652" s="1" t="s">
        <v>617</v>
      </c>
      <c r="CW652" s="1" t="s">
        <v>480</v>
      </c>
      <c r="CX652" s="1" t="s">
        <v>206</v>
      </c>
      <c r="CY652" s="1" t="s">
        <v>210</v>
      </c>
      <c r="DA652" s="1" t="s">
        <v>200</v>
      </c>
      <c r="DC652" s="1" t="s">
        <v>335</v>
      </c>
      <c r="DD652" s="1" t="s">
        <v>1954</v>
      </c>
      <c r="DE652" s="1" t="s">
        <v>273</v>
      </c>
      <c r="DF652" s="1" t="s">
        <v>219</v>
      </c>
      <c r="DG652" s="1" t="s">
        <v>3020</v>
      </c>
      <c r="DH652" s="1" t="s">
        <v>220</v>
      </c>
      <c r="DI652" s="1" t="s">
        <v>1003</v>
      </c>
      <c r="DJ652" s="1" t="s">
        <v>222</v>
      </c>
      <c r="DK652" s="1" t="s">
        <v>1555</v>
      </c>
      <c r="DL652" s="1" t="s">
        <v>223</v>
      </c>
      <c r="DM652" s="1" t="s">
        <v>3697</v>
      </c>
      <c r="DN652" s="1" t="s">
        <v>399</v>
      </c>
      <c r="DO652" s="1" t="s">
        <v>8077</v>
      </c>
      <c r="DP652" s="1" t="s">
        <v>340</v>
      </c>
      <c r="DQ652" s="1" t="s">
        <v>441</v>
      </c>
      <c r="DR652" s="1" t="s">
        <v>588</v>
      </c>
      <c r="DS652" s="1" t="s">
        <v>368</v>
      </c>
      <c r="DU652" s="1" t="s">
        <v>1840</v>
      </c>
      <c r="DV652" s="1" t="s">
        <v>8078</v>
      </c>
      <c r="DW652" s="1" t="s">
        <v>444</v>
      </c>
      <c r="DX652" s="1" t="s">
        <v>280</v>
      </c>
      <c r="DY652" s="1" t="s">
        <v>1006</v>
      </c>
      <c r="DZ652" s="1" t="s">
        <v>446</v>
      </c>
      <c r="EA652" s="1" t="s">
        <v>447</v>
      </c>
      <c r="EB652" s="1" t="s">
        <v>2183</v>
      </c>
      <c r="EC652" s="1" t="s">
        <v>237</v>
      </c>
      <c r="EE652" s="1" t="s">
        <v>493</v>
      </c>
      <c r="EG652" s="1" t="s">
        <v>494</v>
      </c>
      <c r="EH652" s="1" t="s">
        <v>449</v>
      </c>
      <c r="EI652" s="1" t="s">
        <v>408</v>
      </c>
      <c r="EJ652" s="1" t="s">
        <v>1824</v>
      </c>
      <c r="EL652" s="1" t="s">
        <v>331</v>
      </c>
      <c r="EM652" s="1" t="s">
        <v>206</v>
      </c>
      <c r="EN652" s="1" t="s">
        <v>210</v>
      </c>
      <c r="EP652" s="1" t="s">
        <v>640</v>
      </c>
      <c r="EQ652" s="1" t="s">
        <v>206</v>
      </c>
      <c r="ER652" s="1" t="s">
        <v>268</v>
      </c>
      <c r="ET652" s="1" t="s">
        <v>623</v>
      </c>
      <c r="EU652" s="1" t="s">
        <v>206</v>
      </c>
      <c r="EV652" s="1" t="s">
        <v>301</v>
      </c>
      <c r="EW652" s="1" t="s">
        <v>229</v>
      </c>
      <c r="EX652" s="1" t="s">
        <v>541</v>
      </c>
      <c r="EY652" s="1" t="s">
        <v>42</v>
      </c>
      <c r="EZ652" s="1" t="s">
        <v>617</v>
      </c>
      <c r="FC652" s="1" t="s">
        <v>238</v>
      </c>
      <c r="FF652" s="1" t="s">
        <v>239</v>
      </c>
      <c r="FG652" s="1" t="s">
        <v>192</v>
      </c>
      <c r="FH652" s="1" t="s">
        <v>192</v>
      </c>
      <c r="FJ652" s="1" t="s">
        <v>561</v>
      </c>
      <c r="FK652" s="1" t="s">
        <v>1586</v>
      </c>
      <c r="FL652" s="1" t="s">
        <v>1124</v>
      </c>
      <c r="FM652" s="1">
        <v>10267.0</v>
      </c>
      <c r="FN652" s="1" t="s">
        <v>3908</v>
      </c>
      <c r="FO652" s="1" t="s">
        <v>6128</v>
      </c>
      <c r="FP652" s="1">
        <v>103409.0</v>
      </c>
      <c r="FQ652" s="1" t="s">
        <v>6129</v>
      </c>
      <c r="FU652" s="1" t="s">
        <v>8079</v>
      </c>
      <c r="FV652" s="1" t="s">
        <v>200</v>
      </c>
      <c r="FW652" s="1" t="s">
        <v>530</v>
      </c>
      <c r="FZ652" s="1" t="s">
        <v>229</v>
      </c>
      <c r="GA652" s="1" t="s">
        <v>291</v>
      </c>
      <c r="GB652" s="2">
        <v>42051.0</v>
      </c>
      <c r="GC652" s="1" t="s">
        <v>8080</v>
      </c>
    </row>
    <row r="653">
      <c r="A653" s="1">
        <v>240000.0</v>
      </c>
      <c r="B653" s="1" t="s">
        <v>185</v>
      </c>
      <c r="C653" s="1" t="str">
        <f>"08812036"</f>
        <v>08812036</v>
      </c>
      <c r="D653" s="1" t="s">
        <v>186</v>
      </c>
      <c r="F653" s="1" t="str">
        <f>"543"</f>
        <v>543</v>
      </c>
      <c r="G653" s="2">
        <v>42012.0</v>
      </c>
      <c r="H653" s="1">
        <v>250000.0</v>
      </c>
      <c r="I653" s="1">
        <v>68.0</v>
      </c>
      <c r="J653" s="1">
        <v>245000.0</v>
      </c>
      <c r="K653" s="2">
        <v>42079.0</v>
      </c>
      <c r="L653" s="1">
        <v>68.0</v>
      </c>
      <c r="M653" s="2">
        <v>42079.0</v>
      </c>
      <c r="N653" s="1" t="s">
        <v>187</v>
      </c>
      <c r="O653" s="2">
        <v>42136.0</v>
      </c>
      <c r="P653" s="1">
        <v>253450.0</v>
      </c>
      <c r="Q653" s="1">
        <v>25088.0</v>
      </c>
      <c r="R653" s="1">
        <v>1500.0</v>
      </c>
      <c r="S653" s="1">
        <v>221.0</v>
      </c>
      <c r="T653" s="1" t="s">
        <v>8081</v>
      </c>
      <c r="U653" s="1" t="s">
        <v>569</v>
      </c>
      <c r="V653" s="1" t="s">
        <v>1527</v>
      </c>
      <c r="W653" s="1">
        <v>60543.0</v>
      </c>
      <c r="Y653" s="1" t="s">
        <v>8082</v>
      </c>
      <c r="Z653" s="1">
        <v>1996.0</v>
      </c>
      <c r="AA653" s="1" t="s">
        <v>200</v>
      </c>
      <c r="AB653" s="1" t="s">
        <v>467</v>
      </c>
      <c r="AC653" s="1" t="s">
        <v>8083</v>
      </c>
      <c r="AD653" s="1" t="s">
        <v>1529</v>
      </c>
      <c r="AE653" s="1" t="s">
        <v>849</v>
      </c>
      <c r="AF653" s="1" t="s">
        <v>1529</v>
      </c>
      <c r="AH653" s="1" t="s">
        <v>8084</v>
      </c>
      <c r="AI653" s="1">
        <v>0.2573</v>
      </c>
      <c r="AK653" s="1">
        <v>11.0</v>
      </c>
      <c r="AL653" s="1">
        <v>4.0</v>
      </c>
      <c r="AM653" s="1">
        <v>2.0</v>
      </c>
      <c r="AN653" s="1">
        <v>1.0</v>
      </c>
      <c r="AO653" s="1" t="s">
        <v>198</v>
      </c>
      <c r="AP653" s="1">
        <v>1.0</v>
      </c>
      <c r="AQ653" s="1" t="s">
        <v>198</v>
      </c>
      <c r="AR653" s="1" t="s">
        <v>200</v>
      </c>
      <c r="AS653" s="1" t="s">
        <v>199</v>
      </c>
      <c r="AT653" s="1">
        <v>2.0</v>
      </c>
      <c r="AV653" s="1" t="s">
        <v>200</v>
      </c>
      <c r="AW653" s="1">
        <v>7614.34</v>
      </c>
      <c r="AX653" s="1">
        <v>2013.0</v>
      </c>
      <c r="AY653" s="1" t="s">
        <v>387</v>
      </c>
      <c r="AZ653" s="1" t="s">
        <v>200</v>
      </c>
      <c r="BA653" s="1" t="str">
        <f>"0320330007"</f>
        <v>0320330007</v>
      </c>
      <c r="BC653" s="1">
        <v>0.0</v>
      </c>
      <c r="BD653" s="1">
        <v>240000.0</v>
      </c>
      <c r="BE653" s="2">
        <v>42012.0</v>
      </c>
      <c r="BF653" s="2" t="s">
        <v>8085</v>
      </c>
      <c r="BG653" s="1" t="s">
        <v>1532</v>
      </c>
      <c r="BH653" s="1">
        <v>125.0</v>
      </c>
      <c r="BI653" s="1" t="s">
        <v>3647</v>
      </c>
      <c r="BJ653" s="1" t="s">
        <v>1349</v>
      </c>
      <c r="BK653" s="1" t="s">
        <v>580</v>
      </c>
      <c r="BL653" s="1" t="str">
        <f t="shared" ref="BL653:BM653" si="438">""</f>
        <v/>
      </c>
      <c r="BM653" s="1" t="str">
        <f t="shared" si="438"/>
        <v/>
      </c>
      <c r="BQ653" s="1">
        <v>308.0</v>
      </c>
      <c r="BR653" s="1">
        <v>308.0</v>
      </c>
      <c r="BS653" s="1">
        <v>308.0</v>
      </c>
      <c r="BU653" s="1" t="s">
        <v>584</v>
      </c>
      <c r="BV653" s="1" t="s">
        <v>206</v>
      </c>
      <c r="BW653" s="1" t="s">
        <v>210</v>
      </c>
      <c r="BX653" s="1" t="s">
        <v>431</v>
      </c>
      <c r="BY653" s="1" t="s">
        <v>434</v>
      </c>
      <c r="BZ653" s="1" t="s">
        <v>209</v>
      </c>
      <c r="CA653" s="1" t="s">
        <v>210</v>
      </c>
      <c r="CB653" s="1" t="s">
        <v>431</v>
      </c>
      <c r="CC653" s="1" t="s">
        <v>212</v>
      </c>
      <c r="CD653" s="1" t="s">
        <v>206</v>
      </c>
      <c r="CE653" s="1" t="s">
        <v>210</v>
      </c>
      <c r="CF653" s="1" t="s">
        <v>431</v>
      </c>
      <c r="CG653" s="1" t="s">
        <v>331</v>
      </c>
      <c r="CH653" s="1" t="s">
        <v>209</v>
      </c>
      <c r="CI653" s="1" t="s">
        <v>210</v>
      </c>
      <c r="CJ653" s="1" t="s">
        <v>431</v>
      </c>
      <c r="CK653" s="1" t="s">
        <v>332</v>
      </c>
      <c r="CL653" s="1" t="s">
        <v>209</v>
      </c>
      <c r="CM653" s="1" t="s">
        <v>210</v>
      </c>
      <c r="CN653" s="1" t="s">
        <v>431</v>
      </c>
      <c r="CO653" s="1" t="s">
        <v>699</v>
      </c>
      <c r="CP653" s="1" t="s">
        <v>209</v>
      </c>
      <c r="CQ653" s="1" t="s">
        <v>210</v>
      </c>
      <c r="CR653" s="1" t="s">
        <v>431</v>
      </c>
      <c r="CS653" s="1" t="s">
        <v>212</v>
      </c>
      <c r="CT653" s="1" t="s">
        <v>206</v>
      </c>
      <c r="CU653" s="1" t="s">
        <v>207</v>
      </c>
      <c r="CV653" s="1" t="s">
        <v>431</v>
      </c>
      <c r="CW653" s="1" t="s">
        <v>208</v>
      </c>
      <c r="CX653" s="1" t="s">
        <v>206</v>
      </c>
      <c r="CY653" s="1" t="s">
        <v>210</v>
      </c>
      <c r="CZ653" s="1" t="s">
        <v>431</v>
      </c>
      <c r="DA653" s="1" t="s">
        <v>200</v>
      </c>
      <c r="DC653" s="1" t="s">
        <v>678</v>
      </c>
      <c r="DD653" s="1" t="s">
        <v>396</v>
      </c>
      <c r="DE653" s="1" t="s">
        <v>273</v>
      </c>
      <c r="DF653" s="1" t="s">
        <v>219</v>
      </c>
      <c r="DG653" s="1" t="s">
        <v>482</v>
      </c>
      <c r="DH653" s="1" t="s">
        <v>220</v>
      </c>
      <c r="DI653" s="1" t="s">
        <v>275</v>
      </c>
      <c r="DJ653" s="1" t="s">
        <v>222</v>
      </c>
      <c r="DK653" s="1" t="s">
        <v>223</v>
      </c>
      <c r="DL653" s="1" t="s">
        <v>224</v>
      </c>
      <c r="DM653" s="1" t="s">
        <v>338</v>
      </c>
      <c r="DN653" s="1" t="s">
        <v>485</v>
      </c>
      <c r="DO653" s="1" t="s">
        <v>549</v>
      </c>
      <c r="DP653" s="1" t="s">
        <v>340</v>
      </c>
      <c r="DQ653" s="1" t="s">
        <v>441</v>
      </c>
      <c r="DR653" s="1" t="s">
        <v>229</v>
      </c>
      <c r="DS653" s="1" t="s">
        <v>368</v>
      </c>
      <c r="DU653" s="1" t="s">
        <v>8086</v>
      </c>
      <c r="DV653" s="1" t="s">
        <v>8087</v>
      </c>
      <c r="DW653" s="1" t="s">
        <v>370</v>
      </c>
      <c r="DX653" s="1" t="s">
        <v>234</v>
      </c>
      <c r="DY653" s="1" t="s">
        <v>490</v>
      </c>
      <c r="DZ653" s="1" t="s">
        <v>7055</v>
      </c>
      <c r="EA653" s="1" t="s">
        <v>1075</v>
      </c>
      <c r="EB653" s="1" t="s">
        <v>492</v>
      </c>
      <c r="EC653" s="1" t="s">
        <v>237</v>
      </c>
      <c r="ED653" s="1" t="s">
        <v>407</v>
      </c>
      <c r="EE653" s="1" t="s">
        <v>1077</v>
      </c>
      <c r="EG653" s="1" t="s">
        <v>449</v>
      </c>
      <c r="EI653" s="1" t="s">
        <v>1467</v>
      </c>
      <c r="EJ653" s="1" t="s">
        <v>451</v>
      </c>
      <c r="EL653" s="1" t="s">
        <v>495</v>
      </c>
      <c r="EM653" s="1" t="s">
        <v>206</v>
      </c>
      <c r="EN653" s="1" t="s">
        <v>207</v>
      </c>
      <c r="EO653" s="1" t="s">
        <v>431</v>
      </c>
      <c r="EQ653" s="1" t="s">
        <v>238</v>
      </c>
      <c r="ET653" s="1" t="s">
        <v>8088</v>
      </c>
      <c r="EU653" s="1" t="s">
        <v>42</v>
      </c>
      <c r="EV653" s="1" t="s">
        <v>210</v>
      </c>
      <c r="EW653" s="1" t="s">
        <v>229</v>
      </c>
      <c r="EX653" s="1" t="s">
        <v>8088</v>
      </c>
      <c r="EY653" s="1" t="s">
        <v>42</v>
      </c>
      <c r="EZ653" s="1" t="s">
        <v>210</v>
      </c>
      <c r="FA653" s="1" t="s">
        <v>229</v>
      </c>
      <c r="FC653" s="1" t="s">
        <v>238</v>
      </c>
      <c r="FF653" s="1" t="s">
        <v>239</v>
      </c>
      <c r="FG653" s="1" t="s">
        <v>192</v>
      </c>
      <c r="FH653" s="1" t="s">
        <v>192</v>
      </c>
      <c r="FJ653" s="1" t="s">
        <v>498</v>
      </c>
      <c r="FK653" s="1" t="s">
        <v>229</v>
      </c>
      <c r="FL653" s="1" t="s">
        <v>4369</v>
      </c>
      <c r="FM653" s="1">
        <v>23279.0</v>
      </c>
      <c r="FN653" s="1" t="s">
        <v>6096</v>
      </c>
      <c r="FO653" s="1" t="s">
        <v>8089</v>
      </c>
      <c r="FP653" s="1">
        <v>240720.0</v>
      </c>
      <c r="FQ653" s="1" t="s">
        <v>8090</v>
      </c>
      <c r="FR653" s="1">
        <v>219134.0</v>
      </c>
      <c r="FU653" s="1" t="s">
        <v>8091</v>
      </c>
      <c r="FV653" s="1" t="s">
        <v>200</v>
      </c>
      <c r="FW653" s="1" t="s">
        <v>8092</v>
      </c>
      <c r="FZ653" s="1" t="s">
        <v>229</v>
      </c>
      <c r="GA653" s="1" t="s">
        <v>291</v>
      </c>
      <c r="GB653" s="2">
        <v>42137.0</v>
      </c>
      <c r="GC653" s="1" t="s">
        <v>8093</v>
      </c>
    </row>
    <row r="654">
      <c r="A654" s="1">
        <v>225000.0</v>
      </c>
      <c r="B654" s="1" t="s">
        <v>185</v>
      </c>
      <c r="C654" s="1" t="str">
        <f>"08806532"</f>
        <v>08806532</v>
      </c>
      <c r="D654" s="1" t="s">
        <v>186</v>
      </c>
      <c r="F654" s="1" t="str">
        <f>"8014"</f>
        <v>8014</v>
      </c>
      <c r="G654" s="2">
        <v>42000.0</v>
      </c>
      <c r="H654" s="1">
        <v>234900.0</v>
      </c>
      <c r="I654" s="1">
        <v>55.0</v>
      </c>
      <c r="J654" s="1">
        <v>220000.0</v>
      </c>
      <c r="K654" s="2">
        <v>42053.0</v>
      </c>
      <c r="L654" s="1">
        <v>55.0</v>
      </c>
      <c r="M654" s="2">
        <v>42053.0</v>
      </c>
      <c r="N654" s="1" t="s">
        <v>187</v>
      </c>
      <c r="O654" s="2">
        <v>42076.0</v>
      </c>
      <c r="P654" s="1">
        <v>118250.0</v>
      </c>
      <c r="Q654" s="1">
        <v>10988.0</v>
      </c>
      <c r="R654" s="1">
        <v>6750.0</v>
      </c>
      <c r="S654" s="1">
        <v>4556.0</v>
      </c>
      <c r="T654" s="1" t="s">
        <v>5101</v>
      </c>
      <c r="U654" s="1" t="s">
        <v>189</v>
      </c>
      <c r="V654" s="1" t="s">
        <v>190</v>
      </c>
      <c r="W654" s="1">
        <v>60625.0</v>
      </c>
      <c r="Y654" s="1" t="s">
        <v>8094</v>
      </c>
      <c r="Z654" s="1">
        <v>1916.0</v>
      </c>
      <c r="AA654" s="1" t="s">
        <v>192</v>
      </c>
      <c r="AB654" s="1" t="s">
        <v>193</v>
      </c>
      <c r="AD654" s="1" t="s">
        <v>194</v>
      </c>
      <c r="AE654" s="1" t="s">
        <v>195</v>
      </c>
      <c r="AF654" s="1" t="s">
        <v>196</v>
      </c>
      <c r="AH654" s="1" t="s">
        <v>8095</v>
      </c>
      <c r="AK654" s="1">
        <v>8.0</v>
      </c>
      <c r="AL654" s="1">
        <v>4.0</v>
      </c>
      <c r="AM654" s="1">
        <v>1.0</v>
      </c>
      <c r="AN654" s="1">
        <v>1.0</v>
      </c>
      <c r="AO654" s="1" t="s">
        <v>229</v>
      </c>
      <c r="AQ654" s="1" t="s">
        <v>198</v>
      </c>
      <c r="AR654" s="1" t="s">
        <v>200</v>
      </c>
      <c r="AS654" s="1" t="s">
        <v>510</v>
      </c>
      <c r="AT654" s="1">
        <v>2.0</v>
      </c>
      <c r="AU654" s="1">
        <v>2.0</v>
      </c>
      <c r="AV654" s="1" t="s">
        <v>200</v>
      </c>
      <c r="AW654" s="1">
        <v>4457.0</v>
      </c>
      <c r="AX654" s="1">
        <v>2012.0</v>
      </c>
      <c r="AZ654" s="1" t="s">
        <v>200</v>
      </c>
      <c r="BA654" s="1" t="str">
        <f>"13141180570000"</f>
        <v>13141180570000</v>
      </c>
      <c r="BC654" s="1">
        <v>1400.0</v>
      </c>
      <c r="BD654" s="1">
        <v>225000.0</v>
      </c>
      <c r="BE654" s="2">
        <v>41999.0</v>
      </c>
      <c r="BF654" s="2" t="s">
        <v>8096</v>
      </c>
      <c r="BH654" s="1">
        <v>0.0</v>
      </c>
      <c r="BK654" s="1" t="s">
        <v>204</v>
      </c>
      <c r="BL654" s="1" t="str">
        <f>"4556"</f>
        <v>4556</v>
      </c>
      <c r="BM654" s="1" t="str">
        <f>"0"</f>
        <v>0</v>
      </c>
      <c r="BN654" s="1">
        <v>3700.0</v>
      </c>
      <c r="BO654" s="1">
        <v>0.0</v>
      </c>
      <c r="BQ654" s="1">
        <v>299.0</v>
      </c>
      <c r="BR654" s="1">
        <v>299.0</v>
      </c>
      <c r="BS654" s="1">
        <v>299.0</v>
      </c>
      <c r="BU654" s="1" t="s">
        <v>2872</v>
      </c>
      <c r="BV654" s="1" t="s">
        <v>206</v>
      </c>
      <c r="BW654" s="1" t="s">
        <v>210</v>
      </c>
      <c r="BY654" s="1" t="s">
        <v>433</v>
      </c>
      <c r="BZ654" s="1" t="s">
        <v>209</v>
      </c>
      <c r="CC654" s="1" t="s">
        <v>208</v>
      </c>
      <c r="CD654" s="1" t="s">
        <v>206</v>
      </c>
      <c r="CG654" s="1" t="s">
        <v>332</v>
      </c>
      <c r="CH654" s="1" t="s">
        <v>209</v>
      </c>
      <c r="CK654" s="1" t="s">
        <v>331</v>
      </c>
      <c r="CL654" s="1" t="s">
        <v>209</v>
      </c>
      <c r="CO654" s="1" t="s">
        <v>3182</v>
      </c>
      <c r="CP654" s="1" t="s">
        <v>209</v>
      </c>
      <c r="CS654" s="1" t="s">
        <v>5640</v>
      </c>
      <c r="CT654" s="1" t="s">
        <v>206</v>
      </c>
      <c r="CW654" s="1" t="s">
        <v>1745</v>
      </c>
      <c r="CX654" s="1" t="s">
        <v>206</v>
      </c>
      <c r="DA654" s="1" t="s">
        <v>200</v>
      </c>
      <c r="DC654" s="1" t="s">
        <v>216</v>
      </c>
      <c r="DE654" s="1" t="s">
        <v>273</v>
      </c>
      <c r="DF654" s="1" t="s">
        <v>619</v>
      </c>
      <c r="DH654" s="1" t="s">
        <v>365</v>
      </c>
      <c r="DJ654" s="1" t="s">
        <v>222</v>
      </c>
      <c r="DL654" s="1" t="s">
        <v>223</v>
      </c>
      <c r="DM654" s="1" t="s">
        <v>229</v>
      </c>
      <c r="DQ654" s="1" t="s">
        <v>228</v>
      </c>
      <c r="DR654" s="1" t="s">
        <v>229</v>
      </c>
      <c r="DV654" s="1" t="s">
        <v>1102</v>
      </c>
      <c r="DW654" s="1" t="s">
        <v>3576</v>
      </c>
      <c r="DX654" s="1" t="s">
        <v>234</v>
      </c>
      <c r="EA654" s="1" t="s">
        <v>1326</v>
      </c>
      <c r="EC654" s="1" t="s">
        <v>237</v>
      </c>
      <c r="EG654" s="1" t="s">
        <v>1102</v>
      </c>
      <c r="EL654" s="1" t="s">
        <v>2047</v>
      </c>
      <c r="EM654" s="1" t="s">
        <v>206</v>
      </c>
      <c r="EQ654" s="1" t="s">
        <v>238</v>
      </c>
      <c r="EU654" s="1" t="s">
        <v>238</v>
      </c>
      <c r="EY654" s="1" t="s">
        <v>238</v>
      </c>
      <c r="FC654" s="1" t="s">
        <v>238</v>
      </c>
      <c r="FF654" s="1" t="s">
        <v>239</v>
      </c>
      <c r="FG654" s="1" t="s">
        <v>192</v>
      </c>
      <c r="FH654" s="1" t="s">
        <v>192</v>
      </c>
      <c r="FJ654" s="1" t="s">
        <v>1248</v>
      </c>
      <c r="FK654" s="1" t="s">
        <v>229</v>
      </c>
      <c r="FL654" s="1" t="s">
        <v>8097</v>
      </c>
      <c r="FM654" s="1">
        <v>17497.0</v>
      </c>
      <c r="FN654" s="1" t="s">
        <v>8098</v>
      </c>
      <c r="FO654" s="1" t="s">
        <v>8099</v>
      </c>
      <c r="FP654" s="1">
        <v>874331.0</v>
      </c>
      <c r="FU654" s="1" t="s">
        <v>8100</v>
      </c>
      <c r="FV654" s="1" t="s">
        <v>200</v>
      </c>
      <c r="FW654" s="1" t="s">
        <v>354</v>
      </c>
      <c r="FX654" s="1" t="s">
        <v>238</v>
      </c>
      <c r="FZ654" s="1" t="s">
        <v>229</v>
      </c>
      <c r="GA654" s="1" t="s">
        <v>291</v>
      </c>
      <c r="GB654" s="2">
        <v>42077.0</v>
      </c>
      <c r="GC654" s="1" t="s">
        <v>8101</v>
      </c>
    </row>
    <row r="655">
      <c r="A655" s="1">
        <v>225000.0</v>
      </c>
      <c r="B655" s="1" t="s">
        <v>185</v>
      </c>
      <c r="C655" s="1" t="str">
        <f>"08806404"</f>
        <v>08806404</v>
      </c>
      <c r="D655" s="1" t="s">
        <v>186</v>
      </c>
      <c r="F655" s="1" t="str">
        <f>"8065"</f>
        <v>8065</v>
      </c>
      <c r="G655" s="2">
        <v>42000.0</v>
      </c>
      <c r="H655" s="1">
        <v>235900.0</v>
      </c>
      <c r="I655" s="1">
        <v>230.0</v>
      </c>
      <c r="J655" s="1">
        <v>235900.0</v>
      </c>
      <c r="K655" s="2">
        <v>42059.0</v>
      </c>
      <c r="L655" s="1">
        <v>60.0</v>
      </c>
      <c r="M655" s="2">
        <v>42059.0</v>
      </c>
      <c r="N655" s="1" t="s">
        <v>356</v>
      </c>
      <c r="O655" s="2">
        <v>42093.0</v>
      </c>
      <c r="P655" s="1">
        <v>110639.0</v>
      </c>
      <c r="Q655" s="1">
        <v>10874.0</v>
      </c>
      <c r="R655" s="1">
        <v>5000.0</v>
      </c>
      <c r="S655" s="1">
        <v>6030.0</v>
      </c>
      <c r="T655" s="1" t="s">
        <v>7309</v>
      </c>
      <c r="U655" s="1" t="s">
        <v>189</v>
      </c>
      <c r="V655" s="1" t="s">
        <v>190</v>
      </c>
      <c r="W655" s="1">
        <v>60629.0</v>
      </c>
      <c r="Y655" s="1" t="s">
        <v>8102</v>
      </c>
      <c r="Z655" s="1">
        <v>1952.0</v>
      </c>
      <c r="AA655" s="1" t="s">
        <v>192</v>
      </c>
      <c r="AB655" s="1" t="s">
        <v>193</v>
      </c>
      <c r="AD655" s="1" t="s">
        <v>194</v>
      </c>
      <c r="AE655" s="1" t="s">
        <v>195</v>
      </c>
      <c r="AF655" s="1" t="s">
        <v>659</v>
      </c>
      <c r="AH655" s="1" t="s">
        <v>1115</v>
      </c>
      <c r="AK655" s="1">
        <v>7.0</v>
      </c>
      <c r="AL655" s="1">
        <v>3.0</v>
      </c>
      <c r="AM655" s="1">
        <v>1.0</v>
      </c>
      <c r="AN655" s="1">
        <v>0.0</v>
      </c>
      <c r="AO655" s="1" t="s">
        <v>229</v>
      </c>
      <c r="AQ655" s="1" t="s">
        <v>198</v>
      </c>
      <c r="AR655" s="1" t="s">
        <v>192</v>
      </c>
      <c r="AS655" s="1" t="s">
        <v>199</v>
      </c>
      <c r="AT655" s="1">
        <v>2.0</v>
      </c>
      <c r="AV655" s="1" t="s">
        <v>200</v>
      </c>
      <c r="AW655" s="1">
        <v>2600.0</v>
      </c>
      <c r="AX655" s="1">
        <v>2012.0</v>
      </c>
      <c r="AY655" s="1" t="s">
        <v>229</v>
      </c>
      <c r="AZ655" s="1" t="s">
        <v>200</v>
      </c>
      <c r="BA655" s="1" t="str">
        <f>"19154090310000"</f>
        <v>19154090310000</v>
      </c>
      <c r="BC655" s="1">
        <v>1120.0</v>
      </c>
      <c r="BD655" s="1">
        <v>225000.0</v>
      </c>
      <c r="BE655" s="2">
        <v>42000.0</v>
      </c>
      <c r="BF655" s="2" t="s">
        <v>8103</v>
      </c>
      <c r="BH655" s="1">
        <v>0.0</v>
      </c>
      <c r="BK655" s="1" t="s">
        <v>204</v>
      </c>
      <c r="BL655" s="1" t="str">
        <f t="shared" ref="BL655:BM655" si="439">"0"</f>
        <v>0</v>
      </c>
      <c r="BM655" s="1" t="str">
        <f t="shared" si="439"/>
        <v>0</v>
      </c>
      <c r="BN655" s="1">
        <v>4200.0</v>
      </c>
      <c r="BO655" s="1">
        <v>6030.0</v>
      </c>
      <c r="BQ655" s="1">
        <v>299.0</v>
      </c>
      <c r="BR655" s="1">
        <v>299.0</v>
      </c>
      <c r="BS655" s="1">
        <v>299.0</v>
      </c>
      <c r="BU655" s="1" t="s">
        <v>1183</v>
      </c>
      <c r="BV655" s="1" t="s">
        <v>206</v>
      </c>
      <c r="BW655" s="1" t="s">
        <v>207</v>
      </c>
      <c r="BX655" s="1" t="s">
        <v>229</v>
      </c>
      <c r="BY655" s="1" t="s">
        <v>215</v>
      </c>
      <c r="BZ655" s="1" t="s">
        <v>206</v>
      </c>
      <c r="CA655" s="1" t="s">
        <v>207</v>
      </c>
      <c r="CD655" s="1" t="s">
        <v>204</v>
      </c>
      <c r="CG655" s="1" t="s">
        <v>212</v>
      </c>
      <c r="CH655" s="1" t="s">
        <v>206</v>
      </c>
      <c r="CI655" s="1" t="s">
        <v>207</v>
      </c>
      <c r="CK655" s="1" t="s">
        <v>212</v>
      </c>
      <c r="CL655" s="1" t="s">
        <v>206</v>
      </c>
      <c r="CM655" s="1" t="s">
        <v>207</v>
      </c>
      <c r="CO655" s="1" t="s">
        <v>1395</v>
      </c>
      <c r="CP655" s="1" t="s">
        <v>42</v>
      </c>
      <c r="CQ655" s="1" t="s">
        <v>268</v>
      </c>
      <c r="CS655" s="1" t="s">
        <v>1190</v>
      </c>
      <c r="CT655" s="1" t="s">
        <v>206</v>
      </c>
      <c r="CU655" s="1" t="s">
        <v>207</v>
      </c>
      <c r="CW655" s="1" t="s">
        <v>2261</v>
      </c>
      <c r="CX655" s="1" t="s">
        <v>42</v>
      </c>
      <c r="CY655" s="1" t="s">
        <v>268</v>
      </c>
      <c r="DA655" s="1" t="s">
        <v>200</v>
      </c>
      <c r="DC655" s="1" t="s">
        <v>702</v>
      </c>
      <c r="DD655" s="1" t="s">
        <v>759</v>
      </c>
      <c r="DE655" s="1" t="s">
        <v>2851</v>
      </c>
      <c r="DF655" s="1" t="s">
        <v>619</v>
      </c>
      <c r="DG655" s="1" t="s">
        <v>8104</v>
      </c>
      <c r="DH655" s="1" t="s">
        <v>220</v>
      </c>
      <c r="DI655" s="1" t="s">
        <v>308</v>
      </c>
      <c r="DJ655" s="1" t="s">
        <v>222</v>
      </c>
      <c r="DL655" s="1" t="s">
        <v>224</v>
      </c>
      <c r="DM655" s="1" t="s">
        <v>225</v>
      </c>
      <c r="DN655" s="1" t="s">
        <v>5615</v>
      </c>
      <c r="DO655" s="1" t="s">
        <v>549</v>
      </c>
      <c r="DQ655" s="1" t="s">
        <v>228</v>
      </c>
      <c r="DR655" s="1" t="s">
        <v>229</v>
      </c>
      <c r="DU655" s="1" t="s">
        <v>681</v>
      </c>
      <c r="DV655" s="1" t="s">
        <v>232</v>
      </c>
      <c r="DW655" s="1" t="s">
        <v>279</v>
      </c>
      <c r="DX655" s="1" t="s">
        <v>309</v>
      </c>
      <c r="DY655" s="1" t="s">
        <v>4467</v>
      </c>
      <c r="DZ655" s="1" t="s">
        <v>1661</v>
      </c>
      <c r="EA655" s="1" t="s">
        <v>683</v>
      </c>
      <c r="EC655" s="1" t="s">
        <v>685</v>
      </c>
      <c r="ED655" s="1" t="s">
        <v>555</v>
      </c>
      <c r="EE655" s="1" t="s">
        <v>522</v>
      </c>
      <c r="EM655" s="1" t="s">
        <v>238</v>
      </c>
      <c r="EQ655" s="1" t="s">
        <v>238</v>
      </c>
      <c r="EU655" s="1" t="s">
        <v>238</v>
      </c>
      <c r="EY655" s="1" t="s">
        <v>238</v>
      </c>
      <c r="FC655" s="1" t="s">
        <v>238</v>
      </c>
      <c r="FF655" s="1" t="s">
        <v>239</v>
      </c>
      <c r="FG655" s="1" t="s">
        <v>192</v>
      </c>
      <c r="FH655" s="1" t="s">
        <v>192</v>
      </c>
      <c r="FJ655" s="1" t="s">
        <v>1450</v>
      </c>
      <c r="FK655" s="1" t="s">
        <v>229</v>
      </c>
      <c r="FL655" s="1" t="s">
        <v>5704</v>
      </c>
      <c r="FM655" s="1">
        <v>16279.0</v>
      </c>
      <c r="FN655" s="1" t="s">
        <v>5705</v>
      </c>
      <c r="FO655" s="1" t="s">
        <v>5706</v>
      </c>
      <c r="FP655" s="1">
        <v>150449.0</v>
      </c>
      <c r="FQ655" s="1" t="s">
        <v>5707</v>
      </c>
      <c r="FS655" s="1" t="s">
        <v>8105</v>
      </c>
      <c r="FU655" s="1" t="s">
        <v>8106</v>
      </c>
      <c r="FV655" s="1" t="s">
        <v>192</v>
      </c>
      <c r="FW655" s="1" t="s">
        <v>567</v>
      </c>
      <c r="FX655" s="1" t="s">
        <v>655</v>
      </c>
      <c r="FZ655" s="1" t="s">
        <v>229</v>
      </c>
      <c r="GA655" s="1" t="s">
        <v>291</v>
      </c>
      <c r="GB655" s="2">
        <v>42096.0</v>
      </c>
      <c r="GC655" s="1" t="s">
        <v>8107</v>
      </c>
    </row>
    <row r="656">
      <c r="A656" s="1">
        <v>131000.0</v>
      </c>
      <c r="B656" s="1" t="s">
        <v>185</v>
      </c>
      <c r="C656" s="1" t="str">
        <f>"08829497"</f>
        <v>08829497</v>
      </c>
      <c r="D656" s="1" t="s">
        <v>186</v>
      </c>
      <c r="F656" s="1" t="str">
        <f>"8049"</f>
        <v>8049</v>
      </c>
      <c r="G656" s="2">
        <v>42037.0</v>
      </c>
      <c r="H656" s="1">
        <v>130000.0</v>
      </c>
      <c r="I656" s="1">
        <v>34.0</v>
      </c>
      <c r="J656" s="1">
        <v>135000.0</v>
      </c>
      <c r="K656" s="2">
        <v>42070.0</v>
      </c>
      <c r="L656" s="1">
        <v>34.0</v>
      </c>
      <c r="M656" s="2">
        <v>42070.0</v>
      </c>
      <c r="N656" s="1" t="s">
        <v>356</v>
      </c>
      <c r="O656" s="2">
        <v>42114.0</v>
      </c>
      <c r="P656" s="1">
        <v>223372.0</v>
      </c>
      <c r="Q656" s="1">
        <v>61080.0</v>
      </c>
      <c r="R656" s="1">
        <v>3930.0</v>
      </c>
      <c r="S656" s="1">
        <v>9316.0</v>
      </c>
      <c r="T656" s="1" t="s">
        <v>1326</v>
      </c>
      <c r="U656" s="1" t="s">
        <v>189</v>
      </c>
      <c r="V656" s="1" t="s">
        <v>190</v>
      </c>
      <c r="W656" s="1">
        <v>60619.0</v>
      </c>
      <c r="Y656" s="1" t="s">
        <v>8108</v>
      </c>
      <c r="Z656" s="1">
        <v>1920.0</v>
      </c>
      <c r="AA656" s="1" t="s">
        <v>192</v>
      </c>
      <c r="AB656" s="1" t="s">
        <v>193</v>
      </c>
      <c r="AD656" s="1" t="s">
        <v>194</v>
      </c>
      <c r="AE656" s="1" t="s">
        <v>195</v>
      </c>
      <c r="AF656" s="1" t="s">
        <v>659</v>
      </c>
      <c r="AH656" s="1" t="s">
        <v>359</v>
      </c>
      <c r="AI656" s="1">
        <v>0.0854</v>
      </c>
      <c r="AK656" s="1">
        <v>7.0</v>
      </c>
      <c r="AL656" s="1">
        <v>3.0</v>
      </c>
      <c r="AM656" s="1">
        <v>2.0</v>
      </c>
      <c r="AN656" s="1">
        <v>0.0</v>
      </c>
      <c r="AO656" s="1" t="s">
        <v>229</v>
      </c>
      <c r="AQ656" s="1" t="s">
        <v>198</v>
      </c>
      <c r="AR656" s="1" t="s">
        <v>192</v>
      </c>
      <c r="AS656" s="1" t="s">
        <v>229</v>
      </c>
      <c r="AV656" s="1" t="s">
        <v>200</v>
      </c>
      <c r="AW656" s="1">
        <v>1106.0</v>
      </c>
      <c r="AX656" s="1">
        <v>2013.0</v>
      </c>
      <c r="AY656" s="1" t="s">
        <v>229</v>
      </c>
      <c r="AZ656" s="1" t="s">
        <v>200</v>
      </c>
      <c r="BA656" s="1" t="str">
        <f>"25033170260000"</f>
        <v>25033170260000</v>
      </c>
      <c r="BC656" s="1">
        <v>0.0</v>
      </c>
      <c r="BD656" s="1">
        <v>131000.0</v>
      </c>
      <c r="BE656" s="2">
        <v>42037.0</v>
      </c>
      <c r="BF656" s="1" t="s">
        <v>8109</v>
      </c>
      <c r="BH656" s="1">
        <v>0.0</v>
      </c>
      <c r="BK656" s="1" t="s">
        <v>204</v>
      </c>
      <c r="BL656" s="1" t="str">
        <f>"0"</f>
        <v>0</v>
      </c>
      <c r="BM656" s="1" t="str">
        <f>"500"</f>
        <v>500</v>
      </c>
      <c r="BN656" s="1">
        <v>0.0</v>
      </c>
      <c r="BO656" s="1">
        <v>9300.0</v>
      </c>
      <c r="BQ656" s="1">
        <v>299.0</v>
      </c>
      <c r="BR656" s="1">
        <v>299.0</v>
      </c>
      <c r="BS656" s="1">
        <v>299.0</v>
      </c>
      <c r="BU656" s="1" t="s">
        <v>1206</v>
      </c>
      <c r="BV656" s="1" t="s">
        <v>206</v>
      </c>
      <c r="BW656" s="1" t="s">
        <v>207</v>
      </c>
      <c r="BY656" s="1" t="s">
        <v>331</v>
      </c>
      <c r="BZ656" s="1" t="s">
        <v>206</v>
      </c>
      <c r="CA656" s="1" t="s">
        <v>207</v>
      </c>
      <c r="CC656" s="1" t="s">
        <v>211</v>
      </c>
      <c r="CD656" s="1" t="s">
        <v>206</v>
      </c>
      <c r="CE656" s="1" t="s">
        <v>207</v>
      </c>
      <c r="CG656" s="1" t="s">
        <v>515</v>
      </c>
      <c r="CH656" s="1" t="s">
        <v>209</v>
      </c>
      <c r="CI656" s="1" t="s">
        <v>210</v>
      </c>
      <c r="CK656" s="1" t="s">
        <v>264</v>
      </c>
      <c r="CL656" s="1" t="s">
        <v>206</v>
      </c>
      <c r="CM656" s="1" t="s">
        <v>207</v>
      </c>
      <c r="CO656" s="1" t="s">
        <v>433</v>
      </c>
      <c r="CP656" s="1" t="s">
        <v>42</v>
      </c>
      <c r="CQ656" s="1" t="s">
        <v>588</v>
      </c>
      <c r="CS656" s="1" t="s">
        <v>433</v>
      </c>
      <c r="CT656" s="1" t="s">
        <v>206</v>
      </c>
      <c r="CU656" s="1" t="s">
        <v>207</v>
      </c>
      <c r="CX656" s="1" t="s">
        <v>204</v>
      </c>
      <c r="DA656" s="1" t="s">
        <v>200</v>
      </c>
      <c r="DC656" s="1" t="s">
        <v>216</v>
      </c>
      <c r="DD656" s="1" t="s">
        <v>306</v>
      </c>
      <c r="DE656" s="1" t="s">
        <v>273</v>
      </c>
      <c r="DF656" s="1" t="s">
        <v>619</v>
      </c>
      <c r="DH656" s="1" t="s">
        <v>220</v>
      </c>
      <c r="DI656" s="1" t="s">
        <v>8110</v>
      </c>
      <c r="DJ656" s="1" t="s">
        <v>222</v>
      </c>
      <c r="DL656" s="1" t="s">
        <v>224</v>
      </c>
      <c r="DM656" s="1" t="s">
        <v>229</v>
      </c>
      <c r="DP656" s="1" t="s">
        <v>340</v>
      </c>
      <c r="DQ656" s="1" t="s">
        <v>228</v>
      </c>
      <c r="DR656" s="1" t="s">
        <v>229</v>
      </c>
      <c r="DV656" s="1" t="s">
        <v>232</v>
      </c>
      <c r="DW656" s="1" t="s">
        <v>279</v>
      </c>
      <c r="DX656" s="1" t="s">
        <v>234</v>
      </c>
      <c r="EC656" s="1" t="s">
        <v>237</v>
      </c>
      <c r="EM656" s="1" t="s">
        <v>238</v>
      </c>
      <c r="EQ656" s="1" t="s">
        <v>238</v>
      </c>
      <c r="EU656" s="1" t="s">
        <v>238</v>
      </c>
      <c r="EY656" s="1" t="s">
        <v>238</v>
      </c>
      <c r="FC656" s="1" t="s">
        <v>238</v>
      </c>
      <c r="FF656" s="1" t="s">
        <v>239</v>
      </c>
      <c r="FG656" s="1" t="s">
        <v>192</v>
      </c>
      <c r="FH656" s="1" t="s">
        <v>192</v>
      </c>
      <c r="FJ656" s="1" t="s">
        <v>8111</v>
      </c>
      <c r="FK656" s="1" t="s">
        <v>229</v>
      </c>
      <c r="FL656" s="1" t="s">
        <v>2718</v>
      </c>
      <c r="FM656" s="1">
        <v>61080.0</v>
      </c>
      <c r="FN656" s="1" t="s">
        <v>2719</v>
      </c>
      <c r="FO656" s="1" t="s">
        <v>8112</v>
      </c>
      <c r="FP656" s="1">
        <v>223372.0</v>
      </c>
      <c r="FQ656" s="1" t="s">
        <v>8113</v>
      </c>
      <c r="FS656" s="1" t="s">
        <v>8114</v>
      </c>
      <c r="FU656" s="1" t="s">
        <v>8115</v>
      </c>
      <c r="FV656" s="1" t="s">
        <v>200</v>
      </c>
      <c r="FW656" s="1" t="s">
        <v>290</v>
      </c>
      <c r="FX656" s="1" t="s">
        <v>655</v>
      </c>
      <c r="FZ656" s="1" t="s">
        <v>229</v>
      </c>
      <c r="GA656" s="1" t="s">
        <v>291</v>
      </c>
      <c r="GB656" s="2">
        <v>42114.0</v>
      </c>
    </row>
    <row r="657">
      <c r="A657" s="1">
        <v>210000.0</v>
      </c>
      <c r="B657" s="1" t="s">
        <v>185</v>
      </c>
      <c r="C657" s="1" t="str">
        <f>"08802893"</f>
        <v>08802893</v>
      </c>
      <c r="D657" s="1" t="s">
        <v>186</v>
      </c>
      <c r="F657" s="1" t="str">
        <f t="shared" ref="F657:F658" si="441">"140"</f>
        <v>140</v>
      </c>
      <c r="G657" s="2">
        <v>41989.0</v>
      </c>
      <c r="H657" s="1">
        <v>225500.0</v>
      </c>
      <c r="I657" s="1">
        <v>31.0</v>
      </c>
      <c r="J657" s="1">
        <v>214500.0</v>
      </c>
      <c r="K657" s="2">
        <v>42019.0</v>
      </c>
      <c r="L657" s="1">
        <v>31.0</v>
      </c>
      <c r="M657" s="2">
        <v>42019.0</v>
      </c>
      <c r="N657" s="1" t="s">
        <v>187</v>
      </c>
      <c r="O657" s="2">
        <v>42048.0</v>
      </c>
      <c r="P657" s="1">
        <v>256018.0</v>
      </c>
      <c r="Q657" s="1">
        <v>25309.0</v>
      </c>
      <c r="S657" s="1">
        <v>1027.0</v>
      </c>
      <c r="T657" s="1" t="s">
        <v>8116</v>
      </c>
      <c r="U657" s="1" t="s">
        <v>4857</v>
      </c>
      <c r="V657" s="1" t="s">
        <v>4858</v>
      </c>
      <c r="W657" s="1">
        <v>60140.0</v>
      </c>
      <c r="X657" s="1">
        <v>9110.0</v>
      </c>
      <c r="Y657" s="1" t="s">
        <v>8117</v>
      </c>
      <c r="Z657" s="1">
        <v>2005.0</v>
      </c>
      <c r="AA657" s="1" t="s">
        <v>200</v>
      </c>
      <c r="AB657" s="1" t="s">
        <v>193</v>
      </c>
      <c r="AC657" s="1" t="s">
        <v>6189</v>
      </c>
      <c r="AD657" s="1" t="s">
        <v>4860</v>
      </c>
      <c r="AE657" s="1" t="s">
        <v>325</v>
      </c>
      <c r="AF657" s="1" t="s">
        <v>3429</v>
      </c>
      <c r="AG657" s="1" t="s">
        <v>8118</v>
      </c>
      <c r="AH657" s="1">
        <v>8712.0</v>
      </c>
      <c r="AI657" s="1">
        <v>0.2066</v>
      </c>
      <c r="AK657" s="1">
        <v>9.0</v>
      </c>
      <c r="AL657" s="1">
        <v>4.0</v>
      </c>
      <c r="AM657" s="1">
        <v>2.0</v>
      </c>
      <c r="AN657" s="1">
        <v>1.0</v>
      </c>
      <c r="AO657" s="1" t="s">
        <v>198</v>
      </c>
      <c r="AP657" s="1">
        <v>1.0</v>
      </c>
      <c r="AQ657" s="1" t="s">
        <v>198</v>
      </c>
      <c r="AR657" s="1" t="s">
        <v>200</v>
      </c>
      <c r="AS657" s="1" t="s">
        <v>199</v>
      </c>
      <c r="AT657" s="1">
        <v>2.0</v>
      </c>
      <c r="AV657" s="1" t="s">
        <v>200</v>
      </c>
      <c r="AW657" s="1">
        <v>6536.98</v>
      </c>
      <c r="AX657" s="1">
        <v>2013.0</v>
      </c>
      <c r="AY657" s="1" t="s">
        <v>387</v>
      </c>
      <c r="AZ657" s="1" t="s">
        <v>545</v>
      </c>
      <c r="BA657" s="1" t="str">
        <f>"0229427010"</f>
        <v>0229427010</v>
      </c>
      <c r="BB657" s="1" t="s">
        <v>200</v>
      </c>
      <c r="BC657" s="1">
        <v>2504.0</v>
      </c>
      <c r="BD657" s="1">
        <v>210000.0</v>
      </c>
      <c r="BE657" s="2">
        <v>41989.0</v>
      </c>
      <c r="BF657" s="1" t="s">
        <v>8119</v>
      </c>
      <c r="BG657" s="1" t="s">
        <v>6193</v>
      </c>
      <c r="BH657" s="1">
        <v>62.0</v>
      </c>
      <c r="BI657" s="1" t="s">
        <v>5040</v>
      </c>
      <c r="BJ657" s="1" t="s">
        <v>1182</v>
      </c>
      <c r="BK657" s="1" t="s">
        <v>474</v>
      </c>
      <c r="BL657" s="1" t="str">
        <f t="shared" ref="BL657:BM657" si="440">""</f>
        <v/>
      </c>
      <c r="BM657" s="1" t="str">
        <f t="shared" si="440"/>
        <v/>
      </c>
      <c r="BQ657" s="1">
        <v>300.0</v>
      </c>
      <c r="BR657" s="1">
        <v>300.0</v>
      </c>
      <c r="BS657" s="1">
        <v>300.0</v>
      </c>
      <c r="BU657" s="1" t="s">
        <v>215</v>
      </c>
      <c r="BV657" s="1" t="s">
        <v>206</v>
      </c>
      <c r="BW657" s="1" t="s">
        <v>210</v>
      </c>
      <c r="BX657" s="1" t="s">
        <v>229</v>
      </c>
      <c r="BY657" s="1" t="s">
        <v>784</v>
      </c>
      <c r="BZ657" s="1" t="s">
        <v>209</v>
      </c>
      <c r="CA657" s="1" t="s">
        <v>210</v>
      </c>
      <c r="CB657" s="1" t="s">
        <v>229</v>
      </c>
      <c r="CC657" s="1" t="s">
        <v>392</v>
      </c>
      <c r="CD657" s="1" t="s">
        <v>206</v>
      </c>
      <c r="CE657" s="1" t="s">
        <v>210</v>
      </c>
      <c r="CF657" s="1" t="s">
        <v>229</v>
      </c>
      <c r="CG657" s="1" t="s">
        <v>363</v>
      </c>
      <c r="CH657" s="1" t="s">
        <v>209</v>
      </c>
      <c r="CI657" s="1" t="s">
        <v>210</v>
      </c>
      <c r="CJ657" s="1" t="s">
        <v>229</v>
      </c>
      <c r="CK657" s="1" t="s">
        <v>497</v>
      </c>
      <c r="CL657" s="1" t="s">
        <v>209</v>
      </c>
      <c r="CM657" s="1" t="s">
        <v>210</v>
      </c>
      <c r="CN657" s="1" t="s">
        <v>229</v>
      </c>
      <c r="CO657" s="1" t="s">
        <v>332</v>
      </c>
      <c r="CP657" s="1" t="s">
        <v>209</v>
      </c>
      <c r="CQ657" s="1" t="s">
        <v>210</v>
      </c>
      <c r="CR657" s="1" t="s">
        <v>229</v>
      </c>
      <c r="CS657" s="1" t="s">
        <v>925</v>
      </c>
      <c r="CT657" s="1" t="s">
        <v>206</v>
      </c>
      <c r="CU657" s="1" t="s">
        <v>617</v>
      </c>
      <c r="CV657" s="1" t="s">
        <v>229</v>
      </c>
      <c r="CW657" s="1" t="s">
        <v>924</v>
      </c>
      <c r="CX657" s="1" t="s">
        <v>206</v>
      </c>
      <c r="CY657" s="1" t="s">
        <v>210</v>
      </c>
      <c r="CZ657" s="1" t="s">
        <v>229</v>
      </c>
      <c r="DA657" s="1" t="s">
        <v>200</v>
      </c>
      <c r="DC657" s="1" t="s">
        <v>481</v>
      </c>
      <c r="DD657" s="1" t="s">
        <v>336</v>
      </c>
      <c r="DE657" s="1" t="s">
        <v>273</v>
      </c>
      <c r="DF657" s="1" t="s">
        <v>219</v>
      </c>
      <c r="DG657" s="1" t="s">
        <v>3259</v>
      </c>
      <c r="DH657" s="1" t="s">
        <v>220</v>
      </c>
      <c r="DI657" s="1" t="s">
        <v>8120</v>
      </c>
      <c r="DJ657" s="1" t="s">
        <v>222</v>
      </c>
      <c r="DL657" s="1" t="s">
        <v>223</v>
      </c>
      <c r="DM657" s="1" t="s">
        <v>229</v>
      </c>
      <c r="DN657" s="1" t="s">
        <v>548</v>
      </c>
      <c r="DP657" s="1" t="s">
        <v>340</v>
      </c>
      <c r="DQ657" s="1" t="s">
        <v>228</v>
      </c>
      <c r="DR657" s="1" t="s">
        <v>2593</v>
      </c>
      <c r="DS657" s="1" t="s">
        <v>230</v>
      </c>
      <c r="DV657" s="1" t="s">
        <v>449</v>
      </c>
      <c r="DW657" s="1" t="s">
        <v>444</v>
      </c>
      <c r="DX657" s="1" t="s">
        <v>234</v>
      </c>
      <c r="DY657" s="1" t="s">
        <v>3846</v>
      </c>
      <c r="EA657" s="1" t="s">
        <v>344</v>
      </c>
      <c r="EB657" s="1" t="s">
        <v>1639</v>
      </c>
      <c r="EC657" s="1" t="s">
        <v>237</v>
      </c>
      <c r="EE657" s="1" t="s">
        <v>8121</v>
      </c>
      <c r="EG657" s="1" t="s">
        <v>449</v>
      </c>
      <c r="EL657" s="1" t="s">
        <v>647</v>
      </c>
      <c r="EM657" s="1" t="s">
        <v>206</v>
      </c>
      <c r="EN657" s="1" t="s">
        <v>617</v>
      </c>
      <c r="EO657" s="1" t="s">
        <v>229</v>
      </c>
      <c r="EQ657" s="1" t="s">
        <v>238</v>
      </c>
      <c r="EU657" s="1" t="s">
        <v>238</v>
      </c>
      <c r="EY657" s="1" t="s">
        <v>238</v>
      </c>
      <c r="FC657" s="1" t="s">
        <v>238</v>
      </c>
      <c r="FF657" s="1" t="s">
        <v>239</v>
      </c>
      <c r="FG657" s="1" t="s">
        <v>192</v>
      </c>
      <c r="FH657" s="1" t="s">
        <v>192</v>
      </c>
      <c r="FJ657" s="1" t="s">
        <v>347</v>
      </c>
      <c r="FK657" s="1" t="s">
        <v>229</v>
      </c>
      <c r="FL657" s="1" t="s">
        <v>8122</v>
      </c>
      <c r="FM657" s="1">
        <v>23163.0</v>
      </c>
      <c r="FN657" s="1" t="s">
        <v>8123</v>
      </c>
      <c r="FO657" s="1" t="s">
        <v>8124</v>
      </c>
      <c r="FP657" s="1">
        <v>256811.0</v>
      </c>
      <c r="FQ657" s="1" t="s">
        <v>8125</v>
      </c>
      <c r="FU657" s="1" t="s">
        <v>8126</v>
      </c>
      <c r="FV657" s="1" t="s">
        <v>200</v>
      </c>
      <c r="FW657" s="1" t="s">
        <v>530</v>
      </c>
      <c r="FZ657" s="1" t="s">
        <v>229</v>
      </c>
      <c r="GA657" s="1" t="s">
        <v>291</v>
      </c>
      <c r="GB657" s="2">
        <v>42051.0</v>
      </c>
      <c r="GC657" s="1" t="s">
        <v>8127</v>
      </c>
    </row>
    <row r="658">
      <c r="A658" s="1">
        <v>255000.0</v>
      </c>
      <c r="B658" s="1" t="s">
        <v>185</v>
      </c>
      <c r="C658" s="1" t="str">
        <f>"08803896"</f>
        <v>08803896</v>
      </c>
      <c r="D658" s="1" t="s">
        <v>186</v>
      </c>
      <c r="F658" s="1" t="str">
        <f t="shared" si="441"/>
        <v>140</v>
      </c>
      <c r="G658" s="2">
        <v>41991.0</v>
      </c>
      <c r="H658" s="1">
        <v>258900.0</v>
      </c>
      <c r="I658" s="1">
        <v>172.0</v>
      </c>
      <c r="J658" s="1">
        <v>253900.0</v>
      </c>
      <c r="K658" s="2">
        <v>42065.0</v>
      </c>
      <c r="L658" s="1">
        <v>75.0</v>
      </c>
      <c r="M658" s="2">
        <v>42065.0</v>
      </c>
      <c r="N658" s="1" t="s">
        <v>356</v>
      </c>
      <c r="O658" s="2">
        <v>42117.0</v>
      </c>
      <c r="P658" s="1">
        <v>55115.0</v>
      </c>
      <c r="Q658" s="1">
        <v>5108.0</v>
      </c>
      <c r="S658" s="1">
        <v>1104.0</v>
      </c>
      <c r="T658" s="1" t="s">
        <v>8128</v>
      </c>
      <c r="U658" s="1" t="s">
        <v>844</v>
      </c>
      <c r="V658" s="1" t="s">
        <v>4858</v>
      </c>
      <c r="W658" s="1">
        <v>60140.0</v>
      </c>
      <c r="Y658" s="1" t="s">
        <v>8129</v>
      </c>
      <c r="Z658" s="1">
        <v>2010.0</v>
      </c>
      <c r="AA658" s="1" t="s">
        <v>200</v>
      </c>
      <c r="AB658" s="1" t="s">
        <v>193</v>
      </c>
      <c r="AC658" s="1" t="s">
        <v>8130</v>
      </c>
      <c r="AD658" s="1" t="s">
        <v>4860</v>
      </c>
      <c r="AE658" s="1" t="s">
        <v>325</v>
      </c>
      <c r="AF658" s="1" t="s">
        <v>3429</v>
      </c>
      <c r="AG658" s="1" t="s">
        <v>8131</v>
      </c>
      <c r="AH658" s="1" t="s">
        <v>8132</v>
      </c>
      <c r="AK658" s="1">
        <v>10.0</v>
      </c>
      <c r="AL658" s="1">
        <v>4.0</v>
      </c>
      <c r="AM658" s="1">
        <v>2.0</v>
      </c>
      <c r="AN658" s="1">
        <v>1.0</v>
      </c>
      <c r="AO658" s="1" t="s">
        <v>198</v>
      </c>
      <c r="AP658" s="1">
        <v>1.0</v>
      </c>
      <c r="AQ658" s="1" t="s">
        <v>198</v>
      </c>
      <c r="AR658" s="1" t="s">
        <v>200</v>
      </c>
      <c r="AS658" s="1" t="s">
        <v>199</v>
      </c>
      <c r="AT658" s="1">
        <v>2.0</v>
      </c>
      <c r="AV658" s="1" t="s">
        <v>200</v>
      </c>
      <c r="AW658" s="1">
        <v>7996.98</v>
      </c>
      <c r="AX658" s="1">
        <v>2013.0</v>
      </c>
      <c r="AY658" s="1" t="s">
        <v>387</v>
      </c>
      <c r="AZ658" s="1" t="s">
        <v>200</v>
      </c>
      <c r="BA658" s="1" t="str">
        <f>"0229454027"</f>
        <v>0229454027</v>
      </c>
      <c r="BB658" s="1" t="s">
        <v>200</v>
      </c>
      <c r="BC658" s="1">
        <v>2900.0</v>
      </c>
      <c r="BD658" s="1">
        <v>255000.0</v>
      </c>
      <c r="BE658" s="2">
        <v>41991.0</v>
      </c>
      <c r="BF658" s="2" t="s">
        <v>8133</v>
      </c>
      <c r="BG658" s="1" t="s">
        <v>6193</v>
      </c>
      <c r="BH658" s="1">
        <v>62.0</v>
      </c>
      <c r="BI658" s="1" t="s">
        <v>5040</v>
      </c>
      <c r="BJ658" s="1" t="s">
        <v>1182</v>
      </c>
      <c r="BK658" s="1" t="s">
        <v>474</v>
      </c>
      <c r="BL658" s="1" t="str">
        <f>"13"</f>
        <v>13</v>
      </c>
      <c r="BM658" s="1" t="str">
        <f>"0"</f>
        <v>0</v>
      </c>
      <c r="BN658" s="1">
        <v>41.0</v>
      </c>
      <c r="BO658" s="1">
        <v>0.0</v>
      </c>
      <c r="BQ658" s="1">
        <v>300.0</v>
      </c>
      <c r="BR658" s="1">
        <v>300.0</v>
      </c>
      <c r="BS658" s="1">
        <v>300.0</v>
      </c>
      <c r="BU658" s="1" t="s">
        <v>758</v>
      </c>
      <c r="BV658" s="1" t="s">
        <v>206</v>
      </c>
      <c r="BW658" s="1" t="s">
        <v>210</v>
      </c>
      <c r="BX658" s="1" t="s">
        <v>431</v>
      </c>
      <c r="BY658" s="1" t="s">
        <v>260</v>
      </c>
      <c r="BZ658" s="1" t="s">
        <v>209</v>
      </c>
      <c r="CA658" s="1" t="s">
        <v>210</v>
      </c>
      <c r="CB658" s="1" t="s">
        <v>431</v>
      </c>
      <c r="CC658" s="1" t="s">
        <v>331</v>
      </c>
      <c r="CD658" s="1" t="s">
        <v>206</v>
      </c>
      <c r="CE658" s="1" t="s">
        <v>210</v>
      </c>
      <c r="CF658" s="1" t="s">
        <v>431</v>
      </c>
      <c r="CG658" s="1" t="s">
        <v>454</v>
      </c>
      <c r="CH658" s="1" t="s">
        <v>209</v>
      </c>
      <c r="CI658" s="1" t="s">
        <v>210</v>
      </c>
      <c r="CJ658" s="1" t="s">
        <v>1549</v>
      </c>
      <c r="CK658" s="1" t="s">
        <v>331</v>
      </c>
      <c r="CL658" s="1" t="s">
        <v>209</v>
      </c>
      <c r="CM658" s="1" t="s">
        <v>210</v>
      </c>
      <c r="CN658" s="1" t="s">
        <v>1549</v>
      </c>
      <c r="CO658" s="1" t="s">
        <v>699</v>
      </c>
      <c r="CP658" s="1" t="s">
        <v>209</v>
      </c>
      <c r="CQ658" s="1" t="s">
        <v>210</v>
      </c>
      <c r="CR658" s="1" t="s">
        <v>1549</v>
      </c>
      <c r="CS658" s="1" t="s">
        <v>758</v>
      </c>
      <c r="CT658" s="1" t="s">
        <v>206</v>
      </c>
      <c r="CU658" s="1" t="s">
        <v>268</v>
      </c>
      <c r="CW658" s="1" t="s">
        <v>260</v>
      </c>
      <c r="CX658" s="1" t="s">
        <v>206</v>
      </c>
      <c r="CY658" s="1" t="s">
        <v>210</v>
      </c>
      <c r="CZ658" s="1" t="s">
        <v>1549</v>
      </c>
      <c r="DA658" s="1" t="s">
        <v>200</v>
      </c>
      <c r="DC658" s="1" t="s">
        <v>1046</v>
      </c>
      <c r="DD658" s="1" t="s">
        <v>336</v>
      </c>
      <c r="DE658" s="1" t="s">
        <v>273</v>
      </c>
      <c r="DF658" s="1" t="s">
        <v>219</v>
      </c>
      <c r="DG658" s="1" t="s">
        <v>5454</v>
      </c>
      <c r="DH658" s="1" t="s">
        <v>220</v>
      </c>
      <c r="DI658" s="1" t="s">
        <v>3940</v>
      </c>
      <c r="DJ658" s="1" t="s">
        <v>222</v>
      </c>
      <c r="DL658" s="1" t="s">
        <v>223</v>
      </c>
      <c r="DM658" s="1" t="s">
        <v>338</v>
      </c>
      <c r="DN658" s="1" t="s">
        <v>485</v>
      </c>
      <c r="DP658" s="1" t="s">
        <v>340</v>
      </c>
      <c r="DQ658" s="1" t="s">
        <v>228</v>
      </c>
      <c r="DR658" s="1" t="s">
        <v>3096</v>
      </c>
      <c r="DS658" s="1" t="s">
        <v>368</v>
      </c>
      <c r="DU658" s="1" t="s">
        <v>278</v>
      </c>
      <c r="DV658" s="1" t="s">
        <v>8134</v>
      </c>
      <c r="DW658" s="1" t="s">
        <v>934</v>
      </c>
      <c r="DX658" s="1" t="s">
        <v>234</v>
      </c>
      <c r="DY658" s="1" t="s">
        <v>3846</v>
      </c>
      <c r="EA658" s="1" t="s">
        <v>344</v>
      </c>
      <c r="EB658" s="1" t="s">
        <v>2915</v>
      </c>
      <c r="EC658" s="1" t="s">
        <v>237</v>
      </c>
      <c r="ED658" s="1" t="s">
        <v>407</v>
      </c>
      <c r="EE658" s="1" t="s">
        <v>187</v>
      </c>
      <c r="EG658" s="1" t="s">
        <v>449</v>
      </c>
      <c r="EH658" s="1" t="s">
        <v>341</v>
      </c>
      <c r="EL658" s="1" t="s">
        <v>331</v>
      </c>
      <c r="EM658" s="1" t="s">
        <v>206</v>
      </c>
      <c r="EN658" s="1" t="s">
        <v>268</v>
      </c>
      <c r="EO658" s="1" t="s">
        <v>1549</v>
      </c>
      <c r="EP658" s="1" t="s">
        <v>331</v>
      </c>
      <c r="EQ658" s="1" t="s">
        <v>209</v>
      </c>
      <c r="ER658" s="1" t="s">
        <v>210</v>
      </c>
      <c r="ES658" s="1" t="s">
        <v>431</v>
      </c>
      <c r="EU658" s="1" t="s">
        <v>238</v>
      </c>
      <c r="EY658" s="1" t="s">
        <v>238</v>
      </c>
      <c r="FC658" s="1" t="s">
        <v>238</v>
      </c>
      <c r="FF658" s="1" t="s">
        <v>239</v>
      </c>
      <c r="FG658" s="1" t="s">
        <v>192</v>
      </c>
      <c r="FH658" s="1" t="s">
        <v>192</v>
      </c>
      <c r="FJ658" s="1" t="s">
        <v>8135</v>
      </c>
      <c r="FK658" s="1" t="s">
        <v>229</v>
      </c>
      <c r="FL658" s="1" t="s">
        <v>1212</v>
      </c>
      <c r="FM658" s="1">
        <v>30.0</v>
      </c>
      <c r="FN658" s="1" t="s">
        <v>1213</v>
      </c>
      <c r="FO658" s="1" t="s">
        <v>3614</v>
      </c>
      <c r="FP658" s="1">
        <v>1405.0</v>
      </c>
      <c r="FQ658" s="1" t="s">
        <v>3615</v>
      </c>
      <c r="FS658" s="1" t="s">
        <v>3616</v>
      </c>
      <c r="FU658" s="1" t="s">
        <v>8136</v>
      </c>
      <c r="FV658" s="1" t="s">
        <v>200</v>
      </c>
      <c r="FW658" s="1" t="s">
        <v>2754</v>
      </c>
      <c r="FZ658" s="1" t="s">
        <v>229</v>
      </c>
      <c r="GA658" s="1" t="s">
        <v>291</v>
      </c>
      <c r="GB658" s="2">
        <v>42117.0</v>
      </c>
      <c r="GC658" s="1" t="s">
        <v>8137</v>
      </c>
    </row>
    <row r="659">
      <c r="A659" s="1">
        <v>220000.0</v>
      </c>
      <c r="B659" s="1" t="s">
        <v>185</v>
      </c>
      <c r="C659" s="1" t="str">
        <f>"08805572"</f>
        <v>08805572</v>
      </c>
      <c r="D659" s="1" t="s">
        <v>186</v>
      </c>
      <c r="F659" s="1" t="str">
        <f>"543"</f>
        <v>543</v>
      </c>
      <c r="G659" s="2">
        <v>41996.0</v>
      </c>
      <c r="H659" s="1">
        <v>289900.0</v>
      </c>
      <c r="I659" s="1">
        <v>122.0</v>
      </c>
      <c r="J659" s="1">
        <v>234500.0</v>
      </c>
      <c r="K659" s="2">
        <v>42116.0</v>
      </c>
      <c r="L659" s="1">
        <v>122.0</v>
      </c>
      <c r="M659" s="2">
        <v>42116.0</v>
      </c>
      <c r="N659" s="1" t="s">
        <v>187</v>
      </c>
      <c r="O659" s="2">
        <v>42145.0</v>
      </c>
      <c r="P659" s="1">
        <v>234687.0</v>
      </c>
      <c r="Q659" s="1">
        <v>23076.0</v>
      </c>
      <c r="R659" s="1">
        <v>2000.0</v>
      </c>
      <c r="S659" s="1">
        <v>404.0</v>
      </c>
      <c r="T659" s="1" t="s">
        <v>8138</v>
      </c>
      <c r="U659" s="1" t="s">
        <v>420</v>
      </c>
      <c r="V659" s="1" t="s">
        <v>1527</v>
      </c>
      <c r="W659" s="1">
        <v>60543.0</v>
      </c>
      <c r="Y659" s="1" t="s">
        <v>8139</v>
      </c>
      <c r="Z659" s="1">
        <v>1992.0</v>
      </c>
      <c r="AA659" s="1" t="s">
        <v>200</v>
      </c>
      <c r="AB659" s="1" t="s">
        <v>467</v>
      </c>
      <c r="AC659" s="1" t="s">
        <v>8140</v>
      </c>
      <c r="AD659" s="1" t="s">
        <v>1529</v>
      </c>
      <c r="AE659" s="1" t="s">
        <v>849</v>
      </c>
      <c r="AF659" s="1" t="s">
        <v>1529</v>
      </c>
      <c r="AH659" s="1" t="s">
        <v>8141</v>
      </c>
      <c r="AI659" s="1">
        <v>0.34</v>
      </c>
      <c r="AK659" s="1">
        <v>8.0</v>
      </c>
      <c r="AL659" s="1">
        <v>4.0</v>
      </c>
      <c r="AM659" s="1">
        <v>2.0</v>
      </c>
      <c r="AN659" s="1">
        <v>1.0</v>
      </c>
      <c r="AO659" s="1" t="s">
        <v>198</v>
      </c>
      <c r="AP659" s="1">
        <v>1.0</v>
      </c>
      <c r="AQ659" s="1" t="s">
        <v>198</v>
      </c>
      <c r="AR659" s="1" t="s">
        <v>200</v>
      </c>
      <c r="AS659" s="1" t="s">
        <v>199</v>
      </c>
      <c r="AT659" s="1">
        <v>2.0</v>
      </c>
      <c r="AV659" s="1" t="s">
        <v>200</v>
      </c>
      <c r="AW659" s="1">
        <v>8889.0</v>
      </c>
      <c r="AX659" s="1">
        <v>2013.0</v>
      </c>
      <c r="AY659" s="1" t="s">
        <v>387</v>
      </c>
      <c r="AZ659" s="1" t="s">
        <v>200</v>
      </c>
      <c r="BA659" s="1" t="str">
        <f>"0309275005"</f>
        <v>0309275005</v>
      </c>
      <c r="BB659" s="1" t="s">
        <v>200</v>
      </c>
      <c r="BC659" s="1">
        <v>2484.0</v>
      </c>
      <c r="BD659" s="1">
        <v>220000.0</v>
      </c>
      <c r="BE659" s="2">
        <v>41995.0</v>
      </c>
      <c r="BF659" s="1" t="s">
        <v>8142</v>
      </c>
      <c r="BH659" s="1">
        <v>365.0</v>
      </c>
      <c r="BK659" s="1" t="s">
        <v>580</v>
      </c>
      <c r="BL659" s="1" t="str">
        <f t="shared" ref="BL659:BM659" si="442">""</f>
        <v/>
      </c>
      <c r="BM659" s="1" t="str">
        <f t="shared" si="442"/>
        <v/>
      </c>
      <c r="BQ659" s="1">
        <v>308.0</v>
      </c>
      <c r="BR659" s="1">
        <v>308.0</v>
      </c>
      <c r="BS659" s="1">
        <v>308.0</v>
      </c>
      <c r="BU659" s="1" t="s">
        <v>214</v>
      </c>
      <c r="BV659" s="1" t="s">
        <v>206</v>
      </c>
      <c r="BW659" s="1" t="s">
        <v>588</v>
      </c>
      <c r="BY659" s="1" t="s">
        <v>434</v>
      </c>
      <c r="BZ659" s="1" t="s">
        <v>209</v>
      </c>
      <c r="CA659" s="1" t="s">
        <v>588</v>
      </c>
      <c r="CC659" s="1" t="s">
        <v>363</v>
      </c>
      <c r="CD659" s="1" t="s">
        <v>206</v>
      </c>
      <c r="CE659" s="1" t="s">
        <v>207</v>
      </c>
      <c r="CG659" s="1" t="s">
        <v>699</v>
      </c>
      <c r="CH659" s="1" t="s">
        <v>209</v>
      </c>
      <c r="CI659" s="1" t="s">
        <v>588</v>
      </c>
      <c r="CK659" s="1" t="s">
        <v>363</v>
      </c>
      <c r="CL659" s="1" t="s">
        <v>209</v>
      </c>
      <c r="CM659" s="1" t="s">
        <v>588</v>
      </c>
      <c r="CO659" s="1" t="s">
        <v>1064</v>
      </c>
      <c r="CP659" s="1" t="s">
        <v>209</v>
      </c>
      <c r="CQ659" s="1" t="s">
        <v>588</v>
      </c>
      <c r="CS659" s="1" t="s">
        <v>854</v>
      </c>
      <c r="CT659" s="1" t="s">
        <v>206</v>
      </c>
      <c r="CU659" s="1" t="s">
        <v>207</v>
      </c>
      <c r="CW659" s="1" t="s">
        <v>854</v>
      </c>
      <c r="CX659" s="1" t="s">
        <v>206</v>
      </c>
      <c r="CY659" s="1" t="s">
        <v>588</v>
      </c>
      <c r="DA659" s="1" t="s">
        <v>200</v>
      </c>
      <c r="DC659" s="1" t="s">
        <v>435</v>
      </c>
      <c r="DD659" s="1" t="s">
        <v>336</v>
      </c>
      <c r="DE659" s="1" t="s">
        <v>273</v>
      </c>
      <c r="DF659" s="1" t="s">
        <v>219</v>
      </c>
      <c r="DG659" s="1" t="s">
        <v>482</v>
      </c>
      <c r="DH659" s="1" t="s">
        <v>220</v>
      </c>
      <c r="DJ659" s="1" t="s">
        <v>222</v>
      </c>
      <c r="DK659" s="1" t="s">
        <v>223</v>
      </c>
      <c r="DL659" s="1" t="s">
        <v>223</v>
      </c>
      <c r="DM659" s="1" t="s">
        <v>338</v>
      </c>
      <c r="DN659" s="1" t="s">
        <v>439</v>
      </c>
      <c r="DO659" s="1" t="s">
        <v>5000</v>
      </c>
      <c r="DP659" s="1" t="s">
        <v>340</v>
      </c>
      <c r="DQ659" s="1" t="s">
        <v>441</v>
      </c>
      <c r="DR659" s="1" t="s">
        <v>1487</v>
      </c>
      <c r="DS659" s="1" t="s">
        <v>230</v>
      </c>
      <c r="DU659" s="1" t="s">
        <v>1355</v>
      </c>
      <c r="DV659" s="1" t="s">
        <v>232</v>
      </c>
      <c r="DW659" s="1" t="s">
        <v>964</v>
      </c>
      <c r="DX659" s="1" t="s">
        <v>234</v>
      </c>
      <c r="DY659" s="1" t="s">
        <v>704</v>
      </c>
      <c r="DZ659" s="1" t="s">
        <v>310</v>
      </c>
      <c r="EA659" s="1" t="s">
        <v>344</v>
      </c>
      <c r="EB659" s="1" t="s">
        <v>937</v>
      </c>
      <c r="EC659" s="1" t="s">
        <v>237</v>
      </c>
      <c r="ED659" s="1" t="s">
        <v>555</v>
      </c>
      <c r="EE659" s="1" t="s">
        <v>187</v>
      </c>
      <c r="EM659" s="1" t="s">
        <v>238</v>
      </c>
      <c r="EQ659" s="1" t="s">
        <v>238</v>
      </c>
      <c r="EU659" s="1" t="s">
        <v>238</v>
      </c>
      <c r="EY659" s="1" t="s">
        <v>238</v>
      </c>
      <c r="FC659" s="1" t="s">
        <v>238</v>
      </c>
      <c r="FF659" s="1" t="s">
        <v>239</v>
      </c>
      <c r="FG659" s="1" t="s">
        <v>192</v>
      </c>
      <c r="FH659" s="1" t="s">
        <v>192</v>
      </c>
      <c r="FJ659" s="1" t="s">
        <v>347</v>
      </c>
      <c r="FK659" s="1" t="s">
        <v>229</v>
      </c>
      <c r="FL659" s="1" t="s">
        <v>2580</v>
      </c>
      <c r="FM659" s="1">
        <v>23265.0</v>
      </c>
      <c r="FN659" s="1" t="s">
        <v>2581</v>
      </c>
      <c r="FO659" s="1" t="s">
        <v>8143</v>
      </c>
      <c r="FP659" s="1">
        <v>221731.0</v>
      </c>
      <c r="FQ659" s="1" t="s">
        <v>8144</v>
      </c>
      <c r="FS659" s="1" t="s">
        <v>8145</v>
      </c>
      <c r="FT659" s="1" t="s">
        <v>8146</v>
      </c>
      <c r="FU659" s="1" t="s">
        <v>8147</v>
      </c>
      <c r="FV659" s="1" t="s">
        <v>200</v>
      </c>
      <c r="FW659" s="1" t="s">
        <v>8148</v>
      </c>
      <c r="FZ659" s="1" t="s">
        <v>229</v>
      </c>
      <c r="GA659" s="1" t="s">
        <v>291</v>
      </c>
      <c r="GB659" s="2">
        <v>42145.0</v>
      </c>
      <c r="GC659" s="1" t="s">
        <v>8149</v>
      </c>
    </row>
    <row r="660">
      <c r="A660" s="1">
        <v>604000.0</v>
      </c>
      <c r="B660" s="1" t="s">
        <v>185</v>
      </c>
      <c r="C660" s="1" t="str">
        <f>"08834168"</f>
        <v>08834168</v>
      </c>
      <c r="D660" s="1" t="s">
        <v>186</v>
      </c>
      <c r="F660" s="1" t="str">
        <f>"8021"</f>
        <v>8021</v>
      </c>
      <c r="G660" s="2">
        <v>42044.0</v>
      </c>
      <c r="H660" s="1">
        <v>614900.0</v>
      </c>
      <c r="I660" s="1">
        <v>26.0</v>
      </c>
      <c r="J660" s="1">
        <v>614900.0</v>
      </c>
      <c r="K660" s="2">
        <v>42069.0</v>
      </c>
      <c r="L660" s="1">
        <v>26.0</v>
      </c>
      <c r="M660" s="2">
        <v>42069.0</v>
      </c>
      <c r="N660" s="1" t="s">
        <v>187</v>
      </c>
      <c r="O660" s="2">
        <v>42110.0</v>
      </c>
      <c r="P660" s="1">
        <v>176962.0</v>
      </c>
      <c r="Q660" s="1">
        <v>84793.0</v>
      </c>
      <c r="S660" s="1">
        <v>3515.0</v>
      </c>
      <c r="T660" s="1" t="s">
        <v>8150</v>
      </c>
      <c r="U660" s="1" t="s">
        <v>320</v>
      </c>
      <c r="V660" s="1" t="s">
        <v>190</v>
      </c>
      <c r="W660" s="1">
        <v>60618.0</v>
      </c>
      <c r="Y660" s="1" t="s">
        <v>8151</v>
      </c>
      <c r="Z660" s="1">
        <v>1902.0</v>
      </c>
      <c r="AA660" s="1" t="s">
        <v>192</v>
      </c>
      <c r="AB660" s="1" t="s">
        <v>193</v>
      </c>
      <c r="AD660" s="1" t="s">
        <v>194</v>
      </c>
      <c r="AE660" s="1" t="s">
        <v>195</v>
      </c>
      <c r="AF660" s="1" t="s">
        <v>196</v>
      </c>
      <c r="AH660" s="1" t="s">
        <v>1501</v>
      </c>
      <c r="AK660" s="1">
        <v>9.0</v>
      </c>
      <c r="AL660" s="1">
        <v>3.0</v>
      </c>
      <c r="AM660" s="1">
        <v>3.0</v>
      </c>
      <c r="AN660" s="1">
        <v>1.0</v>
      </c>
      <c r="AO660" s="1" t="s">
        <v>198</v>
      </c>
      <c r="AQ660" s="1" t="s">
        <v>198</v>
      </c>
      <c r="AR660" s="1" t="s">
        <v>192</v>
      </c>
      <c r="AS660" s="1" t="s">
        <v>199</v>
      </c>
      <c r="AT660" s="1">
        <v>2.0</v>
      </c>
      <c r="AV660" s="1" t="s">
        <v>200</v>
      </c>
      <c r="AW660" s="4">
        <v>4665.44</v>
      </c>
      <c r="AX660" s="1">
        <v>2013.0</v>
      </c>
      <c r="AY660" s="1" t="s">
        <v>229</v>
      </c>
      <c r="AZ660" s="1" t="s">
        <v>200</v>
      </c>
      <c r="BA660" s="1" t="str">
        <f>"13243040190000"</f>
        <v>13243040190000</v>
      </c>
      <c r="BC660" s="1">
        <v>3000.0</v>
      </c>
      <c r="BD660" s="1">
        <v>604000.0</v>
      </c>
      <c r="BE660" s="2">
        <v>42044.0</v>
      </c>
      <c r="BF660" s="2" t="s">
        <v>8152</v>
      </c>
      <c r="BH660" s="1">
        <v>0.0</v>
      </c>
      <c r="BK660" s="1" t="s">
        <v>204</v>
      </c>
      <c r="BL660" s="1" t="str">
        <f>"3515"</f>
        <v>3515</v>
      </c>
      <c r="BM660" s="1" t="str">
        <f>"0"</f>
        <v>0</v>
      </c>
      <c r="BN660" s="1">
        <v>3100.0</v>
      </c>
      <c r="BO660" s="1">
        <v>0.0</v>
      </c>
      <c r="BQ660" s="1">
        <v>299.0</v>
      </c>
      <c r="BR660" s="1">
        <v>299.0</v>
      </c>
      <c r="BS660" s="1">
        <v>299.0</v>
      </c>
      <c r="BU660" s="1" t="s">
        <v>390</v>
      </c>
      <c r="BV660" s="1" t="s">
        <v>206</v>
      </c>
      <c r="BW660" s="1" t="s">
        <v>207</v>
      </c>
      <c r="BY660" s="1" t="s">
        <v>433</v>
      </c>
      <c r="BZ660" s="1" t="s">
        <v>209</v>
      </c>
      <c r="CA660" s="1" t="s">
        <v>210</v>
      </c>
      <c r="CC660" s="1" t="s">
        <v>392</v>
      </c>
      <c r="CD660" s="1" t="s">
        <v>206</v>
      </c>
      <c r="CE660" s="1" t="s">
        <v>207</v>
      </c>
      <c r="CG660" s="1" t="s">
        <v>543</v>
      </c>
      <c r="CH660" s="1" t="s">
        <v>209</v>
      </c>
      <c r="CI660" s="1" t="s">
        <v>210</v>
      </c>
      <c r="CK660" s="1" t="s">
        <v>264</v>
      </c>
      <c r="CL660" s="1" t="s">
        <v>209</v>
      </c>
      <c r="CM660" s="1" t="s">
        <v>210</v>
      </c>
      <c r="CO660" s="1" t="s">
        <v>212</v>
      </c>
      <c r="CP660" s="1" t="s">
        <v>42</v>
      </c>
      <c r="CQ660" s="1" t="s">
        <v>210</v>
      </c>
      <c r="CS660" s="1" t="s">
        <v>904</v>
      </c>
      <c r="CT660" s="1" t="s">
        <v>206</v>
      </c>
      <c r="CU660" s="1" t="s">
        <v>207</v>
      </c>
      <c r="CW660" s="1" t="s">
        <v>584</v>
      </c>
      <c r="CX660" s="1" t="s">
        <v>206</v>
      </c>
      <c r="CY660" s="1" t="s">
        <v>207</v>
      </c>
      <c r="DA660" s="1" t="s">
        <v>200</v>
      </c>
      <c r="DC660" s="1" t="s">
        <v>642</v>
      </c>
      <c r="DD660" s="1" t="s">
        <v>1976</v>
      </c>
      <c r="DE660" s="1" t="s">
        <v>218</v>
      </c>
      <c r="DF660" s="1" t="s">
        <v>745</v>
      </c>
      <c r="DG660" s="1" t="s">
        <v>482</v>
      </c>
      <c r="DH660" s="1" t="s">
        <v>220</v>
      </c>
      <c r="DI660" s="1" t="s">
        <v>519</v>
      </c>
      <c r="DJ660" s="1" t="s">
        <v>222</v>
      </c>
      <c r="DK660" s="1" t="s">
        <v>223</v>
      </c>
      <c r="DL660" s="1" t="s">
        <v>224</v>
      </c>
      <c r="DM660" s="1" t="s">
        <v>229</v>
      </c>
      <c r="DN660" s="1" t="s">
        <v>339</v>
      </c>
      <c r="DQ660" s="1" t="s">
        <v>228</v>
      </c>
      <c r="DR660" s="1" t="s">
        <v>229</v>
      </c>
      <c r="DU660" s="1" t="s">
        <v>1049</v>
      </c>
      <c r="DV660" s="1" t="s">
        <v>8153</v>
      </c>
      <c r="DW660" s="1" t="s">
        <v>588</v>
      </c>
      <c r="DX660" s="1" t="s">
        <v>234</v>
      </c>
      <c r="DY660" s="1" t="s">
        <v>747</v>
      </c>
      <c r="DZ660" s="1" t="s">
        <v>236</v>
      </c>
      <c r="EC660" s="1" t="s">
        <v>237</v>
      </c>
      <c r="ED660" s="1" t="s">
        <v>555</v>
      </c>
      <c r="EG660" s="1" t="s">
        <v>450</v>
      </c>
      <c r="EH660" s="1" t="s">
        <v>408</v>
      </c>
      <c r="EI660" s="1" t="s">
        <v>720</v>
      </c>
      <c r="EL660" s="1" t="s">
        <v>4560</v>
      </c>
      <c r="EM660" s="1" t="s">
        <v>42</v>
      </c>
      <c r="EN660" s="1" t="s">
        <v>210</v>
      </c>
      <c r="EP660" s="1" t="s">
        <v>4413</v>
      </c>
      <c r="EQ660" s="1" t="s">
        <v>206</v>
      </c>
      <c r="ER660" s="1" t="s">
        <v>207</v>
      </c>
      <c r="ET660" s="1" t="s">
        <v>1746</v>
      </c>
      <c r="EU660" s="1" t="s">
        <v>206</v>
      </c>
      <c r="EV660" s="1" t="s">
        <v>268</v>
      </c>
      <c r="EY660" s="1" t="s">
        <v>238</v>
      </c>
      <c r="FC660" s="1" t="s">
        <v>238</v>
      </c>
      <c r="FF660" s="1" t="s">
        <v>239</v>
      </c>
      <c r="FG660" s="1" t="s">
        <v>192</v>
      </c>
      <c r="FH660" s="1" t="s">
        <v>192</v>
      </c>
      <c r="FJ660" s="1" t="s">
        <v>973</v>
      </c>
      <c r="FK660" s="1" t="s">
        <v>229</v>
      </c>
      <c r="FL660" s="1" t="s">
        <v>734</v>
      </c>
      <c r="FM660" s="1">
        <v>10646.0</v>
      </c>
      <c r="FN660" s="1" t="s">
        <v>735</v>
      </c>
      <c r="FO660" s="1" t="s">
        <v>736</v>
      </c>
      <c r="FP660" s="1">
        <v>139913.0</v>
      </c>
      <c r="FQ660" s="1" t="s">
        <v>737</v>
      </c>
      <c r="FU660" s="1" t="s">
        <v>738</v>
      </c>
      <c r="FV660" s="1" t="s">
        <v>200</v>
      </c>
      <c r="FW660" s="1" t="s">
        <v>530</v>
      </c>
      <c r="FX660" s="1" t="s">
        <v>238</v>
      </c>
      <c r="FZ660" s="1" t="s">
        <v>229</v>
      </c>
      <c r="GA660" s="1" t="s">
        <v>291</v>
      </c>
      <c r="GB660" s="2">
        <v>42112.0</v>
      </c>
    </row>
    <row r="661">
      <c r="A661" s="1">
        <v>430000.0</v>
      </c>
      <c r="B661" s="1" t="s">
        <v>185</v>
      </c>
      <c r="C661" s="1" t="str">
        <f>"08802838"</f>
        <v>08802838</v>
      </c>
      <c r="D661" s="1" t="s">
        <v>186</v>
      </c>
      <c r="F661" s="1" t="str">
        <f>"8038"</f>
        <v>8038</v>
      </c>
      <c r="G661" s="2">
        <v>41989.0</v>
      </c>
      <c r="H661" s="1">
        <v>459900.0</v>
      </c>
      <c r="I661" s="1">
        <v>121.0</v>
      </c>
      <c r="J661" s="1">
        <v>449900.0</v>
      </c>
      <c r="K661" s="2">
        <v>42048.0</v>
      </c>
      <c r="L661" s="1">
        <v>60.0</v>
      </c>
      <c r="M661" s="2">
        <v>42048.0</v>
      </c>
      <c r="N661" s="1" t="s">
        <v>356</v>
      </c>
      <c r="O661" s="2">
        <v>42104.0</v>
      </c>
      <c r="P661" s="1">
        <v>183031.0</v>
      </c>
      <c r="Q661" s="1">
        <v>18649.0</v>
      </c>
      <c r="S661" s="1">
        <v>4546.0</v>
      </c>
      <c r="T661" s="1" t="s">
        <v>8154</v>
      </c>
      <c r="U661" s="1" t="s">
        <v>189</v>
      </c>
      <c r="V661" s="1" t="s">
        <v>190</v>
      </c>
      <c r="W661" s="1">
        <v>60653.0</v>
      </c>
      <c r="Y661" s="1" t="s">
        <v>8155</v>
      </c>
      <c r="Z661" s="1">
        <v>1885.0</v>
      </c>
      <c r="AA661" s="1" t="s">
        <v>192</v>
      </c>
      <c r="AB661" s="1" t="s">
        <v>193</v>
      </c>
      <c r="AD661" s="1" t="s">
        <v>194</v>
      </c>
      <c r="AE661" s="1" t="s">
        <v>195</v>
      </c>
      <c r="AF661" s="1" t="s">
        <v>637</v>
      </c>
      <c r="AG661" s="1" t="s">
        <v>8156</v>
      </c>
      <c r="AH661" s="1" t="s">
        <v>359</v>
      </c>
      <c r="AI661" s="1">
        <v>0.0689</v>
      </c>
      <c r="AK661" s="1">
        <v>8.0</v>
      </c>
      <c r="AL661" s="1">
        <v>3.0</v>
      </c>
      <c r="AM661" s="1">
        <v>3.0</v>
      </c>
      <c r="AN661" s="1">
        <v>1.0</v>
      </c>
      <c r="AO661" s="1" t="s">
        <v>198</v>
      </c>
      <c r="AQ661" s="1" t="s">
        <v>198</v>
      </c>
      <c r="AR661" s="1" t="s">
        <v>192</v>
      </c>
      <c r="AS661" s="1" t="s">
        <v>199</v>
      </c>
      <c r="AT661" s="1">
        <v>2.0</v>
      </c>
      <c r="AV661" s="1" t="s">
        <v>200</v>
      </c>
      <c r="AW661" s="4">
        <v>2316.25</v>
      </c>
      <c r="AX661" s="1">
        <v>2013.0</v>
      </c>
      <c r="AY661" s="1" t="s">
        <v>387</v>
      </c>
      <c r="AZ661" s="1" t="s">
        <v>200</v>
      </c>
      <c r="BA661" s="1" t="str">
        <f>"20034170410000"</f>
        <v>20034170410000</v>
      </c>
      <c r="BC661" s="1">
        <v>0.0</v>
      </c>
      <c r="BD661" s="1">
        <v>430000.0</v>
      </c>
      <c r="BE661" s="2">
        <v>41989.0</v>
      </c>
      <c r="BF661" s="2" t="s">
        <v>8157</v>
      </c>
      <c r="BH661" s="1">
        <v>0.0</v>
      </c>
      <c r="BK661" s="1" t="s">
        <v>204</v>
      </c>
      <c r="BL661" s="1" t="str">
        <f>"0"</f>
        <v>0</v>
      </c>
      <c r="BM661" s="1" t="str">
        <f>"600"</f>
        <v>600</v>
      </c>
      <c r="BN661" s="1">
        <v>0.0</v>
      </c>
      <c r="BO661" s="1">
        <v>4500.0</v>
      </c>
      <c r="BQ661" s="1">
        <v>299.0</v>
      </c>
      <c r="BR661" s="1">
        <v>299.0</v>
      </c>
      <c r="BS661" s="1">
        <v>299.0</v>
      </c>
      <c r="BU661" s="1" t="s">
        <v>6175</v>
      </c>
      <c r="BV661" s="1" t="s">
        <v>206</v>
      </c>
      <c r="BW661" s="1" t="s">
        <v>207</v>
      </c>
      <c r="BX661" s="1" t="s">
        <v>229</v>
      </c>
      <c r="BY661" s="1" t="s">
        <v>1064</v>
      </c>
      <c r="BZ661" s="1" t="s">
        <v>209</v>
      </c>
      <c r="CA661" s="1" t="s">
        <v>207</v>
      </c>
      <c r="CC661" s="1" t="s">
        <v>478</v>
      </c>
      <c r="CD661" s="1" t="s">
        <v>206</v>
      </c>
      <c r="CE661" s="1" t="s">
        <v>207</v>
      </c>
      <c r="CF661" s="1" t="s">
        <v>229</v>
      </c>
      <c r="CG661" s="1" t="s">
        <v>1229</v>
      </c>
      <c r="CH661" s="1" t="s">
        <v>209</v>
      </c>
      <c r="CI661" s="1" t="s">
        <v>207</v>
      </c>
      <c r="CK661" s="1" t="s">
        <v>1352</v>
      </c>
      <c r="CL661" s="1" t="s">
        <v>42</v>
      </c>
      <c r="CM661" s="1" t="s">
        <v>210</v>
      </c>
      <c r="CO661" s="1" t="s">
        <v>1351</v>
      </c>
      <c r="CP661" s="1" t="s">
        <v>209</v>
      </c>
      <c r="CQ661" s="1" t="s">
        <v>207</v>
      </c>
      <c r="CS661" s="1" t="s">
        <v>304</v>
      </c>
      <c r="CT661" s="1" t="s">
        <v>206</v>
      </c>
      <c r="CU661" s="1" t="s">
        <v>207</v>
      </c>
      <c r="CV661" s="1" t="s">
        <v>229</v>
      </c>
      <c r="CW661" s="1" t="s">
        <v>2442</v>
      </c>
      <c r="CX661" s="1" t="s">
        <v>42</v>
      </c>
      <c r="CY661" s="1" t="s">
        <v>210</v>
      </c>
      <c r="DA661" s="1" t="s">
        <v>200</v>
      </c>
      <c r="DC661" s="1" t="s">
        <v>642</v>
      </c>
      <c r="DD661" s="1" t="s">
        <v>436</v>
      </c>
      <c r="DE661" s="1" t="s">
        <v>273</v>
      </c>
      <c r="DF661" s="1" t="s">
        <v>619</v>
      </c>
      <c r="DG661" s="1" t="s">
        <v>1160</v>
      </c>
      <c r="DH661" s="1" t="s">
        <v>365</v>
      </c>
      <c r="DI661" s="1" t="s">
        <v>366</v>
      </c>
      <c r="DJ661" s="1" t="s">
        <v>222</v>
      </c>
      <c r="DK661" s="1" t="s">
        <v>223</v>
      </c>
      <c r="DL661" s="1" t="s">
        <v>224</v>
      </c>
      <c r="DM661" s="1" t="s">
        <v>229</v>
      </c>
      <c r="DN661" s="1" t="s">
        <v>399</v>
      </c>
      <c r="DO661" s="1" t="s">
        <v>717</v>
      </c>
      <c r="DP661" s="1" t="s">
        <v>340</v>
      </c>
      <c r="DQ661" s="1" t="s">
        <v>228</v>
      </c>
      <c r="DR661" s="1" t="s">
        <v>229</v>
      </c>
      <c r="DS661" s="1" t="s">
        <v>591</v>
      </c>
      <c r="DU661" s="1" t="s">
        <v>550</v>
      </c>
      <c r="DV661" s="1" t="s">
        <v>232</v>
      </c>
      <c r="DW661" s="1" t="s">
        <v>279</v>
      </c>
      <c r="DX661" s="1" t="s">
        <v>234</v>
      </c>
      <c r="DY661" s="1" t="s">
        <v>281</v>
      </c>
      <c r="DZ661" s="1" t="s">
        <v>1100</v>
      </c>
      <c r="EA661" s="1" t="s">
        <v>5127</v>
      </c>
      <c r="EC661" s="1" t="s">
        <v>237</v>
      </c>
      <c r="ED661" s="1" t="s">
        <v>1406</v>
      </c>
      <c r="EE661" s="1" t="s">
        <v>493</v>
      </c>
      <c r="EM661" s="1" t="s">
        <v>238</v>
      </c>
      <c r="EQ661" s="1" t="s">
        <v>238</v>
      </c>
      <c r="EU661" s="1" t="s">
        <v>238</v>
      </c>
      <c r="EY661" s="1" t="s">
        <v>238</v>
      </c>
      <c r="FC661" s="1" t="s">
        <v>238</v>
      </c>
      <c r="FF661" s="1" t="s">
        <v>239</v>
      </c>
      <c r="FG661" s="1" t="s">
        <v>192</v>
      </c>
      <c r="FH661" s="1" t="s">
        <v>192</v>
      </c>
      <c r="FJ661" s="1" t="s">
        <v>8158</v>
      </c>
      <c r="FK661" s="1" t="s">
        <v>229</v>
      </c>
      <c r="FL661" s="1" t="s">
        <v>2469</v>
      </c>
      <c r="FM661" s="1">
        <v>84992.0</v>
      </c>
      <c r="FN661" s="1" t="s">
        <v>2470</v>
      </c>
      <c r="FO661" s="1" t="s">
        <v>2471</v>
      </c>
      <c r="FP661" s="1">
        <v>113209.0</v>
      </c>
      <c r="FQ661" s="1" t="s">
        <v>2472</v>
      </c>
      <c r="FU661" s="1" t="s">
        <v>8159</v>
      </c>
      <c r="FV661" s="1" t="s">
        <v>200</v>
      </c>
      <c r="FW661" s="1" t="s">
        <v>290</v>
      </c>
      <c r="FX661" s="1" t="s">
        <v>655</v>
      </c>
      <c r="FZ661" s="1" t="s">
        <v>229</v>
      </c>
      <c r="GA661" s="1" t="s">
        <v>291</v>
      </c>
      <c r="GB661" s="2">
        <v>42116.0</v>
      </c>
      <c r="GC661" s="1" t="s">
        <v>8160</v>
      </c>
    </row>
    <row r="662">
      <c r="A662" s="1">
        <v>650000.0</v>
      </c>
      <c r="B662" s="1" t="s">
        <v>185</v>
      </c>
      <c r="C662" s="1" t="str">
        <f>"08814589"</f>
        <v>08814589</v>
      </c>
      <c r="D662" s="1" t="s">
        <v>186</v>
      </c>
      <c r="F662" s="1" t="str">
        <f>"8016"</f>
        <v>8016</v>
      </c>
      <c r="G662" s="2">
        <v>42016.0</v>
      </c>
      <c r="H662" s="1">
        <v>649900.0</v>
      </c>
      <c r="I662" s="1">
        <v>3.0</v>
      </c>
      <c r="J662" s="1">
        <v>649900.0</v>
      </c>
      <c r="K662" s="2">
        <v>42018.0</v>
      </c>
      <c r="L662" s="1">
        <v>3.0</v>
      </c>
      <c r="M662" s="2">
        <v>42018.0</v>
      </c>
      <c r="N662" s="1" t="s">
        <v>187</v>
      </c>
      <c r="O662" s="2">
        <v>42062.0</v>
      </c>
      <c r="P662" s="1">
        <v>179854.0</v>
      </c>
      <c r="Q662" s="1">
        <v>18705.0</v>
      </c>
      <c r="R662" s="1">
        <v>10000.0</v>
      </c>
      <c r="S662" s="1">
        <v>3821.0</v>
      </c>
      <c r="T662" s="1" t="s">
        <v>739</v>
      </c>
      <c r="U662" s="1" t="s">
        <v>189</v>
      </c>
      <c r="V662" s="1" t="s">
        <v>190</v>
      </c>
      <c r="W662" s="1">
        <v>60618.0</v>
      </c>
      <c r="Y662" s="1" t="s">
        <v>2191</v>
      </c>
      <c r="Z662" s="1">
        <v>2015.0</v>
      </c>
      <c r="AA662" s="1" t="s">
        <v>200</v>
      </c>
      <c r="AB662" s="1" t="s">
        <v>193</v>
      </c>
      <c r="AD662" s="1" t="s">
        <v>194</v>
      </c>
      <c r="AE662" s="1" t="s">
        <v>195</v>
      </c>
      <c r="AF662" s="1" t="s">
        <v>196</v>
      </c>
      <c r="AH662" s="1" t="s">
        <v>359</v>
      </c>
      <c r="AK662" s="1">
        <v>9.0</v>
      </c>
      <c r="AL662" s="1">
        <v>3.0</v>
      </c>
      <c r="AM662" s="1">
        <v>3.0</v>
      </c>
      <c r="AN662" s="1">
        <v>1.0</v>
      </c>
      <c r="AO662" s="1" t="s">
        <v>198</v>
      </c>
      <c r="AP662" s="1">
        <v>1.0</v>
      </c>
      <c r="AQ662" s="1" t="s">
        <v>198</v>
      </c>
      <c r="AR662" s="1" t="s">
        <v>192</v>
      </c>
      <c r="AS662" s="1" t="s">
        <v>199</v>
      </c>
      <c r="AT662" s="1">
        <v>2.0</v>
      </c>
      <c r="AV662" s="1" t="s">
        <v>200</v>
      </c>
      <c r="AW662" s="1" t="s">
        <v>575</v>
      </c>
      <c r="AX662" s="1">
        <v>2013.0</v>
      </c>
      <c r="AZ662" s="1" t="s">
        <v>200</v>
      </c>
      <c r="BA662" s="1" t="str">
        <f>"13232140000000"</f>
        <v>13232140000000</v>
      </c>
      <c r="BC662" s="1">
        <v>3200.0</v>
      </c>
      <c r="BD662" s="1">
        <v>650000.0</v>
      </c>
      <c r="BE662" s="2">
        <v>42016.0</v>
      </c>
      <c r="BF662" s="2" t="s">
        <v>8161</v>
      </c>
      <c r="BH662" s="1">
        <v>0.0</v>
      </c>
      <c r="BK662" s="1" t="s">
        <v>204</v>
      </c>
      <c r="BL662" s="1" t="str">
        <f>"3821"</f>
        <v>3821</v>
      </c>
      <c r="BM662" s="1" t="str">
        <f>"0"</f>
        <v>0</v>
      </c>
      <c r="BN662" s="1">
        <v>3300.0</v>
      </c>
      <c r="BO662" s="1">
        <v>0.0</v>
      </c>
      <c r="BQ662" s="1">
        <v>299.0</v>
      </c>
      <c r="BR662" s="1">
        <v>299.0</v>
      </c>
      <c r="BS662" s="1">
        <v>299.0</v>
      </c>
      <c r="BU662" s="1" t="s">
        <v>616</v>
      </c>
      <c r="BV662" s="1" t="s">
        <v>206</v>
      </c>
      <c r="BW662" s="1" t="s">
        <v>207</v>
      </c>
      <c r="BY662" s="1" t="s">
        <v>329</v>
      </c>
      <c r="BZ662" s="1" t="s">
        <v>209</v>
      </c>
      <c r="CA662" s="1" t="s">
        <v>210</v>
      </c>
      <c r="CC662" s="1" t="s">
        <v>392</v>
      </c>
      <c r="CD662" s="1" t="s">
        <v>206</v>
      </c>
      <c r="CE662" s="1" t="s">
        <v>207</v>
      </c>
      <c r="CG662" s="1" t="s">
        <v>332</v>
      </c>
      <c r="CH662" s="1" t="s">
        <v>209</v>
      </c>
      <c r="CI662" s="1" t="s">
        <v>210</v>
      </c>
      <c r="CK662" s="1" t="s">
        <v>262</v>
      </c>
      <c r="CL662" s="1" t="s">
        <v>209</v>
      </c>
      <c r="CM662" s="1" t="s">
        <v>210</v>
      </c>
      <c r="CO662" s="1" t="s">
        <v>363</v>
      </c>
      <c r="CP662" s="1" t="s">
        <v>42</v>
      </c>
      <c r="CQ662" s="1" t="s">
        <v>210</v>
      </c>
      <c r="CS662" s="1" t="s">
        <v>361</v>
      </c>
      <c r="CT662" s="1" t="s">
        <v>206</v>
      </c>
      <c r="CU662" s="1" t="s">
        <v>207</v>
      </c>
      <c r="CW662" s="1" t="s">
        <v>743</v>
      </c>
      <c r="CX662" s="1" t="s">
        <v>206</v>
      </c>
      <c r="CY662" s="1" t="s">
        <v>207</v>
      </c>
      <c r="DA662" s="1" t="s">
        <v>192</v>
      </c>
      <c r="DB662" s="2">
        <v>42019.0</v>
      </c>
      <c r="DC662" s="1" t="s">
        <v>1353</v>
      </c>
      <c r="DE662" s="1" t="s">
        <v>218</v>
      </c>
      <c r="DF662" s="1" t="s">
        <v>745</v>
      </c>
      <c r="DG662" s="1" t="s">
        <v>482</v>
      </c>
      <c r="DH662" s="1" t="s">
        <v>220</v>
      </c>
      <c r="DI662" s="1" t="s">
        <v>519</v>
      </c>
      <c r="DJ662" s="1" t="s">
        <v>222</v>
      </c>
      <c r="DK662" s="1" t="s">
        <v>223</v>
      </c>
      <c r="DL662" s="1" t="s">
        <v>224</v>
      </c>
      <c r="DM662" s="1" t="s">
        <v>229</v>
      </c>
      <c r="DN662" s="1" t="s">
        <v>485</v>
      </c>
      <c r="DP662" s="1" t="s">
        <v>276</v>
      </c>
      <c r="DQ662" s="1" t="s">
        <v>228</v>
      </c>
      <c r="DR662" s="1" t="s">
        <v>229</v>
      </c>
      <c r="DU662" s="1" t="s">
        <v>746</v>
      </c>
      <c r="DV662" s="1" t="s">
        <v>450</v>
      </c>
      <c r="DW662" s="1" t="s">
        <v>588</v>
      </c>
      <c r="DX662" s="1" t="s">
        <v>234</v>
      </c>
      <c r="DY662" s="1" t="s">
        <v>747</v>
      </c>
      <c r="DZ662" s="1" t="s">
        <v>310</v>
      </c>
      <c r="EB662" s="1" t="s">
        <v>492</v>
      </c>
      <c r="EC662" s="1" t="s">
        <v>237</v>
      </c>
      <c r="ED662" s="1" t="s">
        <v>555</v>
      </c>
      <c r="EG662" s="1" t="s">
        <v>450</v>
      </c>
      <c r="EL662" s="1" t="s">
        <v>748</v>
      </c>
      <c r="EM662" s="1" t="s">
        <v>42</v>
      </c>
      <c r="EN662" s="1" t="s">
        <v>210</v>
      </c>
      <c r="EQ662" s="1" t="s">
        <v>238</v>
      </c>
      <c r="EU662" s="1" t="s">
        <v>238</v>
      </c>
      <c r="EY662" s="1" t="s">
        <v>238</v>
      </c>
      <c r="FC662" s="1" t="s">
        <v>238</v>
      </c>
      <c r="FF662" s="1" t="s">
        <v>239</v>
      </c>
      <c r="FG662" s="1" t="s">
        <v>192</v>
      </c>
      <c r="FH662" s="1" t="s">
        <v>192</v>
      </c>
      <c r="FJ662" s="1" t="s">
        <v>8162</v>
      </c>
      <c r="FK662" s="1" t="s">
        <v>229</v>
      </c>
      <c r="FL662" s="1" t="s">
        <v>734</v>
      </c>
      <c r="FM662" s="1">
        <v>10646.0</v>
      </c>
      <c r="FN662" s="1" t="s">
        <v>735</v>
      </c>
      <c r="FO662" s="1" t="s">
        <v>736</v>
      </c>
      <c r="FP662" s="1">
        <v>139913.0</v>
      </c>
      <c r="FQ662" s="1" t="s">
        <v>737</v>
      </c>
      <c r="FU662" s="1" t="s">
        <v>738</v>
      </c>
      <c r="FV662" s="1" t="s">
        <v>200</v>
      </c>
      <c r="FW662" s="1" t="s">
        <v>530</v>
      </c>
      <c r="FX662" s="1" t="s">
        <v>238</v>
      </c>
      <c r="FZ662" s="1" t="s">
        <v>229</v>
      </c>
      <c r="GA662" s="1" t="s">
        <v>291</v>
      </c>
      <c r="GB662" s="2">
        <v>42062.0</v>
      </c>
      <c r="GC662" s="1" t="s">
        <v>8163</v>
      </c>
    </row>
    <row r="663">
      <c r="A663" s="1">
        <v>230000.0</v>
      </c>
      <c r="B663" s="1" t="s">
        <v>185</v>
      </c>
      <c r="C663" s="1" t="str">
        <f>"08803798"</f>
        <v>08803798</v>
      </c>
      <c r="D663" s="1" t="s">
        <v>186</v>
      </c>
      <c r="F663" s="1" t="str">
        <f>"178"</f>
        <v>178</v>
      </c>
      <c r="G663" s="2">
        <v>41991.0</v>
      </c>
      <c r="H663" s="1">
        <v>235000.0</v>
      </c>
      <c r="I663" s="1">
        <v>4.0</v>
      </c>
      <c r="J663" s="1">
        <v>235000.0</v>
      </c>
      <c r="K663" s="2">
        <v>41994.0</v>
      </c>
      <c r="L663" s="1">
        <v>4.0</v>
      </c>
      <c r="M663" s="2">
        <v>41994.0</v>
      </c>
      <c r="N663" s="1" t="s">
        <v>187</v>
      </c>
      <c r="O663" s="2">
        <v>42048.0</v>
      </c>
      <c r="P663" s="1">
        <v>930149.0</v>
      </c>
      <c r="Q663" s="1">
        <v>93043.0</v>
      </c>
      <c r="S663" s="1">
        <v>1169.0</v>
      </c>
      <c r="T663" s="1" t="s">
        <v>8164</v>
      </c>
      <c r="U663" s="1" t="s">
        <v>320</v>
      </c>
      <c r="V663" s="1" t="s">
        <v>994</v>
      </c>
      <c r="W663" s="1">
        <v>60178.0</v>
      </c>
      <c r="Y663" s="1" t="s">
        <v>8165</v>
      </c>
      <c r="Z663" s="1">
        <v>2006.0</v>
      </c>
      <c r="AA663" s="1" t="s">
        <v>200</v>
      </c>
      <c r="AB663" s="1" t="s">
        <v>193</v>
      </c>
      <c r="AC663" s="1" t="s">
        <v>8166</v>
      </c>
      <c r="AD663" s="1" t="s">
        <v>997</v>
      </c>
      <c r="AE663" s="1" t="s">
        <v>613</v>
      </c>
      <c r="AF663" s="1" t="s">
        <v>997</v>
      </c>
      <c r="AH663" s="1" t="s">
        <v>8167</v>
      </c>
      <c r="AI663" s="1">
        <v>0.25</v>
      </c>
      <c r="AK663" s="1">
        <v>9.0</v>
      </c>
      <c r="AL663" s="1">
        <v>3.0</v>
      </c>
      <c r="AM663" s="1">
        <v>3.0</v>
      </c>
      <c r="AN663" s="1">
        <v>1.0</v>
      </c>
      <c r="AO663" s="1" t="s">
        <v>198</v>
      </c>
      <c r="AP663" s="1">
        <v>1.0</v>
      </c>
      <c r="AQ663" s="1" t="s">
        <v>198</v>
      </c>
      <c r="AR663" s="1" t="s">
        <v>192</v>
      </c>
      <c r="AS663" s="1" t="s">
        <v>199</v>
      </c>
      <c r="AT663" s="1">
        <v>2.0</v>
      </c>
      <c r="AV663" s="1" t="s">
        <v>200</v>
      </c>
      <c r="AW663" s="1">
        <v>6816.2</v>
      </c>
      <c r="AX663" s="1">
        <v>2013.0</v>
      </c>
      <c r="AY663" s="1" t="s">
        <v>852</v>
      </c>
      <c r="AZ663" s="1" t="s">
        <v>200</v>
      </c>
      <c r="BA663" s="1" t="str">
        <f>"0628329031"</f>
        <v>0628329031</v>
      </c>
      <c r="BB663" s="1" t="s">
        <v>200</v>
      </c>
      <c r="BC663" s="1">
        <v>1961.0</v>
      </c>
      <c r="BD663" s="1">
        <v>230000.0</v>
      </c>
      <c r="BE663" s="2">
        <v>41991.0</v>
      </c>
      <c r="BF663" s="2" t="s">
        <v>8168</v>
      </c>
      <c r="BH663" s="1">
        <v>0.0</v>
      </c>
      <c r="BJ663" s="1" t="s">
        <v>4136</v>
      </c>
      <c r="BK663" s="1" t="s">
        <v>204</v>
      </c>
      <c r="BL663" s="1" t="str">
        <f t="shared" ref="BL663:BM663" si="443">""</f>
        <v/>
      </c>
      <c r="BM663" s="1" t="str">
        <f t="shared" si="443"/>
        <v/>
      </c>
      <c r="BQ663" s="1">
        <v>427.0</v>
      </c>
      <c r="BR663" s="1">
        <v>427.0</v>
      </c>
      <c r="BS663" s="1">
        <v>427.0</v>
      </c>
      <c r="BU663" s="1" t="s">
        <v>2120</v>
      </c>
      <c r="BV663" s="1" t="s">
        <v>206</v>
      </c>
      <c r="BW663" s="1" t="s">
        <v>210</v>
      </c>
      <c r="BX663" s="1" t="s">
        <v>239</v>
      </c>
      <c r="BY663" s="1" t="s">
        <v>390</v>
      </c>
      <c r="BZ663" s="1" t="s">
        <v>209</v>
      </c>
      <c r="CA663" s="1" t="s">
        <v>210</v>
      </c>
      <c r="CB663" s="1" t="s">
        <v>239</v>
      </c>
      <c r="CC663" s="1" t="s">
        <v>264</v>
      </c>
      <c r="CD663" s="1" t="s">
        <v>206</v>
      </c>
      <c r="CE663" s="1" t="s">
        <v>207</v>
      </c>
      <c r="CF663" s="1" t="s">
        <v>239</v>
      </c>
      <c r="CG663" s="1" t="s">
        <v>495</v>
      </c>
      <c r="CH663" s="1" t="s">
        <v>209</v>
      </c>
      <c r="CI663" s="1" t="s">
        <v>210</v>
      </c>
      <c r="CJ663" s="1" t="s">
        <v>239</v>
      </c>
      <c r="CK663" s="1" t="s">
        <v>269</v>
      </c>
      <c r="CL663" s="1" t="s">
        <v>209</v>
      </c>
      <c r="CM663" s="1" t="s">
        <v>210</v>
      </c>
      <c r="CN663" s="1" t="s">
        <v>239</v>
      </c>
      <c r="CO663" s="1" t="s">
        <v>392</v>
      </c>
      <c r="CP663" s="1" t="s">
        <v>42</v>
      </c>
      <c r="CQ663" s="1" t="s">
        <v>210</v>
      </c>
      <c r="CR663" s="1" t="s">
        <v>239</v>
      </c>
      <c r="CS663" s="1" t="s">
        <v>212</v>
      </c>
      <c r="CT663" s="1" t="s">
        <v>206</v>
      </c>
      <c r="CU663" s="1" t="s">
        <v>207</v>
      </c>
      <c r="CV663" s="1" t="s">
        <v>239</v>
      </c>
      <c r="CW663" s="1" t="s">
        <v>2120</v>
      </c>
      <c r="CX663" s="1" t="s">
        <v>42</v>
      </c>
      <c r="CY663" s="1" t="s">
        <v>210</v>
      </c>
      <c r="CZ663" s="1" t="s">
        <v>229</v>
      </c>
      <c r="DA663" s="1" t="s">
        <v>200</v>
      </c>
      <c r="DC663" s="1" t="s">
        <v>481</v>
      </c>
      <c r="DD663" s="1" t="s">
        <v>396</v>
      </c>
      <c r="DE663" s="1" t="s">
        <v>273</v>
      </c>
      <c r="DF663" s="1" t="s">
        <v>219</v>
      </c>
      <c r="DG663" s="1" t="s">
        <v>337</v>
      </c>
      <c r="DH663" s="1" t="s">
        <v>220</v>
      </c>
      <c r="DI663" s="1" t="s">
        <v>221</v>
      </c>
      <c r="DJ663" s="1" t="s">
        <v>222</v>
      </c>
      <c r="DK663" s="1" t="s">
        <v>1869</v>
      </c>
      <c r="DL663" s="1" t="s">
        <v>224</v>
      </c>
      <c r="DM663" s="1" t="s">
        <v>1268</v>
      </c>
      <c r="DN663" s="1" t="s">
        <v>399</v>
      </c>
      <c r="DO663" s="1" t="s">
        <v>717</v>
      </c>
      <c r="DP663" s="1" t="s">
        <v>340</v>
      </c>
      <c r="DQ663" s="1" t="s">
        <v>441</v>
      </c>
      <c r="DR663" s="1" t="s">
        <v>229</v>
      </c>
      <c r="DS663" s="1" t="s">
        <v>230</v>
      </c>
      <c r="DU663" s="1" t="s">
        <v>8169</v>
      </c>
      <c r="DV663" s="1" t="s">
        <v>2071</v>
      </c>
      <c r="DW663" s="1" t="s">
        <v>444</v>
      </c>
      <c r="DX663" s="1" t="s">
        <v>280</v>
      </c>
      <c r="DY663" s="1" t="s">
        <v>490</v>
      </c>
      <c r="DZ663" s="1" t="s">
        <v>8170</v>
      </c>
      <c r="EA663" s="1" t="s">
        <v>1027</v>
      </c>
      <c r="EB663" s="1" t="s">
        <v>492</v>
      </c>
      <c r="EC663" s="1" t="s">
        <v>237</v>
      </c>
      <c r="ED663" s="1" t="s">
        <v>1406</v>
      </c>
      <c r="EE663" s="1" t="s">
        <v>1077</v>
      </c>
      <c r="EG663" s="1" t="s">
        <v>449</v>
      </c>
      <c r="EH663" s="1" t="s">
        <v>408</v>
      </c>
      <c r="EL663" s="1" t="s">
        <v>269</v>
      </c>
      <c r="EM663" s="1" t="s">
        <v>206</v>
      </c>
      <c r="EN663" s="1" t="s">
        <v>207</v>
      </c>
      <c r="EO663" s="1" t="s">
        <v>239</v>
      </c>
      <c r="EP663" s="1" t="s">
        <v>2047</v>
      </c>
      <c r="EQ663" s="1" t="s">
        <v>206</v>
      </c>
      <c r="ER663" s="1" t="s">
        <v>207</v>
      </c>
      <c r="ES663" s="1" t="s">
        <v>239</v>
      </c>
      <c r="EU663" s="1" t="s">
        <v>238</v>
      </c>
      <c r="EY663" s="1" t="s">
        <v>238</v>
      </c>
      <c r="FC663" s="1" t="s">
        <v>238</v>
      </c>
      <c r="FF663" s="1" t="s">
        <v>239</v>
      </c>
      <c r="FG663" s="1" t="s">
        <v>192</v>
      </c>
      <c r="FH663" s="1" t="s">
        <v>192</v>
      </c>
      <c r="FJ663" s="1" t="s">
        <v>2552</v>
      </c>
      <c r="FK663" s="1" t="s">
        <v>229</v>
      </c>
      <c r="FL663" s="1" t="s">
        <v>1007</v>
      </c>
      <c r="FM663" s="1">
        <v>93043.0</v>
      </c>
      <c r="FN663" s="1" t="s">
        <v>1008</v>
      </c>
      <c r="FO663" s="1" t="s">
        <v>4141</v>
      </c>
      <c r="FP663" s="1">
        <v>930149.0</v>
      </c>
      <c r="FQ663" s="1" t="s">
        <v>4142</v>
      </c>
      <c r="FS663" s="1" t="s">
        <v>4143</v>
      </c>
      <c r="FU663" s="1" t="s">
        <v>8171</v>
      </c>
      <c r="FV663" s="1" t="s">
        <v>200</v>
      </c>
      <c r="FW663" s="1" t="s">
        <v>8172</v>
      </c>
      <c r="FZ663" s="1" t="s">
        <v>229</v>
      </c>
      <c r="GA663" s="1" t="s">
        <v>291</v>
      </c>
      <c r="GB663" s="2">
        <v>42049.0</v>
      </c>
      <c r="GC663" s="1" t="s">
        <v>8173</v>
      </c>
    </row>
    <row r="664">
      <c r="A664" s="1">
        <v>470000.0</v>
      </c>
      <c r="B664" s="1" t="s">
        <v>185</v>
      </c>
      <c r="C664" s="1" t="str">
        <f>"08804389"</f>
        <v>08804389</v>
      </c>
      <c r="D664" s="1" t="s">
        <v>186</v>
      </c>
      <c r="F664" s="1" t="str">
        <f>"134"</f>
        <v>134</v>
      </c>
      <c r="G664" s="2">
        <v>41992.0</v>
      </c>
      <c r="H664" s="1">
        <v>475000.0</v>
      </c>
      <c r="I664" s="1">
        <v>248.0</v>
      </c>
      <c r="J664" s="1">
        <v>475000.0</v>
      </c>
      <c r="K664" s="2">
        <v>42020.0</v>
      </c>
      <c r="L664" s="1">
        <v>29.0</v>
      </c>
      <c r="M664" s="2">
        <v>42020.0</v>
      </c>
      <c r="N664" s="1" t="s">
        <v>187</v>
      </c>
      <c r="O664" s="2">
        <v>42053.0</v>
      </c>
      <c r="P664" s="1">
        <v>30.0</v>
      </c>
      <c r="Q664" s="1">
        <v>49.0</v>
      </c>
      <c r="S664" s="1" t="s">
        <v>8174</v>
      </c>
      <c r="T664" s="1" t="s">
        <v>8175</v>
      </c>
      <c r="U664" s="1" t="s">
        <v>1015</v>
      </c>
      <c r="V664" s="1" t="s">
        <v>421</v>
      </c>
      <c r="W664" s="1">
        <v>60134.0</v>
      </c>
      <c r="Y664" s="1" t="s">
        <v>8176</v>
      </c>
      <c r="Z664" s="1">
        <v>2004.0</v>
      </c>
      <c r="AA664" s="1" t="s">
        <v>200</v>
      </c>
      <c r="AB664" s="1" t="s">
        <v>193</v>
      </c>
      <c r="AC664" s="1" t="s">
        <v>1596</v>
      </c>
      <c r="AD664" s="1" t="s">
        <v>424</v>
      </c>
      <c r="AE664" s="1" t="s">
        <v>325</v>
      </c>
      <c r="AF664" s="1" t="s">
        <v>1479</v>
      </c>
      <c r="AG664" s="1" t="s">
        <v>8177</v>
      </c>
      <c r="AH664" s="1">
        <v>13207.0</v>
      </c>
      <c r="AI664" s="1">
        <v>0.3174</v>
      </c>
      <c r="AK664" s="1">
        <v>10.0</v>
      </c>
      <c r="AL664" s="1">
        <v>4.0</v>
      </c>
      <c r="AM664" s="1">
        <v>4.0</v>
      </c>
      <c r="AN664" s="1">
        <v>0.0</v>
      </c>
      <c r="AO664" s="1" t="s">
        <v>198</v>
      </c>
      <c r="AP664" s="1">
        <v>1.0</v>
      </c>
      <c r="AQ664" s="1" t="s">
        <v>472</v>
      </c>
      <c r="AR664" s="1" t="s">
        <v>200</v>
      </c>
      <c r="AS664" s="1" t="s">
        <v>199</v>
      </c>
      <c r="AT664" s="1">
        <v>3.0</v>
      </c>
      <c r="AV664" s="1" t="s">
        <v>200</v>
      </c>
      <c r="AW664" s="1">
        <v>16437.2</v>
      </c>
      <c r="AX664" s="1">
        <v>2013.0</v>
      </c>
      <c r="AY664" s="1" t="s">
        <v>387</v>
      </c>
      <c r="AZ664" s="1" t="s">
        <v>545</v>
      </c>
      <c r="BA664" s="1" t="str">
        <f>"1113130010"</f>
        <v>1113130010</v>
      </c>
      <c r="BC664" s="1">
        <v>3568.0</v>
      </c>
      <c r="BD664" s="1">
        <v>470000.0</v>
      </c>
      <c r="BE664" s="2">
        <v>41992.0</v>
      </c>
      <c r="BF664" s="2" t="s">
        <v>8178</v>
      </c>
      <c r="BH664" s="1">
        <v>0.0</v>
      </c>
      <c r="BK664" s="1" t="s">
        <v>204</v>
      </c>
      <c r="BL664" s="1" t="str">
        <f t="shared" ref="BL664:BM664" si="444">""</f>
        <v/>
      </c>
      <c r="BM664" s="1" t="str">
        <f t="shared" si="444"/>
        <v/>
      </c>
      <c r="BQ664" s="1">
        <v>304.0</v>
      </c>
      <c r="BR664" s="1">
        <v>304.0</v>
      </c>
      <c r="BS664" s="1">
        <v>304.0</v>
      </c>
      <c r="BU664" s="1" t="s">
        <v>361</v>
      </c>
      <c r="BV664" s="1" t="s">
        <v>206</v>
      </c>
      <c r="BW664" s="1" t="s">
        <v>210</v>
      </c>
      <c r="BY664" s="1" t="s">
        <v>7715</v>
      </c>
      <c r="BZ664" s="1" t="s">
        <v>209</v>
      </c>
      <c r="CA664" s="1" t="s">
        <v>210</v>
      </c>
      <c r="CC664" s="1" t="s">
        <v>584</v>
      </c>
      <c r="CD664" s="1" t="s">
        <v>206</v>
      </c>
      <c r="CE664" s="1" t="s">
        <v>210</v>
      </c>
      <c r="CG664" s="1" t="s">
        <v>584</v>
      </c>
      <c r="CH664" s="1" t="s">
        <v>209</v>
      </c>
      <c r="CI664" s="1" t="s">
        <v>210</v>
      </c>
      <c r="CK664" s="1" t="s">
        <v>584</v>
      </c>
      <c r="CL664" s="1" t="s">
        <v>209</v>
      </c>
      <c r="CM664" s="1" t="s">
        <v>210</v>
      </c>
      <c r="CO664" s="1" t="s">
        <v>215</v>
      </c>
      <c r="CP664" s="1" t="s">
        <v>209</v>
      </c>
      <c r="CQ664" s="1" t="s">
        <v>210</v>
      </c>
      <c r="CS664" s="1" t="s">
        <v>3092</v>
      </c>
      <c r="CT664" s="1" t="s">
        <v>206</v>
      </c>
      <c r="CU664" s="1" t="s">
        <v>207</v>
      </c>
      <c r="CW664" s="1" t="s">
        <v>330</v>
      </c>
      <c r="CX664" s="1" t="s">
        <v>206</v>
      </c>
      <c r="CY664" s="1" t="s">
        <v>207</v>
      </c>
      <c r="DA664" s="1" t="s">
        <v>200</v>
      </c>
      <c r="DC664" s="1" t="s">
        <v>481</v>
      </c>
      <c r="DD664" s="1" t="s">
        <v>336</v>
      </c>
      <c r="DE664" s="1" t="s">
        <v>1810</v>
      </c>
      <c r="DF664" s="1" t="s">
        <v>219</v>
      </c>
      <c r="DG664" s="1" t="s">
        <v>1002</v>
      </c>
      <c r="DH664" s="1" t="s">
        <v>220</v>
      </c>
      <c r="DI664" s="1" t="s">
        <v>8179</v>
      </c>
      <c r="DJ664" s="1" t="s">
        <v>222</v>
      </c>
      <c r="DK664" s="1" t="s">
        <v>223</v>
      </c>
      <c r="DL664" s="1" t="s">
        <v>484</v>
      </c>
      <c r="DM664" s="1" t="s">
        <v>929</v>
      </c>
      <c r="DN664" s="1" t="s">
        <v>1721</v>
      </c>
      <c r="DO664" s="1" t="s">
        <v>8180</v>
      </c>
      <c r="DP664" s="1" t="s">
        <v>340</v>
      </c>
      <c r="DQ664" s="1" t="s">
        <v>441</v>
      </c>
      <c r="DR664" s="1" t="s">
        <v>229</v>
      </c>
      <c r="DS664" s="1" t="s">
        <v>368</v>
      </c>
      <c r="DU664" s="1" t="s">
        <v>8181</v>
      </c>
      <c r="DV664" s="1" t="s">
        <v>8182</v>
      </c>
      <c r="DW664" s="1" t="s">
        <v>1957</v>
      </c>
      <c r="DX664" s="1" t="s">
        <v>234</v>
      </c>
      <c r="DY664" s="1" t="s">
        <v>7470</v>
      </c>
      <c r="DZ664" s="1" t="s">
        <v>310</v>
      </c>
      <c r="EA664" s="1" t="s">
        <v>344</v>
      </c>
      <c r="EB664" s="1" t="s">
        <v>767</v>
      </c>
      <c r="EC664" s="1" t="s">
        <v>237</v>
      </c>
      <c r="ED664" s="1" t="s">
        <v>407</v>
      </c>
      <c r="EG664" s="1" t="s">
        <v>494</v>
      </c>
      <c r="EH664" s="1" t="s">
        <v>598</v>
      </c>
      <c r="EI664" s="1" t="s">
        <v>408</v>
      </c>
      <c r="EJ664" s="1" t="s">
        <v>409</v>
      </c>
      <c r="EL664" s="1" t="s">
        <v>433</v>
      </c>
      <c r="EM664" s="1" t="s">
        <v>206</v>
      </c>
      <c r="EN664" s="1" t="s">
        <v>207</v>
      </c>
      <c r="EP664" s="1" t="s">
        <v>212</v>
      </c>
      <c r="EQ664" s="1" t="s">
        <v>206</v>
      </c>
      <c r="ER664" s="1" t="s">
        <v>207</v>
      </c>
      <c r="ET664" s="1" t="s">
        <v>2403</v>
      </c>
      <c r="EU664" s="1" t="s">
        <v>206</v>
      </c>
      <c r="EV664" s="1" t="s">
        <v>207</v>
      </c>
      <c r="EX664" s="1" t="s">
        <v>215</v>
      </c>
      <c r="EY664" s="1" t="s">
        <v>209</v>
      </c>
      <c r="EZ664" s="1" t="s">
        <v>210</v>
      </c>
      <c r="FC664" s="1" t="s">
        <v>238</v>
      </c>
      <c r="FF664" s="1" t="s">
        <v>239</v>
      </c>
      <c r="FG664" s="1" t="s">
        <v>192</v>
      </c>
      <c r="FH664" s="1" t="s">
        <v>192</v>
      </c>
      <c r="FJ664" s="1" t="s">
        <v>1538</v>
      </c>
      <c r="FK664" s="1" t="s">
        <v>229</v>
      </c>
      <c r="FL664" s="1" t="s">
        <v>1358</v>
      </c>
      <c r="FM664" s="1">
        <v>23591.0</v>
      </c>
      <c r="FN664" s="1" t="s">
        <v>2134</v>
      </c>
      <c r="FO664" s="1" t="s">
        <v>2843</v>
      </c>
      <c r="FP664" s="1">
        <v>230482.0</v>
      </c>
      <c r="FQ664" s="1" t="s">
        <v>2844</v>
      </c>
      <c r="FS664" s="1" t="s">
        <v>8183</v>
      </c>
      <c r="FU664" s="1" t="s">
        <v>8184</v>
      </c>
      <c r="FV664" s="1" t="s">
        <v>200</v>
      </c>
      <c r="FW664" s="1" t="s">
        <v>290</v>
      </c>
      <c r="FZ664" s="1" t="s">
        <v>229</v>
      </c>
      <c r="GA664" s="1" t="s">
        <v>291</v>
      </c>
      <c r="GB664" s="2">
        <v>42053.0</v>
      </c>
      <c r="GC664" s="1" t="s">
        <v>8185</v>
      </c>
    </row>
    <row r="665">
      <c r="A665" s="1">
        <v>67000.0</v>
      </c>
      <c r="B665" s="1" t="s">
        <v>185</v>
      </c>
      <c r="C665" s="1" t="str">
        <f>"08805225"</f>
        <v>08805225</v>
      </c>
      <c r="D665" s="1" t="s">
        <v>186</v>
      </c>
      <c r="F665" s="1" t="str">
        <f>"8070"</f>
        <v>8070</v>
      </c>
      <c r="G665" s="2">
        <v>41995.0</v>
      </c>
      <c r="H665" s="1">
        <v>55000.0</v>
      </c>
      <c r="I665" s="1">
        <v>29.0</v>
      </c>
      <c r="J665" s="1">
        <v>55000.0</v>
      </c>
      <c r="K665" s="2">
        <v>42018.0</v>
      </c>
      <c r="L665" s="1">
        <v>24.0</v>
      </c>
      <c r="M665" s="2">
        <v>42018.0</v>
      </c>
      <c r="N665" s="1" t="s">
        <v>249</v>
      </c>
      <c r="O665" s="2">
        <v>42034.0</v>
      </c>
      <c r="P665" s="1">
        <v>603218.0</v>
      </c>
      <c r="Q665" s="1">
        <v>21139.0</v>
      </c>
      <c r="S665" s="1">
        <v>3524.0</v>
      </c>
      <c r="T665" s="1" t="s">
        <v>1620</v>
      </c>
      <c r="U665" s="1" t="s">
        <v>189</v>
      </c>
      <c r="V665" s="1" t="s">
        <v>190</v>
      </c>
      <c r="W665" s="1">
        <v>60652.0</v>
      </c>
      <c r="Y665" s="1" t="s">
        <v>8186</v>
      </c>
      <c r="Z665" s="1">
        <v>1954.0</v>
      </c>
      <c r="AA665" s="1" t="s">
        <v>192</v>
      </c>
      <c r="AB665" s="1" t="s">
        <v>193</v>
      </c>
      <c r="AD665" s="1" t="s">
        <v>194</v>
      </c>
      <c r="AE665" s="1" t="s">
        <v>195</v>
      </c>
      <c r="AF665" s="1" t="s">
        <v>659</v>
      </c>
      <c r="AH665" s="1" t="s">
        <v>8187</v>
      </c>
      <c r="AI665" s="1">
        <v>0.0897</v>
      </c>
      <c r="AK665" s="1">
        <v>6.0</v>
      </c>
      <c r="AL665" s="1">
        <v>4.0</v>
      </c>
      <c r="AM665" s="1">
        <v>2.0</v>
      </c>
      <c r="AN665" s="1">
        <v>1.0</v>
      </c>
      <c r="AO665" s="1" t="s">
        <v>198</v>
      </c>
      <c r="AQ665" s="1" t="s">
        <v>198</v>
      </c>
      <c r="AR665" s="1" t="s">
        <v>192</v>
      </c>
      <c r="AS665" s="1" t="s">
        <v>199</v>
      </c>
      <c r="AT665" s="1">
        <v>2.0</v>
      </c>
      <c r="AV665" s="1" t="s">
        <v>200</v>
      </c>
      <c r="AW665" s="1">
        <v>2600.18</v>
      </c>
      <c r="AX665" s="1">
        <v>2012.0</v>
      </c>
      <c r="AZ665" s="1" t="s">
        <v>200</v>
      </c>
      <c r="BA665" s="1" t="str">
        <f>"19352150440000"</f>
        <v>19352150440000</v>
      </c>
      <c r="BC665" s="1">
        <v>1804.0</v>
      </c>
      <c r="BD665" s="1">
        <v>67000.0</v>
      </c>
      <c r="BE665" s="2">
        <v>41995.0</v>
      </c>
      <c r="BF665" s="2" t="s">
        <v>8188</v>
      </c>
      <c r="BH665" s="1">
        <v>0.0</v>
      </c>
      <c r="BK665" s="1" t="s">
        <v>204</v>
      </c>
      <c r="BL665" s="1" t="str">
        <f t="shared" ref="BL665:BM665" si="445">"0"</f>
        <v>0</v>
      </c>
      <c r="BM665" s="1" t="str">
        <f t="shared" si="445"/>
        <v>0</v>
      </c>
      <c r="BN665" s="1">
        <v>3524.0</v>
      </c>
      <c r="BO665" s="1">
        <v>8000.0</v>
      </c>
      <c r="BQ665" s="1">
        <v>299.0</v>
      </c>
      <c r="BR665" s="1">
        <v>299.0</v>
      </c>
      <c r="BS665" s="1">
        <v>299.0</v>
      </c>
      <c r="BU665" s="1" t="s">
        <v>300</v>
      </c>
      <c r="BV665" s="1" t="s">
        <v>206</v>
      </c>
      <c r="BY665" s="1" t="s">
        <v>2460</v>
      </c>
      <c r="BZ665" s="1" t="s">
        <v>206</v>
      </c>
      <c r="CD665" s="1" t="s">
        <v>204</v>
      </c>
      <c r="CG665" s="1" t="s">
        <v>2460</v>
      </c>
      <c r="CH665" s="1" t="s">
        <v>206</v>
      </c>
      <c r="CK665" s="1" t="s">
        <v>1068</v>
      </c>
      <c r="CL665" s="1" t="s">
        <v>209</v>
      </c>
      <c r="CO665" s="1" t="s">
        <v>830</v>
      </c>
      <c r="CP665" s="1" t="s">
        <v>209</v>
      </c>
      <c r="CS665" s="1" t="s">
        <v>8189</v>
      </c>
      <c r="CT665" s="1" t="s">
        <v>206</v>
      </c>
      <c r="CX665" s="1" t="s">
        <v>204</v>
      </c>
      <c r="DA665" s="1" t="s">
        <v>200</v>
      </c>
      <c r="DC665" s="1" t="s">
        <v>702</v>
      </c>
      <c r="DE665" s="1" t="s">
        <v>229</v>
      </c>
      <c r="DF665" s="1" t="s">
        <v>219</v>
      </c>
      <c r="DH665" s="1" t="s">
        <v>220</v>
      </c>
      <c r="DJ665" s="1" t="s">
        <v>222</v>
      </c>
      <c r="DL665" s="1" t="s">
        <v>223</v>
      </c>
      <c r="DM665" s="1" t="s">
        <v>229</v>
      </c>
      <c r="DQ665" s="1" t="s">
        <v>228</v>
      </c>
      <c r="DR665" s="1" t="s">
        <v>229</v>
      </c>
      <c r="DV665" s="1" t="s">
        <v>232</v>
      </c>
      <c r="DW665" s="1" t="s">
        <v>279</v>
      </c>
      <c r="DX665" s="1" t="s">
        <v>234</v>
      </c>
      <c r="EA665" s="1" t="s">
        <v>1075</v>
      </c>
      <c r="EC665" s="1" t="s">
        <v>645</v>
      </c>
      <c r="EE665" s="1" t="s">
        <v>1673</v>
      </c>
      <c r="EM665" s="1" t="s">
        <v>238</v>
      </c>
      <c r="EQ665" s="1" t="s">
        <v>238</v>
      </c>
      <c r="EU665" s="1" t="s">
        <v>238</v>
      </c>
      <c r="EY665" s="1" t="s">
        <v>238</v>
      </c>
      <c r="FC665" s="1" t="s">
        <v>238</v>
      </c>
      <c r="FF665" s="1" t="s">
        <v>239</v>
      </c>
      <c r="FG665" s="1" t="s">
        <v>192</v>
      </c>
      <c r="FH665" s="1" t="s">
        <v>192</v>
      </c>
      <c r="FJ665" s="1" t="s">
        <v>347</v>
      </c>
      <c r="FK665" s="1" t="s">
        <v>229</v>
      </c>
      <c r="FL665" s="1" t="s">
        <v>2989</v>
      </c>
      <c r="FM665" s="1">
        <v>21139.0</v>
      </c>
      <c r="FN665" s="1" t="s">
        <v>8190</v>
      </c>
      <c r="FO665" s="1" t="s">
        <v>8191</v>
      </c>
      <c r="FP665" s="1">
        <v>606494.0</v>
      </c>
      <c r="FQ665" s="1" t="s">
        <v>8190</v>
      </c>
      <c r="FS665" s="1" t="s">
        <v>8192</v>
      </c>
      <c r="FU665" s="1" t="s">
        <v>885</v>
      </c>
      <c r="FV665" s="1" t="s">
        <v>200</v>
      </c>
      <c r="FW665" s="1" t="s">
        <v>1411</v>
      </c>
      <c r="FX665" s="1" t="s">
        <v>246</v>
      </c>
      <c r="FZ665" s="1" t="s">
        <v>229</v>
      </c>
      <c r="GA665" s="1" t="s">
        <v>291</v>
      </c>
      <c r="GB665" s="2">
        <v>42037.0</v>
      </c>
      <c r="GC665" s="1" t="s">
        <v>8193</v>
      </c>
    </row>
    <row r="666">
      <c r="A666" s="1">
        <v>377000.0</v>
      </c>
      <c r="B666" s="1" t="s">
        <v>185</v>
      </c>
      <c r="C666" s="1" t="str">
        <f>"08804809"</f>
        <v>08804809</v>
      </c>
      <c r="D666" s="1" t="s">
        <v>186</v>
      </c>
      <c r="F666" s="1" t="str">
        <f>"543"</f>
        <v>543</v>
      </c>
      <c r="G666" s="2">
        <v>41993.0</v>
      </c>
      <c r="H666" s="1">
        <v>379990.0</v>
      </c>
      <c r="I666" s="1">
        <v>70.0</v>
      </c>
      <c r="J666" s="1">
        <v>379990.0</v>
      </c>
      <c r="K666" s="2">
        <v>42037.0</v>
      </c>
      <c r="L666" s="1">
        <v>45.0</v>
      </c>
      <c r="M666" s="2">
        <v>42037.0</v>
      </c>
      <c r="N666" s="1" t="s">
        <v>356</v>
      </c>
      <c r="O666" s="2">
        <v>42061.0</v>
      </c>
      <c r="P666" s="1">
        <v>99999.0</v>
      </c>
      <c r="Q666" s="1" t="s">
        <v>947</v>
      </c>
      <c r="S666" s="1">
        <v>357.0</v>
      </c>
      <c r="T666" s="1" t="s">
        <v>8194</v>
      </c>
      <c r="U666" s="1" t="s">
        <v>1015</v>
      </c>
      <c r="V666" s="1" t="s">
        <v>1527</v>
      </c>
      <c r="W666" s="1">
        <v>60543.0</v>
      </c>
      <c r="Y666" s="1" t="s">
        <v>8195</v>
      </c>
      <c r="Z666" s="1">
        <v>2014.0</v>
      </c>
      <c r="AA666" s="1" t="s">
        <v>200</v>
      </c>
      <c r="AB666" s="1" t="s">
        <v>467</v>
      </c>
      <c r="AC666" s="1" t="s">
        <v>8196</v>
      </c>
      <c r="AD666" s="1" t="s">
        <v>1529</v>
      </c>
      <c r="AE666" s="1" t="s">
        <v>849</v>
      </c>
      <c r="AF666" s="1" t="s">
        <v>1529</v>
      </c>
      <c r="AG666" s="1" t="s">
        <v>8197</v>
      </c>
      <c r="AH666" s="1" t="s">
        <v>8198</v>
      </c>
      <c r="AK666" s="1">
        <v>9.0</v>
      </c>
      <c r="AL666" s="1">
        <v>4.0</v>
      </c>
      <c r="AM666" s="1">
        <v>2.0</v>
      </c>
      <c r="AN666" s="1">
        <v>1.0</v>
      </c>
      <c r="AO666" s="1" t="s">
        <v>198</v>
      </c>
      <c r="AP666" s="1">
        <v>1.0</v>
      </c>
      <c r="AQ666" s="1" t="s">
        <v>198</v>
      </c>
      <c r="AR666" s="1" t="s">
        <v>200</v>
      </c>
      <c r="AS666" s="1" t="s">
        <v>199</v>
      </c>
      <c r="AT666" s="1">
        <v>2.0</v>
      </c>
      <c r="AV666" s="1" t="s">
        <v>200</v>
      </c>
      <c r="AW666" s="1" t="s">
        <v>575</v>
      </c>
      <c r="AX666" s="1">
        <v>2013.0</v>
      </c>
      <c r="AZ666" s="1" t="s">
        <v>200</v>
      </c>
      <c r="BA666" s="1" t="str">
        <f>"0321178003"</f>
        <v>0321178003</v>
      </c>
      <c r="BB666" s="1" t="s">
        <v>200</v>
      </c>
      <c r="BC666" s="1">
        <v>3500.0</v>
      </c>
      <c r="BD666" s="1">
        <v>377000.0</v>
      </c>
      <c r="BE666" s="2">
        <v>41993.0</v>
      </c>
      <c r="BF666" s="2" t="s">
        <v>8199</v>
      </c>
      <c r="BG666" s="1" t="s">
        <v>8200</v>
      </c>
      <c r="BH666" s="1">
        <v>560.0</v>
      </c>
      <c r="BI666" s="1" t="s">
        <v>8200</v>
      </c>
      <c r="BJ666" s="1" t="s">
        <v>1349</v>
      </c>
      <c r="BK666" s="1" t="s">
        <v>1952</v>
      </c>
      <c r="BL666" s="1" t="str">
        <f t="shared" ref="BL666:BM666" si="446">""</f>
        <v/>
      </c>
      <c r="BM666" s="1" t="str">
        <f t="shared" si="446"/>
        <v/>
      </c>
      <c r="BQ666" s="1">
        <v>308.0</v>
      </c>
      <c r="BR666" s="1">
        <v>308.0</v>
      </c>
      <c r="BS666" s="1">
        <v>308.0</v>
      </c>
      <c r="BV666" s="1" t="s">
        <v>204</v>
      </c>
      <c r="BY666" s="1" t="s">
        <v>1623</v>
      </c>
      <c r="BZ666" s="1" t="s">
        <v>209</v>
      </c>
      <c r="CC666" s="1" t="s">
        <v>205</v>
      </c>
      <c r="CD666" s="1" t="s">
        <v>206</v>
      </c>
      <c r="CE666" s="1" t="s">
        <v>207</v>
      </c>
      <c r="CG666" s="1" t="s">
        <v>363</v>
      </c>
      <c r="CH666" s="1" t="s">
        <v>209</v>
      </c>
      <c r="CK666" s="1" t="s">
        <v>331</v>
      </c>
      <c r="CL666" s="1" t="s">
        <v>209</v>
      </c>
      <c r="CO666" s="1" t="s">
        <v>329</v>
      </c>
      <c r="CP666" s="1" t="s">
        <v>209</v>
      </c>
      <c r="CS666" s="1" t="s">
        <v>392</v>
      </c>
      <c r="CT666" s="1" t="s">
        <v>206</v>
      </c>
      <c r="CU666" s="1" t="s">
        <v>207</v>
      </c>
      <c r="CW666" s="1" t="s">
        <v>1623</v>
      </c>
      <c r="CX666" s="1" t="s">
        <v>206</v>
      </c>
      <c r="CY666" s="1" t="s">
        <v>207</v>
      </c>
      <c r="DA666" s="1" t="s">
        <v>192</v>
      </c>
      <c r="DB666" s="2">
        <v>41993.0</v>
      </c>
      <c r="DC666" s="1" t="s">
        <v>1353</v>
      </c>
      <c r="DD666" s="1" t="s">
        <v>396</v>
      </c>
      <c r="DE666" s="1" t="s">
        <v>273</v>
      </c>
      <c r="DF666" s="1" t="s">
        <v>219</v>
      </c>
      <c r="DG666" s="1" t="s">
        <v>8201</v>
      </c>
      <c r="DH666" s="1" t="s">
        <v>220</v>
      </c>
      <c r="DI666" s="1" t="s">
        <v>8202</v>
      </c>
      <c r="DJ666" s="1" t="s">
        <v>222</v>
      </c>
      <c r="DK666" s="1" t="s">
        <v>223</v>
      </c>
      <c r="DL666" s="1" t="s">
        <v>223</v>
      </c>
      <c r="DM666" s="1" t="s">
        <v>338</v>
      </c>
      <c r="DN666" s="1" t="s">
        <v>485</v>
      </c>
      <c r="DP666" s="1" t="s">
        <v>340</v>
      </c>
      <c r="DQ666" s="1" t="s">
        <v>228</v>
      </c>
      <c r="DR666" s="1" t="s">
        <v>2593</v>
      </c>
      <c r="DS666" s="1" t="s">
        <v>368</v>
      </c>
      <c r="DU666" s="1" t="s">
        <v>550</v>
      </c>
      <c r="DV666" s="1" t="s">
        <v>2941</v>
      </c>
      <c r="DW666" s="1" t="s">
        <v>8203</v>
      </c>
      <c r="DX666" s="1" t="s">
        <v>309</v>
      </c>
      <c r="DY666" s="1" t="s">
        <v>704</v>
      </c>
      <c r="EA666" s="1" t="s">
        <v>344</v>
      </c>
      <c r="EB666" s="1" t="s">
        <v>8204</v>
      </c>
      <c r="EC666" s="1" t="s">
        <v>237</v>
      </c>
      <c r="EE666" s="1" t="s">
        <v>493</v>
      </c>
      <c r="EG666" s="1" t="s">
        <v>449</v>
      </c>
      <c r="EH666" s="1" t="s">
        <v>1028</v>
      </c>
      <c r="EL666" s="1" t="s">
        <v>264</v>
      </c>
      <c r="EM666" s="1" t="s">
        <v>206</v>
      </c>
      <c r="EN666" s="1" t="s">
        <v>207</v>
      </c>
      <c r="EP666" s="1" t="s">
        <v>393</v>
      </c>
      <c r="EQ666" s="1" t="s">
        <v>206</v>
      </c>
      <c r="EU666" s="1" t="s">
        <v>238</v>
      </c>
      <c r="EY666" s="1" t="s">
        <v>238</v>
      </c>
      <c r="FC666" s="1" t="s">
        <v>238</v>
      </c>
      <c r="FF666" s="1" t="s">
        <v>239</v>
      </c>
      <c r="FG666" s="1" t="s">
        <v>192</v>
      </c>
      <c r="FH666" s="1" t="s">
        <v>192</v>
      </c>
      <c r="FJ666" s="1" t="s">
        <v>8205</v>
      </c>
      <c r="FK666" s="1" t="s">
        <v>557</v>
      </c>
      <c r="FL666" s="1" t="s">
        <v>8206</v>
      </c>
      <c r="FM666" s="1">
        <v>23223.0</v>
      </c>
      <c r="FN666" s="1" t="s">
        <v>8207</v>
      </c>
      <c r="FO666" s="1" t="s">
        <v>8208</v>
      </c>
      <c r="FP666" s="1">
        <v>236300.0</v>
      </c>
      <c r="FR666" s="1">
        <v>210778.0</v>
      </c>
      <c r="FT666" s="1" t="s">
        <v>8209</v>
      </c>
      <c r="FU666" s="1" t="s">
        <v>8210</v>
      </c>
      <c r="FV666" s="1" t="s">
        <v>200</v>
      </c>
      <c r="FW666" s="1" t="s">
        <v>8211</v>
      </c>
      <c r="FX666" s="1" t="s">
        <v>1739</v>
      </c>
      <c r="FZ666" s="1" t="s">
        <v>229</v>
      </c>
      <c r="GA666" s="1" t="s">
        <v>247</v>
      </c>
      <c r="GB666" s="2">
        <v>42061.0</v>
      </c>
      <c r="GC666" s="1" t="s">
        <v>8212</v>
      </c>
    </row>
    <row r="667">
      <c r="A667" s="1">
        <v>87000.0</v>
      </c>
      <c r="B667" s="1" t="s">
        <v>185</v>
      </c>
      <c r="C667" s="1" t="str">
        <f>"08808718"</f>
        <v>08808718</v>
      </c>
      <c r="D667" s="1" t="s">
        <v>186</v>
      </c>
      <c r="F667" s="1" t="str">
        <f>"110"</f>
        <v>110</v>
      </c>
      <c r="G667" s="2">
        <v>42006.0</v>
      </c>
      <c r="H667" s="1">
        <v>129800.0</v>
      </c>
      <c r="I667" s="1">
        <v>102.0</v>
      </c>
      <c r="J667" s="1">
        <v>116820.0</v>
      </c>
      <c r="K667" s="2">
        <v>42107.0</v>
      </c>
      <c r="L667" s="1">
        <v>102.0</v>
      </c>
      <c r="M667" s="2">
        <v>42107.0</v>
      </c>
      <c r="N667" s="1" t="s">
        <v>249</v>
      </c>
      <c r="O667" s="2">
        <v>42116.0</v>
      </c>
      <c r="P667" s="1">
        <v>77526.0</v>
      </c>
      <c r="Q667" s="1">
        <v>267.0</v>
      </c>
      <c r="S667" s="1">
        <v>1544.0</v>
      </c>
      <c r="T667" s="1" t="s">
        <v>8213</v>
      </c>
      <c r="U667" s="1" t="s">
        <v>569</v>
      </c>
      <c r="V667" s="1" t="s">
        <v>807</v>
      </c>
      <c r="W667" s="1">
        <v>60110.0</v>
      </c>
      <c r="Y667" s="1" t="s">
        <v>8214</v>
      </c>
      <c r="Z667" s="1">
        <v>1959.0</v>
      </c>
      <c r="AA667" s="1" t="s">
        <v>192</v>
      </c>
      <c r="AB667" s="1" t="s">
        <v>193</v>
      </c>
      <c r="AC667" s="1" t="s">
        <v>5724</v>
      </c>
      <c r="AD667" s="1" t="s">
        <v>809</v>
      </c>
      <c r="AE667" s="1" t="s">
        <v>325</v>
      </c>
      <c r="AF667" s="1" t="s">
        <v>810</v>
      </c>
      <c r="AH667" s="1">
        <v>0.22</v>
      </c>
      <c r="AI667" s="1">
        <v>0.22</v>
      </c>
      <c r="AK667" s="1">
        <v>7.0</v>
      </c>
      <c r="AL667" s="1">
        <v>4.0</v>
      </c>
      <c r="AM667" s="1">
        <v>1.0</v>
      </c>
      <c r="AN667" s="1">
        <v>1.0</v>
      </c>
      <c r="AO667" s="1" t="s">
        <v>229</v>
      </c>
      <c r="AQ667" s="1" t="s">
        <v>1314</v>
      </c>
      <c r="AR667" s="1" t="s">
        <v>192</v>
      </c>
      <c r="AS667" s="1" t="s">
        <v>199</v>
      </c>
      <c r="AT667" s="1">
        <v>2.0</v>
      </c>
      <c r="AV667" s="1" t="s">
        <v>200</v>
      </c>
      <c r="AW667" s="1">
        <v>3389.9</v>
      </c>
      <c r="AX667" s="1">
        <v>2013.0</v>
      </c>
      <c r="AZ667" s="1" t="s">
        <v>200</v>
      </c>
      <c r="BA667" s="1" t="str">
        <f>"0311403003"</f>
        <v>0311403003</v>
      </c>
      <c r="BC667" s="1">
        <v>1605.0</v>
      </c>
      <c r="BD667" s="1">
        <v>87000.0</v>
      </c>
      <c r="BE667" s="2">
        <v>42006.0</v>
      </c>
      <c r="BF667" s="2" t="s">
        <v>8215</v>
      </c>
      <c r="BH667" s="1">
        <v>0.0</v>
      </c>
      <c r="BK667" s="1" t="s">
        <v>204</v>
      </c>
      <c r="BL667" s="1" t="str">
        <f t="shared" ref="BL667:BM667" si="447">""</f>
        <v/>
      </c>
      <c r="BM667" s="1" t="str">
        <f t="shared" si="447"/>
        <v/>
      </c>
      <c r="BQ667" s="1">
        <v>300.0</v>
      </c>
      <c r="BR667" s="1">
        <v>300.0</v>
      </c>
      <c r="BS667" s="1">
        <v>300.0</v>
      </c>
      <c r="BU667" s="1" t="s">
        <v>1000</v>
      </c>
      <c r="BV667" s="1" t="s">
        <v>206</v>
      </c>
      <c r="BY667" s="1" t="s">
        <v>363</v>
      </c>
      <c r="BZ667" s="1" t="s">
        <v>206</v>
      </c>
      <c r="CC667" s="1" t="s">
        <v>363</v>
      </c>
      <c r="CD667" s="1" t="s">
        <v>206</v>
      </c>
      <c r="CG667" s="1" t="s">
        <v>331</v>
      </c>
      <c r="CH667" s="1" t="s">
        <v>209</v>
      </c>
      <c r="CK667" s="1" t="s">
        <v>269</v>
      </c>
      <c r="CL667" s="1" t="s">
        <v>209</v>
      </c>
      <c r="CO667" s="1" t="s">
        <v>516</v>
      </c>
      <c r="CP667" s="1" t="s">
        <v>209</v>
      </c>
      <c r="CS667" s="1" t="s">
        <v>266</v>
      </c>
      <c r="CT667" s="1" t="s">
        <v>206</v>
      </c>
      <c r="CX667" s="1" t="s">
        <v>204</v>
      </c>
      <c r="DA667" s="1" t="s">
        <v>200</v>
      </c>
      <c r="DC667" s="1" t="s">
        <v>271</v>
      </c>
      <c r="DD667" s="1" t="s">
        <v>618</v>
      </c>
      <c r="DE667" s="1" t="s">
        <v>229</v>
      </c>
      <c r="DF667" s="1" t="s">
        <v>619</v>
      </c>
      <c r="DH667" s="1" t="s">
        <v>220</v>
      </c>
      <c r="DJ667" s="1" t="s">
        <v>222</v>
      </c>
      <c r="DL667" s="1" t="s">
        <v>858</v>
      </c>
      <c r="DM667" s="1" t="s">
        <v>229</v>
      </c>
      <c r="DO667" s="1" t="s">
        <v>590</v>
      </c>
      <c r="DQ667" s="1" t="s">
        <v>228</v>
      </c>
      <c r="DR667" s="1" t="s">
        <v>229</v>
      </c>
      <c r="DV667" s="1" t="s">
        <v>232</v>
      </c>
      <c r="DW667" s="1" t="s">
        <v>370</v>
      </c>
      <c r="DX667" s="1" t="s">
        <v>234</v>
      </c>
      <c r="DY667" s="1" t="s">
        <v>987</v>
      </c>
      <c r="DZ667" s="1" t="s">
        <v>343</v>
      </c>
      <c r="EC667" s="1" t="s">
        <v>284</v>
      </c>
      <c r="EM667" s="1" t="s">
        <v>238</v>
      </c>
      <c r="EQ667" s="1" t="s">
        <v>238</v>
      </c>
      <c r="EU667" s="1" t="s">
        <v>238</v>
      </c>
      <c r="EY667" s="1" t="s">
        <v>238</v>
      </c>
      <c r="FC667" s="1" t="s">
        <v>238</v>
      </c>
      <c r="FF667" s="1" t="s">
        <v>239</v>
      </c>
      <c r="FG667" s="1" t="s">
        <v>192</v>
      </c>
      <c r="FH667" s="1" t="s">
        <v>192</v>
      </c>
      <c r="FJ667" s="1" t="s">
        <v>1248</v>
      </c>
      <c r="FK667" s="1" t="s">
        <v>229</v>
      </c>
      <c r="FL667" s="1" t="s">
        <v>3218</v>
      </c>
      <c r="FM667" s="1">
        <v>5040.0</v>
      </c>
      <c r="FN667" s="1" t="s">
        <v>4893</v>
      </c>
      <c r="FO667" s="1" t="s">
        <v>4894</v>
      </c>
      <c r="FP667" s="1">
        <v>54168.0</v>
      </c>
      <c r="FQ667" s="1" t="s">
        <v>4895</v>
      </c>
      <c r="FR667" s="1">
        <v>55673.0</v>
      </c>
      <c r="FU667" s="1" t="s">
        <v>8216</v>
      </c>
      <c r="FV667" s="1" t="s">
        <v>200</v>
      </c>
      <c r="FW667" s="1" t="s">
        <v>1524</v>
      </c>
      <c r="FZ667" s="1" t="s">
        <v>229</v>
      </c>
      <c r="GA667" s="1" t="s">
        <v>247</v>
      </c>
      <c r="GB667" s="2">
        <v>42119.0</v>
      </c>
      <c r="GC667" s="1" t="s">
        <v>8217</v>
      </c>
    </row>
    <row r="668">
      <c r="A668" s="1">
        <v>327000.0</v>
      </c>
      <c r="B668" s="1" t="s">
        <v>185</v>
      </c>
      <c r="C668" s="1" t="str">
        <f>"08799357"</f>
        <v>08799357</v>
      </c>
      <c r="D668" s="1" t="s">
        <v>186</v>
      </c>
      <c r="F668" s="1" t="str">
        <f>"8011"</f>
        <v>8011</v>
      </c>
      <c r="G668" s="2">
        <v>41982.0</v>
      </c>
      <c r="H668" s="1">
        <v>339000.0</v>
      </c>
      <c r="I668" s="1">
        <v>107.0</v>
      </c>
      <c r="J668" s="1">
        <v>339000.0</v>
      </c>
      <c r="K668" s="2">
        <v>42059.0</v>
      </c>
      <c r="L668" s="1">
        <v>78.0</v>
      </c>
      <c r="M668" s="2">
        <v>42059.0</v>
      </c>
      <c r="N668" s="1" t="s">
        <v>356</v>
      </c>
      <c r="O668" s="2">
        <v>42083.0</v>
      </c>
      <c r="P668" s="1">
        <v>177058.0</v>
      </c>
      <c r="Q668" s="1">
        <v>84729.0</v>
      </c>
      <c r="R668" s="1">
        <v>5000.0</v>
      </c>
      <c r="S668" s="1">
        <v>5850.0</v>
      </c>
      <c r="T668" s="1" t="s">
        <v>8218</v>
      </c>
      <c r="U668" s="1" t="s">
        <v>189</v>
      </c>
      <c r="V668" s="1" t="s">
        <v>190</v>
      </c>
      <c r="W668" s="1">
        <v>60646.0</v>
      </c>
      <c r="Y668" s="1" t="s">
        <v>8219</v>
      </c>
      <c r="Z668" s="1">
        <v>1953.0</v>
      </c>
      <c r="AA668" s="1" t="s">
        <v>192</v>
      </c>
      <c r="AB668" s="1" t="s">
        <v>193</v>
      </c>
      <c r="AD668" s="1" t="s">
        <v>194</v>
      </c>
      <c r="AE668" s="1" t="s">
        <v>195</v>
      </c>
      <c r="AF668" s="1" t="s">
        <v>196</v>
      </c>
      <c r="AH668" s="1" t="s">
        <v>8220</v>
      </c>
      <c r="AK668" s="1">
        <v>8.0</v>
      </c>
      <c r="AL668" s="1">
        <v>4.0</v>
      </c>
      <c r="AM668" s="1">
        <v>1.0</v>
      </c>
      <c r="AN668" s="1">
        <v>1.0</v>
      </c>
      <c r="AO668" s="1" t="s">
        <v>229</v>
      </c>
      <c r="AQ668" s="1" t="s">
        <v>198</v>
      </c>
      <c r="AR668" s="1" t="s">
        <v>200</v>
      </c>
      <c r="AS668" s="1" t="s">
        <v>199</v>
      </c>
      <c r="AT668" s="1">
        <v>2.0</v>
      </c>
      <c r="AV668" s="1" t="s">
        <v>200</v>
      </c>
      <c r="AW668" s="1">
        <v>5149.0</v>
      </c>
      <c r="AX668" s="1">
        <v>2012.0</v>
      </c>
      <c r="AY668" s="1" t="s">
        <v>387</v>
      </c>
      <c r="AZ668" s="1" t="s">
        <v>200</v>
      </c>
      <c r="BA668" s="1" t="str">
        <f>"13043030560000"</f>
        <v>13043030560000</v>
      </c>
      <c r="BC668" s="1">
        <v>1800.0</v>
      </c>
      <c r="BD668" s="1">
        <v>327000.0</v>
      </c>
      <c r="BE668" s="2">
        <v>41982.0</v>
      </c>
      <c r="BF668" s="1" t="s">
        <v>8221</v>
      </c>
      <c r="BG668" s="1" t="s">
        <v>8222</v>
      </c>
      <c r="BH668" s="1">
        <v>0.0</v>
      </c>
      <c r="BI668" s="1" t="s">
        <v>8222</v>
      </c>
      <c r="BJ668" s="1" t="s">
        <v>1222</v>
      </c>
      <c r="BK668" s="1" t="s">
        <v>204</v>
      </c>
      <c r="BL668" s="1" t="str">
        <f>"5850"</f>
        <v>5850</v>
      </c>
      <c r="BM668" s="1" t="str">
        <f>"0"</f>
        <v>0</v>
      </c>
      <c r="BN668" s="1">
        <v>5532.0</v>
      </c>
      <c r="BO668" s="1">
        <v>0.0</v>
      </c>
      <c r="BQ668" s="1">
        <v>299.0</v>
      </c>
      <c r="BR668" s="1">
        <v>299.0</v>
      </c>
      <c r="BS668" s="1">
        <v>299.0</v>
      </c>
      <c r="BU668" s="1" t="s">
        <v>2565</v>
      </c>
      <c r="BV668" s="1" t="s">
        <v>206</v>
      </c>
      <c r="BY668" s="1" t="s">
        <v>758</v>
      </c>
      <c r="BZ668" s="1" t="s">
        <v>206</v>
      </c>
      <c r="CD668" s="1" t="s">
        <v>204</v>
      </c>
      <c r="CG668" s="1" t="s">
        <v>215</v>
      </c>
      <c r="CH668" s="1" t="s">
        <v>206</v>
      </c>
      <c r="CK668" s="1" t="s">
        <v>784</v>
      </c>
      <c r="CL668" s="1" t="s">
        <v>209</v>
      </c>
      <c r="CO668" s="1" t="s">
        <v>393</v>
      </c>
      <c r="CP668" s="1" t="s">
        <v>209</v>
      </c>
      <c r="CS668" s="1" t="s">
        <v>332</v>
      </c>
      <c r="CT668" s="1" t="s">
        <v>206</v>
      </c>
      <c r="CW668" s="1" t="s">
        <v>333</v>
      </c>
      <c r="CX668" s="1" t="s">
        <v>206</v>
      </c>
      <c r="DA668" s="1" t="s">
        <v>200</v>
      </c>
      <c r="DC668" s="1" t="s">
        <v>702</v>
      </c>
      <c r="DD668" s="1" t="s">
        <v>518</v>
      </c>
      <c r="DE668" s="1" t="s">
        <v>273</v>
      </c>
      <c r="DF668" s="1" t="s">
        <v>219</v>
      </c>
      <c r="DG668" s="1" t="s">
        <v>2311</v>
      </c>
      <c r="DH668" s="1" t="s">
        <v>365</v>
      </c>
      <c r="DI668" s="1" t="s">
        <v>1401</v>
      </c>
      <c r="DJ668" s="1" t="s">
        <v>222</v>
      </c>
      <c r="DL668" s="1" t="s">
        <v>858</v>
      </c>
      <c r="DM668" s="1" t="s">
        <v>229</v>
      </c>
      <c r="DQ668" s="1" t="s">
        <v>794</v>
      </c>
      <c r="DR668" s="1" t="s">
        <v>229</v>
      </c>
      <c r="DS668" s="1" t="s">
        <v>230</v>
      </c>
      <c r="DV668" s="1" t="s">
        <v>450</v>
      </c>
      <c r="DW668" s="1" t="s">
        <v>279</v>
      </c>
      <c r="DX668" s="1" t="s">
        <v>234</v>
      </c>
      <c r="DY668" s="1" t="s">
        <v>8223</v>
      </c>
      <c r="DZ668" s="1" t="s">
        <v>310</v>
      </c>
      <c r="EA668" s="1" t="s">
        <v>257</v>
      </c>
      <c r="EC668" s="1" t="s">
        <v>237</v>
      </c>
      <c r="ED668" s="1" t="s">
        <v>555</v>
      </c>
      <c r="EE668" s="1" t="s">
        <v>187</v>
      </c>
      <c r="EG668" s="1" t="s">
        <v>450</v>
      </c>
      <c r="EL668" s="1" t="s">
        <v>1206</v>
      </c>
      <c r="EM668" s="1" t="s">
        <v>42</v>
      </c>
      <c r="EQ668" s="1" t="s">
        <v>238</v>
      </c>
      <c r="EU668" s="1" t="s">
        <v>238</v>
      </c>
      <c r="EY668" s="1" t="s">
        <v>238</v>
      </c>
      <c r="FC668" s="1" t="s">
        <v>238</v>
      </c>
      <c r="FF668" s="1" t="s">
        <v>239</v>
      </c>
      <c r="FG668" s="1" t="s">
        <v>192</v>
      </c>
      <c r="FH668" s="1" t="s">
        <v>192</v>
      </c>
      <c r="FJ668" s="1" t="s">
        <v>498</v>
      </c>
      <c r="FK668" s="1" t="s">
        <v>229</v>
      </c>
      <c r="FL668" s="1" t="s">
        <v>8224</v>
      </c>
      <c r="FM668" s="1">
        <v>8405.0</v>
      </c>
      <c r="FN668" s="1" t="s">
        <v>8225</v>
      </c>
      <c r="FO668" s="1" t="s">
        <v>8226</v>
      </c>
      <c r="FP668" s="1">
        <v>84060.0</v>
      </c>
      <c r="FQ668" s="1" t="s">
        <v>8227</v>
      </c>
      <c r="FU668" s="1" t="s">
        <v>1751</v>
      </c>
      <c r="FV668" s="1" t="s">
        <v>200</v>
      </c>
      <c r="FW668" s="1" t="s">
        <v>567</v>
      </c>
      <c r="FX668" s="1" t="s">
        <v>238</v>
      </c>
      <c r="FZ668" s="1" t="s">
        <v>229</v>
      </c>
      <c r="GA668" s="1" t="s">
        <v>291</v>
      </c>
      <c r="GB668" s="2">
        <v>42083.0</v>
      </c>
    </row>
    <row r="669">
      <c r="A669" s="1">
        <v>47000.0</v>
      </c>
      <c r="B669" s="1" t="s">
        <v>185</v>
      </c>
      <c r="C669" s="1" t="str">
        <f>"08807588"</f>
        <v>08807588</v>
      </c>
      <c r="D669" s="1" t="s">
        <v>186</v>
      </c>
      <c r="F669" s="1" t="str">
        <f>"8073"</f>
        <v>8073</v>
      </c>
      <c r="G669" s="2">
        <v>42004.0</v>
      </c>
      <c r="H669" s="1">
        <v>105000.0</v>
      </c>
      <c r="I669" s="1">
        <v>113.0</v>
      </c>
      <c r="J669" s="1">
        <v>54760.0</v>
      </c>
      <c r="K669" s="2">
        <v>42116.0</v>
      </c>
      <c r="L669" s="1">
        <v>113.0</v>
      </c>
      <c r="M669" s="2">
        <v>42116.0</v>
      </c>
      <c r="N669" s="1" t="s">
        <v>249</v>
      </c>
      <c r="O669" s="2">
        <v>42142.0</v>
      </c>
      <c r="P669" s="1">
        <v>605526.0</v>
      </c>
      <c r="Q669" s="1">
        <v>21892.0</v>
      </c>
      <c r="S669" s="1">
        <v>1058.0</v>
      </c>
      <c r="T669" s="1" t="s">
        <v>7542</v>
      </c>
      <c r="U669" s="1" t="s">
        <v>320</v>
      </c>
      <c r="V669" s="1" t="s">
        <v>190</v>
      </c>
      <c r="W669" s="1">
        <v>60628.0</v>
      </c>
      <c r="Y669" s="1" t="s">
        <v>8228</v>
      </c>
      <c r="Z669" s="1">
        <v>1922.0</v>
      </c>
      <c r="AA669" s="1" t="s">
        <v>192</v>
      </c>
      <c r="AB669" s="1" t="s">
        <v>193</v>
      </c>
      <c r="AD669" s="1" t="s">
        <v>194</v>
      </c>
      <c r="AE669" s="1" t="s">
        <v>195</v>
      </c>
      <c r="AF669" s="1" t="s">
        <v>659</v>
      </c>
      <c r="AH669" s="1" t="s">
        <v>8229</v>
      </c>
      <c r="AK669" s="1">
        <v>7.0</v>
      </c>
      <c r="AL669" s="1">
        <v>4.0</v>
      </c>
      <c r="AM669" s="1">
        <v>3.0</v>
      </c>
      <c r="AN669" s="1">
        <v>0.0</v>
      </c>
      <c r="AO669" s="1" t="s">
        <v>198</v>
      </c>
      <c r="AQ669" s="1" t="s">
        <v>198</v>
      </c>
      <c r="AR669" s="1" t="s">
        <v>192</v>
      </c>
      <c r="AS669" s="1" t="s">
        <v>199</v>
      </c>
      <c r="AT669" s="1">
        <v>2.0</v>
      </c>
      <c r="AV669" s="1" t="s">
        <v>200</v>
      </c>
      <c r="AW669" s="1">
        <v>2353.52</v>
      </c>
      <c r="AX669" s="1">
        <v>2013.0</v>
      </c>
      <c r="AZ669" s="1" t="s">
        <v>200</v>
      </c>
      <c r="BA669" s="1" t="str">
        <f>"25172110120000"</f>
        <v>25172110120000</v>
      </c>
      <c r="BC669" s="1">
        <v>7545.0</v>
      </c>
      <c r="BD669" s="1">
        <v>47000.0</v>
      </c>
      <c r="BE669" s="2">
        <v>42004.0</v>
      </c>
      <c r="BF669" s="1" t="s">
        <v>8230</v>
      </c>
      <c r="BH669" s="1">
        <v>0.0</v>
      </c>
      <c r="BK669" s="1" t="s">
        <v>204</v>
      </c>
      <c r="BL669" s="1" t="str">
        <f t="shared" ref="BL669:BM669" si="448">"0"</f>
        <v>0</v>
      </c>
      <c r="BM669" s="1" t="str">
        <f t="shared" si="448"/>
        <v>0</v>
      </c>
      <c r="BN669" s="1">
        <v>1058.0</v>
      </c>
      <c r="BO669" s="1">
        <v>105.0</v>
      </c>
      <c r="BQ669" s="1">
        <v>299.0</v>
      </c>
      <c r="BR669" s="1">
        <v>299.0</v>
      </c>
      <c r="BS669" s="1">
        <v>299.0</v>
      </c>
      <c r="BU669" s="1" t="s">
        <v>743</v>
      </c>
      <c r="BV669" s="1" t="s">
        <v>206</v>
      </c>
      <c r="BY669" s="1" t="s">
        <v>364</v>
      </c>
      <c r="BZ669" s="1" t="s">
        <v>209</v>
      </c>
      <c r="CC669" s="1" t="s">
        <v>393</v>
      </c>
      <c r="CD669" s="1" t="s">
        <v>206</v>
      </c>
      <c r="CG669" s="1" t="s">
        <v>269</v>
      </c>
      <c r="CH669" s="1" t="s">
        <v>206</v>
      </c>
      <c r="CK669" s="1" t="s">
        <v>699</v>
      </c>
      <c r="CL669" s="1" t="s">
        <v>206</v>
      </c>
      <c r="CO669" s="1" t="s">
        <v>1352</v>
      </c>
      <c r="CP669" s="1" t="s">
        <v>209</v>
      </c>
      <c r="CS669" s="1" t="s">
        <v>699</v>
      </c>
      <c r="CT669" s="1" t="s">
        <v>206</v>
      </c>
      <c r="CX669" s="1" t="s">
        <v>204</v>
      </c>
      <c r="DA669" s="1" t="s">
        <v>200</v>
      </c>
      <c r="DC669" s="1" t="s">
        <v>216</v>
      </c>
      <c r="DE669" s="1" t="s">
        <v>229</v>
      </c>
      <c r="DF669" s="1" t="s">
        <v>619</v>
      </c>
      <c r="DH669" s="1" t="s">
        <v>220</v>
      </c>
      <c r="DJ669" s="1" t="s">
        <v>222</v>
      </c>
      <c r="DL669" s="1" t="s">
        <v>224</v>
      </c>
      <c r="DM669" s="1" t="s">
        <v>229</v>
      </c>
      <c r="DP669" s="1" t="s">
        <v>340</v>
      </c>
      <c r="DQ669" s="1" t="s">
        <v>228</v>
      </c>
      <c r="DR669" s="1" t="s">
        <v>229</v>
      </c>
      <c r="DV669" s="1" t="s">
        <v>232</v>
      </c>
      <c r="DW669" s="1" t="s">
        <v>588</v>
      </c>
      <c r="DX669" s="1" t="s">
        <v>234</v>
      </c>
      <c r="EC669" s="1" t="s">
        <v>237</v>
      </c>
      <c r="EE669" s="1" t="s">
        <v>1673</v>
      </c>
      <c r="EM669" s="1" t="s">
        <v>238</v>
      </c>
      <c r="EQ669" s="1" t="s">
        <v>238</v>
      </c>
      <c r="EU669" s="1" t="s">
        <v>238</v>
      </c>
      <c r="EY669" s="1" t="s">
        <v>238</v>
      </c>
      <c r="FC669" s="1" t="s">
        <v>238</v>
      </c>
      <c r="FF669" s="1" t="s">
        <v>239</v>
      </c>
      <c r="FG669" s="1" t="s">
        <v>192</v>
      </c>
      <c r="FH669" s="1" t="s">
        <v>192</v>
      </c>
      <c r="FJ669" s="1" t="s">
        <v>7454</v>
      </c>
      <c r="FK669" s="1" t="s">
        <v>229</v>
      </c>
      <c r="FL669" s="1" t="s">
        <v>1675</v>
      </c>
      <c r="FM669" s="1">
        <v>12519.0</v>
      </c>
      <c r="FN669" s="1" t="s">
        <v>1676</v>
      </c>
      <c r="FO669" s="1" t="s">
        <v>1677</v>
      </c>
      <c r="FP669" s="1">
        <v>118439.0</v>
      </c>
      <c r="FQ669" s="1" t="s">
        <v>1678</v>
      </c>
      <c r="FU669" s="1" t="s">
        <v>1679</v>
      </c>
      <c r="FV669" s="1" t="s">
        <v>200</v>
      </c>
      <c r="FW669" s="1" t="s">
        <v>8231</v>
      </c>
      <c r="FX669" s="1" t="s">
        <v>246</v>
      </c>
      <c r="FZ669" s="1" t="s">
        <v>229</v>
      </c>
      <c r="GA669" s="1" t="s">
        <v>291</v>
      </c>
      <c r="GB669" s="2">
        <v>42144.0</v>
      </c>
      <c r="GC669" s="1" t="s">
        <v>8232</v>
      </c>
    </row>
    <row r="670">
      <c r="A670" s="1">
        <v>235000.0</v>
      </c>
      <c r="B670" s="1" t="s">
        <v>185</v>
      </c>
      <c r="C670" s="1" t="str">
        <f>"08801945"</f>
        <v>08801945</v>
      </c>
      <c r="D670" s="1" t="s">
        <v>186</v>
      </c>
      <c r="F670" s="1" t="str">
        <f>"8017"</f>
        <v>8017</v>
      </c>
      <c r="G670" s="2">
        <v>41987.0</v>
      </c>
      <c r="H670" s="1">
        <v>249999.0</v>
      </c>
      <c r="I670" s="1">
        <v>179.0</v>
      </c>
      <c r="J670" s="1">
        <v>249999.0</v>
      </c>
      <c r="K670" s="2">
        <v>41996.0</v>
      </c>
      <c r="L670" s="1">
        <v>10.0</v>
      </c>
      <c r="M670" s="2">
        <v>41996.0</v>
      </c>
      <c r="N670" s="1" t="s">
        <v>249</v>
      </c>
      <c r="O670" s="2">
        <v>42024.0</v>
      </c>
      <c r="P670" s="1">
        <v>80397.0</v>
      </c>
      <c r="Q670" s="1">
        <v>22029.0</v>
      </c>
      <c r="S670" s="1">
        <v>3307.0</v>
      </c>
      <c r="T670" s="1" t="s">
        <v>8233</v>
      </c>
      <c r="U670" s="1" t="s">
        <v>189</v>
      </c>
      <c r="V670" s="1" t="s">
        <v>190</v>
      </c>
      <c r="W670" s="1">
        <v>60634.0</v>
      </c>
      <c r="Y670" s="1" t="s">
        <v>8234</v>
      </c>
      <c r="Z670" s="1">
        <v>1927.0</v>
      </c>
      <c r="AA670" s="1" t="s">
        <v>192</v>
      </c>
      <c r="AB670" s="1" t="s">
        <v>193</v>
      </c>
      <c r="AD670" s="1" t="s">
        <v>194</v>
      </c>
      <c r="AE670" s="1" t="s">
        <v>195</v>
      </c>
      <c r="AF670" s="1" t="s">
        <v>196</v>
      </c>
      <c r="AH670" s="1" t="s">
        <v>8235</v>
      </c>
      <c r="AI670" s="1">
        <v>0.0826</v>
      </c>
      <c r="AK670" s="1">
        <v>11.0</v>
      </c>
      <c r="AL670" s="1">
        <v>3.0</v>
      </c>
      <c r="AM670" s="1">
        <v>3.0</v>
      </c>
      <c r="AN670" s="1">
        <v>0.0</v>
      </c>
      <c r="AO670" s="1" t="s">
        <v>229</v>
      </c>
      <c r="AQ670" s="1" t="s">
        <v>198</v>
      </c>
      <c r="AR670" s="1" t="s">
        <v>192</v>
      </c>
      <c r="AS670" s="1" t="s">
        <v>199</v>
      </c>
      <c r="AT670" s="1">
        <v>2.0</v>
      </c>
      <c r="AV670" s="1" t="s">
        <v>200</v>
      </c>
      <c r="AW670" s="4">
        <v>2588.2</v>
      </c>
      <c r="AX670" s="1">
        <v>2013.0</v>
      </c>
      <c r="AY670" s="1" t="s">
        <v>1179</v>
      </c>
      <c r="AZ670" s="1" t="s">
        <v>200</v>
      </c>
      <c r="BA670" s="1" t="str">
        <f>"12234170170000"</f>
        <v>12234170170000</v>
      </c>
      <c r="BC670" s="1">
        <v>1500.0</v>
      </c>
      <c r="BD670" s="1">
        <v>235000.0</v>
      </c>
      <c r="BE670" s="2">
        <v>41987.0</v>
      </c>
      <c r="BF670" s="2" t="s">
        <v>8236</v>
      </c>
      <c r="BH670" s="1">
        <v>0.0</v>
      </c>
      <c r="BK670" s="1" t="s">
        <v>204</v>
      </c>
      <c r="BL670" s="1" t="str">
        <f>"3307"</f>
        <v>3307</v>
      </c>
      <c r="BM670" s="1" t="str">
        <f>"0"</f>
        <v>0</v>
      </c>
      <c r="BN670" s="1">
        <v>7600.0</v>
      </c>
      <c r="BO670" s="1">
        <v>0.0</v>
      </c>
      <c r="BQ670" s="1">
        <v>299.0</v>
      </c>
      <c r="BR670" s="1">
        <v>299.0</v>
      </c>
      <c r="BS670" s="1">
        <v>299.0</v>
      </c>
      <c r="BU670" s="1" t="s">
        <v>214</v>
      </c>
      <c r="BV670" s="1" t="s">
        <v>206</v>
      </c>
      <c r="BW670" s="1" t="s">
        <v>207</v>
      </c>
      <c r="BY670" s="1" t="s">
        <v>3375</v>
      </c>
      <c r="BZ670" s="1" t="s">
        <v>209</v>
      </c>
      <c r="CA670" s="1" t="s">
        <v>210</v>
      </c>
      <c r="CC670" s="1" t="s">
        <v>215</v>
      </c>
      <c r="CD670" s="1" t="s">
        <v>206</v>
      </c>
      <c r="CE670" s="1" t="s">
        <v>207</v>
      </c>
      <c r="CG670" s="1" t="s">
        <v>495</v>
      </c>
      <c r="CH670" s="1" t="s">
        <v>206</v>
      </c>
      <c r="CI670" s="1" t="s">
        <v>210</v>
      </c>
      <c r="CK670" s="1" t="s">
        <v>516</v>
      </c>
      <c r="CL670" s="1" t="s">
        <v>206</v>
      </c>
      <c r="CO670" s="1" t="s">
        <v>264</v>
      </c>
      <c r="CP670" s="1" t="s">
        <v>42</v>
      </c>
      <c r="CS670" s="1" t="s">
        <v>215</v>
      </c>
      <c r="CT670" s="1" t="s">
        <v>206</v>
      </c>
      <c r="CU670" s="1" t="s">
        <v>268</v>
      </c>
      <c r="CW670" s="1" t="s">
        <v>497</v>
      </c>
      <c r="CX670" s="1" t="s">
        <v>42</v>
      </c>
      <c r="DA670" s="1" t="s">
        <v>200</v>
      </c>
      <c r="DC670" s="1" t="s">
        <v>785</v>
      </c>
      <c r="DD670" s="1" t="s">
        <v>396</v>
      </c>
      <c r="DE670" s="1" t="s">
        <v>273</v>
      </c>
      <c r="DF670" s="1" t="s">
        <v>219</v>
      </c>
      <c r="DG670" s="1" t="s">
        <v>482</v>
      </c>
      <c r="DH670" s="1" t="s">
        <v>365</v>
      </c>
      <c r="DI670" s="1" t="s">
        <v>1223</v>
      </c>
      <c r="DJ670" s="1" t="s">
        <v>222</v>
      </c>
      <c r="DL670" s="1" t="s">
        <v>1161</v>
      </c>
      <c r="DM670" s="1" t="s">
        <v>229</v>
      </c>
      <c r="DP670" s="1" t="s">
        <v>340</v>
      </c>
      <c r="DQ670" s="1" t="s">
        <v>228</v>
      </c>
      <c r="DR670" s="1" t="s">
        <v>229</v>
      </c>
      <c r="DV670" s="1" t="s">
        <v>8237</v>
      </c>
      <c r="DW670" s="1" t="s">
        <v>279</v>
      </c>
      <c r="DX670" s="1" t="s">
        <v>234</v>
      </c>
      <c r="DY670" s="1" t="s">
        <v>2579</v>
      </c>
      <c r="DZ670" s="1" t="s">
        <v>405</v>
      </c>
      <c r="EA670" s="1" t="s">
        <v>644</v>
      </c>
      <c r="EC670" s="1" t="s">
        <v>237</v>
      </c>
      <c r="ED670" s="1" t="s">
        <v>407</v>
      </c>
      <c r="EG670" s="1" t="s">
        <v>1228</v>
      </c>
      <c r="EH670" s="1" t="s">
        <v>408</v>
      </c>
      <c r="EI670" s="1" t="s">
        <v>449</v>
      </c>
      <c r="EJ670" s="1" t="s">
        <v>1407</v>
      </c>
      <c r="EL670" s="1" t="s">
        <v>516</v>
      </c>
      <c r="EM670" s="1" t="s">
        <v>206</v>
      </c>
      <c r="EN670" s="1" t="s">
        <v>210</v>
      </c>
      <c r="EP670" s="1" t="s">
        <v>8238</v>
      </c>
      <c r="EQ670" s="1" t="s">
        <v>206</v>
      </c>
      <c r="ET670" s="1" t="s">
        <v>263</v>
      </c>
      <c r="EU670" s="1" t="s">
        <v>206</v>
      </c>
      <c r="EV670" s="1" t="s">
        <v>268</v>
      </c>
      <c r="EX670" s="1" t="s">
        <v>497</v>
      </c>
      <c r="EY670" s="1" t="s">
        <v>42</v>
      </c>
      <c r="FC670" s="1" t="s">
        <v>238</v>
      </c>
      <c r="FF670" s="1" t="s">
        <v>239</v>
      </c>
      <c r="FG670" s="1" t="s">
        <v>192</v>
      </c>
      <c r="FH670" s="1" t="s">
        <v>192</v>
      </c>
      <c r="FJ670" s="1" t="s">
        <v>8239</v>
      </c>
      <c r="FK670" s="1" t="s">
        <v>348</v>
      </c>
      <c r="FL670" s="1" t="s">
        <v>8240</v>
      </c>
      <c r="FM670" s="1">
        <v>8340.0</v>
      </c>
      <c r="FN670" s="1" t="s">
        <v>8241</v>
      </c>
      <c r="FO670" s="1" t="s">
        <v>8242</v>
      </c>
      <c r="FP670" s="1">
        <v>921212.0</v>
      </c>
      <c r="FQ670" s="1" t="s">
        <v>8243</v>
      </c>
      <c r="FU670" s="1" t="s">
        <v>8244</v>
      </c>
      <c r="FV670" s="1" t="s">
        <v>200</v>
      </c>
      <c r="FW670" s="1" t="s">
        <v>290</v>
      </c>
      <c r="FX670" s="1" t="s">
        <v>238</v>
      </c>
      <c r="FZ670" s="1" t="s">
        <v>632</v>
      </c>
      <c r="GA670" s="1" t="s">
        <v>291</v>
      </c>
      <c r="GB670" s="2">
        <v>42025.0</v>
      </c>
      <c r="GC670" s="1" t="s">
        <v>8245</v>
      </c>
    </row>
    <row r="671">
      <c r="A671" s="1">
        <v>149000.0</v>
      </c>
      <c r="B671" s="1" t="s">
        <v>185</v>
      </c>
      <c r="C671" s="1" t="str">
        <f>"08801918"</f>
        <v>08801918</v>
      </c>
      <c r="D671" s="1" t="s">
        <v>186</v>
      </c>
      <c r="F671" s="1" t="str">
        <f>"8061"</f>
        <v>8061</v>
      </c>
      <c r="G671" s="2">
        <v>41987.0</v>
      </c>
      <c r="H671" s="1">
        <v>149900.0</v>
      </c>
      <c r="I671" s="1">
        <v>51.0</v>
      </c>
      <c r="J671" s="1">
        <v>149900.0</v>
      </c>
      <c r="K671" s="2">
        <v>42037.0</v>
      </c>
      <c r="L671" s="1">
        <v>51.0</v>
      </c>
      <c r="M671" s="2">
        <v>42037.0</v>
      </c>
      <c r="N671" s="1" t="s">
        <v>356</v>
      </c>
      <c r="O671" s="2">
        <v>42080.0</v>
      </c>
      <c r="P671" s="1">
        <v>146790.0</v>
      </c>
      <c r="Q671" s="1">
        <v>84818.0</v>
      </c>
      <c r="R671" s="1">
        <v>5000.0</v>
      </c>
      <c r="S671" s="1">
        <v>448.0</v>
      </c>
      <c r="T671" s="1" t="s">
        <v>8246</v>
      </c>
      <c r="U671" s="1" t="s">
        <v>320</v>
      </c>
      <c r="V671" s="1" t="s">
        <v>190</v>
      </c>
      <c r="W671" s="1">
        <v>60609.0</v>
      </c>
      <c r="Y671" s="1" t="s">
        <v>8247</v>
      </c>
      <c r="Z671" s="1">
        <v>1875.0</v>
      </c>
      <c r="AA671" s="1" t="s">
        <v>192</v>
      </c>
      <c r="AB671" s="1" t="s">
        <v>193</v>
      </c>
      <c r="AD671" s="1" t="s">
        <v>194</v>
      </c>
      <c r="AE671" s="1" t="s">
        <v>195</v>
      </c>
      <c r="AF671" s="1" t="s">
        <v>659</v>
      </c>
      <c r="AH671" s="1" t="s">
        <v>741</v>
      </c>
      <c r="AI671" s="1">
        <v>0.0689</v>
      </c>
      <c r="AK671" s="1">
        <v>7.0</v>
      </c>
      <c r="AL671" s="1">
        <v>3.0</v>
      </c>
      <c r="AM671" s="1">
        <v>2.0</v>
      </c>
      <c r="AN671" s="1">
        <v>0.0</v>
      </c>
      <c r="AO671" s="1" t="s">
        <v>198</v>
      </c>
      <c r="AQ671" s="1" t="s">
        <v>198</v>
      </c>
      <c r="AR671" s="1" t="s">
        <v>192</v>
      </c>
      <c r="AS671" s="1" t="s">
        <v>199</v>
      </c>
      <c r="AT671" s="1">
        <v>2.5</v>
      </c>
      <c r="AV671" s="1" t="s">
        <v>200</v>
      </c>
      <c r="AW671" s="1">
        <v>2129.29</v>
      </c>
      <c r="AX671" s="1">
        <v>2012.0</v>
      </c>
      <c r="AZ671" s="1" t="s">
        <v>200</v>
      </c>
      <c r="BA671" s="1" t="str">
        <f>"20043170160000"</f>
        <v>20043170160000</v>
      </c>
      <c r="BC671" s="1">
        <v>1800.0</v>
      </c>
      <c r="BD671" s="1">
        <v>149000.0</v>
      </c>
      <c r="BE671" s="2">
        <v>41987.0</v>
      </c>
      <c r="BF671" s="1" t="s">
        <v>8248</v>
      </c>
      <c r="BH671" s="1">
        <v>0.0</v>
      </c>
      <c r="BK671" s="1" t="s">
        <v>204</v>
      </c>
      <c r="BL671" s="1" t="str">
        <f t="shared" ref="BL671:BM671" si="449">"0"</f>
        <v>0</v>
      </c>
      <c r="BM671" s="1" t="str">
        <f t="shared" si="449"/>
        <v>0</v>
      </c>
      <c r="BN671" s="1">
        <v>448.0</v>
      </c>
      <c r="BO671" s="1">
        <v>4500.0</v>
      </c>
      <c r="BQ671" s="1">
        <v>299.0</v>
      </c>
      <c r="BR671" s="1">
        <v>299.0</v>
      </c>
      <c r="BS671" s="1">
        <v>299.0</v>
      </c>
      <c r="BU671" s="1" t="s">
        <v>1875</v>
      </c>
      <c r="BV671" s="1" t="s">
        <v>206</v>
      </c>
      <c r="BW671" s="1" t="s">
        <v>207</v>
      </c>
      <c r="BY671" s="1" t="s">
        <v>1939</v>
      </c>
      <c r="BZ671" s="1" t="s">
        <v>206</v>
      </c>
      <c r="CA671" s="1" t="s">
        <v>207</v>
      </c>
      <c r="CD671" s="1" t="s">
        <v>204</v>
      </c>
      <c r="CG671" s="1" t="s">
        <v>1939</v>
      </c>
      <c r="CH671" s="1" t="s">
        <v>206</v>
      </c>
      <c r="CI671" s="1" t="s">
        <v>588</v>
      </c>
      <c r="CK671" s="1" t="s">
        <v>1245</v>
      </c>
      <c r="CL671" s="1" t="s">
        <v>206</v>
      </c>
      <c r="CM671" s="1" t="s">
        <v>207</v>
      </c>
      <c r="CO671" s="1" t="s">
        <v>1137</v>
      </c>
      <c r="CP671" s="1" t="s">
        <v>42</v>
      </c>
      <c r="CS671" s="1" t="s">
        <v>1875</v>
      </c>
      <c r="CT671" s="1" t="s">
        <v>206</v>
      </c>
      <c r="CU671" s="1" t="s">
        <v>617</v>
      </c>
      <c r="CW671" s="1" t="s">
        <v>2592</v>
      </c>
      <c r="CX671" s="1" t="s">
        <v>42</v>
      </c>
      <c r="CY671" s="1" t="s">
        <v>588</v>
      </c>
      <c r="DA671" s="1" t="s">
        <v>200</v>
      </c>
      <c r="DC671" s="1" t="s">
        <v>642</v>
      </c>
      <c r="DE671" s="1" t="s">
        <v>273</v>
      </c>
      <c r="DF671" s="1" t="s">
        <v>219</v>
      </c>
      <c r="DH671" s="1" t="s">
        <v>307</v>
      </c>
      <c r="DJ671" s="1" t="s">
        <v>222</v>
      </c>
      <c r="DL671" s="1" t="s">
        <v>224</v>
      </c>
      <c r="DM671" s="1" t="s">
        <v>229</v>
      </c>
      <c r="DQ671" s="1" t="s">
        <v>228</v>
      </c>
      <c r="DR671" s="1" t="s">
        <v>229</v>
      </c>
      <c r="DS671" s="1" t="s">
        <v>230</v>
      </c>
      <c r="DV671" s="1" t="s">
        <v>232</v>
      </c>
      <c r="DW671" s="1" t="s">
        <v>279</v>
      </c>
      <c r="DX671" s="1" t="s">
        <v>234</v>
      </c>
      <c r="DY671" s="1" t="s">
        <v>704</v>
      </c>
      <c r="EC671" s="1" t="s">
        <v>311</v>
      </c>
      <c r="ED671" s="1" t="s">
        <v>555</v>
      </c>
      <c r="EM671" s="1" t="s">
        <v>238</v>
      </c>
      <c r="EQ671" s="1" t="s">
        <v>238</v>
      </c>
      <c r="EU671" s="1" t="s">
        <v>238</v>
      </c>
      <c r="EY671" s="1" t="s">
        <v>238</v>
      </c>
      <c r="FC671" s="1" t="s">
        <v>238</v>
      </c>
      <c r="FF671" s="1" t="s">
        <v>239</v>
      </c>
      <c r="FG671" s="1" t="s">
        <v>192</v>
      </c>
      <c r="FH671" s="1" t="s">
        <v>192</v>
      </c>
      <c r="FJ671" s="1" t="s">
        <v>561</v>
      </c>
      <c r="FK671" s="1" t="s">
        <v>229</v>
      </c>
      <c r="FL671" s="1" t="s">
        <v>562</v>
      </c>
      <c r="FM671" s="1">
        <v>16379.0</v>
      </c>
      <c r="FN671" s="1" t="s">
        <v>563</v>
      </c>
      <c r="FO671" s="1" t="s">
        <v>8249</v>
      </c>
      <c r="FP671" s="1">
        <v>184165.0</v>
      </c>
      <c r="FQ671" s="1" t="s">
        <v>8250</v>
      </c>
      <c r="FU671" s="1" t="s">
        <v>8251</v>
      </c>
      <c r="FV671" s="1" t="s">
        <v>192</v>
      </c>
      <c r="FW671" s="1" t="s">
        <v>290</v>
      </c>
      <c r="FX671" s="1" t="s">
        <v>246</v>
      </c>
      <c r="FZ671" s="1" t="s">
        <v>229</v>
      </c>
      <c r="GA671" s="1" t="s">
        <v>291</v>
      </c>
      <c r="GB671" s="2">
        <v>42080.0</v>
      </c>
      <c r="GC671" s="1" t="s">
        <v>8252</v>
      </c>
    </row>
    <row r="672">
      <c r="A672" s="1">
        <v>180000.0</v>
      </c>
      <c r="B672" s="1" t="s">
        <v>185</v>
      </c>
      <c r="C672" s="1" t="str">
        <f>"08800648"</f>
        <v>08800648</v>
      </c>
      <c r="D672" s="1" t="s">
        <v>186</v>
      </c>
      <c r="F672" s="1" t="str">
        <f>"103"</f>
        <v>103</v>
      </c>
      <c r="G672" s="2">
        <v>41984.0</v>
      </c>
      <c r="H672" s="1">
        <v>200000.0</v>
      </c>
      <c r="I672" s="1">
        <v>443.0</v>
      </c>
      <c r="J672" s="1">
        <v>189000.0</v>
      </c>
      <c r="K672" s="2">
        <v>42059.0</v>
      </c>
      <c r="L672" s="1">
        <v>77.0</v>
      </c>
      <c r="M672" s="2">
        <v>42059.0</v>
      </c>
      <c r="N672" s="1" t="s">
        <v>356</v>
      </c>
      <c r="O672" s="2">
        <v>42138.0</v>
      </c>
      <c r="P672" s="1">
        <v>920126.0</v>
      </c>
      <c r="Q672" s="1">
        <v>8058.0</v>
      </c>
      <c r="R672" s="1">
        <v>3500.0</v>
      </c>
      <c r="S672" s="1">
        <v>1521.0</v>
      </c>
      <c r="T672" s="1" t="s">
        <v>8253</v>
      </c>
      <c r="U672" s="1" t="s">
        <v>189</v>
      </c>
      <c r="V672" s="1" t="s">
        <v>251</v>
      </c>
      <c r="W672" s="1">
        <v>60133.0</v>
      </c>
      <c r="Y672" s="1" t="s">
        <v>8254</v>
      </c>
      <c r="Z672" s="1">
        <v>1964.0</v>
      </c>
      <c r="AA672" s="1" t="s">
        <v>192</v>
      </c>
      <c r="AB672" s="1" t="s">
        <v>193</v>
      </c>
      <c r="AD672" s="1" t="s">
        <v>254</v>
      </c>
      <c r="AE672" s="1" t="s">
        <v>195</v>
      </c>
      <c r="AF672" s="1" t="s">
        <v>255</v>
      </c>
      <c r="AH672" s="1" t="s">
        <v>8255</v>
      </c>
      <c r="AI672" s="1">
        <v>0.1791</v>
      </c>
      <c r="AK672" s="1">
        <v>8.0</v>
      </c>
      <c r="AL672" s="1">
        <v>4.0</v>
      </c>
      <c r="AM672" s="1">
        <v>2.0</v>
      </c>
      <c r="AN672" s="1">
        <v>0.0</v>
      </c>
      <c r="AO672" s="1" t="s">
        <v>229</v>
      </c>
      <c r="AP672" s="1">
        <v>1.0</v>
      </c>
      <c r="AQ672" s="1" t="s">
        <v>198</v>
      </c>
      <c r="AR672" s="1" t="s">
        <v>192</v>
      </c>
      <c r="AS672" s="1" t="s">
        <v>199</v>
      </c>
      <c r="AT672" s="1">
        <v>1.5</v>
      </c>
      <c r="AV672" s="1" t="s">
        <v>200</v>
      </c>
      <c r="AW672" s="1">
        <v>3983.01</v>
      </c>
      <c r="AX672" s="1">
        <v>2013.0</v>
      </c>
      <c r="AY672" s="1" t="s">
        <v>1179</v>
      </c>
      <c r="AZ672" s="1" t="s">
        <v>200</v>
      </c>
      <c r="BA672" s="1" t="str">
        <f>"07311060060000"</f>
        <v>07311060060000</v>
      </c>
      <c r="BC672" s="1">
        <v>2000.0</v>
      </c>
      <c r="BD672" s="1">
        <v>180000.0</v>
      </c>
      <c r="BE672" s="2">
        <v>41983.0</v>
      </c>
      <c r="BF672" s="2" t="s">
        <v>8256</v>
      </c>
      <c r="BG672" s="1" t="s">
        <v>7277</v>
      </c>
      <c r="BH672" s="1">
        <v>0.0</v>
      </c>
      <c r="BI672" s="1" t="s">
        <v>7877</v>
      </c>
      <c r="BJ672" s="1" t="s">
        <v>259</v>
      </c>
      <c r="BK672" s="1" t="s">
        <v>204</v>
      </c>
      <c r="BL672" s="1" t="str">
        <f>"8"</f>
        <v>8</v>
      </c>
      <c r="BM672" s="1" t="str">
        <f>"0"</f>
        <v>0</v>
      </c>
      <c r="BN672" s="1">
        <v>26.0</v>
      </c>
      <c r="BO672" s="1">
        <v>0.0</v>
      </c>
      <c r="BQ672" s="1">
        <v>54.0</v>
      </c>
      <c r="BR672" s="1">
        <v>211.0</v>
      </c>
      <c r="BS672" s="1">
        <v>54.0</v>
      </c>
      <c r="BU672" s="1" t="s">
        <v>1483</v>
      </c>
      <c r="BV672" s="1" t="s">
        <v>206</v>
      </c>
      <c r="BW672" s="1" t="s">
        <v>301</v>
      </c>
      <c r="BX672" s="1" t="s">
        <v>229</v>
      </c>
      <c r="BY672" s="1" t="s">
        <v>647</v>
      </c>
      <c r="BZ672" s="1" t="s">
        <v>206</v>
      </c>
      <c r="CA672" s="1" t="s">
        <v>301</v>
      </c>
      <c r="CB672" s="1" t="s">
        <v>229</v>
      </c>
      <c r="CC672" s="1" t="s">
        <v>265</v>
      </c>
      <c r="CD672" s="1" t="s">
        <v>206</v>
      </c>
      <c r="CE672" s="1" t="s">
        <v>301</v>
      </c>
      <c r="CF672" s="1" t="s">
        <v>229</v>
      </c>
      <c r="CG672" s="1" t="s">
        <v>269</v>
      </c>
      <c r="CH672" s="1" t="s">
        <v>206</v>
      </c>
      <c r="CI672" s="1" t="s">
        <v>301</v>
      </c>
      <c r="CJ672" s="1" t="s">
        <v>229</v>
      </c>
      <c r="CK672" s="1" t="s">
        <v>1417</v>
      </c>
      <c r="CL672" s="1" t="s">
        <v>206</v>
      </c>
      <c r="CM672" s="1" t="s">
        <v>301</v>
      </c>
      <c r="CN672" s="1" t="s">
        <v>229</v>
      </c>
      <c r="CO672" s="1" t="s">
        <v>262</v>
      </c>
      <c r="CP672" s="1" t="s">
        <v>267</v>
      </c>
      <c r="CQ672" s="1" t="s">
        <v>301</v>
      </c>
      <c r="CR672" s="1" t="s">
        <v>229</v>
      </c>
      <c r="CS672" s="1" t="s">
        <v>497</v>
      </c>
      <c r="CT672" s="1" t="s">
        <v>206</v>
      </c>
      <c r="CU672" s="1" t="s">
        <v>268</v>
      </c>
      <c r="CV672" s="1" t="s">
        <v>229</v>
      </c>
      <c r="CW672" s="1" t="s">
        <v>205</v>
      </c>
      <c r="CX672" s="1" t="s">
        <v>267</v>
      </c>
      <c r="CY672" s="1" t="s">
        <v>588</v>
      </c>
      <c r="CZ672" s="1" t="s">
        <v>229</v>
      </c>
      <c r="DA672" s="1" t="s">
        <v>200</v>
      </c>
      <c r="DC672" s="1" t="s">
        <v>271</v>
      </c>
      <c r="DD672" s="1" t="s">
        <v>518</v>
      </c>
      <c r="DE672" s="1" t="s">
        <v>229</v>
      </c>
      <c r="DF672" s="1" t="s">
        <v>219</v>
      </c>
      <c r="DH672" s="1" t="s">
        <v>220</v>
      </c>
      <c r="DI672" s="1" t="s">
        <v>1401</v>
      </c>
      <c r="DJ672" s="1" t="s">
        <v>222</v>
      </c>
      <c r="DK672" s="1" t="s">
        <v>223</v>
      </c>
      <c r="DL672" s="1" t="s">
        <v>224</v>
      </c>
      <c r="DM672" s="1" t="s">
        <v>3697</v>
      </c>
      <c r="DO672" s="1" t="s">
        <v>549</v>
      </c>
      <c r="DP672" s="1" t="s">
        <v>8257</v>
      </c>
      <c r="DQ672" s="1" t="s">
        <v>228</v>
      </c>
      <c r="DR672" s="1" t="s">
        <v>229</v>
      </c>
      <c r="DS672" s="1" t="s">
        <v>230</v>
      </c>
      <c r="DU672" s="1" t="s">
        <v>487</v>
      </c>
      <c r="DV672" s="1" t="s">
        <v>232</v>
      </c>
      <c r="DW672" s="1" t="s">
        <v>444</v>
      </c>
      <c r="DX672" s="1" t="s">
        <v>5015</v>
      </c>
      <c r="DY672" s="1" t="s">
        <v>861</v>
      </c>
      <c r="DZ672" s="1" t="s">
        <v>405</v>
      </c>
      <c r="EB672" s="1" t="s">
        <v>345</v>
      </c>
      <c r="EC672" s="1" t="s">
        <v>311</v>
      </c>
      <c r="ED672" s="1" t="s">
        <v>407</v>
      </c>
      <c r="EE672" s="1" t="s">
        <v>493</v>
      </c>
      <c r="EM672" s="1" t="s">
        <v>238</v>
      </c>
      <c r="EQ672" s="1" t="s">
        <v>238</v>
      </c>
      <c r="EU672" s="1" t="s">
        <v>238</v>
      </c>
      <c r="EY672" s="1" t="s">
        <v>238</v>
      </c>
      <c r="FC672" s="1" t="s">
        <v>238</v>
      </c>
      <c r="FF672" s="1" t="s">
        <v>239</v>
      </c>
      <c r="FG672" s="1" t="s">
        <v>200</v>
      </c>
      <c r="FH672" s="1" t="s">
        <v>192</v>
      </c>
      <c r="FJ672" s="1" t="s">
        <v>1450</v>
      </c>
      <c r="FK672" s="1" t="s">
        <v>229</v>
      </c>
      <c r="FL672" s="1" t="s">
        <v>8240</v>
      </c>
      <c r="FM672" s="1">
        <v>8340.0</v>
      </c>
      <c r="FN672" s="1" t="s">
        <v>8241</v>
      </c>
      <c r="FO672" s="1" t="s">
        <v>8258</v>
      </c>
      <c r="FP672" s="1">
        <v>87416.0</v>
      </c>
      <c r="FQ672" s="1" t="s">
        <v>8259</v>
      </c>
      <c r="FU672" s="1" t="s">
        <v>4990</v>
      </c>
      <c r="FV672" s="1" t="s">
        <v>200</v>
      </c>
      <c r="FW672" s="1" t="s">
        <v>8260</v>
      </c>
      <c r="FZ672" s="1" t="s">
        <v>229</v>
      </c>
      <c r="GA672" s="1" t="s">
        <v>291</v>
      </c>
      <c r="GB672" s="2">
        <v>42138.0</v>
      </c>
    </row>
    <row r="673">
      <c r="A673" s="1">
        <v>68750.0</v>
      </c>
      <c r="B673" s="1" t="s">
        <v>185</v>
      </c>
      <c r="C673" s="1" t="str">
        <f>"08800268"</f>
        <v>08800268</v>
      </c>
      <c r="D673" s="1" t="s">
        <v>186</v>
      </c>
      <c r="F673" s="1" t="str">
        <f>"8066"</f>
        <v>8066</v>
      </c>
      <c r="G673" s="2">
        <v>41983.0</v>
      </c>
      <c r="H673" s="1">
        <v>57900.0</v>
      </c>
      <c r="I673" s="1">
        <v>32.0</v>
      </c>
      <c r="J673" s="1">
        <v>57900.0</v>
      </c>
      <c r="K673" s="2">
        <v>42013.0</v>
      </c>
      <c r="L673" s="1">
        <v>32.0</v>
      </c>
      <c r="M673" s="2">
        <v>42013.0</v>
      </c>
      <c r="N673" s="1" t="s">
        <v>249</v>
      </c>
      <c r="O673" s="2">
        <v>42026.0</v>
      </c>
      <c r="P673" s="1">
        <v>407047.0</v>
      </c>
      <c r="Q673" s="1">
        <v>84719.0</v>
      </c>
      <c r="R673" s="1">
        <v>1500.0</v>
      </c>
      <c r="S673" s="1">
        <v>5943.0</v>
      </c>
      <c r="T673" s="1" t="s">
        <v>7086</v>
      </c>
      <c r="U673" s="1" t="s">
        <v>189</v>
      </c>
      <c r="V673" s="1" t="s">
        <v>190</v>
      </c>
      <c r="W673" s="1">
        <v>60629.0</v>
      </c>
      <c r="Y673" s="1" t="s">
        <v>8261</v>
      </c>
      <c r="Z673" s="1">
        <v>1923.0</v>
      </c>
      <c r="AA673" s="1" t="s">
        <v>192</v>
      </c>
      <c r="AB673" s="1" t="s">
        <v>193</v>
      </c>
      <c r="AD673" s="1" t="s">
        <v>194</v>
      </c>
      <c r="AE673" s="1" t="s">
        <v>195</v>
      </c>
      <c r="AF673" s="1" t="s">
        <v>659</v>
      </c>
      <c r="AH673" s="1" t="s">
        <v>1501</v>
      </c>
      <c r="AI673" s="1">
        <v>0.0861</v>
      </c>
      <c r="AK673" s="1">
        <v>7.0</v>
      </c>
      <c r="AL673" s="1">
        <v>4.0</v>
      </c>
      <c r="AM673" s="1">
        <v>2.0</v>
      </c>
      <c r="AN673" s="1">
        <v>0.0</v>
      </c>
      <c r="AO673" s="1" t="s">
        <v>229</v>
      </c>
      <c r="AQ673" s="1" t="s">
        <v>198</v>
      </c>
      <c r="AR673" s="1" t="s">
        <v>192</v>
      </c>
      <c r="AS673" s="1" t="s">
        <v>199</v>
      </c>
      <c r="AT673" s="1">
        <v>2.0</v>
      </c>
      <c r="AV673" s="1" t="s">
        <v>200</v>
      </c>
      <c r="AW673" s="1">
        <v>1322.0</v>
      </c>
      <c r="AX673" s="1">
        <v>2013.0</v>
      </c>
      <c r="AZ673" s="1" t="s">
        <v>200</v>
      </c>
      <c r="BA673" s="1" t="str">
        <f>"19134000200000"</f>
        <v>19134000200000</v>
      </c>
      <c r="BC673" s="1">
        <v>1179.0</v>
      </c>
      <c r="BD673" s="1">
        <v>68750.0</v>
      </c>
      <c r="BE673" s="2">
        <v>41982.0</v>
      </c>
      <c r="BF673" s="2" t="s">
        <v>8262</v>
      </c>
      <c r="BH673" s="1">
        <v>0.0</v>
      </c>
      <c r="BK673" s="1" t="s">
        <v>204</v>
      </c>
      <c r="BL673" s="1" t="str">
        <f t="shared" ref="BL673:BM673" si="450">"0"</f>
        <v>0</v>
      </c>
      <c r="BM673" s="1" t="str">
        <f t="shared" si="450"/>
        <v>0</v>
      </c>
      <c r="BN673" s="1">
        <v>2800.0</v>
      </c>
      <c r="BO673" s="1">
        <v>5943.0</v>
      </c>
      <c r="BQ673" s="1">
        <v>299.0</v>
      </c>
      <c r="BR673" s="1">
        <v>299.0</v>
      </c>
      <c r="BS673" s="1">
        <v>299.0</v>
      </c>
      <c r="BU673" s="1" t="s">
        <v>433</v>
      </c>
      <c r="BV673" s="1" t="s">
        <v>206</v>
      </c>
      <c r="BY673" s="1" t="s">
        <v>264</v>
      </c>
      <c r="BZ673" s="1" t="s">
        <v>206</v>
      </c>
      <c r="CC673" s="1" t="s">
        <v>363</v>
      </c>
      <c r="CD673" s="1" t="s">
        <v>206</v>
      </c>
      <c r="CG673" s="1" t="s">
        <v>265</v>
      </c>
      <c r="CH673" s="1" t="s">
        <v>209</v>
      </c>
      <c r="CK673" s="1" t="s">
        <v>265</v>
      </c>
      <c r="CL673" s="1" t="s">
        <v>209</v>
      </c>
      <c r="CO673" s="1" t="s">
        <v>264</v>
      </c>
      <c r="CP673" s="1" t="s">
        <v>209</v>
      </c>
      <c r="CS673" s="1" t="s">
        <v>329</v>
      </c>
      <c r="CT673" s="1" t="s">
        <v>206</v>
      </c>
      <c r="CX673" s="1" t="s">
        <v>204</v>
      </c>
      <c r="DA673" s="1" t="s">
        <v>200</v>
      </c>
      <c r="DC673" s="1" t="s">
        <v>216</v>
      </c>
      <c r="DE673" s="1" t="s">
        <v>229</v>
      </c>
      <c r="DF673" s="1" t="s">
        <v>619</v>
      </c>
      <c r="DH673" s="1" t="s">
        <v>365</v>
      </c>
      <c r="DJ673" s="1" t="s">
        <v>222</v>
      </c>
      <c r="DL673" s="1" t="s">
        <v>858</v>
      </c>
      <c r="DM673" s="1" t="s">
        <v>229</v>
      </c>
      <c r="DQ673" s="1" t="s">
        <v>228</v>
      </c>
      <c r="DR673" s="1" t="s">
        <v>229</v>
      </c>
      <c r="DV673" s="1" t="s">
        <v>232</v>
      </c>
      <c r="DW673" s="1" t="s">
        <v>279</v>
      </c>
      <c r="DX673" s="1" t="s">
        <v>234</v>
      </c>
      <c r="EA673" s="1" t="s">
        <v>644</v>
      </c>
      <c r="EC673" s="1" t="s">
        <v>645</v>
      </c>
      <c r="EM673" s="1" t="s">
        <v>238</v>
      </c>
      <c r="EQ673" s="1" t="s">
        <v>238</v>
      </c>
      <c r="EU673" s="1" t="s">
        <v>238</v>
      </c>
      <c r="EY673" s="1" t="s">
        <v>238</v>
      </c>
      <c r="FC673" s="1" t="s">
        <v>238</v>
      </c>
      <c r="FF673" s="1" t="s">
        <v>239</v>
      </c>
      <c r="FG673" s="1" t="s">
        <v>192</v>
      </c>
      <c r="FH673" s="1" t="s">
        <v>192</v>
      </c>
      <c r="FJ673" s="1" t="s">
        <v>7365</v>
      </c>
      <c r="FK673" s="1" t="s">
        <v>229</v>
      </c>
      <c r="FL673" s="1" t="s">
        <v>7366</v>
      </c>
      <c r="FM673" s="1">
        <v>84674.0</v>
      </c>
      <c r="FN673" s="1" t="s">
        <v>7367</v>
      </c>
      <c r="FO673" s="1" t="s">
        <v>7368</v>
      </c>
      <c r="FP673" s="1">
        <v>109817.0</v>
      </c>
      <c r="FQ673" s="1" t="s">
        <v>7369</v>
      </c>
      <c r="FR673" s="1">
        <v>178784.0</v>
      </c>
      <c r="FU673" s="1" t="s">
        <v>710</v>
      </c>
      <c r="FV673" s="1" t="s">
        <v>200</v>
      </c>
      <c r="FW673" s="1" t="s">
        <v>1307</v>
      </c>
      <c r="FX673" s="1" t="s">
        <v>655</v>
      </c>
      <c r="FZ673" s="1" t="s">
        <v>229</v>
      </c>
      <c r="GA673" s="1" t="s">
        <v>291</v>
      </c>
      <c r="GB673" s="2">
        <v>42026.0</v>
      </c>
      <c r="GC673" s="1" t="s">
        <v>8263</v>
      </c>
    </row>
    <row r="674">
      <c r="A674" s="1">
        <v>397000.0</v>
      </c>
      <c r="B674" s="1" t="s">
        <v>185</v>
      </c>
      <c r="C674" s="1" t="str">
        <f>"08800819"</f>
        <v>08800819</v>
      </c>
      <c r="D674" s="1" t="s">
        <v>186</v>
      </c>
      <c r="F674" s="1" t="str">
        <f>"8011"</f>
        <v>8011</v>
      </c>
      <c r="G674" s="2">
        <v>41984.0</v>
      </c>
      <c r="H674" s="1">
        <v>399000.0</v>
      </c>
      <c r="I674" s="1">
        <v>120.0</v>
      </c>
      <c r="J674" s="1">
        <v>399000.0</v>
      </c>
      <c r="K674" s="2">
        <v>42017.0</v>
      </c>
      <c r="L674" s="1">
        <v>34.0</v>
      </c>
      <c r="M674" s="2">
        <v>42017.0</v>
      </c>
      <c r="N674" s="1" t="s">
        <v>187</v>
      </c>
      <c r="O674" s="2">
        <v>42047.0</v>
      </c>
      <c r="P674" s="1">
        <v>856154.0</v>
      </c>
      <c r="Q674" s="1">
        <v>18080.0</v>
      </c>
      <c r="R674" s="1">
        <v>7940.0</v>
      </c>
      <c r="S674" s="1">
        <v>5201.0</v>
      </c>
      <c r="T674" s="1" t="s">
        <v>8264</v>
      </c>
      <c r="U674" s="1" t="s">
        <v>189</v>
      </c>
      <c r="V674" s="1" t="s">
        <v>190</v>
      </c>
      <c r="W674" s="1">
        <v>60630.0</v>
      </c>
      <c r="Y674" s="1" t="s">
        <v>8265</v>
      </c>
      <c r="Z674" s="1">
        <v>1947.0</v>
      </c>
      <c r="AA674" s="1" t="s">
        <v>192</v>
      </c>
      <c r="AB674" s="1" t="s">
        <v>193</v>
      </c>
      <c r="AD674" s="1" t="s">
        <v>194</v>
      </c>
      <c r="AE674" s="1" t="s">
        <v>195</v>
      </c>
      <c r="AF674" s="1" t="s">
        <v>196</v>
      </c>
      <c r="AG674" s="1" t="s">
        <v>8266</v>
      </c>
      <c r="AH674" s="1" t="s">
        <v>8267</v>
      </c>
      <c r="AK674" s="1">
        <v>9.0</v>
      </c>
      <c r="AL674" s="1">
        <v>3.0</v>
      </c>
      <c r="AM674" s="1">
        <v>3.0</v>
      </c>
      <c r="AN674" s="1">
        <v>0.0</v>
      </c>
      <c r="AO674" s="1" t="s">
        <v>198</v>
      </c>
      <c r="AP674" s="1">
        <v>0.0</v>
      </c>
      <c r="AQ674" s="1" t="s">
        <v>198</v>
      </c>
      <c r="AR674" s="1" t="s">
        <v>192</v>
      </c>
      <c r="AS674" s="1" t="s">
        <v>199</v>
      </c>
      <c r="AT674" s="1">
        <v>2.5</v>
      </c>
      <c r="AV674" s="1" t="s">
        <v>200</v>
      </c>
      <c r="AW674" s="1">
        <v>3581.0</v>
      </c>
      <c r="AX674" s="1">
        <v>2012.0</v>
      </c>
      <c r="AY674" s="1" t="s">
        <v>387</v>
      </c>
      <c r="AZ674" s="1" t="s">
        <v>200</v>
      </c>
      <c r="BA674" s="1" t="str">
        <f>"13081280200000"</f>
        <v>13081280200000</v>
      </c>
      <c r="BC674" s="1">
        <v>2400.0</v>
      </c>
      <c r="BD674" s="1">
        <v>397000.0</v>
      </c>
      <c r="BE674" s="2">
        <v>41984.0</v>
      </c>
      <c r="BF674" s="2" t="s">
        <v>8268</v>
      </c>
      <c r="BG674" s="1" t="s">
        <v>8269</v>
      </c>
      <c r="BH674" s="1">
        <v>0.0</v>
      </c>
      <c r="BJ674" s="1" t="s">
        <v>1222</v>
      </c>
      <c r="BK674" s="1" t="s">
        <v>204</v>
      </c>
      <c r="BL674" s="1" t="str">
        <f>"5201"</f>
        <v>5201</v>
      </c>
      <c r="BM674" s="1" t="str">
        <f>"0"</f>
        <v>0</v>
      </c>
      <c r="BN674" s="1">
        <v>6200.0</v>
      </c>
      <c r="BO674" s="1">
        <v>0.0</v>
      </c>
      <c r="BQ674" s="1">
        <v>299.0</v>
      </c>
      <c r="BR674" s="1">
        <v>299.0</v>
      </c>
      <c r="BS674" s="1">
        <v>299.0</v>
      </c>
      <c r="BU674" s="1" t="s">
        <v>2181</v>
      </c>
      <c r="BV674" s="1" t="s">
        <v>206</v>
      </c>
      <c r="BW674" s="1" t="s">
        <v>207</v>
      </c>
      <c r="BY674" s="1" t="s">
        <v>830</v>
      </c>
      <c r="BZ674" s="1" t="s">
        <v>209</v>
      </c>
      <c r="CA674" s="1" t="s">
        <v>207</v>
      </c>
      <c r="CC674" s="1" t="s">
        <v>663</v>
      </c>
      <c r="CD674" s="1" t="s">
        <v>206</v>
      </c>
      <c r="CE674" s="1" t="s">
        <v>207</v>
      </c>
      <c r="CG674" s="1" t="s">
        <v>2459</v>
      </c>
      <c r="CH674" s="1" t="s">
        <v>209</v>
      </c>
      <c r="CI674" s="1" t="s">
        <v>210</v>
      </c>
      <c r="CK674" s="1" t="s">
        <v>1183</v>
      </c>
      <c r="CL674" s="1" t="s">
        <v>209</v>
      </c>
      <c r="CM674" s="1" t="s">
        <v>210</v>
      </c>
      <c r="CO674" s="1" t="s">
        <v>663</v>
      </c>
      <c r="CP674" s="1" t="s">
        <v>42</v>
      </c>
      <c r="CQ674" s="1" t="s">
        <v>210</v>
      </c>
      <c r="CS674" s="1" t="s">
        <v>363</v>
      </c>
      <c r="CT674" s="1" t="s">
        <v>206</v>
      </c>
      <c r="CU674" s="1" t="s">
        <v>207</v>
      </c>
      <c r="CW674" s="1" t="s">
        <v>211</v>
      </c>
      <c r="CX674" s="1" t="s">
        <v>42</v>
      </c>
      <c r="CY674" s="1" t="s">
        <v>210</v>
      </c>
      <c r="DA674" s="1" t="s">
        <v>200</v>
      </c>
      <c r="DC674" s="1" t="s">
        <v>702</v>
      </c>
      <c r="DD674" s="1" t="s">
        <v>272</v>
      </c>
      <c r="DE674" s="1" t="s">
        <v>273</v>
      </c>
      <c r="DF674" s="1" t="s">
        <v>219</v>
      </c>
      <c r="DG674" s="1" t="s">
        <v>8270</v>
      </c>
      <c r="DH674" s="1" t="s">
        <v>220</v>
      </c>
      <c r="DI674" s="1" t="s">
        <v>8271</v>
      </c>
      <c r="DJ674" s="1" t="s">
        <v>222</v>
      </c>
      <c r="DL674" s="1" t="s">
        <v>1161</v>
      </c>
      <c r="DM674" s="1" t="s">
        <v>1658</v>
      </c>
      <c r="DN674" s="1" t="s">
        <v>485</v>
      </c>
      <c r="DO674" s="1" t="s">
        <v>2421</v>
      </c>
      <c r="DQ674" s="1" t="s">
        <v>228</v>
      </c>
      <c r="DR674" s="1" t="s">
        <v>229</v>
      </c>
      <c r="DS674" s="1" t="s">
        <v>368</v>
      </c>
      <c r="DU674" s="1" t="s">
        <v>487</v>
      </c>
      <c r="DV674" s="1" t="s">
        <v>8272</v>
      </c>
      <c r="DW674" s="1" t="s">
        <v>444</v>
      </c>
      <c r="DX674" s="1" t="s">
        <v>309</v>
      </c>
      <c r="DY674" s="1" t="s">
        <v>8273</v>
      </c>
      <c r="DZ674" s="1" t="s">
        <v>8274</v>
      </c>
      <c r="EC674" s="1" t="s">
        <v>237</v>
      </c>
      <c r="ED674" s="1" t="s">
        <v>555</v>
      </c>
      <c r="EG674" s="1" t="s">
        <v>557</v>
      </c>
      <c r="EH674" s="1" t="s">
        <v>1270</v>
      </c>
      <c r="EI674" s="1" t="s">
        <v>409</v>
      </c>
      <c r="EL674" s="1" t="s">
        <v>266</v>
      </c>
      <c r="EM674" s="1" t="s">
        <v>42</v>
      </c>
      <c r="EN674" s="1" t="s">
        <v>210</v>
      </c>
      <c r="EP674" s="1" t="s">
        <v>8275</v>
      </c>
      <c r="EQ674" s="1" t="s">
        <v>42</v>
      </c>
      <c r="ER674" s="1" t="s">
        <v>588</v>
      </c>
      <c r="ET674" s="1" t="s">
        <v>8276</v>
      </c>
      <c r="EU674" s="1" t="s">
        <v>209</v>
      </c>
      <c r="EV674" s="1" t="s">
        <v>207</v>
      </c>
      <c r="EY674" s="1" t="s">
        <v>238</v>
      </c>
      <c r="FC674" s="1" t="s">
        <v>238</v>
      </c>
      <c r="FF674" s="1" t="s">
        <v>239</v>
      </c>
      <c r="FG674" s="1" t="s">
        <v>192</v>
      </c>
      <c r="FH674" s="1" t="s">
        <v>192</v>
      </c>
      <c r="FJ674" s="1" t="s">
        <v>8277</v>
      </c>
      <c r="FK674" s="1" t="s">
        <v>229</v>
      </c>
      <c r="FL674" s="1" t="s">
        <v>8278</v>
      </c>
      <c r="FM674" s="1">
        <v>1142.0</v>
      </c>
      <c r="FN674" s="1" t="s">
        <v>8279</v>
      </c>
      <c r="FO674" s="1" t="s">
        <v>8280</v>
      </c>
      <c r="FP674" s="1">
        <v>85538.0</v>
      </c>
      <c r="FQ674" s="1" t="s">
        <v>8281</v>
      </c>
      <c r="FU674" s="1" t="s">
        <v>8282</v>
      </c>
      <c r="FV674" s="1" t="s">
        <v>200</v>
      </c>
      <c r="FW674" s="1" t="s">
        <v>290</v>
      </c>
      <c r="FX674" s="1" t="s">
        <v>238</v>
      </c>
      <c r="FZ674" s="1" t="s">
        <v>2993</v>
      </c>
      <c r="GA674" s="1" t="s">
        <v>291</v>
      </c>
      <c r="GB674" s="2">
        <v>42052.0</v>
      </c>
      <c r="GC674" s="1" t="s">
        <v>8283</v>
      </c>
    </row>
    <row r="675">
      <c r="A675" s="1">
        <v>340000.0</v>
      </c>
      <c r="B675" s="1" t="s">
        <v>185</v>
      </c>
      <c r="C675" s="1" t="str">
        <f>"08812084"</f>
        <v>08812084</v>
      </c>
      <c r="D675" s="1" t="s">
        <v>186</v>
      </c>
      <c r="F675" s="1" t="str">
        <f>"10"</f>
        <v>10</v>
      </c>
      <c r="G675" s="2">
        <v>42012.0</v>
      </c>
      <c r="H675" s="1">
        <v>355000.0</v>
      </c>
      <c r="I675" s="1">
        <v>111.0</v>
      </c>
      <c r="J675" s="1">
        <v>355000.0</v>
      </c>
      <c r="K675" s="2">
        <v>42016.0</v>
      </c>
      <c r="L675" s="1">
        <v>6.0</v>
      </c>
      <c r="M675" s="2">
        <v>42016.0</v>
      </c>
      <c r="N675" s="1" t="s">
        <v>187</v>
      </c>
      <c r="O675" s="2">
        <v>42065.0</v>
      </c>
      <c r="P675" s="1">
        <v>187055.0</v>
      </c>
      <c r="Q675" s="1">
        <v>85464.0</v>
      </c>
      <c r="S675" s="1">
        <v>339.0</v>
      </c>
      <c r="T675" s="1" t="s">
        <v>8284</v>
      </c>
      <c r="U675" s="1" t="s">
        <v>320</v>
      </c>
      <c r="V675" s="1" t="s">
        <v>1706</v>
      </c>
      <c r="W675" s="1">
        <v>60010.0</v>
      </c>
      <c r="Y675" s="1" t="s">
        <v>8285</v>
      </c>
      <c r="Z675" s="1">
        <v>1968.0</v>
      </c>
      <c r="AA675" s="1" t="s">
        <v>192</v>
      </c>
      <c r="AB675" s="1" t="s">
        <v>193</v>
      </c>
      <c r="AC675" s="1" t="s">
        <v>8286</v>
      </c>
      <c r="AD675" s="1" t="s">
        <v>1948</v>
      </c>
      <c r="AE675" s="1" t="s">
        <v>195</v>
      </c>
      <c r="AF675" s="1" t="s">
        <v>1948</v>
      </c>
      <c r="AH675" s="1" t="s">
        <v>8287</v>
      </c>
      <c r="AK675" s="1">
        <v>8.0</v>
      </c>
      <c r="AL675" s="1">
        <v>4.0</v>
      </c>
      <c r="AM675" s="1">
        <v>2.0</v>
      </c>
      <c r="AN675" s="1">
        <v>1.0</v>
      </c>
      <c r="AO675" s="1" t="s">
        <v>198</v>
      </c>
      <c r="AQ675" s="1" t="s">
        <v>229</v>
      </c>
      <c r="AR675" s="1" t="s">
        <v>200</v>
      </c>
      <c r="AS675" s="1" t="s">
        <v>199</v>
      </c>
      <c r="AT675" s="1">
        <v>1.0</v>
      </c>
      <c r="AV675" s="1" t="s">
        <v>200</v>
      </c>
      <c r="AW675" s="1">
        <v>5646.0</v>
      </c>
      <c r="AX675" s="1">
        <v>2013.0</v>
      </c>
      <c r="AY675" s="1" t="s">
        <v>387</v>
      </c>
      <c r="AZ675" s="1" t="s">
        <v>200</v>
      </c>
      <c r="BA675" s="1" t="str">
        <f>"01011260220000"</f>
        <v>01011260220000</v>
      </c>
      <c r="BB675" s="1" t="s">
        <v>200</v>
      </c>
      <c r="BC675" s="1">
        <v>1639.0</v>
      </c>
      <c r="BD675" s="1">
        <v>340000.0</v>
      </c>
      <c r="BE675" s="2">
        <v>42011.0</v>
      </c>
      <c r="BF675" s="2" t="s">
        <v>8288</v>
      </c>
      <c r="BG675" s="1" t="s">
        <v>6174</v>
      </c>
      <c r="BH675" s="1">
        <v>0.0</v>
      </c>
      <c r="BI675" s="1" t="s">
        <v>5243</v>
      </c>
      <c r="BJ675" s="1" t="s">
        <v>1714</v>
      </c>
      <c r="BK675" s="1" t="s">
        <v>204</v>
      </c>
      <c r="BL675" s="1" t="str">
        <f t="shared" ref="BL675:BM675" si="451">""</f>
        <v/>
      </c>
      <c r="BM675" s="1" t="str">
        <f t="shared" si="451"/>
        <v/>
      </c>
      <c r="BQ675" s="1">
        <v>220.0</v>
      </c>
      <c r="BR675" s="1">
        <v>220.0</v>
      </c>
      <c r="BS675" s="1">
        <v>220.0</v>
      </c>
      <c r="BU675" s="1" t="s">
        <v>208</v>
      </c>
      <c r="BV675" s="1" t="s">
        <v>206</v>
      </c>
      <c r="BW675" s="1" t="s">
        <v>207</v>
      </c>
      <c r="BX675" s="1" t="s">
        <v>239</v>
      </c>
      <c r="BY675" s="1" t="s">
        <v>647</v>
      </c>
      <c r="BZ675" s="1" t="s">
        <v>209</v>
      </c>
      <c r="CA675" s="1" t="s">
        <v>207</v>
      </c>
      <c r="CB675" s="1" t="s">
        <v>239</v>
      </c>
      <c r="CC675" s="1" t="s">
        <v>264</v>
      </c>
      <c r="CD675" s="1" t="s">
        <v>206</v>
      </c>
      <c r="CE675" s="1" t="s">
        <v>207</v>
      </c>
      <c r="CF675" s="1" t="s">
        <v>239</v>
      </c>
      <c r="CG675" s="1" t="s">
        <v>497</v>
      </c>
      <c r="CH675" s="1" t="s">
        <v>209</v>
      </c>
      <c r="CI675" s="1" t="s">
        <v>207</v>
      </c>
      <c r="CJ675" s="1" t="s">
        <v>239</v>
      </c>
      <c r="CK675" s="1" t="s">
        <v>495</v>
      </c>
      <c r="CL675" s="1" t="s">
        <v>209</v>
      </c>
      <c r="CM675" s="1" t="s">
        <v>207</v>
      </c>
      <c r="CN675" s="1" t="s">
        <v>239</v>
      </c>
      <c r="CO675" s="1" t="s">
        <v>516</v>
      </c>
      <c r="CP675" s="1" t="s">
        <v>209</v>
      </c>
      <c r="CQ675" s="1" t="s">
        <v>207</v>
      </c>
      <c r="CR675" s="1" t="s">
        <v>239</v>
      </c>
      <c r="CS675" s="1" t="s">
        <v>205</v>
      </c>
      <c r="CT675" s="1" t="s">
        <v>206</v>
      </c>
      <c r="CU675" s="1" t="s">
        <v>207</v>
      </c>
      <c r="CW675" s="1" t="s">
        <v>212</v>
      </c>
      <c r="CX675" s="1" t="s">
        <v>206</v>
      </c>
      <c r="CY675" s="1" t="s">
        <v>268</v>
      </c>
      <c r="DA675" s="1" t="s">
        <v>200</v>
      </c>
      <c r="DC675" s="1" t="s">
        <v>517</v>
      </c>
      <c r="DD675" s="1" t="s">
        <v>518</v>
      </c>
      <c r="DE675" s="1" t="s">
        <v>273</v>
      </c>
      <c r="DF675" s="1" t="s">
        <v>619</v>
      </c>
      <c r="DH675" s="1" t="s">
        <v>220</v>
      </c>
      <c r="DI675" s="1" t="s">
        <v>732</v>
      </c>
      <c r="DJ675" s="1" t="s">
        <v>222</v>
      </c>
      <c r="DL675" s="1" t="s">
        <v>1853</v>
      </c>
      <c r="DM675" s="1" t="s">
        <v>1919</v>
      </c>
      <c r="DQ675" s="1" t="s">
        <v>228</v>
      </c>
      <c r="DR675" s="1" t="s">
        <v>229</v>
      </c>
      <c r="DV675" s="1" t="s">
        <v>2129</v>
      </c>
      <c r="DW675" s="1" t="s">
        <v>764</v>
      </c>
      <c r="DX675" s="1" t="s">
        <v>234</v>
      </c>
      <c r="DY675" s="1" t="s">
        <v>704</v>
      </c>
      <c r="EA675" s="1" t="s">
        <v>344</v>
      </c>
      <c r="EC675" s="1" t="s">
        <v>237</v>
      </c>
      <c r="EE675" s="1" t="s">
        <v>493</v>
      </c>
      <c r="EG675" s="1" t="s">
        <v>2129</v>
      </c>
      <c r="EL675" s="1" t="s">
        <v>433</v>
      </c>
      <c r="EM675" s="1" t="s">
        <v>206</v>
      </c>
      <c r="EN675" s="1" t="s">
        <v>588</v>
      </c>
      <c r="EQ675" s="1" t="s">
        <v>238</v>
      </c>
      <c r="EU675" s="1" t="s">
        <v>238</v>
      </c>
      <c r="EY675" s="1" t="s">
        <v>238</v>
      </c>
      <c r="FC675" s="1" t="s">
        <v>238</v>
      </c>
      <c r="FF675" s="1" t="s">
        <v>239</v>
      </c>
      <c r="FG675" s="1" t="s">
        <v>192</v>
      </c>
      <c r="FH675" s="1" t="s">
        <v>192</v>
      </c>
      <c r="FJ675" s="1" t="s">
        <v>799</v>
      </c>
      <c r="FK675" s="1" t="s">
        <v>229</v>
      </c>
      <c r="FL675" s="1" t="s">
        <v>456</v>
      </c>
      <c r="FM675" s="1">
        <v>6026.0</v>
      </c>
      <c r="FN675" s="1" t="s">
        <v>3545</v>
      </c>
      <c r="FO675" s="1" t="s">
        <v>8289</v>
      </c>
      <c r="FP675" s="1">
        <v>39899.0</v>
      </c>
      <c r="FU675" s="1" t="s">
        <v>8290</v>
      </c>
      <c r="FV675" s="1" t="s">
        <v>200</v>
      </c>
      <c r="FW675" s="1" t="s">
        <v>530</v>
      </c>
      <c r="FX675" s="1" t="s">
        <v>1739</v>
      </c>
      <c r="FZ675" s="1" t="s">
        <v>229</v>
      </c>
      <c r="GA675" s="1" t="s">
        <v>291</v>
      </c>
      <c r="GB675" s="2">
        <v>42065.0</v>
      </c>
      <c r="GC675" s="1" t="s">
        <v>8291</v>
      </c>
    </row>
    <row r="676">
      <c r="A676" s="1">
        <v>385000.0</v>
      </c>
      <c r="B676" s="1" t="s">
        <v>185</v>
      </c>
      <c r="C676" s="1" t="str">
        <f>"08822861"</f>
        <v>08822861</v>
      </c>
      <c r="D676" s="1" t="s">
        <v>186</v>
      </c>
      <c r="F676" s="1" t="str">
        <f>"123"</f>
        <v>123</v>
      </c>
      <c r="G676" s="2">
        <v>42027.0</v>
      </c>
      <c r="H676" s="1">
        <v>399900.0</v>
      </c>
      <c r="I676" s="1">
        <v>25.0</v>
      </c>
      <c r="J676" s="1">
        <v>399900.0</v>
      </c>
      <c r="K676" s="2">
        <v>42051.0</v>
      </c>
      <c r="L676" s="1">
        <v>25.0</v>
      </c>
      <c r="M676" s="2">
        <v>42051.0</v>
      </c>
      <c r="N676" s="1" t="s">
        <v>187</v>
      </c>
      <c r="O676" s="2">
        <v>42072.0</v>
      </c>
      <c r="P676" s="1">
        <v>7644.0</v>
      </c>
      <c r="Q676" s="1">
        <v>49.0</v>
      </c>
      <c r="S676" s="1" t="s">
        <v>8292</v>
      </c>
      <c r="T676" s="1" t="s">
        <v>8293</v>
      </c>
      <c r="U676" s="1" t="s">
        <v>1174</v>
      </c>
      <c r="V676" s="1" t="s">
        <v>465</v>
      </c>
      <c r="W676" s="1">
        <v>60124.0</v>
      </c>
      <c r="Y676" s="1" t="s">
        <v>8294</v>
      </c>
      <c r="Z676" s="1">
        <v>1988.0</v>
      </c>
      <c r="AA676" s="1" t="s">
        <v>200</v>
      </c>
      <c r="AB676" s="1" t="s">
        <v>193</v>
      </c>
      <c r="AC676" s="1" t="s">
        <v>8295</v>
      </c>
      <c r="AD676" s="1" t="s">
        <v>1089</v>
      </c>
      <c r="AE676" s="1" t="s">
        <v>325</v>
      </c>
      <c r="AF676" s="1" t="s">
        <v>572</v>
      </c>
      <c r="AH676" s="1" t="s">
        <v>8296</v>
      </c>
      <c r="AI676" s="1">
        <v>1.5</v>
      </c>
      <c r="AK676" s="1">
        <v>11.0</v>
      </c>
      <c r="AL676" s="1">
        <v>4.0</v>
      </c>
      <c r="AM676" s="1">
        <v>2.0</v>
      </c>
      <c r="AN676" s="1">
        <v>1.0</v>
      </c>
      <c r="AO676" s="1" t="s">
        <v>198</v>
      </c>
      <c r="AP676" s="1">
        <v>1.0</v>
      </c>
      <c r="AQ676" s="1" t="s">
        <v>198</v>
      </c>
      <c r="AR676" s="1" t="s">
        <v>200</v>
      </c>
      <c r="AS676" s="1" t="s">
        <v>510</v>
      </c>
      <c r="AT676" s="1">
        <v>3.0</v>
      </c>
      <c r="AU676" s="1">
        <v>4.0</v>
      </c>
      <c r="AV676" s="1" t="s">
        <v>200</v>
      </c>
      <c r="AW676" s="1">
        <v>12156.0</v>
      </c>
      <c r="AX676" s="1">
        <v>2013.0</v>
      </c>
      <c r="AY676" s="1" t="s">
        <v>387</v>
      </c>
      <c r="AZ676" s="1" t="s">
        <v>200</v>
      </c>
      <c r="BA676" s="1" t="str">
        <f>"0532476008"</f>
        <v>0532476008</v>
      </c>
      <c r="BB676" s="1" t="s">
        <v>200</v>
      </c>
      <c r="BC676" s="1">
        <v>3560.0</v>
      </c>
      <c r="BD676" s="1">
        <v>385000.0</v>
      </c>
      <c r="BE676" s="2">
        <v>42027.0</v>
      </c>
      <c r="BF676" s="2" t="s">
        <v>8297</v>
      </c>
      <c r="BG676" s="1" t="s">
        <v>577</v>
      </c>
      <c r="BH676" s="1">
        <v>0.0</v>
      </c>
      <c r="BI676" s="1" t="s">
        <v>1975</v>
      </c>
      <c r="BJ676" s="1" t="s">
        <v>579</v>
      </c>
      <c r="BK676" s="1" t="s">
        <v>204</v>
      </c>
      <c r="BL676" s="1" t="str">
        <f t="shared" ref="BL676:BM676" si="452">"0"</f>
        <v>0</v>
      </c>
      <c r="BM676" s="1" t="str">
        <f t="shared" si="452"/>
        <v>0</v>
      </c>
      <c r="BN676" s="1">
        <v>0.0</v>
      </c>
      <c r="BO676" s="1">
        <v>0.0</v>
      </c>
      <c r="BQ676" s="1">
        <v>301.0</v>
      </c>
      <c r="BR676" s="1">
        <v>301.0</v>
      </c>
      <c r="BS676" s="1">
        <v>301.0</v>
      </c>
      <c r="BU676" s="1" t="s">
        <v>333</v>
      </c>
      <c r="BV676" s="1" t="s">
        <v>206</v>
      </c>
      <c r="BW676" s="1" t="s">
        <v>210</v>
      </c>
      <c r="BX676" s="1" t="s">
        <v>239</v>
      </c>
      <c r="BY676" s="1" t="s">
        <v>515</v>
      </c>
      <c r="BZ676" s="1" t="s">
        <v>209</v>
      </c>
      <c r="CA676" s="1" t="s">
        <v>210</v>
      </c>
      <c r="CC676" s="1" t="s">
        <v>433</v>
      </c>
      <c r="CD676" s="1" t="s">
        <v>206</v>
      </c>
      <c r="CE676" s="1" t="s">
        <v>210</v>
      </c>
      <c r="CF676" s="1" t="s">
        <v>239</v>
      </c>
      <c r="CG676" s="1" t="s">
        <v>361</v>
      </c>
      <c r="CH676" s="1" t="s">
        <v>209</v>
      </c>
      <c r="CI676" s="1" t="s">
        <v>210</v>
      </c>
      <c r="CJ676" s="1" t="s">
        <v>239</v>
      </c>
      <c r="CK676" s="1" t="s">
        <v>433</v>
      </c>
      <c r="CL676" s="1" t="s">
        <v>209</v>
      </c>
      <c r="CM676" s="1" t="s">
        <v>210</v>
      </c>
      <c r="CN676" s="1" t="s">
        <v>239</v>
      </c>
      <c r="CO676" s="1" t="s">
        <v>215</v>
      </c>
      <c r="CP676" s="1" t="s">
        <v>209</v>
      </c>
      <c r="CQ676" s="1" t="s">
        <v>210</v>
      </c>
      <c r="CR676" s="1" t="s">
        <v>239</v>
      </c>
      <c r="CS676" s="1" t="s">
        <v>4877</v>
      </c>
      <c r="CT676" s="1" t="s">
        <v>206</v>
      </c>
      <c r="CU676" s="1" t="s">
        <v>617</v>
      </c>
      <c r="CW676" s="1" t="s">
        <v>2014</v>
      </c>
      <c r="CX676" s="1" t="s">
        <v>206</v>
      </c>
      <c r="CY676" s="1" t="s">
        <v>210</v>
      </c>
      <c r="CZ676" s="1" t="s">
        <v>239</v>
      </c>
      <c r="DA676" s="1" t="s">
        <v>200</v>
      </c>
      <c r="DC676" s="1" t="s">
        <v>305</v>
      </c>
      <c r="DD676" s="1" t="s">
        <v>396</v>
      </c>
      <c r="DE676" s="1" t="s">
        <v>273</v>
      </c>
      <c r="DF676" s="1" t="s">
        <v>219</v>
      </c>
      <c r="DH676" s="1" t="s">
        <v>856</v>
      </c>
      <c r="DI676" s="1" t="s">
        <v>703</v>
      </c>
      <c r="DJ676" s="1" t="s">
        <v>857</v>
      </c>
      <c r="DK676" s="1" t="s">
        <v>223</v>
      </c>
      <c r="DL676" s="1" t="s">
        <v>858</v>
      </c>
      <c r="DM676" s="1" t="s">
        <v>338</v>
      </c>
      <c r="DN676" s="1" t="s">
        <v>367</v>
      </c>
      <c r="DO676" s="1" t="s">
        <v>1556</v>
      </c>
      <c r="DP676" s="1" t="s">
        <v>340</v>
      </c>
      <c r="DQ676" s="1" t="s">
        <v>931</v>
      </c>
      <c r="DR676" s="1" t="s">
        <v>229</v>
      </c>
      <c r="DS676" s="1" t="s">
        <v>368</v>
      </c>
      <c r="DU676" s="1" t="s">
        <v>8298</v>
      </c>
      <c r="DV676" s="1" t="s">
        <v>8299</v>
      </c>
      <c r="DW676" s="1" t="s">
        <v>8300</v>
      </c>
      <c r="DX676" s="1" t="s">
        <v>234</v>
      </c>
      <c r="DY676" s="1" t="s">
        <v>2961</v>
      </c>
      <c r="DZ676" s="1" t="s">
        <v>491</v>
      </c>
      <c r="EA676" s="1" t="s">
        <v>2535</v>
      </c>
      <c r="EB676" s="1" t="s">
        <v>8301</v>
      </c>
      <c r="EC676" s="1" t="s">
        <v>237</v>
      </c>
      <c r="ED676" s="1" t="s">
        <v>407</v>
      </c>
      <c r="EE676" s="1" t="s">
        <v>493</v>
      </c>
      <c r="EF676" s="1" t="s">
        <v>523</v>
      </c>
      <c r="EG676" s="1" t="s">
        <v>341</v>
      </c>
      <c r="EH676" s="1" t="s">
        <v>1729</v>
      </c>
      <c r="EI676" s="1" t="s">
        <v>450</v>
      </c>
      <c r="EL676" s="1" t="s">
        <v>6783</v>
      </c>
      <c r="EM676" s="1" t="s">
        <v>209</v>
      </c>
      <c r="EN676" s="1" t="s">
        <v>210</v>
      </c>
      <c r="EO676" s="1" t="s">
        <v>239</v>
      </c>
      <c r="EP676" s="1" t="s">
        <v>211</v>
      </c>
      <c r="EQ676" s="1" t="s">
        <v>206</v>
      </c>
      <c r="ER676" s="1" t="s">
        <v>210</v>
      </c>
      <c r="ET676" s="1" t="s">
        <v>1117</v>
      </c>
      <c r="EU676" s="1" t="s">
        <v>206</v>
      </c>
      <c r="EV676" s="1" t="s">
        <v>210</v>
      </c>
      <c r="EY676" s="1" t="s">
        <v>238</v>
      </c>
      <c r="FC676" s="1" t="s">
        <v>238</v>
      </c>
      <c r="FF676" s="1" t="s">
        <v>239</v>
      </c>
      <c r="FG676" s="1" t="s">
        <v>192</v>
      </c>
      <c r="FH676" s="1" t="s">
        <v>192</v>
      </c>
      <c r="FJ676" s="1" t="s">
        <v>1450</v>
      </c>
      <c r="FK676" s="1" t="s">
        <v>348</v>
      </c>
      <c r="FL676" s="1" t="s">
        <v>5530</v>
      </c>
      <c r="FM676" s="1">
        <v>8079.0</v>
      </c>
      <c r="FN676" s="1" t="s">
        <v>5531</v>
      </c>
      <c r="FO676" s="1" t="s">
        <v>5532</v>
      </c>
      <c r="FP676" s="1">
        <v>920884.0</v>
      </c>
      <c r="FQ676" s="1" t="s">
        <v>5533</v>
      </c>
      <c r="FU676" s="1" t="s">
        <v>5534</v>
      </c>
      <c r="FV676" s="1" t="s">
        <v>200</v>
      </c>
      <c r="FW676" s="1" t="s">
        <v>290</v>
      </c>
      <c r="FZ676" s="1" t="s">
        <v>632</v>
      </c>
      <c r="GA676" s="1" t="s">
        <v>291</v>
      </c>
      <c r="GB676" s="2">
        <v>42072.0</v>
      </c>
      <c r="GC676" s="1" t="s">
        <v>8302</v>
      </c>
    </row>
    <row r="677">
      <c r="A677" s="1">
        <v>340000.0</v>
      </c>
      <c r="B677" s="1" t="s">
        <v>185</v>
      </c>
      <c r="C677" s="1" t="str">
        <f>"08804372"</f>
        <v>08804372</v>
      </c>
      <c r="D677" s="1" t="s">
        <v>186</v>
      </c>
      <c r="F677" s="1" t="str">
        <f>"8009"</f>
        <v>8009</v>
      </c>
      <c r="G677" s="2">
        <v>41992.0</v>
      </c>
      <c r="H677" s="1">
        <v>389000.0</v>
      </c>
      <c r="I677" s="1">
        <v>232.0</v>
      </c>
      <c r="J677" s="1">
        <v>349900.0</v>
      </c>
      <c r="K677" s="2">
        <v>42016.0</v>
      </c>
      <c r="L677" s="1">
        <v>25.0</v>
      </c>
      <c r="M677" s="2">
        <v>42016.0</v>
      </c>
      <c r="N677" s="1" t="s">
        <v>187</v>
      </c>
      <c r="O677" s="2">
        <v>42066.0</v>
      </c>
      <c r="P677" s="1">
        <v>840714.0</v>
      </c>
      <c r="Q677" s="1">
        <v>85181.0</v>
      </c>
      <c r="S677" s="1">
        <v>7163.0</v>
      </c>
      <c r="T677" s="1" t="s">
        <v>8303</v>
      </c>
      <c r="U677" s="1" t="s">
        <v>189</v>
      </c>
      <c r="V677" s="1" t="s">
        <v>190</v>
      </c>
      <c r="W677" s="1">
        <v>60631.0</v>
      </c>
      <c r="Y677" s="1" t="s">
        <v>8304</v>
      </c>
      <c r="Z677" s="1">
        <v>1945.0</v>
      </c>
      <c r="AA677" s="1" t="s">
        <v>192</v>
      </c>
      <c r="AB677" s="1" t="s">
        <v>193</v>
      </c>
      <c r="AD677" s="1" t="s">
        <v>194</v>
      </c>
      <c r="AE677" s="1" t="s">
        <v>195</v>
      </c>
      <c r="AF677" s="1" t="s">
        <v>196</v>
      </c>
      <c r="AH677" s="1" t="s">
        <v>8305</v>
      </c>
      <c r="AK677" s="1">
        <v>8.0</v>
      </c>
      <c r="AL677" s="1">
        <v>3.0</v>
      </c>
      <c r="AM677" s="1">
        <v>3.0</v>
      </c>
      <c r="AN677" s="1">
        <v>1.0</v>
      </c>
      <c r="AO677" s="1" t="s">
        <v>198</v>
      </c>
      <c r="AP677" s="1">
        <v>0.0</v>
      </c>
      <c r="AQ677" s="1" t="s">
        <v>198</v>
      </c>
      <c r="AR677" s="1" t="s">
        <v>192</v>
      </c>
      <c r="AS677" s="1" t="s">
        <v>199</v>
      </c>
      <c r="AT677" s="1">
        <v>2.0</v>
      </c>
      <c r="AV677" s="1" t="s">
        <v>200</v>
      </c>
      <c r="AW677" s="1">
        <v>5749.0</v>
      </c>
      <c r="AX677" s="1">
        <v>2013.0</v>
      </c>
      <c r="AY677" s="1" t="s">
        <v>229</v>
      </c>
      <c r="AZ677" s="1" t="s">
        <v>200</v>
      </c>
      <c r="BA677" s="1" t="str">
        <f>"09361051270000"</f>
        <v>09361051270000</v>
      </c>
      <c r="BB677" s="1" t="s">
        <v>200</v>
      </c>
      <c r="BC677" s="1">
        <v>1384.0</v>
      </c>
      <c r="BD677" s="1">
        <v>340000.0</v>
      </c>
      <c r="BE677" s="2">
        <v>41992.0</v>
      </c>
      <c r="BF677" s="2" t="s">
        <v>8306</v>
      </c>
      <c r="BH677" s="1">
        <v>0.0</v>
      </c>
      <c r="BK677" s="1" t="s">
        <v>204</v>
      </c>
      <c r="BL677" s="1" t="str">
        <f>"7163"</f>
        <v>7163</v>
      </c>
      <c r="BM677" s="1" t="str">
        <f>"0"</f>
        <v>0</v>
      </c>
      <c r="BN677" s="1">
        <v>7600.0</v>
      </c>
      <c r="BO677" s="1">
        <v>0.0</v>
      </c>
      <c r="BQ677" s="1">
        <v>299.0</v>
      </c>
      <c r="BR677" s="1">
        <v>299.0</v>
      </c>
      <c r="BS677" s="1">
        <v>299.0</v>
      </c>
      <c r="BU677" s="1" t="s">
        <v>1426</v>
      </c>
      <c r="BV677" s="1" t="s">
        <v>206</v>
      </c>
      <c r="BW677" s="1" t="s">
        <v>207</v>
      </c>
      <c r="BX677" s="1" t="s">
        <v>431</v>
      </c>
      <c r="BY677" s="1" t="s">
        <v>495</v>
      </c>
      <c r="BZ677" s="1" t="s">
        <v>209</v>
      </c>
      <c r="CA677" s="1" t="s">
        <v>210</v>
      </c>
      <c r="CB677" s="1" t="s">
        <v>229</v>
      </c>
      <c r="CC677" s="1" t="s">
        <v>269</v>
      </c>
      <c r="CD677" s="1" t="s">
        <v>206</v>
      </c>
      <c r="CE677" s="1" t="s">
        <v>207</v>
      </c>
      <c r="CF677" s="1" t="s">
        <v>431</v>
      </c>
      <c r="CG677" s="1" t="s">
        <v>495</v>
      </c>
      <c r="CH677" s="1" t="s">
        <v>209</v>
      </c>
      <c r="CI677" s="1" t="s">
        <v>210</v>
      </c>
      <c r="CJ677" s="1" t="s">
        <v>229</v>
      </c>
      <c r="CK677" s="1" t="s">
        <v>543</v>
      </c>
      <c r="CL677" s="1" t="s">
        <v>209</v>
      </c>
      <c r="CM677" s="1" t="s">
        <v>210</v>
      </c>
      <c r="CN677" s="1" t="s">
        <v>229</v>
      </c>
      <c r="CO677" s="1" t="s">
        <v>495</v>
      </c>
      <c r="CP677" s="1" t="s">
        <v>42</v>
      </c>
      <c r="CQ677" s="1" t="s">
        <v>268</v>
      </c>
      <c r="CR677" s="1" t="s">
        <v>229</v>
      </c>
      <c r="CS677" s="1" t="s">
        <v>264</v>
      </c>
      <c r="CT677" s="1" t="s">
        <v>206</v>
      </c>
      <c r="CU677" s="1" t="s">
        <v>207</v>
      </c>
      <c r="CV677" s="1" t="s">
        <v>431</v>
      </c>
      <c r="CW677" s="1" t="s">
        <v>1426</v>
      </c>
      <c r="CX677" s="1" t="s">
        <v>42</v>
      </c>
      <c r="CY677" s="1" t="s">
        <v>268</v>
      </c>
      <c r="CZ677" s="1" t="s">
        <v>229</v>
      </c>
      <c r="DA677" s="1" t="s">
        <v>200</v>
      </c>
      <c r="DC677" s="1" t="s">
        <v>702</v>
      </c>
      <c r="DD677" s="1" t="s">
        <v>731</v>
      </c>
      <c r="DE677" s="1" t="s">
        <v>273</v>
      </c>
      <c r="DF677" s="1" t="s">
        <v>219</v>
      </c>
      <c r="DG677" s="1" t="s">
        <v>337</v>
      </c>
      <c r="DH677" s="1" t="s">
        <v>365</v>
      </c>
      <c r="DI677" s="1" t="s">
        <v>366</v>
      </c>
      <c r="DJ677" s="1" t="s">
        <v>222</v>
      </c>
      <c r="DL677" s="1" t="s">
        <v>224</v>
      </c>
      <c r="DM677" s="1" t="s">
        <v>1143</v>
      </c>
      <c r="DN677" s="1" t="s">
        <v>339</v>
      </c>
      <c r="DO677" s="1" t="s">
        <v>2421</v>
      </c>
      <c r="DP677" s="1" t="s">
        <v>340</v>
      </c>
      <c r="DQ677" s="1" t="s">
        <v>794</v>
      </c>
      <c r="DR677" s="1" t="s">
        <v>229</v>
      </c>
      <c r="DS677" s="1" t="s">
        <v>230</v>
      </c>
      <c r="DU677" s="1" t="s">
        <v>681</v>
      </c>
      <c r="DV677" s="1" t="s">
        <v>408</v>
      </c>
      <c r="DW677" s="1" t="s">
        <v>279</v>
      </c>
      <c r="DX677" s="1" t="s">
        <v>5015</v>
      </c>
      <c r="DY677" s="1" t="s">
        <v>704</v>
      </c>
      <c r="EA677" s="1" t="s">
        <v>3308</v>
      </c>
      <c r="EC677" s="1" t="s">
        <v>237</v>
      </c>
      <c r="ED677" s="1" t="s">
        <v>407</v>
      </c>
      <c r="EE677" s="1" t="s">
        <v>493</v>
      </c>
      <c r="EG677" s="1" t="s">
        <v>408</v>
      </c>
      <c r="EL677" s="1" t="s">
        <v>1874</v>
      </c>
      <c r="EM677" s="1" t="s">
        <v>206</v>
      </c>
      <c r="EN677" s="1" t="s">
        <v>207</v>
      </c>
      <c r="EO677" s="1" t="s">
        <v>229</v>
      </c>
      <c r="EQ677" s="1" t="s">
        <v>238</v>
      </c>
      <c r="EU677" s="1" t="s">
        <v>238</v>
      </c>
      <c r="EY677" s="1" t="s">
        <v>238</v>
      </c>
      <c r="FC677" s="1" t="s">
        <v>238</v>
      </c>
      <c r="FF677" s="1" t="s">
        <v>239</v>
      </c>
      <c r="FG677" s="1" t="s">
        <v>192</v>
      </c>
      <c r="FH677" s="1" t="s">
        <v>192</v>
      </c>
      <c r="FJ677" s="1" t="s">
        <v>524</v>
      </c>
      <c r="FK677" s="1" t="s">
        <v>229</v>
      </c>
      <c r="FL677" s="1" t="s">
        <v>8307</v>
      </c>
      <c r="FM677" s="1">
        <v>24990.0</v>
      </c>
      <c r="FN677" s="1" t="s">
        <v>8308</v>
      </c>
      <c r="FO677" s="1" t="s">
        <v>8309</v>
      </c>
      <c r="FP677" s="1">
        <v>220018.0</v>
      </c>
      <c r="FQ677" s="1" t="s">
        <v>8308</v>
      </c>
      <c r="FU677" s="1" t="s">
        <v>7218</v>
      </c>
      <c r="FV677" s="1" t="s">
        <v>200</v>
      </c>
      <c r="FW677" s="1" t="s">
        <v>567</v>
      </c>
      <c r="FX677" s="1" t="s">
        <v>238</v>
      </c>
      <c r="FZ677" s="1" t="s">
        <v>229</v>
      </c>
      <c r="GA677" s="1" t="s">
        <v>291</v>
      </c>
      <c r="GB677" s="2">
        <v>42066.0</v>
      </c>
      <c r="GC677" s="1" t="s">
        <v>8310</v>
      </c>
    </row>
    <row r="678">
      <c r="A678" s="1">
        <v>177835.0</v>
      </c>
      <c r="B678" s="1" t="s">
        <v>185</v>
      </c>
      <c r="C678" s="1" t="str">
        <f>"08801803"</f>
        <v>08801803</v>
      </c>
      <c r="D678" s="1" t="s">
        <v>186</v>
      </c>
      <c r="F678" s="1" t="str">
        <f>"538"</f>
        <v>538</v>
      </c>
      <c r="G678" s="2">
        <v>41986.0</v>
      </c>
      <c r="H678" s="1">
        <v>179800.0</v>
      </c>
      <c r="I678" s="1">
        <v>72.0</v>
      </c>
      <c r="J678" s="1">
        <v>179800.0</v>
      </c>
      <c r="K678" s="2">
        <v>42057.0</v>
      </c>
      <c r="L678" s="1">
        <v>72.0</v>
      </c>
      <c r="M678" s="2">
        <v>42057.0</v>
      </c>
      <c r="N678" s="1" t="s">
        <v>187</v>
      </c>
      <c r="O678" s="2">
        <v>42082.0</v>
      </c>
      <c r="P678" s="1">
        <v>240720.0</v>
      </c>
      <c r="Q678" s="1">
        <v>23279.0</v>
      </c>
      <c r="R678" s="1">
        <v>5335.0</v>
      </c>
      <c r="S678" s="1">
        <v>110.0</v>
      </c>
      <c r="T678" s="1" t="s">
        <v>3736</v>
      </c>
      <c r="U678" s="1" t="s">
        <v>569</v>
      </c>
      <c r="V678" s="1" t="s">
        <v>1340</v>
      </c>
      <c r="W678" s="1">
        <v>60538.0</v>
      </c>
      <c r="Y678" s="1" t="s">
        <v>8311</v>
      </c>
      <c r="Z678" s="1">
        <v>1971.0</v>
      </c>
      <c r="AA678" s="1" t="s">
        <v>192</v>
      </c>
      <c r="AB678" s="1" t="s">
        <v>193</v>
      </c>
      <c r="AC678" s="1" t="s">
        <v>8312</v>
      </c>
      <c r="AD678" s="1" t="s">
        <v>1343</v>
      </c>
      <c r="AE678" s="1" t="s">
        <v>849</v>
      </c>
      <c r="AF678" s="1" t="s">
        <v>1529</v>
      </c>
      <c r="AH678" s="1" t="s">
        <v>8313</v>
      </c>
      <c r="AK678" s="1">
        <v>9.0</v>
      </c>
      <c r="AL678" s="1">
        <v>3.0</v>
      </c>
      <c r="AM678" s="1">
        <v>2.0</v>
      </c>
      <c r="AN678" s="1">
        <v>1.0</v>
      </c>
      <c r="AO678" s="1" t="s">
        <v>229</v>
      </c>
      <c r="AP678" s="1">
        <v>1.0</v>
      </c>
      <c r="AQ678" s="1" t="s">
        <v>198</v>
      </c>
      <c r="AR678" s="1" t="s">
        <v>192</v>
      </c>
      <c r="AS678" s="1" t="s">
        <v>510</v>
      </c>
      <c r="AT678" s="1">
        <v>2.0</v>
      </c>
      <c r="AU678" s="1">
        <v>2.0</v>
      </c>
      <c r="AV678" s="1" t="s">
        <v>200</v>
      </c>
      <c r="AW678" s="1">
        <v>5054.52</v>
      </c>
      <c r="AX678" s="1">
        <v>2012.0</v>
      </c>
      <c r="AY678" s="1" t="s">
        <v>387</v>
      </c>
      <c r="AZ678" s="1" t="s">
        <v>200</v>
      </c>
      <c r="BA678" s="1" t="str">
        <f>"0308279007"</f>
        <v>0308279007</v>
      </c>
      <c r="BC678" s="1">
        <v>1520.0</v>
      </c>
      <c r="BD678" s="1">
        <v>177835.0</v>
      </c>
      <c r="BE678" s="2">
        <v>41986.0</v>
      </c>
      <c r="BF678" s="2" t="s">
        <v>8314</v>
      </c>
      <c r="BG678" s="1" t="s">
        <v>1347</v>
      </c>
      <c r="BH678" s="1">
        <v>0.0</v>
      </c>
      <c r="BI678" s="1" t="s">
        <v>1348</v>
      </c>
      <c r="BJ678" s="1" t="s">
        <v>1349</v>
      </c>
      <c r="BK678" s="1" t="s">
        <v>204</v>
      </c>
      <c r="BL678" s="1" t="str">
        <f t="shared" ref="BL678:BM678" si="453">""</f>
        <v/>
      </c>
      <c r="BM678" s="1" t="str">
        <f t="shared" si="453"/>
        <v/>
      </c>
      <c r="BQ678" s="1">
        <v>308.0</v>
      </c>
      <c r="BR678" s="1">
        <v>308.0</v>
      </c>
      <c r="BS678" s="1">
        <v>308.0</v>
      </c>
      <c r="BU678" s="1" t="s">
        <v>5955</v>
      </c>
      <c r="BV678" s="1" t="s">
        <v>206</v>
      </c>
      <c r="BW678" s="1" t="s">
        <v>210</v>
      </c>
      <c r="BY678" s="1" t="s">
        <v>478</v>
      </c>
      <c r="BZ678" s="1" t="s">
        <v>206</v>
      </c>
      <c r="CA678" s="1" t="s">
        <v>210</v>
      </c>
      <c r="CD678" s="1" t="s">
        <v>204</v>
      </c>
      <c r="CE678" s="1" t="s">
        <v>210</v>
      </c>
      <c r="CG678" s="1" t="s">
        <v>495</v>
      </c>
      <c r="CH678" s="1" t="s">
        <v>206</v>
      </c>
      <c r="CI678" s="1" t="s">
        <v>210</v>
      </c>
      <c r="CK678" s="1" t="s">
        <v>2459</v>
      </c>
      <c r="CL678" s="1" t="s">
        <v>206</v>
      </c>
      <c r="CM678" s="1" t="s">
        <v>210</v>
      </c>
      <c r="CO678" s="1" t="s">
        <v>495</v>
      </c>
      <c r="CP678" s="1" t="s">
        <v>42</v>
      </c>
      <c r="CQ678" s="1" t="s">
        <v>617</v>
      </c>
      <c r="CS678" s="1" t="s">
        <v>475</v>
      </c>
      <c r="CT678" s="1" t="s">
        <v>206</v>
      </c>
      <c r="CU678" s="1" t="s">
        <v>301</v>
      </c>
      <c r="CW678" s="1" t="s">
        <v>2082</v>
      </c>
      <c r="CX678" s="1" t="s">
        <v>206</v>
      </c>
      <c r="CY678" s="1" t="s">
        <v>210</v>
      </c>
      <c r="DA678" s="1" t="s">
        <v>200</v>
      </c>
      <c r="DC678" s="1" t="s">
        <v>517</v>
      </c>
      <c r="DD678" s="1" t="s">
        <v>396</v>
      </c>
      <c r="DE678" s="1" t="s">
        <v>273</v>
      </c>
      <c r="DF678" s="1" t="s">
        <v>219</v>
      </c>
      <c r="DH678" s="1" t="s">
        <v>220</v>
      </c>
      <c r="DI678" s="1" t="s">
        <v>308</v>
      </c>
      <c r="DJ678" s="1" t="s">
        <v>222</v>
      </c>
      <c r="DL678" s="1" t="s">
        <v>224</v>
      </c>
      <c r="DM678" s="1" t="s">
        <v>229</v>
      </c>
      <c r="DO678" s="1" t="s">
        <v>5000</v>
      </c>
      <c r="DQ678" s="1" t="s">
        <v>228</v>
      </c>
      <c r="DR678" s="1" t="s">
        <v>229</v>
      </c>
      <c r="DS678" s="1" t="s">
        <v>230</v>
      </c>
      <c r="DU678" s="1" t="s">
        <v>442</v>
      </c>
      <c r="DV678" s="1" t="s">
        <v>8315</v>
      </c>
      <c r="DW678" s="1" t="s">
        <v>489</v>
      </c>
      <c r="DX678" s="1" t="s">
        <v>309</v>
      </c>
      <c r="EB678" s="1" t="s">
        <v>8204</v>
      </c>
      <c r="EC678" s="1" t="s">
        <v>685</v>
      </c>
      <c r="ED678" s="1" t="s">
        <v>555</v>
      </c>
      <c r="EG678" s="1" t="s">
        <v>450</v>
      </c>
      <c r="EH678" s="1" t="s">
        <v>1491</v>
      </c>
      <c r="EL678" s="1" t="s">
        <v>3989</v>
      </c>
      <c r="EM678" s="1" t="s">
        <v>42</v>
      </c>
      <c r="EP678" s="1" t="s">
        <v>1483</v>
      </c>
      <c r="EQ678" s="1" t="s">
        <v>42</v>
      </c>
      <c r="EU678" s="1" t="s">
        <v>238</v>
      </c>
      <c r="EY678" s="1" t="s">
        <v>238</v>
      </c>
      <c r="FC678" s="1" t="s">
        <v>238</v>
      </c>
      <c r="FF678" s="1" t="s">
        <v>239</v>
      </c>
      <c r="FG678" s="1" t="s">
        <v>192</v>
      </c>
      <c r="FH678" s="1" t="s">
        <v>192</v>
      </c>
      <c r="FJ678" s="1" t="s">
        <v>1469</v>
      </c>
      <c r="FK678" s="1" t="s">
        <v>229</v>
      </c>
      <c r="FL678" s="1" t="s">
        <v>8316</v>
      </c>
      <c r="FM678" s="1">
        <v>21927.0</v>
      </c>
      <c r="FN678" s="1" t="s">
        <v>8317</v>
      </c>
      <c r="FO678" s="1" t="s">
        <v>8318</v>
      </c>
      <c r="FP678" s="1">
        <v>220029.0</v>
      </c>
      <c r="FQ678" s="1" t="s">
        <v>8319</v>
      </c>
      <c r="FU678" s="1" t="s">
        <v>8320</v>
      </c>
      <c r="FV678" s="1" t="s">
        <v>192</v>
      </c>
      <c r="FW678" s="1" t="s">
        <v>2754</v>
      </c>
      <c r="FZ678" s="1" t="s">
        <v>229</v>
      </c>
      <c r="GA678" s="1" t="s">
        <v>291</v>
      </c>
      <c r="GB678" s="2">
        <v>42082.0</v>
      </c>
      <c r="GC678" s="1" t="s">
        <v>8321</v>
      </c>
    </row>
    <row r="679">
      <c r="A679" s="1">
        <v>205000.0</v>
      </c>
      <c r="B679" s="1" t="s">
        <v>185</v>
      </c>
      <c r="C679" s="1" t="str">
        <f>"08800881"</f>
        <v>08800881</v>
      </c>
      <c r="D679" s="1" t="s">
        <v>186</v>
      </c>
      <c r="F679" s="1" t="str">
        <f>"8070"</f>
        <v>8070</v>
      </c>
      <c r="G679" s="2">
        <v>41984.0</v>
      </c>
      <c r="H679" s="1">
        <v>209000.0</v>
      </c>
      <c r="I679" s="1">
        <v>19.0</v>
      </c>
      <c r="J679" s="1">
        <v>208000.0</v>
      </c>
      <c r="K679" s="2">
        <v>42002.0</v>
      </c>
      <c r="L679" s="1">
        <v>19.0</v>
      </c>
      <c r="M679" s="2">
        <v>42002.0</v>
      </c>
      <c r="N679" s="1" t="s">
        <v>356</v>
      </c>
      <c r="O679" s="2">
        <v>42076.0</v>
      </c>
      <c r="P679" s="1">
        <v>923136.0</v>
      </c>
      <c r="Q679" s="1">
        <v>92065.0</v>
      </c>
      <c r="R679" s="1">
        <v>65000.0</v>
      </c>
      <c r="S679" s="1">
        <v>8005.0</v>
      </c>
      <c r="T679" s="1" t="s">
        <v>8322</v>
      </c>
      <c r="U679" s="1" t="s">
        <v>189</v>
      </c>
      <c r="V679" s="1" t="s">
        <v>190</v>
      </c>
      <c r="W679" s="1">
        <v>60652.0</v>
      </c>
      <c r="Y679" s="1" t="s">
        <v>8323</v>
      </c>
      <c r="Z679" s="1">
        <v>1951.0</v>
      </c>
      <c r="AA679" s="1" t="s">
        <v>192</v>
      </c>
      <c r="AB679" s="1" t="s">
        <v>193</v>
      </c>
      <c r="AD679" s="1" t="s">
        <v>194</v>
      </c>
      <c r="AE679" s="1" t="s">
        <v>195</v>
      </c>
      <c r="AF679" s="1" t="s">
        <v>659</v>
      </c>
      <c r="AH679" s="1">
        <v>4375.0</v>
      </c>
      <c r="AK679" s="1">
        <v>7.0</v>
      </c>
      <c r="AL679" s="1">
        <v>3.0</v>
      </c>
      <c r="AM679" s="1">
        <v>3.0</v>
      </c>
      <c r="AN679" s="1">
        <v>0.0</v>
      </c>
      <c r="AO679" s="1" t="s">
        <v>229</v>
      </c>
      <c r="AP679" s="1">
        <v>1.0</v>
      </c>
      <c r="AQ679" s="1" t="s">
        <v>198</v>
      </c>
      <c r="AR679" s="1" t="s">
        <v>192</v>
      </c>
      <c r="AS679" s="1" t="s">
        <v>510</v>
      </c>
      <c r="AT679" s="1">
        <v>2.0</v>
      </c>
      <c r="AU679" s="1">
        <v>1.0</v>
      </c>
      <c r="AV679" s="1" t="s">
        <v>200</v>
      </c>
      <c r="AW679" s="3">
        <v>1411.0</v>
      </c>
      <c r="AX679" s="1">
        <v>2013.0</v>
      </c>
      <c r="AZ679" s="1" t="s">
        <v>200</v>
      </c>
      <c r="BA679" s="1" t="str">
        <f>"19352090020000"</f>
        <v>19352090020000</v>
      </c>
      <c r="BC679" s="1">
        <v>876.0</v>
      </c>
      <c r="BD679" s="1">
        <v>205000.0</v>
      </c>
      <c r="BE679" s="2">
        <v>41984.0</v>
      </c>
      <c r="BF679" s="2" t="s">
        <v>8324</v>
      </c>
      <c r="BH679" s="1">
        <v>0.0</v>
      </c>
      <c r="BK679" s="1" t="s">
        <v>204</v>
      </c>
      <c r="BL679" s="1" t="str">
        <f t="shared" ref="BL679:BM679" si="454">"0"</f>
        <v>0</v>
      </c>
      <c r="BM679" s="1" t="str">
        <f t="shared" si="454"/>
        <v>0</v>
      </c>
      <c r="BN679" s="1">
        <v>2400.0</v>
      </c>
      <c r="BO679" s="1">
        <v>8005.0</v>
      </c>
      <c r="BQ679" s="1">
        <v>299.0</v>
      </c>
      <c r="BR679" s="1">
        <v>299.0</v>
      </c>
      <c r="BS679" s="1">
        <v>299.0</v>
      </c>
      <c r="BU679" s="1" t="s">
        <v>2647</v>
      </c>
      <c r="BV679" s="1" t="s">
        <v>206</v>
      </c>
      <c r="BW679" s="1" t="s">
        <v>207</v>
      </c>
      <c r="BX679" s="1" t="s">
        <v>431</v>
      </c>
      <c r="BY679" s="1" t="s">
        <v>1396</v>
      </c>
      <c r="BZ679" s="1" t="s">
        <v>209</v>
      </c>
      <c r="CA679" s="1" t="s">
        <v>207</v>
      </c>
      <c r="CD679" s="1" t="s">
        <v>204</v>
      </c>
      <c r="CG679" s="1" t="s">
        <v>215</v>
      </c>
      <c r="CH679" s="1" t="s">
        <v>209</v>
      </c>
      <c r="CK679" s="1" t="s">
        <v>363</v>
      </c>
      <c r="CL679" s="1" t="s">
        <v>206</v>
      </c>
      <c r="CO679" s="1" t="s">
        <v>433</v>
      </c>
      <c r="CP679" s="1" t="s">
        <v>42</v>
      </c>
      <c r="CS679" s="1" t="s">
        <v>663</v>
      </c>
      <c r="CT679" s="1" t="s">
        <v>206</v>
      </c>
      <c r="CX679" s="1" t="s">
        <v>204</v>
      </c>
      <c r="DA679" s="1" t="s">
        <v>200</v>
      </c>
      <c r="DC679" s="1" t="s">
        <v>702</v>
      </c>
      <c r="DE679" s="1" t="s">
        <v>2851</v>
      </c>
      <c r="DF679" s="1" t="s">
        <v>219</v>
      </c>
      <c r="DH679" s="1" t="s">
        <v>220</v>
      </c>
      <c r="DJ679" s="1" t="s">
        <v>222</v>
      </c>
      <c r="DL679" s="1" t="s">
        <v>224</v>
      </c>
      <c r="DM679" s="1" t="s">
        <v>229</v>
      </c>
      <c r="DQ679" s="1" t="s">
        <v>228</v>
      </c>
      <c r="DR679" s="1" t="s">
        <v>229</v>
      </c>
      <c r="DV679" s="1" t="s">
        <v>1729</v>
      </c>
      <c r="DW679" s="1" t="s">
        <v>279</v>
      </c>
      <c r="DX679" s="1" t="s">
        <v>234</v>
      </c>
      <c r="EC679" s="1" t="s">
        <v>645</v>
      </c>
      <c r="EG679" s="1" t="s">
        <v>1729</v>
      </c>
      <c r="EL679" s="1" t="s">
        <v>334</v>
      </c>
      <c r="EM679" s="1" t="s">
        <v>206</v>
      </c>
      <c r="EQ679" s="1" t="s">
        <v>238</v>
      </c>
      <c r="EU679" s="1" t="s">
        <v>238</v>
      </c>
      <c r="EY679" s="1" t="s">
        <v>238</v>
      </c>
      <c r="FC679" s="1" t="s">
        <v>238</v>
      </c>
      <c r="FF679" s="1" t="s">
        <v>239</v>
      </c>
      <c r="FG679" s="1" t="s">
        <v>192</v>
      </c>
      <c r="FH679" s="1" t="s">
        <v>192</v>
      </c>
      <c r="FJ679" s="1" t="s">
        <v>8325</v>
      </c>
      <c r="FK679" s="1" t="s">
        <v>229</v>
      </c>
      <c r="FL679" s="1" t="s">
        <v>8326</v>
      </c>
      <c r="FM679" s="1">
        <v>23391.0</v>
      </c>
      <c r="FN679" s="1" t="s">
        <v>8327</v>
      </c>
      <c r="FO679" s="1" t="s">
        <v>8328</v>
      </c>
      <c r="FP679" s="1">
        <v>243437.0</v>
      </c>
      <c r="FQ679" s="1" t="s">
        <v>8329</v>
      </c>
      <c r="FU679" s="1" t="s">
        <v>8330</v>
      </c>
      <c r="FV679" s="1" t="s">
        <v>200</v>
      </c>
      <c r="FW679" s="1" t="s">
        <v>1457</v>
      </c>
      <c r="FX679" s="1" t="s">
        <v>655</v>
      </c>
      <c r="FZ679" s="1" t="s">
        <v>229</v>
      </c>
      <c r="GA679" s="1" t="s">
        <v>291</v>
      </c>
      <c r="GB679" s="2">
        <v>42082.0</v>
      </c>
    </row>
    <row r="680">
      <c r="A680" s="1">
        <v>1000000.0</v>
      </c>
      <c r="B680" s="1" t="s">
        <v>185</v>
      </c>
      <c r="C680" s="1" t="str">
        <f>"08815371"</f>
        <v>08815371</v>
      </c>
      <c r="D680" s="1" t="s">
        <v>186</v>
      </c>
      <c r="F680" s="1" t="str">
        <f>"140"</f>
        <v>140</v>
      </c>
      <c r="G680" s="2">
        <v>42017.0</v>
      </c>
      <c r="H680" s="1">
        <v>1199000.0</v>
      </c>
      <c r="I680" s="1">
        <v>642.0</v>
      </c>
      <c r="J680" s="1">
        <v>1199000.0</v>
      </c>
      <c r="K680" s="2">
        <v>42108.0</v>
      </c>
      <c r="L680" s="1">
        <v>92.0</v>
      </c>
      <c r="M680" s="2">
        <v>42108.0</v>
      </c>
      <c r="N680" s="1" t="s">
        <v>249</v>
      </c>
      <c r="O680" s="2">
        <v>42144.0</v>
      </c>
      <c r="P680" s="1">
        <v>173981.0</v>
      </c>
      <c r="Q680" s="1">
        <v>14090.0</v>
      </c>
      <c r="S680" s="1" t="s">
        <v>8331</v>
      </c>
      <c r="T680" s="1" t="s">
        <v>8332</v>
      </c>
      <c r="U680" s="1" t="s">
        <v>464</v>
      </c>
      <c r="V680" s="1" t="s">
        <v>321</v>
      </c>
      <c r="W680" s="1">
        <v>60140.0</v>
      </c>
      <c r="Y680" s="1" t="s">
        <v>8333</v>
      </c>
      <c r="Z680" s="1">
        <v>2002.0</v>
      </c>
      <c r="AA680" s="1" t="s">
        <v>200</v>
      </c>
      <c r="AB680" s="1" t="s">
        <v>193</v>
      </c>
      <c r="AD680" s="1" t="s">
        <v>324</v>
      </c>
      <c r="AE680" s="1" t="s">
        <v>325</v>
      </c>
      <c r="AF680" s="1" t="s">
        <v>4384</v>
      </c>
      <c r="AH680" s="1" t="s">
        <v>8334</v>
      </c>
      <c r="AI680" s="1">
        <v>40.88</v>
      </c>
      <c r="AK680" s="1">
        <v>10.0</v>
      </c>
      <c r="AL680" s="1">
        <v>4.0</v>
      </c>
      <c r="AM680" s="1">
        <v>3.0</v>
      </c>
      <c r="AN680" s="1">
        <v>2.0</v>
      </c>
      <c r="AO680" s="1" t="s">
        <v>198</v>
      </c>
      <c r="AP680" s="1">
        <v>2.0</v>
      </c>
      <c r="AQ680" s="1" t="s">
        <v>198</v>
      </c>
      <c r="AR680" s="1" t="s">
        <v>200</v>
      </c>
      <c r="AS680" s="1" t="s">
        <v>199</v>
      </c>
      <c r="AT680" s="1">
        <v>4.0</v>
      </c>
      <c r="AV680" s="1" t="s">
        <v>192</v>
      </c>
      <c r="AW680" s="1">
        <v>22702.52</v>
      </c>
      <c r="AX680" s="1">
        <v>2013.0</v>
      </c>
      <c r="AY680" s="1" t="s">
        <v>387</v>
      </c>
      <c r="AZ680" s="1" t="s">
        <v>200</v>
      </c>
      <c r="BA680" s="1" t="str">
        <f>"0426100002"</f>
        <v>0426100002</v>
      </c>
      <c r="BC680" s="1">
        <v>5000.0</v>
      </c>
      <c r="BD680" s="1">
        <v>1000000.0</v>
      </c>
      <c r="BE680" s="2">
        <v>42017.0</v>
      </c>
      <c r="BF680" s="2" t="s">
        <v>8335</v>
      </c>
      <c r="BG680" s="1" t="s">
        <v>577</v>
      </c>
      <c r="BH680" s="1">
        <v>0.0</v>
      </c>
      <c r="BI680" s="1" t="s">
        <v>578</v>
      </c>
      <c r="BJ680" s="1" t="s">
        <v>579</v>
      </c>
      <c r="BK680" s="1" t="s">
        <v>204</v>
      </c>
      <c r="BL680" s="1" t="str">
        <f t="shared" ref="BL680:BM680" si="455">""</f>
        <v/>
      </c>
      <c r="BM680" s="1" t="str">
        <f t="shared" si="455"/>
        <v/>
      </c>
      <c r="BQ680" s="1">
        <v>301.0</v>
      </c>
      <c r="BR680" s="1">
        <v>301.0</v>
      </c>
      <c r="BS680" s="1">
        <v>301.0</v>
      </c>
      <c r="BU680" s="1" t="s">
        <v>215</v>
      </c>
      <c r="BV680" s="1" t="s">
        <v>206</v>
      </c>
      <c r="BW680" s="1" t="s">
        <v>210</v>
      </c>
      <c r="BX680" s="1" t="s">
        <v>229</v>
      </c>
      <c r="BY680" s="1" t="s">
        <v>8336</v>
      </c>
      <c r="BZ680" s="1" t="s">
        <v>206</v>
      </c>
      <c r="CA680" s="1" t="s">
        <v>210</v>
      </c>
      <c r="CB680" s="1" t="s">
        <v>431</v>
      </c>
      <c r="CC680" s="1" t="s">
        <v>616</v>
      </c>
      <c r="CD680" s="1" t="s">
        <v>206</v>
      </c>
      <c r="CE680" s="1" t="s">
        <v>210</v>
      </c>
      <c r="CF680" s="1" t="s">
        <v>1549</v>
      </c>
      <c r="CG680" s="1" t="s">
        <v>1426</v>
      </c>
      <c r="CH680" s="1" t="s">
        <v>209</v>
      </c>
      <c r="CI680" s="1" t="s">
        <v>210</v>
      </c>
      <c r="CJ680" s="1" t="s">
        <v>431</v>
      </c>
      <c r="CK680" s="1" t="s">
        <v>1350</v>
      </c>
      <c r="CL680" s="1" t="s">
        <v>209</v>
      </c>
      <c r="CM680" s="1" t="s">
        <v>210</v>
      </c>
      <c r="CN680" s="1" t="s">
        <v>431</v>
      </c>
      <c r="CO680" s="1" t="s">
        <v>664</v>
      </c>
      <c r="CP680" s="1" t="s">
        <v>209</v>
      </c>
      <c r="CQ680" s="1" t="s">
        <v>210</v>
      </c>
      <c r="CR680" s="1" t="s">
        <v>431</v>
      </c>
      <c r="CS680" s="1" t="s">
        <v>1184</v>
      </c>
      <c r="CT680" s="1" t="s">
        <v>206</v>
      </c>
      <c r="CU680" s="1" t="s">
        <v>207</v>
      </c>
      <c r="CV680" s="1" t="s">
        <v>229</v>
      </c>
      <c r="CW680" s="1" t="s">
        <v>3154</v>
      </c>
      <c r="CX680" s="1" t="s">
        <v>206</v>
      </c>
      <c r="CY680" s="1" t="s">
        <v>210</v>
      </c>
      <c r="CZ680" s="1" t="s">
        <v>229</v>
      </c>
      <c r="DA680" s="1" t="s">
        <v>200</v>
      </c>
      <c r="DC680" s="1" t="s">
        <v>335</v>
      </c>
      <c r="DD680" s="1" t="s">
        <v>272</v>
      </c>
      <c r="DE680" s="1" t="s">
        <v>273</v>
      </c>
      <c r="DF680" s="1" t="s">
        <v>8337</v>
      </c>
      <c r="DG680" s="1" t="s">
        <v>8338</v>
      </c>
      <c r="DH680" s="1" t="s">
        <v>856</v>
      </c>
      <c r="DI680" s="1" t="s">
        <v>2420</v>
      </c>
      <c r="DJ680" s="1" t="s">
        <v>857</v>
      </c>
      <c r="DL680" s="1" t="s">
        <v>223</v>
      </c>
      <c r="DM680" s="1" t="s">
        <v>338</v>
      </c>
      <c r="DN680" s="1" t="s">
        <v>548</v>
      </c>
      <c r="DO680" s="1" t="s">
        <v>8339</v>
      </c>
      <c r="DP680" s="1" t="s">
        <v>340</v>
      </c>
      <c r="DQ680" s="1" t="s">
        <v>8340</v>
      </c>
      <c r="DR680" s="1" t="s">
        <v>229</v>
      </c>
      <c r="DU680" s="1" t="s">
        <v>8341</v>
      </c>
      <c r="DV680" s="1" t="s">
        <v>8342</v>
      </c>
      <c r="DW680" s="1" t="s">
        <v>964</v>
      </c>
      <c r="DX680" s="1" t="s">
        <v>234</v>
      </c>
      <c r="DY680" s="1" t="s">
        <v>8343</v>
      </c>
      <c r="DZ680" s="1" t="s">
        <v>8344</v>
      </c>
      <c r="EA680" s="1" t="s">
        <v>3112</v>
      </c>
      <c r="EB680" s="1" t="s">
        <v>684</v>
      </c>
      <c r="EC680" s="1" t="s">
        <v>237</v>
      </c>
      <c r="ED680" s="1" t="s">
        <v>407</v>
      </c>
      <c r="EE680" s="1" t="s">
        <v>8345</v>
      </c>
      <c r="EH680" s="1" t="s">
        <v>598</v>
      </c>
      <c r="EI680" s="1" t="s">
        <v>1729</v>
      </c>
      <c r="EM680" s="1" t="s">
        <v>238</v>
      </c>
      <c r="EP680" s="1" t="s">
        <v>8346</v>
      </c>
      <c r="EQ680" s="1" t="s">
        <v>209</v>
      </c>
      <c r="ER680" s="1" t="s">
        <v>210</v>
      </c>
      <c r="ES680" s="1" t="s">
        <v>431</v>
      </c>
      <c r="ET680" s="1" t="s">
        <v>1351</v>
      </c>
      <c r="EU680" s="1" t="s">
        <v>206</v>
      </c>
      <c r="EV680" s="1" t="s">
        <v>207</v>
      </c>
      <c r="EW680" s="1" t="s">
        <v>431</v>
      </c>
      <c r="EY680" s="1" t="s">
        <v>238</v>
      </c>
      <c r="FC680" s="1" t="s">
        <v>238</v>
      </c>
      <c r="FF680" s="1" t="s">
        <v>239</v>
      </c>
      <c r="FG680" s="1" t="s">
        <v>200</v>
      </c>
      <c r="FH680" s="1" t="s">
        <v>192</v>
      </c>
      <c r="FJ680" s="1" t="s">
        <v>8347</v>
      </c>
      <c r="FK680" s="1" t="s">
        <v>557</v>
      </c>
      <c r="FL680" s="1" t="s">
        <v>893</v>
      </c>
      <c r="FM680" s="1">
        <v>604.0</v>
      </c>
      <c r="FN680" s="1" t="s">
        <v>894</v>
      </c>
      <c r="FO680" s="1" t="s">
        <v>8348</v>
      </c>
      <c r="FP680" s="1">
        <v>8876.0</v>
      </c>
      <c r="FQ680" s="1" t="s">
        <v>8349</v>
      </c>
      <c r="FS680" s="1" t="s">
        <v>8350</v>
      </c>
      <c r="FU680" s="1" t="s">
        <v>8351</v>
      </c>
      <c r="FV680" s="1" t="s">
        <v>200</v>
      </c>
      <c r="FW680" s="1" t="s">
        <v>290</v>
      </c>
      <c r="FZ680" s="1" t="s">
        <v>632</v>
      </c>
      <c r="GA680" s="1" t="s">
        <v>291</v>
      </c>
      <c r="GB680" s="2">
        <v>42145.0</v>
      </c>
    </row>
    <row r="681">
      <c r="A681" s="1">
        <v>120000.0</v>
      </c>
      <c r="B681" s="1" t="s">
        <v>185</v>
      </c>
      <c r="C681" s="1" t="str">
        <f>"08803228"</f>
        <v>08803228</v>
      </c>
      <c r="D681" s="1" t="s">
        <v>186</v>
      </c>
      <c r="F681" s="1" t="str">
        <f>"8056"</f>
        <v>8056</v>
      </c>
      <c r="G681" s="2">
        <v>41990.0</v>
      </c>
      <c r="H681" s="1">
        <v>126000.0</v>
      </c>
      <c r="I681" s="1">
        <v>79.0</v>
      </c>
      <c r="J681" s="1">
        <v>119900.0</v>
      </c>
      <c r="K681" s="2">
        <v>42066.0</v>
      </c>
      <c r="L681" s="1">
        <v>79.0</v>
      </c>
      <c r="M681" s="2">
        <v>42066.0</v>
      </c>
      <c r="N681" s="1" t="s">
        <v>187</v>
      </c>
      <c r="O681" s="2">
        <v>42110.0</v>
      </c>
      <c r="P681" s="1">
        <v>113729.0</v>
      </c>
      <c r="Q681" s="1">
        <v>85239.0</v>
      </c>
      <c r="S681" s="1">
        <v>4918.0</v>
      </c>
      <c r="T681" s="1" t="s">
        <v>8352</v>
      </c>
      <c r="U681" s="1" t="s">
        <v>189</v>
      </c>
      <c r="V681" s="1" t="s">
        <v>190</v>
      </c>
      <c r="W681" s="1">
        <v>60638.0</v>
      </c>
      <c r="Y681" s="1" t="s">
        <v>8353</v>
      </c>
      <c r="Z681" s="1">
        <v>1920.0</v>
      </c>
      <c r="AA681" s="1" t="s">
        <v>192</v>
      </c>
      <c r="AB681" s="1" t="s">
        <v>193</v>
      </c>
      <c r="AD681" s="1" t="s">
        <v>1089</v>
      </c>
      <c r="AE681" s="1" t="s">
        <v>195</v>
      </c>
      <c r="AF681" s="1" t="s">
        <v>8354</v>
      </c>
      <c r="AH681" s="1" t="s">
        <v>8355</v>
      </c>
      <c r="AI681" s="1">
        <v>0.0865</v>
      </c>
      <c r="AK681" s="1">
        <v>7.0</v>
      </c>
      <c r="AL681" s="1">
        <v>4.0</v>
      </c>
      <c r="AM681" s="1">
        <v>1.0</v>
      </c>
      <c r="AN681" s="1">
        <v>1.0</v>
      </c>
      <c r="AO681" s="1" t="s">
        <v>229</v>
      </c>
      <c r="AQ681" s="1" t="s">
        <v>229</v>
      </c>
      <c r="AR681" s="1" t="s">
        <v>200</v>
      </c>
      <c r="AS681" s="1" t="s">
        <v>199</v>
      </c>
      <c r="AT681" s="1">
        <v>2.0</v>
      </c>
      <c r="AV681" s="1" t="s">
        <v>200</v>
      </c>
      <c r="AW681" s="1">
        <v>3287.09</v>
      </c>
      <c r="AX681" s="1">
        <v>2013.0</v>
      </c>
      <c r="AY681" s="1" t="s">
        <v>387</v>
      </c>
      <c r="AZ681" s="1" t="s">
        <v>200</v>
      </c>
      <c r="BA681" s="1" t="str">
        <f>"19091210460000"</f>
        <v>19091210460000</v>
      </c>
      <c r="BB681" s="1" t="s">
        <v>200</v>
      </c>
      <c r="BC681" s="1">
        <v>1796.0</v>
      </c>
      <c r="BD681" s="1">
        <v>120000.0</v>
      </c>
      <c r="BE681" s="2">
        <v>41988.0</v>
      </c>
      <c r="BF681" s="1" t="s">
        <v>8356</v>
      </c>
      <c r="BH681" s="1">
        <v>0.0</v>
      </c>
      <c r="BK681" s="1" t="s">
        <v>204</v>
      </c>
      <c r="BL681" s="1" t="str">
        <f t="shared" ref="BL681:BM681" si="456">"0"</f>
        <v>0</v>
      </c>
      <c r="BM681" s="1" t="str">
        <f t="shared" si="456"/>
        <v>0</v>
      </c>
      <c r="BN681" s="1">
        <v>5400.0</v>
      </c>
      <c r="BO681" s="1">
        <v>4900.0</v>
      </c>
      <c r="BQ681" s="1">
        <v>110.0</v>
      </c>
      <c r="BR681" s="1">
        <v>220.0</v>
      </c>
      <c r="BS681" s="1">
        <v>110.0</v>
      </c>
      <c r="BU681" s="1" t="s">
        <v>393</v>
      </c>
      <c r="BV681" s="1" t="s">
        <v>206</v>
      </c>
      <c r="BW681" s="1" t="s">
        <v>207</v>
      </c>
      <c r="BY681" s="1" t="s">
        <v>2647</v>
      </c>
      <c r="BZ681" s="1" t="s">
        <v>209</v>
      </c>
      <c r="CA681" s="1" t="s">
        <v>210</v>
      </c>
      <c r="CD681" s="1" t="s">
        <v>204</v>
      </c>
      <c r="CG681" s="1" t="s">
        <v>1517</v>
      </c>
      <c r="CH681" s="1" t="s">
        <v>209</v>
      </c>
      <c r="CI681" s="1" t="s">
        <v>210</v>
      </c>
      <c r="CK681" s="1" t="s">
        <v>8357</v>
      </c>
      <c r="CL681" s="1" t="s">
        <v>206</v>
      </c>
      <c r="CM681" s="1" t="s">
        <v>207</v>
      </c>
      <c r="CO681" s="1" t="s">
        <v>8357</v>
      </c>
      <c r="CP681" s="1" t="s">
        <v>206</v>
      </c>
      <c r="CQ681" s="1" t="s">
        <v>207</v>
      </c>
      <c r="CS681" s="1" t="s">
        <v>830</v>
      </c>
      <c r="CT681" s="1" t="s">
        <v>206</v>
      </c>
      <c r="CU681" s="1" t="s">
        <v>617</v>
      </c>
      <c r="CW681" s="1" t="s">
        <v>677</v>
      </c>
      <c r="CX681" s="1" t="s">
        <v>206</v>
      </c>
      <c r="CY681" s="1" t="s">
        <v>617</v>
      </c>
      <c r="DA681" s="1" t="s">
        <v>200</v>
      </c>
      <c r="DC681" s="1" t="s">
        <v>216</v>
      </c>
      <c r="DD681" s="1" t="s">
        <v>518</v>
      </c>
      <c r="DE681" s="1" t="s">
        <v>273</v>
      </c>
      <c r="DF681" s="1" t="s">
        <v>219</v>
      </c>
      <c r="DH681" s="1" t="s">
        <v>307</v>
      </c>
      <c r="DJ681" s="1" t="s">
        <v>222</v>
      </c>
      <c r="DK681" s="1" t="s">
        <v>790</v>
      </c>
      <c r="DL681" s="1" t="s">
        <v>1853</v>
      </c>
      <c r="DM681" s="1" t="s">
        <v>1247</v>
      </c>
      <c r="DO681" s="1" t="s">
        <v>549</v>
      </c>
      <c r="DQ681" s="1" t="s">
        <v>794</v>
      </c>
      <c r="DR681" s="1" t="s">
        <v>229</v>
      </c>
      <c r="DS681" s="1" t="s">
        <v>401</v>
      </c>
      <c r="DV681" s="1" t="s">
        <v>232</v>
      </c>
      <c r="DW681" s="1" t="s">
        <v>370</v>
      </c>
      <c r="DX681" s="1" t="s">
        <v>234</v>
      </c>
      <c r="DY681" s="1" t="s">
        <v>704</v>
      </c>
      <c r="EA681" s="1" t="s">
        <v>644</v>
      </c>
      <c r="EC681" s="1" t="s">
        <v>237</v>
      </c>
      <c r="EM681" s="1" t="s">
        <v>238</v>
      </c>
      <c r="EQ681" s="1" t="s">
        <v>238</v>
      </c>
      <c r="EU681" s="1" t="s">
        <v>238</v>
      </c>
      <c r="EY681" s="1" t="s">
        <v>238</v>
      </c>
      <c r="FC681" s="1" t="s">
        <v>238</v>
      </c>
      <c r="FF681" s="1" t="s">
        <v>239</v>
      </c>
      <c r="FG681" s="1" t="s">
        <v>192</v>
      </c>
      <c r="FH681" s="1" t="s">
        <v>192</v>
      </c>
      <c r="FJ681" s="1" t="s">
        <v>347</v>
      </c>
      <c r="FK681" s="1" t="s">
        <v>229</v>
      </c>
      <c r="FL681" s="1" t="s">
        <v>4260</v>
      </c>
      <c r="FM681" s="1">
        <v>40335.0</v>
      </c>
      <c r="FN681" s="1" t="s">
        <v>4261</v>
      </c>
      <c r="FO681" s="1" t="s">
        <v>4262</v>
      </c>
      <c r="FP681" s="1">
        <v>401613.0</v>
      </c>
      <c r="FQ681" s="1" t="s">
        <v>4261</v>
      </c>
      <c r="FR681" s="1">
        <v>408023.0</v>
      </c>
      <c r="FU681" s="1" t="s">
        <v>8358</v>
      </c>
      <c r="FV681" s="1" t="s">
        <v>200</v>
      </c>
      <c r="FW681" s="1" t="s">
        <v>354</v>
      </c>
      <c r="FX681" s="1" t="s">
        <v>655</v>
      </c>
      <c r="FZ681" s="1" t="s">
        <v>229</v>
      </c>
      <c r="GA681" s="1" t="s">
        <v>291</v>
      </c>
      <c r="GB681" s="2">
        <v>42111.0</v>
      </c>
      <c r="GC681" s="1" t="s">
        <v>8359</v>
      </c>
    </row>
    <row r="682">
      <c r="A682" s="1">
        <v>1017000.0</v>
      </c>
      <c r="B682" s="1" t="s">
        <v>185</v>
      </c>
      <c r="C682" s="1" t="str">
        <f>"08812122"</f>
        <v>08812122</v>
      </c>
      <c r="D682" s="1" t="s">
        <v>186</v>
      </c>
      <c r="F682" s="1" t="str">
        <f>"8004"</f>
        <v>8004</v>
      </c>
      <c r="G682" s="2">
        <v>42012.0</v>
      </c>
      <c r="H682" s="1">
        <v>1050000.0</v>
      </c>
      <c r="I682" s="1">
        <v>18.0</v>
      </c>
      <c r="J682" s="1">
        <v>1050000.0</v>
      </c>
      <c r="K682" s="2">
        <v>42029.0</v>
      </c>
      <c r="L682" s="1">
        <v>18.0</v>
      </c>
      <c r="M682" s="2">
        <v>42029.0</v>
      </c>
      <c r="N682" s="1" t="s">
        <v>187</v>
      </c>
      <c r="O682" s="2">
        <v>42095.0</v>
      </c>
      <c r="P682" s="1">
        <v>38640.0</v>
      </c>
      <c r="Q682" s="1">
        <v>4420.0</v>
      </c>
      <c r="S682" s="1">
        <v>4850.0</v>
      </c>
      <c r="T682" s="1" t="s">
        <v>8360</v>
      </c>
      <c r="U682" s="1" t="s">
        <v>189</v>
      </c>
      <c r="V682" s="1" t="s">
        <v>190</v>
      </c>
      <c r="W682" s="1">
        <v>60625.0</v>
      </c>
      <c r="Y682" s="1" t="s">
        <v>8361</v>
      </c>
      <c r="Z682" s="1">
        <v>1898.0</v>
      </c>
      <c r="AA682" s="1" t="s">
        <v>192</v>
      </c>
      <c r="AB682" s="1" t="s">
        <v>193</v>
      </c>
      <c r="AD682" s="1" t="s">
        <v>194</v>
      </c>
      <c r="AE682" s="1" t="s">
        <v>195</v>
      </c>
      <c r="AF682" s="1" t="s">
        <v>534</v>
      </c>
      <c r="AH682" s="1" t="s">
        <v>1685</v>
      </c>
      <c r="AK682" s="1">
        <v>10.0</v>
      </c>
      <c r="AL682" s="1">
        <v>4.0</v>
      </c>
      <c r="AM682" s="1">
        <v>4.0</v>
      </c>
      <c r="AN682" s="1">
        <v>1.0</v>
      </c>
      <c r="AO682" s="1" t="s">
        <v>198</v>
      </c>
      <c r="AP682" s="1">
        <v>0.0</v>
      </c>
      <c r="AQ682" s="1" t="s">
        <v>198</v>
      </c>
      <c r="AR682" s="1" t="s">
        <v>192</v>
      </c>
      <c r="AS682" s="1" t="s">
        <v>199</v>
      </c>
      <c r="AT682" s="1">
        <v>2.0</v>
      </c>
      <c r="AV682" s="1" t="s">
        <v>200</v>
      </c>
      <c r="AW682" s="1">
        <v>7423.0</v>
      </c>
      <c r="AX682" s="1">
        <v>2013.0</v>
      </c>
      <c r="AY682" s="1" t="s">
        <v>387</v>
      </c>
      <c r="AZ682" s="1" t="s">
        <v>200</v>
      </c>
      <c r="BA682" s="1" t="str">
        <f>"14073220170000"</f>
        <v>14073220170000</v>
      </c>
      <c r="BB682" s="1" t="s">
        <v>200</v>
      </c>
      <c r="BC682" s="1">
        <v>3500.0</v>
      </c>
      <c r="BD682" s="1">
        <v>1017000.0</v>
      </c>
      <c r="BE682" s="2">
        <v>42012.0</v>
      </c>
      <c r="BF682" s="2" t="s">
        <v>8362</v>
      </c>
      <c r="BG682" s="1" t="s">
        <v>1687</v>
      </c>
      <c r="BH682" s="1">
        <v>0.0</v>
      </c>
      <c r="BI682" s="1" t="s">
        <v>1687</v>
      </c>
      <c r="BK682" s="1" t="s">
        <v>204</v>
      </c>
      <c r="BL682" s="1" t="str">
        <f>"4850"</f>
        <v>4850</v>
      </c>
      <c r="BM682" s="1" t="str">
        <f>"0"</f>
        <v>0</v>
      </c>
      <c r="BN682" s="1">
        <v>2100.0</v>
      </c>
      <c r="BO682" s="1">
        <v>0.0</v>
      </c>
      <c r="BQ682" s="1">
        <v>299.0</v>
      </c>
      <c r="BR682" s="1">
        <v>299.0</v>
      </c>
      <c r="BS682" s="1">
        <v>299.0</v>
      </c>
      <c r="BU682" s="1" t="s">
        <v>260</v>
      </c>
      <c r="BV682" s="1" t="s">
        <v>206</v>
      </c>
      <c r="BW682" s="1" t="s">
        <v>207</v>
      </c>
      <c r="BX682" s="1" t="s">
        <v>431</v>
      </c>
      <c r="BY682" s="1" t="s">
        <v>211</v>
      </c>
      <c r="BZ682" s="1" t="s">
        <v>209</v>
      </c>
      <c r="CA682" s="1" t="s">
        <v>207</v>
      </c>
      <c r="CB682" s="1" t="s">
        <v>1118</v>
      </c>
      <c r="CC682" s="1" t="s">
        <v>454</v>
      </c>
      <c r="CD682" s="1" t="s">
        <v>206</v>
      </c>
      <c r="CE682" s="1" t="s">
        <v>207</v>
      </c>
      <c r="CF682" s="1" t="s">
        <v>431</v>
      </c>
      <c r="CG682" s="1" t="s">
        <v>363</v>
      </c>
      <c r="CH682" s="1" t="s">
        <v>209</v>
      </c>
      <c r="CI682" s="1" t="s">
        <v>207</v>
      </c>
      <c r="CJ682" s="1" t="s">
        <v>1118</v>
      </c>
      <c r="CK682" s="1" t="s">
        <v>363</v>
      </c>
      <c r="CL682" s="1" t="s">
        <v>209</v>
      </c>
      <c r="CM682" s="1" t="s">
        <v>207</v>
      </c>
      <c r="CN682" s="1" t="s">
        <v>1118</v>
      </c>
      <c r="CO682" s="1" t="s">
        <v>363</v>
      </c>
      <c r="CP682" s="1" t="s">
        <v>391</v>
      </c>
      <c r="CQ682" s="1" t="s">
        <v>207</v>
      </c>
      <c r="CR682" s="1" t="s">
        <v>1118</v>
      </c>
      <c r="CS682" s="1" t="s">
        <v>640</v>
      </c>
      <c r="CT682" s="1" t="s">
        <v>206</v>
      </c>
      <c r="CU682" s="1" t="s">
        <v>207</v>
      </c>
      <c r="CV682" s="1" t="s">
        <v>229</v>
      </c>
      <c r="CW682" s="1" t="s">
        <v>1117</v>
      </c>
      <c r="CX682" s="1" t="s">
        <v>42</v>
      </c>
      <c r="CY682" s="1" t="s">
        <v>210</v>
      </c>
      <c r="CZ682" s="1" t="s">
        <v>431</v>
      </c>
      <c r="DA682" s="1" t="s">
        <v>200</v>
      </c>
      <c r="DC682" s="1" t="s">
        <v>642</v>
      </c>
      <c r="DD682" s="1" t="s">
        <v>731</v>
      </c>
      <c r="DE682" s="1" t="s">
        <v>1810</v>
      </c>
      <c r="DF682" s="1" t="s">
        <v>1811</v>
      </c>
      <c r="DG682" s="1" t="s">
        <v>4682</v>
      </c>
      <c r="DH682" s="1" t="s">
        <v>220</v>
      </c>
      <c r="DJ682" s="1" t="s">
        <v>222</v>
      </c>
      <c r="DK682" s="1" t="s">
        <v>1380</v>
      </c>
      <c r="DL682" s="1" t="s">
        <v>224</v>
      </c>
      <c r="DM682" s="1" t="s">
        <v>1464</v>
      </c>
      <c r="DN682" s="1" t="s">
        <v>8363</v>
      </c>
      <c r="DO682" s="1" t="s">
        <v>549</v>
      </c>
      <c r="DP682" s="1" t="s">
        <v>340</v>
      </c>
      <c r="DQ682" s="1" t="s">
        <v>794</v>
      </c>
      <c r="DR682" s="1" t="s">
        <v>229</v>
      </c>
      <c r="DS682" s="1" t="s">
        <v>230</v>
      </c>
      <c r="DU682" s="1" t="s">
        <v>8364</v>
      </c>
      <c r="DV682" s="1" t="s">
        <v>8365</v>
      </c>
      <c r="DW682" s="1" t="s">
        <v>8366</v>
      </c>
      <c r="DX682" s="1" t="s">
        <v>234</v>
      </c>
      <c r="DY682" s="1" t="s">
        <v>8367</v>
      </c>
      <c r="DZ682" s="1" t="s">
        <v>1100</v>
      </c>
      <c r="EA682" s="1" t="s">
        <v>3112</v>
      </c>
      <c r="EC682" s="1" t="s">
        <v>406</v>
      </c>
      <c r="ED682" s="1" t="s">
        <v>555</v>
      </c>
      <c r="EG682" s="1" t="s">
        <v>1467</v>
      </c>
      <c r="EH682" s="1" t="s">
        <v>1491</v>
      </c>
      <c r="EI682" s="1" t="s">
        <v>408</v>
      </c>
      <c r="EJ682" s="1" t="s">
        <v>720</v>
      </c>
      <c r="EK682" s="1" t="s">
        <v>310</v>
      </c>
      <c r="EL682" s="1" t="s">
        <v>582</v>
      </c>
      <c r="EM682" s="1" t="s">
        <v>391</v>
      </c>
      <c r="EN682" s="1" t="s">
        <v>207</v>
      </c>
      <c r="EO682" s="1" t="s">
        <v>1118</v>
      </c>
      <c r="EP682" s="1" t="s">
        <v>798</v>
      </c>
      <c r="EQ682" s="1" t="s">
        <v>42</v>
      </c>
      <c r="ER682" s="1" t="s">
        <v>588</v>
      </c>
      <c r="ES682" s="1" t="s">
        <v>229</v>
      </c>
      <c r="ET682" s="1" t="s">
        <v>2367</v>
      </c>
      <c r="EU682" s="1" t="s">
        <v>206</v>
      </c>
      <c r="EV682" s="1" t="s">
        <v>207</v>
      </c>
      <c r="EW682" s="1" t="s">
        <v>229</v>
      </c>
      <c r="EX682" s="1" t="s">
        <v>2335</v>
      </c>
      <c r="EY682" s="1" t="s">
        <v>206</v>
      </c>
      <c r="EZ682" s="1" t="s">
        <v>268</v>
      </c>
      <c r="FA682" s="1" t="s">
        <v>239</v>
      </c>
      <c r="FB682" s="1" t="s">
        <v>215</v>
      </c>
      <c r="FC682" s="1" t="s">
        <v>206</v>
      </c>
      <c r="FD682" s="1" t="s">
        <v>588</v>
      </c>
      <c r="FE682" s="1" t="s">
        <v>229</v>
      </c>
      <c r="FF682" s="1" t="s">
        <v>239</v>
      </c>
      <c r="FG682" s="1" t="s">
        <v>192</v>
      </c>
      <c r="FH682" s="1" t="s">
        <v>192</v>
      </c>
      <c r="FJ682" s="1" t="s">
        <v>2100</v>
      </c>
      <c r="FK682" s="1" t="s">
        <v>229</v>
      </c>
      <c r="FL682" s="1" t="s">
        <v>456</v>
      </c>
      <c r="FM682" s="1">
        <v>10273.0</v>
      </c>
      <c r="FN682" s="1" t="s">
        <v>2101</v>
      </c>
      <c r="FO682" s="1" t="s">
        <v>2102</v>
      </c>
      <c r="FP682" s="1">
        <v>140975.0</v>
      </c>
      <c r="FQ682" s="1" t="s">
        <v>2103</v>
      </c>
      <c r="FU682" s="1" t="s">
        <v>8368</v>
      </c>
      <c r="FV682" s="1" t="s">
        <v>200</v>
      </c>
      <c r="FW682" s="1" t="s">
        <v>290</v>
      </c>
      <c r="FX682" s="1" t="s">
        <v>238</v>
      </c>
      <c r="FZ682" s="1" t="s">
        <v>229</v>
      </c>
      <c r="GA682" s="1" t="s">
        <v>291</v>
      </c>
      <c r="GB682" s="2">
        <v>42095.0</v>
      </c>
      <c r="GC682" s="1" t="s">
        <v>8369</v>
      </c>
    </row>
    <row r="683">
      <c r="A683" s="1">
        <v>248000.0</v>
      </c>
      <c r="B683" s="1" t="s">
        <v>185</v>
      </c>
      <c r="C683" s="1" t="str">
        <f>"08807210"</f>
        <v>08807210</v>
      </c>
      <c r="D683" s="1" t="s">
        <v>186</v>
      </c>
      <c r="F683" s="1" t="str">
        <f>"510"</f>
        <v>510</v>
      </c>
      <c r="G683" s="2">
        <v>42003.0</v>
      </c>
      <c r="H683" s="1">
        <v>248000.0</v>
      </c>
      <c r="I683" s="1">
        <v>273.0</v>
      </c>
      <c r="J683" s="1">
        <v>248000.0</v>
      </c>
      <c r="K683" s="2">
        <v>42089.0</v>
      </c>
      <c r="L683" s="1">
        <v>87.0</v>
      </c>
      <c r="M683" s="2">
        <v>42089.0</v>
      </c>
      <c r="N683" s="1" t="s">
        <v>356</v>
      </c>
      <c r="O683" s="2">
        <v>42139.0</v>
      </c>
      <c r="P683" s="1">
        <v>1856.0</v>
      </c>
      <c r="Q683" s="1">
        <v>173.0</v>
      </c>
      <c r="R683" s="1">
        <v>3000.0</v>
      </c>
      <c r="S683" s="1">
        <v>940.0</v>
      </c>
      <c r="T683" s="1" t="s">
        <v>3150</v>
      </c>
      <c r="U683" s="1" t="s">
        <v>420</v>
      </c>
      <c r="V683" s="1" t="s">
        <v>2700</v>
      </c>
      <c r="W683" s="1">
        <v>60510.0</v>
      </c>
      <c r="Y683" s="1" t="s">
        <v>8370</v>
      </c>
      <c r="Z683" s="1">
        <v>1975.0</v>
      </c>
      <c r="AA683" s="1" t="s">
        <v>192</v>
      </c>
      <c r="AB683" s="1" t="s">
        <v>193</v>
      </c>
      <c r="AC683" s="1" t="s">
        <v>8371</v>
      </c>
      <c r="AD683" s="1" t="s">
        <v>2702</v>
      </c>
      <c r="AE683" s="1" t="s">
        <v>325</v>
      </c>
      <c r="AF683" s="1" t="s">
        <v>2702</v>
      </c>
      <c r="AH683" s="1" t="s">
        <v>8372</v>
      </c>
      <c r="AI683" s="1">
        <v>0.3565</v>
      </c>
      <c r="AK683" s="1">
        <v>9.0</v>
      </c>
      <c r="AL683" s="1">
        <v>4.0</v>
      </c>
      <c r="AM683" s="1">
        <v>2.0</v>
      </c>
      <c r="AN683" s="1">
        <v>1.0</v>
      </c>
      <c r="AO683" s="1" t="s">
        <v>198</v>
      </c>
      <c r="AP683" s="1">
        <v>2.0</v>
      </c>
      <c r="AQ683" s="1" t="s">
        <v>198</v>
      </c>
      <c r="AR683" s="1" t="s">
        <v>200</v>
      </c>
      <c r="AS683" s="1" t="s">
        <v>199</v>
      </c>
      <c r="AT683" s="1">
        <v>2.0</v>
      </c>
      <c r="AV683" s="1" t="s">
        <v>200</v>
      </c>
      <c r="AW683" s="1">
        <v>6956.0</v>
      </c>
      <c r="AX683" s="1">
        <v>2013.0</v>
      </c>
      <c r="AY683" s="1" t="s">
        <v>1179</v>
      </c>
      <c r="AZ683" s="1" t="s">
        <v>200</v>
      </c>
      <c r="BA683" s="1" t="str">
        <f>"1225102005"</f>
        <v>1225102005</v>
      </c>
      <c r="BB683" s="1" t="s">
        <v>200</v>
      </c>
      <c r="BC683" s="1">
        <v>0.0</v>
      </c>
      <c r="BD683" s="1">
        <v>248000.0</v>
      </c>
      <c r="BE683" s="2">
        <v>42003.0</v>
      </c>
      <c r="BF683" s="2" t="s">
        <v>8373</v>
      </c>
      <c r="BH683" s="1">
        <v>0.0</v>
      </c>
      <c r="BK683" s="1" t="s">
        <v>204</v>
      </c>
      <c r="BL683" s="1" t="str">
        <f t="shared" ref="BL683:BM683" si="457">""</f>
        <v/>
      </c>
      <c r="BM683" s="1" t="str">
        <f t="shared" si="457"/>
        <v/>
      </c>
      <c r="BQ683" s="1">
        <v>101.0</v>
      </c>
      <c r="BR683" s="1">
        <v>101.0</v>
      </c>
      <c r="BS683" s="1">
        <v>101.0</v>
      </c>
      <c r="BU683" s="1" t="s">
        <v>5954</v>
      </c>
      <c r="BV683" s="1" t="s">
        <v>206</v>
      </c>
      <c r="BW683" s="1" t="s">
        <v>210</v>
      </c>
      <c r="BY683" s="1" t="s">
        <v>211</v>
      </c>
      <c r="BZ683" s="1" t="s">
        <v>209</v>
      </c>
      <c r="CA683" s="1" t="s">
        <v>210</v>
      </c>
      <c r="CC683" s="1" t="s">
        <v>363</v>
      </c>
      <c r="CD683" s="1" t="s">
        <v>206</v>
      </c>
      <c r="CE683" s="1" t="s">
        <v>210</v>
      </c>
      <c r="CG683" s="1" t="s">
        <v>582</v>
      </c>
      <c r="CH683" s="1" t="s">
        <v>209</v>
      </c>
      <c r="CI683" s="1" t="s">
        <v>210</v>
      </c>
      <c r="CK683" s="1" t="s">
        <v>331</v>
      </c>
      <c r="CL683" s="1" t="s">
        <v>209</v>
      </c>
      <c r="CM683" s="1" t="s">
        <v>210</v>
      </c>
      <c r="CO683" s="1" t="s">
        <v>497</v>
      </c>
      <c r="CP683" s="1" t="s">
        <v>209</v>
      </c>
      <c r="CQ683" s="1" t="s">
        <v>210</v>
      </c>
      <c r="CS683" s="1" t="s">
        <v>955</v>
      </c>
      <c r="CT683" s="1" t="s">
        <v>206</v>
      </c>
      <c r="CU683" s="1" t="s">
        <v>617</v>
      </c>
      <c r="CW683" s="1" t="s">
        <v>363</v>
      </c>
      <c r="CX683" s="1" t="s">
        <v>206</v>
      </c>
      <c r="CY683" s="1" t="s">
        <v>210</v>
      </c>
      <c r="DA683" s="1" t="s">
        <v>200</v>
      </c>
      <c r="DC683" s="1" t="s">
        <v>395</v>
      </c>
      <c r="DD683" s="1" t="s">
        <v>306</v>
      </c>
      <c r="DE683" s="1" t="s">
        <v>273</v>
      </c>
      <c r="DF683" s="1" t="s">
        <v>8374</v>
      </c>
      <c r="DG683" s="1" t="s">
        <v>3833</v>
      </c>
      <c r="DH683" s="1" t="s">
        <v>220</v>
      </c>
      <c r="DI683" s="1" t="s">
        <v>1223</v>
      </c>
      <c r="DJ683" s="1" t="s">
        <v>222</v>
      </c>
      <c r="DK683" s="1" t="s">
        <v>3740</v>
      </c>
      <c r="DL683" s="1" t="s">
        <v>858</v>
      </c>
      <c r="DM683" s="1" t="s">
        <v>1268</v>
      </c>
      <c r="DO683" s="1" t="s">
        <v>440</v>
      </c>
      <c r="DP683" s="1" t="s">
        <v>340</v>
      </c>
      <c r="DQ683" s="1" t="s">
        <v>441</v>
      </c>
      <c r="DR683" s="1" t="s">
        <v>229</v>
      </c>
      <c r="DS683" s="1" t="s">
        <v>230</v>
      </c>
      <c r="DU683" s="1" t="s">
        <v>8375</v>
      </c>
      <c r="DV683" s="1" t="s">
        <v>8376</v>
      </c>
      <c r="DW683" s="1" t="s">
        <v>370</v>
      </c>
      <c r="DX683" s="1" t="s">
        <v>234</v>
      </c>
      <c r="DZ683" s="1" t="s">
        <v>8377</v>
      </c>
      <c r="EA683" s="1" t="s">
        <v>447</v>
      </c>
      <c r="EB683" s="1" t="s">
        <v>1639</v>
      </c>
      <c r="EC683" s="1" t="s">
        <v>237</v>
      </c>
      <c r="ED683" s="1" t="s">
        <v>407</v>
      </c>
      <c r="EG683" s="1" t="s">
        <v>1491</v>
      </c>
      <c r="EH683" s="1" t="s">
        <v>8378</v>
      </c>
      <c r="EL683" s="1" t="s">
        <v>1064</v>
      </c>
      <c r="EM683" s="1" t="s">
        <v>42</v>
      </c>
      <c r="EP683" s="1" t="s">
        <v>266</v>
      </c>
      <c r="EQ683" s="1" t="s">
        <v>206</v>
      </c>
      <c r="EU683" s="1" t="s">
        <v>238</v>
      </c>
      <c r="EY683" s="1" t="s">
        <v>238</v>
      </c>
      <c r="FC683" s="1" t="s">
        <v>238</v>
      </c>
      <c r="FF683" s="1" t="s">
        <v>239</v>
      </c>
      <c r="FG683" s="1" t="s">
        <v>192</v>
      </c>
      <c r="FH683" s="1" t="s">
        <v>192</v>
      </c>
      <c r="FJ683" s="1" t="s">
        <v>3514</v>
      </c>
      <c r="FK683" s="1" t="s">
        <v>229</v>
      </c>
      <c r="FL683" s="1" t="s">
        <v>8379</v>
      </c>
      <c r="FM683" s="1">
        <v>302.0</v>
      </c>
      <c r="FN683" s="1" t="s">
        <v>8380</v>
      </c>
      <c r="FO683" s="1" t="s">
        <v>8381</v>
      </c>
      <c r="FP683" s="1">
        <v>7360.0</v>
      </c>
      <c r="FQ683" s="1" t="s">
        <v>8382</v>
      </c>
      <c r="FU683" s="1" t="s">
        <v>8383</v>
      </c>
      <c r="FV683" s="1" t="s">
        <v>200</v>
      </c>
      <c r="FW683" s="1" t="s">
        <v>290</v>
      </c>
      <c r="FZ683" s="1" t="s">
        <v>229</v>
      </c>
      <c r="GA683" s="1" t="s">
        <v>291</v>
      </c>
      <c r="GB683" s="2">
        <v>42139.0</v>
      </c>
      <c r="GC683" s="1" t="s">
        <v>8384</v>
      </c>
    </row>
    <row r="684">
      <c r="A684" s="1">
        <v>350000.0</v>
      </c>
      <c r="B684" s="1" t="s">
        <v>185</v>
      </c>
      <c r="C684" s="1" t="str">
        <f>"08801544"</f>
        <v>08801544</v>
      </c>
      <c r="D684" s="1" t="s">
        <v>186</v>
      </c>
      <c r="F684" s="1" t="str">
        <f>"177"</f>
        <v>177</v>
      </c>
      <c r="G684" s="2">
        <v>41985.0</v>
      </c>
      <c r="H684" s="1">
        <v>329900.0</v>
      </c>
      <c r="I684" s="1">
        <v>64.0</v>
      </c>
      <c r="J684" s="1">
        <v>329900.0</v>
      </c>
      <c r="K684" s="2">
        <v>42048.0</v>
      </c>
      <c r="L684" s="1">
        <v>64.0</v>
      </c>
      <c r="M684" s="2">
        <v>42048.0</v>
      </c>
      <c r="N684" s="1" t="s">
        <v>249</v>
      </c>
      <c r="O684" s="2">
        <v>42130.0</v>
      </c>
      <c r="P684" s="1">
        <v>381.0</v>
      </c>
      <c r="Q684" s="1">
        <v>604.0</v>
      </c>
      <c r="S684" s="1">
        <v>740.0</v>
      </c>
      <c r="T684" s="1" t="s">
        <v>8385</v>
      </c>
      <c r="U684" s="1" t="s">
        <v>420</v>
      </c>
      <c r="V684" s="1" t="s">
        <v>2249</v>
      </c>
      <c r="W684" s="1">
        <v>60177.0</v>
      </c>
      <c r="Y684" s="1" t="s">
        <v>8386</v>
      </c>
      <c r="Z684" s="1">
        <v>2004.0</v>
      </c>
      <c r="AA684" s="1" t="s">
        <v>200</v>
      </c>
      <c r="AB684" s="1" t="s">
        <v>467</v>
      </c>
      <c r="AD684" s="1" t="s">
        <v>2252</v>
      </c>
      <c r="AE684" s="1" t="s">
        <v>325</v>
      </c>
      <c r="AF684" s="1" t="s">
        <v>1203</v>
      </c>
      <c r="AH684" s="1">
        <v>15316.0</v>
      </c>
      <c r="AK684" s="1">
        <v>11.0</v>
      </c>
      <c r="AL684" s="1">
        <v>4.0</v>
      </c>
      <c r="AM684" s="1">
        <v>2.0</v>
      </c>
      <c r="AN684" s="1">
        <v>1.0</v>
      </c>
      <c r="AO684" s="1" t="s">
        <v>198</v>
      </c>
      <c r="AQ684" s="1" t="s">
        <v>198</v>
      </c>
      <c r="AR684" s="1" t="s">
        <v>200</v>
      </c>
      <c r="AS684" s="1" t="s">
        <v>199</v>
      </c>
      <c r="AT684" s="1">
        <v>3.0</v>
      </c>
      <c r="AV684" s="1" t="s">
        <v>200</v>
      </c>
      <c r="AW684" s="1">
        <v>13688.56</v>
      </c>
      <c r="AX684" s="1">
        <v>2013.0</v>
      </c>
      <c r="AZ684" s="1" t="s">
        <v>545</v>
      </c>
      <c r="BA684" s="1" t="str">
        <f>"0905301005"</f>
        <v>0905301005</v>
      </c>
      <c r="BC684" s="1">
        <v>3288.0</v>
      </c>
      <c r="BD684" s="1">
        <v>350000.0</v>
      </c>
      <c r="BE684" s="2">
        <v>41985.0</v>
      </c>
      <c r="BF684" s="2" t="s">
        <v>8387</v>
      </c>
      <c r="BH684" s="1">
        <v>115.0</v>
      </c>
      <c r="BK684" s="1" t="s">
        <v>1952</v>
      </c>
      <c r="BL684" s="1" t="str">
        <f t="shared" ref="BL684:BM684" si="458">""</f>
        <v/>
      </c>
      <c r="BM684" s="1" t="str">
        <f t="shared" si="458"/>
        <v/>
      </c>
      <c r="BQ684" s="1">
        <v>303.0</v>
      </c>
      <c r="BR684" s="1">
        <v>303.0</v>
      </c>
      <c r="BS684" s="1">
        <v>303.0</v>
      </c>
      <c r="BU684" s="1" t="s">
        <v>433</v>
      </c>
      <c r="BV684" s="1" t="s">
        <v>206</v>
      </c>
      <c r="BY684" s="1" t="s">
        <v>1426</v>
      </c>
      <c r="BZ684" s="1" t="s">
        <v>209</v>
      </c>
      <c r="CC684" s="1" t="s">
        <v>363</v>
      </c>
      <c r="CD684" s="1" t="s">
        <v>206</v>
      </c>
      <c r="CG684" s="1" t="s">
        <v>215</v>
      </c>
      <c r="CH684" s="1" t="s">
        <v>209</v>
      </c>
      <c r="CK684" s="1" t="s">
        <v>363</v>
      </c>
      <c r="CL684" s="1" t="s">
        <v>209</v>
      </c>
      <c r="CO684" s="1" t="s">
        <v>212</v>
      </c>
      <c r="CP684" s="1" t="s">
        <v>209</v>
      </c>
      <c r="CS684" s="1" t="s">
        <v>331</v>
      </c>
      <c r="CT684" s="1" t="s">
        <v>206</v>
      </c>
      <c r="CW684" s="1" t="s">
        <v>3658</v>
      </c>
      <c r="CX684" s="1" t="s">
        <v>206</v>
      </c>
      <c r="DA684" s="1" t="s">
        <v>200</v>
      </c>
      <c r="DC684" s="1" t="s">
        <v>335</v>
      </c>
      <c r="DE684" s="1" t="s">
        <v>229</v>
      </c>
      <c r="DF684" s="1" t="s">
        <v>219</v>
      </c>
      <c r="DH684" s="1" t="s">
        <v>220</v>
      </c>
      <c r="DJ684" s="1" t="s">
        <v>222</v>
      </c>
      <c r="DL684" s="1" t="s">
        <v>223</v>
      </c>
      <c r="DM684" s="1" t="s">
        <v>229</v>
      </c>
      <c r="DQ684" s="1" t="s">
        <v>228</v>
      </c>
      <c r="DR684" s="1" t="s">
        <v>588</v>
      </c>
      <c r="DV684" s="1" t="s">
        <v>8388</v>
      </c>
      <c r="DW684" s="1" t="s">
        <v>764</v>
      </c>
      <c r="DX684" s="1" t="s">
        <v>234</v>
      </c>
      <c r="EC684" s="1" t="s">
        <v>237</v>
      </c>
      <c r="EG684" s="1" t="s">
        <v>449</v>
      </c>
      <c r="EH684" s="1" t="s">
        <v>494</v>
      </c>
      <c r="EI684" s="1" t="s">
        <v>1121</v>
      </c>
      <c r="EL684" s="1" t="s">
        <v>582</v>
      </c>
      <c r="EM684" s="1" t="s">
        <v>206</v>
      </c>
      <c r="EP684" s="1" t="s">
        <v>212</v>
      </c>
      <c r="EQ684" s="1" t="s">
        <v>206</v>
      </c>
      <c r="ET684" s="1" t="s">
        <v>543</v>
      </c>
      <c r="EU684" s="1" t="s">
        <v>209</v>
      </c>
      <c r="EY684" s="1" t="s">
        <v>238</v>
      </c>
      <c r="FC684" s="1" t="s">
        <v>238</v>
      </c>
      <c r="FF684" s="1" t="s">
        <v>239</v>
      </c>
      <c r="FG684" s="1" t="s">
        <v>192</v>
      </c>
      <c r="FH684" s="1" t="s">
        <v>192</v>
      </c>
      <c r="FJ684" s="1" t="s">
        <v>1248</v>
      </c>
      <c r="FK684" s="1" t="s">
        <v>229</v>
      </c>
      <c r="FL684" s="1" t="s">
        <v>1383</v>
      </c>
      <c r="FM684" s="1">
        <v>24370.0</v>
      </c>
      <c r="FN684" s="1" t="s">
        <v>1384</v>
      </c>
      <c r="FO684" s="1" t="s">
        <v>1385</v>
      </c>
      <c r="FP684" s="1">
        <v>244997.0</v>
      </c>
      <c r="FQ684" s="1" t="s">
        <v>1386</v>
      </c>
      <c r="FR684" s="1">
        <v>259338.0</v>
      </c>
      <c r="FS684" s="1" t="s">
        <v>1387</v>
      </c>
      <c r="FU684" s="1" t="s">
        <v>8389</v>
      </c>
      <c r="FV684" s="1" t="s">
        <v>200</v>
      </c>
      <c r="FW684" s="1" t="s">
        <v>290</v>
      </c>
      <c r="FZ684" s="1" t="s">
        <v>229</v>
      </c>
      <c r="GA684" s="1" t="s">
        <v>291</v>
      </c>
      <c r="GB684" s="2">
        <v>42130.0</v>
      </c>
      <c r="GC684" s="1" t="s">
        <v>2982</v>
      </c>
    </row>
    <row r="685">
      <c r="A685" s="1">
        <v>69900.0</v>
      </c>
      <c r="B685" s="1" t="s">
        <v>185</v>
      </c>
      <c r="C685" s="1" t="str">
        <f>"08803943"</f>
        <v>08803943</v>
      </c>
      <c r="D685" s="1" t="s">
        <v>186</v>
      </c>
      <c r="F685" s="1" t="str">
        <f>"8046"</f>
        <v>8046</v>
      </c>
      <c r="G685" s="2">
        <v>41991.0</v>
      </c>
      <c r="H685" s="1">
        <v>69900.0</v>
      </c>
      <c r="I685" s="1">
        <v>192.0</v>
      </c>
      <c r="J685" s="1">
        <v>69900.0</v>
      </c>
      <c r="K685" s="2">
        <v>42004.0</v>
      </c>
      <c r="L685" s="1">
        <v>14.0</v>
      </c>
      <c r="M685" s="2">
        <v>42004.0</v>
      </c>
      <c r="N685" s="1" t="s">
        <v>249</v>
      </c>
      <c r="O685" s="2">
        <v>42047.0</v>
      </c>
      <c r="P685" s="1">
        <v>232473.0</v>
      </c>
      <c r="Q685" s="1">
        <v>23436.0</v>
      </c>
      <c r="S685" s="1">
        <v>8003.0</v>
      </c>
      <c r="T685" s="1" t="s">
        <v>8390</v>
      </c>
      <c r="U685" s="1" t="s">
        <v>189</v>
      </c>
      <c r="V685" s="1" t="s">
        <v>190</v>
      </c>
      <c r="W685" s="1">
        <v>60617.0</v>
      </c>
      <c r="Y685" s="1" t="s">
        <v>8391</v>
      </c>
      <c r="Z685" s="1">
        <v>1922.0</v>
      </c>
      <c r="AA685" s="1" t="s">
        <v>192</v>
      </c>
      <c r="AB685" s="1" t="s">
        <v>193</v>
      </c>
      <c r="AD685" s="1" t="s">
        <v>194</v>
      </c>
      <c r="AE685" s="1" t="s">
        <v>195</v>
      </c>
      <c r="AF685" s="1" t="s">
        <v>637</v>
      </c>
      <c r="AH685" s="1" t="s">
        <v>1501</v>
      </c>
      <c r="AI685" s="1">
        <v>0.0</v>
      </c>
      <c r="AK685" s="1">
        <v>9.0</v>
      </c>
      <c r="AL685" s="1">
        <v>4.0</v>
      </c>
      <c r="AM685" s="1">
        <v>2.0</v>
      </c>
      <c r="AN685" s="1">
        <v>0.0</v>
      </c>
      <c r="AO685" s="1" t="s">
        <v>198</v>
      </c>
      <c r="AQ685" s="1" t="s">
        <v>198</v>
      </c>
      <c r="AR685" s="1" t="s">
        <v>200</v>
      </c>
      <c r="AS685" s="1" t="s">
        <v>199</v>
      </c>
      <c r="AT685" s="1">
        <v>1.0</v>
      </c>
      <c r="AV685" s="1" t="s">
        <v>200</v>
      </c>
      <c r="AW685" s="1">
        <v>2462.0</v>
      </c>
      <c r="AX685" s="1">
        <v>2012.0</v>
      </c>
      <c r="AY685" s="1" t="s">
        <v>588</v>
      </c>
      <c r="AZ685" s="1" t="s">
        <v>200</v>
      </c>
      <c r="BA685" s="1" t="str">
        <f>"20361090010000"</f>
        <v>20361090010000</v>
      </c>
      <c r="BC685" s="1">
        <v>1248.0</v>
      </c>
      <c r="BD685" s="1">
        <v>69900.0</v>
      </c>
      <c r="BE685" s="2">
        <v>41991.0</v>
      </c>
      <c r="BF685" s="2" t="s">
        <v>8392</v>
      </c>
      <c r="BH685" s="1">
        <v>0.0</v>
      </c>
      <c r="BK685" s="1" t="s">
        <v>204</v>
      </c>
      <c r="BL685" s="1" t="str">
        <f>"0"</f>
        <v>0</v>
      </c>
      <c r="BM685" s="1" t="str">
        <f>"1900"</f>
        <v>1900</v>
      </c>
      <c r="BN685" s="1">
        <v>0.0</v>
      </c>
      <c r="BO685" s="1">
        <v>8000.0</v>
      </c>
      <c r="BQ685" s="1">
        <v>299.0</v>
      </c>
      <c r="BR685" s="1">
        <v>299.0</v>
      </c>
      <c r="BS685" s="1">
        <v>299.0</v>
      </c>
      <c r="BU685" s="1" t="s">
        <v>1117</v>
      </c>
      <c r="BV685" s="1" t="s">
        <v>206</v>
      </c>
      <c r="BW685" s="1" t="s">
        <v>207</v>
      </c>
      <c r="BY685" s="1" t="s">
        <v>393</v>
      </c>
      <c r="BZ685" s="1" t="s">
        <v>206</v>
      </c>
      <c r="CA685" s="1" t="s">
        <v>207</v>
      </c>
      <c r="CC685" s="1" t="s">
        <v>393</v>
      </c>
      <c r="CD685" s="1" t="s">
        <v>206</v>
      </c>
      <c r="CE685" s="1" t="s">
        <v>207</v>
      </c>
      <c r="CG685" s="1" t="s">
        <v>363</v>
      </c>
      <c r="CH685" s="1" t="s">
        <v>206</v>
      </c>
      <c r="CI685" s="1" t="s">
        <v>207</v>
      </c>
      <c r="CK685" s="1" t="s">
        <v>623</v>
      </c>
      <c r="CL685" s="1" t="s">
        <v>206</v>
      </c>
      <c r="CM685" s="1" t="s">
        <v>210</v>
      </c>
      <c r="CO685" s="1" t="s">
        <v>924</v>
      </c>
      <c r="CP685" s="1" t="s">
        <v>209</v>
      </c>
      <c r="CQ685" s="1" t="s">
        <v>210</v>
      </c>
      <c r="CS685" s="1" t="s">
        <v>700</v>
      </c>
      <c r="CT685" s="1" t="s">
        <v>206</v>
      </c>
      <c r="CU685" s="1" t="s">
        <v>268</v>
      </c>
      <c r="CW685" s="1" t="s">
        <v>375</v>
      </c>
      <c r="CX685" s="1" t="s">
        <v>209</v>
      </c>
      <c r="CY685" s="1" t="s">
        <v>210</v>
      </c>
      <c r="DA685" s="1" t="s">
        <v>200</v>
      </c>
      <c r="DC685" s="1" t="s">
        <v>216</v>
      </c>
      <c r="DD685" s="1" t="s">
        <v>306</v>
      </c>
      <c r="DE685" s="1" t="s">
        <v>6485</v>
      </c>
      <c r="DF685" s="1" t="s">
        <v>219</v>
      </c>
      <c r="DG685" s="1" t="s">
        <v>337</v>
      </c>
      <c r="DH685" s="1" t="s">
        <v>307</v>
      </c>
      <c r="DI685" s="1" t="s">
        <v>789</v>
      </c>
      <c r="DJ685" s="1" t="s">
        <v>222</v>
      </c>
      <c r="DK685" s="1" t="s">
        <v>1301</v>
      </c>
      <c r="DL685" s="1" t="s">
        <v>223</v>
      </c>
      <c r="DM685" s="1" t="s">
        <v>229</v>
      </c>
      <c r="DO685" s="1" t="s">
        <v>590</v>
      </c>
      <c r="DP685" s="1" t="s">
        <v>340</v>
      </c>
      <c r="DQ685" s="1" t="s">
        <v>718</v>
      </c>
      <c r="DR685" s="1" t="s">
        <v>229</v>
      </c>
      <c r="DS685" s="1" t="s">
        <v>401</v>
      </c>
      <c r="DU685" s="1" t="s">
        <v>8393</v>
      </c>
      <c r="DV685" s="1" t="s">
        <v>450</v>
      </c>
      <c r="DW685" s="1" t="s">
        <v>279</v>
      </c>
      <c r="DX685" s="1" t="s">
        <v>234</v>
      </c>
      <c r="DZ685" s="1" t="s">
        <v>968</v>
      </c>
      <c r="EA685" s="1" t="s">
        <v>644</v>
      </c>
      <c r="EC685" s="1" t="s">
        <v>645</v>
      </c>
      <c r="EG685" s="1" t="s">
        <v>450</v>
      </c>
      <c r="EL685" s="1" t="s">
        <v>330</v>
      </c>
      <c r="EM685" s="1" t="s">
        <v>42</v>
      </c>
      <c r="EN685" s="1" t="s">
        <v>588</v>
      </c>
      <c r="EQ685" s="1" t="s">
        <v>238</v>
      </c>
      <c r="EU685" s="1" t="s">
        <v>238</v>
      </c>
      <c r="EY685" s="1" t="s">
        <v>238</v>
      </c>
      <c r="FC685" s="1" t="s">
        <v>238</v>
      </c>
      <c r="FF685" s="1" t="s">
        <v>239</v>
      </c>
      <c r="FG685" s="1" t="s">
        <v>192</v>
      </c>
      <c r="FH685" s="1" t="s">
        <v>192</v>
      </c>
      <c r="FJ685" s="1" t="s">
        <v>347</v>
      </c>
      <c r="FK685" s="1" t="s">
        <v>229</v>
      </c>
      <c r="FL685" s="1" t="s">
        <v>8394</v>
      </c>
      <c r="FM685" s="1">
        <v>3913.0</v>
      </c>
      <c r="FN685" s="1" t="s">
        <v>8395</v>
      </c>
      <c r="FO685" s="1" t="s">
        <v>8396</v>
      </c>
      <c r="FP685" s="1">
        <v>32108.0</v>
      </c>
      <c r="FQ685" s="1" t="s">
        <v>8397</v>
      </c>
      <c r="FU685" s="1" t="s">
        <v>8398</v>
      </c>
      <c r="FV685" s="1" t="s">
        <v>200</v>
      </c>
      <c r="FW685" s="1" t="s">
        <v>8399</v>
      </c>
      <c r="FX685" s="1" t="s">
        <v>655</v>
      </c>
      <c r="FZ685" s="1" t="s">
        <v>229</v>
      </c>
      <c r="GA685" s="1" t="s">
        <v>291</v>
      </c>
      <c r="GB685" s="2">
        <v>42072.0</v>
      </c>
      <c r="GC685" s="1" t="s">
        <v>8400</v>
      </c>
    </row>
    <row r="686">
      <c r="A686" s="1">
        <v>345000.0</v>
      </c>
      <c r="B686" s="1" t="s">
        <v>185</v>
      </c>
      <c r="C686" s="1" t="str">
        <f>"08802839"</f>
        <v>08802839</v>
      </c>
      <c r="D686" s="1" t="s">
        <v>186</v>
      </c>
      <c r="F686" s="1" t="str">
        <f>"510"</f>
        <v>510</v>
      </c>
      <c r="G686" s="2">
        <v>41989.0</v>
      </c>
      <c r="H686" s="1">
        <v>359000.0</v>
      </c>
      <c r="I686" s="1">
        <v>298.0</v>
      </c>
      <c r="J686" s="1">
        <v>359000.0</v>
      </c>
      <c r="K686" s="2">
        <v>42090.0</v>
      </c>
      <c r="L686" s="1">
        <v>102.0</v>
      </c>
      <c r="M686" s="2">
        <v>42090.0</v>
      </c>
      <c r="N686" s="1" t="s">
        <v>187</v>
      </c>
      <c r="O686" s="2">
        <v>42123.0</v>
      </c>
      <c r="P686" s="1">
        <v>233344.0</v>
      </c>
      <c r="Q686" s="1">
        <v>21621.0</v>
      </c>
      <c r="S686" s="1">
        <v>1225.0</v>
      </c>
      <c r="T686" s="1" t="s">
        <v>8401</v>
      </c>
      <c r="U686" s="1" t="s">
        <v>464</v>
      </c>
      <c r="V686" s="1" t="s">
        <v>2700</v>
      </c>
      <c r="W686" s="1">
        <v>60510.0</v>
      </c>
      <c r="Y686" s="1" t="s">
        <v>8402</v>
      </c>
      <c r="Z686" s="1">
        <v>1992.0</v>
      </c>
      <c r="AA686" s="1" t="s">
        <v>200</v>
      </c>
      <c r="AB686" s="1" t="s">
        <v>193</v>
      </c>
      <c r="AC686" s="1" t="s">
        <v>8403</v>
      </c>
      <c r="AD686" s="1" t="s">
        <v>2702</v>
      </c>
      <c r="AE686" s="1" t="s">
        <v>325</v>
      </c>
      <c r="AF686" s="1" t="s">
        <v>2702</v>
      </c>
      <c r="AH686" s="1" t="s">
        <v>8404</v>
      </c>
      <c r="AI686" s="1">
        <v>0.2451</v>
      </c>
      <c r="AK686" s="1">
        <v>9.0</v>
      </c>
      <c r="AL686" s="1">
        <v>4.0</v>
      </c>
      <c r="AM686" s="1">
        <v>2.0</v>
      </c>
      <c r="AN686" s="1">
        <v>1.0</v>
      </c>
      <c r="AO686" s="1" t="s">
        <v>198</v>
      </c>
      <c r="AP686" s="1">
        <v>1.0</v>
      </c>
      <c r="AQ686" s="1" t="s">
        <v>1314</v>
      </c>
      <c r="AR686" s="1" t="s">
        <v>200</v>
      </c>
      <c r="AS686" s="1" t="s">
        <v>199</v>
      </c>
      <c r="AT686" s="1">
        <v>2.0</v>
      </c>
      <c r="AV686" s="1" t="s">
        <v>200</v>
      </c>
      <c r="AW686" s="1">
        <v>10667.56</v>
      </c>
      <c r="AX686" s="1">
        <v>2013.0</v>
      </c>
      <c r="AY686" s="1" t="s">
        <v>387</v>
      </c>
      <c r="AZ686" s="1" t="s">
        <v>200</v>
      </c>
      <c r="BA686" s="1" t="str">
        <f>"1228177008"</f>
        <v>1228177008</v>
      </c>
      <c r="BC686" s="1">
        <v>2994.0</v>
      </c>
      <c r="BD686" s="1">
        <v>345000.0</v>
      </c>
      <c r="BE686" s="2">
        <v>41989.0</v>
      </c>
      <c r="BF686" s="2" t="s">
        <v>8405</v>
      </c>
      <c r="BH686" s="1">
        <v>0.0</v>
      </c>
      <c r="BK686" s="1" t="s">
        <v>204</v>
      </c>
      <c r="BL686" s="1" t="str">
        <f t="shared" ref="BL686:BM686" si="459">""</f>
        <v/>
      </c>
      <c r="BM686" s="1" t="str">
        <f t="shared" si="459"/>
        <v/>
      </c>
      <c r="BQ686" s="1">
        <v>101.0</v>
      </c>
      <c r="BR686" s="1">
        <v>101.0</v>
      </c>
      <c r="BS686" s="1">
        <v>101.0</v>
      </c>
      <c r="BU686" s="1" t="s">
        <v>677</v>
      </c>
      <c r="BV686" s="1" t="s">
        <v>206</v>
      </c>
      <c r="BW686" s="1" t="s">
        <v>210</v>
      </c>
      <c r="BX686" s="1" t="s">
        <v>239</v>
      </c>
      <c r="BY686" s="1" t="s">
        <v>2900</v>
      </c>
      <c r="BZ686" s="1" t="s">
        <v>209</v>
      </c>
      <c r="CA686" s="1" t="s">
        <v>210</v>
      </c>
      <c r="CB686" s="1" t="s">
        <v>239</v>
      </c>
      <c r="CC686" s="1" t="s">
        <v>1064</v>
      </c>
      <c r="CD686" s="1" t="s">
        <v>206</v>
      </c>
      <c r="CE686" s="1" t="s">
        <v>210</v>
      </c>
      <c r="CF686" s="1" t="s">
        <v>239</v>
      </c>
      <c r="CG686" s="1" t="s">
        <v>300</v>
      </c>
      <c r="CH686" s="1" t="s">
        <v>209</v>
      </c>
      <c r="CI686" s="1" t="s">
        <v>210</v>
      </c>
      <c r="CJ686" s="1" t="s">
        <v>239</v>
      </c>
      <c r="CK686" s="1" t="s">
        <v>2459</v>
      </c>
      <c r="CL686" s="1" t="s">
        <v>209</v>
      </c>
      <c r="CM686" s="1" t="s">
        <v>210</v>
      </c>
      <c r="CN686" s="1" t="s">
        <v>239</v>
      </c>
      <c r="CO686" s="1" t="s">
        <v>393</v>
      </c>
      <c r="CP686" s="1" t="s">
        <v>209</v>
      </c>
      <c r="CQ686" s="1" t="s">
        <v>210</v>
      </c>
      <c r="CR686" s="1" t="s">
        <v>239</v>
      </c>
      <c r="CS686" s="1" t="s">
        <v>878</v>
      </c>
      <c r="CT686" s="1" t="s">
        <v>206</v>
      </c>
      <c r="CU686" s="1" t="s">
        <v>207</v>
      </c>
      <c r="CV686" s="1" t="s">
        <v>239</v>
      </c>
      <c r="CW686" s="1" t="s">
        <v>1518</v>
      </c>
      <c r="CX686" s="1" t="s">
        <v>206</v>
      </c>
      <c r="CY686" s="1" t="s">
        <v>210</v>
      </c>
      <c r="CZ686" s="1" t="s">
        <v>239</v>
      </c>
      <c r="DA686" s="1" t="s">
        <v>200</v>
      </c>
      <c r="DC686" s="1" t="s">
        <v>435</v>
      </c>
      <c r="DD686" s="1" t="s">
        <v>436</v>
      </c>
      <c r="DE686" s="1" t="s">
        <v>273</v>
      </c>
      <c r="DF686" s="1" t="s">
        <v>219</v>
      </c>
      <c r="DG686" s="1" t="s">
        <v>482</v>
      </c>
      <c r="DH686" s="1" t="s">
        <v>220</v>
      </c>
      <c r="DI686" s="1" t="s">
        <v>221</v>
      </c>
      <c r="DJ686" s="1" t="s">
        <v>222</v>
      </c>
      <c r="DL686" s="1" t="s">
        <v>223</v>
      </c>
      <c r="DM686" s="1" t="s">
        <v>229</v>
      </c>
      <c r="DN686" s="1" t="s">
        <v>399</v>
      </c>
      <c r="DP686" s="1" t="s">
        <v>340</v>
      </c>
      <c r="DQ686" s="1" t="s">
        <v>228</v>
      </c>
      <c r="DR686" s="1" t="s">
        <v>229</v>
      </c>
      <c r="DU686" s="1" t="s">
        <v>1637</v>
      </c>
      <c r="DV686" s="1" t="s">
        <v>598</v>
      </c>
      <c r="DW686" s="1" t="s">
        <v>764</v>
      </c>
      <c r="DX686" s="1" t="s">
        <v>234</v>
      </c>
      <c r="DY686" s="1" t="s">
        <v>1559</v>
      </c>
      <c r="DZ686" s="1" t="s">
        <v>310</v>
      </c>
      <c r="EB686" s="1" t="s">
        <v>492</v>
      </c>
      <c r="EC686" s="1" t="s">
        <v>237</v>
      </c>
      <c r="EG686" s="1" t="s">
        <v>598</v>
      </c>
      <c r="EL686" s="1" t="s">
        <v>1316</v>
      </c>
      <c r="EM686" s="1" t="s">
        <v>206</v>
      </c>
      <c r="EN686" s="1" t="s">
        <v>210</v>
      </c>
      <c r="EO686" s="1" t="s">
        <v>239</v>
      </c>
      <c r="EQ686" s="1" t="s">
        <v>238</v>
      </c>
      <c r="EU686" s="1" t="s">
        <v>238</v>
      </c>
      <c r="EY686" s="1" t="s">
        <v>238</v>
      </c>
      <c r="FC686" s="1" t="s">
        <v>238</v>
      </c>
      <c r="FF686" s="1" t="s">
        <v>239</v>
      </c>
      <c r="FG686" s="1" t="s">
        <v>192</v>
      </c>
      <c r="FH686" s="1" t="s">
        <v>192</v>
      </c>
      <c r="FJ686" s="1" t="s">
        <v>524</v>
      </c>
      <c r="FK686" s="1" t="s">
        <v>229</v>
      </c>
      <c r="FL686" s="1" t="s">
        <v>1212</v>
      </c>
      <c r="FM686" s="1">
        <v>30.0</v>
      </c>
      <c r="FN686" s="1" t="s">
        <v>1213</v>
      </c>
      <c r="FO686" s="1" t="s">
        <v>8406</v>
      </c>
      <c r="FP686" s="1">
        <v>1572.0</v>
      </c>
      <c r="FQ686" s="1" t="s">
        <v>8407</v>
      </c>
      <c r="FR686" s="1">
        <v>8608.0</v>
      </c>
      <c r="FU686" s="1" t="s">
        <v>8408</v>
      </c>
      <c r="FV686" s="1" t="s">
        <v>200</v>
      </c>
      <c r="FW686" s="1" t="s">
        <v>290</v>
      </c>
      <c r="FZ686" s="1" t="s">
        <v>229</v>
      </c>
      <c r="GA686" s="1" t="s">
        <v>291</v>
      </c>
      <c r="GB686" s="2">
        <v>42123.0</v>
      </c>
    </row>
    <row r="687">
      <c r="A687" s="1">
        <v>165000.0</v>
      </c>
      <c r="B687" s="1" t="s">
        <v>185</v>
      </c>
      <c r="C687" s="1" t="str">
        <f>"08804034"</f>
        <v>08804034</v>
      </c>
      <c r="D687" s="1" t="s">
        <v>186</v>
      </c>
      <c r="F687" s="1" t="str">
        <f t="shared" ref="F687:F688" si="461">"8073"</f>
        <v>8073</v>
      </c>
      <c r="G687" s="2">
        <v>41991.0</v>
      </c>
      <c r="H687" s="1">
        <v>174900.0</v>
      </c>
      <c r="I687" s="1">
        <v>75.0</v>
      </c>
      <c r="J687" s="1">
        <v>165000.0</v>
      </c>
      <c r="K687" s="2">
        <v>42065.0</v>
      </c>
      <c r="L687" s="1">
        <v>75.0</v>
      </c>
      <c r="M687" s="2">
        <v>42065.0</v>
      </c>
      <c r="N687" s="1" t="s">
        <v>187</v>
      </c>
      <c r="O687" s="2">
        <v>42123.0</v>
      </c>
      <c r="P687" s="1">
        <v>602837.0</v>
      </c>
      <c r="Q687" s="1">
        <v>60296.0</v>
      </c>
      <c r="R687" s="1">
        <v>3.0</v>
      </c>
      <c r="S687" s="1">
        <v>9938.0</v>
      </c>
      <c r="T687" s="1" t="s">
        <v>3171</v>
      </c>
      <c r="U687" s="1" t="s">
        <v>320</v>
      </c>
      <c r="V687" s="1" t="s">
        <v>190</v>
      </c>
      <c r="W687" s="1">
        <v>60643.0</v>
      </c>
      <c r="Y687" s="1" t="s">
        <v>8409</v>
      </c>
      <c r="Z687" s="1">
        <v>1938.0</v>
      </c>
      <c r="AA687" s="1" t="s">
        <v>192</v>
      </c>
      <c r="AB687" s="1" t="s">
        <v>193</v>
      </c>
      <c r="AD687" s="1" t="s">
        <v>194</v>
      </c>
      <c r="AE687" s="1" t="s">
        <v>195</v>
      </c>
      <c r="AF687" s="1" t="s">
        <v>659</v>
      </c>
      <c r="AH687" s="1" t="s">
        <v>8410</v>
      </c>
      <c r="AI687" s="1">
        <v>0.0868</v>
      </c>
      <c r="AK687" s="1">
        <v>8.0</v>
      </c>
      <c r="AL687" s="1">
        <v>3.0</v>
      </c>
      <c r="AM687" s="1">
        <v>2.0</v>
      </c>
      <c r="AN687" s="1">
        <v>0.0</v>
      </c>
      <c r="AO687" s="1" t="s">
        <v>229</v>
      </c>
      <c r="AQ687" s="1" t="s">
        <v>198</v>
      </c>
      <c r="AR687" s="1" t="s">
        <v>192</v>
      </c>
      <c r="AS687" s="1" t="s">
        <v>199</v>
      </c>
      <c r="AT687" s="1">
        <v>2.0</v>
      </c>
      <c r="AV687" s="1" t="s">
        <v>200</v>
      </c>
      <c r="AW687" s="1">
        <v>1942.23</v>
      </c>
      <c r="AX687" s="1">
        <v>2013.0</v>
      </c>
      <c r="AZ687" s="1" t="s">
        <v>200</v>
      </c>
      <c r="BA687" s="1" t="str">
        <f>"25084020330000"</f>
        <v>25084020330000</v>
      </c>
      <c r="BB687" s="1" t="s">
        <v>200</v>
      </c>
      <c r="BC687" s="1">
        <v>1500.0</v>
      </c>
      <c r="BD687" s="1">
        <v>165000.0</v>
      </c>
      <c r="BE687" s="2">
        <v>41991.0</v>
      </c>
      <c r="BF687" s="2" t="s">
        <v>8411</v>
      </c>
      <c r="BH687" s="1">
        <v>0.0</v>
      </c>
      <c r="BK687" s="1" t="s">
        <v>204</v>
      </c>
      <c r="BL687" s="1" t="str">
        <f t="shared" ref="BL687:BM687" si="460">"0"</f>
        <v>0</v>
      </c>
      <c r="BM687" s="1" t="str">
        <f t="shared" si="460"/>
        <v>0</v>
      </c>
      <c r="BN687" s="1">
        <v>1100.0</v>
      </c>
      <c r="BO687" s="1">
        <v>9938.0</v>
      </c>
      <c r="BQ687" s="1">
        <v>299.0</v>
      </c>
      <c r="BR687" s="1">
        <v>299.0</v>
      </c>
      <c r="BS687" s="1">
        <v>299.0</v>
      </c>
      <c r="BU687" s="1" t="s">
        <v>213</v>
      </c>
      <c r="BV687" s="1" t="s">
        <v>206</v>
      </c>
      <c r="BW687" s="1" t="s">
        <v>207</v>
      </c>
      <c r="BY687" s="1" t="s">
        <v>1000</v>
      </c>
      <c r="BZ687" s="1" t="s">
        <v>209</v>
      </c>
      <c r="CA687" s="1" t="s">
        <v>210</v>
      </c>
      <c r="CC687" s="1" t="s">
        <v>215</v>
      </c>
      <c r="CD687" s="1" t="s">
        <v>206</v>
      </c>
      <c r="CE687" s="1" t="s">
        <v>207</v>
      </c>
      <c r="CG687" s="1" t="s">
        <v>212</v>
      </c>
      <c r="CH687" s="1" t="s">
        <v>206</v>
      </c>
      <c r="CI687" s="1" t="s">
        <v>210</v>
      </c>
      <c r="CK687" s="1" t="s">
        <v>212</v>
      </c>
      <c r="CL687" s="1" t="s">
        <v>206</v>
      </c>
      <c r="CM687" s="1" t="s">
        <v>210</v>
      </c>
      <c r="CO687" s="1" t="s">
        <v>1672</v>
      </c>
      <c r="CP687" s="1" t="s">
        <v>42</v>
      </c>
      <c r="CQ687" s="1" t="s">
        <v>268</v>
      </c>
      <c r="CS687" s="1" t="s">
        <v>263</v>
      </c>
      <c r="CT687" s="1" t="s">
        <v>206</v>
      </c>
      <c r="CU687" s="1" t="s">
        <v>207</v>
      </c>
      <c r="CW687" s="1" t="s">
        <v>3387</v>
      </c>
      <c r="CX687" s="1" t="s">
        <v>42</v>
      </c>
      <c r="CY687" s="1" t="s">
        <v>268</v>
      </c>
      <c r="DA687" s="1" t="s">
        <v>200</v>
      </c>
      <c r="DC687" s="1" t="s">
        <v>1399</v>
      </c>
      <c r="DE687" s="1" t="s">
        <v>273</v>
      </c>
      <c r="DF687" s="1" t="s">
        <v>219</v>
      </c>
      <c r="DH687" s="1" t="s">
        <v>220</v>
      </c>
      <c r="DI687" s="1" t="s">
        <v>366</v>
      </c>
      <c r="DJ687" s="1" t="s">
        <v>222</v>
      </c>
      <c r="DK687" s="1" t="s">
        <v>224</v>
      </c>
      <c r="DL687" s="1" t="s">
        <v>224</v>
      </c>
      <c r="DM687" s="1" t="s">
        <v>229</v>
      </c>
      <c r="DQ687" s="1" t="s">
        <v>228</v>
      </c>
      <c r="DR687" s="1" t="s">
        <v>229</v>
      </c>
      <c r="DS687" s="1" t="s">
        <v>230</v>
      </c>
      <c r="DV687" s="1" t="s">
        <v>232</v>
      </c>
      <c r="DW687" s="1" t="s">
        <v>279</v>
      </c>
      <c r="DX687" s="1" t="s">
        <v>234</v>
      </c>
      <c r="DY687" s="1" t="s">
        <v>553</v>
      </c>
      <c r="EA687" s="1" t="s">
        <v>1075</v>
      </c>
      <c r="EC687" s="1" t="s">
        <v>645</v>
      </c>
      <c r="EE687" s="1" t="s">
        <v>493</v>
      </c>
      <c r="EM687" s="1" t="s">
        <v>238</v>
      </c>
      <c r="EQ687" s="1" t="s">
        <v>238</v>
      </c>
      <c r="EU687" s="1" t="s">
        <v>238</v>
      </c>
      <c r="EY687" s="1" t="s">
        <v>238</v>
      </c>
      <c r="FC687" s="1" t="s">
        <v>238</v>
      </c>
      <c r="FF687" s="1" t="s">
        <v>239</v>
      </c>
      <c r="FG687" s="1" t="s">
        <v>192</v>
      </c>
      <c r="FH687" s="1" t="s">
        <v>192</v>
      </c>
      <c r="FJ687" s="1" t="s">
        <v>648</v>
      </c>
      <c r="FK687" s="1" t="s">
        <v>229</v>
      </c>
      <c r="FL687" s="1" t="s">
        <v>649</v>
      </c>
      <c r="FM687" s="1">
        <v>60296.0</v>
      </c>
      <c r="FN687" s="1" t="s">
        <v>650</v>
      </c>
      <c r="FO687" s="1" t="s">
        <v>651</v>
      </c>
      <c r="FP687" s="1">
        <v>602837.0</v>
      </c>
      <c r="FQ687" s="1" t="s">
        <v>652</v>
      </c>
      <c r="FR687" s="1">
        <v>602442.0</v>
      </c>
      <c r="FU687" s="1" t="s">
        <v>653</v>
      </c>
      <c r="FV687" s="1" t="s">
        <v>200</v>
      </c>
      <c r="FW687" s="1" t="s">
        <v>654</v>
      </c>
      <c r="FX687" s="1" t="s">
        <v>655</v>
      </c>
      <c r="FZ687" s="1" t="s">
        <v>229</v>
      </c>
      <c r="GA687" s="1" t="s">
        <v>291</v>
      </c>
      <c r="GB687" s="2">
        <v>42128.0</v>
      </c>
      <c r="GC687" s="1" t="s">
        <v>1372</v>
      </c>
    </row>
    <row r="688">
      <c r="A688" s="1">
        <v>156000.0</v>
      </c>
      <c r="B688" s="1" t="s">
        <v>185</v>
      </c>
      <c r="C688" s="1" t="str">
        <f>"08803657"</f>
        <v>08803657</v>
      </c>
      <c r="D688" s="1" t="s">
        <v>186</v>
      </c>
      <c r="F688" s="1" t="str">
        <f t="shared" si="461"/>
        <v>8073</v>
      </c>
      <c r="G688" s="2">
        <v>41990.0</v>
      </c>
      <c r="H688" s="1">
        <v>169700.0</v>
      </c>
      <c r="I688" s="1">
        <v>104.0</v>
      </c>
      <c r="J688" s="1">
        <v>159900.0</v>
      </c>
      <c r="K688" s="2">
        <v>42025.0</v>
      </c>
      <c r="L688" s="1">
        <v>36.0</v>
      </c>
      <c r="M688" s="2">
        <v>42025.0</v>
      </c>
      <c r="N688" s="1" t="s">
        <v>356</v>
      </c>
      <c r="O688" s="2">
        <v>42094.0</v>
      </c>
      <c r="P688" s="1">
        <v>226380.0</v>
      </c>
      <c r="Q688" s="1">
        <v>61075.0</v>
      </c>
      <c r="R688" s="1">
        <v>5000.0</v>
      </c>
      <c r="S688" s="1">
        <v>9952.0</v>
      </c>
      <c r="T688" s="1" t="s">
        <v>4544</v>
      </c>
      <c r="U688" s="1" t="s">
        <v>320</v>
      </c>
      <c r="V688" s="1" t="s">
        <v>190</v>
      </c>
      <c r="W688" s="1">
        <v>60643.0</v>
      </c>
      <c r="Y688" s="1" t="s">
        <v>8412</v>
      </c>
      <c r="Z688" s="1">
        <v>1919.0</v>
      </c>
      <c r="AA688" s="1" t="s">
        <v>192</v>
      </c>
      <c r="AB688" s="1" t="s">
        <v>193</v>
      </c>
      <c r="AD688" s="1" t="s">
        <v>194</v>
      </c>
      <c r="AE688" s="1" t="s">
        <v>195</v>
      </c>
      <c r="AF688" s="1" t="s">
        <v>659</v>
      </c>
      <c r="AH688" s="1" t="s">
        <v>8413</v>
      </c>
      <c r="AI688" s="1">
        <v>0.1042</v>
      </c>
      <c r="AK688" s="1">
        <v>8.0</v>
      </c>
      <c r="AL688" s="1">
        <v>4.0</v>
      </c>
      <c r="AM688" s="1">
        <v>1.0</v>
      </c>
      <c r="AN688" s="1">
        <v>1.0</v>
      </c>
      <c r="AO688" s="1" t="s">
        <v>229</v>
      </c>
      <c r="AQ688" s="1" t="s">
        <v>198</v>
      </c>
      <c r="AR688" s="1" t="s">
        <v>192</v>
      </c>
      <c r="AS688" s="1" t="s">
        <v>199</v>
      </c>
      <c r="AT688" s="1">
        <v>1.0</v>
      </c>
      <c r="AV688" s="1" t="s">
        <v>200</v>
      </c>
      <c r="AW688" s="4">
        <v>1984.14</v>
      </c>
      <c r="AX688" s="1">
        <v>2013.0</v>
      </c>
      <c r="AY688" s="1" t="s">
        <v>229</v>
      </c>
      <c r="AZ688" s="1" t="s">
        <v>200</v>
      </c>
      <c r="BA688" s="1" t="str">
        <f>"25084050400000"</f>
        <v>25084050400000</v>
      </c>
      <c r="BC688" s="1">
        <v>1850.0</v>
      </c>
      <c r="BD688" s="1">
        <v>156000.0</v>
      </c>
      <c r="BE688" s="2">
        <v>41990.0</v>
      </c>
      <c r="BF688" s="2" t="s">
        <v>8414</v>
      </c>
      <c r="BH688" s="1">
        <v>0.0</v>
      </c>
      <c r="BK688" s="1" t="s">
        <v>204</v>
      </c>
      <c r="BL688" s="1" t="str">
        <f t="shared" ref="BL688:BM688" si="462">"0"</f>
        <v>0</v>
      </c>
      <c r="BM688" s="1" t="str">
        <f t="shared" si="462"/>
        <v>0</v>
      </c>
      <c r="BN688" s="1">
        <v>1000.0</v>
      </c>
      <c r="BO688" s="1">
        <v>9952.0</v>
      </c>
      <c r="BQ688" s="1">
        <v>299.0</v>
      </c>
      <c r="BR688" s="1">
        <v>299.0</v>
      </c>
      <c r="BS688" s="1">
        <v>299.0</v>
      </c>
      <c r="BU688" s="1" t="s">
        <v>743</v>
      </c>
      <c r="BV688" s="1" t="s">
        <v>206</v>
      </c>
      <c r="BW688" s="1" t="s">
        <v>207</v>
      </c>
      <c r="BX688" s="1" t="s">
        <v>229</v>
      </c>
      <c r="BY688" s="1" t="s">
        <v>212</v>
      </c>
      <c r="BZ688" s="1" t="s">
        <v>206</v>
      </c>
      <c r="CA688" s="1" t="s">
        <v>210</v>
      </c>
      <c r="CB688" s="1" t="s">
        <v>229</v>
      </c>
      <c r="CC688" s="1" t="s">
        <v>433</v>
      </c>
      <c r="CD688" s="1" t="s">
        <v>206</v>
      </c>
      <c r="CE688" s="1" t="s">
        <v>207</v>
      </c>
      <c r="CF688" s="1" t="s">
        <v>229</v>
      </c>
      <c r="CG688" s="1" t="s">
        <v>269</v>
      </c>
      <c r="CH688" s="1" t="s">
        <v>206</v>
      </c>
      <c r="CI688" s="1" t="s">
        <v>210</v>
      </c>
      <c r="CJ688" s="1" t="s">
        <v>229</v>
      </c>
      <c r="CK688" s="1" t="s">
        <v>2872</v>
      </c>
      <c r="CL688" s="1" t="s">
        <v>209</v>
      </c>
      <c r="CM688" s="1" t="s">
        <v>210</v>
      </c>
      <c r="CN688" s="1" t="s">
        <v>229</v>
      </c>
      <c r="CO688" s="1" t="s">
        <v>2872</v>
      </c>
      <c r="CP688" s="1" t="s">
        <v>209</v>
      </c>
      <c r="CQ688" s="1" t="s">
        <v>210</v>
      </c>
      <c r="CR688" s="1" t="s">
        <v>229</v>
      </c>
      <c r="CS688" s="1" t="s">
        <v>363</v>
      </c>
      <c r="CT688" s="1" t="s">
        <v>206</v>
      </c>
      <c r="CU688" s="1" t="s">
        <v>5126</v>
      </c>
      <c r="CV688" s="1" t="s">
        <v>229</v>
      </c>
      <c r="CX688" s="1" t="s">
        <v>204</v>
      </c>
      <c r="DA688" s="1" t="s">
        <v>200</v>
      </c>
      <c r="DC688" s="1" t="s">
        <v>216</v>
      </c>
      <c r="DE688" s="1" t="s">
        <v>273</v>
      </c>
      <c r="DF688" s="1" t="s">
        <v>219</v>
      </c>
      <c r="DG688" s="1" t="s">
        <v>337</v>
      </c>
      <c r="DH688" s="1" t="s">
        <v>307</v>
      </c>
      <c r="DI688" s="1" t="s">
        <v>732</v>
      </c>
      <c r="DJ688" s="1" t="s">
        <v>222</v>
      </c>
      <c r="DL688" s="1" t="s">
        <v>224</v>
      </c>
      <c r="DM688" s="1" t="s">
        <v>398</v>
      </c>
      <c r="DO688" s="1" t="s">
        <v>717</v>
      </c>
      <c r="DP688" s="1" t="s">
        <v>340</v>
      </c>
      <c r="DQ688" s="1" t="s">
        <v>228</v>
      </c>
      <c r="DR688" s="1" t="s">
        <v>229</v>
      </c>
      <c r="DS688" s="1" t="s">
        <v>230</v>
      </c>
      <c r="DU688" s="1" t="s">
        <v>8415</v>
      </c>
      <c r="DV688" s="1" t="s">
        <v>8416</v>
      </c>
      <c r="DW688" s="1" t="s">
        <v>444</v>
      </c>
      <c r="DX688" s="1" t="s">
        <v>234</v>
      </c>
      <c r="DY688" s="1" t="s">
        <v>3183</v>
      </c>
      <c r="DZ688" s="1" t="s">
        <v>1333</v>
      </c>
      <c r="EA688" s="1" t="s">
        <v>644</v>
      </c>
      <c r="EC688" s="1" t="s">
        <v>237</v>
      </c>
      <c r="ED688" s="1" t="s">
        <v>555</v>
      </c>
      <c r="EG688" s="1" t="s">
        <v>374</v>
      </c>
      <c r="EH688" s="1" t="s">
        <v>557</v>
      </c>
      <c r="EL688" s="1" t="s">
        <v>6180</v>
      </c>
      <c r="EM688" s="1" t="s">
        <v>206</v>
      </c>
      <c r="EN688" s="1" t="s">
        <v>617</v>
      </c>
      <c r="EO688" s="1" t="s">
        <v>229</v>
      </c>
      <c r="EP688" s="1" t="s">
        <v>392</v>
      </c>
      <c r="EQ688" s="1" t="s">
        <v>209</v>
      </c>
      <c r="ER688" s="1" t="s">
        <v>210</v>
      </c>
      <c r="ES688" s="1" t="s">
        <v>229</v>
      </c>
      <c r="EU688" s="1" t="s">
        <v>238</v>
      </c>
      <c r="EY688" s="1" t="s">
        <v>238</v>
      </c>
      <c r="FC688" s="1" t="s">
        <v>238</v>
      </c>
      <c r="FF688" s="1" t="s">
        <v>239</v>
      </c>
      <c r="FG688" s="1" t="s">
        <v>192</v>
      </c>
      <c r="FH688" s="1" t="s">
        <v>192</v>
      </c>
      <c r="FJ688" s="1" t="s">
        <v>8417</v>
      </c>
      <c r="FK688" s="1" t="s">
        <v>229</v>
      </c>
      <c r="FL688" s="1" t="s">
        <v>7366</v>
      </c>
      <c r="FM688" s="1">
        <v>84674.0</v>
      </c>
      <c r="FN688" s="1" t="s">
        <v>7367</v>
      </c>
      <c r="FO688" s="1" t="s">
        <v>7647</v>
      </c>
      <c r="FP688" s="1">
        <v>178784.0</v>
      </c>
      <c r="FQ688" s="1" t="s">
        <v>7648</v>
      </c>
      <c r="FR688" s="1">
        <v>841844.0</v>
      </c>
      <c r="FU688" s="1" t="s">
        <v>6077</v>
      </c>
      <c r="FV688" s="1" t="s">
        <v>200</v>
      </c>
      <c r="FW688" s="1" t="s">
        <v>654</v>
      </c>
      <c r="FX688" s="1" t="s">
        <v>655</v>
      </c>
      <c r="FZ688" s="1" t="s">
        <v>632</v>
      </c>
      <c r="GA688" s="1" t="s">
        <v>291</v>
      </c>
      <c r="GB688" s="2">
        <v>42094.0</v>
      </c>
      <c r="GC688" s="1" t="s">
        <v>8418</v>
      </c>
    </row>
    <row r="689">
      <c r="A689" s="1">
        <v>385000.0</v>
      </c>
      <c r="B689" s="1" t="s">
        <v>185</v>
      </c>
      <c r="C689" s="1" t="str">
        <f>"08804775"</f>
        <v>08804775</v>
      </c>
      <c r="D689" s="1" t="s">
        <v>186</v>
      </c>
      <c r="F689" s="1" t="str">
        <f>"174"</f>
        <v>174</v>
      </c>
      <c r="G689" s="2">
        <v>41993.0</v>
      </c>
      <c r="H689" s="1">
        <v>399900.0</v>
      </c>
      <c r="I689" s="1">
        <v>42.0</v>
      </c>
      <c r="J689" s="1">
        <v>399900.0</v>
      </c>
      <c r="K689" s="2">
        <v>42032.0</v>
      </c>
      <c r="L689" s="1">
        <v>42.0</v>
      </c>
      <c r="M689" s="2">
        <v>42032.0</v>
      </c>
      <c r="N689" s="1" t="s">
        <v>187</v>
      </c>
      <c r="O689" s="2">
        <v>42142.0</v>
      </c>
      <c r="P689" s="1">
        <v>7349.0</v>
      </c>
      <c r="Q689" s="1">
        <v>49.0</v>
      </c>
      <c r="S689" s="1">
        <v>2001.0</v>
      </c>
      <c r="T689" s="1" t="s">
        <v>8419</v>
      </c>
      <c r="U689" s="1" t="s">
        <v>1174</v>
      </c>
      <c r="V689" s="1" t="s">
        <v>1200</v>
      </c>
      <c r="W689" s="1">
        <v>60174.0</v>
      </c>
      <c r="Y689" s="1" t="s">
        <v>8420</v>
      </c>
      <c r="Z689" s="1" t="s">
        <v>296</v>
      </c>
      <c r="AA689" s="1" t="s">
        <v>200</v>
      </c>
      <c r="AB689" s="1" t="s">
        <v>193</v>
      </c>
      <c r="AC689" s="1" t="s">
        <v>8421</v>
      </c>
      <c r="AD689" s="1" t="s">
        <v>1203</v>
      </c>
      <c r="AE689" s="1" t="s">
        <v>325</v>
      </c>
      <c r="AF689" s="1" t="s">
        <v>1203</v>
      </c>
      <c r="AH689" s="1">
        <v>2924.0</v>
      </c>
      <c r="AI689" s="1">
        <v>0.3454</v>
      </c>
      <c r="AK689" s="1">
        <v>11.0</v>
      </c>
      <c r="AL689" s="1">
        <v>4.0</v>
      </c>
      <c r="AM689" s="1">
        <v>2.0</v>
      </c>
      <c r="AN689" s="1">
        <v>1.0</v>
      </c>
      <c r="AO689" s="1" t="s">
        <v>198</v>
      </c>
      <c r="AP689" s="1">
        <v>1.0</v>
      </c>
      <c r="AQ689" s="1" t="s">
        <v>198</v>
      </c>
      <c r="AR689" s="1" t="s">
        <v>200</v>
      </c>
      <c r="AS689" s="1" t="s">
        <v>199</v>
      </c>
      <c r="AT689" s="1">
        <v>2.0</v>
      </c>
      <c r="AV689" s="1" t="s">
        <v>200</v>
      </c>
      <c r="AW689" s="6">
        <v>10278.0</v>
      </c>
      <c r="AX689" s="1">
        <v>2013.0</v>
      </c>
      <c r="AY689" s="1" t="s">
        <v>387</v>
      </c>
      <c r="AZ689" s="1" t="s">
        <v>200</v>
      </c>
      <c r="BA689" s="1" t="str">
        <f>"0926252054"</f>
        <v>0926252054</v>
      </c>
      <c r="BC689" s="1">
        <v>2924.0</v>
      </c>
      <c r="BD689" s="1">
        <v>385000.0</v>
      </c>
      <c r="BE689" s="2">
        <v>41991.0</v>
      </c>
      <c r="BF689" s="2" t="s">
        <v>8422</v>
      </c>
      <c r="BH689" s="1">
        <v>0.0</v>
      </c>
      <c r="BK689" s="1" t="s">
        <v>204</v>
      </c>
      <c r="BL689" s="1" t="str">
        <f t="shared" ref="BL689:BM689" si="463">""</f>
        <v/>
      </c>
      <c r="BM689" s="1" t="str">
        <f t="shared" si="463"/>
        <v/>
      </c>
      <c r="BQ689" s="1">
        <v>303.0</v>
      </c>
      <c r="BR689" s="1">
        <v>303.0</v>
      </c>
      <c r="BS689" s="1">
        <v>303.0</v>
      </c>
      <c r="BU689" s="1" t="s">
        <v>1043</v>
      </c>
      <c r="BV689" s="1" t="s">
        <v>206</v>
      </c>
      <c r="BW689" s="1" t="s">
        <v>207</v>
      </c>
      <c r="BX689" s="1" t="s">
        <v>1549</v>
      </c>
      <c r="BY689" s="1" t="s">
        <v>616</v>
      </c>
      <c r="BZ689" s="1" t="s">
        <v>209</v>
      </c>
      <c r="CA689" s="1" t="s">
        <v>207</v>
      </c>
      <c r="CB689" s="1" t="s">
        <v>239</v>
      </c>
      <c r="CC689" s="1" t="s">
        <v>433</v>
      </c>
      <c r="CD689" s="1" t="s">
        <v>206</v>
      </c>
      <c r="CE689" s="1" t="s">
        <v>207</v>
      </c>
      <c r="CF689" s="1" t="s">
        <v>1549</v>
      </c>
      <c r="CG689" s="1" t="s">
        <v>262</v>
      </c>
      <c r="CH689" s="1" t="s">
        <v>209</v>
      </c>
      <c r="CI689" s="1" t="s">
        <v>207</v>
      </c>
      <c r="CJ689" s="1" t="s">
        <v>239</v>
      </c>
      <c r="CK689" s="1" t="s">
        <v>676</v>
      </c>
      <c r="CL689" s="1" t="s">
        <v>209</v>
      </c>
      <c r="CM689" s="1" t="s">
        <v>207</v>
      </c>
      <c r="CN689" s="1" t="s">
        <v>239</v>
      </c>
      <c r="CO689" s="1" t="s">
        <v>331</v>
      </c>
      <c r="CP689" s="1" t="s">
        <v>209</v>
      </c>
      <c r="CQ689" s="1" t="s">
        <v>207</v>
      </c>
      <c r="CR689" s="1" t="s">
        <v>239</v>
      </c>
      <c r="CS689" s="1" t="s">
        <v>544</v>
      </c>
      <c r="CT689" s="1" t="s">
        <v>206</v>
      </c>
      <c r="CU689" s="1" t="s">
        <v>207</v>
      </c>
      <c r="CV689" s="1" t="s">
        <v>239</v>
      </c>
      <c r="CW689" s="1" t="s">
        <v>544</v>
      </c>
      <c r="CX689" s="1" t="s">
        <v>206</v>
      </c>
      <c r="CY689" s="1" t="s">
        <v>210</v>
      </c>
      <c r="CZ689" s="1" t="s">
        <v>239</v>
      </c>
      <c r="DA689" s="1" t="s">
        <v>200</v>
      </c>
      <c r="DC689" s="1" t="s">
        <v>335</v>
      </c>
      <c r="DD689" s="1" t="s">
        <v>786</v>
      </c>
      <c r="DE689" s="1" t="s">
        <v>273</v>
      </c>
      <c r="DF689" s="1" t="s">
        <v>219</v>
      </c>
      <c r="DH689" s="1" t="s">
        <v>1603</v>
      </c>
      <c r="DI689" s="1" t="s">
        <v>1554</v>
      </c>
      <c r="DJ689" s="1" t="s">
        <v>8423</v>
      </c>
      <c r="DK689" s="1" t="s">
        <v>1301</v>
      </c>
      <c r="DL689" s="1" t="s">
        <v>1267</v>
      </c>
      <c r="DM689" s="1" t="s">
        <v>338</v>
      </c>
      <c r="DN689" s="1" t="s">
        <v>548</v>
      </c>
      <c r="DO689" s="1" t="s">
        <v>1208</v>
      </c>
      <c r="DP689" s="1" t="s">
        <v>340</v>
      </c>
      <c r="DQ689" s="1" t="s">
        <v>228</v>
      </c>
      <c r="DR689" s="1" t="s">
        <v>229</v>
      </c>
      <c r="DS689" s="1" t="s">
        <v>368</v>
      </c>
      <c r="DU689" s="1" t="s">
        <v>8424</v>
      </c>
      <c r="DV689" s="1" t="s">
        <v>8425</v>
      </c>
      <c r="DW689" s="1" t="s">
        <v>764</v>
      </c>
      <c r="DX689" s="1" t="s">
        <v>234</v>
      </c>
      <c r="DY689" s="1" t="s">
        <v>1559</v>
      </c>
      <c r="DZ689" s="1" t="s">
        <v>1100</v>
      </c>
      <c r="EA689" s="1" t="s">
        <v>344</v>
      </c>
      <c r="EB689" s="1" t="s">
        <v>1639</v>
      </c>
      <c r="EC689" s="1" t="s">
        <v>237</v>
      </c>
      <c r="ED689" s="1" t="s">
        <v>407</v>
      </c>
      <c r="EG689" s="1" t="s">
        <v>598</v>
      </c>
      <c r="EH689" s="1" t="s">
        <v>408</v>
      </c>
      <c r="EI689" s="1" t="s">
        <v>1270</v>
      </c>
      <c r="EJ689" s="1" t="s">
        <v>450</v>
      </c>
      <c r="EK689" s="1" t="s">
        <v>310</v>
      </c>
      <c r="EL689" s="1" t="s">
        <v>302</v>
      </c>
      <c r="EM689" s="1" t="s">
        <v>206</v>
      </c>
      <c r="EN689" s="1" t="s">
        <v>207</v>
      </c>
      <c r="EO689" s="1" t="s">
        <v>1549</v>
      </c>
      <c r="EP689" s="1" t="s">
        <v>798</v>
      </c>
      <c r="EQ689" s="1" t="s">
        <v>206</v>
      </c>
      <c r="ER689" s="1" t="s">
        <v>207</v>
      </c>
      <c r="ET689" s="1" t="s">
        <v>544</v>
      </c>
      <c r="EU689" s="1" t="s">
        <v>42</v>
      </c>
      <c r="EV689" s="1" t="s">
        <v>588</v>
      </c>
      <c r="EX689" s="1" t="s">
        <v>1825</v>
      </c>
      <c r="EY689" s="1" t="s">
        <v>42</v>
      </c>
      <c r="EZ689" s="1" t="s">
        <v>588</v>
      </c>
      <c r="FB689" s="1" t="s">
        <v>8426</v>
      </c>
      <c r="FC689" s="1" t="s">
        <v>206</v>
      </c>
      <c r="FD689" s="1" t="s">
        <v>588</v>
      </c>
      <c r="FF689" s="1" t="s">
        <v>239</v>
      </c>
      <c r="FG689" s="1" t="s">
        <v>192</v>
      </c>
      <c r="FH689" s="1" t="s">
        <v>192</v>
      </c>
      <c r="FJ689" s="1" t="s">
        <v>498</v>
      </c>
      <c r="FK689" s="1" t="s">
        <v>229</v>
      </c>
      <c r="FL689" s="1" t="s">
        <v>499</v>
      </c>
      <c r="FM689" s="1">
        <v>358.0</v>
      </c>
      <c r="FN689" s="1" t="s">
        <v>500</v>
      </c>
      <c r="FO689" s="1" t="s">
        <v>501</v>
      </c>
      <c r="FP689" s="1">
        <v>347.0</v>
      </c>
      <c r="FQ689" s="1" t="s">
        <v>500</v>
      </c>
      <c r="FS689" s="1" t="s">
        <v>8427</v>
      </c>
      <c r="FU689" s="1" t="s">
        <v>8428</v>
      </c>
      <c r="FV689" s="1" t="s">
        <v>200</v>
      </c>
      <c r="FW689" s="1" t="s">
        <v>290</v>
      </c>
      <c r="FZ689" s="1" t="s">
        <v>504</v>
      </c>
      <c r="GA689" s="1" t="s">
        <v>291</v>
      </c>
      <c r="GB689" s="2">
        <v>42143.0</v>
      </c>
      <c r="GC689" s="1" t="s">
        <v>8429</v>
      </c>
    </row>
    <row r="690">
      <c r="A690" s="1">
        <v>130000.0</v>
      </c>
      <c r="B690" s="1" t="s">
        <v>185</v>
      </c>
      <c r="C690" s="1" t="str">
        <f>"08803013"</f>
        <v>08803013</v>
      </c>
      <c r="D690" s="1" t="s">
        <v>186</v>
      </c>
      <c r="F690" s="1" t="str">
        <f>"8064"</f>
        <v>8064</v>
      </c>
      <c r="G690" s="2">
        <v>41989.0</v>
      </c>
      <c r="H690" s="1">
        <v>139900.0</v>
      </c>
      <c r="I690" s="1">
        <v>38.0</v>
      </c>
      <c r="J690" s="1">
        <v>135000.0</v>
      </c>
      <c r="K690" s="2">
        <v>42026.0</v>
      </c>
      <c r="L690" s="1">
        <v>38.0</v>
      </c>
      <c r="M690" s="2">
        <v>42026.0</v>
      </c>
      <c r="N690" s="1" t="s">
        <v>356</v>
      </c>
      <c r="O690" s="2">
        <v>42067.0</v>
      </c>
      <c r="P690" s="1">
        <v>141732.0</v>
      </c>
      <c r="Q690" s="1">
        <v>12555.0</v>
      </c>
      <c r="R690" s="1">
        <v>4000.0</v>
      </c>
      <c r="S690" s="1">
        <v>6106.0</v>
      </c>
      <c r="T690" s="1" t="s">
        <v>384</v>
      </c>
      <c r="U690" s="1" t="s">
        <v>189</v>
      </c>
      <c r="V690" s="1" t="s">
        <v>190</v>
      </c>
      <c r="W690" s="1">
        <v>60629.0</v>
      </c>
      <c r="Y690" s="1" t="s">
        <v>8430</v>
      </c>
      <c r="Z690" s="1" t="s">
        <v>296</v>
      </c>
      <c r="AA690" s="1" t="s">
        <v>192</v>
      </c>
      <c r="AB690" s="1" t="s">
        <v>193</v>
      </c>
      <c r="AD690" s="1" t="s">
        <v>194</v>
      </c>
      <c r="AE690" s="1" t="s">
        <v>195</v>
      </c>
      <c r="AF690" s="1" t="s">
        <v>659</v>
      </c>
      <c r="AH690" s="1" t="s">
        <v>359</v>
      </c>
      <c r="AK690" s="1">
        <v>8.0</v>
      </c>
      <c r="AL690" s="1">
        <v>4.0</v>
      </c>
      <c r="AM690" s="1">
        <v>1.0</v>
      </c>
      <c r="AN690" s="1">
        <v>0.0</v>
      </c>
      <c r="AO690" s="1" t="s">
        <v>229</v>
      </c>
      <c r="AQ690" s="1" t="s">
        <v>198</v>
      </c>
      <c r="AR690" s="1" t="s">
        <v>192</v>
      </c>
      <c r="AS690" s="1" t="s">
        <v>199</v>
      </c>
      <c r="AT690" s="1">
        <v>2.0</v>
      </c>
      <c r="AV690" s="1" t="s">
        <v>200</v>
      </c>
      <c r="AW690" s="1">
        <v>1332.0</v>
      </c>
      <c r="AX690" s="1">
        <v>2012.0</v>
      </c>
      <c r="AY690" s="1" t="s">
        <v>1179</v>
      </c>
      <c r="AZ690" s="1" t="s">
        <v>200</v>
      </c>
      <c r="BA690" s="1" t="str">
        <f>"19153150270000"</f>
        <v>19153150270000</v>
      </c>
      <c r="BC690" s="1">
        <v>1400.0</v>
      </c>
      <c r="BD690" s="1">
        <v>130000.0</v>
      </c>
      <c r="BE690" s="2">
        <v>41989.0</v>
      </c>
      <c r="BF690" s="2" t="s">
        <v>8431</v>
      </c>
      <c r="BH690" s="1">
        <v>0.0</v>
      </c>
      <c r="BK690" s="1" t="s">
        <v>204</v>
      </c>
      <c r="BL690" s="1" t="str">
        <f t="shared" ref="BL690:BM690" si="464">"0"</f>
        <v>0</v>
      </c>
      <c r="BM690" s="1" t="str">
        <f t="shared" si="464"/>
        <v>0</v>
      </c>
      <c r="BN690" s="1">
        <v>4700.0</v>
      </c>
      <c r="BO690" s="1">
        <v>6106.0</v>
      </c>
      <c r="BQ690" s="1">
        <v>299.0</v>
      </c>
      <c r="BR690" s="1">
        <v>299.0</v>
      </c>
      <c r="BS690" s="1">
        <v>299.0</v>
      </c>
      <c r="BU690" s="1" t="s">
        <v>215</v>
      </c>
      <c r="BV690" s="1" t="s">
        <v>206</v>
      </c>
      <c r="BW690" s="1" t="s">
        <v>210</v>
      </c>
      <c r="BX690" s="1" t="s">
        <v>239</v>
      </c>
      <c r="BY690" s="1" t="s">
        <v>5640</v>
      </c>
      <c r="BZ690" s="1" t="s">
        <v>206</v>
      </c>
      <c r="CA690" s="1" t="s">
        <v>210</v>
      </c>
      <c r="CB690" s="1" t="s">
        <v>239</v>
      </c>
      <c r="CC690" s="1" t="s">
        <v>663</v>
      </c>
      <c r="CD690" s="1" t="s">
        <v>206</v>
      </c>
      <c r="CE690" s="1" t="s">
        <v>210</v>
      </c>
      <c r="CF690" s="1" t="s">
        <v>239</v>
      </c>
      <c r="CG690" s="1" t="s">
        <v>266</v>
      </c>
      <c r="CH690" s="1" t="s">
        <v>206</v>
      </c>
      <c r="CI690" s="1" t="s">
        <v>210</v>
      </c>
      <c r="CJ690" s="1" t="s">
        <v>239</v>
      </c>
      <c r="CK690" s="1" t="s">
        <v>265</v>
      </c>
      <c r="CL690" s="1" t="s">
        <v>206</v>
      </c>
      <c r="CM690" s="1" t="s">
        <v>210</v>
      </c>
      <c r="CN690" s="1" t="s">
        <v>239</v>
      </c>
      <c r="CO690" s="1" t="s">
        <v>363</v>
      </c>
      <c r="CP690" s="1" t="s">
        <v>209</v>
      </c>
      <c r="CQ690" s="1" t="s">
        <v>617</v>
      </c>
      <c r="CR690" s="1" t="s">
        <v>239</v>
      </c>
      <c r="CS690" s="1" t="s">
        <v>363</v>
      </c>
      <c r="CT690" s="1" t="s">
        <v>206</v>
      </c>
      <c r="CU690" s="1" t="s">
        <v>617</v>
      </c>
      <c r="CV690" s="1" t="s">
        <v>239</v>
      </c>
      <c r="CW690" s="1" t="s">
        <v>1483</v>
      </c>
      <c r="CX690" s="1" t="s">
        <v>42</v>
      </c>
      <c r="CY690" s="1" t="s">
        <v>210</v>
      </c>
      <c r="CZ690" s="1" t="s">
        <v>229</v>
      </c>
      <c r="DA690" s="1" t="s">
        <v>200</v>
      </c>
      <c r="DC690" s="1" t="s">
        <v>545</v>
      </c>
      <c r="DD690" s="1" t="s">
        <v>518</v>
      </c>
      <c r="DE690" s="1" t="s">
        <v>273</v>
      </c>
      <c r="DF690" s="1" t="s">
        <v>219</v>
      </c>
      <c r="DH690" s="1" t="s">
        <v>365</v>
      </c>
      <c r="DI690" s="1" t="s">
        <v>831</v>
      </c>
      <c r="DJ690" s="1" t="s">
        <v>222</v>
      </c>
      <c r="DK690" s="1" t="s">
        <v>2506</v>
      </c>
      <c r="DL690" s="1" t="s">
        <v>224</v>
      </c>
      <c r="DM690" s="1" t="s">
        <v>229</v>
      </c>
      <c r="DP690" s="1" t="s">
        <v>340</v>
      </c>
      <c r="DQ690" s="1" t="s">
        <v>228</v>
      </c>
      <c r="DR690" s="1" t="s">
        <v>229</v>
      </c>
      <c r="DS690" s="1" t="s">
        <v>401</v>
      </c>
      <c r="DU690" s="1" t="s">
        <v>1840</v>
      </c>
      <c r="DV690" s="1" t="s">
        <v>1102</v>
      </c>
      <c r="DW690" s="1" t="s">
        <v>279</v>
      </c>
      <c r="DX690" s="1" t="s">
        <v>309</v>
      </c>
      <c r="DY690" s="1" t="s">
        <v>553</v>
      </c>
      <c r="DZ690" s="1" t="s">
        <v>8432</v>
      </c>
      <c r="EA690" s="1" t="s">
        <v>644</v>
      </c>
      <c r="EC690" s="1" t="s">
        <v>645</v>
      </c>
      <c r="EE690" s="1" t="s">
        <v>493</v>
      </c>
      <c r="EG690" s="1" t="s">
        <v>1102</v>
      </c>
      <c r="EL690" s="1" t="s">
        <v>8357</v>
      </c>
      <c r="EM690" s="1" t="s">
        <v>206</v>
      </c>
      <c r="EN690" s="1" t="s">
        <v>588</v>
      </c>
      <c r="EO690" s="1" t="s">
        <v>239</v>
      </c>
      <c r="EQ690" s="1" t="s">
        <v>238</v>
      </c>
      <c r="EU690" s="1" t="s">
        <v>238</v>
      </c>
      <c r="EY690" s="1" t="s">
        <v>238</v>
      </c>
      <c r="FC690" s="1" t="s">
        <v>238</v>
      </c>
      <c r="FF690" s="1" t="s">
        <v>239</v>
      </c>
      <c r="FG690" s="1" t="s">
        <v>192</v>
      </c>
      <c r="FH690" s="1" t="s">
        <v>192</v>
      </c>
      <c r="FJ690" s="1" t="s">
        <v>8433</v>
      </c>
      <c r="FK690" s="1" t="s">
        <v>229</v>
      </c>
      <c r="FL690" s="1" t="s">
        <v>8434</v>
      </c>
      <c r="FM690" s="1">
        <v>85188.0</v>
      </c>
      <c r="FN690" s="1" t="s">
        <v>8435</v>
      </c>
      <c r="FO690" s="1" t="s">
        <v>8436</v>
      </c>
      <c r="FP690" s="1">
        <v>127438.0</v>
      </c>
      <c r="FQ690" s="1" t="s">
        <v>8437</v>
      </c>
      <c r="FR690" s="1">
        <v>125631.0</v>
      </c>
      <c r="FU690" s="1" t="s">
        <v>8438</v>
      </c>
      <c r="FV690" s="1" t="s">
        <v>200</v>
      </c>
      <c r="FW690" s="1" t="s">
        <v>8439</v>
      </c>
      <c r="FX690" s="1" t="s">
        <v>655</v>
      </c>
      <c r="FZ690" s="1" t="s">
        <v>229</v>
      </c>
      <c r="GA690" s="1" t="s">
        <v>291</v>
      </c>
      <c r="GB690" s="2">
        <v>42067.0</v>
      </c>
    </row>
    <row r="691">
      <c r="A691" s="1">
        <v>200001.0</v>
      </c>
      <c r="B691" s="1" t="s">
        <v>185</v>
      </c>
      <c r="C691" s="1" t="str">
        <f>"08801189"</f>
        <v>08801189</v>
      </c>
      <c r="D691" s="1" t="s">
        <v>186</v>
      </c>
      <c r="F691" s="1" t="str">
        <f>"107"</f>
        <v>107</v>
      </c>
      <c r="G691" s="2">
        <v>41985.0</v>
      </c>
      <c r="H691" s="1">
        <v>185000.0</v>
      </c>
      <c r="I691" s="1">
        <v>7.0</v>
      </c>
      <c r="J691" s="1">
        <v>185000.0</v>
      </c>
      <c r="K691" s="2">
        <v>41990.0</v>
      </c>
      <c r="L691" s="1">
        <v>7.0</v>
      </c>
      <c r="M691" s="2">
        <v>41990.0</v>
      </c>
      <c r="N691" s="1" t="s">
        <v>187</v>
      </c>
      <c r="O691" s="2">
        <v>42054.0</v>
      </c>
      <c r="P691" s="1">
        <v>166650.0</v>
      </c>
      <c r="Q691" s="1">
        <v>16636.0</v>
      </c>
      <c r="S691" s="1">
        <v>1.0</v>
      </c>
      <c r="T691" s="1" t="s">
        <v>8440</v>
      </c>
      <c r="U691" s="1" t="s">
        <v>420</v>
      </c>
      <c r="V691" s="1" t="s">
        <v>294</v>
      </c>
      <c r="W691" s="1">
        <v>60107.0</v>
      </c>
      <c r="Y691" s="1" t="s">
        <v>8441</v>
      </c>
      <c r="Z691" s="1">
        <v>1978.0</v>
      </c>
      <c r="AA691" s="1" t="s">
        <v>200</v>
      </c>
      <c r="AB691" s="1" t="s">
        <v>193</v>
      </c>
      <c r="AC691" s="1" t="s">
        <v>8442</v>
      </c>
      <c r="AD691" s="1" t="s">
        <v>297</v>
      </c>
      <c r="AE691" s="1" t="s">
        <v>195</v>
      </c>
      <c r="AF691" s="1" t="s">
        <v>255</v>
      </c>
      <c r="AG691" s="1" t="s">
        <v>8443</v>
      </c>
      <c r="AH691" s="1" t="s">
        <v>8444</v>
      </c>
      <c r="AI691" s="1">
        <v>0.12</v>
      </c>
      <c r="AK691" s="1">
        <v>8.0</v>
      </c>
      <c r="AL691" s="1">
        <v>4.0</v>
      </c>
      <c r="AM691" s="1">
        <v>2.0</v>
      </c>
      <c r="AN691" s="1">
        <v>1.0</v>
      </c>
      <c r="AO691" s="1" t="s">
        <v>198</v>
      </c>
      <c r="AQ691" s="1" t="s">
        <v>198</v>
      </c>
      <c r="AR691" s="1" t="s">
        <v>200</v>
      </c>
      <c r="AS691" s="1" t="s">
        <v>199</v>
      </c>
      <c r="AT691" s="1">
        <v>2.0</v>
      </c>
      <c r="AV691" s="1" t="s">
        <v>200</v>
      </c>
      <c r="AW691" s="1">
        <v>6824.0</v>
      </c>
      <c r="AX691" s="1">
        <v>2013.0</v>
      </c>
      <c r="AY691" s="1" t="s">
        <v>387</v>
      </c>
      <c r="AZ691" s="1" t="s">
        <v>200</v>
      </c>
      <c r="BA691" s="1" t="str">
        <f>"07183070470000"</f>
        <v>07183070470000</v>
      </c>
      <c r="BC691" s="1">
        <v>1892.0</v>
      </c>
      <c r="BD691" s="1">
        <v>200001.0</v>
      </c>
      <c r="BE691" s="2">
        <v>41984.0</v>
      </c>
      <c r="BF691" s="2" t="s">
        <v>8445</v>
      </c>
      <c r="BG691" s="1" t="s">
        <v>8446</v>
      </c>
      <c r="BH691" s="1">
        <v>0.0</v>
      </c>
      <c r="BI691" s="1" t="s">
        <v>8447</v>
      </c>
      <c r="BJ691" s="1" t="s">
        <v>8448</v>
      </c>
      <c r="BK691" s="1" t="s">
        <v>204</v>
      </c>
      <c r="BL691" s="1" t="str">
        <f t="shared" ref="BL691:BM691" si="465">""</f>
        <v/>
      </c>
      <c r="BM691" s="1" t="str">
        <f t="shared" si="465"/>
        <v/>
      </c>
      <c r="BQ691" s="1">
        <v>54.0</v>
      </c>
      <c r="BR691" s="1">
        <v>211.0</v>
      </c>
      <c r="BS691" s="1">
        <v>54.0</v>
      </c>
      <c r="BU691" s="1" t="s">
        <v>1001</v>
      </c>
      <c r="BV691" s="1" t="s">
        <v>206</v>
      </c>
      <c r="BW691" s="1" t="s">
        <v>210</v>
      </c>
      <c r="BY691" s="1" t="s">
        <v>454</v>
      </c>
      <c r="BZ691" s="1" t="s">
        <v>209</v>
      </c>
      <c r="CA691" s="1" t="s">
        <v>210</v>
      </c>
      <c r="CC691" s="1" t="s">
        <v>495</v>
      </c>
      <c r="CD691" s="1" t="s">
        <v>206</v>
      </c>
      <c r="CE691" s="1" t="s">
        <v>210</v>
      </c>
      <c r="CG691" s="1" t="s">
        <v>516</v>
      </c>
      <c r="CH691" s="1" t="s">
        <v>209</v>
      </c>
      <c r="CI691" s="1" t="s">
        <v>210</v>
      </c>
      <c r="CK691" s="1" t="s">
        <v>497</v>
      </c>
      <c r="CL691" s="1" t="s">
        <v>209</v>
      </c>
      <c r="CM691" s="1" t="s">
        <v>210</v>
      </c>
      <c r="CO691" s="1" t="s">
        <v>543</v>
      </c>
      <c r="CP691" s="1" t="s">
        <v>209</v>
      </c>
      <c r="CQ691" s="1" t="s">
        <v>210</v>
      </c>
      <c r="CS691" s="1" t="s">
        <v>262</v>
      </c>
      <c r="CT691" s="1" t="s">
        <v>206</v>
      </c>
      <c r="CU691" s="1" t="s">
        <v>301</v>
      </c>
      <c r="CW691" s="1" t="s">
        <v>664</v>
      </c>
      <c r="CX691" s="1" t="s">
        <v>206</v>
      </c>
      <c r="CY691" s="1" t="s">
        <v>210</v>
      </c>
      <c r="DA691" s="1" t="s">
        <v>200</v>
      </c>
      <c r="DC691" s="1" t="s">
        <v>395</v>
      </c>
      <c r="DD691" s="1" t="s">
        <v>518</v>
      </c>
      <c r="DE691" s="1" t="s">
        <v>273</v>
      </c>
      <c r="DF691" s="1" t="s">
        <v>219</v>
      </c>
      <c r="DH691" s="1" t="s">
        <v>220</v>
      </c>
      <c r="DJ691" s="1" t="s">
        <v>222</v>
      </c>
      <c r="DL691" s="1" t="s">
        <v>223</v>
      </c>
      <c r="DM691" s="1" t="s">
        <v>229</v>
      </c>
      <c r="DO691" s="1" t="s">
        <v>8449</v>
      </c>
      <c r="DP691" s="1" t="s">
        <v>400</v>
      </c>
      <c r="DQ691" s="1" t="s">
        <v>228</v>
      </c>
      <c r="DR691" s="1" t="s">
        <v>229</v>
      </c>
      <c r="DU691" s="1" t="s">
        <v>3021</v>
      </c>
      <c r="DV691" s="1" t="s">
        <v>232</v>
      </c>
      <c r="DW691" s="1" t="s">
        <v>1072</v>
      </c>
      <c r="DX691" s="1" t="s">
        <v>234</v>
      </c>
      <c r="DY691" s="1" t="s">
        <v>1189</v>
      </c>
      <c r="DZ691" s="1" t="s">
        <v>282</v>
      </c>
      <c r="EA691" s="1" t="s">
        <v>447</v>
      </c>
      <c r="EC691" s="1" t="s">
        <v>237</v>
      </c>
      <c r="ED691" s="1" t="s">
        <v>407</v>
      </c>
      <c r="EE691" s="1" t="s">
        <v>1960</v>
      </c>
      <c r="EM691" s="1" t="s">
        <v>238</v>
      </c>
      <c r="EQ691" s="1" t="s">
        <v>238</v>
      </c>
      <c r="EU691" s="1" t="s">
        <v>238</v>
      </c>
      <c r="EY691" s="1" t="s">
        <v>238</v>
      </c>
      <c r="FC691" s="1" t="s">
        <v>238</v>
      </c>
      <c r="FF691" s="1" t="s">
        <v>239</v>
      </c>
      <c r="FG691" s="1" t="s">
        <v>192</v>
      </c>
      <c r="FH691" s="1" t="s">
        <v>192</v>
      </c>
      <c r="FJ691" s="1" t="s">
        <v>1123</v>
      </c>
      <c r="FK691" s="1" t="s">
        <v>229</v>
      </c>
      <c r="FL691" s="1" t="s">
        <v>5530</v>
      </c>
      <c r="FM691" s="1">
        <v>8079.0</v>
      </c>
      <c r="FN691" s="1" t="s">
        <v>5531</v>
      </c>
      <c r="FO691" s="1" t="s">
        <v>8450</v>
      </c>
      <c r="FP691" s="1">
        <v>80663.0</v>
      </c>
      <c r="FQ691" s="1" t="s">
        <v>8451</v>
      </c>
      <c r="FS691" s="1" t="s">
        <v>8452</v>
      </c>
      <c r="FU691" s="1" t="s">
        <v>1751</v>
      </c>
      <c r="FV691" s="1" t="s">
        <v>200</v>
      </c>
      <c r="FW691" s="1" t="s">
        <v>290</v>
      </c>
      <c r="FZ691" s="1" t="s">
        <v>229</v>
      </c>
      <c r="GA691" s="1" t="s">
        <v>291</v>
      </c>
      <c r="GB691" s="2">
        <v>42054.0</v>
      </c>
      <c r="GC691" s="1" t="s">
        <v>8453</v>
      </c>
    </row>
    <row r="692">
      <c r="A692" s="1">
        <v>103000.0</v>
      </c>
      <c r="B692" s="1" t="s">
        <v>185</v>
      </c>
      <c r="C692" s="1" t="str">
        <f>"08805270"</f>
        <v>08805270</v>
      </c>
      <c r="D692" s="1" t="s">
        <v>186</v>
      </c>
      <c r="F692" s="1" t="str">
        <f>"8029"</f>
        <v>8029</v>
      </c>
      <c r="G692" s="2">
        <v>41995.0</v>
      </c>
      <c r="H692" s="1">
        <v>51500.0</v>
      </c>
      <c r="I692" s="1">
        <v>24.0</v>
      </c>
      <c r="J692" s="1">
        <v>51500.0</v>
      </c>
      <c r="K692" s="2">
        <v>42018.0</v>
      </c>
      <c r="L692" s="1">
        <v>24.0</v>
      </c>
      <c r="M692" s="2">
        <v>42018.0</v>
      </c>
      <c r="N692" s="1" t="s">
        <v>356</v>
      </c>
      <c r="O692" s="2">
        <v>42062.0</v>
      </c>
      <c r="P692" s="1">
        <v>130410.0</v>
      </c>
      <c r="Q692" s="1">
        <v>16636.0</v>
      </c>
      <c r="R692" s="1">
        <v>3090.0</v>
      </c>
      <c r="S692" s="1">
        <v>1817.0</v>
      </c>
      <c r="T692" s="1" t="s">
        <v>8454</v>
      </c>
      <c r="U692" s="1" t="s">
        <v>189</v>
      </c>
      <c r="V692" s="1" t="s">
        <v>190</v>
      </c>
      <c r="W692" s="1">
        <v>60623.0</v>
      </c>
      <c r="Y692" s="1" t="s">
        <v>8455</v>
      </c>
      <c r="Z692" s="1">
        <v>2007.0</v>
      </c>
      <c r="AA692" s="1" t="s">
        <v>200</v>
      </c>
      <c r="AB692" s="1" t="s">
        <v>193</v>
      </c>
      <c r="AD692" s="1" t="s">
        <v>194</v>
      </c>
      <c r="AE692" s="1" t="s">
        <v>195</v>
      </c>
      <c r="AF692" s="1" t="s">
        <v>827</v>
      </c>
      <c r="AH692" s="1" t="s">
        <v>8456</v>
      </c>
      <c r="AI692" s="1">
        <v>0.1004</v>
      </c>
      <c r="AK692" s="1">
        <v>9.0</v>
      </c>
      <c r="AL692" s="1">
        <v>4.0</v>
      </c>
      <c r="AM692" s="1">
        <v>3.0</v>
      </c>
      <c r="AN692" s="1">
        <v>0.0</v>
      </c>
      <c r="AO692" s="1" t="s">
        <v>198</v>
      </c>
      <c r="AP692" s="1">
        <v>2.0</v>
      </c>
      <c r="AQ692" s="1" t="s">
        <v>1314</v>
      </c>
      <c r="AR692" s="1" t="s">
        <v>200</v>
      </c>
      <c r="AS692" s="1" t="s">
        <v>199</v>
      </c>
      <c r="AT692" s="1">
        <v>3.0</v>
      </c>
      <c r="AV692" s="1" t="s">
        <v>200</v>
      </c>
      <c r="AW692" s="1">
        <v>4162.26</v>
      </c>
      <c r="AX692" s="1">
        <v>2012.0</v>
      </c>
      <c r="AZ692" s="1" t="s">
        <v>200</v>
      </c>
      <c r="BA692" s="1" t="str">
        <f>"16234130120000"</f>
        <v>16234130120000</v>
      </c>
      <c r="BC692" s="1">
        <v>2600.0</v>
      </c>
      <c r="BD692" s="1">
        <v>103000.0</v>
      </c>
      <c r="BE692" s="2">
        <v>41995.0</v>
      </c>
      <c r="BF692" s="2" t="s">
        <v>8457</v>
      </c>
      <c r="BH692" s="1">
        <v>0.0</v>
      </c>
      <c r="BK692" s="1" t="s">
        <v>204</v>
      </c>
      <c r="BL692" s="1" t="str">
        <f t="shared" ref="BL692:BM692" si="466">"0"</f>
        <v>0</v>
      </c>
      <c r="BM692" s="1" t="str">
        <f t="shared" si="466"/>
        <v>0</v>
      </c>
      <c r="BN692" s="1">
        <v>3300.0</v>
      </c>
      <c r="BO692" s="1">
        <v>1817.0</v>
      </c>
      <c r="BQ692" s="1">
        <v>299.0</v>
      </c>
      <c r="BR692" s="1">
        <v>299.0</v>
      </c>
      <c r="BS692" s="1">
        <v>299.0</v>
      </c>
      <c r="BU692" s="1" t="s">
        <v>2155</v>
      </c>
      <c r="BV692" s="1" t="s">
        <v>206</v>
      </c>
      <c r="BW692" s="1" t="s">
        <v>207</v>
      </c>
      <c r="BY692" s="1" t="s">
        <v>782</v>
      </c>
      <c r="BZ692" s="1" t="s">
        <v>209</v>
      </c>
      <c r="CA692" s="1" t="s">
        <v>207</v>
      </c>
      <c r="CC692" s="1" t="s">
        <v>542</v>
      </c>
      <c r="CD692" s="1" t="s">
        <v>206</v>
      </c>
      <c r="CE692" s="1" t="s">
        <v>207</v>
      </c>
      <c r="CG692" s="1" t="s">
        <v>332</v>
      </c>
      <c r="CH692" s="1" t="s">
        <v>209</v>
      </c>
      <c r="CI692" s="1" t="s">
        <v>207</v>
      </c>
      <c r="CK692" s="1" t="s">
        <v>1119</v>
      </c>
      <c r="CL692" s="1" t="s">
        <v>209</v>
      </c>
      <c r="CM692" s="1" t="s">
        <v>207</v>
      </c>
      <c r="CO692" s="1" t="s">
        <v>269</v>
      </c>
      <c r="CP692" s="1" t="s">
        <v>206</v>
      </c>
      <c r="CQ692" s="1" t="s">
        <v>207</v>
      </c>
      <c r="CS692" s="1" t="s">
        <v>969</v>
      </c>
      <c r="CT692" s="1" t="s">
        <v>206</v>
      </c>
      <c r="CU692" s="1" t="s">
        <v>207</v>
      </c>
      <c r="CW692" s="1" t="s">
        <v>2800</v>
      </c>
      <c r="CX692" s="1" t="s">
        <v>206</v>
      </c>
      <c r="CY692" s="1" t="s">
        <v>207</v>
      </c>
      <c r="DA692" s="1" t="s">
        <v>200</v>
      </c>
      <c r="DC692" s="1" t="s">
        <v>481</v>
      </c>
      <c r="DE692" s="1" t="s">
        <v>273</v>
      </c>
      <c r="DF692" s="1" t="s">
        <v>619</v>
      </c>
      <c r="DH692" s="1" t="s">
        <v>307</v>
      </c>
      <c r="DJ692" s="1" t="s">
        <v>222</v>
      </c>
      <c r="DL692" s="1" t="s">
        <v>223</v>
      </c>
      <c r="DM692" s="1" t="s">
        <v>229</v>
      </c>
      <c r="DQ692" s="1" t="s">
        <v>228</v>
      </c>
      <c r="DR692" s="1" t="s">
        <v>229</v>
      </c>
      <c r="DV692" s="1" t="s">
        <v>598</v>
      </c>
      <c r="DW692" s="1" t="s">
        <v>667</v>
      </c>
      <c r="DX692" s="1" t="s">
        <v>234</v>
      </c>
      <c r="DY692" s="1" t="s">
        <v>235</v>
      </c>
      <c r="EC692" s="1" t="s">
        <v>237</v>
      </c>
      <c r="EG692" s="1" t="s">
        <v>598</v>
      </c>
      <c r="EL692" s="1" t="s">
        <v>1623</v>
      </c>
      <c r="EM692" s="1" t="s">
        <v>206</v>
      </c>
      <c r="EN692" s="1" t="s">
        <v>207</v>
      </c>
      <c r="EQ692" s="1" t="s">
        <v>238</v>
      </c>
      <c r="EU692" s="1" t="s">
        <v>238</v>
      </c>
      <c r="EY692" s="1" t="s">
        <v>238</v>
      </c>
      <c r="FC692" s="1" t="s">
        <v>238</v>
      </c>
      <c r="FF692" s="1" t="s">
        <v>239</v>
      </c>
      <c r="FG692" s="1" t="s">
        <v>200</v>
      </c>
      <c r="FH692" s="1" t="s">
        <v>192</v>
      </c>
      <c r="FJ692" s="1" t="s">
        <v>8458</v>
      </c>
      <c r="FK692" s="1" t="s">
        <v>229</v>
      </c>
      <c r="FL692" s="1" t="s">
        <v>1304</v>
      </c>
      <c r="FM692" s="1">
        <v>84745.0</v>
      </c>
      <c r="FN692" s="1" t="s">
        <v>1305</v>
      </c>
      <c r="FO692" s="1" t="s">
        <v>1306</v>
      </c>
      <c r="FP692" s="1">
        <v>186815.0</v>
      </c>
      <c r="FU692" s="1" t="s">
        <v>710</v>
      </c>
      <c r="FV692" s="1" t="s">
        <v>200</v>
      </c>
      <c r="FW692" s="1" t="s">
        <v>1307</v>
      </c>
      <c r="FX692" s="1" t="s">
        <v>655</v>
      </c>
      <c r="FZ692" s="1" t="s">
        <v>229</v>
      </c>
      <c r="GA692" s="1" t="s">
        <v>291</v>
      </c>
      <c r="GB692" s="2">
        <v>42062.0</v>
      </c>
      <c r="GC692" s="1" t="s">
        <v>8459</v>
      </c>
    </row>
    <row r="693">
      <c r="A693" s="1">
        <v>391000.0</v>
      </c>
      <c r="B693" s="1" t="s">
        <v>185</v>
      </c>
      <c r="C693" s="1" t="str">
        <f>"08808190"</f>
        <v>08808190</v>
      </c>
      <c r="D693" s="1" t="s">
        <v>186</v>
      </c>
      <c r="F693" s="1" t="str">
        <f>"134"</f>
        <v>134</v>
      </c>
      <c r="G693" s="2">
        <v>42006.0</v>
      </c>
      <c r="H693" s="1">
        <v>409900.0</v>
      </c>
      <c r="I693" s="1">
        <v>180.0</v>
      </c>
      <c r="J693" s="1">
        <v>409900.0</v>
      </c>
      <c r="K693" s="2">
        <v>42081.0</v>
      </c>
      <c r="L693" s="1">
        <v>76.0</v>
      </c>
      <c r="M693" s="2">
        <v>42081.0</v>
      </c>
      <c r="N693" s="1" t="s">
        <v>187</v>
      </c>
      <c r="O693" s="2">
        <v>42128.0</v>
      </c>
      <c r="P693" s="1">
        <v>215684.0</v>
      </c>
      <c r="Q693" s="1">
        <v>23099.0</v>
      </c>
      <c r="S693" s="1" t="s">
        <v>8460</v>
      </c>
      <c r="T693" s="1" t="s">
        <v>8461</v>
      </c>
      <c r="U693" s="1" t="s">
        <v>569</v>
      </c>
      <c r="V693" s="1" t="s">
        <v>421</v>
      </c>
      <c r="W693" s="1">
        <v>60134.0</v>
      </c>
      <c r="Y693" s="1" t="s">
        <v>8462</v>
      </c>
      <c r="Z693" s="1">
        <v>2013.0</v>
      </c>
      <c r="AA693" s="1" t="s">
        <v>200</v>
      </c>
      <c r="AB693" s="1" t="s">
        <v>193</v>
      </c>
      <c r="AC693" s="1" t="s">
        <v>8463</v>
      </c>
      <c r="AD693" s="1" t="s">
        <v>1089</v>
      </c>
      <c r="AE693" s="1" t="s">
        <v>325</v>
      </c>
      <c r="AF693" s="1" t="s">
        <v>424</v>
      </c>
      <c r="AG693" s="1" t="s">
        <v>8464</v>
      </c>
      <c r="AH693" s="1" t="s">
        <v>8465</v>
      </c>
      <c r="AK693" s="1">
        <v>9.0</v>
      </c>
      <c r="AL693" s="1">
        <v>4.0</v>
      </c>
      <c r="AM693" s="1">
        <v>3.0</v>
      </c>
      <c r="AN693" s="1">
        <v>1.0</v>
      </c>
      <c r="AO693" s="1" t="s">
        <v>198</v>
      </c>
      <c r="AP693" s="1">
        <v>1.0</v>
      </c>
      <c r="AQ693" s="1" t="s">
        <v>198</v>
      </c>
      <c r="AR693" s="1" t="s">
        <v>192</v>
      </c>
      <c r="AS693" s="1" t="s">
        <v>199</v>
      </c>
      <c r="AT693" s="1">
        <v>3.0</v>
      </c>
      <c r="AV693" s="1" t="s">
        <v>200</v>
      </c>
      <c r="AW693" s="1">
        <v>5470.74</v>
      </c>
      <c r="AX693" s="1">
        <v>2013.0</v>
      </c>
      <c r="AY693" s="1" t="s">
        <v>229</v>
      </c>
      <c r="AZ693" s="1" t="s">
        <v>200</v>
      </c>
      <c r="BA693" s="1" t="str">
        <f>"1112152003"</f>
        <v>1112152003</v>
      </c>
      <c r="BB693" s="1" t="s">
        <v>200</v>
      </c>
      <c r="BC693" s="1">
        <v>2743.0</v>
      </c>
      <c r="BD693" s="1">
        <v>391000.0</v>
      </c>
      <c r="BE693" s="2">
        <v>42006.0</v>
      </c>
      <c r="BF693" s="2" t="s">
        <v>8466</v>
      </c>
      <c r="BG693" s="1" t="s">
        <v>6713</v>
      </c>
      <c r="BH693" s="1">
        <v>0.0</v>
      </c>
      <c r="BI693" s="1" t="s">
        <v>429</v>
      </c>
      <c r="BJ693" s="1" t="s">
        <v>430</v>
      </c>
      <c r="BK693" s="1" t="s">
        <v>204</v>
      </c>
      <c r="BL693" s="1" t="str">
        <f>"1"</f>
        <v>1</v>
      </c>
      <c r="BM693" s="1" t="str">
        <f>"0"</f>
        <v>0</v>
      </c>
      <c r="BN693" s="1">
        <v>39.0</v>
      </c>
      <c r="BO693" s="1">
        <v>0.0</v>
      </c>
      <c r="BQ693" s="1">
        <v>304.0</v>
      </c>
      <c r="BR693" s="1">
        <v>304.0</v>
      </c>
      <c r="BS693" s="1">
        <v>304.0</v>
      </c>
      <c r="BV693" s="1" t="s">
        <v>204</v>
      </c>
      <c r="BY693" s="1" t="s">
        <v>1000</v>
      </c>
      <c r="BZ693" s="1" t="s">
        <v>209</v>
      </c>
      <c r="CA693" s="1" t="s">
        <v>210</v>
      </c>
      <c r="CB693" s="1" t="s">
        <v>431</v>
      </c>
      <c r="CC693" s="1" t="s">
        <v>663</v>
      </c>
      <c r="CD693" s="1" t="s">
        <v>206</v>
      </c>
      <c r="CE693" s="1" t="s">
        <v>207</v>
      </c>
      <c r="CF693" s="1" t="s">
        <v>431</v>
      </c>
      <c r="CG693" s="1" t="s">
        <v>363</v>
      </c>
      <c r="CH693" s="1" t="s">
        <v>209</v>
      </c>
      <c r="CI693" s="1" t="s">
        <v>210</v>
      </c>
      <c r="CJ693" s="1" t="s">
        <v>431</v>
      </c>
      <c r="CK693" s="1" t="s">
        <v>478</v>
      </c>
      <c r="CL693" s="1" t="s">
        <v>209</v>
      </c>
      <c r="CM693" s="1" t="s">
        <v>210</v>
      </c>
      <c r="CN693" s="1" t="s">
        <v>431</v>
      </c>
      <c r="CO693" s="1" t="s">
        <v>663</v>
      </c>
      <c r="CP693" s="1" t="s">
        <v>209</v>
      </c>
      <c r="CQ693" s="1" t="s">
        <v>210</v>
      </c>
      <c r="CR693" s="1" t="s">
        <v>431</v>
      </c>
      <c r="CS693" s="1" t="s">
        <v>2460</v>
      </c>
      <c r="CT693" s="1" t="s">
        <v>206</v>
      </c>
      <c r="CU693" s="1" t="s">
        <v>207</v>
      </c>
      <c r="CV693" s="1" t="s">
        <v>261</v>
      </c>
      <c r="CW693" s="1" t="s">
        <v>362</v>
      </c>
      <c r="CX693" s="1" t="s">
        <v>206</v>
      </c>
      <c r="CY693" s="1" t="s">
        <v>210</v>
      </c>
      <c r="CZ693" s="1" t="s">
        <v>431</v>
      </c>
      <c r="DA693" s="1" t="s">
        <v>200</v>
      </c>
      <c r="DC693" s="1" t="s">
        <v>1046</v>
      </c>
      <c r="DD693" s="1" t="s">
        <v>5326</v>
      </c>
      <c r="DE693" s="1" t="s">
        <v>273</v>
      </c>
      <c r="DF693" s="1" t="s">
        <v>219</v>
      </c>
      <c r="DG693" s="1" t="s">
        <v>8467</v>
      </c>
      <c r="DH693" s="1" t="s">
        <v>220</v>
      </c>
      <c r="DI693" s="1" t="s">
        <v>519</v>
      </c>
      <c r="DJ693" s="1" t="s">
        <v>222</v>
      </c>
      <c r="DK693" s="1" t="s">
        <v>223</v>
      </c>
      <c r="DL693" s="1" t="s">
        <v>224</v>
      </c>
      <c r="DM693" s="1" t="s">
        <v>929</v>
      </c>
      <c r="DN693" s="1" t="s">
        <v>485</v>
      </c>
      <c r="DO693" s="1" t="s">
        <v>8468</v>
      </c>
      <c r="DP693" s="1" t="s">
        <v>340</v>
      </c>
      <c r="DQ693" s="1" t="s">
        <v>228</v>
      </c>
      <c r="DR693" s="1" t="s">
        <v>229</v>
      </c>
      <c r="DS693" s="1" t="s">
        <v>591</v>
      </c>
      <c r="DU693" s="1" t="s">
        <v>5750</v>
      </c>
      <c r="DV693" s="1" t="s">
        <v>8469</v>
      </c>
      <c r="DW693" s="1" t="s">
        <v>233</v>
      </c>
      <c r="DX693" s="1" t="s">
        <v>234</v>
      </c>
      <c r="DY693" s="1" t="s">
        <v>490</v>
      </c>
      <c r="DZ693" s="1" t="s">
        <v>3245</v>
      </c>
      <c r="EA693" s="1" t="s">
        <v>344</v>
      </c>
      <c r="EB693" s="1" t="s">
        <v>5230</v>
      </c>
      <c r="EC693" s="1" t="s">
        <v>237</v>
      </c>
      <c r="ED693" s="1" t="s">
        <v>407</v>
      </c>
      <c r="EG693" s="1" t="s">
        <v>556</v>
      </c>
      <c r="EH693" s="1" t="s">
        <v>1028</v>
      </c>
      <c r="EI693" s="1" t="s">
        <v>409</v>
      </c>
      <c r="EL693" s="1" t="s">
        <v>2460</v>
      </c>
      <c r="EM693" s="1" t="s">
        <v>206</v>
      </c>
      <c r="EN693" s="1" t="s">
        <v>207</v>
      </c>
      <c r="EO693" s="1" t="s">
        <v>1549</v>
      </c>
      <c r="EP693" s="1" t="s">
        <v>212</v>
      </c>
      <c r="EQ693" s="1" t="s">
        <v>206</v>
      </c>
      <c r="ER693" s="1" t="s">
        <v>210</v>
      </c>
      <c r="ES693" s="1" t="s">
        <v>431</v>
      </c>
      <c r="ET693" s="1" t="s">
        <v>584</v>
      </c>
      <c r="EU693" s="1" t="s">
        <v>209</v>
      </c>
      <c r="EV693" s="1" t="s">
        <v>210</v>
      </c>
      <c r="EY693" s="1" t="s">
        <v>238</v>
      </c>
      <c r="FC693" s="1" t="s">
        <v>238</v>
      </c>
      <c r="FF693" s="1" t="s">
        <v>239</v>
      </c>
      <c r="FG693" s="1" t="s">
        <v>192</v>
      </c>
      <c r="FH693" s="1" t="s">
        <v>192</v>
      </c>
      <c r="FJ693" s="1" t="s">
        <v>2133</v>
      </c>
      <c r="FK693" s="1" t="s">
        <v>229</v>
      </c>
      <c r="FL693" s="1" t="s">
        <v>1212</v>
      </c>
      <c r="FM693" s="1">
        <v>30.0</v>
      </c>
      <c r="FN693" s="1" t="s">
        <v>1213</v>
      </c>
      <c r="FO693" s="1" t="s">
        <v>8470</v>
      </c>
      <c r="FP693" s="1">
        <v>497.0</v>
      </c>
      <c r="FQ693" s="1" t="s">
        <v>8471</v>
      </c>
      <c r="FR693" s="1">
        <v>8177.0</v>
      </c>
      <c r="FS693" s="1">
        <v>8177.0</v>
      </c>
      <c r="FU693" s="1" t="s">
        <v>8472</v>
      </c>
      <c r="FV693" s="1" t="s">
        <v>200</v>
      </c>
      <c r="FW693" s="1" t="s">
        <v>290</v>
      </c>
      <c r="FZ693" s="1" t="s">
        <v>229</v>
      </c>
      <c r="GA693" s="1" t="s">
        <v>291</v>
      </c>
      <c r="GB693" s="2">
        <v>42129.0</v>
      </c>
    </row>
    <row r="694">
      <c r="A694" s="1">
        <v>138000.0</v>
      </c>
      <c r="B694" s="1" t="s">
        <v>185</v>
      </c>
      <c r="C694" s="1" t="str">
        <f>"08806383"</f>
        <v>08806383</v>
      </c>
      <c r="D694" s="1" t="s">
        <v>186</v>
      </c>
      <c r="F694" s="1" t="str">
        <f>"8053"</f>
        <v>8053</v>
      </c>
      <c r="G694" s="2">
        <v>42000.0</v>
      </c>
      <c r="H694" s="1">
        <v>139900.0</v>
      </c>
      <c r="I694" s="1">
        <v>266.0</v>
      </c>
      <c r="J694" s="1">
        <v>139900.0</v>
      </c>
      <c r="K694" s="2">
        <v>42108.0</v>
      </c>
      <c r="L694" s="1">
        <v>109.0</v>
      </c>
      <c r="M694" s="2">
        <v>42108.0</v>
      </c>
      <c r="N694" s="1" t="s">
        <v>356</v>
      </c>
      <c r="O694" s="2">
        <v>42139.0</v>
      </c>
      <c r="P694" s="1">
        <v>219008.0</v>
      </c>
      <c r="Q694" s="1">
        <v>25042.0</v>
      </c>
      <c r="R694" s="1">
        <v>4050.0</v>
      </c>
      <c r="S694" s="1">
        <v>140.0</v>
      </c>
      <c r="T694" s="1" t="s">
        <v>8473</v>
      </c>
      <c r="U694" s="1" t="s">
        <v>320</v>
      </c>
      <c r="V694" s="1" t="s">
        <v>190</v>
      </c>
      <c r="W694" s="1">
        <v>60628.0</v>
      </c>
      <c r="Y694" s="1" t="s">
        <v>8474</v>
      </c>
      <c r="Z694" s="1">
        <v>1962.0</v>
      </c>
      <c r="AA694" s="1" t="s">
        <v>192</v>
      </c>
      <c r="AB694" s="1" t="s">
        <v>193</v>
      </c>
      <c r="AD694" s="1" t="s">
        <v>194</v>
      </c>
      <c r="AE694" s="1" t="s">
        <v>195</v>
      </c>
      <c r="AF694" s="1" t="s">
        <v>637</v>
      </c>
      <c r="AH694" s="1">
        <v>5640.0</v>
      </c>
      <c r="AI694" s="1">
        <v>0.1295</v>
      </c>
      <c r="AK694" s="1">
        <v>8.0</v>
      </c>
      <c r="AL694" s="1">
        <v>3.0</v>
      </c>
      <c r="AM694" s="1">
        <v>2.0</v>
      </c>
      <c r="AN694" s="1">
        <v>1.0</v>
      </c>
      <c r="AO694" s="1" t="s">
        <v>1261</v>
      </c>
      <c r="AQ694" s="1" t="s">
        <v>198</v>
      </c>
      <c r="AR694" s="1" t="s">
        <v>192</v>
      </c>
      <c r="AS694" s="1" t="s">
        <v>199</v>
      </c>
      <c r="AT694" s="1">
        <v>2.5</v>
      </c>
      <c r="AV694" s="1" t="s">
        <v>200</v>
      </c>
      <c r="AW694" s="1">
        <v>2136.58</v>
      </c>
      <c r="AX694" s="1">
        <v>2013.0</v>
      </c>
      <c r="AY694" s="1" t="s">
        <v>2349</v>
      </c>
      <c r="AZ694" s="1" t="s">
        <v>200</v>
      </c>
      <c r="BA694" s="1" t="str">
        <f>"25271240110000"</f>
        <v>25271240110000</v>
      </c>
      <c r="BC694" s="1">
        <v>2400.0</v>
      </c>
      <c r="BD694" s="1">
        <v>138000.0</v>
      </c>
      <c r="BE694" s="2">
        <v>42000.0</v>
      </c>
      <c r="BF694" s="2" t="s">
        <v>8475</v>
      </c>
      <c r="BH694" s="1">
        <v>0.0</v>
      </c>
      <c r="BK694" s="1" t="s">
        <v>204</v>
      </c>
      <c r="BL694" s="1" t="str">
        <f t="shared" ref="BL694:BM694" si="467">"0"</f>
        <v>0</v>
      </c>
      <c r="BM694" s="1" t="str">
        <f t="shared" si="467"/>
        <v>0</v>
      </c>
      <c r="BN694" s="1">
        <v>140.0</v>
      </c>
      <c r="BO694" s="1">
        <v>12200.0</v>
      </c>
      <c r="BQ694" s="1">
        <v>299.0</v>
      </c>
      <c r="BR694" s="1">
        <v>299.0</v>
      </c>
      <c r="BS694" s="1">
        <v>299.0</v>
      </c>
      <c r="BU694" s="1" t="s">
        <v>3989</v>
      </c>
      <c r="BV694" s="1" t="s">
        <v>206</v>
      </c>
      <c r="BW694" s="1" t="s">
        <v>207</v>
      </c>
      <c r="BY694" s="1" t="s">
        <v>2459</v>
      </c>
      <c r="BZ694" s="1" t="s">
        <v>206</v>
      </c>
      <c r="CA694" s="1" t="s">
        <v>207</v>
      </c>
      <c r="CD694" s="1" t="s">
        <v>204</v>
      </c>
      <c r="CG694" s="1" t="s">
        <v>212</v>
      </c>
      <c r="CH694" s="1" t="s">
        <v>206</v>
      </c>
      <c r="CI694" s="1" t="s">
        <v>207</v>
      </c>
      <c r="CK694" s="1" t="s">
        <v>302</v>
      </c>
      <c r="CL694" s="1" t="s">
        <v>206</v>
      </c>
      <c r="CM694" s="1" t="s">
        <v>207</v>
      </c>
      <c r="CO694" s="1" t="s">
        <v>1329</v>
      </c>
      <c r="CP694" s="1" t="s">
        <v>42</v>
      </c>
      <c r="CQ694" s="1" t="s">
        <v>210</v>
      </c>
      <c r="CS694" s="1" t="s">
        <v>1190</v>
      </c>
      <c r="CT694" s="1" t="s">
        <v>206</v>
      </c>
      <c r="CU694" s="1" t="s">
        <v>207</v>
      </c>
      <c r="CW694" s="1" t="s">
        <v>3888</v>
      </c>
      <c r="CX694" s="1" t="s">
        <v>267</v>
      </c>
      <c r="CY694" s="1" t="s">
        <v>210</v>
      </c>
      <c r="DA694" s="1" t="s">
        <v>200</v>
      </c>
      <c r="DC694" s="1" t="s">
        <v>271</v>
      </c>
      <c r="DD694" s="1" t="s">
        <v>1838</v>
      </c>
      <c r="DE694" s="1" t="s">
        <v>273</v>
      </c>
      <c r="DF694" s="1" t="s">
        <v>219</v>
      </c>
      <c r="DG694" s="1" t="s">
        <v>482</v>
      </c>
      <c r="DH694" s="1" t="s">
        <v>307</v>
      </c>
      <c r="DI694" s="1" t="s">
        <v>366</v>
      </c>
      <c r="DJ694" s="1" t="s">
        <v>222</v>
      </c>
      <c r="DK694" s="1" t="s">
        <v>8476</v>
      </c>
      <c r="DL694" s="1" t="s">
        <v>1161</v>
      </c>
      <c r="DM694" s="1" t="s">
        <v>1658</v>
      </c>
      <c r="DN694" s="1" t="s">
        <v>367</v>
      </c>
      <c r="DQ694" s="1" t="s">
        <v>228</v>
      </c>
      <c r="DR694" s="1" t="s">
        <v>229</v>
      </c>
      <c r="DV694" s="1" t="s">
        <v>8477</v>
      </c>
      <c r="DW694" s="1" t="s">
        <v>279</v>
      </c>
      <c r="DX694" s="1" t="s">
        <v>234</v>
      </c>
      <c r="DY694" s="1" t="s">
        <v>8273</v>
      </c>
      <c r="DZ694" s="1" t="s">
        <v>7055</v>
      </c>
      <c r="EC694" s="1" t="s">
        <v>645</v>
      </c>
      <c r="EE694" s="1" t="s">
        <v>493</v>
      </c>
      <c r="EG694" s="1" t="s">
        <v>114</v>
      </c>
      <c r="EH694" s="1" t="s">
        <v>409</v>
      </c>
      <c r="EL694" s="1" t="s">
        <v>260</v>
      </c>
      <c r="EM694" s="1" t="s">
        <v>114</v>
      </c>
      <c r="EP694" s="1" t="s">
        <v>8478</v>
      </c>
      <c r="EQ694" s="1" t="s">
        <v>42</v>
      </c>
      <c r="EU694" s="1" t="s">
        <v>238</v>
      </c>
      <c r="EY694" s="1" t="s">
        <v>238</v>
      </c>
      <c r="FC694" s="1" t="s">
        <v>238</v>
      </c>
      <c r="FF694" s="1" t="s">
        <v>239</v>
      </c>
      <c r="FG694" s="1" t="s">
        <v>192</v>
      </c>
      <c r="FH694" s="1" t="s">
        <v>192</v>
      </c>
      <c r="FJ694" s="1" t="s">
        <v>8479</v>
      </c>
      <c r="FK694" s="1" t="s">
        <v>229</v>
      </c>
      <c r="FL694" s="1" t="s">
        <v>2037</v>
      </c>
      <c r="FM694" s="1">
        <v>60321.0</v>
      </c>
      <c r="FN694" s="1" t="s">
        <v>2038</v>
      </c>
      <c r="FO694" s="1" t="s">
        <v>8480</v>
      </c>
      <c r="FP694" s="1">
        <v>227946.0</v>
      </c>
      <c r="FQ694" s="1" t="s">
        <v>8481</v>
      </c>
      <c r="FS694" s="1" t="s">
        <v>8482</v>
      </c>
      <c r="FU694" s="1" t="s">
        <v>2030</v>
      </c>
      <c r="FV694" s="1" t="s">
        <v>200</v>
      </c>
      <c r="FW694" s="1" t="s">
        <v>530</v>
      </c>
      <c r="FX694" s="1" t="s">
        <v>1739</v>
      </c>
      <c r="FZ694" s="1" t="s">
        <v>632</v>
      </c>
      <c r="GA694" s="1" t="s">
        <v>291</v>
      </c>
      <c r="GB694" s="2">
        <v>42142.0</v>
      </c>
    </row>
    <row r="695">
      <c r="A695" s="1">
        <v>184900.0</v>
      </c>
      <c r="B695" s="1" t="s">
        <v>185</v>
      </c>
      <c r="C695" s="1" t="str">
        <f>"08805077"</f>
        <v>08805077</v>
      </c>
      <c r="D695" s="1" t="s">
        <v>186</v>
      </c>
      <c r="F695" s="1" t="str">
        <f>"543"</f>
        <v>543</v>
      </c>
      <c r="G695" s="2">
        <v>41995.0</v>
      </c>
      <c r="H695" s="1">
        <v>199900.0</v>
      </c>
      <c r="I695" s="1">
        <v>103.0</v>
      </c>
      <c r="J695" s="1">
        <v>194900.0</v>
      </c>
      <c r="K695" s="2">
        <v>42096.0</v>
      </c>
      <c r="L695" s="1">
        <v>103.0</v>
      </c>
      <c r="M695" s="2">
        <v>42096.0</v>
      </c>
      <c r="N695" s="1" t="s">
        <v>187</v>
      </c>
      <c r="O695" s="2">
        <v>42139.0</v>
      </c>
      <c r="P695" s="1">
        <v>233381.0</v>
      </c>
      <c r="Q695" s="1">
        <v>23196.0</v>
      </c>
      <c r="S695" s="1">
        <v>6.0</v>
      </c>
      <c r="T695" s="1" t="s">
        <v>8483</v>
      </c>
      <c r="U695" s="1" t="s">
        <v>464</v>
      </c>
      <c r="V695" s="1" t="s">
        <v>1527</v>
      </c>
      <c r="W695" s="1">
        <v>60543.0</v>
      </c>
      <c r="Y695" s="1" t="s">
        <v>8484</v>
      </c>
      <c r="Z695" s="1">
        <v>1978.0</v>
      </c>
      <c r="AA695" s="1" t="s">
        <v>200</v>
      </c>
      <c r="AB695" s="1" t="s">
        <v>193</v>
      </c>
      <c r="AC695" s="1" t="s">
        <v>8312</v>
      </c>
      <c r="AD695" s="1" t="s">
        <v>1529</v>
      </c>
      <c r="AE695" s="1" t="s">
        <v>849</v>
      </c>
      <c r="AF695" s="1" t="s">
        <v>1529</v>
      </c>
      <c r="AH695" s="1" t="s">
        <v>8485</v>
      </c>
      <c r="AK695" s="1">
        <v>10.0</v>
      </c>
      <c r="AL695" s="1">
        <v>3.0</v>
      </c>
      <c r="AM695" s="1">
        <v>3.0</v>
      </c>
      <c r="AN695" s="1">
        <v>0.0</v>
      </c>
      <c r="AO695" s="1" t="s">
        <v>198</v>
      </c>
      <c r="AQ695" s="1" t="s">
        <v>198</v>
      </c>
      <c r="AR695" s="1" t="s">
        <v>192</v>
      </c>
      <c r="AS695" s="1" t="s">
        <v>199</v>
      </c>
      <c r="AT695" s="1">
        <v>2.0</v>
      </c>
      <c r="AV695" s="1" t="s">
        <v>200</v>
      </c>
      <c r="AW695" s="1">
        <v>6489.0</v>
      </c>
      <c r="AX695" s="1">
        <v>2013.0</v>
      </c>
      <c r="AY695" s="1" t="s">
        <v>387</v>
      </c>
      <c r="AZ695" s="1" t="s">
        <v>200</v>
      </c>
      <c r="BA695" s="1" t="str">
        <f>"0309326003"</f>
        <v>0309326003</v>
      </c>
      <c r="BC695" s="1">
        <v>1824.0</v>
      </c>
      <c r="BD695" s="1">
        <v>184900.0</v>
      </c>
      <c r="BE695" s="2">
        <v>41994.0</v>
      </c>
      <c r="BF695" s="2" t="s">
        <v>8486</v>
      </c>
      <c r="BG695" s="1" t="s">
        <v>4366</v>
      </c>
      <c r="BH695" s="1">
        <v>0.0</v>
      </c>
      <c r="BI695" s="1" t="s">
        <v>1348</v>
      </c>
      <c r="BJ695" s="1" t="s">
        <v>1349</v>
      </c>
      <c r="BK695" s="1" t="s">
        <v>204</v>
      </c>
      <c r="BL695" s="1" t="str">
        <f t="shared" ref="BL695:BM695" si="468">"0"</f>
        <v>0</v>
      </c>
      <c r="BM695" s="1" t="str">
        <f t="shared" si="468"/>
        <v>0</v>
      </c>
      <c r="BN695" s="1">
        <v>0.0</v>
      </c>
      <c r="BO695" s="1">
        <v>0.0</v>
      </c>
      <c r="BQ695" s="1">
        <v>308.0</v>
      </c>
      <c r="BR695" s="1">
        <v>308.0</v>
      </c>
      <c r="BS695" s="1">
        <v>308.0</v>
      </c>
      <c r="BU695" s="1" t="s">
        <v>758</v>
      </c>
      <c r="BV695" s="1" t="s">
        <v>206</v>
      </c>
      <c r="BW695" s="1" t="s">
        <v>210</v>
      </c>
      <c r="BY695" s="1" t="s">
        <v>213</v>
      </c>
      <c r="BZ695" s="1" t="s">
        <v>206</v>
      </c>
      <c r="CA695" s="1" t="s">
        <v>210</v>
      </c>
      <c r="CC695" s="1" t="s">
        <v>211</v>
      </c>
      <c r="CD695" s="1" t="s">
        <v>206</v>
      </c>
      <c r="CE695" s="1" t="s">
        <v>210</v>
      </c>
      <c r="CG695" s="1" t="s">
        <v>699</v>
      </c>
      <c r="CH695" s="1" t="s">
        <v>206</v>
      </c>
      <c r="CI695" s="1" t="s">
        <v>301</v>
      </c>
      <c r="CK695" s="1" t="s">
        <v>495</v>
      </c>
      <c r="CL695" s="1" t="s">
        <v>206</v>
      </c>
      <c r="CM695" s="1" t="s">
        <v>210</v>
      </c>
      <c r="CO695" s="1" t="s">
        <v>329</v>
      </c>
      <c r="CP695" s="1" t="s">
        <v>42</v>
      </c>
      <c r="CQ695" s="1" t="s">
        <v>210</v>
      </c>
      <c r="CS695" s="1" t="s">
        <v>212</v>
      </c>
      <c r="CT695" s="1" t="s">
        <v>206</v>
      </c>
      <c r="CU695" s="1" t="s">
        <v>301</v>
      </c>
      <c r="CW695" s="1" t="s">
        <v>1426</v>
      </c>
      <c r="CX695" s="1" t="s">
        <v>206</v>
      </c>
      <c r="CY695" s="1" t="s">
        <v>210</v>
      </c>
      <c r="DA695" s="1" t="s">
        <v>200</v>
      </c>
      <c r="DC695" s="1" t="s">
        <v>395</v>
      </c>
      <c r="DD695" s="1" t="s">
        <v>396</v>
      </c>
      <c r="DE695" s="1" t="s">
        <v>273</v>
      </c>
      <c r="DF695" s="1" t="s">
        <v>219</v>
      </c>
      <c r="DG695" s="1" t="s">
        <v>482</v>
      </c>
      <c r="DH695" s="1" t="s">
        <v>220</v>
      </c>
      <c r="DI695" s="1" t="s">
        <v>789</v>
      </c>
      <c r="DJ695" s="1" t="s">
        <v>222</v>
      </c>
      <c r="DL695" s="1" t="s">
        <v>858</v>
      </c>
      <c r="DM695" s="1" t="s">
        <v>338</v>
      </c>
      <c r="DN695" s="1" t="s">
        <v>548</v>
      </c>
      <c r="DO695" s="1" t="s">
        <v>440</v>
      </c>
      <c r="DP695" s="1" t="s">
        <v>340</v>
      </c>
      <c r="DQ695" s="1" t="s">
        <v>228</v>
      </c>
      <c r="DR695" s="1" t="s">
        <v>229</v>
      </c>
      <c r="DU695" s="1" t="s">
        <v>442</v>
      </c>
      <c r="DV695" s="1" t="s">
        <v>8487</v>
      </c>
      <c r="DW695" s="1" t="s">
        <v>370</v>
      </c>
      <c r="DX695" s="1" t="s">
        <v>3205</v>
      </c>
      <c r="DY695" s="1" t="s">
        <v>7880</v>
      </c>
      <c r="DZ695" s="1" t="s">
        <v>310</v>
      </c>
      <c r="EA695" s="1" t="s">
        <v>683</v>
      </c>
      <c r="EC695" s="1" t="s">
        <v>685</v>
      </c>
      <c r="ED695" s="1" t="s">
        <v>555</v>
      </c>
      <c r="EG695" s="1" t="s">
        <v>451</v>
      </c>
      <c r="EH695" s="1" t="s">
        <v>1121</v>
      </c>
      <c r="EL695" s="1" t="s">
        <v>1939</v>
      </c>
      <c r="EM695" s="1" t="s">
        <v>42</v>
      </c>
      <c r="EN695" s="1" t="s">
        <v>210</v>
      </c>
      <c r="EP695" s="1" t="s">
        <v>623</v>
      </c>
      <c r="EQ695" s="1" t="s">
        <v>206</v>
      </c>
      <c r="ER695" s="1" t="s">
        <v>210</v>
      </c>
      <c r="EU695" s="1" t="s">
        <v>238</v>
      </c>
      <c r="EY695" s="1" t="s">
        <v>238</v>
      </c>
      <c r="FC695" s="1" t="s">
        <v>238</v>
      </c>
      <c r="FF695" s="1" t="s">
        <v>239</v>
      </c>
      <c r="FG695" s="1" t="s">
        <v>192</v>
      </c>
      <c r="FH695" s="1" t="s">
        <v>192</v>
      </c>
      <c r="FJ695" s="1" t="s">
        <v>770</v>
      </c>
      <c r="FK695" s="1" t="s">
        <v>229</v>
      </c>
      <c r="FL695" s="1" t="s">
        <v>525</v>
      </c>
      <c r="FM695" s="1">
        <v>22029.0</v>
      </c>
      <c r="FN695" s="1" t="s">
        <v>526</v>
      </c>
      <c r="FO695" s="1" t="s">
        <v>1842</v>
      </c>
      <c r="FP695" s="1">
        <v>231272.0</v>
      </c>
      <c r="FQ695" s="1" t="s">
        <v>1843</v>
      </c>
      <c r="FS695" s="1" t="s">
        <v>1844</v>
      </c>
      <c r="FU695" s="1" t="s">
        <v>8488</v>
      </c>
      <c r="FV695" s="1" t="s">
        <v>200</v>
      </c>
      <c r="FW695" s="1" t="s">
        <v>290</v>
      </c>
      <c r="FZ695" s="1" t="s">
        <v>632</v>
      </c>
      <c r="GA695" s="1" t="s">
        <v>291</v>
      </c>
      <c r="GB695" s="2">
        <v>42139.0</v>
      </c>
      <c r="GC695" s="1" t="s">
        <v>8489</v>
      </c>
    </row>
    <row r="696">
      <c r="A696" s="1">
        <v>113000.0</v>
      </c>
      <c r="B696" s="1" t="s">
        <v>185</v>
      </c>
      <c r="C696" s="1" t="str">
        <f>"08803829"</f>
        <v>08803829</v>
      </c>
      <c r="D696" s="1" t="s">
        <v>186</v>
      </c>
      <c r="F696" s="1" t="str">
        <f t="shared" ref="F696:F697" si="469">"8043"</f>
        <v>8043</v>
      </c>
      <c r="G696" s="2">
        <v>41991.0</v>
      </c>
      <c r="H696" s="1">
        <v>129900.0</v>
      </c>
      <c r="I696" s="1">
        <v>193.0</v>
      </c>
      <c r="J696" s="1">
        <v>119900.0</v>
      </c>
      <c r="K696" s="2">
        <v>42044.0</v>
      </c>
      <c r="L696" s="1">
        <v>54.0</v>
      </c>
      <c r="M696" s="2">
        <v>42044.0</v>
      </c>
      <c r="N696" s="1" t="s">
        <v>187</v>
      </c>
      <c r="O696" s="2">
        <v>42104.0</v>
      </c>
      <c r="P696" s="1">
        <v>183237.0</v>
      </c>
      <c r="Q696" s="1">
        <v>84591.0</v>
      </c>
      <c r="R696" s="1">
        <v>2260.0</v>
      </c>
      <c r="S696" s="1">
        <v>2469.0</v>
      </c>
      <c r="T696" s="1" t="s">
        <v>8490</v>
      </c>
      <c r="U696" s="1" t="s">
        <v>694</v>
      </c>
      <c r="V696" s="1" t="s">
        <v>190</v>
      </c>
      <c r="W696" s="1">
        <v>60649.0</v>
      </c>
      <c r="Y696" s="1" t="s">
        <v>8491</v>
      </c>
      <c r="Z696" s="1" t="s">
        <v>296</v>
      </c>
      <c r="AA696" s="1" t="s">
        <v>192</v>
      </c>
      <c r="AB696" s="1" t="s">
        <v>193</v>
      </c>
      <c r="AD696" s="1" t="s">
        <v>194</v>
      </c>
      <c r="AE696" s="1" t="s">
        <v>195</v>
      </c>
      <c r="AF696" s="1" t="s">
        <v>637</v>
      </c>
      <c r="AH696" s="1" t="s">
        <v>2080</v>
      </c>
      <c r="AI696" s="1">
        <v>0.1354</v>
      </c>
      <c r="AK696" s="1">
        <v>9.0</v>
      </c>
      <c r="AL696" s="1">
        <v>4.0</v>
      </c>
      <c r="AM696" s="1">
        <v>2.0</v>
      </c>
      <c r="AN696" s="1">
        <v>0.0</v>
      </c>
      <c r="AO696" s="1" t="s">
        <v>229</v>
      </c>
      <c r="AP696" s="1">
        <v>1.0</v>
      </c>
      <c r="AQ696" s="1" t="s">
        <v>198</v>
      </c>
      <c r="AR696" s="1" t="s">
        <v>200</v>
      </c>
      <c r="AS696" s="1" t="s">
        <v>828</v>
      </c>
      <c r="AU696" s="1">
        <v>2.0</v>
      </c>
      <c r="AV696" s="1" t="s">
        <v>200</v>
      </c>
      <c r="AW696" s="1">
        <v>2037.99</v>
      </c>
      <c r="AX696" s="1">
        <v>2013.0</v>
      </c>
      <c r="AZ696" s="1" t="s">
        <v>200</v>
      </c>
      <c r="BA696" s="1" t="str">
        <f>"21301170080000"</f>
        <v>21301170080000</v>
      </c>
      <c r="BC696" s="1">
        <v>2000.0</v>
      </c>
      <c r="BD696" s="1">
        <v>113000.0</v>
      </c>
      <c r="BE696" s="2">
        <v>41991.0</v>
      </c>
      <c r="BF696" s="2" t="s">
        <v>8492</v>
      </c>
      <c r="BH696" s="1">
        <v>0.0</v>
      </c>
      <c r="BK696" s="1" t="s">
        <v>204</v>
      </c>
      <c r="BL696" s="1" t="str">
        <f t="shared" ref="BL696:BL699" si="470">"0"</f>
        <v>0</v>
      </c>
      <c r="BM696" s="1" t="str">
        <f>"2469"</f>
        <v>2469</v>
      </c>
      <c r="BN696" s="1">
        <v>0.0</v>
      </c>
      <c r="BO696" s="1">
        <v>7400.0</v>
      </c>
      <c r="BQ696" s="1">
        <v>299.0</v>
      </c>
      <c r="BR696" s="1">
        <v>299.0</v>
      </c>
      <c r="BS696" s="1">
        <v>299.0</v>
      </c>
      <c r="BU696" s="1" t="s">
        <v>1891</v>
      </c>
      <c r="BV696" s="1" t="s">
        <v>206</v>
      </c>
      <c r="BW696" s="1" t="s">
        <v>207</v>
      </c>
      <c r="BY696" s="1" t="s">
        <v>2181</v>
      </c>
      <c r="BZ696" s="1" t="s">
        <v>209</v>
      </c>
      <c r="CA696" s="1" t="s">
        <v>207</v>
      </c>
      <c r="CC696" s="1" t="s">
        <v>454</v>
      </c>
      <c r="CD696" s="1" t="s">
        <v>206</v>
      </c>
      <c r="CE696" s="1" t="s">
        <v>207</v>
      </c>
      <c r="CG696" s="1" t="s">
        <v>433</v>
      </c>
      <c r="CH696" s="1" t="s">
        <v>206</v>
      </c>
      <c r="CI696" s="1" t="s">
        <v>207</v>
      </c>
      <c r="CK696" s="1" t="s">
        <v>363</v>
      </c>
      <c r="CL696" s="1" t="s">
        <v>206</v>
      </c>
      <c r="CM696" s="1" t="s">
        <v>207</v>
      </c>
      <c r="CO696" s="1" t="s">
        <v>1426</v>
      </c>
      <c r="CP696" s="1" t="s">
        <v>209</v>
      </c>
      <c r="CQ696" s="1" t="s">
        <v>207</v>
      </c>
      <c r="CS696" s="1" t="s">
        <v>211</v>
      </c>
      <c r="CT696" s="1" t="s">
        <v>206</v>
      </c>
      <c r="CU696" s="1" t="s">
        <v>268</v>
      </c>
      <c r="CW696" s="1" t="s">
        <v>2613</v>
      </c>
      <c r="CX696" s="1" t="s">
        <v>206</v>
      </c>
      <c r="CY696" s="1" t="s">
        <v>207</v>
      </c>
      <c r="DA696" s="1" t="s">
        <v>200</v>
      </c>
      <c r="DC696" s="1" t="s">
        <v>216</v>
      </c>
      <c r="DD696" s="1" t="s">
        <v>518</v>
      </c>
      <c r="DE696" s="1" t="s">
        <v>273</v>
      </c>
      <c r="DF696" s="1" t="s">
        <v>619</v>
      </c>
      <c r="DH696" s="1" t="s">
        <v>220</v>
      </c>
      <c r="DI696" s="1" t="s">
        <v>308</v>
      </c>
      <c r="DJ696" s="1" t="s">
        <v>222</v>
      </c>
      <c r="DL696" s="1" t="s">
        <v>858</v>
      </c>
      <c r="DM696" s="1" t="s">
        <v>229</v>
      </c>
      <c r="DP696" s="1" t="s">
        <v>340</v>
      </c>
      <c r="DQ696" s="1" t="s">
        <v>228</v>
      </c>
      <c r="DR696" s="1" t="s">
        <v>229</v>
      </c>
      <c r="DV696" s="1" t="s">
        <v>598</v>
      </c>
      <c r="DW696" s="1" t="s">
        <v>279</v>
      </c>
      <c r="DX696" s="1" t="s">
        <v>234</v>
      </c>
      <c r="DY696" s="1" t="s">
        <v>704</v>
      </c>
      <c r="EA696" s="1" t="s">
        <v>644</v>
      </c>
      <c r="EC696" s="1" t="s">
        <v>237</v>
      </c>
      <c r="EG696" s="1" t="s">
        <v>598</v>
      </c>
      <c r="EL696" s="1" t="s">
        <v>1696</v>
      </c>
      <c r="EM696" s="1" t="s">
        <v>206</v>
      </c>
      <c r="EN696" s="1" t="s">
        <v>207</v>
      </c>
      <c r="EQ696" s="1" t="s">
        <v>238</v>
      </c>
      <c r="EU696" s="1" t="s">
        <v>238</v>
      </c>
      <c r="EY696" s="1" t="s">
        <v>238</v>
      </c>
      <c r="FC696" s="1" t="s">
        <v>238</v>
      </c>
      <c r="FF696" s="1" t="s">
        <v>239</v>
      </c>
      <c r="FG696" s="1" t="s">
        <v>192</v>
      </c>
      <c r="FH696" s="1" t="s">
        <v>192</v>
      </c>
      <c r="FJ696" s="1" t="s">
        <v>2552</v>
      </c>
      <c r="FK696" s="1" t="s">
        <v>229</v>
      </c>
      <c r="FL696" s="1" t="s">
        <v>2718</v>
      </c>
      <c r="FM696" s="1">
        <v>61080.0</v>
      </c>
      <c r="FN696" s="1" t="s">
        <v>2719</v>
      </c>
      <c r="FO696" s="1" t="s">
        <v>2720</v>
      </c>
      <c r="FP696" s="1">
        <v>506455.0</v>
      </c>
      <c r="FQ696" s="1" t="s">
        <v>2721</v>
      </c>
      <c r="FU696" s="1" t="s">
        <v>2722</v>
      </c>
      <c r="FV696" s="1" t="s">
        <v>200</v>
      </c>
      <c r="FW696" s="1" t="s">
        <v>290</v>
      </c>
      <c r="FX696" s="1" t="s">
        <v>1739</v>
      </c>
      <c r="FZ696" s="1" t="s">
        <v>229</v>
      </c>
      <c r="GA696" s="1" t="s">
        <v>291</v>
      </c>
      <c r="GB696" s="2">
        <v>42107.0</v>
      </c>
      <c r="GC696" s="1" t="s">
        <v>8493</v>
      </c>
    </row>
    <row r="697">
      <c r="A697" s="1">
        <v>242000.0</v>
      </c>
      <c r="B697" s="1" t="s">
        <v>185</v>
      </c>
      <c r="C697" s="1" t="str">
        <f>"08803958"</f>
        <v>08803958</v>
      </c>
      <c r="D697" s="1" t="s">
        <v>186</v>
      </c>
      <c r="F697" s="1" t="str">
        <f t="shared" si="469"/>
        <v>8043</v>
      </c>
      <c r="G697" s="2">
        <v>41991.0</v>
      </c>
      <c r="H697" s="1">
        <v>309900.0</v>
      </c>
      <c r="I697" s="1">
        <v>92.0</v>
      </c>
      <c r="J697" s="1">
        <v>309900.0</v>
      </c>
      <c r="K697" s="2">
        <v>42018.0</v>
      </c>
      <c r="L697" s="1">
        <v>28.0</v>
      </c>
      <c r="M697" s="2">
        <v>42018.0</v>
      </c>
      <c r="N697" s="1" t="s">
        <v>187</v>
      </c>
      <c r="O697" s="2">
        <v>42094.0</v>
      </c>
      <c r="P697" s="1">
        <v>55552.0</v>
      </c>
      <c r="Q697" s="1">
        <v>5085.0</v>
      </c>
      <c r="S697" s="1">
        <v>7158.0</v>
      </c>
      <c r="T697" s="1" t="s">
        <v>8494</v>
      </c>
      <c r="U697" s="1" t="s">
        <v>189</v>
      </c>
      <c r="V697" s="1" t="s">
        <v>190</v>
      </c>
      <c r="W697" s="1">
        <v>60649.0</v>
      </c>
      <c r="Y697" s="1" t="s">
        <v>8495</v>
      </c>
      <c r="Z697" s="1">
        <v>1905.0</v>
      </c>
      <c r="AA697" s="1" t="s">
        <v>192</v>
      </c>
      <c r="AB697" s="1" t="s">
        <v>193</v>
      </c>
      <c r="AD697" s="1" t="s">
        <v>194</v>
      </c>
      <c r="AE697" s="1" t="s">
        <v>195</v>
      </c>
      <c r="AF697" s="1" t="s">
        <v>637</v>
      </c>
      <c r="AH697" s="1" t="s">
        <v>741</v>
      </c>
      <c r="AI697" s="1">
        <v>0.1722</v>
      </c>
      <c r="AK697" s="1">
        <v>11.0</v>
      </c>
      <c r="AL697" s="1">
        <v>4.0</v>
      </c>
      <c r="AM697" s="1">
        <v>3.0</v>
      </c>
      <c r="AN697" s="1">
        <v>1.0</v>
      </c>
      <c r="AO697" s="1" t="s">
        <v>198</v>
      </c>
      <c r="AP697" s="1">
        <v>2.0</v>
      </c>
      <c r="AQ697" s="1" t="s">
        <v>198</v>
      </c>
      <c r="AR697" s="1" t="s">
        <v>192</v>
      </c>
      <c r="AS697" s="1" t="s">
        <v>510</v>
      </c>
      <c r="AT697" s="1">
        <v>1.0</v>
      </c>
      <c r="AU697" s="1">
        <v>2.0</v>
      </c>
      <c r="AV697" s="1" t="s">
        <v>200</v>
      </c>
      <c r="AW697" s="1">
        <v>4246.94</v>
      </c>
      <c r="AX697" s="1">
        <v>2012.0</v>
      </c>
      <c r="AY697" s="1" t="s">
        <v>387</v>
      </c>
      <c r="AZ697" s="1" t="s">
        <v>200</v>
      </c>
      <c r="BA697" s="1" t="str">
        <f>"20252020210000"</f>
        <v>20252020210000</v>
      </c>
      <c r="BB697" s="1" t="s">
        <v>200</v>
      </c>
      <c r="BC697" s="1">
        <v>5000.0</v>
      </c>
      <c r="BD697" s="1">
        <v>242000.0</v>
      </c>
      <c r="BE697" s="2">
        <v>41991.0</v>
      </c>
      <c r="BF697" s="2" t="s">
        <v>8496</v>
      </c>
      <c r="BH697" s="1">
        <v>0.0</v>
      </c>
      <c r="BK697" s="1" t="s">
        <v>204</v>
      </c>
      <c r="BL697" s="1" t="str">
        <f t="shared" si="470"/>
        <v>0</v>
      </c>
      <c r="BM697" s="1" t="str">
        <f>"2250"</f>
        <v>2250</v>
      </c>
      <c r="BN697" s="1">
        <v>0.0</v>
      </c>
      <c r="BO697" s="1">
        <v>7158.0</v>
      </c>
      <c r="BQ697" s="1">
        <v>299.0</v>
      </c>
      <c r="BR697" s="1">
        <v>299.0</v>
      </c>
      <c r="BS697" s="1">
        <v>299.0</v>
      </c>
      <c r="BU697" s="1" t="s">
        <v>1623</v>
      </c>
      <c r="BV697" s="1" t="s">
        <v>206</v>
      </c>
      <c r="BW697" s="1" t="s">
        <v>207</v>
      </c>
      <c r="BY697" s="1" t="s">
        <v>1623</v>
      </c>
      <c r="BZ697" s="1" t="s">
        <v>209</v>
      </c>
      <c r="CA697" s="1" t="s">
        <v>207</v>
      </c>
      <c r="CC697" s="1" t="s">
        <v>1483</v>
      </c>
      <c r="CD697" s="1" t="s">
        <v>206</v>
      </c>
      <c r="CE697" s="1" t="s">
        <v>8497</v>
      </c>
      <c r="CF697" s="1" t="s">
        <v>431</v>
      </c>
      <c r="CG697" s="1" t="s">
        <v>743</v>
      </c>
      <c r="CH697" s="1" t="s">
        <v>209</v>
      </c>
      <c r="CI697" s="1" t="s">
        <v>207</v>
      </c>
      <c r="CJ697" s="1" t="s">
        <v>431</v>
      </c>
      <c r="CK697" s="1" t="s">
        <v>215</v>
      </c>
      <c r="CL697" s="1" t="s">
        <v>209</v>
      </c>
      <c r="CM697" s="1" t="s">
        <v>207</v>
      </c>
      <c r="CN697" s="1" t="s">
        <v>239</v>
      </c>
      <c r="CO697" s="1" t="s">
        <v>362</v>
      </c>
      <c r="CP697" s="1" t="s">
        <v>206</v>
      </c>
      <c r="CQ697" s="1" t="s">
        <v>207</v>
      </c>
      <c r="CR697" s="1" t="s">
        <v>431</v>
      </c>
      <c r="CS697" s="1" t="s">
        <v>392</v>
      </c>
      <c r="CT697" s="1" t="s">
        <v>206</v>
      </c>
      <c r="CU697" s="1" t="s">
        <v>268</v>
      </c>
      <c r="CV697" s="1" t="s">
        <v>431</v>
      </c>
      <c r="CW697" s="1" t="s">
        <v>3092</v>
      </c>
      <c r="CX697" s="1" t="s">
        <v>42</v>
      </c>
      <c r="CY697" s="1" t="s">
        <v>268</v>
      </c>
      <c r="DA697" s="1" t="s">
        <v>200</v>
      </c>
      <c r="DC697" s="1" t="s">
        <v>642</v>
      </c>
      <c r="DE697" s="1" t="s">
        <v>218</v>
      </c>
      <c r="DF697" s="1" t="s">
        <v>219</v>
      </c>
      <c r="DG697" s="1" t="s">
        <v>2311</v>
      </c>
      <c r="DH697" s="1" t="s">
        <v>307</v>
      </c>
      <c r="DI697" s="1" t="s">
        <v>1070</v>
      </c>
      <c r="DJ697" s="1" t="s">
        <v>222</v>
      </c>
      <c r="DL697" s="1" t="s">
        <v>1161</v>
      </c>
      <c r="DM697" s="1" t="s">
        <v>1919</v>
      </c>
      <c r="DN697" s="1" t="s">
        <v>6558</v>
      </c>
      <c r="DP697" s="1" t="s">
        <v>340</v>
      </c>
      <c r="DQ697" s="1" t="s">
        <v>228</v>
      </c>
      <c r="DR697" s="1" t="s">
        <v>229</v>
      </c>
      <c r="DS697" s="1" t="s">
        <v>368</v>
      </c>
      <c r="DU697" s="1" t="s">
        <v>3591</v>
      </c>
      <c r="DV697" s="1" t="s">
        <v>8498</v>
      </c>
      <c r="DW697" s="1" t="s">
        <v>279</v>
      </c>
      <c r="DX697" s="1" t="s">
        <v>234</v>
      </c>
      <c r="DY697" s="1" t="s">
        <v>8499</v>
      </c>
      <c r="EB697" s="1" t="s">
        <v>4251</v>
      </c>
      <c r="EC697" s="1" t="s">
        <v>237</v>
      </c>
      <c r="ED697" s="1" t="s">
        <v>1406</v>
      </c>
      <c r="EF697" s="1" t="s">
        <v>8500</v>
      </c>
      <c r="EG697" s="1" t="s">
        <v>2023</v>
      </c>
      <c r="EH697" s="1" t="s">
        <v>556</v>
      </c>
      <c r="EI697" s="1" t="s">
        <v>598</v>
      </c>
      <c r="EL697" s="1" t="s">
        <v>743</v>
      </c>
      <c r="EM697" s="1" t="s">
        <v>42</v>
      </c>
      <c r="EN697" s="1" t="s">
        <v>268</v>
      </c>
      <c r="EP697" s="1" t="s">
        <v>363</v>
      </c>
      <c r="EQ697" s="1" t="s">
        <v>206</v>
      </c>
      <c r="ER697" s="1" t="s">
        <v>268</v>
      </c>
      <c r="ES697" s="1" t="s">
        <v>431</v>
      </c>
      <c r="ET697" s="1" t="s">
        <v>1117</v>
      </c>
      <c r="EU697" s="1" t="s">
        <v>42</v>
      </c>
      <c r="EV697" s="1" t="s">
        <v>268</v>
      </c>
      <c r="EY697" s="1" t="s">
        <v>238</v>
      </c>
      <c r="FC697" s="1" t="s">
        <v>238</v>
      </c>
      <c r="FF697" s="1" t="s">
        <v>239</v>
      </c>
      <c r="FG697" s="1" t="s">
        <v>200</v>
      </c>
      <c r="FH697" s="1" t="s">
        <v>192</v>
      </c>
      <c r="FJ697" s="1" t="s">
        <v>8501</v>
      </c>
      <c r="FK697" s="1" t="s">
        <v>1586</v>
      </c>
      <c r="FL697" s="1" t="s">
        <v>7669</v>
      </c>
      <c r="FM697" s="1">
        <v>5085.0</v>
      </c>
      <c r="FN697" s="1" t="s">
        <v>7670</v>
      </c>
      <c r="FO697" s="1" t="s">
        <v>8502</v>
      </c>
      <c r="FP697" s="1">
        <v>55552.0</v>
      </c>
      <c r="FQ697" s="1" t="s">
        <v>8503</v>
      </c>
      <c r="FU697" s="1" t="s">
        <v>6077</v>
      </c>
      <c r="FV697" s="1" t="s">
        <v>192</v>
      </c>
      <c r="FW697" s="1" t="s">
        <v>290</v>
      </c>
      <c r="FX697" s="1" t="s">
        <v>655</v>
      </c>
      <c r="FZ697" s="1" t="s">
        <v>2993</v>
      </c>
      <c r="GA697" s="1" t="s">
        <v>291</v>
      </c>
      <c r="GB697" s="2">
        <v>42095.0</v>
      </c>
      <c r="GC697" s="2" t="s">
        <v>8504</v>
      </c>
    </row>
    <row r="698">
      <c r="A698" s="1">
        <v>205000.0</v>
      </c>
      <c r="B698" s="1" t="s">
        <v>185</v>
      </c>
      <c r="C698" s="1" t="str">
        <f>"08801832"</f>
        <v>08801832</v>
      </c>
      <c r="D698" s="1" t="s">
        <v>186</v>
      </c>
      <c r="F698" s="1" t="str">
        <f t="shared" ref="F698:F699" si="471">"8070"</f>
        <v>8070</v>
      </c>
      <c r="G698" s="2">
        <v>41986.0</v>
      </c>
      <c r="H698" s="1">
        <v>245000.0</v>
      </c>
      <c r="I698" s="1">
        <v>1.0</v>
      </c>
      <c r="J698" s="1">
        <v>245000.0</v>
      </c>
      <c r="K698" s="2">
        <v>41986.0</v>
      </c>
      <c r="L698" s="1">
        <v>1.0</v>
      </c>
      <c r="M698" s="2">
        <v>41986.0</v>
      </c>
      <c r="N698" s="1" t="s">
        <v>356</v>
      </c>
      <c r="O698" s="2">
        <v>41988.0</v>
      </c>
      <c r="P698" s="1">
        <v>99999.0</v>
      </c>
      <c r="Q698" s="1" t="s">
        <v>947</v>
      </c>
      <c r="S698" s="1">
        <v>8238.0</v>
      </c>
      <c r="T698" s="1" t="s">
        <v>8505</v>
      </c>
      <c r="U698" s="1" t="s">
        <v>320</v>
      </c>
      <c r="V698" s="1" t="s">
        <v>190</v>
      </c>
      <c r="W698" s="1">
        <v>60652.0</v>
      </c>
      <c r="Y698" s="1" t="s">
        <v>8506</v>
      </c>
      <c r="Z698" s="1">
        <v>1962.0</v>
      </c>
      <c r="AA698" s="1" t="s">
        <v>192</v>
      </c>
      <c r="AB698" s="1" t="s">
        <v>193</v>
      </c>
      <c r="AC698" s="1" t="s">
        <v>8507</v>
      </c>
      <c r="AD698" s="1" t="s">
        <v>194</v>
      </c>
      <c r="AE698" s="1" t="s">
        <v>195</v>
      </c>
      <c r="AF698" s="1" t="s">
        <v>1154</v>
      </c>
      <c r="AG698" s="1" t="s">
        <v>1132</v>
      </c>
      <c r="AH698" s="1" t="s">
        <v>779</v>
      </c>
      <c r="AK698" s="1">
        <v>8.0</v>
      </c>
      <c r="AL698" s="1">
        <v>3.0</v>
      </c>
      <c r="AM698" s="1">
        <v>2.0</v>
      </c>
      <c r="AN698" s="1">
        <v>0.0</v>
      </c>
      <c r="AO698" s="1" t="s">
        <v>229</v>
      </c>
      <c r="AQ698" s="1" t="s">
        <v>198</v>
      </c>
      <c r="AR698" s="1" t="s">
        <v>192</v>
      </c>
      <c r="AS698" s="1" t="s">
        <v>199</v>
      </c>
      <c r="AT698" s="1">
        <v>2.0</v>
      </c>
      <c r="AV698" s="1" t="s">
        <v>200</v>
      </c>
      <c r="AW698" s="1">
        <v>1870.93</v>
      </c>
      <c r="AX698" s="1">
        <v>2013.0</v>
      </c>
      <c r="AY698" s="1" t="s">
        <v>387</v>
      </c>
      <c r="AZ698" s="1" t="s">
        <v>200</v>
      </c>
      <c r="BA698" s="1" t="str">
        <f>"19361300890000"</f>
        <v>19361300890000</v>
      </c>
      <c r="BC698" s="1">
        <v>1152.0</v>
      </c>
      <c r="BD698" s="1">
        <v>205000.0</v>
      </c>
      <c r="BE698" s="2">
        <v>41986.0</v>
      </c>
      <c r="BF698" s="1" t="s">
        <v>8508</v>
      </c>
      <c r="BH698" s="1">
        <v>0.0</v>
      </c>
      <c r="BK698" s="1" t="s">
        <v>204</v>
      </c>
      <c r="BL698" s="1" t="str">
        <f t="shared" si="470"/>
        <v>0</v>
      </c>
      <c r="BM698" s="1" t="str">
        <f t="shared" ref="BM698:BM702" si="472">"0"</f>
        <v>0</v>
      </c>
      <c r="BN698" s="1">
        <v>2900.0</v>
      </c>
      <c r="BO698" s="1">
        <v>8200.0</v>
      </c>
      <c r="BQ698" s="1">
        <v>299.0</v>
      </c>
      <c r="BR698" s="1">
        <v>299.0</v>
      </c>
      <c r="BS698" s="1">
        <v>299.0</v>
      </c>
      <c r="BU698" s="1" t="s">
        <v>1397</v>
      </c>
      <c r="BV698" s="1" t="s">
        <v>206</v>
      </c>
      <c r="BW698" s="1" t="s">
        <v>207</v>
      </c>
      <c r="BX698" s="1" t="s">
        <v>239</v>
      </c>
      <c r="BY698" s="1" t="s">
        <v>264</v>
      </c>
      <c r="BZ698" s="1" t="s">
        <v>206</v>
      </c>
      <c r="CA698" s="1" t="s">
        <v>207</v>
      </c>
      <c r="CB698" s="1" t="s">
        <v>261</v>
      </c>
      <c r="CD698" s="1" t="s">
        <v>204</v>
      </c>
      <c r="CG698" s="1" t="s">
        <v>495</v>
      </c>
      <c r="CH698" s="1" t="s">
        <v>206</v>
      </c>
      <c r="CI698" s="1" t="s">
        <v>207</v>
      </c>
      <c r="CJ698" s="1" t="s">
        <v>261</v>
      </c>
      <c r="CK698" s="1" t="s">
        <v>8509</v>
      </c>
      <c r="CL698" s="1" t="s">
        <v>206</v>
      </c>
      <c r="CM698" s="1" t="s">
        <v>207</v>
      </c>
      <c r="CO698" s="1" t="s">
        <v>699</v>
      </c>
      <c r="CP698" s="1" t="s">
        <v>42</v>
      </c>
      <c r="CQ698" s="1" t="s">
        <v>268</v>
      </c>
      <c r="CS698" s="1" t="s">
        <v>3375</v>
      </c>
      <c r="CT698" s="1" t="s">
        <v>206</v>
      </c>
      <c r="CU698" s="1" t="s">
        <v>268</v>
      </c>
      <c r="CV698" s="1" t="s">
        <v>261</v>
      </c>
      <c r="CW698" s="1" t="s">
        <v>8510</v>
      </c>
      <c r="CX698" s="1" t="s">
        <v>42</v>
      </c>
      <c r="CY698" s="1" t="s">
        <v>268</v>
      </c>
      <c r="CZ698" s="1" t="s">
        <v>431</v>
      </c>
      <c r="DA698" s="1" t="s">
        <v>200</v>
      </c>
      <c r="DC698" s="1" t="s">
        <v>271</v>
      </c>
      <c r="DE698" s="1" t="s">
        <v>273</v>
      </c>
      <c r="DF698" s="1" t="s">
        <v>619</v>
      </c>
      <c r="DH698" s="1" t="s">
        <v>365</v>
      </c>
      <c r="DJ698" s="1" t="s">
        <v>222</v>
      </c>
      <c r="DL698" s="1" t="s">
        <v>224</v>
      </c>
      <c r="DM698" s="1" t="s">
        <v>229</v>
      </c>
      <c r="DN698" s="1" t="s">
        <v>666</v>
      </c>
      <c r="DO698" s="1" t="s">
        <v>549</v>
      </c>
      <c r="DQ698" s="1" t="s">
        <v>228</v>
      </c>
      <c r="DR698" s="1" t="s">
        <v>229</v>
      </c>
      <c r="DS698" s="1" t="s">
        <v>230</v>
      </c>
      <c r="DV698" s="1" t="s">
        <v>8511</v>
      </c>
      <c r="DW698" s="1" t="s">
        <v>279</v>
      </c>
      <c r="DX698" s="1" t="s">
        <v>234</v>
      </c>
      <c r="EA698" s="1" t="s">
        <v>683</v>
      </c>
      <c r="EC698" s="1" t="s">
        <v>685</v>
      </c>
      <c r="ED698" s="1" t="s">
        <v>555</v>
      </c>
      <c r="EE698" s="1" t="s">
        <v>493</v>
      </c>
      <c r="EG698" s="1" t="s">
        <v>598</v>
      </c>
      <c r="EH698" s="1" t="s">
        <v>1103</v>
      </c>
      <c r="EL698" s="1" t="s">
        <v>8512</v>
      </c>
      <c r="EM698" s="1" t="s">
        <v>42</v>
      </c>
      <c r="EN698" s="1" t="s">
        <v>268</v>
      </c>
      <c r="EO698" s="1" t="s">
        <v>431</v>
      </c>
      <c r="EP698" s="1" t="s">
        <v>8513</v>
      </c>
      <c r="EQ698" s="1" t="s">
        <v>42</v>
      </c>
      <c r="ER698" s="1" t="s">
        <v>2128</v>
      </c>
      <c r="ES698" s="1" t="s">
        <v>229</v>
      </c>
      <c r="EU698" s="1" t="s">
        <v>238</v>
      </c>
      <c r="EY698" s="1" t="s">
        <v>238</v>
      </c>
      <c r="FC698" s="1" t="s">
        <v>238</v>
      </c>
      <c r="FF698" s="1" t="s">
        <v>229</v>
      </c>
      <c r="FG698" s="1" t="s">
        <v>200</v>
      </c>
      <c r="FH698" s="1" t="s">
        <v>200</v>
      </c>
      <c r="FJ698" s="1" t="s">
        <v>8514</v>
      </c>
      <c r="FK698" s="1" t="s">
        <v>229</v>
      </c>
      <c r="FL698" s="1" t="s">
        <v>2037</v>
      </c>
      <c r="FM698" s="1">
        <v>24706.0</v>
      </c>
      <c r="FN698" s="1" t="s">
        <v>4240</v>
      </c>
      <c r="FO698" s="1" t="s">
        <v>8515</v>
      </c>
      <c r="FP698" s="1">
        <v>237922.0</v>
      </c>
      <c r="FU698" s="1" t="s">
        <v>871</v>
      </c>
      <c r="FV698" s="1" t="s">
        <v>200</v>
      </c>
      <c r="FW698" s="1" t="s">
        <v>1293</v>
      </c>
      <c r="FX698" s="1" t="s">
        <v>655</v>
      </c>
      <c r="FZ698" s="1" t="s">
        <v>229</v>
      </c>
      <c r="GA698" s="1" t="s">
        <v>291</v>
      </c>
      <c r="GB698" s="2">
        <v>41995.0</v>
      </c>
    </row>
    <row r="699">
      <c r="A699" s="1">
        <v>63000.0</v>
      </c>
      <c r="B699" s="1" t="s">
        <v>185</v>
      </c>
      <c r="C699" s="1" t="str">
        <f>"08806882"</f>
        <v>08806882</v>
      </c>
      <c r="D699" s="1" t="s">
        <v>186</v>
      </c>
      <c r="F699" s="1" t="str">
        <f t="shared" si="471"/>
        <v>8070</v>
      </c>
      <c r="G699" s="2">
        <v>42002.0</v>
      </c>
      <c r="H699" s="1">
        <v>56900.0</v>
      </c>
      <c r="I699" s="1">
        <v>36.0</v>
      </c>
      <c r="J699" s="1">
        <v>56900.0</v>
      </c>
      <c r="K699" s="2">
        <v>42037.0</v>
      </c>
      <c r="L699" s="1">
        <v>36.0</v>
      </c>
      <c r="M699" s="2">
        <v>42037.0</v>
      </c>
      <c r="N699" s="1" t="s">
        <v>249</v>
      </c>
      <c r="O699" s="2">
        <v>42068.0</v>
      </c>
      <c r="P699" s="1">
        <v>143128.0</v>
      </c>
      <c r="Q699" s="1">
        <v>16278.0</v>
      </c>
      <c r="S699" s="1">
        <v>8114.0</v>
      </c>
      <c r="T699" s="1" t="s">
        <v>1422</v>
      </c>
      <c r="U699" s="1" t="s">
        <v>189</v>
      </c>
      <c r="V699" s="1" t="s">
        <v>190</v>
      </c>
      <c r="W699" s="1">
        <v>60652.0</v>
      </c>
      <c r="Y699" s="1" t="s">
        <v>8516</v>
      </c>
      <c r="Z699" s="1">
        <v>1943.0</v>
      </c>
      <c r="AA699" s="1" t="s">
        <v>192</v>
      </c>
      <c r="AB699" s="1" t="s">
        <v>193</v>
      </c>
      <c r="AD699" s="1" t="s">
        <v>194</v>
      </c>
      <c r="AE699" s="1" t="s">
        <v>195</v>
      </c>
      <c r="AF699" s="1" t="s">
        <v>659</v>
      </c>
      <c r="AH699" s="1">
        <v>5000.0</v>
      </c>
      <c r="AI699" s="1">
        <v>0.1148</v>
      </c>
      <c r="AK699" s="1">
        <v>7.0</v>
      </c>
      <c r="AL699" s="1">
        <v>4.0</v>
      </c>
      <c r="AM699" s="1">
        <v>2.0</v>
      </c>
      <c r="AN699" s="1">
        <v>0.0</v>
      </c>
      <c r="AO699" s="1" t="s">
        <v>229</v>
      </c>
      <c r="AQ699" s="1" t="s">
        <v>198</v>
      </c>
      <c r="AR699" s="1" t="s">
        <v>200</v>
      </c>
      <c r="AS699" s="1" t="s">
        <v>199</v>
      </c>
      <c r="AT699" s="1">
        <v>2.0</v>
      </c>
      <c r="AV699" s="1" t="s">
        <v>200</v>
      </c>
      <c r="AW699" s="1">
        <v>2456.59</v>
      </c>
      <c r="AX699" s="1">
        <v>2012.0</v>
      </c>
      <c r="AZ699" s="1" t="s">
        <v>200</v>
      </c>
      <c r="BA699" s="1" t="str">
        <f>"19362190270000"</f>
        <v>19362190270000</v>
      </c>
      <c r="BC699" s="1">
        <v>1771.0</v>
      </c>
      <c r="BD699" s="1">
        <v>63000.0</v>
      </c>
      <c r="BE699" s="2">
        <v>42002.0</v>
      </c>
      <c r="BF699" s="1" t="s">
        <v>8517</v>
      </c>
      <c r="BH699" s="1">
        <v>0.0</v>
      </c>
      <c r="BK699" s="1" t="s">
        <v>204</v>
      </c>
      <c r="BL699" s="1" t="str">
        <f t="shared" si="470"/>
        <v>0</v>
      </c>
      <c r="BM699" s="1" t="str">
        <f t="shared" si="472"/>
        <v>0</v>
      </c>
      <c r="BN699" s="1">
        <v>2532.0</v>
      </c>
      <c r="BO699" s="1">
        <v>8114.0</v>
      </c>
      <c r="BQ699" s="1">
        <v>299.0</v>
      </c>
      <c r="BR699" s="1">
        <v>299.0</v>
      </c>
      <c r="BS699" s="1">
        <v>299.0</v>
      </c>
      <c r="BU699" s="1" t="s">
        <v>211</v>
      </c>
      <c r="BV699" s="1" t="s">
        <v>206</v>
      </c>
      <c r="BY699" s="1" t="s">
        <v>212</v>
      </c>
      <c r="BZ699" s="1" t="s">
        <v>206</v>
      </c>
      <c r="CC699" s="1" t="s">
        <v>212</v>
      </c>
      <c r="CD699" s="1" t="s">
        <v>206</v>
      </c>
      <c r="CG699" s="1" t="s">
        <v>495</v>
      </c>
      <c r="CH699" s="1" t="s">
        <v>206</v>
      </c>
      <c r="CK699" s="1" t="s">
        <v>925</v>
      </c>
      <c r="CL699" s="1" t="s">
        <v>209</v>
      </c>
      <c r="CO699" s="1" t="s">
        <v>582</v>
      </c>
      <c r="CP699" s="1" t="s">
        <v>209</v>
      </c>
      <c r="CS699" s="1" t="s">
        <v>2224</v>
      </c>
      <c r="CT699" s="1" t="s">
        <v>206</v>
      </c>
      <c r="CX699" s="1" t="s">
        <v>204</v>
      </c>
      <c r="DA699" s="1" t="s">
        <v>200</v>
      </c>
      <c r="DC699" s="1" t="s">
        <v>1399</v>
      </c>
      <c r="DE699" s="1" t="s">
        <v>229</v>
      </c>
      <c r="DF699" s="1" t="s">
        <v>619</v>
      </c>
      <c r="DH699" s="1" t="s">
        <v>220</v>
      </c>
      <c r="DJ699" s="1" t="s">
        <v>222</v>
      </c>
      <c r="DL699" s="1" t="s">
        <v>223</v>
      </c>
      <c r="DM699" s="1" t="s">
        <v>229</v>
      </c>
      <c r="DQ699" s="1" t="s">
        <v>228</v>
      </c>
      <c r="DR699" s="1" t="s">
        <v>229</v>
      </c>
      <c r="DV699" s="1" t="s">
        <v>232</v>
      </c>
      <c r="DW699" s="1" t="s">
        <v>279</v>
      </c>
      <c r="DX699" s="1" t="s">
        <v>234</v>
      </c>
      <c r="EC699" s="1" t="s">
        <v>645</v>
      </c>
      <c r="EM699" s="1" t="s">
        <v>238</v>
      </c>
      <c r="EQ699" s="1" t="s">
        <v>238</v>
      </c>
      <c r="EU699" s="1" t="s">
        <v>238</v>
      </c>
      <c r="EY699" s="1" t="s">
        <v>238</v>
      </c>
      <c r="FC699" s="1" t="s">
        <v>238</v>
      </c>
      <c r="FF699" s="1" t="s">
        <v>239</v>
      </c>
      <c r="FG699" s="1" t="s">
        <v>192</v>
      </c>
      <c r="FH699" s="1" t="s">
        <v>192</v>
      </c>
      <c r="FJ699" s="1" t="s">
        <v>1248</v>
      </c>
      <c r="FK699" s="1" t="s">
        <v>229</v>
      </c>
      <c r="FL699" s="1" t="s">
        <v>3272</v>
      </c>
      <c r="FM699" s="1">
        <v>12511.0</v>
      </c>
      <c r="FN699" s="1" t="s">
        <v>3273</v>
      </c>
      <c r="FO699" s="1" t="s">
        <v>3274</v>
      </c>
      <c r="FP699" s="1">
        <v>121408.0</v>
      </c>
      <c r="FQ699" s="1" t="s">
        <v>3275</v>
      </c>
      <c r="FU699" s="1" t="s">
        <v>3276</v>
      </c>
      <c r="FV699" s="1" t="s">
        <v>200</v>
      </c>
      <c r="FW699" s="1" t="s">
        <v>1411</v>
      </c>
      <c r="FX699" s="1" t="s">
        <v>655</v>
      </c>
      <c r="FZ699" s="1" t="s">
        <v>229</v>
      </c>
      <c r="GA699" s="1" t="s">
        <v>291</v>
      </c>
      <c r="GB699" s="2">
        <v>42069.0</v>
      </c>
      <c r="GC699" s="1" t="s">
        <v>8518</v>
      </c>
    </row>
    <row r="700">
      <c r="A700" s="1">
        <v>195500.0</v>
      </c>
      <c r="B700" s="1" t="s">
        <v>185</v>
      </c>
      <c r="C700" s="1" t="str">
        <f>"08807029"</f>
        <v>08807029</v>
      </c>
      <c r="D700" s="1" t="s">
        <v>186</v>
      </c>
      <c r="F700" s="1" t="str">
        <f>"8019"</f>
        <v>8019</v>
      </c>
      <c r="G700" s="2">
        <v>42002.0</v>
      </c>
      <c r="H700" s="1">
        <v>199900.0</v>
      </c>
      <c r="I700" s="1">
        <v>235.0</v>
      </c>
      <c r="J700" s="1">
        <v>199900.0</v>
      </c>
      <c r="K700" s="2">
        <v>42067.0</v>
      </c>
      <c r="L700" s="1">
        <v>66.0</v>
      </c>
      <c r="M700" s="2">
        <v>42067.0</v>
      </c>
      <c r="N700" s="1" t="s">
        <v>356</v>
      </c>
      <c r="O700" s="2">
        <v>42111.0</v>
      </c>
      <c r="P700" s="1">
        <v>846834.0</v>
      </c>
      <c r="Q700" s="1">
        <v>18505.0</v>
      </c>
      <c r="S700" s="1">
        <v>2231.0</v>
      </c>
      <c r="T700" s="1" t="s">
        <v>8519</v>
      </c>
      <c r="U700" s="1" t="s">
        <v>189</v>
      </c>
      <c r="V700" s="1" t="s">
        <v>190</v>
      </c>
      <c r="W700" s="1">
        <v>60639.0</v>
      </c>
      <c r="Y700" s="1" t="s">
        <v>8520</v>
      </c>
      <c r="Z700" s="1">
        <v>1921.0</v>
      </c>
      <c r="AA700" s="1" t="s">
        <v>192</v>
      </c>
      <c r="AB700" s="1" t="s">
        <v>193</v>
      </c>
      <c r="AD700" s="1" t="s">
        <v>194</v>
      </c>
      <c r="AE700" s="1" t="s">
        <v>195</v>
      </c>
      <c r="AF700" s="1" t="s">
        <v>196</v>
      </c>
      <c r="AH700" s="1" t="s">
        <v>1115</v>
      </c>
      <c r="AI700" s="1">
        <v>0.0868</v>
      </c>
      <c r="AK700" s="1">
        <v>7.0</v>
      </c>
      <c r="AL700" s="1">
        <v>4.0</v>
      </c>
      <c r="AM700" s="1">
        <v>1.0</v>
      </c>
      <c r="AN700" s="1">
        <v>0.0</v>
      </c>
      <c r="AO700" s="1" t="s">
        <v>229</v>
      </c>
      <c r="AQ700" s="1" t="s">
        <v>198</v>
      </c>
      <c r="AR700" s="1" t="s">
        <v>200</v>
      </c>
      <c r="AS700" s="1" t="s">
        <v>199</v>
      </c>
      <c r="AT700" s="1">
        <v>2.0</v>
      </c>
      <c r="AV700" s="1" t="s">
        <v>200</v>
      </c>
      <c r="AW700" s="1">
        <v>3199.0</v>
      </c>
      <c r="AX700" s="1">
        <v>2012.0</v>
      </c>
      <c r="AY700" s="1" t="s">
        <v>387</v>
      </c>
      <c r="AZ700" s="1" t="s">
        <v>200</v>
      </c>
      <c r="BA700" s="1" t="str">
        <f>"13332130100000"</f>
        <v>13332130100000</v>
      </c>
      <c r="BC700" s="1">
        <v>1692.0</v>
      </c>
      <c r="BD700" s="1">
        <v>195500.0</v>
      </c>
      <c r="BE700" s="2">
        <v>42002.0</v>
      </c>
      <c r="BF700" s="1" t="s">
        <v>8521</v>
      </c>
      <c r="BH700" s="1">
        <v>0.0</v>
      </c>
      <c r="BK700" s="1" t="s">
        <v>204</v>
      </c>
      <c r="BL700" s="1" t="str">
        <f>"2231"</f>
        <v>2231</v>
      </c>
      <c r="BM700" s="1" t="str">
        <f t="shared" si="472"/>
        <v>0</v>
      </c>
      <c r="BN700" s="1">
        <v>4900.0</v>
      </c>
      <c r="BO700" s="1">
        <v>0.0</v>
      </c>
      <c r="BQ700" s="1">
        <v>299.0</v>
      </c>
      <c r="BR700" s="1">
        <v>299.0</v>
      </c>
      <c r="BS700" s="1">
        <v>299.0</v>
      </c>
      <c r="BU700" s="1" t="s">
        <v>2647</v>
      </c>
      <c r="BV700" s="1" t="s">
        <v>206</v>
      </c>
      <c r="BW700" s="1" t="s">
        <v>207</v>
      </c>
      <c r="BY700" s="1" t="s">
        <v>699</v>
      </c>
      <c r="BZ700" s="1" t="s">
        <v>206</v>
      </c>
      <c r="CA700" s="1" t="s">
        <v>207</v>
      </c>
      <c r="CC700" s="1" t="s">
        <v>300</v>
      </c>
      <c r="CD700" s="1" t="s">
        <v>206</v>
      </c>
      <c r="CE700" s="1" t="s">
        <v>207</v>
      </c>
      <c r="CG700" s="1" t="s">
        <v>699</v>
      </c>
      <c r="CH700" s="1" t="s">
        <v>206</v>
      </c>
      <c r="CI700" s="1" t="s">
        <v>207</v>
      </c>
      <c r="CK700" s="1" t="s">
        <v>5955</v>
      </c>
      <c r="CL700" s="1" t="s">
        <v>209</v>
      </c>
      <c r="CM700" s="1" t="s">
        <v>210</v>
      </c>
      <c r="CO700" s="1" t="s">
        <v>4403</v>
      </c>
      <c r="CP700" s="1" t="s">
        <v>209</v>
      </c>
      <c r="CQ700" s="1" t="s">
        <v>210</v>
      </c>
      <c r="CS700" s="1" t="s">
        <v>300</v>
      </c>
      <c r="CT700" s="1" t="s">
        <v>206</v>
      </c>
      <c r="CU700" s="1" t="s">
        <v>301</v>
      </c>
      <c r="CX700" s="1" t="s">
        <v>204</v>
      </c>
      <c r="DA700" s="1" t="s">
        <v>200</v>
      </c>
      <c r="DC700" s="1" t="s">
        <v>216</v>
      </c>
      <c r="DE700" s="1" t="s">
        <v>229</v>
      </c>
      <c r="DF700" s="1" t="s">
        <v>3540</v>
      </c>
      <c r="DH700" s="1" t="s">
        <v>365</v>
      </c>
      <c r="DJ700" s="1" t="s">
        <v>222</v>
      </c>
      <c r="DL700" s="1" t="s">
        <v>223</v>
      </c>
      <c r="DM700" s="1" t="s">
        <v>229</v>
      </c>
      <c r="DQ700" s="1" t="s">
        <v>794</v>
      </c>
      <c r="DR700" s="1" t="s">
        <v>229</v>
      </c>
      <c r="DV700" s="1" t="s">
        <v>232</v>
      </c>
      <c r="DW700" s="1" t="s">
        <v>279</v>
      </c>
      <c r="DX700" s="1" t="s">
        <v>234</v>
      </c>
      <c r="EA700" s="1" t="s">
        <v>644</v>
      </c>
      <c r="EC700" s="1" t="s">
        <v>645</v>
      </c>
      <c r="EM700" s="1" t="s">
        <v>238</v>
      </c>
      <c r="EQ700" s="1" t="s">
        <v>238</v>
      </c>
      <c r="EU700" s="1" t="s">
        <v>238</v>
      </c>
      <c r="EY700" s="1" t="s">
        <v>238</v>
      </c>
      <c r="FC700" s="1" t="s">
        <v>238</v>
      </c>
      <c r="FF700" s="1" t="s">
        <v>239</v>
      </c>
      <c r="FG700" s="1" t="s">
        <v>192</v>
      </c>
      <c r="FH700" s="1" t="s">
        <v>192</v>
      </c>
      <c r="FJ700" s="1" t="s">
        <v>1450</v>
      </c>
      <c r="FK700" s="1" t="s">
        <v>229</v>
      </c>
      <c r="FL700" s="1" t="s">
        <v>3674</v>
      </c>
      <c r="FM700" s="1">
        <v>85213.0</v>
      </c>
      <c r="FN700" s="1" t="s">
        <v>3675</v>
      </c>
      <c r="FO700" s="1" t="s">
        <v>8522</v>
      </c>
      <c r="FP700" s="1">
        <v>100477.0</v>
      </c>
      <c r="FQ700" s="1" t="s">
        <v>8523</v>
      </c>
      <c r="FU700" s="1" t="s">
        <v>8524</v>
      </c>
      <c r="FV700" s="1" t="s">
        <v>200</v>
      </c>
      <c r="FW700" s="1" t="s">
        <v>290</v>
      </c>
      <c r="FX700" s="1" t="s">
        <v>238</v>
      </c>
      <c r="FZ700" s="1" t="s">
        <v>229</v>
      </c>
      <c r="GA700" s="1" t="s">
        <v>291</v>
      </c>
      <c r="GB700" s="2">
        <v>42114.0</v>
      </c>
    </row>
    <row r="701">
      <c r="A701" s="1">
        <v>475000.0</v>
      </c>
      <c r="B701" s="1" t="s">
        <v>185</v>
      </c>
      <c r="C701" s="1" t="str">
        <f>"08808136"</f>
        <v>08808136</v>
      </c>
      <c r="D701" s="1" t="s">
        <v>186</v>
      </c>
      <c r="F701" s="1" t="str">
        <f>"134"</f>
        <v>134</v>
      </c>
      <c r="G701" s="2">
        <v>42006.0</v>
      </c>
      <c r="H701" s="1">
        <v>495000.0</v>
      </c>
      <c r="I701" s="1">
        <v>32.0</v>
      </c>
      <c r="J701" s="1">
        <v>495000.0</v>
      </c>
      <c r="K701" s="2">
        <v>42037.0</v>
      </c>
      <c r="L701" s="1">
        <v>32.0</v>
      </c>
      <c r="M701" s="2">
        <v>42037.0</v>
      </c>
      <c r="N701" s="1" t="s">
        <v>187</v>
      </c>
      <c r="O701" s="2">
        <v>42089.0</v>
      </c>
      <c r="P701" s="1">
        <v>218785.0</v>
      </c>
      <c r="Q701" s="1">
        <v>23076.0</v>
      </c>
      <c r="S701" s="1">
        <v>1430.0</v>
      </c>
      <c r="T701" s="1" t="s">
        <v>8525</v>
      </c>
      <c r="U701" s="1" t="s">
        <v>420</v>
      </c>
      <c r="V701" s="1" t="s">
        <v>421</v>
      </c>
      <c r="W701" s="1">
        <v>60134.0</v>
      </c>
      <c r="Y701" s="1" t="s">
        <v>8526</v>
      </c>
      <c r="Z701" s="1">
        <v>1962.0</v>
      </c>
      <c r="AA701" s="1" t="s">
        <v>192</v>
      </c>
      <c r="AB701" s="1" t="s">
        <v>193</v>
      </c>
      <c r="AD701" s="1" t="s">
        <v>424</v>
      </c>
      <c r="AE701" s="1" t="s">
        <v>325</v>
      </c>
      <c r="AF701" s="1" t="s">
        <v>424</v>
      </c>
      <c r="AH701" s="1" t="s">
        <v>8527</v>
      </c>
      <c r="AI701" s="1">
        <v>0.5</v>
      </c>
      <c r="AK701" s="1">
        <v>9.0</v>
      </c>
      <c r="AL701" s="1">
        <v>4.0</v>
      </c>
      <c r="AM701" s="1">
        <v>3.0</v>
      </c>
      <c r="AN701" s="1">
        <v>0.0</v>
      </c>
      <c r="AO701" s="1" t="s">
        <v>198</v>
      </c>
      <c r="AP701" s="1">
        <v>2.0</v>
      </c>
      <c r="AQ701" s="1" t="s">
        <v>1314</v>
      </c>
      <c r="AR701" s="1" t="s">
        <v>200</v>
      </c>
      <c r="AS701" s="1" t="s">
        <v>199</v>
      </c>
      <c r="AT701" s="1">
        <v>2.0</v>
      </c>
      <c r="AV701" s="1" t="s">
        <v>200</v>
      </c>
      <c r="AW701" s="1">
        <v>9742.0</v>
      </c>
      <c r="AX701" s="1">
        <v>2013.0</v>
      </c>
      <c r="AY701" s="1" t="s">
        <v>387</v>
      </c>
      <c r="AZ701" s="1" t="s">
        <v>200</v>
      </c>
      <c r="BA701" s="1" t="str">
        <f>"1204476012"</f>
        <v>1204476012</v>
      </c>
      <c r="BB701" s="1" t="s">
        <v>200</v>
      </c>
      <c r="BC701" s="1">
        <v>2847.0</v>
      </c>
      <c r="BD701" s="1">
        <v>475000.0</v>
      </c>
      <c r="BE701" s="2">
        <v>42006.0</v>
      </c>
      <c r="BF701" s="2" t="s">
        <v>8528</v>
      </c>
      <c r="BG701" s="1" t="s">
        <v>428</v>
      </c>
      <c r="BH701" s="1">
        <v>0.0</v>
      </c>
      <c r="BI701" s="1" t="s">
        <v>429</v>
      </c>
      <c r="BJ701" s="1" t="s">
        <v>430</v>
      </c>
      <c r="BK701" s="1" t="s">
        <v>204</v>
      </c>
      <c r="BL701" s="1" t="str">
        <f>"1"</f>
        <v>1</v>
      </c>
      <c r="BM701" s="1" t="str">
        <f t="shared" si="472"/>
        <v>0</v>
      </c>
      <c r="BN701" s="1">
        <v>36.0</v>
      </c>
      <c r="BO701" s="1">
        <v>0.0</v>
      </c>
      <c r="BQ701" s="1">
        <v>304.0</v>
      </c>
      <c r="BR701" s="1">
        <v>304.0</v>
      </c>
      <c r="BS701" s="1">
        <v>304.0</v>
      </c>
      <c r="BU701" s="1" t="s">
        <v>2800</v>
      </c>
      <c r="BV701" s="1" t="s">
        <v>206</v>
      </c>
      <c r="BW701" s="1" t="s">
        <v>207</v>
      </c>
      <c r="BY701" s="1" t="s">
        <v>2120</v>
      </c>
      <c r="BZ701" s="1" t="s">
        <v>206</v>
      </c>
      <c r="CA701" s="1" t="s">
        <v>207</v>
      </c>
      <c r="CC701" s="1" t="s">
        <v>454</v>
      </c>
      <c r="CD701" s="1" t="s">
        <v>206</v>
      </c>
      <c r="CE701" s="1" t="s">
        <v>268</v>
      </c>
      <c r="CG701" s="1" t="s">
        <v>495</v>
      </c>
      <c r="CH701" s="1" t="s">
        <v>206</v>
      </c>
      <c r="CI701" s="1" t="s">
        <v>207</v>
      </c>
      <c r="CK701" s="1" t="s">
        <v>260</v>
      </c>
      <c r="CL701" s="1" t="s">
        <v>206</v>
      </c>
      <c r="CM701" s="1" t="s">
        <v>207</v>
      </c>
      <c r="CO701" s="1" t="s">
        <v>454</v>
      </c>
      <c r="CP701" s="1" t="s">
        <v>206</v>
      </c>
      <c r="CQ701" s="1" t="s">
        <v>207</v>
      </c>
      <c r="CS701" s="1" t="s">
        <v>4180</v>
      </c>
      <c r="CT701" s="1" t="s">
        <v>206</v>
      </c>
      <c r="CU701" s="1" t="s">
        <v>301</v>
      </c>
      <c r="CW701" s="1" t="s">
        <v>454</v>
      </c>
      <c r="CX701" s="1" t="s">
        <v>206</v>
      </c>
      <c r="CY701" s="1" t="s">
        <v>207</v>
      </c>
      <c r="DA701" s="1" t="s">
        <v>200</v>
      </c>
      <c r="DC701" s="1" t="s">
        <v>271</v>
      </c>
      <c r="DE701" s="1" t="s">
        <v>273</v>
      </c>
      <c r="DF701" s="1" t="s">
        <v>219</v>
      </c>
      <c r="DG701" s="1" t="s">
        <v>3833</v>
      </c>
      <c r="DH701" s="1" t="s">
        <v>220</v>
      </c>
      <c r="DI701" s="1" t="s">
        <v>703</v>
      </c>
      <c r="DJ701" s="1" t="s">
        <v>222</v>
      </c>
      <c r="DK701" s="1" t="s">
        <v>2312</v>
      </c>
      <c r="DL701" s="1" t="s">
        <v>3611</v>
      </c>
      <c r="DM701" s="1" t="s">
        <v>338</v>
      </c>
      <c r="DN701" s="1" t="s">
        <v>439</v>
      </c>
      <c r="DO701" s="1" t="s">
        <v>930</v>
      </c>
      <c r="DP701" s="1" t="s">
        <v>340</v>
      </c>
      <c r="DQ701" s="1" t="s">
        <v>1557</v>
      </c>
      <c r="DR701" s="1" t="s">
        <v>229</v>
      </c>
      <c r="DU701" s="1" t="s">
        <v>1049</v>
      </c>
      <c r="DV701" s="1" t="s">
        <v>8529</v>
      </c>
      <c r="DW701" s="1" t="s">
        <v>964</v>
      </c>
      <c r="DX701" s="1" t="s">
        <v>234</v>
      </c>
      <c r="DY701" s="1" t="s">
        <v>8530</v>
      </c>
      <c r="DZ701" s="1" t="s">
        <v>8531</v>
      </c>
      <c r="EA701" s="1" t="s">
        <v>683</v>
      </c>
      <c r="EB701" s="1" t="s">
        <v>8532</v>
      </c>
      <c r="EC701" s="1" t="s">
        <v>685</v>
      </c>
      <c r="ED701" s="1" t="s">
        <v>407</v>
      </c>
      <c r="EG701" s="1" t="s">
        <v>1102</v>
      </c>
      <c r="EH701" s="1" t="s">
        <v>494</v>
      </c>
      <c r="EL701" s="1" t="s">
        <v>211</v>
      </c>
      <c r="EM701" s="1" t="s">
        <v>206</v>
      </c>
      <c r="EN701" s="1" t="s">
        <v>1136</v>
      </c>
      <c r="EP701" s="1" t="s">
        <v>331</v>
      </c>
      <c r="EQ701" s="1" t="s">
        <v>206</v>
      </c>
      <c r="ER701" s="1" t="s">
        <v>207</v>
      </c>
      <c r="EU701" s="1" t="s">
        <v>238</v>
      </c>
      <c r="EY701" s="1" t="s">
        <v>238</v>
      </c>
      <c r="FC701" s="1" t="s">
        <v>238</v>
      </c>
      <c r="FF701" s="1" t="s">
        <v>239</v>
      </c>
      <c r="FG701" s="1" t="s">
        <v>192</v>
      </c>
      <c r="FH701" s="1" t="s">
        <v>192</v>
      </c>
      <c r="FJ701" s="1" t="s">
        <v>498</v>
      </c>
      <c r="FK701" s="1" t="s">
        <v>229</v>
      </c>
      <c r="FL701" s="1" t="s">
        <v>893</v>
      </c>
      <c r="FM701" s="1">
        <v>604.0</v>
      </c>
      <c r="FN701" s="1" t="s">
        <v>894</v>
      </c>
      <c r="FO701" s="1" t="s">
        <v>895</v>
      </c>
      <c r="FP701" s="1">
        <v>381.0</v>
      </c>
      <c r="FQ701" s="1" t="s">
        <v>896</v>
      </c>
      <c r="FU701" s="1" t="s">
        <v>8533</v>
      </c>
      <c r="FV701" s="1" t="s">
        <v>200</v>
      </c>
      <c r="FW701" s="1" t="s">
        <v>290</v>
      </c>
      <c r="FZ701" s="1" t="s">
        <v>229</v>
      </c>
      <c r="GA701" s="1" t="s">
        <v>291</v>
      </c>
      <c r="GB701" s="2">
        <v>42089.0</v>
      </c>
    </row>
    <row r="702">
      <c r="A702" s="1">
        <v>344000.0</v>
      </c>
      <c r="B702" s="1" t="s">
        <v>185</v>
      </c>
      <c r="C702" s="1" t="str">
        <f>"08812030"</f>
        <v>08812030</v>
      </c>
      <c r="D702" s="1" t="s">
        <v>186</v>
      </c>
      <c r="F702" s="1" t="str">
        <f>"8017"</f>
        <v>8017</v>
      </c>
      <c r="G702" s="2">
        <v>42012.0</v>
      </c>
      <c r="H702" s="1">
        <v>369800.0</v>
      </c>
      <c r="I702" s="1">
        <v>38.0</v>
      </c>
      <c r="J702" s="1">
        <v>349800.0</v>
      </c>
      <c r="K702" s="2">
        <v>42049.0</v>
      </c>
      <c r="L702" s="1">
        <v>38.0</v>
      </c>
      <c r="M702" s="2">
        <v>42049.0</v>
      </c>
      <c r="N702" s="1" t="s">
        <v>187</v>
      </c>
      <c r="O702" s="2">
        <v>42090.0</v>
      </c>
      <c r="P702" s="1">
        <v>109920.0</v>
      </c>
      <c r="Q702" s="1">
        <v>85470.0</v>
      </c>
      <c r="S702" s="1">
        <v>6047.0</v>
      </c>
      <c r="T702" s="1" t="s">
        <v>8534</v>
      </c>
      <c r="U702" s="1" t="s">
        <v>320</v>
      </c>
      <c r="V702" s="1" t="s">
        <v>190</v>
      </c>
      <c r="W702" s="1">
        <v>60634.0</v>
      </c>
      <c r="X702" s="1">
        <v>2519.0</v>
      </c>
      <c r="Y702" s="1" t="s">
        <v>8535</v>
      </c>
      <c r="Z702" s="1">
        <v>1917.0</v>
      </c>
      <c r="AA702" s="1" t="s">
        <v>192</v>
      </c>
      <c r="AB702" s="1" t="s">
        <v>193</v>
      </c>
      <c r="AD702" s="1" t="s">
        <v>194</v>
      </c>
      <c r="AE702" s="1" t="s">
        <v>195</v>
      </c>
      <c r="AF702" s="1" t="s">
        <v>196</v>
      </c>
      <c r="AH702" s="1" t="s">
        <v>8536</v>
      </c>
      <c r="AK702" s="1">
        <v>7.0</v>
      </c>
      <c r="AL702" s="1">
        <v>4.0</v>
      </c>
      <c r="AM702" s="1">
        <v>2.0</v>
      </c>
      <c r="AN702" s="1">
        <v>0.0</v>
      </c>
      <c r="AO702" s="1" t="s">
        <v>198</v>
      </c>
      <c r="AQ702" s="1" t="s">
        <v>198</v>
      </c>
      <c r="AR702" s="1" t="s">
        <v>200</v>
      </c>
      <c r="AS702" s="1" t="s">
        <v>199</v>
      </c>
      <c r="AT702" s="1">
        <v>2.0</v>
      </c>
      <c r="AV702" s="1" t="s">
        <v>200</v>
      </c>
      <c r="AW702" s="1">
        <v>857.0</v>
      </c>
      <c r="AX702" s="1">
        <v>2012.0</v>
      </c>
      <c r="AY702" s="1" t="s">
        <v>1179</v>
      </c>
      <c r="AZ702" s="1" t="s">
        <v>200</v>
      </c>
      <c r="BA702" s="1" t="str">
        <f>"13201040050000"</f>
        <v>13201040050000</v>
      </c>
      <c r="BB702" s="1" t="s">
        <v>200</v>
      </c>
      <c r="BC702" s="1">
        <v>2800.0</v>
      </c>
      <c r="BD702" s="1">
        <v>344000.0</v>
      </c>
      <c r="BE702" s="2">
        <v>42012.0</v>
      </c>
      <c r="BF702" s="2" t="s">
        <v>8537</v>
      </c>
      <c r="BG702" s="1" t="s">
        <v>202</v>
      </c>
      <c r="BH702" s="1">
        <v>0.0</v>
      </c>
      <c r="BI702" s="1" t="s">
        <v>202</v>
      </c>
      <c r="BJ702" s="1" t="s">
        <v>203</v>
      </c>
      <c r="BK702" s="1" t="s">
        <v>204</v>
      </c>
      <c r="BL702" s="1" t="str">
        <f>"3920"</f>
        <v>3920</v>
      </c>
      <c r="BM702" s="1" t="str">
        <f t="shared" si="472"/>
        <v>0</v>
      </c>
      <c r="BN702" s="1">
        <v>6047.0</v>
      </c>
      <c r="BO702" s="1">
        <v>0.0</v>
      </c>
      <c r="BQ702" s="1">
        <v>299.0</v>
      </c>
      <c r="BR702" s="1">
        <v>299.0</v>
      </c>
      <c r="BS702" s="1">
        <v>299.0</v>
      </c>
      <c r="BU702" s="1" t="s">
        <v>1426</v>
      </c>
      <c r="BV702" s="1" t="s">
        <v>206</v>
      </c>
      <c r="BW702" s="1" t="s">
        <v>207</v>
      </c>
      <c r="BX702" s="1" t="s">
        <v>239</v>
      </c>
      <c r="BY702" s="1" t="s">
        <v>543</v>
      </c>
      <c r="BZ702" s="1" t="s">
        <v>206</v>
      </c>
      <c r="CA702" s="1" t="s">
        <v>207</v>
      </c>
      <c r="CB702" s="1" t="s">
        <v>239</v>
      </c>
      <c r="CC702" s="1" t="s">
        <v>215</v>
      </c>
      <c r="CD702" s="1" t="s">
        <v>206</v>
      </c>
      <c r="CE702" s="1" t="s">
        <v>207</v>
      </c>
      <c r="CF702" s="1" t="s">
        <v>239</v>
      </c>
      <c r="CG702" s="1" t="s">
        <v>265</v>
      </c>
      <c r="CH702" s="1" t="s">
        <v>206</v>
      </c>
      <c r="CI702" s="1" t="s">
        <v>207</v>
      </c>
      <c r="CJ702" s="1" t="s">
        <v>239</v>
      </c>
      <c r="CK702" s="1" t="s">
        <v>582</v>
      </c>
      <c r="CL702" s="1" t="s">
        <v>209</v>
      </c>
      <c r="CM702" s="1" t="s">
        <v>210</v>
      </c>
      <c r="CO702" s="1" t="s">
        <v>480</v>
      </c>
      <c r="CP702" s="1" t="s">
        <v>209</v>
      </c>
      <c r="CQ702" s="1" t="s">
        <v>210</v>
      </c>
      <c r="CS702" s="1" t="s">
        <v>212</v>
      </c>
      <c r="CT702" s="1" t="s">
        <v>206</v>
      </c>
      <c r="CU702" s="1" t="s">
        <v>588</v>
      </c>
      <c r="CV702" s="1" t="s">
        <v>239</v>
      </c>
      <c r="CX702" s="1" t="s">
        <v>204</v>
      </c>
      <c r="DA702" s="1" t="s">
        <v>200</v>
      </c>
      <c r="DC702" s="1" t="s">
        <v>216</v>
      </c>
      <c r="DD702" s="1" t="s">
        <v>786</v>
      </c>
      <c r="DE702" s="1" t="s">
        <v>273</v>
      </c>
      <c r="DF702" s="1" t="s">
        <v>619</v>
      </c>
      <c r="DG702" s="1" t="s">
        <v>337</v>
      </c>
      <c r="DH702" s="1" t="s">
        <v>365</v>
      </c>
      <c r="DJ702" s="1" t="s">
        <v>222</v>
      </c>
      <c r="DL702" s="1" t="s">
        <v>224</v>
      </c>
      <c r="DM702" s="1" t="s">
        <v>225</v>
      </c>
      <c r="DO702" s="1" t="s">
        <v>549</v>
      </c>
      <c r="DP702" s="1" t="s">
        <v>340</v>
      </c>
      <c r="DQ702" s="1" t="s">
        <v>718</v>
      </c>
      <c r="DR702" s="1" t="s">
        <v>229</v>
      </c>
      <c r="DV702" s="1" t="s">
        <v>374</v>
      </c>
      <c r="DW702" s="1" t="s">
        <v>279</v>
      </c>
      <c r="DX702" s="1" t="s">
        <v>309</v>
      </c>
      <c r="DY702" s="1" t="s">
        <v>1371</v>
      </c>
      <c r="EA702" s="1" t="s">
        <v>644</v>
      </c>
      <c r="EC702" s="1" t="s">
        <v>645</v>
      </c>
      <c r="EG702" s="1" t="s">
        <v>374</v>
      </c>
      <c r="EL702" s="1" t="s">
        <v>1774</v>
      </c>
      <c r="EM702" s="1" t="s">
        <v>206</v>
      </c>
      <c r="EN702" s="1" t="s">
        <v>210</v>
      </c>
      <c r="EQ702" s="1" t="s">
        <v>238</v>
      </c>
      <c r="EU702" s="1" t="s">
        <v>238</v>
      </c>
      <c r="EY702" s="1" t="s">
        <v>238</v>
      </c>
      <c r="FC702" s="1" t="s">
        <v>238</v>
      </c>
      <c r="FF702" s="1" t="s">
        <v>239</v>
      </c>
      <c r="FG702" s="1" t="s">
        <v>192</v>
      </c>
      <c r="FH702" s="1" t="s">
        <v>192</v>
      </c>
      <c r="FJ702" s="1" t="s">
        <v>1450</v>
      </c>
      <c r="FK702" s="1" t="s">
        <v>229</v>
      </c>
      <c r="FL702" s="1" t="s">
        <v>2263</v>
      </c>
      <c r="FM702" s="1">
        <v>25005.0</v>
      </c>
      <c r="FN702" s="1" t="s">
        <v>8538</v>
      </c>
      <c r="FO702" s="1" t="s">
        <v>8539</v>
      </c>
      <c r="FP702" s="1">
        <v>236644.0</v>
      </c>
      <c r="FQ702" s="1" t="s">
        <v>8540</v>
      </c>
      <c r="FU702" s="1" t="s">
        <v>8541</v>
      </c>
      <c r="FV702" s="1" t="s">
        <v>200</v>
      </c>
      <c r="FW702" s="1" t="s">
        <v>290</v>
      </c>
      <c r="FX702" s="1" t="s">
        <v>246</v>
      </c>
      <c r="FZ702" s="1" t="s">
        <v>632</v>
      </c>
      <c r="GA702" s="1" t="s">
        <v>291</v>
      </c>
      <c r="GB702" s="2">
        <v>42090.0</v>
      </c>
    </row>
    <row r="703">
      <c r="A703" s="1">
        <v>120000.0</v>
      </c>
      <c r="B703" s="1" t="s">
        <v>185</v>
      </c>
      <c r="C703" s="1" t="str">
        <f>"08804118"</f>
        <v>08804118</v>
      </c>
      <c r="D703" s="1" t="s">
        <v>186</v>
      </c>
      <c r="F703" s="1" t="str">
        <f>"115"</f>
        <v>115</v>
      </c>
      <c r="G703" s="2">
        <v>41991.0</v>
      </c>
      <c r="H703" s="1">
        <v>134900.0</v>
      </c>
      <c r="I703" s="1">
        <v>18.0</v>
      </c>
      <c r="J703" s="1">
        <v>124900.0</v>
      </c>
      <c r="K703" s="2">
        <v>42008.0</v>
      </c>
      <c r="L703" s="1">
        <v>18.0</v>
      </c>
      <c r="M703" s="2">
        <v>42008.0</v>
      </c>
      <c r="N703" s="1" t="s">
        <v>249</v>
      </c>
      <c r="O703" s="2">
        <v>42027.0</v>
      </c>
      <c r="P703" s="1">
        <v>931509.0</v>
      </c>
      <c r="Q703" s="1">
        <v>93023.0</v>
      </c>
      <c r="S703" s="1">
        <v>1203.0</v>
      </c>
      <c r="T703" s="1" t="s">
        <v>8542</v>
      </c>
      <c r="U703" s="1" t="s">
        <v>320</v>
      </c>
      <c r="V703" s="1" t="s">
        <v>610</v>
      </c>
      <c r="W703" s="1">
        <v>60115.0</v>
      </c>
      <c r="Y703" s="1" t="s">
        <v>8543</v>
      </c>
      <c r="Z703" s="1">
        <v>1950.0</v>
      </c>
      <c r="AA703" s="1" t="s">
        <v>192</v>
      </c>
      <c r="AB703" s="1" t="s">
        <v>193</v>
      </c>
      <c r="AD703" s="1" t="s">
        <v>612</v>
      </c>
      <c r="AE703" s="1" t="s">
        <v>613</v>
      </c>
      <c r="AF703" s="1" t="s">
        <v>612</v>
      </c>
      <c r="AH703" s="1" t="s">
        <v>8544</v>
      </c>
      <c r="AK703" s="1">
        <v>9.0</v>
      </c>
      <c r="AL703" s="1">
        <v>3.0</v>
      </c>
      <c r="AM703" s="1">
        <v>2.0</v>
      </c>
      <c r="AN703" s="1">
        <v>0.0</v>
      </c>
      <c r="AO703" s="1" t="s">
        <v>229</v>
      </c>
      <c r="AP703" s="1">
        <v>1.0</v>
      </c>
      <c r="AQ703" s="1" t="s">
        <v>198</v>
      </c>
      <c r="AR703" s="1" t="s">
        <v>192</v>
      </c>
      <c r="AS703" s="1" t="s">
        <v>199</v>
      </c>
      <c r="AT703" s="1">
        <v>2.0</v>
      </c>
      <c r="AV703" s="1" t="s">
        <v>200</v>
      </c>
      <c r="AW703" s="1">
        <v>4808.12</v>
      </c>
      <c r="AX703" s="1">
        <v>2013.0</v>
      </c>
      <c r="AY703" s="1" t="s">
        <v>387</v>
      </c>
      <c r="AZ703" s="1" t="s">
        <v>200</v>
      </c>
      <c r="BA703" s="1" t="str">
        <f>"0814429028"</f>
        <v>0814429028</v>
      </c>
      <c r="BC703" s="1">
        <v>1822.0</v>
      </c>
      <c r="BD703" s="1">
        <v>120000.0</v>
      </c>
      <c r="BE703" s="2">
        <v>41991.0</v>
      </c>
      <c r="BF703" s="2" t="s">
        <v>8545</v>
      </c>
      <c r="BH703" s="1">
        <v>0.0</v>
      </c>
      <c r="BK703" s="1" t="s">
        <v>204</v>
      </c>
      <c r="BL703" s="1" t="str">
        <f t="shared" ref="BL703:BM703" si="473">""</f>
        <v/>
      </c>
      <c r="BM703" s="1" t="str">
        <f t="shared" si="473"/>
        <v/>
      </c>
      <c r="BQ703" s="1">
        <v>428.0</v>
      </c>
      <c r="BR703" s="1">
        <v>428.0</v>
      </c>
      <c r="BS703" s="1">
        <v>428.0</v>
      </c>
      <c r="BU703" s="1" t="s">
        <v>3623</v>
      </c>
      <c r="BV703" s="1" t="s">
        <v>206</v>
      </c>
      <c r="BW703" s="1" t="s">
        <v>210</v>
      </c>
      <c r="BY703" s="1" t="s">
        <v>361</v>
      </c>
      <c r="BZ703" s="1" t="s">
        <v>206</v>
      </c>
      <c r="CA703" s="1" t="s">
        <v>210</v>
      </c>
      <c r="CC703" s="1" t="s">
        <v>542</v>
      </c>
      <c r="CD703" s="1" t="s">
        <v>206</v>
      </c>
      <c r="CE703" s="1" t="s">
        <v>210</v>
      </c>
      <c r="CG703" s="1" t="s">
        <v>699</v>
      </c>
      <c r="CH703" s="1" t="s">
        <v>206</v>
      </c>
      <c r="CI703" s="1" t="s">
        <v>210</v>
      </c>
      <c r="CK703" s="1" t="s">
        <v>544</v>
      </c>
      <c r="CL703" s="1" t="s">
        <v>209</v>
      </c>
      <c r="CM703" s="1" t="s">
        <v>210</v>
      </c>
      <c r="CO703" s="1" t="s">
        <v>2121</v>
      </c>
      <c r="CP703" s="1" t="s">
        <v>42</v>
      </c>
      <c r="CQ703" s="1" t="s">
        <v>588</v>
      </c>
      <c r="CR703" s="1" t="s">
        <v>229</v>
      </c>
      <c r="CS703" s="1" t="s">
        <v>212</v>
      </c>
      <c r="CT703" s="1" t="s">
        <v>206</v>
      </c>
      <c r="CU703" s="1" t="s">
        <v>617</v>
      </c>
      <c r="CW703" s="1" t="s">
        <v>334</v>
      </c>
      <c r="CX703" s="1" t="s">
        <v>206</v>
      </c>
      <c r="CY703" s="1" t="s">
        <v>210</v>
      </c>
      <c r="DA703" s="1" t="s">
        <v>200</v>
      </c>
      <c r="DC703" s="1" t="s">
        <v>702</v>
      </c>
      <c r="DE703" s="1" t="s">
        <v>273</v>
      </c>
      <c r="DF703" s="1" t="s">
        <v>219</v>
      </c>
      <c r="DG703" s="1" t="s">
        <v>337</v>
      </c>
      <c r="DH703" s="1" t="s">
        <v>856</v>
      </c>
      <c r="DI703" s="1" t="s">
        <v>1223</v>
      </c>
      <c r="DJ703" s="1" t="s">
        <v>222</v>
      </c>
      <c r="DL703" s="1" t="s">
        <v>858</v>
      </c>
      <c r="DM703" s="1" t="s">
        <v>229</v>
      </c>
      <c r="DO703" s="1" t="s">
        <v>549</v>
      </c>
      <c r="DP703" s="1" t="s">
        <v>276</v>
      </c>
      <c r="DQ703" s="1" t="s">
        <v>441</v>
      </c>
      <c r="DR703" s="1" t="s">
        <v>229</v>
      </c>
      <c r="DS703" s="1" t="s">
        <v>230</v>
      </c>
      <c r="DU703" s="1" t="s">
        <v>8546</v>
      </c>
      <c r="DV703" s="1" t="s">
        <v>341</v>
      </c>
      <c r="DW703" s="1" t="s">
        <v>667</v>
      </c>
      <c r="DX703" s="1" t="s">
        <v>234</v>
      </c>
      <c r="DY703" s="1" t="s">
        <v>5456</v>
      </c>
      <c r="DZ703" s="1" t="s">
        <v>310</v>
      </c>
      <c r="EA703" s="1" t="s">
        <v>1075</v>
      </c>
      <c r="EC703" s="1" t="s">
        <v>645</v>
      </c>
      <c r="ED703" s="1" t="s">
        <v>407</v>
      </c>
      <c r="EE703" s="1" t="s">
        <v>8547</v>
      </c>
      <c r="EG703" s="1" t="s">
        <v>341</v>
      </c>
      <c r="EL703" s="1" t="s">
        <v>1029</v>
      </c>
      <c r="EM703" s="1" t="s">
        <v>209</v>
      </c>
      <c r="EN703" s="1" t="s">
        <v>210</v>
      </c>
      <c r="EQ703" s="1" t="s">
        <v>238</v>
      </c>
      <c r="EU703" s="1" t="s">
        <v>238</v>
      </c>
      <c r="EY703" s="1" t="s">
        <v>238</v>
      </c>
      <c r="FC703" s="1" t="s">
        <v>238</v>
      </c>
      <c r="FF703" s="1" t="s">
        <v>239</v>
      </c>
      <c r="FG703" s="1" t="s">
        <v>200</v>
      </c>
      <c r="FH703" s="1" t="s">
        <v>192</v>
      </c>
      <c r="FJ703" s="1" t="s">
        <v>3263</v>
      </c>
      <c r="FK703" s="1" t="s">
        <v>229</v>
      </c>
      <c r="FL703" s="1" t="s">
        <v>8548</v>
      </c>
      <c r="FM703" s="1">
        <v>93023.0</v>
      </c>
      <c r="FN703" s="1" t="s">
        <v>8549</v>
      </c>
      <c r="FO703" s="1" t="s">
        <v>8550</v>
      </c>
      <c r="FP703" s="1">
        <v>931509.0</v>
      </c>
      <c r="FQ703" s="1" t="s">
        <v>8551</v>
      </c>
      <c r="FU703" s="1" t="s">
        <v>8552</v>
      </c>
      <c r="FV703" s="1" t="s">
        <v>200</v>
      </c>
      <c r="FW703" s="1" t="s">
        <v>8553</v>
      </c>
      <c r="FX703" s="1" t="s">
        <v>238</v>
      </c>
      <c r="FZ703" s="1" t="s">
        <v>229</v>
      </c>
      <c r="GA703" s="1" t="s">
        <v>291</v>
      </c>
      <c r="GB703" s="2">
        <v>42027.0</v>
      </c>
      <c r="GC703" s="1" t="s">
        <v>8554</v>
      </c>
    </row>
    <row r="704">
      <c r="A704" s="1">
        <v>210000.0</v>
      </c>
      <c r="B704" s="1" t="s">
        <v>185</v>
      </c>
      <c r="C704" s="1" t="str">
        <f>"08804105"</f>
        <v>08804105</v>
      </c>
      <c r="D704" s="1" t="s">
        <v>186</v>
      </c>
      <c r="F704" s="1" t="str">
        <f>"8056"</f>
        <v>8056</v>
      </c>
      <c r="G704" s="2">
        <v>41991.0</v>
      </c>
      <c r="H704" s="1">
        <v>224900.0</v>
      </c>
      <c r="I704" s="1">
        <v>224.0</v>
      </c>
      <c r="J704" s="1">
        <v>219900.0</v>
      </c>
      <c r="K704" s="2">
        <v>41997.0</v>
      </c>
      <c r="L704" s="1">
        <v>8.0</v>
      </c>
      <c r="M704" s="2">
        <v>41997.0</v>
      </c>
      <c r="N704" s="1" t="s">
        <v>356</v>
      </c>
      <c r="O704" s="2">
        <v>42058.0</v>
      </c>
      <c r="P704" s="1">
        <v>108558.0</v>
      </c>
      <c r="Q704" s="1">
        <v>84025.0</v>
      </c>
      <c r="R704" s="1">
        <v>10000.0</v>
      </c>
      <c r="S704" s="1">
        <v>5557.0</v>
      </c>
      <c r="T704" s="1" t="s">
        <v>8555</v>
      </c>
      <c r="U704" s="1" t="s">
        <v>189</v>
      </c>
      <c r="V704" s="1" t="s">
        <v>190</v>
      </c>
      <c r="W704" s="1">
        <v>60638.0</v>
      </c>
      <c r="Y704" s="1" t="s">
        <v>8556</v>
      </c>
      <c r="Z704" s="1">
        <v>1949.0</v>
      </c>
      <c r="AA704" s="1" t="s">
        <v>192</v>
      </c>
      <c r="AB704" s="1" t="s">
        <v>193</v>
      </c>
      <c r="AD704" s="1" t="s">
        <v>194</v>
      </c>
      <c r="AE704" s="1" t="s">
        <v>195</v>
      </c>
      <c r="AF704" s="1" t="s">
        <v>659</v>
      </c>
      <c r="AH704" s="1" t="s">
        <v>8557</v>
      </c>
      <c r="AI704" s="1">
        <v>0.0915</v>
      </c>
      <c r="AK704" s="1">
        <v>6.0</v>
      </c>
      <c r="AL704" s="1">
        <v>4.0</v>
      </c>
      <c r="AM704" s="1">
        <v>1.0</v>
      </c>
      <c r="AN704" s="1">
        <v>1.0</v>
      </c>
      <c r="AO704" s="1" t="s">
        <v>1261</v>
      </c>
      <c r="AQ704" s="1" t="s">
        <v>198</v>
      </c>
      <c r="AR704" s="1" t="s">
        <v>200</v>
      </c>
      <c r="AS704" s="1" t="s">
        <v>199</v>
      </c>
      <c r="AT704" s="1">
        <v>2.0</v>
      </c>
      <c r="AV704" s="1" t="s">
        <v>200</v>
      </c>
      <c r="AW704" s="1">
        <v>399.0</v>
      </c>
      <c r="AX704" s="1">
        <v>2012.0</v>
      </c>
      <c r="AY704" s="1" t="s">
        <v>1917</v>
      </c>
      <c r="AZ704" s="1" t="s">
        <v>200</v>
      </c>
      <c r="BA704" s="1" t="str">
        <f>"19171050390000"</f>
        <v>19171050390000</v>
      </c>
      <c r="BC704" s="1">
        <v>1406.0</v>
      </c>
      <c r="BD704" s="1">
        <v>210000.0</v>
      </c>
      <c r="BE704" s="2">
        <v>41990.0</v>
      </c>
      <c r="BF704" s="2" t="s">
        <v>8558</v>
      </c>
      <c r="BH704" s="1">
        <v>0.0</v>
      </c>
      <c r="BJ704" s="1" t="s">
        <v>8559</v>
      </c>
      <c r="BK704" s="1" t="s">
        <v>204</v>
      </c>
      <c r="BL704" s="1" t="str">
        <f t="shared" ref="BL704:BM704" si="474">"0"</f>
        <v>0</v>
      </c>
      <c r="BM704" s="1" t="str">
        <f t="shared" si="474"/>
        <v>0</v>
      </c>
      <c r="BN704" s="1">
        <v>6200.0</v>
      </c>
      <c r="BO704" s="1">
        <v>5557.0</v>
      </c>
      <c r="BQ704" s="1">
        <v>299.0</v>
      </c>
      <c r="BR704" s="1">
        <v>299.0</v>
      </c>
      <c r="BS704" s="1">
        <v>299.0</v>
      </c>
      <c r="BU704" s="1" t="s">
        <v>454</v>
      </c>
      <c r="BV704" s="1" t="s">
        <v>206</v>
      </c>
      <c r="BY704" s="1" t="s">
        <v>1395</v>
      </c>
      <c r="BZ704" s="1" t="s">
        <v>206</v>
      </c>
      <c r="CD704" s="1" t="s">
        <v>204</v>
      </c>
      <c r="CG704" s="1" t="s">
        <v>303</v>
      </c>
      <c r="CH704" s="1" t="s">
        <v>206</v>
      </c>
      <c r="CK704" s="1" t="s">
        <v>677</v>
      </c>
      <c r="CL704" s="1" t="s">
        <v>209</v>
      </c>
      <c r="CO704" s="1" t="s">
        <v>1064</v>
      </c>
      <c r="CP704" s="1" t="s">
        <v>209</v>
      </c>
      <c r="CS704" s="1" t="s">
        <v>302</v>
      </c>
      <c r="CT704" s="1" t="s">
        <v>206</v>
      </c>
      <c r="CX704" s="1" t="s">
        <v>204</v>
      </c>
      <c r="DA704" s="1" t="s">
        <v>200</v>
      </c>
      <c r="DC704" s="1" t="s">
        <v>702</v>
      </c>
      <c r="DE704" s="1" t="s">
        <v>273</v>
      </c>
      <c r="DF704" s="1" t="s">
        <v>619</v>
      </c>
      <c r="DH704" s="1" t="s">
        <v>365</v>
      </c>
      <c r="DJ704" s="1" t="s">
        <v>222</v>
      </c>
      <c r="DL704" s="1" t="s">
        <v>223</v>
      </c>
      <c r="DM704" s="1" t="s">
        <v>229</v>
      </c>
      <c r="DQ704" s="1" t="s">
        <v>794</v>
      </c>
      <c r="DR704" s="1" t="s">
        <v>229</v>
      </c>
      <c r="DV704" s="1" t="s">
        <v>232</v>
      </c>
      <c r="DW704" s="1" t="s">
        <v>279</v>
      </c>
      <c r="DX704" s="1" t="s">
        <v>309</v>
      </c>
      <c r="EA704" s="1" t="s">
        <v>1075</v>
      </c>
      <c r="EC704" s="1" t="s">
        <v>645</v>
      </c>
      <c r="EE704" s="1" t="s">
        <v>187</v>
      </c>
      <c r="EM704" s="1" t="s">
        <v>238</v>
      </c>
      <c r="EQ704" s="1" t="s">
        <v>238</v>
      </c>
      <c r="EU704" s="1" t="s">
        <v>238</v>
      </c>
      <c r="EY704" s="1" t="s">
        <v>238</v>
      </c>
      <c r="FC704" s="1" t="s">
        <v>238</v>
      </c>
      <c r="FF704" s="1" t="s">
        <v>239</v>
      </c>
      <c r="FG704" s="1" t="s">
        <v>192</v>
      </c>
      <c r="FH704" s="1" t="s">
        <v>192</v>
      </c>
      <c r="FJ704" s="1" t="s">
        <v>8560</v>
      </c>
      <c r="FK704" s="1" t="s">
        <v>229</v>
      </c>
      <c r="FL704" s="1" t="s">
        <v>1470</v>
      </c>
      <c r="FM704" s="1">
        <v>60476.0</v>
      </c>
      <c r="FN704" s="1" t="s">
        <v>1471</v>
      </c>
      <c r="FO704" s="1" t="s">
        <v>1472</v>
      </c>
      <c r="FP704" s="1">
        <v>605367.0</v>
      </c>
      <c r="FQ704" s="1" t="s">
        <v>1471</v>
      </c>
      <c r="FU704" s="1" t="s">
        <v>1751</v>
      </c>
      <c r="FV704" s="1" t="s">
        <v>200</v>
      </c>
      <c r="FW704" s="1" t="s">
        <v>567</v>
      </c>
      <c r="FX704" s="1" t="s">
        <v>655</v>
      </c>
      <c r="FZ704" s="1" t="s">
        <v>229</v>
      </c>
      <c r="GA704" s="1" t="s">
        <v>291</v>
      </c>
      <c r="GB704" s="2">
        <v>42058.0</v>
      </c>
      <c r="GC704" s="1" t="s">
        <v>8561</v>
      </c>
    </row>
    <row r="705">
      <c r="A705" s="1">
        <v>265000.0</v>
      </c>
      <c r="B705" s="1" t="s">
        <v>185</v>
      </c>
      <c r="C705" s="1" t="str">
        <f>"08805473"</f>
        <v>08805473</v>
      </c>
      <c r="D705" s="1" t="s">
        <v>186</v>
      </c>
      <c r="F705" s="1" t="str">
        <f>"118"</f>
        <v>118</v>
      </c>
      <c r="G705" s="2">
        <v>41996.0</v>
      </c>
      <c r="H705" s="1">
        <v>275000.0</v>
      </c>
      <c r="I705" s="1">
        <v>52.0</v>
      </c>
      <c r="J705" s="1">
        <v>269000.0</v>
      </c>
      <c r="K705" s="2">
        <v>42047.0</v>
      </c>
      <c r="L705" s="1">
        <v>52.0</v>
      </c>
      <c r="M705" s="2">
        <v>42047.0</v>
      </c>
      <c r="N705" s="1" t="s">
        <v>187</v>
      </c>
      <c r="O705" s="2">
        <v>42111.0</v>
      </c>
      <c r="P705" s="1">
        <v>51789.0</v>
      </c>
      <c r="Q705" s="1">
        <v>5042.0</v>
      </c>
      <c r="S705" s="1">
        <v>647.0</v>
      </c>
      <c r="T705" s="1" t="s">
        <v>6537</v>
      </c>
      <c r="U705" s="1" t="s">
        <v>189</v>
      </c>
      <c r="V705" s="1" t="s">
        <v>1086</v>
      </c>
      <c r="W705" s="1">
        <v>60118.0</v>
      </c>
      <c r="Y705" s="1" t="s">
        <v>8562</v>
      </c>
      <c r="Z705" s="1">
        <v>2004.0</v>
      </c>
      <c r="AA705" s="1" t="s">
        <v>200</v>
      </c>
      <c r="AB705" s="1" t="s">
        <v>467</v>
      </c>
      <c r="AC705" s="1" t="s">
        <v>8563</v>
      </c>
      <c r="AD705" s="1" t="s">
        <v>810</v>
      </c>
      <c r="AE705" s="1" t="s">
        <v>325</v>
      </c>
      <c r="AF705" s="1" t="s">
        <v>810</v>
      </c>
      <c r="AG705" s="1" t="s">
        <v>8564</v>
      </c>
      <c r="AH705" s="1" t="s">
        <v>8565</v>
      </c>
      <c r="AI705" s="1">
        <v>0.25</v>
      </c>
      <c r="AK705" s="1">
        <v>9.0</v>
      </c>
      <c r="AL705" s="1">
        <v>4.0</v>
      </c>
      <c r="AM705" s="1">
        <v>2.0</v>
      </c>
      <c r="AN705" s="1">
        <v>1.0</v>
      </c>
      <c r="AO705" s="1" t="s">
        <v>198</v>
      </c>
      <c r="AP705" s="1">
        <v>1.0</v>
      </c>
      <c r="AQ705" s="1" t="s">
        <v>198</v>
      </c>
      <c r="AR705" s="1" t="s">
        <v>200</v>
      </c>
      <c r="AS705" s="1" t="s">
        <v>199</v>
      </c>
      <c r="AT705" s="1">
        <v>2.0</v>
      </c>
      <c r="AV705" s="1" t="s">
        <v>200</v>
      </c>
      <c r="AW705" s="1">
        <v>7050.64</v>
      </c>
      <c r="AX705" s="1">
        <v>2013.0</v>
      </c>
      <c r="AY705" s="1" t="s">
        <v>387</v>
      </c>
      <c r="AZ705" s="1" t="s">
        <v>200</v>
      </c>
      <c r="BA705" s="1" t="str">
        <f>"0320381004"</f>
        <v>0320381004</v>
      </c>
      <c r="BB705" s="1" t="s">
        <v>200</v>
      </c>
      <c r="BC705" s="1">
        <v>2184.0</v>
      </c>
      <c r="BD705" s="1">
        <v>265000.0</v>
      </c>
      <c r="BE705" s="2">
        <v>41996.0</v>
      </c>
      <c r="BF705" s="2" t="s">
        <v>8566</v>
      </c>
      <c r="BG705" s="1" t="s">
        <v>1092</v>
      </c>
      <c r="BH705" s="1">
        <v>40.0</v>
      </c>
      <c r="BI705" s="1" t="s">
        <v>1093</v>
      </c>
      <c r="BJ705" s="1" t="s">
        <v>1094</v>
      </c>
      <c r="BK705" s="1" t="s">
        <v>474</v>
      </c>
      <c r="BL705" s="1" t="str">
        <f>"20"</f>
        <v>20</v>
      </c>
      <c r="BM705" s="1" t="str">
        <f>"0"</f>
        <v>0</v>
      </c>
      <c r="BN705" s="1">
        <v>37.0</v>
      </c>
      <c r="BO705" s="1">
        <v>0.0</v>
      </c>
      <c r="BQ705" s="1">
        <v>300.0</v>
      </c>
      <c r="BR705" s="1">
        <v>300.0</v>
      </c>
      <c r="BS705" s="1">
        <v>300.0</v>
      </c>
      <c r="BU705" s="1" t="s">
        <v>215</v>
      </c>
      <c r="BV705" s="1" t="s">
        <v>206</v>
      </c>
      <c r="BW705" s="1" t="s">
        <v>210</v>
      </c>
      <c r="BY705" s="1" t="s">
        <v>390</v>
      </c>
      <c r="BZ705" s="1" t="s">
        <v>209</v>
      </c>
      <c r="CA705" s="1" t="s">
        <v>210</v>
      </c>
      <c r="CC705" s="1" t="s">
        <v>495</v>
      </c>
      <c r="CD705" s="1" t="s">
        <v>206</v>
      </c>
      <c r="CE705" s="1" t="s">
        <v>210</v>
      </c>
      <c r="CG705" s="1" t="s">
        <v>264</v>
      </c>
      <c r="CH705" s="1" t="s">
        <v>209</v>
      </c>
      <c r="CI705" s="1" t="s">
        <v>210</v>
      </c>
      <c r="CK705" s="1" t="s">
        <v>264</v>
      </c>
      <c r="CL705" s="1" t="s">
        <v>209</v>
      </c>
      <c r="CM705" s="1" t="s">
        <v>210</v>
      </c>
      <c r="CO705" s="1" t="s">
        <v>269</v>
      </c>
      <c r="CP705" s="1" t="s">
        <v>209</v>
      </c>
      <c r="CQ705" s="1" t="s">
        <v>210</v>
      </c>
      <c r="CS705" s="1" t="s">
        <v>266</v>
      </c>
      <c r="CT705" s="1" t="s">
        <v>206</v>
      </c>
      <c r="CU705" s="1" t="s">
        <v>207</v>
      </c>
      <c r="CW705" s="1" t="s">
        <v>784</v>
      </c>
      <c r="CX705" s="1" t="s">
        <v>206</v>
      </c>
      <c r="CY705" s="1" t="s">
        <v>210</v>
      </c>
      <c r="DA705" s="1" t="s">
        <v>200</v>
      </c>
      <c r="DC705" s="1" t="s">
        <v>481</v>
      </c>
      <c r="DD705" s="1" t="s">
        <v>336</v>
      </c>
      <c r="DE705" s="1" t="s">
        <v>273</v>
      </c>
      <c r="DF705" s="1" t="s">
        <v>219</v>
      </c>
      <c r="DG705" s="1" t="s">
        <v>1020</v>
      </c>
      <c r="DH705" s="1" t="s">
        <v>220</v>
      </c>
      <c r="DI705" s="1" t="s">
        <v>8567</v>
      </c>
      <c r="DJ705" s="1" t="s">
        <v>222</v>
      </c>
      <c r="DL705" s="1" t="s">
        <v>223</v>
      </c>
      <c r="DM705" s="1" t="s">
        <v>338</v>
      </c>
      <c r="DN705" s="1" t="s">
        <v>548</v>
      </c>
      <c r="DO705" s="1" t="s">
        <v>486</v>
      </c>
      <c r="DP705" s="1" t="s">
        <v>276</v>
      </c>
      <c r="DQ705" s="1" t="s">
        <v>441</v>
      </c>
      <c r="DR705" s="1" t="s">
        <v>1185</v>
      </c>
      <c r="DS705" s="1" t="s">
        <v>368</v>
      </c>
      <c r="DU705" s="1" t="s">
        <v>8568</v>
      </c>
      <c r="DV705" s="1" t="s">
        <v>8569</v>
      </c>
      <c r="DW705" s="1" t="s">
        <v>444</v>
      </c>
      <c r="DX705" s="1" t="s">
        <v>234</v>
      </c>
      <c r="DY705" s="1" t="s">
        <v>704</v>
      </c>
      <c r="DZ705" s="1" t="s">
        <v>1661</v>
      </c>
      <c r="EA705" s="1" t="s">
        <v>344</v>
      </c>
      <c r="EB705" s="1" t="s">
        <v>8570</v>
      </c>
      <c r="EC705" s="1" t="s">
        <v>237</v>
      </c>
      <c r="ED705" s="1" t="s">
        <v>407</v>
      </c>
      <c r="EE705" s="1" t="s">
        <v>8571</v>
      </c>
      <c r="EG705" s="1" t="s">
        <v>449</v>
      </c>
      <c r="EH705" s="1" t="s">
        <v>408</v>
      </c>
      <c r="EI705" s="1" t="s">
        <v>2313</v>
      </c>
      <c r="EL705" s="1" t="s">
        <v>1939</v>
      </c>
      <c r="EM705" s="1" t="s">
        <v>206</v>
      </c>
      <c r="EN705" s="1" t="s">
        <v>207</v>
      </c>
      <c r="EP705" s="1" t="s">
        <v>1760</v>
      </c>
      <c r="EQ705" s="1" t="s">
        <v>206</v>
      </c>
      <c r="ER705" s="1" t="s">
        <v>207</v>
      </c>
      <c r="ET705" s="1" t="s">
        <v>558</v>
      </c>
      <c r="EU705" s="1" t="s">
        <v>206</v>
      </c>
      <c r="EY705" s="1" t="s">
        <v>238</v>
      </c>
      <c r="FC705" s="1" t="s">
        <v>238</v>
      </c>
      <c r="FF705" s="1" t="s">
        <v>239</v>
      </c>
      <c r="FG705" s="1" t="s">
        <v>192</v>
      </c>
      <c r="FH705" s="1" t="s">
        <v>192</v>
      </c>
      <c r="FJ705" s="1" t="s">
        <v>8572</v>
      </c>
      <c r="FK705" s="1" t="s">
        <v>229</v>
      </c>
      <c r="FL705" s="1" t="s">
        <v>3864</v>
      </c>
      <c r="FM705" s="1">
        <v>662.0</v>
      </c>
      <c r="FN705" s="1" t="s">
        <v>3865</v>
      </c>
      <c r="FO705" s="1" t="s">
        <v>8573</v>
      </c>
      <c r="FP705" s="1">
        <v>27.0</v>
      </c>
      <c r="FQ705" s="1" t="s">
        <v>8574</v>
      </c>
      <c r="FR705" s="1">
        <v>1763.0</v>
      </c>
      <c r="FU705" s="1" t="s">
        <v>8575</v>
      </c>
      <c r="FV705" s="1" t="s">
        <v>200</v>
      </c>
      <c r="FW705" s="1" t="s">
        <v>8576</v>
      </c>
      <c r="FZ705" s="1" t="s">
        <v>229</v>
      </c>
      <c r="GA705" s="1" t="s">
        <v>291</v>
      </c>
      <c r="GB705" s="2">
        <v>42111.0</v>
      </c>
      <c r="GC705" s="1" t="s">
        <v>8577</v>
      </c>
    </row>
    <row r="706">
      <c r="A706" s="1">
        <v>217000.0</v>
      </c>
      <c r="B706" s="1" t="s">
        <v>185</v>
      </c>
      <c r="C706" s="1" t="str">
        <f>"08803833"</f>
        <v>08803833</v>
      </c>
      <c r="D706" s="1" t="s">
        <v>186</v>
      </c>
      <c r="F706" s="1" t="str">
        <f>"140"</f>
        <v>140</v>
      </c>
      <c r="G706" s="2">
        <v>41991.0</v>
      </c>
      <c r="H706" s="1">
        <v>244900.0</v>
      </c>
      <c r="I706" s="1">
        <v>57.0</v>
      </c>
      <c r="J706" s="1">
        <v>224900.0</v>
      </c>
      <c r="K706" s="2">
        <v>42047.0</v>
      </c>
      <c r="L706" s="1">
        <v>57.0</v>
      </c>
      <c r="M706" s="2">
        <v>42047.0</v>
      </c>
      <c r="N706" s="1" t="s">
        <v>356</v>
      </c>
      <c r="O706" s="2">
        <v>42086.0</v>
      </c>
      <c r="P706" s="1">
        <v>233292.0</v>
      </c>
      <c r="Q706" s="1">
        <v>23030.0</v>
      </c>
      <c r="S706" s="1">
        <v>355.0</v>
      </c>
      <c r="T706" s="1" t="s">
        <v>4856</v>
      </c>
      <c r="U706" s="1" t="s">
        <v>4857</v>
      </c>
      <c r="V706" s="1" t="s">
        <v>4858</v>
      </c>
      <c r="W706" s="1">
        <v>60140.0</v>
      </c>
      <c r="Y706" s="1" t="s">
        <v>8578</v>
      </c>
      <c r="Z706" s="1" t="s">
        <v>296</v>
      </c>
      <c r="AA706" s="1" t="s">
        <v>200</v>
      </c>
      <c r="AB706" s="1" t="s">
        <v>193</v>
      </c>
      <c r="AD706" s="1" t="s">
        <v>4860</v>
      </c>
      <c r="AE706" s="1" t="s">
        <v>325</v>
      </c>
      <c r="AF706" s="1" t="s">
        <v>324</v>
      </c>
      <c r="AH706" s="1">
        <v>7067.0</v>
      </c>
      <c r="AI706" s="1">
        <v>0.1622</v>
      </c>
      <c r="AK706" s="1">
        <v>9.0</v>
      </c>
      <c r="AL706" s="1">
        <v>4.0</v>
      </c>
      <c r="AM706" s="1">
        <v>2.0</v>
      </c>
      <c r="AN706" s="1">
        <v>1.0</v>
      </c>
      <c r="AO706" s="1" t="s">
        <v>198</v>
      </c>
      <c r="AQ706" s="1" t="s">
        <v>198</v>
      </c>
      <c r="AR706" s="1" t="s">
        <v>200</v>
      </c>
      <c r="AS706" s="1" t="s">
        <v>199</v>
      </c>
      <c r="AT706" s="1">
        <v>2.0</v>
      </c>
      <c r="AV706" s="1" t="s">
        <v>200</v>
      </c>
      <c r="AW706" s="1">
        <v>8169.06</v>
      </c>
      <c r="AX706" s="1">
        <v>2013.0</v>
      </c>
      <c r="AY706" s="1" t="s">
        <v>387</v>
      </c>
      <c r="AZ706" s="1" t="s">
        <v>192</v>
      </c>
      <c r="BA706" s="1" t="str">
        <f>"0233202009"</f>
        <v>0233202009</v>
      </c>
      <c r="BC706" s="1">
        <v>0.0</v>
      </c>
      <c r="BD706" s="1">
        <v>217000.0</v>
      </c>
      <c r="BE706" s="2">
        <v>41991.0</v>
      </c>
      <c r="BF706" s="2" t="s">
        <v>8579</v>
      </c>
      <c r="BH706" s="1">
        <v>65.0</v>
      </c>
      <c r="BK706" s="1" t="s">
        <v>474</v>
      </c>
      <c r="BL706" s="1" t="str">
        <f t="shared" ref="BL706:BM706" si="475">""</f>
        <v/>
      </c>
      <c r="BM706" s="1" t="str">
        <f t="shared" si="475"/>
        <v/>
      </c>
      <c r="BQ706" s="1">
        <v>301.0</v>
      </c>
      <c r="BR706" s="1">
        <v>301.0</v>
      </c>
      <c r="BS706" s="1">
        <v>301.0</v>
      </c>
      <c r="BU706" s="1" t="s">
        <v>390</v>
      </c>
      <c r="BV706" s="1" t="s">
        <v>206</v>
      </c>
      <c r="BW706" s="1" t="s">
        <v>210</v>
      </c>
      <c r="BX706" s="1" t="s">
        <v>229</v>
      </c>
      <c r="BY706" s="1" t="s">
        <v>1279</v>
      </c>
      <c r="BZ706" s="1" t="s">
        <v>209</v>
      </c>
      <c r="CA706" s="1" t="s">
        <v>210</v>
      </c>
      <c r="CB706" s="1" t="s">
        <v>229</v>
      </c>
      <c r="CC706" s="1" t="s">
        <v>264</v>
      </c>
      <c r="CD706" s="1" t="s">
        <v>206</v>
      </c>
      <c r="CE706" s="1" t="s">
        <v>210</v>
      </c>
      <c r="CF706" s="1" t="s">
        <v>229</v>
      </c>
      <c r="CG706" s="1" t="s">
        <v>215</v>
      </c>
      <c r="CH706" s="1" t="s">
        <v>209</v>
      </c>
      <c r="CI706" s="1" t="s">
        <v>210</v>
      </c>
      <c r="CJ706" s="1" t="s">
        <v>229</v>
      </c>
      <c r="CK706" s="1" t="s">
        <v>211</v>
      </c>
      <c r="CL706" s="1" t="s">
        <v>209</v>
      </c>
      <c r="CM706" s="1" t="s">
        <v>210</v>
      </c>
      <c r="CN706" s="1" t="s">
        <v>229</v>
      </c>
      <c r="CO706" s="1" t="s">
        <v>212</v>
      </c>
      <c r="CP706" s="1" t="s">
        <v>209</v>
      </c>
      <c r="CQ706" s="1" t="s">
        <v>210</v>
      </c>
      <c r="CR706" s="1" t="s">
        <v>229</v>
      </c>
      <c r="CS706" s="1" t="s">
        <v>453</v>
      </c>
      <c r="CT706" s="1" t="s">
        <v>206</v>
      </c>
      <c r="CU706" s="1" t="s">
        <v>268</v>
      </c>
      <c r="CV706" s="1" t="s">
        <v>229</v>
      </c>
      <c r="CW706" s="1" t="s">
        <v>205</v>
      </c>
      <c r="CX706" s="1" t="s">
        <v>206</v>
      </c>
      <c r="CY706" s="1" t="s">
        <v>210</v>
      </c>
      <c r="CZ706" s="1" t="s">
        <v>229</v>
      </c>
      <c r="DA706" s="1" t="s">
        <v>200</v>
      </c>
      <c r="DC706" s="1" t="s">
        <v>335</v>
      </c>
      <c r="DE706" s="1" t="s">
        <v>273</v>
      </c>
      <c r="DF706" s="1" t="s">
        <v>219</v>
      </c>
      <c r="DH706" s="1" t="s">
        <v>220</v>
      </c>
      <c r="DJ706" s="1" t="s">
        <v>222</v>
      </c>
      <c r="DL706" s="1" t="s">
        <v>223</v>
      </c>
      <c r="DM706" s="1" t="s">
        <v>229</v>
      </c>
      <c r="DQ706" s="1" t="s">
        <v>228</v>
      </c>
      <c r="DR706" s="1" t="s">
        <v>229</v>
      </c>
      <c r="DV706" s="1" t="s">
        <v>598</v>
      </c>
      <c r="DW706" s="1" t="s">
        <v>233</v>
      </c>
      <c r="DX706" s="1" t="s">
        <v>234</v>
      </c>
      <c r="EC706" s="1" t="s">
        <v>237</v>
      </c>
      <c r="EG706" s="1" t="s">
        <v>598</v>
      </c>
      <c r="EL706" s="1" t="s">
        <v>497</v>
      </c>
      <c r="EM706" s="1" t="s">
        <v>206</v>
      </c>
      <c r="EN706" s="1" t="s">
        <v>210</v>
      </c>
      <c r="EO706" s="1" t="s">
        <v>229</v>
      </c>
      <c r="EQ706" s="1" t="s">
        <v>238</v>
      </c>
      <c r="EU706" s="1" t="s">
        <v>238</v>
      </c>
      <c r="EY706" s="1" t="s">
        <v>238</v>
      </c>
      <c r="FC706" s="1" t="s">
        <v>238</v>
      </c>
      <c r="FF706" s="1" t="s">
        <v>239</v>
      </c>
      <c r="FG706" s="1" t="s">
        <v>192</v>
      </c>
      <c r="FH706" s="1" t="s">
        <v>192</v>
      </c>
      <c r="FJ706" s="1" t="s">
        <v>347</v>
      </c>
      <c r="FK706" s="1" t="s">
        <v>229</v>
      </c>
      <c r="FL706" s="1" t="s">
        <v>4635</v>
      </c>
      <c r="FM706" s="1">
        <v>1666.0</v>
      </c>
      <c r="FN706" s="1" t="s">
        <v>4636</v>
      </c>
      <c r="FO706" s="1" t="s">
        <v>4637</v>
      </c>
      <c r="FP706" s="1">
        <v>26352.0</v>
      </c>
      <c r="FQ706" s="1" t="s">
        <v>4638</v>
      </c>
      <c r="FU706" s="1" t="s">
        <v>4639</v>
      </c>
      <c r="FV706" s="1" t="s">
        <v>200</v>
      </c>
      <c r="FW706" s="1" t="s">
        <v>354</v>
      </c>
      <c r="FZ706" s="1" t="s">
        <v>229</v>
      </c>
      <c r="GA706" s="1" t="s">
        <v>291</v>
      </c>
      <c r="GB706" s="2">
        <v>42087.0</v>
      </c>
      <c r="GC706" s="1" t="s">
        <v>4640</v>
      </c>
    </row>
    <row r="707">
      <c r="A707" s="1">
        <v>327700.0</v>
      </c>
      <c r="B707" s="1" t="s">
        <v>185</v>
      </c>
      <c r="C707" s="1" t="str">
        <f>"08802770"</f>
        <v>08802770</v>
      </c>
      <c r="D707" s="1" t="s">
        <v>186</v>
      </c>
      <c r="F707" s="1" t="str">
        <f>"118"</f>
        <v>118</v>
      </c>
      <c r="G707" s="2">
        <v>41989.0</v>
      </c>
      <c r="H707" s="1">
        <v>389900.0</v>
      </c>
      <c r="I707" s="1">
        <v>106.0</v>
      </c>
      <c r="J707" s="1">
        <v>349900.0</v>
      </c>
      <c r="K707" s="2">
        <v>42094.0</v>
      </c>
      <c r="L707" s="1">
        <v>106.0</v>
      </c>
      <c r="M707" s="2">
        <v>42094.0</v>
      </c>
      <c r="N707" s="1" t="s">
        <v>187</v>
      </c>
      <c r="O707" s="2">
        <v>42136.0</v>
      </c>
      <c r="P707" s="1">
        <v>77472.0</v>
      </c>
      <c r="Q707" s="1">
        <v>432.0</v>
      </c>
      <c r="S707" s="1">
        <v>1394.0</v>
      </c>
      <c r="T707" s="1" t="s">
        <v>8580</v>
      </c>
      <c r="U707" s="1" t="s">
        <v>420</v>
      </c>
      <c r="V707" s="1" t="s">
        <v>1086</v>
      </c>
      <c r="W707" s="1">
        <v>60118.0</v>
      </c>
      <c r="Y707" s="1" t="s">
        <v>8581</v>
      </c>
      <c r="Z707" s="1">
        <v>2005.0</v>
      </c>
      <c r="AA707" s="1" t="s">
        <v>200</v>
      </c>
      <c r="AB707" s="1" t="s">
        <v>193</v>
      </c>
      <c r="AC707" s="1" t="s">
        <v>8582</v>
      </c>
      <c r="AD707" s="1" t="s">
        <v>3394</v>
      </c>
      <c r="AE707" s="1" t="s">
        <v>325</v>
      </c>
      <c r="AF707" s="1" t="s">
        <v>810</v>
      </c>
      <c r="AG707" s="1" t="s">
        <v>8583</v>
      </c>
      <c r="AH707" s="1">
        <v>13939.0</v>
      </c>
      <c r="AI707" s="1">
        <v>0.32</v>
      </c>
      <c r="AK707" s="1">
        <v>11.0</v>
      </c>
      <c r="AL707" s="1">
        <v>4.0</v>
      </c>
      <c r="AM707" s="1">
        <v>2.0</v>
      </c>
      <c r="AN707" s="1">
        <v>1.0</v>
      </c>
      <c r="AO707" s="1" t="s">
        <v>198</v>
      </c>
      <c r="AP707" s="1">
        <v>1.0</v>
      </c>
      <c r="AQ707" s="1" t="s">
        <v>327</v>
      </c>
      <c r="AR707" s="1" t="s">
        <v>200</v>
      </c>
      <c r="AS707" s="1" t="s">
        <v>199</v>
      </c>
      <c r="AT707" s="1">
        <v>3.0</v>
      </c>
      <c r="AV707" s="1" t="s">
        <v>200</v>
      </c>
      <c r="AW707" s="1">
        <v>10789.0</v>
      </c>
      <c r="AX707" s="1">
        <v>2013.0</v>
      </c>
      <c r="AY707" s="1" t="s">
        <v>387</v>
      </c>
      <c r="AZ707" s="1" t="s">
        <v>200</v>
      </c>
      <c r="BA707" s="1" t="str">
        <f>"0317431014"</f>
        <v>0317431014</v>
      </c>
      <c r="BC707" s="1">
        <v>3276.0</v>
      </c>
      <c r="BD707" s="1">
        <v>327700.0</v>
      </c>
      <c r="BE707" s="2">
        <v>41989.0</v>
      </c>
      <c r="BF707" s="2" t="s">
        <v>8584</v>
      </c>
      <c r="BH707" s="1">
        <v>200.0</v>
      </c>
      <c r="BK707" s="1" t="s">
        <v>580</v>
      </c>
      <c r="BL707" s="1" t="str">
        <f>"17"</f>
        <v>17</v>
      </c>
      <c r="BM707" s="1" t="str">
        <f>"0"</f>
        <v>0</v>
      </c>
      <c r="BN707" s="1">
        <v>36.0</v>
      </c>
      <c r="BO707" s="1">
        <v>0.0</v>
      </c>
      <c r="BP707" s="1" t="s">
        <v>8585</v>
      </c>
      <c r="BQ707" s="1">
        <v>300.0</v>
      </c>
      <c r="BR707" s="1">
        <v>300.0</v>
      </c>
      <c r="BS707" s="1">
        <v>300.0</v>
      </c>
      <c r="BU707" s="1" t="s">
        <v>211</v>
      </c>
      <c r="BV707" s="1" t="s">
        <v>206</v>
      </c>
      <c r="BW707" s="1" t="s">
        <v>210</v>
      </c>
      <c r="BX707" s="1" t="s">
        <v>229</v>
      </c>
      <c r="BY707" s="1" t="s">
        <v>480</v>
      </c>
      <c r="BZ707" s="1" t="s">
        <v>209</v>
      </c>
      <c r="CA707" s="1" t="s">
        <v>210</v>
      </c>
      <c r="CB707" s="1" t="s">
        <v>229</v>
      </c>
      <c r="CC707" s="1" t="s">
        <v>215</v>
      </c>
      <c r="CD707" s="1" t="s">
        <v>206</v>
      </c>
      <c r="CE707" s="1" t="s">
        <v>207</v>
      </c>
      <c r="CF707" s="1" t="s">
        <v>229</v>
      </c>
      <c r="CG707" s="1" t="s">
        <v>262</v>
      </c>
      <c r="CH707" s="1" t="s">
        <v>209</v>
      </c>
      <c r="CI707" s="1" t="s">
        <v>210</v>
      </c>
      <c r="CJ707" s="1" t="s">
        <v>229</v>
      </c>
      <c r="CK707" s="1" t="s">
        <v>331</v>
      </c>
      <c r="CL707" s="1" t="s">
        <v>209</v>
      </c>
      <c r="CM707" s="1" t="s">
        <v>210</v>
      </c>
      <c r="CN707" s="1" t="s">
        <v>229</v>
      </c>
      <c r="CO707" s="1" t="s">
        <v>215</v>
      </c>
      <c r="CP707" s="1" t="s">
        <v>209</v>
      </c>
      <c r="CQ707" s="1" t="s">
        <v>210</v>
      </c>
      <c r="CR707" s="1" t="s">
        <v>229</v>
      </c>
      <c r="CS707" s="1" t="s">
        <v>332</v>
      </c>
      <c r="CT707" s="1" t="s">
        <v>206</v>
      </c>
      <c r="CU707" s="1" t="s">
        <v>207</v>
      </c>
      <c r="CV707" s="1" t="s">
        <v>229</v>
      </c>
      <c r="CW707" s="1" t="s">
        <v>639</v>
      </c>
      <c r="CX707" s="1" t="s">
        <v>206</v>
      </c>
      <c r="CY707" s="1" t="s">
        <v>210</v>
      </c>
      <c r="CZ707" s="1" t="s">
        <v>229</v>
      </c>
      <c r="DA707" s="1" t="s">
        <v>200</v>
      </c>
      <c r="DC707" s="1" t="s">
        <v>481</v>
      </c>
      <c r="DD707" s="1" t="s">
        <v>586</v>
      </c>
      <c r="DE707" s="1" t="s">
        <v>273</v>
      </c>
      <c r="DF707" s="1" t="s">
        <v>219</v>
      </c>
      <c r="DG707" s="1" t="s">
        <v>337</v>
      </c>
      <c r="DH707" s="1" t="s">
        <v>220</v>
      </c>
      <c r="DJ707" s="1" t="s">
        <v>222</v>
      </c>
      <c r="DK707" s="1" t="s">
        <v>223</v>
      </c>
      <c r="DL707" s="1" t="s">
        <v>791</v>
      </c>
      <c r="DM707" s="1" t="s">
        <v>229</v>
      </c>
      <c r="DN707" s="1" t="s">
        <v>399</v>
      </c>
      <c r="DP707" s="1" t="s">
        <v>340</v>
      </c>
      <c r="DQ707" s="1" t="s">
        <v>441</v>
      </c>
      <c r="DR707" s="1" t="s">
        <v>229</v>
      </c>
      <c r="DS707" s="1" t="s">
        <v>230</v>
      </c>
      <c r="DV707" s="1" t="s">
        <v>7853</v>
      </c>
      <c r="DW707" s="1" t="s">
        <v>233</v>
      </c>
      <c r="DX707" s="1" t="s">
        <v>234</v>
      </c>
      <c r="DY707" s="1" t="s">
        <v>1006</v>
      </c>
      <c r="DZ707" s="1" t="s">
        <v>282</v>
      </c>
      <c r="EA707" s="1" t="s">
        <v>344</v>
      </c>
      <c r="EB707" s="1" t="s">
        <v>937</v>
      </c>
      <c r="EC707" s="1" t="s">
        <v>237</v>
      </c>
      <c r="EG707" s="1" t="s">
        <v>449</v>
      </c>
      <c r="EH707" s="1" t="s">
        <v>408</v>
      </c>
      <c r="EI707" s="1" t="s">
        <v>1121</v>
      </c>
      <c r="EJ707" s="1" t="s">
        <v>494</v>
      </c>
      <c r="EL707" s="1" t="s">
        <v>363</v>
      </c>
      <c r="EM707" s="1" t="s">
        <v>206</v>
      </c>
      <c r="EN707" s="1" t="s">
        <v>207</v>
      </c>
      <c r="EO707" s="1" t="s">
        <v>229</v>
      </c>
      <c r="EP707" s="1" t="s">
        <v>798</v>
      </c>
      <c r="EQ707" s="1" t="s">
        <v>206</v>
      </c>
      <c r="ER707" s="1" t="s">
        <v>207</v>
      </c>
      <c r="ES707" s="1" t="s">
        <v>229</v>
      </c>
      <c r="ET707" s="1" t="s">
        <v>495</v>
      </c>
      <c r="EU707" s="1" t="s">
        <v>209</v>
      </c>
      <c r="EV707" s="1" t="s">
        <v>210</v>
      </c>
      <c r="EW707" s="1" t="s">
        <v>229</v>
      </c>
      <c r="EX707" s="1" t="s">
        <v>215</v>
      </c>
      <c r="EY707" s="1" t="s">
        <v>206</v>
      </c>
      <c r="EZ707" s="1" t="s">
        <v>210</v>
      </c>
      <c r="FA707" s="1" t="s">
        <v>229</v>
      </c>
      <c r="FC707" s="1" t="s">
        <v>238</v>
      </c>
      <c r="FF707" s="1" t="s">
        <v>239</v>
      </c>
      <c r="FG707" s="1" t="s">
        <v>192</v>
      </c>
      <c r="FH707" s="1" t="s">
        <v>192</v>
      </c>
      <c r="FJ707" s="1" t="s">
        <v>347</v>
      </c>
      <c r="FK707" s="1" t="s">
        <v>229</v>
      </c>
      <c r="FL707" s="1" t="s">
        <v>4635</v>
      </c>
      <c r="FM707" s="1">
        <v>1666.0</v>
      </c>
      <c r="FN707" s="1" t="s">
        <v>4636</v>
      </c>
      <c r="FO707" s="1" t="s">
        <v>4637</v>
      </c>
      <c r="FP707" s="1">
        <v>26352.0</v>
      </c>
      <c r="FQ707" s="1" t="s">
        <v>4638</v>
      </c>
      <c r="FU707" s="1" t="s">
        <v>8586</v>
      </c>
      <c r="FV707" s="1" t="s">
        <v>200</v>
      </c>
      <c r="FW707" s="1" t="s">
        <v>354</v>
      </c>
      <c r="FZ707" s="1" t="s">
        <v>229</v>
      </c>
      <c r="GA707" s="1" t="s">
        <v>291</v>
      </c>
      <c r="GB707" s="2">
        <v>42136.0</v>
      </c>
      <c r="GC707" s="1" t="s">
        <v>4640</v>
      </c>
    </row>
    <row r="708">
      <c r="A708" s="1">
        <v>173000.0</v>
      </c>
      <c r="B708" s="1" t="s">
        <v>185</v>
      </c>
      <c r="C708" s="1" t="str">
        <f>"08803055"</f>
        <v>08803055</v>
      </c>
      <c r="D708" s="1" t="s">
        <v>186</v>
      </c>
      <c r="F708" s="1" t="str">
        <f>"545"</f>
        <v>545</v>
      </c>
      <c r="G708" s="2">
        <v>41989.0</v>
      </c>
      <c r="H708" s="1">
        <v>174900.0</v>
      </c>
      <c r="I708" s="1">
        <v>21.0</v>
      </c>
      <c r="J708" s="1">
        <v>174900.0</v>
      </c>
      <c r="K708" s="2">
        <v>42009.0</v>
      </c>
      <c r="L708" s="1">
        <v>21.0</v>
      </c>
      <c r="M708" s="2">
        <v>42009.0</v>
      </c>
      <c r="N708" s="1" t="s">
        <v>187</v>
      </c>
      <c r="O708" s="2">
        <v>42053.0</v>
      </c>
      <c r="P708" s="1">
        <v>242867.0</v>
      </c>
      <c r="Q708" s="1">
        <v>22588.0</v>
      </c>
      <c r="R708" s="1">
        <v>1479.0</v>
      </c>
      <c r="S708" s="1">
        <v>4214.0</v>
      </c>
      <c r="T708" s="1" t="s">
        <v>8587</v>
      </c>
      <c r="U708" s="1" t="s">
        <v>320</v>
      </c>
      <c r="V708" s="1" t="s">
        <v>3364</v>
      </c>
      <c r="W708" s="1">
        <v>60545.0</v>
      </c>
      <c r="Y708" s="1" t="s">
        <v>8588</v>
      </c>
      <c r="Z708" s="1">
        <v>2005.0</v>
      </c>
      <c r="AA708" s="1" t="s">
        <v>200</v>
      </c>
      <c r="AB708" s="1" t="s">
        <v>193</v>
      </c>
      <c r="AD708" s="1" t="s">
        <v>3366</v>
      </c>
      <c r="AE708" s="1" t="s">
        <v>849</v>
      </c>
      <c r="AF708" s="1" t="s">
        <v>3367</v>
      </c>
      <c r="AH708" s="1" t="s">
        <v>8589</v>
      </c>
      <c r="AI708" s="1">
        <v>0.22</v>
      </c>
      <c r="AK708" s="1">
        <v>10.0</v>
      </c>
      <c r="AL708" s="1">
        <v>3.0</v>
      </c>
      <c r="AM708" s="1">
        <v>3.0</v>
      </c>
      <c r="AN708" s="1">
        <v>1.0</v>
      </c>
      <c r="AO708" s="1" t="s">
        <v>198</v>
      </c>
      <c r="AP708" s="1">
        <v>1.0</v>
      </c>
      <c r="AQ708" s="1" t="s">
        <v>1314</v>
      </c>
      <c r="AR708" s="1" t="s">
        <v>192</v>
      </c>
      <c r="AS708" s="1" t="s">
        <v>199</v>
      </c>
      <c r="AT708" s="1">
        <v>2.0</v>
      </c>
      <c r="AV708" s="1" t="s">
        <v>200</v>
      </c>
      <c r="AW708" s="1">
        <v>3565.8</v>
      </c>
      <c r="AX708" s="1">
        <v>2013.0</v>
      </c>
      <c r="AY708" s="1" t="s">
        <v>387</v>
      </c>
      <c r="AZ708" s="1" t="s">
        <v>192</v>
      </c>
      <c r="BA708" s="1" t="str">
        <f>"0125251012"</f>
        <v>0125251012</v>
      </c>
      <c r="BB708" s="1" t="s">
        <v>200</v>
      </c>
      <c r="BC708" s="1">
        <v>0.0</v>
      </c>
      <c r="BD708" s="1">
        <v>173000.0</v>
      </c>
      <c r="BE708" s="2">
        <v>41989.0</v>
      </c>
      <c r="BF708" s="2" t="s">
        <v>8590</v>
      </c>
      <c r="BH708" s="1">
        <v>36.0</v>
      </c>
      <c r="BK708" s="1" t="s">
        <v>474</v>
      </c>
      <c r="BL708" s="1" t="str">
        <f t="shared" ref="BL708:BM708" si="476">""</f>
        <v/>
      </c>
      <c r="BM708" s="1" t="str">
        <f t="shared" si="476"/>
        <v/>
      </c>
      <c r="BQ708" s="1">
        <v>88.0</v>
      </c>
      <c r="BR708" s="1">
        <v>88.0</v>
      </c>
      <c r="BS708" s="1">
        <v>88.0</v>
      </c>
      <c r="BU708" s="1" t="s">
        <v>904</v>
      </c>
      <c r="BV708" s="1" t="s">
        <v>206</v>
      </c>
      <c r="BW708" s="1" t="s">
        <v>210</v>
      </c>
      <c r="BX708" s="1" t="s">
        <v>431</v>
      </c>
      <c r="BY708" s="1" t="s">
        <v>758</v>
      </c>
      <c r="BZ708" s="1" t="s">
        <v>209</v>
      </c>
      <c r="CA708" s="1" t="s">
        <v>210</v>
      </c>
      <c r="CB708" s="1" t="s">
        <v>431</v>
      </c>
      <c r="CC708" s="1" t="s">
        <v>212</v>
      </c>
      <c r="CD708" s="1" t="s">
        <v>206</v>
      </c>
      <c r="CE708" s="1" t="s">
        <v>210</v>
      </c>
      <c r="CF708" s="1" t="s">
        <v>431</v>
      </c>
      <c r="CG708" s="1" t="s">
        <v>212</v>
      </c>
      <c r="CH708" s="1" t="s">
        <v>209</v>
      </c>
      <c r="CI708" s="1" t="s">
        <v>210</v>
      </c>
      <c r="CJ708" s="1" t="s">
        <v>431</v>
      </c>
      <c r="CK708" s="1" t="s">
        <v>264</v>
      </c>
      <c r="CL708" s="1" t="s">
        <v>209</v>
      </c>
      <c r="CM708" s="1" t="s">
        <v>210</v>
      </c>
      <c r="CN708" s="1" t="s">
        <v>431</v>
      </c>
      <c r="CO708" s="1" t="s">
        <v>265</v>
      </c>
      <c r="CP708" s="1" t="s">
        <v>42</v>
      </c>
      <c r="CQ708" s="1" t="s">
        <v>210</v>
      </c>
      <c r="CR708" s="1" t="s">
        <v>229</v>
      </c>
      <c r="CS708" s="1" t="s">
        <v>8591</v>
      </c>
      <c r="CT708" s="1" t="s">
        <v>206</v>
      </c>
      <c r="CU708" s="1" t="s">
        <v>617</v>
      </c>
      <c r="CV708" s="1" t="s">
        <v>431</v>
      </c>
      <c r="CW708" s="1" t="s">
        <v>584</v>
      </c>
      <c r="CX708" s="1" t="s">
        <v>206</v>
      </c>
      <c r="CY708" s="1" t="s">
        <v>210</v>
      </c>
      <c r="CZ708" s="1" t="s">
        <v>431</v>
      </c>
      <c r="DA708" s="1" t="s">
        <v>200</v>
      </c>
      <c r="DC708" s="1" t="s">
        <v>481</v>
      </c>
      <c r="DD708" s="1" t="s">
        <v>396</v>
      </c>
      <c r="DE708" s="1" t="s">
        <v>273</v>
      </c>
      <c r="DF708" s="1" t="s">
        <v>219</v>
      </c>
      <c r="DG708" s="1" t="s">
        <v>1602</v>
      </c>
      <c r="DH708" s="1" t="s">
        <v>220</v>
      </c>
      <c r="DI708" s="1" t="s">
        <v>4608</v>
      </c>
      <c r="DJ708" s="1" t="s">
        <v>222</v>
      </c>
      <c r="DK708" s="1" t="s">
        <v>223</v>
      </c>
      <c r="DL708" s="1" t="s">
        <v>1267</v>
      </c>
      <c r="DM708" s="1" t="s">
        <v>338</v>
      </c>
      <c r="DP708" s="1" t="s">
        <v>276</v>
      </c>
      <c r="DQ708" s="1" t="s">
        <v>228</v>
      </c>
      <c r="DR708" s="1" t="s">
        <v>8592</v>
      </c>
      <c r="DS708" s="1" t="s">
        <v>230</v>
      </c>
      <c r="DU708" s="1" t="s">
        <v>8424</v>
      </c>
      <c r="DV708" s="1" t="s">
        <v>8593</v>
      </c>
      <c r="DW708" s="1" t="s">
        <v>233</v>
      </c>
      <c r="DX708" s="1" t="s">
        <v>234</v>
      </c>
      <c r="DY708" s="1" t="s">
        <v>8594</v>
      </c>
      <c r="DZ708" s="1" t="s">
        <v>766</v>
      </c>
      <c r="EB708" s="1" t="s">
        <v>767</v>
      </c>
      <c r="EC708" s="1" t="s">
        <v>237</v>
      </c>
      <c r="ED708" s="1" t="s">
        <v>555</v>
      </c>
      <c r="EG708" s="1" t="s">
        <v>598</v>
      </c>
      <c r="EH708" s="1" t="s">
        <v>408</v>
      </c>
      <c r="EI708" s="1" t="s">
        <v>450</v>
      </c>
      <c r="EJ708" s="1" t="s">
        <v>1103</v>
      </c>
      <c r="EK708" s="1" t="s">
        <v>1103</v>
      </c>
      <c r="EL708" s="1" t="s">
        <v>1796</v>
      </c>
      <c r="EM708" s="1" t="s">
        <v>42</v>
      </c>
      <c r="EN708" s="1" t="s">
        <v>210</v>
      </c>
      <c r="EO708" s="1" t="s">
        <v>229</v>
      </c>
      <c r="EP708" s="1" t="s">
        <v>560</v>
      </c>
      <c r="EQ708" s="1" t="s">
        <v>206</v>
      </c>
      <c r="ER708" s="1" t="s">
        <v>617</v>
      </c>
      <c r="ES708" s="1" t="s">
        <v>431</v>
      </c>
      <c r="ET708" s="1" t="s">
        <v>955</v>
      </c>
      <c r="EU708" s="1" t="s">
        <v>42</v>
      </c>
      <c r="EV708" s="1" t="s">
        <v>210</v>
      </c>
      <c r="EX708" s="1" t="s">
        <v>8238</v>
      </c>
      <c r="EY708" s="1" t="s">
        <v>42</v>
      </c>
      <c r="EZ708" s="1" t="s">
        <v>210</v>
      </c>
      <c r="FB708" s="1" t="s">
        <v>584</v>
      </c>
      <c r="FC708" s="1" t="s">
        <v>42</v>
      </c>
      <c r="FD708" s="1" t="s">
        <v>588</v>
      </c>
      <c r="FE708" s="1" t="s">
        <v>229</v>
      </c>
      <c r="FF708" s="1" t="s">
        <v>239</v>
      </c>
      <c r="FG708" s="1" t="s">
        <v>200</v>
      </c>
      <c r="FH708" s="1" t="s">
        <v>192</v>
      </c>
      <c r="FJ708" s="1" t="s">
        <v>455</v>
      </c>
      <c r="FK708" s="1" t="s">
        <v>229</v>
      </c>
      <c r="FL708" s="1" t="s">
        <v>4309</v>
      </c>
      <c r="FM708" s="1">
        <v>87.0</v>
      </c>
      <c r="FN708" s="1" t="s">
        <v>5753</v>
      </c>
      <c r="FO708" s="1" t="s">
        <v>8595</v>
      </c>
      <c r="FP708" s="1">
        <v>8791.0</v>
      </c>
      <c r="FQ708" s="1" t="s">
        <v>8596</v>
      </c>
      <c r="FS708" s="1" t="s">
        <v>8597</v>
      </c>
      <c r="FU708" s="1" t="s">
        <v>2001</v>
      </c>
      <c r="FV708" s="1" t="s">
        <v>200</v>
      </c>
      <c r="FW708" s="1" t="s">
        <v>530</v>
      </c>
      <c r="FZ708" s="1" t="s">
        <v>632</v>
      </c>
      <c r="GA708" s="1" t="s">
        <v>291</v>
      </c>
      <c r="GB708" s="2">
        <v>42053.0</v>
      </c>
      <c r="GC708" s="1" t="s">
        <v>8598</v>
      </c>
    </row>
    <row r="709">
      <c r="A709" s="1">
        <v>251000.0</v>
      </c>
      <c r="B709" s="1" t="s">
        <v>185</v>
      </c>
      <c r="C709" s="1" t="str">
        <f>"08806339"</f>
        <v>08806339</v>
      </c>
      <c r="D709" s="1" t="s">
        <v>186</v>
      </c>
      <c r="F709" s="1" t="str">
        <f>"140"</f>
        <v>140</v>
      </c>
      <c r="G709" s="2">
        <v>41999.0</v>
      </c>
      <c r="H709" s="1">
        <v>250000.0</v>
      </c>
      <c r="I709" s="1">
        <v>55.0</v>
      </c>
      <c r="J709" s="1">
        <v>250000.0</v>
      </c>
      <c r="K709" s="2">
        <v>42053.0</v>
      </c>
      <c r="L709" s="1">
        <v>55.0</v>
      </c>
      <c r="M709" s="2">
        <v>42053.0</v>
      </c>
      <c r="N709" s="1" t="s">
        <v>187</v>
      </c>
      <c r="O709" s="2">
        <v>42137.0</v>
      </c>
      <c r="P709" s="1">
        <v>253586.0</v>
      </c>
      <c r="Q709" s="1">
        <v>8073.0</v>
      </c>
      <c r="R709" s="1">
        <v>6000.0</v>
      </c>
      <c r="S709" s="1">
        <v>1229.0</v>
      </c>
      <c r="T709" s="1" t="s">
        <v>8599</v>
      </c>
      <c r="U709" s="1" t="s">
        <v>4857</v>
      </c>
      <c r="V709" s="1" t="s">
        <v>321</v>
      </c>
      <c r="W709" s="1">
        <v>60140.0</v>
      </c>
      <c r="Y709" s="1" t="s">
        <v>8600</v>
      </c>
      <c r="Z709" s="1">
        <v>2008.0</v>
      </c>
      <c r="AA709" s="1" t="s">
        <v>200</v>
      </c>
      <c r="AB709" s="1" t="s">
        <v>193</v>
      </c>
      <c r="AC709" s="1" t="s">
        <v>7514</v>
      </c>
      <c r="AD709" s="1" t="s">
        <v>324</v>
      </c>
      <c r="AE709" s="1" t="s">
        <v>325</v>
      </c>
      <c r="AF709" s="1" t="s">
        <v>324</v>
      </c>
      <c r="AG709" s="1" t="s">
        <v>8601</v>
      </c>
      <c r="AH709" s="1" t="s">
        <v>8602</v>
      </c>
      <c r="AK709" s="1">
        <v>9.0</v>
      </c>
      <c r="AL709" s="1">
        <v>4.0</v>
      </c>
      <c r="AM709" s="1">
        <v>2.0</v>
      </c>
      <c r="AN709" s="1">
        <v>1.0</v>
      </c>
      <c r="AO709" s="1" t="s">
        <v>198</v>
      </c>
      <c r="AP709" s="1">
        <v>0.0</v>
      </c>
      <c r="AQ709" s="1" t="s">
        <v>198</v>
      </c>
      <c r="AR709" s="1" t="s">
        <v>200</v>
      </c>
      <c r="AS709" s="1" t="s">
        <v>199</v>
      </c>
      <c r="AT709" s="1">
        <v>3.0</v>
      </c>
      <c r="AV709" s="1" t="s">
        <v>200</v>
      </c>
      <c r="AW709" s="1" t="s">
        <v>575</v>
      </c>
      <c r="AX709" s="1">
        <v>2013.0</v>
      </c>
      <c r="AY709" s="1" t="s">
        <v>229</v>
      </c>
      <c r="AZ709" s="1" t="s">
        <v>192</v>
      </c>
      <c r="BA709" s="1" t="str">
        <f>"0126181002"</f>
        <v>0126181002</v>
      </c>
      <c r="BC709" s="1">
        <v>2520.0</v>
      </c>
      <c r="BD709" s="1">
        <v>251000.0</v>
      </c>
      <c r="BE709" s="2">
        <v>41999.0</v>
      </c>
      <c r="BF709" s="2" t="s">
        <v>8603</v>
      </c>
      <c r="BG709" s="1" t="s">
        <v>7518</v>
      </c>
      <c r="BH709" s="1">
        <v>364.0</v>
      </c>
      <c r="BI709" s="1" t="s">
        <v>5040</v>
      </c>
      <c r="BJ709" s="1" t="s">
        <v>1182</v>
      </c>
      <c r="BK709" s="1" t="s">
        <v>580</v>
      </c>
      <c r="BL709" s="1" t="str">
        <f>"6"</f>
        <v>6</v>
      </c>
      <c r="BM709" s="1" t="str">
        <f>"0"</f>
        <v>0</v>
      </c>
      <c r="BN709" s="1">
        <v>45.0</v>
      </c>
      <c r="BO709" s="1">
        <v>0.0</v>
      </c>
      <c r="BQ709" s="1">
        <v>300.0</v>
      </c>
      <c r="BR709" s="1">
        <v>300.0</v>
      </c>
      <c r="BS709" s="1">
        <v>300.0</v>
      </c>
      <c r="BU709" s="1" t="s">
        <v>215</v>
      </c>
      <c r="BV709" s="1" t="s">
        <v>206</v>
      </c>
      <c r="BW709" s="1" t="s">
        <v>210</v>
      </c>
      <c r="BX709" s="1" t="s">
        <v>229</v>
      </c>
      <c r="BY709" s="1" t="s">
        <v>743</v>
      </c>
      <c r="BZ709" s="1" t="s">
        <v>209</v>
      </c>
      <c r="CA709" s="1" t="s">
        <v>210</v>
      </c>
      <c r="CB709" s="1" t="s">
        <v>229</v>
      </c>
      <c r="CC709" s="1" t="s">
        <v>332</v>
      </c>
      <c r="CD709" s="1" t="s">
        <v>206</v>
      </c>
      <c r="CE709" s="1" t="s">
        <v>210</v>
      </c>
      <c r="CF709" s="1" t="s">
        <v>229</v>
      </c>
      <c r="CG709" s="1" t="s">
        <v>497</v>
      </c>
      <c r="CH709" s="1" t="s">
        <v>209</v>
      </c>
      <c r="CI709" s="1" t="s">
        <v>210</v>
      </c>
      <c r="CJ709" s="1" t="s">
        <v>229</v>
      </c>
      <c r="CK709" s="1" t="s">
        <v>699</v>
      </c>
      <c r="CL709" s="1" t="s">
        <v>209</v>
      </c>
      <c r="CM709" s="1" t="s">
        <v>210</v>
      </c>
      <c r="CN709" s="1" t="s">
        <v>229</v>
      </c>
      <c r="CO709" s="1" t="s">
        <v>269</v>
      </c>
      <c r="CP709" s="1" t="s">
        <v>209</v>
      </c>
      <c r="CQ709" s="1" t="s">
        <v>210</v>
      </c>
      <c r="CR709" s="1" t="s">
        <v>229</v>
      </c>
      <c r="CS709" s="1" t="s">
        <v>784</v>
      </c>
      <c r="CT709" s="1" t="s">
        <v>206</v>
      </c>
      <c r="CU709" s="1" t="s">
        <v>268</v>
      </c>
      <c r="CV709" s="1" t="s">
        <v>229</v>
      </c>
      <c r="CW709" s="1" t="s">
        <v>677</v>
      </c>
      <c r="CX709" s="1" t="s">
        <v>206</v>
      </c>
      <c r="CY709" s="1" t="s">
        <v>210</v>
      </c>
      <c r="CZ709" s="1" t="s">
        <v>229</v>
      </c>
      <c r="DA709" s="1" t="s">
        <v>200</v>
      </c>
      <c r="DC709" s="1" t="s">
        <v>481</v>
      </c>
      <c r="DD709" s="1" t="s">
        <v>436</v>
      </c>
      <c r="DE709" s="1" t="s">
        <v>229</v>
      </c>
      <c r="DF709" s="1" t="s">
        <v>219</v>
      </c>
      <c r="DG709" s="1" t="s">
        <v>1160</v>
      </c>
      <c r="DH709" s="1" t="s">
        <v>220</v>
      </c>
      <c r="DI709" s="1" t="s">
        <v>1003</v>
      </c>
      <c r="DJ709" s="1" t="s">
        <v>222</v>
      </c>
      <c r="DK709" s="1" t="s">
        <v>223</v>
      </c>
      <c r="DL709" s="1" t="s">
        <v>223</v>
      </c>
      <c r="DM709" s="1" t="s">
        <v>338</v>
      </c>
      <c r="DN709" s="1" t="s">
        <v>548</v>
      </c>
      <c r="DP709" s="1" t="s">
        <v>340</v>
      </c>
      <c r="DQ709" s="1" t="s">
        <v>441</v>
      </c>
      <c r="DR709" s="1" t="s">
        <v>588</v>
      </c>
      <c r="DU709" s="1" t="s">
        <v>7519</v>
      </c>
      <c r="DV709" s="1" t="s">
        <v>8604</v>
      </c>
      <c r="DW709" s="1" t="s">
        <v>279</v>
      </c>
      <c r="DX709" s="1" t="s">
        <v>234</v>
      </c>
      <c r="EA709" s="1" t="s">
        <v>344</v>
      </c>
      <c r="EC709" s="1" t="s">
        <v>237</v>
      </c>
      <c r="EG709" s="1" t="s">
        <v>720</v>
      </c>
      <c r="EH709" s="1" t="s">
        <v>494</v>
      </c>
      <c r="EL709" s="1" t="s">
        <v>2223</v>
      </c>
      <c r="EM709" s="1" t="s">
        <v>206</v>
      </c>
      <c r="EN709" s="1" t="s">
        <v>268</v>
      </c>
      <c r="EO709" s="1" t="s">
        <v>229</v>
      </c>
      <c r="EP709" s="1" t="s">
        <v>363</v>
      </c>
      <c r="EQ709" s="1" t="s">
        <v>206</v>
      </c>
      <c r="ER709" s="1" t="s">
        <v>210</v>
      </c>
      <c r="ES709" s="1" t="s">
        <v>229</v>
      </c>
      <c r="EU709" s="1" t="s">
        <v>238</v>
      </c>
      <c r="EY709" s="1" t="s">
        <v>238</v>
      </c>
      <c r="FC709" s="1" t="s">
        <v>238</v>
      </c>
      <c r="FF709" s="1" t="s">
        <v>239</v>
      </c>
      <c r="FG709" s="1" t="s">
        <v>192</v>
      </c>
      <c r="FH709" s="1" t="s">
        <v>192</v>
      </c>
      <c r="FJ709" s="1" t="s">
        <v>7521</v>
      </c>
      <c r="FK709" s="1" t="s">
        <v>229</v>
      </c>
      <c r="FL709" s="1" t="s">
        <v>4369</v>
      </c>
      <c r="FM709" s="1">
        <v>23120.0</v>
      </c>
      <c r="FN709" s="1" t="s">
        <v>4370</v>
      </c>
      <c r="FO709" s="1" t="s">
        <v>7522</v>
      </c>
      <c r="FP709" s="1">
        <v>225948.0</v>
      </c>
      <c r="FQ709" s="1" t="s">
        <v>7523</v>
      </c>
      <c r="FU709" s="1" t="s">
        <v>2001</v>
      </c>
      <c r="FV709" s="1" t="s">
        <v>200</v>
      </c>
      <c r="FW709" s="1" t="s">
        <v>290</v>
      </c>
      <c r="FZ709" s="1" t="s">
        <v>229</v>
      </c>
      <c r="GA709" s="1" t="s">
        <v>291</v>
      </c>
      <c r="GB709" s="2">
        <v>42137.0</v>
      </c>
    </row>
    <row r="710">
      <c r="A710" s="1">
        <v>110000.0</v>
      </c>
      <c r="B710" s="1" t="s">
        <v>185</v>
      </c>
      <c r="C710" s="1" t="str">
        <f>"08808035"</f>
        <v>08808035</v>
      </c>
      <c r="D710" s="1" t="s">
        <v>186</v>
      </c>
      <c r="F710" s="1" t="str">
        <f>"8065"</f>
        <v>8065</v>
      </c>
      <c r="G710" s="2">
        <v>42005.0</v>
      </c>
      <c r="H710" s="1">
        <v>125900.0</v>
      </c>
      <c r="I710" s="1">
        <v>48.0</v>
      </c>
      <c r="J710" s="1">
        <v>114000.0</v>
      </c>
      <c r="K710" s="2">
        <v>42049.0</v>
      </c>
      <c r="L710" s="1">
        <v>48.0</v>
      </c>
      <c r="M710" s="2">
        <v>42049.0</v>
      </c>
      <c r="N710" s="1" t="s">
        <v>249</v>
      </c>
      <c r="O710" s="2">
        <v>42060.0</v>
      </c>
      <c r="P710" s="1">
        <v>228059.0</v>
      </c>
      <c r="Q710" s="1">
        <v>60321.0</v>
      </c>
      <c r="S710" s="1">
        <v>6525.0</v>
      </c>
      <c r="T710" s="1" t="s">
        <v>7379</v>
      </c>
      <c r="U710" s="1" t="s">
        <v>189</v>
      </c>
      <c r="V710" s="1" t="s">
        <v>190</v>
      </c>
      <c r="W710" s="1">
        <v>60629.0</v>
      </c>
      <c r="Y710" s="1" t="s">
        <v>8605</v>
      </c>
      <c r="Z710" s="1" t="s">
        <v>296</v>
      </c>
      <c r="AA710" s="1" t="s">
        <v>192</v>
      </c>
      <c r="AB710" s="1" t="s">
        <v>193</v>
      </c>
      <c r="AD710" s="1" t="s">
        <v>194</v>
      </c>
      <c r="AE710" s="1" t="s">
        <v>195</v>
      </c>
      <c r="AF710" s="1" t="s">
        <v>659</v>
      </c>
      <c r="AG710" s="1" t="s">
        <v>1392</v>
      </c>
      <c r="AH710" s="1" t="s">
        <v>779</v>
      </c>
      <c r="AI710" s="1">
        <v>0.0861</v>
      </c>
      <c r="AK710" s="1">
        <v>7.0</v>
      </c>
      <c r="AL710" s="1">
        <v>4.0</v>
      </c>
      <c r="AM710" s="1">
        <v>2.0</v>
      </c>
      <c r="AN710" s="1">
        <v>0.0</v>
      </c>
      <c r="AO710" s="1" t="s">
        <v>229</v>
      </c>
      <c r="AP710" s="1">
        <v>0.0</v>
      </c>
      <c r="AQ710" s="1" t="s">
        <v>198</v>
      </c>
      <c r="AR710" s="1" t="s">
        <v>200</v>
      </c>
      <c r="AS710" s="1" t="s">
        <v>199</v>
      </c>
      <c r="AT710" s="1">
        <v>2.0</v>
      </c>
      <c r="AV710" s="1" t="s">
        <v>200</v>
      </c>
      <c r="AW710" s="1">
        <v>2266.92</v>
      </c>
      <c r="AX710" s="1">
        <v>2013.0</v>
      </c>
      <c r="AY710" s="1" t="s">
        <v>387</v>
      </c>
      <c r="AZ710" s="1" t="s">
        <v>545</v>
      </c>
      <c r="BA710" s="1" t="str">
        <f>"19222270090000"</f>
        <v>19222270090000</v>
      </c>
      <c r="BB710" s="1" t="s">
        <v>200</v>
      </c>
      <c r="BC710" s="1">
        <v>928.0</v>
      </c>
      <c r="BD710" s="1">
        <v>110000.0</v>
      </c>
      <c r="BE710" s="2">
        <v>42002.0</v>
      </c>
      <c r="BF710" s="1" t="s">
        <v>8606</v>
      </c>
      <c r="BH710" s="1">
        <v>0.0</v>
      </c>
      <c r="BK710" s="1" t="s">
        <v>204</v>
      </c>
      <c r="BL710" s="1" t="str">
        <f t="shared" ref="BL710:BM710" si="477">"0"</f>
        <v>0</v>
      </c>
      <c r="BM710" s="1" t="str">
        <f t="shared" si="477"/>
        <v>0</v>
      </c>
      <c r="BN710" s="1">
        <v>4332.0</v>
      </c>
      <c r="BO710" s="1">
        <v>6522.0</v>
      </c>
      <c r="BQ710" s="1">
        <v>299.0</v>
      </c>
      <c r="BR710" s="1">
        <v>299.0</v>
      </c>
      <c r="BS710" s="1">
        <v>299.0</v>
      </c>
      <c r="BT710" s="1">
        <v>299.0</v>
      </c>
      <c r="BU710" s="1" t="s">
        <v>663</v>
      </c>
      <c r="BV710" s="1" t="s">
        <v>206</v>
      </c>
      <c r="BW710" s="1" t="s">
        <v>207</v>
      </c>
      <c r="BY710" s="1" t="s">
        <v>264</v>
      </c>
      <c r="BZ710" s="1" t="s">
        <v>206</v>
      </c>
      <c r="CA710" s="1" t="s">
        <v>207</v>
      </c>
      <c r="CC710" s="1" t="s">
        <v>663</v>
      </c>
      <c r="CD710" s="1" t="s">
        <v>206</v>
      </c>
      <c r="CE710" s="1" t="s">
        <v>207</v>
      </c>
      <c r="CG710" s="1" t="s">
        <v>264</v>
      </c>
      <c r="CH710" s="1" t="s">
        <v>206</v>
      </c>
      <c r="CI710" s="1" t="s">
        <v>207</v>
      </c>
      <c r="CK710" s="1" t="s">
        <v>393</v>
      </c>
      <c r="CL710" s="1" t="s">
        <v>209</v>
      </c>
      <c r="CM710" s="1" t="s">
        <v>210</v>
      </c>
      <c r="CO710" s="1" t="s">
        <v>784</v>
      </c>
      <c r="CP710" s="1" t="s">
        <v>209</v>
      </c>
      <c r="CQ710" s="1" t="s">
        <v>210</v>
      </c>
      <c r="CS710" s="1" t="s">
        <v>331</v>
      </c>
      <c r="CT710" s="1" t="s">
        <v>206</v>
      </c>
      <c r="CU710" s="1" t="s">
        <v>617</v>
      </c>
      <c r="CX710" s="1" t="s">
        <v>204</v>
      </c>
      <c r="DA710" s="1" t="s">
        <v>200</v>
      </c>
      <c r="DC710" s="1" t="s">
        <v>702</v>
      </c>
      <c r="DD710" s="1" t="s">
        <v>518</v>
      </c>
      <c r="DE710" s="1" t="s">
        <v>229</v>
      </c>
      <c r="DF710" s="1" t="s">
        <v>219</v>
      </c>
      <c r="DG710" s="1" t="s">
        <v>337</v>
      </c>
      <c r="DH710" s="1" t="s">
        <v>365</v>
      </c>
      <c r="DJ710" s="1" t="s">
        <v>222</v>
      </c>
      <c r="DK710" s="1" t="s">
        <v>2506</v>
      </c>
      <c r="DL710" s="1" t="s">
        <v>791</v>
      </c>
      <c r="DM710" s="1" t="s">
        <v>229</v>
      </c>
      <c r="DQ710" s="1" t="s">
        <v>718</v>
      </c>
      <c r="DR710" s="1" t="s">
        <v>229</v>
      </c>
      <c r="DS710" s="1" t="s">
        <v>230</v>
      </c>
      <c r="DV710" s="1" t="s">
        <v>232</v>
      </c>
      <c r="DW710" s="1" t="s">
        <v>279</v>
      </c>
      <c r="DX710" s="1" t="s">
        <v>234</v>
      </c>
      <c r="DY710" s="1" t="s">
        <v>4238</v>
      </c>
      <c r="EA710" s="1" t="s">
        <v>1075</v>
      </c>
      <c r="EC710" s="1" t="s">
        <v>645</v>
      </c>
      <c r="EM710" s="1" t="s">
        <v>238</v>
      </c>
      <c r="EQ710" s="1" t="s">
        <v>238</v>
      </c>
      <c r="EU710" s="1" t="s">
        <v>238</v>
      </c>
      <c r="EY710" s="1" t="s">
        <v>238</v>
      </c>
      <c r="FC710" s="1" t="s">
        <v>238</v>
      </c>
      <c r="FF710" s="1" t="s">
        <v>239</v>
      </c>
      <c r="FG710" s="1" t="s">
        <v>192</v>
      </c>
      <c r="FH710" s="1" t="s">
        <v>192</v>
      </c>
      <c r="FJ710" s="1" t="s">
        <v>347</v>
      </c>
      <c r="FK710" s="1" t="s">
        <v>229</v>
      </c>
      <c r="FL710" s="1" t="s">
        <v>2111</v>
      </c>
      <c r="FM710" s="1">
        <v>12555.0</v>
      </c>
      <c r="FN710" s="1" t="s">
        <v>2112</v>
      </c>
      <c r="FO710" s="1" t="s">
        <v>2113</v>
      </c>
      <c r="FP710" s="1">
        <v>130892.0</v>
      </c>
      <c r="FQ710" s="1" t="s">
        <v>2112</v>
      </c>
      <c r="FR710" s="1">
        <v>126892.0</v>
      </c>
      <c r="FU710" s="1" t="s">
        <v>710</v>
      </c>
      <c r="FV710" s="1" t="s">
        <v>200</v>
      </c>
      <c r="FW710" s="1" t="s">
        <v>567</v>
      </c>
      <c r="FX710" s="1" t="s">
        <v>655</v>
      </c>
      <c r="FZ710" s="1" t="s">
        <v>229</v>
      </c>
      <c r="GA710" s="1" t="s">
        <v>291</v>
      </c>
      <c r="GB710" s="2">
        <v>42061.0</v>
      </c>
      <c r="GC710" s="1" t="s">
        <v>8607</v>
      </c>
    </row>
    <row r="711">
      <c r="A711" s="1">
        <v>247500.0</v>
      </c>
      <c r="B711" s="1" t="s">
        <v>185</v>
      </c>
      <c r="C711" s="1" t="str">
        <f>"08809253"</f>
        <v>08809253</v>
      </c>
      <c r="D711" s="1" t="s">
        <v>186</v>
      </c>
      <c r="F711" s="1" t="str">
        <f>"543"</f>
        <v>543</v>
      </c>
      <c r="G711" s="2">
        <v>42008.0</v>
      </c>
      <c r="H711" s="1">
        <v>254900.0</v>
      </c>
      <c r="I711" s="1">
        <v>9.0</v>
      </c>
      <c r="J711" s="1">
        <v>254900.0</v>
      </c>
      <c r="K711" s="2">
        <v>42016.0</v>
      </c>
      <c r="L711" s="1">
        <v>9.0</v>
      </c>
      <c r="M711" s="2">
        <v>42016.0</v>
      </c>
      <c r="N711" s="1" t="s">
        <v>634</v>
      </c>
      <c r="O711" s="2">
        <v>42053.0</v>
      </c>
      <c r="P711" s="1">
        <v>238009.0</v>
      </c>
      <c r="Q711" s="1">
        <v>21324.0</v>
      </c>
      <c r="S711" s="1">
        <v>325.0</v>
      </c>
      <c r="T711" s="1" t="s">
        <v>8608</v>
      </c>
      <c r="U711" s="1" t="s">
        <v>569</v>
      </c>
      <c r="V711" s="1" t="s">
        <v>1527</v>
      </c>
      <c r="W711" s="1">
        <v>60543.0</v>
      </c>
      <c r="Y711" s="1" t="s">
        <v>8609</v>
      </c>
      <c r="Z711" s="1">
        <v>1994.0</v>
      </c>
      <c r="AA711" s="1" t="s">
        <v>200</v>
      </c>
      <c r="AB711" s="1" t="s">
        <v>193</v>
      </c>
      <c r="AC711" s="1" t="s">
        <v>8610</v>
      </c>
      <c r="AD711" s="1" t="s">
        <v>1529</v>
      </c>
      <c r="AE711" s="1" t="s">
        <v>849</v>
      </c>
      <c r="AF711" s="1" t="s">
        <v>1529</v>
      </c>
      <c r="AH711" s="1" t="s">
        <v>8611</v>
      </c>
      <c r="AI711" s="1">
        <v>0.21</v>
      </c>
      <c r="AK711" s="1">
        <v>11.0</v>
      </c>
      <c r="AL711" s="1">
        <v>4.0</v>
      </c>
      <c r="AM711" s="1">
        <v>3.0</v>
      </c>
      <c r="AN711" s="1">
        <v>0.0</v>
      </c>
      <c r="AO711" s="1" t="s">
        <v>198</v>
      </c>
      <c r="AP711" s="1">
        <v>1.0</v>
      </c>
      <c r="AQ711" s="1" t="s">
        <v>198</v>
      </c>
      <c r="AR711" s="1" t="s">
        <v>200</v>
      </c>
      <c r="AS711" s="1" t="s">
        <v>199</v>
      </c>
      <c r="AT711" s="1">
        <v>3.0</v>
      </c>
      <c r="AV711" s="1" t="s">
        <v>200</v>
      </c>
      <c r="AW711" s="1">
        <v>7819.0</v>
      </c>
      <c r="AX711" s="1">
        <v>2012.0</v>
      </c>
      <c r="AY711" s="1" t="s">
        <v>387</v>
      </c>
      <c r="AZ711" s="1" t="s">
        <v>200</v>
      </c>
      <c r="BA711" s="1" t="str">
        <f>"0309221008"</f>
        <v>0309221008</v>
      </c>
      <c r="BB711" s="1" t="s">
        <v>200</v>
      </c>
      <c r="BC711" s="1">
        <v>2435.0</v>
      </c>
      <c r="BD711" s="1">
        <v>247500.0</v>
      </c>
      <c r="BE711" s="2">
        <v>42008.0</v>
      </c>
      <c r="BF711" s="2" t="s">
        <v>8612</v>
      </c>
      <c r="BG711" s="1" t="s">
        <v>4366</v>
      </c>
      <c r="BH711" s="1">
        <v>0.0</v>
      </c>
      <c r="BI711" s="1" t="s">
        <v>1348</v>
      </c>
      <c r="BJ711" s="1" t="s">
        <v>2546</v>
      </c>
      <c r="BK711" s="1" t="s">
        <v>204</v>
      </c>
      <c r="BL711" s="1" t="str">
        <f t="shared" ref="BL711:BM711" si="478">"0"</f>
        <v>0</v>
      </c>
      <c r="BM711" s="1" t="str">
        <f t="shared" si="478"/>
        <v>0</v>
      </c>
      <c r="BN711" s="1">
        <v>36.0</v>
      </c>
      <c r="BO711" s="1">
        <v>11.0</v>
      </c>
      <c r="BQ711" s="1">
        <v>308.0</v>
      </c>
      <c r="BR711" s="1">
        <v>308.0</v>
      </c>
      <c r="BS711" s="1">
        <v>308.0</v>
      </c>
      <c r="BU711" s="1" t="s">
        <v>1206</v>
      </c>
      <c r="BV711" s="1" t="s">
        <v>206</v>
      </c>
      <c r="BW711" s="1" t="s">
        <v>210</v>
      </c>
      <c r="BY711" s="1" t="s">
        <v>390</v>
      </c>
      <c r="BZ711" s="1" t="s">
        <v>209</v>
      </c>
      <c r="CA711" s="1" t="s">
        <v>210</v>
      </c>
      <c r="CC711" s="1" t="s">
        <v>542</v>
      </c>
      <c r="CD711" s="1" t="s">
        <v>206</v>
      </c>
      <c r="CE711" s="1" t="s">
        <v>210</v>
      </c>
      <c r="CG711" s="1" t="s">
        <v>497</v>
      </c>
      <c r="CH711" s="1" t="s">
        <v>209</v>
      </c>
      <c r="CI711" s="1" t="s">
        <v>210</v>
      </c>
      <c r="CK711" s="1" t="s">
        <v>264</v>
      </c>
      <c r="CL711" s="1" t="s">
        <v>209</v>
      </c>
      <c r="CM711" s="1" t="s">
        <v>210</v>
      </c>
      <c r="CO711" s="1" t="s">
        <v>495</v>
      </c>
      <c r="CP711" s="1" t="s">
        <v>209</v>
      </c>
      <c r="CQ711" s="1" t="s">
        <v>210</v>
      </c>
      <c r="CS711" s="1" t="s">
        <v>1426</v>
      </c>
      <c r="CT711" s="1" t="s">
        <v>206</v>
      </c>
      <c r="CU711" s="1" t="s">
        <v>301</v>
      </c>
      <c r="CW711" s="1" t="s">
        <v>213</v>
      </c>
      <c r="CX711" s="1" t="s">
        <v>206</v>
      </c>
      <c r="CY711" s="1" t="s">
        <v>301</v>
      </c>
      <c r="DA711" s="1" t="s">
        <v>200</v>
      </c>
      <c r="DC711" s="1" t="s">
        <v>435</v>
      </c>
      <c r="DD711" s="1" t="s">
        <v>336</v>
      </c>
      <c r="DE711" s="1" t="s">
        <v>273</v>
      </c>
      <c r="DF711" s="1" t="s">
        <v>219</v>
      </c>
      <c r="DG711" s="1" t="s">
        <v>482</v>
      </c>
      <c r="DH711" s="1" t="s">
        <v>220</v>
      </c>
      <c r="DI711" s="1" t="s">
        <v>221</v>
      </c>
      <c r="DJ711" s="1" t="s">
        <v>222</v>
      </c>
      <c r="DK711" s="1" t="s">
        <v>223</v>
      </c>
      <c r="DL711" s="1" t="s">
        <v>224</v>
      </c>
      <c r="DM711" s="1" t="s">
        <v>1402</v>
      </c>
      <c r="DN711" s="1" t="s">
        <v>399</v>
      </c>
      <c r="DO711" s="1" t="s">
        <v>717</v>
      </c>
      <c r="DP711" s="1" t="s">
        <v>276</v>
      </c>
      <c r="DQ711" s="1" t="s">
        <v>228</v>
      </c>
      <c r="DR711" s="1" t="s">
        <v>229</v>
      </c>
      <c r="DU711" s="1" t="s">
        <v>8613</v>
      </c>
      <c r="DV711" s="1" t="s">
        <v>8614</v>
      </c>
      <c r="DW711" s="1" t="s">
        <v>233</v>
      </c>
      <c r="DX711" s="1" t="s">
        <v>234</v>
      </c>
      <c r="DY711" s="1" t="s">
        <v>8615</v>
      </c>
      <c r="DZ711" s="1" t="s">
        <v>8616</v>
      </c>
      <c r="EB711" s="1" t="s">
        <v>492</v>
      </c>
      <c r="EC711" s="1" t="s">
        <v>237</v>
      </c>
      <c r="ED711" s="1" t="s">
        <v>407</v>
      </c>
      <c r="EG711" s="1" t="s">
        <v>494</v>
      </c>
      <c r="EH711" s="1" t="s">
        <v>450</v>
      </c>
      <c r="EI711" s="1" t="s">
        <v>2023</v>
      </c>
      <c r="EL711" s="1" t="s">
        <v>516</v>
      </c>
      <c r="EM711" s="1" t="s">
        <v>206</v>
      </c>
      <c r="EN711" s="1" t="s">
        <v>210</v>
      </c>
      <c r="EP711" s="1" t="s">
        <v>665</v>
      </c>
      <c r="EQ711" s="1" t="s">
        <v>267</v>
      </c>
      <c r="ER711" s="1" t="s">
        <v>210</v>
      </c>
      <c r="ET711" s="1" t="s">
        <v>1206</v>
      </c>
      <c r="EU711" s="1" t="s">
        <v>267</v>
      </c>
      <c r="EV711" s="1" t="s">
        <v>210</v>
      </c>
      <c r="EY711" s="1" t="s">
        <v>238</v>
      </c>
      <c r="FC711" s="1" t="s">
        <v>238</v>
      </c>
      <c r="FF711" s="1" t="s">
        <v>239</v>
      </c>
      <c r="FG711" s="1" t="s">
        <v>192</v>
      </c>
      <c r="FH711" s="1" t="s">
        <v>192</v>
      </c>
      <c r="FJ711" s="1" t="s">
        <v>498</v>
      </c>
      <c r="FK711" s="1" t="s">
        <v>229</v>
      </c>
      <c r="FL711" s="1" t="s">
        <v>2580</v>
      </c>
      <c r="FM711" s="1">
        <v>23265.0</v>
      </c>
      <c r="FN711" s="1" t="s">
        <v>2581</v>
      </c>
      <c r="FO711" s="1" t="s">
        <v>8617</v>
      </c>
      <c r="FP711" s="1">
        <v>235347.0</v>
      </c>
      <c r="FQ711" s="1" t="s">
        <v>8618</v>
      </c>
      <c r="FU711" s="1" t="s">
        <v>8619</v>
      </c>
      <c r="FV711" s="1" t="s">
        <v>200</v>
      </c>
      <c r="FW711" s="1" t="s">
        <v>530</v>
      </c>
      <c r="FZ711" s="1" t="s">
        <v>229</v>
      </c>
      <c r="GA711" s="1" t="s">
        <v>291</v>
      </c>
      <c r="GB711" s="2">
        <v>42053.0</v>
      </c>
      <c r="GC711" s="1" t="s">
        <v>8620</v>
      </c>
    </row>
    <row r="712">
      <c r="A712" s="1">
        <v>224000.0</v>
      </c>
      <c r="B712" s="1" t="s">
        <v>185</v>
      </c>
      <c r="C712" s="1" t="str">
        <f>"08810123"</f>
        <v>08810123</v>
      </c>
      <c r="D712" s="1" t="s">
        <v>186</v>
      </c>
      <c r="F712" s="1" t="str">
        <f>"123"</f>
        <v>123</v>
      </c>
      <c r="G712" s="2">
        <v>42009.0</v>
      </c>
      <c r="H712" s="1">
        <v>229900.0</v>
      </c>
      <c r="I712" s="1">
        <v>81.0</v>
      </c>
      <c r="J712" s="1">
        <v>229900.0</v>
      </c>
      <c r="K712" s="2">
        <v>42089.0</v>
      </c>
      <c r="L712" s="1">
        <v>81.0</v>
      </c>
      <c r="M712" s="2">
        <v>42089.0</v>
      </c>
      <c r="N712" s="1" t="s">
        <v>187</v>
      </c>
      <c r="O712" s="2">
        <v>42118.0</v>
      </c>
      <c r="P712" s="1">
        <v>2161.0</v>
      </c>
      <c r="Q712" s="1">
        <v>7450.0</v>
      </c>
      <c r="S712" s="1">
        <v>1674.0</v>
      </c>
      <c r="T712" s="1" t="s">
        <v>8621</v>
      </c>
      <c r="U712" s="1" t="s">
        <v>1015</v>
      </c>
      <c r="V712" s="1" t="s">
        <v>465</v>
      </c>
      <c r="W712" s="1">
        <v>60123.0</v>
      </c>
      <c r="Y712" s="1" t="s">
        <v>8622</v>
      </c>
      <c r="Z712" s="1">
        <v>1991.0</v>
      </c>
      <c r="AA712" s="1" t="s">
        <v>200</v>
      </c>
      <c r="AB712" s="1" t="s">
        <v>193</v>
      </c>
      <c r="AC712" s="1" t="s">
        <v>8623</v>
      </c>
      <c r="AD712" s="1" t="s">
        <v>469</v>
      </c>
      <c r="AE712" s="1" t="s">
        <v>325</v>
      </c>
      <c r="AF712" s="1" t="s">
        <v>469</v>
      </c>
      <c r="AG712" s="1" t="s">
        <v>8624</v>
      </c>
      <c r="AH712" s="1" t="s">
        <v>256</v>
      </c>
      <c r="AI712" s="1">
        <v>0.1791</v>
      </c>
      <c r="AK712" s="1">
        <v>10.0</v>
      </c>
      <c r="AL712" s="1">
        <v>4.0</v>
      </c>
      <c r="AM712" s="1">
        <v>2.0</v>
      </c>
      <c r="AN712" s="1">
        <v>2.0</v>
      </c>
      <c r="AO712" s="1" t="s">
        <v>198</v>
      </c>
      <c r="AP712" s="1">
        <v>1.0</v>
      </c>
      <c r="AQ712" s="1" t="s">
        <v>198</v>
      </c>
      <c r="AR712" s="1" t="s">
        <v>192</v>
      </c>
      <c r="AS712" s="1" t="s">
        <v>199</v>
      </c>
      <c r="AT712" s="1">
        <v>2.5</v>
      </c>
      <c r="AV712" s="1" t="s">
        <v>200</v>
      </c>
      <c r="AW712" s="1">
        <v>5578.04</v>
      </c>
      <c r="AX712" s="1">
        <v>2013.0</v>
      </c>
      <c r="AY712" s="1" t="s">
        <v>387</v>
      </c>
      <c r="AZ712" s="1" t="s">
        <v>200</v>
      </c>
      <c r="BA712" s="1" t="str">
        <f>"0627102024"</f>
        <v>0627102024</v>
      </c>
      <c r="BB712" s="1" t="s">
        <v>200</v>
      </c>
      <c r="BC712" s="1">
        <v>2048.0</v>
      </c>
      <c r="BD712" s="1">
        <v>224000.0</v>
      </c>
      <c r="BE712" s="2">
        <v>42009.0</v>
      </c>
      <c r="BF712" s="2" t="s">
        <v>8625</v>
      </c>
      <c r="BG712" s="1" t="s">
        <v>2439</v>
      </c>
      <c r="BH712" s="1">
        <v>0.0</v>
      </c>
      <c r="BI712" s="1" t="s">
        <v>674</v>
      </c>
      <c r="BJ712" s="1" t="s">
        <v>2440</v>
      </c>
      <c r="BK712" s="1" t="s">
        <v>204</v>
      </c>
      <c r="BL712" s="1" t="str">
        <f t="shared" ref="BL712:BM712" si="479">""</f>
        <v/>
      </c>
      <c r="BM712" s="1" t="str">
        <f t="shared" si="479"/>
        <v/>
      </c>
      <c r="BQ712" s="1">
        <v>46.0</v>
      </c>
      <c r="BR712" s="1">
        <v>46.0</v>
      </c>
      <c r="BS712" s="1">
        <v>46.0</v>
      </c>
      <c r="BU712" s="1" t="s">
        <v>211</v>
      </c>
      <c r="BV712" s="1" t="s">
        <v>206</v>
      </c>
      <c r="BW712" s="1" t="s">
        <v>301</v>
      </c>
      <c r="BY712" s="1" t="s">
        <v>1623</v>
      </c>
      <c r="BZ712" s="1" t="s">
        <v>209</v>
      </c>
      <c r="CA712" s="1" t="s">
        <v>210</v>
      </c>
      <c r="CC712" s="1" t="s">
        <v>392</v>
      </c>
      <c r="CD712" s="1" t="s">
        <v>206</v>
      </c>
      <c r="CE712" s="1" t="s">
        <v>301</v>
      </c>
      <c r="CG712" s="1" t="s">
        <v>205</v>
      </c>
      <c r="CH712" s="1" t="s">
        <v>209</v>
      </c>
      <c r="CI712" s="1" t="s">
        <v>210</v>
      </c>
      <c r="CK712" s="1" t="s">
        <v>332</v>
      </c>
      <c r="CL712" s="1" t="s">
        <v>209</v>
      </c>
      <c r="CM712" s="1" t="s">
        <v>210</v>
      </c>
      <c r="CO712" s="1" t="s">
        <v>495</v>
      </c>
      <c r="CP712" s="1" t="s">
        <v>209</v>
      </c>
      <c r="CQ712" s="1" t="s">
        <v>210</v>
      </c>
      <c r="CS712" s="1" t="s">
        <v>205</v>
      </c>
      <c r="CT712" s="1" t="s">
        <v>206</v>
      </c>
      <c r="CU712" s="1" t="s">
        <v>301</v>
      </c>
      <c r="CW712" s="1" t="s">
        <v>434</v>
      </c>
      <c r="CX712" s="1" t="s">
        <v>206</v>
      </c>
      <c r="CY712" s="1" t="s">
        <v>301</v>
      </c>
      <c r="DA712" s="1" t="s">
        <v>200</v>
      </c>
      <c r="DC712" s="1" t="s">
        <v>435</v>
      </c>
      <c r="DD712" s="1" t="s">
        <v>518</v>
      </c>
      <c r="DE712" s="1" t="s">
        <v>273</v>
      </c>
      <c r="DF712" s="1" t="s">
        <v>219</v>
      </c>
      <c r="DH712" s="1" t="s">
        <v>220</v>
      </c>
      <c r="DI712" s="1" t="s">
        <v>221</v>
      </c>
      <c r="DJ712" s="1" t="s">
        <v>222</v>
      </c>
      <c r="DL712" s="1" t="s">
        <v>224</v>
      </c>
      <c r="DM712" s="1" t="s">
        <v>338</v>
      </c>
      <c r="DO712" s="1" t="s">
        <v>717</v>
      </c>
      <c r="DP712" s="1" t="s">
        <v>340</v>
      </c>
      <c r="DQ712" s="1" t="s">
        <v>228</v>
      </c>
      <c r="DR712" s="1" t="s">
        <v>229</v>
      </c>
      <c r="DS712" s="1" t="s">
        <v>230</v>
      </c>
      <c r="DU712" s="1" t="s">
        <v>487</v>
      </c>
      <c r="DV712" s="1" t="s">
        <v>8626</v>
      </c>
      <c r="DW712" s="1" t="s">
        <v>2602</v>
      </c>
      <c r="DX712" s="1" t="s">
        <v>309</v>
      </c>
      <c r="DY712" s="1" t="s">
        <v>861</v>
      </c>
      <c r="DZ712" s="1" t="s">
        <v>2260</v>
      </c>
      <c r="EA712" s="1" t="s">
        <v>1027</v>
      </c>
      <c r="EB712" s="1" t="s">
        <v>345</v>
      </c>
      <c r="EC712" s="1" t="s">
        <v>237</v>
      </c>
      <c r="ED712" s="1" t="s">
        <v>407</v>
      </c>
      <c r="EE712" s="1" t="s">
        <v>493</v>
      </c>
      <c r="EG712" s="1" t="s">
        <v>450</v>
      </c>
      <c r="EH712" s="1" t="s">
        <v>451</v>
      </c>
      <c r="EI712" s="1" t="s">
        <v>408</v>
      </c>
      <c r="EL712" s="1" t="s">
        <v>515</v>
      </c>
      <c r="EM712" s="1" t="s">
        <v>42</v>
      </c>
      <c r="EN712" s="1" t="s">
        <v>210</v>
      </c>
      <c r="EP712" s="1" t="s">
        <v>1426</v>
      </c>
      <c r="EQ712" s="1" t="s">
        <v>42</v>
      </c>
      <c r="ER712" s="1" t="s">
        <v>210</v>
      </c>
      <c r="ET712" s="1" t="s">
        <v>558</v>
      </c>
      <c r="EU712" s="1" t="s">
        <v>206</v>
      </c>
      <c r="EV712" s="1" t="s">
        <v>301</v>
      </c>
      <c r="EY712" s="1" t="s">
        <v>238</v>
      </c>
      <c r="FC712" s="1" t="s">
        <v>238</v>
      </c>
      <c r="FF712" s="1" t="s">
        <v>239</v>
      </c>
      <c r="FG712" s="1" t="s">
        <v>192</v>
      </c>
      <c r="FH712" s="1" t="s">
        <v>192</v>
      </c>
      <c r="FJ712" s="1" t="s">
        <v>498</v>
      </c>
      <c r="FK712" s="1" t="s">
        <v>229</v>
      </c>
      <c r="FL712" s="1" t="s">
        <v>625</v>
      </c>
      <c r="FM712" s="1">
        <v>37.0</v>
      </c>
      <c r="FN712" s="1" t="s">
        <v>626</v>
      </c>
      <c r="FO712" s="1" t="s">
        <v>627</v>
      </c>
      <c r="FP712" s="1">
        <v>77100.0</v>
      </c>
      <c r="FQ712" s="1" t="s">
        <v>628</v>
      </c>
      <c r="FR712" s="1">
        <v>164.0</v>
      </c>
      <c r="FS712" s="1" t="s">
        <v>629</v>
      </c>
      <c r="FU712" s="1" t="s">
        <v>8627</v>
      </c>
      <c r="FV712" s="1" t="s">
        <v>200</v>
      </c>
      <c r="FW712" s="1" t="s">
        <v>290</v>
      </c>
      <c r="FZ712" s="1" t="s">
        <v>632</v>
      </c>
      <c r="GA712" s="1" t="s">
        <v>291</v>
      </c>
      <c r="GB712" s="2">
        <v>42121.0</v>
      </c>
      <c r="GC712" s="1" t="s">
        <v>8628</v>
      </c>
    </row>
    <row r="713">
      <c r="A713" s="1">
        <v>34000.0</v>
      </c>
      <c r="B713" s="1" t="s">
        <v>185</v>
      </c>
      <c r="C713" s="1" t="str">
        <f>"08805830"</f>
        <v>08805830</v>
      </c>
      <c r="D713" s="1" t="s">
        <v>186</v>
      </c>
      <c r="F713" s="1" t="str">
        <f>"8049"</f>
        <v>8049</v>
      </c>
      <c r="G713" s="2">
        <v>41997.0</v>
      </c>
      <c r="H713" s="1">
        <v>200000.0</v>
      </c>
      <c r="I713" s="1">
        <v>72.0</v>
      </c>
      <c r="J713" s="1">
        <v>95000.0</v>
      </c>
      <c r="K713" s="2">
        <v>42066.0</v>
      </c>
      <c r="L713" s="1">
        <v>72.0</v>
      </c>
      <c r="M713" s="2">
        <v>42066.0</v>
      </c>
      <c r="N713" s="1" t="s">
        <v>249</v>
      </c>
      <c r="O713" s="2">
        <v>42080.0</v>
      </c>
      <c r="P713" s="1">
        <v>853384.0</v>
      </c>
      <c r="Q713" s="1">
        <v>85700.0</v>
      </c>
      <c r="S713" s="1">
        <v>9816.0</v>
      </c>
      <c r="T713" s="1" t="s">
        <v>2966</v>
      </c>
      <c r="U713" s="1" t="s">
        <v>189</v>
      </c>
      <c r="V713" s="1" t="s">
        <v>190</v>
      </c>
      <c r="W713" s="1">
        <v>60628.0</v>
      </c>
      <c r="Y713" s="1" t="s">
        <v>8629</v>
      </c>
      <c r="Z713" s="1">
        <v>1939.0</v>
      </c>
      <c r="AA713" s="1" t="s">
        <v>192</v>
      </c>
      <c r="AB713" s="1" t="s">
        <v>193</v>
      </c>
      <c r="AD713" s="1" t="s">
        <v>194</v>
      </c>
      <c r="AE713" s="1" t="s">
        <v>195</v>
      </c>
      <c r="AF713" s="1" t="s">
        <v>637</v>
      </c>
      <c r="AH713" s="1">
        <v>3650.0</v>
      </c>
      <c r="AI713" s="1">
        <v>0.0861</v>
      </c>
      <c r="AK713" s="1">
        <v>7.0</v>
      </c>
      <c r="AL713" s="1">
        <v>4.0</v>
      </c>
      <c r="AM713" s="1">
        <v>1.0</v>
      </c>
      <c r="AN713" s="1">
        <v>1.0</v>
      </c>
      <c r="AO713" s="1" t="s">
        <v>229</v>
      </c>
      <c r="AP713" s="1">
        <v>0.0</v>
      </c>
      <c r="AQ713" s="1" t="s">
        <v>198</v>
      </c>
      <c r="AR713" s="1" t="s">
        <v>200</v>
      </c>
      <c r="AS713" s="1" t="s">
        <v>199</v>
      </c>
      <c r="AT713" s="1">
        <v>2.0</v>
      </c>
      <c r="AV713" s="1" t="s">
        <v>200</v>
      </c>
      <c r="AW713" s="1">
        <v>2430.86</v>
      </c>
      <c r="AX713" s="1">
        <v>2012.0</v>
      </c>
      <c r="AZ713" s="1" t="s">
        <v>200</v>
      </c>
      <c r="BA713" s="1" t="str">
        <f>"25101240260000"</f>
        <v>25101240260000</v>
      </c>
      <c r="BC713" s="1">
        <v>2203.0</v>
      </c>
      <c r="BD713" s="1">
        <v>34000.0</v>
      </c>
      <c r="BE713" s="2">
        <v>41995.0</v>
      </c>
      <c r="BF713" s="1" t="s">
        <v>8630</v>
      </c>
      <c r="BH713" s="1">
        <v>0.0</v>
      </c>
      <c r="BK713" s="1" t="s">
        <v>204</v>
      </c>
      <c r="BL713" s="1" t="str">
        <f>"0"</f>
        <v>0</v>
      </c>
      <c r="BM713" s="1" t="str">
        <f>"350"</f>
        <v>350</v>
      </c>
      <c r="BN713" s="1">
        <v>0.0</v>
      </c>
      <c r="BO713" s="1">
        <v>9816.0</v>
      </c>
      <c r="BQ713" s="1">
        <v>299.0</v>
      </c>
      <c r="BR713" s="1">
        <v>299.0</v>
      </c>
      <c r="BS713" s="1">
        <v>299.0</v>
      </c>
      <c r="BU713" s="1" t="s">
        <v>1244</v>
      </c>
      <c r="BV713" s="1" t="s">
        <v>206</v>
      </c>
      <c r="BW713" s="1" t="s">
        <v>207</v>
      </c>
      <c r="BY713" s="1" t="s">
        <v>699</v>
      </c>
      <c r="BZ713" s="1" t="s">
        <v>209</v>
      </c>
      <c r="CA713" s="1" t="s">
        <v>210</v>
      </c>
      <c r="CC713" s="1" t="s">
        <v>542</v>
      </c>
      <c r="CD713" s="1" t="s">
        <v>206</v>
      </c>
      <c r="CG713" s="1" t="s">
        <v>263</v>
      </c>
      <c r="CH713" s="1" t="s">
        <v>209</v>
      </c>
      <c r="CK713" s="1" t="s">
        <v>263</v>
      </c>
      <c r="CL713" s="1" t="s">
        <v>209</v>
      </c>
      <c r="CO713" s="1" t="s">
        <v>263</v>
      </c>
      <c r="CP713" s="1" t="s">
        <v>206</v>
      </c>
      <c r="CS713" s="1" t="s">
        <v>584</v>
      </c>
      <c r="CT713" s="1" t="s">
        <v>206</v>
      </c>
      <c r="CU713" s="1" t="s">
        <v>617</v>
      </c>
      <c r="CX713" s="1" t="s">
        <v>204</v>
      </c>
      <c r="DA713" s="1" t="s">
        <v>200</v>
      </c>
      <c r="DC713" s="1" t="s">
        <v>1399</v>
      </c>
      <c r="DE713" s="1" t="s">
        <v>229</v>
      </c>
      <c r="DF713" s="1" t="s">
        <v>619</v>
      </c>
      <c r="DG713" s="1" t="s">
        <v>337</v>
      </c>
      <c r="DH713" s="1" t="s">
        <v>365</v>
      </c>
      <c r="DJ713" s="1" t="s">
        <v>222</v>
      </c>
      <c r="DL713" s="1" t="s">
        <v>223</v>
      </c>
      <c r="DM713" s="1" t="s">
        <v>1268</v>
      </c>
      <c r="DQ713" s="1" t="s">
        <v>228</v>
      </c>
      <c r="DR713" s="1" t="s">
        <v>229</v>
      </c>
      <c r="DV713" s="1" t="s">
        <v>588</v>
      </c>
      <c r="DW713" s="1" t="s">
        <v>279</v>
      </c>
      <c r="DX713" s="1" t="s">
        <v>234</v>
      </c>
      <c r="EC713" s="1" t="s">
        <v>237</v>
      </c>
      <c r="EG713" s="1" t="s">
        <v>588</v>
      </c>
      <c r="EL713" s="1" t="s">
        <v>375</v>
      </c>
      <c r="EM713" s="1" t="s">
        <v>206</v>
      </c>
      <c r="EQ713" s="1" t="s">
        <v>238</v>
      </c>
      <c r="EU713" s="1" t="s">
        <v>238</v>
      </c>
      <c r="EY713" s="1" t="s">
        <v>238</v>
      </c>
      <c r="FC713" s="1" t="s">
        <v>238</v>
      </c>
      <c r="FF713" s="1" t="s">
        <v>239</v>
      </c>
      <c r="FG713" s="1" t="s">
        <v>192</v>
      </c>
      <c r="FH713" s="1" t="s">
        <v>192</v>
      </c>
      <c r="FJ713" s="1" t="s">
        <v>8631</v>
      </c>
      <c r="FK713" s="1" t="s">
        <v>1586</v>
      </c>
      <c r="FL713" s="1" t="s">
        <v>8632</v>
      </c>
      <c r="FM713" s="1">
        <v>85700.0</v>
      </c>
      <c r="FN713" s="1" t="s">
        <v>8633</v>
      </c>
      <c r="FO713" s="1" t="s">
        <v>8634</v>
      </c>
      <c r="FP713" s="1">
        <v>149531.0</v>
      </c>
      <c r="FQ713" s="1" t="s">
        <v>8635</v>
      </c>
      <c r="FU713" s="1" t="s">
        <v>8636</v>
      </c>
      <c r="FV713" s="1" t="s">
        <v>200</v>
      </c>
      <c r="FW713" s="1" t="s">
        <v>530</v>
      </c>
      <c r="FX713" s="1" t="s">
        <v>655</v>
      </c>
      <c r="FZ713" s="1" t="s">
        <v>229</v>
      </c>
      <c r="GA713" s="1" t="s">
        <v>291</v>
      </c>
      <c r="GB713" s="2">
        <v>42080.0</v>
      </c>
      <c r="GC713" s="1" t="s">
        <v>8637</v>
      </c>
    </row>
    <row r="714">
      <c r="A714" s="1">
        <v>617500.0</v>
      </c>
      <c r="B714" s="1" t="s">
        <v>185</v>
      </c>
      <c r="C714" s="1" t="str">
        <f>"08806147"</f>
        <v>08806147</v>
      </c>
      <c r="D714" s="1" t="s">
        <v>186</v>
      </c>
      <c r="F714" s="1" t="str">
        <f>"510"</f>
        <v>510</v>
      </c>
      <c r="G714" s="2">
        <v>41999.0</v>
      </c>
      <c r="H714" s="1">
        <v>629900.0</v>
      </c>
      <c r="I714" s="1">
        <v>11.0</v>
      </c>
      <c r="J714" s="1">
        <v>629900.0</v>
      </c>
      <c r="K714" s="2">
        <v>42009.0</v>
      </c>
      <c r="L714" s="1">
        <v>11.0</v>
      </c>
      <c r="M714" s="2">
        <v>42009.0</v>
      </c>
      <c r="N714" s="1" t="s">
        <v>187</v>
      </c>
      <c r="O714" s="2">
        <v>42052.0</v>
      </c>
      <c r="P714" s="1">
        <v>381.0</v>
      </c>
      <c r="Q714" s="1">
        <v>604.0</v>
      </c>
      <c r="S714" s="1">
        <v>2843.0</v>
      </c>
      <c r="T714" s="1" t="s">
        <v>8638</v>
      </c>
      <c r="U714" s="1" t="s">
        <v>1174</v>
      </c>
      <c r="V714" s="1" t="s">
        <v>2700</v>
      </c>
      <c r="W714" s="1">
        <v>60510.0</v>
      </c>
      <c r="Y714" s="1" t="s">
        <v>8639</v>
      </c>
      <c r="Z714" s="1">
        <v>1999.0</v>
      </c>
      <c r="AA714" s="1" t="s">
        <v>200</v>
      </c>
      <c r="AB714" s="1" t="s">
        <v>193</v>
      </c>
      <c r="AC714" s="1" t="s">
        <v>8640</v>
      </c>
      <c r="AD714" s="1" t="s">
        <v>2702</v>
      </c>
      <c r="AE714" s="1" t="s">
        <v>325</v>
      </c>
      <c r="AF714" s="1" t="s">
        <v>424</v>
      </c>
      <c r="AG714" s="1" t="s">
        <v>8641</v>
      </c>
      <c r="AH714" s="1" t="s">
        <v>8642</v>
      </c>
      <c r="AI714" s="1">
        <v>0.5348</v>
      </c>
      <c r="AK714" s="1">
        <v>15.0</v>
      </c>
      <c r="AL714" s="1">
        <v>4.0</v>
      </c>
      <c r="AM714" s="1">
        <v>3.0</v>
      </c>
      <c r="AN714" s="1">
        <v>1.0</v>
      </c>
      <c r="AO714" s="1" t="s">
        <v>198</v>
      </c>
      <c r="AP714" s="1">
        <v>2.0</v>
      </c>
      <c r="AQ714" s="1" t="s">
        <v>327</v>
      </c>
      <c r="AR714" s="1" t="s">
        <v>192</v>
      </c>
      <c r="AS714" s="1" t="s">
        <v>199</v>
      </c>
      <c r="AT714" s="1">
        <v>3.0</v>
      </c>
      <c r="AV714" s="1" t="s">
        <v>200</v>
      </c>
      <c r="AW714" s="1">
        <v>16102.96</v>
      </c>
      <c r="AX714" s="1">
        <v>2013.0</v>
      </c>
      <c r="AY714" s="1" t="s">
        <v>387</v>
      </c>
      <c r="AZ714" s="1" t="s">
        <v>200</v>
      </c>
      <c r="BA714" s="1" t="str">
        <f>"1220126015"</f>
        <v>1220126015</v>
      </c>
      <c r="BB714" s="1" t="s">
        <v>200</v>
      </c>
      <c r="BC714" s="1">
        <v>5100.0</v>
      </c>
      <c r="BD714" s="1">
        <v>617500.0</v>
      </c>
      <c r="BE714" s="2">
        <v>41999.0</v>
      </c>
      <c r="BF714" s="2" t="s">
        <v>8643</v>
      </c>
      <c r="BH714" s="1">
        <v>550.0</v>
      </c>
      <c r="BK714" s="1" t="s">
        <v>580</v>
      </c>
      <c r="BL714" s="1" t="str">
        <f t="shared" ref="BL714:BM714" si="480">""</f>
        <v/>
      </c>
      <c r="BM714" s="1" t="str">
        <f t="shared" si="480"/>
        <v/>
      </c>
      <c r="BQ714" s="1">
        <v>101.0</v>
      </c>
      <c r="BR714" s="1">
        <v>101.0</v>
      </c>
      <c r="BS714" s="1">
        <v>101.0</v>
      </c>
      <c r="BU714" s="1" t="s">
        <v>215</v>
      </c>
      <c r="BV714" s="1" t="s">
        <v>206</v>
      </c>
      <c r="BW714" s="1" t="s">
        <v>207</v>
      </c>
      <c r="BX714" s="1" t="s">
        <v>8644</v>
      </c>
      <c r="BY714" s="1" t="s">
        <v>260</v>
      </c>
      <c r="BZ714" s="1" t="s">
        <v>206</v>
      </c>
      <c r="CA714" s="1" t="s">
        <v>207</v>
      </c>
      <c r="CB714" s="1" t="s">
        <v>229</v>
      </c>
      <c r="CC714" s="1" t="s">
        <v>215</v>
      </c>
      <c r="CD714" s="1" t="s">
        <v>206</v>
      </c>
      <c r="CE714" s="1" t="s">
        <v>207</v>
      </c>
      <c r="CF714" s="1" t="s">
        <v>8644</v>
      </c>
      <c r="CG714" s="1" t="s">
        <v>363</v>
      </c>
      <c r="CH714" s="1" t="s">
        <v>206</v>
      </c>
      <c r="CI714" s="1" t="s">
        <v>210</v>
      </c>
      <c r="CJ714" s="1" t="s">
        <v>476</v>
      </c>
      <c r="CK714" s="1" t="s">
        <v>584</v>
      </c>
      <c r="CL714" s="1" t="s">
        <v>206</v>
      </c>
      <c r="CM714" s="1" t="s">
        <v>210</v>
      </c>
      <c r="CN714" s="1" t="s">
        <v>1118</v>
      </c>
      <c r="CO714" s="1" t="s">
        <v>433</v>
      </c>
      <c r="CP714" s="1" t="s">
        <v>1697</v>
      </c>
      <c r="CQ714" s="1" t="s">
        <v>210</v>
      </c>
      <c r="CR714" s="1" t="s">
        <v>476</v>
      </c>
      <c r="CS714" s="1" t="s">
        <v>213</v>
      </c>
      <c r="CT714" s="1" t="s">
        <v>206</v>
      </c>
      <c r="CU714" s="1" t="s">
        <v>207</v>
      </c>
      <c r="CV714" s="1" t="s">
        <v>229</v>
      </c>
      <c r="CW714" s="1" t="s">
        <v>3538</v>
      </c>
      <c r="CX714" s="1" t="s">
        <v>206</v>
      </c>
      <c r="CY714" s="1" t="s">
        <v>207</v>
      </c>
      <c r="CZ714" s="1" t="s">
        <v>8644</v>
      </c>
      <c r="DA714" s="1" t="s">
        <v>200</v>
      </c>
      <c r="DC714" s="1" t="s">
        <v>335</v>
      </c>
      <c r="DD714" s="1" t="s">
        <v>436</v>
      </c>
      <c r="DE714" s="1" t="s">
        <v>273</v>
      </c>
      <c r="DF714" s="1" t="s">
        <v>219</v>
      </c>
      <c r="DG714" s="1" t="s">
        <v>482</v>
      </c>
      <c r="DH714" s="1" t="s">
        <v>220</v>
      </c>
      <c r="DI714" s="1" t="s">
        <v>8645</v>
      </c>
      <c r="DJ714" s="1" t="s">
        <v>222</v>
      </c>
      <c r="DL714" s="1" t="s">
        <v>1161</v>
      </c>
      <c r="DM714" s="1" t="s">
        <v>338</v>
      </c>
      <c r="DN714" s="1" t="s">
        <v>439</v>
      </c>
      <c r="DO714" s="1" t="s">
        <v>8646</v>
      </c>
      <c r="DP714" s="1" t="s">
        <v>340</v>
      </c>
      <c r="DQ714" s="1" t="s">
        <v>1557</v>
      </c>
      <c r="DR714" s="1" t="s">
        <v>1487</v>
      </c>
      <c r="DS714" s="1" t="s">
        <v>591</v>
      </c>
      <c r="DU714" s="1" t="s">
        <v>8647</v>
      </c>
      <c r="DV714" s="1" t="s">
        <v>8648</v>
      </c>
      <c r="DW714" s="1" t="s">
        <v>1820</v>
      </c>
      <c r="DX714" s="1" t="s">
        <v>234</v>
      </c>
      <c r="DY714" s="1" t="s">
        <v>7470</v>
      </c>
      <c r="DZ714" s="1" t="s">
        <v>8649</v>
      </c>
      <c r="EA714" s="1" t="s">
        <v>683</v>
      </c>
      <c r="EB714" s="1" t="s">
        <v>492</v>
      </c>
      <c r="EC714" s="1" t="s">
        <v>685</v>
      </c>
      <c r="ED714" s="1" t="s">
        <v>555</v>
      </c>
      <c r="EG714" s="1" t="s">
        <v>449</v>
      </c>
      <c r="EH714" s="1" t="s">
        <v>1824</v>
      </c>
      <c r="EI714" s="1" t="s">
        <v>598</v>
      </c>
      <c r="EJ714" s="1" t="s">
        <v>1121</v>
      </c>
      <c r="EK714" s="1" t="s">
        <v>408</v>
      </c>
      <c r="EL714" s="1" t="s">
        <v>329</v>
      </c>
      <c r="EM714" s="1" t="s">
        <v>206</v>
      </c>
      <c r="EN714" s="1" t="s">
        <v>207</v>
      </c>
      <c r="EO714" s="1" t="s">
        <v>8644</v>
      </c>
      <c r="EP714" s="1" t="s">
        <v>393</v>
      </c>
      <c r="EQ714" s="1" t="s">
        <v>1697</v>
      </c>
      <c r="ER714" s="1" t="s">
        <v>210</v>
      </c>
      <c r="ES714" s="1" t="s">
        <v>229</v>
      </c>
      <c r="ET714" s="1" t="s">
        <v>664</v>
      </c>
      <c r="EU714" s="1" t="s">
        <v>1697</v>
      </c>
      <c r="EV714" s="1" t="s">
        <v>210</v>
      </c>
      <c r="EW714" s="1" t="s">
        <v>229</v>
      </c>
      <c r="EX714" s="1" t="s">
        <v>392</v>
      </c>
      <c r="EY714" s="1" t="s">
        <v>209</v>
      </c>
      <c r="EZ714" s="1" t="s">
        <v>210</v>
      </c>
      <c r="FA714" s="1" t="s">
        <v>229</v>
      </c>
      <c r="FB714" s="1" t="s">
        <v>266</v>
      </c>
      <c r="FC714" s="1" t="s">
        <v>206</v>
      </c>
      <c r="FD714" s="1" t="s">
        <v>207</v>
      </c>
      <c r="FE714" s="1" t="s">
        <v>229</v>
      </c>
      <c r="FF714" s="1" t="s">
        <v>239</v>
      </c>
      <c r="FG714" s="1" t="s">
        <v>192</v>
      </c>
      <c r="FH714" s="1" t="s">
        <v>192</v>
      </c>
      <c r="FJ714" s="1" t="s">
        <v>624</v>
      </c>
      <c r="FK714" s="1" t="s">
        <v>229</v>
      </c>
      <c r="FL714" s="1" t="s">
        <v>625</v>
      </c>
      <c r="FM714" s="1">
        <v>37.0</v>
      </c>
      <c r="FN714" s="1" t="s">
        <v>626</v>
      </c>
      <c r="FO714" s="1" t="s">
        <v>8650</v>
      </c>
      <c r="FP714" s="1">
        <v>8546.0</v>
      </c>
      <c r="FQ714" s="1" t="s">
        <v>8651</v>
      </c>
      <c r="FU714" s="1" t="s">
        <v>8652</v>
      </c>
      <c r="FV714" s="1" t="s">
        <v>200</v>
      </c>
      <c r="FW714" s="1" t="s">
        <v>290</v>
      </c>
      <c r="FZ714" s="1" t="s">
        <v>632</v>
      </c>
      <c r="GA714" s="1" t="s">
        <v>291</v>
      </c>
      <c r="GB714" s="2">
        <v>42052.0</v>
      </c>
      <c r="GC714" s="1" t="s">
        <v>8653</v>
      </c>
    </row>
    <row r="715">
      <c r="A715" s="1">
        <v>239400.0</v>
      </c>
      <c r="B715" s="1" t="s">
        <v>185</v>
      </c>
      <c r="C715" s="1" t="str">
        <f>"08805791"</f>
        <v>08805791</v>
      </c>
      <c r="D715" s="1" t="s">
        <v>186</v>
      </c>
      <c r="F715" s="1" t="str">
        <f>"8021"</f>
        <v>8021</v>
      </c>
      <c r="G715" s="2">
        <v>41996.0</v>
      </c>
      <c r="H715" s="1">
        <v>264000.0</v>
      </c>
      <c r="I715" s="1">
        <v>67.0</v>
      </c>
      <c r="J715" s="1">
        <v>264000.0</v>
      </c>
      <c r="K715" s="2">
        <v>42061.0</v>
      </c>
      <c r="L715" s="1">
        <v>67.0</v>
      </c>
      <c r="M715" s="2">
        <v>42061.0</v>
      </c>
      <c r="N715" s="1" t="s">
        <v>249</v>
      </c>
      <c r="O715" s="2">
        <v>42061.0</v>
      </c>
      <c r="P715" s="1">
        <v>99999.0</v>
      </c>
      <c r="Q715" s="1" t="s">
        <v>947</v>
      </c>
      <c r="S715" s="1">
        <v>2824.0</v>
      </c>
      <c r="T715" s="1" t="s">
        <v>8505</v>
      </c>
      <c r="U715" s="1" t="s">
        <v>320</v>
      </c>
      <c r="V715" s="1" t="s">
        <v>190</v>
      </c>
      <c r="W715" s="1">
        <v>60618.0</v>
      </c>
      <c r="Y715" s="1" t="s">
        <v>8654</v>
      </c>
      <c r="Z715" s="1">
        <v>1890.0</v>
      </c>
      <c r="AA715" s="1" t="s">
        <v>192</v>
      </c>
      <c r="AB715" s="1" t="s">
        <v>193</v>
      </c>
      <c r="AD715" s="1" t="s">
        <v>194</v>
      </c>
      <c r="AE715" s="1" t="s">
        <v>195</v>
      </c>
      <c r="AF715" s="1" t="s">
        <v>827</v>
      </c>
      <c r="AH715" s="1">
        <v>3150.0</v>
      </c>
      <c r="AK715" s="1">
        <v>7.0</v>
      </c>
      <c r="AL715" s="1">
        <v>4.0</v>
      </c>
      <c r="AM715" s="1">
        <v>3.0</v>
      </c>
      <c r="AN715" s="1">
        <v>0.0</v>
      </c>
      <c r="AO715" s="1" t="s">
        <v>229</v>
      </c>
      <c r="AQ715" s="1" t="s">
        <v>198</v>
      </c>
      <c r="AR715" s="1" t="s">
        <v>200</v>
      </c>
      <c r="AS715" s="1" t="s">
        <v>199</v>
      </c>
      <c r="AT715" s="1">
        <v>2.0</v>
      </c>
      <c r="AV715" s="1" t="s">
        <v>200</v>
      </c>
      <c r="AW715" s="1">
        <v>1308.0</v>
      </c>
      <c r="AX715" s="1">
        <v>2012.0</v>
      </c>
      <c r="AZ715" s="1" t="s">
        <v>200</v>
      </c>
      <c r="BA715" s="1" t="str">
        <f>"13251350310000"</f>
        <v>13251350310000</v>
      </c>
      <c r="BB715" s="1" t="s">
        <v>200</v>
      </c>
      <c r="BC715" s="1">
        <v>2500.0</v>
      </c>
      <c r="BD715" s="1">
        <v>239400.0</v>
      </c>
      <c r="BE715" s="2">
        <v>41995.0</v>
      </c>
      <c r="BF715" s="2" t="s">
        <v>8655</v>
      </c>
      <c r="BH715" s="1">
        <v>0.0</v>
      </c>
      <c r="BK715" s="1" t="s">
        <v>204</v>
      </c>
      <c r="BL715" s="1" t="str">
        <f>"2826"</f>
        <v>2826</v>
      </c>
      <c r="BM715" s="1" t="str">
        <f>"0"</f>
        <v>0</v>
      </c>
      <c r="BN715" s="1">
        <v>2900.0</v>
      </c>
      <c r="BO715" s="1">
        <v>0.0</v>
      </c>
      <c r="BQ715" s="1">
        <v>299.0</v>
      </c>
      <c r="BR715" s="1">
        <v>299.0</v>
      </c>
      <c r="BS715" s="1">
        <v>299.0</v>
      </c>
      <c r="BU715" s="1" t="s">
        <v>475</v>
      </c>
      <c r="BV715" s="1" t="s">
        <v>206</v>
      </c>
      <c r="BW715" s="1" t="s">
        <v>210</v>
      </c>
      <c r="BY715" s="1" t="s">
        <v>454</v>
      </c>
      <c r="BZ715" s="1" t="s">
        <v>209</v>
      </c>
      <c r="CA715" s="1" t="s">
        <v>210</v>
      </c>
      <c r="CC715" s="1" t="s">
        <v>1329</v>
      </c>
      <c r="CD715" s="1" t="s">
        <v>206</v>
      </c>
      <c r="CE715" s="1" t="s">
        <v>617</v>
      </c>
      <c r="CG715" s="1" t="s">
        <v>623</v>
      </c>
      <c r="CH715" s="1" t="s">
        <v>209</v>
      </c>
      <c r="CI715" s="1" t="s">
        <v>210</v>
      </c>
      <c r="CK715" s="1" t="s">
        <v>516</v>
      </c>
      <c r="CL715" s="1" t="s">
        <v>209</v>
      </c>
      <c r="CM715" s="1" t="s">
        <v>210</v>
      </c>
      <c r="CO715" s="1" t="s">
        <v>375</v>
      </c>
      <c r="CP715" s="1" t="s">
        <v>391</v>
      </c>
      <c r="CS715" s="1" t="s">
        <v>1904</v>
      </c>
      <c r="CT715" s="1" t="s">
        <v>206</v>
      </c>
      <c r="CU715" s="1" t="s">
        <v>617</v>
      </c>
      <c r="CX715" s="1" t="s">
        <v>204</v>
      </c>
      <c r="DA715" s="1" t="s">
        <v>200</v>
      </c>
      <c r="DC715" s="1" t="s">
        <v>642</v>
      </c>
      <c r="DE715" s="1" t="s">
        <v>1139</v>
      </c>
      <c r="DF715" s="1" t="s">
        <v>787</v>
      </c>
      <c r="DH715" s="1" t="s">
        <v>365</v>
      </c>
      <c r="DJ715" s="1" t="s">
        <v>222</v>
      </c>
      <c r="DL715" s="1" t="s">
        <v>223</v>
      </c>
      <c r="DM715" s="1" t="s">
        <v>229</v>
      </c>
      <c r="DQ715" s="1" t="s">
        <v>228</v>
      </c>
      <c r="DR715" s="1" t="s">
        <v>229</v>
      </c>
      <c r="DV715" s="1" t="s">
        <v>374</v>
      </c>
      <c r="DW715" s="1" t="s">
        <v>8064</v>
      </c>
      <c r="DX715" s="1" t="s">
        <v>309</v>
      </c>
      <c r="EC715" s="1" t="s">
        <v>406</v>
      </c>
      <c r="EG715" s="1" t="s">
        <v>374</v>
      </c>
      <c r="EL715" s="1" t="s">
        <v>1746</v>
      </c>
      <c r="EM715" s="1" t="s">
        <v>206</v>
      </c>
      <c r="EQ715" s="1" t="s">
        <v>238</v>
      </c>
      <c r="EU715" s="1" t="s">
        <v>238</v>
      </c>
      <c r="EY715" s="1" t="s">
        <v>238</v>
      </c>
      <c r="FC715" s="1" t="s">
        <v>238</v>
      </c>
      <c r="FF715" s="1" t="s">
        <v>239</v>
      </c>
      <c r="FG715" s="1" t="s">
        <v>192</v>
      </c>
      <c r="FH715" s="1" t="s">
        <v>192</v>
      </c>
      <c r="FJ715" s="1" t="s">
        <v>8656</v>
      </c>
      <c r="FK715" s="1" t="s">
        <v>229</v>
      </c>
      <c r="FL715" s="1" t="s">
        <v>8657</v>
      </c>
      <c r="FM715" s="1">
        <v>1878.0</v>
      </c>
      <c r="FN715" s="1" t="s">
        <v>8658</v>
      </c>
      <c r="FO715" s="1" t="s">
        <v>8659</v>
      </c>
      <c r="FP715" s="1">
        <v>26747.0</v>
      </c>
      <c r="FQ715" s="1" t="s">
        <v>8658</v>
      </c>
      <c r="FU715" s="1" t="s">
        <v>8660</v>
      </c>
      <c r="FV715" s="1" t="s">
        <v>200</v>
      </c>
      <c r="FW715" s="1" t="s">
        <v>290</v>
      </c>
      <c r="FX715" s="1" t="s">
        <v>238</v>
      </c>
      <c r="FZ715" s="1" t="s">
        <v>229</v>
      </c>
      <c r="GA715" s="1" t="s">
        <v>291</v>
      </c>
      <c r="GB715" s="2">
        <v>42081.0</v>
      </c>
      <c r="GC715" s="1" t="s">
        <v>8661</v>
      </c>
    </row>
    <row r="716">
      <c r="A716" s="1">
        <v>265000.0</v>
      </c>
      <c r="B716" s="1" t="s">
        <v>185</v>
      </c>
      <c r="C716" s="1" t="str">
        <f>"08807494"</f>
        <v>08807494</v>
      </c>
      <c r="D716" s="1" t="s">
        <v>186</v>
      </c>
      <c r="F716" s="1" t="str">
        <f>"123"</f>
        <v>123</v>
      </c>
      <c r="G716" s="2">
        <v>42003.0</v>
      </c>
      <c r="H716" s="1">
        <v>314900.0</v>
      </c>
      <c r="I716" s="1">
        <v>112.0</v>
      </c>
      <c r="J716" s="1">
        <v>270900.0</v>
      </c>
      <c r="K716" s="2">
        <v>42114.0</v>
      </c>
      <c r="L716" s="1">
        <v>112.0</v>
      </c>
      <c r="M716" s="2">
        <v>42114.0</v>
      </c>
      <c r="N716" s="1" t="s">
        <v>187</v>
      </c>
      <c r="O716" s="2">
        <v>42150.0</v>
      </c>
      <c r="P716" s="1">
        <v>490.0</v>
      </c>
      <c r="Q716" s="1">
        <v>41.0</v>
      </c>
      <c r="S716" s="1" t="s">
        <v>8662</v>
      </c>
      <c r="T716" s="1" t="s">
        <v>8663</v>
      </c>
      <c r="U716" s="1" t="s">
        <v>569</v>
      </c>
      <c r="V716" s="1" t="s">
        <v>465</v>
      </c>
      <c r="W716" s="1">
        <v>60120.0</v>
      </c>
      <c r="Y716" s="1" t="s">
        <v>8664</v>
      </c>
      <c r="Z716" s="1">
        <v>1992.0</v>
      </c>
      <c r="AA716" s="1" t="s">
        <v>200</v>
      </c>
      <c r="AB716" s="1" t="s">
        <v>193</v>
      </c>
      <c r="AC716" s="1" t="s">
        <v>8665</v>
      </c>
      <c r="AD716" s="1" t="s">
        <v>1089</v>
      </c>
      <c r="AE716" s="1" t="s">
        <v>195</v>
      </c>
      <c r="AF716" s="1" t="s">
        <v>298</v>
      </c>
      <c r="AG716" s="1" t="s">
        <v>752</v>
      </c>
      <c r="AH716" s="1" t="s">
        <v>8666</v>
      </c>
      <c r="AI716" s="1">
        <v>2.23</v>
      </c>
      <c r="AK716" s="1">
        <v>10.0</v>
      </c>
      <c r="AL716" s="1">
        <v>4.0</v>
      </c>
      <c r="AM716" s="1">
        <v>2.0</v>
      </c>
      <c r="AN716" s="1">
        <v>1.0</v>
      </c>
      <c r="AO716" s="1" t="s">
        <v>198</v>
      </c>
      <c r="AP716" s="1">
        <v>1.0</v>
      </c>
      <c r="AQ716" s="1" t="s">
        <v>198</v>
      </c>
      <c r="AR716" s="1" t="s">
        <v>200</v>
      </c>
      <c r="AS716" s="1" t="s">
        <v>199</v>
      </c>
      <c r="AT716" s="1">
        <v>3.0</v>
      </c>
      <c r="AV716" s="1" t="s">
        <v>192</v>
      </c>
      <c r="AW716" s="1">
        <v>9945.63</v>
      </c>
      <c r="AX716" s="1">
        <v>2013.0</v>
      </c>
      <c r="AY716" s="1" t="s">
        <v>387</v>
      </c>
      <c r="AZ716" s="1" t="s">
        <v>200</v>
      </c>
      <c r="BA716" s="1" t="str">
        <f>"06083000470000"</f>
        <v>06083000470000</v>
      </c>
      <c r="BB716" s="1" t="s">
        <v>200</v>
      </c>
      <c r="BC716" s="1">
        <v>3047.0</v>
      </c>
      <c r="BD716" s="1">
        <v>265000.0</v>
      </c>
      <c r="BE716" s="2">
        <v>42003.0</v>
      </c>
      <c r="BF716" s="2" t="s">
        <v>8667</v>
      </c>
      <c r="BH716" s="1">
        <v>0.0</v>
      </c>
      <c r="BK716" s="1" t="s">
        <v>204</v>
      </c>
      <c r="BL716" s="1" t="str">
        <f t="shared" ref="BL716:BM716" si="481">""</f>
        <v/>
      </c>
      <c r="BM716" s="1" t="str">
        <f t="shared" si="481"/>
        <v/>
      </c>
      <c r="BQ716" s="1">
        <v>46.0</v>
      </c>
      <c r="BR716" s="1">
        <v>46.0</v>
      </c>
      <c r="BS716" s="1">
        <v>46.0</v>
      </c>
      <c r="BU716" s="1" t="s">
        <v>8668</v>
      </c>
      <c r="BV716" s="1" t="s">
        <v>206</v>
      </c>
      <c r="BW716" s="1" t="s">
        <v>210</v>
      </c>
      <c r="BY716" s="1" t="s">
        <v>6175</v>
      </c>
      <c r="BZ716" s="1" t="s">
        <v>209</v>
      </c>
      <c r="CA716" s="1" t="s">
        <v>210</v>
      </c>
      <c r="CC716" s="1" t="s">
        <v>300</v>
      </c>
      <c r="CD716" s="1" t="s">
        <v>206</v>
      </c>
      <c r="CE716" s="1" t="s">
        <v>207</v>
      </c>
      <c r="CG716" s="1" t="s">
        <v>1760</v>
      </c>
      <c r="CH716" s="1" t="s">
        <v>209</v>
      </c>
      <c r="CI716" s="1" t="s">
        <v>210</v>
      </c>
      <c r="CK716" s="1" t="s">
        <v>302</v>
      </c>
      <c r="CL716" s="1" t="s">
        <v>209</v>
      </c>
      <c r="CM716" s="1" t="s">
        <v>210</v>
      </c>
      <c r="CO716" s="1" t="s">
        <v>363</v>
      </c>
      <c r="CP716" s="1" t="s">
        <v>209</v>
      </c>
      <c r="CQ716" s="1" t="s">
        <v>210</v>
      </c>
      <c r="CS716" s="1" t="s">
        <v>1068</v>
      </c>
      <c r="CT716" s="1" t="s">
        <v>206</v>
      </c>
      <c r="CU716" s="1" t="s">
        <v>617</v>
      </c>
      <c r="CW716" s="1" t="s">
        <v>3888</v>
      </c>
      <c r="CX716" s="1" t="s">
        <v>206</v>
      </c>
      <c r="CY716" s="1" t="s">
        <v>210</v>
      </c>
      <c r="DA716" s="1" t="s">
        <v>200</v>
      </c>
      <c r="DC716" s="1" t="s">
        <v>435</v>
      </c>
      <c r="DD716" s="1" t="s">
        <v>336</v>
      </c>
      <c r="DE716" s="1" t="s">
        <v>273</v>
      </c>
      <c r="DF716" s="1" t="s">
        <v>219</v>
      </c>
      <c r="DH716" s="1" t="s">
        <v>856</v>
      </c>
      <c r="DJ716" s="1" t="s">
        <v>857</v>
      </c>
      <c r="DL716" s="1" t="s">
        <v>223</v>
      </c>
      <c r="DM716" s="1" t="s">
        <v>229</v>
      </c>
      <c r="DN716" s="1" t="s">
        <v>1486</v>
      </c>
      <c r="DO716" s="1" t="s">
        <v>3057</v>
      </c>
      <c r="DP716" s="1" t="s">
        <v>340</v>
      </c>
      <c r="DQ716" s="1" t="s">
        <v>860</v>
      </c>
      <c r="DR716" s="1" t="s">
        <v>229</v>
      </c>
      <c r="DU716" s="1" t="s">
        <v>8669</v>
      </c>
      <c r="DV716" s="1" t="s">
        <v>4513</v>
      </c>
      <c r="DW716" s="1" t="s">
        <v>233</v>
      </c>
      <c r="DX716" s="1" t="s">
        <v>234</v>
      </c>
      <c r="DY716" s="1" t="s">
        <v>8670</v>
      </c>
      <c r="DZ716" s="1" t="s">
        <v>236</v>
      </c>
      <c r="EB716" s="1" t="s">
        <v>684</v>
      </c>
      <c r="EC716" s="1" t="s">
        <v>237</v>
      </c>
      <c r="EG716" s="1" t="s">
        <v>494</v>
      </c>
      <c r="EH716" s="1" t="s">
        <v>449</v>
      </c>
      <c r="EL716" s="1" t="s">
        <v>1352</v>
      </c>
      <c r="EM716" s="1" t="s">
        <v>206</v>
      </c>
      <c r="EN716" s="1" t="s">
        <v>207</v>
      </c>
      <c r="EP716" s="1" t="s">
        <v>584</v>
      </c>
      <c r="EQ716" s="1" t="s">
        <v>206</v>
      </c>
      <c r="ER716" s="1" t="s">
        <v>617</v>
      </c>
      <c r="EU716" s="1" t="s">
        <v>238</v>
      </c>
      <c r="EY716" s="1" t="s">
        <v>238</v>
      </c>
      <c r="FC716" s="1" t="s">
        <v>238</v>
      </c>
      <c r="FF716" s="1" t="s">
        <v>239</v>
      </c>
      <c r="FG716" s="1" t="s">
        <v>192</v>
      </c>
      <c r="FH716" s="1" t="s">
        <v>192</v>
      </c>
      <c r="FJ716" s="1" t="s">
        <v>524</v>
      </c>
      <c r="FK716" s="1" t="s">
        <v>348</v>
      </c>
      <c r="FL716" s="1" t="s">
        <v>5902</v>
      </c>
      <c r="FM716" s="1">
        <v>24185.0</v>
      </c>
      <c r="FN716" s="1" t="s">
        <v>5903</v>
      </c>
      <c r="FO716" s="1" t="s">
        <v>8671</v>
      </c>
      <c r="FP716" s="1">
        <v>225877.0</v>
      </c>
      <c r="FQ716" s="1" t="s">
        <v>8672</v>
      </c>
      <c r="FU716" s="1" t="s">
        <v>1438</v>
      </c>
      <c r="FV716" s="1" t="s">
        <v>200</v>
      </c>
      <c r="FW716" s="1" t="s">
        <v>8673</v>
      </c>
      <c r="FZ716" s="1" t="s">
        <v>229</v>
      </c>
      <c r="GA716" s="1" t="s">
        <v>247</v>
      </c>
      <c r="GB716" s="2">
        <v>42150.0</v>
      </c>
      <c r="GC716" s="1" t="s">
        <v>8674</v>
      </c>
    </row>
    <row r="717">
      <c r="A717" s="1">
        <v>37000.0</v>
      </c>
      <c r="B717" s="1" t="s">
        <v>185</v>
      </c>
      <c r="C717" s="1" t="str">
        <f>"08806896"</f>
        <v>08806896</v>
      </c>
      <c r="D717" s="1" t="s">
        <v>186</v>
      </c>
      <c r="F717" s="1" t="str">
        <f>"115"</f>
        <v>115</v>
      </c>
      <c r="G717" s="2">
        <v>42002.0</v>
      </c>
      <c r="H717" s="1">
        <v>36900.0</v>
      </c>
      <c r="I717" s="1">
        <v>45.0</v>
      </c>
      <c r="J717" s="1">
        <v>36900.0</v>
      </c>
      <c r="K717" s="2">
        <v>42046.0</v>
      </c>
      <c r="L717" s="1">
        <v>45.0</v>
      </c>
      <c r="M717" s="2">
        <v>42046.0</v>
      </c>
      <c r="N717" s="1" t="s">
        <v>249</v>
      </c>
      <c r="O717" s="2">
        <v>42062.0</v>
      </c>
      <c r="P717" s="1">
        <v>930008.0</v>
      </c>
      <c r="Q717" s="1">
        <v>93008.0</v>
      </c>
      <c r="S717" s="1">
        <v>726.0</v>
      </c>
      <c r="T717" s="1" t="s">
        <v>8675</v>
      </c>
      <c r="U717" s="1" t="s">
        <v>320</v>
      </c>
      <c r="V717" s="1" t="s">
        <v>610</v>
      </c>
      <c r="W717" s="1">
        <v>60115.0</v>
      </c>
      <c r="Y717" s="1" t="s">
        <v>8676</v>
      </c>
      <c r="Z717" s="1">
        <v>1906.0</v>
      </c>
      <c r="AA717" s="1" t="s">
        <v>192</v>
      </c>
      <c r="AB717" s="1" t="s">
        <v>193</v>
      </c>
      <c r="AD717" s="1" t="s">
        <v>612</v>
      </c>
      <c r="AE717" s="1" t="s">
        <v>613</v>
      </c>
      <c r="AF717" s="1" t="s">
        <v>612</v>
      </c>
      <c r="AH717" s="1" t="s">
        <v>8677</v>
      </c>
      <c r="AK717" s="1">
        <v>7.0</v>
      </c>
      <c r="AL717" s="1">
        <v>4.0</v>
      </c>
      <c r="AM717" s="1">
        <v>2.0</v>
      </c>
      <c r="AN717" s="1">
        <v>0.0</v>
      </c>
      <c r="AO717" s="1" t="s">
        <v>229</v>
      </c>
      <c r="AQ717" s="1" t="s">
        <v>198</v>
      </c>
      <c r="AR717" s="1" t="s">
        <v>200</v>
      </c>
      <c r="AS717" s="1" t="s">
        <v>199</v>
      </c>
      <c r="AT717" s="1">
        <v>1.0</v>
      </c>
      <c r="AV717" s="1" t="s">
        <v>200</v>
      </c>
      <c r="AW717" s="1">
        <v>3069.54</v>
      </c>
      <c r="AX717" s="1">
        <v>2013.0</v>
      </c>
      <c r="AZ717" s="1" t="s">
        <v>200</v>
      </c>
      <c r="BA717" s="1" t="str">
        <f>"0823204005"</f>
        <v>0823204005</v>
      </c>
      <c r="BC717" s="1">
        <v>1008.0</v>
      </c>
      <c r="BD717" s="1">
        <v>37000.0</v>
      </c>
      <c r="BE717" s="2">
        <v>42002.0</v>
      </c>
      <c r="BF717" s="2" t="s">
        <v>8678</v>
      </c>
      <c r="BH717" s="1">
        <v>0.0</v>
      </c>
      <c r="BK717" s="1" t="s">
        <v>204</v>
      </c>
      <c r="BL717" s="1" t="str">
        <f t="shared" ref="BL717:BM717" si="482">""</f>
        <v/>
      </c>
      <c r="BM717" s="1" t="str">
        <f t="shared" si="482"/>
        <v/>
      </c>
      <c r="BQ717" s="1">
        <v>428.0</v>
      </c>
      <c r="BR717" s="1">
        <v>428.0</v>
      </c>
      <c r="BS717" s="1">
        <v>428.0</v>
      </c>
      <c r="BU717" s="1" t="s">
        <v>699</v>
      </c>
      <c r="BV717" s="1" t="s">
        <v>206</v>
      </c>
      <c r="BY717" s="1" t="s">
        <v>363</v>
      </c>
      <c r="BZ717" s="1" t="s">
        <v>209</v>
      </c>
      <c r="CC717" s="1" t="s">
        <v>699</v>
      </c>
      <c r="CD717" s="1" t="s">
        <v>206</v>
      </c>
      <c r="CG717" s="1" t="s">
        <v>303</v>
      </c>
      <c r="CH717" s="1" t="s">
        <v>206</v>
      </c>
      <c r="CK717" s="1" t="s">
        <v>6296</v>
      </c>
      <c r="CL717" s="1" t="s">
        <v>209</v>
      </c>
      <c r="CO717" s="1" t="s">
        <v>6296</v>
      </c>
      <c r="CP717" s="1" t="s">
        <v>209</v>
      </c>
      <c r="CS717" s="1" t="s">
        <v>302</v>
      </c>
      <c r="CT717" s="1" t="s">
        <v>206</v>
      </c>
      <c r="CX717" s="1" t="s">
        <v>204</v>
      </c>
      <c r="DA717" s="1" t="s">
        <v>200</v>
      </c>
      <c r="DC717" s="1" t="s">
        <v>642</v>
      </c>
      <c r="DE717" s="1" t="s">
        <v>1300</v>
      </c>
      <c r="DF717" s="1" t="s">
        <v>219</v>
      </c>
      <c r="DH717" s="1" t="s">
        <v>220</v>
      </c>
      <c r="DJ717" s="1" t="s">
        <v>222</v>
      </c>
      <c r="DL717" s="1" t="s">
        <v>223</v>
      </c>
      <c r="DM717" s="1" t="s">
        <v>229</v>
      </c>
      <c r="DP717" s="1" t="s">
        <v>340</v>
      </c>
      <c r="DQ717" s="1" t="s">
        <v>228</v>
      </c>
      <c r="DR717" s="1" t="s">
        <v>229</v>
      </c>
      <c r="DV717" s="1" t="s">
        <v>374</v>
      </c>
      <c r="DW717" s="1" t="s">
        <v>233</v>
      </c>
      <c r="DX717" s="1" t="s">
        <v>234</v>
      </c>
      <c r="DY717" s="1" t="s">
        <v>704</v>
      </c>
      <c r="EC717" s="1" t="s">
        <v>237</v>
      </c>
      <c r="EE717" s="1" t="s">
        <v>1673</v>
      </c>
      <c r="EG717" s="1" t="s">
        <v>374</v>
      </c>
      <c r="EL717" s="1" t="s">
        <v>8679</v>
      </c>
      <c r="EM717" s="1" t="s">
        <v>206</v>
      </c>
      <c r="EQ717" s="1" t="s">
        <v>238</v>
      </c>
      <c r="EU717" s="1" t="s">
        <v>238</v>
      </c>
      <c r="EY717" s="1" t="s">
        <v>238</v>
      </c>
      <c r="FC717" s="1" t="s">
        <v>238</v>
      </c>
      <c r="FF717" s="1" t="s">
        <v>239</v>
      </c>
      <c r="FG717" s="1" t="s">
        <v>192</v>
      </c>
      <c r="FH717" s="1" t="s">
        <v>192</v>
      </c>
      <c r="FJ717" s="1" t="s">
        <v>1248</v>
      </c>
      <c r="FK717" s="1" t="s">
        <v>229</v>
      </c>
      <c r="FL717" s="1" t="s">
        <v>5572</v>
      </c>
      <c r="FM717" s="1">
        <v>24811.0</v>
      </c>
      <c r="FN717" s="1" t="s">
        <v>5573</v>
      </c>
      <c r="FO717" s="1" t="s">
        <v>5574</v>
      </c>
      <c r="FP717" s="1">
        <v>237447.0</v>
      </c>
      <c r="FU717" s="1" t="s">
        <v>8680</v>
      </c>
      <c r="FV717" s="1" t="s">
        <v>200</v>
      </c>
      <c r="FW717" s="1" t="s">
        <v>354</v>
      </c>
      <c r="FX717" s="1" t="s">
        <v>238</v>
      </c>
      <c r="FZ717" s="1" t="s">
        <v>229</v>
      </c>
      <c r="GA717" s="1" t="s">
        <v>291</v>
      </c>
      <c r="GB717" s="2">
        <v>42062.0</v>
      </c>
    </row>
    <row r="718">
      <c r="A718" s="1">
        <v>37799.0</v>
      </c>
      <c r="B718" s="1" t="s">
        <v>185</v>
      </c>
      <c r="C718" s="1" t="str">
        <f>"08805436"</f>
        <v>08805436</v>
      </c>
      <c r="D718" s="1" t="s">
        <v>186</v>
      </c>
      <c r="F718" s="1" t="str">
        <f>"8025"</f>
        <v>8025</v>
      </c>
      <c r="G718" s="2">
        <v>41996.0</v>
      </c>
      <c r="H718" s="1">
        <v>23100.0</v>
      </c>
      <c r="I718" s="1">
        <v>444.0</v>
      </c>
      <c r="J718" s="1">
        <v>23100.0</v>
      </c>
      <c r="K718" s="2">
        <v>42027.0</v>
      </c>
      <c r="L718" s="1">
        <v>32.0</v>
      </c>
      <c r="M718" s="2">
        <v>42027.0</v>
      </c>
      <c r="N718" s="1" t="s">
        <v>249</v>
      </c>
      <c r="O718" s="2">
        <v>42054.0</v>
      </c>
      <c r="P718" s="1">
        <v>137812.0</v>
      </c>
      <c r="Q718" s="1">
        <v>16711.0</v>
      </c>
      <c r="S718" s="1">
        <v>953.0</v>
      </c>
      <c r="T718" s="1" t="s">
        <v>357</v>
      </c>
      <c r="U718" s="1" t="s">
        <v>189</v>
      </c>
      <c r="V718" s="1" t="s">
        <v>190</v>
      </c>
      <c r="W718" s="1">
        <v>60651.0</v>
      </c>
      <c r="Y718" s="1" t="s">
        <v>8681</v>
      </c>
      <c r="Z718" s="1">
        <v>1910.0</v>
      </c>
      <c r="AA718" s="1" t="s">
        <v>192</v>
      </c>
      <c r="AB718" s="1" t="s">
        <v>193</v>
      </c>
      <c r="AD718" s="1" t="s">
        <v>194</v>
      </c>
      <c r="AE718" s="1" t="s">
        <v>195</v>
      </c>
      <c r="AF718" s="1" t="s">
        <v>196</v>
      </c>
      <c r="AH718" s="1">
        <v>3750.0</v>
      </c>
      <c r="AI718" s="1">
        <v>0.0868</v>
      </c>
      <c r="AK718" s="1">
        <v>8.0</v>
      </c>
      <c r="AL718" s="1">
        <v>4.0</v>
      </c>
      <c r="AM718" s="1">
        <v>3.0</v>
      </c>
      <c r="AN718" s="1">
        <v>0.0</v>
      </c>
      <c r="AO718" s="1" t="s">
        <v>229</v>
      </c>
      <c r="AQ718" s="1" t="s">
        <v>198</v>
      </c>
      <c r="AR718" s="1" t="s">
        <v>200</v>
      </c>
      <c r="AS718" s="1" t="s">
        <v>229</v>
      </c>
      <c r="AV718" s="1" t="s">
        <v>200</v>
      </c>
      <c r="AW718" s="1">
        <v>2270.2</v>
      </c>
      <c r="AX718" s="1">
        <v>2012.0</v>
      </c>
      <c r="AZ718" s="1" t="s">
        <v>545</v>
      </c>
      <c r="BA718" s="1" t="str">
        <f>"16044180020000"</f>
        <v>16044180020000</v>
      </c>
      <c r="BC718" s="1">
        <v>3750.0</v>
      </c>
      <c r="BD718" s="1">
        <v>37799.0</v>
      </c>
      <c r="BE718" s="2">
        <v>41996.0</v>
      </c>
      <c r="BF718" s="2" t="s">
        <v>3507</v>
      </c>
      <c r="BH718" s="1">
        <v>0.0</v>
      </c>
      <c r="BK718" s="1" t="s">
        <v>204</v>
      </c>
      <c r="BL718" s="1" t="str">
        <f>"953"</f>
        <v>953</v>
      </c>
      <c r="BM718" s="1" t="str">
        <f t="shared" ref="BM718:BM720" si="483">"0"</f>
        <v>0</v>
      </c>
      <c r="BN718" s="1">
        <v>5000.0</v>
      </c>
      <c r="BO718" s="1">
        <v>0.0</v>
      </c>
      <c r="BQ718" s="1">
        <v>299.0</v>
      </c>
      <c r="BR718" s="1">
        <v>299.0</v>
      </c>
      <c r="BS718" s="1">
        <v>299.0</v>
      </c>
      <c r="BU718" s="1" t="s">
        <v>262</v>
      </c>
      <c r="BV718" s="1" t="s">
        <v>206</v>
      </c>
      <c r="BY718" s="1" t="s">
        <v>433</v>
      </c>
      <c r="BZ718" s="1" t="s">
        <v>209</v>
      </c>
      <c r="CC718" s="1" t="s">
        <v>699</v>
      </c>
      <c r="CD718" s="1" t="s">
        <v>206</v>
      </c>
      <c r="CG718" s="1" t="s">
        <v>264</v>
      </c>
      <c r="CH718" s="1" t="s">
        <v>209</v>
      </c>
      <c r="CK718" s="1" t="s">
        <v>392</v>
      </c>
      <c r="CL718" s="1" t="s">
        <v>209</v>
      </c>
      <c r="CO718" s="1" t="s">
        <v>264</v>
      </c>
      <c r="CP718" s="1" t="s">
        <v>206</v>
      </c>
      <c r="CS718" s="1" t="s">
        <v>816</v>
      </c>
      <c r="CT718" s="1" t="s">
        <v>206</v>
      </c>
      <c r="CW718" s="1" t="s">
        <v>264</v>
      </c>
      <c r="CX718" s="1" t="s">
        <v>42</v>
      </c>
      <c r="DA718" s="1" t="s">
        <v>200</v>
      </c>
      <c r="DC718" s="1" t="s">
        <v>642</v>
      </c>
      <c r="DE718" s="1" t="s">
        <v>229</v>
      </c>
      <c r="DF718" s="1" t="s">
        <v>619</v>
      </c>
      <c r="DH718" s="1" t="s">
        <v>220</v>
      </c>
      <c r="DJ718" s="1" t="s">
        <v>222</v>
      </c>
      <c r="DL718" s="1" t="s">
        <v>223</v>
      </c>
      <c r="DM718" s="1" t="s">
        <v>229</v>
      </c>
      <c r="DQ718" s="1" t="s">
        <v>228</v>
      </c>
      <c r="DR718" s="1" t="s">
        <v>229</v>
      </c>
      <c r="DV718" s="1" t="s">
        <v>232</v>
      </c>
      <c r="DW718" s="1" t="s">
        <v>279</v>
      </c>
      <c r="DX718" s="1" t="s">
        <v>234</v>
      </c>
      <c r="EC718" s="1" t="s">
        <v>237</v>
      </c>
      <c r="EE718" s="1" t="s">
        <v>1960</v>
      </c>
      <c r="EM718" s="1" t="s">
        <v>238</v>
      </c>
      <c r="EQ718" s="1" t="s">
        <v>238</v>
      </c>
      <c r="EU718" s="1" t="s">
        <v>238</v>
      </c>
      <c r="EY718" s="1" t="s">
        <v>238</v>
      </c>
      <c r="FC718" s="1" t="s">
        <v>238</v>
      </c>
      <c r="FF718" s="1" t="s">
        <v>239</v>
      </c>
      <c r="FG718" s="1" t="s">
        <v>192</v>
      </c>
      <c r="FH718" s="1" t="s">
        <v>192</v>
      </c>
      <c r="FJ718" s="1" t="s">
        <v>3509</v>
      </c>
      <c r="FK718" s="1" t="s">
        <v>229</v>
      </c>
      <c r="FL718" s="1" t="s">
        <v>3033</v>
      </c>
      <c r="FM718" s="1">
        <v>1984.0</v>
      </c>
      <c r="FN718" s="1" t="s">
        <v>3034</v>
      </c>
      <c r="FO718" s="1" t="s">
        <v>8682</v>
      </c>
      <c r="FP718" s="1">
        <v>923546.0</v>
      </c>
      <c r="FQ718" s="1" t="s">
        <v>8683</v>
      </c>
      <c r="FU718" s="1" t="s">
        <v>3036</v>
      </c>
      <c r="FV718" s="1" t="s">
        <v>200</v>
      </c>
      <c r="FW718" s="1" t="s">
        <v>4335</v>
      </c>
      <c r="FX718" s="1" t="s">
        <v>238</v>
      </c>
      <c r="FZ718" s="1" t="s">
        <v>229</v>
      </c>
      <c r="GA718" s="1" t="s">
        <v>291</v>
      </c>
      <c r="GB718" s="2">
        <v>42054.0</v>
      </c>
      <c r="GC718" s="1" t="s">
        <v>8684</v>
      </c>
    </row>
    <row r="719">
      <c r="A719" s="1">
        <v>245500.0</v>
      </c>
      <c r="B719" s="1" t="s">
        <v>185</v>
      </c>
      <c r="C719" s="1" t="str">
        <f>"08809021"</f>
        <v>08809021</v>
      </c>
      <c r="D719" s="1" t="s">
        <v>186</v>
      </c>
      <c r="F719" s="1" t="str">
        <f>"174"</f>
        <v>174</v>
      </c>
      <c r="G719" s="2">
        <v>42007.0</v>
      </c>
      <c r="H719" s="1">
        <v>249900.0</v>
      </c>
      <c r="I719" s="1">
        <v>311.0</v>
      </c>
      <c r="J719" s="1">
        <v>249900.0</v>
      </c>
      <c r="K719" s="2">
        <v>42030.0</v>
      </c>
      <c r="L719" s="1">
        <v>24.0</v>
      </c>
      <c r="M719" s="2">
        <v>42030.0</v>
      </c>
      <c r="N719" s="1" t="s">
        <v>356</v>
      </c>
      <c r="O719" s="2">
        <v>42080.0</v>
      </c>
      <c r="P719" s="1">
        <v>1988.0</v>
      </c>
      <c r="Q719" s="1">
        <v>41.0</v>
      </c>
      <c r="R719" s="1">
        <v>1500.0</v>
      </c>
      <c r="S719" s="1">
        <v>1503.0</v>
      </c>
      <c r="T719" s="1" t="s">
        <v>5908</v>
      </c>
      <c r="U719" s="1" t="s">
        <v>189</v>
      </c>
      <c r="V719" s="1" t="s">
        <v>1200</v>
      </c>
      <c r="W719" s="1">
        <v>60174.0</v>
      </c>
      <c r="Y719" s="1" t="s">
        <v>8685</v>
      </c>
      <c r="Z719" s="1">
        <v>1978.0</v>
      </c>
      <c r="AA719" s="1" t="s">
        <v>200</v>
      </c>
      <c r="AB719" s="1" t="s">
        <v>193</v>
      </c>
      <c r="AC719" s="1" t="s">
        <v>8686</v>
      </c>
      <c r="AD719" s="1" t="s">
        <v>1203</v>
      </c>
      <c r="AE719" s="1" t="s">
        <v>325</v>
      </c>
      <c r="AF719" s="1" t="s">
        <v>1203</v>
      </c>
      <c r="AH719" s="1" t="s">
        <v>8687</v>
      </c>
      <c r="AI719" s="1">
        <v>0.169</v>
      </c>
      <c r="AK719" s="1">
        <v>9.0</v>
      </c>
      <c r="AL719" s="1">
        <v>4.0</v>
      </c>
      <c r="AM719" s="1">
        <v>1.0</v>
      </c>
      <c r="AN719" s="1">
        <v>1.0</v>
      </c>
      <c r="AO719" s="1" t="s">
        <v>229</v>
      </c>
      <c r="AP719" s="1">
        <v>1.0</v>
      </c>
      <c r="AQ719" s="1" t="s">
        <v>1314</v>
      </c>
      <c r="AR719" s="1" t="s">
        <v>200</v>
      </c>
      <c r="AS719" s="1" t="s">
        <v>199</v>
      </c>
      <c r="AT719" s="1">
        <v>2.5</v>
      </c>
      <c r="AV719" s="1" t="s">
        <v>200</v>
      </c>
      <c r="AW719" s="1">
        <v>6388.64</v>
      </c>
      <c r="AX719" s="1">
        <v>2013.0</v>
      </c>
      <c r="AY719" s="1" t="s">
        <v>387</v>
      </c>
      <c r="AZ719" s="1" t="s">
        <v>200</v>
      </c>
      <c r="BA719" s="1" t="str">
        <f>"0935178011"</f>
        <v>0935178011</v>
      </c>
      <c r="BB719" s="1" t="s">
        <v>200</v>
      </c>
      <c r="BC719" s="1">
        <v>1726.0</v>
      </c>
      <c r="BD719" s="1">
        <v>245500.0</v>
      </c>
      <c r="BE719" s="2">
        <v>42007.0</v>
      </c>
      <c r="BF719" s="2" t="s">
        <v>8688</v>
      </c>
      <c r="BG719" s="1" t="s">
        <v>5913</v>
      </c>
      <c r="BH719" s="1">
        <v>0.0</v>
      </c>
      <c r="BI719" s="1" t="s">
        <v>2143</v>
      </c>
      <c r="BJ719" s="1" t="s">
        <v>2144</v>
      </c>
      <c r="BK719" s="1" t="s">
        <v>204</v>
      </c>
      <c r="BL719" s="1" t="str">
        <f>"2"</f>
        <v>2</v>
      </c>
      <c r="BM719" s="1" t="str">
        <f t="shared" si="483"/>
        <v>0</v>
      </c>
      <c r="BN719" s="1">
        <v>34.0</v>
      </c>
      <c r="BO719" s="1">
        <v>0.0</v>
      </c>
      <c r="BQ719" s="1">
        <v>303.0</v>
      </c>
      <c r="BR719" s="1">
        <v>303.0</v>
      </c>
      <c r="BS719" s="1">
        <v>303.0</v>
      </c>
      <c r="BU719" s="1" t="s">
        <v>1426</v>
      </c>
      <c r="BV719" s="1" t="s">
        <v>206</v>
      </c>
      <c r="BW719" s="1" t="s">
        <v>207</v>
      </c>
      <c r="BX719" s="1" t="s">
        <v>431</v>
      </c>
      <c r="BY719" s="1" t="s">
        <v>925</v>
      </c>
      <c r="BZ719" s="1" t="s">
        <v>209</v>
      </c>
      <c r="CA719" s="1" t="s">
        <v>210</v>
      </c>
      <c r="CB719" s="1" t="s">
        <v>431</v>
      </c>
      <c r="CC719" s="1" t="s">
        <v>699</v>
      </c>
      <c r="CD719" s="1" t="s">
        <v>206</v>
      </c>
      <c r="CE719" s="1" t="s">
        <v>207</v>
      </c>
      <c r="CF719" s="1" t="s">
        <v>431</v>
      </c>
      <c r="CG719" s="1" t="s">
        <v>816</v>
      </c>
      <c r="CH719" s="1" t="s">
        <v>209</v>
      </c>
      <c r="CI719" s="1" t="s">
        <v>210</v>
      </c>
      <c r="CJ719" s="1" t="s">
        <v>431</v>
      </c>
      <c r="CK719" s="1" t="s">
        <v>212</v>
      </c>
      <c r="CL719" s="1" t="s">
        <v>209</v>
      </c>
      <c r="CM719" s="1" t="s">
        <v>210</v>
      </c>
      <c r="CN719" s="1" t="s">
        <v>431</v>
      </c>
      <c r="CO719" s="1" t="s">
        <v>940</v>
      </c>
      <c r="CP719" s="1" t="s">
        <v>209</v>
      </c>
      <c r="CQ719" s="1" t="s">
        <v>210</v>
      </c>
      <c r="CR719" s="1" t="s">
        <v>431</v>
      </c>
      <c r="CS719" s="1" t="s">
        <v>1158</v>
      </c>
      <c r="CT719" s="1" t="s">
        <v>206</v>
      </c>
      <c r="CU719" s="1" t="s">
        <v>207</v>
      </c>
      <c r="CV719" s="1" t="s">
        <v>431</v>
      </c>
      <c r="CW719" s="1" t="s">
        <v>1117</v>
      </c>
      <c r="CX719" s="1" t="s">
        <v>206</v>
      </c>
      <c r="CY719" s="1" t="s">
        <v>207</v>
      </c>
      <c r="CZ719" s="1" t="s">
        <v>431</v>
      </c>
      <c r="DA719" s="1" t="s">
        <v>200</v>
      </c>
      <c r="DC719" s="1" t="s">
        <v>395</v>
      </c>
      <c r="DD719" s="1" t="s">
        <v>396</v>
      </c>
      <c r="DE719" s="1" t="s">
        <v>273</v>
      </c>
      <c r="DF719" s="1" t="s">
        <v>219</v>
      </c>
      <c r="DG719" s="1" t="s">
        <v>337</v>
      </c>
      <c r="DH719" s="1" t="s">
        <v>220</v>
      </c>
      <c r="DI719" s="1" t="s">
        <v>732</v>
      </c>
      <c r="DJ719" s="1" t="s">
        <v>222</v>
      </c>
      <c r="DK719" s="1" t="s">
        <v>3740</v>
      </c>
      <c r="DL719" s="1" t="s">
        <v>1267</v>
      </c>
      <c r="DM719" s="1" t="s">
        <v>338</v>
      </c>
      <c r="DO719" s="1" t="s">
        <v>549</v>
      </c>
      <c r="DP719" s="1" t="s">
        <v>340</v>
      </c>
      <c r="DQ719" s="1" t="s">
        <v>228</v>
      </c>
      <c r="DR719" s="1" t="s">
        <v>229</v>
      </c>
      <c r="DS719" s="1" t="s">
        <v>230</v>
      </c>
      <c r="DU719" s="1" t="s">
        <v>3059</v>
      </c>
      <c r="DV719" s="1" t="s">
        <v>450</v>
      </c>
      <c r="DW719" s="1" t="s">
        <v>370</v>
      </c>
      <c r="DX719" s="1" t="s">
        <v>234</v>
      </c>
      <c r="DY719" s="1" t="s">
        <v>235</v>
      </c>
      <c r="DZ719" s="1" t="s">
        <v>1074</v>
      </c>
      <c r="EA719" s="1" t="s">
        <v>447</v>
      </c>
      <c r="EB719" s="1" t="s">
        <v>937</v>
      </c>
      <c r="EC719" s="1" t="s">
        <v>237</v>
      </c>
      <c r="ED719" s="1" t="s">
        <v>864</v>
      </c>
      <c r="EG719" s="1" t="s">
        <v>450</v>
      </c>
      <c r="EL719" s="1" t="s">
        <v>2181</v>
      </c>
      <c r="EM719" s="1" t="s">
        <v>42</v>
      </c>
      <c r="EN719" s="1" t="s">
        <v>210</v>
      </c>
      <c r="EO719" s="1" t="s">
        <v>431</v>
      </c>
      <c r="EQ719" s="1" t="s">
        <v>238</v>
      </c>
      <c r="EU719" s="1" t="s">
        <v>238</v>
      </c>
      <c r="EY719" s="1" t="s">
        <v>238</v>
      </c>
      <c r="FC719" s="1" t="s">
        <v>238</v>
      </c>
      <c r="FF719" s="1" t="s">
        <v>239</v>
      </c>
      <c r="FG719" s="1" t="s">
        <v>192</v>
      </c>
      <c r="FH719" s="1" t="s">
        <v>192</v>
      </c>
      <c r="FJ719" s="1" t="s">
        <v>1469</v>
      </c>
      <c r="FK719" s="1" t="s">
        <v>229</v>
      </c>
      <c r="FL719" s="1" t="s">
        <v>456</v>
      </c>
      <c r="FM719" s="1">
        <v>49.0</v>
      </c>
      <c r="FN719" s="1" t="s">
        <v>457</v>
      </c>
      <c r="FO719" s="1" t="s">
        <v>7855</v>
      </c>
      <c r="FP719" s="1">
        <v>720.0</v>
      </c>
      <c r="FQ719" s="1" t="s">
        <v>7856</v>
      </c>
      <c r="FS719" s="1" t="s">
        <v>7857</v>
      </c>
      <c r="FU719" s="1" t="s">
        <v>8689</v>
      </c>
      <c r="FV719" s="1" t="s">
        <v>200</v>
      </c>
      <c r="FW719" s="1" t="s">
        <v>1293</v>
      </c>
      <c r="FZ719" s="1" t="s">
        <v>229</v>
      </c>
      <c r="GA719" s="1" t="s">
        <v>291</v>
      </c>
      <c r="GB719" s="2">
        <v>42080.0</v>
      </c>
      <c r="GC719" s="1" t="s">
        <v>8690</v>
      </c>
    </row>
    <row r="720">
      <c r="A720" s="1">
        <v>290000.0</v>
      </c>
      <c r="B720" s="1" t="s">
        <v>185</v>
      </c>
      <c r="C720" s="1" t="str">
        <f>"08808210"</f>
        <v>08808210</v>
      </c>
      <c r="D720" s="1" t="s">
        <v>186</v>
      </c>
      <c r="F720" s="1" t="str">
        <f>"8019"</f>
        <v>8019</v>
      </c>
      <c r="G720" s="2">
        <v>42006.0</v>
      </c>
      <c r="H720" s="1">
        <v>289000.0</v>
      </c>
      <c r="I720" s="1">
        <v>23.0</v>
      </c>
      <c r="J720" s="1">
        <v>289000.0</v>
      </c>
      <c r="K720" s="2">
        <v>42026.0</v>
      </c>
      <c r="L720" s="1">
        <v>23.0</v>
      </c>
      <c r="M720" s="2">
        <v>42026.0</v>
      </c>
      <c r="N720" s="1" t="s">
        <v>356</v>
      </c>
      <c r="O720" s="2">
        <v>42083.0</v>
      </c>
      <c r="P720" s="1">
        <v>152048.0</v>
      </c>
      <c r="Q720" s="1">
        <v>15694.0</v>
      </c>
      <c r="R720" s="1">
        <v>9000.0</v>
      </c>
      <c r="S720" s="1">
        <v>5140.0</v>
      </c>
      <c r="T720" s="1" t="s">
        <v>8691</v>
      </c>
      <c r="U720" s="1" t="s">
        <v>320</v>
      </c>
      <c r="V720" s="1" t="s">
        <v>190</v>
      </c>
      <c r="W720" s="1">
        <v>60641.0</v>
      </c>
      <c r="Y720" s="1" t="s">
        <v>8692</v>
      </c>
      <c r="Z720" s="1">
        <v>1923.0</v>
      </c>
      <c r="AA720" s="1" t="s">
        <v>192</v>
      </c>
      <c r="AB720" s="1" t="s">
        <v>193</v>
      </c>
      <c r="AD720" s="1" t="s">
        <v>194</v>
      </c>
      <c r="AE720" s="1" t="s">
        <v>195</v>
      </c>
      <c r="AF720" s="1" t="s">
        <v>196</v>
      </c>
      <c r="AH720" s="1" t="s">
        <v>1460</v>
      </c>
      <c r="AK720" s="1">
        <v>7.0</v>
      </c>
      <c r="AL720" s="1">
        <v>4.0</v>
      </c>
      <c r="AM720" s="1">
        <v>2.0</v>
      </c>
      <c r="AN720" s="1">
        <v>0.0</v>
      </c>
      <c r="AO720" s="1" t="s">
        <v>229</v>
      </c>
      <c r="AQ720" s="1" t="s">
        <v>472</v>
      </c>
      <c r="AR720" s="1" t="s">
        <v>200</v>
      </c>
      <c r="AS720" s="1" t="s">
        <v>199</v>
      </c>
      <c r="AT720" s="1">
        <v>2.0</v>
      </c>
      <c r="AV720" s="1" t="s">
        <v>200</v>
      </c>
      <c r="AW720" s="1">
        <v>3425.0</v>
      </c>
      <c r="AX720" s="1">
        <v>2013.0</v>
      </c>
      <c r="AY720" s="1" t="s">
        <v>1179</v>
      </c>
      <c r="AZ720" s="1" t="s">
        <v>200</v>
      </c>
      <c r="BA720" s="1" t="str">
        <f>"13282000270000"</f>
        <v>13282000270000</v>
      </c>
      <c r="BC720" s="1">
        <v>2100.0</v>
      </c>
      <c r="BD720" s="1">
        <v>290000.0</v>
      </c>
      <c r="BE720" s="2">
        <v>42004.0</v>
      </c>
      <c r="BF720" s="2" t="s">
        <v>8693</v>
      </c>
      <c r="BH720" s="1">
        <v>0.0</v>
      </c>
      <c r="BK720" s="1" t="s">
        <v>204</v>
      </c>
      <c r="BL720" s="1" t="str">
        <f>"3150"</f>
        <v>3150</v>
      </c>
      <c r="BM720" s="1" t="str">
        <f t="shared" si="483"/>
        <v>0</v>
      </c>
      <c r="BN720" s="1">
        <v>5410.0</v>
      </c>
      <c r="BO720" s="1">
        <v>0.0</v>
      </c>
      <c r="BQ720" s="1">
        <v>299.0</v>
      </c>
      <c r="BR720" s="1">
        <v>299.0</v>
      </c>
      <c r="BS720" s="1">
        <v>299.0</v>
      </c>
      <c r="BU720" s="1" t="s">
        <v>390</v>
      </c>
      <c r="BV720" s="1" t="s">
        <v>206</v>
      </c>
      <c r="BW720" s="1" t="s">
        <v>207</v>
      </c>
      <c r="BY720" s="1" t="s">
        <v>699</v>
      </c>
      <c r="BZ720" s="1" t="s">
        <v>206</v>
      </c>
      <c r="CA720" s="1" t="s">
        <v>207</v>
      </c>
      <c r="CC720" s="1" t="s">
        <v>454</v>
      </c>
      <c r="CD720" s="1" t="s">
        <v>206</v>
      </c>
      <c r="CE720" s="1" t="s">
        <v>207</v>
      </c>
      <c r="CG720" s="1" t="s">
        <v>302</v>
      </c>
      <c r="CH720" s="1" t="s">
        <v>206</v>
      </c>
      <c r="CI720" s="1" t="s">
        <v>207</v>
      </c>
      <c r="CK720" s="1" t="s">
        <v>393</v>
      </c>
      <c r="CL720" s="1" t="s">
        <v>209</v>
      </c>
      <c r="CO720" s="1" t="s">
        <v>260</v>
      </c>
      <c r="CP720" s="1" t="s">
        <v>209</v>
      </c>
      <c r="CS720" s="1" t="s">
        <v>454</v>
      </c>
      <c r="CT720" s="1" t="s">
        <v>206</v>
      </c>
      <c r="CU720" s="1" t="s">
        <v>617</v>
      </c>
      <c r="CX720" s="1" t="s">
        <v>204</v>
      </c>
      <c r="DA720" s="1" t="s">
        <v>200</v>
      </c>
      <c r="DC720" s="1" t="s">
        <v>216</v>
      </c>
      <c r="DD720" s="1" t="s">
        <v>518</v>
      </c>
      <c r="DE720" s="1" t="s">
        <v>273</v>
      </c>
      <c r="DF720" s="1" t="s">
        <v>219</v>
      </c>
      <c r="DG720" s="1" t="s">
        <v>337</v>
      </c>
      <c r="DH720" s="1" t="s">
        <v>365</v>
      </c>
      <c r="DI720" s="1" t="s">
        <v>1401</v>
      </c>
      <c r="DJ720" s="1" t="s">
        <v>222</v>
      </c>
      <c r="DL720" s="1" t="s">
        <v>223</v>
      </c>
      <c r="DM720" s="1" t="s">
        <v>229</v>
      </c>
      <c r="DO720" s="1" t="s">
        <v>549</v>
      </c>
      <c r="DP720" s="1" t="s">
        <v>340</v>
      </c>
      <c r="DQ720" s="1" t="s">
        <v>718</v>
      </c>
      <c r="DR720" s="1" t="s">
        <v>229</v>
      </c>
      <c r="DS720" s="1" t="s">
        <v>401</v>
      </c>
      <c r="DV720" s="1" t="s">
        <v>374</v>
      </c>
      <c r="DW720" s="1" t="s">
        <v>279</v>
      </c>
      <c r="DX720" s="1" t="s">
        <v>309</v>
      </c>
      <c r="DY720" s="1" t="s">
        <v>2240</v>
      </c>
      <c r="EA720" s="1" t="s">
        <v>644</v>
      </c>
      <c r="EC720" s="1" t="s">
        <v>645</v>
      </c>
      <c r="EE720" s="1" t="s">
        <v>522</v>
      </c>
      <c r="EG720" s="1" t="s">
        <v>374</v>
      </c>
      <c r="EL720" s="1" t="s">
        <v>8694</v>
      </c>
      <c r="EM720" s="1" t="s">
        <v>206</v>
      </c>
      <c r="EQ720" s="1" t="s">
        <v>238</v>
      </c>
      <c r="EU720" s="1" t="s">
        <v>238</v>
      </c>
      <c r="EY720" s="1" t="s">
        <v>238</v>
      </c>
      <c r="FC720" s="1" t="s">
        <v>238</v>
      </c>
      <c r="FF720" s="1" t="s">
        <v>239</v>
      </c>
      <c r="FG720" s="1" t="s">
        <v>192</v>
      </c>
      <c r="FH720" s="1" t="s">
        <v>192</v>
      </c>
      <c r="FJ720" s="1" t="s">
        <v>3613</v>
      </c>
      <c r="FK720" s="1" t="s">
        <v>348</v>
      </c>
      <c r="FL720" s="1" t="s">
        <v>8695</v>
      </c>
      <c r="FM720" s="1">
        <v>4669.0</v>
      </c>
      <c r="FN720" s="1" t="s">
        <v>8696</v>
      </c>
      <c r="FO720" s="1" t="s">
        <v>8697</v>
      </c>
      <c r="FP720" s="1">
        <v>35641.0</v>
      </c>
      <c r="FQ720" s="1" t="s">
        <v>8698</v>
      </c>
      <c r="FS720" s="1" t="s">
        <v>8699</v>
      </c>
      <c r="FT720" s="1" t="s">
        <v>8700</v>
      </c>
      <c r="FU720" s="1" t="s">
        <v>8701</v>
      </c>
      <c r="FV720" s="1" t="s">
        <v>200</v>
      </c>
      <c r="FW720" s="1" t="s">
        <v>530</v>
      </c>
      <c r="FX720" s="1" t="s">
        <v>246</v>
      </c>
      <c r="FZ720" s="1" t="s">
        <v>229</v>
      </c>
      <c r="GA720" s="1" t="s">
        <v>291</v>
      </c>
      <c r="GB720" s="2">
        <v>42083.0</v>
      </c>
      <c r="GC720" s="1" t="s">
        <v>8702</v>
      </c>
    </row>
    <row r="721">
      <c r="A721" s="1">
        <v>217000.0</v>
      </c>
      <c r="B721" s="1" t="s">
        <v>185</v>
      </c>
      <c r="C721" s="1" t="str">
        <f>"08817136"</f>
        <v>08817136</v>
      </c>
      <c r="D721" s="1" t="s">
        <v>186</v>
      </c>
      <c r="F721" s="1" t="str">
        <f>"8070"</f>
        <v>8070</v>
      </c>
      <c r="G721" s="2">
        <v>42019.0</v>
      </c>
      <c r="H721" s="1">
        <v>229000.0</v>
      </c>
      <c r="I721" s="1">
        <v>140.0</v>
      </c>
      <c r="J721" s="1">
        <v>219900.0</v>
      </c>
      <c r="K721" s="2">
        <v>42094.0</v>
      </c>
      <c r="L721" s="1">
        <v>76.0</v>
      </c>
      <c r="M721" s="2">
        <v>42094.0</v>
      </c>
      <c r="N721" s="1" t="s">
        <v>356</v>
      </c>
      <c r="O721" s="2">
        <v>42145.0</v>
      </c>
      <c r="P721" s="1">
        <v>135711.0</v>
      </c>
      <c r="Q721" s="1">
        <v>12555.0</v>
      </c>
      <c r="S721" s="1">
        <v>4444.0</v>
      </c>
      <c r="T721" s="1" t="s">
        <v>3948</v>
      </c>
      <c r="U721" s="1" t="s">
        <v>694</v>
      </c>
      <c r="V721" s="1" t="s">
        <v>190</v>
      </c>
      <c r="W721" s="1">
        <v>60652.0</v>
      </c>
      <c r="X721" s="1">
        <v>2116.0</v>
      </c>
      <c r="Y721" s="1" t="s">
        <v>8703</v>
      </c>
      <c r="Z721" s="1">
        <v>1954.0</v>
      </c>
      <c r="AA721" s="1" t="s">
        <v>192</v>
      </c>
      <c r="AB721" s="1" t="s">
        <v>193</v>
      </c>
      <c r="AD721" s="1" t="s">
        <v>194</v>
      </c>
      <c r="AE721" s="1" t="s">
        <v>195</v>
      </c>
      <c r="AF721" s="1" t="s">
        <v>659</v>
      </c>
      <c r="AH721" s="1" t="s">
        <v>8704</v>
      </c>
      <c r="AI721" s="1">
        <v>0.1042</v>
      </c>
      <c r="AK721" s="1">
        <v>7.0</v>
      </c>
      <c r="AL721" s="1">
        <v>3.0</v>
      </c>
      <c r="AM721" s="1">
        <v>2.0</v>
      </c>
      <c r="AN721" s="1">
        <v>0.0</v>
      </c>
      <c r="AO721" s="1" t="s">
        <v>229</v>
      </c>
      <c r="AQ721" s="1" t="s">
        <v>198</v>
      </c>
      <c r="AR721" s="1" t="s">
        <v>192</v>
      </c>
      <c r="AS721" s="1" t="s">
        <v>199</v>
      </c>
      <c r="AT721" s="1">
        <v>2.0</v>
      </c>
      <c r="AV721" s="1" t="s">
        <v>200</v>
      </c>
      <c r="AW721" s="1">
        <v>2406.04</v>
      </c>
      <c r="AX721" s="1">
        <v>2013.0</v>
      </c>
      <c r="AY721" s="1" t="s">
        <v>229</v>
      </c>
      <c r="AZ721" s="1" t="s">
        <v>200</v>
      </c>
      <c r="BA721" s="1" t="str">
        <f>"19341250120000"</f>
        <v>19341250120000</v>
      </c>
      <c r="BC721" s="1">
        <v>1010.0</v>
      </c>
      <c r="BD721" s="1">
        <v>217000.0</v>
      </c>
      <c r="BE721" s="2">
        <v>42019.0</v>
      </c>
      <c r="BF721" s="2" t="s">
        <v>8705</v>
      </c>
      <c r="BH721" s="1">
        <v>0.0</v>
      </c>
      <c r="BK721" s="1" t="s">
        <v>204</v>
      </c>
      <c r="BL721" s="1" t="str">
        <f t="shared" ref="BL721:BM721" si="484">"0"</f>
        <v>0</v>
      </c>
      <c r="BM721" s="1" t="str">
        <f t="shared" si="484"/>
        <v>0</v>
      </c>
      <c r="BN721" s="1">
        <v>4444.0</v>
      </c>
      <c r="BO721" s="1">
        <v>8150.0</v>
      </c>
      <c r="BQ721" s="1">
        <v>299.0</v>
      </c>
      <c r="BR721" s="1">
        <v>299.0</v>
      </c>
      <c r="BS721" s="1">
        <v>299.0</v>
      </c>
      <c r="BU721" s="1" t="s">
        <v>925</v>
      </c>
      <c r="BV721" s="1" t="s">
        <v>206</v>
      </c>
      <c r="BW721" s="1" t="s">
        <v>207</v>
      </c>
      <c r="BY721" s="1" t="s">
        <v>699</v>
      </c>
      <c r="BZ721" s="1" t="s">
        <v>206</v>
      </c>
      <c r="CA721" s="1" t="s">
        <v>207</v>
      </c>
      <c r="CD721" s="1" t="s">
        <v>204</v>
      </c>
      <c r="CG721" s="1" t="s">
        <v>495</v>
      </c>
      <c r="CH721" s="1" t="s">
        <v>206</v>
      </c>
      <c r="CI721" s="1" t="s">
        <v>207</v>
      </c>
      <c r="CK721" s="1" t="s">
        <v>495</v>
      </c>
      <c r="CL721" s="1" t="s">
        <v>206</v>
      </c>
      <c r="CM721" s="1" t="s">
        <v>207</v>
      </c>
      <c r="CO721" s="1" t="s">
        <v>699</v>
      </c>
      <c r="CP721" s="1" t="s">
        <v>42</v>
      </c>
      <c r="CQ721" s="1" t="s">
        <v>207</v>
      </c>
      <c r="CS721" s="1" t="s">
        <v>4180</v>
      </c>
      <c r="CT721" s="1" t="s">
        <v>206</v>
      </c>
      <c r="CU721" s="1" t="s">
        <v>268</v>
      </c>
      <c r="CW721" s="1" t="s">
        <v>8706</v>
      </c>
      <c r="CX721" s="1" t="s">
        <v>42</v>
      </c>
      <c r="CY721" s="1" t="s">
        <v>268</v>
      </c>
      <c r="DA721" s="1" t="s">
        <v>200</v>
      </c>
      <c r="DC721" s="1" t="s">
        <v>702</v>
      </c>
      <c r="DD721" s="1" t="s">
        <v>518</v>
      </c>
      <c r="DE721" s="1" t="s">
        <v>273</v>
      </c>
      <c r="DF721" s="1" t="s">
        <v>219</v>
      </c>
      <c r="DG721" s="1" t="s">
        <v>482</v>
      </c>
      <c r="DH721" s="1" t="s">
        <v>365</v>
      </c>
      <c r="DI721" s="1" t="s">
        <v>366</v>
      </c>
      <c r="DJ721" s="1" t="s">
        <v>222</v>
      </c>
      <c r="DL721" s="1" t="s">
        <v>224</v>
      </c>
      <c r="DM721" s="1" t="s">
        <v>1464</v>
      </c>
      <c r="DN721" s="1" t="s">
        <v>5615</v>
      </c>
      <c r="DQ721" s="1" t="s">
        <v>794</v>
      </c>
      <c r="DR721" s="1" t="s">
        <v>229</v>
      </c>
      <c r="DS721" s="1" t="s">
        <v>401</v>
      </c>
      <c r="DU721" s="1" t="s">
        <v>487</v>
      </c>
      <c r="DV721" s="1" t="s">
        <v>232</v>
      </c>
      <c r="DW721" s="1" t="s">
        <v>279</v>
      </c>
      <c r="DX721" s="1" t="s">
        <v>234</v>
      </c>
      <c r="DY721" s="1" t="s">
        <v>553</v>
      </c>
      <c r="EA721" s="1" t="s">
        <v>683</v>
      </c>
      <c r="EC721" s="1" t="s">
        <v>685</v>
      </c>
      <c r="ED721" s="1" t="s">
        <v>1406</v>
      </c>
      <c r="EM721" s="1" t="s">
        <v>238</v>
      </c>
      <c r="EQ721" s="1" t="s">
        <v>238</v>
      </c>
      <c r="EU721" s="1" t="s">
        <v>238</v>
      </c>
      <c r="EY721" s="1" t="s">
        <v>238</v>
      </c>
      <c r="FC721" s="1" t="s">
        <v>238</v>
      </c>
      <c r="FF721" s="1" t="s">
        <v>239</v>
      </c>
      <c r="FG721" s="1" t="s">
        <v>192</v>
      </c>
      <c r="FH721" s="1" t="s">
        <v>192</v>
      </c>
      <c r="FJ721" s="1" t="s">
        <v>770</v>
      </c>
      <c r="FK721" s="1" t="s">
        <v>229</v>
      </c>
      <c r="FL721" s="1" t="s">
        <v>3358</v>
      </c>
      <c r="FM721" s="1">
        <v>84818.0</v>
      </c>
      <c r="FN721" s="1" t="s">
        <v>3359</v>
      </c>
      <c r="FO721" s="1" t="s">
        <v>5619</v>
      </c>
      <c r="FP721" s="1">
        <v>162070.0</v>
      </c>
      <c r="FQ721" s="1" t="s">
        <v>5620</v>
      </c>
      <c r="FR721" s="1">
        <v>841730.0</v>
      </c>
      <c r="FU721" s="1" t="s">
        <v>710</v>
      </c>
      <c r="FV721" s="1" t="s">
        <v>200</v>
      </c>
      <c r="FW721" s="1" t="s">
        <v>4583</v>
      </c>
      <c r="FX721" s="1" t="s">
        <v>246</v>
      </c>
      <c r="FZ721" s="1" t="s">
        <v>229</v>
      </c>
      <c r="GA721" s="1" t="s">
        <v>291</v>
      </c>
      <c r="GB721" s="2">
        <v>42145.0</v>
      </c>
      <c r="GC721" s="1" t="s">
        <v>5622</v>
      </c>
    </row>
    <row r="722">
      <c r="A722" s="1">
        <v>195000.0</v>
      </c>
      <c r="B722" s="1" t="s">
        <v>185</v>
      </c>
      <c r="C722" s="1" t="str">
        <f>"08808525"</f>
        <v>08808525</v>
      </c>
      <c r="D722" s="1" t="s">
        <v>186</v>
      </c>
      <c r="F722" s="1" t="str">
        <f>"107"</f>
        <v>107</v>
      </c>
      <c r="G722" s="2">
        <v>42006.0</v>
      </c>
      <c r="H722" s="1">
        <v>219900.0</v>
      </c>
      <c r="I722" s="1">
        <v>91.0</v>
      </c>
      <c r="J722" s="1">
        <v>202900.0</v>
      </c>
      <c r="K722" s="2">
        <v>42096.0</v>
      </c>
      <c r="L722" s="1">
        <v>91.0</v>
      </c>
      <c r="M722" s="2">
        <v>42096.0</v>
      </c>
      <c r="N722" s="1" t="s">
        <v>187</v>
      </c>
      <c r="O722" s="2">
        <v>42124.0</v>
      </c>
      <c r="P722" s="1">
        <v>215475.0</v>
      </c>
      <c r="Q722" s="1">
        <v>24007.0</v>
      </c>
      <c r="S722" s="1">
        <v>7.0</v>
      </c>
      <c r="T722" s="1" t="s">
        <v>8707</v>
      </c>
      <c r="U722" s="1" t="s">
        <v>420</v>
      </c>
      <c r="V722" s="1" t="s">
        <v>294</v>
      </c>
      <c r="W722" s="1">
        <v>60107.0</v>
      </c>
      <c r="Y722" s="1" t="s">
        <v>8708</v>
      </c>
      <c r="Z722" s="1">
        <v>1987.0</v>
      </c>
      <c r="AA722" s="1" t="s">
        <v>200</v>
      </c>
      <c r="AB722" s="1" t="s">
        <v>193</v>
      </c>
      <c r="AC722" s="1" t="s">
        <v>8709</v>
      </c>
      <c r="AD722" s="1" t="s">
        <v>8710</v>
      </c>
      <c r="AE722" s="1" t="s">
        <v>195</v>
      </c>
      <c r="AF722" s="1" t="s">
        <v>298</v>
      </c>
      <c r="AH722" s="1" t="s">
        <v>8711</v>
      </c>
      <c r="AI722" s="1">
        <v>0.195</v>
      </c>
      <c r="AK722" s="1">
        <v>8.0</v>
      </c>
      <c r="AL722" s="1">
        <v>4.0</v>
      </c>
      <c r="AM722" s="1">
        <v>2.0</v>
      </c>
      <c r="AN722" s="1">
        <v>0.0</v>
      </c>
      <c r="AO722" s="1" t="s">
        <v>198</v>
      </c>
      <c r="AP722" s="1">
        <v>1.0</v>
      </c>
      <c r="AQ722" s="1" t="s">
        <v>229</v>
      </c>
      <c r="AR722" s="1" t="s">
        <v>200</v>
      </c>
      <c r="AS722" s="1" t="s">
        <v>199</v>
      </c>
      <c r="AT722" s="1">
        <v>2.0</v>
      </c>
      <c r="AV722" s="1" t="s">
        <v>200</v>
      </c>
      <c r="AW722" s="1">
        <v>5465.0</v>
      </c>
      <c r="AX722" s="1">
        <v>2013.0</v>
      </c>
      <c r="AY722" s="1" t="s">
        <v>229</v>
      </c>
      <c r="AZ722" s="1" t="s">
        <v>200</v>
      </c>
      <c r="BA722" s="1" t="str">
        <f>"06243140250000"</f>
        <v>06243140250000</v>
      </c>
      <c r="BC722" s="1">
        <v>0.0</v>
      </c>
      <c r="BD722" s="1">
        <v>195000.0</v>
      </c>
      <c r="BE722" s="2">
        <v>42006.0</v>
      </c>
      <c r="BF722" s="2" t="s">
        <v>8712</v>
      </c>
      <c r="BH722" s="1">
        <v>0.0</v>
      </c>
      <c r="BK722" s="1" t="s">
        <v>204</v>
      </c>
      <c r="BL722" s="1" t="str">
        <f>"10"</f>
        <v>10</v>
      </c>
      <c r="BM722" s="1" t="str">
        <f t="shared" ref="BM722:BM726" si="485">"0"</f>
        <v>0</v>
      </c>
      <c r="BN722" s="1">
        <v>27.0</v>
      </c>
      <c r="BO722" s="1">
        <v>0.0</v>
      </c>
      <c r="BQ722" s="1">
        <v>46.0</v>
      </c>
      <c r="BR722" s="1">
        <v>46.0</v>
      </c>
      <c r="BS722" s="1">
        <v>46.0</v>
      </c>
      <c r="BU722" s="1" t="s">
        <v>3539</v>
      </c>
      <c r="BV722" s="1" t="s">
        <v>206</v>
      </c>
      <c r="BW722" s="1" t="s">
        <v>207</v>
      </c>
      <c r="BY722" s="1" t="s">
        <v>480</v>
      </c>
      <c r="BZ722" s="1" t="s">
        <v>209</v>
      </c>
      <c r="CC722" s="1" t="s">
        <v>264</v>
      </c>
      <c r="CD722" s="1" t="s">
        <v>206</v>
      </c>
      <c r="CG722" s="1" t="s">
        <v>362</v>
      </c>
      <c r="CH722" s="1" t="s">
        <v>209</v>
      </c>
      <c r="CK722" s="1" t="s">
        <v>433</v>
      </c>
      <c r="CL722" s="1" t="s">
        <v>206</v>
      </c>
      <c r="CO722" s="1" t="s">
        <v>363</v>
      </c>
      <c r="CP722" s="1" t="s">
        <v>206</v>
      </c>
      <c r="CS722" s="1" t="s">
        <v>497</v>
      </c>
      <c r="CT722" s="1" t="s">
        <v>206</v>
      </c>
      <c r="CX722" s="1" t="s">
        <v>204</v>
      </c>
      <c r="DA722" s="1" t="s">
        <v>200</v>
      </c>
      <c r="DC722" s="1" t="s">
        <v>305</v>
      </c>
      <c r="DD722" s="1" t="s">
        <v>518</v>
      </c>
      <c r="DE722" s="1" t="s">
        <v>273</v>
      </c>
      <c r="DF722" s="1" t="s">
        <v>219</v>
      </c>
      <c r="DG722" s="1" t="s">
        <v>482</v>
      </c>
      <c r="DH722" s="1" t="s">
        <v>220</v>
      </c>
      <c r="DI722" s="1" t="s">
        <v>1141</v>
      </c>
      <c r="DJ722" s="1" t="s">
        <v>222</v>
      </c>
      <c r="DL722" s="1" t="s">
        <v>229</v>
      </c>
      <c r="DM722" s="1" t="s">
        <v>4610</v>
      </c>
      <c r="DO722" s="1" t="s">
        <v>1979</v>
      </c>
      <c r="DP722" s="1" t="s">
        <v>276</v>
      </c>
      <c r="DQ722" s="1" t="s">
        <v>228</v>
      </c>
      <c r="DR722" s="1" t="s">
        <v>229</v>
      </c>
      <c r="DV722" s="1" t="s">
        <v>556</v>
      </c>
      <c r="DW722" s="1" t="s">
        <v>891</v>
      </c>
      <c r="DX722" s="1" t="s">
        <v>234</v>
      </c>
      <c r="DY722" s="1" t="s">
        <v>342</v>
      </c>
      <c r="DZ722" s="1" t="s">
        <v>310</v>
      </c>
      <c r="EC722" s="1" t="s">
        <v>237</v>
      </c>
      <c r="ED722" s="1" t="s">
        <v>555</v>
      </c>
      <c r="EG722" s="1" t="s">
        <v>556</v>
      </c>
      <c r="EL722" s="1" t="s">
        <v>6563</v>
      </c>
      <c r="EM722" s="1" t="s">
        <v>206</v>
      </c>
      <c r="EQ722" s="1" t="s">
        <v>238</v>
      </c>
      <c r="EU722" s="1" t="s">
        <v>238</v>
      </c>
      <c r="EY722" s="1" t="s">
        <v>238</v>
      </c>
      <c r="FC722" s="1" t="s">
        <v>238</v>
      </c>
      <c r="FF722" s="1" t="s">
        <v>239</v>
      </c>
      <c r="FG722" s="1" t="s">
        <v>192</v>
      </c>
      <c r="FH722" s="1" t="s">
        <v>192</v>
      </c>
      <c r="FJ722" s="1" t="s">
        <v>2262</v>
      </c>
      <c r="FK722" s="1" t="s">
        <v>229</v>
      </c>
      <c r="FL722" s="1" t="s">
        <v>8713</v>
      </c>
      <c r="FM722" s="1">
        <v>16645.0</v>
      </c>
      <c r="FN722" s="1" t="s">
        <v>8714</v>
      </c>
      <c r="FO722" s="1" t="s">
        <v>8715</v>
      </c>
      <c r="FP722" s="1">
        <v>144314.0</v>
      </c>
      <c r="FQ722" s="1" t="s">
        <v>8714</v>
      </c>
      <c r="FS722" s="1">
        <v>144314.0</v>
      </c>
      <c r="FT722" s="1" t="s">
        <v>8716</v>
      </c>
      <c r="FU722" s="1" t="s">
        <v>8717</v>
      </c>
      <c r="FV722" s="1" t="s">
        <v>192</v>
      </c>
      <c r="FW722" s="1" t="s">
        <v>530</v>
      </c>
      <c r="FZ722" s="1" t="s">
        <v>229</v>
      </c>
      <c r="GA722" s="1" t="s">
        <v>247</v>
      </c>
      <c r="GB722" s="2">
        <v>42130.0</v>
      </c>
      <c r="GC722" s="1" t="s">
        <v>8718</v>
      </c>
    </row>
    <row r="723">
      <c r="A723" s="1">
        <v>79000.0</v>
      </c>
      <c r="B723" s="1" t="s">
        <v>185</v>
      </c>
      <c r="C723" s="1" t="str">
        <f>"08804930"</f>
        <v>08804930</v>
      </c>
      <c r="D723" s="1" t="s">
        <v>186</v>
      </c>
      <c r="F723" s="1" t="str">
        <f>"8025"</f>
        <v>8025</v>
      </c>
      <c r="G723" s="2">
        <v>41994.0</v>
      </c>
      <c r="H723" s="1">
        <v>79500.0</v>
      </c>
      <c r="I723" s="1">
        <v>29.0</v>
      </c>
      <c r="J723" s="1">
        <v>79500.0</v>
      </c>
      <c r="K723" s="2">
        <v>42020.0</v>
      </c>
      <c r="L723" s="1">
        <v>29.0</v>
      </c>
      <c r="M723" s="2">
        <v>42020.0</v>
      </c>
      <c r="N723" s="1" t="s">
        <v>249</v>
      </c>
      <c r="O723" s="2">
        <v>42041.0</v>
      </c>
      <c r="P723" s="1">
        <v>189826.0</v>
      </c>
      <c r="Q723" s="1">
        <v>12139.0</v>
      </c>
      <c r="S723" s="1">
        <v>4866.0</v>
      </c>
      <c r="T723" s="1" t="s">
        <v>8719</v>
      </c>
      <c r="U723" s="1" t="s">
        <v>189</v>
      </c>
      <c r="V723" s="1" t="s">
        <v>190</v>
      </c>
      <c r="W723" s="1">
        <v>60639.0</v>
      </c>
      <c r="Y723" s="1" t="s">
        <v>8720</v>
      </c>
      <c r="Z723" s="1">
        <v>1915.0</v>
      </c>
      <c r="AA723" s="1" t="s">
        <v>192</v>
      </c>
      <c r="AB723" s="1" t="s">
        <v>193</v>
      </c>
      <c r="AD723" s="1" t="s">
        <v>194</v>
      </c>
      <c r="AE723" s="1" t="s">
        <v>195</v>
      </c>
      <c r="AF723" s="1" t="s">
        <v>196</v>
      </c>
      <c r="AH723" s="1" t="s">
        <v>8721</v>
      </c>
      <c r="AK723" s="1">
        <v>7.0</v>
      </c>
      <c r="AL723" s="1">
        <v>4.0</v>
      </c>
      <c r="AM723" s="1">
        <v>2.0</v>
      </c>
      <c r="AN723" s="1">
        <v>0.0</v>
      </c>
      <c r="AO723" s="1" t="s">
        <v>229</v>
      </c>
      <c r="AQ723" s="1" t="s">
        <v>198</v>
      </c>
      <c r="AR723" s="1" t="s">
        <v>200</v>
      </c>
      <c r="AS723" s="1" t="s">
        <v>229</v>
      </c>
      <c r="AV723" s="1" t="s">
        <v>200</v>
      </c>
      <c r="AW723" s="1">
        <v>2822.0</v>
      </c>
      <c r="AX723" s="1">
        <v>2013.0</v>
      </c>
      <c r="AY723" s="1" t="s">
        <v>387</v>
      </c>
      <c r="AZ723" s="1" t="s">
        <v>200</v>
      </c>
      <c r="BA723" s="1" t="str">
        <f>"13334140270000"</f>
        <v>13334140270000</v>
      </c>
      <c r="BC723" s="1">
        <v>1734.0</v>
      </c>
      <c r="BD723" s="1">
        <v>79000.0</v>
      </c>
      <c r="BE723" s="2">
        <v>41992.0</v>
      </c>
      <c r="BF723" s="2" t="s">
        <v>8722</v>
      </c>
      <c r="BH723" s="1">
        <v>0.0</v>
      </c>
      <c r="BK723" s="1" t="s">
        <v>204</v>
      </c>
      <c r="BL723" s="1" t="str">
        <f>"1732"</f>
        <v>1732</v>
      </c>
      <c r="BM723" s="1" t="str">
        <f t="shared" si="485"/>
        <v>0</v>
      </c>
      <c r="BN723" s="1">
        <v>4866.0</v>
      </c>
      <c r="BO723" s="1">
        <v>0.0</v>
      </c>
      <c r="BQ723" s="1">
        <v>299.0</v>
      </c>
      <c r="BR723" s="1">
        <v>299.0</v>
      </c>
      <c r="BS723" s="1">
        <v>299.0</v>
      </c>
      <c r="BU723" s="1" t="s">
        <v>433</v>
      </c>
      <c r="BV723" s="1" t="s">
        <v>206</v>
      </c>
      <c r="BY723" s="1" t="s">
        <v>1672</v>
      </c>
      <c r="BZ723" s="1" t="s">
        <v>209</v>
      </c>
      <c r="CC723" s="1" t="s">
        <v>542</v>
      </c>
      <c r="CD723" s="1" t="s">
        <v>206</v>
      </c>
      <c r="CG723" s="1" t="s">
        <v>1746</v>
      </c>
      <c r="CH723" s="1" t="s">
        <v>209</v>
      </c>
      <c r="CK723" s="1" t="s">
        <v>798</v>
      </c>
      <c r="CL723" s="1" t="s">
        <v>209</v>
      </c>
      <c r="CO723" s="1" t="s">
        <v>663</v>
      </c>
      <c r="CP723" s="1" t="s">
        <v>206</v>
      </c>
      <c r="CS723" s="1" t="s">
        <v>663</v>
      </c>
      <c r="CT723" s="1" t="s">
        <v>206</v>
      </c>
      <c r="CX723" s="1" t="s">
        <v>204</v>
      </c>
      <c r="DA723" s="1" t="s">
        <v>200</v>
      </c>
      <c r="DC723" s="1" t="s">
        <v>216</v>
      </c>
      <c r="DE723" s="1" t="s">
        <v>229</v>
      </c>
      <c r="DF723" s="1" t="s">
        <v>619</v>
      </c>
      <c r="DH723" s="1" t="s">
        <v>220</v>
      </c>
      <c r="DJ723" s="1" t="s">
        <v>222</v>
      </c>
      <c r="DL723" s="1" t="s">
        <v>223</v>
      </c>
      <c r="DM723" s="1" t="s">
        <v>229</v>
      </c>
      <c r="DQ723" s="1" t="s">
        <v>228</v>
      </c>
      <c r="DR723" s="1" t="s">
        <v>229</v>
      </c>
      <c r="DV723" s="1" t="s">
        <v>232</v>
      </c>
      <c r="DW723" s="1" t="s">
        <v>279</v>
      </c>
      <c r="DX723" s="1" t="s">
        <v>234</v>
      </c>
      <c r="EC723" s="1" t="s">
        <v>645</v>
      </c>
      <c r="EM723" s="1" t="s">
        <v>238</v>
      </c>
      <c r="EQ723" s="1" t="s">
        <v>238</v>
      </c>
      <c r="EU723" s="1" t="s">
        <v>238</v>
      </c>
      <c r="EY723" s="1" t="s">
        <v>238</v>
      </c>
      <c r="FC723" s="1" t="s">
        <v>238</v>
      </c>
      <c r="FF723" s="1" t="s">
        <v>239</v>
      </c>
      <c r="FG723" s="1" t="s">
        <v>192</v>
      </c>
      <c r="FH723" s="1" t="s">
        <v>192</v>
      </c>
      <c r="FJ723" s="1" t="s">
        <v>8723</v>
      </c>
      <c r="FK723" s="1" t="s">
        <v>229</v>
      </c>
      <c r="FL723" s="1" t="s">
        <v>8724</v>
      </c>
      <c r="FM723" s="1">
        <v>16795.0</v>
      </c>
      <c r="FN723" s="1" t="s">
        <v>8725</v>
      </c>
      <c r="FO723" s="1" t="s">
        <v>8726</v>
      </c>
      <c r="FP723" s="1">
        <v>110590.0</v>
      </c>
      <c r="FQ723" s="1" t="s">
        <v>8727</v>
      </c>
      <c r="FR723" s="1">
        <v>185513.0</v>
      </c>
      <c r="FU723" s="1" t="s">
        <v>8728</v>
      </c>
      <c r="FV723" s="1" t="s">
        <v>200</v>
      </c>
      <c r="FW723" s="1" t="s">
        <v>290</v>
      </c>
      <c r="FX723" s="1" t="s">
        <v>246</v>
      </c>
      <c r="FZ723" s="1" t="s">
        <v>229</v>
      </c>
      <c r="GA723" s="1" t="s">
        <v>291</v>
      </c>
      <c r="GB723" s="2">
        <v>42041.0</v>
      </c>
      <c r="GC723" s="1" t="s">
        <v>8729</v>
      </c>
    </row>
    <row r="724">
      <c r="A724" s="1">
        <v>684500.0</v>
      </c>
      <c r="B724" s="1" t="s">
        <v>185</v>
      </c>
      <c r="C724" s="1" t="str">
        <f>"08810253"</f>
        <v>08810253</v>
      </c>
      <c r="D724" s="1" t="s">
        <v>186</v>
      </c>
      <c r="F724" s="1" t="str">
        <f>"8024"</f>
        <v>8024</v>
      </c>
      <c r="G724" s="2">
        <v>42009.0</v>
      </c>
      <c r="H724" s="1">
        <v>724900.0</v>
      </c>
      <c r="I724" s="1">
        <v>65.0</v>
      </c>
      <c r="J724" s="1">
        <v>724900.0</v>
      </c>
      <c r="K724" s="2">
        <v>42030.0</v>
      </c>
      <c r="L724" s="1">
        <v>22.0</v>
      </c>
      <c r="M724" s="2">
        <v>42030.0</v>
      </c>
      <c r="N724" s="1" t="s">
        <v>187</v>
      </c>
      <c r="O724" s="2">
        <v>42093.0</v>
      </c>
      <c r="P724" s="1">
        <v>122959.0</v>
      </c>
      <c r="Q724" s="1">
        <v>15694.0</v>
      </c>
      <c r="S724" s="1">
        <v>2423.0</v>
      </c>
      <c r="T724" s="1" t="s">
        <v>8730</v>
      </c>
      <c r="U724" s="1" t="s">
        <v>320</v>
      </c>
      <c r="V724" s="1" t="s">
        <v>190</v>
      </c>
      <c r="W724" s="1">
        <v>60612.0</v>
      </c>
      <c r="Y724" s="1" t="s">
        <v>8731</v>
      </c>
      <c r="Z724" s="1">
        <v>2012.0</v>
      </c>
      <c r="AA724" s="1" t="s">
        <v>200</v>
      </c>
      <c r="AB724" s="1" t="s">
        <v>193</v>
      </c>
      <c r="AD724" s="1" t="s">
        <v>194</v>
      </c>
      <c r="AE724" s="1" t="s">
        <v>195</v>
      </c>
      <c r="AF724" s="1" t="s">
        <v>827</v>
      </c>
      <c r="AH724" s="1" t="s">
        <v>8732</v>
      </c>
      <c r="AI724" s="1">
        <v>0.0683</v>
      </c>
      <c r="AK724" s="1">
        <v>9.0</v>
      </c>
      <c r="AL724" s="1">
        <v>4.0</v>
      </c>
      <c r="AM724" s="1">
        <v>3.0</v>
      </c>
      <c r="AN724" s="1">
        <v>1.0</v>
      </c>
      <c r="AO724" s="1" t="s">
        <v>198</v>
      </c>
      <c r="AP724" s="1">
        <v>1.0</v>
      </c>
      <c r="AQ724" s="1" t="s">
        <v>472</v>
      </c>
      <c r="AR724" s="1" t="s">
        <v>192</v>
      </c>
      <c r="AS724" s="1" t="s">
        <v>199</v>
      </c>
      <c r="AT724" s="1">
        <v>2.0</v>
      </c>
      <c r="AV724" s="1" t="s">
        <v>200</v>
      </c>
      <c r="AW724" s="1">
        <v>8759.24</v>
      </c>
      <c r="AX724" s="1">
        <v>2013.0</v>
      </c>
      <c r="AY724" s="1" t="s">
        <v>229</v>
      </c>
      <c r="AZ724" s="1" t="s">
        <v>545</v>
      </c>
      <c r="BA724" s="1" t="str">
        <f>"16122140110000"</f>
        <v>16122140110000</v>
      </c>
      <c r="BC724" s="1">
        <v>2400.0</v>
      </c>
      <c r="BD724" s="1">
        <v>684500.0</v>
      </c>
      <c r="BE724" s="2">
        <v>42009.0</v>
      </c>
      <c r="BF724" s="2" t="s">
        <v>8733</v>
      </c>
      <c r="BH724" s="1">
        <v>0.0</v>
      </c>
      <c r="BK724" s="1" t="s">
        <v>204</v>
      </c>
      <c r="BL724" s="1" t="str">
        <f>"700"</f>
        <v>700</v>
      </c>
      <c r="BM724" s="1" t="str">
        <f t="shared" si="485"/>
        <v>0</v>
      </c>
      <c r="BN724" s="1">
        <v>2400.0</v>
      </c>
      <c r="BO724" s="1">
        <v>0.0</v>
      </c>
      <c r="BQ724" s="1">
        <v>299.0</v>
      </c>
      <c r="BR724" s="1">
        <v>299.0</v>
      </c>
      <c r="BS724" s="1">
        <v>299.0</v>
      </c>
      <c r="BU724" s="1" t="s">
        <v>213</v>
      </c>
      <c r="BV724" s="1" t="s">
        <v>206</v>
      </c>
      <c r="BW724" s="1" t="s">
        <v>207</v>
      </c>
      <c r="BX724" s="1" t="s">
        <v>229</v>
      </c>
      <c r="BY724" s="1" t="s">
        <v>582</v>
      </c>
      <c r="BZ724" s="1" t="s">
        <v>209</v>
      </c>
      <c r="CA724" s="1" t="s">
        <v>207</v>
      </c>
      <c r="CB724" s="1" t="s">
        <v>229</v>
      </c>
      <c r="CC724" s="1" t="s">
        <v>433</v>
      </c>
      <c r="CD724" s="1" t="s">
        <v>206</v>
      </c>
      <c r="CE724" s="1" t="s">
        <v>207</v>
      </c>
      <c r="CF724" s="1" t="s">
        <v>229</v>
      </c>
      <c r="CG724" s="1" t="s">
        <v>582</v>
      </c>
      <c r="CH724" s="1" t="s">
        <v>209</v>
      </c>
      <c r="CI724" s="1" t="s">
        <v>207</v>
      </c>
      <c r="CJ724" s="1" t="s">
        <v>229</v>
      </c>
      <c r="CK724" s="1" t="s">
        <v>495</v>
      </c>
      <c r="CL724" s="1" t="s">
        <v>209</v>
      </c>
      <c r="CM724" s="1" t="s">
        <v>207</v>
      </c>
      <c r="CN724" s="1" t="s">
        <v>229</v>
      </c>
      <c r="CO724" s="1" t="s">
        <v>495</v>
      </c>
      <c r="CP724" s="1" t="s">
        <v>267</v>
      </c>
      <c r="CQ724" s="1" t="s">
        <v>210</v>
      </c>
      <c r="CR724" s="1" t="s">
        <v>229</v>
      </c>
      <c r="CS724" s="1" t="s">
        <v>2508</v>
      </c>
      <c r="CT724" s="1" t="s">
        <v>206</v>
      </c>
      <c r="CU724" s="1" t="s">
        <v>207</v>
      </c>
      <c r="CV724" s="1" t="s">
        <v>229</v>
      </c>
      <c r="CW724" s="1" t="s">
        <v>904</v>
      </c>
      <c r="CX724" s="1" t="s">
        <v>206</v>
      </c>
      <c r="CY724" s="1" t="s">
        <v>207</v>
      </c>
      <c r="CZ724" s="1" t="s">
        <v>229</v>
      </c>
      <c r="DA724" s="1" t="s">
        <v>200</v>
      </c>
      <c r="DC724" s="1" t="s">
        <v>1046</v>
      </c>
      <c r="DD724" s="1" t="s">
        <v>731</v>
      </c>
      <c r="DE724" s="1" t="s">
        <v>273</v>
      </c>
      <c r="DF724" s="1" t="s">
        <v>619</v>
      </c>
      <c r="DG724" s="1" t="s">
        <v>8734</v>
      </c>
      <c r="DH724" s="1" t="s">
        <v>307</v>
      </c>
      <c r="DI724" s="1" t="s">
        <v>2329</v>
      </c>
      <c r="DJ724" s="1" t="s">
        <v>222</v>
      </c>
      <c r="DL724" s="1" t="s">
        <v>224</v>
      </c>
      <c r="DM724" s="1" t="s">
        <v>229</v>
      </c>
      <c r="DN724" s="1" t="s">
        <v>485</v>
      </c>
      <c r="DO724" s="1" t="s">
        <v>717</v>
      </c>
      <c r="DP724" s="1" t="s">
        <v>276</v>
      </c>
      <c r="DQ724" s="1" t="s">
        <v>228</v>
      </c>
      <c r="DR724" s="1" t="s">
        <v>229</v>
      </c>
      <c r="DS724" s="1" t="s">
        <v>591</v>
      </c>
      <c r="DU724" s="1" t="s">
        <v>8735</v>
      </c>
      <c r="DV724" s="1" t="s">
        <v>8736</v>
      </c>
      <c r="DW724" s="1" t="s">
        <v>279</v>
      </c>
      <c r="DX724" s="1" t="s">
        <v>234</v>
      </c>
      <c r="DY724" s="1" t="s">
        <v>704</v>
      </c>
      <c r="DZ724" s="1" t="s">
        <v>1100</v>
      </c>
      <c r="EA724" s="1" t="s">
        <v>1027</v>
      </c>
      <c r="EB724" s="1" t="s">
        <v>492</v>
      </c>
      <c r="EC724" s="1" t="s">
        <v>237</v>
      </c>
      <c r="ED724" s="1" t="s">
        <v>555</v>
      </c>
      <c r="EG724" s="1" t="s">
        <v>450</v>
      </c>
      <c r="EH724" s="1" t="s">
        <v>310</v>
      </c>
      <c r="EI724" s="1" t="s">
        <v>2877</v>
      </c>
      <c r="EL724" s="1" t="s">
        <v>214</v>
      </c>
      <c r="EM724" s="1" t="s">
        <v>267</v>
      </c>
      <c r="EN724" s="1" t="s">
        <v>210</v>
      </c>
      <c r="EO724" s="1" t="s">
        <v>229</v>
      </c>
      <c r="EP724" s="1" t="s">
        <v>211</v>
      </c>
      <c r="EQ724" s="1" t="s">
        <v>206</v>
      </c>
      <c r="ET724" s="1" t="s">
        <v>8737</v>
      </c>
      <c r="EU724" s="1" t="s">
        <v>206</v>
      </c>
      <c r="EV724" s="1" t="s">
        <v>207</v>
      </c>
      <c r="EY724" s="1" t="s">
        <v>238</v>
      </c>
      <c r="FC724" s="1" t="s">
        <v>238</v>
      </c>
      <c r="FF724" s="1" t="s">
        <v>239</v>
      </c>
      <c r="FG724" s="1" t="s">
        <v>192</v>
      </c>
      <c r="FH724" s="1" t="s">
        <v>192</v>
      </c>
      <c r="FJ724" s="1" t="s">
        <v>799</v>
      </c>
      <c r="FK724" s="1" t="s">
        <v>348</v>
      </c>
      <c r="FL724" s="1" t="s">
        <v>562</v>
      </c>
      <c r="FM724" s="1">
        <v>15694.0</v>
      </c>
      <c r="FN724" s="1" t="s">
        <v>3145</v>
      </c>
      <c r="FO724" s="1" t="s">
        <v>8738</v>
      </c>
      <c r="FP724" s="1">
        <v>122959.0</v>
      </c>
      <c r="FQ724" s="1" t="s">
        <v>8739</v>
      </c>
      <c r="FR724" s="1">
        <v>878086.0</v>
      </c>
      <c r="FU724" s="1" t="s">
        <v>8740</v>
      </c>
      <c r="FV724" s="1" t="s">
        <v>200</v>
      </c>
      <c r="FW724" s="1" t="s">
        <v>530</v>
      </c>
      <c r="FX724" s="1" t="s">
        <v>246</v>
      </c>
      <c r="FZ724" s="1" t="s">
        <v>229</v>
      </c>
      <c r="GA724" s="1" t="s">
        <v>291</v>
      </c>
      <c r="GB724" s="2">
        <v>42094.0</v>
      </c>
      <c r="GC724" s="1" t="s">
        <v>8741</v>
      </c>
    </row>
    <row r="725">
      <c r="A725" s="1">
        <v>242000.0</v>
      </c>
      <c r="B725" s="1" t="s">
        <v>185</v>
      </c>
      <c r="C725" s="1" t="str">
        <f>"08804681"</f>
        <v>08804681</v>
      </c>
      <c r="D725" s="1" t="s">
        <v>186</v>
      </c>
      <c r="F725" s="1" t="str">
        <f>"8017"</f>
        <v>8017</v>
      </c>
      <c r="G725" s="2">
        <v>41992.0</v>
      </c>
      <c r="H725" s="1">
        <v>239900.0</v>
      </c>
      <c r="I725" s="1">
        <v>11.0</v>
      </c>
      <c r="J725" s="1">
        <v>239900.0</v>
      </c>
      <c r="K725" s="2">
        <v>42002.0</v>
      </c>
      <c r="L725" s="1">
        <v>11.0</v>
      </c>
      <c r="M725" s="2">
        <v>42002.0</v>
      </c>
      <c r="N725" s="1" t="s">
        <v>356</v>
      </c>
      <c r="O725" s="2">
        <v>42040.0</v>
      </c>
      <c r="P725" s="1">
        <v>161087.0</v>
      </c>
      <c r="Q725" s="1">
        <v>12174.0</v>
      </c>
      <c r="R725" s="1">
        <v>5000.0</v>
      </c>
      <c r="S725" s="1">
        <v>3522.0</v>
      </c>
      <c r="T725" s="1" t="s">
        <v>8742</v>
      </c>
      <c r="U725" s="1" t="s">
        <v>189</v>
      </c>
      <c r="V725" s="1" t="s">
        <v>190</v>
      </c>
      <c r="W725" s="1">
        <v>60634.0</v>
      </c>
      <c r="Y725" s="1" t="s">
        <v>8743</v>
      </c>
      <c r="Z725" s="1">
        <v>1914.0</v>
      </c>
      <c r="AA725" s="1" t="s">
        <v>192</v>
      </c>
      <c r="AB725" s="1" t="s">
        <v>193</v>
      </c>
      <c r="AD725" s="1" t="s">
        <v>194</v>
      </c>
      <c r="AE725" s="1" t="s">
        <v>195</v>
      </c>
      <c r="AF725" s="1" t="s">
        <v>196</v>
      </c>
      <c r="AH725" s="1" t="s">
        <v>1501</v>
      </c>
      <c r="AI725" s="1">
        <v>0.0861</v>
      </c>
      <c r="AK725" s="1">
        <v>9.0</v>
      </c>
      <c r="AL725" s="1">
        <v>4.0</v>
      </c>
      <c r="AM725" s="1">
        <v>2.0</v>
      </c>
      <c r="AN725" s="1">
        <v>0.0</v>
      </c>
      <c r="AO725" s="1" t="s">
        <v>198</v>
      </c>
      <c r="AQ725" s="1" t="s">
        <v>198</v>
      </c>
      <c r="AR725" s="1" t="s">
        <v>200</v>
      </c>
      <c r="AS725" s="1" t="s">
        <v>199</v>
      </c>
      <c r="AT725" s="1">
        <v>2.0</v>
      </c>
      <c r="AV725" s="1" t="s">
        <v>200</v>
      </c>
      <c r="AW725" s="1">
        <v>2785.19</v>
      </c>
      <c r="AX725" s="1">
        <v>2013.0</v>
      </c>
      <c r="AY725" s="1" t="s">
        <v>387</v>
      </c>
      <c r="AZ725" s="1" t="s">
        <v>200</v>
      </c>
      <c r="BA725" s="1" t="str">
        <f>"13194020330000"</f>
        <v>13194020330000</v>
      </c>
      <c r="BB725" s="1" t="s">
        <v>200</v>
      </c>
      <c r="BC725" s="1">
        <v>924.0</v>
      </c>
      <c r="BD725" s="1">
        <v>242000.0</v>
      </c>
      <c r="BE725" s="2">
        <v>41992.0</v>
      </c>
      <c r="BF725" s="2" t="s">
        <v>8744</v>
      </c>
      <c r="BH725" s="1">
        <v>0.0</v>
      </c>
      <c r="BK725" s="1" t="s">
        <v>204</v>
      </c>
      <c r="BL725" s="1" t="str">
        <f>"3522"</f>
        <v>3522</v>
      </c>
      <c r="BM725" s="1" t="str">
        <f t="shared" si="485"/>
        <v>0</v>
      </c>
      <c r="BN725" s="1">
        <v>6700.0</v>
      </c>
      <c r="BO725" s="1">
        <v>0.0</v>
      </c>
      <c r="BQ725" s="1">
        <v>299.0</v>
      </c>
      <c r="BR725" s="1">
        <v>299.0</v>
      </c>
      <c r="BS725" s="1">
        <v>299.0</v>
      </c>
      <c r="BU725" s="1" t="s">
        <v>2121</v>
      </c>
      <c r="BV725" s="1" t="s">
        <v>206</v>
      </c>
      <c r="BW725" s="1" t="s">
        <v>207</v>
      </c>
      <c r="BY725" s="1" t="s">
        <v>2749</v>
      </c>
      <c r="BZ725" s="1" t="s">
        <v>209</v>
      </c>
      <c r="CA725" s="1" t="s">
        <v>210</v>
      </c>
      <c r="CC725" s="1" t="s">
        <v>542</v>
      </c>
      <c r="CD725" s="1" t="s">
        <v>206</v>
      </c>
      <c r="CG725" s="1" t="s">
        <v>215</v>
      </c>
      <c r="CH725" s="1" t="s">
        <v>206</v>
      </c>
      <c r="CI725" s="1" t="s">
        <v>207</v>
      </c>
      <c r="CK725" s="1" t="s">
        <v>814</v>
      </c>
      <c r="CL725" s="1" t="s">
        <v>206</v>
      </c>
      <c r="CM725" s="1" t="s">
        <v>207</v>
      </c>
      <c r="CO725" s="1" t="s">
        <v>814</v>
      </c>
      <c r="CP725" s="1" t="s">
        <v>206</v>
      </c>
      <c r="CQ725" s="1" t="s">
        <v>207</v>
      </c>
      <c r="CS725" s="1" t="s">
        <v>497</v>
      </c>
      <c r="CT725" s="1" t="s">
        <v>206</v>
      </c>
      <c r="CU725" s="1" t="s">
        <v>268</v>
      </c>
      <c r="CW725" s="1" t="s">
        <v>330</v>
      </c>
      <c r="CX725" s="1" t="s">
        <v>42</v>
      </c>
      <c r="CY725" s="1" t="s">
        <v>210</v>
      </c>
      <c r="DA725" s="1" t="s">
        <v>200</v>
      </c>
      <c r="DC725" s="1" t="s">
        <v>216</v>
      </c>
      <c r="DD725" s="1" t="s">
        <v>2094</v>
      </c>
      <c r="DE725" s="1" t="s">
        <v>229</v>
      </c>
      <c r="DF725" s="1" t="s">
        <v>8745</v>
      </c>
      <c r="DH725" s="1" t="s">
        <v>365</v>
      </c>
      <c r="DI725" s="1" t="s">
        <v>366</v>
      </c>
      <c r="DJ725" s="1" t="s">
        <v>222</v>
      </c>
      <c r="DL725" s="1" t="s">
        <v>224</v>
      </c>
      <c r="DM725" s="1" t="s">
        <v>1402</v>
      </c>
      <c r="DO725" s="1" t="s">
        <v>549</v>
      </c>
      <c r="DP725" s="1" t="s">
        <v>276</v>
      </c>
      <c r="DQ725" s="1" t="s">
        <v>228</v>
      </c>
      <c r="DR725" s="1" t="s">
        <v>229</v>
      </c>
      <c r="DS725" s="1" t="s">
        <v>401</v>
      </c>
      <c r="DU725" s="1" t="s">
        <v>2070</v>
      </c>
      <c r="DV725" s="1" t="s">
        <v>8746</v>
      </c>
      <c r="DW725" s="1" t="s">
        <v>233</v>
      </c>
      <c r="DX725" s="1" t="s">
        <v>234</v>
      </c>
      <c r="DY725" s="1" t="s">
        <v>404</v>
      </c>
      <c r="DZ725" s="1" t="s">
        <v>310</v>
      </c>
      <c r="EA725" s="1" t="s">
        <v>644</v>
      </c>
      <c r="EC725" s="1" t="s">
        <v>645</v>
      </c>
      <c r="EE725" s="1" t="s">
        <v>493</v>
      </c>
      <c r="EG725" s="1" t="s">
        <v>1491</v>
      </c>
      <c r="EH725" s="1" t="s">
        <v>409</v>
      </c>
      <c r="EI725" s="1" t="s">
        <v>1270</v>
      </c>
      <c r="EL725" s="1" t="s">
        <v>5211</v>
      </c>
      <c r="EM725" s="1" t="s">
        <v>42</v>
      </c>
      <c r="EN725" s="1" t="s">
        <v>268</v>
      </c>
      <c r="EP725" s="1" t="s">
        <v>3929</v>
      </c>
      <c r="EQ725" s="1" t="s">
        <v>209</v>
      </c>
      <c r="ER725" s="1" t="s">
        <v>210</v>
      </c>
      <c r="ET725" s="1" t="s">
        <v>3467</v>
      </c>
      <c r="EU725" s="1" t="s">
        <v>42</v>
      </c>
      <c r="EV725" s="1" t="s">
        <v>268</v>
      </c>
      <c r="EY725" s="1" t="s">
        <v>238</v>
      </c>
      <c r="FC725" s="1" t="s">
        <v>238</v>
      </c>
      <c r="FF725" s="1" t="s">
        <v>239</v>
      </c>
      <c r="FG725" s="1" t="s">
        <v>192</v>
      </c>
      <c r="FH725" s="1" t="s">
        <v>192</v>
      </c>
      <c r="FJ725" s="1" t="s">
        <v>4181</v>
      </c>
      <c r="FK725" s="1" t="s">
        <v>229</v>
      </c>
      <c r="FL725" s="1" t="s">
        <v>4182</v>
      </c>
      <c r="FM725" s="1">
        <v>17033.0</v>
      </c>
      <c r="FN725" s="1" t="s">
        <v>4183</v>
      </c>
      <c r="FO725" s="1" t="s">
        <v>4184</v>
      </c>
      <c r="FP725" s="1">
        <v>110423.0</v>
      </c>
      <c r="FQ725" s="1" t="s">
        <v>4185</v>
      </c>
      <c r="FU725" s="1" t="s">
        <v>4186</v>
      </c>
      <c r="FV725" s="1" t="s">
        <v>200</v>
      </c>
      <c r="FW725" s="1" t="s">
        <v>290</v>
      </c>
      <c r="FX725" s="1" t="s">
        <v>238</v>
      </c>
      <c r="FZ725" s="1" t="s">
        <v>229</v>
      </c>
      <c r="GA725" s="1" t="s">
        <v>291</v>
      </c>
      <c r="GB725" s="2">
        <v>42040.0</v>
      </c>
      <c r="GC725" s="1" t="s">
        <v>4187</v>
      </c>
    </row>
    <row r="726">
      <c r="A726" s="1">
        <v>243500.0</v>
      </c>
      <c r="B726" s="1" t="s">
        <v>185</v>
      </c>
      <c r="C726" s="1" t="str">
        <f>"08823760"</f>
        <v>08823760</v>
      </c>
      <c r="D726" s="1" t="s">
        <v>186</v>
      </c>
      <c r="F726" s="1" t="str">
        <f>"110"</f>
        <v>110</v>
      </c>
      <c r="G726" s="2">
        <v>42030.0</v>
      </c>
      <c r="H726" s="1">
        <v>249900.0</v>
      </c>
      <c r="I726" s="1">
        <v>12.0</v>
      </c>
      <c r="J726" s="1">
        <v>249900.0</v>
      </c>
      <c r="K726" s="2">
        <v>42041.0</v>
      </c>
      <c r="L726" s="1">
        <v>12.0</v>
      </c>
      <c r="M726" s="2">
        <v>42041.0</v>
      </c>
      <c r="N726" s="1" t="s">
        <v>187</v>
      </c>
      <c r="O726" s="2">
        <v>42083.0</v>
      </c>
      <c r="P726" s="1">
        <v>147124.0</v>
      </c>
      <c r="Q726" s="1">
        <v>10267.0</v>
      </c>
      <c r="S726" s="1">
        <v>7046.0</v>
      </c>
      <c r="T726" s="1" t="s">
        <v>8747</v>
      </c>
      <c r="U726" s="1" t="s">
        <v>569</v>
      </c>
      <c r="V726" s="1" t="s">
        <v>807</v>
      </c>
      <c r="W726" s="1">
        <v>60110.0</v>
      </c>
      <c r="Y726" s="1" t="s">
        <v>8748</v>
      </c>
      <c r="Z726" s="1">
        <v>1999.0</v>
      </c>
      <c r="AA726" s="1" t="s">
        <v>200</v>
      </c>
      <c r="AB726" s="1" t="s">
        <v>193</v>
      </c>
      <c r="AC726" s="1" t="s">
        <v>2766</v>
      </c>
      <c r="AD726" s="1" t="s">
        <v>809</v>
      </c>
      <c r="AE726" s="1" t="s">
        <v>325</v>
      </c>
      <c r="AF726" s="1" t="s">
        <v>810</v>
      </c>
      <c r="AG726" s="1" t="s">
        <v>1177</v>
      </c>
      <c r="AH726" s="1" t="s">
        <v>8749</v>
      </c>
      <c r="AI726" s="1">
        <v>0.18</v>
      </c>
      <c r="AK726" s="1">
        <v>11.0</v>
      </c>
      <c r="AL726" s="1">
        <v>4.0</v>
      </c>
      <c r="AM726" s="1">
        <v>2.0</v>
      </c>
      <c r="AN726" s="1">
        <v>1.0</v>
      </c>
      <c r="AO726" s="1" t="s">
        <v>198</v>
      </c>
      <c r="AP726" s="1">
        <v>1.0</v>
      </c>
      <c r="AQ726" s="1" t="s">
        <v>198</v>
      </c>
      <c r="AR726" s="1" t="s">
        <v>200</v>
      </c>
      <c r="AS726" s="1" t="s">
        <v>199</v>
      </c>
      <c r="AT726" s="1">
        <v>2.0</v>
      </c>
      <c r="AV726" s="1" t="s">
        <v>200</v>
      </c>
      <c r="AW726" s="1">
        <v>7747.0</v>
      </c>
      <c r="AX726" s="1">
        <v>2013.0</v>
      </c>
      <c r="AY726" s="1" t="s">
        <v>387</v>
      </c>
      <c r="AZ726" s="1" t="s">
        <v>200</v>
      </c>
      <c r="BA726" s="1" t="str">
        <f>"0308378012"</f>
        <v>0308378012</v>
      </c>
      <c r="BC726" s="1">
        <v>2424.0</v>
      </c>
      <c r="BD726" s="1">
        <v>243500.0</v>
      </c>
      <c r="BE726" s="2">
        <v>42030.0</v>
      </c>
      <c r="BF726" s="2" t="s">
        <v>8750</v>
      </c>
      <c r="BG726" s="1" t="s">
        <v>1181</v>
      </c>
      <c r="BH726" s="1">
        <v>150.0</v>
      </c>
      <c r="BI726" s="1" t="s">
        <v>1093</v>
      </c>
      <c r="BJ726" s="1" t="s">
        <v>1759</v>
      </c>
      <c r="BK726" s="1" t="s">
        <v>580</v>
      </c>
      <c r="BL726" s="1" t="str">
        <f>"18"</f>
        <v>18</v>
      </c>
      <c r="BM726" s="1" t="str">
        <f t="shared" si="485"/>
        <v>0</v>
      </c>
      <c r="BN726" s="1">
        <v>36.0</v>
      </c>
      <c r="BO726" s="1">
        <v>0.0</v>
      </c>
      <c r="BQ726" s="1">
        <v>300.0</v>
      </c>
      <c r="BR726" s="1">
        <v>300.0</v>
      </c>
      <c r="BS726" s="1">
        <v>300.0</v>
      </c>
      <c r="BU726" s="1" t="s">
        <v>331</v>
      </c>
      <c r="BV726" s="1" t="s">
        <v>206</v>
      </c>
      <c r="BW726" s="1" t="s">
        <v>210</v>
      </c>
      <c r="BY726" s="1" t="s">
        <v>515</v>
      </c>
      <c r="BZ726" s="1" t="s">
        <v>209</v>
      </c>
      <c r="CA726" s="1" t="s">
        <v>210</v>
      </c>
      <c r="CC726" s="1" t="s">
        <v>332</v>
      </c>
      <c r="CD726" s="1" t="s">
        <v>206</v>
      </c>
      <c r="CE726" s="1" t="s">
        <v>210</v>
      </c>
      <c r="CG726" s="1" t="s">
        <v>582</v>
      </c>
      <c r="CH726" s="1" t="s">
        <v>209</v>
      </c>
      <c r="CI726" s="1" t="s">
        <v>210</v>
      </c>
      <c r="CK726" s="1" t="s">
        <v>497</v>
      </c>
      <c r="CL726" s="1" t="s">
        <v>209</v>
      </c>
      <c r="CM726" s="1" t="s">
        <v>210</v>
      </c>
      <c r="CO726" s="1" t="s">
        <v>699</v>
      </c>
      <c r="CP726" s="1" t="s">
        <v>206</v>
      </c>
      <c r="CQ726" s="1" t="s">
        <v>207</v>
      </c>
      <c r="CS726" s="1" t="s">
        <v>211</v>
      </c>
      <c r="CT726" s="1" t="s">
        <v>206</v>
      </c>
      <c r="CU726" s="1" t="s">
        <v>207</v>
      </c>
      <c r="CW726" s="1" t="s">
        <v>3538</v>
      </c>
      <c r="CX726" s="1" t="s">
        <v>206</v>
      </c>
      <c r="CY726" s="1" t="s">
        <v>207</v>
      </c>
      <c r="DA726" s="1" t="s">
        <v>200</v>
      </c>
      <c r="DC726" s="1" t="s">
        <v>678</v>
      </c>
      <c r="DD726" s="1" t="s">
        <v>926</v>
      </c>
      <c r="DE726" s="1" t="s">
        <v>273</v>
      </c>
      <c r="DF726" s="1" t="s">
        <v>219</v>
      </c>
      <c r="DG726" s="1" t="s">
        <v>3020</v>
      </c>
      <c r="DH726" s="1" t="s">
        <v>220</v>
      </c>
      <c r="DI726" s="1" t="s">
        <v>1003</v>
      </c>
      <c r="DJ726" s="1" t="s">
        <v>222</v>
      </c>
      <c r="DK726" s="1" t="s">
        <v>223</v>
      </c>
      <c r="DL726" s="1" t="s">
        <v>224</v>
      </c>
      <c r="DM726" s="1" t="s">
        <v>338</v>
      </c>
      <c r="DN726" s="1" t="s">
        <v>399</v>
      </c>
      <c r="DO726" s="1" t="s">
        <v>486</v>
      </c>
      <c r="DP726" s="1" t="s">
        <v>340</v>
      </c>
      <c r="DQ726" s="1" t="s">
        <v>228</v>
      </c>
      <c r="DR726" s="1" t="s">
        <v>229</v>
      </c>
      <c r="DS726" s="1" t="s">
        <v>368</v>
      </c>
      <c r="DU726" s="1" t="s">
        <v>8751</v>
      </c>
      <c r="DV726" s="1" t="s">
        <v>8752</v>
      </c>
      <c r="DW726" s="1" t="s">
        <v>444</v>
      </c>
      <c r="DX726" s="1" t="s">
        <v>234</v>
      </c>
      <c r="DY726" s="1" t="s">
        <v>8753</v>
      </c>
      <c r="DZ726" s="1" t="s">
        <v>282</v>
      </c>
      <c r="EA726" s="1" t="s">
        <v>344</v>
      </c>
      <c r="EB726" s="1" t="s">
        <v>937</v>
      </c>
      <c r="EC726" s="1" t="s">
        <v>237</v>
      </c>
      <c r="ED726" s="1" t="s">
        <v>407</v>
      </c>
      <c r="EG726" s="1" t="s">
        <v>341</v>
      </c>
      <c r="EH726" s="1" t="s">
        <v>494</v>
      </c>
      <c r="EI726" s="1" t="s">
        <v>450</v>
      </c>
      <c r="EL726" s="1" t="s">
        <v>582</v>
      </c>
      <c r="EM726" s="1" t="s">
        <v>209</v>
      </c>
      <c r="EN726" s="1" t="s">
        <v>210</v>
      </c>
      <c r="EP726" s="1" t="s">
        <v>433</v>
      </c>
      <c r="EQ726" s="1" t="s">
        <v>42</v>
      </c>
      <c r="ET726" s="1" t="s">
        <v>1377</v>
      </c>
      <c r="EU726" s="1" t="s">
        <v>42</v>
      </c>
      <c r="EY726" s="1" t="s">
        <v>238</v>
      </c>
      <c r="FC726" s="1" t="s">
        <v>238</v>
      </c>
      <c r="FF726" s="1" t="s">
        <v>239</v>
      </c>
      <c r="FG726" s="1" t="s">
        <v>192</v>
      </c>
      <c r="FH726" s="1" t="s">
        <v>192</v>
      </c>
      <c r="FJ726" s="1" t="s">
        <v>8754</v>
      </c>
      <c r="FK726" s="1" t="s">
        <v>229</v>
      </c>
      <c r="FL726" s="1" t="s">
        <v>5530</v>
      </c>
      <c r="FM726" s="1">
        <v>8079.0</v>
      </c>
      <c r="FN726" s="1" t="s">
        <v>5531</v>
      </c>
      <c r="FO726" s="1" t="s">
        <v>5532</v>
      </c>
      <c r="FP726" s="1">
        <v>920884.0</v>
      </c>
      <c r="FQ726" s="1" t="s">
        <v>5533</v>
      </c>
      <c r="FU726" s="1" t="s">
        <v>5534</v>
      </c>
      <c r="FV726" s="1" t="s">
        <v>200</v>
      </c>
      <c r="FW726" s="1" t="s">
        <v>290</v>
      </c>
      <c r="FZ726" s="1" t="s">
        <v>632</v>
      </c>
      <c r="GA726" s="1" t="s">
        <v>291</v>
      </c>
      <c r="GB726" s="2">
        <v>42083.0</v>
      </c>
    </row>
    <row r="727">
      <c r="A727" s="1">
        <v>565000.0</v>
      </c>
      <c r="B727" s="1" t="s">
        <v>185</v>
      </c>
      <c r="C727" s="1" t="str">
        <f>"08861869"</f>
        <v>08861869</v>
      </c>
      <c r="D727" s="1" t="s">
        <v>186</v>
      </c>
      <c r="F727" s="1" t="str">
        <f>"560"</f>
        <v>560</v>
      </c>
      <c r="G727" s="2">
        <v>42078.0</v>
      </c>
      <c r="H727" s="1">
        <v>589900.0</v>
      </c>
      <c r="I727" s="1">
        <v>23.0</v>
      </c>
      <c r="J727" s="1">
        <v>589900.0</v>
      </c>
      <c r="K727" s="2">
        <v>42100.0</v>
      </c>
      <c r="L727" s="1">
        <v>23.0</v>
      </c>
      <c r="M727" s="2">
        <v>42100.0</v>
      </c>
      <c r="N727" s="1" t="s">
        <v>187</v>
      </c>
      <c r="O727" s="2">
        <v>42139.0</v>
      </c>
      <c r="P727" s="1">
        <v>1337.0</v>
      </c>
      <c r="Q727" s="1">
        <v>357.0</v>
      </c>
      <c r="S727" s="1">
        <v>400.0</v>
      </c>
      <c r="T727" s="1" t="s">
        <v>8755</v>
      </c>
      <c r="U727" s="1" t="s">
        <v>1174</v>
      </c>
      <c r="V727" s="1" t="s">
        <v>845</v>
      </c>
      <c r="W727" s="1">
        <v>60560.0</v>
      </c>
      <c r="Y727" s="1" t="s">
        <v>8756</v>
      </c>
      <c r="Z727" s="1">
        <v>2001.0</v>
      </c>
      <c r="AA727" s="1" t="s">
        <v>200</v>
      </c>
      <c r="AB727" s="1" t="s">
        <v>467</v>
      </c>
      <c r="AC727" s="1" t="s">
        <v>1770</v>
      </c>
      <c r="AD727" s="1" t="s">
        <v>1089</v>
      </c>
      <c r="AE727" s="1" t="s">
        <v>849</v>
      </c>
      <c r="AF727" s="1" t="s">
        <v>2153</v>
      </c>
      <c r="AH727" s="1" t="s">
        <v>8757</v>
      </c>
      <c r="AI727" s="1">
        <v>1.0</v>
      </c>
      <c r="AK727" s="1">
        <v>14.0</v>
      </c>
      <c r="AL727" s="1">
        <v>4.0</v>
      </c>
      <c r="AM727" s="1">
        <v>3.0</v>
      </c>
      <c r="AN727" s="1">
        <v>2.0</v>
      </c>
      <c r="AO727" s="1" t="s">
        <v>198</v>
      </c>
      <c r="AP727" s="1">
        <v>2.0</v>
      </c>
      <c r="AQ727" s="1" t="s">
        <v>198</v>
      </c>
      <c r="AR727" s="1" t="s">
        <v>200</v>
      </c>
      <c r="AS727" s="1" t="s">
        <v>199</v>
      </c>
      <c r="AT727" s="1">
        <v>3.0</v>
      </c>
      <c r="AV727" s="1" t="s">
        <v>200</v>
      </c>
      <c r="AW727" s="4">
        <v>14044.6</v>
      </c>
      <c r="AX727" s="1">
        <v>2014.0</v>
      </c>
      <c r="AY727" s="1" t="s">
        <v>387</v>
      </c>
      <c r="AZ727" s="1" t="s">
        <v>200</v>
      </c>
      <c r="BA727" s="1" t="str">
        <f>"0236104002"</f>
        <v>0236104002</v>
      </c>
      <c r="BC727" s="1">
        <v>4543.0</v>
      </c>
      <c r="BD727" s="1">
        <v>565000.0</v>
      </c>
      <c r="BE727" s="2">
        <v>42078.0</v>
      </c>
      <c r="BF727" s="2" t="s">
        <v>8758</v>
      </c>
      <c r="BH727" s="1">
        <v>200.0</v>
      </c>
      <c r="BK727" s="1" t="s">
        <v>580</v>
      </c>
      <c r="BL727" s="1" t="str">
        <f t="shared" ref="BL727:BM727" si="486">""</f>
        <v/>
      </c>
      <c r="BM727" s="1" t="str">
        <f t="shared" si="486"/>
        <v/>
      </c>
      <c r="BQ727" s="1">
        <v>115.0</v>
      </c>
      <c r="BR727" s="1">
        <v>115.0</v>
      </c>
      <c r="BS727" s="1">
        <v>115.0</v>
      </c>
      <c r="BU727" s="1" t="s">
        <v>363</v>
      </c>
      <c r="BV727" s="1" t="s">
        <v>206</v>
      </c>
      <c r="BW727" s="1" t="s">
        <v>207</v>
      </c>
      <c r="BX727" s="1" t="s">
        <v>239</v>
      </c>
      <c r="BY727" s="1" t="s">
        <v>8759</v>
      </c>
      <c r="BZ727" s="1" t="s">
        <v>209</v>
      </c>
      <c r="CA727" s="1" t="s">
        <v>210</v>
      </c>
      <c r="CB727" s="1" t="s">
        <v>239</v>
      </c>
      <c r="CC727" s="1" t="s">
        <v>393</v>
      </c>
      <c r="CD727" s="1" t="s">
        <v>206</v>
      </c>
      <c r="CE727" s="1" t="s">
        <v>207</v>
      </c>
      <c r="CF727" s="1" t="s">
        <v>229</v>
      </c>
      <c r="CG727" s="1" t="s">
        <v>584</v>
      </c>
      <c r="CH727" s="1" t="s">
        <v>209</v>
      </c>
      <c r="CI727" s="1" t="s">
        <v>210</v>
      </c>
      <c r="CJ727" s="1" t="s">
        <v>239</v>
      </c>
      <c r="CK727" s="1" t="s">
        <v>1064</v>
      </c>
      <c r="CL727" s="1" t="s">
        <v>209</v>
      </c>
      <c r="CM727" s="1" t="s">
        <v>210</v>
      </c>
      <c r="CN727" s="1" t="s">
        <v>239</v>
      </c>
      <c r="CO727" s="1" t="s">
        <v>1068</v>
      </c>
      <c r="CP727" s="1" t="s">
        <v>209</v>
      </c>
      <c r="CQ727" s="1" t="s">
        <v>210</v>
      </c>
      <c r="CR727" s="1" t="s">
        <v>239</v>
      </c>
      <c r="CS727" s="1" t="s">
        <v>1045</v>
      </c>
      <c r="CT727" s="1" t="s">
        <v>206</v>
      </c>
      <c r="CU727" s="1" t="s">
        <v>207</v>
      </c>
      <c r="CV727" s="1" t="s">
        <v>239</v>
      </c>
      <c r="CW727" s="1" t="s">
        <v>583</v>
      </c>
      <c r="CX727" s="1" t="s">
        <v>206</v>
      </c>
      <c r="CY727" s="1" t="s">
        <v>207</v>
      </c>
      <c r="CZ727" s="1" t="s">
        <v>239</v>
      </c>
      <c r="DA727" s="1" t="s">
        <v>200</v>
      </c>
      <c r="DC727" s="1" t="s">
        <v>335</v>
      </c>
      <c r="DD727" s="1" t="s">
        <v>759</v>
      </c>
      <c r="DE727" s="1" t="s">
        <v>8760</v>
      </c>
      <c r="DF727" s="1" t="s">
        <v>219</v>
      </c>
      <c r="DG727" s="1" t="s">
        <v>8761</v>
      </c>
      <c r="DH727" s="1" t="s">
        <v>856</v>
      </c>
      <c r="DI727" s="1" t="s">
        <v>519</v>
      </c>
      <c r="DJ727" s="1" t="s">
        <v>857</v>
      </c>
      <c r="DK727" s="1" t="s">
        <v>7069</v>
      </c>
      <c r="DL727" s="1" t="s">
        <v>224</v>
      </c>
      <c r="DM727" s="1" t="s">
        <v>338</v>
      </c>
      <c r="DN727" s="1" t="s">
        <v>399</v>
      </c>
      <c r="DP727" s="1" t="s">
        <v>340</v>
      </c>
      <c r="DQ727" s="1" t="s">
        <v>931</v>
      </c>
      <c r="DR727" s="1" t="s">
        <v>3058</v>
      </c>
      <c r="DS727" s="1" t="s">
        <v>368</v>
      </c>
      <c r="DU727" s="1" t="s">
        <v>8762</v>
      </c>
      <c r="DV727" s="1" t="s">
        <v>8763</v>
      </c>
      <c r="DW727" s="1" t="s">
        <v>588</v>
      </c>
      <c r="DX727" s="1" t="s">
        <v>234</v>
      </c>
      <c r="DY727" s="1" t="s">
        <v>8764</v>
      </c>
      <c r="DZ727" s="1" t="s">
        <v>8765</v>
      </c>
      <c r="EA727" s="1" t="s">
        <v>344</v>
      </c>
      <c r="EB727" s="1" t="s">
        <v>4251</v>
      </c>
      <c r="EC727" s="1" t="s">
        <v>237</v>
      </c>
      <c r="ED727" s="1" t="s">
        <v>407</v>
      </c>
      <c r="EE727" s="1" t="s">
        <v>493</v>
      </c>
      <c r="EG727" s="1" t="s">
        <v>556</v>
      </c>
      <c r="EH727" s="1" t="s">
        <v>598</v>
      </c>
      <c r="EI727" s="1" t="s">
        <v>557</v>
      </c>
      <c r="EJ727" s="1" t="s">
        <v>450</v>
      </c>
      <c r="EK727" s="1" t="s">
        <v>408</v>
      </c>
      <c r="EL727" s="1" t="s">
        <v>2459</v>
      </c>
      <c r="EM727" s="1" t="s">
        <v>206</v>
      </c>
      <c r="EN727" s="1" t="s">
        <v>207</v>
      </c>
      <c r="EP727" s="1" t="s">
        <v>1064</v>
      </c>
      <c r="EQ727" s="1" t="s">
        <v>206</v>
      </c>
      <c r="ER727" s="1" t="s">
        <v>207</v>
      </c>
      <c r="ET727" s="1" t="s">
        <v>583</v>
      </c>
      <c r="EU727" s="1" t="s">
        <v>209</v>
      </c>
      <c r="EV727" s="1" t="s">
        <v>210</v>
      </c>
      <c r="EW727" s="1" t="s">
        <v>239</v>
      </c>
      <c r="EX727" s="1" t="s">
        <v>362</v>
      </c>
      <c r="EY727" s="1" t="s">
        <v>42</v>
      </c>
      <c r="EZ727" s="1" t="s">
        <v>210</v>
      </c>
      <c r="FB727" s="1" t="s">
        <v>8766</v>
      </c>
      <c r="FC727" s="1" t="s">
        <v>206</v>
      </c>
      <c r="FD727" s="1" t="s">
        <v>207</v>
      </c>
      <c r="FF727" s="1" t="s">
        <v>239</v>
      </c>
      <c r="FG727" s="1" t="s">
        <v>192</v>
      </c>
      <c r="FH727" s="1" t="s">
        <v>192</v>
      </c>
      <c r="FJ727" s="1" t="s">
        <v>624</v>
      </c>
      <c r="FK727" s="1" t="s">
        <v>229</v>
      </c>
      <c r="FL727" s="1" t="s">
        <v>1007</v>
      </c>
      <c r="FM727" s="1">
        <v>22588.0</v>
      </c>
      <c r="FN727" s="1" t="s">
        <v>1321</v>
      </c>
      <c r="FO727" s="1" t="s">
        <v>3063</v>
      </c>
      <c r="FP727" s="1">
        <v>222996.0</v>
      </c>
      <c r="FQ727" s="1" t="s">
        <v>3064</v>
      </c>
      <c r="FR727" s="1">
        <v>222986.0</v>
      </c>
      <c r="FS727" s="1" t="s">
        <v>3065</v>
      </c>
      <c r="FU727" s="1" t="s">
        <v>8767</v>
      </c>
      <c r="FV727" s="1" t="s">
        <v>200</v>
      </c>
      <c r="FW727" s="1" t="s">
        <v>290</v>
      </c>
      <c r="FZ727" s="1" t="s">
        <v>229</v>
      </c>
      <c r="GA727" s="1" t="s">
        <v>291</v>
      </c>
      <c r="GB727" s="2">
        <v>42139.0</v>
      </c>
      <c r="GC727" s="1" t="s">
        <v>8768</v>
      </c>
    </row>
    <row r="728">
      <c r="A728" s="1">
        <v>380000.0</v>
      </c>
      <c r="B728" s="1" t="s">
        <v>185</v>
      </c>
      <c r="C728" s="1" t="str">
        <f>"08804434"</f>
        <v>08804434</v>
      </c>
      <c r="D728" s="1" t="s">
        <v>186</v>
      </c>
      <c r="F728" s="1" t="str">
        <f>"8015"</f>
        <v>8015</v>
      </c>
      <c r="G728" s="2">
        <v>41992.0</v>
      </c>
      <c r="H728" s="1">
        <v>385000.0</v>
      </c>
      <c r="I728" s="1">
        <v>59.0</v>
      </c>
      <c r="J728" s="1">
        <v>385000.0</v>
      </c>
      <c r="K728" s="2">
        <v>42024.0</v>
      </c>
      <c r="L728" s="1">
        <v>33.0</v>
      </c>
      <c r="M728" s="2">
        <v>42024.0</v>
      </c>
      <c r="N728" s="1" t="s">
        <v>187</v>
      </c>
      <c r="O728" s="2">
        <v>42066.0</v>
      </c>
      <c r="P728" s="1">
        <v>149539.0</v>
      </c>
      <c r="Q728" s="1">
        <v>18080.0</v>
      </c>
      <c r="R728" s="1">
        <v>7000.0</v>
      </c>
      <c r="S728" s="1">
        <v>4235.0</v>
      </c>
      <c r="T728" s="1" t="s">
        <v>2416</v>
      </c>
      <c r="U728" s="1" t="s">
        <v>189</v>
      </c>
      <c r="V728" s="1" t="s">
        <v>190</v>
      </c>
      <c r="W728" s="1">
        <v>60634.0</v>
      </c>
      <c r="Y728" s="1" t="s">
        <v>8769</v>
      </c>
      <c r="Z728" s="1">
        <v>1920.0</v>
      </c>
      <c r="AA728" s="1" t="s">
        <v>192</v>
      </c>
      <c r="AB728" s="1" t="s">
        <v>193</v>
      </c>
      <c r="AD728" s="1" t="s">
        <v>194</v>
      </c>
      <c r="AE728" s="1" t="s">
        <v>195</v>
      </c>
      <c r="AF728" s="1" t="s">
        <v>196</v>
      </c>
      <c r="AH728" s="1" t="s">
        <v>779</v>
      </c>
      <c r="AI728" s="1">
        <v>0.0861</v>
      </c>
      <c r="AK728" s="1">
        <v>8.0</v>
      </c>
      <c r="AL728" s="1">
        <v>3.0</v>
      </c>
      <c r="AM728" s="1">
        <v>3.0</v>
      </c>
      <c r="AN728" s="1">
        <v>0.0</v>
      </c>
      <c r="AO728" s="1" t="s">
        <v>198</v>
      </c>
      <c r="AP728" s="1">
        <v>0.0</v>
      </c>
      <c r="AQ728" s="1" t="s">
        <v>198</v>
      </c>
      <c r="AR728" s="1" t="s">
        <v>192</v>
      </c>
      <c r="AS728" s="1" t="s">
        <v>199</v>
      </c>
      <c r="AT728" s="1">
        <v>2.0</v>
      </c>
      <c r="AV728" s="1" t="s">
        <v>200</v>
      </c>
      <c r="AW728" s="1">
        <v>4869.85</v>
      </c>
      <c r="AX728" s="1">
        <v>2013.0</v>
      </c>
      <c r="AY728" s="1" t="s">
        <v>229</v>
      </c>
      <c r="AZ728" s="1" t="s">
        <v>200</v>
      </c>
      <c r="BA728" s="1" t="str">
        <f>"13174100090000"</f>
        <v>13174100090000</v>
      </c>
      <c r="BC728" s="1">
        <v>0.0</v>
      </c>
      <c r="BD728" s="1">
        <v>380000.0</v>
      </c>
      <c r="BE728" s="2">
        <v>41992.0</v>
      </c>
      <c r="BF728" s="2" t="s">
        <v>8770</v>
      </c>
      <c r="BH728" s="1">
        <v>0.0</v>
      </c>
      <c r="BK728" s="1" t="s">
        <v>204</v>
      </c>
      <c r="BL728" s="1" t="str">
        <f>"4235"</f>
        <v>4235</v>
      </c>
      <c r="BM728" s="1" t="str">
        <f>"0"</f>
        <v>0</v>
      </c>
      <c r="BN728" s="1">
        <v>5900.0</v>
      </c>
      <c r="BO728" s="1">
        <v>0.0</v>
      </c>
      <c r="BQ728" s="1">
        <v>299.0</v>
      </c>
      <c r="BR728" s="1">
        <v>299.0</v>
      </c>
      <c r="BS728" s="1">
        <v>299.0</v>
      </c>
      <c r="BU728" s="1" t="s">
        <v>582</v>
      </c>
      <c r="BV728" s="1" t="s">
        <v>206</v>
      </c>
      <c r="BW728" s="1" t="s">
        <v>207</v>
      </c>
      <c r="BY728" s="1" t="s">
        <v>262</v>
      </c>
      <c r="BZ728" s="1" t="s">
        <v>209</v>
      </c>
      <c r="CA728" s="1" t="s">
        <v>210</v>
      </c>
      <c r="CC728" s="1" t="s">
        <v>582</v>
      </c>
      <c r="CD728" s="1" t="s">
        <v>206</v>
      </c>
      <c r="CE728" s="1" t="s">
        <v>207</v>
      </c>
      <c r="CG728" s="1" t="s">
        <v>262</v>
      </c>
      <c r="CH728" s="1" t="s">
        <v>206</v>
      </c>
      <c r="CI728" s="1" t="s">
        <v>207</v>
      </c>
      <c r="CK728" s="1" t="s">
        <v>495</v>
      </c>
      <c r="CL728" s="1" t="s">
        <v>206</v>
      </c>
      <c r="CM728" s="1" t="s">
        <v>207</v>
      </c>
      <c r="CO728" s="1" t="s">
        <v>495</v>
      </c>
      <c r="CP728" s="1" t="s">
        <v>42</v>
      </c>
      <c r="CQ728" s="1" t="s">
        <v>210</v>
      </c>
      <c r="CS728" s="1" t="s">
        <v>8771</v>
      </c>
      <c r="CT728" s="1" t="s">
        <v>206</v>
      </c>
      <c r="CU728" s="1" t="s">
        <v>207</v>
      </c>
      <c r="CX728" s="1" t="s">
        <v>204</v>
      </c>
      <c r="DA728" s="1" t="s">
        <v>200</v>
      </c>
      <c r="DC728" s="1" t="s">
        <v>216</v>
      </c>
      <c r="DD728" s="1" t="s">
        <v>436</v>
      </c>
      <c r="DE728" s="1" t="s">
        <v>273</v>
      </c>
      <c r="DF728" s="1" t="s">
        <v>219</v>
      </c>
      <c r="DH728" s="1" t="s">
        <v>307</v>
      </c>
      <c r="DI728" s="1" t="s">
        <v>366</v>
      </c>
      <c r="DJ728" s="1" t="s">
        <v>222</v>
      </c>
      <c r="DK728" s="1" t="s">
        <v>224</v>
      </c>
      <c r="DL728" s="1" t="s">
        <v>224</v>
      </c>
      <c r="DM728" s="1" t="s">
        <v>229</v>
      </c>
      <c r="DN728" s="1" t="s">
        <v>399</v>
      </c>
      <c r="DP728" s="1" t="s">
        <v>340</v>
      </c>
      <c r="DQ728" s="1" t="s">
        <v>228</v>
      </c>
      <c r="DR728" s="1" t="s">
        <v>229</v>
      </c>
      <c r="DV728" s="1" t="s">
        <v>5174</v>
      </c>
      <c r="DW728" s="1" t="s">
        <v>279</v>
      </c>
      <c r="DX728" s="1" t="s">
        <v>234</v>
      </c>
      <c r="DY728" s="1" t="s">
        <v>2423</v>
      </c>
      <c r="DZ728" s="1" t="s">
        <v>766</v>
      </c>
      <c r="EA728" s="1" t="s">
        <v>644</v>
      </c>
      <c r="EC728" s="1" t="s">
        <v>645</v>
      </c>
      <c r="ED728" s="1" t="s">
        <v>555</v>
      </c>
      <c r="EG728" s="1" t="s">
        <v>450</v>
      </c>
      <c r="EH728" s="1" t="s">
        <v>409</v>
      </c>
      <c r="EL728" s="1" t="s">
        <v>1427</v>
      </c>
      <c r="EM728" s="1" t="s">
        <v>42</v>
      </c>
      <c r="EN728" s="1" t="s">
        <v>210</v>
      </c>
      <c r="EP728" s="1" t="s">
        <v>558</v>
      </c>
      <c r="EQ728" s="1" t="s">
        <v>209</v>
      </c>
      <c r="ER728" s="1" t="s">
        <v>210</v>
      </c>
      <c r="EU728" s="1" t="s">
        <v>238</v>
      </c>
      <c r="EY728" s="1" t="s">
        <v>238</v>
      </c>
      <c r="FC728" s="1" t="s">
        <v>238</v>
      </c>
      <c r="FF728" s="1" t="s">
        <v>239</v>
      </c>
      <c r="FG728" s="1" t="s">
        <v>192</v>
      </c>
      <c r="FH728" s="1" t="s">
        <v>192</v>
      </c>
      <c r="FJ728" s="1" t="s">
        <v>799</v>
      </c>
      <c r="FK728" s="1" t="s">
        <v>348</v>
      </c>
      <c r="FL728" s="1" t="s">
        <v>562</v>
      </c>
      <c r="FM728" s="1">
        <v>15694.0</v>
      </c>
      <c r="FN728" s="1" t="s">
        <v>3145</v>
      </c>
      <c r="FO728" s="1" t="s">
        <v>6740</v>
      </c>
      <c r="FP728" s="1">
        <v>174807.0</v>
      </c>
      <c r="FQ728" s="1" t="s">
        <v>6741</v>
      </c>
      <c r="FU728" s="1" t="s">
        <v>8772</v>
      </c>
      <c r="FV728" s="1" t="s">
        <v>200</v>
      </c>
      <c r="FW728" s="1" t="s">
        <v>290</v>
      </c>
      <c r="FX728" s="1" t="s">
        <v>238</v>
      </c>
      <c r="FZ728" s="1" t="s">
        <v>229</v>
      </c>
      <c r="GA728" s="1" t="s">
        <v>291</v>
      </c>
      <c r="GB728" s="2">
        <v>42067.0</v>
      </c>
    </row>
    <row r="729">
      <c r="A729" s="1">
        <v>280000.0</v>
      </c>
      <c r="B729" s="1" t="s">
        <v>185</v>
      </c>
      <c r="C729" s="1" t="str">
        <f>"08804365"</f>
        <v>08804365</v>
      </c>
      <c r="D729" s="1" t="s">
        <v>186</v>
      </c>
      <c r="F729" s="1" t="str">
        <f>"8038"</f>
        <v>8038</v>
      </c>
      <c r="G729" s="2">
        <v>41992.0</v>
      </c>
      <c r="H729" s="1">
        <v>299900.0</v>
      </c>
      <c r="I729" s="1">
        <v>220.0</v>
      </c>
      <c r="J729" s="1">
        <v>299900.0</v>
      </c>
      <c r="K729" s="2">
        <v>42020.0</v>
      </c>
      <c r="L729" s="1">
        <v>29.0</v>
      </c>
      <c r="M729" s="2">
        <v>42020.0</v>
      </c>
      <c r="N729" s="1" t="s">
        <v>356</v>
      </c>
      <c r="O729" s="2">
        <v>42097.0</v>
      </c>
      <c r="P729" s="1">
        <v>181627.0</v>
      </c>
      <c r="Q729" s="1">
        <v>84684.0</v>
      </c>
      <c r="R729" s="1">
        <v>8400.0</v>
      </c>
      <c r="S729" s="1">
        <v>4914.0</v>
      </c>
      <c r="T729" s="1" t="s">
        <v>8773</v>
      </c>
      <c r="U729" s="1" t="s">
        <v>420</v>
      </c>
      <c r="V729" s="1" t="s">
        <v>190</v>
      </c>
      <c r="W729" s="1">
        <v>60615.0</v>
      </c>
      <c r="Y729" s="1" t="s">
        <v>8774</v>
      </c>
      <c r="Z729" s="1">
        <v>1910.0</v>
      </c>
      <c r="AA729" s="1" t="s">
        <v>192</v>
      </c>
      <c r="AB729" s="1" t="s">
        <v>193</v>
      </c>
      <c r="AD729" s="1" t="s">
        <v>194</v>
      </c>
      <c r="AE729" s="1" t="s">
        <v>195</v>
      </c>
      <c r="AF729" s="1" t="s">
        <v>637</v>
      </c>
      <c r="AH729" s="1" t="s">
        <v>8775</v>
      </c>
      <c r="AK729" s="1">
        <v>8.0</v>
      </c>
      <c r="AL729" s="1">
        <v>3.0</v>
      </c>
      <c r="AM729" s="1">
        <v>3.0</v>
      </c>
      <c r="AN729" s="1">
        <v>1.0</v>
      </c>
      <c r="AO729" s="1" t="s">
        <v>198</v>
      </c>
      <c r="AP729" s="1">
        <v>1.0</v>
      </c>
      <c r="AQ729" s="1" t="s">
        <v>198</v>
      </c>
      <c r="AR729" s="1" t="s">
        <v>192</v>
      </c>
      <c r="AS729" s="1" t="s">
        <v>828</v>
      </c>
      <c r="AU729" s="1">
        <v>2.0</v>
      </c>
      <c r="AV729" s="1" t="s">
        <v>200</v>
      </c>
      <c r="AW729" s="1">
        <v>2640.0</v>
      </c>
      <c r="AX729" s="1">
        <v>2013.0</v>
      </c>
      <c r="AY729" s="1" t="s">
        <v>229</v>
      </c>
      <c r="AZ729" s="1" t="s">
        <v>200</v>
      </c>
      <c r="BA729" s="1" t="str">
        <f>"20102150280000"</f>
        <v>20102150280000</v>
      </c>
      <c r="BB729" s="1" t="s">
        <v>200</v>
      </c>
      <c r="BC729" s="1">
        <v>1966.0</v>
      </c>
      <c r="BD729" s="1">
        <v>280000.0</v>
      </c>
      <c r="BE729" s="2">
        <v>41992.0</v>
      </c>
      <c r="BF729" s="2" t="s">
        <v>8776</v>
      </c>
      <c r="BH729" s="1">
        <v>0.0</v>
      </c>
      <c r="BK729" s="1" t="s">
        <v>204</v>
      </c>
      <c r="BL729" s="1" t="str">
        <f>"0"</f>
        <v>0</v>
      </c>
      <c r="BM729" s="1" t="str">
        <f>"432"</f>
        <v>432</v>
      </c>
      <c r="BN729" s="1">
        <v>0.0</v>
      </c>
      <c r="BO729" s="1">
        <v>4914.0</v>
      </c>
      <c r="BQ729" s="1">
        <v>299.0</v>
      </c>
      <c r="BR729" s="1">
        <v>299.0</v>
      </c>
      <c r="BS729" s="1">
        <v>299.0</v>
      </c>
      <c r="BU729" s="1" t="s">
        <v>362</v>
      </c>
      <c r="BV729" s="1" t="s">
        <v>206</v>
      </c>
      <c r="BW729" s="1" t="s">
        <v>207</v>
      </c>
      <c r="BX729" s="1" t="s">
        <v>431</v>
      </c>
      <c r="BY729" s="1" t="s">
        <v>544</v>
      </c>
      <c r="BZ729" s="1" t="s">
        <v>209</v>
      </c>
      <c r="CA729" s="1" t="s">
        <v>210</v>
      </c>
      <c r="CB729" s="1" t="s">
        <v>229</v>
      </c>
      <c r="CC729" s="1" t="s">
        <v>211</v>
      </c>
      <c r="CD729" s="1" t="s">
        <v>206</v>
      </c>
      <c r="CE729" s="1" t="s">
        <v>207</v>
      </c>
      <c r="CF729" s="1" t="s">
        <v>431</v>
      </c>
      <c r="CG729" s="1" t="s">
        <v>375</v>
      </c>
      <c r="CH729" s="1" t="s">
        <v>209</v>
      </c>
      <c r="CI729" s="1" t="s">
        <v>210</v>
      </c>
      <c r="CJ729" s="1" t="s">
        <v>229</v>
      </c>
      <c r="CK729" s="1" t="s">
        <v>497</v>
      </c>
      <c r="CL729" s="1" t="s">
        <v>209</v>
      </c>
      <c r="CM729" s="1" t="s">
        <v>210</v>
      </c>
      <c r="CN729" s="1" t="s">
        <v>229</v>
      </c>
      <c r="CO729" s="1" t="s">
        <v>375</v>
      </c>
      <c r="CP729" s="1" t="s">
        <v>42</v>
      </c>
      <c r="CQ729" s="1" t="s">
        <v>268</v>
      </c>
      <c r="CR729" s="1" t="s">
        <v>229</v>
      </c>
      <c r="CS729" s="1" t="s">
        <v>211</v>
      </c>
      <c r="CT729" s="1" t="s">
        <v>206</v>
      </c>
      <c r="CU729" s="1" t="s">
        <v>207</v>
      </c>
      <c r="CV729" s="1" t="s">
        <v>431</v>
      </c>
      <c r="CW729" s="1" t="s">
        <v>363</v>
      </c>
      <c r="CX729" s="1" t="s">
        <v>42</v>
      </c>
      <c r="CY729" s="1" t="s">
        <v>268</v>
      </c>
      <c r="CZ729" s="1" t="s">
        <v>229</v>
      </c>
      <c r="DA729" s="1" t="s">
        <v>200</v>
      </c>
      <c r="DC729" s="1" t="s">
        <v>642</v>
      </c>
      <c r="DE729" s="1" t="s">
        <v>273</v>
      </c>
      <c r="DF729" s="1" t="s">
        <v>619</v>
      </c>
      <c r="DG729" s="1" t="s">
        <v>337</v>
      </c>
      <c r="DH729" s="1" t="s">
        <v>365</v>
      </c>
      <c r="DI729" s="1" t="s">
        <v>366</v>
      </c>
      <c r="DJ729" s="1" t="s">
        <v>222</v>
      </c>
      <c r="DL729" s="1" t="s">
        <v>224</v>
      </c>
      <c r="DM729" s="1" t="s">
        <v>1143</v>
      </c>
      <c r="DN729" s="1" t="s">
        <v>339</v>
      </c>
      <c r="DO729" s="1" t="s">
        <v>486</v>
      </c>
      <c r="DP729" s="1" t="s">
        <v>340</v>
      </c>
      <c r="DQ729" s="1" t="s">
        <v>441</v>
      </c>
      <c r="DR729" s="1" t="s">
        <v>229</v>
      </c>
      <c r="DS729" s="1" t="s">
        <v>230</v>
      </c>
      <c r="DU729" s="1" t="s">
        <v>681</v>
      </c>
      <c r="DV729" s="1" t="s">
        <v>232</v>
      </c>
      <c r="DW729" s="1" t="s">
        <v>3876</v>
      </c>
      <c r="DX729" s="1" t="s">
        <v>5015</v>
      </c>
      <c r="DY729" s="1" t="s">
        <v>704</v>
      </c>
      <c r="EA729" s="1" t="s">
        <v>2466</v>
      </c>
      <c r="EC729" s="1" t="s">
        <v>237</v>
      </c>
      <c r="EE729" s="1" t="s">
        <v>493</v>
      </c>
      <c r="EF729" s="1" t="s">
        <v>834</v>
      </c>
      <c r="EM729" s="1" t="s">
        <v>238</v>
      </c>
      <c r="EQ729" s="1" t="s">
        <v>238</v>
      </c>
      <c r="EU729" s="1" t="s">
        <v>238</v>
      </c>
      <c r="EY729" s="1" t="s">
        <v>238</v>
      </c>
      <c r="FC729" s="1" t="s">
        <v>238</v>
      </c>
      <c r="FF729" s="1" t="s">
        <v>239</v>
      </c>
      <c r="FG729" s="1" t="s">
        <v>192</v>
      </c>
      <c r="FH729" s="1" t="s">
        <v>192</v>
      </c>
      <c r="FJ729" s="1" t="s">
        <v>524</v>
      </c>
      <c r="FK729" s="1" t="s">
        <v>229</v>
      </c>
      <c r="FL729" s="1" t="s">
        <v>8307</v>
      </c>
      <c r="FM729" s="1">
        <v>24990.0</v>
      </c>
      <c r="FN729" s="1" t="s">
        <v>8308</v>
      </c>
      <c r="FO729" s="1" t="s">
        <v>8309</v>
      </c>
      <c r="FP729" s="1">
        <v>220018.0</v>
      </c>
      <c r="FQ729" s="1" t="s">
        <v>8308</v>
      </c>
      <c r="FU729" s="1" t="s">
        <v>7218</v>
      </c>
      <c r="FV729" s="1" t="s">
        <v>200</v>
      </c>
      <c r="FW729" s="1" t="s">
        <v>567</v>
      </c>
      <c r="FX729" s="1" t="s">
        <v>655</v>
      </c>
      <c r="FZ729" s="1" t="s">
        <v>229</v>
      </c>
      <c r="GA729" s="1" t="s">
        <v>291</v>
      </c>
      <c r="GB729" s="2">
        <v>42100.0</v>
      </c>
      <c r="GC729" s="1" t="s">
        <v>8777</v>
      </c>
    </row>
    <row r="730">
      <c r="A730" s="1">
        <v>195000.0</v>
      </c>
      <c r="B730" s="1" t="s">
        <v>185</v>
      </c>
      <c r="C730" s="1" t="str">
        <f>"08809591"</f>
        <v>08809591</v>
      </c>
      <c r="D730" s="1" t="s">
        <v>186</v>
      </c>
      <c r="F730" s="1" t="str">
        <f>"123"</f>
        <v>123</v>
      </c>
      <c r="G730" s="2">
        <v>42009.0</v>
      </c>
      <c r="H730" s="1">
        <v>218900.0</v>
      </c>
      <c r="I730" s="1">
        <v>278.0</v>
      </c>
      <c r="J730" s="1">
        <v>199900.0</v>
      </c>
      <c r="K730" s="2">
        <v>42086.0</v>
      </c>
      <c r="L730" s="1">
        <v>78.0</v>
      </c>
      <c r="M730" s="2">
        <v>42086.0</v>
      </c>
      <c r="N730" s="1" t="s">
        <v>187</v>
      </c>
      <c r="O730" s="2">
        <v>42121.0</v>
      </c>
      <c r="P730" s="1">
        <v>217762.0</v>
      </c>
      <c r="Q730" s="1">
        <v>22076.0</v>
      </c>
      <c r="S730" s="1">
        <v>88.0</v>
      </c>
      <c r="T730" s="1" t="s">
        <v>8778</v>
      </c>
      <c r="U730" s="1" t="s">
        <v>1015</v>
      </c>
      <c r="V730" s="1" t="s">
        <v>465</v>
      </c>
      <c r="W730" s="1">
        <v>60123.0</v>
      </c>
      <c r="Y730" s="1" t="s">
        <v>8779</v>
      </c>
      <c r="Z730" s="1">
        <v>1974.0</v>
      </c>
      <c r="AA730" s="1" t="s">
        <v>192</v>
      </c>
      <c r="AB730" s="1" t="s">
        <v>193</v>
      </c>
      <c r="AC730" s="1" t="s">
        <v>8780</v>
      </c>
      <c r="AD730" s="1" t="s">
        <v>469</v>
      </c>
      <c r="AE730" s="1" t="s">
        <v>325</v>
      </c>
      <c r="AF730" s="1" t="s">
        <v>469</v>
      </c>
      <c r="AH730" s="1" t="s">
        <v>8781</v>
      </c>
      <c r="AI730" s="1">
        <v>0.2627</v>
      </c>
      <c r="AK730" s="1">
        <v>8.0</v>
      </c>
      <c r="AL730" s="1">
        <v>4.0</v>
      </c>
      <c r="AM730" s="1">
        <v>2.0</v>
      </c>
      <c r="AN730" s="1">
        <v>1.0</v>
      </c>
      <c r="AO730" s="1" t="s">
        <v>198</v>
      </c>
      <c r="AP730" s="1">
        <v>1.0</v>
      </c>
      <c r="AQ730" s="1" t="s">
        <v>198</v>
      </c>
      <c r="AR730" s="1" t="s">
        <v>200</v>
      </c>
      <c r="AS730" s="1" t="s">
        <v>199</v>
      </c>
      <c r="AT730" s="1">
        <v>2.0</v>
      </c>
      <c r="AV730" s="1" t="s">
        <v>200</v>
      </c>
      <c r="AW730" s="1">
        <v>6301.0</v>
      </c>
      <c r="AX730" s="1">
        <v>2012.0</v>
      </c>
      <c r="AZ730" s="1" t="s">
        <v>200</v>
      </c>
      <c r="BA730" s="1" t="str">
        <f>"0603102002"</f>
        <v>0603102002</v>
      </c>
      <c r="BB730" s="1" t="s">
        <v>200</v>
      </c>
      <c r="BC730" s="1">
        <v>2160.0</v>
      </c>
      <c r="BD730" s="1">
        <v>195000.0</v>
      </c>
      <c r="BE730" s="2">
        <v>42009.0</v>
      </c>
      <c r="BF730" s="2" t="s">
        <v>8782</v>
      </c>
      <c r="BH730" s="1">
        <v>0.0</v>
      </c>
      <c r="BK730" s="1" t="s">
        <v>204</v>
      </c>
      <c r="BL730" s="1" t="str">
        <f>"13"</f>
        <v>13</v>
      </c>
      <c r="BM730" s="1" t="str">
        <f>"0"</f>
        <v>0</v>
      </c>
      <c r="BN730" s="1">
        <v>35.0</v>
      </c>
      <c r="BO730" s="1">
        <v>0.0</v>
      </c>
      <c r="BQ730" s="1">
        <v>46.0</v>
      </c>
      <c r="BR730" s="1">
        <v>46.0</v>
      </c>
      <c r="BS730" s="1">
        <v>46.0</v>
      </c>
      <c r="BU730" s="1" t="s">
        <v>432</v>
      </c>
      <c r="BV730" s="1" t="s">
        <v>206</v>
      </c>
      <c r="BW730" s="1" t="s">
        <v>210</v>
      </c>
      <c r="BY730" s="1" t="s">
        <v>1426</v>
      </c>
      <c r="BZ730" s="1" t="s">
        <v>209</v>
      </c>
      <c r="CA730" s="1" t="s">
        <v>210</v>
      </c>
      <c r="CC730" s="1" t="s">
        <v>264</v>
      </c>
      <c r="CD730" s="1" t="s">
        <v>206</v>
      </c>
      <c r="CE730" s="1" t="s">
        <v>210</v>
      </c>
      <c r="CG730" s="1" t="s">
        <v>454</v>
      </c>
      <c r="CH730" s="1" t="s">
        <v>209</v>
      </c>
      <c r="CI730" s="1" t="s">
        <v>210</v>
      </c>
      <c r="CK730" s="1" t="s">
        <v>262</v>
      </c>
      <c r="CL730" s="1" t="s">
        <v>209</v>
      </c>
      <c r="CM730" s="1" t="s">
        <v>210</v>
      </c>
      <c r="CO730" s="1" t="s">
        <v>331</v>
      </c>
      <c r="CP730" s="1" t="s">
        <v>209</v>
      </c>
      <c r="CQ730" s="1" t="s">
        <v>210</v>
      </c>
      <c r="CS730" s="1" t="s">
        <v>1426</v>
      </c>
      <c r="CT730" s="1" t="s">
        <v>206</v>
      </c>
      <c r="CU730" s="1" t="s">
        <v>268</v>
      </c>
      <c r="CW730" s="1" t="s">
        <v>730</v>
      </c>
      <c r="CX730" s="1" t="s">
        <v>206</v>
      </c>
      <c r="CY730" s="1" t="s">
        <v>210</v>
      </c>
      <c r="DA730" s="1" t="s">
        <v>200</v>
      </c>
      <c r="DC730" s="1" t="s">
        <v>517</v>
      </c>
      <c r="DD730" s="1" t="s">
        <v>518</v>
      </c>
      <c r="DE730" s="1" t="s">
        <v>273</v>
      </c>
      <c r="DF730" s="1" t="s">
        <v>219</v>
      </c>
      <c r="DG730" s="1" t="s">
        <v>337</v>
      </c>
      <c r="DH730" s="1" t="s">
        <v>220</v>
      </c>
      <c r="DI730" s="1" t="s">
        <v>366</v>
      </c>
      <c r="DJ730" s="1" t="s">
        <v>222</v>
      </c>
      <c r="DL730" s="1" t="s">
        <v>858</v>
      </c>
      <c r="DM730" s="1" t="s">
        <v>229</v>
      </c>
      <c r="DN730" s="1" t="s">
        <v>367</v>
      </c>
      <c r="DP730" s="1" t="s">
        <v>340</v>
      </c>
      <c r="DQ730" s="1" t="s">
        <v>441</v>
      </c>
      <c r="DR730" s="1" t="s">
        <v>229</v>
      </c>
      <c r="DS730" s="1" t="s">
        <v>230</v>
      </c>
      <c r="DV730" s="1" t="s">
        <v>232</v>
      </c>
      <c r="DW730" s="1" t="s">
        <v>3142</v>
      </c>
      <c r="DX730" s="1" t="s">
        <v>234</v>
      </c>
      <c r="DZ730" s="1" t="s">
        <v>310</v>
      </c>
      <c r="EA730" s="1" t="s">
        <v>447</v>
      </c>
      <c r="EC730" s="1" t="s">
        <v>237</v>
      </c>
      <c r="EE730" s="1" t="s">
        <v>493</v>
      </c>
      <c r="EM730" s="1" t="s">
        <v>238</v>
      </c>
      <c r="EQ730" s="1" t="s">
        <v>238</v>
      </c>
      <c r="EU730" s="1" t="s">
        <v>238</v>
      </c>
      <c r="EY730" s="1" t="s">
        <v>238</v>
      </c>
      <c r="FC730" s="1" t="s">
        <v>238</v>
      </c>
      <c r="FF730" s="1" t="s">
        <v>239</v>
      </c>
      <c r="FG730" s="1" t="s">
        <v>192</v>
      </c>
      <c r="FH730" s="1" t="s">
        <v>192</v>
      </c>
      <c r="FJ730" s="1" t="s">
        <v>770</v>
      </c>
      <c r="FK730" s="1" t="s">
        <v>348</v>
      </c>
      <c r="FL730" s="1" t="s">
        <v>3553</v>
      </c>
      <c r="FM730" s="1">
        <v>22993.0</v>
      </c>
      <c r="FN730" s="1" t="s">
        <v>3554</v>
      </c>
      <c r="FO730" s="1" t="s">
        <v>3555</v>
      </c>
      <c r="FP730" s="1">
        <v>235152.0</v>
      </c>
      <c r="FQ730" s="1" t="s">
        <v>3556</v>
      </c>
      <c r="FR730" s="1">
        <v>241601.0</v>
      </c>
      <c r="FU730" s="1" t="s">
        <v>8783</v>
      </c>
      <c r="FV730" s="1" t="s">
        <v>200</v>
      </c>
      <c r="FW730" s="1" t="s">
        <v>290</v>
      </c>
      <c r="FZ730" s="1" t="s">
        <v>229</v>
      </c>
      <c r="GA730" s="1" t="s">
        <v>291</v>
      </c>
      <c r="GB730" s="2">
        <v>42121.0</v>
      </c>
      <c r="GC730" s="1" t="s">
        <v>8784</v>
      </c>
    </row>
    <row r="731">
      <c r="A731" s="1">
        <v>395000.0</v>
      </c>
      <c r="B731" s="1" t="s">
        <v>185</v>
      </c>
      <c r="C731" s="1" t="str">
        <f>"08808529"</f>
        <v>08808529</v>
      </c>
      <c r="D731" s="1" t="s">
        <v>186</v>
      </c>
      <c r="F731" s="1" t="str">
        <f>"134"</f>
        <v>134</v>
      </c>
      <c r="G731" s="2">
        <v>42006.0</v>
      </c>
      <c r="H731" s="1">
        <v>399900.0</v>
      </c>
      <c r="I731" s="1">
        <v>4.0</v>
      </c>
      <c r="J731" s="1">
        <v>399900.0</v>
      </c>
      <c r="K731" s="2">
        <v>42009.0</v>
      </c>
      <c r="L731" s="1">
        <v>4.0</v>
      </c>
      <c r="M731" s="2">
        <v>42009.0</v>
      </c>
      <c r="N731" s="1" t="s">
        <v>187</v>
      </c>
      <c r="O731" s="2">
        <v>42094.0</v>
      </c>
      <c r="P731" s="1">
        <v>221299.0</v>
      </c>
      <c r="Q731" s="1">
        <v>23591.0</v>
      </c>
      <c r="S731" s="1">
        <v>528.0</v>
      </c>
      <c r="T731" s="1" t="s">
        <v>8785</v>
      </c>
      <c r="U731" s="1" t="s">
        <v>694</v>
      </c>
      <c r="V731" s="1" t="s">
        <v>421</v>
      </c>
      <c r="W731" s="1">
        <v>60134.0</v>
      </c>
      <c r="Y731" s="1" t="s">
        <v>8786</v>
      </c>
      <c r="Z731" s="1">
        <v>1991.0</v>
      </c>
      <c r="AA731" s="1" t="s">
        <v>200</v>
      </c>
      <c r="AB731" s="1" t="s">
        <v>193</v>
      </c>
      <c r="AC731" s="1" t="s">
        <v>1479</v>
      </c>
      <c r="AD731" s="1" t="s">
        <v>424</v>
      </c>
      <c r="AE731" s="1" t="s">
        <v>325</v>
      </c>
      <c r="AF731" s="1" t="s">
        <v>424</v>
      </c>
      <c r="AG731" s="1" t="s">
        <v>6203</v>
      </c>
      <c r="AH731" s="1" t="s">
        <v>8787</v>
      </c>
      <c r="AK731" s="1">
        <v>10.0</v>
      </c>
      <c r="AL731" s="1">
        <v>4.0</v>
      </c>
      <c r="AM731" s="1">
        <v>2.0</v>
      </c>
      <c r="AN731" s="1">
        <v>1.0</v>
      </c>
      <c r="AO731" s="1" t="s">
        <v>198</v>
      </c>
      <c r="AP731" s="1">
        <v>1.0</v>
      </c>
      <c r="AQ731" s="1" t="s">
        <v>198</v>
      </c>
      <c r="AR731" s="1" t="s">
        <v>200</v>
      </c>
      <c r="AS731" s="1" t="s">
        <v>199</v>
      </c>
      <c r="AT731" s="1">
        <v>2.0</v>
      </c>
      <c r="AV731" s="1" t="s">
        <v>200</v>
      </c>
      <c r="AW731" s="1">
        <v>10400.0</v>
      </c>
      <c r="AX731" s="1">
        <v>2013.0</v>
      </c>
      <c r="AY731" s="1" t="s">
        <v>387</v>
      </c>
      <c r="AZ731" s="1" t="s">
        <v>200</v>
      </c>
      <c r="BA731" s="1" t="str">
        <f>"1204130011"</f>
        <v>1204130011</v>
      </c>
      <c r="BC731" s="1">
        <v>2841.0</v>
      </c>
      <c r="BD731" s="1">
        <v>395000.0</v>
      </c>
      <c r="BE731" s="2">
        <v>42006.0</v>
      </c>
      <c r="BF731" s="2" t="s">
        <v>8788</v>
      </c>
      <c r="BH731" s="1">
        <v>0.0</v>
      </c>
      <c r="BK731" s="1" t="s">
        <v>204</v>
      </c>
      <c r="BL731" s="1" t="str">
        <f>"1"</f>
        <v>1</v>
      </c>
      <c r="BM731" s="1" t="str">
        <f>""</f>
        <v/>
      </c>
      <c r="BN731" s="1">
        <v>36.0</v>
      </c>
      <c r="BQ731" s="1">
        <v>304.0</v>
      </c>
      <c r="BR731" s="1">
        <v>304.0</v>
      </c>
      <c r="BS731" s="1">
        <v>304.0</v>
      </c>
      <c r="BU731" s="1" t="s">
        <v>664</v>
      </c>
      <c r="BV731" s="1" t="s">
        <v>206</v>
      </c>
      <c r="BW731" s="1" t="s">
        <v>210</v>
      </c>
      <c r="BY731" s="1" t="s">
        <v>2120</v>
      </c>
      <c r="BZ731" s="1" t="s">
        <v>209</v>
      </c>
      <c r="CA731" s="1" t="s">
        <v>210</v>
      </c>
      <c r="CC731" s="1" t="s">
        <v>433</v>
      </c>
      <c r="CD731" s="1" t="s">
        <v>206</v>
      </c>
      <c r="CE731" s="1" t="s">
        <v>210</v>
      </c>
      <c r="CG731" s="1" t="s">
        <v>758</v>
      </c>
      <c r="CH731" s="1" t="s">
        <v>209</v>
      </c>
      <c r="CI731" s="1" t="s">
        <v>210</v>
      </c>
      <c r="CK731" s="1" t="s">
        <v>215</v>
      </c>
      <c r="CL731" s="1" t="s">
        <v>209</v>
      </c>
      <c r="CM731" s="1" t="s">
        <v>210</v>
      </c>
      <c r="CO731" s="1" t="s">
        <v>495</v>
      </c>
      <c r="CP731" s="1" t="s">
        <v>209</v>
      </c>
      <c r="CQ731" s="1" t="s">
        <v>210</v>
      </c>
      <c r="CS731" s="1" t="s">
        <v>8789</v>
      </c>
      <c r="CT731" s="1" t="s">
        <v>206</v>
      </c>
      <c r="CU731" s="1" t="s">
        <v>207</v>
      </c>
      <c r="CW731" s="1" t="s">
        <v>2749</v>
      </c>
      <c r="CX731" s="1" t="s">
        <v>206</v>
      </c>
      <c r="CY731" s="1" t="s">
        <v>207</v>
      </c>
      <c r="DA731" s="1" t="s">
        <v>200</v>
      </c>
      <c r="DC731" s="1" t="s">
        <v>435</v>
      </c>
      <c r="DD731" s="1" t="s">
        <v>217</v>
      </c>
      <c r="DE731" s="1" t="s">
        <v>273</v>
      </c>
      <c r="DF731" s="1" t="s">
        <v>219</v>
      </c>
      <c r="DG731" s="1" t="s">
        <v>337</v>
      </c>
      <c r="DH731" s="1" t="s">
        <v>220</v>
      </c>
      <c r="DI731" s="1" t="s">
        <v>8790</v>
      </c>
      <c r="DJ731" s="1" t="s">
        <v>222</v>
      </c>
      <c r="DL731" s="1" t="s">
        <v>223</v>
      </c>
      <c r="DM731" s="1" t="s">
        <v>229</v>
      </c>
      <c r="DN731" s="1" t="s">
        <v>399</v>
      </c>
      <c r="DO731" s="1" t="s">
        <v>549</v>
      </c>
      <c r="DP731" s="1" t="s">
        <v>340</v>
      </c>
      <c r="DQ731" s="1" t="s">
        <v>441</v>
      </c>
      <c r="DR731" s="1" t="s">
        <v>229</v>
      </c>
      <c r="DU731" s="1" t="s">
        <v>2785</v>
      </c>
      <c r="DV731" s="1" t="s">
        <v>8791</v>
      </c>
      <c r="DW731" s="1" t="s">
        <v>764</v>
      </c>
      <c r="DX731" s="1" t="s">
        <v>234</v>
      </c>
      <c r="DY731" s="1" t="s">
        <v>3488</v>
      </c>
      <c r="DZ731" s="1" t="s">
        <v>8792</v>
      </c>
      <c r="EB731" s="1" t="s">
        <v>684</v>
      </c>
      <c r="EC731" s="1" t="s">
        <v>237</v>
      </c>
      <c r="ED731" s="1" t="s">
        <v>407</v>
      </c>
      <c r="EG731" s="1" t="s">
        <v>1028</v>
      </c>
      <c r="EH731" s="1" t="s">
        <v>1121</v>
      </c>
      <c r="EI731" s="1" t="s">
        <v>2129</v>
      </c>
      <c r="EL731" s="1" t="s">
        <v>433</v>
      </c>
      <c r="EM731" s="1" t="s">
        <v>206</v>
      </c>
      <c r="EN731" s="1" t="s">
        <v>207</v>
      </c>
      <c r="EP731" s="1" t="s">
        <v>1796</v>
      </c>
      <c r="EQ731" s="1" t="s">
        <v>209</v>
      </c>
      <c r="ER731" s="1" t="s">
        <v>210</v>
      </c>
      <c r="ET731" s="1" t="s">
        <v>454</v>
      </c>
      <c r="EU731" s="1" t="s">
        <v>206</v>
      </c>
      <c r="EV731" s="1" t="s">
        <v>588</v>
      </c>
      <c r="EY731" s="1" t="s">
        <v>238</v>
      </c>
      <c r="FC731" s="1" t="s">
        <v>238</v>
      </c>
      <c r="FF731" s="1" t="s">
        <v>239</v>
      </c>
      <c r="FG731" s="1" t="s">
        <v>192</v>
      </c>
      <c r="FH731" s="1" t="s">
        <v>192</v>
      </c>
      <c r="FJ731" s="1" t="s">
        <v>2133</v>
      </c>
      <c r="FK731" s="1" t="s">
        <v>229</v>
      </c>
      <c r="FL731" s="1" t="s">
        <v>1212</v>
      </c>
      <c r="FM731" s="1">
        <v>30.0</v>
      </c>
      <c r="FN731" s="1" t="s">
        <v>1213</v>
      </c>
      <c r="FO731" s="1" t="s">
        <v>8470</v>
      </c>
      <c r="FP731" s="1">
        <v>497.0</v>
      </c>
      <c r="FQ731" s="1" t="s">
        <v>8471</v>
      </c>
      <c r="FR731" s="1">
        <v>8177.0</v>
      </c>
      <c r="FS731" s="1">
        <v>8177.0</v>
      </c>
      <c r="FU731" s="1" t="s">
        <v>8472</v>
      </c>
      <c r="FV731" s="1" t="s">
        <v>200</v>
      </c>
      <c r="FW731" s="1" t="s">
        <v>8793</v>
      </c>
      <c r="FZ731" s="1" t="s">
        <v>229</v>
      </c>
      <c r="GA731" s="1" t="s">
        <v>291</v>
      </c>
      <c r="GB731" s="2">
        <v>42094.0</v>
      </c>
    </row>
    <row r="732">
      <c r="A732" s="1">
        <v>940000.0</v>
      </c>
      <c r="B732" s="1" t="s">
        <v>185</v>
      </c>
      <c r="C732" s="1" t="str">
        <f>"08810155"</f>
        <v>08810155</v>
      </c>
      <c r="D732" s="1" t="s">
        <v>186</v>
      </c>
      <c r="F732" s="1" t="str">
        <f>"8077"</f>
        <v>8077</v>
      </c>
      <c r="G732" s="2">
        <v>42009.0</v>
      </c>
      <c r="H732" s="1">
        <v>975000.0</v>
      </c>
      <c r="I732" s="1">
        <v>182.0</v>
      </c>
      <c r="J732" s="1">
        <v>975000.0</v>
      </c>
      <c r="K732" s="2">
        <v>42032.0</v>
      </c>
      <c r="L732" s="1">
        <v>24.0</v>
      </c>
      <c r="M732" s="2">
        <v>42032.0</v>
      </c>
      <c r="N732" s="1" t="s">
        <v>356</v>
      </c>
      <c r="O732" s="2">
        <v>42089.0</v>
      </c>
      <c r="P732" s="1">
        <v>174123.0</v>
      </c>
      <c r="Q732" s="1">
        <v>10274.0</v>
      </c>
      <c r="S732" s="1">
        <v>1734.0</v>
      </c>
      <c r="T732" s="1" t="s">
        <v>8794</v>
      </c>
      <c r="U732" s="1" t="s">
        <v>189</v>
      </c>
      <c r="V732" s="1" t="s">
        <v>190</v>
      </c>
      <c r="W732" s="1">
        <v>60640.0</v>
      </c>
      <c r="Y732" s="1" t="s">
        <v>8795</v>
      </c>
      <c r="Z732" s="1">
        <v>2007.0</v>
      </c>
      <c r="AA732" s="1" t="s">
        <v>200</v>
      </c>
      <c r="AB732" s="1" t="s">
        <v>193</v>
      </c>
      <c r="AD732" s="1" t="s">
        <v>194</v>
      </c>
      <c r="AE732" s="1" t="s">
        <v>195</v>
      </c>
      <c r="AF732" s="1" t="s">
        <v>659</v>
      </c>
      <c r="AH732" s="1" t="s">
        <v>741</v>
      </c>
      <c r="AK732" s="1">
        <v>10.0</v>
      </c>
      <c r="AL732" s="1">
        <v>4.0</v>
      </c>
      <c r="AM732" s="1">
        <v>3.0</v>
      </c>
      <c r="AN732" s="1">
        <v>2.0</v>
      </c>
      <c r="AO732" s="1" t="s">
        <v>198</v>
      </c>
      <c r="AP732" s="1">
        <v>1.0</v>
      </c>
      <c r="AQ732" s="1" t="s">
        <v>472</v>
      </c>
      <c r="AR732" s="1" t="s">
        <v>192</v>
      </c>
      <c r="AS732" s="1" t="s">
        <v>199</v>
      </c>
      <c r="AT732" s="1">
        <v>2.0</v>
      </c>
      <c r="AV732" s="1" t="s">
        <v>200</v>
      </c>
      <c r="AW732" s="1">
        <v>10448.0</v>
      </c>
      <c r="AX732" s="1">
        <v>2013.0</v>
      </c>
      <c r="AY732" s="1" t="s">
        <v>387</v>
      </c>
      <c r="AZ732" s="1" t="s">
        <v>200</v>
      </c>
      <c r="BA732" s="1" t="str">
        <f>"14072080220000"</f>
        <v>14072080220000</v>
      </c>
      <c r="BB732" s="1" t="s">
        <v>200</v>
      </c>
      <c r="BC732" s="1">
        <v>3600.0</v>
      </c>
      <c r="BD732" s="1">
        <v>940000.0</v>
      </c>
      <c r="BE732" s="2">
        <v>42009.0</v>
      </c>
      <c r="BF732" s="2" t="s">
        <v>8796</v>
      </c>
      <c r="BH732" s="1">
        <v>0.0</v>
      </c>
      <c r="BK732" s="1" t="s">
        <v>204</v>
      </c>
      <c r="BL732" s="1" t="str">
        <f>"5400"</f>
        <v>5400</v>
      </c>
      <c r="BM732" s="1" t="str">
        <f t="shared" ref="BM732:BM733" si="487">"0"</f>
        <v>0</v>
      </c>
      <c r="BN732" s="1">
        <v>1734.0</v>
      </c>
      <c r="BO732" s="1">
        <v>0.0</v>
      </c>
      <c r="BQ732" s="1">
        <v>299.0</v>
      </c>
      <c r="BR732" s="1">
        <v>299.0</v>
      </c>
      <c r="BS732" s="1">
        <v>299.0</v>
      </c>
      <c r="BU732" s="1" t="s">
        <v>743</v>
      </c>
      <c r="BV732" s="1" t="s">
        <v>206</v>
      </c>
      <c r="BW732" s="1" t="s">
        <v>207</v>
      </c>
      <c r="BX732" s="1" t="s">
        <v>1549</v>
      </c>
      <c r="BY732" s="1" t="s">
        <v>1483</v>
      </c>
      <c r="BZ732" s="1" t="s">
        <v>209</v>
      </c>
      <c r="CA732" s="1" t="s">
        <v>210</v>
      </c>
      <c r="CB732" s="1" t="s">
        <v>1550</v>
      </c>
      <c r="CC732" s="1" t="s">
        <v>541</v>
      </c>
      <c r="CD732" s="1" t="s">
        <v>206</v>
      </c>
      <c r="CE732" s="1" t="s">
        <v>207</v>
      </c>
      <c r="CG732" s="1" t="s">
        <v>333</v>
      </c>
      <c r="CH732" s="1" t="s">
        <v>209</v>
      </c>
      <c r="CI732" s="1" t="s">
        <v>210</v>
      </c>
      <c r="CJ732" s="1" t="s">
        <v>1118</v>
      </c>
      <c r="CK732" s="1" t="s">
        <v>433</v>
      </c>
      <c r="CL732" s="1" t="s">
        <v>209</v>
      </c>
      <c r="CM732" s="1" t="s">
        <v>210</v>
      </c>
      <c r="CN732" s="1" t="s">
        <v>1118</v>
      </c>
      <c r="CO732" s="1" t="s">
        <v>7203</v>
      </c>
      <c r="CP732" s="1" t="s">
        <v>267</v>
      </c>
      <c r="CQ732" s="1" t="s">
        <v>210</v>
      </c>
      <c r="CR732" s="1" t="s">
        <v>1118</v>
      </c>
      <c r="CS732" s="1" t="s">
        <v>260</v>
      </c>
      <c r="CT732" s="1" t="s">
        <v>206</v>
      </c>
      <c r="CU732" s="1" t="s">
        <v>207</v>
      </c>
      <c r="CV732" s="1" t="s">
        <v>1118</v>
      </c>
      <c r="CW732" s="1" t="s">
        <v>205</v>
      </c>
      <c r="CX732" s="1" t="s">
        <v>206</v>
      </c>
      <c r="CY732" s="1" t="s">
        <v>207</v>
      </c>
      <c r="CZ732" s="1" t="s">
        <v>1118</v>
      </c>
      <c r="DA732" s="1" t="s">
        <v>200</v>
      </c>
      <c r="DC732" s="1" t="s">
        <v>481</v>
      </c>
      <c r="DD732" s="1" t="s">
        <v>217</v>
      </c>
      <c r="DE732" s="1" t="s">
        <v>218</v>
      </c>
      <c r="DF732" s="1" t="s">
        <v>745</v>
      </c>
      <c r="DG732" s="1" t="s">
        <v>1657</v>
      </c>
      <c r="DH732" s="1" t="s">
        <v>220</v>
      </c>
      <c r="DI732" s="1" t="s">
        <v>4683</v>
      </c>
      <c r="DJ732" s="1" t="s">
        <v>222</v>
      </c>
      <c r="DL732" s="1" t="s">
        <v>8797</v>
      </c>
      <c r="DM732" s="1" t="s">
        <v>3697</v>
      </c>
      <c r="DN732" s="1" t="s">
        <v>8798</v>
      </c>
      <c r="DP732" s="1" t="s">
        <v>276</v>
      </c>
      <c r="DQ732" s="1" t="s">
        <v>718</v>
      </c>
      <c r="DR732" s="1" t="s">
        <v>229</v>
      </c>
      <c r="DS732" s="1" t="s">
        <v>368</v>
      </c>
      <c r="DV732" s="1" t="s">
        <v>4596</v>
      </c>
      <c r="DW732" s="1" t="s">
        <v>279</v>
      </c>
      <c r="DX732" s="1" t="s">
        <v>234</v>
      </c>
      <c r="DY732" s="1" t="s">
        <v>6019</v>
      </c>
      <c r="EA732" s="1" t="s">
        <v>344</v>
      </c>
      <c r="EB732" s="1" t="s">
        <v>492</v>
      </c>
      <c r="EC732" s="1" t="s">
        <v>237</v>
      </c>
      <c r="ED732" s="1" t="s">
        <v>1406</v>
      </c>
      <c r="EE732" s="1" t="s">
        <v>187</v>
      </c>
      <c r="EG732" s="1" t="s">
        <v>450</v>
      </c>
      <c r="EH732" s="1" t="s">
        <v>1102</v>
      </c>
      <c r="EI732" s="1" t="s">
        <v>598</v>
      </c>
      <c r="EL732" s="1" t="s">
        <v>3539</v>
      </c>
      <c r="EM732" s="1" t="s">
        <v>267</v>
      </c>
      <c r="EN732" s="1" t="s">
        <v>210</v>
      </c>
      <c r="EO732" s="1" t="s">
        <v>1118</v>
      </c>
      <c r="EP732" s="1" t="s">
        <v>1746</v>
      </c>
      <c r="EQ732" s="1" t="s">
        <v>206</v>
      </c>
      <c r="ER732" s="1" t="s">
        <v>207</v>
      </c>
      <c r="ES732" s="1" t="s">
        <v>229</v>
      </c>
      <c r="ET732" s="1" t="s">
        <v>1746</v>
      </c>
      <c r="EU732" s="1" t="s">
        <v>267</v>
      </c>
      <c r="EV732" s="1" t="s">
        <v>210</v>
      </c>
      <c r="EW732" s="1" t="s">
        <v>1118</v>
      </c>
      <c r="EY732" s="1" t="s">
        <v>238</v>
      </c>
      <c r="FC732" s="1" t="s">
        <v>238</v>
      </c>
      <c r="FF732" s="1" t="s">
        <v>239</v>
      </c>
      <c r="FG732" s="1" t="s">
        <v>192</v>
      </c>
      <c r="FH732" s="1" t="s">
        <v>192</v>
      </c>
      <c r="FJ732" s="1" t="s">
        <v>412</v>
      </c>
      <c r="FK732" s="1" t="s">
        <v>229</v>
      </c>
      <c r="FL732" s="1" t="s">
        <v>456</v>
      </c>
      <c r="FM732" s="1">
        <v>11000.0</v>
      </c>
      <c r="FN732" s="1" t="s">
        <v>4123</v>
      </c>
      <c r="FO732" s="1" t="s">
        <v>8799</v>
      </c>
      <c r="FP732" s="1">
        <v>110491.0</v>
      </c>
      <c r="FQ732" s="1" t="s">
        <v>8800</v>
      </c>
      <c r="FU732" s="1" t="s">
        <v>8801</v>
      </c>
      <c r="FV732" s="1" t="s">
        <v>200</v>
      </c>
      <c r="FW732" s="1" t="s">
        <v>567</v>
      </c>
      <c r="FX732" s="1" t="s">
        <v>246</v>
      </c>
      <c r="FZ732" s="1" t="s">
        <v>229</v>
      </c>
      <c r="GA732" s="1" t="s">
        <v>291</v>
      </c>
      <c r="GB732" s="2">
        <v>42089.0</v>
      </c>
      <c r="GC732" s="1" t="s">
        <v>8802</v>
      </c>
    </row>
    <row r="733">
      <c r="A733" s="1">
        <v>172000.0</v>
      </c>
      <c r="B733" s="1" t="s">
        <v>185</v>
      </c>
      <c r="C733" s="1" t="str">
        <f>"08816820"</f>
        <v>08816820</v>
      </c>
      <c r="D733" s="1" t="s">
        <v>186</v>
      </c>
      <c r="F733" s="1" t="str">
        <f>"174"</f>
        <v>174</v>
      </c>
      <c r="G733" s="2">
        <v>42019.0</v>
      </c>
      <c r="H733" s="1">
        <v>184500.0</v>
      </c>
      <c r="I733" s="1">
        <v>27.0</v>
      </c>
      <c r="J733" s="1">
        <v>184500.0</v>
      </c>
      <c r="K733" s="2">
        <v>42045.0</v>
      </c>
      <c r="L733" s="1">
        <v>27.0</v>
      </c>
      <c r="M733" s="2">
        <v>42045.0</v>
      </c>
      <c r="N733" s="1" t="s">
        <v>249</v>
      </c>
      <c r="O733" s="2">
        <v>42062.0</v>
      </c>
      <c r="P733" s="1">
        <v>168502.0</v>
      </c>
      <c r="Q733" s="1">
        <v>85115.0</v>
      </c>
      <c r="S733" s="1" t="s">
        <v>8803</v>
      </c>
      <c r="T733" s="1" t="s">
        <v>8804</v>
      </c>
      <c r="U733" s="1" t="s">
        <v>569</v>
      </c>
      <c r="V733" s="1" t="s">
        <v>1200</v>
      </c>
      <c r="W733" s="1">
        <v>60174.0</v>
      </c>
      <c r="Y733" s="1" t="s">
        <v>8805</v>
      </c>
      <c r="Z733" s="1">
        <v>1976.0</v>
      </c>
      <c r="AA733" s="1" t="s">
        <v>192</v>
      </c>
      <c r="AB733" s="1" t="s">
        <v>193</v>
      </c>
      <c r="AD733" s="1" t="s">
        <v>1203</v>
      </c>
      <c r="AE733" s="1" t="s">
        <v>325</v>
      </c>
      <c r="AF733" s="1" t="s">
        <v>1203</v>
      </c>
      <c r="AH733" s="1" t="s">
        <v>8806</v>
      </c>
      <c r="AI733" s="1">
        <v>0.3293</v>
      </c>
      <c r="AK733" s="1">
        <v>9.0</v>
      </c>
      <c r="AL733" s="1">
        <v>3.0</v>
      </c>
      <c r="AM733" s="1">
        <v>2.0</v>
      </c>
      <c r="AN733" s="1">
        <v>0.0</v>
      </c>
      <c r="AO733" s="1" t="s">
        <v>1261</v>
      </c>
      <c r="AP733" s="1">
        <v>1.0</v>
      </c>
      <c r="AQ733" s="1" t="s">
        <v>198</v>
      </c>
      <c r="AR733" s="1" t="s">
        <v>192</v>
      </c>
      <c r="AS733" s="1" t="s">
        <v>199</v>
      </c>
      <c r="AT733" s="1">
        <v>2.1</v>
      </c>
      <c r="AV733" s="1" t="s">
        <v>200</v>
      </c>
      <c r="AW733" s="1">
        <v>3103.94</v>
      </c>
      <c r="AX733" s="1">
        <v>2013.0</v>
      </c>
      <c r="AY733" s="1" t="s">
        <v>387</v>
      </c>
      <c r="AZ733" s="1" t="s">
        <v>200</v>
      </c>
      <c r="BA733" s="1" t="str">
        <f>"0911330011"</f>
        <v>0911330011</v>
      </c>
      <c r="BC733" s="1">
        <v>1452.0</v>
      </c>
      <c r="BD733" s="1">
        <v>172000.0</v>
      </c>
      <c r="BE733" s="2">
        <v>42019.0</v>
      </c>
      <c r="BF733" s="2" t="s">
        <v>8807</v>
      </c>
      <c r="BH733" s="1">
        <v>0.0</v>
      </c>
      <c r="BK733" s="1" t="s">
        <v>204</v>
      </c>
      <c r="BL733" s="1" t="str">
        <f>"4"</f>
        <v>4</v>
      </c>
      <c r="BM733" s="1" t="str">
        <f t="shared" si="487"/>
        <v>0</v>
      </c>
      <c r="BN733" s="1">
        <v>35.0</v>
      </c>
      <c r="BO733" s="1">
        <v>0.0</v>
      </c>
      <c r="BQ733" s="1">
        <v>303.0</v>
      </c>
      <c r="BR733" s="1">
        <v>303.0</v>
      </c>
      <c r="BS733" s="1">
        <v>303.0</v>
      </c>
      <c r="BV733" s="1" t="s">
        <v>204</v>
      </c>
      <c r="BY733" s="1" t="s">
        <v>1395</v>
      </c>
      <c r="BZ733" s="1" t="s">
        <v>206</v>
      </c>
      <c r="CA733" s="1" t="s">
        <v>207</v>
      </c>
      <c r="CC733" s="1" t="s">
        <v>4403</v>
      </c>
      <c r="CD733" s="1" t="s">
        <v>206</v>
      </c>
      <c r="CE733" s="1" t="s">
        <v>207</v>
      </c>
      <c r="CG733" s="1" t="s">
        <v>363</v>
      </c>
      <c r="CH733" s="1" t="s">
        <v>206</v>
      </c>
      <c r="CI733" s="1" t="s">
        <v>210</v>
      </c>
      <c r="CK733" s="1" t="s">
        <v>363</v>
      </c>
      <c r="CL733" s="1" t="s">
        <v>206</v>
      </c>
      <c r="CM733" s="1" t="s">
        <v>207</v>
      </c>
      <c r="CO733" s="1" t="s">
        <v>303</v>
      </c>
      <c r="CP733" s="1" t="s">
        <v>42</v>
      </c>
      <c r="CQ733" s="1" t="s">
        <v>588</v>
      </c>
      <c r="CS733" s="1" t="s">
        <v>5311</v>
      </c>
      <c r="CT733" s="1" t="s">
        <v>206</v>
      </c>
      <c r="CU733" s="1" t="s">
        <v>268</v>
      </c>
      <c r="CW733" s="1" t="s">
        <v>924</v>
      </c>
      <c r="CX733" s="1" t="s">
        <v>206</v>
      </c>
      <c r="CY733" s="1" t="s">
        <v>207</v>
      </c>
      <c r="DA733" s="1" t="s">
        <v>200</v>
      </c>
      <c r="DC733" s="1" t="s">
        <v>395</v>
      </c>
      <c r="DD733" s="1" t="s">
        <v>855</v>
      </c>
      <c r="DE733" s="1" t="s">
        <v>1905</v>
      </c>
      <c r="DF733" s="1" t="s">
        <v>4120</v>
      </c>
      <c r="DG733" s="1" t="s">
        <v>2311</v>
      </c>
      <c r="DH733" s="1" t="s">
        <v>856</v>
      </c>
      <c r="DI733" s="1" t="s">
        <v>308</v>
      </c>
      <c r="DJ733" s="1" t="s">
        <v>857</v>
      </c>
      <c r="DL733" s="1" t="s">
        <v>224</v>
      </c>
      <c r="DM733" s="1" t="s">
        <v>338</v>
      </c>
      <c r="DO733" s="1" t="s">
        <v>549</v>
      </c>
      <c r="DP733" s="1" t="s">
        <v>340</v>
      </c>
      <c r="DQ733" s="1" t="s">
        <v>228</v>
      </c>
      <c r="DR733" s="1" t="s">
        <v>229</v>
      </c>
      <c r="DS733" s="1" t="s">
        <v>368</v>
      </c>
      <c r="DU733" s="1" t="s">
        <v>8808</v>
      </c>
      <c r="DV733" s="1" t="s">
        <v>8809</v>
      </c>
      <c r="DW733" s="1" t="s">
        <v>588</v>
      </c>
      <c r="DX733" s="1" t="s">
        <v>234</v>
      </c>
      <c r="DY733" s="1" t="s">
        <v>8810</v>
      </c>
      <c r="DZ733" s="1" t="s">
        <v>282</v>
      </c>
      <c r="EA733" s="1" t="s">
        <v>683</v>
      </c>
      <c r="EB733" s="1" t="s">
        <v>4968</v>
      </c>
      <c r="EC733" s="1" t="s">
        <v>685</v>
      </c>
      <c r="ED733" s="1" t="s">
        <v>555</v>
      </c>
      <c r="EG733" s="1" t="s">
        <v>598</v>
      </c>
      <c r="EH733" s="1" t="s">
        <v>450</v>
      </c>
      <c r="EJ733" s="1" t="s">
        <v>2877</v>
      </c>
      <c r="EK733" s="1" t="s">
        <v>409</v>
      </c>
      <c r="EL733" s="1" t="s">
        <v>302</v>
      </c>
      <c r="EM733" s="1" t="s">
        <v>42</v>
      </c>
      <c r="EN733" s="1" t="s">
        <v>588</v>
      </c>
      <c r="EP733" s="1" t="s">
        <v>1244</v>
      </c>
      <c r="EQ733" s="1" t="s">
        <v>42</v>
      </c>
      <c r="ER733" s="1" t="s">
        <v>588</v>
      </c>
      <c r="EU733" s="1" t="s">
        <v>238</v>
      </c>
      <c r="EX733" s="1" t="s">
        <v>8275</v>
      </c>
      <c r="EY733" s="1" t="s">
        <v>42</v>
      </c>
      <c r="EZ733" s="1" t="s">
        <v>617</v>
      </c>
      <c r="FB733" s="1" t="s">
        <v>559</v>
      </c>
      <c r="FC733" s="1" t="s">
        <v>42</v>
      </c>
      <c r="FD733" s="1" t="s">
        <v>301</v>
      </c>
      <c r="FF733" s="1" t="s">
        <v>239</v>
      </c>
      <c r="FG733" s="1" t="s">
        <v>200</v>
      </c>
      <c r="FH733" s="1" t="s">
        <v>192</v>
      </c>
      <c r="FJ733" s="1" t="s">
        <v>1280</v>
      </c>
      <c r="FK733" s="1" t="s">
        <v>229</v>
      </c>
      <c r="FL733" s="1" t="s">
        <v>499</v>
      </c>
      <c r="FM733" s="1">
        <v>358.0</v>
      </c>
      <c r="FN733" s="1" t="s">
        <v>500</v>
      </c>
      <c r="FO733" s="1" t="s">
        <v>501</v>
      </c>
      <c r="FP733" s="1">
        <v>347.0</v>
      </c>
      <c r="FQ733" s="1" t="s">
        <v>500</v>
      </c>
      <c r="FU733" s="1" t="s">
        <v>8811</v>
      </c>
      <c r="FV733" s="1" t="s">
        <v>200</v>
      </c>
      <c r="FW733" s="1" t="s">
        <v>290</v>
      </c>
      <c r="FZ733" s="1" t="s">
        <v>504</v>
      </c>
      <c r="GA733" s="1" t="s">
        <v>291</v>
      </c>
      <c r="GB733" s="2">
        <v>42063.0</v>
      </c>
      <c r="GC733" s="1" t="s">
        <v>8812</v>
      </c>
    </row>
    <row r="734">
      <c r="A734" s="1">
        <v>47000.0</v>
      </c>
      <c r="B734" s="1" t="s">
        <v>185</v>
      </c>
      <c r="C734" s="1" t="str">
        <f>"08814745"</f>
        <v>08814745</v>
      </c>
      <c r="D734" s="1" t="s">
        <v>186</v>
      </c>
      <c r="F734" s="1" t="str">
        <f>"8052"</f>
        <v>8052</v>
      </c>
      <c r="G734" s="2">
        <v>42016.0</v>
      </c>
      <c r="H734" s="1">
        <v>45999.0</v>
      </c>
      <c r="I734" s="1">
        <v>6.0</v>
      </c>
      <c r="J734" s="1">
        <v>45999.0</v>
      </c>
      <c r="K734" s="2">
        <v>42021.0</v>
      </c>
      <c r="L734" s="1">
        <v>6.0</v>
      </c>
      <c r="M734" s="2">
        <v>42021.0</v>
      </c>
      <c r="N734" s="1" t="s">
        <v>249</v>
      </c>
      <c r="O734" s="2">
        <v>42053.0</v>
      </c>
      <c r="P734" s="1">
        <v>101261.0</v>
      </c>
      <c r="Q734" s="1">
        <v>12555.0</v>
      </c>
      <c r="S734" s="1">
        <v>10719.0</v>
      </c>
      <c r="T734" s="1" t="s">
        <v>8813</v>
      </c>
      <c r="V734" s="1" t="s">
        <v>190</v>
      </c>
      <c r="W734" s="1">
        <v>60617.0</v>
      </c>
      <c r="Y734" s="1" t="s">
        <v>8814</v>
      </c>
      <c r="Z734" s="1">
        <v>1917.0</v>
      </c>
      <c r="AA734" s="1" t="s">
        <v>192</v>
      </c>
      <c r="AB734" s="1" t="s">
        <v>193</v>
      </c>
      <c r="AD734" s="1" t="s">
        <v>194</v>
      </c>
      <c r="AE734" s="1" t="s">
        <v>195</v>
      </c>
      <c r="AF734" s="1" t="s">
        <v>1154</v>
      </c>
      <c r="AH734" s="1" t="s">
        <v>1501</v>
      </c>
      <c r="AK734" s="1">
        <v>8.0</v>
      </c>
      <c r="AL734" s="1">
        <v>4.0</v>
      </c>
      <c r="AM734" s="1">
        <v>2.0</v>
      </c>
      <c r="AN734" s="1">
        <v>0.0</v>
      </c>
      <c r="AO734" s="1" t="s">
        <v>229</v>
      </c>
      <c r="AQ734" s="1" t="s">
        <v>327</v>
      </c>
      <c r="AR734" s="1" t="s">
        <v>200</v>
      </c>
      <c r="AS734" s="1" t="s">
        <v>199</v>
      </c>
      <c r="AT734" s="1">
        <v>2.0</v>
      </c>
      <c r="AV734" s="1" t="s">
        <v>200</v>
      </c>
      <c r="AW734" s="1">
        <v>1598.0</v>
      </c>
      <c r="AX734" s="1">
        <v>2013.0</v>
      </c>
      <c r="AY734" s="1" t="s">
        <v>387</v>
      </c>
      <c r="AZ734" s="1" t="s">
        <v>200</v>
      </c>
      <c r="BA734" s="1" t="str">
        <f>"26171080060000"</f>
        <v>26171080060000</v>
      </c>
      <c r="BB734" s="1" t="s">
        <v>200</v>
      </c>
      <c r="BC734" s="1">
        <v>1300.0</v>
      </c>
      <c r="BD734" s="1">
        <v>47000.0</v>
      </c>
      <c r="BE734" s="2">
        <v>42016.0</v>
      </c>
      <c r="BF734" s="2" t="s">
        <v>8815</v>
      </c>
      <c r="BH734" s="1">
        <v>0.0</v>
      </c>
      <c r="BK734" s="1" t="s">
        <v>204</v>
      </c>
      <c r="BL734" s="1" t="str">
        <f>"0"</f>
        <v>0</v>
      </c>
      <c r="BM734" s="1" t="str">
        <f>"3432"</f>
        <v>3432</v>
      </c>
      <c r="BN734" s="1">
        <v>0.0</v>
      </c>
      <c r="BO734" s="1">
        <v>10719.0</v>
      </c>
      <c r="BQ734" s="1">
        <v>299.0</v>
      </c>
      <c r="BR734" s="1">
        <v>299.0</v>
      </c>
      <c r="BS734" s="1">
        <v>299.0</v>
      </c>
      <c r="BU734" s="1" t="s">
        <v>1190</v>
      </c>
      <c r="BV734" s="1" t="s">
        <v>206</v>
      </c>
      <c r="BW734" s="1" t="s">
        <v>207</v>
      </c>
      <c r="BY734" s="1" t="s">
        <v>663</v>
      </c>
      <c r="BZ734" s="1" t="s">
        <v>206</v>
      </c>
      <c r="CA734" s="1" t="s">
        <v>207</v>
      </c>
      <c r="CD734" s="1" t="s">
        <v>204</v>
      </c>
      <c r="CG734" s="1" t="s">
        <v>543</v>
      </c>
      <c r="CH734" s="1" t="s">
        <v>206</v>
      </c>
      <c r="CI734" s="1" t="s">
        <v>207</v>
      </c>
      <c r="CK734" s="1" t="s">
        <v>543</v>
      </c>
      <c r="CL734" s="1" t="s">
        <v>209</v>
      </c>
      <c r="CM734" s="1" t="s">
        <v>301</v>
      </c>
      <c r="CO734" s="1" t="s">
        <v>516</v>
      </c>
      <c r="CP734" s="1" t="s">
        <v>209</v>
      </c>
      <c r="CQ734" s="1" t="s">
        <v>301</v>
      </c>
      <c r="CS734" s="1" t="s">
        <v>215</v>
      </c>
      <c r="CT734" s="1" t="s">
        <v>206</v>
      </c>
      <c r="CU734" s="1" t="s">
        <v>617</v>
      </c>
      <c r="CX734" s="1" t="s">
        <v>204</v>
      </c>
      <c r="DA734" s="1" t="s">
        <v>200</v>
      </c>
      <c r="DC734" s="1" t="s">
        <v>216</v>
      </c>
      <c r="DE734" s="1" t="s">
        <v>273</v>
      </c>
      <c r="DF734" s="1" t="s">
        <v>619</v>
      </c>
      <c r="DH734" s="1" t="s">
        <v>220</v>
      </c>
      <c r="DJ734" s="1" t="s">
        <v>222</v>
      </c>
      <c r="DL734" s="1" t="s">
        <v>858</v>
      </c>
      <c r="DM734" s="1" t="s">
        <v>229</v>
      </c>
      <c r="DQ734" s="1" t="s">
        <v>228</v>
      </c>
      <c r="DR734" s="1" t="s">
        <v>229</v>
      </c>
      <c r="DV734" s="1" t="s">
        <v>8816</v>
      </c>
      <c r="DW734" s="1" t="s">
        <v>279</v>
      </c>
      <c r="DX734" s="1" t="s">
        <v>234</v>
      </c>
      <c r="EA734" s="1" t="s">
        <v>554</v>
      </c>
      <c r="EC734" s="1" t="s">
        <v>237</v>
      </c>
      <c r="EE734" s="1" t="s">
        <v>1673</v>
      </c>
      <c r="EG734" s="1" t="s">
        <v>1407</v>
      </c>
      <c r="EH734" s="1" t="s">
        <v>1164</v>
      </c>
      <c r="EL734" s="1" t="s">
        <v>212</v>
      </c>
      <c r="EM734" s="1" t="s">
        <v>209</v>
      </c>
      <c r="EP734" s="1" t="s">
        <v>454</v>
      </c>
      <c r="EQ734" s="1" t="s">
        <v>209</v>
      </c>
      <c r="ER734" s="1" t="s">
        <v>301</v>
      </c>
      <c r="EU734" s="1" t="s">
        <v>238</v>
      </c>
      <c r="EY734" s="1" t="s">
        <v>238</v>
      </c>
      <c r="FC734" s="1" t="s">
        <v>238</v>
      </c>
      <c r="FF734" s="1" t="s">
        <v>239</v>
      </c>
      <c r="FG734" s="1" t="s">
        <v>192</v>
      </c>
      <c r="FH734" s="1" t="s">
        <v>192</v>
      </c>
      <c r="FJ734" s="1" t="s">
        <v>8817</v>
      </c>
      <c r="FK734" s="1" t="s">
        <v>348</v>
      </c>
      <c r="FL734" s="1" t="s">
        <v>8818</v>
      </c>
      <c r="FM734" s="1">
        <v>21419.0</v>
      </c>
      <c r="FN734" s="1" t="s">
        <v>8819</v>
      </c>
      <c r="FO734" s="1" t="s">
        <v>8820</v>
      </c>
      <c r="FP734" s="1">
        <v>228787.0</v>
      </c>
      <c r="FQ734" s="1" t="s">
        <v>8821</v>
      </c>
      <c r="FU734" s="1" t="s">
        <v>8822</v>
      </c>
      <c r="FV734" s="1" t="s">
        <v>192</v>
      </c>
      <c r="FW734" s="1" t="s">
        <v>290</v>
      </c>
      <c r="FX734" s="1" t="s">
        <v>655</v>
      </c>
      <c r="FZ734" s="1" t="s">
        <v>229</v>
      </c>
      <c r="GA734" s="1" t="s">
        <v>291</v>
      </c>
      <c r="GB734" s="2">
        <v>42053.0</v>
      </c>
      <c r="GC734" s="1" t="s">
        <v>8823</v>
      </c>
    </row>
    <row r="735">
      <c r="A735" s="1">
        <v>345000.0</v>
      </c>
      <c r="B735" s="1" t="s">
        <v>185</v>
      </c>
      <c r="C735" s="1" t="str">
        <f>"08813879"</f>
        <v>08813879</v>
      </c>
      <c r="D735" s="1" t="s">
        <v>186</v>
      </c>
      <c r="F735" s="1" t="str">
        <f>"174"</f>
        <v>174</v>
      </c>
      <c r="G735" s="2">
        <v>42015.0</v>
      </c>
      <c r="H735" s="1">
        <v>407000.0</v>
      </c>
      <c r="I735" s="1">
        <v>62.0</v>
      </c>
      <c r="J735" s="1">
        <v>376000.0</v>
      </c>
      <c r="K735" s="2">
        <v>42075.0</v>
      </c>
      <c r="L735" s="1">
        <v>62.0</v>
      </c>
      <c r="M735" s="2">
        <v>42075.0</v>
      </c>
      <c r="N735" s="1" t="s">
        <v>187</v>
      </c>
      <c r="O735" s="2">
        <v>42109.0</v>
      </c>
      <c r="P735" s="1">
        <v>902.0</v>
      </c>
      <c r="Q735" s="1">
        <v>49.0</v>
      </c>
      <c r="S735" s="1">
        <v>3902.0</v>
      </c>
      <c r="T735" s="1" t="s">
        <v>8824</v>
      </c>
      <c r="U735" s="1" t="s">
        <v>569</v>
      </c>
      <c r="V735" s="1" t="s">
        <v>1200</v>
      </c>
      <c r="W735" s="1">
        <v>60174.0</v>
      </c>
      <c r="Y735" s="1" t="s">
        <v>8825</v>
      </c>
      <c r="Z735" s="1">
        <v>1996.0</v>
      </c>
      <c r="AA735" s="1" t="s">
        <v>200</v>
      </c>
      <c r="AB735" s="1" t="s">
        <v>467</v>
      </c>
      <c r="AC735" s="1" t="s">
        <v>8826</v>
      </c>
      <c r="AD735" s="1" t="s">
        <v>1203</v>
      </c>
      <c r="AE735" s="1" t="s">
        <v>325</v>
      </c>
      <c r="AF735" s="1" t="s">
        <v>1203</v>
      </c>
      <c r="AG735" s="1" t="s">
        <v>874</v>
      </c>
      <c r="AH735" s="1" t="s">
        <v>8827</v>
      </c>
      <c r="AI735" s="1">
        <v>0.2956</v>
      </c>
      <c r="AK735" s="1">
        <v>7.0</v>
      </c>
      <c r="AL735" s="1">
        <v>3.0</v>
      </c>
      <c r="AM735" s="1">
        <v>3.0</v>
      </c>
      <c r="AN735" s="1">
        <v>1.0</v>
      </c>
      <c r="AO735" s="1" t="s">
        <v>198</v>
      </c>
      <c r="AP735" s="1">
        <v>1.0</v>
      </c>
      <c r="AQ735" s="1" t="s">
        <v>472</v>
      </c>
      <c r="AR735" s="1" t="s">
        <v>192</v>
      </c>
      <c r="AS735" s="1" t="s">
        <v>199</v>
      </c>
      <c r="AT735" s="1">
        <v>3.0</v>
      </c>
      <c r="AV735" s="1" t="s">
        <v>192</v>
      </c>
      <c r="AW735" s="1">
        <v>12159.4</v>
      </c>
      <c r="AX735" s="1">
        <v>2013.0</v>
      </c>
      <c r="AZ735" s="1" t="s">
        <v>200</v>
      </c>
      <c r="BA735" s="1" t="str">
        <f>"0924227023"</f>
        <v>0924227023</v>
      </c>
      <c r="BC735" s="1">
        <v>0.0</v>
      </c>
      <c r="BD735" s="1">
        <v>345000.0</v>
      </c>
      <c r="BE735" s="2">
        <v>42014.0</v>
      </c>
      <c r="BF735" s="2" t="s">
        <v>8828</v>
      </c>
      <c r="BH735" s="1">
        <v>203.0</v>
      </c>
      <c r="BK735" s="1" t="s">
        <v>474</v>
      </c>
      <c r="BL735" s="1" t="str">
        <f>"5"</f>
        <v>5</v>
      </c>
      <c r="BM735" s="1" t="str">
        <f>"0"</f>
        <v>0</v>
      </c>
      <c r="BN735" s="1">
        <v>33.0</v>
      </c>
      <c r="BO735" s="1">
        <v>0.0</v>
      </c>
      <c r="BQ735" s="1">
        <v>303.0</v>
      </c>
      <c r="BR735" s="1">
        <v>303.0</v>
      </c>
      <c r="BS735" s="1">
        <v>303.0</v>
      </c>
      <c r="BV735" s="1" t="s">
        <v>204</v>
      </c>
      <c r="BY735" s="1" t="s">
        <v>1000</v>
      </c>
      <c r="BZ735" s="1" t="s">
        <v>206</v>
      </c>
      <c r="CA735" s="1" t="s">
        <v>210</v>
      </c>
      <c r="CC735" s="1" t="s">
        <v>497</v>
      </c>
      <c r="CD735" s="1" t="s">
        <v>206</v>
      </c>
      <c r="CE735" s="1" t="s">
        <v>207</v>
      </c>
      <c r="CG735" s="1" t="s">
        <v>497</v>
      </c>
      <c r="CH735" s="1" t="s">
        <v>206</v>
      </c>
      <c r="CI735" s="1" t="s">
        <v>210</v>
      </c>
      <c r="CK735" s="1" t="s">
        <v>212</v>
      </c>
      <c r="CL735" s="1" t="s">
        <v>206</v>
      </c>
      <c r="CM735" s="1" t="s">
        <v>210</v>
      </c>
      <c r="CO735" s="1" t="s">
        <v>582</v>
      </c>
      <c r="CP735" s="1" t="s">
        <v>42</v>
      </c>
      <c r="CQ735" s="1" t="s">
        <v>210</v>
      </c>
      <c r="CS735" s="1" t="s">
        <v>3539</v>
      </c>
      <c r="CT735" s="1" t="s">
        <v>206</v>
      </c>
      <c r="CU735" s="1" t="s">
        <v>207</v>
      </c>
      <c r="CW735" s="1" t="s">
        <v>4387</v>
      </c>
      <c r="CX735" s="1" t="s">
        <v>206</v>
      </c>
      <c r="CY735" s="1" t="s">
        <v>210</v>
      </c>
      <c r="DA735" s="1" t="s">
        <v>200</v>
      </c>
      <c r="DC735" s="1" t="s">
        <v>678</v>
      </c>
      <c r="DD735" s="1" t="s">
        <v>926</v>
      </c>
      <c r="DE735" s="1" t="s">
        <v>273</v>
      </c>
      <c r="DF735" s="1" t="s">
        <v>219</v>
      </c>
      <c r="DG735" s="1" t="s">
        <v>8829</v>
      </c>
      <c r="DH735" s="1" t="s">
        <v>220</v>
      </c>
      <c r="DJ735" s="1" t="s">
        <v>222</v>
      </c>
      <c r="DL735" s="1" t="s">
        <v>224</v>
      </c>
      <c r="DM735" s="1" t="s">
        <v>338</v>
      </c>
      <c r="DN735" s="1" t="s">
        <v>399</v>
      </c>
      <c r="DO735" s="1" t="s">
        <v>8830</v>
      </c>
      <c r="DP735" s="1" t="s">
        <v>340</v>
      </c>
      <c r="DQ735" s="1" t="s">
        <v>228</v>
      </c>
      <c r="DR735" s="1" t="s">
        <v>588</v>
      </c>
      <c r="DS735" s="1" t="s">
        <v>230</v>
      </c>
      <c r="DV735" s="1" t="s">
        <v>232</v>
      </c>
      <c r="DW735" s="1" t="s">
        <v>764</v>
      </c>
      <c r="DX735" s="1" t="s">
        <v>234</v>
      </c>
      <c r="DY735" s="1" t="s">
        <v>8831</v>
      </c>
      <c r="DZ735" s="1" t="s">
        <v>310</v>
      </c>
      <c r="EA735" s="1" t="s">
        <v>683</v>
      </c>
      <c r="EB735" s="1" t="s">
        <v>492</v>
      </c>
      <c r="EC735" s="1" t="s">
        <v>685</v>
      </c>
      <c r="ED735" s="1" t="s">
        <v>407</v>
      </c>
      <c r="EM735" s="1" t="s">
        <v>238</v>
      </c>
      <c r="EQ735" s="1" t="s">
        <v>238</v>
      </c>
      <c r="EU735" s="1" t="s">
        <v>238</v>
      </c>
      <c r="EY735" s="1" t="s">
        <v>238</v>
      </c>
      <c r="FC735" s="1" t="s">
        <v>238</v>
      </c>
      <c r="FF735" s="1" t="s">
        <v>239</v>
      </c>
      <c r="FG735" s="1" t="s">
        <v>192</v>
      </c>
      <c r="FH735" s="1" t="s">
        <v>192</v>
      </c>
      <c r="FJ735" s="1" t="s">
        <v>524</v>
      </c>
      <c r="FK735" s="1" t="s">
        <v>229</v>
      </c>
      <c r="FL735" s="1" t="s">
        <v>8832</v>
      </c>
      <c r="FM735" s="1">
        <v>18039.0</v>
      </c>
      <c r="FN735" s="1" t="s">
        <v>8833</v>
      </c>
      <c r="FO735" s="1" t="s">
        <v>8834</v>
      </c>
      <c r="FP735" s="1">
        <v>154120.0</v>
      </c>
      <c r="FQ735" s="1" t="s">
        <v>8833</v>
      </c>
      <c r="FU735" s="1" t="s">
        <v>8835</v>
      </c>
      <c r="FV735" s="1" t="s">
        <v>200</v>
      </c>
      <c r="FW735" s="1" t="s">
        <v>290</v>
      </c>
      <c r="FZ735" s="1" t="s">
        <v>229</v>
      </c>
      <c r="GA735" s="1" t="s">
        <v>291</v>
      </c>
      <c r="GB735" s="2">
        <v>42114.0</v>
      </c>
      <c r="GC735" s="1" t="s">
        <v>8836</v>
      </c>
    </row>
    <row r="736">
      <c r="A736" s="1">
        <v>141500.0</v>
      </c>
      <c r="B736" s="1" t="s">
        <v>185</v>
      </c>
      <c r="C736" s="1" t="str">
        <f>"08805155"</f>
        <v>08805155</v>
      </c>
      <c r="D736" s="1" t="s">
        <v>186</v>
      </c>
      <c r="F736" s="1" t="str">
        <f>"110"</f>
        <v>110</v>
      </c>
      <c r="G736" s="2">
        <v>41995.0</v>
      </c>
      <c r="H736" s="1">
        <v>149900.0</v>
      </c>
      <c r="I736" s="1">
        <v>60.0</v>
      </c>
      <c r="J736" s="1">
        <v>149900.0</v>
      </c>
      <c r="K736" s="2">
        <v>42054.0</v>
      </c>
      <c r="L736" s="1">
        <v>60.0</v>
      </c>
      <c r="M736" s="2">
        <v>42054.0</v>
      </c>
      <c r="N736" s="1" t="s">
        <v>356</v>
      </c>
      <c r="O736" s="2">
        <v>42116.0</v>
      </c>
      <c r="P736" s="1">
        <v>77526.0</v>
      </c>
      <c r="Q736" s="1">
        <v>267.0</v>
      </c>
      <c r="R736" s="1">
        <v>3000.0</v>
      </c>
      <c r="S736" s="1">
        <v>1825.0</v>
      </c>
      <c r="T736" s="1" t="s">
        <v>8837</v>
      </c>
      <c r="U736" s="1" t="s">
        <v>1015</v>
      </c>
      <c r="V736" s="1" t="s">
        <v>807</v>
      </c>
      <c r="W736" s="1">
        <v>60110.0</v>
      </c>
      <c r="Y736" s="1" t="s">
        <v>8838</v>
      </c>
      <c r="Z736" s="1">
        <v>1970.0</v>
      </c>
      <c r="AA736" s="1" t="s">
        <v>192</v>
      </c>
      <c r="AB736" s="1" t="s">
        <v>193</v>
      </c>
      <c r="AD736" s="1" t="s">
        <v>809</v>
      </c>
      <c r="AE736" s="1" t="s">
        <v>325</v>
      </c>
      <c r="AF736" s="1" t="s">
        <v>810</v>
      </c>
      <c r="AH736" s="1" t="s">
        <v>8839</v>
      </c>
      <c r="AI736" s="1">
        <v>0.1929</v>
      </c>
      <c r="AK736" s="1">
        <v>7.0</v>
      </c>
      <c r="AL736" s="1">
        <v>4.0</v>
      </c>
      <c r="AM736" s="1">
        <v>1.0</v>
      </c>
      <c r="AN736" s="1">
        <v>0.0</v>
      </c>
      <c r="AO736" s="1" t="s">
        <v>229</v>
      </c>
      <c r="AQ736" s="1" t="s">
        <v>198</v>
      </c>
      <c r="AR736" s="1" t="s">
        <v>200</v>
      </c>
      <c r="AS736" s="1" t="s">
        <v>199</v>
      </c>
      <c r="AT736" s="1">
        <v>2.5</v>
      </c>
      <c r="AV736" s="1" t="s">
        <v>200</v>
      </c>
      <c r="AW736" s="1">
        <v>3541.04</v>
      </c>
      <c r="AX736" s="1">
        <v>2013.0</v>
      </c>
      <c r="AZ736" s="1" t="s">
        <v>200</v>
      </c>
      <c r="BA736" s="1" t="str">
        <f>"0313454014"</f>
        <v>0313454014</v>
      </c>
      <c r="BC736" s="1">
        <v>1628.0</v>
      </c>
      <c r="BD736" s="1">
        <v>141500.0</v>
      </c>
      <c r="BE736" s="2">
        <v>41995.0</v>
      </c>
      <c r="BF736" s="2" t="s">
        <v>8840</v>
      </c>
      <c r="BH736" s="1">
        <v>0.0</v>
      </c>
      <c r="BK736" s="1" t="s">
        <v>204</v>
      </c>
      <c r="BL736" s="1" t="str">
        <f t="shared" ref="BL736:BM736" si="488">""</f>
        <v/>
      </c>
      <c r="BM736" s="1" t="str">
        <f t="shared" si="488"/>
        <v/>
      </c>
      <c r="BQ736" s="1">
        <v>300.0</v>
      </c>
      <c r="BR736" s="1">
        <v>300.0</v>
      </c>
      <c r="BS736" s="1">
        <v>300.0</v>
      </c>
      <c r="BU736" s="1" t="s">
        <v>434</v>
      </c>
      <c r="BV736" s="1" t="s">
        <v>206</v>
      </c>
      <c r="BW736" s="1" t="s">
        <v>301</v>
      </c>
      <c r="BY736" s="1" t="s">
        <v>497</v>
      </c>
      <c r="BZ736" s="1" t="s">
        <v>209</v>
      </c>
      <c r="CA736" s="1" t="s">
        <v>210</v>
      </c>
      <c r="CD736" s="1" t="s">
        <v>204</v>
      </c>
      <c r="CG736" s="1" t="s">
        <v>264</v>
      </c>
      <c r="CH736" s="1" t="s">
        <v>209</v>
      </c>
      <c r="CI736" s="1" t="s">
        <v>210</v>
      </c>
      <c r="CK736" s="1" t="s">
        <v>495</v>
      </c>
      <c r="CL736" s="1" t="s">
        <v>209</v>
      </c>
      <c r="CM736" s="1" t="s">
        <v>210</v>
      </c>
      <c r="CO736" s="1" t="s">
        <v>212</v>
      </c>
      <c r="CP736" s="1" t="s">
        <v>267</v>
      </c>
      <c r="CQ736" s="1" t="s">
        <v>210</v>
      </c>
      <c r="CS736" s="1" t="s">
        <v>1567</v>
      </c>
      <c r="CT736" s="1" t="s">
        <v>206</v>
      </c>
      <c r="CU736" s="1" t="s">
        <v>301</v>
      </c>
      <c r="CW736" s="1" t="s">
        <v>262</v>
      </c>
      <c r="CX736" s="1" t="s">
        <v>267</v>
      </c>
      <c r="CY736" s="1" t="s">
        <v>210</v>
      </c>
      <c r="DA736" s="1" t="s">
        <v>200</v>
      </c>
      <c r="DC736" s="1" t="s">
        <v>517</v>
      </c>
      <c r="DD736" s="1" t="s">
        <v>518</v>
      </c>
      <c r="DE736" s="1" t="s">
        <v>273</v>
      </c>
      <c r="DF736" s="1" t="s">
        <v>219</v>
      </c>
      <c r="DH736" s="1" t="s">
        <v>220</v>
      </c>
      <c r="DI736" s="1" t="s">
        <v>3203</v>
      </c>
      <c r="DJ736" s="1" t="s">
        <v>222</v>
      </c>
      <c r="DL736" s="1" t="s">
        <v>1161</v>
      </c>
      <c r="DM736" s="1" t="s">
        <v>229</v>
      </c>
      <c r="DO736" s="1" t="s">
        <v>761</v>
      </c>
      <c r="DQ736" s="1" t="s">
        <v>228</v>
      </c>
      <c r="DR736" s="1" t="s">
        <v>229</v>
      </c>
      <c r="DV736" s="1" t="s">
        <v>232</v>
      </c>
      <c r="DW736" s="1" t="s">
        <v>891</v>
      </c>
      <c r="DX736" s="1" t="s">
        <v>234</v>
      </c>
      <c r="EA736" s="1" t="s">
        <v>283</v>
      </c>
      <c r="EC736" s="1" t="s">
        <v>284</v>
      </c>
      <c r="EM736" s="1" t="s">
        <v>238</v>
      </c>
      <c r="EQ736" s="1" t="s">
        <v>238</v>
      </c>
      <c r="EU736" s="1" t="s">
        <v>238</v>
      </c>
      <c r="EY736" s="1" t="s">
        <v>238</v>
      </c>
      <c r="FC736" s="1" t="s">
        <v>238</v>
      </c>
      <c r="FF736" s="1" t="s">
        <v>239</v>
      </c>
      <c r="FG736" s="1" t="s">
        <v>192</v>
      </c>
      <c r="FH736" s="1" t="s">
        <v>200</v>
      </c>
      <c r="FJ736" s="1" t="s">
        <v>524</v>
      </c>
      <c r="FK736" s="1" t="s">
        <v>229</v>
      </c>
      <c r="FL736" s="1" t="s">
        <v>8841</v>
      </c>
      <c r="FM736" s="1">
        <v>22564.0</v>
      </c>
      <c r="FN736" s="1" t="s">
        <v>8842</v>
      </c>
      <c r="FO736" s="1" t="s">
        <v>8843</v>
      </c>
      <c r="FP736" s="1">
        <v>223121.0</v>
      </c>
      <c r="FQ736" s="1" t="s">
        <v>8844</v>
      </c>
      <c r="FR736" s="1">
        <v>259498.0</v>
      </c>
      <c r="FU736" s="1" t="s">
        <v>3993</v>
      </c>
      <c r="FV736" s="1" t="s">
        <v>192</v>
      </c>
      <c r="FW736" s="1" t="s">
        <v>290</v>
      </c>
      <c r="FZ736" s="1" t="s">
        <v>229</v>
      </c>
      <c r="GA736" s="1" t="s">
        <v>291</v>
      </c>
      <c r="GB736" s="2">
        <v>42116.0</v>
      </c>
      <c r="GC736" s="1" t="s">
        <v>8845</v>
      </c>
    </row>
    <row r="737">
      <c r="A737" s="1">
        <v>534500.0</v>
      </c>
      <c r="B737" s="1" t="s">
        <v>185</v>
      </c>
      <c r="C737" s="1" t="str">
        <f>"08805088"</f>
        <v>08805088</v>
      </c>
      <c r="D737" s="1" t="s">
        <v>186</v>
      </c>
      <c r="F737" s="1" t="str">
        <f>"134"</f>
        <v>134</v>
      </c>
      <c r="G737" s="2">
        <v>41995.0</v>
      </c>
      <c r="H737" s="1">
        <v>549000.0</v>
      </c>
      <c r="I737" s="1">
        <v>137.0</v>
      </c>
      <c r="J737" s="1">
        <v>549000.0</v>
      </c>
      <c r="K737" s="2">
        <v>42039.0</v>
      </c>
      <c r="L737" s="1">
        <v>45.0</v>
      </c>
      <c r="M737" s="2">
        <v>42039.0</v>
      </c>
      <c r="N737" s="1" t="s">
        <v>187</v>
      </c>
      <c r="O737" s="2">
        <v>42093.0</v>
      </c>
      <c r="P737" s="1">
        <v>549.0</v>
      </c>
      <c r="Q737" s="1">
        <v>49.0</v>
      </c>
      <c r="S737" s="1">
        <v>1559.0</v>
      </c>
      <c r="T737" s="1" t="s">
        <v>8846</v>
      </c>
      <c r="U737" s="1" t="s">
        <v>1015</v>
      </c>
      <c r="V737" s="1" t="s">
        <v>421</v>
      </c>
      <c r="W737" s="1">
        <v>60134.0</v>
      </c>
      <c r="Y737" s="1" t="s">
        <v>8847</v>
      </c>
      <c r="Z737" s="1">
        <v>1990.0</v>
      </c>
      <c r="AA737" s="1" t="s">
        <v>200</v>
      </c>
      <c r="AB737" s="1" t="s">
        <v>193</v>
      </c>
      <c r="AC737" s="1" t="s">
        <v>3521</v>
      </c>
      <c r="AD737" s="1" t="s">
        <v>424</v>
      </c>
      <c r="AE737" s="1" t="s">
        <v>325</v>
      </c>
      <c r="AF737" s="1" t="s">
        <v>424</v>
      </c>
      <c r="AG737" s="1" t="s">
        <v>752</v>
      </c>
      <c r="AH737" s="1" t="s">
        <v>8848</v>
      </c>
      <c r="AI737" s="1">
        <v>0.28</v>
      </c>
      <c r="AK737" s="1">
        <v>12.0</v>
      </c>
      <c r="AL737" s="1">
        <v>4.0</v>
      </c>
      <c r="AM737" s="1">
        <v>3.0</v>
      </c>
      <c r="AN737" s="1">
        <v>1.0</v>
      </c>
      <c r="AO737" s="1" t="s">
        <v>198</v>
      </c>
      <c r="AP737" s="1">
        <v>1.0</v>
      </c>
      <c r="AQ737" s="1" t="s">
        <v>198</v>
      </c>
      <c r="AR737" s="1" t="s">
        <v>192</v>
      </c>
      <c r="AS737" s="1" t="s">
        <v>199</v>
      </c>
      <c r="AT737" s="1">
        <v>3.0</v>
      </c>
      <c r="AV737" s="1" t="s">
        <v>200</v>
      </c>
      <c r="AW737" s="1">
        <v>15266.0</v>
      </c>
      <c r="AX737" s="1">
        <v>2013.0</v>
      </c>
      <c r="AY737" s="1" t="s">
        <v>387</v>
      </c>
      <c r="AZ737" s="1" t="s">
        <v>200</v>
      </c>
      <c r="BA737" s="1" t="str">
        <f>"1209404019"</f>
        <v>1209404019</v>
      </c>
      <c r="BB737" s="1" t="s">
        <v>200</v>
      </c>
      <c r="BC737" s="1">
        <v>3436.0</v>
      </c>
      <c r="BD737" s="1">
        <v>534500.0</v>
      </c>
      <c r="BE737" s="2">
        <v>41995.0</v>
      </c>
      <c r="BF737" s="2" t="s">
        <v>8849</v>
      </c>
      <c r="BG737" s="1" t="s">
        <v>3524</v>
      </c>
      <c r="BH737" s="1">
        <v>0.0</v>
      </c>
      <c r="BI737" s="1" t="s">
        <v>429</v>
      </c>
      <c r="BJ737" s="1" t="s">
        <v>430</v>
      </c>
      <c r="BK737" s="1" t="s">
        <v>204</v>
      </c>
      <c r="BL737" s="1" t="str">
        <f t="shared" ref="BL737:BM737" si="489">"0"</f>
        <v>0</v>
      </c>
      <c r="BM737" s="1" t="str">
        <f t="shared" si="489"/>
        <v>0</v>
      </c>
      <c r="BN737" s="1">
        <v>36.0</v>
      </c>
      <c r="BO737" s="1">
        <v>0.0</v>
      </c>
      <c r="BQ737" s="1">
        <v>304.0</v>
      </c>
      <c r="BR737" s="1">
        <v>304.0</v>
      </c>
      <c r="BS737" s="1">
        <v>304.0</v>
      </c>
      <c r="BU737" s="1" t="s">
        <v>662</v>
      </c>
      <c r="BV737" s="1" t="s">
        <v>206</v>
      </c>
      <c r="BW737" s="1" t="s">
        <v>210</v>
      </c>
      <c r="BY737" s="1" t="s">
        <v>1518</v>
      </c>
      <c r="BZ737" s="1" t="s">
        <v>209</v>
      </c>
      <c r="CA737" s="1" t="s">
        <v>210</v>
      </c>
      <c r="CC737" s="1" t="s">
        <v>830</v>
      </c>
      <c r="CD737" s="1" t="s">
        <v>206</v>
      </c>
      <c r="CE737" s="1" t="s">
        <v>207</v>
      </c>
      <c r="CG737" s="1" t="s">
        <v>830</v>
      </c>
      <c r="CH737" s="1" t="s">
        <v>209</v>
      </c>
      <c r="CI737" s="1" t="s">
        <v>210</v>
      </c>
      <c r="CK737" s="1" t="s">
        <v>300</v>
      </c>
      <c r="CL737" s="1" t="s">
        <v>209</v>
      </c>
      <c r="CM737" s="1" t="s">
        <v>210</v>
      </c>
      <c r="CO737" s="1" t="s">
        <v>663</v>
      </c>
      <c r="CP737" s="1" t="s">
        <v>209</v>
      </c>
      <c r="CQ737" s="1" t="s">
        <v>210</v>
      </c>
      <c r="CS737" s="1" t="s">
        <v>1994</v>
      </c>
      <c r="CT737" s="1" t="s">
        <v>206</v>
      </c>
      <c r="CU737" s="1" t="s">
        <v>207</v>
      </c>
      <c r="CW737" s="1" t="s">
        <v>2274</v>
      </c>
      <c r="CX737" s="1" t="s">
        <v>206</v>
      </c>
      <c r="CY737" s="1" t="s">
        <v>207</v>
      </c>
      <c r="DA737" s="1" t="s">
        <v>200</v>
      </c>
      <c r="DC737" s="1" t="s">
        <v>435</v>
      </c>
      <c r="DD737" s="1" t="s">
        <v>1838</v>
      </c>
      <c r="DE737" s="1" t="s">
        <v>1810</v>
      </c>
      <c r="DF737" s="1" t="s">
        <v>219</v>
      </c>
      <c r="DG737" s="1" t="s">
        <v>1317</v>
      </c>
      <c r="DH737" s="1" t="s">
        <v>220</v>
      </c>
      <c r="DI737" s="1" t="s">
        <v>3094</v>
      </c>
      <c r="DJ737" s="1" t="s">
        <v>222</v>
      </c>
      <c r="DK737" s="1" t="s">
        <v>198</v>
      </c>
      <c r="DL737" s="1" t="s">
        <v>224</v>
      </c>
      <c r="DM737" s="1" t="s">
        <v>929</v>
      </c>
      <c r="DN737" s="1" t="s">
        <v>548</v>
      </c>
      <c r="DO737" s="1" t="s">
        <v>8850</v>
      </c>
      <c r="DP737" s="1" t="s">
        <v>340</v>
      </c>
      <c r="DQ737" s="1" t="s">
        <v>441</v>
      </c>
      <c r="DR737" s="1" t="s">
        <v>229</v>
      </c>
      <c r="DS737" s="1" t="s">
        <v>230</v>
      </c>
      <c r="DU737" s="1" t="s">
        <v>8851</v>
      </c>
      <c r="DV737" s="1" t="s">
        <v>8852</v>
      </c>
      <c r="DW737" s="1" t="s">
        <v>8853</v>
      </c>
      <c r="DX737" s="1" t="s">
        <v>234</v>
      </c>
      <c r="DY737" s="1" t="s">
        <v>3125</v>
      </c>
      <c r="DZ737" s="1" t="s">
        <v>1405</v>
      </c>
      <c r="EA737" s="1" t="s">
        <v>344</v>
      </c>
      <c r="EB737" s="1" t="s">
        <v>2915</v>
      </c>
      <c r="EC737" s="1" t="s">
        <v>237</v>
      </c>
      <c r="ED737" s="1" t="s">
        <v>555</v>
      </c>
      <c r="EE737" s="1" t="s">
        <v>493</v>
      </c>
      <c r="EG737" s="1" t="s">
        <v>598</v>
      </c>
      <c r="EH737" s="1" t="s">
        <v>450</v>
      </c>
      <c r="EI737" s="1" t="s">
        <v>451</v>
      </c>
      <c r="EJ737" s="1" t="s">
        <v>1121</v>
      </c>
      <c r="EL737" s="1" t="s">
        <v>2459</v>
      </c>
      <c r="EM737" s="1" t="s">
        <v>42</v>
      </c>
      <c r="EN737" s="1" t="s">
        <v>210</v>
      </c>
      <c r="EP737" s="1" t="s">
        <v>8854</v>
      </c>
      <c r="EQ737" s="1" t="s">
        <v>42</v>
      </c>
      <c r="ER737" s="1" t="s">
        <v>210</v>
      </c>
      <c r="ET737" s="1" t="s">
        <v>758</v>
      </c>
      <c r="EU737" s="1" t="s">
        <v>42</v>
      </c>
      <c r="EV737" s="1" t="s">
        <v>210</v>
      </c>
      <c r="EX737" s="1" t="s">
        <v>2425</v>
      </c>
      <c r="EY737" s="1" t="s">
        <v>209</v>
      </c>
      <c r="EZ737" s="1" t="s">
        <v>210</v>
      </c>
      <c r="FC737" s="1" t="s">
        <v>238</v>
      </c>
      <c r="FF737" s="1" t="s">
        <v>239</v>
      </c>
      <c r="FG737" s="1" t="s">
        <v>192</v>
      </c>
      <c r="FH737" s="1" t="s">
        <v>192</v>
      </c>
      <c r="FJ737" s="1" t="s">
        <v>8855</v>
      </c>
      <c r="FK737" s="1" t="s">
        <v>557</v>
      </c>
      <c r="FL737" s="1" t="s">
        <v>3527</v>
      </c>
      <c r="FM737" s="1">
        <v>464.0</v>
      </c>
      <c r="FN737" s="1" t="s">
        <v>3528</v>
      </c>
      <c r="FO737" s="1" t="s">
        <v>3529</v>
      </c>
      <c r="FP737" s="1">
        <v>1333.0</v>
      </c>
      <c r="FQ737" s="1" t="s">
        <v>3530</v>
      </c>
      <c r="FR737" s="1">
        <v>624.0</v>
      </c>
      <c r="FS737" s="1" t="s">
        <v>3531</v>
      </c>
      <c r="FU737" s="1" t="s">
        <v>8856</v>
      </c>
      <c r="FV737" s="1" t="s">
        <v>200</v>
      </c>
      <c r="FW737" s="1" t="s">
        <v>567</v>
      </c>
      <c r="FZ737" s="1" t="s">
        <v>504</v>
      </c>
      <c r="GA737" s="1" t="s">
        <v>291</v>
      </c>
      <c r="GB737" s="2">
        <v>42094.0</v>
      </c>
      <c r="GC737" s="1" t="s">
        <v>8857</v>
      </c>
    </row>
    <row r="738">
      <c r="A738" s="1">
        <v>27553.0</v>
      </c>
      <c r="B738" s="1" t="s">
        <v>185</v>
      </c>
      <c r="C738" s="1" t="str">
        <f>"08806211"</f>
        <v>08806211</v>
      </c>
      <c r="D738" s="1" t="s">
        <v>186</v>
      </c>
      <c r="F738" s="1" t="str">
        <f>"8069"</f>
        <v>8069</v>
      </c>
      <c r="G738" s="2">
        <v>41999.0</v>
      </c>
      <c r="H738" s="1">
        <v>41000.0</v>
      </c>
      <c r="I738" s="1">
        <v>62.0</v>
      </c>
      <c r="J738" s="1">
        <v>36900.0</v>
      </c>
      <c r="K738" s="2">
        <v>42060.0</v>
      </c>
      <c r="L738" s="1">
        <v>62.0</v>
      </c>
      <c r="M738" s="2">
        <v>42060.0</v>
      </c>
      <c r="N738" s="1" t="s">
        <v>249</v>
      </c>
      <c r="O738" s="2">
        <v>42104.0</v>
      </c>
      <c r="P738" s="1">
        <v>117639.0</v>
      </c>
      <c r="Q738" s="1">
        <v>13972.0</v>
      </c>
      <c r="S738" s="1">
        <v>7734.0</v>
      </c>
      <c r="T738" s="1" t="s">
        <v>8858</v>
      </c>
      <c r="U738" s="1" t="s">
        <v>189</v>
      </c>
      <c r="V738" s="1" t="s">
        <v>190</v>
      </c>
      <c r="W738" s="1">
        <v>60619.0</v>
      </c>
      <c r="Y738" s="1" t="s">
        <v>8859</v>
      </c>
      <c r="Z738" s="1">
        <v>1921.0</v>
      </c>
      <c r="AA738" s="1" t="s">
        <v>192</v>
      </c>
      <c r="AB738" s="1" t="s">
        <v>193</v>
      </c>
      <c r="AD738" s="1" t="s">
        <v>194</v>
      </c>
      <c r="AE738" s="1" t="s">
        <v>195</v>
      </c>
      <c r="AF738" s="1" t="s">
        <v>659</v>
      </c>
      <c r="AH738" s="1" t="s">
        <v>741</v>
      </c>
      <c r="AI738" s="1">
        <v>0.0717</v>
      </c>
      <c r="AK738" s="1">
        <v>8.0</v>
      </c>
      <c r="AL738" s="1">
        <v>4.0</v>
      </c>
      <c r="AM738" s="1">
        <v>1.0</v>
      </c>
      <c r="AN738" s="1">
        <v>0.0</v>
      </c>
      <c r="AO738" s="1" t="s">
        <v>229</v>
      </c>
      <c r="AQ738" s="1" t="s">
        <v>198</v>
      </c>
      <c r="AR738" s="1" t="s">
        <v>200</v>
      </c>
      <c r="AS738" s="1" t="s">
        <v>229</v>
      </c>
      <c r="AV738" s="1" t="s">
        <v>200</v>
      </c>
      <c r="AW738" s="1">
        <v>845.74</v>
      </c>
      <c r="AX738" s="1">
        <v>2012.0</v>
      </c>
      <c r="AZ738" s="1" t="s">
        <v>545</v>
      </c>
      <c r="BA738" s="1" t="str">
        <f>"20263120330000"</f>
        <v>20263120330000</v>
      </c>
      <c r="BC738" s="1">
        <v>856.0</v>
      </c>
      <c r="BD738" s="1">
        <v>27553.0</v>
      </c>
      <c r="BE738" s="2">
        <v>41999.0</v>
      </c>
      <c r="BF738" s="2" t="s">
        <v>8860</v>
      </c>
      <c r="BH738" s="1">
        <v>0.0</v>
      </c>
      <c r="BK738" s="1" t="s">
        <v>204</v>
      </c>
      <c r="BL738" s="1" t="str">
        <f t="shared" ref="BL738:BL740" si="490">"0"</f>
        <v>0</v>
      </c>
      <c r="BM738" s="1" t="str">
        <f>"700"</f>
        <v>700</v>
      </c>
      <c r="BN738" s="1">
        <v>0.0</v>
      </c>
      <c r="BO738" s="1">
        <v>7734.0</v>
      </c>
      <c r="BQ738" s="1">
        <v>299.0</v>
      </c>
      <c r="BR738" s="1">
        <v>299.0</v>
      </c>
      <c r="BS738" s="1">
        <v>299.0</v>
      </c>
      <c r="BU738" s="1" t="s">
        <v>1426</v>
      </c>
      <c r="BV738" s="1" t="s">
        <v>206</v>
      </c>
      <c r="BW738" s="1" t="s">
        <v>207</v>
      </c>
      <c r="BY738" s="1" t="s">
        <v>211</v>
      </c>
      <c r="BZ738" s="1" t="s">
        <v>206</v>
      </c>
      <c r="CA738" s="1" t="s">
        <v>210</v>
      </c>
      <c r="CC738" s="1" t="s">
        <v>699</v>
      </c>
      <c r="CD738" s="1" t="s">
        <v>206</v>
      </c>
      <c r="CE738" s="1" t="s">
        <v>207</v>
      </c>
      <c r="CG738" s="1" t="s">
        <v>700</v>
      </c>
      <c r="CH738" s="1" t="s">
        <v>209</v>
      </c>
      <c r="CI738" s="1" t="s">
        <v>268</v>
      </c>
      <c r="CK738" s="1" t="s">
        <v>495</v>
      </c>
      <c r="CL738" s="1" t="s">
        <v>206</v>
      </c>
      <c r="CM738" s="1" t="s">
        <v>210</v>
      </c>
      <c r="CO738" s="1" t="s">
        <v>495</v>
      </c>
      <c r="CP738" s="1" t="s">
        <v>206</v>
      </c>
      <c r="CQ738" s="1" t="s">
        <v>210</v>
      </c>
      <c r="CS738" s="1" t="s">
        <v>269</v>
      </c>
      <c r="CT738" s="1" t="s">
        <v>206</v>
      </c>
      <c r="CU738" s="1" t="s">
        <v>268</v>
      </c>
      <c r="CW738" s="1" t="s">
        <v>700</v>
      </c>
      <c r="CX738" s="1" t="s">
        <v>209</v>
      </c>
      <c r="CY738" s="1" t="s">
        <v>617</v>
      </c>
      <c r="DA738" s="1" t="s">
        <v>200</v>
      </c>
      <c r="DC738" s="1" t="s">
        <v>216</v>
      </c>
      <c r="DE738" s="1" t="s">
        <v>229</v>
      </c>
      <c r="DF738" s="1" t="s">
        <v>219</v>
      </c>
      <c r="DH738" s="1" t="s">
        <v>220</v>
      </c>
      <c r="DJ738" s="1" t="s">
        <v>222</v>
      </c>
      <c r="DL738" s="1" t="s">
        <v>223</v>
      </c>
      <c r="DM738" s="1" t="s">
        <v>229</v>
      </c>
      <c r="DQ738" s="1" t="s">
        <v>228</v>
      </c>
      <c r="DR738" s="1" t="s">
        <v>229</v>
      </c>
      <c r="DV738" s="1" t="s">
        <v>232</v>
      </c>
      <c r="DW738" s="1" t="s">
        <v>279</v>
      </c>
      <c r="DX738" s="1" t="s">
        <v>8861</v>
      </c>
      <c r="EC738" s="1" t="s">
        <v>685</v>
      </c>
      <c r="EM738" s="1" t="s">
        <v>238</v>
      </c>
      <c r="EQ738" s="1" t="s">
        <v>238</v>
      </c>
      <c r="EU738" s="1" t="s">
        <v>238</v>
      </c>
      <c r="EY738" s="1" t="s">
        <v>238</v>
      </c>
      <c r="FC738" s="1" t="s">
        <v>238</v>
      </c>
      <c r="FF738" s="1" t="s">
        <v>239</v>
      </c>
      <c r="FG738" s="1" t="s">
        <v>192</v>
      </c>
      <c r="FH738" s="1" t="s">
        <v>192</v>
      </c>
      <c r="FJ738" s="1" t="s">
        <v>2658</v>
      </c>
      <c r="FK738" s="1" t="s">
        <v>229</v>
      </c>
      <c r="FL738" s="1" t="s">
        <v>2659</v>
      </c>
      <c r="FM738" s="1">
        <v>25562.0</v>
      </c>
      <c r="FN738" s="1" t="s">
        <v>2660</v>
      </c>
      <c r="FO738" s="1" t="s">
        <v>2661</v>
      </c>
      <c r="FP738" s="1">
        <v>215155.0</v>
      </c>
      <c r="FQ738" s="1" t="s">
        <v>2660</v>
      </c>
      <c r="FU738" s="1" t="s">
        <v>8862</v>
      </c>
      <c r="FV738" s="1" t="s">
        <v>200</v>
      </c>
      <c r="FW738" s="1" t="s">
        <v>8863</v>
      </c>
      <c r="FX738" s="1" t="s">
        <v>655</v>
      </c>
      <c r="FZ738" s="1" t="s">
        <v>229</v>
      </c>
      <c r="GA738" s="1" t="s">
        <v>291</v>
      </c>
      <c r="GB738" s="2">
        <v>42104.0</v>
      </c>
      <c r="GC738" s="1" t="s">
        <v>8864</v>
      </c>
    </row>
    <row r="739">
      <c r="A739" s="1">
        <v>288000.0</v>
      </c>
      <c r="B739" s="1" t="s">
        <v>185</v>
      </c>
      <c r="C739" s="1" t="str">
        <f>"08812162"</f>
        <v>08812162</v>
      </c>
      <c r="D739" s="1" t="s">
        <v>186</v>
      </c>
      <c r="F739" s="1" t="str">
        <f>"510"</f>
        <v>510</v>
      </c>
      <c r="G739" s="2">
        <v>42012.0</v>
      </c>
      <c r="H739" s="1">
        <v>310000.0</v>
      </c>
      <c r="I739" s="1">
        <v>207.0</v>
      </c>
      <c r="J739" s="1">
        <v>294900.0</v>
      </c>
      <c r="K739" s="2">
        <v>42087.0</v>
      </c>
      <c r="L739" s="1">
        <v>76.0</v>
      </c>
      <c r="M739" s="2">
        <v>42087.0</v>
      </c>
      <c r="N739" s="1" t="s">
        <v>187</v>
      </c>
      <c r="O739" s="2">
        <v>42123.0</v>
      </c>
      <c r="P739" s="1">
        <v>240642.0</v>
      </c>
      <c r="Q739" s="1">
        <v>25088.0</v>
      </c>
      <c r="S739" s="1">
        <v>353.0</v>
      </c>
      <c r="T739" s="1" t="s">
        <v>8865</v>
      </c>
      <c r="U739" s="1" t="s">
        <v>1174</v>
      </c>
      <c r="V739" s="1" t="s">
        <v>2700</v>
      </c>
      <c r="W739" s="1">
        <v>60510.0</v>
      </c>
      <c r="X739" s="1">
        <v>2812.0</v>
      </c>
      <c r="Y739" s="1" t="s">
        <v>8866</v>
      </c>
      <c r="Z739" s="1">
        <v>1964.0</v>
      </c>
      <c r="AA739" s="1" t="s">
        <v>192</v>
      </c>
      <c r="AB739" s="1" t="s">
        <v>193</v>
      </c>
      <c r="AC739" s="1" t="s">
        <v>8867</v>
      </c>
      <c r="AD739" s="1" t="s">
        <v>2702</v>
      </c>
      <c r="AE739" s="1" t="s">
        <v>325</v>
      </c>
      <c r="AF739" s="1" t="s">
        <v>2702</v>
      </c>
      <c r="AH739" s="1" t="s">
        <v>8868</v>
      </c>
      <c r="AK739" s="1">
        <v>9.0</v>
      </c>
      <c r="AL739" s="1">
        <v>4.0</v>
      </c>
      <c r="AM739" s="1">
        <v>2.0</v>
      </c>
      <c r="AN739" s="1">
        <v>1.0</v>
      </c>
      <c r="AO739" s="1" t="s">
        <v>198</v>
      </c>
      <c r="AP739" s="1">
        <v>1.0</v>
      </c>
      <c r="AQ739" s="1" t="s">
        <v>198</v>
      </c>
      <c r="AR739" s="1" t="s">
        <v>200</v>
      </c>
      <c r="AS739" s="1" t="s">
        <v>199</v>
      </c>
      <c r="AT739" s="1">
        <v>2.0</v>
      </c>
      <c r="AV739" s="1" t="s">
        <v>200</v>
      </c>
      <c r="AW739" s="1">
        <v>8274.9</v>
      </c>
      <c r="AX739" s="1">
        <v>2013.0</v>
      </c>
      <c r="AY739" s="1" t="s">
        <v>229</v>
      </c>
      <c r="AZ739" s="1" t="s">
        <v>200</v>
      </c>
      <c r="BA739" s="1" t="str">
        <f>"1223277012"</f>
        <v>1223277012</v>
      </c>
      <c r="BB739" s="1" t="s">
        <v>200</v>
      </c>
      <c r="BC739" s="1">
        <v>2564.0</v>
      </c>
      <c r="BD739" s="1">
        <v>288000.0</v>
      </c>
      <c r="BE739" s="2">
        <v>42012.0</v>
      </c>
      <c r="BF739" s="2" t="s">
        <v>8869</v>
      </c>
      <c r="BG739" s="1" t="s">
        <v>4607</v>
      </c>
      <c r="BH739" s="1">
        <v>0.0</v>
      </c>
      <c r="BI739" s="1" t="s">
        <v>3090</v>
      </c>
      <c r="BJ739" s="1" t="s">
        <v>3091</v>
      </c>
      <c r="BK739" s="1" t="s">
        <v>204</v>
      </c>
      <c r="BL739" s="1" t="str">
        <f t="shared" si="490"/>
        <v>0</v>
      </c>
      <c r="BM739" s="1" t="str">
        <f t="shared" ref="BM739:BM741" si="491">"0"</f>
        <v>0</v>
      </c>
      <c r="BN739" s="1">
        <v>34.0</v>
      </c>
      <c r="BO739" s="1">
        <v>1.0</v>
      </c>
      <c r="BQ739" s="1">
        <v>101.0</v>
      </c>
      <c r="BR739" s="1">
        <v>101.0</v>
      </c>
      <c r="BS739" s="1">
        <v>101.0</v>
      </c>
      <c r="BU739" s="1" t="s">
        <v>434</v>
      </c>
      <c r="BV739" s="1" t="s">
        <v>206</v>
      </c>
      <c r="BW739" s="1" t="s">
        <v>210</v>
      </c>
      <c r="BX739" s="1" t="s">
        <v>1549</v>
      </c>
      <c r="BY739" s="1" t="s">
        <v>213</v>
      </c>
      <c r="BZ739" s="1" t="s">
        <v>209</v>
      </c>
      <c r="CA739" s="1" t="s">
        <v>207</v>
      </c>
      <c r="CB739" s="1" t="s">
        <v>1118</v>
      </c>
      <c r="CC739" s="1" t="s">
        <v>331</v>
      </c>
      <c r="CD739" s="1" t="s">
        <v>206</v>
      </c>
      <c r="CE739" s="1" t="s">
        <v>210</v>
      </c>
      <c r="CF739" s="1" t="s">
        <v>1549</v>
      </c>
      <c r="CG739" s="1" t="s">
        <v>2800</v>
      </c>
      <c r="CH739" s="1" t="s">
        <v>209</v>
      </c>
      <c r="CI739" s="1" t="s">
        <v>210</v>
      </c>
      <c r="CJ739" s="1" t="s">
        <v>1549</v>
      </c>
      <c r="CK739" s="1" t="s">
        <v>215</v>
      </c>
      <c r="CL739" s="1" t="s">
        <v>209</v>
      </c>
      <c r="CM739" s="1" t="s">
        <v>210</v>
      </c>
      <c r="CN739" s="1" t="s">
        <v>1549</v>
      </c>
      <c r="CO739" s="1" t="s">
        <v>433</v>
      </c>
      <c r="CP739" s="1" t="s">
        <v>209</v>
      </c>
      <c r="CQ739" s="1" t="s">
        <v>207</v>
      </c>
      <c r="CR739" s="1" t="s">
        <v>1549</v>
      </c>
      <c r="CS739" s="1" t="s">
        <v>213</v>
      </c>
      <c r="CT739" s="1" t="s">
        <v>206</v>
      </c>
      <c r="CU739" s="1" t="s">
        <v>301</v>
      </c>
      <c r="CV739" s="1" t="s">
        <v>431</v>
      </c>
      <c r="CW739" s="1" t="s">
        <v>260</v>
      </c>
      <c r="CX739" s="1" t="s">
        <v>206</v>
      </c>
      <c r="CY739" s="1" t="s">
        <v>207</v>
      </c>
      <c r="CZ739" s="1" t="s">
        <v>8870</v>
      </c>
      <c r="DA739" s="1" t="s">
        <v>200</v>
      </c>
      <c r="DC739" s="1" t="s">
        <v>271</v>
      </c>
      <c r="DD739" s="1" t="s">
        <v>518</v>
      </c>
      <c r="DE739" s="1" t="s">
        <v>273</v>
      </c>
      <c r="DF739" s="1" t="s">
        <v>905</v>
      </c>
      <c r="DH739" s="1" t="s">
        <v>220</v>
      </c>
      <c r="DI739" s="1" t="s">
        <v>221</v>
      </c>
      <c r="DJ739" s="1" t="s">
        <v>222</v>
      </c>
      <c r="DL739" s="1" t="s">
        <v>224</v>
      </c>
      <c r="DM739" s="1" t="s">
        <v>1268</v>
      </c>
      <c r="DN739" s="1" t="s">
        <v>339</v>
      </c>
      <c r="DP739" s="1" t="s">
        <v>340</v>
      </c>
      <c r="DQ739" s="1" t="s">
        <v>441</v>
      </c>
      <c r="DR739" s="1" t="s">
        <v>229</v>
      </c>
      <c r="DS739" s="1" t="s">
        <v>230</v>
      </c>
      <c r="DU739" s="1" t="s">
        <v>7494</v>
      </c>
      <c r="DV739" s="1" t="s">
        <v>450</v>
      </c>
      <c r="DW739" s="1" t="s">
        <v>8871</v>
      </c>
      <c r="DX739" s="1" t="s">
        <v>234</v>
      </c>
      <c r="DY739" s="1" t="s">
        <v>704</v>
      </c>
      <c r="DZ739" s="1" t="s">
        <v>491</v>
      </c>
      <c r="EA739" s="1" t="s">
        <v>447</v>
      </c>
      <c r="EB739" s="1" t="s">
        <v>492</v>
      </c>
      <c r="EC739" s="1" t="s">
        <v>237</v>
      </c>
      <c r="ED739" s="1" t="s">
        <v>407</v>
      </c>
      <c r="EG739" s="1" t="s">
        <v>450</v>
      </c>
      <c r="EL739" s="1" t="s">
        <v>8872</v>
      </c>
      <c r="EM739" s="1" t="s">
        <v>42</v>
      </c>
      <c r="EN739" s="1" t="s">
        <v>210</v>
      </c>
      <c r="EQ739" s="1" t="s">
        <v>238</v>
      </c>
      <c r="EU739" s="1" t="s">
        <v>238</v>
      </c>
      <c r="EY739" s="1" t="s">
        <v>238</v>
      </c>
      <c r="FC739" s="1" t="s">
        <v>238</v>
      </c>
      <c r="FF739" s="1" t="s">
        <v>239</v>
      </c>
      <c r="FG739" s="1" t="s">
        <v>192</v>
      </c>
      <c r="FH739" s="1" t="s">
        <v>192</v>
      </c>
      <c r="FJ739" s="1" t="s">
        <v>2262</v>
      </c>
      <c r="FK739" s="1" t="s">
        <v>229</v>
      </c>
      <c r="FL739" s="1" t="s">
        <v>456</v>
      </c>
      <c r="FM739" s="1">
        <v>3573.0</v>
      </c>
      <c r="FN739" s="1" t="s">
        <v>2428</v>
      </c>
      <c r="FO739" s="1" t="s">
        <v>8873</v>
      </c>
      <c r="FP739" s="1">
        <v>33999.0</v>
      </c>
      <c r="FQ739" s="1" t="s">
        <v>8874</v>
      </c>
      <c r="FU739" s="1" t="s">
        <v>8875</v>
      </c>
      <c r="FV739" s="1" t="s">
        <v>200</v>
      </c>
      <c r="FW739" s="1" t="s">
        <v>290</v>
      </c>
      <c r="FZ739" s="1" t="s">
        <v>229</v>
      </c>
      <c r="GA739" s="1" t="s">
        <v>291</v>
      </c>
      <c r="GB739" s="2">
        <v>42123.0</v>
      </c>
      <c r="GC739" s="1" t="s">
        <v>8876</v>
      </c>
    </row>
    <row r="740">
      <c r="A740" s="1">
        <v>320000.0</v>
      </c>
      <c r="B740" s="1" t="s">
        <v>185</v>
      </c>
      <c r="C740" s="1" t="str">
        <f>"08804812"</f>
        <v>08804812</v>
      </c>
      <c r="D740" s="1" t="s">
        <v>186</v>
      </c>
      <c r="F740" s="1" t="str">
        <f>"8074"</f>
        <v>8074</v>
      </c>
      <c r="G740" s="2">
        <v>41993.0</v>
      </c>
      <c r="H740" s="1">
        <v>319000.0</v>
      </c>
      <c r="I740" s="1">
        <v>230.0</v>
      </c>
      <c r="J740" s="1">
        <v>319000.0</v>
      </c>
      <c r="K740" s="2">
        <v>42016.0</v>
      </c>
      <c r="L740" s="1">
        <v>25.0</v>
      </c>
      <c r="M740" s="2">
        <v>42016.0</v>
      </c>
      <c r="N740" s="1" t="s">
        <v>187</v>
      </c>
      <c r="O740" s="2">
        <v>42087.0</v>
      </c>
      <c r="P740" s="1">
        <v>219012.0</v>
      </c>
      <c r="Q740" s="1">
        <v>25624.0</v>
      </c>
      <c r="R740" s="1">
        <v>5200.0</v>
      </c>
      <c r="S740" s="1">
        <v>10934.0</v>
      </c>
      <c r="T740" s="1" t="s">
        <v>8877</v>
      </c>
      <c r="U740" s="1" t="s">
        <v>189</v>
      </c>
      <c r="V740" s="1" t="s">
        <v>190</v>
      </c>
      <c r="W740" s="1">
        <v>60655.0</v>
      </c>
      <c r="Y740" s="1" t="s">
        <v>8878</v>
      </c>
      <c r="Z740" s="1">
        <v>1955.0</v>
      </c>
      <c r="AA740" s="1" t="s">
        <v>192</v>
      </c>
      <c r="AB740" s="1" t="s">
        <v>193</v>
      </c>
      <c r="AD740" s="1" t="s">
        <v>194</v>
      </c>
      <c r="AE740" s="1" t="s">
        <v>195</v>
      </c>
      <c r="AF740" s="1" t="s">
        <v>659</v>
      </c>
      <c r="AH740" s="1" t="s">
        <v>8879</v>
      </c>
      <c r="AI740" s="1">
        <v>0.3444</v>
      </c>
      <c r="AK740" s="1">
        <v>9.0</v>
      </c>
      <c r="AL740" s="1">
        <v>4.0</v>
      </c>
      <c r="AM740" s="1">
        <v>2.0</v>
      </c>
      <c r="AN740" s="1">
        <v>0.0</v>
      </c>
      <c r="AO740" s="1" t="s">
        <v>198</v>
      </c>
      <c r="AP740" s="1">
        <v>2.0</v>
      </c>
      <c r="AQ740" s="1" t="s">
        <v>1314</v>
      </c>
      <c r="AR740" s="1" t="s">
        <v>200</v>
      </c>
      <c r="AS740" s="1" t="s">
        <v>199</v>
      </c>
      <c r="AT740" s="1">
        <v>2.5</v>
      </c>
      <c r="AV740" s="1" t="s">
        <v>200</v>
      </c>
      <c r="AW740" s="1">
        <v>4577.0</v>
      </c>
      <c r="AX740" s="1">
        <v>2013.0</v>
      </c>
      <c r="AY740" s="1" t="s">
        <v>387</v>
      </c>
      <c r="AZ740" s="1" t="s">
        <v>200</v>
      </c>
      <c r="BA740" s="1" t="str">
        <f>"24144150640000"</f>
        <v>24144150640000</v>
      </c>
      <c r="BC740" s="1">
        <v>3000.0</v>
      </c>
      <c r="BD740" s="1">
        <v>320000.0</v>
      </c>
      <c r="BE740" s="2">
        <v>41992.0</v>
      </c>
      <c r="BF740" s="2" t="s">
        <v>8880</v>
      </c>
      <c r="BH740" s="1">
        <v>0.0</v>
      </c>
      <c r="BK740" s="1" t="s">
        <v>204</v>
      </c>
      <c r="BL740" s="1" t="str">
        <f t="shared" si="490"/>
        <v>0</v>
      </c>
      <c r="BM740" s="1" t="str">
        <f t="shared" si="491"/>
        <v>0</v>
      </c>
      <c r="BN740" s="1">
        <v>3200.0</v>
      </c>
      <c r="BO740" s="1">
        <v>10934.0</v>
      </c>
      <c r="BQ740" s="1">
        <v>299.0</v>
      </c>
      <c r="BR740" s="1">
        <v>299.0</v>
      </c>
      <c r="BS740" s="1">
        <v>299.0</v>
      </c>
      <c r="BU740" s="1" t="s">
        <v>4851</v>
      </c>
      <c r="BV740" s="1" t="s">
        <v>206</v>
      </c>
      <c r="BW740" s="1" t="s">
        <v>207</v>
      </c>
      <c r="BY740" s="1" t="s">
        <v>877</v>
      </c>
      <c r="BZ740" s="1" t="s">
        <v>209</v>
      </c>
      <c r="CA740" s="1" t="s">
        <v>210</v>
      </c>
      <c r="CD740" s="1" t="s">
        <v>204</v>
      </c>
      <c r="CG740" s="1" t="s">
        <v>393</v>
      </c>
      <c r="CH740" s="1" t="s">
        <v>209</v>
      </c>
      <c r="CI740" s="1" t="s">
        <v>1790</v>
      </c>
      <c r="CK740" s="1" t="s">
        <v>699</v>
      </c>
      <c r="CL740" s="1" t="s">
        <v>209</v>
      </c>
      <c r="CM740" s="1" t="s">
        <v>1790</v>
      </c>
      <c r="CO740" s="1" t="s">
        <v>699</v>
      </c>
      <c r="CP740" s="1" t="s">
        <v>209</v>
      </c>
      <c r="CQ740" s="1" t="s">
        <v>1790</v>
      </c>
      <c r="CS740" s="1" t="s">
        <v>1567</v>
      </c>
      <c r="CT740" s="1" t="s">
        <v>206</v>
      </c>
      <c r="CU740" s="1" t="s">
        <v>268</v>
      </c>
      <c r="CW740" s="1" t="s">
        <v>6315</v>
      </c>
      <c r="CX740" s="1" t="s">
        <v>206</v>
      </c>
      <c r="CY740" s="1" t="s">
        <v>207</v>
      </c>
      <c r="DA740" s="1" t="s">
        <v>200</v>
      </c>
      <c r="DC740" s="1" t="s">
        <v>271</v>
      </c>
      <c r="DD740" s="1" t="s">
        <v>759</v>
      </c>
      <c r="DE740" s="1" t="s">
        <v>1905</v>
      </c>
      <c r="DF740" s="1" t="s">
        <v>7364</v>
      </c>
      <c r="DG740" s="1" t="s">
        <v>337</v>
      </c>
      <c r="DH740" s="1" t="s">
        <v>365</v>
      </c>
      <c r="DI740" s="1" t="s">
        <v>8881</v>
      </c>
      <c r="DJ740" s="1" t="s">
        <v>222</v>
      </c>
      <c r="DL740" s="1" t="s">
        <v>858</v>
      </c>
      <c r="DM740" s="1" t="s">
        <v>229</v>
      </c>
      <c r="DN740" s="1" t="s">
        <v>8882</v>
      </c>
      <c r="DO740" s="1" t="s">
        <v>549</v>
      </c>
      <c r="DQ740" s="1" t="s">
        <v>441</v>
      </c>
      <c r="DR740" s="1" t="s">
        <v>229</v>
      </c>
      <c r="DS740" s="1" t="s">
        <v>230</v>
      </c>
      <c r="DV740" s="1" t="s">
        <v>8883</v>
      </c>
      <c r="DW740" s="1" t="s">
        <v>934</v>
      </c>
      <c r="DX740" s="1" t="s">
        <v>309</v>
      </c>
      <c r="DY740" s="1" t="s">
        <v>8884</v>
      </c>
      <c r="DZ740" s="1" t="s">
        <v>8885</v>
      </c>
      <c r="EA740" s="1" t="s">
        <v>554</v>
      </c>
      <c r="EB740" s="1" t="s">
        <v>8886</v>
      </c>
      <c r="EC740" s="1" t="s">
        <v>237</v>
      </c>
      <c r="EE740" s="1" t="s">
        <v>493</v>
      </c>
      <c r="EG740" s="1" t="s">
        <v>557</v>
      </c>
      <c r="EH740" s="1" t="s">
        <v>1729</v>
      </c>
      <c r="EI740" s="1" t="s">
        <v>310</v>
      </c>
      <c r="EL740" s="1" t="s">
        <v>1190</v>
      </c>
      <c r="EM740" s="1" t="s">
        <v>42</v>
      </c>
      <c r="EN740" s="1" t="s">
        <v>588</v>
      </c>
      <c r="EO740" s="1" t="s">
        <v>229</v>
      </c>
      <c r="EP740" s="1" t="s">
        <v>8887</v>
      </c>
      <c r="EQ740" s="1" t="s">
        <v>206</v>
      </c>
      <c r="ER740" s="1" t="s">
        <v>268</v>
      </c>
      <c r="ET740" s="1" t="s">
        <v>8888</v>
      </c>
      <c r="EU740" s="1" t="s">
        <v>206</v>
      </c>
      <c r="EY740" s="1" t="s">
        <v>238</v>
      </c>
      <c r="FC740" s="1" t="s">
        <v>238</v>
      </c>
      <c r="FF740" s="1" t="s">
        <v>239</v>
      </c>
      <c r="FG740" s="1" t="s">
        <v>192</v>
      </c>
      <c r="FH740" s="1" t="s">
        <v>192</v>
      </c>
      <c r="FJ740" s="1" t="s">
        <v>770</v>
      </c>
      <c r="FK740" s="1" t="s">
        <v>348</v>
      </c>
      <c r="FL740" s="1" t="s">
        <v>1358</v>
      </c>
      <c r="FM740" s="1">
        <v>60119.0</v>
      </c>
      <c r="FN740" s="1" t="s">
        <v>1408</v>
      </c>
      <c r="FO740" s="1" t="s">
        <v>8889</v>
      </c>
      <c r="FP740" s="1">
        <v>604208.0</v>
      </c>
      <c r="FQ740" s="1" t="s">
        <v>8890</v>
      </c>
      <c r="FU740" s="1" t="s">
        <v>1751</v>
      </c>
      <c r="FV740" s="1" t="s">
        <v>200</v>
      </c>
      <c r="FW740" s="1" t="s">
        <v>567</v>
      </c>
      <c r="FX740" s="1" t="s">
        <v>655</v>
      </c>
      <c r="FZ740" s="1" t="s">
        <v>229</v>
      </c>
      <c r="GA740" s="1" t="s">
        <v>291</v>
      </c>
      <c r="GB740" s="2">
        <v>42087.0</v>
      </c>
      <c r="GC740" s="1" t="s">
        <v>8891</v>
      </c>
    </row>
    <row r="741">
      <c r="A741" s="1">
        <v>245500.0</v>
      </c>
      <c r="B741" s="1" t="s">
        <v>185</v>
      </c>
      <c r="C741" s="1" t="str">
        <f>"08807046"</f>
        <v>08807046</v>
      </c>
      <c r="D741" s="1" t="s">
        <v>186</v>
      </c>
      <c r="F741" s="1" t="str">
        <f>"110"</f>
        <v>110</v>
      </c>
      <c r="G741" s="2">
        <v>42002.0</v>
      </c>
      <c r="H741" s="1">
        <v>254900.0</v>
      </c>
      <c r="I741" s="1">
        <v>59.0</v>
      </c>
      <c r="J741" s="1">
        <v>249900.0</v>
      </c>
      <c r="K741" s="2">
        <v>42060.0</v>
      </c>
      <c r="L741" s="1">
        <v>59.0</v>
      </c>
      <c r="M741" s="2">
        <v>42060.0</v>
      </c>
      <c r="N741" s="1" t="s">
        <v>187</v>
      </c>
      <c r="O741" s="2">
        <v>42115.0</v>
      </c>
      <c r="P741" s="1">
        <v>81720.0</v>
      </c>
      <c r="Q741" s="1">
        <v>8073.0</v>
      </c>
      <c r="R741" s="1">
        <v>1500.0</v>
      </c>
      <c r="S741" s="1">
        <v>2519.0</v>
      </c>
      <c r="T741" s="1" t="s">
        <v>8892</v>
      </c>
      <c r="U741" s="1" t="s">
        <v>420</v>
      </c>
      <c r="V741" s="1" t="s">
        <v>807</v>
      </c>
      <c r="W741" s="1">
        <v>60110.0</v>
      </c>
      <c r="Y741" s="1" t="s">
        <v>8893</v>
      </c>
      <c r="Z741" s="1">
        <v>1997.0</v>
      </c>
      <c r="AA741" s="1" t="s">
        <v>200</v>
      </c>
      <c r="AB741" s="1" t="s">
        <v>193</v>
      </c>
      <c r="AC741" s="1" t="s">
        <v>2956</v>
      </c>
      <c r="AD741" s="1" t="s">
        <v>809</v>
      </c>
      <c r="AE741" s="1" t="s">
        <v>325</v>
      </c>
      <c r="AF741" s="1" t="s">
        <v>810</v>
      </c>
      <c r="AG741" s="1" t="s">
        <v>1177</v>
      </c>
      <c r="AH741" s="1" t="s">
        <v>8894</v>
      </c>
      <c r="AI741" s="1">
        <v>0.15</v>
      </c>
      <c r="AK741" s="1">
        <v>9.0</v>
      </c>
      <c r="AL741" s="1">
        <v>4.0</v>
      </c>
      <c r="AM741" s="1">
        <v>3.0</v>
      </c>
      <c r="AN741" s="1">
        <v>1.0</v>
      </c>
      <c r="AO741" s="1" t="s">
        <v>198</v>
      </c>
      <c r="AP741" s="1">
        <v>1.0</v>
      </c>
      <c r="AQ741" s="1" t="s">
        <v>198</v>
      </c>
      <c r="AR741" s="1" t="s">
        <v>192</v>
      </c>
      <c r="AS741" s="1" t="s">
        <v>199</v>
      </c>
      <c r="AT741" s="1">
        <v>3.0</v>
      </c>
      <c r="AV741" s="1" t="s">
        <v>200</v>
      </c>
      <c r="AW741" s="1">
        <v>7011.0</v>
      </c>
      <c r="AX741" s="1">
        <v>2013.0</v>
      </c>
      <c r="AY741" s="1" t="s">
        <v>387</v>
      </c>
      <c r="AZ741" s="1" t="s">
        <v>200</v>
      </c>
      <c r="BA741" s="1" t="str">
        <f>"0318126018"</f>
        <v>0318126018</v>
      </c>
      <c r="BB741" s="1" t="s">
        <v>200</v>
      </c>
      <c r="BC741" s="1">
        <v>1970.0</v>
      </c>
      <c r="BD741" s="1">
        <v>245500.0</v>
      </c>
      <c r="BE741" s="2">
        <v>42002.0</v>
      </c>
      <c r="BF741" s="2" t="s">
        <v>8895</v>
      </c>
      <c r="BG741" s="1" t="s">
        <v>1092</v>
      </c>
      <c r="BH741" s="1">
        <v>65.0</v>
      </c>
      <c r="BI741" s="1" t="s">
        <v>1093</v>
      </c>
      <c r="BJ741" s="1" t="s">
        <v>1182</v>
      </c>
      <c r="BK741" s="1" t="s">
        <v>580</v>
      </c>
      <c r="BL741" s="1" t="str">
        <f>"18"</f>
        <v>18</v>
      </c>
      <c r="BM741" s="1" t="str">
        <f t="shared" si="491"/>
        <v>0</v>
      </c>
      <c r="BN741" s="1">
        <v>37.0</v>
      </c>
      <c r="BO741" s="1">
        <v>0.0</v>
      </c>
      <c r="BQ741" s="1">
        <v>300.0</v>
      </c>
      <c r="BR741" s="1">
        <v>300.0</v>
      </c>
      <c r="BS741" s="1">
        <v>300.0</v>
      </c>
      <c r="BU741" s="1" t="s">
        <v>331</v>
      </c>
      <c r="BV741" s="1" t="s">
        <v>206</v>
      </c>
      <c r="BW741" s="1" t="s">
        <v>301</v>
      </c>
      <c r="BX741" s="1" t="s">
        <v>239</v>
      </c>
      <c r="BY741" s="1" t="s">
        <v>433</v>
      </c>
      <c r="BZ741" s="1" t="s">
        <v>209</v>
      </c>
      <c r="CA741" s="1" t="s">
        <v>210</v>
      </c>
      <c r="CB741" s="1" t="s">
        <v>239</v>
      </c>
      <c r="CC741" s="1" t="s">
        <v>212</v>
      </c>
      <c r="CD741" s="1" t="s">
        <v>206</v>
      </c>
      <c r="CE741" s="1" t="s">
        <v>301</v>
      </c>
      <c r="CF741" s="1" t="s">
        <v>239</v>
      </c>
      <c r="CG741" s="1" t="s">
        <v>269</v>
      </c>
      <c r="CH741" s="1" t="s">
        <v>209</v>
      </c>
      <c r="CI741" s="1" t="s">
        <v>210</v>
      </c>
      <c r="CJ741" s="1" t="s">
        <v>239</v>
      </c>
      <c r="CK741" s="1" t="s">
        <v>269</v>
      </c>
      <c r="CL741" s="1" t="s">
        <v>209</v>
      </c>
      <c r="CM741" s="1" t="s">
        <v>210</v>
      </c>
      <c r="CN741" s="1" t="s">
        <v>239</v>
      </c>
      <c r="CO741" s="1" t="s">
        <v>495</v>
      </c>
      <c r="CP741" s="1" t="s">
        <v>209</v>
      </c>
      <c r="CQ741" s="1" t="s">
        <v>210</v>
      </c>
      <c r="CR741" s="1" t="s">
        <v>239</v>
      </c>
      <c r="CS741" s="1" t="s">
        <v>729</v>
      </c>
      <c r="CT741" s="1" t="s">
        <v>206</v>
      </c>
      <c r="CU741" s="1" t="s">
        <v>301</v>
      </c>
      <c r="CW741" s="1" t="s">
        <v>453</v>
      </c>
      <c r="CX741" s="1" t="s">
        <v>206</v>
      </c>
      <c r="CY741" s="1" t="s">
        <v>301</v>
      </c>
      <c r="CZ741" s="1" t="s">
        <v>239</v>
      </c>
      <c r="DA741" s="1" t="s">
        <v>200</v>
      </c>
      <c r="DC741" s="1" t="s">
        <v>678</v>
      </c>
      <c r="DD741" s="1" t="s">
        <v>518</v>
      </c>
      <c r="DE741" s="1" t="s">
        <v>273</v>
      </c>
      <c r="DF741" s="1" t="s">
        <v>219</v>
      </c>
      <c r="DG741" s="1" t="s">
        <v>2311</v>
      </c>
      <c r="DH741" s="1" t="s">
        <v>220</v>
      </c>
      <c r="DI741" s="1" t="s">
        <v>308</v>
      </c>
      <c r="DJ741" s="1" t="s">
        <v>222</v>
      </c>
      <c r="DK741" s="1" t="s">
        <v>223</v>
      </c>
      <c r="DL741" s="1" t="s">
        <v>224</v>
      </c>
      <c r="DM741" s="1" t="s">
        <v>229</v>
      </c>
      <c r="DO741" s="1" t="s">
        <v>2520</v>
      </c>
      <c r="DP741" s="1" t="s">
        <v>400</v>
      </c>
      <c r="DQ741" s="1" t="s">
        <v>228</v>
      </c>
      <c r="DR741" s="1" t="s">
        <v>588</v>
      </c>
      <c r="DS741" s="1" t="s">
        <v>591</v>
      </c>
      <c r="DU741" s="1" t="s">
        <v>5750</v>
      </c>
      <c r="DV741" s="1" t="s">
        <v>450</v>
      </c>
      <c r="DW741" s="1" t="s">
        <v>233</v>
      </c>
      <c r="DX741" s="1" t="s">
        <v>309</v>
      </c>
      <c r="DY741" s="1" t="s">
        <v>8896</v>
      </c>
      <c r="DZ741" s="1" t="s">
        <v>310</v>
      </c>
      <c r="EA741" s="1" t="s">
        <v>1027</v>
      </c>
      <c r="EB741" s="1" t="s">
        <v>937</v>
      </c>
      <c r="EC741" s="1" t="s">
        <v>237</v>
      </c>
      <c r="ED741" s="1" t="s">
        <v>407</v>
      </c>
      <c r="EE741" s="1" t="s">
        <v>493</v>
      </c>
      <c r="EG741" s="1" t="s">
        <v>450</v>
      </c>
      <c r="EL741" s="1" t="s">
        <v>8897</v>
      </c>
      <c r="EM741" s="1" t="s">
        <v>42</v>
      </c>
      <c r="EN741" s="1" t="s">
        <v>210</v>
      </c>
      <c r="EO741" s="1" t="s">
        <v>239</v>
      </c>
      <c r="EQ741" s="1" t="s">
        <v>238</v>
      </c>
      <c r="EU741" s="1" t="s">
        <v>238</v>
      </c>
      <c r="EY741" s="1" t="s">
        <v>238</v>
      </c>
      <c r="FC741" s="1" t="s">
        <v>238</v>
      </c>
      <c r="FF741" s="1" t="s">
        <v>239</v>
      </c>
      <c r="FG741" s="1" t="s">
        <v>192</v>
      </c>
      <c r="FH741" s="1" t="s">
        <v>192</v>
      </c>
      <c r="FJ741" s="1" t="s">
        <v>7102</v>
      </c>
      <c r="FK741" s="1" t="s">
        <v>601</v>
      </c>
      <c r="FL741" s="1" t="s">
        <v>8898</v>
      </c>
      <c r="FM741" s="1">
        <v>61075.0</v>
      </c>
      <c r="FN741" s="1" t="s">
        <v>8899</v>
      </c>
      <c r="FO741" s="1" t="s">
        <v>8900</v>
      </c>
      <c r="FP741" s="1">
        <v>601905.0</v>
      </c>
      <c r="FQ741" s="1" t="s">
        <v>8901</v>
      </c>
      <c r="FR741" s="1">
        <v>238123.0</v>
      </c>
      <c r="FS741" s="1" t="s">
        <v>8902</v>
      </c>
      <c r="FU741" s="1" t="s">
        <v>8903</v>
      </c>
      <c r="FV741" s="1" t="s">
        <v>200</v>
      </c>
      <c r="FW741" s="1" t="s">
        <v>1411</v>
      </c>
      <c r="FZ741" s="1" t="s">
        <v>229</v>
      </c>
      <c r="GA741" s="1" t="s">
        <v>247</v>
      </c>
      <c r="GB741" s="2">
        <v>42115.0</v>
      </c>
      <c r="GC741" s="1" t="s">
        <v>8904</v>
      </c>
    </row>
    <row r="742">
      <c r="A742" s="1">
        <v>169000.0</v>
      </c>
      <c r="B742" s="1" t="s">
        <v>185</v>
      </c>
      <c r="C742" s="1" t="str">
        <f>"08805340"</f>
        <v>08805340</v>
      </c>
      <c r="D742" s="1" t="s">
        <v>186</v>
      </c>
      <c r="F742" s="1" t="str">
        <f>"151"</f>
        <v>151</v>
      </c>
      <c r="G742" s="2">
        <v>41995.0</v>
      </c>
      <c r="H742" s="1">
        <v>182500.0</v>
      </c>
      <c r="I742" s="1">
        <v>45.0</v>
      </c>
      <c r="J742" s="1">
        <v>169900.0</v>
      </c>
      <c r="K742" s="2">
        <v>42039.0</v>
      </c>
      <c r="L742" s="1">
        <v>45.0</v>
      </c>
      <c r="M742" s="2">
        <v>42039.0</v>
      </c>
      <c r="N742" s="1" t="s">
        <v>356</v>
      </c>
      <c r="O742" s="2">
        <v>42094.0</v>
      </c>
      <c r="P742" s="1">
        <v>930149.0</v>
      </c>
      <c r="Q742" s="1">
        <v>93043.0</v>
      </c>
      <c r="R742" s="1">
        <v>5775.0</v>
      </c>
      <c r="S742" s="1">
        <v>639.0</v>
      </c>
      <c r="T742" s="1" t="s">
        <v>250</v>
      </c>
      <c r="U742" s="1" t="s">
        <v>189</v>
      </c>
      <c r="V742" s="1" t="s">
        <v>8905</v>
      </c>
      <c r="W742" s="1">
        <v>60151.0</v>
      </c>
      <c r="Y742" s="1" t="s">
        <v>8906</v>
      </c>
      <c r="Z742" s="1">
        <v>2006.0</v>
      </c>
      <c r="AA742" s="1" t="s">
        <v>200</v>
      </c>
      <c r="AB742" s="1" t="s">
        <v>467</v>
      </c>
      <c r="AC742" s="1" t="s">
        <v>8907</v>
      </c>
      <c r="AD742" s="1" t="s">
        <v>8908</v>
      </c>
      <c r="AE742" s="1" t="s">
        <v>325</v>
      </c>
      <c r="AF742" s="1" t="s">
        <v>8909</v>
      </c>
      <c r="AH742" s="1" t="s">
        <v>8910</v>
      </c>
      <c r="AI742" s="1">
        <v>0.23</v>
      </c>
      <c r="AK742" s="1">
        <v>7.0</v>
      </c>
      <c r="AL742" s="1">
        <v>4.0</v>
      </c>
      <c r="AM742" s="1">
        <v>2.0</v>
      </c>
      <c r="AN742" s="1">
        <v>1.0</v>
      </c>
      <c r="AO742" s="1" t="s">
        <v>198</v>
      </c>
      <c r="AP742" s="1">
        <v>0.0</v>
      </c>
      <c r="AQ742" s="1" t="s">
        <v>229</v>
      </c>
      <c r="AR742" s="1" t="s">
        <v>200</v>
      </c>
      <c r="AS742" s="1" t="s">
        <v>199</v>
      </c>
      <c r="AT742" s="1">
        <v>2.0</v>
      </c>
      <c r="AV742" s="1" t="s">
        <v>200</v>
      </c>
      <c r="AW742" s="1">
        <v>5517.3</v>
      </c>
      <c r="AX742" s="1">
        <v>2013.0</v>
      </c>
      <c r="AY742" s="1" t="s">
        <v>387</v>
      </c>
      <c r="AZ742" s="1" t="s">
        <v>200</v>
      </c>
      <c r="BA742" s="1" t="str">
        <f>"0731209006"</f>
        <v>0731209006</v>
      </c>
      <c r="BB742" s="1" t="s">
        <v>200</v>
      </c>
      <c r="BC742" s="1">
        <v>2320.0</v>
      </c>
      <c r="BD742" s="1">
        <v>169000.0</v>
      </c>
      <c r="BE742" s="2">
        <v>41995.0</v>
      </c>
      <c r="BF742" s="2" t="s">
        <v>8911</v>
      </c>
      <c r="BH742" s="1">
        <v>225.0</v>
      </c>
      <c r="BJ742" s="1" t="s">
        <v>1636</v>
      </c>
      <c r="BK742" s="1" t="s">
        <v>580</v>
      </c>
      <c r="BL742" s="1" t="str">
        <f t="shared" ref="BL742:BM742" si="492">""</f>
        <v/>
      </c>
      <c r="BM742" s="1" t="str">
        <f t="shared" si="492"/>
        <v/>
      </c>
      <c r="BQ742" s="1">
        <v>302.0</v>
      </c>
      <c r="BR742" s="1">
        <v>302.0</v>
      </c>
      <c r="BS742" s="1">
        <v>302.0</v>
      </c>
      <c r="BU742" s="1" t="s">
        <v>211</v>
      </c>
      <c r="BV742" s="1" t="s">
        <v>206</v>
      </c>
      <c r="BW742" s="1" t="s">
        <v>210</v>
      </c>
      <c r="BX742" s="1" t="s">
        <v>239</v>
      </c>
      <c r="BY742" s="1" t="s">
        <v>784</v>
      </c>
      <c r="BZ742" s="1" t="s">
        <v>209</v>
      </c>
      <c r="CA742" s="1" t="s">
        <v>210</v>
      </c>
      <c r="CB742" s="1" t="s">
        <v>239</v>
      </c>
      <c r="CC742" s="1" t="s">
        <v>433</v>
      </c>
      <c r="CD742" s="1" t="s">
        <v>206</v>
      </c>
      <c r="CE742" s="1" t="s">
        <v>588</v>
      </c>
      <c r="CF742" s="1" t="s">
        <v>239</v>
      </c>
      <c r="CG742" s="1" t="s">
        <v>215</v>
      </c>
      <c r="CH742" s="1" t="s">
        <v>209</v>
      </c>
      <c r="CI742" s="1" t="s">
        <v>210</v>
      </c>
      <c r="CJ742" s="1" t="s">
        <v>239</v>
      </c>
      <c r="CK742" s="1" t="s">
        <v>212</v>
      </c>
      <c r="CL742" s="1" t="s">
        <v>209</v>
      </c>
      <c r="CM742" s="1" t="s">
        <v>210</v>
      </c>
      <c r="CN742" s="1" t="s">
        <v>239</v>
      </c>
      <c r="CO742" s="1" t="s">
        <v>212</v>
      </c>
      <c r="CP742" s="1" t="s">
        <v>209</v>
      </c>
      <c r="CQ742" s="1" t="s">
        <v>210</v>
      </c>
      <c r="CR742" s="1" t="s">
        <v>239</v>
      </c>
      <c r="CS742" s="1" t="s">
        <v>211</v>
      </c>
      <c r="CT742" s="1" t="s">
        <v>206</v>
      </c>
      <c r="CU742" s="1" t="s">
        <v>588</v>
      </c>
      <c r="CV742" s="1" t="s">
        <v>239</v>
      </c>
      <c r="CX742" s="1" t="s">
        <v>204</v>
      </c>
      <c r="DA742" s="1" t="s">
        <v>200</v>
      </c>
      <c r="DC742" s="1" t="s">
        <v>481</v>
      </c>
      <c r="DD742" s="1" t="s">
        <v>8912</v>
      </c>
      <c r="DE742" s="1" t="s">
        <v>273</v>
      </c>
      <c r="DF742" s="1" t="s">
        <v>219</v>
      </c>
      <c r="DG742" s="1" t="s">
        <v>482</v>
      </c>
      <c r="DH742" s="1" t="s">
        <v>220</v>
      </c>
      <c r="DI742" s="1" t="s">
        <v>221</v>
      </c>
      <c r="DJ742" s="1" t="s">
        <v>222</v>
      </c>
      <c r="DK742" s="1" t="s">
        <v>223</v>
      </c>
      <c r="DL742" s="1" t="s">
        <v>1853</v>
      </c>
      <c r="DM742" s="1" t="s">
        <v>1268</v>
      </c>
      <c r="DN742" s="1" t="s">
        <v>3293</v>
      </c>
      <c r="DO742" s="1" t="s">
        <v>486</v>
      </c>
      <c r="DQ742" s="1" t="s">
        <v>228</v>
      </c>
      <c r="DR742" s="1" t="s">
        <v>1185</v>
      </c>
      <c r="DS742" s="1" t="s">
        <v>230</v>
      </c>
      <c r="DU742" s="1" t="s">
        <v>4061</v>
      </c>
      <c r="DV742" s="1" t="s">
        <v>408</v>
      </c>
      <c r="DW742" s="1" t="s">
        <v>233</v>
      </c>
      <c r="DX742" s="1" t="s">
        <v>234</v>
      </c>
      <c r="DY742" s="1" t="s">
        <v>1189</v>
      </c>
      <c r="DZ742" s="1" t="s">
        <v>8913</v>
      </c>
      <c r="EA742" s="1" t="s">
        <v>447</v>
      </c>
      <c r="EC742" s="1" t="s">
        <v>237</v>
      </c>
      <c r="ED742" s="1" t="s">
        <v>1406</v>
      </c>
      <c r="EE742" s="1" t="s">
        <v>1077</v>
      </c>
      <c r="EG742" s="1" t="s">
        <v>408</v>
      </c>
      <c r="EL742" s="1" t="s">
        <v>1104</v>
      </c>
      <c r="EM742" s="1" t="s">
        <v>206</v>
      </c>
      <c r="EN742" s="1" t="s">
        <v>588</v>
      </c>
      <c r="EO742" s="1" t="s">
        <v>239</v>
      </c>
      <c r="EQ742" s="1" t="s">
        <v>238</v>
      </c>
      <c r="EU742" s="1" t="s">
        <v>238</v>
      </c>
      <c r="EY742" s="1" t="s">
        <v>238</v>
      </c>
      <c r="FC742" s="1" t="s">
        <v>238</v>
      </c>
      <c r="FF742" s="1" t="s">
        <v>239</v>
      </c>
      <c r="FG742" s="1" t="s">
        <v>192</v>
      </c>
      <c r="FH742" s="1" t="s">
        <v>192</v>
      </c>
      <c r="FJ742" s="1" t="s">
        <v>1248</v>
      </c>
      <c r="FK742" s="1" t="s">
        <v>229</v>
      </c>
      <c r="FL742" s="1" t="s">
        <v>1007</v>
      </c>
      <c r="FM742" s="1">
        <v>93043.0</v>
      </c>
      <c r="FN742" s="1" t="s">
        <v>1008</v>
      </c>
      <c r="FO742" s="1" t="s">
        <v>4141</v>
      </c>
      <c r="FP742" s="1">
        <v>930149.0</v>
      </c>
      <c r="FQ742" s="1" t="s">
        <v>4142</v>
      </c>
      <c r="FS742" s="1" t="s">
        <v>4143</v>
      </c>
      <c r="FU742" s="1" t="s">
        <v>8914</v>
      </c>
      <c r="FV742" s="1" t="s">
        <v>200</v>
      </c>
      <c r="FW742" s="1" t="s">
        <v>8915</v>
      </c>
      <c r="FZ742" s="1" t="s">
        <v>229</v>
      </c>
      <c r="GA742" s="1" t="s">
        <v>291</v>
      </c>
      <c r="GB742" s="2">
        <v>42094.0</v>
      </c>
      <c r="GC742" s="1" t="s">
        <v>8916</v>
      </c>
    </row>
    <row r="743">
      <c r="A743" s="1">
        <v>700000.0</v>
      </c>
      <c r="B743" s="1" t="s">
        <v>185</v>
      </c>
      <c r="C743" s="1" t="str">
        <f>"08807737"</f>
        <v>08807737</v>
      </c>
      <c r="D743" s="1" t="s">
        <v>186</v>
      </c>
      <c r="F743" s="1" t="str">
        <f>"8006"</f>
        <v>8006</v>
      </c>
      <c r="G743" s="2">
        <v>42004.0</v>
      </c>
      <c r="H743" s="1">
        <v>729000.0</v>
      </c>
      <c r="I743" s="1">
        <v>10.0</v>
      </c>
      <c r="J743" s="1">
        <v>729000.0</v>
      </c>
      <c r="K743" s="2">
        <v>41908.0</v>
      </c>
      <c r="L743" s="1">
        <v>10.0</v>
      </c>
      <c r="M743" s="2">
        <v>41870.0</v>
      </c>
      <c r="N743" s="1" t="s">
        <v>187</v>
      </c>
      <c r="O743" s="2">
        <v>42004.0</v>
      </c>
      <c r="P743" s="1">
        <v>117008.0</v>
      </c>
      <c r="Q743" s="1">
        <v>14291.0</v>
      </c>
      <c r="S743" s="1">
        <v>4122.0</v>
      </c>
      <c r="T743" s="1" t="s">
        <v>3225</v>
      </c>
      <c r="U743" s="1" t="s">
        <v>189</v>
      </c>
      <c r="V743" s="1" t="s">
        <v>190</v>
      </c>
      <c r="W743" s="1">
        <v>60613.0</v>
      </c>
      <c r="Y743" s="1" t="s">
        <v>8917</v>
      </c>
      <c r="Z743" s="1">
        <v>1896.0</v>
      </c>
      <c r="AA743" s="1" t="s">
        <v>192</v>
      </c>
      <c r="AB743" s="1" t="s">
        <v>193</v>
      </c>
      <c r="AD743" s="1" t="s">
        <v>194</v>
      </c>
      <c r="AE743" s="1" t="s">
        <v>195</v>
      </c>
      <c r="AF743" s="1" t="s">
        <v>534</v>
      </c>
      <c r="AH743" s="1" t="s">
        <v>8918</v>
      </c>
      <c r="AK743" s="1">
        <v>7.0</v>
      </c>
      <c r="AL743" s="1">
        <v>4.0</v>
      </c>
      <c r="AM743" s="1">
        <v>2.0</v>
      </c>
      <c r="AN743" s="1">
        <v>1.0</v>
      </c>
      <c r="AO743" s="1" t="s">
        <v>229</v>
      </c>
      <c r="AQ743" s="1" t="s">
        <v>257</v>
      </c>
      <c r="AR743" s="1" t="s">
        <v>192</v>
      </c>
      <c r="AS743" s="1" t="s">
        <v>828</v>
      </c>
      <c r="AU743" s="1">
        <v>3.0</v>
      </c>
      <c r="AV743" s="1" t="s">
        <v>200</v>
      </c>
      <c r="AW743" s="1">
        <v>9531.45</v>
      </c>
      <c r="AX743" s="1">
        <v>2012.0</v>
      </c>
      <c r="AZ743" s="1" t="s">
        <v>200</v>
      </c>
      <c r="BA743" s="1" t="str">
        <f>"14184130210000"</f>
        <v>14184130210000</v>
      </c>
      <c r="BC743" s="1">
        <v>0.0</v>
      </c>
      <c r="BD743" s="1">
        <v>700000.0</v>
      </c>
      <c r="BE743" s="2">
        <v>41860.0</v>
      </c>
      <c r="BF743" s="1" t="s">
        <v>6552</v>
      </c>
      <c r="BH743" s="1">
        <v>0.0</v>
      </c>
      <c r="BK743" s="1" t="s">
        <v>204</v>
      </c>
      <c r="BL743" s="1" t="str">
        <f>"4122"</f>
        <v>4122</v>
      </c>
      <c r="BM743" s="1" t="str">
        <f>"0"</f>
        <v>0</v>
      </c>
      <c r="BN743" s="1">
        <v>1700.0</v>
      </c>
      <c r="BO743" s="1">
        <v>0.0</v>
      </c>
      <c r="BQ743" s="1">
        <v>299.0</v>
      </c>
      <c r="BR743" s="1">
        <v>299.0</v>
      </c>
      <c r="BS743" s="1">
        <v>299.0</v>
      </c>
      <c r="BU743" s="1" t="s">
        <v>330</v>
      </c>
      <c r="BV743" s="1" t="s">
        <v>206</v>
      </c>
      <c r="BY743" s="1" t="s">
        <v>433</v>
      </c>
      <c r="BZ743" s="1" t="s">
        <v>209</v>
      </c>
      <c r="CC743" s="1" t="s">
        <v>542</v>
      </c>
      <c r="CD743" s="1" t="s">
        <v>206</v>
      </c>
      <c r="CG743" s="1" t="s">
        <v>264</v>
      </c>
      <c r="CH743" s="1" t="s">
        <v>209</v>
      </c>
      <c r="CK743" s="1" t="s">
        <v>264</v>
      </c>
      <c r="CL743" s="1" t="s">
        <v>209</v>
      </c>
      <c r="CO743" s="1" t="s">
        <v>269</v>
      </c>
      <c r="CP743" s="1" t="s">
        <v>267</v>
      </c>
      <c r="CS743" s="1" t="s">
        <v>330</v>
      </c>
      <c r="CT743" s="1" t="s">
        <v>206</v>
      </c>
      <c r="CX743" s="1" t="s">
        <v>204</v>
      </c>
      <c r="DA743" s="1" t="s">
        <v>200</v>
      </c>
      <c r="DC743" s="1" t="s">
        <v>642</v>
      </c>
      <c r="DE743" s="1" t="s">
        <v>229</v>
      </c>
      <c r="DF743" s="1" t="s">
        <v>619</v>
      </c>
      <c r="DH743" s="1" t="s">
        <v>307</v>
      </c>
      <c r="DJ743" s="1" t="s">
        <v>222</v>
      </c>
      <c r="DL743" s="1" t="s">
        <v>858</v>
      </c>
      <c r="DM743" s="1" t="s">
        <v>229</v>
      </c>
      <c r="DQ743" s="1" t="s">
        <v>794</v>
      </c>
      <c r="DR743" s="1" t="s">
        <v>229</v>
      </c>
      <c r="DV743" s="1" t="s">
        <v>232</v>
      </c>
      <c r="DW743" s="1" t="s">
        <v>667</v>
      </c>
      <c r="DX743" s="1" t="s">
        <v>234</v>
      </c>
      <c r="EC743" s="1" t="s">
        <v>406</v>
      </c>
      <c r="EM743" s="1" t="s">
        <v>238</v>
      </c>
      <c r="EQ743" s="1" t="s">
        <v>238</v>
      </c>
      <c r="EU743" s="1" t="s">
        <v>238</v>
      </c>
      <c r="EY743" s="1" t="s">
        <v>238</v>
      </c>
      <c r="FC743" s="1" t="s">
        <v>238</v>
      </c>
      <c r="FF743" s="1" t="s">
        <v>239</v>
      </c>
      <c r="FG743" s="1" t="s">
        <v>192</v>
      </c>
      <c r="FH743" s="1" t="s">
        <v>192</v>
      </c>
      <c r="FJ743" s="1" t="s">
        <v>799</v>
      </c>
      <c r="FK743" s="1" t="s">
        <v>348</v>
      </c>
      <c r="FL743" s="1" t="s">
        <v>800</v>
      </c>
      <c r="FM743" s="1">
        <v>16898.0</v>
      </c>
      <c r="FN743" s="1" t="s">
        <v>801</v>
      </c>
      <c r="FO743" s="1" t="s">
        <v>8919</v>
      </c>
      <c r="FP743" s="1">
        <v>112652.0</v>
      </c>
      <c r="FQ743" s="1" t="s">
        <v>8920</v>
      </c>
      <c r="FU743" s="1" t="s">
        <v>8921</v>
      </c>
      <c r="FV743" s="1" t="s">
        <v>200</v>
      </c>
      <c r="FW743" s="1" t="s">
        <v>290</v>
      </c>
      <c r="FX743" s="1" t="s">
        <v>238</v>
      </c>
      <c r="FZ743" s="1" t="s">
        <v>229</v>
      </c>
      <c r="GA743" s="1" t="s">
        <v>291</v>
      </c>
      <c r="GB743" s="2">
        <v>42004.0</v>
      </c>
    </row>
    <row r="744">
      <c r="A744" s="1">
        <v>392000.0</v>
      </c>
      <c r="B744" s="1" t="s">
        <v>185</v>
      </c>
      <c r="C744" s="1" t="str">
        <f>"08809292"</f>
        <v>08809292</v>
      </c>
      <c r="D744" s="1" t="s">
        <v>186</v>
      </c>
      <c r="F744" s="1" t="str">
        <f>"8028"</f>
        <v>8028</v>
      </c>
      <c r="G744" s="2">
        <v>42008.0</v>
      </c>
      <c r="H744" s="1">
        <v>419000.0</v>
      </c>
      <c r="I744" s="1">
        <v>49.0</v>
      </c>
      <c r="J744" s="1">
        <v>419000.0</v>
      </c>
      <c r="K744" s="2">
        <v>42056.0</v>
      </c>
      <c r="L744" s="1">
        <v>49.0</v>
      </c>
      <c r="M744" s="2">
        <v>42056.0</v>
      </c>
      <c r="N744" s="1" t="s">
        <v>187</v>
      </c>
      <c r="O744" s="2">
        <v>42114.0</v>
      </c>
      <c r="P744" s="1">
        <v>152264.0</v>
      </c>
      <c r="Q744" s="1">
        <v>14858.0</v>
      </c>
      <c r="S744" s="1">
        <v>2533.0</v>
      </c>
      <c r="T744" s="1" t="s">
        <v>8922</v>
      </c>
      <c r="U744" s="1" t="s">
        <v>320</v>
      </c>
      <c r="V744" s="1" t="s">
        <v>190</v>
      </c>
      <c r="W744" s="1">
        <v>60608.0</v>
      </c>
      <c r="Y744" s="1" t="s">
        <v>8923</v>
      </c>
      <c r="Z744" s="1">
        <v>2008.0</v>
      </c>
      <c r="AA744" s="1" t="s">
        <v>200</v>
      </c>
      <c r="AB744" s="1" t="s">
        <v>467</v>
      </c>
      <c r="AD744" s="1" t="s">
        <v>194</v>
      </c>
      <c r="AE744" s="1" t="s">
        <v>195</v>
      </c>
      <c r="AF744" s="1" t="s">
        <v>827</v>
      </c>
      <c r="AH744" s="1" t="s">
        <v>2091</v>
      </c>
      <c r="AI744" s="1">
        <v>0.066</v>
      </c>
      <c r="AK744" s="1">
        <v>8.0</v>
      </c>
      <c r="AL744" s="1">
        <v>3.0</v>
      </c>
      <c r="AM744" s="1">
        <v>3.0</v>
      </c>
      <c r="AN744" s="1">
        <v>1.0</v>
      </c>
      <c r="AO744" s="1" t="s">
        <v>198</v>
      </c>
      <c r="AP744" s="1">
        <v>1.0</v>
      </c>
      <c r="AQ744" s="1" t="s">
        <v>198</v>
      </c>
      <c r="AR744" s="1" t="s">
        <v>192</v>
      </c>
      <c r="AS744" s="1" t="s">
        <v>199</v>
      </c>
      <c r="AT744" s="1">
        <v>2.0</v>
      </c>
      <c r="AV744" s="1" t="s">
        <v>200</v>
      </c>
      <c r="AW744" s="1">
        <v>4561.0</v>
      </c>
      <c r="AX744" s="1">
        <v>2013.0</v>
      </c>
      <c r="AZ744" s="1" t="s">
        <v>200</v>
      </c>
      <c r="BA744" s="1" t="str">
        <f>"16134290070000"</f>
        <v>16134290070000</v>
      </c>
      <c r="BC744" s="1">
        <v>0.0</v>
      </c>
      <c r="BD744" s="1">
        <v>392000.0</v>
      </c>
      <c r="BE744" s="2">
        <v>42008.0</v>
      </c>
      <c r="BF744" s="2" t="s">
        <v>8924</v>
      </c>
      <c r="BH744" s="1">
        <v>0.0</v>
      </c>
      <c r="BK744" s="1" t="s">
        <v>204</v>
      </c>
      <c r="BL744" s="1" t="str">
        <f t="shared" ref="BL744:BM744" si="493">"0"</f>
        <v>0</v>
      </c>
      <c r="BM744" s="1" t="str">
        <f t="shared" si="493"/>
        <v>0</v>
      </c>
      <c r="BN744" s="1">
        <v>2500.0</v>
      </c>
      <c r="BO744" s="1">
        <v>1200.0</v>
      </c>
      <c r="BQ744" s="1">
        <v>299.0</v>
      </c>
      <c r="BR744" s="1">
        <v>299.0</v>
      </c>
      <c r="BS744" s="1">
        <v>299.0</v>
      </c>
      <c r="BU744" s="1" t="s">
        <v>1809</v>
      </c>
      <c r="BV744" s="1" t="s">
        <v>206</v>
      </c>
      <c r="BW744" s="1" t="s">
        <v>207</v>
      </c>
      <c r="BY744" s="1" t="s">
        <v>664</v>
      </c>
      <c r="BZ744" s="1" t="s">
        <v>209</v>
      </c>
      <c r="CA744" s="1" t="s">
        <v>210</v>
      </c>
      <c r="CC744" s="1" t="s">
        <v>542</v>
      </c>
      <c r="CD744" s="1" t="s">
        <v>206</v>
      </c>
      <c r="CE744" s="1" t="s">
        <v>207</v>
      </c>
      <c r="CG744" s="1" t="s">
        <v>266</v>
      </c>
      <c r="CH744" s="1" t="s">
        <v>209</v>
      </c>
      <c r="CI744" s="1" t="s">
        <v>210</v>
      </c>
      <c r="CK744" s="1" t="s">
        <v>516</v>
      </c>
      <c r="CL744" s="1" t="s">
        <v>209</v>
      </c>
      <c r="CM744" s="1" t="s">
        <v>210</v>
      </c>
      <c r="CO744" s="1" t="s">
        <v>264</v>
      </c>
      <c r="CP744" s="1" t="s">
        <v>42</v>
      </c>
      <c r="CQ744" s="1" t="s">
        <v>210</v>
      </c>
      <c r="CS744" s="1" t="s">
        <v>640</v>
      </c>
      <c r="CT744" s="1" t="s">
        <v>206</v>
      </c>
      <c r="CU744" s="1" t="s">
        <v>207</v>
      </c>
      <c r="CW744" s="1" t="s">
        <v>329</v>
      </c>
      <c r="CX744" s="1" t="s">
        <v>206</v>
      </c>
      <c r="CY744" s="1" t="s">
        <v>207</v>
      </c>
      <c r="DA744" s="1" t="s">
        <v>200</v>
      </c>
      <c r="DC744" s="1" t="s">
        <v>481</v>
      </c>
      <c r="DE744" s="1" t="s">
        <v>218</v>
      </c>
      <c r="DF744" s="1" t="s">
        <v>3751</v>
      </c>
      <c r="DH744" s="1" t="s">
        <v>365</v>
      </c>
      <c r="DI744" s="1" t="s">
        <v>2547</v>
      </c>
      <c r="DJ744" s="1" t="s">
        <v>222</v>
      </c>
      <c r="DL744" s="1" t="s">
        <v>224</v>
      </c>
      <c r="DM744" s="1" t="s">
        <v>225</v>
      </c>
      <c r="DN744" s="1" t="s">
        <v>548</v>
      </c>
      <c r="DQ744" s="1" t="s">
        <v>228</v>
      </c>
      <c r="DR744" s="1" t="s">
        <v>229</v>
      </c>
      <c r="DS744" s="1" t="s">
        <v>230</v>
      </c>
      <c r="DU744" s="1" t="s">
        <v>231</v>
      </c>
      <c r="DV744" s="1" t="s">
        <v>232</v>
      </c>
      <c r="DW744" s="1" t="s">
        <v>934</v>
      </c>
      <c r="DX744" s="1" t="s">
        <v>234</v>
      </c>
      <c r="DY744" s="1" t="s">
        <v>1006</v>
      </c>
      <c r="EB744" s="1" t="s">
        <v>1639</v>
      </c>
      <c r="EC744" s="1" t="s">
        <v>237</v>
      </c>
      <c r="EM744" s="1" t="s">
        <v>238</v>
      </c>
      <c r="EQ744" s="1" t="s">
        <v>238</v>
      </c>
      <c r="EU744" s="1" t="s">
        <v>238</v>
      </c>
      <c r="EY744" s="1" t="s">
        <v>238</v>
      </c>
      <c r="FC744" s="1" t="s">
        <v>238</v>
      </c>
      <c r="FF744" s="1" t="s">
        <v>239</v>
      </c>
      <c r="FG744" s="1" t="s">
        <v>192</v>
      </c>
      <c r="FH744" s="1" t="s">
        <v>192</v>
      </c>
      <c r="FJ744" s="1" t="s">
        <v>799</v>
      </c>
      <c r="FK744" s="1" t="s">
        <v>229</v>
      </c>
      <c r="FL744" s="1" t="s">
        <v>8925</v>
      </c>
      <c r="FM744" s="1">
        <v>2144.0</v>
      </c>
      <c r="FN744" s="1" t="s">
        <v>8926</v>
      </c>
      <c r="FO744" s="1" t="s">
        <v>8927</v>
      </c>
      <c r="FP744" s="1">
        <v>923006.0</v>
      </c>
      <c r="FQ744" s="1" t="s">
        <v>8928</v>
      </c>
      <c r="FU744" s="1" t="s">
        <v>8929</v>
      </c>
      <c r="FV744" s="1" t="s">
        <v>200</v>
      </c>
      <c r="FW744" s="1" t="s">
        <v>290</v>
      </c>
      <c r="FX744" s="1" t="s">
        <v>246</v>
      </c>
      <c r="FZ744" s="1" t="s">
        <v>229</v>
      </c>
      <c r="GA744" s="1" t="s">
        <v>291</v>
      </c>
      <c r="GB744" s="2">
        <v>42115.0</v>
      </c>
      <c r="GC744" s="1" t="s">
        <v>8930</v>
      </c>
    </row>
    <row r="745">
      <c r="A745" s="1">
        <v>20000.0</v>
      </c>
      <c r="B745" s="1" t="s">
        <v>185</v>
      </c>
      <c r="C745" s="1" t="str">
        <f>"08805892"</f>
        <v>08805892</v>
      </c>
      <c r="D745" s="1" t="s">
        <v>186</v>
      </c>
      <c r="F745" s="1" t="str">
        <f>"8045"</f>
        <v>8045</v>
      </c>
      <c r="G745" s="2">
        <v>41997.0</v>
      </c>
      <c r="H745" s="1">
        <v>27500.0</v>
      </c>
      <c r="I745" s="1">
        <v>70.0</v>
      </c>
      <c r="J745" s="1">
        <v>19900.0</v>
      </c>
      <c r="K745" s="2">
        <v>42066.0</v>
      </c>
      <c r="L745" s="1">
        <v>70.0</v>
      </c>
      <c r="M745" s="2">
        <v>42066.0</v>
      </c>
      <c r="N745" s="1" t="s">
        <v>249</v>
      </c>
      <c r="O745" s="2">
        <v>42089.0</v>
      </c>
      <c r="P745" s="1">
        <v>226380.0</v>
      </c>
      <c r="Q745" s="1">
        <v>61075.0</v>
      </c>
      <c r="S745" s="1">
        <v>1134.0</v>
      </c>
      <c r="T745" s="1" t="s">
        <v>3278</v>
      </c>
      <c r="U745" s="1" t="s">
        <v>694</v>
      </c>
      <c r="V745" s="1" t="s">
        <v>190</v>
      </c>
      <c r="W745" s="1">
        <v>60617.0</v>
      </c>
      <c r="Y745" s="1" t="s">
        <v>8931</v>
      </c>
      <c r="Z745" s="1">
        <v>1909.0</v>
      </c>
      <c r="AA745" s="1" t="s">
        <v>192</v>
      </c>
      <c r="AB745" s="1" t="s">
        <v>193</v>
      </c>
      <c r="AD745" s="1" t="s">
        <v>194</v>
      </c>
      <c r="AE745" s="1" t="s">
        <v>195</v>
      </c>
      <c r="AF745" s="1" t="s">
        <v>637</v>
      </c>
      <c r="AH745" s="1" t="s">
        <v>359</v>
      </c>
      <c r="AI745" s="1">
        <v>0.0717</v>
      </c>
      <c r="AK745" s="1">
        <v>7.0</v>
      </c>
      <c r="AL745" s="1">
        <v>4.0</v>
      </c>
      <c r="AM745" s="1">
        <v>2.0</v>
      </c>
      <c r="AN745" s="1">
        <v>0.0</v>
      </c>
      <c r="AO745" s="1" t="s">
        <v>229</v>
      </c>
      <c r="AQ745" s="1" t="s">
        <v>198</v>
      </c>
      <c r="AR745" s="1" t="s">
        <v>200</v>
      </c>
      <c r="AS745" s="1" t="s">
        <v>229</v>
      </c>
      <c r="AV745" s="1" t="s">
        <v>200</v>
      </c>
      <c r="AW745" s="1">
        <v>1924.04</v>
      </c>
      <c r="AX745" s="1">
        <v>2012.0</v>
      </c>
      <c r="AZ745" s="1" t="s">
        <v>200</v>
      </c>
      <c r="BA745" s="1" t="str">
        <f>"20351240650000"</f>
        <v>20351240650000</v>
      </c>
      <c r="BC745" s="1">
        <v>1400.0</v>
      </c>
      <c r="BD745" s="1">
        <v>20000.0</v>
      </c>
      <c r="BE745" s="2">
        <v>41997.0</v>
      </c>
      <c r="BF745" s="2" t="s">
        <v>8932</v>
      </c>
      <c r="BH745" s="1">
        <v>0.0</v>
      </c>
      <c r="BK745" s="1" t="s">
        <v>204</v>
      </c>
      <c r="BL745" s="1" t="str">
        <f t="shared" ref="BL745:BL747" si="494">"0"</f>
        <v>0</v>
      </c>
      <c r="BM745" s="1" t="str">
        <f>"1134"</f>
        <v>1134</v>
      </c>
      <c r="BN745" s="1">
        <v>0.0</v>
      </c>
      <c r="BO745" s="1">
        <v>8200.0</v>
      </c>
      <c r="BQ745" s="1">
        <v>299.0</v>
      </c>
      <c r="BR745" s="1">
        <v>299.0</v>
      </c>
      <c r="BS745" s="1">
        <v>299.0</v>
      </c>
      <c r="BU745" s="1" t="s">
        <v>303</v>
      </c>
      <c r="BV745" s="1" t="s">
        <v>206</v>
      </c>
      <c r="BY745" s="1" t="s">
        <v>363</v>
      </c>
      <c r="BZ745" s="1" t="s">
        <v>206</v>
      </c>
      <c r="CC745" s="1" t="s">
        <v>269</v>
      </c>
      <c r="CD745" s="1" t="s">
        <v>206</v>
      </c>
      <c r="CG745" s="1" t="s">
        <v>363</v>
      </c>
      <c r="CH745" s="1" t="s">
        <v>206</v>
      </c>
      <c r="CK745" s="1" t="s">
        <v>363</v>
      </c>
      <c r="CL745" s="1" t="s">
        <v>209</v>
      </c>
      <c r="CO745" s="1" t="s">
        <v>363</v>
      </c>
      <c r="CP745" s="1" t="s">
        <v>209</v>
      </c>
      <c r="CS745" s="1" t="s">
        <v>1483</v>
      </c>
      <c r="CT745" s="1" t="s">
        <v>206</v>
      </c>
      <c r="CX745" s="1" t="s">
        <v>204</v>
      </c>
      <c r="DA745" s="1" t="s">
        <v>200</v>
      </c>
      <c r="DC745" s="1" t="s">
        <v>642</v>
      </c>
      <c r="DE745" s="1" t="s">
        <v>229</v>
      </c>
      <c r="DF745" s="1" t="s">
        <v>219</v>
      </c>
      <c r="DH745" s="1" t="s">
        <v>220</v>
      </c>
      <c r="DJ745" s="1" t="s">
        <v>222</v>
      </c>
      <c r="DL745" s="1" t="s">
        <v>223</v>
      </c>
      <c r="DM745" s="1" t="s">
        <v>229</v>
      </c>
      <c r="DQ745" s="1" t="s">
        <v>228</v>
      </c>
      <c r="DR745" s="1" t="s">
        <v>229</v>
      </c>
      <c r="DV745" s="1" t="s">
        <v>232</v>
      </c>
      <c r="DW745" s="1" t="s">
        <v>370</v>
      </c>
      <c r="DX745" s="1" t="s">
        <v>234</v>
      </c>
      <c r="EC745" s="1" t="s">
        <v>645</v>
      </c>
      <c r="EE745" s="1" t="s">
        <v>1673</v>
      </c>
      <c r="EM745" s="1" t="s">
        <v>238</v>
      </c>
      <c r="EQ745" s="1" t="s">
        <v>238</v>
      </c>
      <c r="EU745" s="1" t="s">
        <v>238</v>
      </c>
      <c r="EY745" s="1" t="s">
        <v>238</v>
      </c>
      <c r="FC745" s="1" t="s">
        <v>238</v>
      </c>
      <c r="FF745" s="1" t="s">
        <v>239</v>
      </c>
      <c r="FG745" s="1" t="s">
        <v>192</v>
      </c>
      <c r="FH745" s="1" t="s">
        <v>192</v>
      </c>
      <c r="FJ745" s="1" t="s">
        <v>3509</v>
      </c>
      <c r="FK745" s="1" t="s">
        <v>229</v>
      </c>
      <c r="FL745" s="1" t="s">
        <v>2989</v>
      </c>
      <c r="FM745" s="1">
        <v>21139.0</v>
      </c>
      <c r="FN745" s="1" t="s">
        <v>8190</v>
      </c>
      <c r="FO745" s="1" t="s">
        <v>8191</v>
      </c>
      <c r="FP745" s="1">
        <v>606494.0</v>
      </c>
      <c r="FQ745" s="1" t="s">
        <v>8190</v>
      </c>
      <c r="FS745" s="1" t="s">
        <v>8192</v>
      </c>
      <c r="FU745" s="1" t="s">
        <v>885</v>
      </c>
      <c r="FV745" s="1" t="s">
        <v>200</v>
      </c>
      <c r="FW745" s="1" t="s">
        <v>1411</v>
      </c>
      <c r="FX745" s="1" t="s">
        <v>1739</v>
      </c>
      <c r="FZ745" s="1" t="s">
        <v>229</v>
      </c>
      <c r="GA745" s="1" t="s">
        <v>291</v>
      </c>
      <c r="GB745" s="2">
        <v>42090.0</v>
      </c>
      <c r="GC745" s="1" t="s">
        <v>8933</v>
      </c>
    </row>
    <row r="746">
      <c r="A746" s="1">
        <v>247000.0</v>
      </c>
      <c r="B746" s="1" t="s">
        <v>185</v>
      </c>
      <c r="C746" s="1" t="str">
        <f>"08809776"</f>
        <v>08809776</v>
      </c>
      <c r="D746" s="1" t="s">
        <v>186</v>
      </c>
      <c r="F746" s="1" t="str">
        <f>"543"</f>
        <v>543</v>
      </c>
      <c r="G746" s="2">
        <v>42009.0</v>
      </c>
      <c r="H746" s="1">
        <v>254900.0</v>
      </c>
      <c r="I746" s="1">
        <v>61.0</v>
      </c>
      <c r="J746" s="1">
        <v>250000.0</v>
      </c>
      <c r="K746" s="2">
        <v>42069.0</v>
      </c>
      <c r="L746" s="1">
        <v>61.0</v>
      </c>
      <c r="M746" s="2">
        <v>42069.0</v>
      </c>
      <c r="N746" s="1" t="s">
        <v>187</v>
      </c>
      <c r="O746" s="2">
        <v>42111.0</v>
      </c>
      <c r="P746" s="1">
        <v>304019.0</v>
      </c>
      <c r="Q746" s="1">
        <v>87.0</v>
      </c>
      <c r="S746" s="1">
        <v>4514.0</v>
      </c>
      <c r="T746" s="1" t="s">
        <v>8934</v>
      </c>
      <c r="U746" s="1" t="s">
        <v>420</v>
      </c>
      <c r="V746" s="1" t="s">
        <v>1527</v>
      </c>
      <c r="W746" s="1">
        <v>60543.0</v>
      </c>
      <c r="Y746" s="1" t="s">
        <v>8935</v>
      </c>
      <c r="Z746" s="1">
        <v>2011.0</v>
      </c>
      <c r="AA746" s="1" t="s">
        <v>200</v>
      </c>
      <c r="AB746" s="1" t="s">
        <v>467</v>
      </c>
      <c r="AC746" s="1" t="s">
        <v>8934</v>
      </c>
      <c r="AD746" s="1" t="s">
        <v>1529</v>
      </c>
      <c r="AE746" s="1" t="s">
        <v>849</v>
      </c>
      <c r="AF746" s="1" t="s">
        <v>1529</v>
      </c>
      <c r="AG746" s="1" t="s">
        <v>8936</v>
      </c>
      <c r="AH746" s="1" t="s">
        <v>8937</v>
      </c>
      <c r="AK746" s="1">
        <v>10.0</v>
      </c>
      <c r="AL746" s="1">
        <v>4.0</v>
      </c>
      <c r="AM746" s="1">
        <v>2.0</v>
      </c>
      <c r="AN746" s="1">
        <v>1.0</v>
      </c>
      <c r="AO746" s="1" t="s">
        <v>198</v>
      </c>
      <c r="AP746" s="1">
        <v>0.0</v>
      </c>
      <c r="AQ746" s="1" t="s">
        <v>5726</v>
      </c>
      <c r="AR746" s="1" t="s">
        <v>200</v>
      </c>
      <c r="AS746" s="1" t="s">
        <v>199</v>
      </c>
      <c r="AT746" s="1">
        <v>2.0</v>
      </c>
      <c r="AV746" s="1" t="s">
        <v>200</v>
      </c>
      <c r="AW746" s="1">
        <v>8271.0</v>
      </c>
      <c r="AX746" s="1">
        <v>2013.0</v>
      </c>
      <c r="AY746" s="1" t="s">
        <v>387</v>
      </c>
      <c r="AZ746" s="1" t="s">
        <v>200</v>
      </c>
      <c r="BA746" s="1" t="str">
        <f>"0339400001"</f>
        <v>0339400001</v>
      </c>
      <c r="BC746" s="1">
        <v>2638.0</v>
      </c>
      <c r="BD746" s="1">
        <v>247000.0</v>
      </c>
      <c r="BE746" s="2">
        <v>42009.0</v>
      </c>
      <c r="BF746" s="2" t="s">
        <v>8938</v>
      </c>
      <c r="BG746" s="1" t="s">
        <v>8939</v>
      </c>
      <c r="BH746" s="1">
        <v>67.0</v>
      </c>
      <c r="BI746" s="1" t="s">
        <v>1533</v>
      </c>
      <c r="BJ746" s="1" t="s">
        <v>1349</v>
      </c>
      <c r="BK746" s="1" t="s">
        <v>474</v>
      </c>
      <c r="BL746" s="1" t="str">
        <f t="shared" si="494"/>
        <v>0</v>
      </c>
      <c r="BM746" s="1" t="str">
        <f t="shared" ref="BM746:BM748" si="495">"0"</f>
        <v>0</v>
      </c>
      <c r="BN746" s="1">
        <v>39.0</v>
      </c>
      <c r="BO746" s="1">
        <v>15.0</v>
      </c>
      <c r="BQ746" s="1">
        <v>308.0</v>
      </c>
      <c r="BR746" s="1">
        <v>308.0</v>
      </c>
      <c r="BS746" s="1">
        <v>308.0</v>
      </c>
      <c r="BU746" s="1" t="s">
        <v>743</v>
      </c>
      <c r="BV746" s="1" t="s">
        <v>206</v>
      </c>
      <c r="BW746" s="1" t="s">
        <v>210</v>
      </c>
      <c r="BX746" s="1" t="s">
        <v>431</v>
      </c>
      <c r="BY746" s="1" t="s">
        <v>1350</v>
      </c>
      <c r="BZ746" s="1" t="s">
        <v>209</v>
      </c>
      <c r="CA746" s="1" t="s">
        <v>210</v>
      </c>
      <c r="CB746" s="1" t="s">
        <v>431</v>
      </c>
      <c r="CC746" s="1" t="s">
        <v>212</v>
      </c>
      <c r="CD746" s="1" t="s">
        <v>206</v>
      </c>
      <c r="CE746" s="1" t="s">
        <v>210</v>
      </c>
      <c r="CF746" s="1" t="s">
        <v>431</v>
      </c>
      <c r="CG746" s="1" t="s">
        <v>363</v>
      </c>
      <c r="CH746" s="1" t="s">
        <v>209</v>
      </c>
      <c r="CI746" s="1" t="s">
        <v>210</v>
      </c>
      <c r="CJ746" s="1" t="s">
        <v>431</v>
      </c>
      <c r="CK746" s="1" t="s">
        <v>1417</v>
      </c>
      <c r="CL746" s="1" t="s">
        <v>209</v>
      </c>
      <c r="CM746" s="1" t="s">
        <v>210</v>
      </c>
      <c r="CN746" s="1" t="s">
        <v>431</v>
      </c>
      <c r="CO746" s="1" t="s">
        <v>302</v>
      </c>
      <c r="CP746" s="1" t="s">
        <v>209</v>
      </c>
      <c r="CQ746" s="1" t="s">
        <v>210</v>
      </c>
      <c r="CR746" s="1" t="s">
        <v>431</v>
      </c>
      <c r="CS746" s="1" t="s">
        <v>302</v>
      </c>
      <c r="CT746" s="1" t="s">
        <v>206</v>
      </c>
      <c r="CU746" s="1" t="s">
        <v>207</v>
      </c>
      <c r="CV746" s="1" t="s">
        <v>431</v>
      </c>
      <c r="CW746" s="1" t="s">
        <v>743</v>
      </c>
      <c r="CX746" s="1" t="s">
        <v>206</v>
      </c>
      <c r="CY746" s="1" t="s">
        <v>210</v>
      </c>
      <c r="CZ746" s="1" t="s">
        <v>431</v>
      </c>
      <c r="DA746" s="1" t="s">
        <v>200</v>
      </c>
      <c r="DC746" s="1" t="s">
        <v>1046</v>
      </c>
      <c r="DD746" s="1" t="s">
        <v>586</v>
      </c>
      <c r="DE746" s="1" t="s">
        <v>273</v>
      </c>
      <c r="DF746" s="1" t="s">
        <v>219</v>
      </c>
      <c r="DG746" s="1" t="s">
        <v>2379</v>
      </c>
      <c r="DH746" s="1" t="s">
        <v>220</v>
      </c>
      <c r="DI746" s="1" t="s">
        <v>732</v>
      </c>
      <c r="DJ746" s="1" t="s">
        <v>1048</v>
      </c>
      <c r="DL746" s="1" t="s">
        <v>8940</v>
      </c>
      <c r="DM746" s="1" t="s">
        <v>338</v>
      </c>
      <c r="DN746" s="1" t="s">
        <v>1023</v>
      </c>
      <c r="DO746" s="1" t="s">
        <v>761</v>
      </c>
      <c r="DP746" s="1" t="s">
        <v>340</v>
      </c>
      <c r="DQ746" s="1" t="s">
        <v>441</v>
      </c>
      <c r="DR746" s="1" t="s">
        <v>6095</v>
      </c>
      <c r="DV746" s="1" t="s">
        <v>8941</v>
      </c>
      <c r="DW746" s="1" t="s">
        <v>233</v>
      </c>
      <c r="DX746" s="1" t="s">
        <v>234</v>
      </c>
      <c r="DY746" s="1" t="s">
        <v>596</v>
      </c>
      <c r="DZ746" s="1" t="s">
        <v>236</v>
      </c>
      <c r="EA746" s="1" t="s">
        <v>344</v>
      </c>
      <c r="EC746" s="1" t="s">
        <v>237</v>
      </c>
      <c r="EE746" s="1" t="s">
        <v>1334</v>
      </c>
      <c r="EG746" s="1" t="s">
        <v>341</v>
      </c>
      <c r="EH746" s="1" t="s">
        <v>556</v>
      </c>
      <c r="EL746" s="1" t="s">
        <v>640</v>
      </c>
      <c r="EM746" s="1" t="s">
        <v>209</v>
      </c>
      <c r="EN746" s="1" t="s">
        <v>210</v>
      </c>
      <c r="EO746" s="1" t="s">
        <v>431</v>
      </c>
      <c r="EP746" s="1" t="s">
        <v>212</v>
      </c>
      <c r="EQ746" s="1" t="s">
        <v>206</v>
      </c>
      <c r="ER746" s="1" t="s">
        <v>207</v>
      </c>
      <c r="EU746" s="1" t="s">
        <v>238</v>
      </c>
      <c r="EY746" s="1" t="s">
        <v>238</v>
      </c>
      <c r="FC746" s="1" t="s">
        <v>238</v>
      </c>
      <c r="FF746" s="1" t="s">
        <v>239</v>
      </c>
      <c r="FG746" s="1" t="s">
        <v>200</v>
      </c>
      <c r="FH746" s="1" t="s">
        <v>192</v>
      </c>
      <c r="FJ746" s="1" t="s">
        <v>2133</v>
      </c>
      <c r="FK746" s="1" t="s">
        <v>229</v>
      </c>
      <c r="FL746" s="1" t="s">
        <v>4369</v>
      </c>
      <c r="FM746" s="1">
        <v>23279.0</v>
      </c>
      <c r="FN746" s="1" t="s">
        <v>6096</v>
      </c>
      <c r="FO746" s="1" t="s">
        <v>6097</v>
      </c>
      <c r="FP746" s="1">
        <v>241401.0</v>
      </c>
      <c r="FS746" s="1" t="s">
        <v>6098</v>
      </c>
      <c r="FU746" s="1" t="s">
        <v>8942</v>
      </c>
      <c r="FV746" s="1" t="s">
        <v>200</v>
      </c>
      <c r="FW746" s="1" t="s">
        <v>290</v>
      </c>
      <c r="FZ746" s="1" t="s">
        <v>504</v>
      </c>
      <c r="GA746" s="1" t="s">
        <v>291</v>
      </c>
      <c r="GB746" s="2">
        <v>42113.0</v>
      </c>
      <c r="GC746" s="1" t="s">
        <v>8943</v>
      </c>
    </row>
    <row r="747">
      <c r="A747" s="1">
        <v>32694.0</v>
      </c>
      <c r="B747" s="1" t="s">
        <v>185</v>
      </c>
      <c r="C747" s="1" t="str">
        <f>"08805428"</f>
        <v>08805428</v>
      </c>
      <c r="D747" s="1" t="s">
        <v>186</v>
      </c>
      <c r="F747" s="1" t="str">
        <f>"8066"</f>
        <v>8066</v>
      </c>
      <c r="G747" s="2">
        <v>41996.0</v>
      </c>
      <c r="H747" s="1">
        <v>34000.0</v>
      </c>
      <c r="I747" s="1">
        <v>18.0</v>
      </c>
      <c r="J747" s="1">
        <v>34000.0</v>
      </c>
      <c r="K747" s="2">
        <v>42013.0</v>
      </c>
      <c r="L747" s="1">
        <v>18.0</v>
      </c>
      <c r="M747" s="2">
        <v>42013.0</v>
      </c>
      <c r="N747" s="1" t="s">
        <v>249</v>
      </c>
      <c r="O747" s="2">
        <v>42041.0</v>
      </c>
      <c r="P747" s="1">
        <v>147902.0</v>
      </c>
      <c r="Q747" s="1">
        <v>84633.0</v>
      </c>
      <c r="S747" s="1">
        <v>6452.0</v>
      </c>
      <c r="T747" s="1" t="s">
        <v>3914</v>
      </c>
      <c r="U747" s="1" t="s">
        <v>189</v>
      </c>
      <c r="V747" s="1" t="s">
        <v>190</v>
      </c>
      <c r="W747" s="1">
        <v>60629.0</v>
      </c>
      <c r="Y747" s="1" t="s">
        <v>8944</v>
      </c>
      <c r="Z747" s="1">
        <v>1919.0</v>
      </c>
      <c r="AA747" s="1" t="s">
        <v>192</v>
      </c>
      <c r="AB747" s="1" t="s">
        <v>193</v>
      </c>
      <c r="AD747" s="1" t="s">
        <v>194</v>
      </c>
      <c r="AE747" s="1" t="s">
        <v>195</v>
      </c>
      <c r="AF747" s="1" t="s">
        <v>827</v>
      </c>
      <c r="AH747" s="1">
        <v>3750.0</v>
      </c>
      <c r="AI747" s="1">
        <v>0.0861</v>
      </c>
      <c r="AK747" s="1">
        <v>7.0</v>
      </c>
      <c r="AL747" s="1">
        <v>4.0</v>
      </c>
      <c r="AM747" s="1">
        <v>1.0</v>
      </c>
      <c r="AN747" s="1">
        <v>0.0</v>
      </c>
      <c r="AO747" s="1" t="s">
        <v>229</v>
      </c>
      <c r="AQ747" s="1" t="s">
        <v>198</v>
      </c>
      <c r="AR747" s="1" t="s">
        <v>200</v>
      </c>
      <c r="AS747" s="1" t="s">
        <v>199</v>
      </c>
      <c r="AT747" s="1">
        <v>1.0</v>
      </c>
      <c r="AV747" s="1" t="s">
        <v>200</v>
      </c>
      <c r="AW747" s="1">
        <v>1008.34</v>
      </c>
      <c r="AX747" s="1">
        <v>2012.0</v>
      </c>
      <c r="AZ747" s="1" t="s">
        <v>545</v>
      </c>
      <c r="BA747" s="1" t="str">
        <f>"19242140380000"</f>
        <v>19242140380000</v>
      </c>
      <c r="BC747" s="1">
        <v>1400.0</v>
      </c>
      <c r="BD747" s="1">
        <v>32694.0</v>
      </c>
      <c r="BE747" s="2">
        <v>41996.0</v>
      </c>
      <c r="BF747" s="2" t="s">
        <v>3507</v>
      </c>
      <c r="BH747" s="1">
        <v>0.0</v>
      </c>
      <c r="BK747" s="1" t="s">
        <v>204</v>
      </c>
      <c r="BL747" s="1" t="str">
        <f t="shared" si="494"/>
        <v>0</v>
      </c>
      <c r="BM747" s="1" t="str">
        <f t="shared" si="495"/>
        <v>0</v>
      </c>
      <c r="BN747" s="1">
        <v>2428.0</v>
      </c>
      <c r="BO747" s="1">
        <v>6400.0</v>
      </c>
      <c r="BQ747" s="1">
        <v>299.0</v>
      </c>
      <c r="BR747" s="1">
        <v>299.0</v>
      </c>
      <c r="BS747" s="1">
        <v>299.0</v>
      </c>
      <c r="BU747" s="1" t="s">
        <v>363</v>
      </c>
      <c r="BV747" s="1" t="s">
        <v>206</v>
      </c>
      <c r="BY747" s="1" t="s">
        <v>269</v>
      </c>
      <c r="BZ747" s="1" t="s">
        <v>206</v>
      </c>
      <c r="CC747" s="1" t="s">
        <v>363</v>
      </c>
      <c r="CD747" s="1" t="s">
        <v>206</v>
      </c>
      <c r="CG747" s="1" t="s">
        <v>798</v>
      </c>
      <c r="CH747" s="1" t="s">
        <v>206</v>
      </c>
      <c r="CK747" s="1" t="s">
        <v>798</v>
      </c>
      <c r="CL747" s="1" t="s">
        <v>206</v>
      </c>
      <c r="CO747" s="1" t="s">
        <v>798</v>
      </c>
      <c r="CP747" s="1" t="s">
        <v>206</v>
      </c>
      <c r="CS747" s="1" t="s">
        <v>269</v>
      </c>
      <c r="CT747" s="1" t="s">
        <v>206</v>
      </c>
      <c r="CX747" s="1" t="s">
        <v>204</v>
      </c>
      <c r="DA747" s="1" t="s">
        <v>200</v>
      </c>
      <c r="DC747" s="1" t="s">
        <v>216</v>
      </c>
      <c r="DE747" s="1" t="s">
        <v>1139</v>
      </c>
      <c r="DF747" s="1" t="s">
        <v>619</v>
      </c>
      <c r="DH747" s="1" t="s">
        <v>220</v>
      </c>
      <c r="DJ747" s="1" t="s">
        <v>222</v>
      </c>
      <c r="DL747" s="1" t="s">
        <v>223</v>
      </c>
      <c r="DM747" s="1" t="s">
        <v>229</v>
      </c>
      <c r="DQ747" s="1" t="s">
        <v>228</v>
      </c>
      <c r="DR747" s="1" t="s">
        <v>229</v>
      </c>
      <c r="DV747" s="1" t="s">
        <v>232</v>
      </c>
      <c r="DW747" s="1" t="s">
        <v>279</v>
      </c>
      <c r="DX747" s="1" t="s">
        <v>234</v>
      </c>
      <c r="EC747" s="1" t="s">
        <v>685</v>
      </c>
      <c r="EE747" s="1" t="s">
        <v>1960</v>
      </c>
      <c r="EM747" s="1" t="s">
        <v>238</v>
      </c>
      <c r="EQ747" s="1" t="s">
        <v>238</v>
      </c>
      <c r="EU747" s="1" t="s">
        <v>238</v>
      </c>
      <c r="EY747" s="1" t="s">
        <v>238</v>
      </c>
      <c r="FC747" s="1" t="s">
        <v>238</v>
      </c>
      <c r="FF747" s="1" t="s">
        <v>239</v>
      </c>
      <c r="FG747" s="1" t="s">
        <v>192</v>
      </c>
      <c r="FH747" s="1" t="s">
        <v>192</v>
      </c>
      <c r="FJ747" s="1" t="s">
        <v>3509</v>
      </c>
      <c r="FK747" s="1" t="s">
        <v>229</v>
      </c>
      <c r="FL747" s="1" t="s">
        <v>3033</v>
      </c>
      <c r="FM747" s="1">
        <v>1984.0</v>
      </c>
      <c r="FN747" s="1" t="s">
        <v>3034</v>
      </c>
      <c r="FO747" s="1" t="s">
        <v>3035</v>
      </c>
      <c r="FP747" s="1">
        <v>922950.0</v>
      </c>
      <c r="FU747" s="1" t="s">
        <v>3036</v>
      </c>
      <c r="FV747" s="1" t="s">
        <v>200</v>
      </c>
      <c r="FW747" s="1" t="s">
        <v>4335</v>
      </c>
      <c r="FX747" s="1" t="s">
        <v>655</v>
      </c>
      <c r="FZ747" s="1" t="s">
        <v>229</v>
      </c>
      <c r="GA747" s="1" t="s">
        <v>291</v>
      </c>
      <c r="GB747" s="2">
        <v>42041.0</v>
      </c>
      <c r="GC747" s="1" t="s">
        <v>7564</v>
      </c>
    </row>
    <row r="748">
      <c r="A748" s="1">
        <v>186600.0</v>
      </c>
      <c r="B748" s="1" t="s">
        <v>185</v>
      </c>
      <c r="C748" s="1" t="str">
        <f>"08813394"</f>
        <v>08813394</v>
      </c>
      <c r="D748" s="1" t="s">
        <v>186</v>
      </c>
      <c r="F748" s="1" t="str">
        <f>"8017"</f>
        <v>8017</v>
      </c>
      <c r="G748" s="2">
        <v>42013.0</v>
      </c>
      <c r="H748" s="1">
        <v>189000.0</v>
      </c>
      <c r="I748" s="1">
        <v>68.0</v>
      </c>
      <c r="J748" s="1">
        <v>189000.0</v>
      </c>
      <c r="K748" s="2">
        <v>42016.0</v>
      </c>
      <c r="L748" s="1">
        <v>4.0</v>
      </c>
      <c r="M748" s="2">
        <v>42016.0</v>
      </c>
      <c r="N748" s="1" t="s">
        <v>249</v>
      </c>
      <c r="O748" s="2">
        <v>42033.0</v>
      </c>
      <c r="P748" s="1">
        <v>132241.0</v>
      </c>
      <c r="Q748" s="1">
        <v>85100.0</v>
      </c>
      <c r="S748" s="1">
        <v>7027.0</v>
      </c>
      <c r="T748" s="1" t="s">
        <v>5356</v>
      </c>
      <c r="U748" s="1" t="s">
        <v>320</v>
      </c>
      <c r="V748" s="1" t="s">
        <v>190</v>
      </c>
      <c r="W748" s="1">
        <v>60634.0</v>
      </c>
      <c r="Y748" s="1" t="s">
        <v>8945</v>
      </c>
      <c r="Z748" s="1">
        <v>1948.0</v>
      </c>
      <c r="AA748" s="1" t="s">
        <v>192</v>
      </c>
      <c r="AB748" s="1" t="s">
        <v>193</v>
      </c>
      <c r="AD748" s="1" t="s">
        <v>194</v>
      </c>
      <c r="AE748" s="1" t="s">
        <v>195</v>
      </c>
      <c r="AF748" s="1" t="s">
        <v>196</v>
      </c>
      <c r="AH748" s="1" t="s">
        <v>779</v>
      </c>
      <c r="AI748" s="1">
        <v>0.0861</v>
      </c>
      <c r="AK748" s="1">
        <v>6.0</v>
      </c>
      <c r="AL748" s="1">
        <v>4.0</v>
      </c>
      <c r="AM748" s="1">
        <v>2.0</v>
      </c>
      <c r="AN748" s="1">
        <v>0.0</v>
      </c>
      <c r="AO748" s="1" t="s">
        <v>229</v>
      </c>
      <c r="AQ748" s="1" t="s">
        <v>198</v>
      </c>
      <c r="AR748" s="1" t="s">
        <v>200</v>
      </c>
      <c r="AS748" s="1" t="s">
        <v>199</v>
      </c>
      <c r="AT748" s="1">
        <v>2.0</v>
      </c>
      <c r="AV748" s="1" t="s">
        <v>200</v>
      </c>
      <c r="AW748" s="1">
        <v>1389.0</v>
      </c>
      <c r="AX748" s="1">
        <v>2012.0</v>
      </c>
      <c r="AZ748" s="1" t="s">
        <v>200</v>
      </c>
      <c r="BA748" s="1" t="str">
        <f>"13193290060000"</f>
        <v>13193290060000</v>
      </c>
      <c r="BC748" s="1">
        <v>0.0</v>
      </c>
      <c r="BD748" s="1">
        <v>186600.0</v>
      </c>
      <c r="BE748" s="2">
        <v>42013.0</v>
      </c>
      <c r="BF748" s="1" t="s">
        <v>8946</v>
      </c>
      <c r="BH748" s="1">
        <v>0.0</v>
      </c>
      <c r="BK748" s="1" t="s">
        <v>204</v>
      </c>
      <c r="BL748" s="1" t="str">
        <f>"3300"</f>
        <v>3300</v>
      </c>
      <c r="BM748" s="1" t="str">
        <f t="shared" si="495"/>
        <v>0</v>
      </c>
      <c r="BN748" s="1">
        <v>7027.0</v>
      </c>
      <c r="BO748" s="1">
        <v>0.0</v>
      </c>
      <c r="BQ748" s="1">
        <v>299.0</v>
      </c>
      <c r="BR748" s="1">
        <v>299.0</v>
      </c>
      <c r="BS748" s="1">
        <v>299.0</v>
      </c>
      <c r="BU748" s="1" t="s">
        <v>2713</v>
      </c>
      <c r="BV748" s="1" t="s">
        <v>206</v>
      </c>
      <c r="BW748" s="1" t="s">
        <v>210</v>
      </c>
      <c r="BY748" s="1" t="s">
        <v>663</v>
      </c>
      <c r="BZ748" s="1" t="s">
        <v>206</v>
      </c>
      <c r="CD748" s="1" t="s">
        <v>204</v>
      </c>
      <c r="CG748" s="1" t="s">
        <v>663</v>
      </c>
      <c r="CH748" s="1" t="s">
        <v>206</v>
      </c>
      <c r="CK748" s="1" t="s">
        <v>215</v>
      </c>
      <c r="CL748" s="1" t="s">
        <v>209</v>
      </c>
      <c r="CO748" s="1" t="s">
        <v>2224</v>
      </c>
      <c r="CP748" s="1" t="s">
        <v>209</v>
      </c>
      <c r="CS748" s="1" t="s">
        <v>5266</v>
      </c>
      <c r="CT748" s="1" t="s">
        <v>206</v>
      </c>
      <c r="CX748" s="1" t="s">
        <v>204</v>
      </c>
      <c r="DA748" s="1" t="s">
        <v>200</v>
      </c>
      <c r="DC748" s="1" t="s">
        <v>702</v>
      </c>
      <c r="DD748" s="1" t="s">
        <v>518</v>
      </c>
      <c r="DE748" s="1" t="s">
        <v>229</v>
      </c>
      <c r="DF748" s="1" t="s">
        <v>8745</v>
      </c>
      <c r="DH748" s="1" t="s">
        <v>365</v>
      </c>
      <c r="DJ748" s="1" t="s">
        <v>222</v>
      </c>
      <c r="DL748" s="1" t="s">
        <v>858</v>
      </c>
      <c r="DM748" s="1" t="s">
        <v>229</v>
      </c>
      <c r="DQ748" s="1" t="s">
        <v>718</v>
      </c>
      <c r="DR748" s="1" t="s">
        <v>229</v>
      </c>
      <c r="DV748" s="1" t="s">
        <v>374</v>
      </c>
      <c r="DW748" s="1" t="s">
        <v>279</v>
      </c>
      <c r="DX748" s="1" t="s">
        <v>234</v>
      </c>
      <c r="EC748" s="1" t="s">
        <v>645</v>
      </c>
      <c r="EG748" s="1" t="s">
        <v>374</v>
      </c>
      <c r="EL748" s="1" t="s">
        <v>1352</v>
      </c>
      <c r="EM748" s="1" t="s">
        <v>206</v>
      </c>
      <c r="EQ748" s="1" t="s">
        <v>238</v>
      </c>
      <c r="EU748" s="1" t="s">
        <v>238</v>
      </c>
      <c r="EY748" s="1" t="s">
        <v>238</v>
      </c>
      <c r="FC748" s="1" t="s">
        <v>238</v>
      </c>
      <c r="FF748" s="1" t="s">
        <v>239</v>
      </c>
      <c r="FG748" s="1" t="s">
        <v>192</v>
      </c>
      <c r="FH748" s="1" t="s">
        <v>192</v>
      </c>
      <c r="FJ748" s="1" t="s">
        <v>524</v>
      </c>
      <c r="FK748" s="1" t="s">
        <v>601</v>
      </c>
      <c r="FL748" s="1" t="s">
        <v>8947</v>
      </c>
      <c r="FM748" s="1">
        <v>8428.0</v>
      </c>
      <c r="FN748" s="1" t="s">
        <v>8948</v>
      </c>
      <c r="FO748" s="1" t="s">
        <v>8949</v>
      </c>
      <c r="FP748" s="1">
        <v>84180.0</v>
      </c>
      <c r="FQ748" s="1" t="s">
        <v>8948</v>
      </c>
      <c r="FU748" s="1" t="s">
        <v>4958</v>
      </c>
      <c r="FV748" s="1" t="s">
        <v>200</v>
      </c>
      <c r="FW748" s="1" t="s">
        <v>4583</v>
      </c>
      <c r="FX748" s="1" t="s">
        <v>246</v>
      </c>
      <c r="FZ748" s="1" t="s">
        <v>229</v>
      </c>
      <c r="GA748" s="1" t="s">
        <v>291</v>
      </c>
      <c r="GB748" s="2">
        <v>42033.0</v>
      </c>
      <c r="GC748" s="1" t="s">
        <v>8950</v>
      </c>
    </row>
    <row r="749">
      <c r="A749" s="1">
        <v>271000.0</v>
      </c>
      <c r="B749" s="1" t="s">
        <v>185</v>
      </c>
      <c r="C749" s="1" t="str">
        <f>"08809923"</f>
        <v>08809923</v>
      </c>
      <c r="D749" s="1" t="s">
        <v>186</v>
      </c>
      <c r="F749" s="1" t="str">
        <f>"8059"</f>
        <v>8059</v>
      </c>
      <c r="G749" s="2">
        <v>42009.0</v>
      </c>
      <c r="H749" s="1">
        <v>279000.0</v>
      </c>
      <c r="I749" s="1">
        <v>45.0</v>
      </c>
      <c r="J749" s="1">
        <v>269000.0</v>
      </c>
      <c r="K749" s="2">
        <v>42053.0</v>
      </c>
      <c r="L749" s="1">
        <v>45.0</v>
      </c>
      <c r="M749" s="2">
        <v>42053.0</v>
      </c>
      <c r="N749" s="1" t="s">
        <v>187</v>
      </c>
      <c r="O749" s="2">
        <v>42090.0</v>
      </c>
      <c r="P749" s="1">
        <v>145485.0</v>
      </c>
      <c r="Q749" s="1">
        <v>40191.0</v>
      </c>
      <c r="S749" s="1">
        <v>3223.0</v>
      </c>
      <c r="T749" s="1" t="s">
        <v>8951</v>
      </c>
      <c r="U749" s="1" t="s">
        <v>320</v>
      </c>
      <c r="V749" s="1" t="s">
        <v>190</v>
      </c>
      <c r="W749" s="1">
        <v>60608.0</v>
      </c>
      <c r="Y749" s="1" t="s">
        <v>8952</v>
      </c>
      <c r="Z749" s="1">
        <v>1890.0</v>
      </c>
      <c r="AA749" s="1" t="s">
        <v>192</v>
      </c>
      <c r="AB749" s="1" t="s">
        <v>193</v>
      </c>
      <c r="AD749" s="1" t="s">
        <v>194</v>
      </c>
      <c r="AE749" s="1" t="s">
        <v>195</v>
      </c>
      <c r="AF749" s="1" t="s">
        <v>1154</v>
      </c>
      <c r="AH749" s="1" t="s">
        <v>4868</v>
      </c>
      <c r="AI749" s="1">
        <v>0.0689</v>
      </c>
      <c r="AK749" s="1">
        <v>8.0</v>
      </c>
      <c r="AL749" s="1">
        <v>4.0</v>
      </c>
      <c r="AM749" s="1">
        <v>2.0</v>
      </c>
      <c r="AN749" s="1">
        <v>1.0</v>
      </c>
      <c r="AO749" s="1" t="s">
        <v>229</v>
      </c>
      <c r="AQ749" s="1" t="s">
        <v>198</v>
      </c>
      <c r="AR749" s="1" t="s">
        <v>192</v>
      </c>
      <c r="AS749" s="1" t="s">
        <v>199</v>
      </c>
      <c r="AT749" s="1">
        <v>2.0</v>
      </c>
      <c r="AV749" s="1" t="s">
        <v>200</v>
      </c>
      <c r="AW749" s="1">
        <v>2922.88</v>
      </c>
      <c r="AX749" s="1">
        <v>2012.0</v>
      </c>
      <c r="AZ749" s="1" t="s">
        <v>200</v>
      </c>
      <c r="BA749" s="1" t="str">
        <f>"17311070030000"</f>
        <v>17311070030000</v>
      </c>
      <c r="BC749" s="1">
        <v>2400.0</v>
      </c>
      <c r="BD749" s="1">
        <v>271000.0</v>
      </c>
      <c r="BE749" s="2">
        <v>42009.0</v>
      </c>
      <c r="BF749" s="2" t="s">
        <v>8953</v>
      </c>
      <c r="BH749" s="1">
        <v>0.0</v>
      </c>
      <c r="BK749" s="1" t="s">
        <v>204</v>
      </c>
      <c r="BL749" s="1" t="str">
        <f t="shared" ref="BL749:BM749" si="496">"0"</f>
        <v>0</v>
      </c>
      <c r="BM749" s="1" t="str">
        <f t="shared" si="496"/>
        <v>0</v>
      </c>
      <c r="BN749" s="1">
        <v>2200.0</v>
      </c>
      <c r="BO749" s="1">
        <v>3223.0</v>
      </c>
      <c r="BQ749" s="1">
        <v>299.0</v>
      </c>
      <c r="BR749" s="1">
        <v>299.0</v>
      </c>
      <c r="BS749" s="1">
        <v>299.0</v>
      </c>
      <c r="BU749" s="1" t="s">
        <v>453</v>
      </c>
      <c r="BV749" s="1" t="s">
        <v>206</v>
      </c>
      <c r="BW749" s="1" t="s">
        <v>207</v>
      </c>
      <c r="BY749" s="1" t="s">
        <v>333</v>
      </c>
      <c r="BZ749" s="1" t="s">
        <v>114</v>
      </c>
      <c r="CA749" s="1" t="s">
        <v>210</v>
      </c>
      <c r="CC749" s="1" t="s">
        <v>6414</v>
      </c>
      <c r="CD749" s="1" t="s">
        <v>206</v>
      </c>
      <c r="CE749" s="1" t="s">
        <v>207</v>
      </c>
      <c r="CG749" s="1" t="s">
        <v>1584</v>
      </c>
      <c r="CH749" s="1" t="s">
        <v>206</v>
      </c>
      <c r="CI749" s="1" t="s">
        <v>207</v>
      </c>
      <c r="CK749" s="1" t="s">
        <v>798</v>
      </c>
      <c r="CL749" s="1" t="s">
        <v>206</v>
      </c>
      <c r="CM749" s="1" t="s">
        <v>1136</v>
      </c>
      <c r="CO749" s="1" t="s">
        <v>1316</v>
      </c>
      <c r="CP749" s="1" t="s">
        <v>267</v>
      </c>
      <c r="CQ749" s="1" t="s">
        <v>210</v>
      </c>
      <c r="CS749" s="1" t="s">
        <v>584</v>
      </c>
      <c r="CT749" s="1" t="s">
        <v>206</v>
      </c>
      <c r="CU749" s="1" t="s">
        <v>1136</v>
      </c>
      <c r="CW749" s="1" t="s">
        <v>453</v>
      </c>
      <c r="CX749" s="1" t="s">
        <v>114</v>
      </c>
      <c r="CY749" s="1" t="s">
        <v>210</v>
      </c>
      <c r="DA749" s="1" t="s">
        <v>200</v>
      </c>
      <c r="DC749" s="1" t="s">
        <v>642</v>
      </c>
      <c r="DE749" s="1" t="s">
        <v>273</v>
      </c>
      <c r="DF749" s="1" t="s">
        <v>619</v>
      </c>
      <c r="DH749" s="1" t="s">
        <v>365</v>
      </c>
      <c r="DJ749" s="1" t="s">
        <v>222</v>
      </c>
      <c r="DL749" s="1" t="s">
        <v>224</v>
      </c>
      <c r="DM749" s="1" t="s">
        <v>229</v>
      </c>
      <c r="DQ749" s="1" t="s">
        <v>228</v>
      </c>
      <c r="DR749" s="1" t="s">
        <v>229</v>
      </c>
      <c r="DV749" s="1" t="s">
        <v>232</v>
      </c>
      <c r="DW749" s="1" t="s">
        <v>279</v>
      </c>
      <c r="DX749" s="1" t="s">
        <v>234</v>
      </c>
      <c r="EC749" s="1" t="s">
        <v>645</v>
      </c>
      <c r="EM749" s="1" t="s">
        <v>238</v>
      </c>
      <c r="EQ749" s="1" t="s">
        <v>238</v>
      </c>
      <c r="EU749" s="1" t="s">
        <v>238</v>
      </c>
      <c r="EY749" s="1" t="s">
        <v>238</v>
      </c>
      <c r="FC749" s="1" t="s">
        <v>238</v>
      </c>
      <c r="FF749" s="1" t="s">
        <v>239</v>
      </c>
      <c r="FG749" s="1" t="s">
        <v>192</v>
      </c>
      <c r="FH749" s="1" t="s">
        <v>192</v>
      </c>
      <c r="FJ749" s="1" t="s">
        <v>8954</v>
      </c>
      <c r="FK749" s="1" t="s">
        <v>229</v>
      </c>
      <c r="FL749" s="1" t="s">
        <v>8955</v>
      </c>
      <c r="FM749" s="1">
        <v>85685.0</v>
      </c>
      <c r="FN749" s="1" t="s">
        <v>8956</v>
      </c>
      <c r="FO749" s="1" t="s">
        <v>8957</v>
      </c>
      <c r="FP749" s="1">
        <v>874710.0</v>
      </c>
      <c r="FU749" s="1" t="s">
        <v>8958</v>
      </c>
      <c r="FV749" s="1" t="s">
        <v>192</v>
      </c>
      <c r="FW749" s="1" t="s">
        <v>290</v>
      </c>
      <c r="FX749" s="1" t="s">
        <v>655</v>
      </c>
      <c r="FZ749" s="1" t="s">
        <v>229</v>
      </c>
      <c r="GA749" s="1" t="s">
        <v>291</v>
      </c>
      <c r="GB749" s="2">
        <v>42093.0</v>
      </c>
      <c r="GC749" s="1" t="s">
        <v>8959</v>
      </c>
    </row>
    <row r="750">
      <c r="A750" s="1">
        <v>173000.0</v>
      </c>
      <c r="B750" s="1" t="s">
        <v>185</v>
      </c>
      <c r="C750" s="1" t="str">
        <f>"08809026"</f>
        <v>08809026</v>
      </c>
      <c r="D750" s="1" t="s">
        <v>186</v>
      </c>
      <c r="F750" s="1" t="str">
        <f>"8048"</f>
        <v>8048</v>
      </c>
      <c r="G750" s="2">
        <v>42007.0</v>
      </c>
      <c r="H750" s="1">
        <v>175900.0</v>
      </c>
      <c r="I750" s="1">
        <v>193.0</v>
      </c>
      <c r="J750" s="1">
        <v>175900.0</v>
      </c>
      <c r="K750" s="2">
        <v>42007.0</v>
      </c>
      <c r="L750" s="1">
        <v>1.0</v>
      </c>
      <c r="M750" s="2">
        <v>42007.0</v>
      </c>
      <c r="N750" s="1" t="s">
        <v>356</v>
      </c>
      <c r="O750" s="2">
        <v>42039.0</v>
      </c>
      <c r="P750" s="1">
        <v>225814.0</v>
      </c>
      <c r="Q750" s="1">
        <v>23426.0</v>
      </c>
      <c r="S750" s="1">
        <v>8719.0</v>
      </c>
      <c r="T750" s="1" t="s">
        <v>8960</v>
      </c>
      <c r="U750" s="1" t="s">
        <v>189</v>
      </c>
      <c r="V750" s="1" t="s">
        <v>190</v>
      </c>
      <c r="W750" s="1">
        <v>60619.0</v>
      </c>
      <c r="Y750" s="1" t="s">
        <v>8961</v>
      </c>
      <c r="Z750" s="1">
        <v>1938.0</v>
      </c>
      <c r="AA750" s="1" t="s">
        <v>192</v>
      </c>
      <c r="AB750" s="1" t="s">
        <v>193</v>
      </c>
      <c r="AD750" s="1" t="s">
        <v>194</v>
      </c>
      <c r="AE750" s="1" t="s">
        <v>195</v>
      </c>
      <c r="AF750" s="1" t="s">
        <v>637</v>
      </c>
      <c r="AH750" s="1" t="s">
        <v>779</v>
      </c>
      <c r="AI750" s="1">
        <v>0.1004</v>
      </c>
      <c r="AK750" s="1">
        <v>7.0</v>
      </c>
      <c r="AL750" s="1">
        <v>3.0</v>
      </c>
      <c r="AM750" s="1">
        <v>3.0</v>
      </c>
      <c r="AN750" s="1">
        <v>0.0</v>
      </c>
      <c r="AO750" s="1" t="s">
        <v>198</v>
      </c>
      <c r="AQ750" s="1" t="s">
        <v>198</v>
      </c>
      <c r="AR750" s="1" t="s">
        <v>192</v>
      </c>
      <c r="AS750" s="1" t="s">
        <v>199</v>
      </c>
      <c r="AT750" s="1">
        <v>2.0</v>
      </c>
      <c r="AV750" s="1" t="s">
        <v>200</v>
      </c>
      <c r="AW750" s="1">
        <v>2020.69</v>
      </c>
      <c r="AX750" s="1">
        <v>2012.0</v>
      </c>
      <c r="AZ750" s="1" t="s">
        <v>200</v>
      </c>
      <c r="BA750" s="1" t="str">
        <f>"25022040120000"</f>
        <v>25022040120000</v>
      </c>
      <c r="BC750" s="1">
        <v>1800.0</v>
      </c>
      <c r="BD750" s="1">
        <v>173000.0</v>
      </c>
      <c r="BE750" s="2">
        <v>42007.0</v>
      </c>
      <c r="BF750" s="2" t="s">
        <v>8962</v>
      </c>
      <c r="BH750" s="1">
        <v>0.0</v>
      </c>
      <c r="BK750" s="1" t="s">
        <v>204</v>
      </c>
      <c r="BL750" s="1" t="str">
        <f t="shared" ref="BL750:BL751" si="497">"0"</f>
        <v>0</v>
      </c>
      <c r="BM750" s="1" t="str">
        <f>"1300"</f>
        <v>1300</v>
      </c>
      <c r="BN750" s="1">
        <v>0.0</v>
      </c>
      <c r="BO750" s="1">
        <v>8719.0</v>
      </c>
      <c r="BQ750" s="1">
        <v>299.0</v>
      </c>
      <c r="BR750" s="1">
        <v>299.0</v>
      </c>
      <c r="BS750" s="1">
        <v>299.0</v>
      </c>
      <c r="BU750" s="1" t="s">
        <v>616</v>
      </c>
      <c r="BV750" s="1" t="s">
        <v>206</v>
      </c>
      <c r="BW750" s="1" t="s">
        <v>207</v>
      </c>
      <c r="BY750" s="1" t="s">
        <v>1426</v>
      </c>
      <c r="BZ750" s="1" t="s">
        <v>209</v>
      </c>
      <c r="CA750" s="1" t="s">
        <v>210</v>
      </c>
      <c r="CC750" s="1" t="s">
        <v>332</v>
      </c>
      <c r="CD750" s="1" t="s">
        <v>206</v>
      </c>
      <c r="CE750" s="1" t="s">
        <v>207</v>
      </c>
      <c r="CG750" s="1" t="s">
        <v>212</v>
      </c>
      <c r="CH750" s="1" t="s">
        <v>206</v>
      </c>
      <c r="CI750" s="1" t="s">
        <v>207</v>
      </c>
      <c r="CK750" s="1" t="s">
        <v>495</v>
      </c>
      <c r="CL750" s="1" t="s">
        <v>206</v>
      </c>
      <c r="CM750" s="1" t="s">
        <v>207</v>
      </c>
      <c r="CO750" s="1" t="s">
        <v>264</v>
      </c>
      <c r="CP750" s="1" t="s">
        <v>42</v>
      </c>
      <c r="CQ750" s="1" t="s">
        <v>210</v>
      </c>
      <c r="CS750" s="1" t="s">
        <v>497</v>
      </c>
      <c r="CT750" s="1" t="s">
        <v>206</v>
      </c>
      <c r="CU750" s="1" t="s">
        <v>207</v>
      </c>
      <c r="CX750" s="1" t="s">
        <v>204</v>
      </c>
      <c r="DA750" s="1" t="s">
        <v>200</v>
      </c>
      <c r="DC750" s="1" t="s">
        <v>1399</v>
      </c>
      <c r="DE750" s="1" t="s">
        <v>273</v>
      </c>
      <c r="DF750" s="1" t="s">
        <v>219</v>
      </c>
      <c r="DH750" s="1" t="s">
        <v>365</v>
      </c>
      <c r="DI750" s="1" t="s">
        <v>8963</v>
      </c>
      <c r="DJ750" s="1" t="s">
        <v>222</v>
      </c>
      <c r="DL750" s="1" t="s">
        <v>224</v>
      </c>
      <c r="DM750" s="1" t="s">
        <v>1658</v>
      </c>
      <c r="DQ750" s="1" t="s">
        <v>228</v>
      </c>
      <c r="DR750" s="1" t="s">
        <v>229</v>
      </c>
      <c r="DS750" s="1" t="s">
        <v>591</v>
      </c>
      <c r="DV750" s="1" t="s">
        <v>232</v>
      </c>
      <c r="DW750" s="1" t="s">
        <v>279</v>
      </c>
      <c r="DX750" s="1" t="s">
        <v>234</v>
      </c>
      <c r="EA750" s="1" t="s">
        <v>2535</v>
      </c>
      <c r="EC750" s="1" t="s">
        <v>645</v>
      </c>
      <c r="EE750" s="1" t="s">
        <v>493</v>
      </c>
      <c r="EM750" s="1" t="s">
        <v>238</v>
      </c>
      <c r="EQ750" s="1" t="s">
        <v>238</v>
      </c>
      <c r="EU750" s="1" t="s">
        <v>238</v>
      </c>
      <c r="EY750" s="1" t="s">
        <v>238</v>
      </c>
      <c r="FC750" s="1" t="s">
        <v>238</v>
      </c>
      <c r="FF750" s="1" t="s">
        <v>239</v>
      </c>
      <c r="FG750" s="1" t="s">
        <v>192</v>
      </c>
      <c r="FH750" s="1" t="s">
        <v>192</v>
      </c>
      <c r="FJ750" s="1" t="s">
        <v>6821</v>
      </c>
      <c r="FK750" s="1" t="s">
        <v>229</v>
      </c>
      <c r="FL750" s="1" t="s">
        <v>2854</v>
      </c>
      <c r="FM750" s="1">
        <v>85043.0</v>
      </c>
      <c r="FN750" s="1" t="s">
        <v>2855</v>
      </c>
      <c r="FO750" s="1" t="s">
        <v>2856</v>
      </c>
      <c r="FP750" s="1">
        <v>189258.0</v>
      </c>
      <c r="FU750" s="1" t="s">
        <v>710</v>
      </c>
      <c r="FV750" s="1" t="s">
        <v>200</v>
      </c>
      <c r="FW750" s="1" t="s">
        <v>290</v>
      </c>
      <c r="FX750" s="1" t="s">
        <v>655</v>
      </c>
      <c r="FZ750" s="1" t="s">
        <v>229</v>
      </c>
      <c r="GA750" s="1" t="s">
        <v>291</v>
      </c>
      <c r="GB750" s="2">
        <v>42041.0</v>
      </c>
      <c r="GC750" s="1" t="s">
        <v>8964</v>
      </c>
    </row>
    <row r="751">
      <c r="A751" s="1">
        <v>190000.0</v>
      </c>
      <c r="B751" s="1" t="s">
        <v>185</v>
      </c>
      <c r="C751" s="1" t="str">
        <f>"08814305"</f>
        <v>08814305</v>
      </c>
      <c r="D751" s="1" t="s">
        <v>186</v>
      </c>
      <c r="F751" s="1" t="str">
        <f>"8056"</f>
        <v>8056</v>
      </c>
      <c r="G751" s="2">
        <v>42016.0</v>
      </c>
      <c r="H751" s="1">
        <v>184900.0</v>
      </c>
      <c r="I751" s="1">
        <v>8.0</v>
      </c>
      <c r="J751" s="1">
        <v>184900.0</v>
      </c>
      <c r="K751" s="2">
        <v>42023.0</v>
      </c>
      <c r="L751" s="1">
        <v>8.0</v>
      </c>
      <c r="M751" s="2">
        <v>42023.0</v>
      </c>
      <c r="N751" s="1" t="s">
        <v>187</v>
      </c>
      <c r="O751" s="2">
        <v>42058.0</v>
      </c>
      <c r="P751" s="1">
        <v>841889.0</v>
      </c>
      <c r="Q751" s="1">
        <v>16734.0</v>
      </c>
      <c r="R751" s="1">
        <v>5000.0</v>
      </c>
      <c r="S751" s="1">
        <v>4639.0</v>
      </c>
      <c r="T751" s="1" t="s">
        <v>8965</v>
      </c>
      <c r="U751" s="1" t="s">
        <v>189</v>
      </c>
      <c r="V751" s="1" t="s">
        <v>190</v>
      </c>
      <c r="W751" s="1">
        <v>60638.0</v>
      </c>
      <c r="Y751" s="1" t="s">
        <v>8966</v>
      </c>
      <c r="Z751" s="1">
        <v>1952.0</v>
      </c>
      <c r="AA751" s="1" t="s">
        <v>192</v>
      </c>
      <c r="AB751" s="1" t="s">
        <v>193</v>
      </c>
      <c r="AD751" s="1" t="s">
        <v>194</v>
      </c>
      <c r="AE751" s="1" t="s">
        <v>195</v>
      </c>
      <c r="AF751" s="1" t="s">
        <v>659</v>
      </c>
      <c r="AH751" s="1" t="s">
        <v>779</v>
      </c>
      <c r="AI751" s="1">
        <v>0.0868</v>
      </c>
      <c r="AK751" s="1">
        <v>7.0</v>
      </c>
      <c r="AL751" s="1">
        <v>3.0</v>
      </c>
      <c r="AM751" s="1">
        <v>2.0</v>
      </c>
      <c r="AN751" s="1">
        <v>0.0</v>
      </c>
      <c r="AO751" s="1" t="s">
        <v>229</v>
      </c>
      <c r="AQ751" s="1" t="s">
        <v>198</v>
      </c>
      <c r="AR751" s="1" t="s">
        <v>192</v>
      </c>
      <c r="AS751" s="1" t="s">
        <v>199</v>
      </c>
      <c r="AT751" s="1">
        <v>2.0</v>
      </c>
      <c r="AV751" s="1" t="s">
        <v>200</v>
      </c>
      <c r="AW751" s="1">
        <v>1926.73</v>
      </c>
      <c r="AX751" s="1">
        <v>2012.0</v>
      </c>
      <c r="AZ751" s="1" t="s">
        <v>200</v>
      </c>
      <c r="BA751" s="1" t="str">
        <f>"19044250120000"</f>
        <v>19044250120000</v>
      </c>
      <c r="BC751" s="1">
        <v>1400.0</v>
      </c>
      <c r="BD751" s="1">
        <v>190000.0</v>
      </c>
      <c r="BE751" s="2">
        <v>42016.0</v>
      </c>
      <c r="BF751" s="2" t="s">
        <v>8967</v>
      </c>
      <c r="BH751" s="1">
        <v>0.0</v>
      </c>
      <c r="BK751" s="1" t="s">
        <v>204</v>
      </c>
      <c r="BL751" s="1" t="str">
        <f t="shared" si="497"/>
        <v>0</v>
      </c>
      <c r="BM751" s="1" t="str">
        <f t="shared" ref="BM751:BM753" si="498">"0"</f>
        <v>0</v>
      </c>
      <c r="BN751" s="1">
        <v>5132.0</v>
      </c>
      <c r="BO751" s="1">
        <v>4639.0</v>
      </c>
      <c r="BQ751" s="1">
        <v>299.0</v>
      </c>
      <c r="BR751" s="1">
        <v>299.0</v>
      </c>
      <c r="BS751" s="1">
        <v>299.0</v>
      </c>
      <c r="BU751" s="1" t="s">
        <v>1158</v>
      </c>
      <c r="BV751" s="1" t="s">
        <v>206</v>
      </c>
      <c r="BW751" s="1" t="s">
        <v>207</v>
      </c>
      <c r="BY751" s="1" t="s">
        <v>266</v>
      </c>
      <c r="BZ751" s="1" t="s">
        <v>206</v>
      </c>
      <c r="CA751" s="1" t="s">
        <v>210</v>
      </c>
      <c r="CD751" s="1" t="s">
        <v>204</v>
      </c>
      <c r="CG751" s="1" t="s">
        <v>269</v>
      </c>
      <c r="CH751" s="1" t="s">
        <v>206</v>
      </c>
      <c r="CI751" s="1" t="s">
        <v>210</v>
      </c>
      <c r="CK751" s="1" t="s">
        <v>265</v>
      </c>
      <c r="CL751" s="1" t="s">
        <v>206</v>
      </c>
      <c r="CM751" s="1" t="s">
        <v>210</v>
      </c>
      <c r="CO751" s="1" t="s">
        <v>264</v>
      </c>
      <c r="CP751" s="1" t="s">
        <v>42</v>
      </c>
      <c r="CQ751" s="1" t="s">
        <v>268</v>
      </c>
      <c r="CS751" s="1" t="s">
        <v>363</v>
      </c>
      <c r="CT751" s="1" t="s">
        <v>206</v>
      </c>
      <c r="CU751" s="1" t="s">
        <v>268</v>
      </c>
      <c r="CW751" s="1" t="s">
        <v>2119</v>
      </c>
      <c r="CX751" s="1" t="s">
        <v>42</v>
      </c>
      <c r="CY751" s="1" t="s">
        <v>268</v>
      </c>
      <c r="DA751" s="1" t="s">
        <v>200</v>
      </c>
      <c r="DC751" s="1" t="s">
        <v>702</v>
      </c>
      <c r="DE751" s="1" t="s">
        <v>273</v>
      </c>
      <c r="DF751" s="1" t="s">
        <v>219</v>
      </c>
      <c r="DH751" s="1" t="s">
        <v>365</v>
      </c>
      <c r="DI751" s="1" t="s">
        <v>366</v>
      </c>
      <c r="DJ751" s="1" t="s">
        <v>222</v>
      </c>
      <c r="DL751" s="1" t="s">
        <v>224</v>
      </c>
      <c r="DM751" s="1" t="s">
        <v>229</v>
      </c>
      <c r="DQ751" s="1" t="s">
        <v>228</v>
      </c>
      <c r="DR751" s="1" t="s">
        <v>229</v>
      </c>
      <c r="DS751" s="1" t="s">
        <v>230</v>
      </c>
      <c r="DV751" s="1" t="s">
        <v>232</v>
      </c>
      <c r="DW751" s="1" t="s">
        <v>279</v>
      </c>
      <c r="DX751" s="1" t="s">
        <v>234</v>
      </c>
      <c r="DY751" s="1" t="s">
        <v>553</v>
      </c>
      <c r="EA751" s="1" t="s">
        <v>683</v>
      </c>
      <c r="EC751" s="1" t="s">
        <v>685</v>
      </c>
      <c r="EE751" s="1" t="s">
        <v>493</v>
      </c>
      <c r="EM751" s="1" t="s">
        <v>238</v>
      </c>
      <c r="EQ751" s="1" t="s">
        <v>238</v>
      </c>
      <c r="EU751" s="1" t="s">
        <v>238</v>
      </c>
      <c r="EY751" s="1" t="s">
        <v>238</v>
      </c>
      <c r="FC751" s="1" t="s">
        <v>238</v>
      </c>
      <c r="FF751" s="1" t="s">
        <v>239</v>
      </c>
      <c r="FG751" s="1" t="s">
        <v>192</v>
      </c>
      <c r="FH751" s="1" t="s">
        <v>192</v>
      </c>
      <c r="FJ751" s="1" t="s">
        <v>648</v>
      </c>
      <c r="FK751" s="1" t="s">
        <v>229</v>
      </c>
      <c r="FL751" s="1" t="s">
        <v>649</v>
      </c>
      <c r="FM751" s="1">
        <v>60296.0</v>
      </c>
      <c r="FN751" s="1" t="s">
        <v>650</v>
      </c>
      <c r="FO751" s="1" t="s">
        <v>651</v>
      </c>
      <c r="FP751" s="1">
        <v>602837.0</v>
      </c>
      <c r="FQ751" s="1" t="s">
        <v>652</v>
      </c>
      <c r="FR751" s="1">
        <v>602442.0</v>
      </c>
      <c r="FU751" s="1" t="s">
        <v>653</v>
      </c>
      <c r="FV751" s="1" t="s">
        <v>200</v>
      </c>
      <c r="FW751" s="1" t="s">
        <v>654</v>
      </c>
      <c r="FX751" s="1" t="s">
        <v>655</v>
      </c>
      <c r="FZ751" s="1" t="s">
        <v>229</v>
      </c>
      <c r="GA751" s="1" t="s">
        <v>291</v>
      </c>
      <c r="GB751" s="2">
        <v>42059.0</v>
      </c>
      <c r="GC751" s="1" t="s">
        <v>1372</v>
      </c>
    </row>
    <row r="752">
      <c r="A752" s="1">
        <v>443000.0</v>
      </c>
      <c r="B752" s="1" t="s">
        <v>185</v>
      </c>
      <c r="C752" s="1" t="str">
        <f>"08875749"</f>
        <v>08875749</v>
      </c>
      <c r="D752" s="1" t="s">
        <v>186</v>
      </c>
      <c r="F752" s="1" t="str">
        <f>"8022"</f>
        <v>8022</v>
      </c>
      <c r="G752" s="2">
        <v>42093.0</v>
      </c>
      <c r="H752" s="1">
        <v>449900.0</v>
      </c>
      <c r="I752" s="1">
        <v>6.0</v>
      </c>
      <c r="J752" s="1">
        <v>449900.0</v>
      </c>
      <c r="K752" s="2">
        <v>42098.0</v>
      </c>
      <c r="L752" s="1">
        <v>6.0</v>
      </c>
      <c r="M752" s="2">
        <v>42098.0</v>
      </c>
      <c r="N752" s="1" t="s">
        <v>187</v>
      </c>
      <c r="O752" s="2">
        <v>42124.0</v>
      </c>
      <c r="P752" s="1">
        <v>152526.0</v>
      </c>
      <c r="Q752" s="1">
        <v>10115.0</v>
      </c>
      <c r="S752" s="1">
        <v>1933.0</v>
      </c>
      <c r="T752" s="1" t="s">
        <v>5101</v>
      </c>
      <c r="U752" s="1" t="s">
        <v>189</v>
      </c>
      <c r="V752" s="1" t="s">
        <v>190</v>
      </c>
      <c r="W752" s="1">
        <v>60647.0</v>
      </c>
      <c r="Y752" s="1" t="s">
        <v>8968</v>
      </c>
      <c r="Z752" s="1">
        <v>2015.0</v>
      </c>
      <c r="AA752" s="1" t="s">
        <v>200</v>
      </c>
      <c r="AB752" s="1" t="s">
        <v>193</v>
      </c>
      <c r="AD752" s="1" t="s">
        <v>194</v>
      </c>
      <c r="AE752" s="1" t="s">
        <v>195</v>
      </c>
      <c r="AF752" s="1" t="s">
        <v>196</v>
      </c>
      <c r="AH752" s="1" t="s">
        <v>8969</v>
      </c>
      <c r="AK752" s="1">
        <v>8.0</v>
      </c>
      <c r="AL752" s="1">
        <v>3.0</v>
      </c>
      <c r="AM752" s="1">
        <v>3.0</v>
      </c>
      <c r="AN752" s="1">
        <v>1.0</v>
      </c>
      <c r="AO752" s="1" t="s">
        <v>198</v>
      </c>
      <c r="AQ752" s="1" t="s">
        <v>198</v>
      </c>
      <c r="AR752" s="1" t="s">
        <v>192</v>
      </c>
      <c r="AS752" s="1" t="s">
        <v>199</v>
      </c>
      <c r="AT752" s="1">
        <v>2.0</v>
      </c>
      <c r="AV752" s="1" t="s">
        <v>200</v>
      </c>
      <c r="AW752" s="1" t="s">
        <v>575</v>
      </c>
      <c r="AX752" s="1">
        <v>2013.0</v>
      </c>
      <c r="AZ752" s="1" t="s">
        <v>200</v>
      </c>
      <c r="BA752" s="1" t="str">
        <f>"13353050150000"</f>
        <v>13353050150000</v>
      </c>
      <c r="BC752" s="1">
        <v>2600.0</v>
      </c>
      <c r="BD752" s="1">
        <v>443000.0</v>
      </c>
      <c r="BE752" s="2">
        <v>42093.0</v>
      </c>
      <c r="BF752" s="2" t="s">
        <v>8970</v>
      </c>
      <c r="BH752" s="1">
        <v>0.0</v>
      </c>
      <c r="BK752" s="1" t="s">
        <v>204</v>
      </c>
      <c r="BL752" s="1" t="str">
        <f>"1933"</f>
        <v>1933</v>
      </c>
      <c r="BM752" s="1" t="str">
        <f t="shared" si="498"/>
        <v>0</v>
      </c>
      <c r="BN752" s="1">
        <v>3700.0</v>
      </c>
      <c r="BO752" s="1">
        <v>0.0</v>
      </c>
      <c r="BQ752" s="1">
        <v>299.0</v>
      </c>
      <c r="BR752" s="1">
        <v>299.0</v>
      </c>
      <c r="BS752" s="1">
        <v>299.0</v>
      </c>
      <c r="BU752" s="1" t="s">
        <v>208</v>
      </c>
      <c r="BV752" s="1" t="s">
        <v>206</v>
      </c>
      <c r="BW752" s="1" t="s">
        <v>207</v>
      </c>
      <c r="BY752" s="1" t="s">
        <v>433</v>
      </c>
      <c r="BZ752" s="1" t="s">
        <v>209</v>
      </c>
      <c r="CA752" s="1" t="s">
        <v>210</v>
      </c>
      <c r="CC752" s="1" t="s">
        <v>331</v>
      </c>
      <c r="CD752" s="1" t="s">
        <v>206</v>
      </c>
      <c r="CE752" s="1" t="s">
        <v>207</v>
      </c>
      <c r="CG752" s="1" t="s">
        <v>332</v>
      </c>
      <c r="CH752" s="1" t="s">
        <v>209</v>
      </c>
      <c r="CI752" s="1" t="s">
        <v>210</v>
      </c>
      <c r="CK752" s="1" t="s">
        <v>269</v>
      </c>
      <c r="CL752" s="1" t="s">
        <v>209</v>
      </c>
      <c r="CM752" s="1" t="s">
        <v>210</v>
      </c>
      <c r="CO752" s="1" t="s">
        <v>584</v>
      </c>
      <c r="CP752" s="1" t="s">
        <v>42</v>
      </c>
      <c r="CQ752" s="1" t="s">
        <v>210</v>
      </c>
      <c r="CS752" s="1" t="s">
        <v>784</v>
      </c>
      <c r="CT752" s="1" t="s">
        <v>206</v>
      </c>
      <c r="CU752" s="1" t="s">
        <v>207</v>
      </c>
      <c r="CX752" s="1" t="s">
        <v>204</v>
      </c>
      <c r="DA752" s="1" t="s">
        <v>192</v>
      </c>
      <c r="DB752" s="2">
        <v>42095.0</v>
      </c>
      <c r="DC752" s="1" t="s">
        <v>1353</v>
      </c>
      <c r="DD752" s="1" t="s">
        <v>3633</v>
      </c>
      <c r="DE752" s="1" t="s">
        <v>218</v>
      </c>
      <c r="DF752" s="1" t="s">
        <v>745</v>
      </c>
      <c r="DG752" s="1" t="s">
        <v>482</v>
      </c>
      <c r="DH752" s="1" t="s">
        <v>220</v>
      </c>
      <c r="DI752" s="1" t="s">
        <v>519</v>
      </c>
      <c r="DJ752" s="1" t="s">
        <v>222</v>
      </c>
      <c r="DL752" s="1" t="s">
        <v>224</v>
      </c>
      <c r="DM752" s="1" t="s">
        <v>229</v>
      </c>
      <c r="DN752" s="1" t="s">
        <v>1486</v>
      </c>
      <c r="DP752" s="1" t="s">
        <v>276</v>
      </c>
      <c r="DQ752" s="1" t="s">
        <v>228</v>
      </c>
      <c r="DR752" s="1" t="s">
        <v>229</v>
      </c>
      <c r="DU752" s="1" t="s">
        <v>746</v>
      </c>
      <c r="DV752" s="1" t="s">
        <v>450</v>
      </c>
      <c r="DW752" s="1" t="s">
        <v>1026</v>
      </c>
      <c r="DX752" s="1" t="s">
        <v>234</v>
      </c>
      <c r="DY752" s="1" t="s">
        <v>747</v>
      </c>
      <c r="DZ752" s="1" t="s">
        <v>310</v>
      </c>
      <c r="EC752" s="1" t="s">
        <v>237</v>
      </c>
      <c r="ED752" s="1" t="s">
        <v>555</v>
      </c>
      <c r="EG752" s="1" t="s">
        <v>450</v>
      </c>
      <c r="EL752" s="1" t="s">
        <v>2120</v>
      </c>
      <c r="EM752" s="1" t="s">
        <v>42</v>
      </c>
      <c r="EN752" s="1" t="s">
        <v>210</v>
      </c>
      <c r="EQ752" s="1" t="s">
        <v>238</v>
      </c>
      <c r="EU752" s="1" t="s">
        <v>238</v>
      </c>
      <c r="EY752" s="1" t="s">
        <v>238</v>
      </c>
      <c r="FC752" s="1" t="s">
        <v>238</v>
      </c>
      <c r="FF752" s="1" t="s">
        <v>239</v>
      </c>
      <c r="FG752" s="1" t="s">
        <v>192</v>
      </c>
      <c r="FH752" s="1" t="s">
        <v>192</v>
      </c>
      <c r="FJ752" s="1" t="s">
        <v>733</v>
      </c>
      <c r="FK752" s="1" t="s">
        <v>229</v>
      </c>
      <c r="FL752" s="1" t="s">
        <v>734</v>
      </c>
      <c r="FM752" s="1">
        <v>10646.0</v>
      </c>
      <c r="FN752" s="1" t="s">
        <v>735</v>
      </c>
      <c r="FO752" s="1" t="s">
        <v>736</v>
      </c>
      <c r="FP752" s="1">
        <v>139913.0</v>
      </c>
      <c r="FQ752" s="1" t="s">
        <v>737</v>
      </c>
      <c r="FU752" s="1" t="s">
        <v>738</v>
      </c>
      <c r="FV752" s="1" t="s">
        <v>200</v>
      </c>
      <c r="FW752" s="1" t="s">
        <v>530</v>
      </c>
      <c r="FX752" s="1" t="s">
        <v>238</v>
      </c>
      <c r="FZ752" s="1" t="s">
        <v>229</v>
      </c>
      <c r="GA752" s="1" t="s">
        <v>291</v>
      </c>
      <c r="GB752" s="2">
        <v>42125.0</v>
      </c>
    </row>
    <row r="753">
      <c r="A753" s="1">
        <v>168000.0</v>
      </c>
      <c r="B753" s="1" t="s">
        <v>185</v>
      </c>
      <c r="C753" s="1" t="str">
        <f>"08815196"</f>
        <v>08815196</v>
      </c>
      <c r="D753" s="1" t="s">
        <v>186</v>
      </c>
      <c r="F753" s="1" t="str">
        <f>"8025"</f>
        <v>8025</v>
      </c>
      <c r="G753" s="2">
        <v>42017.0</v>
      </c>
      <c r="H753" s="1">
        <v>175000.0</v>
      </c>
      <c r="I753" s="1">
        <v>194.0</v>
      </c>
      <c r="J753" s="1">
        <v>175000.0</v>
      </c>
      <c r="K753" s="2">
        <v>42033.0</v>
      </c>
      <c r="L753" s="1">
        <v>17.0</v>
      </c>
      <c r="M753" s="2">
        <v>42033.0</v>
      </c>
      <c r="N753" s="1" t="s">
        <v>356</v>
      </c>
      <c r="O753" s="2">
        <v>42095.0</v>
      </c>
      <c r="P753" s="1">
        <v>922544.0</v>
      </c>
      <c r="Q753" s="1">
        <v>8119.0</v>
      </c>
      <c r="S753" s="1">
        <v>1642.0</v>
      </c>
      <c r="T753" s="1" t="s">
        <v>8971</v>
      </c>
      <c r="U753" s="1" t="s">
        <v>189</v>
      </c>
      <c r="V753" s="1" t="s">
        <v>190</v>
      </c>
      <c r="W753" s="1">
        <v>60639.0</v>
      </c>
      <c r="X753" s="1">
        <v>4302.0</v>
      </c>
      <c r="Y753" s="1" t="s">
        <v>8972</v>
      </c>
      <c r="Z753" s="1">
        <v>1920.0</v>
      </c>
      <c r="AA753" s="1" t="s">
        <v>192</v>
      </c>
      <c r="AB753" s="1" t="s">
        <v>193</v>
      </c>
      <c r="AD753" s="1" t="s">
        <v>194</v>
      </c>
      <c r="AE753" s="1" t="s">
        <v>195</v>
      </c>
      <c r="AF753" s="1" t="s">
        <v>196</v>
      </c>
      <c r="AH753" s="1" t="s">
        <v>359</v>
      </c>
      <c r="AK753" s="1">
        <v>7.0</v>
      </c>
      <c r="AL753" s="1">
        <v>3.0</v>
      </c>
      <c r="AM753" s="1">
        <v>2.0</v>
      </c>
      <c r="AN753" s="1">
        <v>0.0</v>
      </c>
      <c r="AO753" s="1" t="s">
        <v>198</v>
      </c>
      <c r="AQ753" s="1" t="s">
        <v>198</v>
      </c>
      <c r="AR753" s="1" t="s">
        <v>192</v>
      </c>
      <c r="AS753" s="1" t="s">
        <v>199</v>
      </c>
      <c r="AT753" s="1">
        <v>2.0</v>
      </c>
      <c r="AV753" s="1" t="s">
        <v>200</v>
      </c>
      <c r="AW753" s="1">
        <v>2521.0</v>
      </c>
      <c r="AX753" s="1">
        <v>2012.0</v>
      </c>
      <c r="AY753" s="1" t="s">
        <v>229</v>
      </c>
      <c r="AZ753" s="1" t="s">
        <v>200</v>
      </c>
      <c r="BA753" s="1" t="str">
        <f>"13333250210000"</f>
        <v>13333250210000</v>
      </c>
      <c r="BC753" s="1">
        <v>2576.0</v>
      </c>
      <c r="BD753" s="1">
        <v>168000.0</v>
      </c>
      <c r="BE753" s="2">
        <v>42017.0</v>
      </c>
      <c r="BF753" s="1" t="s">
        <v>8973</v>
      </c>
      <c r="BG753" s="1" t="s">
        <v>8974</v>
      </c>
      <c r="BH753" s="1">
        <v>0.0</v>
      </c>
      <c r="BI753" s="1" t="s">
        <v>8974</v>
      </c>
      <c r="BJ753" s="1" t="s">
        <v>8975</v>
      </c>
      <c r="BK753" s="1" t="s">
        <v>204</v>
      </c>
      <c r="BL753" s="1" t="str">
        <f>"1642"</f>
        <v>1642</v>
      </c>
      <c r="BM753" s="1" t="str">
        <f t="shared" si="498"/>
        <v>0</v>
      </c>
      <c r="BN753" s="1">
        <v>5240.0</v>
      </c>
      <c r="BO753" s="1">
        <v>0.0</v>
      </c>
      <c r="BQ753" s="1">
        <v>299.0</v>
      </c>
      <c r="BR753" s="1">
        <v>299.0</v>
      </c>
      <c r="BS753" s="1">
        <v>299.0</v>
      </c>
      <c r="BU753" s="1" t="s">
        <v>2082</v>
      </c>
      <c r="BV753" s="1" t="s">
        <v>206</v>
      </c>
      <c r="BW753" s="1" t="s">
        <v>207</v>
      </c>
      <c r="BY753" s="1" t="s">
        <v>1158</v>
      </c>
      <c r="BZ753" s="1" t="s">
        <v>206</v>
      </c>
      <c r="CA753" s="1" t="s">
        <v>207</v>
      </c>
      <c r="CC753" s="1" t="s">
        <v>212</v>
      </c>
      <c r="CD753" s="1" t="s">
        <v>206</v>
      </c>
      <c r="CE753" s="1" t="s">
        <v>207</v>
      </c>
      <c r="CG753" s="1" t="s">
        <v>495</v>
      </c>
      <c r="CH753" s="1" t="s">
        <v>206</v>
      </c>
      <c r="CI753" s="1" t="s">
        <v>207</v>
      </c>
      <c r="CK753" s="1" t="s">
        <v>303</v>
      </c>
      <c r="CL753" s="1" t="s">
        <v>206</v>
      </c>
      <c r="CM753" s="1" t="s">
        <v>207</v>
      </c>
      <c r="CO753" s="1" t="s">
        <v>495</v>
      </c>
      <c r="CP753" s="1" t="s">
        <v>42</v>
      </c>
      <c r="CQ753" s="1" t="s">
        <v>210</v>
      </c>
      <c r="CS753" s="1" t="s">
        <v>663</v>
      </c>
      <c r="CT753" s="1" t="s">
        <v>206</v>
      </c>
      <c r="CU753" s="1" t="s">
        <v>268</v>
      </c>
      <c r="CX753" s="1" t="s">
        <v>204</v>
      </c>
      <c r="DA753" s="1" t="s">
        <v>200</v>
      </c>
      <c r="DC753" s="1" t="s">
        <v>216</v>
      </c>
      <c r="DD753" s="1" t="s">
        <v>518</v>
      </c>
      <c r="DE753" s="1" t="s">
        <v>229</v>
      </c>
      <c r="DF753" s="1" t="s">
        <v>219</v>
      </c>
      <c r="DG753" s="1" t="s">
        <v>2237</v>
      </c>
      <c r="DH753" s="1" t="s">
        <v>220</v>
      </c>
      <c r="DI753" s="1" t="s">
        <v>1318</v>
      </c>
      <c r="DJ753" s="1" t="s">
        <v>222</v>
      </c>
      <c r="DK753" s="1" t="s">
        <v>223</v>
      </c>
      <c r="DL753" s="1" t="s">
        <v>224</v>
      </c>
      <c r="DM753" s="1" t="s">
        <v>1402</v>
      </c>
      <c r="DO753" s="1" t="s">
        <v>717</v>
      </c>
      <c r="DP753" s="1" t="s">
        <v>276</v>
      </c>
      <c r="DQ753" s="1" t="s">
        <v>718</v>
      </c>
      <c r="DR753" s="1" t="s">
        <v>229</v>
      </c>
      <c r="DS753" s="1" t="s">
        <v>277</v>
      </c>
      <c r="DU753" s="1" t="s">
        <v>681</v>
      </c>
      <c r="DV753" s="1" t="s">
        <v>8976</v>
      </c>
      <c r="DW753" s="1" t="s">
        <v>279</v>
      </c>
      <c r="DX753" s="1" t="s">
        <v>234</v>
      </c>
      <c r="DY753" s="1" t="s">
        <v>553</v>
      </c>
      <c r="DZ753" s="1" t="s">
        <v>343</v>
      </c>
      <c r="EA753" s="1" t="s">
        <v>644</v>
      </c>
      <c r="EC753" s="1" t="s">
        <v>685</v>
      </c>
      <c r="EG753" s="1" t="s">
        <v>1103</v>
      </c>
      <c r="EH753" s="1" t="s">
        <v>409</v>
      </c>
      <c r="EL753" s="1" t="s">
        <v>8977</v>
      </c>
      <c r="EM753" s="1" t="s">
        <v>42</v>
      </c>
      <c r="EN753" s="1" t="s">
        <v>210</v>
      </c>
      <c r="EP753" s="1" t="s">
        <v>5562</v>
      </c>
      <c r="EQ753" s="1" t="s">
        <v>42</v>
      </c>
      <c r="ER753" s="1" t="s">
        <v>617</v>
      </c>
      <c r="EU753" s="1" t="s">
        <v>238</v>
      </c>
      <c r="EY753" s="1" t="s">
        <v>238</v>
      </c>
      <c r="FC753" s="1" t="s">
        <v>238</v>
      </c>
      <c r="FF753" s="1" t="s">
        <v>239</v>
      </c>
      <c r="FG753" s="1" t="s">
        <v>192</v>
      </c>
      <c r="FH753" s="1" t="s">
        <v>192</v>
      </c>
      <c r="FJ753" s="1" t="s">
        <v>7646</v>
      </c>
      <c r="FK753" s="1" t="s">
        <v>229</v>
      </c>
      <c r="FL753" s="1" t="s">
        <v>377</v>
      </c>
      <c r="FM753" s="1">
        <v>8430.0</v>
      </c>
      <c r="FN753" s="1" t="s">
        <v>378</v>
      </c>
      <c r="FO753" s="1" t="s">
        <v>379</v>
      </c>
      <c r="FP753" s="1">
        <v>85085.0</v>
      </c>
      <c r="FQ753" s="1" t="s">
        <v>378</v>
      </c>
      <c r="FU753" s="1" t="s">
        <v>381</v>
      </c>
      <c r="FV753" s="1" t="s">
        <v>200</v>
      </c>
      <c r="FW753" s="1" t="s">
        <v>382</v>
      </c>
      <c r="FX753" s="1" t="s">
        <v>238</v>
      </c>
      <c r="FZ753" s="1" t="s">
        <v>229</v>
      </c>
      <c r="GA753" s="1" t="s">
        <v>291</v>
      </c>
      <c r="GB753" s="2">
        <v>42095.0</v>
      </c>
    </row>
    <row r="754">
      <c r="A754" s="1">
        <v>180000.0</v>
      </c>
      <c r="B754" s="1" t="s">
        <v>185</v>
      </c>
      <c r="C754" s="1" t="str">
        <f>"08809067"</f>
        <v>08809067</v>
      </c>
      <c r="D754" s="1" t="s">
        <v>186</v>
      </c>
      <c r="F754" s="1" t="str">
        <f>"103"</f>
        <v>103</v>
      </c>
      <c r="G754" s="2">
        <v>42007.0</v>
      </c>
      <c r="H754" s="1">
        <v>179900.0</v>
      </c>
      <c r="I754" s="1">
        <v>321.0</v>
      </c>
      <c r="J754" s="1">
        <v>179900.0</v>
      </c>
      <c r="K754" s="2">
        <v>42046.0</v>
      </c>
      <c r="L754" s="1">
        <v>40.0</v>
      </c>
      <c r="M754" s="2">
        <v>42046.0</v>
      </c>
      <c r="N754" s="1" t="s">
        <v>356</v>
      </c>
      <c r="O754" s="2">
        <v>42082.0</v>
      </c>
      <c r="P754" s="1">
        <v>841672.0</v>
      </c>
      <c r="Q754" s="1">
        <v>40335.0</v>
      </c>
      <c r="R754" s="1">
        <v>6340.0</v>
      </c>
      <c r="S754" s="1">
        <v>2130.0</v>
      </c>
      <c r="T754" s="1" t="s">
        <v>8978</v>
      </c>
      <c r="U754" s="1" t="s">
        <v>189</v>
      </c>
      <c r="V754" s="1" t="s">
        <v>251</v>
      </c>
      <c r="W754" s="1">
        <v>60133.0</v>
      </c>
      <c r="Y754" s="1" t="s">
        <v>8979</v>
      </c>
      <c r="Z754" s="1">
        <v>1973.0</v>
      </c>
      <c r="AA754" s="1" t="s">
        <v>192</v>
      </c>
      <c r="AB754" s="1" t="s">
        <v>193</v>
      </c>
      <c r="AD754" s="1" t="s">
        <v>254</v>
      </c>
      <c r="AE754" s="1" t="s">
        <v>195</v>
      </c>
      <c r="AF754" s="1" t="s">
        <v>298</v>
      </c>
      <c r="AH754" s="1" t="s">
        <v>4038</v>
      </c>
      <c r="AI754" s="1">
        <v>0.1928</v>
      </c>
      <c r="AK754" s="1">
        <v>8.0</v>
      </c>
      <c r="AL754" s="1">
        <v>3.0</v>
      </c>
      <c r="AM754" s="1">
        <v>2.0</v>
      </c>
      <c r="AN754" s="1">
        <v>0.0</v>
      </c>
      <c r="AO754" s="1" t="s">
        <v>229</v>
      </c>
      <c r="AQ754" s="1" t="s">
        <v>198</v>
      </c>
      <c r="AR754" s="1" t="s">
        <v>192</v>
      </c>
      <c r="AS754" s="1" t="s">
        <v>199</v>
      </c>
      <c r="AT754" s="1">
        <v>2.0</v>
      </c>
      <c r="AV754" s="1" t="s">
        <v>200</v>
      </c>
      <c r="AW754" s="1">
        <v>7173.68</v>
      </c>
      <c r="AX754" s="1">
        <v>2012.0</v>
      </c>
      <c r="AZ754" s="1" t="s">
        <v>200</v>
      </c>
      <c r="BA754" s="1" t="str">
        <f>"06253070190000"</f>
        <v>06253070190000</v>
      </c>
      <c r="BC754" s="1">
        <v>1716.0</v>
      </c>
      <c r="BD754" s="1">
        <v>180000.0</v>
      </c>
      <c r="BE754" s="2">
        <v>42007.0</v>
      </c>
      <c r="BF754" s="1" t="s">
        <v>8980</v>
      </c>
      <c r="BH754" s="1">
        <v>0.0</v>
      </c>
      <c r="BK754" s="1" t="s">
        <v>204</v>
      </c>
      <c r="BL754" s="1" t="str">
        <f>"8"</f>
        <v>8</v>
      </c>
      <c r="BM754" s="1" t="str">
        <f>""</f>
        <v/>
      </c>
      <c r="BN754" s="1">
        <v>27.0</v>
      </c>
      <c r="BQ754" s="1">
        <v>46.0</v>
      </c>
      <c r="BR754" s="1">
        <v>46.0</v>
      </c>
      <c r="BS754" s="1">
        <v>46.0</v>
      </c>
      <c r="BU754" s="1" t="s">
        <v>1567</v>
      </c>
      <c r="BV754" s="1" t="s">
        <v>206</v>
      </c>
      <c r="BY754" s="1" t="s">
        <v>2459</v>
      </c>
      <c r="BZ754" s="1" t="s">
        <v>206</v>
      </c>
      <c r="CC754" s="1" t="s">
        <v>8981</v>
      </c>
      <c r="CD754" s="1" t="s">
        <v>206</v>
      </c>
      <c r="CG754" s="1" t="s">
        <v>663</v>
      </c>
      <c r="CH754" s="1" t="s">
        <v>206</v>
      </c>
      <c r="CK754" s="1" t="s">
        <v>7759</v>
      </c>
      <c r="CL754" s="1" t="s">
        <v>206</v>
      </c>
      <c r="CO754" s="1" t="s">
        <v>516</v>
      </c>
      <c r="CP754" s="1" t="s">
        <v>42</v>
      </c>
      <c r="CS754" s="1" t="s">
        <v>699</v>
      </c>
      <c r="CT754" s="1" t="s">
        <v>206</v>
      </c>
      <c r="CW754" s="1" t="s">
        <v>478</v>
      </c>
      <c r="CX754" s="1" t="s">
        <v>206</v>
      </c>
      <c r="DA754" s="1" t="s">
        <v>200</v>
      </c>
      <c r="DC754" s="1" t="s">
        <v>517</v>
      </c>
      <c r="DE754" s="1" t="s">
        <v>273</v>
      </c>
      <c r="DF754" s="1" t="s">
        <v>219</v>
      </c>
      <c r="DH754" s="1" t="s">
        <v>365</v>
      </c>
      <c r="DJ754" s="1" t="s">
        <v>222</v>
      </c>
      <c r="DL754" s="1" t="s">
        <v>224</v>
      </c>
      <c r="DM754" s="1" t="s">
        <v>229</v>
      </c>
      <c r="DQ754" s="1" t="s">
        <v>441</v>
      </c>
      <c r="DR754" s="1" t="s">
        <v>229</v>
      </c>
      <c r="DV754" s="1" t="s">
        <v>232</v>
      </c>
      <c r="DW754" s="1" t="s">
        <v>667</v>
      </c>
      <c r="DX754" s="1" t="s">
        <v>234</v>
      </c>
      <c r="EC754" s="1" t="s">
        <v>311</v>
      </c>
      <c r="EM754" s="1" t="s">
        <v>238</v>
      </c>
      <c r="EQ754" s="1" t="s">
        <v>238</v>
      </c>
      <c r="EU754" s="1" t="s">
        <v>238</v>
      </c>
      <c r="EY754" s="1" t="s">
        <v>238</v>
      </c>
      <c r="FC754" s="1" t="s">
        <v>238</v>
      </c>
      <c r="FF754" s="1" t="s">
        <v>239</v>
      </c>
      <c r="FG754" s="1" t="s">
        <v>192</v>
      </c>
      <c r="FH754" s="1" t="s">
        <v>192</v>
      </c>
      <c r="FJ754" s="1" t="s">
        <v>4598</v>
      </c>
      <c r="FK754" s="1" t="s">
        <v>229</v>
      </c>
      <c r="FL754" s="1" t="s">
        <v>7278</v>
      </c>
      <c r="FM754" s="1">
        <v>17589.0</v>
      </c>
      <c r="FN754" s="1" t="s">
        <v>7279</v>
      </c>
      <c r="FO754" s="1" t="s">
        <v>7280</v>
      </c>
      <c r="FP754" s="1">
        <v>132655.0</v>
      </c>
      <c r="FQ754" s="1" t="s">
        <v>7281</v>
      </c>
      <c r="FU754" s="1" t="s">
        <v>8982</v>
      </c>
      <c r="FV754" s="1" t="s">
        <v>192</v>
      </c>
      <c r="FW754" s="1" t="s">
        <v>290</v>
      </c>
      <c r="FZ754" s="1" t="s">
        <v>229</v>
      </c>
      <c r="GA754" s="1" t="s">
        <v>291</v>
      </c>
      <c r="GB754" s="2">
        <v>42083.0</v>
      </c>
      <c r="GC754" s="1" t="s">
        <v>8983</v>
      </c>
    </row>
    <row r="755">
      <c r="A755" s="1">
        <v>338000.0</v>
      </c>
      <c r="B755" s="1" t="s">
        <v>185</v>
      </c>
      <c r="C755" s="1" t="str">
        <f>"08811757"</f>
        <v>08811757</v>
      </c>
      <c r="D755" s="1" t="s">
        <v>186</v>
      </c>
      <c r="F755" s="1" t="str">
        <f>"8004"</f>
        <v>8004</v>
      </c>
      <c r="G755" s="2">
        <v>42011.0</v>
      </c>
      <c r="H755" s="1">
        <v>350000.0</v>
      </c>
      <c r="I755" s="1">
        <v>42.0</v>
      </c>
      <c r="J755" s="1">
        <v>339900.0</v>
      </c>
      <c r="K755" s="2">
        <v>42052.0</v>
      </c>
      <c r="L755" s="1">
        <v>42.0</v>
      </c>
      <c r="M755" s="2">
        <v>42052.0</v>
      </c>
      <c r="N755" s="1" t="s">
        <v>249</v>
      </c>
      <c r="O755" s="2">
        <v>42090.0</v>
      </c>
      <c r="P755" s="1">
        <v>107602.0</v>
      </c>
      <c r="Q755" s="1">
        <v>14090.0</v>
      </c>
      <c r="S755" s="1">
        <v>4958.0</v>
      </c>
      <c r="T755" s="1" t="s">
        <v>8984</v>
      </c>
      <c r="U755" s="1" t="s">
        <v>189</v>
      </c>
      <c r="V755" s="1" t="s">
        <v>190</v>
      </c>
      <c r="W755" s="1">
        <v>60625.0</v>
      </c>
      <c r="Y755" s="1" t="s">
        <v>8985</v>
      </c>
      <c r="Z755" s="1">
        <v>1907.0</v>
      </c>
      <c r="AA755" s="1" t="s">
        <v>192</v>
      </c>
      <c r="AB755" s="1" t="s">
        <v>193</v>
      </c>
      <c r="AD755" s="1" t="s">
        <v>194</v>
      </c>
      <c r="AE755" s="1" t="s">
        <v>195</v>
      </c>
      <c r="AF755" s="1" t="s">
        <v>196</v>
      </c>
      <c r="AH755" s="1" t="s">
        <v>8986</v>
      </c>
      <c r="AK755" s="1">
        <v>9.0</v>
      </c>
      <c r="AL755" s="1">
        <v>4.0</v>
      </c>
      <c r="AM755" s="1">
        <v>2.0</v>
      </c>
      <c r="AN755" s="1">
        <v>0.0</v>
      </c>
      <c r="AO755" s="1" t="s">
        <v>229</v>
      </c>
      <c r="AQ755" s="1" t="s">
        <v>198</v>
      </c>
      <c r="AR755" s="1" t="s">
        <v>200</v>
      </c>
      <c r="AS755" s="1" t="s">
        <v>199</v>
      </c>
      <c r="AT755" s="1">
        <v>2.0</v>
      </c>
      <c r="AV755" s="1" t="s">
        <v>200</v>
      </c>
      <c r="AW755" s="1">
        <v>6894.0</v>
      </c>
      <c r="AX755" s="1">
        <v>2012.0</v>
      </c>
      <c r="AZ755" s="1" t="s">
        <v>200</v>
      </c>
      <c r="BA755" s="1" t="str">
        <f>"13124110520000"</f>
        <v>13124110520000</v>
      </c>
      <c r="BC755" s="1">
        <v>1545.0</v>
      </c>
      <c r="BD755" s="1">
        <v>338000.0</v>
      </c>
      <c r="BE755" s="2">
        <v>42011.0</v>
      </c>
      <c r="BF755" s="2" t="s">
        <v>8987</v>
      </c>
      <c r="BH755" s="1">
        <v>0.0</v>
      </c>
      <c r="BK755" s="1" t="s">
        <v>204</v>
      </c>
      <c r="BL755" s="1" t="str">
        <f>"4958"</f>
        <v>4958</v>
      </c>
      <c r="BM755" s="1" t="str">
        <f>"0"</f>
        <v>0</v>
      </c>
      <c r="BN755" s="1">
        <v>2400.0</v>
      </c>
      <c r="BO755" s="1">
        <v>0.0</v>
      </c>
      <c r="BQ755" s="1">
        <v>299.0</v>
      </c>
      <c r="BR755" s="1">
        <v>299.0</v>
      </c>
      <c r="BS755" s="1">
        <v>299.0</v>
      </c>
      <c r="BU755" s="1" t="s">
        <v>496</v>
      </c>
      <c r="BV755" s="1" t="s">
        <v>206</v>
      </c>
      <c r="BW755" s="1" t="s">
        <v>207</v>
      </c>
      <c r="BY755" s="1" t="s">
        <v>262</v>
      </c>
      <c r="BZ755" s="1" t="s">
        <v>209</v>
      </c>
      <c r="CA755" s="1" t="s">
        <v>588</v>
      </c>
      <c r="CC755" s="1" t="s">
        <v>584</v>
      </c>
      <c r="CD755" s="1" t="s">
        <v>206</v>
      </c>
      <c r="CE755" s="1" t="s">
        <v>207</v>
      </c>
      <c r="CG755" s="1" t="s">
        <v>262</v>
      </c>
      <c r="CH755" s="1" t="s">
        <v>209</v>
      </c>
      <c r="CI755" s="1" t="s">
        <v>588</v>
      </c>
      <c r="CK755" s="1" t="s">
        <v>543</v>
      </c>
      <c r="CL755" s="1" t="s">
        <v>206</v>
      </c>
      <c r="CM755" s="1" t="s">
        <v>207</v>
      </c>
      <c r="CO755" s="1" t="s">
        <v>265</v>
      </c>
      <c r="CP755" s="1" t="s">
        <v>206</v>
      </c>
      <c r="CQ755" s="1" t="s">
        <v>207</v>
      </c>
      <c r="CS755" s="1" t="s">
        <v>1063</v>
      </c>
      <c r="CT755" s="1" t="s">
        <v>206</v>
      </c>
      <c r="CW755" s="1" t="s">
        <v>8988</v>
      </c>
      <c r="CX755" s="1" t="s">
        <v>42</v>
      </c>
      <c r="CY755" s="1" t="s">
        <v>588</v>
      </c>
      <c r="DA755" s="1" t="s">
        <v>200</v>
      </c>
      <c r="DC755" s="1" t="s">
        <v>642</v>
      </c>
      <c r="DE755" s="1" t="s">
        <v>273</v>
      </c>
      <c r="DF755" s="1" t="s">
        <v>219</v>
      </c>
      <c r="DH755" s="1" t="s">
        <v>220</v>
      </c>
      <c r="DI755" s="1" t="s">
        <v>831</v>
      </c>
      <c r="DJ755" s="1" t="s">
        <v>222</v>
      </c>
      <c r="DL755" s="1" t="s">
        <v>858</v>
      </c>
      <c r="DM755" s="1" t="s">
        <v>229</v>
      </c>
      <c r="DQ755" s="1" t="s">
        <v>228</v>
      </c>
      <c r="DR755" s="1" t="s">
        <v>229</v>
      </c>
      <c r="DV755" s="1" t="s">
        <v>341</v>
      </c>
      <c r="DW755" s="1" t="s">
        <v>2602</v>
      </c>
      <c r="DX755" s="1" t="s">
        <v>234</v>
      </c>
      <c r="EC755" s="1" t="s">
        <v>237</v>
      </c>
      <c r="EG755" s="1" t="s">
        <v>341</v>
      </c>
      <c r="EL755" s="1" t="s">
        <v>363</v>
      </c>
      <c r="EM755" s="1" t="s">
        <v>209</v>
      </c>
      <c r="EN755" s="1" t="s">
        <v>588</v>
      </c>
      <c r="EQ755" s="1" t="s">
        <v>238</v>
      </c>
      <c r="EU755" s="1" t="s">
        <v>238</v>
      </c>
      <c r="EY755" s="1" t="s">
        <v>238</v>
      </c>
      <c r="FC755" s="1" t="s">
        <v>238</v>
      </c>
      <c r="FF755" s="1" t="s">
        <v>239</v>
      </c>
      <c r="FG755" s="1" t="s">
        <v>192</v>
      </c>
      <c r="FH755" s="1" t="s">
        <v>192</v>
      </c>
      <c r="FJ755" s="1" t="s">
        <v>1248</v>
      </c>
      <c r="FK755" s="1" t="s">
        <v>229</v>
      </c>
      <c r="FL755" s="1" t="s">
        <v>8097</v>
      </c>
      <c r="FM755" s="1">
        <v>17497.0</v>
      </c>
      <c r="FN755" s="1" t="s">
        <v>8098</v>
      </c>
      <c r="FO755" s="1" t="s">
        <v>8989</v>
      </c>
      <c r="FP755" s="1">
        <v>161285.0</v>
      </c>
      <c r="FQ755" s="1" t="s">
        <v>8098</v>
      </c>
      <c r="FU755" s="1" t="s">
        <v>8990</v>
      </c>
      <c r="FV755" s="1" t="s">
        <v>200</v>
      </c>
      <c r="FW755" s="1" t="s">
        <v>354</v>
      </c>
      <c r="FX755" s="1" t="s">
        <v>238</v>
      </c>
      <c r="FZ755" s="1" t="s">
        <v>229</v>
      </c>
      <c r="GA755" s="1" t="s">
        <v>291</v>
      </c>
      <c r="GB755" s="2">
        <v>42090.0</v>
      </c>
      <c r="GC755" s="1" t="s">
        <v>8991</v>
      </c>
    </row>
    <row r="756">
      <c r="A756" s="1">
        <v>174900.0</v>
      </c>
      <c r="B756" s="1" t="s">
        <v>185</v>
      </c>
      <c r="C756" s="1" t="str">
        <f>"08820483"</f>
        <v>08820483</v>
      </c>
      <c r="D756" s="1" t="s">
        <v>186</v>
      </c>
      <c r="F756" s="1" t="str">
        <f>"8065"</f>
        <v>8065</v>
      </c>
      <c r="G756" s="2">
        <v>42024.0</v>
      </c>
      <c r="H756" s="1">
        <v>174900.0</v>
      </c>
      <c r="I756" s="1">
        <v>87.0</v>
      </c>
      <c r="J756" s="1">
        <v>174900.0</v>
      </c>
      <c r="K756" s="2">
        <v>42110.0</v>
      </c>
      <c r="L756" s="1">
        <v>87.0</v>
      </c>
      <c r="M756" s="2">
        <v>42110.0</v>
      </c>
      <c r="N756" s="1" t="s">
        <v>356</v>
      </c>
      <c r="O756" s="2">
        <v>42114.0</v>
      </c>
      <c r="P756" s="1">
        <v>875815.0</v>
      </c>
      <c r="Q756" s="1">
        <v>12555.0</v>
      </c>
      <c r="R756" s="1">
        <v>3000.0</v>
      </c>
      <c r="S756" s="1">
        <v>6224.0</v>
      </c>
      <c r="T756" s="1" t="s">
        <v>7309</v>
      </c>
      <c r="U756" s="1" t="s">
        <v>189</v>
      </c>
      <c r="V756" s="1" t="s">
        <v>190</v>
      </c>
      <c r="W756" s="1">
        <v>60629.0</v>
      </c>
      <c r="Y756" s="1" t="s">
        <v>8992</v>
      </c>
      <c r="Z756" s="1">
        <v>1951.0</v>
      </c>
      <c r="AA756" s="1" t="s">
        <v>192</v>
      </c>
      <c r="AB756" s="1" t="s">
        <v>193</v>
      </c>
      <c r="AD756" s="1" t="s">
        <v>194</v>
      </c>
      <c r="AE756" s="1" t="s">
        <v>195</v>
      </c>
      <c r="AF756" s="1" t="s">
        <v>659</v>
      </c>
      <c r="AH756" s="1" t="s">
        <v>1501</v>
      </c>
      <c r="AI756" s="1">
        <v>0.0868</v>
      </c>
      <c r="AK756" s="1">
        <v>8.0</v>
      </c>
      <c r="AL756" s="1">
        <v>2.0</v>
      </c>
      <c r="AM756" s="1">
        <v>2.0</v>
      </c>
      <c r="AN756" s="1">
        <v>0.0</v>
      </c>
      <c r="AO756" s="1" t="s">
        <v>229</v>
      </c>
      <c r="AQ756" s="1" t="s">
        <v>198</v>
      </c>
      <c r="AR756" s="1" t="s">
        <v>192</v>
      </c>
      <c r="AS756" s="1" t="s">
        <v>199</v>
      </c>
      <c r="AT756" s="1">
        <v>2.0</v>
      </c>
      <c r="AV756" s="1" t="s">
        <v>200</v>
      </c>
      <c r="AW756" s="1">
        <v>1904.6</v>
      </c>
      <c r="AX756" s="1">
        <v>2013.0</v>
      </c>
      <c r="AY756" s="1" t="s">
        <v>387</v>
      </c>
      <c r="AZ756" s="1" t="s">
        <v>200</v>
      </c>
      <c r="BA756" s="1" t="str">
        <f>"19154240240000"</f>
        <v>19154240240000</v>
      </c>
      <c r="BB756" s="1" t="s">
        <v>200</v>
      </c>
      <c r="BC756" s="1">
        <v>797.0</v>
      </c>
      <c r="BD756" s="1">
        <v>174900.0</v>
      </c>
      <c r="BE756" s="2">
        <v>42024.0</v>
      </c>
      <c r="BF756" s="2" t="s">
        <v>8993</v>
      </c>
      <c r="BH756" s="1">
        <v>0.0</v>
      </c>
      <c r="BK756" s="1" t="s">
        <v>204</v>
      </c>
      <c r="BL756" s="1" t="str">
        <f t="shared" ref="BL756:BM756" si="499">"0"</f>
        <v>0</v>
      </c>
      <c r="BM756" s="1" t="str">
        <f t="shared" si="499"/>
        <v>0</v>
      </c>
      <c r="BN756" s="1">
        <v>4100.0</v>
      </c>
      <c r="BO756" s="1">
        <v>6224.0</v>
      </c>
      <c r="BQ756" s="1">
        <v>299.0</v>
      </c>
      <c r="BR756" s="1">
        <v>299.0</v>
      </c>
      <c r="BS756" s="1">
        <v>299.0</v>
      </c>
      <c r="BU756" s="1" t="s">
        <v>205</v>
      </c>
      <c r="BV756" s="1" t="s">
        <v>206</v>
      </c>
      <c r="BW756" s="1" t="s">
        <v>207</v>
      </c>
      <c r="BY756" s="1" t="s">
        <v>264</v>
      </c>
      <c r="BZ756" s="1" t="s">
        <v>206</v>
      </c>
      <c r="CA756" s="1" t="s">
        <v>207</v>
      </c>
      <c r="CD756" s="1" t="s">
        <v>204</v>
      </c>
      <c r="CG756" s="1" t="s">
        <v>269</v>
      </c>
      <c r="CH756" s="1" t="s">
        <v>206</v>
      </c>
      <c r="CI756" s="1" t="s">
        <v>207</v>
      </c>
      <c r="CK756" s="1" t="s">
        <v>495</v>
      </c>
      <c r="CL756" s="1" t="s">
        <v>42</v>
      </c>
      <c r="CM756" s="1" t="s">
        <v>268</v>
      </c>
      <c r="CO756" s="1" t="s">
        <v>495</v>
      </c>
      <c r="CP756" s="1" t="s">
        <v>42</v>
      </c>
      <c r="CQ756" s="1" t="s">
        <v>268</v>
      </c>
      <c r="CS756" s="1" t="s">
        <v>392</v>
      </c>
      <c r="CT756" s="1" t="s">
        <v>206</v>
      </c>
      <c r="CU756" s="1" t="s">
        <v>268</v>
      </c>
      <c r="CW756" s="1" t="s">
        <v>262</v>
      </c>
      <c r="CX756" s="1" t="s">
        <v>42</v>
      </c>
      <c r="CY756" s="1" t="s">
        <v>268</v>
      </c>
      <c r="DA756" s="1" t="s">
        <v>200</v>
      </c>
      <c r="DC756" s="1" t="s">
        <v>702</v>
      </c>
      <c r="DD756" s="1" t="s">
        <v>518</v>
      </c>
      <c r="DE756" s="1" t="s">
        <v>273</v>
      </c>
      <c r="DF756" s="1" t="s">
        <v>219</v>
      </c>
      <c r="DG756" s="1" t="s">
        <v>1317</v>
      </c>
      <c r="DH756" s="1" t="s">
        <v>220</v>
      </c>
      <c r="DI756" s="1" t="s">
        <v>4998</v>
      </c>
      <c r="DJ756" s="1" t="s">
        <v>222</v>
      </c>
      <c r="DL756" s="1" t="s">
        <v>224</v>
      </c>
      <c r="DM756" s="1" t="s">
        <v>229</v>
      </c>
      <c r="DQ756" s="1" t="s">
        <v>228</v>
      </c>
      <c r="DR756" s="1" t="s">
        <v>229</v>
      </c>
      <c r="DS756" s="1" t="s">
        <v>230</v>
      </c>
      <c r="DV756" s="1" t="s">
        <v>449</v>
      </c>
      <c r="DW756" s="1" t="s">
        <v>279</v>
      </c>
      <c r="DX756" s="1" t="s">
        <v>234</v>
      </c>
      <c r="EA756" s="1" t="s">
        <v>1302</v>
      </c>
      <c r="EC756" s="1" t="s">
        <v>311</v>
      </c>
      <c r="ED756" s="1" t="s">
        <v>1761</v>
      </c>
      <c r="EG756" s="1" t="s">
        <v>449</v>
      </c>
      <c r="EL756" s="1" t="s">
        <v>331</v>
      </c>
      <c r="EM756" s="1" t="s">
        <v>42</v>
      </c>
      <c r="EN756" s="1" t="s">
        <v>268</v>
      </c>
      <c r="EQ756" s="1" t="s">
        <v>238</v>
      </c>
      <c r="EU756" s="1" t="s">
        <v>238</v>
      </c>
      <c r="EY756" s="1" t="s">
        <v>238</v>
      </c>
      <c r="FC756" s="1" t="s">
        <v>238</v>
      </c>
      <c r="FF756" s="1" t="s">
        <v>239</v>
      </c>
      <c r="FG756" s="1" t="s">
        <v>192</v>
      </c>
      <c r="FH756" s="1" t="s">
        <v>192</v>
      </c>
      <c r="FJ756" s="1" t="s">
        <v>2552</v>
      </c>
      <c r="FK756" s="1" t="s">
        <v>229</v>
      </c>
      <c r="FL756" s="1" t="s">
        <v>2111</v>
      </c>
      <c r="FM756" s="1">
        <v>12555.0</v>
      </c>
      <c r="FN756" s="1" t="s">
        <v>2112</v>
      </c>
      <c r="FO756" s="1" t="s">
        <v>8994</v>
      </c>
      <c r="FP756" s="1">
        <v>154056.0</v>
      </c>
      <c r="FQ756" s="1" t="s">
        <v>8995</v>
      </c>
      <c r="FU756" s="1" t="s">
        <v>8996</v>
      </c>
      <c r="FV756" s="1" t="s">
        <v>200</v>
      </c>
      <c r="FW756" s="1" t="s">
        <v>290</v>
      </c>
      <c r="FX756" s="1" t="s">
        <v>655</v>
      </c>
      <c r="FZ756" s="1" t="s">
        <v>229</v>
      </c>
      <c r="GA756" s="1" t="s">
        <v>291</v>
      </c>
      <c r="GB756" s="2">
        <v>42114.0</v>
      </c>
      <c r="GC756" s="1" t="s">
        <v>8997</v>
      </c>
    </row>
    <row r="757">
      <c r="A757" s="1">
        <v>128000.0</v>
      </c>
      <c r="B757" s="1" t="s">
        <v>185</v>
      </c>
      <c r="C757" s="1" t="str">
        <f>"08811364"</f>
        <v>08811364</v>
      </c>
      <c r="D757" s="1" t="s">
        <v>186</v>
      </c>
      <c r="F757" s="1" t="str">
        <f>"115"</f>
        <v>115</v>
      </c>
      <c r="G757" s="2">
        <v>42011.0</v>
      </c>
      <c r="H757" s="1">
        <v>134500.0</v>
      </c>
      <c r="I757" s="1">
        <v>28.0</v>
      </c>
      <c r="J757" s="1">
        <v>134500.0</v>
      </c>
      <c r="K757" s="2">
        <v>42037.0</v>
      </c>
      <c r="L757" s="1">
        <v>28.0</v>
      </c>
      <c r="M757" s="2">
        <v>42037.0</v>
      </c>
      <c r="N757" s="1" t="s">
        <v>356</v>
      </c>
      <c r="O757" s="2">
        <v>42108.0</v>
      </c>
      <c r="P757" s="1">
        <v>222066.0</v>
      </c>
      <c r="Q757" s="1">
        <v>25042.0</v>
      </c>
      <c r="S757" s="1">
        <v>250.0</v>
      </c>
      <c r="T757" s="1" t="s">
        <v>8998</v>
      </c>
      <c r="U757" s="1" t="s">
        <v>464</v>
      </c>
      <c r="V757" s="1" t="s">
        <v>610</v>
      </c>
      <c r="W757" s="1">
        <v>60115.0</v>
      </c>
      <c r="Y757" s="1" t="s">
        <v>8999</v>
      </c>
      <c r="Z757" s="1" t="s">
        <v>296</v>
      </c>
      <c r="AA757" s="1" t="s">
        <v>192</v>
      </c>
      <c r="AB757" s="1" t="s">
        <v>193</v>
      </c>
      <c r="AD757" s="1" t="s">
        <v>1089</v>
      </c>
      <c r="AE757" s="1" t="s">
        <v>613</v>
      </c>
      <c r="AF757" s="1" t="s">
        <v>612</v>
      </c>
      <c r="AH757" s="1" t="s">
        <v>9000</v>
      </c>
      <c r="AI757" s="1">
        <v>2.06</v>
      </c>
      <c r="AK757" s="1">
        <v>7.0</v>
      </c>
      <c r="AL757" s="1">
        <v>4.0</v>
      </c>
      <c r="AM757" s="1">
        <v>2.0</v>
      </c>
      <c r="AN757" s="1">
        <v>0.0</v>
      </c>
      <c r="AO757" s="1" t="s">
        <v>229</v>
      </c>
      <c r="AQ757" s="1" t="s">
        <v>198</v>
      </c>
      <c r="AR757" s="1" t="s">
        <v>200</v>
      </c>
      <c r="AS757" s="1" t="s">
        <v>229</v>
      </c>
      <c r="AV757" s="1" t="s">
        <v>200</v>
      </c>
      <c r="AW757" s="1">
        <v>6403.52</v>
      </c>
      <c r="AX757" s="1">
        <v>2013.0</v>
      </c>
      <c r="AY757" s="1" t="s">
        <v>387</v>
      </c>
      <c r="AZ757" s="1" t="s">
        <v>200</v>
      </c>
      <c r="BA757" s="1" t="str">
        <f>"1103100019"</f>
        <v>1103100019</v>
      </c>
      <c r="BC757" s="1">
        <v>1764.0</v>
      </c>
      <c r="BD757" s="1">
        <v>128000.0</v>
      </c>
      <c r="BE757" s="2">
        <v>42010.0</v>
      </c>
      <c r="BF757" s="2" t="s">
        <v>9001</v>
      </c>
      <c r="BH757" s="1">
        <v>0.0</v>
      </c>
      <c r="BK757" s="1" t="s">
        <v>204</v>
      </c>
      <c r="BL757" s="1" t="str">
        <f t="shared" ref="BL757:BM757" si="500">""</f>
        <v/>
      </c>
      <c r="BM757" s="1" t="str">
        <f t="shared" si="500"/>
        <v/>
      </c>
      <c r="BQ757" s="1">
        <v>428.0</v>
      </c>
      <c r="BR757" s="1">
        <v>428.0</v>
      </c>
      <c r="BS757" s="1">
        <v>428.0</v>
      </c>
      <c r="BU757" s="1" t="s">
        <v>2459</v>
      </c>
      <c r="BV757" s="1" t="s">
        <v>206</v>
      </c>
      <c r="BW757" s="1" t="s">
        <v>207</v>
      </c>
      <c r="BX757" s="1" t="s">
        <v>431</v>
      </c>
      <c r="BY757" s="1" t="s">
        <v>1417</v>
      </c>
      <c r="BZ757" s="1" t="s">
        <v>209</v>
      </c>
      <c r="CA757" s="1" t="s">
        <v>207</v>
      </c>
      <c r="CB757" s="1" t="s">
        <v>431</v>
      </c>
      <c r="CC757" s="1" t="s">
        <v>1567</v>
      </c>
      <c r="CD757" s="1" t="s">
        <v>206</v>
      </c>
      <c r="CE757" s="1" t="s">
        <v>207</v>
      </c>
      <c r="CF757" s="1" t="s">
        <v>431</v>
      </c>
      <c r="CG757" s="1" t="s">
        <v>699</v>
      </c>
      <c r="CH757" s="1" t="s">
        <v>209</v>
      </c>
      <c r="CI757" s="1" t="s">
        <v>210</v>
      </c>
      <c r="CJ757" s="1" t="s">
        <v>431</v>
      </c>
      <c r="CK757" s="1" t="s">
        <v>1418</v>
      </c>
      <c r="CL757" s="1" t="s">
        <v>209</v>
      </c>
      <c r="CM757" s="1" t="s">
        <v>210</v>
      </c>
      <c r="CN757" s="1" t="s">
        <v>431</v>
      </c>
      <c r="CO757" s="1" t="s">
        <v>497</v>
      </c>
      <c r="CP757" s="1" t="s">
        <v>209</v>
      </c>
      <c r="CQ757" s="1" t="s">
        <v>207</v>
      </c>
      <c r="CR757" s="1" t="s">
        <v>431</v>
      </c>
      <c r="CS757" s="1" t="s">
        <v>329</v>
      </c>
      <c r="CT757" s="1" t="s">
        <v>206</v>
      </c>
      <c r="CU757" s="1" t="s">
        <v>268</v>
      </c>
      <c r="CV757" s="1" t="s">
        <v>431</v>
      </c>
      <c r="CX757" s="1" t="s">
        <v>204</v>
      </c>
      <c r="DA757" s="1" t="s">
        <v>200</v>
      </c>
      <c r="DC757" s="1" t="s">
        <v>545</v>
      </c>
      <c r="DD757" s="1" t="s">
        <v>3633</v>
      </c>
      <c r="DE757" s="1" t="s">
        <v>229</v>
      </c>
      <c r="DF757" s="1" t="s">
        <v>619</v>
      </c>
      <c r="DH757" s="1" t="s">
        <v>856</v>
      </c>
      <c r="DI757" s="1" t="s">
        <v>789</v>
      </c>
      <c r="DJ757" s="1" t="s">
        <v>857</v>
      </c>
      <c r="DK757" s="1" t="s">
        <v>7069</v>
      </c>
      <c r="DL757" s="1" t="s">
        <v>223</v>
      </c>
      <c r="DM757" s="1" t="s">
        <v>229</v>
      </c>
      <c r="DO757" s="1" t="s">
        <v>549</v>
      </c>
      <c r="DP757" s="1" t="s">
        <v>340</v>
      </c>
      <c r="DQ757" s="1" t="s">
        <v>860</v>
      </c>
      <c r="DR757" s="1" t="s">
        <v>229</v>
      </c>
      <c r="DS757" s="1" t="s">
        <v>230</v>
      </c>
      <c r="DU757" s="1" t="s">
        <v>9002</v>
      </c>
      <c r="DV757" s="1" t="s">
        <v>408</v>
      </c>
      <c r="DW757" s="1" t="s">
        <v>667</v>
      </c>
      <c r="DX757" s="1" t="s">
        <v>234</v>
      </c>
      <c r="DY757" s="1" t="s">
        <v>1122</v>
      </c>
      <c r="DZ757" s="1" t="s">
        <v>343</v>
      </c>
      <c r="EA757" s="1" t="s">
        <v>344</v>
      </c>
      <c r="EC757" s="1" t="s">
        <v>406</v>
      </c>
      <c r="EE757" s="1" t="s">
        <v>1960</v>
      </c>
      <c r="EG757" s="1" t="s">
        <v>408</v>
      </c>
      <c r="EL757" s="1" t="s">
        <v>1417</v>
      </c>
      <c r="EM757" s="1" t="s">
        <v>206</v>
      </c>
      <c r="EN757" s="1" t="s">
        <v>207</v>
      </c>
      <c r="EO757" s="1" t="s">
        <v>431</v>
      </c>
      <c r="EQ757" s="1" t="s">
        <v>238</v>
      </c>
      <c r="EU757" s="1" t="s">
        <v>238</v>
      </c>
      <c r="EY757" s="1" t="s">
        <v>238</v>
      </c>
      <c r="FC757" s="1" t="s">
        <v>238</v>
      </c>
      <c r="FF757" s="1" t="s">
        <v>239</v>
      </c>
      <c r="FG757" s="1" t="s">
        <v>192</v>
      </c>
      <c r="FH757" s="1" t="s">
        <v>192</v>
      </c>
      <c r="FJ757" s="1" t="s">
        <v>3062</v>
      </c>
      <c r="FK757" s="1" t="s">
        <v>1586</v>
      </c>
      <c r="FL757" s="1" t="s">
        <v>2926</v>
      </c>
      <c r="FM757" s="1">
        <v>24809.0</v>
      </c>
      <c r="FN757" s="1" t="s">
        <v>2927</v>
      </c>
      <c r="FO757" s="1" t="s">
        <v>9003</v>
      </c>
      <c r="FP757" s="1">
        <v>237428.0</v>
      </c>
      <c r="FQ757" s="1" t="s">
        <v>9004</v>
      </c>
      <c r="FU757" s="1" t="s">
        <v>9005</v>
      </c>
      <c r="FV757" s="1" t="s">
        <v>200</v>
      </c>
      <c r="FW757" s="1" t="s">
        <v>290</v>
      </c>
      <c r="FZ757" s="1" t="s">
        <v>229</v>
      </c>
      <c r="GA757" s="1" t="s">
        <v>291</v>
      </c>
      <c r="GB757" s="2">
        <v>42108.0</v>
      </c>
      <c r="GC757" s="1" t="s">
        <v>9006</v>
      </c>
    </row>
    <row r="758">
      <c r="A758" s="1">
        <v>357500.0</v>
      </c>
      <c r="B758" s="1" t="s">
        <v>185</v>
      </c>
      <c r="C758" s="1" t="str">
        <f>"08817665"</f>
        <v>08817665</v>
      </c>
      <c r="D758" s="1" t="s">
        <v>186</v>
      </c>
      <c r="F758" s="1" t="str">
        <f>"177"</f>
        <v>177</v>
      </c>
      <c r="G758" s="2">
        <v>42020.0</v>
      </c>
      <c r="H758" s="1">
        <v>375000.0</v>
      </c>
      <c r="I758" s="1">
        <v>38.0</v>
      </c>
      <c r="J758" s="1">
        <v>369000.0</v>
      </c>
      <c r="K758" s="2">
        <v>42057.0</v>
      </c>
      <c r="L758" s="1">
        <v>38.0</v>
      </c>
      <c r="M758" s="2">
        <v>42057.0</v>
      </c>
      <c r="N758" s="1" t="s">
        <v>187</v>
      </c>
      <c r="O758" s="2">
        <v>42103.0</v>
      </c>
      <c r="P758" s="1">
        <v>29345.0</v>
      </c>
      <c r="Q758" s="1">
        <v>8666.0</v>
      </c>
      <c r="S758" s="1">
        <v>395.0</v>
      </c>
      <c r="T758" s="1" t="s">
        <v>5341</v>
      </c>
      <c r="U758" s="1" t="s">
        <v>844</v>
      </c>
      <c r="V758" s="1" t="s">
        <v>2249</v>
      </c>
      <c r="W758" s="1">
        <v>60177.0</v>
      </c>
      <c r="Y758" s="1" t="s">
        <v>9007</v>
      </c>
      <c r="Z758" s="1">
        <v>2000.0</v>
      </c>
      <c r="AA758" s="1" t="s">
        <v>200</v>
      </c>
      <c r="AB758" s="1" t="s">
        <v>467</v>
      </c>
      <c r="AC758" s="1" t="s">
        <v>5341</v>
      </c>
      <c r="AD758" s="1" t="s">
        <v>2252</v>
      </c>
      <c r="AE758" s="1" t="s">
        <v>325</v>
      </c>
      <c r="AF758" s="1" t="s">
        <v>469</v>
      </c>
      <c r="AH758" s="1" t="s">
        <v>9008</v>
      </c>
      <c r="AI758" s="1">
        <v>0.28</v>
      </c>
      <c r="AK758" s="1">
        <v>12.0</v>
      </c>
      <c r="AL758" s="1">
        <v>4.0</v>
      </c>
      <c r="AM758" s="1">
        <v>2.0</v>
      </c>
      <c r="AN758" s="1">
        <v>1.0</v>
      </c>
      <c r="AO758" s="1" t="s">
        <v>198</v>
      </c>
      <c r="AP758" s="1">
        <v>1.0</v>
      </c>
      <c r="AQ758" s="1" t="s">
        <v>1314</v>
      </c>
      <c r="AR758" s="1" t="s">
        <v>200</v>
      </c>
      <c r="AS758" s="1" t="s">
        <v>199</v>
      </c>
      <c r="AT758" s="1">
        <v>3.0</v>
      </c>
      <c r="AV758" s="1" t="s">
        <v>200</v>
      </c>
      <c r="AW758" s="1">
        <v>8023.16</v>
      </c>
      <c r="AX758" s="1">
        <v>2013.0</v>
      </c>
      <c r="AY758" s="1" t="s">
        <v>387</v>
      </c>
      <c r="AZ758" s="1" t="s">
        <v>200</v>
      </c>
      <c r="BA758" s="1" t="str">
        <f>"0632380007"</f>
        <v>0632380007</v>
      </c>
      <c r="BC758" s="1">
        <v>3256.0</v>
      </c>
      <c r="BD758" s="1">
        <v>357500.0</v>
      </c>
      <c r="BE758" s="2">
        <v>42020.0</v>
      </c>
      <c r="BF758" s="2" t="s">
        <v>9009</v>
      </c>
      <c r="BG758" s="1" t="s">
        <v>5221</v>
      </c>
      <c r="BH758" s="1">
        <v>117.0</v>
      </c>
      <c r="BI758" s="1" t="s">
        <v>4511</v>
      </c>
      <c r="BJ758" s="1" t="s">
        <v>2200</v>
      </c>
      <c r="BK758" s="1" t="s">
        <v>1952</v>
      </c>
      <c r="BL758" s="1" t="str">
        <f>"8"</f>
        <v>8</v>
      </c>
      <c r="BM758" s="1" t="str">
        <f>"0"</f>
        <v>0</v>
      </c>
      <c r="BN758" s="1">
        <v>37.0</v>
      </c>
      <c r="BO758" s="1">
        <v>0.0</v>
      </c>
      <c r="BQ758" s="1">
        <v>303.0</v>
      </c>
      <c r="BR758" s="1">
        <v>303.0</v>
      </c>
      <c r="BS758" s="1">
        <v>303.0</v>
      </c>
      <c r="BU758" s="1" t="s">
        <v>215</v>
      </c>
      <c r="BV758" s="1" t="s">
        <v>206</v>
      </c>
      <c r="BW758" s="1" t="s">
        <v>210</v>
      </c>
      <c r="BY758" s="1" t="s">
        <v>480</v>
      </c>
      <c r="BZ758" s="1" t="s">
        <v>209</v>
      </c>
      <c r="CA758" s="1" t="s">
        <v>210</v>
      </c>
      <c r="CC758" s="1" t="s">
        <v>363</v>
      </c>
      <c r="CD758" s="1" t="s">
        <v>206</v>
      </c>
      <c r="CE758" s="1" t="s">
        <v>210</v>
      </c>
      <c r="CG758" s="1" t="s">
        <v>433</v>
      </c>
      <c r="CH758" s="1" t="s">
        <v>209</v>
      </c>
      <c r="CI758" s="1" t="s">
        <v>210</v>
      </c>
      <c r="CK758" s="1" t="s">
        <v>433</v>
      </c>
      <c r="CL758" s="1" t="s">
        <v>209</v>
      </c>
      <c r="CM758" s="1" t="s">
        <v>210</v>
      </c>
      <c r="CO758" s="1" t="s">
        <v>212</v>
      </c>
      <c r="CP758" s="1" t="s">
        <v>209</v>
      </c>
      <c r="CQ758" s="1" t="s">
        <v>210</v>
      </c>
      <c r="CS758" s="1" t="s">
        <v>1001</v>
      </c>
      <c r="CT758" s="1" t="s">
        <v>206</v>
      </c>
      <c r="CU758" s="1" t="s">
        <v>207</v>
      </c>
      <c r="CW758" s="1" t="s">
        <v>477</v>
      </c>
      <c r="CX758" s="1" t="s">
        <v>206</v>
      </c>
      <c r="CY758" s="1" t="s">
        <v>210</v>
      </c>
      <c r="DA758" s="1" t="s">
        <v>200</v>
      </c>
      <c r="DC758" s="1" t="s">
        <v>335</v>
      </c>
      <c r="DD758" s="1" t="s">
        <v>786</v>
      </c>
      <c r="DE758" s="1" t="s">
        <v>273</v>
      </c>
      <c r="DF758" s="1" t="s">
        <v>219</v>
      </c>
      <c r="DG758" s="1" t="s">
        <v>2311</v>
      </c>
      <c r="DH758" s="1" t="s">
        <v>220</v>
      </c>
      <c r="DI758" s="1" t="s">
        <v>1021</v>
      </c>
      <c r="DJ758" s="1" t="s">
        <v>222</v>
      </c>
      <c r="DL758" s="1" t="s">
        <v>224</v>
      </c>
      <c r="DM758" s="1" t="s">
        <v>229</v>
      </c>
      <c r="DN758" s="1" t="s">
        <v>548</v>
      </c>
      <c r="DO758" s="1" t="s">
        <v>717</v>
      </c>
      <c r="DP758" s="1" t="s">
        <v>276</v>
      </c>
      <c r="DQ758" s="1" t="s">
        <v>441</v>
      </c>
      <c r="DR758" s="1" t="s">
        <v>2593</v>
      </c>
      <c r="DS758" s="1" t="s">
        <v>368</v>
      </c>
      <c r="DU758" s="1" t="s">
        <v>9010</v>
      </c>
      <c r="DV758" s="1" t="s">
        <v>9011</v>
      </c>
      <c r="DW758" s="1" t="s">
        <v>279</v>
      </c>
      <c r="DX758" s="1" t="s">
        <v>234</v>
      </c>
      <c r="DY758" s="1" t="s">
        <v>3846</v>
      </c>
      <c r="DZ758" s="1" t="s">
        <v>766</v>
      </c>
      <c r="EA758" s="1" t="s">
        <v>344</v>
      </c>
      <c r="EB758" s="1" t="s">
        <v>492</v>
      </c>
      <c r="EC758" s="1" t="s">
        <v>237</v>
      </c>
      <c r="ED758" s="1" t="s">
        <v>555</v>
      </c>
      <c r="EG758" s="1" t="s">
        <v>408</v>
      </c>
      <c r="EH758" s="1" t="s">
        <v>598</v>
      </c>
      <c r="EI758" s="1" t="s">
        <v>341</v>
      </c>
      <c r="EJ758" s="1" t="s">
        <v>1824</v>
      </c>
      <c r="EK758" s="1" t="s">
        <v>450</v>
      </c>
      <c r="EL758" s="1" t="s">
        <v>9012</v>
      </c>
      <c r="EM758" s="1" t="s">
        <v>206</v>
      </c>
      <c r="EN758" s="1" t="s">
        <v>207</v>
      </c>
      <c r="EO758" s="1" t="s">
        <v>229</v>
      </c>
      <c r="EP758" s="1" t="s">
        <v>497</v>
      </c>
      <c r="EQ758" s="1" t="s">
        <v>206</v>
      </c>
      <c r="ER758" s="1" t="s">
        <v>210</v>
      </c>
      <c r="ET758" s="1" t="s">
        <v>332</v>
      </c>
      <c r="EU758" s="1" t="s">
        <v>209</v>
      </c>
      <c r="EV758" s="1" t="s">
        <v>210</v>
      </c>
      <c r="EX758" s="1" t="s">
        <v>300</v>
      </c>
      <c r="EY758" s="1" t="s">
        <v>42</v>
      </c>
      <c r="FB758" s="1" t="s">
        <v>334</v>
      </c>
      <c r="FC758" s="1" t="s">
        <v>42</v>
      </c>
      <c r="FD758" s="1" t="s">
        <v>210</v>
      </c>
      <c r="FF758" s="1" t="s">
        <v>239</v>
      </c>
      <c r="FG758" s="1" t="s">
        <v>192</v>
      </c>
      <c r="FH758" s="1" t="s">
        <v>192</v>
      </c>
      <c r="FJ758" s="1" t="s">
        <v>285</v>
      </c>
      <c r="FK758" s="1" t="s">
        <v>229</v>
      </c>
      <c r="FL758" s="1" t="s">
        <v>456</v>
      </c>
      <c r="FM758" s="1">
        <v>49.0</v>
      </c>
      <c r="FN758" s="1" t="s">
        <v>457</v>
      </c>
      <c r="FO758" s="1" t="s">
        <v>5232</v>
      </c>
      <c r="FP758" s="1">
        <v>7841.0</v>
      </c>
      <c r="FU758" s="1" t="s">
        <v>9013</v>
      </c>
      <c r="FV758" s="1" t="s">
        <v>200</v>
      </c>
      <c r="FW758" s="1" t="s">
        <v>290</v>
      </c>
      <c r="FZ758" s="1" t="s">
        <v>229</v>
      </c>
      <c r="GA758" s="1" t="s">
        <v>247</v>
      </c>
      <c r="GB758" s="2">
        <v>42103.0</v>
      </c>
      <c r="GC758" s="1" t="s">
        <v>9014</v>
      </c>
    </row>
    <row r="759">
      <c r="A759" s="1">
        <v>229900.0</v>
      </c>
      <c r="B759" s="1" t="s">
        <v>185</v>
      </c>
      <c r="C759" s="1" t="str">
        <f>"08810017"</f>
        <v>08810017</v>
      </c>
      <c r="D759" s="1" t="s">
        <v>186</v>
      </c>
      <c r="F759" s="1" t="str">
        <f t="shared" ref="F759:F760" si="502">"538"</f>
        <v>538</v>
      </c>
      <c r="G759" s="2">
        <v>42009.0</v>
      </c>
      <c r="H759" s="1">
        <v>234900.0</v>
      </c>
      <c r="I759" s="1">
        <v>177.0</v>
      </c>
      <c r="J759" s="1">
        <v>234900.0</v>
      </c>
      <c r="K759" s="2">
        <v>42009.0</v>
      </c>
      <c r="L759" s="1">
        <v>1.0</v>
      </c>
      <c r="M759" s="2">
        <v>42009.0</v>
      </c>
      <c r="N759" s="1" t="s">
        <v>187</v>
      </c>
      <c r="O759" s="2">
        <v>42031.0</v>
      </c>
      <c r="P759" s="1">
        <v>313804.0</v>
      </c>
      <c r="Q759" s="1">
        <v>300.0</v>
      </c>
      <c r="S759" s="1">
        <v>3273.0</v>
      </c>
      <c r="T759" s="1" t="s">
        <v>9015</v>
      </c>
      <c r="U759" s="1" t="s">
        <v>1174</v>
      </c>
      <c r="V759" s="1" t="s">
        <v>1340</v>
      </c>
      <c r="W759" s="1">
        <v>60538.0</v>
      </c>
      <c r="Y759" s="1" t="s">
        <v>9016</v>
      </c>
      <c r="Z759" s="1">
        <v>2006.0</v>
      </c>
      <c r="AA759" s="1" t="s">
        <v>200</v>
      </c>
      <c r="AB759" s="1" t="s">
        <v>467</v>
      </c>
      <c r="AC759" s="1" t="s">
        <v>9017</v>
      </c>
      <c r="AD759" s="1" t="s">
        <v>1343</v>
      </c>
      <c r="AE759" s="1" t="s">
        <v>849</v>
      </c>
      <c r="AF759" s="1" t="s">
        <v>1312</v>
      </c>
      <c r="AG759" s="1" t="s">
        <v>9018</v>
      </c>
      <c r="AH759" s="1" t="s">
        <v>9019</v>
      </c>
      <c r="AK759" s="1">
        <v>8.0</v>
      </c>
      <c r="AL759" s="1">
        <v>4.0</v>
      </c>
      <c r="AM759" s="1">
        <v>2.0</v>
      </c>
      <c r="AN759" s="1">
        <v>1.0</v>
      </c>
      <c r="AO759" s="1" t="s">
        <v>198</v>
      </c>
      <c r="AP759" s="1">
        <v>1.0</v>
      </c>
      <c r="AQ759" s="1" t="s">
        <v>198</v>
      </c>
      <c r="AR759" s="1" t="s">
        <v>200</v>
      </c>
      <c r="AS759" s="1" t="s">
        <v>199</v>
      </c>
      <c r="AT759" s="1">
        <v>2.0</v>
      </c>
      <c r="AV759" s="1" t="s">
        <v>200</v>
      </c>
      <c r="AW759" s="1">
        <v>7111.0</v>
      </c>
      <c r="AX759" s="1">
        <v>2012.0</v>
      </c>
      <c r="AY759" s="1" t="s">
        <v>229</v>
      </c>
      <c r="AZ759" s="1" t="s">
        <v>200</v>
      </c>
      <c r="BA759" s="1" t="str">
        <f>"0210219005"</f>
        <v>0210219005</v>
      </c>
      <c r="BC759" s="1">
        <v>0.0</v>
      </c>
      <c r="BD759" s="1">
        <v>229900.0</v>
      </c>
      <c r="BE759" s="2">
        <v>42009.0</v>
      </c>
      <c r="BF759" s="2" t="s">
        <v>9020</v>
      </c>
      <c r="BH759" s="1">
        <v>280.0</v>
      </c>
      <c r="BK759" s="1" t="s">
        <v>580</v>
      </c>
      <c r="BL759" s="1" t="str">
        <f t="shared" ref="BL759:BM759" si="501">"0"</f>
        <v>0</v>
      </c>
      <c r="BM759" s="1" t="str">
        <f t="shared" si="501"/>
        <v>0</v>
      </c>
      <c r="BN759" s="1">
        <v>41.0</v>
      </c>
      <c r="BO759" s="1">
        <v>10.0</v>
      </c>
      <c r="BQ759" s="1">
        <v>115.0</v>
      </c>
      <c r="BR759" s="1">
        <v>115.0</v>
      </c>
      <c r="BS759" s="1">
        <v>115.0</v>
      </c>
      <c r="BU759" s="1" t="s">
        <v>830</v>
      </c>
      <c r="BV759" s="1" t="s">
        <v>206</v>
      </c>
      <c r="BW759" s="1" t="s">
        <v>207</v>
      </c>
      <c r="BX759" s="1" t="s">
        <v>229</v>
      </c>
      <c r="BY759" s="1" t="s">
        <v>583</v>
      </c>
      <c r="BZ759" s="1" t="s">
        <v>209</v>
      </c>
      <c r="CA759" s="1" t="s">
        <v>210</v>
      </c>
      <c r="CB759" s="1" t="s">
        <v>229</v>
      </c>
      <c r="CC759" s="1" t="s">
        <v>433</v>
      </c>
      <c r="CD759" s="1" t="s">
        <v>206</v>
      </c>
      <c r="CE759" s="1" t="s">
        <v>207</v>
      </c>
      <c r="CF759" s="1" t="s">
        <v>229</v>
      </c>
      <c r="CG759" s="1" t="s">
        <v>584</v>
      </c>
      <c r="CH759" s="1" t="s">
        <v>209</v>
      </c>
      <c r="CI759" s="1" t="s">
        <v>210</v>
      </c>
      <c r="CJ759" s="1" t="s">
        <v>229</v>
      </c>
      <c r="CK759" s="1" t="s">
        <v>584</v>
      </c>
      <c r="CL759" s="1" t="s">
        <v>209</v>
      </c>
      <c r="CM759" s="1" t="s">
        <v>210</v>
      </c>
      <c r="CN759" s="1" t="s">
        <v>229</v>
      </c>
      <c r="CO759" s="1" t="s">
        <v>215</v>
      </c>
      <c r="CP759" s="1" t="s">
        <v>209</v>
      </c>
      <c r="CQ759" s="1" t="s">
        <v>210</v>
      </c>
      <c r="CR759" s="1" t="s">
        <v>229</v>
      </c>
      <c r="CS759" s="1" t="s">
        <v>1396</v>
      </c>
      <c r="CT759" s="1" t="s">
        <v>206</v>
      </c>
      <c r="CU759" s="1" t="s">
        <v>210</v>
      </c>
      <c r="CV759" s="1" t="s">
        <v>229</v>
      </c>
      <c r="CW759" s="1" t="s">
        <v>390</v>
      </c>
      <c r="CX759" s="1" t="s">
        <v>206</v>
      </c>
      <c r="CY759" s="1" t="s">
        <v>207</v>
      </c>
      <c r="CZ759" s="1" t="s">
        <v>229</v>
      </c>
      <c r="DA759" s="1" t="s">
        <v>200</v>
      </c>
      <c r="DC759" s="1" t="s">
        <v>481</v>
      </c>
      <c r="DD759" s="1" t="s">
        <v>436</v>
      </c>
      <c r="DE759" s="1" t="s">
        <v>273</v>
      </c>
      <c r="DF759" s="1" t="s">
        <v>219</v>
      </c>
      <c r="DH759" s="1" t="s">
        <v>220</v>
      </c>
      <c r="DJ759" s="1" t="s">
        <v>222</v>
      </c>
      <c r="DL759" s="1" t="s">
        <v>223</v>
      </c>
      <c r="DM759" s="1" t="s">
        <v>338</v>
      </c>
      <c r="DN759" s="1" t="s">
        <v>548</v>
      </c>
      <c r="DP759" s="1" t="s">
        <v>340</v>
      </c>
      <c r="DQ759" s="1" t="s">
        <v>441</v>
      </c>
      <c r="DR759" s="1" t="s">
        <v>1487</v>
      </c>
      <c r="DS759" s="1" t="s">
        <v>591</v>
      </c>
      <c r="DV759" s="1" t="s">
        <v>232</v>
      </c>
      <c r="DW759" s="1" t="s">
        <v>233</v>
      </c>
      <c r="DX759" s="1" t="s">
        <v>234</v>
      </c>
      <c r="DY759" s="1" t="s">
        <v>704</v>
      </c>
      <c r="EC759" s="1" t="s">
        <v>237</v>
      </c>
      <c r="ED759" s="1" t="s">
        <v>6543</v>
      </c>
      <c r="EM759" s="1" t="s">
        <v>238</v>
      </c>
      <c r="EQ759" s="1" t="s">
        <v>238</v>
      </c>
      <c r="EU759" s="1" t="s">
        <v>238</v>
      </c>
      <c r="EY759" s="1" t="s">
        <v>238</v>
      </c>
      <c r="FC759" s="1" t="s">
        <v>238</v>
      </c>
      <c r="FF759" s="1" t="s">
        <v>239</v>
      </c>
      <c r="FG759" s="1" t="s">
        <v>192</v>
      </c>
      <c r="FH759" s="1" t="s">
        <v>192</v>
      </c>
      <c r="FJ759" s="1" t="s">
        <v>561</v>
      </c>
      <c r="FK759" s="1" t="s">
        <v>1586</v>
      </c>
      <c r="FL759" s="1" t="s">
        <v>3756</v>
      </c>
      <c r="FM759" s="1">
        <v>16634.0</v>
      </c>
      <c r="FN759" s="1" t="s">
        <v>3757</v>
      </c>
      <c r="FO759" s="1" t="s">
        <v>9021</v>
      </c>
      <c r="FP759" s="1">
        <v>150281.0</v>
      </c>
      <c r="FQ759" s="1" t="s">
        <v>3757</v>
      </c>
      <c r="FU759" s="1" t="s">
        <v>9022</v>
      </c>
      <c r="FV759" s="1" t="s">
        <v>200</v>
      </c>
      <c r="FW759" s="1" t="s">
        <v>631</v>
      </c>
      <c r="FZ759" s="1" t="s">
        <v>229</v>
      </c>
      <c r="GA759" s="1" t="s">
        <v>291</v>
      </c>
      <c r="GB759" s="2">
        <v>42031.0</v>
      </c>
      <c r="GC759" s="1" t="s">
        <v>3170</v>
      </c>
    </row>
    <row r="760">
      <c r="A760" s="1">
        <v>135000.0</v>
      </c>
      <c r="B760" s="1" t="s">
        <v>185</v>
      </c>
      <c r="C760" s="1" t="str">
        <f>"08811750"</f>
        <v>08811750</v>
      </c>
      <c r="D760" s="1" t="s">
        <v>186</v>
      </c>
      <c r="F760" s="1" t="str">
        <f t="shared" si="502"/>
        <v>538</v>
      </c>
      <c r="G760" s="2">
        <v>42011.0</v>
      </c>
      <c r="H760" s="1">
        <v>140000.0</v>
      </c>
      <c r="I760" s="1">
        <v>21.0</v>
      </c>
      <c r="J760" s="1">
        <v>140000.0</v>
      </c>
      <c r="K760" s="2">
        <v>42031.0</v>
      </c>
      <c r="L760" s="1">
        <v>21.0</v>
      </c>
      <c r="M760" s="2">
        <v>42031.0</v>
      </c>
      <c r="N760" s="1" t="s">
        <v>249</v>
      </c>
      <c r="O760" s="2">
        <v>42124.0</v>
      </c>
      <c r="P760" s="1">
        <v>227405.0</v>
      </c>
      <c r="Q760" s="1">
        <v>23076.0</v>
      </c>
      <c r="S760" s="1">
        <v>3340.0</v>
      </c>
      <c r="T760" s="1" t="s">
        <v>9023</v>
      </c>
      <c r="U760" s="1" t="s">
        <v>420</v>
      </c>
      <c r="V760" s="1" t="s">
        <v>1340</v>
      </c>
      <c r="W760" s="1">
        <v>60538.0</v>
      </c>
      <c r="Y760" s="1" t="s">
        <v>9024</v>
      </c>
      <c r="Z760" s="1">
        <v>2008.0</v>
      </c>
      <c r="AA760" s="1" t="s">
        <v>200</v>
      </c>
      <c r="AB760" s="1" t="s">
        <v>467</v>
      </c>
      <c r="AD760" s="1" t="s">
        <v>1343</v>
      </c>
      <c r="AE760" s="1" t="s">
        <v>849</v>
      </c>
      <c r="AF760" s="1" t="s">
        <v>1312</v>
      </c>
      <c r="AH760" s="1" t="s">
        <v>9025</v>
      </c>
      <c r="AI760" s="1">
        <v>0.1194</v>
      </c>
      <c r="AK760" s="1">
        <v>8.0</v>
      </c>
      <c r="AL760" s="1">
        <v>4.0</v>
      </c>
      <c r="AM760" s="1">
        <v>2.0</v>
      </c>
      <c r="AN760" s="1">
        <v>1.0</v>
      </c>
      <c r="AO760" s="1" t="s">
        <v>198</v>
      </c>
      <c r="AP760" s="1">
        <v>0.0</v>
      </c>
      <c r="AQ760" s="1" t="s">
        <v>1314</v>
      </c>
      <c r="AR760" s="1" t="s">
        <v>200</v>
      </c>
      <c r="AS760" s="1" t="s">
        <v>199</v>
      </c>
      <c r="AT760" s="1">
        <v>2.0</v>
      </c>
      <c r="AV760" s="1" t="s">
        <v>200</v>
      </c>
      <c r="AW760" s="6">
        <v>5240.0</v>
      </c>
      <c r="AX760" s="1">
        <v>2012.0</v>
      </c>
      <c r="AZ760" s="1" t="s">
        <v>200</v>
      </c>
      <c r="BA760" s="1" t="str">
        <f>"0210128034"</f>
        <v>0210128034</v>
      </c>
      <c r="BC760" s="1">
        <v>1881.0</v>
      </c>
      <c r="BD760" s="1">
        <v>135000.0</v>
      </c>
      <c r="BE760" s="2">
        <v>42011.0</v>
      </c>
      <c r="BF760" s="2" t="s">
        <v>9026</v>
      </c>
      <c r="BH760" s="1">
        <v>150.0</v>
      </c>
      <c r="BK760" s="1" t="s">
        <v>474</v>
      </c>
      <c r="BL760" s="1" t="str">
        <f t="shared" ref="BL760:BM760" si="503">""</f>
        <v/>
      </c>
      <c r="BM760" s="1" t="str">
        <f t="shared" si="503"/>
        <v/>
      </c>
      <c r="BQ760" s="1">
        <v>115.0</v>
      </c>
      <c r="BR760" s="1">
        <v>115.0</v>
      </c>
      <c r="BS760" s="1">
        <v>115.0</v>
      </c>
      <c r="BU760" s="1" t="s">
        <v>363</v>
      </c>
      <c r="BV760" s="1" t="s">
        <v>206</v>
      </c>
      <c r="BW760" s="1" t="s">
        <v>210</v>
      </c>
      <c r="BY760" s="1" t="s">
        <v>433</v>
      </c>
      <c r="BZ760" s="1" t="s">
        <v>209</v>
      </c>
      <c r="CA760" s="1" t="s">
        <v>210</v>
      </c>
      <c r="CC760" s="1" t="s">
        <v>363</v>
      </c>
      <c r="CD760" s="1" t="s">
        <v>206</v>
      </c>
      <c r="CE760" s="1" t="s">
        <v>268</v>
      </c>
      <c r="CG760" s="1" t="s">
        <v>363</v>
      </c>
      <c r="CH760" s="1" t="s">
        <v>209</v>
      </c>
      <c r="CI760" s="1" t="s">
        <v>210</v>
      </c>
      <c r="CK760" s="1" t="s">
        <v>363</v>
      </c>
      <c r="CL760" s="1" t="s">
        <v>209</v>
      </c>
      <c r="CM760" s="1" t="s">
        <v>210</v>
      </c>
      <c r="CO760" s="1" t="s">
        <v>363</v>
      </c>
      <c r="CP760" s="1" t="s">
        <v>209</v>
      </c>
      <c r="CQ760" s="1" t="s">
        <v>210</v>
      </c>
      <c r="CS760" s="1" t="s">
        <v>363</v>
      </c>
      <c r="CT760" s="1" t="s">
        <v>206</v>
      </c>
      <c r="CU760" s="1" t="s">
        <v>268</v>
      </c>
      <c r="CW760" s="1" t="s">
        <v>433</v>
      </c>
      <c r="CX760" s="1" t="s">
        <v>206</v>
      </c>
      <c r="CY760" s="1" t="s">
        <v>210</v>
      </c>
      <c r="DA760" s="1" t="s">
        <v>200</v>
      </c>
      <c r="DC760" s="1" t="s">
        <v>481</v>
      </c>
      <c r="DD760" s="1" t="s">
        <v>855</v>
      </c>
      <c r="DE760" s="1" t="s">
        <v>273</v>
      </c>
      <c r="DF760" s="1" t="s">
        <v>219</v>
      </c>
      <c r="DG760" s="1" t="s">
        <v>337</v>
      </c>
      <c r="DH760" s="1" t="s">
        <v>220</v>
      </c>
      <c r="DJ760" s="1" t="s">
        <v>222</v>
      </c>
      <c r="DL760" s="1" t="s">
        <v>223</v>
      </c>
      <c r="DM760" s="1" t="s">
        <v>229</v>
      </c>
      <c r="DO760" s="1" t="s">
        <v>440</v>
      </c>
      <c r="DP760" s="1" t="s">
        <v>340</v>
      </c>
      <c r="DQ760" s="1" t="s">
        <v>228</v>
      </c>
      <c r="DR760" s="1" t="s">
        <v>588</v>
      </c>
      <c r="DV760" s="1" t="s">
        <v>232</v>
      </c>
      <c r="DW760" s="1" t="s">
        <v>934</v>
      </c>
      <c r="DX760" s="1" t="s">
        <v>234</v>
      </c>
      <c r="DY760" s="1" t="s">
        <v>3846</v>
      </c>
      <c r="DZ760" s="1" t="s">
        <v>343</v>
      </c>
      <c r="EC760" s="1" t="s">
        <v>237</v>
      </c>
      <c r="EM760" s="1" t="s">
        <v>238</v>
      </c>
      <c r="EQ760" s="1" t="s">
        <v>238</v>
      </c>
      <c r="EU760" s="1" t="s">
        <v>238</v>
      </c>
      <c r="EY760" s="1" t="s">
        <v>238</v>
      </c>
      <c r="FC760" s="1" t="s">
        <v>238</v>
      </c>
      <c r="FF760" s="1" t="s">
        <v>239</v>
      </c>
      <c r="FG760" s="1" t="s">
        <v>192</v>
      </c>
      <c r="FH760" s="1" t="s">
        <v>192</v>
      </c>
      <c r="FJ760" s="1" t="s">
        <v>1248</v>
      </c>
      <c r="FK760" s="1" t="s">
        <v>348</v>
      </c>
      <c r="FL760" s="1" t="s">
        <v>3553</v>
      </c>
      <c r="FM760" s="1">
        <v>22993.0</v>
      </c>
      <c r="FN760" s="1" t="s">
        <v>3554</v>
      </c>
      <c r="FO760" s="1" t="s">
        <v>9027</v>
      </c>
      <c r="FP760" s="1">
        <v>233401.0</v>
      </c>
      <c r="FQ760" s="1" t="s">
        <v>3554</v>
      </c>
      <c r="FS760" s="1" t="s">
        <v>9028</v>
      </c>
      <c r="FU760" s="1" t="s">
        <v>8903</v>
      </c>
      <c r="FV760" s="1" t="s">
        <v>200</v>
      </c>
      <c r="FW760" s="1" t="s">
        <v>290</v>
      </c>
      <c r="FZ760" s="1" t="s">
        <v>229</v>
      </c>
      <c r="GA760" s="1" t="s">
        <v>291</v>
      </c>
      <c r="GB760" s="2">
        <v>42124.0</v>
      </c>
      <c r="GC760" s="1" t="s">
        <v>9029</v>
      </c>
    </row>
    <row r="761">
      <c r="A761" s="1">
        <v>665500.0</v>
      </c>
      <c r="B761" s="1" t="s">
        <v>185</v>
      </c>
      <c r="C761" s="1" t="str">
        <f>"08815903"</f>
        <v>08815903</v>
      </c>
      <c r="D761" s="1" t="s">
        <v>186</v>
      </c>
      <c r="F761" s="1" t="str">
        <f>"8022"</f>
        <v>8022</v>
      </c>
      <c r="G761" s="2">
        <v>42018.0</v>
      </c>
      <c r="H761" s="1">
        <v>649000.0</v>
      </c>
      <c r="I761" s="1">
        <v>26.0</v>
      </c>
      <c r="J761" s="1">
        <v>649000.0</v>
      </c>
      <c r="K761" s="2">
        <v>41865.0</v>
      </c>
      <c r="L761" s="1">
        <v>26.0</v>
      </c>
      <c r="M761" s="2">
        <v>41865.0</v>
      </c>
      <c r="N761" s="1" t="s">
        <v>187</v>
      </c>
      <c r="O761" s="2">
        <v>42033.0</v>
      </c>
      <c r="P761" s="1">
        <v>188736.0</v>
      </c>
      <c r="Q761" s="1">
        <v>85774.0</v>
      </c>
      <c r="S761" s="1">
        <v>1815.0</v>
      </c>
      <c r="T761" s="1" t="s">
        <v>8505</v>
      </c>
      <c r="U761" s="1" t="s">
        <v>320</v>
      </c>
      <c r="V761" s="1" t="s">
        <v>190</v>
      </c>
      <c r="W761" s="1">
        <v>60647.0</v>
      </c>
      <c r="Y761" s="1" t="s">
        <v>9030</v>
      </c>
      <c r="Z761" s="1">
        <v>2014.0</v>
      </c>
      <c r="AA761" s="1" t="s">
        <v>200</v>
      </c>
      <c r="AB761" s="1" t="s">
        <v>193</v>
      </c>
      <c r="AD761" s="1" t="s">
        <v>194</v>
      </c>
      <c r="AE761" s="1" t="s">
        <v>195</v>
      </c>
      <c r="AF761" s="1" t="s">
        <v>2645</v>
      </c>
      <c r="AH761" s="1" t="s">
        <v>2611</v>
      </c>
      <c r="AK761" s="1">
        <v>8.0</v>
      </c>
      <c r="AL761" s="1">
        <v>4.0</v>
      </c>
      <c r="AM761" s="1">
        <v>3.0</v>
      </c>
      <c r="AN761" s="1">
        <v>1.0</v>
      </c>
      <c r="AO761" s="1" t="s">
        <v>198</v>
      </c>
      <c r="AP761" s="1">
        <v>1.0</v>
      </c>
      <c r="AQ761" s="1" t="s">
        <v>472</v>
      </c>
      <c r="AR761" s="1" t="s">
        <v>192</v>
      </c>
      <c r="AS761" s="1" t="s">
        <v>199</v>
      </c>
      <c r="AT761" s="1">
        <v>2.0</v>
      </c>
      <c r="AV761" s="1" t="s">
        <v>200</v>
      </c>
      <c r="AW761" s="1" t="s">
        <v>575</v>
      </c>
      <c r="AX761" s="1">
        <v>2013.0</v>
      </c>
      <c r="AZ761" s="1" t="s">
        <v>200</v>
      </c>
      <c r="BA761" s="1" t="str">
        <f>"13252170140000"</f>
        <v>13252170140000</v>
      </c>
      <c r="BC761" s="1">
        <v>2900.0</v>
      </c>
      <c r="BD761" s="1">
        <v>665500.0</v>
      </c>
      <c r="BE761" s="2">
        <v>41840.0</v>
      </c>
      <c r="BF761" s="2" t="s">
        <v>9031</v>
      </c>
      <c r="BH761" s="1">
        <v>0.0</v>
      </c>
      <c r="BK761" s="1" t="s">
        <v>204</v>
      </c>
      <c r="BL761" s="1" t="str">
        <f>"1815"</f>
        <v>1815</v>
      </c>
      <c r="BM761" s="1" t="str">
        <f>"0"</f>
        <v>0</v>
      </c>
      <c r="BN761" s="1">
        <v>2800.0</v>
      </c>
      <c r="BO761" s="1">
        <v>0.0</v>
      </c>
      <c r="BQ761" s="1">
        <v>299.0</v>
      </c>
      <c r="BR761" s="1">
        <v>299.0</v>
      </c>
      <c r="BS761" s="1">
        <v>299.0</v>
      </c>
      <c r="BU761" s="1" t="s">
        <v>583</v>
      </c>
      <c r="BV761" s="1" t="s">
        <v>206</v>
      </c>
      <c r="BW761" s="1" t="s">
        <v>207</v>
      </c>
      <c r="BX761" s="1" t="s">
        <v>229</v>
      </c>
      <c r="BY761" s="1" t="s">
        <v>454</v>
      </c>
      <c r="BZ761" s="1" t="s">
        <v>209</v>
      </c>
      <c r="CA761" s="1" t="s">
        <v>210</v>
      </c>
      <c r="CB761" s="1" t="s">
        <v>229</v>
      </c>
      <c r="CC761" s="1" t="s">
        <v>205</v>
      </c>
      <c r="CD761" s="1" t="s">
        <v>206</v>
      </c>
      <c r="CE761" s="1" t="s">
        <v>207</v>
      </c>
      <c r="CF761" s="1" t="s">
        <v>229</v>
      </c>
      <c r="CG761" s="1" t="s">
        <v>647</v>
      </c>
      <c r="CH761" s="1" t="s">
        <v>209</v>
      </c>
      <c r="CI761" s="1" t="s">
        <v>210</v>
      </c>
      <c r="CJ761" s="1" t="s">
        <v>229</v>
      </c>
      <c r="CK761" s="1" t="s">
        <v>264</v>
      </c>
      <c r="CL761" s="1" t="s">
        <v>209</v>
      </c>
      <c r="CM761" s="1" t="s">
        <v>210</v>
      </c>
      <c r="CN761" s="1" t="s">
        <v>229</v>
      </c>
      <c r="CO761" s="1" t="s">
        <v>212</v>
      </c>
      <c r="CP761" s="1" t="s">
        <v>267</v>
      </c>
      <c r="CQ761" s="1" t="s">
        <v>210</v>
      </c>
      <c r="CR761" s="1" t="s">
        <v>229</v>
      </c>
      <c r="CS761" s="1" t="s">
        <v>361</v>
      </c>
      <c r="CT761" s="1" t="s">
        <v>206</v>
      </c>
      <c r="CU761" s="1" t="s">
        <v>207</v>
      </c>
      <c r="CV761" s="1" t="s">
        <v>229</v>
      </c>
      <c r="CW761" s="1" t="s">
        <v>9032</v>
      </c>
      <c r="CX761" s="1" t="s">
        <v>267</v>
      </c>
      <c r="CY761" s="1" t="s">
        <v>588</v>
      </c>
      <c r="CZ761" s="1" t="s">
        <v>229</v>
      </c>
      <c r="DA761" s="1" t="s">
        <v>192</v>
      </c>
      <c r="DB761" s="2">
        <v>42034.0</v>
      </c>
      <c r="DC761" s="1" t="s">
        <v>744</v>
      </c>
      <c r="DD761" s="1" t="s">
        <v>731</v>
      </c>
      <c r="DE761" s="1" t="s">
        <v>273</v>
      </c>
      <c r="DF761" s="1" t="s">
        <v>219</v>
      </c>
      <c r="DH761" s="1" t="s">
        <v>307</v>
      </c>
      <c r="DI761" s="1" t="s">
        <v>9033</v>
      </c>
      <c r="DJ761" s="1" t="s">
        <v>222</v>
      </c>
      <c r="DL761" s="1" t="s">
        <v>224</v>
      </c>
      <c r="DM761" s="1" t="s">
        <v>229</v>
      </c>
      <c r="DP761" s="1" t="s">
        <v>340</v>
      </c>
      <c r="DQ761" s="1" t="s">
        <v>718</v>
      </c>
      <c r="DR761" s="1" t="s">
        <v>229</v>
      </c>
      <c r="DU761" s="1" t="s">
        <v>1933</v>
      </c>
      <c r="DV761" s="1" t="s">
        <v>232</v>
      </c>
      <c r="DW761" s="1" t="s">
        <v>489</v>
      </c>
      <c r="DX761" s="1" t="s">
        <v>234</v>
      </c>
      <c r="EB761" s="1" t="s">
        <v>1639</v>
      </c>
      <c r="EC761" s="1" t="s">
        <v>237</v>
      </c>
      <c r="EM761" s="1" t="s">
        <v>238</v>
      </c>
      <c r="EQ761" s="1" t="s">
        <v>238</v>
      </c>
      <c r="EU761" s="1" t="s">
        <v>238</v>
      </c>
      <c r="EY761" s="1" t="s">
        <v>238</v>
      </c>
      <c r="FC761" s="1" t="s">
        <v>238</v>
      </c>
      <c r="FF761" s="1" t="s">
        <v>239</v>
      </c>
      <c r="FG761" s="1" t="s">
        <v>192</v>
      </c>
      <c r="FH761" s="1" t="s">
        <v>192</v>
      </c>
      <c r="FJ761" s="1" t="s">
        <v>799</v>
      </c>
      <c r="FK761" s="1" t="s">
        <v>229</v>
      </c>
      <c r="FL761" s="1" t="s">
        <v>562</v>
      </c>
      <c r="FM761" s="1">
        <v>16379.0</v>
      </c>
      <c r="FN761" s="1" t="s">
        <v>563</v>
      </c>
      <c r="FO761" s="1" t="s">
        <v>9034</v>
      </c>
      <c r="FP761" s="1">
        <v>181397.0</v>
      </c>
      <c r="FU761" s="1" t="s">
        <v>9035</v>
      </c>
      <c r="FV761" s="1" t="s">
        <v>200</v>
      </c>
      <c r="FW761" s="1" t="s">
        <v>290</v>
      </c>
      <c r="FX761" s="1" t="s">
        <v>238</v>
      </c>
      <c r="FZ761" s="1" t="s">
        <v>229</v>
      </c>
      <c r="GA761" s="1" t="s">
        <v>291</v>
      </c>
      <c r="GB761" s="2">
        <v>42033.0</v>
      </c>
      <c r="GC761" s="1" t="s">
        <v>9036</v>
      </c>
    </row>
    <row r="762">
      <c r="A762" s="1">
        <v>170000.0</v>
      </c>
      <c r="B762" s="1" t="s">
        <v>185</v>
      </c>
      <c r="C762" s="1" t="str">
        <f>"08813018"</f>
        <v>08813018</v>
      </c>
      <c r="D762" s="1" t="s">
        <v>186</v>
      </c>
      <c r="F762" s="1" t="str">
        <f>"8065"</f>
        <v>8065</v>
      </c>
      <c r="G762" s="2">
        <v>42013.0</v>
      </c>
      <c r="H762" s="1">
        <v>200475.0</v>
      </c>
      <c r="I762" s="1">
        <v>315.0</v>
      </c>
      <c r="J762" s="1">
        <v>200475.0</v>
      </c>
      <c r="K762" s="2">
        <v>42081.0</v>
      </c>
      <c r="L762" s="1">
        <v>69.0</v>
      </c>
      <c r="M762" s="2">
        <v>42081.0</v>
      </c>
      <c r="N762" s="1" t="s">
        <v>356</v>
      </c>
      <c r="O762" s="2">
        <v>42142.0</v>
      </c>
      <c r="P762" s="1">
        <v>159359.0</v>
      </c>
      <c r="Q762" s="1">
        <v>14387.0</v>
      </c>
      <c r="S762" s="1">
        <v>6447.0</v>
      </c>
      <c r="T762" s="1" t="s">
        <v>9037</v>
      </c>
      <c r="U762" s="1" t="s">
        <v>189</v>
      </c>
      <c r="V762" s="1" t="s">
        <v>190</v>
      </c>
      <c r="W762" s="1">
        <v>60629.0</v>
      </c>
      <c r="Y762" s="1" t="s">
        <v>9038</v>
      </c>
      <c r="Z762" s="1">
        <v>1947.0</v>
      </c>
      <c r="AA762" s="1" t="s">
        <v>192</v>
      </c>
      <c r="AB762" s="1" t="s">
        <v>193</v>
      </c>
      <c r="AD762" s="1" t="s">
        <v>194</v>
      </c>
      <c r="AE762" s="1" t="s">
        <v>195</v>
      </c>
      <c r="AF762" s="1" t="s">
        <v>659</v>
      </c>
      <c r="AH762" s="1" t="s">
        <v>1501</v>
      </c>
      <c r="AI762" s="1">
        <v>0.0861</v>
      </c>
      <c r="AK762" s="1">
        <v>8.0</v>
      </c>
      <c r="AL762" s="1">
        <v>4.0</v>
      </c>
      <c r="AM762" s="1">
        <v>2.0</v>
      </c>
      <c r="AN762" s="1">
        <v>1.0</v>
      </c>
      <c r="AO762" s="1" t="s">
        <v>229</v>
      </c>
      <c r="AQ762" s="1" t="s">
        <v>327</v>
      </c>
      <c r="AR762" s="1" t="s">
        <v>192</v>
      </c>
      <c r="AS762" s="1" t="s">
        <v>199</v>
      </c>
      <c r="AT762" s="1">
        <v>2.5</v>
      </c>
      <c r="AV762" s="1" t="s">
        <v>200</v>
      </c>
      <c r="AW762" s="1">
        <v>1769.82</v>
      </c>
      <c r="AX762" s="1">
        <v>2013.0</v>
      </c>
      <c r="AY762" s="1" t="s">
        <v>1179</v>
      </c>
      <c r="AZ762" s="1" t="s">
        <v>200</v>
      </c>
      <c r="BA762" s="1" t="str">
        <f>"19222150160000"</f>
        <v>19222150160000</v>
      </c>
      <c r="BC762" s="1">
        <v>1200.0</v>
      </c>
      <c r="BD762" s="1">
        <v>170000.0</v>
      </c>
      <c r="BE762" s="2">
        <v>42013.0</v>
      </c>
      <c r="BF762" s="2" t="s">
        <v>9039</v>
      </c>
      <c r="BH762" s="1">
        <v>0.0</v>
      </c>
      <c r="BK762" s="1" t="s">
        <v>204</v>
      </c>
      <c r="BL762" s="1" t="str">
        <f t="shared" ref="BL762:BM762" si="504">"0"</f>
        <v>0</v>
      </c>
      <c r="BM762" s="1" t="str">
        <f t="shared" si="504"/>
        <v>0</v>
      </c>
      <c r="BN762" s="1">
        <v>4032.0</v>
      </c>
      <c r="BO762" s="1">
        <v>6447.0</v>
      </c>
      <c r="BQ762" s="1">
        <v>299.0</v>
      </c>
      <c r="BR762" s="1">
        <v>299.0</v>
      </c>
      <c r="BS762" s="1">
        <v>299.0</v>
      </c>
      <c r="BU762" s="1" t="s">
        <v>211</v>
      </c>
      <c r="BV762" s="1" t="s">
        <v>206</v>
      </c>
      <c r="BW762" s="1" t="s">
        <v>207</v>
      </c>
      <c r="BY762" s="1" t="s">
        <v>392</v>
      </c>
      <c r="BZ762" s="1" t="s">
        <v>209</v>
      </c>
      <c r="CC762" s="1" t="s">
        <v>393</v>
      </c>
      <c r="CD762" s="1" t="s">
        <v>206</v>
      </c>
      <c r="CE762" s="1" t="s">
        <v>617</v>
      </c>
      <c r="CG762" s="1" t="s">
        <v>497</v>
      </c>
      <c r="CH762" s="1" t="s">
        <v>209</v>
      </c>
      <c r="CK762" s="1" t="s">
        <v>363</v>
      </c>
      <c r="CL762" s="1" t="s">
        <v>206</v>
      </c>
      <c r="CO762" s="1" t="s">
        <v>495</v>
      </c>
      <c r="CP762" s="1" t="s">
        <v>206</v>
      </c>
      <c r="CS762" s="1" t="s">
        <v>816</v>
      </c>
      <c r="CT762" s="1" t="s">
        <v>206</v>
      </c>
      <c r="CU762" s="1" t="s">
        <v>617</v>
      </c>
      <c r="CW762" s="1" t="s">
        <v>515</v>
      </c>
      <c r="CX762" s="1" t="s">
        <v>42</v>
      </c>
      <c r="CY762" s="1" t="s">
        <v>617</v>
      </c>
      <c r="DA762" s="1" t="s">
        <v>200</v>
      </c>
      <c r="DC762" s="1" t="s">
        <v>702</v>
      </c>
      <c r="DE762" s="1" t="s">
        <v>273</v>
      </c>
      <c r="DF762" s="1" t="s">
        <v>219</v>
      </c>
      <c r="DH762" s="1" t="s">
        <v>307</v>
      </c>
      <c r="DJ762" s="1" t="s">
        <v>222</v>
      </c>
      <c r="DL762" s="1" t="s">
        <v>224</v>
      </c>
      <c r="DM762" s="1" t="s">
        <v>229</v>
      </c>
      <c r="DQ762" s="1" t="s">
        <v>794</v>
      </c>
      <c r="DR762" s="1" t="s">
        <v>229</v>
      </c>
      <c r="DV762" s="1" t="s">
        <v>232</v>
      </c>
      <c r="DW762" s="1" t="s">
        <v>279</v>
      </c>
      <c r="DX762" s="1" t="s">
        <v>234</v>
      </c>
      <c r="DY762" s="1" t="s">
        <v>704</v>
      </c>
      <c r="DZ762" s="1" t="s">
        <v>310</v>
      </c>
      <c r="EC762" s="1" t="s">
        <v>645</v>
      </c>
      <c r="EM762" s="1" t="s">
        <v>238</v>
      </c>
      <c r="EQ762" s="1" t="s">
        <v>238</v>
      </c>
      <c r="EU762" s="1" t="s">
        <v>238</v>
      </c>
      <c r="EY762" s="1" t="s">
        <v>238</v>
      </c>
      <c r="FC762" s="1" t="s">
        <v>238</v>
      </c>
      <c r="FF762" s="1" t="s">
        <v>239</v>
      </c>
      <c r="FG762" s="1" t="s">
        <v>192</v>
      </c>
      <c r="FH762" s="1" t="s">
        <v>192</v>
      </c>
      <c r="FJ762" s="1" t="s">
        <v>4471</v>
      </c>
      <c r="FK762" s="1" t="s">
        <v>229</v>
      </c>
      <c r="FL762" s="1" t="s">
        <v>1289</v>
      </c>
      <c r="FM762" s="1">
        <v>12174.0</v>
      </c>
      <c r="FN762" s="1" t="s">
        <v>9040</v>
      </c>
      <c r="FO762" s="1" t="s">
        <v>9041</v>
      </c>
      <c r="FP762" s="1">
        <v>116577.0</v>
      </c>
      <c r="FQ762" s="1" t="s">
        <v>9042</v>
      </c>
      <c r="FU762" s="1" t="s">
        <v>9043</v>
      </c>
      <c r="FV762" s="1" t="s">
        <v>200</v>
      </c>
      <c r="FW762" s="1" t="s">
        <v>290</v>
      </c>
      <c r="FX762" s="1" t="s">
        <v>655</v>
      </c>
      <c r="FZ762" s="1" t="s">
        <v>229</v>
      </c>
      <c r="GA762" s="1" t="s">
        <v>291</v>
      </c>
      <c r="GB762" s="2">
        <v>42143.0</v>
      </c>
      <c r="GC762" s="1" t="s">
        <v>9044</v>
      </c>
    </row>
    <row r="763">
      <c r="A763" s="1">
        <v>300000.0</v>
      </c>
      <c r="B763" s="1" t="s">
        <v>185</v>
      </c>
      <c r="C763" s="1" t="str">
        <f>"08811157"</f>
        <v>08811157</v>
      </c>
      <c r="D763" s="1" t="s">
        <v>186</v>
      </c>
      <c r="F763" s="1" t="str">
        <f>"174"</f>
        <v>174</v>
      </c>
      <c r="G763" s="2">
        <v>42011.0</v>
      </c>
      <c r="H763" s="1">
        <v>304900.0</v>
      </c>
      <c r="I763" s="1">
        <v>4.0</v>
      </c>
      <c r="J763" s="1">
        <v>304900.0</v>
      </c>
      <c r="K763" s="2">
        <v>42014.0</v>
      </c>
      <c r="L763" s="1">
        <v>4.0</v>
      </c>
      <c r="M763" s="2">
        <v>42014.0</v>
      </c>
      <c r="N763" s="1" t="s">
        <v>187</v>
      </c>
      <c r="O763" s="2">
        <v>42044.0</v>
      </c>
      <c r="P763" s="1">
        <v>83317.0</v>
      </c>
      <c r="Q763" s="1">
        <v>8094.0</v>
      </c>
      <c r="S763" s="1">
        <v>3033.0</v>
      </c>
      <c r="T763" s="1" t="s">
        <v>9045</v>
      </c>
      <c r="U763" s="1" t="s">
        <v>569</v>
      </c>
      <c r="V763" s="1" t="s">
        <v>1200</v>
      </c>
      <c r="W763" s="1">
        <v>60175.0</v>
      </c>
      <c r="Y763" s="1" t="s">
        <v>9046</v>
      </c>
      <c r="Z763" s="1">
        <v>2003.0</v>
      </c>
      <c r="AA763" s="1" t="s">
        <v>200</v>
      </c>
      <c r="AB763" s="1" t="s">
        <v>467</v>
      </c>
      <c r="AC763" s="1" t="s">
        <v>9047</v>
      </c>
      <c r="AD763" s="1" t="s">
        <v>1203</v>
      </c>
      <c r="AE763" s="1" t="s">
        <v>325</v>
      </c>
      <c r="AF763" s="1" t="s">
        <v>1203</v>
      </c>
      <c r="AG763" s="1" t="s">
        <v>9048</v>
      </c>
      <c r="AH763" s="1" t="s">
        <v>9049</v>
      </c>
      <c r="AK763" s="1">
        <v>9.0</v>
      </c>
      <c r="AL763" s="1">
        <v>4.0</v>
      </c>
      <c r="AM763" s="1">
        <v>2.0</v>
      </c>
      <c r="AN763" s="1">
        <v>1.0</v>
      </c>
      <c r="AO763" s="1" t="s">
        <v>198</v>
      </c>
      <c r="AQ763" s="1" t="s">
        <v>1314</v>
      </c>
      <c r="AR763" s="1" t="s">
        <v>200</v>
      </c>
      <c r="AS763" s="1" t="s">
        <v>199</v>
      </c>
      <c r="AT763" s="1">
        <v>3.0</v>
      </c>
      <c r="AV763" s="1" t="s">
        <v>200</v>
      </c>
      <c r="AW763" s="1">
        <v>7819.0</v>
      </c>
      <c r="AX763" s="1">
        <v>2013.0</v>
      </c>
      <c r="AY763" s="1" t="s">
        <v>387</v>
      </c>
      <c r="AZ763" s="1" t="s">
        <v>200</v>
      </c>
      <c r="BA763" s="1" t="str">
        <f>"0932113003"</f>
        <v>0932113003</v>
      </c>
      <c r="BB763" s="1" t="s">
        <v>200</v>
      </c>
      <c r="BC763" s="1">
        <v>2300.0</v>
      </c>
      <c r="BD763" s="1">
        <v>300000.0</v>
      </c>
      <c r="BE763" s="2">
        <v>42011.0</v>
      </c>
      <c r="BF763" s="2" t="s">
        <v>9050</v>
      </c>
      <c r="BG763" s="1" t="s">
        <v>5991</v>
      </c>
      <c r="BH763" s="1">
        <v>268.0</v>
      </c>
      <c r="BI763" s="1" t="s">
        <v>2143</v>
      </c>
      <c r="BJ763" s="1" t="s">
        <v>2144</v>
      </c>
      <c r="BK763" s="1" t="s">
        <v>580</v>
      </c>
      <c r="BL763" s="1" t="str">
        <f>"2"</f>
        <v>2</v>
      </c>
      <c r="BM763" s="1" t="str">
        <f>"0"</f>
        <v>0</v>
      </c>
      <c r="BN763" s="1">
        <v>37.0</v>
      </c>
      <c r="BO763" s="1">
        <v>0.0</v>
      </c>
      <c r="BQ763" s="1">
        <v>303.0</v>
      </c>
      <c r="BR763" s="1">
        <v>303.0</v>
      </c>
      <c r="BS763" s="1">
        <v>303.0</v>
      </c>
      <c r="BU763" s="1" t="s">
        <v>361</v>
      </c>
      <c r="BV763" s="1" t="s">
        <v>206</v>
      </c>
      <c r="BW763" s="1" t="s">
        <v>210</v>
      </c>
      <c r="BY763" s="1" t="s">
        <v>743</v>
      </c>
      <c r="BZ763" s="1" t="s">
        <v>209</v>
      </c>
      <c r="CA763" s="1" t="s">
        <v>210</v>
      </c>
      <c r="CC763" s="1" t="s">
        <v>363</v>
      </c>
      <c r="CD763" s="1" t="s">
        <v>206</v>
      </c>
      <c r="CE763" s="1" t="s">
        <v>210</v>
      </c>
      <c r="CG763" s="1" t="s">
        <v>332</v>
      </c>
      <c r="CH763" s="1" t="s">
        <v>209</v>
      </c>
      <c r="CI763" s="1" t="s">
        <v>210</v>
      </c>
      <c r="CK763" s="1" t="s">
        <v>699</v>
      </c>
      <c r="CL763" s="1" t="s">
        <v>209</v>
      </c>
      <c r="CM763" s="1" t="s">
        <v>210</v>
      </c>
      <c r="CO763" s="1" t="s">
        <v>699</v>
      </c>
      <c r="CP763" s="1" t="s">
        <v>209</v>
      </c>
      <c r="CQ763" s="1" t="s">
        <v>210</v>
      </c>
      <c r="CS763" s="1" t="s">
        <v>213</v>
      </c>
      <c r="CT763" s="1" t="s">
        <v>206</v>
      </c>
      <c r="CU763" s="1" t="s">
        <v>207</v>
      </c>
      <c r="CW763" s="1" t="s">
        <v>2120</v>
      </c>
      <c r="CX763" s="1" t="s">
        <v>206</v>
      </c>
      <c r="CY763" s="1" t="s">
        <v>207</v>
      </c>
      <c r="DA763" s="1" t="s">
        <v>200</v>
      </c>
      <c r="DC763" s="1" t="s">
        <v>335</v>
      </c>
      <c r="DD763" s="1" t="s">
        <v>436</v>
      </c>
      <c r="DE763" s="1" t="s">
        <v>273</v>
      </c>
      <c r="DF763" s="1" t="s">
        <v>219</v>
      </c>
      <c r="DG763" s="1" t="s">
        <v>5395</v>
      </c>
      <c r="DH763" s="1" t="s">
        <v>220</v>
      </c>
      <c r="DI763" s="1" t="s">
        <v>221</v>
      </c>
      <c r="DJ763" s="1" t="s">
        <v>222</v>
      </c>
      <c r="DK763" s="1" t="s">
        <v>223</v>
      </c>
      <c r="DL763" s="1" t="s">
        <v>224</v>
      </c>
      <c r="DM763" s="1" t="s">
        <v>338</v>
      </c>
      <c r="DN763" s="1" t="s">
        <v>339</v>
      </c>
      <c r="DO763" s="1" t="s">
        <v>717</v>
      </c>
      <c r="DQ763" s="1" t="s">
        <v>228</v>
      </c>
      <c r="DR763" s="1" t="s">
        <v>1185</v>
      </c>
      <c r="DS763" s="1" t="s">
        <v>591</v>
      </c>
      <c r="DU763" s="1" t="s">
        <v>3059</v>
      </c>
      <c r="DV763" s="1" t="s">
        <v>450</v>
      </c>
      <c r="DW763" s="1" t="s">
        <v>444</v>
      </c>
      <c r="DX763" s="1" t="s">
        <v>234</v>
      </c>
      <c r="DY763" s="1" t="s">
        <v>235</v>
      </c>
      <c r="DZ763" s="1" t="s">
        <v>9051</v>
      </c>
      <c r="EC763" s="1" t="s">
        <v>237</v>
      </c>
      <c r="ED763" s="1" t="s">
        <v>6543</v>
      </c>
      <c r="EG763" s="1" t="s">
        <v>450</v>
      </c>
      <c r="EL763" s="1" t="s">
        <v>9052</v>
      </c>
      <c r="EM763" s="1" t="s">
        <v>267</v>
      </c>
      <c r="EN763" s="1" t="s">
        <v>210</v>
      </c>
      <c r="EQ763" s="1" t="s">
        <v>238</v>
      </c>
      <c r="EU763" s="1" t="s">
        <v>238</v>
      </c>
      <c r="EY763" s="1" t="s">
        <v>238</v>
      </c>
      <c r="FC763" s="1" t="s">
        <v>238</v>
      </c>
      <c r="FF763" s="1" t="s">
        <v>239</v>
      </c>
      <c r="FG763" s="1" t="s">
        <v>192</v>
      </c>
      <c r="FH763" s="1" t="s">
        <v>192</v>
      </c>
      <c r="FJ763" s="1" t="s">
        <v>9053</v>
      </c>
      <c r="FK763" s="1" t="s">
        <v>229</v>
      </c>
      <c r="FL763" s="1" t="s">
        <v>5963</v>
      </c>
      <c r="FM763" s="1">
        <v>23099.0</v>
      </c>
      <c r="FN763" s="1" t="s">
        <v>5964</v>
      </c>
      <c r="FO763" s="1" t="s">
        <v>9054</v>
      </c>
      <c r="FP763" s="1">
        <v>235728.0</v>
      </c>
      <c r="FQ763" s="1" t="s">
        <v>9055</v>
      </c>
      <c r="FU763" s="1" t="s">
        <v>1882</v>
      </c>
      <c r="FV763" s="1" t="s">
        <v>200</v>
      </c>
      <c r="FW763" s="1" t="s">
        <v>9056</v>
      </c>
      <c r="FZ763" s="1" t="s">
        <v>229</v>
      </c>
      <c r="GA763" s="1" t="s">
        <v>291</v>
      </c>
      <c r="GB763" s="2">
        <v>42044.0</v>
      </c>
      <c r="GC763" s="1" t="s">
        <v>9057</v>
      </c>
    </row>
    <row r="764">
      <c r="A764" s="1">
        <v>82000.0</v>
      </c>
      <c r="B764" s="1" t="s">
        <v>185</v>
      </c>
      <c r="C764" s="1" t="str">
        <f>"08812549"</f>
        <v>08812549</v>
      </c>
      <c r="D764" s="1" t="s">
        <v>186</v>
      </c>
      <c r="F764" s="1" t="str">
        <f>"8063"</f>
        <v>8063</v>
      </c>
      <c r="G764" s="2">
        <v>42012.0</v>
      </c>
      <c r="H764" s="1">
        <v>119900.0</v>
      </c>
      <c r="I764" s="1">
        <v>4.0</v>
      </c>
      <c r="J764" s="1">
        <v>119900.0</v>
      </c>
      <c r="K764" s="2">
        <v>42014.0</v>
      </c>
      <c r="L764" s="1">
        <v>4.0</v>
      </c>
      <c r="M764" s="2">
        <v>42014.0</v>
      </c>
      <c r="N764" s="1" t="s">
        <v>249</v>
      </c>
      <c r="O764" s="2">
        <v>42044.0</v>
      </c>
      <c r="P764" s="1">
        <v>120307.0</v>
      </c>
      <c r="Q764" s="1">
        <v>12555.0</v>
      </c>
      <c r="S764" s="1">
        <v>2941.0</v>
      </c>
      <c r="T764" s="1" t="s">
        <v>9058</v>
      </c>
      <c r="U764" s="1" t="s">
        <v>320</v>
      </c>
      <c r="V764" s="1" t="s">
        <v>190</v>
      </c>
      <c r="W764" s="1">
        <v>60632.0</v>
      </c>
      <c r="Y764" s="1" t="s">
        <v>9059</v>
      </c>
      <c r="Z764" s="1">
        <v>1922.0</v>
      </c>
      <c r="AA764" s="1" t="s">
        <v>192</v>
      </c>
      <c r="AB764" s="1" t="s">
        <v>193</v>
      </c>
      <c r="AD764" s="1" t="s">
        <v>194</v>
      </c>
      <c r="AE764" s="1" t="s">
        <v>195</v>
      </c>
      <c r="AF764" s="1" t="s">
        <v>659</v>
      </c>
      <c r="AH764" s="1" t="s">
        <v>9060</v>
      </c>
      <c r="AI764" s="1">
        <v>0.1076</v>
      </c>
      <c r="AK764" s="1">
        <v>8.0</v>
      </c>
      <c r="AL764" s="1">
        <v>4.0</v>
      </c>
      <c r="AM764" s="1">
        <v>1.0</v>
      </c>
      <c r="AN764" s="1">
        <v>0.0</v>
      </c>
      <c r="AO764" s="1" t="s">
        <v>198</v>
      </c>
      <c r="AQ764" s="1" t="s">
        <v>198</v>
      </c>
      <c r="AR764" s="1" t="s">
        <v>200</v>
      </c>
      <c r="AS764" s="1" t="s">
        <v>199</v>
      </c>
      <c r="AT764" s="1">
        <v>2.0</v>
      </c>
      <c r="AV764" s="1" t="s">
        <v>200</v>
      </c>
      <c r="AW764" s="1">
        <v>1855.73</v>
      </c>
      <c r="AX764" s="1">
        <v>2012.0</v>
      </c>
      <c r="AZ764" s="1" t="s">
        <v>200</v>
      </c>
      <c r="BA764" s="1" t="str">
        <f>"19131040060000"</f>
        <v>19131040060000</v>
      </c>
      <c r="BC764" s="1">
        <v>0.0</v>
      </c>
      <c r="BD764" s="1">
        <v>82000.0</v>
      </c>
      <c r="BE764" s="2">
        <v>42011.0</v>
      </c>
      <c r="BF764" s="1" t="s">
        <v>9061</v>
      </c>
      <c r="BH764" s="1">
        <v>0.0</v>
      </c>
      <c r="BK764" s="1" t="s">
        <v>204</v>
      </c>
      <c r="BL764" s="1" t="str">
        <f t="shared" ref="BL764:BM764" si="505">"0"</f>
        <v>0</v>
      </c>
      <c r="BM764" s="1" t="str">
        <f t="shared" si="505"/>
        <v>0</v>
      </c>
      <c r="BN764" s="1">
        <v>2941.0</v>
      </c>
      <c r="BO764" s="1">
        <v>5500.0</v>
      </c>
      <c r="BQ764" s="1">
        <v>299.0</v>
      </c>
      <c r="BR764" s="1">
        <v>299.0</v>
      </c>
      <c r="BS764" s="1">
        <v>299.0</v>
      </c>
      <c r="BU764" s="1" t="s">
        <v>2900</v>
      </c>
      <c r="BV764" s="1" t="s">
        <v>206</v>
      </c>
      <c r="BY764" s="1" t="s">
        <v>543</v>
      </c>
      <c r="BZ764" s="1" t="s">
        <v>206</v>
      </c>
      <c r="CC764" s="1" t="s">
        <v>478</v>
      </c>
      <c r="CD764" s="1" t="s">
        <v>206</v>
      </c>
      <c r="CG764" s="1" t="s">
        <v>495</v>
      </c>
      <c r="CH764" s="1" t="s">
        <v>206</v>
      </c>
      <c r="CK764" s="1" t="s">
        <v>2367</v>
      </c>
      <c r="CL764" s="1" t="s">
        <v>206</v>
      </c>
      <c r="CO764" s="1" t="s">
        <v>361</v>
      </c>
      <c r="CP764" s="1" t="s">
        <v>209</v>
      </c>
      <c r="CS764" s="1" t="s">
        <v>640</v>
      </c>
      <c r="CT764" s="1" t="s">
        <v>206</v>
      </c>
      <c r="CW764" s="1" t="s">
        <v>9062</v>
      </c>
      <c r="CX764" s="1" t="s">
        <v>42</v>
      </c>
      <c r="DA764" s="1" t="s">
        <v>200</v>
      </c>
      <c r="DC764" s="1" t="s">
        <v>216</v>
      </c>
      <c r="DE764" s="1" t="s">
        <v>229</v>
      </c>
      <c r="DF764" s="1" t="s">
        <v>619</v>
      </c>
      <c r="DH764" s="1" t="s">
        <v>220</v>
      </c>
      <c r="DJ764" s="1" t="s">
        <v>222</v>
      </c>
      <c r="DL764" s="1" t="s">
        <v>223</v>
      </c>
      <c r="DM764" s="1" t="s">
        <v>229</v>
      </c>
      <c r="DQ764" s="1" t="s">
        <v>228</v>
      </c>
      <c r="DR764" s="1" t="s">
        <v>229</v>
      </c>
      <c r="DV764" s="1" t="s">
        <v>232</v>
      </c>
      <c r="DW764" s="1" t="s">
        <v>279</v>
      </c>
      <c r="DX764" s="1" t="s">
        <v>234</v>
      </c>
      <c r="EC764" s="1" t="s">
        <v>645</v>
      </c>
      <c r="EE764" s="1" t="s">
        <v>1960</v>
      </c>
      <c r="EM764" s="1" t="s">
        <v>238</v>
      </c>
      <c r="EQ764" s="1" t="s">
        <v>238</v>
      </c>
      <c r="EU764" s="1" t="s">
        <v>238</v>
      </c>
      <c r="EY764" s="1" t="s">
        <v>238</v>
      </c>
      <c r="FC764" s="1" t="s">
        <v>238</v>
      </c>
      <c r="FF764" s="1" t="s">
        <v>239</v>
      </c>
      <c r="FG764" s="1" t="s">
        <v>192</v>
      </c>
      <c r="FH764" s="1" t="s">
        <v>192</v>
      </c>
      <c r="FJ764" s="1" t="s">
        <v>3062</v>
      </c>
      <c r="FK764" s="1" t="s">
        <v>229</v>
      </c>
      <c r="FL764" s="1" t="s">
        <v>2111</v>
      </c>
      <c r="FM764" s="1">
        <v>12555.0</v>
      </c>
      <c r="FN764" s="1" t="s">
        <v>2112</v>
      </c>
      <c r="FO764" s="1" t="s">
        <v>9063</v>
      </c>
      <c r="FP764" s="1">
        <v>178800.0</v>
      </c>
      <c r="FQ764" s="1" t="s">
        <v>9064</v>
      </c>
      <c r="FU764" s="1" t="s">
        <v>710</v>
      </c>
      <c r="FV764" s="1" t="s">
        <v>200</v>
      </c>
      <c r="FW764" s="1" t="s">
        <v>1578</v>
      </c>
      <c r="FX764" s="1" t="s">
        <v>246</v>
      </c>
      <c r="FZ764" s="1" t="s">
        <v>229</v>
      </c>
      <c r="GA764" s="1" t="s">
        <v>291</v>
      </c>
      <c r="GB764" s="2">
        <v>42045.0</v>
      </c>
      <c r="GC764" s="1" t="s">
        <v>9065</v>
      </c>
    </row>
    <row r="765">
      <c r="A765" s="1">
        <v>658000.0</v>
      </c>
      <c r="B765" s="1" t="s">
        <v>185</v>
      </c>
      <c r="C765" s="1" t="str">
        <f>"08813643"</f>
        <v>08813643</v>
      </c>
      <c r="D765" s="1" t="s">
        <v>186</v>
      </c>
      <c r="F765" s="1" t="str">
        <f>"174"</f>
        <v>174</v>
      </c>
      <c r="G765" s="2">
        <v>42014.0</v>
      </c>
      <c r="H765" s="1">
        <v>689900.0</v>
      </c>
      <c r="I765" s="1">
        <v>81.0</v>
      </c>
      <c r="J765" s="1">
        <v>689900.0</v>
      </c>
      <c r="K765" s="2">
        <v>42093.0</v>
      </c>
      <c r="L765" s="1">
        <v>81.0</v>
      </c>
      <c r="M765" s="2">
        <v>42093.0</v>
      </c>
      <c r="N765" s="1" t="s">
        <v>187</v>
      </c>
      <c r="O765" s="2">
        <v>42124.0</v>
      </c>
      <c r="P765" s="1">
        <v>36146.0</v>
      </c>
      <c r="Q765" s="1">
        <v>4777.0</v>
      </c>
      <c r="S765" s="1" t="s">
        <v>9066</v>
      </c>
      <c r="T765" s="1" t="s">
        <v>9067</v>
      </c>
      <c r="U765" s="1" t="s">
        <v>464</v>
      </c>
      <c r="V765" s="1" t="s">
        <v>1200</v>
      </c>
      <c r="W765" s="1">
        <v>60175.0</v>
      </c>
      <c r="Y765" s="1" t="s">
        <v>9068</v>
      </c>
      <c r="Z765" s="1">
        <v>2015.0</v>
      </c>
      <c r="AA765" s="1" t="s">
        <v>200</v>
      </c>
      <c r="AB765" s="1" t="s">
        <v>467</v>
      </c>
      <c r="AC765" s="1" t="s">
        <v>4318</v>
      </c>
      <c r="AD765" s="1" t="s">
        <v>3766</v>
      </c>
      <c r="AE765" s="1" t="s">
        <v>325</v>
      </c>
      <c r="AF765" s="1" t="s">
        <v>1632</v>
      </c>
      <c r="AH765" s="1">
        <v>18641.0</v>
      </c>
      <c r="AK765" s="1">
        <v>9.0</v>
      </c>
      <c r="AL765" s="1">
        <v>4.0</v>
      </c>
      <c r="AM765" s="1">
        <v>3.0</v>
      </c>
      <c r="AN765" s="1">
        <v>1.0</v>
      </c>
      <c r="AO765" s="1" t="s">
        <v>198</v>
      </c>
      <c r="AP765" s="1">
        <v>1.0</v>
      </c>
      <c r="AQ765" s="1" t="s">
        <v>327</v>
      </c>
      <c r="AR765" s="1" t="s">
        <v>200</v>
      </c>
      <c r="AS765" s="1" t="s">
        <v>199</v>
      </c>
      <c r="AT765" s="1">
        <v>3.0</v>
      </c>
      <c r="AV765" s="1" t="s">
        <v>200</v>
      </c>
      <c r="AW765" s="1">
        <v>2298.56</v>
      </c>
      <c r="AX765" s="1">
        <v>2013.0</v>
      </c>
      <c r="AY765" s="1" t="s">
        <v>229</v>
      </c>
      <c r="AZ765" s="1" t="s">
        <v>545</v>
      </c>
      <c r="BA765" s="1" t="str">
        <f>"0825128014"</f>
        <v>0825128014</v>
      </c>
      <c r="BC765" s="1">
        <v>3916.0</v>
      </c>
      <c r="BD765" s="1">
        <v>658000.0</v>
      </c>
      <c r="BE765" s="2">
        <v>42013.0</v>
      </c>
      <c r="BF765" s="2" t="s">
        <v>9069</v>
      </c>
      <c r="BG765" s="1" t="s">
        <v>6840</v>
      </c>
      <c r="BH765" s="1">
        <v>295.0</v>
      </c>
      <c r="BI765" s="1" t="s">
        <v>2199</v>
      </c>
      <c r="BJ765" s="1" t="s">
        <v>2144</v>
      </c>
      <c r="BK765" s="1" t="s">
        <v>1952</v>
      </c>
      <c r="BL765" s="1" t="str">
        <f t="shared" ref="BL765:BM765" si="506">""</f>
        <v/>
      </c>
      <c r="BM765" s="1" t="str">
        <f t="shared" si="506"/>
        <v/>
      </c>
      <c r="BQ765" s="1">
        <v>303.0</v>
      </c>
      <c r="BR765" s="1">
        <v>303.0</v>
      </c>
      <c r="BS765" s="1">
        <v>303.0</v>
      </c>
      <c r="BU765" s="1" t="s">
        <v>300</v>
      </c>
      <c r="BV765" s="1" t="s">
        <v>206</v>
      </c>
      <c r="BY765" s="1" t="s">
        <v>583</v>
      </c>
      <c r="BZ765" s="1" t="s">
        <v>209</v>
      </c>
      <c r="CC765" s="1" t="s">
        <v>1395</v>
      </c>
      <c r="CD765" s="1" t="s">
        <v>206</v>
      </c>
      <c r="CG765" s="1" t="s">
        <v>433</v>
      </c>
      <c r="CH765" s="1" t="s">
        <v>209</v>
      </c>
      <c r="CK765" s="1" t="s">
        <v>478</v>
      </c>
      <c r="CL765" s="1" t="s">
        <v>209</v>
      </c>
      <c r="CO765" s="1" t="s">
        <v>1395</v>
      </c>
      <c r="CP765" s="1" t="s">
        <v>209</v>
      </c>
      <c r="CS765" s="1" t="s">
        <v>364</v>
      </c>
      <c r="CT765" s="1" t="s">
        <v>206</v>
      </c>
      <c r="CW765" s="1" t="s">
        <v>1350</v>
      </c>
      <c r="CX765" s="1" t="s">
        <v>206</v>
      </c>
      <c r="DA765" s="1" t="s">
        <v>192</v>
      </c>
      <c r="DB765" s="2">
        <v>42226.0</v>
      </c>
      <c r="DC765" s="1" t="s">
        <v>585</v>
      </c>
      <c r="DD765" s="1" t="s">
        <v>1976</v>
      </c>
      <c r="DE765" s="1" t="s">
        <v>273</v>
      </c>
      <c r="DF765" s="1" t="s">
        <v>619</v>
      </c>
      <c r="DH765" s="1" t="s">
        <v>220</v>
      </c>
      <c r="DJ765" s="1" t="s">
        <v>222</v>
      </c>
      <c r="DL765" s="1" t="s">
        <v>484</v>
      </c>
      <c r="DM765" s="1" t="s">
        <v>229</v>
      </c>
      <c r="DQ765" s="1" t="s">
        <v>228</v>
      </c>
      <c r="DR765" s="1" t="s">
        <v>1839</v>
      </c>
      <c r="DV765" s="1" t="s">
        <v>6844</v>
      </c>
      <c r="DW765" s="1" t="s">
        <v>1145</v>
      </c>
      <c r="DX765" s="1" t="s">
        <v>234</v>
      </c>
      <c r="DY765" s="1" t="s">
        <v>1006</v>
      </c>
      <c r="DZ765" s="1" t="s">
        <v>310</v>
      </c>
      <c r="EC765" s="1" t="s">
        <v>237</v>
      </c>
      <c r="EG765" s="1" t="s">
        <v>1028</v>
      </c>
      <c r="EH765" s="1" t="s">
        <v>408</v>
      </c>
      <c r="EL765" s="1" t="s">
        <v>361</v>
      </c>
      <c r="EM765" s="1" t="s">
        <v>206</v>
      </c>
      <c r="EP765" s="1" t="s">
        <v>303</v>
      </c>
      <c r="EQ765" s="1" t="s">
        <v>206</v>
      </c>
      <c r="EU765" s="1" t="s">
        <v>238</v>
      </c>
      <c r="EY765" s="1" t="s">
        <v>238</v>
      </c>
      <c r="FC765" s="1" t="s">
        <v>238</v>
      </c>
      <c r="FF765" s="1" t="s">
        <v>239</v>
      </c>
      <c r="FG765" s="1" t="s">
        <v>192</v>
      </c>
      <c r="FH765" s="1" t="s">
        <v>192</v>
      </c>
      <c r="FJ765" s="1" t="s">
        <v>498</v>
      </c>
      <c r="FK765" s="1" t="s">
        <v>229</v>
      </c>
      <c r="FL765" s="1" t="s">
        <v>893</v>
      </c>
      <c r="FM765" s="1">
        <v>604.0</v>
      </c>
      <c r="FN765" s="1" t="s">
        <v>894</v>
      </c>
      <c r="FO765" s="1" t="s">
        <v>895</v>
      </c>
      <c r="FP765" s="1">
        <v>381.0</v>
      </c>
      <c r="FQ765" s="1" t="s">
        <v>896</v>
      </c>
      <c r="FR765" s="1">
        <v>1954.0</v>
      </c>
      <c r="FS765" s="1" t="s">
        <v>9070</v>
      </c>
      <c r="FU765" s="1" t="s">
        <v>897</v>
      </c>
      <c r="FV765" s="1" t="s">
        <v>200</v>
      </c>
      <c r="FW765" s="1" t="s">
        <v>290</v>
      </c>
      <c r="FZ765" s="1" t="s">
        <v>229</v>
      </c>
      <c r="GA765" s="1" t="s">
        <v>291</v>
      </c>
      <c r="GB765" s="2">
        <v>42124.0</v>
      </c>
      <c r="GC765" s="1" t="s">
        <v>9071</v>
      </c>
    </row>
    <row r="766">
      <c r="A766" s="1">
        <v>940000.0</v>
      </c>
      <c r="B766" s="1" t="s">
        <v>185</v>
      </c>
      <c r="C766" s="1" t="str">
        <f>"08810859"</f>
        <v>08810859</v>
      </c>
      <c r="D766" s="1" t="s">
        <v>186</v>
      </c>
      <c r="F766" s="1" t="str">
        <f>"8006"</f>
        <v>8006</v>
      </c>
      <c r="G766" s="2">
        <v>42010.0</v>
      </c>
      <c r="H766" s="1">
        <v>939900.0</v>
      </c>
      <c r="I766" s="1">
        <v>50.0</v>
      </c>
      <c r="J766" s="1">
        <v>939900.0</v>
      </c>
      <c r="K766" s="2">
        <v>42011.0</v>
      </c>
      <c r="L766" s="1">
        <v>2.0</v>
      </c>
      <c r="M766" s="2">
        <v>42011.0</v>
      </c>
      <c r="N766" s="1" t="s">
        <v>187</v>
      </c>
      <c r="O766" s="2">
        <v>42059.0</v>
      </c>
      <c r="P766" s="1">
        <v>109819.0</v>
      </c>
      <c r="Q766" s="1">
        <v>84025.0</v>
      </c>
      <c r="S766" s="1">
        <v>1234.0</v>
      </c>
      <c r="T766" s="1" t="s">
        <v>9072</v>
      </c>
      <c r="U766" s="1" t="s">
        <v>189</v>
      </c>
      <c r="V766" s="1" t="s">
        <v>190</v>
      </c>
      <c r="W766" s="1">
        <v>60657.0</v>
      </c>
      <c r="X766" s="1">
        <v>4222.0</v>
      </c>
      <c r="Y766" s="1" t="s">
        <v>9073</v>
      </c>
      <c r="Z766" s="1">
        <v>1886.0</v>
      </c>
      <c r="AA766" s="1" t="s">
        <v>192</v>
      </c>
      <c r="AB766" s="1" t="s">
        <v>193</v>
      </c>
      <c r="AD766" s="1" t="s">
        <v>194</v>
      </c>
      <c r="AE766" s="1" t="s">
        <v>195</v>
      </c>
      <c r="AF766" s="1" t="s">
        <v>534</v>
      </c>
      <c r="AH766" s="1" t="s">
        <v>9074</v>
      </c>
      <c r="AK766" s="1">
        <v>11.0</v>
      </c>
      <c r="AL766" s="1">
        <v>4.0</v>
      </c>
      <c r="AM766" s="1">
        <v>4.0</v>
      </c>
      <c r="AN766" s="1">
        <v>0.0</v>
      </c>
      <c r="AO766" s="1" t="s">
        <v>198</v>
      </c>
      <c r="AP766" s="1">
        <v>1.0</v>
      </c>
      <c r="AQ766" s="1" t="s">
        <v>327</v>
      </c>
      <c r="AR766" s="1" t="s">
        <v>192</v>
      </c>
      <c r="AS766" s="1" t="s">
        <v>199</v>
      </c>
      <c r="AT766" s="1">
        <v>2.0</v>
      </c>
      <c r="AV766" s="1" t="s">
        <v>200</v>
      </c>
      <c r="AW766" s="1">
        <v>10909.68</v>
      </c>
      <c r="AX766" s="1">
        <v>2013.0</v>
      </c>
      <c r="AY766" s="1" t="s">
        <v>387</v>
      </c>
      <c r="AZ766" s="1" t="s">
        <v>200</v>
      </c>
      <c r="BA766" s="1" t="str">
        <f>"14291190230000"</f>
        <v>14291190230000</v>
      </c>
      <c r="BB766" s="1" t="s">
        <v>200</v>
      </c>
      <c r="BC766" s="1">
        <v>3340.0</v>
      </c>
      <c r="BD766" s="1">
        <v>940000.0</v>
      </c>
      <c r="BE766" s="2">
        <v>42010.0</v>
      </c>
      <c r="BF766" s="2" t="s">
        <v>9075</v>
      </c>
      <c r="BG766" s="1" t="s">
        <v>9076</v>
      </c>
      <c r="BH766" s="1">
        <v>0.0</v>
      </c>
      <c r="BI766" s="1" t="s">
        <v>9076</v>
      </c>
      <c r="BJ766" s="1" t="s">
        <v>2871</v>
      </c>
      <c r="BK766" s="1" t="s">
        <v>204</v>
      </c>
      <c r="BL766" s="1" t="str">
        <f>"2932"</f>
        <v>2932</v>
      </c>
      <c r="BM766" s="1" t="str">
        <f>"0"</f>
        <v>0</v>
      </c>
      <c r="BN766" s="1">
        <v>1234.0</v>
      </c>
      <c r="BO766" s="1">
        <v>0.0</v>
      </c>
      <c r="BQ766" s="1">
        <v>299.0</v>
      </c>
      <c r="BR766" s="1">
        <v>299.0</v>
      </c>
      <c r="BS766" s="1">
        <v>299.0</v>
      </c>
      <c r="BU766" s="1" t="s">
        <v>205</v>
      </c>
      <c r="BV766" s="1" t="s">
        <v>206</v>
      </c>
      <c r="BW766" s="1" t="s">
        <v>207</v>
      </c>
      <c r="BX766" s="1" t="s">
        <v>431</v>
      </c>
      <c r="BY766" s="1" t="s">
        <v>758</v>
      </c>
      <c r="BZ766" s="1" t="s">
        <v>209</v>
      </c>
      <c r="CA766" s="1" t="s">
        <v>210</v>
      </c>
      <c r="CB766" s="1" t="s">
        <v>431</v>
      </c>
      <c r="CC766" s="1" t="s">
        <v>454</v>
      </c>
      <c r="CD766" s="1" t="s">
        <v>206</v>
      </c>
      <c r="CE766" s="1" t="s">
        <v>207</v>
      </c>
      <c r="CF766" s="1" t="s">
        <v>476</v>
      </c>
      <c r="CG766" s="1" t="s">
        <v>214</v>
      </c>
      <c r="CH766" s="1" t="s">
        <v>209</v>
      </c>
      <c r="CI766" s="1" t="s">
        <v>210</v>
      </c>
      <c r="CJ766" s="1" t="s">
        <v>431</v>
      </c>
      <c r="CK766" s="1" t="s">
        <v>215</v>
      </c>
      <c r="CL766" s="1" t="s">
        <v>209</v>
      </c>
      <c r="CM766" s="1" t="s">
        <v>210</v>
      </c>
      <c r="CN766" s="1" t="s">
        <v>431</v>
      </c>
      <c r="CO766" s="1" t="s">
        <v>432</v>
      </c>
      <c r="CP766" s="1" t="s">
        <v>1697</v>
      </c>
      <c r="CQ766" s="1" t="s">
        <v>210</v>
      </c>
      <c r="CR766" s="1" t="s">
        <v>431</v>
      </c>
      <c r="CS766" s="1" t="s">
        <v>1229</v>
      </c>
      <c r="CT766" s="1" t="s">
        <v>206</v>
      </c>
      <c r="CU766" s="1" t="s">
        <v>207</v>
      </c>
      <c r="CV766" s="1" t="s">
        <v>431</v>
      </c>
      <c r="CW766" s="1" t="s">
        <v>9077</v>
      </c>
      <c r="CX766" s="1" t="s">
        <v>1697</v>
      </c>
      <c r="CY766" s="1" t="s">
        <v>210</v>
      </c>
      <c r="CZ766" s="1" t="s">
        <v>431</v>
      </c>
      <c r="DA766" s="1" t="s">
        <v>200</v>
      </c>
      <c r="DC766" s="1" t="s">
        <v>642</v>
      </c>
      <c r="DD766" s="1" t="s">
        <v>759</v>
      </c>
      <c r="DE766" s="1" t="s">
        <v>1810</v>
      </c>
      <c r="DF766" s="1" t="s">
        <v>546</v>
      </c>
      <c r="DH766" s="1" t="s">
        <v>365</v>
      </c>
      <c r="DI766" s="1" t="s">
        <v>7225</v>
      </c>
      <c r="DJ766" s="1" t="s">
        <v>222</v>
      </c>
      <c r="DL766" s="1" t="s">
        <v>224</v>
      </c>
      <c r="DM766" s="1" t="s">
        <v>792</v>
      </c>
      <c r="DN766" s="1" t="s">
        <v>339</v>
      </c>
      <c r="DP766" s="1" t="s">
        <v>340</v>
      </c>
      <c r="DQ766" s="1" t="s">
        <v>718</v>
      </c>
      <c r="DR766" s="1" t="s">
        <v>229</v>
      </c>
      <c r="DS766" s="1" t="s">
        <v>230</v>
      </c>
      <c r="DV766" s="1" t="s">
        <v>9078</v>
      </c>
      <c r="DW766" s="1" t="s">
        <v>667</v>
      </c>
      <c r="DX766" s="1" t="s">
        <v>234</v>
      </c>
      <c r="DY766" s="1" t="s">
        <v>8273</v>
      </c>
      <c r="DZ766" s="1" t="s">
        <v>236</v>
      </c>
      <c r="EB766" s="1" t="s">
        <v>345</v>
      </c>
      <c r="EC766" s="1" t="s">
        <v>406</v>
      </c>
      <c r="ED766" s="1" t="s">
        <v>407</v>
      </c>
      <c r="EG766" s="1" t="s">
        <v>556</v>
      </c>
      <c r="EH766" s="1" t="s">
        <v>494</v>
      </c>
      <c r="EI766" s="1" t="s">
        <v>598</v>
      </c>
      <c r="EJ766" s="1" t="s">
        <v>1103</v>
      </c>
      <c r="EK766" s="1" t="s">
        <v>409</v>
      </c>
      <c r="EL766" s="1" t="s">
        <v>1796</v>
      </c>
      <c r="EM766" s="1" t="s">
        <v>206</v>
      </c>
      <c r="EN766" s="1" t="s">
        <v>2128</v>
      </c>
      <c r="EO766" s="1" t="s">
        <v>431</v>
      </c>
      <c r="EP766" s="1" t="s">
        <v>262</v>
      </c>
      <c r="EQ766" s="1" t="s">
        <v>206</v>
      </c>
      <c r="ER766" s="1" t="s">
        <v>207</v>
      </c>
      <c r="ES766" s="1" t="s">
        <v>431</v>
      </c>
      <c r="ET766" s="1" t="s">
        <v>623</v>
      </c>
      <c r="EU766" s="1" t="s">
        <v>206</v>
      </c>
      <c r="EV766" s="1" t="s">
        <v>207</v>
      </c>
      <c r="EW766" s="1" t="s">
        <v>476</v>
      </c>
      <c r="EX766" s="1" t="s">
        <v>1696</v>
      </c>
      <c r="EY766" s="1" t="s">
        <v>1697</v>
      </c>
      <c r="EZ766" s="1" t="s">
        <v>588</v>
      </c>
      <c r="FA766" s="1" t="s">
        <v>229</v>
      </c>
      <c r="FB766" s="1" t="s">
        <v>1104</v>
      </c>
      <c r="FC766" s="1" t="s">
        <v>209</v>
      </c>
      <c r="FD766" s="1" t="s">
        <v>210</v>
      </c>
      <c r="FE766" s="1" t="s">
        <v>229</v>
      </c>
      <c r="FF766" s="1" t="s">
        <v>239</v>
      </c>
      <c r="FG766" s="1" t="s">
        <v>192</v>
      </c>
      <c r="FH766" s="1" t="s">
        <v>192</v>
      </c>
      <c r="FJ766" s="1" t="s">
        <v>733</v>
      </c>
      <c r="FK766" s="1" t="s">
        <v>229</v>
      </c>
      <c r="FL766" s="1" t="s">
        <v>1358</v>
      </c>
      <c r="FM766" s="1">
        <v>12198.0</v>
      </c>
      <c r="FN766" s="1" t="s">
        <v>6165</v>
      </c>
      <c r="FO766" s="1" t="s">
        <v>9079</v>
      </c>
      <c r="FP766" s="1">
        <v>126507.0</v>
      </c>
      <c r="FQ766" s="1" t="s">
        <v>9080</v>
      </c>
      <c r="FU766" s="1" t="s">
        <v>9081</v>
      </c>
      <c r="FV766" s="1" t="s">
        <v>200</v>
      </c>
      <c r="FW766" s="1" t="s">
        <v>290</v>
      </c>
      <c r="FX766" s="1" t="s">
        <v>246</v>
      </c>
      <c r="FZ766" s="1" t="s">
        <v>229</v>
      </c>
      <c r="GA766" s="1" t="s">
        <v>291</v>
      </c>
      <c r="GB766" s="2">
        <v>42059.0</v>
      </c>
    </row>
    <row r="767">
      <c r="A767" s="1">
        <v>28300.0</v>
      </c>
      <c r="B767" s="1" t="s">
        <v>185</v>
      </c>
      <c r="C767" s="1" t="str">
        <f>"08815211"</f>
        <v>08815211</v>
      </c>
      <c r="D767" s="1" t="s">
        <v>186</v>
      </c>
      <c r="F767" s="1" t="str">
        <f>"8049"</f>
        <v>8049</v>
      </c>
      <c r="G767" s="2">
        <v>42017.0</v>
      </c>
      <c r="H767" s="1">
        <v>27000.0</v>
      </c>
      <c r="I767" s="1">
        <v>4.0</v>
      </c>
      <c r="J767" s="1">
        <v>27000.0</v>
      </c>
      <c r="K767" s="2">
        <v>42020.0</v>
      </c>
      <c r="L767" s="1">
        <v>4.0</v>
      </c>
      <c r="M767" s="2">
        <v>42020.0</v>
      </c>
      <c r="N767" s="1" t="s">
        <v>249</v>
      </c>
      <c r="O767" s="2">
        <v>42040.0</v>
      </c>
      <c r="P767" s="1">
        <v>186353.0</v>
      </c>
      <c r="Q767" s="1">
        <v>84994.0</v>
      </c>
      <c r="S767" s="1">
        <v>10642.0</v>
      </c>
      <c r="T767" s="1" t="s">
        <v>4706</v>
      </c>
      <c r="U767" s="1" t="s">
        <v>189</v>
      </c>
      <c r="V767" s="1" t="s">
        <v>190</v>
      </c>
      <c r="W767" s="1">
        <v>60628.0</v>
      </c>
      <c r="Y767" s="1" t="s">
        <v>9082</v>
      </c>
      <c r="Z767" s="1">
        <v>2006.0</v>
      </c>
      <c r="AA767" s="1" t="s">
        <v>200</v>
      </c>
      <c r="AB767" s="1" t="s">
        <v>193</v>
      </c>
      <c r="AD767" s="1" t="s">
        <v>194</v>
      </c>
      <c r="AE767" s="1" t="s">
        <v>195</v>
      </c>
      <c r="AF767" s="1" t="s">
        <v>637</v>
      </c>
      <c r="AH767" s="1" t="s">
        <v>359</v>
      </c>
      <c r="AI767" s="1">
        <v>0.0919</v>
      </c>
      <c r="AK767" s="1">
        <v>6.0</v>
      </c>
      <c r="AL767" s="1">
        <v>4.0</v>
      </c>
      <c r="AM767" s="1">
        <v>2.0</v>
      </c>
      <c r="AN767" s="1">
        <v>0.0</v>
      </c>
      <c r="AO767" s="1" t="s">
        <v>229</v>
      </c>
      <c r="AQ767" s="1" t="s">
        <v>198</v>
      </c>
      <c r="AR767" s="1" t="s">
        <v>200</v>
      </c>
      <c r="AS767" s="1" t="s">
        <v>828</v>
      </c>
      <c r="AU767" s="1">
        <v>1.0</v>
      </c>
      <c r="AV767" s="1" t="s">
        <v>200</v>
      </c>
      <c r="AW767" s="1">
        <v>2651.18</v>
      </c>
      <c r="AX767" s="1">
        <v>2012.0</v>
      </c>
      <c r="AZ767" s="1" t="s">
        <v>200</v>
      </c>
      <c r="BA767" s="1" t="str">
        <f>"25151200780000"</f>
        <v>25151200780000</v>
      </c>
      <c r="BC767" s="1">
        <v>1376.0</v>
      </c>
      <c r="BD767" s="1">
        <v>28300.0</v>
      </c>
      <c r="BE767" s="2">
        <v>42017.0</v>
      </c>
      <c r="BF767" s="2" t="s">
        <v>9083</v>
      </c>
      <c r="BH767" s="1">
        <v>0.0</v>
      </c>
      <c r="BK767" s="1" t="s">
        <v>204</v>
      </c>
      <c r="BL767" s="1" t="str">
        <f>"0"</f>
        <v>0</v>
      </c>
      <c r="BM767" s="1" t="str">
        <f>"150"</f>
        <v>150</v>
      </c>
      <c r="BN767" s="1">
        <v>0.0</v>
      </c>
      <c r="BO767" s="1">
        <v>10642.0</v>
      </c>
      <c r="BQ767" s="1">
        <v>299.0</v>
      </c>
      <c r="BR767" s="1">
        <v>299.0</v>
      </c>
      <c r="BS767" s="1">
        <v>299.0</v>
      </c>
      <c r="BU767" s="1" t="s">
        <v>362</v>
      </c>
      <c r="BV767" s="1" t="s">
        <v>206</v>
      </c>
      <c r="BY767" s="1" t="s">
        <v>393</v>
      </c>
      <c r="BZ767" s="1" t="s">
        <v>209</v>
      </c>
      <c r="CD767" s="1" t="s">
        <v>204</v>
      </c>
      <c r="CG767" s="1" t="s">
        <v>363</v>
      </c>
      <c r="CH767" s="1" t="s">
        <v>209</v>
      </c>
      <c r="CK767" s="1" t="s">
        <v>363</v>
      </c>
      <c r="CL767" s="1" t="s">
        <v>209</v>
      </c>
      <c r="CO767" s="1" t="s">
        <v>363</v>
      </c>
      <c r="CP767" s="1" t="s">
        <v>206</v>
      </c>
      <c r="CS767" s="1" t="s">
        <v>3805</v>
      </c>
      <c r="CT767" s="1" t="s">
        <v>206</v>
      </c>
      <c r="CX767" s="1" t="s">
        <v>204</v>
      </c>
      <c r="DA767" s="1" t="s">
        <v>200</v>
      </c>
      <c r="DC767" s="1" t="s">
        <v>481</v>
      </c>
      <c r="DE767" s="1" t="s">
        <v>273</v>
      </c>
      <c r="DF767" s="1" t="s">
        <v>619</v>
      </c>
      <c r="DH767" s="1" t="s">
        <v>220</v>
      </c>
      <c r="DJ767" s="1" t="s">
        <v>222</v>
      </c>
      <c r="DL767" s="1" t="s">
        <v>223</v>
      </c>
      <c r="DM767" s="1" t="s">
        <v>1464</v>
      </c>
      <c r="DQ767" s="1" t="s">
        <v>228</v>
      </c>
      <c r="DR767" s="1" t="s">
        <v>229</v>
      </c>
      <c r="DV767" s="1" t="s">
        <v>232</v>
      </c>
      <c r="DW767" s="1" t="s">
        <v>832</v>
      </c>
      <c r="DX767" s="1" t="s">
        <v>234</v>
      </c>
      <c r="EC767" s="1" t="s">
        <v>645</v>
      </c>
      <c r="EF767" s="1" t="s">
        <v>9084</v>
      </c>
      <c r="EM767" s="1" t="s">
        <v>238</v>
      </c>
      <c r="EQ767" s="1" t="s">
        <v>238</v>
      </c>
      <c r="EU767" s="1" t="s">
        <v>238</v>
      </c>
      <c r="EY767" s="1" t="s">
        <v>238</v>
      </c>
      <c r="FC767" s="1" t="s">
        <v>238</v>
      </c>
      <c r="FF767" s="1" t="s">
        <v>239</v>
      </c>
      <c r="FG767" s="1" t="s">
        <v>192</v>
      </c>
      <c r="FH767" s="1" t="s">
        <v>192</v>
      </c>
      <c r="FJ767" s="1" t="s">
        <v>9085</v>
      </c>
      <c r="FK767" s="1" t="s">
        <v>229</v>
      </c>
      <c r="FL767" s="1" t="s">
        <v>9086</v>
      </c>
      <c r="FM767" s="1">
        <v>17490.0</v>
      </c>
      <c r="FN767" s="1" t="s">
        <v>9087</v>
      </c>
      <c r="FO767" s="1" t="s">
        <v>9088</v>
      </c>
      <c r="FP767" s="1">
        <v>871264.0</v>
      </c>
      <c r="FQ767" s="1" t="s">
        <v>9089</v>
      </c>
      <c r="FR767" s="1">
        <v>877280.0</v>
      </c>
      <c r="FU767" s="1" t="s">
        <v>9090</v>
      </c>
      <c r="FV767" s="1" t="s">
        <v>200</v>
      </c>
      <c r="FW767" s="1" t="s">
        <v>9091</v>
      </c>
      <c r="FX767" s="1" t="s">
        <v>655</v>
      </c>
      <c r="FZ767" s="1" t="s">
        <v>229</v>
      </c>
      <c r="GA767" s="1" t="s">
        <v>291</v>
      </c>
      <c r="GB767" s="2">
        <v>42040.0</v>
      </c>
      <c r="GC767" s="1" t="s">
        <v>9092</v>
      </c>
    </row>
    <row r="768">
      <c r="A768" s="1">
        <v>272000.0</v>
      </c>
      <c r="B768" s="1" t="s">
        <v>185</v>
      </c>
      <c r="C768" s="1" t="str">
        <f>"08810903"</f>
        <v>08810903</v>
      </c>
      <c r="D768" s="1" t="s">
        <v>186</v>
      </c>
      <c r="F768" s="1" t="str">
        <f>"8016"</f>
        <v>8016</v>
      </c>
      <c r="G768" s="2">
        <v>42010.0</v>
      </c>
      <c r="H768" s="1">
        <v>288900.0</v>
      </c>
      <c r="I768" s="1">
        <v>102.0</v>
      </c>
      <c r="J768" s="1">
        <v>0.0</v>
      </c>
      <c r="K768" s="2">
        <v>42109.0</v>
      </c>
      <c r="L768" s="1">
        <v>102.0</v>
      </c>
      <c r="M768" s="2">
        <v>42109.0</v>
      </c>
      <c r="N768" s="1" t="s">
        <v>249</v>
      </c>
      <c r="O768" s="2">
        <v>42144.0</v>
      </c>
      <c r="P768" s="1">
        <v>878846.0</v>
      </c>
      <c r="Q768" s="1">
        <v>15191.0</v>
      </c>
      <c r="S768" s="1">
        <v>3812.0</v>
      </c>
      <c r="T768" s="1" t="s">
        <v>9093</v>
      </c>
      <c r="U768" s="1" t="s">
        <v>320</v>
      </c>
      <c r="V768" s="1" t="s">
        <v>190</v>
      </c>
      <c r="W768" s="1">
        <v>60618.0</v>
      </c>
      <c r="Y768" s="1" t="s">
        <v>9094</v>
      </c>
      <c r="Z768" s="1">
        <v>1898.0</v>
      </c>
      <c r="AA768" s="1" t="s">
        <v>192</v>
      </c>
      <c r="AB768" s="1" t="s">
        <v>193</v>
      </c>
      <c r="AD768" s="1" t="s">
        <v>194</v>
      </c>
      <c r="AE768" s="1" t="s">
        <v>195</v>
      </c>
      <c r="AF768" s="1" t="s">
        <v>196</v>
      </c>
      <c r="AH768" s="1" t="s">
        <v>359</v>
      </c>
      <c r="AI768" s="1">
        <v>0.0717</v>
      </c>
      <c r="AK768" s="1">
        <v>7.0</v>
      </c>
      <c r="AL768" s="1">
        <v>4.0</v>
      </c>
      <c r="AM768" s="1">
        <v>3.0</v>
      </c>
      <c r="AN768" s="1">
        <v>0.0</v>
      </c>
      <c r="AO768" s="1" t="s">
        <v>229</v>
      </c>
      <c r="AQ768" s="1" t="s">
        <v>198</v>
      </c>
      <c r="AR768" s="1" t="s">
        <v>192</v>
      </c>
      <c r="AS768" s="1" t="s">
        <v>199</v>
      </c>
      <c r="AT768" s="1">
        <v>2.0</v>
      </c>
      <c r="AV768" s="1" t="s">
        <v>200</v>
      </c>
      <c r="AW768" s="1">
        <v>3632.29</v>
      </c>
      <c r="AX768" s="1">
        <v>2013.0</v>
      </c>
      <c r="AZ768" s="1" t="s">
        <v>200</v>
      </c>
      <c r="BA768" s="1" t="str">
        <f>"13241080330000"</f>
        <v>13241080330000</v>
      </c>
      <c r="BC768" s="1">
        <v>1000.0</v>
      </c>
      <c r="BD768" s="1">
        <v>272000.0</v>
      </c>
      <c r="BE768" s="2">
        <v>42008.0</v>
      </c>
      <c r="BF768" s="1" t="s">
        <v>9095</v>
      </c>
      <c r="BH768" s="1">
        <v>0.0</v>
      </c>
      <c r="BK768" s="1" t="s">
        <v>204</v>
      </c>
      <c r="BL768" s="1" t="str">
        <f>"3812"</f>
        <v>3812</v>
      </c>
      <c r="BM768" s="1" t="str">
        <f>"0"</f>
        <v>0</v>
      </c>
      <c r="BN768" s="1">
        <v>3132.0</v>
      </c>
      <c r="BO768" s="1">
        <v>0.0</v>
      </c>
      <c r="BQ768" s="1">
        <v>299.0</v>
      </c>
      <c r="BR768" s="1">
        <v>299.0</v>
      </c>
      <c r="BS768" s="1">
        <v>299.0</v>
      </c>
      <c r="BU768" s="1" t="s">
        <v>300</v>
      </c>
      <c r="BV768" s="1" t="s">
        <v>206</v>
      </c>
      <c r="BY768" s="1" t="s">
        <v>495</v>
      </c>
      <c r="BZ768" s="1" t="s">
        <v>206</v>
      </c>
      <c r="CC768" s="1" t="s">
        <v>363</v>
      </c>
      <c r="CD768" s="1" t="s">
        <v>206</v>
      </c>
      <c r="CG768" s="1" t="s">
        <v>495</v>
      </c>
      <c r="CH768" s="1" t="s">
        <v>206</v>
      </c>
      <c r="CK768" s="1" t="s">
        <v>495</v>
      </c>
      <c r="CL768" s="1" t="s">
        <v>209</v>
      </c>
      <c r="CO768" s="1" t="s">
        <v>375</v>
      </c>
      <c r="CP768" s="1" t="s">
        <v>209</v>
      </c>
      <c r="CS768" s="1" t="s">
        <v>1852</v>
      </c>
      <c r="CT768" s="1" t="s">
        <v>206</v>
      </c>
      <c r="CX768" s="1" t="s">
        <v>204</v>
      </c>
      <c r="DA768" s="1" t="s">
        <v>200</v>
      </c>
      <c r="DC768" s="1" t="s">
        <v>642</v>
      </c>
      <c r="DE768" s="1" t="s">
        <v>229</v>
      </c>
      <c r="DF768" s="1" t="s">
        <v>619</v>
      </c>
      <c r="DH768" s="1" t="s">
        <v>220</v>
      </c>
      <c r="DJ768" s="1" t="s">
        <v>222</v>
      </c>
      <c r="DL768" s="1" t="s">
        <v>858</v>
      </c>
      <c r="DM768" s="1" t="s">
        <v>229</v>
      </c>
      <c r="DQ768" s="1" t="s">
        <v>228</v>
      </c>
      <c r="DR768" s="1" t="s">
        <v>229</v>
      </c>
      <c r="DV768" s="1" t="s">
        <v>232</v>
      </c>
      <c r="DW768" s="1" t="s">
        <v>233</v>
      </c>
      <c r="DX768" s="1" t="s">
        <v>234</v>
      </c>
      <c r="EC768" s="1" t="s">
        <v>237</v>
      </c>
      <c r="EE768" s="1" t="s">
        <v>588</v>
      </c>
      <c r="EM768" s="1" t="s">
        <v>238</v>
      </c>
      <c r="EQ768" s="1" t="s">
        <v>238</v>
      </c>
      <c r="EU768" s="1" t="s">
        <v>238</v>
      </c>
      <c r="EY768" s="1" t="s">
        <v>238</v>
      </c>
      <c r="FC768" s="1" t="s">
        <v>238</v>
      </c>
      <c r="FF768" s="1" t="s">
        <v>239</v>
      </c>
      <c r="FG768" s="1" t="s">
        <v>192</v>
      </c>
      <c r="FH768" s="1" t="s">
        <v>192</v>
      </c>
      <c r="FJ768" s="1" t="s">
        <v>3334</v>
      </c>
      <c r="FK768" s="1" t="s">
        <v>229</v>
      </c>
      <c r="FL768" s="1" t="s">
        <v>974</v>
      </c>
      <c r="FM768" s="1">
        <v>10900.0</v>
      </c>
      <c r="FN768" s="1" t="s">
        <v>1435</v>
      </c>
      <c r="FO768" s="1" t="s">
        <v>9096</v>
      </c>
      <c r="FP768" s="1">
        <v>116022.0</v>
      </c>
      <c r="FQ768" s="1" t="s">
        <v>9097</v>
      </c>
      <c r="FS768" s="1" t="s">
        <v>9098</v>
      </c>
      <c r="FU768" s="1" t="s">
        <v>9099</v>
      </c>
      <c r="FV768" s="1" t="s">
        <v>200</v>
      </c>
      <c r="FW768" s="1" t="s">
        <v>9100</v>
      </c>
      <c r="FX768" s="1" t="s">
        <v>238</v>
      </c>
      <c r="FZ768" s="1" t="s">
        <v>229</v>
      </c>
      <c r="GA768" s="1" t="s">
        <v>291</v>
      </c>
      <c r="GB768" s="2">
        <v>42145.0</v>
      </c>
      <c r="GC768" s="1" t="s">
        <v>9101</v>
      </c>
    </row>
    <row r="769">
      <c r="A769" s="1">
        <v>277000.0</v>
      </c>
      <c r="B769" s="1" t="s">
        <v>185</v>
      </c>
      <c r="C769" s="1" t="str">
        <f>"08814113"</f>
        <v>08814113</v>
      </c>
      <c r="D769" s="1" t="s">
        <v>186</v>
      </c>
      <c r="F769" s="1" t="str">
        <f>"174"</f>
        <v>174</v>
      </c>
      <c r="G769" s="2">
        <v>42016.0</v>
      </c>
      <c r="H769" s="1">
        <v>292500.0</v>
      </c>
      <c r="I769" s="1">
        <v>6.0</v>
      </c>
      <c r="J769" s="1">
        <v>292500.0</v>
      </c>
      <c r="K769" s="2">
        <v>42020.0</v>
      </c>
      <c r="L769" s="1">
        <v>6.0</v>
      </c>
      <c r="M769" s="2">
        <v>42020.0</v>
      </c>
      <c r="N769" s="1" t="s">
        <v>187</v>
      </c>
      <c r="O769" s="2">
        <v>42048.0</v>
      </c>
      <c r="P769" s="1">
        <v>363.0</v>
      </c>
      <c r="Q769" s="1">
        <v>771.0</v>
      </c>
      <c r="S769" s="1">
        <v>621.0</v>
      </c>
      <c r="T769" s="1" t="s">
        <v>9102</v>
      </c>
      <c r="U769" s="1" t="s">
        <v>320</v>
      </c>
      <c r="V769" s="1" t="s">
        <v>1200</v>
      </c>
      <c r="W769" s="1">
        <v>60174.0</v>
      </c>
      <c r="Y769" s="1" t="s">
        <v>9103</v>
      </c>
      <c r="Z769" s="1">
        <v>1908.0</v>
      </c>
      <c r="AA769" s="1" t="s">
        <v>192</v>
      </c>
      <c r="AB769" s="1" t="s">
        <v>193</v>
      </c>
      <c r="AD769" s="1" t="s">
        <v>1203</v>
      </c>
      <c r="AE769" s="1" t="s">
        <v>325</v>
      </c>
      <c r="AF769" s="1" t="s">
        <v>1203</v>
      </c>
      <c r="AH769" s="1">
        <v>8039.0</v>
      </c>
      <c r="AI769" s="1">
        <v>0.1929</v>
      </c>
      <c r="AK769" s="1">
        <v>7.0</v>
      </c>
      <c r="AL769" s="1">
        <v>4.0</v>
      </c>
      <c r="AM769" s="1">
        <v>2.0</v>
      </c>
      <c r="AN769" s="1">
        <v>0.0</v>
      </c>
      <c r="AO769" s="1" t="s">
        <v>198</v>
      </c>
      <c r="AQ769" s="1" t="s">
        <v>198</v>
      </c>
      <c r="AR769" s="1" t="s">
        <v>200</v>
      </c>
      <c r="AS769" s="1" t="s">
        <v>199</v>
      </c>
      <c r="AT769" s="1">
        <v>2.5</v>
      </c>
      <c r="AV769" s="1" t="s">
        <v>200</v>
      </c>
      <c r="AW769" s="1">
        <v>5854.16</v>
      </c>
      <c r="AX769" s="1">
        <v>2013.0</v>
      </c>
      <c r="AY769" s="1" t="s">
        <v>1179</v>
      </c>
      <c r="AZ769" s="1" t="s">
        <v>200</v>
      </c>
      <c r="BA769" s="1" t="str">
        <f>"0934159009"</f>
        <v>0934159009</v>
      </c>
      <c r="BC769" s="1">
        <v>1940.0</v>
      </c>
      <c r="BD769" s="1">
        <v>277000.0</v>
      </c>
      <c r="BE769" s="2">
        <v>42015.0</v>
      </c>
      <c r="BF769" s="2" t="s">
        <v>9104</v>
      </c>
      <c r="BG769" s="1" t="s">
        <v>5991</v>
      </c>
      <c r="BH769" s="1">
        <v>0.0</v>
      </c>
      <c r="BK769" s="1" t="s">
        <v>204</v>
      </c>
      <c r="BL769" s="1" t="str">
        <f t="shared" ref="BL769:BM769" si="507">""</f>
        <v/>
      </c>
      <c r="BM769" s="1" t="str">
        <f t="shared" si="507"/>
        <v/>
      </c>
      <c r="BQ769" s="1">
        <v>303.0</v>
      </c>
      <c r="BR769" s="1">
        <v>303.0</v>
      </c>
      <c r="BS769" s="1">
        <v>303.0</v>
      </c>
      <c r="BU769" s="1" t="s">
        <v>743</v>
      </c>
      <c r="BV769" s="1" t="s">
        <v>206</v>
      </c>
      <c r="BW769" s="1" t="s">
        <v>210</v>
      </c>
      <c r="BX769" s="1" t="s">
        <v>1549</v>
      </c>
      <c r="BY769" s="1" t="s">
        <v>584</v>
      </c>
      <c r="BZ769" s="1" t="s">
        <v>209</v>
      </c>
      <c r="CA769" s="1" t="s">
        <v>207</v>
      </c>
      <c r="CC769" s="1" t="s">
        <v>584</v>
      </c>
      <c r="CD769" s="1" t="s">
        <v>206</v>
      </c>
      <c r="CE769" s="1" t="s">
        <v>210</v>
      </c>
      <c r="CF769" s="1" t="s">
        <v>1549</v>
      </c>
      <c r="CG769" s="1" t="s">
        <v>212</v>
      </c>
      <c r="CH769" s="1" t="s">
        <v>209</v>
      </c>
      <c r="CI769" s="1" t="s">
        <v>207</v>
      </c>
      <c r="CK769" s="1" t="s">
        <v>699</v>
      </c>
      <c r="CL769" s="1" t="s">
        <v>209</v>
      </c>
      <c r="CM769" s="1" t="s">
        <v>207</v>
      </c>
      <c r="CO769" s="1" t="s">
        <v>715</v>
      </c>
      <c r="CP769" s="1" t="s">
        <v>391</v>
      </c>
      <c r="CQ769" s="1" t="s">
        <v>210</v>
      </c>
      <c r="CS769" s="1" t="s">
        <v>1329</v>
      </c>
      <c r="CT769" s="1" t="s">
        <v>206</v>
      </c>
      <c r="CX769" s="1" t="s">
        <v>204</v>
      </c>
      <c r="DA769" s="1" t="s">
        <v>200</v>
      </c>
      <c r="DC769" s="1" t="s">
        <v>642</v>
      </c>
      <c r="DE769" s="1" t="s">
        <v>273</v>
      </c>
      <c r="DF769" s="1" t="s">
        <v>219</v>
      </c>
      <c r="DG769" s="1" t="s">
        <v>482</v>
      </c>
      <c r="DH769" s="1" t="s">
        <v>220</v>
      </c>
      <c r="DI769" s="1" t="s">
        <v>1401</v>
      </c>
      <c r="DJ769" s="1" t="s">
        <v>222</v>
      </c>
      <c r="DK769" s="1" t="s">
        <v>790</v>
      </c>
      <c r="DL769" s="1" t="s">
        <v>223</v>
      </c>
      <c r="DM769" s="1" t="s">
        <v>229</v>
      </c>
      <c r="DN769" s="1" t="s">
        <v>339</v>
      </c>
      <c r="DO769" s="1" t="s">
        <v>9105</v>
      </c>
      <c r="DP769" s="1" t="s">
        <v>340</v>
      </c>
      <c r="DQ769" s="1" t="s">
        <v>441</v>
      </c>
      <c r="DR769" s="1" t="s">
        <v>229</v>
      </c>
      <c r="DV769" s="1" t="s">
        <v>9106</v>
      </c>
      <c r="DW769" s="1" t="s">
        <v>3576</v>
      </c>
      <c r="DX769" s="1" t="s">
        <v>234</v>
      </c>
      <c r="DY769" s="1" t="s">
        <v>704</v>
      </c>
      <c r="DZ769" s="1" t="s">
        <v>3564</v>
      </c>
      <c r="EA769" s="1" t="s">
        <v>3577</v>
      </c>
      <c r="EC769" s="1" t="s">
        <v>406</v>
      </c>
      <c r="ED769" s="1" t="s">
        <v>9107</v>
      </c>
      <c r="EG769" s="1" t="s">
        <v>2129</v>
      </c>
      <c r="EH769" s="1" t="s">
        <v>408</v>
      </c>
      <c r="EL769" s="1" t="s">
        <v>9108</v>
      </c>
      <c r="EM769" s="1" t="s">
        <v>206</v>
      </c>
      <c r="EP769" s="1" t="s">
        <v>363</v>
      </c>
      <c r="EQ769" s="1" t="s">
        <v>206</v>
      </c>
      <c r="ER769" s="1" t="s">
        <v>207</v>
      </c>
      <c r="EU769" s="1" t="s">
        <v>238</v>
      </c>
      <c r="EY769" s="1" t="s">
        <v>238</v>
      </c>
      <c r="FC769" s="1" t="s">
        <v>238</v>
      </c>
      <c r="FF769" s="1" t="s">
        <v>239</v>
      </c>
      <c r="FG769" s="1" t="s">
        <v>192</v>
      </c>
      <c r="FH769" s="1" t="s">
        <v>192</v>
      </c>
      <c r="FJ769" s="1" t="s">
        <v>6790</v>
      </c>
      <c r="FK769" s="1" t="s">
        <v>229</v>
      </c>
      <c r="FL769" s="1" t="s">
        <v>4309</v>
      </c>
      <c r="FM769" s="1">
        <v>74.0</v>
      </c>
      <c r="FN769" s="1" t="s">
        <v>5786</v>
      </c>
      <c r="FO769" s="1" t="s">
        <v>9109</v>
      </c>
      <c r="FP769" s="1">
        <v>458.0</v>
      </c>
      <c r="FQ769" s="1" t="s">
        <v>9110</v>
      </c>
      <c r="FS769" s="1">
        <v>6.3038629E9</v>
      </c>
      <c r="FU769" s="1" t="s">
        <v>353</v>
      </c>
      <c r="FV769" s="1" t="s">
        <v>200</v>
      </c>
      <c r="FW769" s="1" t="s">
        <v>290</v>
      </c>
      <c r="FX769" s="1" t="s">
        <v>655</v>
      </c>
      <c r="FZ769" s="1" t="s">
        <v>229</v>
      </c>
      <c r="GA769" s="1" t="s">
        <v>291</v>
      </c>
      <c r="GB769" s="2">
        <v>42048.0</v>
      </c>
      <c r="GC769" s="1" t="s">
        <v>9111</v>
      </c>
    </row>
    <row r="770">
      <c r="A770" s="1">
        <v>172525.0</v>
      </c>
      <c r="B770" s="1" t="s">
        <v>185</v>
      </c>
      <c r="C770" s="1" t="str">
        <f>"08808650"</f>
        <v>08808650</v>
      </c>
      <c r="D770" s="1" t="s">
        <v>186</v>
      </c>
      <c r="F770" s="1" t="str">
        <f>"8071"</f>
        <v>8071</v>
      </c>
      <c r="G770" s="2">
        <v>42006.0</v>
      </c>
      <c r="H770" s="1">
        <v>167500.0</v>
      </c>
      <c r="I770" s="1">
        <v>144.0</v>
      </c>
      <c r="J770" s="1">
        <v>167500.0</v>
      </c>
      <c r="K770" s="2">
        <v>42043.0</v>
      </c>
      <c r="L770" s="1">
        <v>38.0</v>
      </c>
      <c r="M770" s="2">
        <v>42043.0</v>
      </c>
      <c r="N770" s="1" t="s">
        <v>356</v>
      </c>
      <c r="O770" s="2">
        <v>42076.0</v>
      </c>
      <c r="P770" s="1">
        <v>185673.0</v>
      </c>
      <c r="Q770" s="1">
        <v>85088.0</v>
      </c>
      <c r="R770" s="1">
        <v>5025.0</v>
      </c>
      <c r="S770" s="1">
        <v>8813.0</v>
      </c>
      <c r="T770" s="1" t="s">
        <v>9112</v>
      </c>
      <c r="U770" s="1" t="s">
        <v>320</v>
      </c>
      <c r="V770" s="1" t="s">
        <v>190</v>
      </c>
      <c r="W770" s="1">
        <v>60620.0</v>
      </c>
      <c r="Y770" s="1" t="s">
        <v>9113</v>
      </c>
      <c r="Z770" s="1">
        <v>1922.0</v>
      </c>
      <c r="AA770" s="1" t="s">
        <v>192</v>
      </c>
      <c r="AB770" s="1" t="s">
        <v>193</v>
      </c>
      <c r="AD770" s="1" t="s">
        <v>194</v>
      </c>
      <c r="AE770" s="1" t="s">
        <v>195</v>
      </c>
      <c r="AF770" s="1" t="s">
        <v>196</v>
      </c>
      <c r="AH770" s="1">
        <v>3125.0</v>
      </c>
      <c r="AI770" s="1">
        <v>0.0717</v>
      </c>
      <c r="AK770" s="1">
        <v>7.0</v>
      </c>
      <c r="AL770" s="1">
        <v>3.0</v>
      </c>
      <c r="AM770" s="1">
        <v>2.0</v>
      </c>
      <c r="AN770" s="1">
        <v>0.0</v>
      </c>
      <c r="AO770" s="1" t="s">
        <v>229</v>
      </c>
      <c r="AQ770" s="1" t="s">
        <v>327</v>
      </c>
      <c r="AR770" s="1" t="s">
        <v>192</v>
      </c>
      <c r="AS770" s="1" t="s">
        <v>199</v>
      </c>
      <c r="AT770" s="1">
        <v>2.0</v>
      </c>
      <c r="AV770" s="1" t="s">
        <v>200</v>
      </c>
      <c r="AW770" s="1">
        <v>1719.0</v>
      </c>
      <c r="AX770" s="1">
        <v>2013.0</v>
      </c>
      <c r="AY770" s="1" t="s">
        <v>387</v>
      </c>
      <c r="AZ770" s="1" t="s">
        <v>200</v>
      </c>
      <c r="BA770" s="1" t="str">
        <f>"25062090060000"</f>
        <v>25062090060000</v>
      </c>
      <c r="BB770" s="1" t="s">
        <v>200</v>
      </c>
      <c r="BC770" s="1">
        <v>1000.0</v>
      </c>
      <c r="BD770" s="1">
        <v>172525.0</v>
      </c>
      <c r="BE770" s="2">
        <v>42006.0</v>
      </c>
      <c r="BF770" s="2" t="s">
        <v>9114</v>
      </c>
      <c r="BH770" s="1">
        <v>0.0</v>
      </c>
      <c r="BK770" s="1" t="s">
        <v>204</v>
      </c>
      <c r="BL770" s="1" t="str">
        <f t="shared" ref="BL770:BM770" si="508">"0"</f>
        <v>0</v>
      </c>
      <c r="BM770" s="1" t="str">
        <f t="shared" si="508"/>
        <v>0</v>
      </c>
      <c r="BN770" s="1">
        <v>1900.0</v>
      </c>
      <c r="BO770" s="1">
        <v>8800.0</v>
      </c>
      <c r="BQ770" s="1">
        <v>299.0</v>
      </c>
      <c r="BR770" s="1">
        <v>299.0</v>
      </c>
      <c r="BS770" s="1">
        <v>299.0</v>
      </c>
      <c r="BU770" s="1" t="s">
        <v>1426</v>
      </c>
      <c r="BV770" s="1" t="s">
        <v>206</v>
      </c>
      <c r="BW770" s="1" t="s">
        <v>207</v>
      </c>
      <c r="BX770" s="1" t="s">
        <v>229</v>
      </c>
      <c r="BY770" s="1" t="s">
        <v>375</v>
      </c>
      <c r="BZ770" s="1" t="s">
        <v>206</v>
      </c>
      <c r="CA770" s="1" t="s">
        <v>207</v>
      </c>
      <c r="CB770" s="1" t="s">
        <v>229</v>
      </c>
      <c r="CC770" s="1" t="s">
        <v>331</v>
      </c>
      <c r="CD770" s="1" t="s">
        <v>206</v>
      </c>
      <c r="CE770" s="1" t="s">
        <v>207</v>
      </c>
      <c r="CF770" s="1" t="s">
        <v>229</v>
      </c>
      <c r="CG770" s="1" t="s">
        <v>375</v>
      </c>
      <c r="CH770" s="1" t="s">
        <v>206</v>
      </c>
      <c r="CI770" s="1" t="s">
        <v>207</v>
      </c>
      <c r="CK770" s="1" t="s">
        <v>1939</v>
      </c>
      <c r="CL770" s="1" t="s">
        <v>209</v>
      </c>
      <c r="CM770" s="1" t="s">
        <v>207</v>
      </c>
      <c r="CN770" s="1" t="s">
        <v>229</v>
      </c>
      <c r="CO770" s="1" t="s">
        <v>1158</v>
      </c>
      <c r="CP770" s="1" t="s">
        <v>42</v>
      </c>
      <c r="CQ770" s="1" t="s">
        <v>268</v>
      </c>
      <c r="CS770" s="1" t="s">
        <v>452</v>
      </c>
      <c r="CT770" s="1" t="s">
        <v>206</v>
      </c>
      <c r="CU770" s="1" t="s">
        <v>207</v>
      </c>
      <c r="CV770" s="1" t="s">
        <v>229</v>
      </c>
      <c r="CX770" s="1" t="s">
        <v>204</v>
      </c>
      <c r="DA770" s="1" t="s">
        <v>200</v>
      </c>
      <c r="DC770" s="1" t="s">
        <v>216</v>
      </c>
      <c r="DE770" s="1" t="s">
        <v>273</v>
      </c>
      <c r="DF770" s="1" t="s">
        <v>219</v>
      </c>
      <c r="DG770" s="1" t="s">
        <v>2311</v>
      </c>
      <c r="DH770" s="1" t="s">
        <v>307</v>
      </c>
      <c r="DJ770" s="1" t="s">
        <v>222</v>
      </c>
      <c r="DK770" s="1" t="s">
        <v>9115</v>
      </c>
      <c r="DL770" s="1" t="s">
        <v>224</v>
      </c>
      <c r="DM770" s="1" t="s">
        <v>229</v>
      </c>
      <c r="DN770" s="1" t="s">
        <v>367</v>
      </c>
      <c r="DO770" s="1" t="s">
        <v>549</v>
      </c>
      <c r="DQ770" s="1" t="s">
        <v>228</v>
      </c>
      <c r="DR770" s="1" t="s">
        <v>229</v>
      </c>
      <c r="DS770" s="1" t="s">
        <v>230</v>
      </c>
      <c r="DV770" s="1" t="s">
        <v>374</v>
      </c>
      <c r="DW770" s="1" t="s">
        <v>279</v>
      </c>
      <c r="DX770" s="1" t="s">
        <v>5015</v>
      </c>
      <c r="DY770" s="1" t="s">
        <v>1122</v>
      </c>
      <c r="EA770" s="1" t="s">
        <v>644</v>
      </c>
      <c r="EC770" s="1" t="s">
        <v>645</v>
      </c>
      <c r="ED770" s="1" t="s">
        <v>1761</v>
      </c>
      <c r="EE770" s="1" t="s">
        <v>493</v>
      </c>
      <c r="EG770" s="1" t="s">
        <v>374</v>
      </c>
      <c r="EL770" s="1" t="s">
        <v>266</v>
      </c>
      <c r="EM770" s="1" t="s">
        <v>206</v>
      </c>
      <c r="EQ770" s="1" t="s">
        <v>238</v>
      </c>
      <c r="EU770" s="1" t="s">
        <v>238</v>
      </c>
      <c r="EY770" s="1" t="s">
        <v>238</v>
      </c>
      <c r="FC770" s="1" t="s">
        <v>238</v>
      </c>
      <c r="FF770" s="1" t="s">
        <v>239</v>
      </c>
      <c r="FG770" s="1" t="s">
        <v>192</v>
      </c>
      <c r="FH770" s="1" t="s">
        <v>192</v>
      </c>
      <c r="FJ770" s="1" t="s">
        <v>9116</v>
      </c>
      <c r="FK770" s="1" t="s">
        <v>229</v>
      </c>
      <c r="FL770" s="1" t="s">
        <v>3455</v>
      </c>
      <c r="FM770" s="1">
        <v>14856.0</v>
      </c>
      <c r="FN770" s="1" t="s">
        <v>3456</v>
      </c>
      <c r="FO770" s="1" t="s">
        <v>9117</v>
      </c>
      <c r="FP770" s="1">
        <v>148809.0</v>
      </c>
      <c r="FQ770" s="1" t="s">
        <v>9118</v>
      </c>
      <c r="FU770" s="1" t="s">
        <v>9119</v>
      </c>
      <c r="FV770" s="1" t="s">
        <v>200</v>
      </c>
      <c r="FW770" s="1" t="s">
        <v>567</v>
      </c>
      <c r="FX770" s="1" t="s">
        <v>655</v>
      </c>
      <c r="FZ770" s="1" t="s">
        <v>229</v>
      </c>
      <c r="GA770" s="1" t="s">
        <v>291</v>
      </c>
      <c r="GB770" s="2">
        <v>42076.0</v>
      </c>
      <c r="GC770" s="1" t="s">
        <v>9120</v>
      </c>
    </row>
    <row r="771">
      <c r="A771" s="1">
        <v>350000.0</v>
      </c>
      <c r="B771" s="1" t="s">
        <v>185</v>
      </c>
      <c r="C771" s="1" t="str">
        <f>"08811421"</f>
        <v>08811421</v>
      </c>
      <c r="D771" s="1" t="s">
        <v>186</v>
      </c>
      <c r="F771" s="1" t="str">
        <f>"8016"</f>
        <v>8016</v>
      </c>
      <c r="G771" s="2">
        <v>42011.0</v>
      </c>
      <c r="H771" s="1">
        <v>350000.0</v>
      </c>
      <c r="I771" s="1">
        <v>240.0</v>
      </c>
      <c r="J771" s="1">
        <v>350000.0</v>
      </c>
      <c r="K771" s="2">
        <v>42029.0</v>
      </c>
      <c r="L771" s="1">
        <v>19.0</v>
      </c>
      <c r="M771" s="2">
        <v>42029.0</v>
      </c>
      <c r="N771" s="1" t="s">
        <v>5859</v>
      </c>
      <c r="O771" s="2">
        <v>42125.0</v>
      </c>
      <c r="P771" s="1">
        <v>154639.0</v>
      </c>
      <c r="Q771" s="1">
        <v>85774.0</v>
      </c>
      <c r="S771" s="1">
        <v>4038.0</v>
      </c>
      <c r="T771" s="1" t="s">
        <v>9121</v>
      </c>
      <c r="U771" s="1" t="s">
        <v>189</v>
      </c>
      <c r="V771" s="1" t="s">
        <v>190</v>
      </c>
      <c r="W771" s="1">
        <v>60618.0</v>
      </c>
      <c r="Y771" s="1" t="s">
        <v>9122</v>
      </c>
      <c r="Z771" s="1">
        <v>1896.0</v>
      </c>
      <c r="AA771" s="1" t="s">
        <v>192</v>
      </c>
      <c r="AB771" s="1" t="s">
        <v>193</v>
      </c>
      <c r="AD771" s="1" t="s">
        <v>194</v>
      </c>
      <c r="AE771" s="1" t="s">
        <v>195</v>
      </c>
      <c r="AF771" s="1" t="s">
        <v>196</v>
      </c>
      <c r="AH771" s="1" t="s">
        <v>9123</v>
      </c>
      <c r="AI771" s="1">
        <v>0.1012</v>
      </c>
      <c r="AK771" s="1">
        <v>9.0</v>
      </c>
      <c r="AL771" s="1">
        <v>3.0</v>
      </c>
      <c r="AM771" s="1">
        <v>2.0</v>
      </c>
      <c r="AN771" s="1">
        <v>0.0</v>
      </c>
      <c r="AO771" s="1" t="s">
        <v>229</v>
      </c>
      <c r="AP771" s="1">
        <v>1.0</v>
      </c>
      <c r="AQ771" s="1" t="s">
        <v>198</v>
      </c>
      <c r="AR771" s="1" t="s">
        <v>200</v>
      </c>
      <c r="AS771" s="1" t="s">
        <v>199</v>
      </c>
      <c r="AT771" s="1">
        <v>2.0</v>
      </c>
      <c r="AV771" s="1" t="s">
        <v>200</v>
      </c>
      <c r="AW771" s="1">
        <v>5907.03</v>
      </c>
      <c r="AX771" s="1">
        <v>2013.0</v>
      </c>
      <c r="AY771" s="1" t="s">
        <v>1179</v>
      </c>
      <c r="AZ771" s="1" t="s">
        <v>200</v>
      </c>
      <c r="BA771" s="1" t="str">
        <f>"13143270170000"</f>
        <v>13143270170000</v>
      </c>
      <c r="BB771" s="1" t="s">
        <v>200</v>
      </c>
      <c r="BC771" s="1">
        <v>0.0</v>
      </c>
      <c r="BD771" s="1">
        <v>350000.0</v>
      </c>
      <c r="BE771" s="2">
        <v>42011.0</v>
      </c>
      <c r="BF771" s="2" t="s">
        <v>9124</v>
      </c>
      <c r="BG771" s="1" t="s">
        <v>9125</v>
      </c>
      <c r="BH771" s="1">
        <v>0.0</v>
      </c>
      <c r="BK771" s="1" t="s">
        <v>204</v>
      </c>
      <c r="BL771" s="1" t="str">
        <f>"4038"</f>
        <v>4038</v>
      </c>
      <c r="BM771" s="1" t="str">
        <f>"0"</f>
        <v>0</v>
      </c>
      <c r="BN771" s="1">
        <v>3900.0</v>
      </c>
      <c r="BO771" s="1">
        <v>0.0</v>
      </c>
      <c r="BQ771" s="1">
        <v>299.0</v>
      </c>
      <c r="BR771" s="1">
        <v>299.0</v>
      </c>
      <c r="BS771" s="1">
        <v>299.0</v>
      </c>
      <c r="BU771" s="1" t="s">
        <v>758</v>
      </c>
      <c r="BV771" s="1" t="s">
        <v>206</v>
      </c>
      <c r="BW771" s="1" t="s">
        <v>207</v>
      </c>
      <c r="BX771" s="1" t="s">
        <v>239</v>
      </c>
      <c r="BY771" s="1" t="s">
        <v>332</v>
      </c>
      <c r="BZ771" s="1" t="s">
        <v>209</v>
      </c>
      <c r="CA771" s="1" t="s">
        <v>207</v>
      </c>
      <c r="CB771" s="1" t="s">
        <v>239</v>
      </c>
      <c r="CC771" s="1" t="s">
        <v>393</v>
      </c>
      <c r="CD771" s="1" t="s">
        <v>206</v>
      </c>
      <c r="CE771" s="1" t="s">
        <v>207</v>
      </c>
      <c r="CF771" s="1" t="s">
        <v>239</v>
      </c>
      <c r="CG771" s="1" t="s">
        <v>215</v>
      </c>
      <c r="CH771" s="1" t="s">
        <v>209</v>
      </c>
      <c r="CI771" s="1" t="s">
        <v>207</v>
      </c>
      <c r="CJ771" s="1" t="s">
        <v>239</v>
      </c>
      <c r="CK771" s="1" t="s">
        <v>5311</v>
      </c>
      <c r="CL771" s="1" t="s">
        <v>209</v>
      </c>
      <c r="CM771" s="1" t="s">
        <v>207</v>
      </c>
      <c r="CN771" s="1" t="s">
        <v>239</v>
      </c>
      <c r="CO771" s="1" t="s">
        <v>264</v>
      </c>
      <c r="CP771" s="1" t="s">
        <v>42</v>
      </c>
      <c r="CQ771" s="1" t="s">
        <v>210</v>
      </c>
      <c r="CR771" s="1" t="s">
        <v>239</v>
      </c>
      <c r="CS771" s="1" t="s">
        <v>329</v>
      </c>
      <c r="CT771" s="1" t="s">
        <v>206</v>
      </c>
      <c r="CU771" s="1" t="s">
        <v>207</v>
      </c>
      <c r="CV771" s="1" t="s">
        <v>239</v>
      </c>
      <c r="CW771" s="1" t="s">
        <v>332</v>
      </c>
      <c r="CX771" s="1" t="s">
        <v>206</v>
      </c>
      <c r="CY771" s="1" t="s">
        <v>207</v>
      </c>
      <c r="CZ771" s="1" t="s">
        <v>239</v>
      </c>
      <c r="DA771" s="1" t="s">
        <v>200</v>
      </c>
      <c r="DC771" s="1" t="s">
        <v>642</v>
      </c>
      <c r="DD771" s="1" t="s">
        <v>518</v>
      </c>
      <c r="DE771" s="1" t="s">
        <v>6909</v>
      </c>
      <c r="DF771" s="1" t="s">
        <v>8374</v>
      </c>
      <c r="DG771" s="1" t="s">
        <v>9126</v>
      </c>
      <c r="DH771" s="1" t="s">
        <v>307</v>
      </c>
      <c r="DI771" s="1" t="s">
        <v>221</v>
      </c>
      <c r="DJ771" s="1" t="s">
        <v>222</v>
      </c>
      <c r="DK771" s="1" t="s">
        <v>4741</v>
      </c>
      <c r="DL771" s="1" t="s">
        <v>986</v>
      </c>
      <c r="DM771" s="1" t="s">
        <v>1143</v>
      </c>
      <c r="DO771" s="1" t="s">
        <v>549</v>
      </c>
      <c r="DP771" s="1" t="s">
        <v>340</v>
      </c>
      <c r="DQ771" s="1" t="s">
        <v>794</v>
      </c>
      <c r="DR771" s="1" t="s">
        <v>229</v>
      </c>
      <c r="DS771" s="1" t="s">
        <v>401</v>
      </c>
      <c r="DU771" s="1" t="s">
        <v>681</v>
      </c>
      <c r="DV771" s="1" t="s">
        <v>450</v>
      </c>
      <c r="DW771" s="1" t="s">
        <v>9127</v>
      </c>
      <c r="DX771" s="1" t="s">
        <v>280</v>
      </c>
      <c r="DY771" s="1" t="s">
        <v>704</v>
      </c>
      <c r="DZ771" s="1" t="s">
        <v>9128</v>
      </c>
      <c r="EA771" s="1" t="s">
        <v>344</v>
      </c>
      <c r="EB771" s="1" t="s">
        <v>797</v>
      </c>
      <c r="EC771" s="1" t="s">
        <v>237</v>
      </c>
      <c r="ED771" s="1" t="s">
        <v>407</v>
      </c>
      <c r="EG771" s="1" t="s">
        <v>450</v>
      </c>
      <c r="EL771" s="1" t="s">
        <v>454</v>
      </c>
      <c r="EM771" s="1" t="s">
        <v>42</v>
      </c>
      <c r="EN771" s="1" t="s">
        <v>210</v>
      </c>
      <c r="EO771" s="1" t="s">
        <v>239</v>
      </c>
      <c r="EQ771" s="1" t="s">
        <v>238</v>
      </c>
      <c r="EU771" s="1" t="s">
        <v>238</v>
      </c>
      <c r="EY771" s="1" t="s">
        <v>238</v>
      </c>
      <c r="FC771" s="1" t="s">
        <v>238</v>
      </c>
      <c r="FF771" s="1" t="s">
        <v>239</v>
      </c>
      <c r="FG771" s="1" t="s">
        <v>192</v>
      </c>
      <c r="FH771" s="1" t="s">
        <v>192</v>
      </c>
      <c r="FJ771" s="1" t="s">
        <v>4905</v>
      </c>
      <c r="FK771" s="1" t="s">
        <v>229</v>
      </c>
      <c r="FL771" s="1" t="s">
        <v>9129</v>
      </c>
      <c r="FM771" s="1">
        <v>18499.0</v>
      </c>
      <c r="FN771" s="1" t="s">
        <v>5976</v>
      </c>
      <c r="FO771" s="1" t="s">
        <v>9130</v>
      </c>
      <c r="FP771" s="1">
        <v>115970.0</v>
      </c>
      <c r="FQ771" s="1" t="s">
        <v>9131</v>
      </c>
      <c r="FU771" s="1" t="s">
        <v>9132</v>
      </c>
      <c r="FV771" s="1" t="s">
        <v>200</v>
      </c>
      <c r="FW771" s="1" t="s">
        <v>567</v>
      </c>
      <c r="FX771" s="1" t="s">
        <v>238</v>
      </c>
      <c r="FZ771" s="1" t="s">
        <v>229</v>
      </c>
      <c r="GA771" s="1" t="s">
        <v>291</v>
      </c>
      <c r="GB771" s="2">
        <v>42128.0</v>
      </c>
      <c r="GC771" s="1" t="s">
        <v>9133</v>
      </c>
    </row>
    <row r="772">
      <c r="A772" s="1">
        <v>258000.0</v>
      </c>
      <c r="B772" s="1" t="s">
        <v>185</v>
      </c>
      <c r="C772" s="1" t="str">
        <f>"08811993"</f>
        <v>08811993</v>
      </c>
      <c r="D772" s="1" t="s">
        <v>186</v>
      </c>
      <c r="F772" s="1" t="str">
        <f>"538"</f>
        <v>538</v>
      </c>
      <c r="G772" s="2">
        <v>42012.0</v>
      </c>
      <c r="H772" s="1">
        <v>269900.0</v>
      </c>
      <c r="I772" s="1">
        <v>42.0</v>
      </c>
      <c r="J772" s="1">
        <v>269900.0</v>
      </c>
      <c r="K772" s="2">
        <v>42053.0</v>
      </c>
      <c r="L772" s="1">
        <v>42.0</v>
      </c>
      <c r="M772" s="2">
        <v>42053.0</v>
      </c>
      <c r="N772" s="1" t="s">
        <v>187</v>
      </c>
      <c r="O772" s="2">
        <v>42094.0</v>
      </c>
      <c r="P772" s="1">
        <v>18093.0</v>
      </c>
      <c r="Q772" s="1">
        <v>2648.0</v>
      </c>
      <c r="S772" s="1">
        <v>3160.0</v>
      </c>
      <c r="T772" s="1" t="s">
        <v>9134</v>
      </c>
      <c r="U772" s="1" t="s">
        <v>1174</v>
      </c>
      <c r="V772" s="1" t="s">
        <v>1340</v>
      </c>
      <c r="W772" s="1">
        <v>60538.0</v>
      </c>
      <c r="Y772" s="1" t="s">
        <v>9135</v>
      </c>
      <c r="Z772" s="1">
        <v>2010.0</v>
      </c>
      <c r="AA772" s="1" t="s">
        <v>200</v>
      </c>
      <c r="AB772" s="1" t="s">
        <v>467</v>
      </c>
      <c r="AC772" s="1" t="s">
        <v>6926</v>
      </c>
      <c r="AD772" s="1" t="s">
        <v>1343</v>
      </c>
      <c r="AE772" s="1" t="s">
        <v>849</v>
      </c>
      <c r="AF772" s="1" t="s">
        <v>1312</v>
      </c>
      <c r="AG772" s="1" t="s">
        <v>9136</v>
      </c>
      <c r="AH772" s="1" t="s">
        <v>9137</v>
      </c>
      <c r="AK772" s="1">
        <v>10.0</v>
      </c>
      <c r="AL772" s="1">
        <v>4.0</v>
      </c>
      <c r="AM772" s="1">
        <v>2.0</v>
      </c>
      <c r="AN772" s="1">
        <v>1.0</v>
      </c>
      <c r="AO772" s="1" t="s">
        <v>198</v>
      </c>
      <c r="AP772" s="1">
        <v>0.0</v>
      </c>
      <c r="AQ772" s="1" t="s">
        <v>198</v>
      </c>
      <c r="AR772" s="1" t="s">
        <v>200</v>
      </c>
      <c r="AS772" s="1" t="s">
        <v>199</v>
      </c>
      <c r="AT772" s="1">
        <v>3.0</v>
      </c>
      <c r="AV772" s="1" t="s">
        <v>200</v>
      </c>
      <c r="AW772" s="1">
        <v>8352.62</v>
      </c>
      <c r="AX772" s="1">
        <v>2013.0</v>
      </c>
      <c r="AY772" s="1" t="s">
        <v>387</v>
      </c>
      <c r="AZ772" s="1" t="s">
        <v>200</v>
      </c>
      <c r="BA772" s="1" t="str">
        <f>"0203277023"</f>
        <v>0203277023</v>
      </c>
      <c r="BB772" s="1" t="s">
        <v>200</v>
      </c>
      <c r="BC772" s="1">
        <v>2687.0</v>
      </c>
      <c r="BD772" s="1">
        <v>258000.0</v>
      </c>
      <c r="BE772" s="2">
        <v>42012.0</v>
      </c>
      <c r="BF772" s="2" t="s">
        <v>9138</v>
      </c>
      <c r="BH772" s="1">
        <v>260.0</v>
      </c>
      <c r="BJ772" s="1" t="s">
        <v>3053</v>
      </c>
      <c r="BK772" s="1" t="s">
        <v>580</v>
      </c>
      <c r="BL772" s="1" t="str">
        <f t="shared" ref="BL772:BM772" si="509">""</f>
        <v/>
      </c>
      <c r="BM772" s="1" t="str">
        <f t="shared" si="509"/>
        <v/>
      </c>
      <c r="BN772" s="1">
        <v>40.0</v>
      </c>
      <c r="BO772" s="1">
        <v>10.0</v>
      </c>
      <c r="BQ772" s="1">
        <v>115.0</v>
      </c>
      <c r="BR772" s="1">
        <v>115.0</v>
      </c>
      <c r="BS772" s="1">
        <v>115.0</v>
      </c>
      <c r="BU772" s="1" t="s">
        <v>699</v>
      </c>
      <c r="BV772" s="1" t="s">
        <v>206</v>
      </c>
      <c r="BW772" s="1" t="s">
        <v>210</v>
      </c>
      <c r="BY772" s="1" t="s">
        <v>214</v>
      </c>
      <c r="BZ772" s="1" t="s">
        <v>209</v>
      </c>
      <c r="CA772" s="1" t="s">
        <v>210</v>
      </c>
      <c r="CC772" s="1" t="s">
        <v>699</v>
      </c>
      <c r="CD772" s="1" t="s">
        <v>206</v>
      </c>
      <c r="CE772" s="1" t="s">
        <v>210</v>
      </c>
      <c r="CG772" s="1" t="s">
        <v>433</v>
      </c>
      <c r="CH772" s="1" t="s">
        <v>209</v>
      </c>
      <c r="CI772" s="1" t="s">
        <v>210</v>
      </c>
      <c r="CK772" s="1" t="s">
        <v>331</v>
      </c>
      <c r="CL772" s="1" t="s">
        <v>209</v>
      </c>
      <c r="CM772" s="1" t="s">
        <v>210</v>
      </c>
      <c r="CO772" s="1" t="s">
        <v>2459</v>
      </c>
      <c r="CP772" s="1" t="s">
        <v>209</v>
      </c>
      <c r="CQ772" s="1" t="s">
        <v>210</v>
      </c>
      <c r="CS772" s="1" t="s">
        <v>1417</v>
      </c>
      <c r="CT772" s="1" t="s">
        <v>206</v>
      </c>
      <c r="CU772" s="1" t="s">
        <v>207</v>
      </c>
      <c r="CW772" s="1" t="s">
        <v>496</v>
      </c>
      <c r="CX772" s="1" t="s">
        <v>206</v>
      </c>
      <c r="CY772" s="1" t="s">
        <v>210</v>
      </c>
      <c r="DA772" s="1" t="s">
        <v>200</v>
      </c>
      <c r="DC772" s="1" t="s">
        <v>1046</v>
      </c>
      <c r="DD772" s="1" t="s">
        <v>1838</v>
      </c>
      <c r="DE772" s="1" t="s">
        <v>273</v>
      </c>
      <c r="DF772" s="1" t="s">
        <v>219</v>
      </c>
      <c r="DG772" s="1" t="s">
        <v>337</v>
      </c>
      <c r="DH772" s="1" t="s">
        <v>220</v>
      </c>
      <c r="DI772" s="1" t="s">
        <v>221</v>
      </c>
      <c r="DJ772" s="1" t="s">
        <v>222</v>
      </c>
      <c r="DK772" s="1" t="s">
        <v>223</v>
      </c>
      <c r="DL772" s="1" t="s">
        <v>223</v>
      </c>
      <c r="DM772" s="1" t="s">
        <v>338</v>
      </c>
      <c r="DN772" s="1" t="s">
        <v>1023</v>
      </c>
      <c r="DP772" s="1" t="s">
        <v>276</v>
      </c>
      <c r="DQ772" s="1" t="s">
        <v>228</v>
      </c>
      <c r="DR772" s="1" t="s">
        <v>588</v>
      </c>
      <c r="DS772" s="1" t="s">
        <v>368</v>
      </c>
      <c r="DV772" s="1" t="s">
        <v>1356</v>
      </c>
      <c r="DW772" s="1" t="s">
        <v>444</v>
      </c>
      <c r="DX772" s="1" t="s">
        <v>234</v>
      </c>
      <c r="DY772" s="1" t="s">
        <v>1051</v>
      </c>
      <c r="EC772" s="1" t="s">
        <v>237</v>
      </c>
      <c r="ED772" s="1" t="s">
        <v>407</v>
      </c>
      <c r="EE772" s="1" t="s">
        <v>493</v>
      </c>
      <c r="EH772" s="1" t="s">
        <v>556</v>
      </c>
      <c r="EI772" s="1" t="s">
        <v>1028</v>
      </c>
      <c r="EM772" s="1" t="s">
        <v>238</v>
      </c>
      <c r="EP772" s="1" t="s">
        <v>1904</v>
      </c>
      <c r="EQ772" s="1" t="s">
        <v>206</v>
      </c>
      <c r="ER772" s="1" t="s">
        <v>207</v>
      </c>
      <c r="ET772" s="1" t="s">
        <v>265</v>
      </c>
      <c r="EU772" s="1" t="s">
        <v>206</v>
      </c>
      <c r="EV772" s="1" t="s">
        <v>210</v>
      </c>
      <c r="EY772" s="1" t="s">
        <v>238</v>
      </c>
      <c r="FC772" s="1" t="s">
        <v>238</v>
      </c>
      <c r="FF772" s="1" t="s">
        <v>239</v>
      </c>
      <c r="FG772" s="1" t="s">
        <v>192</v>
      </c>
      <c r="FH772" s="1" t="s">
        <v>192</v>
      </c>
      <c r="FJ772" s="1" t="s">
        <v>2206</v>
      </c>
      <c r="FK772" s="1" t="s">
        <v>229</v>
      </c>
      <c r="FL772" s="1" t="s">
        <v>6918</v>
      </c>
      <c r="FM772" s="1">
        <v>31580.0</v>
      </c>
      <c r="FN772" s="1" t="s">
        <v>6919</v>
      </c>
      <c r="FO772" s="1" t="s">
        <v>9139</v>
      </c>
      <c r="FP772" s="1">
        <v>300079.0</v>
      </c>
      <c r="FS772" s="1" t="s">
        <v>9140</v>
      </c>
      <c r="FU772" s="1" t="s">
        <v>9141</v>
      </c>
      <c r="FV772" s="1" t="s">
        <v>200</v>
      </c>
      <c r="FW772" s="1" t="s">
        <v>290</v>
      </c>
      <c r="FZ772" s="1" t="s">
        <v>229</v>
      </c>
      <c r="GA772" s="1" t="s">
        <v>291</v>
      </c>
      <c r="GB772" s="2">
        <v>42094.0</v>
      </c>
      <c r="GC772" s="1" t="s">
        <v>9142</v>
      </c>
    </row>
    <row r="773">
      <c r="A773" s="1">
        <v>129900.0</v>
      </c>
      <c r="B773" s="1" t="s">
        <v>185</v>
      </c>
      <c r="C773" s="1" t="str">
        <f>"08811366"</f>
        <v>08811366</v>
      </c>
      <c r="D773" s="1" t="s">
        <v>186</v>
      </c>
      <c r="F773" s="1" t="str">
        <f>"8053"</f>
        <v>8053</v>
      </c>
      <c r="G773" s="2">
        <v>42011.0</v>
      </c>
      <c r="H773" s="1">
        <v>134900.0</v>
      </c>
      <c r="I773" s="1">
        <v>89.0</v>
      </c>
      <c r="J773" s="1">
        <v>129900.0</v>
      </c>
      <c r="K773" s="2">
        <v>42073.0</v>
      </c>
      <c r="L773" s="1">
        <v>63.0</v>
      </c>
      <c r="M773" s="2">
        <v>42073.0</v>
      </c>
      <c r="N773" s="1" t="s">
        <v>356</v>
      </c>
      <c r="O773" s="2">
        <v>42144.0</v>
      </c>
      <c r="P773" s="1">
        <v>860994.0</v>
      </c>
      <c r="Q773" s="1">
        <v>85965.0</v>
      </c>
      <c r="R773" s="1">
        <v>2500.0</v>
      </c>
      <c r="S773" s="1">
        <v>12628.0</v>
      </c>
      <c r="T773" s="1" t="s">
        <v>7271</v>
      </c>
      <c r="U773" s="1" t="s">
        <v>189</v>
      </c>
      <c r="V773" s="1" t="s">
        <v>190</v>
      </c>
      <c r="W773" s="1">
        <v>60628.0</v>
      </c>
      <c r="Y773" s="1" t="s">
        <v>9143</v>
      </c>
      <c r="Z773" s="1">
        <v>1952.0</v>
      </c>
      <c r="AA773" s="1" t="s">
        <v>192</v>
      </c>
      <c r="AB773" s="1" t="s">
        <v>193</v>
      </c>
      <c r="AD773" s="1" t="s">
        <v>194</v>
      </c>
      <c r="AE773" s="1" t="s">
        <v>195</v>
      </c>
      <c r="AF773" s="1" t="s">
        <v>637</v>
      </c>
      <c r="AH773" s="1" t="s">
        <v>2164</v>
      </c>
      <c r="AI773" s="1">
        <v>0.1129</v>
      </c>
      <c r="AK773" s="1">
        <v>7.0</v>
      </c>
      <c r="AL773" s="1">
        <v>3.0</v>
      </c>
      <c r="AM773" s="1">
        <v>2.0</v>
      </c>
      <c r="AN773" s="1">
        <v>0.0</v>
      </c>
      <c r="AO773" s="1" t="s">
        <v>229</v>
      </c>
      <c r="AQ773" s="1" t="s">
        <v>198</v>
      </c>
      <c r="AR773" s="1" t="s">
        <v>192</v>
      </c>
      <c r="AS773" s="1" t="s">
        <v>199</v>
      </c>
      <c r="AT773" s="1">
        <v>1.0</v>
      </c>
      <c r="AV773" s="1" t="s">
        <v>200</v>
      </c>
      <c r="AW773" s="1">
        <v>1018.0</v>
      </c>
      <c r="AX773" s="1">
        <v>2013.0</v>
      </c>
      <c r="AY773" s="1" t="s">
        <v>229</v>
      </c>
      <c r="AZ773" s="1" t="s">
        <v>200</v>
      </c>
      <c r="BA773" s="1" t="str">
        <f>"25284390200000"</f>
        <v>25284390200000</v>
      </c>
      <c r="BC773" s="1">
        <v>1100.0</v>
      </c>
      <c r="BD773" s="1">
        <v>129900.0</v>
      </c>
      <c r="BE773" s="2">
        <v>42011.0</v>
      </c>
      <c r="BF773" s="1" t="s">
        <v>9144</v>
      </c>
      <c r="BH773" s="1">
        <v>0.0</v>
      </c>
      <c r="BK773" s="1" t="s">
        <v>204</v>
      </c>
      <c r="BL773" s="1" t="str">
        <f t="shared" ref="BL773:BM773" si="510">"0"</f>
        <v>0</v>
      </c>
      <c r="BM773" s="1" t="str">
        <f t="shared" si="510"/>
        <v>0</v>
      </c>
      <c r="BN773" s="1">
        <v>300.0</v>
      </c>
      <c r="BO773" s="1">
        <v>12638.0</v>
      </c>
      <c r="BQ773" s="1">
        <v>299.0</v>
      </c>
      <c r="BR773" s="1">
        <v>299.0</v>
      </c>
      <c r="BS773" s="1">
        <v>299.0</v>
      </c>
      <c r="BU773" s="1" t="s">
        <v>331</v>
      </c>
      <c r="BV773" s="1" t="s">
        <v>206</v>
      </c>
      <c r="BW773" s="1" t="s">
        <v>207</v>
      </c>
      <c r="BY773" s="1" t="s">
        <v>212</v>
      </c>
      <c r="BZ773" s="1" t="s">
        <v>206</v>
      </c>
      <c r="CA773" s="1" t="s">
        <v>207</v>
      </c>
      <c r="CD773" s="1" t="s">
        <v>204</v>
      </c>
      <c r="CG773" s="1" t="s">
        <v>212</v>
      </c>
      <c r="CH773" s="1" t="s">
        <v>206</v>
      </c>
      <c r="CI773" s="1" t="s">
        <v>207</v>
      </c>
      <c r="CK773" s="1" t="s">
        <v>264</v>
      </c>
      <c r="CL773" s="1" t="s">
        <v>206</v>
      </c>
      <c r="CM773" s="1" t="s">
        <v>207</v>
      </c>
      <c r="CO773" s="1" t="s">
        <v>433</v>
      </c>
      <c r="CP773" s="1" t="s">
        <v>42</v>
      </c>
      <c r="CS773" s="1" t="s">
        <v>2082</v>
      </c>
      <c r="CT773" s="1" t="s">
        <v>206</v>
      </c>
      <c r="CW773" s="1" t="s">
        <v>1117</v>
      </c>
      <c r="CX773" s="1" t="s">
        <v>42</v>
      </c>
      <c r="CY773" s="1" t="s">
        <v>268</v>
      </c>
      <c r="DA773" s="1" t="s">
        <v>200</v>
      </c>
      <c r="DC773" s="1" t="s">
        <v>702</v>
      </c>
      <c r="DD773" s="1" t="s">
        <v>518</v>
      </c>
      <c r="DE773" s="1" t="s">
        <v>273</v>
      </c>
      <c r="DF773" s="1" t="s">
        <v>619</v>
      </c>
      <c r="DG773" s="1" t="s">
        <v>337</v>
      </c>
      <c r="DH773" s="1" t="s">
        <v>220</v>
      </c>
      <c r="DI773" s="1" t="s">
        <v>366</v>
      </c>
      <c r="DJ773" s="1" t="s">
        <v>222</v>
      </c>
      <c r="DL773" s="1" t="s">
        <v>224</v>
      </c>
      <c r="DM773" s="1" t="s">
        <v>229</v>
      </c>
      <c r="DQ773" s="1" t="s">
        <v>228</v>
      </c>
      <c r="DR773" s="1" t="s">
        <v>229</v>
      </c>
      <c r="DV773" s="1" t="s">
        <v>232</v>
      </c>
      <c r="DW773" s="1" t="s">
        <v>279</v>
      </c>
      <c r="DX773" s="1" t="s">
        <v>234</v>
      </c>
      <c r="DY773" s="1" t="s">
        <v>553</v>
      </c>
      <c r="EC773" s="1" t="s">
        <v>685</v>
      </c>
      <c r="ED773" s="1" t="s">
        <v>555</v>
      </c>
      <c r="EM773" s="1" t="s">
        <v>238</v>
      </c>
      <c r="EQ773" s="1" t="s">
        <v>238</v>
      </c>
      <c r="EU773" s="1" t="s">
        <v>238</v>
      </c>
      <c r="EY773" s="1" t="s">
        <v>238</v>
      </c>
      <c r="FC773" s="1" t="s">
        <v>238</v>
      </c>
      <c r="FF773" s="1" t="s">
        <v>239</v>
      </c>
      <c r="FG773" s="1" t="s">
        <v>200</v>
      </c>
      <c r="FH773" s="1" t="s">
        <v>192</v>
      </c>
      <c r="FJ773" s="1" t="s">
        <v>412</v>
      </c>
      <c r="FK773" s="1" t="s">
        <v>229</v>
      </c>
      <c r="FL773" s="1" t="s">
        <v>8632</v>
      </c>
      <c r="FM773" s="1">
        <v>85700.0</v>
      </c>
      <c r="FN773" s="1" t="s">
        <v>8633</v>
      </c>
      <c r="FO773" s="1" t="s">
        <v>9145</v>
      </c>
      <c r="FP773" s="1">
        <v>187336.0</v>
      </c>
      <c r="FQ773" s="1" t="s">
        <v>9146</v>
      </c>
      <c r="FU773" s="1" t="s">
        <v>9147</v>
      </c>
      <c r="FV773" s="1" t="s">
        <v>200</v>
      </c>
      <c r="FW773" s="1" t="s">
        <v>290</v>
      </c>
      <c r="FX773" s="1" t="s">
        <v>655</v>
      </c>
      <c r="FZ773" s="1" t="s">
        <v>229</v>
      </c>
      <c r="GA773" s="1" t="s">
        <v>291</v>
      </c>
      <c r="GB773" s="2">
        <v>42145.0</v>
      </c>
      <c r="GC773" s="1" t="s">
        <v>9148</v>
      </c>
    </row>
    <row r="774">
      <c r="A774" s="1">
        <v>210000.0</v>
      </c>
      <c r="B774" s="1" t="s">
        <v>185</v>
      </c>
      <c r="C774" s="1" t="str">
        <f>"08815236"</f>
        <v>08815236</v>
      </c>
      <c r="D774" s="1" t="s">
        <v>186</v>
      </c>
      <c r="F774" s="1" t="str">
        <f>"178"</f>
        <v>178</v>
      </c>
      <c r="G774" s="2">
        <v>42017.0</v>
      </c>
      <c r="H774" s="1">
        <v>219900.0</v>
      </c>
      <c r="I774" s="1">
        <v>42.0</v>
      </c>
      <c r="J774" s="1">
        <v>219900.0</v>
      </c>
      <c r="K774" s="2">
        <v>42058.0</v>
      </c>
      <c r="L774" s="1">
        <v>42.0</v>
      </c>
      <c r="M774" s="2">
        <v>42058.0</v>
      </c>
      <c r="N774" s="1" t="s">
        <v>187</v>
      </c>
      <c r="O774" s="2">
        <v>42125.0</v>
      </c>
      <c r="P774" s="1">
        <v>930215.0</v>
      </c>
      <c r="Q774" s="1">
        <v>93083.0</v>
      </c>
      <c r="S774" s="1">
        <v>940.0</v>
      </c>
      <c r="T774" s="1" t="s">
        <v>9149</v>
      </c>
      <c r="U774" s="1" t="s">
        <v>569</v>
      </c>
      <c r="V774" s="1" t="s">
        <v>994</v>
      </c>
      <c r="W774" s="1">
        <v>60178.0</v>
      </c>
      <c r="Y774" s="1" t="s">
        <v>9150</v>
      </c>
      <c r="Z774" s="1">
        <v>1991.0</v>
      </c>
      <c r="AA774" s="1" t="s">
        <v>200</v>
      </c>
      <c r="AB774" s="1" t="s">
        <v>193</v>
      </c>
      <c r="AD774" s="1" t="s">
        <v>997</v>
      </c>
      <c r="AE774" s="1" t="s">
        <v>613</v>
      </c>
      <c r="AF774" s="1" t="s">
        <v>4019</v>
      </c>
      <c r="AH774" s="1" t="s">
        <v>9151</v>
      </c>
      <c r="AK774" s="1">
        <v>9.0</v>
      </c>
      <c r="AL774" s="1">
        <v>4.0</v>
      </c>
      <c r="AM774" s="1">
        <v>2.0</v>
      </c>
      <c r="AN774" s="1">
        <v>1.0</v>
      </c>
      <c r="AO774" s="1" t="s">
        <v>198</v>
      </c>
      <c r="AP774" s="1">
        <v>1.0</v>
      </c>
      <c r="AQ774" s="1" t="s">
        <v>198</v>
      </c>
      <c r="AR774" s="1" t="s">
        <v>200</v>
      </c>
      <c r="AS774" s="1" t="s">
        <v>199</v>
      </c>
      <c r="AT774" s="1">
        <v>2.0</v>
      </c>
      <c r="AV774" s="1" t="s">
        <v>200</v>
      </c>
      <c r="AW774" s="1">
        <v>5732.76</v>
      </c>
      <c r="AX774" s="1">
        <v>2013.0</v>
      </c>
      <c r="AZ774" s="1" t="s">
        <v>200</v>
      </c>
      <c r="BA774" s="1" t="str">
        <f>"0906234005"</f>
        <v>0906234005</v>
      </c>
      <c r="BC774" s="1">
        <v>2108.0</v>
      </c>
      <c r="BD774" s="1">
        <v>210000.0</v>
      </c>
      <c r="BE774" s="2">
        <v>42017.0</v>
      </c>
      <c r="BF774" s="2" t="s">
        <v>9152</v>
      </c>
      <c r="BH774" s="1">
        <v>0.0</v>
      </c>
      <c r="BK774" s="1" t="s">
        <v>204</v>
      </c>
      <c r="BL774" s="1" t="str">
        <f t="shared" ref="BL774:BM774" si="511">""</f>
        <v/>
      </c>
      <c r="BM774" s="1" t="str">
        <f t="shared" si="511"/>
        <v/>
      </c>
      <c r="BQ774" s="1">
        <v>427.0</v>
      </c>
      <c r="BR774" s="1">
        <v>427.0</v>
      </c>
      <c r="BS774" s="1">
        <v>427.0</v>
      </c>
      <c r="BU774" s="1" t="s">
        <v>743</v>
      </c>
      <c r="BV774" s="1" t="s">
        <v>206</v>
      </c>
      <c r="BY774" s="1" t="s">
        <v>390</v>
      </c>
      <c r="BZ774" s="1" t="s">
        <v>209</v>
      </c>
      <c r="CC774" s="1" t="s">
        <v>264</v>
      </c>
      <c r="CD774" s="1" t="s">
        <v>206</v>
      </c>
      <c r="CG774" s="1" t="s">
        <v>699</v>
      </c>
      <c r="CH774" s="1" t="s">
        <v>209</v>
      </c>
      <c r="CK774" s="1" t="s">
        <v>211</v>
      </c>
      <c r="CL774" s="1" t="s">
        <v>209</v>
      </c>
      <c r="CO774" s="1" t="s">
        <v>262</v>
      </c>
      <c r="CP774" s="1" t="s">
        <v>209</v>
      </c>
      <c r="CS774" s="1" t="s">
        <v>269</v>
      </c>
      <c r="CT774" s="1" t="s">
        <v>206</v>
      </c>
      <c r="CW774" s="1" t="s">
        <v>432</v>
      </c>
      <c r="CX774" s="1" t="s">
        <v>206</v>
      </c>
      <c r="DA774" s="1" t="s">
        <v>200</v>
      </c>
      <c r="DC774" s="1" t="s">
        <v>435</v>
      </c>
      <c r="DD774" s="1" t="s">
        <v>518</v>
      </c>
      <c r="DE774" s="1" t="s">
        <v>273</v>
      </c>
      <c r="DF774" s="1" t="s">
        <v>219</v>
      </c>
      <c r="DG774" s="1" t="s">
        <v>337</v>
      </c>
      <c r="DH774" s="1" t="s">
        <v>220</v>
      </c>
      <c r="DI774" s="1" t="s">
        <v>221</v>
      </c>
      <c r="DJ774" s="1" t="s">
        <v>222</v>
      </c>
      <c r="DL774" s="1" t="s">
        <v>858</v>
      </c>
      <c r="DM774" s="1" t="s">
        <v>229</v>
      </c>
      <c r="DN774" s="1" t="s">
        <v>666</v>
      </c>
      <c r="DP774" s="1" t="s">
        <v>340</v>
      </c>
      <c r="DQ774" s="1" t="s">
        <v>228</v>
      </c>
      <c r="DR774" s="1" t="s">
        <v>229</v>
      </c>
      <c r="DU774" s="1" t="s">
        <v>9153</v>
      </c>
      <c r="DV774" s="1" t="s">
        <v>2071</v>
      </c>
      <c r="DW774" s="1" t="s">
        <v>233</v>
      </c>
      <c r="DX774" s="1" t="s">
        <v>234</v>
      </c>
      <c r="EB774" s="1" t="s">
        <v>345</v>
      </c>
      <c r="EC774" s="1" t="s">
        <v>237</v>
      </c>
      <c r="ED774" s="1" t="s">
        <v>407</v>
      </c>
      <c r="EG774" s="1" t="s">
        <v>449</v>
      </c>
      <c r="EH774" s="1" t="s">
        <v>408</v>
      </c>
      <c r="EL774" s="1" t="s">
        <v>375</v>
      </c>
      <c r="EM774" s="1" t="s">
        <v>206</v>
      </c>
      <c r="EP774" s="1" t="s">
        <v>971</v>
      </c>
      <c r="EQ774" s="1" t="s">
        <v>206</v>
      </c>
      <c r="EU774" s="1" t="s">
        <v>238</v>
      </c>
      <c r="EY774" s="1" t="s">
        <v>238</v>
      </c>
      <c r="FC774" s="1" t="s">
        <v>238</v>
      </c>
      <c r="FF774" s="1" t="s">
        <v>239</v>
      </c>
      <c r="FG774" s="1" t="s">
        <v>192</v>
      </c>
      <c r="FH774" s="1" t="s">
        <v>192</v>
      </c>
      <c r="FJ774" s="1" t="s">
        <v>2262</v>
      </c>
      <c r="FK774" s="1" t="s">
        <v>229</v>
      </c>
      <c r="FL774" s="1" t="s">
        <v>5572</v>
      </c>
      <c r="FM774" s="1">
        <v>24811.0</v>
      </c>
      <c r="FN774" s="1" t="s">
        <v>5573</v>
      </c>
      <c r="FO774" s="1" t="s">
        <v>5574</v>
      </c>
      <c r="FP774" s="1">
        <v>237447.0</v>
      </c>
      <c r="FR774" s="1">
        <v>237457.0</v>
      </c>
      <c r="FU774" s="1" t="s">
        <v>9154</v>
      </c>
      <c r="FV774" s="1" t="s">
        <v>200</v>
      </c>
      <c r="FW774" s="1" t="s">
        <v>2754</v>
      </c>
      <c r="FZ774" s="1" t="s">
        <v>229</v>
      </c>
      <c r="GA774" s="1" t="s">
        <v>291</v>
      </c>
      <c r="GB774" s="2">
        <v>42125.0</v>
      </c>
      <c r="GC774" s="1" t="s">
        <v>9155</v>
      </c>
    </row>
    <row r="775">
      <c r="A775" s="1">
        <v>10000.0</v>
      </c>
      <c r="B775" s="1" t="s">
        <v>185</v>
      </c>
      <c r="C775" s="1" t="str">
        <f>"08808894"</f>
        <v>08808894</v>
      </c>
      <c r="D775" s="1" t="s">
        <v>186</v>
      </c>
      <c r="F775" s="1" t="str">
        <f>"8067"</f>
        <v>8067</v>
      </c>
      <c r="G775" s="2">
        <v>42007.0</v>
      </c>
      <c r="H775" s="1">
        <v>13000.0</v>
      </c>
      <c r="I775" s="1">
        <v>60.0</v>
      </c>
      <c r="J775" s="1">
        <v>10900.0</v>
      </c>
      <c r="K775" s="2">
        <v>42066.0</v>
      </c>
      <c r="L775" s="1">
        <v>60.0</v>
      </c>
      <c r="M775" s="2">
        <v>42066.0</v>
      </c>
      <c r="N775" s="1" t="s">
        <v>249</v>
      </c>
      <c r="O775" s="2">
        <v>42081.0</v>
      </c>
      <c r="P775" s="1">
        <v>125145.0</v>
      </c>
      <c r="Q775" s="1">
        <v>84301.0</v>
      </c>
      <c r="S775" s="1">
        <v>5928.0</v>
      </c>
      <c r="T775" s="1" t="s">
        <v>3225</v>
      </c>
      <c r="U775" s="1" t="s">
        <v>189</v>
      </c>
      <c r="V775" s="1" t="s">
        <v>190</v>
      </c>
      <c r="W775" s="1">
        <v>60636.0</v>
      </c>
      <c r="Y775" s="1" t="s">
        <v>9156</v>
      </c>
      <c r="Z775" s="1">
        <v>1905.0</v>
      </c>
      <c r="AA775" s="1" t="s">
        <v>192</v>
      </c>
      <c r="AB775" s="1" t="s">
        <v>193</v>
      </c>
      <c r="AD775" s="1" t="s">
        <v>194</v>
      </c>
      <c r="AE775" s="1" t="s">
        <v>195</v>
      </c>
      <c r="AF775" s="1" t="s">
        <v>637</v>
      </c>
      <c r="AH775" s="1">
        <v>3125.0</v>
      </c>
      <c r="AI775" s="1">
        <v>0.0717</v>
      </c>
      <c r="AK775" s="1">
        <v>7.0</v>
      </c>
      <c r="AL775" s="1">
        <v>4.0</v>
      </c>
      <c r="AM775" s="1">
        <v>2.0</v>
      </c>
      <c r="AN775" s="1">
        <v>0.0</v>
      </c>
      <c r="AO775" s="1" t="s">
        <v>229</v>
      </c>
      <c r="AQ775" s="1" t="s">
        <v>198</v>
      </c>
      <c r="AR775" s="1" t="s">
        <v>200</v>
      </c>
      <c r="AS775" s="1" t="s">
        <v>199</v>
      </c>
      <c r="AT775" s="1">
        <v>1.0</v>
      </c>
      <c r="AV775" s="1" t="s">
        <v>200</v>
      </c>
      <c r="AW775" s="1">
        <v>1239.99</v>
      </c>
      <c r="AX775" s="1">
        <v>2012.0</v>
      </c>
      <c r="AZ775" s="1" t="s">
        <v>200</v>
      </c>
      <c r="BA775" s="1" t="str">
        <f>"20184040340000"</f>
        <v>20184040340000</v>
      </c>
      <c r="BC775" s="1">
        <v>1008.0</v>
      </c>
      <c r="BD775" s="1">
        <v>10000.0</v>
      </c>
      <c r="BE775" s="2">
        <v>42007.0</v>
      </c>
      <c r="BF775" s="1" t="s">
        <v>9157</v>
      </c>
      <c r="BH775" s="1">
        <v>0.0</v>
      </c>
      <c r="BK775" s="1" t="s">
        <v>204</v>
      </c>
      <c r="BL775" s="1" t="str">
        <f t="shared" ref="BL775:BM775" si="512">"0"</f>
        <v>0</v>
      </c>
      <c r="BM775" s="1" t="str">
        <f t="shared" si="512"/>
        <v>0</v>
      </c>
      <c r="BN775" s="1">
        <v>1200.0</v>
      </c>
      <c r="BO775" s="1">
        <v>5900.0</v>
      </c>
      <c r="BQ775" s="1">
        <v>299.0</v>
      </c>
      <c r="BR775" s="1">
        <v>299.0</v>
      </c>
      <c r="BS775" s="1">
        <v>299.0</v>
      </c>
      <c r="BU775" s="1" t="s">
        <v>300</v>
      </c>
      <c r="BV775" s="1" t="s">
        <v>206</v>
      </c>
      <c r="BY775" s="1" t="s">
        <v>584</v>
      </c>
      <c r="BZ775" s="1" t="s">
        <v>209</v>
      </c>
      <c r="CC775" s="1" t="s">
        <v>363</v>
      </c>
      <c r="CD775" s="1" t="s">
        <v>206</v>
      </c>
      <c r="CG775" s="1" t="s">
        <v>478</v>
      </c>
      <c r="CH775" s="1" t="s">
        <v>209</v>
      </c>
      <c r="CK775" s="1" t="s">
        <v>264</v>
      </c>
      <c r="CL775" s="1" t="s">
        <v>206</v>
      </c>
      <c r="CO775" s="1" t="s">
        <v>269</v>
      </c>
      <c r="CP775" s="1" t="s">
        <v>206</v>
      </c>
      <c r="CS775" s="1" t="s">
        <v>478</v>
      </c>
      <c r="CT775" s="1" t="s">
        <v>206</v>
      </c>
      <c r="CX775" s="1" t="s">
        <v>204</v>
      </c>
      <c r="DA775" s="1" t="s">
        <v>200</v>
      </c>
      <c r="DC775" s="1" t="s">
        <v>642</v>
      </c>
      <c r="DE775" s="1" t="s">
        <v>229</v>
      </c>
      <c r="DF775" s="1" t="s">
        <v>619</v>
      </c>
      <c r="DH775" s="1" t="s">
        <v>220</v>
      </c>
      <c r="DJ775" s="1" t="s">
        <v>222</v>
      </c>
      <c r="DL775" s="1" t="s">
        <v>223</v>
      </c>
      <c r="DM775" s="1" t="s">
        <v>229</v>
      </c>
      <c r="DQ775" s="1" t="s">
        <v>228</v>
      </c>
      <c r="DR775" s="1" t="s">
        <v>229</v>
      </c>
      <c r="DV775" s="1" t="s">
        <v>232</v>
      </c>
      <c r="DW775" s="1" t="s">
        <v>667</v>
      </c>
      <c r="DX775" s="1" t="s">
        <v>234</v>
      </c>
      <c r="EC775" s="1" t="s">
        <v>685</v>
      </c>
      <c r="EM775" s="1" t="s">
        <v>238</v>
      </c>
      <c r="EQ775" s="1" t="s">
        <v>238</v>
      </c>
      <c r="EU775" s="1" t="s">
        <v>238</v>
      </c>
      <c r="EY775" s="1" t="s">
        <v>238</v>
      </c>
      <c r="FC775" s="1" t="s">
        <v>238</v>
      </c>
      <c r="FF775" s="1" t="s">
        <v>239</v>
      </c>
      <c r="FG775" s="1" t="s">
        <v>192</v>
      </c>
      <c r="FH775" s="1" t="s">
        <v>192</v>
      </c>
      <c r="FJ775" s="1" t="s">
        <v>9158</v>
      </c>
      <c r="FK775" s="1" t="s">
        <v>229</v>
      </c>
      <c r="FL775" s="1" t="s">
        <v>9159</v>
      </c>
      <c r="FM775" s="1">
        <v>84984.0</v>
      </c>
      <c r="FN775" s="1" t="s">
        <v>9160</v>
      </c>
      <c r="FO775" s="1" t="s">
        <v>9161</v>
      </c>
      <c r="FP775" s="1">
        <v>188794.0</v>
      </c>
      <c r="FQ775" s="1" t="s">
        <v>9160</v>
      </c>
      <c r="FU775" s="1" t="s">
        <v>9162</v>
      </c>
      <c r="FV775" s="1" t="s">
        <v>200</v>
      </c>
      <c r="FW775" s="1" t="s">
        <v>290</v>
      </c>
      <c r="FX775" s="1" t="s">
        <v>655</v>
      </c>
      <c r="FZ775" s="1" t="s">
        <v>229</v>
      </c>
      <c r="GA775" s="1" t="s">
        <v>291</v>
      </c>
      <c r="GB775" s="2">
        <v>42082.0</v>
      </c>
      <c r="GC775" s="1" t="s">
        <v>9162</v>
      </c>
    </row>
    <row r="776">
      <c r="A776" s="1">
        <v>899000.0</v>
      </c>
      <c r="B776" s="1" t="s">
        <v>185</v>
      </c>
      <c r="C776" s="1" t="str">
        <f>"08812284"</f>
        <v>08812284</v>
      </c>
      <c r="D776" s="1" t="s">
        <v>186</v>
      </c>
      <c r="F776" s="1" t="str">
        <f>"8005"</f>
        <v>8005</v>
      </c>
      <c r="G776" s="2">
        <v>42012.0</v>
      </c>
      <c r="H776" s="1">
        <v>899000.0</v>
      </c>
      <c r="I776" s="1">
        <v>2.0</v>
      </c>
      <c r="J776" s="1">
        <v>899000.0</v>
      </c>
      <c r="K776" s="2">
        <v>42012.0</v>
      </c>
      <c r="L776" s="1">
        <v>2.0</v>
      </c>
      <c r="M776" s="2">
        <v>42012.0</v>
      </c>
      <c r="N776" s="1" t="s">
        <v>187</v>
      </c>
      <c r="O776" s="2">
        <v>42065.0</v>
      </c>
      <c r="P776" s="1">
        <v>154922.0</v>
      </c>
      <c r="Q776" s="1">
        <v>18649.0</v>
      </c>
      <c r="S776" s="1">
        <v>2418.0</v>
      </c>
      <c r="T776" s="1" t="s">
        <v>712</v>
      </c>
      <c r="U776" s="1" t="s">
        <v>320</v>
      </c>
      <c r="V776" s="1" t="s">
        <v>190</v>
      </c>
      <c r="W776" s="1">
        <v>60618.0</v>
      </c>
      <c r="Y776" s="1" t="s">
        <v>9163</v>
      </c>
      <c r="Z776" s="1">
        <v>2014.0</v>
      </c>
      <c r="AA776" s="1" t="s">
        <v>200</v>
      </c>
      <c r="AB776" s="1" t="s">
        <v>193</v>
      </c>
      <c r="AD776" s="1" t="s">
        <v>194</v>
      </c>
      <c r="AE776" s="1" t="s">
        <v>195</v>
      </c>
      <c r="AF776" s="1" t="s">
        <v>2645</v>
      </c>
      <c r="AH776" s="1" t="s">
        <v>6971</v>
      </c>
      <c r="AK776" s="1">
        <v>11.0</v>
      </c>
      <c r="AL776" s="1">
        <v>4.0</v>
      </c>
      <c r="AM776" s="1">
        <v>3.0</v>
      </c>
      <c r="AN776" s="1">
        <v>1.0</v>
      </c>
      <c r="AO776" s="1" t="s">
        <v>198</v>
      </c>
      <c r="AP776" s="1">
        <v>1.0</v>
      </c>
      <c r="AQ776" s="1" t="s">
        <v>472</v>
      </c>
      <c r="AR776" s="1" t="s">
        <v>192</v>
      </c>
      <c r="AS776" s="1" t="s">
        <v>199</v>
      </c>
      <c r="AT776" s="1">
        <v>2.0</v>
      </c>
      <c r="AV776" s="1" t="s">
        <v>200</v>
      </c>
      <c r="AW776" s="1" t="s">
        <v>9164</v>
      </c>
      <c r="AX776" s="1">
        <v>2013.0</v>
      </c>
      <c r="AY776" s="1" t="s">
        <v>229</v>
      </c>
      <c r="AZ776" s="1" t="s">
        <v>200</v>
      </c>
      <c r="BA776" s="1" t="str">
        <f>"13242090180000"</f>
        <v>13242090180000</v>
      </c>
      <c r="BC776" s="1">
        <v>3750.0</v>
      </c>
      <c r="BD776" s="1">
        <v>899000.0</v>
      </c>
      <c r="BE776" s="2">
        <v>42011.0</v>
      </c>
      <c r="BF776" s="2" t="s">
        <v>9165</v>
      </c>
      <c r="BG776" s="1" t="s">
        <v>6973</v>
      </c>
      <c r="BH776" s="1">
        <v>0.0</v>
      </c>
      <c r="BJ776" s="1" t="s">
        <v>538</v>
      </c>
      <c r="BK776" s="1" t="s">
        <v>204</v>
      </c>
      <c r="BL776" s="1" t="str">
        <f>"3600"</f>
        <v>3600</v>
      </c>
      <c r="BM776" s="1" t="str">
        <f>"0"</f>
        <v>0</v>
      </c>
      <c r="BN776" s="1">
        <v>2418.0</v>
      </c>
      <c r="BO776" s="1">
        <v>0.0</v>
      </c>
      <c r="BQ776" s="1">
        <v>299.0</v>
      </c>
      <c r="BR776" s="1">
        <v>299.0</v>
      </c>
      <c r="BS776" s="1">
        <v>299.0</v>
      </c>
      <c r="BU776" s="1" t="s">
        <v>262</v>
      </c>
      <c r="BV776" s="1" t="s">
        <v>206</v>
      </c>
      <c r="BW776" s="1" t="s">
        <v>207</v>
      </c>
      <c r="BY776" s="1" t="s">
        <v>260</v>
      </c>
      <c r="BZ776" s="1" t="s">
        <v>209</v>
      </c>
      <c r="CA776" s="1" t="s">
        <v>207</v>
      </c>
      <c r="CC776" s="1" t="s">
        <v>582</v>
      </c>
      <c r="CD776" s="1" t="s">
        <v>206</v>
      </c>
      <c r="CE776" s="1" t="s">
        <v>207</v>
      </c>
      <c r="CG776" s="1" t="s">
        <v>925</v>
      </c>
      <c r="CH776" s="1" t="s">
        <v>209</v>
      </c>
      <c r="CI776" s="1" t="s">
        <v>207</v>
      </c>
      <c r="CK776" s="1" t="s">
        <v>264</v>
      </c>
      <c r="CL776" s="1" t="s">
        <v>209</v>
      </c>
      <c r="CM776" s="1" t="s">
        <v>207</v>
      </c>
      <c r="CO776" s="1" t="s">
        <v>495</v>
      </c>
      <c r="CP776" s="1" t="s">
        <v>267</v>
      </c>
      <c r="CQ776" s="1" t="s">
        <v>210</v>
      </c>
      <c r="CS776" s="1" t="s">
        <v>3594</v>
      </c>
      <c r="CT776" s="1" t="s">
        <v>206</v>
      </c>
      <c r="CU776" s="1" t="s">
        <v>207</v>
      </c>
      <c r="CW776" s="1" t="s">
        <v>260</v>
      </c>
      <c r="CX776" s="1" t="s">
        <v>267</v>
      </c>
      <c r="CY776" s="1" t="s">
        <v>210</v>
      </c>
      <c r="DA776" s="1" t="s">
        <v>192</v>
      </c>
      <c r="DB776" s="2">
        <v>42012.0</v>
      </c>
      <c r="DC776" s="1" t="s">
        <v>744</v>
      </c>
      <c r="DD776" s="1" t="s">
        <v>1838</v>
      </c>
      <c r="DE776" s="1" t="s">
        <v>218</v>
      </c>
      <c r="DF776" s="1" t="s">
        <v>745</v>
      </c>
      <c r="DG776" s="1" t="s">
        <v>5068</v>
      </c>
      <c r="DH776" s="1" t="s">
        <v>365</v>
      </c>
      <c r="DI776" s="1" t="s">
        <v>519</v>
      </c>
      <c r="DJ776" s="1" t="s">
        <v>222</v>
      </c>
      <c r="DL776" s="1" t="s">
        <v>224</v>
      </c>
      <c r="DM776" s="1" t="s">
        <v>229</v>
      </c>
      <c r="DN776" s="1" t="s">
        <v>6974</v>
      </c>
      <c r="DO776" s="1" t="s">
        <v>4234</v>
      </c>
      <c r="DP776" s="1" t="s">
        <v>340</v>
      </c>
      <c r="DQ776" s="1" t="s">
        <v>718</v>
      </c>
      <c r="DR776" s="1" t="s">
        <v>229</v>
      </c>
      <c r="DS776" s="1" t="s">
        <v>230</v>
      </c>
      <c r="DU776" s="1" t="s">
        <v>6975</v>
      </c>
      <c r="DV776" s="1" t="s">
        <v>6976</v>
      </c>
      <c r="DW776" s="1" t="s">
        <v>1026</v>
      </c>
      <c r="DX776" s="1" t="s">
        <v>234</v>
      </c>
      <c r="DY776" s="1" t="s">
        <v>6977</v>
      </c>
      <c r="DZ776" s="1" t="s">
        <v>6978</v>
      </c>
      <c r="EA776" s="1" t="s">
        <v>1027</v>
      </c>
      <c r="EB776" s="1" t="s">
        <v>6979</v>
      </c>
      <c r="EC776" s="1" t="s">
        <v>237</v>
      </c>
      <c r="ED776" s="1" t="s">
        <v>555</v>
      </c>
      <c r="EG776" s="1" t="s">
        <v>556</v>
      </c>
      <c r="EH776" s="1" t="s">
        <v>1164</v>
      </c>
      <c r="EI776" s="1" t="s">
        <v>450</v>
      </c>
      <c r="EL776" s="1" t="s">
        <v>265</v>
      </c>
      <c r="EM776" s="1" t="s">
        <v>206</v>
      </c>
      <c r="EN776" s="1" t="s">
        <v>207</v>
      </c>
      <c r="EP776" s="1" t="s">
        <v>480</v>
      </c>
      <c r="EQ776" s="1" t="s">
        <v>206</v>
      </c>
      <c r="ER776" s="1" t="s">
        <v>207</v>
      </c>
      <c r="ET776" s="1" t="s">
        <v>5291</v>
      </c>
      <c r="EU776" s="1" t="s">
        <v>267</v>
      </c>
      <c r="EV776" s="1" t="s">
        <v>210</v>
      </c>
      <c r="EY776" s="1" t="s">
        <v>238</v>
      </c>
      <c r="FC776" s="1" t="s">
        <v>238</v>
      </c>
      <c r="FF776" s="1" t="s">
        <v>239</v>
      </c>
      <c r="FG776" s="1" t="s">
        <v>192</v>
      </c>
      <c r="FH776" s="1" t="s">
        <v>192</v>
      </c>
      <c r="FJ776" s="1" t="s">
        <v>2100</v>
      </c>
      <c r="FK776" s="1" t="s">
        <v>229</v>
      </c>
      <c r="FL776" s="1" t="s">
        <v>5070</v>
      </c>
      <c r="FM776" s="1">
        <v>12604.0</v>
      </c>
      <c r="FN776" s="1" t="s">
        <v>5071</v>
      </c>
      <c r="FO776" s="1" t="s">
        <v>5072</v>
      </c>
      <c r="FP776" s="1">
        <v>125093.0</v>
      </c>
      <c r="FQ776" s="1" t="s">
        <v>5073</v>
      </c>
      <c r="FR776" s="1">
        <v>148835.0</v>
      </c>
      <c r="FU776" s="1" t="s">
        <v>9166</v>
      </c>
      <c r="FV776" s="1" t="s">
        <v>200</v>
      </c>
      <c r="FW776" s="1" t="s">
        <v>530</v>
      </c>
      <c r="FX776" s="1" t="s">
        <v>246</v>
      </c>
      <c r="FZ776" s="1" t="s">
        <v>229</v>
      </c>
      <c r="GA776" s="1" t="s">
        <v>291</v>
      </c>
      <c r="GB776" s="2">
        <v>42067.0</v>
      </c>
    </row>
    <row r="777">
      <c r="A777" s="1">
        <v>199990.0</v>
      </c>
      <c r="B777" s="1" t="s">
        <v>185</v>
      </c>
      <c r="C777" s="1" t="str">
        <f>"08815118"</f>
        <v>08815118</v>
      </c>
      <c r="D777" s="1" t="s">
        <v>186</v>
      </c>
      <c r="F777" s="1" t="str">
        <f>"119"</f>
        <v>119</v>
      </c>
      <c r="G777" s="2">
        <v>42017.0</v>
      </c>
      <c r="H777" s="1">
        <v>199990.0</v>
      </c>
      <c r="I777" s="1">
        <v>59.0</v>
      </c>
      <c r="J777" s="1">
        <v>199990.0</v>
      </c>
      <c r="K777" s="2">
        <v>42027.0</v>
      </c>
      <c r="L777" s="1">
        <v>11.0</v>
      </c>
      <c r="M777" s="2">
        <v>42027.0</v>
      </c>
      <c r="N777" s="1" t="s">
        <v>249</v>
      </c>
      <c r="O777" s="2">
        <v>42061.0</v>
      </c>
      <c r="P777" s="1">
        <v>8224.0</v>
      </c>
      <c r="Q777" s="1">
        <v>41.0</v>
      </c>
      <c r="R777" s="1">
        <v>1900.0</v>
      </c>
      <c r="S777" s="1" t="s">
        <v>9167</v>
      </c>
      <c r="T777" s="1" t="s">
        <v>9168</v>
      </c>
      <c r="V777" s="1" t="s">
        <v>1476</v>
      </c>
      <c r="W777" s="1">
        <v>60119.0</v>
      </c>
      <c r="Y777" s="1" t="s">
        <v>9169</v>
      </c>
      <c r="Z777" s="1">
        <v>1991.0</v>
      </c>
      <c r="AA777" s="1" t="s">
        <v>200</v>
      </c>
      <c r="AB777" s="1" t="s">
        <v>193</v>
      </c>
      <c r="AD777" s="1" t="s">
        <v>1089</v>
      </c>
      <c r="AE777" s="1" t="s">
        <v>325</v>
      </c>
      <c r="AF777" s="1" t="s">
        <v>1479</v>
      </c>
      <c r="AH777" s="1" t="s">
        <v>9170</v>
      </c>
      <c r="AI777" s="1">
        <v>1.49</v>
      </c>
      <c r="AK777" s="1">
        <v>10.0</v>
      </c>
      <c r="AL777" s="1">
        <v>4.0</v>
      </c>
      <c r="AM777" s="1">
        <v>3.0</v>
      </c>
      <c r="AN777" s="1">
        <v>0.0</v>
      </c>
      <c r="AO777" s="1" t="s">
        <v>198</v>
      </c>
      <c r="AP777" s="1">
        <v>1.0</v>
      </c>
      <c r="AQ777" s="1" t="s">
        <v>198</v>
      </c>
      <c r="AR777" s="1" t="s">
        <v>200</v>
      </c>
      <c r="AS777" s="1" t="s">
        <v>199</v>
      </c>
      <c r="AT777" s="1">
        <v>2.0</v>
      </c>
      <c r="AV777" s="1" t="s">
        <v>200</v>
      </c>
      <c r="AW777" s="1">
        <v>11191.74</v>
      </c>
      <c r="AX777" s="1">
        <v>2013.0</v>
      </c>
      <c r="AZ777" s="1" t="s">
        <v>200</v>
      </c>
      <c r="BA777" s="1" t="str">
        <f>"1107400009"</f>
        <v>1107400009</v>
      </c>
      <c r="BC777" s="1">
        <v>3500.0</v>
      </c>
      <c r="BD777" s="1">
        <v>199990.0</v>
      </c>
      <c r="BE777" s="2">
        <v>42017.0</v>
      </c>
      <c r="BF777" s="2" t="s">
        <v>9171</v>
      </c>
      <c r="BH777" s="1">
        <v>0.0</v>
      </c>
      <c r="BK777" s="1" t="s">
        <v>204</v>
      </c>
      <c r="BL777" s="1" t="str">
        <f t="shared" ref="BL777:BM777" si="513">""</f>
        <v/>
      </c>
      <c r="BM777" s="1" t="str">
        <f t="shared" si="513"/>
        <v/>
      </c>
      <c r="BQ777" s="1">
        <v>302.0</v>
      </c>
      <c r="BR777" s="1">
        <v>302.0</v>
      </c>
      <c r="BS777" s="1">
        <v>302.0</v>
      </c>
      <c r="BU777" s="1" t="s">
        <v>362</v>
      </c>
      <c r="BV777" s="1" t="s">
        <v>206</v>
      </c>
      <c r="BY777" s="1" t="s">
        <v>878</v>
      </c>
      <c r="BZ777" s="1" t="s">
        <v>209</v>
      </c>
      <c r="CC777" s="1" t="s">
        <v>393</v>
      </c>
      <c r="CD777" s="1" t="s">
        <v>206</v>
      </c>
      <c r="CG777" s="1" t="s">
        <v>433</v>
      </c>
      <c r="CH777" s="1" t="s">
        <v>209</v>
      </c>
      <c r="CK777" s="1" t="s">
        <v>393</v>
      </c>
      <c r="CL777" s="1" t="s">
        <v>209</v>
      </c>
      <c r="CO777" s="1" t="s">
        <v>2082</v>
      </c>
      <c r="CP777" s="1" t="s">
        <v>209</v>
      </c>
      <c r="CS777" s="1" t="s">
        <v>364</v>
      </c>
      <c r="CT777" s="1" t="s">
        <v>206</v>
      </c>
      <c r="CW777" s="1" t="s">
        <v>3784</v>
      </c>
      <c r="CX777" s="1" t="s">
        <v>206</v>
      </c>
      <c r="DA777" s="1" t="s">
        <v>200</v>
      </c>
      <c r="DC777" s="1" t="s">
        <v>435</v>
      </c>
      <c r="DD777" s="1" t="s">
        <v>957</v>
      </c>
      <c r="DE777" s="1" t="s">
        <v>273</v>
      </c>
      <c r="DF777" s="1" t="s">
        <v>619</v>
      </c>
      <c r="DH777" s="1" t="s">
        <v>856</v>
      </c>
      <c r="DJ777" s="1" t="s">
        <v>857</v>
      </c>
      <c r="DK777" s="1" t="s">
        <v>198</v>
      </c>
      <c r="DL777" s="1" t="s">
        <v>858</v>
      </c>
      <c r="DM777" s="1" t="s">
        <v>1919</v>
      </c>
      <c r="DP777" s="1" t="s">
        <v>340</v>
      </c>
      <c r="DQ777" s="1" t="s">
        <v>931</v>
      </c>
      <c r="DR777" s="1" t="s">
        <v>229</v>
      </c>
      <c r="DV777" s="1" t="s">
        <v>7291</v>
      </c>
      <c r="DW777" s="1" t="s">
        <v>233</v>
      </c>
      <c r="DX777" s="1" t="s">
        <v>309</v>
      </c>
      <c r="EB777" s="1" t="s">
        <v>684</v>
      </c>
      <c r="EC777" s="1" t="s">
        <v>237</v>
      </c>
      <c r="EG777" s="1" t="s">
        <v>494</v>
      </c>
      <c r="EH777" s="1" t="s">
        <v>450</v>
      </c>
      <c r="EL777" s="1" t="s">
        <v>300</v>
      </c>
      <c r="EM777" s="1" t="s">
        <v>206</v>
      </c>
      <c r="EP777" s="1" t="s">
        <v>769</v>
      </c>
      <c r="EQ777" s="1" t="s">
        <v>42</v>
      </c>
      <c r="EU777" s="1" t="s">
        <v>238</v>
      </c>
      <c r="EY777" s="1" t="s">
        <v>238</v>
      </c>
      <c r="FC777" s="1" t="s">
        <v>238</v>
      </c>
      <c r="FF777" s="1" t="s">
        <v>239</v>
      </c>
      <c r="FG777" s="1" t="s">
        <v>192</v>
      </c>
      <c r="FH777" s="1" t="s">
        <v>192</v>
      </c>
      <c r="FJ777" s="1" t="s">
        <v>1248</v>
      </c>
      <c r="FK777" s="1" t="s">
        <v>229</v>
      </c>
      <c r="FL777" s="1" t="s">
        <v>525</v>
      </c>
      <c r="FM777" s="1">
        <v>22029.0</v>
      </c>
      <c r="FN777" s="1" t="s">
        <v>526</v>
      </c>
      <c r="FO777" s="1" t="s">
        <v>9172</v>
      </c>
      <c r="FP777" s="1">
        <v>240200.0</v>
      </c>
      <c r="FQ777" s="1" t="s">
        <v>9173</v>
      </c>
      <c r="FU777" s="1" t="s">
        <v>1438</v>
      </c>
      <c r="FV777" s="1" t="s">
        <v>200</v>
      </c>
      <c r="FW777" s="1" t="s">
        <v>290</v>
      </c>
      <c r="FZ777" s="1" t="s">
        <v>229</v>
      </c>
      <c r="GA777" s="1" t="s">
        <v>291</v>
      </c>
      <c r="GB777" s="2">
        <v>42061.0</v>
      </c>
      <c r="GC777" s="1" t="s">
        <v>9174</v>
      </c>
    </row>
    <row r="778">
      <c r="A778" s="1">
        <v>377000.0</v>
      </c>
      <c r="B778" s="1" t="s">
        <v>185</v>
      </c>
      <c r="C778" s="1" t="str">
        <f>"08815470"</f>
        <v>08815470</v>
      </c>
      <c r="D778" s="1" t="s">
        <v>186</v>
      </c>
      <c r="F778" s="1" t="str">
        <f>"10"</f>
        <v>10</v>
      </c>
      <c r="G778" s="2">
        <v>42017.0</v>
      </c>
      <c r="H778" s="1">
        <v>399900.0</v>
      </c>
      <c r="I778" s="1">
        <v>147.0</v>
      </c>
      <c r="J778" s="1">
        <v>399900.0</v>
      </c>
      <c r="K778" s="2">
        <v>42087.0</v>
      </c>
      <c r="L778" s="1">
        <v>71.0</v>
      </c>
      <c r="M778" s="2">
        <v>42087.0</v>
      </c>
      <c r="N778" s="1" t="s">
        <v>187</v>
      </c>
      <c r="O778" s="2">
        <v>42136.0</v>
      </c>
      <c r="P778" s="1">
        <v>16936.0</v>
      </c>
      <c r="Q778" s="1">
        <v>25593.0</v>
      </c>
      <c r="S778" s="1">
        <v>27851.0</v>
      </c>
      <c r="T778" s="1" t="s">
        <v>9175</v>
      </c>
      <c r="U778" s="1" t="s">
        <v>569</v>
      </c>
      <c r="V778" s="1" t="s">
        <v>2004</v>
      </c>
      <c r="W778" s="1">
        <v>60010.0</v>
      </c>
      <c r="Y778" s="1" t="s">
        <v>9176</v>
      </c>
      <c r="Z778" s="1">
        <v>1988.0</v>
      </c>
      <c r="AA778" s="1" t="s">
        <v>200</v>
      </c>
      <c r="AB778" s="1" t="s">
        <v>193</v>
      </c>
      <c r="AC778" s="1" t="s">
        <v>9177</v>
      </c>
      <c r="AD778" s="1" t="s">
        <v>2007</v>
      </c>
      <c r="AE778" s="1" t="s">
        <v>917</v>
      </c>
      <c r="AF778" s="1" t="s">
        <v>9178</v>
      </c>
      <c r="AG778" s="1" t="s">
        <v>752</v>
      </c>
      <c r="AH778" s="1" t="s">
        <v>9179</v>
      </c>
      <c r="AI778" s="1">
        <v>1.0657</v>
      </c>
      <c r="AK778" s="1">
        <v>9.0</v>
      </c>
      <c r="AL778" s="1">
        <v>4.0</v>
      </c>
      <c r="AM778" s="1">
        <v>2.0</v>
      </c>
      <c r="AN778" s="1">
        <v>1.0</v>
      </c>
      <c r="AO778" s="1" t="s">
        <v>198</v>
      </c>
      <c r="AP778" s="1">
        <v>1.0</v>
      </c>
      <c r="AQ778" s="1" t="s">
        <v>472</v>
      </c>
      <c r="AR778" s="1" t="s">
        <v>200</v>
      </c>
      <c r="AS778" s="1" t="s">
        <v>199</v>
      </c>
      <c r="AT778" s="1">
        <v>2.0</v>
      </c>
      <c r="AV778" s="1" t="s">
        <v>200</v>
      </c>
      <c r="AW778" s="1">
        <v>12128.28</v>
      </c>
      <c r="AX778" s="1">
        <v>2013.0</v>
      </c>
      <c r="AY778" s="1" t="s">
        <v>387</v>
      </c>
      <c r="AZ778" s="1" t="s">
        <v>200</v>
      </c>
      <c r="BA778" s="1" t="str">
        <f>"09353010020000"</f>
        <v>09353010020000</v>
      </c>
      <c r="BC778" s="1">
        <v>3067.0</v>
      </c>
      <c r="BD778" s="1">
        <v>377000.0</v>
      </c>
      <c r="BE778" s="2">
        <v>42017.0</v>
      </c>
      <c r="BF778" s="2" t="s">
        <v>9180</v>
      </c>
      <c r="BG778" s="1" t="s">
        <v>9181</v>
      </c>
      <c r="BH778" s="1">
        <v>275.0</v>
      </c>
      <c r="BI778" s="1" t="s">
        <v>9182</v>
      </c>
      <c r="BJ778" s="1" t="s">
        <v>9183</v>
      </c>
      <c r="BK778" s="1" t="s">
        <v>580</v>
      </c>
      <c r="BL778" s="1" t="str">
        <f>"27"</f>
        <v>27</v>
      </c>
      <c r="BM778" s="1" t="str">
        <f>""</f>
        <v/>
      </c>
      <c r="BN778" s="1">
        <v>26.0</v>
      </c>
      <c r="BQ778" s="1">
        <v>118.0</v>
      </c>
      <c r="BR778" s="1">
        <v>118.0</v>
      </c>
      <c r="BS778" s="1">
        <v>118.0</v>
      </c>
      <c r="BV778" s="1" t="s">
        <v>204</v>
      </c>
      <c r="BY778" s="1" t="s">
        <v>616</v>
      </c>
      <c r="BZ778" s="1" t="s">
        <v>209</v>
      </c>
      <c r="CA778" s="1" t="s">
        <v>210</v>
      </c>
      <c r="CB778" s="1" t="s">
        <v>239</v>
      </c>
      <c r="CC778" s="1" t="s">
        <v>361</v>
      </c>
      <c r="CD778" s="1" t="s">
        <v>206</v>
      </c>
      <c r="CE778" s="1" t="s">
        <v>207</v>
      </c>
      <c r="CF778" s="1" t="s">
        <v>239</v>
      </c>
      <c r="CG778" s="1" t="s">
        <v>211</v>
      </c>
      <c r="CH778" s="1" t="s">
        <v>209</v>
      </c>
      <c r="CI778" s="1" t="s">
        <v>210</v>
      </c>
      <c r="CJ778" s="1" t="s">
        <v>239</v>
      </c>
      <c r="CK778" s="1" t="s">
        <v>454</v>
      </c>
      <c r="CL778" s="1" t="s">
        <v>209</v>
      </c>
      <c r="CM778" s="1" t="s">
        <v>210</v>
      </c>
      <c r="CN778" s="1" t="s">
        <v>239</v>
      </c>
      <c r="CO778" s="1" t="s">
        <v>479</v>
      </c>
      <c r="CP778" s="1" t="s">
        <v>209</v>
      </c>
      <c r="CQ778" s="1" t="s">
        <v>207</v>
      </c>
      <c r="CR778" s="1" t="s">
        <v>239</v>
      </c>
      <c r="CS778" s="1" t="s">
        <v>6591</v>
      </c>
      <c r="CT778" s="1" t="s">
        <v>206</v>
      </c>
      <c r="CU778" s="1" t="s">
        <v>207</v>
      </c>
      <c r="CV778" s="1" t="s">
        <v>239</v>
      </c>
      <c r="CX778" s="1" t="s">
        <v>204</v>
      </c>
      <c r="DA778" s="1" t="s">
        <v>200</v>
      </c>
      <c r="DC778" s="1" t="s">
        <v>305</v>
      </c>
      <c r="DD778" s="1" t="s">
        <v>272</v>
      </c>
      <c r="DE778" s="1" t="s">
        <v>273</v>
      </c>
      <c r="DF778" s="1" t="s">
        <v>219</v>
      </c>
      <c r="DG778" s="1" t="s">
        <v>9184</v>
      </c>
      <c r="DH778" s="1" t="s">
        <v>856</v>
      </c>
      <c r="DI778" s="1" t="s">
        <v>1223</v>
      </c>
      <c r="DJ778" s="1" t="s">
        <v>857</v>
      </c>
      <c r="DL778" s="1" t="s">
        <v>1267</v>
      </c>
      <c r="DM778" s="1" t="s">
        <v>338</v>
      </c>
      <c r="DN778" s="1" t="s">
        <v>226</v>
      </c>
      <c r="DO778" s="1" t="s">
        <v>9185</v>
      </c>
      <c r="DP778" s="1" t="s">
        <v>340</v>
      </c>
      <c r="DQ778" s="1" t="s">
        <v>931</v>
      </c>
      <c r="DR778" s="1" t="s">
        <v>2018</v>
      </c>
      <c r="DU778" s="1" t="s">
        <v>9186</v>
      </c>
      <c r="DV778" s="1" t="s">
        <v>9187</v>
      </c>
      <c r="DW778" s="1" t="s">
        <v>964</v>
      </c>
      <c r="DX778" s="1" t="s">
        <v>234</v>
      </c>
      <c r="DY778" s="1" t="s">
        <v>1559</v>
      </c>
      <c r="DZ778" s="1" t="s">
        <v>1074</v>
      </c>
      <c r="EB778" s="1" t="s">
        <v>8570</v>
      </c>
      <c r="EC778" s="1" t="s">
        <v>237</v>
      </c>
      <c r="ED778" s="1" t="s">
        <v>407</v>
      </c>
      <c r="EG778" s="1" t="s">
        <v>494</v>
      </c>
      <c r="EI778" s="1" t="s">
        <v>2129</v>
      </c>
      <c r="EJ778" s="1" t="s">
        <v>450</v>
      </c>
      <c r="EK778" s="1" t="s">
        <v>408</v>
      </c>
      <c r="EL778" s="1" t="s">
        <v>454</v>
      </c>
      <c r="EM778" s="1" t="s">
        <v>206</v>
      </c>
      <c r="EN778" s="1" t="s">
        <v>207</v>
      </c>
      <c r="EO778" s="1" t="s">
        <v>239</v>
      </c>
      <c r="EQ778" s="1" t="s">
        <v>238</v>
      </c>
      <c r="ET778" s="1" t="s">
        <v>333</v>
      </c>
      <c r="EU778" s="1" t="s">
        <v>206</v>
      </c>
      <c r="EV778" s="1" t="s">
        <v>207</v>
      </c>
      <c r="EW778" s="1" t="s">
        <v>239</v>
      </c>
      <c r="EX778" s="1" t="s">
        <v>985</v>
      </c>
      <c r="EY778" s="1" t="s">
        <v>42</v>
      </c>
      <c r="EZ778" s="1" t="s">
        <v>210</v>
      </c>
      <c r="FA778" s="1" t="s">
        <v>239</v>
      </c>
      <c r="FB778" s="1" t="s">
        <v>955</v>
      </c>
      <c r="FC778" s="1" t="s">
        <v>206</v>
      </c>
      <c r="FD778" s="1" t="s">
        <v>207</v>
      </c>
      <c r="FE778" s="1" t="s">
        <v>239</v>
      </c>
      <c r="FF778" s="1" t="s">
        <v>239</v>
      </c>
      <c r="FG778" s="1" t="s">
        <v>192</v>
      </c>
      <c r="FH778" s="1" t="s">
        <v>192</v>
      </c>
      <c r="FJ778" s="1" t="s">
        <v>1450</v>
      </c>
      <c r="FK778" s="1" t="s">
        <v>348</v>
      </c>
      <c r="FL778" s="1" t="s">
        <v>9188</v>
      </c>
      <c r="FM778" s="1">
        <v>2280.0</v>
      </c>
      <c r="FN778" s="1" t="s">
        <v>9189</v>
      </c>
      <c r="FO778" s="1" t="s">
        <v>9190</v>
      </c>
      <c r="FP778" s="1">
        <v>85534.0</v>
      </c>
      <c r="FQ778" s="1" t="s">
        <v>9191</v>
      </c>
      <c r="FS778" s="1" t="s">
        <v>9192</v>
      </c>
      <c r="FU778" s="1" t="s">
        <v>9193</v>
      </c>
      <c r="FV778" s="1" t="s">
        <v>200</v>
      </c>
      <c r="FW778" s="1" t="s">
        <v>1411</v>
      </c>
      <c r="FX778" s="1" t="s">
        <v>246</v>
      </c>
      <c r="FZ778" s="1" t="s">
        <v>229</v>
      </c>
      <c r="GA778" s="1" t="s">
        <v>291</v>
      </c>
      <c r="GB778" s="2">
        <v>42136.0</v>
      </c>
      <c r="GC778" s="1" t="s">
        <v>9194</v>
      </c>
    </row>
    <row r="779">
      <c r="A779" s="1">
        <v>530000.0</v>
      </c>
      <c r="B779" s="1" t="s">
        <v>185</v>
      </c>
      <c r="C779" s="1" t="str">
        <f>"08817277"</f>
        <v>08817277</v>
      </c>
      <c r="D779" s="1" t="s">
        <v>186</v>
      </c>
      <c r="F779" s="1" t="str">
        <f>"8016"</f>
        <v>8016</v>
      </c>
      <c r="G779" s="2">
        <v>42019.0</v>
      </c>
      <c r="H779" s="1">
        <v>575000.0</v>
      </c>
      <c r="I779" s="1">
        <v>140.0</v>
      </c>
      <c r="J779" s="1">
        <v>554500.0</v>
      </c>
      <c r="K779" s="2">
        <v>42058.0</v>
      </c>
      <c r="L779" s="1">
        <v>40.0</v>
      </c>
      <c r="M779" s="2">
        <v>42058.0</v>
      </c>
      <c r="N779" s="1" t="s">
        <v>634</v>
      </c>
      <c r="O779" s="2">
        <v>42114.0</v>
      </c>
      <c r="P779" s="1">
        <v>165938.0</v>
      </c>
      <c r="Q779" s="1">
        <v>16379.0</v>
      </c>
      <c r="R779" s="1">
        <v>1000.0</v>
      </c>
      <c r="S779" s="1">
        <v>3933.0</v>
      </c>
      <c r="T779" s="1" t="s">
        <v>5251</v>
      </c>
      <c r="U779" s="1" t="s">
        <v>189</v>
      </c>
      <c r="V779" s="1" t="s">
        <v>190</v>
      </c>
      <c r="W779" s="1">
        <v>60641.0</v>
      </c>
      <c r="Y779" s="1" t="s">
        <v>9195</v>
      </c>
      <c r="Z779" s="1">
        <v>1902.0</v>
      </c>
      <c r="AA779" s="1" t="s">
        <v>192</v>
      </c>
      <c r="AB779" s="1" t="s">
        <v>193</v>
      </c>
      <c r="AD779" s="1" t="s">
        <v>194</v>
      </c>
      <c r="AE779" s="1" t="s">
        <v>195</v>
      </c>
      <c r="AF779" s="1" t="s">
        <v>196</v>
      </c>
      <c r="AH779" s="1" t="s">
        <v>9196</v>
      </c>
      <c r="AI779" s="1">
        <v>0.1584</v>
      </c>
      <c r="AK779" s="1">
        <v>11.0</v>
      </c>
      <c r="AL779" s="1">
        <v>4.0</v>
      </c>
      <c r="AM779" s="1">
        <v>2.0</v>
      </c>
      <c r="AN779" s="1">
        <v>0.0</v>
      </c>
      <c r="AO779" s="1" t="s">
        <v>229</v>
      </c>
      <c r="AP779" s="1">
        <v>2.0</v>
      </c>
      <c r="AQ779" s="1" t="s">
        <v>198</v>
      </c>
      <c r="AR779" s="1" t="s">
        <v>192</v>
      </c>
      <c r="AS779" s="1" t="s">
        <v>828</v>
      </c>
      <c r="AU779" s="1">
        <v>3.0</v>
      </c>
      <c r="AV779" s="1" t="s">
        <v>200</v>
      </c>
      <c r="AW779" s="1">
        <v>7069.3</v>
      </c>
      <c r="AX779" s="1">
        <v>2013.0</v>
      </c>
      <c r="AZ779" s="1" t="s">
        <v>200</v>
      </c>
      <c r="BA779" s="1" t="str">
        <f>"13221030100000"</f>
        <v>13221030100000</v>
      </c>
      <c r="BB779" s="1" t="s">
        <v>200</v>
      </c>
      <c r="BC779" s="1">
        <v>2104.0</v>
      </c>
      <c r="BD779" s="1">
        <v>530000.0</v>
      </c>
      <c r="BE779" s="2">
        <v>42019.0</v>
      </c>
      <c r="BF779" s="2" t="s">
        <v>9197</v>
      </c>
      <c r="BG779" s="1" t="s">
        <v>9125</v>
      </c>
      <c r="BH779" s="1">
        <v>0.0</v>
      </c>
      <c r="BJ779" s="1" t="s">
        <v>203</v>
      </c>
      <c r="BK779" s="1" t="s">
        <v>204</v>
      </c>
      <c r="BL779" s="1" t="str">
        <f>"3900"</f>
        <v>3900</v>
      </c>
      <c r="BM779" s="1" t="str">
        <f>"0"</f>
        <v>0</v>
      </c>
      <c r="BN779" s="1">
        <v>4400.0</v>
      </c>
      <c r="BO779" s="1">
        <v>0.0</v>
      </c>
      <c r="BQ779" s="1">
        <v>299.0</v>
      </c>
      <c r="BR779" s="1">
        <v>299.0</v>
      </c>
      <c r="BS779" s="1">
        <v>299.0</v>
      </c>
      <c r="BU779" s="1" t="s">
        <v>478</v>
      </c>
      <c r="BV779" s="1" t="s">
        <v>206</v>
      </c>
      <c r="BW779" s="1" t="s">
        <v>207</v>
      </c>
      <c r="BY779" s="1" t="s">
        <v>478</v>
      </c>
      <c r="BZ779" s="1" t="s">
        <v>209</v>
      </c>
      <c r="CA779" s="1" t="s">
        <v>207</v>
      </c>
      <c r="CC779" s="1" t="s">
        <v>363</v>
      </c>
      <c r="CD779" s="1" t="s">
        <v>206</v>
      </c>
      <c r="CE779" s="1" t="s">
        <v>207</v>
      </c>
      <c r="CG779" s="1" t="s">
        <v>663</v>
      </c>
      <c r="CH779" s="1" t="s">
        <v>209</v>
      </c>
      <c r="CI779" s="1" t="s">
        <v>207</v>
      </c>
      <c r="CK779" s="1" t="s">
        <v>663</v>
      </c>
      <c r="CL779" s="1" t="s">
        <v>209</v>
      </c>
      <c r="CM779" s="1" t="s">
        <v>207</v>
      </c>
      <c r="CO779" s="1" t="s">
        <v>4902</v>
      </c>
      <c r="CP779" s="1" t="s">
        <v>209</v>
      </c>
      <c r="CQ779" s="1" t="s">
        <v>207</v>
      </c>
      <c r="CS779" s="1" t="s">
        <v>830</v>
      </c>
      <c r="CT779" s="1" t="s">
        <v>206</v>
      </c>
      <c r="CU779" s="1" t="s">
        <v>207</v>
      </c>
      <c r="CW779" s="1" t="s">
        <v>300</v>
      </c>
      <c r="CX779" s="1" t="s">
        <v>206</v>
      </c>
      <c r="CY779" s="1" t="s">
        <v>207</v>
      </c>
      <c r="DA779" s="1" t="s">
        <v>200</v>
      </c>
      <c r="DC779" s="1" t="s">
        <v>642</v>
      </c>
      <c r="DD779" s="1" t="s">
        <v>306</v>
      </c>
      <c r="DE779" s="1" t="s">
        <v>273</v>
      </c>
      <c r="DF779" s="1" t="s">
        <v>219</v>
      </c>
      <c r="DH779" s="1" t="s">
        <v>365</v>
      </c>
      <c r="DI779" s="1" t="s">
        <v>519</v>
      </c>
      <c r="DJ779" s="1" t="s">
        <v>222</v>
      </c>
      <c r="DK779" s="1" t="s">
        <v>7069</v>
      </c>
      <c r="DL779" s="1" t="s">
        <v>986</v>
      </c>
      <c r="DM779" s="1" t="s">
        <v>229</v>
      </c>
      <c r="DN779" s="1" t="s">
        <v>9198</v>
      </c>
      <c r="DP779" s="1" t="s">
        <v>340</v>
      </c>
      <c r="DQ779" s="1" t="s">
        <v>228</v>
      </c>
      <c r="DR779" s="1" t="s">
        <v>229</v>
      </c>
      <c r="DV779" s="1" t="s">
        <v>9199</v>
      </c>
      <c r="DW779" s="1" t="s">
        <v>279</v>
      </c>
      <c r="DX779" s="1" t="s">
        <v>234</v>
      </c>
      <c r="DY779" s="1" t="s">
        <v>704</v>
      </c>
      <c r="EB779" s="1" t="s">
        <v>797</v>
      </c>
      <c r="EC779" s="1" t="s">
        <v>237</v>
      </c>
      <c r="EF779" s="1" t="s">
        <v>523</v>
      </c>
      <c r="EG779" s="1" t="s">
        <v>114</v>
      </c>
      <c r="EH779" s="1" t="s">
        <v>450</v>
      </c>
      <c r="EI779" s="1" t="s">
        <v>310</v>
      </c>
      <c r="EJ779" s="1" t="s">
        <v>310</v>
      </c>
      <c r="EK779" s="1" t="s">
        <v>1491</v>
      </c>
      <c r="EL779" s="1" t="s">
        <v>9200</v>
      </c>
      <c r="EM779" s="1" t="s">
        <v>114</v>
      </c>
      <c r="EP779" s="1" t="s">
        <v>330</v>
      </c>
      <c r="EQ779" s="1" t="s">
        <v>42</v>
      </c>
      <c r="ET779" s="1" t="s">
        <v>9201</v>
      </c>
      <c r="EU779" s="1" t="s">
        <v>206</v>
      </c>
      <c r="EX779" s="1" t="s">
        <v>9202</v>
      </c>
      <c r="EY779" s="1" t="s">
        <v>206</v>
      </c>
      <c r="FB779" s="1" t="s">
        <v>9203</v>
      </c>
      <c r="FC779" s="1" t="s">
        <v>42</v>
      </c>
      <c r="FF779" s="1" t="s">
        <v>239</v>
      </c>
      <c r="FG779" s="1" t="s">
        <v>192</v>
      </c>
      <c r="FH779" s="1" t="s">
        <v>192</v>
      </c>
      <c r="FJ779" s="1" t="s">
        <v>561</v>
      </c>
      <c r="FK779" s="1" t="s">
        <v>229</v>
      </c>
      <c r="FL779" s="1" t="s">
        <v>562</v>
      </c>
      <c r="FM779" s="1">
        <v>16379.0</v>
      </c>
      <c r="FN779" s="1" t="s">
        <v>563</v>
      </c>
      <c r="FO779" s="1" t="s">
        <v>9204</v>
      </c>
      <c r="FP779" s="1">
        <v>155485.0</v>
      </c>
      <c r="FQ779" s="1" t="s">
        <v>9205</v>
      </c>
      <c r="FT779" s="1" t="s">
        <v>6367</v>
      </c>
      <c r="FU779" s="1" t="s">
        <v>9206</v>
      </c>
      <c r="FV779" s="1" t="s">
        <v>200</v>
      </c>
      <c r="FW779" s="1" t="s">
        <v>290</v>
      </c>
      <c r="FX779" s="1" t="s">
        <v>238</v>
      </c>
      <c r="FZ779" s="1" t="s">
        <v>229</v>
      </c>
      <c r="GA779" s="1" t="s">
        <v>291</v>
      </c>
      <c r="GB779" s="2">
        <v>42114.0</v>
      </c>
      <c r="GC779" s="1" t="s">
        <v>9207</v>
      </c>
    </row>
    <row r="780">
      <c r="A780" s="1">
        <v>133014.0</v>
      </c>
      <c r="B780" s="1" t="s">
        <v>185</v>
      </c>
      <c r="C780" s="1" t="str">
        <f>"08807550"</f>
        <v>08807550</v>
      </c>
      <c r="D780" s="1" t="s">
        <v>186</v>
      </c>
      <c r="F780" s="1" t="str">
        <f>"8062"</f>
        <v>8062</v>
      </c>
      <c r="G780" s="2">
        <v>42004.0</v>
      </c>
      <c r="H780" s="1">
        <v>137800.0</v>
      </c>
      <c r="I780" s="1">
        <v>28.0</v>
      </c>
      <c r="J780" s="1">
        <v>137800.0</v>
      </c>
      <c r="K780" s="2">
        <v>42031.0</v>
      </c>
      <c r="L780" s="1">
        <v>28.0</v>
      </c>
      <c r="M780" s="2">
        <v>42031.0</v>
      </c>
      <c r="N780" s="1" t="s">
        <v>249</v>
      </c>
      <c r="O780" s="2">
        <v>42069.0</v>
      </c>
      <c r="P780" s="1">
        <v>99999.0</v>
      </c>
      <c r="Q780" s="1" t="s">
        <v>947</v>
      </c>
      <c r="S780" s="1">
        <v>5637.0</v>
      </c>
      <c r="T780" s="1" t="s">
        <v>3314</v>
      </c>
      <c r="U780" s="1" t="s">
        <v>189</v>
      </c>
      <c r="V780" s="1" t="s">
        <v>190</v>
      </c>
      <c r="W780" s="1">
        <v>60629.0</v>
      </c>
      <c r="Y780" s="1" t="s">
        <v>9208</v>
      </c>
      <c r="Z780" s="1">
        <v>1944.0</v>
      </c>
      <c r="AA780" s="1" t="s">
        <v>192</v>
      </c>
      <c r="AB780" s="1" t="s">
        <v>193</v>
      </c>
      <c r="AD780" s="1" t="s">
        <v>194</v>
      </c>
      <c r="AE780" s="1" t="s">
        <v>195</v>
      </c>
      <c r="AF780" s="1" t="s">
        <v>659</v>
      </c>
      <c r="AH780" s="1">
        <v>3750.0</v>
      </c>
      <c r="AI780" s="1">
        <v>0.0861</v>
      </c>
      <c r="AK780" s="1">
        <v>7.0</v>
      </c>
      <c r="AL780" s="1">
        <v>4.0</v>
      </c>
      <c r="AM780" s="1">
        <v>1.0</v>
      </c>
      <c r="AN780" s="1">
        <v>1.0</v>
      </c>
      <c r="AO780" s="1" t="s">
        <v>229</v>
      </c>
      <c r="AQ780" s="1" t="s">
        <v>198</v>
      </c>
      <c r="AR780" s="1" t="s">
        <v>200</v>
      </c>
      <c r="AS780" s="1" t="s">
        <v>199</v>
      </c>
      <c r="AT780" s="1">
        <v>1.0</v>
      </c>
      <c r="AV780" s="1" t="s">
        <v>200</v>
      </c>
      <c r="AW780" s="1">
        <v>2207.41</v>
      </c>
      <c r="AX780" s="1">
        <v>2012.0</v>
      </c>
      <c r="AZ780" s="1" t="s">
        <v>545</v>
      </c>
      <c r="BA780" s="1" t="str">
        <f>"19152140020000"</f>
        <v>19152140020000</v>
      </c>
      <c r="BC780" s="1">
        <v>1250.0</v>
      </c>
      <c r="BD780" s="1">
        <v>133014.0</v>
      </c>
      <c r="BE780" s="2">
        <v>42004.0</v>
      </c>
      <c r="BF780" s="2" t="s">
        <v>3507</v>
      </c>
      <c r="BH780" s="1">
        <v>0.0</v>
      </c>
      <c r="BK780" s="1" t="s">
        <v>204</v>
      </c>
      <c r="BL780" s="1" t="str">
        <f t="shared" ref="BL780:BM780" si="514">"0"</f>
        <v>0</v>
      </c>
      <c r="BM780" s="1" t="str">
        <f t="shared" si="514"/>
        <v>0</v>
      </c>
      <c r="BN780" s="1">
        <v>4200.0</v>
      </c>
      <c r="BO780" s="1">
        <v>5600.0</v>
      </c>
      <c r="BQ780" s="1">
        <v>299.0</v>
      </c>
      <c r="BR780" s="1">
        <v>299.0</v>
      </c>
      <c r="BS780" s="1">
        <v>299.0</v>
      </c>
      <c r="BU780" s="1" t="s">
        <v>1299</v>
      </c>
      <c r="BV780" s="1" t="s">
        <v>206</v>
      </c>
      <c r="BY780" s="1" t="s">
        <v>1299</v>
      </c>
      <c r="BZ780" s="1" t="s">
        <v>206</v>
      </c>
      <c r="CD780" s="1" t="s">
        <v>204</v>
      </c>
      <c r="CG780" s="1" t="s">
        <v>363</v>
      </c>
      <c r="CH780" s="1" t="s">
        <v>206</v>
      </c>
      <c r="CK780" s="1" t="s">
        <v>433</v>
      </c>
      <c r="CL780" s="1" t="s">
        <v>206</v>
      </c>
      <c r="CO780" s="1" t="s">
        <v>433</v>
      </c>
      <c r="CP780" s="1" t="s">
        <v>206</v>
      </c>
      <c r="CS780" s="1" t="s">
        <v>264</v>
      </c>
      <c r="CT780" s="1" t="s">
        <v>206</v>
      </c>
      <c r="CW780" s="1" t="s">
        <v>264</v>
      </c>
      <c r="CX780" s="1" t="s">
        <v>206</v>
      </c>
      <c r="DA780" s="1" t="s">
        <v>200</v>
      </c>
      <c r="DC780" s="1" t="s">
        <v>702</v>
      </c>
      <c r="DE780" s="1" t="s">
        <v>229</v>
      </c>
      <c r="DF780" s="1" t="s">
        <v>619</v>
      </c>
      <c r="DH780" s="1" t="s">
        <v>365</v>
      </c>
      <c r="DJ780" s="1" t="s">
        <v>222</v>
      </c>
      <c r="DL780" s="1" t="s">
        <v>224</v>
      </c>
      <c r="DM780" s="1" t="s">
        <v>229</v>
      </c>
      <c r="DQ780" s="1" t="s">
        <v>228</v>
      </c>
      <c r="DR780" s="1" t="s">
        <v>229</v>
      </c>
      <c r="DV780" s="1" t="s">
        <v>232</v>
      </c>
      <c r="DW780" s="1" t="s">
        <v>667</v>
      </c>
      <c r="DX780" s="1" t="s">
        <v>234</v>
      </c>
      <c r="EC780" s="1" t="s">
        <v>685</v>
      </c>
      <c r="EE780" s="1" t="s">
        <v>1960</v>
      </c>
      <c r="EM780" s="1" t="s">
        <v>238</v>
      </c>
      <c r="EQ780" s="1" t="s">
        <v>238</v>
      </c>
      <c r="EU780" s="1" t="s">
        <v>238</v>
      </c>
      <c r="EY780" s="1" t="s">
        <v>238</v>
      </c>
      <c r="FC780" s="1" t="s">
        <v>238</v>
      </c>
      <c r="FF780" s="1" t="s">
        <v>239</v>
      </c>
      <c r="FG780" s="1" t="s">
        <v>192</v>
      </c>
      <c r="FH780" s="1" t="s">
        <v>192</v>
      </c>
      <c r="FJ780" s="1" t="s">
        <v>347</v>
      </c>
      <c r="FK780" s="1" t="s">
        <v>229</v>
      </c>
      <c r="FL780" s="1" t="s">
        <v>3033</v>
      </c>
      <c r="FM780" s="1">
        <v>1984.0</v>
      </c>
      <c r="FN780" s="1" t="s">
        <v>3034</v>
      </c>
      <c r="FO780" s="1" t="s">
        <v>3035</v>
      </c>
      <c r="FP780" s="1">
        <v>922950.0</v>
      </c>
      <c r="FU780" s="1" t="s">
        <v>3036</v>
      </c>
      <c r="FV780" s="1" t="s">
        <v>200</v>
      </c>
      <c r="FW780" s="1" t="s">
        <v>4959</v>
      </c>
      <c r="FX780" s="1" t="s">
        <v>655</v>
      </c>
      <c r="FZ780" s="1" t="s">
        <v>229</v>
      </c>
      <c r="GA780" s="1" t="s">
        <v>291</v>
      </c>
      <c r="GB780" s="2">
        <v>42072.0</v>
      </c>
      <c r="GC780" s="1" t="s">
        <v>7564</v>
      </c>
    </row>
    <row r="781">
      <c r="A781" s="1">
        <v>187900.0</v>
      </c>
      <c r="B781" s="1" t="s">
        <v>185</v>
      </c>
      <c r="C781" s="1" t="str">
        <f>"08807545"</f>
        <v>08807545</v>
      </c>
      <c r="D781" s="1" t="s">
        <v>186</v>
      </c>
      <c r="F781" s="1" t="str">
        <f>"8025"</f>
        <v>8025</v>
      </c>
      <c r="G781" s="2">
        <v>42004.0</v>
      </c>
      <c r="H781" s="1">
        <v>189900.0</v>
      </c>
      <c r="I781" s="1">
        <v>23.0</v>
      </c>
      <c r="J781" s="1">
        <v>189900.0</v>
      </c>
      <c r="K781" s="2">
        <v>42026.0</v>
      </c>
      <c r="L781" s="1">
        <v>23.0</v>
      </c>
      <c r="M781" s="2">
        <v>42026.0</v>
      </c>
      <c r="N781" s="1" t="s">
        <v>356</v>
      </c>
      <c r="O781" s="2">
        <v>42094.0</v>
      </c>
      <c r="P781" s="1">
        <v>165240.0</v>
      </c>
      <c r="Q781" s="1">
        <v>40335.0</v>
      </c>
      <c r="R781" s="1">
        <v>4900.0</v>
      </c>
      <c r="S781" s="1">
        <v>1001.0</v>
      </c>
      <c r="T781" s="1" t="s">
        <v>9209</v>
      </c>
      <c r="U781" s="1" t="s">
        <v>189</v>
      </c>
      <c r="V781" s="1" t="s">
        <v>190</v>
      </c>
      <c r="W781" s="1">
        <v>60651.0</v>
      </c>
      <c r="Y781" s="1" t="s">
        <v>9210</v>
      </c>
      <c r="Z781" s="1">
        <v>1910.0</v>
      </c>
      <c r="AA781" s="1" t="s">
        <v>192</v>
      </c>
      <c r="AB781" s="1" t="s">
        <v>193</v>
      </c>
      <c r="AD781" s="1" t="s">
        <v>194</v>
      </c>
      <c r="AE781" s="1" t="s">
        <v>195</v>
      </c>
      <c r="AF781" s="1" t="s">
        <v>827</v>
      </c>
      <c r="AH781" s="1" t="s">
        <v>9211</v>
      </c>
      <c r="AK781" s="1">
        <v>9.0</v>
      </c>
      <c r="AL781" s="1">
        <v>3.0</v>
      </c>
      <c r="AM781" s="1">
        <v>3.0</v>
      </c>
      <c r="AN781" s="1">
        <v>0.0</v>
      </c>
      <c r="AO781" s="1" t="s">
        <v>229</v>
      </c>
      <c r="AQ781" s="1" t="s">
        <v>198</v>
      </c>
      <c r="AR781" s="1" t="s">
        <v>192</v>
      </c>
      <c r="AS781" s="1" t="s">
        <v>199</v>
      </c>
      <c r="AT781" s="1">
        <v>2.5</v>
      </c>
      <c r="AV781" s="1" t="s">
        <v>200</v>
      </c>
      <c r="AW781" s="1">
        <v>1498.74</v>
      </c>
      <c r="AX781" s="1">
        <v>2013.0</v>
      </c>
      <c r="AY781" s="1" t="s">
        <v>387</v>
      </c>
      <c r="AZ781" s="1" t="s">
        <v>200</v>
      </c>
      <c r="BA781" s="1" t="str">
        <f>"16043120180000"</f>
        <v>16043120180000</v>
      </c>
      <c r="BB781" s="1" t="s">
        <v>200</v>
      </c>
      <c r="BC781" s="1">
        <v>1026.0</v>
      </c>
      <c r="BD781" s="1">
        <v>187900.0</v>
      </c>
      <c r="BE781" s="2">
        <v>42004.0</v>
      </c>
      <c r="BF781" s="2" t="s">
        <v>9212</v>
      </c>
      <c r="BH781" s="1">
        <v>0.0</v>
      </c>
      <c r="BK781" s="1" t="s">
        <v>204</v>
      </c>
      <c r="BL781" s="1" t="str">
        <f>"1000"</f>
        <v>1000</v>
      </c>
      <c r="BM781" s="1" t="str">
        <f t="shared" ref="BM781:BM782" si="515">"0"</f>
        <v>0</v>
      </c>
      <c r="BN781" s="1">
        <v>5300.0</v>
      </c>
      <c r="BO781" s="1">
        <v>0.0</v>
      </c>
      <c r="BQ781" s="1">
        <v>299.0</v>
      </c>
      <c r="BR781" s="1">
        <v>299.0</v>
      </c>
      <c r="BS781" s="1">
        <v>299.0</v>
      </c>
      <c r="BU781" s="1" t="s">
        <v>544</v>
      </c>
      <c r="BV781" s="1" t="s">
        <v>206</v>
      </c>
      <c r="BW781" s="1" t="s">
        <v>207</v>
      </c>
      <c r="BX781" s="1" t="s">
        <v>431</v>
      </c>
      <c r="BY781" s="1" t="s">
        <v>302</v>
      </c>
      <c r="BZ781" s="1" t="s">
        <v>206</v>
      </c>
      <c r="CA781" s="1" t="s">
        <v>207</v>
      </c>
      <c r="CC781" s="1" t="s">
        <v>454</v>
      </c>
      <c r="CD781" s="1" t="s">
        <v>206</v>
      </c>
      <c r="CE781" s="1" t="s">
        <v>207</v>
      </c>
      <c r="CG781" s="1" t="s">
        <v>663</v>
      </c>
      <c r="CH781" s="1" t="s">
        <v>209</v>
      </c>
      <c r="CI781" s="1" t="s">
        <v>301</v>
      </c>
      <c r="CK781" s="1" t="s">
        <v>300</v>
      </c>
      <c r="CL781" s="1" t="s">
        <v>209</v>
      </c>
      <c r="CM781" s="1" t="s">
        <v>301</v>
      </c>
      <c r="CO781" s="1" t="s">
        <v>3355</v>
      </c>
      <c r="CP781" s="1" t="s">
        <v>42</v>
      </c>
      <c r="CQ781" s="1" t="s">
        <v>617</v>
      </c>
      <c r="CS781" s="1" t="s">
        <v>1352</v>
      </c>
      <c r="CT781" s="1" t="s">
        <v>206</v>
      </c>
      <c r="CU781" s="1" t="s">
        <v>268</v>
      </c>
      <c r="CW781" s="1" t="s">
        <v>392</v>
      </c>
      <c r="CX781" s="1" t="s">
        <v>42</v>
      </c>
      <c r="CY781" s="1" t="s">
        <v>617</v>
      </c>
      <c r="DA781" s="1" t="s">
        <v>200</v>
      </c>
      <c r="DC781" s="1" t="s">
        <v>642</v>
      </c>
      <c r="DD781" s="1" t="s">
        <v>436</v>
      </c>
      <c r="DE781" s="1" t="s">
        <v>229</v>
      </c>
      <c r="DF781" s="1" t="s">
        <v>219</v>
      </c>
      <c r="DH781" s="1" t="s">
        <v>307</v>
      </c>
      <c r="DI781" s="1" t="s">
        <v>1141</v>
      </c>
      <c r="DJ781" s="1" t="s">
        <v>222</v>
      </c>
      <c r="DK781" s="1" t="s">
        <v>790</v>
      </c>
      <c r="DL781" s="1" t="s">
        <v>224</v>
      </c>
      <c r="DM781" s="1" t="s">
        <v>229</v>
      </c>
      <c r="DQ781" s="1" t="s">
        <v>228</v>
      </c>
      <c r="DR781" s="1" t="s">
        <v>229</v>
      </c>
      <c r="DS781" s="1" t="s">
        <v>230</v>
      </c>
      <c r="DU781" s="1" t="s">
        <v>681</v>
      </c>
      <c r="DV781" s="1" t="s">
        <v>494</v>
      </c>
      <c r="DW781" s="1" t="s">
        <v>9213</v>
      </c>
      <c r="DX781" s="1" t="s">
        <v>3230</v>
      </c>
      <c r="DY781" s="1" t="s">
        <v>9214</v>
      </c>
      <c r="EA781" s="1" t="s">
        <v>644</v>
      </c>
      <c r="EC781" s="1" t="s">
        <v>645</v>
      </c>
      <c r="ED781" s="1" t="s">
        <v>555</v>
      </c>
      <c r="EE781" s="1" t="s">
        <v>493</v>
      </c>
      <c r="EG781" s="1" t="s">
        <v>494</v>
      </c>
      <c r="EL781" s="1" t="s">
        <v>3508</v>
      </c>
      <c r="EM781" s="1" t="s">
        <v>209</v>
      </c>
      <c r="EN781" s="1" t="s">
        <v>301</v>
      </c>
      <c r="EQ781" s="1" t="s">
        <v>238</v>
      </c>
      <c r="EU781" s="1" t="s">
        <v>238</v>
      </c>
      <c r="EY781" s="1" t="s">
        <v>238</v>
      </c>
      <c r="FC781" s="1" t="s">
        <v>238</v>
      </c>
      <c r="FF781" s="1" t="s">
        <v>239</v>
      </c>
      <c r="FG781" s="1" t="s">
        <v>192</v>
      </c>
      <c r="FH781" s="1" t="s">
        <v>192</v>
      </c>
      <c r="FJ781" s="1" t="s">
        <v>1538</v>
      </c>
      <c r="FK781" s="1" t="s">
        <v>229</v>
      </c>
      <c r="FL781" s="1" t="s">
        <v>9215</v>
      </c>
      <c r="FM781" s="1">
        <v>85240.0</v>
      </c>
      <c r="FN781" s="1" t="s">
        <v>9216</v>
      </c>
      <c r="FO781" s="1" t="s">
        <v>9217</v>
      </c>
      <c r="FP781" s="1">
        <v>136526.0</v>
      </c>
      <c r="FQ781" s="1" t="s">
        <v>9218</v>
      </c>
      <c r="FU781" s="1" t="s">
        <v>9219</v>
      </c>
      <c r="FV781" s="1" t="s">
        <v>200</v>
      </c>
      <c r="FW781" s="1" t="s">
        <v>530</v>
      </c>
      <c r="FX781" s="1" t="s">
        <v>238</v>
      </c>
      <c r="FZ781" s="1" t="s">
        <v>229</v>
      </c>
      <c r="GA781" s="1" t="s">
        <v>291</v>
      </c>
      <c r="GB781" s="2">
        <v>42095.0</v>
      </c>
    </row>
    <row r="782">
      <c r="A782" s="1">
        <v>61350.0</v>
      </c>
      <c r="B782" s="1" t="s">
        <v>185</v>
      </c>
      <c r="C782" s="1" t="str">
        <f>"08808139"</f>
        <v>08808139</v>
      </c>
      <c r="D782" s="1" t="s">
        <v>186</v>
      </c>
      <c r="F782" s="1" t="str">
        <f>"8023"</f>
        <v>8023</v>
      </c>
      <c r="G782" s="2">
        <v>42006.0</v>
      </c>
      <c r="H782" s="1">
        <v>59900.0</v>
      </c>
      <c r="I782" s="1">
        <v>14.0</v>
      </c>
      <c r="J782" s="1">
        <v>59900.0</v>
      </c>
      <c r="K782" s="2">
        <v>42019.0</v>
      </c>
      <c r="L782" s="1">
        <v>14.0</v>
      </c>
      <c r="M782" s="2">
        <v>42019.0</v>
      </c>
      <c r="N782" s="1" t="s">
        <v>249</v>
      </c>
      <c r="O782" s="2">
        <v>42032.0</v>
      </c>
      <c r="P782" s="1">
        <v>144575.0</v>
      </c>
      <c r="Q782" s="1">
        <v>18229.0</v>
      </c>
      <c r="S782" s="1">
        <v>856.0</v>
      </c>
      <c r="T782" s="1" t="s">
        <v>7379</v>
      </c>
      <c r="U782" s="1" t="s">
        <v>189</v>
      </c>
      <c r="V782" s="1" t="s">
        <v>190</v>
      </c>
      <c r="W782" s="1">
        <v>60651.0</v>
      </c>
      <c r="Y782" s="1" t="s">
        <v>9220</v>
      </c>
      <c r="Z782" s="1">
        <v>1926.0</v>
      </c>
      <c r="AA782" s="1" t="s">
        <v>192</v>
      </c>
      <c r="AB782" s="1" t="s">
        <v>193</v>
      </c>
      <c r="AD782" s="1" t="s">
        <v>194</v>
      </c>
      <c r="AE782" s="1" t="s">
        <v>195</v>
      </c>
      <c r="AF782" s="1" t="s">
        <v>827</v>
      </c>
      <c r="AH782" s="1">
        <v>4993.0</v>
      </c>
      <c r="AI782" s="1">
        <v>0.1146</v>
      </c>
      <c r="AK782" s="1">
        <v>6.0</v>
      </c>
      <c r="AL782" s="1">
        <v>4.0</v>
      </c>
      <c r="AM782" s="1">
        <v>2.0</v>
      </c>
      <c r="AN782" s="1">
        <v>0.0</v>
      </c>
      <c r="AO782" s="1" t="s">
        <v>229</v>
      </c>
      <c r="AQ782" s="1" t="s">
        <v>198</v>
      </c>
      <c r="AR782" s="1" t="s">
        <v>200</v>
      </c>
      <c r="AS782" s="1" t="s">
        <v>199</v>
      </c>
      <c r="AT782" s="1">
        <v>2.0</v>
      </c>
      <c r="AV782" s="1" t="s">
        <v>200</v>
      </c>
      <c r="AW782" s="1">
        <v>2908.13</v>
      </c>
      <c r="AX782" s="1">
        <v>2012.0</v>
      </c>
      <c r="AZ782" s="1" t="s">
        <v>545</v>
      </c>
      <c r="BA782" s="1" t="str">
        <f>"16034240150000"</f>
        <v>16034240150000</v>
      </c>
      <c r="BC782" s="1">
        <v>1260.0</v>
      </c>
      <c r="BD782" s="1">
        <v>61350.0</v>
      </c>
      <c r="BE782" s="2">
        <v>42006.0</v>
      </c>
      <c r="BF782" s="2" t="s">
        <v>9221</v>
      </c>
      <c r="BH782" s="1">
        <v>0.0</v>
      </c>
      <c r="BK782" s="1" t="s">
        <v>204</v>
      </c>
      <c r="BL782" s="1" t="str">
        <f>"856"</f>
        <v>856</v>
      </c>
      <c r="BM782" s="1" t="str">
        <f t="shared" si="515"/>
        <v>0</v>
      </c>
      <c r="BN782" s="1">
        <v>4300.0</v>
      </c>
      <c r="BO782" s="1">
        <v>0.0</v>
      </c>
      <c r="BQ782" s="1">
        <v>299.0</v>
      </c>
      <c r="BR782" s="1">
        <v>299.0</v>
      </c>
      <c r="BS782" s="1">
        <v>299.0</v>
      </c>
      <c r="BU782" s="1" t="s">
        <v>1746</v>
      </c>
      <c r="BV782" s="1" t="s">
        <v>206</v>
      </c>
      <c r="BY782" s="1" t="s">
        <v>1746</v>
      </c>
      <c r="BZ782" s="1" t="s">
        <v>206</v>
      </c>
      <c r="CD782" s="1" t="s">
        <v>204</v>
      </c>
      <c r="CG782" s="1" t="s">
        <v>1746</v>
      </c>
      <c r="CH782" s="1" t="s">
        <v>206</v>
      </c>
      <c r="CK782" s="1" t="s">
        <v>1746</v>
      </c>
      <c r="CL782" s="1" t="s">
        <v>209</v>
      </c>
      <c r="CO782" s="1" t="s">
        <v>1746</v>
      </c>
      <c r="CP782" s="1" t="s">
        <v>209</v>
      </c>
      <c r="CS782" s="1" t="s">
        <v>1746</v>
      </c>
      <c r="CT782" s="1" t="s">
        <v>206</v>
      </c>
      <c r="CX782" s="1" t="s">
        <v>204</v>
      </c>
      <c r="DA782" s="1" t="s">
        <v>200</v>
      </c>
      <c r="DC782" s="1" t="s">
        <v>785</v>
      </c>
      <c r="DE782" s="1" t="s">
        <v>229</v>
      </c>
      <c r="DF782" s="1" t="s">
        <v>619</v>
      </c>
      <c r="DH782" s="1" t="s">
        <v>365</v>
      </c>
      <c r="DJ782" s="1" t="s">
        <v>222</v>
      </c>
      <c r="DL782" s="1" t="s">
        <v>223</v>
      </c>
      <c r="DM782" s="1" t="s">
        <v>229</v>
      </c>
      <c r="DQ782" s="1" t="s">
        <v>228</v>
      </c>
      <c r="DR782" s="1" t="s">
        <v>229</v>
      </c>
      <c r="DV782" s="1" t="s">
        <v>232</v>
      </c>
      <c r="DW782" s="1" t="s">
        <v>279</v>
      </c>
      <c r="DX782" s="1" t="s">
        <v>234</v>
      </c>
      <c r="EA782" s="1" t="s">
        <v>644</v>
      </c>
      <c r="EC782" s="1" t="s">
        <v>685</v>
      </c>
      <c r="EM782" s="1" t="s">
        <v>238</v>
      </c>
      <c r="EQ782" s="1" t="s">
        <v>238</v>
      </c>
      <c r="EU782" s="1" t="s">
        <v>238</v>
      </c>
      <c r="EY782" s="1" t="s">
        <v>238</v>
      </c>
      <c r="FC782" s="1" t="s">
        <v>238</v>
      </c>
      <c r="FF782" s="1" t="s">
        <v>239</v>
      </c>
      <c r="FG782" s="1" t="s">
        <v>192</v>
      </c>
      <c r="FH782" s="1" t="s">
        <v>192</v>
      </c>
      <c r="FJ782" s="1" t="s">
        <v>9222</v>
      </c>
      <c r="FK782" s="1" t="s">
        <v>229</v>
      </c>
      <c r="FL782" s="1" t="s">
        <v>9223</v>
      </c>
      <c r="FM782" s="1">
        <v>18143.0</v>
      </c>
      <c r="FN782" s="1" t="s">
        <v>9224</v>
      </c>
      <c r="FO782" s="1" t="s">
        <v>9225</v>
      </c>
      <c r="FP782" s="1">
        <v>169001.0</v>
      </c>
      <c r="FQ782" s="1" t="s">
        <v>9224</v>
      </c>
      <c r="FU782" s="1" t="s">
        <v>4374</v>
      </c>
      <c r="FV782" s="1" t="s">
        <v>200</v>
      </c>
      <c r="FW782" s="1" t="s">
        <v>1293</v>
      </c>
      <c r="FX782" s="1" t="s">
        <v>238</v>
      </c>
      <c r="FZ782" s="1" t="s">
        <v>229</v>
      </c>
      <c r="GA782" s="1" t="s">
        <v>291</v>
      </c>
      <c r="GB782" s="2">
        <v>42033.0</v>
      </c>
      <c r="GC782" s="1" t="s">
        <v>9226</v>
      </c>
    </row>
    <row r="783">
      <c r="A783" s="1">
        <v>280000.0</v>
      </c>
      <c r="B783" s="1" t="s">
        <v>185</v>
      </c>
      <c r="C783" s="1" t="str">
        <f>"08807524"</f>
        <v>08807524</v>
      </c>
      <c r="D783" s="1" t="s">
        <v>186</v>
      </c>
      <c r="F783" s="1" t="str">
        <f>"538"</f>
        <v>538</v>
      </c>
      <c r="G783" s="2">
        <v>42003.0</v>
      </c>
      <c r="H783" s="1">
        <v>279900.0</v>
      </c>
      <c r="I783" s="1">
        <v>66.0</v>
      </c>
      <c r="J783" s="1">
        <v>279900.0</v>
      </c>
      <c r="K783" s="2">
        <v>42068.0</v>
      </c>
      <c r="L783" s="1">
        <v>66.0</v>
      </c>
      <c r="M783" s="2">
        <v>42068.0</v>
      </c>
      <c r="N783" s="1" t="s">
        <v>356</v>
      </c>
      <c r="O783" s="2">
        <v>42139.0</v>
      </c>
      <c r="P783" s="1">
        <v>310405.0</v>
      </c>
      <c r="Q783" s="1">
        <v>306.0</v>
      </c>
      <c r="R783" s="1">
        <v>3000.0</v>
      </c>
      <c r="S783" s="1">
        <v>3020.0</v>
      </c>
      <c r="T783" s="1" t="s">
        <v>9227</v>
      </c>
      <c r="U783" s="1" t="s">
        <v>1174</v>
      </c>
      <c r="V783" s="1" t="s">
        <v>1340</v>
      </c>
      <c r="W783" s="1">
        <v>60538.0</v>
      </c>
      <c r="Y783" s="1" t="s">
        <v>9228</v>
      </c>
      <c r="Z783" s="1">
        <v>2005.0</v>
      </c>
      <c r="AA783" s="1" t="s">
        <v>200</v>
      </c>
      <c r="AB783" s="1" t="s">
        <v>193</v>
      </c>
      <c r="AC783" s="1" t="s">
        <v>6926</v>
      </c>
      <c r="AD783" s="1" t="s">
        <v>1343</v>
      </c>
      <c r="AE783" s="1" t="s">
        <v>849</v>
      </c>
      <c r="AF783" s="1" t="s">
        <v>1312</v>
      </c>
      <c r="AG783" s="1" t="s">
        <v>9229</v>
      </c>
      <c r="AH783" s="1" t="s">
        <v>9230</v>
      </c>
      <c r="AI783" s="1">
        <v>0.0</v>
      </c>
      <c r="AK783" s="1">
        <v>11.0</v>
      </c>
      <c r="AL783" s="1">
        <v>4.0</v>
      </c>
      <c r="AM783" s="1">
        <v>2.0</v>
      </c>
      <c r="AN783" s="1">
        <v>1.0</v>
      </c>
      <c r="AO783" s="1" t="s">
        <v>198</v>
      </c>
      <c r="AP783" s="1">
        <v>0.0</v>
      </c>
      <c r="AQ783" s="1" t="s">
        <v>198</v>
      </c>
      <c r="AR783" s="1" t="s">
        <v>200</v>
      </c>
      <c r="AS783" s="1" t="s">
        <v>199</v>
      </c>
      <c r="AT783" s="1">
        <v>3.0</v>
      </c>
      <c r="AV783" s="1" t="s">
        <v>200</v>
      </c>
      <c r="AW783" s="1">
        <v>9338.0</v>
      </c>
      <c r="AX783" s="1">
        <v>2013.0</v>
      </c>
      <c r="AY783" s="1" t="s">
        <v>387</v>
      </c>
      <c r="AZ783" s="1" t="s">
        <v>200</v>
      </c>
      <c r="BA783" s="1" t="str">
        <f>"0202118012"</f>
        <v>0202118012</v>
      </c>
      <c r="BB783" s="1" t="s">
        <v>200</v>
      </c>
      <c r="BC783" s="1">
        <v>3686.0</v>
      </c>
      <c r="BD783" s="1">
        <v>280000.0</v>
      </c>
      <c r="BE783" s="2">
        <v>42003.0</v>
      </c>
      <c r="BF783" s="2" t="s">
        <v>9231</v>
      </c>
      <c r="BH783" s="1">
        <v>260.0</v>
      </c>
      <c r="BK783" s="1" t="s">
        <v>580</v>
      </c>
      <c r="BL783" s="1" t="str">
        <f t="shared" ref="BL783:BM783" si="516">"0"</f>
        <v>0</v>
      </c>
      <c r="BM783" s="1" t="str">
        <f t="shared" si="516"/>
        <v>0</v>
      </c>
      <c r="BN783" s="1">
        <v>40.0</v>
      </c>
      <c r="BO783" s="1">
        <v>10.0</v>
      </c>
      <c r="BQ783" s="1">
        <v>308.0</v>
      </c>
      <c r="BR783" s="1">
        <v>308.0</v>
      </c>
      <c r="BS783" s="1">
        <v>308.0</v>
      </c>
      <c r="BU783" s="1" t="s">
        <v>264</v>
      </c>
      <c r="BV783" s="1" t="s">
        <v>206</v>
      </c>
      <c r="BW783" s="1" t="s">
        <v>210</v>
      </c>
      <c r="BY783" s="1" t="s">
        <v>9232</v>
      </c>
      <c r="BZ783" s="1" t="s">
        <v>209</v>
      </c>
      <c r="CA783" s="1" t="s">
        <v>210</v>
      </c>
      <c r="CC783" s="1" t="s">
        <v>582</v>
      </c>
      <c r="CD783" s="1" t="s">
        <v>206</v>
      </c>
      <c r="CE783" s="1" t="s">
        <v>210</v>
      </c>
      <c r="CG783" s="1" t="s">
        <v>647</v>
      </c>
      <c r="CH783" s="1" t="s">
        <v>209</v>
      </c>
      <c r="CI783" s="1" t="s">
        <v>210</v>
      </c>
      <c r="CK783" s="1" t="s">
        <v>393</v>
      </c>
      <c r="CL783" s="1" t="s">
        <v>209</v>
      </c>
      <c r="CM783" s="1" t="s">
        <v>210</v>
      </c>
      <c r="CO783" s="1" t="s">
        <v>262</v>
      </c>
      <c r="CP783" s="1" t="s">
        <v>209</v>
      </c>
      <c r="CQ783" s="1" t="s">
        <v>210</v>
      </c>
      <c r="CS783" s="1" t="s">
        <v>1064</v>
      </c>
      <c r="CT783" s="1" t="s">
        <v>206</v>
      </c>
      <c r="CU783" s="1" t="s">
        <v>617</v>
      </c>
      <c r="CW783" s="1" t="s">
        <v>3538</v>
      </c>
      <c r="CX783" s="1" t="s">
        <v>206</v>
      </c>
      <c r="CY783" s="1" t="s">
        <v>210</v>
      </c>
      <c r="DA783" s="1" t="s">
        <v>200</v>
      </c>
      <c r="DC783" s="1" t="s">
        <v>481</v>
      </c>
      <c r="DD783" s="1" t="s">
        <v>3633</v>
      </c>
      <c r="DE783" s="1" t="s">
        <v>273</v>
      </c>
      <c r="DF783" s="1" t="s">
        <v>1811</v>
      </c>
      <c r="DG783" s="1" t="s">
        <v>337</v>
      </c>
      <c r="DH783" s="1" t="s">
        <v>220</v>
      </c>
      <c r="DI783" s="1" t="s">
        <v>9233</v>
      </c>
      <c r="DJ783" s="1" t="s">
        <v>222</v>
      </c>
      <c r="DK783" s="1" t="s">
        <v>223</v>
      </c>
      <c r="DL783" s="1" t="s">
        <v>223</v>
      </c>
      <c r="DM783" s="1" t="s">
        <v>229</v>
      </c>
      <c r="DN783" s="1" t="s">
        <v>399</v>
      </c>
      <c r="DP783" s="1" t="s">
        <v>340</v>
      </c>
      <c r="DQ783" s="1" t="s">
        <v>441</v>
      </c>
      <c r="DR783" s="1" t="s">
        <v>588</v>
      </c>
      <c r="DS783" s="1" t="s">
        <v>591</v>
      </c>
      <c r="DV783" s="1" t="s">
        <v>1841</v>
      </c>
      <c r="DW783" s="1" t="s">
        <v>279</v>
      </c>
      <c r="DX783" s="1" t="s">
        <v>234</v>
      </c>
      <c r="EA783" s="1" t="s">
        <v>344</v>
      </c>
      <c r="EC783" s="1" t="s">
        <v>237</v>
      </c>
      <c r="ED783" s="1" t="s">
        <v>555</v>
      </c>
      <c r="EE783" s="1" t="s">
        <v>493</v>
      </c>
      <c r="EG783" s="1" t="s">
        <v>494</v>
      </c>
      <c r="EH783" s="1" t="s">
        <v>341</v>
      </c>
      <c r="EI783" s="1" t="s">
        <v>556</v>
      </c>
      <c r="EL783" s="1" t="s">
        <v>331</v>
      </c>
      <c r="EM783" s="1" t="s">
        <v>206</v>
      </c>
      <c r="EN783" s="1" t="s">
        <v>210</v>
      </c>
      <c r="EP783" s="1" t="s">
        <v>346</v>
      </c>
      <c r="EQ783" s="1" t="s">
        <v>209</v>
      </c>
      <c r="ER783" s="1" t="s">
        <v>210</v>
      </c>
      <c r="ET783" s="1" t="s">
        <v>300</v>
      </c>
      <c r="EU783" s="1" t="s">
        <v>206</v>
      </c>
      <c r="EV783" s="1" t="s">
        <v>617</v>
      </c>
      <c r="EY783" s="1" t="s">
        <v>238</v>
      </c>
      <c r="FC783" s="1" t="s">
        <v>238</v>
      </c>
      <c r="FF783" s="1" t="s">
        <v>239</v>
      </c>
      <c r="FG783" s="1" t="s">
        <v>192</v>
      </c>
      <c r="FH783" s="1" t="s">
        <v>192</v>
      </c>
      <c r="FJ783" s="1" t="s">
        <v>5571</v>
      </c>
      <c r="FK783" s="1" t="s">
        <v>229</v>
      </c>
      <c r="FL783" s="1" t="s">
        <v>1007</v>
      </c>
      <c r="FM783" s="1">
        <v>23196.0</v>
      </c>
      <c r="FN783" s="1" t="s">
        <v>3741</v>
      </c>
      <c r="FO783" s="1" t="s">
        <v>9234</v>
      </c>
      <c r="FP783" s="1">
        <v>225759.0</v>
      </c>
      <c r="FQ783" s="1" t="s">
        <v>9235</v>
      </c>
      <c r="FS783" s="1" t="s">
        <v>9236</v>
      </c>
      <c r="FU783" s="1" t="s">
        <v>9237</v>
      </c>
      <c r="FV783" s="1" t="s">
        <v>200</v>
      </c>
      <c r="FW783" s="1" t="s">
        <v>290</v>
      </c>
      <c r="FZ783" s="1" t="s">
        <v>229</v>
      </c>
      <c r="GA783" s="1" t="s">
        <v>291</v>
      </c>
      <c r="GB783" s="2">
        <v>42141.0</v>
      </c>
      <c r="GC783" s="1" t="s">
        <v>9238</v>
      </c>
    </row>
    <row r="784">
      <c r="A784" s="1">
        <v>244000.0</v>
      </c>
      <c r="B784" s="1" t="s">
        <v>185</v>
      </c>
      <c r="C784" s="1" t="str">
        <f>"08808306"</f>
        <v>08808306</v>
      </c>
      <c r="D784" s="1" t="s">
        <v>186</v>
      </c>
      <c r="F784" s="1" t="str">
        <f t="shared" ref="F784:F785" si="517">"8016"</f>
        <v>8016</v>
      </c>
      <c r="G784" s="2">
        <v>42006.0</v>
      </c>
      <c r="H784" s="1">
        <v>234999.0</v>
      </c>
      <c r="I784" s="1">
        <v>7.0</v>
      </c>
      <c r="J784" s="1">
        <v>234999.0</v>
      </c>
      <c r="K784" s="2">
        <v>42012.0</v>
      </c>
      <c r="L784" s="1">
        <v>7.0</v>
      </c>
      <c r="M784" s="2">
        <v>42012.0</v>
      </c>
      <c r="N784" s="1" t="s">
        <v>187</v>
      </c>
      <c r="O784" s="2">
        <v>42068.0</v>
      </c>
      <c r="P784" s="1">
        <v>111434.0</v>
      </c>
      <c r="Q784" s="1">
        <v>85269.0</v>
      </c>
      <c r="S784" s="1">
        <v>4413.0</v>
      </c>
      <c r="T784" s="1" t="s">
        <v>9239</v>
      </c>
      <c r="U784" s="1" t="s">
        <v>320</v>
      </c>
      <c r="V784" s="1" t="s">
        <v>190</v>
      </c>
      <c r="W784" s="1">
        <v>60641.0</v>
      </c>
      <c r="Y784" s="1" t="s">
        <v>9240</v>
      </c>
      <c r="Z784" s="1" t="s">
        <v>296</v>
      </c>
      <c r="AA784" s="1" t="s">
        <v>192</v>
      </c>
      <c r="AB784" s="1" t="s">
        <v>193</v>
      </c>
      <c r="AD784" s="1" t="s">
        <v>194</v>
      </c>
      <c r="AE784" s="1" t="s">
        <v>195</v>
      </c>
      <c r="AF784" s="1" t="s">
        <v>196</v>
      </c>
      <c r="AH784" s="1" t="s">
        <v>8355</v>
      </c>
      <c r="AK784" s="1">
        <v>8.0</v>
      </c>
      <c r="AL784" s="1">
        <v>3.0</v>
      </c>
      <c r="AM784" s="1">
        <v>2.0</v>
      </c>
      <c r="AN784" s="1">
        <v>0.0</v>
      </c>
      <c r="AO784" s="1" t="s">
        <v>229</v>
      </c>
      <c r="AQ784" s="1" t="s">
        <v>198</v>
      </c>
      <c r="AR784" s="1" t="s">
        <v>192</v>
      </c>
      <c r="AS784" s="1" t="s">
        <v>199</v>
      </c>
      <c r="AT784" s="1">
        <v>2.0</v>
      </c>
      <c r="AV784" s="1" t="s">
        <v>200</v>
      </c>
      <c r="AW784" s="1">
        <v>3526.0</v>
      </c>
      <c r="AX784" s="1">
        <v>2013.0</v>
      </c>
      <c r="AY784" s="1" t="s">
        <v>387</v>
      </c>
      <c r="AZ784" s="1" t="s">
        <v>200</v>
      </c>
      <c r="BA784" s="1" t="str">
        <f>"13223180050000"</f>
        <v>13223180050000</v>
      </c>
      <c r="BB784" s="1" t="s">
        <v>200</v>
      </c>
      <c r="BC784" s="1">
        <v>0.0</v>
      </c>
      <c r="BD784" s="1">
        <v>244000.0</v>
      </c>
      <c r="BE784" s="2">
        <v>42006.0</v>
      </c>
      <c r="BF784" s="1" t="s">
        <v>9241</v>
      </c>
      <c r="BH784" s="1">
        <v>0.0</v>
      </c>
      <c r="BK784" s="1" t="s">
        <v>204</v>
      </c>
      <c r="BL784" s="1" t="str">
        <f>"3400"</f>
        <v>3400</v>
      </c>
      <c r="BM784" s="1" t="str">
        <f t="shared" ref="BM784:BM787" si="518">"0"</f>
        <v>0</v>
      </c>
      <c r="BN784" s="1">
        <v>4413.0</v>
      </c>
      <c r="BO784" s="1">
        <v>0.0</v>
      </c>
      <c r="BQ784" s="1">
        <v>299.0</v>
      </c>
      <c r="BR784" s="1">
        <v>299.0</v>
      </c>
      <c r="BS784" s="1">
        <v>299.0</v>
      </c>
      <c r="BU784" s="1" t="s">
        <v>213</v>
      </c>
      <c r="BV784" s="1" t="s">
        <v>206</v>
      </c>
      <c r="BW784" s="1" t="s">
        <v>207</v>
      </c>
      <c r="BY784" s="1" t="s">
        <v>495</v>
      </c>
      <c r="BZ784" s="1" t="s">
        <v>206</v>
      </c>
      <c r="CA784" s="1" t="s">
        <v>207</v>
      </c>
      <c r="CC784" s="1" t="s">
        <v>454</v>
      </c>
      <c r="CD784" s="1" t="s">
        <v>206</v>
      </c>
      <c r="CE784" s="1" t="s">
        <v>207</v>
      </c>
      <c r="CG784" s="1" t="s">
        <v>816</v>
      </c>
      <c r="CH784" s="1" t="s">
        <v>206</v>
      </c>
      <c r="CI784" s="1" t="s">
        <v>207</v>
      </c>
      <c r="CK784" s="1" t="s">
        <v>495</v>
      </c>
      <c r="CL784" s="1" t="s">
        <v>206</v>
      </c>
      <c r="CM784" s="1" t="s">
        <v>207</v>
      </c>
      <c r="CO784" s="1" t="s">
        <v>264</v>
      </c>
      <c r="CP784" s="1" t="s">
        <v>42</v>
      </c>
      <c r="CS784" s="1" t="s">
        <v>266</v>
      </c>
      <c r="CT784" s="1" t="s">
        <v>206</v>
      </c>
      <c r="CW784" s="1" t="s">
        <v>1377</v>
      </c>
      <c r="CX784" s="1" t="s">
        <v>42</v>
      </c>
      <c r="CY784" s="1" t="s">
        <v>210</v>
      </c>
      <c r="DA784" s="1" t="s">
        <v>200</v>
      </c>
      <c r="DC784" s="1" t="s">
        <v>545</v>
      </c>
      <c r="DE784" s="1" t="s">
        <v>273</v>
      </c>
      <c r="DF784" s="1" t="s">
        <v>219</v>
      </c>
      <c r="DG784" s="1" t="s">
        <v>6048</v>
      </c>
      <c r="DH784" s="1" t="s">
        <v>365</v>
      </c>
      <c r="DJ784" s="1" t="s">
        <v>1379</v>
      </c>
      <c r="DK784" s="1" t="s">
        <v>4741</v>
      </c>
      <c r="DL784" s="1" t="s">
        <v>224</v>
      </c>
      <c r="DM784" s="1" t="s">
        <v>229</v>
      </c>
      <c r="DQ784" s="1" t="s">
        <v>794</v>
      </c>
      <c r="DR784" s="1" t="s">
        <v>229</v>
      </c>
      <c r="DV784" s="1" t="s">
        <v>232</v>
      </c>
      <c r="DW784" s="1" t="s">
        <v>279</v>
      </c>
      <c r="DX784" s="1" t="s">
        <v>234</v>
      </c>
      <c r="EA784" s="1" t="s">
        <v>644</v>
      </c>
      <c r="EC784" s="1" t="s">
        <v>645</v>
      </c>
      <c r="EM784" s="1" t="s">
        <v>238</v>
      </c>
      <c r="EQ784" s="1" t="s">
        <v>238</v>
      </c>
      <c r="EU784" s="1" t="s">
        <v>238</v>
      </c>
      <c r="EY784" s="1" t="s">
        <v>238</v>
      </c>
      <c r="FC784" s="1" t="s">
        <v>238</v>
      </c>
      <c r="FF784" s="1" t="s">
        <v>239</v>
      </c>
      <c r="FG784" s="1" t="s">
        <v>192</v>
      </c>
      <c r="FH784" s="1" t="s">
        <v>192</v>
      </c>
      <c r="FJ784" s="1" t="s">
        <v>9242</v>
      </c>
      <c r="FK784" s="1" t="s">
        <v>229</v>
      </c>
      <c r="FL784" s="1" t="s">
        <v>5642</v>
      </c>
      <c r="FM784" s="1">
        <v>15391.0</v>
      </c>
      <c r="FN784" s="1" t="s">
        <v>5643</v>
      </c>
      <c r="FO784" s="1" t="s">
        <v>9243</v>
      </c>
      <c r="FP784" s="1">
        <v>151004.0</v>
      </c>
      <c r="FQ784" s="1" t="s">
        <v>9244</v>
      </c>
      <c r="FU784" s="1" t="s">
        <v>9245</v>
      </c>
      <c r="FV784" s="1" t="s">
        <v>200</v>
      </c>
      <c r="FW784" s="1" t="s">
        <v>530</v>
      </c>
      <c r="FX784" s="1" t="s">
        <v>246</v>
      </c>
      <c r="FZ784" s="1" t="s">
        <v>229</v>
      </c>
      <c r="GA784" s="1" t="s">
        <v>291</v>
      </c>
      <c r="GB784" s="2">
        <v>42069.0</v>
      </c>
    </row>
    <row r="785">
      <c r="A785" s="1">
        <v>556000.0</v>
      </c>
      <c r="B785" s="1" t="s">
        <v>185</v>
      </c>
      <c r="C785" s="1" t="str">
        <f>"08809919"</f>
        <v>08809919</v>
      </c>
      <c r="D785" s="1" t="s">
        <v>186</v>
      </c>
      <c r="F785" s="1" t="str">
        <f t="shared" si="517"/>
        <v>8016</v>
      </c>
      <c r="G785" s="2">
        <v>42009.0</v>
      </c>
      <c r="H785" s="1">
        <v>599000.0</v>
      </c>
      <c r="I785" s="1">
        <v>151.0</v>
      </c>
      <c r="J785" s="1">
        <v>599000.0</v>
      </c>
      <c r="K785" s="2">
        <v>42019.0</v>
      </c>
      <c r="L785" s="1">
        <v>11.0</v>
      </c>
      <c r="M785" s="2">
        <v>42019.0</v>
      </c>
      <c r="N785" s="1" t="s">
        <v>187</v>
      </c>
      <c r="O785" s="2">
        <v>42069.0</v>
      </c>
      <c r="P785" s="1">
        <v>177018.0</v>
      </c>
      <c r="Q785" s="1">
        <v>85883.0</v>
      </c>
      <c r="S785" s="1">
        <v>3314.0</v>
      </c>
      <c r="T785" s="1" t="s">
        <v>4099</v>
      </c>
      <c r="U785" s="1" t="s">
        <v>189</v>
      </c>
      <c r="V785" s="1" t="s">
        <v>190</v>
      </c>
      <c r="W785" s="1">
        <v>60618.0</v>
      </c>
      <c r="Y785" s="1" t="s">
        <v>9246</v>
      </c>
      <c r="Z785" s="1">
        <v>1956.0</v>
      </c>
      <c r="AA785" s="1" t="s">
        <v>192</v>
      </c>
      <c r="AB785" s="1" t="s">
        <v>193</v>
      </c>
      <c r="AD785" s="1" t="s">
        <v>194</v>
      </c>
      <c r="AE785" s="1" t="s">
        <v>195</v>
      </c>
      <c r="AF785" s="1" t="s">
        <v>2645</v>
      </c>
      <c r="AH785" s="1" t="s">
        <v>359</v>
      </c>
      <c r="AK785" s="1">
        <v>8.0</v>
      </c>
      <c r="AL785" s="1">
        <v>3.0</v>
      </c>
      <c r="AM785" s="1">
        <v>3.0</v>
      </c>
      <c r="AN785" s="1">
        <v>1.0</v>
      </c>
      <c r="AO785" s="1" t="s">
        <v>198</v>
      </c>
      <c r="AP785" s="1">
        <v>1.0</v>
      </c>
      <c r="AQ785" s="1" t="s">
        <v>198</v>
      </c>
      <c r="AR785" s="1" t="s">
        <v>192</v>
      </c>
      <c r="AS785" s="1" t="s">
        <v>199</v>
      </c>
      <c r="AT785" s="1">
        <v>2.0</v>
      </c>
      <c r="AV785" s="1" t="s">
        <v>200</v>
      </c>
      <c r="AW785" s="1">
        <v>4155.0</v>
      </c>
      <c r="AX785" s="1">
        <v>2013.0</v>
      </c>
      <c r="AY785" s="1" t="s">
        <v>229</v>
      </c>
      <c r="AZ785" s="1" t="s">
        <v>200</v>
      </c>
      <c r="BA785" s="1" t="str">
        <f>"13144280350000"</f>
        <v>13144280350000</v>
      </c>
      <c r="BB785" s="1" t="s">
        <v>200</v>
      </c>
      <c r="BC785" s="1">
        <v>2400.0</v>
      </c>
      <c r="BD785" s="1">
        <v>556000.0</v>
      </c>
      <c r="BE785" s="2">
        <v>42009.0</v>
      </c>
      <c r="BF785" s="2" t="s">
        <v>9247</v>
      </c>
      <c r="BH785" s="1">
        <v>0.0</v>
      </c>
      <c r="BJ785" s="1" t="s">
        <v>9248</v>
      </c>
      <c r="BK785" s="1" t="s">
        <v>204</v>
      </c>
      <c r="BL785" s="1" t="str">
        <f>"4300"</f>
        <v>4300</v>
      </c>
      <c r="BM785" s="1" t="str">
        <f t="shared" si="518"/>
        <v>0</v>
      </c>
      <c r="BN785" s="1">
        <v>3314.0</v>
      </c>
      <c r="BO785" s="1">
        <v>0.0</v>
      </c>
      <c r="BQ785" s="1">
        <v>299.0</v>
      </c>
      <c r="BR785" s="1">
        <v>299.0</v>
      </c>
      <c r="BS785" s="1">
        <v>299.0</v>
      </c>
      <c r="BU785" s="1" t="s">
        <v>972</v>
      </c>
      <c r="BV785" s="1" t="s">
        <v>206</v>
      </c>
      <c r="BW785" s="1" t="s">
        <v>207</v>
      </c>
      <c r="BX785" s="1" t="s">
        <v>229</v>
      </c>
      <c r="BY785" s="1" t="s">
        <v>5291</v>
      </c>
      <c r="BZ785" s="1" t="s">
        <v>209</v>
      </c>
      <c r="CA785" s="1" t="s">
        <v>210</v>
      </c>
      <c r="CB785" s="1" t="s">
        <v>229</v>
      </c>
      <c r="CC785" s="1" t="s">
        <v>1067</v>
      </c>
      <c r="CD785" s="1" t="s">
        <v>206</v>
      </c>
      <c r="CE785" s="1" t="s">
        <v>207</v>
      </c>
      <c r="CF785" s="1" t="s">
        <v>229</v>
      </c>
      <c r="CG785" s="1" t="s">
        <v>1158</v>
      </c>
      <c r="CH785" s="1" t="s">
        <v>209</v>
      </c>
      <c r="CI785" s="1" t="s">
        <v>210</v>
      </c>
      <c r="CJ785" s="1" t="s">
        <v>229</v>
      </c>
      <c r="CK785" s="1" t="s">
        <v>497</v>
      </c>
      <c r="CL785" s="1" t="s">
        <v>209</v>
      </c>
      <c r="CM785" s="1" t="s">
        <v>210</v>
      </c>
      <c r="CN785" s="1" t="s">
        <v>229</v>
      </c>
      <c r="CO785" s="1" t="s">
        <v>1064</v>
      </c>
      <c r="CP785" s="1" t="s">
        <v>42</v>
      </c>
      <c r="CQ785" s="1" t="s">
        <v>210</v>
      </c>
      <c r="CR785" s="1" t="s">
        <v>229</v>
      </c>
      <c r="CS785" s="1" t="s">
        <v>390</v>
      </c>
      <c r="CT785" s="1" t="s">
        <v>206</v>
      </c>
      <c r="CU785" s="1" t="s">
        <v>207</v>
      </c>
      <c r="CV785" s="1" t="s">
        <v>229</v>
      </c>
      <c r="CW785" s="1" t="s">
        <v>2120</v>
      </c>
      <c r="CX785" s="1" t="s">
        <v>206</v>
      </c>
      <c r="CY785" s="1" t="s">
        <v>207</v>
      </c>
      <c r="CZ785" s="1" t="s">
        <v>229</v>
      </c>
      <c r="DA785" s="1" t="s">
        <v>200</v>
      </c>
      <c r="DC785" s="1" t="s">
        <v>271</v>
      </c>
      <c r="DD785" s="1" t="s">
        <v>731</v>
      </c>
      <c r="DE785" s="1" t="s">
        <v>3750</v>
      </c>
      <c r="DF785" s="1" t="s">
        <v>619</v>
      </c>
      <c r="DG785" s="1" t="s">
        <v>9249</v>
      </c>
      <c r="DH785" s="1" t="s">
        <v>365</v>
      </c>
      <c r="DI785" s="1" t="s">
        <v>9250</v>
      </c>
      <c r="DJ785" s="1" t="s">
        <v>222</v>
      </c>
      <c r="DL785" s="1" t="s">
        <v>224</v>
      </c>
      <c r="DM785" s="1" t="s">
        <v>229</v>
      </c>
      <c r="DN785" s="1" t="s">
        <v>9251</v>
      </c>
      <c r="DP785" s="1" t="s">
        <v>276</v>
      </c>
      <c r="DQ785" s="1" t="s">
        <v>228</v>
      </c>
      <c r="DR785" s="1" t="s">
        <v>229</v>
      </c>
      <c r="DS785" s="1" t="s">
        <v>230</v>
      </c>
      <c r="DV785" s="1" t="s">
        <v>232</v>
      </c>
      <c r="DW785" s="1" t="s">
        <v>1026</v>
      </c>
      <c r="DX785" s="1" t="s">
        <v>234</v>
      </c>
      <c r="DY785" s="1" t="s">
        <v>5415</v>
      </c>
      <c r="EA785" s="1" t="s">
        <v>1027</v>
      </c>
      <c r="EB785" s="1" t="s">
        <v>684</v>
      </c>
      <c r="EC785" s="1" t="s">
        <v>237</v>
      </c>
      <c r="ED785" s="1" t="s">
        <v>555</v>
      </c>
      <c r="EM785" s="1" t="s">
        <v>238</v>
      </c>
      <c r="EQ785" s="1" t="s">
        <v>238</v>
      </c>
      <c r="EU785" s="1" t="s">
        <v>238</v>
      </c>
      <c r="EY785" s="1" t="s">
        <v>238</v>
      </c>
      <c r="FC785" s="1" t="s">
        <v>238</v>
      </c>
      <c r="FF785" s="1" t="s">
        <v>239</v>
      </c>
      <c r="FG785" s="1" t="s">
        <v>192</v>
      </c>
      <c r="FH785" s="1" t="s">
        <v>192</v>
      </c>
      <c r="FJ785" s="1" t="s">
        <v>561</v>
      </c>
      <c r="FK785" s="1" t="s">
        <v>229</v>
      </c>
      <c r="FL785" s="1" t="s">
        <v>9252</v>
      </c>
      <c r="FM785" s="1">
        <v>13935.0</v>
      </c>
      <c r="FN785" s="1" t="s">
        <v>9253</v>
      </c>
      <c r="FO785" s="1" t="s">
        <v>9254</v>
      </c>
      <c r="FP785" s="1">
        <v>877543.0</v>
      </c>
      <c r="FQ785" s="1" t="s">
        <v>9255</v>
      </c>
      <c r="FU785" s="1" t="s">
        <v>9256</v>
      </c>
      <c r="FV785" s="1" t="s">
        <v>200</v>
      </c>
      <c r="FW785" s="1" t="s">
        <v>290</v>
      </c>
      <c r="FX785" s="1" t="s">
        <v>246</v>
      </c>
      <c r="FZ785" s="1" t="s">
        <v>229</v>
      </c>
      <c r="GA785" s="1" t="s">
        <v>291</v>
      </c>
      <c r="GB785" s="2">
        <v>42069.0</v>
      </c>
    </row>
    <row r="786">
      <c r="A786" s="1">
        <v>785000.0</v>
      </c>
      <c r="B786" s="1" t="s">
        <v>185</v>
      </c>
      <c r="C786" s="1" t="str">
        <f>"08808481"</f>
        <v>08808481</v>
      </c>
      <c r="D786" s="1" t="s">
        <v>186</v>
      </c>
      <c r="F786" s="1" t="str">
        <f>"8005"</f>
        <v>8005</v>
      </c>
      <c r="G786" s="2">
        <v>42006.0</v>
      </c>
      <c r="H786" s="1">
        <v>799000.0</v>
      </c>
      <c r="I786" s="1">
        <v>4.0</v>
      </c>
      <c r="J786" s="1">
        <v>799000.0</v>
      </c>
      <c r="K786" s="2">
        <v>42009.0</v>
      </c>
      <c r="L786" s="1">
        <v>4.0</v>
      </c>
      <c r="M786" s="2">
        <v>42009.0</v>
      </c>
      <c r="N786" s="1" t="s">
        <v>187</v>
      </c>
      <c r="O786" s="2">
        <v>42087.0</v>
      </c>
      <c r="P786" s="1">
        <v>868104.0</v>
      </c>
      <c r="Q786" s="1">
        <v>85458.0</v>
      </c>
      <c r="S786" s="1">
        <v>2424.0</v>
      </c>
      <c r="T786" s="1" t="s">
        <v>7220</v>
      </c>
      <c r="U786" s="1" t="s">
        <v>320</v>
      </c>
      <c r="V786" s="1" t="s">
        <v>190</v>
      </c>
      <c r="W786" s="1">
        <v>60618.0</v>
      </c>
      <c r="Y786" s="1" t="s">
        <v>9257</v>
      </c>
      <c r="Z786" s="1">
        <v>2014.0</v>
      </c>
      <c r="AA786" s="1" t="s">
        <v>200</v>
      </c>
      <c r="AB786" s="1" t="s">
        <v>193</v>
      </c>
      <c r="AD786" s="1" t="s">
        <v>194</v>
      </c>
      <c r="AE786" s="1" t="s">
        <v>195</v>
      </c>
      <c r="AF786" s="1" t="s">
        <v>196</v>
      </c>
      <c r="AH786" s="1" t="s">
        <v>9258</v>
      </c>
      <c r="AK786" s="1">
        <v>9.0</v>
      </c>
      <c r="AL786" s="1">
        <v>4.0</v>
      </c>
      <c r="AM786" s="1">
        <v>3.0</v>
      </c>
      <c r="AN786" s="1">
        <v>1.0</v>
      </c>
      <c r="AO786" s="1" t="s">
        <v>198</v>
      </c>
      <c r="AP786" s="1">
        <v>1.0</v>
      </c>
      <c r="AQ786" s="1" t="s">
        <v>472</v>
      </c>
      <c r="AR786" s="1" t="s">
        <v>192</v>
      </c>
      <c r="AS786" s="1" t="s">
        <v>199</v>
      </c>
      <c r="AT786" s="1">
        <v>2.0</v>
      </c>
      <c r="AV786" s="1" t="s">
        <v>200</v>
      </c>
      <c r="AW786" s="1" t="s">
        <v>575</v>
      </c>
      <c r="AX786" s="1">
        <v>2013.0</v>
      </c>
      <c r="AZ786" s="1" t="s">
        <v>200</v>
      </c>
      <c r="BA786" s="1" t="str">
        <f>"13252030280000"</f>
        <v>13252030280000</v>
      </c>
      <c r="BC786" s="1">
        <v>3400.0</v>
      </c>
      <c r="BD786" s="1">
        <v>785000.0</v>
      </c>
      <c r="BE786" s="2">
        <v>42006.0</v>
      </c>
      <c r="BF786" s="2" t="s">
        <v>9259</v>
      </c>
      <c r="BG786" s="1" t="s">
        <v>6047</v>
      </c>
      <c r="BH786" s="1">
        <v>0.0</v>
      </c>
      <c r="BJ786" s="1" t="s">
        <v>203</v>
      </c>
      <c r="BK786" s="1" t="s">
        <v>204</v>
      </c>
      <c r="BL786" s="1" t="str">
        <f>"3130"</f>
        <v>3130</v>
      </c>
      <c r="BM786" s="1" t="str">
        <f t="shared" si="518"/>
        <v>0</v>
      </c>
      <c r="BN786" s="1">
        <v>2424.0</v>
      </c>
      <c r="BO786" s="1">
        <v>0.0</v>
      </c>
      <c r="BQ786" s="1">
        <v>299.0</v>
      </c>
      <c r="BR786" s="1">
        <v>299.0</v>
      </c>
      <c r="BS786" s="1">
        <v>299.0</v>
      </c>
      <c r="BU786" s="1" t="s">
        <v>1483</v>
      </c>
      <c r="BV786" s="1" t="s">
        <v>206</v>
      </c>
      <c r="BW786" s="1" t="s">
        <v>207</v>
      </c>
      <c r="BY786" s="1" t="s">
        <v>784</v>
      </c>
      <c r="BZ786" s="1" t="s">
        <v>209</v>
      </c>
      <c r="CA786" s="1" t="s">
        <v>207</v>
      </c>
      <c r="CC786" s="1" t="s">
        <v>454</v>
      </c>
      <c r="CD786" s="1" t="s">
        <v>206</v>
      </c>
      <c r="CE786" s="1" t="s">
        <v>207</v>
      </c>
      <c r="CG786" s="1" t="s">
        <v>212</v>
      </c>
      <c r="CH786" s="1" t="s">
        <v>209</v>
      </c>
      <c r="CI786" s="1" t="s">
        <v>207</v>
      </c>
      <c r="CK786" s="1" t="s">
        <v>541</v>
      </c>
      <c r="CL786" s="1" t="s">
        <v>209</v>
      </c>
      <c r="CM786" s="1" t="s">
        <v>207</v>
      </c>
      <c r="CO786" s="1" t="s">
        <v>743</v>
      </c>
      <c r="CP786" s="1" t="s">
        <v>267</v>
      </c>
      <c r="CQ786" s="1" t="s">
        <v>210</v>
      </c>
      <c r="CS786" s="1" t="s">
        <v>260</v>
      </c>
      <c r="CT786" s="1" t="s">
        <v>206</v>
      </c>
      <c r="CU786" s="1" t="s">
        <v>207</v>
      </c>
      <c r="CW786" s="1" t="s">
        <v>784</v>
      </c>
      <c r="CX786" s="1" t="s">
        <v>206</v>
      </c>
      <c r="CY786" s="1" t="s">
        <v>207</v>
      </c>
      <c r="DA786" s="1" t="s">
        <v>192</v>
      </c>
      <c r="DB786" s="2">
        <v>42006.0</v>
      </c>
      <c r="DC786" s="1" t="s">
        <v>744</v>
      </c>
      <c r="DD786" s="1" t="s">
        <v>957</v>
      </c>
      <c r="DE786" s="1" t="s">
        <v>273</v>
      </c>
      <c r="DF786" s="1" t="s">
        <v>219</v>
      </c>
      <c r="DG786" s="1" t="s">
        <v>9249</v>
      </c>
      <c r="DH786" s="1" t="s">
        <v>365</v>
      </c>
      <c r="DI786" s="1" t="s">
        <v>703</v>
      </c>
      <c r="DJ786" s="1" t="s">
        <v>3345</v>
      </c>
      <c r="DL786" s="1" t="s">
        <v>224</v>
      </c>
      <c r="DM786" s="1" t="s">
        <v>225</v>
      </c>
      <c r="DN786" s="1" t="s">
        <v>2873</v>
      </c>
      <c r="DP786" s="1" t="s">
        <v>276</v>
      </c>
      <c r="DQ786" s="1" t="s">
        <v>718</v>
      </c>
      <c r="DR786" s="1" t="s">
        <v>229</v>
      </c>
      <c r="DS786" s="1" t="s">
        <v>230</v>
      </c>
      <c r="DU786" s="1" t="s">
        <v>4671</v>
      </c>
      <c r="DV786" s="1" t="s">
        <v>9260</v>
      </c>
      <c r="DW786" s="1" t="s">
        <v>233</v>
      </c>
      <c r="DX786" s="1" t="s">
        <v>234</v>
      </c>
      <c r="DY786" s="1" t="s">
        <v>4490</v>
      </c>
      <c r="DZ786" s="1" t="s">
        <v>282</v>
      </c>
      <c r="EA786" s="1" t="s">
        <v>1027</v>
      </c>
      <c r="EB786" s="1" t="s">
        <v>684</v>
      </c>
      <c r="EC786" s="1" t="s">
        <v>237</v>
      </c>
      <c r="ED786" s="1" t="s">
        <v>555</v>
      </c>
      <c r="EG786" s="1" t="s">
        <v>450</v>
      </c>
      <c r="EH786" s="1" t="s">
        <v>408</v>
      </c>
      <c r="EI786" s="1" t="s">
        <v>2971</v>
      </c>
      <c r="EL786" s="1" t="s">
        <v>394</v>
      </c>
      <c r="EM786" s="1" t="s">
        <v>267</v>
      </c>
      <c r="EN786" s="1" t="s">
        <v>210</v>
      </c>
      <c r="EP786" s="1" t="s">
        <v>558</v>
      </c>
      <c r="EQ786" s="1" t="s">
        <v>206</v>
      </c>
      <c r="ER786" s="1" t="s">
        <v>268</v>
      </c>
      <c r="ET786" s="1" t="s">
        <v>1137</v>
      </c>
      <c r="EU786" s="1" t="s">
        <v>267</v>
      </c>
      <c r="EV786" s="1" t="s">
        <v>210</v>
      </c>
      <c r="EY786" s="1" t="s">
        <v>238</v>
      </c>
      <c r="FC786" s="1" t="s">
        <v>238</v>
      </c>
      <c r="FF786" s="1" t="s">
        <v>239</v>
      </c>
      <c r="FG786" s="1" t="s">
        <v>192</v>
      </c>
      <c r="FH786" s="1" t="s">
        <v>192</v>
      </c>
      <c r="FJ786" s="1" t="s">
        <v>733</v>
      </c>
      <c r="FK786" s="1" t="s">
        <v>229</v>
      </c>
      <c r="FL786" s="1" t="s">
        <v>974</v>
      </c>
      <c r="FM786" s="1">
        <v>1746.0</v>
      </c>
      <c r="FN786" s="1" t="s">
        <v>2523</v>
      </c>
      <c r="FO786" s="1" t="s">
        <v>9261</v>
      </c>
      <c r="FP786" s="1">
        <v>83991.0</v>
      </c>
      <c r="FQ786" s="1" t="s">
        <v>9262</v>
      </c>
      <c r="FS786" s="1" t="s">
        <v>9263</v>
      </c>
      <c r="FU786" s="1" t="s">
        <v>9264</v>
      </c>
      <c r="FV786" s="1" t="s">
        <v>200</v>
      </c>
      <c r="FW786" s="1" t="s">
        <v>530</v>
      </c>
      <c r="FX786" s="1" t="s">
        <v>246</v>
      </c>
      <c r="FZ786" s="1" t="s">
        <v>229</v>
      </c>
      <c r="GA786" s="1" t="s">
        <v>291</v>
      </c>
      <c r="GB786" s="2">
        <v>42087.0</v>
      </c>
      <c r="GC786" s="1" t="s">
        <v>9265</v>
      </c>
    </row>
    <row r="787">
      <c r="A787" s="1">
        <v>817000.0</v>
      </c>
      <c r="B787" s="1" t="s">
        <v>185</v>
      </c>
      <c r="C787" s="1" t="str">
        <f>"08808899"</f>
        <v>08808899</v>
      </c>
      <c r="D787" s="1" t="s">
        <v>186</v>
      </c>
      <c r="F787" s="1" t="str">
        <f>"8012"</f>
        <v>8012</v>
      </c>
      <c r="G787" s="2">
        <v>42007.0</v>
      </c>
      <c r="H787" s="1">
        <v>825000.0</v>
      </c>
      <c r="I787" s="1">
        <v>70.0</v>
      </c>
      <c r="J787" s="1">
        <v>825000.0</v>
      </c>
      <c r="K787" s="2">
        <v>42007.0</v>
      </c>
      <c r="L787" s="1">
        <v>1.0</v>
      </c>
      <c r="M787" s="2">
        <v>42007.0</v>
      </c>
      <c r="N787" s="1" t="s">
        <v>187</v>
      </c>
      <c r="O787" s="2">
        <v>42020.0</v>
      </c>
      <c r="P787" s="1">
        <v>100567.0</v>
      </c>
      <c r="Q787" s="1">
        <v>10900.0</v>
      </c>
      <c r="S787" s="1">
        <v>6215.0</v>
      </c>
      <c r="T787" s="1" t="s">
        <v>9266</v>
      </c>
      <c r="U787" s="1" t="s">
        <v>189</v>
      </c>
      <c r="V787" s="1" t="s">
        <v>190</v>
      </c>
      <c r="W787" s="1">
        <v>60646.0</v>
      </c>
      <c r="Y787" s="1" t="s">
        <v>9267</v>
      </c>
      <c r="Z787" s="1">
        <v>1988.0</v>
      </c>
      <c r="AA787" s="1" t="s">
        <v>200</v>
      </c>
      <c r="AB787" s="1" t="s">
        <v>193</v>
      </c>
      <c r="AC787" s="1" t="s">
        <v>5182</v>
      </c>
      <c r="AD787" s="1" t="s">
        <v>194</v>
      </c>
      <c r="AE787" s="1" t="s">
        <v>195</v>
      </c>
      <c r="AF787" s="1" t="s">
        <v>196</v>
      </c>
      <c r="AH787" s="1" t="s">
        <v>2164</v>
      </c>
      <c r="AI787" s="1">
        <v>0.1177</v>
      </c>
      <c r="AK787" s="1">
        <v>10.0</v>
      </c>
      <c r="AL787" s="1">
        <v>3.0</v>
      </c>
      <c r="AM787" s="1">
        <v>3.0</v>
      </c>
      <c r="AN787" s="1">
        <v>1.0</v>
      </c>
      <c r="AO787" s="1" t="s">
        <v>198</v>
      </c>
      <c r="AP787" s="1">
        <v>2.0</v>
      </c>
      <c r="AQ787" s="1" t="s">
        <v>198</v>
      </c>
      <c r="AR787" s="1" t="s">
        <v>192</v>
      </c>
      <c r="AS787" s="1" t="s">
        <v>199</v>
      </c>
      <c r="AT787" s="1">
        <v>2.0</v>
      </c>
      <c r="AV787" s="1" t="s">
        <v>200</v>
      </c>
      <c r="AW787" s="1">
        <v>10343.51</v>
      </c>
      <c r="AX787" s="1">
        <v>2013.0</v>
      </c>
      <c r="AY787" s="1" t="s">
        <v>387</v>
      </c>
      <c r="AZ787" s="1" t="s">
        <v>200</v>
      </c>
      <c r="BA787" s="1" t="str">
        <f>"13041090120000"</f>
        <v>13041090120000</v>
      </c>
      <c r="BB787" s="1" t="s">
        <v>200</v>
      </c>
      <c r="BC787" s="1">
        <v>2901.0</v>
      </c>
      <c r="BD787" s="1">
        <v>817000.0</v>
      </c>
      <c r="BE787" s="2">
        <v>42007.0</v>
      </c>
      <c r="BF787" s="2" t="s">
        <v>9268</v>
      </c>
      <c r="BG787" s="1" t="s">
        <v>9269</v>
      </c>
      <c r="BH787" s="1">
        <v>0.0</v>
      </c>
      <c r="BI787" s="1" t="s">
        <v>9269</v>
      </c>
      <c r="BJ787" s="1" t="s">
        <v>1222</v>
      </c>
      <c r="BK787" s="1" t="s">
        <v>204</v>
      </c>
      <c r="BL787" s="1" t="str">
        <f>"6215"</f>
        <v>6215</v>
      </c>
      <c r="BM787" s="1" t="str">
        <f t="shared" si="518"/>
        <v>0</v>
      </c>
      <c r="BN787" s="1">
        <v>5200.0</v>
      </c>
      <c r="BO787" s="1">
        <v>0.0</v>
      </c>
      <c r="BQ787" s="1">
        <v>299.0</v>
      </c>
      <c r="BR787" s="1">
        <v>299.0</v>
      </c>
      <c r="BS787" s="1">
        <v>299.0</v>
      </c>
      <c r="BU787" s="1" t="s">
        <v>2120</v>
      </c>
      <c r="BV787" s="1" t="s">
        <v>206</v>
      </c>
      <c r="BW787" s="1" t="s">
        <v>207</v>
      </c>
      <c r="BX787" s="1" t="s">
        <v>229</v>
      </c>
      <c r="BY787" s="1" t="s">
        <v>1483</v>
      </c>
      <c r="BZ787" s="1" t="s">
        <v>209</v>
      </c>
      <c r="CA787" s="1" t="s">
        <v>207</v>
      </c>
      <c r="CC787" s="1" t="s">
        <v>361</v>
      </c>
      <c r="CD787" s="1" t="s">
        <v>206</v>
      </c>
      <c r="CE787" s="1" t="s">
        <v>207</v>
      </c>
      <c r="CF787" s="1" t="s">
        <v>229</v>
      </c>
      <c r="CG787" s="1" t="s">
        <v>215</v>
      </c>
      <c r="CH787" s="1" t="s">
        <v>209</v>
      </c>
      <c r="CI787" s="1" t="s">
        <v>207</v>
      </c>
      <c r="CK787" s="1" t="s">
        <v>212</v>
      </c>
      <c r="CL787" s="1" t="s">
        <v>209</v>
      </c>
      <c r="CM787" s="1" t="s">
        <v>207</v>
      </c>
      <c r="CO787" s="1" t="s">
        <v>497</v>
      </c>
      <c r="CP787" s="1" t="s">
        <v>42</v>
      </c>
      <c r="CQ787" s="1" t="s">
        <v>210</v>
      </c>
      <c r="CS787" s="1" t="s">
        <v>5582</v>
      </c>
      <c r="CT787" s="1" t="s">
        <v>206</v>
      </c>
      <c r="CU787" s="1" t="s">
        <v>268</v>
      </c>
      <c r="CV787" s="1" t="s">
        <v>229</v>
      </c>
      <c r="CW787" s="1" t="s">
        <v>262</v>
      </c>
      <c r="CX787" s="1" t="s">
        <v>206</v>
      </c>
      <c r="CY787" s="1" t="s">
        <v>207</v>
      </c>
      <c r="CZ787" s="1" t="s">
        <v>431</v>
      </c>
      <c r="DA787" s="1" t="s">
        <v>200</v>
      </c>
      <c r="DC787" s="1" t="s">
        <v>305</v>
      </c>
      <c r="DD787" s="1" t="s">
        <v>436</v>
      </c>
      <c r="DE787" s="1" t="s">
        <v>273</v>
      </c>
      <c r="DF787" s="1" t="s">
        <v>219</v>
      </c>
      <c r="DG787" s="1" t="s">
        <v>337</v>
      </c>
      <c r="DH787" s="1" t="s">
        <v>365</v>
      </c>
      <c r="DI787" s="1" t="s">
        <v>1141</v>
      </c>
      <c r="DJ787" s="1" t="s">
        <v>222</v>
      </c>
      <c r="DL787" s="1" t="s">
        <v>1161</v>
      </c>
      <c r="DM787" s="1" t="s">
        <v>229</v>
      </c>
      <c r="DN787" s="1" t="s">
        <v>548</v>
      </c>
      <c r="DO787" s="1" t="s">
        <v>590</v>
      </c>
      <c r="DP787" s="1" t="s">
        <v>340</v>
      </c>
      <c r="DQ787" s="1" t="s">
        <v>718</v>
      </c>
      <c r="DR787" s="1" t="s">
        <v>229</v>
      </c>
      <c r="DS787" s="1" t="s">
        <v>591</v>
      </c>
      <c r="DU787" s="1" t="s">
        <v>9270</v>
      </c>
      <c r="DV787" s="1" t="s">
        <v>7291</v>
      </c>
      <c r="DW787" s="1" t="s">
        <v>279</v>
      </c>
      <c r="DX787" s="1" t="s">
        <v>234</v>
      </c>
      <c r="DY787" s="1" t="s">
        <v>9271</v>
      </c>
      <c r="DZ787" s="1" t="s">
        <v>9272</v>
      </c>
      <c r="EA787" s="1" t="s">
        <v>1027</v>
      </c>
      <c r="EB787" s="1" t="s">
        <v>9273</v>
      </c>
      <c r="EC787" s="1" t="s">
        <v>406</v>
      </c>
      <c r="ED787" s="1" t="s">
        <v>9274</v>
      </c>
      <c r="EG787" s="1" t="s">
        <v>494</v>
      </c>
      <c r="EH787" s="1" t="s">
        <v>450</v>
      </c>
      <c r="EL787" s="1" t="s">
        <v>269</v>
      </c>
      <c r="EM787" s="1" t="s">
        <v>42</v>
      </c>
      <c r="EN787" s="1" t="s">
        <v>210</v>
      </c>
      <c r="EP787" s="1" t="s">
        <v>1809</v>
      </c>
      <c r="EQ787" s="1" t="s">
        <v>42</v>
      </c>
      <c r="ER787" s="1" t="s">
        <v>268</v>
      </c>
      <c r="EU787" s="1" t="s">
        <v>238</v>
      </c>
      <c r="EY787" s="1" t="s">
        <v>238</v>
      </c>
      <c r="FC787" s="1" t="s">
        <v>238</v>
      </c>
      <c r="FF787" s="1" t="s">
        <v>239</v>
      </c>
      <c r="FG787" s="1" t="s">
        <v>192</v>
      </c>
      <c r="FH787" s="1" t="s">
        <v>192</v>
      </c>
      <c r="FJ787" s="1" t="s">
        <v>2262</v>
      </c>
      <c r="FK787" s="1" t="s">
        <v>229</v>
      </c>
      <c r="FL787" s="1" t="s">
        <v>456</v>
      </c>
      <c r="FM787" s="1">
        <v>10013.0</v>
      </c>
      <c r="FN787" s="1" t="s">
        <v>2428</v>
      </c>
      <c r="FO787" s="1" t="s">
        <v>9275</v>
      </c>
      <c r="FP787" s="1">
        <v>160794.0</v>
      </c>
      <c r="FQ787" s="1" t="s">
        <v>9276</v>
      </c>
      <c r="FU787" s="1" t="s">
        <v>9277</v>
      </c>
      <c r="FV787" s="1" t="s">
        <v>200</v>
      </c>
      <c r="FW787" s="1" t="s">
        <v>530</v>
      </c>
      <c r="FX787" s="1" t="s">
        <v>238</v>
      </c>
      <c r="FZ787" s="1" t="s">
        <v>229</v>
      </c>
      <c r="GA787" s="1" t="s">
        <v>291</v>
      </c>
      <c r="GB787" s="2">
        <v>42020.0</v>
      </c>
    </row>
    <row r="788">
      <c r="A788" s="1">
        <v>123000.0</v>
      </c>
      <c r="B788" s="1" t="s">
        <v>185</v>
      </c>
      <c r="C788" s="1" t="str">
        <f>"08814810"</f>
        <v>08814810</v>
      </c>
      <c r="D788" s="1" t="s">
        <v>186</v>
      </c>
      <c r="F788" s="1" t="str">
        <f>"146"</f>
        <v>146</v>
      </c>
      <c r="G788" s="2">
        <v>42016.0</v>
      </c>
      <c r="H788" s="1">
        <v>145000.0</v>
      </c>
      <c r="I788" s="1">
        <v>44.0</v>
      </c>
      <c r="J788" s="1">
        <v>145000.0</v>
      </c>
      <c r="K788" s="2">
        <v>42059.0</v>
      </c>
      <c r="L788" s="1">
        <v>44.0</v>
      </c>
      <c r="M788" s="2">
        <v>42059.0</v>
      </c>
      <c r="N788" s="1" t="s">
        <v>588</v>
      </c>
      <c r="O788" s="2">
        <v>42125.0</v>
      </c>
      <c r="P788" s="1">
        <v>930161.0</v>
      </c>
      <c r="Q788" s="1">
        <v>93044.0</v>
      </c>
      <c r="S788" s="1">
        <v>902.0</v>
      </c>
      <c r="T788" s="1" t="s">
        <v>9278</v>
      </c>
      <c r="U788" s="1" t="s">
        <v>569</v>
      </c>
      <c r="V788" s="1" t="s">
        <v>7526</v>
      </c>
      <c r="W788" s="1">
        <v>60146.0</v>
      </c>
      <c r="Y788" s="1" t="s">
        <v>9279</v>
      </c>
      <c r="Z788" s="1" t="s">
        <v>296</v>
      </c>
      <c r="AA788" s="1" t="s">
        <v>200</v>
      </c>
      <c r="AB788" s="1" t="s">
        <v>193</v>
      </c>
      <c r="AD788" s="1" t="s">
        <v>7528</v>
      </c>
      <c r="AE788" s="1" t="s">
        <v>613</v>
      </c>
      <c r="AF788" s="1" t="s">
        <v>5046</v>
      </c>
      <c r="AG788" s="1" t="s">
        <v>752</v>
      </c>
      <c r="AH788" s="1" t="s">
        <v>9280</v>
      </c>
      <c r="AI788" s="1">
        <v>0.0</v>
      </c>
      <c r="AK788" s="1">
        <v>7.0</v>
      </c>
      <c r="AL788" s="1">
        <v>4.0</v>
      </c>
      <c r="AM788" s="1">
        <v>2.0</v>
      </c>
      <c r="AN788" s="1">
        <v>1.0</v>
      </c>
      <c r="AO788" s="1" t="s">
        <v>198</v>
      </c>
      <c r="AQ788" s="1" t="s">
        <v>198</v>
      </c>
      <c r="AR788" s="1" t="s">
        <v>200</v>
      </c>
      <c r="AS788" s="1" t="s">
        <v>199</v>
      </c>
      <c r="AT788" s="1">
        <v>2.0</v>
      </c>
      <c r="AV788" s="1" t="s">
        <v>200</v>
      </c>
      <c r="AW788" s="1">
        <v>3086.0</v>
      </c>
      <c r="AX788" s="1">
        <v>2013.0</v>
      </c>
      <c r="AY788" s="1" t="s">
        <v>588</v>
      </c>
      <c r="AZ788" s="1" t="s">
        <v>200</v>
      </c>
      <c r="BA788" s="1" t="str">
        <f>"0123424011"</f>
        <v>0123424011</v>
      </c>
      <c r="BB788" s="1" t="s">
        <v>200</v>
      </c>
      <c r="BC788" s="1">
        <v>0.0</v>
      </c>
      <c r="BD788" s="1">
        <v>123000.0</v>
      </c>
      <c r="BE788" s="2">
        <v>42016.0</v>
      </c>
      <c r="BF788" s="2" t="s">
        <v>9281</v>
      </c>
      <c r="BH788" s="1">
        <v>0.0</v>
      </c>
      <c r="BK788" s="1" t="s">
        <v>204</v>
      </c>
      <c r="BL788" s="1" t="str">
        <f t="shared" ref="BL788:BM788" si="519">"0"</f>
        <v>0</v>
      </c>
      <c r="BM788" s="1" t="str">
        <f t="shared" si="519"/>
        <v>0</v>
      </c>
      <c r="BN788" s="1">
        <v>0.0</v>
      </c>
      <c r="BO788" s="1">
        <v>0.0</v>
      </c>
      <c r="BQ788" s="1">
        <v>426.0</v>
      </c>
      <c r="BR788" s="1">
        <v>426.0</v>
      </c>
      <c r="BS788" s="1">
        <v>426.0</v>
      </c>
      <c r="BU788" s="1" t="s">
        <v>480</v>
      </c>
      <c r="BV788" s="1" t="s">
        <v>206</v>
      </c>
      <c r="BW788" s="1" t="s">
        <v>207</v>
      </c>
      <c r="BY788" s="1" t="s">
        <v>433</v>
      </c>
      <c r="BZ788" s="1" t="s">
        <v>209</v>
      </c>
      <c r="CA788" s="1" t="s">
        <v>210</v>
      </c>
      <c r="CC788" s="1" t="s">
        <v>743</v>
      </c>
      <c r="CD788" s="1" t="s">
        <v>206</v>
      </c>
      <c r="CE788" s="1" t="s">
        <v>207</v>
      </c>
      <c r="CG788" s="1" t="s">
        <v>269</v>
      </c>
      <c r="CH788" s="1" t="s">
        <v>209</v>
      </c>
      <c r="CI788" s="1" t="s">
        <v>210</v>
      </c>
      <c r="CK788" s="1" t="s">
        <v>495</v>
      </c>
      <c r="CL788" s="1" t="s">
        <v>209</v>
      </c>
      <c r="CM788" s="1" t="s">
        <v>210</v>
      </c>
      <c r="CO788" s="1" t="s">
        <v>212</v>
      </c>
      <c r="CP788" s="1" t="s">
        <v>209</v>
      </c>
      <c r="CQ788" s="1" t="s">
        <v>210</v>
      </c>
      <c r="CS788" s="1" t="s">
        <v>393</v>
      </c>
      <c r="CT788" s="1" t="s">
        <v>206</v>
      </c>
      <c r="CU788" s="1" t="s">
        <v>207</v>
      </c>
      <c r="CX788" s="1" t="s">
        <v>204</v>
      </c>
      <c r="DA788" s="1" t="s">
        <v>200</v>
      </c>
      <c r="DC788" s="1" t="s">
        <v>545</v>
      </c>
      <c r="DD788" s="1" t="s">
        <v>9282</v>
      </c>
      <c r="DE788" s="1" t="s">
        <v>273</v>
      </c>
      <c r="DF788" s="1" t="s">
        <v>219</v>
      </c>
      <c r="DG788" s="1" t="s">
        <v>7166</v>
      </c>
      <c r="DH788" s="1" t="s">
        <v>220</v>
      </c>
      <c r="DI788" s="1" t="s">
        <v>308</v>
      </c>
      <c r="DJ788" s="1" t="s">
        <v>222</v>
      </c>
      <c r="DL788" s="1" t="s">
        <v>223</v>
      </c>
      <c r="DM788" s="1" t="s">
        <v>338</v>
      </c>
      <c r="DO788" s="1" t="s">
        <v>549</v>
      </c>
      <c r="DQ788" s="1" t="s">
        <v>228</v>
      </c>
      <c r="DR788" s="1" t="s">
        <v>229</v>
      </c>
      <c r="DS788" s="1" t="s">
        <v>230</v>
      </c>
      <c r="DU788" s="1" t="s">
        <v>487</v>
      </c>
      <c r="DV788" s="1" t="s">
        <v>232</v>
      </c>
      <c r="DW788" s="1" t="s">
        <v>233</v>
      </c>
      <c r="DX788" s="1" t="s">
        <v>234</v>
      </c>
      <c r="DY788" s="1" t="s">
        <v>704</v>
      </c>
      <c r="DZ788" s="1" t="s">
        <v>9283</v>
      </c>
      <c r="EA788" s="1" t="s">
        <v>588</v>
      </c>
      <c r="EC788" s="1" t="s">
        <v>237</v>
      </c>
      <c r="ED788" s="1" t="s">
        <v>407</v>
      </c>
      <c r="EM788" s="1" t="s">
        <v>238</v>
      </c>
      <c r="EQ788" s="1" t="s">
        <v>238</v>
      </c>
      <c r="EU788" s="1" t="s">
        <v>238</v>
      </c>
      <c r="EY788" s="1" t="s">
        <v>238</v>
      </c>
      <c r="FC788" s="1" t="s">
        <v>238</v>
      </c>
      <c r="FF788" s="1" t="s">
        <v>239</v>
      </c>
      <c r="FG788" s="1" t="s">
        <v>192</v>
      </c>
      <c r="FH788" s="1" t="s">
        <v>192</v>
      </c>
      <c r="FJ788" s="1" t="s">
        <v>9284</v>
      </c>
      <c r="FK788" s="1" t="s">
        <v>229</v>
      </c>
      <c r="FL788" s="1" t="s">
        <v>819</v>
      </c>
      <c r="FM788" s="1">
        <v>5082.0</v>
      </c>
      <c r="FN788" s="1" t="s">
        <v>9285</v>
      </c>
      <c r="FO788" s="1" t="s">
        <v>9286</v>
      </c>
      <c r="FP788" s="1">
        <v>53276.0</v>
      </c>
      <c r="FQ788" s="1" t="s">
        <v>9287</v>
      </c>
      <c r="FR788" s="1">
        <v>53756.0</v>
      </c>
      <c r="FU788" s="1" t="s">
        <v>9288</v>
      </c>
      <c r="FV788" s="1" t="s">
        <v>192</v>
      </c>
      <c r="FW788" s="1" t="s">
        <v>290</v>
      </c>
      <c r="FZ788" s="1" t="s">
        <v>229</v>
      </c>
      <c r="GA788" s="1" t="s">
        <v>291</v>
      </c>
      <c r="GB788" s="2">
        <v>42125.0</v>
      </c>
      <c r="GC788" s="1" t="s">
        <v>9289</v>
      </c>
    </row>
    <row r="789">
      <c r="A789" s="1">
        <v>230000.0</v>
      </c>
      <c r="B789" s="1" t="s">
        <v>185</v>
      </c>
      <c r="C789" s="1" t="str">
        <f>"08809624"</f>
        <v>08809624</v>
      </c>
      <c r="D789" s="1" t="s">
        <v>186</v>
      </c>
      <c r="F789" s="1" t="str">
        <f>"115"</f>
        <v>115</v>
      </c>
      <c r="G789" s="2">
        <v>42009.0</v>
      </c>
      <c r="H789" s="1">
        <v>234900.0</v>
      </c>
      <c r="I789" s="1">
        <v>8.0</v>
      </c>
      <c r="J789" s="1">
        <v>234900.0</v>
      </c>
      <c r="K789" s="2">
        <v>42016.0</v>
      </c>
      <c r="L789" s="1">
        <v>8.0</v>
      </c>
      <c r="M789" s="2">
        <v>42016.0</v>
      </c>
      <c r="N789" s="1" t="s">
        <v>187</v>
      </c>
      <c r="O789" s="2">
        <v>42062.0</v>
      </c>
      <c r="P789" s="1">
        <v>930101.0</v>
      </c>
      <c r="Q789" s="1">
        <v>93043.0</v>
      </c>
      <c r="S789" s="1">
        <v>135.0</v>
      </c>
      <c r="T789" s="1" t="s">
        <v>9290</v>
      </c>
      <c r="U789" s="1" t="s">
        <v>569</v>
      </c>
      <c r="V789" s="1" t="s">
        <v>610</v>
      </c>
      <c r="W789" s="1">
        <v>60115.0</v>
      </c>
      <c r="Y789" s="1" t="s">
        <v>9291</v>
      </c>
      <c r="Z789" s="1">
        <v>1989.0</v>
      </c>
      <c r="AA789" s="1" t="s">
        <v>200</v>
      </c>
      <c r="AB789" s="1" t="s">
        <v>193</v>
      </c>
      <c r="AD789" s="1" t="s">
        <v>612</v>
      </c>
      <c r="AE789" s="1" t="s">
        <v>613</v>
      </c>
      <c r="AF789" s="1" t="s">
        <v>612</v>
      </c>
      <c r="AH789" s="1" t="s">
        <v>9292</v>
      </c>
      <c r="AI789" s="1">
        <v>0.4106</v>
      </c>
      <c r="AK789" s="1">
        <v>8.0</v>
      </c>
      <c r="AL789" s="1">
        <v>4.0</v>
      </c>
      <c r="AM789" s="1">
        <v>3.0</v>
      </c>
      <c r="AN789" s="1">
        <v>0.0</v>
      </c>
      <c r="AO789" s="1" t="s">
        <v>198</v>
      </c>
      <c r="AP789" s="1">
        <v>1.0</v>
      </c>
      <c r="AQ789" s="1" t="s">
        <v>198</v>
      </c>
      <c r="AR789" s="1" t="s">
        <v>200</v>
      </c>
      <c r="AS789" s="1" t="s">
        <v>199</v>
      </c>
      <c r="AT789" s="1">
        <v>2.0</v>
      </c>
      <c r="AV789" s="1" t="s">
        <v>200</v>
      </c>
      <c r="AW789" s="1">
        <v>5960.0</v>
      </c>
      <c r="AX789" s="1">
        <v>2013.0</v>
      </c>
      <c r="AY789" s="1" t="s">
        <v>387</v>
      </c>
      <c r="AZ789" s="1" t="s">
        <v>200</v>
      </c>
      <c r="BA789" s="1" t="str">
        <f>"0811454015"</f>
        <v>0811454015</v>
      </c>
      <c r="BC789" s="1">
        <v>2980.0</v>
      </c>
      <c r="BD789" s="1">
        <v>230000.0</v>
      </c>
      <c r="BE789" s="2">
        <v>42009.0</v>
      </c>
      <c r="BF789" s="2" t="s">
        <v>9293</v>
      </c>
      <c r="BH789" s="1">
        <v>0.0</v>
      </c>
      <c r="BK789" s="1" t="s">
        <v>204</v>
      </c>
      <c r="BL789" s="1" t="str">
        <f t="shared" ref="BL789:BM789" si="520">"0"</f>
        <v>0</v>
      </c>
      <c r="BM789" s="1" t="str">
        <f t="shared" si="520"/>
        <v>0</v>
      </c>
      <c r="BN789" s="1">
        <v>0.0</v>
      </c>
      <c r="BO789" s="1">
        <v>0.0</v>
      </c>
      <c r="BQ789" s="1">
        <v>428.0</v>
      </c>
      <c r="BR789" s="1">
        <v>428.0</v>
      </c>
      <c r="BS789" s="1">
        <v>428.0</v>
      </c>
      <c r="BU789" s="1" t="s">
        <v>1244</v>
      </c>
      <c r="BV789" s="1" t="s">
        <v>206</v>
      </c>
      <c r="BW789" s="1" t="s">
        <v>207</v>
      </c>
      <c r="BY789" s="1" t="s">
        <v>6591</v>
      </c>
      <c r="BZ789" s="1" t="s">
        <v>209</v>
      </c>
      <c r="CA789" s="1" t="s">
        <v>210</v>
      </c>
      <c r="CC789" s="1" t="s">
        <v>332</v>
      </c>
      <c r="CD789" s="1" t="s">
        <v>206</v>
      </c>
      <c r="CE789" s="1" t="s">
        <v>207</v>
      </c>
      <c r="CG789" s="1" t="s">
        <v>393</v>
      </c>
      <c r="CH789" s="1" t="s">
        <v>209</v>
      </c>
      <c r="CI789" s="1" t="s">
        <v>210</v>
      </c>
      <c r="CK789" s="1" t="s">
        <v>332</v>
      </c>
      <c r="CL789" s="1" t="s">
        <v>209</v>
      </c>
      <c r="CM789" s="1" t="s">
        <v>210</v>
      </c>
      <c r="CO789" s="1" t="s">
        <v>214</v>
      </c>
      <c r="CP789" s="1" t="s">
        <v>1697</v>
      </c>
      <c r="CQ789" s="1" t="s">
        <v>210</v>
      </c>
      <c r="CS789" s="1" t="s">
        <v>208</v>
      </c>
      <c r="CT789" s="1" t="s">
        <v>206</v>
      </c>
      <c r="CU789" s="1" t="s">
        <v>207</v>
      </c>
      <c r="CW789" s="1" t="s">
        <v>541</v>
      </c>
      <c r="CX789" s="1" t="s">
        <v>1697</v>
      </c>
      <c r="CY789" s="1" t="s">
        <v>210</v>
      </c>
      <c r="DA789" s="1" t="s">
        <v>200</v>
      </c>
      <c r="DC789" s="1" t="s">
        <v>305</v>
      </c>
      <c r="DD789" s="1" t="s">
        <v>436</v>
      </c>
      <c r="DE789" s="1" t="s">
        <v>273</v>
      </c>
      <c r="DF789" s="1" t="s">
        <v>219</v>
      </c>
      <c r="DH789" s="1" t="s">
        <v>220</v>
      </c>
      <c r="DI789" s="1" t="s">
        <v>959</v>
      </c>
      <c r="DJ789" s="1" t="s">
        <v>222</v>
      </c>
      <c r="DL789" s="1" t="s">
        <v>224</v>
      </c>
      <c r="DM789" s="1" t="s">
        <v>229</v>
      </c>
      <c r="DN789" s="1" t="s">
        <v>666</v>
      </c>
      <c r="DO789" s="1" t="s">
        <v>590</v>
      </c>
      <c r="DP789" s="1" t="s">
        <v>340</v>
      </c>
      <c r="DQ789" s="1" t="s">
        <v>228</v>
      </c>
      <c r="DR789" s="1" t="s">
        <v>229</v>
      </c>
      <c r="DS789" s="1" t="s">
        <v>230</v>
      </c>
      <c r="DU789" s="1" t="s">
        <v>9294</v>
      </c>
      <c r="DV789" s="1" t="s">
        <v>232</v>
      </c>
      <c r="DW789" s="1" t="s">
        <v>964</v>
      </c>
      <c r="DX789" s="1" t="s">
        <v>234</v>
      </c>
      <c r="DY789" s="1" t="s">
        <v>7470</v>
      </c>
      <c r="DZ789" s="1" t="s">
        <v>766</v>
      </c>
      <c r="EA789" s="1" t="s">
        <v>1027</v>
      </c>
      <c r="EB789" s="1" t="s">
        <v>937</v>
      </c>
      <c r="EC789" s="1" t="s">
        <v>645</v>
      </c>
      <c r="ED789" s="1" t="s">
        <v>407</v>
      </c>
      <c r="EM789" s="1" t="s">
        <v>238</v>
      </c>
      <c r="EQ789" s="1" t="s">
        <v>238</v>
      </c>
      <c r="EU789" s="1" t="s">
        <v>238</v>
      </c>
      <c r="EY789" s="1" t="s">
        <v>238</v>
      </c>
      <c r="FC789" s="1" t="s">
        <v>238</v>
      </c>
      <c r="FF789" s="1" t="s">
        <v>239</v>
      </c>
      <c r="FG789" s="1" t="s">
        <v>192</v>
      </c>
      <c r="FH789" s="1" t="s">
        <v>192</v>
      </c>
      <c r="FJ789" s="1" t="s">
        <v>3613</v>
      </c>
      <c r="FK789" s="1" t="s">
        <v>348</v>
      </c>
      <c r="FL789" s="1" t="s">
        <v>2926</v>
      </c>
      <c r="FM789" s="1">
        <v>24809.0</v>
      </c>
      <c r="FN789" s="1" t="s">
        <v>2927</v>
      </c>
      <c r="FO789" s="1" t="s">
        <v>9295</v>
      </c>
      <c r="FP789" s="1">
        <v>237413.0</v>
      </c>
      <c r="FQ789" s="1" t="s">
        <v>9296</v>
      </c>
      <c r="FU789" s="1" t="s">
        <v>9297</v>
      </c>
      <c r="FV789" s="1" t="s">
        <v>200</v>
      </c>
      <c r="FW789" s="1" t="s">
        <v>290</v>
      </c>
      <c r="FZ789" s="1" t="s">
        <v>229</v>
      </c>
      <c r="GA789" s="1" t="s">
        <v>291</v>
      </c>
      <c r="GB789" s="2">
        <v>42062.0</v>
      </c>
      <c r="GC789" s="1" t="s">
        <v>9298</v>
      </c>
    </row>
    <row r="790">
      <c r="A790" s="1">
        <v>255000.0</v>
      </c>
      <c r="B790" s="1" t="s">
        <v>185</v>
      </c>
      <c r="C790" s="1" t="str">
        <f>"08808823"</f>
        <v>08808823</v>
      </c>
      <c r="D790" s="1" t="s">
        <v>186</v>
      </c>
      <c r="F790" s="1" t="str">
        <f>"119"</f>
        <v>119</v>
      </c>
      <c r="G790" s="2">
        <v>42007.0</v>
      </c>
      <c r="H790" s="1">
        <v>265000.0</v>
      </c>
      <c r="I790" s="1">
        <v>240.0</v>
      </c>
      <c r="J790" s="1">
        <v>265000.0</v>
      </c>
      <c r="K790" s="2">
        <v>42012.0</v>
      </c>
      <c r="L790" s="1">
        <v>7.0</v>
      </c>
      <c r="M790" s="2">
        <v>42012.0</v>
      </c>
      <c r="N790" s="1" t="s">
        <v>187</v>
      </c>
      <c r="O790" s="2">
        <v>42069.0</v>
      </c>
      <c r="P790" s="1">
        <v>315844.0</v>
      </c>
      <c r="Q790" s="1">
        <v>31580.0</v>
      </c>
      <c r="S790" s="1">
        <v>722.0</v>
      </c>
      <c r="T790" s="1" t="s">
        <v>9299</v>
      </c>
      <c r="U790" s="1" t="s">
        <v>569</v>
      </c>
      <c r="V790" s="1" t="s">
        <v>1476</v>
      </c>
      <c r="W790" s="1">
        <v>60119.0</v>
      </c>
      <c r="Y790" s="1" t="s">
        <v>9300</v>
      </c>
      <c r="Z790" s="1">
        <v>2002.0</v>
      </c>
      <c r="AA790" s="1" t="s">
        <v>200</v>
      </c>
      <c r="AB790" s="1" t="s">
        <v>193</v>
      </c>
      <c r="AC790" s="1" t="s">
        <v>9301</v>
      </c>
      <c r="AD790" s="1" t="s">
        <v>1478</v>
      </c>
      <c r="AE790" s="1" t="s">
        <v>325</v>
      </c>
      <c r="AF790" s="1" t="s">
        <v>1632</v>
      </c>
      <c r="AH790" s="1" t="s">
        <v>5193</v>
      </c>
      <c r="AI790" s="1">
        <v>0.2296</v>
      </c>
      <c r="AK790" s="1">
        <v>9.0</v>
      </c>
      <c r="AL790" s="1">
        <v>4.0</v>
      </c>
      <c r="AM790" s="1">
        <v>2.0</v>
      </c>
      <c r="AN790" s="1">
        <v>2.0</v>
      </c>
      <c r="AO790" s="1" t="s">
        <v>198</v>
      </c>
      <c r="AP790" s="1">
        <v>0.0</v>
      </c>
      <c r="AQ790" s="1" t="s">
        <v>198</v>
      </c>
      <c r="AR790" s="1" t="s">
        <v>192</v>
      </c>
      <c r="AS790" s="1" t="s">
        <v>199</v>
      </c>
      <c r="AT790" s="1">
        <v>2.0</v>
      </c>
      <c r="AV790" s="1" t="s">
        <v>200</v>
      </c>
      <c r="AW790" s="1">
        <v>8171.98</v>
      </c>
      <c r="AX790" s="1">
        <v>2013.0</v>
      </c>
      <c r="AY790" s="1" t="s">
        <v>387</v>
      </c>
      <c r="AZ790" s="1" t="s">
        <v>200</v>
      </c>
      <c r="BA790" s="1" t="str">
        <f>"0832403048"</f>
        <v>0832403048</v>
      </c>
      <c r="BC790" s="1">
        <v>2055.0</v>
      </c>
      <c r="BD790" s="1">
        <v>255000.0</v>
      </c>
      <c r="BE790" s="2">
        <v>42006.0</v>
      </c>
      <c r="BF790" s="2" t="s">
        <v>9302</v>
      </c>
      <c r="BH790" s="1">
        <v>0.0</v>
      </c>
      <c r="BK790" s="1" t="s">
        <v>204</v>
      </c>
      <c r="BL790" s="1" t="str">
        <f t="shared" ref="BL790:BM790" si="521">""</f>
        <v/>
      </c>
      <c r="BM790" s="1" t="str">
        <f t="shared" si="521"/>
        <v/>
      </c>
      <c r="BQ790" s="1">
        <v>302.0</v>
      </c>
      <c r="BR790" s="1">
        <v>302.0</v>
      </c>
      <c r="BS790" s="1">
        <v>302.0</v>
      </c>
      <c r="BV790" s="1" t="s">
        <v>204</v>
      </c>
      <c r="BY790" s="1" t="s">
        <v>390</v>
      </c>
      <c r="BZ790" s="1" t="s">
        <v>209</v>
      </c>
      <c r="CA790" s="1" t="s">
        <v>210</v>
      </c>
      <c r="CB790" s="1" t="s">
        <v>229</v>
      </c>
      <c r="CC790" s="1" t="s">
        <v>262</v>
      </c>
      <c r="CD790" s="1" t="s">
        <v>206</v>
      </c>
      <c r="CE790" s="1" t="s">
        <v>207</v>
      </c>
      <c r="CF790" s="1" t="s">
        <v>229</v>
      </c>
      <c r="CG790" s="1" t="s">
        <v>264</v>
      </c>
      <c r="CH790" s="1" t="s">
        <v>209</v>
      </c>
      <c r="CI790" s="1" t="s">
        <v>210</v>
      </c>
      <c r="CJ790" s="1" t="s">
        <v>431</v>
      </c>
      <c r="CK790" s="1" t="s">
        <v>332</v>
      </c>
      <c r="CL790" s="1" t="s">
        <v>209</v>
      </c>
      <c r="CM790" s="1" t="s">
        <v>210</v>
      </c>
      <c r="CN790" s="1" t="s">
        <v>1118</v>
      </c>
      <c r="CO790" s="1" t="s">
        <v>264</v>
      </c>
      <c r="CP790" s="1" t="s">
        <v>209</v>
      </c>
      <c r="CQ790" s="1" t="s">
        <v>210</v>
      </c>
      <c r="CR790" s="1" t="s">
        <v>229</v>
      </c>
      <c r="CS790" s="1" t="s">
        <v>453</v>
      </c>
      <c r="CT790" s="1" t="s">
        <v>206</v>
      </c>
      <c r="CU790" s="1" t="s">
        <v>268</v>
      </c>
      <c r="CV790" s="1" t="s">
        <v>229</v>
      </c>
      <c r="CW790" s="1" t="s">
        <v>329</v>
      </c>
      <c r="CX790" s="1" t="s">
        <v>206</v>
      </c>
      <c r="CY790" s="1" t="s">
        <v>210</v>
      </c>
      <c r="CZ790" s="1" t="s">
        <v>229</v>
      </c>
      <c r="DA790" s="1" t="s">
        <v>200</v>
      </c>
      <c r="DC790" s="1" t="s">
        <v>335</v>
      </c>
      <c r="DD790" s="1" t="s">
        <v>926</v>
      </c>
      <c r="DE790" s="1" t="s">
        <v>273</v>
      </c>
      <c r="DF790" s="1" t="s">
        <v>219</v>
      </c>
      <c r="DG790" s="1" t="s">
        <v>337</v>
      </c>
      <c r="DH790" s="1" t="s">
        <v>220</v>
      </c>
      <c r="DI790" s="1" t="s">
        <v>1003</v>
      </c>
      <c r="DJ790" s="1" t="s">
        <v>222</v>
      </c>
      <c r="DL790" s="1" t="s">
        <v>858</v>
      </c>
      <c r="DM790" s="1" t="s">
        <v>929</v>
      </c>
      <c r="DN790" s="1" t="s">
        <v>399</v>
      </c>
      <c r="DO790" s="1" t="s">
        <v>717</v>
      </c>
      <c r="DP790" s="1" t="s">
        <v>340</v>
      </c>
      <c r="DQ790" s="1" t="s">
        <v>228</v>
      </c>
      <c r="DR790" s="1" t="s">
        <v>229</v>
      </c>
      <c r="DU790" s="1" t="s">
        <v>9303</v>
      </c>
      <c r="DV790" s="1" t="s">
        <v>9304</v>
      </c>
      <c r="DW790" s="1" t="s">
        <v>233</v>
      </c>
      <c r="DX790" s="1" t="s">
        <v>234</v>
      </c>
      <c r="DY790" s="1" t="s">
        <v>9305</v>
      </c>
      <c r="DZ790" s="1" t="s">
        <v>7055</v>
      </c>
      <c r="EA790" s="1" t="s">
        <v>344</v>
      </c>
      <c r="EC790" s="1" t="s">
        <v>237</v>
      </c>
      <c r="ED790" s="1" t="s">
        <v>407</v>
      </c>
      <c r="EG790" s="1" t="s">
        <v>598</v>
      </c>
      <c r="EH790" s="1" t="s">
        <v>1824</v>
      </c>
      <c r="EL790" s="1" t="s">
        <v>264</v>
      </c>
      <c r="EM790" s="1" t="s">
        <v>206</v>
      </c>
      <c r="EN790" s="1" t="s">
        <v>207</v>
      </c>
      <c r="EP790" s="1" t="s">
        <v>212</v>
      </c>
      <c r="EQ790" s="1" t="s">
        <v>267</v>
      </c>
      <c r="ER790" s="1" t="s">
        <v>588</v>
      </c>
      <c r="EU790" s="1" t="s">
        <v>238</v>
      </c>
      <c r="EY790" s="1" t="s">
        <v>238</v>
      </c>
      <c r="FC790" s="1" t="s">
        <v>238</v>
      </c>
      <c r="FF790" s="1" t="s">
        <v>239</v>
      </c>
      <c r="FG790" s="1" t="s">
        <v>192</v>
      </c>
      <c r="FH790" s="1" t="s">
        <v>192</v>
      </c>
      <c r="FJ790" s="1" t="s">
        <v>9306</v>
      </c>
      <c r="FK790" s="1" t="s">
        <v>229</v>
      </c>
      <c r="FL790" s="1" t="s">
        <v>456</v>
      </c>
      <c r="FM790" s="1">
        <v>49.0</v>
      </c>
      <c r="FN790" s="1" t="s">
        <v>457</v>
      </c>
      <c r="FO790" s="1" t="s">
        <v>9307</v>
      </c>
      <c r="FP790" s="1">
        <v>8384.0</v>
      </c>
      <c r="FS790" s="1" t="s">
        <v>9308</v>
      </c>
      <c r="FU790" s="1" t="s">
        <v>9309</v>
      </c>
      <c r="FV790" s="1" t="s">
        <v>200</v>
      </c>
      <c r="FW790" s="1" t="s">
        <v>290</v>
      </c>
      <c r="FZ790" s="1" t="s">
        <v>229</v>
      </c>
      <c r="GA790" s="1" t="s">
        <v>291</v>
      </c>
      <c r="GB790" s="2">
        <v>42069.0</v>
      </c>
      <c r="GC790" s="1" t="s">
        <v>9310</v>
      </c>
    </row>
    <row r="791">
      <c r="A791" s="1">
        <v>82299.0</v>
      </c>
      <c r="B791" s="1" t="s">
        <v>185</v>
      </c>
      <c r="C791" s="1" t="str">
        <f>"08810629"</f>
        <v>08810629</v>
      </c>
      <c r="D791" s="1" t="s">
        <v>186</v>
      </c>
      <c r="F791" s="1" t="str">
        <f>"8070"</f>
        <v>8070</v>
      </c>
      <c r="G791" s="2">
        <v>42010.0</v>
      </c>
      <c r="H791" s="1">
        <v>96000.0</v>
      </c>
      <c r="I791" s="1">
        <v>140.0</v>
      </c>
      <c r="J791" s="1">
        <v>91500.0</v>
      </c>
      <c r="K791" s="2">
        <v>42054.0</v>
      </c>
      <c r="L791" s="1">
        <v>45.0</v>
      </c>
      <c r="M791" s="2">
        <v>42054.0</v>
      </c>
      <c r="N791" s="1" t="s">
        <v>249</v>
      </c>
      <c r="O791" s="2">
        <v>42117.0</v>
      </c>
      <c r="P791" s="1">
        <v>130313.0</v>
      </c>
      <c r="Q791" s="1">
        <v>10841.0</v>
      </c>
      <c r="S791" s="1">
        <v>7915.0</v>
      </c>
      <c r="T791" s="1" t="s">
        <v>9311</v>
      </c>
      <c r="U791" s="1" t="s">
        <v>189</v>
      </c>
      <c r="V791" s="1" t="s">
        <v>190</v>
      </c>
      <c r="W791" s="1">
        <v>60652.0</v>
      </c>
      <c r="Y791" s="1" t="s">
        <v>9312</v>
      </c>
      <c r="Z791" s="1">
        <v>1945.0</v>
      </c>
      <c r="AA791" s="1" t="s">
        <v>192</v>
      </c>
      <c r="AB791" s="1" t="s">
        <v>193</v>
      </c>
      <c r="AD791" s="1" t="s">
        <v>194</v>
      </c>
      <c r="AE791" s="1" t="s">
        <v>195</v>
      </c>
      <c r="AF791" s="1" t="s">
        <v>659</v>
      </c>
      <c r="AH791" s="1">
        <v>3780.0</v>
      </c>
      <c r="AI791" s="1">
        <v>0.0868</v>
      </c>
      <c r="AK791" s="1">
        <v>7.0</v>
      </c>
      <c r="AL791" s="1">
        <v>4.0</v>
      </c>
      <c r="AM791" s="1">
        <v>1.0</v>
      </c>
      <c r="AN791" s="1">
        <v>0.0</v>
      </c>
      <c r="AO791" s="1" t="s">
        <v>229</v>
      </c>
      <c r="AQ791" s="1" t="s">
        <v>198</v>
      </c>
      <c r="AR791" s="1" t="s">
        <v>200</v>
      </c>
      <c r="AS791" s="1" t="s">
        <v>199</v>
      </c>
      <c r="AT791" s="1">
        <v>2.0</v>
      </c>
      <c r="AV791" s="1" t="s">
        <v>200</v>
      </c>
      <c r="AW791" s="1">
        <v>1681.93</v>
      </c>
      <c r="AX791" s="1">
        <v>2012.0</v>
      </c>
      <c r="AZ791" s="1" t="s">
        <v>545</v>
      </c>
      <c r="BA791" s="1" t="str">
        <f>"19362060110000"</f>
        <v>19362060110000</v>
      </c>
      <c r="BC791" s="1">
        <v>847.0</v>
      </c>
      <c r="BD791" s="1">
        <v>82299.0</v>
      </c>
      <c r="BE791" s="2">
        <v>42010.0</v>
      </c>
      <c r="BF791" s="2" t="s">
        <v>3507</v>
      </c>
      <c r="BH791" s="1">
        <v>0.0</v>
      </c>
      <c r="BK791" s="1" t="s">
        <v>204</v>
      </c>
      <c r="BL791" s="1" t="str">
        <f t="shared" ref="BL791:BM791" si="522">"0"</f>
        <v>0</v>
      </c>
      <c r="BM791" s="1" t="str">
        <f t="shared" si="522"/>
        <v>0</v>
      </c>
      <c r="BN791" s="1">
        <v>2500.0</v>
      </c>
      <c r="BO791" s="1">
        <v>7915.0</v>
      </c>
      <c r="BQ791" s="1">
        <v>299.0</v>
      </c>
      <c r="BR791" s="1">
        <v>299.0</v>
      </c>
      <c r="BS791" s="1">
        <v>299.0</v>
      </c>
      <c r="BU791" s="1" t="s">
        <v>454</v>
      </c>
      <c r="BV791" s="1" t="s">
        <v>206</v>
      </c>
      <c r="BY791" s="1" t="s">
        <v>363</v>
      </c>
      <c r="BZ791" s="1" t="s">
        <v>206</v>
      </c>
      <c r="CD791" s="1" t="s">
        <v>204</v>
      </c>
      <c r="CG791" s="1" t="s">
        <v>699</v>
      </c>
      <c r="CH791" s="1" t="s">
        <v>206</v>
      </c>
      <c r="CK791" s="1" t="s">
        <v>758</v>
      </c>
      <c r="CL791" s="1" t="s">
        <v>206</v>
      </c>
      <c r="CO791" s="1" t="s">
        <v>215</v>
      </c>
      <c r="CP791" s="1" t="s">
        <v>206</v>
      </c>
      <c r="CS791" s="1" t="s">
        <v>363</v>
      </c>
      <c r="CT791" s="1" t="s">
        <v>206</v>
      </c>
      <c r="CW791" s="1" t="s">
        <v>1483</v>
      </c>
      <c r="CX791" s="1" t="s">
        <v>42</v>
      </c>
      <c r="DA791" s="1" t="s">
        <v>200</v>
      </c>
      <c r="DC791" s="1" t="s">
        <v>702</v>
      </c>
      <c r="DE791" s="1" t="s">
        <v>229</v>
      </c>
      <c r="DF791" s="1" t="s">
        <v>219</v>
      </c>
      <c r="DH791" s="1" t="s">
        <v>365</v>
      </c>
      <c r="DJ791" s="1" t="s">
        <v>222</v>
      </c>
      <c r="DL791" s="1" t="s">
        <v>858</v>
      </c>
      <c r="DM791" s="1" t="s">
        <v>229</v>
      </c>
      <c r="DQ791" s="1" t="s">
        <v>228</v>
      </c>
      <c r="DR791" s="1" t="s">
        <v>229</v>
      </c>
      <c r="DV791" s="1" t="s">
        <v>232</v>
      </c>
      <c r="DW791" s="1" t="s">
        <v>279</v>
      </c>
      <c r="DX791" s="1" t="s">
        <v>234</v>
      </c>
      <c r="EC791" s="1" t="s">
        <v>645</v>
      </c>
      <c r="EE791" s="1" t="s">
        <v>1960</v>
      </c>
      <c r="EM791" s="1" t="s">
        <v>238</v>
      </c>
      <c r="EQ791" s="1" t="s">
        <v>238</v>
      </c>
      <c r="EU791" s="1" t="s">
        <v>238</v>
      </c>
      <c r="EY791" s="1" t="s">
        <v>238</v>
      </c>
      <c r="FC791" s="1" t="s">
        <v>238</v>
      </c>
      <c r="FF791" s="1" t="s">
        <v>239</v>
      </c>
      <c r="FG791" s="1" t="s">
        <v>192</v>
      </c>
      <c r="FH791" s="1" t="s">
        <v>192</v>
      </c>
      <c r="FJ791" s="1" t="s">
        <v>347</v>
      </c>
      <c r="FK791" s="1" t="s">
        <v>229</v>
      </c>
      <c r="FL791" s="1" t="s">
        <v>3033</v>
      </c>
      <c r="FM791" s="1">
        <v>1984.0</v>
      </c>
      <c r="FN791" s="1" t="s">
        <v>3034</v>
      </c>
      <c r="FO791" s="1" t="s">
        <v>8682</v>
      </c>
      <c r="FP791" s="1">
        <v>923546.0</v>
      </c>
      <c r="FQ791" s="1" t="s">
        <v>8683</v>
      </c>
      <c r="FU791" s="1" t="s">
        <v>3036</v>
      </c>
      <c r="FV791" s="1" t="s">
        <v>200</v>
      </c>
      <c r="FW791" s="1" t="s">
        <v>9313</v>
      </c>
      <c r="FX791" s="1" t="s">
        <v>655</v>
      </c>
      <c r="FZ791" s="1" t="s">
        <v>229</v>
      </c>
      <c r="GA791" s="1" t="s">
        <v>291</v>
      </c>
      <c r="GB791" s="2">
        <v>42118.0</v>
      </c>
      <c r="GC791" s="1" t="s">
        <v>7564</v>
      </c>
    </row>
    <row r="792">
      <c r="A792" s="1">
        <v>203000.0</v>
      </c>
      <c r="B792" s="1" t="s">
        <v>185</v>
      </c>
      <c r="C792" s="1" t="str">
        <f>"08810702"</f>
        <v>08810702</v>
      </c>
      <c r="D792" s="1" t="s">
        <v>186</v>
      </c>
      <c r="F792" s="1" t="str">
        <f>"543"</f>
        <v>543</v>
      </c>
      <c r="G792" s="2">
        <v>42010.0</v>
      </c>
      <c r="H792" s="1">
        <v>224500.0</v>
      </c>
      <c r="I792" s="1">
        <v>92.0</v>
      </c>
      <c r="J792" s="1">
        <v>209900.0</v>
      </c>
      <c r="K792" s="2">
        <v>42052.0</v>
      </c>
      <c r="L792" s="1">
        <v>43.0</v>
      </c>
      <c r="M792" s="2">
        <v>42052.0</v>
      </c>
      <c r="N792" s="1" t="s">
        <v>634</v>
      </c>
      <c r="O792" s="2">
        <v>42115.0</v>
      </c>
      <c r="P792" s="1">
        <v>244264.0</v>
      </c>
      <c r="Q792" s="1">
        <v>22029.0</v>
      </c>
      <c r="R792" s="1">
        <v>4500.0</v>
      </c>
      <c r="S792" s="1">
        <v>253.0</v>
      </c>
      <c r="T792" s="1" t="s">
        <v>9314</v>
      </c>
      <c r="U792" s="1" t="s">
        <v>982</v>
      </c>
      <c r="V792" s="1" t="s">
        <v>1527</v>
      </c>
      <c r="W792" s="1">
        <v>60543.0</v>
      </c>
      <c r="Y792" s="1" t="s">
        <v>9315</v>
      </c>
      <c r="Z792" s="1">
        <v>2000.0</v>
      </c>
      <c r="AA792" s="1" t="s">
        <v>200</v>
      </c>
      <c r="AB792" s="1" t="s">
        <v>467</v>
      </c>
      <c r="AC792" s="1" t="s">
        <v>9316</v>
      </c>
      <c r="AD792" s="1" t="s">
        <v>1529</v>
      </c>
      <c r="AE792" s="1" t="s">
        <v>849</v>
      </c>
      <c r="AF792" s="1" t="s">
        <v>1529</v>
      </c>
      <c r="AH792" s="1">
        <v>10311.0</v>
      </c>
      <c r="AK792" s="1">
        <v>9.0</v>
      </c>
      <c r="AL792" s="1">
        <v>4.0</v>
      </c>
      <c r="AM792" s="1">
        <v>2.0</v>
      </c>
      <c r="AN792" s="1">
        <v>1.0</v>
      </c>
      <c r="AO792" s="1" t="s">
        <v>198</v>
      </c>
      <c r="AQ792" s="1" t="s">
        <v>198</v>
      </c>
      <c r="AR792" s="1" t="s">
        <v>200</v>
      </c>
      <c r="AS792" s="1" t="s">
        <v>199</v>
      </c>
      <c r="AT792" s="1">
        <v>3.0</v>
      </c>
      <c r="AV792" s="1" t="s">
        <v>200</v>
      </c>
      <c r="AW792" s="1">
        <v>7400.24</v>
      </c>
      <c r="AX792" s="1">
        <v>2013.0</v>
      </c>
      <c r="AZ792" s="1" t="s">
        <v>192</v>
      </c>
      <c r="BA792" s="1" t="str">
        <f>"0319403009"</f>
        <v>0319403009</v>
      </c>
      <c r="BC792" s="1">
        <v>2304.0</v>
      </c>
      <c r="BD792" s="1">
        <v>203000.0</v>
      </c>
      <c r="BE792" s="2">
        <v>42010.0</v>
      </c>
      <c r="BF792" s="2" t="s">
        <v>9317</v>
      </c>
      <c r="BH792" s="1">
        <v>190.0</v>
      </c>
      <c r="BK792" s="1" t="s">
        <v>580</v>
      </c>
      <c r="BL792" s="1" t="str">
        <f t="shared" ref="BL792:BM792" si="523">""</f>
        <v/>
      </c>
      <c r="BM792" s="1" t="str">
        <f t="shared" si="523"/>
        <v/>
      </c>
      <c r="BQ792" s="1">
        <v>308.0</v>
      </c>
      <c r="BR792" s="1">
        <v>308.0</v>
      </c>
      <c r="BS792" s="1">
        <v>308.0</v>
      </c>
      <c r="BU792" s="1" t="s">
        <v>433</v>
      </c>
      <c r="BV792" s="1" t="s">
        <v>206</v>
      </c>
      <c r="BY792" s="1" t="s">
        <v>743</v>
      </c>
      <c r="BZ792" s="1" t="s">
        <v>209</v>
      </c>
      <c r="CC792" s="1" t="s">
        <v>497</v>
      </c>
      <c r="CD792" s="1" t="s">
        <v>206</v>
      </c>
      <c r="CG792" s="1" t="s">
        <v>332</v>
      </c>
      <c r="CH792" s="1" t="s">
        <v>209</v>
      </c>
      <c r="CK792" s="1" t="s">
        <v>264</v>
      </c>
      <c r="CL792" s="1" t="s">
        <v>209</v>
      </c>
      <c r="CO792" s="1" t="s">
        <v>269</v>
      </c>
      <c r="CP792" s="1" t="s">
        <v>209</v>
      </c>
      <c r="CS792" s="1" t="s">
        <v>392</v>
      </c>
      <c r="CT792" s="1" t="s">
        <v>206</v>
      </c>
      <c r="CW792" s="1" t="s">
        <v>743</v>
      </c>
      <c r="CX792" s="1" t="s">
        <v>206</v>
      </c>
      <c r="DA792" s="1" t="s">
        <v>200</v>
      </c>
      <c r="DC792" s="1" t="s">
        <v>335</v>
      </c>
      <c r="DE792" s="1" t="s">
        <v>273</v>
      </c>
      <c r="DF792" s="1" t="s">
        <v>619</v>
      </c>
      <c r="DH792" s="1" t="s">
        <v>220</v>
      </c>
      <c r="DJ792" s="1" t="s">
        <v>222</v>
      </c>
      <c r="DL792" s="1" t="s">
        <v>224</v>
      </c>
      <c r="DM792" s="1" t="s">
        <v>229</v>
      </c>
      <c r="DQ792" s="1" t="s">
        <v>228</v>
      </c>
      <c r="DR792" s="1" t="s">
        <v>229</v>
      </c>
      <c r="DV792" s="1" t="s">
        <v>556</v>
      </c>
      <c r="DW792" s="1" t="s">
        <v>2602</v>
      </c>
      <c r="DX792" s="1" t="s">
        <v>234</v>
      </c>
      <c r="EC792" s="1" t="s">
        <v>237</v>
      </c>
      <c r="EG792" s="1" t="s">
        <v>556</v>
      </c>
      <c r="EL792" s="1" t="s">
        <v>1745</v>
      </c>
      <c r="EM792" s="1" t="s">
        <v>206</v>
      </c>
      <c r="EQ792" s="1" t="s">
        <v>238</v>
      </c>
      <c r="EU792" s="1" t="s">
        <v>238</v>
      </c>
      <c r="EY792" s="1" t="s">
        <v>238</v>
      </c>
      <c r="FC792" s="1" t="s">
        <v>238</v>
      </c>
      <c r="FF792" s="1" t="s">
        <v>239</v>
      </c>
      <c r="FG792" s="1" t="s">
        <v>192</v>
      </c>
      <c r="FH792" s="1" t="s">
        <v>192</v>
      </c>
      <c r="FJ792" s="1" t="s">
        <v>1248</v>
      </c>
      <c r="FK792" s="1" t="s">
        <v>229</v>
      </c>
      <c r="FL792" s="1" t="s">
        <v>1007</v>
      </c>
      <c r="FM792" s="1">
        <v>23286.0</v>
      </c>
      <c r="FN792" s="1" t="s">
        <v>4221</v>
      </c>
      <c r="FO792" s="1" t="s">
        <v>9318</v>
      </c>
      <c r="FP792" s="1">
        <v>223647.0</v>
      </c>
      <c r="FQ792" s="1" t="s">
        <v>9319</v>
      </c>
      <c r="FR792" s="1">
        <v>230243.0</v>
      </c>
      <c r="FU792" s="1" t="s">
        <v>885</v>
      </c>
      <c r="FV792" s="1" t="s">
        <v>200</v>
      </c>
      <c r="FW792" s="1" t="s">
        <v>1307</v>
      </c>
      <c r="FZ792" s="1" t="s">
        <v>229</v>
      </c>
      <c r="GA792" s="1" t="s">
        <v>291</v>
      </c>
      <c r="GB792" s="2">
        <v>42116.0</v>
      </c>
      <c r="GC792" s="1" t="s">
        <v>9320</v>
      </c>
    </row>
    <row r="793">
      <c r="A793" s="1">
        <v>359000.0</v>
      </c>
      <c r="B793" s="1" t="s">
        <v>185</v>
      </c>
      <c r="C793" s="1" t="str">
        <f>"08812490"</f>
        <v>08812490</v>
      </c>
      <c r="D793" s="1" t="s">
        <v>186</v>
      </c>
      <c r="F793" s="1" t="str">
        <f>"8011"</f>
        <v>8011</v>
      </c>
      <c r="G793" s="2">
        <v>42012.0</v>
      </c>
      <c r="H793" s="1">
        <v>359000.0</v>
      </c>
      <c r="I793" s="1">
        <v>12.0</v>
      </c>
      <c r="J793" s="1">
        <v>359000.0</v>
      </c>
      <c r="K793" s="2">
        <v>42023.0</v>
      </c>
      <c r="L793" s="1">
        <v>12.0</v>
      </c>
      <c r="M793" s="2">
        <v>42023.0</v>
      </c>
      <c r="N793" s="1" t="s">
        <v>187</v>
      </c>
      <c r="O793" s="2">
        <v>42097.0</v>
      </c>
      <c r="P793" s="1">
        <v>603683.0</v>
      </c>
      <c r="Q793" s="1">
        <v>25688.0</v>
      </c>
      <c r="S793" s="1">
        <v>5014.0</v>
      </c>
      <c r="T793" s="1" t="s">
        <v>9321</v>
      </c>
      <c r="U793" s="1" t="s">
        <v>189</v>
      </c>
      <c r="V793" s="1" t="s">
        <v>190</v>
      </c>
      <c r="W793" s="1">
        <v>60630.0</v>
      </c>
      <c r="Y793" s="1" t="s">
        <v>9322</v>
      </c>
      <c r="Z793" s="1">
        <v>1953.0</v>
      </c>
      <c r="AA793" s="1" t="s">
        <v>192</v>
      </c>
      <c r="AB793" s="1" t="s">
        <v>193</v>
      </c>
      <c r="AD793" s="1" t="s">
        <v>194</v>
      </c>
      <c r="AE793" s="1" t="s">
        <v>195</v>
      </c>
      <c r="AF793" s="1" t="s">
        <v>196</v>
      </c>
      <c r="AH793" s="1" t="s">
        <v>9323</v>
      </c>
      <c r="AK793" s="1">
        <v>8.0</v>
      </c>
      <c r="AL793" s="1">
        <v>4.0</v>
      </c>
      <c r="AM793" s="1">
        <v>3.0</v>
      </c>
      <c r="AN793" s="1">
        <v>0.0</v>
      </c>
      <c r="AO793" s="1" t="s">
        <v>1261</v>
      </c>
      <c r="AP793" s="1">
        <v>1.0</v>
      </c>
      <c r="AQ793" s="1" t="s">
        <v>198</v>
      </c>
      <c r="AR793" s="1" t="s">
        <v>192</v>
      </c>
      <c r="AS793" s="1" t="s">
        <v>199</v>
      </c>
      <c r="AT793" s="1">
        <v>2.5</v>
      </c>
      <c r="AV793" s="1" t="s">
        <v>200</v>
      </c>
      <c r="AW793" s="1">
        <v>4734.0</v>
      </c>
      <c r="AX793" s="1">
        <v>2012.0</v>
      </c>
      <c r="AY793" s="1" t="s">
        <v>387</v>
      </c>
      <c r="AZ793" s="1" t="s">
        <v>200</v>
      </c>
      <c r="BA793" s="1" t="str">
        <f>"13083110210000"</f>
        <v>13083110210000</v>
      </c>
      <c r="BC793" s="1">
        <v>0.0</v>
      </c>
      <c r="BD793" s="1">
        <v>359000.0</v>
      </c>
      <c r="BE793" s="2">
        <v>42012.0</v>
      </c>
      <c r="BF793" s="2" t="s">
        <v>9324</v>
      </c>
      <c r="BG793" s="1" t="s">
        <v>2531</v>
      </c>
      <c r="BH793" s="1">
        <v>0.0</v>
      </c>
      <c r="BJ793" s="1" t="s">
        <v>1222</v>
      </c>
      <c r="BK793" s="1" t="s">
        <v>204</v>
      </c>
      <c r="BL793" s="1" t="str">
        <f>"5014"</f>
        <v>5014</v>
      </c>
      <c r="BM793" s="1" t="str">
        <f t="shared" ref="BM793:BM794" si="524">"0"</f>
        <v>0</v>
      </c>
      <c r="BN793" s="1">
        <v>6100.0</v>
      </c>
      <c r="BO793" s="1">
        <v>0.0</v>
      </c>
      <c r="BQ793" s="1">
        <v>299.0</v>
      </c>
      <c r="BR793" s="1">
        <v>299.0</v>
      </c>
      <c r="BS793" s="1">
        <v>299.0</v>
      </c>
      <c r="BU793" s="1" t="s">
        <v>924</v>
      </c>
      <c r="BV793" s="1" t="s">
        <v>206</v>
      </c>
      <c r="BW793" s="1" t="s">
        <v>207</v>
      </c>
      <c r="BY793" s="1" t="s">
        <v>6591</v>
      </c>
      <c r="BZ793" s="1" t="s">
        <v>209</v>
      </c>
      <c r="CA793" s="1" t="s">
        <v>207</v>
      </c>
      <c r="CC793" s="1" t="s">
        <v>2508</v>
      </c>
      <c r="CD793" s="1" t="s">
        <v>206</v>
      </c>
      <c r="CE793" s="1" t="s">
        <v>207</v>
      </c>
      <c r="CG793" s="1" t="s">
        <v>264</v>
      </c>
      <c r="CH793" s="1" t="s">
        <v>209</v>
      </c>
      <c r="CI793" s="1" t="s">
        <v>207</v>
      </c>
      <c r="CK793" s="1" t="s">
        <v>729</v>
      </c>
      <c r="CL793" s="1" t="s">
        <v>209</v>
      </c>
      <c r="CM793" s="1" t="s">
        <v>207</v>
      </c>
      <c r="CO793" s="1" t="s">
        <v>264</v>
      </c>
      <c r="CP793" s="1" t="s">
        <v>206</v>
      </c>
      <c r="CQ793" s="1" t="s">
        <v>207</v>
      </c>
      <c r="CS793" s="1" t="s">
        <v>924</v>
      </c>
      <c r="CT793" s="1" t="s">
        <v>206</v>
      </c>
      <c r="CU793" s="1" t="s">
        <v>268</v>
      </c>
      <c r="CW793" s="1" t="s">
        <v>1286</v>
      </c>
      <c r="CX793" s="1" t="s">
        <v>42</v>
      </c>
      <c r="CY793" s="1" t="s">
        <v>588</v>
      </c>
      <c r="DA793" s="1" t="s">
        <v>200</v>
      </c>
      <c r="DC793" s="1" t="s">
        <v>702</v>
      </c>
      <c r="DD793" s="1" t="s">
        <v>759</v>
      </c>
      <c r="DE793" s="1" t="s">
        <v>3750</v>
      </c>
      <c r="DF793" s="1" t="s">
        <v>619</v>
      </c>
      <c r="DG793" s="1" t="s">
        <v>337</v>
      </c>
      <c r="DH793" s="1" t="s">
        <v>365</v>
      </c>
      <c r="DI793" s="1" t="s">
        <v>6798</v>
      </c>
      <c r="DJ793" s="1" t="s">
        <v>222</v>
      </c>
      <c r="DK793" s="1" t="s">
        <v>198</v>
      </c>
      <c r="DL793" s="1" t="s">
        <v>224</v>
      </c>
      <c r="DM793" s="1" t="s">
        <v>225</v>
      </c>
      <c r="DN793" s="1" t="s">
        <v>9325</v>
      </c>
      <c r="DO793" s="1" t="s">
        <v>549</v>
      </c>
      <c r="DP793" s="1" t="s">
        <v>340</v>
      </c>
      <c r="DQ793" s="1" t="s">
        <v>794</v>
      </c>
      <c r="DR793" s="1" t="s">
        <v>229</v>
      </c>
      <c r="DS793" s="1" t="s">
        <v>591</v>
      </c>
      <c r="DU793" s="1" t="s">
        <v>2785</v>
      </c>
      <c r="DV793" s="1" t="s">
        <v>2465</v>
      </c>
      <c r="DW793" s="1" t="s">
        <v>279</v>
      </c>
      <c r="DX793" s="1" t="s">
        <v>234</v>
      </c>
      <c r="DY793" s="1" t="s">
        <v>5703</v>
      </c>
      <c r="DZ793" s="1" t="s">
        <v>2204</v>
      </c>
      <c r="EA793" s="1" t="s">
        <v>257</v>
      </c>
      <c r="EB793" s="1" t="s">
        <v>492</v>
      </c>
      <c r="EC793" s="1" t="s">
        <v>237</v>
      </c>
      <c r="EE793" s="1" t="s">
        <v>522</v>
      </c>
      <c r="EG793" s="1" t="s">
        <v>1103</v>
      </c>
      <c r="EH793" s="1" t="s">
        <v>310</v>
      </c>
      <c r="EL793" s="1" t="s">
        <v>264</v>
      </c>
      <c r="EM793" s="1" t="s">
        <v>42</v>
      </c>
      <c r="EN793" s="1" t="s">
        <v>588</v>
      </c>
      <c r="EP793" s="1" t="s">
        <v>1426</v>
      </c>
      <c r="EQ793" s="1" t="s">
        <v>206</v>
      </c>
      <c r="EU793" s="1" t="s">
        <v>238</v>
      </c>
      <c r="EY793" s="1" t="s">
        <v>238</v>
      </c>
      <c r="FC793" s="1" t="s">
        <v>238</v>
      </c>
      <c r="FF793" s="1" t="s">
        <v>239</v>
      </c>
      <c r="FG793" s="1" t="s">
        <v>192</v>
      </c>
      <c r="FH793" s="1" t="s">
        <v>192</v>
      </c>
      <c r="FJ793" s="1" t="s">
        <v>9326</v>
      </c>
      <c r="FK793" s="1" t="s">
        <v>229</v>
      </c>
      <c r="FL793" s="1" t="s">
        <v>3156</v>
      </c>
      <c r="FM793" s="1">
        <v>84729.0</v>
      </c>
      <c r="FN793" s="1" t="s">
        <v>3157</v>
      </c>
      <c r="FO793" s="1" t="s">
        <v>9327</v>
      </c>
      <c r="FP793" s="1">
        <v>157318.0</v>
      </c>
      <c r="FQ793" s="1" t="s">
        <v>9328</v>
      </c>
      <c r="FU793" s="1" t="s">
        <v>9329</v>
      </c>
      <c r="FV793" s="1" t="s">
        <v>200</v>
      </c>
      <c r="FW793" s="1" t="s">
        <v>530</v>
      </c>
      <c r="FX793" s="1" t="s">
        <v>238</v>
      </c>
      <c r="FZ793" s="1" t="s">
        <v>229</v>
      </c>
      <c r="GA793" s="1" t="s">
        <v>291</v>
      </c>
      <c r="GB793" s="2">
        <v>42103.0</v>
      </c>
      <c r="GC793" s="1" t="s">
        <v>9330</v>
      </c>
    </row>
    <row r="794">
      <c r="A794" s="1">
        <v>180500.0</v>
      </c>
      <c r="B794" s="1" t="s">
        <v>185</v>
      </c>
      <c r="C794" s="1" t="str">
        <f>"08808244"</f>
        <v>08808244</v>
      </c>
      <c r="D794" s="1" t="s">
        <v>186</v>
      </c>
      <c r="F794" s="1" t="str">
        <f>"8019"</f>
        <v>8019</v>
      </c>
      <c r="G794" s="2">
        <v>42006.0</v>
      </c>
      <c r="H794" s="1">
        <v>187900.0</v>
      </c>
      <c r="I794" s="1">
        <v>82.0</v>
      </c>
      <c r="J794" s="1">
        <v>164900.0</v>
      </c>
      <c r="K794" s="2">
        <v>42087.0</v>
      </c>
      <c r="L794" s="1">
        <v>82.0</v>
      </c>
      <c r="M794" s="2">
        <v>42087.0</v>
      </c>
      <c r="N794" s="1" t="s">
        <v>249</v>
      </c>
      <c r="O794" s="2">
        <v>42114.0</v>
      </c>
      <c r="P794" s="1">
        <v>120446.0</v>
      </c>
      <c r="Q794" s="1">
        <v>18505.0</v>
      </c>
      <c r="S794" s="1">
        <v>2448.0</v>
      </c>
      <c r="T794" s="1" t="s">
        <v>9331</v>
      </c>
      <c r="U794" s="1" t="s">
        <v>189</v>
      </c>
      <c r="V794" s="1" t="s">
        <v>190</v>
      </c>
      <c r="W794" s="1">
        <v>60639.0</v>
      </c>
      <c r="Y794" s="1" t="s">
        <v>9332</v>
      </c>
      <c r="Z794" s="1">
        <v>1920.0</v>
      </c>
      <c r="AA794" s="1" t="s">
        <v>192</v>
      </c>
      <c r="AB794" s="1" t="s">
        <v>193</v>
      </c>
      <c r="AD794" s="1" t="s">
        <v>194</v>
      </c>
      <c r="AE794" s="1" t="s">
        <v>195</v>
      </c>
      <c r="AF794" s="1" t="s">
        <v>196</v>
      </c>
      <c r="AH794" s="1" t="s">
        <v>9333</v>
      </c>
      <c r="AK794" s="1">
        <v>9.0</v>
      </c>
      <c r="AL794" s="1">
        <v>4.0</v>
      </c>
      <c r="AM794" s="1">
        <v>3.0</v>
      </c>
      <c r="AN794" s="1">
        <v>0.0</v>
      </c>
      <c r="AO794" s="1" t="s">
        <v>229</v>
      </c>
      <c r="AQ794" s="1" t="s">
        <v>198</v>
      </c>
      <c r="AR794" s="1" t="s">
        <v>192</v>
      </c>
      <c r="AS794" s="1" t="s">
        <v>199</v>
      </c>
      <c r="AT794" s="1">
        <v>2.0</v>
      </c>
      <c r="AV794" s="1" t="s">
        <v>200</v>
      </c>
      <c r="AW794" s="1">
        <v>4446.37</v>
      </c>
      <c r="AX794" s="1">
        <v>2013.0</v>
      </c>
      <c r="AY794" s="1" t="s">
        <v>229</v>
      </c>
      <c r="AZ794" s="1" t="s">
        <v>200</v>
      </c>
      <c r="BA794" s="1" t="str">
        <f>"13293190190000"</f>
        <v>13293190190000</v>
      </c>
      <c r="BC794" s="1">
        <v>2024.0</v>
      </c>
      <c r="BD794" s="1">
        <v>180500.0</v>
      </c>
      <c r="BE794" s="2">
        <v>42006.0</v>
      </c>
      <c r="BF794" s="1" t="s">
        <v>9334</v>
      </c>
      <c r="BH794" s="1">
        <v>0.0</v>
      </c>
      <c r="BK794" s="1" t="s">
        <v>204</v>
      </c>
      <c r="BL794" s="1" t="str">
        <f>"2448"</f>
        <v>2448</v>
      </c>
      <c r="BM794" s="1" t="str">
        <f t="shared" si="524"/>
        <v>0</v>
      </c>
      <c r="BN794" s="1">
        <v>6050.0</v>
      </c>
      <c r="BO794" s="1">
        <v>0.0</v>
      </c>
      <c r="BQ794" s="1">
        <v>299.0</v>
      </c>
      <c r="BR794" s="1">
        <v>299.0</v>
      </c>
      <c r="BS794" s="1">
        <v>299.0</v>
      </c>
      <c r="BU794" s="1" t="s">
        <v>363</v>
      </c>
      <c r="BV794" s="1" t="s">
        <v>206</v>
      </c>
      <c r="BY794" s="1" t="s">
        <v>1518</v>
      </c>
      <c r="BZ794" s="1" t="s">
        <v>209</v>
      </c>
      <c r="CC794" s="1" t="s">
        <v>663</v>
      </c>
      <c r="CD794" s="1" t="s">
        <v>206</v>
      </c>
      <c r="CG794" s="1" t="s">
        <v>1672</v>
      </c>
      <c r="CH794" s="1" t="s">
        <v>206</v>
      </c>
      <c r="CK794" s="1" t="s">
        <v>1672</v>
      </c>
      <c r="CL794" s="1" t="s">
        <v>209</v>
      </c>
      <c r="CO794" s="1" t="s">
        <v>1672</v>
      </c>
      <c r="CP794" s="1" t="s">
        <v>209</v>
      </c>
      <c r="CS794" s="1" t="s">
        <v>663</v>
      </c>
      <c r="CT794" s="1" t="s">
        <v>206</v>
      </c>
      <c r="CW794" s="1" t="s">
        <v>1352</v>
      </c>
      <c r="CX794" s="1" t="s">
        <v>206</v>
      </c>
      <c r="DA794" s="1" t="s">
        <v>200</v>
      </c>
      <c r="DC794" s="1" t="s">
        <v>216</v>
      </c>
      <c r="DE794" s="1" t="s">
        <v>273</v>
      </c>
      <c r="DF794" s="1" t="s">
        <v>219</v>
      </c>
      <c r="DH794" s="1" t="s">
        <v>365</v>
      </c>
      <c r="DJ794" s="1" t="s">
        <v>222</v>
      </c>
      <c r="DL794" s="1" t="s">
        <v>223</v>
      </c>
      <c r="DM794" s="1" t="s">
        <v>229</v>
      </c>
      <c r="DQ794" s="1" t="s">
        <v>228</v>
      </c>
      <c r="DR794" s="1" t="s">
        <v>229</v>
      </c>
      <c r="DV794" s="1" t="s">
        <v>450</v>
      </c>
      <c r="DW794" s="1" t="s">
        <v>934</v>
      </c>
      <c r="DX794" s="1" t="s">
        <v>234</v>
      </c>
      <c r="EC794" s="1" t="s">
        <v>237</v>
      </c>
      <c r="EG794" s="1" t="s">
        <v>450</v>
      </c>
      <c r="EL794" s="1" t="s">
        <v>2713</v>
      </c>
      <c r="EM794" s="1" t="s">
        <v>206</v>
      </c>
      <c r="EQ794" s="1" t="s">
        <v>238</v>
      </c>
      <c r="EU794" s="1" t="s">
        <v>238</v>
      </c>
      <c r="EY794" s="1" t="s">
        <v>238</v>
      </c>
      <c r="FC794" s="1" t="s">
        <v>238</v>
      </c>
      <c r="FF794" s="1" t="s">
        <v>239</v>
      </c>
      <c r="FG794" s="1" t="s">
        <v>192</v>
      </c>
      <c r="FH794" s="1" t="s">
        <v>192</v>
      </c>
      <c r="FJ794" s="1" t="s">
        <v>524</v>
      </c>
      <c r="FK794" s="1" t="s">
        <v>229</v>
      </c>
      <c r="FL794" s="1" t="s">
        <v>9335</v>
      </c>
      <c r="FM794" s="1">
        <v>25105.0</v>
      </c>
      <c r="FN794" s="1" t="s">
        <v>9336</v>
      </c>
      <c r="FO794" s="1" t="s">
        <v>9337</v>
      </c>
      <c r="FP794" s="1">
        <v>26864.0</v>
      </c>
      <c r="FQ794" s="1" t="s">
        <v>9338</v>
      </c>
      <c r="FU794" s="1" t="s">
        <v>9339</v>
      </c>
      <c r="FV794" s="1" t="s">
        <v>200</v>
      </c>
      <c r="FW794" s="1" t="s">
        <v>9340</v>
      </c>
      <c r="FX794" s="1" t="s">
        <v>238</v>
      </c>
      <c r="FZ794" s="1" t="s">
        <v>229</v>
      </c>
      <c r="GA794" s="1" t="s">
        <v>291</v>
      </c>
      <c r="GB794" s="2">
        <v>42116.0</v>
      </c>
      <c r="GC794" s="1" t="s">
        <v>9341</v>
      </c>
    </row>
    <row r="795">
      <c r="A795" s="1">
        <v>230000.0</v>
      </c>
      <c r="B795" s="1" t="s">
        <v>185</v>
      </c>
      <c r="C795" s="1" t="str">
        <f>"08815780"</f>
        <v>08815780</v>
      </c>
      <c r="D795" s="1" t="s">
        <v>186</v>
      </c>
      <c r="F795" s="1" t="str">
        <f>"543"</f>
        <v>543</v>
      </c>
      <c r="G795" s="2">
        <v>42017.0</v>
      </c>
      <c r="H795" s="1">
        <v>235000.0</v>
      </c>
      <c r="I795" s="1">
        <v>26.0</v>
      </c>
      <c r="J795" s="1">
        <v>235000.0</v>
      </c>
      <c r="K795" s="2">
        <v>42041.0</v>
      </c>
      <c r="L795" s="1">
        <v>26.0</v>
      </c>
      <c r="M795" s="2">
        <v>42041.0</v>
      </c>
      <c r="N795" s="1" t="s">
        <v>187</v>
      </c>
      <c r="O795" s="2">
        <v>42069.0</v>
      </c>
      <c r="P795" s="1">
        <v>253729.0</v>
      </c>
      <c r="Q795" s="1">
        <v>25005.0</v>
      </c>
      <c r="S795" s="1">
        <v>363.0</v>
      </c>
      <c r="T795" s="1" t="s">
        <v>9342</v>
      </c>
      <c r="U795" s="1" t="s">
        <v>569</v>
      </c>
      <c r="V795" s="1" t="s">
        <v>1527</v>
      </c>
      <c r="W795" s="1">
        <v>60543.0</v>
      </c>
      <c r="Y795" s="1" t="s">
        <v>9343</v>
      </c>
      <c r="Z795" s="1">
        <v>2000.0</v>
      </c>
      <c r="AA795" s="1" t="s">
        <v>200</v>
      </c>
      <c r="AB795" s="1" t="s">
        <v>467</v>
      </c>
      <c r="AD795" s="1" t="s">
        <v>1529</v>
      </c>
      <c r="AE795" s="1" t="s">
        <v>849</v>
      </c>
      <c r="AF795" s="1" t="s">
        <v>1529</v>
      </c>
      <c r="AH795" s="1" t="s">
        <v>5193</v>
      </c>
      <c r="AI795" s="1">
        <v>0.2296</v>
      </c>
      <c r="AK795" s="1">
        <v>8.0</v>
      </c>
      <c r="AL795" s="1">
        <v>3.0</v>
      </c>
      <c r="AM795" s="1">
        <v>3.0</v>
      </c>
      <c r="AN795" s="1">
        <v>1.0</v>
      </c>
      <c r="AO795" s="1" t="s">
        <v>198</v>
      </c>
      <c r="AQ795" s="1" t="s">
        <v>198</v>
      </c>
      <c r="AR795" s="1" t="s">
        <v>192</v>
      </c>
      <c r="AS795" s="1" t="s">
        <v>199</v>
      </c>
      <c r="AT795" s="1">
        <v>2.0</v>
      </c>
      <c r="AV795" s="1" t="s">
        <v>200</v>
      </c>
      <c r="AW795" s="1">
        <v>6290.0</v>
      </c>
      <c r="AX795" s="1">
        <v>2012.0</v>
      </c>
      <c r="AY795" s="1" t="s">
        <v>387</v>
      </c>
      <c r="AZ795" s="1" t="s">
        <v>200</v>
      </c>
      <c r="BA795" s="1" t="str">
        <f>"0320303002"</f>
        <v>0320303002</v>
      </c>
      <c r="BC795" s="1">
        <v>1850.0</v>
      </c>
      <c r="BD795" s="1">
        <v>230000.0</v>
      </c>
      <c r="BE795" s="2">
        <v>42016.0</v>
      </c>
      <c r="BF795" s="2" t="s">
        <v>9344</v>
      </c>
      <c r="BH795" s="1">
        <v>120.0</v>
      </c>
      <c r="BK795" s="1" t="s">
        <v>580</v>
      </c>
      <c r="BL795" s="1" t="str">
        <f t="shared" ref="BL795:BM795" si="525">""</f>
        <v/>
      </c>
      <c r="BM795" s="1" t="str">
        <f t="shared" si="525"/>
        <v/>
      </c>
      <c r="BQ795" s="1">
        <v>308.0</v>
      </c>
      <c r="BR795" s="1">
        <v>308.0</v>
      </c>
      <c r="BS795" s="1">
        <v>308.0</v>
      </c>
      <c r="BU795" s="1" t="s">
        <v>215</v>
      </c>
      <c r="BV795" s="1" t="s">
        <v>206</v>
      </c>
      <c r="BW795" s="1" t="s">
        <v>210</v>
      </c>
      <c r="BY795" s="1" t="s">
        <v>1426</v>
      </c>
      <c r="BZ795" s="1" t="s">
        <v>209</v>
      </c>
      <c r="CA795" s="1" t="s">
        <v>210</v>
      </c>
      <c r="CC795" s="1" t="s">
        <v>699</v>
      </c>
      <c r="CD795" s="1" t="s">
        <v>206</v>
      </c>
      <c r="CE795" s="1" t="s">
        <v>301</v>
      </c>
      <c r="CG795" s="1" t="s">
        <v>495</v>
      </c>
      <c r="CH795" s="1" t="s">
        <v>209</v>
      </c>
      <c r="CI795" s="1" t="s">
        <v>1790</v>
      </c>
      <c r="CK795" s="1" t="s">
        <v>699</v>
      </c>
      <c r="CL795" s="1" t="s">
        <v>209</v>
      </c>
      <c r="CM795" s="1" t="s">
        <v>210</v>
      </c>
      <c r="CO795" s="1" t="s">
        <v>264</v>
      </c>
      <c r="CP795" s="1" t="s">
        <v>42</v>
      </c>
      <c r="CQ795" s="1" t="s">
        <v>210</v>
      </c>
      <c r="CS795" s="1" t="s">
        <v>497</v>
      </c>
      <c r="CT795" s="1" t="s">
        <v>206</v>
      </c>
      <c r="CU795" s="1" t="s">
        <v>207</v>
      </c>
      <c r="CW795" s="1" t="s">
        <v>454</v>
      </c>
      <c r="CX795" s="1" t="s">
        <v>206</v>
      </c>
      <c r="CY795" s="1" t="s">
        <v>210</v>
      </c>
      <c r="DA795" s="1" t="s">
        <v>200</v>
      </c>
      <c r="DC795" s="1" t="s">
        <v>335</v>
      </c>
      <c r="DD795" s="1" t="s">
        <v>518</v>
      </c>
      <c r="DE795" s="1" t="s">
        <v>273</v>
      </c>
      <c r="DF795" s="1" t="s">
        <v>219</v>
      </c>
      <c r="DH795" s="1" t="s">
        <v>220</v>
      </c>
      <c r="DI795" s="1" t="s">
        <v>9345</v>
      </c>
      <c r="DJ795" s="1" t="s">
        <v>222</v>
      </c>
      <c r="DL795" s="1" t="s">
        <v>224</v>
      </c>
      <c r="DM795" s="1" t="s">
        <v>229</v>
      </c>
      <c r="DO795" s="1" t="s">
        <v>549</v>
      </c>
      <c r="DP795" s="1" t="s">
        <v>340</v>
      </c>
      <c r="DQ795" s="1" t="s">
        <v>228</v>
      </c>
      <c r="DR795" s="1" t="s">
        <v>588</v>
      </c>
      <c r="DU795" s="1" t="s">
        <v>1840</v>
      </c>
      <c r="DV795" s="1" t="s">
        <v>232</v>
      </c>
      <c r="DW795" s="1" t="s">
        <v>233</v>
      </c>
      <c r="DX795" s="1" t="s">
        <v>1287</v>
      </c>
      <c r="DY795" s="1" t="s">
        <v>490</v>
      </c>
      <c r="EC795" s="1" t="s">
        <v>237</v>
      </c>
      <c r="EM795" s="1" t="s">
        <v>238</v>
      </c>
      <c r="EQ795" s="1" t="s">
        <v>238</v>
      </c>
      <c r="EU795" s="1" t="s">
        <v>238</v>
      </c>
      <c r="EY795" s="1" t="s">
        <v>238</v>
      </c>
      <c r="FC795" s="1" t="s">
        <v>238</v>
      </c>
      <c r="FF795" s="1" t="s">
        <v>239</v>
      </c>
      <c r="FG795" s="1" t="s">
        <v>192</v>
      </c>
      <c r="FH795" s="1" t="s">
        <v>192</v>
      </c>
      <c r="FJ795" s="1" t="s">
        <v>624</v>
      </c>
      <c r="FK795" s="1" t="s">
        <v>229</v>
      </c>
      <c r="FL795" s="1" t="s">
        <v>4309</v>
      </c>
      <c r="FM795" s="1">
        <v>87.0</v>
      </c>
      <c r="FN795" s="1" t="s">
        <v>5753</v>
      </c>
      <c r="FO795" s="1" t="s">
        <v>9346</v>
      </c>
      <c r="FP795" s="1">
        <v>300050.0</v>
      </c>
      <c r="FQ795" s="1" t="s">
        <v>9347</v>
      </c>
      <c r="FU795" s="1" t="s">
        <v>9348</v>
      </c>
      <c r="FV795" s="1" t="s">
        <v>200</v>
      </c>
      <c r="FW795" s="1" t="s">
        <v>1411</v>
      </c>
      <c r="FZ795" s="1" t="s">
        <v>632</v>
      </c>
      <c r="GA795" s="1" t="s">
        <v>291</v>
      </c>
      <c r="GB795" s="2">
        <v>42072.0</v>
      </c>
    </row>
    <row r="796">
      <c r="A796" s="1">
        <v>1025000.0</v>
      </c>
      <c r="B796" s="1" t="s">
        <v>185</v>
      </c>
      <c r="C796" s="1" t="str">
        <f>"08814202"</f>
        <v>08814202</v>
      </c>
      <c r="D796" s="1" t="s">
        <v>186</v>
      </c>
      <c r="F796" s="1" t="str">
        <f>"8024"</f>
        <v>8024</v>
      </c>
      <c r="G796" s="2">
        <v>42016.0</v>
      </c>
      <c r="H796" s="1">
        <v>1085000.0</v>
      </c>
      <c r="I796" s="1">
        <v>144.0</v>
      </c>
      <c r="J796" s="1">
        <v>1074500.0</v>
      </c>
      <c r="K796" s="2">
        <v>42049.0</v>
      </c>
      <c r="L796" s="1">
        <v>34.0</v>
      </c>
      <c r="M796" s="2">
        <v>42049.0</v>
      </c>
      <c r="N796" s="1" t="s">
        <v>187</v>
      </c>
      <c r="O796" s="2">
        <v>42095.0</v>
      </c>
      <c r="P796" s="1">
        <v>172343.0</v>
      </c>
      <c r="Q796" s="1">
        <v>10274.0</v>
      </c>
      <c r="S796" s="1">
        <v>654.0</v>
      </c>
      <c r="T796" s="1" t="s">
        <v>9349</v>
      </c>
      <c r="U796" s="1" t="s">
        <v>1442</v>
      </c>
      <c r="V796" s="1" t="s">
        <v>190</v>
      </c>
      <c r="W796" s="1">
        <v>60612.0</v>
      </c>
      <c r="Y796" s="1" t="s">
        <v>9350</v>
      </c>
      <c r="Z796" s="1">
        <v>2005.0</v>
      </c>
      <c r="AA796" s="1" t="s">
        <v>200</v>
      </c>
      <c r="AB796" s="1" t="s">
        <v>193</v>
      </c>
      <c r="AD796" s="1" t="s">
        <v>194</v>
      </c>
      <c r="AE796" s="1" t="s">
        <v>195</v>
      </c>
      <c r="AF796" s="1" t="s">
        <v>827</v>
      </c>
      <c r="AH796" s="1" t="s">
        <v>9351</v>
      </c>
      <c r="AK796" s="1">
        <v>9.0</v>
      </c>
      <c r="AL796" s="1">
        <v>4.0</v>
      </c>
      <c r="AM796" s="1">
        <v>3.0</v>
      </c>
      <c r="AN796" s="1">
        <v>1.0</v>
      </c>
      <c r="AO796" s="1" t="s">
        <v>198</v>
      </c>
      <c r="AP796" s="1">
        <v>2.0</v>
      </c>
      <c r="AQ796" s="1" t="s">
        <v>472</v>
      </c>
      <c r="AR796" s="1" t="s">
        <v>192</v>
      </c>
      <c r="AS796" s="1" t="s">
        <v>199</v>
      </c>
      <c r="AT796" s="1">
        <v>2.0</v>
      </c>
      <c r="AV796" s="1" t="s">
        <v>200</v>
      </c>
      <c r="AW796" s="1">
        <v>13332.0</v>
      </c>
      <c r="AX796" s="1">
        <v>2013.0</v>
      </c>
      <c r="AY796" s="1" t="s">
        <v>387</v>
      </c>
      <c r="AZ796" s="1" t="s">
        <v>200</v>
      </c>
      <c r="BA796" s="1" t="str">
        <f>"17071090570000"</f>
        <v>17071090570000</v>
      </c>
      <c r="BB796" s="1" t="s">
        <v>200</v>
      </c>
      <c r="BC796" s="1">
        <v>4500.0</v>
      </c>
      <c r="BD796" s="1">
        <v>1025000.0</v>
      </c>
      <c r="BE796" s="2">
        <v>42016.0</v>
      </c>
      <c r="BF796" s="2" t="s">
        <v>9352</v>
      </c>
      <c r="BG796" s="1" t="s">
        <v>9353</v>
      </c>
      <c r="BH796" s="1">
        <v>0.0</v>
      </c>
      <c r="BJ796" s="1" t="s">
        <v>4785</v>
      </c>
      <c r="BK796" s="1" t="s">
        <v>204</v>
      </c>
      <c r="BL796" s="1" t="str">
        <f>"654"</f>
        <v>654</v>
      </c>
      <c r="BM796" s="1" t="str">
        <f>"0"</f>
        <v>0</v>
      </c>
      <c r="BN796" s="1">
        <v>2250.0</v>
      </c>
      <c r="BO796" s="1">
        <v>0.0</v>
      </c>
      <c r="BQ796" s="1">
        <v>299.0</v>
      </c>
      <c r="BR796" s="1">
        <v>299.0</v>
      </c>
      <c r="BS796" s="1">
        <v>299.0</v>
      </c>
      <c r="BU796" s="1" t="s">
        <v>3905</v>
      </c>
      <c r="BV796" s="1" t="s">
        <v>206</v>
      </c>
      <c r="BW796" s="1" t="s">
        <v>207</v>
      </c>
      <c r="BY796" s="1" t="s">
        <v>782</v>
      </c>
      <c r="BZ796" s="1" t="s">
        <v>209</v>
      </c>
      <c r="CA796" s="1" t="s">
        <v>207</v>
      </c>
      <c r="CC796" s="1" t="s">
        <v>542</v>
      </c>
      <c r="CD796" s="1" t="s">
        <v>206</v>
      </c>
      <c r="CE796" s="1" t="s">
        <v>207</v>
      </c>
      <c r="CG796" s="1" t="s">
        <v>925</v>
      </c>
      <c r="CH796" s="1" t="s">
        <v>209</v>
      </c>
      <c r="CI796" s="1" t="s">
        <v>210</v>
      </c>
      <c r="CK796" s="1" t="s">
        <v>925</v>
      </c>
      <c r="CL796" s="1" t="s">
        <v>209</v>
      </c>
      <c r="CM796" s="1" t="s">
        <v>210</v>
      </c>
      <c r="CO796" s="1" t="s">
        <v>480</v>
      </c>
      <c r="CP796" s="1" t="s">
        <v>267</v>
      </c>
      <c r="CQ796" s="1" t="s">
        <v>210</v>
      </c>
      <c r="CS796" s="1" t="s">
        <v>1426</v>
      </c>
      <c r="CT796" s="1" t="s">
        <v>206</v>
      </c>
      <c r="CU796" s="1" t="s">
        <v>207</v>
      </c>
      <c r="CW796" s="1" t="s">
        <v>3817</v>
      </c>
      <c r="CX796" s="1" t="s">
        <v>206</v>
      </c>
      <c r="CY796" s="1" t="s">
        <v>207</v>
      </c>
      <c r="DA796" s="1" t="s">
        <v>200</v>
      </c>
      <c r="DC796" s="1" t="s">
        <v>481</v>
      </c>
      <c r="DD796" s="1" t="s">
        <v>272</v>
      </c>
      <c r="DE796" s="1" t="s">
        <v>1810</v>
      </c>
      <c r="DF796" s="1" t="s">
        <v>546</v>
      </c>
      <c r="DG796" s="1" t="s">
        <v>2462</v>
      </c>
      <c r="DH796" s="1" t="s">
        <v>365</v>
      </c>
      <c r="DI796" s="1" t="s">
        <v>5919</v>
      </c>
      <c r="DJ796" s="1" t="s">
        <v>222</v>
      </c>
      <c r="DL796" s="1" t="s">
        <v>224</v>
      </c>
      <c r="DM796" s="1" t="s">
        <v>1464</v>
      </c>
      <c r="DN796" s="1" t="s">
        <v>2463</v>
      </c>
      <c r="DO796" s="1" t="s">
        <v>717</v>
      </c>
      <c r="DP796" s="1" t="s">
        <v>276</v>
      </c>
      <c r="DQ796" s="1" t="s">
        <v>794</v>
      </c>
      <c r="DR796" s="1" t="s">
        <v>229</v>
      </c>
      <c r="DS796" s="1" t="s">
        <v>368</v>
      </c>
      <c r="DU796" s="1" t="s">
        <v>6284</v>
      </c>
      <c r="DV796" s="1" t="s">
        <v>9354</v>
      </c>
      <c r="DW796" s="1" t="s">
        <v>3876</v>
      </c>
      <c r="DX796" s="1" t="s">
        <v>234</v>
      </c>
      <c r="DY796" s="1" t="s">
        <v>596</v>
      </c>
      <c r="DZ796" s="1" t="s">
        <v>9355</v>
      </c>
      <c r="EA796" s="1" t="s">
        <v>344</v>
      </c>
      <c r="EB796" s="1" t="s">
        <v>937</v>
      </c>
      <c r="EC796" s="1" t="s">
        <v>237</v>
      </c>
      <c r="ED796" s="1" t="s">
        <v>555</v>
      </c>
      <c r="EE796" s="1" t="s">
        <v>187</v>
      </c>
      <c r="EG796" s="1" t="s">
        <v>310</v>
      </c>
      <c r="EH796" s="1" t="s">
        <v>310</v>
      </c>
      <c r="EI796" s="1" t="s">
        <v>310</v>
      </c>
      <c r="EJ796" s="1" t="s">
        <v>310</v>
      </c>
      <c r="EK796" s="1" t="s">
        <v>5618</v>
      </c>
      <c r="EL796" s="1" t="s">
        <v>2013</v>
      </c>
      <c r="EM796" s="1" t="s">
        <v>206</v>
      </c>
      <c r="EN796" s="1" t="s">
        <v>588</v>
      </c>
      <c r="EP796" s="1" t="s">
        <v>9356</v>
      </c>
      <c r="EQ796" s="1" t="s">
        <v>206</v>
      </c>
      <c r="ER796" s="1" t="s">
        <v>588</v>
      </c>
      <c r="ET796" s="1" t="s">
        <v>9357</v>
      </c>
      <c r="EU796" s="1" t="s">
        <v>209</v>
      </c>
      <c r="EV796" s="1" t="s">
        <v>588</v>
      </c>
      <c r="EX796" s="1" t="s">
        <v>2109</v>
      </c>
      <c r="EY796" s="1" t="s">
        <v>391</v>
      </c>
      <c r="EZ796" s="1" t="s">
        <v>588</v>
      </c>
      <c r="FB796" s="1" t="s">
        <v>2166</v>
      </c>
      <c r="FC796" s="1" t="s">
        <v>267</v>
      </c>
      <c r="FD796" s="1" t="s">
        <v>588</v>
      </c>
      <c r="FF796" s="1" t="s">
        <v>239</v>
      </c>
      <c r="FG796" s="1" t="s">
        <v>192</v>
      </c>
      <c r="FH796" s="1" t="s">
        <v>192</v>
      </c>
      <c r="FJ796" s="1" t="s">
        <v>9358</v>
      </c>
      <c r="FK796" s="1" t="s">
        <v>229</v>
      </c>
      <c r="FL796" s="1" t="s">
        <v>974</v>
      </c>
      <c r="FM796" s="1">
        <v>10900.0</v>
      </c>
      <c r="FN796" s="1" t="s">
        <v>1435</v>
      </c>
      <c r="FO796" s="1" t="s">
        <v>6288</v>
      </c>
      <c r="FP796" s="1">
        <v>113690.0</v>
      </c>
      <c r="FQ796" s="1" t="s">
        <v>6289</v>
      </c>
      <c r="FU796" s="1" t="s">
        <v>6290</v>
      </c>
      <c r="FV796" s="1" t="s">
        <v>200</v>
      </c>
      <c r="FW796" s="1" t="s">
        <v>290</v>
      </c>
      <c r="FX796" s="1" t="s">
        <v>238</v>
      </c>
      <c r="FZ796" s="1" t="s">
        <v>229</v>
      </c>
      <c r="GA796" s="1" t="s">
        <v>291</v>
      </c>
      <c r="GB796" s="2">
        <v>42097.0</v>
      </c>
      <c r="GC796" s="1" t="s">
        <v>9359</v>
      </c>
    </row>
    <row r="797">
      <c r="A797" s="1">
        <v>315000.0</v>
      </c>
      <c r="B797" s="1" t="s">
        <v>185</v>
      </c>
      <c r="C797" s="1" t="str">
        <f>"08811611"</f>
        <v>08811611</v>
      </c>
      <c r="D797" s="1" t="s">
        <v>186</v>
      </c>
      <c r="F797" s="1" t="str">
        <f>"554"</f>
        <v>554</v>
      </c>
      <c r="G797" s="2">
        <v>42011.0</v>
      </c>
      <c r="H797" s="1">
        <v>329900.0</v>
      </c>
      <c r="I797" s="1">
        <v>59.0</v>
      </c>
      <c r="J797" s="1">
        <v>324900.0</v>
      </c>
      <c r="K797" s="2">
        <v>42069.0</v>
      </c>
      <c r="L797" s="1">
        <v>59.0</v>
      </c>
      <c r="M797" s="2">
        <v>42069.0</v>
      </c>
      <c r="N797" s="1" t="s">
        <v>187</v>
      </c>
      <c r="O797" s="2">
        <v>42111.0</v>
      </c>
      <c r="P797" s="1">
        <v>241068.0</v>
      </c>
      <c r="Q797" s="1">
        <v>25558.0</v>
      </c>
      <c r="S797" s="1">
        <v>3.0</v>
      </c>
      <c r="T797" s="1" t="s">
        <v>993</v>
      </c>
      <c r="U797" s="1" t="s">
        <v>420</v>
      </c>
      <c r="V797" s="1" t="s">
        <v>2212</v>
      </c>
      <c r="W797" s="1">
        <v>60554.0</v>
      </c>
      <c r="Y797" s="1" t="s">
        <v>9360</v>
      </c>
      <c r="Z797" s="1">
        <v>1995.0</v>
      </c>
      <c r="AA797" s="1" t="s">
        <v>200</v>
      </c>
      <c r="AB797" s="1" t="s">
        <v>467</v>
      </c>
      <c r="AC797" s="1" t="s">
        <v>4417</v>
      </c>
      <c r="AD797" s="1" t="s">
        <v>1887</v>
      </c>
      <c r="AE797" s="1" t="s">
        <v>325</v>
      </c>
      <c r="AF797" s="1" t="s">
        <v>1887</v>
      </c>
      <c r="AG797" s="1" t="s">
        <v>752</v>
      </c>
      <c r="AH797" s="1" t="s">
        <v>9361</v>
      </c>
      <c r="AK797" s="1">
        <v>11.0</v>
      </c>
      <c r="AL797" s="1">
        <v>4.0</v>
      </c>
      <c r="AM797" s="1">
        <v>2.0</v>
      </c>
      <c r="AN797" s="1">
        <v>2.0</v>
      </c>
      <c r="AO797" s="1" t="s">
        <v>198</v>
      </c>
      <c r="AP797" s="1">
        <v>1.0</v>
      </c>
      <c r="AQ797" s="1" t="s">
        <v>198</v>
      </c>
      <c r="AR797" s="1" t="s">
        <v>200</v>
      </c>
      <c r="AS797" s="1" t="s">
        <v>199</v>
      </c>
      <c r="AT797" s="1">
        <v>3.0</v>
      </c>
      <c r="AV797" s="1" t="s">
        <v>200</v>
      </c>
      <c r="AW797" s="1">
        <v>7419.0</v>
      </c>
      <c r="AX797" s="1">
        <v>2013.0</v>
      </c>
      <c r="AY797" s="1" t="s">
        <v>387</v>
      </c>
      <c r="AZ797" s="1" t="s">
        <v>200</v>
      </c>
      <c r="BA797" s="1" t="str">
        <f>"1411301043"</f>
        <v>1411301043</v>
      </c>
      <c r="BC797" s="1">
        <v>2816.0</v>
      </c>
      <c r="BD797" s="1">
        <v>315000.0</v>
      </c>
      <c r="BE797" s="2">
        <v>42011.0</v>
      </c>
      <c r="BF797" s="2" t="s">
        <v>9362</v>
      </c>
      <c r="BG797" s="1" t="s">
        <v>4420</v>
      </c>
      <c r="BH797" s="1">
        <v>148.0</v>
      </c>
      <c r="BI797" s="1" t="s">
        <v>4421</v>
      </c>
      <c r="BJ797" s="1" t="s">
        <v>3831</v>
      </c>
      <c r="BK797" s="1" t="s">
        <v>474</v>
      </c>
      <c r="BL797" s="1" t="str">
        <f t="shared" ref="BL797:BM797" si="526">""</f>
        <v/>
      </c>
      <c r="BM797" s="1" t="str">
        <f t="shared" si="526"/>
        <v/>
      </c>
      <c r="BQ797" s="1">
        <v>129.0</v>
      </c>
      <c r="BR797" s="1">
        <v>129.0</v>
      </c>
      <c r="BS797" s="1">
        <v>129.0</v>
      </c>
      <c r="BU797" s="1" t="s">
        <v>1043</v>
      </c>
      <c r="BV797" s="1" t="s">
        <v>206</v>
      </c>
      <c r="BW797" s="1" t="s">
        <v>210</v>
      </c>
      <c r="BX797" s="1" t="s">
        <v>239</v>
      </c>
      <c r="BY797" s="1" t="s">
        <v>5954</v>
      </c>
      <c r="BZ797" s="1" t="s">
        <v>209</v>
      </c>
      <c r="CA797" s="1" t="s">
        <v>210</v>
      </c>
      <c r="CB797" s="1" t="s">
        <v>239</v>
      </c>
      <c r="CC797" s="1" t="s">
        <v>1064</v>
      </c>
      <c r="CD797" s="1" t="s">
        <v>206</v>
      </c>
      <c r="CE797" s="1" t="s">
        <v>210</v>
      </c>
      <c r="CF797" s="1" t="s">
        <v>239</v>
      </c>
      <c r="CG797" s="1" t="s">
        <v>264</v>
      </c>
      <c r="CH797" s="1" t="s">
        <v>209</v>
      </c>
      <c r="CI797" s="1" t="s">
        <v>210</v>
      </c>
      <c r="CJ797" s="1" t="s">
        <v>239</v>
      </c>
      <c r="CK797" s="1" t="s">
        <v>478</v>
      </c>
      <c r="CL797" s="1" t="s">
        <v>209</v>
      </c>
      <c r="CM797" s="1" t="s">
        <v>210</v>
      </c>
      <c r="CN797" s="1" t="s">
        <v>239</v>
      </c>
      <c r="CO797" s="1" t="s">
        <v>300</v>
      </c>
      <c r="CP797" s="1" t="s">
        <v>209</v>
      </c>
      <c r="CQ797" s="1" t="s">
        <v>210</v>
      </c>
      <c r="CR797" s="1" t="s">
        <v>239</v>
      </c>
      <c r="CS797" s="1" t="s">
        <v>1064</v>
      </c>
      <c r="CT797" s="1" t="s">
        <v>206</v>
      </c>
      <c r="CU797" s="1" t="s">
        <v>268</v>
      </c>
      <c r="CV797" s="1" t="s">
        <v>239</v>
      </c>
      <c r="CW797" s="1" t="s">
        <v>1623</v>
      </c>
      <c r="CX797" s="1" t="s">
        <v>206</v>
      </c>
      <c r="CY797" s="1" t="s">
        <v>210</v>
      </c>
      <c r="CZ797" s="1" t="s">
        <v>239</v>
      </c>
      <c r="DA797" s="1" t="s">
        <v>200</v>
      </c>
      <c r="DC797" s="1" t="s">
        <v>678</v>
      </c>
      <c r="DD797" s="1" t="s">
        <v>518</v>
      </c>
      <c r="DE797" s="1" t="s">
        <v>273</v>
      </c>
      <c r="DF797" s="1" t="s">
        <v>219</v>
      </c>
      <c r="DG797" s="1" t="s">
        <v>4561</v>
      </c>
      <c r="DH797" s="1" t="s">
        <v>220</v>
      </c>
      <c r="DI797" s="1" t="s">
        <v>732</v>
      </c>
      <c r="DJ797" s="1" t="s">
        <v>222</v>
      </c>
      <c r="DL797" s="1" t="s">
        <v>224</v>
      </c>
      <c r="DM797" s="1" t="s">
        <v>338</v>
      </c>
      <c r="DN797" s="1" t="s">
        <v>399</v>
      </c>
      <c r="DO797" s="1" t="s">
        <v>440</v>
      </c>
      <c r="DP797" s="1" t="s">
        <v>340</v>
      </c>
      <c r="DQ797" s="1" t="s">
        <v>441</v>
      </c>
      <c r="DR797" s="1" t="s">
        <v>3096</v>
      </c>
      <c r="DU797" s="1" t="s">
        <v>9363</v>
      </c>
      <c r="DV797" s="1" t="s">
        <v>9364</v>
      </c>
      <c r="DW797" s="1" t="s">
        <v>279</v>
      </c>
      <c r="DX797" s="1" t="s">
        <v>234</v>
      </c>
      <c r="DY797" s="1" t="s">
        <v>2961</v>
      </c>
      <c r="EA797" s="1" t="s">
        <v>3308</v>
      </c>
      <c r="EB797" s="1" t="s">
        <v>9365</v>
      </c>
      <c r="EC797" s="1" t="s">
        <v>237</v>
      </c>
      <c r="ED797" s="1" t="s">
        <v>407</v>
      </c>
      <c r="EE797" s="1" t="s">
        <v>493</v>
      </c>
      <c r="EG797" s="1" t="s">
        <v>1102</v>
      </c>
      <c r="EH797" s="1" t="s">
        <v>556</v>
      </c>
      <c r="EI797" s="1" t="s">
        <v>494</v>
      </c>
      <c r="EK797" s="1" t="s">
        <v>450</v>
      </c>
      <c r="EL797" s="1" t="s">
        <v>1395</v>
      </c>
      <c r="EM797" s="1" t="s">
        <v>206</v>
      </c>
      <c r="EN797" s="1" t="s">
        <v>268</v>
      </c>
      <c r="EO797" s="1" t="s">
        <v>239</v>
      </c>
      <c r="EP797" s="1" t="s">
        <v>300</v>
      </c>
      <c r="EQ797" s="1" t="s">
        <v>206</v>
      </c>
      <c r="ER797" s="1" t="s">
        <v>268</v>
      </c>
      <c r="ET797" s="1" t="s">
        <v>264</v>
      </c>
      <c r="EU797" s="1" t="s">
        <v>206</v>
      </c>
      <c r="EV797" s="1" t="s">
        <v>210</v>
      </c>
      <c r="EY797" s="1" t="s">
        <v>238</v>
      </c>
      <c r="FB797" s="1" t="s">
        <v>9366</v>
      </c>
      <c r="FC797" s="1" t="s">
        <v>267</v>
      </c>
      <c r="FD797" s="1" t="s">
        <v>210</v>
      </c>
      <c r="FF797" s="1" t="s">
        <v>239</v>
      </c>
      <c r="FG797" s="1" t="s">
        <v>192</v>
      </c>
      <c r="FH797" s="1" t="s">
        <v>192</v>
      </c>
      <c r="FJ797" s="1" t="s">
        <v>1538</v>
      </c>
      <c r="FK797" s="1" t="s">
        <v>229</v>
      </c>
      <c r="FL797" s="1" t="s">
        <v>4627</v>
      </c>
      <c r="FM797" s="1">
        <v>23030.0</v>
      </c>
      <c r="FN797" s="1" t="s">
        <v>4628</v>
      </c>
      <c r="FO797" s="1" t="s">
        <v>9367</v>
      </c>
      <c r="FP797" s="1">
        <v>219257.0</v>
      </c>
      <c r="FQ797" s="1" t="s">
        <v>9368</v>
      </c>
      <c r="FR797" s="1">
        <v>232431.0</v>
      </c>
      <c r="FS797" s="1" t="s">
        <v>9369</v>
      </c>
      <c r="FU797" s="1" t="s">
        <v>9370</v>
      </c>
      <c r="FV797" s="1" t="s">
        <v>200</v>
      </c>
      <c r="FW797" s="1" t="s">
        <v>9371</v>
      </c>
      <c r="FZ797" s="1" t="s">
        <v>632</v>
      </c>
      <c r="GA797" s="1" t="s">
        <v>291</v>
      </c>
      <c r="GB797" s="2">
        <v>42111.0</v>
      </c>
      <c r="GC797" s="1" t="s">
        <v>9372</v>
      </c>
    </row>
    <row r="798">
      <c r="A798" s="1">
        <v>164000.0</v>
      </c>
      <c r="B798" s="1" t="s">
        <v>185</v>
      </c>
      <c r="C798" s="1" t="str">
        <f>"08809045"</f>
        <v>08809045</v>
      </c>
      <c r="D798" s="1" t="s">
        <v>186</v>
      </c>
      <c r="F798" s="1" t="str">
        <f>"107"</f>
        <v>107</v>
      </c>
      <c r="G798" s="2">
        <v>42007.0</v>
      </c>
      <c r="H798" s="1">
        <v>169500.0</v>
      </c>
      <c r="I798" s="1">
        <v>205.0</v>
      </c>
      <c r="J798" s="1">
        <v>169500.0</v>
      </c>
      <c r="K798" s="2">
        <v>42045.0</v>
      </c>
      <c r="L798" s="1">
        <v>39.0</v>
      </c>
      <c r="M798" s="2">
        <v>42045.0</v>
      </c>
      <c r="N798" s="1" t="s">
        <v>187</v>
      </c>
      <c r="O798" s="2">
        <v>42076.0</v>
      </c>
      <c r="P798" s="1">
        <v>243595.0</v>
      </c>
      <c r="Q798" s="1">
        <v>20179.0</v>
      </c>
      <c r="R798" s="1">
        <v>4920.0</v>
      </c>
      <c r="S798" s="1">
        <v>107.0</v>
      </c>
      <c r="T798" s="1" t="s">
        <v>9373</v>
      </c>
      <c r="U798" s="1" t="s">
        <v>420</v>
      </c>
      <c r="V798" s="1" t="s">
        <v>294</v>
      </c>
      <c r="W798" s="1">
        <v>60107.0</v>
      </c>
      <c r="Y798" s="1" t="s">
        <v>9374</v>
      </c>
      <c r="Z798" s="1">
        <v>1965.0</v>
      </c>
      <c r="AA798" s="1" t="s">
        <v>192</v>
      </c>
      <c r="AB798" s="1" t="s">
        <v>193</v>
      </c>
      <c r="AC798" s="1" t="s">
        <v>9375</v>
      </c>
      <c r="AD798" s="1" t="s">
        <v>297</v>
      </c>
      <c r="AE798" s="1" t="s">
        <v>195</v>
      </c>
      <c r="AF798" s="1" t="s">
        <v>298</v>
      </c>
      <c r="AH798" s="1" t="s">
        <v>1743</v>
      </c>
      <c r="AI798" s="1">
        <v>0.1768</v>
      </c>
      <c r="AK798" s="1">
        <v>8.0</v>
      </c>
      <c r="AL798" s="1">
        <v>4.0</v>
      </c>
      <c r="AM798" s="1">
        <v>1.0</v>
      </c>
      <c r="AN798" s="1">
        <v>0.0</v>
      </c>
      <c r="AO798" s="1" t="s">
        <v>229</v>
      </c>
      <c r="AP798" s="1">
        <v>1.0</v>
      </c>
      <c r="AQ798" s="1" t="s">
        <v>229</v>
      </c>
      <c r="AR798" s="1" t="s">
        <v>200</v>
      </c>
      <c r="AS798" s="1" t="s">
        <v>199</v>
      </c>
      <c r="AT798" s="1">
        <v>1.0</v>
      </c>
      <c r="AV798" s="1" t="s">
        <v>200</v>
      </c>
      <c r="AW798" s="1">
        <v>3700.74</v>
      </c>
      <c r="AX798" s="1">
        <v>2013.0</v>
      </c>
      <c r="AY798" s="1" t="s">
        <v>229</v>
      </c>
      <c r="AZ798" s="1" t="s">
        <v>200</v>
      </c>
      <c r="BA798" s="1" t="str">
        <f>"06222090150000"</f>
        <v>06222090150000</v>
      </c>
      <c r="BB798" s="1" t="s">
        <v>200</v>
      </c>
      <c r="BC798" s="1">
        <v>1600.0</v>
      </c>
      <c r="BD798" s="1">
        <v>164000.0</v>
      </c>
      <c r="BE798" s="2">
        <v>42007.0</v>
      </c>
      <c r="BF798" s="2" t="s">
        <v>9376</v>
      </c>
      <c r="BG798" s="1" t="s">
        <v>2746</v>
      </c>
      <c r="BH798" s="1">
        <v>0.0</v>
      </c>
      <c r="BI798" s="1" t="s">
        <v>756</v>
      </c>
      <c r="BJ798" s="1" t="s">
        <v>757</v>
      </c>
      <c r="BK798" s="1" t="s">
        <v>204</v>
      </c>
      <c r="BL798" s="1" t="str">
        <f>"10"</f>
        <v>10</v>
      </c>
      <c r="BM798" s="1" t="str">
        <f>""</f>
        <v/>
      </c>
      <c r="BN798" s="1">
        <v>29.0</v>
      </c>
      <c r="BQ798" s="1">
        <v>46.0</v>
      </c>
      <c r="BR798" s="1">
        <v>46.0</v>
      </c>
      <c r="BS798" s="1">
        <v>46.0</v>
      </c>
      <c r="BU798" s="1" t="s">
        <v>2181</v>
      </c>
      <c r="BV798" s="1" t="s">
        <v>206</v>
      </c>
      <c r="BW798" s="1" t="s">
        <v>301</v>
      </c>
      <c r="BY798" s="1" t="s">
        <v>495</v>
      </c>
      <c r="BZ798" s="1" t="s">
        <v>206</v>
      </c>
      <c r="CA798" s="1" t="s">
        <v>210</v>
      </c>
      <c r="CC798" s="1" t="s">
        <v>213</v>
      </c>
      <c r="CD798" s="1" t="s">
        <v>206</v>
      </c>
      <c r="CE798" s="1" t="s">
        <v>301</v>
      </c>
      <c r="CG798" s="1" t="s">
        <v>495</v>
      </c>
      <c r="CH798" s="1" t="s">
        <v>206</v>
      </c>
      <c r="CI798" s="1" t="s">
        <v>210</v>
      </c>
      <c r="CK798" s="1" t="s">
        <v>264</v>
      </c>
      <c r="CL798" s="1" t="s">
        <v>206</v>
      </c>
      <c r="CM798" s="1" t="s">
        <v>210</v>
      </c>
      <c r="CO798" s="1" t="s">
        <v>2082</v>
      </c>
      <c r="CP798" s="1" t="s">
        <v>206</v>
      </c>
      <c r="CQ798" s="1" t="s">
        <v>210</v>
      </c>
      <c r="CS798" s="1" t="s">
        <v>1745</v>
      </c>
      <c r="CT798" s="1" t="s">
        <v>206</v>
      </c>
      <c r="CU798" s="1" t="s">
        <v>1136</v>
      </c>
      <c r="CX798" s="1" t="s">
        <v>204</v>
      </c>
      <c r="DA798" s="1" t="s">
        <v>200</v>
      </c>
      <c r="DC798" s="1" t="s">
        <v>517</v>
      </c>
      <c r="DE798" s="1" t="s">
        <v>273</v>
      </c>
      <c r="DF798" s="1" t="s">
        <v>219</v>
      </c>
      <c r="DH798" s="1" t="s">
        <v>220</v>
      </c>
      <c r="DJ798" s="1" t="s">
        <v>222</v>
      </c>
      <c r="DL798" s="1" t="s">
        <v>229</v>
      </c>
      <c r="DM798" s="1" t="s">
        <v>229</v>
      </c>
      <c r="DO798" s="1" t="s">
        <v>549</v>
      </c>
      <c r="DQ798" s="1" t="s">
        <v>228</v>
      </c>
      <c r="DR798" s="1" t="s">
        <v>229</v>
      </c>
      <c r="DV798" s="1" t="s">
        <v>556</v>
      </c>
      <c r="DW798" s="1" t="s">
        <v>233</v>
      </c>
      <c r="DX798" s="1" t="s">
        <v>234</v>
      </c>
      <c r="EA798" s="1" t="s">
        <v>683</v>
      </c>
      <c r="EB798" s="1" t="s">
        <v>937</v>
      </c>
      <c r="EC798" s="1" t="s">
        <v>685</v>
      </c>
      <c r="EH798" s="1" t="s">
        <v>556</v>
      </c>
      <c r="EM798" s="1" t="s">
        <v>238</v>
      </c>
      <c r="EP798" s="1" t="s">
        <v>516</v>
      </c>
      <c r="EQ798" s="1" t="s">
        <v>206</v>
      </c>
      <c r="EU798" s="1" t="s">
        <v>238</v>
      </c>
      <c r="EY798" s="1" t="s">
        <v>238</v>
      </c>
      <c r="FC798" s="1" t="s">
        <v>238</v>
      </c>
      <c r="FF798" s="1" t="s">
        <v>239</v>
      </c>
      <c r="FG798" s="1" t="s">
        <v>192</v>
      </c>
      <c r="FH798" s="1" t="s">
        <v>192</v>
      </c>
      <c r="FJ798" s="1" t="s">
        <v>9377</v>
      </c>
      <c r="FK798" s="1" t="s">
        <v>229</v>
      </c>
      <c r="FL798" s="1" t="s">
        <v>7278</v>
      </c>
      <c r="FM798" s="1">
        <v>17589.0</v>
      </c>
      <c r="FN798" s="1" t="s">
        <v>7279</v>
      </c>
      <c r="FO798" s="1" t="s">
        <v>7280</v>
      </c>
      <c r="FP798" s="1">
        <v>132655.0</v>
      </c>
      <c r="FQ798" s="1" t="s">
        <v>7281</v>
      </c>
      <c r="FU798" s="1" t="s">
        <v>9378</v>
      </c>
      <c r="FV798" s="1" t="s">
        <v>200</v>
      </c>
      <c r="FW798" s="1" t="s">
        <v>290</v>
      </c>
      <c r="FZ798" s="1" t="s">
        <v>229</v>
      </c>
      <c r="GA798" s="1" t="s">
        <v>291</v>
      </c>
      <c r="GB798" s="2">
        <v>42076.0</v>
      </c>
      <c r="GC798" s="1" t="s">
        <v>9379</v>
      </c>
    </row>
    <row r="799">
      <c r="A799" s="1">
        <v>168000.0</v>
      </c>
      <c r="B799" s="1" t="s">
        <v>185</v>
      </c>
      <c r="C799" s="1" t="str">
        <f>"08810412"</f>
        <v>08810412</v>
      </c>
      <c r="D799" s="1" t="s">
        <v>186</v>
      </c>
      <c r="F799" s="1" t="str">
        <f>"8050"</f>
        <v>8050</v>
      </c>
      <c r="G799" s="2">
        <v>42010.0</v>
      </c>
      <c r="H799" s="1">
        <v>169900.0</v>
      </c>
      <c r="I799" s="1">
        <v>35.0</v>
      </c>
      <c r="J799" s="1">
        <v>169900.0</v>
      </c>
      <c r="K799" s="2">
        <v>42044.0</v>
      </c>
      <c r="L799" s="1">
        <v>35.0</v>
      </c>
      <c r="M799" s="2">
        <v>42044.0</v>
      </c>
      <c r="N799" s="1" t="s">
        <v>356</v>
      </c>
      <c r="O799" s="2">
        <v>42094.0</v>
      </c>
      <c r="P799" s="1">
        <v>174236.0</v>
      </c>
      <c r="Q799" s="1">
        <v>13327.0</v>
      </c>
      <c r="R799" s="1">
        <v>3.0</v>
      </c>
      <c r="S799" s="1">
        <v>9700.0</v>
      </c>
      <c r="T799" s="1" t="s">
        <v>6949</v>
      </c>
      <c r="U799" s="1" t="s">
        <v>189</v>
      </c>
      <c r="V799" s="1" t="s">
        <v>190</v>
      </c>
      <c r="W799" s="1">
        <v>60628.0</v>
      </c>
      <c r="Y799" s="1" t="s">
        <v>9380</v>
      </c>
      <c r="Z799" s="1">
        <v>1929.0</v>
      </c>
      <c r="AA799" s="1" t="s">
        <v>192</v>
      </c>
      <c r="AB799" s="1" t="s">
        <v>193</v>
      </c>
      <c r="AD799" s="1" t="s">
        <v>194</v>
      </c>
      <c r="AE799" s="1" t="s">
        <v>195</v>
      </c>
      <c r="AF799" s="1" t="s">
        <v>637</v>
      </c>
      <c r="AH799" s="1">
        <v>3720.0</v>
      </c>
      <c r="AK799" s="1">
        <v>9.0</v>
      </c>
      <c r="AL799" s="1">
        <v>3.0</v>
      </c>
      <c r="AM799" s="1">
        <v>3.0</v>
      </c>
      <c r="AN799" s="1">
        <v>0.0</v>
      </c>
      <c r="AO799" s="1" t="s">
        <v>198</v>
      </c>
      <c r="AQ799" s="1" t="s">
        <v>198</v>
      </c>
      <c r="AR799" s="1" t="s">
        <v>192</v>
      </c>
      <c r="AS799" s="1" t="s">
        <v>199</v>
      </c>
      <c r="AT799" s="1">
        <v>2.0</v>
      </c>
      <c r="AV799" s="1" t="s">
        <v>200</v>
      </c>
      <c r="AW799" s="1">
        <v>2170.0</v>
      </c>
      <c r="AX799" s="1">
        <v>2012.0</v>
      </c>
      <c r="AY799" s="1" t="s">
        <v>229</v>
      </c>
      <c r="AZ799" s="1" t="s">
        <v>200</v>
      </c>
      <c r="BA799" s="1" t="str">
        <f>"25112060830000"</f>
        <v>25112060830000</v>
      </c>
      <c r="BC799" s="1">
        <v>1500.0</v>
      </c>
      <c r="BD799" s="1">
        <v>168000.0</v>
      </c>
      <c r="BE799" s="2">
        <v>42010.0</v>
      </c>
      <c r="BF799" s="1" t="s">
        <v>9381</v>
      </c>
      <c r="BH799" s="1">
        <v>0.0</v>
      </c>
      <c r="BK799" s="1" t="s">
        <v>204</v>
      </c>
      <c r="BL799" s="1" t="str">
        <f>"0"</f>
        <v>0</v>
      </c>
      <c r="BM799" s="1" t="str">
        <f>"1032"</f>
        <v>1032</v>
      </c>
      <c r="BN799" s="1">
        <v>0.0</v>
      </c>
      <c r="BO799" s="1">
        <v>9700.0</v>
      </c>
      <c r="BQ799" s="1">
        <v>299.0</v>
      </c>
      <c r="BR799" s="1">
        <v>299.0</v>
      </c>
      <c r="BS799" s="1">
        <v>299.0</v>
      </c>
      <c r="BU799" s="1" t="s">
        <v>454</v>
      </c>
      <c r="BV799" s="1" t="s">
        <v>206</v>
      </c>
      <c r="BW799" s="1" t="s">
        <v>207</v>
      </c>
      <c r="BY799" s="1" t="s">
        <v>2120</v>
      </c>
      <c r="BZ799" s="1" t="s">
        <v>209</v>
      </c>
      <c r="CA799" s="1" t="s">
        <v>210</v>
      </c>
      <c r="CC799" s="1" t="s">
        <v>212</v>
      </c>
      <c r="CD799" s="1" t="s">
        <v>206</v>
      </c>
      <c r="CE799" s="1" t="s">
        <v>207</v>
      </c>
      <c r="CG799" s="1" t="s">
        <v>332</v>
      </c>
      <c r="CH799" s="1" t="s">
        <v>209</v>
      </c>
      <c r="CI799" s="1" t="s">
        <v>210</v>
      </c>
      <c r="CK799" s="1" t="s">
        <v>212</v>
      </c>
      <c r="CL799" s="1" t="s">
        <v>206</v>
      </c>
      <c r="CM799" s="1" t="s">
        <v>207</v>
      </c>
      <c r="CO799" s="1" t="s">
        <v>303</v>
      </c>
      <c r="CP799" s="1" t="s">
        <v>42</v>
      </c>
      <c r="CQ799" s="1" t="s">
        <v>268</v>
      </c>
      <c r="CS799" s="1" t="s">
        <v>266</v>
      </c>
      <c r="CT799" s="1" t="s">
        <v>206</v>
      </c>
      <c r="CU799" s="1" t="s">
        <v>268</v>
      </c>
      <c r="CW799" s="1" t="s">
        <v>454</v>
      </c>
      <c r="CX799" s="1" t="s">
        <v>42</v>
      </c>
      <c r="CY799" s="1" t="s">
        <v>268</v>
      </c>
      <c r="DA799" s="1" t="s">
        <v>200</v>
      </c>
      <c r="DC799" s="1" t="s">
        <v>785</v>
      </c>
      <c r="DE799" s="1" t="s">
        <v>273</v>
      </c>
      <c r="DF799" s="1" t="s">
        <v>905</v>
      </c>
      <c r="DH799" s="1" t="s">
        <v>365</v>
      </c>
      <c r="DJ799" s="1" t="s">
        <v>222</v>
      </c>
      <c r="DL799" s="1" t="s">
        <v>224</v>
      </c>
      <c r="DM799" s="1" t="s">
        <v>229</v>
      </c>
      <c r="DN799" s="1" t="s">
        <v>7878</v>
      </c>
      <c r="DQ799" s="1" t="s">
        <v>228</v>
      </c>
      <c r="DR799" s="1" t="s">
        <v>229</v>
      </c>
      <c r="DV799" s="1" t="s">
        <v>494</v>
      </c>
      <c r="DW799" s="1" t="s">
        <v>279</v>
      </c>
      <c r="DX799" s="1" t="s">
        <v>234</v>
      </c>
      <c r="DY799" s="1" t="s">
        <v>4250</v>
      </c>
      <c r="EC799" s="1" t="s">
        <v>645</v>
      </c>
      <c r="EG799" s="1" t="s">
        <v>494</v>
      </c>
      <c r="EL799" s="1" t="s">
        <v>495</v>
      </c>
      <c r="EM799" s="1" t="s">
        <v>206</v>
      </c>
      <c r="EN799" s="1" t="s">
        <v>207</v>
      </c>
      <c r="EQ799" s="1" t="s">
        <v>238</v>
      </c>
      <c r="EU799" s="1" t="s">
        <v>238</v>
      </c>
      <c r="EY799" s="1" t="s">
        <v>238</v>
      </c>
      <c r="FC799" s="1" t="s">
        <v>238</v>
      </c>
      <c r="FF799" s="1" t="s">
        <v>239</v>
      </c>
      <c r="FG799" s="1" t="s">
        <v>192</v>
      </c>
      <c r="FH799" s="1" t="s">
        <v>192</v>
      </c>
      <c r="FJ799" s="1" t="s">
        <v>498</v>
      </c>
      <c r="FK799" s="1" t="s">
        <v>229</v>
      </c>
      <c r="FL799" s="1" t="s">
        <v>3565</v>
      </c>
      <c r="FM799" s="1">
        <v>25494.0</v>
      </c>
      <c r="FN799" s="1" t="s">
        <v>9382</v>
      </c>
      <c r="FO799" s="1" t="s">
        <v>9383</v>
      </c>
      <c r="FP799" s="1">
        <v>505135.0</v>
      </c>
      <c r="FQ799" s="1" t="s">
        <v>9384</v>
      </c>
      <c r="FS799" s="1" t="s">
        <v>9385</v>
      </c>
      <c r="FU799" s="1" t="s">
        <v>9386</v>
      </c>
      <c r="FV799" s="1" t="s">
        <v>192</v>
      </c>
      <c r="FW799" s="1" t="s">
        <v>2754</v>
      </c>
      <c r="FX799" s="1" t="s">
        <v>655</v>
      </c>
      <c r="FZ799" s="1" t="s">
        <v>229</v>
      </c>
      <c r="GA799" s="1" t="s">
        <v>291</v>
      </c>
      <c r="GB799" s="2">
        <v>42096.0</v>
      </c>
      <c r="GC799" s="1" t="s">
        <v>9387</v>
      </c>
    </row>
    <row r="800">
      <c r="A800" s="1">
        <v>205000.0</v>
      </c>
      <c r="B800" s="1" t="s">
        <v>185</v>
      </c>
      <c r="C800" s="1" t="str">
        <f>"08816588"</f>
        <v>08816588</v>
      </c>
      <c r="D800" s="1" t="s">
        <v>186</v>
      </c>
      <c r="F800" s="1" t="str">
        <f>"115"</f>
        <v>115</v>
      </c>
      <c r="G800" s="2">
        <v>42018.0</v>
      </c>
      <c r="H800" s="1">
        <v>209900.0</v>
      </c>
      <c r="I800" s="1">
        <v>53.0</v>
      </c>
      <c r="J800" s="1">
        <v>209900.0</v>
      </c>
      <c r="K800" s="2">
        <v>42070.0</v>
      </c>
      <c r="L800" s="1">
        <v>53.0</v>
      </c>
      <c r="M800" s="2">
        <v>42070.0</v>
      </c>
      <c r="N800" s="1" t="s">
        <v>187</v>
      </c>
      <c r="O800" s="2">
        <v>42116.0</v>
      </c>
      <c r="P800" s="1">
        <v>237456.0</v>
      </c>
      <c r="Q800" s="1">
        <v>24811.0</v>
      </c>
      <c r="S800" s="1">
        <v>1220.0</v>
      </c>
      <c r="T800" s="1" t="s">
        <v>9388</v>
      </c>
      <c r="U800" s="1" t="s">
        <v>320</v>
      </c>
      <c r="V800" s="1" t="s">
        <v>610</v>
      </c>
      <c r="W800" s="1">
        <v>60115.0</v>
      </c>
      <c r="Y800" s="1" t="s">
        <v>9389</v>
      </c>
      <c r="Z800" s="1">
        <v>1966.0</v>
      </c>
      <c r="AA800" s="1" t="s">
        <v>192</v>
      </c>
      <c r="AB800" s="1" t="s">
        <v>193</v>
      </c>
      <c r="AD800" s="1" t="s">
        <v>612</v>
      </c>
      <c r="AE800" s="1" t="s">
        <v>613</v>
      </c>
      <c r="AF800" s="1" t="s">
        <v>612</v>
      </c>
      <c r="AH800" s="1" t="s">
        <v>9390</v>
      </c>
      <c r="AK800" s="1">
        <v>11.0</v>
      </c>
      <c r="AL800" s="1">
        <v>3.0</v>
      </c>
      <c r="AM800" s="1">
        <v>2.0</v>
      </c>
      <c r="AN800" s="1">
        <v>1.0</v>
      </c>
      <c r="AO800" s="1" t="s">
        <v>198</v>
      </c>
      <c r="AP800" s="1">
        <v>2.0</v>
      </c>
      <c r="AQ800" s="1" t="s">
        <v>198</v>
      </c>
      <c r="AR800" s="1" t="s">
        <v>192</v>
      </c>
      <c r="AS800" s="1" t="s">
        <v>510</v>
      </c>
      <c r="AT800" s="1">
        <v>2.0</v>
      </c>
      <c r="AU800" s="1">
        <v>4.0</v>
      </c>
      <c r="AV800" s="1" t="s">
        <v>200</v>
      </c>
      <c r="AW800" s="1">
        <v>4946.14</v>
      </c>
      <c r="AX800" s="1">
        <v>2013.0</v>
      </c>
      <c r="AY800" s="1" t="s">
        <v>1179</v>
      </c>
      <c r="AZ800" s="1" t="s">
        <v>200</v>
      </c>
      <c r="BA800" s="1" t="str">
        <f>"0827277011"</f>
        <v>0827277011</v>
      </c>
      <c r="BB800" s="1" t="s">
        <v>200</v>
      </c>
      <c r="BC800" s="1">
        <v>0.0</v>
      </c>
      <c r="BD800" s="1">
        <v>205000.0</v>
      </c>
      <c r="BE800" s="2">
        <v>42018.0</v>
      </c>
      <c r="BF800" s="2" t="s">
        <v>9391</v>
      </c>
      <c r="BH800" s="1">
        <v>0.0</v>
      </c>
      <c r="BK800" s="1" t="s">
        <v>204</v>
      </c>
      <c r="BL800" s="1" t="str">
        <f t="shared" ref="BL800:BM800" si="527">""</f>
        <v/>
      </c>
      <c r="BM800" s="1" t="str">
        <f t="shared" si="527"/>
        <v/>
      </c>
      <c r="BQ800" s="1">
        <v>428.0</v>
      </c>
      <c r="BR800" s="1">
        <v>428.0</v>
      </c>
      <c r="BS800" s="1">
        <v>428.0</v>
      </c>
      <c r="BU800" s="1" t="s">
        <v>9392</v>
      </c>
      <c r="BV800" s="1" t="s">
        <v>206</v>
      </c>
      <c r="BW800" s="1" t="s">
        <v>210</v>
      </c>
      <c r="BX800" s="1" t="s">
        <v>431</v>
      </c>
      <c r="BY800" s="1" t="s">
        <v>925</v>
      </c>
      <c r="BZ800" s="1" t="s">
        <v>206</v>
      </c>
      <c r="CA800" s="1" t="s">
        <v>210</v>
      </c>
      <c r="CB800" s="1" t="s">
        <v>431</v>
      </c>
      <c r="CC800" s="1" t="s">
        <v>542</v>
      </c>
      <c r="CD800" s="1" t="s">
        <v>206</v>
      </c>
      <c r="CE800" s="1" t="s">
        <v>210</v>
      </c>
      <c r="CF800" s="1" t="s">
        <v>431</v>
      </c>
      <c r="CG800" s="1" t="s">
        <v>262</v>
      </c>
      <c r="CH800" s="1" t="s">
        <v>206</v>
      </c>
      <c r="CI800" s="1" t="s">
        <v>207</v>
      </c>
      <c r="CJ800" s="1" t="s">
        <v>239</v>
      </c>
      <c r="CK800" s="1" t="s">
        <v>699</v>
      </c>
      <c r="CL800" s="1" t="s">
        <v>206</v>
      </c>
      <c r="CM800" s="1" t="s">
        <v>207</v>
      </c>
      <c r="CN800" s="1" t="s">
        <v>239</v>
      </c>
      <c r="CO800" s="1" t="s">
        <v>1190</v>
      </c>
      <c r="CP800" s="1" t="s">
        <v>42</v>
      </c>
      <c r="CQ800" s="1" t="s">
        <v>210</v>
      </c>
      <c r="CR800" s="1" t="s">
        <v>229</v>
      </c>
      <c r="CS800" s="1" t="s">
        <v>1158</v>
      </c>
      <c r="CT800" s="1" t="s">
        <v>206</v>
      </c>
      <c r="CU800" s="1" t="s">
        <v>207</v>
      </c>
      <c r="CV800" s="1" t="s">
        <v>239</v>
      </c>
      <c r="CW800" s="1" t="s">
        <v>1395</v>
      </c>
      <c r="CX800" s="1" t="s">
        <v>206</v>
      </c>
      <c r="CY800" s="1" t="s">
        <v>207</v>
      </c>
      <c r="CZ800" s="1" t="s">
        <v>239</v>
      </c>
      <c r="DA800" s="1" t="s">
        <v>200</v>
      </c>
      <c r="DC800" s="1" t="s">
        <v>517</v>
      </c>
      <c r="DD800" s="1" t="s">
        <v>3019</v>
      </c>
      <c r="DE800" s="1" t="s">
        <v>273</v>
      </c>
      <c r="DF800" s="1" t="s">
        <v>219</v>
      </c>
      <c r="DG800" s="1" t="s">
        <v>337</v>
      </c>
      <c r="DH800" s="1" t="s">
        <v>220</v>
      </c>
      <c r="DI800" s="1" t="s">
        <v>680</v>
      </c>
      <c r="DJ800" s="1" t="s">
        <v>222</v>
      </c>
      <c r="DL800" s="1" t="s">
        <v>224</v>
      </c>
      <c r="DM800" s="1" t="s">
        <v>1268</v>
      </c>
      <c r="DN800" s="1" t="s">
        <v>367</v>
      </c>
      <c r="DO800" s="1" t="s">
        <v>1004</v>
      </c>
      <c r="DP800" s="1" t="s">
        <v>276</v>
      </c>
      <c r="DQ800" s="1" t="s">
        <v>441</v>
      </c>
      <c r="DR800" s="1" t="s">
        <v>229</v>
      </c>
      <c r="DS800" s="1" t="s">
        <v>368</v>
      </c>
      <c r="DU800" s="1" t="s">
        <v>9393</v>
      </c>
      <c r="DV800" s="1" t="s">
        <v>9394</v>
      </c>
      <c r="DW800" s="1" t="s">
        <v>279</v>
      </c>
      <c r="DX800" s="1" t="s">
        <v>234</v>
      </c>
      <c r="DY800" s="1" t="s">
        <v>9395</v>
      </c>
      <c r="DZ800" s="1" t="s">
        <v>9396</v>
      </c>
      <c r="EA800" s="1" t="s">
        <v>683</v>
      </c>
      <c r="EB800" s="1" t="s">
        <v>1823</v>
      </c>
      <c r="EC800" s="1" t="s">
        <v>685</v>
      </c>
      <c r="ED800" s="1" t="s">
        <v>407</v>
      </c>
      <c r="EF800" s="1" t="s">
        <v>7505</v>
      </c>
      <c r="EG800" s="1" t="s">
        <v>1824</v>
      </c>
      <c r="EH800" s="1" t="s">
        <v>451</v>
      </c>
      <c r="EI800" s="1" t="s">
        <v>1491</v>
      </c>
      <c r="EJ800" s="1" t="s">
        <v>1103</v>
      </c>
      <c r="EK800" s="1" t="s">
        <v>310</v>
      </c>
      <c r="EL800" s="1" t="s">
        <v>1329</v>
      </c>
      <c r="EM800" s="1" t="s">
        <v>42</v>
      </c>
      <c r="EN800" s="1" t="s">
        <v>210</v>
      </c>
      <c r="EO800" s="1" t="s">
        <v>229</v>
      </c>
      <c r="EP800" s="1" t="s">
        <v>1398</v>
      </c>
      <c r="EQ800" s="1" t="s">
        <v>42</v>
      </c>
      <c r="ER800" s="1" t="s">
        <v>210</v>
      </c>
      <c r="ES800" s="1" t="s">
        <v>229</v>
      </c>
      <c r="ET800" s="1" t="s">
        <v>830</v>
      </c>
      <c r="EU800" s="1" t="s">
        <v>42</v>
      </c>
      <c r="EV800" s="1" t="s">
        <v>588</v>
      </c>
      <c r="EW800" s="1" t="s">
        <v>229</v>
      </c>
      <c r="EX800" s="1" t="s">
        <v>877</v>
      </c>
      <c r="EY800" s="1" t="s">
        <v>42</v>
      </c>
      <c r="EZ800" s="1" t="s">
        <v>588</v>
      </c>
      <c r="FA800" s="1" t="s">
        <v>229</v>
      </c>
      <c r="FB800" s="1" t="s">
        <v>300</v>
      </c>
      <c r="FC800" s="1" t="s">
        <v>206</v>
      </c>
      <c r="FD800" s="1" t="s">
        <v>588</v>
      </c>
      <c r="FF800" s="1" t="s">
        <v>239</v>
      </c>
      <c r="FG800" s="1" t="s">
        <v>192</v>
      </c>
      <c r="FH800" s="1" t="s">
        <v>192</v>
      </c>
      <c r="FJ800" s="1" t="s">
        <v>9397</v>
      </c>
      <c r="FK800" s="1" t="s">
        <v>229</v>
      </c>
      <c r="FL800" s="1" t="s">
        <v>9398</v>
      </c>
      <c r="FM800" s="1">
        <v>93094.0</v>
      </c>
      <c r="FN800" s="1" t="s">
        <v>9399</v>
      </c>
      <c r="FO800" s="1" t="s">
        <v>9400</v>
      </c>
      <c r="FP800" s="1">
        <v>930256.0</v>
      </c>
      <c r="FQ800" s="1" t="s">
        <v>9401</v>
      </c>
      <c r="FU800" s="1" t="s">
        <v>9402</v>
      </c>
      <c r="FV800" s="1" t="s">
        <v>200</v>
      </c>
      <c r="FW800" s="1" t="s">
        <v>9403</v>
      </c>
      <c r="FZ800" s="1" t="s">
        <v>229</v>
      </c>
      <c r="GA800" s="1" t="s">
        <v>291</v>
      </c>
      <c r="GB800" s="2">
        <v>42117.0</v>
      </c>
      <c r="GC800" s="1" t="s">
        <v>9404</v>
      </c>
    </row>
    <row r="801">
      <c r="A801" s="1">
        <v>241500.0</v>
      </c>
      <c r="B801" s="1" t="s">
        <v>185</v>
      </c>
      <c r="C801" s="1" t="str">
        <f>"08810756"</f>
        <v>08810756</v>
      </c>
      <c r="D801" s="1" t="s">
        <v>186</v>
      </c>
      <c r="F801" s="1" t="str">
        <f>"542"</f>
        <v>542</v>
      </c>
      <c r="G801" s="2">
        <v>42010.0</v>
      </c>
      <c r="H801" s="1">
        <v>249900.0</v>
      </c>
      <c r="I801" s="1">
        <v>356.0</v>
      </c>
      <c r="J801" s="1">
        <v>249900.0</v>
      </c>
      <c r="K801" s="2">
        <v>42042.0</v>
      </c>
      <c r="L801" s="1">
        <v>33.0</v>
      </c>
      <c r="M801" s="2">
        <v>42042.0</v>
      </c>
      <c r="N801" s="1" t="s">
        <v>187</v>
      </c>
      <c r="O801" s="2">
        <v>42075.0</v>
      </c>
      <c r="P801" s="1">
        <v>250831.0</v>
      </c>
      <c r="Q801" s="1">
        <v>25163.0</v>
      </c>
      <c r="S801" s="1">
        <v>1107.0</v>
      </c>
      <c r="T801" s="1" t="s">
        <v>5191</v>
      </c>
      <c r="U801" s="1" t="s">
        <v>569</v>
      </c>
      <c r="V801" s="1" t="s">
        <v>3984</v>
      </c>
      <c r="W801" s="1">
        <v>60542.0</v>
      </c>
      <c r="Y801" s="1" t="s">
        <v>9405</v>
      </c>
      <c r="Z801" s="1">
        <v>1994.0</v>
      </c>
      <c r="AA801" s="1" t="s">
        <v>200</v>
      </c>
      <c r="AB801" s="1" t="s">
        <v>193</v>
      </c>
      <c r="AC801" s="1" t="s">
        <v>4811</v>
      </c>
      <c r="AD801" s="1" t="s">
        <v>3986</v>
      </c>
      <c r="AE801" s="1" t="s">
        <v>325</v>
      </c>
      <c r="AF801" s="1" t="s">
        <v>2702</v>
      </c>
      <c r="AH801" s="1" t="s">
        <v>9406</v>
      </c>
      <c r="AK801" s="1">
        <v>9.0</v>
      </c>
      <c r="AL801" s="1">
        <v>4.0</v>
      </c>
      <c r="AM801" s="1">
        <v>2.0</v>
      </c>
      <c r="AN801" s="1">
        <v>1.0</v>
      </c>
      <c r="AO801" s="1" t="s">
        <v>198</v>
      </c>
      <c r="AP801" s="1">
        <v>1.0</v>
      </c>
      <c r="AQ801" s="1" t="s">
        <v>198</v>
      </c>
      <c r="AR801" s="1" t="s">
        <v>200</v>
      </c>
      <c r="AS801" s="1" t="s">
        <v>199</v>
      </c>
      <c r="AT801" s="1">
        <v>3.0</v>
      </c>
      <c r="AV801" s="1" t="s">
        <v>200</v>
      </c>
      <c r="AW801" s="1">
        <v>8862.0</v>
      </c>
      <c r="AX801" s="1">
        <v>2013.0</v>
      </c>
      <c r="AY801" s="1" t="s">
        <v>387</v>
      </c>
      <c r="AZ801" s="1" t="s">
        <v>200</v>
      </c>
      <c r="BA801" s="1" t="str">
        <f>"1234227015"</f>
        <v>1234227015</v>
      </c>
      <c r="BC801" s="1">
        <v>2362.0</v>
      </c>
      <c r="BD801" s="1">
        <v>241500.0</v>
      </c>
      <c r="BE801" s="2">
        <v>42010.0</v>
      </c>
      <c r="BF801" s="2" t="s">
        <v>9407</v>
      </c>
      <c r="BG801" s="1" t="s">
        <v>4059</v>
      </c>
      <c r="BH801" s="1">
        <v>0.0</v>
      </c>
      <c r="BI801" s="1" t="s">
        <v>4421</v>
      </c>
      <c r="BJ801" s="1" t="s">
        <v>3831</v>
      </c>
      <c r="BK801" s="1" t="s">
        <v>204</v>
      </c>
      <c r="BL801" s="1" t="str">
        <f t="shared" ref="BL801:BM801" si="528">""</f>
        <v/>
      </c>
      <c r="BM801" s="1" t="str">
        <f t="shared" si="528"/>
        <v/>
      </c>
      <c r="BQ801" s="1">
        <v>129.0</v>
      </c>
      <c r="BR801" s="1">
        <v>129.0</v>
      </c>
      <c r="BS801" s="1">
        <v>129.0</v>
      </c>
      <c r="BU801" s="1" t="s">
        <v>361</v>
      </c>
      <c r="BV801" s="1" t="s">
        <v>206</v>
      </c>
      <c r="BW801" s="1" t="s">
        <v>210</v>
      </c>
      <c r="BY801" s="1" t="s">
        <v>782</v>
      </c>
      <c r="BZ801" s="1" t="s">
        <v>209</v>
      </c>
      <c r="CA801" s="1" t="s">
        <v>210</v>
      </c>
      <c r="CC801" s="1" t="s">
        <v>497</v>
      </c>
      <c r="CD801" s="1" t="s">
        <v>206</v>
      </c>
      <c r="CE801" s="1" t="s">
        <v>210</v>
      </c>
      <c r="CG801" s="1" t="s">
        <v>215</v>
      </c>
      <c r="CH801" s="1" t="s">
        <v>209</v>
      </c>
      <c r="CI801" s="1" t="s">
        <v>210</v>
      </c>
      <c r="CK801" s="1" t="s">
        <v>215</v>
      </c>
      <c r="CL801" s="1" t="s">
        <v>209</v>
      </c>
      <c r="CM801" s="1" t="s">
        <v>210</v>
      </c>
      <c r="CO801" s="1" t="s">
        <v>393</v>
      </c>
      <c r="CP801" s="1" t="s">
        <v>209</v>
      </c>
      <c r="CQ801" s="1" t="s">
        <v>210</v>
      </c>
      <c r="CS801" s="1" t="s">
        <v>544</v>
      </c>
      <c r="CT801" s="1" t="s">
        <v>206</v>
      </c>
      <c r="CU801" s="1" t="s">
        <v>207</v>
      </c>
      <c r="CW801" s="1" t="s">
        <v>361</v>
      </c>
      <c r="CX801" s="1" t="s">
        <v>206</v>
      </c>
      <c r="CY801" s="1" t="s">
        <v>207</v>
      </c>
      <c r="DA801" s="1" t="s">
        <v>200</v>
      </c>
      <c r="DC801" s="1" t="s">
        <v>435</v>
      </c>
      <c r="DD801" s="1" t="s">
        <v>396</v>
      </c>
      <c r="DE801" s="1" t="s">
        <v>273</v>
      </c>
      <c r="DF801" s="1" t="s">
        <v>219</v>
      </c>
      <c r="DG801" s="1" t="s">
        <v>482</v>
      </c>
      <c r="DH801" s="1" t="s">
        <v>220</v>
      </c>
      <c r="DI801" s="1" t="s">
        <v>221</v>
      </c>
      <c r="DJ801" s="1" t="s">
        <v>222</v>
      </c>
      <c r="DL801" s="1" t="s">
        <v>224</v>
      </c>
      <c r="DM801" s="1" t="s">
        <v>338</v>
      </c>
      <c r="DN801" s="1" t="s">
        <v>399</v>
      </c>
      <c r="DO801" s="1" t="s">
        <v>930</v>
      </c>
      <c r="DP801" s="1" t="s">
        <v>340</v>
      </c>
      <c r="DQ801" s="1" t="s">
        <v>228</v>
      </c>
      <c r="DR801" s="1" t="s">
        <v>229</v>
      </c>
      <c r="DS801" s="1" t="s">
        <v>368</v>
      </c>
      <c r="DU801" s="1" t="s">
        <v>1049</v>
      </c>
      <c r="DV801" s="1" t="s">
        <v>450</v>
      </c>
      <c r="DW801" s="1" t="s">
        <v>233</v>
      </c>
      <c r="DX801" s="1" t="s">
        <v>234</v>
      </c>
      <c r="DY801" s="1" t="s">
        <v>490</v>
      </c>
      <c r="DZ801" s="1" t="s">
        <v>282</v>
      </c>
      <c r="EA801" s="1" t="s">
        <v>344</v>
      </c>
      <c r="EB801" s="1" t="s">
        <v>937</v>
      </c>
      <c r="EC801" s="1" t="s">
        <v>237</v>
      </c>
      <c r="ED801" s="1" t="s">
        <v>407</v>
      </c>
      <c r="EG801" s="1" t="s">
        <v>450</v>
      </c>
      <c r="EL801" s="1" t="s">
        <v>9408</v>
      </c>
      <c r="EM801" s="1" t="s">
        <v>42</v>
      </c>
      <c r="EN801" s="1" t="s">
        <v>210</v>
      </c>
      <c r="EQ801" s="1" t="s">
        <v>238</v>
      </c>
      <c r="EU801" s="1" t="s">
        <v>238</v>
      </c>
      <c r="EY801" s="1" t="s">
        <v>238</v>
      </c>
      <c r="FC801" s="1" t="s">
        <v>238</v>
      </c>
      <c r="FF801" s="1" t="s">
        <v>239</v>
      </c>
      <c r="FG801" s="1" t="s">
        <v>192</v>
      </c>
      <c r="FH801" s="1" t="s">
        <v>192</v>
      </c>
      <c r="FJ801" s="1" t="s">
        <v>2206</v>
      </c>
      <c r="FK801" s="1" t="s">
        <v>229</v>
      </c>
      <c r="FL801" s="1" t="s">
        <v>893</v>
      </c>
      <c r="FM801" s="1">
        <v>604.0</v>
      </c>
      <c r="FN801" s="1" t="s">
        <v>894</v>
      </c>
      <c r="FO801" s="1" t="s">
        <v>2207</v>
      </c>
      <c r="FP801" s="1">
        <v>681.0</v>
      </c>
      <c r="FQ801" s="1" t="s">
        <v>2208</v>
      </c>
      <c r="FR801" s="1">
        <v>824.0</v>
      </c>
      <c r="FS801" s="1" t="s">
        <v>2209</v>
      </c>
      <c r="FU801" s="1" t="s">
        <v>9409</v>
      </c>
      <c r="FV801" s="1" t="s">
        <v>200</v>
      </c>
      <c r="FW801" s="1" t="s">
        <v>530</v>
      </c>
      <c r="FZ801" s="1" t="s">
        <v>229</v>
      </c>
      <c r="GA801" s="1" t="s">
        <v>291</v>
      </c>
      <c r="GB801" s="2">
        <v>42075.0</v>
      </c>
    </row>
    <row r="802">
      <c r="A802" s="1">
        <v>272000.0</v>
      </c>
      <c r="B802" s="1" t="s">
        <v>185</v>
      </c>
      <c r="C802" s="1" t="str">
        <f>"08809803"</f>
        <v>08809803</v>
      </c>
      <c r="D802" s="1" t="s">
        <v>186</v>
      </c>
      <c r="F802" s="1" t="str">
        <f>"8019"</f>
        <v>8019</v>
      </c>
      <c r="G802" s="2">
        <v>42009.0</v>
      </c>
      <c r="H802" s="1">
        <v>299500.0</v>
      </c>
      <c r="I802" s="1">
        <v>71.0</v>
      </c>
      <c r="J802" s="1">
        <v>269900.0</v>
      </c>
      <c r="K802" s="2">
        <v>42078.0</v>
      </c>
      <c r="L802" s="1">
        <v>71.0</v>
      </c>
      <c r="M802" s="2">
        <v>42078.0</v>
      </c>
      <c r="N802" s="1" t="s">
        <v>356</v>
      </c>
      <c r="O802" s="2">
        <v>42124.0</v>
      </c>
      <c r="P802" s="1">
        <v>32772.0</v>
      </c>
      <c r="Q802" s="1">
        <v>4662.0</v>
      </c>
      <c r="S802" s="1">
        <v>5329.0</v>
      </c>
      <c r="T802" s="1" t="s">
        <v>8005</v>
      </c>
      <c r="U802" s="1" t="s">
        <v>320</v>
      </c>
      <c r="V802" s="1" t="s">
        <v>190</v>
      </c>
      <c r="W802" s="1">
        <v>60641.0</v>
      </c>
      <c r="Y802" s="1" t="s">
        <v>9410</v>
      </c>
      <c r="Z802" s="1">
        <v>1924.0</v>
      </c>
      <c r="AA802" s="1" t="s">
        <v>192</v>
      </c>
      <c r="AB802" s="1" t="s">
        <v>193</v>
      </c>
      <c r="AD802" s="1" t="s">
        <v>194</v>
      </c>
      <c r="AE802" s="1" t="s">
        <v>195</v>
      </c>
      <c r="AF802" s="1" t="s">
        <v>196</v>
      </c>
      <c r="AH802" s="1" t="s">
        <v>1501</v>
      </c>
      <c r="AI802" s="1">
        <v>0.0861</v>
      </c>
      <c r="AK802" s="1">
        <v>10.0</v>
      </c>
      <c r="AL802" s="1">
        <v>3.0</v>
      </c>
      <c r="AM802" s="1">
        <v>2.0</v>
      </c>
      <c r="AN802" s="1">
        <v>1.0</v>
      </c>
      <c r="AO802" s="1" t="s">
        <v>229</v>
      </c>
      <c r="AQ802" s="1" t="s">
        <v>198</v>
      </c>
      <c r="AR802" s="1" t="s">
        <v>192</v>
      </c>
      <c r="AS802" s="1" t="s">
        <v>199</v>
      </c>
      <c r="AT802" s="1">
        <v>2.0</v>
      </c>
      <c r="AV802" s="1" t="s">
        <v>200</v>
      </c>
      <c r="AW802" s="1">
        <v>2737.0</v>
      </c>
      <c r="AX802" s="1">
        <v>2013.0</v>
      </c>
      <c r="AZ802" s="1" t="s">
        <v>200</v>
      </c>
      <c r="BA802" s="1" t="str">
        <f>"13281140100000"</f>
        <v>13281140100000</v>
      </c>
      <c r="BC802" s="1">
        <v>1900.0</v>
      </c>
      <c r="BD802" s="1">
        <v>272000.0</v>
      </c>
      <c r="BE802" s="2">
        <v>42008.0</v>
      </c>
      <c r="BF802" s="2" t="s">
        <v>9411</v>
      </c>
      <c r="BH802" s="1">
        <v>0.0</v>
      </c>
      <c r="BK802" s="1" t="s">
        <v>204</v>
      </c>
      <c r="BL802" s="1" t="str">
        <f>"3042"</f>
        <v>3042</v>
      </c>
      <c r="BM802" s="1" t="str">
        <f t="shared" ref="BM802:BM804" si="529">"0"</f>
        <v>0</v>
      </c>
      <c r="BN802" s="1">
        <v>5329.0</v>
      </c>
      <c r="BO802" s="1">
        <v>0.0</v>
      </c>
      <c r="BQ802" s="1">
        <v>299.0</v>
      </c>
      <c r="BR802" s="1">
        <v>299.0</v>
      </c>
      <c r="BS802" s="1">
        <v>299.0</v>
      </c>
      <c r="BU802" s="1" t="s">
        <v>1068</v>
      </c>
      <c r="BV802" s="1" t="s">
        <v>206</v>
      </c>
      <c r="BW802" s="1" t="s">
        <v>207</v>
      </c>
      <c r="BX802" s="1" t="s">
        <v>431</v>
      </c>
      <c r="BY802" s="1" t="s">
        <v>1158</v>
      </c>
      <c r="BZ802" s="1" t="s">
        <v>209</v>
      </c>
      <c r="CA802" s="1" t="s">
        <v>210</v>
      </c>
      <c r="CB802" s="1" t="s">
        <v>1549</v>
      </c>
      <c r="CC802" s="1" t="s">
        <v>1417</v>
      </c>
      <c r="CD802" s="1" t="s">
        <v>206</v>
      </c>
      <c r="CE802" s="1" t="s">
        <v>207</v>
      </c>
      <c r="CF802" s="1" t="s">
        <v>431</v>
      </c>
      <c r="CG802" s="1" t="s">
        <v>516</v>
      </c>
      <c r="CH802" s="1" t="s">
        <v>206</v>
      </c>
      <c r="CI802" s="1" t="s">
        <v>207</v>
      </c>
      <c r="CJ802" s="1" t="s">
        <v>431</v>
      </c>
      <c r="CK802" s="1" t="s">
        <v>1229</v>
      </c>
      <c r="CL802" s="1" t="s">
        <v>206</v>
      </c>
      <c r="CM802" s="1" t="s">
        <v>207</v>
      </c>
      <c r="CN802" s="1" t="s">
        <v>431</v>
      </c>
      <c r="CO802" s="1" t="s">
        <v>269</v>
      </c>
      <c r="CP802" s="1" t="s">
        <v>42</v>
      </c>
      <c r="CQ802" s="1" t="s">
        <v>617</v>
      </c>
      <c r="CR802" s="1" t="s">
        <v>229</v>
      </c>
      <c r="CS802" s="1" t="s">
        <v>332</v>
      </c>
      <c r="CT802" s="1" t="s">
        <v>206</v>
      </c>
      <c r="CU802" s="1" t="s">
        <v>268</v>
      </c>
      <c r="CV802" s="1" t="s">
        <v>1118</v>
      </c>
      <c r="CX802" s="1" t="s">
        <v>204</v>
      </c>
      <c r="DA802" s="1" t="s">
        <v>200</v>
      </c>
      <c r="DC802" s="1" t="s">
        <v>216</v>
      </c>
      <c r="DE802" s="1" t="s">
        <v>273</v>
      </c>
      <c r="DF802" s="1" t="s">
        <v>619</v>
      </c>
      <c r="DH802" s="1" t="s">
        <v>365</v>
      </c>
      <c r="DJ802" s="1" t="s">
        <v>222</v>
      </c>
      <c r="DL802" s="1" t="s">
        <v>858</v>
      </c>
      <c r="DM802" s="1" t="s">
        <v>1247</v>
      </c>
      <c r="DQ802" s="1" t="s">
        <v>228</v>
      </c>
      <c r="DR802" s="1" t="s">
        <v>229</v>
      </c>
      <c r="DV802" s="1" t="s">
        <v>9412</v>
      </c>
      <c r="DW802" s="1" t="s">
        <v>279</v>
      </c>
      <c r="DX802" s="1" t="s">
        <v>234</v>
      </c>
      <c r="EC802" s="1" t="s">
        <v>237</v>
      </c>
      <c r="EG802" s="1" t="s">
        <v>1407</v>
      </c>
      <c r="EH802" s="1" t="s">
        <v>374</v>
      </c>
      <c r="EI802" s="1" t="s">
        <v>341</v>
      </c>
      <c r="EJ802" s="1" t="s">
        <v>598</v>
      </c>
      <c r="EL802" s="1" t="s">
        <v>331</v>
      </c>
      <c r="EM802" s="1" t="s">
        <v>42</v>
      </c>
      <c r="EN802" s="1" t="s">
        <v>617</v>
      </c>
      <c r="EO802" s="1" t="s">
        <v>229</v>
      </c>
      <c r="EP802" s="1" t="s">
        <v>1505</v>
      </c>
      <c r="EQ802" s="1" t="s">
        <v>206</v>
      </c>
      <c r="ER802" s="1" t="s">
        <v>617</v>
      </c>
      <c r="ES802" s="1" t="s">
        <v>431</v>
      </c>
      <c r="ET802" s="1" t="s">
        <v>3508</v>
      </c>
      <c r="EU802" s="1" t="s">
        <v>209</v>
      </c>
      <c r="EV802" s="1" t="s">
        <v>210</v>
      </c>
      <c r="EW802" s="1" t="s">
        <v>431</v>
      </c>
      <c r="EX802" s="1" t="s">
        <v>1688</v>
      </c>
      <c r="EY802" s="1" t="s">
        <v>42</v>
      </c>
      <c r="EZ802" s="1" t="s">
        <v>617</v>
      </c>
      <c r="FA802" s="1" t="s">
        <v>229</v>
      </c>
      <c r="FC802" s="1" t="s">
        <v>238</v>
      </c>
      <c r="FF802" s="1" t="s">
        <v>239</v>
      </c>
      <c r="FG802" s="1" t="s">
        <v>192</v>
      </c>
      <c r="FH802" s="1" t="s">
        <v>192</v>
      </c>
      <c r="FJ802" s="1" t="s">
        <v>2036</v>
      </c>
      <c r="FK802" s="1" t="s">
        <v>229</v>
      </c>
      <c r="FL802" s="1" t="s">
        <v>1358</v>
      </c>
      <c r="FM802" s="1">
        <v>25088.0</v>
      </c>
      <c r="FN802" s="1" t="s">
        <v>9413</v>
      </c>
      <c r="FO802" s="1" t="s">
        <v>9414</v>
      </c>
      <c r="FP802" s="1">
        <v>240642.0</v>
      </c>
      <c r="FR802" s="1">
        <v>220982.0</v>
      </c>
      <c r="FU802" s="1" t="s">
        <v>9415</v>
      </c>
      <c r="FV802" s="1" t="s">
        <v>200</v>
      </c>
      <c r="FW802" s="1" t="s">
        <v>530</v>
      </c>
      <c r="FX802" s="1" t="s">
        <v>246</v>
      </c>
      <c r="FZ802" s="1" t="s">
        <v>229</v>
      </c>
      <c r="GA802" s="1" t="s">
        <v>291</v>
      </c>
      <c r="GB802" s="2">
        <v>42124.0</v>
      </c>
      <c r="GC802" s="1" t="s">
        <v>9416</v>
      </c>
    </row>
    <row r="803">
      <c r="A803" s="1">
        <v>282000.0</v>
      </c>
      <c r="B803" s="1" t="s">
        <v>185</v>
      </c>
      <c r="C803" s="1" t="str">
        <f>"08813295"</f>
        <v>08813295</v>
      </c>
      <c r="D803" s="1" t="s">
        <v>186</v>
      </c>
      <c r="F803" s="1" t="str">
        <f>"118"</f>
        <v>118</v>
      </c>
      <c r="G803" s="2">
        <v>42013.0</v>
      </c>
      <c r="H803" s="1">
        <v>289000.0</v>
      </c>
      <c r="I803" s="1">
        <v>32.0</v>
      </c>
      <c r="J803" s="1">
        <v>289000.0</v>
      </c>
      <c r="K803" s="2">
        <v>42044.0</v>
      </c>
      <c r="L803" s="1">
        <v>32.0</v>
      </c>
      <c r="M803" s="2">
        <v>42044.0</v>
      </c>
      <c r="N803" s="1" t="s">
        <v>187</v>
      </c>
      <c r="O803" s="2">
        <v>42096.0</v>
      </c>
      <c r="P803" s="1">
        <v>254796.0</v>
      </c>
      <c r="Q803" s="1">
        <v>8390.0</v>
      </c>
      <c r="S803" s="1" t="s">
        <v>9417</v>
      </c>
      <c r="T803" s="1" t="s">
        <v>9418</v>
      </c>
      <c r="U803" s="1" t="s">
        <v>569</v>
      </c>
      <c r="V803" s="1" t="s">
        <v>1086</v>
      </c>
      <c r="W803" s="1">
        <v>60118.0</v>
      </c>
      <c r="Y803" s="1" t="s">
        <v>9419</v>
      </c>
      <c r="Z803" s="1">
        <v>1986.0</v>
      </c>
      <c r="AA803" s="1" t="s">
        <v>200</v>
      </c>
      <c r="AB803" s="1" t="s">
        <v>193</v>
      </c>
      <c r="AC803" s="1" t="s">
        <v>9420</v>
      </c>
      <c r="AD803" s="1" t="s">
        <v>1089</v>
      </c>
      <c r="AE803" s="1" t="s">
        <v>325</v>
      </c>
      <c r="AF803" s="1" t="s">
        <v>810</v>
      </c>
      <c r="AG803" s="1" t="s">
        <v>752</v>
      </c>
      <c r="AH803" s="1" t="s">
        <v>9421</v>
      </c>
      <c r="AI803" s="1">
        <v>1.0</v>
      </c>
      <c r="AK803" s="1">
        <v>8.0</v>
      </c>
      <c r="AL803" s="1">
        <v>4.0</v>
      </c>
      <c r="AM803" s="1">
        <v>2.0</v>
      </c>
      <c r="AN803" s="1">
        <v>1.0</v>
      </c>
      <c r="AO803" s="1" t="s">
        <v>198</v>
      </c>
      <c r="AP803" s="1">
        <v>3.0</v>
      </c>
      <c r="AQ803" s="1" t="s">
        <v>198</v>
      </c>
      <c r="AR803" s="1" t="s">
        <v>192</v>
      </c>
      <c r="AS803" s="1" t="s">
        <v>199</v>
      </c>
      <c r="AT803" s="1">
        <v>3.0</v>
      </c>
      <c r="AV803" s="1" t="s">
        <v>200</v>
      </c>
      <c r="AW803" s="1">
        <v>9251.0</v>
      </c>
      <c r="AX803" s="1">
        <v>2013.0</v>
      </c>
      <c r="AY803" s="1" t="s">
        <v>387</v>
      </c>
      <c r="AZ803" s="1" t="s">
        <v>200</v>
      </c>
      <c r="BA803" s="1" t="str">
        <f>"0308277001"</f>
        <v>0308277001</v>
      </c>
      <c r="BB803" s="1" t="s">
        <v>200</v>
      </c>
      <c r="BC803" s="1">
        <v>2992.0</v>
      </c>
      <c r="BD803" s="1">
        <v>282000.0</v>
      </c>
      <c r="BE803" s="2">
        <v>42013.0</v>
      </c>
      <c r="BF803" s="2" t="s">
        <v>9422</v>
      </c>
      <c r="BG803" s="1" t="s">
        <v>1181</v>
      </c>
      <c r="BH803" s="1">
        <v>0.0</v>
      </c>
      <c r="BI803" s="1" t="s">
        <v>5651</v>
      </c>
      <c r="BJ803" s="1" t="s">
        <v>1759</v>
      </c>
      <c r="BK803" s="1" t="s">
        <v>204</v>
      </c>
      <c r="BL803" s="1" t="str">
        <f>"18"</f>
        <v>18</v>
      </c>
      <c r="BM803" s="1" t="str">
        <f t="shared" si="529"/>
        <v>0</v>
      </c>
      <c r="BN803" s="1">
        <v>35.0</v>
      </c>
      <c r="BO803" s="1">
        <v>0.0</v>
      </c>
      <c r="BQ803" s="1">
        <v>300.0</v>
      </c>
      <c r="BR803" s="1">
        <v>300.0</v>
      </c>
      <c r="BS803" s="1">
        <v>300.0</v>
      </c>
      <c r="BU803" s="1" t="s">
        <v>433</v>
      </c>
      <c r="BV803" s="1" t="s">
        <v>206</v>
      </c>
      <c r="BW803" s="1" t="s">
        <v>207</v>
      </c>
      <c r="BX803" s="1" t="s">
        <v>229</v>
      </c>
      <c r="BY803" s="1" t="s">
        <v>639</v>
      </c>
      <c r="BZ803" s="1" t="s">
        <v>209</v>
      </c>
      <c r="CA803" s="1" t="s">
        <v>210</v>
      </c>
      <c r="CB803" s="1" t="s">
        <v>239</v>
      </c>
      <c r="CC803" s="1" t="s">
        <v>390</v>
      </c>
      <c r="CD803" s="1" t="s">
        <v>206</v>
      </c>
      <c r="CE803" s="1" t="s">
        <v>207</v>
      </c>
      <c r="CF803" s="1" t="s">
        <v>229</v>
      </c>
      <c r="CG803" s="1" t="s">
        <v>329</v>
      </c>
      <c r="CH803" s="1" t="s">
        <v>209</v>
      </c>
      <c r="CI803" s="1" t="s">
        <v>210</v>
      </c>
      <c r="CJ803" s="1" t="s">
        <v>239</v>
      </c>
      <c r="CK803" s="1" t="s">
        <v>758</v>
      </c>
      <c r="CL803" s="1" t="s">
        <v>209</v>
      </c>
      <c r="CM803" s="1" t="s">
        <v>210</v>
      </c>
      <c r="CN803" s="1" t="s">
        <v>239</v>
      </c>
      <c r="CO803" s="1" t="s">
        <v>390</v>
      </c>
      <c r="CP803" s="1" t="s">
        <v>206</v>
      </c>
      <c r="CQ803" s="1" t="s">
        <v>210</v>
      </c>
      <c r="CR803" s="1" t="s">
        <v>239</v>
      </c>
      <c r="CS803" s="1" t="s">
        <v>453</v>
      </c>
      <c r="CT803" s="1" t="s">
        <v>206</v>
      </c>
      <c r="CU803" s="1" t="s">
        <v>207</v>
      </c>
      <c r="CV803" s="1" t="s">
        <v>229</v>
      </c>
      <c r="CW803" s="1" t="s">
        <v>641</v>
      </c>
      <c r="CX803" s="1" t="s">
        <v>206</v>
      </c>
      <c r="CY803" s="1" t="s">
        <v>210</v>
      </c>
      <c r="CZ803" s="1" t="s">
        <v>239</v>
      </c>
      <c r="DA803" s="1" t="s">
        <v>200</v>
      </c>
      <c r="DC803" s="1" t="s">
        <v>305</v>
      </c>
      <c r="DD803" s="1" t="s">
        <v>336</v>
      </c>
      <c r="DE803" s="1" t="s">
        <v>273</v>
      </c>
      <c r="DF803" s="1" t="s">
        <v>219</v>
      </c>
      <c r="DG803" s="1" t="s">
        <v>2747</v>
      </c>
      <c r="DH803" s="1" t="s">
        <v>856</v>
      </c>
      <c r="DI803" s="1" t="s">
        <v>789</v>
      </c>
      <c r="DJ803" s="1" t="s">
        <v>857</v>
      </c>
      <c r="DK803" s="1" t="s">
        <v>1555</v>
      </c>
      <c r="DL803" s="1" t="s">
        <v>223</v>
      </c>
      <c r="DM803" s="1" t="s">
        <v>338</v>
      </c>
      <c r="DN803" s="1" t="s">
        <v>439</v>
      </c>
      <c r="DO803" s="1" t="s">
        <v>5000</v>
      </c>
      <c r="DP803" s="1" t="s">
        <v>340</v>
      </c>
      <c r="DQ803" s="1" t="s">
        <v>931</v>
      </c>
      <c r="DR803" s="1" t="s">
        <v>229</v>
      </c>
      <c r="DS803" s="1" t="s">
        <v>230</v>
      </c>
      <c r="DU803" s="1" t="s">
        <v>9423</v>
      </c>
      <c r="DV803" s="1" t="s">
        <v>232</v>
      </c>
      <c r="DW803" s="1" t="s">
        <v>588</v>
      </c>
      <c r="DX803" s="1" t="s">
        <v>234</v>
      </c>
      <c r="DY803" s="1" t="s">
        <v>6716</v>
      </c>
      <c r="DZ803" s="1" t="s">
        <v>282</v>
      </c>
      <c r="EA803" s="1" t="s">
        <v>447</v>
      </c>
      <c r="EC803" s="1" t="s">
        <v>237</v>
      </c>
      <c r="ED803" s="1" t="s">
        <v>407</v>
      </c>
      <c r="EE803" s="1" t="s">
        <v>493</v>
      </c>
      <c r="EM803" s="1" t="s">
        <v>238</v>
      </c>
      <c r="EQ803" s="1" t="s">
        <v>238</v>
      </c>
      <c r="EU803" s="1" t="s">
        <v>238</v>
      </c>
      <c r="EY803" s="1" t="s">
        <v>238</v>
      </c>
      <c r="FC803" s="1" t="s">
        <v>238</v>
      </c>
      <c r="FF803" s="1" t="s">
        <v>239</v>
      </c>
      <c r="FG803" s="1" t="s">
        <v>192</v>
      </c>
      <c r="FH803" s="1" t="s">
        <v>192</v>
      </c>
      <c r="FJ803" s="1" t="s">
        <v>9424</v>
      </c>
      <c r="FK803" s="1" t="s">
        <v>229</v>
      </c>
      <c r="FL803" s="1" t="s">
        <v>2026</v>
      </c>
      <c r="FM803" s="1">
        <v>5104.0</v>
      </c>
      <c r="FN803" s="1" t="s">
        <v>2027</v>
      </c>
      <c r="FO803" s="1" t="s">
        <v>9425</v>
      </c>
      <c r="FP803" s="1">
        <v>51613.0</v>
      </c>
      <c r="FQ803" s="1" t="s">
        <v>9426</v>
      </c>
      <c r="FS803" s="1" t="s">
        <v>9427</v>
      </c>
      <c r="FT803" s="1" t="s">
        <v>9427</v>
      </c>
      <c r="FU803" s="1" t="s">
        <v>9428</v>
      </c>
      <c r="FV803" s="1" t="s">
        <v>200</v>
      </c>
      <c r="FW803" s="1" t="s">
        <v>9429</v>
      </c>
      <c r="FZ803" s="1" t="s">
        <v>229</v>
      </c>
      <c r="GA803" s="1" t="s">
        <v>247</v>
      </c>
      <c r="GB803" s="2">
        <v>42096.0</v>
      </c>
    </row>
    <row r="804">
      <c r="A804" s="1">
        <v>320000.0</v>
      </c>
      <c r="B804" s="1" t="s">
        <v>185</v>
      </c>
      <c r="C804" s="1" t="str">
        <f>"08813936"</f>
        <v>08813936</v>
      </c>
      <c r="D804" s="1" t="s">
        <v>186</v>
      </c>
      <c r="F804" s="1" t="str">
        <f>"8019"</f>
        <v>8019</v>
      </c>
      <c r="G804" s="2">
        <v>42015.0</v>
      </c>
      <c r="H804" s="1">
        <v>325000.0</v>
      </c>
      <c r="I804" s="1">
        <v>90.0</v>
      </c>
      <c r="J804" s="1">
        <v>320000.0</v>
      </c>
      <c r="K804" s="2">
        <v>42066.0</v>
      </c>
      <c r="L804" s="1">
        <v>52.0</v>
      </c>
      <c r="M804" s="2">
        <v>42066.0</v>
      </c>
      <c r="N804" s="1" t="s">
        <v>356</v>
      </c>
      <c r="O804" s="2">
        <v>42124.0</v>
      </c>
      <c r="P804" s="1">
        <v>153674.0</v>
      </c>
      <c r="Q804" s="1">
        <v>18080.0</v>
      </c>
      <c r="R804" s="1">
        <v>8500.0</v>
      </c>
      <c r="S804" s="1">
        <v>2534.0</v>
      </c>
      <c r="T804" s="1" t="s">
        <v>9430</v>
      </c>
      <c r="U804" s="1" t="s">
        <v>189</v>
      </c>
      <c r="V804" s="1" t="s">
        <v>190</v>
      </c>
      <c r="W804" s="1">
        <v>60639.0</v>
      </c>
      <c r="Y804" s="1" t="s">
        <v>9431</v>
      </c>
      <c r="Z804" s="1">
        <v>1946.0</v>
      </c>
      <c r="AA804" s="1" t="s">
        <v>192</v>
      </c>
      <c r="AB804" s="1" t="s">
        <v>193</v>
      </c>
      <c r="AD804" s="1" t="s">
        <v>194</v>
      </c>
      <c r="AE804" s="1" t="s">
        <v>195</v>
      </c>
      <c r="AF804" s="1" t="s">
        <v>196</v>
      </c>
      <c r="AH804" s="1" t="s">
        <v>9432</v>
      </c>
      <c r="AI804" s="1">
        <v>0.1067</v>
      </c>
      <c r="AK804" s="1">
        <v>9.0</v>
      </c>
      <c r="AL804" s="1">
        <v>4.0</v>
      </c>
      <c r="AM804" s="1">
        <v>3.0</v>
      </c>
      <c r="AN804" s="1">
        <v>0.0</v>
      </c>
      <c r="AO804" s="1" t="s">
        <v>198</v>
      </c>
      <c r="AQ804" s="1" t="s">
        <v>198</v>
      </c>
      <c r="AR804" s="1" t="s">
        <v>192</v>
      </c>
      <c r="AS804" s="1" t="s">
        <v>199</v>
      </c>
      <c r="AT804" s="1">
        <v>2.0</v>
      </c>
      <c r="AV804" s="1" t="s">
        <v>200</v>
      </c>
      <c r="AW804" s="1">
        <v>4569.85</v>
      </c>
      <c r="AX804" s="1">
        <v>2013.0</v>
      </c>
      <c r="AY804" s="1" t="s">
        <v>229</v>
      </c>
      <c r="AZ804" s="1" t="s">
        <v>200</v>
      </c>
      <c r="BA804" s="1" t="str">
        <f>"13294190390000"</f>
        <v>13294190390000</v>
      </c>
      <c r="BC804" s="1">
        <v>0.0</v>
      </c>
      <c r="BD804" s="1">
        <v>320000.0</v>
      </c>
      <c r="BE804" s="2">
        <v>42015.0</v>
      </c>
      <c r="BF804" s="2" t="s">
        <v>9433</v>
      </c>
      <c r="BH804" s="1">
        <v>0.0</v>
      </c>
      <c r="BK804" s="1" t="s">
        <v>204</v>
      </c>
      <c r="BL804" s="1" t="str">
        <f>"2534"</f>
        <v>2534</v>
      </c>
      <c r="BM804" s="1" t="str">
        <f t="shared" si="529"/>
        <v>0</v>
      </c>
      <c r="BN804" s="1">
        <v>5800.0</v>
      </c>
      <c r="BO804" s="1">
        <v>0.0</v>
      </c>
      <c r="BQ804" s="1">
        <v>299.0</v>
      </c>
      <c r="BR804" s="1">
        <v>299.0</v>
      </c>
      <c r="BS804" s="1">
        <v>299.0</v>
      </c>
      <c r="BU804" s="1" t="s">
        <v>925</v>
      </c>
      <c r="BV804" s="1" t="s">
        <v>206</v>
      </c>
      <c r="BW804" s="1" t="s">
        <v>207</v>
      </c>
      <c r="BY804" s="1" t="s">
        <v>454</v>
      </c>
      <c r="BZ804" s="1" t="s">
        <v>209</v>
      </c>
      <c r="CA804" s="1" t="s">
        <v>207</v>
      </c>
      <c r="CC804" s="1" t="s">
        <v>699</v>
      </c>
      <c r="CD804" s="1" t="s">
        <v>206</v>
      </c>
      <c r="CE804" s="1" t="s">
        <v>207</v>
      </c>
      <c r="CG804" s="1" t="s">
        <v>390</v>
      </c>
      <c r="CH804" s="1" t="s">
        <v>206</v>
      </c>
      <c r="CI804" s="1" t="s">
        <v>207</v>
      </c>
      <c r="CK804" s="1" t="s">
        <v>332</v>
      </c>
      <c r="CL804" s="1" t="s">
        <v>206</v>
      </c>
      <c r="CM804" s="1" t="s">
        <v>207</v>
      </c>
      <c r="CO804" s="1" t="s">
        <v>212</v>
      </c>
      <c r="CP804" s="1" t="s">
        <v>209</v>
      </c>
      <c r="CQ804" s="1" t="s">
        <v>207</v>
      </c>
      <c r="CS804" s="1" t="s">
        <v>1875</v>
      </c>
      <c r="CT804" s="1" t="s">
        <v>206</v>
      </c>
      <c r="CU804" s="1" t="s">
        <v>207</v>
      </c>
      <c r="CX804" s="1" t="s">
        <v>204</v>
      </c>
      <c r="DA804" s="1" t="s">
        <v>200</v>
      </c>
      <c r="DC804" s="1" t="s">
        <v>702</v>
      </c>
      <c r="DD804" s="1" t="s">
        <v>957</v>
      </c>
      <c r="DE804" s="1" t="s">
        <v>273</v>
      </c>
      <c r="DF804" s="1" t="s">
        <v>219</v>
      </c>
      <c r="DH804" s="1" t="s">
        <v>307</v>
      </c>
      <c r="DI804" s="1" t="s">
        <v>9434</v>
      </c>
      <c r="DJ804" s="1" t="s">
        <v>222</v>
      </c>
      <c r="DK804" s="1" t="s">
        <v>224</v>
      </c>
      <c r="DL804" s="1" t="s">
        <v>224</v>
      </c>
      <c r="DM804" s="1" t="s">
        <v>229</v>
      </c>
      <c r="DN804" s="1" t="s">
        <v>2296</v>
      </c>
      <c r="DP804" s="1" t="s">
        <v>340</v>
      </c>
      <c r="DQ804" s="1" t="s">
        <v>228</v>
      </c>
      <c r="DR804" s="1" t="s">
        <v>229</v>
      </c>
      <c r="DV804" s="1" t="s">
        <v>9435</v>
      </c>
      <c r="DW804" s="1" t="s">
        <v>279</v>
      </c>
      <c r="DX804" s="1" t="s">
        <v>234</v>
      </c>
      <c r="DY804" s="1" t="s">
        <v>553</v>
      </c>
      <c r="DZ804" s="1" t="s">
        <v>4791</v>
      </c>
      <c r="EA804" s="1" t="s">
        <v>644</v>
      </c>
      <c r="EC804" s="1" t="s">
        <v>645</v>
      </c>
      <c r="ED804" s="1" t="s">
        <v>555</v>
      </c>
      <c r="EG804" s="1" t="s">
        <v>494</v>
      </c>
      <c r="EH804" s="1" t="s">
        <v>450</v>
      </c>
      <c r="EI804" s="1" t="s">
        <v>1270</v>
      </c>
      <c r="EJ804" s="1" t="s">
        <v>310</v>
      </c>
      <c r="EL804" s="1" t="s">
        <v>623</v>
      </c>
      <c r="EM804" s="1" t="s">
        <v>42</v>
      </c>
      <c r="EN804" s="1" t="s">
        <v>210</v>
      </c>
      <c r="EP804" s="1" t="s">
        <v>8706</v>
      </c>
      <c r="EQ804" s="1" t="s">
        <v>42</v>
      </c>
      <c r="ER804" s="1" t="s">
        <v>210</v>
      </c>
      <c r="ET804" s="1" t="s">
        <v>1796</v>
      </c>
      <c r="EU804" s="1" t="s">
        <v>42</v>
      </c>
      <c r="EX804" s="1" t="s">
        <v>4786</v>
      </c>
      <c r="EY804" s="1" t="s">
        <v>209</v>
      </c>
      <c r="FC804" s="1" t="s">
        <v>238</v>
      </c>
      <c r="FF804" s="1" t="s">
        <v>239</v>
      </c>
      <c r="FG804" s="1" t="s">
        <v>192</v>
      </c>
      <c r="FH804" s="1" t="s">
        <v>192</v>
      </c>
      <c r="FJ804" s="1" t="s">
        <v>799</v>
      </c>
      <c r="FK804" s="1" t="s">
        <v>348</v>
      </c>
      <c r="FL804" s="1" t="s">
        <v>562</v>
      </c>
      <c r="FM804" s="1">
        <v>15694.0</v>
      </c>
      <c r="FN804" s="1" t="s">
        <v>3145</v>
      </c>
      <c r="FO804" s="1" t="s">
        <v>6740</v>
      </c>
      <c r="FP804" s="1">
        <v>174807.0</v>
      </c>
      <c r="FQ804" s="1" t="s">
        <v>6741</v>
      </c>
      <c r="FU804" s="1" t="s">
        <v>9436</v>
      </c>
      <c r="FV804" s="1" t="s">
        <v>200</v>
      </c>
      <c r="FW804" s="1" t="s">
        <v>290</v>
      </c>
      <c r="FX804" s="1" t="s">
        <v>238</v>
      </c>
      <c r="FZ804" s="1" t="s">
        <v>229</v>
      </c>
      <c r="GA804" s="1" t="s">
        <v>291</v>
      </c>
      <c r="GB804" s="2">
        <v>42126.0</v>
      </c>
    </row>
    <row r="805">
      <c r="A805" s="1">
        <v>175900.0</v>
      </c>
      <c r="B805" s="1" t="s">
        <v>185</v>
      </c>
      <c r="C805" s="1" t="str">
        <f>"08811270"</f>
        <v>08811270</v>
      </c>
      <c r="D805" s="1" t="s">
        <v>186</v>
      </c>
      <c r="F805" s="1" t="str">
        <f>"8047"</f>
        <v>8047</v>
      </c>
      <c r="G805" s="2">
        <v>42011.0</v>
      </c>
      <c r="H805" s="1">
        <v>175900.0</v>
      </c>
      <c r="I805" s="1">
        <v>67.0</v>
      </c>
      <c r="J805" s="1">
        <v>175900.0</v>
      </c>
      <c r="K805" s="2">
        <v>42027.0</v>
      </c>
      <c r="L805" s="1">
        <v>17.0</v>
      </c>
      <c r="M805" s="2">
        <v>42027.0</v>
      </c>
      <c r="N805" s="1" t="s">
        <v>634</v>
      </c>
      <c r="O805" s="2">
        <v>42075.0</v>
      </c>
      <c r="P805" s="1">
        <v>99999.0</v>
      </c>
      <c r="Q805" s="1" t="s">
        <v>947</v>
      </c>
      <c r="R805" s="1">
        <v>3518.0</v>
      </c>
      <c r="S805" s="1">
        <v>1151.0</v>
      </c>
      <c r="T805" s="1" t="s">
        <v>9437</v>
      </c>
      <c r="U805" s="1" t="s">
        <v>320</v>
      </c>
      <c r="V805" s="1" t="s">
        <v>190</v>
      </c>
      <c r="W805" s="1">
        <v>60619.0</v>
      </c>
      <c r="Y805" s="1" t="s">
        <v>9438</v>
      </c>
      <c r="Z805" s="1">
        <v>2007.0</v>
      </c>
      <c r="AA805" s="1" t="s">
        <v>200</v>
      </c>
      <c r="AB805" s="1" t="s">
        <v>193</v>
      </c>
      <c r="AD805" s="1" t="s">
        <v>194</v>
      </c>
      <c r="AE805" s="1" t="s">
        <v>195</v>
      </c>
      <c r="AF805" s="1" t="s">
        <v>659</v>
      </c>
      <c r="AH805" s="1" t="s">
        <v>1133</v>
      </c>
      <c r="AI805" s="1">
        <v>0.0717</v>
      </c>
      <c r="AK805" s="1">
        <v>8.0</v>
      </c>
      <c r="AL805" s="1">
        <v>3.0</v>
      </c>
      <c r="AM805" s="1">
        <v>3.0</v>
      </c>
      <c r="AN805" s="1">
        <v>0.0</v>
      </c>
      <c r="AO805" s="1" t="s">
        <v>229</v>
      </c>
      <c r="AQ805" s="1" t="s">
        <v>198</v>
      </c>
      <c r="AR805" s="1" t="s">
        <v>192</v>
      </c>
      <c r="AS805" s="1" t="s">
        <v>199</v>
      </c>
      <c r="AT805" s="1">
        <v>2.5</v>
      </c>
      <c r="AV805" s="1" t="s">
        <v>200</v>
      </c>
      <c r="AW805" s="1">
        <v>652.46</v>
      </c>
      <c r="AX805" s="1">
        <v>2012.0</v>
      </c>
      <c r="AZ805" s="1" t="s">
        <v>200</v>
      </c>
      <c r="BA805" s="1" t="str">
        <f>"25023060080000"</f>
        <v>25023060080000</v>
      </c>
      <c r="BC805" s="1">
        <v>2000.0</v>
      </c>
      <c r="BD805" s="1">
        <v>175900.0</v>
      </c>
      <c r="BE805" s="2">
        <v>42011.0</v>
      </c>
      <c r="BF805" s="2" t="s">
        <v>9439</v>
      </c>
      <c r="BH805" s="1">
        <v>0.0</v>
      </c>
      <c r="BK805" s="1" t="s">
        <v>204</v>
      </c>
      <c r="BL805" s="1" t="str">
        <f>"0"</f>
        <v>0</v>
      </c>
      <c r="BM805" s="1" t="str">
        <f>"1151"</f>
        <v>1151</v>
      </c>
      <c r="BN805" s="1">
        <v>0.0</v>
      </c>
      <c r="BO805" s="1">
        <v>9100.0</v>
      </c>
      <c r="BQ805" s="1">
        <v>299.0</v>
      </c>
      <c r="BR805" s="1">
        <v>299.0</v>
      </c>
      <c r="BS805" s="1">
        <v>299.0</v>
      </c>
      <c r="BU805" s="1" t="s">
        <v>478</v>
      </c>
      <c r="BV805" s="1" t="s">
        <v>206</v>
      </c>
      <c r="BW805" s="1" t="s">
        <v>207</v>
      </c>
      <c r="BY805" s="1" t="s">
        <v>729</v>
      </c>
      <c r="BZ805" s="1" t="s">
        <v>209</v>
      </c>
      <c r="CA805" s="1" t="s">
        <v>210</v>
      </c>
      <c r="CC805" s="1" t="s">
        <v>815</v>
      </c>
      <c r="CD805" s="1" t="s">
        <v>206</v>
      </c>
      <c r="CE805" s="1" t="s">
        <v>207</v>
      </c>
      <c r="CG805" s="1" t="s">
        <v>329</v>
      </c>
      <c r="CH805" s="1" t="s">
        <v>209</v>
      </c>
      <c r="CI805" s="1" t="s">
        <v>210</v>
      </c>
      <c r="CK805" s="1" t="s">
        <v>269</v>
      </c>
      <c r="CL805" s="1" t="s">
        <v>209</v>
      </c>
      <c r="CM805" s="1" t="s">
        <v>210</v>
      </c>
      <c r="CO805" s="1" t="s">
        <v>758</v>
      </c>
      <c r="CP805" s="1" t="s">
        <v>42</v>
      </c>
      <c r="CS805" s="1" t="s">
        <v>2713</v>
      </c>
      <c r="CT805" s="1" t="s">
        <v>206</v>
      </c>
      <c r="CU805" s="1" t="s">
        <v>207</v>
      </c>
      <c r="CW805" s="1" t="s">
        <v>924</v>
      </c>
      <c r="CX805" s="1" t="s">
        <v>42</v>
      </c>
      <c r="DA805" s="1" t="s">
        <v>200</v>
      </c>
      <c r="DC805" s="1" t="s">
        <v>481</v>
      </c>
      <c r="DE805" s="1" t="s">
        <v>273</v>
      </c>
      <c r="DF805" s="1" t="s">
        <v>219</v>
      </c>
      <c r="DH805" s="1" t="s">
        <v>220</v>
      </c>
      <c r="DI805" s="1" t="s">
        <v>366</v>
      </c>
      <c r="DJ805" s="1" t="s">
        <v>222</v>
      </c>
      <c r="DL805" s="1" t="s">
        <v>224</v>
      </c>
      <c r="DM805" s="1" t="s">
        <v>229</v>
      </c>
      <c r="DQ805" s="1" t="s">
        <v>228</v>
      </c>
      <c r="DR805" s="1" t="s">
        <v>229</v>
      </c>
      <c r="DS805" s="1" t="s">
        <v>230</v>
      </c>
      <c r="DV805" s="1" t="s">
        <v>232</v>
      </c>
      <c r="DW805" s="1" t="s">
        <v>444</v>
      </c>
      <c r="DX805" s="1" t="s">
        <v>234</v>
      </c>
      <c r="DY805" s="1" t="s">
        <v>1122</v>
      </c>
      <c r="DZ805" s="1" t="s">
        <v>310</v>
      </c>
      <c r="EC805" s="1" t="s">
        <v>237</v>
      </c>
      <c r="EM805" s="1" t="s">
        <v>238</v>
      </c>
      <c r="EQ805" s="1" t="s">
        <v>238</v>
      </c>
      <c r="EU805" s="1" t="s">
        <v>238</v>
      </c>
      <c r="EY805" s="1" t="s">
        <v>238</v>
      </c>
      <c r="FC805" s="1" t="s">
        <v>238</v>
      </c>
      <c r="FF805" s="1" t="s">
        <v>239</v>
      </c>
      <c r="FG805" s="1" t="s">
        <v>192</v>
      </c>
      <c r="FH805" s="1" t="s">
        <v>192</v>
      </c>
      <c r="FJ805" s="1" t="s">
        <v>648</v>
      </c>
      <c r="FK805" s="1" t="s">
        <v>229</v>
      </c>
      <c r="FL805" s="1" t="s">
        <v>649</v>
      </c>
      <c r="FM805" s="1">
        <v>60296.0</v>
      </c>
      <c r="FN805" s="1" t="s">
        <v>650</v>
      </c>
      <c r="FO805" s="1" t="s">
        <v>651</v>
      </c>
      <c r="FP805" s="1">
        <v>602837.0</v>
      </c>
      <c r="FQ805" s="1" t="s">
        <v>652</v>
      </c>
      <c r="FR805" s="1">
        <v>602442.0</v>
      </c>
      <c r="FU805" s="1" t="s">
        <v>1438</v>
      </c>
      <c r="FV805" s="1" t="s">
        <v>200</v>
      </c>
      <c r="FW805" s="1" t="s">
        <v>530</v>
      </c>
      <c r="FX805" s="1" t="s">
        <v>1739</v>
      </c>
      <c r="FZ805" s="1" t="s">
        <v>229</v>
      </c>
      <c r="GA805" s="1" t="s">
        <v>291</v>
      </c>
      <c r="GB805" s="2">
        <v>42079.0</v>
      </c>
      <c r="GC805" s="1" t="s">
        <v>1372</v>
      </c>
    </row>
    <row r="806">
      <c r="A806" s="1">
        <v>709000.0</v>
      </c>
      <c r="B806" s="1" t="s">
        <v>185</v>
      </c>
      <c r="C806" s="1" t="str">
        <f>"08812474"</f>
        <v>08812474</v>
      </c>
      <c r="D806" s="1" t="s">
        <v>186</v>
      </c>
      <c r="F806" s="1" t="str">
        <f>"8003"</f>
        <v>8003</v>
      </c>
      <c r="G806" s="2">
        <v>42012.0</v>
      </c>
      <c r="H806" s="1">
        <v>719000.0</v>
      </c>
      <c r="I806" s="1">
        <v>84.0</v>
      </c>
      <c r="J806" s="1">
        <v>719000.0</v>
      </c>
      <c r="K806" s="2">
        <v>42037.0</v>
      </c>
      <c r="L806" s="1">
        <v>26.0</v>
      </c>
      <c r="M806" s="2">
        <v>42037.0</v>
      </c>
      <c r="N806" s="1" t="s">
        <v>187</v>
      </c>
      <c r="O806" s="2">
        <v>42103.0</v>
      </c>
      <c r="P806" s="1">
        <v>108918.0</v>
      </c>
      <c r="Q806" s="1">
        <v>84729.0</v>
      </c>
      <c r="S806" s="1">
        <v>1763.0</v>
      </c>
      <c r="T806" s="1" t="s">
        <v>724</v>
      </c>
      <c r="U806" s="1" t="s">
        <v>189</v>
      </c>
      <c r="V806" s="1" t="s">
        <v>190</v>
      </c>
      <c r="W806" s="1">
        <v>60640.0</v>
      </c>
      <c r="Y806" s="1" t="s">
        <v>9440</v>
      </c>
      <c r="Z806" s="1" t="s">
        <v>296</v>
      </c>
      <c r="AA806" s="1" t="s">
        <v>192</v>
      </c>
      <c r="AB806" s="1" t="s">
        <v>193</v>
      </c>
      <c r="AD806" s="1" t="s">
        <v>194</v>
      </c>
      <c r="AE806" s="1" t="s">
        <v>195</v>
      </c>
      <c r="AF806" s="1" t="s">
        <v>534</v>
      </c>
      <c r="AH806" s="1" t="s">
        <v>9441</v>
      </c>
      <c r="AK806" s="1">
        <v>10.0</v>
      </c>
      <c r="AL806" s="1">
        <v>3.0</v>
      </c>
      <c r="AM806" s="1">
        <v>2.0</v>
      </c>
      <c r="AN806" s="1">
        <v>1.0</v>
      </c>
      <c r="AO806" s="1" t="s">
        <v>198</v>
      </c>
      <c r="AQ806" s="1" t="s">
        <v>198</v>
      </c>
      <c r="AR806" s="1" t="s">
        <v>200</v>
      </c>
      <c r="AS806" s="1" t="s">
        <v>199</v>
      </c>
      <c r="AT806" s="1">
        <v>2.0</v>
      </c>
      <c r="AV806" s="1" t="s">
        <v>200</v>
      </c>
      <c r="AW806" s="1">
        <v>5780.69</v>
      </c>
      <c r="AX806" s="1">
        <v>2013.0</v>
      </c>
      <c r="AY806" s="1" t="s">
        <v>1179</v>
      </c>
      <c r="AZ806" s="1" t="s">
        <v>200</v>
      </c>
      <c r="BA806" s="1" t="str">
        <f>"14074130060000"</f>
        <v>14074130060000</v>
      </c>
      <c r="BC806" s="1">
        <v>0.0</v>
      </c>
      <c r="BD806" s="1">
        <v>709000.0</v>
      </c>
      <c r="BE806" s="2">
        <v>42012.0</v>
      </c>
      <c r="BF806" s="2" t="s">
        <v>9442</v>
      </c>
      <c r="BG806" s="1" t="s">
        <v>1687</v>
      </c>
      <c r="BH806" s="1">
        <v>0.0</v>
      </c>
      <c r="BJ806" s="1" t="s">
        <v>954</v>
      </c>
      <c r="BK806" s="1" t="s">
        <v>204</v>
      </c>
      <c r="BL806" s="1" t="str">
        <f>"5000"</f>
        <v>5000</v>
      </c>
      <c r="BM806" s="1" t="str">
        <f>"0"</f>
        <v>0</v>
      </c>
      <c r="BN806" s="1">
        <v>1763.0</v>
      </c>
      <c r="BO806" s="1">
        <v>0.0</v>
      </c>
      <c r="BQ806" s="1">
        <v>299.0</v>
      </c>
      <c r="BR806" s="1">
        <v>299.0</v>
      </c>
      <c r="BS806" s="1">
        <v>299.0</v>
      </c>
      <c r="BU806" s="1" t="s">
        <v>454</v>
      </c>
      <c r="BV806" s="1" t="s">
        <v>206</v>
      </c>
      <c r="BW806" s="1" t="s">
        <v>207</v>
      </c>
      <c r="BX806" s="1" t="s">
        <v>229</v>
      </c>
      <c r="BY806" s="1" t="s">
        <v>262</v>
      </c>
      <c r="BZ806" s="1" t="s">
        <v>209</v>
      </c>
      <c r="CA806" s="1" t="s">
        <v>207</v>
      </c>
      <c r="CB806" s="1" t="s">
        <v>229</v>
      </c>
      <c r="CC806" s="1" t="s">
        <v>264</v>
      </c>
      <c r="CD806" s="1" t="s">
        <v>206</v>
      </c>
      <c r="CE806" s="1" t="s">
        <v>207</v>
      </c>
      <c r="CF806" s="1" t="s">
        <v>229</v>
      </c>
      <c r="CG806" s="1" t="s">
        <v>433</v>
      </c>
      <c r="CH806" s="1" t="s">
        <v>209</v>
      </c>
      <c r="CI806" s="1" t="s">
        <v>207</v>
      </c>
      <c r="CJ806" s="1" t="s">
        <v>229</v>
      </c>
      <c r="CK806" s="1" t="s">
        <v>265</v>
      </c>
      <c r="CL806" s="1" t="s">
        <v>209</v>
      </c>
      <c r="CM806" s="1" t="s">
        <v>207</v>
      </c>
      <c r="CN806" s="1" t="s">
        <v>229</v>
      </c>
      <c r="CO806" s="1" t="s">
        <v>264</v>
      </c>
      <c r="CP806" s="1" t="s">
        <v>42</v>
      </c>
      <c r="CQ806" s="1" t="s">
        <v>210</v>
      </c>
      <c r="CR806" s="1" t="s">
        <v>229</v>
      </c>
      <c r="CS806" s="1" t="s">
        <v>729</v>
      </c>
      <c r="CT806" s="1" t="s">
        <v>206</v>
      </c>
      <c r="CU806" s="1" t="s">
        <v>207</v>
      </c>
      <c r="CV806" s="1" t="s">
        <v>229</v>
      </c>
      <c r="CW806" s="1" t="s">
        <v>784</v>
      </c>
      <c r="CX806" s="1" t="s">
        <v>42</v>
      </c>
      <c r="CY806" s="1" t="s">
        <v>210</v>
      </c>
      <c r="CZ806" s="1" t="s">
        <v>229</v>
      </c>
      <c r="DA806" s="1" t="s">
        <v>192</v>
      </c>
      <c r="DB806" s="2">
        <v>42012.0</v>
      </c>
      <c r="DC806" s="1" t="s">
        <v>744</v>
      </c>
      <c r="DD806" s="1" t="s">
        <v>759</v>
      </c>
      <c r="DE806" s="1" t="s">
        <v>273</v>
      </c>
      <c r="DF806" s="1" t="s">
        <v>219</v>
      </c>
      <c r="DG806" s="1" t="s">
        <v>1317</v>
      </c>
      <c r="DH806" s="1" t="s">
        <v>307</v>
      </c>
      <c r="DI806" s="1" t="s">
        <v>5919</v>
      </c>
      <c r="DJ806" s="1" t="s">
        <v>222</v>
      </c>
      <c r="DK806" s="1" t="s">
        <v>4741</v>
      </c>
      <c r="DL806" s="1" t="s">
        <v>1161</v>
      </c>
      <c r="DM806" s="1" t="s">
        <v>229</v>
      </c>
      <c r="DN806" s="1" t="s">
        <v>5506</v>
      </c>
      <c r="DP806" s="1" t="s">
        <v>340</v>
      </c>
      <c r="DQ806" s="1" t="s">
        <v>228</v>
      </c>
      <c r="DR806" s="1" t="s">
        <v>229</v>
      </c>
      <c r="DS806" s="1" t="s">
        <v>401</v>
      </c>
      <c r="DV806" s="1" t="s">
        <v>9443</v>
      </c>
      <c r="DW806" s="1" t="s">
        <v>233</v>
      </c>
      <c r="DX806" s="1" t="s">
        <v>234</v>
      </c>
      <c r="DY806" s="1" t="s">
        <v>704</v>
      </c>
      <c r="DZ806" s="1" t="s">
        <v>282</v>
      </c>
      <c r="EA806" s="1" t="s">
        <v>3112</v>
      </c>
      <c r="EC806" s="1" t="s">
        <v>237</v>
      </c>
      <c r="ED806" s="1" t="s">
        <v>555</v>
      </c>
      <c r="EG806" s="1" t="s">
        <v>494</v>
      </c>
      <c r="EH806" s="1" t="s">
        <v>1028</v>
      </c>
      <c r="EL806" s="1" t="s">
        <v>263</v>
      </c>
      <c r="EM806" s="1" t="s">
        <v>209</v>
      </c>
      <c r="EN806" s="1" t="s">
        <v>207</v>
      </c>
      <c r="EO806" s="1" t="s">
        <v>229</v>
      </c>
      <c r="EP806" s="1" t="s">
        <v>1688</v>
      </c>
      <c r="EQ806" s="1" t="s">
        <v>206</v>
      </c>
      <c r="ER806" s="1" t="s">
        <v>207</v>
      </c>
      <c r="ES806" s="1" t="s">
        <v>229</v>
      </c>
      <c r="EU806" s="1" t="s">
        <v>238</v>
      </c>
      <c r="EY806" s="1" t="s">
        <v>238</v>
      </c>
      <c r="FC806" s="1" t="s">
        <v>238</v>
      </c>
      <c r="FF806" s="1" t="s">
        <v>239</v>
      </c>
      <c r="FG806" s="1" t="s">
        <v>192</v>
      </c>
      <c r="FH806" s="1" t="s">
        <v>192</v>
      </c>
      <c r="FJ806" s="1" t="s">
        <v>9444</v>
      </c>
      <c r="FK806" s="1" t="s">
        <v>229</v>
      </c>
      <c r="FL806" s="1" t="s">
        <v>562</v>
      </c>
      <c r="FM806" s="1">
        <v>84025.0</v>
      </c>
      <c r="FN806" s="1" t="s">
        <v>2509</v>
      </c>
      <c r="FO806" s="1" t="s">
        <v>9445</v>
      </c>
      <c r="FP806" s="1">
        <v>107802.0</v>
      </c>
      <c r="FQ806" s="1" t="s">
        <v>9446</v>
      </c>
      <c r="FU806" s="1" t="s">
        <v>9447</v>
      </c>
      <c r="FV806" s="1" t="s">
        <v>192</v>
      </c>
      <c r="FW806" s="1" t="s">
        <v>290</v>
      </c>
      <c r="FX806" s="1" t="s">
        <v>246</v>
      </c>
      <c r="FZ806" s="1" t="s">
        <v>229</v>
      </c>
      <c r="GA806" s="1" t="s">
        <v>291</v>
      </c>
      <c r="GB806" s="2">
        <v>42108.0</v>
      </c>
      <c r="GC806" s="1" t="s">
        <v>9448</v>
      </c>
    </row>
    <row r="807">
      <c r="A807" s="1">
        <v>234900.0</v>
      </c>
      <c r="B807" s="1" t="s">
        <v>185</v>
      </c>
      <c r="C807" s="1" t="str">
        <f>"08812612"</f>
        <v>08812612</v>
      </c>
      <c r="D807" s="1" t="s">
        <v>186</v>
      </c>
      <c r="F807" s="1" t="str">
        <f>"107"</f>
        <v>107</v>
      </c>
      <c r="G807" s="2">
        <v>42012.0</v>
      </c>
      <c r="H807" s="1">
        <v>234900.0</v>
      </c>
      <c r="I807" s="1">
        <v>83.0</v>
      </c>
      <c r="J807" s="1">
        <v>234900.0</v>
      </c>
      <c r="K807" s="2">
        <v>42094.0</v>
      </c>
      <c r="L807" s="1">
        <v>83.0</v>
      </c>
      <c r="M807" s="2">
        <v>42094.0</v>
      </c>
      <c r="N807" s="1" t="s">
        <v>187</v>
      </c>
      <c r="O807" s="2">
        <v>42138.0</v>
      </c>
      <c r="P807" s="1">
        <v>42764.0</v>
      </c>
      <c r="Q807" s="1">
        <v>3150.0</v>
      </c>
      <c r="R807" s="1">
        <v>5000.0</v>
      </c>
      <c r="S807" s="1">
        <v>61.0</v>
      </c>
      <c r="T807" s="1" t="s">
        <v>9449</v>
      </c>
      <c r="U807" s="1" t="s">
        <v>569</v>
      </c>
      <c r="V807" s="1" t="s">
        <v>294</v>
      </c>
      <c r="W807" s="1">
        <v>60107.0</v>
      </c>
      <c r="Y807" s="1" t="s">
        <v>9450</v>
      </c>
      <c r="Z807" s="1">
        <v>1990.0</v>
      </c>
      <c r="AA807" s="1" t="s">
        <v>200</v>
      </c>
      <c r="AB807" s="1" t="s">
        <v>193</v>
      </c>
      <c r="AD807" s="1" t="s">
        <v>297</v>
      </c>
      <c r="AE807" s="1" t="s">
        <v>195</v>
      </c>
      <c r="AF807" s="1" t="s">
        <v>298</v>
      </c>
      <c r="AH807" s="1" t="s">
        <v>9451</v>
      </c>
      <c r="AI807" s="1">
        <v>0.2121</v>
      </c>
      <c r="AK807" s="1">
        <v>8.0</v>
      </c>
      <c r="AL807" s="1">
        <v>4.0</v>
      </c>
      <c r="AM807" s="1">
        <v>2.0</v>
      </c>
      <c r="AN807" s="1">
        <v>1.0</v>
      </c>
      <c r="AO807" s="1" t="s">
        <v>198</v>
      </c>
      <c r="AQ807" s="1" t="s">
        <v>1314</v>
      </c>
      <c r="AR807" s="1" t="s">
        <v>200</v>
      </c>
      <c r="AS807" s="1" t="s">
        <v>199</v>
      </c>
      <c r="AT807" s="1">
        <v>2.0</v>
      </c>
      <c r="AV807" s="1" t="s">
        <v>200</v>
      </c>
      <c r="AW807" s="1">
        <v>7429.7</v>
      </c>
      <c r="AX807" s="1">
        <v>2013.0</v>
      </c>
      <c r="AY807" s="1" t="s">
        <v>387</v>
      </c>
      <c r="AZ807" s="1" t="s">
        <v>200</v>
      </c>
      <c r="BA807" s="1" t="str">
        <f>"06224160150000"</f>
        <v>06224160150000</v>
      </c>
      <c r="BB807" s="1" t="s">
        <v>200</v>
      </c>
      <c r="BC807" s="1">
        <v>1698.0</v>
      </c>
      <c r="BD807" s="1">
        <v>234900.0</v>
      </c>
      <c r="BE807" s="2">
        <v>42012.0</v>
      </c>
      <c r="BF807" s="1" t="s">
        <v>9452</v>
      </c>
      <c r="BG807" s="1" t="s">
        <v>2746</v>
      </c>
      <c r="BH807" s="1">
        <v>0.0</v>
      </c>
      <c r="BI807" s="1" t="s">
        <v>756</v>
      </c>
      <c r="BJ807" s="1" t="s">
        <v>757</v>
      </c>
      <c r="BK807" s="1" t="s">
        <v>204</v>
      </c>
      <c r="BL807" s="1" t="str">
        <f t="shared" ref="BL807:BM807" si="530">""</f>
        <v/>
      </c>
      <c r="BM807" s="1" t="str">
        <f t="shared" si="530"/>
        <v/>
      </c>
      <c r="BQ807" s="1">
        <v>46.0</v>
      </c>
      <c r="BR807" s="1">
        <v>46.0</v>
      </c>
      <c r="BS807" s="1">
        <v>46.0</v>
      </c>
      <c r="BU807" s="1" t="s">
        <v>205</v>
      </c>
      <c r="BV807" s="1" t="s">
        <v>206</v>
      </c>
      <c r="BY807" s="1" t="s">
        <v>784</v>
      </c>
      <c r="BZ807" s="1" t="s">
        <v>209</v>
      </c>
      <c r="CC807" s="1" t="s">
        <v>392</v>
      </c>
      <c r="CD807" s="1" t="s">
        <v>206</v>
      </c>
      <c r="CG807" s="1" t="s">
        <v>582</v>
      </c>
      <c r="CH807" s="1" t="s">
        <v>209</v>
      </c>
      <c r="CK807" s="1" t="s">
        <v>392</v>
      </c>
      <c r="CL807" s="1" t="s">
        <v>209</v>
      </c>
      <c r="CO807" s="1" t="s">
        <v>264</v>
      </c>
      <c r="CP807" s="1" t="s">
        <v>209</v>
      </c>
      <c r="CS807" s="1" t="s">
        <v>390</v>
      </c>
      <c r="CT807" s="1" t="s">
        <v>206</v>
      </c>
      <c r="CW807" s="1" t="s">
        <v>1535</v>
      </c>
      <c r="CX807" s="1" t="s">
        <v>206</v>
      </c>
      <c r="DA807" s="1" t="s">
        <v>200</v>
      </c>
      <c r="DC807" s="1" t="s">
        <v>435</v>
      </c>
      <c r="DD807" s="1" t="s">
        <v>518</v>
      </c>
      <c r="DE807" s="1" t="s">
        <v>273</v>
      </c>
      <c r="DF807" s="1" t="s">
        <v>219</v>
      </c>
      <c r="DH807" s="1" t="s">
        <v>220</v>
      </c>
      <c r="DJ807" s="1" t="s">
        <v>222</v>
      </c>
      <c r="DL807" s="1" t="s">
        <v>224</v>
      </c>
      <c r="DM807" s="1" t="s">
        <v>229</v>
      </c>
      <c r="DO807" s="1" t="s">
        <v>549</v>
      </c>
      <c r="DP807" s="1" t="s">
        <v>340</v>
      </c>
      <c r="DQ807" s="1" t="s">
        <v>228</v>
      </c>
      <c r="DR807" s="1" t="s">
        <v>229</v>
      </c>
      <c r="DS807" s="1" t="s">
        <v>230</v>
      </c>
      <c r="DV807" s="1" t="s">
        <v>232</v>
      </c>
      <c r="DW807" s="1" t="s">
        <v>233</v>
      </c>
      <c r="DX807" s="1" t="s">
        <v>234</v>
      </c>
      <c r="EA807" s="1" t="s">
        <v>1027</v>
      </c>
      <c r="EC807" s="1" t="s">
        <v>237</v>
      </c>
      <c r="EM807" s="1" t="s">
        <v>238</v>
      </c>
      <c r="EQ807" s="1" t="s">
        <v>238</v>
      </c>
      <c r="EU807" s="1" t="s">
        <v>238</v>
      </c>
      <c r="EY807" s="1" t="s">
        <v>238</v>
      </c>
      <c r="FC807" s="1" t="s">
        <v>238</v>
      </c>
      <c r="FF807" s="1" t="s">
        <v>239</v>
      </c>
      <c r="FG807" s="1" t="s">
        <v>192</v>
      </c>
      <c r="FH807" s="1" t="s">
        <v>192</v>
      </c>
      <c r="FJ807" s="1" t="s">
        <v>1248</v>
      </c>
      <c r="FK807" s="1" t="s">
        <v>229</v>
      </c>
      <c r="FL807" s="1" t="s">
        <v>9453</v>
      </c>
      <c r="FM807" s="1">
        <v>4719.0</v>
      </c>
      <c r="FN807" s="1" t="s">
        <v>9454</v>
      </c>
      <c r="FO807" s="1" t="s">
        <v>9455</v>
      </c>
      <c r="FP807" s="1">
        <v>42420.0</v>
      </c>
      <c r="FU807" s="1" t="s">
        <v>9456</v>
      </c>
      <c r="FV807" s="1" t="s">
        <v>200</v>
      </c>
      <c r="FW807" s="1" t="s">
        <v>1511</v>
      </c>
      <c r="FZ807" s="1" t="s">
        <v>229</v>
      </c>
      <c r="GA807" s="1" t="s">
        <v>291</v>
      </c>
      <c r="GB807" s="2">
        <v>42142.0</v>
      </c>
      <c r="GC807" s="1" t="s">
        <v>9457</v>
      </c>
    </row>
    <row r="808">
      <c r="A808" s="1">
        <v>250000.0</v>
      </c>
      <c r="B808" s="1" t="s">
        <v>185</v>
      </c>
      <c r="C808" s="1" t="str">
        <f>"08813022"</f>
        <v>08813022</v>
      </c>
      <c r="D808" s="1" t="s">
        <v>186</v>
      </c>
      <c r="F808" s="1" t="str">
        <f>"560"</f>
        <v>560</v>
      </c>
      <c r="G808" s="2">
        <v>42013.0</v>
      </c>
      <c r="H808" s="1">
        <v>271000.0</v>
      </c>
      <c r="I808" s="1">
        <v>302.0</v>
      </c>
      <c r="J808" s="1">
        <v>271000.0</v>
      </c>
      <c r="K808" s="2">
        <v>42033.0</v>
      </c>
      <c r="L808" s="1">
        <v>21.0</v>
      </c>
      <c r="M808" s="2">
        <v>42033.0</v>
      </c>
      <c r="N808" s="1" t="s">
        <v>187</v>
      </c>
      <c r="O808" s="2">
        <v>42076.0</v>
      </c>
      <c r="P808" s="1">
        <v>218749.0</v>
      </c>
      <c r="Q808" s="1">
        <v>23286.0</v>
      </c>
      <c r="S808" s="1">
        <v>70.0</v>
      </c>
      <c r="T808" s="1" t="s">
        <v>9458</v>
      </c>
      <c r="U808" s="1" t="s">
        <v>569</v>
      </c>
      <c r="V808" s="1" t="s">
        <v>845</v>
      </c>
      <c r="W808" s="1">
        <v>60560.0</v>
      </c>
      <c r="Y808" s="1" t="s">
        <v>9459</v>
      </c>
      <c r="Z808" s="1">
        <v>1975.0</v>
      </c>
      <c r="AA808" s="1" t="s">
        <v>192</v>
      </c>
      <c r="AB808" s="1" t="s">
        <v>193</v>
      </c>
      <c r="AC808" s="1" t="s">
        <v>9460</v>
      </c>
      <c r="AD808" s="1" t="s">
        <v>1089</v>
      </c>
      <c r="AE808" s="1" t="s">
        <v>849</v>
      </c>
      <c r="AF808" s="1" t="s">
        <v>2153</v>
      </c>
      <c r="AH808" s="1" t="s">
        <v>9461</v>
      </c>
      <c r="AI808" s="1">
        <v>1.75</v>
      </c>
      <c r="AK808" s="1">
        <v>11.0</v>
      </c>
      <c r="AL808" s="1">
        <v>3.0</v>
      </c>
      <c r="AM808" s="1">
        <v>3.0</v>
      </c>
      <c r="AN808" s="1">
        <v>1.0</v>
      </c>
      <c r="AO808" s="1" t="s">
        <v>198</v>
      </c>
      <c r="AP808" s="1">
        <v>2.0</v>
      </c>
      <c r="AQ808" s="1" t="s">
        <v>198</v>
      </c>
      <c r="AR808" s="1" t="s">
        <v>192</v>
      </c>
      <c r="AS808" s="1" t="s">
        <v>199</v>
      </c>
      <c r="AT808" s="1">
        <v>3.0</v>
      </c>
      <c r="AV808" s="1" t="s">
        <v>192</v>
      </c>
      <c r="AW808" s="1">
        <v>8026.0</v>
      </c>
      <c r="AX808" s="1">
        <v>2013.0</v>
      </c>
      <c r="AY808" s="1" t="s">
        <v>1179</v>
      </c>
      <c r="AZ808" s="1" t="s">
        <v>200</v>
      </c>
      <c r="BA808" s="1" t="str">
        <f>"0504176010"</f>
        <v>0504176010</v>
      </c>
      <c r="BC808" s="1">
        <v>2400.0</v>
      </c>
      <c r="BD808" s="1">
        <v>250000.0</v>
      </c>
      <c r="BE808" s="2">
        <v>42013.0</v>
      </c>
      <c r="BF808" s="2" t="s">
        <v>9462</v>
      </c>
      <c r="BG808" s="1" t="s">
        <v>5552</v>
      </c>
      <c r="BH808" s="1">
        <v>0.0</v>
      </c>
      <c r="BI808" s="1" t="s">
        <v>3052</v>
      </c>
      <c r="BJ808" s="1" t="s">
        <v>3053</v>
      </c>
      <c r="BK808" s="1" t="s">
        <v>204</v>
      </c>
      <c r="BL808" s="1" t="str">
        <f t="shared" ref="BL808:BM808" si="531">""</f>
        <v/>
      </c>
      <c r="BM808" s="1" t="str">
        <f t="shared" si="531"/>
        <v/>
      </c>
      <c r="BQ808" s="1">
        <v>115.0</v>
      </c>
      <c r="BR808" s="1">
        <v>115.0</v>
      </c>
      <c r="BS808" s="1">
        <v>115.0</v>
      </c>
      <c r="BU808" s="1" t="s">
        <v>924</v>
      </c>
      <c r="BV808" s="1" t="s">
        <v>206</v>
      </c>
      <c r="BW808" s="1" t="s">
        <v>210</v>
      </c>
      <c r="BX808" s="1" t="s">
        <v>239</v>
      </c>
      <c r="BY808" s="1" t="s">
        <v>211</v>
      </c>
      <c r="BZ808" s="1" t="s">
        <v>209</v>
      </c>
      <c r="CA808" s="1" t="s">
        <v>210</v>
      </c>
      <c r="CB808" s="1" t="s">
        <v>239</v>
      </c>
      <c r="CC808" s="1" t="s">
        <v>433</v>
      </c>
      <c r="CD808" s="1" t="s">
        <v>206</v>
      </c>
      <c r="CE808" s="1" t="s">
        <v>210</v>
      </c>
      <c r="CF808" s="1" t="s">
        <v>239</v>
      </c>
      <c r="CG808" s="1" t="s">
        <v>211</v>
      </c>
      <c r="CH808" s="1" t="s">
        <v>206</v>
      </c>
      <c r="CI808" s="1" t="s">
        <v>210</v>
      </c>
      <c r="CJ808" s="1" t="s">
        <v>239</v>
      </c>
      <c r="CK808" s="1" t="s">
        <v>433</v>
      </c>
      <c r="CL808" s="1" t="s">
        <v>206</v>
      </c>
      <c r="CM808" s="1" t="s">
        <v>210</v>
      </c>
      <c r="CN808" s="1" t="s">
        <v>239</v>
      </c>
      <c r="CO808" s="1" t="s">
        <v>904</v>
      </c>
      <c r="CP808" s="1" t="s">
        <v>42</v>
      </c>
      <c r="CQ808" s="1" t="s">
        <v>210</v>
      </c>
      <c r="CS808" s="1" t="s">
        <v>1158</v>
      </c>
      <c r="CT808" s="1" t="s">
        <v>206</v>
      </c>
      <c r="CU808" s="1" t="s">
        <v>207</v>
      </c>
      <c r="CV808" s="1" t="s">
        <v>239</v>
      </c>
      <c r="CW808" s="1" t="s">
        <v>2800</v>
      </c>
      <c r="CX808" s="1" t="s">
        <v>206</v>
      </c>
      <c r="CY808" s="1" t="s">
        <v>210</v>
      </c>
      <c r="CZ808" s="1" t="s">
        <v>239</v>
      </c>
      <c r="DA808" s="1" t="s">
        <v>200</v>
      </c>
      <c r="DC808" s="1" t="s">
        <v>395</v>
      </c>
      <c r="DD808" s="1" t="s">
        <v>518</v>
      </c>
      <c r="DE808" s="1" t="s">
        <v>1810</v>
      </c>
      <c r="DF808" s="1" t="s">
        <v>219</v>
      </c>
      <c r="DH808" s="1" t="s">
        <v>856</v>
      </c>
      <c r="DI808" s="1" t="s">
        <v>2124</v>
      </c>
      <c r="DJ808" s="1" t="s">
        <v>857</v>
      </c>
      <c r="DL808" s="1" t="s">
        <v>224</v>
      </c>
      <c r="DM808" s="1" t="s">
        <v>338</v>
      </c>
      <c r="DO808" s="1" t="s">
        <v>9463</v>
      </c>
      <c r="DP808" s="1" t="s">
        <v>340</v>
      </c>
      <c r="DQ808" s="1" t="s">
        <v>931</v>
      </c>
      <c r="DR808" s="1" t="s">
        <v>229</v>
      </c>
      <c r="DS808" s="1" t="s">
        <v>9464</v>
      </c>
      <c r="DV808" s="1" t="s">
        <v>9465</v>
      </c>
      <c r="DW808" s="1" t="s">
        <v>891</v>
      </c>
      <c r="DX808" s="1" t="s">
        <v>234</v>
      </c>
      <c r="DY808" s="1" t="s">
        <v>3183</v>
      </c>
      <c r="DZ808" s="1" t="s">
        <v>310</v>
      </c>
      <c r="EA808" s="1" t="s">
        <v>683</v>
      </c>
      <c r="EC808" s="1" t="s">
        <v>685</v>
      </c>
      <c r="ED808" s="1" t="s">
        <v>4163</v>
      </c>
      <c r="EG808" s="1" t="s">
        <v>1121</v>
      </c>
      <c r="EH808" s="1" t="s">
        <v>556</v>
      </c>
      <c r="EI808" s="1" t="s">
        <v>450</v>
      </c>
      <c r="EL808" s="1" t="s">
        <v>264</v>
      </c>
      <c r="EM808" s="1" t="s">
        <v>206</v>
      </c>
      <c r="EN808" s="1" t="s">
        <v>210</v>
      </c>
      <c r="EP808" s="1" t="s">
        <v>265</v>
      </c>
      <c r="EQ808" s="1" t="s">
        <v>206</v>
      </c>
      <c r="ER808" s="1" t="s">
        <v>207</v>
      </c>
      <c r="ES808" s="1" t="s">
        <v>239</v>
      </c>
      <c r="ET808" s="1" t="s">
        <v>9466</v>
      </c>
      <c r="EU808" s="1" t="s">
        <v>42</v>
      </c>
      <c r="EV808" s="1" t="s">
        <v>210</v>
      </c>
      <c r="EY808" s="1" t="s">
        <v>238</v>
      </c>
      <c r="FC808" s="1" t="s">
        <v>238</v>
      </c>
      <c r="FF808" s="1" t="s">
        <v>239</v>
      </c>
      <c r="FG808" s="1" t="s">
        <v>192</v>
      </c>
      <c r="FH808" s="1" t="s">
        <v>192</v>
      </c>
      <c r="FJ808" s="1" t="s">
        <v>561</v>
      </c>
      <c r="FK808" s="1" t="s">
        <v>229</v>
      </c>
      <c r="FL808" s="1" t="s">
        <v>1289</v>
      </c>
      <c r="FM808" s="1">
        <v>25618.0</v>
      </c>
      <c r="FN808" s="1" t="s">
        <v>6468</v>
      </c>
      <c r="FO808" s="1" t="s">
        <v>9467</v>
      </c>
      <c r="FP808" s="1">
        <v>221267.0</v>
      </c>
      <c r="FQ808" s="1" t="s">
        <v>9468</v>
      </c>
      <c r="FU808" s="1" t="s">
        <v>9469</v>
      </c>
      <c r="FV808" s="1" t="s">
        <v>200</v>
      </c>
      <c r="FW808" s="1" t="s">
        <v>290</v>
      </c>
      <c r="FZ808" s="1" t="s">
        <v>229</v>
      </c>
      <c r="GA808" s="1" t="s">
        <v>291</v>
      </c>
      <c r="GB808" s="2">
        <v>42078.0</v>
      </c>
      <c r="GC808" s="1" t="s">
        <v>9470</v>
      </c>
    </row>
    <row r="809">
      <c r="A809" s="1">
        <v>23000.0</v>
      </c>
      <c r="B809" s="1" t="s">
        <v>185</v>
      </c>
      <c r="C809" s="1" t="str">
        <f>"08816283"</f>
        <v>08816283</v>
      </c>
      <c r="D809" s="1" t="s">
        <v>186</v>
      </c>
      <c r="F809" s="1" t="str">
        <f>"8025"</f>
        <v>8025</v>
      </c>
      <c r="G809" s="2">
        <v>42018.0</v>
      </c>
      <c r="H809" s="1">
        <v>32900.0</v>
      </c>
      <c r="I809" s="1">
        <v>204.0</v>
      </c>
      <c r="J809" s="1">
        <v>27900.0</v>
      </c>
      <c r="K809" s="2">
        <v>42072.0</v>
      </c>
      <c r="L809" s="1">
        <v>55.0</v>
      </c>
      <c r="M809" s="2">
        <v>42072.0</v>
      </c>
      <c r="N809" s="1" t="s">
        <v>249</v>
      </c>
      <c r="O809" s="2">
        <v>42094.0</v>
      </c>
      <c r="P809" s="1">
        <v>169001.0</v>
      </c>
      <c r="Q809" s="1">
        <v>18143.0</v>
      </c>
      <c r="S809" s="1">
        <v>119.0</v>
      </c>
      <c r="T809" s="1" t="s">
        <v>8352</v>
      </c>
      <c r="U809" s="1" t="s">
        <v>189</v>
      </c>
      <c r="V809" s="1" t="s">
        <v>190</v>
      </c>
      <c r="W809" s="1">
        <v>60644.0</v>
      </c>
      <c r="Y809" s="1" t="s">
        <v>9471</v>
      </c>
      <c r="Z809" s="1">
        <v>1898.0</v>
      </c>
      <c r="AA809" s="1" t="s">
        <v>192</v>
      </c>
      <c r="AB809" s="1" t="s">
        <v>193</v>
      </c>
      <c r="AD809" s="1" t="s">
        <v>194</v>
      </c>
      <c r="AE809" s="1" t="s">
        <v>195</v>
      </c>
      <c r="AF809" s="1" t="s">
        <v>827</v>
      </c>
      <c r="AH809" s="1" t="s">
        <v>4528</v>
      </c>
      <c r="AI809" s="1">
        <v>0.1041</v>
      </c>
      <c r="AK809" s="1">
        <v>8.0</v>
      </c>
      <c r="AL809" s="1">
        <v>4.0</v>
      </c>
      <c r="AM809" s="1">
        <v>1.0</v>
      </c>
      <c r="AN809" s="1">
        <v>1.0</v>
      </c>
      <c r="AO809" s="1" t="s">
        <v>229</v>
      </c>
      <c r="AQ809" s="1" t="s">
        <v>198</v>
      </c>
      <c r="AR809" s="1" t="s">
        <v>200</v>
      </c>
      <c r="AS809" s="1" t="s">
        <v>229</v>
      </c>
      <c r="AV809" s="1" t="s">
        <v>200</v>
      </c>
      <c r="AW809" s="1">
        <v>2008.92</v>
      </c>
      <c r="AX809" s="1">
        <v>2012.0</v>
      </c>
      <c r="AY809" s="1" t="s">
        <v>588</v>
      </c>
      <c r="AZ809" s="1" t="s">
        <v>200</v>
      </c>
      <c r="BA809" s="1" t="str">
        <f>"16093120270000"</f>
        <v>16093120270000</v>
      </c>
      <c r="BB809" s="1" t="s">
        <v>200</v>
      </c>
      <c r="BC809" s="1">
        <v>2000.0</v>
      </c>
      <c r="BD809" s="1">
        <v>23000.0</v>
      </c>
      <c r="BE809" s="2">
        <v>42018.0</v>
      </c>
      <c r="BF809" s="2" t="s">
        <v>9472</v>
      </c>
      <c r="BH809" s="1">
        <v>0.0</v>
      </c>
      <c r="BK809" s="1" t="s">
        <v>204</v>
      </c>
      <c r="BL809" s="1" t="str">
        <f>"119"</f>
        <v>119</v>
      </c>
      <c r="BM809" s="1" t="str">
        <f>"0"</f>
        <v>0</v>
      </c>
      <c r="BN809" s="1">
        <v>5300.0</v>
      </c>
      <c r="BO809" s="1">
        <v>0.0</v>
      </c>
      <c r="BQ809" s="1">
        <v>299.0</v>
      </c>
      <c r="BR809" s="1">
        <v>299.0</v>
      </c>
      <c r="BS809" s="1">
        <v>299.0</v>
      </c>
      <c r="BU809" s="1" t="s">
        <v>1953</v>
      </c>
      <c r="BV809" s="1" t="s">
        <v>206</v>
      </c>
      <c r="BW809" s="1" t="s">
        <v>207</v>
      </c>
      <c r="BY809" s="1" t="s">
        <v>2749</v>
      </c>
      <c r="BZ809" s="1" t="s">
        <v>209</v>
      </c>
      <c r="CA809" s="1" t="s">
        <v>207</v>
      </c>
      <c r="CC809" s="1" t="s">
        <v>454</v>
      </c>
      <c r="CD809" s="1" t="s">
        <v>206</v>
      </c>
      <c r="CE809" s="1" t="s">
        <v>210</v>
      </c>
      <c r="CG809" s="1" t="s">
        <v>264</v>
      </c>
      <c r="CH809" s="1" t="s">
        <v>209</v>
      </c>
      <c r="CI809" s="1" t="s">
        <v>207</v>
      </c>
      <c r="CK809" s="1" t="s">
        <v>212</v>
      </c>
      <c r="CL809" s="1" t="s">
        <v>209</v>
      </c>
      <c r="CM809" s="1" t="s">
        <v>207</v>
      </c>
      <c r="CO809" s="1" t="s">
        <v>269</v>
      </c>
      <c r="CP809" s="1" t="s">
        <v>209</v>
      </c>
      <c r="CQ809" s="1" t="s">
        <v>207</v>
      </c>
      <c r="CS809" s="1" t="s">
        <v>582</v>
      </c>
      <c r="CT809" s="1" t="s">
        <v>206</v>
      </c>
      <c r="CU809" s="1" t="s">
        <v>210</v>
      </c>
      <c r="CX809" s="1" t="s">
        <v>204</v>
      </c>
      <c r="DA809" s="1" t="s">
        <v>200</v>
      </c>
      <c r="DC809" s="1" t="s">
        <v>642</v>
      </c>
      <c r="DD809" s="1" t="s">
        <v>518</v>
      </c>
      <c r="DE809" s="1" t="s">
        <v>229</v>
      </c>
      <c r="DF809" s="1" t="s">
        <v>219</v>
      </c>
      <c r="DG809" s="1" t="s">
        <v>337</v>
      </c>
      <c r="DH809" s="1" t="s">
        <v>365</v>
      </c>
      <c r="DI809" s="1" t="s">
        <v>9473</v>
      </c>
      <c r="DJ809" s="1" t="s">
        <v>222</v>
      </c>
      <c r="DK809" s="1" t="s">
        <v>1555</v>
      </c>
      <c r="DL809" s="1" t="s">
        <v>588</v>
      </c>
      <c r="DM809" s="1" t="s">
        <v>229</v>
      </c>
      <c r="DP809" s="1" t="s">
        <v>340</v>
      </c>
      <c r="DQ809" s="1" t="s">
        <v>794</v>
      </c>
      <c r="DR809" s="1" t="s">
        <v>229</v>
      </c>
      <c r="DV809" s="1" t="s">
        <v>9474</v>
      </c>
      <c r="DW809" s="1" t="s">
        <v>891</v>
      </c>
      <c r="DX809" s="1" t="s">
        <v>234</v>
      </c>
      <c r="EC809" s="1" t="s">
        <v>237</v>
      </c>
      <c r="EG809" s="1" t="s">
        <v>408</v>
      </c>
      <c r="EH809" s="1" t="s">
        <v>374</v>
      </c>
      <c r="EI809" s="1" t="s">
        <v>114</v>
      </c>
      <c r="EL809" s="1" t="s">
        <v>212</v>
      </c>
      <c r="EM809" s="1" t="s">
        <v>206</v>
      </c>
      <c r="EN809" s="1" t="s">
        <v>617</v>
      </c>
      <c r="EP809" s="1" t="s">
        <v>375</v>
      </c>
      <c r="EQ809" s="1" t="s">
        <v>209</v>
      </c>
      <c r="ER809" s="1" t="s">
        <v>210</v>
      </c>
      <c r="ET809" s="1" t="s">
        <v>7820</v>
      </c>
      <c r="EU809" s="1" t="s">
        <v>391</v>
      </c>
      <c r="EV809" s="1" t="s">
        <v>588</v>
      </c>
      <c r="EY809" s="1" t="s">
        <v>238</v>
      </c>
      <c r="FC809" s="1" t="s">
        <v>238</v>
      </c>
      <c r="FF809" s="1" t="s">
        <v>229</v>
      </c>
      <c r="FG809" s="1" t="s">
        <v>200</v>
      </c>
      <c r="FH809" s="1" t="s">
        <v>200</v>
      </c>
      <c r="FJ809" s="1" t="s">
        <v>9222</v>
      </c>
      <c r="FK809" s="1" t="s">
        <v>229</v>
      </c>
      <c r="FL809" s="1" t="s">
        <v>9223</v>
      </c>
      <c r="FM809" s="1">
        <v>18143.0</v>
      </c>
      <c r="FN809" s="1" t="s">
        <v>9224</v>
      </c>
      <c r="FO809" s="1" t="s">
        <v>9225</v>
      </c>
      <c r="FP809" s="1">
        <v>169001.0</v>
      </c>
      <c r="FQ809" s="1" t="s">
        <v>9224</v>
      </c>
      <c r="FU809" s="1" t="s">
        <v>4374</v>
      </c>
      <c r="FV809" s="1" t="s">
        <v>200</v>
      </c>
      <c r="FW809" s="1" t="s">
        <v>1293</v>
      </c>
      <c r="FX809" s="1" t="s">
        <v>238</v>
      </c>
      <c r="FZ809" s="1" t="s">
        <v>229</v>
      </c>
      <c r="GA809" s="1" t="s">
        <v>291</v>
      </c>
      <c r="GB809" s="2">
        <v>42095.0</v>
      </c>
    </row>
    <row r="810">
      <c r="A810" s="1">
        <v>278938.0</v>
      </c>
      <c r="B810" s="1" t="s">
        <v>185</v>
      </c>
      <c r="C810" s="1" t="str">
        <f>"08812362"</f>
        <v>08812362</v>
      </c>
      <c r="D810" s="1" t="s">
        <v>186</v>
      </c>
      <c r="F810" s="1" t="str">
        <f>"554"</f>
        <v>554</v>
      </c>
      <c r="G810" s="2">
        <v>42012.0</v>
      </c>
      <c r="H810" s="1">
        <v>278938.0</v>
      </c>
      <c r="I810" s="1">
        <v>2.0</v>
      </c>
      <c r="J810" s="1">
        <v>278938.0</v>
      </c>
      <c r="K810" s="2">
        <v>42013.0</v>
      </c>
      <c r="L810" s="1">
        <v>2.0</v>
      </c>
      <c r="M810" s="2">
        <v>42013.0</v>
      </c>
      <c r="N810" s="1" t="s">
        <v>187</v>
      </c>
      <c r="O810" s="2">
        <v>42033.0</v>
      </c>
      <c r="P810" s="1">
        <v>236889.0</v>
      </c>
      <c r="Q810" s="1">
        <v>25279.0</v>
      </c>
      <c r="S810" s="1">
        <v>797.0</v>
      </c>
      <c r="T810" s="1" t="s">
        <v>9475</v>
      </c>
      <c r="U810" s="1" t="s">
        <v>1174</v>
      </c>
      <c r="V810" s="1" t="s">
        <v>2212</v>
      </c>
      <c r="W810" s="1">
        <v>60554.0</v>
      </c>
      <c r="Y810" s="1" t="s">
        <v>9476</v>
      </c>
      <c r="Z810" s="1">
        <v>2013.0</v>
      </c>
      <c r="AA810" s="1" t="s">
        <v>200</v>
      </c>
      <c r="AB810" s="1" t="s">
        <v>467</v>
      </c>
      <c r="AC810" s="1" t="s">
        <v>9477</v>
      </c>
      <c r="AD810" s="1" t="s">
        <v>1887</v>
      </c>
      <c r="AE810" s="1" t="s">
        <v>325</v>
      </c>
      <c r="AF810" s="1" t="s">
        <v>1887</v>
      </c>
      <c r="AG810" s="1" t="s">
        <v>9478</v>
      </c>
      <c r="AH810" s="1" t="s">
        <v>9479</v>
      </c>
      <c r="AK810" s="1">
        <v>7.0</v>
      </c>
      <c r="AL810" s="1">
        <v>4.0</v>
      </c>
      <c r="AM810" s="1">
        <v>2.0</v>
      </c>
      <c r="AN810" s="1">
        <v>1.0</v>
      </c>
      <c r="AO810" s="1" t="s">
        <v>198</v>
      </c>
      <c r="AQ810" s="1" t="s">
        <v>1314</v>
      </c>
      <c r="AR810" s="1" t="s">
        <v>200</v>
      </c>
      <c r="AS810" s="1" t="s">
        <v>199</v>
      </c>
      <c r="AT810" s="1">
        <v>2.0</v>
      </c>
      <c r="AV810" s="1" t="s">
        <v>200</v>
      </c>
      <c r="AW810" s="1" t="s">
        <v>575</v>
      </c>
      <c r="AX810" s="1">
        <v>2013.0</v>
      </c>
      <c r="AZ810" s="1" t="s">
        <v>200</v>
      </c>
      <c r="BA810" s="1" t="str">
        <f>"1420149006"</f>
        <v>1420149006</v>
      </c>
      <c r="BC810" s="1">
        <v>2562.0</v>
      </c>
      <c r="BD810" s="1">
        <v>278938.0</v>
      </c>
      <c r="BE810" s="2">
        <v>42012.0</v>
      </c>
      <c r="BF810" s="2" t="s">
        <v>9480</v>
      </c>
      <c r="BG810" s="1" t="s">
        <v>2218</v>
      </c>
      <c r="BH810" s="1">
        <v>300.0</v>
      </c>
      <c r="BI810" s="1" t="s">
        <v>1635</v>
      </c>
      <c r="BJ810" s="1" t="s">
        <v>1636</v>
      </c>
      <c r="BK810" s="1" t="s">
        <v>580</v>
      </c>
      <c r="BL810" s="1" t="str">
        <f t="shared" ref="BL810:BM810" si="532">""</f>
        <v/>
      </c>
      <c r="BM810" s="1" t="str">
        <f t="shared" si="532"/>
        <v/>
      </c>
      <c r="BQ810" s="1">
        <v>302.0</v>
      </c>
      <c r="BR810" s="1">
        <v>302.0</v>
      </c>
      <c r="BS810" s="1">
        <v>302.0</v>
      </c>
      <c r="BV810" s="1" t="s">
        <v>204</v>
      </c>
      <c r="BY810" s="1" t="s">
        <v>2442</v>
      </c>
      <c r="BZ810" s="1" t="s">
        <v>209</v>
      </c>
      <c r="CA810" s="1" t="s">
        <v>210</v>
      </c>
      <c r="CB810" s="1" t="s">
        <v>229</v>
      </c>
      <c r="CC810" s="1" t="s">
        <v>2459</v>
      </c>
      <c r="CD810" s="1" t="s">
        <v>206</v>
      </c>
      <c r="CE810" s="1" t="s">
        <v>210</v>
      </c>
      <c r="CF810" s="1" t="s">
        <v>229</v>
      </c>
      <c r="CG810" s="1" t="s">
        <v>1351</v>
      </c>
      <c r="CH810" s="1" t="s">
        <v>209</v>
      </c>
      <c r="CI810" s="1" t="s">
        <v>210</v>
      </c>
      <c r="CJ810" s="1" t="s">
        <v>229</v>
      </c>
      <c r="CK810" s="1" t="s">
        <v>663</v>
      </c>
      <c r="CL810" s="1" t="s">
        <v>209</v>
      </c>
      <c r="CM810" s="1" t="s">
        <v>210</v>
      </c>
      <c r="CN810" s="1" t="s">
        <v>229</v>
      </c>
      <c r="CO810" s="1" t="s">
        <v>393</v>
      </c>
      <c r="CP810" s="1" t="s">
        <v>209</v>
      </c>
      <c r="CQ810" s="1" t="s">
        <v>210</v>
      </c>
      <c r="CR810" s="1" t="s">
        <v>229</v>
      </c>
      <c r="CS810" s="1" t="s">
        <v>434</v>
      </c>
      <c r="CT810" s="1" t="s">
        <v>206</v>
      </c>
      <c r="CU810" s="1" t="s">
        <v>617</v>
      </c>
      <c r="CV810" s="1" t="s">
        <v>229</v>
      </c>
      <c r="CW810" s="1" t="s">
        <v>434</v>
      </c>
      <c r="CX810" s="1" t="s">
        <v>206</v>
      </c>
      <c r="DA810" s="1" t="s">
        <v>200</v>
      </c>
      <c r="DC810" s="1" t="s">
        <v>1046</v>
      </c>
      <c r="DE810" s="1" t="s">
        <v>273</v>
      </c>
      <c r="DF810" s="1" t="s">
        <v>619</v>
      </c>
      <c r="DH810" s="1" t="s">
        <v>220</v>
      </c>
      <c r="DJ810" s="1" t="s">
        <v>222</v>
      </c>
      <c r="DL810" s="1" t="s">
        <v>223</v>
      </c>
      <c r="DM810" s="1" t="s">
        <v>229</v>
      </c>
      <c r="DP810" s="1" t="s">
        <v>340</v>
      </c>
      <c r="DQ810" s="1" t="s">
        <v>441</v>
      </c>
      <c r="DR810" s="1" t="s">
        <v>229</v>
      </c>
      <c r="DV810" s="1" t="s">
        <v>588</v>
      </c>
      <c r="DW810" s="1" t="s">
        <v>233</v>
      </c>
      <c r="DX810" s="1" t="s">
        <v>234</v>
      </c>
      <c r="EC810" s="1" t="s">
        <v>237</v>
      </c>
      <c r="EG810" s="1" t="s">
        <v>588</v>
      </c>
      <c r="EL810" s="1" t="s">
        <v>830</v>
      </c>
      <c r="EM810" s="1" t="s">
        <v>206</v>
      </c>
      <c r="EQ810" s="1" t="s">
        <v>238</v>
      </c>
      <c r="EU810" s="1" t="s">
        <v>238</v>
      </c>
      <c r="EY810" s="1" t="s">
        <v>238</v>
      </c>
      <c r="FC810" s="1" t="s">
        <v>238</v>
      </c>
      <c r="FF810" s="1" t="s">
        <v>229</v>
      </c>
      <c r="FG810" s="1" t="s">
        <v>200</v>
      </c>
      <c r="FH810" s="1" t="s">
        <v>200</v>
      </c>
      <c r="FJ810" s="1" t="s">
        <v>9481</v>
      </c>
      <c r="FK810" s="1" t="s">
        <v>229</v>
      </c>
      <c r="FL810" s="1" t="s">
        <v>9482</v>
      </c>
      <c r="FM810" s="1">
        <v>84234.0</v>
      </c>
      <c r="FN810" s="1" t="s">
        <v>9483</v>
      </c>
      <c r="FO810" s="1" t="s">
        <v>9484</v>
      </c>
      <c r="FP810" s="1">
        <v>181635.0</v>
      </c>
      <c r="FU810" s="1" t="s">
        <v>9485</v>
      </c>
      <c r="FV810" s="1" t="s">
        <v>192</v>
      </c>
      <c r="FW810" s="1" t="s">
        <v>9486</v>
      </c>
      <c r="FZ810" s="1" t="s">
        <v>229</v>
      </c>
      <c r="GA810" s="1" t="s">
        <v>291</v>
      </c>
      <c r="GB810" s="2">
        <v>42034.0</v>
      </c>
    </row>
    <row r="811">
      <c r="A811" s="1">
        <v>95200.0</v>
      </c>
      <c r="B811" s="1" t="s">
        <v>185</v>
      </c>
      <c r="C811" s="1" t="str">
        <f>"08811295"</f>
        <v>08811295</v>
      </c>
      <c r="D811" s="1" t="s">
        <v>186</v>
      </c>
      <c r="F811" s="1" t="str">
        <f>"8056"</f>
        <v>8056</v>
      </c>
      <c r="G811" s="2">
        <v>42011.0</v>
      </c>
      <c r="H811" s="1">
        <v>101900.0</v>
      </c>
      <c r="I811" s="1">
        <v>65.0</v>
      </c>
      <c r="J811" s="1">
        <v>101900.0</v>
      </c>
      <c r="K811" s="2">
        <v>42075.0</v>
      </c>
      <c r="L811" s="1">
        <v>65.0</v>
      </c>
      <c r="M811" s="2">
        <v>42075.0</v>
      </c>
      <c r="N811" s="1" t="s">
        <v>249</v>
      </c>
      <c r="O811" s="2">
        <v>42096.0</v>
      </c>
      <c r="P811" s="1">
        <v>167383.0</v>
      </c>
      <c r="Q811" s="1">
        <v>85779.0</v>
      </c>
      <c r="S811" s="1">
        <v>4936.0</v>
      </c>
      <c r="T811" s="1" t="s">
        <v>9487</v>
      </c>
      <c r="U811" s="1" t="s">
        <v>189</v>
      </c>
      <c r="V811" s="1" t="s">
        <v>190</v>
      </c>
      <c r="W811" s="1">
        <v>60638.0</v>
      </c>
      <c r="Y811" s="1" t="s">
        <v>9488</v>
      </c>
      <c r="Z811" s="1">
        <v>1951.0</v>
      </c>
      <c r="AA811" s="1" t="s">
        <v>192</v>
      </c>
      <c r="AB811" s="1" t="s">
        <v>193</v>
      </c>
      <c r="AD811" s="1" t="s">
        <v>194</v>
      </c>
      <c r="AE811" s="1" t="s">
        <v>195</v>
      </c>
      <c r="AF811" s="1" t="s">
        <v>659</v>
      </c>
      <c r="AH811" s="1" t="s">
        <v>1501</v>
      </c>
      <c r="AI811" s="1">
        <v>0.0868</v>
      </c>
      <c r="AK811" s="1">
        <v>6.0</v>
      </c>
      <c r="AL811" s="1">
        <v>2.0</v>
      </c>
      <c r="AM811" s="1">
        <v>1.0</v>
      </c>
      <c r="AN811" s="1">
        <v>0.0</v>
      </c>
      <c r="AO811" s="1" t="s">
        <v>229</v>
      </c>
      <c r="AQ811" s="1" t="s">
        <v>198</v>
      </c>
      <c r="AR811" s="1" t="s">
        <v>200</v>
      </c>
      <c r="AS811" s="1" t="s">
        <v>199</v>
      </c>
      <c r="AT811" s="1">
        <v>2.0</v>
      </c>
      <c r="AV811" s="1" t="s">
        <v>200</v>
      </c>
      <c r="AW811" s="1">
        <v>2256.09</v>
      </c>
      <c r="AX811" s="1">
        <v>2013.0</v>
      </c>
      <c r="AZ811" s="1" t="s">
        <v>200</v>
      </c>
      <c r="BA811" s="1" t="str">
        <f>"19092220300000"</f>
        <v>19092220300000</v>
      </c>
      <c r="BC811" s="1">
        <v>888.0</v>
      </c>
      <c r="BD811" s="1">
        <v>95200.0</v>
      </c>
      <c r="BE811" s="2">
        <v>42011.0</v>
      </c>
      <c r="BF811" s="2" t="s">
        <v>9489</v>
      </c>
      <c r="BH811" s="1">
        <v>0.0</v>
      </c>
      <c r="BK811" s="1" t="s">
        <v>204</v>
      </c>
      <c r="BL811" s="1" t="str">
        <f t="shared" ref="BL811:BM811" si="533">"0"</f>
        <v>0</v>
      </c>
      <c r="BM811" s="1" t="str">
        <f t="shared" si="533"/>
        <v>0</v>
      </c>
      <c r="BN811" s="1">
        <v>4832.0</v>
      </c>
      <c r="BO811" s="1">
        <v>4936.0</v>
      </c>
      <c r="BQ811" s="1">
        <v>299.0</v>
      </c>
      <c r="BR811" s="1">
        <v>299.0</v>
      </c>
      <c r="BS811" s="1">
        <v>299.0</v>
      </c>
      <c r="BU811" s="1" t="s">
        <v>270</v>
      </c>
      <c r="BV811" s="1" t="s">
        <v>206</v>
      </c>
      <c r="BY811" s="1" t="s">
        <v>699</v>
      </c>
      <c r="BZ811" s="1" t="s">
        <v>206</v>
      </c>
      <c r="CD811" s="1" t="s">
        <v>204</v>
      </c>
      <c r="CG811" s="1" t="s">
        <v>699</v>
      </c>
      <c r="CH811" s="1" t="s">
        <v>206</v>
      </c>
      <c r="CK811" s="1" t="s">
        <v>495</v>
      </c>
      <c r="CL811" s="1" t="s">
        <v>42</v>
      </c>
      <c r="CO811" s="1" t="s">
        <v>495</v>
      </c>
      <c r="CP811" s="1" t="s">
        <v>42</v>
      </c>
      <c r="CS811" s="1" t="s">
        <v>1417</v>
      </c>
      <c r="CT811" s="1" t="s">
        <v>206</v>
      </c>
      <c r="CX811" s="1" t="s">
        <v>204</v>
      </c>
      <c r="DA811" s="1" t="s">
        <v>200</v>
      </c>
      <c r="DC811" s="1" t="s">
        <v>702</v>
      </c>
      <c r="DE811" s="1" t="s">
        <v>229</v>
      </c>
      <c r="DF811" s="1" t="s">
        <v>619</v>
      </c>
      <c r="DH811" s="1" t="s">
        <v>365</v>
      </c>
      <c r="DJ811" s="1" t="s">
        <v>222</v>
      </c>
      <c r="DL811" s="1" t="s">
        <v>224</v>
      </c>
      <c r="DM811" s="1" t="s">
        <v>229</v>
      </c>
      <c r="DQ811" s="1" t="s">
        <v>228</v>
      </c>
      <c r="DR811" s="1" t="s">
        <v>229</v>
      </c>
      <c r="DV811" s="1" t="s">
        <v>232</v>
      </c>
      <c r="DW811" s="1" t="s">
        <v>279</v>
      </c>
      <c r="DX811" s="1" t="s">
        <v>309</v>
      </c>
      <c r="EC811" s="1" t="s">
        <v>685</v>
      </c>
      <c r="EM811" s="1" t="s">
        <v>238</v>
      </c>
      <c r="EQ811" s="1" t="s">
        <v>238</v>
      </c>
      <c r="EU811" s="1" t="s">
        <v>238</v>
      </c>
      <c r="EY811" s="1" t="s">
        <v>238</v>
      </c>
      <c r="FC811" s="1" t="s">
        <v>238</v>
      </c>
      <c r="FF811" s="1" t="s">
        <v>239</v>
      </c>
      <c r="FG811" s="1" t="s">
        <v>192</v>
      </c>
      <c r="FH811" s="1" t="s">
        <v>192</v>
      </c>
      <c r="FJ811" s="1" t="s">
        <v>1248</v>
      </c>
      <c r="FK811" s="1" t="s">
        <v>229</v>
      </c>
      <c r="FL811" s="1" t="s">
        <v>9490</v>
      </c>
      <c r="FM811" s="1">
        <v>12119.0</v>
      </c>
      <c r="FN811" s="1" t="s">
        <v>9491</v>
      </c>
      <c r="FO811" s="1" t="s">
        <v>9492</v>
      </c>
      <c r="FP811" s="1">
        <v>116161.0</v>
      </c>
      <c r="FQ811" s="1" t="s">
        <v>9491</v>
      </c>
      <c r="FS811" s="1" t="s">
        <v>9493</v>
      </c>
      <c r="FU811" s="1" t="s">
        <v>9494</v>
      </c>
      <c r="FV811" s="1" t="s">
        <v>200</v>
      </c>
      <c r="FW811" s="1" t="s">
        <v>567</v>
      </c>
      <c r="FX811" s="1" t="s">
        <v>655</v>
      </c>
      <c r="FZ811" s="1" t="s">
        <v>229</v>
      </c>
      <c r="GA811" s="1" t="s">
        <v>291</v>
      </c>
      <c r="GB811" s="2">
        <v>42097.0</v>
      </c>
      <c r="GC811" s="1" t="s">
        <v>9495</v>
      </c>
    </row>
    <row r="812">
      <c r="A812" s="1">
        <v>196000.0</v>
      </c>
      <c r="B812" s="1" t="s">
        <v>185</v>
      </c>
      <c r="C812" s="1" t="str">
        <f>"08818718"</f>
        <v>08818718</v>
      </c>
      <c r="D812" s="1" t="s">
        <v>186</v>
      </c>
      <c r="F812" s="1" t="str">
        <f>"8019"</f>
        <v>8019</v>
      </c>
      <c r="G812" s="2">
        <v>42022.0</v>
      </c>
      <c r="H812" s="1">
        <v>219900.0</v>
      </c>
      <c r="I812" s="1">
        <v>12.0</v>
      </c>
      <c r="J812" s="1">
        <v>209900.0</v>
      </c>
      <c r="K812" s="2">
        <v>42033.0</v>
      </c>
      <c r="L812" s="1">
        <v>12.0</v>
      </c>
      <c r="M812" s="2">
        <v>42033.0</v>
      </c>
      <c r="N812" s="1" t="s">
        <v>356</v>
      </c>
      <c r="O812" s="2">
        <v>42075.0</v>
      </c>
      <c r="P812" s="1">
        <v>877559.0</v>
      </c>
      <c r="Q812" s="1">
        <v>85078.0</v>
      </c>
      <c r="R812" s="1">
        <v>5880.0</v>
      </c>
      <c r="S812" s="1">
        <v>5143.0</v>
      </c>
      <c r="T812" s="1" t="s">
        <v>9072</v>
      </c>
      <c r="U812" s="1" t="s">
        <v>189</v>
      </c>
      <c r="V812" s="1" t="s">
        <v>190</v>
      </c>
      <c r="W812" s="1">
        <v>60641.0</v>
      </c>
      <c r="Y812" s="1" t="s">
        <v>9496</v>
      </c>
      <c r="Z812" s="1">
        <v>1923.0</v>
      </c>
      <c r="AA812" s="1" t="s">
        <v>192</v>
      </c>
      <c r="AB812" s="1" t="s">
        <v>193</v>
      </c>
      <c r="AD812" s="1" t="s">
        <v>194</v>
      </c>
      <c r="AE812" s="1" t="s">
        <v>195</v>
      </c>
      <c r="AF812" s="1" t="s">
        <v>196</v>
      </c>
      <c r="AH812" s="1" t="s">
        <v>359</v>
      </c>
      <c r="AI812" s="1">
        <v>0.0</v>
      </c>
      <c r="AK812" s="1">
        <v>7.0</v>
      </c>
      <c r="AL812" s="1">
        <v>4.0</v>
      </c>
      <c r="AM812" s="1">
        <v>3.0</v>
      </c>
      <c r="AN812" s="1">
        <v>0.0</v>
      </c>
      <c r="AO812" s="1" t="s">
        <v>198</v>
      </c>
      <c r="AQ812" s="1" t="s">
        <v>198</v>
      </c>
      <c r="AR812" s="1" t="s">
        <v>192</v>
      </c>
      <c r="AS812" s="1" t="s">
        <v>199</v>
      </c>
      <c r="AT812" s="1">
        <v>2.0</v>
      </c>
      <c r="AV812" s="1" t="s">
        <v>200</v>
      </c>
      <c r="AW812" s="1">
        <v>3160.27</v>
      </c>
      <c r="AX812" s="1">
        <v>2013.0</v>
      </c>
      <c r="AY812" s="1" t="s">
        <v>387</v>
      </c>
      <c r="AZ812" s="1" t="s">
        <v>200</v>
      </c>
      <c r="BA812" s="1" t="str">
        <f>"13282200060000"</f>
        <v>13282200060000</v>
      </c>
      <c r="BB812" s="1" t="s">
        <v>200</v>
      </c>
      <c r="BC812" s="1">
        <v>1200.0</v>
      </c>
      <c r="BD812" s="1">
        <v>196000.0</v>
      </c>
      <c r="BE812" s="2">
        <v>42022.0</v>
      </c>
      <c r="BF812" s="2" t="s">
        <v>9497</v>
      </c>
      <c r="BH812" s="1">
        <v>0.0</v>
      </c>
      <c r="BK812" s="1" t="s">
        <v>204</v>
      </c>
      <c r="BL812" s="1" t="str">
        <f>"2900"</f>
        <v>2900</v>
      </c>
      <c r="BM812" s="1" t="str">
        <f t="shared" ref="BM812:BM813" si="534">"0"</f>
        <v>0</v>
      </c>
      <c r="BN812" s="1">
        <v>5143.0</v>
      </c>
      <c r="BO812" s="1">
        <v>0.0</v>
      </c>
      <c r="BQ812" s="1">
        <v>299.0</v>
      </c>
      <c r="BR812" s="1">
        <v>299.0</v>
      </c>
      <c r="BS812" s="1">
        <v>299.0</v>
      </c>
      <c r="BU812" s="1" t="s">
        <v>925</v>
      </c>
      <c r="BV812" s="1" t="s">
        <v>206</v>
      </c>
      <c r="BW812" s="1" t="s">
        <v>207</v>
      </c>
      <c r="BY812" s="1" t="s">
        <v>363</v>
      </c>
      <c r="BZ812" s="1" t="s">
        <v>206</v>
      </c>
      <c r="CA812" s="1" t="s">
        <v>207</v>
      </c>
      <c r="CC812" s="1" t="s">
        <v>1190</v>
      </c>
      <c r="CD812" s="1" t="s">
        <v>206</v>
      </c>
      <c r="CE812" s="1" t="s">
        <v>207</v>
      </c>
      <c r="CG812" s="1" t="s">
        <v>363</v>
      </c>
      <c r="CH812" s="1" t="s">
        <v>206</v>
      </c>
      <c r="CI812" s="1" t="s">
        <v>207</v>
      </c>
      <c r="CK812" s="1" t="s">
        <v>3805</v>
      </c>
      <c r="CL812" s="1" t="s">
        <v>209</v>
      </c>
      <c r="CM812" s="1" t="s">
        <v>210</v>
      </c>
      <c r="CO812" s="1" t="s">
        <v>433</v>
      </c>
      <c r="CP812" s="1" t="s">
        <v>209</v>
      </c>
      <c r="CQ812" s="1" t="s">
        <v>210</v>
      </c>
      <c r="CS812" s="1" t="s">
        <v>478</v>
      </c>
      <c r="CT812" s="1" t="s">
        <v>206</v>
      </c>
      <c r="CX812" s="1" t="s">
        <v>204</v>
      </c>
      <c r="DA812" s="1" t="s">
        <v>200</v>
      </c>
      <c r="DC812" s="1" t="s">
        <v>216</v>
      </c>
      <c r="DD812" s="1" t="s">
        <v>396</v>
      </c>
      <c r="DE812" s="1" t="s">
        <v>1139</v>
      </c>
      <c r="DF812" s="1" t="s">
        <v>3540</v>
      </c>
      <c r="DH812" s="1" t="s">
        <v>220</v>
      </c>
      <c r="DI812" s="1" t="s">
        <v>1401</v>
      </c>
      <c r="DJ812" s="1" t="s">
        <v>222</v>
      </c>
      <c r="DK812" s="1" t="s">
        <v>9115</v>
      </c>
      <c r="DL812" s="1" t="s">
        <v>1870</v>
      </c>
      <c r="DM812" s="1" t="s">
        <v>229</v>
      </c>
      <c r="DP812" s="1" t="s">
        <v>340</v>
      </c>
      <c r="DQ812" s="1" t="s">
        <v>718</v>
      </c>
      <c r="DR812" s="1" t="s">
        <v>229</v>
      </c>
      <c r="DV812" s="1" t="s">
        <v>232</v>
      </c>
      <c r="DW812" s="1" t="s">
        <v>279</v>
      </c>
      <c r="DX812" s="1" t="s">
        <v>1287</v>
      </c>
      <c r="DY812" s="1" t="s">
        <v>704</v>
      </c>
      <c r="EA812" s="1" t="s">
        <v>644</v>
      </c>
      <c r="EC812" s="1" t="s">
        <v>237</v>
      </c>
      <c r="ED812" s="1" t="s">
        <v>555</v>
      </c>
      <c r="EE812" s="1" t="s">
        <v>2649</v>
      </c>
      <c r="EM812" s="1" t="s">
        <v>238</v>
      </c>
      <c r="EQ812" s="1" t="s">
        <v>238</v>
      </c>
      <c r="EU812" s="1" t="s">
        <v>238</v>
      </c>
      <c r="EY812" s="1" t="s">
        <v>238</v>
      </c>
      <c r="FC812" s="1" t="s">
        <v>238</v>
      </c>
      <c r="FF812" s="1" t="s">
        <v>239</v>
      </c>
      <c r="FG812" s="1" t="s">
        <v>192</v>
      </c>
      <c r="FH812" s="1" t="s">
        <v>192</v>
      </c>
      <c r="FJ812" s="1" t="s">
        <v>498</v>
      </c>
      <c r="FK812" s="1" t="s">
        <v>229</v>
      </c>
      <c r="FL812" s="1" t="s">
        <v>9498</v>
      </c>
      <c r="FM812" s="1">
        <v>15545.0</v>
      </c>
      <c r="FN812" s="1" t="s">
        <v>9499</v>
      </c>
      <c r="FO812" s="1" t="s">
        <v>9500</v>
      </c>
      <c r="FP812" s="1">
        <v>134222.0</v>
      </c>
      <c r="FQ812" s="1" t="s">
        <v>9501</v>
      </c>
      <c r="FU812" s="1" t="s">
        <v>9502</v>
      </c>
      <c r="FV812" s="1" t="s">
        <v>200</v>
      </c>
      <c r="FW812" s="1" t="s">
        <v>567</v>
      </c>
      <c r="FX812" s="1" t="s">
        <v>246</v>
      </c>
      <c r="FZ812" s="1" t="s">
        <v>229</v>
      </c>
      <c r="GA812" s="1" t="s">
        <v>291</v>
      </c>
      <c r="GB812" s="2">
        <v>42104.0</v>
      </c>
      <c r="GC812" s="1" t="s">
        <v>9503</v>
      </c>
    </row>
    <row r="813">
      <c r="A813" s="1">
        <v>375000.0</v>
      </c>
      <c r="B813" s="1" t="s">
        <v>185</v>
      </c>
      <c r="C813" s="1" t="str">
        <f>"08813215"</f>
        <v>08813215</v>
      </c>
      <c r="D813" s="1" t="s">
        <v>186</v>
      </c>
      <c r="F813" s="1" t="str">
        <f>"8017"</f>
        <v>8017</v>
      </c>
      <c r="G813" s="2">
        <v>42013.0</v>
      </c>
      <c r="H813" s="1">
        <v>380000.0</v>
      </c>
      <c r="I813" s="1">
        <v>159.0</v>
      </c>
      <c r="J813" s="1">
        <v>380000.0</v>
      </c>
      <c r="K813" s="2">
        <v>42048.0</v>
      </c>
      <c r="L813" s="1">
        <v>36.0</v>
      </c>
      <c r="M813" s="2">
        <v>42048.0</v>
      </c>
      <c r="N813" s="1" t="s">
        <v>187</v>
      </c>
      <c r="O813" s="2">
        <v>42079.0</v>
      </c>
      <c r="P813" s="1">
        <v>103604.0</v>
      </c>
      <c r="Q813" s="1">
        <v>84404.0</v>
      </c>
      <c r="R813" s="1">
        <v>2000.0</v>
      </c>
      <c r="S813" s="1">
        <v>3455.0</v>
      </c>
      <c r="T813" s="1" t="s">
        <v>9504</v>
      </c>
      <c r="U813" s="1" t="s">
        <v>189</v>
      </c>
      <c r="V813" s="1" t="s">
        <v>190</v>
      </c>
      <c r="W813" s="1">
        <v>60634.0</v>
      </c>
      <c r="Y813" s="1" t="s">
        <v>9505</v>
      </c>
      <c r="Z813" s="1">
        <v>1953.0</v>
      </c>
      <c r="AA813" s="1" t="s">
        <v>192</v>
      </c>
      <c r="AB813" s="1" t="s">
        <v>193</v>
      </c>
      <c r="AD813" s="1" t="s">
        <v>194</v>
      </c>
      <c r="AE813" s="1" t="s">
        <v>195</v>
      </c>
      <c r="AF813" s="1" t="s">
        <v>196</v>
      </c>
      <c r="AH813" s="1" t="s">
        <v>1501</v>
      </c>
      <c r="AI813" s="1">
        <v>0.0875</v>
      </c>
      <c r="AK813" s="1">
        <v>8.0</v>
      </c>
      <c r="AL813" s="1">
        <v>3.0</v>
      </c>
      <c r="AM813" s="1">
        <v>3.0</v>
      </c>
      <c r="AN813" s="1">
        <v>0.0</v>
      </c>
      <c r="AO813" s="1" t="s">
        <v>198</v>
      </c>
      <c r="AQ813" s="1" t="s">
        <v>198</v>
      </c>
      <c r="AR813" s="1" t="s">
        <v>192</v>
      </c>
      <c r="AS813" s="1" t="s">
        <v>199</v>
      </c>
      <c r="AT813" s="1">
        <v>2.0</v>
      </c>
      <c r="AV813" s="1" t="s">
        <v>200</v>
      </c>
      <c r="AW813" s="1">
        <v>945.49</v>
      </c>
      <c r="AX813" s="1">
        <v>2012.0</v>
      </c>
      <c r="AZ813" s="1" t="s">
        <v>200</v>
      </c>
      <c r="BA813" s="1" t="str">
        <f>"13193110020000"</f>
        <v>13193110020000</v>
      </c>
      <c r="BB813" s="1" t="s">
        <v>200</v>
      </c>
      <c r="BC813" s="1">
        <v>0.0</v>
      </c>
      <c r="BD813" s="1">
        <v>375000.0</v>
      </c>
      <c r="BE813" s="2">
        <v>42013.0</v>
      </c>
      <c r="BF813" s="2" t="s">
        <v>9506</v>
      </c>
      <c r="BH813" s="1">
        <v>0.0</v>
      </c>
      <c r="BK813" s="1" t="s">
        <v>204</v>
      </c>
      <c r="BL813" s="1" t="str">
        <f>"3455"</f>
        <v>3455</v>
      </c>
      <c r="BM813" s="1" t="str">
        <f t="shared" si="534"/>
        <v>0</v>
      </c>
      <c r="BN813" s="1">
        <v>7100.0</v>
      </c>
      <c r="BO813" s="1">
        <v>0.0</v>
      </c>
      <c r="BQ813" s="1">
        <v>299.0</v>
      </c>
      <c r="BR813" s="1">
        <v>299.0</v>
      </c>
      <c r="BS813" s="1">
        <v>299.0</v>
      </c>
      <c r="BU813" s="1" t="s">
        <v>205</v>
      </c>
      <c r="BV813" s="1" t="s">
        <v>206</v>
      </c>
      <c r="BW813" s="1" t="s">
        <v>207</v>
      </c>
      <c r="BY813" s="1" t="s">
        <v>264</v>
      </c>
      <c r="BZ813" s="1" t="s">
        <v>206</v>
      </c>
      <c r="CA813" s="1" t="s">
        <v>207</v>
      </c>
      <c r="CC813" s="1" t="s">
        <v>497</v>
      </c>
      <c r="CD813" s="1" t="s">
        <v>206</v>
      </c>
      <c r="CE813" s="1" t="s">
        <v>207</v>
      </c>
      <c r="CG813" s="1" t="s">
        <v>1426</v>
      </c>
      <c r="CH813" s="1" t="s">
        <v>209</v>
      </c>
      <c r="CI813" s="1" t="s">
        <v>210</v>
      </c>
      <c r="CK813" s="1" t="s">
        <v>758</v>
      </c>
      <c r="CL813" s="1" t="s">
        <v>209</v>
      </c>
      <c r="CM813" s="1" t="s">
        <v>210</v>
      </c>
      <c r="CO813" s="1" t="s">
        <v>269</v>
      </c>
      <c r="CP813" s="1" t="s">
        <v>42</v>
      </c>
      <c r="CQ813" s="1" t="s">
        <v>210</v>
      </c>
      <c r="CS813" s="1" t="s">
        <v>1426</v>
      </c>
      <c r="CT813" s="1" t="s">
        <v>206</v>
      </c>
      <c r="CU813" s="1" t="s">
        <v>207</v>
      </c>
      <c r="CW813" s="1" t="s">
        <v>3475</v>
      </c>
      <c r="CX813" s="1" t="s">
        <v>42</v>
      </c>
      <c r="CY813" s="1" t="s">
        <v>210</v>
      </c>
      <c r="DA813" s="1" t="s">
        <v>200</v>
      </c>
      <c r="DC813" s="1" t="s">
        <v>702</v>
      </c>
      <c r="DD813" s="1" t="s">
        <v>217</v>
      </c>
      <c r="DE813" s="1" t="s">
        <v>273</v>
      </c>
      <c r="DF813" s="1" t="s">
        <v>619</v>
      </c>
      <c r="DG813" s="1" t="s">
        <v>1160</v>
      </c>
      <c r="DH813" s="1" t="s">
        <v>365</v>
      </c>
      <c r="DI813" s="1" t="s">
        <v>732</v>
      </c>
      <c r="DJ813" s="1" t="s">
        <v>222</v>
      </c>
      <c r="DK813" s="1" t="s">
        <v>224</v>
      </c>
      <c r="DL813" s="1" t="s">
        <v>224</v>
      </c>
      <c r="DM813" s="1" t="s">
        <v>1464</v>
      </c>
      <c r="DN813" s="1" t="s">
        <v>2463</v>
      </c>
      <c r="DO813" s="1" t="s">
        <v>717</v>
      </c>
      <c r="DP813" s="1" t="s">
        <v>276</v>
      </c>
      <c r="DQ813" s="1" t="s">
        <v>228</v>
      </c>
      <c r="DR813" s="1" t="s">
        <v>229</v>
      </c>
      <c r="DS813" s="1" t="s">
        <v>277</v>
      </c>
      <c r="DU813" s="1" t="s">
        <v>3073</v>
      </c>
      <c r="DV813" s="1" t="s">
        <v>9507</v>
      </c>
      <c r="DW813" s="1" t="s">
        <v>279</v>
      </c>
      <c r="DX813" s="1" t="s">
        <v>234</v>
      </c>
      <c r="DY813" s="1" t="s">
        <v>553</v>
      </c>
      <c r="DZ813" s="1" t="s">
        <v>1333</v>
      </c>
      <c r="EA813" s="1" t="s">
        <v>257</v>
      </c>
      <c r="EC813" s="1" t="s">
        <v>645</v>
      </c>
      <c r="EG813" s="1" t="s">
        <v>1270</v>
      </c>
      <c r="EH813" s="1" t="s">
        <v>310</v>
      </c>
      <c r="EL813" s="1" t="s">
        <v>1245</v>
      </c>
      <c r="EM813" s="1" t="s">
        <v>42</v>
      </c>
      <c r="EP813" s="1" t="s">
        <v>971</v>
      </c>
      <c r="EQ813" s="1" t="s">
        <v>206</v>
      </c>
      <c r="EU813" s="1" t="s">
        <v>238</v>
      </c>
      <c r="EY813" s="1" t="s">
        <v>238</v>
      </c>
      <c r="FC813" s="1" t="s">
        <v>238</v>
      </c>
      <c r="FF813" s="1" t="s">
        <v>239</v>
      </c>
      <c r="FG813" s="1" t="s">
        <v>192</v>
      </c>
      <c r="FH813" s="1" t="s">
        <v>192</v>
      </c>
      <c r="FJ813" s="1" t="s">
        <v>9508</v>
      </c>
      <c r="FK813" s="1" t="s">
        <v>229</v>
      </c>
      <c r="FL813" s="1" t="s">
        <v>1124</v>
      </c>
      <c r="FM813" s="1">
        <v>8055.0</v>
      </c>
      <c r="FN813" s="1" t="s">
        <v>9509</v>
      </c>
      <c r="FO813" s="1" t="s">
        <v>9510</v>
      </c>
      <c r="FP813" s="1">
        <v>85425.0</v>
      </c>
      <c r="FQ813" s="1" t="s">
        <v>9511</v>
      </c>
      <c r="FU813" s="1" t="s">
        <v>9512</v>
      </c>
      <c r="FV813" s="1" t="s">
        <v>192</v>
      </c>
      <c r="FW813" s="1" t="s">
        <v>4843</v>
      </c>
      <c r="FX813" s="1" t="s">
        <v>238</v>
      </c>
      <c r="FZ813" s="1" t="s">
        <v>229</v>
      </c>
      <c r="GA813" s="1" t="s">
        <v>291</v>
      </c>
      <c r="GB813" s="2">
        <v>42079.0</v>
      </c>
      <c r="GC813" s="1" t="s">
        <v>9513</v>
      </c>
    </row>
    <row r="814">
      <c r="A814" s="1">
        <v>375000.0</v>
      </c>
      <c r="B814" s="1" t="s">
        <v>185</v>
      </c>
      <c r="C814" s="1" t="str">
        <f>"08815880"</f>
        <v>08815880</v>
      </c>
      <c r="D814" s="1" t="s">
        <v>186</v>
      </c>
      <c r="F814" s="1" t="str">
        <f t="shared" ref="F814:F815" si="535">"8038"</f>
        <v>8038</v>
      </c>
      <c r="G814" s="2">
        <v>42018.0</v>
      </c>
      <c r="H814" s="1">
        <v>389900.0</v>
      </c>
      <c r="I814" s="1">
        <v>149.0</v>
      </c>
      <c r="J814" s="1">
        <v>389900.0</v>
      </c>
      <c r="K814" s="2">
        <v>42093.0</v>
      </c>
      <c r="L814" s="1">
        <v>76.0</v>
      </c>
      <c r="M814" s="2">
        <v>42093.0</v>
      </c>
      <c r="N814" s="1" t="s">
        <v>356</v>
      </c>
      <c r="O814" s="2">
        <v>42124.0</v>
      </c>
      <c r="P814" s="1">
        <v>173031.0</v>
      </c>
      <c r="Q814" s="1">
        <v>15483.0</v>
      </c>
      <c r="R814" s="1">
        <v>10800.0</v>
      </c>
      <c r="S814" s="1">
        <v>4717.0</v>
      </c>
      <c r="T814" s="1" t="s">
        <v>9514</v>
      </c>
      <c r="U814" s="1" t="s">
        <v>189</v>
      </c>
      <c r="V814" s="1" t="s">
        <v>190</v>
      </c>
      <c r="W814" s="1">
        <v>60615.0</v>
      </c>
      <c r="Y814" s="1" t="s">
        <v>9515</v>
      </c>
      <c r="Z814" s="1" t="s">
        <v>296</v>
      </c>
      <c r="AA814" s="1" t="s">
        <v>192</v>
      </c>
      <c r="AB814" s="1" t="s">
        <v>193</v>
      </c>
      <c r="AD814" s="1" t="s">
        <v>194</v>
      </c>
      <c r="AE814" s="1" t="s">
        <v>195</v>
      </c>
      <c r="AF814" s="1" t="s">
        <v>637</v>
      </c>
      <c r="AH814" s="1" t="s">
        <v>9516</v>
      </c>
      <c r="AI814" s="1">
        <v>0.049</v>
      </c>
      <c r="AK814" s="1">
        <v>9.0</v>
      </c>
      <c r="AL814" s="1">
        <v>3.0</v>
      </c>
      <c r="AM814" s="1">
        <v>3.0</v>
      </c>
      <c r="AN814" s="1">
        <v>1.0</v>
      </c>
      <c r="AO814" s="1" t="s">
        <v>198</v>
      </c>
      <c r="AP814" s="1">
        <v>2.0</v>
      </c>
      <c r="AQ814" s="1" t="s">
        <v>198</v>
      </c>
      <c r="AR814" s="1" t="s">
        <v>192</v>
      </c>
      <c r="AS814" s="1" t="s">
        <v>199</v>
      </c>
      <c r="AT814" s="1">
        <v>1.0</v>
      </c>
      <c r="AV814" s="1" t="s">
        <v>200</v>
      </c>
      <c r="AW814" s="1">
        <v>2263.85</v>
      </c>
      <c r="AX814" s="1">
        <v>2013.0</v>
      </c>
      <c r="AZ814" s="1" t="s">
        <v>200</v>
      </c>
      <c r="BA814" s="1" t="str">
        <f>"20102050050000"</f>
        <v>20102050050000</v>
      </c>
      <c r="BC814" s="1">
        <v>2800.0</v>
      </c>
      <c r="BD814" s="1">
        <v>375000.0</v>
      </c>
      <c r="BE814" s="2">
        <v>42018.0</v>
      </c>
      <c r="BF814" s="2" t="s">
        <v>9517</v>
      </c>
      <c r="BH814" s="1">
        <v>0.0</v>
      </c>
      <c r="BK814" s="1" t="s">
        <v>204</v>
      </c>
      <c r="BL814" s="1" t="str">
        <f t="shared" ref="BL814:BL815" si="536">"0"</f>
        <v>0</v>
      </c>
      <c r="BM814" s="1" t="str">
        <f>"700"</f>
        <v>700</v>
      </c>
      <c r="BN814" s="1">
        <v>0.0</v>
      </c>
      <c r="BO814" s="1">
        <v>4717.0</v>
      </c>
      <c r="BQ814" s="1">
        <v>299.0</v>
      </c>
      <c r="BR814" s="1">
        <v>299.0</v>
      </c>
      <c r="BS814" s="1">
        <v>299.0</v>
      </c>
      <c r="BU814" s="1" t="s">
        <v>5490</v>
      </c>
      <c r="BV814" s="1" t="s">
        <v>206</v>
      </c>
      <c r="BW814" s="1" t="s">
        <v>207</v>
      </c>
      <c r="BY814" s="1" t="s">
        <v>1068</v>
      </c>
      <c r="BZ814" s="1" t="s">
        <v>209</v>
      </c>
      <c r="CA814" s="1" t="s">
        <v>207</v>
      </c>
      <c r="CC814" s="1" t="s">
        <v>542</v>
      </c>
      <c r="CD814" s="1" t="s">
        <v>206</v>
      </c>
      <c r="CG814" s="1" t="s">
        <v>1351</v>
      </c>
      <c r="CH814" s="1" t="s">
        <v>209</v>
      </c>
      <c r="CI814" s="1" t="s">
        <v>207</v>
      </c>
      <c r="CK814" s="1" t="s">
        <v>269</v>
      </c>
      <c r="CL814" s="1" t="s">
        <v>209</v>
      </c>
      <c r="CM814" s="1" t="s">
        <v>207</v>
      </c>
      <c r="CO814" s="1" t="s">
        <v>1351</v>
      </c>
      <c r="CP814" s="1" t="s">
        <v>42</v>
      </c>
      <c r="CQ814" s="1" t="s">
        <v>210</v>
      </c>
      <c r="CS814" s="1" t="s">
        <v>1063</v>
      </c>
      <c r="CT814" s="1" t="s">
        <v>206</v>
      </c>
      <c r="CU814" s="1" t="s">
        <v>207</v>
      </c>
      <c r="CW814" s="1" t="s">
        <v>582</v>
      </c>
      <c r="CX814" s="1" t="s">
        <v>206</v>
      </c>
      <c r="CY814" s="1" t="s">
        <v>207</v>
      </c>
      <c r="DA814" s="1" t="s">
        <v>200</v>
      </c>
      <c r="DC814" s="1" t="s">
        <v>545</v>
      </c>
      <c r="DE814" s="1" t="s">
        <v>273</v>
      </c>
      <c r="DF814" s="1" t="s">
        <v>619</v>
      </c>
      <c r="DH814" s="1" t="s">
        <v>365</v>
      </c>
      <c r="DI814" s="1" t="s">
        <v>2329</v>
      </c>
      <c r="DJ814" s="1" t="s">
        <v>222</v>
      </c>
      <c r="DL814" s="1" t="s">
        <v>224</v>
      </c>
      <c r="DM814" s="1" t="s">
        <v>229</v>
      </c>
      <c r="DN814" s="1" t="s">
        <v>9518</v>
      </c>
      <c r="DQ814" s="1" t="s">
        <v>228</v>
      </c>
      <c r="DR814" s="1" t="s">
        <v>229</v>
      </c>
      <c r="DS814" s="1" t="s">
        <v>368</v>
      </c>
      <c r="DU814" s="1" t="s">
        <v>9519</v>
      </c>
      <c r="DV814" s="1" t="s">
        <v>4466</v>
      </c>
      <c r="DW814" s="1" t="s">
        <v>1145</v>
      </c>
      <c r="DX814" s="1" t="s">
        <v>234</v>
      </c>
      <c r="DY814" s="1" t="s">
        <v>404</v>
      </c>
      <c r="DZ814" s="1" t="s">
        <v>310</v>
      </c>
      <c r="EA814" s="1" t="s">
        <v>5127</v>
      </c>
      <c r="EB814" s="1" t="s">
        <v>9520</v>
      </c>
      <c r="EC814" s="1" t="s">
        <v>237</v>
      </c>
      <c r="EG814" s="1" t="s">
        <v>450</v>
      </c>
      <c r="EH814" s="1" t="s">
        <v>1270</v>
      </c>
      <c r="EL814" s="1" t="s">
        <v>8426</v>
      </c>
      <c r="EM814" s="1" t="s">
        <v>42</v>
      </c>
      <c r="EN814" s="1" t="s">
        <v>210</v>
      </c>
      <c r="EP814" s="1" t="s">
        <v>939</v>
      </c>
      <c r="EQ814" s="1" t="s">
        <v>42</v>
      </c>
      <c r="ER814" s="1" t="s">
        <v>268</v>
      </c>
      <c r="EU814" s="1" t="s">
        <v>238</v>
      </c>
      <c r="EY814" s="1" t="s">
        <v>238</v>
      </c>
      <c r="FC814" s="1" t="s">
        <v>238</v>
      </c>
      <c r="FF814" s="1" t="s">
        <v>239</v>
      </c>
      <c r="FG814" s="1" t="s">
        <v>192</v>
      </c>
      <c r="FH814" s="1" t="s">
        <v>192</v>
      </c>
      <c r="FJ814" s="1" t="s">
        <v>524</v>
      </c>
      <c r="FK814" s="1" t="s">
        <v>229</v>
      </c>
      <c r="FL814" s="1" t="s">
        <v>9521</v>
      </c>
      <c r="FM814" s="1">
        <v>2026.0</v>
      </c>
      <c r="FN814" s="1" t="s">
        <v>9522</v>
      </c>
      <c r="FO814" s="1" t="s">
        <v>9523</v>
      </c>
      <c r="FP814" s="1">
        <v>85826.0</v>
      </c>
      <c r="FQ814" s="1" t="s">
        <v>9524</v>
      </c>
      <c r="FU814" s="1" t="s">
        <v>9525</v>
      </c>
      <c r="FV814" s="1" t="s">
        <v>192</v>
      </c>
      <c r="FW814" s="1" t="s">
        <v>1511</v>
      </c>
      <c r="FX814" s="1" t="s">
        <v>655</v>
      </c>
      <c r="FZ814" s="1" t="s">
        <v>229</v>
      </c>
      <c r="GA814" s="1" t="s">
        <v>291</v>
      </c>
      <c r="GB814" s="2">
        <v>42124.0</v>
      </c>
    </row>
    <row r="815">
      <c r="A815" s="1">
        <v>399900.0</v>
      </c>
      <c r="B815" s="1" t="s">
        <v>185</v>
      </c>
      <c r="C815" s="1" t="str">
        <f>"08816662"</f>
        <v>08816662</v>
      </c>
      <c r="D815" s="1" t="s">
        <v>186</v>
      </c>
      <c r="F815" s="1" t="str">
        <f t="shared" si="535"/>
        <v>8038</v>
      </c>
      <c r="G815" s="2">
        <v>42018.0</v>
      </c>
      <c r="H815" s="1">
        <v>399900.0</v>
      </c>
      <c r="I815" s="1">
        <v>271.0</v>
      </c>
      <c r="J815" s="1">
        <v>399900.0</v>
      </c>
      <c r="K815" s="2">
        <v>42065.0</v>
      </c>
      <c r="L815" s="1">
        <v>48.0</v>
      </c>
      <c r="M815" s="2">
        <v>42065.0</v>
      </c>
      <c r="N815" s="1" t="s">
        <v>187</v>
      </c>
      <c r="O815" s="2">
        <v>42102.0</v>
      </c>
      <c r="P815" s="1">
        <v>186650.0</v>
      </c>
      <c r="Q815" s="1">
        <v>40335.0</v>
      </c>
      <c r="S815" s="1">
        <v>722.0</v>
      </c>
      <c r="T815" s="1" t="s">
        <v>9526</v>
      </c>
      <c r="U815" s="1" t="s">
        <v>320</v>
      </c>
      <c r="V815" s="1" t="s">
        <v>190</v>
      </c>
      <c r="W815" s="1">
        <v>60653.0</v>
      </c>
      <c r="Y815" s="1" t="s">
        <v>9527</v>
      </c>
      <c r="Z815" s="1">
        <v>2014.0</v>
      </c>
      <c r="AA815" s="1" t="s">
        <v>200</v>
      </c>
      <c r="AB815" s="1" t="s">
        <v>193</v>
      </c>
      <c r="AD815" s="1" t="s">
        <v>194</v>
      </c>
      <c r="AE815" s="1" t="s">
        <v>195</v>
      </c>
      <c r="AF815" s="1" t="s">
        <v>637</v>
      </c>
      <c r="AH815" s="1" t="s">
        <v>7862</v>
      </c>
      <c r="AK815" s="1">
        <v>8.0</v>
      </c>
      <c r="AL815" s="1">
        <v>4.0</v>
      </c>
      <c r="AM815" s="1">
        <v>3.0</v>
      </c>
      <c r="AN815" s="1">
        <v>1.0</v>
      </c>
      <c r="AO815" s="1" t="s">
        <v>198</v>
      </c>
      <c r="AP815" s="1">
        <v>1.0</v>
      </c>
      <c r="AQ815" s="1" t="s">
        <v>472</v>
      </c>
      <c r="AR815" s="1" t="s">
        <v>192</v>
      </c>
      <c r="AS815" s="1" t="s">
        <v>199</v>
      </c>
      <c r="AT815" s="1">
        <v>2.0</v>
      </c>
      <c r="AV815" s="1" t="s">
        <v>200</v>
      </c>
      <c r="AW815" s="1">
        <v>981.91</v>
      </c>
      <c r="AX815" s="1">
        <v>2012.0</v>
      </c>
      <c r="AY815" s="1" t="s">
        <v>588</v>
      </c>
      <c r="AZ815" s="1" t="s">
        <v>200</v>
      </c>
      <c r="BA815" s="1" t="str">
        <f>"20034050390000"</f>
        <v>20034050390000</v>
      </c>
      <c r="BB815" s="1" t="s">
        <v>200</v>
      </c>
      <c r="BC815" s="1">
        <v>0.0</v>
      </c>
      <c r="BD815" s="1">
        <v>399900.0</v>
      </c>
      <c r="BE815" s="2">
        <v>42018.0</v>
      </c>
      <c r="BF815" s="2" t="s">
        <v>9528</v>
      </c>
      <c r="BH815" s="1">
        <v>0.0</v>
      </c>
      <c r="BK815" s="1" t="s">
        <v>204</v>
      </c>
      <c r="BL815" s="1" t="str">
        <f t="shared" si="536"/>
        <v>0</v>
      </c>
      <c r="BM815" s="1" t="str">
        <f>"722"</f>
        <v>722</v>
      </c>
      <c r="BN815" s="1">
        <v>0.0</v>
      </c>
      <c r="BO815" s="1">
        <v>4400.0</v>
      </c>
      <c r="BQ815" s="1">
        <v>299.0</v>
      </c>
      <c r="BR815" s="1">
        <v>299.0</v>
      </c>
      <c r="BS815" s="1">
        <v>299.0</v>
      </c>
      <c r="BU815" s="1" t="s">
        <v>477</v>
      </c>
      <c r="BV815" s="1" t="s">
        <v>206</v>
      </c>
      <c r="BW815" s="1" t="s">
        <v>207</v>
      </c>
      <c r="BY815" s="1" t="s">
        <v>639</v>
      </c>
      <c r="BZ815" s="1" t="s">
        <v>209</v>
      </c>
      <c r="CA815" s="1" t="s">
        <v>207</v>
      </c>
      <c r="CC815" s="1" t="s">
        <v>1117</v>
      </c>
      <c r="CD815" s="1" t="s">
        <v>206</v>
      </c>
      <c r="CE815" s="1" t="s">
        <v>207</v>
      </c>
      <c r="CG815" s="1" t="s">
        <v>363</v>
      </c>
      <c r="CH815" s="1" t="s">
        <v>209</v>
      </c>
      <c r="CI815" s="1" t="s">
        <v>210</v>
      </c>
      <c r="CK815" s="1" t="s">
        <v>393</v>
      </c>
      <c r="CL815" s="1" t="s">
        <v>209</v>
      </c>
      <c r="CM815" s="1" t="s">
        <v>210</v>
      </c>
      <c r="CO815" s="1" t="s">
        <v>1825</v>
      </c>
      <c r="CP815" s="1" t="s">
        <v>267</v>
      </c>
      <c r="CQ815" s="1" t="s">
        <v>2128</v>
      </c>
      <c r="CS815" s="1" t="s">
        <v>854</v>
      </c>
      <c r="CT815" s="1" t="s">
        <v>206</v>
      </c>
      <c r="CU815" s="1" t="s">
        <v>207</v>
      </c>
      <c r="CW815" s="1" t="s">
        <v>1825</v>
      </c>
      <c r="CX815" s="1" t="s">
        <v>267</v>
      </c>
      <c r="CY815" s="1" t="s">
        <v>268</v>
      </c>
      <c r="DA815" s="1" t="s">
        <v>192</v>
      </c>
      <c r="DB815" s="2">
        <v>42018.0</v>
      </c>
      <c r="DC815" s="1" t="s">
        <v>1353</v>
      </c>
      <c r="DD815" s="1" t="s">
        <v>731</v>
      </c>
      <c r="DE815" s="1" t="s">
        <v>273</v>
      </c>
      <c r="DF815" s="1" t="s">
        <v>219</v>
      </c>
      <c r="DG815" s="1" t="s">
        <v>1657</v>
      </c>
      <c r="DH815" s="1" t="s">
        <v>365</v>
      </c>
      <c r="DI815" s="1" t="s">
        <v>1141</v>
      </c>
      <c r="DJ815" s="1" t="s">
        <v>222</v>
      </c>
      <c r="DL815" s="1" t="s">
        <v>224</v>
      </c>
      <c r="DM815" s="1" t="s">
        <v>225</v>
      </c>
      <c r="DN815" s="1" t="s">
        <v>9518</v>
      </c>
      <c r="DP815" s="1" t="s">
        <v>276</v>
      </c>
      <c r="DQ815" s="1" t="s">
        <v>794</v>
      </c>
      <c r="DR815" s="1" t="s">
        <v>229</v>
      </c>
      <c r="DS815" s="1" t="s">
        <v>230</v>
      </c>
      <c r="DT815" s="1" t="s">
        <v>9529</v>
      </c>
      <c r="DU815" s="1" t="s">
        <v>9530</v>
      </c>
      <c r="DV815" s="1" t="s">
        <v>310</v>
      </c>
      <c r="DW815" s="1" t="s">
        <v>1935</v>
      </c>
      <c r="DX815" s="1" t="s">
        <v>234</v>
      </c>
      <c r="DY815" s="1" t="s">
        <v>935</v>
      </c>
      <c r="DZ815" s="1" t="s">
        <v>966</v>
      </c>
      <c r="EA815" s="1" t="s">
        <v>1027</v>
      </c>
      <c r="EB815" s="1" t="s">
        <v>6979</v>
      </c>
      <c r="EC815" s="1" t="s">
        <v>237</v>
      </c>
      <c r="ED815" s="1" t="s">
        <v>555</v>
      </c>
      <c r="EG815" s="1" t="s">
        <v>310</v>
      </c>
      <c r="EL815" s="1" t="s">
        <v>784</v>
      </c>
      <c r="EM815" s="1" t="s">
        <v>206</v>
      </c>
      <c r="EQ815" s="1" t="s">
        <v>238</v>
      </c>
      <c r="EU815" s="1" t="s">
        <v>238</v>
      </c>
      <c r="EY815" s="1" t="s">
        <v>238</v>
      </c>
      <c r="FC815" s="1" t="s">
        <v>238</v>
      </c>
      <c r="FF815" s="1" t="s">
        <v>239</v>
      </c>
      <c r="FG815" s="1" t="s">
        <v>192</v>
      </c>
      <c r="FH815" s="1" t="s">
        <v>192</v>
      </c>
      <c r="FJ815" s="1" t="s">
        <v>1280</v>
      </c>
      <c r="FK815" s="1" t="s">
        <v>229</v>
      </c>
      <c r="FL815" s="1" t="s">
        <v>9531</v>
      </c>
      <c r="FM815" s="1">
        <v>61153.0</v>
      </c>
      <c r="FN815" s="1" t="s">
        <v>9532</v>
      </c>
      <c r="FO815" s="1" t="s">
        <v>9533</v>
      </c>
      <c r="FP815" s="1">
        <v>239457.0</v>
      </c>
      <c r="FQ815" s="1" t="s">
        <v>9534</v>
      </c>
      <c r="FU815" s="1" t="s">
        <v>9535</v>
      </c>
      <c r="FV815" s="1" t="s">
        <v>192</v>
      </c>
      <c r="FW815" s="1" t="s">
        <v>290</v>
      </c>
      <c r="FX815" s="1" t="s">
        <v>1739</v>
      </c>
      <c r="FZ815" s="1" t="s">
        <v>229</v>
      </c>
      <c r="GA815" s="1" t="s">
        <v>291</v>
      </c>
      <c r="GB815" s="2">
        <v>42102.0</v>
      </c>
      <c r="GC815" s="1" t="s">
        <v>9536</v>
      </c>
    </row>
    <row r="816">
      <c r="A816" s="1">
        <v>299000.0</v>
      </c>
      <c r="B816" s="1" t="s">
        <v>185</v>
      </c>
      <c r="C816" s="1" t="str">
        <f>"08813970"</f>
        <v>08813970</v>
      </c>
      <c r="D816" s="1" t="s">
        <v>186</v>
      </c>
      <c r="F816" s="1" t="str">
        <f>"542"</f>
        <v>542</v>
      </c>
      <c r="G816" s="2">
        <v>42015.0</v>
      </c>
      <c r="H816" s="1">
        <v>309900.0</v>
      </c>
      <c r="I816" s="1">
        <v>506.0</v>
      </c>
      <c r="J816" s="1">
        <v>309900.0</v>
      </c>
      <c r="K816" s="2">
        <v>42041.0</v>
      </c>
      <c r="L816" s="1">
        <v>27.0</v>
      </c>
      <c r="M816" s="2">
        <v>42041.0</v>
      </c>
      <c r="N816" s="1" t="s">
        <v>187</v>
      </c>
      <c r="O816" s="2">
        <v>42094.0</v>
      </c>
      <c r="P816" s="1">
        <v>217899.0</v>
      </c>
      <c r="Q816" s="1">
        <v>23534.0</v>
      </c>
      <c r="S816" s="1">
        <v>821.0</v>
      </c>
      <c r="T816" s="1" t="s">
        <v>9537</v>
      </c>
      <c r="U816" s="1" t="s">
        <v>569</v>
      </c>
      <c r="V816" s="1" t="s">
        <v>3984</v>
      </c>
      <c r="W816" s="1">
        <v>60542.0</v>
      </c>
      <c r="X816" s="1">
        <v>9040.0</v>
      </c>
      <c r="Y816" s="1" t="s">
        <v>9538</v>
      </c>
      <c r="Z816" s="1">
        <v>2003.0</v>
      </c>
      <c r="AA816" s="1" t="s">
        <v>200</v>
      </c>
      <c r="AB816" s="1" t="s">
        <v>193</v>
      </c>
      <c r="AC816" s="1" t="s">
        <v>9539</v>
      </c>
      <c r="AD816" s="1" t="s">
        <v>3986</v>
      </c>
      <c r="AE816" s="1" t="s">
        <v>325</v>
      </c>
      <c r="AF816" s="1" t="s">
        <v>2702</v>
      </c>
      <c r="AG816" s="1" t="s">
        <v>9540</v>
      </c>
      <c r="AH816" s="1" t="s">
        <v>9541</v>
      </c>
      <c r="AK816" s="1">
        <v>12.0</v>
      </c>
      <c r="AL816" s="1">
        <v>4.0</v>
      </c>
      <c r="AM816" s="1">
        <v>2.0</v>
      </c>
      <c r="AN816" s="1">
        <v>1.0</v>
      </c>
      <c r="AO816" s="1" t="s">
        <v>198</v>
      </c>
      <c r="AP816" s="1">
        <v>1.0</v>
      </c>
      <c r="AQ816" s="1" t="s">
        <v>198</v>
      </c>
      <c r="AR816" s="1" t="s">
        <v>200</v>
      </c>
      <c r="AS816" s="1" t="s">
        <v>199</v>
      </c>
      <c r="AT816" s="1">
        <v>3.0</v>
      </c>
      <c r="AV816" s="1" t="s">
        <v>200</v>
      </c>
      <c r="AW816" s="1">
        <v>11188.0</v>
      </c>
      <c r="AX816" s="1">
        <v>2013.0</v>
      </c>
      <c r="AY816" s="1" t="s">
        <v>229</v>
      </c>
      <c r="AZ816" s="1" t="s">
        <v>200</v>
      </c>
      <c r="BA816" s="1" t="str">
        <f>"1234279010"</f>
        <v>1234279010</v>
      </c>
      <c r="BB816" s="1" t="s">
        <v>200</v>
      </c>
      <c r="BC816" s="1">
        <v>2633.0</v>
      </c>
      <c r="BD816" s="1">
        <v>299000.0</v>
      </c>
      <c r="BE816" s="2">
        <v>42015.0</v>
      </c>
      <c r="BF816" s="2" t="s">
        <v>9542</v>
      </c>
      <c r="BG816" s="1" t="s">
        <v>4059</v>
      </c>
      <c r="BH816" s="1">
        <v>125.0</v>
      </c>
      <c r="BI816" s="1" t="s">
        <v>9543</v>
      </c>
      <c r="BJ816" s="1" t="s">
        <v>3831</v>
      </c>
      <c r="BK816" s="1" t="s">
        <v>580</v>
      </c>
      <c r="BL816" s="1" t="str">
        <f t="shared" ref="BL816:BM816" si="537">""</f>
        <v/>
      </c>
      <c r="BM816" s="1" t="str">
        <f t="shared" si="537"/>
        <v/>
      </c>
      <c r="BN816" s="1">
        <v>35.0</v>
      </c>
      <c r="BO816" s="1">
        <v>3.0</v>
      </c>
      <c r="BQ816" s="1">
        <v>129.0</v>
      </c>
      <c r="BR816" s="1">
        <v>129.0</v>
      </c>
      <c r="BS816" s="1">
        <v>129.0</v>
      </c>
      <c r="BU816" s="1" t="s">
        <v>1395</v>
      </c>
      <c r="BV816" s="1" t="s">
        <v>206</v>
      </c>
      <c r="BW816" s="1" t="s">
        <v>210</v>
      </c>
      <c r="BX816" s="1" t="s">
        <v>239</v>
      </c>
      <c r="BY816" s="1" t="s">
        <v>2647</v>
      </c>
      <c r="BZ816" s="1" t="s">
        <v>209</v>
      </c>
      <c r="CA816" s="1" t="s">
        <v>210</v>
      </c>
      <c r="CB816" s="1" t="s">
        <v>239</v>
      </c>
      <c r="CC816" s="1" t="s">
        <v>2082</v>
      </c>
      <c r="CD816" s="1" t="s">
        <v>206</v>
      </c>
      <c r="CE816" s="1" t="s">
        <v>210</v>
      </c>
      <c r="CF816" s="1" t="s">
        <v>239</v>
      </c>
      <c r="CG816" s="1" t="s">
        <v>478</v>
      </c>
      <c r="CH816" s="1" t="s">
        <v>209</v>
      </c>
      <c r="CI816" s="1" t="s">
        <v>210</v>
      </c>
      <c r="CJ816" s="1" t="s">
        <v>431</v>
      </c>
      <c r="CK816" s="1" t="s">
        <v>478</v>
      </c>
      <c r="CL816" s="1" t="s">
        <v>209</v>
      </c>
      <c r="CM816" s="1" t="s">
        <v>210</v>
      </c>
      <c r="CN816" s="1" t="s">
        <v>431</v>
      </c>
      <c r="CO816" s="1" t="s">
        <v>264</v>
      </c>
      <c r="CP816" s="1" t="s">
        <v>206</v>
      </c>
      <c r="CQ816" s="1" t="s">
        <v>210</v>
      </c>
      <c r="CR816" s="1" t="s">
        <v>431</v>
      </c>
      <c r="CS816" s="1" t="s">
        <v>1352</v>
      </c>
      <c r="CT816" s="1" t="s">
        <v>206</v>
      </c>
      <c r="CU816" s="1" t="s">
        <v>207</v>
      </c>
      <c r="CV816" s="1" t="s">
        <v>239</v>
      </c>
      <c r="CW816" s="1" t="s">
        <v>854</v>
      </c>
      <c r="CX816" s="1" t="s">
        <v>206</v>
      </c>
      <c r="CY816" s="1" t="s">
        <v>210</v>
      </c>
      <c r="CZ816" s="1" t="s">
        <v>239</v>
      </c>
      <c r="DA816" s="1" t="s">
        <v>200</v>
      </c>
      <c r="DC816" s="1" t="s">
        <v>335</v>
      </c>
      <c r="DD816" s="1" t="s">
        <v>436</v>
      </c>
      <c r="DE816" s="1" t="s">
        <v>273</v>
      </c>
      <c r="DF816" s="1" t="s">
        <v>219</v>
      </c>
      <c r="DG816" s="1" t="s">
        <v>337</v>
      </c>
      <c r="DH816" s="1" t="s">
        <v>220</v>
      </c>
      <c r="DI816" s="1" t="s">
        <v>1047</v>
      </c>
      <c r="DJ816" s="1" t="s">
        <v>222</v>
      </c>
      <c r="DK816" s="1" t="s">
        <v>223</v>
      </c>
      <c r="DL816" s="1" t="s">
        <v>224</v>
      </c>
      <c r="DM816" s="1" t="s">
        <v>338</v>
      </c>
      <c r="DN816" s="1" t="s">
        <v>1659</v>
      </c>
      <c r="DO816" s="1" t="s">
        <v>486</v>
      </c>
      <c r="DP816" s="1" t="s">
        <v>340</v>
      </c>
      <c r="DQ816" s="1" t="s">
        <v>441</v>
      </c>
      <c r="DR816" s="1" t="s">
        <v>229</v>
      </c>
      <c r="DS816" s="1" t="s">
        <v>368</v>
      </c>
      <c r="DU816" s="1" t="s">
        <v>9544</v>
      </c>
      <c r="DV816" s="1" t="s">
        <v>9545</v>
      </c>
      <c r="DW816" s="1" t="s">
        <v>934</v>
      </c>
      <c r="DX816" s="1" t="s">
        <v>3230</v>
      </c>
      <c r="DY816" s="1" t="s">
        <v>9546</v>
      </c>
      <c r="DZ816" s="1" t="s">
        <v>9547</v>
      </c>
      <c r="EA816" s="1" t="s">
        <v>344</v>
      </c>
      <c r="EB816" s="1" t="s">
        <v>767</v>
      </c>
      <c r="EC816" s="1" t="s">
        <v>237</v>
      </c>
      <c r="ED816" s="1" t="s">
        <v>407</v>
      </c>
      <c r="EE816" s="1" t="s">
        <v>522</v>
      </c>
      <c r="EG816" s="1" t="s">
        <v>449</v>
      </c>
      <c r="EI816" s="1" t="s">
        <v>598</v>
      </c>
      <c r="EJ816" s="1" t="s">
        <v>450</v>
      </c>
      <c r="EK816" s="1" t="s">
        <v>1121</v>
      </c>
      <c r="EL816" s="1" t="s">
        <v>1352</v>
      </c>
      <c r="EM816" s="1" t="s">
        <v>206</v>
      </c>
      <c r="EN816" s="1" t="s">
        <v>207</v>
      </c>
      <c r="EO816" s="1" t="s">
        <v>239</v>
      </c>
      <c r="EQ816" s="1" t="s">
        <v>238</v>
      </c>
      <c r="ET816" s="1" t="s">
        <v>262</v>
      </c>
      <c r="EU816" s="1" t="s">
        <v>42</v>
      </c>
      <c r="EV816" s="1" t="s">
        <v>210</v>
      </c>
      <c r="EW816" s="1" t="s">
        <v>229</v>
      </c>
      <c r="EX816" s="1" t="s">
        <v>1994</v>
      </c>
      <c r="EY816" s="1" t="s">
        <v>42</v>
      </c>
      <c r="EZ816" s="1" t="s">
        <v>210</v>
      </c>
      <c r="FA816" s="1" t="s">
        <v>229</v>
      </c>
      <c r="FB816" s="1" t="s">
        <v>300</v>
      </c>
      <c r="FC816" s="1" t="s">
        <v>209</v>
      </c>
      <c r="FD816" s="1" t="s">
        <v>210</v>
      </c>
      <c r="FE816" s="1" t="s">
        <v>239</v>
      </c>
      <c r="FF816" s="1" t="s">
        <v>239</v>
      </c>
      <c r="FG816" s="1" t="s">
        <v>192</v>
      </c>
      <c r="FH816" s="1" t="s">
        <v>192</v>
      </c>
      <c r="FJ816" s="1" t="s">
        <v>8754</v>
      </c>
      <c r="FK816" s="1" t="s">
        <v>229</v>
      </c>
      <c r="FL816" s="1" t="s">
        <v>1358</v>
      </c>
      <c r="FM816" s="1">
        <v>22205.0</v>
      </c>
      <c r="FN816" s="1" t="s">
        <v>9548</v>
      </c>
      <c r="FO816" s="1" t="s">
        <v>9549</v>
      </c>
      <c r="FP816" s="1">
        <v>239622.0</v>
      </c>
      <c r="FS816" s="1" t="s">
        <v>9550</v>
      </c>
      <c r="FU816" s="1" t="s">
        <v>9551</v>
      </c>
      <c r="FV816" s="1" t="s">
        <v>200</v>
      </c>
      <c r="FW816" s="1" t="s">
        <v>290</v>
      </c>
      <c r="FZ816" s="1" t="s">
        <v>229</v>
      </c>
      <c r="GA816" s="1" t="s">
        <v>291</v>
      </c>
      <c r="GB816" s="2">
        <v>42096.0</v>
      </c>
      <c r="GC816" s="1" t="s">
        <v>9552</v>
      </c>
    </row>
    <row r="817">
      <c r="A817" s="1">
        <v>132000.0</v>
      </c>
      <c r="B817" s="1" t="s">
        <v>185</v>
      </c>
      <c r="C817" s="1" t="str">
        <f>"08816028"</f>
        <v>08816028</v>
      </c>
      <c r="D817" s="1" t="s">
        <v>186</v>
      </c>
      <c r="F817" s="1" t="str">
        <f>"8066"</f>
        <v>8066</v>
      </c>
      <c r="G817" s="2">
        <v>42018.0</v>
      </c>
      <c r="H817" s="1">
        <v>134000.0</v>
      </c>
      <c r="I817" s="1">
        <v>6.0</v>
      </c>
      <c r="J817" s="1">
        <v>134000.0</v>
      </c>
      <c r="K817" s="2">
        <v>42023.0</v>
      </c>
      <c r="L817" s="1">
        <v>6.0</v>
      </c>
      <c r="M817" s="2">
        <v>42023.0</v>
      </c>
      <c r="N817" s="1" t="s">
        <v>187</v>
      </c>
      <c r="O817" s="2">
        <v>42083.0</v>
      </c>
      <c r="P817" s="1">
        <v>154056.0</v>
      </c>
      <c r="Q817" s="1">
        <v>12555.0</v>
      </c>
      <c r="R817" s="1">
        <v>3.0</v>
      </c>
      <c r="S817" s="1">
        <v>3506.0</v>
      </c>
      <c r="T817" s="1" t="s">
        <v>9553</v>
      </c>
      <c r="U817" s="1" t="s">
        <v>694</v>
      </c>
      <c r="V817" s="1" t="s">
        <v>190</v>
      </c>
      <c r="W817" s="1">
        <v>60629.0</v>
      </c>
      <c r="Y817" s="1" t="s">
        <v>9554</v>
      </c>
      <c r="Z817" s="1">
        <v>1951.0</v>
      </c>
      <c r="AA817" s="1" t="s">
        <v>192</v>
      </c>
      <c r="AB817" s="1" t="s">
        <v>193</v>
      </c>
      <c r="AD817" s="1" t="s">
        <v>194</v>
      </c>
      <c r="AE817" s="1" t="s">
        <v>195</v>
      </c>
      <c r="AF817" s="1" t="s">
        <v>659</v>
      </c>
      <c r="AH817" s="1" t="s">
        <v>359</v>
      </c>
      <c r="AK817" s="1">
        <v>6.0</v>
      </c>
      <c r="AL817" s="1">
        <v>4.0</v>
      </c>
      <c r="AM817" s="1">
        <v>1.0</v>
      </c>
      <c r="AN817" s="1">
        <v>0.0</v>
      </c>
      <c r="AO817" s="1" t="s">
        <v>229</v>
      </c>
      <c r="AQ817" s="1" t="s">
        <v>198</v>
      </c>
      <c r="AR817" s="1" t="s">
        <v>200</v>
      </c>
      <c r="AS817" s="1" t="s">
        <v>199</v>
      </c>
      <c r="AT817" s="1">
        <v>2.0</v>
      </c>
      <c r="AV817" s="1" t="s">
        <v>200</v>
      </c>
      <c r="AW817" s="1">
        <v>1660.0</v>
      </c>
      <c r="AX817" s="1">
        <v>2013.0</v>
      </c>
      <c r="AY817" s="1" t="s">
        <v>229</v>
      </c>
      <c r="AZ817" s="1" t="s">
        <v>200</v>
      </c>
      <c r="BA817" s="1" t="str">
        <f>"19262080390000"</f>
        <v>19262080390000</v>
      </c>
      <c r="BC817" s="1">
        <v>0.0</v>
      </c>
      <c r="BD817" s="1">
        <v>132000.0</v>
      </c>
      <c r="BE817" s="2">
        <v>42018.0</v>
      </c>
      <c r="BF817" s="1" t="s">
        <v>9555</v>
      </c>
      <c r="BH817" s="1">
        <v>0.0</v>
      </c>
      <c r="BK817" s="1" t="s">
        <v>204</v>
      </c>
      <c r="BL817" s="1" t="str">
        <f t="shared" ref="BL817:BM817" si="538">"0"</f>
        <v>0</v>
      </c>
      <c r="BM817" s="1" t="str">
        <f t="shared" si="538"/>
        <v>0</v>
      </c>
      <c r="BN817" s="1">
        <v>3600.0</v>
      </c>
      <c r="BO817" s="1">
        <v>7200.0</v>
      </c>
      <c r="BQ817" s="1">
        <v>299.0</v>
      </c>
      <c r="BR817" s="1">
        <v>299.0</v>
      </c>
      <c r="BS817" s="1">
        <v>299.0</v>
      </c>
      <c r="BU817" s="1" t="s">
        <v>270</v>
      </c>
      <c r="BV817" s="1" t="s">
        <v>206</v>
      </c>
      <c r="BW817" s="1" t="s">
        <v>207</v>
      </c>
      <c r="BX817" s="1" t="s">
        <v>239</v>
      </c>
      <c r="BY817" s="1" t="s">
        <v>212</v>
      </c>
      <c r="BZ817" s="1" t="s">
        <v>206</v>
      </c>
      <c r="CA817" s="1" t="s">
        <v>207</v>
      </c>
      <c r="CB817" s="1" t="s">
        <v>239</v>
      </c>
      <c r="CD817" s="1" t="s">
        <v>204</v>
      </c>
      <c r="CG817" s="1" t="s">
        <v>699</v>
      </c>
      <c r="CH817" s="1" t="s">
        <v>206</v>
      </c>
      <c r="CI817" s="1" t="s">
        <v>210</v>
      </c>
      <c r="CJ817" s="1" t="s">
        <v>239</v>
      </c>
      <c r="CK817" s="1" t="s">
        <v>361</v>
      </c>
      <c r="CL817" s="1" t="s">
        <v>209</v>
      </c>
      <c r="CM817" s="1" t="s">
        <v>207</v>
      </c>
      <c r="CN817" s="1" t="s">
        <v>229</v>
      </c>
      <c r="CO817" s="1" t="s">
        <v>361</v>
      </c>
      <c r="CP817" s="1" t="s">
        <v>209</v>
      </c>
      <c r="CQ817" s="1" t="s">
        <v>301</v>
      </c>
      <c r="CR817" s="1" t="s">
        <v>229</v>
      </c>
      <c r="CS817" s="1" t="s">
        <v>433</v>
      </c>
      <c r="CT817" s="1" t="s">
        <v>206</v>
      </c>
      <c r="CU817" s="1" t="s">
        <v>617</v>
      </c>
      <c r="CV817" s="1" t="s">
        <v>239</v>
      </c>
      <c r="CX817" s="1" t="s">
        <v>204</v>
      </c>
      <c r="DA817" s="1" t="s">
        <v>200</v>
      </c>
      <c r="DC817" s="1" t="s">
        <v>702</v>
      </c>
      <c r="DD817" s="1" t="s">
        <v>518</v>
      </c>
      <c r="DE817" s="1" t="s">
        <v>273</v>
      </c>
      <c r="DF817" s="1" t="s">
        <v>219</v>
      </c>
      <c r="DH817" s="1" t="s">
        <v>365</v>
      </c>
      <c r="DI817" s="1" t="s">
        <v>1401</v>
      </c>
      <c r="DJ817" s="1" t="s">
        <v>222</v>
      </c>
      <c r="DK817" s="1" t="s">
        <v>9556</v>
      </c>
      <c r="DL817" s="1" t="s">
        <v>858</v>
      </c>
      <c r="DM817" s="1" t="s">
        <v>229</v>
      </c>
      <c r="DQ817" s="1" t="s">
        <v>228</v>
      </c>
      <c r="DR817" s="1" t="s">
        <v>229</v>
      </c>
      <c r="DS817" s="1" t="s">
        <v>230</v>
      </c>
      <c r="DV817" s="1" t="s">
        <v>232</v>
      </c>
      <c r="DW817" s="1" t="s">
        <v>279</v>
      </c>
      <c r="DX817" s="1" t="s">
        <v>234</v>
      </c>
      <c r="EA817" s="1" t="s">
        <v>644</v>
      </c>
      <c r="EC817" s="1" t="s">
        <v>237</v>
      </c>
      <c r="ED817" s="1" t="s">
        <v>555</v>
      </c>
      <c r="EE817" s="1" t="s">
        <v>493</v>
      </c>
      <c r="EM817" s="1" t="s">
        <v>238</v>
      </c>
      <c r="EQ817" s="1" t="s">
        <v>238</v>
      </c>
      <c r="EU817" s="1" t="s">
        <v>238</v>
      </c>
      <c r="EY817" s="1" t="s">
        <v>238</v>
      </c>
      <c r="FC817" s="1" t="s">
        <v>238</v>
      </c>
      <c r="FF817" s="1" t="s">
        <v>239</v>
      </c>
      <c r="FG817" s="1" t="s">
        <v>192</v>
      </c>
      <c r="FH817" s="1" t="s">
        <v>192</v>
      </c>
      <c r="FJ817" s="1" t="s">
        <v>624</v>
      </c>
      <c r="FK817" s="1" t="s">
        <v>229</v>
      </c>
      <c r="FL817" s="1" t="s">
        <v>2111</v>
      </c>
      <c r="FM817" s="1">
        <v>12555.0</v>
      </c>
      <c r="FN817" s="1" t="s">
        <v>2112</v>
      </c>
      <c r="FO817" s="1" t="s">
        <v>9557</v>
      </c>
      <c r="FP817" s="1">
        <v>117318.0</v>
      </c>
      <c r="FQ817" s="1" t="s">
        <v>2112</v>
      </c>
      <c r="FR817" s="1">
        <v>120307.0</v>
      </c>
      <c r="FU817" s="1" t="s">
        <v>710</v>
      </c>
      <c r="FV817" s="1" t="s">
        <v>200</v>
      </c>
      <c r="FW817" s="1" t="s">
        <v>9558</v>
      </c>
      <c r="FX817" s="1" t="s">
        <v>246</v>
      </c>
      <c r="FZ817" s="1" t="s">
        <v>229</v>
      </c>
      <c r="GA817" s="1" t="s">
        <v>291</v>
      </c>
      <c r="GB817" s="2">
        <v>42083.0</v>
      </c>
      <c r="GC817" s="1" t="s">
        <v>9559</v>
      </c>
    </row>
    <row r="818">
      <c r="A818" s="1">
        <v>540000.0</v>
      </c>
      <c r="B818" s="1" t="s">
        <v>185</v>
      </c>
      <c r="C818" s="1" t="str">
        <f>"08814106"</f>
        <v>08814106</v>
      </c>
      <c r="D818" s="1" t="s">
        <v>186</v>
      </c>
      <c r="F818" s="1" t="str">
        <f>"8001"</f>
        <v>8001</v>
      </c>
      <c r="G818" s="2">
        <v>42016.0</v>
      </c>
      <c r="H818" s="1">
        <v>559000.0</v>
      </c>
      <c r="I818" s="1">
        <v>132.0</v>
      </c>
      <c r="J818" s="1">
        <v>559000.0</v>
      </c>
      <c r="K818" s="2">
        <v>42049.0</v>
      </c>
      <c r="L818" s="1">
        <v>34.0</v>
      </c>
      <c r="M818" s="2">
        <v>42049.0</v>
      </c>
      <c r="N818" s="1" t="s">
        <v>187</v>
      </c>
      <c r="O818" s="2">
        <v>42111.0</v>
      </c>
      <c r="P818" s="1">
        <v>869274.0</v>
      </c>
      <c r="Q818" s="1">
        <v>10646.0</v>
      </c>
      <c r="S818" s="1">
        <v>1519.0</v>
      </c>
      <c r="T818" s="1" t="s">
        <v>9560</v>
      </c>
      <c r="U818" s="1" t="s">
        <v>1442</v>
      </c>
      <c r="V818" s="1" t="s">
        <v>190</v>
      </c>
      <c r="W818" s="1">
        <v>60626.0</v>
      </c>
      <c r="Y818" s="1" t="s">
        <v>9561</v>
      </c>
      <c r="Z818" s="1">
        <v>1897.0</v>
      </c>
      <c r="AA818" s="1" t="s">
        <v>192</v>
      </c>
      <c r="AB818" s="1" t="s">
        <v>193</v>
      </c>
      <c r="AD818" s="1" t="s">
        <v>194</v>
      </c>
      <c r="AE818" s="1" t="s">
        <v>195</v>
      </c>
      <c r="AF818" s="1" t="s">
        <v>2323</v>
      </c>
      <c r="AH818" s="1" t="s">
        <v>1133</v>
      </c>
      <c r="AK818" s="1">
        <v>9.0</v>
      </c>
      <c r="AL818" s="1">
        <v>4.0</v>
      </c>
      <c r="AM818" s="1">
        <v>2.0</v>
      </c>
      <c r="AN818" s="1">
        <v>1.0</v>
      </c>
      <c r="AO818" s="1" t="s">
        <v>229</v>
      </c>
      <c r="AP818" s="1">
        <v>1.0</v>
      </c>
      <c r="AQ818" s="1" t="s">
        <v>198</v>
      </c>
      <c r="AR818" s="1" t="s">
        <v>200</v>
      </c>
      <c r="AS818" s="1" t="s">
        <v>199</v>
      </c>
      <c r="AT818" s="1">
        <v>2.0</v>
      </c>
      <c r="AV818" s="1" t="s">
        <v>200</v>
      </c>
      <c r="AW818" s="1">
        <v>6539.0</v>
      </c>
      <c r="AX818" s="1">
        <v>2013.0</v>
      </c>
      <c r="AY818" s="1" t="s">
        <v>387</v>
      </c>
      <c r="AZ818" s="1" t="s">
        <v>200</v>
      </c>
      <c r="BA818" s="1" t="str">
        <f>"11323010040000"</f>
        <v>11323010040000</v>
      </c>
      <c r="BB818" s="1" t="s">
        <v>200</v>
      </c>
      <c r="BC818" s="1">
        <v>2496.0</v>
      </c>
      <c r="BD818" s="1">
        <v>540000.0</v>
      </c>
      <c r="BE818" s="2">
        <v>42016.0</v>
      </c>
      <c r="BF818" s="2" t="s">
        <v>9562</v>
      </c>
      <c r="BG818" s="1" t="s">
        <v>9563</v>
      </c>
      <c r="BH818" s="1">
        <v>0.0</v>
      </c>
      <c r="BI818" s="1" t="s">
        <v>9563</v>
      </c>
      <c r="BJ818" s="1" t="s">
        <v>9564</v>
      </c>
      <c r="BK818" s="1" t="s">
        <v>204</v>
      </c>
      <c r="BL818" s="1" t="str">
        <f>"6850"</f>
        <v>6850</v>
      </c>
      <c r="BM818" s="1" t="str">
        <f>"0"</f>
        <v>0</v>
      </c>
      <c r="BN818" s="1">
        <v>1519.0</v>
      </c>
      <c r="BO818" s="1">
        <v>0.0</v>
      </c>
      <c r="BQ818" s="1">
        <v>299.0</v>
      </c>
      <c r="BR818" s="1">
        <v>299.0</v>
      </c>
      <c r="BS818" s="1">
        <v>299.0</v>
      </c>
      <c r="BU818" s="1" t="s">
        <v>496</v>
      </c>
      <c r="BV818" s="1" t="s">
        <v>206</v>
      </c>
      <c r="BW818" s="1" t="s">
        <v>207</v>
      </c>
      <c r="BY818" s="1" t="s">
        <v>743</v>
      </c>
      <c r="BZ818" s="1" t="s">
        <v>209</v>
      </c>
      <c r="CA818" s="1" t="s">
        <v>207</v>
      </c>
      <c r="CC818" s="1" t="s">
        <v>362</v>
      </c>
      <c r="CD818" s="1" t="s">
        <v>206</v>
      </c>
      <c r="CE818" s="1" t="s">
        <v>207</v>
      </c>
      <c r="CG818" s="1" t="s">
        <v>1483</v>
      </c>
      <c r="CH818" s="1" t="s">
        <v>209</v>
      </c>
      <c r="CI818" s="1" t="s">
        <v>207</v>
      </c>
      <c r="CK818" s="1" t="s">
        <v>211</v>
      </c>
      <c r="CL818" s="1" t="s">
        <v>209</v>
      </c>
      <c r="CM818" s="1" t="s">
        <v>207</v>
      </c>
      <c r="CO818" s="1" t="s">
        <v>699</v>
      </c>
      <c r="CP818" s="1" t="s">
        <v>209</v>
      </c>
      <c r="CQ818" s="1" t="s">
        <v>207</v>
      </c>
      <c r="CS818" s="1" t="s">
        <v>4399</v>
      </c>
      <c r="CT818" s="1" t="s">
        <v>206</v>
      </c>
      <c r="CU818" s="1" t="s">
        <v>2128</v>
      </c>
      <c r="CX818" s="1" t="s">
        <v>204</v>
      </c>
      <c r="DA818" s="1" t="s">
        <v>200</v>
      </c>
      <c r="DC818" s="1" t="s">
        <v>642</v>
      </c>
      <c r="DD818" s="1" t="s">
        <v>2094</v>
      </c>
      <c r="DE818" s="1" t="s">
        <v>273</v>
      </c>
      <c r="DF818" s="1" t="s">
        <v>219</v>
      </c>
      <c r="DH818" s="1" t="s">
        <v>365</v>
      </c>
      <c r="DI818" s="1" t="s">
        <v>9565</v>
      </c>
      <c r="DJ818" s="1" t="s">
        <v>222</v>
      </c>
      <c r="DK818" s="1" t="s">
        <v>2097</v>
      </c>
      <c r="DL818" s="1" t="s">
        <v>986</v>
      </c>
      <c r="DM818" s="1" t="s">
        <v>229</v>
      </c>
      <c r="DO818" s="1" t="s">
        <v>549</v>
      </c>
      <c r="DP818" s="1" t="s">
        <v>340</v>
      </c>
      <c r="DQ818" s="1" t="s">
        <v>794</v>
      </c>
      <c r="DR818" s="1" t="s">
        <v>229</v>
      </c>
      <c r="DS818" s="1" t="s">
        <v>230</v>
      </c>
      <c r="DV818" s="1" t="s">
        <v>9566</v>
      </c>
      <c r="DW818" s="1" t="s">
        <v>9567</v>
      </c>
      <c r="DX818" s="1" t="s">
        <v>234</v>
      </c>
      <c r="DY818" s="1" t="s">
        <v>704</v>
      </c>
      <c r="DZ818" s="1" t="s">
        <v>2424</v>
      </c>
      <c r="EA818" s="1" t="s">
        <v>3112</v>
      </c>
      <c r="EB818" s="1" t="s">
        <v>345</v>
      </c>
      <c r="EC818" s="1" t="s">
        <v>406</v>
      </c>
      <c r="ED818" s="1" t="s">
        <v>555</v>
      </c>
      <c r="EG818" s="1" t="s">
        <v>1102</v>
      </c>
      <c r="EH818" s="1" t="s">
        <v>1164</v>
      </c>
      <c r="EI818" s="1" t="s">
        <v>341</v>
      </c>
      <c r="EL818" s="1" t="s">
        <v>2460</v>
      </c>
      <c r="EM818" s="1" t="s">
        <v>206</v>
      </c>
      <c r="EN818" s="1" t="s">
        <v>2128</v>
      </c>
      <c r="EP818" s="1" t="s">
        <v>304</v>
      </c>
      <c r="EQ818" s="1" t="s">
        <v>206</v>
      </c>
      <c r="ER818" s="1" t="s">
        <v>207</v>
      </c>
      <c r="ET818" s="1" t="s">
        <v>6783</v>
      </c>
      <c r="EU818" s="1" t="s">
        <v>391</v>
      </c>
      <c r="EV818" s="1" t="s">
        <v>588</v>
      </c>
      <c r="EY818" s="1" t="s">
        <v>238</v>
      </c>
      <c r="FC818" s="1" t="s">
        <v>238</v>
      </c>
      <c r="FF818" s="1" t="s">
        <v>239</v>
      </c>
      <c r="FG818" s="1" t="s">
        <v>192</v>
      </c>
      <c r="FH818" s="1" t="s">
        <v>192</v>
      </c>
      <c r="FJ818" s="1" t="s">
        <v>9568</v>
      </c>
      <c r="FK818" s="1" t="s">
        <v>229</v>
      </c>
      <c r="FL818" s="1" t="s">
        <v>836</v>
      </c>
      <c r="FM818" s="1">
        <v>18080.0</v>
      </c>
      <c r="FN818" s="1" t="s">
        <v>837</v>
      </c>
      <c r="FO818" s="1" t="s">
        <v>9569</v>
      </c>
      <c r="FP818" s="1">
        <v>149539.0</v>
      </c>
      <c r="FQ818" s="1" t="s">
        <v>9570</v>
      </c>
      <c r="FR818" s="1">
        <v>856154.0</v>
      </c>
      <c r="FS818" s="1" t="s">
        <v>9571</v>
      </c>
      <c r="FU818" s="1" t="s">
        <v>9572</v>
      </c>
      <c r="FV818" s="1" t="s">
        <v>200</v>
      </c>
      <c r="FW818" s="1" t="s">
        <v>290</v>
      </c>
      <c r="FX818" s="1" t="s">
        <v>246</v>
      </c>
      <c r="FZ818" s="1" t="s">
        <v>229</v>
      </c>
      <c r="GA818" s="1" t="s">
        <v>291</v>
      </c>
      <c r="GB818" s="2">
        <v>42114.0</v>
      </c>
    </row>
    <row r="819">
      <c r="A819" s="1">
        <v>180000.0</v>
      </c>
      <c r="B819" s="1" t="s">
        <v>185</v>
      </c>
      <c r="C819" s="1" t="str">
        <f>"08815704"</f>
        <v>08815704</v>
      </c>
      <c r="D819" s="1" t="s">
        <v>186</v>
      </c>
      <c r="F819" s="1" t="str">
        <f>"8056"</f>
        <v>8056</v>
      </c>
      <c r="G819" s="2">
        <v>42017.0</v>
      </c>
      <c r="H819" s="1">
        <v>189000.0</v>
      </c>
      <c r="I819" s="1">
        <v>3.0</v>
      </c>
      <c r="J819" s="1">
        <v>189000.0</v>
      </c>
      <c r="K819" s="2">
        <v>42019.0</v>
      </c>
      <c r="L819" s="1">
        <v>3.0</v>
      </c>
      <c r="M819" s="2">
        <v>42019.0</v>
      </c>
      <c r="N819" s="1" t="s">
        <v>356</v>
      </c>
      <c r="O819" s="2">
        <v>42065.0</v>
      </c>
      <c r="P819" s="1">
        <v>89198.0</v>
      </c>
      <c r="Q819" s="1">
        <v>8073.0</v>
      </c>
      <c r="R819" s="1">
        <v>4000.0</v>
      </c>
      <c r="S819" s="1">
        <v>5105.0</v>
      </c>
      <c r="T819" s="1" t="s">
        <v>4971</v>
      </c>
      <c r="U819" s="1" t="s">
        <v>189</v>
      </c>
      <c r="V819" s="1" t="s">
        <v>190</v>
      </c>
      <c r="W819" s="1">
        <v>60632.0</v>
      </c>
      <c r="Y819" s="1" t="s">
        <v>9573</v>
      </c>
      <c r="Z819" s="1">
        <v>1952.0</v>
      </c>
      <c r="AA819" s="1" t="s">
        <v>192</v>
      </c>
      <c r="AB819" s="1" t="s">
        <v>193</v>
      </c>
      <c r="AD819" s="1" t="s">
        <v>194</v>
      </c>
      <c r="AE819" s="1" t="s">
        <v>195</v>
      </c>
      <c r="AF819" s="1" t="s">
        <v>659</v>
      </c>
      <c r="AH819" s="1" t="s">
        <v>779</v>
      </c>
      <c r="AI819" s="1">
        <v>0.0868</v>
      </c>
      <c r="AK819" s="1">
        <v>6.0</v>
      </c>
      <c r="AL819" s="1">
        <v>3.0</v>
      </c>
      <c r="AM819" s="1">
        <v>2.0</v>
      </c>
      <c r="AN819" s="1">
        <v>0.0</v>
      </c>
      <c r="AO819" s="1" t="s">
        <v>229</v>
      </c>
      <c r="AQ819" s="1" t="s">
        <v>198</v>
      </c>
      <c r="AR819" s="1" t="s">
        <v>192</v>
      </c>
      <c r="AS819" s="1" t="s">
        <v>199</v>
      </c>
      <c r="AT819" s="1">
        <v>2.0</v>
      </c>
      <c r="AV819" s="1" t="s">
        <v>200</v>
      </c>
      <c r="AW819" s="1">
        <v>350.34</v>
      </c>
      <c r="AX819" s="1">
        <v>2013.0</v>
      </c>
      <c r="AY819" s="1" t="s">
        <v>1917</v>
      </c>
      <c r="AZ819" s="1" t="s">
        <v>200</v>
      </c>
      <c r="BA819" s="1" t="str">
        <f>"19103020020000"</f>
        <v>19103020020000</v>
      </c>
      <c r="BC819" s="1">
        <v>1006.0</v>
      </c>
      <c r="BD819" s="1">
        <v>180000.0</v>
      </c>
      <c r="BE819" s="2">
        <v>42017.0</v>
      </c>
      <c r="BF819" s="1" t="s">
        <v>9574</v>
      </c>
      <c r="BH819" s="1">
        <v>0.0</v>
      </c>
      <c r="BK819" s="1" t="s">
        <v>204</v>
      </c>
      <c r="BL819" s="1" t="str">
        <f t="shared" ref="BL819:BM819" si="539">"0"</f>
        <v>0</v>
      </c>
      <c r="BM819" s="1" t="str">
        <f t="shared" si="539"/>
        <v>0</v>
      </c>
      <c r="BN819" s="1">
        <v>4700.0</v>
      </c>
      <c r="BO819" s="1">
        <v>5100.0</v>
      </c>
      <c r="BQ819" s="1">
        <v>299.0</v>
      </c>
      <c r="BR819" s="1">
        <v>299.0</v>
      </c>
      <c r="BS819" s="1">
        <v>299.0</v>
      </c>
      <c r="BU819" s="1" t="s">
        <v>433</v>
      </c>
      <c r="BV819" s="1" t="s">
        <v>206</v>
      </c>
      <c r="BW819" s="1" t="s">
        <v>207</v>
      </c>
      <c r="BX819" s="1" t="s">
        <v>431</v>
      </c>
      <c r="BY819" s="1" t="s">
        <v>495</v>
      </c>
      <c r="BZ819" s="1" t="s">
        <v>206</v>
      </c>
      <c r="CA819" s="1" t="s">
        <v>207</v>
      </c>
      <c r="CB819" s="1" t="s">
        <v>229</v>
      </c>
      <c r="CD819" s="1" t="s">
        <v>204</v>
      </c>
      <c r="CG819" s="1" t="s">
        <v>543</v>
      </c>
      <c r="CH819" s="1" t="s">
        <v>206</v>
      </c>
      <c r="CI819" s="1" t="s">
        <v>207</v>
      </c>
      <c r="CK819" s="1" t="s">
        <v>940</v>
      </c>
      <c r="CL819" s="1" t="s">
        <v>206</v>
      </c>
      <c r="CM819" s="1" t="s">
        <v>207</v>
      </c>
      <c r="CN819" s="1" t="s">
        <v>229</v>
      </c>
      <c r="CO819" s="1" t="s">
        <v>433</v>
      </c>
      <c r="CP819" s="1" t="s">
        <v>42</v>
      </c>
      <c r="CQ819" s="1" t="s">
        <v>617</v>
      </c>
      <c r="CR819" s="1" t="s">
        <v>229</v>
      </c>
      <c r="CS819" s="1" t="s">
        <v>302</v>
      </c>
      <c r="CT819" s="1" t="s">
        <v>206</v>
      </c>
      <c r="CU819" s="1" t="s">
        <v>617</v>
      </c>
      <c r="CV819" s="1" t="s">
        <v>229</v>
      </c>
      <c r="CX819" s="1" t="s">
        <v>204</v>
      </c>
      <c r="DA819" s="1" t="s">
        <v>200</v>
      </c>
      <c r="DC819" s="1" t="s">
        <v>702</v>
      </c>
      <c r="DE819" s="1" t="s">
        <v>273</v>
      </c>
      <c r="DF819" s="1" t="s">
        <v>619</v>
      </c>
      <c r="DH819" s="1" t="s">
        <v>365</v>
      </c>
      <c r="DJ819" s="1" t="s">
        <v>222</v>
      </c>
      <c r="DL819" s="1" t="s">
        <v>224</v>
      </c>
      <c r="DM819" s="1" t="s">
        <v>229</v>
      </c>
      <c r="DQ819" s="1" t="s">
        <v>228</v>
      </c>
      <c r="DR819" s="1" t="s">
        <v>229</v>
      </c>
      <c r="DS819" s="1" t="s">
        <v>230</v>
      </c>
      <c r="DV819" s="1" t="s">
        <v>232</v>
      </c>
      <c r="DW819" s="1" t="s">
        <v>279</v>
      </c>
      <c r="DX819" s="1" t="s">
        <v>234</v>
      </c>
      <c r="EA819" s="1" t="s">
        <v>683</v>
      </c>
      <c r="EC819" s="1" t="s">
        <v>685</v>
      </c>
      <c r="EM819" s="1" t="s">
        <v>238</v>
      </c>
      <c r="EQ819" s="1" t="s">
        <v>238</v>
      </c>
      <c r="EU819" s="1" t="s">
        <v>238</v>
      </c>
      <c r="EY819" s="1" t="s">
        <v>238</v>
      </c>
      <c r="FC819" s="1" t="s">
        <v>238</v>
      </c>
      <c r="FF819" s="1" t="s">
        <v>239</v>
      </c>
      <c r="FG819" s="1" t="s">
        <v>192</v>
      </c>
      <c r="FH819" s="1" t="s">
        <v>192</v>
      </c>
      <c r="FJ819" s="1" t="s">
        <v>624</v>
      </c>
      <c r="FK819" s="1" t="s">
        <v>229</v>
      </c>
      <c r="FL819" s="1" t="s">
        <v>9575</v>
      </c>
      <c r="FM819" s="1">
        <v>23465.0</v>
      </c>
      <c r="FN819" s="1" t="s">
        <v>9576</v>
      </c>
      <c r="FO819" s="1" t="s">
        <v>9577</v>
      </c>
      <c r="FP819" s="1">
        <v>603317.0</v>
      </c>
      <c r="FU819" s="1" t="s">
        <v>9578</v>
      </c>
      <c r="FV819" s="1" t="s">
        <v>200</v>
      </c>
      <c r="FW819" s="1" t="s">
        <v>4843</v>
      </c>
      <c r="FX819" s="1" t="s">
        <v>655</v>
      </c>
      <c r="FZ819" s="1" t="s">
        <v>229</v>
      </c>
      <c r="GA819" s="1" t="s">
        <v>291</v>
      </c>
      <c r="GB819" s="2">
        <v>42066.0</v>
      </c>
    </row>
    <row r="820">
      <c r="A820" s="1">
        <v>230000.0</v>
      </c>
      <c r="B820" s="1" t="s">
        <v>185</v>
      </c>
      <c r="C820" s="1" t="str">
        <f>"08838590"</f>
        <v>08838590</v>
      </c>
      <c r="D820" s="1" t="s">
        <v>186</v>
      </c>
      <c r="F820" s="1" t="str">
        <f>"174"</f>
        <v>174</v>
      </c>
      <c r="G820" s="2">
        <v>42048.0</v>
      </c>
      <c r="H820" s="1">
        <v>234900.0</v>
      </c>
      <c r="I820" s="1">
        <v>14.0</v>
      </c>
      <c r="J820" s="1">
        <v>234900.0</v>
      </c>
      <c r="K820" s="2">
        <v>42061.0</v>
      </c>
      <c r="L820" s="1">
        <v>14.0</v>
      </c>
      <c r="M820" s="2">
        <v>42061.0</v>
      </c>
      <c r="N820" s="1" t="s">
        <v>187</v>
      </c>
      <c r="O820" s="2">
        <v>42093.0</v>
      </c>
      <c r="P820" s="1">
        <v>500.0</v>
      </c>
      <c r="Q820" s="1">
        <v>30.0</v>
      </c>
      <c r="S820" s="1">
        <v>1605.0</v>
      </c>
      <c r="T820" s="1" t="s">
        <v>9579</v>
      </c>
      <c r="U820" s="1" t="s">
        <v>189</v>
      </c>
      <c r="V820" s="1" t="s">
        <v>1200</v>
      </c>
      <c r="W820" s="1">
        <v>60174.0</v>
      </c>
      <c r="Y820" s="1" t="s">
        <v>9580</v>
      </c>
      <c r="Z820" s="1">
        <v>1984.0</v>
      </c>
      <c r="AA820" s="1" t="s">
        <v>200</v>
      </c>
      <c r="AB820" s="1" t="s">
        <v>193</v>
      </c>
      <c r="AC820" s="1" t="s">
        <v>5712</v>
      </c>
      <c r="AD820" s="1" t="s">
        <v>1203</v>
      </c>
      <c r="AE820" s="1" t="s">
        <v>325</v>
      </c>
      <c r="AF820" s="1" t="s">
        <v>1203</v>
      </c>
      <c r="AH820" s="1" t="s">
        <v>9581</v>
      </c>
      <c r="AI820" s="1">
        <v>0.199</v>
      </c>
      <c r="AK820" s="1">
        <v>7.0</v>
      </c>
      <c r="AL820" s="1">
        <v>4.0</v>
      </c>
      <c r="AM820" s="1">
        <v>1.0</v>
      </c>
      <c r="AN820" s="1">
        <v>1.0</v>
      </c>
      <c r="AO820" s="1" t="s">
        <v>229</v>
      </c>
      <c r="AQ820" s="1" t="s">
        <v>198</v>
      </c>
      <c r="AR820" s="1" t="s">
        <v>200</v>
      </c>
      <c r="AS820" s="1" t="s">
        <v>199</v>
      </c>
      <c r="AT820" s="1">
        <v>2.0</v>
      </c>
      <c r="AV820" s="1" t="s">
        <v>200</v>
      </c>
      <c r="AW820" s="1">
        <v>5828.54</v>
      </c>
      <c r="AX820" s="1">
        <v>2013.0</v>
      </c>
      <c r="AY820" s="1" t="s">
        <v>387</v>
      </c>
      <c r="AZ820" s="1" t="s">
        <v>200</v>
      </c>
      <c r="BA820" s="1" t="str">
        <f>"0935426012"</f>
        <v>0935426012</v>
      </c>
      <c r="BC820" s="1">
        <v>1470.0</v>
      </c>
      <c r="BD820" s="1">
        <v>230000.0</v>
      </c>
      <c r="BE820" s="2">
        <v>42048.0</v>
      </c>
      <c r="BF820" s="2" t="s">
        <v>9582</v>
      </c>
      <c r="BH820" s="1">
        <v>0.0</v>
      </c>
      <c r="BK820" s="1" t="s">
        <v>204</v>
      </c>
      <c r="BL820" s="1" t="str">
        <f>"2"</f>
        <v>2</v>
      </c>
      <c r="BM820" s="1" t="str">
        <f>""</f>
        <v/>
      </c>
      <c r="BN820" s="1">
        <v>34.0</v>
      </c>
      <c r="BQ820" s="1">
        <v>303.0</v>
      </c>
      <c r="BR820" s="1">
        <v>303.0</v>
      </c>
      <c r="BS820" s="1">
        <v>303.0</v>
      </c>
      <c r="BU820" s="1" t="s">
        <v>1426</v>
      </c>
      <c r="BV820" s="1" t="s">
        <v>206</v>
      </c>
      <c r="BW820" s="1" t="s">
        <v>210</v>
      </c>
      <c r="BX820" s="1" t="s">
        <v>239</v>
      </c>
      <c r="BY820" s="1" t="s">
        <v>925</v>
      </c>
      <c r="BZ820" s="1" t="s">
        <v>209</v>
      </c>
      <c r="CA820" s="1" t="s">
        <v>210</v>
      </c>
      <c r="CB820" s="1" t="s">
        <v>239</v>
      </c>
      <c r="CC820" s="1" t="s">
        <v>699</v>
      </c>
      <c r="CD820" s="1" t="s">
        <v>206</v>
      </c>
      <c r="CE820" s="1" t="s">
        <v>210</v>
      </c>
      <c r="CF820" s="1" t="s">
        <v>239</v>
      </c>
      <c r="CG820" s="1" t="s">
        <v>212</v>
      </c>
      <c r="CH820" s="1" t="s">
        <v>209</v>
      </c>
      <c r="CI820" s="1" t="s">
        <v>210</v>
      </c>
      <c r="CJ820" s="1" t="s">
        <v>239</v>
      </c>
      <c r="CK820" s="1" t="s">
        <v>495</v>
      </c>
      <c r="CL820" s="1" t="s">
        <v>209</v>
      </c>
      <c r="CM820" s="1" t="s">
        <v>210</v>
      </c>
      <c r="CN820" s="1" t="s">
        <v>239</v>
      </c>
      <c r="CO820" s="1" t="s">
        <v>516</v>
      </c>
      <c r="CP820" s="1" t="s">
        <v>209</v>
      </c>
      <c r="CQ820" s="1" t="s">
        <v>210</v>
      </c>
      <c r="CR820" s="1" t="s">
        <v>239</v>
      </c>
      <c r="CS820" s="1" t="s">
        <v>1158</v>
      </c>
      <c r="CT820" s="1" t="s">
        <v>206</v>
      </c>
      <c r="CU820" s="1" t="s">
        <v>268</v>
      </c>
      <c r="CV820" s="1" t="s">
        <v>239</v>
      </c>
      <c r="CX820" s="1" t="s">
        <v>204</v>
      </c>
      <c r="DA820" s="1" t="s">
        <v>200</v>
      </c>
      <c r="DC820" s="1" t="s">
        <v>395</v>
      </c>
      <c r="DD820" s="1" t="s">
        <v>518</v>
      </c>
      <c r="DE820" s="1" t="s">
        <v>273</v>
      </c>
      <c r="DF820" s="1" t="s">
        <v>219</v>
      </c>
      <c r="DG820" s="1" t="s">
        <v>482</v>
      </c>
      <c r="DH820" s="1" t="s">
        <v>220</v>
      </c>
      <c r="DI820" s="1" t="s">
        <v>308</v>
      </c>
      <c r="DJ820" s="1" t="s">
        <v>222</v>
      </c>
      <c r="DL820" s="1" t="s">
        <v>223</v>
      </c>
      <c r="DM820" s="1" t="s">
        <v>338</v>
      </c>
      <c r="DO820" s="1" t="s">
        <v>1004</v>
      </c>
      <c r="DP820" s="1" t="s">
        <v>340</v>
      </c>
      <c r="DQ820" s="1" t="s">
        <v>228</v>
      </c>
      <c r="DR820" s="1" t="s">
        <v>229</v>
      </c>
      <c r="DS820" s="1" t="s">
        <v>230</v>
      </c>
      <c r="DU820" s="1" t="s">
        <v>9583</v>
      </c>
      <c r="DV820" s="1" t="s">
        <v>232</v>
      </c>
      <c r="DW820" s="1" t="s">
        <v>233</v>
      </c>
      <c r="DX820" s="1" t="s">
        <v>234</v>
      </c>
      <c r="DZ820" s="1" t="s">
        <v>282</v>
      </c>
      <c r="EA820" s="1" t="s">
        <v>344</v>
      </c>
      <c r="EC820" s="1" t="s">
        <v>237</v>
      </c>
      <c r="ED820" s="1" t="s">
        <v>407</v>
      </c>
      <c r="EM820" s="1" t="s">
        <v>238</v>
      </c>
      <c r="EQ820" s="1" t="s">
        <v>238</v>
      </c>
      <c r="EU820" s="1" t="s">
        <v>238</v>
      </c>
      <c r="EY820" s="1" t="s">
        <v>238</v>
      </c>
      <c r="FC820" s="1" t="s">
        <v>238</v>
      </c>
      <c r="FF820" s="1" t="s">
        <v>239</v>
      </c>
      <c r="FG820" s="1" t="s">
        <v>192</v>
      </c>
      <c r="FH820" s="1" t="s">
        <v>192</v>
      </c>
      <c r="FJ820" s="1" t="s">
        <v>524</v>
      </c>
      <c r="FK820" s="1" t="s">
        <v>348</v>
      </c>
      <c r="FL820" s="1" t="s">
        <v>1212</v>
      </c>
      <c r="FM820" s="1">
        <v>30.0</v>
      </c>
      <c r="FN820" s="1" t="s">
        <v>1213</v>
      </c>
      <c r="FO820" s="1" t="s">
        <v>9584</v>
      </c>
      <c r="FP820" s="1">
        <v>1550.0</v>
      </c>
      <c r="FQ820" s="1" t="s">
        <v>9585</v>
      </c>
      <c r="FS820" s="1" t="s">
        <v>9586</v>
      </c>
      <c r="FU820" s="1" t="s">
        <v>3617</v>
      </c>
      <c r="FV820" s="1" t="s">
        <v>200</v>
      </c>
      <c r="FW820" s="1" t="s">
        <v>1411</v>
      </c>
      <c r="FZ820" s="1" t="s">
        <v>504</v>
      </c>
      <c r="GA820" s="1" t="s">
        <v>291</v>
      </c>
      <c r="GB820" s="2">
        <v>42093.0</v>
      </c>
      <c r="GC820" s="1" t="s">
        <v>9587</v>
      </c>
    </row>
    <row r="821">
      <c r="A821" s="1">
        <v>135000.0</v>
      </c>
      <c r="B821" s="1" t="s">
        <v>185</v>
      </c>
      <c r="C821" s="1" t="str">
        <f>"08819418"</f>
        <v>08819418</v>
      </c>
      <c r="D821" s="1" t="s">
        <v>186</v>
      </c>
      <c r="F821" s="1" t="str">
        <f>"8023"</f>
        <v>8023</v>
      </c>
      <c r="G821" s="2">
        <v>42023.0</v>
      </c>
      <c r="H821" s="1">
        <v>149900.0</v>
      </c>
      <c r="I821" s="1">
        <v>67.0</v>
      </c>
      <c r="J821" s="1">
        <v>140000.0</v>
      </c>
      <c r="K821" s="2">
        <v>42060.0</v>
      </c>
      <c r="L821" s="1">
        <v>38.0</v>
      </c>
      <c r="M821" s="2">
        <v>42060.0</v>
      </c>
      <c r="N821" s="1" t="s">
        <v>187</v>
      </c>
      <c r="O821" s="2">
        <v>42117.0</v>
      </c>
      <c r="P821" s="1">
        <v>244244.0</v>
      </c>
      <c r="Q821" s="1">
        <v>25632.0</v>
      </c>
      <c r="R821" s="1">
        <v>3.0</v>
      </c>
      <c r="S821" s="1">
        <v>824.0</v>
      </c>
      <c r="T821" s="1" t="s">
        <v>3314</v>
      </c>
      <c r="U821" s="1" t="s">
        <v>189</v>
      </c>
      <c r="V821" s="1" t="s">
        <v>190</v>
      </c>
      <c r="W821" s="1">
        <v>60651.0</v>
      </c>
      <c r="Y821" s="1" t="s">
        <v>9588</v>
      </c>
      <c r="Z821" s="1">
        <v>1907.0</v>
      </c>
      <c r="AA821" s="1" t="s">
        <v>192</v>
      </c>
      <c r="AB821" s="1" t="s">
        <v>193</v>
      </c>
      <c r="AD821" s="1" t="s">
        <v>194</v>
      </c>
      <c r="AE821" s="1" t="s">
        <v>195</v>
      </c>
      <c r="AF821" s="1" t="s">
        <v>827</v>
      </c>
      <c r="AH821" s="1" t="s">
        <v>741</v>
      </c>
      <c r="AK821" s="1">
        <v>8.0</v>
      </c>
      <c r="AL821" s="1">
        <v>2.0</v>
      </c>
      <c r="AM821" s="1">
        <v>3.0</v>
      </c>
      <c r="AN821" s="1">
        <v>0.0</v>
      </c>
      <c r="AO821" s="1" t="s">
        <v>198</v>
      </c>
      <c r="AP821" s="1">
        <v>0.0</v>
      </c>
      <c r="AQ821" s="1" t="s">
        <v>198</v>
      </c>
      <c r="AR821" s="1" t="s">
        <v>200</v>
      </c>
      <c r="AS821" s="1" t="s">
        <v>828</v>
      </c>
      <c r="AU821" s="1">
        <v>2.0</v>
      </c>
      <c r="AV821" s="1" t="s">
        <v>200</v>
      </c>
      <c r="AW821" s="1">
        <v>2148.73</v>
      </c>
      <c r="AX821" s="1">
        <v>2013.0</v>
      </c>
      <c r="AY821" s="1" t="s">
        <v>387</v>
      </c>
      <c r="AZ821" s="1" t="s">
        <v>200</v>
      </c>
      <c r="BA821" s="1" t="str">
        <f>"16034270260000"</f>
        <v>16034270260000</v>
      </c>
      <c r="BB821" s="1" t="s">
        <v>200</v>
      </c>
      <c r="BC821" s="1">
        <v>1350.0</v>
      </c>
      <c r="BD821" s="1">
        <v>135000.0</v>
      </c>
      <c r="BE821" s="2">
        <v>42023.0</v>
      </c>
      <c r="BF821" s="1" t="s">
        <v>9589</v>
      </c>
      <c r="BH821" s="1">
        <v>0.0</v>
      </c>
      <c r="BK821" s="1" t="s">
        <v>204</v>
      </c>
      <c r="BL821" s="1" t="str">
        <f>"800"</f>
        <v>800</v>
      </c>
      <c r="BM821" s="1" t="str">
        <f>"0"</f>
        <v>0</v>
      </c>
      <c r="BN821" s="1">
        <v>4200.0</v>
      </c>
      <c r="BO821" s="1">
        <v>0.0</v>
      </c>
      <c r="BQ821" s="1">
        <v>299.0</v>
      </c>
      <c r="BR821" s="1">
        <v>299.0</v>
      </c>
      <c r="BS821" s="1">
        <v>299.0</v>
      </c>
      <c r="BU821" s="1" t="s">
        <v>9590</v>
      </c>
      <c r="BV821" s="1" t="s">
        <v>206</v>
      </c>
      <c r="BW821" s="1" t="s">
        <v>207</v>
      </c>
      <c r="BY821" s="1" t="s">
        <v>213</v>
      </c>
      <c r="BZ821" s="1" t="s">
        <v>209</v>
      </c>
      <c r="CA821" s="1" t="s">
        <v>207</v>
      </c>
      <c r="CC821" s="1" t="s">
        <v>542</v>
      </c>
      <c r="CD821" s="1" t="s">
        <v>206</v>
      </c>
      <c r="CE821" s="1" t="s">
        <v>207</v>
      </c>
      <c r="CG821" s="1" t="s">
        <v>2166</v>
      </c>
      <c r="CH821" s="1" t="s">
        <v>209</v>
      </c>
      <c r="CI821" s="1" t="s">
        <v>207</v>
      </c>
      <c r="CK821" s="1" t="s">
        <v>5359</v>
      </c>
      <c r="CL821" s="1" t="s">
        <v>42</v>
      </c>
      <c r="CM821" s="1" t="s">
        <v>268</v>
      </c>
      <c r="CO821" s="1" t="s">
        <v>5359</v>
      </c>
      <c r="CP821" s="1" t="s">
        <v>42</v>
      </c>
      <c r="CQ821" s="1" t="s">
        <v>268</v>
      </c>
      <c r="CS821" s="1" t="s">
        <v>2505</v>
      </c>
      <c r="CT821" s="1" t="s">
        <v>206</v>
      </c>
      <c r="CU821" s="1" t="s">
        <v>207</v>
      </c>
      <c r="CW821" s="1" t="s">
        <v>9591</v>
      </c>
      <c r="CX821" s="1" t="s">
        <v>42</v>
      </c>
      <c r="CY821" s="1" t="s">
        <v>268</v>
      </c>
      <c r="DA821" s="1" t="s">
        <v>200</v>
      </c>
      <c r="DC821" s="1" t="s">
        <v>642</v>
      </c>
      <c r="DD821" s="1" t="s">
        <v>306</v>
      </c>
      <c r="DE821" s="1" t="s">
        <v>229</v>
      </c>
      <c r="DF821" s="1" t="s">
        <v>219</v>
      </c>
      <c r="DH821" s="1" t="s">
        <v>220</v>
      </c>
      <c r="DJ821" s="1" t="s">
        <v>222</v>
      </c>
      <c r="DL821" s="1" t="s">
        <v>224</v>
      </c>
      <c r="DM821" s="1" t="s">
        <v>229</v>
      </c>
      <c r="DN821" s="1" t="s">
        <v>666</v>
      </c>
      <c r="DQ821" s="1" t="s">
        <v>718</v>
      </c>
      <c r="DR821" s="1" t="s">
        <v>229</v>
      </c>
      <c r="DS821" s="1" t="s">
        <v>277</v>
      </c>
      <c r="DV821" s="1" t="s">
        <v>232</v>
      </c>
      <c r="DW821" s="1" t="s">
        <v>279</v>
      </c>
      <c r="DX821" s="1" t="s">
        <v>234</v>
      </c>
      <c r="DY821" s="1" t="s">
        <v>1122</v>
      </c>
      <c r="EC821" s="1" t="s">
        <v>645</v>
      </c>
      <c r="EE821" s="1" t="s">
        <v>2649</v>
      </c>
      <c r="EF821" s="1" t="s">
        <v>1761</v>
      </c>
      <c r="EM821" s="1" t="s">
        <v>238</v>
      </c>
      <c r="EQ821" s="1" t="s">
        <v>238</v>
      </c>
      <c r="EU821" s="1" t="s">
        <v>238</v>
      </c>
      <c r="EY821" s="1" t="s">
        <v>238</v>
      </c>
      <c r="FC821" s="1" t="s">
        <v>238</v>
      </c>
      <c r="FF821" s="1" t="s">
        <v>239</v>
      </c>
      <c r="FG821" s="1" t="s">
        <v>192</v>
      </c>
      <c r="FH821" s="1" t="s">
        <v>192</v>
      </c>
      <c r="FJ821" s="1" t="s">
        <v>1450</v>
      </c>
      <c r="FK821" s="1" t="s">
        <v>229</v>
      </c>
      <c r="FL821" s="1" t="s">
        <v>9592</v>
      </c>
      <c r="FM821" s="1">
        <v>84642.0</v>
      </c>
      <c r="FN821" s="1" t="s">
        <v>9593</v>
      </c>
      <c r="FO821" s="1" t="s">
        <v>9594</v>
      </c>
      <c r="FP821" s="1">
        <v>144002.0</v>
      </c>
      <c r="FQ821" s="1" t="s">
        <v>9595</v>
      </c>
      <c r="FU821" s="1" t="s">
        <v>9596</v>
      </c>
      <c r="FV821" s="1" t="s">
        <v>200</v>
      </c>
      <c r="FW821" s="1" t="s">
        <v>567</v>
      </c>
      <c r="FX821" s="1" t="s">
        <v>238</v>
      </c>
      <c r="FZ821" s="1" t="s">
        <v>229</v>
      </c>
      <c r="GA821" s="1" t="s">
        <v>291</v>
      </c>
      <c r="GB821" s="2">
        <v>42118.0</v>
      </c>
      <c r="GC821" s="1" t="s">
        <v>9597</v>
      </c>
    </row>
    <row r="822">
      <c r="A822" s="1">
        <v>269750.0</v>
      </c>
      <c r="B822" s="1" t="s">
        <v>185</v>
      </c>
      <c r="C822" s="1" t="str">
        <f>"08815591"</f>
        <v>08815591</v>
      </c>
      <c r="D822" s="1" t="s">
        <v>186</v>
      </c>
      <c r="F822" s="1" t="str">
        <f>"510"</f>
        <v>510</v>
      </c>
      <c r="G822" s="2">
        <v>42017.0</v>
      </c>
      <c r="H822" s="1">
        <v>289000.0</v>
      </c>
      <c r="I822" s="1">
        <v>208.0</v>
      </c>
      <c r="J822" s="1">
        <v>289000.0</v>
      </c>
      <c r="K822" s="2">
        <v>42048.0</v>
      </c>
      <c r="L822" s="1">
        <v>32.0</v>
      </c>
      <c r="M822" s="2">
        <v>42048.0</v>
      </c>
      <c r="N822" s="1" t="s">
        <v>187</v>
      </c>
      <c r="O822" s="2">
        <v>42095.0</v>
      </c>
      <c r="P822" s="1">
        <v>232924.0</v>
      </c>
      <c r="Q822" s="1">
        <v>23030.0</v>
      </c>
      <c r="S822" s="1">
        <v>1221.0</v>
      </c>
      <c r="T822" s="1" t="s">
        <v>9598</v>
      </c>
      <c r="U822" s="1" t="s">
        <v>569</v>
      </c>
      <c r="V822" s="1" t="s">
        <v>2700</v>
      </c>
      <c r="W822" s="1">
        <v>60510.0</v>
      </c>
      <c r="Y822" s="1" t="s">
        <v>9599</v>
      </c>
      <c r="Z822" s="1">
        <v>1989.0</v>
      </c>
      <c r="AA822" s="1" t="s">
        <v>200</v>
      </c>
      <c r="AB822" s="1" t="s">
        <v>193</v>
      </c>
      <c r="AC822" s="1" t="s">
        <v>7590</v>
      </c>
      <c r="AD822" s="1" t="s">
        <v>2702</v>
      </c>
      <c r="AE822" s="1" t="s">
        <v>325</v>
      </c>
      <c r="AF822" s="1" t="s">
        <v>2702</v>
      </c>
      <c r="AH822" s="1" t="s">
        <v>9600</v>
      </c>
      <c r="AK822" s="1">
        <v>8.0</v>
      </c>
      <c r="AL822" s="1">
        <v>4.0</v>
      </c>
      <c r="AM822" s="1">
        <v>2.0</v>
      </c>
      <c r="AN822" s="1">
        <v>1.0</v>
      </c>
      <c r="AO822" s="1" t="s">
        <v>198</v>
      </c>
      <c r="AP822" s="1">
        <v>1.0</v>
      </c>
      <c r="AQ822" s="1" t="s">
        <v>1314</v>
      </c>
      <c r="AR822" s="1" t="s">
        <v>200</v>
      </c>
      <c r="AS822" s="1" t="s">
        <v>199</v>
      </c>
      <c r="AT822" s="1">
        <v>2.0</v>
      </c>
      <c r="AV822" s="1" t="s">
        <v>200</v>
      </c>
      <c r="AW822" s="1">
        <v>9532.0</v>
      </c>
      <c r="AX822" s="1">
        <v>2013.0</v>
      </c>
      <c r="AY822" s="1" t="s">
        <v>1179</v>
      </c>
      <c r="AZ822" s="1" t="s">
        <v>200</v>
      </c>
      <c r="BA822" s="1" t="str">
        <f>"1228214007"</f>
        <v>1228214007</v>
      </c>
      <c r="BC822" s="1">
        <v>2758.0</v>
      </c>
      <c r="BD822" s="1">
        <v>269750.0</v>
      </c>
      <c r="BE822" s="2">
        <v>42017.0</v>
      </c>
      <c r="BF822" s="2" t="s">
        <v>9601</v>
      </c>
      <c r="BG822" s="1" t="s">
        <v>5940</v>
      </c>
      <c r="BH822" s="1">
        <v>0.0</v>
      </c>
      <c r="BI822" s="1" t="s">
        <v>3090</v>
      </c>
      <c r="BJ822" s="1" t="s">
        <v>3091</v>
      </c>
      <c r="BK822" s="1" t="s">
        <v>204</v>
      </c>
      <c r="BL822" s="1" t="str">
        <f t="shared" ref="BL822:BM822" si="540">""</f>
        <v/>
      </c>
      <c r="BM822" s="1" t="str">
        <f t="shared" si="540"/>
        <v/>
      </c>
      <c r="BQ822" s="1">
        <v>101.0</v>
      </c>
      <c r="BR822" s="1">
        <v>101.0</v>
      </c>
      <c r="BS822" s="1">
        <v>101.0</v>
      </c>
      <c r="BU822" s="1" t="s">
        <v>924</v>
      </c>
      <c r="BV822" s="1" t="s">
        <v>206</v>
      </c>
      <c r="BW822" s="1" t="s">
        <v>210</v>
      </c>
      <c r="BX822" s="1" t="s">
        <v>239</v>
      </c>
      <c r="BY822" s="1" t="s">
        <v>453</v>
      </c>
      <c r="BZ822" s="1" t="s">
        <v>209</v>
      </c>
      <c r="CA822" s="1" t="s">
        <v>210</v>
      </c>
      <c r="CB822" s="1" t="s">
        <v>239</v>
      </c>
      <c r="CC822" s="1" t="s">
        <v>262</v>
      </c>
      <c r="CD822" s="1" t="s">
        <v>206</v>
      </c>
      <c r="CE822" s="1" t="s">
        <v>210</v>
      </c>
      <c r="CF822" s="1" t="s">
        <v>239</v>
      </c>
      <c r="CG822" s="1" t="s">
        <v>214</v>
      </c>
      <c r="CH822" s="1" t="s">
        <v>209</v>
      </c>
      <c r="CI822" s="1" t="s">
        <v>210</v>
      </c>
      <c r="CJ822" s="1" t="s">
        <v>239</v>
      </c>
      <c r="CK822" s="1" t="s">
        <v>329</v>
      </c>
      <c r="CL822" s="1" t="s">
        <v>209</v>
      </c>
      <c r="CM822" s="1" t="s">
        <v>210</v>
      </c>
      <c r="CN822" s="1" t="s">
        <v>239</v>
      </c>
      <c r="CO822" s="1" t="s">
        <v>264</v>
      </c>
      <c r="CP822" s="1" t="s">
        <v>209</v>
      </c>
      <c r="CQ822" s="1" t="s">
        <v>210</v>
      </c>
      <c r="CR822" s="1" t="s">
        <v>239</v>
      </c>
      <c r="CS822" s="1" t="s">
        <v>390</v>
      </c>
      <c r="CT822" s="1" t="s">
        <v>206</v>
      </c>
      <c r="CU822" s="1" t="s">
        <v>617</v>
      </c>
      <c r="CV822" s="1" t="s">
        <v>239</v>
      </c>
      <c r="CW822" s="1" t="s">
        <v>544</v>
      </c>
      <c r="CX822" s="1" t="s">
        <v>206</v>
      </c>
      <c r="CY822" s="1" t="s">
        <v>210</v>
      </c>
      <c r="CZ822" s="1" t="s">
        <v>239</v>
      </c>
      <c r="DA822" s="1" t="s">
        <v>200</v>
      </c>
      <c r="DC822" s="1" t="s">
        <v>305</v>
      </c>
      <c r="DD822" s="1" t="s">
        <v>436</v>
      </c>
      <c r="DE822" s="1" t="s">
        <v>273</v>
      </c>
      <c r="DF822" s="1" t="s">
        <v>619</v>
      </c>
      <c r="DG822" s="1" t="s">
        <v>337</v>
      </c>
      <c r="DH822" s="1" t="s">
        <v>220</v>
      </c>
      <c r="DI822" s="1" t="s">
        <v>4695</v>
      </c>
      <c r="DJ822" s="1" t="s">
        <v>1048</v>
      </c>
      <c r="DK822" s="1" t="s">
        <v>223</v>
      </c>
      <c r="DL822" s="1" t="s">
        <v>223</v>
      </c>
      <c r="DM822" s="1" t="s">
        <v>229</v>
      </c>
      <c r="DN822" s="1" t="s">
        <v>439</v>
      </c>
      <c r="DO822" s="1" t="s">
        <v>1556</v>
      </c>
      <c r="DP822" s="1" t="s">
        <v>340</v>
      </c>
      <c r="DQ822" s="1" t="s">
        <v>228</v>
      </c>
      <c r="DR822" s="1" t="s">
        <v>229</v>
      </c>
      <c r="DS822" s="1" t="s">
        <v>401</v>
      </c>
      <c r="DU822" s="1" t="s">
        <v>8808</v>
      </c>
      <c r="DV822" s="1" t="s">
        <v>310</v>
      </c>
      <c r="DW822" s="1" t="s">
        <v>764</v>
      </c>
      <c r="DX822" s="1" t="s">
        <v>234</v>
      </c>
      <c r="DY822" s="1" t="s">
        <v>3846</v>
      </c>
      <c r="DZ822" s="1" t="s">
        <v>236</v>
      </c>
      <c r="EA822" s="1" t="s">
        <v>447</v>
      </c>
      <c r="EB822" s="1" t="s">
        <v>2183</v>
      </c>
      <c r="EC822" s="1" t="s">
        <v>237</v>
      </c>
      <c r="ED822" s="1" t="s">
        <v>407</v>
      </c>
      <c r="EE822" s="1" t="s">
        <v>493</v>
      </c>
      <c r="EG822" s="1" t="s">
        <v>310</v>
      </c>
      <c r="EL822" s="1" t="s">
        <v>433</v>
      </c>
      <c r="EM822" s="1" t="s">
        <v>206</v>
      </c>
      <c r="EQ822" s="1" t="s">
        <v>238</v>
      </c>
      <c r="EU822" s="1" t="s">
        <v>238</v>
      </c>
      <c r="EY822" s="1" t="s">
        <v>238</v>
      </c>
      <c r="FC822" s="1" t="s">
        <v>238</v>
      </c>
      <c r="FF822" s="1" t="s">
        <v>239</v>
      </c>
      <c r="FG822" s="1" t="s">
        <v>192</v>
      </c>
      <c r="FH822" s="1" t="s">
        <v>192</v>
      </c>
      <c r="FJ822" s="1" t="s">
        <v>524</v>
      </c>
      <c r="FK822" s="1" t="s">
        <v>348</v>
      </c>
      <c r="FL822" s="1" t="s">
        <v>1451</v>
      </c>
      <c r="FM822" s="1">
        <v>7450.0</v>
      </c>
      <c r="FN822" s="1" t="s">
        <v>1452</v>
      </c>
      <c r="FO822" s="1" t="s">
        <v>9602</v>
      </c>
      <c r="FP822" s="1">
        <v>70016.0</v>
      </c>
      <c r="FQ822" s="1" t="s">
        <v>9603</v>
      </c>
      <c r="FU822" s="1" t="s">
        <v>6385</v>
      </c>
      <c r="FV822" s="1" t="s">
        <v>200</v>
      </c>
      <c r="FW822" s="1" t="s">
        <v>567</v>
      </c>
      <c r="FZ822" s="1" t="s">
        <v>229</v>
      </c>
      <c r="GA822" s="1" t="s">
        <v>291</v>
      </c>
      <c r="GB822" s="2">
        <v>42095.0</v>
      </c>
      <c r="GC822" s="1" t="s">
        <v>9604</v>
      </c>
    </row>
    <row r="823">
      <c r="A823" s="1">
        <v>227000.0</v>
      </c>
      <c r="B823" s="1" t="s">
        <v>185</v>
      </c>
      <c r="C823" s="1" t="str">
        <f>"08818940"</f>
        <v>08818940</v>
      </c>
      <c r="D823" s="1" t="s">
        <v>186</v>
      </c>
      <c r="F823" s="1" t="str">
        <f>"538"</f>
        <v>538</v>
      </c>
      <c r="G823" s="2">
        <v>42022.0</v>
      </c>
      <c r="H823" s="1">
        <v>235000.0</v>
      </c>
      <c r="I823" s="1">
        <v>61.0</v>
      </c>
      <c r="J823" s="1">
        <v>235000.0</v>
      </c>
      <c r="K823" s="2">
        <v>42083.0</v>
      </c>
      <c r="L823" s="1">
        <v>61.0</v>
      </c>
      <c r="M823" s="2">
        <v>42083.0</v>
      </c>
      <c r="N823" s="1" t="s">
        <v>634</v>
      </c>
      <c r="O823" s="2">
        <v>42125.0</v>
      </c>
      <c r="P823" s="1">
        <v>231596.0</v>
      </c>
      <c r="Q823" s="1">
        <v>23156.0</v>
      </c>
      <c r="S823" s="1">
        <v>2292.0</v>
      </c>
      <c r="T823" s="1" t="s">
        <v>9605</v>
      </c>
      <c r="U823" s="1" t="s">
        <v>420</v>
      </c>
      <c r="V823" s="1" t="s">
        <v>1340</v>
      </c>
      <c r="W823" s="1">
        <v>60538.0</v>
      </c>
      <c r="Y823" s="1" t="s">
        <v>9606</v>
      </c>
      <c r="Z823" s="1">
        <v>2002.0</v>
      </c>
      <c r="AA823" s="1" t="s">
        <v>200</v>
      </c>
      <c r="AB823" s="1" t="s">
        <v>467</v>
      </c>
      <c r="AC823" s="1" t="s">
        <v>5960</v>
      </c>
      <c r="AD823" s="1" t="s">
        <v>1343</v>
      </c>
      <c r="AE823" s="1" t="s">
        <v>849</v>
      </c>
      <c r="AF823" s="1" t="s">
        <v>1312</v>
      </c>
      <c r="AG823" s="1" t="s">
        <v>196</v>
      </c>
      <c r="AH823" s="1" t="s">
        <v>9607</v>
      </c>
      <c r="AI823" s="1">
        <v>0.26</v>
      </c>
      <c r="AK823" s="1">
        <v>13.0</v>
      </c>
      <c r="AL823" s="1">
        <v>3.0</v>
      </c>
      <c r="AM823" s="1">
        <v>3.0</v>
      </c>
      <c r="AN823" s="1">
        <v>1.0</v>
      </c>
      <c r="AO823" s="1" t="s">
        <v>198</v>
      </c>
      <c r="AP823" s="1">
        <v>1.0</v>
      </c>
      <c r="AQ823" s="1" t="s">
        <v>198</v>
      </c>
      <c r="AR823" s="1" t="s">
        <v>192</v>
      </c>
      <c r="AS823" s="1" t="s">
        <v>199</v>
      </c>
      <c r="AT823" s="1">
        <v>2.0</v>
      </c>
      <c r="AV823" s="1" t="s">
        <v>192</v>
      </c>
      <c r="AW823" s="1">
        <v>6259.14</v>
      </c>
      <c r="AX823" s="1">
        <v>2013.0</v>
      </c>
      <c r="AY823" s="1" t="s">
        <v>387</v>
      </c>
      <c r="AZ823" s="1" t="s">
        <v>192</v>
      </c>
      <c r="BA823" s="1" t="str">
        <f>"0201152012"</f>
        <v>0201152012</v>
      </c>
      <c r="BC823" s="1">
        <v>2500.0</v>
      </c>
      <c r="BD823" s="1">
        <v>227000.0</v>
      </c>
      <c r="BE823" s="2">
        <v>42023.0</v>
      </c>
      <c r="BF823" s="2" t="s">
        <v>9608</v>
      </c>
      <c r="BG823" s="1" t="s">
        <v>1837</v>
      </c>
      <c r="BH823" s="1">
        <v>81.0</v>
      </c>
      <c r="BK823" s="1" t="s">
        <v>1952</v>
      </c>
      <c r="BL823" s="1" t="str">
        <f t="shared" ref="BL823:BM823" si="541">""</f>
        <v/>
      </c>
      <c r="BM823" s="1" t="str">
        <f t="shared" si="541"/>
        <v/>
      </c>
      <c r="BN823" s="1">
        <v>39.0</v>
      </c>
      <c r="BO823" s="1">
        <v>10.0</v>
      </c>
      <c r="BQ823" s="1">
        <v>308.0</v>
      </c>
      <c r="BR823" s="1">
        <v>308.0</v>
      </c>
      <c r="BS823" s="1">
        <v>308.0</v>
      </c>
      <c r="BU823" s="1" t="s">
        <v>329</v>
      </c>
      <c r="BV823" s="1" t="s">
        <v>206</v>
      </c>
      <c r="BW823" s="1" t="s">
        <v>207</v>
      </c>
      <c r="BX823" s="1" t="s">
        <v>239</v>
      </c>
      <c r="BY823" s="1" t="s">
        <v>390</v>
      </c>
      <c r="BZ823" s="1" t="s">
        <v>209</v>
      </c>
      <c r="CA823" s="1" t="s">
        <v>210</v>
      </c>
      <c r="CB823" s="1" t="s">
        <v>239</v>
      </c>
      <c r="CC823" s="1" t="s">
        <v>332</v>
      </c>
      <c r="CD823" s="1" t="s">
        <v>206</v>
      </c>
      <c r="CE823" s="1" t="s">
        <v>207</v>
      </c>
      <c r="CF823" s="1" t="s">
        <v>239</v>
      </c>
      <c r="CG823" s="1" t="s">
        <v>497</v>
      </c>
      <c r="CH823" s="1" t="s">
        <v>209</v>
      </c>
      <c r="CI823" s="1" t="s">
        <v>210</v>
      </c>
      <c r="CK823" s="1" t="s">
        <v>495</v>
      </c>
      <c r="CL823" s="1" t="s">
        <v>209</v>
      </c>
      <c r="CM823" s="1" t="s">
        <v>210</v>
      </c>
      <c r="CO823" s="1" t="s">
        <v>433</v>
      </c>
      <c r="CP823" s="1" t="s">
        <v>42</v>
      </c>
      <c r="CQ823" s="1" t="s">
        <v>210</v>
      </c>
      <c r="CS823" s="1" t="s">
        <v>497</v>
      </c>
      <c r="CT823" s="1" t="s">
        <v>206</v>
      </c>
      <c r="CU823" s="1" t="s">
        <v>207</v>
      </c>
      <c r="CV823" s="1" t="s">
        <v>239</v>
      </c>
      <c r="CW823" s="1" t="s">
        <v>208</v>
      </c>
      <c r="CX823" s="1" t="s">
        <v>206</v>
      </c>
      <c r="CY823" s="1" t="s">
        <v>207</v>
      </c>
      <c r="CZ823" s="1" t="s">
        <v>239</v>
      </c>
      <c r="DA823" s="1" t="s">
        <v>200</v>
      </c>
      <c r="DC823" s="1" t="s">
        <v>335</v>
      </c>
      <c r="DD823" s="1" t="s">
        <v>217</v>
      </c>
      <c r="DE823" s="1" t="s">
        <v>273</v>
      </c>
      <c r="DF823" s="1" t="s">
        <v>619</v>
      </c>
      <c r="DG823" s="1" t="s">
        <v>4561</v>
      </c>
      <c r="DH823" s="1" t="s">
        <v>220</v>
      </c>
      <c r="DI823" s="1" t="s">
        <v>9609</v>
      </c>
      <c r="DJ823" s="1" t="s">
        <v>222</v>
      </c>
      <c r="DK823" s="1" t="s">
        <v>223</v>
      </c>
      <c r="DL823" s="1" t="s">
        <v>224</v>
      </c>
      <c r="DM823" s="1" t="s">
        <v>338</v>
      </c>
      <c r="DN823" s="1" t="s">
        <v>9610</v>
      </c>
      <c r="DO823" s="1" t="s">
        <v>9611</v>
      </c>
      <c r="DP823" s="1" t="s">
        <v>340</v>
      </c>
      <c r="DQ823" s="1" t="s">
        <v>441</v>
      </c>
      <c r="DR823" s="1" t="s">
        <v>3096</v>
      </c>
      <c r="DS823" s="1" t="s">
        <v>591</v>
      </c>
      <c r="DU823" s="1" t="s">
        <v>9612</v>
      </c>
      <c r="DV823" s="1" t="s">
        <v>9613</v>
      </c>
      <c r="DW823" s="1" t="s">
        <v>934</v>
      </c>
      <c r="DX823" s="1" t="s">
        <v>234</v>
      </c>
      <c r="DY823" s="1" t="s">
        <v>9614</v>
      </c>
      <c r="DZ823" s="1" t="s">
        <v>9615</v>
      </c>
      <c r="EA823" s="1" t="s">
        <v>344</v>
      </c>
      <c r="EB823" s="1" t="s">
        <v>8570</v>
      </c>
      <c r="EC823" s="1" t="s">
        <v>237</v>
      </c>
      <c r="ED823" s="1" t="s">
        <v>407</v>
      </c>
      <c r="EE823" s="1" t="s">
        <v>493</v>
      </c>
      <c r="EG823" s="1" t="s">
        <v>341</v>
      </c>
      <c r="EH823" s="1" t="s">
        <v>449</v>
      </c>
      <c r="EI823" s="1" t="s">
        <v>408</v>
      </c>
      <c r="EJ823" s="1" t="s">
        <v>450</v>
      </c>
      <c r="EK823" s="1" t="s">
        <v>451</v>
      </c>
      <c r="EL823" s="1" t="s">
        <v>331</v>
      </c>
      <c r="EM823" s="1" t="s">
        <v>209</v>
      </c>
      <c r="EN823" s="1" t="s">
        <v>207</v>
      </c>
      <c r="EP823" s="1" t="s">
        <v>1029</v>
      </c>
      <c r="EQ823" s="1" t="s">
        <v>206</v>
      </c>
      <c r="ER823" s="1" t="s">
        <v>207</v>
      </c>
      <c r="ES823" s="1" t="s">
        <v>239</v>
      </c>
      <c r="ET823" s="1" t="s">
        <v>939</v>
      </c>
      <c r="EU823" s="1" t="s">
        <v>206</v>
      </c>
      <c r="EV823" s="1" t="s">
        <v>207</v>
      </c>
      <c r="EW823" s="1" t="s">
        <v>239</v>
      </c>
      <c r="EX823" s="1" t="s">
        <v>758</v>
      </c>
      <c r="EY823" s="1" t="s">
        <v>42</v>
      </c>
      <c r="EZ823" s="1" t="s">
        <v>268</v>
      </c>
      <c r="FB823" s="1" t="s">
        <v>215</v>
      </c>
      <c r="FC823" s="1" t="s">
        <v>42</v>
      </c>
      <c r="FD823" s="1" t="s">
        <v>268</v>
      </c>
      <c r="FE823" s="1" t="s">
        <v>239</v>
      </c>
      <c r="FF823" s="1" t="s">
        <v>239</v>
      </c>
      <c r="FG823" s="1" t="s">
        <v>192</v>
      </c>
      <c r="FH823" s="1" t="s">
        <v>192</v>
      </c>
      <c r="FJ823" s="1" t="s">
        <v>6790</v>
      </c>
      <c r="FK823" s="1" t="s">
        <v>229</v>
      </c>
      <c r="FL823" s="1" t="s">
        <v>1007</v>
      </c>
      <c r="FM823" s="1">
        <v>23196.0</v>
      </c>
      <c r="FN823" s="1" t="s">
        <v>3741</v>
      </c>
      <c r="FO823" s="1" t="s">
        <v>9616</v>
      </c>
      <c r="FP823" s="1">
        <v>222428.0</v>
      </c>
      <c r="FQ823" s="1" t="s">
        <v>9617</v>
      </c>
      <c r="FU823" s="1" t="s">
        <v>9618</v>
      </c>
      <c r="FV823" s="1" t="s">
        <v>200</v>
      </c>
      <c r="FW823" s="1" t="s">
        <v>290</v>
      </c>
      <c r="FZ823" s="1" t="s">
        <v>229</v>
      </c>
      <c r="GA823" s="1" t="s">
        <v>291</v>
      </c>
      <c r="GB823" s="2">
        <v>42125.0</v>
      </c>
      <c r="GC823" s="1" t="s">
        <v>9619</v>
      </c>
    </row>
    <row r="824">
      <c r="A824" s="1">
        <v>29400.0</v>
      </c>
      <c r="B824" s="1" t="s">
        <v>185</v>
      </c>
      <c r="C824" s="1" t="str">
        <f>"08818594"</f>
        <v>08818594</v>
      </c>
      <c r="D824" s="1" t="s">
        <v>186</v>
      </c>
      <c r="F824" s="1" t="str">
        <f>"8069"</f>
        <v>8069</v>
      </c>
      <c r="G824" s="2">
        <v>42021.0</v>
      </c>
      <c r="H824" s="1">
        <v>24300.0</v>
      </c>
      <c r="I824" s="1">
        <v>831.0</v>
      </c>
      <c r="J824" s="1">
        <v>24300.0</v>
      </c>
      <c r="K824" s="2">
        <v>42037.0</v>
      </c>
      <c r="L824" s="1">
        <v>17.0</v>
      </c>
      <c r="M824" s="2">
        <v>42037.0</v>
      </c>
      <c r="N824" s="1" t="s">
        <v>249</v>
      </c>
      <c r="O824" s="2">
        <v>42065.0</v>
      </c>
      <c r="P824" s="1">
        <v>215155.0</v>
      </c>
      <c r="Q824" s="1">
        <v>25562.0</v>
      </c>
      <c r="S824" s="1">
        <v>7120.0</v>
      </c>
      <c r="T824" s="1" t="s">
        <v>8858</v>
      </c>
      <c r="U824" s="1" t="s">
        <v>189</v>
      </c>
      <c r="V824" s="1" t="s">
        <v>190</v>
      </c>
      <c r="W824" s="1">
        <v>60619.0</v>
      </c>
      <c r="X824" s="1">
        <v>1223.0</v>
      </c>
      <c r="Y824" s="1" t="s">
        <v>9620</v>
      </c>
      <c r="Z824" s="1">
        <v>1969.0</v>
      </c>
      <c r="AA824" s="1" t="s">
        <v>192</v>
      </c>
      <c r="AB824" s="1" t="s">
        <v>193</v>
      </c>
      <c r="AD824" s="1" t="s">
        <v>194</v>
      </c>
      <c r="AE824" s="1" t="s">
        <v>195</v>
      </c>
      <c r="AF824" s="1" t="s">
        <v>637</v>
      </c>
      <c r="AH824" s="1">
        <v>3115.0</v>
      </c>
      <c r="AI824" s="1">
        <v>0.0715</v>
      </c>
      <c r="AK824" s="1">
        <v>7.0</v>
      </c>
      <c r="AL824" s="1">
        <v>4.0</v>
      </c>
      <c r="AM824" s="1">
        <v>1.0</v>
      </c>
      <c r="AN824" s="1">
        <v>1.0</v>
      </c>
      <c r="AO824" s="1" t="s">
        <v>229</v>
      </c>
      <c r="AQ824" s="1" t="s">
        <v>198</v>
      </c>
      <c r="AR824" s="1" t="s">
        <v>200</v>
      </c>
      <c r="AS824" s="1" t="s">
        <v>828</v>
      </c>
      <c r="AU824" s="1">
        <v>2.0</v>
      </c>
      <c r="AV824" s="1" t="s">
        <v>200</v>
      </c>
      <c r="AW824" s="1">
        <v>1908.05</v>
      </c>
      <c r="AX824" s="1">
        <v>2012.0</v>
      </c>
      <c r="AY824" s="1" t="s">
        <v>387</v>
      </c>
      <c r="AZ824" s="1" t="s">
        <v>200</v>
      </c>
      <c r="BA824" s="1" t="str">
        <f>"20261000270000"</f>
        <v>20261000270000</v>
      </c>
      <c r="BC824" s="1">
        <v>988.0</v>
      </c>
      <c r="BD824" s="1">
        <v>29400.0</v>
      </c>
      <c r="BE824" s="2">
        <v>42021.0</v>
      </c>
      <c r="BF824" s="2" t="s">
        <v>9621</v>
      </c>
      <c r="BH824" s="1">
        <v>0.0</v>
      </c>
      <c r="BK824" s="1" t="s">
        <v>204</v>
      </c>
      <c r="BL824" s="1" t="str">
        <f>"0"</f>
        <v>0</v>
      </c>
      <c r="BM824" s="1" t="str">
        <f>"900"</f>
        <v>900</v>
      </c>
      <c r="BN824" s="1">
        <v>0.0</v>
      </c>
      <c r="BO824" s="1">
        <v>7120.0</v>
      </c>
      <c r="BQ824" s="1">
        <v>299.0</v>
      </c>
      <c r="BR824" s="1">
        <v>299.0</v>
      </c>
      <c r="BS824" s="1">
        <v>299.0</v>
      </c>
      <c r="BU824" s="1" t="s">
        <v>1397</v>
      </c>
      <c r="BV824" s="1" t="s">
        <v>206</v>
      </c>
      <c r="BW824" s="1" t="s">
        <v>210</v>
      </c>
      <c r="BY824" s="1" t="s">
        <v>815</v>
      </c>
      <c r="BZ824" s="1" t="s">
        <v>206</v>
      </c>
      <c r="CA824" s="1" t="s">
        <v>210</v>
      </c>
      <c r="CC824" s="1" t="s">
        <v>798</v>
      </c>
      <c r="CD824" s="1" t="s">
        <v>206</v>
      </c>
      <c r="CE824" s="1" t="s">
        <v>210</v>
      </c>
      <c r="CG824" s="1" t="s">
        <v>815</v>
      </c>
      <c r="CH824" s="1" t="s">
        <v>206</v>
      </c>
      <c r="CI824" s="1" t="s">
        <v>210</v>
      </c>
      <c r="CK824" s="1" t="s">
        <v>3182</v>
      </c>
      <c r="CL824" s="1" t="s">
        <v>206</v>
      </c>
      <c r="CM824" s="1" t="s">
        <v>210</v>
      </c>
      <c r="CO824" s="1" t="s">
        <v>1418</v>
      </c>
      <c r="CP824" s="1" t="s">
        <v>206</v>
      </c>
      <c r="CQ824" s="1" t="s">
        <v>210</v>
      </c>
      <c r="CS824" s="1" t="s">
        <v>1418</v>
      </c>
      <c r="CT824" s="1" t="s">
        <v>206</v>
      </c>
      <c r="CU824" s="1" t="s">
        <v>617</v>
      </c>
      <c r="CX824" s="1" t="s">
        <v>204</v>
      </c>
      <c r="DA824" s="1" t="s">
        <v>200</v>
      </c>
      <c r="DC824" s="1" t="s">
        <v>517</v>
      </c>
      <c r="DD824" s="1" t="s">
        <v>306</v>
      </c>
      <c r="DE824" s="1" t="s">
        <v>229</v>
      </c>
      <c r="DF824" s="1" t="s">
        <v>619</v>
      </c>
      <c r="DH824" s="1" t="s">
        <v>220</v>
      </c>
      <c r="DJ824" s="1" t="s">
        <v>222</v>
      </c>
      <c r="DL824" s="1" t="s">
        <v>858</v>
      </c>
      <c r="DM824" s="1" t="s">
        <v>229</v>
      </c>
      <c r="DO824" s="1" t="s">
        <v>549</v>
      </c>
      <c r="DP824" s="1" t="s">
        <v>340</v>
      </c>
      <c r="DQ824" s="1" t="s">
        <v>228</v>
      </c>
      <c r="DR824" s="1" t="s">
        <v>229</v>
      </c>
      <c r="DS824" s="1" t="s">
        <v>5569</v>
      </c>
      <c r="DV824" s="1" t="s">
        <v>232</v>
      </c>
      <c r="DW824" s="1" t="s">
        <v>279</v>
      </c>
      <c r="DX824" s="1" t="s">
        <v>8861</v>
      </c>
      <c r="EA824" s="1" t="s">
        <v>1302</v>
      </c>
      <c r="EC824" s="1" t="s">
        <v>311</v>
      </c>
      <c r="EF824" s="1" t="s">
        <v>9622</v>
      </c>
      <c r="EM824" s="1" t="s">
        <v>238</v>
      </c>
      <c r="EQ824" s="1" t="s">
        <v>238</v>
      </c>
      <c r="EU824" s="1" t="s">
        <v>238</v>
      </c>
      <c r="EY824" s="1" t="s">
        <v>238</v>
      </c>
      <c r="FC824" s="1" t="s">
        <v>238</v>
      </c>
      <c r="FF824" s="1" t="s">
        <v>239</v>
      </c>
      <c r="FG824" s="1" t="s">
        <v>192</v>
      </c>
      <c r="FH824" s="1" t="s">
        <v>192</v>
      </c>
      <c r="FJ824" s="1" t="s">
        <v>2658</v>
      </c>
      <c r="FK824" s="1" t="s">
        <v>229</v>
      </c>
      <c r="FL824" s="1" t="s">
        <v>2659</v>
      </c>
      <c r="FM824" s="1">
        <v>25562.0</v>
      </c>
      <c r="FN824" s="1" t="s">
        <v>2660</v>
      </c>
      <c r="FO824" s="1" t="s">
        <v>2661</v>
      </c>
      <c r="FP824" s="1">
        <v>215155.0</v>
      </c>
      <c r="FQ824" s="1" t="s">
        <v>2660</v>
      </c>
      <c r="FU824" s="1" t="s">
        <v>9623</v>
      </c>
      <c r="FV824" s="1" t="s">
        <v>200</v>
      </c>
      <c r="FW824" s="1" t="s">
        <v>8863</v>
      </c>
      <c r="FX824" s="1" t="s">
        <v>655</v>
      </c>
      <c r="FZ824" s="1" t="s">
        <v>229</v>
      </c>
      <c r="GA824" s="1" t="s">
        <v>291</v>
      </c>
      <c r="GB824" s="2">
        <v>42071.0</v>
      </c>
      <c r="GC824" s="1" t="s">
        <v>2663</v>
      </c>
    </row>
    <row r="825">
      <c r="A825" s="1">
        <v>460000.0</v>
      </c>
      <c r="B825" s="1" t="s">
        <v>185</v>
      </c>
      <c r="C825" s="1" t="str">
        <f>"08816183"</f>
        <v>08816183</v>
      </c>
      <c r="D825" s="1" t="s">
        <v>186</v>
      </c>
      <c r="F825" s="1" t="str">
        <f>"10"</f>
        <v>10</v>
      </c>
      <c r="G825" s="2">
        <v>42018.0</v>
      </c>
      <c r="H825" s="1">
        <v>449000.0</v>
      </c>
      <c r="I825" s="1">
        <v>13.0</v>
      </c>
      <c r="J825" s="1">
        <v>449000.0</v>
      </c>
      <c r="K825" s="2">
        <v>42030.0</v>
      </c>
      <c r="L825" s="1">
        <v>13.0</v>
      </c>
      <c r="M825" s="2">
        <v>42030.0</v>
      </c>
      <c r="N825" s="1" t="s">
        <v>187</v>
      </c>
      <c r="O825" s="2">
        <v>42062.0</v>
      </c>
      <c r="P825" s="1">
        <v>878271.0</v>
      </c>
      <c r="Q825" s="1">
        <v>84077.0</v>
      </c>
      <c r="S825" s="1">
        <v>300.0</v>
      </c>
      <c r="T825" s="1" t="s">
        <v>9624</v>
      </c>
      <c r="U825" s="1" t="s">
        <v>464</v>
      </c>
      <c r="V825" s="1" t="s">
        <v>1706</v>
      </c>
      <c r="W825" s="1">
        <v>60010.0</v>
      </c>
      <c r="Y825" s="1" t="s">
        <v>9625</v>
      </c>
      <c r="Z825" s="1">
        <v>1967.0</v>
      </c>
      <c r="AA825" s="1" t="s">
        <v>192</v>
      </c>
      <c r="AB825" s="1" t="s">
        <v>467</v>
      </c>
      <c r="AC825" s="1" t="s">
        <v>4556</v>
      </c>
      <c r="AD825" s="1" t="s">
        <v>1948</v>
      </c>
      <c r="AE825" s="1" t="s">
        <v>195</v>
      </c>
      <c r="AF825" s="1" t="s">
        <v>1708</v>
      </c>
      <c r="AG825" s="1" t="s">
        <v>9626</v>
      </c>
      <c r="AH825" s="1" t="s">
        <v>9627</v>
      </c>
      <c r="AI825" s="1">
        <v>0.43</v>
      </c>
      <c r="AK825" s="1">
        <v>8.0</v>
      </c>
      <c r="AL825" s="1">
        <v>4.0</v>
      </c>
      <c r="AM825" s="1">
        <v>2.0</v>
      </c>
      <c r="AN825" s="1">
        <v>1.0</v>
      </c>
      <c r="AO825" s="1" t="s">
        <v>198</v>
      </c>
      <c r="AP825" s="1">
        <v>1.0</v>
      </c>
      <c r="AQ825" s="1" t="s">
        <v>198</v>
      </c>
      <c r="AR825" s="1" t="s">
        <v>200</v>
      </c>
      <c r="AS825" s="1" t="s">
        <v>199</v>
      </c>
      <c r="AT825" s="1">
        <v>2.0</v>
      </c>
      <c r="AV825" s="1" t="s">
        <v>200</v>
      </c>
      <c r="AW825" s="1">
        <v>8886.22</v>
      </c>
      <c r="AX825" s="1">
        <v>2013.0</v>
      </c>
      <c r="AZ825" s="1" t="s">
        <v>200</v>
      </c>
      <c r="BA825" s="1" t="str">
        <f>"02061060110000"</f>
        <v>02061060110000</v>
      </c>
      <c r="BC825" s="1">
        <v>2908.0</v>
      </c>
      <c r="BD825" s="1">
        <v>460000.0</v>
      </c>
      <c r="BE825" s="2">
        <v>42018.0</v>
      </c>
      <c r="BF825" s="2" t="s">
        <v>9628</v>
      </c>
      <c r="BG825" s="1" t="s">
        <v>1712</v>
      </c>
      <c r="BH825" s="1">
        <v>882.0</v>
      </c>
      <c r="BI825" s="1" t="s">
        <v>5243</v>
      </c>
      <c r="BJ825" s="1" t="s">
        <v>1714</v>
      </c>
      <c r="BK825" s="1" t="s">
        <v>580</v>
      </c>
      <c r="BL825" s="1" t="str">
        <f t="shared" ref="BL825:BM825" si="542">""</f>
        <v/>
      </c>
      <c r="BM825" s="1" t="str">
        <f t="shared" si="542"/>
        <v/>
      </c>
      <c r="BQ825" s="1">
        <v>220.0</v>
      </c>
      <c r="BR825" s="1">
        <v>220.0</v>
      </c>
      <c r="BS825" s="1">
        <v>220.0</v>
      </c>
      <c r="BU825" s="1" t="s">
        <v>5582</v>
      </c>
      <c r="BV825" s="1" t="s">
        <v>206</v>
      </c>
      <c r="BW825" s="1" t="s">
        <v>210</v>
      </c>
      <c r="BX825" s="1" t="s">
        <v>1549</v>
      </c>
      <c r="BY825" s="1" t="s">
        <v>1483</v>
      </c>
      <c r="BZ825" s="1" t="s">
        <v>209</v>
      </c>
      <c r="CA825" s="1" t="s">
        <v>210</v>
      </c>
      <c r="CB825" s="1" t="s">
        <v>1549</v>
      </c>
      <c r="CC825" s="1" t="s">
        <v>329</v>
      </c>
      <c r="CD825" s="1" t="s">
        <v>206</v>
      </c>
      <c r="CE825" s="1" t="s">
        <v>207</v>
      </c>
      <c r="CF825" s="1" t="s">
        <v>1549</v>
      </c>
      <c r="CG825" s="1" t="s">
        <v>454</v>
      </c>
      <c r="CH825" s="1" t="s">
        <v>209</v>
      </c>
      <c r="CI825" s="1" t="s">
        <v>210</v>
      </c>
      <c r="CJ825" s="1" t="s">
        <v>1549</v>
      </c>
      <c r="CK825" s="1" t="s">
        <v>433</v>
      </c>
      <c r="CL825" s="1" t="s">
        <v>209</v>
      </c>
      <c r="CM825" s="1" t="s">
        <v>210</v>
      </c>
      <c r="CN825" s="1" t="s">
        <v>1549</v>
      </c>
      <c r="CO825" s="1" t="s">
        <v>212</v>
      </c>
      <c r="CP825" s="1" t="s">
        <v>209</v>
      </c>
      <c r="CQ825" s="1" t="s">
        <v>210</v>
      </c>
      <c r="CR825" s="1" t="s">
        <v>1549</v>
      </c>
      <c r="CS825" s="1" t="s">
        <v>2414</v>
      </c>
      <c r="CT825" s="1" t="s">
        <v>206</v>
      </c>
      <c r="CU825" s="1" t="s">
        <v>617</v>
      </c>
      <c r="CV825" s="1" t="s">
        <v>229</v>
      </c>
      <c r="CW825" s="1" t="s">
        <v>955</v>
      </c>
      <c r="CX825" s="1" t="s">
        <v>206</v>
      </c>
      <c r="CY825" s="1" t="s">
        <v>207</v>
      </c>
      <c r="CZ825" s="1" t="s">
        <v>1549</v>
      </c>
      <c r="DA825" s="1" t="s">
        <v>200</v>
      </c>
      <c r="DC825" s="1" t="s">
        <v>517</v>
      </c>
      <c r="DD825" s="1" t="s">
        <v>396</v>
      </c>
      <c r="DE825" s="1" t="s">
        <v>273</v>
      </c>
      <c r="DF825" s="1" t="s">
        <v>219</v>
      </c>
      <c r="DH825" s="1" t="s">
        <v>220</v>
      </c>
      <c r="DJ825" s="1" t="s">
        <v>222</v>
      </c>
      <c r="DK825" s="1" t="s">
        <v>223</v>
      </c>
      <c r="DL825" s="1" t="s">
        <v>223</v>
      </c>
      <c r="DM825" s="1" t="s">
        <v>1919</v>
      </c>
      <c r="DN825" s="1" t="s">
        <v>1319</v>
      </c>
      <c r="DP825" s="1" t="s">
        <v>340</v>
      </c>
      <c r="DQ825" s="1" t="s">
        <v>441</v>
      </c>
      <c r="DR825" s="1" t="s">
        <v>588</v>
      </c>
      <c r="DV825" s="1" t="s">
        <v>9629</v>
      </c>
      <c r="DW825" s="1" t="s">
        <v>8064</v>
      </c>
      <c r="DX825" s="1" t="s">
        <v>234</v>
      </c>
      <c r="DY825" s="1" t="s">
        <v>6583</v>
      </c>
      <c r="EA825" s="1" t="s">
        <v>447</v>
      </c>
      <c r="EC825" s="1" t="s">
        <v>237</v>
      </c>
      <c r="EG825" s="1" t="s">
        <v>310</v>
      </c>
      <c r="EH825" s="1" t="s">
        <v>1102</v>
      </c>
      <c r="EL825" s="1" t="s">
        <v>2182</v>
      </c>
      <c r="EM825" s="1" t="s">
        <v>206</v>
      </c>
      <c r="EN825" s="1" t="s">
        <v>588</v>
      </c>
      <c r="EP825" s="1" t="s">
        <v>639</v>
      </c>
      <c r="EQ825" s="1" t="s">
        <v>206</v>
      </c>
      <c r="ER825" s="1" t="s">
        <v>207</v>
      </c>
      <c r="ES825" s="1" t="s">
        <v>431</v>
      </c>
      <c r="EU825" s="1" t="s">
        <v>238</v>
      </c>
      <c r="EY825" s="1" t="s">
        <v>238</v>
      </c>
      <c r="FC825" s="1" t="s">
        <v>238</v>
      </c>
      <c r="FF825" s="1" t="s">
        <v>239</v>
      </c>
      <c r="FG825" s="1" t="s">
        <v>192</v>
      </c>
      <c r="FH825" s="1" t="s">
        <v>192</v>
      </c>
      <c r="FJ825" s="1" t="s">
        <v>9630</v>
      </c>
      <c r="FK825" s="1" t="s">
        <v>229</v>
      </c>
      <c r="FL825" s="1" t="s">
        <v>9631</v>
      </c>
      <c r="FM825" s="1">
        <v>2643.0</v>
      </c>
      <c r="FN825" s="1" t="s">
        <v>9632</v>
      </c>
      <c r="FO825" s="1" t="s">
        <v>9633</v>
      </c>
      <c r="FP825" s="1">
        <v>11508.0</v>
      </c>
      <c r="FQ825" s="1" t="s">
        <v>9634</v>
      </c>
      <c r="FS825" s="1" t="s">
        <v>9635</v>
      </c>
      <c r="FU825" s="1" t="s">
        <v>9636</v>
      </c>
      <c r="FV825" s="1" t="s">
        <v>200</v>
      </c>
      <c r="FW825" s="1" t="s">
        <v>1411</v>
      </c>
      <c r="FZ825" s="1" t="s">
        <v>229</v>
      </c>
      <c r="GA825" s="1" t="s">
        <v>291</v>
      </c>
      <c r="GB825" s="2">
        <v>42065.0</v>
      </c>
      <c r="GC825" s="1" t="s">
        <v>9637</v>
      </c>
    </row>
    <row r="826">
      <c r="A826" s="1">
        <v>151000.0</v>
      </c>
      <c r="B826" s="1" t="s">
        <v>185</v>
      </c>
      <c r="C826" s="1" t="str">
        <f>"08817515"</f>
        <v>08817515</v>
      </c>
      <c r="D826" s="1" t="s">
        <v>186</v>
      </c>
      <c r="F826" s="1" t="str">
        <f>"8015"</f>
        <v>8015</v>
      </c>
      <c r="G826" s="2">
        <v>42019.0</v>
      </c>
      <c r="H826" s="1">
        <v>156900.0</v>
      </c>
      <c r="I826" s="1">
        <v>32.0</v>
      </c>
      <c r="J826" s="1">
        <v>156900.0</v>
      </c>
      <c r="K826" s="2">
        <v>42048.0</v>
      </c>
      <c r="L826" s="1">
        <v>32.0</v>
      </c>
      <c r="M826" s="2">
        <v>42048.0</v>
      </c>
      <c r="N826" s="1" t="s">
        <v>249</v>
      </c>
      <c r="O826" s="2">
        <v>42072.0</v>
      </c>
      <c r="P826" s="1">
        <v>158902.0</v>
      </c>
      <c r="Q826" s="1">
        <v>85273.0</v>
      </c>
      <c r="S826" s="1">
        <v>4631.0</v>
      </c>
      <c r="T826" s="1" t="s">
        <v>712</v>
      </c>
      <c r="U826" s="1" t="s">
        <v>320</v>
      </c>
      <c r="V826" s="1" t="s">
        <v>190</v>
      </c>
      <c r="W826" s="1">
        <v>60641.0</v>
      </c>
      <c r="Y826" s="1" t="s">
        <v>9638</v>
      </c>
      <c r="Z826" s="1">
        <v>1918.0</v>
      </c>
      <c r="AA826" s="1" t="s">
        <v>192</v>
      </c>
      <c r="AB826" s="1" t="s">
        <v>193</v>
      </c>
      <c r="AD826" s="1" t="s">
        <v>194</v>
      </c>
      <c r="AE826" s="1" t="s">
        <v>195</v>
      </c>
      <c r="AF826" s="1" t="s">
        <v>196</v>
      </c>
      <c r="AH826" s="1">
        <v>3630.0</v>
      </c>
      <c r="AI826" s="1">
        <v>0.0833</v>
      </c>
      <c r="AK826" s="1">
        <v>7.0</v>
      </c>
      <c r="AL826" s="1">
        <v>4.0</v>
      </c>
      <c r="AM826" s="1">
        <v>2.0</v>
      </c>
      <c r="AN826" s="1">
        <v>0.0</v>
      </c>
      <c r="AO826" s="1" t="s">
        <v>229</v>
      </c>
      <c r="AQ826" s="1" t="s">
        <v>198</v>
      </c>
      <c r="AR826" s="1" t="s">
        <v>192</v>
      </c>
      <c r="AS826" s="1" t="s">
        <v>199</v>
      </c>
      <c r="AT826" s="1">
        <v>2.0</v>
      </c>
      <c r="AV826" s="1" t="s">
        <v>200</v>
      </c>
      <c r="AW826" s="1">
        <v>3472.93</v>
      </c>
      <c r="AX826" s="1">
        <v>2013.0</v>
      </c>
      <c r="AZ826" s="1" t="s">
        <v>200</v>
      </c>
      <c r="BA826" s="1" t="str">
        <f>"13223020020000"</f>
        <v>13223020020000</v>
      </c>
      <c r="BC826" s="1">
        <v>1200.0</v>
      </c>
      <c r="BD826" s="1">
        <v>151000.0</v>
      </c>
      <c r="BE826" s="2">
        <v>42017.0</v>
      </c>
      <c r="BF826" s="1" t="s">
        <v>9639</v>
      </c>
      <c r="BH826" s="1">
        <v>0.0</v>
      </c>
      <c r="BK826" s="1" t="s">
        <v>204</v>
      </c>
      <c r="BL826" s="1" t="str">
        <f>"3600"</f>
        <v>3600</v>
      </c>
      <c r="BM826" s="1" t="str">
        <f>"0"</f>
        <v>0</v>
      </c>
      <c r="BN826" s="1">
        <v>4631.0</v>
      </c>
      <c r="BO826" s="1">
        <v>0.0</v>
      </c>
      <c r="BQ826" s="1">
        <v>299.0</v>
      </c>
      <c r="BR826" s="1">
        <v>299.0</v>
      </c>
      <c r="BS826" s="1">
        <v>299.0</v>
      </c>
      <c r="BU826" s="1" t="s">
        <v>211</v>
      </c>
      <c r="BV826" s="1" t="s">
        <v>206</v>
      </c>
      <c r="BY826" s="1" t="s">
        <v>212</v>
      </c>
      <c r="BZ826" s="1" t="s">
        <v>206</v>
      </c>
      <c r="CC826" s="1" t="s">
        <v>215</v>
      </c>
      <c r="CD826" s="1" t="s">
        <v>206</v>
      </c>
      <c r="CG826" s="1" t="s">
        <v>212</v>
      </c>
      <c r="CH826" s="1" t="s">
        <v>206</v>
      </c>
      <c r="CK826" s="1" t="s">
        <v>264</v>
      </c>
      <c r="CL826" s="1" t="s">
        <v>114</v>
      </c>
      <c r="CO826" s="1" t="s">
        <v>516</v>
      </c>
      <c r="CP826" s="1" t="s">
        <v>114</v>
      </c>
      <c r="CS826" s="1" t="s">
        <v>212</v>
      </c>
      <c r="CT826" s="1" t="s">
        <v>206</v>
      </c>
      <c r="CX826" s="1" t="s">
        <v>204</v>
      </c>
      <c r="DA826" s="1" t="s">
        <v>200</v>
      </c>
      <c r="DC826" s="1" t="s">
        <v>216</v>
      </c>
      <c r="DE826" s="1" t="s">
        <v>229</v>
      </c>
      <c r="DF826" s="1" t="s">
        <v>619</v>
      </c>
      <c r="DH826" s="1" t="s">
        <v>365</v>
      </c>
      <c r="DJ826" s="1" t="s">
        <v>222</v>
      </c>
      <c r="DL826" s="1" t="s">
        <v>858</v>
      </c>
      <c r="DM826" s="1" t="s">
        <v>229</v>
      </c>
      <c r="DQ826" s="1" t="s">
        <v>718</v>
      </c>
      <c r="DR826" s="1" t="s">
        <v>229</v>
      </c>
      <c r="DV826" s="1" t="s">
        <v>232</v>
      </c>
      <c r="DW826" s="1" t="s">
        <v>370</v>
      </c>
      <c r="DX826" s="1" t="s">
        <v>234</v>
      </c>
      <c r="EC826" s="1" t="s">
        <v>645</v>
      </c>
      <c r="EM826" s="1" t="s">
        <v>238</v>
      </c>
      <c r="EQ826" s="1" t="s">
        <v>238</v>
      </c>
      <c r="EU826" s="1" t="s">
        <v>238</v>
      </c>
      <c r="EY826" s="1" t="s">
        <v>238</v>
      </c>
      <c r="FC826" s="1" t="s">
        <v>238</v>
      </c>
      <c r="FF826" s="1" t="s">
        <v>239</v>
      </c>
      <c r="FG826" s="1" t="s">
        <v>200</v>
      </c>
      <c r="FH826" s="1" t="s">
        <v>192</v>
      </c>
      <c r="FJ826" s="1" t="s">
        <v>347</v>
      </c>
      <c r="FK826" s="1" t="s">
        <v>229</v>
      </c>
      <c r="FL826" s="1" t="s">
        <v>3674</v>
      </c>
      <c r="FM826" s="1">
        <v>85213.0</v>
      </c>
      <c r="FN826" s="1" t="s">
        <v>3675</v>
      </c>
      <c r="FO826" s="1" t="s">
        <v>3676</v>
      </c>
      <c r="FP826" s="1">
        <v>167287.0</v>
      </c>
      <c r="FQ826" s="1" t="s">
        <v>3677</v>
      </c>
      <c r="FU826" s="1" t="s">
        <v>3678</v>
      </c>
      <c r="FV826" s="1" t="s">
        <v>200</v>
      </c>
      <c r="FW826" s="1" t="s">
        <v>631</v>
      </c>
      <c r="FX826" s="1" t="s">
        <v>246</v>
      </c>
      <c r="FZ826" s="1" t="s">
        <v>229</v>
      </c>
      <c r="GA826" s="1" t="s">
        <v>291</v>
      </c>
      <c r="GB826" s="2">
        <v>42074.0</v>
      </c>
      <c r="GC826" s="1" t="s">
        <v>9640</v>
      </c>
    </row>
    <row r="827">
      <c r="A827" s="1">
        <v>219500.0</v>
      </c>
      <c r="B827" s="1" t="s">
        <v>185</v>
      </c>
      <c r="C827" s="1" t="str">
        <f>"08814588"</f>
        <v>08814588</v>
      </c>
      <c r="D827" s="1" t="s">
        <v>186</v>
      </c>
      <c r="F827" s="1" t="str">
        <f>"140"</f>
        <v>140</v>
      </c>
      <c r="G827" s="2">
        <v>42016.0</v>
      </c>
      <c r="H827" s="1">
        <v>224900.0</v>
      </c>
      <c r="I827" s="1">
        <v>17.0</v>
      </c>
      <c r="J827" s="1">
        <v>224900.0</v>
      </c>
      <c r="K827" s="2">
        <v>42032.0</v>
      </c>
      <c r="L827" s="1">
        <v>17.0</v>
      </c>
      <c r="M827" s="2">
        <v>42032.0</v>
      </c>
      <c r="N827" s="1" t="s">
        <v>249</v>
      </c>
      <c r="O827" s="2">
        <v>42066.0</v>
      </c>
      <c r="P827" s="1">
        <v>84524.0</v>
      </c>
      <c r="Q827" s="1">
        <v>8256.0</v>
      </c>
      <c r="S827" s="1">
        <v>680.0</v>
      </c>
      <c r="T827" s="1" t="s">
        <v>9641</v>
      </c>
      <c r="U827" s="1" t="s">
        <v>1174</v>
      </c>
      <c r="V827" s="1" t="s">
        <v>4858</v>
      </c>
      <c r="W827" s="1">
        <v>60140.0</v>
      </c>
      <c r="Y827" s="1" t="s">
        <v>9642</v>
      </c>
      <c r="Z827" s="1">
        <v>2011.0</v>
      </c>
      <c r="AA827" s="1" t="s">
        <v>200</v>
      </c>
      <c r="AB827" s="1" t="s">
        <v>467</v>
      </c>
      <c r="AD827" s="1" t="s">
        <v>4860</v>
      </c>
      <c r="AE827" s="1" t="s">
        <v>325</v>
      </c>
      <c r="AF827" s="1" t="s">
        <v>3429</v>
      </c>
      <c r="AG827" s="1" t="s">
        <v>9643</v>
      </c>
      <c r="AH827" s="1" t="s">
        <v>9644</v>
      </c>
      <c r="AK827" s="1">
        <v>9.0</v>
      </c>
      <c r="AL827" s="1">
        <v>4.0</v>
      </c>
      <c r="AM827" s="1">
        <v>2.0</v>
      </c>
      <c r="AN827" s="1">
        <v>1.0</v>
      </c>
      <c r="AO827" s="1" t="s">
        <v>198</v>
      </c>
      <c r="AQ827" s="1" t="s">
        <v>198</v>
      </c>
      <c r="AR827" s="1" t="s">
        <v>200</v>
      </c>
      <c r="AS827" s="1" t="s">
        <v>199</v>
      </c>
      <c r="AT827" s="1">
        <v>2.0</v>
      </c>
      <c r="AV827" s="1" t="s">
        <v>200</v>
      </c>
      <c r="AW827" s="1">
        <v>6362.16</v>
      </c>
      <c r="AX827" s="1">
        <v>2013.0</v>
      </c>
      <c r="AY827" s="1" t="s">
        <v>387</v>
      </c>
      <c r="AZ827" s="1" t="s">
        <v>200</v>
      </c>
      <c r="BA827" s="1" t="str">
        <f>"0233159009"</f>
        <v>0233159009</v>
      </c>
      <c r="BC827" s="1">
        <v>2142.0</v>
      </c>
      <c r="BD827" s="1">
        <v>219500.0</v>
      </c>
      <c r="BE827" s="2">
        <v>42016.0</v>
      </c>
      <c r="BF827" s="2" t="s">
        <v>9645</v>
      </c>
      <c r="BG827" s="1" t="s">
        <v>6193</v>
      </c>
      <c r="BH827" s="1">
        <v>65.0</v>
      </c>
      <c r="BI827" s="1" t="s">
        <v>5040</v>
      </c>
      <c r="BJ827" s="1" t="s">
        <v>1182</v>
      </c>
      <c r="BK827" s="1" t="s">
        <v>474</v>
      </c>
      <c r="BL827" s="1" t="str">
        <f t="shared" ref="BL827:BM827" si="543">""</f>
        <v/>
      </c>
      <c r="BM827" s="1" t="str">
        <f t="shared" si="543"/>
        <v/>
      </c>
      <c r="BP827" s="1" t="s">
        <v>9646</v>
      </c>
      <c r="BQ827" s="1">
        <v>300.0</v>
      </c>
      <c r="BR827" s="1">
        <v>300.0</v>
      </c>
      <c r="BS827" s="1">
        <v>300.0</v>
      </c>
      <c r="BU827" s="1" t="s">
        <v>264</v>
      </c>
      <c r="BV827" s="1" t="s">
        <v>206</v>
      </c>
      <c r="BW827" s="1" t="s">
        <v>210</v>
      </c>
      <c r="BX827" s="1" t="s">
        <v>239</v>
      </c>
      <c r="BY827" s="1" t="s">
        <v>208</v>
      </c>
      <c r="BZ827" s="1" t="s">
        <v>209</v>
      </c>
      <c r="CA827" s="1" t="s">
        <v>210</v>
      </c>
      <c r="CB827" s="1" t="s">
        <v>239</v>
      </c>
      <c r="CC827" s="1" t="s">
        <v>729</v>
      </c>
      <c r="CD827" s="1" t="s">
        <v>206</v>
      </c>
      <c r="CE827" s="1" t="s">
        <v>210</v>
      </c>
      <c r="CF827" s="1" t="s">
        <v>239</v>
      </c>
      <c r="CG827" s="1" t="s">
        <v>495</v>
      </c>
      <c r="CH827" s="1" t="s">
        <v>209</v>
      </c>
      <c r="CI827" s="1" t="s">
        <v>210</v>
      </c>
      <c r="CJ827" s="1" t="s">
        <v>239</v>
      </c>
      <c r="CK827" s="1" t="s">
        <v>699</v>
      </c>
      <c r="CL827" s="1" t="s">
        <v>209</v>
      </c>
      <c r="CM827" s="1" t="s">
        <v>210</v>
      </c>
      <c r="CN827" s="1" t="s">
        <v>239</v>
      </c>
      <c r="CO827" s="1" t="s">
        <v>269</v>
      </c>
      <c r="CP827" s="1" t="s">
        <v>209</v>
      </c>
      <c r="CQ827" s="1" t="s">
        <v>210</v>
      </c>
      <c r="CR827" s="1" t="s">
        <v>239</v>
      </c>
      <c r="CS827" s="1" t="s">
        <v>1397</v>
      </c>
      <c r="CT827" s="1" t="s">
        <v>206</v>
      </c>
      <c r="CU827" s="1" t="s">
        <v>617</v>
      </c>
      <c r="CV827" s="1" t="s">
        <v>239</v>
      </c>
      <c r="CW827" s="1" t="s">
        <v>582</v>
      </c>
      <c r="CX827" s="1" t="s">
        <v>206</v>
      </c>
      <c r="CY827" s="1" t="s">
        <v>210</v>
      </c>
      <c r="CZ827" s="1" t="s">
        <v>239</v>
      </c>
      <c r="DA827" s="1" t="s">
        <v>200</v>
      </c>
      <c r="DC827" s="1" t="s">
        <v>1046</v>
      </c>
      <c r="DD827" s="1" t="s">
        <v>518</v>
      </c>
      <c r="DE827" s="1" t="s">
        <v>273</v>
      </c>
      <c r="DF827" s="1" t="s">
        <v>219</v>
      </c>
      <c r="DG827" s="1" t="s">
        <v>5669</v>
      </c>
      <c r="DH827" s="1" t="s">
        <v>220</v>
      </c>
      <c r="DI827" s="1" t="s">
        <v>397</v>
      </c>
      <c r="DJ827" s="1" t="s">
        <v>222</v>
      </c>
      <c r="DL827" s="1" t="s">
        <v>223</v>
      </c>
      <c r="DM827" s="1" t="s">
        <v>1268</v>
      </c>
      <c r="DN827" s="1" t="s">
        <v>485</v>
      </c>
      <c r="DO827" s="1" t="s">
        <v>486</v>
      </c>
      <c r="DP827" s="1" t="s">
        <v>276</v>
      </c>
      <c r="DQ827" s="1" t="s">
        <v>228</v>
      </c>
      <c r="DR827" s="1" t="s">
        <v>1980</v>
      </c>
      <c r="DS827" s="1" t="s">
        <v>230</v>
      </c>
      <c r="DU827" s="1" t="s">
        <v>487</v>
      </c>
      <c r="DV827" s="1" t="s">
        <v>341</v>
      </c>
      <c r="DW827" s="1" t="s">
        <v>233</v>
      </c>
      <c r="DX827" s="1" t="s">
        <v>234</v>
      </c>
      <c r="DY827" s="1" t="s">
        <v>3075</v>
      </c>
      <c r="DZ827" s="1" t="s">
        <v>1661</v>
      </c>
      <c r="EC827" s="1" t="s">
        <v>237</v>
      </c>
      <c r="ED827" s="1" t="s">
        <v>407</v>
      </c>
      <c r="EE827" s="1" t="s">
        <v>1077</v>
      </c>
      <c r="EG827" s="1" t="s">
        <v>341</v>
      </c>
      <c r="EL827" s="1" t="s">
        <v>264</v>
      </c>
      <c r="EM827" s="1" t="s">
        <v>209</v>
      </c>
      <c r="EN827" s="1" t="s">
        <v>210</v>
      </c>
      <c r="EO827" s="1" t="s">
        <v>239</v>
      </c>
      <c r="EQ827" s="1" t="s">
        <v>238</v>
      </c>
      <c r="EU827" s="1" t="s">
        <v>238</v>
      </c>
      <c r="EY827" s="1" t="s">
        <v>238</v>
      </c>
      <c r="FC827" s="1" t="s">
        <v>238</v>
      </c>
      <c r="FF827" s="1" t="s">
        <v>239</v>
      </c>
      <c r="FG827" s="1" t="s">
        <v>192</v>
      </c>
      <c r="FH827" s="1" t="s">
        <v>192</v>
      </c>
      <c r="FJ827" s="1" t="s">
        <v>9647</v>
      </c>
      <c r="FK827" s="1" t="s">
        <v>229</v>
      </c>
      <c r="FL827" s="1" t="s">
        <v>2226</v>
      </c>
      <c r="FM827" s="1">
        <v>25309.0</v>
      </c>
      <c r="FN827" s="1" t="s">
        <v>9648</v>
      </c>
      <c r="FO827" s="1" t="s">
        <v>9649</v>
      </c>
      <c r="FP827" s="1">
        <v>214605.0</v>
      </c>
      <c r="FQ827" s="1" t="s">
        <v>9650</v>
      </c>
      <c r="FS827" s="1" t="s">
        <v>9651</v>
      </c>
      <c r="FU827" s="1" t="s">
        <v>9652</v>
      </c>
      <c r="FV827" s="1" t="s">
        <v>200</v>
      </c>
      <c r="FW827" s="1" t="s">
        <v>530</v>
      </c>
      <c r="FZ827" s="1" t="s">
        <v>632</v>
      </c>
      <c r="GA827" s="1" t="s">
        <v>291</v>
      </c>
      <c r="GB827" s="2">
        <v>42072.0</v>
      </c>
      <c r="GC827" s="1" t="s">
        <v>9653</v>
      </c>
    </row>
    <row r="828">
      <c r="A828" s="1">
        <v>33000.0</v>
      </c>
      <c r="B828" s="1" t="s">
        <v>185</v>
      </c>
      <c r="C828" s="1" t="str">
        <f>"08816022"</f>
        <v>08816022</v>
      </c>
      <c r="D828" s="1" t="s">
        <v>186</v>
      </c>
      <c r="F828" s="1" t="str">
        <f>"8045"</f>
        <v>8045</v>
      </c>
      <c r="G828" s="2">
        <v>42018.0</v>
      </c>
      <c r="H828" s="1">
        <v>39000.0</v>
      </c>
      <c r="I828" s="1">
        <v>49.0</v>
      </c>
      <c r="J828" s="1">
        <v>39000.0</v>
      </c>
      <c r="K828" s="2">
        <v>42065.0</v>
      </c>
      <c r="L828" s="1">
        <v>49.0</v>
      </c>
      <c r="M828" s="2">
        <v>42065.0</v>
      </c>
      <c r="N828" s="1" t="s">
        <v>249</v>
      </c>
      <c r="O828" s="2">
        <v>42101.0</v>
      </c>
      <c r="P828" s="1">
        <v>186281.0</v>
      </c>
      <c r="Q828" s="1">
        <v>85730.0</v>
      </c>
      <c r="S828" s="1">
        <v>8448.0</v>
      </c>
      <c r="T828" s="1" t="s">
        <v>5423</v>
      </c>
      <c r="U828" s="1" t="s">
        <v>1442</v>
      </c>
      <c r="V828" s="1" t="s">
        <v>190</v>
      </c>
      <c r="W828" s="1">
        <v>60617.0</v>
      </c>
      <c r="X828" s="1">
        <v>2264.0</v>
      </c>
      <c r="Y828" s="1" t="s">
        <v>9654</v>
      </c>
      <c r="Z828" s="1">
        <v>1889.0</v>
      </c>
      <c r="AA828" s="1" t="s">
        <v>192</v>
      </c>
      <c r="AB828" s="1" t="s">
        <v>193</v>
      </c>
      <c r="AD828" s="1" t="s">
        <v>194</v>
      </c>
      <c r="AE828" s="1" t="s">
        <v>195</v>
      </c>
      <c r="AF828" s="1" t="s">
        <v>637</v>
      </c>
      <c r="AH828" s="1" t="s">
        <v>2080</v>
      </c>
      <c r="AI828" s="1">
        <v>0.14</v>
      </c>
      <c r="AK828" s="1">
        <v>6.0</v>
      </c>
      <c r="AL828" s="1">
        <v>4.0</v>
      </c>
      <c r="AM828" s="1">
        <v>2.0</v>
      </c>
      <c r="AN828" s="1">
        <v>0.0</v>
      </c>
      <c r="AO828" s="1" t="s">
        <v>229</v>
      </c>
      <c r="AQ828" s="1" t="s">
        <v>198</v>
      </c>
      <c r="AR828" s="1" t="s">
        <v>200</v>
      </c>
      <c r="AS828" s="1" t="s">
        <v>199</v>
      </c>
      <c r="AT828" s="1">
        <v>2.0</v>
      </c>
      <c r="AV828" s="1" t="s">
        <v>200</v>
      </c>
      <c r="AW828" s="1">
        <v>2471.41</v>
      </c>
      <c r="AX828" s="1">
        <v>2012.0</v>
      </c>
      <c r="AZ828" s="1" t="s">
        <v>200</v>
      </c>
      <c r="BA828" s="1" t="str">
        <f>"20363150360000"</f>
        <v>20363150360000</v>
      </c>
      <c r="BB828" s="1" t="s">
        <v>192</v>
      </c>
      <c r="BC828" s="1">
        <v>1909.0</v>
      </c>
      <c r="BD828" s="1">
        <v>33000.0</v>
      </c>
      <c r="BE828" s="2">
        <v>42017.0</v>
      </c>
      <c r="BF828" s="2" t="s">
        <v>9655</v>
      </c>
      <c r="BH828" s="1">
        <v>0.0</v>
      </c>
      <c r="BK828" s="1" t="s">
        <v>204</v>
      </c>
      <c r="BL828" s="1" t="str">
        <f>"0"</f>
        <v>0</v>
      </c>
      <c r="BM828" s="1" t="str">
        <f>"2000"</f>
        <v>2000</v>
      </c>
      <c r="BN828" s="1">
        <v>0.0</v>
      </c>
      <c r="BO828" s="1">
        <v>8448.0</v>
      </c>
      <c r="BQ828" s="1">
        <v>299.0</v>
      </c>
      <c r="BR828" s="1">
        <v>299.0</v>
      </c>
      <c r="BS828" s="1">
        <v>299.0</v>
      </c>
      <c r="BU828" s="1" t="s">
        <v>9656</v>
      </c>
      <c r="BV828" s="1" t="s">
        <v>206</v>
      </c>
      <c r="BY828" s="1" t="s">
        <v>433</v>
      </c>
      <c r="BZ828" s="1" t="s">
        <v>206</v>
      </c>
      <c r="CD828" s="1" t="s">
        <v>204</v>
      </c>
      <c r="CG828" s="1" t="s">
        <v>264</v>
      </c>
      <c r="CH828" s="1" t="s">
        <v>209</v>
      </c>
      <c r="CK828" s="1" t="s">
        <v>264</v>
      </c>
      <c r="CL828" s="1" t="s">
        <v>209</v>
      </c>
      <c r="CO828" s="1" t="s">
        <v>269</v>
      </c>
      <c r="CP828" s="1" t="s">
        <v>209</v>
      </c>
      <c r="CS828" s="1" t="s">
        <v>1119</v>
      </c>
      <c r="CT828" s="1" t="s">
        <v>206</v>
      </c>
      <c r="CX828" s="1" t="s">
        <v>204</v>
      </c>
      <c r="DA828" s="1" t="s">
        <v>200</v>
      </c>
      <c r="DC828" s="1" t="s">
        <v>642</v>
      </c>
      <c r="DE828" s="1" t="s">
        <v>229</v>
      </c>
      <c r="DF828" s="1" t="s">
        <v>619</v>
      </c>
      <c r="DH828" s="1" t="s">
        <v>365</v>
      </c>
      <c r="DJ828" s="1" t="s">
        <v>222</v>
      </c>
      <c r="DL828" s="1" t="s">
        <v>223</v>
      </c>
      <c r="DM828" s="1" t="s">
        <v>229</v>
      </c>
      <c r="DQ828" s="1" t="s">
        <v>228</v>
      </c>
      <c r="DR828" s="1" t="s">
        <v>229</v>
      </c>
      <c r="DV828" s="1" t="s">
        <v>588</v>
      </c>
      <c r="DW828" s="1" t="s">
        <v>9657</v>
      </c>
      <c r="DX828" s="1" t="s">
        <v>234</v>
      </c>
      <c r="EC828" s="1" t="s">
        <v>237</v>
      </c>
      <c r="EG828" s="1" t="s">
        <v>588</v>
      </c>
      <c r="EL828" s="1" t="s">
        <v>9658</v>
      </c>
      <c r="EM828" s="1" t="s">
        <v>42</v>
      </c>
      <c r="EQ828" s="1" t="s">
        <v>238</v>
      </c>
      <c r="EU828" s="1" t="s">
        <v>238</v>
      </c>
      <c r="EY828" s="1" t="s">
        <v>238</v>
      </c>
      <c r="FC828" s="1" t="s">
        <v>238</v>
      </c>
      <c r="FF828" s="1" t="s">
        <v>239</v>
      </c>
      <c r="FG828" s="1" t="s">
        <v>192</v>
      </c>
      <c r="FH828" s="1" t="s">
        <v>192</v>
      </c>
      <c r="FJ828" s="1" t="s">
        <v>9659</v>
      </c>
      <c r="FK828" s="1" t="s">
        <v>229</v>
      </c>
      <c r="FL828" s="1" t="s">
        <v>9660</v>
      </c>
      <c r="FM828" s="1">
        <v>12703.0</v>
      </c>
      <c r="FN828" s="1" t="s">
        <v>9661</v>
      </c>
      <c r="FO828" s="1" t="s">
        <v>9662</v>
      </c>
      <c r="FP828" s="1">
        <v>127550.0</v>
      </c>
      <c r="FQ828" s="1" t="s">
        <v>9661</v>
      </c>
      <c r="FS828" s="1" t="s">
        <v>9663</v>
      </c>
      <c r="FU828" s="1" t="s">
        <v>9664</v>
      </c>
      <c r="FV828" s="1" t="s">
        <v>200</v>
      </c>
      <c r="FW828" s="1" t="s">
        <v>2754</v>
      </c>
      <c r="FX828" s="1" t="s">
        <v>655</v>
      </c>
      <c r="FZ828" s="1" t="s">
        <v>229</v>
      </c>
      <c r="GA828" s="1" t="s">
        <v>291</v>
      </c>
      <c r="GB828" s="2">
        <v>42103.0</v>
      </c>
      <c r="GC828" s="1" t="s">
        <v>9665</v>
      </c>
    </row>
    <row r="829">
      <c r="A829" s="1">
        <v>215000.0</v>
      </c>
      <c r="B829" s="1" t="s">
        <v>185</v>
      </c>
      <c r="C829" s="1" t="str">
        <f>"08818979"</f>
        <v>08818979</v>
      </c>
      <c r="D829" s="1" t="s">
        <v>186</v>
      </c>
      <c r="F829" s="1" t="str">
        <f>"119"</f>
        <v>119</v>
      </c>
      <c r="G829" s="2">
        <v>42023.0</v>
      </c>
      <c r="H829" s="1">
        <v>229900.0</v>
      </c>
      <c r="I829" s="1">
        <v>41.0</v>
      </c>
      <c r="J829" s="1">
        <v>229900.0</v>
      </c>
      <c r="K829" s="2">
        <v>42062.0</v>
      </c>
      <c r="L829" s="1">
        <v>41.0</v>
      </c>
      <c r="M829" s="2">
        <v>42062.0</v>
      </c>
      <c r="N829" s="1" t="s">
        <v>187</v>
      </c>
      <c r="O829" s="2">
        <v>42095.0</v>
      </c>
      <c r="P829" s="1">
        <v>60.0</v>
      </c>
      <c r="Q829" s="1">
        <v>890.0</v>
      </c>
      <c r="S829" s="1">
        <v>1003.0</v>
      </c>
      <c r="T829" s="1" t="s">
        <v>6473</v>
      </c>
      <c r="U829" s="1" t="s">
        <v>320</v>
      </c>
      <c r="V829" s="1" t="s">
        <v>1476</v>
      </c>
      <c r="W829" s="1">
        <v>60119.0</v>
      </c>
      <c r="Y829" s="1" t="s">
        <v>9666</v>
      </c>
      <c r="Z829" s="1">
        <v>2004.0</v>
      </c>
      <c r="AA829" s="1" t="s">
        <v>200</v>
      </c>
      <c r="AB829" s="1" t="s">
        <v>193</v>
      </c>
      <c r="AD829" s="1" t="s">
        <v>1478</v>
      </c>
      <c r="AE829" s="1" t="s">
        <v>325</v>
      </c>
      <c r="AF829" s="1" t="s">
        <v>1479</v>
      </c>
      <c r="AH829" s="1">
        <v>8476.0</v>
      </c>
      <c r="AK829" s="1">
        <v>8.0</v>
      </c>
      <c r="AL829" s="1">
        <v>4.0</v>
      </c>
      <c r="AM829" s="1">
        <v>2.0</v>
      </c>
      <c r="AN829" s="1">
        <v>1.0</v>
      </c>
      <c r="AO829" s="1" t="s">
        <v>198</v>
      </c>
      <c r="AP829" s="1">
        <v>1.0</v>
      </c>
      <c r="AQ829" s="1" t="s">
        <v>198</v>
      </c>
      <c r="AR829" s="1" t="s">
        <v>200</v>
      </c>
      <c r="AS829" s="1" t="s">
        <v>199</v>
      </c>
      <c r="AT829" s="1">
        <v>2.0</v>
      </c>
      <c r="AV829" s="1" t="s">
        <v>200</v>
      </c>
      <c r="AW829" s="1">
        <v>6711.0</v>
      </c>
      <c r="AX829" s="1">
        <v>2013.0</v>
      </c>
      <c r="AZ829" s="1" t="s">
        <v>200</v>
      </c>
      <c r="BA829" s="1" t="str">
        <f>"1108130004"</f>
        <v>1108130004</v>
      </c>
      <c r="BC829" s="1">
        <v>2486.0</v>
      </c>
      <c r="BD829" s="1">
        <v>215000.0</v>
      </c>
      <c r="BE829" s="2">
        <v>42022.0</v>
      </c>
      <c r="BF829" s="2" t="s">
        <v>9667</v>
      </c>
      <c r="BH829" s="1">
        <v>0.0</v>
      </c>
      <c r="BK829" s="1" t="s">
        <v>204</v>
      </c>
      <c r="BL829" s="1" t="str">
        <f t="shared" ref="BL829:BM829" si="544">""</f>
        <v/>
      </c>
      <c r="BM829" s="1" t="str">
        <f t="shared" si="544"/>
        <v/>
      </c>
      <c r="BQ829" s="1">
        <v>302.0</v>
      </c>
      <c r="BR829" s="1">
        <v>302.0</v>
      </c>
      <c r="BS829" s="1">
        <v>302.0</v>
      </c>
      <c r="BU829" s="1" t="s">
        <v>1352</v>
      </c>
      <c r="BV829" s="1" t="s">
        <v>206</v>
      </c>
      <c r="BY829" s="1" t="s">
        <v>3784</v>
      </c>
      <c r="BZ829" s="1" t="s">
        <v>209</v>
      </c>
      <c r="CC829" s="1" t="s">
        <v>1316</v>
      </c>
      <c r="CD829" s="1" t="s">
        <v>206</v>
      </c>
      <c r="CG829" s="1" t="s">
        <v>1064</v>
      </c>
      <c r="CH829" s="1" t="s">
        <v>209</v>
      </c>
      <c r="CK829" s="1" t="s">
        <v>2459</v>
      </c>
      <c r="CL829" s="1" t="s">
        <v>209</v>
      </c>
      <c r="CO829" s="1" t="s">
        <v>1417</v>
      </c>
      <c r="CP829" s="1" t="s">
        <v>209</v>
      </c>
      <c r="CS829" s="1" t="s">
        <v>3989</v>
      </c>
      <c r="CT829" s="1" t="s">
        <v>206</v>
      </c>
      <c r="CW829" s="1" t="s">
        <v>1350</v>
      </c>
      <c r="CX829" s="1" t="s">
        <v>206</v>
      </c>
      <c r="DA829" s="1" t="s">
        <v>200</v>
      </c>
      <c r="DC829" s="1" t="s">
        <v>335</v>
      </c>
      <c r="DE829" s="1" t="s">
        <v>273</v>
      </c>
      <c r="DF829" s="1" t="s">
        <v>219</v>
      </c>
      <c r="DH829" s="1" t="s">
        <v>220</v>
      </c>
      <c r="DJ829" s="1" t="s">
        <v>222</v>
      </c>
      <c r="DL829" s="1" t="s">
        <v>223</v>
      </c>
      <c r="DM829" s="1" t="s">
        <v>229</v>
      </c>
      <c r="DQ829" s="1" t="s">
        <v>228</v>
      </c>
      <c r="DR829" s="1" t="s">
        <v>229</v>
      </c>
      <c r="DV829" s="1" t="s">
        <v>232</v>
      </c>
      <c r="DW829" s="1" t="s">
        <v>233</v>
      </c>
      <c r="DX829" s="1" t="s">
        <v>234</v>
      </c>
      <c r="EC829" s="1" t="s">
        <v>237</v>
      </c>
      <c r="EM829" s="1" t="s">
        <v>238</v>
      </c>
      <c r="EQ829" s="1" t="s">
        <v>238</v>
      </c>
      <c r="EU829" s="1" t="s">
        <v>238</v>
      </c>
      <c r="EY829" s="1" t="s">
        <v>238</v>
      </c>
      <c r="FC829" s="1" t="s">
        <v>238</v>
      </c>
      <c r="FF829" s="1" t="s">
        <v>239</v>
      </c>
      <c r="FG829" s="1" t="s">
        <v>192</v>
      </c>
      <c r="FH829" s="1" t="s">
        <v>192</v>
      </c>
      <c r="FJ829" s="1" t="s">
        <v>770</v>
      </c>
      <c r="FK829" s="1" t="s">
        <v>229</v>
      </c>
      <c r="FL829" s="1" t="s">
        <v>5844</v>
      </c>
      <c r="FM829" s="1">
        <v>93084.0</v>
      </c>
      <c r="FN829" s="1" t="s">
        <v>5845</v>
      </c>
      <c r="FO829" s="1" t="s">
        <v>6830</v>
      </c>
      <c r="FP829" s="1">
        <v>930228.0</v>
      </c>
      <c r="FQ829" s="1" t="s">
        <v>6831</v>
      </c>
      <c r="FU829" s="1" t="s">
        <v>6832</v>
      </c>
      <c r="FV829" s="1" t="s">
        <v>200</v>
      </c>
      <c r="FW829" s="1" t="s">
        <v>3082</v>
      </c>
      <c r="FZ829" s="1" t="s">
        <v>229</v>
      </c>
      <c r="GA829" s="1" t="s">
        <v>291</v>
      </c>
      <c r="GB829" s="2">
        <v>42096.0</v>
      </c>
      <c r="GC829" s="1" t="s">
        <v>9668</v>
      </c>
    </row>
    <row r="830">
      <c r="A830" s="1">
        <v>172500.0</v>
      </c>
      <c r="B830" s="1" t="s">
        <v>185</v>
      </c>
      <c r="C830" s="1" t="str">
        <f>"08815251"</f>
        <v>08815251</v>
      </c>
      <c r="D830" s="1" t="s">
        <v>186</v>
      </c>
      <c r="F830" s="1" t="str">
        <f>"103"</f>
        <v>103</v>
      </c>
      <c r="G830" s="2">
        <v>42017.0</v>
      </c>
      <c r="H830" s="1">
        <v>169000.0</v>
      </c>
      <c r="I830" s="1">
        <v>44.0</v>
      </c>
      <c r="J830" s="1">
        <v>164000.0</v>
      </c>
      <c r="K830" s="2">
        <v>42060.0</v>
      </c>
      <c r="L830" s="1">
        <v>44.0</v>
      </c>
      <c r="M830" s="2">
        <v>42060.0</v>
      </c>
      <c r="N830" s="1" t="s">
        <v>187</v>
      </c>
      <c r="O830" s="2">
        <v>42111.0</v>
      </c>
      <c r="P830" s="1">
        <v>237821.0</v>
      </c>
      <c r="Q830" s="1">
        <v>24702.0</v>
      </c>
      <c r="R830" s="1">
        <v>5000.0</v>
      </c>
      <c r="S830" s="1">
        <v>7026.0</v>
      </c>
      <c r="T830" s="1" t="s">
        <v>9669</v>
      </c>
      <c r="U830" s="1" t="s">
        <v>320</v>
      </c>
      <c r="V830" s="1" t="s">
        <v>251</v>
      </c>
      <c r="W830" s="1">
        <v>60133.0</v>
      </c>
      <c r="Y830" s="1" t="s">
        <v>9670</v>
      </c>
      <c r="Z830" s="1">
        <v>1969.0</v>
      </c>
      <c r="AA830" s="1" t="s">
        <v>192</v>
      </c>
      <c r="AB830" s="1" t="s">
        <v>193</v>
      </c>
      <c r="AD830" s="1" t="s">
        <v>254</v>
      </c>
      <c r="AE830" s="1" t="s">
        <v>195</v>
      </c>
      <c r="AF830" s="1" t="s">
        <v>298</v>
      </c>
      <c r="AG830" s="1" t="s">
        <v>9671</v>
      </c>
      <c r="AH830" s="1" t="s">
        <v>4038</v>
      </c>
      <c r="AK830" s="1">
        <v>7.0</v>
      </c>
      <c r="AL830" s="1">
        <v>4.0</v>
      </c>
      <c r="AM830" s="1">
        <v>2.0</v>
      </c>
      <c r="AN830" s="1">
        <v>0.0</v>
      </c>
      <c r="AO830" s="1" t="s">
        <v>229</v>
      </c>
      <c r="AQ830" s="1" t="s">
        <v>472</v>
      </c>
      <c r="AR830" s="1" t="s">
        <v>192</v>
      </c>
      <c r="AS830" s="1" t="s">
        <v>199</v>
      </c>
      <c r="AT830" s="1">
        <v>2.0</v>
      </c>
      <c r="AV830" s="1" t="s">
        <v>200</v>
      </c>
      <c r="AW830" s="1">
        <v>4734.0</v>
      </c>
      <c r="AX830" s="1">
        <v>2013.0</v>
      </c>
      <c r="AZ830" s="1" t="s">
        <v>200</v>
      </c>
      <c r="BA830" s="1" t="str">
        <f>"06361110030000"</f>
        <v>06361110030000</v>
      </c>
      <c r="BB830" s="1" t="s">
        <v>200</v>
      </c>
      <c r="BC830" s="1">
        <v>1300.0</v>
      </c>
      <c r="BD830" s="1">
        <v>172500.0</v>
      </c>
      <c r="BE830" s="2">
        <v>42017.0</v>
      </c>
      <c r="BF830" s="2" t="s">
        <v>9672</v>
      </c>
      <c r="BH830" s="1">
        <v>0.0</v>
      </c>
      <c r="BK830" s="1" t="s">
        <v>204</v>
      </c>
      <c r="BL830" s="1" t="str">
        <f t="shared" ref="BL830:BM830" si="545">"0"</f>
        <v>0</v>
      </c>
      <c r="BM830" s="1" t="str">
        <f t="shared" si="545"/>
        <v>0</v>
      </c>
      <c r="BN830" s="1">
        <v>0.0</v>
      </c>
      <c r="BO830" s="1">
        <v>0.0</v>
      </c>
      <c r="BQ830" s="1">
        <v>46.0</v>
      </c>
      <c r="BR830" s="1">
        <v>46.0</v>
      </c>
      <c r="BS830" s="1">
        <v>46.0</v>
      </c>
      <c r="BU830" s="1" t="s">
        <v>262</v>
      </c>
      <c r="BV830" s="1" t="s">
        <v>206</v>
      </c>
      <c r="BW830" s="1" t="s">
        <v>210</v>
      </c>
      <c r="BY830" s="1" t="s">
        <v>497</v>
      </c>
      <c r="BZ830" s="1" t="s">
        <v>206</v>
      </c>
      <c r="CA830" s="1" t="s">
        <v>210</v>
      </c>
      <c r="CD830" s="1" t="s">
        <v>204</v>
      </c>
      <c r="CG830" s="1" t="s">
        <v>269</v>
      </c>
      <c r="CH830" s="1" t="s">
        <v>206</v>
      </c>
      <c r="CI830" s="1" t="s">
        <v>210</v>
      </c>
      <c r="CK830" s="1" t="s">
        <v>264</v>
      </c>
      <c r="CL830" s="1" t="s">
        <v>267</v>
      </c>
      <c r="CM830" s="1" t="s">
        <v>210</v>
      </c>
      <c r="CO830" s="1" t="s">
        <v>264</v>
      </c>
      <c r="CP830" s="1" t="s">
        <v>267</v>
      </c>
      <c r="CQ830" s="1" t="s">
        <v>210</v>
      </c>
      <c r="CS830" s="1" t="s">
        <v>647</v>
      </c>
      <c r="CT830" s="1" t="s">
        <v>206</v>
      </c>
      <c r="CU830" s="1" t="s">
        <v>1136</v>
      </c>
      <c r="CW830" s="1" t="s">
        <v>390</v>
      </c>
      <c r="CX830" s="1" t="s">
        <v>267</v>
      </c>
      <c r="CY830" s="1" t="s">
        <v>268</v>
      </c>
      <c r="DA830" s="1" t="s">
        <v>200</v>
      </c>
      <c r="DC830" s="1" t="s">
        <v>517</v>
      </c>
      <c r="DD830" s="1" t="s">
        <v>518</v>
      </c>
      <c r="DE830" s="1" t="s">
        <v>273</v>
      </c>
      <c r="DF830" s="1" t="s">
        <v>219</v>
      </c>
      <c r="DG830" s="1" t="s">
        <v>482</v>
      </c>
      <c r="DH830" s="1" t="s">
        <v>365</v>
      </c>
      <c r="DI830" s="1" t="s">
        <v>2970</v>
      </c>
      <c r="DJ830" s="1" t="s">
        <v>222</v>
      </c>
      <c r="DL830" s="1" t="s">
        <v>224</v>
      </c>
      <c r="DM830" s="1" t="s">
        <v>338</v>
      </c>
      <c r="DO830" s="1" t="s">
        <v>549</v>
      </c>
      <c r="DQ830" s="1" t="s">
        <v>228</v>
      </c>
      <c r="DR830" s="1" t="s">
        <v>229</v>
      </c>
      <c r="DS830" s="1" t="s">
        <v>230</v>
      </c>
      <c r="DV830" s="1" t="s">
        <v>232</v>
      </c>
      <c r="DW830" s="1" t="s">
        <v>934</v>
      </c>
      <c r="DX830" s="1" t="s">
        <v>309</v>
      </c>
      <c r="DZ830" s="1" t="s">
        <v>1074</v>
      </c>
      <c r="EA830" s="1" t="s">
        <v>554</v>
      </c>
      <c r="EC830" s="1" t="s">
        <v>311</v>
      </c>
      <c r="EM830" s="1" t="s">
        <v>238</v>
      </c>
      <c r="EQ830" s="1" t="s">
        <v>238</v>
      </c>
      <c r="EU830" s="1" t="s">
        <v>238</v>
      </c>
      <c r="EY830" s="1" t="s">
        <v>238</v>
      </c>
      <c r="FC830" s="1" t="s">
        <v>238</v>
      </c>
      <c r="FF830" s="1" t="s">
        <v>239</v>
      </c>
      <c r="FG830" s="1" t="s">
        <v>192</v>
      </c>
      <c r="FH830" s="1" t="s">
        <v>192</v>
      </c>
      <c r="FJ830" s="1" t="s">
        <v>5628</v>
      </c>
      <c r="FK830" s="1" t="s">
        <v>348</v>
      </c>
      <c r="FL830" s="1" t="s">
        <v>1877</v>
      </c>
      <c r="FM830" s="1">
        <v>24695.0</v>
      </c>
      <c r="FN830" s="1" t="s">
        <v>1878</v>
      </c>
      <c r="FO830" s="1" t="s">
        <v>9673</v>
      </c>
      <c r="FP830" s="1">
        <v>228623.0</v>
      </c>
      <c r="FQ830" s="1" t="s">
        <v>9674</v>
      </c>
      <c r="FU830" s="1" t="s">
        <v>6936</v>
      </c>
      <c r="FV830" s="1" t="s">
        <v>200</v>
      </c>
      <c r="FW830" s="1" t="s">
        <v>9675</v>
      </c>
      <c r="FZ830" s="1" t="s">
        <v>229</v>
      </c>
      <c r="GA830" s="1" t="s">
        <v>291</v>
      </c>
      <c r="GB830" s="2">
        <v>42114.0</v>
      </c>
      <c r="GC830" s="1" t="s">
        <v>9676</v>
      </c>
    </row>
    <row r="831">
      <c r="A831" s="1">
        <v>389900.0</v>
      </c>
      <c r="B831" s="1" t="s">
        <v>185</v>
      </c>
      <c r="C831" s="1" t="str">
        <f>"08208171"</f>
        <v>08208171</v>
      </c>
      <c r="D831" s="1" t="s">
        <v>186</v>
      </c>
      <c r="F831" s="1" t="str">
        <f>"177"</f>
        <v>177</v>
      </c>
      <c r="G831" s="2">
        <v>41207.0</v>
      </c>
      <c r="H831" s="1">
        <v>429900.0</v>
      </c>
      <c r="I831" s="1">
        <v>297.0</v>
      </c>
      <c r="J831" s="1">
        <v>389999.0</v>
      </c>
      <c r="K831" s="2">
        <v>41503.0</v>
      </c>
      <c r="L831" s="1">
        <v>297.0</v>
      </c>
      <c r="M831" s="2">
        <v>41503.0</v>
      </c>
      <c r="N831" s="1" t="s">
        <v>634</v>
      </c>
      <c r="O831" s="2">
        <v>42118.0</v>
      </c>
      <c r="P831" s="1">
        <v>231049.0</v>
      </c>
      <c r="Q831" s="1">
        <v>25266.0</v>
      </c>
      <c r="S831" s="1">
        <v>2175.0</v>
      </c>
      <c r="T831" s="1" t="s">
        <v>4444</v>
      </c>
      <c r="U831" s="1" t="s">
        <v>569</v>
      </c>
      <c r="V831" s="1" t="s">
        <v>2249</v>
      </c>
      <c r="W831" s="1">
        <v>60177.0</v>
      </c>
      <c r="Y831" s="1" t="s">
        <v>9677</v>
      </c>
      <c r="Z831" s="1">
        <v>1999.0</v>
      </c>
      <c r="AA831" s="1" t="s">
        <v>200</v>
      </c>
      <c r="AB831" s="1" t="s">
        <v>193</v>
      </c>
      <c r="AC831" s="1" t="s">
        <v>4508</v>
      </c>
      <c r="AD831" s="1" t="s">
        <v>2252</v>
      </c>
      <c r="AE831" s="1" t="s">
        <v>325</v>
      </c>
      <c r="AF831" s="1" t="s">
        <v>1203</v>
      </c>
      <c r="AH831" s="1" t="s">
        <v>9678</v>
      </c>
      <c r="AK831" s="1">
        <v>11.0</v>
      </c>
      <c r="AL831" s="1">
        <v>4.0</v>
      </c>
      <c r="AM831" s="1">
        <v>3.0</v>
      </c>
      <c r="AN831" s="1">
        <v>1.0</v>
      </c>
      <c r="AO831" s="1" t="s">
        <v>198</v>
      </c>
      <c r="AP831" s="1">
        <v>2.0</v>
      </c>
      <c r="AQ831" s="1" t="s">
        <v>198</v>
      </c>
      <c r="AR831" s="1" t="s">
        <v>200</v>
      </c>
      <c r="AS831" s="1" t="s">
        <v>199</v>
      </c>
      <c r="AT831" s="1">
        <v>2.0</v>
      </c>
      <c r="AV831" s="1" t="s">
        <v>200</v>
      </c>
      <c r="AW831" s="1">
        <v>9616.62</v>
      </c>
      <c r="AX831" s="1">
        <v>2011.0</v>
      </c>
      <c r="AY831" s="1" t="s">
        <v>387</v>
      </c>
      <c r="AZ831" s="1" t="s">
        <v>192</v>
      </c>
      <c r="BA831" s="1" t="str">
        <f>"0905454001"</f>
        <v>0905454001</v>
      </c>
      <c r="BC831" s="1">
        <v>3200.0</v>
      </c>
      <c r="BD831" s="1">
        <v>389900.0</v>
      </c>
      <c r="BE831" s="2">
        <v>41207.0</v>
      </c>
      <c r="BF831" s="2" t="s">
        <v>9679</v>
      </c>
      <c r="BH831" s="1">
        <v>117.0</v>
      </c>
      <c r="BK831" s="1" t="s">
        <v>1952</v>
      </c>
      <c r="BL831" s="1" t="str">
        <f>"3"</f>
        <v>3</v>
      </c>
      <c r="BM831" s="1" t="str">
        <f t="shared" ref="BM831:BM832" si="546">"0"</f>
        <v>0</v>
      </c>
      <c r="BN831" s="1">
        <v>37.0</v>
      </c>
      <c r="BO831" s="1">
        <v>0.0</v>
      </c>
      <c r="BQ831" s="1">
        <v>303.0</v>
      </c>
      <c r="BR831" s="1">
        <v>303.0</v>
      </c>
      <c r="BS831" s="1">
        <v>303.0</v>
      </c>
      <c r="BU831" s="1" t="s">
        <v>454</v>
      </c>
      <c r="BV831" s="1" t="s">
        <v>206</v>
      </c>
      <c r="BW831" s="1" t="s">
        <v>210</v>
      </c>
      <c r="BX831" s="1" t="s">
        <v>476</v>
      </c>
      <c r="BY831" s="1" t="s">
        <v>3817</v>
      </c>
      <c r="BZ831" s="1" t="s">
        <v>209</v>
      </c>
      <c r="CA831" s="1" t="s">
        <v>210</v>
      </c>
      <c r="CB831" s="1" t="s">
        <v>476</v>
      </c>
      <c r="CC831" s="1" t="s">
        <v>331</v>
      </c>
      <c r="CD831" s="1" t="s">
        <v>206</v>
      </c>
      <c r="CE831" s="1" t="s">
        <v>207</v>
      </c>
      <c r="CF831" s="1" t="s">
        <v>431</v>
      </c>
      <c r="CG831" s="1" t="s">
        <v>363</v>
      </c>
      <c r="CH831" s="1" t="s">
        <v>209</v>
      </c>
      <c r="CI831" s="1" t="s">
        <v>210</v>
      </c>
      <c r="CJ831" s="1" t="s">
        <v>431</v>
      </c>
      <c r="CK831" s="1" t="s">
        <v>264</v>
      </c>
      <c r="CL831" s="1" t="s">
        <v>209</v>
      </c>
      <c r="CM831" s="1" t="s">
        <v>210</v>
      </c>
      <c r="CN831" s="1" t="s">
        <v>431</v>
      </c>
      <c r="CO831" s="1" t="s">
        <v>215</v>
      </c>
      <c r="CP831" s="1" t="s">
        <v>209</v>
      </c>
      <c r="CQ831" s="1" t="s">
        <v>210</v>
      </c>
      <c r="CR831" s="1" t="s">
        <v>476</v>
      </c>
      <c r="CS831" s="1" t="s">
        <v>1534</v>
      </c>
      <c r="CT831" s="1" t="s">
        <v>206</v>
      </c>
      <c r="CU831" s="1" t="s">
        <v>207</v>
      </c>
      <c r="CW831" s="1" t="s">
        <v>1534</v>
      </c>
      <c r="CX831" s="1" t="s">
        <v>206</v>
      </c>
      <c r="CY831" s="1" t="s">
        <v>210</v>
      </c>
      <c r="DA831" s="1" t="s">
        <v>200</v>
      </c>
      <c r="DC831" s="1" t="s">
        <v>335</v>
      </c>
      <c r="DD831" s="1" t="s">
        <v>3633</v>
      </c>
      <c r="DE831" s="1" t="s">
        <v>273</v>
      </c>
      <c r="DF831" s="1" t="s">
        <v>619</v>
      </c>
      <c r="DH831" s="1" t="s">
        <v>220</v>
      </c>
      <c r="DI831" s="1" t="s">
        <v>9680</v>
      </c>
      <c r="DJ831" s="1" t="s">
        <v>222</v>
      </c>
      <c r="DL831" s="1" t="s">
        <v>224</v>
      </c>
      <c r="DM831" s="1" t="s">
        <v>338</v>
      </c>
      <c r="DN831" s="1" t="s">
        <v>399</v>
      </c>
      <c r="DP831" s="1" t="s">
        <v>340</v>
      </c>
      <c r="DQ831" s="1" t="s">
        <v>441</v>
      </c>
      <c r="DR831" s="1" t="s">
        <v>2593</v>
      </c>
      <c r="DV831" s="1" t="s">
        <v>9681</v>
      </c>
      <c r="DW831" s="1" t="s">
        <v>1820</v>
      </c>
      <c r="DX831" s="1" t="s">
        <v>234</v>
      </c>
      <c r="EB831" s="1" t="s">
        <v>684</v>
      </c>
      <c r="EC831" s="1" t="s">
        <v>237</v>
      </c>
      <c r="EG831" s="1" t="s">
        <v>449</v>
      </c>
      <c r="EH831" s="1" t="s">
        <v>494</v>
      </c>
      <c r="EI831" s="1" t="s">
        <v>450</v>
      </c>
      <c r="EJ831" s="1" t="s">
        <v>588</v>
      </c>
      <c r="EL831" s="1" t="s">
        <v>331</v>
      </c>
      <c r="EM831" s="1" t="s">
        <v>206</v>
      </c>
      <c r="EN831" s="1" t="s">
        <v>268</v>
      </c>
      <c r="EO831" s="1" t="s">
        <v>431</v>
      </c>
      <c r="EP831" s="1" t="s">
        <v>729</v>
      </c>
      <c r="EQ831" s="1" t="s">
        <v>206</v>
      </c>
      <c r="ER831" s="1" t="s">
        <v>207</v>
      </c>
      <c r="ES831" s="1" t="s">
        <v>431</v>
      </c>
      <c r="ET831" s="1" t="s">
        <v>2205</v>
      </c>
      <c r="EU831" s="1" t="s">
        <v>42</v>
      </c>
      <c r="EV831" s="1" t="s">
        <v>210</v>
      </c>
      <c r="EX831" s="1" t="s">
        <v>1117</v>
      </c>
      <c r="EY831" s="1" t="s">
        <v>42</v>
      </c>
      <c r="EZ831" s="1" t="s">
        <v>210</v>
      </c>
      <c r="FC831" s="1" t="s">
        <v>238</v>
      </c>
      <c r="FF831" s="1" t="s">
        <v>239</v>
      </c>
      <c r="FG831" s="1" t="s">
        <v>192</v>
      </c>
      <c r="FH831" s="1" t="s">
        <v>192</v>
      </c>
      <c r="FJ831" s="1" t="s">
        <v>9682</v>
      </c>
      <c r="FK831" s="1" t="s">
        <v>229</v>
      </c>
      <c r="FL831" s="1" t="s">
        <v>1212</v>
      </c>
      <c r="FM831" s="1">
        <v>30.0</v>
      </c>
      <c r="FN831" s="1" t="s">
        <v>1213</v>
      </c>
      <c r="FO831" s="1" t="s">
        <v>2407</v>
      </c>
      <c r="FP831" s="1">
        <v>736.0</v>
      </c>
      <c r="FQ831" s="1" t="s">
        <v>2408</v>
      </c>
      <c r="FS831" s="1" t="s">
        <v>9683</v>
      </c>
      <c r="FU831" s="1" t="s">
        <v>9684</v>
      </c>
      <c r="FV831" s="1" t="s">
        <v>200</v>
      </c>
      <c r="FW831" s="1" t="s">
        <v>290</v>
      </c>
      <c r="FZ831" s="1" t="s">
        <v>229</v>
      </c>
      <c r="GA831" s="1" t="s">
        <v>291</v>
      </c>
      <c r="GB831" s="2">
        <v>42121.0</v>
      </c>
      <c r="GC831" s="1" t="s">
        <v>9685</v>
      </c>
    </row>
    <row r="832">
      <c r="A832" s="1">
        <v>715000.0</v>
      </c>
      <c r="B832" s="1" t="s">
        <v>185</v>
      </c>
      <c r="C832" s="1" t="str">
        <f>"08141072"</f>
        <v>08141072</v>
      </c>
      <c r="D832" s="1" t="s">
        <v>186</v>
      </c>
      <c r="F832" s="1" t="str">
        <f>"8006"</f>
        <v>8006</v>
      </c>
      <c r="G832" s="2">
        <v>41141.0</v>
      </c>
      <c r="H832" s="1">
        <v>1699000.0</v>
      </c>
      <c r="I832" s="1">
        <v>1623.0</v>
      </c>
      <c r="J832" s="1">
        <v>640000.0</v>
      </c>
      <c r="K832" s="2">
        <v>42031.0</v>
      </c>
      <c r="L832" s="1">
        <v>891.0</v>
      </c>
      <c r="M832" s="2">
        <v>42031.0</v>
      </c>
      <c r="N832" s="1" t="s">
        <v>187</v>
      </c>
      <c r="O832" s="2">
        <v>42048.0</v>
      </c>
      <c r="P832" s="1">
        <v>151114.0</v>
      </c>
      <c r="Q832" s="1">
        <v>14470.0</v>
      </c>
      <c r="S832" s="1">
        <v>2965.0</v>
      </c>
      <c r="T832" s="1" t="s">
        <v>9686</v>
      </c>
      <c r="U832" s="1" t="s">
        <v>464</v>
      </c>
      <c r="V832" s="1" t="s">
        <v>190</v>
      </c>
      <c r="W832" s="1">
        <v>60657.0</v>
      </c>
      <c r="Y832" s="1" t="s">
        <v>9687</v>
      </c>
      <c r="Z832" s="1">
        <v>2007.0</v>
      </c>
      <c r="AA832" s="1" t="s">
        <v>200</v>
      </c>
      <c r="AB832" s="1" t="s">
        <v>193</v>
      </c>
      <c r="AD832" s="1" t="s">
        <v>194</v>
      </c>
      <c r="AE832" s="1" t="s">
        <v>195</v>
      </c>
      <c r="AF832" s="1" t="s">
        <v>534</v>
      </c>
      <c r="AH832" s="1" t="s">
        <v>9688</v>
      </c>
      <c r="AK832" s="1">
        <v>10.0</v>
      </c>
      <c r="AL832" s="1">
        <v>4.0</v>
      </c>
      <c r="AM832" s="1">
        <v>4.0</v>
      </c>
      <c r="AN832" s="1">
        <v>1.0</v>
      </c>
      <c r="AO832" s="1" t="s">
        <v>198</v>
      </c>
      <c r="AP832" s="1">
        <v>2.0</v>
      </c>
      <c r="AQ832" s="1" t="s">
        <v>229</v>
      </c>
      <c r="AR832" s="1" t="s">
        <v>200</v>
      </c>
      <c r="AS832" s="1" t="s">
        <v>199</v>
      </c>
      <c r="AT832" s="1">
        <v>2.0</v>
      </c>
      <c r="AV832" s="1" t="s">
        <v>200</v>
      </c>
      <c r="AW832" s="1">
        <v>10827.21</v>
      </c>
      <c r="AX832" s="1">
        <v>2012.0</v>
      </c>
      <c r="AY832" s="1" t="s">
        <v>387</v>
      </c>
      <c r="AZ832" s="1" t="s">
        <v>200</v>
      </c>
      <c r="BA832" s="1" t="str">
        <f>"14282030320000"</f>
        <v>14282030320000</v>
      </c>
      <c r="BC832" s="1">
        <v>4600.0</v>
      </c>
      <c r="BD832" s="1">
        <v>715000.0</v>
      </c>
      <c r="BE832" s="2">
        <v>41141.0</v>
      </c>
      <c r="BF832" s="2" t="s">
        <v>9689</v>
      </c>
      <c r="BH832" s="1">
        <v>0.0</v>
      </c>
      <c r="BK832" s="1" t="s">
        <v>204</v>
      </c>
      <c r="BL832" s="1" t="str">
        <f>"2965"</f>
        <v>2965</v>
      </c>
      <c r="BM832" s="1" t="str">
        <f t="shared" si="546"/>
        <v>0</v>
      </c>
      <c r="BN832" s="1">
        <v>400.0</v>
      </c>
      <c r="BO832" s="1">
        <v>0.0</v>
      </c>
      <c r="BQ832" s="1">
        <v>299.0</v>
      </c>
      <c r="BR832" s="1">
        <v>299.0</v>
      </c>
      <c r="BS832" s="1">
        <v>299.0</v>
      </c>
      <c r="BU832" s="1" t="s">
        <v>2059</v>
      </c>
      <c r="BV832" s="1" t="s">
        <v>206</v>
      </c>
      <c r="BW832" s="1" t="s">
        <v>207</v>
      </c>
      <c r="BY832" s="1" t="s">
        <v>9690</v>
      </c>
      <c r="BZ832" s="1" t="s">
        <v>209</v>
      </c>
      <c r="CA832" s="1" t="s">
        <v>207</v>
      </c>
      <c r="CC832" s="1" t="s">
        <v>1066</v>
      </c>
      <c r="CD832" s="1" t="s">
        <v>206</v>
      </c>
      <c r="CE832" s="1" t="s">
        <v>207</v>
      </c>
      <c r="CG832" s="1" t="s">
        <v>363</v>
      </c>
      <c r="CH832" s="1" t="s">
        <v>209</v>
      </c>
      <c r="CI832" s="1" t="s">
        <v>207</v>
      </c>
      <c r="CK832" s="1" t="s">
        <v>1875</v>
      </c>
      <c r="CL832" s="1" t="s">
        <v>209</v>
      </c>
      <c r="CM832" s="1" t="s">
        <v>207</v>
      </c>
      <c r="CO832" s="1" t="s">
        <v>6858</v>
      </c>
      <c r="CP832" s="1" t="s">
        <v>209</v>
      </c>
      <c r="CQ832" s="1" t="s">
        <v>207</v>
      </c>
      <c r="CS832" s="1" t="s">
        <v>1297</v>
      </c>
      <c r="CT832" s="1" t="s">
        <v>206</v>
      </c>
      <c r="CU832" s="1" t="s">
        <v>207</v>
      </c>
      <c r="CW832" s="1" t="s">
        <v>2059</v>
      </c>
      <c r="CX832" s="1" t="s">
        <v>206</v>
      </c>
      <c r="CY832" s="1" t="s">
        <v>207</v>
      </c>
      <c r="DA832" s="1" t="s">
        <v>200</v>
      </c>
      <c r="DC832" s="1" t="s">
        <v>481</v>
      </c>
      <c r="DD832" s="1" t="s">
        <v>9691</v>
      </c>
      <c r="DE832" s="1" t="s">
        <v>218</v>
      </c>
      <c r="DF832" s="1" t="s">
        <v>745</v>
      </c>
      <c r="DG832" s="1" t="s">
        <v>5395</v>
      </c>
      <c r="DH832" s="1" t="s">
        <v>307</v>
      </c>
      <c r="DI832" s="1" t="s">
        <v>9692</v>
      </c>
      <c r="DJ832" s="1" t="s">
        <v>1048</v>
      </c>
      <c r="DL832" s="1" t="s">
        <v>229</v>
      </c>
      <c r="DM832" s="1" t="s">
        <v>225</v>
      </c>
      <c r="DN832" s="1" t="s">
        <v>399</v>
      </c>
      <c r="DO832" s="1" t="s">
        <v>4234</v>
      </c>
      <c r="DP832" s="1" t="s">
        <v>227</v>
      </c>
      <c r="DQ832" s="1" t="s">
        <v>794</v>
      </c>
      <c r="DR832" s="1" t="s">
        <v>229</v>
      </c>
      <c r="DS832" s="1" t="s">
        <v>368</v>
      </c>
      <c r="DU832" s="1" t="s">
        <v>9693</v>
      </c>
      <c r="DV832" s="1" t="s">
        <v>9694</v>
      </c>
      <c r="DW832" s="1" t="s">
        <v>9695</v>
      </c>
      <c r="DX832" s="1" t="s">
        <v>234</v>
      </c>
      <c r="DY832" s="1" t="s">
        <v>4102</v>
      </c>
      <c r="DZ832" s="1" t="s">
        <v>5293</v>
      </c>
      <c r="EA832" s="1" t="s">
        <v>588</v>
      </c>
      <c r="EB832" s="1" t="s">
        <v>937</v>
      </c>
      <c r="EC832" s="1" t="s">
        <v>237</v>
      </c>
      <c r="ED832" s="1" t="s">
        <v>9696</v>
      </c>
      <c r="EG832" s="1" t="s">
        <v>8378</v>
      </c>
      <c r="EH832" s="1" t="s">
        <v>556</v>
      </c>
      <c r="EJ832" s="1" t="s">
        <v>598</v>
      </c>
      <c r="EK832" s="1" t="s">
        <v>408</v>
      </c>
      <c r="EL832" s="1" t="s">
        <v>264</v>
      </c>
      <c r="EM832" s="1" t="s">
        <v>206</v>
      </c>
      <c r="EN832" s="1" t="s">
        <v>207</v>
      </c>
      <c r="EP832" s="1" t="s">
        <v>433</v>
      </c>
      <c r="EQ832" s="1" t="s">
        <v>206</v>
      </c>
      <c r="ER832" s="1" t="s">
        <v>207</v>
      </c>
      <c r="EU832" s="1" t="s">
        <v>238</v>
      </c>
      <c r="EX832" s="1" t="s">
        <v>814</v>
      </c>
      <c r="EY832" s="1" t="s">
        <v>206</v>
      </c>
      <c r="EZ832" s="1" t="s">
        <v>207</v>
      </c>
      <c r="FB832" s="1" t="s">
        <v>9697</v>
      </c>
      <c r="FC832" s="1" t="s">
        <v>206</v>
      </c>
      <c r="FD832" s="1" t="s">
        <v>207</v>
      </c>
      <c r="FF832" s="1" t="s">
        <v>239</v>
      </c>
      <c r="FG832" s="1" t="s">
        <v>192</v>
      </c>
      <c r="FH832" s="1" t="s">
        <v>192</v>
      </c>
      <c r="FJ832" s="1" t="s">
        <v>2285</v>
      </c>
      <c r="FK832" s="1" t="s">
        <v>1586</v>
      </c>
      <c r="FL832" s="1" t="s">
        <v>974</v>
      </c>
      <c r="FM832" s="1">
        <v>14470.0</v>
      </c>
      <c r="FN832" s="1" t="s">
        <v>3407</v>
      </c>
      <c r="FO832" s="1" t="s">
        <v>9698</v>
      </c>
      <c r="FP832" s="1">
        <v>151114.0</v>
      </c>
      <c r="FQ832" s="1" t="s">
        <v>9699</v>
      </c>
      <c r="FU832" s="1" t="s">
        <v>9700</v>
      </c>
      <c r="FV832" s="1" t="s">
        <v>200</v>
      </c>
      <c r="FW832" s="1" t="s">
        <v>290</v>
      </c>
      <c r="FX832" s="1" t="s">
        <v>238</v>
      </c>
      <c r="FZ832" s="1" t="s">
        <v>229</v>
      </c>
      <c r="GA832" s="1" t="s">
        <v>291</v>
      </c>
      <c r="GB832" s="2">
        <v>42048.0</v>
      </c>
      <c r="GC832" s="1" t="s">
        <v>9701</v>
      </c>
    </row>
    <row r="833">
      <c r="A833" s="1">
        <v>92500.0</v>
      </c>
      <c r="B833" s="1" t="s">
        <v>185</v>
      </c>
      <c r="C833" s="1" t="str">
        <f>"08313640"</f>
        <v>08313640</v>
      </c>
      <c r="D833" s="1" t="s">
        <v>186</v>
      </c>
      <c r="F833" s="1" t="str">
        <f>"8035"</f>
        <v>8035</v>
      </c>
      <c r="G833" s="2">
        <v>41374.0</v>
      </c>
      <c r="H833" s="1">
        <v>244900.0</v>
      </c>
      <c r="I833" s="1">
        <v>602.0</v>
      </c>
      <c r="J833" s="1">
        <v>92500.0</v>
      </c>
      <c r="K833" s="2">
        <v>41974.0</v>
      </c>
      <c r="L833" s="1">
        <v>602.0</v>
      </c>
      <c r="M833" s="2">
        <v>41974.0</v>
      </c>
      <c r="N833" s="1" t="s">
        <v>249</v>
      </c>
      <c r="O833" s="2">
        <v>41988.0</v>
      </c>
      <c r="P833" s="1">
        <v>188483.0</v>
      </c>
      <c r="Q833" s="1">
        <v>85614.0</v>
      </c>
      <c r="S833" s="1">
        <v>3548.0</v>
      </c>
      <c r="T833" s="1" t="s">
        <v>9702</v>
      </c>
      <c r="U833" s="1" t="s">
        <v>189</v>
      </c>
      <c r="V833" s="1" t="s">
        <v>190</v>
      </c>
      <c r="W833" s="1">
        <v>60653.0</v>
      </c>
      <c r="Y833" s="1" t="s">
        <v>9703</v>
      </c>
      <c r="Z833" s="1">
        <v>1892.0</v>
      </c>
      <c r="AA833" s="1" t="s">
        <v>192</v>
      </c>
      <c r="AB833" s="1" t="s">
        <v>193</v>
      </c>
      <c r="AD833" s="1" t="s">
        <v>194</v>
      </c>
      <c r="AE833" s="1" t="s">
        <v>195</v>
      </c>
      <c r="AF833" s="1" t="s">
        <v>1154</v>
      </c>
      <c r="AH833" s="1" t="s">
        <v>2726</v>
      </c>
      <c r="AK833" s="1">
        <v>7.0</v>
      </c>
      <c r="AL833" s="1">
        <v>4.0</v>
      </c>
      <c r="AM833" s="1">
        <v>1.0</v>
      </c>
      <c r="AN833" s="1">
        <v>1.0</v>
      </c>
      <c r="AO833" s="1" t="s">
        <v>229</v>
      </c>
      <c r="AP833" s="1">
        <v>1.0</v>
      </c>
      <c r="AQ833" s="1" t="s">
        <v>198</v>
      </c>
      <c r="AR833" s="1" t="s">
        <v>192</v>
      </c>
      <c r="AS833" s="1" t="s">
        <v>199</v>
      </c>
      <c r="AT833" s="1">
        <v>1.0</v>
      </c>
      <c r="AV833" s="1" t="s">
        <v>200</v>
      </c>
      <c r="AW833" s="1">
        <v>700.94</v>
      </c>
      <c r="AX833" s="1">
        <v>2012.0</v>
      </c>
      <c r="AY833" s="1" t="s">
        <v>1917</v>
      </c>
      <c r="AZ833" s="1" t="s">
        <v>200</v>
      </c>
      <c r="BA833" s="1" t="str">
        <f>"17343100660000"</f>
        <v>17343100660000</v>
      </c>
      <c r="BC833" s="1">
        <v>2220.0</v>
      </c>
      <c r="BD833" s="1">
        <v>92500.0</v>
      </c>
      <c r="BE833" s="2">
        <v>41373.0</v>
      </c>
      <c r="BF833" s="1" t="s">
        <v>9704</v>
      </c>
      <c r="BH833" s="1">
        <v>0.0</v>
      </c>
      <c r="BK833" s="1" t="s">
        <v>204</v>
      </c>
      <c r="BL833" s="1" t="str">
        <f t="shared" ref="BL833:BL835" si="547">"0"</f>
        <v>0</v>
      </c>
      <c r="BM833" s="1" t="str">
        <f>"300"</f>
        <v>300</v>
      </c>
      <c r="BN833" s="1">
        <v>0.0</v>
      </c>
      <c r="BO833" s="1">
        <v>3500.0</v>
      </c>
      <c r="BQ833" s="1">
        <v>299.0</v>
      </c>
      <c r="BR833" s="1">
        <v>299.0</v>
      </c>
      <c r="BS833" s="1">
        <v>299.0</v>
      </c>
      <c r="BU833" s="1" t="s">
        <v>3475</v>
      </c>
      <c r="BV833" s="1" t="s">
        <v>206</v>
      </c>
      <c r="BW833" s="1" t="s">
        <v>210</v>
      </c>
      <c r="BX833" s="1" t="s">
        <v>261</v>
      </c>
      <c r="BY833" s="1" t="s">
        <v>390</v>
      </c>
      <c r="BZ833" s="1" t="s">
        <v>209</v>
      </c>
      <c r="CC833" s="1" t="s">
        <v>329</v>
      </c>
      <c r="CD833" s="1" t="s">
        <v>206</v>
      </c>
      <c r="CG833" s="1" t="s">
        <v>329</v>
      </c>
      <c r="CH833" s="1" t="s">
        <v>209</v>
      </c>
      <c r="CK833" s="1" t="s">
        <v>5992</v>
      </c>
      <c r="CL833" s="1" t="s">
        <v>209</v>
      </c>
      <c r="CO833" s="1" t="s">
        <v>1939</v>
      </c>
      <c r="CP833" s="1" t="s">
        <v>209</v>
      </c>
      <c r="CS833" s="1" t="s">
        <v>215</v>
      </c>
      <c r="CT833" s="1" t="s">
        <v>206</v>
      </c>
      <c r="CX833" s="1" t="s">
        <v>204</v>
      </c>
      <c r="DA833" s="1" t="s">
        <v>200</v>
      </c>
      <c r="DC833" s="1" t="s">
        <v>642</v>
      </c>
      <c r="DE833" s="1" t="s">
        <v>229</v>
      </c>
      <c r="DF833" s="1" t="s">
        <v>619</v>
      </c>
      <c r="DH833" s="1" t="s">
        <v>365</v>
      </c>
      <c r="DJ833" s="1" t="s">
        <v>222</v>
      </c>
      <c r="DL833" s="1" t="s">
        <v>223</v>
      </c>
      <c r="DM833" s="1" t="s">
        <v>225</v>
      </c>
      <c r="DQ833" s="1" t="s">
        <v>228</v>
      </c>
      <c r="DR833" s="1" t="s">
        <v>229</v>
      </c>
      <c r="DV833" s="1" t="s">
        <v>9705</v>
      </c>
      <c r="DW833" s="1" t="s">
        <v>279</v>
      </c>
      <c r="DX833" s="1" t="s">
        <v>234</v>
      </c>
      <c r="EC833" s="1" t="s">
        <v>237</v>
      </c>
      <c r="EG833" s="1" t="s">
        <v>2877</v>
      </c>
      <c r="EH833" s="1" t="s">
        <v>374</v>
      </c>
      <c r="EL833" s="1" t="s">
        <v>3594</v>
      </c>
      <c r="EM833" s="1" t="s">
        <v>206</v>
      </c>
      <c r="EP833" s="1" t="s">
        <v>2613</v>
      </c>
      <c r="EQ833" s="1" t="s">
        <v>206</v>
      </c>
      <c r="EU833" s="1" t="s">
        <v>238</v>
      </c>
      <c r="EY833" s="1" t="s">
        <v>238</v>
      </c>
      <c r="FC833" s="1" t="s">
        <v>238</v>
      </c>
      <c r="FF833" s="1" t="s">
        <v>239</v>
      </c>
      <c r="FG833" s="1" t="s">
        <v>192</v>
      </c>
      <c r="FH833" s="1" t="s">
        <v>192</v>
      </c>
      <c r="FJ833" s="1" t="s">
        <v>9706</v>
      </c>
      <c r="FK833" s="1" t="s">
        <v>229</v>
      </c>
      <c r="FL833" s="1" t="s">
        <v>1124</v>
      </c>
      <c r="FM833" s="1">
        <v>12293.0</v>
      </c>
      <c r="FN833" s="1" t="s">
        <v>3300</v>
      </c>
      <c r="FO833" s="1" t="s">
        <v>9707</v>
      </c>
      <c r="FP833" s="1">
        <v>183172.0</v>
      </c>
      <c r="FU833" s="1" t="s">
        <v>9708</v>
      </c>
      <c r="FV833" s="1" t="s">
        <v>192</v>
      </c>
      <c r="FW833" s="1" t="s">
        <v>530</v>
      </c>
      <c r="FX833" s="1" t="s">
        <v>655</v>
      </c>
      <c r="FZ833" s="1" t="s">
        <v>229</v>
      </c>
      <c r="GA833" s="1" t="s">
        <v>291</v>
      </c>
      <c r="GB833" s="2">
        <v>42075.0</v>
      </c>
      <c r="GC833" s="1" t="s">
        <v>9709</v>
      </c>
    </row>
    <row r="834">
      <c r="A834" s="1">
        <v>141767.0</v>
      </c>
      <c r="B834" s="1" t="s">
        <v>185</v>
      </c>
      <c r="C834" s="1" t="str">
        <f>"08504361"</f>
        <v>08504361</v>
      </c>
      <c r="D834" s="1" t="s">
        <v>186</v>
      </c>
      <c r="F834" s="1" t="str">
        <f>"8075"</f>
        <v>8075</v>
      </c>
      <c r="G834" s="2">
        <v>41624.0</v>
      </c>
      <c r="H834" s="1">
        <v>241900.0</v>
      </c>
      <c r="I834" s="1">
        <v>337.0</v>
      </c>
      <c r="J834" s="1">
        <v>163900.0</v>
      </c>
      <c r="K834" s="2">
        <v>41960.0</v>
      </c>
      <c r="L834" s="1">
        <v>337.0</v>
      </c>
      <c r="M834" s="2">
        <v>41960.0</v>
      </c>
      <c r="N834" s="1" t="s">
        <v>249</v>
      </c>
      <c r="O834" s="2">
        <v>41975.0</v>
      </c>
      <c r="P834" s="1">
        <v>178784.0</v>
      </c>
      <c r="Q834" s="1">
        <v>84674.0</v>
      </c>
      <c r="S834" s="1">
        <v>11349.0</v>
      </c>
      <c r="T834" s="1" t="s">
        <v>1513</v>
      </c>
      <c r="U834" s="1" t="s">
        <v>189</v>
      </c>
      <c r="V834" s="1" t="s">
        <v>190</v>
      </c>
      <c r="W834" s="1">
        <v>60655.0</v>
      </c>
      <c r="Y834" s="1" t="s">
        <v>9710</v>
      </c>
      <c r="Z834" s="1">
        <v>1946.0</v>
      </c>
      <c r="AA834" s="1" t="s">
        <v>192</v>
      </c>
      <c r="AB834" s="1" t="s">
        <v>193</v>
      </c>
      <c r="AD834" s="1" t="s">
        <v>194</v>
      </c>
      <c r="AE834" s="1" t="s">
        <v>195</v>
      </c>
      <c r="AF834" s="1" t="s">
        <v>659</v>
      </c>
      <c r="AH834" s="1" t="s">
        <v>9711</v>
      </c>
      <c r="AI834" s="1">
        <v>0.0972</v>
      </c>
      <c r="AK834" s="1">
        <v>7.0</v>
      </c>
      <c r="AL834" s="1">
        <v>4.0</v>
      </c>
      <c r="AM834" s="1">
        <v>2.0</v>
      </c>
      <c r="AN834" s="1">
        <v>1.0</v>
      </c>
      <c r="AO834" s="1" t="s">
        <v>229</v>
      </c>
      <c r="AP834" s="1">
        <v>0.0</v>
      </c>
      <c r="AQ834" s="1" t="s">
        <v>198</v>
      </c>
      <c r="AR834" s="1" t="s">
        <v>192</v>
      </c>
      <c r="AS834" s="1" t="s">
        <v>199</v>
      </c>
      <c r="AT834" s="1">
        <v>2.0</v>
      </c>
      <c r="AV834" s="1" t="s">
        <v>200</v>
      </c>
      <c r="AW834" s="1">
        <v>3273.0</v>
      </c>
      <c r="AX834" s="1">
        <v>2012.0</v>
      </c>
      <c r="AY834" s="1" t="s">
        <v>229</v>
      </c>
      <c r="AZ834" s="1" t="s">
        <v>200</v>
      </c>
      <c r="BA834" s="1" t="str">
        <f>"24242180580000"</f>
        <v>24242180580000</v>
      </c>
      <c r="BC834" s="1">
        <v>1200.0</v>
      </c>
      <c r="BD834" s="1">
        <v>141767.0</v>
      </c>
      <c r="BE834" s="2">
        <v>41624.0</v>
      </c>
      <c r="BF834" s="1" t="s">
        <v>9712</v>
      </c>
      <c r="BH834" s="1">
        <v>0.0</v>
      </c>
      <c r="BK834" s="1" t="s">
        <v>204</v>
      </c>
      <c r="BL834" s="1" t="str">
        <f t="shared" si="547"/>
        <v>0</v>
      </c>
      <c r="BM834" s="1" t="str">
        <f t="shared" ref="BM834:BM837" si="548">"0"</f>
        <v>0</v>
      </c>
      <c r="BN834" s="1">
        <v>2630.0</v>
      </c>
      <c r="BO834" s="1">
        <v>11349.0</v>
      </c>
      <c r="BQ834" s="1">
        <v>299.0</v>
      </c>
      <c r="BR834" s="1">
        <v>299.0</v>
      </c>
      <c r="BS834" s="1">
        <v>299.0</v>
      </c>
      <c r="BU834" s="1" t="s">
        <v>1069</v>
      </c>
      <c r="BV834" s="1" t="s">
        <v>206</v>
      </c>
      <c r="BY834" s="1" t="s">
        <v>215</v>
      </c>
      <c r="BZ834" s="1" t="s">
        <v>209</v>
      </c>
      <c r="CC834" s="1" t="s">
        <v>303</v>
      </c>
      <c r="CD834" s="1" t="s">
        <v>206</v>
      </c>
      <c r="CG834" s="1" t="s">
        <v>363</v>
      </c>
      <c r="CH834" s="1" t="s">
        <v>209</v>
      </c>
      <c r="CK834" s="1" t="s">
        <v>212</v>
      </c>
      <c r="CL834" s="1" t="s">
        <v>209</v>
      </c>
      <c r="CO834" s="1" t="s">
        <v>212</v>
      </c>
      <c r="CP834" s="1" t="s">
        <v>209</v>
      </c>
      <c r="CS834" s="1" t="s">
        <v>363</v>
      </c>
      <c r="CT834" s="1" t="s">
        <v>206</v>
      </c>
      <c r="CX834" s="1" t="s">
        <v>204</v>
      </c>
      <c r="DA834" s="1" t="s">
        <v>200</v>
      </c>
      <c r="DC834" s="1" t="s">
        <v>702</v>
      </c>
      <c r="DE834" s="1" t="s">
        <v>273</v>
      </c>
      <c r="DF834" s="1" t="s">
        <v>619</v>
      </c>
      <c r="DH834" s="1" t="s">
        <v>365</v>
      </c>
      <c r="DJ834" s="1" t="s">
        <v>222</v>
      </c>
      <c r="DL834" s="1" t="s">
        <v>224</v>
      </c>
      <c r="DM834" s="1" t="s">
        <v>229</v>
      </c>
      <c r="DQ834" s="1" t="s">
        <v>228</v>
      </c>
      <c r="DR834" s="1" t="s">
        <v>229</v>
      </c>
      <c r="DV834" s="1" t="s">
        <v>232</v>
      </c>
      <c r="DW834" s="1" t="s">
        <v>279</v>
      </c>
      <c r="DX834" s="1" t="s">
        <v>234</v>
      </c>
      <c r="EC834" s="1" t="s">
        <v>237</v>
      </c>
      <c r="EM834" s="1" t="s">
        <v>238</v>
      </c>
      <c r="EQ834" s="1" t="s">
        <v>238</v>
      </c>
      <c r="EU834" s="1" t="s">
        <v>238</v>
      </c>
      <c r="EY834" s="1" t="s">
        <v>238</v>
      </c>
      <c r="FC834" s="1" t="s">
        <v>238</v>
      </c>
      <c r="FF834" s="1" t="s">
        <v>239</v>
      </c>
      <c r="FG834" s="1" t="s">
        <v>192</v>
      </c>
      <c r="FH834" s="1" t="s">
        <v>192</v>
      </c>
      <c r="FJ834" s="1" t="s">
        <v>9713</v>
      </c>
      <c r="FK834" s="1" t="s">
        <v>229</v>
      </c>
      <c r="FL834" s="1" t="s">
        <v>7366</v>
      </c>
      <c r="FM834" s="1">
        <v>84674.0</v>
      </c>
      <c r="FN834" s="1" t="s">
        <v>7367</v>
      </c>
      <c r="FO834" s="1" t="s">
        <v>7368</v>
      </c>
      <c r="FP834" s="1">
        <v>109817.0</v>
      </c>
      <c r="FQ834" s="1" t="s">
        <v>7369</v>
      </c>
      <c r="FR834" s="1">
        <v>178784.0</v>
      </c>
      <c r="FS834" s="1" t="s">
        <v>9714</v>
      </c>
      <c r="FU834" s="1" t="s">
        <v>9715</v>
      </c>
      <c r="FV834" s="1" t="s">
        <v>200</v>
      </c>
      <c r="FW834" s="1" t="s">
        <v>1307</v>
      </c>
      <c r="FX834" s="1" t="s">
        <v>655</v>
      </c>
      <c r="FZ834" s="1" t="s">
        <v>229</v>
      </c>
      <c r="GA834" s="1" t="s">
        <v>291</v>
      </c>
      <c r="GB834" s="2">
        <v>41975.0</v>
      </c>
      <c r="GC834" s="1" t="s">
        <v>9716</v>
      </c>
    </row>
    <row r="835">
      <c r="A835" s="1">
        <v>83000.0</v>
      </c>
      <c r="B835" s="1" t="s">
        <v>185</v>
      </c>
      <c r="C835" s="1" t="str">
        <f>"08512684"</f>
        <v>08512684</v>
      </c>
      <c r="D835" s="1" t="s">
        <v>186</v>
      </c>
      <c r="F835" s="1" t="str">
        <f>"8071"</f>
        <v>8071</v>
      </c>
      <c r="G835" s="2">
        <v>41646.0</v>
      </c>
      <c r="H835" s="1">
        <v>89000.0</v>
      </c>
      <c r="I835" s="1">
        <v>601.0</v>
      </c>
      <c r="J835" s="1">
        <v>83000.0</v>
      </c>
      <c r="K835" s="2">
        <v>41857.0</v>
      </c>
      <c r="L835" s="1">
        <v>212.0</v>
      </c>
      <c r="M835" s="2">
        <v>41857.0</v>
      </c>
      <c r="N835" s="1" t="s">
        <v>356</v>
      </c>
      <c r="O835" s="2">
        <v>42122.0</v>
      </c>
      <c r="P835" s="1">
        <v>506237.0</v>
      </c>
      <c r="Q835" s="1">
        <v>25623.0</v>
      </c>
      <c r="S835" s="1">
        <v>8749.0</v>
      </c>
      <c r="T835" s="1" t="s">
        <v>9717</v>
      </c>
      <c r="U835" s="1" t="s">
        <v>320</v>
      </c>
      <c r="V835" s="1" t="s">
        <v>190</v>
      </c>
      <c r="W835" s="1">
        <v>60620.0</v>
      </c>
      <c r="Y835" s="1" t="s">
        <v>9718</v>
      </c>
      <c r="Z835" s="1" t="s">
        <v>296</v>
      </c>
      <c r="AA835" s="1" t="s">
        <v>192</v>
      </c>
      <c r="AB835" s="1" t="s">
        <v>193</v>
      </c>
      <c r="AD835" s="1" t="s">
        <v>194</v>
      </c>
      <c r="AE835" s="1" t="s">
        <v>195</v>
      </c>
      <c r="AF835" s="1" t="s">
        <v>1154</v>
      </c>
      <c r="AG835" s="1" t="s">
        <v>778</v>
      </c>
      <c r="AH835" s="1" t="s">
        <v>741</v>
      </c>
      <c r="AK835" s="1">
        <v>7.0</v>
      </c>
      <c r="AL835" s="1">
        <v>4.0</v>
      </c>
      <c r="AM835" s="1">
        <v>1.0</v>
      </c>
      <c r="AN835" s="1">
        <v>1.0</v>
      </c>
      <c r="AO835" s="1" t="s">
        <v>229</v>
      </c>
      <c r="AP835" s="1">
        <v>1.0</v>
      </c>
      <c r="AQ835" s="1" t="s">
        <v>198</v>
      </c>
      <c r="AR835" s="1" t="s">
        <v>200</v>
      </c>
      <c r="AS835" s="1" t="s">
        <v>199</v>
      </c>
      <c r="AT835" s="1">
        <v>2.0</v>
      </c>
      <c r="AV835" s="1" t="s">
        <v>200</v>
      </c>
      <c r="AW835" s="1">
        <v>2552.66</v>
      </c>
      <c r="AX835" s="1">
        <v>2013.0</v>
      </c>
      <c r="AY835" s="1" t="s">
        <v>387</v>
      </c>
      <c r="AZ835" s="1" t="s">
        <v>200</v>
      </c>
      <c r="BA835" s="1" t="str">
        <f>"25051010170000"</f>
        <v>25051010170000</v>
      </c>
      <c r="BC835" s="1">
        <v>1400.0</v>
      </c>
      <c r="BD835" s="1">
        <v>83000.0</v>
      </c>
      <c r="BE835" s="2">
        <v>41646.0</v>
      </c>
      <c r="BF835" s="1" t="s">
        <v>9719</v>
      </c>
      <c r="BH835" s="1">
        <v>0.0</v>
      </c>
      <c r="BK835" s="1" t="s">
        <v>204</v>
      </c>
      <c r="BL835" s="1" t="str">
        <f t="shared" si="547"/>
        <v>0</v>
      </c>
      <c r="BM835" s="1" t="str">
        <f t="shared" si="548"/>
        <v>0</v>
      </c>
      <c r="BN835" s="1">
        <v>1532.0</v>
      </c>
      <c r="BO835" s="1">
        <v>8749.0</v>
      </c>
      <c r="BQ835" s="1">
        <v>299.0</v>
      </c>
      <c r="BR835" s="1">
        <v>299.0</v>
      </c>
      <c r="BS835" s="1">
        <v>299.0</v>
      </c>
      <c r="BU835" s="1" t="s">
        <v>2082</v>
      </c>
      <c r="BV835" s="1" t="s">
        <v>206</v>
      </c>
      <c r="BW835" s="1" t="s">
        <v>207</v>
      </c>
      <c r="BX835" s="1" t="s">
        <v>229</v>
      </c>
      <c r="BY835" s="1" t="s">
        <v>2082</v>
      </c>
      <c r="BZ835" s="1" t="s">
        <v>209</v>
      </c>
      <c r="CA835" s="1" t="s">
        <v>210</v>
      </c>
      <c r="CB835" s="1" t="s">
        <v>229</v>
      </c>
      <c r="CC835" s="1" t="s">
        <v>300</v>
      </c>
      <c r="CD835" s="1" t="s">
        <v>206</v>
      </c>
      <c r="CE835" s="1" t="s">
        <v>207</v>
      </c>
      <c r="CF835" s="1" t="s">
        <v>229</v>
      </c>
      <c r="CG835" s="1" t="s">
        <v>264</v>
      </c>
      <c r="CH835" s="1" t="s">
        <v>206</v>
      </c>
      <c r="CI835" s="1" t="s">
        <v>207</v>
      </c>
      <c r="CJ835" s="1" t="s">
        <v>229</v>
      </c>
      <c r="CK835" s="1" t="s">
        <v>543</v>
      </c>
      <c r="CL835" s="1" t="s">
        <v>206</v>
      </c>
      <c r="CM835" s="1" t="s">
        <v>207</v>
      </c>
      <c r="CN835" s="1" t="s">
        <v>229</v>
      </c>
      <c r="CO835" s="1" t="s">
        <v>300</v>
      </c>
      <c r="CP835" s="1" t="s">
        <v>209</v>
      </c>
      <c r="CQ835" s="1" t="s">
        <v>210</v>
      </c>
      <c r="CR835" s="1" t="s">
        <v>229</v>
      </c>
      <c r="CS835" s="1" t="s">
        <v>2082</v>
      </c>
      <c r="CT835" s="1" t="s">
        <v>206</v>
      </c>
      <c r="CU835" s="1" t="s">
        <v>617</v>
      </c>
      <c r="CV835" s="1" t="s">
        <v>229</v>
      </c>
      <c r="CX835" s="1" t="s">
        <v>204</v>
      </c>
      <c r="DA835" s="1" t="s">
        <v>200</v>
      </c>
      <c r="DC835" s="1" t="s">
        <v>271</v>
      </c>
      <c r="DD835" s="1" t="s">
        <v>518</v>
      </c>
      <c r="DE835" s="1" t="s">
        <v>229</v>
      </c>
      <c r="DF835" s="1" t="s">
        <v>219</v>
      </c>
      <c r="DG835" s="1" t="s">
        <v>4682</v>
      </c>
      <c r="DH835" s="1" t="s">
        <v>220</v>
      </c>
      <c r="DJ835" s="1" t="s">
        <v>222</v>
      </c>
      <c r="DL835" s="1" t="s">
        <v>223</v>
      </c>
      <c r="DM835" s="1" t="s">
        <v>229</v>
      </c>
      <c r="DP835" s="1" t="s">
        <v>340</v>
      </c>
      <c r="DQ835" s="1" t="s">
        <v>228</v>
      </c>
      <c r="DR835" s="1" t="s">
        <v>229</v>
      </c>
      <c r="DV835" s="1" t="s">
        <v>374</v>
      </c>
      <c r="DW835" s="1" t="s">
        <v>279</v>
      </c>
      <c r="DX835" s="1" t="s">
        <v>1287</v>
      </c>
      <c r="DY835" s="1" t="s">
        <v>704</v>
      </c>
      <c r="EA835" s="1" t="s">
        <v>644</v>
      </c>
      <c r="EC835" s="1" t="s">
        <v>645</v>
      </c>
      <c r="EG835" s="1" t="s">
        <v>374</v>
      </c>
      <c r="EL835" s="1" t="s">
        <v>1449</v>
      </c>
      <c r="EM835" s="1" t="s">
        <v>206</v>
      </c>
      <c r="EN835" s="1" t="s">
        <v>617</v>
      </c>
      <c r="EO835" s="1" t="s">
        <v>229</v>
      </c>
      <c r="EQ835" s="1" t="s">
        <v>238</v>
      </c>
      <c r="EU835" s="1" t="s">
        <v>238</v>
      </c>
      <c r="EY835" s="1" t="s">
        <v>238</v>
      </c>
      <c r="FC835" s="1" t="s">
        <v>238</v>
      </c>
      <c r="FF835" s="1" t="s">
        <v>239</v>
      </c>
      <c r="FG835" s="1" t="s">
        <v>200</v>
      </c>
      <c r="FH835" s="1" t="s">
        <v>200</v>
      </c>
      <c r="FJ835" s="1" t="s">
        <v>524</v>
      </c>
      <c r="FK835" s="1" t="s">
        <v>1586</v>
      </c>
      <c r="FL835" s="1" t="s">
        <v>2718</v>
      </c>
      <c r="FM835" s="1">
        <v>61080.0</v>
      </c>
      <c r="FN835" s="1" t="s">
        <v>2719</v>
      </c>
      <c r="FO835" s="1" t="s">
        <v>9720</v>
      </c>
      <c r="FP835" s="1">
        <v>237599.0</v>
      </c>
      <c r="FU835" s="1" t="s">
        <v>9721</v>
      </c>
      <c r="FV835" s="1" t="s">
        <v>200</v>
      </c>
      <c r="FW835" s="1" t="s">
        <v>290</v>
      </c>
      <c r="FX835" s="1" t="s">
        <v>655</v>
      </c>
      <c r="FZ835" s="1" t="s">
        <v>229</v>
      </c>
      <c r="GA835" s="1" t="s">
        <v>291</v>
      </c>
      <c r="GB835" s="2">
        <v>42123.0</v>
      </c>
      <c r="GC835" s="1" t="s">
        <v>9722</v>
      </c>
    </row>
    <row r="836">
      <c r="A836" s="1">
        <v>710000.0</v>
      </c>
      <c r="B836" s="1" t="s">
        <v>185</v>
      </c>
      <c r="C836" s="1" t="str">
        <f>"08505257"</f>
        <v>08505257</v>
      </c>
      <c r="D836" s="1" t="s">
        <v>186</v>
      </c>
      <c r="F836" s="1" t="str">
        <f>"8022"</f>
        <v>8022</v>
      </c>
      <c r="G836" s="2">
        <v>41626.0</v>
      </c>
      <c r="H836" s="1">
        <v>819000.0</v>
      </c>
      <c r="I836" s="1">
        <v>670.0</v>
      </c>
      <c r="J836" s="1">
        <v>729900.0</v>
      </c>
      <c r="K836" s="2">
        <v>42111.0</v>
      </c>
      <c r="L836" s="1">
        <v>486.0</v>
      </c>
      <c r="M836" s="2">
        <v>42111.0</v>
      </c>
      <c r="N836" s="1" t="s">
        <v>187</v>
      </c>
      <c r="O836" s="2">
        <v>42128.0</v>
      </c>
      <c r="P836" s="1">
        <v>153678.0</v>
      </c>
      <c r="Q836" s="1">
        <v>14703.0</v>
      </c>
      <c r="S836" s="1">
        <v>2504.0</v>
      </c>
      <c r="T836" s="1" t="s">
        <v>9723</v>
      </c>
      <c r="U836" s="1" t="s">
        <v>320</v>
      </c>
      <c r="V836" s="1" t="s">
        <v>190</v>
      </c>
      <c r="W836" s="1">
        <v>60647.0</v>
      </c>
      <c r="Y836" s="1" t="s">
        <v>9724</v>
      </c>
      <c r="Z836" s="1">
        <v>2005.0</v>
      </c>
      <c r="AA836" s="1" t="s">
        <v>200</v>
      </c>
      <c r="AB836" s="1" t="s">
        <v>193</v>
      </c>
      <c r="AD836" s="1" t="s">
        <v>194</v>
      </c>
      <c r="AE836" s="1" t="s">
        <v>195</v>
      </c>
      <c r="AF836" s="1" t="s">
        <v>2645</v>
      </c>
      <c r="AH836" s="1" t="s">
        <v>359</v>
      </c>
      <c r="AI836" s="1">
        <v>0.0712</v>
      </c>
      <c r="AK836" s="1">
        <v>9.0</v>
      </c>
      <c r="AL836" s="1">
        <v>4.0</v>
      </c>
      <c r="AM836" s="1">
        <v>3.0</v>
      </c>
      <c r="AN836" s="1">
        <v>1.0</v>
      </c>
      <c r="AO836" s="1" t="s">
        <v>198</v>
      </c>
      <c r="AP836" s="1">
        <v>3.0</v>
      </c>
      <c r="AQ836" s="1" t="s">
        <v>472</v>
      </c>
      <c r="AR836" s="1" t="s">
        <v>192</v>
      </c>
      <c r="AS836" s="1" t="s">
        <v>199</v>
      </c>
      <c r="AT836" s="1">
        <v>2.0</v>
      </c>
      <c r="AV836" s="1" t="s">
        <v>200</v>
      </c>
      <c r="AW836" s="1">
        <v>8048.44</v>
      </c>
      <c r="AX836" s="1">
        <v>2013.0</v>
      </c>
      <c r="AY836" s="1" t="s">
        <v>387</v>
      </c>
      <c r="AZ836" s="1" t="s">
        <v>200</v>
      </c>
      <c r="BA836" s="1" t="str">
        <f>"13364130440000"</f>
        <v>13364130440000</v>
      </c>
      <c r="BC836" s="1">
        <v>4150.0</v>
      </c>
      <c r="BD836" s="1">
        <v>710000.0</v>
      </c>
      <c r="BE836" s="2">
        <v>41626.0</v>
      </c>
      <c r="BF836" s="2" t="s">
        <v>9725</v>
      </c>
      <c r="BH836" s="1">
        <v>0.0</v>
      </c>
      <c r="BK836" s="1" t="s">
        <v>204</v>
      </c>
      <c r="BL836" s="1" t="str">
        <f>"1832"</f>
        <v>1832</v>
      </c>
      <c r="BM836" s="1" t="str">
        <f t="shared" si="548"/>
        <v>0</v>
      </c>
      <c r="BN836" s="1">
        <v>2504.0</v>
      </c>
      <c r="BO836" s="1">
        <v>0.0</v>
      </c>
      <c r="BQ836" s="1">
        <v>299.0</v>
      </c>
      <c r="BR836" s="1">
        <v>299.0</v>
      </c>
      <c r="BS836" s="1">
        <v>299.0</v>
      </c>
      <c r="BU836" s="1" t="s">
        <v>1068</v>
      </c>
      <c r="BV836" s="1" t="s">
        <v>206</v>
      </c>
      <c r="BW836" s="1" t="s">
        <v>207</v>
      </c>
      <c r="BY836" s="1" t="s">
        <v>1600</v>
      </c>
      <c r="BZ836" s="1" t="s">
        <v>209</v>
      </c>
      <c r="CA836" s="1" t="s">
        <v>210</v>
      </c>
      <c r="CC836" s="1" t="s">
        <v>361</v>
      </c>
      <c r="CD836" s="1" t="s">
        <v>206</v>
      </c>
      <c r="CE836" s="1" t="s">
        <v>207</v>
      </c>
      <c r="CG836" s="1" t="s">
        <v>392</v>
      </c>
      <c r="CH836" s="1" t="s">
        <v>209</v>
      </c>
      <c r="CI836" s="1" t="s">
        <v>210</v>
      </c>
      <c r="CK836" s="1" t="s">
        <v>2647</v>
      </c>
      <c r="CL836" s="1" t="s">
        <v>209</v>
      </c>
      <c r="CM836" s="1" t="s">
        <v>210</v>
      </c>
      <c r="CO836" s="1" t="s">
        <v>616</v>
      </c>
      <c r="CP836" s="1" t="s">
        <v>267</v>
      </c>
      <c r="CS836" s="1" t="s">
        <v>515</v>
      </c>
      <c r="CT836" s="1" t="s">
        <v>206</v>
      </c>
      <c r="CU836" s="1" t="s">
        <v>207</v>
      </c>
      <c r="CW836" s="1" t="s">
        <v>4353</v>
      </c>
      <c r="CX836" s="1" t="s">
        <v>206</v>
      </c>
      <c r="CY836" s="1" t="s">
        <v>207</v>
      </c>
      <c r="DA836" s="1" t="s">
        <v>200</v>
      </c>
      <c r="DC836" s="1" t="s">
        <v>481</v>
      </c>
      <c r="DD836" s="1" t="s">
        <v>272</v>
      </c>
      <c r="DE836" s="1" t="s">
        <v>273</v>
      </c>
      <c r="DF836" s="1" t="s">
        <v>619</v>
      </c>
      <c r="DH836" s="1" t="s">
        <v>365</v>
      </c>
      <c r="DI836" s="1" t="s">
        <v>221</v>
      </c>
      <c r="DJ836" s="1" t="s">
        <v>222</v>
      </c>
      <c r="DL836" s="1" t="s">
        <v>1161</v>
      </c>
      <c r="DM836" s="1" t="s">
        <v>229</v>
      </c>
      <c r="DN836" s="1" t="s">
        <v>2873</v>
      </c>
      <c r="DO836" s="1" t="s">
        <v>549</v>
      </c>
      <c r="DP836" s="1" t="s">
        <v>276</v>
      </c>
      <c r="DQ836" s="1" t="s">
        <v>718</v>
      </c>
      <c r="DR836" s="1" t="s">
        <v>229</v>
      </c>
      <c r="DS836" s="1" t="s">
        <v>230</v>
      </c>
      <c r="DU836" s="1" t="s">
        <v>9726</v>
      </c>
      <c r="DV836" s="1" t="s">
        <v>9727</v>
      </c>
      <c r="DW836" s="1" t="s">
        <v>9728</v>
      </c>
      <c r="DX836" s="1" t="s">
        <v>234</v>
      </c>
      <c r="EA836" s="1" t="s">
        <v>1027</v>
      </c>
      <c r="EB836" s="1" t="s">
        <v>9729</v>
      </c>
      <c r="EC836" s="1" t="s">
        <v>237</v>
      </c>
      <c r="EG836" s="1" t="s">
        <v>2023</v>
      </c>
      <c r="EH836" s="1" t="s">
        <v>588</v>
      </c>
      <c r="EL836" s="1" t="s">
        <v>2879</v>
      </c>
      <c r="EM836" s="1" t="s">
        <v>267</v>
      </c>
      <c r="EN836" s="1" t="s">
        <v>210</v>
      </c>
      <c r="EO836" s="1" t="s">
        <v>1549</v>
      </c>
      <c r="EP836" s="1" t="s">
        <v>3894</v>
      </c>
      <c r="EQ836" s="1" t="s">
        <v>267</v>
      </c>
      <c r="ER836" s="1" t="s">
        <v>1065</v>
      </c>
      <c r="ES836" s="1" t="s">
        <v>229</v>
      </c>
      <c r="EU836" s="1" t="s">
        <v>238</v>
      </c>
      <c r="EY836" s="1" t="s">
        <v>238</v>
      </c>
      <c r="FC836" s="1" t="s">
        <v>238</v>
      </c>
      <c r="FF836" s="1" t="s">
        <v>239</v>
      </c>
      <c r="FG836" s="1" t="s">
        <v>192</v>
      </c>
      <c r="FH836" s="1" t="s">
        <v>192</v>
      </c>
      <c r="FJ836" s="1" t="s">
        <v>9730</v>
      </c>
      <c r="FK836" s="1" t="s">
        <v>229</v>
      </c>
      <c r="FL836" s="1" t="s">
        <v>9731</v>
      </c>
      <c r="FM836" s="1">
        <v>15752.0</v>
      </c>
      <c r="FN836" s="1" t="s">
        <v>9732</v>
      </c>
      <c r="FO836" s="1" t="s">
        <v>9733</v>
      </c>
      <c r="FP836" s="1">
        <v>127884.0</v>
      </c>
      <c r="FQ836" s="1" t="s">
        <v>9734</v>
      </c>
      <c r="FU836" s="1" t="s">
        <v>9735</v>
      </c>
      <c r="FV836" s="1" t="s">
        <v>200</v>
      </c>
      <c r="FW836" s="1" t="s">
        <v>290</v>
      </c>
      <c r="FX836" s="1" t="s">
        <v>246</v>
      </c>
      <c r="FZ836" s="1" t="s">
        <v>229</v>
      </c>
      <c r="GA836" s="1" t="s">
        <v>247</v>
      </c>
      <c r="GB836" s="2">
        <v>42138.0</v>
      </c>
    </row>
    <row r="837">
      <c r="A837" s="1">
        <v>526000.0</v>
      </c>
      <c r="B837" s="1" t="s">
        <v>185</v>
      </c>
      <c r="C837" s="1" t="str">
        <f>"08505636"</f>
        <v>08505636</v>
      </c>
      <c r="D837" s="1" t="s">
        <v>186</v>
      </c>
      <c r="F837" s="1" t="str">
        <f>"8002"</f>
        <v>8002</v>
      </c>
      <c r="G837" s="2">
        <v>41626.0</v>
      </c>
      <c r="H837" s="1">
        <v>499900.0</v>
      </c>
      <c r="I837" s="1">
        <v>364.0</v>
      </c>
      <c r="J837" s="1">
        <v>495000.0</v>
      </c>
      <c r="K837" s="2">
        <v>41989.0</v>
      </c>
      <c r="L837" s="1">
        <v>364.0</v>
      </c>
      <c r="M837" s="2">
        <v>41989.0</v>
      </c>
      <c r="N837" s="1" t="s">
        <v>187</v>
      </c>
      <c r="O837" s="2">
        <v>42081.0</v>
      </c>
      <c r="P837" s="1">
        <v>37239.0</v>
      </c>
      <c r="Q837" s="1">
        <v>4420.0</v>
      </c>
      <c r="S837" s="1">
        <v>3038.0</v>
      </c>
      <c r="T837" s="1" t="s">
        <v>899</v>
      </c>
      <c r="U837" s="1" t="s">
        <v>189</v>
      </c>
      <c r="V837" s="1" t="s">
        <v>190</v>
      </c>
      <c r="W837" s="1">
        <v>60645.0</v>
      </c>
      <c r="Y837" s="1" t="s">
        <v>9736</v>
      </c>
      <c r="Z837" s="1">
        <v>2002.0</v>
      </c>
      <c r="AA837" s="1" t="s">
        <v>200</v>
      </c>
      <c r="AB837" s="1" t="s">
        <v>193</v>
      </c>
      <c r="AD837" s="1" t="s">
        <v>194</v>
      </c>
      <c r="AE837" s="1" t="s">
        <v>195</v>
      </c>
      <c r="AF837" s="1" t="s">
        <v>2323</v>
      </c>
      <c r="AH837" s="1" t="s">
        <v>9737</v>
      </c>
      <c r="AI837" s="1">
        <v>0.0978</v>
      </c>
      <c r="AK837" s="1">
        <v>10.0</v>
      </c>
      <c r="AL837" s="1">
        <v>4.0</v>
      </c>
      <c r="AM837" s="1">
        <v>3.0</v>
      </c>
      <c r="AN837" s="1">
        <v>1.0</v>
      </c>
      <c r="AO837" s="1" t="s">
        <v>198</v>
      </c>
      <c r="AQ837" s="1" t="s">
        <v>198</v>
      </c>
      <c r="AR837" s="1" t="s">
        <v>192</v>
      </c>
      <c r="AS837" s="1" t="s">
        <v>199</v>
      </c>
      <c r="AT837" s="1">
        <v>2.0</v>
      </c>
      <c r="AV837" s="1" t="s">
        <v>200</v>
      </c>
      <c r="AW837" s="1">
        <v>8307.44</v>
      </c>
      <c r="AX837" s="1">
        <v>2012.0</v>
      </c>
      <c r="AY837" s="1" t="s">
        <v>387</v>
      </c>
      <c r="AZ837" s="1" t="s">
        <v>200</v>
      </c>
      <c r="BA837" s="1" t="str">
        <f>"10363280100000"</f>
        <v>10363280100000</v>
      </c>
      <c r="BC837" s="1">
        <v>0.0</v>
      </c>
      <c r="BD837" s="1">
        <v>526000.0</v>
      </c>
      <c r="BE837" s="2">
        <v>41626.0</v>
      </c>
      <c r="BF837" s="1" t="s">
        <v>9738</v>
      </c>
      <c r="BH837" s="1">
        <v>200.0</v>
      </c>
      <c r="BK837" s="1" t="s">
        <v>474</v>
      </c>
      <c r="BL837" s="1" t="str">
        <f>"6800"</f>
        <v>6800</v>
      </c>
      <c r="BM837" s="1" t="str">
        <f t="shared" si="548"/>
        <v>0</v>
      </c>
      <c r="BN837" s="1">
        <v>3130.0</v>
      </c>
      <c r="BO837" s="1">
        <v>0.0</v>
      </c>
      <c r="BQ837" s="1">
        <v>299.0</v>
      </c>
      <c r="BR837" s="1">
        <v>299.0</v>
      </c>
      <c r="BS837" s="1">
        <v>299.0</v>
      </c>
      <c r="BU837" s="1" t="s">
        <v>208</v>
      </c>
      <c r="BV837" s="1" t="s">
        <v>206</v>
      </c>
      <c r="BW837" s="1" t="s">
        <v>207</v>
      </c>
      <c r="BY837" s="1" t="s">
        <v>208</v>
      </c>
      <c r="BZ837" s="1" t="s">
        <v>209</v>
      </c>
      <c r="CA837" s="1" t="s">
        <v>207</v>
      </c>
      <c r="CC837" s="1" t="s">
        <v>329</v>
      </c>
      <c r="CD837" s="1" t="s">
        <v>206</v>
      </c>
      <c r="CE837" s="1" t="s">
        <v>207</v>
      </c>
      <c r="CG837" s="1" t="s">
        <v>329</v>
      </c>
      <c r="CH837" s="1" t="s">
        <v>209</v>
      </c>
      <c r="CI837" s="1" t="s">
        <v>207</v>
      </c>
      <c r="CK837" s="1" t="s">
        <v>212</v>
      </c>
      <c r="CL837" s="1" t="s">
        <v>209</v>
      </c>
      <c r="CM837" s="1" t="s">
        <v>207</v>
      </c>
      <c r="CO837" s="1" t="s">
        <v>212</v>
      </c>
      <c r="CP837" s="1" t="s">
        <v>209</v>
      </c>
      <c r="CQ837" s="1" t="s">
        <v>207</v>
      </c>
      <c r="CS837" s="1" t="s">
        <v>4387</v>
      </c>
      <c r="CT837" s="1" t="s">
        <v>206</v>
      </c>
      <c r="CU837" s="1" t="s">
        <v>207</v>
      </c>
      <c r="CW837" s="1" t="s">
        <v>361</v>
      </c>
      <c r="CX837" s="1" t="s">
        <v>206</v>
      </c>
      <c r="CY837" s="1" t="s">
        <v>207</v>
      </c>
      <c r="DA837" s="1" t="s">
        <v>200</v>
      </c>
      <c r="DC837" s="1" t="s">
        <v>335</v>
      </c>
      <c r="DD837" s="1" t="s">
        <v>5601</v>
      </c>
      <c r="DE837" s="1" t="s">
        <v>273</v>
      </c>
      <c r="DF837" s="1" t="s">
        <v>219</v>
      </c>
      <c r="DG837" s="1" t="s">
        <v>9739</v>
      </c>
      <c r="DH837" s="1" t="s">
        <v>365</v>
      </c>
      <c r="DI837" s="1" t="s">
        <v>9740</v>
      </c>
      <c r="DJ837" s="1" t="s">
        <v>222</v>
      </c>
      <c r="DL837" s="1" t="s">
        <v>224</v>
      </c>
      <c r="DM837" s="1" t="s">
        <v>338</v>
      </c>
      <c r="DN837" s="1" t="s">
        <v>399</v>
      </c>
      <c r="DP837" s="1" t="s">
        <v>340</v>
      </c>
      <c r="DQ837" s="1" t="s">
        <v>228</v>
      </c>
      <c r="DR837" s="1" t="s">
        <v>9741</v>
      </c>
      <c r="DS837" s="1" t="s">
        <v>230</v>
      </c>
      <c r="DV837" s="1" t="s">
        <v>2259</v>
      </c>
      <c r="DW837" s="1" t="s">
        <v>233</v>
      </c>
      <c r="DX837" s="1" t="s">
        <v>234</v>
      </c>
      <c r="DY837" s="1" t="s">
        <v>704</v>
      </c>
      <c r="EA837" s="1" t="s">
        <v>3308</v>
      </c>
      <c r="EC837" s="1" t="s">
        <v>237</v>
      </c>
      <c r="ED837" s="1" t="s">
        <v>555</v>
      </c>
      <c r="EH837" s="1" t="s">
        <v>450</v>
      </c>
      <c r="EI837" s="1" t="s">
        <v>449</v>
      </c>
      <c r="EM837" s="1" t="s">
        <v>238</v>
      </c>
      <c r="EP837" s="1" t="s">
        <v>9742</v>
      </c>
      <c r="EQ837" s="1" t="s">
        <v>267</v>
      </c>
      <c r="ET837" s="1" t="s">
        <v>582</v>
      </c>
      <c r="EU837" s="1" t="s">
        <v>206</v>
      </c>
      <c r="EV837" s="1" t="s">
        <v>207</v>
      </c>
      <c r="EY837" s="1" t="s">
        <v>238</v>
      </c>
      <c r="FC837" s="1" t="s">
        <v>238</v>
      </c>
      <c r="FF837" s="1" t="s">
        <v>239</v>
      </c>
      <c r="FG837" s="1" t="s">
        <v>192</v>
      </c>
      <c r="FH837" s="1" t="s">
        <v>192</v>
      </c>
      <c r="FJ837" s="1" t="s">
        <v>799</v>
      </c>
      <c r="FK837" s="1" t="s">
        <v>1586</v>
      </c>
      <c r="FL837" s="1" t="s">
        <v>8394</v>
      </c>
      <c r="FM837" s="1">
        <v>3913.0</v>
      </c>
      <c r="FN837" s="1" t="s">
        <v>8395</v>
      </c>
      <c r="FO837" s="1" t="s">
        <v>8396</v>
      </c>
      <c r="FP837" s="1">
        <v>32108.0</v>
      </c>
      <c r="FQ837" s="1" t="s">
        <v>8397</v>
      </c>
      <c r="FR837" s="1">
        <v>32261.0</v>
      </c>
      <c r="FU837" s="1" t="s">
        <v>9743</v>
      </c>
      <c r="FV837" s="1" t="s">
        <v>200</v>
      </c>
      <c r="FW837" s="1" t="s">
        <v>9744</v>
      </c>
      <c r="FX837" s="1" t="s">
        <v>246</v>
      </c>
      <c r="FZ837" s="1" t="s">
        <v>229</v>
      </c>
      <c r="GA837" s="1" t="s">
        <v>291</v>
      </c>
      <c r="GB837" s="2">
        <v>42088.0</v>
      </c>
      <c r="GC837" s="1" t="s">
        <v>9745</v>
      </c>
    </row>
    <row r="838">
      <c r="A838" s="1">
        <v>507500.0</v>
      </c>
      <c r="B838" s="1" t="s">
        <v>185</v>
      </c>
      <c r="C838" s="1" t="str">
        <f>"08564119"</f>
        <v>08564119</v>
      </c>
      <c r="D838" s="1" t="s">
        <v>186</v>
      </c>
      <c r="F838" s="1" t="str">
        <f>"134"</f>
        <v>134</v>
      </c>
      <c r="G838" s="2">
        <v>41719.0</v>
      </c>
      <c r="H838" s="1">
        <v>579900.0</v>
      </c>
      <c r="I838" s="1">
        <v>316.0</v>
      </c>
      <c r="J838" s="1">
        <v>519900.0</v>
      </c>
      <c r="K838" s="2">
        <v>42034.0</v>
      </c>
      <c r="L838" s="1">
        <v>316.0</v>
      </c>
      <c r="M838" s="2">
        <v>42034.0</v>
      </c>
      <c r="N838" s="1" t="s">
        <v>187</v>
      </c>
      <c r="O838" s="2">
        <v>42079.0</v>
      </c>
      <c r="P838" s="1">
        <v>347.0</v>
      </c>
      <c r="Q838" s="1">
        <v>358.0</v>
      </c>
      <c r="S838" s="1">
        <v>1028.0</v>
      </c>
      <c r="T838" s="1" t="s">
        <v>9746</v>
      </c>
      <c r="U838" s="1" t="s">
        <v>569</v>
      </c>
      <c r="V838" s="1" t="s">
        <v>421</v>
      </c>
      <c r="W838" s="1">
        <v>60134.0</v>
      </c>
      <c r="Y838" s="1" t="s">
        <v>9747</v>
      </c>
      <c r="Z838" s="1">
        <v>2014.0</v>
      </c>
      <c r="AA838" s="1" t="s">
        <v>200</v>
      </c>
      <c r="AB838" s="1" t="s">
        <v>467</v>
      </c>
      <c r="AC838" s="1" t="s">
        <v>9746</v>
      </c>
      <c r="AD838" s="1" t="s">
        <v>424</v>
      </c>
      <c r="AE838" s="1" t="s">
        <v>325</v>
      </c>
      <c r="AF838" s="1" t="s">
        <v>424</v>
      </c>
      <c r="AH838" s="1" t="s">
        <v>9748</v>
      </c>
      <c r="AK838" s="1">
        <v>8.0</v>
      </c>
      <c r="AL838" s="1">
        <v>4.0</v>
      </c>
      <c r="AM838" s="1">
        <v>3.0</v>
      </c>
      <c r="AN838" s="1">
        <v>1.0</v>
      </c>
      <c r="AO838" s="1" t="s">
        <v>198</v>
      </c>
      <c r="AQ838" s="1" t="s">
        <v>198</v>
      </c>
      <c r="AR838" s="1" t="s">
        <v>200</v>
      </c>
      <c r="AS838" s="1" t="s">
        <v>199</v>
      </c>
      <c r="AT838" s="1">
        <v>3.0</v>
      </c>
      <c r="AV838" s="1" t="s">
        <v>200</v>
      </c>
      <c r="AW838" s="1" t="s">
        <v>575</v>
      </c>
      <c r="AX838" s="1">
        <v>2012.0</v>
      </c>
      <c r="AZ838" s="1" t="s">
        <v>200</v>
      </c>
      <c r="BA838" s="1" t="str">
        <f>"1208335007"</f>
        <v>1208335007</v>
      </c>
      <c r="BC838" s="1">
        <v>3072.0</v>
      </c>
      <c r="BD838" s="1">
        <v>507500.0</v>
      </c>
      <c r="BE838" s="2">
        <v>41719.0</v>
      </c>
      <c r="BF838" s="2" t="s">
        <v>9749</v>
      </c>
      <c r="BH838" s="1">
        <v>300.0</v>
      </c>
      <c r="BK838" s="1" t="s">
        <v>580</v>
      </c>
      <c r="BL838" s="1" t="str">
        <f t="shared" ref="BL838:BM838" si="549">""</f>
        <v/>
      </c>
      <c r="BM838" s="1" t="str">
        <f t="shared" si="549"/>
        <v/>
      </c>
      <c r="BN838" s="1">
        <v>37.0</v>
      </c>
      <c r="BQ838" s="1">
        <v>304.0</v>
      </c>
      <c r="BR838" s="1">
        <v>304.0</v>
      </c>
      <c r="BS838" s="1">
        <v>304.0</v>
      </c>
      <c r="BV838" s="1" t="s">
        <v>204</v>
      </c>
      <c r="BY838" s="1" t="s">
        <v>496</v>
      </c>
      <c r="BZ838" s="1" t="s">
        <v>209</v>
      </c>
      <c r="CA838" s="1" t="s">
        <v>210</v>
      </c>
      <c r="CC838" s="1" t="s">
        <v>1064</v>
      </c>
      <c r="CD838" s="1" t="s">
        <v>206</v>
      </c>
      <c r="CE838" s="1" t="s">
        <v>207</v>
      </c>
      <c r="CG838" s="1" t="s">
        <v>332</v>
      </c>
      <c r="CH838" s="1" t="s">
        <v>209</v>
      </c>
      <c r="CI838" s="1" t="s">
        <v>210</v>
      </c>
      <c r="CK838" s="1" t="s">
        <v>332</v>
      </c>
      <c r="CL838" s="1" t="s">
        <v>209</v>
      </c>
      <c r="CM838" s="1" t="s">
        <v>210</v>
      </c>
      <c r="CO838" s="1" t="s">
        <v>262</v>
      </c>
      <c r="CP838" s="1" t="s">
        <v>209</v>
      </c>
      <c r="CQ838" s="1" t="s">
        <v>210</v>
      </c>
      <c r="CS838" s="1" t="s">
        <v>1044</v>
      </c>
      <c r="CT838" s="1" t="s">
        <v>206</v>
      </c>
      <c r="CU838" s="1" t="s">
        <v>207</v>
      </c>
      <c r="CW838" s="1" t="s">
        <v>1045</v>
      </c>
      <c r="CX838" s="1" t="s">
        <v>206</v>
      </c>
      <c r="CY838" s="1" t="s">
        <v>207</v>
      </c>
      <c r="DA838" s="1" t="s">
        <v>192</v>
      </c>
      <c r="DB838" s="2">
        <v>41760.0</v>
      </c>
      <c r="DC838" s="1" t="s">
        <v>1353</v>
      </c>
      <c r="DD838" s="1" t="s">
        <v>759</v>
      </c>
      <c r="DE838" s="1" t="s">
        <v>273</v>
      </c>
      <c r="DF838" s="1" t="s">
        <v>219</v>
      </c>
      <c r="DH838" s="1" t="s">
        <v>7667</v>
      </c>
      <c r="DI838" s="1" t="s">
        <v>1604</v>
      </c>
      <c r="DJ838" s="1" t="s">
        <v>222</v>
      </c>
      <c r="DL838" s="1" t="s">
        <v>223</v>
      </c>
      <c r="DM838" s="1" t="s">
        <v>229</v>
      </c>
      <c r="DP838" s="1" t="s">
        <v>340</v>
      </c>
      <c r="DQ838" s="1" t="s">
        <v>441</v>
      </c>
      <c r="DR838" s="1" t="s">
        <v>9750</v>
      </c>
      <c r="DS838" s="1" t="s">
        <v>591</v>
      </c>
      <c r="DV838" s="1" t="s">
        <v>494</v>
      </c>
      <c r="DW838" s="1" t="s">
        <v>1026</v>
      </c>
      <c r="DX838" s="1" t="s">
        <v>234</v>
      </c>
      <c r="EC838" s="1" t="s">
        <v>237</v>
      </c>
      <c r="EG838" s="1" t="s">
        <v>494</v>
      </c>
      <c r="EL838" s="1" t="s">
        <v>699</v>
      </c>
      <c r="EM838" s="1" t="s">
        <v>206</v>
      </c>
      <c r="EN838" s="1" t="s">
        <v>207</v>
      </c>
      <c r="EQ838" s="1" t="s">
        <v>238</v>
      </c>
      <c r="EU838" s="1" t="s">
        <v>238</v>
      </c>
      <c r="EY838" s="1" t="s">
        <v>238</v>
      </c>
      <c r="FC838" s="1" t="s">
        <v>238</v>
      </c>
      <c r="FF838" s="1" t="s">
        <v>239</v>
      </c>
      <c r="FG838" s="1" t="s">
        <v>200</v>
      </c>
      <c r="FH838" s="1" t="s">
        <v>200</v>
      </c>
      <c r="FJ838" s="1" t="s">
        <v>3514</v>
      </c>
      <c r="FK838" s="1" t="s">
        <v>229</v>
      </c>
      <c r="FL838" s="1" t="s">
        <v>1054</v>
      </c>
      <c r="FM838" s="1">
        <v>191.0</v>
      </c>
      <c r="FN838" s="1" t="s">
        <v>1055</v>
      </c>
      <c r="FO838" s="1" t="s">
        <v>1056</v>
      </c>
      <c r="FP838" s="1">
        <v>593.0</v>
      </c>
      <c r="FU838" s="1" t="s">
        <v>9751</v>
      </c>
      <c r="FV838" s="1" t="s">
        <v>200</v>
      </c>
      <c r="FW838" s="1" t="s">
        <v>1293</v>
      </c>
      <c r="FZ838" s="1" t="s">
        <v>229</v>
      </c>
      <c r="GA838" s="1" t="s">
        <v>291</v>
      </c>
      <c r="GB838" s="2">
        <v>42080.0</v>
      </c>
    </row>
    <row r="839">
      <c r="A839" s="1">
        <v>100000.0</v>
      </c>
      <c r="B839" s="1" t="s">
        <v>185</v>
      </c>
      <c r="C839" s="1" t="str">
        <f>"08515292"</f>
        <v>08515292</v>
      </c>
      <c r="D839" s="1" t="s">
        <v>186</v>
      </c>
      <c r="F839" s="1" t="str">
        <f>"545"</f>
        <v>545</v>
      </c>
      <c r="G839" s="2">
        <v>41651.0</v>
      </c>
      <c r="H839" s="1">
        <v>160000.0</v>
      </c>
      <c r="I839" s="1">
        <v>156.0</v>
      </c>
      <c r="J839" s="1">
        <v>124000.0</v>
      </c>
      <c r="K839" s="2">
        <v>41806.0</v>
      </c>
      <c r="L839" s="1">
        <v>156.0</v>
      </c>
      <c r="M839" s="2">
        <v>41806.0</v>
      </c>
      <c r="N839" s="1" t="s">
        <v>356</v>
      </c>
      <c r="O839" s="2">
        <v>42003.0</v>
      </c>
      <c r="P839" s="1">
        <v>86021.0</v>
      </c>
      <c r="Q839" s="1">
        <v>1946.0</v>
      </c>
      <c r="S839" s="1">
        <v>519.0</v>
      </c>
      <c r="T839" s="1" t="s">
        <v>9752</v>
      </c>
      <c r="U839" s="1" t="s">
        <v>320</v>
      </c>
      <c r="V839" s="1" t="s">
        <v>3364</v>
      </c>
      <c r="W839" s="1">
        <v>60545.0</v>
      </c>
      <c r="Y839" s="1" t="s">
        <v>9753</v>
      </c>
      <c r="Z839" s="1">
        <v>1960.0</v>
      </c>
      <c r="AA839" s="1" t="s">
        <v>192</v>
      </c>
      <c r="AB839" s="1" t="s">
        <v>193</v>
      </c>
      <c r="AD839" s="1" t="s">
        <v>3366</v>
      </c>
      <c r="AE839" s="1" t="s">
        <v>849</v>
      </c>
      <c r="AF839" s="1" t="s">
        <v>3367</v>
      </c>
      <c r="AH839" s="1" t="s">
        <v>3421</v>
      </c>
      <c r="AK839" s="1">
        <v>8.0</v>
      </c>
      <c r="AL839" s="1">
        <v>4.0</v>
      </c>
      <c r="AM839" s="1">
        <v>2.0</v>
      </c>
      <c r="AN839" s="1">
        <v>0.0</v>
      </c>
      <c r="AO839" s="1" t="s">
        <v>229</v>
      </c>
      <c r="AQ839" s="1" t="s">
        <v>229</v>
      </c>
      <c r="AR839" s="1" t="s">
        <v>200</v>
      </c>
      <c r="AS839" s="1" t="s">
        <v>199</v>
      </c>
      <c r="AT839" s="1">
        <v>1.0</v>
      </c>
      <c r="AV839" s="1" t="s">
        <v>200</v>
      </c>
      <c r="AW839" s="1">
        <v>3827.62</v>
      </c>
      <c r="AX839" s="1">
        <v>2012.0</v>
      </c>
      <c r="AZ839" s="1" t="s">
        <v>200</v>
      </c>
      <c r="BA839" s="1" t="str">
        <f>"0122258019"</f>
        <v>0122258019</v>
      </c>
      <c r="BC839" s="1">
        <v>1800.0</v>
      </c>
      <c r="BD839" s="1">
        <v>100000.0</v>
      </c>
      <c r="BE839" s="2">
        <v>41651.0</v>
      </c>
      <c r="BF839" s="1" t="s">
        <v>9754</v>
      </c>
      <c r="BG839" s="1" t="s">
        <v>3370</v>
      </c>
      <c r="BH839" s="1">
        <v>0.0</v>
      </c>
      <c r="BI839" s="1" t="s">
        <v>3371</v>
      </c>
      <c r="BJ839" s="1" t="s">
        <v>3372</v>
      </c>
      <c r="BK839" s="1" t="s">
        <v>204</v>
      </c>
      <c r="BL839" s="1" t="str">
        <f t="shared" ref="BL839:BM839" si="550">"0"</f>
        <v>0</v>
      </c>
      <c r="BM839" s="1" t="str">
        <f t="shared" si="550"/>
        <v>0</v>
      </c>
      <c r="BN839" s="1">
        <v>0.0</v>
      </c>
      <c r="BO839" s="1">
        <v>0.0</v>
      </c>
      <c r="BQ839" s="1">
        <v>88.0</v>
      </c>
      <c r="BR839" s="1">
        <v>88.0</v>
      </c>
      <c r="BS839" s="1">
        <v>88.0</v>
      </c>
      <c r="BU839" s="1" t="s">
        <v>214</v>
      </c>
      <c r="BV839" s="1" t="s">
        <v>206</v>
      </c>
      <c r="BW839" s="1" t="s">
        <v>207</v>
      </c>
      <c r="BX839" s="1" t="s">
        <v>229</v>
      </c>
      <c r="BY839" s="1" t="s">
        <v>1183</v>
      </c>
      <c r="BZ839" s="1" t="s">
        <v>209</v>
      </c>
      <c r="CA839" s="1" t="s">
        <v>207</v>
      </c>
      <c r="CB839" s="1" t="s">
        <v>229</v>
      </c>
      <c r="CC839" s="1" t="s">
        <v>623</v>
      </c>
      <c r="CD839" s="1" t="s">
        <v>206</v>
      </c>
      <c r="CE839" s="1" t="s">
        <v>207</v>
      </c>
      <c r="CF839" s="1" t="s">
        <v>229</v>
      </c>
      <c r="CG839" s="1" t="s">
        <v>1395</v>
      </c>
      <c r="CH839" s="1" t="s">
        <v>209</v>
      </c>
      <c r="CI839" s="1" t="s">
        <v>207</v>
      </c>
      <c r="CJ839" s="1" t="s">
        <v>229</v>
      </c>
      <c r="CK839" s="1" t="s">
        <v>2460</v>
      </c>
      <c r="CL839" s="1" t="s">
        <v>209</v>
      </c>
      <c r="CM839" s="1" t="s">
        <v>207</v>
      </c>
      <c r="CN839" s="1" t="s">
        <v>229</v>
      </c>
      <c r="CO839" s="1" t="s">
        <v>269</v>
      </c>
      <c r="CP839" s="1" t="s">
        <v>267</v>
      </c>
      <c r="CQ839" s="1" t="s">
        <v>210</v>
      </c>
      <c r="CR839" s="1" t="s">
        <v>229</v>
      </c>
      <c r="CS839" s="1" t="s">
        <v>495</v>
      </c>
      <c r="CT839" s="1" t="s">
        <v>206</v>
      </c>
      <c r="CU839" s="1" t="s">
        <v>207</v>
      </c>
      <c r="CV839" s="1" t="s">
        <v>229</v>
      </c>
      <c r="CW839" s="1" t="s">
        <v>2273</v>
      </c>
      <c r="CX839" s="1" t="s">
        <v>267</v>
      </c>
      <c r="CY839" s="1" t="s">
        <v>301</v>
      </c>
      <c r="CZ839" s="1" t="s">
        <v>229</v>
      </c>
      <c r="DA839" s="1" t="s">
        <v>200</v>
      </c>
      <c r="DC839" s="1" t="s">
        <v>271</v>
      </c>
      <c r="DE839" s="1" t="s">
        <v>273</v>
      </c>
      <c r="DF839" s="1" t="s">
        <v>619</v>
      </c>
      <c r="DH839" s="1" t="s">
        <v>220</v>
      </c>
      <c r="DI839" s="1" t="s">
        <v>1003</v>
      </c>
      <c r="DJ839" s="1" t="s">
        <v>222</v>
      </c>
      <c r="DL839" s="1" t="s">
        <v>1853</v>
      </c>
      <c r="DM839" s="1" t="s">
        <v>229</v>
      </c>
      <c r="DO839" s="1" t="s">
        <v>590</v>
      </c>
      <c r="DQ839" s="1" t="s">
        <v>441</v>
      </c>
      <c r="DR839" s="1" t="s">
        <v>229</v>
      </c>
      <c r="DU839" s="1" t="s">
        <v>9755</v>
      </c>
      <c r="DV839" s="1" t="s">
        <v>232</v>
      </c>
      <c r="DW839" s="1" t="s">
        <v>233</v>
      </c>
      <c r="DX839" s="1" t="s">
        <v>234</v>
      </c>
      <c r="EA839" s="1" t="s">
        <v>283</v>
      </c>
      <c r="EC839" s="1" t="s">
        <v>284</v>
      </c>
      <c r="EM839" s="1" t="s">
        <v>238</v>
      </c>
      <c r="EQ839" s="1" t="s">
        <v>238</v>
      </c>
      <c r="EU839" s="1" t="s">
        <v>238</v>
      </c>
      <c r="EY839" s="1" t="s">
        <v>238</v>
      </c>
      <c r="FC839" s="1" t="s">
        <v>238</v>
      </c>
      <c r="FF839" s="1" t="s">
        <v>239</v>
      </c>
      <c r="FG839" s="1" t="s">
        <v>192</v>
      </c>
      <c r="FH839" s="1" t="s">
        <v>192</v>
      </c>
      <c r="FJ839" s="1" t="s">
        <v>624</v>
      </c>
      <c r="FK839" s="1" t="s">
        <v>1586</v>
      </c>
      <c r="FL839" s="1" t="s">
        <v>1007</v>
      </c>
      <c r="FM839" s="1">
        <v>22588.0</v>
      </c>
      <c r="FN839" s="1" t="s">
        <v>1321</v>
      </c>
      <c r="FO839" s="1" t="s">
        <v>1322</v>
      </c>
      <c r="FP839" s="1">
        <v>223009.0</v>
      </c>
      <c r="FQ839" s="1" t="s">
        <v>1323</v>
      </c>
      <c r="FU839" s="1" t="s">
        <v>3993</v>
      </c>
      <c r="FV839" s="1" t="s">
        <v>200</v>
      </c>
      <c r="FW839" s="1" t="s">
        <v>530</v>
      </c>
      <c r="FX839" s="1" t="s">
        <v>1739</v>
      </c>
      <c r="FZ839" s="1" t="s">
        <v>229</v>
      </c>
      <c r="GA839" s="1" t="s">
        <v>291</v>
      </c>
      <c r="GB839" s="2">
        <v>42004.0</v>
      </c>
      <c r="GC839" s="1" t="s">
        <v>3170</v>
      </c>
    </row>
    <row r="840">
      <c r="A840" s="1">
        <v>141000.0</v>
      </c>
      <c r="B840" s="1" t="s">
        <v>185</v>
      </c>
      <c r="C840" s="1" t="str">
        <f>"08512516"</f>
        <v>08512516</v>
      </c>
      <c r="D840" s="1" t="s">
        <v>186</v>
      </c>
      <c r="F840" s="1" t="str">
        <f>"123"</f>
        <v>123</v>
      </c>
      <c r="G840" s="2">
        <v>41646.0</v>
      </c>
      <c r="H840" s="1">
        <v>225500.0</v>
      </c>
      <c r="I840" s="1">
        <v>336.0</v>
      </c>
      <c r="J840" s="1">
        <v>139900.0</v>
      </c>
      <c r="K840" s="2">
        <v>41981.0</v>
      </c>
      <c r="L840" s="1">
        <v>336.0</v>
      </c>
      <c r="M840" s="2">
        <v>41981.0</v>
      </c>
      <c r="N840" s="1" t="s">
        <v>249</v>
      </c>
      <c r="O840" s="2">
        <v>41997.0</v>
      </c>
      <c r="P840" s="1">
        <v>259430.0</v>
      </c>
      <c r="Q840" s="1">
        <v>24587.0</v>
      </c>
      <c r="S840" s="1" t="s">
        <v>9756</v>
      </c>
      <c r="T840" s="1" t="s">
        <v>9757</v>
      </c>
      <c r="U840" s="1" t="s">
        <v>1174</v>
      </c>
      <c r="V840" s="1" t="s">
        <v>465</v>
      </c>
      <c r="W840" s="1">
        <v>60124.0</v>
      </c>
      <c r="Y840" s="1" t="s">
        <v>9758</v>
      </c>
      <c r="Z840" s="1">
        <v>1973.0</v>
      </c>
      <c r="AA840" s="1" t="s">
        <v>192</v>
      </c>
      <c r="AB840" s="1" t="s">
        <v>193</v>
      </c>
      <c r="AD840" s="1" t="s">
        <v>469</v>
      </c>
      <c r="AE840" s="1" t="s">
        <v>325</v>
      </c>
      <c r="AF840" s="1" t="s">
        <v>469</v>
      </c>
      <c r="AH840" s="1" t="s">
        <v>9759</v>
      </c>
      <c r="AK840" s="1">
        <v>9.0</v>
      </c>
      <c r="AL840" s="1">
        <v>4.0</v>
      </c>
      <c r="AM840" s="1">
        <v>2.0</v>
      </c>
      <c r="AN840" s="1">
        <v>2.0</v>
      </c>
      <c r="AO840" s="1" t="s">
        <v>198</v>
      </c>
      <c r="AP840" s="1">
        <v>1.0</v>
      </c>
      <c r="AQ840" s="1" t="s">
        <v>198</v>
      </c>
      <c r="AR840" s="1" t="s">
        <v>192</v>
      </c>
      <c r="AS840" s="1" t="s">
        <v>199</v>
      </c>
      <c r="AT840" s="1">
        <v>2.0</v>
      </c>
      <c r="AV840" s="1" t="s">
        <v>200</v>
      </c>
      <c r="AW840" s="1">
        <v>8405.0</v>
      </c>
      <c r="AX840" s="1">
        <v>2012.0</v>
      </c>
      <c r="AZ840" s="1" t="s">
        <v>200</v>
      </c>
      <c r="BA840" s="1" t="str">
        <f>"0631251027"</f>
        <v>0631251027</v>
      </c>
      <c r="BC840" s="1">
        <v>0.0</v>
      </c>
      <c r="BD840" s="1">
        <v>141000.0</v>
      </c>
      <c r="BE840" s="2">
        <v>41646.0</v>
      </c>
      <c r="BF840" s="2" t="s">
        <v>9760</v>
      </c>
      <c r="BH840" s="1">
        <v>0.0</v>
      </c>
      <c r="BK840" s="1" t="s">
        <v>204</v>
      </c>
      <c r="BL840" s="1" t="str">
        <f>"8"</f>
        <v>8</v>
      </c>
      <c r="BM840" s="1" t="str">
        <f t="shared" ref="BM840:BM843" si="551">"0"</f>
        <v>0</v>
      </c>
      <c r="BN840" s="1">
        <v>38.0</v>
      </c>
      <c r="BO840" s="1">
        <v>0.0</v>
      </c>
      <c r="BQ840" s="1">
        <v>46.0</v>
      </c>
      <c r="BR840" s="1">
        <v>46.0</v>
      </c>
      <c r="BS840" s="1">
        <v>46.0</v>
      </c>
      <c r="BU840" s="1" t="s">
        <v>9761</v>
      </c>
      <c r="BV840" s="1" t="s">
        <v>206</v>
      </c>
      <c r="BY840" s="1" t="s">
        <v>784</v>
      </c>
      <c r="BZ840" s="1" t="s">
        <v>209</v>
      </c>
      <c r="CC840" s="1" t="s">
        <v>213</v>
      </c>
      <c r="CD840" s="1" t="s">
        <v>206</v>
      </c>
      <c r="CG840" s="1" t="s">
        <v>743</v>
      </c>
      <c r="CH840" s="1" t="s">
        <v>209</v>
      </c>
      <c r="CK840" s="1" t="s">
        <v>743</v>
      </c>
      <c r="CL840" s="1" t="s">
        <v>209</v>
      </c>
      <c r="CO840" s="1" t="s">
        <v>331</v>
      </c>
      <c r="CP840" s="1" t="s">
        <v>209</v>
      </c>
      <c r="CS840" s="1" t="s">
        <v>361</v>
      </c>
      <c r="CT840" s="1" t="s">
        <v>206</v>
      </c>
      <c r="CW840" s="1" t="s">
        <v>2014</v>
      </c>
      <c r="CX840" s="1" t="s">
        <v>206</v>
      </c>
      <c r="DA840" s="1" t="s">
        <v>200</v>
      </c>
      <c r="DC840" s="1" t="s">
        <v>517</v>
      </c>
      <c r="DE840" s="1" t="s">
        <v>229</v>
      </c>
      <c r="DF840" s="1" t="s">
        <v>905</v>
      </c>
      <c r="DH840" s="1" t="s">
        <v>220</v>
      </c>
      <c r="DJ840" s="1" t="s">
        <v>222</v>
      </c>
      <c r="DL840" s="1" t="s">
        <v>223</v>
      </c>
      <c r="DM840" s="1" t="s">
        <v>229</v>
      </c>
      <c r="DQ840" s="1" t="s">
        <v>1557</v>
      </c>
      <c r="DR840" s="1" t="s">
        <v>229</v>
      </c>
      <c r="DV840" s="1" t="s">
        <v>494</v>
      </c>
      <c r="DW840" s="1" t="s">
        <v>891</v>
      </c>
      <c r="DX840" s="1" t="s">
        <v>234</v>
      </c>
      <c r="EC840" s="1" t="s">
        <v>237</v>
      </c>
      <c r="EG840" s="1" t="s">
        <v>494</v>
      </c>
      <c r="EL840" s="1" t="s">
        <v>433</v>
      </c>
      <c r="EM840" s="1" t="s">
        <v>206</v>
      </c>
      <c r="EQ840" s="1" t="s">
        <v>238</v>
      </c>
      <c r="EU840" s="1" t="s">
        <v>238</v>
      </c>
      <c r="EY840" s="1" t="s">
        <v>238</v>
      </c>
      <c r="FC840" s="1" t="s">
        <v>238</v>
      </c>
      <c r="FF840" s="1" t="s">
        <v>239</v>
      </c>
      <c r="FG840" s="1" t="s">
        <v>200</v>
      </c>
      <c r="FH840" s="1" t="s">
        <v>192</v>
      </c>
      <c r="FJ840" s="1" t="s">
        <v>1248</v>
      </c>
      <c r="FK840" s="1" t="s">
        <v>229</v>
      </c>
      <c r="FL840" s="1" t="s">
        <v>3443</v>
      </c>
      <c r="FM840" s="1">
        <v>8658.0</v>
      </c>
      <c r="FN840" s="1" t="s">
        <v>3444</v>
      </c>
      <c r="FO840" s="1" t="s">
        <v>3445</v>
      </c>
      <c r="FP840" s="1">
        <v>84760.0</v>
      </c>
      <c r="FQ840" s="1" t="s">
        <v>3444</v>
      </c>
      <c r="FS840" s="1" t="s">
        <v>9762</v>
      </c>
      <c r="FU840" s="1" t="s">
        <v>710</v>
      </c>
      <c r="FV840" s="1" t="s">
        <v>200</v>
      </c>
      <c r="FW840" s="1" t="s">
        <v>290</v>
      </c>
      <c r="FZ840" s="1" t="s">
        <v>229</v>
      </c>
      <c r="GA840" s="1" t="s">
        <v>291</v>
      </c>
      <c r="GB840" s="2">
        <v>42002.0</v>
      </c>
      <c r="GC840" s="1" t="s">
        <v>4314</v>
      </c>
    </row>
    <row r="841">
      <c r="A841" s="1">
        <v>405000.0</v>
      </c>
      <c r="B841" s="1" t="s">
        <v>185</v>
      </c>
      <c r="C841" s="1" t="str">
        <f>"08519885"</f>
        <v>08519885</v>
      </c>
      <c r="D841" s="1" t="s">
        <v>186</v>
      </c>
      <c r="F841" s="1" t="str">
        <f>"10"</f>
        <v>10</v>
      </c>
      <c r="G841" s="2">
        <v>41658.0</v>
      </c>
      <c r="H841" s="1">
        <v>580000.0</v>
      </c>
      <c r="I841" s="1">
        <v>913.0</v>
      </c>
      <c r="J841" s="1">
        <v>469000.0</v>
      </c>
      <c r="K841" s="2">
        <v>41988.0</v>
      </c>
      <c r="L841" s="1">
        <v>331.0</v>
      </c>
      <c r="M841" s="2">
        <v>41988.0</v>
      </c>
      <c r="N841" s="1" t="s">
        <v>187</v>
      </c>
      <c r="O841" s="2">
        <v>42055.0</v>
      </c>
      <c r="P841" s="1">
        <v>63074.0</v>
      </c>
      <c r="Q841" s="1">
        <v>6469.0</v>
      </c>
      <c r="S841" s="1">
        <v>67.0</v>
      </c>
      <c r="T841" s="1" t="s">
        <v>9763</v>
      </c>
      <c r="U841" s="1" t="s">
        <v>464</v>
      </c>
      <c r="V841" s="1" t="s">
        <v>1945</v>
      </c>
      <c r="W841" s="1">
        <v>60010.0</v>
      </c>
      <c r="Y841" s="1" t="s">
        <v>9764</v>
      </c>
      <c r="Z841" s="1">
        <v>1959.0</v>
      </c>
      <c r="AA841" s="1" t="s">
        <v>192</v>
      </c>
      <c r="AB841" s="1" t="s">
        <v>193</v>
      </c>
      <c r="AD841" s="1" t="s">
        <v>9765</v>
      </c>
      <c r="AE841" s="1" t="s">
        <v>195</v>
      </c>
      <c r="AF841" s="1" t="s">
        <v>1948</v>
      </c>
      <c r="AH841" s="1" t="s">
        <v>9766</v>
      </c>
      <c r="AK841" s="1">
        <v>11.0</v>
      </c>
      <c r="AL841" s="1">
        <v>4.0</v>
      </c>
      <c r="AM841" s="1">
        <v>2.0</v>
      </c>
      <c r="AN841" s="1">
        <v>1.0</v>
      </c>
      <c r="AO841" s="1" t="s">
        <v>198</v>
      </c>
      <c r="AP841" s="1">
        <v>2.0</v>
      </c>
      <c r="AQ841" s="1" t="s">
        <v>198</v>
      </c>
      <c r="AR841" s="1" t="s">
        <v>200</v>
      </c>
      <c r="AS841" s="1" t="s">
        <v>199</v>
      </c>
      <c r="AT841" s="1">
        <v>2.0</v>
      </c>
      <c r="AV841" s="1" t="s">
        <v>200</v>
      </c>
      <c r="AW841" s="1">
        <v>14590.0</v>
      </c>
      <c r="AX841" s="1">
        <v>2012.0</v>
      </c>
      <c r="AY841" s="1" t="s">
        <v>229</v>
      </c>
      <c r="AZ841" s="1" t="s">
        <v>200</v>
      </c>
      <c r="BA841" s="1" t="str">
        <f>"01102020330000"</f>
        <v>01102020330000</v>
      </c>
      <c r="BB841" s="1" t="s">
        <v>192</v>
      </c>
      <c r="BC841" s="1">
        <v>2850.0</v>
      </c>
      <c r="BD841" s="1">
        <v>405000.0</v>
      </c>
      <c r="BE841" s="2">
        <v>41658.0</v>
      </c>
      <c r="BF841" s="1" t="s">
        <v>9767</v>
      </c>
      <c r="BG841" s="1" t="s">
        <v>9768</v>
      </c>
      <c r="BH841" s="1">
        <v>0.0</v>
      </c>
      <c r="BI841" s="1" t="s">
        <v>1713</v>
      </c>
      <c r="BJ841" s="1" t="s">
        <v>1714</v>
      </c>
      <c r="BK841" s="1" t="s">
        <v>204</v>
      </c>
      <c r="BL841" s="1" t="str">
        <f>"17"</f>
        <v>17</v>
      </c>
      <c r="BM841" s="1" t="str">
        <f t="shared" si="551"/>
        <v>0</v>
      </c>
      <c r="BN841" s="1">
        <v>27.0</v>
      </c>
      <c r="BO841" s="1">
        <v>0.0</v>
      </c>
      <c r="BQ841" s="1">
        <v>220.0</v>
      </c>
      <c r="BR841" s="1">
        <v>220.0</v>
      </c>
      <c r="BS841" s="1">
        <v>220.0</v>
      </c>
      <c r="BU841" s="1" t="s">
        <v>813</v>
      </c>
      <c r="BV841" s="1" t="s">
        <v>206</v>
      </c>
      <c r="BW841" s="1" t="s">
        <v>207</v>
      </c>
      <c r="BY841" s="1" t="s">
        <v>454</v>
      </c>
      <c r="BZ841" s="1" t="s">
        <v>206</v>
      </c>
      <c r="CA841" s="1" t="s">
        <v>210</v>
      </c>
      <c r="CC841" s="1" t="s">
        <v>329</v>
      </c>
      <c r="CD841" s="1" t="s">
        <v>206</v>
      </c>
      <c r="CE841" s="1" t="s">
        <v>207</v>
      </c>
      <c r="CG841" s="1" t="s">
        <v>212</v>
      </c>
      <c r="CH841" s="1" t="s">
        <v>206</v>
      </c>
      <c r="CI841" s="1" t="s">
        <v>210</v>
      </c>
      <c r="CK841" s="1" t="s">
        <v>212</v>
      </c>
      <c r="CL841" s="1" t="s">
        <v>206</v>
      </c>
      <c r="CM841" s="1" t="s">
        <v>210</v>
      </c>
      <c r="CO841" s="1" t="s">
        <v>699</v>
      </c>
      <c r="CP841" s="1" t="s">
        <v>206</v>
      </c>
      <c r="CQ841" s="1" t="s">
        <v>210</v>
      </c>
      <c r="CS841" s="1" t="s">
        <v>758</v>
      </c>
      <c r="CT841" s="1" t="s">
        <v>206</v>
      </c>
      <c r="CU841" s="1" t="s">
        <v>207</v>
      </c>
      <c r="CW841" s="1" t="s">
        <v>1001</v>
      </c>
      <c r="CX841" s="1" t="s">
        <v>206</v>
      </c>
      <c r="CY841" s="1" t="s">
        <v>207</v>
      </c>
      <c r="CZ841" s="1" t="s">
        <v>229</v>
      </c>
      <c r="DA841" s="1" t="s">
        <v>200</v>
      </c>
      <c r="DC841" s="1" t="s">
        <v>271</v>
      </c>
      <c r="DD841" s="1" t="s">
        <v>759</v>
      </c>
      <c r="DE841" s="1" t="s">
        <v>273</v>
      </c>
      <c r="DF841" s="1" t="s">
        <v>745</v>
      </c>
      <c r="DH841" s="1" t="s">
        <v>856</v>
      </c>
      <c r="DI841" s="1" t="s">
        <v>9769</v>
      </c>
      <c r="DJ841" s="1" t="s">
        <v>857</v>
      </c>
      <c r="DL841" s="1" t="s">
        <v>858</v>
      </c>
      <c r="DM841" s="1" t="s">
        <v>229</v>
      </c>
      <c r="DN841" s="1" t="s">
        <v>339</v>
      </c>
      <c r="DO841" s="1" t="s">
        <v>3860</v>
      </c>
      <c r="DP841" s="1" t="s">
        <v>340</v>
      </c>
      <c r="DQ841" s="1" t="s">
        <v>6366</v>
      </c>
      <c r="DR841" s="1" t="s">
        <v>229</v>
      </c>
      <c r="DV841" s="1" t="s">
        <v>9770</v>
      </c>
      <c r="DW841" s="1" t="s">
        <v>1145</v>
      </c>
      <c r="DX841" s="1" t="s">
        <v>234</v>
      </c>
      <c r="DY841" s="1" t="s">
        <v>8018</v>
      </c>
      <c r="DZ841" s="1" t="s">
        <v>9771</v>
      </c>
      <c r="EA841" s="1" t="s">
        <v>683</v>
      </c>
      <c r="EC841" s="1" t="s">
        <v>685</v>
      </c>
      <c r="EG841" s="1" t="s">
        <v>449</v>
      </c>
      <c r="EH841" s="1" t="s">
        <v>408</v>
      </c>
      <c r="EI841" s="1" t="s">
        <v>450</v>
      </c>
      <c r="EJ841" s="1" t="s">
        <v>598</v>
      </c>
      <c r="EL841" s="1" t="s">
        <v>433</v>
      </c>
      <c r="EM841" s="1" t="s">
        <v>206</v>
      </c>
      <c r="EN841" s="1" t="s">
        <v>207</v>
      </c>
      <c r="EO841" s="1" t="s">
        <v>229</v>
      </c>
      <c r="EP841" s="1" t="s">
        <v>1245</v>
      </c>
      <c r="EQ841" s="1" t="s">
        <v>206</v>
      </c>
      <c r="ER841" s="1" t="s">
        <v>5126</v>
      </c>
      <c r="ES841" s="1" t="s">
        <v>229</v>
      </c>
      <c r="ET841" s="1" t="s">
        <v>7413</v>
      </c>
      <c r="EU841" s="1" t="s">
        <v>267</v>
      </c>
      <c r="EV841" s="1" t="s">
        <v>210</v>
      </c>
      <c r="EX841" s="1" t="s">
        <v>584</v>
      </c>
      <c r="EY841" s="1" t="s">
        <v>267</v>
      </c>
      <c r="EZ841" s="1" t="s">
        <v>301</v>
      </c>
      <c r="FA841" s="1" t="s">
        <v>229</v>
      </c>
      <c r="FC841" s="1" t="s">
        <v>238</v>
      </c>
      <c r="FF841" s="1" t="s">
        <v>239</v>
      </c>
      <c r="FG841" s="1" t="s">
        <v>192</v>
      </c>
      <c r="FH841" s="1" t="s">
        <v>192</v>
      </c>
      <c r="FJ841" s="1" t="s">
        <v>9772</v>
      </c>
      <c r="FK841" s="1" t="s">
        <v>1586</v>
      </c>
      <c r="FL841" s="1" t="s">
        <v>9773</v>
      </c>
      <c r="FM841" s="1">
        <v>6469.0</v>
      </c>
      <c r="FN841" s="1" t="s">
        <v>9774</v>
      </c>
      <c r="FO841" s="1" t="s">
        <v>9775</v>
      </c>
      <c r="FP841" s="1">
        <v>63074.0</v>
      </c>
      <c r="FQ841" s="1" t="s">
        <v>9774</v>
      </c>
      <c r="FU841" s="1" t="s">
        <v>9776</v>
      </c>
      <c r="FV841" s="1" t="s">
        <v>200</v>
      </c>
      <c r="FW841" s="1" t="s">
        <v>290</v>
      </c>
      <c r="FZ841" s="1" t="s">
        <v>229</v>
      </c>
      <c r="GA841" s="1" t="s">
        <v>291</v>
      </c>
      <c r="GB841" s="2">
        <v>42056.0</v>
      </c>
      <c r="GC841" s="1" t="s">
        <v>9777</v>
      </c>
    </row>
    <row r="842">
      <c r="A842" s="1">
        <v>120000.0</v>
      </c>
      <c r="B842" s="1" t="s">
        <v>185</v>
      </c>
      <c r="C842" s="1" t="str">
        <f>"08521541"</f>
        <v>08521541</v>
      </c>
      <c r="D842" s="1" t="s">
        <v>186</v>
      </c>
      <c r="F842" s="1" t="str">
        <f>"107"</f>
        <v>107</v>
      </c>
      <c r="G842" s="2">
        <v>41661.0</v>
      </c>
      <c r="H842" s="1">
        <v>109900.0</v>
      </c>
      <c r="I842" s="1">
        <v>289.0</v>
      </c>
      <c r="J842" s="1">
        <v>126000.0</v>
      </c>
      <c r="K842" s="2">
        <v>41949.0</v>
      </c>
      <c r="L842" s="1">
        <v>289.0</v>
      </c>
      <c r="M842" s="2">
        <v>41949.0</v>
      </c>
      <c r="N842" s="1" t="s">
        <v>356</v>
      </c>
      <c r="O842" s="2">
        <v>42053.0</v>
      </c>
      <c r="P842" s="1">
        <v>86425.0</v>
      </c>
      <c r="Q842" s="1">
        <v>1393.0</v>
      </c>
      <c r="R842" s="1">
        <v>3000.0</v>
      </c>
      <c r="S842" s="1">
        <v>1027.0</v>
      </c>
      <c r="T842" s="1" t="s">
        <v>9778</v>
      </c>
      <c r="U842" s="1" t="s">
        <v>569</v>
      </c>
      <c r="V842" s="1" t="s">
        <v>294</v>
      </c>
      <c r="W842" s="1">
        <v>60107.0</v>
      </c>
      <c r="Y842" s="1" t="s">
        <v>9779</v>
      </c>
      <c r="Z842" s="1">
        <v>1959.0</v>
      </c>
      <c r="AA842" s="1" t="s">
        <v>192</v>
      </c>
      <c r="AB842" s="1" t="s">
        <v>193</v>
      </c>
      <c r="AD842" s="1" t="s">
        <v>297</v>
      </c>
      <c r="AE842" s="1" t="s">
        <v>195</v>
      </c>
      <c r="AF842" s="1" t="s">
        <v>298</v>
      </c>
      <c r="AH842" s="1" t="s">
        <v>4750</v>
      </c>
      <c r="AI842" s="1">
        <v>0.1506</v>
      </c>
      <c r="AK842" s="1">
        <v>7.0</v>
      </c>
      <c r="AL842" s="1">
        <v>4.0</v>
      </c>
      <c r="AM842" s="1">
        <v>1.0</v>
      </c>
      <c r="AN842" s="1">
        <v>0.0</v>
      </c>
      <c r="AO842" s="1" t="s">
        <v>229</v>
      </c>
      <c r="AQ842" s="1" t="s">
        <v>229</v>
      </c>
      <c r="AR842" s="1" t="s">
        <v>200</v>
      </c>
      <c r="AS842" s="1" t="s">
        <v>199</v>
      </c>
      <c r="AT842" s="1">
        <v>2.0</v>
      </c>
      <c r="AV842" s="1" t="s">
        <v>200</v>
      </c>
      <c r="AW842" s="1">
        <v>4630.39</v>
      </c>
      <c r="AX842" s="1">
        <v>2012.0</v>
      </c>
      <c r="AZ842" s="1" t="s">
        <v>200</v>
      </c>
      <c r="BA842" s="1" t="str">
        <f>"06262070140000"</f>
        <v>06262070140000</v>
      </c>
      <c r="BC842" s="1">
        <v>0.0</v>
      </c>
      <c r="BD842" s="1">
        <v>120000.0</v>
      </c>
      <c r="BE842" s="2">
        <v>41661.0</v>
      </c>
      <c r="BF842" s="1" t="s">
        <v>9780</v>
      </c>
      <c r="BH842" s="1">
        <v>0.0</v>
      </c>
      <c r="BK842" s="1" t="s">
        <v>204</v>
      </c>
      <c r="BL842" s="1" t="str">
        <f>"9"</f>
        <v>9</v>
      </c>
      <c r="BM842" s="1" t="str">
        <f t="shared" si="551"/>
        <v>0</v>
      </c>
      <c r="BN842" s="1">
        <v>28.0</v>
      </c>
      <c r="BO842" s="1">
        <v>0.0</v>
      </c>
      <c r="BQ842" s="1">
        <v>46.0</v>
      </c>
      <c r="BR842" s="1">
        <v>46.0</v>
      </c>
      <c r="BS842" s="1">
        <v>46.0</v>
      </c>
      <c r="BU842" s="1" t="s">
        <v>9781</v>
      </c>
      <c r="BV842" s="1" t="s">
        <v>206</v>
      </c>
      <c r="BY842" s="1" t="s">
        <v>478</v>
      </c>
      <c r="BZ842" s="1" t="s">
        <v>206</v>
      </c>
      <c r="CC842" s="1" t="s">
        <v>9781</v>
      </c>
      <c r="CD842" s="1" t="s">
        <v>206</v>
      </c>
      <c r="CG842" s="1" t="s">
        <v>1672</v>
      </c>
      <c r="CH842" s="1" t="s">
        <v>206</v>
      </c>
      <c r="CK842" s="1" t="s">
        <v>303</v>
      </c>
      <c r="CL842" s="1" t="s">
        <v>206</v>
      </c>
      <c r="CO842" s="1" t="s">
        <v>302</v>
      </c>
      <c r="CP842" s="1" t="s">
        <v>206</v>
      </c>
      <c r="CS842" s="1" t="s">
        <v>433</v>
      </c>
      <c r="CT842" s="1" t="s">
        <v>206</v>
      </c>
      <c r="CX842" s="1" t="s">
        <v>204</v>
      </c>
      <c r="DA842" s="1" t="s">
        <v>200</v>
      </c>
      <c r="DC842" s="1" t="s">
        <v>271</v>
      </c>
      <c r="DE842" s="1" t="s">
        <v>273</v>
      </c>
      <c r="DF842" s="1" t="s">
        <v>219</v>
      </c>
      <c r="DH842" s="1" t="s">
        <v>365</v>
      </c>
      <c r="DJ842" s="1" t="s">
        <v>222</v>
      </c>
      <c r="DL842" s="1" t="s">
        <v>229</v>
      </c>
      <c r="DM842" s="1" t="s">
        <v>229</v>
      </c>
      <c r="DQ842" s="1" t="s">
        <v>228</v>
      </c>
      <c r="DR842" s="1" t="s">
        <v>229</v>
      </c>
      <c r="DV842" s="1" t="s">
        <v>232</v>
      </c>
      <c r="DW842" s="1" t="s">
        <v>2602</v>
      </c>
      <c r="DX842" s="1" t="s">
        <v>280</v>
      </c>
      <c r="EC842" s="1" t="s">
        <v>685</v>
      </c>
      <c r="EM842" s="1" t="s">
        <v>238</v>
      </c>
      <c r="EQ842" s="1" t="s">
        <v>238</v>
      </c>
      <c r="EU842" s="1" t="s">
        <v>238</v>
      </c>
      <c r="EY842" s="1" t="s">
        <v>238</v>
      </c>
      <c r="FC842" s="1" t="s">
        <v>238</v>
      </c>
      <c r="FF842" s="1" t="s">
        <v>239</v>
      </c>
      <c r="FG842" s="1" t="s">
        <v>192</v>
      </c>
      <c r="FH842" s="1" t="s">
        <v>192</v>
      </c>
      <c r="FJ842" s="1" t="s">
        <v>624</v>
      </c>
      <c r="FK842" s="1" t="s">
        <v>1586</v>
      </c>
      <c r="FL842" s="1" t="s">
        <v>9782</v>
      </c>
      <c r="FM842" s="1">
        <v>12737.0</v>
      </c>
      <c r="FN842" s="1" t="s">
        <v>9783</v>
      </c>
      <c r="FO842" s="1" t="s">
        <v>9784</v>
      </c>
      <c r="FP842" s="1">
        <v>116291.0</v>
      </c>
      <c r="FQ842" s="1" t="s">
        <v>9783</v>
      </c>
      <c r="FU842" s="1" t="s">
        <v>9785</v>
      </c>
      <c r="FV842" s="1" t="s">
        <v>200</v>
      </c>
      <c r="FW842" s="1" t="s">
        <v>567</v>
      </c>
      <c r="FZ842" s="1" t="s">
        <v>229</v>
      </c>
      <c r="GA842" s="1" t="s">
        <v>291</v>
      </c>
      <c r="GB842" s="2">
        <v>42054.0</v>
      </c>
      <c r="GC842" s="1" t="s">
        <v>9786</v>
      </c>
    </row>
    <row r="843">
      <c r="A843" s="1">
        <v>440000.0</v>
      </c>
      <c r="B843" s="1" t="s">
        <v>185</v>
      </c>
      <c r="C843" s="1" t="str">
        <f>"08516314"</f>
        <v>08516314</v>
      </c>
      <c r="D843" s="1" t="s">
        <v>186</v>
      </c>
      <c r="F843" s="1" t="str">
        <f>"177"</f>
        <v>177</v>
      </c>
      <c r="G843" s="2">
        <v>41653.0</v>
      </c>
      <c r="H843" s="1">
        <v>475000.0</v>
      </c>
      <c r="I843" s="1">
        <v>156.0</v>
      </c>
      <c r="J843" s="1">
        <v>441000.0</v>
      </c>
      <c r="K843" s="2">
        <v>41807.0</v>
      </c>
      <c r="L843" s="1">
        <v>156.0</v>
      </c>
      <c r="M843" s="2">
        <v>41807.0</v>
      </c>
      <c r="N843" s="1" t="s">
        <v>187</v>
      </c>
      <c r="O843" s="2">
        <v>42124.0</v>
      </c>
      <c r="P843" s="1">
        <v>381.0</v>
      </c>
      <c r="Q843" s="1">
        <v>604.0</v>
      </c>
      <c r="S843" s="1">
        <v>11.0</v>
      </c>
      <c r="T843" s="1" t="s">
        <v>9787</v>
      </c>
      <c r="U843" s="1" t="s">
        <v>1174</v>
      </c>
      <c r="V843" s="1" t="s">
        <v>2249</v>
      </c>
      <c r="W843" s="1">
        <v>60177.0</v>
      </c>
      <c r="Y843" s="1" t="s">
        <v>9788</v>
      </c>
      <c r="Z843" s="1">
        <v>2003.0</v>
      </c>
      <c r="AA843" s="1" t="s">
        <v>200</v>
      </c>
      <c r="AB843" s="1" t="s">
        <v>467</v>
      </c>
      <c r="AC843" s="1" t="s">
        <v>4508</v>
      </c>
      <c r="AD843" s="1" t="s">
        <v>2252</v>
      </c>
      <c r="AE843" s="1" t="s">
        <v>325</v>
      </c>
      <c r="AF843" s="1" t="s">
        <v>1203</v>
      </c>
      <c r="AH843" s="1" t="s">
        <v>9789</v>
      </c>
      <c r="AI843" s="1">
        <v>0.28</v>
      </c>
      <c r="AK843" s="1">
        <v>9.0</v>
      </c>
      <c r="AL843" s="1">
        <v>4.0</v>
      </c>
      <c r="AM843" s="1">
        <v>4.0</v>
      </c>
      <c r="AN843" s="1">
        <v>0.0</v>
      </c>
      <c r="AO843" s="1" t="s">
        <v>198</v>
      </c>
      <c r="AP843" s="1">
        <v>1.0</v>
      </c>
      <c r="AQ843" s="1" t="s">
        <v>198</v>
      </c>
      <c r="AR843" s="1" t="s">
        <v>200</v>
      </c>
      <c r="AS843" s="1" t="s">
        <v>199</v>
      </c>
      <c r="AT843" s="1">
        <v>3.0</v>
      </c>
      <c r="AV843" s="1" t="s">
        <v>200</v>
      </c>
      <c r="AW843" s="1">
        <v>15551.0</v>
      </c>
      <c r="AX843" s="1">
        <v>2011.0</v>
      </c>
      <c r="AY843" s="1" t="s">
        <v>387</v>
      </c>
      <c r="AZ843" s="1" t="s">
        <v>200</v>
      </c>
      <c r="BA843" s="1" t="str">
        <f>"0905156009"</f>
        <v>0905156009</v>
      </c>
      <c r="BB843" s="1" t="s">
        <v>200</v>
      </c>
      <c r="BC843" s="1">
        <v>4040.0</v>
      </c>
      <c r="BD843" s="1">
        <v>440000.0</v>
      </c>
      <c r="BE843" s="2">
        <v>41652.0</v>
      </c>
      <c r="BF843" s="2" t="s">
        <v>9790</v>
      </c>
      <c r="BG843" s="1" t="s">
        <v>5221</v>
      </c>
      <c r="BH843" s="1">
        <v>112.0</v>
      </c>
      <c r="BI843" s="1" t="s">
        <v>4511</v>
      </c>
      <c r="BJ843" s="1" t="s">
        <v>2200</v>
      </c>
      <c r="BK843" s="1" t="s">
        <v>1952</v>
      </c>
      <c r="BL843" s="1" t="str">
        <f>"7"</f>
        <v>7</v>
      </c>
      <c r="BM843" s="1" t="str">
        <f t="shared" si="551"/>
        <v>0</v>
      </c>
      <c r="BN843" s="1">
        <v>37.0</v>
      </c>
      <c r="BO843" s="1">
        <v>0.0</v>
      </c>
      <c r="BQ843" s="1">
        <v>303.0</v>
      </c>
      <c r="BR843" s="1">
        <v>303.0</v>
      </c>
      <c r="BS843" s="1">
        <v>303.0</v>
      </c>
      <c r="BU843" s="1" t="s">
        <v>213</v>
      </c>
      <c r="BV843" s="1" t="s">
        <v>206</v>
      </c>
      <c r="BW843" s="1" t="s">
        <v>210</v>
      </c>
      <c r="BY843" s="1" t="s">
        <v>1953</v>
      </c>
      <c r="BZ843" s="1" t="s">
        <v>209</v>
      </c>
      <c r="CA843" s="1" t="s">
        <v>210</v>
      </c>
      <c r="CC843" s="1" t="s">
        <v>213</v>
      </c>
      <c r="CD843" s="1" t="s">
        <v>206</v>
      </c>
      <c r="CE843" s="1" t="s">
        <v>207</v>
      </c>
      <c r="CG843" s="1" t="s">
        <v>616</v>
      </c>
      <c r="CH843" s="1" t="s">
        <v>209</v>
      </c>
      <c r="CI843" s="1" t="s">
        <v>210</v>
      </c>
      <c r="CK843" s="1" t="s">
        <v>758</v>
      </c>
      <c r="CL843" s="1" t="s">
        <v>209</v>
      </c>
      <c r="CM843" s="1" t="s">
        <v>210</v>
      </c>
      <c r="CO843" s="1" t="s">
        <v>213</v>
      </c>
      <c r="CP843" s="1" t="s">
        <v>209</v>
      </c>
      <c r="CQ843" s="1" t="s">
        <v>210</v>
      </c>
      <c r="CS843" s="1" t="s">
        <v>1378</v>
      </c>
      <c r="CT843" s="1" t="s">
        <v>206</v>
      </c>
      <c r="CU843" s="1" t="s">
        <v>207</v>
      </c>
      <c r="CW843" s="1" t="s">
        <v>583</v>
      </c>
      <c r="CX843" s="1" t="s">
        <v>206</v>
      </c>
      <c r="CY843" s="1" t="s">
        <v>210</v>
      </c>
      <c r="DA843" s="1" t="s">
        <v>200</v>
      </c>
      <c r="DC843" s="1" t="s">
        <v>335</v>
      </c>
      <c r="DD843" s="1" t="s">
        <v>1552</v>
      </c>
      <c r="DE843" s="1" t="s">
        <v>218</v>
      </c>
      <c r="DF843" s="1" t="s">
        <v>745</v>
      </c>
      <c r="DG843" s="1" t="s">
        <v>1602</v>
      </c>
      <c r="DH843" s="1" t="s">
        <v>220</v>
      </c>
      <c r="DI843" s="1" t="s">
        <v>1604</v>
      </c>
      <c r="DJ843" s="1" t="s">
        <v>222</v>
      </c>
      <c r="DL843" s="1" t="s">
        <v>1224</v>
      </c>
      <c r="DM843" s="1" t="s">
        <v>338</v>
      </c>
      <c r="DN843" s="1" t="s">
        <v>399</v>
      </c>
      <c r="DO843" s="1" t="s">
        <v>486</v>
      </c>
      <c r="DP843" s="1" t="s">
        <v>340</v>
      </c>
      <c r="DQ843" s="1" t="s">
        <v>441</v>
      </c>
      <c r="DR843" s="1" t="s">
        <v>4273</v>
      </c>
      <c r="DS843" s="1" t="s">
        <v>368</v>
      </c>
      <c r="DU843" s="1" t="s">
        <v>3487</v>
      </c>
      <c r="DV843" s="1" t="s">
        <v>5014</v>
      </c>
      <c r="DW843" s="1" t="s">
        <v>1957</v>
      </c>
      <c r="DX843" s="1" t="s">
        <v>234</v>
      </c>
      <c r="DY843" s="1" t="s">
        <v>765</v>
      </c>
      <c r="DZ843" s="1" t="s">
        <v>282</v>
      </c>
      <c r="EA843" s="1" t="s">
        <v>344</v>
      </c>
      <c r="EB843" s="1" t="s">
        <v>2915</v>
      </c>
      <c r="EC843" s="1" t="s">
        <v>237</v>
      </c>
      <c r="ED843" s="1" t="s">
        <v>407</v>
      </c>
      <c r="EG843" s="1" t="s">
        <v>494</v>
      </c>
      <c r="EH843" s="1" t="s">
        <v>408</v>
      </c>
      <c r="EL843" s="1" t="s">
        <v>758</v>
      </c>
      <c r="EM843" s="1" t="s">
        <v>206</v>
      </c>
      <c r="EN843" s="1" t="s">
        <v>210</v>
      </c>
      <c r="EP843" s="1" t="s">
        <v>758</v>
      </c>
      <c r="EQ843" s="1" t="s">
        <v>206</v>
      </c>
      <c r="ER843" s="1" t="s">
        <v>207</v>
      </c>
      <c r="EU843" s="1" t="s">
        <v>238</v>
      </c>
      <c r="EY843" s="1" t="s">
        <v>238</v>
      </c>
      <c r="FC843" s="1" t="s">
        <v>238</v>
      </c>
      <c r="FF843" s="1" t="s">
        <v>239</v>
      </c>
      <c r="FG843" s="1" t="s">
        <v>192</v>
      </c>
      <c r="FH843" s="1" t="s">
        <v>192</v>
      </c>
      <c r="FJ843" s="1" t="s">
        <v>1450</v>
      </c>
      <c r="FK843" s="1" t="s">
        <v>1586</v>
      </c>
      <c r="FL843" s="1" t="s">
        <v>2580</v>
      </c>
      <c r="FM843" s="1">
        <v>23265.0</v>
      </c>
      <c r="FN843" s="1" t="s">
        <v>2581</v>
      </c>
      <c r="FO843" s="1" t="s">
        <v>9791</v>
      </c>
      <c r="FP843" s="1">
        <v>232075.0</v>
      </c>
      <c r="FQ843" s="1" t="s">
        <v>9792</v>
      </c>
      <c r="FR843" s="1">
        <v>225730.0</v>
      </c>
      <c r="FS843" s="1" t="s">
        <v>9793</v>
      </c>
      <c r="FU843" s="1" t="s">
        <v>9794</v>
      </c>
      <c r="FV843" s="1" t="s">
        <v>200</v>
      </c>
      <c r="FW843" s="1" t="s">
        <v>1411</v>
      </c>
      <c r="FZ843" s="1" t="s">
        <v>632</v>
      </c>
      <c r="GA843" s="1" t="s">
        <v>291</v>
      </c>
      <c r="GB843" s="2">
        <v>42124.0</v>
      </c>
      <c r="GC843" s="1" t="s">
        <v>9795</v>
      </c>
    </row>
    <row r="844">
      <c r="A844" s="1">
        <v>260000.0</v>
      </c>
      <c r="B844" s="1" t="s">
        <v>185</v>
      </c>
      <c r="C844" s="1" t="str">
        <f>"08518584"</f>
        <v>08518584</v>
      </c>
      <c r="D844" s="1" t="s">
        <v>186</v>
      </c>
      <c r="F844" s="1" t="str">
        <f>"134"</f>
        <v>134</v>
      </c>
      <c r="G844" s="2">
        <v>41655.0</v>
      </c>
      <c r="H844" s="1">
        <v>294500.0</v>
      </c>
      <c r="I844" s="1">
        <v>266.0</v>
      </c>
      <c r="J844" s="1">
        <v>250000.0</v>
      </c>
      <c r="K844" s="2">
        <v>41920.0</v>
      </c>
      <c r="L844" s="1">
        <v>266.0</v>
      </c>
      <c r="M844" s="2">
        <v>41920.0</v>
      </c>
      <c r="N844" s="1" t="s">
        <v>187</v>
      </c>
      <c r="O844" s="2">
        <v>42041.0</v>
      </c>
      <c r="P844" s="1">
        <v>1405.0</v>
      </c>
      <c r="Q844" s="1">
        <v>30.0</v>
      </c>
      <c r="S844" s="1">
        <v>530.0</v>
      </c>
      <c r="T844" s="1" t="s">
        <v>9796</v>
      </c>
      <c r="U844" s="1" t="s">
        <v>420</v>
      </c>
      <c r="V844" s="1" t="s">
        <v>421</v>
      </c>
      <c r="W844" s="1">
        <v>60134.0</v>
      </c>
      <c r="Y844" s="1" t="s">
        <v>9797</v>
      </c>
      <c r="Z844" s="1">
        <v>1989.0</v>
      </c>
      <c r="AA844" s="1" t="s">
        <v>200</v>
      </c>
      <c r="AB844" s="1" t="s">
        <v>193</v>
      </c>
      <c r="AC844" s="1" t="s">
        <v>1915</v>
      </c>
      <c r="AD844" s="1" t="s">
        <v>424</v>
      </c>
      <c r="AE844" s="1" t="s">
        <v>325</v>
      </c>
      <c r="AF844" s="1" t="s">
        <v>424</v>
      </c>
      <c r="AH844" s="1" t="s">
        <v>9798</v>
      </c>
      <c r="AK844" s="1">
        <v>12.0</v>
      </c>
      <c r="AL844" s="1">
        <v>4.0</v>
      </c>
      <c r="AM844" s="1">
        <v>2.0</v>
      </c>
      <c r="AN844" s="1">
        <v>1.0</v>
      </c>
      <c r="AO844" s="1" t="s">
        <v>198</v>
      </c>
      <c r="AP844" s="1">
        <v>1.0</v>
      </c>
      <c r="AQ844" s="1" t="s">
        <v>198</v>
      </c>
      <c r="AR844" s="1" t="s">
        <v>200</v>
      </c>
      <c r="AS844" s="1" t="s">
        <v>199</v>
      </c>
      <c r="AT844" s="1">
        <v>2.0</v>
      </c>
      <c r="AV844" s="1" t="s">
        <v>200</v>
      </c>
      <c r="AW844" s="1">
        <v>9438.02</v>
      </c>
      <c r="AX844" s="1">
        <v>2013.0</v>
      </c>
      <c r="AY844" s="1" t="s">
        <v>387</v>
      </c>
      <c r="AZ844" s="1" t="s">
        <v>200</v>
      </c>
      <c r="BA844" s="1" t="str">
        <f>"1204176032"</f>
        <v>1204176032</v>
      </c>
      <c r="BC844" s="1">
        <v>2584.0</v>
      </c>
      <c r="BD844" s="1">
        <v>260000.0</v>
      </c>
      <c r="BE844" s="2">
        <v>41655.0</v>
      </c>
      <c r="BF844" s="2" t="s">
        <v>9799</v>
      </c>
      <c r="BG844" s="1" t="s">
        <v>428</v>
      </c>
      <c r="BH844" s="1">
        <v>0.0</v>
      </c>
      <c r="BI844" s="1" t="s">
        <v>429</v>
      </c>
      <c r="BJ844" s="1" t="s">
        <v>430</v>
      </c>
      <c r="BK844" s="1" t="s">
        <v>204</v>
      </c>
      <c r="BL844" s="1" t="str">
        <f t="shared" ref="BL844:BM844" si="552">""</f>
        <v/>
      </c>
      <c r="BM844" s="1" t="str">
        <f t="shared" si="552"/>
        <v/>
      </c>
      <c r="BQ844" s="1">
        <v>304.0</v>
      </c>
      <c r="BR844" s="1">
        <v>304.0</v>
      </c>
      <c r="BS844" s="1">
        <v>304.0</v>
      </c>
      <c r="BU844" s="1" t="s">
        <v>432</v>
      </c>
      <c r="BV844" s="1" t="s">
        <v>206</v>
      </c>
      <c r="BW844" s="1" t="s">
        <v>207</v>
      </c>
      <c r="BX844" s="1" t="s">
        <v>1549</v>
      </c>
      <c r="BY844" s="1" t="s">
        <v>854</v>
      </c>
      <c r="BZ844" s="1" t="s">
        <v>209</v>
      </c>
      <c r="CA844" s="1" t="s">
        <v>210</v>
      </c>
      <c r="CB844" s="1" t="s">
        <v>431</v>
      </c>
      <c r="CC844" s="1" t="s">
        <v>215</v>
      </c>
      <c r="CD844" s="1" t="s">
        <v>206</v>
      </c>
      <c r="CE844" s="1" t="s">
        <v>210</v>
      </c>
      <c r="CF844" s="1" t="s">
        <v>431</v>
      </c>
      <c r="CG844" s="1" t="s">
        <v>214</v>
      </c>
      <c r="CH844" s="1" t="s">
        <v>209</v>
      </c>
      <c r="CI844" s="1" t="s">
        <v>210</v>
      </c>
      <c r="CJ844" s="1" t="s">
        <v>431</v>
      </c>
      <c r="CK844" s="1" t="s">
        <v>215</v>
      </c>
      <c r="CL844" s="1" t="s">
        <v>209</v>
      </c>
      <c r="CM844" s="1" t="s">
        <v>210</v>
      </c>
      <c r="CN844" s="1" t="s">
        <v>431</v>
      </c>
      <c r="CO844" s="1" t="s">
        <v>495</v>
      </c>
      <c r="CP844" s="1" t="s">
        <v>209</v>
      </c>
      <c r="CQ844" s="1" t="s">
        <v>210</v>
      </c>
      <c r="CR844" s="1" t="s">
        <v>431</v>
      </c>
      <c r="CS844" s="1" t="s">
        <v>544</v>
      </c>
      <c r="CT844" s="1" t="s">
        <v>206</v>
      </c>
      <c r="CU844" s="1" t="s">
        <v>207</v>
      </c>
      <c r="CV844" s="1" t="s">
        <v>431</v>
      </c>
      <c r="CW844" s="1" t="s">
        <v>480</v>
      </c>
      <c r="CX844" s="1" t="s">
        <v>206</v>
      </c>
      <c r="CY844" s="1" t="s">
        <v>210</v>
      </c>
      <c r="CZ844" s="1" t="s">
        <v>1549</v>
      </c>
      <c r="DA844" s="1" t="s">
        <v>200</v>
      </c>
      <c r="DC844" s="1" t="s">
        <v>435</v>
      </c>
      <c r="DD844" s="1" t="s">
        <v>1838</v>
      </c>
      <c r="DE844" s="1" t="s">
        <v>273</v>
      </c>
      <c r="DF844" s="1" t="s">
        <v>219</v>
      </c>
      <c r="DG844" s="1" t="s">
        <v>482</v>
      </c>
      <c r="DH844" s="1" t="s">
        <v>220</v>
      </c>
      <c r="DI844" s="1" t="s">
        <v>308</v>
      </c>
      <c r="DJ844" s="1" t="s">
        <v>222</v>
      </c>
      <c r="DL844" s="1" t="s">
        <v>224</v>
      </c>
      <c r="DM844" s="1" t="s">
        <v>929</v>
      </c>
      <c r="DO844" s="1" t="s">
        <v>761</v>
      </c>
      <c r="DP844" s="1" t="s">
        <v>340</v>
      </c>
      <c r="DQ844" s="1" t="s">
        <v>441</v>
      </c>
      <c r="DR844" s="1" t="s">
        <v>229</v>
      </c>
      <c r="DU844" s="1" t="s">
        <v>9800</v>
      </c>
      <c r="DV844" s="1" t="s">
        <v>9801</v>
      </c>
      <c r="DW844" s="1" t="s">
        <v>233</v>
      </c>
      <c r="DX844" s="1" t="s">
        <v>234</v>
      </c>
      <c r="DY844" s="1" t="s">
        <v>1559</v>
      </c>
      <c r="DZ844" s="1" t="s">
        <v>1146</v>
      </c>
      <c r="EB844" s="1" t="s">
        <v>937</v>
      </c>
      <c r="EC844" s="1" t="s">
        <v>237</v>
      </c>
      <c r="ED844" s="1" t="s">
        <v>407</v>
      </c>
      <c r="EG844" s="1" t="s">
        <v>1121</v>
      </c>
      <c r="EH844" s="1" t="s">
        <v>450</v>
      </c>
      <c r="EI844" s="1" t="s">
        <v>1028</v>
      </c>
      <c r="EJ844" s="1" t="s">
        <v>588</v>
      </c>
      <c r="EK844" s="1" t="s">
        <v>1491</v>
      </c>
      <c r="EL844" s="1" t="s">
        <v>9802</v>
      </c>
      <c r="EM844" s="1" t="s">
        <v>209</v>
      </c>
      <c r="EN844" s="1" t="s">
        <v>210</v>
      </c>
      <c r="EP844" s="1" t="s">
        <v>9803</v>
      </c>
      <c r="EQ844" s="1" t="s">
        <v>42</v>
      </c>
      <c r="ER844" s="1" t="s">
        <v>617</v>
      </c>
      <c r="ET844" s="1" t="s">
        <v>392</v>
      </c>
      <c r="EU844" s="1" t="s">
        <v>42</v>
      </c>
      <c r="EV844" s="1" t="s">
        <v>617</v>
      </c>
      <c r="EX844" s="1" t="s">
        <v>1119</v>
      </c>
      <c r="EY844" s="1" t="s">
        <v>42</v>
      </c>
      <c r="EZ844" s="1" t="s">
        <v>617</v>
      </c>
      <c r="FB844" s="1" t="s">
        <v>783</v>
      </c>
      <c r="FC844" s="1" t="s">
        <v>42</v>
      </c>
      <c r="FD844" s="1" t="s">
        <v>588</v>
      </c>
      <c r="FF844" s="1" t="s">
        <v>239</v>
      </c>
      <c r="FG844" s="1" t="s">
        <v>192</v>
      </c>
      <c r="FH844" s="1" t="s">
        <v>192</v>
      </c>
      <c r="FJ844" s="1" t="s">
        <v>9804</v>
      </c>
      <c r="FK844" s="1" t="s">
        <v>1586</v>
      </c>
      <c r="FL844" s="1" t="s">
        <v>1007</v>
      </c>
      <c r="FM844" s="1">
        <v>771.0</v>
      </c>
      <c r="FN844" s="1" t="s">
        <v>1494</v>
      </c>
      <c r="FO844" s="1" t="s">
        <v>9805</v>
      </c>
      <c r="FP844" s="1">
        <v>189.0</v>
      </c>
      <c r="FQ844" s="1" t="s">
        <v>9806</v>
      </c>
      <c r="FR844" s="1">
        <v>7475.0</v>
      </c>
      <c r="FU844" s="1" t="s">
        <v>9807</v>
      </c>
      <c r="FV844" s="1" t="s">
        <v>200</v>
      </c>
      <c r="FW844" s="1" t="s">
        <v>530</v>
      </c>
      <c r="FZ844" s="1" t="s">
        <v>229</v>
      </c>
      <c r="GA844" s="1" t="s">
        <v>291</v>
      </c>
      <c r="GB844" s="2">
        <v>42041.0</v>
      </c>
      <c r="GC844" s="1" t="s">
        <v>9808</v>
      </c>
    </row>
    <row r="845">
      <c r="A845" s="1">
        <v>206000.0</v>
      </c>
      <c r="B845" s="1" t="s">
        <v>185</v>
      </c>
      <c r="C845" s="1" t="str">
        <f>"08525062"</f>
        <v>08525062</v>
      </c>
      <c r="D845" s="1" t="s">
        <v>186</v>
      </c>
      <c r="F845" s="1" t="str">
        <f>"118"</f>
        <v>118</v>
      </c>
      <c r="G845" s="2">
        <v>41667.0</v>
      </c>
      <c r="H845" s="1">
        <v>300000.0</v>
      </c>
      <c r="I845" s="1">
        <v>392.0</v>
      </c>
      <c r="J845" s="1">
        <v>206000.0</v>
      </c>
      <c r="K845" s="2">
        <v>42058.0</v>
      </c>
      <c r="L845" s="1">
        <v>392.0</v>
      </c>
      <c r="M845" s="2">
        <v>42058.0</v>
      </c>
      <c r="N845" s="1" t="s">
        <v>249</v>
      </c>
      <c r="O845" s="2">
        <v>42125.0</v>
      </c>
      <c r="P845" s="1">
        <v>7968.0</v>
      </c>
      <c r="Q845" s="1">
        <v>372.0</v>
      </c>
      <c r="S845" s="1">
        <v>1464.0</v>
      </c>
      <c r="T845" s="1" t="s">
        <v>250</v>
      </c>
      <c r="U845" s="1" t="s">
        <v>569</v>
      </c>
      <c r="V845" s="1" t="s">
        <v>1086</v>
      </c>
      <c r="W845" s="1">
        <v>60118.0</v>
      </c>
      <c r="X845" s="1">
        <v>1534.0</v>
      </c>
      <c r="Y845" s="1" t="s">
        <v>9809</v>
      </c>
      <c r="Z845" s="1">
        <v>2005.0</v>
      </c>
      <c r="AA845" s="1" t="s">
        <v>200</v>
      </c>
      <c r="AB845" s="1" t="s">
        <v>467</v>
      </c>
      <c r="AC845" s="1" t="s">
        <v>4952</v>
      </c>
      <c r="AD845" s="1" t="s">
        <v>3394</v>
      </c>
      <c r="AE845" s="1" t="s">
        <v>325</v>
      </c>
      <c r="AF845" s="1" t="s">
        <v>810</v>
      </c>
      <c r="AH845" s="1" t="s">
        <v>9810</v>
      </c>
      <c r="AI845" s="1">
        <v>0.2417</v>
      </c>
      <c r="AK845" s="1">
        <v>8.0</v>
      </c>
      <c r="AL845" s="1">
        <v>4.0</v>
      </c>
      <c r="AM845" s="1">
        <v>2.0</v>
      </c>
      <c r="AN845" s="1">
        <v>1.0</v>
      </c>
      <c r="AO845" s="1" t="s">
        <v>198</v>
      </c>
      <c r="AP845" s="1">
        <v>1.0</v>
      </c>
      <c r="AQ845" s="1" t="s">
        <v>198</v>
      </c>
      <c r="AR845" s="1" t="s">
        <v>200</v>
      </c>
      <c r="AS845" s="1" t="s">
        <v>199</v>
      </c>
      <c r="AT845" s="1">
        <v>2.0</v>
      </c>
      <c r="AV845" s="1" t="s">
        <v>200</v>
      </c>
      <c r="AW845" s="1">
        <v>9409.36</v>
      </c>
      <c r="AX845" s="1">
        <v>2012.0</v>
      </c>
      <c r="AY845" s="1" t="s">
        <v>387</v>
      </c>
      <c r="AZ845" s="1" t="s">
        <v>200</v>
      </c>
      <c r="BA845" s="1" t="str">
        <f>"0317428001"</f>
        <v>0317428001</v>
      </c>
      <c r="BB845" s="1" t="s">
        <v>200</v>
      </c>
      <c r="BC845" s="1">
        <v>0.0</v>
      </c>
      <c r="BD845" s="1">
        <v>206000.0</v>
      </c>
      <c r="BE845" s="2">
        <v>41667.0</v>
      </c>
      <c r="BF845" s="2" t="s">
        <v>9811</v>
      </c>
      <c r="BH845" s="1">
        <v>250.0</v>
      </c>
      <c r="BK845" s="1" t="s">
        <v>580</v>
      </c>
      <c r="BL845" s="1" t="str">
        <f>"17"</f>
        <v>17</v>
      </c>
      <c r="BM845" s="1" t="str">
        <f>"0"</f>
        <v>0</v>
      </c>
      <c r="BN845" s="1">
        <v>36.0</v>
      </c>
      <c r="BO845" s="1">
        <v>0.0</v>
      </c>
      <c r="BQ845" s="1">
        <v>300.0</v>
      </c>
      <c r="BR845" s="1">
        <v>300.0</v>
      </c>
      <c r="BS845" s="1">
        <v>300.0</v>
      </c>
      <c r="BU845" s="1" t="s">
        <v>363</v>
      </c>
      <c r="BV845" s="1" t="s">
        <v>206</v>
      </c>
      <c r="BY845" s="1" t="s">
        <v>784</v>
      </c>
      <c r="BZ845" s="1" t="s">
        <v>209</v>
      </c>
      <c r="CC845" s="1" t="s">
        <v>215</v>
      </c>
      <c r="CD845" s="1" t="s">
        <v>206</v>
      </c>
      <c r="CG845" s="1" t="s">
        <v>212</v>
      </c>
      <c r="CH845" s="1" t="s">
        <v>209</v>
      </c>
      <c r="CK845" s="1" t="s">
        <v>495</v>
      </c>
      <c r="CL845" s="1" t="s">
        <v>209</v>
      </c>
      <c r="CO845" s="1" t="s">
        <v>269</v>
      </c>
      <c r="CP845" s="1" t="s">
        <v>209</v>
      </c>
      <c r="CS845" s="1" t="s">
        <v>582</v>
      </c>
      <c r="CT845" s="1" t="s">
        <v>206</v>
      </c>
      <c r="CW845" s="1" t="s">
        <v>2120</v>
      </c>
      <c r="CX845" s="1" t="s">
        <v>206</v>
      </c>
      <c r="DA845" s="1" t="s">
        <v>200</v>
      </c>
      <c r="DC845" s="1" t="s">
        <v>481</v>
      </c>
      <c r="DD845" s="1" t="s">
        <v>731</v>
      </c>
      <c r="DE845" s="1" t="s">
        <v>273</v>
      </c>
      <c r="DF845" s="1" t="s">
        <v>219</v>
      </c>
      <c r="DH845" s="1" t="s">
        <v>307</v>
      </c>
      <c r="DJ845" s="1" t="s">
        <v>222</v>
      </c>
      <c r="DL845" s="1" t="s">
        <v>223</v>
      </c>
      <c r="DM845" s="1" t="s">
        <v>229</v>
      </c>
      <c r="DP845" s="1" t="s">
        <v>340</v>
      </c>
      <c r="DQ845" s="1" t="s">
        <v>228</v>
      </c>
      <c r="DR845" s="1" t="s">
        <v>588</v>
      </c>
      <c r="DV845" s="1" t="s">
        <v>232</v>
      </c>
      <c r="DW845" s="1" t="s">
        <v>2602</v>
      </c>
      <c r="DX845" s="1" t="s">
        <v>234</v>
      </c>
      <c r="EC845" s="1" t="s">
        <v>237</v>
      </c>
      <c r="EM845" s="1" t="s">
        <v>238</v>
      </c>
      <c r="EQ845" s="1" t="s">
        <v>238</v>
      </c>
      <c r="EU845" s="1" t="s">
        <v>238</v>
      </c>
      <c r="EY845" s="1" t="s">
        <v>238</v>
      </c>
      <c r="FC845" s="1" t="s">
        <v>238</v>
      </c>
      <c r="FF845" s="1" t="s">
        <v>239</v>
      </c>
      <c r="FG845" s="1" t="s">
        <v>192</v>
      </c>
      <c r="FH845" s="1" t="s">
        <v>192</v>
      </c>
      <c r="FJ845" s="1" t="s">
        <v>524</v>
      </c>
      <c r="FK845" s="1" t="s">
        <v>1586</v>
      </c>
      <c r="FL845" s="1" t="s">
        <v>771</v>
      </c>
      <c r="FM845" s="1">
        <v>16636.0</v>
      </c>
      <c r="FN845" s="1" t="s">
        <v>526</v>
      </c>
      <c r="FO845" s="1" t="s">
        <v>9812</v>
      </c>
      <c r="FP845" s="1">
        <v>168274.0</v>
      </c>
      <c r="FQ845" s="1" t="s">
        <v>9813</v>
      </c>
      <c r="FU845" s="1" t="s">
        <v>9814</v>
      </c>
      <c r="FV845" s="1" t="s">
        <v>200</v>
      </c>
      <c r="FW845" s="1" t="s">
        <v>567</v>
      </c>
      <c r="FZ845" s="1" t="s">
        <v>229</v>
      </c>
      <c r="GA845" s="1" t="s">
        <v>291</v>
      </c>
      <c r="GB845" s="2">
        <v>42125.0</v>
      </c>
      <c r="GC845" s="2" t="s">
        <v>9815</v>
      </c>
    </row>
    <row r="846">
      <c r="A846" s="1">
        <v>184900.0</v>
      </c>
      <c r="B846" s="1" t="s">
        <v>185</v>
      </c>
      <c r="C846" s="1" t="str">
        <f>"08525610"</f>
        <v>08525610</v>
      </c>
      <c r="D846" s="1" t="s">
        <v>186</v>
      </c>
      <c r="F846" s="1" t="str">
        <f>"8044"</f>
        <v>8044</v>
      </c>
      <c r="G846" s="2">
        <v>41668.0</v>
      </c>
      <c r="H846" s="1">
        <v>174900.0</v>
      </c>
      <c r="I846" s="1">
        <v>391.0</v>
      </c>
      <c r="J846" s="1">
        <v>174900.0</v>
      </c>
      <c r="K846" s="2">
        <v>42058.0</v>
      </c>
      <c r="L846" s="1">
        <v>391.0</v>
      </c>
      <c r="M846" s="2">
        <v>42058.0</v>
      </c>
      <c r="N846" s="1" t="s">
        <v>356</v>
      </c>
      <c r="O846" s="2">
        <v>42104.0</v>
      </c>
      <c r="P846" s="1">
        <v>149967.0</v>
      </c>
      <c r="Q846" s="1">
        <v>16921.0</v>
      </c>
      <c r="R846" s="1">
        <v>3.0</v>
      </c>
      <c r="S846" s="1">
        <v>536.0</v>
      </c>
      <c r="T846" s="1" t="s">
        <v>9816</v>
      </c>
      <c r="U846" s="1" t="s">
        <v>694</v>
      </c>
      <c r="V846" s="1" t="s">
        <v>190</v>
      </c>
      <c r="W846" s="1">
        <v>60619.0</v>
      </c>
      <c r="Y846" s="1" t="s">
        <v>9817</v>
      </c>
      <c r="Z846" s="1">
        <v>1921.0</v>
      </c>
      <c r="AA846" s="1" t="s">
        <v>192</v>
      </c>
      <c r="AB846" s="1" t="s">
        <v>193</v>
      </c>
      <c r="AD846" s="1" t="s">
        <v>194</v>
      </c>
      <c r="AE846" s="1" t="s">
        <v>195</v>
      </c>
      <c r="AF846" s="1" t="s">
        <v>637</v>
      </c>
      <c r="AH846" s="1">
        <v>3125.0</v>
      </c>
      <c r="AI846" s="1">
        <v>0.0717</v>
      </c>
      <c r="AK846" s="1">
        <v>9.0</v>
      </c>
      <c r="AL846" s="1">
        <v>3.0</v>
      </c>
      <c r="AM846" s="1">
        <v>3.0</v>
      </c>
      <c r="AN846" s="1">
        <v>0.0</v>
      </c>
      <c r="AO846" s="1" t="s">
        <v>198</v>
      </c>
      <c r="AQ846" s="1" t="s">
        <v>198</v>
      </c>
      <c r="AR846" s="1" t="s">
        <v>192</v>
      </c>
      <c r="AS846" s="1" t="s">
        <v>199</v>
      </c>
      <c r="AT846" s="1">
        <v>2.0</v>
      </c>
      <c r="AV846" s="1" t="s">
        <v>200</v>
      </c>
      <c r="AW846" s="1">
        <v>1849.83</v>
      </c>
      <c r="AX846" s="1">
        <v>2013.0</v>
      </c>
      <c r="AZ846" s="1" t="s">
        <v>200</v>
      </c>
      <c r="BA846" s="1" t="str">
        <f>"25032090370000"</f>
        <v>25032090370000</v>
      </c>
      <c r="BC846" s="1">
        <v>1200.0</v>
      </c>
      <c r="BD846" s="1">
        <v>184900.0</v>
      </c>
      <c r="BE846" s="2">
        <v>41668.0</v>
      </c>
      <c r="BF846" s="2" t="s">
        <v>9818</v>
      </c>
      <c r="BH846" s="1">
        <v>0.0</v>
      </c>
      <c r="BK846" s="1" t="s">
        <v>204</v>
      </c>
      <c r="BL846" s="1" t="str">
        <f>"0"</f>
        <v>0</v>
      </c>
      <c r="BM846" s="1" t="str">
        <f>"536"</f>
        <v>536</v>
      </c>
      <c r="BN846" s="1">
        <v>0.0</v>
      </c>
      <c r="BO846" s="1">
        <v>8832.0</v>
      </c>
      <c r="BQ846" s="1">
        <v>299.0</v>
      </c>
      <c r="BR846" s="1">
        <v>299.0</v>
      </c>
      <c r="BS846" s="1">
        <v>299.0</v>
      </c>
      <c r="BU846" s="1" t="s">
        <v>830</v>
      </c>
      <c r="BV846" s="1" t="s">
        <v>206</v>
      </c>
      <c r="BW846" s="1" t="s">
        <v>207</v>
      </c>
      <c r="BY846" s="1" t="s">
        <v>758</v>
      </c>
      <c r="BZ846" s="1" t="s">
        <v>209</v>
      </c>
      <c r="CA846" s="1" t="s">
        <v>207</v>
      </c>
      <c r="CC846" s="1" t="s">
        <v>262</v>
      </c>
      <c r="CD846" s="1" t="s">
        <v>206</v>
      </c>
      <c r="CE846" s="1" t="s">
        <v>207</v>
      </c>
      <c r="CG846" s="1" t="s">
        <v>1246</v>
      </c>
      <c r="CH846" s="1" t="s">
        <v>206</v>
      </c>
      <c r="CI846" s="1" t="s">
        <v>207</v>
      </c>
      <c r="CK846" s="1" t="s">
        <v>263</v>
      </c>
      <c r="CL846" s="1" t="s">
        <v>206</v>
      </c>
      <c r="CM846" s="1" t="s">
        <v>207</v>
      </c>
      <c r="CO846" s="1" t="s">
        <v>375</v>
      </c>
      <c r="CP846" s="1" t="s">
        <v>42</v>
      </c>
      <c r="CQ846" s="1" t="s">
        <v>268</v>
      </c>
      <c r="CS846" s="1" t="s">
        <v>1158</v>
      </c>
      <c r="CT846" s="1" t="s">
        <v>206</v>
      </c>
      <c r="CU846" s="1" t="s">
        <v>207</v>
      </c>
      <c r="CW846" s="1" t="s">
        <v>2461</v>
      </c>
      <c r="CX846" s="1" t="s">
        <v>42</v>
      </c>
      <c r="CY846" s="1" t="s">
        <v>268</v>
      </c>
      <c r="DA846" s="1" t="s">
        <v>200</v>
      </c>
      <c r="DC846" s="1" t="s">
        <v>216</v>
      </c>
      <c r="DE846" s="1" t="s">
        <v>273</v>
      </c>
      <c r="DF846" s="1" t="s">
        <v>219</v>
      </c>
      <c r="DH846" s="1" t="s">
        <v>220</v>
      </c>
      <c r="DJ846" s="1" t="s">
        <v>222</v>
      </c>
      <c r="DL846" s="1" t="s">
        <v>224</v>
      </c>
      <c r="DM846" s="1" t="s">
        <v>229</v>
      </c>
      <c r="DQ846" s="1" t="s">
        <v>228</v>
      </c>
      <c r="DR846" s="1" t="s">
        <v>229</v>
      </c>
      <c r="DS846" s="1" t="s">
        <v>230</v>
      </c>
      <c r="DV846" s="1" t="s">
        <v>598</v>
      </c>
      <c r="DW846" s="1" t="s">
        <v>279</v>
      </c>
      <c r="DX846" s="1" t="s">
        <v>234</v>
      </c>
      <c r="DY846" s="1" t="s">
        <v>553</v>
      </c>
      <c r="EA846" s="1" t="s">
        <v>644</v>
      </c>
      <c r="EC846" s="1" t="s">
        <v>645</v>
      </c>
      <c r="EE846" s="1" t="s">
        <v>493</v>
      </c>
      <c r="EG846" s="1" t="s">
        <v>598</v>
      </c>
      <c r="EL846" s="1" t="s">
        <v>1939</v>
      </c>
      <c r="EM846" s="1" t="s">
        <v>42</v>
      </c>
      <c r="EN846" s="1" t="s">
        <v>268</v>
      </c>
      <c r="EQ846" s="1" t="s">
        <v>238</v>
      </c>
      <c r="EU846" s="1" t="s">
        <v>238</v>
      </c>
      <c r="EY846" s="1" t="s">
        <v>238</v>
      </c>
      <c r="FC846" s="1" t="s">
        <v>238</v>
      </c>
      <c r="FF846" s="1" t="s">
        <v>239</v>
      </c>
      <c r="FG846" s="1" t="s">
        <v>192</v>
      </c>
      <c r="FH846" s="1" t="s">
        <v>192</v>
      </c>
      <c r="FJ846" s="1" t="s">
        <v>1280</v>
      </c>
      <c r="FK846" s="1" t="s">
        <v>229</v>
      </c>
      <c r="FL846" s="1" t="s">
        <v>649</v>
      </c>
      <c r="FM846" s="1">
        <v>60296.0</v>
      </c>
      <c r="FN846" s="1" t="s">
        <v>650</v>
      </c>
      <c r="FO846" s="1" t="s">
        <v>651</v>
      </c>
      <c r="FP846" s="1">
        <v>602837.0</v>
      </c>
      <c r="FQ846" s="1" t="s">
        <v>652</v>
      </c>
      <c r="FR846" s="1">
        <v>602442.0</v>
      </c>
      <c r="FU846" s="1" t="s">
        <v>653</v>
      </c>
      <c r="FV846" s="1" t="s">
        <v>200</v>
      </c>
      <c r="FW846" s="1" t="s">
        <v>654</v>
      </c>
      <c r="FX846" s="1" t="s">
        <v>1739</v>
      </c>
      <c r="FZ846" s="1" t="s">
        <v>229</v>
      </c>
      <c r="GA846" s="1" t="s">
        <v>291</v>
      </c>
      <c r="GB846" s="2">
        <v>42110.0</v>
      </c>
      <c r="GC846" s="1" t="s">
        <v>9819</v>
      </c>
    </row>
    <row r="847">
      <c r="A847" s="1">
        <v>265000.0</v>
      </c>
      <c r="B847" s="1" t="s">
        <v>185</v>
      </c>
      <c r="C847" s="1" t="str">
        <f>"08522471"</f>
        <v>08522471</v>
      </c>
      <c r="D847" s="1" t="s">
        <v>186</v>
      </c>
      <c r="F847" s="1" t="str">
        <f t="shared" ref="F847:F848" si="554">"123"</f>
        <v>123</v>
      </c>
      <c r="G847" s="2">
        <v>41662.0</v>
      </c>
      <c r="H847" s="1">
        <v>314900.0</v>
      </c>
      <c r="I847" s="1">
        <v>328.0</v>
      </c>
      <c r="J847" s="1">
        <v>269900.0</v>
      </c>
      <c r="K847" s="2">
        <v>41895.0</v>
      </c>
      <c r="L847" s="1">
        <v>234.0</v>
      </c>
      <c r="M847" s="2">
        <v>41895.0</v>
      </c>
      <c r="N847" s="1" t="s">
        <v>634</v>
      </c>
      <c r="O847" s="2">
        <v>42039.0</v>
      </c>
      <c r="P847" s="1">
        <v>70226.0</v>
      </c>
      <c r="Q847" s="1">
        <v>7032.0</v>
      </c>
      <c r="S847" s="1" t="s">
        <v>9820</v>
      </c>
      <c r="T847" s="1" t="s">
        <v>9821</v>
      </c>
      <c r="U847" s="1" t="s">
        <v>569</v>
      </c>
      <c r="V847" s="1" t="s">
        <v>465</v>
      </c>
      <c r="W847" s="1">
        <v>60124.0</v>
      </c>
      <c r="Y847" s="1" t="s">
        <v>9822</v>
      </c>
      <c r="Z847" s="1">
        <v>1969.0</v>
      </c>
      <c r="AA847" s="1" t="s">
        <v>192</v>
      </c>
      <c r="AB847" s="1" t="s">
        <v>193</v>
      </c>
      <c r="AC847" s="1" t="s">
        <v>9823</v>
      </c>
      <c r="AD847" s="1" t="s">
        <v>1089</v>
      </c>
      <c r="AE847" s="1" t="s">
        <v>325</v>
      </c>
      <c r="AF847" s="1" t="s">
        <v>572</v>
      </c>
      <c r="AG847" s="1" t="s">
        <v>752</v>
      </c>
      <c r="AH847" s="1" t="s">
        <v>9824</v>
      </c>
      <c r="AI847" s="1">
        <v>0.9</v>
      </c>
      <c r="AK847" s="1">
        <v>8.0</v>
      </c>
      <c r="AL847" s="1">
        <v>4.0</v>
      </c>
      <c r="AM847" s="1">
        <v>3.0</v>
      </c>
      <c r="AN847" s="1">
        <v>0.0</v>
      </c>
      <c r="AO847" s="1" t="s">
        <v>198</v>
      </c>
      <c r="AP847" s="1">
        <v>1.0</v>
      </c>
      <c r="AQ847" s="1" t="s">
        <v>1314</v>
      </c>
      <c r="AR847" s="1" t="s">
        <v>200</v>
      </c>
      <c r="AS847" s="1" t="s">
        <v>199</v>
      </c>
      <c r="AT847" s="1">
        <v>2.0</v>
      </c>
      <c r="AV847" s="1" t="s">
        <v>200</v>
      </c>
      <c r="AW847" s="1">
        <v>7869.0</v>
      </c>
      <c r="AX847" s="1">
        <v>2012.0</v>
      </c>
      <c r="AY847" s="1" t="s">
        <v>229</v>
      </c>
      <c r="AZ847" s="1" t="s">
        <v>200</v>
      </c>
      <c r="BA847" s="1" t="str">
        <f>"0513451008"</f>
        <v>0513451008</v>
      </c>
      <c r="BB847" s="1" t="s">
        <v>200</v>
      </c>
      <c r="BC847" s="1">
        <v>2425.0</v>
      </c>
      <c r="BD847" s="1">
        <v>265000.0</v>
      </c>
      <c r="BE847" s="2">
        <v>41662.0</v>
      </c>
      <c r="BF847" s="2" t="s">
        <v>9825</v>
      </c>
      <c r="BG847" s="1" t="s">
        <v>1974</v>
      </c>
      <c r="BH847" s="1">
        <v>0.0</v>
      </c>
      <c r="BI847" s="1" t="s">
        <v>578</v>
      </c>
      <c r="BJ847" s="1" t="s">
        <v>579</v>
      </c>
      <c r="BK847" s="1" t="s">
        <v>204</v>
      </c>
      <c r="BL847" s="1" t="str">
        <f t="shared" ref="BL847:BM847" si="553">""</f>
        <v/>
      </c>
      <c r="BM847" s="1" t="str">
        <f t="shared" si="553"/>
        <v/>
      </c>
      <c r="BQ847" s="1">
        <v>301.0</v>
      </c>
      <c r="BR847" s="1">
        <v>301.0</v>
      </c>
      <c r="BS847" s="1">
        <v>301.0</v>
      </c>
      <c r="BU847" s="1" t="s">
        <v>432</v>
      </c>
      <c r="BV847" s="1" t="s">
        <v>206</v>
      </c>
      <c r="BW847" s="1" t="s">
        <v>207</v>
      </c>
      <c r="BY847" s="1" t="s">
        <v>262</v>
      </c>
      <c r="BZ847" s="1" t="s">
        <v>209</v>
      </c>
      <c r="CA847" s="1" t="s">
        <v>210</v>
      </c>
      <c r="CC847" s="1" t="s">
        <v>264</v>
      </c>
      <c r="CD847" s="1" t="s">
        <v>206</v>
      </c>
      <c r="CE847" s="1" t="s">
        <v>207</v>
      </c>
      <c r="CG847" s="1" t="s">
        <v>392</v>
      </c>
      <c r="CH847" s="1" t="s">
        <v>209</v>
      </c>
      <c r="CI847" s="1" t="s">
        <v>210</v>
      </c>
      <c r="CK847" s="1" t="s">
        <v>264</v>
      </c>
      <c r="CL847" s="1" t="s">
        <v>209</v>
      </c>
      <c r="CM847" s="1" t="s">
        <v>210</v>
      </c>
      <c r="CO847" s="1" t="s">
        <v>769</v>
      </c>
      <c r="CP847" s="1" t="s">
        <v>391</v>
      </c>
      <c r="CQ847" s="1" t="s">
        <v>210</v>
      </c>
      <c r="CS847" s="1" t="s">
        <v>211</v>
      </c>
      <c r="CT847" s="1" t="s">
        <v>206</v>
      </c>
      <c r="CU847" s="1" t="s">
        <v>268</v>
      </c>
      <c r="CW847" s="1" t="s">
        <v>9052</v>
      </c>
      <c r="CX847" s="1" t="s">
        <v>267</v>
      </c>
      <c r="CY847" s="1" t="s">
        <v>301</v>
      </c>
      <c r="DA847" s="1" t="s">
        <v>200</v>
      </c>
      <c r="DC847" s="1" t="s">
        <v>517</v>
      </c>
      <c r="DD847" s="1" t="s">
        <v>217</v>
      </c>
      <c r="DE847" s="1" t="s">
        <v>273</v>
      </c>
      <c r="DF847" s="1" t="s">
        <v>219</v>
      </c>
      <c r="DG847" s="1" t="s">
        <v>1553</v>
      </c>
      <c r="DH847" s="1" t="s">
        <v>856</v>
      </c>
      <c r="DI847" s="1" t="s">
        <v>1141</v>
      </c>
      <c r="DJ847" s="1" t="s">
        <v>857</v>
      </c>
      <c r="DK847" s="1" t="s">
        <v>223</v>
      </c>
      <c r="DL847" s="1" t="s">
        <v>9826</v>
      </c>
      <c r="DM847" s="1" t="s">
        <v>338</v>
      </c>
      <c r="DN847" s="1" t="s">
        <v>666</v>
      </c>
      <c r="DO847" s="1" t="s">
        <v>1208</v>
      </c>
      <c r="DP847" s="1" t="s">
        <v>340</v>
      </c>
      <c r="DQ847" s="1" t="s">
        <v>1557</v>
      </c>
      <c r="DR847" s="1" t="s">
        <v>229</v>
      </c>
      <c r="DS847" s="1" t="s">
        <v>230</v>
      </c>
      <c r="DU847" s="1" t="s">
        <v>8424</v>
      </c>
      <c r="DV847" s="1" t="s">
        <v>403</v>
      </c>
      <c r="DW847" s="1" t="s">
        <v>444</v>
      </c>
      <c r="DX847" s="1" t="s">
        <v>234</v>
      </c>
      <c r="DY847" s="1" t="s">
        <v>4698</v>
      </c>
      <c r="DZ847" s="1" t="s">
        <v>1490</v>
      </c>
      <c r="EA847" s="1" t="s">
        <v>283</v>
      </c>
      <c r="EB847" s="1" t="s">
        <v>345</v>
      </c>
      <c r="EC847" s="1" t="s">
        <v>237</v>
      </c>
      <c r="ED847" s="1" t="s">
        <v>555</v>
      </c>
      <c r="EE847" s="1" t="s">
        <v>493</v>
      </c>
      <c r="EG847" s="1" t="s">
        <v>408</v>
      </c>
      <c r="EH847" s="1" t="s">
        <v>409</v>
      </c>
      <c r="EL847" s="1" t="s">
        <v>4153</v>
      </c>
      <c r="EM847" s="1" t="s">
        <v>206</v>
      </c>
      <c r="EN847" s="1" t="s">
        <v>268</v>
      </c>
      <c r="EP847" s="1" t="s">
        <v>4046</v>
      </c>
      <c r="EQ847" s="1" t="s">
        <v>391</v>
      </c>
      <c r="ER847" s="1" t="s">
        <v>210</v>
      </c>
      <c r="EU847" s="1" t="s">
        <v>238</v>
      </c>
      <c r="EY847" s="1" t="s">
        <v>238</v>
      </c>
      <c r="FC847" s="1" t="s">
        <v>238</v>
      </c>
      <c r="FF847" s="1" t="s">
        <v>239</v>
      </c>
      <c r="FG847" s="1" t="s">
        <v>192</v>
      </c>
      <c r="FH847" s="1" t="s">
        <v>192</v>
      </c>
      <c r="FJ847" s="1" t="s">
        <v>2262</v>
      </c>
      <c r="FK847" s="1" t="s">
        <v>229</v>
      </c>
      <c r="FL847" s="1" t="s">
        <v>9827</v>
      </c>
      <c r="FM847" s="1">
        <v>7032.0</v>
      </c>
      <c r="FN847" s="1" t="s">
        <v>9828</v>
      </c>
      <c r="FO847" s="1" t="s">
        <v>9829</v>
      </c>
      <c r="FP847" s="1">
        <v>70226.0</v>
      </c>
      <c r="FQ847" s="1" t="s">
        <v>9830</v>
      </c>
      <c r="FS847" s="1" t="s">
        <v>9831</v>
      </c>
      <c r="FU847" s="1" t="s">
        <v>9832</v>
      </c>
      <c r="FV847" s="1" t="s">
        <v>192</v>
      </c>
      <c r="FW847" s="1" t="s">
        <v>9833</v>
      </c>
      <c r="FZ847" s="1" t="s">
        <v>229</v>
      </c>
      <c r="GA847" s="1" t="s">
        <v>291</v>
      </c>
      <c r="GB847" s="2">
        <v>42039.0</v>
      </c>
      <c r="GC847" s="1" t="s">
        <v>9834</v>
      </c>
    </row>
    <row r="848">
      <c r="A848" s="1">
        <v>288990.0</v>
      </c>
      <c r="B848" s="1" t="s">
        <v>185</v>
      </c>
      <c r="C848" s="1" t="str">
        <f>"08520480"</f>
        <v>08520480</v>
      </c>
      <c r="D848" s="1" t="s">
        <v>186</v>
      </c>
      <c r="F848" s="1" t="str">
        <f t="shared" si="554"/>
        <v>123</v>
      </c>
      <c r="G848" s="2">
        <v>41659.0</v>
      </c>
      <c r="H848" s="1">
        <v>327599.0</v>
      </c>
      <c r="I848" s="1">
        <v>407.0</v>
      </c>
      <c r="J848" s="1">
        <v>288990.0</v>
      </c>
      <c r="K848" s="2">
        <v>42065.0</v>
      </c>
      <c r="L848" s="1">
        <v>407.0</v>
      </c>
      <c r="M848" s="2">
        <v>42065.0</v>
      </c>
      <c r="N848" s="1" t="s">
        <v>634</v>
      </c>
      <c r="O848" s="2">
        <v>42122.0</v>
      </c>
      <c r="P848" s="1">
        <v>238002.0</v>
      </c>
      <c r="Q848" s="1">
        <v>22029.0</v>
      </c>
      <c r="S848" s="1">
        <v>3143.0</v>
      </c>
      <c r="T848" s="1" t="s">
        <v>2433</v>
      </c>
      <c r="U848" s="1" t="s">
        <v>1174</v>
      </c>
      <c r="V848" s="1" t="s">
        <v>465</v>
      </c>
      <c r="W848" s="1">
        <v>60124.0</v>
      </c>
      <c r="Y848" s="1" t="s">
        <v>2434</v>
      </c>
      <c r="Z848" s="1">
        <v>2014.0</v>
      </c>
      <c r="AA848" s="1" t="s">
        <v>200</v>
      </c>
      <c r="AB848" s="1" t="s">
        <v>467</v>
      </c>
      <c r="AC848" s="1" t="s">
        <v>2435</v>
      </c>
      <c r="AD848" s="1" t="s">
        <v>469</v>
      </c>
      <c r="AE848" s="1" t="s">
        <v>325</v>
      </c>
      <c r="AF848" s="1" t="s">
        <v>469</v>
      </c>
      <c r="AG848" s="1" t="s">
        <v>2436</v>
      </c>
      <c r="AH848" s="1" t="s">
        <v>9835</v>
      </c>
      <c r="AK848" s="1">
        <v>10.0</v>
      </c>
      <c r="AL848" s="1">
        <v>4.0</v>
      </c>
      <c r="AM848" s="1">
        <v>2.0</v>
      </c>
      <c r="AN848" s="1">
        <v>1.0</v>
      </c>
      <c r="AO848" s="1" t="s">
        <v>198</v>
      </c>
      <c r="AP848" s="1">
        <v>0.0</v>
      </c>
      <c r="AQ848" s="1" t="s">
        <v>327</v>
      </c>
      <c r="AR848" s="1" t="s">
        <v>200</v>
      </c>
      <c r="AS848" s="1" t="s">
        <v>199</v>
      </c>
      <c r="AT848" s="1">
        <v>2.0</v>
      </c>
      <c r="AV848" s="1" t="s">
        <v>200</v>
      </c>
      <c r="AW848" s="1" t="s">
        <v>575</v>
      </c>
      <c r="AX848" s="1">
        <v>2012.0</v>
      </c>
      <c r="AZ848" s="1" t="s">
        <v>200</v>
      </c>
      <c r="BA848" s="1" t="str">
        <f>"0619377005"</f>
        <v>0619377005</v>
      </c>
      <c r="BC848" s="1">
        <v>2878.0</v>
      </c>
      <c r="BD848" s="1">
        <v>288990.0</v>
      </c>
      <c r="BE848" s="2">
        <v>41659.0</v>
      </c>
      <c r="BF848" s="2" t="s">
        <v>9836</v>
      </c>
      <c r="BG848" s="1" t="s">
        <v>2439</v>
      </c>
      <c r="BH848" s="1">
        <v>385.0</v>
      </c>
      <c r="BI848" s="1" t="s">
        <v>674</v>
      </c>
      <c r="BJ848" s="1" t="s">
        <v>2440</v>
      </c>
      <c r="BK848" s="1" t="s">
        <v>580</v>
      </c>
      <c r="BL848" s="1" t="str">
        <f t="shared" ref="BL848:BM848" si="555">""</f>
        <v/>
      </c>
      <c r="BM848" s="1" t="str">
        <f t="shared" si="555"/>
        <v/>
      </c>
      <c r="BQ848" s="1">
        <v>46.0</v>
      </c>
      <c r="BR848" s="1">
        <v>46.0</v>
      </c>
      <c r="BS848" s="1">
        <v>46.0</v>
      </c>
      <c r="BU848" s="1" t="s">
        <v>2441</v>
      </c>
      <c r="BV848" s="1" t="s">
        <v>206</v>
      </c>
      <c r="BW848" s="1" t="s">
        <v>210</v>
      </c>
      <c r="BX848" s="1" t="s">
        <v>229</v>
      </c>
      <c r="BY848" s="1" t="s">
        <v>2442</v>
      </c>
      <c r="BZ848" s="1" t="s">
        <v>209</v>
      </c>
      <c r="CA848" s="1" t="s">
        <v>210</v>
      </c>
      <c r="CB848" s="1" t="s">
        <v>229</v>
      </c>
      <c r="CC848" s="1" t="s">
        <v>542</v>
      </c>
      <c r="CD848" s="1" t="s">
        <v>206</v>
      </c>
      <c r="CE848" s="1" t="s">
        <v>210</v>
      </c>
      <c r="CF848" s="1" t="s">
        <v>229</v>
      </c>
      <c r="CG848" s="1" t="s">
        <v>1351</v>
      </c>
      <c r="CH848" s="1" t="s">
        <v>209</v>
      </c>
      <c r="CI848" s="1" t="s">
        <v>210</v>
      </c>
      <c r="CJ848" s="1" t="s">
        <v>229</v>
      </c>
      <c r="CK848" s="1" t="s">
        <v>584</v>
      </c>
      <c r="CL848" s="1" t="s">
        <v>209</v>
      </c>
      <c r="CM848" s="1" t="s">
        <v>210</v>
      </c>
      <c r="CN848" s="1" t="s">
        <v>229</v>
      </c>
      <c r="CO848" s="1" t="s">
        <v>1064</v>
      </c>
      <c r="CP848" s="1" t="s">
        <v>209</v>
      </c>
      <c r="CQ848" s="1" t="s">
        <v>210</v>
      </c>
      <c r="CR848" s="1" t="s">
        <v>229</v>
      </c>
      <c r="CS848" s="1" t="s">
        <v>454</v>
      </c>
      <c r="CT848" s="1" t="s">
        <v>206</v>
      </c>
      <c r="CU848" s="1" t="s">
        <v>207</v>
      </c>
      <c r="CV848" s="1" t="s">
        <v>229</v>
      </c>
      <c r="CW848" s="1" t="s">
        <v>1063</v>
      </c>
      <c r="CX848" s="1" t="s">
        <v>206</v>
      </c>
      <c r="CY848" s="1" t="s">
        <v>210</v>
      </c>
      <c r="CZ848" s="1" t="s">
        <v>229</v>
      </c>
      <c r="DA848" s="1" t="s">
        <v>192</v>
      </c>
      <c r="DB848" s="2">
        <v>41779.0</v>
      </c>
      <c r="DC848" s="1" t="s">
        <v>744</v>
      </c>
      <c r="DD848" s="1" t="s">
        <v>586</v>
      </c>
      <c r="DE848" s="1" t="s">
        <v>273</v>
      </c>
      <c r="DF848" s="1" t="s">
        <v>619</v>
      </c>
      <c r="DG848" s="1" t="s">
        <v>482</v>
      </c>
      <c r="DH848" s="1" t="s">
        <v>220</v>
      </c>
      <c r="DI848" s="1" t="s">
        <v>366</v>
      </c>
      <c r="DJ848" s="1" t="s">
        <v>222</v>
      </c>
      <c r="DK848" s="1" t="s">
        <v>223</v>
      </c>
      <c r="DL848" s="1" t="s">
        <v>2220</v>
      </c>
      <c r="DM848" s="1" t="s">
        <v>1022</v>
      </c>
      <c r="DN848" s="1" t="s">
        <v>485</v>
      </c>
      <c r="DO848" s="1" t="s">
        <v>1606</v>
      </c>
      <c r="DP848" s="1" t="s">
        <v>276</v>
      </c>
      <c r="DQ848" s="1" t="s">
        <v>441</v>
      </c>
      <c r="DR848" s="1" t="s">
        <v>1487</v>
      </c>
      <c r="DS848" s="1" t="s">
        <v>591</v>
      </c>
      <c r="DT848" s="1" t="s">
        <v>9837</v>
      </c>
      <c r="DU848" s="1" t="s">
        <v>2444</v>
      </c>
      <c r="DV848" s="1" t="s">
        <v>2445</v>
      </c>
      <c r="DW848" s="1" t="s">
        <v>9838</v>
      </c>
      <c r="DX848" s="1" t="s">
        <v>234</v>
      </c>
      <c r="DY848" s="1" t="s">
        <v>596</v>
      </c>
      <c r="DZ848" s="1" t="s">
        <v>1100</v>
      </c>
      <c r="EA848" s="1" t="s">
        <v>344</v>
      </c>
      <c r="EC848" s="1" t="s">
        <v>237</v>
      </c>
      <c r="ED848" s="1" t="s">
        <v>407</v>
      </c>
      <c r="EE848" s="1" t="s">
        <v>493</v>
      </c>
      <c r="EG848" s="1" t="s">
        <v>556</v>
      </c>
      <c r="EH848" s="1" t="s">
        <v>557</v>
      </c>
      <c r="EL848" s="1" t="s">
        <v>478</v>
      </c>
      <c r="EM848" s="1" t="s">
        <v>206</v>
      </c>
      <c r="EN848" s="1" t="s">
        <v>207</v>
      </c>
      <c r="EO848" s="1" t="s">
        <v>229</v>
      </c>
      <c r="EP848" s="1" t="s">
        <v>1063</v>
      </c>
      <c r="EQ848" s="1" t="s">
        <v>209</v>
      </c>
      <c r="ER848" s="1" t="s">
        <v>210</v>
      </c>
      <c r="ES848" s="1" t="s">
        <v>229</v>
      </c>
      <c r="EU848" s="1" t="s">
        <v>238</v>
      </c>
      <c r="EY848" s="1" t="s">
        <v>238</v>
      </c>
      <c r="FC848" s="1" t="s">
        <v>238</v>
      </c>
      <c r="FF848" s="1" t="s">
        <v>239</v>
      </c>
      <c r="FG848" s="1" t="s">
        <v>192</v>
      </c>
      <c r="FH848" s="1" t="s">
        <v>192</v>
      </c>
      <c r="FJ848" s="1" t="s">
        <v>347</v>
      </c>
      <c r="FK848" s="1" t="s">
        <v>229</v>
      </c>
      <c r="FL848" s="1" t="s">
        <v>2448</v>
      </c>
      <c r="FM848" s="1">
        <v>92038.0</v>
      </c>
      <c r="FN848" s="1" t="s">
        <v>2449</v>
      </c>
      <c r="FO848" s="1" t="s">
        <v>2450</v>
      </c>
      <c r="FP848" s="1">
        <v>21137.0</v>
      </c>
      <c r="FQ848" s="1" t="s">
        <v>2451</v>
      </c>
      <c r="FT848" s="1" t="s">
        <v>6246</v>
      </c>
      <c r="FU848" s="1" t="s">
        <v>9839</v>
      </c>
      <c r="FV848" s="1" t="s">
        <v>200</v>
      </c>
      <c r="FW848" s="1" t="s">
        <v>2453</v>
      </c>
      <c r="FZ848" s="1" t="s">
        <v>229</v>
      </c>
      <c r="GA848" s="1" t="s">
        <v>291</v>
      </c>
      <c r="GB848" s="2">
        <v>42130.0</v>
      </c>
      <c r="GC848" s="1" t="s">
        <v>9840</v>
      </c>
    </row>
    <row r="849">
      <c r="A849" s="1">
        <v>40000.0</v>
      </c>
      <c r="B849" s="1" t="s">
        <v>185</v>
      </c>
      <c r="C849" s="1" t="str">
        <f>"08522197"</f>
        <v>08522197</v>
      </c>
      <c r="D849" s="1" t="s">
        <v>186</v>
      </c>
      <c r="F849" s="1" t="str">
        <f>"8071"</f>
        <v>8071</v>
      </c>
      <c r="G849" s="2">
        <v>41662.0</v>
      </c>
      <c r="H849" s="1">
        <v>92000.0</v>
      </c>
      <c r="I849" s="1">
        <v>510.0</v>
      </c>
      <c r="J849" s="1">
        <v>58000.0</v>
      </c>
      <c r="K849" s="2">
        <v>42004.0</v>
      </c>
      <c r="L849" s="1">
        <v>343.0</v>
      </c>
      <c r="M849" s="2">
        <v>42004.0</v>
      </c>
      <c r="N849" s="1" t="s">
        <v>249</v>
      </c>
      <c r="O849" s="2">
        <v>42040.0</v>
      </c>
      <c r="P849" s="1">
        <v>370497.0</v>
      </c>
      <c r="Q849" s="1">
        <v>37440.0</v>
      </c>
      <c r="S849" s="1">
        <v>8952.0</v>
      </c>
      <c r="T849" s="1" t="s">
        <v>9841</v>
      </c>
      <c r="U849" s="1" t="s">
        <v>189</v>
      </c>
      <c r="V849" s="1" t="s">
        <v>190</v>
      </c>
      <c r="W849" s="1">
        <v>60620.0</v>
      </c>
      <c r="Y849" s="1" t="s">
        <v>9842</v>
      </c>
      <c r="Z849" s="1">
        <v>1965.0</v>
      </c>
      <c r="AA849" s="1" t="s">
        <v>192</v>
      </c>
      <c r="AB849" s="1" t="s">
        <v>193</v>
      </c>
      <c r="AD849" s="1" t="s">
        <v>194</v>
      </c>
      <c r="AE849" s="1" t="s">
        <v>195</v>
      </c>
      <c r="AF849" s="1" t="s">
        <v>659</v>
      </c>
      <c r="AH849" s="1" t="s">
        <v>359</v>
      </c>
      <c r="AK849" s="1">
        <v>8.0</v>
      </c>
      <c r="AL849" s="1">
        <v>4.0</v>
      </c>
      <c r="AM849" s="1">
        <v>2.0</v>
      </c>
      <c r="AN849" s="1">
        <v>1.0</v>
      </c>
      <c r="AO849" s="1" t="s">
        <v>229</v>
      </c>
      <c r="AQ849" s="1" t="s">
        <v>1314</v>
      </c>
      <c r="AR849" s="1" t="s">
        <v>192</v>
      </c>
      <c r="AS849" s="1" t="s">
        <v>229</v>
      </c>
      <c r="AV849" s="1" t="s">
        <v>200</v>
      </c>
      <c r="AW849" s="1">
        <v>1704.0</v>
      </c>
      <c r="AX849" s="1">
        <v>2012.0</v>
      </c>
      <c r="AY849" s="1" t="s">
        <v>229</v>
      </c>
      <c r="AZ849" s="1" t="s">
        <v>200</v>
      </c>
      <c r="BA849" s="1" t="str">
        <f>"25041180430000"</f>
        <v>25041180430000</v>
      </c>
      <c r="BB849" s="1" t="s">
        <v>200</v>
      </c>
      <c r="BC849" s="1">
        <v>1180.0</v>
      </c>
      <c r="BD849" s="1">
        <v>40000.0</v>
      </c>
      <c r="BE849" s="2">
        <v>41662.0</v>
      </c>
      <c r="BF849" s="2" t="s">
        <v>9843</v>
      </c>
      <c r="BH849" s="1">
        <v>0.0</v>
      </c>
      <c r="BK849" s="1" t="s">
        <v>204</v>
      </c>
      <c r="BL849" s="1" t="str">
        <f t="shared" ref="BL849:BM849" si="556">"0"</f>
        <v>0</v>
      </c>
      <c r="BM849" s="1" t="str">
        <f t="shared" si="556"/>
        <v>0</v>
      </c>
      <c r="BN849" s="1">
        <v>700.0</v>
      </c>
      <c r="BO849" s="1">
        <v>8952.0</v>
      </c>
      <c r="BQ849" s="1">
        <v>299.0</v>
      </c>
      <c r="BR849" s="1">
        <v>299.0</v>
      </c>
      <c r="BS849" s="1">
        <v>299.0</v>
      </c>
      <c r="BU849" s="1" t="s">
        <v>758</v>
      </c>
      <c r="BV849" s="1" t="s">
        <v>206</v>
      </c>
      <c r="BW849" s="1" t="s">
        <v>207</v>
      </c>
      <c r="BX849" s="1" t="s">
        <v>431</v>
      </c>
      <c r="BY849" s="1" t="s">
        <v>392</v>
      </c>
      <c r="BZ849" s="1" t="s">
        <v>209</v>
      </c>
      <c r="CA849" s="1" t="s">
        <v>207</v>
      </c>
      <c r="CB849" s="1" t="s">
        <v>431</v>
      </c>
      <c r="CC849" s="1" t="s">
        <v>265</v>
      </c>
      <c r="CD849" s="1" t="s">
        <v>206</v>
      </c>
      <c r="CE849" s="1" t="s">
        <v>207</v>
      </c>
      <c r="CF849" s="1" t="s">
        <v>431</v>
      </c>
      <c r="CG849" s="1" t="s">
        <v>640</v>
      </c>
      <c r="CH849" s="1" t="s">
        <v>209</v>
      </c>
      <c r="CI849" s="1" t="s">
        <v>207</v>
      </c>
      <c r="CK849" s="1" t="s">
        <v>269</v>
      </c>
      <c r="CL849" s="1" t="s">
        <v>209</v>
      </c>
      <c r="CM849" s="1" t="s">
        <v>207</v>
      </c>
      <c r="CN849" s="1" t="s">
        <v>431</v>
      </c>
      <c r="CO849" s="1" t="s">
        <v>1382</v>
      </c>
      <c r="CP849" s="1" t="s">
        <v>267</v>
      </c>
      <c r="CQ849" s="1" t="s">
        <v>268</v>
      </c>
      <c r="CS849" s="1" t="s">
        <v>640</v>
      </c>
      <c r="CT849" s="1" t="s">
        <v>206</v>
      </c>
      <c r="CU849" s="1" t="s">
        <v>268</v>
      </c>
      <c r="CV849" s="1" t="s">
        <v>431</v>
      </c>
      <c r="CW849" s="1" t="s">
        <v>9844</v>
      </c>
      <c r="CX849" s="1" t="s">
        <v>267</v>
      </c>
      <c r="CY849" s="1" t="s">
        <v>268</v>
      </c>
      <c r="CZ849" s="1" t="s">
        <v>229</v>
      </c>
      <c r="DA849" s="1" t="s">
        <v>200</v>
      </c>
      <c r="DC849" s="1" t="s">
        <v>517</v>
      </c>
      <c r="DE849" s="1" t="s">
        <v>229</v>
      </c>
      <c r="DF849" s="1" t="s">
        <v>219</v>
      </c>
      <c r="DG849" s="1" t="s">
        <v>7166</v>
      </c>
      <c r="DH849" s="1" t="s">
        <v>365</v>
      </c>
      <c r="DJ849" s="1" t="s">
        <v>222</v>
      </c>
      <c r="DL849" s="1" t="s">
        <v>224</v>
      </c>
      <c r="DM849" s="1" t="s">
        <v>1658</v>
      </c>
      <c r="DQ849" s="1" t="s">
        <v>228</v>
      </c>
      <c r="DR849" s="1" t="s">
        <v>229</v>
      </c>
      <c r="DS849" s="1" t="s">
        <v>401</v>
      </c>
      <c r="DU849" s="1" t="s">
        <v>1933</v>
      </c>
      <c r="DV849" s="1" t="s">
        <v>232</v>
      </c>
      <c r="DW849" s="1" t="s">
        <v>279</v>
      </c>
      <c r="DX849" s="1" t="s">
        <v>234</v>
      </c>
      <c r="DY849" s="1" t="s">
        <v>935</v>
      </c>
      <c r="DZ849" s="1" t="s">
        <v>282</v>
      </c>
      <c r="EA849" s="1" t="s">
        <v>5604</v>
      </c>
      <c r="EC849" s="1" t="s">
        <v>284</v>
      </c>
      <c r="EM849" s="1" t="s">
        <v>238</v>
      </c>
      <c r="EQ849" s="1" t="s">
        <v>238</v>
      </c>
      <c r="EU849" s="1" t="s">
        <v>238</v>
      </c>
      <c r="EY849" s="1" t="s">
        <v>238</v>
      </c>
      <c r="FC849" s="1" t="s">
        <v>238</v>
      </c>
      <c r="FF849" s="1" t="s">
        <v>239</v>
      </c>
      <c r="FG849" s="1" t="s">
        <v>200</v>
      </c>
      <c r="FH849" s="1" t="s">
        <v>192</v>
      </c>
      <c r="FJ849" s="1" t="s">
        <v>9845</v>
      </c>
      <c r="FK849" s="1" t="s">
        <v>229</v>
      </c>
      <c r="FL849" s="1" t="s">
        <v>9846</v>
      </c>
      <c r="FM849" s="1">
        <v>25576.0</v>
      </c>
      <c r="FN849" s="1" t="s">
        <v>9847</v>
      </c>
      <c r="FO849" s="1" t="s">
        <v>9848</v>
      </c>
      <c r="FP849" s="1">
        <v>238444.0</v>
      </c>
      <c r="FU849" s="1" t="s">
        <v>9849</v>
      </c>
      <c r="FV849" s="1" t="s">
        <v>200</v>
      </c>
      <c r="FW849" s="1" t="s">
        <v>1511</v>
      </c>
      <c r="FX849" s="1" t="s">
        <v>655</v>
      </c>
      <c r="FZ849" s="1" t="s">
        <v>229</v>
      </c>
      <c r="GA849" s="1" t="s">
        <v>291</v>
      </c>
      <c r="GB849" s="2">
        <v>42052.0</v>
      </c>
    </row>
    <row r="850">
      <c r="A850" s="1">
        <v>255000.0</v>
      </c>
      <c r="B850" s="1" t="s">
        <v>185</v>
      </c>
      <c r="C850" s="1" t="str">
        <f>"08524367"</f>
        <v>08524367</v>
      </c>
      <c r="D850" s="1" t="s">
        <v>186</v>
      </c>
      <c r="F850" s="1" t="str">
        <f>"123"</f>
        <v>123</v>
      </c>
      <c r="G850" s="2">
        <v>41666.0</v>
      </c>
      <c r="H850" s="1">
        <v>289900.0</v>
      </c>
      <c r="I850" s="1">
        <v>680.0</v>
      </c>
      <c r="J850" s="1">
        <v>244900.0</v>
      </c>
      <c r="K850" s="2">
        <v>41949.0</v>
      </c>
      <c r="L850" s="1">
        <v>287.0</v>
      </c>
      <c r="M850" s="2">
        <v>41949.0</v>
      </c>
      <c r="N850" s="1" t="s">
        <v>187</v>
      </c>
      <c r="O850" s="2">
        <v>41985.0</v>
      </c>
      <c r="P850" s="1">
        <v>88102.0</v>
      </c>
      <c r="Q850" s="1">
        <v>1118.0</v>
      </c>
      <c r="S850" s="1">
        <v>3001.0</v>
      </c>
      <c r="T850" s="1" t="s">
        <v>9850</v>
      </c>
      <c r="U850" s="1" t="s">
        <v>982</v>
      </c>
      <c r="V850" s="1" t="s">
        <v>465</v>
      </c>
      <c r="W850" s="1">
        <v>60124.0</v>
      </c>
      <c r="Y850" s="1" t="s">
        <v>9851</v>
      </c>
      <c r="Z850" s="1">
        <v>2005.0</v>
      </c>
      <c r="AA850" s="1" t="s">
        <v>200</v>
      </c>
      <c r="AB850" s="1" t="s">
        <v>193</v>
      </c>
      <c r="AC850" s="1" t="s">
        <v>4586</v>
      </c>
      <c r="AD850" s="1" t="s">
        <v>469</v>
      </c>
      <c r="AE850" s="1" t="s">
        <v>325</v>
      </c>
      <c r="AF850" s="1" t="s">
        <v>469</v>
      </c>
      <c r="AG850" s="1" t="s">
        <v>9852</v>
      </c>
      <c r="AH850" s="1" t="s">
        <v>9853</v>
      </c>
      <c r="AI850" s="1">
        <v>0.32</v>
      </c>
      <c r="AK850" s="1">
        <v>9.0</v>
      </c>
      <c r="AL850" s="1">
        <v>4.0</v>
      </c>
      <c r="AM850" s="1">
        <v>2.0</v>
      </c>
      <c r="AN850" s="1">
        <v>1.0</v>
      </c>
      <c r="AO850" s="1" t="s">
        <v>198</v>
      </c>
      <c r="AP850" s="1">
        <v>0.0</v>
      </c>
      <c r="AQ850" s="1" t="s">
        <v>472</v>
      </c>
      <c r="AR850" s="1" t="s">
        <v>200</v>
      </c>
      <c r="AS850" s="1" t="s">
        <v>199</v>
      </c>
      <c r="AT850" s="1">
        <v>2.5</v>
      </c>
      <c r="AV850" s="1" t="s">
        <v>200</v>
      </c>
      <c r="AW850" s="1">
        <v>7972.96</v>
      </c>
      <c r="AX850" s="1">
        <v>2012.0</v>
      </c>
      <c r="AY850" s="1" t="s">
        <v>387</v>
      </c>
      <c r="AZ850" s="1" t="s">
        <v>545</v>
      </c>
      <c r="BA850" s="1" t="str">
        <f>"0617182006"</f>
        <v>0617182006</v>
      </c>
      <c r="BB850" s="1" t="s">
        <v>200</v>
      </c>
      <c r="BC850" s="1">
        <v>3156.0</v>
      </c>
      <c r="BD850" s="1">
        <v>255000.0</v>
      </c>
      <c r="BE850" s="2">
        <v>41663.0</v>
      </c>
      <c r="BF850" s="1" t="s">
        <v>9854</v>
      </c>
      <c r="BG850" s="1" t="s">
        <v>3686</v>
      </c>
      <c r="BH850" s="1">
        <v>300.0</v>
      </c>
      <c r="BI850" s="1" t="s">
        <v>1975</v>
      </c>
      <c r="BJ850" s="1" t="s">
        <v>579</v>
      </c>
      <c r="BK850" s="1" t="s">
        <v>580</v>
      </c>
      <c r="BL850" s="1" t="str">
        <f>"11"</f>
        <v>11</v>
      </c>
      <c r="BM850" s="1" t="str">
        <f t="shared" ref="BM850:BM851" si="557">"0"</f>
        <v>0</v>
      </c>
      <c r="BN850" s="1">
        <v>38.0</v>
      </c>
      <c r="BO850" s="1">
        <v>0.0</v>
      </c>
      <c r="BQ850" s="1">
        <v>301.0</v>
      </c>
      <c r="BR850" s="1">
        <v>301.0</v>
      </c>
      <c r="BS850" s="1">
        <v>301.0</v>
      </c>
      <c r="BU850" s="1" t="s">
        <v>1064</v>
      </c>
      <c r="BV850" s="1" t="s">
        <v>206</v>
      </c>
      <c r="BW850" s="1" t="s">
        <v>210</v>
      </c>
      <c r="BY850" s="1" t="s">
        <v>333</v>
      </c>
      <c r="BZ850" s="1" t="s">
        <v>209</v>
      </c>
      <c r="CA850" s="1" t="s">
        <v>210</v>
      </c>
      <c r="CC850" s="1" t="s">
        <v>584</v>
      </c>
      <c r="CD850" s="1" t="s">
        <v>206</v>
      </c>
      <c r="CE850" s="1" t="s">
        <v>210</v>
      </c>
      <c r="CG850" s="1" t="s">
        <v>584</v>
      </c>
      <c r="CH850" s="1" t="s">
        <v>209</v>
      </c>
      <c r="CI850" s="1" t="s">
        <v>210</v>
      </c>
      <c r="CK850" s="1" t="s">
        <v>363</v>
      </c>
      <c r="CL850" s="1" t="s">
        <v>209</v>
      </c>
      <c r="CM850" s="1" t="s">
        <v>210</v>
      </c>
      <c r="CO850" s="1" t="s">
        <v>329</v>
      </c>
      <c r="CP850" s="1" t="s">
        <v>209</v>
      </c>
      <c r="CQ850" s="1" t="s">
        <v>210</v>
      </c>
      <c r="CS850" s="1" t="s">
        <v>333</v>
      </c>
      <c r="CT850" s="1" t="s">
        <v>206</v>
      </c>
      <c r="CU850" s="1" t="s">
        <v>617</v>
      </c>
      <c r="CW850" s="1" t="s">
        <v>453</v>
      </c>
      <c r="CX850" s="1" t="s">
        <v>206</v>
      </c>
      <c r="CY850" s="1" t="s">
        <v>210</v>
      </c>
      <c r="DA850" s="1" t="s">
        <v>200</v>
      </c>
      <c r="DC850" s="1" t="s">
        <v>481</v>
      </c>
      <c r="DD850" s="1" t="s">
        <v>336</v>
      </c>
      <c r="DE850" s="1" t="s">
        <v>273</v>
      </c>
      <c r="DF850" s="1" t="s">
        <v>219</v>
      </c>
      <c r="DG850" s="1" t="s">
        <v>2311</v>
      </c>
      <c r="DH850" s="1" t="s">
        <v>220</v>
      </c>
      <c r="DJ850" s="1" t="s">
        <v>222</v>
      </c>
      <c r="DK850" s="1" t="s">
        <v>223</v>
      </c>
      <c r="DL850" s="1" t="s">
        <v>223</v>
      </c>
      <c r="DM850" s="1" t="s">
        <v>338</v>
      </c>
      <c r="DN850" s="1" t="s">
        <v>367</v>
      </c>
      <c r="DO850" s="1" t="s">
        <v>5000</v>
      </c>
      <c r="DP850" s="1" t="s">
        <v>340</v>
      </c>
      <c r="DQ850" s="1" t="s">
        <v>441</v>
      </c>
      <c r="DR850" s="1" t="s">
        <v>588</v>
      </c>
      <c r="DS850" s="1" t="s">
        <v>591</v>
      </c>
      <c r="DU850" s="1" t="s">
        <v>1840</v>
      </c>
      <c r="DV850" s="1" t="s">
        <v>494</v>
      </c>
      <c r="DW850" s="1" t="s">
        <v>370</v>
      </c>
      <c r="DX850" s="1" t="s">
        <v>234</v>
      </c>
      <c r="DY850" s="1" t="s">
        <v>1189</v>
      </c>
      <c r="EC850" s="1" t="s">
        <v>237</v>
      </c>
      <c r="ED850" s="1" t="s">
        <v>555</v>
      </c>
      <c r="EG850" s="1" t="s">
        <v>494</v>
      </c>
      <c r="EL850" s="1" t="s">
        <v>332</v>
      </c>
      <c r="EM850" s="1" t="s">
        <v>206</v>
      </c>
      <c r="EN850" s="1" t="s">
        <v>210</v>
      </c>
      <c r="EQ850" s="1" t="s">
        <v>238</v>
      </c>
      <c r="EU850" s="1" t="s">
        <v>238</v>
      </c>
      <c r="EY850" s="1" t="s">
        <v>238</v>
      </c>
      <c r="FC850" s="1" t="s">
        <v>238</v>
      </c>
      <c r="FF850" s="1" t="s">
        <v>239</v>
      </c>
      <c r="FG850" s="1" t="s">
        <v>192</v>
      </c>
      <c r="FH850" s="1" t="s">
        <v>192</v>
      </c>
      <c r="FJ850" s="1" t="s">
        <v>347</v>
      </c>
      <c r="FK850" s="1" t="s">
        <v>229</v>
      </c>
      <c r="FL850" s="1" t="s">
        <v>6233</v>
      </c>
      <c r="FM850" s="1">
        <v>7630.0</v>
      </c>
      <c r="FN850" s="1" t="s">
        <v>6234</v>
      </c>
      <c r="FO850" s="1" t="s">
        <v>9855</v>
      </c>
      <c r="FP850" s="1">
        <v>77822.0</v>
      </c>
      <c r="FQ850" s="1" t="s">
        <v>9856</v>
      </c>
      <c r="FS850" s="1">
        <v>8.157574018E9</v>
      </c>
      <c r="FU850" s="1" t="s">
        <v>7332</v>
      </c>
      <c r="FV850" s="1" t="s">
        <v>200</v>
      </c>
      <c r="FW850" s="1" t="s">
        <v>354</v>
      </c>
      <c r="FZ850" s="1" t="s">
        <v>229</v>
      </c>
      <c r="GA850" s="1" t="s">
        <v>291</v>
      </c>
      <c r="GB850" s="2">
        <v>41988.0</v>
      </c>
      <c r="GC850" s="1" t="s">
        <v>9857</v>
      </c>
    </row>
    <row r="851">
      <c r="A851" s="1">
        <v>290000.0</v>
      </c>
      <c r="B851" s="1" t="s">
        <v>185</v>
      </c>
      <c r="C851" s="1" t="str">
        <f>"08661791"</f>
        <v>08661791</v>
      </c>
      <c r="D851" s="1" t="s">
        <v>186</v>
      </c>
      <c r="F851" s="1" t="str">
        <f>"134"</f>
        <v>134</v>
      </c>
      <c r="G851" s="2">
        <v>41822.0</v>
      </c>
      <c r="H851" s="1">
        <v>339900.0</v>
      </c>
      <c r="I851" s="1">
        <v>129.0</v>
      </c>
      <c r="J851" s="1">
        <v>309900.0</v>
      </c>
      <c r="K851" s="2">
        <v>41950.0</v>
      </c>
      <c r="L851" s="1">
        <v>129.0</v>
      </c>
      <c r="M851" s="2">
        <v>41950.0</v>
      </c>
      <c r="N851" s="1" t="s">
        <v>249</v>
      </c>
      <c r="O851" s="2">
        <v>41969.0</v>
      </c>
      <c r="P851" s="1">
        <v>13.0</v>
      </c>
      <c r="Q851" s="1">
        <v>357.0</v>
      </c>
      <c r="S851" s="1" t="s">
        <v>9858</v>
      </c>
      <c r="T851" s="1" t="s">
        <v>9859</v>
      </c>
      <c r="U851" s="1" t="s">
        <v>1174</v>
      </c>
      <c r="V851" s="1" t="s">
        <v>421</v>
      </c>
      <c r="W851" s="1">
        <v>60134.0</v>
      </c>
      <c r="X851" s="1">
        <v>4801.0</v>
      </c>
      <c r="Y851" s="1" t="s">
        <v>9860</v>
      </c>
      <c r="Z851" s="1">
        <v>2004.0</v>
      </c>
      <c r="AA851" s="1" t="s">
        <v>200</v>
      </c>
      <c r="AB851" s="1" t="s">
        <v>193</v>
      </c>
      <c r="AC851" s="1" t="s">
        <v>1596</v>
      </c>
      <c r="AD851" s="1" t="s">
        <v>424</v>
      </c>
      <c r="AE851" s="1" t="s">
        <v>325</v>
      </c>
      <c r="AF851" s="1" t="s">
        <v>1479</v>
      </c>
      <c r="AH851" s="1" t="s">
        <v>9861</v>
      </c>
      <c r="AK851" s="1">
        <v>9.0</v>
      </c>
      <c r="AL851" s="1">
        <v>4.0</v>
      </c>
      <c r="AM851" s="1">
        <v>2.0</v>
      </c>
      <c r="AN851" s="1">
        <v>1.0</v>
      </c>
      <c r="AO851" s="1" t="s">
        <v>198</v>
      </c>
      <c r="AP851" s="1">
        <v>1.0</v>
      </c>
      <c r="AQ851" s="1" t="s">
        <v>198</v>
      </c>
      <c r="AR851" s="1" t="s">
        <v>200</v>
      </c>
      <c r="AS851" s="1" t="s">
        <v>199</v>
      </c>
      <c r="AT851" s="1">
        <v>2.0</v>
      </c>
      <c r="AV851" s="1" t="s">
        <v>200</v>
      </c>
      <c r="AW851" s="1">
        <v>10121.1</v>
      </c>
      <c r="AX851" s="1">
        <v>2013.0</v>
      </c>
      <c r="AY851" s="1" t="s">
        <v>387</v>
      </c>
      <c r="AZ851" s="1" t="s">
        <v>200</v>
      </c>
      <c r="BA851" s="1" t="str">
        <f>"1124232003"</f>
        <v>1124232003</v>
      </c>
      <c r="BB851" s="1" t="s">
        <v>200</v>
      </c>
      <c r="BC851" s="1">
        <v>2594.0</v>
      </c>
      <c r="BD851" s="1">
        <v>290000.0</v>
      </c>
      <c r="BE851" s="2">
        <v>41822.0</v>
      </c>
      <c r="BF851" s="1" t="s">
        <v>9862</v>
      </c>
      <c r="BG851" s="1" t="s">
        <v>3089</v>
      </c>
      <c r="BH851" s="1">
        <v>0.0</v>
      </c>
      <c r="BI851" s="1" t="s">
        <v>3090</v>
      </c>
      <c r="BJ851" s="1" t="s">
        <v>3091</v>
      </c>
      <c r="BK851" s="1" t="s">
        <v>204</v>
      </c>
      <c r="BL851" s="1" t="str">
        <f>"1"</f>
        <v>1</v>
      </c>
      <c r="BM851" s="1" t="str">
        <f t="shared" si="557"/>
        <v>0</v>
      </c>
      <c r="BN851" s="1">
        <v>39.0</v>
      </c>
      <c r="BO851" s="1">
        <v>0.0</v>
      </c>
      <c r="BQ851" s="1">
        <v>101.0</v>
      </c>
      <c r="BR851" s="1">
        <v>101.0</v>
      </c>
      <c r="BS851" s="1">
        <v>101.0</v>
      </c>
      <c r="BU851" s="1" t="s">
        <v>331</v>
      </c>
      <c r="BV851" s="1" t="s">
        <v>206</v>
      </c>
      <c r="BY851" s="1" t="s">
        <v>544</v>
      </c>
      <c r="BZ851" s="1" t="s">
        <v>209</v>
      </c>
      <c r="CC851" s="1" t="s">
        <v>699</v>
      </c>
      <c r="CD851" s="1" t="s">
        <v>206</v>
      </c>
      <c r="CG851" s="1" t="s">
        <v>331</v>
      </c>
      <c r="CH851" s="1" t="s">
        <v>209</v>
      </c>
      <c r="CK851" s="1" t="s">
        <v>699</v>
      </c>
      <c r="CL851" s="1" t="s">
        <v>209</v>
      </c>
      <c r="CO851" s="1" t="s">
        <v>543</v>
      </c>
      <c r="CP851" s="1" t="s">
        <v>209</v>
      </c>
      <c r="CS851" s="1" t="s">
        <v>477</v>
      </c>
      <c r="CT851" s="1" t="s">
        <v>206</v>
      </c>
      <c r="CW851" s="1" t="s">
        <v>2120</v>
      </c>
      <c r="CX851" s="1" t="s">
        <v>206</v>
      </c>
      <c r="DA851" s="1" t="s">
        <v>200</v>
      </c>
      <c r="DC851" s="1" t="s">
        <v>481</v>
      </c>
      <c r="DD851" s="1" t="s">
        <v>518</v>
      </c>
      <c r="DE851" s="1" t="s">
        <v>273</v>
      </c>
      <c r="DF851" s="1" t="s">
        <v>219</v>
      </c>
      <c r="DG851" s="1" t="s">
        <v>1553</v>
      </c>
      <c r="DH851" s="1" t="s">
        <v>220</v>
      </c>
      <c r="DJ851" s="1" t="s">
        <v>222</v>
      </c>
      <c r="DL851" s="1" t="s">
        <v>858</v>
      </c>
      <c r="DM851" s="1" t="s">
        <v>229</v>
      </c>
      <c r="DP851" s="1" t="s">
        <v>340</v>
      </c>
      <c r="DQ851" s="1" t="s">
        <v>228</v>
      </c>
      <c r="DR851" s="1" t="s">
        <v>229</v>
      </c>
      <c r="DS851" s="1" t="s">
        <v>230</v>
      </c>
      <c r="DV851" s="1" t="s">
        <v>494</v>
      </c>
      <c r="DW851" s="1" t="s">
        <v>891</v>
      </c>
      <c r="DX851" s="1" t="s">
        <v>234</v>
      </c>
      <c r="EC851" s="1" t="s">
        <v>237</v>
      </c>
      <c r="EG851" s="1" t="s">
        <v>494</v>
      </c>
      <c r="EL851" s="1" t="s">
        <v>392</v>
      </c>
      <c r="EM851" s="1" t="s">
        <v>206</v>
      </c>
      <c r="EQ851" s="1" t="s">
        <v>238</v>
      </c>
      <c r="EU851" s="1" t="s">
        <v>238</v>
      </c>
      <c r="EY851" s="1" t="s">
        <v>238</v>
      </c>
      <c r="FC851" s="1" t="s">
        <v>238</v>
      </c>
      <c r="FF851" s="1" t="s">
        <v>239</v>
      </c>
      <c r="FG851" s="1" t="s">
        <v>192</v>
      </c>
      <c r="FH851" s="1" t="s">
        <v>192</v>
      </c>
      <c r="FJ851" s="1" t="s">
        <v>770</v>
      </c>
      <c r="FK851" s="1" t="s">
        <v>229</v>
      </c>
      <c r="FL851" s="1" t="s">
        <v>1893</v>
      </c>
      <c r="FM851" s="1">
        <v>23187.0</v>
      </c>
      <c r="FN851" s="1" t="s">
        <v>1894</v>
      </c>
      <c r="FO851" s="1" t="s">
        <v>1895</v>
      </c>
      <c r="FP851" s="1">
        <v>233406.0</v>
      </c>
      <c r="FQ851" s="1" t="s">
        <v>1896</v>
      </c>
      <c r="FR851" s="1">
        <v>232524.0</v>
      </c>
      <c r="FU851" s="1" t="s">
        <v>1541</v>
      </c>
      <c r="FV851" s="1" t="s">
        <v>200</v>
      </c>
      <c r="FW851" s="1" t="s">
        <v>1897</v>
      </c>
      <c r="FZ851" s="1" t="s">
        <v>229</v>
      </c>
      <c r="GA851" s="1" t="s">
        <v>291</v>
      </c>
      <c r="GB851" s="2">
        <v>41971.0</v>
      </c>
      <c r="GC851" s="1" t="s">
        <v>9863</v>
      </c>
    </row>
    <row r="852">
      <c r="A852" s="1">
        <v>150000.0</v>
      </c>
      <c r="B852" s="1" t="s">
        <v>185</v>
      </c>
      <c r="C852" s="1" t="str">
        <f>"08791701"</f>
        <v>08791701</v>
      </c>
      <c r="D852" s="1" t="s">
        <v>186</v>
      </c>
      <c r="F852" s="1" t="str">
        <f>"8069"</f>
        <v>8069</v>
      </c>
      <c r="G852" s="2">
        <v>41967.0</v>
      </c>
      <c r="H852" s="1">
        <v>155000.0</v>
      </c>
      <c r="I852" s="1">
        <v>1.0</v>
      </c>
      <c r="J852" s="1">
        <v>155000.0</v>
      </c>
      <c r="K852" s="2">
        <v>41967.0</v>
      </c>
      <c r="L852" s="1">
        <v>1.0</v>
      </c>
      <c r="M852" s="2">
        <v>41967.0</v>
      </c>
      <c r="N852" s="1" t="s">
        <v>356</v>
      </c>
      <c r="O852" s="2">
        <v>42023.0</v>
      </c>
      <c r="P852" s="1">
        <v>139908.0</v>
      </c>
      <c r="Q852" s="1">
        <v>12983.0</v>
      </c>
      <c r="S852" s="1">
        <v>6905.0</v>
      </c>
      <c r="T852" s="1" t="s">
        <v>9864</v>
      </c>
      <c r="U852" s="1" t="s">
        <v>189</v>
      </c>
      <c r="V852" s="1" t="s">
        <v>190</v>
      </c>
      <c r="W852" s="1">
        <v>60637.0</v>
      </c>
      <c r="Y852" s="1" t="s">
        <v>9865</v>
      </c>
      <c r="Z852" s="1">
        <v>2007.0</v>
      </c>
      <c r="AA852" s="1" t="s">
        <v>200</v>
      </c>
      <c r="AB852" s="1" t="s">
        <v>193</v>
      </c>
      <c r="AD852" s="1" t="s">
        <v>194</v>
      </c>
      <c r="AE852" s="1" t="s">
        <v>195</v>
      </c>
      <c r="AF852" s="1" t="s">
        <v>637</v>
      </c>
      <c r="AG852" s="1" t="s">
        <v>9866</v>
      </c>
      <c r="AH852" s="1" t="s">
        <v>9867</v>
      </c>
      <c r="AI852" s="1">
        <v>0.0</v>
      </c>
      <c r="AK852" s="1">
        <v>7.0</v>
      </c>
      <c r="AL852" s="1">
        <v>3.0</v>
      </c>
      <c r="AM852" s="1">
        <v>3.0</v>
      </c>
      <c r="AN852" s="1">
        <v>1.0</v>
      </c>
      <c r="AO852" s="1" t="s">
        <v>198</v>
      </c>
      <c r="AP852" s="1">
        <v>1.0</v>
      </c>
      <c r="AQ852" s="1" t="s">
        <v>327</v>
      </c>
      <c r="AR852" s="1" t="s">
        <v>192</v>
      </c>
      <c r="AS852" s="1" t="s">
        <v>199</v>
      </c>
      <c r="AT852" s="1">
        <v>2.0</v>
      </c>
      <c r="AV852" s="1" t="s">
        <v>200</v>
      </c>
      <c r="AW852" s="6">
        <v>3405.0</v>
      </c>
      <c r="AX852" s="1">
        <v>2012.0</v>
      </c>
      <c r="AY852" s="1" t="s">
        <v>229</v>
      </c>
      <c r="AZ852" s="1" t="s">
        <v>200</v>
      </c>
      <c r="BA852" s="1" t="str">
        <f>"20223130020000"</f>
        <v>20223130020000</v>
      </c>
      <c r="BB852" s="1" t="s">
        <v>192</v>
      </c>
      <c r="BC852" s="1">
        <v>2800.0</v>
      </c>
      <c r="BD852" s="1">
        <v>150000.0</v>
      </c>
      <c r="BE852" s="2">
        <v>41967.0</v>
      </c>
      <c r="BF852" s="1" t="s">
        <v>9868</v>
      </c>
      <c r="BG852" s="1" t="s">
        <v>9869</v>
      </c>
      <c r="BH852" s="1">
        <v>0.0</v>
      </c>
      <c r="BI852" s="1" t="s">
        <v>9870</v>
      </c>
      <c r="BJ852" s="1" t="s">
        <v>9871</v>
      </c>
      <c r="BK852" s="1" t="s">
        <v>204</v>
      </c>
      <c r="BL852" s="1" t="str">
        <f t="shared" ref="BL852:BL854" si="558">"0"</f>
        <v>0</v>
      </c>
      <c r="BM852" s="1" t="str">
        <f>"44"</f>
        <v>44</v>
      </c>
      <c r="BN852" s="1">
        <v>0.0</v>
      </c>
      <c r="BO852" s="1">
        <v>6901.0</v>
      </c>
      <c r="BQ852" s="1">
        <v>299.0</v>
      </c>
      <c r="BR852" s="1">
        <v>299.0</v>
      </c>
      <c r="BS852" s="1">
        <v>299.0</v>
      </c>
      <c r="BU852" s="1" t="s">
        <v>329</v>
      </c>
      <c r="BV852" s="1" t="s">
        <v>206</v>
      </c>
      <c r="BW852" s="1" t="s">
        <v>207</v>
      </c>
      <c r="BY852" s="1" t="s">
        <v>329</v>
      </c>
      <c r="BZ852" s="1" t="s">
        <v>209</v>
      </c>
      <c r="CA852" s="1" t="s">
        <v>210</v>
      </c>
      <c r="CC852" s="1" t="s">
        <v>329</v>
      </c>
      <c r="CD852" s="1" t="s">
        <v>206</v>
      </c>
      <c r="CE852" s="1" t="s">
        <v>207</v>
      </c>
      <c r="CG852" s="1" t="s">
        <v>495</v>
      </c>
      <c r="CH852" s="1" t="s">
        <v>209</v>
      </c>
      <c r="CI852" s="1" t="s">
        <v>210</v>
      </c>
      <c r="CK852" s="1" t="s">
        <v>454</v>
      </c>
      <c r="CL852" s="1" t="s">
        <v>209</v>
      </c>
      <c r="CM852" s="1" t="s">
        <v>210</v>
      </c>
      <c r="CO852" s="1" t="s">
        <v>495</v>
      </c>
      <c r="CP852" s="1" t="s">
        <v>42</v>
      </c>
      <c r="CQ852" s="1" t="s">
        <v>210</v>
      </c>
      <c r="CS852" s="1" t="s">
        <v>5640</v>
      </c>
      <c r="CT852" s="1" t="s">
        <v>206</v>
      </c>
      <c r="CU852" s="1" t="s">
        <v>207</v>
      </c>
      <c r="CX852" s="1" t="s">
        <v>204</v>
      </c>
      <c r="DA852" s="1" t="s">
        <v>200</v>
      </c>
      <c r="DC852" s="1" t="s">
        <v>481</v>
      </c>
      <c r="DD852" s="1" t="s">
        <v>396</v>
      </c>
      <c r="DE852" s="1" t="s">
        <v>273</v>
      </c>
      <c r="DF852" s="1" t="s">
        <v>219</v>
      </c>
      <c r="DG852" s="1" t="s">
        <v>1657</v>
      </c>
      <c r="DH852" s="1" t="s">
        <v>365</v>
      </c>
      <c r="DI852" s="1" t="s">
        <v>789</v>
      </c>
      <c r="DJ852" s="1" t="s">
        <v>222</v>
      </c>
      <c r="DK852" s="1" t="s">
        <v>223</v>
      </c>
      <c r="DL852" s="1" t="s">
        <v>224</v>
      </c>
      <c r="DM852" s="1" t="s">
        <v>229</v>
      </c>
      <c r="DP852" s="1" t="s">
        <v>276</v>
      </c>
      <c r="DQ852" s="1" t="s">
        <v>228</v>
      </c>
      <c r="DR852" s="1" t="s">
        <v>229</v>
      </c>
      <c r="DS852" s="1" t="s">
        <v>230</v>
      </c>
      <c r="DU852" s="1" t="s">
        <v>1840</v>
      </c>
      <c r="DV852" s="1" t="s">
        <v>232</v>
      </c>
      <c r="DW852" s="1" t="s">
        <v>233</v>
      </c>
      <c r="DX852" s="1" t="s">
        <v>234</v>
      </c>
      <c r="DZ852" s="1" t="s">
        <v>310</v>
      </c>
      <c r="EA852" s="1" t="s">
        <v>344</v>
      </c>
      <c r="EC852" s="1" t="s">
        <v>237</v>
      </c>
      <c r="ED852" s="1" t="s">
        <v>407</v>
      </c>
      <c r="EM852" s="1" t="s">
        <v>238</v>
      </c>
      <c r="EQ852" s="1" t="s">
        <v>238</v>
      </c>
      <c r="EU852" s="1" t="s">
        <v>238</v>
      </c>
      <c r="EY852" s="1" t="s">
        <v>238</v>
      </c>
      <c r="FC852" s="1" t="s">
        <v>238</v>
      </c>
      <c r="FF852" s="1" t="s">
        <v>239</v>
      </c>
      <c r="FG852" s="1" t="s">
        <v>192</v>
      </c>
      <c r="FH852" s="1" t="s">
        <v>192</v>
      </c>
      <c r="FJ852" s="1" t="s">
        <v>1506</v>
      </c>
      <c r="FK852" s="1" t="s">
        <v>229</v>
      </c>
      <c r="FL852" s="1" t="s">
        <v>1124</v>
      </c>
      <c r="FM852" s="1">
        <v>12293.0</v>
      </c>
      <c r="FN852" s="1" t="s">
        <v>3300</v>
      </c>
      <c r="FO852" s="1" t="s">
        <v>9872</v>
      </c>
      <c r="FP852" s="1">
        <v>158325.0</v>
      </c>
      <c r="FQ852" s="1" t="s">
        <v>9873</v>
      </c>
      <c r="FU852" s="1" t="s">
        <v>9874</v>
      </c>
      <c r="FV852" s="1" t="s">
        <v>200</v>
      </c>
      <c r="FW852" s="1" t="s">
        <v>631</v>
      </c>
      <c r="FX852" s="1" t="s">
        <v>655</v>
      </c>
      <c r="FZ852" s="1" t="s">
        <v>229</v>
      </c>
      <c r="GA852" s="1" t="s">
        <v>291</v>
      </c>
      <c r="GB852" s="2">
        <v>42023.0</v>
      </c>
    </row>
    <row r="853">
      <c r="A853" s="1">
        <v>58100.0</v>
      </c>
      <c r="B853" s="1" t="s">
        <v>185</v>
      </c>
      <c r="C853" s="1" t="str">
        <f>"08888565"</f>
        <v>08888565</v>
      </c>
      <c r="D853" s="1" t="s">
        <v>186</v>
      </c>
      <c r="F853" s="1" t="str">
        <f>"8066"</f>
        <v>8066</v>
      </c>
      <c r="G853" s="2">
        <v>42106.0</v>
      </c>
      <c r="H853" s="1">
        <v>42900.0</v>
      </c>
      <c r="I853" s="1">
        <v>28.0</v>
      </c>
      <c r="J853" s="1">
        <v>42900.0</v>
      </c>
      <c r="K853" s="2">
        <v>42130.0</v>
      </c>
      <c r="L853" s="1">
        <v>28.0</v>
      </c>
      <c r="M853" s="2">
        <v>42130.0</v>
      </c>
      <c r="N853" s="1" t="s">
        <v>249</v>
      </c>
      <c r="O853" s="2">
        <v>42145.0</v>
      </c>
      <c r="P853" s="1">
        <v>148914.0</v>
      </c>
      <c r="Q853" s="1">
        <v>18373.0</v>
      </c>
      <c r="S853" s="1">
        <v>6433.0</v>
      </c>
      <c r="T853" s="1" t="s">
        <v>1294</v>
      </c>
      <c r="U853" s="1" t="s">
        <v>320</v>
      </c>
      <c r="V853" s="1" t="s">
        <v>190</v>
      </c>
      <c r="W853" s="1">
        <v>60629.0</v>
      </c>
      <c r="Y853" s="1" t="s">
        <v>9875</v>
      </c>
      <c r="Z853" s="1">
        <v>1924.0</v>
      </c>
      <c r="AA853" s="1" t="s">
        <v>192</v>
      </c>
      <c r="AB853" s="1" t="s">
        <v>193</v>
      </c>
      <c r="AD853" s="1" t="s">
        <v>194</v>
      </c>
      <c r="AE853" s="1" t="s">
        <v>195</v>
      </c>
      <c r="AF853" s="1" t="s">
        <v>659</v>
      </c>
      <c r="AH853" s="1">
        <v>3750.0</v>
      </c>
      <c r="AI853" s="1">
        <v>0.0861</v>
      </c>
      <c r="AK853" s="1">
        <v>7.0</v>
      </c>
      <c r="AL853" s="1">
        <v>4.0</v>
      </c>
      <c r="AM853" s="1">
        <v>2.0</v>
      </c>
      <c r="AN853" s="1">
        <v>0.0</v>
      </c>
      <c r="AO853" s="1" t="s">
        <v>229</v>
      </c>
      <c r="AQ853" s="1" t="s">
        <v>198</v>
      </c>
      <c r="AR853" s="1" t="s">
        <v>192</v>
      </c>
      <c r="AS853" s="1" t="s">
        <v>229</v>
      </c>
      <c r="AV853" s="1" t="s">
        <v>200</v>
      </c>
      <c r="AW853" s="1">
        <v>1182.98</v>
      </c>
      <c r="AX853" s="1">
        <v>2013.0</v>
      </c>
      <c r="AY853" s="1" t="s">
        <v>387</v>
      </c>
      <c r="AZ853" s="1" t="s">
        <v>200</v>
      </c>
      <c r="BA853" s="1" t="str">
        <f>"19242120110000"</f>
        <v>19242120110000</v>
      </c>
      <c r="BB853" s="1" t="s">
        <v>200</v>
      </c>
      <c r="BC853" s="1">
        <v>1245.0</v>
      </c>
      <c r="BD853" s="1">
        <v>58100.0</v>
      </c>
      <c r="BE853" s="2">
        <v>42103.0</v>
      </c>
      <c r="BF853" s="1" t="s">
        <v>9876</v>
      </c>
      <c r="BH853" s="1">
        <v>0.0</v>
      </c>
      <c r="BK853" s="1" t="s">
        <v>204</v>
      </c>
      <c r="BL853" s="1" t="str">
        <f t="shared" si="558"/>
        <v>0</v>
      </c>
      <c r="BM853" s="1" t="str">
        <f t="shared" ref="BM853:BM855" si="559">"0"</f>
        <v>0</v>
      </c>
      <c r="BN853" s="1">
        <v>2600.0</v>
      </c>
      <c r="BO853" s="1">
        <v>6433.0</v>
      </c>
      <c r="BQ853" s="1">
        <v>299.0</v>
      </c>
      <c r="BR853" s="1">
        <v>299.0</v>
      </c>
      <c r="BS853" s="1">
        <v>299.0</v>
      </c>
      <c r="BU853" s="1" t="s">
        <v>361</v>
      </c>
      <c r="BV853" s="1" t="s">
        <v>206</v>
      </c>
      <c r="BW853" s="1" t="s">
        <v>207</v>
      </c>
      <c r="BY853" s="1" t="s">
        <v>495</v>
      </c>
      <c r="BZ853" s="1" t="s">
        <v>206</v>
      </c>
      <c r="CA853" s="1" t="s">
        <v>207</v>
      </c>
      <c r="CC853" s="1" t="s">
        <v>331</v>
      </c>
      <c r="CD853" s="1" t="s">
        <v>206</v>
      </c>
      <c r="CE853" s="1" t="s">
        <v>207</v>
      </c>
      <c r="CG853" s="1" t="s">
        <v>495</v>
      </c>
      <c r="CH853" s="1" t="s">
        <v>206</v>
      </c>
      <c r="CI853" s="1" t="s">
        <v>207</v>
      </c>
      <c r="CK853" s="1" t="s">
        <v>265</v>
      </c>
      <c r="CL853" s="1" t="s">
        <v>206</v>
      </c>
      <c r="CM853" s="1" t="s">
        <v>207</v>
      </c>
      <c r="CO853" s="1" t="s">
        <v>1395</v>
      </c>
      <c r="CP853" s="1" t="s">
        <v>209</v>
      </c>
      <c r="CQ853" s="1" t="s">
        <v>617</v>
      </c>
      <c r="CS853" s="1" t="s">
        <v>331</v>
      </c>
      <c r="CT853" s="1" t="s">
        <v>206</v>
      </c>
      <c r="CU853" s="1" t="s">
        <v>617</v>
      </c>
      <c r="CX853" s="1" t="s">
        <v>204</v>
      </c>
      <c r="DA853" s="1" t="s">
        <v>200</v>
      </c>
      <c r="DC853" s="1" t="s">
        <v>216</v>
      </c>
      <c r="DD853" s="1" t="s">
        <v>518</v>
      </c>
      <c r="DE853" s="1" t="s">
        <v>229</v>
      </c>
      <c r="DF853" s="1" t="s">
        <v>619</v>
      </c>
      <c r="DH853" s="1" t="s">
        <v>365</v>
      </c>
      <c r="DJ853" s="1" t="s">
        <v>222</v>
      </c>
      <c r="DK853" s="1" t="s">
        <v>224</v>
      </c>
      <c r="DL853" s="1" t="s">
        <v>858</v>
      </c>
      <c r="DM853" s="1" t="s">
        <v>229</v>
      </c>
      <c r="DP853" s="1" t="s">
        <v>340</v>
      </c>
      <c r="DQ853" s="1" t="s">
        <v>228</v>
      </c>
      <c r="DR853" s="1" t="s">
        <v>229</v>
      </c>
      <c r="DS853" s="1" t="s">
        <v>230</v>
      </c>
      <c r="DV853" s="1" t="s">
        <v>232</v>
      </c>
      <c r="DW853" s="1" t="s">
        <v>279</v>
      </c>
      <c r="DX853" s="1" t="s">
        <v>234</v>
      </c>
      <c r="DY853" s="1" t="s">
        <v>704</v>
      </c>
      <c r="EA853" s="1" t="s">
        <v>644</v>
      </c>
      <c r="EC853" s="1" t="s">
        <v>645</v>
      </c>
      <c r="EM853" s="1" t="s">
        <v>238</v>
      </c>
      <c r="EQ853" s="1" t="s">
        <v>238</v>
      </c>
      <c r="EU853" s="1" t="s">
        <v>238</v>
      </c>
      <c r="EY853" s="1" t="s">
        <v>238</v>
      </c>
      <c r="FC853" s="1" t="s">
        <v>238</v>
      </c>
      <c r="FF853" s="1" t="s">
        <v>239</v>
      </c>
      <c r="FG853" s="1" t="s">
        <v>192</v>
      </c>
      <c r="FH853" s="1" t="s">
        <v>192</v>
      </c>
      <c r="FJ853" s="1" t="s">
        <v>347</v>
      </c>
      <c r="FK853" s="1" t="s">
        <v>229</v>
      </c>
      <c r="FL853" s="1" t="s">
        <v>2111</v>
      </c>
      <c r="FM853" s="1">
        <v>12555.0</v>
      </c>
      <c r="FN853" s="1" t="s">
        <v>2112</v>
      </c>
      <c r="FO853" s="1" t="s">
        <v>2113</v>
      </c>
      <c r="FP853" s="1">
        <v>130892.0</v>
      </c>
      <c r="FQ853" s="1" t="s">
        <v>2112</v>
      </c>
      <c r="FR853" s="1">
        <v>126892.0</v>
      </c>
      <c r="FU853" s="1" t="s">
        <v>9877</v>
      </c>
      <c r="FV853" s="1" t="s">
        <v>200</v>
      </c>
      <c r="FW853" s="1" t="s">
        <v>567</v>
      </c>
      <c r="FX853" s="1" t="s">
        <v>655</v>
      </c>
      <c r="FZ853" s="1" t="s">
        <v>229</v>
      </c>
      <c r="GA853" s="1" t="s">
        <v>291</v>
      </c>
      <c r="GB853" s="2">
        <v>42145.0</v>
      </c>
      <c r="GC853" s="1" t="s">
        <v>9878</v>
      </c>
    </row>
    <row r="854">
      <c r="A854" s="1">
        <v>160000.0</v>
      </c>
      <c r="B854" s="1" t="s">
        <v>185</v>
      </c>
      <c r="C854" s="1" t="str">
        <f>"08895181"</f>
        <v>08895181</v>
      </c>
      <c r="D854" s="1" t="s">
        <v>186</v>
      </c>
      <c r="F854" s="1" t="str">
        <f>"8070"</f>
        <v>8070</v>
      </c>
      <c r="G854" s="2">
        <v>42112.0</v>
      </c>
      <c r="H854" s="1">
        <v>149900.0</v>
      </c>
      <c r="I854" s="1">
        <v>4.0</v>
      </c>
      <c r="J854" s="1">
        <v>149900.0</v>
      </c>
      <c r="K854" s="2">
        <v>42115.0</v>
      </c>
      <c r="L854" s="1">
        <v>4.0</v>
      </c>
      <c r="M854" s="2">
        <v>42115.0</v>
      </c>
      <c r="N854" s="1" t="s">
        <v>356</v>
      </c>
      <c r="O854" s="2">
        <v>42146.0</v>
      </c>
      <c r="P854" s="1">
        <v>106514.0</v>
      </c>
      <c r="Q854" s="1">
        <v>12555.0</v>
      </c>
      <c r="R854" s="1">
        <v>4800.0</v>
      </c>
      <c r="S854" s="1">
        <v>8027.0</v>
      </c>
      <c r="T854" s="1" t="s">
        <v>9879</v>
      </c>
      <c r="U854" s="1" t="s">
        <v>189</v>
      </c>
      <c r="V854" s="1" t="s">
        <v>190</v>
      </c>
      <c r="W854" s="1">
        <v>60652.0</v>
      </c>
      <c r="X854" s="1">
        <v>2029.0</v>
      </c>
      <c r="Y854" s="1" t="s">
        <v>9880</v>
      </c>
      <c r="Z854" s="1">
        <v>1949.0</v>
      </c>
      <c r="AA854" s="1" t="s">
        <v>192</v>
      </c>
      <c r="AB854" s="1" t="s">
        <v>193</v>
      </c>
      <c r="AD854" s="1" t="s">
        <v>194</v>
      </c>
      <c r="AE854" s="1" t="s">
        <v>195</v>
      </c>
      <c r="AF854" s="1" t="s">
        <v>659</v>
      </c>
      <c r="AH854" s="1">
        <v>4237.0</v>
      </c>
      <c r="AI854" s="1">
        <v>0.0973</v>
      </c>
      <c r="AK854" s="1">
        <v>10.0</v>
      </c>
      <c r="AL854" s="1">
        <v>3.0</v>
      </c>
      <c r="AM854" s="1">
        <v>2.0</v>
      </c>
      <c r="AN854" s="1">
        <v>0.0</v>
      </c>
      <c r="AO854" s="1" t="s">
        <v>229</v>
      </c>
      <c r="AQ854" s="1" t="s">
        <v>198</v>
      </c>
      <c r="AR854" s="1" t="s">
        <v>192</v>
      </c>
      <c r="AS854" s="1" t="s">
        <v>199</v>
      </c>
      <c r="AT854" s="1">
        <v>1.0</v>
      </c>
      <c r="AV854" s="1" t="s">
        <v>200</v>
      </c>
      <c r="AW854" s="1">
        <v>1774.85</v>
      </c>
      <c r="AX854" s="1">
        <v>2013.0</v>
      </c>
      <c r="AZ854" s="1" t="s">
        <v>200</v>
      </c>
      <c r="BA854" s="1" t="str">
        <f>"19341080050000"</f>
        <v>19341080050000</v>
      </c>
      <c r="BB854" s="1" t="s">
        <v>200</v>
      </c>
      <c r="BC854" s="1">
        <v>998.0</v>
      </c>
      <c r="BD854" s="1">
        <v>160000.0</v>
      </c>
      <c r="BE854" s="2">
        <v>42112.0</v>
      </c>
      <c r="BF854" s="2" t="s">
        <v>9881</v>
      </c>
      <c r="BH854" s="1">
        <v>0.0</v>
      </c>
      <c r="BK854" s="1" t="s">
        <v>204</v>
      </c>
      <c r="BL854" s="1" t="str">
        <f t="shared" si="558"/>
        <v>0</v>
      </c>
      <c r="BM854" s="1" t="str">
        <f t="shared" si="559"/>
        <v>0</v>
      </c>
      <c r="BN854" s="1">
        <v>4600.0</v>
      </c>
      <c r="BO854" s="1">
        <v>8027.0</v>
      </c>
      <c r="BQ854" s="1">
        <v>299.0</v>
      </c>
      <c r="BR854" s="1">
        <v>299.0</v>
      </c>
      <c r="BS854" s="1">
        <v>299.0</v>
      </c>
      <c r="BU854" s="1" t="s">
        <v>454</v>
      </c>
      <c r="BV854" s="1" t="s">
        <v>206</v>
      </c>
      <c r="BW854" s="1" t="s">
        <v>268</v>
      </c>
      <c r="BX854" s="1" t="s">
        <v>229</v>
      </c>
      <c r="BY854" s="1" t="s">
        <v>497</v>
      </c>
      <c r="BZ854" s="1" t="s">
        <v>206</v>
      </c>
      <c r="CA854" s="1" t="s">
        <v>210</v>
      </c>
      <c r="CB854" s="1" t="s">
        <v>229</v>
      </c>
      <c r="CC854" s="1" t="s">
        <v>332</v>
      </c>
      <c r="CD854" s="1" t="s">
        <v>206</v>
      </c>
      <c r="CE854" s="1" t="s">
        <v>268</v>
      </c>
      <c r="CF854" s="1" t="s">
        <v>229</v>
      </c>
      <c r="CG854" s="1" t="s">
        <v>264</v>
      </c>
      <c r="CH854" s="1" t="s">
        <v>206</v>
      </c>
      <c r="CI854" s="1" t="s">
        <v>210</v>
      </c>
      <c r="CJ854" s="1" t="s">
        <v>229</v>
      </c>
      <c r="CK854" s="1" t="s">
        <v>332</v>
      </c>
      <c r="CL854" s="1" t="s">
        <v>42</v>
      </c>
      <c r="CM854" s="1" t="s">
        <v>268</v>
      </c>
      <c r="CN854" s="1" t="s">
        <v>229</v>
      </c>
      <c r="CO854" s="1" t="s">
        <v>266</v>
      </c>
      <c r="CP854" s="1" t="s">
        <v>206</v>
      </c>
      <c r="CQ854" s="1" t="s">
        <v>268</v>
      </c>
      <c r="CR854" s="1" t="s">
        <v>229</v>
      </c>
      <c r="CS854" s="1" t="s">
        <v>543</v>
      </c>
      <c r="CT854" s="1" t="s">
        <v>206</v>
      </c>
      <c r="CU854" s="1" t="s">
        <v>268</v>
      </c>
      <c r="CV854" s="1" t="s">
        <v>229</v>
      </c>
      <c r="CW854" s="1" t="s">
        <v>1483</v>
      </c>
      <c r="CX854" s="1" t="s">
        <v>42</v>
      </c>
      <c r="CY854" s="1" t="s">
        <v>268</v>
      </c>
      <c r="CZ854" s="1" t="s">
        <v>229</v>
      </c>
      <c r="DA854" s="1" t="s">
        <v>200</v>
      </c>
      <c r="DC854" s="1" t="s">
        <v>702</v>
      </c>
      <c r="DD854" s="1" t="s">
        <v>618</v>
      </c>
      <c r="DE854" s="1" t="s">
        <v>2851</v>
      </c>
      <c r="DF854" s="1" t="s">
        <v>619</v>
      </c>
      <c r="DH854" s="1" t="s">
        <v>307</v>
      </c>
      <c r="DI854" s="1" t="s">
        <v>831</v>
      </c>
      <c r="DJ854" s="1" t="s">
        <v>222</v>
      </c>
      <c r="DL854" s="1" t="s">
        <v>224</v>
      </c>
      <c r="DM854" s="1" t="s">
        <v>229</v>
      </c>
      <c r="DO854" s="1" t="s">
        <v>549</v>
      </c>
      <c r="DP854" s="1" t="s">
        <v>276</v>
      </c>
      <c r="DQ854" s="1" t="s">
        <v>794</v>
      </c>
      <c r="DR854" s="1" t="s">
        <v>229</v>
      </c>
      <c r="DS854" s="1" t="s">
        <v>230</v>
      </c>
      <c r="DV854" s="1" t="s">
        <v>5763</v>
      </c>
      <c r="DW854" s="1" t="s">
        <v>279</v>
      </c>
      <c r="DX854" s="1" t="s">
        <v>234</v>
      </c>
      <c r="DZ854" s="1" t="s">
        <v>282</v>
      </c>
      <c r="EA854" s="1" t="s">
        <v>683</v>
      </c>
      <c r="EC854" s="1" t="s">
        <v>685</v>
      </c>
      <c r="ED854" s="1" t="s">
        <v>1761</v>
      </c>
      <c r="EE854" s="1" t="s">
        <v>1077</v>
      </c>
      <c r="EG854" s="1" t="s">
        <v>494</v>
      </c>
      <c r="EH854" s="1" t="s">
        <v>598</v>
      </c>
      <c r="EL854" s="1" t="s">
        <v>623</v>
      </c>
      <c r="EM854" s="1" t="s">
        <v>206</v>
      </c>
      <c r="EN854" s="1" t="s">
        <v>210</v>
      </c>
      <c r="EO854" s="1" t="s">
        <v>229</v>
      </c>
      <c r="EP854" s="1" t="s">
        <v>798</v>
      </c>
      <c r="EQ854" s="1" t="s">
        <v>42</v>
      </c>
      <c r="ER854" s="1" t="s">
        <v>268</v>
      </c>
      <c r="ES854" s="1" t="s">
        <v>229</v>
      </c>
      <c r="EU854" s="1" t="s">
        <v>238</v>
      </c>
      <c r="EY854" s="1" t="s">
        <v>238</v>
      </c>
      <c r="FC854" s="1" t="s">
        <v>238</v>
      </c>
      <c r="FF854" s="1" t="s">
        <v>239</v>
      </c>
      <c r="FG854" s="1" t="s">
        <v>192</v>
      </c>
      <c r="FH854" s="1" t="s">
        <v>192</v>
      </c>
      <c r="FJ854" s="1" t="s">
        <v>498</v>
      </c>
      <c r="FK854" s="1" t="s">
        <v>229</v>
      </c>
      <c r="FL854" s="1" t="s">
        <v>3282</v>
      </c>
      <c r="FM854" s="1">
        <v>18570.0</v>
      </c>
      <c r="FN854" s="1" t="s">
        <v>3283</v>
      </c>
      <c r="FO854" s="1" t="s">
        <v>9882</v>
      </c>
      <c r="FP854" s="1">
        <v>146278.0</v>
      </c>
      <c r="FQ854" s="1" t="s">
        <v>9883</v>
      </c>
      <c r="FS854" s="1" t="s">
        <v>9884</v>
      </c>
      <c r="FU854" s="1" t="s">
        <v>9885</v>
      </c>
      <c r="FV854" s="1" t="s">
        <v>200</v>
      </c>
      <c r="FW854" s="1" t="s">
        <v>290</v>
      </c>
      <c r="FX854" s="1" t="s">
        <v>655</v>
      </c>
      <c r="FZ854" s="1" t="s">
        <v>229</v>
      </c>
      <c r="GA854" s="1" t="s">
        <v>291</v>
      </c>
      <c r="GB854" s="2">
        <v>42146.0</v>
      </c>
      <c r="GC854" s="1" t="s">
        <v>9886</v>
      </c>
    </row>
    <row r="855">
      <c r="A855" s="1">
        <v>80500.0</v>
      </c>
      <c r="B855" s="1" t="s">
        <v>185</v>
      </c>
      <c r="C855" s="1" t="str">
        <f>"08890646"</f>
        <v>08890646</v>
      </c>
      <c r="D855" s="1" t="s">
        <v>186</v>
      </c>
      <c r="F855" s="1" t="str">
        <f>"8023"</f>
        <v>8023</v>
      </c>
      <c r="G855" s="2">
        <v>42108.0</v>
      </c>
      <c r="H855" s="1">
        <v>66950.0</v>
      </c>
      <c r="I855" s="1">
        <v>18.0</v>
      </c>
      <c r="J855" s="1">
        <v>66950.0</v>
      </c>
      <c r="K855" s="2">
        <v>42125.0</v>
      </c>
      <c r="L855" s="1">
        <v>18.0</v>
      </c>
      <c r="M855" s="2">
        <v>42125.0</v>
      </c>
      <c r="N855" s="1" t="s">
        <v>249</v>
      </c>
      <c r="O855" s="2">
        <v>42150.0</v>
      </c>
      <c r="P855" s="1">
        <v>133212.0</v>
      </c>
      <c r="Q855" s="1">
        <v>17494.0</v>
      </c>
      <c r="S855" s="1">
        <v>1728.0</v>
      </c>
      <c r="T855" s="1" t="s">
        <v>7179</v>
      </c>
      <c r="U855" s="1" t="s">
        <v>189</v>
      </c>
      <c r="V855" s="1" t="s">
        <v>190</v>
      </c>
      <c r="W855" s="1">
        <v>60639.0</v>
      </c>
      <c r="Y855" s="1" t="s">
        <v>9887</v>
      </c>
      <c r="Z855" s="1">
        <v>1896.0</v>
      </c>
      <c r="AA855" s="1" t="s">
        <v>192</v>
      </c>
      <c r="AB855" s="1" t="s">
        <v>193</v>
      </c>
      <c r="AD855" s="1" t="s">
        <v>194</v>
      </c>
      <c r="AE855" s="1" t="s">
        <v>195</v>
      </c>
      <c r="AF855" s="1" t="s">
        <v>196</v>
      </c>
      <c r="AH855" s="1" t="s">
        <v>1501</v>
      </c>
      <c r="AI855" s="1">
        <v>0.0717</v>
      </c>
      <c r="AK855" s="1">
        <v>6.0</v>
      </c>
      <c r="AL855" s="1">
        <v>4.0</v>
      </c>
      <c r="AM855" s="1">
        <v>2.0</v>
      </c>
      <c r="AN855" s="1">
        <v>0.0</v>
      </c>
      <c r="AO855" s="1" t="s">
        <v>229</v>
      </c>
      <c r="AQ855" s="1" t="s">
        <v>1314</v>
      </c>
      <c r="AR855" s="1" t="s">
        <v>200</v>
      </c>
      <c r="AS855" s="1" t="s">
        <v>199</v>
      </c>
      <c r="AT855" s="1">
        <v>2.0</v>
      </c>
      <c r="AV855" s="1" t="s">
        <v>200</v>
      </c>
      <c r="AW855" s="1">
        <v>2123.45</v>
      </c>
      <c r="AX855" s="1">
        <v>2013.0</v>
      </c>
      <c r="AZ855" s="1" t="s">
        <v>200</v>
      </c>
      <c r="BA855" s="1" t="str">
        <f>"13344170140000"</f>
        <v>13344170140000</v>
      </c>
      <c r="BC855" s="1">
        <v>1421.0</v>
      </c>
      <c r="BD855" s="1">
        <v>80500.0</v>
      </c>
      <c r="BE855" s="2">
        <v>42108.0</v>
      </c>
      <c r="BF855" s="1" t="s">
        <v>9888</v>
      </c>
      <c r="BH855" s="1">
        <v>0.0</v>
      </c>
      <c r="BK855" s="1" t="s">
        <v>204</v>
      </c>
      <c r="BL855" s="1" t="str">
        <f>"1800"</f>
        <v>1800</v>
      </c>
      <c r="BM855" s="1" t="str">
        <f t="shared" si="559"/>
        <v>0</v>
      </c>
      <c r="BN855" s="1">
        <v>4300.0</v>
      </c>
      <c r="BO855" s="1">
        <v>0.0</v>
      </c>
      <c r="BQ855" s="1">
        <v>299.0</v>
      </c>
      <c r="BR855" s="1">
        <v>299.0</v>
      </c>
      <c r="BS855" s="1">
        <v>299.0</v>
      </c>
      <c r="BU855" s="1" t="s">
        <v>9889</v>
      </c>
      <c r="BV855" s="1" t="s">
        <v>206</v>
      </c>
      <c r="BW855" s="1" t="s">
        <v>210</v>
      </c>
      <c r="BX855" s="1" t="s">
        <v>229</v>
      </c>
      <c r="BY855" s="1" t="s">
        <v>1158</v>
      </c>
      <c r="BZ855" s="1" t="s">
        <v>206</v>
      </c>
      <c r="CA855" s="1" t="s">
        <v>210</v>
      </c>
      <c r="CB855" s="1" t="s">
        <v>229</v>
      </c>
      <c r="CD855" s="1" t="s">
        <v>204</v>
      </c>
      <c r="CG855" s="1" t="s">
        <v>497</v>
      </c>
      <c r="CH855" s="1" t="s">
        <v>206</v>
      </c>
      <c r="CI855" s="1" t="s">
        <v>210</v>
      </c>
      <c r="CJ855" s="1" t="s">
        <v>229</v>
      </c>
      <c r="CK855" s="1" t="s">
        <v>5211</v>
      </c>
      <c r="CL855" s="1" t="s">
        <v>206</v>
      </c>
      <c r="CM855" s="1" t="s">
        <v>210</v>
      </c>
      <c r="CN855" s="1" t="s">
        <v>229</v>
      </c>
      <c r="CO855" s="1" t="s">
        <v>5359</v>
      </c>
      <c r="CP855" s="1" t="s">
        <v>206</v>
      </c>
      <c r="CQ855" s="1" t="s">
        <v>210</v>
      </c>
      <c r="CR855" s="1" t="s">
        <v>229</v>
      </c>
      <c r="CS855" s="1" t="s">
        <v>212</v>
      </c>
      <c r="CT855" s="1" t="s">
        <v>206</v>
      </c>
      <c r="CU855" s="1" t="s">
        <v>617</v>
      </c>
      <c r="CV855" s="1" t="s">
        <v>229</v>
      </c>
      <c r="CX855" s="1" t="s">
        <v>204</v>
      </c>
      <c r="DA855" s="1" t="s">
        <v>200</v>
      </c>
      <c r="DC855" s="1" t="s">
        <v>642</v>
      </c>
      <c r="DE855" s="1" t="s">
        <v>1300</v>
      </c>
      <c r="DF855" s="1" t="s">
        <v>6818</v>
      </c>
      <c r="DH855" s="1" t="s">
        <v>365</v>
      </c>
      <c r="DJ855" s="1" t="s">
        <v>222</v>
      </c>
      <c r="DL855" s="1" t="s">
        <v>223</v>
      </c>
      <c r="DM855" s="1" t="s">
        <v>229</v>
      </c>
      <c r="DQ855" s="1" t="s">
        <v>228</v>
      </c>
      <c r="DR855" s="1" t="s">
        <v>229</v>
      </c>
      <c r="DV855" s="1" t="s">
        <v>232</v>
      </c>
      <c r="DW855" s="1" t="s">
        <v>279</v>
      </c>
      <c r="DX855" s="1" t="s">
        <v>234</v>
      </c>
      <c r="EC855" s="1" t="s">
        <v>645</v>
      </c>
      <c r="EM855" s="1" t="s">
        <v>238</v>
      </c>
      <c r="EQ855" s="1" t="s">
        <v>238</v>
      </c>
      <c r="EU855" s="1" t="s">
        <v>238</v>
      </c>
      <c r="EY855" s="1" t="s">
        <v>238</v>
      </c>
      <c r="FC855" s="1" t="s">
        <v>238</v>
      </c>
      <c r="FF855" s="1" t="s">
        <v>239</v>
      </c>
      <c r="FG855" s="1" t="s">
        <v>192</v>
      </c>
      <c r="FH855" s="1" t="s">
        <v>192</v>
      </c>
      <c r="FJ855" s="1" t="s">
        <v>524</v>
      </c>
      <c r="FK855" s="1" t="s">
        <v>229</v>
      </c>
      <c r="FL855" s="1" t="s">
        <v>1358</v>
      </c>
      <c r="FM855" s="1">
        <v>10115.0</v>
      </c>
      <c r="FN855" s="1" t="s">
        <v>2286</v>
      </c>
      <c r="FO855" s="1" t="s">
        <v>9890</v>
      </c>
      <c r="FP855" s="1">
        <v>172449.0</v>
      </c>
      <c r="FU855" s="1" t="s">
        <v>710</v>
      </c>
      <c r="FV855" s="1" t="s">
        <v>200</v>
      </c>
      <c r="FW855" s="1" t="s">
        <v>290</v>
      </c>
      <c r="FX855" s="1" t="s">
        <v>238</v>
      </c>
      <c r="FZ855" s="1" t="s">
        <v>229</v>
      </c>
      <c r="GA855" s="1" t="s">
        <v>291</v>
      </c>
      <c r="GB855" s="2">
        <v>42150.0</v>
      </c>
      <c r="GC855" s="1" t="s">
        <v>9891</v>
      </c>
    </row>
    <row r="856">
      <c r="A856" s="1">
        <v>555000.0</v>
      </c>
      <c r="B856" s="1" t="s">
        <v>185</v>
      </c>
      <c r="C856" s="1" t="str">
        <f>"08908275"</f>
        <v>08908275</v>
      </c>
      <c r="D856" s="1" t="s">
        <v>186</v>
      </c>
      <c r="F856" s="1" t="str">
        <f>"10"</f>
        <v>10</v>
      </c>
      <c r="G856" s="2">
        <v>42125.0</v>
      </c>
      <c r="H856" s="1">
        <v>568500.0</v>
      </c>
      <c r="I856" s="1">
        <v>1.0</v>
      </c>
      <c r="J856" s="1">
        <v>568500.0</v>
      </c>
      <c r="K856" s="2">
        <v>42125.0</v>
      </c>
      <c r="L856" s="1">
        <v>1.0</v>
      </c>
      <c r="M856" s="2">
        <v>42125.0</v>
      </c>
      <c r="N856" s="1" t="s">
        <v>187</v>
      </c>
      <c r="O856" s="2">
        <v>42128.0</v>
      </c>
      <c r="P856" s="1">
        <v>20570.0</v>
      </c>
      <c r="Q856" s="1">
        <v>1810.0</v>
      </c>
      <c r="S856" s="1">
        <v>610.0</v>
      </c>
      <c r="T856" s="1" t="s">
        <v>5806</v>
      </c>
      <c r="U856" s="1" t="s">
        <v>1174</v>
      </c>
      <c r="V856" s="1" t="s">
        <v>1706</v>
      </c>
      <c r="W856" s="1">
        <v>60010.0</v>
      </c>
      <c r="Y856" s="1" t="s">
        <v>9892</v>
      </c>
      <c r="Z856" s="1">
        <v>1972.0</v>
      </c>
      <c r="AA856" s="1" t="s">
        <v>192</v>
      </c>
      <c r="AB856" s="1" t="s">
        <v>467</v>
      </c>
      <c r="AC856" s="1" t="s">
        <v>4556</v>
      </c>
      <c r="AD856" s="1" t="s">
        <v>1948</v>
      </c>
      <c r="AE856" s="1" t="s">
        <v>917</v>
      </c>
      <c r="AF856" s="1" t="s">
        <v>918</v>
      </c>
      <c r="AG856" s="1" t="s">
        <v>752</v>
      </c>
      <c r="AH856" s="1" t="s">
        <v>9893</v>
      </c>
      <c r="AI856" s="1">
        <v>0.4522</v>
      </c>
      <c r="AK856" s="1">
        <v>9.0</v>
      </c>
      <c r="AL856" s="1">
        <v>4.0</v>
      </c>
      <c r="AM856" s="1">
        <v>2.0</v>
      </c>
      <c r="AN856" s="1">
        <v>1.0</v>
      </c>
      <c r="AO856" s="1" t="s">
        <v>198</v>
      </c>
      <c r="AP856" s="1">
        <v>2.0</v>
      </c>
      <c r="AQ856" s="1" t="s">
        <v>198</v>
      </c>
      <c r="AR856" s="1" t="s">
        <v>200</v>
      </c>
      <c r="AS856" s="1" t="s">
        <v>199</v>
      </c>
      <c r="AT856" s="1">
        <v>2.0</v>
      </c>
      <c r="AV856" s="1" t="s">
        <v>200</v>
      </c>
      <c r="AW856" s="1">
        <v>12178.0</v>
      </c>
      <c r="AX856" s="1">
        <v>2013.0</v>
      </c>
      <c r="AY856" s="1" t="s">
        <v>387</v>
      </c>
      <c r="AZ856" s="1" t="s">
        <v>200</v>
      </c>
      <c r="BA856" s="1" t="str">
        <f>"14312010110000"</f>
        <v>14312010110000</v>
      </c>
      <c r="BB856" s="1" t="s">
        <v>200</v>
      </c>
      <c r="BC856" s="1">
        <v>2814.0</v>
      </c>
      <c r="BD856" s="1">
        <v>555000.0</v>
      </c>
      <c r="BE856" s="2">
        <v>42125.0</v>
      </c>
      <c r="BF856" s="2" t="s">
        <v>9894</v>
      </c>
      <c r="BG856" s="1" t="s">
        <v>1712</v>
      </c>
      <c r="BH856" s="1">
        <v>926.0</v>
      </c>
      <c r="BI856" s="1" t="s">
        <v>2012</v>
      </c>
      <c r="BJ856" s="1" t="s">
        <v>1714</v>
      </c>
      <c r="BK856" s="1" t="s">
        <v>580</v>
      </c>
      <c r="BL856" s="1" t="str">
        <f>"20"</f>
        <v>20</v>
      </c>
      <c r="BM856" s="1" t="str">
        <f t="shared" ref="BM856:BM857" si="560">""</f>
        <v/>
      </c>
      <c r="BN856" s="1">
        <v>24.0</v>
      </c>
      <c r="BQ856" s="1">
        <v>220.0</v>
      </c>
      <c r="BR856" s="1">
        <v>220.0</v>
      </c>
      <c r="BS856" s="1">
        <v>220.0</v>
      </c>
      <c r="BU856" s="1" t="s">
        <v>390</v>
      </c>
      <c r="BV856" s="1" t="s">
        <v>206</v>
      </c>
      <c r="BW856" s="1" t="s">
        <v>210</v>
      </c>
      <c r="BY856" s="1" t="s">
        <v>432</v>
      </c>
      <c r="BZ856" s="1" t="s">
        <v>209</v>
      </c>
      <c r="CA856" s="1" t="s">
        <v>210</v>
      </c>
      <c r="CC856" s="1" t="s">
        <v>432</v>
      </c>
      <c r="CD856" s="1" t="s">
        <v>206</v>
      </c>
      <c r="CE856" s="1" t="s">
        <v>207</v>
      </c>
      <c r="CG856" s="1" t="s">
        <v>584</v>
      </c>
      <c r="CH856" s="1" t="s">
        <v>209</v>
      </c>
      <c r="CI856" s="1" t="s">
        <v>210</v>
      </c>
      <c r="CK856" s="1" t="s">
        <v>215</v>
      </c>
      <c r="CL856" s="1" t="s">
        <v>209</v>
      </c>
      <c r="CM856" s="1" t="s">
        <v>210</v>
      </c>
      <c r="CO856" s="1" t="s">
        <v>497</v>
      </c>
      <c r="CP856" s="1" t="s">
        <v>209</v>
      </c>
      <c r="CQ856" s="1" t="s">
        <v>210</v>
      </c>
      <c r="CS856" s="1" t="s">
        <v>700</v>
      </c>
      <c r="CT856" s="1" t="s">
        <v>206</v>
      </c>
      <c r="CU856" s="1" t="s">
        <v>207</v>
      </c>
      <c r="CW856" s="1" t="s">
        <v>7468</v>
      </c>
      <c r="CX856" s="1" t="s">
        <v>206</v>
      </c>
      <c r="CY856" s="1" t="s">
        <v>207</v>
      </c>
      <c r="DA856" s="1" t="s">
        <v>200</v>
      </c>
      <c r="DC856" s="1" t="s">
        <v>517</v>
      </c>
      <c r="DD856" s="1" t="s">
        <v>855</v>
      </c>
      <c r="DE856" s="1" t="s">
        <v>273</v>
      </c>
      <c r="DF856" s="1" t="s">
        <v>219</v>
      </c>
      <c r="DG856" s="1" t="s">
        <v>9895</v>
      </c>
      <c r="DH856" s="1" t="s">
        <v>220</v>
      </c>
      <c r="DI856" s="1" t="s">
        <v>1813</v>
      </c>
      <c r="DJ856" s="1" t="s">
        <v>222</v>
      </c>
      <c r="DK856" s="1" t="s">
        <v>223</v>
      </c>
      <c r="DL856" s="1" t="s">
        <v>223</v>
      </c>
      <c r="DM856" s="1" t="s">
        <v>929</v>
      </c>
      <c r="DN856" s="1" t="s">
        <v>339</v>
      </c>
      <c r="DO856" s="1" t="s">
        <v>9896</v>
      </c>
      <c r="DP856" s="1" t="s">
        <v>340</v>
      </c>
      <c r="DQ856" s="1" t="s">
        <v>441</v>
      </c>
      <c r="DR856" s="1" t="s">
        <v>9897</v>
      </c>
      <c r="DS856" s="1" t="s">
        <v>277</v>
      </c>
      <c r="DU856" s="1" t="s">
        <v>9898</v>
      </c>
      <c r="DV856" s="1" t="s">
        <v>594</v>
      </c>
      <c r="DW856" s="1" t="s">
        <v>934</v>
      </c>
      <c r="DX856" s="1" t="s">
        <v>234</v>
      </c>
      <c r="DY856" s="1" t="s">
        <v>1559</v>
      </c>
      <c r="DZ856" s="1" t="s">
        <v>796</v>
      </c>
      <c r="EA856" s="1" t="s">
        <v>447</v>
      </c>
      <c r="EB856" s="1" t="s">
        <v>684</v>
      </c>
      <c r="EC856" s="1" t="s">
        <v>237</v>
      </c>
      <c r="ED856" s="1" t="s">
        <v>407</v>
      </c>
      <c r="EG856" s="1" t="s">
        <v>598</v>
      </c>
      <c r="EH856" s="1" t="s">
        <v>408</v>
      </c>
      <c r="EL856" s="1" t="s">
        <v>584</v>
      </c>
      <c r="EM856" s="1" t="s">
        <v>206</v>
      </c>
      <c r="EN856" s="1" t="s">
        <v>210</v>
      </c>
      <c r="EP856" s="1" t="s">
        <v>9899</v>
      </c>
      <c r="EQ856" s="1" t="s">
        <v>206</v>
      </c>
      <c r="ER856" s="1" t="s">
        <v>207</v>
      </c>
      <c r="EU856" s="1" t="s">
        <v>238</v>
      </c>
      <c r="EY856" s="1" t="s">
        <v>238</v>
      </c>
      <c r="FC856" s="1" t="s">
        <v>238</v>
      </c>
      <c r="FF856" s="1" t="s">
        <v>239</v>
      </c>
      <c r="FG856" s="1" t="s">
        <v>192</v>
      </c>
      <c r="FH856" s="1" t="s">
        <v>192</v>
      </c>
      <c r="FJ856" s="1" t="s">
        <v>2206</v>
      </c>
      <c r="FK856" s="1" t="s">
        <v>229</v>
      </c>
      <c r="FL856" s="1" t="s">
        <v>819</v>
      </c>
      <c r="FM856" s="1">
        <v>6267.0</v>
      </c>
      <c r="FN856" s="1" t="s">
        <v>820</v>
      </c>
      <c r="FO856" s="1" t="s">
        <v>9900</v>
      </c>
      <c r="FP856" s="1">
        <v>63131.0</v>
      </c>
      <c r="FQ856" s="1" t="s">
        <v>9901</v>
      </c>
      <c r="FR856" s="1">
        <v>62944.0</v>
      </c>
      <c r="FS856" s="1" t="s">
        <v>9902</v>
      </c>
      <c r="FU856" s="1" t="s">
        <v>9903</v>
      </c>
      <c r="FV856" s="1" t="s">
        <v>200</v>
      </c>
      <c r="FW856" s="1" t="s">
        <v>9904</v>
      </c>
      <c r="FZ856" s="1" t="s">
        <v>229</v>
      </c>
      <c r="GA856" s="1" t="s">
        <v>291</v>
      </c>
      <c r="GB856" s="2">
        <v>42129.0</v>
      </c>
      <c r="GC856" s="1" t="s">
        <v>9905</v>
      </c>
    </row>
    <row r="857">
      <c r="A857" s="1">
        <v>645000.0</v>
      </c>
      <c r="B857" s="1" t="s">
        <v>185</v>
      </c>
      <c r="C857" s="1" t="str">
        <f>"08897717"</f>
        <v>08897717</v>
      </c>
      <c r="D857" s="1" t="s">
        <v>186</v>
      </c>
      <c r="F857" s="1" t="str">
        <f>"174"</f>
        <v>174</v>
      </c>
      <c r="G857" s="2">
        <v>42115.0</v>
      </c>
      <c r="H857" s="1">
        <v>664900.0</v>
      </c>
      <c r="I857" s="1">
        <v>145.0</v>
      </c>
      <c r="J857" s="1">
        <v>664900.0</v>
      </c>
      <c r="K857" s="2">
        <v>42115.0</v>
      </c>
      <c r="L857" s="1">
        <v>1.0</v>
      </c>
      <c r="M857" s="2">
        <v>42115.0</v>
      </c>
      <c r="N857" s="1" t="s">
        <v>249</v>
      </c>
      <c r="O857" s="2">
        <v>42138.0</v>
      </c>
      <c r="P857" s="1">
        <v>230482.0</v>
      </c>
      <c r="Q857" s="1">
        <v>23591.0</v>
      </c>
      <c r="S857" s="1" t="s">
        <v>9906</v>
      </c>
      <c r="T857" s="1" t="s">
        <v>9907</v>
      </c>
      <c r="U857" s="1" t="s">
        <v>464</v>
      </c>
      <c r="V857" s="1" t="s">
        <v>1200</v>
      </c>
      <c r="W857" s="1">
        <v>60175.0</v>
      </c>
      <c r="Y857" s="1" t="s">
        <v>9908</v>
      </c>
      <c r="Z857" s="1">
        <v>2000.0</v>
      </c>
      <c r="AA857" s="1" t="s">
        <v>200</v>
      </c>
      <c r="AB857" s="1" t="s">
        <v>467</v>
      </c>
      <c r="AC857" s="1" t="s">
        <v>9909</v>
      </c>
      <c r="AD857" s="1" t="s">
        <v>1089</v>
      </c>
      <c r="AE857" s="1" t="s">
        <v>325</v>
      </c>
      <c r="AF857" s="1" t="s">
        <v>1203</v>
      </c>
      <c r="AG857" s="1" t="s">
        <v>752</v>
      </c>
      <c r="AH857" s="1" t="s">
        <v>9910</v>
      </c>
      <c r="AI857" s="1">
        <v>1.997</v>
      </c>
      <c r="AK857" s="1">
        <v>16.0</v>
      </c>
      <c r="AL857" s="1">
        <v>4.0</v>
      </c>
      <c r="AM857" s="1">
        <v>4.0</v>
      </c>
      <c r="AN857" s="1">
        <v>1.0</v>
      </c>
      <c r="AO857" s="1" t="s">
        <v>198</v>
      </c>
      <c r="AP857" s="1">
        <v>1.0</v>
      </c>
      <c r="AQ857" s="1" t="s">
        <v>472</v>
      </c>
      <c r="AR857" s="1" t="s">
        <v>192</v>
      </c>
      <c r="AS857" s="1" t="s">
        <v>199</v>
      </c>
      <c r="AT857" s="1">
        <v>3.0</v>
      </c>
      <c r="AV857" s="1" t="s">
        <v>200</v>
      </c>
      <c r="AW857" s="1">
        <v>16113.44</v>
      </c>
      <c r="AX857" s="1">
        <v>2013.0</v>
      </c>
      <c r="AY857" s="1" t="s">
        <v>387</v>
      </c>
      <c r="AZ857" s="1" t="s">
        <v>200</v>
      </c>
      <c r="BA857" s="1" t="str">
        <f>"0906151011"</f>
        <v>0906151011</v>
      </c>
      <c r="BC857" s="1">
        <v>0.0</v>
      </c>
      <c r="BD857" s="1">
        <v>645000.0</v>
      </c>
      <c r="BE857" s="2">
        <v>42115.0</v>
      </c>
      <c r="BF857" s="2" t="s">
        <v>9911</v>
      </c>
      <c r="BG857" s="1" t="s">
        <v>4510</v>
      </c>
      <c r="BH857" s="1">
        <v>400.0</v>
      </c>
      <c r="BI857" s="1" t="s">
        <v>4511</v>
      </c>
      <c r="BJ857" s="1" t="s">
        <v>2200</v>
      </c>
      <c r="BK857" s="1" t="s">
        <v>580</v>
      </c>
      <c r="BL857" s="1" t="str">
        <f>"7"</f>
        <v>7</v>
      </c>
      <c r="BM857" s="1" t="str">
        <f t="shared" si="560"/>
        <v/>
      </c>
      <c r="BN857" s="1">
        <v>38.0</v>
      </c>
      <c r="BQ857" s="1">
        <v>303.0</v>
      </c>
      <c r="BR857" s="1">
        <v>303.0</v>
      </c>
      <c r="BS857" s="1">
        <v>303.0</v>
      </c>
      <c r="BU857" s="1" t="s">
        <v>329</v>
      </c>
      <c r="BV857" s="1" t="s">
        <v>206</v>
      </c>
      <c r="BW857" s="1" t="s">
        <v>210</v>
      </c>
      <c r="BX857" s="1" t="s">
        <v>229</v>
      </c>
      <c r="BY857" s="1" t="s">
        <v>1244</v>
      </c>
      <c r="BZ857" s="1" t="s">
        <v>209</v>
      </c>
      <c r="CA857" s="1" t="s">
        <v>210</v>
      </c>
      <c r="CB857" s="1" t="s">
        <v>431</v>
      </c>
      <c r="CC857" s="1" t="s">
        <v>743</v>
      </c>
      <c r="CD857" s="1" t="s">
        <v>206</v>
      </c>
      <c r="CE857" s="1" t="s">
        <v>207</v>
      </c>
      <c r="CF857" s="1" t="s">
        <v>239</v>
      </c>
      <c r="CG857" s="1" t="s">
        <v>433</v>
      </c>
      <c r="CH857" s="1" t="s">
        <v>209</v>
      </c>
      <c r="CI857" s="1" t="s">
        <v>210</v>
      </c>
      <c r="CJ857" s="1" t="s">
        <v>431</v>
      </c>
      <c r="CK857" s="1" t="s">
        <v>392</v>
      </c>
      <c r="CL857" s="1" t="s">
        <v>209</v>
      </c>
      <c r="CM857" s="1" t="s">
        <v>210</v>
      </c>
      <c r="CN857" s="1" t="s">
        <v>431</v>
      </c>
      <c r="CO857" s="1" t="s">
        <v>215</v>
      </c>
      <c r="CP857" s="1" t="s">
        <v>209</v>
      </c>
      <c r="CQ857" s="1" t="s">
        <v>210</v>
      </c>
      <c r="CR857" s="1" t="s">
        <v>431</v>
      </c>
      <c r="CS857" s="1" t="s">
        <v>361</v>
      </c>
      <c r="CT857" s="1" t="s">
        <v>206</v>
      </c>
      <c r="CU857" s="1" t="s">
        <v>207</v>
      </c>
      <c r="CV857" s="1" t="s">
        <v>229</v>
      </c>
      <c r="CW857" s="1" t="s">
        <v>2861</v>
      </c>
      <c r="CX857" s="1" t="s">
        <v>206</v>
      </c>
      <c r="CY857" s="1" t="s">
        <v>207</v>
      </c>
      <c r="CZ857" s="1" t="s">
        <v>431</v>
      </c>
      <c r="DA857" s="1" t="s">
        <v>200</v>
      </c>
      <c r="DC857" s="1" t="s">
        <v>335</v>
      </c>
      <c r="DD857" s="1" t="s">
        <v>1954</v>
      </c>
      <c r="DE857" s="1" t="s">
        <v>218</v>
      </c>
      <c r="DF857" s="1" t="s">
        <v>745</v>
      </c>
      <c r="DG857" s="1" t="s">
        <v>1553</v>
      </c>
      <c r="DH857" s="1" t="s">
        <v>856</v>
      </c>
      <c r="DI857" s="1" t="s">
        <v>3940</v>
      </c>
      <c r="DJ857" s="1" t="s">
        <v>857</v>
      </c>
      <c r="DK857" s="1" t="s">
        <v>1555</v>
      </c>
      <c r="DL857" s="1" t="s">
        <v>224</v>
      </c>
      <c r="DM857" s="1" t="s">
        <v>338</v>
      </c>
      <c r="DN857" s="1" t="s">
        <v>2873</v>
      </c>
      <c r="DO857" s="1" t="s">
        <v>486</v>
      </c>
      <c r="DP857" s="1" t="s">
        <v>340</v>
      </c>
      <c r="DQ857" s="1" t="s">
        <v>931</v>
      </c>
      <c r="DR857" s="1" t="s">
        <v>588</v>
      </c>
      <c r="DS857" s="1" t="s">
        <v>368</v>
      </c>
      <c r="DU857" s="1" t="s">
        <v>9912</v>
      </c>
      <c r="DV857" s="1" t="s">
        <v>9913</v>
      </c>
      <c r="DW857" s="1" t="s">
        <v>9914</v>
      </c>
      <c r="DX857" s="1" t="s">
        <v>234</v>
      </c>
      <c r="DY857" s="1" t="s">
        <v>9915</v>
      </c>
      <c r="DZ857" s="1" t="s">
        <v>9916</v>
      </c>
      <c r="EA857" s="1" t="s">
        <v>344</v>
      </c>
      <c r="EB857" s="1" t="s">
        <v>492</v>
      </c>
      <c r="EC857" s="1" t="s">
        <v>237</v>
      </c>
      <c r="ED857" s="1" t="s">
        <v>1406</v>
      </c>
      <c r="EG857" s="1" t="s">
        <v>494</v>
      </c>
      <c r="EH857" s="1" t="s">
        <v>114</v>
      </c>
      <c r="EI857" s="1" t="s">
        <v>450</v>
      </c>
      <c r="EJ857" s="1" t="s">
        <v>451</v>
      </c>
      <c r="EK857" s="1" t="s">
        <v>1121</v>
      </c>
      <c r="EL857" s="1" t="s">
        <v>215</v>
      </c>
      <c r="EM857" s="1" t="s">
        <v>206</v>
      </c>
      <c r="EN857" s="1" t="s">
        <v>210</v>
      </c>
      <c r="EO857" s="1" t="s">
        <v>431</v>
      </c>
      <c r="EP857" s="1" t="s">
        <v>544</v>
      </c>
      <c r="EQ857" s="1" t="s">
        <v>209</v>
      </c>
      <c r="ER857" s="1" t="s">
        <v>588</v>
      </c>
      <c r="ET857" s="1" t="s">
        <v>1953</v>
      </c>
      <c r="EU857" s="1" t="s">
        <v>42</v>
      </c>
      <c r="EV857" s="1" t="s">
        <v>210</v>
      </c>
      <c r="EX857" s="1" t="s">
        <v>2749</v>
      </c>
      <c r="EY857" s="1" t="s">
        <v>42</v>
      </c>
      <c r="EZ857" s="1" t="s">
        <v>210</v>
      </c>
      <c r="FB857" s="1" t="s">
        <v>3318</v>
      </c>
      <c r="FC857" s="1" t="s">
        <v>209</v>
      </c>
      <c r="FD857" s="1" t="s">
        <v>210</v>
      </c>
      <c r="FF857" s="1" t="s">
        <v>239</v>
      </c>
      <c r="FG857" s="1" t="s">
        <v>192</v>
      </c>
      <c r="FH857" s="1" t="s">
        <v>200</v>
      </c>
      <c r="FJ857" s="1" t="s">
        <v>2552</v>
      </c>
      <c r="FK857" s="1" t="s">
        <v>229</v>
      </c>
      <c r="FL857" s="1" t="s">
        <v>7596</v>
      </c>
      <c r="FM857" s="1">
        <v>357.0</v>
      </c>
      <c r="FN857" s="1" t="s">
        <v>7597</v>
      </c>
      <c r="FO857" s="1" t="s">
        <v>9917</v>
      </c>
      <c r="FP857" s="1">
        <v>1455.0</v>
      </c>
      <c r="FQ857" s="1" t="s">
        <v>9918</v>
      </c>
      <c r="FR857" s="1">
        <v>1562.0</v>
      </c>
      <c r="FU857" s="1" t="s">
        <v>9919</v>
      </c>
      <c r="FV857" s="1" t="s">
        <v>200</v>
      </c>
      <c r="FW857" s="1" t="s">
        <v>2754</v>
      </c>
      <c r="FZ857" s="1" t="s">
        <v>229</v>
      </c>
      <c r="GA857" s="1" t="s">
        <v>291</v>
      </c>
      <c r="GB857" s="2">
        <v>42138.0</v>
      </c>
      <c r="GC857" s="1" t="s">
        <v>9920</v>
      </c>
    </row>
    <row r="858">
      <c r="A858" s="1">
        <v>325000.0</v>
      </c>
      <c r="B858" s="1" t="s">
        <v>185</v>
      </c>
      <c r="C858" s="1" t="str">
        <f>"08900941"</f>
        <v>08900941</v>
      </c>
      <c r="D858" s="1" t="s">
        <v>186</v>
      </c>
      <c r="F858" s="1" t="str">
        <f>"134"</f>
        <v>134</v>
      </c>
      <c r="G858" s="2">
        <v>42118.0</v>
      </c>
      <c r="H858" s="1">
        <v>325000.0</v>
      </c>
      <c r="I858" s="1">
        <v>2.0</v>
      </c>
      <c r="J858" s="1">
        <v>325000.0</v>
      </c>
      <c r="K858" s="2">
        <v>42119.0</v>
      </c>
      <c r="L858" s="1">
        <v>2.0</v>
      </c>
      <c r="M858" s="2">
        <v>42119.0</v>
      </c>
      <c r="N858" s="1" t="s">
        <v>356</v>
      </c>
      <c r="O858" s="2">
        <v>42145.0</v>
      </c>
      <c r="P858" s="1">
        <v>224960.0</v>
      </c>
      <c r="Q858" s="1">
        <v>23830.0</v>
      </c>
      <c r="S858" s="1">
        <v>3335.0</v>
      </c>
      <c r="T858" s="1" t="s">
        <v>9921</v>
      </c>
      <c r="U858" s="1" t="s">
        <v>1174</v>
      </c>
      <c r="V858" s="1" t="s">
        <v>421</v>
      </c>
      <c r="W858" s="1">
        <v>60134.0</v>
      </c>
      <c r="Y858" s="1" t="s">
        <v>9922</v>
      </c>
      <c r="Z858" s="1">
        <v>2000.0</v>
      </c>
      <c r="AA858" s="1" t="s">
        <v>200</v>
      </c>
      <c r="AB858" s="1" t="s">
        <v>193</v>
      </c>
      <c r="AC858" s="1" t="s">
        <v>7489</v>
      </c>
      <c r="AD858" s="1" t="s">
        <v>424</v>
      </c>
      <c r="AE858" s="1" t="s">
        <v>325</v>
      </c>
      <c r="AF858" s="1" t="s">
        <v>424</v>
      </c>
      <c r="AG858" s="1" t="s">
        <v>7490</v>
      </c>
      <c r="AH858" s="6">
        <v>8074.0</v>
      </c>
      <c r="AK858" s="1">
        <v>12.0</v>
      </c>
      <c r="AL858" s="1">
        <v>4.0</v>
      </c>
      <c r="AM858" s="1">
        <v>3.0</v>
      </c>
      <c r="AN858" s="1">
        <v>0.0</v>
      </c>
      <c r="AO858" s="1" t="s">
        <v>198</v>
      </c>
      <c r="AP858" s="1">
        <v>1.0</v>
      </c>
      <c r="AQ858" s="1" t="s">
        <v>1314</v>
      </c>
      <c r="AR858" s="1" t="s">
        <v>200</v>
      </c>
      <c r="AS858" s="1" t="s">
        <v>199</v>
      </c>
      <c r="AT858" s="1">
        <v>2.0</v>
      </c>
      <c r="AV858" s="1" t="s">
        <v>200</v>
      </c>
      <c r="AW858" s="3">
        <v>8785.0</v>
      </c>
      <c r="AX858" s="1">
        <v>2014.0</v>
      </c>
      <c r="AY858" s="1" t="s">
        <v>387</v>
      </c>
      <c r="AZ858" s="1" t="s">
        <v>200</v>
      </c>
      <c r="BA858" s="1" t="str">
        <f>"1205375002"</f>
        <v>1205375002</v>
      </c>
      <c r="BB858" s="1" t="s">
        <v>200</v>
      </c>
      <c r="BC858" s="1">
        <v>2420.0</v>
      </c>
      <c r="BD858" s="1">
        <v>325000.0</v>
      </c>
      <c r="BE858" s="2">
        <v>42118.0</v>
      </c>
      <c r="BF858" s="2" t="s">
        <v>9923</v>
      </c>
      <c r="BG858" s="1" t="s">
        <v>7493</v>
      </c>
      <c r="BH858" s="1">
        <v>0.0</v>
      </c>
      <c r="BI858" s="1" t="s">
        <v>429</v>
      </c>
      <c r="BJ858" s="1" t="s">
        <v>430</v>
      </c>
      <c r="BK858" s="1" t="s">
        <v>204</v>
      </c>
      <c r="BL858" s="1" t="str">
        <f t="shared" ref="BL858:BM858" si="561">""</f>
        <v/>
      </c>
      <c r="BM858" s="1" t="str">
        <f t="shared" si="561"/>
        <v/>
      </c>
      <c r="BQ858" s="1">
        <v>304.0</v>
      </c>
      <c r="BR858" s="1">
        <v>304.0</v>
      </c>
      <c r="BS858" s="1">
        <v>304.0</v>
      </c>
      <c r="BU858" s="1" t="s">
        <v>1064</v>
      </c>
      <c r="BV858" s="1" t="s">
        <v>206</v>
      </c>
      <c r="BW858" s="1" t="s">
        <v>207</v>
      </c>
      <c r="BX858" s="1" t="s">
        <v>431</v>
      </c>
      <c r="BY858" s="1" t="s">
        <v>1043</v>
      </c>
      <c r="BZ858" s="1" t="s">
        <v>209</v>
      </c>
      <c r="CA858" s="1" t="s">
        <v>210</v>
      </c>
      <c r="CB858" s="1" t="s">
        <v>431</v>
      </c>
      <c r="CC858" s="1" t="s">
        <v>2459</v>
      </c>
      <c r="CD858" s="1" t="s">
        <v>206</v>
      </c>
      <c r="CE858" s="1" t="s">
        <v>207</v>
      </c>
      <c r="CF858" s="1" t="s">
        <v>431</v>
      </c>
      <c r="CG858" s="1" t="s">
        <v>269</v>
      </c>
      <c r="CH858" s="1" t="s">
        <v>209</v>
      </c>
      <c r="CI858" s="1" t="s">
        <v>210</v>
      </c>
      <c r="CJ858" s="1" t="s">
        <v>431</v>
      </c>
      <c r="CK858" s="1" t="s">
        <v>302</v>
      </c>
      <c r="CL858" s="1" t="s">
        <v>209</v>
      </c>
      <c r="CM858" s="1" t="s">
        <v>210</v>
      </c>
      <c r="CN858" s="1" t="s">
        <v>431</v>
      </c>
      <c r="CO858" s="1" t="s">
        <v>302</v>
      </c>
      <c r="CP858" s="1" t="s">
        <v>209</v>
      </c>
      <c r="CQ858" s="1" t="s">
        <v>210</v>
      </c>
      <c r="CR858" s="1" t="s">
        <v>431</v>
      </c>
      <c r="CS858" s="1" t="s">
        <v>1418</v>
      </c>
      <c r="CT858" s="1" t="s">
        <v>206</v>
      </c>
      <c r="CU858" s="1" t="s">
        <v>207</v>
      </c>
      <c r="CV858" s="1" t="s">
        <v>431</v>
      </c>
      <c r="CW858" s="1" t="s">
        <v>2273</v>
      </c>
      <c r="CX858" s="1" t="s">
        <v>206</v>
      </c>
      <c r="CY858" s="1" t="s">
        <v>207</v>
      </c>
      <c r="CZ858" s="1" t="s">
        <v>431</v>
      </c>
      <c r="DA858" s="1" t="s">
        <v>200</v>
      </c>
      <c r="DC858" s="1" t="s">
        <v>335</v>
      </c>
      <c r="DD858" s="1" t="s">
        <v>336</v>
      </c>
      <c r="DE858" s="1" t="s">
        <v>273</v>
      </c>
      <c r="DF858" s="1" t="s">
        <v>219</v>
      </c>
      <c r="DG858" s="1" t="s">
        <v>3175</v>
      </c>
      <c r="DH858" s="1" t="s">
        <v>1603</v>
      </c>
      <c r="DI858" s="1" t="s">
        <v>9924</v>
      </c>
      <c r="DJ858" s="1" t="s">
        <v>222</v>
      </c>
      <c r="DL858" s="1" t="s">
        <v>224</v>
      </c>
      <c r="DM858" s="1" t="s">
        <v>229</v>
      </c>
      <c r="DN858" s="1" t="s">
        <v>485</v>
      </c>
      <c r="DO858" s="1" t="s">
        <v>1979</v>
      </c>
      <c r="DP858" s="1" t="s">
        <v>340</v>
      </c>
      <c r="DQ858" s="1" t="s">
        <v>228</v>
      </c>
      <c r="DR858" s="1" t="s">
        <v>229</v>
      </c>
      <c r="DS858" s="1" t="s">
        <v>230</v>
      </c>
      <c r="DU858" s="1" t="s">
        <v>7852</v>
      </c>
      <c r="DV858" s="1" t="s">
        <v>9925</v>
      </c>
      <c r="DW858" s="1" t="s">
        <v>233</v>
      </c>
      <c r="DX858" s="1" t="s">
        <v>234</v>
      </c>
      <c r="DY858" s="1" t="s">
        <v>1958</v>
      </c>
      <c r="DZ858" s="1" t="s">
        <v>5617</v>
      </c>
      <c r="EA858" s="1" t="s">
        <v>344</v>
      </c>
      <c r="EB858" s="1" t="s">
        <v>937</v>
      </c>
      <c r="EC858" s="1" t="s">
        <v>237</v>
      </c>
      <c r="ED858" s="1" t="s">
        <v>407</v>
      </c>
      <c r="EG858" s="1" t="s">
        <v>449</v>
      </c>
      <c r="EH858" s="1" t="s">
        <v>494</v>
      </c>
      <c r="EI858" s="1" t="s">
        <v>450</v>
      </c>
      <c r="EJ858" s="1" t="s">
        <v>1824</v>
      </c>
      <c r="EL858" s="1" t="s">
        <v>1417</v>
      </c>
      <c r="EM858" s="1" t="s">
        <v>206</v>
      </c>
      <c r="EN858" s="1" t="s">
        <v>207</v>
      </c>
      <c r="EO858" s="1" t="s">
        <v>431</v>
      </c>
      <c r="EP858" s="1" t="s">
        <v>363</v>
      </c>
      <c r="EQ858" s="1" t="s">
        <v>206</v>
      </c>
      <c r="ER858" s="1" t="s">
        <v>210</v>
      </c>
      <c r="ES858" s="1" t="s">
        <v>431</v>
      </c>
      <c r="ET858" s="1" t="s">
        <v>3989</v>
      </c>
      <c r="EU858" s="1" t="s">
        <v>42</v>
      </c>
      <c r="EV858" s="1" t="s">
        <v>210</v>
      </c>
      <c r="EX858" s="1" t="s">
        <v>300</v>
      </c>
      <c r="EY858" s="1" t="s">
        <v>42</v>
      </c>
      <c r="EZ858" s="1" t="s">
        <v>210</v>
      </c>
      <c r="FC858" s="1" t="s">
        <v>238</v>
      </c>
      <c r="FF858" s="1" t="s">
        <v>239</v>
      </c>
      <c r="FG858" s="1" t="s">
        <v>192</v>
      </c>
      <c r="FH858" s="1" t="s">
        <v>192</v>
      </c>
      <c r="FJ858" s="1" t="s">
        <v>2133</v>
      </c>
      <c r="FK858" s="1" t="s">
        <v>229</v>
      </c>
      <c r="FL858" s="1" t="s">
        <v>3527</v>
      </c>
      <c r="FM858" s="1">
        <v>464.0</v>
      </c>
      <c r="FN858" s="1" t="s">
        <v>3528</v>
      </c>
      <c r="FO858" s="1" t="s">
        <v>9926</v>
      </c>
      <c r="FP858" s="1">
        <v>624.0</v>
      </c>
      <c r="FQ858" s="1" t="s">
        <v>9927</v>
      </c>
      <c r="FR858" s="1">
        <v>1333.0</v>
      </c>
      <c r="FS858" s="1" t="s">
        <v>9928</v>
      </c>
      <c r="FU858" s="1" t="s">
        <v>9929</v>
      </c>
      <c r="FV858" s="1" t="s">
        <v>200</v>
      </c>
      <c r="FW858" s="1" t="s">
        <v>290</v>
      </c>
      <c r="FZ858" s="1" t="s">
        <v>2993</v>
      </c>
      <c r="GA858" s="1" t="s">
        <v>291</v>
      </c>
      <c r="GB858" s="2">
        <v>42145.0</v>
      </c>
      <c r="GC858" s="1" t="s">
        <v>9930</v>
      </c>
    </row>
    <row r="859">
      <c r="A859" s="1">
        <v>625000.0</v>
      </c>
      <c r="B859" s="1" t="s">
        <v>185</v>
      </c>
      <c r="C859" s="1" t="str">
        <f>"08890357"</f>
        <v>08890357</v>
      </c>
      <c r="D859" s="1" t="s">
        <v>186</v>
      </c>
      <c r="F859" s="1" t="str">
        <f>"8016"</f>
        <v>8016</v>
      </c>
      <c r="G859" s="2">
        <v>42108.0</v>
      </c>
      <c r="H859" s="1">
        <v>639900.0</v>
      </c>
      <c r="I859" s="1">
        <v>275.0</v>
      </c>
      <c r="J859" s="1">
        <v>639900.0</v>
      </c>
      <c r="K859" s="2">
        <v>42108.0</v>
      </c>
      <c r="L859" s="1">
        <v>1.0</v>
      </c>
      <c r="M859" s="2">
        <v>42108.0</v>
      </c>
      <c r="N859" s="1" t="s">
        <v>187</v>
      </c>
      <c r="O859" s="2">
        <v>42139.0</v>
      </c>
      <c r="P859" s="1">
        <v>113690.0</v>
      </c>
      <c r="Q859" s="1">
        <v>10900.0</v>
      </c>
      <c r="S859" s="1">
        <v>4450.0</v>
      </c>
      <c r="T859" s="1" t="s">
        <v>9931</v>
      </c>
      <c r="U859" s="1" t="s">
        <v>189</v>
      </c>
      <c r="V859" s="1" t="s">
        <v>190</v>
      </c>
      <c r="W859" s="1">
        <v>60630.0</v>
      </c>
      <c r="Y859" s="1" t="s">
        <v>9932</v>
      </c>
      <c r="Z859" s="1">
        <v>2014.0</v>
      </c>
      <c r="AA859" s="1" t="s">
        <v>200</v>
      </c>
      <c r="AB859" s="1" t="s">
        <v>193</v>
      </c>
      <c r="AD859" s="1" t="s">
        <v>194</v>
      </c>
      <c r="AE859" s="1" t="s">
        <v>195</v>
      </c>
      <c r="AF859" s="1" t="s">
        <v>196</v>
      </c>
      <c r="AH859" s="1" t="s">
        <v>741</v>
      </c>
      <c r="AK859" s="1">
        <v>12.0</v>
      </c>
      <c r="AL859" s="1">
        <v>3.0</v>
      </c>
      <c r="AM859" s="1">
        <v>3.0</v>
      </c>
      <c r="AN859" s="1">
        <v>1.0</v>
      </c>
      <c r="AO859" s="1" t="s">
        <v>198</v>
      </c>
      <c r="AP859" s="1">
        <v>1.0</v>
      </c>
      <c r="AQ859" s="1" t="s">
        <v>198</v>
      </c>
      <c r="AR859" s="1" t="s">
        <v>192</v>
      </c>
      <c r="AS859" s="1" t="s">
        <v>199</v>
      </c>
      <c r="AT859" s="1">
        <v>2.0</v>
      </c>
      <c r="AV859" s="1" t="s">
        <v>200</v>
      </c>
      <c r="AW859" s="4">
        <v>3016.29</v>
      </c>
      <c r="AX859" s="1">
        <v>2014.0</v>
      </c>
      <c r="AY859" s="1" t="s">
        <v>229</v>
      </c>
      <c r="AZ859" s="1" t="s">
        <v>200</v>
      </c>
      <c r="BA859" s="1" t="str">
        <f>"13151130490000"</f>
        <v>13151130490000</v>
      </c>
      <c r="BC859" s="1">
        <v>0.0</v>
      </c>
      <c r="BD859" s="1">
        <v>625000.0</v>
      </c>
      <c r="BE859" s="2">
        <v>42108.0</v>
      </c>
      <c r="BF859" s="1" t="s">
        <v>9933</v>
      </c>
      <c r="BH859" s="1">
        <v>0.0</v>
      </c>
      <c r="BK859" s="1" t="s">
        <v>204</v>
      </c>
      <c r="BL859" s="1" t="str">
        <f>"4600"</f>
        <v>4600</v>
      </c>
      <c r="BM859" s="1" t="str">
        <f>"0"</f>
        <v>0</v>
      </c>
      <c r="BN859" s="1">
        <v>4450.0</v>
      </c>
      <c r="BO859" s="1">
        <v>0.0</v>
      </c>
      <c r="BQ859" s="1">
        <v>299.0</v>
      </c>
      <c r="BR859" s="1">
        <v>299.0</v>
      </c>
      <c r="BS859" s="1">
        <v>299.0</v>
      </c>
      <c r="BU859" s="1" t="s">
        <v>454</v>
      </c>
      <c r="BV859" s="1" t="s">
        <v>206</v>
      </c>
      <c r="BW859" s="1" t="s">
        <v>207</v>
      </c>
      <c r="BY859" s="1" t="s">
        <v>784</v>
      </c>
      <c r="BZ859" s="1" t="s">
        <v>209</v>
      </c>
      <c r="CA859" s="1" t="s">
        <v>207</v>
      </c>
      <c r="CC859" s="1" t="s">
        <v>758</v>
      </c>
      <c r="CD859" s="1" t="s">
        <v>206</v>
      </c>
      <c r="CE859" s="1" t="s">
        <v>207</v>
      </c>
      <c r="CG859" s="1" t="s">
        <v>616</v>
      </c>
      <c r="CH859" s="1" t="s">
        <v>209</v>
      </c>
      <c r="CI859" s="1" t="s">
        <v>207</v>
      </c>
      <c r="CK859" s="1" t="s">
        <v>212</v>
      </c>
      <c r="CL859" s="1" t="s">
        <v>209</v>
      </c>
      <c r="CM859" s="1" t="s">
        <v>207</v>
      </c>
      <c r="CO859" s="1" t="s">
        <v>699</v>
      </c>
      <c r="CP859" s="1" t="s">
        <v>42</v>
      </c>
      <c r="CQ859" s="1" t="s">
        <v>210</v>
      </c>
      <c r="CS859" s="1" t="s">
        <v>647</v>
      </c>
      <c r="CT859" s="1" t="s">
        <v>206</v>
      </c>
      <c r="CU859" s="1" t="s">
        <v>207</v>
      </c>
      <c r="CW859" s="1" t="s">
        <v>434</v>
      </c>
      <c r="CX859" s="1" t="s">
        <v>206</v>
      </c>
      <c r="CY859" s="1" t="s">
        <v>207</v>
      </c>
      <c r="DA859" s="1" t="s">
        <v>192</v>
      </c>
      <c r="DB859" s="2">
        <v>42139.0</v>
      </c>
      <c r="DC859" s="1" t="s">
        <v>1353</v>
      </c>
      <c r="DD859" s="1" t="s">
        <v>336</v>
      </c>
      <c r="DE859" s="1" t="s">
        <v>273</v>
      </c>
      <c r="DF859" s="1" t="s">
        <v>3751</v>
      </c>
      <c r="DG859" s="1" t="s">
        <v>1569</v>
      </c>
      <c r="DH859" s="1" t="s">
        <v>365</v>
      </c>
      <c r="DI859" s="1" t="s">
        <v>437</v>
      </c>
      <c r="DJ859" s="1" t="s">
        <v>222</v>
      </c>
      <c r="DK859" s="1" t="s">
        <v>223</v>
      </c>
      <c r="DL859" s="1" t="s">
        <v>1161</v>
      </c>
      <c r="DM859" s="1" t="s">
        <v>229</v>
      </c>
      <c r="DN859" s="1" t="s">
        <v>1659</v>
      </c>
      <c r="DO859" s="1" t="s">
        <v>717</v>
      </c>
      <c r="DP859" s="1" t="s">
        <v>276</v>
      </c>
      <c r="DQ859" s="1" t="s">
        <v>228</v>
      </c>
      <c r="DR859" s="1" t="s">
        <v>229</v>
      </c>
      <c r="DS859" s="1" t="s">
        <v>368</v>
      </c>
      <c r="DV859" s="1" t="s">
        <v>9934</v>
      </c>
      <c r="DW859" s="1" t="s">
        <v>9935</v>
      </c>
      <c r="DX859" s="1" t="s">
        <v>309</v>
      </c>
      <c r="DY859" s="1" t="s">
        <v>5470</v>
      </c>
      <c r="DZ859" s="1" t="s">
        <v>310</v>
      </c>
      <c r="EA859" s="1" t="s">
        <v>344</v>
      </c>
      <c r="EB859" s="1" t="s">
        <v>684</v>
      </c>
      <c r="EC859" s="1" t="s">
        <v>237</v>
      </c>
      <c r="ED859" s="1" t="s">
        <v>555</v>
      </c>
      <c r="EG859" s="1" t="s">
        <v>556</v>
      </c>
      <c r="EH859" s="1" t="s">
        <v>1164</v>
      </c>
      <c r="EI859" s="1" t="s">
        <v>1467</v>
      </c>
      <c r="EJ859" s="1" t="s">
        <v>2023</v>
      </c>
      <c r="EK859" s="1" t="s">
        <v>720</v>
      </c>
      <c r="EL859" s="1" t="s">
        <v>3318</v>
      </c>
      <c r="EM859" s="1" t="s">
        <v>206</v>
      </c>
      <c r="EN859" s="1" t="s">
        <v>207</v>
      </c>
      <c r="EP859" s="1" t="s">
        <v>329</v>
      </c>
      <c r="EQ859" s="1" t="s">
        <v>42</v>
      </c>
      <c r="ER859" s="1" t="s">
        <v>2615</v>
      </c>
      <c r="ET859" s="1" t="s">
        <v>390</v>
      </c>
      <c r="EU859" s="1" t="s">
        <v>42</v>
      </c>
      <c r="EV859" s="1" t="s">
        <v>2615</v>
      </c>
      <c r="EX859" s="1" t="s">
        <v>925</v>
      </c>
      <c r="EY859" s="1" t="s">
        <v>42</v>
      </c>
      <c r="EZ859" s="1" t="s">
        <v>2615</v>
      </c>
      <c r="FB859" s="1" t="s">
        <v>9936</v>
      </c>
      <c r="FC859" s="1" t="s">
        <v>42</v>
      </c>
      <c r="FD859" s="1" t="s">
        <v>2615</v>
      </c>
      <c r="FF859" s="1" t="s">
        <v>239</v>
      </c>
      <c r="FG859" s="1" t="s">
        <v>192</v>
      </c>
      <c r="FH859" s="1" t="s">
        <v>192</v>
      </c>
      <c r="FJ859" s="1" t="s">
        <v>3263</v>
      </c>
      <c r="FK859" s="1" t="s">
        <v>229</v>
      </c>
      <c r="FL859" s="1" t="s">
        <v>1663</v>
      </c>
      <c r="FM859" s="1">
        <v>17299.0</v>
      </c>
      <c r="FN859" s="1" t="s">
        <v>1664</v>
      </c>
      <c r="FO859" s="1" t="s">
        <v>7822</v>
      </c>
      <c r="FP859" s="1">
        <v>154355.0</v>
      </c>
      <c r="FQ859" s="1" t="s">
        <v>7823</v>
      </c>
      <c r="FU859" s="1" t="s">
        <v>9937</v>
      </c>
      <c r="FV859" s="1" t="s">
        <v>192</v>
      </c>
      <c r="FW859" s="1" t="s">
        <v>290</v>
      </c>
      <c r="FX859" s="1" t="s">
        <v>246</v>
      </c>
      <c r="FZ859" s="1" t="s">
        <v>229</v>
      </c>
      <c r="GA859" s="1" t="s">
        <v>291</v>
      </c>
      <c r="GB859" s="2">
        <v>42140.0</v>
      </c>
    </row>
    <row r="860">
      <c r="A860" s="1">
        <v>12000.0</v>
      </c>
      <c r="B860" s="1" t="s">
        <v>185</v>
      </c>
      <c r="C860" s="1" t="str">
        <f>"08892824"</f>
        <v>08892824</v>
      </c>
      <c r="D860" s="1" t="s">
        <v>186</v>
      </c>
      <c r="F860" s="1" t="str">
        <f>"8049"</f>
        <v>8049</v>
      </c>
      <c r="G860" s="2">
        <v>42110.0</v>
      </c>
      <c r="H860" s="1">
        <v>11700.0</v>
      </c>
      <c r="I860" s="1">
        <v>12.0</v>
      </c>
      <c r="J860" s="1">
        <v>11700.0</v>
      </c>
      <c r="K860" s="2">
        <v>42121.0</v>
      </c>
      <c r="L860" s="1">
        <v>12.0</v>
      </c>
      <c r="M860" s="2">
        <v>42121.0</v>
      </c>
      <c r="N860" s="1" t="s">
        <v>249</v>
      </c>
      <c r="O860" s="2">
        <v>42139.0</v>
      </c>
      <c r="P860" s="1">
        <v>161998.0</v>
      </c>
      <c r="Q860" s="1">
        <v>84818.0</v>
      </c>
      <c r="S860" s="1">
        <v>11333.0</v>
      </c>
      <c r="T860" s="1" t="s">
        <v>1238</v>
      </c>
      <c r="U860" s="1" t="s">
        <v>189</v>
      </c>
      <c r="V860" s="1" t="s">
        <v>190</v>
      </c>
      <c r="W860" s="1">
        <v>60628.0</v>
      </c>
      <c r="Y860" s="1" t="s">
        <v>9938</v>
      </c>
      <c r="Z860" s="1">
        <v>1919.0</v>
      </c>
      <c r="AA860" s="1" t="s">
        <v>192</v>
      </c>
      <c r="AB860" s="1" t="s">
        <v>193</v>
      </c>
      <c r="AD860" s="1" t="s">
        <v>194</v>
      </c>
      <c r="AE860" s="1" t="s">
        <v>195</v>
      </c>
      <c r="AF860" s="1" t="s">
        <v>659</v>
      </c>
      <c r="AH860" s="1" t="s">
        <v>9939</v>
      </c>
      <c r="AI860" s="1">
        <v>0.1129</v>
      </c>
      <c r="AK860" s="1">
        <v>8.0</v>
      </c>
      <c r="AL860" s="1">
        <v>4.0</v>
      </c>
      <c r="AM860" s="1">
        <v>1.0</v>
      </c>
      <c r="AN860" s="1">
        <v>0.0</v>
      </c>
      <c r="AO860" s="1" t="s">
        <v>229</v>
      </c>
      <c r="AQ860" s="1" t="s">
        <v>198</v>
      </c>
      <c r="AR860" s="1" t="s">
        <v>200</v>
      </c>
      <c r="AS860" s="1" t="s">
        <v>229</v>
      </c>
      <c r="AV860" s="1" t="s">
        <v>200</v>
      </c>
      <c r="AW860" s="1">
        <v>1286.88</v>
      </c>
      <c r="AX860" s="1">
        <v>2013.0</v>
      </c>
      <c r="AZ860" s="1" t="s">
        <v>200</v>
      </c>
      <c r="BA860" s="1" t="str">
        <f>"25212160100000"</f>
        <v>25212160100000</v>
      </c>
      <c r="BC860" s="1">
        <v>949.0</v>
      </c>
      <c r="BD860" s="1">
        <v>12000.0</v>
      </c>
      <c r="BE860" s="2">
        <v>42110.0</v>
      </c>
      <c r="BF860" s="1" t="s">
        <v>9940</v>
      </c>
      <c r="BH860" s="1">
        <v>0.0</v>
      </c>
      <c r="BK860" s="1" t="s">
        <v>204</v>
      </c>
      <c r="BL860" s="1" t="str">
        <f t="shared" ref="BL860:BM860" si="562">"0"</f>
        <v>0</v>
      </c>
      <c r="BM860" s="1" t="str">
        <f t="shared" si="562"/>
        <v>0</v>
      </c>
      <c r="BN860" s="1">
        <v>400.0</v>
      </c>
      <c r="BO860" s="1">
        <v>11333.0</v>
      </c>
      <c r="BQ860" s="1">
        <v>299.0</v>
      </c>
      <c r="BR860" s="1">
        <v>299.0</v>
      </c>
      <c r="BS860" s="1">
        <v>299.0</v>
      </c>
      <c r="BU860" s="1" t="s">
        <v>2072</v>
      </c>
      <c r="BV860" s="1" t="s">
        <v>206</v>
      </c>
      <c r="BY860" s="1" t="s">
        <v>1395</v>
      </c>
      <c r="BZ860" s="1" t="s">
        <v>206</v>
      </c>
      <c r="CC860" s="1" t="s">
        <v>478</v>
      </c>
      <c r="CD860" s="1" t="s">
        <v>206</v>
      </c>
      <c r="CG860" s="1" t="s">
        <v>363</v>
      </c>
      <c r="CH860" s="1" t="s">
        <v>206</v>
      </c>
      <c r="CK860" s="1" t="s">
        <v>478</v>
      </c>
      <c r="CL860" s="1" t="s">
        <v>209</v>
      </c>
      <c r="CO860" s="1" t="s">
        <v>363</v>
      </c>
      <c r="CP860" s="1" t="s">
        <v>209</v>
      </c>
      <c r="CS860" s="1" t="s">
        <v>1395</v>
      </c>
      <c r="CT860" s="1" t="s">
        <v>206</v>
      </c>
      <c r="CX860" s="1" t="s">
        <v>204</v>
      </c>
      <c r="DA860" s="1" t="s">
        <v>200</v>
      </c>
      <c r="DC860" s="1" t="s">
        <v>216</v>
      </c>
      <c r="DE860" s="1" t="s">
        <v>229</v>
      </c>
      <c r="DF860" s="1" t="s">
        <v>219</v>
      </c>
      <c r="DH860" s="1" t="s">
        <v>365</v>
      </c>
      <c r="DJ860" s="1" t="s">
        <v>222</v>
      </c>
      <c r="DL860" s="1" t="s">
        <v>223</v>
      </c>
      <c r="DM860" s="1" t="s">
        <v>229</v>
      </c>
      <c r="DO860" s="1" t="s">
        <v>7146</v>
      </c>
      <c r="DQ860" s="1" t="s">
        <v>228</v>
      </c>
      <c r="DR860" s="1" t="s">
        <v>229</v>
      </c>
      <c r="DV860" s="1" t="s">
        <v>494</v>
      </c>
      <c r="DW860" s="1" t="s">
        <v>934</v>
      </c>
      <c r="DX860" s="1" t="s">
        <v>234</v>
      </c>
      <c r="EC860" s="1" t="s">
        <v>645</v>
      </c>
      <c r="EG860" s="1" t="s">
        <v>494</v>
      </c>
      <c r="EL860" s="1" t="s">
        <v>264</v>
      </c>
      <c r="EM860" s="1" t="s">
        <v>209</v>
      </c>
      <c r="EQ860" s="1" t="s">
        <v>238</v>
      </c>
      <c r="EU860" s="1" t="s">
        <v>238</v>
      </c>
      <c r="EY860" s="1" t="s">
        <v>238</v>
      </c>
      <c r="FC860" s="1" t="s">
        <v>238</v>
      </c>
      <c r="FF860" s="1" t="s">
        <v>239</v>
      </c>
      <c r="FG860" s="1" t="s">
        <v>200</v>
      </c>
      <c r="FH860" s="1" t="s">
        <v>192</v>
      </c>
      <c r="FJ860" s="1" t="s">
        <v>9941</v>
      </c>
      <c r="FK860" s="1" t="s">
        <v>229</v>
      </c>
      <c r="FL860" s="1" t="s">
        <v>9942</v>
      </c>
      <c r="FM860" s="1">
        <v>70209.0</v>
      </c>
      <c r="FN860" s="1" t="s">
        <v>5058</v>
      </c>
      <c r="FO860" s="1" t="s">
        <v>9943</v>
      </c>
      <c r="FP860" s="1">
        <v>702922.0</v>
      </c>
      <c r="FQ860" s="1" t="s">
        <v>5058</v>
      </c>
      <c r="FS860" s="1" t="s">
        <v>9944</v>
      </c>
      <c r="FU860" s="1" t="s">
        <v>9945</v>
      </c>
      <c r="FV860" s="1" t="s">
        <v>200</v>
      </c>
      <c r="FW860" s="1" t="s">
        <v>290</v>
      </c>
      <c r="FX860" s="1" t="s">
        <v>655</v>
      </c>
      <c r="FZ860" s="1" t="s">
        <v>229</v>
      </c>
      <c r="GA860" s="1" t="s">
        <v>291</v>
      </c>
      <c r="GB860" s="2">
        <v>42139.0</v>
      </c>
      <c r="GC860" s="1" t="s">
        <v>9946</v>
      </c>
    </row>
    <row r="861">
      <c r="A861" s="1">
        <v>151900.0</v>
      </c>
      <c r="B861" s="1" t="s">
        <v>185</v>
      </c>
      <c r="C861" s="1" t="str">
        <f>"08892020"</f>
        <v>08892020</v>
      </c>
      <c r="D861" s="1" t="s">
        <v>186</v>
      </c>
      <c r="F861" s="1" t="str">
        <f>"8073"</f>
        <v>8073</v>
      </c>
      <c r="G861" s="2">
        <v>42109.0</v>
      </c>
      <c r="H861" s="1">
        <v>151900.0</v>
      </c>
      <c r="I861" s="1">
        <v>1.0</v>
      </c>
      <c r="J861" s="1">
        <v>151900.0</v>
      </c>
      <c r="K861" s="2">
        <v>42109.0</v>
      </c>
      <c r="L861" s="1">
        <v>1.0</v>
      </c>
      <c r="M861" s="2">
        <v>42109.0</v>
      </c>
      <c r="N861" s="1" t="s">
        <v>356</v>
      </c>
      <c r="O861" s="2">
        <v>42110.0</v>
      </c>
      <c r="P861" s="1">
        <v>602837.0</v>
      </c>
      <c r="Q861" s="1">
        <v>60296.0</v>
      </c>
      <c r="R861" s="1">
        <v>3.0</v>
      </c>
      <c r="S861" s="1">
        <v>9943.0</v>
      </c>
      <c r="T861" s="1" t="s">
        <v>9947</v>
      </c>
      <c r="U861" s="1" t="s">
        <v>189</v>
      </c>
      <c r="V861" s="1" t="s">
        <v>190</v>
      </c>
      <c r="W861" s="1">
        <v>60628.0</v>
      </c>
      <c r="Y861" s="1" t="s">
        <v>9948</v>
      </c>
      <c r="Z861" s="1">
        <v>1966.0</v>
      </c>
      <c r="AA861" s="1" t="s">
        <v>192</v>
      </c>
      <c r="AB861" s="1" t="s">
        <v>193</v>
      </c>
      <c r="AD861" s="1" t="s">
        <v>194</v>
      </c>
      <c r="AE861" s="1" t="s">
        <v>195</v>
      </c>
      <c r="AF861" s="1" t="s">
        <v>659</v>
      </c>
      <c r="AH861" s="1" t="s">
        <v>359</v>
      </c>
      <c r="AI861" s="1">
        <v>0.0717</v>
      </c>
      <c r="AK861" s="1">
        <v>7.0</v>
      </c>
      <c r="AL861" s="1">
        <v>3.0</v>
      </c>
      <c r="AM861" s="1">
        <v>2.0</v>
      </c>
      <c r="AN861" s="1">
        <v>1.0</v>
      </c>
      <c r="AO861" s="1" t="s">
        <v>2068</v>
      </c>
      <c r="AQ861" s="1" t="s">
        <v>198</v>
      </c>
      <c r="AR861" s="1" t="s">
        <v>192</v>
      </c>
      <c r="AS861" s="1" t="s">
        <v>199</v>
      </c>
      <c r="AT861" s="1">
        <v>2.0</v>
      </c>
      <c r="AV861" s="1" t="s">
        <v>192</v>
      </c>
      <c r="AW861" s="1">
        <v>1169.16</v>
      </c>
      <c r="AX861" s="1">
        <v>2013.0</v>
      </c>
      <c r="AZ861" s="1" t="s">
        <v>200</v>
      </c>
      <c r="BA861" s="1" t="str">
        <f>"25093020180000"</f>
        <v>25093020180000</v>
      </c>
      <c r="BC861" s="1">
        <v>1300.0</v>
      </c>
      <c r="BD861" s="1">
        <v>151900.0</v>
      </c>
      <c r="BE861" s="2">
        <v>42109.0</v>
      </c>
      <c r="BF861" s="2" t="s">
        <v>9949</v>
      </c>
      <c r="BH861" s="1">
        <v>0.0</v>
      </c>
      <c r="BK861" s="1" t="s">
        <v>204</v>
      </c>
      <c r="BL861" s="1" t="str">
        <f t="shared" ref="BL861:BM861" si="563">"0"</f>
        <v>0</v>
      </c>
      <c r="BM861" s="1" t="str">
        <f t="shared" si="563"/>
        <v>0</v>
      </c>
      <c r="BN861" s="1">
        <v>700.0</v>
      </c>
      <c r="BO861" s="1">
        <v>9900.0</v>
      </c>
      <c r="BQ861" s="1">
        <v>299.0</v>
      </c>
      <c r="BR861" s="1">
        <v>299.0</v>
      </c>
      <c r="BS861" s="1">
        <v>299.0</v>
      </c>
      <c r="BU861" s="1" t="s">
        <v>205</v>
      </c>
      <c r="BV861" s="1" t="s">
        <v>206</v>
      </c>
      <c r="BW861" s="1" t="s">
        <v>207</v>
      </c>
      <c r="BY861" s="1" t="s">
        <v>904</v>
      </c>
      <c r="BZ861" s="1" t="s">
        <v>206</v>
      </c>
      <c r="CA861" s="1" t="s">
        <v>207</v>
      </c>
      <c r="CD861" s="1" t="s">
        <v>204</v>
      </c>
      <c r="CG861" s="1" t="s">
        <v>265</v>
      </c>
      <c r="CH861" s="1" t="s">
        <v>206</v>
      </c>
      <c r="CI861" s="1" t="s">
        <v>207</v>
      </c>
      <c r="CK861" s="1" t="s">
        <v>516</v>
      </c>
      <c r="CL861" s="1" t="s">
        <v>206</v>
      </c>
      <c r="CM861" s="1" t="s">
        <v>207</v>
      </c>
      <c r="CO861" s="1" t="s">
        <v>1158</v>
      </c>
      <c r="CP861" s="1" t="s">
        <v>42</v>
      </c>
      <c r="CQ861" s="1" t="s">
        <v>268</v>
      </c>
      <c r="CS861" s="1" t="s">
        <v>2461</v>
      </c>
      <c r="CT861" s="1" t="s">
        <v>206</v>
      </c>
      <c r="CU861" s="1" t="s">
        <v>268</v>
      </c>
      <c r="CW861" s="1" t="s">
        <v>9950</v>
      </c>
      <c r="CX861" s="1" t="s">
        <v>42</v>
      </c>
      <c r="CY861" s="1" t="s">
        <v>268</v>
      </c>
      <c r="DA861" s="1" t="s">
        <v>200</v>
      </c>
      <c r="DC861" s="1" t="s">
        <v>517</v>
      </c>
      <c r="DE861" s="1" t="s">
        <v>273</v>
      </c>
      <c r="DF861" s="1" t="s">
        <v>219</v>
      </c>
      <c r="DH861" s="1" t="s">
        <v>220</v>
      </c>
      <c r="DI861" s="1" t="s">
        <v>366</v>
      </c>
      <c r="DJ861" s="1" t="s">
        <v>222</v>
      </c>
      <c r="DL861" s="1" t="s">
        <v>224</v>
      </c>
      <c r="DM861" s="1" t="s">
        <v>229</v>
      </c>
      <c r="DQ861" s="1" t="s">
        <v>228</v>
      </c>
      <c r="DR861" s="1" t="s">
        <v>229</v>
      </c>
      <c r="DS861" s="1" t="s">
        <v>230</v>
      </c>
      <c r="DV861" s="1" t="s">
        <v>232</v>
      </c>
      <c r="DW861" s="1" t="s">
        <v>279</v>
      </c>
      <c r="DX861" s="1" t="s">
        <v>234</v>
      </c>
      <c r="DY861" s="1" t="s">
        <v>553</v>
      </c>
      <c r="EA861" s="1" t="s">
        <v>683</v>
      </c>
      <c r="EC861" s="1" t="s">
        <v>685</v>
      </c>
      <c r="EE861" s="1" t="s">
        <v>493</v>
      </c>
      <c r="EM861" s="1" t="s">
        <v>238</v>
      </c>
      <c r="EQ861" s="1" t="s">
        <v>238</v>
      </c>
      <c r="EU861" s="1" t="s">
        <v>238</v>
      </c>
      <c r="EY861" s="1" t="s">
        <v>238</v>
      </c>
      <c r="FC861" s="1" t="s">
        <v>238</v>
      </c>
      <c r="FF861" s="1" t="s">
        <v>239</v>
      </c>
      <c r="FG861" s="1" t="s">
        <v>192</v>
      </c>
      <c r="FH861" s="1" t="s">
        <v>192</v>
      </c>
      <c r="FJ861" s="1" t="s">
        <v>648</v>
      </c>
      <c r="FK861" s="1" t="s">
        <v>229</v>
      </c>
      <c r="FL861" s="1" t="s">
        <v>649</v>
      </c>
      <c r="FM861" s="1">
        <v>60296.0</v>
      </c>
      <c r="FN861" s="1" t="s">
        <v>650</v>
      </c>
      <c r="FO861" s="1" t="s">
        <v>651</v>
      </c>
      <c r="FP861" s="1">
        <v>602837.0</v>
      </c>
      <c r="FQ861" s="1" t="s">
        <v>652</v>
      </c>
      <c r="FR861" s="1">
        <v>602442.0</v>
      </c>
      <c r="FU861" s="1" t="s">
        <v>653</v>
      </c>
      <c r="FV861" s="1" t="s">
        <v>200</v>
      </c>
      <c r="FW861" s="1" t="s">
        <v>654</v>
      </c>
      <c r="FX861" s="1" t="s">
        <v>655</v>
      </c>
      <c r="FZ861" s="1" t="s">
        <v>229</v>
      </c>
      <c r="GA861" s="1" t="s">
        <v>291</v>
      </c>
      <c r="GB861" s="2">
        <v>42114.0</v>
      </c>
      <c r="GC861" s="1" t="s">
        <v>1372</v>
      </c>
    </row>
    <row r="862">
      <c r="A862" s="1">
        <v>153150.0</v>
      </c>
      <c r="B862" s="1" t="s">
        <v>185</v>
      </c>
      <c r="C862" s="1" t="str">
        <f>"08897531"</f>
        <v>08897531</v>
      </c>
      <c r="D862" s="1" t="s">
        <v>186</v>
      </c>
      <c r="F862" s="1" t="str">
        <f>"8019"</f>
        <v>8019</v>
      </c>
      <c r="G862" s="2">
        <v>42115.0</v>
      </c>
      <c r="H862" s="1">
        <v>149900.0</v>
      </c>
      <c r="I862" s="1">
        <v>10.0</v>
      </c>
      <c r="J862" s="1">
        <v>149900.0</v>
      </c>
      <c r="K862" s="2">
        <v>42124.0</v>
      </c>
      <c r="L862" s="1">
        <v>10.0</v>
      </c>
      <c r="M862" s="2">
        <v>42124.0</v>
      </c>
      <c r="N862" s="1" t="s">
        <v>249</v>
      </c>
      <c r="O862" s="2">
        <v>42132.0</v>
      </c>
      <c r="P862" s="1">
        <v>144772.0</v>
      </c>
      <c r="Q862" s="1">
        <v>15391.0</v>
      </c>
      <c r="S862" s="1">
        <v>2900.0</v>
      </c>
      <c r="T862" s="1" t="s">
        <v>9321</v>
      </c>
      <c r="U862" s="1" t="s">
        <v>189</v>
      </c>
      <c r="V862" s="1" t="s">
        <v>190</v>
      </c>
      <c r="W862" s="1">
        <v>60634.0</v>
      </c>
      <c r="Y862" s="1" t="s">
        <v>9951</v>
      </c>
      <c r="Z862" s="1">
        <v>1937.0</v>
      </c>
      <c r="AA862" s="1" t="s">
        <v>192</v>
      </c>
      <c r="AB862" s="1" t="s">
        <v>193</v>
      </c>
      <c r="AD862" s="1" t="s">
        <v>194</v>
      </c>
      <c r="AE862" s="1" t="s">
        <v>195</v>
      </c>
      <c r="AF862" s="1" t="s">
        <v>659</v>
      </c>
      <c r="AH862" s="1" t="s">
        <v>1501</v>
      </c>
      <c r="AI862" s="1">
        <v>0.0854</v>
      </c>
      <c r="AK862" s="1">
        <v>7.0</v>
      </c>
      <c r="AL862" s="1">
        <v>4.0</v>
      </c>
      <c r="AM862" s="1">
        <v>2.0</v>
      </c>
      <c r="AN862" s="1">
        <v>0.0</v>
      </c>
      <c r="AO862" s="1" t="s">
        <v>229</v>
      </c>
      <c r="AQ862" s="1" t="s">
        <v>198</v>
      </c>
      <c r="AR862" s="1" t="s">
        <v>200</v>
      </c>
      <c r="AS862" s="1" t="s">
        <v>199</v>
      </c>
      <c r="AT862" s="1">
        <v>1.0</v>
      </c>
      <c r="AV862" s="1" t="s">
        <v>200</v>
      </c>
      <c r="AW862" s="1">
        <v>3783.66</v>
      </c>
      <c r="AX862" s="1">
        <v>2013.0</v>
      </c>
      <c r="AZ862" s="1" t="s">
        <v>200</v>
      </c>
      <c r="BA862" s="1" t="str">
        <f>"13291180310000"</f>
        <v>13291180310000</v>
      </c>
      <c r="BC862" s="1">
        <v>1491.0</v>
      </c>
      <c r="BD862" s="1">
        <v>153150.0</v>
      </c>
      <c r="BE862" s="2">
        <v>42115.0</v>
      </c>
      <c r="BF862" s="1" t="s">
        <v>9952</v>
      </c>
      <c r="BH862" s="1">
        <v>0.0</v>
      </c>
      <c r="BK862" s="1" t="s">
        <v>204</v>
      </c>
      <c r="BL862" s="1" t="str">
        <f>"2900"</f>
        <v>2900</v>
      </c>
      <c r="BM862" s="1" t="str">
        <f>"0"</f>
        <v>0</v>
      </c>
      <c r="BN862" s="1">
        <v>6000.0</v>
      </c>
      <c r="BO862" s="1">
        <v>0.0</v>
      </c>
      <c r="BQ862" s="1">
        <v>299.0</v>
      </c>
      <c r="BR862" s="1">
        <v>299.0</v>
      </c>
      <c r="BS862" s="1">
        <v>299.0</v>
      </c>
      <c r="BU862" s="1" t="s">
        <v>2849</v>
      </c>
      <c r="BV862" s="1" t="s">
        <v>206</v>
      </c>
      <c r="BY862" s="1" t="s">
        <v>475</v>
      </c>
      <c r="BZ862" s="1" t="s">
        <v>206</v>
      </c>
      <c r="CC862" s="1" t="s">
        <v>1351</v>
      </c>
      <c r="CD862" s="1" t="s">
        <v>206</v>
      </c>
      <c r="CG862" s="1" t="s">
        <v>269</v>
      </c>
      <c r="CH862" s="1" t="s">
        <v>206</v>
      </c>
      <c r="CK862" s="1" t="s">
        <v>269</v>
      </c>
      <c r="CL862" s="1" t="s">
        <v>209</v>
      </c>
      <c r="CO862" s="1" t="s">
        <v>1397</v>
      </c>
      <c r="CP862" s="1" t="s">
        <v>209</v>
      </c>
      <c r="CS862" s="1" t="s">
        <v>699</v>
      </c>
      <c r="CT862" s="1" t="s">
        <v>206</v>
      </c>
      <c r="CX862" s="1" t="s">
        <v>204</v>
      </c>
      <c r="DA862" s="1" t="s">
        <v>200</v>
      </c>
      <c r="DC862" s="1" t="s">
        <v>1399</v>
      </c>
      <c r="DE862" s="1" t="s">
        <v>273</v>
      </c>
      <c r="DF862" s="1" t="s">
        <v>905</v>
      </c>
      <c r="DH862" s="1" t="s">
        <v>220</v>
      </c>
      <c r="DJ862" s="1" t="s">
        <v>222</v>
      </c>
      <c r="DL862" s="1" t="s">
        <v>858</v>
      </c>
      <c r="DM862" s="1" t="s">
        <v>229</v>
      </c>
      <c r="DQ862" s="1" t="s">
        <v>794</v>
      </c>
      <c r="DR862" s="1" t="s">
        <v>229</v>
      </c>
      <c r="DV862" s="1" t="s">
        <v>232</v>
      </c>
      <c r="DW862" s="1" t="s">
        <v>279</v>
      </c>
      <c r="DX862" s="1" t="s">
        <v>234</v>
      </c>
      <c r="EC862" s="1" t="s">
        <v>645</v>
      </c>
      <c r="EM862" s="1" t="s">
        <v>238</v>
      </c>
      <c r="EQ862" s="1" t="s">
        <v>238</v>
      </c>
      <c r="EU862" s="1" t="s">
        <v>238</v>
      </c>
      <c r="EY862" s="1" t="s">
        <v>238</v>
      </c>
      <c r="FC862" s="1" t="s">
        <v>238</v>
      </c>
      <c r="FF862" s="1" t="s">
        <v>239</v>
      </c>
      <c r="FG862" s="1" t="s">
        <v>192</v>
      </c>
      <c r="FH862" s="1" t="s">
        <v>192</v>
      </c>
      <c r="FJ862" s="1" t="s">
        <v>1493</v>
      </c>
      <c r="FK862" s="1" t="s">
        <v>229</v>
      </c>
      <c r="FL862" s="1" t="s">
        <v>3358</v>
      </c>
      <c r="FM862" s="1">
        <v>84818.0</v>
      </c>
      <c r="FN862" s="1" t="s">
        <v>3359</v>
      </c>
      <c r="FO862" s="1" t="s">
        <v>3515</v>
      </c>
      <c r="FP862" s="1">
        <v>110478.0</v>
      </c>
      <c r="FQ862" s="1" t="s">
        <v>3359</v>
      </c>
      <c r="FU862" s="1" t="s">
        <v>9953</v>
      </c>
      <c r="FV862" s="1" t="s">
        <v>200</v>
      </c>
      <c r="FW862" s="1" t="s">
        <v>9954</v>
      </c>
      <c r="FX862" s="1" t="s">
        <v>238</v>
      </c>
      <c r="FZ862" s="1" t="s">
        <v>229</v>
      </c>
      <c r="GA862" s="1" t="s">
        <v>291</v>
      </c>
      <c r="GB862" s="2">
        <v>42132.0</v>
      </c>
      <c r="GC862" s="1" t="s">
        <v>9955</v>
      </c>
    </row>
    <row r="863">
      <c r="A863" s="1">
        <v>24624.0</v>
      </c>
      <c r="B863" s="1" t="s">
        <v>185</v>
      </c>
      <c r="C863" s="1" t="str">
        <f>"08899034"</f>
        <v>08899034</v>
      </c>
      <c r="D863" s="1" t="s">
        <v>186</v>
      </c>
      <c r="F863" s="1" t="str">
        <f>"8071"</f>
        <v>8071</v>
      </c>
      <c r="G863" s="2">
        <v>42116.0</v>
      </c>
      <c r="H863" s="1">
        <v>26400.0</v>
      </c>
      <c r="I863" s="1">
        <v>192.0</v>
      </c>
      <c r="J863" s="1">
        <v>26400.0</v>
      </c>
      <c r="K863" s="2">
        <v>42131.0</v>
      </c>
      <c r="L863" s="1">
        <v>16.0</v>
      </c>
      <c r="M863" s="2">
        <v>42131.0</v>
      </c>
      <c r="N863" s="1" t="s">
        <v>249</v>
      </c>
      <c r="O863" s="2">
        <v>42144.0</v>
      </c>
      <c r="P863" s="1">
        <v>172449.0</v>
      </c>
      <c r="Q863" s="1">
        <v>10115.0</v>
      </c>
      <c r="S863" s="1">
        <v>8510.0</v>
      </c>
      <c r="T863" s="1" t="s">
        <v>4544</v>
      </c>
      <c r="U863" s="1" t="s">
        <v>320</v>
      </c>
      <c r="V863" s="1" t="s">
        <v>190</v>
      </c>
      <c r="W863" s="1">
        <v>60620.0</v>
      </c>
      <c r="Y863" s="1" t="s">
        <v>9956</v>
      </c>
      <c r="Z863" s="1">
        <v>1893.0</v>
      </c>
      <c r="AA863" s="1" t="s">
        <v>192</v>
      </c>
      <c r="AB863" s="1" t="s">
        <v>193</v>
      </c>
      <c r="AD863" s="1" t="s">
        <v>194</v>
      </c>
      <c r="AE863" s="1" t="s">
        <v>195</v>
      </c>
      <c r="AF863" s="1" t="s">
        <v>659</v>
      </c>
      <c r="AH863" s="1" t="s">
        <v>741</v>
      </c>
      <c r="AI863" s="1">
        <v>0.0816</v>
      </c>
      <c r="AK863" s="1">
        <v>7.0</v>
      </c>
      <c r="AL863" s="1">
        <v>4.0</v>
      </c>
      <c r="AM863" s="1">
        <v>2.0</v>
      </c>
      <c r="AN863" s="1">
        <v>0.0</v>
      </c>
      <c r="AO863" s="1" t="s">
        <v>229</v>
      </c>
      <c r="AQ863" s="1" t="s">
        <v>198</v>
      </c>
      <c r="AR863" s="1" t="s">
        <v>200</v>
      </c>
      <c r="AS863" s="1" t="s">
        <v>229</v>
      </c>
      <c r="AV863" s="1" t="s">
        <v>200</v>
      </c>
      <c r="AW863" s="1">
        <v>762.0</v>
      </c>
      <c r="AX863" s="1">
        <v>2013.0</v>
      </c>
      <c r="AZ863" s="1" t="s">
        <v>200</v>
      </c>
      <c r="BA863" s="1" t="str">
        <f>"20324210230000"</f>
        <v>20324210230000</v>
      </c>
      <c r="BC863" s="1">
        <v>1550.0</v>
      </c>
      <c r="BD863" s="1">
        <v>24624.0</v>
      </c>
      <c r="BE863" s="2">
        <v>42116.0</v>
      </c>
      <c r="BF863" s="1" t="s">
        <v>9957</v>
      </c>
      <c r="BH863" s="1">
        <v>0.0</v>
      </c>
      <c r="BK863" s="1" t="s">
        <v>204</v>
      </c>
      <c r="BL863" s="1" t="str">
        <f t="shared" ref="BL863:BM863" si="564">"0"</f>
        <v>0</v>
      </c>
      <c r="BM863" s="1" t="str">
        <f t="shared" si="564"/>
        <v>0</v>
      </c>
      <c r="BN863" s="1">
        <v>900.0</v>
      </c>
      <c r="BO863" s="1">
        <v>8510.0</v>
      </c>
      <c r="BQ863" s="1">
        <v>299.0</v>
      </c>
      <c r="BR863" s="1">
        <v>299.0</v>
      </c>
      <c r="BS863" s="1">
        <v>299.0</v>
      </c>
      <c r="BU863" s="1" t="s">
        <v>1395</v>
      </c>
      <c r="BV863" s="1" t="s">
        <v>206</v>
      </c>
      <c r="BW863" s="1" t="s">
        <v>207</v>
      </c>
      <c r="BY863" s="1" t="s">
        <v>363</v>
      </c>
      <c r="BZ863" s="1" t="s">
        <v>206</v>
      </c>
      <c r="CA863" s="1" t="s">
        <v>210</v>
      </c>
      <c r="CC863" s="1" t="s">
        <v>363</v>
      </c>
      <c r="CD863" s="1" t="s">
        <v>206</v>
      </c>
      <c r="CE863" s="1" t="s">
        <v>207</v>
      </c>
      <c r="CG863" s="1" t="s">
        <v>303</v>
      </c>
      <c r="CH863" s="1" t="s">
        <v>206</v>
      </c>
      <c r="CI863" s="1" t="s">
        <v>210</v>
      </c>
      <c r="CK863" s="1" t="s">
        <v>264</v>
      </c>
      <c r="CL863" s="1" t="s">
        <v>206</v>
      </c>
      <c r="CM863" s="1" t="s">
        <v>210</v>
      </c>
      <c r="CO863" s="1" t="s">
        <v>2047</v>
      </c>
      <c r="CP863" s="1" t="s">
        <v>206</v>
      </c>
      <c r="CQ863" s="1" t="s">
        <v>210</v>
      </c>
      <c r="CS863" s="1" t="s">
        <v>1672</v>
      </c>
      <c r="CT863" s="1" t="s">
        <v>206</v>
      </c>
      <c r="CU863" s="1" t="s">
        <v>268</v>
      </c>
      <c r="CX863" s="1" t="s">
        <v>204</v>
      </c>
      <c r="DA863" s="1" t="s">
        <v>200</v>
      </c>
      <c r="DC863" s="1" t="s">
        <v>642</v>
      </c>
      <c r="DE863" s="1" t="s">
        <v>273</v>
      </c>
      <c r="DF863" s="1" t="s">
        <v>219</v>
      </c>
      <c r="DH863" s="1" t="s">
        <v>365</v>
      </c>
      <c r="DJ863" s="1" t="s">
        <v>222</v>
      </c>
      <c r="DL863" s="1" t="s">
        <v>224</v>
      </c>
      <c r="DM863" s="1" t="s">
        <v>229</v>
      </c>
      <c r="DQ863" s="1" t="s">
        <v>228</v>
      </c>
      <c r="DR863" s="1" t="s">
        <v>229</v>
      </c>
      <c r="DV863" s="1" t="s">
        <v>232</v>
      </c>
      <c r="DW863" s="1" t="s">
        <v>2602</v>
      </c>
      <c r="DX863" s="1" t="s">
        <v>234</v>
      </c>
      <c r="EC863" s="1" t="s">
        <v>237</v>
      </c>
      <c r="EM863" s="1" t="s">
        <v>238</v>
      </c>
      <c r="EQ863" s="1" t="s">
        <v>238</v>
      </c>
      <c r="EU863" s="1" t="s">
        <v>238</v>
      </c>
      <c r="EY863" s="1" t="s">
        <v>238</v>
      </c>
      <c r="FC863" s="1" t="s">
        <v>238</v>
      </c>
      <c r="FF863" s="1" t="s">
        <v>239</v>
      </c>
      <c r="FG863" s="1" t="s">
        <v>192</v>
      </c>
      <c r="FH863" s="1" t="s">
        <v>192</v>
      </c>
      <c r="FJ863" s="1" t="s">
        <v>347</v>
      </c>
      <c r="FK863" s="1" t="s">
        <v>229</v>
      </c>
      <c r="FL863" s="1" t="s">
        <v>1358</v>
      </c>
      <c r="FM863" s="1">
        <v>10115.0</v>
      </c>
      <c r="FN863" s="1" t="s">
        <v>2286</v>
      </c>
      <c r="FO863" s="1" t="s">
        <v>9890</v>
      </c>
      <c r="FP863" s="1">
        <v>172449.0</v>
      </c>
      <c r="FU863" s="1" t="s">
        <v>710</v>
      </c>
      <c r="FV863" s="1" t="s">
        <v>200</v>
      </c>
      <c r="FW863" s="1" t="s">
        <v>567</v>
      </c>
      <c r="FX863" s="1" t="s">
        <v>655</v>
      </c>
      <c r="FZ863" s="1" t="s">
        <v>229</v>
      </c>
      <c r="GA863" s="1" t="s">
        <v>291</v>
      </c>
      <c r="GB863" s="2">
        <v>42144.0</v>
      </c>
      <c r="GC863" s="1" t="s">
        <v>9958</v>
      </c>
    </row>
    <row r="864">
      <c r="A864" s="1">
        <v>90000.0</v>
      </c>
      <c r="B864" s="1" t="s">
        <v>185</v>
      </c>
      <c r="C864" s="1" t="str">
        <f>"08897857"</f>
        <v>08897857</v>
      </c>
      <c r="D864" s="1" t="s">
        <v>186</v>
      </c>
      <c r="F864" s="1" t="str">
        <f>"8019"</f>
        <v>8019</v>
      </c>
      <c r="G864" s="2">
        <v>42115.0</v>
      </c>
      <c r="H864" s="1">
        <v>89900.0</v>
      </c>
      <c r="I864" s="1">
        <v>14.0</v>
      </c>
      <c r="J864" s="1">
        <v>89900.0</v>
      </c>
      <c r="K864" s="2">
        <v>42127.0</v>
      </c>
      <c r="L864" s="1">
        <v>14.0</v>
      </c>
      <c r="M864" s="2">
        <v>42127.0</v>
      </c>
      <c r="N864" s="1" t="s">
        <v>249</v>
      </c>
      <c r="O864" s="2">
        <v>42145.0</v>
      </c>
      <c r="P864" s="1">
        <v>221839.0</v>
      </c>
      <c r="Q864" s="1">
        <v>60321.0</v>
      </c>
      <c r="S864" s="1">
        <v>2825.0</v>
      </c>
      <c r="T864" s="1" t="s">
        <v>9959</v>
      </c>
      <c r="U864" s="1" t="s">
        <v>189</v>
      </c>
      <c r="V864" s="1" t="s">
        <v>190</v>
      </c>
      <c r="W864" s="1">
        <v>60634.0</v>
      </c>
      <c r="Y864" s="1" t="s">
        <v>9960</v>
      </c>
      <c r="Z864" s="1">
        <v>1911.0</v>
      </c>
      <c r="AA864" s="1" t="s">
        <v>192</v>
      </c>
      <c r="AB864" s="1" t="s">
        <v>193</v>
      </c>
      <c r="AD864" s="1" t="s">
        <v>194</v>
      </c>
      <c r="AE864" s="1" t="s">
        <v>195</v>
      </c>
      <c r="AF864" s="1" t="s">
        <v>196</v>
      </c>
      <c r="AH864" s="1" t="s">
        <v>779</v>
      </c>
      <c r="AK864" s="1">
        <v>7.0</v>
      </c>
      <c r="AL864" s="1">
        <v>4.0</v>
      </c>
      <c r="AM864" s="1">
        <v>1.0</v>
      </c>
      <c r="AN864" s="1">
        <v>1.0</v>
      </c>
      <c r="AO864" s="1" t="s">
        <v>229</v>
      </c>
      <c r="AQ864" s="1" t="s">
        <v>229</v>
      </c>
      <c r="AS864" s="1" t="s">
        <v>229</v>
      </c>
      <c r="AV864" s="1" t="s">
        <v>200</v>
      </c>
      <c r="AW864" s="1">
        <v>2999.0</v>
      </c>
      <c r="AX864" s="1">
        <v>2013.0</v>
      </c>
      <c r="AY864" s="1" t="s">
        <v>229</v>
      </c>
      <c r="AZ864" s="1" t="s">
        <v>200</v>
      </c>
      <c r="BA864" s="1" t="str">
        <f>"13291270110000"</f>
        <v>13291270110000</v>
      </c>
      <c r="BC864" s="1">
        <v>900.0</v>
      </c>
      <c r="BD864" s="1">
        <v>90000.0</v>
      </c>
      <c r="BE864" s="2">
        <v>42114.0</v>
      </c>
      <c r="BF864" s="1" t="s">
        <v>9961</v>
      </c>
      <c r="BH864" s="1">
        <v>0.0</v>
      </c>
      <c r="BK864" s="1" t="s">
        <v>204</v>
      </c>
      <c r="BL864" s="1" t="str">
        <f>"2825"</f>
        <v>2825</v>
      </c>
      <c r="BM864" s="1" t="str">
        <f t="shared" ref="BM864:BM867" si="565">"0"</f>
        <v>0</v>
      </c>
      <c r="BN864" s="1">
        <v>6100.0</v>
      </c>
      <c r="BO864" s="1">
        <v>0.0</v>
      </c>
      <c r="BQ864" s="1">
        <v>299.0</v>
      </c>
      <c r="BR864" s="1">
        <v>299.0</v>
      </c>
      <c r="BS864" s="1">
        <v>299.0</v>
      </c>
      <c r="BU864" s="1" t="s">
        <v>1426</v>
      </c>
      <c r="BV864" s="1" t="s">
        <v>206</v>
      </c>
      <c r="BW864" s="1" t="s">
        <v>207</v>
      </c>
      <c r="BY864" s="1" t="s">
        <v>1119</v>
      </c>
      <c r="BZ864" s="1" t="s">
        <v>206</v>
      </c>
      <c r="CD864" s="1" t="s">
        <v>204</v>
      </c>
      <c r="CG864" s="1" t="s">
        <v>269</v>
      </c>
      <c r="CH864" s="1" t="s">
        <v>206</v>
      </c>
      <c r="CK864" s="1" t="s">
        <v>264</v>
      </c>
      <c r="CL864" s="1" t="s">
        <v>209</v>
      </c>
      <c r="CO864" s="1" t="s">
        <v>2713</v>
      </c>
      <c r="CP864" s="1" t="s">
        <v>209</v>
      </c>
      <c r="CS864" s="1" t="s">
        <v>363</v>
      </c>
      <c r="CT864" s="1" t="s">
        <v>206</v>
      </c>
      <c r="CW864" s="1" t="s">
        <v>215</v>
      </c>
      <c r="CX864" s="1" t="s">
        <v>206</v>
      </c>
      <c r="CY864" s="1" t="s">
        <v>207</v>
      </c>
      <c r="DA864" s="1" t="s">
        <v>200</v>
      </c>
      <c r="DC864" s="1" t="s">
        <v>642</v>
      </c>
      <c r="DE864" s="1" t="s">
        <v>229</v>
      </c>
      <c r="DF864" s="1" t="s">
        <v>619</v>
      </c>
      <c r="DH864" s="1" t="s">
        <v>365</v>
      </c>
      <c r="DI864" s="1" t="s">
        <v>1401</v>
      </c>
      <c r="DJ864" s="1" t="s">
        <v>222</v>
      </c>
      <c r="DL864" s="1" t="s">
        <v>1853</v>
      </c>
      <c r="DM864" s="1" t="s">
        <v>229</v>
      </c>
      <c r="DQ864" s="1" t="s">
        <v>718</v>
      </c>
      <c r="DR864" s="1" t="s">
        <v>229</v>
      </c>
      <c r="DV864" s="1" t="s">
        <v>232</v>
      </c>
      <c r="DW864" s="1" t="s">
        <v>667</v>
      </c>
      <c r="DX864" s="1" t="s">
        <v>234</v>
      </c>
      <c r="EA864" s="1" t="s">
        <v>644</v>
      </c>
      <c r="EC864" s="1" t="s">
        <v>645</v>
      </c>
      <c r="EE864" s="1" t="s">
        <v>1673</v>
      </c>
      <c r="EM864" s="1" t="s">
        <v>238</v>
      </c>
      <c r="EQ864" s="1" t="s">
        <v>238</v>
      </c>
      <c r="EU864" s="1" t="s">
        <v>238</v>
      </c>
      <c r="EY864" s="1" t="s">
        <v>238</v>
      </c>
      <c r="FC864" s="1" t="s">
        <v>238</v>
      </c>
      <c r="FF864" s="1" t="s">
        <v>239</v>
      </c>
      <c r="FG864" s="1" t="s">
        <v>192</v>
      </c>
      <c r="FH864" s="1" t="s">
        <v>192</v>
      </c>
      <c r="FJ864" s="1" t="s">
        <v>2427</v>
      </c>
      <c r="FK864" s="1" t="s">
        <v>348</v>
      </c>
      <c r="FL864" s="1" t="s">
        <v>4660</v>
      </c>
      <c r="FM864" s="1">
        <v>8363.0</v>
      </c>
      <c r="FN864" s="1" t="s">
        <v>9962</v>
      </c>
      <c r="FO864" s="1" t="s">
        <v>9963</v>
      </c>
      <c r="FP864" s="1">
        <v>80006.0</v>
      </c>
      <c r="FQ864" s="1" t="s">
        <v>9964</v>
      </c>
      <c r="FU864" s="1" t="s">
        <v>9965</v>
      </c>
      <c r="FV864" s="1" t="s">
        <v>200</v>
      </c>
      <c r="FW864" s="1" t="s">
        <v>290</v>
      </c>
      <c r="FX864" s="1" t="s">
        <v>238</v>
      </c>
      <c r="FZ864" s="1" t="s">
        <v>229</v>
      </c>
      <c r="GA864" s="1" t="s">
        <v>291</v>
      </c>
      <c r="GB864" s="2">
        <v>42145.0</v>
      </c>
    </row>
    <row r="865">
      <c r="A865" s="1">
        <v>396000.0</v>
      </c>
      <c r="B865" s="1" t="s">
        <v>185</v>
      </c>
      <c r="C865" s="1" t="str">
        <f>"08899216"</f>
        <v>08899216</v>
      </c>
      <c r="D865" s="1" t="s">
        <v>186</v>
      </c>
      <c r="F865" s="1" t="str">
        <f>"8015"</f>
        <v>8015</v>
      </c>
      <c r="G865" s="2">
        <v>42116.0</v>
      </c>
      <c r="H865" s="1">
        <v>399000.0</v>
      </c>
      <c r="I865" s="1">
        <v>7.0</v>
      </c>
      <c r="J865" s="1">
        <v>399000.0</v>
      </c>
      <c r="K865" s="2">
        <v>42122.0</v>
      </c>
      <c r="L865" s="1">
        <v>7.0</v>
      </c>
      <c r="M865" s="2">
        <v>42122.0</v>
      </c>
      <c r="N865" s="1" t="s">
        <v>187</v>
      </c>
      <c r="O865" s="2">
        <v>42144.0</v>
      </c>
      <c r="P865" s="1">
        <v>179854.0</v>
      </c>
      <c r="Q865" s="1">
        <v>18705.0</v>
      </c>
      <c r="S865" s="1">
        <v>5805.0</v>
      </c>
      <c r="T865" s="1" t="s">
        <v>6387</v>
      </c>
      <c r="U865" s="1" t="s">
        <v>189</v>
      </c>
      <c r="V865" s="1" t="s">
        <v>190</v>
      </c>
      <c r="W865" s="1">
        <v>60630.0</v>
      </c>
      <c r="Y865" s="1" t="s">
        <v>9966</v>
      </c>
      <c r="Z865" s="1">
        <v>1928.0</v>
      </c>
      <c r="AA865" s="1" t="s">
        <v>192</v>
      </c>
      <c r="AB865" s="1" t="s">
        <v>193</v>
      </c>
      <c r="AD865" s="1" t="s">
        <v>194</v>
      </c>
      <c r="AE865" s="1" t="s">
        <v>195</v>
      </c>
      <c r="AF865" s="1" t="s">
        <v>196</v>
      </c>
      <c r="AH865" s="1" t="s">
        <v>6331</v>
      </c>
      <c r="AI865" s="1">
        <v>0.0861</v>
      </c>
      <c r="AK865" s="1">
        <v>10.0</v>
      </c>
      <c r="AL865" s="1">
        <v>4.0</v>
      </c>
      <c r="AM865" s="1">
        <v>2.0</v>
      </c>
      <c r="AN865" s="1">
        <v>0.0</v>
      </c>
      <c r="AO865" s="1" t="s">
        <v>229</v>
      </c>
      <c r="AP865" s="1">
        <v>1.0</v>
      </c>
      <c r="AQ865" s="1" t="s">
        <v>198</v>
      </c>
      <c r="AR865" s="1" t="s">
        <v>192</v>
      </c>
      <c r="AS865" s="1" t="s">
        <v>199</v>
      </c>
      <c r="AT865" s="1">
        <v>2.0</v>
      </c>
      <c r="AV865" s="1" t="s">
        <v>200</v>
      </c>
      <c r="AW865" s="1">
        <v>4125.09</v>
      </c>
      <c r="AX865" s="1">
        <v>2013.0</v>
      </c>
      <c r="AY865" s="1" t="s">
        <v>229</v>
      </c>
      <c r="AZ865" s="1" t="s">
        <v>200</v>
      </c>
      <c r="BA865" s="1" t="str">
        <f>"13172140190000"</f>
        <v>13172140190000</v>
      </c>
      <c r="BC865" s="1">
        <v>2500.0</v>
      </c>
      <c r="BD865" s="1">
        <v>396000.0</v>
      </c>
      <c r="BE865" s="2">
        <v>42116.0</v>
      </c>
      <c r="BF865" s="2" t="s">
        <v>9967</v>
      </c>
      <c r="BG865" s="1" t="s">
        <v>2531</v>
      </c>
      <c r="BH865" s="1">
        <v>0.0</v>
      </c>
      <c r="BK865" s="1" t="s">
        <v>204</v>
      </c>
      <c r="BL865" s="1" t="str">
        <f>"4625"</f>
        <v>4625</v>
      </c>
      <c r="BM865" s="1" t="str">
        <f t="shared" si="565"/>
        <v>0</v>
      </c>
      <c r="BN865" s="1">
        <v>5805.0</v>
      </c>
      <c r="BO865" s="1">
        <v>0.0</v>
      </c>
      <c r="BQ865" s="1">
        <v>299.0</v>
      </c>
      <c r="BR865" s="1">
        <v>299.0</v>
      </c>
      <c r="BS865" s="1">
        <v>299.0</v>
      </c>
      <c r="BU865" s="1" t="s">
        <v>515</v>
      </c>
      <c r="BV865" s="1" t="s">
        <v>206</v>
      </c>
      <c r="BW865" s="1" t="s">
        <v>207</v>
      </c>
      <c r="BX865" s="1" t="s">
        <v>229</v>
      </c>
      <c r="BY865" s="1" t="s">
        <v>392</v>
      </c>
      <c r="BZ865" s="1" t="s">
        <v>206</v>
      </c>
      <c r="CA865" s="1" t="s">
        <v>207</v>
      </c>
      <c r="CB865" s="1" t="s">
        <v>229</v>
      </c>
      <c r="CC865" s="1" t="s">
        <v>758</v>
      </c>
      <c r="CD865" s="1" t="s">
        <v>206</v>
      </c>
      <c r="CE865" s="1" t="s">
        <v>207</v>
      </c>
      <c r="CF865" s="1" t="s">
        <v>229</v>
      </c>
      <c r="CG865" s="1" t="s">
        <v>264</v>
      </c>
      <c r="CH865" s="1" t="s">
        <v>206</v>
      </c>
      <c r="CI865" s="1" t="s">
        <v>207</v>
      </c>
      <c r="CJ865" s="1" t="s">
        <v>229</v>
      </c>
      <c r="CK865" s="1" t="s">
        <v>1229</v>
      </c>
      <c r="CL865" s="1" t="s">
        <v>209</v>
      </c>
      <c r="CM865" s="1" t="s">
        <v>210</v>
      </c>
      <c r="CN865" s="1" t="s">
        <v>229</v>
      </c>
      <c r="CO865" s="1" t="s">
        <v>1229</v>
      </c>
      <c r="CP865" s="1" t="s">
        <v>209</v>
      </c>
      <c r="CQ865" s="1" t="s">
        <v>210</v>
      </c>
      <c r="CR865" s="1" t="s">
        <v>229</v>
      </c>
      <c r="CS865" s="1" t="s">
        <v>329</v>
      </c>
      <c r="CT865" s="1" t="s">
        <v>206</v>
      </c>
      <c r="CU865" s="1" t="s">
        <v>207</v>
      </c>
      <c r="CV865" s="1" t="s">
        <v>229</v>
      </c>
      <c r="CW865" s="1" t="s">
        <v>5800</v>
      </c>
      <c r="CX865" s="1" t="s">
        <v>206</v>
      </c>
      <c r="CY865" s="1" t="s">
        <v>207</v>
      </c>
      <c r="CZ865" s="1" t="s">
        <v>229</v>
      </c>
      <c r="DA865" s="1" t="s">
        <v>200</v>
      </c>
      <c r="DC865" s="1" t="s">
        <v>785</v>
      </c>
      <c r="DD865" s="1" t="s">
        <v>957</v>
      </c>
      <c r="DE865" s="1" t="s">
        <v>1810</v>
      </c>
      <c r="DF865" s="1" t="s">
        <v>619</v>
      </c>
      <c r="DG865" s="1" t="s">
        <v>482</v>
      </c>
      <c r="DH865" s="1" t="s">
        <v>220</v>
      </c>
      <c r="DI865" s="1" t="s">
        <v>2257</v>
      </c>
      <c r="DJ865" s="1" t="s">
        <v>222</v>
      </c>
      <c r="DK865" s="1" t="s">
        <v>223</v>
      </c>
      <c r="DL865" s="1" t="s">
        <v>224</v>
      </c>
      <c r="DM865" s="1" t="s">
        <v>229</v>
      </c>
      <c r="DP865" s="1" t="s">
        <v>340</v>
      </c>
      <c r="DQ865" s="1" t="s">
        <v>228</v>
      </c>
      <c r="DR865" s="1" t="s">
        <v>229</v>
      </c>
      <c r="DV865" s="1" t="s">
        <v>9968</v>
      </c>
      <c r="DW865" s="1" t="s">
        <v>279</v>
      </c>
      <c r="DX865" s="1" t="s">
        <v>3205</v>
      </c>
      <c r="DY865" s="1" t="s">
        <v>371</v>
      </c>
      <c r="DZ865" s="1" t="s">
        <v>282</v>
      </c>
      <c r="EA865" s="1" t="s">
        <v>257</v>
      </c>
      <c r="EB865" s="1" t="s">
        <v>684</v>
      </c>
      <c r="EC865" s="1" t="s">
        <v>237</v>
      </c>
      <c r="ED865" s="1" t="s">
        <v>407</v>
      </c>
      <c r="EG865" s="1" t="s">
        <v>1491</v>
      </c>
      <c r="EH865" s="1" t="s">
        <v>1270</v>
      </c>
      <c r="EI865" s="1" t="s">
        <v>1103</v>
      </c>
      <c r="EJ865" s="1" t="s">
        <v>450</v>
      </c>
      <c r="EL865" s="1" t="s">
        <v>212</v>
      </c>
      <c r="EM865" s="1" t="s">
        <v>42</v>
      </c>
      <c r="EN865" s="1" t="s">
        <v>588</v>
      </c>
      <c r="EO865" s="1" t="s">
        <v>229</v>
      </c>
      <c r="EP865" s="1" t="s">
        <v>1158</v>
      </c>
      <c r="EQ865" s="1" t="s">
        <v>42</v>
      </c>
      <c r="ER865" s="1" t="s">
        <v>588</v>
      </c>
      <c r="ES865" s="1" t="s">
        <v>229</v>
      </c>
      <c r="ET865" s="1" t="s">
        <v>798</v>
      </c>
      <c r="EU865" s="1" t="s">
        <v>42</v>
      </c>
      <c r="EV865" s="1" t="s">
        <v>588</v>
      </c>
      <c r="EW865" s="1" t="s">
        <v>229</v>
      </c>
      <c r="EX865" s="1" t="s">
        <v>3154</v>
      </c>
      <c r="EY865" s="1" t="s">
        <v>42</v>
      </c>
      <c r="EZ865" s="1" t="s">
        <v>210</v>
      </c>
      <c r="FA865" s="1" t="s">
        <v>229</v>
      </c>
      <c r="FC865" s="1" t="s">
        <v>238</v>
      </c>
      <c r="FF865" s="1" t="s">
        <v>239</v>
      </c>
      <c r="FG865" s="1" t="s">
        <v>192</v>
      </c>
      <c r="FH865" s="1" t="s">
        <v>192</v>
      </c>
      <c r="FJ865" s="1" t="s">
        <v>561</v>
      </c>
      <c r="FK865" s="1" t="s">
        <v>229</v>
      </c>
      <c r="FL865" s="1" t="s">
        <v>562</v>
      </c>
      <c r="FM865" s="1">
        <v>84025.0</v>
      </c>
      <c r="FN865" s="1" t="s">
        <v>2509</v>
      </c>
      <c r="FO865" s="1" t="s">
        <v>9445</v>
      </c>
      <c r="FP865" s="1">
        <v>107802.0</v>
      </c>
      <c r="FQ865" s="1" t="s">
        <v>9446</v>
      </c>
      <c r="FU865" s="1" t="s">
        <v>9969</v>
      </c>
      <c r="FV865" s="1" t="s">
        <v>192</v>
      </c>
      <c r="FW865" s="1" t="s">
        <v>654</v>
      </c>
      <c r="FX865" s="1" t="s">
        <v>246</v>
      </c>
      <c r="FZ865" s="1" t="s">
        <v>229</v>
      </c>
      <c r="GA865" s="1" t="s">
        <v>291</v>
      </c>
      <c r="GB865" s="2">
        <v>42150.0</v>
      </c>
      <c r="GC865" s="1" t="s">
        <v>9970</v>
      </c>
    </row>
    <row r="866">
      <c r="A866" s="1">
        <v>116000.0</v>
      </c>
      <c r="B866" s="1" t="s">
        <v>185</v>
      </c>
      <c r="C866" s="1" t="str">
        <f>"08901287"</f>
        <v>08901287</v>
      </c>
      <c r="D866" s="1" t="s">
        <v>186</v>
      </c>
      <c r="F866" s="1" t="str">
        <f>"8022"</f>
        <v>8022</v>
      </c>
      <c r="G866" s="2">
        <v>42118.0</v>
      </c>
      <c r="H866" s="1">
        <v>99000.0</v>
      </c>
      <c r="I866" s="1">
        <v>6.0</v>
      </c>
      <c r="J866" s="1">
        <v>99000.0</v>
      </c>
      <c r="K866" s="2">
        <v>42122.0</v>
      </c>
      <c r="L866" s="1">
        <v>6.0</v>
      </c>
      <c r="M866" s="2">
        <v>42122.0</v>
      </c>
      <c r="N866" s="1" t="s">
        <v>249</v>
      </c>
      <c r="O866" s="2">
        <v>42137.0</v>
      </c>
      <c r="P866" s="1">
        <v>167571.0</v>
      </c>
      <c r="Q866" s="1">
        <v>18239.0</v>
      </c>
      <c r="S866" s="1">
        <v>2044.0</v>
      </c>
      <c r="T866" s="1" t="s">
        <v>3708</v>
      </c>
      <c r="U866" s="1" t="s">
        <v>189</v>
      </c>
      <c r="V866" s="1" t="s">
        <v>190</v>
      </c>
      <c r="W866" s="1">
        <v>60647.0</v>
      </c>
      <c r="Y866" s="1" t="s">
        <v>9971</v>
      </c>
      <c r="Z866" s="1">
        <v>1894.0</v>
      </c>
      <c r="AA866" s="1" t="s">
        <v>192</v>
      </c>
      <c r="AB866" s="1" t="s">
        <v>193</v>
      </c>
      <c r="AD866" s="1" t="s">
        <v>194</v>
      </c>
      <c r="AE866" s="1" t="s">
        <v>195</v>
      </c>
      <c r="AF866" s="1" t="s">
        <v>196</v>
      </c>
      <c r="AH866" s="1">
        <v>3125.0</v>
      </c>
      <c r="AK866" s="1">
        <v>7.0</v>
      </c>
      <c r="AL866" s="1">
        <v>4.0</v>
      </c>
      <c r="AM866" s="1">
        <v>2.0</v>
      </c>
      <c r="AN866" s="1">
        <v>0.0</v>
      </c>
      <c r="AO866" s="1" t="s">
        <v>229</v>
      </c>
      <c r="AQ866" s="1" t="s">
        <v>198</v>
      </c>
      <c r="AR866" s="1" t="s">
        <v>200</v>
      </c>
      <c r="AS866" s="1" t="s">
        <v>199</v>
      </c>
      <c r="AT866" s="1">
        <v>2.0</v>
      </c>
      <c r="AV866" s="1" t="s">
        <v>200</v>
      </c>
      <c r="AW866" s="1">
        <v>2664.0</v>
      </c>
      <c r="AX866" s="1">
        <v>2013.0</v>
      </c>
      <c r="AZ866" s="1" t="s">
        <v>200</v>
      </c>
      <c r="BA866" s="1" t="str">
        <f>"13351240220000"</f>
        <v>13351240220000</v>
      </c>
      <c r="BB866" s="1" t="s">
        <v>200</v>
      </c>
      <c r="BC866" s="1">
        <v>1118.0</v>
      </c>
      <c r="BD866" s="1">
        <v>116000.0</v>
      </c>
      <c r="BE866" s="2">
        <v>42117.0</v>
      </c>
      <c r="BF866" s="2" t="s">
        <v>9972</v>
      </c>
      <c r="BH866" s="1">
        <v>0.0</v>
      </c>
      <c r="BK866" s="1" t="s">
        <v>204</v>
      </c>
      <c r="BL866" s="1" t="str">
        <f>"2044"</f>
        <v>2044</v>
      </c>
      <c r="BM866" s="1" t="str">
        <f t="shared" si="565"/>
        <v>0</v>
      </c>
      <c r="BN866" s="1">
        <v>3800.0</v>
      </c>
      <c r="BO866" s="1">
        <v>0.0</v>
      </c>
      <c r="BQ866" s="1">
        <v>299.0</v>
      </c>
      <c r="BR866" s="1">
        <v>299.0</v>
      </c>
      <c r="BS866" s="1">
        <v>299.0</v>
      </c>
      <c r="BU866" s="1" t="s">
        <v>215</v>
      </c>
      <c r="BV866" s="1" t="s">
        <v>206</v>
      </c>
      <c r="BY866" s="1" t="s">
        <v>497</v>
      </c>
      <c r="BZ866" s="1" t="s">
        <v>209</v>
      </c>
      <c r="CC866" s="1" t="s">
        <v>699</v>
      </c>
      <c r="CD866" s="1" t="s">
        <v>206</v>
      </c>
      <c r="CG866" s="1" t="s">
        <v>663</v>
      </c>
      <c r="CH866" s="1" t="s">
        <v>209</v>
      </c>
      <c r="CK866" s="1" t="s">
        <v>269</v>
      </c>
      <c r="CL866" s="1" t="s">
        <v>209</v>
      </c>
      <c r="CO866" s="1" t="s">
        <v>623</v>
      </c>
      <c r="CP866" s="1" t="s">
        <v>206</v>
      </c>
      <c r="CS866" s="1" t="s">
        <v>433</v>
      </c>
      <c r="CT866" s="1" t="s">
        <v>206</v>
      </c>
      <c r="CX866" s="1" t="s">
        <v>204</v>
      </c>
      <c r="DA866" s="1" t="s">
        <v>200</v>
      </c>
      <c r="DC866" s="1" t="s">
        <v>642</v>
      </c>
      <c r="DE866" s="1" t="s">
        <v>273</v>
      </c>
      <c r="DF866" s="1" t="s">
        <v>219</v>
      </c>
      <c r="DH866" s="1" t="s">
        <v>365</v>
      </c>
      <c r="DJ866" s="1" t="s">
        <v>222</v>
      </c>
      <c r="DL866" s="1" t="s">
        <v>223</v>
      </c>
      <c r="DM866" s="1" t="s">
        <v>229</v>
      </c>
      <c r="DQ866" s="1" t="s">
        <v>228</v>
      </c>
      <c r="DR866" s="1" t="s">
        <v>229</v>
      </c>
      <c r="DV866" s="1" t="s">
        <v>232</v>
      </c>
      <c r="DW866" s="1" t="s">
        <v>667</v>
      </c>
      <c r="DX866" s="1" t="s">
        <v>309</v>
      </c>
      <c r="EC866" s="1" t="s">
        <v>645</v>
      </c>
      <c r="EM866" s="1" t="s">
        <v>238</v>
      </c>
      <c r="EQ866" s="1" t="s">
        <v>238</v>
      </c>
      <c r="EU866" s="1" t="s">
        <v>238</v>
      </c>
      <c r="EY866" s="1" t="s">
        <v>238</v>
      </c>
      <c r="FC866" s="1" t="s">
        <v>238</v>
      </c>
      <c r="FF866" s="1" t="s">
        <v>239</v>
      </c>
      <c r="FG866" s="1" t="s">
        <v>192</v>
      </c>
      <c r="FH866" s="1" t="s">
        <v>192</v>
      </c>
      <c r="FJ866" s="1" t="s">
        <v>770</v>
      </c>
      <c r="FK866" s="1" t="s">
        <v>229</v>
      </c>
      <c r="FL866" s="1" t="s">
        <v>8657</v>
      </c>
      <c r="FM866" s="1">
        <v>1878.0</v>
      </c>
      <c r="FN866" s="1" t="s">
        <v>8658</v>
      </c>
      <c r="FO866" s="1" t="s">
        <v>8659</v>
      </c>
      <c r="FP866" s="1">
        <v>26747.0</v>
      </c>
      <c r="FQ866" s="1" t="s">
        <v>8658</v>
      </c>
      <c r="FU866" s="1" t="s">
        <v>8660</v>
      </c>
      <c r="FV866" s="1" t="s">
        <v>200</v>
      </c>
      <c r="FW866" s="1" t="s">
        <v>290</v>
      </c>
      <c r="FX866" s="1" t="s">
        <v>238</v>
      </c>
      <c r="FZ866" s="1" t="s">
        <v>229</v>
      </c>
      <c r="GA866" s="1" t="s">
        <v>291</v>
      </c>
      <c r="GB866" s="2">
        <v>42138.0</v>
      </c>
      <c r="GC866" s="1" t="s">
        <v>9973</v>
      </c>
    </row>
    <row r="867">
      <c r="A867" s="1">
        <v>1056000.0</v>
      </c>
      <c r="B867" s="1" t="s">
        <v>185</v>
      </c>
      <c r="C867" s="1" t="str">
        <f>"08909834"</f>
        <v>08909834</v>
      </c>
      <c r="D867" s="1" t="s">
        <v>186</v>
      </c>
      <c r="F867" s="1" t="str">
        <f>"8024"</f>
        <v>8024</v>
      </c>
      <c r="G867" s="2">
        <v>42126.0</v>
      </c>
      <c r="H867" s="1">
        <v>999000.0</v>
      </c>
      <c r="I867" s="1">
        <v>18.0</v>
      </c>
      <c r="J867" s="1">
        <v>999000.0</v>
      </c>
      <c r="K867" s="2">
        <v>42143.0</v>
      </c>
      <c r="L867" s="1">
        <v>18.0</v>
      </c>
      <c r="M867" s="2">
        <v>42143.0</v>
      </c>
      <c r="N867" s="1" t="s">
        <v>187</v>
      </c>
      <c r="O867" s="2">
        <v>42144.0</v>
      </c>
      <c r="P867" s="1">
        <v>147667.0</v>
      </c>
      <c r="Q867" s="1">
        <v>84992.0</v>
      </c>
      <c r="S867" s="1">
        <v>2556.0</v>
      </c>
      <c r="T867" s="1" t="s">
        <v>825</v>
      </c>
      <c r="U867" s="1" t="s">
        <v>320</v>
      </c>
      <c r="V867" s="1" t="s">
        <v>190</v>
      </c>
      <c r="W867" s="1">
        <v>60612.0</v>
      </c>
      <c r="Y867" s="1" t="s">
        <v>9974</v>
      </c>
      <c r="Z867" s="1">
        <v>2015.0</v>
      </c>
      <c r="AA867" s="1" t="s">
        <v>200</v>
      </c>
      <c r="AB867" s="1" t="s">
        <v>193</v>
      </c>
      <c r="AD867" s="1" t="s">
        <v>194</v>
      </c>
      <c r="AE867" s="1" t="s">
        <v>195</v>
      </c>
      <c r="AF867" s="1" t="s">
        <v>827</v>
      </c>
      <c r="AH867" s="1" t="s">
        <v>9975</v>
      </c>
      <c r="AI867" s="1">
        <v>0.0706</v>
      </c>
      <c r="AK867" s="1">
        <v>8.0</v>
      </c>
      <c r="AL867" s="1">
        <v>4.0</v>
      </c>
      <c r="AM867" s="1">
        <v>3.0</v>
      </c>
      <c r="AN867" s="1">
        <v>1.0</v>
      </c>
      <c r="AO867" s="1" t="s">
        <v>198</v>
      </c>
      <c r="AP867" s="1">
        <v>1.0</v>
      </c>
      <c r="AQ867" s="1" t="s">
        <v>198</v>
      </c>
      <c r="AR867" s="1" t="s">
        <v>192</v>
      </c>
      <c r="AS867" s="1" t="s">
        <v>199</v>
      </c>
      <c r="AT867" s="1">
        <v>2.0</v>
      </c>
      <c r="AV867" s="1" t="s">
        <v>200</v>
      </c>
      <c r="AW867" s="1">
        <v>5301.56</v>
      </c>
      <c r="AX867" s="1">
        <v>2013.0</v>
      </c>
      <c r="AZ867" s="1" t="s">
        <v>200</v>
      </c>
      <c r="BA867" s="1" t="str">
        <f>"16122020240000"</f>
        <v>16122020240000</v>
      </c>
      <c r="BC867" s="1">
        <v>3900.0</v>
      </c>
      <c r="BD867" s="1">
        <v>1056000.0</v>
      </c>
      <c r="BE867" s="2">
        <v>42126.0</v>
      </c>
      <c r="BF867" s="1" t="s">
        <v>9976</v>
      </c>
      <c r="BH867" s="1">
        <v>0.0</v>
      </c>
      <c r="BK867" s="1" t="s">
        <v>204</v>
      </c>
      <c r="BL867" s="1" t="str">
        <f>"732"</f>
        <v>732</v>
      </c>
      <c r="BM867" s="1" t="str">
        <f t="shared" si="565"/>
        <v>0</v>
      </c>
      <c r="BN867" s="1">
        <v>2556.0</v>
      </c>
      <c r="BO867" s="1">
        <v>0.0</v>
      </c>
      <c r="BQ867" s="1">
        <v>299.0</v>
      </c>
      <c r="BR867" s="1">
        <v>299.0</v>
      </c>
      <c r="BS867" s="1">
        <v>299.0</v>
      </c>
      <c r="BU867" s="1" t="s">
        <v>662</v>
      </c>
      <c r="BV867" s="1" t="s">
        <v>206</v>
      </c>
      <c r="BW867" s="1" t="s">
        <v>207</v>
      </c>
      <c r="BX867" s="1" t="s">
        <v>431</v>
      </c>
      <c r="BY867" s="1" t="s">
        <v>434</v>
      </c>
      <c r="BZ867" s="1" t="s">
        <v>209</v>
      </c>
      <c r="CA867" s="1" t="s">
        <v>207</v>
      </c>
      <c r="CC867" s="1" t="s">
        <v>677</v>
      </c>
      <c r="CD867" s="1" t="s">
        <v>206</v>
      </c>
      <c r="CE867" s="1" t="s">
        <v>207</v>
      </c>
      <c r="CF867" s="1" t="s">
        <v>431</v>
      </c>
      <c r="CG867" s="1" t="s">
        <v>303</v>
      </c>
      <c r="CH867" s="1" t="s">
        <v>209</v>
      </c>
      <c r="CI867" s="1" t="s">
        <v>207</v>
      </c>
      <c r="CK867" s="1" t="s">
        <v>677</v>
      </c>
      <c r="CL867" s="1" t="s">
        <v>209</v>
      </c>
      <c r="CM867" s="1" t="s">
        <v>207</v>
      </c>
      <c r="CO867" s="1" t="s">
        <v>515</v>
      </c>
      <c r="CP867" s="1" t="s">
        <v>267</v>
      </c>
      <c r="CQ867" s="1" t="s">
        <v>210</v>
      </c>
      <c r="CS867" s="1" t="s">
        <v>205</v>
      </c>
      <c r="CT867" s="1" t="s">
        <v>206</v>
      </c>
      <c r="CU867" s="1" t="s">
        <v>207</v>
      </c>
      <c r="CV867" s="1" t="s">
        <v>431</v>
      </c>
      <c r="CW867" s="1" t="s">
        <v>515</v>
      </c>
      <c r="CX867" s="1" t="s">
        <v>267</v>
      </c>
      <c r="CY867" s="1" t="s">
        <v>210</v>
      </c>
      <c r="CZ867" s="1" t="s">
        <v>431</v>
      </c>
      <c r="DA867" s="1" t="s">
        <v>192</v>
      </c>
      <c r="DB867" s="2">
        <v>42118.0</v>
      </c>
      <c r="DC867" s="1" t="s">
        <v>1353</v>
      </c>
      <c r="DE867" s="1" t="s">
        <v>273</v>
      </c>
      <c r="DF867" s="1" t="s">
        <v>619</v>
      </c>
      <c r="DG867" s="1" t="s">
        <v>9249</v>
      </c>
      <c r="DH867" s="1" t="s">
        <v>365</v>
      </c>
      <c r="DJ867" s="1" t="s">
        <v>222</v>
      </c>
      <c r="DL867" s="1" t="s">
        <v>224</v>
      </c>
      <c r="DM867" s="1" t="s">
        <v>338</v>
      </c>
      <c r="DN867" s="1" t="s">
        <v>439</v>
      </c>
      <c r="DQ867" s="1" t="s">
        <v>228</v>
      </c>
      <c r="DR867" s="1" t="s">
        <v>229</v>
      </c>
      <c r="DT867" s="1" t="s">
        <v>9977</v>
      </c>
      <c r="DV867" s="1" t="s">
        <v>966</v>
      </c>
      <c r="DW867" s="1" t="s">
        <v>1026</v>
      </c>
      <c r="DX867" s="1" t="s">
        <v>234</v>
      </c>
      <c r="DY867" s="1" t="s">
        <v>704</v>
      </c>
      <c r="EB867" s="1" t="s">
        <v>684</v>
      </c>
      <c r="EC867" s="1" t="s">
        <v>406</v>
      </c>
      <c r="EG867" s="1" t="s">
        <v>968</v>
      </c>
      <c r="EH867" s="1" t="s">
        <v>310</v>
      </c>
      <c r="EL867" s="1" t="s">
        <v>8275</v>
      </c>
      <c r="EM867" s="1" t="s">
        <v>209</v>
      </c>
      <c r="EP867" s="1" t="s">
        <v>2569</v>
      </c>
      <c r="EQ867" s="1" t="s">
        <v>206</v>
      </c>
      <c r="EU867" s="1" t="s">
        <v>238</v>
      </c>
      <c r="EY867" s="1" t="s">
        <v>238</v>
      </c>
      <c r="FC867" s="1" t="s">
        <v>238</v>
      </c>
      <c r="FF867" s="1" t="s">
        <v>239</v>
      </c>
      <c r="FG867" s="1" t="s">
        <v>192</v>
      </c>
      <c r="FH867" s="1" t="s">
        <v>192</v>
      </c>
      <c r="FJ867" s="1" t="s">
        <v>6020</v>
      </c>
      <c r="FK867" s="1" t="s">
        <v>229</v>
      </c>
      <c r="FL867" s="1" t="s">
        <v>3794</v>
      </c>
      <c r="FM867" s="1">
        <v>16734.0</v>
      </c>
      <c r="FN867" s="1" t="s">
        <v>6021</v>
      </c>
      <c r="FO867" s="1" t="s">
        <v>6022</v>
      </c>
      <c r="FP867" s="1">
        <v>859124.0</v>
      </c>
      <c r="FQ867" s="1" t="s">
        <v>6023</v>
      </c>
      <c r="FU867" s="1" t="s">
        <v>9978</v>
      </c>
      <c r="FV867" s="1" t="s">
        <v>200</v>
      </c>
      <c r="FW867" s="1" t="s">
        <v>290</v>
      </c>
      <c r="FX867" s="1" t="s">
        <v>246</v>
      </c>
      <c r="FZ867" s="1" t="s">
        <v>229</v>
      </c>
      <c r="GA867" s="1" t="s">
        <v>291</v>
      </c>
      <c r="GB867" s="2">
        <v>42144.0</v>
      </c>
      <c r="GC867" s="1" t="s">
        <v>9979</v>
      </c>
    </row>
    <row r="868">
      <c r="A868" s="1">
        <v>334900.0</v>
      </c>
      <c r="B868" s="1" t="s">
        <v>185</v>
      </c>
      <c r="C868" s="1" t="str">
        <f>"08903528"</f>
        <v>08903528</v>
      </c>
      <c r="D868" s="1" t="s">
        <v>186</v>
      </c>
      <c r="F868" s="1" t="str">
        <f>"140"</f>
        <v>140</v>
      </c>
      <c r="G868" s="2">
        <v>42121.0</v>
      </c>
      <c r="H868" s="1">
        <v>334900.0</v>
      </c>
      <c r="I868" s="1">
        <v>246.0</v>
      </c>
      <c r="J868" s="1">
        <v>334900.0</v>
      </c>
      <c r="K868" s="2">
        <v>42142.0</v>
      </c>
      <c r="L868" s="1">
        <v>22.0</v>
      </c>
      <c r="M868" s="2">
        <v>42142.0</v>
      </c>
      <c r="N868" s="1" t="s">
        <v>249</v>
      </c>
      <c r="O868" s="2">
        <v>42145.0</v>
      </c>
      <c r="P868" s="1">
        <v>771.0</v>
      </c>
      <c r="Q868" s="1">
        <v>137.0</v>
      </c>
      <c r="S868" s="1" t="s">
        <v>9980</v>
      </c>
      <c r="T868" s="1" t="s">
        <v>9981</v>
      </c>
      <c r="U868" s="1" t="s">
        <v>569</v>
      </c>
      <c r="V868" s="1" t="s">
        <v>321</v>
      </c>
      <c r="W868" s="1">
        <v>60140.0</v>
      </c>
      <c r="Y868" s="1" t="s">
        <v>9982</v>
      </c>
      <c r="Z868" s="1">
        <v>1987.0</v>
      </c>
      <c r="AA868" s="1" t="s">
        <v>200</v>
      </c>
      <c r="AB868" s="1" t="s">
        <v>193</v>
      </c>
      <c r="AD868" s="1" t="s">
        <v>1089</v>
      </c>
      <c r="AE868" s="1" t="s">
        <v>325</v>
      </c>
      <c r="AF868" s="1" t="s">
        <v>324</v>
      </c>
      <c r="AH868" s="1" t="s">
        <v>9983</v>
      </c>
      <c r="AI868" s="1">
        <v>2.6</v>
      </c>
      <c r="AK868" s="1">
        <v>8.0</v>
      </c>
      <c r="AL868" s="1">
        <v>4.0</v>
      </c>
      <c r="AM868" s="1">
        <v>2.0</v>
      </c>
      <c r="AN868" s="1">
        <v>1.0</v>
      </c>
      <c r="AO868" s="1" t="s">
        <v>198</v>
      </c>
      <c r="AP868" s="1">
        <v>1.0</v>
      </c>
      <c r="AQ868" s="1" t="s">
        <v>1314</v>
      </c>
      <c r="AR868" s="1" t="s">
        <v>200</v>
      </c>
      <c r="AS868" s="1" t="s">
        <v>199</v>
      </c>
      <c r="AT868" s="1">
        <v>5.0</v>
      </c>
      <c r="AV868" s="1" t="s">
        <v>200</v>
      </c>
      <c r="AW868" s="1">
        <v>6569.0</v>
      </c>
      <c r="AX868" s="1">
        <v>2013.0</v>
      </c>
      <c r="AY868" s="1" t="s">
        <v>387</v>
      </c>
      <c r="AZ868" s="1" t="s">
        <v>200</v>
      </c>
      <c r="BA868" s="1" t="str">
        <f>"0123200031"</f>
        <v>0123200031</v>
      </c>
      <c r="BB868" s="1" t="s">
        <v>200</v>
      </c>
      <c r="BC868" s="1">
        <v>2443.0</v>
      </c>
      <c r="BD868" s="1">
        <v>334900.0</v>
      </c>
      <c r="BE868" s="2">
        <v>42121.0</v>
      </c>
      <c r="BF868" s="2" t="s">
        <v>9984</v>
      </c>
      <c r="BG868" s="1" t="s">
        <v>7518</v>
      </c>
      <c r="BH868" s="1">
        <v>0.0</v>
      </c>
      <c r="BI868" s="1" t="s">
        <v>5040</v>
      </c>
      <c r="BJ868" s="1" t="s">
        <v>1182</v>
      </c>
      <c r="BK868" s="1" t="s">
        <v>204</v>
      </c>
      <c r="BL868" s="1" t="str">
        <f t="shared" ref="BL868:BM868" si="566">""</f>
        <v/>
      </c>
      <c r="BM868" s="1" t="str">
        <f t="shared" si="566"/>
        <v/>
      </c>
      <c r="BQ868" s="1">
        <v>300.0</v>
      </c>
      <c r="BR868" s="1">
        <v>300.0</v>
      </c>
      <c r="BS868" s="1">
        <v>300.0</v>
      </c>
      <c r="BU868" s="1" t="s">
        <v>1535</v>
      </c>
      <c r="BV868" s="1" t="s">
        <v>206</v>
      </c>
      <c r="BW868" s="1" t="s">
        <v>210</v>
      </c>
      <c r="BX868" s="1" t="s">
        <v>239</v>
      </c>
      <c r="BY868" s="1" t="s">
        <v>208</v>
      </c>
      <c r="BZ868" s="1" t="s">
        <v>209</v>
      </c>
      <c r="CA868" s="1" t="s">
        <v>210</v>
      </c>
      <c r="CB868" s="1" t="s">
        <v>239</v>
      </c>
      <c r="CC868" s="1" t="s">
        <v>433</v>
      </c>
      <c r="CD868" s="1" t="s">
        <v>206</v>
      </c>
      <c r="CE868" s="1" t="s">
        <v>210</v>
      </c>
      <c r="CF868" s="1" t="s">
        <v>239</v>
      </c>
      <c r="CG868" s="1" t="s">
        <v>332</v>
      </c>
      <c r="CH868" s="1" t="s">
        <v>209</v>
      </c>
      <c r="CI868" s="1" t="s">
        <v>210</v>
      </c>
      <c r="CJ868" s="1" t="s">
        <v>239</v>
      </c>
      <c r="CK868" s="1" t="s">
        <v>497</v>
      </c>
      <c r="CL868" s="1" t="s">
        <v>209</v>
      </c>
      <c r="CM868" s="1" t="s">
        <v>210</v>
      </c>
      <c r="CN868" s="1" t="s">
        <v>239</v>
      </c>
      <c r="CO868" s="1" t="s">
        <v>729</v>
      </c>
      <c r="CP868" s="1" t="s">
        <v>209</v>
      </c>
      <c r="CQ868" s="1" t="s">
        <v>210</v>
      </c>
      <c r="CR868" s="1" t="s">
        <v>239</v>
      </c>
      <c r="CS868" s="1" t="s">
        <v>2181</v>
      </c>
      <c r="CT868" s="1" t="s">
        <v>206</v>
      </c>
      <c r="CU868" s="1" t="s">
        <v>1065</v>
      </c>
      <c r="CV868" s="1" t="s">
        <v>239</v>
      </c>
      <c r="CW868" s="1" t="s">
        <v>1535</v>
      </c>
      <c r="CX868" s="1" t="s">
        <v>206</v>
      </c>
      <c r="CY868" s="1" t="s">
        <v>207</v>
      </c>
      <c r="CZ868" s="1" t="s">
        <v>239</v>
      </c>
      <c r="DA868" s="1" t="s">
        <v>200</v>
      </c>
      <c r="DC868" s="1" t="s">
        <v>305</v>
      </c>
      <c r="DD868" s="1" t="s">
        <v>926</v>
      </c>
      <c r="DE868" s="1" t="s">
        <v>273</v>
      </c>
      <c r="DF868" s="1" t="s">
        <v>219</v>
      </c>
      <c r="DH868" s="1" t="s">
        <v>856</v>
      </c>
      <c r="DI868" s="1" t="s">
        <v>1141</v>
      </c>
      <c r="DJ868" s="1" t="s">
        <v>857</v>
      </c>
      <c r="DK868" s="1" t="s">
        <v>223</v>
      </c>
      <c r="DL868" s="1" t="s">
        <v>9985</v>
      </c>
      <c r="DM868" s="1" t="s">
        <v>338</v>
      </c>
      <c r="DO868" s="1" t="s">
        <v>9986</v>
      </c>
      <c r="DP868" s="1" t="s">
        <v>340</v>
      </c>
      <c r="DQ868" s="1" t="s">
        <v>860</v>
      </c>
      <c r="DR868" s="1" t="s">
        <v>229</v>
      </c>
      <c r="DS868" s="1" t="s">
        <v>230</v>
      </c>
      <c r="DU868" s="1" t="s">
        <v>8424</v>
      </c>
      <c r="DV868" s="1" t="s">
        <v>232</v>
      </c>
      <c r="DW868" s="1" t="s">
        <v>934</v>
      </c>
      <c r="DX868" s="1" t="s">
        <v>234</v>
      </c>
      <c r="DY868" s="1" t="s">
        <v>704</v>
      </c>
      <c r="DZ868" s="1" t="s">
        <v>8913</v>
      </c>
      <c r="EB868" s="1" t="s">
        <v>767</v>
      </c>
      <c r="EC868" s="1" t="s">
        <v>237</v>
      </c>
      <c r="ED868" s="1" t="s">
        <v>407</v>
      </c>
      <c r="EE868" s="1" t="s">
        <v>493</v>
      </c>
      <c r="EM868" s="1" t="s">
        <v>238</v>
      </c>
      <c r="EQ868" s="1" t="s">
        <v>238</v>
      </c>
      <c r="EU868" s="1" t="s">
        <v>238</v>
      </c>
      <c r="EY868" s="1" t="s">
        <v>238</v>
      </c>
      <c r="FC868" s="1" t="s">
        <v>238</v>
      </c>
      <c r="FF868" s="1" t="s">
        <v>239</v>
      </c>
      <c r="FG868" s="1" t="s">
        <v>192</v>
      </c>
      <c r="FH868" s="1" t="s">
        <v>192</v>
      </c>
      <c r="FJ868" s="1" t="s">
        <v>2262</v>
      </c>
      <c r="FK868" s="1" t="s">
        <v>348</v>
      </c>
      <c r="FL868" s="1" t="s">
        <v>5530</v>
      </c>
      <c r="FM868" s="1">
        <v>8079.0</v>
      </c>
      <c r="FN868" s="1" t="s">
        <v>5531</v>
      </c>
      <c r="FO868" s="1" t="s">
        <v>5532</v>
      </c>
      <c r="FP868" s="1">
        <v>920884.0</v>
      </c>
      <c r="FQ868" s="1" t="s">
        <v>5533</v>
      </c>
      <c r="FU868" s="1" t="s">
        <v>9987</v>
      </c>
      <c r="FV868" s="1" t="s">
        <v>200</v>
      </c>
      <c r="FW868" s="1" t="s">
        <v>290</v>
      </c>
      <c r="FZ868" s="1" t="s">
        <v>632</v>
      </c>
      <c r="GA868" s="1" t="s">
        <v>291</v>
      </c>
      <c r="GB868" s="2">
        <v>42145.0</v>
      </c>
    </row>
    <row r="869">
      <c r="A869" s="1">
        <v>349900.0</v>
      </c>
      <c r="B869" s="1" t="s">
        <v>185</v>
      </c>
      <c r="C869" s="1" t="str">
        <f>"08911066"</f>
        <v>08911066</v>
      </c>
      <c r="D869" s="1" t="s">
        <v>186</v>
      </c>
      <c r="F869" s="1" t="str">
        <f>"8009"</f>
        <v>8009</v>
      </c>
      <c r="G869" s="2">
        <v>42128.0</v>
      </c>
      <c r="H869" s="1">
        <v>349900.0</v>
      </c>
      <c r="I869" s="1">
        <v>1.0</v>
      </c>
      <c r="J869" s="1">
        <v>349900.0</v>
      </c>
      <c r="K869" s="2">
        <v>42128.0</v>
      </c>
      <c r="L869" s="1">
        <v>1.0</v>
      </c>
      <c r="M869" s="2">
        <v>42128.0</v>
      </c>
      <c r="N869" s="1" t="s">
        <v>187</v>
      </c>
      <c r="O869" s="2">
        <v>42130.0</v>
      </c>
      <c r="P869" s="1">
        <v>85441.0</v>
      </c>
      <c r="Q869" s="1">
        <v>8096.0</v>
      </c>
      <c r="S869" s="1">
        <v>6803.0</v>
      </c>
      <c r="T869" s="1" t="s">
        <v>9988</v>
      </c>
      <c r="U869" s="1" t="s">
        <v>189</v>
      </c>
      <c r="V869" s="1" t="s">
        <v>190</v>
      </c>
      <c r="W869" s="1">
        <v>60631.0</v>
      </c>
      <c r="Y869" s="1" t="s">
        <v>9989</v>
      </c>
      <c r="Z869" s="1" t="s">
        <v>296</v>
      </c>
      <c r="AA869" s="1" t="s">
        <v>192</v>
      </c>
      <c r="AB869" s="1" t="s">
        <v>193</v>
      </c>
      <c r="AC869" s="1" t="s">
        <v>9990</v>
      </c>
      <c r="AD869" s="1" t="s">
        <v>194</v>
      </c>
      <c r="AE869" s="1" t="s">
        <v>195</v>
      </c>
      <c r="AF869" s="1" t="s">
        <v>196</v>
      </c>
      <c r="AH869" s="1" t="s">
        <v>9991</v>
      </c>
      <c r="AI869" s="1">
        <v>0.1856</v>
      </c>
      <c r="AK869" s="1">
        <v>9.0</v>
      </c>
      <c r="AL869" s="1">
        <v>4.0</v>
      </c>
      <c r="AM869" s="1">
        <v>1.0</v>
      </c>
      <c r="AN869" s="1">
        <v>2.0</v>
      </c>
      <c r="AO869" s="1" t="s">
        <v>229</v>
      </c>
      <c r="AQ869" s="1" t="s">
        <v>198</v>
      </c>
      <c r="AR869" s="1" t="s">
        <v>192</v>
      </c>
      <c r="AS869" s="1" t="s">
        <v>199</v>
      </c>
      <c r="AT869" s="1">
        <v>2.0</v>
      </c>
      <c r="AV869" s="1" t="s">
        <v>200</v>
      </c>
      <c r="AW869" s="1">
        <v>5791.28</v>
      </c>
      <c r="AX869" s="1">
        <v>2013.0</v>
      </c>
      <c r="AZ869" s="1" t="s">
        <v>200</v>
      </c>
      <c r="BA869" s="1" t="str">
        <f>"09362250150000"</f>
        <v>09362250150000</v>
      </c>
      <c r="BC869" s="1">
        <v>0.0</v>
      </c>
      <c r="BD869" s="1">
        <v>349900.0</v>
      </c>
      <c r="BE869" s="2">
        <v>42128.0</v>
      </c>
      <c r="BF869" s="2" t="s">
        <v>9992</v>
      </c>
      <c r="BG869" s="1" t="s">
        <v>2632</v>
      </c>
      <c r="BH869" s="1">
        <v>0.0</v>
      </c>
      <c r="BI869" s="1" t="s">
        <v>2632</v>
      </c>
      <c r="BK869" s="1" t="s">
        <v>204</v>
      </c>
      <c r="BL869" s="1" t="str">
        <f>"3"</f>
        <v>3</v>
      </c>
      <c r="BM869" s="1" t="str">
        <f>"0"</f>
        <v>0</v>
      </c>
      <c r="BN869" s="1">
        <v>9.0</v>
      </c>
      <c r="BO869" s="1">
        <v>0.0</v>
      </c>
      <c r="BQ869" s="1">
        <v>299.0</v>
      </c>
      <c r="BR869" s="1">
        <v>299.0</v>
      </c>
      <c r="BS869" s="1">
        <v>299.0</v>
      </c>
      <c r="BU869" s="1" t="s">
        <v>758</v>
      </c>
      <c r="BV869" s="1" t="s">
        <v>206</v>
      </c>
      <c r="BY869" s="1" t="s">
        <v>329</v>
      </c>
      <c r="BZ869" s="1" t="s">
        <v>209</v>
      </c>
      <c r="CC869" s="1" t="s">
        <v>361</v>
      </c>
      <c r="CD869" s="1" t="s">
        <v>206</v>
      </c>
      <c r="CG869" s="1" t="s">
        <v>212</v>
      </c>
      <c r="CH869" s="1" t="s">
        <v>209</v>
      </c>
      <c r="CK869" s="1" t="s">
        <v>215</v>
      </c>
      <c r="CL869" s="1" t="s">
        <v>209</v>
      </c>
      <c r="CO869" s="1" t="s">
        <v>266</v>
      </c>
      <c r="CP869" s="1" t="s">
        <v>209</v>
      </c>
      <c r="CS869" s="1" t="s">
        <v>362</v>
      </c>
      <c r="CT869" s="1" t="s">
        <v>206</v>
      </c>
      <c r="CW869" s="1" t="s">
        <v>211</v>
      </c>
      <c r="CX869" s="1" t="s">
        <v>206</v>
      </c>
      <c r="DA869" s="1" t="s">
        <v>200</v>
      </c>
      <c r="DC869" s="1" t="s">
        <v>216</v>
      </c>
      <c r="DD869" s="1" t="s">
        <v>518</v>
      </c>
      <c r="DE869" s="1" t="s">
        <v>229</v>
      </c>
      <c r="DF869" s="1" t="s">
        <v>4891</v>
      </c>
      <c r="DG869" s="1" t="s">
        <v>8467</v>
      </c>
      <c r="DH869" s="1" t="s">
        <v>365</v>
      </c>
      <c r="DJ869" s="1" t="s">
        <v>222</v>
      </c>
      <c r="DK869" s="1" t="s">
        <v>1301</v>
      </c>
      <c r="DL869" s="1" t="s">
        <v>223</v>
      </c>
      <c r="DM869" s="1" t="s">
        <v>1658</v>
      </c>
      <c r="DO869" s="1" t="s">
        <v>1004</v>
      </c>
      <c r="DP869" s="1" t="s">
        <v>340</v>
      </c>
      <c r="DQ869" s="1" t="s">
        <v>228</v>
      </c>
      <c r="DR869" s="1" t="s">
        <v>229</v>
      </c>
      <c r="DV869" s="1" t="s">
        <v>9993</v>
      </c>
      <c r="DW869" s="1" t="s">
        <v>667</v>
      </c>
      <c r="DX869" s="1" t="s">
        <v>234</v>
      </c>
      <c r="DZ869" s="1" t="s">
        <v>1611</v>
      </c>
      <c r="EA869" s="1" t="s">
        <v>3112</v>
      </c>
      <c r="EC869" s="1" t="s">
        <v>237</v>
      </c>
      <c r="EG869" s="1" t="s">
        <v>494</v>
      </c>
      <c r="EH869" s="1" t="s">
        <v>1270</v>
      </c>
      <c r="EI869" s="1" t="s">
        <v>1103</v>
      </c>
      <c r="EJ869" s="1" t="s">
        <v>2129</v>
      </c>
      <c r="EL869" s="1" t="s">
        <v>211</v>
      </c>
      <c r="EM869" s="1" t="s">
        <v>206</v>
      </c>
      <c r="EP869" s="1" t="s">
        <v>215</v>
      </c>
      <c r="EQ869" s="1" t="s">
        <v>42</v>
      </c>
      <c r="ET869" s="1" t="s">
        <v>516</v>
      </c>
      <c r="EU869" s="1" t="s">
        <v>42</v>
      </c>
      <c r="EX869" s="1" t="s">
        <v>212</v>
      </c>
      <c r="EY869" s="1" t="s">
        <v>206</v>
      </c>
      <c r="FC869" s="1" t="s">
        <v>238</v>
      </c>
      <c r="FF869" s="1" t="s">
        <v>239</v>
      </c>
      <c r="FG869" s="1" t="s">
        <v>192</v>
      </c>
      <c r="FH869" s="1" t="s">
        <v>192</v>
      </c>
      <c r="FJ869" s="1" t="s">
        <v>9994</v>
      </c>
      <c r="FK869" s="1" t="s">
        <v>348</v>
      </c>
      <c r="FL869" s="1" t="s">
        <v>9995</v>
      </c>
      <c r="FM869" s="1">
        <v>8096.0</v>
      </c>
      <c r="FN869" s="1" t="s">
        <v>9996</v>
      </c>
      <c r="FO869" s="1" t="s">
        <v>9997</v>
      </c>
      <c r="FP869" s="1">
        <v>85441.0</v>
      </c>
      <c r="FQ869" s="1" t="s">
        <v>9998</v>
      </c>
      <c r="FU869" s="1" t="s">
        <v>9999</v>
      </c>
      <c r="FV869" s="1" t="s">
        <v>200</v>
      </c>
      <c r="FW869" s="1" t="s">
        <v>1411</v>
      </c>
      <c r="FX869" s="1" t="s">
        <v>238</v>
      </c>
      <c r="FZ869" s="1" t="s">
        <v>229</v>
      </c>
      <c r="GA869" s="1" t="s">
        <v>291</v>
      </c>
      <c r="GB869" s="2">
        <v>42130.0</v>
      </c>
    </row>
    <row r="870">
      <c r="A870" s="1">
        <v>85000.0</v>
      </c>
      <c r="B870" s="1" t="s">
        <v>185</v>
      </c>
      <c r="C870" s="1" t="str">
        <f>"08913638"</f>
        <v>08913638</v>
      </c>
      <c r="D870" s="1" t="s">
        <v>186</v>
      </c>
      <c r="F870" s="1" t="str">
        <f>"8052"</f>
        <v>8052</v>
      </c>
      <c r="G870" s="2">
        <v>42130.0</v>
      </c>
      <c r="H870" s="1">
        <v>89900.0</v>
      </c>
      <c r="I870" s="1">
        <v>255.0</v>
      </c>
      <c r="J870" s="1">
        <v>89900.0</v>
      </c>
      <c r="K870" s="2">
        <v>42130.0</v>
      </c>
      <c r="L870" s="1">
        <v>1.0</v>
      </c>
      <c r="M870" s="2">
        <v>42130.0</v>
      </c>
      <c r="N870" s="1" t="s">
        <v>356</v>
      </c>
      <c r="O870" s="2">
        <v>42144.0</v>
      </c>
      <c r="P870" s="1">
        <v>120584.0</v>
      </c>
      <c r="Q870" s="1">
        <v>85078.0</v>
      </c>
      <c r="S870" s="1">
        <v>10458.0</v>
      </c>
      <c r="T870" s="1" t="s">
        <v>10000</v>
      </c>
      <c r="V870" s="1" t="s">
        <v>190</v>
      </c>
      <c r="W870" s="1">
        <v>60617.0</v>
      </c>
      <c r="Y870" s="1" t="s">
        <v>10001</v>
      </c>
      <c r="Z870" s="1">
        <v>1941.0</v>
      </c>
      <c r="AA870" s="1" t="s">
        <v>192</v>
      </c>
      <c r="AB870" s="1" t="s">
        <v>193</v>
      </c>
      <c r="AD870" s="1" t="s">
        <v>194</v>
      </c>
      <c r="AE870" s="1" t="s">
        <v>195</v>
      </c>
      <c r="AF870" s="1" t="s">
        <v>1154</v>
      </c>
      <c r="AH870" s="1" t="s">
        <v>1501</v>
      </c>
      <c r="AI870" s="1">
        <v>0.0817</v>
      </c>
      <c r="AK870" s="1">
        <v>7.0</v>
      </c>
      <c r="AL870" s="1">
        <v>3.0</v>
      </c>
      <c r="AM870" s="1">
        <v>1.0</v>
      </c>
      <c r="AN870" s="1">
        <v>0.0</v>
      </c>
      <c r="AO870" s="1" t="s">
        <v>229</v>
      </c>
      <c r="AQ870" s="1" t="s">
        <v>198</v>
      </c>
      <c r="AR870" s="1" t="s">
        <v>200</v>
      </c>
      <c r="AS870" s="1" t="s">
        <v>199</v>
      </c>
      <c r="AT870" s="1">
        <v>2.0</v>
      </c>
      <c r="AV870" s="1" t="s">
        <v>200</v>
      </c>
      <c r="AW870" s="1">
        <v>1229.0</v>
      </c>
      <c r="AX870" s="1">
        <v>2012.0</v>
      </c>
      <c r="AY870" s="1" t="s">
        <v>387</v>
      </c>
      <c r="AZ870" s="1" t="s">
        <v>200</v>
      </c>
      <c r="BA870" s="1" t="str">
        <f>"26074050520000"</f>
        <v>26074050520000</v>
      </c>
      <c r="BB870" s="1" t="s">
        <v>200</v>
      </c>
      <c r="BC870" s="1">
        <v>822.0</v>
      </c>
      <c r="BD870" s="1">
        <v>85000.0</v>
      </c>
      <c r="BE870" s="2">
        <v>42130.0</v>
      </c>
      <c r="BF870" s="2" t="s">
        <v>10002</v>
      </c>
      <c r="BH870" s="1">
        <v>0.0</v>
      </c>
      <c r="BK870" s="1" t="s">
        <v>204</v>
      </c>
      <c r="BL870" s="1" t="str">
        <f>"0"</f>
        <v>0</v>
      </c>
      <c r="BM870" s="1" t="str">
        <f>"3500"</f>
        <v>3500</v>
      </c>
      <c r="BN870" s="1">
        <v>0.0</v>
      </c>
      <c r="BO870" s="1">
        <v>10400.0</v>
      </c>
      <c r="BQ870" s="1">
        <v>299.0</v>
      </c>
      <c r="BR870" s="1">
        <v>299.0</v>
      </c>
      <c r="BS870" s="1">
        <v>299.0</v>
      </c>
      <c r="BU870" s="1" t="s">
        <v>454</v>
      </c>
      <c r="BV870" s="1" t="s">
        <v>206</v>
      </c>
      <c r="BW870" s="1" t="s">
        <v>207</v>
      </c>
      <c r="BX870" s="1" t="s">
        <v>431</v>
      </c>
      <c r="BY870" s="1" t="s">
        <v>543</v>
      </c>
      <c r="BZ870" s="1" t="s">
        <v>206</v>
      </c>
      <c r="CA870" s="1" t="s">
        <v>207</v>
      </c>
      <c r="CB870" s="1" t="s">
        <v>431</v>
      </c>
      <c r="CC870" s="1" t="s">
        <v>516</v>
      </c>
      <c r="CD870" s="1" t="s">
        <v>206</v>
      </c>
      <c r="CE870" s="1" t="s">
        <v>617</v>
      </c>
      <c r="CG870" s="1" t="s">
        <v>543</v>
      </c>
      <c r="CH870" s="1" t="s">
        <v>206</v>
      </c>
      <c r="CI870" s="1" t="s">
        <v>207</v>
      </c>
      <c r="CJ870" s="1" t="s">
        <v>431</v>
      </c>
      <c r="CK870" s="1" t="s">
        <v>516</v>
      </c>
      <c r="CL870" s="1" t="s">
        <v>206</v>
      </c>
      <c r="CM870" s="1" t="s">
        <v>207</v>
      </c>
      <c r="CN870" s="1" t="s">
        <v>431</v>
      </c>
      <c r="CO870" s="1" t="s">
        <v>215</v>
      </c>
      <c r="CP870" s="1" t="s">
        <v>42</v>
      </c>
      <c r="CS870" s="1" t="s">
        <v>516</v>
      </c>
      <c r="CT870" s="1" t="s">
        <v>206</v>
      </c>
      <c r="CU870" s="1" t="s">
        <v>617</v>
      </c>
      <c r="CX870" s="1" t="s">
        <v>204</v>
      </c>
      <c r="DA870" s="1" t="s">
        <v>200</v>
      </c>
      <c r="DC870" s="1" t="s">
        <v>1399</v>
      </c>
      <c r="DE870" s="1" t="s">
        <v>273</v>
      </c>
      <c r="DF870" s="1" t="s">
        <v>219</v>
      </c>
      <c r="DH870" s="1" t="s">
        <v>307</v>
      </c>
      <c r="DI870" s="1" t="s">
        <v>831</v>
      </c>
      <c r="DJ870" s="1" t="s">
        <v>222</v>
      </c>
      <c r="DL870" s="1" t="s">
        <v>858</v>
      </c>
      <c r="DM870" s="1" t="s">
        <v>229</v>
      </c>
      <c r="DO870" s="1" t="s">
        <v>549</v>
      </c>
      <c r="DP870" s="1" t="s">
        <v>340</v>
      </c>
      <c r="DQ870" s="1" t="s">
        <v>794</v>
      </c>
      <c r="DR870" s="1" t="s">
        <v>229</v>
      </c>
      <c r="DU870" s="1" t="s">
        <v>2070</v>
      </c>
      <c r="DV870" s="1" t="s">
        <v>232</v>
      </c>
      <c r="DW870" s="1" t="s">
        <v>279</v>
      </c>
      <c r="DX870" s="1" t="s">
        <v>3205</v>
      </c>
      <c r="DY870" s="1" t="s">
        <v>2240</v>
      </c>
      <c r="DZ870" s="1" t="s">
        <v>9128</v>
      </c>
      <c r="EA870" s="1" t="s">
        <v>2099</v>
      </c>
      <c r="EC870" s="1" t="s">
        <v>685</v>
      </c>
      <c r="ED870" s="1" t="s">
        <v>555</v>
      </c>
      <c r="EM870" s="1" t="s">
        <v>238</v>
      </c>
      <c r="EQ870" s="1" t="s">
        <v>238</v>
      </c>
      <c r="EU870" s="1" t="s">
        <v>238</v>
      </c>
      <c r="EY870" s="1" t="s">
        <v>238</v>
      </c>
      <c r="FC870" s="1" t="s">
        <v>238</v>
      </c>
      <c r="FF870" s="1" t="s">
        <v>239</v>
      </c>
      <c r="FG870" s="1" t="s">
        <v>192</v>
      </c>
      <c r="FH870" s="1" t="s">
        <v>192</v>
      </c>
      <c r="FJ870" s="1" t="s">
        <v>1123</v>
      </c>
      <c r="FK870" s="1" t="s">
        <v>229</v>
      </c>
      <c r="FL870" s="1" t="s">
        <v>10003</v>
      </c>
      <c r="FM870" s="1">
        <v>60214.0</v>
      </c>
      <c r="FN870" s="1" t="s">
        <v>10004</v>
      </c>
      <c r="FO870" s="1" t="s">
        <v>10005</v>
      </c>
      <c r="FP870" s="1">
        <v>601379.0</v>
      </c>
      <c r="FQ870" s="1" t="s">
        <v>10006</v>
      </c>
      <c r="FS870" s="1" t="s">
        <v>10007</v>
      </c>
      <c r="FU870" s="1" t="s">
        <v>10008</v>
      </c>
      <c r="FV870" s="1" t="s">
        <v>200</v>
      </c>
      <c r="FW870" s="1" t="s">
        <v>567</v>
      </c>
      <c r="FX870" s="1" t="s">
        <v>655</v>
      </c>
      <c r="FZ870" s="1" t="s">
        <v>229</v>
      </c>
      <c r="GA870" s="1" t="s">
        <v>291</v>
      </c>
      <c r="GB870" s="2">
        <v>42144.0</v>
      </c>
      <c r="GC870" s="1" t="s">
        <v>10008</v>
      </c>
    </row>
    <row r="871">
      <c r="A871" s="1">
        <v>243000.0</v>
      </c>
      <c r="B871" s="1" t="s">
        <v>185</v>
      </c>
      <c r="C871" s="1" t="str">
        <f>"08715703"</f>
        <v>08715703</v>
      </c>
      <c r="D871" s="1" t="s">
        <v>186</v>
      </c>
      <c r="F871" s="1" t="str">
        <f>"123"</f>
        <v>123</v>
      </c>
      <c r="G871" s="2">
        <v>41883.0</v>
      </c>
      <c r="H871" s="1">
        <v>254900.0</v>
      </c>
      <c r="I871" s="1">
        <v>176.0</v>
      </c>
      <c r="J871" s="1">
        <v>246500.0</v>
      </c>
      <c r="K871" s="2">
        <v>42058.0</v>
      </c>
      <c r="L871" s="1">
        <v>176.0</v>
      </c>
      <c r="M871" s="2">
        <v>42058.0</v>
      </c>
      <c r="N871" s="1" t="s">
        <v>187</v>
      </c>
      <c r="O871" s="2">
        <v>42103.0</v>
      </c>
      <c r="P871" s="1">
        <v>1130.0</v>
      </c>
      <c r="Q871" s="1">
        <v>604.0</v>
      </c>
      <c r="R871" s="1">
        <v>4860.0</v>
      </c>
      <c r="S871" s="1">
        <v>2280.0</v>
      </c>
      <c r="T871" s="1" t="s">
        <v>10009</v>
      </c>
      <c r="U871" s="1" t="s">
        <v>569</v>
      </c>
      <c r="V871" s="1" t="s">
        <v>465</v>
      </c>
      <c r="W871" s="1">
        <v>60123.0</v>
      </c>
      <c r="Y871" s="1" t="s">
        <v>10010</v>
      </c>
      <c r="Z871" s="1">
        <v>1974.0</v>
      </c>
      <c r="AA871" s="1" t="s">
        <v>192</v>
      </c>
      <c r="AB871" s="1" t="s">
        <v>193</v>
      </c>
      <c r="AC871" s="1" t="s">
        <v>10011</v>
      </c>
      <c r="AD871" s="1" t="s">
        <v>469</v>
      </c>
      <c r="AE871" s="1" t="s">
        <v>325</v>
      </c>
      <c r="AF871" s="1" t="s">
        <v>469</v>
      </c>
      <c r="AH871" s="1" t="s">
        <v>10012</v>
      </c>
      <c r="AK871" s="1">
        <v>8.0</v>
      </c>
      <c r="AL871" s="1">
        <v>4.0</v>
      </c>
      <c r="AM871" s="1">
        <v>3.0</v>
      </c>
      <c r="AN871" s="1">
        <v>0.0</v>
      </c>
      <c r="AO871" s="1" t="s">
        <v>198</v>
      </c>
      <c r="AP871" s="1">
        <v>2.0</v>
      </c>
      <c r="AQ871" s="1" t="s">
        <v>472</v>
      </c>
      <c r="AR871" s="1" t="s">
        <v>192</v>
      </c>
      <c r="AS871" s="1" t="s">
        <v>199</v>
      </c>
      <c r="AT871" s="1">
        <v>2.5</v>
      </c>
      <c r="AV871" s="1" t="s">
        <v>200</v>
      </c>
      <c r="AW871" s="1">
        <v>5928.0</v>
      </c>
      <c r="AX871" s="1">
        <v>2013.0</v>
      </c>
      <c r="AY871" s="1" t="s">
        <v>1179</v>
      </c>
      <c r="AZ871" s="1" t="s">
        <v>200</v>
      </c>
      <c r="BA871" s="1" t="str">
        <f>"0616178008"</f>
        <v>0616178008</v>
      </c>
      <c r="BB871" s="1" t="s">
        <v>200</v>
      </c>
      <c r="BC871" s="1">
        <v>3500.0</v>
      </c>
      <c r="BD871" s="1">
        <v>243000.0</v>
      </c>
      <c r="BE871" s="2">
        <v>41883.0</v>
      </c>
      <c r="BF871" s="2" t="s">
        <v>10013</v>
      </c>
      <c r="BH871" s="1">
        <v>0.0</v>
      </c>
      <c r="BK871" s="1" t="s">
        <v>204</v>
      </c>
      <c r="BL871" s="1" t="str">
        <f>"12"</f>
        <v>12</v>
      </c>
      <c r="BM871" s="1" t="str">
        <f>"0"</f>
        <v>0</v>
      </c>
      <c r="BN871" s="1">
        <v>36.0</v>
      </c>
      <c r="BO871" s="1">
        <v>0.0</v>
      </c>
      <c r="BQ871" s="1">
        <v>46.0</v>
      </c>
      <c r="BR871" s="1">
        <v>46.0</v>
      </c>
      <c r="BS871" s="1">
        <v>46.0</v>
      </c>
      <c r="BU871" s="1" t="s">
        <v>1809</v>
      </c>
      <c r="BV871" s="1" t="s">
        <v>206</v>
      </c>
      <c r="BW871" s="1" t="s">
        <v>210</v>
      </c>
      <c r="BX871" s="1" t="s">
        <v>239</v>
      </c>
      <c r="BY871" s="1" t="s">
        <v>2365</v>
      </c>
      <c r="BZ871" s="1" t="s">
        <v>206</v>
      </c>
      <c r="CA871" s="1" t="s">
        <v>210</v>
      </c>
      <c r="CB871" s="1" t="s">
        <v>239</v>
      </c>
      <c r="CC871" s="1" t="s">
        <v>454</v>
      </c>
      <c r="CD871" s="1" t="s">
        <v>206</v>
      </c>
      <c r="CE871" s="1" t="s">
        <v>210</v>
      </c>
      <c r="CF871" s="1" t="s">
        <v>239</v>
      </c>
      <c r="CG871" s="1" t="s">
        <v>332</v>
      </c>
      <c r="CH871" s="1" t="s">
        <v>206</v>
      </c>
      <c r="CI871" s="1" t="s">
        <v>210</v>
      </c>
      <c r="CJ871" s="1" t="s">
        <v>239</v>
      </c>
      <c r="CK871" s="1" t="s">
        <v>584</v>
      </c>
      <c r="CL871" s="1" t="s">
        <v>267</v>
      </c>
      <c r="CM871" s="1" t="s">
        <v>210</v>
      </c>
      <c r="CN871" s="1" t="s">
        <v>239</v>
      </c>
      <c r="CO871" s="1" t="s">
        <v>743</v>
      </c>
      <c r="CP871" s="1" t="s">
        <v>267</v>
      </c>
      <c r="CQ871" s="1" t="s">
        <v>210</v>
      </c>
      <c r="CR871" s="1" t="s">
        <v>239</v>
      </c>
      <c r="CS871" s="1" t="s">
        <v>454</v>
      </c>
      <c r="CT871" s="1" t="s">
        <v>206</v>
      </c>
      <c r="CU871" s="1" t="s">
        <v>268</v>
      </c>
      <c r="CV871" s="1" t="s">
        <v>239</v>
      </c>
      <c r="CW871" s="1" t="s">
        <v>9408</v>
      </c>
      <c r="CX871" s="1" t="s">
        <v>267</v>
      </c>
      <c r="CY871" s="1" t="s">
        <v>210</v>
      </c>
      <c r="CZ871" s="1" t="s">
        <v>239</v>
      </c>
      <c r="DA871" s="1" t="s">
        <v>200</v>
      </c>
      <c r="DC871" s="1" t="s">
        <v>517</v>
      </c>
      <c r="DD871" s="1" t="s">
        <v>436</v>
      </c>
      <c r="DE871" s="1" t="s">
        <v>1810</v>
      </c>
      <c r="DF871" s="1" t="s">
        <v>10014</v>
      </c>
      <c r="DG871" s="1" t="s">
        <v>337</v>
      </c>
      <c r="DH871" s="1" t="s">
        <v>220</v>
      </c>
      <c r="DI871" s="1" t="s">
        <v>1047</v>
      </c>
      <c r="DJ871" s="1" t="s">
        <v>222</v>
      </c>
      <c r="DK871" s="1" t="s">
        <v>1555</v>
      </c>
      <c r="DL871" s="1" t="s">
        <v>224</v>
      </c>
      <c r="DM871" s="1" t="s">
        <v>338</v>
      </c>
      <c r="DN871" s="1" t="s">
        <v>485</v>
      </c>
      <c r="DO871" s="1" t="s">
        <v>4060</v>
      </c>
      <c r="DP871" s="1" t="s">
        <v>276</v>
      </c>
      <c r="DQ871" s="1" t="s">
        <v>441</v>
      </c>
      <c r="DR871" s="1" t="s">
        <v>229</v>
      </c>
      <c r="DS871" s="1" t="s">
        <v>368</v>
      </c>
      <c r="DU871" s="1" t="s">
        <v>9530</v>
      </c>
      <c r="DV871" s="1" t="s">
        <v>10015</v>
      </c>
      <c r="DW871" s="1" t="s">
        <v>764</v>
      </c>
      <c r="DX871" s="1" t="s">
        <v>234</v>
      </c>
      <c r="DY871" s="1" t="s">
        <v>10016</v>
      </c>
      <c r="DZ871" s="1" t="s">
        <v>10017</v>
      </c>
      <c r="EA871" s="1" t="s">
        <v>1027</v>
      </c>
      <c r="EB871" s="1" t="s">
        <v>10018</v>
      </c>
      <c r="EC871" s="1" t="s">
        <v>237</v>
      </c>
      <c r="ED871" s="1" t="s">
        <v>1406</v>
      </c>
      <c r="EE871" s="1" t="s">
        <v>493</v>
      </c>
      <c r="EG871" s="1" t="s">
        <v>2129</v>
      </c>
      <c r="EH871" s="1" t="s">
        <v>1102</v>
      </c>
      <c r="EI871" s="1" t="s">
        <v>408</v>
      </c>
      <c r="EL871" s="1" t="s">
        <v>4399</v>
      </c>
      <c r="EM871" s="1" t="s">
        <v>206</v>
      </c>
      <c r="EN871" s="1" t="s">
        <v>210</v>
      </c>
      <c r="EO871" s="1" t="s">
        <v>229</v>
      </c>
      <c r="EP871" s="1" t="s">
        <v>2273</v>
      </c>
      <c r="EQ871" s="1" t="s">
        <v>206</v>
      </c>
      <c r="ER871" s="1" t="s">
        <v>210</v>
      </c>
      <c r="ES871" s="1" t="s">
        <v>239</v>
      </c>
      <c r="ET871" s="1" t="s">
        <v>264</v>
      </c>
      <c r="EU871" s="1" t="s">
        <v>206</v>
      </c>
      <c r="EV871" s="1" t="s">
        <v>207</v>
      </c>
      <c r="EW871" s="1" t="s">
        <v>229</v>
      </c>
      <c r="EY871" s="1" t="s">
        <v>238</v>
      </c>
      <c r="FC871" s="1" t="s">
        <v>238</v>
      </c>
      <c r="FF871" s="1" t="s">
        <v>239</v>
      </c>
      <c r="FG871" s="1" t="s">
        <v>192</v>
      </c>
      <c r="FH871" s="1" t="s">
        <v>192</v>
      </c>
      <c r="FJ871" s="1" t="s">
        <v>524</v>
      </c>
      <c r="FK871" s="1" t="s">
        <v>348</v>
      </c>
      <c r="FL871" s="1" t="s">
        <v>625</v>
      </c>
      <c r="FM871" s="1">
        <v>37.0</v>
      </c>
      <c r="FN871" s="1" t="s">
        <v>626</v>
      </c>
      <c r="FO871" s="1" t="s">
        <v>10019</v>
      </c>
      <c r="FP871" s="1">
        <v>70111.0</v>
      </c>
      <c r="FQ871" s="1" t="s">
        <v>10020</v>
      </c>
      <c r="FR871" s="1">
        <v>77278.0</v>
      </c>
      <c r="FU871" s="1" t="s">
        <v>10021</v>
      </c>
      <c r="FV871" s="1" t="s">
        <v>192</v>
      </c>
      <c r="FW871" s="1" t="s">
        <v>290</v>
      </c>
      <c r="FZ871" s="1" t="s">
        <v>229</v>
      </c>
      <c r="GA871" s="1" t="s">
        <v>291</v>
      </c>
      <c r="GB871" s="2">
        <v>42103.0</v>
      </c>
      <c r="GC871" s="1" t="s">
        <v>10022</v>
      </c>
    </row>
    <row r="872">
      <c r="A872" s="1">
        <v>215000.0</v>
      </c>
      <c r="B872" s="1" t="s">
        <v>185</v>
      </c>
      <c r="C872" s="1" t="str">
        <f>"08600485"</f>
        <v>08600485</v>
      </c>
      <c r="D872" s="1" t="s">
        <v>186</v>
      </c>
      <c r="F872" s="1" t="str">
        <f>"510"</f>
        <v>510</v>
      </c>
      <c r="G872" s="2">
        <v>41759.0</v>
      </c>
      <c r="H872" s="1">
        <v>305000.0</v>
      </c>
      <c r="I872" s="1">
        <v>216.0</v>
      </c>
      <c r="J872" s="1">
        <v>250000.0</v>
      </c>
      <c r="K872" s="2">
        <v>41974.0</v>
      </c>
      <c r="L872" s="1">
        <v>216.0</v>
      </c>
      <c r="M872" s="2">
        <v>41974.0</v>
      </c>
      <c r="N872" s="1" t="s">
        <v>249</v>
      </c>
      <c r="O872" s="2">
        <v>42017.0</v>
      </c>
      <c r="P872" s="1">
        <v>89799.0</v>
      </c>
      <c r="Q872" s="1">
        <v>8055.0</v>
      </c>
      <c r="S872" s="1">
        <v>1321.0</v>
      </c>
      <c r="T872" s="1" t="s">
        <v>4602</v>
      </c>
      <c r="U872" s="1" t="s">
        <v>320</v>
      </c>
      <c r="V872" s="1" t="s">
        <v>2700</v>
      </c>
      <c r="W872" s="1">
        <v>60510.0</v>
      </c>
      <c r="Y872" s="1" t="s">
        <v>10023</v>
      </c>
      <c r="Z872" s="1">
        <v>1974.0</v>
      </c>
      <c r="AA872" s="1" t="s">
        <v>192</v>
      </c>
      <c r="AB872" s="1" t="s">
        <v>193</v>
      </c>
      <c r="AC872" s="1" t="s">
        <v>8867</v>
      </c>
      <c r="AD872" s="1" t="s">
        <v>2702</v>
      </c>
      <c r="AE872" s="1" t="s">
        <v>325</v>
      </c>
      <c r="AF872" s="1" t="s">
        <v>2702</v>
      </c>
      <c r="AH872" s="1" t="s">
        <v>10024</v>
      </c>
      <c r="AK872" s="1">
        <v>9.0</v>
      </c>
      <c r="AL872" s="1">
        <v>4.0</v>
      </c>
      <c r="AM872" s="1">
        <v>2.0</v>
      </c>
      <c r="AN872" s="1">
        <v>1.0</v>
      </c>
      <c r="AO872" s="1" t="s">
        <v>198</v>
      </c>
      <c r="AP872" s="1">
        <v>1.0</v>
      </c>
      <c r="AQ872" s="1" t="s">
        <v>198</v>
      </c>
      <c r="AR872" s="1" t="s">
        <v>200</v>
      </c>
      <c r="AS872" s="1" t="s">
        <v>199</v>
      </c>
      <c r="AT872" s="1">
        <v>3.0</v>
      </c>
      <c r="AV872" s="1" t="s">
        <v>200</v>
      </c>
      <c r="AW872" s="1">
        <v>8369.22</v>
      </c>
      <c r="AX872" s="1">
        <v>2013.0</v>
      </c>
      <c r="AY872" s="1" t="s">
        <v>387</v>
      </c>
      <c r="AZ872" s="1" t="s">
        <v>200</v>
      </c>
      <c r="BA872" s="1" t="str">
        <f>"1224352021"</f>
        <v>1224352021</v>
      </c>
      <c r="BC872" s="1">
        <v>2256.0</v>
      </c>
      <c r="BD872" s="1">
        <v>215000.0</v>
      </c>
      <c r="BE872" s="2">
        <v>41759.0</v>
      </c>
      <c r="BF872" s="2" t="s">
        <v>10025</v>
      </c>
      <c r="BH872" s="1">
        <v>0.0</v>
      </c>
      <c r="BK872" s="1" t="s">
        <v>204</v>
      </c>
      <c r="BL872" s="1" t="str">
        <f t="shared" ref="BL872:BM872" si="567">""</f>
        <v/>
      </c>
      <c r="BM872" s="1" t="str">
        <f t="shared" si="567"/>
        <v/>
      </c>
      <c r="BQ872" s="1">
        <v>101.0</v>
      </c>
      <c r="BR872" s="1">
        <v>101.0</v>
      </c>
      <c r="BS872" s="1">
        <v>101.0</v>
      </c>
      <c r="BU872" s="1" t="s">
        <v>1000</v>
      </c>
      <c r="BV872" s="1" t="s">
        <v>206</v>
      </c>
      <c r="BW872" s="1" t="s">
        <v>210</v>
      </c>
      <c r="BX872" s="1" t="s">
        <v>1549</v>
      </c>
      <c r="BY872" s="1" t="s">
        <v>211</v>
      </c>
      <c r="BZ872" s="1" t="s">
        <v>209</v>
      </c>
      <c r="CA872" s="1" t="s">
        <v>210</v>
      </c>
      <c r="CB872" s="1" t="s">
        <v>261</v>
      </c>
      <c r="CC872" s="1" t="s">
        <v>363</v>
      </c>
      <c r="CD872" s="1" t="s">
        <v>206</v>
      </c>
      <c r="CE872" s="1" t="s">
        <v>210</v>
      </c>
      <c r="CF872" s="1" t="s">
        <v>1549</v>
      </c>
      <c r="CG872" s="1" t="s">
        <v>582</v>
      </c>
      <c r="CH872" s="1" t="s">
        <v>209</v>
      </c>
      <c r="CI872" s="1" t="s">
        <v>210</v>
      </c>
      <c r="CJ872" s="1" t="s">
        <v>261</v>
      </c>
      <c r="CK872" s="1" t="s">
        <v>497</v>
      </c>
      <c r="CL872" s="1" t="s">
        <v>209</v>
      </c>
      <c r="CM872" s="1" t="s">
        <v>210</v>
      </c>
      <c r="CN872" s="1" t="s">
        <v>261</v>
      </c>
      <c r="CO872" s="1" t="s">
        <v>331</v>
      </c>
      <c r="CP872" s="1" t="s">
        <v>209</v>
      </c>
      <c r="CQ872" s="1" t="s">
        <v>210</v>
      </c>
      <c r="CR872" s="1" t="s">
        <v>431</v>
      </c>
      <c r="CS872" s="1" t="s">
        <v>9108</v>
      </c>
      <c r="CT872" s="1" t="s">
        <v>206</v>
      </c>
      <c r="CU872" s="1" t="s">
        <v>207</v>
      </c>
      <c r="CV872" s="1" t="s">
        <v>1549</v>
      </c>
      <c r="CW872" s="1" t="s">
        <v>1117</v>
      </c>
      <c r="CX872" s="1" t="s">
        <v>206</v>
      </c>
      <c r="CY872" s="1" t="s">
        <v>207</v>
      </c>
      <c r="CZ872" s="1" t="s">
        <v>229</v>
      </c>
      <c r="DA872" s="1" t="s">
        <v>200</v>
      </c>
      <c r="DC872" s="1" t="s">
        <v>395</v>
      </c>
      <c r="DD872" s="1" t="s">
        <v>396</v>
      </c>
      <c r="DE872" s="1" t="s">
        <v>273</v>
      </c>
      <c r="DF872" s="1" t="s">
        <v>219</v>
      </c>
      <c r="DG872" s="1" t="s">
        <v>2747</v>
      </c>
      <c r="DH872" s="1" t="s">
        <v>220</v>
      </c>
      <c r="DI872" s="1" t="s">
        <v>221</v>
      </c>
      <c r="DJ872" s="1" t="s">
        <v>222</v>
      </c>
      <c r="DL872" s="1" t="s">
        <v>858</v>
      </c>
      <c r="DM872" s="1" t="s">
        <v>338</v>
      </c>
      <c r="DP872" s="1" t="s">
        <v>340</v>
      </c>
      <c r="DQ872" s="1" t="s">
        <v>441</v>
      </c>
      <c r="DR872" s="1" t="s">
        <v>229</v>
      </c>
      <c r="DU872" s="1" t="s">
        <v>3890</v>
      </c>
      <c r="DV872" s="1" t="s">
        <v>598</v>
      </c>
      <c r="DW872" s="1" t="s">
        <v>2602</v>
      </c>
      <c r="DX872" s="1" t="s">
        <v>234</v>
      </c>
      <c r="DY872" s="1" t="s">
        <v>935</v>
      </c>
      <c r="DZ872" s="1" t="s">
        <v>766</v>
      </c>
      <c r="EA872" s="1" t="s">
        <v>447</v>
      </c>
      <c r="EB872" s="1" t="s">
        <v>492</v>
      </c>
      <c r="EC872" s="1" t="s">
        <v>237</v>
      </c>
      <c r="ED872" s="1" t="s">
        <v>407</v>
      </c>
      <c r="EG872" s="1" t="s">
        <v>598</v>
      </c>
      <c r="EL872" s="1" t="s">
        <v>212</v>
      </c>
      <c r="EM872" s="1" t="s">
        <v>206</v>
      </c>
      <c r="EN872" s="1" t="s">
        <v>207</v>
      </c>
      <c r="EO872" s="1" t="s">
        <v>431</v>
      </c>
      <c r="EQ872" s="1" t="s">
        <v>238</v>
      </c>
      <c r="EU872" s="1" t="s">
        <v>238</v>
      </c>
      <c r="EY872" s="1" t="s">
        <v>238</v>
      </c>
      <c r="FC872" s="1" t="s">
        <v>238</v>
      </c>
      <c r="FF872" s="1" t="s">
        <v>239</v>
      </c>
      <c r="FG872" s="1" t="s">
        <v>192</v>
      </c>
      <c r="FH872" s="1" t="s">
        <v>192</v>
      </c>
      <c r="FJ872" s="1" t="s">
        <v>2206</v>
      </c>
      <c r="FK872" s="1" t="s">
        <v>229</v>
      </c>
      <c r="FL872" s="1" t="s">
        <v>1212</v>
      </c>
      <c r="FM872" s="1">
        <v>30.0</v>
      </c>
      <c r="FN872" s="1" t="s">
        <v>1213</v>
      </c>
      <c r="FO872" s="1" t="s">
        <v>10026</v>
      </c>
      <c r="FP872" s="1">
        <v>7679.0</v>
      </c>
      <c r="FQ872" s="1" t="s">
        <v>10027</v>
      </c>
      <c r="FU872" s="1" t="s">
        <v>10028</v>
      </c>
      <c r="FV872" s="1" t="s">
        <v>200</v>
      </c>
      <c r="FW872" s="1" t="s">
        <v>290</v>
      </c>
      <c r="FZ872" s="1" t="s">
        <v>229</v>
      </c>
      <c r="GA872" s="1" t="s">
        <v>291</v>
      </c>
      <c r="GB872" s="2">
        <v>42017.0</v>
      </c>
      <c r="GC872" s="1" t="s">
        <v>10029</v>
      </c>
    </row>
    <row r="873">
      <c r="A873" s="1">
        <v>315000.0</v>
      </c>
      <c r="B873" s="1" t="s">
        <v>185</v>
      </c>
      <c r="C873" s="1" t="str">
        <f>"08527852"</f>
        <v>08527852</v>
      </c>
      <c r="D873" s="1" t="s">
        <v>186</v>
      </c>
      <c r="F873" s="1" t="str">
        <f>"542"</f>
        <v>542</v>
      </c>
      <c r="G873" s="2">
        <v>41671.0</v>
      </c>
      <c r="H873" s="1">
        <v>334900.0</v>
      </c>
      <c r="I873" s="1">
        <v>402.0</v>
      </c>
      <c r="J873" s="1">
        <v>299900.0</v>
      </c>
      <c r="K873" s="2">
        <v>41892.0</v>
      </c>
      <c r="L873" s="1">
        <v>222.0</v>
      </c>
      <c r="M873" s="2">
        <v>41892.0</v>
      </c>
      <c r="N873" s="1" t="s">
        <v>187</v>
      </c>
      <c r="O873" s="2">
        <v>42048.0</v>
      </c>
      <c r="P873" s="1">
        <v>223816.0</v>
      </c>
      <c r="Q873" s="1">
        <v>23156.0</v>
      </c>
      <c r="S873" s="1">
        <v>1641.0</v>
      </c>
      <c r="T873" s="1" t="s">
        <v>10030</v>
      </c>
      <c r="U873" s="1" t="s">
        <v>464</v>
      </c>
      <c r="V873" s="1" t="s">
        <v>3984</v>
      </c>
      <c r="W873" s="1">
        <v>60542.0</v>
      </c>
      <c r="Y873" s="1" t="s">
        <v>10031</v>
      </c>
      <c r="Z873" s="1">
        <v>2005.0</v>
      </c>
      <c r="AA873" s="1" t="s">
        <v>200</v>
      </c>
      <c r="AB873" s="1" t="s">
        <v>467</v>
      </c>
      <c r="AC873" s="1" t="s">
        <v>10032</v>
      </c>
      <c r="AD873" s="1" t="s">
        <v>3986</v>
      </c>
      <c r="AE873" s="1" t="s">
        <v>325</v>
      </c>
      <c r="AF873" s="1" t="s">
        <v>2702</v>
      </c>
      <c r="AG873" s="1" t="s">
        <v>10033</v>
      </c>
      <c r="AH873" s="1" t="s">
        <v>9479</v>
      </c>
      <c r="AI873" s="1">
        <v>0.25</v>
      </c>
      <c r="AK873" s="1">
        <v>10.0</v>
      </c>
      <c r="AL873" s="1">
        <v>4.0</v>
      </c>
      <c r="AM873" s="1">
        <v>3.0</v>
      </c>
      <c r="AN873" s="1">
        <v>1.0</v>
      </c>
      <c r="AO873" s="1" t="s">
        <v>198</v>
      </c>
      <c r="AP873" s="1">
        <v>1.0</v>
      </c>
      <c r="AQ873" s="1" t="s">
        <v>198</v>
      </c>
      <c r="AR873" s="1" t="s">
        <v>200</v>
      </c>
      <c r="AS873" s="1" t="s">
        <v>199</v>
      </c>
      <c r="AT873" s="1">
        <v>3.0</v>
      </c>
      <c r="AV873" s="1" t="s">
        <v>200</v>
      </c>
      <c r="AW873" s="1">
        <v>10986.0</v>
      </c>
      <c r="AX873" s="1">
        <v>2012.0</v>
      </c>
      <c r="AY873" s="1" t="s">
        <v>387</v>
      </c>
      <c r="AZ873" s="1" t="s">
        <v>200</v>
      </c>
      <c r="BA873" s="1" t="str">
        <f>"1231403010"</f>
        <v>1231403010</v>
      </c>
      <c r="BB873" s="1" t="s">
        <v>200</v>
      </c>
      <c r="BC873" s="1">
        <v>0.0</v>
      </c>
      <c r="BD873" s="1">
        <v>315000.0</v>
      </c>
      <c r="BE873" s="2">
        <v>41671.0</v>
      </c>
      <c r="BF873" s="2" t="s">
        <v>10034</v>
      </c>
      <c r="BH873" s="1">
        <v>300.0</v>
      </c>
      <c r="BK873" s="1" t="s">
        <v>580</v>
      </c>
      <c r="BL873" s="1" t="str">
        <f t="shared" ref="BL873:BM873" si="568">"0"</f>
        <v>0</v>
      </c>
      <c r="BM873" s="1" t="str">
        <f t="shared" si="568"/>
        <v>0</v>
      </c>
      <c r="BN873" s="1">
        <v>38.0</v>
      </c>
      <c r="BO873" s="1">
        <v>4.0</v>
      </c>
      <c r="BQ873" s="1">
        <v>129.0</v>
      </c>
      <c r="BR873" s="1">
        <v>129.0</v>
      </c>
      <c r="BS873" s="1">
        <v>129.0</v>
      </c>
      <c r="BU873" s="1" t="s">
        <v>332</v>
      </c>
      <c r="BV873" s="1" t="s">
        <v>206</v>
      </c>
      <c r="BW873" s="1" t="s">
        <v>210</v>
      </c>
      <c r="BX873" s="1" t="s">
        <v>229</v>
      </c>
      <c r="BY873" s="1" t="s">
        <v>1892</v>
      </c>
      <c r="BZ873" s="1" t="s">
        <v>209</v>
      </c>
      <c r="CA873" s="1" t="s">
        <v>210</v>
      </c>
      <c r="CB873" s="1" t="s">
        <v>229</v>
      </c>
      <c r="CC873" s="1" t="s">
        <v>212</v>
      </c>
      <c r="CD873" s="1" t="s">
        <v>206</v>
      </c>
      <c r="CE873" s="1" t="s">
        <v>210</v>
      </c>
      <c r="CF873" s="1" t="s">
        <v>229</v>
      </c>
      <c r="CG873" s="1" t="s">
        <v>332</v>
      </c>
      <c r="CH873" s="1" t="s">
        <v>209</v>
      </c>
      <c r="CI873" s="1" t="s">
        <v>210</v>
      </c>
      <c r="CJ873" s="1" t="s">
        <v>229</v>
      </c>
      <c r="CK873" s="1" t="s">
        <v>331</v>
      </c>
      <c r="CL873" s="1" t="s">
        <v>209</v>
      </c>
      <c r="CM873" s="1" t="s">
        <v>210</v>
      </c>
      <c r="CN873" s="1" t="s">
        <v>229</v>
      </c>
      <c r="CO873" s="1" t="s">
        <v>495</v>
      </c>
      <c r="CP873" s="1" t="s">
        <v>209</v>
      </c>
      <c r="CQ873" s="1" t="s">
        <v>210</v>
      </c>
      <c r="CR873" s="1" t="s">
        <v>229</v>
      </c>
      <c r="CS873" s="1" t="s">
        <v>3832</v>
      </c>
      <c r="CT873" s="1" t="s">
        <v>206</v>
      </c>
      <c r="CU873" s="1" t="s">
        <v>268</v>
      </c>
      <c r="CV873" s="1" t="s">
        <v>229</v>
      </c>
      <c r="CW873" s="1" t="s">
        <v>1892</v>
      </c>
      <c r="CX873" s="1" t="s">
        <v>206</v>
      </c>
      <c r="CY873" s="1" t="s">
        <v>207</v>
      </c>
      <c r="CZ873" s="1" t="s">
        <v>229</v>
      </c>
      <c r="DA873" s="1" t="s">
        <v>200</v>
      </c>
      <c r="DC873" s="1" t="s">
        <v>481</v>
      </c>
      <c r="DD873" s="1" t="s">
        <v>1428</v>
      </c>
      <c r="DE873" s="1" t="s">
        <v>273</v>
      </c>
      <c r="DF873" s="1" t="s">
        <v>3751</v>
      </c>
      <c r="DG873" s="1" t="s">
        <v>482</v>
      </c>
      <c r="DH873" s="1" t="s">
        <v>220</v>
      </c>
      <c r="DI873" s="1" t="s">
        <v>10035</v>
      </c>
      <c r="DJ873" s="1" t="s">
        <v>222</v>
      </c>
      <c r="DK873" s="1" t="s">
        <v>198</v>
      </c>
      <c r="DL873" s="1" t="s">
        <v>484</v>
      </c>
      <c r="DM873" s="1" t="s">
        <v>338</v>
      </c>
      <c r="DN873" s="1" t="s">
        <v>10036</v>
      </c>
      <c r="DO873" s="1" t="s">
        <v>486</v>
      </c>
      <c r="DP873" s="1" t="s">
        <v>340</v>
      </c>
      <c r="DQ873" s="1" t="s">
        <v>441</v>
      </c>
      <c r="DR873" s="1" t="s">
        <v>1487</v>
      </c>
      <c r="DS873" s="1" t="s">
        <v>368</v>
      </c>
      <c r="DU873" s="1" t="s">
        <v>10037</v>
      </c>
      <c r="DV873" s="1" t="s">
        <v>10038</v>
      </c>
      <c r="DW873" s="1" t="s">
        <v>1026</v>
      </c>
      <c r="DX873" s="1" t="s">
        <v>234</v>
      </c>
      <c r="DY873" s="1" t="s">
        <v>490</v>
      </c>
      <c r="EA873" s="1" t="s">
        <v>344</v>
      </c>
      <c r="EB873" s="1" t="s">
        <v>2915</v>
      </c>
      <c r="EC873" s="1" t="s">
        <v>237</v>
      </c>
      <c r="ED873" s="1" t="s">
        <v>10039</v>
      </c>
      <c r="EG873" s="1" t="s">
        <v>1121</v>
      </c>
      <c r="EH873" s="1" t="s">
        <v>1102</v>
      </c>
      <c r="EJ873" s="1" t="s">
        <v>494</v>
      </c>
      <c r="EK873" s="1" t="s">
        <v>408</v>
      </c>
      <c r="EL873" s="1" t="s">
        <v>699</v>
      </c>
      <c r="EM873" s="1" t="s">
        <v>209</v>
      </c>
      <c r="EN873" s="1" t="s">
        <v>210</v>
      </c>
      <c r="EP873" s="1" t="s">
        <v>2224</v>
      </c>
      <c r="EQ873" s="1" t="s">
        <v>206</v>
      </c>
      <c r="ER873" s="1" t="s">
        <v>268</v>
      </c>
      <c r="EU873" s="1" t="s">
        <v>238</v>
      </c>
      <c r="EX873" s="1" t="s">
        <v>699</v>
      </c>
      <c r="EY873" s="1" t="s">
        <v>206</v>
      </c>
      <c r="EZ873" s="1" t="s">
        <v>207</v>
      </c>
      <c r="FB873" s="1" t="s">
        <v>1298</v>
      </c>
      <c r="FC873" s="1" t="s">
        <v>206</v>
      </c>
      <c r="FD873" s="1" t="s">
        <v>268</v>
      </c>
      <c r="FF873" s="1" t="s">
        <v>239</v>
      </c>
      <c r="FG873" s="1" t="s">
        <v>192</v>
      </c>
      <c r="FH873" s="1" t="s">
        <v>192</v>
      </c>
      <c r="FJ873" s="1" t="s">
        <v>1538</v>
      </c>
      <c r="FK873" s="1" t="s">
        <v>1586</v>
      </c>
      <c r="FL873" s="1" t="s">
        <v>1358</v>
      </c>
      <c r="FM873" s="1">
        <v>23591.0</v>
      </c>
      <c r="FN873" s="1" t="s">
        <v>2134</v>
      </c>
      <c r="FO873" s="1" t="s">
        <v>2843</v>
      </c>
      <c r="FP873" s="1">
        <v>230482.0</v>
      </c>
      <c r="FQ873" s="1" t="s">
        <v>2844</v>
      </c>
      <c r="FS873" s="1" t="s">
        <v>8183</v>
      </c>
      <c r="FU873" s="1" t="s">
        <v>8184</v>
      </c>
      <c r="FV873" s="1" t="s">
        <v>200</v>
      </c>
      <c r="FW873" s="1" t="s">
        <v>290</v>
      </c>
      <c r="FX873" s="1" t="s">
        <v>246</v>
      </c>
      <c r="FZ873" s="1" t="s">
        <v>229</v>
      </c>
      <c r="GA873" s="1" t="s">
        <v>291</v>
      </c>
      <c r="GB873" s="2">
        <v>42048.0</v>
      </c>
      <c r="GC873" s="1" t="s">
        <v>10040</v>
      </c>
    </row>
    <row r="874">
      <c r="A874" s="1">
        <v>20000.0</v>
      </c>
      <c r="B874" s="1" t="s">
        <v>185</v>
      </c>
      <c r="C874" s="1" t="str">
        <f>"08540326"</f>
        <v>08540326</v>
      </c>
      <c r="D874" s="1" t="s">
        <v>186</v>
      </c>
      <c r="F874" s="1" t="str">
        <f>"8025"</f>
        <v>8025</v>
      </c>
      <c r="G874" s="2">
        <v>41689.0</v>
      </c>
      <c r="H874" s="1">
        <v>44900.0</v>
      </c>
      <c r="I874" s="1">
        <v>155.0</v>
      </c>
      <c r="J874" s="1">
        <v>19900.0</v>
      </c>
      <c r="K874" s="2">
        <v>41842.0</v>
      </c>
      <c r="L874" s="1">
        <v>155.0</v>
      </c>
      <c r="M874" s="2">
        <v>41842.0</v>
      </c>
      <c r="N874" s="1" t="s">
        <v>249</v>
      </c>
      <c r="O874" s="2">
        <v>42025.0</v>
      </c>
      <c r="P874" s="1">
        <v>129157.0</v>
      </c>
      <c r="Q874" s="1">
        <v>15616.0</v>
      </c>
      <c r="S874" s="1">
        <v>1525.0</v>
      </c>
      <c r="T874" s="1" t="s">
        <v>10041</v>
      </c>
      <c r="U874" s="1" t="s">
        <v>189</v>
      </c>
      <c r="V874" s="1" t="s">
        <v>190</v>
      </c>
      <c r="W874" s="1">
        <v>60651.0</v>
      </c>
      <c r="Y874" s="1" t="s">
        <v>10042</v>
      </c>
      <c r="Z874" s="1">
        <v>1905.0</v>
      </c>
      <c r="AA874" s="1" t="s">
        <v>192</v>
      </c>
      <c r="AB874" s="1" t="s">
        <v>193</v>
      </c>
      <c r="AD874" s="1" t="s">
        <v>194</v>
      </c>
      <c r="AE874" s="1" t="s">
        <v>195</v>
      </c>
      <c r="AF874" s="1" t="s">
        <v>827</v>
      </c>
      <c r="AH874" s="1">
        <v>3024.0</v>
      </c>
      <c r="AI874" s="1">
        <v>0.0694</v>
      </c>
      <c r="AK874" s="1">
        <v>6.0</v>
      </c>
      <c r="AL874" s="1">
        <v>4.0</v>
      </c>
      <c r="AM874" s="1">
        <v>2.0</v>
      </c>
      <c r="AN874" s="1">
        <v>0.0</v>
      </c>
      <c r="AO874" s="1" t="s">
        <v>229</v>
      </c>
      <c r="AQ874" s="1" t="s">
        <v>198</v>
      </c>
      <c r="AR874" s="1" t="s">
        <v>200</v>
      </c>
      <c r="AS874" s="1" t="s">
        <v>828</v>
      </c>
      <c r="AU874" s="1">
        <v>2.0</v>
      </c>
      <c r="AV874" s="1" t="s">
        <v>200</v>
      </c>
      <c r="AW874" s="1">
        <v>1866.42</v>
      </c>
      <c r="AX874" s="1">
        <v>2012.0</v>
      </c>
      <c r="AY874" s="1" t="s">
        <v>387</v>
      </c>
      <c r="AZ874" s="1" t="s">
        <v>200</v>
      </c>
      <c r="BA874" s="1" t="str">
        <f>"16042000160000"</f>
        <v>16042000160000</v>
      </c>
      <c r="BC874" s="1">
        <v>1138.0</v>
      </c>
      <c r="BD874" s="1">
        <v>20000.0</v>
      </c>
      <c r="BE874" s="2">
        <v>41688.0</v>
      </c>
      <c r="BF874" s="1" t="s">
        <v>10043</v>
      </c>
      <c r="BH874" s="1">
        <v>0.0</v>
      </c>
      <c r="BK874" s="1" t="s">
        <v>204</v>
      </c>
      <c r="BL874" s="1" t="str">
        <f>"1525"</f>
        <v>1525</v>
      </c>
      <c r="BM874" s="1" t="str">
        <f t="shared" ref="BM874:BM875" si="569">"0"</f>
        <v>0</v>
      </c>
      <c r="BN874" s="1">
        <v>5200.0</v>
      </c>
      <c r="BO874" s="1">
        <v>0.0</v>
      </c>
      <c r="BQ874" s="1">
        <v>299.0</v>
      </c>
      <c r="BR874" s="1">
        <v>299.0</v>
      </c>
      <c r="BS874" s="1">
        <v>299.0</v>
      </c>
      <c r="BU874" s="1" t="s">
        <v>331</v>
      </c>
      <c r="BV874" s="1" t="s">
        <v>206</v>
      </c>
      <c r="BY874" s="1" t="s">
        <v>264</v>
      </c>
      <c r="BZ874" s="1" t="s">
        <v>206</v>
      </c>
      <c r="CD874" s="1" t="s">
        <v>204</v>
      </c>
      <c r="CG874" s="1" t="s">
        <v>269</v>
      </c>
      <c r="CH874" s="1" t="s">
        <v>209</v>
      </c>
      <c r="CK874" s="1" t="s">
        <v>303</v>
      </c>
      <c r="CL874" s="1" t="s">
        <v>209</v>
      </c>
      <c r="CO874" s="1" t="s">
        <v>269</v>
      </c>
      <c r="CP874" s="1" t="s">
        <v>209</v>
      </c>
      <c r="CS874" s="1" t="s">
        <v>699</v>
      </c>
      <c r="CT874" s="1" t="s">
        <v>206</v>
      </c>
      <c r="CX874" s="1" t="s">
        <v>204</v>
      </c>
      <c r="DA874" s="1" t="s">
        <v>200</v>
      </c>
      <c r="DC874" s="1" t="s">
        <v>642</v>
      </c>
      <c r="DE874" s="1" t="s">
        <v>229</v>
      </c>
      <c r="DF874" s="1" t="s">
        <v>619</v>
      </c>
      <c r="DH874" s="1" t="s">
        <v>365</v>
      </c>
      <c r="DJ874" s="1" t="s">
        <v>222</v>
      </c>
      <c r="DL874" s="1" t="s">
        <v>223</v>
      </c>
      <c r="DM874" s="1" t="s">
        <v>229</v>
      </c>
      <c r="DQ874" s="1" t="s">
        <v>228</v>
      </c>
      <c r="DR874" s="1" t="s">
        <v>229</v>
      </c>
      <c r="DV874" s="1" t="s">
        <v>232</v>
      </c>
      <c r="DW874" s="1" t="s">
        <v>233</v>
      </c>
      <c r="DX874" s="1" t="s">
        <v>234</v>
      </c>
      <c r="EC874" s="1" t="s">
        <v>645</v>
      </c>
      <c r="EM874" s="1" t="s">
        <v>238</v>
      </c>
      <c r="EQ874" s="1" t="s">
        <v>238</v>
      </c>
      <c r="EU874" s="1" t="s">
        <v>238</v>
      </c>
      <c r="EY874" s="1" t="s">
        <v>238</v>
      </c>
      <c r="FC874" s="1" t="s">
        <v>238</v>
      </c>
      <c r="FF874" s="1" t="s">
        <v>239</v>
      </c>
      <c r="FG874" s="1" t="s">
        <v>192</v>
      </c>
      <c r="FH874" s="1" t="s">
        <v>192</v>
      </c>
      <c r="FJ874" s="1" t="s">
        <v>524</v>
      </c>
      <c r="FK874" s="1" t="s">
        <v>229</v>
      </c>
      <c r="FL874" s="1" t="s">
        <v>7366</v>
      </c>
      <c r="FM874" s="1">
        <v>84674.0</v>
      </c>
      <c r="FN874" s="1" t="s">
        <v>7367</v>
      </c>
      <c r="FO874" s="1" t="s">
        <v>7368</v>
      </c>
      <c r="FP874" s="1">
        <v>109817.0</v>
      </c>
      <c r="FQ874" s="1" t="s">
        <v>7369</v>
      </c>
      <c r="FR874" s="1">
        <v>181685.0</v>
      </c>
      <c r="FU874" s="1" t="s">
        <v>710</v>
      </c>
      <c r="FV874" s="1" t="s">
        <v>200</v>
      </c>
      <c r="FW874" s="1" t="s">
        <v>290</v>
      </c>
      <c r="FX874" s="1" t="s">
        <v>238</v>
      </c>
      <c r="FZ874" s="1" t="s">
        <v>229</v>
      </c>
      <c r="GA874" s="1" t="s">
        <v>291</v>
      </c>
      <c r="GB874" s="2">
        <v>42026.0</v>
      </c>
      <c r="GC874" s="1" t="s">
        <v>10044</v>
      </c>
    </row>
    <row r="875">
      <c r="A875" s="1">
        <v>650000.0</v>
      </c>
      <c r="B875" s="1" t="s">
        <v>185</v>
      </c>
      <c r="C875" s="1" t="str">
        <f>"08538133"</f>
        <v>08538133</v>
      </c>
      <c r="D875" s="1" t="s">
        <v>186</v>
      </c>
      <c r="F875" s="1" t="str">
        <f>"10"</f>
        <v>10</v>
      </c>
      <c r="G875" s="2">
        <v>41686.0</v>
      </c>
      <c r="H875" s="1">
        <v>738900.0</v>
      </c>
      <c r="I875" s="1">
        <v>243.0</v>
      </c>
      <c r="J875" s="1">
        <v>674000.0</v>
      </c>
      <c r="K875" s="2">
        <v>41926.0</v>
      </c>
      <c r="L875" s="1">
        <v>243.0</v>
      </c>
      <c r="M875" s="2">
        <v>41926.0</v>
      </c>
      <c r="N875" s="1" t="s">
        <v>187</v>
      </c>
      <c r="O875" s="2">
        <v>41981.0</v>
      </c>
      <c r="P875" s="1">
        <v>99999.0</v>
      </c>
      <c r="Q875" s="1" t="s">
        <v>947</v>
      </c>
      <c r="S875" s="1">
        <v>811.0</v>
      </c>
      <c r="T875" s="1" t="s">
        <v>10045</v>
      </c>
      <c r="U875" s="1" t="s">
        <v>420</v>
      </c>
      <c r="V875" s="1" t="s">
        <v>1945</v>
      </c>
      <c r="W875" s="1">
        <v>60010.0</v>
      </c>
      <c r="Y875" s="1" t="s">
        <v>10046</v>
      </c>
      <c r="Z875" s="1">
        <v>2001.0</v>
      </c>
      <c r="AA875" s="1" t="s">
        <v>200</v>
      </c>
      <c r="AB875" s="1" t="s">
        <v>467</v>
      </c>
      <c r="AC875" s="1" t="s">
        <v>10047</v>
      </c>
      <c r="AD875" s="1" t="s">
        <v>9765</v>
      </c>
      <c r="AE875" s="1" t="s">
        <v>195</v>
      </c>
      <c r="AF875" s="1" t="s">
        <v>1948</v>
      </c>
      <c r="AG875" s="1" t="s">
        <v>10048</v>
      </c>
      <c r="AH875" s="1" t="s">
        <v>10049</v>
      </c>
      <c r="AI875" s="1">
        <v>5.22</v>
      </c>
      <c r="AK875" s="1">
        <v>9.0</v>
      </c>
      <c r="AL875" s="1">
        <v>4.0</v>
      </c>
      <c r="AM875" s="1">
        <v>4.0</v>
      </c>
      <c r="AN875" s="1">
        <v>0.0</v>
      </c>
      <c r="AO875" s="1" t="s">
        <v>198</v>
      </c>
      <c r="AP875" s="1">
        <v>2.0</v>
      </c>
      <c r="AQ875" s="1" t="s">
        <v>951</v>
      </c>
      <c r="AR875" s="1" t="s">
        <v>200</v>
      </c>
      <c r="AS875" s="1" t="s">
        <v>199</v>
      </c>
      <c r="AT875" s="1">
        <v>3.0</v>
      </c>
      <c r="AV875" s="1" t="s">
        <v>200</v>
      </c>
      <c r="AW875" s="1">
        <v>20847.0</v>
      </c>
      <c r="AX875" s="1">
        <v>2012.0</v>
      </c>
      <c r="AY875" s="1" t="s">
        <v>387</v>
      </c>
      <c r="AZ875" s="1" t="s">
        <v>545</v>
      </c>
      <c r="BA875" s="1" t="str">
        <f>"01193010100000"</f>
        <v>01193010100000</v>
      </c>
      <c r="BB875" s="1" t="s">
        <v>200</v>
      </c>
      <c r="BC875" s="1">
        <v>5045.0</v>
      </c>
      <c r="BD875" s="1">
        <v>650000.0</v>
      </c>
      <c r="BE875" s="2">
        <v>41684.0</v>
      </c>
      <c r="BF875" s="2" t="s">
        <v>10050</v>
      </c>
      <c r="BG875" s="1" t="s">
        <v>9768</v>
      </c>
      <c r="BH875" s="1">
        <v>0.0</v>
      </c>
      <c r="BI875" s="1" t="s">
        <v>1713</v>
      </c>
      <c r="BJ875" s="1" t="s">
        <v>1714</v>
      </c>
      <c r="BK875" s="1" t="s">
        <v>204</v>
      </c>
      <c r="BL875" s="1" t="str">
        <f>"15"</f>
        <v>15</v>
      </c>
      <c r="BM875" s="1" t="str">
        <f t="shared" si="569"/>
        <v>0</v>
      </c>
      <c r="BN875" s="1">
        <v>30.0</v>
      </c>
      <c r="BO875" s="1">
        <v>0.0</v>
      </c>
      <c r="BQ875" s="1">
        <v>220.0</v>
      </c>
      <c r="BR875" s="1">
        <v>220.0</v>
      </c>
      <c r="BS875" s="1">
        <v>220.0</v>
      </c>
      <c r="BU875" s="1" t="s">
        <v>544</v>
      </c>
      <c r="BV875" s="1" t="s">
        <v>206</v>
      </c>
      <c r="BW875" s="1" t="s">
        <v>210</v>
      </c>
      <c r="BY875" s="1" t="s">
        <v>1809</v>
      </c>
      <c r="BZ875" s="1" t="s">
        <v>209</v>
      </c>
      <c r="CA875" s="1" t="s">
        <v>210</v>
      </c>
      <c r="CC875" s="1" t="s">
        <v>743</v>
      </c>
      <c r="CD875" s="1" t="s">
        <v>206</v>
      </c>
      <c r="CE875" s="1" t="s">
        <v>210</v>
      </c>
      <c r="CG875" s="1" t="s">
        <v>1483</v>
      </c>
      <c r="CH875" s="1" t="s">
        <v>209</v>
      </c>
      <c r="CI875" s="1" t="s">
        <v>210</v>
      </c>
      <c r="CK875" s="1" t="s">
        <v>393</v>
      </c>
      <c r="CL875" s="1" t="s">
        <v>209</v>
      </c>
      <c r="CM875" s="1" t="s">
        <v>210</v>
      </c>
      <c r="CO875" s="1" t="s">
        <v>758</v>
      </c>
      <c r="CP875" s="1" t="s">
        <v>209</v>
      </c>
      <c r="CQ875" s="1" t="s">
        <v>210</v>
      </c>
      <c r="CS875" s="1" t="s">
        <v>7412</v>
      </c>
      <c r="CT875" s="1" t="s">
        <v>206</v>
      </c>
      <c r="CU875" s="1" t="s">
        <v>207</v>
      </c>
      <c r="CW875" s="1" t="s">
        <v>10051</v>
      </c>
      <c r="CX875" s="1" t="s">
        <v>206</v>
      </c>
      <c r="CY875" s="1" t="s">
        <v>210</v>
      </c>
      <c r="DA875" s="1" t="s">
        <v>200</v>
      </c>
      <c r="DC875" s="1" t="s">
        <v>335</v>
      </c>
      <c r="DD875" s="1" t="s">
        <v>336</v>
      </c>
      <c r="DE875" s="1" t="s">
        <v>273</v>
      </c>
      <c r="DF875" s="1" t="s">
        <v>619</v>
      </c>
      <c r="DG875" s="1" t="s">
        <v>1553</v>
      </c>
      <c r="DH875" s="1" t="s">
        <v>856</v>
      </c>
      <c r="DI875" s="1" t="s">
        <v>6108</v>
      </c>
      <c r="DJ875" s="1" t="s">
        <v>857</v>
      </c>
      <c r="DL875" s="1" t="s">
        <v>223</v>
      </c>
      <c r="DM875" s="1" t="s">
        <v>338</v>
      </c>
      <c r="DN875" s="1" t="s">
        <v>399</v>
      </c>
      <c r="DO875" s="1" t="s">
        <v>10052</v>
      </c>
      <c r="DP875" s="1" t="s">
        <v>340</v>
      </c>
      <c r="DQ875" s="1" t="s">
        <v>6366</v>
      </c>
      <c r="DR875" s="1" t="s">
        <v>229</v>
      </c>
      <c r="DU875" s="1" t="s">
        <v>5437</v>
      </c>
      <c r="DV875" s="1" t="s">
        <v>598</v>
      </c>
      <c r="DW875" s="1" t="s">
        <v>667</v>
      </c>
      <c r="DX875" s="1" t="s">
        <v>234</v>
      </c>
      <c r="DY875" s="1" t="s">
        <v>1958</v>
      </c>
      <c r="DZ875" s="1" t="s">
        <v>10053</v>
      </c>
      <c r="EA875" s="1" t="s">
        <v>344</v>
      </c>
      <c r="EC875" s="1" t="s">
        <v>4340</v>
      </c>
      <c r="ED875" s="1" t="s">
        <v>407</v>
      </c>
      <c r="EG875" s="1" t="s">
        <v>598</v>
      </c>
      <c r="EL875" s="1" t="s">
        <v>361</v>
      </c>
      <c r="EM875" s="1" t="s">
        <v>206</v>
      </c>
      <c r="EN875" s="1" t="s">
        <v>210</v>
      </c>
      <c r="EQ875" s="1" t="s">
        <v>238</v>
      </c>
      <c r="EU875" s="1" t="s">
        <v>238</v>
      </c>
      <c r="EY875" s="1" t="s">
        <v>238</v>
      </c>
      <c r="FC875" s="1" t="s">
        <v>238</v>
      </c>
      <c r="FF875" s="1" t="s">
        <v>239</v>
      </c>
      <c r="FG875" s="1" t="s">
        <v>200</v>
      </c>
      <c r="FH875" s="1" t="s">
        <v>192</v>
      </c>
      <c r="FJ875" s="1" t="s">
        <v>498</v>
      </c>
      <c r="FK875" s="1" t="s">
        <v>229</v>
      </c>
      <c r="FL875" s="1" t="s">
        <v>5245</v>
      </c>
      <c r="FM875" s="1">
        <v>6019.0</v>
      </c>
      <c r="FN875" s="1" t="s">
        <v>5246</v>
      </c>
      <c r="FO875" s="1" t="s">
        <v>10054</v>
      </c>
      <c r="FP875" s="1">
        <v>61926.0</v>
      </c>
      <c r="FQ875" s="1" t="s">
        <v>10055</v>
      </c>
      <c r="FU875" s="1" t="s">
        <v>10056</v>
      </c>
      <c r="FV875" s="1" t="s">
        <v>200</v>
      </c>
      <c r="FW875" s="1" t="s">
        <v>290</v>
      </c>
      <c r="FZ875" s="1" t="s">
        <v>229</v>
      </c>
      <c r="GA875" s="1" t="s">
        <v>291</v>
      </c>
      <c r="GB875" s="2">
        <v>41982.0</v>
      </c>
    </row>
    <row r="876">
      <c r="A876" s="1">
        <v>223900.0</v>
      </c>
      <c r="B876" s="1" t="s">
        <v>185</v>
      </c>
      <c r="C876" s="1" t="str">
        <f>"08533039"</f>
        <v>08533039</v>
      </c>
      <c r="D876" s="1" t="s">
        <v>186</v>
      </c>
      <c r="F876" s="1" t="str">
        <f>"560"</f>
        <v>560</v>
      </c>
      <c r="G876" s="2">
        <v>41678.0</v>
      </c>
      <c r="H876" s="1">
        <v>219900.0</v>
      </c>
      <c r="I876" s="1">
        <v>242.0</v>
      </c>
      <c r="J876" s="1">
        <v>212599.0</v>
      </c>
      <c r="K876" s="2">
        <v>41919.0</v>
      </c>
      <c r="L876" s="1">
        <v>242.0</v>
      </c>
      <c r="M876" s="2">
        <v>41919.0</v>
      </c>
      <c r="N876" s="1" t="s">
        <v>356</v>
      </c>
      <c r="O876" s="2">
        <v>41991.0</v>
      </c>
      <c r="P876" s="1">
        <v>310444.0</v>
      </c>
      <c r="Q876" s="1">
        <v>306.0</v>
      </c>
      <c r="S876" s="1">
        <v>484.0</v>
      </c>
      <c r="T876" s="1" t="s">
        <v>10057</v>
      </c>
      <c r="U876" s="1" t="s">
        <v>1174</v>
      </c>
      <c r="V876" s="1" t="s">
        <v>845</v>
      </c>
      <c r="W876" s="1">
        <v>60560.0</v>
      </c>
      <c r="Y876" s="1" t="s">
        <v>10058</v>
      </c>
      <c r="Z876" s="1">
        <v>2006.0</v>
      </c>
      <c r="AA876" s="1" t="s">
        <v>200</v>
      </c>
      <c r="AB876" s="1" t="s">
        <v>193</v>
      </c>
      <c r="AC876" s="1" t="s">
        <v>10059</v>
      </c>
      <c r="AD876" s="1" t="s">
        <v>848</v>
      </c>
      <c r="AE876" s="1" t="s">
        <v>849</v>
      </c>
      <c r="AF876" s="1" t="s">
        <v>1312</v>
      </c>
      <c r="AH876" s="1">
        <v>15635.0</v>
      </c>
      <c r="AI876" s="1">
        <v>0.3589</v>
      </c>
      <c r="AK876" s="1">
        <v>8.0</v>
      </c>
      <c r="AL876" s="1">
        <v>4.0</v>
      </c>
      <c r="AM876" s="1">
        <v>2.0</v>
      </c>
      <c r="AN876" s="1">
        <v>1.0</v>
      </c>
      <c r="AO876" s="1" t="s">
        <v>198</v>
      </c>
      <c r="AP876" s="1">
        <v>1.0</v>
      </c>
      <c r="AQ876" s="1" t="s">
        <v>198</v>
      </c>
      <c r="AR876" s="1" t="s">
        <v>200</v>
      </c>
      <c r="AS876" s="1" t="s">
        <v>199</v>
      </c>
      <c r="AT876" s="1">
        <v>3.0</v>
      </c>
      <c r="AV876" s="1" t="s">
        <v>200</v>
      </c>
      <c r="AW876" s="1">
        <v>6926.34</v>
      </c>
      <c r="AX876" s="1">
        <v>2012.0</v>
      </c>
      <c r="AZ876" s="1" t="s">
        <v>200</v>
      </c>
      <c r="BA876" s="1" t="str">
        <f>"0220230020"</f>
        <v>0220230020</v>
      </c>
      <c r="BC876" s="1">
        <v>2600.0</v>
      </c>
      <c r="BD876" s="1">
        <v>223900.0</v>
      </c>
      <c r="BE876" s="2">
        <v>41678.0</v>
      </c>
      <c r="BF876" s="2" t="s">
        <v>10060</v>
      </c>
      <c r="BH876" s="1">
        <v>67.0</v>
      </c>
      <c r="BJ876" s="1" t="s">
        <v>3053</v>
      </c>
      <c r="BK876" s="1" t="s">
        <v>474</v>
      </c>
      <c r="BL876" s="1" t="str">
        <f t="shared" ref="BL876:BM876" si="570">""</f>
        <v/>
      </c>
      <c r="BM876" s="1" t="str">
        <f t="shared" si="570"/>
        <v/>
      </c>
      <c r="BQ876" s="1">
        <v>115.0</v>
      </c>
      <c r="BR876" s="1">
        <v>115.0</v>
      </c>
      <c r="BS876" s="1">
        <v>115.0</v>
      </c>
      <c r="BU876" s="1" t="s">
        <v>677</v>
      </c>
      <c r="BV876" s="1" t="s">
        <v>206</v>
      </c>
      <c r="BW876" s="1" t="s">
        <v>210</v>
      </c>
      <c r="BY876" s="1" t="s">
        <v>1534</v>
      </c>
      <c r="BZ876" s="1" t="s">
        <v>209</v>
      </c>
      <c r="CA876" s="1" t="s">
        <v>210</v>
      </c>
      <c r="CC876" s="1" t="s">
        <v>329</v>
      </c>
      <c r="CD876" s="1" t="s">
        <v>206</v>
      </c>
      <c r="CG876" s="1" t="s">
        <v>363</v>
      </c>
      <c r="CH876" s="1" t="s">
        <v>209</v>
      </c>
      <c r="CI876" s="1" t="s">
        <v>210</v>
      </c>
      <c r="CK876" s="1" t="s">
        <v>663</v>
      </c>
      <c r="CL876" s="1" t="s">
        <v>209</v>
      </c>
      <c r="CM876" s="1" t="s">
        <v>210</v>
      </c>
      <c r="CO876" s="1" t="s">
        <v>269</v>
      </c>
      <c r="CP876" s="1" t="s">
        <v>209</v>
      </c>
      <c r="CQ876" s="1" t="s">
        <v>210</v>
      </c>
      <c r="CS876" s="1" t="s">
        <v>1534</v>
      </c>
      <c r="CT876" s="1" t="s">
        <v>206</v>
      </c>
      <c r="CX876" s="1" t="s">
        <v>204</v>
      </c>
      <c r="DA876" s="1" t="s">
        <v>200</v>
      </c>
      <c r="DC876" s="1" t="s">
        <v>481</v>
      </c>
      <c r="DE876" s="1" t="s">
        <v>273</v>
      </c>
      <c r="DF876" s="1" t="s">
        <v>619</v>
      </c>
      <c r="DG876" s="1" t="s">
        <v>1002</v>
      </c>
      <c r="DH876" s="1" t="s">
        <v>365</v>
      </c>
      <c r="DI876" s="1" t="s">
        <v>1223</v>
      </c>
      <c r="DJ876" s="1" t="s">
        <v>222</v>
      </c>
      <c r="DL876" s="1" t="s">
        <v>223</v>
      </c>
      <c r="DM876" s="1" t="s">
        <v>338</v>
      </c>
      <c r="DP876" s="1" t="s">
        <v>340</v>
      </c>
      <c r="DQ876" s="1" t="s">
        <v>441</v>
      </c>
      <c r="DR876" s="1" t="s">
        <v>1980</v>
      </c>
      <c r="DV876" s="1" t="s">
        <v>341</v>
      </c>
      <c r="DW876" s="1" t="s">
        <v>667</v>
      </c>
      <c r="DX876" s="1" t="s">
        <v>309</v>
      </c>
      <c r="DZ876" s="1" t="s">
        <v>282</v>
      </c>
      <c r="EA876" s="1" t="s">
        <v>1027</v>
      </c>
      <c r="EB876" s="1" t="s">
        <v>684</v>
      </c>
      <c r="EC876" s="1" t="s">
        <v>237</v>
      </c>
      <c r="ED876" s="1" t="s">
        <v>555</v>
      </c>
      <c r="EE876" s="1" t="s">
        <v>493</v>
      </c>
      <c r="EG876" s="1" t="s">
        <v>341</v>
      </c>
      <c r="EL876" s="1" t="s">
        <v>433</v>
      </c>
      <c r="EM876" s="1" t="s">
        <v>209</v>
      </c>
      <c r="EN876" s="1" t="s">
        <v>210</v>
      </c>
      <c r="EQ876" s="1" t="s">
        <v>238</v>
      </c>
      <c r="EU876" s="1" t="s">
        <v>238</v>
      </c>
      <c r="EY876" s="1" t="s">
        <v>238</v>
      </c>
      <c r="FC876" s="1" t="s">
        <v>238</v>
      </c>
      <c r="FF876" s="1" t="s">
        <v>239</v>
      </c>
      <c r="FG876" s="1" t="s">
        <v>192</v>
      </c>
      <c r="FH876" s="1" t="s">
        <v>192</v>
      </c>
      <c r="FJ876" s="1" t="s">
        <v>10061</v>
      </c>
      <c r="FK876" s="1" t="s">
        <v>1586</v>
      </c>
      <c r="FL876" s="1" t="s">
        <v>8122</v>
      </c>
      <c r="FM876" s="1">
        <v>23163.0</v>
      </c>
      <c r="FN876" s="1" t="s">
        <v>8123</v>
      </c>
      <c r="FO876" s="1" t="s">
        <v>10062</v>
      </c>
      <c r="FP876" s="1">
        <v>230346.0</v>
      </c>
      <c r="FQ876" s="1" t="s">
        <v>10063</v>
      </c>
      <c r="FR876" s="1">
        <v>237809.0</v>
      </c>
      <c r="FU876" s="1" t="s">
        <v>10064</v>
      </c>
      <c r="FV876" s="1" t="s">
        <v>200</v>
      </c>
      <c r="FW876" s="1" t="s">
        <v>290</v>
      </c>
      <c r="FZ876" s="1" t="s">
        <v>229</v>
      </c>
      <c r="GA876" s="1" t="s">
        <v>291</v>
      </c>
      <c r="GB876" s="2">
        <v>41991.0</v>
      </c>
      <c r="GC876" s="1" t="s">
        <v>10065</v>
      </c>
    </row>
    <row r="877">
      <c r="A877" s="1">
        <v>2250000.0</v>
      </c>
      <c r="B877" s="1" t="s">
        <v>185</v>
      </c>
      <c r="C877" s="1" t="str">
        <f>"08555483"</f>
        <v>08555483</v>
      </c>
      <c r="D877" s="1" t="s">
        <v>186</v>
      </c>
      <c r="F877" s="1" t="str">
        <f>"8007"</f>
        <v>8007</v>
      </c>
      <c r="G877" s="2">
        <v>41709.0</v>
      </c>
      <c r="H877" s="1">
        <v>2800000.0</v>
      </c>
      <c r="I877" s="1">
        <v>172.0</v>
      </c>
      <c r="J877" s="1">
        <v>2500000.0</v>
      </c>
      <c r="K877" s="2">
        <v>41880.0</v>
      </c>
      <c r="L877" s="1">
        <v>172.0</v>
      </c>
      <c r="M877" s="2">
        <v>41880.0</v>
      </c>
      <c r="N877" s="1" t="s">
        <v>187</v>
      </c>
      <c r="O877" s="2">
        <v>42039.0</v>
      </c>
      <c r="P877" s="1">
        <v>107552.0</v>
      </c>
      <c r="Q877" s="1">
        <v>10274.0</v>
      </c>
      <c r="S877" s="1">
        <v>2327.0</v>
      </c>
      <c r="T877" s="1" t="s">
        <v>10066</v>
      </c>
      <c r="U877" s="1" t="s">
        <v>189</v>
      </c>
      <c r="V877" s="1" t="s">
        <v>190</v>
      </c>
      <c r="W877" s="1">
        <v>60614.0</v>
      </c>
      <c r="Y877" s="1" t="s">
        <v>10067</v>
      </c>
      <c r="Z877" s="1">
        <v>1881.0</v>
      </c>
      <c r="AA877" s="1" t="s">
        <v>192</v>
      </c>
      <c r="AB877" s="1" t="s">
        <v>193</v>
      </c>
      <c r="AD877" s="1" t="s">
        <v>194</v>
      </c>
      <c r="AE877" s="1" t="s">
        <v>195</v>
      </c>
      <c r="AF877" s="1" t="s">
        <v>2645</v>
      </c>
      <c r="AH877" s="1" t="s">
        <v>10068</v>
      </c>
      <c r="AK877" s="1">
        <v>13.0</v>
      </c>
      <c r="AL877" s="1">
        <v>4.0</v>
      </c>
      <c r="AM877" s="1">
        <v>3.0</v>
      </c>
      <c r="AN877" s="1">
        <v>1.0</v>
      </c>
      <c r="AO877" s="1" t="s">
        <v>198</v>
      </c>
      <c r="AP877" s="1">
        <v>4.0</v>
      </c>
      <c r="AQ877" s="1" t="s">
        <v>257</v>
      </c>
      <c r="AR877" s="1" t="s">
        <v>192</v>
      </c>
      <c r="AS877" s="1" t="s">
        <v>199</v>
      </c>
      <c r="AT877" s="1">
        <v>3.0</v>
      </c>
      <c r="AV877" s="1" t="s">
        <v>200</v>
      </c>
      <c r="AW877" s="1">
        <v>21086.49</v>
      </c>
      <c r="AX877" s="1">
        <v>2012.0</v>
      </c>
      <c r="AY877" s="1" t="s">
        <v>1179</v>
      </c>
      <c r="AZ877" s="1" t="s">
        <v>200</v>
      </c>
      <c r="BA877" s="1" t="str">
        <f>"14331050090000"</f>
        <v>14331050090000</v>
      </c>
      <c r="BB877" s="1" t="s">
        <v>200</v>
      </c>
      <c r="BC877" s="1">
        <v>5000.0</v>
      </c>
      <c r="BD877" s="1">
        <v>2250000.0</v>
      </c>
      <c r="BE877" s="2">
        <v>41709.0</v>
      </c>
      <c r="BF877" s="2" t="s">
        <v>10069</v>
      </c>
      <c r="BG877" s="1" t="s">
        <v>2142</v>
      </c>
      <c r="BH877" s="1">
        <v>0.0</v>
      </c>
      <c r="BI877" s="1" t="s">
        <v>2142</v>
      </c>
      <c r="BJ877" s="1" t="s">
        <v>2871</v>
      </c>
      <c r="BK877" s="1" t="s">
        <v>204</v>
      </c>
      <c r="BL877" s="1" t="str">
        <f>"2327"</f>
        <v>2327</v>
      </c>
      <c r="BM877" s="1" t="str">
        <f t="shared" ref="BM877:BM878" si="571">"0"</f>
        <v>0</v>
      </c>
      <c r="BN877" s="1">
        <v>500.0</v>
      </c>
      <c r="BO877" s="1">
        <v>0.0</v>
      </c>
      <c r="BQ877" s="1">
        <v>299.0</v>
      </c>
      <c r="BR877" s="1">
        <v>299.0</v>
      </c>
      <c r="BS877" s="1">
        <v>299.0</v>
      </c>
      <c r="BU877" s="1" t="s">
        <v>1206</v>
      </c>
      <c r="BV877" s="1" t="s">
        <v>206</v>
      </c>
      <c r="BW877" s="1" t="s">
        <v>207</v>
      </c>
      <c r="BX877" s="1" t="s">
        <v>476</v>
      </c>
      <c r="BY877" s="1" t="s">
        <v>333</v>
      </c>
      <c r="BZ877" s="1" t="s">
        <v>209</v>
      </c>
      <c r="CA877" s="1" t="s">
        <v>210</v>
      </c>
      <c r="CB877" s="1" t="s">
        <v>476</v>
      </c>
      <c r="CC877" s="1" t="s">
        <v>758</v>
      </c>
      <c r="CD877" s="1" t="s">
        <v>206</v>
      </c>
      <c r="CE877" s="1" t="s">
        <v>207</v>
      </c>
      <c r="CG877" s="1" t="s">
        <v>758</v>
      </c>
      <c r="CH877" s="1" t="s">
        <v>209</v>
      </c>
      <c r="CI877" s="1" t="s">
        <v>210</v>
      </c>
      <c r="CJ877" s="1" t="s">
        <v>1549</v>
      </c>
      <c r="CK877" s="1" t="s">
        <v>1000</v>
      </c>
      <c r="CL877" s="1" t="s">
        <v>209</v>
      </c>
      <c r="CM877" s="1" t="s">
        <v>210</v>
      </c>
      <c r="CN877" s="1" t="s">
        <v>431</v>
      </c>
      <c r="CO877" s="1" t="s">
        <v>497</v>
      </c>
      <c r="CP877" s="1" t="s">
        <v>267</v>
      </c>
      <c r="CQ877" s="1" t="s">
        <v>210</v>
      </c>
      <c r="CR877" s="1" t="s">
        <v>8644</v>
      </c>
      <c r="CS877" s="1" t="s">
        <v>432</v>
      </c>
      <c r="CT877" s="1" t="s">
        <v>206</v>
      </c>
      <c r="CU877" s="1" t="s">
        <v>207</v>
      </c>
      <c r="CV877" s="1" t="s">
        <v>431</v>
      </c>
      <c r="CW877" s="1" t="s">
        <v>1138</v>
      </c>
      <c r="CX877" s="1" t="s">
        <v>206</v>
      </c>
      <c r="CY877" s="1" t="s">
        <v>210</v>
      </c>
      <c r="DA877" s="1" t="s">
        <v>200</v>
      </c>
      <c r="DC877" s="1" t="s">
        <v>642</v>
      </c>
      <c r="DD877" s="1" t="s">
        <v>336</v>
      </c>
      <c r="DE877" s="1" t="s">
        <v>273</v>
      </c>
      <c r="DF877" s="1" t="s">
        <v>1811</v>
      </c>
      <c r="DG877" s="1" t="s">
        <v>2462</v>
      </c>
      <c r="DH877" s="1" t="s">
        <v>307</v>
      </c>
      <c r="DI877" s="1" t="s">
        <v>5436</v>
      </c>
      <c r="DJ877" s="1" t="s">
        <v>222</v>
      </c>
      <c r="DL877" s="1" t="s">
        <v>224</v>
      </c>
      <c r="DM877" s="1" t="s">
        <v>229</v>
      </c>
      <c r="DN877" s="1" t="s">
        <v>10070</v>
      </c>
      <c r="DP877" s="1" t="s">
        <v>340</v>
      </c>
      <c r="DQ877" s="1" t="s">
        <v>228</v>
      </c>
      <c r="DR877" s="1" t="s">
        <v>229</v>
      </c>
      <c r="DS877" s="1" t="s">
        <v>230</v>
      </c>
      <c r="DU877" s="1" t="s">
        <v>10071</v>
      </c>
      <c r="DV877" s="1" t="s">
        <v>10072</v>
      </c>
      <c r="DW877" s="1" t="s">
        <v>279</v>
      </c>
      <c r="DX877" s="1" t="s">
        <v>234</v>
      </c>
      <c r="DY877" s="1" t="s">
        <v>2730</v>
      </c>
      <c r="DZ877" s="1" t="s">
        <v>10073</v>
      </c>
      <c r="EA877" s="1" t="s">
        <v>3112</v>
      </c>
      <c r="EB877" s="1" t="s">
        <v>937</v>
      </c>
      <c r="EC877" s="1" t="s">
        <v>237</v>
      </c>
      <c r="ED877" s="1" t="s">
        <v>312</v>
      </c>
      <c r="EG877" s="1" t="s">
        <v>598</v>
      </c>
      <c r="EH877" s="1" t="s">
        <v>2129</v>
      </c>
      <c r="EJ877" s="1" t="s">
        <v>2023</v>
      </c>
      <c r="EK877" s="1" t="s">
        <v>720</v>
      </c>
      <c r="EL877" s="1" t="s">
        <v>541</v>
      </c>
      <c r="EM877" s="1" t="s">
        <v>267</v>
      </c>
      <c r="EN877" s="1" t="s">
        <v>210</v>
      </c>
      <c r="EP877" s="1" t="s">
        <v>453</v>
      </c>
      <c r="EQ877" s="1" t="s">
        <v>206</v>
      </c>
      <c r="ER877" s="1" t="s">
        <v>2128</v>
      </c>
      <c r="EU877" s="1" t="s">
        <v>238</v>
      </c>
      <c r="EX877" s="1" t="s">
        <v>1426</v>
      </c>
      <c r="EY877" s="1" t="s">
        <v>267</v>
      </c>
      <c r="EZ877" s="1" t="s">
        <v>210</v>
      </c>
      <c r="FB877" s="1" t="s">
        <v>1795</v>
      </c>
      <c r="FC877" s="1" t="s">
        <v>267</v>
      </c>
      <c r="FD877" s="1" t="s">
        <v>268</v>
      </c>
      <c r="FF877" s="1" t="s">
        <v>239</v>
      </c>
      <c r="FG877" s="1" t="s">
        <v>192</v>
      </c>
      <c r="FH877" s="1" t="s">
        <v>192</v>
      </c>
      <c r="FJ877" s="1" t="s">
        <v>10074</v>
      </c>
      <c r="FK877" s="1" t="s">
        <v>229</v>
      </c>
      <c r="FL877" s="1" t="s">
        <v>456</v>
      </c>
      <c r="FM877" s="1">
        <v>10274.0</v>
      </c>
      <c r="FN877" s="1" t="s">
        <v>4794</v>
      </c>
      <c r="FO877" s="1" t="s">
        <v>10075</v>
      </c>
      <c r="FP877" s="1">
        <v>107552.0</v>
      </c>
      <c r="FQ877" s="1" t="s">
        <v>10076</v>
      </c>
      <c r="FU877" s="1" t="s">
        <v>10077</v>
      </c>
      <c r="FV877" s="1" t="s">
        <v>200</v>
      </c>
      <c r="FW877" s="1" t="s">
        <v>530</v>
      </c>
      <c r="FX877" s="1" t="s">
        <v>238</v>
      </c>
      <c r="FZ877" s="1" t="s">
        <v>229</v>
      </c>
      <c r="GA877" s="1" t="s">
        <v>291</v>
      </c>
      <c r="GB877" s="2">
        <v>42040.0</v>
      </c>
      <c r="GC877" s="1" t="s">
        <v>10078</v>
      </c>
    </row>
    <row r="878">
      <c r="A878" s="1">
        <v>1108611.0</v>
      </c>
      <c r="B878" s="1" t="s">
        <v>185</v>
      </c>
      <c r="C878" s="1" t="str">
        <f>"08536168"</f>
        <v>08536168</v>
      </c>
      <c r="D878" s="1" t="s">
        <v>186</v>
      </c>
      <c r="F878" s="1" t="str">
        <f>"8005"</f>
        <v>8005</v>
      </c>
      <c r="G878" s="2">
        <v>41683.0</v>
      </c>
      <c r="H878" s="1">
        <v>1075000.0</v>
      </c>
      <c r="I878" s="1">
        <v>11.0</v>
      </c>
      <c r="J878" s="1">
        <v>1075000.0</v>
      </c>
      <c r="K878" s="2">
        <v>41693.0</v>
      </c>
      <c r="L878" s="1">
        <v>11.0</v>
      </c>
      <c r="M878" s="2">
        <v>41693.0</v>
      </c>
      <c r="N878" s="1" t="s">
        <v>187</v>
      </c>
      <c r="O878" s="2">
        <v>41975.0</v>
      </c>
      <c r="P878" s="1">
        <v>181883.0</v>
      </c>
      <c r="Q878" s="1">
        <v>84366.0</v>
      </c>
      <c r="R878" s="1">
        <v>4000.0</v>
      </c>
      <c r="S878" s="1">
        <v>3548.0</v>
      </c>
      <c r="T878" s="1" t="s">
        <v>10079</v>
      </c>
      <c r="U878" s="1" t="s">
        <v>189</v>
      </c>
      <c r="V878" s="1" t="s">
        <v>190</v>
      </c>
      <c r="W878" s="1">
        <v>60618.0</v>
      </c>
      <c r="Y878" s="1" t="s">
        <v>10080</v>
      </c>
      <c r="Z878" s="1">
        <v>2014.0</v>
      </c>
      <c r="AA878" s="1" t="s">
        <v>200</v>
      </c>
      <c r="AB878" s="1" t="s">
        <v>193</v>
      </c>
      <c r="AD878" s="1" t="s">
        <v>194</v>
      </c>
      <c r="AE878" s="1" t="s">
        <v>195</v>
      </c>
      <c r="AF878" s="1" t="s">
        <v>534</v>
      </c>
      <c r="AH878" s="1" t="s">
        <v>10081</v>
      </c>
      <c r="AK878" s="1">
        <v>9.0</v>
      </c>
      <c r="AL878" s="1">
        <v>4.0</v>
      </c>
      <c r="AM878" s="1">
        <v>3.0</v>
      </c>
      <c r="AN878" s="1">
        <v>1.0</v>
      </c>
      <c r="AO878" s="1" t="s">
        <v>198</v>
      </c>
      <c r="AP878" s="1">
        <v>1.0</v>
      </c>
      <c r="AQ878" s="1" t="s">
        <v>229</v>
      </c>
      <c r="AR878" s="1" t="s">
        <v>200</v>
      </c>
      <c r="AS878" s="1" t="s">
        <v>199</v>
      </c>
      <c r="AT878" s="1">
        <v>3.0</v>
      </c>
      <c r="AV878" s="1" t="s">
        <v>200</v>
      </c>
      <c r="AW878" s="1" t="s">
        <v>575</v>
      </c>
      <c r="AX878" s="1">
        <v>2012.0</v>
      </c>
      <c r="AY878" s="1" t="s">
        <v>229</v>
      </c>
      <c r="AZ878" s="1" t="s">
        <v>545</v>
      </c>
      <c r="BA878" s="1" t="str">
        <f>"14193050000000"</f>
        <v>14193050000000</v>
      </c>
      <c r="BB878" s="1" t="s">
        <v>200</v>
      </c>
      <c r="BC878" s="1">
        <v>3600.0</v>
      </c>
      <c r="BD878" s="1">
        <v>1108611.0</v>
      </c>
      <c r="BE878" s="2">
        <v>41683.0</v>
      </c>
      <c r="BF878" s="2" t="s">
        <v>10082</v>
      </c>
      <c r="BG878" s="1" t="s">
        <v>7118</v>
      </c>
      <c r="BH878" s="1">
        <v>0.0</v>
      </c>
      <c r="BK878" s="1" t="s">
        <v>204</v>
      </c>
      <c r="BL878" s="1" t="str">
        <f>"3552"</f>
        <v>3552</v>
      </c>
      <c r="BM878" s="1" t="str">
        <f t="shared" si="571"/>
        <v>0</v>
      </c>
      <c r="BN878" s="1">
        <v>2100.0</v>
      </c>
      <c r="BO878" s="1">
        <v>0.0</v>
      </c>
      <c r="BQ878" s="1">
        <v>299.0</v>
      </c>
      <c r="BR878" s="1">
        <v>299.0</v>
      </c>
      <c r="BS878" s="1">
        <v>299.0</v>
      </c>
      <c r="BU878" s="1" t="s">
        <v>3817</v>
      </c>
      <c r="BV878" s="1" t="s">
        <v>206</v>
      </c>
      <c r="BW878" s="1" t="s">
        <v>207</v>
      </c>
      <c r="BY878" s="1" t="s">
        <v>260</v>
      </c>
      <c r="BZ878" s="1" t="s">
        <v>209</v>
      </c>
      <c r="CA878" s="1" t="s">
        <v>207</v>
      </c>
      <c r="CC878" s="1" t="s">
        <v>542</v>
      </c>
      <c r="CD878" s="1" t="s">
        <v>206</v>
      </c>
      <c r="CE878" s="1" t="s">
        <v>207</v>
      </c>
      <c r="CG878" s="1" t="s">
        <v>212</v>
      </c>
      <c r="CH878" s="1" t="s">
        <v>209</v>
      </c>
      <c r="CI878" s="1" t="s">
        <v>207</v>
      </c>
      <c r="CK878" s="1" t="s">
        <v>212</v>
      </c>
      <c r="CL878" s="1" t="s">
        <v>209</v>
      </c>
      <c r="CM878" s="1" t="s">
        <v>207</v>
      </c>
      <c r="CO878" s="1" t="s">
        <v>495</v>
      </c>
      <c r="CP878" s="1" t="s">
        <v>267</v>
      </c>
      <c r="CQ878" s="1" t="s">
        <v>210</v>
      </c>
      <c r="CS878" s="1" t="s">
        <v>582</v>
      </c>
      <c r="CT878" s="1" t="s">
        <v>206</v>
      </c>
      <c r="CU878" s="1" t="s">
        <v>207</v>
      </c>
      <c r="CW878" s="1" t="s">
        <v>260</v>
      </c>
      <c r="CX878" s="1" t="s">
        <v>267</v>
      </c>
      <c r="CY878" s="1" t="s">
        <v>210</v>
      </c>
      <c r="DA878" s="1" t="s">
        <v>192</v>
      </c>
      <c r="DB878" s="2">
        <v>41851.0</v>
      </c>
      <c r="DC878" s="1" t="s">
        <v>744</v>
      </c>
      <c r="DD878" s="1" t="s">
        <v>3633</v>
      </c>
      <c r="DE878" s="1" t="s">
        <v>3750</v>
      </c>
      <c r="DF878" s="1" t="s">
        <v>2328</v>
      </c>
      <c r="DG878" s="1" t="s">
        <v>337</v>
      </c>
      <c r="DH878" s="1" t="s">
        <v>365</v>
      </c>
      <c r="DI878" s="1" t="s">
        <v>3659</v>
      </c>
      <c r="DJ878" s="1" t="s">
        <v>222</v>
      </c>
      <c r="DK878" s="1" t="s">
        <v>223</v>
      </c>
      <c r="DL878" s="1" t="s">
        <v>229</v>
      </c>
      <c r="DM878" s="1" t="s">
        <v>1464</v>
      </c>
      <c r="DN878" s="1" t="s">
        <v>6558</v>
      </c>
      <c r="DO878" s="1" t="s">
        <v>717</v>
      </c>
      <c r="DP878" s="1" t="s">
        <v>276</v>
      </c>
      <c r="DQ878" s="1" t="s">
        <v>228</v>
      </c>
      <c r="DR878" s="1" t="s">
        <v>229</v>
      </c>
      <c r="DS878" s="1" t="s">
        <v>368</v>
      </c>
      <c r="DU878" s="1" t="s">
        <v>10083</v>
      </c>
      <c r="DV878" s="1" t="s">
        <v>10084</v>
      </c>
      <c r="DW878" s="1" t="s">
        <v>1145</v>
      </c>
      <c r="DX878" s="1" t="s">
        <v>234</v>
      </c>
      <c r="DY878" s="1" t="s">
        <v>10085</v>
      </c>
      <c r="DZ878" s="1" t="s">
        <v>4491</v>
      </c>
      <c r="EA878" s="1" t="s">
        <v>2466</v>
      </c>
      <c r="EB878" s="1" t="s">
        <v>684</v>
      </c>
      <c r="EC878" s="1" t="s">
        <v>406</v>
      </c>
      <c r="ED878" s="1" t="s">
        <v>312</v>
      </c>
      <c r="EG878" s="1" t="s">
        <v>1164</v>
      </c>
      <c r="EH878" s="1" t="s">
        <v>2971</v>
      </c>
      <c r="EI878" s="1" t="s">
        <v>408</v>
      </c>
      <c r="EJ878" s="1" t="s">
        <v>1270</v>
      </c>
      <c r="EK878" s="1" t="s">
        <v>409</v>
      </c>
      <c r="EL878" s="1" t="s">
        <v>480</v>
      </c>
      <c r="EM878" s="1" t="s">
        <v>206</v>
      </c>
      <c r="EN878" s="1" t="s">
        <v>207</v>
      </c>
      <c r="EP878" s="1" t="s">
        <v>4153</v>
      </c>
      <c r="EQ878" s="1" t="s">
        <v>267</v>
      </c>
      <c r="ET878" s="1" t="s">
        <v>1688</v>
      </c>
      <c r="EU878" s="1" t="s">
        <v>206</v>
      </c>
      <c r="EV878" s="1" t="s">
        <v>207</v>
      </c>
      <c r="EX878" s="1" t="s">
        <v>3702</v>
      </c>
      <c r="EY878" s="1" t="s">
        <v>267</v>
      </c>
      <c r="EZ878" s="1" t="s">
        <v>268</v>
      </c>
      <c r="FB878" s="1" t="s">
        <v>721</v>
      </c>
      <c r="FC878" s="1" t="s">
        <v>209</v>
      </c>
      <c r="FD878" s="1" t="s">
        <v>207</v>
      </c>
      <c r="FF878" s="1" t="s">
        <v>239</v>
      </c>
      <c r="FG878" s="1" t="s">
        <v>192</v>
      </c>
      <c r="FH878" s="1" t="s">
        <v>192</v>
      </c>
      <c r="FJ878" s="1" t="s">
        <v>561</v>
      </c>
      <c r="FK878" s="1" t="s">
        <v>229</v>
      </c>
      <c r="FL878" s="1" t="s">
        <v>1358</v>
      </c>
      <c r="FM878" s="1">
        <v>10272.0</v>
      </c>
      <c r="FN878" s="1" t="s">
        <v>3233</v>
      </c>
      <c r="FO878" s="1" t="s">
        <v>3234</v>
      </c>
      <c r="FP878" s="1">
        <v>115364.0</v>
      </c>
      <c r="FQ878" s="1" t="s">
        <v>3235</v>
      </c>
      <c r="FU878" s="1" t="s">
        <v>10086</v>
      </c>
      <c r="FV878" s="1" t="s">
        <v>192</v>
      </c>
      <c r="FW878" s="1" t="s">
        <v>10087</v>
      </c>
      <c r="FX878" s="1" t="s">
        <v>238</v>
      </c>
      <c r="FZ878" s="1" t="s">
        <v>229</v>
      </c>
      <c r="GA878" s="1" t="s">
        <v>291</v>
      </c>
      <c r="GB878" s="2">
        <v>41976.0</v>
      </c>
      <c r="GC878" s="1" t="s">
        <v>10088</v>
      </c>
    </row>
    <row r="879">
      <c r="A879" s="1">
        <v>152500.0</v>
      </c>
      <c r="B879" s="1" t="s">
        <v>185</v>
      </c>
      <c r="C879" s="1" t="str">
        <f>"08540356"</f>
        <v>08540356</v>
      </c>
      <c r="D879" s="1" t="s">
        <v>186</v>
      </c>
      <c r="F879" s="1" t="str">
        <f>"8038"</f>
        <v>8038</v>
      </c>
      <c r="G879" s="2">
        <v>41689.0</v>
      </c>
      <c r="H879" s="1">
        <v>242000.0</v>
      </c>
      <c r="I879" s="1">
        <v>472.0</v>
      </c>
      <c r="J879" s="1">
        <v>157950.0</v>
      </c>
      <c r="K879" s="2">
        <v>41941.0</v>
      </c>
      <c r="L879" s="1">
        <v>253.0</v>
      </c>
      <c r="M879" s="2">
        <v>41941.0</v>
      </c>
      <c r="N879" s="1" t="s">
        <v>249</v>
      </c>
      <c r="O879" s="2">
        <v>41969.0</v>
      </c>
      <c r="P879" s="1">
        <v>113923.0</v>
      </c>
      <c r="Q879" s="1">
        <v>84818.0</v>
      </c>
      <c r="S879" s="1">
        <v>419.0</v>
      </c>
      <c r="T879" s="1" t="s">
        <v>10089</v>
      </c>
      <c r="U879" s="1" t="s">
        <v>694</v>
      </c>
      <c r="V879" s="1" t="s">
        <v>190</v>
      </c>
      <c r="W879" s="1">
        <v>60653.0</v>
      </c>
      <c r="Y879" s="1" t="s">
        <v>10090</v>
      </c>
      <c r="Z879" s="1">
        <v>1900.0</v>
      </c>
      <c r="AA879" s="1" t="s">
        <v>192</v>
      </c>
      <c r="AB879" s="1" t="s">
        <v>193</v>
      </c>
      <c r="AD879" s="1" t="s">
        <v>194</v>
      </c>
      <c r="AE879" s="1" t="s">
        <v>195</v>
      </c>
      <c r="AF879" s="1" t="s">
        <v>637</v>
      </c>
      <c r="AH879" s="1" t="s">
        <v>10091</v>
      </c>
      <c r="AI879" s="1">
        <v>0.0467</v>
      </c>
      <c r="AK879" s="1">
        <v>9.0</v>
      </c>
      <c r="AL879" s="1">
        <v>3.0</v>
      </c>
      <c r="AM879" s="1">
        <v>3.0</v>
      </c>
      <c r="AN879" s="1">
        <v>1.0</v>
      </c>
      <c r="AO879" s="1" t="s">
        <v>198</v>
      </c>
      <c r="AP879" s="1">
        <v>2.0</v>
      </c>
      <c r="AQ879" s="1" t="s">
        <v>198</v>
      </c>
      <c r="AR879" s="1" t="s">
        <v>192</v>
      </c>
      <c r="AS879" s="1" t="s">
        <v>199</v>
      </c>
      <c r="AT879" s="1">
        <v>2.0</v>
      </c>
      <c r="AV879" s="1" t="s">
        <v>200</v>
      </c>
      <c r="AW879" s="1">
        <v>2202.33</v>
      </c>
      <c r="AX879" s="1">
        <v>2012.0</v>
      </c>
      <c r="AY879" s="1" t="s">
        <v>229</v>
      </c>
      <c r="AZ879" s="1" t="s">
        <v>200</v>
      </c>
      <c r="BA879" s="1" t="str">
        <f>"20034150070000"</f>
        <v>20034150070000</v>
      </c>
      <c r="BB879" s="1" t="s">
        <v>200</v>
      </c>
      <c r="BC879" s="1">
        <v>1884.0</v>
      </c>
      <c r="BD879" s="1">
        <v>152500.0</v>
      </c>
      <c r="BE879" s="2">
        <v>41689.0</v>
      </c>
      <c r="BF879" s="2" t="s">
        <v>10092</v>
      </c>
      <c r="BH879" s="1">
        <v>0.0</v>
      </c>
      <c r="BK879" s="1" t="s">
        <v>204</v>
      </c>
      <c r="BL879" s="1" t="str">
        <f>"0"</f>
        <v>0</v>
      </c>
      <c r="BM879" s="1" t="str">
        <f>"419"</f>
        <v>419</v>
      </c>
      <c r="BN879" s="1">
        <v>0.0</v>
      </c>
      <c r="BO879" s="1">
        <v>4500.0</v>
      </c>
      <c r="BQ879" s="1">
        <v>299.0</v>
      </c>
      <c r="BR879" s="1">
        <v>299.0</v>
      </c>
      <c r="BS879" s="1">
        <v>299.0</v>
      </c>
      <c r="BU879" s="1" t="s">
        <v>8872</v>
      </c>
      <c r="BV879" s="1" t="s">
        <v>206</v>
      </c>
      <c r="BW879" s="1" t="s">
        <v>207</v>
      </c>
      <c r="BX879" s="1" t="s">
        <v>229</v>
      </c>
      <c r="BY879" s="1" t="s">
        <v>480</v>
      </c>
      <c r="BZ879" s="1" t="s">
        <v>209</v>
      </c>
      <c r="CA879" s="1" t="s">
        <v>207</v>
      </c>
      <c r="CB879" s="1" t="s">
        <v>229</v>
      </c>
      <c r="CC879" s="1" t="s">
        <v>211</v>
      </c>
      <c r="CD879" s="1" t="s">
        <v>206</v>
      </c>
      <c r="CE879" s="1" t="s">
        <v>207</v>
      </c>
      <c r="CF879" s="1" t="s">
        <v>229</v>
      </c>
      <c r="CG879" s="1" t="s">
        <v>5311</v>
      </c>
      <c r="CH879" s="1" t="s">
        <v>209</v>
      </c>
      <c r="CI879" s="1" t="s">
        <v>210</v>
      </c>
      <c r="CJ879" s="1" t="s">
        <v>229</v>
      </c>
      <c r="CK879" s="1" t="s">
        <v>215</v>
      </c>
      <c r="CL879" s="1" t="s">
        <v>209</v>
      </c>
      <c r="CM879" s="1" t="s">
        <v>210</v>
      </c>
      <c r="CN879" s="1" t="s">
        <v>229</v>
      </c>
      <c r="CO879" s="1" t="s">
        <v>496</v>
      </c>
      <c r="CP879" s="1" t="s">
        <v>42</v>
      </c>
      <c r="CQ879" s="1" t="s">
        <v>210</v>
      </c>
      <c r="CR879" s="1" t="s">
        <v>229</v>
      </c>
      <c r="CS879" s="1" t="s">
        <v>454</v>
      </c>
      <c r="CT879" s="1" t="s">
        <v>206</v>
      </c>
      <c r="CU879" s="1" t="s">
        <v>207</v>
      </c>
      <c r="CV879" s="1" t="s">
        <v>229</v>
      </c>
      <c r="CW879" s="1" t="s">
        <v>941</v>
      </c>
      <c r="CX879" s="1" t="s">
        <v>42</v>
      </c>
      <c r="CY879" s="1" t="s">
        <v>210</v>
      </c>
      <c r="CZ879" s="1" t="s">
        <v>229</v>
      </c>
      <c r="DA879" s="1" t="s">
        <v>200</v>
      </c>
      <c r="DC879" s="1" t="s">
        <v>642</v>
      </c>
      <c r="DD879" s="1" t="s">
        <v>518</v>
      </c>
      <c r="DE879" s="1" t="s">
        <v>273</v>
      </c>
      <c r="DF879" s="1" t="s">
        <v>10093</v>
      </c>
      <c r="DG879" s="1" t="s">
        <v>10094</v>
      </c>
      <c r="DH879" s="1" t="s">
        <v>365</v>
      </c>
      <c r="DJ879" s="1" t="s">
        <v>222</v>
      </c>
      <c r="DK879" s="1" t="s">
        <v>3740</v>
      </c>
      <c r="DL879" s="1" t="s">
        <v>224</v>
      </c>
      <c r="DM879" s="1" t="s">
        <v>229</v>
      </c>
      <c r="DN879" s="1" t="s">
        <v>399</v>
      </c>
      <c r="DP879" s="1" t="s">
        <v>340</v>
      </c>
      <c r="DQ879" s="1" t="s">
        <v>228</v>
      </c>
      <c r="DR879" s="1" t="s">
        <v>229</v>
      </c>
      <c r="DS879" s="1" t="s">
        <v>230</v>
      </c>
      <c r="DU879" s="1" t="s">
        <v>10095</v>
      </c>
      <c r="DV879" s="1" t="s">
        <v>449</v>
      </c>
      <c r="DW879" s="1" t="s">
        <v>1145</v>
      </c>
      <c r="DX879" s="1" t="s">
        <v>8861</v>
      </c>
      <c r="EA879" s="1" t="s">
        <v>283</v>
      </c>
      <c r="EB879" s="1" t="s">
        <v>684</v>
      </c>
      <c r="EC879" s="1" t="s">
        <v>406</v>
      </c>
      <c r="ED879" s="1" t="s">
        <v>555</v>
      </c>
      <c r="EG879" s="1" t="s">
        <v>449</v>
      </c>
      <c r="EL879" s="1" t="s">
        <v>10096</v>
      </c>
      <c r="EM879" s="1" t="s">
        <v>206</v>
      </c>
      <c r="EN879" s="1" t="s">
        <v>207</v>
      </c>
      <c r="EO879" s="1" t="s">
        <v>229</v>
      </c>
      <c r="EQ879" s="1" t="s">
        <v>238</v>
      </c>
      <c r="EU879" s="1" t="s">
        <v>238</v>
      </c>
      <c r="EY879" s="1" t="s">
        <v>238</v>
      </c>
      <c r="FC879" s="1" t="s">
        <v>238</v>
      </c>
      <c r="FF879" s="1" t="s">
        <v>239</v>
      </c>
      <c r="FG879" s="1" t="s">
        <v>192</v>
      </c>
      <c r="FH879" s="1" t="s">
        <v>192</v>
      </c>
      <c r="FJ879" s="1" t="s">
        <v>2658</v>
      </c>
      <c r="FK879" s="1" t="s">
        <v>229</v>
      </c>
      <c r="FL879" s="1" t="s">
        <v>2659</v>
      </c>
      <c r="FM879" s="1">
        <v>25562.0</v>
      </c>
      <c r="FN879" s="1" t="s">
        <v>2660</v>
      </c>
      <c r="FO879" s="1" t="s">
        <v>2661</v>
      </c>
      <c r="FP879" s="1">
        <v>215155.0</v>
      </c>
      <c r="FQ879" s="1" t="s">
        <v>2660</v>
      </c>
      <c r="FU879" s="1" t="s">
        <v>10097</v>
      </c>
      <c r="FV879" s="1" t="s">
        <v>200</v>
      </c>
      <c r="FW879" s="1" t="s">
        <v>2662</v>
      </c>
      <c r="FX879" s="1" t="s">
        <v>1739</v>
      </c>
      <c r="FZ879" s="1" t="s">
        <v>229</v>
      </c>
      <c r="GA879" s="1" t="s">
        <v>291</v>
      </c>
      <c r="GB879" s="2">
        <v>41969.0</v>
      </c>
      <c r="GC879" s="1" t="s">
        <v>10098</v>
      </c>
    </row>
    <row r="880">
      <c r="A880" s="1">
        <v>250000.0</v>
      </c>
      <c r="B880" s="1" t="s">
        <v>185</v>
      </c>
      <c r="C880" s="1" t="str">
        <f>"08544388"</f>
        <v>08544388</v>
      </c>
      <c r="D880" s="1" t="s">
        <v>186</v>
      </c>
      <c r="F880" s="1" t="str">
        <f>"140"</f>
        <v>140</v>
      </c>
      <c r="G880" s="2">
        <v>41695.0</v>
      </c>
      <c r="H880" s="1">
        <v>185000.0</v>
      </c>
      <c r="I880" s="1">
        <v>26.0</v>
      </c>
      <c r="J880" s="1">
        <v>185000.0</v>
      </c>
      <c r="K880" s="2">
        <v>41718.0</v>
      </c>
      <c r="L880" s="1">
        <v>26.0</v>
      </c>
      <c r="M880" s="2">
        <v>41718.0</v>
      </c>
      <c r="N880" s="1" t="s">
        <v>356</v>
      </c>
      <c r="O880" s="2">
        <v>42048.0</v>
      </c>
      <c r="P880" s="1">
        <v>40142.0</v>
      </c>
      <c r="Q880" s="1">
        <v>3600.0</v>
      </c>
      <c r="S880" s="1">
        <v>966.0</v>
      </c>
      <c r="T880" s="1" t="s">
        <v>2664</v>
      </c>
      <c r="U880" s="1" t="s">
        <v>320</v>
      </c>
      <c r="V880" s="1" t="s">
        <v>4858</v>
      </c>
      <c r="W880" s="1">
        <v>60140.0</v>
      </c>
      <c r="Y880" s="1" t="s">
        <v>10099</v>
      </c>
      <c r="Z880" s="1" t="s">
        <v>296</v>
      </c>
      <c r="AA880" s="1" t="s">
        <v>200</v>
      </c>
      <c r="AB880" s="1" t="s">
        <v>193</v>
      </c>
      <c r="AD880" s="1" t="s">
        <v>4860</v>
      </c>
      <c r="AE880" s="1" t="s">
        <v>325</v>
      </c>
      <c r="AF880" s="1" t="s">
        <v>3429</v>
      </c>
      <c r="AH880" s="1">
        <v>0.0</v>
      </c>
      <c r="AI880" s="1">
        <v>0.2379</v>
      </c>
      <c r="AK880" s="1">
        <v>9.0</v>
      </c>
      <c r="AL880" s="1">
        <v>4.0</v>
      </c>
      <c r="AM880" s="1">
        <v>2.0</v>
      </c>
      <c r="AN880" s="1">
        <v>1.0</v>
      </c>
      <c r="AO880" s="1" t="s">
        <v>198</v>
      </c>
      <c r="AQ880" s="1" t="s">
        <v>198</v>
      </c>
      <c r="AR880" s="1" t="s">
        <v>200</v>
      </c>
      <c r="AS880" s="1" t="s">
        <v>199</v>
      </c>
      <c r="AT880" s="1">
        <v>3.0</v>
      </c>
      <c r="AV880" s="1" t="s">
        <v>192</v>
      </c>
      <c r="AW880" s="1">
        <v>9197.69</v>
      </c>
      <c r="AX880" s="1">
        <v>2012.0</v>
      </c>
      <c r="AZ880" s="1" t="s">
        <v>192</v>
      </c>
      <c r="BA880" s="1" t="str">
        <f>"0233101023"</f>
        <v>0233101023</v>
      </c>
      <c r="BC880" s="1">
        <v>2800.0</v>
      </c>
      <c r="BD880" s="1">
        <v>250000.0</v>
      </c>
      <c r="BE880" s="2">
        <v>41693.0</v>
      </c>
      <c r="BF880" s="1" t="s">
        <v>10100</v>
      </c>
      <c r="BH880" s="1">
        <v>56.0</v>
      </c>
      <c r="BK880" s="1" t="s">
        <v>474</v>
      </c>
      <c r="BL880" s="1" t="str">
        <f t="shared" ref="BL880:BM880" si="572">""</f>
        <v/>
      </c>
      <c r="BM880" s="1" t="str">
        <f t="shared" si="572"/>
        <v/>
      </c>
      <c r="BQ880" s="1">
        <v>300.0</v>
      </c>
      <c r="BR880" s="1">
        <v>300.0</v>
      </c>
      <c r="BS880" s="1">
        <v>300.0</v>
      </c>
      <c r="BU880" s="1" t="s">
        <v>329</v>
      </c>
      <c r="BV880" s="1" t="s">
        <v>206</v>
      </c>
      <c r="BY880" s="1" t="s">
        <v>782</v>
      </c>
      <c r="BZ880" s="1" t="s">
        <v>209</v>
      </c>
      <c r="CC880" s="1" t="s">
        <v>495</v>
      </c>
      <c r="CD880" s="1" t="s">
        <v>206</v>
      </c>
      <c r="CG880" s="1" t="s">
        <v>331</v>
      </c>
      <c r="CH880" s="1" t="s">
        <v>209</v>
      </c>
      <c r="CK880" s="1" t="s">
        <v>363</v>
      </c>
      <c r="CL880" s="1" t="s">
        <v>209</v>
      </c>
      <c r="CO880" s="1" t="s">
        <v>495</v>
      </c>
      <c r="CP880" s="1" t="s">
        <v>209</v>
      </c>
      <c r="CS880" s="1" t="s">
        <v>332</v>
      </c>
      <c r="CT880" s="1" t="s">
        <v>206</v>
      </c>
      <c r="CW880" s="1" t="s">
        <v>1892</v>
      </c>
      <c r="CX880" s="1" t="s">
        <v>206</v>
      </c>
      <c r="DA880" s="1" t="s">
        <v>200</v>
      </c>
      <c r="DC880" s="1" t="s">
        <v>545</v>
      </c>
      <c r="DE880" s="1" t="s">
        <v>273</v>
      </c>
      <c r="DF880" s="1" t="s">
        <v>219</v>
      </c>
      <c r="DH880" s="1" t="s">
        <v>220</v>
      </c>
      <c r="DJ880" s="1" t="s">
        <v>1379</v>
      </c>
      <c r="DL880" s="1" t="s">
        <v>223</v>
      </c>
      <c r="DM880" s="1" t="s">
        <v>338</v>
      </c>
      <c r="DQ880" s="1" t="s">
        <v>441</v>
      </c>
      <c r="DR880" s="1" t="s">
        <v>6095</v>
      </c>
      <c r="DV880" s="1" t="s">
        <v>449</v>
      </c>
      <c r="DW880" s="1" t="s">
        <v>2602</v>
      </c>
      <c r="DX880" s="1" t="s">
        <v>234</v>
      </c>
      <c r="EC880" s="1" t="s">
        <v>237</v>
      </c>
      <c r="EG880" s="1" t="s">
        <v>449</v>
      </c>
      <c r="EL880" s="1" t="s">
        <v>331</v>
      </c>
      <c r="EM880" s="1" t="s">
        <v>206</v>
      </c>
      <c r="EQ880" s="1" t="s">
        <v>238</v>
      </c>
      <c r="EU880" s="1" t="s">
        <v>238</v>
      </c>
      <c r="EY880" s="1" t="s">
        <v>238</v>
      </c>
      <c r="FC880" s="1" t="s">
        <v>238</v>
      </c>
      <c r="FF880" s="1" t="s">
        <v>239</v>
      </c>
      <c r="FG880" s="1" t="s">
        <v>192</v>
      </c>
      <c r="FH880" s="1" t="s">
        <v>192</v>
      </c>
      <c r="FJ880" s="1" t="s">
        <v>10101</v>
      </c>
      <c r="FK880" s="1" t="s">
        <v>1586</v>
      </c>
      <c r="FL880" s="1" t="s">
        <v>10102</v>
      </c>
      <c r="FM880" s="1">
        <v>3600.0</v>
      </c>
      <c r="FN880" s="1" t="s">
        <v>10103</v>
      </c>
      <c r="FO880" s="1" t="s">
        <v>10104</v>
      </c>
      <c r="FP880" s="1">
        <v>38149.0</v>
      </c>
      <c r="FQ880" s="1" t="s">
        <v>10105</v>
      </c>
      <c r="FU880" s="1" t="s">
        <v>10106</v>
      </c>
      <c r="FV880" s="1" t="s">
        <v>200</v>
      </c>
      <c r="FW880" s="1" t="s">
        <v>290</v>
      </c>
      <c r="FZ880" s="1" t="s">
        <v>229</v>
      </c>
      <c r="GA880" s="1" t="s">
        <v>291</v>
      </c>
      <c r="GB880" s="2">
        <v>42048.0</v>
      </c>
      <c r="GC880" s="1" t="s">
        <v>10107</v>
      </c>
    </row>
    <row r="881">
      <c r="A881" s="1">
        <v>232000.0</v>
      </c>
      <c r="B881" s="1" t="s">
        <v>185</v>
      </c>
      <c r="C881" s="1" t="str">
        <f>"08543745"</f>
        <v>08543745</v>
      </c>
      <c r="D881" s="1" t="s">
        <v>186</v>
      </c>
      <c r="F881" s="1" t="str">
        <f>"136"</f>
        <v>136</v>
      </c>
      <c r="G881" s="2">
        <v>41695.0</v>
      </c>
      <c r="H881" s="1">
        <v>284900.0</v>
      </c>
      <c r="I881" s="1">
        <v>314.0</v>
      </c>
      <c r="J881" s="1">
        <v>239900.0</v>
      </c>
      <c r="K881" s="2">
        <v>42007.0</v>
      </c>
      <c r="L881" s="1">
        <v>314.0</v>
      </c>
      <c r="M881" s="2">
        <v>42007.0</v>
      </c>
      <c r="N881" s="1" t="s">
        <v>356</v>
      </c>
      <c r="O881" s="2">
        <v>42069.0</v>
      </c>
      <c r="P881" s="1">
        <v>76344.0</v>
      </c>
      <c r="Q881" s="1">
        <v>7032.0</v>
      </c>
      <c r="S881" s="1">
        <v>60.0</v>
      </c>
      <c r="T881" s="1" t="s">
        <v>10108</v>
      </c>
      <c r="U881" s="1" t="s">
        <v>1015</v>
      </c>
      <c r="V881" s="1" t="s">
        <v>5032</v>
      </c>
      <c r="W881" s="1">
        <v>60136.0</v>
      </c>
      <c r="Y881" s="1" t="s">
        <v>10109</v>
      </c>
      <c r="Z881" s="1">
        <v>2003.0</v>
      </c>
      <c r="AA881" s="1" t="s">
        <v>200</v>
      </c>
      <c r="AB881" s="1" t="s">
        <v>193</v>
      </c>
      <c r="AC881" s="1" t="s">
        <v>10110</v>
      </c>
      <c r="AD881" s="1" t="s">
        <v>5035</v>
      </c>
      <c r="AE881" s="1" t="s">
        <v>325</v>
      </c>
      <c r="AF881" s="1" t="s">
        <v>3429</v>
      </c>
      <c r="AH881" s="1">
        <v>11071.0</v>
      </c>
      <c r="AI881" s="1">
        <v>0.2513</v>
      </c>
      <c r="AK881" s="1">
        <v>10.0</v>
      </c>
      <c r="AL881" s="1">
        <v>4.0</v>
      </c>
      <c r="AM881" s="1">
        <v>2.0</v>
      </c>
      <c r="AN881" s="1">
        <v>1.0</v>
      </c>
      <c r="AO881" s="1" t="s">
        <v>198</v>
      </c>
      <c r="AP881" s="1">
        <v>1.0</v>
      </c>
      <c r="AQ881" s="1" t="s">
        <v>198</v>
      </c>
      <c r="AR881" s="1" t="s">
        <v>200</v>
      </c>
      <c r="AS881" s="1" t="s">
        <v>199</v>
      </c>
      <c r="AT881" s="1">
        <v>3.0</v>
      </c>
      <c r="AV881" s="1" t="s">
        <v>200</v>
      </c>
      <c r="AW881" s="1">
        <v>9499.88</v>
      </c>
      <c r="AX881" s="1">
        <v>2012.0</v>
      </c>
      <c r="AZ881" s="1" t="s">
        <v>200</v>
      </c>
      <c r="BA881" s="1" t="str">
        <f>"0235227018"</f>
        <v>0235227018</v>
      </c>
      <c r="BC881" s="1">
        <v>3109.0</v>
      </c>
      <c r="BD881" s="1">
        <v>232000.0</v>
      </c>
      <c r="BE881" s="2">
        <v>41694.0</v>
      </c>
      <c r="BF881" s="1" t="s">
        <v>10111</v>
      </c>
      <c r="BG881" s="1" t="s">
        <v>5039</v>
      </c>
      <c r="BH881" s="1">
        <v>325.0</v>
      </c>
      <c r="BI881" s="1" t="s">
        <v>5040</v>
      </c>
      <c r="BJ881" s="1" t="s">
        <v>1182</v>
      </c>
      <c r="BK881" s="1" t="s">
        <v>580</v>
      </c>
      <c r="BL881" s="1" t="str">
        <f>"15"</f>
        <v>15</v>
      </c>
      <c r="BM881" s="1" t="str">
        <f>""</f>
        <v/>
      </c>
      <c r="BN881" s="1">
        <v>39.0</v>
      </c>
      <c r="BQ881" s="1">
        <v>300.0</v>
      </c>
      <c r="BR881" s="1">
        <v>300.0</v>
      </c>
      <c r="BS881" s="1">
        <v>300.0</v>
      </c>
      <c r="BU881" s="1" t="s">
        <v>215</v>
      </c>
      <c r="BV881" s="1" t="s">
        <v>206</v>
      </c>
      <c r="BY881" s="1" t="s">
        <v>1534</v>
      </c>
      <c r="BZ881" s="1" t="s">
        <v>209</v>
      </c>
      <c r="CC881" s="1" t="s">
        <v>215</v>
      </c>
      <c r="CD881" s="1" t="s">
        <v>206</v>
      </c>
      <c r="CG881" s="1" t="s">
        <v>215</v>
      </c>
      <c r="CH881" s="1" t="s">
        <v>209</v>
      </c>
      <c r="CK881" s="1" t="s">
        <v>215</v>
      </c>
      <c r="CL881" s="1" t="s">
        <v>209</v>
      </c>
      <c r="CO881" s="1" t="s">
        <v>363</v>
      </c>
      <c r="CP881" s="1" t="s">
        <v>209</v>
      </c>
      <c r="CS881" s="1" t="s">
        <v>215</v>
      </c>
      <c r="CT881" s="1" t="s">
        <v>206</v>
      </c>
      <c r="CW881" s="1" t="s">
        <v>854</v>
      </c>
      <c r="CX881" s="1" t="s">
        <v>206</v>
      </c>
      <c r="DA881" s="1" t="s">
        <v>200</v>
      </c>
      <c r="DC881" s="1" t="s">
        <v>335</v>
      </c>
      <c r="DE881" s="1" t="s">
        <v>273</v>
      </c>
      <c r="DF881" s="1" t="s">
        <v>619</v>
      </c>
      <c r="DH881" s="1" t="s">
        <v>220</v>
      </c>
      <c r="DJ881" s="1" t="s">
        <v>222</v>
      </c>
      <c r="DL881" s="1" t="s">
        <v>223</v>
      </c>
      <c r="DM881" s="1" t="s">
        <v>338</v>
      </c>
      <c r="DP881" s="1" t="s">
        <v>340</v>
      </c>
      <c r="DQ881" s="1" t="s">
        <v>228</v>
      </c>
      <c r="DR881" s="1" t="s">
        <v>588</v>
      </c>
      <c r="DV881" s="1" t="s">
        <v>2381</v>
      </c>
      <c r="DW881" s="1" t="s">
        <v>444</v>
      </c>
      <c r="DX881" s="1" t="s">
        <v>234</v>
      </c>
      <c r="EC881" s="1" t="s">
        <v>237</v>
      </c>
      <c r="EG881" s="1" t="s">
        <v>556</v>
      </c>
      <c r="EH881" s="1" t="s">
        <v>494</v>
      </c>
      <c r="EL881" s="1" t="s">
        <v>663</v>
      </c>
      <c r="EM881" s="1" t="s">
        <v>206</v>
      </c>
      <c r="EP881" s="1" t="s">
        <v>495</v>
      </c>
      <c r="EQ881" s="1" t="s">
        <v>206</v>
      </c>
      <c r="EU881" s="1" t="s">
        <v>238</v>
      </c>
      <c r="EY881" s="1" t="s">
        <v>238</v>
      </c>
      <c r="FC881" s="1" t="s">
        <v>238</v>
      </c>
      <c r="FF881" s="1" t="s">
        <v>239</v>
      </c>
      <c r="FG881" s="1" t="s">
        <v>192</v>
      </c>
      <c r="FH881" s="1" t="s">
        <v>192</v>
      </c>
      <c r="FJ881" s="1" t="s">
        <v>347</v>
      </c>
      <c r="FK881" s="1" t="s">
        <v>229</v>
      </c>
      <c r="FL881" s="1" t="s">
        <v>456</v>
      </c>
      <c r="FM881" s="1">
        <v>6026.0</v>
      </c>
      <c r="FN881" s="1" t="s">
        <v>3545</v>
      </c>
      <c r="FO881" s="1" t="s">
        <v>3546</v>
      </c>
      <c r="FP881" s="1">
        <v>62750.0</v>
      </c>
      <c r="FQ881" s="1" t="s">
        <v>3547</v>
      </c>
      <c r="FU881" s="1" t="s">
        <v>10112</v>
      </c>
      <c r="FV881" s="1" t="s">
        <v>200</v>
      </c>
      <c r="FW881" s="1" t="s">
        <v>354</v>
      </c>
      <c r="FZ881" s="1" t="s">
        <v>229</v>
      </c>
      <c r="GA881" s="1" t="s">
        <v>291</v>
      </c>
      <c r="GB881" s="2">
        <v>42069.0</v>
      </c>
      <c r="GC881" s="1" t="s">
        <v>10113</v>
      </c>
    </row>
    <row r="882">
      <c r="A882" s="1">
        <v>105000.0</v>
      </c>
      <c r="B882" s="1" t="s">
        <v>185</v>
      </c>
      <c r="C882" s="1" t="str">
        <f>"08543141"</f>
        <v>08543141</v>
      </c>
      <c r="D882" s="1" t="s">
        <v>186</v>
      </c>
      <c r="F882" s="1" t="str">
        <f>"8074"</f>
        <v>8074</v>
      </c>
      <c r="G882" s="2">
        <v>41694.0</v>
      </c>
      <c r="H882" s="1">
        <v>189900.0</v>
      </c>
      <c r="I882" s="1">
        <v>293.0</v>
      </c>
      <c r="J882" s="1">
        <v>119900.0</v>
      </c>
      <c r="K882" s="2">
        <v>41983.0</v>
      </c>
      <c r="L882" s="1">
        <v>293.0</v>
      </c>
      <c r="M882" s="2">
        <v>41983.0</v>
      </c>
      <c r="N882" s="1" t="s">
        <v>249</v>
      </c>
      <c r="O882" s="2">
        <v>42033.0</v>
      </c>
      <c r="P882" s="1">
        <v>99999.0</v>
      </c>
      <c r="Q882" s="1" t="s">
        <v>947</v>
      </c>
      <c r="S882" s="1">
        <v>10919.0</v>
      </c>
      <c r="T882" s="1" t="s">
        <v>10114</v>
      </c>
      <c r="U882" s="1" t="s">
        <v>189</v>
      </c>
      <c r="V882" s="1" t="s">
        <v>190</v>
      </c>
      <c r="W882" s="1">
        <v>60655.0</v>
      </c>
      <c r="Y882" s="1" t="s">
        <v>10115</v>
      </c>
      <c r="Z882" s="1">
        <v>1942.0</v>
      </c>
      <c r="AA882" s="1" t="s">
        <v>192</v>
      </c>
      <c r="AB882" s="1" t="s">
        <v>193</v>
      </c>
      <c r="AD882" s="1" t="s">
        <v>194</v>
      </c>
      <c r="AE882" s="1" t="s">
        <v>195</v>
      </c>
      <c r="AF882" s="1" t="s">
        <v>659</v>
      </c>
      <c r="AH882" s="1">
        <v>4937.0</v>
      </c>
      <c r="AK882" s="1">
        <v>6.0</v>
      </c>
      <c r="AL882" s="1">
        <v>4.0</v>
      </c>
      <c r="AM882" s="1">
        <v>1.0</v>
      </c>
      <c r="AN882" s="1">
        <v>1.0</v>
      </c>
      <c r="AO882" s="1" t="s">
        <v>229</v>
      </c>
      <c r="AQ882" s="1" t="s">
        <v>198</v>
      </c>
      <c r="AR882" s="1" t="s">
        <v>192</v>
      </c>
      <c r="AS882" s="1" t="s">
        <v>229</v>
      </c>
      <c r="AV882" s="1" t="s">
        <v>200</v>
      </c>
      <c r="AW882" s="1">
        <v>2846.0</v>
      </c>
      <c r="AX882" s="1">
        <v>2012.0</v>
      </c>
      <c r="AY882" s="1" t="s">
        <v>588</v>
      </c>
      <c r="AZ882" s="1" t="s">
        <v>200</v>
      </c>
      <c r="BA882" s="1" t="str">
        <f>"24143110140000"</f>
        <v>24143110140000</v>
      </c>
      <c r="BB882" s="1" t="s">
        <v>200</v>
      </c>
      <c r="BC882" s="1">
        <v>1422.0</v>
      </c>
      <c r="BD882" s="1">
        <v>105000.0</v>
      </c>
      <c r="BE882" s="2">
        <v>41691.0</v>
      </c>
      <c r="BF882" s="1" t="s">
        <v>10116</v>
      </c>
      <c r="BH882" s="1">
        <v>0.0</v>
      </c>
      <c r="BK882" s="1" t="s">
        <v>204</v>
      </c>
      <c r="BL882" s="1" t="str">
        <f t="shared" ref="BL882:BM882" si="573">"0"</f>
        <v>0</v>
      </c>
      <c r="BM882" s="1" t="str">
        <f t="shared" si="573"/>
        <v>0</v>
      </c>
      <c r="BN882" s="1">
        <v>3700.0</v>
      </c>
      <c r="BO882" s="1">
        <v>10919.0</v>
      </c>
      <c r="BQ882" s="1">
        <v>299.0</v>
      </c>
      <c r="BR882" s="1">
        <v>299.0</v>
      </c>
      <c r="BS882" s="1">
        <v>299.0</v>
      </c>
      <c r="BU882" s="1" t="s">
        <v>3888</v>
      </c>
      <c r="BV882" s="1" t="s">
        <v>206</v>
      </c>
      <c r="BW882" s="1" t="s">
        <v>207</v>
      </c>
      <c r="BY882" s="1" t="s">
        <v>363</v>
      </c>
      <c r="BZ882" s="1" t="s">
        <v>206</v>
      </c>
      <c r="CA882" s="1" t="s">
        <v>207</v>
      </c>
      <c r="CD882" s="1" t="s">
        <v>204</v>
      </c>
      <c r="CG882" s="1" t="s">
        <v>699</v>
      </c>
      <c r="CH882" s="1" t="s">
        <v>206</v>
      </c>
      <c r="CI882" s="1" t="s">
        <v>207</v>
      </c>
      <c r="CK882" s="1" t="s">
        <v>1417</v>
      </c>
      <c r="CL882" s="1" t="s">
        <v>209</v>
      </c>
      <c r="CM882" s="1" t="s">
        <v>210</v>
      </c>
      <c r="CO882" s="1" t="s">
        <v>1417</v>
      </c>
      <c r="CP882" s="1" t="s">
        <v>209</v>
      </c>
      <c r="CQ882" s="1" t="s">
        <v>210</v>
      </c>
      <c r="CS882" s="1" t="s">
        <v>1519</v>
      </c>
      <c r="CT882" s="1" t="s">
        <v>206</v>
      </c>
      <c r="CX882" s="1" t="s">
        <v>204</v>
      </c>
      <c r="DA882" s="1" t="s">
        <v>200</v>
      </c>
      <c r="DC882" s="1" t="s">
        <v>1399</v>
      </c>
      <c r="DD882" s="1" t="s">
        <v>518</v>
      </c>
      <c r="DE882" s="1" t="s">
        <v>229</v>
      </c>
      <c r="DF882" s="1" t="s">
        <v>219</v>
      </c>
      <c r="DH882" s="1" t="s">
        <v>365</v>
      </c>
      <c r="DJ882" s="1" t="s">
        <v>1048</v>
      </c>
      <c r="DL882" s="1" t="s">
        <v>223</v>
      </c>
      <c r="DM882" s="1" t="s">
        <v>229</v>
      </c>
      <c r="DQ882" s="1" t="s">
        <v>228</v>
      </c>
      <c r="DR882" s="1" t="s">
        <v>229</v>
      </c>
      <c r="DV882" s="1" t="s">
        <v>232</v>
      </c>
      <c r="DW882" s="1" t="s">
        <v>667</v>
      </c>
      <c r="DX882" s="1" t="s">
        <v>234</v>
      </c>
      <c r="DY882" s="1" t="s">
        <v>553</v>
      </c>
      <c r="EA882" s="1" t="s">
        <v>1075</v>
      </c>
      <c r="EC882" s="1" t="s">
        <v>645</v>
      </c>
      <c r="EE882" s="1" t="s">
        <v>1673</v>
      </c>
      <c r="EM882" s="1" t="s">
        <v>238</v>
      </c>
      <c r="EQ882" s="1" t="s">
        <v>238</v>
      </c>
      <c r="EU882" s="1" t="s">
        <v>238</v>
      </c>
      <c r="EY882" s="1" t="s">
        <v>238</v>
      </c>
      <c r="FC882" s="1" t="s">
        <v>238</v>
      </c>
      <c r="FF882" s="1" t="s">
        <v>239</v>
      </c>
      <c r="FG882" s="1" t="s">
        <v>192</v>
      </c>
      <c r="FH882" s="1" t="s">
        <v>192</v>
      </c>
      <c r="FJ882" s="1" t="s">
        <v>10117</v>
      </c>
      <c r="FK882" s="1" t="s">
        <v>557</v>
      </c>
      <c r="FL882" s="1" t="s">
        <v>6039</v>
      </c>
      <c r="FM882" s="1">
        <v>12278.0</v>
      </c>
      <c r="FN882" s="1" t="s">
        <v>6040</v>
      </c>
      <c r="FO882" s="1" t="s">
        <v>10118</v>
      </c>
      <c r="FP882" s="1">
        <v>120001.0</v>
      </c>
      <c r="FQ882" s="1" t="s">
        <v>6040</v>
      </c>
      <c r="FR882" s="1">
        <v>119957.0</v>
      </c>
      <c r="FU882" s="1" t="s">
        <v>10119</v>
      </c>
      <c r="FV882" s="1" t="s">
        <v>200</v>
      </c>
      <c r="FW882" s="1" t="s">
        <v>7400</v>
      </c>
      <c r="FX882" s="1" t="s">
        <v>655</v>
      </c>
      <c r="FZ882" s="1" t="s">
        <v>229</v>
      </c>
      <c r="GA882" s="1" t="s">
        <v>291</v>
      </c>
      <c r="GB882" s="2">
        <v>42034.0</v>
      </c>
      <c r="GC882" s="1" t="s">
        <v>10120</v>
      </c>
    </row>
    <row r="883">
      <c r="A883" s="1">
        <v>126587.0</v>
      </c>
      <c r="B883" s="1" t="s">
        <v>185</v>
      </c>
      <c r="C883" s="1" t="str">
        <f>"08560196"</f>
        <v>08560196</v>
      </c>
      <c r="D883" s="1" t="s">
        <v>186</v>
      </c>
      <c r="F883" s="1" t="str">
        <f>"135"</f>
        <v>135</v>
      </c>
      <c r="G883" s="2">
        <v>41715.0</v>
      </c>
      <c r="H883" s="1">
        <v>149900.0</v>
      </c>
      <c r="I883" s="1">
        <v>241.0</v>
      </c>
      <c r="J883" s="1">
        <v>122900.0</v>
      </c>
      <c r="K883" s="2">
        <v>41954.0</v>
      </c>
      <c r="L883" s="1">
        <v>241.0</v>
      </c>
      <c r="M883" s="2">
        <v>41954.0</v>
      </c>
      <c r="N883" s="1" t="s">
        <v>356</v>
      </c>
      <c r="O883" s="2">
        <v>42093.0</v>
      </c>
      <c r="P883" s="1">
        <v>7289.0</v>
      </c>
      <c r="Q883" s="1">
        <v>7535.0</v>
      </c>
      <c r="S883" s="1">
        <v>808.0</v>
      </c>
      <c r="T883" s="1" t="s">
        <v>10121</v>
      </c>
      <c r="U883" s="1" t="s">
        <v>569</v>
      </c>
      <c r="V883" s="1" t="s">
        <v>10122</v>
      </c>
      <c r="W883" s="1">
        <v>60135.0</v>
      </c>
      <c r="Y883" s="1" t="s">
        <v>10123</v>
      </c>
      <c r="Z883" s="1">
        <v>1995.0</v>
      </c>
      <c r="AA883" s="1" t="s">
        <v>200</v>
      </c>
      <c r="AB883" s="1" t="s">
        <v>193</v>
      </c>
      <c r="AD883" s="1" t="s">
        <v>10124</v>
      </c>
      <c r="AE883" s="1" t="s">
        <v>613</v>
      </c>
      <c r="AF883" s="1" t="s">
        <v>10124</v>
      </c>
      <c r="AH883" s="1" t="s">
        <v>1757</v>
      </c>
      <c r="AK883" s="1">
        <v>8.0</v>
      </c>
      <c r="AL883" s="1">
        <v>3.0</v>
      </c>
      <c r="AM883" s="1">
        <v>2.0</v>
      </c>
      <c r="AN883" s="1">
        <v>0.0</v>
      </c>
      <c r="AO883" s="1" t="s">
        <v>229</v>
      </c>
      <c r="AQ883" s="1" t="s">
        <v>198</v>
      </c>
      <c r="AR883" s="1" t="s">
        <v>192</v>
      </c>
      <c r="AS883" s="1" t="s">
        <v>199</v>
      </c>
      <c r="AT883" s="1">
        <v>2.0</v>
      </c>
      <c r="AV883" s="1" t="s">
        <v>200</v>
      </c>
      <c r="AW883" s="1">
        <v>4247.34</v>
      </c>
      <c r="AX883" s="1">
        <v>2013.0</v>
      </c>
      <c r="AY883" s="1" t="s">
        <v>387</v>
      </c>
      <c r="AZ883" s="1" t="s">
        <v>200</v>
      </c>
      <c r="BA883" s="1" t="str">
        <f>"0330304004"</f>
        <v>0330304004</v>
      </c>
      <c r="BC883" s="1">
        <v>1200.0</v>
      </c>
      <c r="BD883" s="1">
        <v>126587.0</v>
      </c>
      <c r="BE883" s="2">
        <v>41714.0</v>
      </c>
      <c r="BF883" s="2" t="s">
        <v>10125</v>
      </c>
      <c r="BH883" s="1">
        <v>0.0</v>
      </c>
      <c r="BK883" s="1" t="s">
        <v>204</v>
      </c>
      <c r="BL883" s="1" t="str">
        <f t="shared" ref="BL883:BM883" si="574">""</f>
        <v/>
      </c>
      <c r="BM883" s="1" t="str">
        <f t="shared" si="574"/>
        <v/>
      </c>
      <c r="BQ883" s="1">
        <v>424.0</v>
      </c>
      <c r="BR883" s="1">
        <v>424.0</v>
      </c>
      <c r="BS883" s="1">
        <v>424.0</v>
      </c>
      <c r="BU883" s="1" t="s">
        <v>2219</v>
      </c>
      <c r="BV883" s="1" t="s">
        <v>206</v>
      </c>
      <c r="BW883" s="1" t="s">
        <v>210</v>
      </c>
      <c r="BY883" s="1" t="s">
        <v>390</v>
      </c>
      <c r="BZ883" s="1" t="s">
        <v>206</v>
      </c>
      <c r="CA883" s="1" t="s">
        <v>210</v>
      </c>
      <c r="CD883" s="1" t="s">
        <v>204</v>
      </c>
      <c r="CG883" s="1" t="s">
        <v>699</v>
      </c>
      <c r="CH883" s="1" t="s">
        <v>206</v>
      </c>
      <c r="CI883" s="1" t="s">
        <v>210</v>
      </c>
      <c r="CK883" s="1" t="s">
        <v>699</v>
      </c>
      <c r="CL883" s="1" t="s">
        <v>206</v>
      </c>
      <c r="CM883" s="1" t="s">
        <v>210</v>
      </c>
      <c r="CO883" s="1" t="s">
        <v>584</v>
      </c>
      <c r="CP883" s="1" t="s">
        <v>42</v>
      </c>
      <c r="CQ883" s="1" t="s">
        <v>210</v>
      </c>
      <c r="CS883" s="1" t="s">
        <v>730</v>
      </c>
      <c r="CT883" s="1" t="s">
        <v>206</v>
      </c>
      <c r="CU883" s="1" t="s">
        <v>617</v>
      </c>
      <c r="CW883" s="1" t="s">
        <v>7468</v>
      </c>
      <c r="CX883" s="1" t="s">
        <v>42</v>
      </c>
      <c r="CY883" s="1" t="s">
        <v>210</v>
      </c>
      <c r="CZ883" s="1" t="s">
        <v>229</v>
      </c>
      <c r="DA883" s="1" t="s">
        <v>200</v>
      </c>
      <c r="DC883" s="1" t="s">
        <v>678</v>
      </c>
      <c r="DD883" s="1" t="s">
        <v>518</v>
      </c>
      <c r="DE883" s="1" t="s">
        <v>273</v>
      </c>
      <c r="DF883" s="1" t="s">
        <v>619</v>
      </c>
      <c r="DG883" s="1" t="s">
        <v>8467</v>
      </c>
      <c r="DH883" s="1" t="s">
        <v>220</v>
      </c>
      <c r="DI883" s="1" t="s">
        <v>10126</v>
      </c>
      <c r="DJ883" s="1" t="s">
        <v>222</v>
      </c>
      <c r="DK883" s="1" t="s">
        <v>1555</v>
      </c>
      <c r="DL883" s="1" t="s">
        <v>224</v>
      </c>
      <c r="DM883" s="1" t="s">
        <v>338</v>
      </c>
      <c r="DQ883" s="1" t="s">
        <v>228</v>
      </c>
      <c r="DR883" s="1" t="s">
        <v>229</v>
      </c>
      <c r="DS883" s="1" t="s">
        <v>591</v>
      </c>
      <c r="DU883" s="1" t="s">
        <v>278</v>
      </c>
      <c r="DV883" s="1" t="s">
        <v>557</v>
      </c>
      <c r="DW883" s="1" t="s">
        <v>233</v>
      </c>
      <c r="DX883" s="1" t="s">
        <v>234</v>
      </c>
      <c r="DY883" s="1" t="s">
        <v>10127</v>
      </c>
      <c r="DZ883" s="1" t="s">
        <v>10128</v>
      </c>
      <c r="EA883" s="1" t="s">
        <v>683</v>
      </c>
      <c r="EC883" s="1" t="s">
        <v>685</v>
      </c>
      <c r="ED883" s="1" t="s">
        <v>407</v>
      </c>
      <c r="EE883" s="1" t="s">
        <v>493</v>
      </c>
      <c r="EG883" s="1" t="s">
        <v>557</v>
      </c>
      <c r="EL883" s="1" t="s">
        <v>215</v>
      </c>
      <c r="EM883" s="1" t="s">
        <v>42</v>
      </c>
      <c r="EN883" s="1" t="s">
        <v>210</v>
      </c>
      <c r="EO883" s="1" t="s">
        <v>229</v>
      </c>
      <c r="EQ883" s="1" t="s">
        <v>238</v>
      </c>
      <c r="EU883" s="1" t="s">
        <v>238</v>
      </c>
      <c r="EY883" s="1" t="s">
        <v>238</v>
      </c>
      <c r="FC883" s="1" t="s">
        <v>238</v>
      </c>
      <c r="FF883" s="1" t="s">
        <v>239</v>
      </c>
      <c r="FG883" s="1" t="s">
        <v>192</v>
      </c>
      <c r="FH883" s="1" t="s">
        <v>192</v>
      </c>
      <c r="FJ883" s="1" t="s">
        <v>10129</v>
      </c>
      <c r="FK883" s="1" t="s">
        <v>1586</v>
      </c>
      <c r="FL883" s="1" t="s">
        <v>1007</v>
      </c>
      <c r="FM883" s="1">
        <v>93044.0</v>
      </c>
      <c r="FN883" s="1" t="s">
        <v>10130</v>
      </c>
      <c r="FO883" s="1" t="s">
        <v>10131</v>
      </c>
      <c r="FP883" s="1">
        <v>930161.0</v>
      </c>
      <c r="FS883" s="1" t="s">
        <v>10132</v>
      </c>
      <c r="FU883" s="1" t="s">
        <v>10133</v>
      </c>
      <c r="FV883" s="1" t="s">
        <v>200</v>
      </c>
      <c r="FW883" s="1" t="s">
        <v>290</v>
      </c>
      <c r="FX883" s="1" t="s">
        <v>655</v>
      </c>
      <c r="FZ883" s="1" t="s">
        <v>229</v>
      </c>
      <c r="GA883" s="1" t="s">
        <v>291</v>
      </c>
      <c r="GB883" s="2">
        <v>42094.0</v>
      </c>
      <c r="GC883" s="2" t="s">
        <v>10134</v>
      </c>
    </row>
    <row r="884">
      <c r="A884" s="1">
        <v>260000.0</v>
      </c>
      <c r="B884" s="1" t="s">
        <v>185</v>
      </c>
      <c r="C884" s="1" t="str">
        <f>"08553441"</f>
        <v>08553441</v>
      </c>
      <c r="D884" s="1" t="s">
        <v>186</v>
      </c>
      <c r="F884" s="1" t="str">
        <f>"107"</f>
        <v>107</v>
      </c>
      <c r="G884" s="2">
        <v>41707.0</v>
      </c>
      <c r="H884" s="1">
        <v>264900.0</v>
      </c>
      <c r="I884" s="1">
        <v>12.0</v>
      </c>
      <c r="J884" s="1">
        <v>264900.0</v>
      </c>
      <c r="K884" s="2">
        <v>41718.0</v>
      </c>
      <c r="L884" s="1">
        <v>12.0</v>
      </c>
      <c r="M884" s="2">
        <v>41718.0</v>
      </c>
      <c r="N884" s="1" t="s">
        <v>356</v>
      </c>
      <c r="O884" s="2">
        <v>41995.0</v>
      </c>
      <c r="P884" s="1">
        <v>241523.0</v>
      </c>
      <c r="Q884" s="1">
        <v>25718.0</v>
      </c>
      <c r="S884" s="1">
        <v>13.0</v>
      </c>
      <c r="T884" s="1" t="s">
        <v>5449</v>
      </c>
      <c r="U884" s="1" t="s">
        <v>1174</v>
      </c>
      <c r="V884" s="1" t="s">
        <v>294</v>
      </c>
      <c r="W884" s="1">
        <v>60107.0</v>
      </c>
      <c r="Y884" s="1" t="s">
        <v>10135</v>
      </c>
      <c r="Z884" s="1">
        <v>1988.0</v>
      </c>
      <c r="AA884" s="1" t="s">
        <v>200</v>
      </c>
      <c r="AB884" s="1" t="s">
        <v>193</v>
      </c>
      <c r="AD884" s="1" t="s">
        <v>254</v>
      </c>
      <c r="AE884" s="1" t="s">
        <v>195</v>
      </c>
      <c r="AF884" s="1" t="s">
        <v>298</v>
      </c>
      <c r="AH884" s="1" t="s">
        <v>10136</v>
      </c>
      <c r="AI884" s="1">
        <v>0.2025</v>
      </c>
      <c r="AK884" s="1">
        <v>9.0</v>
      </c>
      <c r="AL884" s="1">
        <v>4.0</v>
      </c>
      <c r="AM884" s="1">
        <v>2.0</v>
      </c>
      <c r="AN884" s="1">
        <v>1.0</v>
      </c>
      <c r="AO884" s="1" t="s">
        <v>198</v>
      </c>
      <c r="AQ884" s="1" t="s">
        <v>198</v>
      </c>
      <c r="AR884" s="1" t="s">
        <v>192</v>
      </c>
      <c r="AS884" s="1" t="s">
        <v>199</v>
      </c>
      <c r="AT884" s="1">
        <v>2.0</v>
      </c>
      <c r="AV884" s="1" t="s">
        <v>200</v>
      </c>
      <c r="AW884" s="1">
        <v>8170.44</v>
      </c>
      <c r="AX884" s="1">
        <v>2012.0</v>
      </c>
      <c r="AZ884" s="1" t="s">
        <v>200</v>
      </c>
      <c r="BA884" s="1" t="str">
        <f>"06212030030000"</f>
        <v>06212030030000</v>
      </c>
      <c r="BC884" s="1">
        <v>2386.0</v>
      </c>
      <c r="BD884" s="1">
        <v>260000.0</v>
      </c>
      <c r="BE884" s="2">
        <v>41707.0</v>
      </c>
      <c r="BF884" s="2" t="s">
        <v>10137</v>
      </c>
      <c r="BH884" s="1">
        <v>0.0</v>
      </c>
      <c r="BK884" s="1" t="s">
        <v>204</v>
      </c>
      <c r="BL884" s="1" t="str">
        <f>"10"</f>
        <v>10</v>
      </c>
      <c r="BM884" s="1" t="str">
        <f>""</f>
        <v/>
      </c>
      <c r="BN884" s="1">
        <v>30.0</v>
      </c>
      <c r="BQ884" s="1">
        <v>46.0</v>
      </c>
      <c r="BR884" s="1">
        <v>46.0</v>
      </c>
      <c r="BS884" s="1">
        <v>46.0</v>
      </c>
      <c r="BU884" s="1" t="s">
        <v>260</v>
      </c>
      <c r="BV884" s="1" t="s">
        <v>206</v>
      </c>
      <c r="BY884" s="1" t="s">
        <v>854</v>
      </c>
      <c r="BZ884" s="1" t="s">
        <v>209</v>
      </c>
      <c r="CC884" s="1" t="s">
        <v>495</v>
      </c>
      <c r="CD884" s="1" t="s">
        <v>206</v>
      </c>
      <c r="CG884" s="1" t="s">
        <v>331</v>
      </c>
      <c r="CH884" s="1" t="s">
        <v>209</v>
      </c>
      <c r="CK884" s="1" t="s">
        <v>212</v>
      </c>
      <c r="CL884" s="1" t="s">
        <v>209</v>
      </c>
      <c r="CO884" s="1" t="s">
        <v>269</v>
      </c>
      <c r="CP884" s="1" t="s">
        <v>209</v>
      </c>
      <c r="CS884" s="1" t="s">
        <v>1875</v>
      </c>
      <c r="CT884" s="1" t="s">
        <v>206</v>
      </c>
      <c r="CW884" s="1" t="s">
        <v>432</v>
      </c>
      <c r="CX884" s="1" t="s">
        <v>206</v>
      </c>
      <c r="DA884" s="1" t="s">
        <v>200</v>
      </c>
      <c r="DC884" s="1" t="s">
        <v>305</v>
      </c>
      <c r="DE884" s="1" t="s">
        <v>273</v>
      </c>
      <c r="DF884" s="1" t="s">
        <v>905</v>
      </c>
      <c r="DH884" s="1" t="s">
        <v>220</v>
      </c>
      <c r="DJ884" s="1" t="s">
        <v>222</v>
      </c>
      <c r="DL884" s="1" t="s">
        <v>224</v>
      </c>
      <c r="DM884" s="1" t="s">
        <v>229</v>
      </c>
      <c r="DQ884" s="1" t="s">
        <v>228</v>
      </c>
      <c r="DR884" s="1" t="s">
        <v>229</v>
      </c>
      <c r="DV884" s="1" t="s">
        <v>494</v>
      </c>
      <c r="DW884" s="1" t="s">
        <v>2602</v>
      </c>
      <c r="DX884" s="1" t="s">
        <v>234</v>
      </c>
      <c r="EC884" s="1" t="s">
        <v>237</v>
      </c>
      <c r="EG884" s="1" t="s">
        <v>494</v>
      </c>
      <c r="EL884" s="1" t="s">
        <v>269</v>
      </c>
      <c r="EM884" s="1" t="s">
        <v>206</v>
      </c>
      <c r="EQ884" s="1" t="s">
        <v>238</v>
      </c>
      <c r="EU884" s="1" t="s">
        <v>238</v>
      </c>
      <c r="EY884" s="1" t="s">
        <v>238</v>
      </c>
      <c r="FC884" s="1" t="s">
        <v>238</v>
      </c>
      <c r="FF884" s="1" t="s">
        <v>239</v>
      </c>
      <c r="FG884" s="1" t="s">
        <v>192</v>
      </c>
      <c r="FH884" s="1" t="s">
        <v>192</v>
      </c>
      <c r="FJ884" s="1" t="s">
        <v>524</v>
      </c>
      <c r="FK884" s="1" t="s">
        <v>557</v>
      </c>
      <c r="FL884" s="1" t="s">
        <v>10138</v>
      </c>
      <c r="FM884" s="1">
        <v>40233.0</v>
      </c>
      <c r="FN884" s="1" t="s">
        <v>10139</v>
      </c>
      <c r="FO884" s="1" t="s">
        <v>10140</v>
      </c>
      <c r="FP884" s="1">
        <v>401751.0</v>
      </c>
      <c r="FQ884" s="1" t="s">
        <v>10139</v>
      </c>
      <c r="FU884" s="1" t="s">
        <v>10141</v>
      </c>
      <c r="FV884" s="1" t="s">
        <v>200</v>
      </c>
      <c r="FW884" s="1" t="s">
        <v>10142</v>
      </c>
      <c r="FZ884" s="1" t="s">
        <v>229</v>
      </c>
      <c r="GA884" s="1" t="s">
        <v>291</v>
      </c>
      <c r="GB884" s="2">
        <v>41997.0</v>
      </c>
      <c r="GC884" s="1" t="s">
        <v>10143</v>
      </c>
    </row>
    <row r="885">
      <c r="A885" s="1">
        <v>1150000.0</v>
      </c>
      <c r="B885" s="1" t="s">
        <v>185</v>
      </c>
      <c r="C885" s="1" t="str">
        <f>"08541613"</f>
        <v>08541613</v>
      </c>
      <c r="D885" s="1" t="s">
        <v>186</v>
      </c>
      <c r="F885" s="1" t="str">
        <f t="shared" ref="F885:F886" si="576">"10"</f>
        <v>10</v>
      </c>
      <c r="G885" s="2">
        <v>41691.0</v>
      </c>
      <c r="H885" s="1">
        <v>1150000.0</v>
      </c>
      <c r="I885" s="1">
        <v>593.0</v>
      </c>
      <c r="J885" s="1">
        <v>1165000.0</v>
      </c>
      <c r="K885" s="2">
        <v>41925.0</v>
      </c>
      <c r="L885" s="1">
        <v>235.0</v>
      </c>
      <c r="M885" s="2">
        <v>41925.0</v>
      </c>
      <c r="N885" s="1" t="s">
        <v>187</v>
      </c>
      <c r="O885" s="2">
        <v>41975.0</v>
      </c>
      <c r="P885" s="1">
        <v>81541.0</v>
      </c>
      <c r="Q885" s="1">
        <v>8064.0</v>
      </c>
      <c r="S885" s="1">
        <v>9.0</v>
      </c>
      <c r="T885" s="1" t="s">
        <v>10144</v>
      </c>
      <c r="U885" s="1" t="s">
        <v>569</v>
      </c>
      <c r="V885" s="1" t="s">
        <v>5237</v>
      </c>
      <c r="W885" s="1">
        <v>60010.0</v>
      </c>
      <c r="Y885" s="1" t="s">
        <v>10145</v>
      </c>
      <c r="Z885" s="1">
        <v>2001.0</v>
      </c>
      <c r="AA885" s="1" t="s">
        <v>200</v>
      </c>
      <c r="AB885" s="1" t="s">
        <v>467</v>
      </c>
      <c r="AC885" s="1" t="s">
        <v>10146</v>
      </c>
      <c r="AD885" s="1" t="s">
        <v>5239</v>
      </c>
      <c r="AE885" s="1" t="s">
        <v>195</v>
      </c>
      <c r="AF885" s="1" t="s">
        <v>1948</v>
      </c>
      <c r="AH885" s="1" t="s">
        <v>10147</v>
      </c>
      <c r="AI885" s="1">
        <v>1.22</v>
      </c>
      <c r="AK885" s="1">
        <v>11.0</v>
      </c>
      <c r="AL885" s="1">
        <v>4.0</v>
      </c>
      <c r="AM885" s="1">
        <v>4.0</v>
      </c>
      <c r="AN885" s="1">
        <v>2.0</v>
      </c>
      <c r="AO885" s="1" t="s">
        <v>198</v>
      </c>
      <c r="AP885" s="1">
        <v>2.0</v>
      </c>
      <c r="AQ885" s="1" t="s">
        <v>198</v>
      </c>
      <c r="AR885" s="1" t="s">
        <v>200</v>
      </c>
      <c r="AS885" s="1" t="s">
        <v>199</v>
      </c>
      <c r="AT885" s="1">
        <v>4.0</v>
      </c>
      <c r="AV885" s="1" t="s">
        <v>200</v>
      </c>
      <c r="AW885" s="6">
        <v>19404.0</v>
      </c>
      <c r="AX885" s="1">
        <v>2012.0</v>
      </c>
      <c r="AY885" s="1" t="s">
        <v>387</v>
      </c>
      <c r="AZ885" s="1" t="s">
        <v>545</v>
      </c>
      <c r="BA885" s="1" t="str">
        <f>"01352050020000"</f>
        <v>01352050020000</v>
      </c>
      <c r="BC885" s="1">
        <v>5364.0</v>
      </c>
      <c r="BD885" s="1">
        <v>1150000.0</v>
      </c>
      <c r="BE885" s="2">
        <v>41691.0</v>
      </c>
      <c r="BF885" s="2" t="s">
        <v>10148</v>
      </c>
      <c r="BG885" s="1" t="s">
        <v>5242</v>
      </c>
      <c r="BH885" s="1">
        <v>2420.0</v>
      </c>
      <c r="BI885" s="1" t="s">
        <v>1713</v>
      </c>
      <c r="BJ885" s="1" t="s">
        <v>1714</v>
      </c>
      <c r="BK885" s="1" t="s">
        <v>580</v>
      </c>
      <c r="BL885" s="1" t="str">
        <f t="shared" ref="BL885:BM885" si="575">""</f>
        <v/>
      </c>
      <c r="BM885" s="1" t="str">
        <f t="shared" si="575"/>
        <v/>
      </c>
      <c r="BQ885" s="1">
        <v>220.0</v>
      </c>
      <c r="BR885" s="1">
        <v>220.0</v>
      </c>
      <c r="BS885" s="1">
        <v>220.0</v>
      </c>
      <c r="BU885" s="1" t="s">
        <v>5291</v>
      </c>
      <c r="BV885" s="1" t="s">
        <v>206</v>
      </c>
      <c r="BW885" s="1" t="s">
        <v>210</v>
      </c>
      <c r="BY885" s="1" t="s">
        <v>2592</v>
      </c>
      <c r="BZ885" s="1" t="s">
        <v>209</v>
      </c>
      <c r="CA885" s="1" t="s">
        <v>210</v>
      </c>
      <c r="CC885" s="1" t="s">
        <v>1892</v>
      </c>
      <c r="CD885" s="1" t="s">
        <v>206</v>
      </c>
      <c r="CE885" s="1" t="s">
        <v>210</v>
      </c>
      <c r="CG885" s="1" t="s">
        <v>1567</v>
      </c>
      <c r="CH885" s="1" t="s">
        <v>209</v>
      </c>
      <c r="CI885" s="1" t="s">
        <v>210</v>
      </c>
      <c r="CK885" s="1" t="s">
        <v>1299</v>
      </c>
      <c r="CL885" s="1" t="s">
        <v>209</v>
      </c>
      <c r="CM885" s="1" t="s">
        <v>210</v>
      </c>
      <c r="CO885" s="1" t="s">
        <v>758</v>
      </c>
      <c r="CP885" s="1" t="s">
        <v>206</v>
      </c>
      <c r="CQ885" s="1" t="s">
        <v>210</v>
      </c>
      <c r="CS885" s="1" t="s">
        <v>10149</v>
      </c>
      <c r="CT885" s="1" t="s">
        <v>206</v>
      </c>
      <c r="CU885" s="1" t="s">
        <v>8497</v>
      </c>
      <c r="CW885" s="1" t="s">
        <v>4568</v>
      </c>
      <c r="CX885" s="1" t="s">
        <v>206</v>
      </c>
      <c r="CY885" s="1" t="s">
        <v>210</v>
      </c>
      <c r="DA885" s="1" t="s">
        <v>200</v>
      </c>
      <c r="DC885" s="1" t="s">
        <v>335</v>
      </c>
      <c r="DE885" s="1" t="s">
        <v>273</v>
      </c>
      <c r="DF885" s="1" t="s">
        <v>4878</v>
      </c>
      <c r="DG885" s="1" t="s">
        <v>10150</v>
      </c>
      <c r="DH885" s="1" t="s">
        <v>856</v>
      </c>
      <c r="DJ885" s="1" t="s">
        <v>857</v>
      </c>
      <c r="DL885" s="1" t="s">
        <v>2220</v>
      </c>
      <c r="DM885" s="1" t="s">
        <v>338</v>
      </c>
      <c r="DN885" s="1" t="s">
        <v>10151</v>
      </c>
      <c r="DQ885" s="1" t="s">
        <v>931</v>
      </c>
      <c r="DR885" s="1" t="s">
        <v>10152</v>
      </c>
      <c r="DU885" s="1" t="s">
        <v>10153</v>
      </c>
      <c r="DV885" s="1" t="s">
        <v>10154</v>
      </c>
      <c r="DW885" s="1" t="s">
        <v>279</v>
      </c>
      <c r="DX885" s="1" t="s">
        <v>234</v>
      </c>
      <c r="DY885" s="1" t="s">
        <v>10155</v>
      </c>
      <c r="DZ885" s="1" t="s">
        <v>4491</v>
      </c>
      <c r="EB885" s="1" t="s">
        <v>345</v>
      </c>
      <c r="EC885" s="1" t="s">
        <v>237</v>
      </c>
      <c r="EE885" s="1" t="s">
        <v>187</v>
      </c>
      <c r="EG885" s="1" t="s">
        <v>598</v>
      </c>
      <c r="EH885" s="1" t="s">
        <v>341</v>
      </c>
      <c r="EI885" s="1" t="s">
        <v>557</v>
      </c>
      <c r="EJ885" s="1" t="s">
        <v>408</v>
      </c>
      <c r="EK885" s="1" t="s">
        <v>409</v>
      </c>
      <c r="EL885" s="1" t="s">
        <v>304</v>
      </c>
      <c r="EM885" s="1" t="s">
        <v>206</v>
      </c>
      <c r="EN885" s="1" t="s">
        <v>8497</v>
      </c>
      <c r="EP885" s="1" t="s">
        <v>362</v>
      </c>
      <c r="EQ885" s="1" t="s">
        <v>209</v>
      </c>
      <c r="ER885" s="1" t="s">
        <v>210</v>
      </c>
      <c r="ET885" s="1" t="s">
        <v>2013</v>
      </c>
      <c r="EU885" s="1" t="s">
        <v>209</v>
      </c>
      <c r="EX885" s="1" t="s">
        <v>7715</v>
      </c>
      <c r="EY885" s="1" t="s">
        <v>206</v>
      </c>
      <c r="EZ885" s="1" t="s">
        <v>8497</v>
      </c>
      <c r="FB885" s="1" t="s">
        <v>6760</v>
      </c>
      <c r="FC885" s="1" t="s">
        <v>209</v>
      </c>
      <c r="FD885" s="1" t="s">
        <v>210</v>
      </c>
      <c r="FF885" s="1" t="s">
        <v>239</v>
      </c>
      <c r="FG885" s="1" t="s">
        <v>192</v>
      </c>
      <c r="FH885" s="1" t="s">
        <v>192</v>
      </c>
      <c r="FJ885" s="1" t="s">
        <v>9397</v>
      </c>
      <c r="FK885" s="1" t="s">
        <v>1586</v>
      </c>
      <c r="FL885" s="1" t="s">
        <v>10156</v>
      </c>
      <c r="FM885" s="1">
        <v>6074.0</v>
      </c>
      <c r="FN885" s="1" t="s">
        <v>10157</v>
      </c>
      <c r="FO885" s="1" t="s">
        <v>10158</v>
      </c>
      <c r="FP885" s="1">
        <v>62725.0</v>
      </c>
      <c r="FQ885" s="1" t="s">
        <v>10159</v>
      </c>
      <c r="FU885" s="1" t="s">
        <v>10160</v>
      </c>
      <c r="FV885" s="1" t="s">
        <v>200</v>
      </c>
      <c r="FW885" s="1" t="s">
        <v>654</v>
      </c>
      <c r="FZ885" s="1" t="s">
        <v>229</v>
      </c>
      <c r="GA885" s="1" t="s">
        <v>291</v>
      </c>
      <c r="GB885" s="2">
        <v>41975.0</v>
      </c>
      <c r="GC885" s="1" t="s">
        <v>10161</v>
      </c>
    </row>
    <row r="886">
      <c r="A886" s="1">
        <v>738000.0</v>
      </c>
      <c r="B886" s="1" t="s">
        <v>185</v>
      </c>
      <c r="C886" s="1" t="str">
        <f>"08551480"</f>
        <v>08551480</v>
      </c>
      <c r="D886" s="1" t="s">
        <v>186</v>
      </c>
      <c r="F886" s="1" t="str">
        <f t="shared" si="576"/>
        <v>10</v>
      </c>
      <c r="G886" s="2">
        <v>41704.0</v>
      </c>
      <c r="H886" s="1">
        <v>839000.0</v>
      </c>
      <c r="I886" s="1">
        <v>296.0</v>
      </c>
      <c r="J886" s="1">
        <v>770000.0</v>
      </c>
      <c r="K886" s="2">
        <v>41998.0</v>
      </c>
      <c r="L886" s="1">
        <v>296.0</v>
      </c>
      <c r="M886" s="2">
        <v>41998.0</v>
      </c>
      <c r="N886" s="1" t="s">
        <v>187</v>
      </c>
      <c r="O886" s="2">
        <v>42060.0</v>
      </c>
      <c r="P886" s="1">
        <v>82934.0</v>
      </c>
      <c r="Q886" s="1">
        <v>8068.0</v>
      </c>
      <c r="S886" s="1">
        <v>3.0</v>
      </c>
      <c r="T886" s="1" t="s">
        <v>10162</v>
      </c>
      <c r="U886" s="1" t="s">
        <v>569</v>
      </c>
      <c r="V886" s="1" t="s">
        <v>5237</v>
      </c>
      <c r="W886" s="1">
        <v>60010.0</v>
      </c>
      <c r="Y886" s="1" t="s">
        <v>10163</v>
      </c>
      <c r="Z886" s="1">
        <v>2013.0</v>
      </c>
      <c r="AA886" s="1" t="s">
        <v>200</v>
      </c>
      <c r="AB886" s="1" t="s">
        <v>193</v>
      </c>
      <c r="AC886" s="1" t="s">
        <v>10164</v>
      </c>
      <c r="AD886" s="1" t="s">
        <v>5239</v>
      </c>
      <c r="AE886" s="1" t="s">
        <v>195</v>
      </c>
      <c r="AF886" s="1" t="s">
        <v>1948</v>
      </c>
      <c r="AG886" s="1" t="s">
        <v>10165</v>
      </c>
      <c r="AH886" s="1" t="s">
        <v>10166</v>
      </c>
      <c r="AI886" s="1">
        <v>0.45</v>
      </c>
      <c r="AK886" s="1">
        <v>10.0</v>
      </c>
      <c r="AL886" s="1">
        <v>4.0</v>
      </c>
      <c r="AM886" s="1">
        <v>3.0</v>
      </c>
      <c r="AN886" s="1">
        <v>1.0</v>
      </c>
      <c r="AO886" s="1" t="s">
        <v>198</v>
      </c>
      <c r="AP886" s="1">
        <v>1.0</v>
      </c>
      <c r="AQ886" s="1" t="s">
        <v>198</v>
      </c>
      <c r="AR886" s="1" t="s">
        <v>192</v>
      </c>
      <c r="AS886" s="1" t="s">
        <v>199</v>
      </c>
      <c r="AT886" s="1">
        <v>3.0</v>
      </c>
      <c r="AV886" s="1" t="s">
        <v>200</v>
      </c>
      <c r="AW886" s="6">
        <v>14024.0</v>
      </c>
      <c r="AX886" s="1">
        <v>2013.0</v>
      </c>
      <c r="AZ886" s="1" t="s">
        <v>200</v>
      </c>
      <c r="BA886" s="1" t="str">
        <f>"01284040020000"</f>
        <v>01284040020000</v>
      </c>
      <c r="BC886" s="1">
        <v>3360.0</v>
      </c>
      <c r="BD886" s="1">
        <v>738000.0</v>
      </c>
      <c r="BE886" s="2">
        <v>41703.0</v>
      </c>
      <c r="BF886" s="2" t="s">
        <v>10167</v>
      </c>
      <c r="BG886" s="1" t="s">
        <v>5242</v>
      </c>
      <c r="BH886" s="1">
        <v>96.0</v>
      </c>
      <c r="BI886" s="1" t="s">
        <v>1713</v>
      </c>
      <c r="BJ886" s="1" t="s">
        <v>1714</v>
      </c>
      <c r="BK886" s="1" t="s">
        <v>474</v>
      </c>
      <c r="BL886" s="1" t="str">
        <f t="shared" ref="BL886:BM886" si="577">""</f>
        <v/>
      </c>
      <c r="BM886" s="1" t="str">
        <f t="shared" si="577"/>
        <v/>
      </c>
      <c r="BQ886" s="1">
        <v>220.0</v>
      </c>
      <c r="BR886" s="1">
        <v>220.0</v>
      </c>
      <c r="BS886" s="1">
        <v>220.0</v>
      </c>
      <c r="BU886" s="1" t="s">
        <v>331</v>
      </c>
      <c r="BV886" s="1" t="s">
        <v>206</v>
      </c>
      <c r="BW886" s="1" t="s">
        <v>207</v>
      </c>
      <c r="BX886" s="1" t="s">
        <v>431</v>
      </c>
      <c r="BY886" s="1" t="s">
        <v>496</v>
      </c>
      <c r="BZ886" s="1" t="s">
        <v>209</v>
      </c>
      <c r="CA886" s="1" t="s">
        <v>210</v>
      </c>
      <c r="CB886" s="1" t="s">
        <v>1549</v>
      </c>
      <c r="CC886" s="1" t="s">
        <v>332</v>
      </c>
      <c r="CD886" s="1" t="s">
        <v>206</v>
      </c>
      <c r="CE886" s="1" t="s">
        <v>207</v>
      </c>
      <c r="CF886" s="1" t="s">
        <v>229</v>
      </c>
      <c r="CG886" s="1" t="s">
        <v>212</v>
      </c>
      <c r="CH886" s="1" t="s">
        <v>209</v>
      </c>
      <c r="CI886" s="1" t="s">
        <v>210</v>
      </c>
      <c r="CJ886" s="1" t="s">
        <v>431</v>
      </c>
      <c r="CK886" s="1" t="s">
        <v>495</v>
      </c>
      <c r="CL886" s="1" t="s">
        <v>209</v>
      </c>
      <c r="CM886" s="1" t="s">
        <v>210</v>
      </c>
      <c r="CN886" s="1" t="s">
        <v>1549</v>
      </c>
      <c r="CO886" s="1" t="s">
        <v>495</v>
      </c>
      <c r="CP886" s="1" t="s">
        <v>209</v>
      </c>
      <c r="CQ886" s="1" t="s">
        <v>210</v>
      </c>
      <c r="CR886" s="1" t="s">
        <v>431</v>
      </c>
      <c r="CS886" s="1" t="s">
        <v>544</v>
      </c>
      <c r="CT886" s="1" t="s">
        <v>206</v>
      </c>
      <c r="CU886" s="1" t="s">
        <v>207</v>
      </c>
      <c r="CV886" s="1" t="s">
        <v>431</v>
      </c>
      <c r="CW886" s="1" t="s">
        <v>6890</v>
      </c>
      <c r="CX886" s="1" t="s">
        <v>206</v>
      </c>
      <c r="CY886" s="1" t="s">
        <v>207</v>
      </c>
      <c r="CZ886" s="1" t="s">
        <v>1118</v>
      </c>
      <c r="DA886" s="1" t="s">
        <v>200</v>
      </c>
      <c r="DC886" s="1" t="s">
        <v>1046</v>
      </c>
      <c r="DD886" s="1" t="s">
        <v>336</v>
      </c>
      <c r="DE886" s="1" t="s">
        <v>273</v>
      </c>
      <c r="DF886" s="1" t="s">
        <v>219</v>
      </c>
      <c r="DG886" s="1" t="s">
        <v>10168</v>
      </c>
      <c r="DH886" s="1" t="s">
        <v>2601</v>
      </c>
      <c r="DJ886" s="1" t="s">
        <v>222</v>
      </c>
      <c r="DK886" s="1" t="s">
        <v>960</v>
      </c>
      <c r="DL886" s="1" t="s">
        <v>224</v>
      </c>
      <c r="DM886" s="1" t="s">
        <v>1022</v>
      </c>
      <c r="DN886" s="1" t="s">
        <v>399</v>
      </c>
      <c r="DP886" s="1" t="s">
        <v>340</v>
      </c>
      <c r="DQ886" s="1" t="s">
        <v>441</v>
      </c>
      <c r="DR886" s="1" t="s">
        <v>10169</v>
      </c>
      <c r="DS886" s="1" t="s">
        <v>230</v>
      </c>
      <c r="DV886" s="1" t="s">
        <v>3592</v>
      </c>
      <c r="DW886" s="1" t="s">
        <v>489</v>
      </c>
      <c r="DX886" s="1" t="s">
        <v>234</v>
      </c>
      <c r="DY886" s="1" t="s">
        <v>490</v>
      </c>
      <c r="DZ886" s="1" t="s">
        <v>3245</v>
      </c>
      <c r="EA886" s="1" t="s">
        <v>344</v>
      </c>
      <c r="EB886" s="1" t="s">
        <v>448</v>
      </c>
      <c r="EC886" s="1" t="s">
        <v>237</v>
      </c>
      <c r="ED886" s="1" t="s">
        <v>1406</v>
      </c>
      <c r="EG886" s="1" t="s">
        <v>408</v>
      </c>
      <c r="EH886" s="1" t="s">
        <v>598</v>
      </c>
      <c r="EI886" s="1" t="s">
        <v>450</v>
      </c>
      <c r="EL886" s="1" t="s">
        <v>269</v>
      </c>
      <c r="EM886" s="1" t="s">
        <v>206</v>
      </c>
      <c r="EN886" s="1" t="s">
        <v>207</v>
      </c>
      <c r="EP886" s="1" t="s">
        <v>331</v>
      </c>
      <c r="EQ886" s="1" t="s">
        <v>209</v>
      </c>
      <c r="ER886" s="1" t="s">
        <v>207</v>
      </c>
      <c r="ES886" s="1" t="s">
        <v>431</v>
      </c>
      <c r="ET886" s="1" t="s">
        <v>10170</v>
      </c>
      <c r="EU886" s="1" t="s">
        <v>267</v>
      </c>
      <c r="EV886" s="1" t="s">
        <v>210</v>
      </c>
      <c r="EY886" s="1" t="s">
        <v>238</v>
      </c>
      <c r="FC886" s="1" t="s">
        <v>238</v>
      </c>
      <c r="FF886" s="1" t="s">
        <v>239</v>
      </c>
      <c r="FG886" s="1" t="s">
        <v>200</v>
      </c>
      <c r="FH886" s="1" t="s">
        <v>192</v>
      </c>
      <c r="FJ886" s="1" t="s">
        <v>1469</v>
      </c>
      <c r="FK886" s="1" t="s">
        <v>229</v>
      </c>
      <c r="FL886" s="1" t="s">
        <v>10171</v>
      </c>
      <c r="FM886" s="1">
        <v>6093.0</v>
      </c>
      <c r="FN886" s="1" t="s">
        <v>10172</v>
      </c>
      <c r="FO886" s="1" t="s">
        <v>10173</v>
      </c>
      <c r="FP886" s="1">
        <v>40121.0</v>
      </c>
      <c r="FQ886" s="1" t="s">
        <v>10174</v>
      </c>
      <c r="FU886" s="1" t="s">
        <v>10175</v>
      </c>
      <c r="FV886" s="1" t="s">
        <v>200</v>
      </c>
      <c r="FW886" s="1" t="s">
        <v>530</v>
      </c>
      <c r="FZ886" s="1" t="s">
        <v>229</v>
      </c>
      <c r="GA886" s="1" t="s">
        <v>291</v>
      </c>
      <c r="GB886" s="2">
        <v>42062.0</v>
      </c>
      <c r="GC886" s="1" t="s">
        <v>10176</v>
      </c>
    </row>
    <row r="887">
      <c r="A887" s="1">
        <v>545000.0</v>
      </c>
      <c r="B887" s="1" t="s">
        <v>185</v>
      </c>
      <c r="C887" s="1" t="str">
        <f>"08544883"</f>
        <v>08544883</v>
      </c>
      <c r="D887" s="1" t="s">
        <v>186</v>
      </c>
      <c r="F887" s="1" t="str">
        <f>"8024"</f>
        <v>8024</v>
      </c>
      <c r="G887" s="2">
        <v>41696.0</v>
      </c>
      <c r="H887" s="1">
        <v>815000.0</v>
      </c>
      <c r="I887" s="1">
        <v>315.0</v>
      </c>
      <c r="J887" s="1">
        <v>569900.0</v>
      </c>
      <c r="K887" s="2">
        <v>42010.0</v>
      </c>
      <c r="L887" s="1">
        <v>315.0</v>
      </c>
      <c r="M887" s="2">
        <v>42010.0</v>
      </c>
      <c r="N887" s="1" t="s">
        <v>187</v>
      </c>
      <c r="O887" s="2">
        <v>42053.0</v>
      </c>
      <c r="P887" s="1">
        <v>117646.0</v>
      </c>
      <c r="Q887" s="1">
        <v>18602.0</v>
      </c>
      <c r="R887" s="1">
        <v>10000.0</v>
      </c>
      <c r="S887" s="1">
        <v>2742.0</v>
      </c>
      <c r="T887" s="1" t="s">
        <v>10177</v>
      </c>
      <c r="U887" s="1" t="s">
        <v>189</v>
      </c>
      <c r="V887" s="1" t="s">
        <v>190</v>
      </c>
      <c r="W887" s="1">
        <v>60622.0</v>
      </c>
      <c r="Y887" s="1" t="s">
        <v>10178</v>
      </c>
      <c r="Z887" s="1">
        <v>2008.0</v>
      </c>
      <c r="AA887" s="1" t="s">
        <v>200</v>
      </c>
      <c r="AB887" s="1" t="s">
        <v>193</v>
      </c>
      <c r="AD887" s="1" t="s">
        <v>194</v>
      </c>
      <c r="AE887" s="1" t="s">
        <v>195</v>
      </c>
      <c r="AF887" s="1" t="s">
        <v>827</v>
      </c>
      <c r="AH887" s="1" t="s">
        <v>4868</v>
      </c>
      <c r="AK887" s="1">
        <v>10.0</v>
      </c>
      <c r="AL887" s="1">
        <v>4.0</v>
      </c>
      <c r="AM887" s="1">
        <v>3.0</v>
      </c>
      <c r="AN887" s="1">
        <v>1.0</v>
      </c>
      <c r="AO887" s="1" t="s">
        <v>198</v>
      </c>
      <c r="AP887" s="1">
        <v>1.0</v>
      </c>
      <c r="AQ887" s="1" t="s">
        <v>472</v>
      </c>
      <c r="AR887" s="1" t="s">
        <v>192</v>
      </c>
      <c r="AS887" s="1" t="s">
        <v>199</v>
      </c>
      <c r="AT887" s="1">
        <v>3.0</v>
      </c>
      <c r="AV887" s="1" t="s">
        <v>200</v>
      </c>
      <c r="AW887" s="1">
        <v>8098.99</v>
      </c>
      <c r="AX887" s="1">
        <v>2013.0</v>
      </c>
      <c r="AY887" s="1" t="s">
        <v>387</v>
      </c>
      <c r="AZ887" s="1" t="s">
        <v>200</v>
      </c>
      <c r="BA887" s="1" t="str">
        <f>"16014000270000"</f>
        <v>16014000270000</v>
      </c>
      <c r="BB887" s="1" t="s">
        <v>200</v>
      </c>
      <c r="BC887" s="1">
        <v>3780.0</v>
      </c>
      <c r="BD887" s="1">
        <v>545000.0</v>
      </c>
      <c r="BE887" s="2">
        <v>41696.0</v>
      </c>
      <c r="BF887" s="2" t="s">
        <v>10179</v>
      </c>
      <c r="BH887" s="1">
        <v>0.0</v>
      </c>
      <c r="BK887" s="1" t="s">
        <v>204</v>
      </c>
      <c r="BL887" s="1" t="str">
        <f>"1150"</f>
        <v>1150</v>
      </c>
      <c r="BM887" s="1" t="str">
        <f>"0"</f>
        <v>0</v>
      </c>
      <c r="BN887" s="1">
        <v>2742.0</v>
      </c>
      <c r="BO887" s="1">
        <v>0.0</v>
      </c>
      <c r="BQ887" s="1">
        <v>299.0</v>
      </c>
      <c r="BR887" s="1">
        <v>299.0</v>
      </c>
      <c r="BS887" s="1">
        <v>299.0</v>
      </c>
      <c r="BU887" s="1" t="s">
        <v>329</v>
      </c>
      <c r="BV887" s="1" t="s">
        <v>206</v>
      </c>
      <c r="BW887" s="1" t="s">
        <v>207</v>
      </c>
      <c r="BY887" s="1" t="s">
        <v>784</v>
      </c>
      <c r="BZ887" s="1" t="s">
        <v>209</v>
      </c>
      <c r="CA887" s="1" t="s">
        <v>207</v>
      </c>
      <c r="CC887" s="1" t="s">
        <v>677</v>
      </c>
      <c r="CD887" s="1" t="s">
        <v>206</v>
      </c>
      <c r="CE887" s="1" t="s">
        <v>207</v>
      </c>
      <c r="CG887" s="1" t="s">
        <v>699</v>
      </c>
      <c r="CH887" s="1" t="s">
        <v>209</v>
      </c>
      <c r="CI887" s="1" t="s">
        <v>210</v>
      </c>
      <c r="CK887" s="1" t="s">
        <v>700</v>
      </c>
      <c r="CL887" s="1" t="s">
        <v>209</v>
      </c>
      <c r="CM887" s="1" t="s">
        <v>210</v>
      </c>
      <c r="CO887" s="1" t="s">
        <v>361</v>
      </c>
      <c r="CP887" s="1" t="s">
        <v>267</v>
      </c>
      <c r="CQ887" s="1" t="s">
        <v>210</v>
      </c>
      <c r="CS887" s="1" t="s">
        <v>784</v>
      </c>
      <c r="CT887" s="1" t="s">
        <v>206</v>
      </c>
      <c r="CU887" s="1" t="s">
        <v>207</v>
      </c>
      <c r="CW887" s="1" t="s">
        <v>616</v>
      </c>
      <c r="CX887" s="1" t="s">
        <v>267</v>
      </c>
      <c r="CY887" s="1" t="s">
        <v>210</v>
      </c>
      <c r="DA887" s="1" t="s">
        <v>200</v>
      </c>
      <c r="DC887" s="1" t="s">
        <v>481</v>
      </c>
      <c r="DD887" s="1" t="s">
        <v>1838</v>
      </c>
      <c r="DE887" s="1" t="s">
        <v>273</v>
      </c>
      <c r="DF887" s="1" t="s">
        <v>3751</v>
      </c>
      <c r="DG887" s="1" t="s">
        <v>1140</v>
      </c>
      <c r="DH887" s="1" t="s">
        <v>365</v>
      </c>
      <c r="DI887" s="1" t="s">
        <v>3659</v>
      </c>
      <c r="DJ887" s="1" t="s">
        <v>222</v>
      </c>
      <c r="DL887" s="1" t="s">
        <v>224</v>
      </c>
      <c r="DM887" s="1" t="s">
        <v>225</v>
      </c>
      <c r="DN887" s="1" t="s">
        <v>2463</v>
      </c>
      <c r="DP887" s="1" t="s">
        <v>276</v>
      </c>
      <c r="DQ887" s="1" t="s">
        <v>718</v>
      </c>
      <c r="DR887" s="1" t="s">
        <v>229</v>
      </c>
      <c r="DS887" s="1" t="s">
        <v>230</v>
      </c>
      <c r="DV887" s="1" t="s">
        <v>10180</v>
      </c>
      <c r="DW887" s="1" t="s">
        <v>2284</v>
      </c>
      <c r="DX887" s="1" t="s">
        <v>234</v>
      </c>
      <c r="DY887" s="1" t="s">
        <v>6019</v>
      </c>
      <c r="DZ887" s="1" t="s">
        <v>5293</v>
      </c>
      <c r="EA887" s="1" t="s">
        <v>1027</v>
      </c>
      <c r="EB887" s="1" t="s">
        <v>345</v>
      </c>
      <c r="EC887" s="1" t="s">
        <v>406</v>
      </c>
      <c r="ED887" s="1" t="s">
        <v>555</v>
      </c>
      <c r="EG887" s="1" t="s">
        <v>449</v>
      </c>
      <c r="EH887" s="1" t="s">
        <v>408</v>
      </c>
      <c r="EI887" s="1" t="s">
        <v>450</v>
      </c>
      <c r="EJ887" s="1" t="s">
        <v>2877</v>
      </c>
      <c r="EK887" s="1" t="s">
        <v>409</v>
      </c>
      <c r="EL887" s="1" t="s">
        <v>332</v>
      </c>
      <c r="EM887" s="1" t="s">
        <v>206</v>
      </c>
      <c r="EN887" s="1" t="s">
        <v>207</v>
      </c>
      <c r="EP887" s="1" t="s">
        <v>5922</v>
      </c>
      <c r="EQ887" s="1" t="s">
        <v>206</v>
      </c>
      <c r="ER887" s="1" t="s">
        <v>207</v>
      </c>
      <c r="ET887" s="1" t="s">
        <v>662</v>
      </c>
      <c r="EU887" s="1" t="s">
        <v>267</v>
      </c>
      <c r="EV887" s="1" t="s">
        <v>210</v>
      </c>
      <c r="EX887" s="1" t="s">
        <v>2394</v>
      </c>
      <c r="EY887" s="1" t="s">
        <v>206</v>
      </c>
      <c r="FB887" s="1" t="s">
        <v>1245</v>
      </c>
      <c r="FC887" s="1" t="s">
        <v>209</v>
      </c>
      <c r="FD887" s="1" t="s">
        <v>207</v>
      </c>
      <c r="FF887" s="1" t="s">
        <v>239</v>
      </c>
      <c r="FG887" s="1" t="s">
        <v>192</v>
      </c>
      <c r="FH887" s="1" t="s">
        <v>192</v>
      </c>
      <c r="FJ887" s="1" t="s">
        <v>498</v>
      </c>
      <c r="FK887" s="1" t="s">
        <v>229</v>
      </c>
      <c r="FL887" s="1" t="s">
        <v>1358</v>
      </c>
      <c r="FM887" s="1">
        <v>22049.0</v>
      </c>
      <c r="FN887" s="1" t="s">
        <v>10181</v>
      </c>
      <c r="FO887" s="1" t="s">
        <v>10182</v>
      </c>
      <c r="FP887" s="1">
        <v>242234.0</v>
      </c>
      <c r="FS887" s="1" t="s">
        <v>10183</v>
      </c>
      <c r="FU887" s="1" t="s">
        <v>1438</v>
      </c>
      <c r="FV887" s="1" t="s">
        <v>200</v>
      </c>
      <c r="FW887" s="1" t="s">
        <v>290</v>
      </c>
      <c r="FX887" s="1" t="s">
        <v>246</v>
      </c>
      <c r="FZ887" s="1" t="s">
        <v>229</v>
      </c>
      <c r="GA887" s="1" t="s">
        <v>291</v>
      </c>
      <c r="GB887" s="2">
        <v>42054.0</v>
      </c>
      <c r="GC887" s="1" t="s">
        <v>10184</v>
      </c>
    </row>
    <row r="888">
      <c r="A888" s="1">
        <v>140000.0</v>
      </c>
      <c r="B888" s="1" t="s">
        <v>185</v>
      </c>
      <c r="C888" s="1" t="str">
        <f>"08803888"</f>
        <v>08803888</v>
      </c>
      <c r="D888" s="1" t="s">
        <v>186</v>
      </c>
      <c r="F888" s="1" t="str">
        <f>"8038"</f>
        <v>8038</v>
      </c>
      <c r="G888" s="2">
        <v>41991.0</v>
      </c>
      <c r="H888" s="1">
        <v>349000.0</v>
      </c>
      <c r="I888" s="1">
        <v>35.0</v>
      </c>
      <c r="J888" s="1">
        <v>349000.0</v>
      </c>
      <c r="K888" s="2">
        <v>42025.0</v>
      </c>
      <c r="L888" s="1">
        <v>35.0</v>
      </c>
      <c r="M888" s="2">
        <v>42025.0</v>
      </c>
      <c r="N888" s="1" t="s">
        <v>249</v>
      </c>
      <c r="O888" s="2">
        <v>42061.0</v>
      </c>
      <c r="P888" s="1">
        <v>220018.0</v>
      </c>
      <c r="Q888" s="1">
        <v>24990.0</v>
      </c>
      <c r="S888" s="1">
        <v>4022.0</v>
      </c>
      <c r="T888" s="1" t="s">
        <v>10185</v>
      </c>
      <c r="U888" s="1" t="s">
        <v>189</v>
      </c>
      <c r="V888" s="1" t="s">
        <v>190</v>
      </c>
      <c r="W888" s="1">
        <v>60653.0</v>
      </c>
      <c r="Y888" s="1" t="s">
        <v>10186</v>
      </c>
      <c r="Z888" s="1">
        <v>2014.0</v>
      </c>
      <c r="AA888" s="1" t="s">
        <v>200</v>
      </c>
      <c r="AB888" s="1" t="s">
        <v>193</v>
      </c>
      <c r="AD888" s="1" t="s">
        <v>194</v>
      </c>
      <c r="AE888" s="1" t="s">
        <v>195</v>
      </c>
      <c r="AF888" s="1" t="s">
        <v>1154</v>
      </c>
      <c r="AH888" s="1" t="s">
        <v>10187</v>
      </c>
      <c r="AK888" s="1">
        <v>8.0</v>
      </c>
      <c r="AL888" s="1">
        <v>3.0</v>
      </c>
      <c r="AM888" s="1">
        <v>3.0</v>
      </c>
      <c r="AN888" s="1">
        <v>1.0</v>
      </c>
      <c r="AO888" s="1" t="s">
        <v>198</v>
      </c>
      <c r="AP888" s="1">
        <v>1.0</v>
      </c>
      <c r="AQ888" s="1" t="s">
        <v>198</v>
      </c>
      <c r="AR888" s="1" t="s">
        <v>192</v>
      </c>
      <c r="AS888" s="1" t="s">
        <v>199</v>
      </c>
      <c r="AT888" s="1">
        <v>2.0</v>
      </c>
      <c r="AV888" s="1" t="s">
        <v>200</v>
      </c>
      <c r="AW888" s="1" t="s">
        <v>575</v>
      </c>
      <c r="AX888" s="1">
        <v>2013.0</v>
      </c>
      <c r="AZ888" s="1" t="s">
        <v>200</v>
      </c>
      <c r="BA888" s="1" t="str">
        <f>"20031080210000"</f>
        <v>20031080210000</v>
      </c>
      <c r="BB888" s="1" t="s">
        <v>200</v>
      </c>
      <c r="BC888" s="1">
        <v>1626.0</v>
      </c>
      <c r="BD888" s="1">
        <v>140000.0</v>
      </c>
      <c r="BE888" s="2">
        <v>41991.0</v>
      </c>
      <c r="BF888" s="2" t="s">
        <v>10188</v>
      </c>
      <c r="BH888" s="1">
        <v>0.0</v>
      </c>
      <c r="BK888" s="1" t="s">
        <v>204</v>
      </c>
      <c r="BL888" s="1" t="str">
        <f t="shared" ref="BL888:BL890" si="578">"0"</f>
        <v>0</v>
      </c>
      <c r="BM888" s="1" t="str">
        <f>"200"</f>
        <v>200</v>
      </c>
      <c r="BN888" s="1">
        <v>0.0</v>
      </c>
      <c r="BO888" s="1">
        <v>4022.0</v>
      </c>
      <c r="BQ888" s="1">
        <v>299.0</v>
      </c>
      <c r="BR888" s="1">
        <v>299.0</v>
      </c>
      <c r="BS888" s="1">
        <v>299.0</v>
      </c>
      <c r="BU888" s="1" t="s">
        <v>10189</v>
      </c>
      <c r="BV888" s="1" t="s">
        <v>206</v>
      </c>
      <c r="BW888" s="1" t="s">
        <v>207</v>
      </c>
      <c r="BX888" s="1" t="s">
        <v>431</v>
      </c>
      <c r="BY888" s="1" t="s">
        <v>215</v>
      </c>
      <c r="BZ888" s="1" t="s">
        <v>209</v>
      </c>
      <c r="CA888" s="1" t="s">
        <v>210</v>
      </c>
      <c r="CB888" s="1" t="s">
        <v>229</v>
      </c>
      <c r="CC888" s="1" t="s">
        <v>542</v>
      </c>
      <c r="CD888" s="1" t="s">
        <v>206</v>
      </c>
      <c r="CE888" s="1" t="s">
        <v>207</v>
      </c>
      <c r="CF888" s="1" t="s">
        <v>431</v>
      </c>
      <c r="CG888" s="1" t="s">
        <v>263</v>
      </c>
      <c r="CH888" s="1" t="s">
        <v>209</v>
      </c>
      <c r="CI888" s="1" t="s">
        <v>210</v>
      </c>
      <c r="CJ888" s="1" t="s">
        <v>229</v>
      </c>
      <c r="CK888" s="1" t="s">
        <v>212</v>
      </c>
      <c r="CL888" s="1" t="s">
        <v>209</v>
      </c>
      <c r="CM888" s="1" t="s">
        <v>210</v>
      </c>
      <c r="CN888" s="1" t="s">
        <v>229</v>
      </c>
      <c r="CO888" s="1" t="s">
        <v>495</v>
      </c>
      <c r="CP888" s="1" t="s">
        <v>42</v>
      </c>
      <c r="CQ888" s="1" t="s">
        <v>268</v>
      </c>
      <c r="CR888" s="1" t="s">
        <v>229</v>
      </c>
      <c r="CS888" s="1" t="s">
        <v>392</v>
      </c>
      <c r="CT888" s="1" t="s">
        <v>206</v>
      </c>
      <c r="CU888" s="1" t="s">
        <v>207</v>
      </c>
      <c r="CV888" s="1" t="s">
        <v>431</v>
      </c>
      <c r="CW888" s="1" t="s">
        <v>782</v>
      </c>
      <c r="CX888" s="1" t="s">
        <v>42</v>
      </c>
      <c r="CY888" s="1" t="s">
        <v>588</v>
      </c>
      <c r="CZ888" s="1" t="s">
        <v>229</v>
      </c>
      <c r="DA888" s="1" t="s">
        <v>192</v>
      </c>
      <c r="DB888" s="2">
        <v>42005.0</v>
      </c>
      <c r="DC888" s="1" t="s">
        <v>744</v>
      </c>
      <c r="DD888" s="1" t="s">
        <v>306</v>
      </c>
      <c r="DE888" s="1" t="s">
        <v>273</v>
      </c>
      <c r="DF888" s="1" t="s">
        <v>619</v>
      </c>
      <c r="DG888" s="1" t="s">
        <v>337</v>
      </c>
      <c r="DH888" s="1" t="s">
        <v>365</v>
      </c>
      <c r="DI888" s="1" t="s">
        <v>366</v>
      </c>
      <c r="DJ888" s="1" t="s">
        <v>222</v>
      </c>
      <c r="DL888" s="1" t="s">
        <v>224</v>
      </c>
      <c r="DM888" s="1" t="s">
        <v>398</v>
      </c>
      <c r="DN888" s="1" t="s">
        <v>339</v>
      </c>
      <c r="DO888" s="1" t="s">
        <v>486</v>
      </c>
      <c r="DP888" s="1" t="s">
        <v>276</v>
      </c>
      <c r="DQ888" s="1" t="s">
        <v>228</v>
      </c>
      <c r="DR888" s="1" t="s">
        <v>229</v>
      </c>
      <c r="DS888" s="1" t="s">
        <v>230</v>
      </c>
      <c r="DU888" s="1" t="s">
        <v>681</v>
      </c>
      <c r="DV888" s="1" t="s">
        <v>719</v>
      </c>
      <c r="DW888" s="1" t="s">
        <v>10190</v>
      </c>
      <c r="DX888" s="1" t="s">
        <v>5015</v>
      </c>
      <c r="DY888" s="1" t="s">
        <v>704</v>
      </c>
      <c r="DZ888" s="1" t="s">
        <v>310</v>
      </c>
      <c r="EA888" s="1" t="s">
        <v>1027</v>
      </c>
      <c r="EB888" s="1" t="s">
        <v>372</v>
      </c>
      <c r="EC888" s="1" t="s">
        <v>237</v>
      </c>
      <c r="ED888" s="1" t="s">
        <v>407</v>
      </c>
      <c r="EE888" s="1" t="s">
        <v>493</v>
      </c>
      <c r="EG888" s="1" t="s">
        <v>720</v>
      </c>
      <c r="EH888" s="1" t="s">
        <v>409</v>
      </c>
      <c r="EL888" s="1" t="s">
        <v>516</v>
      </c>
      <c r="EM888" s="1" t="s">
        <v>206</v>
      </c>
      <c r="EN888" s="1" t="s">
        <v>207</v>
      </c>
      <c r="EO888" s="1" t="s">
        <v>431</v>
      </c>
      <c r="EP888" s="1" t="s">
        <v>10191</v>
      </c>
      <c r="EQ888" s="1" t="s">
        <v>209</v>
      </c>
      <c r="ER888" s="1" t="s">
        <v>210</v>
      </c>
      <c r="ES888" s="1" t="s">
        <v>229</v>
      </c>
      <c r="EU888" s="1" t="s">
        <v>238</v>
      </c>
      <c r="EY888" s="1" t="s">
        <v>238</v>
      </c>
      <c r="FC888" s="1" t="s">
        <v>238</v>
      </c>
      <c r="FF888" s="1" t="s">
        <v>239</v>
      </c>
      <c r="FG888" s="1" t="s">
        <v>192</v>
      </c>
      <c r="FH888" s="1" t="s">
        <v>192</v>
      </c>
      <c r="FJ888" s="1" t="s">
        <v>524</v>
      </c>
      <c r="FK888" s="1" t="s">
        <v>557</v>
      </c>
      <c r="FL888" s="1" t="s">
        <v>8307</v>
      </c>
      <c r="FM888" s="1">
        <v>24990.0</v>
      </c>
      <c r="FN888" s="1" t="s">
        <v>8308</v>
      </c>
      <c r="FO888" s="1" t="s">
        <v>8309</v>
      </c>
      <c r="FP888" s="1">
        <v>220018.0</v>
      </c>
      <c r="FQ888" s="1" t="s">
        <v>8308</v>
      </c>
      <c r="FU888" s="1" t="s">
        <v>10192</v>
      </c>
      <c r="FV888" s="1" t="s">
        <v>200</v>
      </c>
      <c r="FW888" s="1" t="s">
        <v>567</v>
      </c>
      <c r="FX888" s="1" t="s">
        <v>655</v>
      </c>
      <c r="FZ888" s="1" t="s">
        <v>229</v>
      </c>
      <c r="GA888" s="1" t="s">
        <v>291</v>
      </c>
      <c r="GB888" s="2">
        <v>42061.0</v>
      </c>
      <c r="GC888" s="1" t="s">
        <v>10193</v>
      </c>
    </row>
    <row r="889">
      <c r="A889" s="1">
        <v>80000.0</v>
      </c>
      <c r="B889" s="1" t="s">
        <v>185</v>
      </c>
      <c r="C889" s="1" t="str">
        <f>"08549031"</f>
        <v>08549031</v>
      </c>
      <c r="D889" s="1" t="s">
        <v>186</v>
      </c>
      <c r="F889" s="1" t="str">
        <f>"8053"</f>
        <v>8053</v>
      </c>
      <c r="G889" s="2">
        <v>41702.0</v>
      </c>
      <c r="H889" s="1">
        <v>95900.0</v>
      </c>
      <c r="I889" s="1">
        <v>595.0</v>
      </c>
      <c r="J889" s="1">
        <v>80000.0</v>
      </c>
      <c r="K889" s="2">
        <v>41991.0</v>
      </c>
      <c r="L889" s="1">
        <v>290.0</v>
      </c>
      <c r="M889" s="2">
        <v>41991.0</v>
      </c>
      <c r="N889" s="1" t="s">
        <v>356</v>
      </c>
      <c r="O889" s="2">
        <v>42034.0</v>
      </c>
      <c r="P889" s="1">
        <v>231295.0</v>
      </c>
      <c r="Q889" s="1">
        <v>22638.0</v>
      </c>
      <c r="R889" s="1">
        <v>3.0</v>
      </c>
      <c r="S889" s="1">
        <v>12472.0</v>
      </c>
      <c r="T889" s="1" t="s">
        <v>9864</v>
      </c>
      <c r="U889" s="1" t="s">
        <v>189</v>
      </c>
      <c r="V889" s="1" t="s">
        <v>190</v>
      </c>
      <c r="W889" s="1">
        <v>60628.0</v>
      </c>
      <c r="Y889" s="1" t="s">
        <v>10194</v>
      </c>
      <c r="Z889" s="1">
        <v>1937.0</v>
      </c>
      <c r="AA889" s="1" t="s">
        <v>192</v>
      </c>
      <c r="AB889" s="1" t="s">
        <v>193</v>
      </c>
      <c r="AD889" s="1" t="s">
        <v>194</v>
      </c>
      <c r="AE889" s="1" t="s">
        <v>195</v>
      </c>
      <c r="AF889" s="1" t="s">
        <v>659</v>
      </c>
      <c r="AH889" s="1" t="s">
        <v>779</v>
      </c>
      <c r="AK889" s="1">
        <v>8.0</v>
      </c>
      <c r="AL889" s="1">
        <v>3.0</v>
      </c>
      <c r="AM889" s="1">
        <v>2.0</v>
      </c>
      <c r="AN889" s="1">
        <v>1.0</v>
      </c>
      <c r="AO889" s="1" t="s">
        <v>229</v>
      </c>
      <c r="AQ889" s="1" t="s">
        <v>198</v>
      </c>
      <c r="AR889" s="1" t="s">
        <v>192</v>
      </c>
      <c r="AS889" s="1" t="s">
        <v>199</v>
      </c>
      <c r="AT889" s="1">
        <v>2.0</v>
      </c>
      <c r="AV889" s="1" t="s">
        <v>200</v>
      </c>
      <c r="AW889" s="1">
        <v>1282.77</v>
      </c>
      <c r="AX889" s="1">
        <v>2012.0</v>
      </c>
      <c r="AY889" s="1" t="s">
        <v>229</v>
      </c>
      <c r="AZ889" s="1" t="s">
        <v>200</v>
      </c>
      <c r="BA889" s="1" t="str">
        <f>"25284180210000"</f>
        <v>25284180210000</v>
      </c>
      <c r="BC889" s="1">
        <v>1100.0</v>
      </c>
      <c r="BD889" s="1">
        <v>80000.0</v>
      </c>
      <c r="BE889" s="2">
        <v>41702.0</v>
      </c>
      <c r="BF889" s="1" t="s">
        <v>10195</v>
      </c>
      <c r="BH889" s="1">
        <v>0.0</v>
      </c>
      <c r="BK889" s="1" t="s">
        <v>204</v>
      </c>
      <c r="BL889" s="1" t="str">
        <f t="shared" si="578"/>
        <v>0</v>
      </c>
      <c r="BM889" s="1" t="str">
        <f>"1"</f>
        <v>1</v>
      </c>
      <c r="BN889" s="1">
        <v>0.0</v>
      </c>
      <c r="BO889" s="1">
        <v>12472.0</v>
      </c>
      <c r="BQ889" s="1">
        <v>299.0</v>
      </c>
      <c r="BR889" s="1">
        <v>299.0</v>
      </c>
      <c r="BS889" s="1">
        <v>299.0</v>
      </c>
      <c r="BU889" s="1" t="s">
        <v>363</v>
      </c>
      <c r="BV889" s="1" t="s">
        <v>206</v>
      </c>
      <c r="BY889" s="1" t="s">
        <v>302</v>
      </c>
      <c r="BZ889" s="1" t="s">
        <v>206</v>
      </c>
      <c r="CC889" s="1" t="s">
        <v>699</v>
      </c>
      <c r="CD889" s="1" t="s">
        <v>206</v>
      </c>
      <c r="CG889" s="1" t="s">
        <v>302</v>
      </c>
      <c r="CH889" s="1" t="s">
        <v>209</v>
      </c>
      <c r="CK889" s="1" t="s">
        <v>699</v>
      </c>
      <c r="CL889" s="1" t="s">
        <v>209</v>
      </c>
      <c r="CO889" s="1" t="s">
        <v>269</v>
      </c>
      <c r="CP889" s="1" t="s">
        <v>42</v>
      </c>
      <c r="CS889" s="1" t="s">
        <v>699</v>
      </c>
      <c r="CT889" s="1" t="s">
        <v>206</v>
      </c>
      <c r="CW889" s="1" t="s">
        <v>1483</v>
      </c>
      <c r="CX889" s="1" t="s">
        <v>42</v>
      </c>
      <c r="DA889" s="1" t="s">
        <v>200</v>
      </c>
      <c r="DC889" s="1" t="s">
        <v>1399</v>
      </c>
      <c r="DD889" s="1" t="s">
        <v>518</v>
      </c>
      <c r="DE889" s="1" t="s">
        <v>273</v>
      </c>
      <c r="DF889" s="1" t="s">
        <v>219</v>
      </c>
      <c r="DH889" s="1" t="s">
        <v>307</v>
      </c>
      <c r="DJ889" s="1" t="s">
        <v>222</v>
      </c>
      <c r="DL889" s="1" t="s">
        <v>224</v>
      </c>
      <c r="DM889" s="1" t="s">
        <v>229</v>
      </c>
      <c r="DP889" s="1" t="s">
        <v>276</v>
      </c>
      <c r="DQ889" s="1" t="s">
        <v>228</v>
      </c>
      <c r="DR889" s="1" t="s">
        <v>229</v>
      </c>
      <c r="DV889" s="1" t="s">
        <v>1270</v>
      </c>
      <c r="DW889" s="1" t="s">
        <v>8064</v>
      </c>
      <c r="DX889" s="1" t="s">
        <v>309</v>
      </c>
      <c r="EA889" s="1" t="s">
        <v>644</v>
      </c>
      <c r="EC889" s="1" t="s">
        <v>237</v>
      </c>
      <c r="EG889" s="1" t="s">
        <v>1270</v>
      </c>
      <c r="EL889" s="1" t="s">
        <v>1449</v>
      </c>
      <c r="EM889" s="1" t="s">
        <v>42</v>
      </c>
      <c r="EQ889" s="1" t="s">
        <v>238</v>
      </c>
      <c r="EU889" s="1" t="s">
        <v>238</v>
      </c>
      <c r="EY889" s="1" t="s">
        <v>238</v>
      </c>
      <c r="FC889" s="1" t="s">
        <v>238</v>
      </c>
      <c r="FF889" s="1" t="s">
        <v>239</v>
      </c>
      <c r="FG889" s="1" t="s">
        <v>192</v>
      </c>
      <c r="FH889" s="1" t="s">
        <v>192</v>
      </c>
      <c r="FJ889" s="1" t="s">
        <v>3334</v>
      </c>
      <c r="FK889" s="1" t="s">
        <v>229</v>
      </c>
      <c r="FL889" s="1" t="s">
        <v>10196</v>
      </c>
      <c r="FM889" s="1">
        <v>23491.0</v>
      </c>
      <c r="FN889" s="1" t="s">
        <v>10197</v>
      </c>
      <c r="FO889" s="1" t="s">
        <v>10198</v>
      </c>
      <c r="FP889" s="1">
        <v>223310.0</v>
      </c>
      <c r="FQ889" s="1" t="s">
        <v>10199</v>
      </c>
      <c r="FR889" s="1">
        <v>221440.0</v>
      </c>
      <c r="FU889" s="1" t="s">
        <v>10200</v>
      </c>
      <c r="FV889" s="1" t="s">
        <v>192</v>
      </c>
      <c r="FW889" s="1" t="s">
        <v>530</v>
      </c>
      <c r="FX889" s="1" t="s">
        <v>655</v>
      </c>
      <c r="FZ889" s="1" t="s">
        <v>229</v>
      </c>
      <c r="GA889" s="1" t="s">
        <v>291</v>
      </c>
      <c r="GB889" s="2">
        <v>42034.0</v>
      </c>
    </row>
    <row r="890">
      <c r="A890" s="1">
        <v>420000.0</v>
      </c>
      <c r="B890" s="1" t="s">
        <v>185</v>
      </c>
      <c r="C890" s="1" t="str">
        <f>"08547951"</f>
        <v>08547951</v>
      </c>
      <c r="D890" s="1" t="s">
        <v>186</v>
      </c>
      <c r="F890" s="1" t="str">
        <f>"542"</f>
        <v>542</v>
      </c>
      <c r="G890" s="2">
        <v>41701.0</v>
      </c>
      <c r="H890" s="1">
        <v>439900.0</v>
      </c>
      <c r="I890" s="1">
        <v>142.0</v>
      </c>
      <c r="J890" s="1">
        <v>429900.0</v>
      </c>
      <c r="K890" s="2">
        <v>41842.0</v>
      </c>
      <c r="L890" s="1">
        <v>142.0</v>
      </c>
      <c r="M890" s="2">
        <v>41842.0</v>
      </c>
      <c r="N890" s="1" t="s">
        <v>634</v>
      </c>
      <c r="O890" s="2">
        <v>42094.0</v>
      </c>
      <c r="P890" s="1">
        <v>700430.0</v>
      </c>
      <c r="Q890" s="1">
        <v>79754.0</v>
      </c>
      <c r="S890" s="1">
        <v>466.0</v>
      </c>
      <c r="T890" s="1" t="s">
        <v>10201</v>
      </c>
      <c r="U890" s="1" t="s">
        <v>189</v>
      </c>
      <c r="V890" s="1" t="s">
        <v>3984</v>
      </c>
      <c r="W890" s="1">
        <v>60542.0</v>
      </c>
      <c r="Y890" s="1" t="s">
        <v>10202</v>
      </c>
      <c r="Z890" s="1">
        <v>2005.0</v>
      </c>
      <c r="AA890" s="1" t="s">
        <v>200</v>
      </c>
      <c r="AB890" s="1" t="s">
        <v>193</v>
      </c>
      <c r="AC890" s="1" t="s">
        <v>10203</v>
      </c>
      <c r="AD890" s="1" t="s">
        <v>3986</v>
      </c>
      <c r="AE890" s="1" t="s">
        <v>325</v>
      </c>
      <c r="AF890" s="1" t="s">
        <v>2702</v>
      </c>
      <c r="AG890" s="1" t="s">
        <v>10204</v>
      </c>
      <c r="AH890" s="1" t="s">
        <v>10205</v>
      </c>
      <c r="AK890" s="1">
        <v>12.0</v>
      </c>
      <c r="AL890" s="1">
        <v>4.0</v>
      </c>
      <c r="AM890" s="1">
        <v>2.0</v>
      </c>
      <c r="AN890" s="1">
        <v>1.0</v>
      </c>
      <c r="AO890" s="1" t="s">
        <v>198</v>
      </c>
      <c r="AP890" s="1">
        <v>1.0</v>
      </c>
      <c r="AQ890" s="1" t="s">
        <v>198</v>
      </c>
      <c r="AR890" s="1" t="s">
        <v>200</v>
      </c>
      <c r="AS890" s="1" t="s">
        <v>199</v>
      </c>
      <c r="AT890" s="1">
        <v>4.0</v>
      </c>
      <c r="AV890" s="1" t="s">
        <v>200</v>
      </c>
      <c r="AW890" s="1">
        <v>10979.0</v>
      </c>
      <c r="AX890" s="1">
        <v>2013.0</v>
      </c>
      <c r="AY890" s="1" t="s">
        <v>387</v>
      </c>
      <c r="AZ890" s="1" t="s">
        <v>200</v>
      </c>
      <c r="BA890" s="1" t="str">
        <f>"1233359006"</f>
        <v>1233359006</v>
      </c>
      <c r="BC890" s="1">
        <v>3875.0</v>
      </c>
      <c r="BD890" s="1">
        <v>420000.0</v>
      </c>
      <c r="BE890" s="2">
        <v>41701.0</v>
      </c>
      <c r="BF890" s="2" t="s">
        <v>10206</v>
      </c>
      <c r="BH890" s="1">
        <v>250.0</v>
      </c>
      <c r="BK890" s="1" t="s">
        <v>580</v>
      </c>
      <c r="BL890" s="1" t="str">
        <f t="shared" si="578"/>
        <v>0</v>
      </c>
      <c r="BM890" s="1" t="str">
        <f>"0"</f>
        <v>0</v>
      </c>
      <c r="BN890" s="1">
        <v>27.0</v>
      </c>
      <c r="BO890" s="1">
        <v>3.0</v>
      </c>
      <c r="BQ890" s="1">
        <v>129.0</v>
      </c>
      <c r="BR890" s="1">
        <v>129.0</v>
      </c>
      <c r="BS890" s="1">
        <v>129.0</v>
      </c>
      <c r="BU890" s="1" t="s">
        <v>1044</v>
      </c>
      <c r="BV890" s="1" t="s">
        <v>206</v>
      </c>
      <c r="BW890" s="1" t="s">
        <v>210</v>
      </c>
      <c r="BX890" s="1" t="s">
        <v>239</v>
      </c>
      <c r="BY890" s="1" t="s">
        <v>2219</v>
      </c>
      <c r="BZ890" s="1" t="s">
        <v>209</v>
      </c>
      <c r="CA890" s="1" t="s">
        <v>210</v>
      </c>
      <c r="CB890" s="1" t="s">
        <v>239</v>
      </c>
      <c r="CC890" s="1" t="s">
        <v>2082</v>
      </c>
      <c r="CD890" s="1" t="s">
        <v>206</v>
      </c>
      <c r="CE890" s="1" t="s">
        <v>210</v>
      </c>
      <c r="CF890" s="1" t="s">
        <v>239</v>
      </c>
      <c r="CG890" s="1" t="s">
        <v>363</v>
      </c>
      <c r="CH890" s="1" t="s">
        <v>206</v>
      </c>
      <c r="CI890" s="1" t="s">
        <v>210</v>
      </c>
      <c r="CJ890" s="1" t="s">
        <v>239</v>
      </c>
      <c r="CK890" s="1" t="s">
        <v>478</v>
      </c>
      <c r="CL890" s="1" t="s">
        <v>209</v>
      </c>
      <c r="CM890" s="1" t="s">
        <v>210</v>
      </c>
      <c r="CN890" s="1" t="s">
        <v>239</v>
      </c>
      <c r="CO890" s="1" t="s">
        <v>1395</v>
      </c>
      <c r="CP890" s="1" t="s">
        <v>209</v>
      </c>
      <c r="CQ890" s="1" t="s">
        <v>210</v>
      </c>
      <c r="CR890" s="1" t="s">
        <v>239</v>
      </c>
      <c r="CS890" s="1" t="s">
        <v>1063</v>
      </c>
      <c r="CT890" s="1" t="s">
        <v>206</v>
      </c>
      <c r="CU890" s="1" t="s">
        <v>207</v>
      </c>
      <c r="CW890" s="1" t="s">
        <v>10207</v>
      </c>
      <c r="CX890" s="1" t="s">
        <v>206</v>
      </c>
      <c r="CY890" s="1" t="s">
        <v>210</v>
      </c>
      <c r="CZ890" s="1" t="s">
        <v>239</v>
      </c>
      <c r="DA890" s="1" t="s">
        <v>200</v>
      </c>
      <c r="DC890" s="1" t="s">
        <v>481</v>
      </c>
      <c r="DD890" s="1" t="s">
        <v>4272</v>
      </c>
      <c r="DE890" s="1" t="s">
        <v>218</v>
      </c>
      <c r="DF890" s="1" t="s">
        <v>745</v>
      </c>
      <c r="DG890" s="1" t="s">
        <v>482</v>
      </c>
      <c r="DH890" s="1" t="s">
        <v>220</v>
      </c>
      <c r="DI890" s="1" t="s">
        <v>7722</v>
      </c>
      <c r="DJ890" s="1" t="s">
        <v>222</v>
      </c>
      <c r="DL890" s="1" t="s">
        <v>223</v>
      </c>
      <c r="DM890" s="1" t="s">
        <v>929</v>
      </c>
      <c r="DN890" s="1" t="s">
        <v>399</v>
      </c>
      <c r="DO890" s="1" t="s">
        <v>486</v>
      </c>
      <c r="DP890" s="1" t="s">
        <v>340</v>
      </c>
      <c r="DQ890" s="1" t="s">
        <v>441</v>
      </c>
      <c r="DR890" s="1" t="s">
        <v>588</v>
      </c>
      <c r="DS890" s="1" t="s">
        <v>230</v>
      </c>
      <c r="DU890" s="1" t="s">
        <v>10208</v>
      </c>
      <c r="DV890" s="1" t="s">
        <v>10209</v>
      </c>
      <c r="DW890" s="1" t="s">
        <v>764</v>
      </c>
      <c r="DX890" s="1" t="s">
        <v>234</v>
      </c>
      <c r="DY890" s="1" t="s">
        <v>1559</v>
      </c>
      <c r="DZ890" s="1" t="s">
        <v>491</v>
      </c>
      <c r="EA890" s="1" t="s">
        <v>344</v>
      </c>
      <c r="EB890" s="1" t="s">
        <v>10210</v>
      </c>
      <c r="EC890" s="1" t="s">
        <v>237</v>
      </c>
      <c r="ED890" s="1" t="s">
        <v>10039</v>
      </c>
      <c r="EG890" s="1" t="s">
        <v>1028</v>
      </c>
      <c r="EH890" s="1" t="s">
        <v>1121</v>
      </c>
      <c r="EI890" s="1" t="s">
        <v>341</v>
      </c>
      <c r="EJ890" s="1" t="s">
        <v>408</v>
      </c>
      <c r="EK890" s="1" t="s">
        <v>556</v>
      </c>
      <c r="EL890" s="1" t="s">
        <v>1395</v>
      </c>
      <c r="EM890" s="1" t="s">
        <v>206</v>
      </c>
      <c r="EN890" s="1" t="s">
        <v>210</v>
      </c>
      <c r="EO890" s="1" t="s">
        <v>239</v>
      </c>
      <c r="EP890" s="1" t="s">
        <v>329</v>
      </c>
      <c r="EQ890" s="1" t="s">
        <v>209</v>
      </c>
      <c r="ER890" s="1" t="s">
        <v>210</v>
      </c>
      <c r="ES890" s="1" t="s">
        <v>239</v>
      </c>
      <c r="ET890" s="1" t="s">
        <v>1351</v>
      </c>
      <c r="EU890" s="1" t="s">
        <v>209</v>
      </c>
      <c r="EV890" s="1" t="s">
        <v>210</v>
      </c>
      <c r="EW890" s="1" t="s">
        <v>229</v>
      </c>
      <c r="EX890" s="1" t="s">
        <v>1316</v>
      </c>
      <c r="EY890" s="1" t="s">
        <v>206</v>
      </c>
      <c r="EZ890" s="1" t="s">
        <v>207</v>
      </c>
      <c r="FA890" s="1" t="s">
        <v>229</v>
      </c>
      <c r="FB890" s="1" t="s">
        <v>1567</v>
      </c>
      <c r="FC890" s="1" t="s">
        <v>206</v>
      </c>
      <c r="FD890" s="1" t="s">
        <v>207</v>
      </c>
      <c r="FE890" s="1" t="s">
        <v>239</v>
      </c>
      <c r="FF890" s="1" t="s">
        <v>239</v>
      </c>
      <c r="FG890" s="1" t="s">
        <v>192</v>
      </c>
      <c r="FH890" s="1" t="s">
        <v>192</v>
      </c>
      <c r="FJ890" s="1" t="s">
        <v>686</v>
      </c>
      <c r="FK890" s="1" t="s">
        <v>229</v>
      </c>
      <c r="FL890" s="1" t="s">
        <v>1212</v>
      </c>
      <c r="FM890" s="1">
        <v>30.0</v>
      </c>
      <c r="FN890" s="1" t="s">
        <v>1213</v>
      </c>
      <c r="FO890" s="1" t="s">
        <v>5594</v>
      </c>
      <c r="FP890" s="1">
        <v>500.0</v>
      </c>
      <c r="FQ890" s="1" t="s">
        <v>5595</v>
      </c>
      <c r="FU890" s="1" t="s">
        <v>10211</v>
      </c>
      <c r="FV890" s="1" t="s">
        <v>200</v>
      </c>
      <c r="FW890" s="1" t="s">
        <v>290</v>
      </c>
      <c r="FZ890" s="1" t="s">
        <v>229</v>
      </c>
      <c r="GA890" s="1" t="s">
        <v>291</v>
      </c>
      <c r="GB890" s="2">
        <v>42095.0</v>
      </c>
      <c r="GC890" s="1" t="s">
        <v>10212</v>
      </c>
    </row>
    <row r="891">
      <c r="A891" s="1">
        <v>296500.0</v>
      </c>
      <c r="B891" s="1" t="s">
        <v>185</v>
      </c>
      <c r="C891" s="1" t="str">
        <f>"08580251"</f>
        <v>08580251</v>
      </c>
      <c r="D891" s="1" t="s">
        <v>186</v>
      </c>
      <c r="F891" s="1" t="str">
        <f>"174"</f>
        <v>174</v>
      </c>
      <c r="G891" s="2">
        <v>41738.0</v>
      </c>
      <c r="H891" s="1">
        <v>394900.0</v>
      </c>
      <c r="I891" s="1">
        <v>245.0</v>
      </c>
      <c r="J891" s="1">
        <v>299900.0</v>
      </c>
      <c r="K891" s="2">
        <v>41981.0</v>
      </c>
      <c r="L891" s="1">
        <v>245.0</v>
      </c>
      <c r="M891" s="2">
        <v>41981.0</v>
      </c>
      <c r="N891" s="1" t="s">
        <v>187</v>
      </c>
      <c r="O891" s="2">
        <v>42048.0</v>
      </c>
      <c r="P891" s="1">
        <v>8483.0</v>
      </c>
      <c r="Q891" s="1">
        <v>41.0</v>
      </c>
      <c r="S891" s="1" t="s">
        <v>10213</v>
      </c>
      <c r="T891" s="1" t="s">
        <v>10214</v>
      </c>
      <c r="U891" s="1" t="s">
        <v>1174</v>
      </c>
      <c r="V891" s="1" t="s">
        <v>1200</v>
      </c>
      <c r="W891" s="1">
        <v>60175.0</v>
      </c>
      <c r="Y891" s="1" t="s">
        <v>10215</v>
      </c>
      <c r="Z891" s="1">
        <v>1990.0</v>
      </c>
      <c r="AA891" s="1" t="s">
        <v>200</v>
      </c>
      <c r="AB891" s="1" t="s">
        <v>193</v>
      </c>
      <c r="AD891" s="1" t="s">
        <v>3766</v>
      </c>
      <c r="AE891" s="1" t="s">
        <v>325</v>
      </c>
      <c r="AF891" s="1" t="s">
        <v>1632</v>
      </c>
      <c r="AH891" s="1" t="s">
        <v>10216</v>
      </c>
      <c r="AI891" s="1">
        <v>1.2079</v>
      </c>
      <c r="AK891" s="1">
        <v>8.0</v>
      </c>
      <c r="AL891" s="1">
        <v>4.0</v>
      </c>
      <c r="AM891" s="1">
        <v>2.0</v>
      </c>
      <c r="AN891" s="1">
        <v>1.0</v>
      </c>
      <c r="AO891" s="1" t="s">
        <v>198</v>
      </c>
      <c r="AP891" s="1">
        <v>1.0</v>
      </c>
      <c r="AQ891" s="1" t="s">
        <v>198</v>
      </c>
      <c r="AR891" s="1" t="s">
        <v>200</v>
      </c>
      <c r="AS891" s="1" t="s">
        <v>199</v>
      </c>
      <c r="AT891" s="1">
        <v>2.0</v>
      </c>
      <c r="AV891" s="1" t="s">
        <v>200</v>
      </c>
      <c r="AW891" s="1">
        <v>9335.54</v>
      </c>
      <c r="AX891" s="1">
        <v>2012.0</v>
      </c>
      <c r="AZ891" s="1" t="s">
        <v>200</v>
      </c>
      <c r="BA891" s="1" t="str">
        <f>"0801201004"</f>
        <v>0801201004</v>
      </c>
      <c r="BB891" s="1" t="s">
        <v>200</v>
      </c>
      <c r="BC891" s="1">
        <v>2835.0</v>
      </c>
      <c r="BD891" s="1">
        <v>296500.0</v>
      </c>
      <c r="BE891" s="2">
        <v>41737.0</v>
      </c>
      <c r="BF891" s="1" t="s">
        <v>10217</v>
      </c>
      <c r="BH891" s="1">
        <v>0.0</v>
      </c>
      <c r="BK891" s="1" t="s">
        <v>204</v>
      </c>
      <c r="BL891" s="1" t="str">
        <f t="shared" ref="BL891:BM891" si="579">""</f>
        <v/>
      </c>
      <c r="BM891" s="1" t="str">
        <f t="shared" si="579"/>
        <v/>
      </c>
      <c r="BQ891" s="1">
        <v>303.0</v>
      </c>
      <c r="BR891" s="1">
        <v>303.0</v>
      </c>
      <c r="BS891" s="1">
        <v>303.0</v>
      </c>
      <c r="BU891" s="1" t="s">
        <v>677</v>
      </c>
      <c r="BV891" s="1" t="s">
        <v>206</v>
      </c>
      <c r="BW891" s="1" t="s">
        <v>210</v>
      </c>
      <c r="BY891" s="1" t="s">
        <v>2219</v>
      </c>
      <c r="BZ891" s="1" t="s">
        <v>209</v>
      </c>
      <c r="CA891" s="1" t="s">
        <v>210</v>
      </c>
      <c r="CC891" s="1" t="s">
        <v>393</v>
      </c>
      <c r="CD891" s="1" t="s">
        <v>206</v>
      </c>
      <c r="CG891" s="1" t="s">
        <v>830</v>
      </c>
      <c r="CH891" s="1" t="s">
        <v>209</v>
      </c>
      <c r="CI891" s="1" t="s">
        <v>210</v>
      </c>
      <c r="CK891" s="1" t="s">
        <v>1417</v>
      </c>
      <c r="CL891" s="1" t="s">
        <v>209</v>
      </c>
      <c r="CM891" s="1" t="s">
        <v>210</v>
      </c>
      <c r="CO891" s="1" t="s">
        <v>1417</v>
      </c>
      <c r="CP891" s="1" t="s">
        <v>209</v>
      </c>
      <c r="CQ891" s="1" t="s">
        <v>210</v>
      </c>
      <c r="CS891" s="1" t="s">
        <v>433</v>
      </c>
      <c r="CT891" s="1" t="s">
        <v>206</v>
      </c>
      <c r="CU891" s="1" t="s">
        <v>207</v>
      </c>
      <c r="CW891" s="1" t="s">
        <v>2219</v>
      </c>
      <c r="CX891" s="1" t="s">
        <v>206</v>
      </c>
      <c r="CY891" s="1" t="s">
        <v>210</v>
      </c>
      <c r="DA891" s="1" t="s">
        <v>200</v>
      </c>
      <c r="DC891" s="1" t="s">
        <v>435</v>
      </c>
      <c r="DD891" s="1" t="s">
        <v>518</v>
      </c>
      <c r="DE891" s="1" t="s">
        <v>273</v>
      </c>
      <c r="DF891" s="1" t="s">
        <v>619</v>
      </c>
      <c r="DH891" s="1" t="s">
        <v>856</v>
      </c>
      <c r="DI891" s="1" t="s">
        <v>6031</v>
      </c>
      <c r="DJ891" s="1" t="s">
        <v>857</v>
      </c>
      <c r="DL891" s="1" t="s">
        <v>223</v>
      </c>
      <c r="DM891" s="1" t="s">
        <v>229</v>
      </c>
      <c r="DN891" s="1" t="s">
        <v>548</v>
      </c>
      <c r="DO891" s="1" t="s">
        <v>1208</v>
      </c>
      <c r="DP891" s="1" t="s">
        <v>340</v>
      </c>
      <c r="DQ891" s="1" t="s">
        <v>931</v>
      </c>
      <c r="DR891" s="1" t="s">
        <v>229</v>
      </c>
      <c r="DV891" s="1" t="s">
        <v>232</v>
      </c>
      <c r="DW891" s="1" t="s">
        <v>764</v>
      </c>
      <c r="DX891" s="1" t="s">
        <v>234</v>
      </c>
      <c r="DY891" s="1" t="s">
        <v>235</v>
      </c>
      <c r="DZ891" s="1" t="s">
        <v>282</v>
      </c>
      <c r="EC891" s="1" t="s">
        <v>237</v>
      </c>
      <c r="EM891" s="1" t="s">
        <v>238</v>
      </c>
      <c r="EQ891" s="1" t="s">
        <v>238</v>
      </c>
      <c r="EU891" s="1" t="s">
        <v>238</v>
      </c>
      <c r="EY891" s="1" t="s">
        <v>238</v>
      </c>
      <c r="FC891" s="1" t="s">
        <v>238</v>
      </c>
      <c r="FF891" s="1" t="s">
        <v>239</v>
      </c>
      <c r="FG891" s="1" t="s">
        <v>192</v>
      </c>
      <c r="FH891" s="1" t="s">
        <v>192</v>
      </c>
      <c r="FJ891" s="1" t="s">
        <v>347</v>
      </c>
      <c r="FK891" s="1" t="s">
        <v>229</v>
      </c>
      <c r="FL891" s="1" t="s">
        <v>1855</v>
      </c>
      <c r="FM891" s="1">
        <v>41.0</v>
      </c>
      <c r="FN891" s="1" t="s">
        <v>1856</v>
      </c>
      <c r="FO891" s="1" t="s">
        <v>1857</v>
      </c>
      <c r="FP891" s="1">
        <v>8483.0</v>
      </c>
      <c r="FQ891" s="1" t="s">
        <v>1858</v>
      </c>
      <c r="FS891" s="1" t="s">
        <v>7114</v>
      </c>
      <c r="FT891" s="1" t="s">
        <v>1860</v>
      </c>
      <c r="FU891" s="1" t="s">
        <v>10218</v>
      </c>
      <c r="FV891" s="1" t="s">
        <v>200</v>
      </c>
      <c r="FW891" s="1" t="s">
        <v>354</v>
      </c>
      <c r="FZ891" s="1" t="s">
        <v>229</v>
      </c>
      <c r="GA891" s="1" t="s">
        <v>291</v>
      </c>
      <c r="GB891" s="2">
        <v>42048.0</v>
      </c>
      <c r="GC891" s="1" t="s">
        <v>10219</v>
      </c>
    </row>
    <row r="892">
      <c r="A892" s="1">
        <v>284000.0</v>
      </c>
      <c r="B892" s="1" t="s">
        <v>185</v>
      </c>
      <c r="C892" s="1" t="str">
        <f>"08849905"</f>
        <v>08849905</v>
      </c>
      <c r="D892" s="1" t="s">
        <v>186</v>
      </c>
      <c r="F892" s="1" t="str">
        <f>"8009"</f>
        <v>8009</v>
      </c>
      <c r="G892" s="2">
        <v>42065.0</v>
      </c>
      <c r="H892" s="1">
        <v>329000.0</v>
      </c>
      <c r="I892" s="1">
        <v>1.0</v>
      </c>
      <c r="J892" s="1">
        <v>329000.0</v>
      </c>
      <c r="K892" s="2">
        <v>42065.0</v>
      </c>
      <c r="L892" s="1">
        <v>1.0</v>
      </c>
      <c r="M892" s="2">
        <v>42065.0</v>
      </c>
      <c r="N892" s="1" t="s">
        <v>588</v>
      </c>
      <c r="O892" s="2">
        <v>42096.0</v>
      </c>
      <c r="P892" s="1">
        <v>220018.0</v>
      </c>
      <c r="Q892" s="1">
        <v>24990.0</v>
      </c>
      <c r="R892" s="1">
        <v>2000.0</v>
      </c>
      <c r="S892" s="1">
        <v>6671.0</v>
      </c>
      <c r="T892" s="1" t="s">
        <v>1218</v>
      </c>
      <c r="U892" s="1" t="s">
        <v>189</v>
      </c>
      <c r="V892" s="1" t="s">
        <v>190</v>
      </c>
      <c r="W892" s="1">
        <v>60631.0</v>
      </c>
      <c r="Y892" s="1" t="s">
        <v>10220</v>
      </c>
      <c r="Z892" s="1">
        <v>1888.0</v>
      </c>
      <c r="AA892" s="1" t="s">
        <v>192</v>
      </c>
      <c r="AB892" s="1" t="s">
        <v>193</v>
      </c>
      <c r="AD892" s="1" t="s">
        <v>194</v>
      </c>
      <c r="AE892" s="1" t="s">
        <v>195</v>
      </c>
      <c r="AF892" s="1" t="s">
        <v>196</v>
      </c>
      <c r="AH892" s="1" t="s">
        <v>10221</v>
      </c>
      <c r="AK892" s="1">
        <v>8.0</v>
      </c>
      <c r="AL892" s="1">
        <v>3.0</v>
      </c>
      <c r="AM892" s="1">
        <v>3.0</v>
      </c>
      <c r="AN892" s="1">
        <v>1.0</v>
      </c>
      <c r="AO892" s="1" t="s">
        <v>229</v>
      </c>
      <c r="AP892" s="1">
        <v>0.0</v>
      </c>
      <c r="AQ892" s="1" t="s">
        <v>198</v>
      </c>
      <c r="AR892" s="1" t="s">
        <v>200</v>
      </c>
      <c r="AS892" s="1" t="s">
        <v>229</v>
      </c>
      <c r="AV892" s="1" t="s">
        <v>200</v>
      </c>
      <c r="AW892" s="1">
        <v>5417.0</v>
      </c>
      <c r="AX892" s="1">
        <v>2013.0</v>
      </c>
      <c r="AZ892" s="1" t="s">
        <v>200</v>
      </c>
      <c r="BA892" s="1" t="str">
        <f>"09364160200000"</f>
        <v>09364160200000</v>
      </c>
      <c r="BB892" s="1" t="s">
        <v>200</v>
      </c>
      <c r="BC892" s="1">
        <v>2608.0</v>
      </c>
      <c r="BD892" s="1">
        <v>284000.0</v>
      </c>
      <c r="BE892" s="2">
        <v>42065.0</v>
      </c>
      <c r="BF892" s="2" t="s">
        <v>10222</v>
      </c>
      <c r="BH892" s="1">
        <v>0.0</v>
      </c>
      <c r="BK892" s="1" t="s">
        <v>204</v>
      </c>
      <c r="BL892" s="1" t="str">
        <f>"6600"</f>
        <v>6600</v>
      </c>
      <c r="BM892" s="1" t="str">
        <f t="shared" ref="BM892:BM895" si="580">"0"</f>
        <v>0</v>
      </c>
      <c r="BN892" s="1">
        <v>6500.0</v>
      </c>
      <c r="BO892" s="1">
        <v>0.0</v>
      </c>
      <c r="BQ892" s="1">
        <v>299.0</v>
      </c>
      <c r="BR892" s="1">
        <v>299.0</v>
      </c>
      <c r="BS892" s="1">
        <v>299.0</v>
      </c>
      <c r="BU892" s="1" t="s">
        <v>813</v>
      </c>
      <c r="BV892" s="1" t="s">
        <v>206</v>
      </c>
      <c r="BY892" s="1" t="s">
        <v>329</v>
      </c>
      <c r="BZ892" s="1" t="s">
        <v>209</v>
      </c>
      <c r="CC892" s="1" t="s">
        <v>542</v>
      </c>
      <c r="CD892" s="1" t="s">
        <v>206</v>
      </c>
      <c r="CG892" s="1" t="s">
        <v>212</v>
      </c>
      <c r="CH892" s="1" t="s">
        <v>209</v>
      </c>
      <c r="CK892" s="1" t="s">
        <v>699</v>
      </c>
      <c r="CL892" s="1" t="s">
        <v>209</v>
      </c>
      <c r="CO892" s="1" t="s">
        <v>1688</v>
      </c>
      <c r="CP892" s="1" t="s">
        <v>42</v>
      </c>
      <c r="CS892" s="1" t="s">
        <v>1246</v>
      </c>
      <c r="CT892" s="1" t="s">
        <v>206</v>
      </c>
      <c r="CW892" s="1" t="s">
        <v>7413</v>
      </c>
      <c r="CX892" s="1" t="s">
        <v>42</v>
      </c>
      <c r="DA892" s="1" t="s">
        <v>200</v>
      </c>
      <c r="DC892" s="1" t="s">
        <v>642</v>
      </c>
      <c r="DE892" s="1" t="s">
        <v>229</v>
      </c>
      <c r="DF892" s="1" t="s">
        <v>619</v>
      </c>
      <c r="DG892" s="1" t="s">
        <v>337</v>
      </c>
      <c r="DH892" s="1" t="s">
        <v>365</v>
      </c>
      <c r="DJ892" s="1" t="s">
        <v>222</v>
      </c>
      <c r="DL892" s="1" t="s">
        <v>223</v>
      </c>
      <c r="DM892" s="1" t="s">
        <v>1143</v>
      </c>
      <c r="DQ892" s="1" t="s">
        <v>228</v>
      </c>
      <c r="DR892" s="1" t="s">
        <v>229</v>
      </c>
      <c r="DS892" s="1" t="s">
        <v>230</v>
      </c>
      <c r="DV892" s="1" t="s">
        <v>10223</v>
      </c>
      <c r="DW892" s="1" t="s">
        <v>667</v>
      </c>
      <c r="DX892" s="1" t="s">
        <v>5015</v>
      </c>
      <c r="EC892" s="1" t="s">
        <v>237</v>
      </c>
      <c r="EE892" s="1" t="s">
        <v>187</v>
      </c>
      <c r="EG892" s="1" t="s">
        <v>409</v>
      </c>
      <c r="EH892" s="1" t="s">
        <v>2877</v>
      </c>
      <c r="EL892" s="1" t="s">
        <v>10224</v>
      </c>
      <c r="EM892" s="1" t="s">
        <v>209</v>
      </c>
      <c r="EP892" s="1" t="s">
        <v>10225</v>
      </c>
      <c r="EQ892" s="1" t="s">
        <v>206</v>
      </c>
      <c r="EU892" s="1" t="s">
        <v>238</v>
      </c>
      <c r="EY892" s="1" t="s">
        <v>238</v>
      </c>
      <c r="FC892" s="1" t="s">
        <v>238</v>
      </c>
      <c r="FF892" s="1" t="s">
        <v>239</v>
      </c>
      <c r="FG892" s="1" t="s">
        <v>192</v>
      </c>
      <c r="FH892" s="1" t="s">
        <v>192</v>
      </c>
      <c r="FJ892" s="1" t="s">
        <v>524</v>
      </c>
      <c r="FK892" s="1" t="s">
        <v>229</v>
      </c>
      <c r="FL892" s="1" t="s">
        <v>8307</v>
      </c>
      <c r="FM892" s="1">
        <v>24990.0</v>
      </c>
      <c r="FN892" s="1" t="s">
        <v>8308</v>
      </c>
      <c r="FO892" s="1" t="s">
        <v>8309</v>
      </c>
      <c r="FP892" s="1">
        <v>220018.0</v>
      </c>
      <c r="FQ892" s="1" t="s">
        <v>8308</v>
      </c>
      <c r="FU892" s="1" t="s">
        <v>7218</v>
      </c>
      <c r="FV892" s="1" t="s">
        <v>200</v>
      </c>
      <c r="FW892" s="1" t="s">
        <v>567</v>
      </c>
      <c r="FX892" s="1" t="s">
        <v>238</v>
      </c>
      <c r="FZ892" s="1" t="s">
        <v>229</v>
      </c>
      <c r="GA892" s="1" t="s">
        <v>291</v>
      </c>
      <c r="GB892" s="2">
        <v>42096.0</v>
      </c>
      <c r="GC892" s="1" t="s">
        <v>10226</v>
      </c>
    </row>
    <row r="893">
      <c r="A893" s="1">
        <v>133000.0</v>
      </c>
      <c r="B893" s="1" t="s">
        <v>185</v>
      </c>
      <c r="C893" s="1" t="str">
        <f>"08554979"</f>
        <v>08554979</v>
      </c>
      <c r="D893" s="1" t="s">
        <v>186</v>
      </c>
      <c r="F893" s="1" t="str">
        <f>"123"</f>
        <v>123</v>
      </c>
      <c r="G893" s="2">
        <v>41709.0</v>
      </c>
      <c r="H893" s="1">
        <v>150000.0</v>
      </c>
      <c r="I893" s="1">
        <v>424.0</v>
      </c>
      <c r="J893" s="1">
        <v>140000.0</v>
      </c>
      <c r="K893" s="2">
        <v>41967.0</v>
      </c>
      <c r="L893" s="1">
        <v>261.0</v>
      </c>
      <c r="M893" s="2">
        <v>41967.0</v>
      </c>
      <c r="N893" s="1" t="s">
        <v>356</v>
      </c>
      <c r="O893" s="2">
        <v>42026.0</v>
      </c>
      <c r="P893" s="1">
        <v>80589.0</v>
      </c>
      <c r="Q893" s="1">
        <v>8340.0</v>
      </c>
      <c r="R893" s="1">
        <v>3600.0</v>
      </c>
      <c r="S893" s="1">
        <v>701.0</v>
      </c>
      <c r="T893" s="1" t="s">
        <v>10227</v>
      </c>
      <c r="U893" s="1" t="s">
        <v>320</v>
      </c>
      <c r="V893" s="1" t="s">
        <v>465</v>
      </c>
      <c r="W893" s="1">
        <v>60120.0</v>
      </c>
      <c r="Y893" s="1" t="s">
        <v>10228</v>
      </c>
      <c r="Z893" s="1">
        <v>1925.0</v>
      </c>
      <c r="AA893" s="1" t="s">
        <v>192</v>
      </c>
      <c r="AB893" s="1" t="s">
        <v>193</v>
      </c>
      <c r="AD893" s="1" t="s">
        <v>469</v>
      </c>
      <c r="AE893" s="1" t="s">
        <v>325</v>
      </c>
      <c r="AF893" s="1" t="s">
        <v>469</v>
      </c>
      <c r="AH893" s="1" t="s">
        <v>3573</v>
      </c>
      <c r="AK893" s="1">
        <v>7.0</v>
      </c>
      <c r="AL893" s="1">
        <v>4.0</v>
      </c>
      <c r="AM893" s="1">
        <v>2.0</v>
      </c>
      <c r="AN893" s="1">
        <v>0.0</v>
      </c>
      <c r="AO893" s="1" t="s">
        <v>229</v>
      </c>
      <c r="AP893" s="1">
        <v>1.0</v>
      </c>
      <c r="AQ893" s="1" t="s">
        <v>327</v>
      </c>
      <c r="AR893" s="1" t="s">
        <v>192</v>
      </c>
      <c r="AS893" s="1" t="s">
        <v>828</v>
      </c>
      <c r="AU893" s="1">
        <v>2.0</v>
      </c>
      <c r="AV893" s="1" t="s">
        <v>200</v>
      </c>
      <c r="AW893" s="1">
        <v>3832.0</v>
      </c>
      <c r="AX893" s="1">
        <v>2013.0</v>
      </c>
      <c r="AZ893" s="1" t="s">
        <v>200</v>
      </c>
      <c r="BA893" s="1" t="str">
        <f>"0624430001"</f>
        <v>0624430001</v>
      </c>
      <c r="BB893" s="1" t="s">
        <v>200</v>
      </c>
      <c r="BC893" s="1">
        <v>1493.0</v>
      </c>
      <c r="BD893" s="1">
        <v>133000.0</v>
      </c>
      <c r="BE893" s="2">
        <v>41707.0</v>
      </c>
      <c r="BF893" s="2" t="s">
        <v>10229</v>
      </c>
      <c r="BH893" s="1">
        <v>0.0</v>
      </c>
      <c r="BK893" s="1" t="s">
        <v>204</v>
      </c>
      <c r="BL893" s="1" t="str">
        <f>"10"</f>
        <v>10</v>
      </c>
      <c r="BM893" s="1" t="str">
        <f t="shared" si="580"/>
        <v>0</v>
      </c>
      <c r="BN893" s="1">
        <v>33.0</v>
      </c>
      <c r="BO893" s="1">
        <v>0.0</v>
      </c>
      <c r="BQ893" s="1">
        <v>46.0</v>
      </c>
      <c r="BR893" s="1">
        <v>46.0</v>
      </c>
      <c r="BS893" s="1">
        <v>46.0</v>
      </c>
      <c r="BU893" s="1" t="s">
        <v>361</v>
      </c>
      <c r="BV893" s="1" t="s">
        <v>206</v>
      </c>
      <c r="BW893" s="1" t="s">
        <v>210</v>
      </c>
      <c r="BX893" s="1" t="s">
        <v>229</v>
      </c>
      <c r="BY893" s="1" t="s">
        <v>544</v>
      </c>
      <c r="BZ893" s="1" t="s">
        <v>209</v>
      </c>
      <c r="CA893" s="1" t="s">
        <v>210</v>
      </c>
      <c r="CB893" s="1" t="s">
        <v>229</v>
      </c>
      <c r="CC893" s="1" t="s">
        <v>329</v>
      </c>
      <c r="CD893" s="1" t="s">
        <v>206</v>
      </c>
      <c r="CE893" s="1" t="s">
        <v>210</v>
      </c>
      <c r="CF893" s="1" t="s">
        <v>229</v>
      </c>
      <c r="CG893" s="1" t="s">
        <v>1426</v>
      </c>
      <c r="CH893" s="1" t="s">
        <v>209</v>
      </c>
      <c r="CI893" s="1" t="s">
        <v>210</v>
      </c>
      <c r="CJ893" s="1" t="s">
        <v>229</v>
      </c>
      <c r="CK893" s="1" t="s">
        <v>215</v>
      </c>
      <c r="CL893" s="1" t="s">
        <v>206</v>
      </c>
      <c r="CM893" s="1" t="s">
        <v>210</v>
      </c>
      <c r="CN893" s="1" t="s">
        <v>229</v>
      </c>
      <c r="CO893" s="1" t="s">
        <v>433</v>
      </c>
      <c r="CP893" s="1" t="s">
        <v>206</v>
      </c>
      <c r="CQ893" s="1" t="s">
        <v>210</v>
      </c>
      <c r="CR893" s="1" t="s">
        <v>229</v>
      </c>
      <c r="CS893" s="1" t="s">
        <v>264</v>
      </c>
      <c r="CT893" s="1" t="s">
        <v>206</v>
      </c>
      <c r="CU893" s="1" t="s">
        <v>617</v>
      </c>
      <c r="CV893" s="1" t="s">
        <v>229</v>
      </c>
      <c r="CX893" s="1" t="s">
        <v>204</v>
      </c>
      <c r="CY893" s="1" t="s">
        <v>588</v>
      </c>
      <c r="CZ893" s="1" t="s">
        <v>229</v>
      </c>
      <c r="DA893" s="1" t="s">
        <v>200</v>
      </c>
      <c r="DC893" s="1" t="s">
        <v>785</v>
      </c>
      <c r="DD893" s="1" t="s">
        <v>10230</v>
      </c>
      <c r="DE893" s="1" t="s">
        <v>1300</v>
      </c>
      <c r="DF893" s="1" t="s">
        <v>219</v>
      </c>
      <c r="DH893" s="1" t="s">
        <v>220</v>
      </c>
      <c r="DI893" s="1" t="s">
        <v>1401</v>
      </c>
      <c r="DJ893" s="1" t="s">
        <v>222</v>
      </c>
      <c r="DL893" s="1" t="s">
        <v>1161</v>
      </c>
      <c r="DM893" s="1" t="s">
        <v>229</v>
      </c>
      <c r="DP893" s="1" t="s">
        <v>340</v>
      </c>
      <c r="DQ893" s="1" t="s">
        <v>228</v>
      </c>
      <c r="DR893" s="1" t="s">
        <v>229</v>
      </c>
      <c r="DS893" s="1" t="s">
        <v>230</v>
      </c>
      <c r="DU893" s="1" t="s">
        <v>2070</v>
      </c>
      <c r="DV893" s="1" t="s">
        <v>232</v>
      </c>
      <c r="DW893" s="1" t="s">
        <v>10231</v>
      </c>
      <c r="DX893" s="1" t="s">
        <v>234</v>
      </c>
      <c r="EA893" s="1" t="s">
        <v>447</v>
      </c>
      <c r="EC893" s="1" t="s">
        <v>237</v>
      </c>
      <c r="EF893" s="1" t="s">
        <v>7505</v>
      </c>
      <c r="EM893" s="1" t="s">
        <v>238</v>
      </c>
      <c r="EQ893" s="1" t="s">
        <v>238</v>
      </c>
      <c r="EU893" s="1" t="s">
        <v>238</v>
      </c>
      <c r="EY893" s="1" t="s">
        <v>238</v>
      </c>
      <c r="FC893" s="1" t="s">
        <v>238</v>
      </c>
      <c r="FF893" s="1" t="s">
        <v>239</v>
      </c>
      <c r="FG893" s="1" t="s">
        <v>192</v>
      </c>
      <c r="FH893" s="1" t="s">
        <v>192</v>
      </c>
      <c r="FJ893" s="1" t="s">
        <v>1419</v>
      </c>
      <c r="FK893" s="1" t="s">
        <v>229</v>
      </c>
      <c r="FL893" s="1" t="s">
        <v>10232</v>
      </c>
      <c r="FM893" s="1">
        <v>370.0</v>
      </c>
      <c r="FN893" s="1" t="s">
        <v>10233</v>
      </c>
      <c r="FO893" s="1" t="s">
        <v>10234</v>
      </c>
      <c r="FP893" s="1">
        <v>1349.0</v>
      </c>
      <c r="FQ893" s="1" t="s">
        <v>10235</v>
      </c>
      <c r="FU893" s="1" t="s">
        <v>10236</v>
      </c>
      <c r="FV893" s="1" t="s">
        <v>200</v>
      </c>
      <c r="FW893" s="1" t="s">
        <v>290</v>
      </c>
      <c r="FZ893" s="1" t="s">
        <v>229</v>
      </c>
      <c r="GA893" s="1" t="s">
        <v>291</v>
      </c>
      <c r="GB893" s="2">
        <v>42030.0</v>
      </c>
    </row>
    <row r="894">
      <c r="A894" s="1">
        <v>499000.0</v>
      </c>
      <c r="B894" s="1" t="s">
        <v>185</v>
      </c>
      <c r="C894" s="1" t="str">
        <f>"08553633"</f>
        <v>08553633</v>
      </c>
      <c r="D894" s="1" t="s">
        <v>186</v>
      </c>
      <c r="F894" s="1" t="str">
        <f>"8005"</f>
        <v>8005</v>
      </c>
      <c r="G894" s="2">
        <v>41707.0</v>
      </c>
      <c r="H894" s="1">
        <v>569000.0</v>
      </c>
      <c r="I894" s="1">
        <v>263.0</v>
      </c>
      <c r="J894" s="1">
        <v>499000.0</v>
      </c>
      <c r="K894" s="2">
        <v>41969.0</v>
      </c>
      <c r="L894" s="1">
        <v>263.0</v>
      </c>
      <c r="M894" s="2">
        <v>41969.0</v>
      </c>
      <c r="N894" s="1" t="s">
        <v>249</v>
      </c>
      <c r="O894" s="2">
        <v>41995.0</v>
      </c>
      <c r="P894" s="1">
        <v>215118.0</v>
      </c>
      <c r="Q894" s="1">
        <v>21189.0</v>
      </c>
      <c r="R894" s="1">
        <v>10000.0</v>
      </c>
      <c r="S894" s="1">
        <v>1820.0</v>
      </c>
      <c r="T894" s="1" t="s">
        <v>4099</v>
      </c>
      <c r="U894" s="1" t="s">
        <v>189</v>
      </c>
      <c r="V894" s="1" t="s">
        <v>190</v>
      </c>
      <c r="W894" s="1">
        <v>60613.0</v>
      </c>
      <c r="Y894" s="1" t="s">
        <v>10237</v>
      </c>
      <c r="Z894" s="1" t="s">
        <v>296</v>
      </c>
      <c r="AA894" s="1" t="s">
        <v>192</v>
      </c>
      <c r="AB894" s="1" t="s">
        <v>193</v>
      </c>
      <c r="AD894" s="1" t="s">
        <v>194</v>
      </c>
      <c r="AE894" s="1" t="s">
        <v>195</v>
      </c>
      <c r="AF894" s="1" t="s">
        <v>534</v>
      </c>
      <c r="AH894" s="1" t="s">
        <v>10238</v>
      </c>
      <c r="AK894" s="1">
        <v>9.0</v>
      </c>
      <c r="AL894" s="1">
        <v>4.0</v>
      </c>
      <c r="AM894" s="1">
        <v>2.0</v>
      </c>
      <c r="AN894" s="1">
        <v>1.0</v>
      </c>
      <c r="AO894" s="1" t="s">
        <v>229</v>
      </c>
      <c r="AQ894" s="1" t="s">
        <v>472</v>
      </c>
      <c r="AR894" s="1" t="s">
        <v>192</v>
      </c>
      <c r="AS894" s="1" t="s">
        <v>199</v>
      </c>
      <c r="AT894" s="1">
        <v>2.0</v>
      </c>
      <c r="AV894" s="1" t="s">
        <v>200</v>
      </c>
      <c r="AW894" s="1">
        <v>6239.68</v>
      </c>
      <c r="AX894" s="1">
        <v>2012.0</v>
      </c>
      <c r="AZ894" s="1" t="s">
        <v>200</v>
      </c>
      <c r="BA894" s="1" t="str">
        <f>"14184190270000"</f>
        <v>14184190270000</v>
      </c>
      <c r="BC894" s="1">
        <v>0.0</v>
      </c>
      <c r="BD894" s="1">
        <v>499000.0</v>
      </c>
      <c r="BE894" s="2">
        <v>41707.0</v>
      </c>
      <c r="BF894" s="2" t="s">
        <v>10239</v>
      </c>
      <c r="BH894" s="1">
        <v>0.0</v>
      </c>
      <c r="BK894" s="1" t="s">
        <v>204</v>
      </c>
      <c r="BL894" s="1" t="str">
        <f>"4100"</f>
        <v>4100</v>
      </c>
      <c r="BM894" s="1" t="str">
        <f t="shared" si="580"/>
        <v>0</v>
      </c>
      <c r="BN894" s="1">
        <v>1820.0</v>
      </c>
      <c r="BO894" s="1">
        <v>0.0</v>
      </c>
      <c r="BQ894" s="1">
        <v>299.0</v>
      </c>
      <c r="BR894" s="1">
        <v>299.0</v>
      </c>
      <c r="BS894" s="1">
        <v>299.0</v>
      </c>
      <c r="BU894" s="1" t="s">
        <v>955</v>
      </c>
      <c r="BV894" s="1" t="s">
        <v>206</v>
      </c>
      <c r="BW894" s="1" t="s">
        <v>207</v>
      </c>
      <c r="BY894" s="1" t="s">
        <v>213</v>
      </c>
      <c r="BZ894" s="1" t="s">
        <v>209</v>
      </c>
      <c r="CA894" s="1" t="s">
        <v>207</v>
      </c>
      <c r="CC894" s="1" t="s">
        <v>1600</v>
      </c>
      <c r="CD894" s="1" t="s">
        <v>206</v>
      </c>
      <c r="CE894" s="1" t="s">
        <v>207</v>
      </c>
      <c r="CG894" s="1" t="s">
        <v>211</v>
      </c>
      <c r="CH894" s="1" t="s">
        <v>209</v>
      </c>
      <c r="CI894" s="1" t="s">
        <v>207</v>
      </c>
      <c r="CK894" s="1" t="s">
        <v>497</v>
      </c>
      <c r="CL894" s="1" t="s">
        <v>267</v>
      </c>
      <c r="CM894" s="1" t="s">
        <v>210</v>
      </c>
      <c r="CO894" s="1" t="s">
        <v>264</v>
      </c>
      <c r="CP894" s="1" t="s">
        <v>267</v>
      </c>
      <c r="CQ894" s="1" t="s">
        <v>210</v>
      </c>
      <c r="CS894" s="1" t="s">
        <v>4180</v>
      </c>
      <c r="CT894" s="1" t="s">
        <v>206</v>
      </c>
      <c r="CU894" s="1" t="s">
        <v>207</v>
      </c>
      <c r="CW894" s="1" t="s">
        <v>3054</v>
      </c>
      <c r="CX894" s="1" t="s">
        <v>267</v>
      </c>
      <c r="CY894" s="1" t="s">
        <v>268</v>
      </c>
      <c r="DA894" s="1" t="s">
        <v>200</v>
      </c>
      <c r="DC894" s="1" t="s">
        <v>545</v>
      </c>
      <c r="DD894" s="1" t="s">
        <v>518</v>
      </c>
      <c r="DE894" s="1" t="s">
        <v>3750</v>
      </c>
      <c r="DF894" s="1" t="s">
        <v>219</v>
      </c>
      <c r="DH894" s="1" t="s">
        <v>365</v>
      </c>
      <c r="DI894" s="1" t="s">
        <v>221</v>
      </c>
      <c r="DJ894" s="1" t="s">
        <v>1379</v>
      </c>
      <c r="DL894" s="1" t="s">
        <v>1161</v>
      </c>
      <c r="DM894" s="1" t="s">
        <v>1919</v>
      </c>
      <c r="DP894" s="1" t="s">
        <v>340</v>
      </c>
      <c r="DQ894" s="1" t="s">
        <v>718</v>
      </c>
      <c r="DR894" s="1" t="s">
        <v>229</v>
      </c>
      <c r="DS894" s="1" t="s">
        <v>230</v>
      </c>
      <c r="DU894" s="1" t="s">
        <v>10240</v>
      </c>
      <c r="DV894" s="1" t="s">
        <v>494</v>
      </c>
      <c r="DW894" s="1" t="s">
        <v>279</v>
      </c>
      <c r="DX894" s="1" t="s">
        <v>1287</v>
      </c>
      <c r="DY894" s="1" t="s">
        <v>10241</v>
      </c>
      <c r="DZ894" s="1" t="s">
        <v>10242</v>
      </c>
      <c r="EC894" s="1" t="s">
        <v>237</v>
      </c>
      <c r="ED894" s="1" t="s">
        <v>407</v>
      </c>
      <c r="EG894" s="1" t="s">
        <v>494</v>
      </c>
      <c r="EL894" s="1" t="s">
        <v>495</v>
      </c>
      <c r="EM894" s="1" t="s">
        <v>206</v>
      </c>
      <c r="EN894" s="1" t="s">
        <v>207</v>
      </c>
      <c r="EQ894" s="1" t="s">
        <v>238</v>
      </c>
      <c r="EU894" s="1" t="s">
        <v>238</v>
      </c>
      <c r="EY894" s="1" t="s">
        <v>238</v>
      </c>
      <c r="FC894" s="1" t="s">
        <v>238</v>
      </c>
      <c r="FF894" s="1" t="s">
        <v>239</v>
      </c>
      <c r="FG894" s="1" t="s">
        <v>200</v>
      </c>
      <c r="FH894" s="1" t="s">
        <v>192</v>
      </c>
      <c r="FJ894" s="1" t="s">
        <v>4863</v>
      </c>
      <c r="FK894" s="1" t="s">
        <v>229</v>
      </c>
      <c r="FL894" s="1" t="s">
        <v>525</v>
      </c>
      <c r="FM894" s="1">
        <v>22029.0</v>
      </c>
      <c r="FN894" s="1" t="s">
        <v>526</v>
      </c>
      <c r="FO894" s="1" t="s">
        <v>10243</v>
      </c>
      <c r="FP894" s="1">
        <v>220459.0</v>
      </c>
      <c r="FQ894" s="1" t="s">
        <v>10244</v>
      </c>
      <c r="FU894" s="1" t="s">
        <v>10245</v>
      </c>
      <c r="FV894" s="1" t="s">
        <v>200</v>
      </c>
      <c r="FW894" s="1" t="s">
        <v>290</v>
      </c>
      <c r="FX894" s="1" t="s">
        <v>246</v>
      </c>
      <c r="FZ894" s="1" t="s">
        <v>229</v>
      </c>
      <c r="GA894" s="1" t="s">
        <v>291</v>
      </c>
      <c r="GB894" s="2">
        <v>41995.0</v>
      </c>
      <c r="GC894" s="1" t="s">
        <v>10246</v>
      </c>
    </row>
    <row r="895">
      <c r="A895" s="1">
        <v>225000.0</v>
      </c>
      <c r="B895" s="1" t="s">
        <v>185</v>
      </c>
      <c r="C895" s="1" t="str">
        <f>"08555991"</f>
        <v>08555991</v>
      </c>
      <c r="D895" s="1" t="s">
        <v>186</v>
      </c>
      <c r="F895" s="1" t="str">
        <f>"8025"</f>
        <v>8025</v>
      </c>
      <c r="G895" s="2">
        <v>41710.0</v>
      </c>
      <c r="H895" s="1">
        <v>309400.0</v>
      </c>
      <c r="I895" s="1">
        <v>411.0</v>
      </c>
      <c r="J895" s="1">
        <v>225000.0</v>
      </c>
      <c r="K895" s="2">
        <v>42119.0</v>
      </c>
      <c r="L895" s="1">
        <v>411.0</v>
      </c>
      <c r="M895" s="2">
        <v>42119.0</v>
      </c>
      <c r="N895" s="1" t="s">
        <v>356</v>
      </c>
      <c r="O895" s="2">
        <v>42132.0</v>
      </c>
      <c r="P895" s="1">
        <v>186043.0</v>
      </c>
      <c r="Q895" s="1">
        <v>16997.0</v>
      </c>
      <c r="S895" s="1">
        <v>6922.0</v>
      </c>
      <c r="T895" s="1" t="s">
        <v>10247</v>
      </c>
      <c r="U895" s="1" t="s">
        <v>189</v>
      </c>
      <c r="V895" s="1" t="s">
        <v>190</v>
      </c>
      <c r="W895" s="1">
        <v>60707.0</v>
      </c>
      <c r="Y895" s="1" t="s">
        <v>10248</v>
      </c>
      <c r="Z895" s="1">
        <v>1950.0</v>
      </c>
      <c r="AA895" s="1" t="s">
        <v>192</v>
      </c>
      <c r="AB895" s="1" t="s">
        <v>193</v>
      </c>
      <c r="AD895" s="1" t="s">
        <v>194</v>
      </c>
      <c r="AE895" s="1" t="s">
        <v>195</v>
      </c>
      <c r="AF895" s="1" t="s">
        <v>196</v>
      </c>
      <c r="AH895" s="1" t="s">
        <v>10249</v>
      </c>
      <c r="AK895" s="1">
        <v>8.0</v>
      </c>
      <c r="AL895" s="1">
        <v>4.0</v>
      </c>
      <c r="AM895" s="1">
        <v>2.0</v>
      </c>
      <c r="AN895" s="1">
        <v>0.0</v>
      </c>
      <c r="AO895" s="1" t="s">
        <v>229</v>
      </c>
      <c r="AQ895" s="1" t="s">
        <v>198</v>
      </c>
      <c r="AR895" s="1" t="s">
        <v>192</v>
      </c>
      <c r="AS895" s="1" t="s">
        <v>199</v>
      </c>
      <c r="AT895" s="1">
        <v>2.0</v>
      </c>
      <c r="AV895" s="1" t="s">
        <v>200</v>
      </c>
      <c r="AW895" s="1">
        <v>4689.0</v>
      </c>
      <c r="AX895" s="1">
        <v>2013.0</v>
      </c>
      <c r="AY895" s="1" t="s">
        <v>229</v>
      </c>
      <c r="AZ895" s="1" t="s">
        <v>200</v>
      </c>
      <c r="BA895" s="1" t="str">
        <f>"13311280400000"</f>
        <v>13311280400000</v>
      </c>
      <c r="BC895" s="1">
        <v>1595.0</v>
      </c>
      <c r="BD895" s="1">
        <v>225000.0</v>
      </c>
      <c r="BE895" s="2">
        <v>41709.0</v>
      </c>
      <c r="BF895" s="2" t="s">
        <v>10250</v>
      </c>
      <c r="BH895" s="1">
        <v>0.0</v>
      </c>
      <c r="BK895" s="1" t="s">
        <v>204</v>
      </c>
      <c r="BL895" s="1" t="str">
        <f>"2000"</f>
        <v>2000</v>
      </c>
      <c r="BM895" s="1" t="str">
        <f t="shared" si="580"/>
        <v>0</v>
      </c>
      <c r="BN895" s="1">
        <v>6922.0</v>
      </c>
      <c r="BO895" s="1">
        <v>0.0</v>
      </c>
      <c r="BQ895" s="1">
        <v>299.0</v>
      </c>
      <c r="BR895" s="1">
        <v>299.0</v>
      </c>
      <c r="BS895" s="1">
        <v>299.0</v>
      </c>
      <c r="BU895" s="1" t="s">
        <v>5582</v>
      </c>
      <c r="BV895" s="1" t="s">
        <v>206</v>
      </c>
      <c r="BY895" s="1" t="s">
        <v>300</v>
      </c>
      <c r="BZ895" s="1" t="s">
        <v>206</v>
      </c>
      <c r="CC895" s="1" t="s">
        <v>677</v>
      </c>
      <c r="CD895" s="1" t="s">
        <v>206</v>
      </c>
      <c r="CG895" s="1" t="s">
        <v>363</v>
      </c>
      <c r="CH895" s="1" t="s">
        <v>206</v>
      </c>
      <c r="CK895" s="1" t="s">
        <v>363</v>
      </c>
      <c r="CL895" s="1" t="s">
        <v>206</v>
      </c>
      <c r="CO895" s="1" t="s">
        <v>663</v>
      </c>
      <c r="CP895" s="1" t="s">
        <v>206</v>
      </c>
      <c r="CS895" s="1" t="s">
        <v>784</v>
      </c>
      <c r="CT895" s="1" t="s">
        <v>206</v>
      </c>
      <c r="CW895" s="1" t="s">
        <v>363</v>
      </c>
      <c r="CX895" s="1" t="s">
        <v>206</v>
      </c>
      <c r="DA895" s="1" t="s">
        <v>200</v>
      </c>
      <c r="DC895" s="1" t="s">
        <v>702</v>
      </c>
      <c r="DD895" s="1" t="s">
        <v>518</v>
      </c>
      <c r="DE895" s="1" t="s">
        <v>273</v>
      </c>
      <c r="DF895" s="1" t="s">
        <v>619</v>
      </c>
      <c r="DG895" s="1" t="s">
        <v>3833</v>
      </c>
      <c r="DH895" s="1" t="s">
        <v>365</v>
      </c>
      <c r="DI895" s="1" t="s">
        <v>1223</v>
      </c>
      <c r="DJ895" s="1" t="s">
        <v>222</v>
      </c>
      <c r="DL895" s="1" t="s">
        <v>224</v>
      </c>
      <c r="DM895" s="1" t="s">
        <v>225</v>
      </c>
      <c r="DO895" s="1" t="s">
        <v>549</v>
      </c>
      <c r="DP895" s="1" t="s">
        <v>400</v>
      </c>
      <c r="DQ895" s="1" t="s">
        <v>794</v>
      </c>
      <c r="DR895" s="1" t="s">
        <v>229</v>
      </c>
      <c r="DV895" s="1" t="s">
        <v>232</v>
      </c>
      <c r="DW895" s="1" t="s">
        <v>279</v>
      </c>
      <c r="DX895" s="1" t="s">
        <v>234</v>
      </c>
      <c r="DY895" s="1" t="s">
        <v>10251</v>
      </c>
      <c r="EA895" s="1" t="s">
        <v>683</v>
      </c>
      <c r="EC895" s="1" t="s">
        <v>685</v>
      </c>
      <c r="EE895" s="1" t="s">
        <v>493</v>
      </c>
      <c r="EM895" s="1" t="s">
        <v>238</v>
      </c>
      <c r="EQ895" s="1" t="s">
        <v>238</v>
      </c>
      <c r="EU895" s="1" t="s">
        <v>238</v>
      </c>
      <c r="EY895" s="1" t="s">
        <v>238</v>
      </c>
      <c r="FC895" s="1" t="s">
        <v>238</v>
      </c>
      <c r="FF895" s="1" t="s">
        <v>239</v>
      </c>
      <c r="FG895" s="1" t="s">
        <v>192</v>
      </c>
      <c r="FH895" s="1" t="s">
        <v>192</v>
      </c>
      <c r="FJ895" s="1" t="s">
        <v>2853</v>
      </c>
      <c r="FK895" s="1" t="s">
        <v>229</v>
      </c>
      <c r="FL895" s="1" t="s">
        <v>5642</v>
      </c>
      <c r="FM895" s="1">
        <v>15391.0</v>
      </c>
      <c r="FN895" s="1" t="s">
        <v>5643</v>
      </c>
      <c r="FO895" s="1" t="s">
        <v>10252</v>
      </c>
      <c r="FP895" s="1">
        <v>115501.0</v>
      </c>
      <c r="FQ895" s="1" t="s">
        <v>5643</v>
      </c>
      <c r="FR895" s="1">
        <v>140544.0</v>
      </c>
      <c r="FU895" s="1" t="s">
        <v>1438</v>
      </c>
      <c r="FV895" s="1" t="s">
        <v>200</v>
      </c>
      <c r="FW895" s="1" t="s">
        <v>290</v>
      </c>
      <c r="FX895" s="1" t="s">
        <v>246</v>
      </c>
      <c r="FZ895" s="1" t="s">
        <v>229</v>
      </c>
      <c r="GA895" s="1" t="s">
        <v>291</v>
      </c>
      <c r="GB895" s="2">
        <v>42137.0</v>
      </c>
    </row>
    <row r="896">
      <c r="A896" s="1">
        <v>45100.0</v>
      </c>
      <c r="B896" s="1" t="s">
        <v>185</v>
      </c>
      <c r="C896" s="1" t="str">
        <f>"08557217"</f>
        <v>08557217</v>
      </c>
      <c r="D896" s="1" t="s">
        <v>186</v>
      </c>
      <c r="F896" s="1" t="str">
        <f>"8027"</f>
        <v>8027</v>
      </c>
      <c r="G896" s="2">
        <v>41711.0</v>
      </c>
      <c r="H896" s="1">
        <v>40000.0</v>
      </c>
      <c r="I896" s="1">
        <v>4.0</v>
      </c>
      <c r="J896" s="1">
        <v>45100.0</v>
      </c>
      <c r="K896" s="2">
        <v>41713.0</v>
      </c>
      <c r="L896" s="1">
        <v>4.0</v>
      </c>
      <c r="M896" s="2">
        <v>41713.0</v>
      </c>
      <c r="N896" s="1" t="s">
        <v>187</v>
      </c>
      <c r="O896" s="2">
        <v>42003.0</v>
      </c>
      <c r="P896" s="1">
        <v>223828.0</v>
      </c>
      <c r="Q896" s="1">
        <v>2510.0</v>
      </c>
      <c r="S896" s="1">
        <v>2855.0</v>
      </c>
      <c r="T896" s="1" t="s">
        <v>10253</v>
      </c>
      <c r="U896" s="1" t="s">
        <v>320</v>
      </c>
      <c r="V896" s="1" t="s">
        <v>190</v>
      </c>
      <c r="W896" s="1">
        <v>60612.0</v>
      </c>
      <c r="Y896" s="1" t="s">
        <v>10254</v>
      </c>
      <c r="Z896" s="1">
        <v>1885.0</v>
      </c>
      <c r="AA896" s="1" t="s">
        <v>192</v>
      </c>
      <c r="AB896" s="1" t="s">
        <v>193</v>
      </c>
      <c r="AD896" s="1" t="s">
        <v>194</v>
      </c>
      <c r="AE896" s="1" t="s">
        <v>195</v>
      </c>
      <c r="AF896" s="1" t="s">
        <v>827</v>
      </c>
      <c r="AH896" s="1" t="s">
        <v>359</v>
      </c>
      <c r="AI896" s="1">
        <v>0.0712</v>
      </c>
      <c r="AK896" s="1">
        <v>7.0</v>
      </c>
      <c r="AL896" s="1">
        <v>2.0</v>
      </c>
      <c r="AM896" s="1">
        <v>1.0</v>
      </c>
      <c r="AN896" s="1">
        <v>1.0</v>
      </c>
      <c r="AO896" s="1" t="s">
        <v>229</v>
      </c>
      <c r="AQ896" s="1" t="s">
        <v>198</v>
      </c>
      <c r="AR896" s="1" t="s">
        <v>192</v>
      </c>
      <c r="AS896" s="1" t="s">
        <v>199</v>
      </c>
      <c r="AT896" s="1">
        <v>2.0</v>
      </c>
      <c r="AV896" s="1" t="s">
        <v>200</v>
      </c>
      <c r="AW896" s="1">
        <v>3345.0</v>
      </c>
      <c r="AX896" s="1">
        <v>2012.0</v>
      </c>
      <c r="AY896" s="1" t="s">
        <v>387</v>
      </c>
      <c r="AZ896" s="1" t="s">
        <v>545</v>
      </c>
      <c r="BA896" s="1" t="str">
        <f>"16131110030000"</f>
        <v>16131110030000</v>
      </c>
      <c r="BB896" s="1" t="s">
        <v>200</v>
      </c>
      <c r="BC896" s="1">
        <v>2772.0</v>
      </c>
      <c r="BD896" s="1">
        <v>45100.0</v>
      </c>
      <c r="BE896" s="2">
        <v>41710.0</v>
      </c>
      <c r="BF896" s="1" t="s">
        <v>10255</v>
      </c>
      <c r="BH896" s="1">
        <v>0.0</v>
      </c>
      <c r="BK896" s="1" t="s">
        <v>204</v>
      </c>
      <c r="BL896" s="1" t="str">
        <f t="shared" ref="BL896:BM896" si="581">"0"</f>
        <v>0</v>
      </c>
      <c r="BM896" s="1" t="str">
        <f t="shared" si="581"/>
        <v>0</v>
      </c>
      <c r="BN896" s="1">
        <v>2855.0</v>
      </c>
      <c r="BO896" s="1">
        <v>1150.0</v>
      </c>
      <c r="BQ896" s="1">
        <v>299.0</v>
      </c>
      <c r="BR896" s="1">
        <v>299.0</v>
      </c>
      <c r="BS896" s="1">
        <v>299.0</v>
      </c>
      <c r="BU896" s="1" t="s">
        <v>433</v>
      </c>
      <c r="BV896" s="1" t="s">
        <v>206</v>
      </c>
      <c r="BW896" s="1" t="s">
        <v>207</v>
      </c>
      <c r="BX896" s="1" t="s">
        <v>229</v>
      </c>
      <c r="BY896" s="1" t="s">
        <v>392</v>
      </c>
      <c r="BZ896" s="1" t="s">
        <v>209</v>
      </c>
      <c r="CA896" s="1" t="s">
        <v>207</v>
      </c>
      <c r="CB896" s="1" t="s">
        <v>229</v>
      </c>
      <c r="CC896" s="1" t="s">
        <v>215</v>
      </c>
      <c r="CD896" s="1" t="s">
        <v>206</v>
      </c>
      <c r="CE896" s="1" t="s">
        <v>207</v>
      </c>
      <c r="CF896" s="1" t="s">
        <v>229</v>
      </c>
      <c r="CG896" s="1" t="s">
        <v>269</v>
      </c>
      <c r="CH896" s="1" t="s">
        <v>209</v>
      </c>
      <c r="CI896" s="1" t="s">
        <v>207</v>
      </c>
      <c r="CJ896" s="1" t="s">
        <v>229</v>
      </c>
      <c r="CK896" s="1" t="s">
        <v>392</v>
      </c>
      <c r="CL896" s="1" t="s">
        <v>42</v>
      </c>
      <c r="CM896" s="1" t="s">
        <v>617</v>
      </c>
      <c r="CN896" s="1" t="s">
        <v>229</v>
      </c>
      <c r="CO896" s="1" t="s">
        <v>264</v>
      </c>
      <c r="CP896" s="1" t="s">
        <v>42</v>
      </c>
      <c r="CQ896" s="1" t="s">
        <v>617</v>
      </c>
      <c r="CR896" s="1" t="s">
        <v>229</v>
      </c>
      <c r="CS896" s="1" t="s">
        <v>264</v>
      </c>
      <c r="CT896" s="1" t="s">
        <v>206</v>
      </c>
      <c r="CU896" s="1" t="s">
        <v>617</v>
      </c>
      <c r="CV896" s="1" t="s">
        <v>229</v>
      </c>
      <c r="CX896" s="1" t="s">
        <v>204</v>
      </c>
      <c r="DA896" s="1" t="s">
        <v>200</v>
      </c>
      <c r="DC896" s="1" t="s">
        <v>642</v>
      </c>
      <c r="DD896" s="1" t="s">
        <v>518</v>
      </c>
      <c r="DE896" s="1" t="s">
        <v>229</v>
      </c>
      <c r="DF896" s="1" t="s">
        <v>619</v>
      </c>
      <c r="DH896" s="1" t="s">
        <v>365</v>
      </c>
      <c r="DJ896" s="1" t="s">
        <v>222</v>
      </c>
      <c r="DL896" s="1" t="s">
        <v>224</v>
      </c>
      <c r="DM896" s="1" t="s">
        <v>792</v>
      </c>
      <c r="DO896" s="1" t="s">
        <v>549</v>
      </c>
      <c r="DP896" s="1" t="s">
        <v>340</v>
      </c>
      <c r="DQ896" s="1" t="s">
        <v>228</v>
      </c>
      <c r="DR896" s="1" t="s">
        <v>229</v>
      </c>
      <c r="DS896" s="1" t="s">
        <v>230</v>
      </c>
      <c r="DV896" s="1" t="s">
        <v>232</v>
      </c>
      <c r="DW896" s="1" t="s">
        <v>279</v>
      </c>
      <c r="DX896" s="1" t="s">
        <v>280</v>
      </c>
      <c r="DZ896" s="1" t="s">
        <v>343</v>
      </c>
      <c r="EA896" s="1" t="s">
        <v>5294</v>
      </c>
      <c r="EC896" s="1" t="s">
        <v>237</v>
      </c>
      <c r="EE896" s="1" t="s">
        <v>1960</v>
      </c>
      <c r="EM896" s="1" t="s">
        <v>238</v>
      </c>
      <c r="EQ896" s="1" t="s">
        <v>238</v>
      </c>
      <c r="EU896" s="1" t="s">
        <v>238</v>
      </c>
      <c r="EY896" s="1" t="s">
        <v>238</v>
      </c>
      <c r="FC896" s="1" t="s">
        <v>238</v>
      </c>
      <c r="FF896" s="1" t="s">
        <v>239</v>
      </c>
      <c r="FG896" s="1" t="s">
        <v>192</v>
      </c>
      <c r="FH896" s="1" t="s">
        <v>192</v>
      </c>
      <c r="FJ896" s="1" t="s">
        <v>498</v>
      </c>
      <c r="FK896" s="1" t="s">
        <v>1586</v>
      </c>
      <c r="FL896" s="1" t="s">
        <v>10256</v>
      </c>
      <c r="FM896" s="1">
        <v>2510.0</v>
      </c>
      <c r="FN896" s="1" t="s">
        <v>10257</v>
      </c>
      <c r="FO896" s="1" t="s">
        <v>10258</v>
      </c>
      <c r="FP896" s="1">
        <v>223828.0</v>
      </c>
      <c r="FQ896" s="1" t="s">
        <v>10259</v>
      </c>
      <c r="FU896" s="1" t="s">
        <v>10260</v>
      </c>
      <c r="FV896" s="1" t="s">
        <v>200</v>
      </c>
      <c r="FW896" s="1" t="s">
        <v>567</v>
      </c>
      <c r="FX896" s="1" t="s">
        <v>246</v>
      </c>
      <c r="FZ896" s="1" t="s">
        <v>229</v>
      </c>
      <c r="GA896" s="1" t="s">
        <v>291</v>
      </c>
      <c r="GB896" s="2">
        <v>42003.0</v>
      </c>
      <c r="GC896" s="1" t="s">
        <v>10261</v>
      </c>
    </row>
    <row r="897">
      <c r="A897" s="1">
        <v>169175.0</v>
      </c>
      <c r="B897" s="1" t="s">
        <v>185</v>
      </c>
      <c r="C897" s="1" t="str">
        <f>"08214129"</f>
        <v>08214129</v>
      </c>
      <c r="D897" s="1" t="s">
        <v>186</v>
      </c>
      <c r="F897" s="1" t="str">
        <f>"178"</f>
        <v>178</v>
      </c>
      <c r="G897" s="2">
        <v>41218.0</v>
      </c>
      <c r="H897" s="1">
        <v>175000.0</v>
      </c>
      <c r="I897" s="1">
        <v>1553.0</v>
      </c>
      <c r="J897" s="1">
        <v>175000.0</v>
      </c>
      <c r="K897" s="2">
        <v>41980.0</v>
      </c>
      <c r="L897" s="1">
        <v>763.0</v>
      </c>
      <c r="M897" s="2">
        <v>41980.0</v>
      </c>
      <c r="N897" s="1" t="s">
        <v>356</v>
      </c>
      <c r="O897" s="2">
        <v>42055.0</v>
      </c>
      <c r="P897" s="1">
        <v>304019.0</v>
      </c>
      <c r="Q897" s="1">
        <v>87.0</v>
      </c>
      <c r="R897" s="1">
        <v>5025.0</v>
      </c>
      <c r="S897" s="1">
        <v>518.0</v>
      </c>
      <c r="T897" s="1" t="s">
        <v>10262</v>
      </c>
      <c r="U897" s="1" t="s">
        <v>464</v>
      </c>
      <c r="V897" s="1" t="s">
        <v>994</v>
      </c>
      <c r="W897" s="1">
        <v>60178.0</v>
      </c>
      <c r="Y897" s="1" t="s">
        <v>10263</v>
      </c>
      <c r="Z897" s="1" t="s">
        <v>296</v>
      </c>
      <c r="AA897" s="1" t="s">
        <v>192</v>
      </c>
      <c r="AB897" s="1" t="s">
        <v>193</v>
      </c>
      <c r="AD897" s="1" t="s">
        <v>997</v>
      </c>
      <c r="AE897" s="1" t="s">
        <v>613</v>
      </c>
      <c r="AF897" s="1" t="s">
        <v>997</v>
      </c>
      <c r="AH897" s="1" t="s">
        <v>10264</v>
      </c>
      <c r="AK897" s="1">
        <v>7.0</v>
      </c>
      <c r="AL897" s="1">
        <v>4.0</v>
      </c>
      <c r="AM897" s="1">
        <v>3.0</v>
      </c>
      <c r="AN897" s="1">
        <v>0.0</v>
      </c>
      <c r="AO897" s="1" t="s">
        <v>198</v>
      </c>
      <c r="AP897" s="1">
        <v>2.0</v>
      </c>
      <c r="AQ897" s="1" t="s">
        <v>198</v>
      </c>
      <c r="AR897" s="1" t="s">
        <v>192</v>
      </c>
      <c r="AS897" s="1" t="s">
        <v>199</v>
      </c>
      <c r="AT897" s="1">
        <v>2.0</v>
      </c>
      <c r="AV897" s="1" t="s">
        <v>200</v>
      </c>
      <c r="AW897" s="1">
        <v>3972.0</v>
      </c>
      <c r="AX897" s="1">
        <v>2013.0</v>
      </c>
      <c r="AY897" s="1" t="s">
        <v>387</v>
      </c>
      <c r="AZ897" s="1" t="s">
        <v>200</v>
      </c>
      <c r="BA897" s="1" t="str">
        <f>"0629451036"</f>
        <v>0629451036</v>
      </c>
      <c r="BB897" s="1" t="s">
        <v>192</v>
      </c>
      <c r="BC897" s="1">
        <v>0.0</v>
      </c>
      <c r="BD897" s="1">
        <v>169175.0</v>
      </c>
      <c r="BE897" s="2">
        <v>41218.0</v>
      </c>
      <c r="BF897" s="2" t="s">
        <v>10265</v>
      </c>
      <c r="BH897" s="1">
        <v>0.0</v>
      </c>
      <c r="BK897" s="1" t="s">
        <v>204</v>
      </c>
      <c r="BL897" s="1" t="str">
        <f t="shared" ref="BL897:BM897" si="582">""</f>
        <v/>
      </c>
      <c r="BM897" s="1" t="str">
        <f t="shared" si="582"/>
        <v/>
      </c>
      <c r="BQ897" s="1">
        <v>427.0</v>
      </c>
      <c r="BR897" s="1">
        <v>427.0</v>
      </c>
      <c r="BS897" s="1">
        <v>427.0</v>
      </c>
      <c r="BU897" s="1" t="s">
        <v>4387</v>
      </c>
      <c r="BV897" s="1" t="s">
        <v>206</v>
      </c>
      <c r="BW897" s="1" t="s">
        <v>207</v>
      </c>
      <c r="BY897" s="1" t="s">
        <v>10266</v>
      </c>
      <c r="BZ897" s="1" t="s">
        <v>206</v>
      </c>
      <c r="CA897" s="1" t="s">
        <v>210</v>
      </c>
      <c r="CC897" s="1" t="s">
        <v>647</v>
      </c>
      <c r="CD897" s="1" t="s">
        <v>206</v>
      </c>
      <c r="CE897" s="1" t="s">
        <v>207</v>
      </c>
      <c r="CG897" s="1" t="s">
        <v>363</v>
      </c>
      <c r="CH897" s="1" t="s">
        <v>206</v>
      </c>
      <c r="CI897" s="1" t="s">
        <v>210</v>
      </c>
      <c r="CK897" s="1" t="s">
        <v>433</v>
      </c>
      <c r="CL897" s="1" t="s">
        <v>206</v>
      </c>
      <c r="CM897" s="1" t="s">
        <v>210</v>
      </c>
      <c r="CO897" s="1" t="s">
        <v>1063</v>
      </c>
      <c r="CP897" s="1" t="s">
        <v>206</v>
      </c>
      <c r="CQ897" s="1" t="s">
        <v>207</v>
      </c>
      <c r="CS897" s="1" t="s">
        <v>270</v>
      </c>
      <c r="CT897" s="1" t="s">
        <v>206</v>
      </c>
      <c r="CU897" s="1" t="s">
        <v>207</v>
      </c>
      <c r="CX897" s="1" t="s">
        <v>204</v>
      </c>
      <c r="DA897" s="1" t="s">
        <v>200</v>
      </c>
      <c r="DC897" s="1" t="s">
        <v>545</v>
      </c>
      <c r="DD897" s="1" t="s">
        <v>2094</v>
      </c>
      <c r="DE897" s="1" t="s">
        <v>273</v>
      </c>
      <c r="DF897" s="1" t="s">
        <v>619</v>
      </c>
      <c r="DG897" s="1" t="s">
        <v>1553</v>
      </c>
      <c r="DH897" s="1" t="s">
        <v>220</v>
      </c>
      <c r="DI897" s="1" t="s">
        <v>221</v>
      </c>
      <c r="DJ897" s="1" t="s">
        <v>222</v>
      </c>
      <c r="DL897" s="1" t="s">
        <v>858</v>
      </c>
      <c r="DM897" s="1" t="s">
        <v>338</v>
      </c>
      <c r="DO897" s="1" t="s">
        <v>486</v>
      </c>
      <c r="DP897" s="1" t="s">
        <v>340</v>
      </c>
      <c r="DQ897" s="1" t="s">
        <v>1557</v>
      </c>
      <c r="DR897" s="1" t="s">
        <v>229</v>
      </c>
      <c r="DS897" s="1" t="s">
        <v>230</v>
      </c>
      <c r="DV897" s="1" t="s">
        <v>232</v>
      </c>
      <c r="DW897" s="1" t="s">
        <v>764</v>
      </c>
      <c r="DX897" s="1" t="s">
        <v>234</v>
      </c>
      <c r="DY897" s="1" t="s">
        <v>1559</v>
      </c>
      <c r="DZ897" s="1" t="s">
        <v>282</v>
      </c>
      <c r="EA897" s="1" t="s">
        <v>683</v>
      </c>
      <c r="EB897" s="1" t="s">
        <v>10267</v>
      </c>
      <c r="EC897" s="1" t="s">
        <v>685</v>
      </c>
      <c r="EM897" s="1" t="s">
        <v>238</v>
      </c>
      <c r="EQ897" s="1" t="s">
        <v>238</v>
      </c>
      <c r="EU897" s="1" t="s">
        <v>238</v>
      </c>
      <c r="EY897" s="1" t="s">
        <v>238</v>
      </c>
      <c r="FC897" s="1" t="s">
        <v>238</v>
      </c>
      <c r="FF897" s="1" t="s">
        <v>239</v>
      </c>
      <c r="FG897" s="1" t="s">
        <v>192</v>
      </c>
      <c r="FH897" s="1" t="s">
        <v>192</v>
      </c>
      <c r="FJ897" s="1" t="s">
        <v>2406</v>
      </c>
      <c r="FK897" s="1" t="s">
        <v>229</v>
      </c>
      <c r="FL897" s="1" t="s">
        <v>1358</v>
      </c>
      <c r="FM897" s="1">
        <v>23591.0</v>
      </c>
      <c r="FN897" s="1" t="s">
        <v>2134</v>
      </c>
      <c r="FO897" s="1" t="s">
        <v>10268</v>
      </c>
      <c r="FP897" s="1">
        <v>232364.0</v>
      </c>
      <c r="FQ897" s="1" t="s">
        <v>10269</v>
      </c>
      <c r="FU897" s="1" t="s">
        <v>10270</v>
      </c>
      <c r="FV897" s="1" t="s">
        <v>200</v>
      </c>
      <c r="FW897" s="1" t="s">
        <v>290</v>
      </c>
      <c r="FZ897" s="1" t="s">
        <v>229</v>
      </c>
      <c r="GA897" s="1" t="s">
        <v>291</v>
      </c>
      <c r="GB897" s="2">
        <v>42061.0</v>
      </c>
      <c r="GC897" s="1" t="s">
        <v>10271</v>
      </c>
    </row>
    <row r="898">
      <c r="A898" s="1">
        <v>510250.0</v>
      </c>
      <c r="B898" s="1" t="s">
        <v>185</v>
      </c>
      <c r="C898" s="1" t="str">
        <f>"08762629"</f>
        <v>08762629</v>
      </c>
      <c r="D898" s="1" t="s">
        <v>186</v>
      </c>
      <c r="F898" s="1" t="str">
        <f>"8014"</f>
        <v>8014</v>
      </c>
      <c r="G898" s="2">
        <v>41939.0</v>
      </c>
      <c r="H898" s="1">
        <v>529000.0</v>
      </c>
      <c r="I898" s="1">
        <v>104.0</v>
      </c>
      <c r="J898" s="1">
        <v>529000.0</v>
      </c>
      <c r="K898" s="2">
        <v>42042.0</v>
      </c>
      <c r="L898" s="1">
        <v>104.0</v>
      </c>
      <c r="M898" s="2">
        <v>42042.0</v>
      </c>
      <c r="N898" s="1" t="s">
        <v>187</v>
      </c>
      <c r="O898" s="2">
        <v>42083.0</v>
      </c>
      <c r="P898" s="1">
        <v>115932.0</v>
      </c>
      <c r="Q898" s="1">
        <v>85178.0</v>
      </c>
      <c r="S898" s="1">
        <v>4436.0</v>
      </c>
      <c r="T898" s="1" t="s">
        <v>8454</v>
      </c>
      <c r="U898" s="1" t="s">
        <v>189</v>
      </c>
      <c r="V898" s="1" t="s">
        <v>190</v>
      </c>
      <c r="W898" s="1">
        <v>60625.0</v>
      </c>
      <c r="Y898" s="1" t="s">
        <v>10272</v>
      </c>
      <c r="Z898" s="1">
        <v>1911.0</v>
      </c>
      <c r="AA898" s="1" t="s">
        <v>192</v>
      </c>
      <c r="AB898" s="1" t="s">
        <v>193</v>
      </c>
      <c r="AD898" s="1" t="s">
        <v>194</v>
      </c>
      <c r="AE898" s="1" t="s">
        <v>195</v>
      </c>
      <c r="AF898" s="1" t="s">
        <v>196</v>
      </c>
      <c r="AH898" s="1" t="s">
        <v>1501</v>
      </c>
      <c r="AK898" s="1">
        <v>9.0</v>
      </c>
      <c r="AL898" s="1">
        <v>3.0</v>
      </c>
      <c r="AM898" s="1">
        <v>3.0</v>
      </c>
      <c r="AN898" s="1">
        <v>1.0</v>
      </c>
      <c r="AO898" s="1" t="s">
        <v>198</v>
      </c>
      <c r="AQ898" s="1" t="s">
        <v>198</v>
      </c>
      <c r="AR898" s="1" t="s">
        <v>192</v>
      </c>
      <c r="AS898" s="1" t="s">
        <v>199</v>
      </c>
      <c r="AT898" s="1">
        <v>2.0</v>
      </c>
      <c r="AV898" s="1" t="s">
        <v>200</v>
      </c>
      <c r="AW898" s="1">
        <v>2574.0</v>
      </c>
      <c r="AX898" s="1">
        <v>2012.0</v>
      </c>
      <c r="AY898" s="1" t="s">
        <v>387</v>
      </c>
      <c r="AZ898" s="1" t="s">
        <v>200</v>
      </c>
      <c r="BA898" s="1" t="str">
        <f>"13142260220000"</f>
        <v>13142260220000</v>
      </c>
      <c r="BB898" s="1" t="s">
        <v>200</v>
      </c>
      <c r="BC898" s="1">
        <v>0.0</v>
      </c>
      <c r="BD898" s="1">
        <v>510250.0</v>
      </c>
      <c r="BE898" s="2">
        <v>41939.0</v>
      </c>
      <c r="BF898" s="2" t="s">
        <v>10273</v>
      </c>
      <c r="BG898" s="1" t="s">
        <v>5896</v>
      </c>
      <c r="BH898" s="1">
        <v>0.0</v>
      </c>
      <c r="BK898" s="1" t="s">
        <v>204</v>
      </c>
      <c r="BL898" s="1" t="str">
        <f>"4436"</f>
        <v>4436</v>
      </c>
      <c r="BM898" s="1" t="str">
        <f>"0"</f>
        <v>0</v>
      </c>
      <c r="BN898" s="1">
        <v>3300.0</v>
      </c>
      <c r="BO898" s="1">
        <v>0.0</v>
      </c>
      <c r="BQ898" s="1">
        <v>299.0</v>
      </c>
      <c r="BR898" s="1">
        <v>299.0</v>
      </c>
      <c r="BS898" s="1">
        <v>299.0</v>
      </c>
      <c r="BU898" s="1" t="s">
        <v>393</v>
      </c>
      <c r="BV898" s="1" t="s">
        <v>206</v>
      </c>
      <c r="BW898" s="1" t="s">
        <v>207</v>
      </c>
      <c r="BX898" s="1" t="s">
        <v>229</v>
      </c>
      <c r="BY898" s="1" t="s">
        <v>1483</v>
      </c>
      <c r="BZ898" s="1" t="s">
        <v>209</v>
      </c>
      <c r="CA898" s="1" t="s">
        <v>210</v>
      </c>
      <c r="CB898" s="1" t="s">
        <v>229</v>
      </c>
      <c r="CC898" s="1" t="s">
        <v>302</v>
      </c>
      <c r="CD898" s="1" t="s">
        <v>206</v>
      </c>
      <c r="CE898" s="1" t="s">
        <v>207</v>
      </c>
      <c r="CF898" s="1" t="s">
        <v>229</v>
      </c>
      <c r="CG898" s="1" t="s">
        <v>1352</v>
      </c>
      <c r="CH898" s="1" t="s">
        <v>209</v>
      </c>
      <c r="CI898" s="1" t="s">
        <v>210</v>
      </c>
      <c r="CJ898" s="1" t="s">
        <v>229</v>
      </c>
      <c r="CK898" s="1" t="s">
        <v>663</v>
      </c>
      <c r="CL898" s="1" t="s">
        <v>209</v>
      </c>
      <c r="CM898" s="1" t="s">
        <v>210</v>
      </c>
      <c r="CO898" s="1" t="s">
        <v>302</v>
      </c>
      <c r="CP898" s="1" t="s">
        <v>42</v>
      </c>
      <c r="CQ898" s="1" t="s">
        <v>210</v>
      </c>
      <c r="CR898" s="1" t="s">
        <v>229</v>
      </c>
      <c r="CS898" s="1" t="s">
        <v>1584</v>
      </c>
      <c r="CT898" s="1" t="s">
        <v>206</v>
      </c>
      <c r="CU898" s="1" t="s">
        <v>207</v>
      </c>
      <c r="CV898" s="1" t="s">
        <v>229</v>
      </c>
      <c r="CW898" s="1" t="s">
        <v>2082</v>
      </c>
      <c r="CX898" s="1" t="s">
        <v>206</v>
      </c>
      <c r="CY898" s="1" t="s">
        <v>207</v>
      </c>
      <c r="CZ898" s="1" t="s">
        <v>229</v>
      </c>
      <c r="DA898" s="1" t="s">
        <v>200</v>
      </c>
      <c r="DC898" s="1" t="s">
        <v>642</v>
      </c>
      <c r="DD898" s="1" t="s">
        <v>306</v>
      </c>
      <c r="DE898" s="1" t="s">
        <v>273</v>
      </c>
      <c r="DF898" s="1" t="s">
        <v>219</v>
      </c>
      <c r="DH898" s="1" t="s">
        <v>307</v>
      </c>
      <c r="DI898" s="1" t="s">
        <v>308</v>
      </c>
      <c r="DJ898" s="1" t="s">
        <v>1048</v>
      </c>
      <c r="DL898" s="1" t="s">
        <v>224</v>
      </c>
      <c r="DM898" s="1" t="s">
        <v>1464</v>
      </c>
      <c r="DN898" s="1" t="s">
        <v>399</v>
      </c>
      <c r="DP898" s="1" t="s">
        <v>10274</v>
      </c>
      <c r="DQ898" s="1" t="s">
        <v>228</v>
      </c>
      <c r="DR898" s="1" t="s">
        <v>229</v>
      </c>
      <c r="DV898" s="1" t="s">
        <v>557</v>
      </c>
      <c r="DW898" s="1" t="s">
        <v>233</v>
      </c>
      <c r="DX898" s="1" t="s">
        <v>234</v>
      </c>
      <c r="DY898" s="1" t="s">
        <v>596</v>
      </c>
      <c r="EA898" s="1" t="s">
        <v>1027</v>
      </c>
      <c r="EC898" s="1" t="s">
        <v>237</v>
      </c>
      <c r="ED898" s="1" t="s">
        <v>407</v>
      </c>
      <c r="EG898" s="1" t="s">
        <v>557</v>
      </c>
      <c r="EL898" s="1" t="s">
        <v>330</v>
      </c>
      <c r="EM898" s="1" t="s">
        <v>42</v>
      </c>
      <c r="EN898" s="1" t="s">
        <v>210</v>
      </c>
      <c r="EO898" s="1" t="s">
        <v>229</v>
      </c>
      <c r="EQ898" s="1" t="s">
        <v>238</v>
      </c>
      <c r="EU898" s="1" t="s">
        <v>238</v>
      </c>
      <c r="EY898" s="1" t="s">
        <v>238</v>
      </c>
      <c r="FC898" s="1" t="s">
        <v>238</v>
      </c>
      <c r="FF898" s="1" t="s">
        <v>239</v>
      </c>
      <c r="FG898" s="1" t="s">
        <v>192</v>
      </c>
      <c r="FH898" s="1" t="s">
        <v>192</v>
      </c>
      <c r="FJ898" s="1" t="s">
        <v>10275</v>
      </c>
      <c r="FK898" s="1" t="s">
        <v>229</v>
      </c>
      <c r="FL898" s="1" t="s">
        <v>10276</v>
      </c>
      <c r="FM898" s="1">
        <v>23737.0</v>
      </c>
      <c r="FN898" s="1" t="s">
        <v>10277</v>
      </c>
      <c r="FO898" s="1" t="s">
        <v>10278</v>
      </c>
      <c r="FP898" s="1">
        <v>231568.0</v>
      </c>
      <c r="FQ898" s="1" t="s">
        <v>10277</v>
      </c>
      <c r="FU898" s="1" t="s">
        <v>10279</v>
      </c>
      <c r="FV898" s="1" t="s">
        <v>192</v>
      </c>
      <c r="FW898" s="1" t="s">
        <v>290</v>
      </c>
      <c r="FX898" s="1" t="s">
        <v>238</v>
      </c>
      <c r="FZ898" s="1" t="s">
        <v>229</v>
      </c>
      <c r="GA898" s="1" t="s">
        <v>291</v>
      </c>
      <c r="GB898" s="2">
        <v>42083.0</v>
      </c>
      <c r="GC898" s="1" t="s">
        <v>10280</v>
      </c>
    </row>
    <row r="899">
      <c r="A899" s="1">
        <v>349000.0</v>
      </c>
      <c r="B899" s="1" t="s">
        <v>185</v>
      </c>
      <c r="C899" s="1" t="str">
        <f>"08549635"</f>
        <v>08549635</v>
      </c>
      <c r="D899" s="1" t="s">
        <v>186</v>
      </c>
      <c r="F899" s="1" t="str">
        <f>"134"</f>
        <v>134</v>
      </c>
      <c r="G899" s="2">
        <v>41702.0</v>
      </c>
      <c r="H899" s="1">
        <v>389000.0</v>
      </c>
      <c r="I899" s="1">
        <v>267.0</v>
      </c>
      <c r="J899" s="1">
        <v>349900.0</v>
      </c>
      <c r="K899" s="2">
        <v>41967.0</v>
      </c>
      <c r="L899" s="1">
        <v>267.0</v>
      </c>
      <c r="M899" s="2">
        <v>41967.0</v>
      </c>
      <c r="N899" s="1" t="s">
        <v>187</v>
      </c>
      <c r="O899" s="2">
        <v>41992.0</v>
      </c>
      <c r="P899" s="1">
        <v>221157.0</v>
      </c>
      <c r="Q899" s="1">
        <v>21517.0</v>
      </c>
      <c r="R899" s="1">
        <v>10000.0</v>
      </c>
      <c r="S899" s="1">
        <v>3397.0</v>
      </c>
      <c r="T899" s="1" t="s">
        <v>10281</v>
      </c>
      <c r="U899" s="1" t="s">
        <v>420</v>
      </c>
      <c r="V899" s="1" t="s">
        <v>421</v>
      </c>
      <c r="W899" s="1">
        <v>60134.0</v>
      </c>
      <c r="Y899" s="1" t="s">
        <v>10282</v>
      </c>
      <c r="Z899" s="1">
        <v>1996.0</v>
      </c>
      <c r="AA899" s="1" t="s">
        <v>200</v>
      </c>
      <c r="AB899" s="1" t="s">
        <v>193</v>
      </c>
      <c r="AC899" s="1" t="s">
        <v>10283</v>
      </c>
      <c r="AD899" s="1" t="s">
        <v>424</v>
      </c>
      <c r="AE899" s="1" t="s">
        <v>325</v>
      </c>
      <c r="AF899" s="1" t="s">
        <v>424</v>
      </c>
      <c r="AH899" s="1" t="s">
        <v>10284</v>
      </c>
      <c r="AI899" s="1">
        <v>0.3773</v>
      </c>
      <c r="AK899" s="1">
        <v>10.0</v>
      </c>
      <c r="AL899" s="1">
        <v>4.0</v>
      </c>
      <c r="AM899" s="1">
        <v>2.0</v>
      </c>
      <c r="AN899" s="1">
        <v>1.0</v>
      </c>
      <c r="AO899" s="1" t="s">
        <v>198</v>
      </c>
      <c r="AP899" s="1">
        <v>2.0</v>
      </c>
      <c r="AQ899" s="1" t="s">
        <v>198</v>
      </c>
      <c r="AR899" s="1" t="s">
        <v>200</v>
      </c>
      <c r="AS899" s="1" t="s">
        <v>199</v>
      </c>
      <c r="AT899" s="1">
        <v>2.0</v>
      </c>
      <c r="AV899" s="1" t="s">
        <v>200</v>
      </c>
      <c r="AW899" s="1">
        <v>10473.2</v>
      </c>
      <c r="AX899" s="1">
        <v>2012.0</v>
      </c>
      <c r="AY899" s="1" t="s">
        <v>387</v>
      </c>
      <c r="AZ899" s="1" t="s">
        <v>200</v>
      </c>
      <c r="BA899" s="1" t="str">
        <f>"1208102018"</f>
        <v>1208102018</v>
      </c>
      <c r="BC899" s="1">
        <v>3300.0</v>
      </c>
      <c r="BD899" s="1">
        <v>349000.0</v>
      </c>
      <c r="BE899" s="2">
        <v>41701.0</v>
      </c>
      <c r="BF899" s="2" t="s">
        <v>10285</v>
      </c>
      <c r="BG899" s="1" t="s">
        <v>7493</v>
      </c>
      <c r="BH899" s="1">
        <v>0.0</v>
      </c>
      <c r="BI899" s="1" t="s">
        <v>429</v>
      </c>
      <c r="BJ899" s="1" t="s">
        <v>430</v>
      </c>
      <c r="BK899" s="1" t="s">
        <v>204</v>
      </c>
      <c r="BL899" s="1" t="str">
        <f t="shared" ref="BL899:BM899" si="583">""</f>
        <v/>
      </c>
      <c r="BM899" s="1" t="str">
        <f t="shared" si="583"/>
        <v/>
      </c>
      <c r="BQ899" s="1">
        <v>304.0</v>
      </c>
      <c r="BR899" s="1">
        <v>304.0</v>
      </c>
      <c r="BS899" s="1">
        <v>304.0</v>
      </c>
      <c r="BU899" s="1" t="s">
        <v>212</v>
      </c>
      <c r="BV899" s="1" t="s">
        <v>206</v>
      </c>
      <c r="BW899" s="1" t="s">
        <v>210</v>
      </c>
      <c r="BX899" s="1" t="s">
        <v>239</v>
      </c>
      <c r="BY899" s="1" t="s">
        <v>1117</v>
      </c>
      <c r="BZ899" s="1" t="s">
        <v>209</v>
      </c>
      <c r="CA899" s="1" t="s">
        <v>210</v>
      </c>
      <c r="CB899" s="1" t="s">
        <v>239</v>
      </c>
      <c r="CC899" s="1" t="s">
        <v>584</v>
      </c>
      <c r="CD899" s="1" t="s">
        <v>206</v>
      </c>
      <c r="CE899" s="1" t="s">
        <v>207</v>
      </c>
      <c r="CF899" s="1" t="s">
        <v>239</v>
      </c>
      <c r="CG899" s="1" t="s">
        <v>215</v>
      </c>
      <c r="CH899" s="1" t="s">
        <v>209</v>
      </c>
      <c r="CI899" s="1" t="s">
        <v>210</v>
      </c>
      <c r="CJ899" s="1" t="s">
        <v>239</v>
      </c>
      <c r="CK899" s="1" t="s">
        <v>212</v>
      </c>
      <c r="CL899" s="1" t="s">
        <v>209</v>
      </c>
      <c r="CM899" s="1" t="s">
        <v>210</v>
      </c>
      <c r="CN899" s="1" t="s">
        <v>239</v>
      </c>
      <c r="CO899" s="1" t="s">
        <v>215</v>
      </c>
      <c r="CP899" s="1" t="s">
        <v>209</v>
      </c>
      <c r="CQ899" s="1" t="s">
        <v>210</v>
      </c>
      <c r="CR899" s="1" t="s">
        <v>239</v>
      </c>
      <c r="CS899" s="1" t="s">
        <v>1244</v>
      </c>
      <c r="CT899" s="1" t="s">
        <v>206</v>
      </c>
      <c r="CU899" s="1" t="s">
        <v>207</v>
      </c>
      <c r="CV899" s="1" t="s">
        <v>239</v>
      </c>
      <c r="CW899" s="1" t="s">
        <v>1953</v>
      </c>
      <c r="CX899" s="1" t="s">
        <v>206</v>
      </c>
      <c r="CY899" s="1" t="s">
        <v>207</v>
      </c>
      <c r="CZ899" s="1" t="s">
        <v>239</v>
      </c>
      <c r="DA899" s="1" t="s">
        <v>200</v>
      </c>
      <c r="DC899" s="1" t="s">
        <v>678</v>
      </c>
      <c r="DD899" s="1" t="s">
        <v>336</v>
      </c>
      <c r="DE899" s="1" t="s">
        <v>273</v>
      </c>
      <c r="DF899" s="1" t="s">
        <v>219</v>
      </c>
      <c r="DG899" s="1" t="s">
        <v>482</v>
      </c>
      <c r="DH899" s="1" t="s">
        <v>220</v>
      </c>
      <c r="DI899" s="1" t="s">
        <v>221</v>
      </c>
      <c r="DJ899" s="1" t="s">
        <v>1379</v>
      </c>
      <c r="DK899" s="1" t="s">
        <v>198</v>
      </c>
      <c r="DL899" s="1" t="s">
        <v>484</v>
      </c>
      <c r="DM899" s="1" t="s">
        <v>229</v>
      </c>
      <c r="DN899" s="1" t="s">
        <v>399</v>
      </c>
      <c r="DO899" s="1" t="s">
        <v>930</v>
      </c>
      <c r="DP899" s="1" t="s">
        <v>340</v>
      </c>
      <c r="DQ899" s="1" t="s">
        <v>441</v>
      </c>
      <c r="DR899" s="1" t="s">
        <v>229</v>
      </c>
      <c r="DS899" s="1" t="s">
        <v>230</v>
      </c>
      <c r="DU899" s="1" t="s">
        <v>1840</v>
      </c>
      <c r="DV899" s="1" t="s">
        <v>10286</v>
      </c>
      <c r="DW899" s="1" t="s">
        <v>279</v>
      </c>
      <c r="DX899" s="1" t="s">
        <v>234</v>
      </c>
      <c r="DY899" s="1" t="s">
        <v>10287</v>
      </c>
      <c r="DZ899" s="1" t="s">
        <v>1959</v>
      </c>
      <c r="EA899" s="1" t="s">
        <v>344</v>
      </c>
      <c r="EB899" s="1" t="s">
        <v>492</v>
      </c>
      <c r="EC899" s="1" t="s">
        <v>237</v>
      </c>
      <c r="ED899" s="1" t="s">
        <v>407</v>
      </c>
      <c r="EG899" s="1" t="s">
        <v>1121</v>
      </c>
      <c r="EH899" s="1" t="s">
        <v>341</v>
      </c>
      <c r="EI899" s="1" t="s">
        <v>1102</v>
      </c>
      <c r="EL899" s="1" t="s">
        <v>647</v>
      </c>
      <c r="EM899" s="1" t="s">
        <v>209</v>
      </c>
      <c r="EN899" s="1" t="s">
        <v>210</v>
      </c>
      <c r="EP899" s="1" t="s">
        <v>7821</v>
      </c>
      <c r="EQ899" s="1" t="s">
        <v>209</v>
      </c>
      <c r="ER899" s="1" t="s">
        <v>210</v>
      </c>
      <c r="ET899" s="1" t="s">
        <v>264</v>
      </c>
      <c r="EU899" s="1" t="s">
        <v>206</v>
      </c>
      <c r="EV899" s="1" t="s">
        <v>2128</v>
      </c>
      <c r="EY899" s="1" t="s">
        <v>238</v>
      </c>
      <c r="FC899" s="1" t="s">
        <v>238</v>
      </c>
      <c r="FF899" s="1" t="s">
        <v>239</v>
      </c>
      <c r="FG899" s="1" t="s">
        <v>192</v>
      </c>
      <c r="FH899" s="1" t="s">
        <v>192</v>
      </c>
      <c r="FJ899" s="1" t="s">
        <v>1538</v>
      </c>
      <c r="FK899" s="1" t="s">
        <v>229</v>
      </c>
      <c r="FL899" s="1" t="s">
        <v>1358</v>
      </c>
      <c r="FM899" s="1">
        <v>23591.0</v>
      </c>
      <c r="FN899" s="1" t="s">
        <v>2134</v>
      </c>
      <c r="FO899" s="1" t="s">
        <v>2843</v>
      </c>
      <c r="FP899" s="1">
        <v>230482.0</v>
      </c>
      <c r="FQ899" s="1" t="s">
        <v>2844</v>
      </c>
      <c r="FS899" s="1" t="s">
        <v>8183</v>
      </c>
      <c r="FU899" s="1" t="s">
        <v>10288</v>
      </c>
      <c r="FV899" s="1" t="s">
        <v>200</v>
      </c>
      <c r="FW899" s="1" t="s">
        <v>290</v>
      </c>
      <c r="FZ899" s="1" t="s">
        <v>229</v>
      </c>
      <c r="GA899" s="1" t="s">
        <v>291</v>
      </c>
      <c r="GB899" s="2">
        <v>41996.0</v>
      </c>
    </row>
    <row r="900">
      <c r="A900" s="1">
        <v>242500.0</v>
      </c>
      <c r="B900" s="1" t="s">
        <v>185</v>
      </c>
      <c r="C900" s="1" t="str">
        <f>"08559098"</f>
        <v>08559098</v>
      </c>
      <c r="D900" s="1" t="s">
        <v>186</v>
      </c>
      <c r="F900" s="1" t="str">
        <f>"560"</f>
        <v>560</v>
      </c>
      <c r="G900" s="2">
        <v>41713.0</v>
      </c>
      <c r="H900" s="1">
        <v>259900.0</v>
      </c>
      <c r="I900" s="1">
        <v>318.0</v>
      </c>
      <c r="J900" s="1">
        <v>239900.0</v>
      </c>
      <c r="K900" s="2">
        <v>41885.0</v>
      </c>
      <c r="L900" s="1">
        <v>173.0</v>
      </c>
      <c r="M900" s="2">
        <v>41885.0</v>
      </c>
      <c r="N900" s="1" t="s">
        <v>356</v>
      </c>
      <c r="O900" s="2">
        <v>41969.0</v>
      </c>
      <c r="P900" s="1">
        <v>236237.0</v>
      </c>
      <c r="Q900" s="1">
        <v>22039.0</v>
      </c>
      <c r="S900" s="1">
        <v>2583.0</v>
      </c>
      <c r="T900" s="1" t="s">
        <v>10289</v>
      </c>
      <c r="U900" s="1" t="s">
        <v>420</v>
      </c>
      <c r="V900" s="1" t="s">
        <v>845</v>
      </c>
      <c r="W900" s="1">
        <v>60560.0</v>
      </c>
      <c r="Y900" s="1" t="s">
        <v>10290</v>
      </c>
      <c r="Z900" s="1">
        <v>2012.0</v>
      </c>
      <c r="AA900" s="1" t="s">
        <v>200</v>
      </c>
      <c r="AB900" s="1" t="s">
        <v>193</v>
      </c>
      <c r="AC900" s="1" t="s">
        <v>10291</v>
      </c>
      <c r="AD900" s="1" t="s">
        <v>848</v>
      </c>
      <c r="AE900" s="1" t="s">
        <v>849</v>
      </c>
      <c r="AF900" s="1" t="s">
        <v>1312</v>
      </c>
      <c r="AG900" s="1" t="s">
        <v>10292</v>
      </c>
      <c r="AH900" s="1">
        <v>17348.0</v>
      </c>
      <c r="AI900" s="1">
        <v>0.3983</v>
      </c>
      <c r="AK900" s="1">
        <v>9.0</v>
      </c>
      <c r="AL900" s="1">
        <v>4.0</v>
      </c>
      <c r="AM900" s="1">
        <v>2.0</v>
      </c>
      <c r="AN900" s="1">
        <v>1.0</v>
      </c>
      <c r="AO900" s="1" t="s">
        <v>198</v>
      </c>
      <c r="AP900" s="1">
        <v>1.0</v>
      </c>
      <c r="AQ900" s="1" t="s">
        <v>198</v>
      </c>
      <c r="AR900" s="1" t="s">
        <v>200</v>
      </c>
      <c r="AS900" s="1" t="s">
        <v>199</v>
      </c>
      <c r="AT900" s="1">
        <v>2.0</v>
      </c>
      <c r="AV900" s="1" t="s">
        <v>200</v>
      </c>
      <c r="AW900" s="1">
        <v>11095.86</v>
      </c>
      <c r="AX900" s="1">
        <v>2012.0</v>
      </c>
      <c r="AZ900" s="1" t="s">
        <v>200</v>
      </c>
      <c r="BA900" s="1" t="str">
        <f>"0222254006"</f>
        <v>0222254006</v>
      </c>
      <c r="BC900" s="1">
        <v>3036.0</v>
      </c>
      <c r="BD900" s="1">
        <v>242500.0</v>
      </c>
      <c r="BE900" s="2">
        <v>41713.0</v>
      </c>
      <c r="BF900" s="2" t="s">
        <v>10293</v>
      </c>
      <c r="BH900" s="1">
        <v>247.0</v>
      </c>
      <c r="BK900" s="1" t="s">
        <v>580</v>
      </c>
      <c r="BL900" s="1" t="str">
        <f t="shared" ref="BL900:BM900" si="584">""</f>
        <v/>
      </c>
      <c r="BM900" s="1" t="str">
        <f t="shared" si="584"/>
        <v/>
      </c>
      <c r="BQ900" s="1">
        <v>115.0</v>
      </c>
      <c r="BR900" s="1">
        <v>115.0</v>
      </c>
      <c r="BS900" s="1">
        <v>115.0</v>
      </c>
      <c r="BU900" s="1" t="s">
        <v>2459</v>
      </c>
      <c r="BV900" s="1" t="s">
        <v>206</v>
      </c>
      <c r="BW900" s="1" t="s">
        <v>210</v>
      </c>
      <c r="BY900" s="1" t="s">
        <v>2900</v>
      </c>
      <c r="BZ900" s="1" t="s">
        <v>209</v>
      </c>
      <c r="CA900" s="1" t="s">
        <v>210</v>
      </c>
      <c r="CB900" s="1" t="s">
        <v>431</v>
      </c>
      <c r="CC900" s="1" t="s">
        <v>1183</v>
      </c>
      <c r="CD900" s="1" t="s">
        <v>206</v>
      </c>
      <c r="CE900" s="1" t="s">
        <v>210</v>
      </c>
      <c r="CG900" s="1" t="s">
        <v>478</v>
      </c>
      <c r="CH900" s="1" t="s">
        <v>209</v>
      </c>
      <c r="CI900" s="1" t="s">
        <v>210</v>
      </c>
      <c r="CK900" s="1" t="s">
        <v>2459</v>
      </c>
      <c r="CL900" s="1" t="s">
        <v>209</v>
      </c>
      <c r="CM900" s="1" t="s">
        <v>210</v>
      </c>
      <c r="CO900" s="1" t="s">
        <v>1417</v>
      </c>
      <c r="CP900" s="1" t="s">
        <v>209</v>
      </c>
      <c r="CQ900" s="1" t="s">
        <v>210</v>
      </c>
      <c r="CS900" s="1" t="s">
        <v>1600</v>
      </c>
      <c r="CT900" s="1" t="s">
        <v>206</v>
      </c>
      <c r="CU900" s="1" t="s">
        <v>207</v>
      </c>
      <c r="CW900" s="1" t="s">
        <v>2481</v>
      </c>
      <c r="CX900" s="1" t="s">
        <v>206</v>
      </c>
      <c r="CY900" s="1" t="s">
        <v>210</v>
      </c>
      <c r="CZ900" s="1" t="s">
        <v>431</v>
      </c>
      <c r="DA900" s="1" t="s">
        <v>200</v>
      </c>
      <c r="DC900" s="1" t="s">
        <v>1046</v>
      </c>
      <c r="DD900" s="1" t="s">
        <v>1954</v>
      </c>
      <c r="DE900" s="1" t="s">
        <v>273</v>
      </c>
      <c r="DF900" s="1" t="s">
        <v>219</v>
      </c>
      <c r="DH900" s="1" t="s">
        <v>220</v>
      </c>
      <c r="DJ900" s="1" t="s">
        <v>222</v>
      </c>
      <c r="DL900" s="1" t="s">
        <v>223</v>
      </c>
      <c r="DM900" s="1" t="s">
        <v>229</v>
      </c>
      <c r="DO900" s="1" t="s">
        <v>440</v>
      </c>
      <c r="DP900" s="1" t="s">
        <v>340</v>
      </c>
      <c r="DQ900" s="1" t="s">
        <v>441</v>
      </c>
      <c r="DR900" s="1" t="s">
        <v>229</v>
      </c>
      <c r="DU900" s="1" t="s">
        <v>7337</v>
      </c>
      <c r="DV900" s="1" t="s">
        <v>494</v>
      </c>
      <c r="DW900" s="1" t="s">
        <v>444</v>
      </c>
      <c r="DX900" s="1" t="s">
        <v>234</v>
      </c>
      <c r="DY900" s="1" t="s">
        <v>7854</v>
      </c>
      <c r="DZ900" s="1" t="s">
        <v>310</v>
      </c>
      <c r="EC900" s="1" t="s">
        <v>237</v>
      </c>
      <c r="ED900" s="1" t="s">
        <v>407</v>
      </c>
      <c r="EG900" s="1" t="s">
        <v>494</v>
      </c>
      <c r="EL900" s="1" t="s">
        <v>2459</v>
      </c>
      <c r="EM900" s="1" t="s">
        <v>206</v>
      </c>
      <c r="EN900" s="1" t="s">
        <v>210</v>
      </c>
      <c r="EQ900" s="1" t="s">
        <v>238</v>
      </c>
      <c r="EU900" s="1" t="s">
        <v>238</v>
      </c>
      <c r="EY900" s="1" t="s">
        <v>238</v>
      </c>
      <c r="FC900" s="1" t="s">
        <v>238</v>
      </c>
      <c r="FF900" s="1" t="s">
        <v>239</v>
      </c>
      <c r="FG900" s="1" t="s">
        <v>192</v>
      </c>
      <c r="FH900" s="1" t="s">
        <v>192</v>
      </c>
      <c r="FJ900" s="1" t="s">
        <v>624</v>
      </c>
      <c r="FK900" s="1" t="s">
        <v>1586</v>
      </c>
      <c r="FL900" s="1" t="s">
        <v>1007</v>
      </c>
      <c r="FM900" s="1">
        <v>22588.0</v>
      </c>
      <c r="FN900" s="1" t="s">
        <v>1321</v>
      </c>
      <c r="FO900" s="1" t="s">
        <v>1322</v>
      </c>
      <c r="FP900" s="1">
        <v>223009.0</v>
      </c>
      <c r="FQ900" s="1" t="s">
        <v>1323</v>
      </c>
      <c r="FU900" s="1" t="s">
        <v>10294</v>
      </c>
      <c r="FV900" s="1" t="s">
        <v>200</v>
      </c>
      <c r="FW900" s="1" t="s">
        <v>530</v>
      </c>
      <c r="FZ900" s="1" t="s">
        <v>229</v>
      </c>
      <c r="GA900" s="1" t="s">
        <v>291</v>
      </c>
      <c r="GB900" s="2">
        <v>41969.0</v>
      </c>
      <c r="GC900" s="1" t="s">
        <v>3170</v>
      </c>
    </row>
    <row r="901">
      <c r="A901" s="1">
        <v>700000.0</v>
      </c>
      <c r="B901" s="1" t="s">
        <v>185</v>
      </c>
      <c r="C901" s="1" t="str">
        <f>"08559880"</f>
        <v>08559880</v>
      </c>
      <c r="D901" s="1" t="s">
        <v>186</v>
      </c>
      <c r="F901" s="1" t="str">
        <f>"174"</f>
        <v>174</v>
      </c>
      <c r="G901" s="2">
        <v>41715.0</v>
      </c>
      <c r="H901" s="1">
        <v>699000.0</v>
      </c>
      <c r="I901" s="1">
        <v>5.0</v>
      </c>
      <c r="J901" s="1">
        <v>699000.0</v>
      </c>
      <c r="K901" s="2">
        <v>41719.0</v>
      </c>
      <c r="L901" s="1">
        <v>5.0</v>
      </c>
      <c r="M901" s="2">
        <v>41719.0</v>
      </c>
      <c r="N901" s="1" t="s">
        <v>249</v>
      </c>
      <c r="O901" s="2">
        <v>42072.0</v>
      </c>
      <c r="P901" s="1">
        <v>1535.0</v>
      </c>
      <c r="Q901" s="1">
        <v>49.0</v>
      </c>
      <c r="S901" s="1" t="s">
        <v>10295</v>
      </c>
      <c r="T901" s="1" t="s">
        <v>10296</v>
      </c>
      <c r="U901" s="1" t="s">
        <v>464</v>
      </c>
      <c r="V901" s="1" t="s">
        <v>1200</v>
      </c>
      <c r="W901" s="1">
        <v>60175.0</v>
      </c>
      <c r="Y901" s="1" t="s">
        <v>10297</v>
      </c>
      <c r="Z901" s="1">
        <v>2006.0</v>
      </c>
      <c r="AA901" s="1" t="s">
        <v>200</v>
      </c>
      <c r="AB901" s="1" t="s">
        <v>193</v>
      </c>
      <c r="AD901" s="1" t="s">
        <v>1203</v>
      </c>
      <c r="AE901" s="1" t="s">
        <v>325</v>
      </c>
      <c r="AF901" s="1" t="s">
        <v>1632</v>
      </c>
      <c r="AH901" s="1" t="s">
        <v>10298</v>
      </c>
      <c r="AI901" s="1">
        <v>5.0</v>
      </c>
      <c r="AK901" s="1">
        <v>10.0</v>
      </c>
      <c r="AL901" s="1">
        <v>4.0</v>
      </c>
      <c r="AM901" s="1">
        <v>3.0</v>
      </c>
      <c r="AN901" s="1">
        <v>1.0</v>
      </c>
      <c r="AO901" s="1" t="s">
        <v>198</v>
      </c>
      <c r="AP901" s="1">
        <v>2.0</v>
      </c>
      <c r="AQ901" s="1" t="s">
        <v>327</v>
      </c>
      <c r="AR901" s="1" t="s">
        <v>200</v>
      </c>
      <c r="AS901" s="1" t="s">
        <v>199</v>
      </c>
      <c r="AT901" s="1">
        <v>3.0</v>
      </c>
      <c r="AV901" s="1" t="s">
        <v>192</v>
      </c>
      <c r="AW901" s="1">
        <v>12628.0</v>
      </c>
      <c r="AX901" s="1">
        <v>2012.0</v>
      </c>
      <c r="AY901" s="1" t="s">
        <v>387</v>
      </c>
      <c r="AZ901" s="1" t="s">
        <v>200</v>
      </c>
      <c r="BA901" s="1" t="str">
        <f>"0814103003"</f>
        <v>0814103003</v>
      </c>
      <c r="BC901" s="1">
        <v>0.0</v>
      </c>
      <c r="BD901" s="1">
        <v>700000.0</v>
      </c>
      <c r="BE901" s="2">
        <v>41715.0</v>
      </c>
      <c r="BF901" s="2" t="s">
        <v>10299</v>
      </c>
      <c r="BG901" s="1" t="s">
        <v>2198</v>
      </c>
      <c r="BH901" s="1">
        <v>0.0</v>
      </c>
      <c r="BI901" s="1" t="s">
        <v>2199</v>
      </c>
      <c r="BJ901" s="1" t="s">
        <v>2200</v>
      </c>
      <c r="BK901" s="1" t="s">
        <v>204</v>
      </c>
      <c r="BL901" s="1" t="str">
        <f>"5"</f>
        <v>5</v>
      </c>
      <c r="BM901" s="1" t="str">
        <f>"0"</f>
        <v>0</v>
      </c>
      <c r="BN901" s="1">
        <v>41.0</v>
      </c>
      <c r="BO901" s="1">
        <v>0.0</v>
      </c>
      <c r="BQ901" s="1">
        <v>303.0</v>
      </c>
      <c r="BR901" s="1">
        <v>303.0</v>
      </c>
      <c r="BS901" s="1">
        <v>303.0</v>
      </c>
      <c r="BV901" s="1" t="s">
        <v>204</v>
      </c>
      <c r="BX901" s="1" t="s">
        <v>229</v>
      </c>
      <c r="BY901" s="1" t="s">
        <v>854</v>
      </c>
      <c r="BZ901" s="1" t="s">
        <v>206</v>
      </c>
      <c r="CA901" s="1" t="s">
        <v>210</v>
      </c>
      <c r="CB901" s="1" t="s">
        <v>229</v>
      </c>
      <c r="CC901" s="1" t="s">
        <v>211</v>
      </c>
      <c r="CD901" s="1" t="s">
        <v>206</v>
      </c>
      <c r="CE901" s="1" t="s">
        <v>210</v>
      </c>
      <c r="CF901" s="1" t="s">
        <v>229</v>
      </c>
      <c r="CG901" s="1" t="s">
        <v>363</v>
      </c>
      <c r="CH901" s="1" t="s">
        <v>206</v>
      </c>
      <c r="CI901" s="1" t="s">
        <v>210</v>
      </c>
      <c r="CK901" s="1" t="s">
        <v>2365</v>
      </c>
      <c r="CL901" s="1" t="s">
        <v>209</v>
      </c>
      <c r="CM901" s="1" t="s">
        <v>210</v>
      </c>
      <c r="CO901" s="1" t="s">
        <v>783</v>
      </c>
      <c r="CP901" s="1" t="s">
        <v>209</v>
      </c>
      <c r="CQ901" s="1" t="s">
        <v>210</v>
      </c>
      <c r="CR901" s="1" t="s">
        <v>229</v>
      </c>
      <c r="CS901" s="1" t="s">
        <v>10300</v>
      </c>
      <c r="CT901" s="1" t="s">
        <v>206</v>
      </c>
      <c r="CU901" s="1" t="s">
        <v>207</v>
      </c>
      <c r="CV901" s="1" t="s">
        <v>229</v>
      </c>
      <c r="CW901" s="1" t="s">
        <v>8706</v>
      </c>
      <c r="CX901" s="1" t="s">
        <v>206</v>
      </c>
      <c r="CY901" s="1" t="s">
        <v>207</v>
      </c>
      <c r="CZ901" s="1" t="s">
        <v>229</v>
      </c>
      <c r="DA901" s="1" t="s">
        <v>200</v>
      </c>
      <c r="DC901" s="1" t="s">
        <v>481</v>
      </c>
      <c r="DD901" s="1" t="s">
        <v>4137</v>
      </c>
      <c r="DE901" s="1" t="s">
        <v>218</v>
      </c>
      <c r="DF901" s="1" t="s">
        <v>219</v>
      </c>
      <c r="DG901" s="1" t="s">
        <v>9184</v>
      </c>
      <c r="DH901" s="1" t="s">
        <v>856</v>
      </c>
      <c r="DJ901" s="1" t="s">
        <v>857</v>
      </c>
      <c r="DK901" s="1" t="s">
        <v>198</v>
      </c>
      <c r="DL901" s="1" t="s">
        <v>484</v>
      </c>
      <c r="DM901" s="1" t="s">
        <v>338</v>
      </c>
      <c r="DN901" s="1" t="s">
        <v>399</v>
      </c>
      <c r="DO901" s="1" t="s">
        <v>10301</v>
      </c>
      <c r="DP901" s="1" t="s">
        <v>340</v>
      </c>
      <c r="DQ901" s="1" t="s">
        <v>6366</v>
      </c>
      <c r="DR901" s="1" t="s">
        <v>229</v>
      </c>
      <c r="DS901" s="1" t="s">
        <v>230</v>
      </c>
      <c r="DU901" s="1" t="s">
        <v>442</v>
      </c>
      <c r="DV901" s="1" t="s">
        <v>10302</v>
      </c>
      <c r="DW901" s="1" t="s">
        <v>764</v>
      </c>
      <c r="DX901" s="1" t="s">
        <v>234</v>
      </c>
      <c r="DY901" s="1" t="s">
        <v>2841</v>
      </c>
      <c r="DZ901" s="1" t="s">
        <v>10303</v>
      </c>
      <c r="EA901" s="1" t="s">
        <v>344</v>
      </c>
      <c r="EB901" s="1" t="s">
        <v>937</v>
      </c>
      <c r="EC901" s="1" t="s">
        <v>237</v>
      </c>
      <c r="ED901" s="1" t="s">
        <v>407</v>
      </c>
      <c r="EG901" s="1" t="s">
        <v>408</v>
      </c>
      <c r="EH901" s="1" t="s">
        <v>1102</v>
      </c>
      <c r="EJ901" s="1" t="s">
        <v>341</v>
      </c>
      <c r="EK901" s="1" t="s">
        <v>598</v>
      </c>
      <c r="EL901" s="1" t="s">
        <v>2281</v>
      </c>
      <c r="EM901" s="1" t="s">
        <v>206</v>
      </c>
      <c r="EN901" s="1" t="s">
        <v>207</v>
      </c>
      <c r="EP901" s="1" t="s">
        <v>700</v>
      </c>
      <c r="EQ901" s="1" t="s">
        <v>206</v>
      </c>
      <c r="ER901" s="1" t="s">
        <v>207</v>
      </c>
      <c r="ES901" s="1" t="s">
        <v>229</v>
      </c>
      <c r="EU901" s="1" t="s">
        <v>238</v>
      </c>
      <c r="EX901" s="1" t="s">
        <v>10304</v>
      </c>
      <c r="EY901" s="1" t="s">
        <v>209</v>
      </c>
      <c r="EZ901" s="1" t="s">
        <v>207</v>
      </c>
      <c r="FB901" s="1" t="s">
        <v>2414</v>
      </c>
      <c r="FC901" s="1" t="s">
        <v>209</v>
      </c>
      <c r="FD901" s="1" t="s">
        <v>207</v>
      </c>
      <c r="FE901" s="1" t="s">
        <v>229</v>
      </c>
      <c r="FF901" s="1" t="s">
        <v>239</v>
      </c>
      <c r="FG901" s="1" t="s">
        <v>192</v>
      </c>
      <c r="FH901" s="1" t="s">
        <v>192</v>
      </c>
      <c r="FJ901" s="1" t="s">
        <v>498</v>
      </c>
      <c r="FK901" s="1" t="s">
        <v>1586</v>
      </c>
      <c r="FL901" s="1" t="s">
        <v>1358</v>
      </c>
      <c r="FM901" s="1">
        <v>23591.0</v>
      </c>
      <c r="FN901" s="1" t="s">
        <v>2134</v>
      </c>
      <c r="FO901" s="1" t="s">
        <v>2843</v>
      </c>
      <c r="FP901" s="1">
        <v>230482.0</v>
      </c>
      <c r="FQ901" s="1" t="s">
        <v>2844</v>
      </c>
      <c r="FS901" s="1" t="s">
        <v>8183</v>
      </c>
      <c r="FU901" s="1" t="s">
        <v>10305</v>
      </c>
      <c r="FV901" s="1" t="s">
        <v>200</v>
      </c>
      <c r="FW901" s="1" t="s">
        <v>1293</v>
      </c>
      <c r="FZ901" s="1" t="s">
        <v>229</v>
      </c>
      <c r="GA901" s="1" t="s">
        <v>291</v>
      </c>
      <c r="GB901" s="2">
        <v>42072.0</v>
      </c>
      <c r="GC901" s="1" t="s">
        <v>10306</v>
      </c>
    </row>
    <row r="902">
      <c r="A902" s="1">
        <v>240025.0</v>
      </c>
      <c r="B902" s="1" t="s">
        <v>185</v>
      </c>
      <c r="C902" s="1" t="str">
        <f>"08560307"</f>
        <v>08560307</v>
      </c>
      <c r="D902" s="1" t="s">
        <v>186</v>
      </c>
      <c r="F902" s="1" t="str">
        <f>"543"</f>
        <v>543</v>
      </c>
      <c r="G902" s="2">
        <v>41715.0</v>
      </c>
      <c r="H902" s="1">
        <v>253495.0</v>
      </c>
      <c r="I902" s="1">
        <v>1.0</v>
      </c>
      <c r="J902" s="1">
        <v>253495.0</v>
      </c>
      <c r="K902" s="2">
        <v>41715.0</v>
      </c>
      <c r="L902" s="1">
        <v>1.0</v>
      </c>
      <c r="M902" s="2">
        <v>41715.0</v>
      </c>
      <c r="N902" s="1" t="s">
        <v>187</v>
      </c>
      <c r="O902" s="2">
        <v>42100.0</v>
      </c>
      <c r="P902" s="1">
        <v>874772.0</v>
      </c>
      <c r="Q902" s="1">
        <v>85692.0</v>
      </c>
      <c r="S902" s="1">
        <v>4801.0</v>
      </c>
      <c r="T902" s="1" t="s">
        <v>10307</v>
      </c>
      <c r="U902" s="1" t="s">
        <v>569</v>
      </c>
      <c r="V902" s="1" t="s">
        <v>1527</v>
      </c>
      <c r="W902" s="1">
        <v>60543.0</v>
      </c>
      <c r="Y902" s="1" t="s">
        <v>10308</v>
      </c>
      <c r="Z902" s="1">
        <v>2012.0</v>
      </c>
      <c r="AA902" s="1" t="s">
        <v>200</v>
      </c>
      <c r="AB902" s="1" t="s">
        <v>193</v>
      </c>
      <c r="AC902" s="1" t="s">
        <v>8934</v>
      </c>
      <c r="AD902" s="1" t="s">
        <v>1529</v>
      </c>
      <c r="AE902" s="1" t="s">
        <v>849</v>
      </c>
      <c r="AF902" s="1" t="s">
        <v>1529</v>
      </c>
      <c r="AG902" s="1" t="s">
        <v>10309</v>
      </c>
      <c r="AH902" s="1" t="s">
        <v>10310</v>
      </c>
      <c r="AK902" s="1">
        <v>11.0</v>
      </c>
      <c r="AL902" s="1">
        <v>4.0</v>
      </c>
      <c r="AM902" s="1">
        <v>2.0</v>
      </c>
      <c r="AN902" s="1">
        <v>1.0</v>
      </c>
      <c r="AO902" s="1" t="s">
        <v>198</v>
      </c>
      <c r="AQ902" s="1" t="s">
        <v>1314</v>
      </c>
      <c r="AR902" s="1" t="s">
        <v>200</v>
      </c>
      <c r="AS902" s="1" t="s">
        <v>199</v>
      </c>
      <c r="AT902" s="1">
        <v>3.0</v>
      </c>
      <c r="AV902" s="1" t="s">
        <v>200</v>
      </c>
      <c r="AW902" s="1" t="s">
        <v>575</v>
      </c>
      <c r="AX902" s="1">
        <v>2012.0</v>
      </c>
      <c r="AZ902" s="1" t="s">
        <v>200</v>
      </c>
      <c r="BA902" s="1" t="str">
        <f>"0339400001"</f>
        <v>0339400001</v>
      </c>
      <c r="BC902" s="1">
        <v>3238.0</v>
      </c>
      <c r="BD902" s="1">
        <v>240025.0</v>
      </c>
      <c r="BE902" s="2">
        <v>41715.0</v>
      </c>
      <c r="BF902" s="1" t="s">
        <v>10311</v>
      </c>
      <c r="BG902" s="1" t="s">
        <v>8939</v>
      </c>
      <c r="BH902" s="1">
        <v>66.0</v>
      </c>
      <c r="BI902" s="1" t="s">
        <v>1533</v>
      </c>
      <c r="BJ902" s="1" t="s">
        <v>1349</v>
      </c>
      <c r="BK902" s="1" t="s">
        <v>474</v>
      </c>
      <c r="BL902" s="1" t="str">
        <f t="shared" ref="BL902:BM902" si="585">"0"</f>
        <v>0</v>
      </c>
      <c r="BM902" s="1" t="str">
        <f t="shared" si="585"/>
        <v>0</v>
      </c>
      <c r="BN902" s="1">
        <v>39.0</v>
      </c>
      <c r="BO902" s="1">
        <v>15.0</v>
      </c>
      <c r="BQ902" s="1">
        <v>308.0</v>
      </c>
      <c r="BR902" s="1">
        <v>308.0</v>
      </c>
      <c r="BS902" s="1">
        <v>308.0</v>
      </c>
      <c r="BU902" s="1" t="s">
        <v>331</v>
      </c>
      <c r="BV902" s="1" t="s">
        <v>206</v>
      </c>
      <c r="BW902" s="1" t="s">
        <v>210</v>
      </c>
      <c r="BY902" s="1" t="s">
        <v>2120</v>
      </c>
      <c r="BZ902" s="1" t="s">
        <v>209</v>
      </c>
      <c r="CA902" s="1" t="s">
        <v>210</v>
      </c>
      <c r="CC902" s="1" t="s">
        <v>331</v>
      </c>
      <c r="CD902" s="1" t="s">
        <v>206</v>
      </c>
      <c r="CE902" s="1" t="s">
        <v>210</v>
      </c>
      <c r="CG902" s="1" t="s">
        <v>1395</v>
      </c>
      <c r="CH902" s="1" t="s">
        <v>209</v>
      </c>
      <c r="CI902" s="1" t="s">
        <v>210</v>
      </c>
      <c r="CK902" s="1" t="s">
        <v>363</v>
      </c>
      <c r="CL902" s="1" t="s">
        <v>209</v>
      </c>
      <c r="CM902" s="1" t="s">
        <v>210</v>
      </c>
      <c r="CO902" s="1" t="s">
        <v>433</v>
      </c>
      <c r="CP902" s="1" t="s">
        <v>209</v>
      </c>
      <c r="CQ902" s="1" t="s">
        <v>210</v>
      </c>
      <c r="CS902" s="1" t="s">
        <v>1183</v>
      </c>
      <c r="CT902" s="1" t="s">
        <v>206</v>
      </c>
      <c r="CU902" s="1" t="s">
        <v>617</v>
      </c>
      <c r="CW902" s="1" t="s">
        <v>2120</v>
      </c>
      <c r="CX902" s="1" t="s">
        <v>206</v>
      </c>
      <c r="CY902" s="1" t="s">
        <v>210</v>
      </c>
      <c r="DA902" s="1" t="s">
        <v>200</v>
      </c>
      <c r="DC902" s="1" t="s">
        <v>1046</v>
      </c>
      <c r="DD902" s="1" t="s">
        <v>396</v>
      </c>
      <c r="DE902" s="1" t="s">
        <v>229</v>
      </c>
      <c r="DF902" s="1" t="s">
        <v>219</v>
      </c>
      <c r="DG902" s="1" t="s">
        <v>2379</v>
      </c>
      <c r="DH902" s="1" t="s">
        <v>220</v>
      </c>
      <c r="DI902" s="1" t="s">
        <v>1021</v>
      </c>
      <c r="DJ902" s="1" t="s">
        <v>1048</v>
      </c>
      <c r="DL902" s="1" t="s">
        <v>223</v>
      </c>
      <c r="DM902" s="1" t="s">
        <v>338</v>
      </c>
      <c r="DQ902" s="1" t="s">
        <v>228</v>
      </c>
      <c r="DR902" s="1" t="s">
        <v>1980</v>
      </c>
      <c r="DV902" s="1" t="s">
        <v>3022</v>
      </c>
      <c r="DW902" s="1" t="s">
        <v>233</v>
      </c>
      <c r="DX902" s="1" t="s">
        <v>234</v>
      </c>
      <c r="EA902" s="1" t="s">
        <v>344</v>
      </c>
      <c r="EC902" s="1" t="s">
        <v>237</v>
      </c>
      <c r="EG902" s="1" t="s">
        <v>557</v>
      </c>
      <c r="EH902" s="1" t="s">
        <v>556</v>
      </c>
      <c r="EI902" s="1" t="s">
        <v>494</v>
      </c>
      <c r="EL902" s="1" t="s">
        <v>878</v>
      </c>
      <c r="EM902" s="1" t="s">
        <v>209</v>
      </c>
      <c r="EN902" s="1" t="s">
        <v>210</v>
      </c>
      <c r="EP902" s="1" t="s">
        <v>1316</v>
      </c>
      <c r="EQ902" s="1" t="s">
        <v>206</v>
      </c>
      <c r="ER902" s="1" t="s">
        <v>617</v>
      </c>
      <c r="ET902" s="1" t="s">
        <v>2459</v>
      </c>
      <c r="EU902" s="1" t="s">
        <v>206</v>
      </c>
      <c r="EV902" s="1" t="s">
        <v>210</v>
      </c>
      <c r="EY902" s="1" t="s">
        <v>238</v>
      </c>
      <c r="FC902" s="1" t="s">
        <v>238</v>
      </c>
      <c r="FF902" s="1" t="s">
        <v>239</v>
      </c>
      <c r="FG902" s="1" t="s">
        <v>192</v>
      </c>
      <c r="FH902" s="1" t="s">
        <v>192</v>
      </c>
      <c r="FJ902" s="1" t="s">
        <v>10312</v>
      </c>
      <c r="FK902" s="1" t="s">
        <v>229</v>
      </c>
      <c r="FL902" s="1" t="s">
        <v>1358</v>
      </c>
      <c r="FM902" s="1">
        <v>23076.0</v>
      </c>
      <c r="FN902" s="1" t="s">
        <v>1359</v>
      </c>
      <c r="FO902" s="1" t="s">
        <v>10313</v>
      </c>
      <c r="FP902" s="1">
        <v>216120.0</v>
      </c>
      <c r="FQ902" s="1" t="s">
        <v>10314</v>
      </c>
      <c r="FU902" s="1" t="s">
        <v>10315</v>
      </c>
      <c r="FV902" s="1" t="s">
        <v>200</v>
      </c>
      <c r="FW902" s="1" t="s">
        <v>10316</v>
      </c>
      <c r="FZ902" s="1" t="s">
        <v>229</v>
      </c>
      <c r="GA902" s="1" t="s">
        <v>247</v>
      </c>
      <c r="GB902" s="2">
        <v>42100.0</v>
      </c>
    </row>
    <row r="903">
      <c r="A903" s="1">
        <v>220900.0</v>
      </c>
      <c r="B903" s="1" t="s">
        <v>185</v>
      </c>
      <c r="C903" s="1" t="str">
        <f>"08717226"</f>
        <v>08717226</v>
      </c>
      <c r="D903" s="1" t="s">
        <v>186</v>
      </c>
      <c r="F903" s="1" t="str">
        <f>"538"</f>
        <v>538</v>
      </c>
      <c r="G903" s="2">
        <v>41884.0</v>
      </c>
      <c r="H903" s="1">
        <v>228000.0</v>
      </c>
      <c r="I903" s="1">
        <v>51.0</v>
      </c>
      <c r="J903" s="1">
        <v>219900.0</v>
      </c>
      <c r="K903" s="2">
        <v>41934.0</v>
      </c>
      <c r="L903" s="1">
        <v>51.0</v>
      </c>
      <c r="M903" s="2">
        <v>41934.0</v>
      </c>
      <c r="N903" s="1" t="s">
        <v>356</v>
      </c>
      <c r="O903" s="2">
        <v>41995.0</v>
      </c>
      <c r="P903" s="1">
        <v>233651.0</v>
      </c>
      <c r="Q903" s="1">
        <v>23030.0</v>
      </c>
      <c r="S903" s="1">
        <v>2905.0</v>
      </c>
      <c r="T903" s="1" t="s">
        <v>10317</v>
      </c>
      <c r="U903" s="1" t="s">
        <v>1174</v>
      </c>
      <c r="V903" s="1" t="s">
        <v>1340</v>
      </c>
      <c r="W903" s="1">
        <v>60538.0</v>
      </c>
      <c r="Y903" s="1" t="s">
        <v>10318</v>
      </c>
      <c r="Z903" s="1">
        <v>2002.0</v>
      </c>
      <c r="AA903" s="1" t="s">
        <v>200</v>
      </c>
      <c r="AB903" s="1" t="s">
        <v>467</v>
      </c>
      <c r="AC903" s="1" t="s">
        <v>10319</v>
      </c>
      <c r="AD903" s="1" t="s">
        <v>1343</v>
      </c>
      <c r="AE903" s="1" t="s">
        <v>849</v>
      </c>
      <c r="AF903" s="1" t="s">
        <v>1312</v>
      </c>
      <c r="AG903" s="1" t="s">
        <v>10320</v>
      </c>
      <c r="AH903" s="1" t="s">
        <v>10321</v>
      </c>
      <c r="AI903" s="1">
        <v>0.1791</v>
      </c>
      <c r="AK903" s="1">
        <v>10.0</v>
      </c>
      <c r="AL903" s="1">
        <v>4.0</v>
      </c>
      <c r="AM903" s="1">
        <v>2.0</v>
      </c>
      <c r="AN903" s="1">
        <v>1.0</v>
      </c>
      <c r="AO903" s="1" t="s">
        <v>198</v>
      </c>
      <c r="AQ903" s="1" t="s">
        <v>198</v>
      </c>
      <c r="AR903" s="1" t="s">
        <v>200</v>
      </c>
      <c r="AS903" s="1" t="s">
        <v>199</v>
      </c>
      <c r="AT903" s="1">
        <v>2.0</v>
      </c>
      <c r="AV903" s="1" t="s">
        <v>200</v>
      </c>
      <c r="AW903" s="1">
        <v>6592.16</v>
      </c>
      <c r="AX903" s="1">
        <v>2013.0</v>
      </c>
      <c r="AY903" s="1" t="s">
        <v>387</v>
      </c>
      <c r="AZ903" s="1" t="s">
        <v>200</v>
      </c>
      <c r="BA903" s="1" t="str">
        <f>"0202179028"</f>
        <v>0202179028</v>
      </c>
      <c r="BC903" s="1">
        <v>2510.0</v>
      </c>
      <c r="BD903" s="1">
        <v>220900.0</v>
      </c>
      <c r="BE903" s="2">
        <v>41884.0</v>
      </c>
      <c r="BF903" s="2" t="s">
        <v>10322</v>
      </c>
      <c r="BG903" s="1" t="s">
        <v>1837</v>
      </c>
      <c r="BH903" s="1">
        <v>45.0</v>
      </c>
      <c r="BI903" s="1" t="s">
        <v>1533</v>
      </c>
      <c r="BJ903" s="1" t="s">
        <v>1349</v>
      </c>
      <c r="BK903" s="1" t="s">
        <v>474</v>
      </c>
      <c r="BL903" s="1" t="str">
        <f t="shared" ref="BL903:BM903" si="586">""</f>
        <v/>
      </c>
      <c r="BM903" s="1" t="str">
        <f t="shared" si="586"/>
        <v/>
      </c>
      <c r="BQ903" s="1">
        <v>308.0</v>
      </c>
      <c r="BR903" s="1">
        <v>308.0</v>
      </c>
      <c r="BS903" s="1">
        <v>308.0</v>
      </c>
      <c r="BU903" s="1" t="s">
        <v>433</v>
      </c>
      <c r="BV903" s="1" t="s">
        <v>206</v>
      </c>
      <c r="BW903" s="1" t="s">
        <v>210</v>
      </c>
      <c r="BX903" s="1" t="s">
        <v>431</v>
      </c>
      <c r="BY903" s="1" t="s">
        <v>432</v>
      </c>
      <c r="BZ903" s="1" t="s">
        <v>209</v>
      </c>
      <c r="CA903" s="1" t="s">
        <v>210</v>
      </c>
      <c r="CB903" s="1" t="s">
        <v>431</v>
      </c>
      <c r="CC903" s="1" t="s">
        <v>433</v>
      </c>
      <c r="CD903" s="1" t="s">
        <v>206</v>
      </c>
      <c r="CE903" s="1" t="s">
        <v>210</v>
      </c>
      <c r="CF903" s="1" t="s">
        <v>431</v>
      </c>
      <c r="CG903" s="1" t="s">
        <v>699</v>
      </c>
      <c r="CH903" s="1" t="s">
        <v>209</v>
      </c>
      <c r="CI903" s="1" t="s">
        <v>210</v>
      </c>
      <c r="CJ903" s="1" t="s">
        <v>431</v>
      </c>
      <c r="CK903" s="1" t="s">
        <v>264</v>
      </c>
      <c r="CL903" s="1" t="s">
        <v>209</v>
      </c>
      <c r="CM903" s="1" t="s">
        <v>210</v>
      </c>
      <c r="CN903" s="1" t="s">
        <v>431</v>
      </c>
      <c r="CO903" s="1" t="s">
        <v>497</v>
      </c>
      <c r="CP903" s="1" t="s">
        <v>209</v>
      </c>
      <c r="CQ903" s="1" t="s">
        <v>210</v>
      </c>
      <c r="CR903" s="1" t="s">
        <v>431</v>
      </c>
      <c r="CS903" s="1" t="s">
        <v>432</v>
      </c>
      <c r="CT903" s="1" t="s">
        <v>206</v>
      </c>
      <c r="CU903" s="1" t="s">
        <v>207</v>
      </c>
      <c r="CV903" s="1" t="s">
        <v>431</v>
      </c>
      <c r="CW903" s="1" t="s">
        <v>390</v>
      </c>
      <c r="CX903" s="1" t="s">
        <v>206</v>
      </c>
      <c r="CY903" s="1" t="s">
        <v>210</v>
      </c>
      <c r="CZ903" s="1" t="s">
        <v>431</v>
      </c>
      <c r="DA903" s="1" t="s">
        <v>200</v>
      </c>
      <c r="DC903" s="1" t="s">
        <v>335</v>
      </c>
      <c r="DD903" s="1" t="s">
        <v>518</v>
      </c>
      <c r="DE903" s="1" t="s">
        <v>273</v>
      </c>
      <c r="DF903" s="1" t="s">
        <v>219</v>
      </c>
      <c r="DG903" s="1" t="s">
        <v>10323</v>
      </c>
      <c r="DH903" s="1" t="s">
        <v>220</v>
      </c>
      <c r="DI903" s="1" t="s">
        <v>9924</v>
      </c>
      <c r="DJ903" s="1" t="s">
        <v>222</v>
      </c>
      <c r="DL903" s="1" t="s">
        <v>858</v>
      </c>
      <c r="DM903" s="1" t="s">
        <v>338</v>
      </c>
      <c r="DN903" s="1" t="s">
        <v>339</v>
      </c>
      <c r="DO903" s="1" t="s">
        <v>717</v>
      </c>
      <c r="DP903" s="1" t="s">
        <v>340</v>
      </c>
      <c r="DQ903" s="1" t="s">
        <v>228</v>
      </c>
      <c r="DR903" s="1" t="s">
        <v>1839</v>
      </c>
      <c r="DS903" s="1" t="s">
        <v>3204</v>
      </c>
      <c r="DU903" s="1" t="s">
        <v>10324</v>
      </c>
      <c r="DV903" s="1" t="s">
        <v>2259</v>
      </c>
      <c r="DW903" s="1" t="s">
        <v>233</v>
      </c>
      <c r="DX903" s="1" t="s">
        <v>234</v>
      </c>
      <c r="DY903" s="1" t="s">
        <v>1936</v>
      </c>
      <c r="DZ903" s="1" t="s">
        <v>310</v>
      </c>
      <c r="EA903" s="1" t="s">
        <v>344</v>
      </c>
      <c r="EC903" s="1" t="s">
        <v>237</v>
      </c>
      <c r="ED903" s="1" t="s">
        <v>407</v>
      </c>
      <c r="EG903" s="1" t="s">
        <v>449</v>
      </c>
      <c r="EH903" s="1" t="s">
        <v>450</v>
      </c>
      <c r="EL903" s="1" t="s">
        <v>497</v>
      </c>
      <c r="EM903" s="1" t="s">
        <v>206</v>
      </c>
      <c r="EN903" s="1" t="s">
        <v>207</v>
      </c>
      <c r="EO903" s="1" t="s">
        <v>431</v>
      </c>
      <c r="EP903" s="1" t="s">
        <v>4469</v>
      </c>
      <c r="EQ903" s="1" t="s">
        <v>42</v>
      </c>
      <c r="ER903" s="1" t="s">
        <v>210</v>
      </c>
      <c r="ES903" s="1" t="s">
        <v>431</v>
      </c>
      <c r="EU903" s="1" t="s">
        <v>238</v>
      </c>
      <c r="EY903" s="1" t="s">
        <v>238</v>
      </c>
      <c r="FC903" s="1" t="s">
        <v>238</v>
      </c>
      <c r="FF903" s="1" t="s">
        <v>239</v>
      </c>
      <c r="FG903" s="1" t="s">
        <v>192</v>
      </c>
      <c r="FH903" s="1" t="s">
        <v>192</v>
      </c>
      <c r="FJ903" s="1" t="s">
        <v>2285</v>
      </c>
      <c r="FK903" s="1" t="s">
        <v>229</v>
      </c>
      <c r="FL903" s="1" t="s">
        <v>974</v>
      </c>
      <c r="FM903" s="1">
        <v>23312.0</v>
      </c>
      <c r="FN903" s="1" t="s">
        <v>3834</v>
      </c>
      <c r="FO903" s="1" t="s">
        <v>10325</v>
      </c>
      <c r="FP903" s="1">
        <v>227796.0</v>
      </c>
      <c r="FQ903" s="1" t="s">
        <v>10326</v>
      </c>
      <c r="FU903" s="1" t="s">
        <v>10327</v>
      </c>
      <c r="FV903" s="1" t="s">
        <v>200</v>
      </c>
      <c r="FW903" s="1" t="s">
        <v>290</v>
      </c>
      <c r="FZ903" s="1" t="s">
        <v>229</v>
      </c>
      <c r="GA903" s="1" t="s">
        <v>291</v>
      </c>
      <c r="GB903" s="2">
        <v>41995.0</v>
      </c>
    </row>
    <row r="904">
      <c r="A904" s="1">
        <v>204000.0</v>
      </c>
      <c r="B904" s="1" t="s">
        <v>185</v>
      </c>
      <c r="C904" s="1" t="str">
        <f>"08562150"</f>
        <v>08562150</v>
      </c>
      <c r="D904" s="1" t="s">
        <v>186</v>
      </c>
      <c r="F904" s="1" t="str">
        <f>"542"</f>
        <v>542</v>
      </c>
      <c r="G904" s="2">
        <v>41717.0</v>
      </c>
      <c r="H904" s="1">
        <v>254000.0</v>
      </c>
      <c r="I904" s="1">
        <v>228.0</v>
      </c>
      <c r="J904" s="1">
        <v>224900.0</v>
      </c>
      <c r="K904" s="2">
        <v>41944.0</v>
      </c>
      <c r="L904" s="1">
        <v>228.0</v>
      </c>
      <c r="M904" s="2">
        <v>41944.0</v>
      </c>
      <c r="N904" s="1" t="s">
        <v>187</v>
      </c>
      <c r="O904" s="2">
        <v>41969.0</v>
      </c>
      <c r="P904" s="1">
        <v>1222.0</v>
      </c>
      <c r="Q904" s="1">
        <v>49.0</v>
      </c>
      <c r="S904" s="1">
        <v>704.0</v>
      </c>
      <c r="T904" s="1" t="s">
        <v>10328</v>
      </c>
      <c r="U904" s="1" t="s">
        <v>1174</v>
      </c>
      <c r="V904" s="1" t="s">
        <v>3984</v>
      </c>
      <c r="W904" s="1">
        <v>60542.0</v>
      </c>
      <c r="Y904" s="1" t="s">
        <v>10329</v>
      </c>
      <c r="Z904" s="1">
        <v>1992.0</v>
      </c>
      <c r="AA904" s="1" t="s">
        <v>200</v>
      </c>
      <c r="AB904" s="1" t="s">
        <v>193</v>
      </c>
      <c r="AC904" s="1" t="s">
        <v>4055</v>
      </c>
      <c r="AD904" s="1" t="s">
        <v>3986</v>
      </c>
      <c r="AE904" s="1" t="s">
        <v>325</v>
      </c>
      <c r="AF904" s="1" t="s">
        <v>2702</v>
      </c>
      <c r="AH904" s="1">
        <v>6890.0</v>
      </c>
      <c r="AI904" s="1">
        <v>0.1582</v>
      </c>
      <c r="AK904" s="1">
        <v>9.0</v>
      </c>
      <c r="AL904" s="1">
        <v>4.0</v>
      </c>
      <c r="AM904" s="1">
        <v>2.0</v>
      </c>
      <c r="AN904" s="1">
        <v>1.0</v>
      </c>
      <c r="AO904" s="1" t="s">
        <v>198</v>
      </c>
      <c r="AP904" s="1">
        <v>1.0</v>
      </c>
      <c r="AQ904" s="1" t="s">
        <v>472</v>
      </c>
      <c r="AR904" s="1" t="s">
        <v>200</v>
      </c>
      <c r="AS904" s="1" t="s">
        <v>199</v>
      </c>
      <c r="AT904" s="1">
        <v>2.0</v>
      </c>
      <c r="AV904" s="1" t="s">
        <v>200</v>
      </c>
      <c r="AW904" s="1">
        <v>8265.82</v>
      </c>
      <c r="AX904" s="1">
        <v>2013.0</v>
      </c>
      <c r="AZ904" s="1" t="s">
        <v>200</v>
      </c>
      <c r="BA904" s="1" t="str">
        <f>"1234456006"</f>
        <v>1234456006</v>
      </c>
      <c r="BB904" s="1" t="s">
        <v>200</v>
      </c>
      <c r="BC904" s="1">
        <v>2062.0</v>
      </c>
      <c r="BD904" s="1">
        <v>204000.0</v>
      </c>
      <c r="BE904" s="2">
        <v>41717.0</v>
      </c>
      <c r="BF904" s="2" t="s">
        <v>10330</v>
      </c>
      <c r="BH904" s="1">
        <v>0.0</v>
      </c>
      <c r="BJ904" s="1" t="s">
        <v>3831</v>
      </c>
      <c r="BK904" s="1" t="s">
        <v>204</v>
      </c>
      <c r="BL904" s="1" t="str">
        <f t="shared" ref="BL904:BM904" si="587">""</f>
        <v/>
      </c>
      <c r="BM904" s="1" t="str">
        <f t="shared" si="587"/>
        <v/>
      </c>
      <c r="BQ904" s="1">
        <v>129.0</v>
      </c>
      <c r="BR904" s="1">
        <v>129.0</v>
      </c>
      <c r="BS904" s="1">
        <v>129.0</v>
      </c>
      <c r="BU904" s="1" t="s">
        <v>215</v>
      </c>
      <c r="BV904" s="1" t="s">
        <v>206</v>
      </c>
      <c r="BW904" s="1" t="s">
        <v>210</v>
      </c>
      <c r="BX904" s="1" t="s">
        <v>239</v>
      </c>
      <c r="BY904" s="1" t="s">
        <v>454</v>
      </c>
      <c r="BZ904" s="1" t="s">
        <v>209</v>
      </c>
      <c r="CA904" s="1" t="s">
        <v>210</v>
      </c>
      <c r="CB904" s="1" t="s">
        <v>239</v>
      </c>
      <c r="CC904" s="1" t="s">
        <v>495</v>
      </c>
      <c r="CD904" s="1" t="s">
        <v>206</v>
      </c>
      <c r="CE904" s="1" t="s">
        <v>210</v>
      </c>
      <c r="CF904" s="1" t="s">
        <v>239</v>
      </c>
      <c r="CG904" s="1" t="s">
        <v>264</v>
      </c>
      <c r="CH904" s="1" t="s">
        <v>209</v>
      </c>
      <c r="CI904" s="1" t="s">
        <v>210</v>
      </c>
      <c r="CJ904" s="1" t="s">
        <v>239</v>
      </c>
      <c r="CK904" s="1" t="s">
        <v>392</v>
      </c>
      <c r="CL904" s="1" t="s">
        <v>209</v>
      </c>
      <c r="CM904" s="1" t="s">
        <v>210</v>
      </c>
      <c r="CN904" s="1" t="s">
        <v>239</v>
      </c>
      <c r="CO904" s="1" t="s">
        <v>269</v>
      </c>
      <c r="CP904" s="1" t="s">
        <v>209</v>
      </c>
      <c r="CQ904" s="1" t="s">
        <v>210</v>
      </c>
      <c r="CR904" s="1" t="s">
        <v>239</v>
      </c>
      <c r="CS904" s="1" t="s">
        <v>758</v>
      </c>
      <c r="CT904" s="1" t="s">
        <v>206</v>
      </c>
      <c r="CU904" s="1" t="s">
        <v>207</v>
      </c>
      <c r="CV904" s="1" t="s">
        <v>239</v>
      </c>
      <c r="CW904" s="1" t="s">
        <v>214</v>
      </c>
      <c r="CX904" s="1" t="s">
        <v>206</v>
      </c>
      <c r="CY904" s="1" t="s">
        <v>210</v>
      </c>
      <c r="CZ904" s="1" t="s">
        <v>239</v>
      </c>
      <c r="DA904" s="1" t="s">
        <v>200</v>
      </c>
      <c r="DC904" s="1" t="s">
        <v>435</v>
      </c>
      <c r="DD904" s="1" t="s">
        <v>518</v>
      </c>
      <c r="DE904" s="1" t="s">
        <v>273</v>
      </c>
      <c r="DF904" s="1" t="s">
        <v>219</v>
      </c>
      <c r="DG904" s="1" t="s">
        <v>482</v>
      </c>
      <c r="DH904" s="1" t="s">
        <v>220</v>
      </c>
      <c r="DI904" s="1" t="s">
        <v>959</v>
      </c>
      <c r="DJ904" s="1" t="s">
        <v>222</v>
      </c>
      <c r="DK904" s="1" t="s">
        <v>1555</v>
      </c>
      <c r="DL904" s="1" t="s">
        <v>858</v>
      </c>
      <c r="DM904" s="1" t="s">
        <v>338</v>
      </c>
      <c r="DO904" s="1" t="s">
        <v>486</v>
      </c>
      <c r="DP904" s="1" t="s">
        <v>340</v>
      </c>
      <c r="DQ904" s="1" t="s">
        <v>1557</v>
      </c>
      <c r="DR904" s="1" t="s">
        <v>229</v>
      </c>
      <c r="DS904" s="1" t="s">
        <v>230</v>
      </c>
      <c r="DU904" s="1" t="s">
        <v>10331</v>
      </c>
      <c r="DV904" s="1" t="s">
        <v>450</v>
      </c>
      <c r="DW904" s="1" t="s">
        <v>233</v>
      </c>
      <c r="DX904" s="1" t="s">
        <v>234</v>
      </c>
      <c r="DY904" s="1" t="s">
        <v>1051</v>
      </c>
      <c r="DZ904" s="1" t="s">
        <v>310</v>
      </c>
      <c r="EA904" s="1" t="s">
        <v>3308</v>
      </c>
      <c r="EB904" s="1" t="s">
        <v>1639</v>
      </c>
      <c r="EC904" s="1" t="s">
        <v>237</v>
      </c>
      <c r="ED904" s="1" t="s">
        <v>407</v>
      </c>
      <c r="EE904" s="1" t="s">
        <v>493</v>
      </c>
      <c r="EG904" s="1" t="s">
        <v>450</v>
      </c>
      <c r="EL904" s="1" t="s">
        <v>783</v>
      </c>
      <c r="EM904" s="1" t="s">
        <v>42</v>
      </c>
      <c r="EQ904" s="1" t="s">
        <v>238</v>
      </c>
      <c r="EU904" s="1" t="s">
        <v>238</v>
      </c>
      <c r="EY904" s="1" t="s">
        <v>238</v>
      </c>
      <c r="FC904" s="1" t="s">
        <v>238</v>
      </c>
      <c r="FF904" s="1" t="s">
        <v>239</v>
      </c>
      <c r="FG904" s="1" t="s">
        <v>192</v>
      </c>
      <c r="FH904" s="1" t="s">
        <v>192</v>
      </c>
      <c r="FJ904" s="1" t="s">
        <v>4324</v>
      </c>
      <c r="FK904" s="1" t="s">
        <v>229</v>
      </c>
      <c r="FL904" s="1" t="s">
        <v>4325</v>
      </c>
      <c r="FM904" s="1">
        <v>209.0</v>
      </c>
      <c r="FN904" s="1" t="s">
        <v>4326</v>
      </c>
      <c r="FO904" s="1" t="s">
        <v>4327</v>
      </c>
      <c r="FP904" s="1">
        <v>29.0</v>
      </c>
      <c r="FQ904" s="1" t="s">
        <v>4328</v>
      </c>
      <c r="FU904" s="1" t="s">
        <v>10332</v>
      </c>
      <c r="FV904" s="1" t="s">
        <v>200</v>
      </c>
      <c r="FW904" s="1" t="s">
        <v>290</v>
      </c>
      <c r="FZ904" s="1" t="s">
        <v>229</v>
      </c>
      <c r="GA904" s="1" t="s">
        <v>291</v>
      </c>
      <c r="GB904" s="2">
        <v>41974.0</v>
      </c>
      <c r="GC904" s="1" t="s">
        <v>10333</v>
      </c>
    </row>
    <row r="905">
      <c r="A905" s="1">
        <v>323607.0</v>
      </c>
      <c r="B905" s="1" t="s">
        <v>185</v>
      </c>
      <c r="C905" s="1" t="str">
        <f>"08565591"</f>
        <v>08565591</v>
      </c>
      <c r="D905" s="1" t="s">
        <v>186</v>
      </c>
      <c r="F905" s="1" t="str">
        <f>"543"</f>
        <v>543</v>
      </c>
      <c r="G905" s="2">
        <v>41722.0</v>
      </c>
      <c r="H905" s="1">
        <v>326279.0</v>
      </c>
      <c r="I905" s="1">
        <v>115.0</v>
      </c>
      <c r="J905" s="1">
        <v>316279.0</v>
      </c>
      <c r="K905" s="2">
        <v>41836.0</v>
      </c>
      <c r="L905" s="1">
        <v>115.0</v>
      </c>
      <c r="M905" s="2">
        <v>41836.0</v>
      </c>
      <c r="N905" s="1" t="s">
        <v>187</v>
      </c>
      <c r="O905" s="2">
        <v>41990.0</v>
      </c>
      <c r="P905" s="1">
        <v>8384.0</v>
      </c>
      <c r="Q905" s="1">
        <v>49.0</v>
      </c>
      <c r="S905" s="1">
        <v>4822.0</v>
      </c>
      <c r="T905" s="1" t="s">
        <v>10334</v>
      </c>
      <c r="U905" s="1" t="s">
        <v>320</v>
      </c>
      <c r="V905" s="1" t="s">
        <v>1527</v>
      </c>
      <c r="W905" s="1">
        <v>60543.0</v>
      </c>
      <c r="Y905" s="1" t="s">
        <v>10308</v>
      </c>
      <c r="Z905" s="1">
        <v>2014.0</v>
      </c>
      <c r="AA905" s="1" t="s">
        <v>200</v>
      </c>
      <c r="AB905" s="1" t="s">
        <v>193</v>
      </c>
      <c r="AC905" s="1" t="s">
        <v>8934</v>
      </c>
      <c r="AD905" s="1" t="s">
        <v>1529</v>
      </c>
      <c r="AE905" s="1" t="s">
        <v>849</v>
      </c>
      <c r="AF905" s="1" t="s">
        <v>1529</v>
      </c>
      <c r="AG905" s="1" t="s">
        <v>10309</v>
      </c>
      <c r="AH905" s="1" t="s">
        <v>10310</v>
      </c>
      <c r="AK905" s="1">
        <v>11.0</v>
      </c>
      <c r="AL905" s="1">
        <v>4.0</v>
      </c>
      <c r="AM905" s="1">
        <v>2.0</v>
      </c>
      <c r="AN905" s="1">
        <v>1.0</v>
      </c>
      <c r="AO905" s="1" t="s">
        <v>198</v>
      </c>
      <c r="AQ905" s="1" t="s">
        <v>198</v>
      </c>
      <c r="AR905" s="1" t="s">
        <v>200</v>
      </c>
      <c r="AS905" s="1" t="s">
        <v>199</v>
      </c>
      <c r="AT905" s="1">
        <v>3.0</v>
      </c>
      <c r="AV905" s="1" t="s">
        <v>200</v>
      </c>
      <c r="AW905" s="1" t="s">
        <v>575</v>
      </c>
      <c r="AX905" s="1">
        <v>2012.0</v>
      </c>
      <c r="AZ905" s="1" t="s">
        <v>200</v>
      </c>
      <c r="BA905" s="1" t="str">
        <f>"0339400001"</f>
        <v>0339400001</v>
      </c>
      <c r="BC905" s="1">
        <v>3238.0</v>
      </c>
      <c r="BD905" s="1">
        <v>323607.0</v>
      </c>
      <c r="BE905" s="2">
        <v>41722.0</v>
      </c>
      <c r="BF905" s="2" t="s">
        <v>10335</v>
      </c>
      <c r="BG905" s="1" t="s">
        <v>8939</v>
      </c>
      <c r="BH905" s="1">
        <v>66.0</v>
      </c>
      <c r="BI905" s="1" t="s">
        <v>1533</v>
      </c>
      <c r="BJ905" s="1" t="s">
        <v>1349</v>
      </c>
      <c r="BK905" s="1" t="s">
        <v>474</v>
      </c>
      <c r="BL905" s="1" t="str">
        <f t="shared" ref="BL905:BM905" si="588">"0"</f>
        <v>0</v>
      </c>
      <c r="BM905" s="1" t="str">
        <f t="shared" si="588"/>
        <v>0</v>
      </c>
      <c r="BN905" s="1">
        <v>39.0</v>
      </c>
      <c r="BO905" s="1">
        <v>15.0</v>
      </c>
      <c r="BQ905" s="1">
        <v>308.0</v>
      </c>
      <c r="BR905" s="1">
        <v>308.0</v>
      </c>
      <c r="BS905" s="1">
        <v>308.0</v>
      </c>
      <c r="BU905" s="1" t="s">
        <v>331</v>
      </c>
      <c r="BV905" s="1" t="s">
        <v>206</v>
      </c>
      <c r="BW905" s="1" t="s">
        <v>210</v>
      </c>
      <c r="BY905" s="1" t="s">
        <v>2120</v>
      </c>
      <c r="BZ905" s="1" t="s">
        <v>209</v>
      </c>
      <c r="CA905" s="1" t="s">
        <v>210</v>
      </c>
      <c r="CC905" s="1" t="s">
        <v>331</v>
      </c>
      <c r="CD905" s="1" t="s">
        <v>206</v>
      </c>
      <c r="CE905" s="1" t="s">
        <v>210</v>
      </c>
      <c r="CG905" s="1" t="s">
        <v>1395</v>
      </c>
      <c r="CH905" s="1" t="s">
        <v>209</v>
      </c>
      <c r="CI905" s="1" t="s">
        <v>210</v>
      </c>
      <c r="CK905" s="1" t="s">
        <v>363</v>
      </c>
      <c r="CL905" s="1" t="s">
        <v>209</v>
      </c>
      <c r="CM905" s="1" t="s">
        <v>210</v>
      </c>
      <c r="CO905" s="1" t="s">
        <v>433</v>
      </c>
      <c r="CP905" s="1" t="s">
        <v>209</v>
      </c>
      <c r="CQ905" s="1" t="s">
        <v>210</v>
      </c>
      <c r="CS905" s="1" t="s">
        <v>1183</v>
      </c>
      <c r="CT905" s="1" t="s">
        <v>206</v>
      </c>
      <c r="CU905" s="1" t="s">
        <v>617</v>
      </c>
      <c r="CW905" s="1" t="s">
        <v>2120</v>
      </c>
      <c r="CX905" s="1" t="s">
        <v>206</v>
      </c>
      <c r="CY905" s="1" t="s">
        <v>210</v>
      </c>
      <c r="DA905" s="1" t="s">
        <v>192</v>
      </c>
      <c r="DB905" s="2">
        <v>41806.0</v>
      </c>
      <c r="DC905" s="1" t="s">
        <v>744</v>
      </c>
      <c r="DD905" s="1" t="s">
        <v>396</v>
      </c>
      <c r="DE905" s="1" t="s">
        <v>229</v>
      </c>
      <c r="DF905" s="1" t="s">
        <v>219</v>
      </c>
      <c r="DG905" s="1" t="s">
        <v>2379</v>
      </c>
      <c r="DH905" s="1" t="s">
        <v>220</v>
      </c>
      <c r="DI905" s="1" t="s">
        <v>1021</v>
      </c>
      <c r="DJ905" s="1" t="s">
        <v>1048</v>
      </c>
      <c r="DL905" s="1" t="s">
        <v>223</v>
      </c>
      <c r="DM905" s="1" t="s">
        <v>338</v>
      </c>
      <c r="DQ905" s="1" t="s">
        <v>228</v>
      </c>
      <c r="DR905" s="1" t="s">
        <v>1980</v>
      </c>
      <c r="DV905" s="1" t="s">
        <v>3022</v>
      </c>
      <c r="DW905" s="1" t="s">
        <v>233</v>
      </c>
      <c r="DX905" s="1" t="s">
        <v>234</v>
      </c>
      <c r="EA905" s="1" t="s">
        <v>344</v>
      </c>
      <c r="EC905" s="1" t="s">
        <v>237</v>
      </c>
      <c r="EG905" s="1" t="s">
        <v>557</v>
      </c>
      <c r="EH905" s="1" t="s">
        <v>556</v>
      </c>
      <c r="EI905" s="1" t="s">
        <v>494</v>
      </c>
      <c r="EL905" s="1" t="s">
        <v>878</v>
      </c>
      <c r="EM905" s="1" t="s">
        <v>209</v>
      </c>
      <c r="EN905" s="1" t="s">
        <v>210</v>
      </c>
      <c r="EP905" s="1" t="s">
        <v>1316</v>
      </c>
      <c r="EQ905" s="1" t="s">
        <v>206</v>
      </c>
      <c r="ER905" s="1" t="s">
        <v>617</v>
      </c>
      <c r="ET905" s="1" t="s">
        <v>2459</v>
      </c>
      <c r="EU905" s="1" t="s">
        <v>206</v>
      </c>
      <c r="EV905" s="1" t="s">
        <v>210</v>
      </c>
      <c r="EY905" s="1" t="s">
        <v>238</v>
      </c>
      <c r="FC905" s="1" t="s">
        <v>238</v>
      </c>
      <c r="FF905" s="1" t="s">
        <v>239</v>
      </c>
      <c r="FG905" s="1" t="s">
        <v>192</v>
      </c>
      <c r="FH905" s="1" t="s">
        <v>192</v>
      </c>
      <c r="FJ905" s="1" t="s">
        <v>10336</v>
      </c>
      <c r="FK905" s="1" t="s">
        <v>229</v>
      </c>
      <c r="FL905" s="1" t="s">
        <v>1358</v>
      </c>
      <c r="FM905" s="1">
        <v>23076.0</v>
      </c>
      <c r="FN905" s="1" t="s">
        <v>1359</v>
      </c>
      <c r="FO905" s="1" t="s">
        <v>10313</v>
      </c>
      <c r="FP905" s="1">
        <v>216120.0</v>
      </c>
      <c r="FQ905" s="1" t="s">
        <v>10314</v>
      </c>
      <c r="FT905" s="1" t="s">
        <v>10337</v>
      </c>
      <c r="FU905" s="1" t="s">
        <v>10338</v>
      </c>
      <c r="FV905" s="1" t="s">
        <v>200</v>
      </c>
      <c r="FW905" s="1" t="s">
        <v>10316</v>
      </c>
      <c r="FZ905" s="1" t="s">
        <v>229</v>
      </c>
      <c r="GA905" s="1" t="s">
        <v>247</v>
      </c>
      <c r="GB905" s="2">
        <v>41992.0</v>
      </c>
    </row>
    <row r="906">
      <c r="A906" s="1">
        <v>242500.0</v>
      </c>
      <c r="B906" s="1" t="s">
        <v>185</v>
      </c>
      <c r="C906" s="1" t="str">
        <f>"08561808"</f>
        <v>08561808</v>
      </c>
      <c r="D906" s="1" t="s">
        <v>186</v>
      </c>
      <c r="F906" s="1" t="str">
        <f>"123"</f>
        <v>123</v>
      </c>
      <c r="G906" s="2">
        <v>41717.0</v>
      </c>
      <c r="H906" s="1">
        <v>269900.0</v>
      </c>
      <c r="I906" s="1">
        <v>215.0</v>
      </c>
      <c r="J906" s="1">
        <v>255000.0</v>
      </c>
      <c r="K906" s="2">
        <v>41930.0</v>
      </c>
      <c r="L906" s="1">
        <v>215.0</v>
      </c>
      <c r="M906" s="2">
        <v>41930.0</v>
      </c>
      <c r="N906" s="1" t="s">
        <v>249</v>
      </c>
      <c r="O906" s="2">
        <v>42027.0</v>
      </c>
      <c r="P906" s="1">
        <v>51063.0</v>
      </c>
      <c r="Q906" s="1">
        <v>5170.0</v>
      </c>
      <c r="S906" s="1">
        <v>1111.0</v>
      </c>
      <c r="T906" s="1" t="s">
        <v>6524</v>
      </c>
      <c r="U906" s="1" t="s">
        <v>1174</v>
      </c>
      <c r="V906" s="1" t="s">
        <v>465</v>
      </c>
      <c r="W906" s="1">
        <v>60120.0</v>
      </c>
      <c r="Y906" s="1" t="s">
        <v>10339</v>
      </c>
      <c r="Z906" s="1">
        <v>1992.0</v>
      </c>
      <c r="AA906" s="1" t="s">
        <v>200</v>
      </c>
      <c r="AB906" s="1" t="s">
        <v>467</v>
      </c>
      <c r="AC906" s="1" t="s">
        <v>6396</v>
      </c>
      <c r="AD906" s="1" t="s">
        <v>469</v>
      </c>
      <c r="AE906" s="1" t="s">
        <v>195</v>
      </c>
      <c r="AF906" s="1" t="s">
        <v>469</v>
      </c>
      <c r="AH906" s="6">
        <v>9627.0</v>
      </c>
      <c r="AK906" s="1">
        <v>11.0</v>
      </c>
      <c r="AL906" s="1">
        <v>4.0</v>
      </c>
      <c r="AM906" s="1">
        <v>3.0</v>
      </c>
      <c r="AN906" s="1">
        <v>1.0</v>
      </c>
      <c r="AO906" s="1" t="s">
        <v>198</v>
      </c>
      <c r="AP906" s="1">
        <v>1.0</v>
      </c>
      <c r="AQ906" s="1" t="s">
        <v>327</v>
      </c>
      <c r="AR906" s="1" t="s">
        <v>192</v>
      </c>
      <c r="AS906" s="1" t="s">
        <v>199</v>
      </c>
      <c r="AT906" s="1">
        <v>2.0</v>
      </c>
      <c r="AV906" s="1" t="s">
        <v>200</v>
      </c>
      <c r="AW906" s="1">
        <v>8405.95</v>
      </c>
      <c r="AX906" s="1">
        <v>2012.0</v>
      </c>
      <c r="AY906" s="1" t="s">
        <v>387</v>
      </c>
      <c r="AZ906" s="1" t="s">
        <v>200</v>
      </c>
      <c r="BA906" s="1" t="str">
        <f>"06072090190000"</f>
        <v>06072090190000</v>
      </c>
      <c r="BB906" s="1" t="s">
        <v>200</v>
      </c>
      <c r="BC906" s="1">
        <v>3000.0</v>
      </c>
      <c r="BD906" s="1">
        <v>242500.0</v>
      </c>
      <c r="BE906" s="2">
        <v>41716.0</v>
      </c>
      <c r="BF906" s="2" t="s">
        <v>10340</v>
      </c>
      <c r="BG906" s="1" t="s">
        <v>2142</v>
      </c>
      <c r="BH906" s="1">
        <v>177.0</v>
      </c>
      <c r="BI906" s="1" t="s">
        <v>1242</v>
      </c>
      <c r="BJ906" s="1" t="s">
        <v>1243</v>
      </c>
      <c r="BK906" s="1" t="s">
        <v>580</v>
      </c>
      <c r="BL906" s="1" t="str">
        <f t="shared" ref="BL906:BM906" si="589">""</f>
        <v/>
      </c>
      <c r="BM906" s="1" t="str">
        <f t="shared" si="589"/>
        <v/>
      </c>
      <c r="BQ906" s="1">
        <v>46.0</v>
      </c>
      <c r="BR906" s="1">
        <v>46.0</v>
      </c>
      <c r="BS906" s="1">
        <v>46.0</v>
      </c>
      <c r="BU906" s="1" t="s">
        <v>3888</v>
      </c>
      <c r="BV906" s="1" t="s">
        <v>206</v>
      </c>
      <c r="BW906" s="1" t="s">
        <v>210</v>
      </c>
      <c r="BY906" s="1" t="s">
        <v>433</v>
      </c>
      <c r="BZ906" s="1" t="s">
        <v>209</v>
      </c>
      <c r="CA906" s="1" t="s">
        <v>210</v>
      </c>
      <c r="CC906" s="1" t="s">
        <v>542</v>
      </c>
      <c r="CD906" s="1" t="s">
        <v>206</v>
      </c>
      <c r="CE906" s="1" t="s">
        <v>210</v>
      </c>
      <c r="CG906" s="1" t="s">
        <v>215</v>
      </c>
      <c r="CH906" s="1" t="s">
        <v>209</v>
      </c>
      <c r="CI906" s="1" t="s">
        <v>210</v>
      </c>
      <c r="CK906" s="1" t="s">
        <v>264</v>
      </c>
      <c r="CL906" s="1" t="s">
        <v>209</v>
      </c>
      <c r="CM906" s="1" t="s">
        <v>210</v>
      </c>
      <c r="CO906" s="1" t="s">
        <v>264</v>
      </c>
      <c r="CP906" s="1" t="s">
        <v>209</v>
      </c>
      <c r="CQ906" s="1" t="s">
        <v>210</v>
      </c>
      <c r="CS906" s="1" t="s">
        <v>3045</v>
      </c>
      <c r="CT906" s="1" t="s">
        <v>206</v>
      </c>
      <c r="CU906" s="1" t="s">
        <v>268</v>
      </c>
      <c r="CW906" s="1" t="s">
        <v>454</v>
      </c>
      <c r="CX906" s="1" t="s">
        <v>206</v>
      </c>
      <c r="CY906" s="1" t="s">
        <v>210</v>
      </c>
      <c r="DA906" s="1" t="s">
        <v>200</v>
      </c>
      <c r="DC906" s="1" t="s">
        <v>435</v>
      </c>
      <c r="DD906" s="1" t="s">
        <v>436</v>
      </c>
      <c r="DE906" s="1" t="s">
        <v>273</v>
      </c>
      <c r="DF906" s="1" t="s">
        <v>219</v>
      </c>
      <c r="DG906" s="1" t="s">
        <v>10341</v>
      </c>
      <c r="DH906" s="1" t="s">
        <v>220</v>
      </c>
      <c r="DI906" s="1" t="s">
        <v>1223</v>
      </c>
      <c r="DJ906" s="1" t="s">
        <v>222</v>
      </c>
      <c r="DL906" s="1" t="s">
        <v>224</v>
      </c>
      <c r="DM906" s="1" t="s">
        <v>338</v>
      </c>
      <c r="DN906" s="1" t="s">
        <v>439</v>
      </c>
      <c r="DO906" s="1" t="s">
        <v>549</v>
      </c>
      <c r="DP906" s="1" t="s">
        <v>276</v>
      </c>
      <c r="DQ906" s="1" t="s">
        <v>228</v>
      </c>
      <c r="DR906" s="1" t="s">
        <v>588</v>
      </c>
      <c r="DS906" s="1" t="s">
        <v>230</v>
      </c>
      <c r="DU906" s="1" t="s">
        <v>10342</v>
      </c>
      <c r="DV906" s="1" t="s">
        <v>10343</v>
      </c>
      <c r="DW906" s="1" t="s">
        <v>233</v>
      </c>
      <c r="DX906" s="1" t="s">
        <v>234</v>
      </c>
      <c r="DY906" s="1" t="s">
        <v>1006</v>
      </c>
      <c r="DZ906" s="1" t="s">
        <v>1490</v>
      </c>
      <c r="EB906" s="1" t="s">
        <v>1639</v>
      </c>
      <c r="EC906" s="1" t="s">
        <v>237</v>
      </c>
      <c r="ED906" s="1" t="s">
        <v>555</v>
      </c>
      <c r="EE906" s="1" t="s">
        <v>493</v>
      </c>
      <c r="EG906" s="1" t="s">
        <v>494</v>
      </c>
      <c r="EH906" s="1" t="s">
        <v>598</v>
      </c>
      <c r="EI906" s="1" t="s">
        <v>1407</v>
      </c>
      <c r="EJ906" s="1" t="s">
        <v>408</v>
      </c>
      <c r="EL906" s="1" t="s">
        <v>363</v>
      </c>
      <c r="EM906" s="1" t="s">
        <v>206</v>
      </c>
      <c r="EN906" s="1" t="s">
        <v>301</v>
      </c>
      <c r="EP906" s="1" t="s">
        <v>363</v>
      </c>
      <c r="EQ906" s="1" t="s">
        <v>1697</v>
      </c>
      <c r="ER906" s="1" t="s">
        <v>210</v>
      </c>
      <c r="ET906" s="1" t="s">
        <v>1584</v>
      </c>
      <c r="EU906" s="1" t="s">
        <v>1697</v>
      </c>
      <c r="EV906" s="1" t="s">
        <v>617</v>
      </c>
      <c r="EX906" s="1" t="s">
        <v>4153</v>
      </c>
      <c r="EY906" s="1" t="s">
        <v>206</v>
      </c>
      <c r="EZ906" s="1" t="s">
        <v>268</v>
      </c>
      <c r="FC906" s="1" t="s">
        <v>238</v>
      </c>
      <c r="FF906" s="1" t="s">
        <v>239</v>
      </c>
      <c r="FG906" s="1" t="s">
        <v>192</v>
      </c>
      <c r="FH906" s="1" t="s">
        <v>192</v>
      </c>
      <c r="FJ906" s="1" t="s">
        <v>4471</v>
      </c>
      <c r="FK906" s="1" t="s">
        <v>229</v>
      </c>
      <c r="FL906" s="1" t="s">
        <v>10344</v>
      </c>
      <c r="FM906" s="1">
        <v>85115.0</v>
      </c>
      <c r="FN906" s="1" t="s">
        <v>10345</v>
      </c>
      <c r="FO906" s="1" t="s">
        <v>10346</v>
      </c>
      <c r="FP906" s="1">
        <v>168502.0</v>
      </c>
      <c r="FQ906" s="1" t="s">
        <v>10347</v>
      </c>
      <c r="FU906" s="1" t="s">
        <v>10348</v>
      </c>
      <c r="FV906" s="1" t="s">
        <v>200</v>
      </c>
      <c r="FW906" s="1" t="s">
        <v>290</v>
      </c>
      <c r="FZ906" s="1" t="s">
        <v>229</v>
      </c>
      <c r="GA906" s="1" t="s">
        <v>291</v>
      </c>
      <c r="GB906" s="2">
        <v>42028.0</v>
      </c>
    </row>
    <row r="907">
      <c r="A907" s="1">
        <v>976016.0</v>
      </c>
      <c r="B907" s="1" t="s">
        <v>185</v>
      </c>
      <c r="C907" s="1" t="str">
        <f>"08565185"</f>
        <v>08565185</v>
      </c>
      <c r="D907" s="1" t="s">
        <v>186</v>
      </c>
      <c r="F907" s="1" t="str">
        <f t="shared" ref="F907:F908" si="591">"10"</f>
        <v>10</v>
      </c>
      <c r="G907" s="2">
        <v>41721.0</v>
      </c>
      <c r="H907" s="1">
        <v>910749.0</v>
      </c>
      <c r="I907" s="1">
        <v>7.0</v>
      </c>
      <c r="J907" s="1">
        <v>910749.0</v>
      </c>
      <c r="K907" s="2">
        <v>41727.0</v>
      </c>
      <c r="L907" s="1">
        <v>7.0</v>
      </c>
      <c r="M907" s="2">
        <v>41727.0</v>
      </c>
      <c r="N907" s="1" t="s">
        <v>187</v>
      </c>
      <c r="O907" s="2">
        <v>42103.0</v>
      </c>
      <c r="P907" s="1">
        <v>62362.0</v>
      </c>
      <c r="Q907" s="1">
        <v>6076.0</v>
      </c>
      <c r="S907" s="1">
        <v>23190.0</v>
      </c>
      <c r="T907" s="1" t="s">
        <v>10349</v>
      </c>
      <c r="U907" s="1" t="s">
        <v>1174</v>
      </c>
      <c r="V907" s="1" t="s">
        <v>2004</v>
      </c>
      <c r="W907" s="1">
        <v>60010.0</v>
      </c>
      <c r="Y907" s="1" t="s">
        <v>10350</v>
      </c>
      <c r="Z907" s="1">
        <v>2015.0</v>
      </c>
      <c r="AA907" s="1" t="s">
        <v>200</v>
      </c>
      <c r="AB907" s="1" t="s">
        <v>467</v>
      </c>
      <c r="AC907" s="1" t="s">
        <v>10351</v>
      </c>
      <c r="AD907" s="1" t="s">
        <v>2007</v>
      </c>
      <c r="AE907" s="1" t="s">
        <v>917</v>
      </c>
      <c r="AF907" s="1" t="s">
        <v>2008</v>
      </c>
      <c r="AG907" s="1" t="s">
        <v>752</v>
      </c>
      <c r="AH907" s="1" t="s">
        <v>10352</v>
      </c>
      <c r="AI907" s="1">
        <v>1.439</v>
      </c>
      <c r="AK907" s="1">
        <v>11.0</v>
      </c>
      <c r="AL907" s="1">
        <v>4.0</v>
      </c>
      <c r="AM907" s="1">
        <v>4.0</v>
      </c>
      <c r="AN907" s="1">
        <v>0.0</v>
      </c>
      <c r="AO907" s="1" t="s">
        <v>198</v>
      </c>
      <c r="AP907" s="1">
        <v>1.0</v>
      </c>
      <c r="AQ907" s="1" t="s">
        <v>198</v>
      </c>
      <c r="AR907" s="1" t="s">
        <v>200</v>
      </c>
      <c r="AS907" s="1" t="s">
        <v>199</v>
      </c>
      <c r="AT907" s="1">
        <v>3.0</v>
      </c>
      <c r="AV907" s="1" t="s">
        <v>200</v>
      </c>
      <c r="AW907" s="1" t="s">
        <v>575</v>
      </c>
      <c r="AX907" s="1">
        <v>2012.0</v>
      </c>
      <c r="AZ907" s="1" t="s">
        <v>200</v>
      </c>
      <c r="BA907" s="1" t="str">
        <f>"13153040080000"</f>
        <v>13153040080000</v>
      </c>
      <c r="BB907" s="1" t="s">
        <v>200</v>
      </c>
      <c r="BC907" s="1">
        <v>4473.0</v>
      </c>
      <c r="BD907" s="1">
        <v>976016.0</v>
      </c>
      <c r="BE907" s="2">
        <v>41721.0</v>
      </c>
      <c r="BF907" s="2" t="s">
        <v>10353</v>
      </c>
      <c r="BG907" s="1" t="s">
        <v>10354</v>
      </c>
      <c r="BH907" s="1">
        <v>98.0</v>
      </c>
      <c r="BI907" s="1" t="s">
        <v>2012</v>
      </c>
      <c r="BJ907" s="1" t="s">
        <v>1714</v>
      </c>
      <c r="BK907" s="1" t="s">
        <v>474</v>
      </c>
      <c r="BL907" s="1" t="str">
        <f t="shared" ref="BL907:BM907" si="590">""</f>
        <v/>
      </c>
      <c r="BM907" s="1" t="str">
        <f t="shared" si="590"/>
        <v/>
      </c>
      <c r="BQ907" s="1">
        <v>220.0</v>
      </c>
      <c r="BR907" s="1">
        <v>220.0</v>
      </c>
      <c r="BS907" s="1">
        <v>220.0</v>
      </c>
      <c r="BU907" s="1" t="s">
        <v>212</v>
      </c>
      <c r="BV907" s="1" t="s">
        <v>206</v>
      </c>
      <c r="BW907" s="1" t="s">
        <v>207</v>
      </c>
      <c r="BY907" s="1" t="s">
        <v>854</v>
      </c>
      <c r="BZ907" s="1" t="s">
        <v>206</v>
      </c>
      <c r="CA907" s="1" t="s">
        <v>210</v>
      </c>
      <c r="CC907" s="1" t="s">
        <v>434</v>
      </c>
      <c r="CD907" s="1" t="s">
        <v>206</v>
      </c>
      <c r="CE907" s="1" t="s">
        <v>207</v>
      </c>
      <c r="CG907" s="1" t="s">
        <v>332</v>
      </c>
      <c r="CH907" s="1" t="s">
        <v>209</v>
      </c>
      <c r="CI907" s="1" t="s">
        <v>210</v>
      </c>
      <c r="CK907" s="1" t="s">
        <v>208</v>
      </c>
      <c r="CL907" s="1" t="s">
        <v>209</v>
      </c>
      <c r="CM907" s="1" t="s">
        <v>210</v>
      </c>
      <c r="CO907" s="1" t="s">
        <v>362</v>
      </c>
      <c r="CP907" s="1" t="s">
        <v>209</v>
      </c>
      <c r="CQ907" s="1" t="s">
        <v>210</v>
      </c>
      <c r="CS907" s="1" t="s">
        <v>2224</v>
      </c>
      <c r="CT907" s="1" t="s">
        <v>206</v>
      </c>
      <c r="CU907" s="1" t="s">
        <v>207</v>
      </c>
      <c r="CX907" s="1" t="s">
        <v>204</v>
      </c>
      <c r="DA907" s="1" t="s">
        <v>192</v>
      </c>
      <c r="DB907" s="2">
        <v>42082.0</v>
      </c>
      <c r="DC907" s="1" t="s">
        <v>585</v>
      </c>
      <c r="DD907" s="1" t="s">
        <v>1484</v>
      </c>
      <c r="DE907" s="1" t="s">
        <v>218</v>
      </c>
      <c r="DF907" s="1" t="s">
        <v>745</v>
      </c>
      <c r="DG907" s="1" t="s">
        <v>547</v>
      </c>
      <c r="DH907" s="1" t="s">
        <v>856</v>
      </c>
      <c r="DI907" s="1" t="s">
        <v>483</v>
      </c>
      <c r="DJ907" s="1" t="s">
        <v>857</v>
      </c>
      <c r="DL907" s="1" t="s">
        <v>223</v>
      </c>
      <c r="DM907" s="1" t="s">
        <v>338</v>
      </c>
      <c r="DN907" s="1" t="s">
        <v>485</v>
      </c>
      <c r="DP907" s="1" t="s">
        <v>340</v>
      </c>
      <c r="DQ907" s="1" t="s">
        <v>931</v>
      </c>
      <c r="DR907" s="1" t="s">
        <v>588</v>
      </c>
      <c r="DS907" s="1" t="s">
        <v>591</v>
      </c>
      <c r="DV907" s="1" t="s">
        <v>10355</v>
      </c>
      <c r="DW907" s="1" t="s">
        <v>1026</v>
      </c>
      <c r="DX907" s="1" t="s">
        <v>234</v>
      </c>
      <c r="DY907" s="1" t="s">
        <v>2803</v>
      </c>
      <c r="DZ907" s="1" t="s">
        <v>282</v>
      </c>
      <c r="EB907" s="1" t="s">
        <v>345</v>
      </c>
      <c r="EC907" s="1" t="s">
        <v>237</v>
      </c>
      <c r="ED907" s="1" t="s">
        <v>407</v>
      </c>
      <c r="EG907" s="1" t="s">
        <v>1961</v>
      </c>
      <c r="EH907" s="1" t="s">
        <v>556</v>
      </c>
      <c r="EI907" s="1" t="s">
        <v>720</v>
      </c>
      <c r="EJ907" s="1" t="s">
        <v>1164</v>
      </c>
      <c r="EK907" s="1" t="s">
        <v>408</v>
      </c>
      <c r="EL907" s="1" t="s">
        <v>743</v>
      </c>
      <c r="EM907" s="1" t="s">
        <v>206</v>
      </c>
      <c r="EN907" s="1" t="s">
        <v>207</v>
      </c>
      <c r="EP907" s="1" t="s">
        <v>3054</v>
      </c>
      <c r="EQ907" s="1" t="s">
        <v>206</v>
      </c>
      <c r="ER907" s="1" t="s">
        <v>207</v>
      </c>
      <c r="ET907" s="1" t="s">
        <v>3702</v>
      </c>
      <c r="EU907" s="1" t="s">
        <v>206</v>
      </c>
      <c r="EV907" s="1" t="s">
        <v>268</v>
      </c>
      <c r="EX907" s="1" t="s">
        <v>3538</v>
      </c>
      <c r="EY907" s="1" t="s">
        <v>206</v>
      </c>
      <c r="EZ907" s="1" t="s">
        <v>207</v>
      </c>
      <c r="FB907" s="1" t="s">
        <v>363</v>
      </c>
      <c r="FC907" s="1" t="s">
        <v>206</v>
      </c>
      <c r="FD907" s="1" t="s">
        <v>207</v>
      </c>
      <c r="FF907" s="1" t="s">
        <v>239</v>
      </c>
      <c r="FG907" s="1" t="s">
        <v>192</v>
      </c>
      <c r="FH907" s="1" t="s">
        <v>192</v>
      </c>
      <c r="FJ907" s="1" t="s">
        <v>10356</v>
      </c>
      <c r="FK907" s="1" t="s">
        <v>229</v>
      </c>
      <c r="FL907" s="1" t="s">
        <v>10357</v>
      </c>
      <c r="FM907" s="1">
        <v>4555.0</v>
      </c>
      <c r="FN907" s="1" t="s">
        <v>10358</v>
      </c>
      <c r="FO907" s="1" t="s">
        <v>10359</v>
      </c>
      <c r="FP907" s="1">
        <v>112313.0</v>
      </c>
      <c r="FQ907" s="1" t="s">
        <v>10360</v>
      </c>
      <c r="FR907" s="1">
        <v>122109.0</v>
      </c>
      <c r="FU907" s="1" t="s">
        <v>10361</v>
      </c>
      <c r="FV907" s="1" t="s">
        <v>200</v>
      </c>
      <c r="FW907" s="1" t="s">
        <v>290</v>
      </c>
      <c r="FZ907" s="1" t="s">
        <v>229</v>
      </c>
      <c r="GA907" s="1" t="s">
        <v>291</v>
      </c>
      <c r="GB907" s="2">
        <v>42104.0</v>
      </c>
      <c r="GC907" s="1" t="s">
        <v>10362</v>
      </c>
    </row>
    <row r="908">
      <c r="A908" s="1">
        <v>807801.0</v>
      </c>
      <c r="B908" s="1" t="s">
        <v>185</v>
      </c>
      <c r="C908" s="1" t="str">
        <f>"08565132"</f>
        <v>08565132</v>
      </c>
      <c r="D908" s="1" t="s">
        <v>186</v>
      </c>
      <c r="F908" s="1" t="str">
        <f t="shared" si="591"/>
        <v>10</v>
      </c>
      <c r="G908" s="2">
        <v>41721.0</v>
      </c>
      <c r="H908" s="1">
        <v>744900.0</v>
      </c>
      <c r="I908" s="1">
        <v>1.0</v>
      </c>
      <c r="J908" s="1">
        <v>744900.0</v>
      </c>
      <c r="K908" s="2">
        <v>41721.0</v>
      </c>
      <c r="L908" s="1">
        <v>1.0</v>
      </c>
      <c r="M908" s="2">
        <v>41721.0</v>
      </c>
      <c r="N908" s="1" t="s">
        <v>249</v>
      </c>
      <c r="O908" s="2">
        <v>42132.0</v>
      </c>
      <c r="P908" s="1">
        <v>62152.0</v>
      </c>
      <c r="Q908" s="1">
        <v>6026.0</v>
      </c>
      <c r="S908" s="1">
        <v>27825.0</v>
      </c>
      <c r="T908" s="1" t="s">
        <v>10363</v>
      </c>
      <c r="U908" s="1" t="s">
        <v>1015</v>
      </c>
      <c r="V908" s="1" t="s">
        <v>2004</v>
      </c>
      <c r="W908" s="1">
        <v>60010.0</v>
      </c>
      <c r="Y908" s="1" t="s">
        <v>10350</v>
      </c>
      <c r="Z908" s="1">
        <v>2014.0</v>
      </c>
      <c r="AA908" s="1" t="s">
        <v>200</v>
      </c>
      <c r="AB908" s="1" t="s">
        <v>467</v>
      </c>
      <c r="AC908" s="1" t="s">
        <v>10351</v>
      </c>
      <c r="AD908" s="1" t="s">
        <v>2007</v>
      </c>
      <c r="AE908" s="1" t="s">
        <v>917</v>
      </c>
      <c r="AF908" s="1" t="s">
        <v>2008</v>
      </c>
      <c r="AG908" s="1" t="s">
        <v>10364</v>
      </c>
      <c r="AH908" s="1" t="s">
        <v>10365</v>
      </c>
      <c r="AI908" s="1">
        <v>1.563</v>
      </c>
      <c r="AK908" s="1">
        <v>10.0</v>
      </c>
      <c r="AL908" s="1">
        <v>4.0</v>
      </c>
      <c r="AM908" s="1">
        <v>3.0</v>
      </c>
      <c r="AN908" s="1">
        <v>1.0</v>
      </c>
      <c r="AO908" s="1" t="s">
        <v>198</v>
      </c>
      <c r="AP908" s="1">
        <v>1.0</v>
      </c>
      <c r="AQ908" s="1" t="s">
        <v>198</v>
      </c>
      <c r="AR908" s="1" t="s">
        <v>200</v>
      </c>
      <c r="AS908" s="1" t="s">
        <v>199</v>
      </c>
      <c r="AT908" s="1">
        <v>3.0</v>
      </c>
      <c r="AV908" s="1" t="s">
        <v>200</v>
      </c>
      <c r="AW908" s="1" t="s">
        <v>575</v>
      </c>
      <c r="AX908" s="1">
        <v>2012.0</v>
      </c>
      <c r="AZ908" s="1" t="s">
        <v>200</v>
      </c>
      <c r="BA908" s="1" t="str">
        <f>"13153020190000"</f>
        <v>13153020190000</v>
      </c>
      <c r="BB908" s="1" t="s">
        <v>200</v>
      </c>
      <c r="BC908" s="1">
        <v>3900.0</v>
      </c>
      <c r="BD908" s="1">
        <v>807801.0</v>
      </c>
      <c r="BE908" s="2">
        <v>41721.0</v>
      </c>
      <c r="BF908" s="2" t="s">
        <v>10366</v>
      </c>
      <c r="BG908" s="1" t="s">
        <v>10354</v>
      </c>
      <c r="BH908" s="1">
        <v>98.0</v>
      </c>
      <c r="BI908" s="1" t="s">
        <v>2012</v>
      </c>
      <c r="BJ908" s="1" t="s">
        <v>1714</v>
      </c>
      <c r="BK908" s="1" t="s">
        <v>474</v>
      </c>
      <c r="BL908" s="1" t="str">
        <f t="shared" ref="BL908:BM908" si="592">""</f>
        <v/>
      </c>
      <c r="BM908" s="1" t="str">
        <f t="shared" si="592"/>
        <v/>
      </c>
      <c r="BQ908" s="1">
        <v>220.0</v>
      </c>
      <c r="BR908" s="1">
        <v>220.0</v>
      </c>
      <c r="BS908" s="1">
        <v>220.0</v>
      </c>
      <c r="BU908" s="1" t="s">
        <v>584</v>
      </c>
      <c r="BV908" s="1" t="s">
        <v>206</v>
      </c>
      <c r="BW908" s="1" t="s">
        <v>207</v>
      </c>
      <c r="BY908" s="1" t="s">
        <v>1299</v>
      </c>
      <c r="BZ908" s="1" t="s">
        <v>206</v>
      </c>
      <c r="CA908" s="1" t="s">
        <v>210</v>
      </c>
      <c r="CC908" s="1" t="s">
        <v>1068</v>
      </c>
      <c r="CD908" s="1" t="s">
        <v>206</v>
      </c>
      <c r="CE908" s="1" t="s">
        <v>207</v>
      </c>
      <c r="CG908" s="1" t="s">
        <v>584</v>
      </c>
      <c r="CH908" s="1" t="s">
        <v>209</v>
      </c>
      <c r="CI908" s="1" t="s">
        <v>210</v>
      </c>
      <c r="CK908" s="1" t="s">
        <v>584</v>
      </c>
      <c r="CL908" s="1" t="s">
        <v>209</v>
      </c>
      <c r="CM908" s="1" t="s">
        <v>210</v>
      </c>
      <c r="CO908" s="1" t="s">
        <v>329</v>
      </c>
      <c r="CP908" s="1" t="s">
        <v>209</v>
      </c>
      <c r="CQ908" s="1" t="s">
        <v>210</v>
      </c>
      <c r="CS908" s="1" t="s">
        <v>677</v>
      </c>
      <c r="CT908" s="1" t="s">
        <v>206</v>
      </c>
      <c r="CU908" s="1" t="s">
        <v>207</v>
      </c>
      <c r="CW908" s="1" t="s">
        <v>3538</v>
      </c>
      <c r="CX908" s="1" t="s">
        <v>206</v>
      </c>
      <c r="CY908" s="1" t="s">
        <v>207</v>
      </c>
      <c r="DA908" s="1" t="s">
        <v>192</v>
      </c>
      <c r="DB908" s="2">
        <v>42086.0</v>
      </c>
      <c r="DC908" s="1" t="s">
        <v>585</v>
      </c>
      <c r="DD908" s="1" t="s">
        <v>1484</v>
      </c>
      <c r="DE908" s="1" t="s">
        <v>218</v>
      </c>
      <c r="DF908" s="1" t="s">
        <v>745</v>
      </c>
      <c r="DG908" s="1" t="s">
        <v>547</v>
      </c>
      <c r="DH908" s="1" t="s">
        <v>856</v>
      </c>
      <c r="DI908" s="1" t="s">
        <v>10367</v>
      </c>
      <c r="DJ908" s="1" t="s">
        <v>857</v>
      </c>
      <c r="DL908" s="1" t="s">
        <v>223</v>
      </c>
      <c r="DM908" s="1" t="s">
        <v>338</v>
      </c>
      <c r="DN908" s="1" t="s">
        <v>485</v>
      </c>
      <c r="DP908" s="1" t="s">
        <v>340</v>
      </c>
      <c r="DQ908" s="1" t="s">
        <v>931</v>
      </c>
      <c r="DR908" s="1" t="s">
        <v>588</v>
      </c>
      <c r="DS908" s="1" t="s">
        <v>591</v>
      </c>
      <c r="DT908" s="1" t="s">
        <v>10368</v>
      </c>
      <c r="DV908" s="1" t="s">
        <v>10369</v>
      </c>
      <c r="DW908" s="1" t="s">
        <v>1026</v>
      </c>
      <c r="DX908" s="1" t="s">
        <v>234</v>
      </c>
      <c r="DY908" s="1" t="s">
        <v>7854</v>
      </c>
      <c r="DZ908" s="1" t="s">
        <v>282</v>
      </c>
      <c r="EB908" s="1" t="s">
        <v>345</v>
      </c>
      <c r="EC908" s="1" t="s">
        <v>237</v>
      </c>
      <c r="ED908" s="1" t="s">
        <v>407</v>
      </c>
      <c r="EG908" s="1" t="s">
        <v>1961</v>
      </c>
      <c r="EH908" s="1" t="s">
        <v>556</v>
      </c>
      <c r="EI908" s="1" t="s">
        <v>720</v>
      </c>
      <c r="EL908" s="1" t="s">
        <v>1064</v>
      </c>
      <c r="EM908" s="1" t="s">
        <v>206</v>
      </c>
      <c r="EN908" s="1" t="s">
        <v>207</v>
      </c>
      <c r="EP908" s="1" t="s">
        <v>1183</v>
      </c>
      <c r="EQ908" s="1" t="s">
        <v>206</v>
      </c>
      <c r="ER908" s="1" t="s">
        <v>207</v>
      </c>
      <c r="ET908" s="1" t="s">
        <v>2425</v>
      </c>
      <c r="EU908" s="1" t="s">
        <v>206</v>
      </c>
      <c r="EV908" s="1" t="s">
        <v>268</v>
      </c>
      <c r="EY908" s="1" t="s">
        <v>238</v>
      </c>
      <c r="FC908" s="1" t="s">
        <v>238</v>
      </c>
      <c r="FF908" s="1" t="s">
        <v>239</v>
      </c>
      <c r="FG908" s="1" t="s">
        <v>192</v>
      </c>
      <c r="FH908" s="1" t="s">
        <v>192</v>
      </c>
      <c r="FJ908" s="1" t="s">
        <v>10370</v>
      </c>
      <c r="FK908" s="1" t="s">
        <v>229</v>
      </c>
      <c r="FL908" s="1" t="s">
        <v>10357</v>
      </c>
      <c r="FM908" s="1">
        <v>85267.0</v>
      </c>
      <c r="FN908" s="1" t="s">
        <v>10358</v>
      </c>
      <c r="FO908" s="1" t="s">
        <v>10371</v>
      </c>
      <c r="FP908" s="1">
        <v>122109.0</v>
      </c>
      <c r="FQ908" s="1" t="s">
        <v>10372</v>
      </c>
      <c r="FR908" s="1">
        <v>112313.0</v>
      </c>
      <c r="FU908" s="1" t="s">
        <v>10373</v>
      </c>
      <c r="FV908" s="1" t="s">
        <v>200</v>
      </c>
      <c r="FW908" s="1" t="s">
        <v>290</v>
      </c>
      <c r="FZ908" s="1" t="s">
        <v>229</v>
      </c>
      <c r="GA908" s="1" t="s">
        <v>291</v>
      </c>
      <c r="GB908" s="2">
        <v>42135.0</v>
      </c>
      <c r="GC908" s="1" t="s">
        <v>10374</v>
      </c>
    </row>
    <row r="909">
      <c r="A909" s="1">
        <v>40000.0</v>
      </c>
      <c r="B909" s="1" t="s">
        <v>185</v>
      </c>
      <c r="C909" s="1" t="str">
        <f>"08556926"</f>
        <v>08556926</v>
      </c>
      <c r="D909" s="1" t="s">
        <v>186</v>
      </c>
      <c r="F909" s="1" t="str">
        <f>"8043"</f>
        <v>8043</v>
      </c>
      <c r="G909" s="2">
        <v>41711.0</v>
      </c>
      <c r="H909" s="1">
        <v>60000.0</v>
      </c>
      <c r="I909" s="1">
        <v>350.0</v>
      </c>
      <c r="J909" s="1">
        <v>60000.0</v>
      </c>
      <c r="K909" s="2">
        <v>42060.0</v>
      </c>
      <c r="L909" s="1">
        <v>350.0</v>
      </c>
      <c r="M909" s="2">
        <v>42060.0</v>
      </c>
      <c r="N909" s="1" t="s">
        <v>249</v>
      </c>
      <c r="O909" s="2">
        <v>42115.0</v>
      </c>
      <c r="P909" s="1">
        <v>861564.0</v>
      </c>
      <c r="Q909" s="1">
        <v>84627.0</v>
      </c>
      <c r="S909" s="1">
        <v>7631.0</v>
      </c>
      <c r="T909" s="1" t="s">
        <v>10375</v>
      </c>
      <c r="U909" s="1" t="s">
        <v>189</v>
      </c>
      <c r="V909" s="1" t="s">
        <v>190</v>
      </c>
      <c r="W909" s="1">
        <v>60649.0</v>
      </c>
      <c r="Y909" s="1" t="s">
        <v>10376</v>
      </c>
      <c r="Z909" s="1">
        <v>1919.0</v>
      </c>
      <c r="AA909" s="1" t="s">
        <v>192</v>
      </c>
      <c r="AB909" s="1" t="s">
        <v>193</v>
      </c>
      <c r="AD909" s="1" t="s">
        <v>194</v>
      </c>
      <c r="AE909" s="1" t="s">
        <v>195</v>
      </c>
      <c r="AF909" s="1" t="s">
        <v>1154</v>
      </c>
      <c r="AH909" s="1" t="s">
        <v>10377</v>
      </c>
      <c r="AI909" s="1">
        <v>0.0</v>
      </c>
      <c r="AK909" s="1">
        <v>7.0</v>
      </c>
      <c r="AL909" s="1">
        <v>4.0</v>
      </c>
      <c r="AM909" s="1">
        <v>2.0</v>
      </c>
      <c r="AN909" s="1">
        <v>1.0</v>
      </c>
      <c r="AO909" s="1" t="s">
        <v>229</v>
      </c>
      <c r="AP909" s="1">
        <v>1.0</v>
      </c>
      <c r="AQ909" s="1" t="s">
        <v>198</v>
      </c>
      <c r="AR909" s="1" t="s">
        <v>192</v>
      </c>
      <c r="AS909" s="1" t="s">
        <v>199</v>
      </c>
      <c r="AT909" s="1">
        <v>2.0</v>
      </c>
      <c r="AV909" s="1" t="s">
        <v>200</v>
      </c>
      <c r="AW909" s="1">
        <v>2768.0</v>
      </c>
      <c r="AX909" s="1">
        <v>2012.0</v>
      </c>
      <c r="AZ909" s="1" t="s">
        <v>200</v>
      </c>
      <c r="BA909" s="1" t="str">
        <f>"20254150090000"</f>
        <v>20254150090000</v>
      </c>
      <c r="BB909" s="1" t="s">
        <v>200</v>
      </c>
      <c r="BC909" s="1">
        <v>2000.0</v>
      </c>
      <c r="BD909" s="1">
        <v>40000.0</v>
      </c>
      <c r="BE909" s="2">
        <v>41711.0</v>
      </c>
      <c r="BF909" s="1" t="s">
        <v>10378</v>
      </c>
      <c r="BH909" s="1">
        <v>0.0</v>
      </c>
      <c r="BK909" s="1" t="s">
        <v>204</v>
      </c>
      <c r="BL909" s="1" t="str">
        <f t="shared" ref="BL909:BL910" si="593">"0"</f>
        <v>0</v>
      </c>
      <c r="BM909" s="1" t="str">
        <f>"2332"</f>
        <v>2332</v>
      </c>
      <c r="BN909" s="1">
        <v>0.0</v>
      </c>
      <c r="BO909" s="1">
        <v>7600.0</v>
      </c>
      <c r="BQ909" s="1">
        <v>299.0</v>
      </c>
      <c r="BR909" s="1">
        <v>299.0</v>
      </c>
      <c r="BS909" s="1">
        <v>299.0</v>
      </c>
      <c r="BU909" s="1" t="s">
        <v>3415</v>
      </c>
      <c r="BV909" s="1" t="s">
        <v>206</v>
      </c>
      <c r="BW909" s="1" t="s">
        <v>207</v>
      </c>
      <c r="BX909" s="1" t="s">
        <v>229</v>
      </c>
      <c r="BY909" s="1" t="s">
        <v>543</v>
      </c>
      <c r="BZ909" s="1" t="s">
        <v>206</v>
      </c>
      <c r="CA909" s="1" t="s">
        <v>207</v>
      </c>
      <c r="CC909" s="1" t="s">
        <v>264</v>
      </c>
      <c r="CD909" s="1" t="s">
        <v>206</v>
      </c>
      <c r="CE909" s="1" t="s">
        <v>207</v>
      </c>
      <c r="CF909" s="1" t="s">
        <v>229</v>
      </c>
      <c r="CG909" s="1" t="s">
        <v>647</v>
      </c>
      <c r="CH909" s="1" t="s">
        <v>209</v>
      </c>
      <c r="CI909" s="1" t="s">
        <v>210</v>
      </c>
      <c r="CK909" s="1" t="s">
        <v>814</v>
      </c>
      <c r="CL909" s="1" t="s">
        <v>209</v>
      </c>
      <c r="CM909" s="1" t="s">
        <v>210</v>
      </c>
      <c r="CO909" s="1" t="s">
        <v>375</v>
      </c>
      <c r="CP909" s="1" t="s">
        <v>209</v>
      </c>
      <c r="CQ909" s="1" t="s">
        <v>210</v>
      </c>
      <c r="CS909" s="1" t="s">
        <v>495</v>
      </c>
      <c r="CT909" s="1" t="s">
        <v>206</v>
      </c>
      <c r="CU909" s="1" t="s">
        <v>617</v>
      </c>
      <c r="CX909" s="1" t="s">
        <v>204</v>
      </c>
      <c r="DA909" s="1" t="s">
        <v>200</v>
      </c>
      <c r="DC909" s="1" t="s">
        <v>216</v>
      </c>
      <c r="DD909" s="1" t="s">
        <v>618</v>
      </c>
      <c r="DE909" s="1" t="s">
        <v>229</v>
      </c>
      <c r="DF909" s="1" t="s">
        <v>4086</v>
      </c>
      <c r="DH909" s="1" t="s">
        <v>365</v>
      </c>
      <c r="DI909" s="1" t="s">
        <v>6629</v>
      </c>
      <c r="DJ909" s="1" t="s">
        <v>588</v>
      </c>
      <c r="DL909" s="1" t="s">
        <v>224</v>
      </c>
      <c r="DM909" s="1" t="s">
        <v>229</v>
      </c>
      <c r="DP909" s="1" t="s">
        <v>340</v>
      </c>
      <c r="DQ909" s="1" t="s">
        <v>228</v>
      </c>
      <c r="DR909" s="1" t="s">
        <v>229</v>
      </c>
      <c r="DS909" s="1" t="s">
        <v>230</v>
      </c>
      <c r="DV909" s="1" t="s">
        <v>232</v>
      </c>
      <c r="DW909" s="1" t="s">
        <v>279</v>
      </c>
      <c r="DX909" s="1" t="s">
        <v>234</v>
      </c>
      <c r="EA909" s="1" t="s">
        <v>644</v>
      </c>
      <c r="EC909" s="1" t="s">
        <v>237</v>
      </c>
      <c r="EM909" s="1" t="s">
        <v>238</v>
      </c>
      <c r="EQ909" s="1" t="s">
        <v>238</v>
      </c>
      <c r="EU909" s="1" t="s">
        <v>238</v>
      </c>
      <c r="EY909" s="1" t="s">
        <v>238</v>
      </c>
      <c r="FC909" s="1" t="s">
        <v>238</v>
      </c>
      <c r="FF909" s="1" t="s">
        <v>239</v>
      </c>
      <c r="FG909" s="1" t="s">
        <v>192</v>
      </c>
      <c r="FH909" s="1" t="s">
        <v>200</v>
      </c>
      <c r="FJ909" s="1" t="s">
        <v>2552</v>
      </c>
      <c r="FK909" s="1" t="s">
        <v>1586</v>
      </c>
      <c r="FL909" s="1" t="s">
        <v>2718</v>
      </c>
      <c r="FM909" s="1">
        <v>61080.0</v>
      </c>
      <c r="FN909" s="1" t="s">
        <v>2719</v>
      </c>
      <c r="FO909" s="1" t="s">
        <v>2720</v>
      </c>
      <c r="FP909" s="1">
        <v>506455.0</v>
      </c>
      <c r="FQ909" s="1" t="s">
        <v>2721</v>
      </c>
      <c r="FU909" s="1" t="s">
        <v>10379</v>
      </c>
      <c r="FV909" s="1" t="s">
        <v>200</v>
      </c>
      <c r="FW909" s="1" t="s">
        <v>567</v>
      </c>
      <c r="FX909" s="1" t="s">
        <v>655</v>
      </c>
      <c r="FZ909" s="1" t="s">
        <v>229</v>
      </c>
      <c r="GA909" s="1" t="s">
        <v>291</v>
      </c>
      <c r="GB909" s="2">
        <v>42117.0</v>
      </c>
      <c r="GC909" s="1" t="s">
        <v>3170</v>
      </c>
    </row>
    <row r="910">
      <c r="A910" s="1">
        <v>240720.0</v>
      </c>
      <c r="B910" s="1" t="s">
        <v>185</v>
      </c>
      <c r="C910" s="1" t="str">
        <f>"08560291"</f>
        <v>08560291</v>
      </c>
      <c r="D910" s="1" t="s">
        <v>186</v>
      </c>
      <c r="F910" s="1" t="str">
        <f>"543"</f>
        <v>543</v>
      </c>
      <c r="G910" s="2">
        <v>41715.0</v>
      </c>
      <c r="H910" s="1">
        <v>229495.0</v>
      </c>
      <c r="I910" s="1">
        <v>111.0</v>
      </c>
      <c r="J910" s="1">
        <v>229495.0</v>
      </c>
      <c r="K910" s="2">
        <v>41715.0</v>
      </c>
      <c r="L910" s="1">
        <v>1.0</v>
      </c>
      <c r="M910" s="2">
        <v>41715.0</v>
      </c>
      <c r="N910" s="1" t="s">
        <v>187</v>
      </c>
      <c r="O910" s="2">
        <v>41978.0</v>
      </c>
      <c r="P910" s="1">
        <v>99999.0</v>
      </c>
      <c r="Q910" s="1" t="s">
        <v>947</v>
      </c>
      <c r="S910" s="1">
        <v>4211.0</v>
      </c>
      <c r="T910" s="1" t="s">
        <v>10380</v>
      </c>
      <c r="U910" s="1" t="s">
        <v>569</v>
      </c>
      <c r="V910" s="1" t="s">
        <v>1527</v>
      </c>
      <c r="W910" s="1">
        <v>60543.0</v>
      </c>
      <c r="Y910" s="1" t="s">
        <v>10308</v>
      </c>
      <c r="Z910" s="1">
        <v>2013.0</v>
      </c>
      <c r="AA910" s="1" t="s">
        <v>200</v>
      </c>
      <c r="AB910" s="1" t="s">
        <v>193</v>
      </c>
      <c r="AC910" s="1" t="s">
        <v>8934</v>
      </c>
      <c r="AD910" s="1" t="s">
        <v>1529</v>
      </c>
      <c r="AE910" s="1" t="s">
        <v>849</v>
      </c>
      <c r="AF910" s="1" t="s">
        <v>1529</v>
      </c>
      <c r="AG910" s="1" t="s">
        <v>8936</v>
      </c>
      <c r="AH910" s="1" t="s">
        <v>10310</v>
      </c>
      <c r="AK910" s="1">
        <v>10.0</v>
      </c>
      <c r="AL910" s="1">
        <v>4.0</v>
      </c>
      <c r="AM910" s="1">
        <v>2.0</v>
      </c>
      <c r="AN910" s="1">
        <v>1.0</v>
      </c>
      <c r="AO910" s="1" t="s">
        <v>198</v>
      </c>
      <c r="AQ910" s="1" t="s">
        <v>1314</v>
      </c>
      <c r="AR910" s="1" t="s">
        <v>200</v>
      </c>
      <c r="AS910" s="1" t="s">
        <v>199</v>
      </c>
      <c r="AT910" s="1">
        <v>2.0</v>
      </c>
      <c r="AV910" s="1" t="s">
        <v>200</v>
      </c>
      <c r="AW910" s="1" t="s">
        <v>575</v>
      </c>
      <c r="AX910" s="1">
        <v>2012.0</v>
      </c>
      <c r="AZ910" s="1" t="s">
        <v>200</v>
      </c>
      <c r="BA910" s="1" t="str">
        <f>"0339400001"</f>
        <v>0339400001</v>
      </c>
      <c r="BC910" s="1">
        <v>2638.0</v>
      </c>
      <c r="BD910" s="1">
        <v>240720.0</v>
      </c>
      <c r="BE910" s="2">
        <v>41715.0</v>
      </c>
      <c r="BF910" s="2" t="s">
        <v>10381</v>
      </c>
      <c r="BG910" s="1" t="s">
        <v>8939</v>
      </c>
      <c r="BH910" s="1">
        <v>66.0</v>
      </c>
      <c r="BI910" s="1" t="s">
        <v>1533</v>
      </c>
      <c r="BJ910" s="1" t="s">
        <v>1349</v>
      </c>
      <c r="BK910" s="1" t="s">
        <v>474</v>
      </c>
      <c r="BL910" s="1" t="str">
        <f t="shared" si="593"/>
        <v>0</v>
      </c>
      <c r="BM910" s="1" t="str">
        <f>"0"</f>
        <v>0</v>
      </c>
      <c r="BN910" s="1">
        <v>39.0</v>
      </c>
      <c r="BO910" s="1">
        <v>15.0</v>
      </c>
      <c r="BQ910" s="1">
        <v>308.0</v>
      </c>
      <c r="BR910" s="1">
        <v>308.0</v>
      </c>
      <c r="BS910" s="1">
        <v>308.0</v>
      </c>
      <c r="BU910" s="1" t="s">
        <v>743</v>
      </c>
      <c r="BV910" s="1" t="s">
        <v>206</v>
      </c>
      <c r="BW910" s="1" t="s">
        <v>210</v>
      </c>
      <c r="BY910" s="1" t="s">
        <v>1350</v>
      </c>
      <c r="BZ910" s="1" t="s">
        <v>209</v>
      </c>
      <c r="CA910" s="1" t="s">
        <v>210</v>
      </c>
      <c r="CC910" s="1" t="s">
        <v>212</v>
      </c>
      <c r="CD910" s="1" t="s">
        <v>206</v>
      </c>
      <c r="CE910" s="1" t="s">
        <v>210</v>
      </c>
      <c r="CG910" s="1" t="s">
        <v>363</v>
      </c>
      <c r="CH910" s="1" t="s">
        <v>209</v>
      </c>
      <c r="CI910" s="1" t="s">
        <v>210</v>
      </c>
      <c r="CK910" s="1" t="s">
        <v>1417</v>
      </c>
      <c r="CL910" s="1" t="s">
        <v>209</v>
      </c>
      <c r="CM910" s="1" t="s">
        <v>210</v>
      </c>
      <c r="CO910" s="1" t="s">
        <v>302</v>
      </c>
      <c r="CP910" s="1" t="s">
        <v>209</v>
      </c>
      <c r="CQ910" s="1" t="s">
        <v>210</v>
      </c>
      <c r="CS910" s="1" t="s">
        <v>302</v>
      </c>
      <c r="CT910" s="1" t="s">
        <v>206</v>
      </c>
      <c r="CU910" s="1" t="s">
        <v>617</v>
      </c>
      <c r="CW910" s="1" t="s">
        <v>743</v>
      </c>
      <c r="CX910" s="1" t="s">
        <v>206</v>
      </c>
      <c r="CY910" s="1" t="s">
        <v>210</v>
      </c>
      <c r="DA910" s="1" t="s">
        <v>192</v>
      </c>
      <c r="DB910" s="2">
        <v>41983.0</v>
      </c>
      <c r="DC910" s="1" t="s">
        <v>585</v>
      </c>
      <c r="DD910" s="1" t="s">
        <v>396</v>
      </c>
      <c r="DE910" s="1" t="s">
        <v>229</v>
      </c>
      <c r="DF910" s="1" t="s">
        <v>219</v>
      </c>
      <c r="DG910" s="1" t="s">
        <v>2379</v>
      </c>
      <c r="DH910" s="1" t="s">
        <v>220</v>
      </c>
      <c r="DI910" s="1" t="s">
        <v>1021</v>
      </c>
      <c r="DJ910" s="1" t="s">
        <v>1048</v>
      </c>
      <c r="DL910" s="1" t="s">
        <v>223</v>
      </c>
      <c r="DM910" s="1" t="s">
        <v>338</v>
      </c>
      <c r="DQ910" s="1" t="s">
        <v>228</v>
      </c>
      <c r="DR910" s="1" t="s">
        <v>2593</v>
      </c>
      <c r="DV910" s="1" t="s">
        <v>8941</v>
      </c>
      <c r="DW910" s="1" t="s">
        <v>233</v>
      </c>
      <c r="DX910" s="1" t="s">
        <v>234</v>
      </c>
      <c r="EA910" s="1" t="s">
        <v>344</v>
      </c>
      <c r="EC910" s="1" t="s">
        <v>237</v>
      </c>
      <c r="EG910" s="1" t="s">
        <v>341</v>
      </c>
      <c r="EH910" s="1" t="s">
        <v>556</v>
      </c>
      <c r="EL910" s="1" t="s">
        <v>640</v>
      </c>
      <c r="EM910" s="1" t="s">
        <v>209</v>
      </c>
      <c r="EN910" s="1" t="s">
        <v>210</v>
      </c>
      <c r="EP910" s="1" t="s">
        <v>212</v>
      </c>
      <c r="EQ910" s="1" t="s">
        <v>206</v>
      </c>
      <c r="ER910" s="1" t="s">
        <v>617</v>
      </c>
      <c r="EU910" s="1" t="s">
        <v>238</v>
      </c>
      <c r="EY910" s="1" t="s">
        <v>238</v>
      </c>
      <c r="FC910" s="1" t="s">
        <v>238</v>
      </c>
      <c r="FF910" s="1" t="s">
        <v>239</v>
      </c>
      <c r="FG910" s="1" t="s">
        <v>192</v>
      </c>
      <c r="FH910" s="1" t="s">
        <v>192</v>
      </c>
      <c r="FJ910" s="1" t="s">
        <v>10312</v>
      </c>
      <c r="FK910" s="1" t="s">
        <v>229</v>
      </c>
      <c r="FL910" s="1" t="s">
        <v>1358</v>
      </c>
      <c r="FM910" s="1">
        <v>23076.0</v>
      </c>
      <c r="FN910" s="1" t="s">
        <v>1359</v>
      </c>
      <c r="FO910" s="1" t="s">
        <v>10313</v>
      </c>
      <c r="FP910" s="1">
        <v>216120.0</v>
      </c>
      <c r="FQ910" s="1" t="s">
        <v>10314</v>
      </c>
      <c r="FU910" s="1" t="s">
        <v>10315</v>
      </c>
      <c r="FV910" s="1" t="s">
        <v>200</v>
      </c>
      <c r="FW910" s="1" t="s">
        <v>10316</v>
      </c>
      <c r="FZ910" s="1" t="s">
        <v>229</v>
      </c>
      <c r="GA910" s="1" t="s">
        <v>247</v>
      </c>
      <c r="GB910" s="2">
        <v>41982.0</v>
      </c>
    </row>
    <row r="911">
      <c r="A911" s="1">
        <v>198900.0</v>
      </c>
      <c r="B911" s="1" t="s">
        <v>185</v>
      </c>
      <c r="C911" s="1" t="str">
        <f>"08569838"</f>
        <v>08569838</v>
      </c>
      <c r="D911" s="1" t="s">
        <v>186</v>
      </c>
      <c r="F911" s="1" t="str">
        <f>"103"</f>
        <v>103</v>
      </c>
      <c r="G911" s="2">
        <v>41726.0</v>
      </c>
      <c r="H911" s="1">
        <v>225900.0</v>
      </c>
      <c r="I911" s="1">
        <v>196.0</v>
      </c>
      <c r="J911" s="1">
        <v>199900.0</v>
      </c>
      <c r="K911" s="2">
        <v>41921.0</v>
      </c>
      <c r="L911" s="1">
        <v>196.0</v>
      </c>
      <c r="M911" s="2">
        <v>41921.0</v>
      </c>
      <c r="N911" s="1" t="s">
        <v>356</v>
      </c>
      <c r="O911" s="2">
        <v>41984.0</v>
      </c>
      <c r="P911" s="1">
        <v>8423.0</v>
      </c>
      <c r="Q911" s="1">
        <v>7450.0</v>
      </c>
      <c r="R911" s="1">
        <v>4000.0</v>
      </c>
      <c r="S911" s="1">
        <v>1650.0</v>
      </c>
      <c r="T911" s="1" t="s">
        <v>10382</v>
      </c>
      <c r="U911" s="1" t="s">
        <v>420</v>
      </c>
      <c r="V911" s="1" t="s">
        <v>251</v>
      </c>
      <c r="W911" s="1">
        <v>60133.0</v>
      </c>
      <c r="Y911" s="1" t="s">
        <v>10383</v>
      </c>
      <c r="Z911" s="1">
        <v>1971.0</v>
      </c>
      <c r="AA911" s="1" t="s">
        <v>192</v>
      </c>
      <c r="AB911" s="1" t="s">
        <v>467</v>
      </c>
      <c r="AD911" s="1" t="s">
        <v>254</v>
      </c>
      <c r="AE911" s="1" t="s">
        <v>1258</v>
      </c>
      <c r="AF911" s="1" t="s">
        <v>1259</v>
      </c>
      <c r="AH911" s="1">
        <v>0.26</v>
      </c>
      <c r="AI911" s="1">
        <v>0.2622</v>
      </c>
      <c r="AK911" s="1">
        <v>7.0</v>
      </c>
      <c r="AL911" s="1">
        <v>4.0</v>
      </c>
      <c r="AM911" s="1">
        <v>2.0</v>
      </c>
      <c r="AN911" s="1">
        <v>1.0</v>
      </c>
      <c r="AO911" s="1" t="s">
        <v>198</v>
      </c>
      <c r="AP911" s="1">
        <v>1.0</v>
      </c>
      <c r="AQ911" s="1" t="s">
        <v>229</v>
      </c>
      <c r="AR911" s="1" t="s">
        <v>200</v>
      </c>
      <c r="AS911" s="1" t="s">
        <v>199</v>
      </c>
      <c r="AT911" s="1">
        <v>2.0</v>
      </c>
      <c r="AV911" s="1" t="s">
        <v>200</v>
      </c>
      <c r="AW911" s="1">
        <v>7019.0</v>
      </c>
      <c r="AX911" s="1">
        <v>2013.0</v>
      </c>
      <c r="AZ911" s="1" t="s">
        <v>200</v>
      </c>
      <c r="BA911" s="1" t="str">
        <f>"0206300021"</f>
        <v>0206300021</v>
      </c>
      <c r="BC911" s="1">
        <v>2212.0</v>
      </c>
      <c r="BD911" s="1">
        <v>198900.0</v>
      </c>
      <c r="BE911" s="2">
        <v>41726.0</v>
      </c>
      <c r="BF911" s="1" t="s">
        <v>10384</v>
      </c>
      <c r="BH911" s="1">
        <v>31.0</v>
      </c>
      <c r="BK911" s="1" t="s">
        <v>474</v>
      </c>
      <c r="BL911" s="1" t="str">
        <f t="shared" ref="BL911:BM911" si="594">""</f>
        <v/>
      </c>
      <c r="BM911" s="1" t="str">
        <f t="shared" si="594"/>
        <v/>
      </c>
      <c r="BQ911" s="1">
        <v>20.0</v>
      </c>
      <c r="BR911" s="1">
        <v>108.0</v>
      </c>
      <c r="BS911" s="1">
        <v>20.0</v>
      </c>
      <c r="BU911" s="1" t="s">
        <v>213</v>
      </c>
      <c r="BV911" s="1" t="s">
        <v>206</v>
      </c>
      <c r="BY911" s="1" t="s">
        <v>1043</v>
      </c>
      <c r="BZ911" s="1" t="s">
        <v>209</v>
      </c>
      <c r="CC911" s="1" t="s">
        <v>1382</v>
      </c>
      <c r="CD911" s="1" t="s">
        <v>206</v>
      </c>
      <c r="CG911" s="1" t="s">
        <v>269</v>
      </c>
      <c r="CH911" s="1" t="s">
        <v>209</v>
      </c>
      <c r="CK911" s="1" t="s">
        <v>269</v>
      </c>
      <c r="CL911" s="1" t="s">
        <v>206</v>
      </c>
      <c r="CO911" s="1" t="s">
        <v>269</v>
      </c>
      <c r="CP911" s="1" t="s">
        <v>206</v>
      </c>
      <c r="CS911" s="1" t="s">
        <v>213</v>
      </c>
      <c r="CT911" s="1" t="s">
        <v>206</v>
      </c>
      <c r="CX911" s="1" t="s">
        <v>204</v>
      </c>
      <c r="DA911" s="1" t="s">
        <v>200</v>
      </c>
      <c r="DC911" s="1" t="s">
        <v>517</v>
      </c>
      <c r="DE911" s="1" t="s">
        <v>273</v>
      </c>
      <c r="DF911" s="1" t="s">
        <v>219</v>
      </c>
      <c r="DH911" s="1" t="s">
        <v>220</v>
      </c>
      <c r="DJ911" s="1" t="s">
        <v>222</v>
      </c>
      <c r="DL911" s="1" t="s">
        <v>229</v>
      </c>
      <c r="DM911" s="1" t="s">
        <v>229</v>
      </c>
      <c r="DQ911" s="1" t="s">
        <v>441</v>
      </c>
      <c r="DR911" s="1" t="s">
        <v>10385</v>
      </c>
      <c r="DV911" s="1" t="s">
        <v>232</v>
      </c>
      <c r="DW911" s="1" t="s">
        <v>233</v>
      </c>
      <c r="DX911" s="1" t="s">
        <v>234</v>
      </c>
      <c r="EC911" s="1" t="s">
        <v>237</v>
      </c>
      <c r="EM911" s="1" t="s">
        <v>238</v>
      </c>
      <c r="EQ911" s="1" t="s">
        <v>238</v>
      </c>
      <c r="EU911" s="1" t="s">
        <v>238</v>
      </c>
      <c r="EY911" s="1" t="s">
        <v>238</v>
      </c>
      <c r="FC911" s="1" t="s">
        <v>238</v>
      </c>
      <c r="FF911" s="1" t="s">
        <v>239</v>
      </c>
      <c r="FG911" s="1" t="s">
        <v>192</v>
      </c>
      <c r="FH911" s="1" t="s">
        <v>192</v>
      </c>
      <c r="FJ911" s="1" t="s">
        <v>4863</v>
      </c>
      <c r="FK911" s="1" t="s">
        <v>229</v>
      </c>
      <c r="FL911" s="1" t="s">
        <v>2263</v>
      </c>
      <c r="FM911" s="1">
        <v>8094.0</v>
      </c>
      <c r="FN911" s="1" t="s">
        <v>2264</v>
      </c>
      <c r="FO911" s="1" t="s">
        <v>4111</v>
      </c>
      <c r="FP911" s="1">
        <v>28736.0</v>
      </c>
      <c r="FQ911" s="1" t="s">
        <v>4112</v>
      </c>
      <c r="FU911" s="1" t="s">
        <v>4864</v>
      </c>
      <c r="FV911" s="1" t="s">
        <v>200</v>
      </c>
      <c r="FW911" s="1" t="s">
        <v>1307</v>
      </c>
      <c r="FZ911" s="1" t="s">
        <v>229</v>
      </c>
      <c r="GA911" s="1" t="s">
        <v>291</v>
      </c>
      <c r="GB911" s="2">
        <v>41985.0</v>
      </c>
      <c r="GC911" s="1" t="s">
        <v>10386</v>
      </c>
    </row>
    <row r="912">
      <c r="A912" s="1">
        <v>141000.0</v>
      </c>
      <c r="B912" s="1" t="s">
        <v>185</v>
      </c>
      <c r="C912" s="1" t="str">
        <f>"08565242"</f>
        <v>08565242</v>
      </c>
      <c r="D912" s="1" t="s">
        <v>186</v>
      </c>
      <c r="F912" s="1" t="str">
        <f>"146"</f>
        <v>146</v>
      </c>
      <c r="G912" s="2">
        <v>41721.0</v>
      </c>
      <c r="H912" s="1">
        <v>140000.0</v>
      </c>
      <c r="I912" s="1">
        <v>205.0</v>
      </c>
      <c r="J912" s="1">
        <v>140000.0</v>
      </c>
      <c r="K912" s="2">
        <v>41925.0</v>
      </c>
      <c r="L912" s="1">
        <v>205.0</v>
      </c>
      <c r="M912" s="2">
        <v>41925.0</v>
      </c>
      <c r="N912" s="1" t="s">
        <v>187</v>
      </c>
      <c r="O912" s="2">
        <v>41988.0</v>
      </c>
      <c r="P912" s="1">
        <v>99999.0</v>
      </c>
      <c r="Q912" s="1" t="s">
        <v>947</v>
      </c>
      <c r="S912" s="1">
        <v>1402.0</v>
      </c>
      <c r="T912" s="1" t="s">
        <v>10387</v>
      </c>
      <c r="U912" s="1" t="s">
        <v>569</v>
      </c>
      <c r="V912" s="1" t="s">
        <v>7526</v>
      </c>
      <c r="W912" s="1">
        <v>60146.0</v>
      </c>
      <c r="Y912" s="1" t="s">
        <v>10388</v>
      </c>
      <c r="Z912" s="1">
        <v>2004.0</v>
      </c>
      <c r="AA912" s="1" t="s">
        <v>200</v>
      </c>
      <c r="AB912" s="1" t="s">
        <v>193</v>
      </c>
      <c r="AC912" s="1" t="s">
        <v>10389</v>
      </c>
      <c r="AD912" s="1" t="s">
        <v>7528</v>
      </c>
      <c r="AE912" s="1" t="s">
        <v>613</v>
      </c>
      <c r="AF912" s="1" t="s">
        <v>5046</v>
      </c>
      <c r="AH912" s="1" t="s">
        <v>10390</v>
      </c>
      <c r="AI912" s="1">
        <v>0.31</v>
      </c>
      <c r="AK912" s="1">
        <v>12.0</v>
      </c>
      <c r="AL912" s="1">
        <v>4.0</v>
      </c>
      <c r="AM912" s="1">
        <v>2.0</v>
      </c>
      <c r="AN912" s="1">
        <v>1.0</v>
      </c>
      <c r="AO912" s="1" t="s">
        <v>198</v>
      </c>
      <c r="AP912" s="1">
        <v>2.0</v>
      </c>
      <c r="AQ912" s="1" t="s">
        <v>327</v>
      </c>
      <c r="AR912" s="1" t="s">
        <v>200</v>
      </c>
      <c r="AS912" s="1" t="s">
        <v>199</v>
      </c>
      <c r="AT912" s="1">
        <v>3.0</v>
      </c>
      <c r="AV912" s="1" t="s">
        <v>200</v>
      </c>
      <c r="AW912" s="1">
        <v>3520.32</v>
      </c>
      <c r="AX912" s="1">
        <v>2013.0</v>
      </c>
      <c r="AY912" s="1" t="s">
        <v>387</v>
      </c>
      <c r="AZ912" s="1" t="s">
        <v>200</v>
      </c>
      <c r="BA912" s="1" t="str">
        <f>"0126475004"</f>
        <v>0126475004</v>
      </c>
      <c r="BB912" s="1" t="s">
        <v>200</v>
      </c>
      <c r="BC912" s="1">
        <v>3240.0</v>
      </c>
      <c r="BD912" s="1">
        <v>141000.0</v>
      </c>
      <c r="BE912" s="2">
        <v>41721.0</v>
      </c>
      <c r="BF912" s="2" t="s">
        <v>10391</v>
      </c>
      <c r="BG912" s="1" t="s">
        <v>1788</v>
      </c>
      <c r="BH912" s="1">
        <v>0.0</v>
      </c>
      <c r="BI912" s="1" t="s">
        <v>1789</v>
      </c>
      <c r="BJ912" s="1" t="s">
        <v>1789</v>
      </c>
      <c r="BK912" s="1" t="s">
        <v>204</v>
      </c>
      <c r="BL912" s="1" t="str">
        <f t="shared" ref="BL912:BM912" si="595">""</f>
        <v/>
      </c>
      <c r="BM912" s="1" t="str">
        <f t="shared" si="595"/>
        <v/>
      </c>
      <c r="BQ912" s="1">
        <v>426.0</v>
      </c>
      <c r="BR912" s="1">
        <v>426.0</v>
      </c>
      <c r="BS912" s="1">
        <v>426.0</v>
      </c>
      <c r="BU912" s="1" t="s">
        <v>1567</v>
      </c>
      <c r="BV912" s="1" t="s">
        <v>206</v>
      </c>
      <c r="BW912" s="1" t="s">
        <v>210</v>
      </c>
      <c r="BY912" s="1" t="s">
        <v>1503</v>
      </c>
      <c r="BZ912" s="1" t="s">
        <v>209</v>
      </c>
      <c r="CA912" s="1" t="s">
        <v>210</v>
      </c>
      <c r="CC912" s="1" t="s">
        <v>1417</v>
      </c>
      <c r="CD912" s="1" t="s">
        <v>206</v>
      </c>
      <c r="CE912" s="1" t="s">
        <v>210</v>
      </c>
      <c r="CG912" s="1" t="s">
        <v>332</v>
      </c>
      <c r="CH912" s="1" t="s">
        <v>209</v>
      </c>
      <c r="CI912" s="1" t="s">
        <v>210</v>
      </c>
      <c r="CK912" s="1" t="s">
        <v>331</v>
      </c>
      <c r="CL912" s="1" t="s">
        <v>209</v>
      </c>
      <c r="CM912" s="1" t="s">
        <v>210</v>
      </c>
      <c r="CO912" s="1" t="s">
        <v>215</v>
      </c>
      <c r="CP912" s="1" t="s">
        <v>209</v>
      </c>
      <c r="CQ912" s="1" t="s">
        <v>210</v>
      </c>
      <c r="CS912" s="1" t="s">
        <v>647</v>
      </c>
      <c r="CT912" s="1" t="s">
        <v>206</v>
      </c>
      <c r="CU912" s="1" t="s">
        <v>617</v>
      </c>
      <c r="CW912" s="1" t="s">
        <v>334</v>
      </c>
      <c r="CX912" s="1" t="s">
        <v>206</v>
      </c>
      <c r="CY912" s="1" t="s">
        <v>210</v>
      </c>
      <c r="DA912" s="1" t="s">
        <v>200</v>
      </c>
      <c r="DC912" s="1" t="s">
        <v>481</v>
      </c>
      <c r="DD912" s="1" t="s">
        <v>731</v>
      </c>
      <c r="DE912" s="1" t="s">
        <v>273</v>
      </c>
      <c r="DF912" s="1" t="s">
        <v>219</v>
      </c>
      <c r="DG912" s="1" t="s">
        <v>337</v>
      </c>
      <c r="DH912" s="1" t="s">
        <v>220</v>
      </c>
      <c r="DI912" s="1" t="s">
        <v>959</v>
      </c>
      <c r="DJ912" s="1" t="s">
        <v>222</v>
      </c>
      <c r="DL912" s="1" t="s">
        <v>10392</v>
      </c>
      <c r="DM912" s="1" t="s">
        <v>229</v>
      </c>
      <c r="DN912" s="1" t="s">
        <v>399</v>
      </c>
      <c r="DP912" s="1" t="s">
        <v>276</v>
      </c>
      <c r="DQ912" s="1" t="s">
        <v>441</v>
      </c>
      <c r="DR912" s="1" t="s">
        <v>229</v>
      </c>
      <c r="DS912" s="1" t="s">
        <v>401</v>
      </c>
      <c r="DU912" s="1" t="s">
        <v>10393</v>
      </c>
      <c r="DV912" s="1" t="s">
        <v>10394</v>
      </c>
      <c r="DW912" s="1" t="s">
        <v>233</v>
      </c>
      <c r="DX912" s="1" t="s">
        <v>234</v>
      </c>
      <c r="DY912" s="1" t="s">
        <v>1189</v>
      </c>
      <c r="DZ912" s="1" t="s">
        <v>310</v>
      </c>
      <c r="EA912" s="1" t="s">
        <v>344</v>
      </c>
      <c r="EB912" s="1" t="s">
        <v>937</v>
      </c>
      <c r="EC912" s="1" t="s">
        <v>237</v>
      </c>
      <c r="ED912" s="1" t="s">
        <v>407</v>
      </c>
      <c r="EG912" s="1" t="s">
        <v>556</v>
      </c>
      <c r="EH912" s="1" t="s">
        <v>341</v>
      </c>
      <c r="EI912" s="1" t="s">
        <v>1121</v>
      </c>
      <c r="EJ912" s="1" t="s">
        <v>1729</v>
      </c>
      <c r="EL912" s="1" t="s">
        <v>212</v>
      </c>
      <c r="EM912" s="1" t="s">
        <v>206</v>
      </c>
      <c r="EN912" s="1" t="s">
        <v>617</v>
      </c>
      <c r="EP912" s="1" t="s">
        <v>304</v>
      </c>
      <c r="EQ912" s="1" t="s">
        <v>209</v>
      </c>
      <c r="ER912" s="1" t="s">
        <v>210</v>
      </c>
      <c r="ET912" s="1" t="s">
        <v>1852</v>
      </c>
      <c r="EU912" s="1" t="s">
        <v>209</v>
      </c>
      <c r="EV912" s="1" t="s">
        <v>210</v>
      </c>
      <c r="EX912" s="1" t="s">
        <v>1158</v>
      </c>
      <c r="EY912" s="1" t="s">
        <v>206</v>
      </c>
      <c r="EZ912" s="1" t="s">
        <v>210</v>
      </c>
      <c r="FC912" s="1" t="s">
        <v>238</v>
      </c>
      <c r="FF912" s="1" t="s">
        <v>239</v>
      </c>
      <c r="FG912" s="1" t="s">
        <v>192</v>
      </c>
      <c r="FH912" s="1" t="s">
        <v>192</v>
      </c>
      <c r="FJ912" s="1" t="s">
        <v>524</v>
      </c>
      <c r="FK912" s="1" t="s">
        <v>10395</v>
      </c>
      <c r="FL912" s="1" t="s">
        <v>9995</v>
      </c>
      <c r="FM912" s="1">
        <v>8096.0</v>
      </c>
      <c r="FN912" s="1" t="s">
        <v>9996</v>
      </c>
      <c r="FO912" s="1" t="s">
        <v>10396</v>
      </c>
      <c r="FP912" s="1">
        <v>27103.0</v>
      </c>
      <c r="FQ912" s="1" t="s">
        <v>10397</v>
      </c>
      <c r="FU912" s="1" t="s">
        <v>10398</v>
      </c>
      <c r="FV912" s="1" t="s">
        <v>200</v>
      </c>
      <c r="FW912" s="1" t="s">
        <v>1411</v>
      </c>
      <c r="FZ912" s="1" t="s">
        <v>229</v>
      </c>
      <c r="GA912" s="1" t="s">
        <v>291</v>
      </c>
      <c r="GB912" s="2">
        <v>41988.0</v>
      </c>
      <c r="GC912" s="1" t="s">
        <v>10399</v>
      </c>
    </row>
    <row r="913">
      <c r="A913" s="1">
        <v>289900.0</v>
      </c>
      <c r="B913" s="1" t="s">
        <v>185</v>
      </c>
      <c r="C913" s="1" t="str">
        <f>"08570846"</f>
        <v>08570846</v>
      </c>
      <c r="D913" s="1" t="s">
        <v>186</v>
      </c>
      <c r="F913" s="1" t="str">
        <f>"543"</f>
        <v>543</v>
      </c>
      <c r="G913" s="2">
        <v>41728.0</v>
      </c>
      <c r="H913" s="1">
        <v>306894.0</v>
      </c>
      <c r="I913" s="1">
        <v>341.0</v>
      </c>
      <c r="J913" s="1">
        <v>289900.0</v>
      </c>
      <c r="K913" s="2">
        <v>42068.0</v>
      </c>
      <c r="L913" s="1">
        <v>341.0</v>
      </c>
      <c r="M913" s="2">
        <v>42068.0</v>
      </c>
      <c r="N913" s="1" t="s">
        <v>634</v>
      </c>
      <c r="O913" s="2">
        <v>42097.0</v>
      </c>
      <c r="P913" s="1">
        <v>215235.0</v>
      </c>
      <c r="Q913" s="1">
        <v>24695.0</v>
      </c>
      <c r="S913" s="1">
        <v>280.0</v>
      </c>
      <c r="T913" s="1" t="s">
        <v>10400</v>
      </c>
      <c r="U913" s="1" t="s">
        <v>844</v>
      </c>
      <c r="V913" s="1" t="s">
        <v>1527</v>
      </c>
      <c r="W913" s="1">
        <v>60543.0</v>
      </c>
      <c r="Y913" s="1" t="s">
        <v>10401</v>
      </c>
      <c r="Z913" s="1">
        <v>2014.0</v>
      </c>
      <c r="AA913" s="1" t="s">
        <v>200</v>
      </c>
      <c r="AB913" s="1" t="s">
        <v>467</v>
      </c>
      <c r="AC913" s="1" t="s">
        <v>10402</v>
      </c>
      <c r="AD913" s="1" t="s">
        <v>1529</v>
      </c>
      <c r="AE913" s="1" t="s">
        <v>849</v>
      </c>
      <c r="AF913" s="1" t="s">
        <v>1529</v>
      </c>
      <c r="AG913" s="1" t="s">
        <v>10403</v>
      </c>
      <c r="AH913" s="1" t="s">
        <v>10404</v>
      </c>
      <c r="AK913" s="1">
        <v>10.0</v>
      </c>
      <c r="AL913" s="1">
        <v>4.0</v>
      </c>
      <c r="AM913" s="1">
        <v>2.0</v>
      </c>
      <c r="AN913" s="1">
        <v>1.0</v>
      </c>
      <c r="AO913" s="1" t="s">
        <v>198</v>
      </c>
      <c r="AQ913" s="1" t="s">
        <v>198</v>
      </c>
      <c r="AR913" s="1" t="s">
        <v>200</v>
      </c>
      <c r="AS913" s="1" t="s">
        <v>199</v>
      </c>
      <c r="AT913" s="1">
        <v>3.0</v>
      </c>
      <c r="AV913" s="1" t="s">
        <v>200</v>
      </c>
      <c r="AW913" s="1" t="s">
        <v>575</v>
      </c>
      <c r="AX913" s="1">
        <v>2012.0</v>
      </c>
      <c r="AZ913" s="1" t="s">
        <v>200</v>
      </c>
      <c r="BA913" s="1" t="str">
        <f>"0316330003"</f>
        <v>0316330003</v>
      </c>
      <c r="BB913" s="1" t="s">
        <v>200</v>
      </c>
      <c r="BC913" s="1">
        <v>2805.0</v>
      </c>
      <c r="BD913" s="1">
        <v>289900.0</v>
      </c>
      <c r="BE913" s="2">
        <v>41728.0</v>
      </c>
      <c r="BF913" s="2" t="s">
        <v>10405</v>
      </c>
      <c r="BG913" s="1" t="s">
        <v>8200</v>
      </c>
      <c r="BH913" s="1">
        <v>140.0</v>
      </c>
      <c r="BI913" s="1" t="s">
        <v>1533</v>
      </c>
      <c r="BJ913" s="1" t="s">
        <v>1349</v>
      </c>
      <c r="BK913" s="1" t="s">
        <v>1952</v>
      </c>
      <c r="BL913" s="1" t="str">
        <f t="shared" ref="BL913:BM913" si="596">""</f>
        <v/>
      </c>
      <c r="BM913" s="1" t="str">
        <f t="shared" si="596"/>
        <v/>
      </c>
      <c r="BQ913" s="1">
        <v>308.0</v>
      </c>
      <c r="BR913" s="1">
        <v>308.0</v>
      </c>
      <c r="BS913" s="1">
        <v>308.0</v>
      </c>
      <c r="BU913" s="1" t="s">
        <v>8668</v>
      </c>
      <c r="BV913" s="1" t="s">
        <v>206</v>
      </c>
      <c r="BY913" s="1" t="s">
        <v>1044</v>
      </c>
      <c r="BZ913" s="1" t="s">
        <v>209</v>
      </c>
      <c r="CC913" s="1" t="s">
        <v>542</v>
      </c>
      <c r="CD913" s="1" t="s">
        <v>206</v>
      </c>
      <c r="CG913" s="1" t="s">
        <v>1329</v>
      </c>
      <c r="CH913" s="1" t="s">
        <v>209</v>
      </c>
      <c r="CK913" s="1" t="s">
        <v>1068</v>
      </c>
      <c r="CL913" s="1" t="s">
        <v>209</v>
      </c>
      <c r="CO913" s="1" t="s">
        <v>1068</v>
      </c>
      <c r="CP913" s="1" t="s">
        <v>209</v>
      </c>
      <c r="CS913" s="1" t="s">
        <v>758</v>
      </c>
      <c r="CT913" s="1" t="s">
        <v>206</v>
      </c>
      <c r="CU913" s="1" t="s">
        <v>301</v>
      </c>
      <c r="CW913" s="1" t="s">
        <v>1063</v>
      </c>
      <c r="CX913" s="1" t="s">
        <v>206</v>
      </c>
      <c r="DA913" s="1" t="s">
        <v>192</v>
      </c>
      <c r="DB913" s="2">
        <v>41943.0</v>
      </c>
      <c r="DC913" s="1" t="s">
        <v>744</v>
      </c>
      <c r="DD913" s="1" t="s">
        <v>786</v>
      </c>
      <c r="DE913" s="1" t="s">
        <v>273</v>
      </c>
      <c r="DF913" s="1" t="s">
        <v>619</v>
      </c>
      <c r="DG913" s="1" t="s">
        <v>1602</v>
      </c>
      <c r="DH913" s="1" t="s">
        <v>220</v>
      </c>
      <c r="DI913" s="1" t="s">
        <v>1021</v>
      </c>
      <c r="DJ913" s="1" t="s">
        <v>222</v>
      </c>
      <c r="DL913" s="1" t="s">
        <v>223</v>
      </c>
      <c r="DM913" s="1" t="s">
        <v>338</v>
      </c>
      <c r="DN913" s="1" t="s">
        <v>1486</v>
      </c>
      <c r="DP913" s="1" t="s">
        <v>276</v>
      </c>
      <c r="DQ913" s="1" t="s">
        <v>441</v>
      </c>
      <c r="DR913" s="1" t="s">
        <v>1980</v>
      </c>
      <c r="DU913" s="1" t="s">
        <v>550</v>
      </c>
      <c r="DV913" s="1" t="s">
        <v>8941</v>
      </c>
      <c r="DW913" s="1" t="s">
        <v>233</v>
      </c>
      <c r="DX913" s="1" t="s">
        <v>234</v>
      </c>
      <c r="DY913" s="1" t="s">
        <v>596</v>
      </c>
      <c r="EC913" s="1" t="s">
        <v>237</v>
      </c>
      <c r="EE913" s="1" t="s">
        <v>493</v>
      </c>
      <c r="EG913" s="1" t="s">
        <v>556</v>
      </c>
      <c r="EH913" s="1" t="s">
        <v>341</v>
      </c>
      <c r="EL913" s="1" t="s">
        <v>584</v>
      </c>
      <c r="EM913" s="1" t="s">
        <v>206</v>
      </c>
      <c r="EN913" s="1" t="s">
        <v>301</v>
      </c>
      <c r="EP913" s="1" t="s">
        <v>1063</v>
      </c>
      <c r="EQ913" s="1" t="s">
        <v>209</v>
      </c>
      <c r="EU913" s="1" t="s">
        <v>238</v>
      </c>
      <c r="EY913" s="1" t="s">
        <v>238</v>
      </c>
      <c r="FC913" s="1" t="s">
        <v>238</v>
      </c>
      <c r="FF913" s="1" t="s">
        <v>239</v>
      </c>
      <c r="FG913" s="1" t="s">
        <v>192</v>
      </c>
      <c r="FH913" s="1" t="s">
        <v>192</v>
      </c>
      <c r="FJ913" s="1" t="s">
        <v>10406</v>
      </c>
      <c r="FK913" s="1" t="s">
        <v>229</v>
      </c>
      <c r="FL913" s="1" t="s">
        <v>2448</v>
      </c>
      <c r="FM913" s="1">
        <v>92038.0</v>
      </c>
      <c r="FN913" s="1" t="s">
        <v>2449</v>
      </c>
      <c r="FO913" s="1" t="s">
        <v>2450</v>
      </c>
      <c r="FP913" s="1">
        <v>21137.0</v>
      </c>
      <c r="FQ913" s="1" t="s">
        <v>2451</v>
      </c>
      <c r="FS913" s="1" t="s">
        <v>10407</v>
      </c>
      <c r="FT913" s="1" t="s">
        <v>10408</v>
      </c>
      <c r="FU913" s="1" t="s">
        <v>10409</v>
      </c>
      <c r="FV913" s="1" t="s">
        <v>200</v>
      </c>
      <c r="FW913" s="1" t="s">
        <v>10410</v>
      </c>
      <c r="FZ913" s="1" t="s">
        <v>229</v>
      </c>
      <c r="GA913" s="1" t="s">
        <v>291</v>
      </c>
      <c r="GB913" s="2">
        <v>42098.0</v>
      </c>
      <c r="GC913" s="1" t="s">
        <v>10411</v>
      </c>
    </row>
    <row r="914">
      <c r="A914" s="1">
        <v>73000.0</v>
      </c>
      <c r="B914" s="1" t="s">
        <v>185</v>
      </c>
      <c r="C914" s="1" t="str">
        <f>"08566376"</f>
        <v>08566376</v>
      </c>
      <c r="D914" s="1" t="s">
        <v>186</v>
      </c>
      <c r="F914" s="1" t="str">
        <f>"8044"</f>
        <v>8044</v>
      </c>
      <c r="G914" s="2">
        <v>41722.0</v>
      </c>
      <c r="H914" s="1">
        <v>89000.0</v>
      </c>
      <c r="I914" s="1">
        <v>208.0</v>
      </c>
      <c r="J914" s="1">
        <v>80000.0</v>
      </c>
      <c r="K914" s="2">
        <v>41929.0</v>
      </c>
      <c r="L914" s="1">
        <v>208.0</v>
      </c>
      <c r="M914" s="2">
        <v>41929.0</v>
      </c>
      <c r="N914" s="1" t="s">
        <v>187</v>
      </c>
      <c r="O914" s="2">
        <v>42027.0</v>
      </c>
      <c r="P914" s="1">
        <v>874659.0</v>
      </c>
      <c r="Q914" s="1">
        <v>18426.0</v>
      </c>
      <c r="R914" s="1">
        <v>1460.0</v>
      </c>
      <c r="S914" s="1">
        <v>8112.0</v>
      </c>
      <c r="T914" s="1" t="s">
        <v>8154</v>
      </c>
      <c r="U914" s="1" t="s">
        <v>189</v>
      </c>
      <c r="V914" s="1" t="s">
        <v>190</v>
      </c>
      <c r="W914" s="1">
        <v>60619.0</v>
      </c>
      <c r="Y914" s="1" t="s">
        <v>10412</v>
      </c>
      <c r="Z914" s="1">
        <v>1914.0</v>
      </c>
      <c r="AA914" s="1" t="s">
        <v>192</v>
      </c>
      <c r="AB914" s="1" t="s">
        <v>193</v>
      </c>
      <c r="AD914" s="1" t="s">
        <v>194</v>
      </c>
      <c r="AE914" s="1" t="s">
        <v>195</v>
      </c>
      <c r="AF914" s="1" t="s">
        <v>637</v>
      </c>
      <c r="AH914" s="1" t="s">
        <v>10413</v>
      </c>
      <c r="AK914" s="1">
        <v>7.0</v>
      </c>
      <c r="AL914" s="1">
        <v>4.0</v>
      </c>
      <c r="AM914" s="1">
        <v>1.0</v>
      </c>
      <c r="AN914" s="1">
        <v>1.0</v>
      </c>
      <c r="AO914" s="1" t="s">
        <v>229</v>
      </c>
      <c r="AP914" s="1">
        <v>1.0</v>
      </c>
      <c r="AQ914" s="1" t="s">
        <v>327</v>
      </c>
      <c r="AR914" s="1" t="s">
        <v>200</v>
      </c>
      <c r="AS914" s="1" t="s">
        <v>199</v>
      </c>
      <c r="AT914" s="1">
        <v>2.0</v>
      </c>
      <c r="AV914" s="1" t="s">
        <v>200</v>
      </c>
      <c r="AW914" s="1">
        <v>1022.98</v>
      </c>
      <c r="AX914" s="1">
        <v>2012.0</v>
      </c>
      <c r="AY914" s="1" t="s">
        <v>2349</v>
      </c>
      <c r="AZ914" s="1" t="s">
        <v>200</v>
      </c>
      <c r="BA914" s="1" t="str">
        <f>"20342190220000"</f>
        <v>20342190220000</v>
      </c>
      <c r="BC914" s="1">
        <v>1434.0</v>
      </c>
      <c r="BD914" s="1">
        <v>73000.0</v>
      </c>
      <c r="BE914" s="2">
        <v>41722.0</v>
      </c>
      <c r="BF914" s="2" t="s">
        <v>10414</v>
      </c>
      <c r="BH914" s="1">
        <v>0.0</v>
      </c>
      <c r="BK914" s="1" t="s">
        <v>204</v>
      </c>
      <c r="BL914" s="1" t="str">
        <f>"0"</f>
        <v>0</v>
      </c>
      <c r="BM914" s="1" t="str">
        <f>"600"</f>
        <v>600</v>
      </c>
      <c r="BN914" s="1">
        <v>0.0</v>
      </c>
      <c r="BO914" s="1">
        <v>8100.0</v>
      </c>
      <c r="BQ914" s="1">
        <v>299.0</v>
      </c>
      <c r="BR914" s="1">
        <v>299.0</v>
      </c>
      <c r="BS914" s="1">
        <v>299.0</v>
      </c>
      <c r="BU914" s="1" t="s">
        <v>3202</v>
      </c>
      <c r="BV914" s="1" t="s">
        <v>206</v>
      </c>
      <c r="BW914" s="1" t="s">
        <v>207</v>
      </c>
      <c r="BX914" s="1" t="s">
        <v>1550</v>
      </c>
      <c r="BY914" s="1" t="s">
        <v>743</v>
      </c>
      <c r="BZ914" s="1" t="s">
        <v>209</v>
      </c>
      <c r="CA914" s="1" t="s">
        <v>210</v>
      </c>
      <c r="CB914" s="1" t="s">
        <v>229</v>
      </c>
      <c r="CC914" s="1" t="s">
        <v>205</v>
      </c>
      <c r="CD914" s="1" t="s">
        <v>206</v>
      </c>
      <c r="CE914" s="1" t="s">
        <v>207</v>
      </c>
      <c r="CF914" s="1" t="s">
        <v>1549</v>
      </c>
      <c r="CG914" s="1" t="s">
        <v>743</v>
      </c>
      <c r="CH914" s="1" t="s">
        <v>209</v>
      </c>
      <c r="CI914" s="1" t="s">
        <v>210</v>
      </c>
      <c r="CJ914" s="1" t="s">
        <v>229</v>
      </c>
      <c r="CK914" s="1" t="s">
        <v>393</v>
      </c>
      <c r="CL914" s="1" t="s">
        <v>209</v>
      </c>
      <c r="CM914" s="1" t="s">
        <v>210</v>
      </c>
      <c r="CN914" s="1" t="s">
        <v>229</v>
      </c>
      <c r="CO914" s="1" t="s">
        <v>393</v>
      </c>
      <c r="CP914" s="1" t="s">
        <v>206</v>
      </c>
      <c r="CQ914" s="1" t="s">
        <v>210</v>
      </c>
      <c r="CR914" s="1" t="s">
        <v>229</v>
      </c>
      <c r="CS914" s="1" t="s">
        <v>363</v>
      </c>
      <c r="CT914" s="1" t="s">
        <v>206</v>
      </c>
      <c r="CU914" s="1" t="s">
        <v>617</v>
      </c>
      <c r="CV914" s="1" t="s">
        <v>229</v>
      </c>
      <c r="CX914" s="1" t="s">
        <v>204</v>
      </c>
      <c r="DA914" s="1" t="s">
        <v>200</v>
      </c>
      <c r="DC914" s="1" t="s">
        <v>216</v>
      </c>
      <c r="DD914" s="1" t="s">
        <v>518</v>
      </c>
      <c r="DE914" s="1" t="s">
        <v>1300</v>
      </c>
      <c r="DF914" s="1" t="s">
        <v>787</v>
      </c>
      <c r="DH914" s="1" t="s">
        <v>365</v>
      </c>
      <c r="DI914" s="1" t="s">
        <v>2096</v>
      </c>
      <c r="DJ914" s="1" t="s">
        <v>222</v>
      </c>
      <c r="DL914" s="1" t="s">
        <v>858</v>
      </c>
      <c r="DM914" s="1" t="s">
        <v>229</v>
      </c>
      <c r="DP914" s="1" t="s">
        <v>340</v>
      </c>
      <c r="DQ914" s="1" t="s">
        <v>228</v>
      </c>
      <c r="DR914" s="1" t="s">
        <v>229</v>
      </c>
      <c r="DV914" s="1" t="s">
        <v>10415</v>
      </c>
      <c r="DW914" s="1" t="s">
        <v>279</v>
      </c>
      <c r="DX914" s="1" t="s">
        <v>234</v>
      </c>
      <c r="DY914" s="1" t="s">
        <v>2240</v>
      </c>
      <c r="EA914" s="1" t="s">
        <v>644</v>
      </c>
      <c r="EB914" s="1" t="s">
        <v>797</v>
      </c>
      <c r="EC914" s="1" t="s">
        <v>645</v>
      </c>
      <c r="EE914" s="1" t="s">
        <v>522</v>
      </c>
      <c r="EG914" s="1" t="s">
        <v>1270</v>
      </c>
      <c r="EH914" s="1" t="s">
        <v>588</v>
      </c>
      <c r="EI914" s="1" t="s">
        <v>374</v>
      </c>
      <c r="EL914" s="1" t="s">
        <v>664</v>
      </c>
      <c r="EM914" s="1" t="s">
        <v>42</v>
      </c>
      <c r="EN914" s="1" t="s">
        <v>617</v>
      </c>
      <c r="EO914" s="1" t="s">
        <v>229</v>
      </c>
      <c r="EP914" s="1" t="s">
        <v>3595</v>
      </c>
      <c r="EQ914" s="1" t="s">
        <v>42</v>
      </c>
      <c r="ER914" s="1" t="s">
        <v>588</v>
      </c>
      <c r="ET914" s="1" t="s">
        <v>2083</v>
      </c>
      <c r="EU914" s="1" t="s">
        <v>206</v>
      </c>
      <c r="EY914" s="1" t="s">
        <v>238</v>
      </c>
      <c r="FC914" s="1" t="s">
        <v>238</v>
      </c>
      <c r="FF914" s="1" t="s">
        <v>239</v>
      </c>
      <c r="FG914" s="1" t="s">
        <v>192</v>
      </c>
      <c r="FH914" s="1" t="s">
        <v>200</v>
      </c>
      <c r="FJ914" s="1" t="s">
        <v>5571</v>
      </c>
      <c r="FK914" s="1" t="s">
        <v>229</v>
      </c>
      <c r="FL914" s="1" t="s">
        <v>771</v>
      </c>
      <c r="FM914" s="1">
        <v>16636.0</v>
      </c>
      <c r="FN914" s="1" t="s">
        <v>526</v>
      </c>
      <c r="FO914" s="1" t="s">
        <v>10416</v>
      </c>
      <c r="FP914" s="1">
        <v>117443.0</v>
      </c>
      <c r="FQ914" s="1" t="s">
        <v>10417</v>
      </c>
      <c r="FU914" s="1" t="s">
        <v>10418</v>
      </c>
      <c r="FV914" s="1" t="s">
        <v>200</v>
      </c>
      <c r="FW914" s="1" t="s">
        <v>530</v>
      </c>
      <c r="FX914" s="1" t="s">
        <v>655</v>
      </c>
      <c r="FZ914" s="1" t="s">
        <v>229</v>
      </c>
      <c r="GA914" s="1" t="s">
        <v>291</v>
      </c>
      <c r="GB914" s="2">
        <v>42028.0</v>
      </c>
    </row>
    <row r="915">
      <c r="A915" s="1">
        <v>258000.0</v>
      </c>
      <c r="B915" s="1" t="s">
        <v>185</v>
      </c>
      <c r="C915" s="1" t="str">
        <f>"08698409"</f>
        <v>08698409</v>
      </c>
      <c r="D915" s="1" t="s">
        <v>186</v>
      </c>
      <c r="F915" s="1" t="str">
        <f>"123"</f>
        <v>123</v>
      </c>
      <c r="G915" s="2">
        <v>41862.0</v>
      </c>
      <c r="H915" s="1">
        <v>359900.0</v>
      </c>
      <c r="I915" s="1">
        <v>150.0</v>
      </c>
      <c r="J915" s="1">
        <v>263490.0</v>
      </c>
      <c r="K915" s="2">
        <v>42011.0</v>
      </c>
      <c r="L915" s="1">
        <v>150.0</v>
      </c>
      <c r="M915" s="2">
        <v>42011.0</v>
      </c>
      <c r="N915" s="1" t="s">
        <v>187</v>
      </c>
      <c r="O915" s="2">
        <v>42034.0</v>
      </c>
      <c r="P915" s="1">
        <v>313804.0</v>
      </c>
      <c r="Q915" s="1">
        <v>300.0</v>
      </c>
      <c r="S915" s="1" t="s">
        <v>10419</v>
      </c>
      <c r="T915" s="1" t="s">
        <v>10420</v>
      </c>
      <c r="U915" s="1" t="s">
        <v>844</v>
      </c>
      <c r="V915" s="1" t="s">
        <v>465</v>
      </c>
      <c r="W915" s="1">
        <v>60124.0</v>
      </c>
      <c r="Y915" s="1" t="s">
        <v>10421</v>
      </c>
      <c r="Z915" s="1">
        <v>1990.0</v>
      </c>
      <c r="AA915" s="1" t="s">
        <v>200</v>
      </c>
      <c r="AB915" s="1" t="s">
        <v>193</v>
      </c>
      <c r="AD915" s="1" t="s">
        <v>1089</v>
      </c>
      <c r="AE915" s="1" t="s">
        <v>325</v>
      </c>
      <c r="AF915" s="1" t="s">
        <v>572</v>
      </c>
      <c r="AG915" s="1" t="s">
        <v>752</v>
      </c>
      <c r="AH915" s="1" t="s">
        <v>10422</v>
      </c>
      <c r="AK915" s="1">
        <v>10.0</v>
      </c>
      <c r="AL915" s="1">
        <v>3.0</v>
      </c>
      <c r="AM915" s="1">
        <v>2.0</v>
      </c>
      <c r="AN915" s="1">
        <v>2.0</v>
      </c>
      <c r="AO915" s="1" t="s">
        <v>198</v>
      </c>
      <c r="AP915" s="1">
        <v>1.0</v>
      </c>
      <c r="AQ915" s="1" t="s">
        <v>1314</v>
      </c>
      <c r="AR915" s="1" t="s">
        <v>192</v>
      </c>
      <c r="AS915" s="1" t="s">
        <v>199</v>
      </c>
      <c r="AT915" s="1">
        <v>3.0</v>
      </c>
      <c r="AV915" s="1" t="s">
        <v>200</v>
      </c>
      <c r="AW915" s="1">
        <v>9452.2</v>
      </c>
      <c r="AX915" s="1">
        <v>2013.0</v>
      </c>
      <c r="AY915" s="1" t="s">
        <v>387</v>
      </c>
      <c r="AZ915" s="1" t="s">
        <v>200</v>
      </c>
      <c r="BA915" s="1" t="str">
        <f>"0535227003"</f>
        <v>0535227003</v>
      </c>
      <c r="BB915" s="1" t="s">
        <v>200</v>
      </c>
      <c r="BC915" s="1">
        <v>2352.0</v>
      </c>
      <c r="BD915" s="1">
        <v>258000.0</v>
      </c>
      <c r="BE915" s="2">
        <v>41862.0</v>
      </c>
      <c r="BF915" s="2" t="s">
        <v>10423</v>
      </c>
      <c r="BH915" s="1">
        <v>0.0</v>
      </c>
      <c r="BK915" s="1" t="s">
        <v>204</v>
      </c>
      <c r="BL915" s="1" t="str">
        <f>"8"</f>
        <v>8</v>
      </c>
      <c r="BM915" s="1" t="str">
        <f>"0"</f>
        <v>0</v>
      </c>
      <c r="BN915" s="1">
        <v>40.0</v>
      </c>
      <c r="BO915" s="1">
        <v>0.0</v>
      </c>
      <c r="BQ915" s="1">
        <v>301.0</v>
      </c>
      <c r="BR915" s="1">
        <v>301.0</v>
      </c>
      <c r="BS915" s="1">
        <v>301.0</v>
      </c>
      <c r="BU915" s="1" t="s">
        <v>262</v>
      </c>
      <c r="BV915" s="1" t="s">
        <v>206</v>
      </c>
      <c r="BW915" s="1" t="s">
        <v>207</v>
      </c>
      <c r="BY915" s="1" t="s">
        <v>208</v>
      </c>
      <c r="BZ915" s="1" t="s">
        <v>206</v>
      </c>
      <c r="CA915" s="1" t="s">
        <v>210</v>
      </c>
      <c r="CD915" s="1" t="s">
        <v>204</v>
      </c>
      <c r="CG915" s="1" t="s">
        <v>212</v>
      </c>
      <c r="CH915" s="1" t="s">
        <v>206</v>
      </c>
      <c r="CI915" s="1" t="s">
        <v>210</v>
      </c>
      <c r="CK915" s="1" t="s">
        <v>212</v>
      </c>
      <c r="CL915" s="1" t="s">
        <v>206</v>
      </c>
      <c r="CM915" s="1" t="s">
        <v>210</v>
      </c>
      <c r="CO915" s="1" t="s">
        <v>925</v>
      </c>
      <c r="CP915" s="1" t="s">
        <v>42</v>
      </c>
      <c r="CQ915" s="1" t="s">
        <v>210</v>
      </c>
      <c r="CS915" s="1" t="s">
        <v>2261</v>
      </c>
      <c r="CT915" s="1" t="s">
        <v>206</v>
      </c>
      <c r="CU915" s="1" t="s">
        <v>207</v>
      </c>
      <c r="CW915" s="1" t="s">
        <v>878</v>
      </c>
      <c r="CX915" s="1" t="s">
        <v>206</v>
      </c>
      <c r="CY915" s="1" t="s">
        <v>210</v>
      </c>
      <c r="DA915" s="1" t="s">
        <v>200</v>
      </c>
      <c r="DC915" s="1" t="s">
        <v>435</v>
      </c>
      <c r="DD915" s="1" t="s">
        <v>336</v>
      </c>
      <c r="DE915" s="1" t="s">
        <v>273</v>
      </c>
      <c r="DF915" s="1" t="s">
        <v>219</v>
      </c>
      <c r="DH915" s="1" t="s">
        <v>856</v>
      </c>
      <c r="DI915" s="1" t="s">
        <v>10424</v>
      </c>
      <c r="DJ915" s="1" t="s">
        <v>857</v>
      </c>
      <c r="DL915" s="1" t="s">
        <v>1267</v>
      </c>
      <c r="DM915" s="1" t="s">
        <v>338</v>
      </c>
      <c r="DN915" s="1" t="s">
        <v>367</v>
      </c>
      <c r="DQ915" s="1" t="s">
        <v>931</v>
      </c>
      <c r="DR915" s="1" t="s">
        <v>229</v>
      </c>
      <c r="DU915" s="1" t="s">
        <v>2691</v>
      </c>
      <c r="DV915" s="1" t="s">
        <v>10425</v>
      </c>
      <c r="DW915" s="1" t="s">
        <v>370</v>
      </c>
      <c r="DX915" s="1" t="s">
        <v>234</v>
      </c>
      <c r="DY915" s="1" t="s">
        <v>1958</v>
      </c>
      <c r="DZ915" s="1" t="s">
        <v>705</v>
      </c>
      <c r="EA915" s="1" t="s">
        <v>683</v>
      </c>
      <c r="EB915" s="1" t="s">
        <v>345</v>
      </c>
      <c r="EC915" s="1" t="s">
        <v>685</v>
      </c>
      <c r="ED915" s="1" t="s">
        <v>555</v>
      </c>
      <c r="EG915" s="1" t="s">
        <v>494</v>
      </c>
      <c r="EH915" s="1" t="s">
        <v>450</v>
      </c>
      <c r="EI915" s="1" t="s">
        <v>451</v>
      </c>
      <c r="EJ915" s="1" t="s">
        <v>408</v>
      </c>
      <c r="EL915" s="1" t="s">
        <v>331</v>
      </c>
      <c r="EM915" s="1" t="s">
        <v>206</v>
      </c>
      <c r="EN915" s="1" t="s">
        <v>210</v>
      </c>
      <c r="EP915" s="1" t="s">
        <v>515</v>
      </c>
      <c r="EQ915" s="1" t="s">
        <v>42</v>
      </c>
      <c r="ER915" s="1" t="s">
        <v>210</v>
      </c>
      <c r="ET915" s="1" t="s">
        <v>453</v>
      </c>
      <c r="EU915" s="1" t="s">
        <v>42</v>
      </c>
      <c r="EV915" s="1" t="s">
        <v>617</v>
      </c>
      <c r="EX915" s="1" t="s">
        <v>1246</v>
      </c>
      <c r="EY915" s="1" t="s">
        <v>206</v>
      </c>
      <c r="EZ915" s="1" t="s">
        <v>207</v>
      </c>
      <c r="FC915" s="1" t="s">
        <v>238</v>
      </c>
      <c r="FF915" s="1" t="s">
        <v>239</v>
      </c>
      <c r="FG915" s="1" t="s">
        <v>192</v>
      </c>
      <c r="FH915" s="1" t="s">
        <v>192</v>
      </c>
      <c r="FJ915" s="1" t="s">
        <v>347</v>
      </c>
      <c r="FK915" s="1" t="s">
        <v>229</v>
      </c>
      <c r="FL915" s="1" t="s">
        <v>2263</v>
      </c>
      <c r="FM915" s="1">
        <v>7661.0</v>
      </c>
      <c r="FN915" s="1" t="s">
        <v>4356</v>
      </c>
      <c r="FO915" s="1" t="s">
        <v>7176</v>
      </c>
      <c r="FP915" s="1">
        <v>7844.0</v>
      </c>
      <c r="FQ915" s="1" t="s">
        <v>7177</v>
      </c>
      <c r="FU915" s="1" t="s">
        <v>4359</v>
      </c>
      <c r="FV915" s="1" t="s">
        <v>192</v>
      </c>
      <c r="FW915" s="1" t="s">
        <v>1307</v>
      </c>
      <c r="FZ915" s="1" t="s">
        <v>229</v>
      </c>
      <c r="GA915" s="1" t="s">
        <v>291</v>
      </c>
      <c r="GB915" s="2">
        <v>42037.0</v>
      </c>
      <c r="GC915" s="1" t="s">
        <v>10426</v>
      </c>
    </row>
    <row r="916">
      <c r="A916" s="1">
        <v>175000.0</v>
      </c>
      <c r="B916" s="1" t="s">
        <v>185</v>
      </c>
      <c r="C916" s="1" t="str">
        <f>"08565317"</f>
        <v>08565317</v>
      </c>
      <c r="D916" s="1" t="s">
        <v>186</v>
      </c>
      <c r="F916" s="1" t="str">
        <f>"8065"</f>
        <v>8065</v>
      </c>
      <c r="G916" s="2">
        <v>41721.0</v>
      </c>
      <c r="H916" s="1">
        <v>194900.0</v>
      </c>
      <c r="I916" s="1">
        <v>94.0</v>
      </c>
      <c r="J916" s="1">
        <v>179900.0</v>
      </c>
      <c r="K916" s="2">
        <v>41814.0</v>
      </c>
      <c r="L916" s="1">
        <v>94.0</v>
      </c>
      <c r="M916" s="2">
        <v>41814.0</v>
      </c>
      <c r="N916" s="1" t="s">
        <v>187</v>
      </c>
      <c r="O916" s="2">
        <v>41995.0</v>
      </c>
      <c r="P916" s="1">
        <v>146291.0</v>
      </c>
      <c r="Q916" s="1">
        <v>85188.0</v>
      </c>
      <c r="S916" s="1">
        <v>6356.0</v>
      </c>
      <c r="T916" s="1" t="s">
        <v>10427</v>
      </c>
      <c r="U916" s="1" t="s">
        <v>189</v>
      </c>
      <c r="V916" s="1" t="s">
        <v>190</v>
      </c>
      <c r="W916" s="1">
        <v>60629.0</v>
      </c>
      <c r="Y916" s="1" t="s">
        <v>10428</v>
      </c>
      <c r="Z916" s="1">
        <v>1943.0</v>
      </c>
      <c r="AA916" s="1" t="s">
        <v>192</v>
      </c>
      <c r="AB916" s="1" t="s">
        <v>193</v>
      </c>
      <c r="AD916" s="1" t="s">
        <v>194</v>
      </c>
      <c r="AE916" s="1" t="s">
        <v>195</v>
      </c>
      <c r="AF916" s="1" t="s">
        <v>659</v>
      </c>
      <c r="AH916" s="1" t="s">
        <v>10429</v>
      </c>
      <c r="AK916" s="1">
        <v>9.0</v>
      </c>
      <c r="AL916" s="1">
        <v>3.0</v>
      </c>
      <c r="AM916" s="1">
        <v>1.0</v>
      </c>
      <c r="AN916" s="1">
        <v>1.0</v>
      </c>
      <c r="AO916" s="1" t="s">
        <v>229</v>
      </c>
      <c r="AP916" s="1">
        <v>2.0</v>
      </c>
      <c r="AQ916" s="1" t="s">
        <v>198</v>
      </c>
      <c r="AR916" s="1" t="s">
        <v>200</v>
      </c>
      <c r="AS916" s="1" t="s">
        <v>199</v>
      </c>
      <c r="AT916" s="1">
        <v>2.0</v>
      </c>
      <c r="AV916" s="1" t="s">
        <v>200</v>
      </c>
      <c r="AW916" s="1">
        <v>2596.0</v>
      </c>
      <c r="AX916" s="1">
        <v>2012.0</v>
      </c>
      <c r="AY916" s="1" t="s">
        <v>387</v>
      </c>
      <c r="AZ916" s="1" t="s">
        <v>200</v>
      </c>
      <c r="BA916" s="1" t="str">
        <f>"19222040380000"</f>
        <v>19222040380000</v>
      </c>
      <c r="BC916" s="1">
        <v>1424.0</v>
      </c>
      <c r="BD916" s="1">
        <v>175000.0</v>
      </c>
      <c r="BE916" s="2">
        <v>41721.0</v>
      </c>
      <c r="BF916" s="2" t="s">
        <v>10430</v>
      </c>
      <c r="BH916" s="1">
        <v>0.0</v>
      </c>
      <c r="BK916" s="1" t="s">
        <v>204</v>
      </c>
      <c r="BL916" s="1" t="str">
        <f t="shared" ref="BL916:BM916" si="597">"0"</f>
        <v>0</v>
      </c>
      <c r="BM916" s="1" t="str">
        <f t="shared" si="597"/>
        <v>0</v>
      </c>
      <c r="BN916" s="1">
        <v>4132.0</v>
      </c>
      <c r="BO916" s="1">
        <v>6400.0</v>
      </c>
      <c r="BQ916" s="1">
        <v>299.0</v>
      </c>
      <c r="BR916" s="1">
        <v>299.0</v>
      </c>
      <c r="BS916" s="1">
        <v>299.0</v>
      </c>
      <c r="BU916" s="1" t="s">
        <v>1426</v>
      </c>
      <c r="BV916" s="1" t="s">
        <v>206</v>
      </c>
      <c r="BW916" s="1" t="s">
        <v>207</v>
      </c>
      <c r="BX916" s="1" t="s">
        <v>431</v>
      </c>
      <c r="BY916" s="1" t="s">
        <v>1426</v>
      </c>
      <c r="BZ916" s="1" t="s">
        <v>209</v>
      </c>
      <c r="CA916" s="1" t="s">
        <v>210</v>
      </c>
      <c r="CB916" s="1" t="s">
        <v>431</v>
      </c>
      <c r="CC916" s="1" t="s">
        <v>215</v>
      </c>
      <c r="CD916" s="1" t="s">
        <v>206</v>
      </c>
      <c r="CE916" s="1" t="s">
        <v>207</v>
      </c>
      <c r="CF916" s="1" t="s">
        <v>431</v>
      </c>
      <c r="CG916" s="1" t="s">
        <v>363</v>
      </c>
      <c r="CH916" s="1" t="s">
        <v>209</v>
      </c>
      <c r="CI916" s="1" t="s">
        <v>210</v>
      </c>
      <c r="CJ916" s="1" t="s">
        <v>431</v>
      </c>
      <c r="CK916" s="1" t="s">
        <v>264</v>
      </c>
      <c r="CL916" s="1" t="s">
        <v>206</v>
      </c>
      <c r="CM916" s="1" t="s">
        <v>207</v>
      </c>
      <c r="CN916" s="1" t="s">
        <v>431</v>
      </c>
      <c r="CO916" s="1" t="s">
        <v>925</v>
      </c>
      <c r="CP916" s="1" t="s">
        <v>42</v>
      </c>
      <c r="CQ916" s="1" t="s">
        <v>268</v>
      </c>
      <c r="CS916" s="1" t="s">
        <v>264</v>
      </c>
      <c r="CT916" s="1" t="s">
        <v>206</v>
      </c>
      <c r="CU916" s="1" t="s">
        <v>207</v>
      </c>
      <c r="CV916" s="1" t="s">
        <v>431</v>
      </c>
      <c r="CW916" s="1" t="s">
        <v>6146</v>
      </c>
      <c r="CX916" s="1" t="s">
        <v>42</v>
      </c>
      <c r="CY916" s="1" t="s">
        <v>268</v>
      </c>
      <c r="DA916" s="1" t="s">
        <v>200</v>
      </c>
      <c r="DC916" s="1" t="s">
        <v>1399</v>
      </c>
      <c r="DD916" s="1" t="s">
        <v>518</v>
      </c>
      <c r="DE916" s="1" t="s">
        <v>273</v>
      </c>
      <c r="DF916" s="1" t="s">
        <v>219</v>
      </c>
      <c r="DG916" s="1" t="s">
        <v>2311</v>
      </c>
      <c r="DH916" s="1" t="s">
        <v>365</v>
      </c>
      <c r="DI916" s="1" t="s">
        <v>831</v>
      </c>
      <c r="DJ916" s="1" t="s">
        <v>1048</v>
      </c>
      <c r="DK916" s="1" t="s">
        <v>224</v>
      </c>
      <c r="DL916" s="1" t="s">
        <v>224</v>
      </c>
      <c r="DM916" s="1" t="s">
        <v>229</v>
      </c>
      <c r="DO916" s="1" t="s">
        <v>1004</v>
      </c>
      <c r="DP916" s="1" t="s">
        <v>340</v>
      </c>
      <c r="DQ916" s="1" t="s">
        <v>794</v>
      </c>
      <c r="DR916" s="1" t="s">
        <v>229</v>
      </c>
      <c r="DS916" s="1" t="s">
        <v>368</v>
      </c>
      <c r="DV916" s="1" t="s">
        <v>598</v>
      </c>
      <c r="DW916" s="1" t="s">
        <v>279</v>
      </c>
      <c r="DX916" s="1" t="s">
        <v>234</v>
      </c>
      <c r="DY916" s="1" t="s">
        <v>2240</v>
      </c>
      <c r="DZ916" s="1" t="s">
        <v>10431</v>
      </c>
      <c r="EA916" s="1" t="s">
        <v>1695</v>
      </c>
      <c r="EB916" s="1" t="s">
        <v>345</v>
      </c>
      <c r="EC916" s="1" t="s">
        <v>645</v>
      </c>
      <c r="ED916" s="1" t="s">
        <v>407</v>
      </c>
      <c r="EE916" s="1" t="s">
        <v>493</v>
      </c>
      <c r="EG916" s="1" t="s">
        <v>598</v>
      </c>
      <c r="EL916" s="1" t="s">
        <v>4153</v>
      </c>
      <c r="EM916" s="1" t="s">
        <v>42</v>
      </c>
      <c r="EN916" s="1" t="s">
        <v>268</v>
      </c>
      <c r="EQ916" s="1" t="s">
        <v>238</v>
      </c>
      <c r="EU916" s="1" t="s">
        <v>238</v>
      </c>
      <c r="EY916" s="1" t="s">
        <v>238</v>
      </c>
      <c r="FC916" s="1" t="s">
        <v>238</v>
      </c>
      <c r="FF916" s="1" t="s">
        <v>239</v>
      </c>
      <c r="FG916" s="1" t="s">
        <v>192</v>
      </c>
      <c r="FH916" s="1" t="s">
        <v>192</v>
      </c>
      <c r="FJ916" s="1" t="s">
        <v>7945</v>
      </c>
      <c r="FK916" s="1" t="s">
        <v>1586</v>
      </c>
      <c r="FL916" s="1" t="s">
        <v>5057</v>
      </c>
      <c r="FM916" s="1">
        <v>24274.0</v>
      </c>
      <c r="FN916" s="1" t="s">
        <v>5058</v>
      </c>
      <c r="FO916" s="1" t="s">
        <v>10432</v>
      </c>
      <c r="FP916" s="1">
        <v>237187.0</v>
      </c>
      <c r="FQ916" s="1" t="s">
        <v>10433</v>
      </c>
      <c r="FS916" s="1" t="s">
        <v>10434</v>
      </c>
      <c r="FU916" s="1" t="s">
        <v>10435</v>
      </c>
      <c r="FV916" s="1" t="s">
        <v>200</v>
      </c>
      <c r="FW916" s="1" t="s">
        <v>567</v>
      </c>
      <c r="FX916" s="1" t="s">
        <v>655</v>
      </c>
      <c r="FZ916" s="1" t="s">
        <v>229</v>
      </c>
      <c r="GA916" s="1" t="s">
        <v>291</v>
      </c>
      <c r="GB916" s="2">
        <v>41995.0</v>
      </c>
      <c r="GC916" s="1" t="s">
        <v>10436</v>
      </c>
    </row>
    <row r="917">
      <c r="A917" s="1">
        <v>180000.0</v>
      </c>
      <c r="B917" s="1" t="s">
        <v>185</v>
      </c>
      <c r="C917" s="1" t="str">
        <f>"08571207"</f>
        <v>08571207</v>
      </c>
      <c r="D917" s="1" t="s">
        <v>186</v>
      </c>
      <c r="F917" s="1" t="str">
        <f>"538"</f>
        <v>538</v>
      </c>
      <c r="G917" s="2">
        <v>41729.0</v>
      </c>
      <c r="H917" s="1">
        <v>219700.0</v>
      </c>
      <c r="I917" s="1">
        <v>206.0</v>
      </c>
      <c r="J917" s="1">
        <v>179900.0</v>
      </c>
      <c r="K917" s="2">
        <v>41933.0</v>
      </c>
      <c r="L917" s="1">
        <v>206.0</v>
      </c>
      <c r="M917" s="2">
        <v>41933.0</v>
      </c>
      <c r="N917" s="1" t="s">
        <v>356</v>
      </c>
      <c r="O917" s="2">
        <v>41977.0</v>
      </c>
      <c r="P917" s="1">
        <v>931541.0</v>
      </c>
      <c r="Q917" s="1">
        <v>93094.0</v>
      </c>
      <c r="S917" s="1">
        <v>2227.0</v>
      </c>
      <c r="T917" s="1" t="s">
        <v>7675</v>
      </c>
      <c r="U917" s="1" t="s">
        <v>569</v>
      </c>
      <c r="V917" s="1" t="s">
        <v>1340</v>
      </c>
      <c r="W917" s="1">
        <v>60538.0</v>
      </c>
      <c r="Y917" s="1" t="s">
        <v>10437</v>
      </c>
      <c r="Z917" s="1">
        <v>2003.0</v>
      </c>
      <c r="AA917" s="1" t="s">
        <v>200</v>
      </c>
      <c r="AB917" s="1" t="s">
        <v>467</v>
      </c>
      <c r="AC917" s="1" t="s">
        <v>5960</v>
      </c>
      <c r="AD917" s="1" t="s">
        <v>1343</v>
      </c>
      <c r="AE917" s="1" t="s">
        <v>849</v>
      </c>
      <c r="AF917" s="1" t="s">
        <v>1312</v>
      </c>
      <c r="AH917" s="1">
        <v>10890.0</v>
      </c>
      <c r="AI917" s="1">
        <v>0.25</v>
      </c>
      <c r="AK917" s="1">
        <v>8.0</v>
      </c>
      <c r="AL917" s="1">
        <v>4.0</v>
      </c>
      <c r="AM917" s="1">
        <v>2.0</v>
      </c>
      <c r="AN917" s="1">
        <v>1.0</v>
      </c>
      <c r="AO917" s="1" t="s">
        <v>198</v>
      </c>
      <c r="AP917" s="1">
        <v>0.0</v>
      </c>
      <c r="AQ917" s="1" t="s">
        <v>198</v>
      </c>
      <c r="AR917" s="1" t="s">
        <v>200</v>
      </c>
      <c r="AS917" s="1" t="s">
        <v>199</v>
      </c>
      <c r="AT917" s="1">
        <v>2.0</v>
      </c>
      <c r="AV917" s="1" t="s">
        <v>200</v>
      </c>
      <c r="AW917" s="1">
        <v>5380.34</v>
      </c>
      <c r="AX917" s="1">
        <v>2012.0</v>
      </c>
      <c r="AZ917" s="1" t="s">
        <v>200</v>
      </c>
      <c r="BA917" s="1" t="str">
        <f>"0201125006"</f>
        <v>0201125006</v>
      </c>
      <c r="BC917" s="1">
        <v>2250.0</v>
      </c>
      <c r="BD917" s="1">
        <v>180000.0</v>
      </c>
      <c r="BE917" s="2">
        <v>41728.0</v>
      </c>
      <c r="BF917" s="1" t="s">
        <v>10438</v>
      </c>
      <c r="BG917" s="1" t="s">
        <v>4985</v>
      </c>
      <c r="BH917" s="1">
        <v>81.0</v>
      </c>
      <c r="BI917" s="1" t="s">
        <v>1348</v>
      </c>
      <c r="BJ917" s="1" t="s">
        <v>1349</v>
      </c>
      <c r="BK917" s="1" t="s">
        <v>1952</v>
      </c>
      <c r="BL917" s="1" t="str">
        <f t="shared" ref="BL917:BM917" si="598">""</f>
        <v/>
      </c>
      <c r="BM917" s="1" t="str">
        <f t="shared" si="598"/>
        <v/>
      </c>
      <c r="BQ917" s="1">
        <v>308.0</v>
      </c>
      <c r="BR917" s="1">
        <v>308.0</v>
      </c>
      <c r="BS917" s="1">
        <v>308.0</v>
      </c>
      <c r="BU917" s="1" t="s">
        <v>300</v>
      </c>
      <c r="BV917" s="1" t="s">
        <v>206</v>
      </c>
      <c r="BY917" s="1" t="s">
        <v>1063</v>
      </c>
      <c r="BZ917" s="1" t="s">
        <v>209</v>
      </c>
      <c r="CC917" s="1" t="s">
        <v>302</v>
      </c>
      <c r="CD917" s="1" t="s">
        <v>206</v>
      </c>
      <c r="CG917" s="1" t="s">
        <v>363</v>
      </c>
      <c r="CH917" s="1" t="s">
        <v>209</v>
      </c>
      <c r="CK917" s="1" t="s">
        <v>363</v>
      </c>
      <c r="CL917" s="1" t="s">
        <v>209</v>
      </c>
      <c r="CO917" s="1" t="s">
        <v>363</v>
      </c>
      <c r="CP917" s="1" t="s">
        <v>209</v>
      </c>
      <c r="CS917" s="1" t="s">
        <v>664</v>
      </c>
      <c r="CT917" s="1" t="s">
        <v>206</v>
      </c>
      <c r="CW917" s="1" t="s">
        <v>1043</v>
      </c>
      <c r="CX917" s="1" t="s">
        <v>206</v>
      </c>
      <c r="DA917" s="1" t="s">
        <v>200</v>
      </c>
      <c r="DC917" s="1" t="s">
        <v>335</v>
      </c>
      <c r="DE917" s="1" t="s">
        <v>273</v>
      </c>
      <c r="DF917" s="1" t="s">
        <v>219</v>
      </c>
      <c r="DH917" s="1" t="s">
        <v>220</v>
      </c>
      <c r="DJ917" s="1" t="s">
        <v>222</v>
      </c>
      <c r="DL917" s="1" t="s">
        <v>223</v>
      </c>
      <c r="DM917" s="1" t="s">
        <v>338</v>
      </c>
      <c r="DQ917" s="1" t="s">
        <v>228</v>
      </c>
      <c r="DR917" s="1" t="s">
        <v>588</v>
      </c>
      <c r="DV917" s="1" t="s">
        <v>232</v>
      </c>
      <c r="DW917" s="1" t="s">
        <v>233</v>
      </c>
      <c r="DX917" s="1" t="s">
        <v>234</v>
      </c>
      <c r="EC917" s="1" t="s">
        <v>237</v>
      </c>
      <c r="EM917" s="1" t="s">
        <v>238</v>
      </c>
      <c r="EQ917" s="1" t="s">
        <v>238</v>
      </c>
      <c r="EU917" s="1" t="s">
        <v>238</v>
      </c>
      <c r="EY917" s="1" t="s">
        <v>238</v>
      </c>
      <c r="FC917" s="1" t="s">
        <v>238</v>
      </c>
      <c r="FF917" s="1" t="s">
        <v>239</v>
      </c>
      <c r="FG917" s="1" t="s">
        <v>192</v>
      </c>
      <c r="FH917" s="1" t="s">
        <v>192</v>
      </c>
      <c r="FJ917" s="1" t="s">
        <v>347</v>
      </c>
      <c r="FK917" s="1" t="s">
        <v>229</v>
      </c>
      <c r="FL917" s="1" t="s">
        <v>10439</v>
      </c>
      <c r="FM917" s="1">
        <v>24199.0</v>
      </c>
      <c r="FN917" s="1" t="s">
        <v>10440</v>
      </c>
      <c r="FO917" s="1" t="s">
        <v>10441</v>
      </c>
      <c r="FP917" s="1">
        <v>235607.0</v>
      </c>
      <c r="FQ917" s="1" t="s">
        <v>10442</v>
      </c>
      <c r="FR917" s="1">
        <v>237175.0</v>
      </c>
      <c r="FU917" s="1" t="s">
        <v>10443</v>
      </c>
      <c r="FV917" s="1" t="s">
        <v>200</v>
      </c>
      <c r="FW917" s="1" t="s">
        <v>354</v>
      </c>
      <c r="FZ917" s="1" t="s">
        <v>229</v>
      </c>
      <c r="GA917" s="1" t="s">
        <v>291</v>
      </c>
      <c r="GB917" s="2">
        <v>41988.0</v>
      </c>
      <c r="GC917" s="1" t="s">
        <v>10444</v>
      </c>
    </row>
    <row r="918">
      <c r="A918" s="1">
        <v>276000.0</v>
      </c>
      <c r="B918" s="1" t="s">
        <v>185</v>
      </c>
      <c r="C918" s="1" t="str">
        <f>"08572510"</f>
        <v>08572510</v>
      </c>
      <c r="D918" s="1" t="s">
        <v>186</v>
      </c>
      <c r="F918" s="1" t="str">
        <f>"542"</f>
        <v>542</v>
      </c>
      <c r="G918" s="2">
        <v>41730.0</v>
      </c>
      <c r="H918" s="1">
        <v>392000.0</v>
      </c>
      <c r="I918" s="1">
        <v>254.0</v>
      </c>
      <c r="J918" s="1">
        <v>279900.0</v>
      </c>
      <c r="K918" s="2">
        <v>41983.0</v>
      </c>
      <c r="L918" s="1">
        <v>254.0</v>
      </c>
      <c r="M918" s="2">
        <v>41983.0</v>
      </c>
      <c r="N918" s="1" t="s">
        <v>187</v>
      </c>
      <c r="O918" s="2">
        <v>42034.0</v>
      </c>
      <c r="P918" s="1">
        <v>930256.0</v>
      </c>
      <c r="Q918" s="1">
        <v>93094.0</v>
      </c>
      <c r="R918" s="1">
        <v>8250.0</v>
      </c>
      <c r="S918" s="1">
        <v>2552.0</v>
      </c>
      <c r="T918" s="1" t="s">
        <v>10445</v>
      </c>
      <c r="U918" s="1" t="s">
        <v>1015</v>
      </c>
      <c r="V918" s="1" t="s">
        <v>3984</v>
      </c>
      <c r="W918" s="1">
        <v>60542.0</v>
      </c>
      <c r="Y918" s="1" t="s">
        <v>10446</v>
      </c>
      <c r="Z918" s="1">
        <v>2004.0</v>
      </c>
      <c r="AA918" s="1" t="s">
        <v>200</v>
      </c>
      <c r="AB918" s="1" t="s">
        <v>467</v>
      </c>
      <c r="AC918" s="1" t="s">
        <v>10447</v>
      </c>
      <c r="AD918" s="1" t="s">
        <v>3986</v>
      </c>
      <c r="AE918" s="1" t="s">
        <v>325</v>
      </c>
      <c r="AF918" s="1" t="s">
        <v>2702</v>
      </c>
      <c r="AG918" s="1" t="s">
        <v>10448</v>
      </c>
      <c r="AH918" s="1" t="s">
        <v>10449</v>
      </c>
      <c r="AK918" s="1">
        <v>9.0</v>
      </c>
      <c r="AL918" s="1">
        <v>4.0</v>
      </c>
      <c r="AM918" s="1">
        <v>4.0</v>
      </c>
      <c r="AN918" s="1">
        <v>0.0</v>
      </c>
      <c r="AO918" s="1" t="s">
        <v>198</v>
      </c>
      <c r="AQ918" s="1" t="s">
        <v>198</v>
      </c>
      <c r="AR918" s="1" t="s">
        <v>200</v>
      </c>
      <c r="AS918" s="1" t="s">
        <v>199</v>
      </c>
      <c r="AT918" s="1">
        <v>3.0</v>
      </c>
      <c r="AV918" s="1" t="s">
        <v>200</v>
      </c>
      <c r="AW918" s="1">
        <v>11656.64</v>
      </c>
      <c r="AX918" s="1">
        <v>2013.0</v>
      </c>
      <c r="AZ918" s="1" t="s">
        <v>200</v>
      </c>
      <c r="BA918" s="1" t="str">
        <f>"1136452007"</f>
        <v>1136452007</v>
      </c>
      <c r="BB918" s="1" t="s">
        <v>200</v>
      </c>
      <c r="BC918" s="1">
        <v>3881.0</v>
      </c>
      <c r="BD918" s="1">
        <v>276000.0</v>
      </c>
      <c r="BE918" s="2">
        <v>41730.0</v>
      </c>
      <c r="BF918" s="1" t="s">
        <v>10450</v>
      </c>
      <c r="BH918" s="1">
        <v>45.0</v>
      </c>
      <c r="BK918" s="1" t="s">
        <v>1952</v>
      </c>
      <c r="BL918" s="1" t="str">
        <f t="shared" ref="BL918:BM918" si="599">""</f>
        <v/>
      </c>
      <c r="BM918" s="1" t="str">
        <f t="shared" si="599"/>
        <v/>
      </c>
      <c r="BQ918" s="1">
        <v>129.0</v>
      </c>
      <c r="BR918" s="1">
        <v>129.0</v>
      </c>
      <c r="BS918" s="1">
        <v>129.0</v>
      </c>
      <c r="BU918" s="1" t="s">
        <v>205</v>
      </c>
      <c r="BV918" s="1" t="s">
        <v>206</v>
      </c>
      <c r="BY918" s="1" t="s">
        <v>7203</v>
      </c>
      <c r="BZ918" s="1" t="s">
        <v>209</v>
      </c>
      <c r="CC918" s="1" t="s">
        <v>497</v>
      </c>
      <c r="CD918" s="1" t="s">
        <v>206</v>
      </c>
      <c r="CG918" s="1" t="s">
        <v>363</v>
      </c>
      <c r="CH918" s="1" t="s">
        <v>209</v>
      </c>
      <c r="CK918" s="1" t="s">
        <v>329</v>
      </c>
      <c r="CL918" s="1" t="s">
        <v>209</v>
      </c>
      <c r="CO918" s="1" t="s">
        <v>214</v>
      </c>
      <c r="CP918" s="1" t="s">
        <v>209</v>
      </c>
      <c r="CS918" s="1" t="s">
        <v>1535</v>
      </c>
      <c r="CT918" s="1" t="s">
        <v>206</v>
      </c>
      <c r="CW918" s="1" t="s">
        <v>304</v>
      </c>
      <c r="CX918" s="1" t="s">
        <v>206</v>
      </c>
      <c r="DA918" s="1" t="s">
        <v>200</v>
      </c>
      <c r="DC918" s="1" t="s">
        <v>481</v>
      </c>
      <c r="DD918" s="1" t="s">
        <v>436</v>
      </c>
      <c r="DE918" s="1" t="s">
        <v>273</v>
      </c>
      <c r="DF918" s="1" t="s">
        <v>219</v>
      </c>
      <c r="DH918" s="1" t="s">
        <v>220</v>
      </c>
      <c r="DJ918" s="1" t="s">
        <v>222</v>
      </c>
      <c r="DK918" s="1" t="s">
        <v>198</v>
      </c>
      <c r="DL918" s="1" t="s">
        <v>223</v>
      </c>
      <c r="DM918" s="1" t="s">
        <v>229</v>
      </c>
      <c r="DP918" s="1" t="s">
        <v>340</v>
      </c>
      <c r="DQ918" s="1" t="s">
        <v>441</v>
      </c>
      <c r="DR918" s="1" t="s">
        <v>588</v>
      </c>
      <c r="DS918" s="1" t="s">
        <v>230</v>
      </c>
      <c r="DV918" s="1" t="s">
        <v>494</v>
      </c>
      <c r="DW918" s="1" t="s">
        <v>444</v>
      </c>
      <c r="DX918" s="1" t="s">
        <v>234</v>
      </c>
      <c r="EA918" s="1" t="s">
        <v>344</v>
      </c>
      <c r="EC918" s="1" t="s">
        <v>237</v>
      </c>
      <c r="EG918" s="1" t="s">
        <v>494</v>
      </c>
      <c r="EL918" s="1" t="s">
        <v>329</v>
      </c>
      <c r="EM918" s="1" t="s">
        <v>206</v>
      </c>
      <c r="EQ918" s="1" t="s">
        <v>238</v>
      </c>
      <c r="EU918" s="1" t="s">
        <v>238</v>
      </c>
      <c r="EY918" s="1" t="s">
        <v>238</v>
      </c>
      <c r="FC918" s="1" t="s">
        <v>238</v>
      </c>
      <c r="FF918" s="1" t="s">
        <v>239</v>
      </c>
      <c r="FG918" s="1" t="s">
        <v>192</v>
      </c>
      <c r="FH918" s="1" t="s">
        <v>192</v>
      </c>
      <c r="FJ918" s="1" t="s">
        <v>347</v>
      </c>
      <c r="FK918" s="1" t="s">
        <v>229</v>
      </c>
      <c r="FL918" s="1" t="s">
        <v>1775</v>
      </c>
      <c r="FM918" s="1">
        <v>31982.0</v>
      </c>
      <c r="FN918" s="1" t="s">
        <v>1776</v>
      </c>
      <c r="FO918" s="1" t="s">
        <v>1777</v>
      </c>
      <c r="FP918" s="1">
        <v>319888.0</v>
      </c>
      <c r="FQ918" s="1" t="s">
        <v>1778</v>
      </c>
      <c r="FU918" s="1" t="s">
        <v>1779</v>
      </c>
      <c r="FV918" s="1" t="s">
        <v>200</v>
      </c>
      <c r="FW918" s="1" t="s">
        <v>354</v>
      </c>
      <c r="FZ918" s="1" t="s">
        <v>229</v>
      </c>
      <c r="GA918" s="1" t="s">
        <v>291</v>
      </c>
      <c r="GB918" s="2">
        <v>42034.0</v>
      </c>
      <c r="GC918" s="1" t="s">
        <v>10451</v>
      </c>
    </row>
    <row r="919">
      <c r="A919" s="1">
        <v>30000.0</v>
      </c>
      <c r="B919" s="1" t="s">
        <v>185</v>
      </c>
      <c r="C919" s="1" t="str">
        <f>"08570881"</f>
        <v>08570881</v>
      </c>
      <c r="D919" s="1" t="s">
        <v>186</v>
      </c>
      <c r="F919" s="1" t="str">
        <f>"8044"</f>
        <v>8044</v>
      </c>
      <c r="G919" s="2">
        <v>41728.0</v>
      </c>
      <c r="H919" s="1">
        <v>65000.0</v>
      </c>
      <c r="I919" s="1">
        <v>278.0</v>
      </c>
      <c r="J919" s="1">
        <v>32500.0</v>
      </c>
      <c r="K919" s="2">
        <v>42002.0</v>
      </c>
      <c r="L919" s="1">
        <v>278.0</v>
      </c>
      <c r="M919" s="2">
        <v>42002.0</v>
      </c>
      <c r="N919" s="1" t="s">
        <v>249</v>
      </c>
      <c r="O919" s="2">
        <v>42052.0</v>
      </c>
      <c r="P919" s="1">
        <v>167505.0</v>
      </c>
      <c r="Q919" s="1">
        <v>16260.0</v>
      </c>
      <c r="S919" s="1">
        <v>8318.0</v>
      </c>
      <c r="T919" s="1" t="s">
        <v>4498</v>
      </c>
      <c r="U919" s="1" t="s">
        <v>189</v>
      </c>
      <c r="V919" s="1" t="s">
        <v>190</v>
      </c>
      <c r="W919" s="1">
        <v>60619.0</v>
      </c>
      <c r="Y919" s="1" t="s">
        <v>10452</v>
      </c>
      <c r="Z919" s="1">
        <v>1919.0</v>
      </c>
      <c r="AA919" s="1" t="s">
        <v>192</v>
      </c>
      <c r="AB919" s="1" t="s">
        <v>193</v>
      </c>
      <c r="AD919" s="1" t="s">
        <v>194</v>
      </c>
      <c r="AE919" s="1" t="s">
        <v>195</v>
      </c>
      <c r="AF919" s="1" t="s">
        <v>637</v>
      </c>
      <c r="AH919" s="1">
        <v>3750.0</v>
      </c>
      <c r="AI919" s="1">
        <v>0.0</v>
      </c>
      <c r="AK919" s="1">
        <v>8.0</v>
      </c>
      <c r="AL919" s="1">
        <v>4.0</v>
      </c>
      <c r="AM919" s="1">
        <v>2.0</v>
      </c>
      <c r="AN919" s="1">
        <v>0.0</v>
      </c>
      <c r="AO919" s="1" t="s">
        <v>229</v>
      </c>
      <c r="AQ919" s="1" t="s">
        <v>198</v>
      </c>
      <c r="AR919" s="1" t="s">
        <v>192</v>
      </c>
      <c r="AS919" s="1" t="s">
        <v>199</v>
      </c>
      <c r="AT919" s="1">
        <v>2.0</v>
      </c>
      <c r="AV919" s="1" t="s">
        <v>200</v>
      </c>
      <c r="AW919" s="1">
        <v>1767.92</v>
      </c>
      <c r="AX919" s="1">
        <v>2012.0</v>
      </c>
      <c r="AY919" s="1" t="s">
        <v>387</v>
      </c>
      <c r="AZ919" s="1" t="s">
        <v>200</v>
      </c>
      <c r="BA919" s="1" t="str">
        <f>"20353000320000"</f>
        <v>20353000320000</v>
      </c>
      <c r="BC919" s="1">
        <v>1237.0</v>
      </c>
      <c r="BD919" s="1">
        <v>30000.0</v>
      </c>
      <c r="BE919" s="2">
        <v>41725.0</v>
      </c>
      <c r="BF919" s="1" t="s">
        <v>10453</v>
      </c>
      <c r="BH919" s="1">
        <v>0.0</v>
      </c>
      <c r="BK919" s="1" t="s">
        <v>204</v>
      </c>
      <c r="BL919" s="1" t="str">
        <f>"0"</f>
        <v>0</v>
      </c>
      <c r="BM919" s="1" t="str">
        <f>"830"</f>
        <v>830</v>
      </c>
      <c r="BN919" s="1">
        <v>0.0</v>
      </c>
      <c r="BO919" s="1">
        <v>8300.0</v>
      </c>
      <c r="BQ919" s="1">
        <v>299.0</v>
      </c>
      <c r="BR919" s="1">
        <v>299.0</v>
      </c>
      <c r="BS919" s="1">
        <v>299.0</v>
      </c>
      <c r="BU919" s="1" t="s">
        <v>433</v>
      </c>
      <c r="BV919" s="1" t="s">
        <v>206</v>
      </c>
      <c r="BW919" s="1" t="s">
        <v>207</v>
      </c>
      <c r="BY919" s="1" t="s">
        <v>743</v>
      </c>
      <c r="BZ919" s="1" t="s">
        <v>206</v>
      </c>
      <c r="CC919" s="1" t="s">
        <v>433</v>
      </c>
      <c r="CD919" s="1" t="s">
        <v>206</v>
      </c>
      <c r="CE919" s="1" t="s">
        <v>207</v>
      </c>
      <c r="CG919" s="1" t="s">
        <v>1852</v>
      </c>
      <c r="CH919" s="1" t="s">
        <v>206</v>
      </c>
      <c r="CK919" s="1" t="s">
        <v>663</v>
      </c>
      <c r="CL919" s="1" t="s">
        <v>206</v>
      </c>
      <c r="CO919" s="1" t="s">
        <v>1329</v>
      </c>
      <c r="CP919" s="1" t="s">
        <v>209</v>
      </c>
      <c r="CS919" s="1" t="s">
        <v>1352</v>
      </c>
      <c r="CT919" s="1" t="s">
        <v>206</v>
      </c>
      <c r="CX919" s="1" t="s">
        <v>204</v>
      </c>
      <c r="DA919" s="1" t="s">
        <v>200</v>
      </c>
      <c r="DC919" s="1" t="s">
        <v>216</v>
      </c>
      <c r="DE919" s="1" t="s">
        <v>273</v>
      </c>
      <c r="DF919" s="1" t="s">
        <v>619</v>
      </c>
      <c r="DH919" s="1" t="s">
        <v>365</v>
      </c>
      <c r="DJ919" s="1" t="s">
        <v>222</v>
      </c>
      <c r="DL919" s="1" t="s">
        <v>858</v>
      </c>
      <c r="DM919" s="1" t="s">
        <v>229</v>
      </c>
      <c r="DQ919" s="1" t="s">
        <v>718</v>
      </c>
      <c r="DR919" s="1" t="s">
        <v>229</v>
      </c>
      <c r="DV919" s="1" t="s">
        <v>341</v>
      </c>
      <c r="DW919" s="1" t="s">
        <v>279</v>
      </c>
      <c r="DX919" s="1" t="s">
        <v>234</v>
      </c>
      <c r="EA919" s="1" t="s">
        <v>644</v>
      </c>
      <c r="EC919" s="1" t="s">
        <v>237</v>
      </c>
      <c r="EE919" s="1" t="s">
        <v>187</v>
      </c>
      <c r="EG919" s="1" t="s">
        <v>341</v>
      </c>
      <c r="EL919" s="1" t="s">
        <v>1329</v>
      </c>
      <c r="EM919" s="1" t="s">
        <v>209</v>
      </c>
      <c r="EQ919" s="1" t="s">
        <v>238</v>
      </c>
      <c r="EU919" s="1" t="s">
        <v>238</v>
      </c>
      <c r="EY919" s="1" t="s">
        <v>238</v>
      </c>
      <c r="FC919" s="1" t="s">
        <v>238</v>
      </c>
      <c r="FF919" s="1" t="s">
        <v>239</v>
      </c>
      <c r="FG919" s="1" t="s">
        <v>200</v>
      </c>
      <c r="FH919" s="1" t="s">
        <v>192</v>
      </c>
      <c r="FJ919" s="1" t="s">
        <v>10454</v>
      </c>
      <c r="FK919" s="1" t="s">
        <v>229</v>
      </c>
      <c r="FL919" s="1" t="s">
        <v>1997</v>
      </c>
      <c r="FM919" s="1">
        <v>85367.0</v>
      </c>
      <c r="FN919" s="1" t="s">
        <v>1998</v>
      </c>
      <c r="FO919" s="1" t="s">
        <v>10455</v>
      </c>
      <c r="FP919" s="1">
        <v>150826.0</v>
      </c>
      <c r="FQ919" s="1" t="s">
        <v>10456</v>
      </c>
      <c r="FU919" s="1" t="s">
        <v>10457</v>
      </c>
      <c r="FV919" s="1" t="s">
        <v>200</v>
      </c>
      <c r="FW919" s="1" t="s">
        <v>530</v>
      </c>
      <c r="FX919" s="1" t="s">
        <v>655</v>
      </c>
      <c r="FZ919" s="1" t="s">
        <v>229</v>
      </c>
      <c r="GA919" s="1" t="s">
        <v>291</v>
      </c>
      <c r="GB919" s="2">
        <v>42058.0</v>
      </c>
      <c r="GC919" s="1" t="s">
        <v>10458</v>
      </c>
    </row>
    <row r="920">
      <c r="A920" s="1">
        <v>375000.0</v>
      </c>
      <c r="B920" s="1" t="s">
        <v>185</v>
      </c>
      <c r="C920" s="1" t="str">
        <f>"08578029"</f>
        <v>08578029</v>
      </c>
      <c r="D920" s="1" t="s">
        <v>186</v>
      </c>
      <c r="F920" s="1" t="str">
        <f>"119"</f>
        <v>119</v>
      </c>
      <c r="G920" s="2">
        <v>41736.0</v>
      </c>
      <c r="H920" s="1">
        <v>389900.0</v>
      </c>
      <c r="I920" s="1">
        <v>191.0</v>
      </c>
      <c r="J920" s="1">
        <v>389900.0</v>
      </c>
      <c r="K920" s="2">
        <v>41926.0</v>
      </c>
      <c r="L920" s="1">
        <v>191.0</v>
      </c>
      <c r="M920" s="2">
        <v>41926.0</v>
      </c>
      <c r="N920" s="1" t="s">
        <v>187</v>
      </c>
      <c r="O920" s="2">
        <v>41978.0</v>
      </c>
      <c r="P920" s="1">
        <v>902.0</v>
      </c>
      <c r="Q920" s="1">
        <v>49.0</v>
      </c>
      <c r="S920" s="1">
        <v>1465.0</v>
      </c>
      <c r="T920" s="1" t="s">
        <v>10459</v>
      </c>
      <c r="U920" s="1" t="s">
        <v>320</v>
      </c>
      <c r="V920" s="1" t="s">
        <v>1476</v>
      </c>
      <c r="W920" s="1">
        <v>60119.0</v>
      </c>
      <c r="Y920" s="1" t="s">
        <v>10460</v>
      </c>
      <c r="Z920" s="1">
        <v>2004.0</v>
      </c>
      <c r="AA920" s="1" t="s">
        <v>200</v>
      </c>
      <c r="AB920" s="1" t="s">
        <v>193</v>
      </c>
      <c r="AC920" s="1" t="s">
        <v>2178</v>
      </c>
      <c r="AD920" s="1" t="s">
        <v>1478</v>
      </c>
      <c r="AE920" s="1" t="s">
        <v>325</v>
      </c>
      <c r="AF920" s="1" t="s">
        <v>1479</v>
      </c>
      <c r="AH920" s="1" t="s">
        <v>10461</v>
      </c>
      <c r="AI920" s="1">
        <v>0.23</v>
      </c>
      <c r="AK920" s="1">
        <v>8.0</v>
      </c>
      <c r="AL920" s="1">
        <v>4.0</v>
      </c>
      <c r="AM920" s="1">
        <v>3.0</v>
      </c>
      <c r="AN920" s="1">
        <v>1.0</v>
      </c>
      <c r="AO920" s="1" t="s">
        <v>198</v>
      </c>
      <c r="AP920" s="1">
        <v>1.0</v>
      </c>
      <c r="AQ920" s="1" t="s">
        <v>198</v>
      </c>
      <c r="AR920" s="1" t="s">
        <v>192</v>
      </c>
      <c r="AS920" s="1" t="s">
        <v>199</v>
      </c>
      <c r="AT920" s="1">
        <v>3.0</v>
      </c>
      <c r="AV920" s="1" t="s">
        <v>200</v>
      </c>
      <c r="AW920" s="1">
        <v>11102.0</v>
      </c>
      <c r="AX920" s="1">
        <v>2013.0</v>
      </c>
      <c r="AY920" s="1" t="s">
        <v>387</v>
      </c>
      <c r="AZ920" s="1" t="s">
        <v>200</v>
      </c>
      <c r="BA920" s="1" t="str">
        <f>"1108403019"</f>
        <v>1108403019</v>
      </c>
      <c r="BC920" s="1">
        <v>2692.0</v>
      </c>
      <c r="BD920" s="1">
        <v>375000.0</v>
      </c>
      <c r="BE920" s="2">
        <v>41736.0</v>
      </c>
      <c r="BF920" s="2" t="s">
        <v>10462</v>
      </c>
      <c r="BG920" s="1" t="s">
        <v>4351</v>
      </c>
      <c r="BH920" s="1">
        <v>300.0</v>
      </c>
      <c r="BI920" s="1" t="s">
        <v>4352</v>
      </c>
      <c r="BJ920" s="1" t="s">
        <v>1636</v>
      </c>
      <c r="BK920" s="1" t="s">
        <v>580</v>
      </c>
      <c r="BL920" s="1" t="str">
        <f t="shared" ref="BL920:BM920" si="600">""</f>
        <v/>
      </c>
      <c r="BM920" s="1" t="str">
        <f t="shared" si="600"/>
        <v/>
      </c>
      <c r="BQ920" s="1">
        <v>302.0</v>
      </c>
      <c r="BR920" s="1">
        <v>302.0</v>
      </c>
      <c r="BS920" s="1">
        <v>302.0</v>
      </c>
      <c r="BV920" s="1" t="s">
        <v>204</v>
      </c>
      <c r="BY920" s="1" t="s">
        <v>544</v>
      </c>
      <c r="BZ920" s="1" t="s">
        <v>209</v>
      </c>
      <c r="CA920" s="1" t="s">
        <v>210</v>
      </c>
      <c r="CC920" s="1" t="s">
        <v>211</v>
      </c>
      <c r="CD920" s="1" t="s">
        <v>206</v>
      </c>
      <c r="CE920" s="1" t="s">
        <v>207</v>
      </c>
      <c r="CG920" s="1" t="s">
        <v>332</v>
      </c>
      <c r="CH920" s="1" t="s">
        <v>209</v>
      </c>
      <c r="CI920" s="1" t="s">
        <v>210</v>
      </c>
      <c r="CK920" s="1" t="s">
        <v>363</v>
      </c>
      <c r="CL920" s="1" t="s">
        <v>209</v>
      </c>
      <c r="CM920" s="1" t="s">
        <v>210</v>
      </c>
      <c r="CO920" s="1" t="s">
        <v>215</v>
      </c>
      <c r="CP920" s="1" t="s">
        <v>209</v>
      </c>
      <c r="CQ920" s="1" t="s">
        <v>210</v>
      </c>
      <c r="CS920" s="1" t="s">
        <v>4560</v>
      </c>
      <c r="CT920" s="1" t="s">
        <v>206</v>
      </c>
      <c r="CU920" s="1" t="s">
        <v>207</v>
      </c>
      <c r="CW920" s="1" t="s">
        <v>1534</v>
      </c>
      <c r="CX920" s="1" t="s">
        <v>206</v>
      </c>
      <c r="CY920" s="1" t="s">
        <v>210</v>
      </c>
      <c r="DA920" s="1" t="s">
        <v>200</v>
      </c>
      <c r="DC920" s="1" t="s">
        <v>481</v>
      </c>
      <c r="DD920" s="1" t="s">
        <v>272</v>
      </c>
      <c r="DE920" s="1" t="s">
        <v>273</v>
      </c>
      <c r="DF920" s="1" t="s">
        <v>219</v>
      </c>
      <c r="DG920" s="1" t="s">
        <v>482</v>
      </c>
      <c r="DH920" s="1" t="s">
        <v>220</v>
      </c>
      <c r="DI920" s="1" t="s">
        <v>5873</v>
      </c>
      <c r="DJ920" s="1" t="s">
        <v>222</v>
      </c>
      <c r="DL920" s="1" t="s">
        <v>224</v>
      </c>
      <c r="DM920" s="1" t="s">
        <v>338</v>
      </c>
      <c r="DN920" s="1" t="s">
        <v>399</v>
      </c>
      <c r="DO920" s="1" t="s">
        <v>717</v>
      </c>
      <c r="DP920" s="1" t="s">
        <v>340</v>
      </c>
      <c r="DQ920" s="1" t="s">
        <v>228</v>
      </c>
      <c r="DR920" s="1" t="s">
        <v>1487</v>
      </c>
      <c r="DS920" s="1" t="s">
        <v>230</v>
      </c>
      <c r="DU920" s="1" t="s">
        <v>10463</v>
      </c>
      <c r="DV920" s="1" t="s">
        <v>763</v>
      </c>
      <c r="DW920" s="1" t="s">
        <v>444</v>
      </c>
      <c r="DX920" s="1" t="s">
        <v>234</v>
      </c>
      <c r="DY920" s="1" t="s">
        <v>490</v>
      </c>
      <c r="DZ920" s="1" t="s">
        <v>310</v>
      </c>
      <c r="EA920" s="1" t="s">
        <v>344</v>
      </c>
      <c r="EB920" s="1" t="s">
        <v>684</v>
      </c>
      <c r="EC920" s="1" t="s">
        <v>237</v>
      </c>
      <c r="ED920" s="1" t="s">
        <v>407</v>
      </c>
      <c r="EG920" s="1" t="s">
        <v>450</v>
      </c>
      <c r="EH920" s="1" t="s">
        <v>408</v>
      </c>
      <c r="EL920" s="1" t="s">
        <v>10464</v>
      </c>
      <c r="EM920" s="1" t="s">
        <v>42</v>
      </c>
      <c r="EN920" s="1" t="s">
        <v>210</v>
      </c>
      <c r="EP920" s="1" t="s">
        <v>215</v>
      </c>
      <c r="EQ920" s="1" t="s">
        <v>206</v>
      </c>
      <c r="ER920" s="1" t="s">
        <v>207</v>
      </c>
      <c r="EU920" s="1" t="s">
        <v>238</v>
      </c>
      <c r="EY920" s="1" t="s">
        <v>238</v>
      </c>
      <c r="FC920" s="1" t="s">
        <v>238</v>
      </c>
      <c r="FF920" s="1" t="s">
        <v>239</v>
      </c>
      <c r="FG920" s="1" t="s">
        <v>192</v>
      </c>
      <c r="FH920" s="1" t="s">
        <v>192</v>
      </c>
      <c r="FJ920" s="1" t="s">
        <v>2206</v>
      </c>
      <c r="FK920" s="1" t="s">
        <v>229</v>
      </c>
      <c r="FL920" s="1" t="s">
        <v>893</v>
      </c>
      <c r="FM920" s="1">
        <v>604.0</v>
      </c>
      <c r="FN920" s="1" t="s">
        <v>894</v>
      </c>
      <c r="FO920" s="1" t="s">
        <v>2207</v>
      </c>
      <c r="FP920" s="1">
        <v>681.0</v>
      </c>
      <c r="FQ920" s="1" t="s">
        <v>2208</v>
      </c>
      <c r="FR920" s="1">
        <v>824.0</v>
      </c>
      <c r="FS920" s="1" t="s">
        <v>2209</v>
      </c>
      <c r="FU920" s="1" t="s">
        <v>10465</v>
      </c>
      <c r="FV920" s="1" t="s">
        <v>200</v>
      </c>
      <c r="FW920" s="1" t="s">
        <v>530</v>
      </c>
      <c r="FZ920" s="1" t="s">
        <v>229</v>
      </c>
      <c r="GA920" s="1" t="s">
        <v>291</v>
      </c>
      <c r="GB920" s="2">
        <v>41978.0</v>
      </c>
    </row>
    <row r="921">
      <c r="A921" s="1">
        <v>88500.0</v>
      </c>
      <c r="B921" s="1" t="s">
        <v>185</v>
      </c>
      <c r="C921" s="1" t="str">
        <f>"08578239"</f>
        <v>08578239</v>
      </c>
      <c r="D921" s="1" t="s">
        <v>186</v>
      </c>
      <c r="F921" s="1" t="str">
        <f>"8052"</f>
        <v>8052</v>
      </c>
      <c r="G921" s="2">
        <v>41736.0</v>
      </c>
      <c r="H921" s="1">
        <v>100000.0</v>
      </c>
      <c r="I921" s="1">
        <v>333.0</v>
      </c>
      <c r="J921" s="1">
        <v>90000.0</v>
      </c>
      <c r="K921" s="2">
        <v>42067.0</v>
      </c>
      <c r="L921" s="1">
        <v>333.0</v>
      </c>
      <c r="M921" s="2">
        <v>42067.0</v>
      </c>
      <c r="N921" s="1" t="s">
        <v>356</v>
      </c>
      <c r="O921" s="2">
        <v>42138.0</v>
      </c>
      <c r="P921" s="1">
        <v>603705.0</v>
      </c>
      <c r="Q921" s="1">
        <v>22746.0</v>
      </c>
      <c r="S921" s="1">
        <v>9747.0</v>
      </c>
      <c r="T921" s="1" t="s">
        <v>10466</v>
      </c>
      <c r="V921" s="1" t="s">
        <v>190</v>
      </c>
      <c r="W921" s="1">
        <v>60617.0</v>
      </c>
      <c r="Y921" s="1" t="s">
        <v>10467</v>
      </c>
      <c r="Z921" s="1">
        <v>1957.0</v>
      </c>
      <c r="AA921" s="1" t="s">
        <v>192</v>
      </c>
      <c r="AB921" s="1" t="s">
        <v>193</v>
      </c>
      <c r="AC921" s="1" t="s">
        <v>10468</v>
      </c>
      <c r="AD921" s="1" t="s">
        <v>194</v>
      </c>
      <c r="AE921" s="1" t="s">
        <v>195</v>
      </c>
      <c r="AF921" s="1" t="s">
        <v>637</v>
      </c>
      <c r="AH921" s="1" t="s">
        <v>10469</v>
      </c>
      <c r="AI921" s="1">
        <v>0.0683</v>
      </c>
      <c r="AK921" s="1">
        <v>10.0</v>
      </c>
      <c r="AL921" s="1">
        <v>3.0</v>
      </c>
      <c r="AM921" s="1">
        <v>2.0</v>
      </c>
      <c r="AN921" s="1">
        <v>1.0</v>
      </c>
      <c r="AO921" s="1" t="s">
        <v>229</v>
      </c>
      <c r="AQ921" s="1" t="s">
        <v>198</v>
      </c>
      <c r="AR921" s="1" t="s">
        <v>192</v>
      </c>
      <c r="AS921" s="1" t="s">
        <v>199</v>
      </c>
      <c r="AT921" s="1">
        <v>2.0</v>
      </c>
      <c r="AV921" s="1" t="s">
        <v>200</v>
      </c>
      <c r="AW921" s="1">
        <v>995.0</v>
      </c>
      <c r="AX921" s="1">
        <v>2013.0</v>
      </c>
      <c r="AY921" s="1" t="s">
        <v>387</v>
      </c>
      <c r="AZ921" s="1" t="s">
        <v>200</v>
      </c>
      <c r="BA921" s="1" t="str">
        <f>"26053210190000"</f>
        <v>26053210190000</v>
      </c>
      <c r="BB921" s="1" t="s">
        <v>192</v>
      </c>
      <c r="BC921" s="1">
        <v>1163.0</v>
      </c>
      <c r="BD921" s="1">
        <v>88500.0</v>
      </c>
      <c r="BE921" s="2">
        <v>41735.0</v>
      </c>
      <c r="BF921" s="2" t="s">
        <v>10470</v>
      </c>
      <c r="BH921" s="1">
        <v>0.0</v>
      </c>
      <c r="BK921" s="1" t="s">
        <v>204</v>
      </c>
      <c r="BL921" s="1" t="str">
        <f t="shared" ref="BL921:BL923" si="601">"0"</f>
        <v>0</v>
      </c>
      <c r="BM921" s="1" t="str">
        <f>"3400"</f>
        <v>3400</v>
      </c>
      <c r="BN921" s="1">
        <v>0.0</v>
      </c>
      <c r="BO921" s="1">
        <v>9747.0</v>
      </c>
      <c r="BQ921" s="1">
        <v>299.0</v>
      </c>
      <c r="BR921" s="1">
        <v>299.0</v>
      </c>
      <c r="BS921" s="1">
        <v>299.0</v>
      </c>
      <c r="BU921" s="1" t="s">
        <v>3989</v>
      </c>
      <c r="BV921" s="1" t="s">
        <v>206</v>
      </c>
      <c r="BW921" s="1" t="s">
        <v>207</v>
      </c>
      <c r="BX921" s="1" t="s">
        <v>261</v>
      </c>
      <c r="BY921" s="1" t="s">
        <v>302</v>
      </c>
      <c r="BZ921" s="1" t="s">
        <v>206</v>
      </c>
      <c r="CA921" s="1" t="s">
        <v>207</v>
      </c>
      <c r="CB921" s="1" t="s">
        <v>431</v>
      </c>
      <c r="CC921" s="1" t="s">
        <v>542</v>
      </c>
      <c r="CD921" s="1" t="s">
        <v>206</v>
      </c>
      <c r="CG921" s="1" t="s">
        <v>303</v>
      </c>
      <c r="CH921" s="1" t="s">
        <v>206</v>
      </c>
      <c r="CI921" s="1" t="s">
        <v>207</v>
      </c>
      <c r="CJ921" s="1" t="s">
        <v>431</v>
      </c>
      <c r="CK921" s="1" t="s">
        <v>269</v>
      </c>
      <c r="CL921" s="1" t="s">
        <v>206</v>
      </c>
      <c r="CM921" s="1" t="s">
        <v>207</v>
      </c>
      <c r="CN921" s="1" t="s">
        <v>431</v>
      </c>
      <c r="CO921" s="1" t="s">
        <v>1418</v>
      </c>
      <c r="CP921" s="1" t="s">
        <v>42</v>
      </c>
      <c r="CQ921" s="1" t="s">
        <v>617</v>
      </c>
      <c r="CS921" s="1" t="s">
        <v>1760</v>
      </c>
      <c r="CT921" s="1" t="s">
        <v>206</v>
      </c>
      <c r="CU921" s="1" t="s">
        <v>617</v>
      </c>
      <c r="CV921" s="1" t="s">
        <v>1549</v>
      </c>
      <c r="CW921" s="1" t="s">
        <v>10471</v>
      </c>
      <c r="CX921" s="1" t="s">
        <v>42</v>
      </c>
      <c r="CY921" s="1" t="s">
        <v>617</v>
      </c>
      <c r="CZ921" s="1" t="s">
        <v>229</v>
      </c>
      <c r="DA921" s="1" t="s">
        <v>200</v>
      </c>
      <c r="DC921" s="1" t="s">
        <v>271</v>
      </c>
      <c r="DD921" s="1" t="s">
        <v>957</v>
      </c>
      <c r="DE921" s="1" t="s">
        <v>273</v>
      </c>
      <c r="DF921" s="1" t="s">
        <v>219</v>
      </c>
      <c r="DG921" s="1" t="s">
        <v>337</v>
      </c>
      <c r="DH921" s="1" t="s">
        <v>307</v>
      </c>
      <c r="DI921" s="1" t="s">
        <v>1401</v>
      </c>
      <c r="DJ921" s="1" t="s">
        <v>222</v>
      </c>
      <c r="DK921" s="1" t="s">
        <v>223</v>
      </c>
      <c r="DL921" s="1" t="s">
        <v>224</v>
      </c>
      <c r="DM921" s="1" t="s">
        <v>229</v>
      </c>
      <c r="DO921" s="1" t="s">
        <v>549</v>
      </c>
      <c r="DP921" s="1" t="s">
        <v>276</v>
      </c>
      <c r="DQ921" s="1" t="s">
        <v>794</v>
      </c>
      <c r="DR921" s="1" t="s">
        <v>229</v>
      </c>
      <c r="DS921" s="1" t="s">
        <v>401</v>
      </c>
      <c r="DU921" s="1" t="s">
        <v>3073</v>
      </c>
      <c r="DV921" s="1" t="s">
        <v>10472</v>
      </c>
      <c r="DW921" s="1" t="s">
        <v>279</v>
      </c>
      <c r="DX921" s="1" t="s">
        <v>309</v>
      </c>
      <c r="DY921" s="1" t="s">
        <v>10473</v>
      </c>
      <c r="DZ921" s="1" t="s">
        <v>446</v>
      </c>
      <c r="EA921" s="1" t="s">
        <v>683</v>
      </c>
      <c r="EC921" s="1" t="s">
        <v>685</v>
      </c>
      <c r="ED921" s="1" t="s">
        <v>312</v>
      </c>
      <c r="EE921" s="1" t="s">
        <v>588</v>
      </c>
      <c r="EG921" s="1" t="s">
        <v>408</v>
      </c>
      <c r="EH921" s="1" t="s">
        <v>556</v>
      </c>
      <c r="EI921" s="1" t="s">
        <v>557</v>
      </c>
      <c r="EL921" s="1" t="s">
        <v>8478</v>
      </c>
      <c r="EM921" s="1" t="s">
        <v>206</v>
      </c>
      <c r="EN921" s="1" t="s">
        <v>207</v>
      </c>
      <c r="EO921" s="1" t="s">
        <v>229</v>
      </c>
      <c r="EP921" s="1" t="s">
        <v>1746</v>
      </c>
      <c r="EQ921" s="1" t="s">
        <v>206</v>
      </c>
      <c r="ER921" s="1" t="s">
        <v>617</v>
      </c>
      <c r="ES921" s="1" t="s">
        <v>431</v>
      </c>
      <c r="ET921" s="1" t="s">
        <v>1395</v>
      </c>
      <c r="EU921" s="1" t="s">
        <v>42</v>
      </c>
      <c r="EV921" s="1" t="s">
        <v>617</v>
      </c>
      <c r="EY921" s="1" t="s">
        <v>238</v>
      </c>
      <c r="FC921" s="1" t="s">
        <v>238</v>
      </c>
      <c r="FF921" s="1" t="s">
        <v>239</v>
      </c>
      <c r="FG921" s="1" t="s">
        <v>192</v>
      </c>
      <c r="FH921" s="1" t="s">
        <v>192</v>
      </c>
      <c r="FJ921" s="1" t="s">
        <v>5605</v>
      </c>
      <c r="FK921" s="1" t="s">
        <v>229</v>
      </c>
      <c r="FL921" s="1" t="s">
        <v>836</v>
      </c>
      <c r="FM921" s="1">
        <v>18080.0</v>
      </c>
      <c r="FN921" s="1" t="s">
        <v>837</v>
      </c>
      <c r="FO921" s="1" t="s">
        <v>10474</v>
      </c>
      <c r="FP921" s="1">
        <v>153738.0</v>
      </c>
      <c r="FQ921" s="1" t="s">
        <v>10475</v>
      </c>
      <c r="FU921" s="1" t="s">
        <v>10106</v>
      </c>
      <c r="FV921" s="1" t="s">
        <v>200</v>
      </c>
      <c r="FW921" s="1" t="s">
        <v>290</v>
      </c>
      <c r="FX921" s="1" t="s">
        <v>655</v>
      </c>
      <c r="FZ921" s="1" t="s">
        <v>229</v>
      </c>
      <c r="GA921" s="1" t="s">
        <v>291</v>
      </c>
      <c r="GB921" s="2">
        <v>42139.0</v>
      </c>
      <c r="GC921" s="1" t="s">
        <v>10476</v>
      </c>
    </row>
    <row r="922">
      <c r="A922" s="1">
        <v>22000.0</v>
      </c>
      <c r="B922" s="1" t="s">
        <v>185</v>
      </c>
      <c r="C922" s="1" t="str">
        <f>"08570492"</f>
        <v>08570492</v>
      </c>
      <c r="D922" s="1" t="s">
        <v>186</v>
      </c>
      <c r="F922" s="1" t="str">
        <f>"8029"</f>
        <v>8029</v>
      </c>
      <c r="G922" s="2">
        <v>41727.0</v>
      </c>
      <c r="H922" s="1">
        <v>59900.0</v>
      </c>
      <c r="I922" s="1">
        <v>117.0</v>
      </c>
      <c r="J922" s="1">
        <v>29900.0</v>
      </c>
      <c r="K922" s="2">
        <v>41843.0</v>
      </c>
      <c r="L922" s="1">
        <v>117.0</v>
      </c>
      <c r="M922" s="2">
        <v>41843.0</v>
      </c>
      <c r="N922" s="1" t="s">
        <v>249</v>
      </c>
      <c r="O922" s="2">
        <v>42014.0</v>
      </c>
      <c r="P922" s="1">
        <v>167287.0</v>
      </c>
      <c r="Q922" s="1">
        <v>85213.0</v>
      </c>
      <c r="S922" s="1">
        <v>2254.0</v>
      </c>
      <c r="T922" s="1" t="s">
        <v>10477</v>
      </c>
      <c r="U922" s="1" t="s">
        <v>189</v>
      </c>
      <c r="V922" s="1" t="s">
        <v>190</v>
      </c>
      <c r="W922" s="1">
        <v>60623.0</v>
      </c>
      <c r="Y922" s="1" t="s">
        <v>10478</v>
      </c>
      <c r="Z922" s="1" t="s">
        <v>296</v>
      </c>
      <c r="AA922" s="1" t="s">
        <v>192</v>
      </c>
      <c r="AB922" s="1" t="s">
        <v>193</v>
      </c>
      <c r="AD922" s="1" t="s">
        <v>194</v>
      </c>
      <c r="AE922" s="1" t="s">
        <v>195</v>
      </c>
      <c r="AF922" s="1" t="s">
        <v>827</v>
      </c>
      <c r="AH922" s="1" t="s">
        <v>741</v>
      </c>
      <c r="AK922" s="1">
        <v>6.0</v>
      </c>
      <c r="AL922" s="1">
        <v>4.0</v>
      </c>
      <c r="AM922" s="1">
        <v>2.0</v>
      </c>
      <c r="AN922" s="1">
        <v>0.0</v>
      </c>
      <c r="AO922" s="1" t="s">
        <v>229</v>
      </c>
      <c r="AQ922" s="1" t="s">
        <v>198</v>
      </c>
      <c r="AR922" s="1" t="s">
        <v>192</v>
      </c>
      <c r="AS922" s="1" t="s">
        <v>199</v>
      </c>
      <c r="AT922" s="1">
        <v>2.0</v>
      </c>
      <c r="AV922" s="1" t="s">
        <v>200</v>
      </c>
      <c r="AW922" s="1">
        <v>0.0</v>
      </c>
      <c r="AX922" s="1">
        <v>2012.0</v>
      </c>
      <c r="AY922" s="1" t="s">
        <v>1917</v>
      </c>
      <c r="AZ922" s="1" t="s">
        <v>200</v>
      </c>
      <c r="BA922" s="1" t="str">
        <f>"16271020610000"</f>
        <v>16271020610000</v>
      </c>
      <c r="BC922" s="1">
        <v>1500.0</v>
      </c>
      <c r="BD922" s="1">
        <v>22000.0</v>
      </c>
      <c r="BE922" s="2">
        <v>41727.0</v>
      </c>
      <c r="BF922" s="1" t="s">
        <v>10479</v>
      </c>
      <c r="BH922" s="1">
        <v>0.0</v>
      </c>
      <c r="BK922" s="1" t="s">
        <v>204</v>
      </c>
      <c r="BL922" s="1" t="str">
        <f t="shared" si="601"/>
        <v>0</v>
      </c>
      <c r="BM922" s="1" t="str">
        <f>"0"</f>
        <v>0</v>
      </c>
      <c r="BN922" s="1">
        <v>4400.0</v>
      </c>
      <c r="BO922" s="1">
        <v>2200.0</v>
      </c>
      <c r="BQ922" s="1">
        <v>299.0</v>
      </c>
      <c r="BR922" s="1">
        <v>299.0</v>
      </c>
      <c r="BS922" s="1">
        <v>299.0</v>
      </c>
      <c r="BU922" s="1" t="s">
        <v>269</v>
      </c>
      <c r="BV922" s="1" t="s">
        <v>206</v>
      </c>
      <c r="BY922" s="1" t="s">
        <v>699</v>
      </c>
      <c r="BZ922" s="1" t="s">
        <v>206</v>
      </c>
      <c r="CD922" s="1" t="s">
        <v>204</v>
      </c>
      <c r="CG922" s="1" t="s">
        <v>269</v>
      </c>
      <c r="CH922" s="1" t="s">
        <v>206</v>
      </c>
      <c r="CK922" s="1" t="s">
        <v>495</v>
      </c>
      <c r="CL922" s="1" t="s">
        <v>206</v>
      </c>
      <c r="CO922" s="1" t="s">
        <v>269</v>
      </c>
      <c r="CP922" s="1" t="s">
        <v>267</v>
      </c>
      <c r="CS922" s="1" t="s">
        <v>663</v>
      </c>
      <c r="CT922" s="1" t="s">
        <v>206</v>
      </c>
      <c r="CX922" s="1" t="s">
        <v>204</v>
      </c>
      <c r="DA922" s="1" t="s">
        <v>200</v>
      </c>
      <c r="DC922" s="1" t="s">
        <v>545</v>
      </c>
      <c r="DE922" s="1" t="s">
        <v>229</v>
      </c>
      <c r="DF922" s="1" t="s">
        <v>219</v>
      </c>
      <c r="DH922" s="1" t="s">
        <v>220</v>
      </c>
      <c r="DJ922" s="1" t="s">
        <v>222</v>
      </c>
      <c r="DL922" s="1" t="s">
        <v>224</v>
      </c>
      <c r="DM922" s="1" t="s">
        <v>229</v>
      </c>
      <c r="DQ922" s="1" t="s">
        <v>718</v>
      </c>
      <c r="DR922" s="1" t="s">
        <v>229</v>
      </c>
      <c r="DV922" s="1" t="s">
        <v>232</v>
      </c>
      <c r="DW922" s="1" t="s">
        <v>7134</v>
      </c>
      <c r="DX922" s="1" t="s">
        <v>234</v>
      </c>
      <c r="EC922" s="1" t="s">
        <v>645</v>
      </c>
      <c r="EM922" s="1" t="s">
        <v>238</v>
      </c>
      <c r="EQ922" s="1" t="s">
        <v>238</v>
      </c>
      <c r="EU922" s="1" t="s">
        <v>238</v>
      </c>
      <c r="EY922" s="1" t="s">
        <v>238</v>
      </c>
      <c r="FC922" s="1" t="s">
        <v>238</v>
      </c>
      <c r="FF922" s="1" t="s">
        <v>239</v>
      </c>
      <c r="FG922" s="1" t="s">
        <v>192</v>
      </c>
      <c r="FH922" s="1" t="s">
        <v>192</v>
      </c>
      <c r="FJ922" s="1" t="s">
        <v>2853</v>
      </c>
      <c r="FK922" s="1" t="s">
        <v>1586</v>
      </c>
      <c r="FL922" s="1" t="s">
        <v>377</v>
      </c>
      <c r="FM922" s="1">
        <v>8430.0</v>
      </c>
      <c r="FN922" s="1" t="s">
        <v>378</v>
      </c>
      <c r="FO922" s="1" t="s">
        <v>10480</v>
      </c>
      <c r="FP922" s="1">
        <v>84209.0</v>
      </c>
      <c r="FQ922" s="1" t="s">
        <v>10481</v>
      </c>
      <c r="FU922" s="1" t="s">
        <v>2030</v>
      </c>
      <c r="FV922" s="1" t="s">
        <v>200</v>
      </c>
      <c r="FW922" s="1" t="s">
        <v>382</v>
      </c>
      <c r="FX922" s="1" t="s">
        <v>655</v>
      </c>
      <c r="FZ922" s="1" t="s">
        <v>229</v>
      </c>
      <c r="GA922" s="1" t="s">
        <v>291</v>
      </c>
      <c r="GB922" s="2">
        <v>42014.0</v>
      </c>
      <c r="GC922" s="1" t="s">
        <v>10482</v>
      </c>
    </row>
    <row r="923">
      <c r="A923" s="1">
        <v>179000.0</v>
      </c>
      <c r="B923" s="1" t="s">
        <v>185</v>
      </c>
      <c r="C923" s="1" t="str">
        <f>"08571734"</f>
        <v>08571734</v>
      </c>
      <c r="D923" s="1" t="s">
        <v>186</v>
      </c>
      <c r="F923" s="1" t="str">
        <f>"8052"</f>
        <v>8052</v>
      </c>
      <c r="G923" s="2">
        <v>41729.0</v>
      </c>
      <c r="H923" s="1">
        <v>194900.0</v>
      </c>
      <c r="I923" s="1">
        <v>265.0</v>
      </c>
      <c r="J923" s="1">
        <v>185000.0</v>
      </c>
      <c r="K923" s="2">
        <v>41992.0</v>
      </c>
      <c r="L923" s="1">
        <v>265.0</v>
      </c>
      <c r="M923" s="2">
        <v>41992.0</v>
      </c>
      <c r="N923" s="1" t="s">
        <v>187</v>
      </c>
      <c r="O923" s="2">
        <v>42032.0</v>
      </c>
      <c r="P923" s="1">
        <v>173429.0</v>
      </c>
      <c r="Q923" s="1">
        <v>10840.0</v>
      </c>
      <c r="R923" s="1">
        <v>5000.0</v>
      </c>
      <c r="S923" s="1">
        <v>11559.0</v>
      </c>
      <c r="T923" s="1" t="s">
        <v>10483</v>
      </c>
      <c r="U923" s="1" t="s">
        <v>189</v>
      </c>
      <c r="V923" s="1" t="s">
        <v>190</v>
      </c>
      <c r="W923" s="1">
        <v>60617.0</v>
      </c>
      <c r="Y923" s="1" t="s">
        <v>10484</v>
      </c>
      <c r="Z923" s="1">
        <v>1967.0</v>
      </c>
      <c r="AA923" s="1" t="s">
        <v>192</v>
      </c>
      <c r="AB923" s="1" t="s">
        <v>193</v>
      </c>
      <c r="AD923" s="1" t="s">
        <v>194</v>
      </c>
      <c r="AE923" s="1" t="s">
        <v>195</v>
      </c>
      <c r="AF923" s="1" t="s">
        <v>637</v>
      </c>
      <c r="AH923" s="1" t="s">
        <v>10485</v>
      </c>
      <c r="AK923" s="1">
        <v>7.0</v>
      </c>
      <c r="AL923" s="1">
        <v>3.0</v>
      </c>
      <c r="AM923" s="1">
        <v>2.0</v>
      </c>
      <c r="AN923" s="1">
        <v>1.0</v>
      </c>
      <c r="AO923" s="1" t="s">
        <v>229</v>
      </c>
      <c r="AQ923" s="1" t="s">
        <v>198</v>
      </c>
      <c r="AR923" s="1" t="s">
        <v>192</v>
      </c>
      <c r="AS923" s="1" t="s">
        <v>199</v>
      </c>
      <c r="AT923" s="1">
        <v>2.0</v>
      </c>
      <c r="AV923" s="1" t="s">
        <v>200</v>
      </c>
      <c r="AW923" s="1">
        <v>1622.77</v>
      </c>
      <c r="AX923" s="1">
        <v>2013.0</v>
      </c>
      <c r="AY923" s="1" t="s">
        <v>1917</v>
      </c>
      <c r="AZ923" s="1" t="s">
        <v>200</v>
      </c>
      <c r="BA923" s="1" t="str">
        <f>"26201070540000"</f>
        <v>26201070540000</v>
      </c>
      <c r="BB923" s="1" t="s">
        <v>200</v>
      </c>
      <c r="BC923" s="1">
        <v>1200.0</v>
      </c>
      <c r="BD923" s="1">
        <v>179000.0</v>
      </c>
      <c r="BE923" s="2">
        <v>41728.0</v>
      </c>
      <c r="BF923" s="2" t="s">
        <v>10486</v>
      </c>
      <c r="BH923" s="1">
        <v>0.0</v>
      </c>
      <c r="BK923" s="1" t="s">
        <v>204</v>
      </c>
      <c r="BL923" s="1" t="str">
        <f t="shared" si="601"/>
        <v>0</v>
      </c>
      <c r="BM923" s="1" t="str">
        <f>"3624"</f>
        <v>3624</v>
      </c>
      <c r="BN923" s="1">
        <v>0.0</v>
      </c>
      <c r="BO923" s="1">
        <v>11500.0</v>
      </c>
      <c r="BQ923" s="1">
        <v>299.0</v>
      </c>
      <c r="BR923" s="1">
        <v>299.0</v>
      </c>
      <c r="BS923" s="1">
        <v>299.0</v>
      </c>
      <c r="BU923" s="1" t="s">
        <v>730</v>
      </c>
      <c r="BV923" s="1" t="s">
        <v>206</v>
      </c>
      <c r="BW923" s="1" t="s">
        <v>207</v>
      </c>
      <c r="BX923" s="1" t="s">
        <v>1549</v>
      </c>
      <c r="BY923" s="1" t="s">
        <v>212</v>
      </c>
      <c r="BZ923" s="1" t="s">
        <v>206</v>
      </c>
      <c r="CA923" s="1" t="s">
        <v>207</v>
      </c>
      <c r="CB923" s="1" t="s">
        <v>1549</v>
      </c>
      <c r="CD923" s="1" t="s">
        <v>204</v>
      </c>
      <c r="CG923" s="1" t="s">
        <v>663</v>
      </c>
      <c r="CH923" s="1" t="s">
        <v>206</v>
      </c>
      <c r="CI923" s="1" t="s">
        <v>207</v>
      </c>
      <c r="CJ923" s="1" t="s">
        <v>1549</v>
      </c>
      <c r="CK923" s="1" t="s">
        <v>663</v>
      </c>
      <c r="CL923" s="1" t="s">
        <v>206</v>
      </c>
      <c r="CM923" s="1" t="s">
        <v>207</v>
      </c>
      <c r="CN923" s="1" t="s">
        <v>1549</v>
      </c>
      <c r="CO923" s="1" t="s">
        <v>1352</v>
      </c>
      <c r="CP923" s="1" t="s">
        <v>42</v>
      </c>
      <c r="CQ923" s="1" t="s">
        <v>210</v>
      </c>
      <c r="CR923" s="1" t="s">
        <v>431</v>
      </c>
      <c r="CS923" s="1" t="s">
        <v>1519</v>
      </c>
      <c r="CT923" s="1" t="s">
        <v>206</v>
      </c>
      <c r="CU923" s="1" t="s">
        <v>268</v>
      </c>
      <c r="CV923" s="1" t="s">
        <v>431</v>
      </c>
      <c r="CW923" s="1" t="s">
        <v>10487</v>
      </c>
      <c r="CX923" s="1" t="s">
        <v>42</v>
      </c>
      <c r="CY923" s="1" t="s">
        <v>210</v>
      </c>
      <c r="CZ923" s="1" t="s">
        <v>431</v>
      </c>
      <c r="DA923" s="1" t="s">
        <v>200</v>
      </c>
      <c r="DC923" s="1" t="s">
        <v>517</v>
      </c>
      <c r="DD923" s="1" t="s">
        <v>518</v>
      </c>
      <c r="DE923" s="1" t="s">
        <v>273</v>
      </c>
      <c r="DF923" s="1" t="s">
        <v>219</v>
      </c>
      <c r="DG923" s="1" t="s">
        <v>337</v>
      </c>
      <c r="DH923" s="1" t="s">
        <v>365</v>
      </c>
      <c r="DI923" s="1" t="s">
        <v>3203</v>
      </c>
      <c r="DJ923" s="1" t="s">
        <v>222</v>
      </c>
      <c r="DL923" s="1" t="s">
        <v>224</v>
      </c>
      <c r="DM923" s="1" t="s">
        <v>229</v>
      </c>
      <c r="DQ923" s="1" t="s">
        <v>228</v>
      </c>
      <c r="DR923" s="1" t="s">
        <v>229</v>
      </c>
      <c r="DV923" s="1" t="s">
        <v>232</v>
      </c>
      <c r="DW923" s="1" t="s">
        <v>279</v>
      </c>
      <c r="DX923" s="1" t="s">
        <v>234</v>
      </c>
      <c r="DY923" s="1" t="s">
        <v>704</v>
      </c>
      <c r="DZ923" s="1" t="s">
        <v>282</v>
      </c>
      <c r="EA923" s="1" t="s">
        <v>644</v>
      </c>
      <c r="EC923" s="1" t="s">
        <v>685</v>
      </c>
      <c r="ED923" s="1" t="s">
        <v>555</v>
      </c>
      <c r="EM923" s="1" t="s">
        <v>238</v>
      </c>
      <c r="EQ923" s="1" t="s">
        <v>238</v>
      </c>
      <c r="EU923" s="1" t="s">
        <v>238</v>
      </c>
      <c r="EY923" s="1" t="s">
        <v>238</v>
      </c>
      <c r="FC923" s="1" t="s">
        <v>238</v>
      </c>
      <c r="FF923" s="1" t="s">
        <v>239</v>
      </c>
      <c r="FG923" s="1" t="s">
        <v>192</v>
      </c>
      <c r="FH923" s="1" t="s">
        <v>192</v>
      </c>
      <c r="FJ923" s="1" t="s">
        <v>3299</v>
      </c>
      <c r="FK923" s="1" t="s">
        <v>229</v>
      </c>
      <c r="FL923" s="1" t="s">
        <v>5025</v>
      </c>
      <c r="FM923" s="1">
        <v>51720.0</v>
      </c>
      <c r="FN923" s="1" t="s">
        <v>5026</v>
      </c>
      <c r="FO923" s="1" t="s">
        <v>10488</v>
      </c>
      <c r="FP923" s="1">
        <v>606840.0</v>
      </c>
      <c r="FQ923" s="1" t="s">
        <v>10489</v>
      </c>
      <c r="FU923" s="1" t="s">
        <v>10490</v>
      </c>
      <c r="FV923" s="1" t="s">
        <v>200</v>
      </c>
      <c r="FW923" s="1" t="s">
        <v>10491</v>
      </c>
      <c r="FX923" s="1" t="s">
        <v>655</v>
      </c>
      <c r="FZ923" s="1" t="s">
        <v>229</v>
      </c>
      <c r="GA923" s="1" t="s">
        <v>291</v>
      </c>
      <c r="GB923" s="2">
        <v>42032.0</v>
      </c>
      <c r="GC923" s="1" t="s">
        <v>10492</v>
      </c>
    </row>
    <row r="924">
      <c r="A924" s="1">
        <v>368500.0</v>
      </c>
      <c r="B924" s="1" t="s">
        <v>185</v>
      </c>
      <c r="C924" s="1" t="str">
        <f>"08702368"</f>
        <v>08702368</v>
      </c>
      <c r="D924" s="1" t="s">
        <v>186</v>
      </c>
      <c r="F924" s="1" t="str">
        <f>"119"</f>
        <v>119</v>
      </c>
      <c r="G924" s="2">
        <v>41866.0</v>
      </c>
      <c r="H924" s="1">
        <v>379000.0</v>
      </c>
      <c r="I924" s="1">
        <v>207.0</v>
      </c>
      <c r="J924" s="1">
        <v>374000.0</v>
      </c>
      <c r="K924" s="2">
        <v>42072.0</v>
      </c>
      <c r="L924" s="1">
        <v>207.0</v>
      </c>
      <c r="M924" s="2">
        <v>42072.0</v>
      </c>
      <c r="N924" s="1" t="s">
        <v>356</v>
      </c>
      <c r="O924" s="2">
        <v>42139.0</v>
      </c>
      <c r="P924" s="1">
        <v>313789.0</v>
      </c>
      <c r="Q924" s="1">
        <v>257.0</v>
      </c>
      <c r="R924" s="1">
        <v>5000.0</v>
      </c>
      <c r="S924" s="1" t="s">
        <v>10493</v>
      </c>
      <c r="T924" s="1" t="s">
        <v>10494</v>
      </c>
      <c r="U924" s="1" t="s">
        <v>569</v>
      </c>
      <c r="V924" s="1" t="s">
        <v>1476</v>
      </c>
      <c r="W924" s="1">
        <v>60119.0</v>
      </c>
      <c r="Y924" s="1" t="s">
        <v>10495</v>
      </c>
      <c r="Z924" s="1">
        <v>1998.0</v>
      </c>
      <c r="AA924" s="1" t="s">
        <v>200</v>
      </c>
      <c r="AB924" s="1" t="s">
        <v>193</v>
      </c>
      <c r="AC924" s="1" t="s">
        <v>10496</v>
      </c>
      <c r="AD924" s="1" t="s">
        <v>1089</v>
      </c>
      <c r="AE924" s="1" t="s">
        <v>325</v>
      </c>
      <c r="AF924" s="1" t="s">
        <v>1479</v>
      </c>
      <c r="AH924" s="1" t="s">
        <v>10497</v>
      </c>
      <c r="AI924" s="1">
        <v>1.867</v>
      </c>
      <c r="AK924" s="1">
        <v>13.0</v>
      </c>
      <c r="AL924" s="1">
        <v>3.0</v>
      </c>
      <c r="AM924" s="1">
        <v>3.0</v>
      </c>
      <c r="AN924" s="1">
        <v>1.0</v>
      </c>
      <c r="AO924" s="1" t="s">
        <v>198</v>
      </c>
      <c r="AP924" s="1">
        <v>1.0</v>
      </c>
      <c r="AQ924" s="1" t="s">
        <v>198</v>
      </c>
      <c r="AR924" s="1" t="s">
        <v>192</v>
      </c>
      <c r="AS924" s="1" t="s">
        <v>199</v>
      </c>
      <c r="AT924" s="1">
        <v>3.0</v>
      </c>
      <c r="AV924" s="1" t="s">
        <v>200</v>
      </c>
      <c r="AW924" s="1">
        <v>9457.0</v>
      </c>
      <c r="AX924" s="1">
        <v>2013.0</v>
      </c>
      <c r="AY924" s="1" t="s">
        <v>387</v>
      </c>
      <c r="AZ924" s="1" t="s">
        <v>200</v>
      </c>
      <c r="BA924" s="1" t="str">
        <f>"1103228004"</f>
        <v>1103228004</v>
      </c>
      <c r="BC924" s="1">
        <v>3198.0</v>
      </c>
      <c r="BD924" s="1">
        <v>368500.0</v>
      </c>
      <c r="BE924" s="2">
        <v>41866.0</v>
      </c>
      <c r="BF924" s="2" t="s">
        <v>10498</v>
      </c>
      <c r="BH924" s="1">
        <v>0.0</v>
      </c>
      <c r="BK924" s="1" t="s">
        <v>204</v>
      </c>
      <c r="BL924" s="1" t="str">
        <f t="shared" ref="BL924:BM924" si="602">""</f>
        <v/>
      </c>
      <c r="BM924" s="1" t="str">
        <f t="shared" si="602"/>
        <v/>
      </c>
      <c r="BQ924" s="1">
        <v>304.0</v>
      </c>
      <c r="BR924" s="1">
        <v>304.0</v>
      </c>
      <c r="BS924" s="1">
        <v>304.0</v>
      </c>
      <c r="BV924" s="1" t="s">
        <v>204</v>
      </c>
      <c r="BY924" s="1" t="s">
        <v>2120</v>
      </c>
      <c r="BZ924" s="1" t="s">
        <v>209</v>
      </c>
      <c r="CA924" s="1" t="s">
        <v>210</v>
      </c>
      <c r="CC924" s="1" t="s">
        <v>363</v>
      </c>
      <c r="CD924" s="1" t="s">
        <v>206</v>
      </c>
      <c r="CE924" s="1" t="s">
        <v>210</v>
      </c>
      <c r="CG924" s="1" t="s">
        <v>584</v>
      </c>
      <c r="CH924" s="1" t="s">
        <v>209</v>
      </c>
      <c r="CI924" s="1" t="s">
        <v>210</v>
      </c>
      <c r="CK924" s="1" t="s">
        <v>208</v>
      </c>
      <c r="CL924" s="1" t="s">
        <v>209</v>
      </c>
      <c r="CM924" s="1" t="s">
        <v>210</v>
      </c>
      <c r="CO924" s="1" t="s">
        <v>1483</v>
      </c>
      <c r="CP924" s="1" t="s">
        <v>42</v>
      </c>
      <c r="CQ924" s="1" t="s">
        <v>210</v>
      </c>
      <c r="CS924" s="1" t="s">
        <v>2592</v>
      </c>
      <c r="CT924" s="1" t="s">
        <v>206</v>
      </c>
      <c r="CU924" s="1" t="s">
        <v>207</v>
      </c>
      <c r="CW924" s="1" t="s">
        <v>2014</v>
      </c>
      <c r="CX924" s="1" t="s">
        <v>206</v>
      </c>
      <c r="CY924" s="1" t="s">
        <v>207</v>
      </c>
      <c r="DA924" s="1" t="s">
        <v>200</v>
      </c>
      <c r="DC924" s="1" t="s">
        <v>678</v>
      </c>
      <c r="DD924" s="1" t="s">
        <v>957</v>
      </c>
      <c r="DE924" s="1" t="s">
        <v>273</v>
      </c>
      <c r="DF924" s="1" t="s">
        <v>219</v>
      </c>
      <c r="DH924" s="1" t="s">
        <v>856</v>
      </c>
      <c r="DI924" s="1" t="s">
        <v>221</v>
      </c>
      <c r="DJ924" s="1" t="s">
        <v>857</v>
      </c>
      <c r="DK924" s="1" t="s">
        <v>1555</v>
      </c>
      <c r="DL924" s="1" t="s">
        <v>224</v>
      </c>
      <c r="DM924" s="1" t="s">
        <v>338</v>
      </c>
      <c r="DN924" s="1" t="s">
        <v>439</v>
      </c>
      <c r="DP924" s="1" t="s">
        <v>340</v>
      </c>
      <c r="DQ924" s="1" t="s">
        <v>931</v>
      </c>
      <c r="DR924" s="1" t="s">
        <v>229</v>
      </c>
      <c r="DS924" s="1" t="s">
        <v>591</v>
      </c>
      <c r="DV924" s="1" t="s">
        <v>10499</v>
      </c>
      <c r="DW924" s="1" t="s">
        <v>891</v>
      </c>
      <c r="DX924" s="1" t="s">
        <v>234</v>
      </c>
      <c r="DY924" s="1" t="s">
        <v>6560</v>
      </c>
      <c r="DZ924" s="1" t="s">
        <v>4367</v>
      </c>
      <c r="EB924" s="1" t="s">
        <v>345</v>
      </c>
      <c r="EC924" s="1" t="s">
        <v>237</v>
      </c>
      <c r="EG924" s="1" t="s">
        <v>450</v>
      </c>
      <c r="EH924" s="1" t="s">
        <v>451</v>
      </c>
      <c r="EI924" s="1" t="s">
        <v>2023</v>
      </c>
      <c r="EJ924" s="1" t="s">
        <v>598</v>
      </c>
      <c r="EK924" s="1" t="s">
        <v>1028</v>
      </c>
      <c r="EL924" s="1" t="s">
        <v>3475</v>
      </c>
      <c r="EM924" s="1" t="s">
        <v>42</v>
      </c>
      <c r="EN924" s="1" t="s">
        <v>210</v>
      </c>
      <c r="EP924" s="1" t="s">
        <v>8088</v>
      </c>
      <c r="EQ924" s="1" t="s">
        <v>42</v>
      </c>
      <c r="ER924" s="1" t="s">
        <v>210</v>
      </c>
      <c r="ET924" s="1" t="s">
        <v>433</v>
      </c>
      <c r="EU924" s="1" t="s">
        <v>42</v>
      </c>
      <c r="EV924" s="1" t="s">
        <v>210</v>
      </c>
      <c r="EX924" s="1" t="s">
        <v>1417</v>
      </c>
      <c r="EY924" s="1" t="s">
        <v>206</v>
      </c>
      <c r="FB924" s="1" t="s">
        <v>1351</v>
      </c>
      <c r="FC924" s="1" t="s">
        <v>206</v>
      </c>
      <c r="FF924" s="1" t="s">
        <v>239</v>
      </c>
      <c r="FG924" s="1" t="s">
        <v>192</v>
      </c>
      <c r="FH924" s="1" t="s">
        <v>192</v>
      </c>
      <c r="FJ924" s="1" t="s">
        <v>10500</v>
      </c>
      <c r="FK924" s="1" t="s">
        <v>229</v>
      </c>
      <c r="FL924" s="1" t="s">
        <v>456</v>
      </c>
      <c r="FM924" s="1">
        <v>8002.0</v>
      </c>
      <c r="FN924" s="1" t="s">
        <v>3129</v>
      </c>
      <c r="FO924" s="1" t="s">
        <v>10501</v>
      </c>
      <c r="FP924" s="1">
        <v>922712.0</v>
      </c>
      <c r="FQ924" s="1" t="s">
        <v>10502</v>
      </c>
      <c r="FU924" s="1" t="s">
        <v>10503</v>
      </c>
      <c r="FV924" s="1" t="s">
        <v>200</v>
      </c>
      <c r="FW924" s="1" t="s">
        <v>530</v>
      </c>
      <c r="FZ924" s="1" t="s">
        <v>229</v>
      </c>
      <c r="GA924" s="1" t="s">
        <v>291</v>
      </c>
      <c r="GB924" s="2">
        <v>42139.0</v>
      </c>
      <c r="GC924" s="1" t="s">
        <v>10504</v>
      </c>
    </row>
    <row r="925">
      <c r="A925" s="1">
        <v>176000.0</v>
      </c>
      <c r="B925" s="1" t="s">
        <v>185</v>
      </c>
      <c r="C925" s="1" t="str">
        <f>"08579250"</f>
        <v>08579250</v>
      </c>
      <c r="D925" s="1" t="s">
        <v>186</v>
      </c>
      <c r="F925" s="1" t="str">
        <f>"8017"</f>
        <v>8017</v>
      </c>
      <c r="G925" s="2">
        <v>41737.0</v>
      </c>
      <c r="H925" s="1">
        <v>269900.0</v>
      </c>
      <c r="I925" s="1">
        <v>88.0</v>
      </c>
      <c r="J925" s="1">
        <v>199900.0</v>
      </c>
      <c r="K925" s="2">
        <v>41823.0</v>
      </c>
      <c r="L925" s="1">
        <v>88.0</v>
      </c>
      <c r="M925" s="2">
        <v>41823.0</v>
      </c>
      <c r="N925" s="1" t="s">
        <v>187</v>
      </c>
      <c r="O925" s="2">
        <v>42144.0</v>
      </c>
      <c r="P925" s="1">
        <v>129652.0</v>
      </c>
      <c r="Q925" s="1">
        <v>10840.0</v>
      </c>
      <c r="S925" s="1">
        <v>6216.0</v>
      </c>
      <c r="T925" s="1" t="s">
        <v>1113</v>
      </c>
      <c r="U925" s="1" t="s">
        <v>189</v>
      </c>
      <c r="V925" s="1" t="s">
        <v>190</v>
      </c>
      <c r="W925" s="1">
        <v>60634.0</v>
      </c>
      <c r="Y925" s="1" t="s">
        <v>10505</v>
      </c>
      <c r="Z925" s="1">
        <v>1920.0</v>
      </c>
      <c r="AA925" s="1" t="s">
        <v>192</v>
      </c>
      <c r="AB925" s="1" t="s">
        <v>193</v>
      </c>
      <c r="AD925" s="1" t="s">
        <v>194</v>
      </c>
      <c r="AE925" s="1" t="s">
        <v>195</v>
      </c>
      <c r="AF925" s="1" t="s">
        <v>196</v>
      </c>
      <c r="AH925" s="1" t="s">
        <v>1501</v>
      </c>
      <c r="AK925" s="1">
        <v>11.0</v>
      </c>
      <c r="AL925" s="1">
        <v>4.0</v>
      </c>
      <c r="AM925" s="1">
        <v>3.0</v>
      </c>
      <c r="AN925" s="1">
        <v>0.0</v>
      </c>
      <c r="AO925" s="1" t="s">
        <v>229</v>
      </c>
      <c r="AQ925" s="1" t="s">
        <v>198</v>
      </c>
      <c r="AR925" s="1" t="s">
        <v>192</v>
      </c>
      <c r="AS925" s="1" t="s">
        <v>199</v>
      </c>
      <c r="AT925" s="1">
        <v>2.0</v>
      </c>
      <c r="AV925" s="1" t="s">
        <v>200</v>
      </c>
      <c r="AW925" s="1">
        <v>3378.5</v>
      </c>
      <c r="AX925" s="1">
        <v>2013.0</v>
      </c>
      <c r="AY925" s="1" t="s">
        <v>387</v>
      </c>
      <c r="AZ925" s="1" t="s">
        <v>200</v>
      </c>
      <c r="BA925" s="1" t="str">
        <f>"13203050290000"</f>
        <v>13203050290000</v>
      </c>
      <c r="BB925" s="1" t="s">
        <v>200</v>
      </c>
      <c r="BC925" s="1">
        <v>1800.0</v>
      </c>
      <c r="BD925" s="1">
        <v>176000.0</v>
      </c>
      <c r="BE925" s="2">
        <v>41736.0</v>
      </c>
      <c r="BF925" s="2" t="s">
        <v>10506</v>
      </c>
      <c r="BH925" s="1">
        <v>0.0</v>
      </c>
      <c r="BK925" s="1" t="s">
        <v>204</v>
      </c>
      <c r="BL925" s="1" t="str">
        <f>"3500"</f>
        <v>3500</v>
      </c>
      <c r="BM925" s="1" t="str">
        <f>"0"</f>
        <v>0</v>
      </c>
      <c r="BN925" s="1">
        <v>6216.0</v>
      </c>
      <c r="BO925" s="1">
        <v>0.0</v>
      </c>
      <c r="BQ925" s="1">
        <v>299.0</v>
      </c>
      <c r="BR925" s="1">
        <v>299.0</v>
      </c>
      <c r="BS925" s="1">
        <v>299.0</v>
      </c>
      <c r="BU925" s="1" t="s">
        <v>211</v>
      </c>
      <c r="BV925" s="1" t="s">
        <v>206</v>
      </c>
      <c r="BW925" s="1" t="s">
        <v>207</v>
      </c>
      <c r="BX925" s="1" t="s">
        <v>431</v>
      </c>
      <c r="BY925" s="1" t="s">
        <v>392</v>
      </c>
      <c r="BZ925" s="1" t="s">
        <v>206</v>
      </c>
      <c r="CA925" s="1" t="s">
        <v>617</v>
      </c>
      <c r="CB925" s="1" t="s">
        <v>431</v>
      </c>
      <c r="CC925" s="1" t="s">
        <v>433</v>
      </c>
      <c r="CD925" s="1" t="s">
        <v>206</v>
      </c>
      <c r="CE925" s="1" t="s">
        <v>207</v>
      </c>
      <c r="CF925" s="1" t="s">
        <v>431</v>
      </c>
      <c r="CG925" s="1" t="s">
        <v>264</v>
      </c>
      <c r="CH925" s="1" t="s">
        <v>206</v>
      </c>
      <c r="CI925" s="1" t="s">
        <v>210</v>
      </c>
      <c r="CJ925" s="1" t="s">
        <v>431</v>
      </c>
      <c r="CK925" s="1" t="s">
        <v>543</v>
      </c>
      <c r="CL925" s="1" t="s">
        <v>209</v>
      </c>
      <c r="CM925" s="1" t="s">
        <v>210</v>
      </c>
      <c r="CN925" s="1" t="s">
        <v>431</v>
      </c>
      <c r="CO925" s="1" t="s">
        <v>363</v>
      </c>
      <c r="CP925" s="1" t="s">
        <v>209</v>
      </c>
      <c r="CQ925" s="1" t="s">
        <v>210</v>
      </c>
      <c r="CR925" s="1" t="s">
        <v>431</v>
      </c>
      <c r="CS925" s="1" t="s">
        <v>264</v>
      </c>
      <c r="CT925" s="1" t="s">
        <v>206</v>
      </c>
      <c r="CU925" s="1" t="s">
        <v>207</v>
      </c>
      <c r="CW925" s="1" t="s">
        <v>3139</v>
      </c>
      <c r="CX925" s="1" t="s">
        <v>267</v>
      </c>
      <c r="CY925" s="1" t="s">
        <v>617</v>
      </c>
      <c r="CZ925" s="1" t="s">
        <v>229</v>
      </c>
      <c r="DA925" s="1" t="s">
        <v>200</v>
      </c>
      <c r="DC925" s="1" t="s">
        <v>216</v>
      </c>
      <c r="DE925" s="1" t="s">
        <v>273</v>
      </c>
      <c r="DF925" s="1" t="s">
        <v>619</v>
      </c>
      <c r="DH925" s="1" t="s">
        <v>220</v>
      </c>
      <c r="DJ925" s="1" t="s">
        <v>222</v>
      </c>
      <c r="DL925" s="1" t="s">
        <v>224</v>
      </c>
      <c r="DM925" s="1" t="s">
        <v>229</v>
      </c>
      <c r="DQ925" s="1" t="s">
        <v>228</v>
      </c>
      <c r="DR925" s="1" t="s">
        <v>229</v>
      </c>
      <c r="DS925" s="1" t="s">
        <v>230</v>
      </c>
      <c r="DV925" s="1" t="s">
        <v>10507</v>
      </c>
      <c r="DW925" s="1" t="s">
        <v>667</v>
      </c>
      <c r="DX925" s="1" t="s">
        <v>4139</v>
      </c>
      <c r="DY925" s="1" t="s">
        <v>879</v>
      </c>
      <c r="EA925" s="1" t="s">
        <v>644</v>
      </c>
      <c r="EC925" s="1" t="s">
        <v>645</v>
      </c>
      <c r="EG925" s="1" t="s">
        <v>1407</v>
      </c>
      <c r="EH925" s="1" t="s">
        <v>494</v>
      </c>
      <c r="EI925" s="1" t="s">
        <v>557</v>
      </c>
      <c r="EL925" s="1" t="s">
        <v>269</v>
      </c>
      <c r="EM925" s="1" t="s">
        <v>209</v>
      </c>
      <c r="EN925" s="1" t="s">
        <v>617</v>
      </c>
      <c r="EP925" s="1" t="s">
        <v>543</v>
      </c>
      <c r="EQ925" s="1" t="s">
        <v>206</v>
      </c>
      <c r="ER925" s="1" t="s">
        <v>210</v>
      </c>
      <c r="ES925" s="1" t="s">
        <v>431</v>
      </c>
      <c r="ET925" s="1" t="s">
        <v>264</v>
      </c>
      <c r="EU925" s="1" t="s">
        <v>209</v>
      </c>
      <c r="EV925" s="1" t="s">
        <v>210</v>
      </c>
      <c r="EY925" s="1" t="s">
        <v>238</v>
      </c>
      <c r="FC925" s="1" t="s">
        <v>238</v>
      </c>
      <c r="FF925" s="1" t="s">
        <v>239</v>
      </c>
      <c r="FG925" s="1" t="s">
        <v>200</v>
      </c>
      <c r="FH925" s="1" t="s">
        <v>192</v>
      </c>
      <c r="FJ925" s="1" t="s">
        <v>1506</v>
      </c>
      <c r="FK925" s="1" t="s">
        <v>1586</v>
      </c>
      <c r="FL925" s="1" t="s">
        <v>10508</v>
      </c>
      <c r="FM925" s="1">
        <v>15409.0</v>
      </c>
      <c r="FN925" s="1" t="s">
        <v>10509</v>
      </c>
      <c r="FO925" s="1" t="s">
        <v>10510</v>
      </c>
      <c r="FP925" s="1">
        <v>130728.0</v>
      </c>
      <c r="FQ925" s="1" t="s">
        <v>10509</v>
      </c>
      <c r="FU925" s="1" t="s">
        <v>10511</v>
      </c>
      <c r="FV925" s="1" t="s">
        <v>200</v>
      </c>
      <c r="FW925" s="1" t="s">
        <v>4843</v>
      </c>
      <c r="FX925" s="1" t="s">
        <v>246</v>
      </c>
      <c r="FZ925" s="1" t="s">
        <v>229</v>
      </c>
      <c r="GA925" s="1" t="s">
        <v>291</v>
      </c>
      <c r="GB925" s="2">
        <v>42144.0</v>
      </c>
      <c r="GC925" s="1" t="s">
        <v>10512</v>
      </c>
    </row>
    <row r="926">
      <c r="A926" s="1">
        <v>303346.0</v>
      </c>
      <c r="B926" s="1" t="s">
        <v>185</v>
      </c>
      <c r="C926" s="1" t="str">
        <f>"08568752"</f>
        <v>08568752</v>
      </c>
      <c r="D926" s="1" t="s">
        <v>186</v>
      </c>
      <c r="F926" s="1" t="str">
        <f>"543"</f>
        <v>543</v>
      </c>
      <c r="G926" s="2">
        <v>41725.0</v>
      </c>
      <c r="H926" s="1">
        <v>253495.0</v>
      </c>
      <c r="I926" s="1">
        <v>422.0</v>
      </c>
      <c r="J926" s="1">
        <v>253495.0</v>
      </c>
      <c r="K926" s="2">
        <v>41725.0</v>
      </c>
      <c r="L926" s="1">
        <v>1.0</v>
      </c>
      <c r="M926" s="2">
        <v>41725.0</v>
      </c>
      <c r="N926" s="1" t="s">
        <v>187</v>
      </c>
      <c r="O926" s="2">
        <v>41978.0</v>
      </c>
      <c r="P926" s="1">
        <v>99999.0</v>
      </c>
      <c r="Q926" s="1" t="s">
        <v>947</v>
      </c>
      <c r="S926" s="1">
        <v>4414.0</v>
      </c>
      <c r="T926" s="1" t="s">
        <v>10513</v>
      </c>
      <c r="U926" s="1" t="s">
        <v>569</v>
      </c>
      <c r="V926" s="1" t="s">
        <v>1527</v>
      </c>
      <c r="W926" s="1">
        <v>60543.0</v>
      </c>
      <c r="Y926" s="1" t="s">
        <v>10308</v>
      </c>
      <c r="Z926" s="1">
        <v>2014.0</v>
      </c>
      <c r="AA926" s="1" t="s">
        <v>200</v>
      </c>
      <c r="AB926" s="1" t="s">
        <v>193</v>
      </c>
      <c r="AC926" s="1" t="s">
        <v>8934</v>
      </c>
      <c r="AD926" s="1" t="s">
        <v>1529</v>
      </c>
      <c r="AE926" s="1" t="s">
        <v>849</v>
      </c>
      <c r="AF926" s="1" t="s">
        <v>1529</v>
      </c>
      <c r="AG926" s="1" t="s">
        <v>10309</v>
      </c>
      <c r="AH926" s="1" t="s">
        <v>10310</v>
      </c>
      <c r="AK926" s="1">
        <v>11.0</v>
      </c>
      <c r="AL926" s="1">
        <v>4.0</v>
      </c>
      <c r="AM926" s="1">
        <v>2.0</v>
      </c>
      <c r="AN926" s="1">
        <v>1.0</v>
      </c>
      <c r="AO926" s="1" t="s">
        <v>198</v>
      </c>
      <c r="AQ926" s="1" t="s">
        <v>198</v>
      </c>
      <c r="AR926" s="1" t="s">
        <v>200</v>
      </c>
      <c r="AS926" s="1" t="s">
        <v>199</v>
      </c>
      <c r="AT926" s="1">
        <v>3.0</v>
      </c>
      <c r="AV926" s="1" t="s">
        <v>200</v>
      </c>
      <c r="AW926" s="1" t="s">
        <v>575</v>
      </c>
      <c r="AX926" s="1">
        <v>2012.0</v>
      </c>
      <c r="AZ926" s="1" t="s">
        <v>200</v>
      </c>
      <c r="BA926" s="1" t="str">
        <f>"0339400001"</f>
        <v>0339400001</v>
      </c>
      <c r="BC926" s="1">
        <v>3238.0</v>
      </c>
      <c r="BD926" s="1">
        <v>303346.0</v>
      </c>
      <c r="BE926" s="2">
        <v>41725.0</v>
      </c>
      <c r="BF926" s="1" t="s">
        <v>10514</v>
      </c>
      <c r="BG926" s="1" t="s">
        <v>8939</v>
      </c>
      <c r="BH926" s="1">
        <v>66.0</v>
      </c>
      <c r="BI926" s="1" t="s">
        <v>1533</v>
      </c>
      <c r="BJ926" s="1" t="s">
        <v>1349</v>
      </c>
      <c r="BK926" s="1" t="s">
        <v>474</v>
      </c>
      <c r="BL926" s="1" t="str">
        <f t="shared" ref="BL926:BM926" si="603">"0"</f>
        <v>0</v>
      </c>
      <c r="BM926" s="1" t="str">
        <f t="shared" si="603"/>
        <v>0</v>
      </c>
      <c r="BN926" s="1">
        <v>39.0</v>
      </c>
      <c r="BO926" s="1">
        <v>15.0</v>
      </c>
      <c r="BQ926" s="1">
        <v>308.0</v>
      </c>
      <c r="BR926" s="1">
        <v>308.0</v>
      </c>
      <c r="BS926" s="1">
        <v>308.0</v>
      </c>
      <c r="BU926" s="1" t="s">
        <v>331</v>
      </c>
      <c r="BV926" s="1" t="s">
        <v>206</v>
      </c>
      <c r="BW926" s="1" t="s">
        <v>210</v>
      </c>
      <c r="BY926" s="1" t="s">
        <v>2120</v>
      </c>
      <c r="BZ926" s="1" t="s">
        <v>209</v>
      </c>
      <c r="CA926" s="1" t="s">
        <v>210</v>
      </c>
      <c r="CC926" s="1" t="s">
        <v>331</v>
      </c>
      <c r="CD926" s="1" t="s">
        <v>206</v>
      </c>
      <c r="CE926" s="1" t="s">
        <v>210</v>
      </c>
      <c r="CG926" s="1" t="s">
        <v>1395</v>
      </c>
      <c r="CH926" s="1" t="s">
        <v>209</v>
      </c>
      <c r="CI926" s="1" t="s">
        <v>210</v>
      </c>
      <c r="CK926" s="1" t="s">
        <v>363</v>
      </c>
      <c r="CL926" s="1" t="s">
        <v>209</v>
      </c>
      <c r="CM926" s="1" t="s">
        <v>210</v>
      </c>
      <c r="CO926" s="1" t="s">
        <v>433</v>
      </c>
      <c r="CP926" s="1" t="s">
        <v>209</v>
      </c>
      <c r="CQ926" s="1" t="s">
        <v>210</v>
      </c>
      <c r="CS926" s="1" t="s">
        <v>1183</v>
      </c>
      <c r="CT926" s="1" t="s">
        <v>206</v>
      </c>
      <c r="CU926" s="1" t="s">
        <v>617</v>
      </c>
      <c r="CW926" s="1" t="s">
        <v>2120</v>
      </c>
      <c r="CX926" s="1" t="s">
        <v>206</v>
      </c>
      <c r="CY926" s="1" t="s">
        <v>210</v>
      </c>
      <c r="DA926" s="1" t="s">
        <v>192</v>
      </c>
      <c r="DB926" s="2">
        <v>41927.0</v>
      </c>
      <c r="DC926" s="1" t="s">
        <v>744</v>
      </c>
      <c r="DD926" s="1" t="s">
        <v>396</v>
      </c>
      <c r="DE926" s="1" t="s">
        <v>229</v>
      </c>
      <c r="DF926" s="1" t="s">
        <v>219</v>
      </c>
      <c r="DG926" s="1" t="s">
        <v>2379</v>
      </c>
      <c r="DH926" s="1" t="s">
        <v>220</v>
      </c>
      <c r="DI926" s="1" t="s">
        <v>1021</v>
      </c>
      <c r="DJ926" s="1" t="s">
        <v>1048</v>
      </c>
      <c r="DL926" s="1" t="s">
        <v>223</v>
      </c>
      <c r="DM926" s="1" t="s">
        <v>338</v>
      </c>
      <c r="DQ926" s="1" t="s">
        <v>228</v>
      </c>
      <c r="DR926" s="1" t="s">
        <v>1980</v>
      </c>
      <c r="DV926" s="1" t="s">
        <v>3022</v>
      </c>
      <c r="DW926" s="1" t="s">
        <v>233</v>
      </c>
      <c r="DX926" s="1" t="s">
        <v>234</v>
      </c>
      <c r="EA926" s="1" t="s">
        <v>344</v>
      </c>
      <c r="EC926" s="1" t="s">
        <v>237</v>
      </c>
      <c r="EG926" s="1" t="s">
        <v>557</v>
      </c>
      <c r="EH926" s="1" t="s">
        <v>556</v>
      </c>
      <c r="EI926" s="1" t="s">
        <v>494</v>
      </c>
      <c r="EL926" s="1" t="s">
        <v>878</v>
      </c>
      <c r="EM926" s="1" t="s">
        <v>209</v>
      </c>
      <c r="EN926" s="1" t="s">
        <v>210</v>
      </c>
      <c r="EP926" s="1" t="s">
        <v>1316</v>
      </c>
      <c r="EQ926" s="1" t="s">
        <v>206</v>
      </c>
      <c r="ER926" s="1" t="s">
        <v>617</v>
      </c>
      <c r="ET926" s="1" t="s">
        <v>2459</v>
      </c>
      <c r="EU926" s="1" t="s">
        <v>206</v>
      </c>
      <c r="EV926" s="1" t="s">
        <v>210</v>
      </c>
      <c r="EY926" s="1" t="s">
        <v>238</v>
      </c>
      <c r="FC926" s="1" t="s">
        <v>238</v>
      </c>
      <c r="FF926" s="1" t="s">
        <v>239</v>
      </c>
      <c r="FG926" s="1" t="s">
        <v>192</v>
      </c>
      <c r="FH926" s="1" t="s">
        <v>192</v>
      </c>
      <c r="FJ926" s="1" t="s">
        <v>10515</v>
      </c>
      <c r="FK926" s="1" t="s">
        <v>229</v>
      </c>
      <c r="FL926" s="1" t="s">
        <v>1358</v>
      </c>
      <c r="FM926" s="1">
        <v>23076.0</v>
      </c>
      <c r="FN926" s="1" t="s">
        <v>1359</v>
      </c>
      <c r="FO926" s="1" t="s">
        <v>10313</v>
      </c>
      <c r="FP926" s="1">
        <v>216120.0</v>
      </c>
      <c r="FQ926" s="1" t="s">
        <v>10314</v>
      </c>
      <c r="FT926" s="1" t="s">
        <v>10337</v>
      </c>
      <c r="FU926" s="1" t="s">
        <v>10516</v>
      </c>
      <c r="FV926" s="1" t="s">
        <v>200</v>
      </c>
      <c r="FW926" s="1" t="s">
        <v>10316</v>
      </c>
      <c r="FZ926" s="1" t="s">
        <v>229</v>
      </c>
      <c r="GA926" s="1" t="s">
        <v>247</v>
      </c>
      <c r="GB926" s="2">
        <v>41982.0</v>
      </c>
    </row>
    <row r="927">
      <c r="A927" s="1">
        <v>68000.0</v>
      </c>
      <c r="B927" s="1" t="s">
        <v>185</v>
      </c>
      <c r="C927" s="1" t="str">
        <f>"08576741"</f>
        <v>08576741</v>
      </c>
      <c r="D927" s="1" t="s">
        <v>186</v>
      </c>
      <c r="F927" s="1" t="str">
        <f>"8067"</f>
        <v>8067</v>
      </c>
      <c r="G927" s="2">
        <v>41733.0</v>
      </c>
      <c r="H927" s="1">
        <v>114900.0</v>
      </c>
      <c r="I927" s="1">
        <v>262.0</v>
      </c>
      <c r="J927" s="1">
        <v>85000.0</v>
      </c>
      <c r="K927" s="2">
        <v>41991.0</v>
      </c>
      <c r="L927" s="1">
        <v>262.0</v>
      </c>
      <c r="M927" s="2">
        <v>41991.0</v>
      </c>
      <c r="N927" s="1" t="s">
        <v>187</v>
      </c>
      <c r="O927" s="2">
        <v>42036.0</v>
      </c>
      <c r="P927" s="1">
        <v>131211.0</v>
      </c>
      <c r="Q927" s="1">
        <v>85615.0</v>
      </c>
      <c r="S927" s="1">
        <v>1410.0</v>
      </c>
      <c r="T927" s="1" t="s">
        <v>10517</v>
      </c>
      <c r="U927" s="1" t="s">
        <v>320</v>
      </c>
      <c r="V927" s="1" t="s">
        <v>190</v>
      </c>
      <c r="W927" s="1">
        <v>60636.0</v>
      </c>
      <c r="Y927" s="1" t="s">
        <v>10518</v>
      </c>
      <c r="Z927" s="1">
        <v>2007.0</v>
      </c>
      <c r="AA927" s="1" t="s">
        <v>200</v>
      </c>
      <c r="AB927" s="1" t="s">
        <v>193</v>
      </c>
      <c r="AD927" s="1" t="s">
        <v>194</v>
      </c>
      <c r="AE927" s="1" t="s">
        <v>195</v>
      </c>
      <c r="AF927" s="1" t="s">
        <v>659</v>
      </c>
      <c r="AH927" s="1" t="s">
        <v>6502</v>
      </c>
      <c r="AK927" s="1">
        <v>8.0</v>
      </c>
      <c r="AL927" s="1">
        <v>4.0</v>
      </c>
      <c r="AM927" s="1">
        <v>3.0</v>
      </c>
      <c r="AN927" s="1">
        <v>1.0</v>
      </c>
      <c r="AO927" s="1" t="s">
        <v>198</v>
      </c>
      <c r="AP927" s="1">
        <v>1.0</v>
      </c>
      <c r="AQ927" s="1" t="s">
        <v>472</v>
      </c>
      <c r="AR927" s="1" t="s">
        <v>192</v>
      </c>
      <c r="AS927" s="1" t="s">
        <v>199</v>
      </c>
      <c r="AT927" s="1">
        <v>2.0</v>
      </c>
      <c r="AV927" s="1" t="s">
        <v>200</v>
      </c>
      <c r="AW927" s="1">
        <v>3746.0</v>
      </c>
      <c r="AX927" s="1">
        <v>2012.0</v>
      </c>
      <c r="AY927" s="1" t="s">
        <v>229</v>
      </c>
      <c r="AZ927" s="1" t="s">
        <v>200</v>
      </c>
      <c r="BA927" s="1" t="str">
        <f>"20203110400000"</f>
        <v>20203110400000</v>
      </c>
      <c r="BC927" s="1">
        <v>0.0</v>
      </c>
      <c r="BD927" s="1">
        <v>68000.0</v>
      </c>
      <c r="BE927" s="2">
        <v>41730.0</v>
      </c>
      <c r="BF927" s="2" t="s">
        <v>10519</v>
      </c>
      <c r="BG927" s="1" t="s">
        <v>10520</v>
      </c>
      <c r="BH927" s="1">
        <v>0.0</v>
      </c>
      <c r="BJ927" s="1" t="s">
        <v>10521</v>
      </c>
      <c r="BK927" s="1" t="s">
        <v>204</v>
      </c>
      <c r="BL927" s="1" t="str">
        <f t="shared" ref="BL927:BM927" si="604">"0"</f>
        <v>0</v>
      </c>
      <c r="BM927" s="1" t="str">
        <f t="shared" si="604"/>
        <v>0</v>
      </c>
      <c r="BN927" s="1">
        <v>1410.0</v>
      </c>
      <c r="BO927" s="1">
        <v>6900.0</v>
      </c>
      <c r="BQ927" s="1">
        <v>299.0</v>
      </c>
      <c r="BR927" s="1">
        <v>299.0</v>
      </c>
      <c r="BS927" s="1">
        <v>299.0</v>
      </c>
      <c r="BU927" s="1" t="s">
        <v>9889</v>
      </c>
      <c r="BV927" s="1" t="s">
        <v>206</v>
      </c>
      <c r="BW927" s="1" t="s">
        <v>207</v>
      </c>
      <c r="BX927" s="1" t="s">
        <v>431</v>
      </c>
      <c r="BY927" s="1" t="s">
        <v>213</v>
      </c>
      <c r="BZ927" s="1" t="s">
        <v>209</v>
      </c>
      <c r="CA927" s="1" t="s">
        <v>210</v>
      </c>
      <c r="CC927" s="1" t="s">
        <v>542</v>
      </c>
      <c r="CD927" s="1" t="s">
        <v>206</v>
      </c>
      <c r="CE927" s="1" t="s">
        <v>207</v>
      </c>
      <c r="CF927" s="1" t="s">
        <v>431</v>
      </c>
      <c r="CG927" s="1" t="s">
        <v>269</v>
      </c>
      <c r="CH927" s="1" t="s">
        <v>209</v>
      </c>
      <c r="CI927" s="1" t="s">
        <v>210</v>
      </c>
      <c r="CK927" s="1" t="s">
        <v>2082</v>
      </c>
      <c r="CL927" s="1" t="s">
        <v>209</v>
      </c>
      <c r="CM927" s="1" t="s">
        <v>210</v>
      </c>
      <c r="CO927" s="1" t="s">
        <v>329</v>
      </c>
      <c r="CP927" s="1" t="s">
        <v>267</v>
      </c>
      <c r="CQ927" s="1" t="s">
        <v>210</v>
      </c>
      <c r="CS927" s="1" t="s">
        <v>334</v>
      </c>
      <c r="CT927" s="1" t="s">
        <v>206</v>
      </c>
      <c r="CU927" s="1" t="s">
        <v>207</v>
      </c>
      <c r="CV927" s="1" t="s">
        <v>431</v>
      </c>
      <c r="CW927" s="1" t="s">
        <v>3333</v>
      </c>
      <c r="CX927" s="1" t="s">
        <v>267</v>
      </c>
      <c r="CY927" s="1" t="s">
        <v>210</v>
      </c>
      <c r="CZ927" s="1" t="s">
        <v>431</v>
      </c>
      <c r="DA927" s="1" t="s">
        <v>200</v>
      </c>
      <c r="DC927" s="1" t="s">
        <v>481</v>
      </c>
      <c r="DD927" s="1" t="s">
        <v>306</v>
      </c>
      <c r="DE927" s="1" t="s">
        <v>273</v>
      </c>
      <c r="DF927" s="1" t="s">
        <v>619</v>
      </c>
      <c r="DH927" s="1" t="s">
        <v>365</v>
      </c>
      <c r="DI927" s="1" t="s">
        <v>1401</v>
      </c>
      <c r="DJ927" s="1" t="s">
        <v>222</v>
      </c>
      <c r="DL927" s="1" t="s">
        <v>224</v>
      </c>
      <c r="DM927" s="1" t="s">
        <v>225</v>
      </c>
      <c r="DN927" s="1" t="s">
        <v>339</v>
      </c>
      <c r="DP927" s="1" t="s">
        <v>276</v>
      </c>
      <c r="DQ927" s="1" t="s">
        <v>718</v>
      </c>
      <c r="DR927" s="1" t="s">
        <v>229</v>
      </c>
      <c r="DU927" s="1" t="s">
        <v>1355</v>
      </c>
      <c r="DV927" s="1" t="s">
        <v>232</v>
      </c>
      <c r="DW927" s="1" t="s">
        <v>489</v>
      </c>
      <c r="DX927" s="1" t="s">
        <v>234</v>
      </c>
      <c r="DY927" s="1" t="s">
        <v>935</v>
      </c>
      <c r="DZ927" s="1" t="s">
        <v>310</v>
      </c>
      <c r="EA927" s="1" t="s">
        <v>1027</v>
      </c>
      <c r="EB927" s="1" t="s">
        <v>684</v>
      </c>
      <c r="EC927" s="1" t="s">
        <v>237</v>
      </c>
      <c r="ED927" s="1" t="s">
        <v>407</v>
      </c>
      <c r="EM927" s="1" t="s">
        <v>238</v>
      </c>
      <c r="EQ927" s="1" t="s">
        <v>238</v>
      </c>
      <c r="EU927" s="1" t="s">
        <v>238</v>
      </c>
      <c r="EY927" s="1" t="s">
        <v>238</v>
      </c>
      <c r="FC927" s="1" t="s">
        <v>238</v>
      </c>
      <c r="FF927" s="1" t="s">
        <v>239</v>
      </c>
      <c r="FG927" s="1" t="s">
        <v>192</v>
      </c>
      <c r="FH927" s="1" t="s">
        <v>192</v>
      </c>
      <c r="FJ927" s="1" t="s">
        <v>3357</v>
      </c>
      <c r="FK927" s="1" t="s">
        <v>229</v>
      </c>
      <c r="FL927" s="1" t="s">
        <v>1358</v>
      </c>
      <c r="FM927" s="1">
        <v>22205.0</v>
      </c>
      <c r="FN927" s="1" t="s">
        <v>9548</v>
      </c>
      <c r="FO927" s="1" t="s">
        <v>10522</v>
      </c>
      <c r="FP927" s="1">
        <v>221379.0</v>
      </c>
      <c r="FQ927" s="1" t="s">
        <v>10523</v>
      </c>
      <c r="FS927" s="1" t="s">
        <v>10524</v>
      </c>
      <c r="FU927" s="1" t="s">
        <v>10525</v>
      </c>
      <c r="FV927" s="1" t="s">
        <v>200</v>
      </c>
      <c r="FW927" s="1" t="s">
        <v>290</v>
      </c>
      <c r="FX927" s="1" t="s">
        <v>246</v>
      </c>
      <c r="FZ927" s="1" t="s">
        <v>229</v>
      </c>
      <c r="GA927" s="1" t="s">
        <v>291</v>
      </c>
      <c r="GB927" s="2">
        <v>42038.0</v>
      </c>
      <c r="GC927" s="1" t="s">
        <v>10526</v>
      </c>
    </row>
    <row r="928">
      <c r="A928" s="1">
        <v>292490.0</v>
      </c>
      <c r="B928" s="1" t="s">
        <v>185</v>
      </c>
      <c r="C928" s="1" t="str">
        <f>"08571718"</f>
        <v>08571718</v>
      </c>
      <c r="D928" s="1" t="s">
        <v>186</v>
      </c>
      <c r="F928" s="1" t="str">
        <f>"543"</f>
        <v>543</v>
      </c>
      <c r="G928" s="2">
        <v>41729.0</v>
      </c>
      <c r="H928" s="1">
        <v>297990.0</v>
      </c>
      <c r="I928" s="1">
        <v>307.0</v>
      </c>
      <c r="J928" s="1">
        <v>294990.0</v>
      </c>
      <c r="K928" s="2">
        <v>42035.0</v>
      </c>
      <c r="L928" s="1">
        <v>307.0</v>
      </c>
      <c r="M928" s="2">
        <v>42035.0</v>
      </c>
      <c r="N928" s="1" t="s">
        <v>187</v>
      </c>
      <c r="O928" s="2">
        <v>42076.0</v>
      </c>
      <c r="P928" s="1">
        <v>234147.0</v>
      </c>
      <c r="Q928" s="1">
        <v>23076.0</v>
      </c>
      <c r="S928" s="1">
        <v>316.0</v>
      </c>
      <c r="T928" s="1" t="s">
        <v>10527</v>
      </c>
      <c r="U928" s="1" t="s">
        <v>569</v>
      </c>
      <c r="V928" s="1" t="s">
        <v>1527</v>
      </c>
      <c r="W928" s="1">
        <v>60543.0</v>
      </c>
      <c r="Y928" s="1" t="s">
        <v>10528</v>
      </c>
      <c r="Z928" s="1">
        <v>2014.0</v>
      </c>
      <c r="AA928" s="1" t="s">
        <v>200</v>
      </c>
      <c r="AB928" s="1" t="s">
        <v>467</v>
      </c>
      <c r="AC928" s="1" t="s">
        <v>10402</v>
      </c>
      <c r="AD928" s="1" t="s">
        <v>1529</v>
      </c>
      <c r="AE928" s="1" t="s">
        <v>849</v>
      </c>
      <c r="AF928" s="1" t="s">
        <v>1529</v>
      </c>
      <c r="AG928" s="1" t="s">
        <v>10403</v>
      </c>
      <c r="AH928" s="1" t="s">
        <v>10529</v>
      </c>
      <c r="AK928" s="1">
        <v>10.0</v>
      </c>
      <c r="AL928" s="1">
        <v>4.0</v>
      </c>
      <c r="AM928" s="1">
        <v>2.0</v>
      </c>
      <c r="AN928" s="1">
        <v>1.0</v>
      </c>
      <c r="AO928" s="1" t="s">
        <v>198</v>
      </c>
      <c r="AQ928" s="1" t="s">
        <v>198</v>
      </c>
      <c r="AR928" s="1" t="s">
        <v>192</v>
      </c>
      <c r="AS928" s="1" t="s">
        <v>199</v>
      </c>
      <c r="AT928" s="1">
        <v>3.0</v>
      </c>
      <c r="AV928" s="1" t="s">
        <v>200</v>
      </c>
      <c r="AW928" s="1" t="s">
        <v>575</v>
      </c>
      <c r="AX928" s="1">
        <v>2012.0</v>
      </c>
      <c r="AY928" s="1" t="s">
        <v>229</v>
      </c>
      <c r="AZ928" s="1" t="s">
        <v>200</v>
      </c>
      <c r="BA928" s="1" t="str">
        <f>"0316402002"</f>
        <v>0316402002</v>
      </c>
      <c r="BB928" s="1" t="s">
        <v>200</v>
      </c>
      <c r="BC928" s="1">
        <v>2805.0</v>
      </c>
      <c r="BD928" s="1">
        <v>292490.0</v>
      </c>
      <c r="BE928" s="2">
        <v>41729.0</v>
      </c>
      <c r="BF928" s="2" t="s">
        <v>10530</v>
      </c>
      <c r="BG928" s="1" t="s">
        <v>8200</v>
      </c>
      <c r="BH928" s="1">
        <v>140.0</v>
      </c>
      <c r="BI928" s="1" t="s">
        <v>1533</v>
      </c>
      <c r="BJ928" s="1" t="s">
        <v>1349</v>
      </c>
      <c r="BK928" s="1" t="s">
        <v>1952</v>
      </c>
      <c r="BL928" s="1" t="str">
        <f t="shared" ref="BL928:BM928" si="605">""</f>
        <v/>
      </c>
      <c r="BM928" s="1" t="str">
        <f t="shared" si="605"/>
        <v/>
      </c>
      <c r="BQ928" s="1">
        <v>308.0</v>
      </c>
      <c r="BR928" s="1">
        <v>308.0</v>
      </c>
      <c r="BS928" s="1">
        <v>308.0</v>
      </c>
      <c r="BU928" s="1" t="s">
        <v>3307</v>
      </c>
      <c r="BV928" s="1" t="s">
        <v>206</v>
      </c>
      <c r="BW928" s="1" t="s">
        <v>210</v>
      </c>
      <c r="BX928" s="1" t="s">
        <v>229</v>
      </c>
      <c r="BY928" s="1" t="s">
        <v>1043</v>
      </c>
      <c r="BZ928" s="1" t="s">
        <v>209</v>
      </c>
      <c r="CA928" s="1" t="s">
        <v>210</v>
      </c>
      <c r="CB928" s="1" t="s">
        <v>229</v>
      </c>
      <c r="CC928" s="1" t="s">
        <v>542</v>
      </c>
      <c r="CD928" s="1" t="s">
        <v>206</v>
      </c>
      <c r="CG928" s="1" t="s">
        <v>1351</v>
      </c>
      <c r="CH928" s="1" t="s">
        <v>209</v>
      </c>
      <c r="CI928" s="1" t="s">
        <v>210</v>
      </c>
      <c r="CJ928" s="1" t="s">
        <v>229</v>
      </c>
      <c r="CK928" s="1" t="s">
        <v>830</v>
      </c>
      <c r="CL928" s="1" t="s">
        <v>209</v>
      </c>
      <c r="CM928" s="1" t="s">
        <v>210</v>
      </c>
      <c r="CN928" s="1" t="s">
        <v>229</v>
      </c>
      <c r="CO928" s="1" t="s">
        <v>1064</v>
      </c>
      <c r="CP928" s="1" t="s">
        <v>209</v>
      </c>
      <c r="CQ928" s="1" t="s">
        <v>210</v>
      </c>
      <c r="CR928" s="1" t="s">
        <v>229</v>
      </c>
      <c r="CS928" s="1" t="s">
        <v>262</v>
      </c>
      <c r="CT928" s="1" t="s">
        <v>206</v>
      </c>
      <c r="CU928" s="1" t="s">
        <v>207</v>
      </c>
      <c r="CV928" s="1" t="s">
        <v>229</v>
      </c>
      <c r="CW928" s="1" t="s">
        <v>1063</v>
      </c>
      <c r="CX928" s="1" t="s">
        <v>206</v>
      </c>
      <c r="CY928" s="1" t="s">
        <v>210</v>
      </c>
      <c r="CZ928" s="1" t="s">
        <v>229</v>
      </c>
      <c r="DA928" s="1" t="s">
        <v>192</v>
      </c>
      <c r="DB928" s="2">
        <v>41971.0</v>
      </c>
      <c r="DC928" s="1" t="s">
        <v>585</v>
      </c>
      <c r="DD928" s="1" t="s">
        <v>4137</v>
      </c>
      <c r="DE928" s="1" t="s">
        <v>273</v>
      </c>
      <c r="DF928" s="1" t="s">
        <v>219</v>
      </c>
      <c r="DG928" s="1" t="s">
        <v>6030</v>
      </c>
      <c r="DH928" s="1" t="s">
        <v>220</v>
      </c>
      <c r="DI928" s="1" t="s">
        <v>1021</v>
      </c>
      <c r="DJ928" s="1" t="s">
        <v>222</v>
      </c>
      <c r="DL928" s="1" t="s">
        <v>484</v>
      </c>
      <c r="DM928" s="1" t="s">
        <v>338</v>
      </c>
      <c r="DQ928" s="1" t="s">
        <v>441</v>
      </c>
      <c r="DR928" s="1" t="s">
        <v>1980</v>
      </c>
      <c r="DS928" s="1" t="s">
        <v>591</v>
      </c>
      <c r="DU928" s="1" t="s">
        <v>550</v>
      </c>
      <c r="DV928" s="1" t="s">
        <v>8941</v>
      </c>
      <c r="DW928" s="1" t="s">
        <v>444</v>
      </c>
      <c r="DX928" s="1" t="s">
        <v>234</v>
      </c>
      <c r="DY928" s="1" t="s">
        <v>3075</v>
      </c>
      <c r="DZ928" s="1" t="s">
        <v>343</v>
      </c>
      <c r="EA928" s="1" t="s">
        <v>344</v>
      </c>
      <c r="EC928" s="1" t="s">
        <v>237</v>
      </c>
      <c r="EE928" s="1" t="s">
        <v>493</v>
      </c>
      <c r="EG928" s="1" t="s">
        <v>556</v>
      </c>
      <c r="EH928" s="1" t="s">
        <v>341</v>
      </c>
      <c r="EL928" s="1" t="s">
        <v>1417</v>
      </c>
      <c r="EM928" s="1" t="s">
        <v>206</v>
      </c>
      <c r="EP928" s="1" t="s">
        <v>2872</v>
      </c>
      <c r="EQ928" s="1" t="s">
        <v>209</v>
      </c>
      <c r="ER928" s="1" t="s">
        <v>210</v>
      </c>
      <c r="ES928" s="1" t="s">
        <v>229</v>
      </c>
      <c r="EU928" s="1" t="s">
        <v>238</v>
      </c>
      <c r="EY928" s="1" t="s">
        <v>238</v>
      </c>
      <c r="FC928" s="1" t="s">
        <v>238</v>
      </c>
      <c r="FF928" s="1" t="s">
        <v>2447</v>
      </c>
      <c r="FG928" s="1" t="s">
        <v>192</v>
      </c>
      <c r="FH928" s="1" t="s">
        <v>192</v>
      </c>
      <c r="FJ928" s="1" t="s">
        <v>347</v>
      </c>
      <c r="FK928" s="1" t="s">
        <v>229</v>
      </c>
      <c r="FL928" s="1" t="s">
        <v>2448</v>
      </c>
      <c r="FM928" s="1">
        <v>92038.0</v>
      </c>
      <c r="FN928" s="1" t="s">
        <v>2449</v>
      </c>
      <c r="FO928" s="1" t="s">
        <v>2450</v>
      </c>
      <c r="FP928" s="1">
        <v>21137.0</v>
      </c>
      <c r="FQ928" s="1" t="s">
        <v>2451</v>
      </c>
      <c r="FS928" s="1" t="s">
        <v>10407</v>
      </c>
      <c r="FT928" s="1" t="s">
        <v>10408</v>
      </c>
      <c r="FU928" s="1" t="s">
        <v>10531</v>
      </c>
      <c r="FV928" s="1" t="s">
        <v>200</v>
      </c>
      <c r="FW928" s="1" t="s">
        <v>10410</v>
      </c>
      <c r="FZ928" s="1" t="s">
        <v>229</v>
      </c>
      <c r="GA928" s="1" t="s">
        <v>291</v>
      </c>
      <c r="GB928" s="2">
        <v>42077.0</v>
      </c>
      <c r="GC928" s="1" t="s">
        <v>10532</v>
      </c>
    </row>
    <row r="929">
      <c r="A929" s="1">
        <v>272500.0</v>
      </c>
      <c r="B929" s="1" t="s">
        <v>185</v>
      </c>
      <c r="C929" s="1" t="str">
        <f>"08571326"</f>
        <v>08571326</v>
      </c>
      <c r="D929" s="1" t="s">
        <v>186</v>
      </c>
      <c r="F929" s="1" t="str">
        <f>"118"</f>
        <v>118</v>
      </c>
      <c r="G929" s="2">
        <v>41729.0</v>
      </c>
      <c r="H929" s="1">
        <v>305000.0</v>
      </c>
      <c r="I929" s="1">
        <v>81.0</v>
      </c>
      <c r="J929" s="1">
        <v>259900.0</v>
      </c>
      <c r="K929" s="2">
        <v>41809.0</v>
      </c>
      <c r="L929" s="1">
        <v>81.0</v>
      </c>
      <c r="M929" s="2">
        <v>41809.0</v>
      </c>
      <c r="N929" s="1" t="s">
        <v>187</v>
      </c>
      <c r="O929" s="2">
        <v>41988.0</v>
      </c>
      <c r="P929" s="1">
        <v>875391.0</v>
      </c>
      <c r="Q929" s="1">
        <v>14809.0</v>
      </c>
      <c r="S929" s="1">
        <v>2708.0</v>
      </c>
      <c r="T929" s="1" t="s">
        <v>6827</v>
      </c>
      <c r="U929" s="1" t="s">
        <v>569</v>
      </c>
      <c r="V929" s="1" t="s">
        <v>1086</v>
      </c>
      <c r="W929" s="1">
        <v>60118.0</v>
      </c>
      <c r="Y929" s="1" t="s">
        <v>10533</v>
      </c>
      <c r="Z929" s="1">
        <v>2007.0</v>
      </c>
      <c r="AA929" s="1" t="s">
        <v>200</v>
      </c>
      <c r="AB929" s="1" t="s">
        <v>467</v>
      </c>
      <c r="AC929" s="1" t="s">
        <v>4952</v>
      </c>
      <c r="AD929" s="1" t="s">
        <v>3394</v>
      </c>
      <c r="AE929" s="1" t="s">
        <v>325</v>
      </c>
      <c r="AF929" s="1" t="s">
        <v>810</v>
      </c>
      <c r="AH929" s="1" t="s">
        <v>6731</v>
      </c>
      <c r="AI929" s="1">
        <v>0.2239</v>
      </c>
      <c r="AK929" s="1">
        <v>8.0</v>
      </c>
      <c r="AL929" s="1">
        <v>4.0</v>
      </c>
      <c r="AM929" s="1">
        <v>2.0</v>
      </c>
      <c r="AN929" s="1">
        <v>1.0</v>
      </c>
      <c r="AO929" s="1" t="s">
        <v>198</v>
      </c>
      <c r="AP929" s="1">
        <v>1.0</v>
      </c>
      <c r="AQ929" s="1" t="s">
        <v>198</v>
      </c>
      <c r="AR929" s="1" t="s">
        <v>200</v>
      </c>
      <c r="AS929" s="1" t="s">
        <v>199</v>
      </c>
      <c r="AT929" s="1">
        <v>2.0</v>
      </c>
      <c r="AV929" s="1" t="s">
        <v>192</v>
      </c>
      <c r="AW929" s="1">
        <v>9512.48</v>
      </c>
      <c r="AX929" s="1">
        <v>2012.0</v>
      </c>
      <c r="AY929" s="1" t="s">
        <v>387</v>
      </c>
      <c r="AZ929" s="1" t="s">
        <v>200</v>
      </c>
      <c r="BA929" s="1" t="str">
        <f>"0317453019"</f>
        <v>0317453019</v>
      </c>
      <c r="BB929" s="1" t="s">
        <v>200</v>
      </c>
      <c r="BC929" s="1">
        <v>3000.0</v>
      </c>
      <c r="BD929" s="1">
        <v>272500.0</v>
      </c>
      <c r="BE929" s="2">
        <v>41729.0</v>
      </c>
      <c r="BF929" s="2" t="s">
        <v>10534</v>
      </c>
      <c r="BG929" s="1" t="s">
        <v>3486</v>
      </c>
      <c r="BH929" s="1">
        <v>250.0</v>
      </c>
      <c r="BI929" s="1" t="s">
        <v>1093</v>
      </c>
      <c r="BJ929" s="1" t="s">
        <v>1759</v>
      </c>
      <c r="BK929" s="1" t="s">
        <v>580</v>
      </c>
      <c r="BL929" s="1" t="str">
        <f t="shared" ref="BL929:BM929" si="606">""</f>
        <v/>
      </c>
      <c r="BM929" s="1" t="str">
        <f t="shared" si="606"/>
        <v/>
      </c>
      <c r="BQ929" s="1">
        <v>300.0</v>
      </c>
      <c r="BR929" s="1">
        <v>300.0</v>
      </c>
      <c r="BS929" s="1">
        <v>300.0</v>
      </c>
      <c r="BV929" s="1" t="s">
        <v>204</v>
      </c>
      <c r="BY929" s="1" t="s">
        <v>2181</v>
      </c>
      <c r="BZ929" s="1" t="s">
        <v>209</v>
      </c>
      <c r="CA929" s="1" t="s">
        <v>210</v>
      </c>
      <c r="CB929" s="1" t="s">
        <v>431</v>
      </c>
      <c r="CC929" s="1" t="s">
        <v>302</v>
      </c>
      <c r="CD929" s="1" t="s">
        <v>206</v>
      </c>
      <c r="CE929" s="1" t="s">
        <v>207</v>
      </c>
      <c r="CF929" s="1" t="s">
        <v>229</v>
      </c>
      <c r="CG929" s="1" t="s">
        <v>212</v>
      </c>
      <c r="CH929" s="1" t="s">
        <v>209</v>
      </c>
      <c r="CI929" s="1" t="s">
        <v>210</v>
      </c>
      <c r="CJ929" s="1" t="s">
        <v>229</v>
      </c>
      <c r="CK929" s="1" t="s">
        <v>331</v>
      </c>
      <c r="CL929" s="1" t="s">
        <v>209</v>
      </c>
      <c r="CM929" s="1" t="s">
        <v>210</v>
      </c>
      <c r="CN929" s="1" t="s">
        <v>229</v>
      </c>
      <c r="CO929" s="1" t="s">
        <v>392</v>
      </c>
      <c r="CP929" s="1" t="s">
        <v>209</v>
      </c>
      <c r="CQ929" s="1" t="s">
        <v>210</v>
      </c>
      <c r="CR929" s="1" t="s">
        <v>431</v>
      </c>
      <c r="CS929" s="1" t="s">
        <v>262</v>
      </c>
      <c r="CT929" s="1" t="s">
        <v>206</v>
      </c>
      <c r="CU929" s="1" t="s">
        <v>207</v>
      </c>
      <c r="CV929" s="1" t="s">
        <v>431</v>
      </c>
      <c r="CW929" s="1" t="s">
        <v>3092</v>
      </c>
      <c r="CX929" s="1" t="s">
        <v>206</v>
      </c>
      <c r="CY929" s="1" t="s">
        <v>207</v>
      </c>
      <c r="CZ929" s="1" t="s">
        <v>431</v>
      </c>
      <c r="DA929" s="1" t="s">
        <v>200</v>
      </c>
      <c r="DC929" s="1" t="s">
        <v>481</v>
      </c>
      <c r="DD929" s="1" t="s">
        <v>10535</v>
      </c>
      <c r="DE929" s="1" t="s">
        <v>273</v>
      </c>
      <c r="DF929" s="1" t="s">
        <v>219</v>
      </c>
      <c r="DG929" s="1" t="s">
        <v>1020</v>
      </c>
      <c r="DH929" s="1" t="s">
        <v>220</v>
      </c>
      <c r="DI929" s="1" t="s">
        <v>9740</v>
      </c>
      <c r="DJ929" s="1" t="s">
        <v>222</v>
      </c>
      <c r="DL929" s="1" t="s">
        <v>484</v>
      </c>
      <c r="DM929" s="1" t="s">
        <v>338</v>
      </c>
      <c r="DN929" s="1" t="s">
        <v>3844</v>
      </c>
      <c r="DO929" s="1" t="s">
        <v>10536</v>
      </c>
      <c r="DP929" s="1" t="s">
        <v>340</v>
      </c>
      <c r="DQ929" s="1" t="s">
        <v>228</v>
      </c>
      <c r="DR929" s="1" t="s">
        <v>588</v>
      </c>
      <c r="DS929" s="1" t="s">
        <v>368</v>
      </c>
      <c r="DU929" s="1" t="s">
        <v>10537</v>
      </c>
      <c r="DV929" s="1" t="s">
        <v>494</v>
      </c>
      <c r="DW929" s="1" t="s">
        <v>10538</v>
      </c>
      <c r="DX929" s="1" t="s">
        <v>234</v>
      </c>
      <c r="DY929" s="1" t="s">
        <v>596</v>
      </c>
      <c r="DZ929" s="1" t="s">
        <v>1333</v>
      </c>
      <c r="EB929" s="1" t="s">
        <v>937</v>
      </c>
      <c r="EC929" s="1" t="s">
        <v>237</v>
      </c>
      <c r="EE929" s="1" t="s">
        <v>493</v>
      </c>
      <c r="EG929" s="1" t="s">
        <v>494</v>
      </c>
      <c r="EL929" s="1" t="s">
        <v>497</v>
      </c>
      <c r="EM929" s="1" t="s">
        <v>206</v>
      </c>
      <c r="EN929" s="1" t="s">
        <v>207</v>
      </c>
      <c r="EO929" s="1" t="s">
        <v>431</v>
      </c>
      <c r="EQ929" s="1" t="s">
        <v>238</v>
      </c>
      <c r="EU929" s="1" t="s">
        <v>238</v>
      </c>
      <c r="EY929" s="1" t="s">
        <v>238</v>
      </c>
      <c r="FC929" s="1" t="s">
        <v>238</v>
      </c>
      <c r="FF929" s="1" t="s">
        <v>239</v>
      </c>
      <c r="FG929" s="1" t="s">
        <v>192</v>
      </c>
      <c r="FH929" s="1" t="s">
        <v>192</v>
      </c>
      <c r="FJ929" s="1" t="s">
        <v>10539</v>
      </c>
      <c r="FK929" s="1" t="s">
        <v>1586</v>
      </c>
      <c r="FL929" s="1" t="s">
        <v>10540</v>
      </c>
      <c r="FM929" s="1">
        <v>1879.0</v>
      </c>
      <c r="FN929" s="1" t="s">
        <v>10541</v>
      </c>
      <c r="FO929" s="1" t="s">
        <v>10542</v>
      </c>
      <c r="FP929" s="1">
        <v>26978.0</v>
      </c>
      <c r="FQ929" s="1" t="s">
        <v>10543</v>
      </c>
      <c r="FU929" s="1" t="s">
        <v>10544</v>
      </c>
      <c r="FV929" s="1" t="s">
        <v>200</v>
      </c>
      <c r="FW929" s="1" t="s">
        <v>290</v>
      </c>
      <c r="FZ929" s="1" t="s">
        <v>229</v>
      </c>
      <c r="GA929" s="1" t="s">
        <v>291</v>
      </c>
      <c r="GB929" s="2">
        <v>41989.0</v>
      </c>
      <c r="GC929" s="1" t="s">
        <v>10545</v>
      </c>
    </row>
    <row r="930">
      <c r="A930" s="1">
        <v>104500.0</v>
      </c>
      <c r="B930" s="1" t="s">
        <v>185</v>
      </c>
      <c r="C930" s="1" t="str">
        <f>"08580675"</f>
        <v>08580675</v>
      </c>
      <c r="D930" s="1" t="s">
        <v>186</v>
      </c>
      <c r="F930" s="1" t="str">
        <f>"8025"</f>
        <v>8025</v>
      </c>
      <c r="G930" s="2">
        <v>41738.0</v>
      </c>
      <c r="H930" s="1">
        <v>99500.0</v>
      </c>
      <c r="I930" s="1">
        <v>371.0</v>
      </c>
      <c r="J930" s="1">
        <v>99500.0</v>
      </c>
      <c r="K930" s="2">
        <v>41854.0</v>
      </c>
      <c r="L930" s="1">
        <v>117.0</v>
      </c>
      <c r="M930" s="2">
        <v>41854.0</v>
      </c>
      <c r="N930" s="1" t="s">
        <v>356</v>
      </c>
      <c r="O930" s="2">
        <v>42030.0</v>
      </c>
      <c r="P930" s="1">
        <v>245750.0</v>
      </c>
      <c r="Q930" s="1">
        <v>25042.0</v>
      </c>
      <c r="S930" s="1">
        <v>1644.0</v>
      </c>
      <c r="T930" s="1" t="s">
        <v>2735</v>
      </c>
      <c r="U930" s="1" t="s">
        <v>189</v>
      </c>
      <c r="V930" s="1" t="s">
        <v>190</v>
      </c>
      <c r="W930" s="1">
        <v>60639.0</v>
      </c>
      <c r="Y930" s="1" t="s">
        <v>10546</v>
      </c>
      <c r="Z930" s="1">
        <v>1918.0</v>
      </c>
      <c r="AA930" s="1" t="s">
        <v>192</v>
      </c>
      <c r="AB930" s="1" t="s">
        <v>193</v>
      </c>
      <c r="AD930" s="1" t="s">
        <v>194</v>
      </c>
      <c r="AE930" s="1" t="s">
        <v>195</v>
      </c>
      <c r="AF930" s="1" t="s">
        <v>196</v>
      </c>
      <c r="AH930" s="1" t="s">
        <v>1501</v>
      </c>
      <c r="AK930" s="1">
        <v>8.0</v>
      </c>
      <c r="AL930" s="1">
        <v>4.0</v>
      </c>
      <c r="AM930" s="1">
        <v>2.0</v>
      </c>
      <c r="AN930" s="1">
        <v>0.0</v>
      </c>
      <c r="AO930" s="1" t="s">
        <v>229</v>
      </c>
      <c r="AQ930" s="1" t="s">
        <v>1314</v>
      </c>
      <c r="AR930" s="1" t="s">
        <v>200</v>
      </c>
      <c r="AS930" s="1" t="s">
        <v>199</v>
      </c>
      <c r="AT930" s="1">
        <v>2.0</v>
      </c>
      <c r="AV930" s="1" t="s">
        <v>200</v>
      </c>
      <c r="AW930" s="4">
        <v>2515.0</v>
      </c>
      <c r="AX930" s="1">
        <v>2012.0</v>
      </c>
      <c r="AY930" s="1" t="s">
        <v>387</v>
      </c>
      <c r="AZ930" s="1" t="s">
        <v>200</v>
      </c>
      <c r="BA930" s="1" t="str">
        <f>"13324140190000"</f>
        <v>13324140190000</v>
      </c>
      <c r="BB930" s="1" t="s">
        <v>192</v>
      </c>
      <c r="BC930" s="1">
        <v>0.0</v>
      </c>
      <c r="BD930" s="1">
        <v>104500.0</v>
      </c>
      <c r="BE930" s="2">
        <v>41738.0</v>
      </c>
      <c r="BF930" s="2" t="s">
        <v>10547</v>
      </c>
      <c r="BH930" s="1">
        <v>0.0</v>
      </c>
      <c r="BK930" s="1" t="s">
        <v>204</v>
      </c>
      <c r="BL930" s="1" t="str">
        <f>"1644"</f>
        <v>1644</v>
      </c>
      <c r="BM930" s="1" t="str">
        <f t="shared" ref="BM930:BM931" si="607">"0"</f>
        <v>0</v>
      </c>
      <c r="BN930" s="1">
        <v>5732.0</v>
      </c>
      <c r="BO930" s="1">
        <v>0.0</v>
      </c>
      <c r="BQ930" s="1">
        <v>299.0</v>
      </c>
      <c r="BR930" s="1">
        <v>299.0</v>
      </c>
      <c r="BS930" s="1">
        <v>299.0</v>
      </c>
      <c r="BU930" s="1" t="s">
        <v>1426</v>
      </c>
      <c r="BV930" s="1" t="s">
        <v>206</v>
      </c>
      <c r="BW930" s="1" t="s">
        <v>207</v>
      </c>
      <c r="BY930" s="1" t="s">
        <v>497</v>
      </c>
      <c r="BZ930" s="1" t="s">
        <v>206</v>
      </c>
      <c r="CA930" s="1" t="s">
        <v>207</v>
      </c>
      <c r="CC930" s="1" t="s">
        <v>433</v>
      </c>
      <c r="CD930" s="1" t="s">
        <v>206</v>
      </c>
      <c r="CE930" s="1" t="s">
        <v>207</v>
      </c>
      <c r="CG930" s="1" t="s">
        <v>1397</v>
      </c>
      <c r="CH930" s="1" t="s">
        <v>209</v>
      </c>
      <c r="CI930" s="1" t="s">
        <v>210</v>
      </c>
      <c r="CK930" s="1" t="s">
        <v>264</v>
      </c>
      <c r="CL930" s="1" t="s">
        <v>209</v>
      </c>
      <c r="CM930" s="1" t="s">
        <v>210</v>
      </c>
      <c r="CO930" s="1" t="s">
        <v>663</v>
      </c>
      <c r="CP930" s="1" t="s">
        <v>209</v>
      </c>
      <c r="CQ930" s="1" t="s">
        <v>210</v>
      </c>
      <c r="CS930" s="1" t="s">
        <v>5359</v>
      </c>
      <c r="CT930" s="1" t="s">
        <v>206</v>
      </c>
      <c r="CU930" s="1" t="s">
        <v>617</v>
      </c>
      <c r="CW930" s="1" t="s">
        <v>544</v>
      </c>
      <c r="CX930" s="1" t="s">
        <v>42</v>
      </c>
      <c r="CY930" s="1" t="s">
        <v>617</v>
      </c>
      <c r="DA930" s="1" t="s">
        <v>200</v>
      </c>
      <c r="DC930" s="1" t="s">
        <v>216</v>
      </c>
      <c r="DE930" s="1" t="s">
        <v>273</v>
      </c>
      <c r="DF930" s="1" t="s">
        <v>905</v>
      </c>
      <c r="DH930" s="1" t="s">
        <v>307</v>
      </c>
      <c r="DJ930" s="1" t="s">
        <v>222</v>
      </c>
      <c r="DL930" s="1" t="s">
        <v>224</v>
      </c>
      <c r="DM930" s="1" t="s">
        <v>229</v>
      </c>
      <c r="DQ930" s="1" t="s">
        <v>794</v>
      </c>
      <c r="DR930" s="1" t="s">
        <v>229</v>
      </c>
      <c r="DV930" s="1" t="s">
        <v>232</v>
      </c>
      <c r="DW930" s="1" t="s">
        <v>279</v>
      </c>
      <c r="DX930" s="1" t="s">
        <v>234</v>
      </c>
      <c r="EC930" s="1" t="s">
        <v>237</v>
      </c>
      <c r="EE930" s="1" t="s">
        <v>187</v>
      </c>
      <c r="EM930" s="1" t="s">
        <v>238</v>
      </c>
      <c r="EQ930" s="1" t="s">
        <v>238</v>
      </c>
      <c r="EU930" s="1" t="s">
        <v>238</v>
      </c>
      <c r="EY930" s="1" t="s">
        <v>238</v>
      </c>
      <c r="FC930" s="1" t="s">
        <v>238</v>
      </c>
      <c r="FF930" s="1" t="s">
        <v>239</v>
      </c>
      <c r="FG930" s="1" t="s">
        <v>192</v>
      </c>
      <c r="FH930" s="1" t="s">
        <v>192</v>
      </c>
      <c r="FJ930" s="1" t="s">
        <v>10548</v>
      </c>
      <c r="FK930" s="1" t="s">
        <v>1586</v>
      </c>
      <c r="FL930" s="1" t="s">
        <v>836</v>
      </c>
      <c r="FM930" s="1">
        <v>18080.0</v>
      </c>
      <c r="FN930" s="1" t="s">
        <v>837</v>
      </c>
      <c r="FO930" s="1" t="s">
        <v>10549</v>
      </c>
      <c r="FP930" s="1">
        <v>129147.0</v>
      </c>
      <c r="FQ930" s="1" t="s">
        <v>10550</v>
      </c>
      <c r="FU930" s="1" t="s">
        <v>10551</v>
      </c>
      <c r="FV930" s="1" t="s">
        <v>200</v>
      </c>
      <c r="FW930" s="1" t="s">
        <v>530</v>
      </c>
      <c r="FX930" s="1" t="s">
        <v>238</v>
      </c>
      <c r="FZ930" s="1" t="s">
        <v>229</v>
      </c>
      <c r="GA930" s="1" t="s">
        <v>291</v>
      </c>
      <c r="GB930" s="2">
        <v>42033.0</v>
      </c>
      <c r="GC930" s="1" t="s">
        <v>3170</v>
      </c>
    </row>
    <row r="931">
      <c r="A931" s="1">
        <v>415000.0</v>
      </c>
      <c r="B931" s="1" t="s">
        <v>185</v>
      </c>
      <c r="C931" s="1" t="str">
        <f>"08581034"</f>
        <v>08581034</v>
      </c>
      <c r="D931" s="1" t="s">
        <v>186</v>
      </c>
      <c r="F931" s="1" t="str">
        <f t="shared" ref="F931:F932" si="608">"174"</f>
        <v>174</v>
      </c>
      <c r="G931" s="2">
        <v>41738.0</v>
      </c>
      <c r="H931" s="1">
        <v>474800.0</v>
      </c>
      <c r="I931" s="1">
        <v>42.0</v>
      </c>
      <c r="J931" s="1">
        <v>444800.0</v>
      </c>
      <c r="K931" s="2">
        <v>41778.0</v>
      </c>
      <c r="L931" s="1">
        <v>42.0</v>
      </c>
      <c r="M931" s="2">
        <v>41778.0</v>
      </c>
      <c r="N931" s="1" t="s">
        <v>187</v>
      </c>
      <c r="O931" s="2">
        <v>41978.0</v>
      </c>
      <c r="P931" s="1">
        <v>1197.0</v>
      </c>
      <c r="Q931" s="1">
        <v>30.0</v>
      </c>
      <c r="S931" s="1" t="s">
        <v>10552</v>
      </c>
      <c r="T931" s="1" t="s">
        <v>10553</v>
      </c>
      <c r="U931" s="1" t="s">
        <v>569</v>
      </c>
      <c r="V931" s="1" t="s">
        <v>1200</v>
      </c>
      <c r="W931" s="1">
        <v>60175.0</v>
      </c>
      <c r="Y931" s="1" t="s">
        <v>10554</v>
      </c>
      <c r="Z931" s="1">
        <v>2003.0</v>
      </c>
      <c r="AA931" s="1" t="s">
        <v>200</v>
      </c>
      <c r="AB931" s="1" t="s">
        <v>193</v>
      </c>
      <c r="AD931" s="1" t="s">
        <v>1089</v>
      </c>
      <c r="AE931" s="1" t="s">
        <v>325</v>
      </c>
      <c r="AF931" s="1" t="s">
        <v>1203</v>
      </c>
      <c r="AG931" s="1" t="s">
        <v>752</v>
      </c>
      <c r="AH931" s="1" t="s">
        <v>10555</v>
      </c>
      <c r="AI931" s="1">
        <v>2.01</v>
      </c>
      <c r="AK931" s="1">
        <v>8.0</v>
      </c>
      <c r="AL931" s="1">
        <v>4.0</v>
      </c>
      <c r="AM931" s="1">
        <v>3.0</v>
      </c>
      <c r="AN931" s="1">
        <v>1.0</v>
      </c>
      <c r="AO931" s="1" t="s">
        <v>198</v>
      </c>
      <c r="AP931" s="1">
        <v>1.0</v>
      </c>
      <c r="AQ931" s="1" t="s">
        <v>472</v>
      </c>
      <c r="AR931" s="1" t="s">
        <v>192</v>
      </c>
      <c r="AS931" s="1" t="s">
        <v>199</v>
      </c>
      <c r="AT931" s="1">
        <v>3.0</v>
      </c>
      <c r="AV931" s="1" t="s">
        <v>192</v>
      </c>
      <c r="AW931" s="1">
        <v>11397.28</v>
      </c>
      <c r="AX931" s="1">
        <v>2012.0</v>
      </c>
      <c r="AY931" s="1" t="s">
        <v>387</v>
      </c>
      <c r="AZ931" s="1" t="s">
        <v>200</v>
      </c>
      <c r="BA931" s="1" t="str">
        <f>"0907427001"</f>
        <v>0907427001</v>
      </c>
      <c r="BC931" s="1">
        <v>2431.0</v>
      </c>
      <c r="BD931" s="1">
        <v>415000.0</v>
      </c>
      <c r="BE931" s="2">
        <v>41737.0</v>
      </c>
      <c r="BF931" s="2" t="s">
        <v>10556</v>
      </c>
      <c r="BH931" s="1">
        <v>0.0</v>
      </c>
      <c r="BK931" s="1" t="s">
        <v>204</v>
      </c>
      <c r="BL931" s="1" t="str">
        <f>"6"</f>
        <v>6</v>
      </c>
      <c r="BM931" s="1" t="str">
        <f t="shared" si="607"/>
        <v>0</v>
      </c>
      <c r="BN931" s="1">
        <v>37.0</v>
      </c>
      <c r="BO931" s="1">
        <v>0.0</v>
      </c>
      <c r="BQ931" s="1">
        <v>303.0</v>
      </c>
      <c r="BR931" s="1">
        <v>303.0</v>
      </c>
      <c r="BS931" s="1">
        <v>303.0</v>
      </c>
      <c r="BV931" s="1" t="s">
        <v>204</v>
      </c>
      <c r="BY931" s="1" t="s">
        <v>361</v>
      </c>
      <c r="BZ931" s="1" t="s">
        <v>206</v>
      </c>
      <c r="CA931" s="1" t="s">
        <v>210</v>
      </c>
      <c r="CD931" s="1" t="s">
        <v>204</v>
      </c>
      <c r="CG931" s="1" t="s">
        <v>331</v>
      </c>
      <c r="CH931" s="1" t="s">
        <v>209</v>
      </c>
      <c r="CI931" s="1" t="s">
        <v>210</v>
      </c>
      <c r="CK931" s="1" t="s">
        <v>329</v>
      </c>
      <c r="CL931" s="1" t="s">
        <v>209</v>
      </c>
      <c r="CM931" s="1" t="s">
        <v>210</v>
      </c>
      <c r="CO931" s="1" t="s">
        <v>262</v>
      </c>
      <c r="CP931" s="1" t="s">
        <v>209</v>
      </c>
      <c r="CQ931" s="1" t="s">
        <v>210</v>
      </c>
      <c r="CS931" s="1" t="s">
        <v>3475</v>
      </c>
      <c r="CT931" s="1" t="s">
        <v>206</v>
      </c>
      <c r="CU931" s="1" t="s">
        <v>207</v>
      </c>
      <c r="CW931" s="1" t="s">
        <v>583</v>
      </c>
      <c r="CX931" s="1" t="s">
        <v>206</v>
      </c>
      <c r="CY931" s="1" t="s">
        <v>207</v>
      </c>
      <c r="DA931" s="1" t="s">
        <v>200</v>
      </c>
      <c r="DC931" s="1" t="s">
        <v>335</v>
      </c>
      <c r="DD931" s="1" t="s">
        <v>336</v>
      </c>
      <c r="DE931" s="1" t="s">
        <v>273</v>
      </c>
      <c r="DF931" s="1" t="s">
        <v>219</v>
      </c>
      <c r="DG931" s="1" t="s">
        <v>1553</v>
      </c>
      <c r="DH931" s="1" t="s">
        <v>856</v>
      </c>
      <c r="DI931" s="1" t="s">
        <v>3940</v>
      </c>
      <c r="DJ931" s="1" t="s">
        <v>857</v>
      </c>
      <c r="DL931" s="1" t="s">
        <v>224</v>
      </c>
      <c r="DM931" s="1" t="s">
        <v>338</v>
      </c>
      <c r="DN931" s="1" t="s">
        <v>399</v>
      </c>
      <c r="DO931" s="1" t="s">
        <v>10557</v>
      </c>
      <c r="DQ931" s="1" t="s">
        <v>860</v>
      </c>
      <c r="DR931" s="1" t="s">
        <v>229</v>
      </c>
      <c r="DS931" s="1" t="s">
        <v>368</v>
      </c>
      <c r="DU931" s="1" t="s">
        <v>10558</v>
      </c>
      <c r="DV931" s="1" t="s">
        <v>1430</v>
      </c>
      <c r="DW931" s="1" t="s">
        <v>279</v>
      </c>
      <c r="DX931" s="1" t="s">
        <v>234</v>
      </c>
      <c r="DY931" s="1" t="s">
        <v>3183</v>
      </c>
      <c r="DZ931" s="1" t="s">
        <v>766</v>
      </c>
      <c r="EA931" s="1" t="s">
        <v>344</v>
      </c>
      <c r="EB931" s="1" t="s">
        <v>937</v>
      </c>
      <c r="EC931" s="1" t="s">
        <v>237</v>
      </c>
      <c r="ED931" s="1" t="s">
        <v>407</v>
      </c>
      <c r="EE931" s="1" t="s">
        <v>187</v>
      </c>
      <c r="EG931" s="1" t="s">
        <v>450</v>
      </c>
      <c r="EH931" s="1" t="s">
        <v>1432</v>
      </c>
      <c r="EL931" s="1" t="s">
        <v>4568</v>
      </c>
      <c r="EM931" s="1" t="s">
        <v>42</v>
      </c>
      <c r="EN931" s="1" t="s">
        <v>210</v>
      </c>
      <c r="EP931" s="1" t="s">
        <v>333</v>
      </c>
      <c r="EQ931" s="1" t="s">
        <v>42</v>
      </c>
      <c r="ER931" s="1" t="s">
        <v>210</v>
      </c>
      <c r="EU931" s="1" t="s">
        <v>238</v>
      </c>
      <c r="EY931" s="1" t="s">
        <v>238</v>
      </c>
      <c r="FC931" s="1" t="s">
        <v>238</v>
      </c>
      <c r="FF931" s="1" t="s">
        <v>239</v>
      </c>
      <c r="FG931" s="1" t="s">
        <v>192</v>
      </c>
      <c r="FH931" s="1" t="s">
        <v>192</v>
      </c>
      <c r="FJ931" s="1" t="s">
        <v>347</v>
      </c>
      <c r="FK931" s="1" t="s">
        <v>1586</v>
      </c>
      <c r="FL931" s="1" t="s">
        <v>1212</v>
      </c>
      <c r="FM931" s="1">
        <v>30.0</v>
      </c>
      <c r="FN931" s="1" t="s">
        <v>1213</v>
      </c>
      <c r="FO931" s="1" t="s">
        <v>1214</v>
      </c>
      <c r="FP931" s="1">
        <v>329.0</v>
      </c>
      <c r="FQ931" s="1" t="s">
        <v>1215</v>
      </c>
      <c r="FU931" s="1" t="s">
        <v>10559</v>
      </c>
      <c r="FV931" s="1" t="s">
        <v>200</v>
      </c>
      <c r="FW931" s="1" t="s">
        <v>290</v>
      </c>
      <c r="FZ931" s="1" t="s">
        <v>229</v>
      </c>
      <c r="GA931" s="1" t="s">
        <v>291</v>
      </c>
      <c r="GB931" s="2">
        <v>41981.0</v>
      </c>
      <c r="GC931" s="1" t="s">
        <v>10560</v>
      </c>
    </row>
    <row r="932">
      <c r="A932" s="1">
        <v>1775000.0</v>
      </c>
      <c r="B932" s="1" t="s">
        <v>185</v>
      </c>
      <c r="C932" s="1" t="str">
        <f>"08609702"</f>
        <v>08609702</v>
      </c>
      <c r="D932" s="1" t="s">
        <v>186</v>
      </c>
      <c r="F932" s="1" t="str">
        <f t="shared" si="608"/>
        <v>174</v>
      </c>
      <c r="G932" s="2">
        <v>41768.0</v>
      </c>
      <c r="H932" s="1">
        <v>1995000.0</v>
      </c>
      <c r="I932" s="1">
        <v>196.0</v>
      </c>
      <c r="J932" s="1">
        <v>1895000.0</v>
      </c>
      <c r="K932" s="2">
        <v>41962.0</v>
      </c>
      <c r="L932" s="1">
        <v>196.0</v>
      </c>
      <c r="M932" s="2">
        <v>41962.0</v>
      </c>
      <c r="N932" s="1" t="s">
        <v>249</v>
      </c>
      <c r="O932" s="2">
        <v>42048.0</v>
      </c>
      <c r="P932" s="1">
        <v>230500.0</v>
      </c>
      <c r="Q932" s="1">
        <v>23591.0</v>
      </c>
      <c r="S932" s="1" t="s">
        <v>10561</v>
      </c>
      <c r="T932" s="1" t="s">
        <v>10562</v>
      </c>
      <c r="U932" s="1" t="s">
        <v>464</v>
      </c>
      <c r="V932" s="1" t="s">
        <v>1200</v>
      </c>
      <c r="W932" s="1">
        <v>60175.0</v>
      </c>
      <c r="Y932" s="1" t="s">
        <v>10563</v>
      </c>
      <c r="Z932" s="1">
        <v>2005.0</v>
      </c>
      <c r="AA932" s="1" t="s">
        <v>200</v>
      </c>
      <c r="AB932" s="1" t="s">
        <v>193</v>
      </c>
      <c r="AC932" s="1" t="s">
        <v>10564</v>
      </c>
      <c r="AD932" s="1" t="s">
        <v>1203</v>
      </c>
      <c r="AE932" s="1" t="s">
        <v>325</v>
      </c>
      <c r="AF932" s="1" t="s">
        <v>1203</v>
      </c>
      <c r="AH932" s="1" t="s">
        <v>10565</v>
      </c>
      <c r="AI932" s="1">
        <v>1.596</v>
      </c>
      <c r="AK932" s="1">
        <v>10.0</v>
      </c>
      <c r="AL932" s="1">
        <v>4.0</v>
      </c>
      <c r="AM932" s="1">
        <v>5.0</v>
      </c>
      <c r="AN932" s="1">
        <v>1.0</v>
      </c>
      <c r="AO932" s="1" t="s">
        <v>198</v>
      </c>
      <c r="AP932" s="1">
        <v>3.0</v>
      </c>
      <c r="AQ932" s="1" t="s">
        <v>198</v>
      </c>
      <c r="AR932" s="1" t="s">
        <v>200</v>
      </c>
      <c r="AS932" s="1" t="s">
        <v>199</v>
      </c>
      <c r="AT932" s="1">
        <v>4.0</v>
      </c>
      <c r="AV932" s="1" t="s">
        <v>192</v>
      </c>
      <c r="AW932" s="1">
        <v>28647.32</v>
      </c>
      <c r="AX932" s="1">
        <v>2013.0</v>
      </c>
      <c r="AY932" s="1" t="s">
        <v>387</v>
      </c>
      <c r="AZ932" s="1" t="s">
        <v>192</v>
      </c>
      <c r="BA932" s="1" t="str">
        <f>"0916452003"</f>
        <v>0916452003</v>
      </c>
      <c r="BC932" s="1">
        <v>6370.0</v>
      </c>
      <c r="BD932" s="1">
        <v>1775000.0</v>
      </c>
      <c r="BE932" s="2">
        <v>41767.0</v>
      </c>
      <c r="BF932" s="2" t="s">
        <v>10566</v>
      </c>
      <c r="BG932" s="1" t="s">
        <v>10567</v>
      </c>
      <c r="BH932" s="1">
        <v>1471.0</v>
      </c>
      <c r="BI932" s="1" t="s">
        <v>4511</v>
      </c>
      <c r="BJ932" s="1" t="s">
        <v>2200</v>
      </c>
      <c r="BK932" s="1" t="s">
        <v>580</v>
      </c>
      <c r="BL932" s="1" t="str">
        <f t="shared" ref="BL932:BM932" si="609">""</f>
        <v/>
      </c>
      <c r="BM932" s="1" t="str">
        <f t="shared" si="609"/>
        <v/>
      </c>
      <c r="BQ932" s="1">
        <v>303.0</v>
      </c>
      <c r="BR932" s="1">
        <v>303.0</v>
      </c>
      <c r="BS932" s="1">
        <v>303.0</v>
      </c>
      <c r="BV932" s="1" t="s">
        <v>204</v>
      </c>
      <c r="BY932" s="1" t="s">
        <v>2181</v>
      </c>
      <c r="BZ932" s="1" t="s">
        <v>206</v>
      </c>
      <c r="CA932" s="1" t="s">
        <v>207</v>
      </c>
      <c r="CC932" s="1" t="s">
        <v>434</v>
      </c>
      <c r="CD932" s="1" t="s">
        <v>206</v>
      </c>
      <c r="CE932" s="1" t="s">
        <v>207</v>
      </c>
      <c r="CG932" s="1" t="s">
        <v>743</v>
      </c>
      <c r="CH932" s="1" t="s">
        <v>209</v>
      </c>
      <c r="CI932" s="1" t="s">
        <v>210</v>
      </c>
      <c r="CK932" s="1" t="s">
        <v>432</v>
      </c>
      <c r="CL932" s="1" t="s">
        <v>206</v>
      </c>
      <c r="CM932" s="1" t="s">
        <v>210</v>
      </c>
      <c r="CO932" s="1" t="s">
        <v>2120</v>
      </c>
      <c r="CP932" s="1" t="s">
        <v>206</v>
      </c>
      <c r="CQ932" s="1" t="s">
        <v>210</v>
      </c>
      <c r="CS932" s="1" t="s">
        <v>3595</v>
      </c>
      <c r="CT932" s="1" t="s">
        <v>206</v>
      </c>
      <c r="CU932" s="1" t="s">
        <v>2615</v>
      </c>
      <c r="CW932" s="1" t="s">
        <v>6858</v>
      </c>
      <c r="CX932" s="1" t="s">
        <v>206</v>
      </c>
      <c r="CY932" s="1" t="s">
        <v>207</v>
      </c>
      <c r="DA932" s="1" t="s">
        <v>200</v>
      </c>
      <c r="DC932" s="1" t="s">
        <v>481</v>
      </c>
      <c r="DD932" s="1" t="s">
        <v>4137</v>
      </c>
      <c r="DE932" s="1" t="s">
        <v>218</v>
      </c>
      <c r="DF932" s="1" t="s">
        <v>219</v>
      </c>
      <c r="DG932" s="1" t="s">
        <v>10568</v>
      </c>
      <c r="DH932" s="1" t="s">
        <v>856</v>
      </c>
      <c r="DI932" s="1" t="s">
        <v>10569</v>
      </c>
      <c r="DJ932" s="1" t="s">
        <v>6699</v>
      </c>
      <c r="DL932" s="1" t="s">
        <v>484</v>
      </c>
      <c r="DM932" s="1" t="s">
        <v>338</v>
      </c>
      <c r="DN932" s="1" t="s">
        <v>399</v>
      </c>
      <c r="DO932" s="1" t="s">
        <v>486</v>
      </c>
      <c r="DP932" s="1" t="s">
        <v>340</v>
      </c>
      <c r="DQ932" s="1" t="s">
        <v>931</v>
      </c>
      <c r="DR932" s="1" t="s">
        <v>10570</v>
      </c>
      <c r="DS932" s="1" t="s">
        <v>368</v>
      </c>
      <c r="DU932" s="1" t="s">
        <v>10571</v>
      </c>
      <c r="DV932" s="1" t="s">
        <v>7853</v>
      </c>
      <c r="DW932" s="1" t="s">
        <v>2128</v>
      </c>
      <c r="DX932" s="1" t="s">
        <v>234</v>
      </c>
      <c r="DY932" s="1" t="s">
        <v>10572</v>
      </c>
      <c r="DZ932" s="1" t="s">
        <v>7113</v>
      </c>
      <c r="EA932" s="1" t="s">
        <v>257</v>
      </c>
      <c r="EC932" s="1" t="s">
        <v>237</v>
      </c>
      <c r="ED932" s="1" t="s">
        <v>407</v>
      </c>
      <c r="EG932" s="1" t="s">
        <v>449</v>
      </c>
      <c r="EH932" s="1" t="s">
        <v>494</v>
      </c>
      <c r="EI932" s="1" t="s">
        <v>1121</v>
      </c>
      <c r="EJ932" s="1" t="s">
        <v>408</v>
      </c>
      <c r="EL932" s="1" t="s">
        <v>390</v>
      </c>
      <c r="EM932" s="1" t="s">
        <v>206</v>
      </c>
      <c r="EN932" s="1" t="s">
        <v>2615</v>
      </c>
      <c r="EP932" s="1" t="s">
        <v>208</v>
      </c>
      <c r="EQ932" s="1" t="s">
        <v>206</v>
      </c>
      <c r="ER932" s="1" t="s">
        <v>207</v>
      </c>
      <c r="ET932" s="1" t="s">
        <v>363</v>
      </c>
      <c r="EU932" s="1" t="s">
        <v>206</v>
      </c>
      <c r="EV932" s="1" t="s">
        <v>207</v>
      </c>
      <c r="EX932" s="1" t="s">
        <v>214</v>
      </c>
      <c r="EY932" s="1" t="s">
        <v>206</v>
      </c>
      <c r="EZ932" s="1" t="s">
        <v>2615</v>
      </c>
      <c r="FC932" s="1" t="s">
        <v>238</v>
      </c>
      <c r="FF932" s="1" t="s">
        <v>239</v>
      </c>
      <c r="FG932" s="1" t="s">
        <v>192</v>
      </c>
      <c r="FH932" s="1" t="s">
        <v>192</v>
      </c>
      <c r="FJ932" s="1" t="s">
        <v>498</v>
      </c>
      <c r="FK932" s="1" t="s">
        <v>229</v>
      </c>
      <c r="FL932" s="1" t="s">
        <v>1358</v>
      </c>
      <c r="FM932" s="1">
        <v>23591.0</v>
      </c>
      <c r="FN932" s="1" t="s">
        <v>2134</v>
      </c>
      <c r="FO932" s="1" t="s">
        <v>2135</v>
      </c>
      <c r="FP932" s="1">
        <v>230500.0</v>
      </c>
      <c r="FQ932" s="1" t="s">
        <v>2136</v>
      </c>
      <c r="FU932" s="1" t="s">
        <v>10573</v>
      </c>
      <c r="FV932" s="1" t="s">
        <v>200</v>
      </c>
      <c r="FW932" s="1" t="s">
        <v>290</v>
      </c>
      <c r="FZ932" s="1" t="s">
        <v>229</v>
      </c>
      <c r="GA932" s="1" t="s">
        <v>291</v>
      </c>
      <c r="GB932" s="2">
        <v>42048.0</v>
      </c>
      <c r="GC932" s="1" t="s">
        <v>10574</v>
      </c>
    </row>
    <row r="933">
      <c r="A933" s="1">
        <v>139000.0</v>
      </c>
      <c r="B933" s="1" t="s">
        <v>185</v>
      </c>
      <c r="C933" s="1" t="str">
        <f>"08349316"</f>
        <v>08349316</v>
      </c>
      <c r="D933" s="1" t="s">
        <v>186</v>
      </c>
      <c r="F933" s="1" t="str">
        <f>"8025"</f>
        <v>8025</v>
      </c>
      <c r="G933" s="2">
        <v>41416.0</v>
      </c>
      <c r="H933" s="1">
        <v>169900.0</v>
      </c>
      <c r="I933" s="1">
        <v>344.0</v>
      </c>
      <c r="J933" s="1">
        <v>149900.0</v>
      </c>
      <c r="K933" s="2">
        <v>41738.0</v>
      </c>
      <c r="L933" s="1">
        <v>323.0</v>
      </c>
      <c r="M933" s="2">
        <v>41738.0</v>
      </c>
      <c r="N933" s="1" t="s">
        <v>356</v>
      </c>
      <c r="O933" s="2">
        <v>42002.0</v>
      </c>
      <c r="P933" s="1">
        <v>161260.0</v>
      </c>
      <c r="Q933" s="1">
        <v>18505.0</v>
      </c>
      <c r="S933" s="1">
        <v>1023.0</v>
      </c>
      <c r="T933" s="1" t="s">
        <v>10575</v>
      </c>
      <c r="U933" s="1" t="s">
        <v>1442</v>
      </c>
      <c r="V933" s="1" t="s">
        <v>190</v>
      </c>
      <c r="W933" s="1">
        <v>60644.0</v>
      </c>
      <c r="Y933" s="1" t="s">
        <v>10576</v>
      </c>
      <c r="Z933" s="1">
        <v>1918.0</v>
      </c>
      <c r="AA933" s="1" t="s">
        <v>192</v>
      </c>
      <c r="AB933" s="1" t="s">
        <v>193</v>
      </c>
      <c r="AD933" s="1" t="s">
        <v>194</v>
      </c>
      <c r="AE933" s="1" t="s">
        <v>195</v>
      </c>
      <c r="AF933" s="1" t="s">
        <v>827</v>
      </c>
      <c r="AH933" s="1" t="s">
        <v>10577</v>
      </c>
      <c r="AK933" s="1">
        <v>8.0</v>
      </c>
      <c r="AL933" s="1">
        <v>4.0</v>
      </c>
      <c r="AM933" s="1">
        <v>3.0</v>
      </c>
      <c r="AN933" s="1">
        <v>0.0</v>
      </c>
      <c r="AO933" s="1" t="s">
        <v>198</v>
      </c>
      <c r="AQ933" s="1" t="s">
        <v>198</v>
      </c>
      <c r="AR933" s="1" t="s">
        <v>192</v>
      </c>
      <c r="AS933" s="1" t="s">
        <v>199</v>
      </c>
      <c r="AT933" s="1">
        <v>2.0</v>
      </c>
      <c r="AV933" s="1" t="s">
        <v>200</v>
      </c>
      <c r="AW933" s="1">
        <v>2980.41</v>
      </c>
      <c r="AX933" s="1">
        <v>2012.0</v>
      </c>
      <c r="AZ933" s="1" t="s">
        <v>200</v>
      </c>
      <c r="BA933" s="1" t="str">
        <f>"16174050070000"</f>
        <v>16174050070000</v>
      </c>
      <c r="BC933" s="1">
        <v>1440.0</v>
      </c>
      <c r="BD933" s="1">
        <v>139000.0</v>
      </c>
      <c r="BE933" s="2">
        <v>41416.0</v>
      </c>
      <c r="BF933" s="2" t="s">
        <v>10578</v>
      </c>
      <c r="BH933" s="1">
        <v>0.0</v>
      </c>
      <c r="BK933" s="1" t="s">
        <v>204</v>
      </c>
      <c r="BL933" s="1" t="str">
        <f t="shared" ref="BL933:BM933" si="610">"0"</f>
        <v>0</v>
      </c>
      <c r="BM933" s="1" t="str">
        <f t="shared" si="610"/>
        <v>0</v>
      </c>
      <c r="BN933" s="1">
        <v>6100.0</v>
      </c>
      <c r="BO933" s="1">
        <v>1023.0</v>
      </c>
      <c r="BQ933" s="1">
        <v>299.0</v>
      </c>
      <c r="BR933" s="1">
        <v>299.0</v>
      </c>
      <c r="BS933" s="1">
        <v>299.0</v>
      </c>
      <c r="BU933" s="1" t="s">
        <v>541</v>
      </c>
      <c r="BV933" s="1" t="s">
        <v>206</v>
      </c>
      <c r="BY933" s="1" t="s">
        <v>2224</v>
      </c>
      <c r="BZ933" s="1" t="s">
        <v>206</v>
      </c>
      <c r="CC933" s="1" t="s">
        <v>211</v>
      </c>
      <c r="CD933" s="1" t="s">
        <v>206</v>
      </c>
      <c r="CG933" s="1" t="s">
        <v>495</v>
      </c>
      <c r="CH933" s="1" t="s">
        <v>206</v>
      </c>
      <c r="CK933" s="1" t="s">
        <v>433</v>
      </c>
      <c r="CL933" s="1" t="s">
        <v>267</v>
      </c>
      <c r="CO933" s="1" t="s">
        <v>264</v>
      </c>
      <c r="CP933" s="1" t="s">
        <v>267</v>
      </c>
      <c r="CS933" s="1" t="s">
        <v>454</v>
      </c>
      <c r="CT933" s="1" t="s">
        <v>206</v>
      </c>
      <c r="CW933" s="1" t="s">
        <v>10579</v>
      </c>
      <c r="CX933" s="1" t="s">
        <v>267</v>
      </c>
      <c r="DA933" s="1" t="s">
        <v>200</v>
      </c>
      <c r="DC933" s="1" t="s">
        <v>216</v>
      </c>
      <c r="DE933" s="1" t="s">
        <v>229</v>
      </c>
      <c r="DF933" s="1" t="s">
        <v>619</v>
      </c>
      <c r="DH933" s="1" t="s">
        <v>220</v>
      </c>
      <c r="DJ933" s="1" t="s">
        <v>222</v>
      </c>
      <c r="DL933" s="1" t="s">
        <v>224</v>
      </c>
      <c r="DM933" s="1" t="s">
        <v>229</v>
      </c>
      <c r="DQ933" s="1" t="s">
        <v>228</v>
      </c>
      <c r="DR933" s="1" t="s">
        <v>229</v>
      </c>
      <c r="DV933" s="1" t="s">
        <v>232</v>
      </c>
      <c r="DW933" s="1" t="s">
        <v>279</v>
      </c>
      <c r="DX933" s="1" t="s">
        <v>234</v>
      </c>
      <c r="EA933" s="1" t="s">
        <v>644</v>
      </c>
      <c r="EC933" s="1" t="s">
        <v>645</v>
      </c>
      <c r="EM933" s="1" t="s">
        <v>238</v>
      </c>
      <c r="EQ933" s="1" t="s">
        <v>238</v>
      </c>
      <c r="EU933" s="1" t="s">
        <v>238</v>
      </c>
      <c r="EY933" s="1" t="s">
        <v>238</v>
      </c>
      <c r="FC933" s="1" t="s">
        <v>238</v>
      </c>
      <c r="FF933" s="1" t="s">
        <v>239</v>
      </c>
      <c r="FG933" s="1" t="s">
        <v>192</v>
      </c>
      <c r="FH933" s="1" t="s">
        <v>192</v>
      </c>
      <c r="FJ933" s="1" t="s">
        <v>412</v>
      </c>
      <c r="FK933" s="1" t="s">
        <v>1586</v>
      </c>
      <c r="FL933" s="1" t="s">
        <v>413</v>
      </c>
      <c r="FM933" s="1">
        <v>13691.0</v>
      </c>
      <c r="FN933" s="1" t="s">
        <v>414</v>
      </c>
      <c r="FO933" s="1" t="s">
        <v>10580</v>
      </c>
      <c r="FP933" s="1">
        <v>105502.0</v>
      </c>
      <c r="FQ933" s="1" t="s">
        <v>10581</v>
      </c>
      <c r="FU933" s="1" t="s">
        <v>10582</v>
      </c>
      <c r="FV933" s="1" t="s">
        <v>200</v>
      </c>
      <c r="FW933" s="1" t="s">
        <v>530</v>
      </c>
      <c r="FX933" s="1" t="s">
        <v>655</v>
      </c>
      <c r="FZ933" s="1" t="s">
        <v>229</v>
      </c>
      <c r="GA933" s="1" t="s">
        <v>291</v>
      </c>
      <c r="GB933" s="2">
        <v>42003.0</v>
      </c>
      <c r="GC933" s="1" t="s">
        <v>10583</v>
      </c>
    </row>
    <row r="934">
      <c r="A934" s="1">
        <v>270000.0</v>
      </c>
      <c r="B934" s="1" t="s">
        <v>185</v>
      </c>
      <c r="C934" s="1" t="str">
        <f>"08585243"</f>
        <v>08585243</v>
      </c>
      <c r="D934" s="1" t="s">
        <v>186</v>
      </c>
      <c r="F934" s="1" t="str">
        <f>"174"</f>
        <v>174</v>
      </c>
      <c r="G934" s="2">
        <v>41743.0</v>
      </c>
      <c r="H934" s="1">
        <v>354900.0</v>
      </c>
      <c r="I934" s="1">
        <v>267.0</v>
      </c>
      <c r="J934" s="1">
        <v>274900.0</v>
      </c>
      <c r="K934" s="2">
        <v>42009.0</v>
      </c>
      <c r="L934" s="1">
        <v>267.0</v>
      </c>
      <c r="M934" s="2">
        <v>42009.0</v>
      </c>
      <c r="N934" s="1" t="s">
        <v>187</v>
      </c>
      <c r="O934" s="2">
        <v>42044.0</v>
      </c>
      <c r="P934" s="1">
        <v>77100.0</v>
      </c>
      <c r="Q934" s="1">
        <v>37.0</v>
      </c>
      <c r="S934" s="1" t="s">
        <v>10584</v>
      </c>
      <c r="T934" s="1" t="s">
        <v>10585</v>
      </c>
      <c r="U934" s="1" t="s">
        <v>420</v>
      </c>
      <c r="V934" s="1" t="s">
        <v>1200</v>
      </c>
      <c r="W934" s="1">
        <v>60175.0</v>
      </c>
      <c r="Y934" s="1" t="s">
        <v>10586</v>
      </c>
      <c r="Z934" s="1" t="s">
        <v>296</v>
      </c>
      <c r="AA934" s="1" t="s">
        <v>200</v>
      </c>
      <c r="AB934" s="1" t="s">
        <v>193</v>
      </c>
      <c r="AC934" s="1" t="s">
        <v>10587</v>
      </c>
      <c r="AD934" s="1" t="s">
        <v>1089</v>
      </c>
      <c r="AE934" s="1" t="s">
        <v>325</v>
      </c>
      <c r="AF934" s="1" t="s">
        <v>1203</v>
      </c>
      <c r="AH934" s="1" t="s">
        <v>10588</v>
      </c>
      <c r="AK934" s="1">
        <v>9.0</v>
      </c>
      <c r="AL934" s="1">
        <v>4.0</v>
      </c>
      <c r="AM934" s="1">
        <v>2.0</v>
      </c>
      <c r="AN934" s="1">
        <v>1.0</v>
      </c>
      <c r="AO934" s="1" t="s">
        <v>198</v>
      </c>
      <c r="AP934" s="1">
        <v>1.0</v>
      </c>
      <c r="AQ934" s="1" t="s">
        <v>198</v>
      </c>
      <c r="AR934" s="1" t="s">
        <v>200</v>
      </c>
      <c r="AS934" s="1" t="s">
        <v>199</v>
      </c>
      <c r="AT934" s="1">
        <v>3.0</v>
      </c>
      <c r="AV934" s="1" t="s">
        <v>200</v>
      </c>
      <c r="AW934" s="1">
        <v>9443.0</v>
      </c>
      <c r="AX934" s="1">
        <v>2012.0</v>
      </c>
      <c r="AZ934" s="1" t="s">
        <v>200</v>
      </c>
      <c r="BA934" s="1" t="str">
        <f>"0801279012"</f>
        <v>0801279012</v>
      </c>
      <c r="BC934" s="1">
        <v>2700.0</v>
      </c>
      <c r="BD934" s="1">
        <v>270000.0</v>
      </c>
      <c r="BE934" s="2">
        <v>41743.0</v>
      </c>
      <c r="BF934" s="2" t="s">
        <v>10589</v>
      </c>
      <c r="BG934" s="1" t="s">
        <v>4510</v>
      </c>
      <c r="BH934" s="1">
        <v>0.0</v>
      </c>
      <c r="BI934" s="1" t="s">
        <v>4511</v>
      </c>
      <c r="BJ934" s="1" t="s">
        <v>2200</v>
      </c>
      <c r="BK934" s="1" t="s">
        <v>204</v>
      </c>
      <c r="BL934" s="1" t="str">
        <f t="shared" ref="BL934:BM934" si="611">""</f>
        <v/>
      </c>
      <c r="BM934" s="1" t="str">
        <f t="shared" si="611"/>
        <v/>
      </c>
      <c r="BQ934" s="1">
        <v>303.0</v>
      </c>
      <c r="BR934" s="1">
        <v>303.0</v>
      </c>
      <c r="BS934" s="1">
        <v>303.0</v>
      </c>
      <c r="BU934" s="1" t="s">
        <v>1892</v>
      </c>
      <c r="BV934" s="1" t="s">
        <v>206</v>
      </c>
      <c r="BW934" s="1" t="s">
        <v>210</v>
      </c>
      <c r="BX934" s="1" t="s">
        <v>1549</v>
      </c>
      <c r="BY934" s="1" t="s">
        <v>205</v>
      </c>
      <c r="BZ934" s="1" t="s">
        <v>209</v>
      </c>
      <c r="CA934" s="1" t="s">
        <v>210</v>
      </c>
      <c r="CC934" s="1" t="s">
        <v>454</v>
      </c>
      <c r="CD934" s="1" t="s">
        <v>206</v>
      </c>
      <c r="CE934" s="1" t="s">
        <v>210</v>
      </c>
      <c r="CF934" s="1" t="s">
        <v>1549</v>
      </c>
      <c r="CG934" s="1" t="s">
        <v>363</v>
      </c>
      <c r="CH934" s="1" t="s">
        <v>209</v>
      </c>
      <c r="CI934" s="1" t="s">
        <v>210</v>
      </c>
      <c r="CK934" s="1" t="s">
        <v>212</v>
      </c>
      <c r="CL934" s="1" t="s">
        <v>209</v>
      </c>
      <c r="CM934" s="1" t="s">
        <v>210</v>
      </c>
      <c r="CO934" s="1" t="s">
        <v>212</v>
      </c>
      <c r="CP934" s="1" t="s">
        <v>209</v>
      </c>
      <c r="CS934" s="1" t="s">
        <v>743</v>
      </c>
      <c r="CT934" s="1" t="s">
        <v>206</v>
      </c>
      <c r="CU934" s="1" t="s">
        <v>207</v>
      </c>
      <c r="CW934" s="1" t="s">
        <v>432</v>
      </c>
      <c r="CX934" s="1" t="s">
        <v>206</v>
      </c>
      <c r="CY934" s="1" t="s">
        <v>210</v>
      </c>
      <c r="DA934" s="1" t="s">
        <v>200</v>
      </c>
      <c r="DC934" s="1" t="s">
        <v>305</v>
      </c>
      <c r="DD934" s="1" t="s">
        <v>396</v>
      </c>
      <c r="DE934" s="1" t="s">
        <v>273</v>
      </c>
      <c r="DF934" s="1" t="s">
        <v>219</v>
      </c>
      <c r="DG934" s="1" t="s">
        <v>2237</v>
      </c>
      <c r="DH934" s="1" t="s">
        <v>856</v>
      </c>
      <c r="DJ934" s="1" t="s">
        <v>857</v>
      </c>
      <c r="DL934" s="1" t="s">
        <v>438</v>
      </c>
      <c r="DM934" s="1" t="s">
        <v>338</v>
      </c>
      <c r="DP934" s="1" t="s">
        <v>340</v>
      </c>
      <c r="DQ934" s="1" t="s">
        <v>931</v>
      </c>
      <c r="DR934" s="1" t="s">
        <v>229</v>
      </c>
      <c r="DV934" s="1" t="s">
        <v>10590</v>
      </c>
      <c r="DW934" s="1" t="s">
        <v>934</v>
      </c>
      <c r="DX934" s="1" t="s">
        <v>3205</v>
      </c>
      <c r="DY934" s="1" t="s">
        <v>10591</v>
      </c>
      <c r="EB934" s="1" t="s">
        <v>345</v>
      </c>
      <c r="EC934" s="1" t="s">
        <v>237</v>
      </c>
      <c r="EG934" s="1" t="s">
        <v>449</v>
      </c>
      <c r="EH934" s="1" t="s">
        <v>1102</v>
      </c>
      <c r="EL934" s="1" t="s">
        <v>269</v>
      </c>
      <c r="EM934" s="1" t="s">
        <v>206</v>
      </c>
      <c r="EN934" s="1" t="s">
        <v>207</v>
      </c>
      <c r="EP934" s="1" t="s">
        <v>664</v>
      </c>
      <c r="EQ934" s="1" t="s">
        <v>206</v>
      </c>
      <c r="ER934" s="1" t="s">
        <v>210</v>
      </c>
      <c r="EU934" s="1" t="s">
        <v>238</v>
      </c>
      <c r="EY934" s="1" t="s">
        <v>238</v>
      </c>
      <c r="FC934" s="1" t="s">
        <v>238</v>
      </c>
      <c r="FF934" s="1" t="s">
        <v>239</v>
      </c>
      <c r="FG934" s="1" t="s">
        <v>192</v>
      </c>
      <c r="FH934" s="1" t="s">
        <v>192</v>
      </c>
      <c r="FJ934" s="1" t="s">
        <v>5571</v>
      </c>
      <c r="FK934" s="1" t="s">
        <v>1586</v>
      </c>
      <c r="FL934" s="1" t="s">
        <v>10592</v>
      </c>
      <c r="FM934" s="1">
        <v>149.0</v>
      </c>
      <c r="FN934" s="1" t="s">
        <v>10593</v>
      </c>
      <c r="FO934" s="1" t="s">
        <v>10594</v>
      </c>
      <c r="FP934" s="1">
        <v>573.0</v>
      </c>
      <c r="FQ934" s="1" t="s">
        <v>10595</v>
      </c>
      <c r="FU934" s="1" t="s">
        <v>871</v>
      </c>
      <c r="FV934" s="1" t="s">
        <v>200</v>
      </c>
      <c r="FW934" s="1" t="s">
        <v>631</v>
      </c>
      <c r="FZ934" s="1" t="s">
        <v>229</v>
      </c>
      <c r="GA934" s="1" t="s">
        <v>291</v>
      </c>
      <c r="GB934" s="2">
        <v>42044.0</v>
      </c>
      <c r="GC934" s="1" t="s">
        <v>10596</v>
      </c>
    </row>
    <row r="935">
      <c r="A935" s="1">
        <v>150000.0</v>
      </c>
      <c r="B935" s="1" t="s">
        <v>185</v>
      </c>
      <c r="C935" s="1" t="str">
        <f>"08585778"</f>
        <v>08585778</v>
      </c>
      <c r="D935" s="1" t="s">
        <v>186</v>
      </c>
      <c r="F935" s="1" t="str">
        <f>"8070"</f>
        <v>8070</v>
      </c>
      <c r="G935" s="2">
        <v>41744.0</v>
      </c>
      <c r="H935" s="1">
        <v>194900.0</v>
      </c>
      <c r="I935" s="1">
        <v>295.0</v>
      </c>
      <c r="J935" s="1">
        <v>159900.0</v>
      </c>
      <c r="K935" s="2">
        <v>42038.0</v>
      </c>
      <c r="L935" s="1">
        <v>295.0</v>
      </c>
      <c r="M935" s="2">
        <v>42038.0</v>
      </c>
      <c r="N935" s="1" t="s">
        <v>249</v>
      </c>
      <c r="O935" s="2">
        <v>42048.0</v>
      </c>
      <c r="P935" s="1">
        <v>228589.0</v>
      </c>
      <c r="Q935" s="1">
        <v>60321.0</v>
      </c>
      <c r="S935" s="1">
        <v>8609.0</v>
      </c>
      <c r="T935" s="1" t="s">
        <v>5251</v>
      </c>
      <c r="U935" s="1" t="s">
        <v>189</v>
      </c>
      <c r="V935" s="1" t="s">
        <v>190</v>
      </c>
      <c r="W935" s="1">
        <v>60652.0</v>
      </c>
      <c r="Y935" s="1" t="s">
        <v>10597</v>
      </c>
      <c r="Z935" s="1">
        <v>1965.0</v>
      </c>
      <c r="AA935" s="1" t="s">
        <v>192</v>
      </c>
      <c r="AB935" s="1" t="s">
        <v>193</v>
      </c>
      <c r="AD935" s="1" t="s">
        <v>194</v>
      </c>
      <c r="AE935" s="1" t="s">
        <v>195</v>
      </c>
      <c r="AF935" s="1" t="s">
        <v>659</v>
      </c>
      <c r="AH935" s="1">
        <v>5000.0</v>
      </c>
      <c r="AI935" s="1">
        <v>0.1148</v>
      </c>
      <c r="AK935" s="1">
        <v>9.0</v>
      </c>
      <c r="AL935" s="1">
        <v>4.0</v>
      </c>
      <c r="AM935" s="1">
        <v>2.0</v>
      </c>
      <c r="AN935" s="1">
        <v>0.0</v>
      </c>
      <c r="AO935" s="1" t="s">
        <v>229</v>
      </c>
      <c r="AQ935" s="1" t="s">
        <v>1314</v>
      </c>
      <c r="AR935" s="1" t="s">
        <v>200</v>
      </c>
      <c r="AS935" s="1" t="s">
        <v>199</v>
      </c>
      <c r="AT935" s="1">
        <v>2.0</v>
      </c>
      <c r="AV935" s="1" t="s">
        <v>200</v>
      </c>
      <c r="AW935" s="1">
        <v>3206.44</v>
      </c>
      <c r="AX935" s="1">
        <v>2012.0</v>
      </c>
      <c r="AZ935" s="1" t="s">
        <v>200</v>
      </c>
      <c r="BA935" s="1" t="str">
        <f>"19343190230000"</f>
        <v>19343190230000</v>
      </c>
      <c r="BC935" s="1">
        <v>1474.0</v>
      </c>
      <c r="BD935" s="1">
        <v>150000.0</v>
      </c>
      <c r="BE935" s="2">
        <v>41744.0</v>
      </c>
      <c r="BF935" s="2" t="s">
        <v>10598</v>
      </c>
      <c r="BH935" s="1">
        <v>0.0</v>
      </c>
      <c r="BK935" s="1" t="s">
        <v>204</v>
      </c>
      <c r="BL935" s="1" t="str">
        <f t="shared" ref="BL935:BM935" si="612">"0"</f>
        <v>0</v>
      </c>
      <c r="BM935" s="1" t="str">
        <f t="shared" si="612"/>
        <v>0</v>
      </c>
      <c r="BN935" s="1">
        <v>4500.0</v>
      </c>
      <c r="BO935" s="1">
        <v>8600.0</v>
      </c>
      <c r="BQ935" s="1">
        <v>299.0</v>
      </c>
      <c r="BR935" s="1">
        <v>299.0</v>
      </c>
      <c r="BS935" s="1">
        <v>299.0</v>
      </c>
      <c r="BU935" s="1" t="s">
        <v>390</v>
      </c>
      <c r="BV935" s="1" t="s">
        <v>206</v>
      </c>
      <c r="BW935" s="1" t="s">
        <v>207</v>
      </c>
      <c r="BY935" s="1" t="s">
        <v>329</v>
      </c>
      <c r="BZ935" s="1" t="s">
        <v>209</v>
      </c>
      <c r="CC935" s="1" t="s">
        <v>332</v>
      </c>
      <c r="CD935" s="1" t="s">
        <v>206</v>
      </c>
      <c r="CE935" s="1" t="s">
        <v>207</v>
      </c>
      <c r="CG935" s="1" t="s">
        <v>332</v>
      </c>
      <c r="CH935" s="1" t="s">
        <v>209</v>
      </c>
      <c r="CK935" s="1" t="s">
        <v>264</v>
      </c>
      <c r="CL935" s="1" t="s">
        <v>209</v>
      </c>
      <c r="CO935" s="1" t="s">
        <v>269</v>
      </c>
      <c r="CP935" s="1" t="s">
        <v>209</v>
      </c>
      <c r="CS935" s="1" t="s">
        <v>329</v>
      </c>
      <c r="CT935" s="1" t="s">
        <v>206</v>
      </c>
      <c r="CU935" s="1" t="s">
        <v>207</v>
      </c>
      <c r="CW935" s="1" t="s">
        <v>10599</v>
      </c>
      <c r="CX935" s="1" t="s">
        <v>267</v>
      </c>
      <c r="DA935" s="1" t="s">
        <v>200</v>
      </c>
      <c r="DC935" s="1" t="s">
        <v>517</v>
      </c>
      <c r="DD935" s="1" t="s">
        <v>518</v>
      </c>
      <c r="DE935" s="1" t="s">
        <v>273</v>
      </c>
      <c r="DF935" s="1" t="s">
        <v>219</v>
      </c>
      <c r="DG935" s="1" t="s">
        <v>337</v>
      </c>
      <c r="DH935" s="1" t="s">
        <v>307</v>
      </c>
      <c r="DJ935" s="1" t="s">
        <v>222</v>
      </c>
      <c r="DL935" s="1" t="s">
        <v>224</v>
      </c>
      <c r="DM935" s="1" t="s">
        <v>229</v>
      </c>
      <c r="DO935" s="1" t="s">
        <v>486</v>
      </c>
      <c r="DP935" s="1" t="s">
        <v>8257</v>
      </c>
      <c r="DQ935" s="1" t="s">
        <v>228</v>
      </c>
      <c r="DR935" s="1" t="s">
        <v>229</v>
      </c>
      <c r="DV935" s="1" t="s">
        <v>1407</v>
      </c>
      <c r="DW935" s="1" t="s">
        <v>279</v>
      </c>
      <c r="DX935" s="1" t="s">
        <v>234</v>
      </c>
      <c r="DY935" s="1" t="s">
        <v>704</v>
      </c>
      <c r="EA935" s="1" t="s">
        <v>283</v>
      </c>
      <c r="EC935" s="1" t="s">
        <v>284</v>
      </c>
      <c r="ED935" s="1" t="s">
        <v>1761</v>
      </c>
      <c r="EE935" s="1" t="s">
        <v>1960</v>
      </c>
      <c r="EG935" s="1" t="s">
        <v>1407</v>
      </c>
      <c r="EL935" s="1" t="s">
        <v>2224</v>
      </c>
      <c r="EM935" s="1" t="s">
        <v>267</v>
      </c>
      <c r="EQ935" s="1" t="s">
        <v>238</v>
      </c>
      <c r="EU935" s="1" t="s">
        <v>238</v>
      </c>
      <c r="EY935" s="1" t="s">
        <v>238</v>
      </c>
      <c r="FC935" s="1" t="s">
        <v>238</v>
      </c>
      <c r="FF935" s="1" t="s">
        <v>239</v>
      </c>
      <c r="FG935" s="1" t="s">
        <v>192</v>
      </c>
      <c r="FH935" s="1" t="s">
        <v>192</v>
      </c>
      <c r="FJ935" s="1" t="s">
        <v>347</v>
      </c>
      <c r="FK935" s="1" t="s">
        <v>229</v>
      </c>
      <c r="FL935" s="1" t="s">
        <v>2037</v>
      </c>
      <c r="FM935" s="1">
        <v>60321.0</v>
      </c>
      <c r="FN935" s="1" t="s">
        <v>2038</v>
      </c>
      <c r="FO935" s="1" t="s">
        <v>10600</v>
      </c>
      <c r="FP935" s="1">
        <v>214551.0</v>
      </c>
      <c r="FQ935" s="1" t="s">
        <v>2038</v>
      </c>
      <c r="FU935" s="1" t="s">
        <v>1751</v>
      </c>
      <c r="FV935" s="1" t="s">
        <v>200</v>
      </c>
      <c r="FW935" s="1" t="s">
        <v>567</v>
      </c>
      <c r="FX935" s="1" t="s">
        <v>655</v>
      </c>
      <c r="FZ935" s="1" t="s">
        <v>229</v>
      </c>
      <c r="GA935" s="1" t="s">
        <v>291</v>
      </c>
      <c r="GB935" s="2">
        <v>42049.0</v>
      </c>
      <c r="GC935" s="1" t="s">
        <v>10601</v>
      </c>
    </row>
    <row r="936">
      <c r="A936" s="1">
        <v>255000.0</v>
      </c>
      <c r="B936" s="1" t="s">
        <v>185</v>
      </c>
      <c r="C936" s="1" t="str">
        <f>"08589744"</f>
        <v>08589744</v>
      </c>
      <c r="D936" s="1" t="s">
        <v>186</v>
      </c>
      <c r="F936" s="1" t="str">
        <f>"119"</f>
        <v>119</v>
      </c>
      <c r="G936" s="2">
        <v>41747.0</v>
      </c>
      <c r="H936" s="1">
        <v>280000.0</v>
      </c>
      <c r="I936" s="1">
        <v>193.0</v>
      </c>
      <c r="J936" s="1">
        <v>267000.0</v>
      </c>
      <c r="K936" s="2">
        <v>41939.0</v>
      </c>
      <c r="L936" s="1">
        <v>193.0</v>
      </c>
      <c r="M936" s="2">
        <v>41939.0</v>
      </c>
      <c r="N936" s="1" t="s">
        <v>634</v>
      </c>
      <c r="O936" s="2">
        <v>41978.0</v>
      </c>
      <c r="P936" s="1">
        <v>921.0</v>
      </c>
      <c r="Q936" s="1">
        <v>383.0</v>
      </c>
      <c r="S936" s="1" t="s">
        <v>10602</v>
      </c>
      <c r="T936" s="1" t="s">
        <v>10494</v>
      </c>
      <c r="U936" s="1" t="s">
        <v>569</v>
      </c>
      <c r="V936" s="1" t="s">
        <v>1476</v>
      </c>
      <c r="W936" s="1">
        <v>60119.0</v>
      </c>
      <c r="Y936" s="1" t="s">
        <v>10603</v>
      </c>
      <c r="Z936" s="1">
        <v>1986.0</v>
      </c>
      <c r="AA936" s="1" t="s">
        <v>200</v>
      </c>
      <c r="AB936" s="1" t="s">
        <v>193</v>
      </c>
      <c r="AD936" s="1" t="s">
        <v>1089</v>
      </c>
      <c r="AE936" s="1" t="s">
        <v>325</v>
      </c>
      <c r="AF936" s="1" t="s">
        <v>1479</v>
      </c>
      <c r="AH936" s="1" t="s">
        <v>10604</v>
      </c>
      <c r="AI936" s="1">
        <v>3.1059</v>
      </c>
      <c r="AK936" s="1">
        <v>9.0</v>
      </c>
      <c r="AL936" s="1">
        <v>4.0</v>
      </c>
      <c r="AM936" s="1">
        <v>2.0</v>
      </c>
      <c r="AN936" s="1">
        <v>1.0</v>
      </c>
      <c r="AO936" s="1" t="s">
        <v>229</v>
      </c>
      <c r="AQ936" s="1" t="s">
        <v>229</v>
      </c>
      <c r="AR936" s="1" t="s">
        <v>200</v>
      </c>
      <c r="AS936" s="1" t="s">
        <v>199</v>
      </c>
      <c r="AT936" s="1">
        <v>4.0</v>
      </c>
      <c r="AV936" s="1" t="s">
        <v>200</v>
      </c>
      <c r="AW936" s="1">
        <v>7714.0</v>
      </c>
      <c r="AX936" s="1">
        <v>2013.0</v>
      </c>
      <c r="AY936" s="1" t="s">
        <v>387</v>
      </c>
      <c r="AZ936" s="1" t="s">
        <v>200</v>
      </c>
      <c r="BA936" s="1" t="str">
        <f>"1102102005"</f>
        <v>1102102005</v>
      </c>
      <c r="BB936" s="1" t="s">
        <v>200</v>
      </c>
      <c r="BC936" s="1">
        <v>2250.0</v>
      </c>
      <c r="BD936" s="1">
        <v>255000.0</v>
      </c>
      <c r="BE936" s="2">
        <v>41747.0</v>
      </c>
      <c r="BF936" s="2" t="s">
        <v>10605</v>
      </c>
      <c r="BG936" s="1" t="s">
        <v>6713</v>
      </c>
      <c r="BH936" s="1">
        <v>0.0</v>
      </c>
      <c r="BK936" s="1" t="s">
        <v>204</v>
      </c>
      <c r="BL936" s="1" t="str">
        <f t="shared" ref="BL936:BM936" si="613">""</f>
        <v/>
      </c>
      <c r="BM936" s="1" t="str">
        <f t="shared" si="613"/>
        <v/>
      </c>
      <c r="BQ936" s="1">
        <v>304.0</v>
      </c>
      <c r="BR936" s="1">
        <v>304.0</v>
      </c>
      <c r="BS936" s="1">
        <v>304.0</v>
      </c>
      <c r="BU936" s="1" t="s">
        <v>432</v>
      </c>
      <c r="BV936" s="1" t="s">
        <v>206</v>
      </c>
      <c r="BW936" s="1" t="s">
        <v>207</v>
      </c>
      <c r="BY936" s="1" t="s">
        <v>925</v>
      </c>
      <c r="BZ936" s="1" t="s">
        <v>206</v>
      </c>
      <c r="CA936" s="1" t="s">
        <v>210</v>
      </c>
      <c r="CC936" s="1" t="s">
        <v>211</v>
      </c>
      <c r="CD936" s="1" t="s">
        <v>206</v>
      </c>
      <c r="CE936" s="1" t="s">
        <v>207</v>
      </c>
      <c r="CG936" s="1" t="s">
        <v>331</v>
      </c>
      <c r="CH936" s="1" t="s">
        <v>206</v>
      </c>
      <c r="CI936" s="1" t="s">
        <v>210</v>
      </c>
      <c r="CK936" s="1" t="s">
        <v>262</v>
      </c>
      <c r="CL936" s="1" t="s">
        <v>209</v>
      </c>
      <c r="CM936" s="1" t="s">
        <v>210</v>
      </c>
      <c r="CO936" s="1" t="s">
        <v>332</v>
      </c>
      <c r="CP936" s="1" t="s">
        <v>209</v>
      </c>
      <c r="CQ936" s="1" t="s">
        <v>210</v>
      </c>
      <c r="CS936" s="1" t="s">
        <v>730</v>
      </c>
      <c r="CT936" s="1" t="s">
        <v>206</v>
      </c>
      <c r="CU936" s="1" t="s">
        <v>617</v>
      </c>
      <c r="CX936" s="1" t="s">
        <v>204</v>
      </c>
      <c r="DA936" s="1" t="s">
        <v>200</v>
      </c>
      <c r="DC936" s="1" t="s">
        <v>305</v>
      </c>
      <c r="DD936" s="1" t="s">
        <v>396</v>
      </c>
      <c r="DE936" s="1" t="s">
        <v>273</v>
      </c>
      <c r="DF936" s="1" t="s">
        <v>219</v>
      </c>
      <c r="DH936" s="1" t="s">
        <v>856</v>
      </c>
      <c r="DI936" s="1" t="s">
        <v>6108</v>
      </c>
      <c r="DJ936" s="1" t="s">
        <v>857</v>
      </c>
      <c r="DL936" s="1" t="s">
        <v>1853</v>
      </c>
      <c r="DM936" s="1" t="s">
        <v>929</v>
      </c>
      <c r="DP936" s="1" t="s">
        <v>400</v>
      </c>
      <c r="DQ936" s="1" t="s">
        <v>4389</v>
      </c>
      <c r="DR936" s="1" t="s">
        <v>229</v>
      </c>
      <c r="DS936" s="1" t="s">
        <v>368</v>
      </c>
      <c r="DU936" s="1" t="s">
        <v>10606</v>
      </c>
      <c r="DV936" s="1" t="s">
        <v>10607</v>
      </c>
      <c r="DW936" s="1" t="s">
        <v>964</v>
      </c>
      <c r="DX936" s="1" t="s">
        <v>234</v>
      </c>
      <c r="DY936" s="1" t="s">
        <v>1958</v>
      </c>
      <c r="DZ936" s="1" t="s">
        <v>2204</v>
      </c>
      <c r="EC936" s="1" t="s">
        <v>645</v>
      </c>
      <c r="ED936" s="1" t="s">
        <v>555</v>
      </c>
      <c r="EG936" s="1" t="s">
        <v>598</v>
      </c>
      <c r="EH936" s="1" t="s">
        <v>341</v>
      </c>
      <c r="EI936" s="1" t="s">
        <v>1102</v>
      </c>
      <c r="EL936" s="1" t="s">
        <v>1795</v>
      </c>
      <c r="EM936" s="1" t="s">
        <v>209</v>
      </c>
      <c r="EN936" s="1" t="s">
        <v>210</v>
      </c>
      <c r="EP936" s="1" t="s">
        <v>303</v>
      </c>
      <c r="EQ936" s="1" t="s">
        <v>209</v>
      </c>
      <c r="ER936" s="1" t="s">
        <v>617</v>
      </c>
      <c r="ET936" s="1" t="s">
        <v>212</v>
      </c>
      <c r="EU936" s="1" t="s">
        <v>206</v>
      </c>
      <c r="EV936" s="1" t="s">
        <v>268</v>
      </c>
      <c r="EY936" s="1" t="s">
        <v>238</v>
      </c>
      <c r="FC936" s="1" t="s">
        <v>238</v>
      </c>
      <c r="FF936" s="1" t="s">
        <v>239</v>
      </c>
      <c r="FG936" s="1" t="s">
        <v>192</v>
      </c>
      <c r="FH936" s="1" t="s">
        <v>192</v>
      </c>
      <c r="FJ936" s="1" t="s">
        <v>2169</v>
      </c>
      <c r="FK936" s="1" t="s">
        <v>348</v>
      </c>
      <c r="FL936" s="1" t="s">
        <v>10608</v>
      </c>
      <c r="FM936" s="1">
        <v>383.0</v>
      </c>
      <c r="FN936" s="1" t="s">
        <v>10609</v>
      </c>
      <c r="FO936" s="1" t="s">
        <v>10610</v>
      </c>
      <c r="FP936" s="1">
        <v>921.0</v>
      </c>
      <c r="FQ936" s="1" t="s">
        <v>10611</v>
      </c>
      <c r="FS936" s="1" t="s">
        <v>10612</v>
      </c>
      <c r="FU936" s="1" t="s">
        <v>10613</v>
      </c>
      <c r="FV936" s="1" t="s">
        <v>200</v>
      </c>
      <c r="FW936" s="1" t="s">
        <v>461</v>
      </c>
      <c r="FZ936" s="1" t="s">
        <v>229</v>
      </c>
      <c r="GA936" s="1" t="s">
        <v>291</v>
      </c>
      <c r="GB936" s="2">
        <v>41978.0</v>
      </c>
    </row>
    <row r="937">
      <c r="A937" s="1">
        <v>207000.0</v>
      </c>
      <c r="B937" s="1" t="s">
        <v>185</v>
      </c>
      <c r="C937" s="1" t="str">
        <f>"08590273"</f>
        <v>08590273</v>
      </c>
      <c r="D937" s="1" t="s">
        <v>186</v>
      </c>
      <c r="F937" s="1" t="str">
        <f>"560"</f>
        <v>560</v>
      </c>
      <c r="G937" s="2">
        <v>41748.0</v>
      </c>
      <c r="H937" s="1">
        <v>234900.0</v>
      </c>
      <c r="I937" s="1">
        <v>91.0</v>
      </c>
      <c r="J937" s="1">
        <v>224000.0</v>
      </c>
      <c r="K937" s="2">
        <v>41836.0</v>
      </c>
      <c r="L937" s="1">
        <v>91.0</v>
      </c>
      <c r="M937" s="2">
        <v>41836.0</v>
      </c>
      <c r="N937" s="1" t="s">
        <v>356</v>
      </c>
      <c r="O937" s="2">
        <v>42095.0</v>
      </c>
      <c r="P937" s="1">
        <v>168786.0</v>
      </c>
      <c r="Q937" s="1">
        <v>18618.0</v>
      </c>
      <c r="S937" s="1">
        <v>2551.0</v>
      </c>
      <c r="T937" s="1" t="s">
        <v>10614</v>
      </c>
      <c r="V937" s="1" t="s">
        <v>845</v>
      </c>
      <c r="W937" s="1">
        <v>60560.0</v>
      </c>
      <c r="Y937" s="1" t="s">
        <v>10615</v>
      </c>
      <c r="Z937" s="1">
        <v>2006.0</v>
      </c>
      <c r="AA937" s="1" t="s">
        <v>200</v>
      </c>
      <c r="AB937" s="1" t="s">
        <v>467</v>
      </c>
      <c r="AC937" s="1" t="s">
        <v>5663</v>
      </c>
      <c r="AD937" s="1" t="s">
        <v>848</v>
      </c>
      <c r="AE937" s="1" t="s">
        <v>849</v>
      </c>
      <c r="AF937" s="1" t="s">
        <v>1312</v>
      </c>
      <c r="AH937" s="1" t="s">
        <v>10616</v>
      </c>
      <c r="AI937" s="1">
        <v>0.25</v>
      </c>
      <c r="AK937" s="1">
        <v>9.0</v>
      </c>
      <c r="AL937" s="1">
        <v>4.0</v>
      </c>
      <c r="AM937" s="1">
        <v>2.0</v>
      </c>
      <c r="AN937" s="1">
        <v>1.0</v>
      </c>
      <c r="AO937" s="1" t="s">
        <v>198</v>
      </c>
      <c r="AP937" s="1">
        <v>1.0</v>
      </c>
      <c r="AQ937" s="1" t="s">
        <v>198</v>
      </c>
      <c r="AR937" s="1" t="s">
        <v>200</v>
      </c>
      <c r="AS937" s="1" t="s">
        <v>199</v>
      </c>
      <c r="AT937" s="1">
        <v>2.0</v>
      </c>
      <c r="AV937" s="1" t="s">
        <v>200</v>
      </c>
      <c r="AW937" s="4">
        <v>9457.56</v>
      </c>
      <c r="AX937" s="1">
        <v>2012.0</v>
      </c>
      <c r="AY937" s="1" t="s">
        <v>387</v>
      </c>
      <c r="AZ937" s="1" t="s">
        <v>192</v>
      </c>
      <c r="BA937" s="1" t="str">
        <f>"0223129028"</f>
        <v>0223129028</v>
      </c>
      <c r="BB937" s="1" t="s">
        <v>200</v>
      </c>
      <c r="BC937" s="1">
        <v>2940.0</v>
      </c>
      <c r="BD937" s="1">
        <v>207000.0</v>
      </c>
      <c r="BE937" s="2">
        <v>41746.0</v>
      </c>
      <c r="BF937" s="2" t="s">
        <v>10617</v>
      </c>
      <c r="BG937" s="1" t="s">
        <v>5667</v>
      </c>
      <c r="BH937" s="1">
        <v>90.0</v>
      </c>
      <c r="BI937" s="1" t="s">
        <v>10618</v>
      </c>
      <c r="BJ937" s="1" t="s">
        <v>3053</v>
      </c>
      <c r="BK937" s="1" t="s">
        <v>474</v>
      </c>
      <c r="BL937" s="1" t="str">
        <f t="shared" ref="BL937:BM937" si="614">""</f>
        <v/>
      </c>
      <c r="BM937" s="1" t="str">
        <f t="shared" si="614"/>
        <v/>
      </c>
      <c r="BQ937" s="1">
        <v>115.0</v>
      </c>
      <c r="BR937" s="1">
        <v>115.0</v>
      </c>
      <c r="BS937" s="1">
        <v>115.0</v>
      </c>
      <c r="BU937" s="1" t="s">
        <v>1417</v>
      </c>
      <c r="BV937" s="1" t="s">
        <v>206</v>
      </c>
      <c r="BW937" s="1" t="s">
        <v>210</v>
      </c>
      <c r="BY937" s="1" t="s">
        <v>1623</v>
      </c>
      <c r="BZ937" s="1" t="s">
        <v>209</v>
      </c>
      <c r="CA937" s="1" t="s">
        <v>210</v>
      </c>
      <c r="CC937" s="1" t="s">
        <v>300</v>
      </c>
      <c r="CD937" s="1" t="s">
        <v>206</v>
      </c>
      <c r="CE937" s="1" t="s">
        <v>207</v>
      </c>
      <c r="CG937" s="1" t="s">
        <v>433</v>
      </c>
      <c r="CH937" s="1" t="s">
        <v>209</v>
      </c>
      <c r="CI937" s="1" t="s">
        <v>210</v>
      </c>
      <c r="CK937" s="1" t="s">
        <v>663</v>
      </c>
      <c r="CL937" s="1" t="s">
        <v>209</v>
      </c>
      <c r="CM937" s="1" t="s">
        <v>210</v>
      </c>
      <c r="CO937" s="1" t="s">
        <v>212</v>
      </c>
      <c r="CP937" s="1" t="s">
        <v>209</v>
      </c>
      <c r="CQ937" s="1" t="s">
        <v>210</v>
      </c>
      <c r="CS937" s="1" t="s">
        <v>3475</v>
      </c>
      <c r="CT937" s="1" t="s">
        <v>206</v>
      </c>
      <c r="CU937" s="1" t="s">
        <v>207</v>
      </c>
      <c r="CW937" s="1" t="s">
        <v>10619</v>
      </c>
      <c r="CX937" s="1" t="s">
        <v>206</v>
      </c>
      <c r="CY937" s="1" t="s">
        <v>210</v>
      </c>
      <c r="DA937" s="1" t="s">
        <v>200</v>
      </c>
      <c r="DC937" s="1" t="s">
        <v>481</v>
      </c>
      <c r="DD937" s="1" t="s">
        <v>436</v>
      </c>
      <c r="DE937" s="1" t="s">
        <v>273</v>
      </c>
      <c r="DF937" s="1" t="s">
        <v>219</v>
      </c>
      <c r="DG937" s="1" t="s">
        <v>10620</v>
      </c>
      <c r="DH937" s="1" t="s">
        <v>220</v>
      </c>
      <c r="DI937" s="1" t="s">
        <v>275</v>
      </c>
      <c r="DJ937" s="1" t="s">
        <v>222</v>
      </c>
      <c r="DK937" s="1" t="s">
        <v>223</v>
      </c>
      <c r="DL937" s="1" t="s">
        <v>223</v>
      </c>
      <c r="DM937" s="1" t="s">
        <v>229</v>
      </c>
      <c r="DN937" s="1" t="s">
        <v>485</v>
      </c>
      <c r="DO937" s="1" t="s">
        <v>549</v>
      </c>
      <c r="DP937" s="1" t="s">
        <v>340</v>
      </c>
      <c r="DQ937" s="1" t="s">
        <v>441</v>
      </c>
      <c r="DR937" s="1" t="s">
        <v>2593</v>
      </c>
      <c r="DS937" s="1" t="s">
        <v>230</v>
      </c>
      <c r="DV937" s="1" t="s">
        <v>494</v>
      </c>
      <c r="DW937" s="1" t="s">
        <v>444</v>
      </c>
      <c r="DX937" s="1" t="s">
        <v>234</v>
      </c>
      <c r="DY937" s="1" t="s">
        <v>596</v>
      </c>
      <c r="DZ937" s="1" t="s">
        <v>3044</v>
      </c>
      <c r="EB937" s="1" t="s">
        <v>492</v>
      </c>
      <c r="EC937" s="1" t="s">
        <v>237</v>
      </c>
      <c r="ED937" s="1" t="s">
        <v>555</v>
      </c>
      <c r="EE937" s="1" t="s">
        <v>493</v>
      </c>
      <c r="EG937" s="1" t="s">
        <v>494</v>
      </c>
      <c r="EL937" s="1" t="s">
        <v>663</v>
      </c>
      <c r="EM937" s="1" t="s">
        <v>206</v>
      </c>
      <c r="EN937" s="1" t="s">
        <v>210</v>
      </c>
      <c r="EQ937" s="1" t="s">
        <v>238</v>
      </c>
      <c r="EU937" s="1" t="s">
        <v>238</v>
      </c>
      <c r="EY937" s="1" t="s">
        <v>238</v>
      </c>
      <c r="FC937" s="1" t="s">
        <v>238</v>
      </c>
      <c r="FF937" s="1" t="s">
        <v>239</v>
      </c>
      <c r="FG937" s="1" t="s">
        <v>192</v>
      </c>
      <c r="FH937" s="1" t="s">
        <v>192</v>
      </c>
      <c r="FJ937" s="1" t="s">
        <v>347</v>
      </c>
      <c r="FK937" s="1" t="s">
        <v>1586</v>
      </c>
      <c r="FL937" s="1" t="s">
        <v>525</v>
      </c>
      <c r="FM937" s="1">
        <v>22029.0</v>
      </c>
      <c r="FN937" s="1" t="s">
        <v>526</v>
      </c>
      <c r="FO937" s="1" t="s">
        <v>10621</v>
      </c>
      <c r="FP937" s="1">
        <v>233509.0</v>
      </c>
      <c r="FQ937" s="1" t="s">
        <v>10622</v>
      </c>
      <c r="FU937" s="1" t="s">
        <v>10623</v>
      </c>
      <c r="FV937" s="1" t="s">
        <v>192</v>
      </c>
      <c r="FW937" s="1" t="s">
        <v>461</v>
      </c>
      <c r="FZ937" s="1" t="s">
        <v>229</v>
      </c>
      <c r="GA937" s="1" t="s">
        <v>291</v>
      </c>
      <c r="GB937" s="2">
        <v>42097.0</v>
      </c>
      <c r="GC937" s="2" t="s">
        <v>10624</v>
      </c>
    </row>
    <row r="938">
      <c r="A938" s="1">
        <v>305000.0</v>
      </c>
      <c r="B938" s="1" t="s">
        <v>185</v>
      </c>
      <c r="C938" s="1" t="str">
        <f>"08665485"</f>
        <v>08665485</v>
      </c>
      <c r="D938" s="1" t="s">
        <v>186</v>
      </c>
      <c r="F938" s="1" t="str">
        <f>"8011"</f>
        <v>8011</v>
      </c>
      <c r="G938" s="2">
        <v>41827.0</v>
      </c>
      <c r="H938" s="1">
        <v>369900.0</v>
      </c>
      <c r="I938" s="1">
        <v>136.0</v>
      </c>
      <c r="J938" s="1">
        <v>327000.0</v>
      </c>
      <c r="K938" s="2">
        <v>41962.0</v>
      </c>
      <c r="L938" s="1">
        <v>136.0</v>
      </c>
      <c r="M938" s="2">
        <v>41962.0</v>
      </c>
      <c r="N938" s="1" t="s">
        <v>356</v>
      </c>
      <c r="O938" s="2">
        <v>41989.0</v>
      </c>
      <c r="P938" s="1">
        <v>183051.0</v>
      </c>
      <c r="Q938" s="1">
        <v>16936.0</v>
      </c>
      <c r="S938" s="1">
        <v>5005.0</v>
      </c>
      <c r="T938" s="1" t="s">
        <v>10625</v>
      </c>
      <c r="U938" s="1" t="s">
        <v>189</v>
      </c>
      <c r="V938" s="1" t="s">
        <v>190</v>
      </c>
      <c r="W938" s="1">
        <v>60630.0</v>
      </c>
      <c r="X938" s="1">
        <v>1832.0</v>
      </c>
      <c r="Y938" s="1" t="s">
        <v>10626</v>
      </c>
      <c r="Z938" s="1">
        <v>1951.0</v>
      </c>
      <c r="AA938" s="1" t="s">
        <v>192</v>
      </c>
      <c r="AB938" s="1" t="s">
        <v>193</v>
      </c>
      <c r="AD938" s="1" t="s">
        <v>194</v>
      </c>
      <c r="AE938" s="1" t="s">
        <v>195</v>
      </c>
      <c r="AF938" s="1" t="s">
        <v>196</v>
      </c>
      <c r="AH938" s="1" t="s">
        <v>10627</v>
      </c>
      <c r="AI938" s="1">
        <v>0.0968</v>
      </c>
      <c r="AK938" s="1">
        <v>8.0</v>
      </c>
      <c r="AL938" s="1">
        <v>4.0</v>
      </c>
      <c r="AM938" s="1">
        <v>2.0</v>
      </c>
      <c r="AN938" s="1">
        <v>1.0</v>
      </c>
      <c r="AO938" s="1" t="s">
        <v>229</v>
      </c>
      <c r="AQ938" s="1" t="s">
        <v>198</v>
      </c>
      <c r="AR938" s="1" t="s">
        <v>192</v>
      </c>
      <c r="AS938" s="1" t="s">
        <v>199</v>
      </c>
      <c r="AT938" s="1">
        <v>2.0</v>
      </c>
      <c r="AV938" s="1" t="s">
        <v>200</v>
      </c>
      <c r="AW938" s="1">
        <v>4445.62</v>
      </c>
      <c r="AX938" s="1">
        <v>2013.0</v>
      </c>
      <c r="AY938" s="1" t="s">
        <v>387</v>
      </c>
      <c r="AZ938" s="1" t="s">
        <v>545</v>
      </c>
      <c r="BA938" s="1" t="str">
        <f>"13083090600000"</f>
        <v>13083090600000</v>
      </c>
      <c r="BC938" s="1">
        <v>1725.0</v>
      </c>
      <c r="BD938" s="1">
        <v>305000.0</v>
      </c>
      <c r="BE938" s="2">
        <v>41827.0</v>
      </c>
      <c r="BF938" s="2" t="s">
        <v>10628</v>
      </c>
      <c r="BG938" s="1" t="s">
        <v>10629</v>
      </c>
      <c r="BH938" s="1">
        <v>0.0</v>
      </c>
      <c r="BJ938" s="1" t="s">
        <v>1222</v>
      </c>
      <c r="BK938" s="1" t="s">
        <v>204</v>
      </c>
      <c r="BL938" s="1" t="str">
        <f>"5005"</f>
        <v>5005</v>
      </c>
      <c r="BM938" s="1" t="str">
        <f>"0"</f>
        <v>0</v>
      </c>
      <c r="BN938" s="1">
        <v>6000.0</v>
      </c>
      <c r="BO938" s="1">
        <v>0.0</v>
      </c>
      <c r="BQ938" s="1">
        <v>299.0</v>
      </c>
      <c r="BR938" s="1">
        <v>299.0</v>
      </c>
      <c r="BS938" s="1">
        <v>299.0</v>
      </c>
      <c r="BU938" s="1" t="s">
        <v>2713</v>
      </c>
      <c r="BV938" s="1" t="s">
        <v>206</v>
      </c>
      <c r="BW938" s="1" t="s">
        <v>207</v>
      </c>
      <c r="BY938" s="1" t="s">
        <v>1397</v>
      </c>
      <c r="BZ938" s="1" t="s">
        <v>209</v>
      </c>
      <c r="CA938" s="1" t="s">
        <v>207</v>
      </c>
      <c r="CC938" s="1" t="s">
        <v>663</v>
      </c>
      <c r="CD938" s="1" t="s">
        <v>206</v>
      </c>
      <c r="CE938" s="1" t="s">
        <v>301</v>
      </c>
      <c r="CG938" s="1" t="s">
        <v>1352</v>
      </c>
      <c r="CH938" s="1" t="s">
        <v>209</v>
      </c>
      <c r="CI938" s="1" t="s">
        <v>207</v>
      </c>
      <c r="CK938" s="1" t="s">
        <v>1352</v>
      </c>
      <c r="CL938" s="1" t="s">
        <v>209</v>
      </c>
      <c r="CM938" s="1" t="s">
        <v>207</v>
      </c>
      <c r="CO938" s="1" t="s">
        <v>303</v>
      </c>
      <c r="CP938" s="1" t="s">
        <v>206</v>
      </c>
      <c r="CQ938" s="1" t="s">
        <v>207</v>
      </c>
      <c r="CS938" s="1" t="s">
        <v>663</v>
      </c>
      <c r="CT938" s="1" t="s">
        <v>206</v>
      </c>
      <c r="CU938" s="1" t="s">
        <v>301</v>
      </c>
      <c r="CW938" s="1" t="s">
        <v>4851</v>
      </c>
      <c r="CX938" s="1" t="s">
        <v>42</v>
      </c>
      <c r="CY938" s="1" t="s">
        <v>617</v>
      </c>
      <c r="DA938" s="1" t="s">
        <v>200</v>
      </c>
      <c r="DC938" s="1" t="s">
        <v>702</v>
      </c>
      <c r="DD938" s="1" t="s">
        <v>586</v>
      </c>
      <c r="DE938" s="1" t="s">
        <v>273</v>
      </c>
      <c r="DF938" s="1" t="s">
        <v>219</v>
      </c>
      <c r="DG938" s="1" t="s">
        <v>482</v>
      </c>
      <c r="DH938" s="1" t="s">
        <v>365</v>
      </c>
      <c r="DI938" s="1" t="s">
        <v>703</v>
      </c>
      <c r="DJ938" s="1" t="s">
        <v>1379</v>
      </c>
      <c r="DL938" s="1" t="s">
        <v>858</v>
      </c>
      <c r="DM938" s="1" t="s">
        <v>1464</v>
      </c>
      <c r="DO938" s="1" t="s">
        <v>717</v>
      </c>
      <c r="DP938" s="1" t="s">
        <v>340</v>
      </c>
      <c r="DQ938" s="1" t="s">
        <v>228</v>
      </c>
      <c r="DR938" s="1" t="s">
        <v>229</v>
      </c>
      <c r="DV938" s="1" t="s">
        <v>10630</v>
      </c>
      <c r="DW938" s="1" t="s">
        <v>279</v>
      </c>
      <c r="DX938" s="1" t="s">
        <v>280</v>
      </c>
      <c r="DY938" s="1" t="s">
        <v>10631</v>
      </c>
      <c r="DZ938" s="1" t="s">
        <v>10632</v>
      </c>
      <c r="EA938" s="1" t="s">
        <v>257</v>
      </c>
      <c r="EC938" s="1" t="s">
        <v>237</v>
      </c>
      <c r="ED938" s="1" t="s">
        <v>407</v>
      </c>
      <c r="EG938" s="1" t="s">
        <v>408</v>
      </c>
      <c r="EH938" s="1" t="s">
        <v>1103</v>
      </c>
      <c r="EL938" s="1" t="s">
        <v>8478</v>
      </c>
      <c r="EM938" s="1" t="s">
        <v>206</v>
      </c>
      <c r="EN938" s="1" t="s">
        <v>207</v>
      </c>
      <c r="EP938" s="1" t="s">
        <v>10633</v>
      </c>
      <c r="EQ938" s="1" t="s">
        <v>42</v>
      </c>
      <c r="EU938" s="1" t="s">
        <v>238</v>
      </c>
      <c r="EY938" s="1" t="s">
        <v>238</v>
      </c>
      <c r="FC938" s="1" t="s">
        <v>238</v>
      </c>
      <c r="FF938" s="1" t="s">
        <v>239</v>
      </c>
      <c r="FG938" s="1" t="s">
        <v>192</v>
      </c>
      <c r="FH938" s="1" t="s">
        <v>192</v>
      </c>
      <c r="FJ938" s="1" t="s">
        <v>7837</v>
      </c>
      <c r="FK938" s="1" t="s">
        <v>348</v>
      </c>
      <c r="FL938" s="1" t="s">
        <v>5530</v>
      </c>
      <c r="FM938" s="1">
        <v>8100.0</v>
      </c>
      <c r="FN938" s="1" t="s">
        <v>10634</v>
      </c>
      <c r="FO938" s="1" t="s">
        <v>10635</v>
      </c>
      <c r="FP938" s="1">
        <v>29099.0</v>
      </c>
      <c r="FQ938" s="1" t="s">
        <v>10636</v>
      </c>
      <c r="FS938" s="1" t="s">
        <v>10637</v>
      </c>
      <c r="FU938" s="1" t="s">
        <v>10638</v>
      </c>
      <c r="FV938" s="1" t="s">
        <v>200</v>
      </c>
      <c r="FW938" s="1" t="s">
        <v>6403</v>
      </c>
      <c r="FX938" s="1" t="s">
        <v>238</v>
      </c>
      <c r="FZ938" s="1" t="s">
        <v>632</v>
      </c>
      <c r="GA938" s="1" t="s">
        <v>291</v>
      </c>
      <c r="GB938" s="2">
        <v>41990.0</v>
      </c>
      <c r="GC938" s="1" t="s">
        <v>10639</v>
      </c>
    </row>
    <row r="939">
      <c r="A939" s="1">
        <v>260000.0</v>
      </c>
      <c r="B939" s="1" t="s">
        <v>185</v>
      </c>
      <c r="C939" s="1" t="str">
        <f>"08592652"</f>
        <v>08592652</v>
      </c>
      <c r="D939" s="1" t="s">
        <v>186</v>
      </c>
      <c r="F939" s="1" t="str">
        <f>"510"</f>
        <v>510</v>
      </c>
      <c r="G939" s="2">
        <v>41751.0</v>
      </c>
      <c r="H939" s="1">
        <v>299900.0</v>
      </c>
      <c r="I939" s="1">
        <v>228.0</v>
      </c>
      <c r="J939" s="1">
        <v>277900.0</v>
      </c>
      <c r="K939" s="2">
        <v>41978.0</v>
      </c>
      <c r="L939" s="1">
        <v>228.0</v>
      </c>
      <c r="M939" s="2">
        <v>41978.0</v>
      </c>
      <c r="N939" s="1" t="s">
        <v>187</v>
      </c>
      <c r="O939" s="2">
        <v>42019.0</v>
      </c>
      <c r="P939" s="1">
        <v>241977.0</v>
      </c>
      <c r="Q939" s="1">
        <v>25088.0</v>
      </c>
      <c r="S939" s="1">
        <v>420.0</v>
      </c>
      <c r="T939" s="1" t="s">
        <v>10640</v>
      </c>
      <c r="U939" s="1" t="s">
        <v>420</v>
      </c>
      <c r="V939" s="1" t="s">
        <v>2700</v>
      </c>
      <c r="W939" s="1">
        <v>60510.0</v>
      </c>
      <c r="Y939" s="1" t="s">
        <v>10641</v>
      </c>
      <c r="Z939" s="1">
        <v>1992.0</v>
      </c>
      <c r="AA939" s="1" t="s">
        <v>200</v>
      </c>
      <c r="AB939" s="1" t="s">
        <v>193</v>
      </c>
      <c r="AC939" s="1" t="s">
        <v>10642</v>
      </c>
      <c r="AD939" s="1" t="s">
        <v>2702</v>
      </c>
      <c r="AE939" s="1" t="s">
        <v>325</v>
      </c>
      <c r="AF939" s="1" t="s">
        <v>2702</v>
      </c>
      <c r="AG939" s="1" t="s">
        <v>10643</v>
      </c>
      <c r="AH939" s="1" t="s">
        <v>10644</v>
      </c>
      <c r="AK939" s="1">
        <v>10.0</v>
      </c>
      <c r="AL939" s="1">
        <v>4.0</v>
      </c>
      <c r="AM939" s="1">
        <v>2.0</v>
      </c>
      <c r="AN939" s="1">
        <v>1.0</v>
      </c>
      <c r="AO939" s="1" t="s">
        <v>198</v>
      </c>
      <c r="AQ939" s="1" t="s">
        <v>198</v>
      </c>
      <c r="AR939" s="1" t="s">
        <v>200</v>
      </c>
      <c r="AS939" s="1" t="s">
        <v>199</v>
      </c>
      <c r="AT939" s="1">
        <v>2.0</v>
      </c>
      <c r="AV939" s="1" t="s">
        <v>200</v>
      </c>
      <c r="AW939" s="1">
        <v>4061.48</v>
      </c>
      <c r="AX939" s="1">
        <v>2013.0</v>
      </c>
      <c r="AY939" s="1" t="s">
        <v>1917</v>
      </c>
      <c r="AZ939" s="1" t="s">
        <v>200</v>
      </c>
      <c r="BA939" s="1" t="str">
        <f>"1216384021"</f>
        <v>1216384021</v>
      </c>
      <c r="BC939" s="1">
        <v>1988.0</v>
      </c>
      <c r="BD939" s="1">
        <v>260000.0</v>
      </c>
      <c r="BE939" s="2">
        <v>41751.0</v>
      </c>
      <c r="BF939" s="2" t="s">
        <v>10645</v>
      </c>
      <c r="BH939" s="1">
        <v>0.0</v>
      </c>
      <c r="BK939" s="1" t="s">
        <v>204</v>
      </c>
      <c r="BL939" s="1" t="str">
        <f t="shared" ref="BL939:BM939" si="615">"0"</f>
        <v>0</v>
      </c>
      <c r="BM939" s="1" t="str">
        <f t="shared" si="615"/>
        <v>0</v>
      </c>
      <c r="BN939" s="1">
        <v>37.0</v>
      </c>
      <c r="BO939" s="1">
        <v>1.0</v>
      </c>
      <c r="BQ939" s="1">
        <v>101.0</v>
      </c>
      <c r="BR939" s="1">
        <v>101.0</v>
      </c>
      <c r="BS939" s="1">
        <v>101.0</v>
      </c>
      <c r="BU939" s="1" t="s">
        <v>393</v>
      </c>
      <c r="BV939" s="1" t="s">
        <v>206</v>
      </c>
      <c r="BW939" s="1" t="s">
        <v>210</v>
      </c>
      <c r="BY939" s="1" t="s">
        <v>208</v>
      </c>
      <c r="BZ939" s="1" t="s">
        <v>209</v>
      </c>
      <c r="CA939" s="1" t="s">
        <v>210</v>
      </c>
      <c r="CC939" s="1" t="s">
        <v>1417</v>
      </c>
      <c r="CD939" s="1" t="s">
        <v>206</v>
      </c>
      <c r="CE939" s="1" t="s">
        <v>210</v>
      </c>
      <c r="CG939" s="1" t="s">
        <v>663</v>
      </c>
      <c r="CH939" s="1" t="s">
        <v>209</v>
      </c>
      <c r="CI939" s="1" t="s">
        <v>210</v>
      </c>
      <c r="CK939" s="1" t="s">
        <v>663</v>
      </c>
      <c r="CL939" s="1" t="s">
        <v>209</v>
      </c>
      <c r="CM939" s="1" t="s">
        <v>210</v>
      </c>
      <c r="CO939" s="1" t="s">
        <v>4902</v>
      </c>
      <c r="CP939" s="1" t="s">
        <v>209</v>
      </c>
      <c r="CQ939" s="1" t="s">
        <v>210</v>
      </c>
      <c r="CS939" s="1" t="s">
        <v>3989</v>
      </c>
      <c r="CT939" s="1" t="s">
        <v>206</v>
      </c>
      <c r="CU939" s="1" t="s">
        <v>207</v>
      </c>
      <c r="CW939" s="1" t="s">
        <v>2647</v>
      </c>
      <c r="CX939" s="1" t="s">
        <v>206</v>
      </c>
      <c r="CY939" s="1" t="s">
        <v>210</v>
      </c>
      <c r="DA939" s="1" t="s">
        <v>200</v>
      </c>
      <c r="DC939" s="1" t="s">
        <v>435</v>
      </c>
      <c r="DD939" s="1" t="s">
        <v>396</v>
      </c>
      <c r="DE939" s="1" t="s">
        <v>273</v>
      </c>
      <c r="DF939" s="1" t="s">
        <v>219</v>
      </c>
      <c r="DH939" s="1" t="s">
        <v>220</v>
      </c>
      <c r="DI939" s="1" t="s">
        <v>2547</v>
      </c>
      <c r="DJ939" s="1" t="s">
        <v>222</v>
      </c>
      <c r="DK939" s="1" t="s">
        <v>198</v>
      </c>
      <c r="DL939" s="1" t="s">
        <v>224</v>
      </c>
      <c r="DM939" s="1" t="s">
        <v>338</v>
      </c>
      <c r="DN939" s="1" t="s">
        <v>1486</v>
      </c>
      <c r="DO939" s="1" t="s">
        <v>930</v>
      </c>
      <c r="DP939" s="1" t="s">
        <v>340</v>
      </c>
      <c r="DQ939" s="1" t="s">
        <v>441</v>
      </c>
      <c r="DR939" s="1" t="s">
        <v>229</v>
      </c>
      <c r="DU939" s="1" t="s">
        <v>10646</v>
      </c>
      <c r="DV939" s="1" t="s">
        <v>8315</v>
      </c>
      <c r="DW939" s="1" t="s">
        <v>891</v>
      </c>
      <c r="DX939" s="1" t="s">
        <v>234</v>
      </c>
      <c r="DY939" s="1" t="s">
        <v>704</v>
      </c>
      <c r="DZ939" s="1" t="s">
        <v>2204</v>
      </c>
      <c r="EC939" s="1" t="s">
        <v>237</v>
      </c>
      <c r="ED939" s="1" t="s">
        <v>407</v>
      </c>
      <c r="EH939" s="1" t="s">
        <v>450</v>
      </c>
      <c r="EI939" s="1" t="s">
        <v>1491</v>
      </c>
      <c r="EM939" s="1" t="s">
        <v>238</v>
      </c>
      <c r="EP939" s="1" t="s">
        <v>2924</v>
      </c>
      <c r="EQ939" s="1" t="s">
        <v>42</v>
      </c>
      <c r="ER939" s="1" t="s">
        <v>210</v>
      </c>
      <c r="ET939" s="1" t="s">
        <v>329</v>
      </c>
      <c r="EU939" s="1" t="s">
        <v>42</v>
      </c>
      <c r="EV939" s="1" t="s">
        <v>588</v>
      </c>
      <c r="EY939" s="1" t="s">
        <v>238</v>
      </c>
      <c r="FC939" s="1" t="s">
        <v>238</v>
      </c>
      <c r="FF939" s="1" t="s">
        <v>239</v>
      </c>
      <c r="FG939" s="1" t="s">
        <v>192</v>
      </c>
      <c r="FH939" s="1" t="s">
        <v>192</v>
      </c>
      <c r="FJ939" s="1" t="s">
        <v>2206</v>
      </c>
      <c r="FK939" s="1" t="s">
        <v>229</v>
      </c>
      <c r="FL939" s="1" t="s">
        <v>1212</v>
      </c>
      <c r="FM939" s="1">
        <v>30.0</v>
      </c>
      <c r="FN939" s="1" t="s">
        <v>1213</v>
      </c>
      <c r="FO939" s="1" t="s">
        <v>8470</v>
      </c>
      <c r="FP939" s="1">
        <v>497.0</v>
      </c>
      <c r="FQ939" s="1" t="s">
        <v>8471</v>
      </c>
      <c r="FR939" s="1">
        <v>8177.0</v>
      </c>
      <c r="FS939" s="1">
        <v>8177.0</v>
      </c>
      <c r="FU939" s="1" t="s">
        <v>2409</v>
      </c>
      <c r="FV939" s="1" t="s">
        <v>200</v>
      </c>
      <c r="FW939" s="1" t="s">
        <v>290</v>
      </c>
      <c r="FZ939" s="1" t="s">
        <v>229</v>
      </c>
      <c r="GA939" s="1" t="s">
        <v>291</v>
      </c>
      <c r="GB939" s="2">
        <v>42019.0</v>
      </c>
      <c r="GC939" s="1" t="s">
        <v>10647</v>
      </c>
    </row>
    <row r="940">
      <c r="A940" s="1">
        <v>175000.0</v>
      </c>
      <c r="B940" s="1" t="s">
        <v>185</v>
      </c>
      <c r="C940" s="1" t="str">
        <f>"08594193"</f>
        <v>08594193</v>
      </c>
      <c r="D940" s="1" t="s">
        <v>186</v>
      </c>
      <c r="F940" s="1" t="str">
        <f>"8070"</f>
        <v>8070</v>
      </c>
      <c r="G940" s="2">
        <v>41752.0</v>
      </c>
      <c r="H940" s="1">
        <v>177800.0</v>
      </c>
      <c r="I940" s="1">
        <v>50.0</v>
      </c>
      <c r="J940" s="1">
        <v>177800.0</v>
      </c>
      <c r="K940" s="2">
        <v>41801.0</v>
      </c>
      <c r="L940" s="1">
        <v>50.0</v>
      </c>
      <c r="M940" s="2">
        <v>41801.0</v>
      </c>
      <c r="N940" s="1" t="s">
        <v>356</v>
      </c>
      <c r="O940" s="2">
        <v>42009.0</v>
      </c>
      <c r="P940" s="1">
        <v>111333.0</v>
      </c>
      <c r="Q940" s="1">
        <v>16799.0</v>
      </c>
      <c r="R940" s="1">
        <v>2.0</v>
      </c>
      <c r="S940" s="1">
        <v>3357.0</v>
      </c>
      <c r="T940" s="1" t="s">
        <v>10648</v>
      </c>
      <c r="U940" s="1" t="s">
        <v>694</v>
      </c>
      <c r="V940" s="1" t="s">
        <v>190</v>
      </c>
      <c r="W940" s="1">
        <v>60652.0</v>
      </c>
      <c r="X940" s="1">
        <v>3318.0</v>
      </c>
      <c r="Y940" s="1" t="s">
        <v>10649</v>
      </c>
      <c r="Z940" s="1">
        <v>1943.0</v>
      </c>
      <c r="AA940" s="1" t="s">
        <v>192</v>
      </c>
      <c r="AB940" s="1" t="s">
        <v>193</v>
      </c>
      <c r="AD940" s="1" t="s">
        <v>194</v>
      </c>
      <c r="AE940" s="1" t="s">
        <v>195</v>
      </c>
      <c r="AF940" s="1" t="s">
        <v>659</v>
      </c>
      <c r="AH940" s="6">
        <v>4573.0</v>
      </c>
      <c r="AI940" s="1">
        <v>0.105</v>
      </c>
      <c r="AK940" s="1">
        <v>8.0</v>
      </c>
      <c r="AL940" s="1">
        <v>3.0</v>
      </c>
      <c r="AM940" s="1">
        <v>3.0</v>
      </c>
      <c r="AN940" s="1">
        <v>0.0</v>
      </c>
      <c r="AO940" s="1" t="s">
        <v>198</v>
      </c>
      <c r="AQ940" s="1" t="s">
        <v>198</v>
      </c>
      <c r="AR940" s="1" t="s">
        <v>192</v>
      </c>
      <c r="AS940" s="1" t="s">
        <v>199</v>
      </c>
      <c r="AT940" s="1">
        <v>2.5</v>
      </c>
      <c r="AV940" s="1" t="s">
        <v>200</v>
      </c>
      <c r="AW940" s="1">
        <v>2635.0</v>
      </c>
      <c r="AX940" s="1">
        <v>2012.0</v>
      </c>
      <c r="AY940" s="1" t="s">
        <v>229</v>
      </c>
      <c r="AZ940" s="1" t="s">
        <v>200</v>
      </c>
      <c r="BA940" s="1" t="str">
        <f>"19354060840000"</f>
        <v>19354060840000</v>
      </c>
      <c r="BC940" s="1">
        <v>1072.0</v>
      </c>
      <c r="BD940" s="1">
        <v>175000.0</v>
      </c>
      <c r="BE940" s="2">
        <v>41752.0</v>
      </c>
      <c r="BF940" s="2" t="s">
        <v>10650</v>
      </c>
      <c r="BH940" s="1">
        <v>0.0</v>
      </c>
      <c r="BK940" s="1" t="s">
        <v>204</v>
      </c>
      <c r="BL940" s="1" t="str">
        <f t="shared" ref="BL940:BM940" si="616">"0"</f>
        <v>0</v>
      </c>
      <c r="BM940" s="1" t="str">
        <f t="shared" si="616"/>
        <v>0</v>
      </c>
      <c r="BN940" s="1">
        <v>3357.0</v>
      </c>
      <c r="BO940" s="1">
        <v>8300.0</v>
      </c>
      <c r="BQ940" s="1">
        <v>299.0</v>
      </c>
      <c r="BR940" s="1">
        <v>299.0</v>
      </c>
      <c r="BS940" s="1">
        <v>299.0</v>
      </c>
      <c r="BU940" s="1" t="s">
        <v>1068</v>
      </c>
      <c r="BV940" s="1" t="s">
        <v>206</v>
      </c>
      <c r="BW940" s="1" t="s">
        <v>207</v>
      </c>
      <c r="BX940" s="1" t="s">
        <v>1549</v>
      </c>
      <c r="BY940" s="1" t="s">
        <v>1068</v>
      </c>
      <c r="BZ940" s="1" t="s">
        <v>206</v>
      </c>
      <c r="CA940" s="1" t="s">
        <v>210</v>
      </c>
      <c r="CC940" s="1" t="s">
        <v>215</v>
      </c>
      <c r="CD940" s="1" t="s">
        <v>206</v>
      </c>
      <c r="CE940" s="1" t="s">
        <v>207</v>
      </c>
      <c r="CF940" s="1" t="s">
        <v>1549</v>
      </c>
      <c r="CG940" s="1" t="s">
        <v>2442</v>
      </c>
      <c r="CH940" s="1" t="s">
        <v>209</v>
      </c>
      <c r="CI940" s="1" t="s">
        <v>207</v>
      </c>
      <c r="CK940" s="1" t="s">
        <v>300</v>
      </c>
      <c r="CL940" s="1" t="s">
        <v>209</v>
      </c>
      <c r="CM940" s="1" t="s">
        <v>207</v>
      </c>
      <c r="CO940" s="1" t="s">
        <v>363</v>
      </c>
      <c r="CP940" s="1" t="s">
        <v>42</v>
      </c>
      <c r="CQ940" s="1" t="s">
        <v>268</v>
      </c>
      <c r="CS940" s="1" t="s">
        <v>363</v>
      </c>
      <c r="CT940" s="1" t="s">
        <v>206</v>
      </c>
      <c r="CU940" s="1" t="s">
        <v>268</v>
      </c>
      <c r="CV940" s="1" t="s">
        <v>431</v>
      </c>
      <c r="CW940" s="1" t="s">
        <v>304</v>
      </c>
      <c r="CX940" s="1" t="s">
        <v>42</v>
      </c>
      <c r="CY940" s="1" t="s">
        <v>268</v>
      </c>
      <c r="DA940" s="1" t="s">
        <v>200</v>
      </c>
      <c r="DC940" s="1" t="s">
        <v>1399</v>
      </c>
      <c r="DD940" s="1" t="s">
        <v>306</v>
      </c>
      <c r="DE940" s="1" t="s">
        <v>273</v>
      </c>
      <c r="DF940" s="1" t="s">
        <v>219</v>
      </c>
      <c r="DG940" s="1" t="s">
        <v>8270</v>
      </c>
      <c r="DH940" s="1" t="s">
        <v>307</v>
      </c>
      <c r="DI940" s="1" t="s">
        <v>366</v>
      </c>
      <c r="DJ940" s="1" t="s">
        <v>222</v>
      </c>
      <c r="DL940" s="1" t="s">
        <v>1161</v>
      </c>
      <c r="DM940" s="1" t="s">
        <v>929</v>
      </c>
      <c r="DN940" s="1" t="s">
        <v>6251</v>
      </c>
      <c r="DO940" s="1" t="s">
        <v>2421</v>
      </c>
      <c r="DP940" s="1" t="s">
        <v>340</v>
      </c>
      <c r="DQ940" s="1" t="s">
        <v>794</v>
      </c>
      <c r="DR940" s="1" t="s">
        <v>229</v>
      </c>
      <c r="DS940" s="1" t="s">
        <v>230</v>
      </c>
      <c r="DV940" s="1" t="s">
        <v>232</v>
      </c>
      <c r="DW940" s="1" t="s">
        <v>279</v>
      </c>
      <c r="DX940" s="1" t="s">
        <v>234</v>
      </c>
      <c r="DY940" s="1" t="s">
        <v>553</v>
      </c>
      <c r="DZ940" s="1" t="s">
        <v>1100</v>
      </c>
      <c r="EA940" s="1" t="s">
        <v>3308</v>
      </c>
      <c r="EC940" s="1" t="s">
        <v>237</v>
      </c>
      <c r="ED940" s="1" t="s">
        <v>1406</v>
      </c>
      <c r="EE940" s="1" t="s">
        <v>493</v>
      </c>
      <c r="EM940" s="1" t="s">
        <v>238</v>
      </c>
      <c r="EQ940" s="1" t="s">
        <v>238</v>
      </c>
      <c r="EU940" s="1" t="s">
        <v>238</v>
      </c>
      <c r="EY940" s="1" t="s">
        <v>238</v>
      </c>
      <c r="FC940" s="1" t="s">
        <v>238</v>
      </c>
      <c r="FF940" s="1" t="s">
        <v>239</v>
      </c>
      <c r="FG940" s="1" t="s">
        <v>192</v>
      </c>
      <c r="FH940" s="1" t="s">
        <v>192</v>
      </c>
      <c r="FJ940" s="1" t="s">
        <v>770</v>
      </c>
      <c r="FK940" s="1" t="s">
        <v>229</v>
      </c>
      <c r="FL940" s="1" t="s">
        <v>10651</v>
      </c>
      <c r="FM940" s="1">
        <v>15318.0</v>
      </c>
      <c r="FN940" s="1" t="s">
        <v>10652</v>
      </c>
      <c r="FO940" s="1" t="s">
        <v>10653</v>
      </c>
      <c r="FP940" s="1">
        <v>124918.0</v>
      </c>
      <c r="FQ940" s="1" t="s">
        <v>10654</v>
      </c>
      <c r="FU940" s="1" t="s">
        <v>10655</v>
      </c>
      <c r="FV940" s="1" t="s">
        <v>200</v>
      </c>
      <c r="FW940" s="1" t="s">
        <v>530</v>
      </c>
      <c r="FX940" s="1" t="s">
        <v>246</v>
      </c>
      <c r="FZ940" s="1" t="s">
        <v>229</v>
      </c>
      <c r="GA940" s="1" t="s">
        <v>247</v>
      </c>
      <c r="GB940" s="2">
        <v>42009.0</v>
      </c>
    </row>
    <row r="941">
      <c r="A941" s="1">
        <v>630000.0</v>
      </c>
      <c r="B941" s="1" t="s">
        <v>185</v>
      </c>
      <c r="C941" s="1" t="str">
        <f>"08637203"</f>
        <v>08637203</v>
      </c>
      <c r="D941" s="1" t="s">
        <v>186</v>
      </c>
      <c r="F941" s="1" t="str">
        <f>"8072"</f>
        <v>8072</v>
      </c>
      <c r="G941" s="2">
        <v>41796.0</v>
      </c>
      <c r="H941" s="1">
        <v>730000.0</v>
      </c>
      <c r="I941" s="1">
        <v>284.0</v>
      </c>
      <c r="J941" s="1">
        <v>730000.0</v>
      </c>
      <c r="K941" s="2">
        <v>42079.0</v>
      </c>
      <c r="L941" s="1">
        <v>284.0</v>
      </c>
      <c r="M941" s="2">
        <v>42079.0</v>
      </c>
      <c r="N941" s="1" t="s">
        <v>187</v>
      </c>
      <c r="O941" s="2">
        <v>42139.0</v>
      </c>
      <c r="P941" s="1">
        <v>123624.0</v>
      </c>
      <c r="Q941" s="1">
        <v>12511.0</v>
      </c>
      <c r="S941" s="1">
        <v>10354.0</v>
      </c>
      <c r="T941" s="1" t="s">
        <v>6515</v>
      </c>
      <c r="U941" s="1" t="s">
        <v>189</v>
      </c>
      <c r="V941" s="1" t="s">
        <v>190</v>
      </c>
      <c r="W941" s="1">
        <v>60643.0</v>
      </c>
      <c r="Y941" s="1" t="s">
        <v>10656</v>
      </c>
      <c r="Z941" s="1">
        <v>1927.0</v>
      </c>
      <c r="AA941" s="1" t="s">
        <v>192</v>
      </c>
      <c r="AB941" s="1" t="s">
        <v>193</v>
      </c>
      <c r="AD941" s="1" t="s">
        <v>194</v>
      </c>
      <c r="AE941" s="1" t="s">
        <v>195</v>
      </c>
      <c r="AF941" s="1" t="s">
        <v>659</v>
      </c>
      <c r="AH941" s="1" t="s">
        <v>9390</v>
      </c>
      <c r="AK941" s="1">
        <v>12.0</v>
      </c>
      <c r="AL941" s="1">
        <v>4.0</v>
      </c>
      <c r="AM941" s="1">
        <v>3.0</v>
      </c>
      <c r="AN941" s="1">
        <v>1.0</v>
      </c>
      <c r="AO941" s="1" t="s">
        <v>198</v>
      </c>
      <c r="AP941" s="1">
        <v>5.0</v>
      </c>
      <c r="AQ941" s="1" t="s">
        <v>327</v>
      </c>
      <c r="AR941" s="1" t="s">
        <v>192</v>
      </c>
      <c r="AS941" s="1" t="s">
        <v>199</v>
      </c>
      <c r="AT941" s="1">
        <v>2.0</v>
      </c>
      <c r="AV941" s="1" t="s">
        <v>200</v>
      </c>
      <c r="AW941" s="1">
        <v>8808.0</v>
      </c>
      <c r="AX941" s="1">
        <v>2012.0</v>
      </c>
      <c r="AY941" s="1" t="s">
        <v>387</v>
      </c>
      <c r="AZ941" s="1" t="s">
        <v>200</v>
      </c>
      <c r="BA941" s="1" t="str">
        <f>"25181020230000"</f>
        <v>25181020230000</v>
      </c>
      <c r="BB941" s="1" t="s">
        <v>192</v>
      </c>
      <c r="BC941" s="1">
        <v>3000.0</v>
      </c>
      <c r="BD941" s="1">
        <v>630000.0</v>
      </c>
      <c r="BE941" s="2">
        <v>41796.0</v>
      </c>
      <c r="BF941" s="2" t="s">
        <v>10657</v>
      </c>
      <c r="BH941" s="1">
        <v>0.0</v>
      </c>
      <c r="BK941" s="1" t="s">
        <v>204</v>
      </c>
      <c r="BL941" s="1" t="str">
        <f t="shared" ref="BL941:BM941" si="617">"0"</f>
        <v>0</v>
      </c>
      <c r="BM941" s="1" t="str">
        <f t="shared" si="617"/>
        <v>0</v>
      </c>
      <c r="BN941" s="1">
        <v>2200.0</v>
      </c>
      <c r="BO941" s="1">
        <v>10354.0</v>
      </c>
      <c r="BQ941" s="1">
        <v>299.0</v>
      </c>
      <c r="BR941" s="1">
        <v>299.0</v>
      </c>
      <c r="BS941" s="1">
        <v>299.0</v>
      </c>
      <c r="BU941" s="1" t="s">
        <v>7950</v>
      </c>
      <c r="BV941" s="1" t="s">
        <v>206</v>
      </c>
      <c r="BW941" s="1" t="s">
        <v>207</v>
      </c>
      <c r="BY941" s="1" t="s">
        <v>1299</v>
      </c>
      <c r="BZ941" s="1" t="s">
        <v>209</v>
      </c>
      <c r="CA941" s="1" t="s">
        <v>207</v>
      </c>
      <c r="CC941" s="1" t="s">
        <v>1299</v>
      </c>
      <c r="CD941" s="1" t="s">
        <v>206</v>
      </c>
      <c r="CE941" s="1" t="s">
        <v>588</v>
      </c>
      <c r="CG941" s="1" t="s">
        <v>1483</v>
      </c>
      <c r="CH941" s="1" t="s">
        <v>209</v>
      </c>
      <c r="CI941" s="1" t="s">
        <v>207</v>
      </c>
      <c r="CK941" s="1" t="s">
        <v>1417</v>
      </c>
      <c r="CL941" s="1" t="s">
        <v>209</v>
      </c>
      <c r="CM941" s="1" t="s">
        <v>207</v>
      </c>
      <c r="CO941" s="1" t="s">
        <v>1760</v>
      </c>
      <c r="CP941" s="1" t="s">
        <v>206</v>
      </c>
      <c r="CQ941" s="1" t="s">
        <v>207</v>
      </c>
      <c r="CS941" s="1" t="s">
        <v>647</v>
      </c>
      <c r="CT941" s="1" t="s">
        <v>206</v>
      </c>
      <c r="CU941" s="1" t="s">
        <v>268</v>
      </c>
      <c r="CV941" s="1" t="s">
        <v>229</v>
      </c>
      <c r="CW941" s="1" t="s">
        <v>4403</v>
      </c>
      <c r="CX941" s="1" t="s">
        <v>206</v>
      </c>
      <c r="CY941" s="1" t="s">
        <v>210</v>
      </c>
      <c r="DA941" s="1" t="s">
        <v>200</v>
      </c>
      <c r="DC941" s="1" t="s">
        <v>785</v>
      </c>
      <c r="DE941" s="1" t="s">
        <v>1905</v>
      </c>
      <c r="DF941" s="1" t="s">
        <v>619</v>
      </c>
      <c r="DG941" s="1" t="s">
        <v>337</v>
      </c>
      <c r="DH941" s="1" t="s">
        <v>365</v>
      </c>
      <c r="DI941" s="1" t="s">
        <v>1223</v>
      </c>
      <c r="DJ941" s="1" t="s">
        <v>222</v>
      </c>
      <c r="DL941" s="1" t="s">
        <v>224</v>
      </c>
      <c r="DM941" s="1" t="s">
        <v>229</v>
      </c>
      <c r="DO941" s="1" t="s">
        <v>2421</v>
      </c>
      <c r="DP941" s="1" t="s">
        <v>340</v>
      </c>
      <c r="DQ941" s="1" t="s">
        <v>441</v>
      </c>
      <c r="DR941" s="1" t="s">
        <v>229</v>
      </c>
      <c r="DU941" s="1" t="s">
        <v>3591</v>
      </c>
      <c r="DV941" s="1" t="s">
        <v>10658</v>
      </c>
      <c r="DW941" s="1" t="s">
        <v>279</v>
      </c>
      <c r="DX941" s="1" t="s">
        <v>1287</v>
      </c>
      <c r="DY941" s="1" t="s">
        <v>987</v>
      </c>
      <c r="DZ941" s="1" t="s">
        <v>6164</v>
      </c>
      <c r="EB941" s="1" t="s">
        <v>10659</v>
      </c>
      <c r="EC941" s="1" t="s">
        <v>237</v>
      </c>
      <c r="ED941" s="1" t="s">
        <v>555</v>
      </c>
      <c r="EG941" s="1" t="s">
        <v>556</v>
      </c>
      <c r="EH941" s="1" t="s">
        <v>598</v>
      </c>
      <c r="EI941" s="1" t="s">
        <v>588</v>
      </c>
      <c r="EJ941" s="1" t="s">
        <v>588</v>
      </c>
      <c r="EK941" s="1" t="s">
        <v>408</v>
      </c>
      <c r="EL941" s="1" t="s">
        <v>363</v>
      </c>
      <c r="EM941" s="1" t="s">
        <v>206</v>
      </c>
      <c r="EN941" s="1" t="s">
        <v>268</v>
      </c>
      <c r="EP941" s="1" t="s">
        <v>663</v>
      </c>
      <c r="EQ941" s="1" t="s">
        <v>206</v>
      </c>
      <c r="ER941" s="1" t="s">
        <v>588</v>
      </c>
      <c r="ET941" s="1" t="s">
        <v>1672</v>
      </c>
      <c r="EU941" s="1" t="s">
        <v>209</v>
      </c>
      <c r="EV941" s="1" t="s">
        <v>207</v>
      </c>
      <c r="EW941" s="1" t="s">
        <v>229</v>
      </c>
      <c r="EX941" s="1" t="s">
        <v>798</v>
      </c>
      <c r="EY941" s="1" t="s">
        <v>209</v>
      </c>
      <c r="EZ941" s="1" t="s">
        <v>207</v>
      </c>
      <c r="FA941" s="1" t="s">
        <v>229</v>
      </c>
      <c r="FB941" s="1" t="s">
        <v>543</v>
      </c>
      <c r="FC941" s="1" t="s">
        <v>206</v>
      </c>
      <c r="FD941" s="1" t="s">
        <v>588</v>
      </c>
      <c r="FE941" s="1" t="s">
        <v>229</v>
      </c>
      <c r="FF941" s="1" t="s">
        <v>239</v>
      </c>
      <c r="FG941" s="1" t="s">
        <v>192</v>
      </c>
      <c r="FH941" s="1" t="s">
        <v>192</v>
      </c>
      <c r="FJ941" s="1" t="s">
        <v>8325</v>
      </c>
      <c r="FK941" s="1" t="s">
        <v>229</v>
      </c>
      <c r="FL941" s="1" t="s">
        <v>10660</v>
      </c>
      <c r="FM941" s="1">
        <v>12749.0</v>
      </c>
      <c r="FN941" s="1" t="s">
        <v>10661</v>
      </c>
      <c r="FO941" s="1" t="s">
        <v>10662</v>
      </c>
      <c r="FP941" s="1">
        <v>120017.0</v>
      </c>
      <c r="FQ941" s="1" t="s">
        <v>10661</v>
      </c>
      <c r="FU941" s="1" t="s">
        <v>10663</v>
      </c>
      <c r="FV941" s="1" t="s">
        <v>200</v>
      </c>
      <c r="FW941" s="1" t="s">
        <v>530</v>
      </c>
      <c r="FX941" s="1" t="s">
        <v>655</v>
      </c>
      <c r="FZ941" s="1" t="s">
        <v>229</v>
      </c>
      <c r="GA941" s="1" t="s">
        <v>291</v>
      </c>
      <c r="GB941" s="2">
        <v>42139.0</v>
      </c>
    </row>
    <row r="942">
      <c r="A942" s="1">
        <v>92900.0</v>
      </c>
      <c r="B942" s="1" t="s">
        <v>185</v>
      </c>
      <c r="C942" s="1" t="str">
        <f>"08736944"</f>
        <v>08736944</v>
      </c>
      <c r="D942" s="1" t="s">
        <v>186</v>
      </c>
      <c r="F942" s="1" t="str">
        <f>"110"</f>
        <v>110</v>
      </c>
      <c r="G942" s="2">
        <v>41906.0</v>
      </c>
      <c r="H942" s="1">
        <v>89900.0</v>
      </c>
      <c r="I942" s="1">
        <v>20.0</v>
      </c>
      <c r="J942" s="1">
        <v>89900.0</v>
      </c>
      <c r="K942" s="2">
        <v>41925.0</v>
      </c>
      <c r="L942" s="1">
        <v>20.0</v>
      </c>
      <c r="M942" s="2">
        <v>41925.0</v>
      </c>
      <c r="N942" s="1" t="s">
        <v>187</v>
      </c>
      <c r="O942" s="2">
        <v>41976.0</v>
      </c>
      <c r="P942" s="1">
        <v>8423.0</v>
      </c>
      <c r="Q942" s="1">
        <v>7450.0</v>
      </c>
      <c r="S942" s="1">
        <v>217.0</v>
      </c>
      <c r="T942" s="1" t="s">
        <v>10664</v>
      </c>
      <c r="U942" s="1" t="s">
        <v>189</v>
      </c>
      <c r="V942" s="1" t="s">
        <v>807</v>
      </c>
      <c r="W942" s="1">
        <v>60110.0</v>
      </c>
      <c r="Y942" s="1" t="s">
        <v>10665</v>
      </c>
      <c r="Z942" s="1">
        <v>1956.0</v>
      </c>
      <c r="AA942" s="1" t="s">
        <v>192</v>
      </c>
      <c r="AB942" s="1" t="s">
        <v>193</v>
      </c>
      <c r="AC942" s="1" t="s">
        <v>5724</v>
      </c>
      <c r="AD942" s="1" t="s">
        <v>809</v>
      </c>
      <c r="AE942" s="1" t="s">
        <v>325</v>
      </c>
      <c r="AF942" s="1" t="s">
        <v>810</v>
      </c>
      <c r="AH942" s="1" t="s">
        <v>10666</v>
      </c>
      <c r="AI942" s="1">
        <v>0.14</v>
      </c>
      <c r="AK942" s="1">
        <v>7.0</v>
      </c>
      <c r="AL942" s="1">
        <v>3.0</v>
      </c>
      <c r="AM942" s="1">
        <v>2.0</v>
      </c>
      <c r="AN942" s="1">
        <v>0.0</v>
      </c>
      <c r="AO942" s="1" t="s">
        <v>229</v>
      </c>
      <c r="AP942" s="1">
        <v>1.0</v>
      </c>
      <c r="AQ942" s="1" t="s">
        <v>198</v>
      </c>
      <c r="AR942" s="1" t="s">
        <v>192</v>
      </c>
      <c r="AS942" s="1" t="s">
        <v>199</v>
      </c>
      <c r="AT942" s="1">
        <v>2.0</v>
      </c>
      <c r="AV942" s="1" t="s">
        <v>200</v>
      </c>
      <c r="AW942" s="1" t="s">
        <v>10667</v>
      </c>
      <c r="AX942" s="1">
        <v>2013.0</v>
      </c>
      <c r="AY942" s="1" t="s">
        <v>229</v>
      </c>
      <c r="AZ942" s="1" t="s">
        <v>200</v>
      </c>
      <c r="BA942" s="1" t="str">
        <f>"0312176013"</f>
        <v>0312176013</v>
      </c>
      <c r="BC942" s="1">
        <v>1528.0</v>
      </c>
      <c r="BD942" s="1">
        <v>92900.0</v>
      </c>
      <c r="BE942" s="2">
        <v>41906.0</v>
      </c>
      <c r="BF942" s="2" t="s">
        <v>10668</v>
      </c>
      <c r="BH942" s="1">
        <v>0.0</v>
      </c>
      <c r="BK942" s="1" t="s">
        <v>204</v>
      </c>
      <c r="BL942" s="1" t="str">
        <f>"17"</f>
        <v>17</v>
      </c>
      <c r="BM942" s="1" t="str">
        <f>"0"</f>
        <v>0</v>
      </c>
      <c r="BN942" s="1">
        <v>31.0</v>
      </c>
      <c r="BO942" s="1">
        <v>0.0</v>
      </c>
      <c r="BQ942" s="1">
        <v>300.0</v>
      </c>
      <c r="BR942" s="1">
        <v>300.0</v>
      </c>
      <c r="BS942" s="1">
        <v>300.0</v>
      </c>
      <c r="BU942" s="1" t="s">
        <v>783</v>
      </c>
      <c r="BV942" s="1" t="s">
        <v>206</v>
      </c>
      <c r="BW942" s="1" t="s">
        <v>210</v>
      </c>
      <c r="BY942" s="1" t="s">
        <v>584</v>
      </c>
      <c r="BZ942" s="1" t="s">
        <v>209</v>
      </c>
      <c r="CA942" s="1" t="s">
        <v>207</v>
      </c>
      <c r="CD942" s="1" t="s">
        <v>204</v>
      </c>
      <c r="CG942" s="1" t="s">
        <v>269</v>
      </c>
      <c r="CH942" s="1" t="s">
        <v>209</v>
      </c>
      <c r="CI942" s="1" t="s">
        <v>207</v>
      </c>
      <c r="CK942" s="1" t="s">
        <v>516</v>
      </c>
      <c r="CL942" s="1" t="s">
        <v>209</v>
      </c>
      <c r="CM942" s="1" t="s">
        <v>207</v>
      </c>
      <c r="CO942" s="1" t="s">
        <v>266</v>
      </c>
      <c r="CP942" s="1" t="s">
        <v>42</v>
      </c>
      <c r="CQ942" s="1" t="s">
        <v>210</v>
      </c>
      <c r="CS942" s="1" t="s">
        <v>332</v>
      </c>
      <c r="CT942" s="1" t="s">
        <v>206</v>
      </c>
      <c r="CU942" s="1" t="s">
        <v>617</v>
      </c>
      <c r="CX942" s="1" t="s">
        <v>204</v>
      </c>
      <c r="DA942" s="1" t="s">
        <v>200</v>
      </c>
      <c r="DC942" s="1" t="s">
        <v>271</v>
      </c>
      <c r="DD942" s="1" t="s">
        <v>518</v>
      </c>
      <c r="DE942" s="1" t="s">
        <v>273</v>
      </c>
      <c r="DF942" s="1" t="s">
        <v>219</v>
      </c>
      <c r="DG942" s="1" t="s">
        <v>274</v>
      </c>
      <c r="DH942" s="1" t="s">
        <v>220</v>
      </c>
      <c r="DJ942" s="1" t="s">
        <v>222</v>
      </c>
      <c r="DL942" s="1" t="s">
        <v>224</v>
      </c>
      <c r="DM942" s="1" t="s">
        <v>229</v>
      </c>
      <c r="DQ942" s="1" t="s">
        <v>228</v>
      </c>
      <c r="DR942" s="1" t="s">
        <v>229</v>
      </c>
      <c r="DS942" s="1" t="s">
        <v>230</v>
      </c>
      <c r="DU942" s="1" t="s">
        <v>2070</v>
      </c>
      <c r="DV942" s="1" t="s">
        <v>557</v>
      </c>
      <c r="DW942" s="1" t="s">
        <v>233</v>
      </c>
      <c r="DX942" s="1" t="s">
        <v>234</v>
      </c>
      <c r="DY942" s="1" t="s">
        <v>235</v>
      </c>
      <c r="DZ942" s="1" t="s">
        <v>343</v>
      </c>
      <c r="EA942" s="1" t="s">
        <v>554</v>
      </c>
      <c r="EC942" s="1" t="s">
        <v>645</v>
      </c>
      <c r="EG942" s="1" t="s">
        <v>557</v>
      </c>
      <c r="EL942" s="1" t="s">
        <v>332</v>
      </c>
      <c r="EM942" s="1" t="s">
        <v>42</v>
      </c>
      <c r="EN942" s="1" t="s">
        <v>210</v>
      </c>
      <c r="EQ942" s="1" t="s">
        <v>238</v>
      </c>
      <c r="EU942" s="1" t="s">
        <v>238</v>
      </c>
      <c r="EY942" s="1" t="s">
        <v>238</v>
      </c>
      <c r="FC942" s="1" t="s">
        <v>238</v>
      </c>
      <c r="FF942" s="1" t="s">
        <v>239</v>
      </c>
      <c r="FG942" s="1" t="s">
        <v>192</v>
      </c>
      <c r="FH942" s="1" t="s">
        <v>192</v>
      </c>
      <c r="FJ942" s="1" t="s">
        <v>770</v>
      </c>
      <c r="FK942" s="1" t="s">
        <v>229</v>
      </c>
      <c r="FL942" s="1" t="s">
        <v>456</v>
      </c>
      <c r="FM942" s="1">
        <v>49.0</v>
      </c>
      <c r="FN942" s="1" t="s">
        <v>457</v>
      </c>
      <c r="FO942" s="1" t="s">
        <v>7305</v>
      </c>
      <c r="FP942" s="1">
        <v>7198.0</v>
      </c>
      <c r="FQ942" s="1" t="s">
        <v>7306</v>
      </c>
      <c r="FR942" s="1">
        <v>35055.0</v>
      </c>
      <c r="FU942" s="1" t="s">
        <v>10669</v>
      </c>
      <c r="FV942" s="1" t="s">
        <v>200</v>
      </c>
      <c r="FW942" s="1" t="s">
        <v>10670</v>
      </c>
      <c r="FZ942" s="1" t="s">
        <v>229</v>
      </c>
      <c r="GA942" s="1" t="s">
        <v>291</v>
      </c>
      <c r="GB942" s="2">
        <v>41977.0</v>
      </c>
      <c r="GC942" s="1" t="s">
        <v>10671</v>
      </c>
    </row>
    <row r="943">
      <c r="A943" s="1">
        <v>192500.0</v>
      </c>
      <c r="B943" s="1" t="s">
        <v>185</v>
      </c>
      <c r="C943" s="1" t="str">
        <f>"08586398"</f>
        <v>08586398</v>
      </c>
      <c r="D943" s="1" t="s">
        <v>186</v>
      </c>
      <c r="F943" s="1" t="str">
        <f>"545"</f>
        <v>545</v>
      </c>
      <c r="G943" s="2">
        <v>41744.0</v>
      </c>
      <c r="H943" s="1">
        <v>214900.0</v>
      </c>
      <c r="I943" s="1">
        <v>335.0</v>
      </c>
      <c r="J943" s="1">
        <v>199900.0</v>
      </c>
      <c r="K943" s="2">
        <v>42078.0</v>
      </c>
      <c r="L943" s="1">
        <v>335.0</v>
      </c>
      <c r="M943" s="2">
        <v>42078.0</v>
      </c>
      <c r="N943" s="1" t="s">
        <v>249</v>
      </c>
      <c r="O943" s="2">
        <v>42116.0</v>
      </c>
      <c r="P943" s="1">
        <v>233432.0</v>
      </c>
      <c r="Q943" s="1">
        <v>23222.0</v>
      </c>
      <c r="S943" s="1">
        <v>46.0</v>
      </c>
      <c r="T943" s="1" t="s">
        <v>10672</v>
      </c>
      <c r="U943" s="1" t="s">
        <v>569</v>
      </c>
      <c r="V943" s="1" t="s">
        <v>3364</v>
      </c>
      <c r="W943" s="1">
        <v>60545.0</v>
      </c>
      <c r="Y943" s="1" t="s">
        <v>10673</v>
      </c>
      <c r="Z943" s="1">
        <v>1971.0</v>
      </c>
      <c r="AA943" s="1" t="s">
        <v>192</v>
      </c>
      <c r="AB943" s="1" t="s">
        <v>193</v>
      </c>
      <c r="AD943" s="1" t="s">
        <v>1089</v>
      </c>
      <c r="AE943" s="1" t="s">
        <v>849</v>
      </c>
      <c r="AF943" s="1" t="s">
        <v>3367</v>
      </c>
      <c r="AH943" s="1" t="s">
        <v>10674</v>
      </c>
      <c r="AK943" s="1">
        <v>8.0</v>
      </c>
      <c r="AL943" s="1">
        <v>3.0</v>
      </c>
      <c r="AM943" s="1">
        <v>2.0</v>
      </c>
      <c r="AN943" s="1">
        <v>0.0</v>
      </c>
      <c r="AO943" s="1" t="s">
        <v>1261</v>
      </c>
      <c r="AP943" s="1">
        <v>2.0</v>
      </c>
      <c r="AQ943" s="1" t="s">
        <v>198</v>
      </c>
      <c r="AR943" s="1" t="s">
        <v>192</v>
      </c>
      <c r="AS943" s="1" t="s">
        <v>199</v>
      </c>
      <c r="AT943" s="1">
        <v>2.0</v>
      </c>
      <c r="AV943" s="1" t="s">
        <v>200</v>
      </c>
      <c r="AW943" s="1">
        <v>6299.1</v>
      </c>
      <c r="AX943" s="1">
        <v>2013.0</v>
      </c>
      <c r="AY943" s="1" t="s">
        <v>387</v>
      </c>
      <c r="AZ943" s="1" t="s">
        <v>200</v>
      </c>
      <c r="BA943" s="1" t="str">
        <f>"0129452003"</f>
        <v>0129452003</v>
      </c>
      <c r="BB943" s="1" t="s">
        <v>200</v>
      </c>
      <c r="BC943" s="1">
        <v>1800.0</v>
      </c>
      <c r="BD943" s="1">
        <v>192500.0</v>
      </c>
      <c r="BE943" s="2">
        <v>41744.0</v>
      </c>
      <c r="BF943" s="2" t="s">
        <v>10675</v>
      </c>
      <c r="BH943" s="1">
        <v>0.0</v>
      </c>
      <c r="BI943" s="1" t="s">
        <v>3371</v>
      </c>
      <c r="BJ943" s="1" t="s">
        <v>3372</v>
      </c>
      <c r="BK943" s="1" t="s">
        <v>204</v>
      </c>
      <c r="BL943" s="1" t="str">
        <f t="shared" ref="BL943:BM943" si="618">""</f>
        <v/>
      </c>
      <c r="BM943" s="1" t="str">
        <f t="shared" si="618"/>
        <v/>
      </c>
      <c r="BQ943" s="1">
        <v>88.0</v>
      </c>
      <c r="BR943" s="1">
        <v>88.0</v>
      </c>
      <c r="BS943" s="1">
        <v>88.0</v>
      </c>
      <c r="BU943" s="1" t="s">
        <v>3475</v>
      </c>
      <c r="BV943" s="1" t="s">
        <v>206</v>
      </c>
      <c r="BW943" s="1" t="s">
        <v>210</v>
      </c>
      <c r="BY943" s="1" t="s">
        <v>454</v>
      </c>
      <c r="BZ943" s="1" t="s">
        <v>206</v>
      </c>
      <c r="CA943" s="1" t="s">
        <v>210</v>
      </c>
      <c r="CB943" s="1" t="s">
        <v>431</v>
      </c>
      <c r="CC943" s="1" t="s">
        <v>2014</v>
      </c>
      <c r="CD943" s="1" t="s">
        <v>206</v>
      </c>
      <c r="CE943" s="1" t="s">
        <v>210</v>
      </c>
      <c r="CG943" s="1" t="s">
        <v>332</v>
      </c>
      <c r="CH943" s="1" t="s">
        <v>206</v>
      </c>
      <c r="CI943" s="1" t="s">
        <v>210</v>
      </c>
      <c r="CJ943" s="1" t="s">
        <v>431</v>
      </c>
      <c r="CK943" s="1" t="s">
        <v>497</v>
      </c>
      <c r="CL943" s="1" t="s">
        <v>206</v>
      </c>
      <c r="CM943" s="1" t="s">
        <v>210</v>
      </c>
      <c r="CN943" s="1" t="s">
        <v>431</v>
      </c>
      <c r="CO943" s="1" t="s">
        <v>544</v>
      </c>
      <c r="CP943" s="1" t="s">
        <v>42</v>
      </c>
      <c r="CQ943" s="1" t="s">
        <v>210</v>
      </c>
      <c r="CS943" s="1" t="s">
        <v>924</v>
      </c>
      <c r="CT943" s="1" t="s">
        <v>206</v>
      </c>
      <c r="CU943" s="1" t="s">
        <v>617</v>
      </c>
      <c r="CW943" s="1" t="s">
        <v>10676</v>
      </c>
      <c r="CX943" s="1" t="s">
        <v>42</v>
      </c>
      <c r="CY943" s="1" t="s">
        <v>210</v>
      </c>
      <c r="DA943" s="1" t="s">
        <v>200</v>
      </c>
      <c r="DC943" s="1" t="s">
        <v>517</v>
      </c>
      <c r="DD943" s="1" t="s">
        <v>518</v>
      </c>
      <c r="DE943" s="1" t="s">
        <v>273</v>
      </c>
      <c r="DF943" s="1" t="s">
        <v>219</v>
      </c>
      <c r="DH943" s="1" t="s">
        <v>856</v>
      </c>
      <c r="DI943" s="1" t="s">
        <v>10677</v>
      </c>
      <c r="DJ943" s="1" t="s">
        <v>857</v>
      </c>
      <c r="DL943" s="1" t="s">
        <v>224</v>
      </c>
      <c r="DM943" s="1" t="s">
        <v>338</v>
      </c>
      <c r="DN943" s="1" t="s">
        <v>439</v>
      </c>
      <c r="DO943" s="1" t="s">
        <v>1208</v>
      </c>
      <c r="DP943" s="1" t="s">
        <v>340</v>
      </c>
      <c r="DQ943" s="1" t="s">
        <v>931</v>
      </c>
      <c r="DR943" s="1" t="s">
        <v>229</v>
      </c>
      <c r="DS943" s="1" t="s">
        <v>368</v>
      </c>
      <c r="DU943" s="1" t="s">
        <v>10678</v>
      </c>
      <c r="DV943" s="1" t="s">
        <v>232</v>
      </c>
      <c r="DW943" s="1" t="s">
        <v>964</v>
      </c>
      <c r="DX943" s="1" t="s">
        <v>234</v>
      </c>
      <c r="DY943" s="1" t="s">
        <v>10679</v>
      </c>
      <c r="DZ943" s="1" t="s">
        <v>446</v>
      </c>
      <c r="EA943" s="1" t="s">
        <v>683</v>
      </c>
      <c r="EB943" s="1" t="s">
        <v>345</v>
      </c>
      <c r="EC943" s="1" t="s">
        <v>685</v>
      </c>
      <c r="ED943" s="1" t="s">
        <v>312</v>
      </c>
      <c r="EE943" s="1" t="s">
        <v>493</v>
      </c>
      <c r="EM943" s="1" t="s">
        <v>238</v>
      </c>
      <c r="EQ943" s="1" t="s">
        <v>238</v>
      </c>
      <c r="EU943" s="1" t="s">
        <v>238</v>
      </c>
      <c r="EY943" s="1" t="s">
        <v>238</v>
      </c>
      <c r="FC943" s="1" t="s">
        <v>238</v>
      </c>
      <c r="FF943" s="1" t="s">
        <v>239</v>
      </c>
      <c r="FG943" s="1" t="s">
        <v>192</v>
      </c>
      <c r="FH943" s="1" t="s">
        <v>192</v>
      </c>
      <c r="FJ943" s="1" t="s">
        <v>10680</v>
      </c>
      <c r="FK943" s="1" t="s">
        <v>229</v>
      </c>
      <c r="FL943" s="1" t="s">
        <v>4309</v>
      </c>
      <c r="FM943" s="1">
        <v>87.0</v>
      </c>
      <c r="FN943" s="1" t="s">
        <v>5753</v>
      </c>
      <c r="FO943" s="1" t="s">
        <v>10681</v>
      </c>
      <c r="FP943" s="1">
        <v>7675.0</v>
      </c>
      <c r="FQ943" s="1" t="s">
        <v>10682</v>
      </c>
      <c r="FU943" s="1" t="s">
        <v>10683</v>
      </c>
      <c r="FV943" s="1" t="s">
        <v>200</v>
      </c>
      <c r="FW943" s="1" t="s">
        <v>461</v>
      </c>
      <c r="FZ943" s="1" t="s">
        <v>229</v>
      </c>
      <c r="GA943" s="1" t="s">
        <v>291</v>
      </c>
      <c r="GB943" s="2">
        <v>42116.0</v>
      </c>
      <c r="GC943" s="1" t="s">
        <v>10684</v>
      </c>
    </row>
    <row r="944">
      <c r="A944" s="1">
        <v>360000.0</v>
      </c>
      <c r="B944" s="1" t="s">
        <v>185</v>
      </c>
      <c r="C944" s="1" t="str">
        <f>"08618610"</f>
        <v>08618610</v>
      </c>
      <c r="D944" s="1" t="s">
        <v>186</v>
      </c>
      <c r="F944" s="1" t="str">
        <f>"119"</f>
        <v>119</v>
      </c>
      <c r="G944" s="2">
        <v>41778.0</v>
      </c>
      <c r="H944" s="1">
        <v>524900.0</v>
      </c>
      <c r="I944" s="1">
        <v>313.0</v>
      </c>
      <c r="J944" s="1">
        <v>389000.0</v>
      </c>
      <c r="K944" s="2">
        <v>42090.0</v>
      </c>
      <c r="L944" s="1">
        <v>313.0</v>
      </c>
      <c r="M944" s="2">
        <v>42090.0</v>
      </c>
      <c r="N944" s="1" t="s">
        <v>187</v>
      </c>
      <c r="O944" s="2">
        <v>42138.0</v>
      </c>
      <c r="P944" s="1">
        <v>230500.0</v>
      </c>
      <c r="Q944" s="1">
        <v>23591.0</v>
      </c>
      <c r="S944" s="1" t="s">
        <v>10685</v>
      </c>
      <c r="T944" s="1" t="s">
        <v>10686</v>
      </c>
      <c r="U944" s="1" t="s">
        <v>464</v>
      </c>
      <c r="V944" s="1" t="s">
        <v>1476</v>
      </c>
      <c r="W944" s="1">
        <v>60119.0</v>
      </c>
      <c r="Y944" s="1" t="s">
        <v>10687</v>
      </c>
      <c r="Z944" s="1">
        <v>2000.0</v>
      </c>
      <c r="AA944" s="1" t="s">
        <v>200</v>
      </c>
      <c r="AB944" s="1" t="s">
        <v>193</v>
      </c>
      <c r="AD944" s="1" t="s">
        <v>1089</v>
      </c>
      <c r="AE944" s="1" t="s">
        <v>325</v>
      </c>
      <c r="AF944" s="1" t="s">
        <v>1479</v>
      </c>
      <c r="AH944" s="1" t="s">
        <v>10688</v>
      </c>
      <c r="AI944" s="1">
        <v>5.1</v>
      </c>
      <c r="AK944" s="1">
        <v>9.0</v>
      </c>
      <c r="AL944" s="1">
        <v>4.0</v>
      </c>
      <c r="AM944" s="1">
        <v>3.0</v>
      </c>
      <c r="AN944" s="1">
        <v>1.0</v>
      </c>
      <c r="AO944" s="1" t="s">
        <v>198</v>
      </c>
      <c r="AP944" s="1">
        <v>1.0</v>
      </c>
      <c r="AQ944" s="1" t="s">
        <v>198</v>
      </c>
      <c r="AR944" s="1" t="s">
        <v>192</v>
      </c>
      <c r="AS944" s="1" t="s">
        <v>199</v>
      </c>
      <c r="AT944" s="1">
        <v>3.0</v>
      </c>
      <c r="AV944" s="1" t="s">
        <v>200</v>
      </c>
      <c r="AW944" s="1">
        <v>15184.42</v>
      </c>
      <c r="AX944" s="1">
        <v>2013.0</v>
      </c>
      <c r="AY944" s="1" t="s">
        <v>387</v>
      </c>
      <c r="AZ944" s="1" t="s">
        <v>200</v>
      </c>
      <c r="BA944" s="1" t="str">
        <f>"1119300020"</f>
        <v>1119300020</v>
      </c>
      <c r="BC944" s="1">
        <v>3000.0</v>
      </c>
      <c r="BD944" s="1">
        <v>360000.0</v>
      </c>
      <c r="BE944" s="2">
        <v>41778.0</v>
      </c>
      <c r="BF944" s="2" t="s">
        <v>10689</v>
      </c>
      <c r="BH944" s="1">
        <v>0.0</v>
      </c>
      <c r="BI944" s="1" t="s">
        <v>1635</v>
      </c>
      <c r="BJ944" s="1" t="s">
        <v>1636</v>
      </c>
      <c r="BK944" s="1" t="s">
        <v>204</v>
      </c>
      <c r="BL944" s="1" t="str">
        <f t="shared" ref="BL944:BM944" si="619">""</f>
        <v/>
      </c>
      <c r="BM944" s="1" t="str">
        <f t="shared" si="619"/>
        <v/>
      </c>
      <c r="BQ944" s="1">
        <v>302.0</v>
      </c>
      <c r="BR944" s="1">
        <v>302.0</v>
      </c>
      <c r="BS944" s="1">
        <v>302.0</v>
      </c>
      <c r="BU944" s="1" t="s">
        <v>332</v>
      </c>
      <c r="BV944" s="1" t="s">
        <v>206</v>
      </c>
      <c r="BW944" s="1" t="s">
        <v>210</v>
      </c>
      <c r="BY944" s="1" t="s">
        <v>924</v>
      </c>
      <c r="BZ944" s="1" t="s">
        <v>209</v>
      </c>
      <c r="CA944" s="1" t="s">
        <v>210</v>
      </c>
      <c r="CC944" s="1" t="s">
        <v>212</v>
      </c>
      <c r="CD944" s="1" t="s">
        <v>206</v>
      </c>
      <c r="CE944" s="1" t="s">
        <v>210</v>
      </c>
      <c r="CG944" s="1" t="s">
        <v>212</v>
      </c>
      <c r="CH944" s="1" t="s">
        <v>209</v>
      </c>
      <c r="CI944" s="1" t="s">
        <v>210</v>
      </c>
      <c r="CK944" s="1" t="s">
        <v>215</v>
      </c>
      <c r="CL944" s="1" t="s">
        <v>209</v>
      </c>
      <c r="CM944" s="1" t="s">
        <v>210</v>
      </c>
      <c r="CO944" s="1" t="s">
        <v>215</v>
      </c>
      <c r="CP944" s="1" t="s">
        <v>209</v>
      </c>
      <c r="CQ944" s="1" t="s">
        <v>210</v>
      </c>
      <c r="CS944" s="1" t="s">
        <v>1244</v>
      </c>
      <c r="CT944" s="1" t="s">
        <v>206</v>
      </c>
      <c r="CU944" s="1" t="s">
        <v>207</v>
      </c>
      <c r="CW944" s="1" t="s">
        <v>1534</v>
      </c>
      <c r="CX944" s="1" t="s">
        <v>206</v>
      </c>
      <c r="CY944" s="1" t="s">
        <v>210</v>
      </c>
      <c r="DA944" s="1" t="s">
        <v>200</v>
      </c>
      <c r="DC944" s="1" t="s">
        <v>335</v>
      </c>
      <c r="DD944" s="1" t="s">
        <v>926</v>
      </c>
      <c r="DE944" s="1" t="s">
        <v>273</v>
      </c>
      <c r="DF944" s="1" t="s">
        <v>619</v>
      </c>
      <c r="DH944" s="1" t="s">
        <v>10690</v>
      </c>
      <c r="DI944" s="1" t="s">
        <v>2547</v>
      </c>
      <c r="DJ944" s="1" t="s">
        <v>857</v>
      </c>
      <c r="DK944" s="1" t="s">
        <v>223</v>
      </c>
      <c r="DL944" s="1" t="s">
        <v>224</v>
      </c>
      <c r="DM944" s="1" t="s">
        <v>338</v>
      </c>
      <c r="DN944" s="1" t="s">
        <v>439</v>
      </c>
      <c r="DP944" s="1" t="s">
        <v>340</v>
      </c>
      <c r="DQ944" s="1" t="s">
        <v>6366</v>
      </c>
      <c r="DR944" s="1" t="s">
        <v>229</v>
      </c>
      <c r="DS944" s="1" t="s">
        <v>230</v>
      </c>
      <c r="DU944" s="1" t="s">
        <v>10691</v>
      </c>
      <c r="DV944" s="1" t="s">
        <v>1028</v>
      </c>
      <c r="DW944" s="1" t="s">
        <v>764</v>
      </c>
      <c r="DX944" s="1" t="s">
        <v>234</v>
      </c>
      <c r="DY944" s="1" t="s">
        <v>2803</v>
      </c>
      <c r="DZ944" s="1" t="s">
        <v>5348</v>
      </c>
      <c r="EA944" s="1" t="s">
        <v>3308</v>
      </c>
      <c r="EB944" s="1" t="s">
        <v>937</v>
      </c>
      <c r="EC944" s="1" t="s">
        <v>237</v>
      </c>
      <c r="ED944" s="1" t="s">
        <v>1406</v>
      </c>
      <c r="EE944" s="1" t="s">
        <v>493</v>
      </c>
      <c r="EG944" s="1" t="s">
        <v>1028</v>
      </c>
      <c r="EL944" s="1" t="s">
        <v>454</v>
      </c>
      <c r="EM944" s="1" t="s">
        <v>206</v>
      </c>
      <c r="EN944" s="1" t="s">
        <v>210</v>
      </c>
      <c r="EQ944" s="1" t="s">
        <v>238</v>
      </c>
      <c r="EU944" s="1" t="s">
        <v>238</v>
      </c>
      <c r="EY944" s="1" t="s">
        <v>238</v>
      </c>
      <c r="FC944" s="1" t="s">
        <v>238</v>
      </c>
      <c r="FF944" s="1" t="s">
        <v>239</v>
      </c>
      <c r="FG944" s="1" t="s">
        <v>192</v>
      </c>
      <c r="FH944" s="1" t="s">
        <v>192</v>
      </c>
      <c r="FJ944" s="1" t="s">
        <v>2552</v>
      </c>
      <c r="FK944" s="1" t="s">
        <v>229</v>
      </c>
      <c r="FL944" s="1" t="s">
        <v>456</v>
      </c>
      <c r="FM944" s="1">
        <v>49.0</v>
      </c>
      <c r="FN944" s="1" t="s">
        <v>457</v>
      </c>
      <c r="FO944" s="1" t="s">
        <v>10692</v>
      </c>
      <c r="FP944" s="1">
        <v>1041.0</v>
      </c>
      <c r="FQ944" s="1" t="s">
        <v>10693</v>
      </c>
      <c r="FS944" s="1" t="s">
        <v>10694</v>
      </c>
      <c r="FU944" s="1" t="s">
        <v>10695</v>
      </c>
      <c r="FV944" s="1" t="s">
        <v>200</v>
      </c>
      <c r="FW944" s="1" t="s">
        <v>530</v>
      </c>
      <c r="FZ944" s="1" t="s">
        <v>229</v>
      </c>
      <c r="GA944" s="1" t="s">
        <v>291</v>
      </c>
      <c r="GB944" s="2">
        <v>42138.0</v>
      </c>
      <c r="GC944" s="1" t="s">
        <v>10696</v>
      </c>
    </row>
    <row r="945">
      <c r="A945" s="1">
        <v>260000.0</v>
      </c>
      <c r="B945" s="1" t="s">
        <v>185</v>
      </c>
      <c r="C945" s="1" t="str">
        <f>"08592053"</f>
        <v>08592053</v>
      </c>
      <c r="D945" s="1" t="s">
        <v>186</v>
      </c>
      <c r="F945" s="1" t="str">
        <f>"8061"</f>
        <v>8061</v>
      </c>
      <c r="G945" s="2">
        <v>41751.0</v>
      </c>
      <c r="H945" s="1">
        <v>319900.0</v>
      </c>
      <c r="I945" s="1">
        <v>185.0</v>
      </c>
      <c r="J945" s="1">
        <v>284900.0</v>
      </c>
      <c r="K945" s="2">
        <v>41934.0</v>
      </c>
      <c r="L945" s="1">
        <v>185.0</v>
      </c>
      <c r="M945" s="2">
        <v>41934.0</v>
      </c>
      <c r="N945" s="1" t="s">
        <v>187</v>
      </c>
      <c r="O945" s="2">
        <v>41990.0</v>
      </c>
      <c r="P945" s="1">
        <v>228483.0</v>
      </c>
      <c r="Q945" s="1">
        <v>22029.0</v>
      </c>
      <c r="S945" s="1">
        <v>4521.0</v>
      </c>
      <c r="T945" s="1" t="s">
        <v>10697</v>
      </c>
      <c r="U945" s="1" t="s">
        <v>189</v>
      </c>
      <c r="V945" s="1" t="s">
        <v>190</v>
      </c>
      <c r="W945" s="1">
        <v>60609.0</v>
      </c>
      <c r="Y945" s="1" t="s">
        <v>10698</v>
      </c>
      <c r="Z945" s="1">
        <v>1882.0</v>
      </c>
      <c r="AA945" s="1" t="s">
        <v>192</v>
      </c>
      <c r="AB945" s="1" t="s">
        <v>193</v>
      </c>
      <c r="AD945" s="1" t="s">
        <v>194</v>
      </c>
      <c r="AE945" s="1" t="s">
        <v>195</v>
      </c>
      <c r="AF945" s="1" t="s">
        <v>1154</v>
      </c>
      <c r="AH945" s="1" t="s">
        <v>741</v>
      </c>
      <c r="AI945" s="1">
        <v>0.0723</v>
      </c>
      <c r="AK945" s="1">
        <v>8.0</v>
      </c>
      <c r="AL945" s="1">
        <v>4.0</v>
      </c>
      <c r="AM945" s="1">
        <v>3.0</v>
      </c>
      <c r="AN945" s="1">
        <v>0.0</v>
      </c>
      <c r="AO945" s="1" t="s">
        <v>198</v>
      </c>
      <c r="AQ945" s="1" t="s">
        <v>472</v>
      </c>
      <c r="AR945" s="1" t="s">
        <v>200</v>
      </c>
      <c r="AS945" s="1" t="s">
        <v>199</v>
      </c>
      <c r="AT945" s="1">
        <v>2.0</v>
      </c>
      <c r="AV945" s="1" t="s">
        <v>200</v>
      </c>
      <c r="AW945" s="1">
        <v>3673.09</v>
      </c>
      <c r="AX945" s="1">
        <v>2012.0</v>
      </c>
      <c r="AZ945" s="1" t="s">
        <v>200</v>
      </c>
      <c r="BA945" s="1" t="str">
        <f>"20043200080000"</f>
        <v>20043200080000</v>
      </c>
      <c r="BC945" s="1">
        <v>2200.0</v>
      </c>
      <c r="BD945" s="1">
        <v>260000.0</v>
      </c>
      <c r="BE945" s="2">
        <v>41750.0</v>
      </c>
      <c r="BF945" s="2" t="s">
        <v>10699</v>
      </c>
      <c r="BH945" s="1">
        <v>0.0</v>
      </c>
      <c r="BK945" s="1" t="s">
        <v>204</v>
      </c>
      <c r="BL945" s="1" t="str">
        <f t="shared" ref="BL945:BM945" si="620">"0"</f>
        <v>0</v>
      </c>
      <c r="BM945" s="1" t="str">
        <f t="shared" si="620"/>
        <v>0</v>
      </c>
      <c r="BN945" s="1">
        <v>800.0</v>
      </c>
      <c r="BO945" s="1">
        <v>4521.0</v>
      </c>
      <c r="BQ945" s="1">
        <v>299.0</v>
      </c>
      <c r="BR945" s="1">
        <v>299.0</v>
      </c>
      <c r="BS945" s="1">
        <v>299.0</v>
      </c>
      <c r="BU945" s="1" t="s">
        <v>208</v>
      </c>
      <c r="BV945" s="1" t="s">
        <v>206</v>
      </c>
      <c r="BW945" s="1" t="s">
        <v>301</v>
      </c>
      <c r="BX945" s="1" t="s">
        <v>229</v>
      </c>
      <c r="BY945" s="1" t="s">
        <v>393</v>
      </c>
      <c r="BZ945" s="1" t="s">
        <v>209</v>
      </c>
      <c r="CA945" s="1" t="s">
        <v>301</v>
      </c>
      <c r="CB945" s="1" t="s">
        <v>229</v>
      </c>
      <c r="CC945" s="1" t="s">
        <v>211</v>
      </c>
      <c r="CD945" s="1" t="s">
        <v>206</v>
      </c>
      <c r="CE945" s="1" t="s">
        <v>301</v>
      </c>
      <c r="CF945" s="1" t="s">
        <v>229</v>
      </c>
      <c r="CG945" s="1" t="s">
        <v>329</v>
      </c>
      <c r="CH945" s="1" t="s">
        <v>209</v>
      </c>
      <c r="CI945" s="1" t="s">
        <v>301</v>
      </c>
      <c r="CJ945" s="1" t="s">
        <v>229</v>
      </c>
      <c r="CK945" s="1" t="s">
        <v>743</v>
      </c>
      <c r="CL945" s="1" t="s">
        <v>209</v>
      </c>
      <c r="CM945" s="1" t="s">
        <v>301</v>
      </c>
      <c r="CN945" s="1" t="s">
        <v>229</v>
      </c>
      <c r="CO945" s="1" t="s">
        <v>495</v>
      </c>
      <c r="CP945" s="1" t="s">
        <v>206</v>
      </c>
      <c r="CQ945" s="1" t="s">
        <v>301</v>
      </c>
      <c r="CR945" s="1" t="s">
        <v>229</v>
      </c>
      <c r="CS945" s="1" t="s">
        <v>2082</v>
      </c>
      <c r="CT945" s="1" t="s">
        <v>206</v>
      </c>
      <c r="CU945" s="1" t="s">
        <v>301</v>
      </c>
      <c r="CV945" s="1" t="s">
        <v>229</v>
      </c>
      <c r="CX945" s="1" t="s">
        <v>204</v>
      </c>
      <c r="DA945" s="1" t="s">
        <v>200</v>
      </c>
      <c r="DC945" s="1" t="s">
        <v>642</v>
      </c>
      <c r="DD945" s="1" t="s">
        <v>306</v>
      </c>
      <c r="DE945" s="1" t="s">
        <v>273</v>
      </c>
      <c r="DF945" s="1" t="s">
        <v>619</v>
      </c>
      <c r="DH945" s="1" t="s">
        <v>365</v>
      </c>
      <c r="DI945" s="1" t="s">
        <v>8963</v>
      </c>
      <c r="DJ945" s="1" t="s">
        <v>222</v>
      </c>
      <c r="DL945" s="1" t="s">
        <v>484</v>
      </c>
      <c r="DM945" s="1" t="s">
        <v>1402</v>
      </c>
      <c r="DP945" s="1" t="s">
        <v>340</v>
      </c>
      <c r="DQ945" s="1" t="s">
        <v>228</v>
      </c>
      <c r="DR945" s="1" t="s">
        <v>229</v>
      </c>
      <c r="DV945" s="1" t="s">
        <v>1729</v>
      </c>
      <c r="DW945" s="1" t="s">
        <v>10700</v>
      </c>
      <c r="DX945" s="1" t="s">
        <v>309</v>
      </c>
      <c r="EC945" s="1" t="s">
        <v>237</v>
      </c>
      <c r="EH945" s="1" t="s">
        <v>1729</v>
      </c>
      <c r="EM945" s="1" t="s">
        <v>238</v>
      </c>
      <c r="EP945" s="1" t="s">
        <v>269</v>
      </c>
      <c r="EQ945" s="1" t="s">
        <v>206</v>
      </c>
      <c r="ER945" s="1" t="s">
        <v>301</v>
      </c>
      <c r="ES945" s="1" t="s">
        <v>229</v>
      </c>
      <c r="EU945" s="1" t="s">
        <v>238</v>
      </c>
      <c r="EY945" s="1" t="s">
        <v>238</v>
      </c>
      <c r="FC945" s="1" t="s">
        <v>238</v>
      </c>
      <c r="FF945" s="1" t="s">
        <v>239</v>
      </c>
      <c r="FG945" s="1" t="s">
        <v>192</v>
      </c>
      <c r="FH945" s="1" t="s">
        <v>192</v>
      </c>
      <c r="FJ945" s="1" t="s">
        <v>1469</v>
      </c>
      <c r="FK945" s="1" t="s">
        <v>229</v>
      </c>
      <c r="FL945" s="1" t="s">
        <v>10701</v>
      </c>
      <c r="FM945" s="1">
        <v>24922.0</v>
      </c>
      <c r="FN945" s="1" t="s">
        <v>10702</v>
      </c>
      <c r="FO945" s="1" t="s">
        <v>10703</v>
      </c>
      <c r="FP945" s="1">
        <v>221898.0</v>
      </c>
      <c r="FQ945" s="1" t="s">
        <v>10702</v>
      </c>
      <c r="FU945" s="1" t="s">
        <v>10704</v>
      </c>
      <c r="FV945" s="1" t="s">
        <v>200</v>
      </c>
      <c r="FW945" s="1" t="s">
        <v>290</v>
      </c>
      <c r="FX945" s="1" t="s">
        <v>655</v>
      </c>
      <c r="FZ945" s="1" t="s">
        <v>229</v>
      </c>
      <c r="GA945" s="1" t="s">
        <v>291</v>
      </c>
      <c r="GB945" s="2">
        <v>42006.0</v>
      </c>
      <c r="GC945" s="1" t="s">
        <v>10705</v>
      </c>
    </row>
    <row r="946">
      <c r="A946" s="1">
        <v>335000.0</v>
      </c>
      <c r="B946" s="1" t="s">
        <v>185</v>
      </c>
      <c r="C946" s="1" t="str">
        <f>"08638665"</f>
        <v>08638665</v>
      </c>
      <c r="D946" s="1" t="s">
        <v>186</v>
      </c>
      <c r="F946" s="1" t="str">
        <f>"8072"</f>
        <v>8072</v>
      </c>
      <c r="G946" s="2">
        <v>41798.0</v>
      </c>
      <c r="H946" s="1">
        <v>389000.0</v>
      </c>
      <c r="I946" s="1">
        <v>227.0</v>
      </c>
      <c r="J946" s="1">
        <v>345000.0</v>
      </c>
      <c r="K946" s="2">
        <v>42024.0</v>
      </c>
      <c r="L946" s="1">
        <v>227.0</v>
      </c>
      <c r="M946" s="2">
        <v>42024.0</v>
      </c>
      <c r="N946" s="1" t="s">
        <v>187</v>
      </c>
      <c r="O946" s="2">
        <v>42048.0</v>
      </c>
      <c r="P946" s="1">
        <v>167142.0</v>
      </c>
      <c r="Q946" s="1">
        <v>85470.0</v>
      </c>
      <c r="R946" s="1">
        <v>3.0</v>
      </c>
      <c r="S946" s="1">
        <v>9056.0</v>
      </c>
      <c r="T946" s="1" t="s">
        <v>8360</v>
      </c>
      <c r="U946" s="1" t="s">
        <v>189</v>
      </c>
      <c r="V946" s="1" t="s">
        <v>190</v>
      </c>
      <c r="W946" s="1">
        <v>60643.0</v>
      </c>
      <c r="Y946" s="1" t="s">
        <v>10706</v>
      </c>
      <c r="Z946" s="1">
        <v>1940.0</v>
      </c>
      <c r="AA946" s="1" t="s">
        <v>192</v>
      </c>
      <c r="AB946" s="1" t="s">
        <v>193</v>
      </c>
      <c r="AD946" s="1" t="s">
        <v>194</v>
      </c>
      <c r="AE946" s="1" t="s">
        <v>195</v>
      </c>
      <c r="AF946" s="1" t="s">
        <v>659</v>
      </c>
      <c r="AH946" s="1" t="s">
        <v>10707</v>
      </c>
      <c r="AI946" s="1">
        <v>0.1515</v>
      </c>
      <c r="AK946" s="1">
        <v>10.0</v>
      </c>
      <c r="AL946" s="1">
        <v>4.0</v>
      </c>
      <c r="AM946" s="1">
        <v>2.0</v>
      </c>
      <c r="AN946" s="1">
        <v>2.0</v>
      </c>
      <c r="AO946" s="1" t="s">
        <v>1261</v>
      </c>
      <c r="AP946" s="1">
        <v>2.0</v>
      </c>
      <c r="AQ946" s="1" t="s">
        <v>198</v>
      </c>
      <c r="AR946" s="1" t="s">
        <v>192</v>
      </c>
      <c r="AS946" s="1" t="s">
        <v>199</v>
      </c>
      <c r="AT946" s="1">
        <v>2.0</v>
      </c>
      <c r="AV946" s="1" t="s">
        <v>200</v>
      </c>
      <c r="AW946" s="1">
        <v>6836.7</v>
      </c>
      <c r="AX946" s="1">
        <v>2013.0</v>
      </c>
      <c r="AY946" s="1" t="s">
        <v>1179</v>
      </c>
      <c r="AZ946" s="1" t="s">
        <v>200</v>
      </c>
      <c r="BA946" s="1" t="str">
        <f>"25061190240000"</f>
        <v>25061190240000</v>
      </c>
      <c r="BB946" s="1" t="s">
        <v>200</v>
      </c>
      <c r="BC946" s="1">
        <v>2484.0</v>
      </c>
      <c r="BD946" s="1">
        <v>335000.0</v>
      </c>
      <c r="BE946" s="2">
        <v>41798.0</v>
      </c>
      <c r="BF946" s="2" t="s">
        <v>10708</v>
      </c>
      <c r="BH946" s="1">
        <v>0.0</v>
      </c>
      <c r="BK946" s="1" t="s">
        <v>204</v>
      </c>
      <c r="BL946" s="1" t="str">
        <f t="shared" ref="BL946:BM946" si="621">"0"</f>
        <v>0</v>
      </c>
      <c r="BM946" s="1" t="str">
        <f t="shared" si="621"/>
        <v>0</v>
      </c>
      <c r="BN946" s="1">
        <v>2300.0</v>
      </c>
      <c r="BO946" s="1">
        <v>9100.0</v>
      </c>
      <c r="BQ946" s="1">
        <v>299.0</v>
      </c>
      <c r="BR946" s="1">
        <v>299.0</v>
      </c>
      <c r="BS946" s="1">
        <v>299.0</v>
      </c>
      <c r="BU946" s="1" t="s">
        <v>2273</v>
      </c>
      <c r="BV946" s="1" t="s">
        <v>206</v>
      </c>
      <c r="BW946" s="1" t="s">
        <v>207</v>
      </c>
      <c r="BY946" s="1" t="s">
        <v>662</v>
      </c>
      <c r="BZ946" s="1" t="s">
        <v>209</v>
      </c>
      <c r="CA946" s="1" t="s">
        <v>207</v>
      </c>
      <c r="CC946" s="1" t="s">
        <v>329</v>
      </c>
      <c r="CD946" s="1" t="s">
        <v>206</v>
      </c>
      <c r="CE946" s="1" t="s">
        <v>207</v>
      </c>
      <c r="CG946" s="1" t="s">
        <v>1068</v>
      </c>
      <c r="CH946" s="1" t="s">
        <v>209</v>
      </c>
      <c r="CI946" s="1" t="s">
        <v>207</v>
      </c>
      <c r="CK946" s="1" t="s">
        <v>516</v>
      </c>
      <c r="CL946" s="1" t="s">
        <v>209</v>
      </c>
      <c r="CM946" s="1" t="s">
        <v>207</v>
      </c>
      <c r="CO946" s="1" t="s">
        <v>262</v>
      </c>
      <c r="CP946" s="1" t="s">
        <v>209</v>
      </c>
      <c r="CQ946" s="1" t="s">
        <v>207</v>
      </c>
      <c r="CS946" s="1" t="s">
        <v>392</v>
      </c>
      <c r="CT946" s="1" t="s">
        <v>206</v>
      </c>
      <c r="CU946" s="1" t="s">
        <v>617</v>
      </c>
      <c r="CX946" s="1" t="s">
        <v>204</v>
      </c>
      <c r="DA946" s="1" t="s">
        <v>200</v>
      </c>
      <c r="DC946" s="1" t="s">
        <v>1399</v>
      </c>
      <c r="DE946" s="1" t="s">
        <v>229</v>
      </c>
      <c r="DF946" s="1" t="s">
        <v>619</v>
      </c>
      <c r="DH946" s="1" t="s">
        <v>365</v>
      </c>
      <c r="DI946" s="1" t="s">
        <v>10709</v>
      </c>
      <c r="DJ946" s="1" t="s">
        <v>222</v>
      </c>
      <c r="DL946" s="1" t="s">
        <v>858</v>
      </c>
      <c r="DM946" s="1" t="s">
        <v>1919</v>
      </c>
      <c r="DO946" s="1" t="s">
        <v>1004</v>
      </c>
      <c r="DP946" s="1" t="s">
        <v>340</v>
      </c>
      <c r="DQ946" s="1" t="s">
        <v>228</v>
      </c>
      <c r="DR946" s="1" t="s">
        <v>229</v>
      </c>
      <c r="DV946" s="1" t="s">
        <v>10710</v>
      </c>
      <c r="DW946" s="1" t="s">
        <v>279</v>
      </c>
      <c r="DX946" s="1" t="s">
        <v>1287</v>
      </c>
      <c r="DY946" s="1" t="s">
        <v>704</v>
      </c>
      <c r="EC946" s="1" t="s">
        <v>237</v>
      </c>
      <c r="EG946" s="1" t="s">
        <v>556</v>
      </c>
      <c r="EH946" s="1" t="s">
        <v>494</v>
      </c>
      <c r="EI946" s="1" t="s">
        <v>450</v>
      </c>
      <c r="EL946" s="1" t="s">
        <v>516</v>
      </c>
      <c r="EM946" s="1" t="s">
        <v>206</v>
      </c>
      <c r="EP946" s="1" t="s">
        <v>329</v>
      </c>
      <c r="EQ946" s="1" t="s">
        <v>206</v>
      </c>
      <c r="ER946" s="1" t="s">
        <v>207</v>
      </c>
      <c r="ET946" s="1" t="s">
        <v>716</v>
      </c>
      <c r="EU946" s="1" t="s">
        <v>42</v>
      </c>
      <c r="EY946" s="1" t="s">
        <v>238</v>
      </c>
      <c r="FC946" s="1" t="s">
        <v>238</v>
      </c>
      <c r="FF946" s="1" t="s">
        <v>239</v>
      </c>
      <c r="FG946" s="1" t="s">
        <v>192</v>
      </c>
      <c r="FH946" s="1" t="s">
        <v>192</v>
      </c>
      <c r="FJ946" s="1" t="s">
        <v>1469</v>
      </c>
      <c r="FK946" s="1" t="s">
        <v>229</v>
      </c>
      <c r="FL946" s="1" t="s">
        <v>10660</v>
      </c>
      <c r="FM946" s="1">
        <v>12749.0</v>
      </c>
      <c r="FN946" s="1" t="s">
        <v>10661</v>
      </c>
      <c r="FO946" s="1" t="s">
        <v>10662</v>
      </c>
      <c r="FP946" s="1">
        <v>120017.0</v>
      </c>
      <c r="FQ946" s="1" t="s">
        <v>10661</v>
      </c>
      <c r="FU946" s="1" t="s">
        <v>10711</v>
      </c>
      <c r="FV946" s="1" t="s">
        <v>200</v>
      </c>
      <c r="FW946" s="1" t="s">
        <v>530</v>
      </c>
      <c r="FX946" s="1" t="s">
        <v>655</v>
      </c>
      <c r="FZ946" s="1" t="s">
        <v>229</v>
      </c>
      <c r="GA946" s="1" t="s">
        <v>291</v>
      </c>
      <c r="GB946" s="2">
        <v>42050.0</v>
      </c>
    </row>
    <row r="947">
      <c r="A947" s="1">
        <v>143000.0</v>
      </c>
      <c r="B947" s="1" t="s">
        <v>185</v>
      </c>
      <c r="C947" s="1" t="str">
        <f>"08594088"</f>
        <v>08594088</v>
      </c>
      <c r="D947" s="1" t="s">
        <v>186</v>
      </c>
      <c r="F947" s="1" t="str">
        <f>"8049"</f>
        <v>8049</v>
      </c>
      <c r="G947" s="2">
        <v>41752.0</v>
      </c>
      <c r="H947" s="1">
        <v>147900.0</v>
      </c>
      <c r="I947" s="1">
        <v>396.0</v>
      </c>
      <c r="J947" s="1">
        <v>147900.0</v>
      </c>
      <c r="K947" s="2">
        <v>41898.0</v>
      </c>
      <c r="L947" s="1">
        <v>147.0</v>
      </c>
      <c r="M947" s="2">
        <v>41898.0</v>
      </c>
      <c r="N947" s="1" t="s">
        <v>356</v>
      </c>
      <c r="O947" s="2">
        <v>41996.0</v>
      </c>
      <c r="P947" s="1">
        <v>600571.0</v>
      </c>
      <c r="Q947" s="1">
        <v>21196.0</v>
      </c>
      <c r="R947" s="1">
        <v>1000.0</v>
      </c>
      <c r="S947" s="1">
        <v>352.0</v>
      </c>
      <c r="T947" s="1" t="s">
        <v>10712</v>
      </c>
      <c r="U947" s="1" t="s">
        <v>320</v>
      </c>
      <c r="V947" s="1" t="s">
        <v>190</v>
      </c>
      <c r="W947" s="1">
        <v>60628.0</v>
      </c>
      <c r="Y947" s="1" t="s">
        <v>10713</v>
      </c>
      <c r="Z947" s="1">
        <v>1966.0</v>
      </c>
      <c r="AA947" s="1" t="s">
        <v>192</v>
      </c>
      <c r="AB947" s="1" t="s">
        <v>193</v>
      </c>
      <c r="AD947" s="1" t="s">
        <v>194</v>
      </c>
      <c r="AE947" s="1" t="s">
        <v>195</v>
      </c>
      <c r="AF947" s="1" t="s">
        <v>659</v>
      </c>
      <c r="AH947" s="1" t="s">
        <v>5314</v>
      </c>
      <c r="AK947" s="1">
        <v>7.0</v>
      </c>
      <c r="AL947" s="1">
        <v>3.0</v>
      </c>
      <c r="AM947" s="1">
        <v>2.0</v>
      </c>
      <c r="AN947" s="1">
        <v>0.0</v>
      </c>
      <c r="AO947" s="1" t="s">
        <v>229</v>
      </c>
      <c r="AQ947" s="1" t="s">
        <v>198</v>
      </c>
      <c r="AR947" s="1" t="s">
        <v>192</v>
      </c>
      <c r="AS947" s="1" t="s">
        <v>199</v>
      </c>
      <c r="AT947" s="1">
        <v>2.0</v>
      </c>
      <c r="AV947" s="1" t="s">
        <v>200</v>
      </c>
      <c r="AW947" s="1">
        <v>1635.0</v>
      </c>
      <c r="AX947" s="1">
        <v>2012.0</v>
      </c>
      <c r="AY947" s="1" t="s">
        <v>229</v>
      </c>
      <c r="AZ947" s="1" t="s">
        <v>545</v>
      </c>
      <c r="BA947" s="1" t="str">
        <f>"25092080290000"</f>
        <v>25092080290000</v>
      </c>
      <c r="BB947" s="1" t="s">
        <v>200</v>
      </c>
      <c r="BC947" s="1">
        <v>1400.0</v>
      </c>
      <c r="BD947" s="1">
        <v>143000.0</v>
      </c>
      <c r="BE947" s="2">
        <v>41752.0</v>
      </c>
      <c r="BF947" s="2" t="s">
        <v>10714</v>
      </c>
      <c r="BH947" s="1">
        <v>0.0</v>
      </c>
      <c r="BK947" s="1" t="s">
        <v>204</v>
      </c>
      <c r="BL947" s="1" t="str">
        <f t="shared" ref="BL947:BM947" si="622">"0"</f>
        <v>0</v>
      </c>
      <c r="BM947" s="1" t="str">
        <f t="shared" si="622"/>
        <v>0</v>
      </c>
      <c r="BN947" s="1">
        <v>350.0</v>
      </c>
      <c r="BO947" s="1">
        <v>9700.0</v>
      </c>
      <c r="BQ947" s="1">
        <v>299.0</v>
      </c>
      <c r="BR947" s="1">
        <v>299.0</v>
      </c>
      <c r="BS947" s="1">
        <v>299.0</v>
      </c>
      <c r="BU947" s="1" t="s">
        <v>205</v>
      </c>
      <c r="BV947" s="1" t="s">
        <v>206</v>
      </c>
      <c r="BW947" s="1" t="s">
        <v>207</v>
      </c>
      <c r="BX947" s="1" t="s">
        <v>229</v>
      </c>
      <c r="BY947" s="1" t="s">
        <v>647</v>
      </c>
      <c r="BZ947" s="1" t="s">
        <v>209</v>
      </c>
      <c r="CA947" s="1" t="s">
        <v>207</v>
      </c>
      <c r="CB947" s="1" t="s">
        <v>229</v>
      </c>
      <c r="CD947" s="1" t="s">
        <v>204</v>
      </c>
      <c r="CG947" s="1" t="s">
        <v>543</v>
      </c>
      <c r="CH947" s="1" t="s">
        <v>209</v>
      </c>
      <c r="CI947" s="1" t="s">
        <v>207</v>
      </c>
      <c r="CJ947" s="1" t="s">
        <v>229</v>
      </c>
      <c r="CK947" s="1" t="s">
        <v>516</v>
      </c>
      <c r="CL947" s="1" t="s">
        <v>209</v>
      </c>
      <c r="CM947" s="1" t="s">
        <v>207</v>
      </c>
      <c r="CN947" s="1" t="s">
        <v>229</v>
      </c>
      <c r="CO947" s="1" t="s">
        <v>516</v>
      </c>
      <c r="CP947" s="1" t="s">
        <v>42</v>
      </c>
      <c r="CQ947" s="1" t="s">
        <v>207</v>
      </c>
      <c r="CS947" s="1" t="s">
        <v>4045</v>
      </c>
      <c r="CT947" s="1" t="s">
        <v>206</v>
      </c>
      <c r="CU947" s="1" t="s">
        <v>268</v>
      </c>
      <c r="CV947" s="1" t="s">
        <v>229</v>
      </c>
      <c r="CW947" s="1" t="s">
        <v>454</v>
      </c>
      <c r="CX947" s="1" t="s">
        <v>42</v>
      </c>
      <c r="CY947" s="1" t="s">
        <v>268</v>
      </c>
      <c r="DA947" s="1" t="s">
        <v>200</v>
      </c>
      <c r="DC947" s="1" t="s">
        <v>517</v>
      </c>
      <c r="DE947" s="1" t="s">
        <v>273</v>
      </c>
      <c r="DF947" s="1" t="s">
        <v>219</v>
      </c>
      <c r="DG947" s="1" t="s">
        <v>2311</v>
      </c>
      <c r="DH947" s="1" t="s">
        <v>365</v>
      </c>
      <c r="DJ947" s="1" t="s">
        <v>1048</v>
      </c>
      <c r="DL947" s="1" t="s">
        <v>224</v>
      </c>
      <c r="DM947" s="1" t="s">
        <v>229</v>
      </c>
      <c r="DQ947" s="1" t="s">
        <v>228</v>
      </c>
      <c r="DR947" s="1" t="s">
        <v>229</v>
      </c>
      <c r="DS947" s="1" t="s">
        <v>230</v>
      </c>
      <c r="DV947" s="1" t="s">
        <v>232</v>
      </c>
      <c r="DW947" s="1" t="s">
        <v>279</v>
      </c>
      <c r="DX947" s="1" t="s">
        <v>234</v>
      </c>
      <c r="EC947" s="1" t="s">
        <v>284</v>
      </c>
      <c r="ED947" s="1" t="s">
        <v>1761</v>
      </c>
      <c r="EE947" s="1" t="s">
        <v>493</v>
      </c>
      <c r="EM947" s="1" t="s">
        <v>238</v>
      </c>
      <c r="EQ947" s="1" t="s">
        <v>238</v>
      </c>
      <c r="EU947" s="1" t="s">
        <v>238</v>
      </c>
      <c r="EY947" s="1" t="s">
        <v>238</v>
      </c>
      <c r="FC947" s="1" t="s">
        <v>238</v>
      </c>
      <c r="FF947" s="1" t="s">
        <v>239</v>
      </c>
      <c r="FG947" s="1" t="s">
        <v>192</v>
      </c>
      <c r="FH947" s="1" t="s">
        <v>192</v>
      </c>
      <c r="FJ947" s="1" t="s">
        <v>10715</v>
      </c>
      <c r="FK947" s="1" t="s">
        <v>557</v>
      </c>
      <c r="FL947" s="1" t="s">
        <v>5257</v>
      </c>
      <c r="FM947" s="1">
        <v>21196.0</v>
      </c>
      <c r="FN947" s="1" t="s">
        <v>5258</v>
      </c>
      <c r="FO947" s="1" t="s">
        <v>10716</v>
      </c>
      <c r="FP947" s="1">
        <v>600571.0</v>
      </c>
      <c r="FU947" s="1" t="s">
        <v>10717</v>
      </c>
      <c r="FV947" s="1" t="s">
        <v>200</v>
      </c>
      <c r="FW947" s="1" t="s">
        <v>1293</v>
      </c>
      <c r="FX947" s="1" t="s">
        <v>246</v>
      </c>
      <c r="FZ947" s="1" t="s">
        <v>632</v>
      </c>
      <c r="GA947" s="1" t="s">
        <v>291</v>
      </c>
      <c r="GB947" s="2">
        <v>41998.0</v>
      </c>
      <c r="GC947" s="1" t="s">
        <v>10718</v>
      </c>
    </row>
    <row r="948">
      <c r="A948" s="1">
        <v>155000.0</v>
      </c>
      <c r="B948" s="1" t="s">
        <v>185</v>
      </c>
      <c r="C948" s="1" t="str">
        <f>"08604020"</f>
        <v>08604020</v>
      </c>
      <c r="D948" s="1" t="s">
        <v>186</v>
      </c>
      <c r="F948" s="1" t="str">
        <f>"8065"</f>
        <v>8065</v>
      </c>
      <c r="G948" s="2">
        <v>41762.0</v>
      </c>
      <c r="H948" s="1">
        <v>184500.0</v>
      </c>
      <c r="I948" s="1">
        <v>217.0</v>
      </c>
      <c r="J948" s="1">
        <v>169900.0</v>
      </c>
      <c r="K948" s="2">
        <v>41977.0</v>
      </c>
      <c r="L948" s="1">
        <v>217.0</v>
      </c>
      <c r="M948" s="2">
        <v>41977.0</v>
      </c>
      <c r="N948" s="1" t="s">
        <v>356</v>
      </c>
      <c r="O948" s="2">
        <v>42006.0</v>
      </c>
      <c r="P948" s="1">
        <v>106514.0</v>
      </c>
      <c r="Q948" s="1">
        <v>12555.0</v>
      </c>
      <c r="R948" s="1">
        <v>5000.0</v>
      </c>
      <c r="S948" s="1">
        <v>3730.0</v>
      </c>
      <c r="T948" s="1" t="s">
        <v>10719</v>
      </c>
      <c r="U948" s="1" t="s">
        <v>694</v>
      </c>
      <c r="V948" s="1" t="s">
        <v>190</v>
      </c>
      <c r="W948" s="1">
        <v>60629.0</v>
      </c>
      <c r="Y948" s="1" t="s">
        <v>10720</v>
      </c>
      <c r="Z948" s="1">
        <v>1984.0</v>
      </c>
      <c r="AA948" s="1" t="s">
        <v>200</v>
      </c>
      <c r="AB948" s="1" t="s">
        <v>193</v>
      </c>
      <c r="AD948" s="1" t="s">
        <v>194</v>
      </c>
      <c r="AE948" s="1" t="s">
        <v>195</v>
      </c>
      <c r="AF948" s="1" t="s">
        <v>659</v>
      </c>
      <c r="AH948" s="1" t="s">
        <v>359</v>
      </c>
      <c r="AI948" s="1">
        <v>0.0712</v>
      </c>
      <c r="AK948" s="1">
        <v>7.0</v>
      </c>
      <c r="AL948" s="1">
        <v>4.0</v>
      </c>
      <c r="AM948" s="1">
        <v>2.0</v>
      </c>
      <c r="AN948" s="1">
        <v>0.0</v>
      </c>
      <c r="AO948" s="1" t="s">
        <v>229</v>
      </c>
      <c r="AQ948" s="1" t="s">
        <v>198</v>
      </c>
      <c r="AR948" s="1" t="s">
        <v>192</v>
      </c>
      <c r="AS948" s="1" t="s">
        <v>199</v>
      </c>
      <c r="AT948" s="1">
        <v>2.0</v>
      </c>
      <c r="AV948" s="1" t="s">
        <v>200</v>
      </c>
      <c r="AW948" s="1">
        <v>803.58</v>
      </c>
      <c r="AX948" s="1">
        <v>2013.0</v>
      </c>
      <c r="AZ948" s="1" t="s">
        <v>200</v>
      </c>
      <c r="BA948" s="1" t="str">
        <f>"19231020260000"</f>
        <v>19231020260000</v>
      </c>
      <c r="BC948" s="1">
        <v>1086.0</v>
      </c>
      <c r="BD948" s="1">
        <v>155000.0</v>
      </c>
      <c r="BE948" s="2">
        <v>41761.0</v>
      </c>
      <c r="BF948" s="1" t="s">
        <v>10721</v>
      </c>
      <c r="BH948" s="1">
        <v>0.0</v>
      </c>
      <c r="BK948" s="1" t="s">
        <v>204</v>
      </c>
      <c r="BL948" s="1" t="str">
        <f t="shared" ref="BL948:BM948" si="623">"0"</f>
        <v>0</v>
      </c>
      <c r="BM948" s="1" t="str">
        <f t="shared" si="623"/>
        <v>0</v>
      </c>
      <c r="BN948" s="1">
        <v>3730.0</v>
      </c>
      <c r="BO948" s="1">
        <v>6300.0</v>
      </c>
      <c r="BQ948" s="1">
        <v>299.0</v>
      </c>
      <c r="BR948" s="1">
        <v>299.0</v>
      </c>
      <c r="BS948" s="1">
        <v>299.0</v>
      </c>
      <c r="BU948" s="1" t="s">
        <v>454</v>
      </c>
      <c r="BV948" s="1" t="s">
        <v>206</v>
      </c>
      <c r="BW948" s="1" t="s">
        <v>207</v>
      </c>
      <c r="BY948" s="1" t="s">
        <v>264</v>
      </c>
      <c r="BZ948" s="1" t="s">
        <v>206</v>
      </c>
      <c r="CA948" s="1" t="s">
        <v>210</v>
      </c>
      <c r="CD948" s="1" t="s">
        <v>204</v>
      </c>
      <c r="CG948" s="1" t="s">
        <v>264</v>
      </c>
      <c r="CH948" s="1" t="s">
        <v>206</v>
      </c>
      <c r="CI948" s="1" t="s">
        <v>210</v>
      </c>
      <c r="CK948" s="1" t="s">
        <v>269</v>
      </c>
      <c r="CL948" s="1" t="s">
        <v>206</v>
      </c>
      <c r="CO948" s="1" t="s">
        <v>454</v>
      </c>
      <c r="CP948" s="1" t="s">
        <v>267</v>
      </c>
      <c r="CQ948" s="1" t="s">
        <v>617</v>
      </c>
      <c r="CS948" s="1" t="s">
        <v>582</v>
      </c>
      <c r="CT948" s="1" t="s">
        <v>206</v>
      </c>
      <c r="CU948" s="1" t="s">
        <v>617</v>
      </c>
      <c r="CW948" s="1" t="s">
        <v>10722</v>
      </c>
      <c r="CX948" s="1" t="s">
        <v>42</v>
      </c>
      <c r="CY948" s="1" t="s">
        <v>617</v>
      </c>
      <c r="DA948" s="1" t="s">
        <v>200</v>
      </c>
      <c r="DC948" s="1" t="s">
        <v>305</v>
      </c>
      <c r="DE948" s="1" t="s">
        <v>273</v>
      </c>
      <c r="DF948" s="1" t="s">
        <v>619</v>
      </c>
      <c r="DH948" s="1" t="s">
        <v>307</v>
      </c>
      <c r="DJ948" s="1" t="s">
        <v>3345</v>
      </c>
      <c r="DL948" s="1" t="s">
        <v>224</v>
      </c>
      <c r="DM948" s="1" t="s">
        <v>229</v>
      </c>
      <c r="DQ948" s="1" t="s">
        <v>441</v>
      </c>
      <c r="DR948" s="1" t="s">
        <v>229</v>
      </c>
      <c r="DV948" s="1" t="s">
        <v>232</v>
      </c>
      <c r="DW948" s="1" t="s">
        <v>279</v>
      </c>
      <c r="DX948" s="1" t="s">
        <v>234</v>
      </c>
      <c r="EC948" s="1" t="s">
        <v>685</v>
      </c>
      <c r="EM948" s="1" t="s">
        <v>238</v>
      </c>
      <c r="EQ948" s="1" t="s">
        <v>238</v>
      </c>
      <c r="EU948" s="1" t="s">
        <v>238</v>
      </c>
      <c r="EY948" s="1" t="s">
        <v>238</v>
      </c>
      <c r="FC948" s="1" t="s">
        <v>238</v>
      </c>
      <c r="FF948" s="1" t="s">
        <v>239</v>
      </c>
      <c r="FG948" s="1" t="s">
        <v>192</v>
      </c>
      <c r="FH948" s="1" t="s">
        <v>192</v>
      </c>
      <c r="FJ948" s="1" t="s">
        <v>285</v>
      </c>
      <c r="FK948" s="1" t="s">
        <v>229</v>
      </c>
      <c r="FL948" s="1" t="s">
        <v>2111</v>
      </c>
      <c r="FM948" s="1">
        <v>12555.0</v>
      </c>
      <c r="FN948" s="1" t="s">
        <v>2112</v>
      </c>
      <c r="FO948" s="1" t="s">
        <v>10723</v>
      </c>
      <c r="FP948" s="1">
        <v>117599.0</v>
      </c>
      <c r="FQ948" s="1" t="s">
        <v>2112</v>
      </c>
      <c r="FU948" s="1" t="s">
        <v>710</v>
      </c>
      <c r="FV948" s="1" t="s">
        <v>200</v>
      </c>
      <c r="FW948" s="1" t="s">
        <v>10724</v>
      </c>
      <c r="FX948" s="1" t="s">
        <v>246</v>
      </c>
      <c r="FZ948" s="1" t="s">
        <v>229</v>
      </c>
      <c r="GA948" s="1" t="s">
        <v>291</v>
      </c>
      <c r="GB948" s="2">
        <v>42007.0</v>
      </c>
      <c r="GC948" s="1" t="s">
        <v>10725</v>
      </c>
    </row>
    <row r="949">
      <c r="A949" s="1">
        <v>325000.0</v>
      </c>
      <c r="B949" s="1" t="s">
        <v>185</v>
      </c>
      <c r="C949" s="1" t="str">
        <f>"08593571"</f>
        <v>08593571</v>
      </c>
      <c r="D949" s="1" t="s">
        <v>186</v>
      </c>
      <c r="F949" s="1" t="str">
        <f>"123"</f>
        <v>123</v>
      </c>
      <c r="G949" s="2">
        <v>41752.0</v>
      </c>
      <c r="H949" s="1">
        <v>348000.0</v>
      </c>
      <c r="I949" s="1">
        <v>224.0</v>
      </c>
      <c r="J949" s="1">
        <v>335000.0</v>
      </c>
      <c r="K949" s="2">
        <v>41975.0</v>
      </c>
      <c r="L949" s="1">
        <v>224.0</v>
      </c>
      <c r="M949" s="2">
        <v>41975.0</v>
      </c>
      <c r="N949" s="1" t="s">
        <v>249</v>
      </c>
      <c r="O949" s="2">
        <v>41992.0</v>
      </c>
      <c r="P949" s="1">
        <v>28227.0</v>
      </c>
      <c r="Q949" s="1">
        <v>1891.0</v>
      </c>
      <c r="S949" s="1">
        <v>332.0</v>
      </c>
      <c r="T949" s="1" t="s">
        <v>10726</v>
      </c>
      <c r="U949" s="1" t="s">
        <v>189</v>
      </c>
      <c r="V949" s="1" t="s">
        <v>465</v>
      </c>
      <c r="W949" s="1">
        <v>60124.0</v>
      </c>
      <c r="Y949" s="1" t="s">
        <v>10727</v>
      </c>
      <c r="Z949" s="1">
        <v>2007.0</v>
      </c>
      <c r="AA949" s="1" t="s">
        <v>200</v>
      </c>
      <c r="AB949" s="1" t="s">
        <v>467</v>
      </c>
      <c r="AC949" s="1" t="s">
        <v>10728</v>
      </c>
      <c r="AD949" s="1" t="s">
        <v>469</v>
      </c>
      <c r="AE949" s="1" t="s">
        <v>325</v>
      </c>
      <c r="AF949" s="1" t="s">
        <v>469</v>
      </c>
      <c r="AG949" s="1" t="s">
        <v>10729</v>
      </c>
      <c r="AH949" s="1">
        <v>11267.0</v>
      </c>
      <c r="AI949" s="1">
        <v>0.2383</v>
      </c>
      <c r="AK949" s="1">
        <v>9.0</v>
      </c>
      <c r="AL949" s="1">
        <v>3.0</v>
      </c>
      <c r="AM949" s="1">
        <v>3.0</v>
      </c>
      <c r="AN949" s="1">
        <v>0.0</v>
      </c>
      <c r="AO949" s="1" t="s">
        <v>198</v>
      </c>
      <c r="AP949" s="1">
        <v>1.0</v>
      </c>
      <c r="AQ949" s="1" t="s">
        <v>198</v>
      </c>
      <c r="AR949" s="1" t="s">
        <v>192</v>
      </c>
      <c r="AS949" s="1" t="s">
        <v>199</v>
      </c>
      <c r="AT949" s="1">
        <v>2.0</v>
      </c>
      <c r="AV949" s="1" t="s">
        <v>200</v>
      </c>
      <c r="AW949" s="1">
        <v>8090.0</v>
      </c>
      <c r="AX949" s="1">
        <v>2012.0</v>
      </c>
      <c r="AY949" s="1" t="s">
        <v>3108</v>
      </c>
      <c r="AZ949" s="1" t="s">
        <v>200</v>
      </c>
      <c r="BA949" s="1" t="str">
        <f>"0619180003"</f>
        <v>0619180003</v>
      </c>
      <c r="BC949" s="1">
        <v>2552.0</v>
      </c>
      <c r="BD949" s="1">
        <v>325000.0</v>
      </c>
      <c r="BE949" s="2">
        <v>41752.0</v>
      </c>
      <c r="BF949" s="2" t="s">
        <v>10730</v>
      </c>
      <c r="BG949" s="1" t="s">
        <v>3686</v>
      </c>
      <c r="BH949" s="1">
        <v>0.0</v>
      </c>
      <c r="BI949" s="1" t="s">
        <v>578</v>
      </c>
      <c r="BJ949" s="1" t="s">
        <v>579</v>
      </c>
      <c r="BK949" s="1" t="s">
        <v>204</v>
      </c>
      <c r="BL949" s="1" t="str">
        <f t="shared" ref="BL949:BM949" si="624">""</f>
        <v/>
      </c>
      <c r="BM949" s="1" t="str">
        <f t="shared" si="624"/>
        <v/>
      </c>
      <c r="BQ949" s="1">
        <v>301.0</v>
      </c>
      <c r="BR949" s="1">
        <v>301.0</v>
      </c>
      <c r="BS949" s="1">
        <v>301.0</v>
      </c>
      <c r="BV949" s="1" t="s">
        <v>204</v>
      </c>
      <c r="BY949" s="1" t="s">
        <v>3092</v>
      </c>
      <c r="BZ949" s="1" t="s">
        <v>206</v>
      </c>
      <c r="CA949" s="1" t="s">
        <v>210</v>
      </c>
      <c r="CB949" s="1" t="s">
        <v>239</v>
      </c>
      <c r="CC949" s="1" t="s">
        <v>215</v>
      </c>
      <c r="CD949" s="1" t="s">
        <v>206</v>
      </c>
      <c r="CE949" s="1" t="s">
        <v>210</v>
      </c>
      <c r="CF949" s="1" t="s">
        <v>239</v>
      </c>
      <c r="CG949" s="1" t="s">
        <v>215</v>
      </c>
      <c r="CH949" s="1" t="s">
        <v>206</v>
      </c>
      <c r="CI949" s="1" t="s">
        <v>210</v>
      </c>
      <c r="CJ949" s="1" t="s">
        <v>239</v>
      </c>
      <c r="CK949" s="1" t="s">
        <v>215</v>
      </c>
      <c r="CL949" s="1" t="s">
        <v>206</v>
      </c>
      <c r="CM949" s="1" t="s">
        <v>210</v>
      </c>
      <c r="CN949" s="1" t="s">
        <v>239</v>
      </c>
      <c r="CO949" s="1" t="s">
        <v>479</v>
      </c>
      <c r="CP949" s="1" t="s">
        <v>42</v>
      </c>
      <c r="CQ949" s="1" t="s">
        <v>210</v>
      </c>
      <c r="CS949" s="1" t="s">
        <v>215</v>
      </c>
      <c r="CT949" s="1" t="s">
        <v>206</v>
      </c>
      <c r="CU949" s="1" t="s">
        <v>207</v>
      </c>
      <c r="CW949" s="1" t="s">
        <v>3154</v>
      </c>
      <c r="CX949" s="1" t="s">
        <v>206</v>
      </c>
      <c r="CY949" s="1" t="s">
        <v>210</v>
      </c>
      <c r="CZ949" s="1" t="s">
        <v>239</v>
      </c>
      <c r="DA949" s="1" t="s">
        <v>200</v>
      </c>
      <c r="DC949" s="1" t="s">
        <v>481</v>
      </c>
      <c r="DD949" s="1" t="s">
        <v>396</v>
      </c>
      <c r="DE949" s="1" t="s">
        <v>273</v>
      </c>
      <c r="DF949" s="1" t="s">
        <v>219</v>
      </c>
      <c r="DG949" s="1" t="s">
        <v>482</v>
      </c>
      <c r="DH949" s="1" t="s">
        <v>220</v>
      </c>
      <c r="DI949" s="1" t="s">
        <v>3590</v>
      </c>
      <c r="DJ949" s="1" t="s">
        <v>222</v>
      </c>
      <c r="DK949" s="1" t="s">
        <v>223</v>
      </c>
      <c r="DL949" s="1" t="s">
        <v>224</v>
      </c>
      <c r="DM949" s="1" t="s">
        <v>338</v>
      </c>
      <c r="DN949" s="1" t="s">
        <v>485</v>
      </c>
      <c r="DO949" s="1" t="s">
        <v>717</v>
      </c>
      <c r="DP949" s="1" t="s">
        <v>340</v>
      </c>
      <c r="DQ949" s="1" t="s">
        <v>441</v>
      </c>
      <c r="DR949" s="1" t="s">
        <v>229</v>
      </c>
      <c r="DS949" s="1" t="s">
        <v>591</v>
      </c>
      <c r="DU949" s="1" t="s">
        <v>8086</v>
      </c>
      <c r="DV949" s="1" t="s">
        <v>4513</v>
      </c>
      <c r="DW949" s="1" t="s">
        <v>1026</v>
      </c>
      <c r="DX949" s="1" t="s">
        <v>234</v>
      </c>
      <c r="DY949" s="1" t="s">
        <v>3183</v>
      </c>
      <c r="DZ949" s="1" t="s">
        <v>5974</v>
      </c>
      <c r="EA949" s="1" t="s">
        <v>683</v>
      </c>
      <c r="EB949" s="1" t="s">
        <v>492</v>
      </c>
      <c r="EC949" s="1" t="s">
        <v>685</v>
      </c>
      <c r="ED949" s="1" t="s">
        <v>407</v>
      </c>
      <c r="EG949" s="1" t="s">
        <v>449</v>
      </c>
      <c r="EH949" s="1" t="s">
        <v>494</v>
      </c>
      <c r="EL949" s="1" t="s">
        <v>392</v>
      </c>
      <c r="EM949" s="1" t="s">
        <v>206</v>
      </c>
      <c r="EN949" s="1" t="s">
        <v>207</v>
      </c>
      <c r="EP949" s="1" t="s">
        <v>329</v>
      </c>
      <c r="EQ949" s="1" t="s">
        <v>206</v>
      </c>
      <c r="ER949" s="1" t="s">
        <v>210</v>
      </c>
      <c r="EU949" s="1" t="s">
        <v>238</v>
      </c>
      <c r="EY949" s="1" t="s">
        <v>238</v>
      </c>
      <c r="FC949" s="1" t="s">
        <v>238</v>
      </c>
      <c r="FF949" s="1" t="s">
        <v>239</v>
      </c>
      <c r="FG949" s="1" t="s">
        <v>192</v>
      </c>
      <c r="FH949" s="1" t="s">
        <v>192</v>
      </c>
      <c r="FJ949" s="1" t="s">
        <v>2206</v>
      </c>
      <c r="FK949" s="1" t="s">
        <v>229</v>
      </c>
      <c r="FL949" s="1" t="s">
        <v>1107</v>
      </c>
      <c r="FM949" s="1">
        <v>1891.0</v>
      </c>
      <c r="FN949" s="1" t="s">
        <v>1108</v>
      </c>
      <c r="FO949" s="1" t="s">
        <v>10731</v>
      </c>
      <c r="FP949" s="1">
        <v>28227.0</v>
      </c>
      <c r="FQ949" s="1" t="s">
        <v>1108</v>
      </c>
      <c r="FS949" s="1" t="s">
        <v>10732</v>
      </c>
      <c r="FU949" s="1" t="s">
        <v>5430</v>
      </c>
      <c r="FV949" s="1" t="s">
        <v>200</v>
      </c>
      <c r="FW949" s="1" t="s">
        <v>290</v>
      </c>
      <c r="FZ949" s="1" t="s">
        <v>229</v>
      </c>
      <c r="GA949" s="1" t="s">
        <v>291</v>
      </c>
      <c r="GB949" s="2">
        <v>41993.0</v>
      </c>
      <c r="GC949" s="1" t="s">
        <v>10733</v>
      </c>
    </row>
    <row r="950">
      <c r="A950" s="1">
        <v>840000.0</v>
      </c>
      <c r="B950" s="1" t="s">
        <v>185</v>
      </c>
      <c r="C950" s="1" t="str">
        <f>"08608051"</f>
        <v>08608051</v>
      </c>
      <c r="D950" s="1" t="s">
        <v>186</v>
      </c>
      <c r="F950" s="1" t="str">
        <f>"8039"</f>
        <v>8039</v>
      </c>
      <c r="G950" s="2">
        <v>41766.0</v>
      </c>
      <c r="H950" s="1">
        <v>995000.0</v>
      </c>
      <c r="I950" s="1">
        <v>158.0</v>
      </c>
      <c r="J950" s="1">
        <v>925000.0</v>
      </c>
      <c r="K950" s="2">
        <v>41923.0</v>
      </c>
      <c r="L950" s="1">
        <v>158.0</v>
      </c>
      <c r="M950" s="2">
        <v>41923.0</v>
      </c>
      <c r="N950" s="1" t="s">
        <v>187</v>
      </c>
      <c r="O950" s="2">
        <v>41988.0</v>
      </c>
      <c r="P950" s="1">
        <v>133303.0</v>
      </c>
      <c r="Q950" s="1">
        <v>10317.0</v>
      </c>
      <c r="S950" s="1">
        <v>4828.0</v>
      </c>
      <c r="T950" s="1" t="s">
        <v>10734</v>
      </c>
      <c r="U950" s="1" t="s">
        <v>189</v>
      </c>
      <c r="V950" s="1" t="s">
        <v>190</v>
      </c>
      <c r="W950" s="1">
        <v>60615.0</v>
      </c>
      <c r="Y950" s="1" t="s">
        <v>10735</v>
      </c>
      <c r="Z950" s="1">
        <v>1884.0</v>
      </c>
      <c r="AA950" s="1" t="s">
        <v>192</v>
      </c>
      <c r="AB950" s="1" t="s">
        <v>193</v>
      </c>
      <c r="AD950" s="1" t="s">
        <v>194</v>
      </c>
      <c r="AE950" s="1" t="s">
        <v>195</v>
      </c>
      <c r="AF950" s="1" t="s">
        <v>637</v>
      </c>
      <c r="AH950" s="1" t="s">
        <v>2080</v>
      </c>
      <c r="AI950" s="1">
        <v>0.1434</v>
      </c>
      <c r="AK950" s="1">
        <v>10.0</v>
      </c>
      <c r="AL950" s="1">
        <v>4.0</v>
      </c>
      <c r="AM950" s="1">
        <v>3.0</v>
      </c>
      <c r="AN950" s="1">
        <v>1.0</v>
      </c>
      <c r="AO950" s="1" t="s">
        <v>198</v>
      </c>
      <c r="AP950" s="1">
        <v>4.0</v>
      </c>
      <c r="AQ950" s="1" t="s">
        <v>198</v>
      </c>
      <c r="AR950" s="1" t="s">
        <v>200</v>
      </c>
      <c r="AS950" s="1" t="s">
        <v>229</v>
      </c>
      <c r="AV950" s="1" t="s">
        <v>200</v>
      </c>
      <c r="AW950" s="3">
        <v>13148.0</v>
      </c>
      <c r="AX950" s="1">
        <v>2012.0</v>
      </c>
      <c r="AY950" s="1" t="s">
        <v>387</v>
      </c>
      <c r="AZ950" s="1" t="s">
        <v>200</v>
      </c>
      <c r="BA950" s="1" t="str">
        <f>"20112030240000"</f>
        <v>20112030240000</v>
      </c>
      <c r="BB950" s="1" t="s">
        <v>192</v>
      </c>
      <c r="BC950" s="1">
        <v>4000.0</v>
      </c>
      <c r="BD950" s="1">
        <v>840000.0</v>
      </c>
      <c r="BE950" s="2">
        <v>41766.0</v>
      </c>
      <c r="BF950" s="2" t="s">
        <v>10736</v>
      </c>
      <c r="BH950" s="1">
        <v>0.0</v>
      </c>
      <c r="BK950" s="1" t="s">
        <v>204</v>
      </c>
      <c r="BL950" s="1" t="str">
        <f>"0"</f>
        <v>0</v>
      </c>
      <c r="BM950" s="1" t="str">
        <f>"1300"</f>
        <v>1300</v>
      </c>
      <c r="BN950" s="1">
        <v>0.0</v>
      </c>
      <c r="BO950" s="1">
        <v>4828.0</v>
      </c>
      <c r="BQ950" s="1">
        <v>299.0</v>
      </c>
      <c r="BR950" s="1">
        <v>299.0</v>
      </c>
      <c r="BS950" s="1">
        <v>299.0</v>
      </c>
      <c r="BT950" s="1">
        <v>299.0</v>
      </c>
      <c r="BU950" s="1" t="s">
        <v>515</v>
      </c>
      <c r="BV950" s="1" t="s">
        <v>206</v>
      </c>
      <c r="BW950" s="1" t="s">
        <v>207</v>
      </c>
      <c r="BY950" s="1" t="s">
        <v>1892</v>
      </c>
      <c r="BZ950" s="1" t="s">
        <v>209</v>
      </c>
      <c r="CA950" s="1" t="s">
        <v>207</v>
      </c>
      <c r="CC950" s="1" t="s">
        <v>477</v>
      </c>
      <c r="CD950" s="1" t="s">
        <v>206</v>
      </c>
      <c r="CE950" s="1" t="s">
        <v>207</v>
      </c>
      <c r="CG950" s="1" t="s">
        <v>208</v>
      </c>
      <c r="CH950" s="1" t="s">
        <v>209</v>
      </c>
      <c r="CI950" s="1" t="s">
        <v>207</v>
      </c>
      <c r="CK950" s="1" t="s">
        <v>784</v>
      </c>
      <c r="CL950" s="1" t="s">
        <v>209</v>
      </c>
      <c r="CM950" s="1" t="s">
        <v>207</v>
      </c>
      <c r="CO950" s="1" t="s">
        <v>392</v>
      </c>
      <c r="CP950" s="1" t="s">
        <v>209</v>
      </c>
      <c r="CQ950" s="1" t="s">
        <v>207</v>
      </c>
      <c r="CS950" s="1" t="s">
        <v>544</v>
      </c>
      <c r="CT950" s="1" t="s">
        <v>206</v>
      </c>
      <c r="CU950" s="1" t="s">
        <v>207</v>
      </c>
      <c r="CW950" s="1" t="s">
        <v>10737</v>
      </c>
      <c r="CX950" s="1" t="s">
        <v>391</v>
      </c>
      <c r="CY950" s="1" t="s">
        <v>210</v>
      </c>
      <c r="DA950" s="1" t="s">
        <v>200</v>
      </c>
      <c r="DC950" s="1" t="s">
        <v>642</v>
      </c>
      <c r="DD950" s="1" t="s">
        <v>518</v>
      </c>
      <c r="DE950" s="1" t="s">
        <v>7068</v>
      </c>
      <c r="DF950" s="1" t="s">
        <v>6818</v>
      </c>
      <c r="DH950" s="1" t="s">
        <v>220</v>
      </c>
      <c r="DI950" s="1" t="s">
        <v>1141</v>
      </c>
      <c r="DJ950" s="1" t="s">
        <v>222</v>
      </c>
      <c r="DL950" s="1" t="s">
        <v>223</v>
      </c>
      <c r="DM950" s="1" t="s">
        <v>229</v>
      </c>
      <c r="DP950" s="1" t="s">
        <v>340</v>
      </c>
      <c r="DQ950" s="1" t="s">
        <v>228</v>
      </c>
      <c r="DR950" s="1" t="s">
        <v>229</v>
      </c>
      <c r="DV950" s="1" t="s">
        <v>10738</v>
      </c>
      <c r="DW950" s="1" t="s">
        <v>10739</v>
      </c>
      <c r="DX950" s="1" t="s">
        <v>234</v>
      </c>
      <c r="DY950" s="1" t="s">
        <v>704</v>
      </c>
      <c r="DZ950" s="1" t="s">
        <v>966</v>
      </c>
      <c r="EA950" s="1" t="s">
        <v>1695</v>
      </c>
      <c r="EB950" s="1" t="s">
        <v>797</v>
      </c>
      <c r="EC950" s="1" t="s">
        <v>406</v>
      </c>
      <c r="EG950" s="1" t="s">
        <v>556</v>
      </c>
      <c r="EH950" s="1" t="s">
        <v>494</v>
      </c>
      <c r="EI950" s="1" t="s">
        <v>409</v>
      </c>
      <c r="EJ950" s="1" t="s">
        <v>408</v>
      </c>
      <c r="EL950" s="1" t="s">
        <v>212</v>
      </c>
      <c r="EM950" s="1" t="s">
        <v>206</v>
      </c>
      <c r="EN950" s="1" t="s">
        <v>207</v>
      </c>
      <c r="EP950" s="1" t="s">
        <v>393</v>
      </c>
      <c r="EQ950" s="1" t="s">
        <v>206</v>
      </c>
      <c r="ER950" s="1" t="s">
        <v>207</v>
      </c>
      <c r="ET950" s="1" t="s">
        <v>1939</v>
      </c>
      <c r="EU950" s="1" t="s">
        <v>209</v>
      </c>
      <c r="EV950" s="1" t="s">
        <v>207</v>
      </c>
      <c r="EX950" s="1" t="s">
        <v>639</v>
      </c>
      <c r="EY950" s="1" t="s">
        <v>206</v>
      </c>
      <c r="EZ950" s="1" t="s">
        <v>207</v>
      </c>
      <c r="FC950" s="1" t="s">
        <v>238</v>
      </c>
      <c r="FF950" s="1" t="s">
        <v>239</v>
      </c>
      <c r="FG950" s="1" t="s">
        <v>192</v>
      </c>
      <c r="FH950" s="1" t="s">
        <v>192</v>
      </c>
      <c r="FJ950" s="1" t="s">
        <v>10740</v>
      </c>
      <c r="FK950" s="1" t="s">
        <v>229</v>
      </c>
      <c r="FL950" s="1" t="s">
        <v>974</v>
      </c>
      <c r="FM950" s="1">
        <v>10317.0</v>
      </c>
      <c r="FN950" s="1" t="s">
        <v>10741</v>
      </c>
      <c r="FO950" s="1" t="s">
        <v>10742</v>
      </c>
      <c r="FP950" s="1">
        <v>133303.0</v>
      </c>
      <c r="FQ950" s="1" t="s">
        <v>10743</v>
      </c>
      <c r="FU950" s="1" t="s">
        <v>10744</v>
      </c>
      <c r="FV950" s="1" t="s">
        <v>200</v>
      </c>
      <c r="FW950" s="1" t="s">
        <v>290</v>
      </c>
      <c r="FX950" s="1" t="s">
        <v>655</v>
      </c>
      <c r="FZ950" s="1" t="s">
        <v>229</v>
      </c>
      <c r="GA950" s="1" t="s">
        <v>291</v>
      </c>
      <c r="GB950" s="2">
        <v>41988.0</v>
      </c>
      <c r="GC950" s="1" t="s">
        <v>10745</v>
      </c>
    </row>
    <row r="951">
      <c r="A951" s="1">
        <v>190000.0</v>
      </c>
      <c r="B951" s="1" t="s">
        <v>185</v>
      </c>
      <c r="C951" s="1" t="str">
        <f>"08606549"</f>
        <v>08606549</v>
      </c>
      <c r="D951" s="1" t="s">
        <v>186</v>
      </c>
      <c r="F951" s="1" t="str">
        <f>"103"</f>
        <v>103</v>
      </c>
      <c r="G951" s="2">
        <v>41765.0</v>
      </c>
      <c r="H951" s="1">
        <v>199000.0</v>
      </c>
      <c r="I951" s="1">
        <v>148.0</v>
      </c>
      <c r="J951" s="1">
        <v>189000.0</v>
      </c>
      <c r="K951" s="2">
        <v>41909.0</v>
      </c>
      <c r="L951" s="1">
        <v>148.0</v>
      </c>
      <c r="M951" s="2">
        <v>41909.0</v>
      </c>
      <c r="N951" s="1" t="s">
        <v>356</v>
      </c>
      <c r="O951" s="2">
        <v>41991.0</v>
      </c>
      <c r="P951" s="1">
        <v>239190.0</v>
      </c>
      <c r="Q951" s="1">
        <v>8079.0</v>
      </c>
      <c r="S951" s="1">
        <v>1655.0</v>
      </c>
      <c r="T951" s="1" t="s">
        <v>10746</v>
      </c>
      <c r="U951" s="1" t="s">
        <v>189</v>
      </c>
      <c r="V951" s="1" t="s">
        <v>251</v>
      </c>
      <c r="W951" s="1">
        <v>60133.0</v>
      </c>
      <c r="Y951" s="1" t="s">
        <v>10747</v>
      </c>
      <c r="Z951" s="1">
        <v>1963.0</v>
      </c>
      <c r="AA951" s="1" t="s">
        <v>192</v>
      </c>
      <c r="AB951" s="1" t="s">
        <v>193</v>
      </c>
      <c r="AD951" s="1" t="s">
        <v>254</v>
      </c>
      <c r="AE951" s="1" t="s">
        <v>195</v>
      </c>
      <c r="AF951" s="1" t="s">
        <v>298</v>
      </c>
      <c r="AH951" s="1" t="s">
        <v>10748</v>
      </c>
      <c r="AI951" s="1">
        <v>0.2469</v>
      </c>
      <c r="AK951" s="1">
        <v>10.0</v>
      </c>
      <c r="AL951" s="1">
        <v>4.0</v>
      </c>
      <c r="AM951" s="1">
        <v>3.0</v>
      </c>
      <c r="AN951" s="1">
        <v>0.0</v>
      </c>
      <c r="AO951" s="1" t="s">
        <v>1261</v>
      </c>
      <c r="AP951" s="1">
        <v>2.0</v>
      </c>
      <c r="AQ951" s="1" t="s">
        <v>1314</v>
      </c>
      <c r="AR951" s="1" t="s">
        <v>192</v>
      </c>
      <c r="AS951" s="1" t="s">
        <v>510</v>
      </c>
      <c r="AT951" s="1">
        <v>2.5</v>
      </c>
      <c r="AU951" s="1">
        <v>6.0</v>
      </c>
      <c r="AV951" s="1" t="s">
        <v>200</v>
      </c>
      <c r="AW951" s="1">
        <v>6139.0</v>
      </c>
      <c r="AX951" s="1">
        <v>2012.0</v>
      </c>
      <c r="AY951" s="1" t="s">
        <v>387</v>
      </c>
      <c r="AZ951" s="1" t="s">
        <v>200</v>
      </c>
      <c r="BA951" s="1" t="str">
        <f>"06362210010000"</f>
        <v>06362210010000</v>
      </c>
      <c r="BC951" s="1">
        <v>2050.0</v>
      </c>
      <c r="BD951" s="1">
        <v>190000.0</v>
      </c>
      <c r="BE951" s="2">
        <v>41762.0</v>
      </c>
      <c r="BF951" s="2" t="s">
        <v>10749</v>
      </c>
      <c r="BH951" s="1">
        <v>0.0</v>
      </c>
      <c r="BK951" s="1" t="s">
        <v>204</v>
      </c>
      <c r="BL951" s="1" t="str">
        <f t="shared" ref="BL951:BM951" si="625">""</f>
        <v/>
      </c>
      <c r="BM951" s="1" t="str">
        <f t="shared" si="625"/>
        <v/>
      </c>
      <c r="BQ951" s="1">
        <v>46.0</v>
      </c>
      <c r="BR951" s="1">
        <v>46.0</v>
      </c>
      <c r="BS951" s="1">
        <v>46.0</v>
      </c>
      <c r="BU951" s="1" t="s">
        <v>2900</v>
      </c>
      <c r="BV951" s="1" t="s">
        <v>206</v>
      </c>
      <c r="BW951" s="1" t="s">
        <v>301</v>
      </c>
      <c r="BY951" s="1" t="s">
        <v>363</v>
      </c>
      <c r="BZ951" s="1" t="s">
        <v>209</v>
      </c>
      <c r="CA951" s="1" t="s">
        <v>210</v>
      </c>
      <c r="CC951" s="1" t="s">
        <v>2713</v>
      </c>
      <c r="CD951" s="1" t="s">
        <v>206</v>
      </c>
      <c r="CE951" s="1" t="s">
        <v>268</v>
      </c>
      <c r="CG951" s="1" t="s">
        <v>269</v>
      </c>
      <c r="CH951" s="1" t="s">
        <v>209</v>
      </c>
      <c r="CI951" s="1" t="s">
        <v>210</v>
      </c>
      <c r="CK951" s="1" t="s">
        <v>516</v>
      </c>
      <c r="CL951" s="1" t="s">
        <v>209</v>
      </c>
      <c r="CM951" s="1" t="s">
        <v>210</v>
      </c>
      <c r="CO951" s="1" t="s">
        <v>798</v>
      </c>
      <c r="CP951" s="1" t="s">
        <v>267</v>
      </c>
      <c r="CQ951" s="1" t="s">
        <v>268</v>
      </c>
      <c r="CS951" s="1" t="s">
        <v>1190</v>
      </c>
      <c r="CT951" s="1" t="s">
        <v>206</v>
      </c>
      <c r="CU951" s="1" t="s">
        <v>268</v>
      </c>
      <c r="CW951" s="1" t="s">
        <v>5515</v>
      </c>
      <c r="CX951" s="1" t="s">
        <v>206</v>
      </c>
      <c r="CY951" s="1" t="s">
        <v>268</v>
      </c>
      <c r="DA951" s="1" t="s">
        <v>200</v>
      </c>
      <c r="DC951" s="1" t="s">
        <v>271</v>
      </c>
      <c r="DD951" s="1" t="s">
        <v>518</v>
      </c>
      <c r="DE951" s="1" t="s">
        <v>273</v>
      </c>
      <c r="DF951" s="1" t="s">
        <v>219</v>
      </c>
      <c r="DG951" s="1" t="s">
        <v>1657</v>
      </c>
      <c r="DH951" s="1" t="s">
        <v>365</v>
      </c>
      <c r="DI951" s="1" t="s">
        <v>308</v>
      </c>
      <c r="DJ951" s="1" t="s">
        <v>222</v>
      </c>
      <c r="DL951" s="1" t="s">
        <v>224</v>
      </c>
      <c r="DM951" s="1" t="s">
        <v>229</v>
      </c>
      <c r="DO951" s="1" t="s">
        <v>549</v>
      </c>
      <c r="DP951" s="1" t="s">
        <v>340</v>
      </c>
      <c r="DQ951" s="1" t="s">
        <v>228</v>
      </c>
      <c r="DR951" s="1" t="s">
        <v>229</v>
      </c>
      <c r="DS951" s="1" t="s">
        <v>401</v>
      </c>
      <c r="DV951" s="1" t="s">
        <v>10750</v>
      </c>
      <c r="DW951" s="1" t="s">
        <v>764</v>
      </c>
      <c r="DX951" s="1" t="s">
        <v>234</v>
      </c>
      <c r="DY951" s="1" t="s">
        <v>861</v>
      </c>
      <c r="DZ951" s="1" t="s">
        <v>6413</v>
      </c>
      <c r="EA951" s="1" t="s">
        <v>283</v>
      </c>
      <c r="EB951" s="1" t="s">
        <v>345</v>
      </c>
      <c r="EC951" s="1" t="s">
        <v>284</v>
      </c>
      <c r="ED951" s="1" t="s">
        <v>555</v>
      </c>
      <c r="EE951" s="1" t="s">
        <v>493</v>
      </c>
      <c r="EF951" s="1" t="s">
        <v>523</v>
      </c>
      <c r="EG951" s="1" t="s">
        <v>557</v>
      </c>
      <c r="EH951" s="1" t="s">
        <v>1121</v>
      </c>
      <c r="EL951" s="1" t="s">
        <v>516</v>
      </c>
      <c r="EM951" s="1" t="s">
        <v>267</v>
      </c>
      <c r="EP951" s="1" t="s">
        <v>663</v>
      </c>
      <c r="EQ951" s="1" t="s">
        <v>267</v>
      </c>
      <c r="ER951" s="1" t="s">
        <v>268</v>
      </c>
      <c r="EU951" s="1" t="s">
        <v>238</v>
      </c>
      <c r="EY951" s="1" t="s">
        <v>238</v>
      </c>
      <c r="FC951" s="1" t="s">
        <v>238</v>
      </c>
      <c r="FF951" s="1" t="s">
        <v>239</v>
      </c>
      <c r="FG951" s="1" t="s">
        <v>192</v>
      </c>
      <c r="FH951" s="1" t="s">
        <v>192</v>
      </c>
      <c r="FJ951" s="1" t="s">
        <v>313</v>
      </c>
      <c r="FK951" s="1" t="s">
        <v>229</v>
      </c>
      <c r="FL951" s="1" t="s">
        <v>881</v>
      </c>
      <c r="FM951" s="1">
        <v>6097.0</v>
      </c>
      <c r="FN951" s="1" t="s">
        <v>882</v>
      </c>
      <c r="FO951" s="1" t="s">
        <v>883</v>
      </c>
      <c r="FP951" s="1">
        <v>62592.0</v>
      </c>
      <c r="FQ951" s="1" t="s">
        <v>884</v>
      </c>
      <c r="FU951" s="1" t="s">
        <v>10751</v>
      </c>
      <c r="FV951" s="1" t="s">
        <v>200</v>
      </c>
      <c r="FW951" s="1" t="s">
        <v>290</v>
      </c>
      <c r="FZ951" s="1" t="s">
        <v>229</v>
      </c>
      <c r="GA951" s="1" t="s">
        <v>291</v>
      </c>
      <c r="GB951" s="2">
        <v>41991.0</v>
      </c>
      <c r="GC951" s="1" t="s">
        <v>10752</v>
      </c>
    </row>
    <row r="952">
      <c r="A952" s="1">
        <v>139000.0</v>
      </c>
      <c r="B952" s="1" t="s">
        <v>185</v>
      </c>
      <c r="C952" s="1" t="str">
        <f>"08605249"</f>
        <v>08605249</v>
      </c>
      <c r="D952" s="1" t="s">
        <v>186</v>
      </c>
      <c r="F952" s="1" t="str">
        <f>"8019"</f>
        <v>8019</v>
      </c>
      <c r="G952" s="2">
        <v>41764.0</v>
      </c>
      <c r="H952" s="1">
        <v>171900.0</v>
      </c>
      <c r="I952" s="1">
        <v>249.0</v>
      </c>
      <c r="J952" s="1">
        <v>149900.0</v>
      </c>
      <c r="K952" s="2">
        <v>42006.0</v>
      </c>
      <c r="L952" s="1">
        <v>243.0</v>
      </c>
      <c r="M952" s="2">
        <v>42006.0</v>
      </c>
      <c r="N952" s="1" t="s">
        <v>5859</v>
      </c>
      <c r="O952" s="2">
        <v>42033.0</v>
      </c>
      <c r="P952" s="1">
        <v>922556.0</v>
      </c>
      <c r="Q952" s="1">
        <v>8058.0</v>
      </c>
      <c r="R952" s="1">
        <v>3000.0</v>
      </c>
      <c r="S952" s="1">
        <v>2834.0</v>
      </c>
      <c r="T952" s="1" t="s">
        <v>10753</v>
      </c>
      <c r="U952" s="1" t="s">
        <v>189</v>
      </c>
      <c r="V952" s="1" t="s">
        <v>190</v>
      </c>
      <c r="W952" s="1">
        <v>60634.0</v>
      </c>
      <c r="X952" s="1">
        <v>5007.0</v>
      </c>
      <c r="Y952" s="1" t="s">
        <v>10754</v>
      </c>
      <c r="Z952" s="1">
        <v>1925.0</v>
      </c>
      <c r="AA952" s="1" t="s">
        <v>192</v>
      </c>
      <c r="AB952" s="1" t="s">
        <v>193</v>
      </c>
      <c r="AD952" s="1" t="s">
        <v>194</v>
      </c>
      <c r="AE952" s="1" t="s">
        <v>195</v>
      </c>
      <c r="AF952" s="1" t="s">
        <v>196</v>
      </c>
      <c r="AH952" s="1" t="s">
        <v>779</v>
      </c>
      <c r="AI952" s="1">
        <v>0.0854</v>
      </c>
      <c r="AK952" s="1">
        <v>7.0</v>
      </c>
      <c r="AL952" s="1">
        <v>4.0</v>
      </c>
      <c r="AM952" s="1">
        <v>3.0</v>
      </c>
      <c r="AN952" s="1">
        <v>0.0</v>
      </c>
      <c r="AO952" s="1" t="s">
        <v>229</v>
      </c>
      <c r="AP952" s="1">
        <v>0.0</v>
      </c>
      <c r="AQ952" s="1" t="s">
        <v>198</v>
      </c>
      <c r="AR952" s="1" t="s">
        <v>192</v>
      </c>
      <c r="AS952" s="1" t="s">
        <v>199</v>
      </c>
      <c r="AT952" s="1">
        <v>2.0</v>
      </c>
      <c r="AV952" s="1" t="s">
        <v>200</v>
      </c>
      <c r="AW952" s="1">
        <v>3503.0</v>
      </c>
      <c r="AX952" s="1">
        <v>2012.0</v>
      </c>
      <c r="AY952" s="1" t="s">
        <v>387</v>
      </c>
      <c r="AZ952" s="1" t="s">
        <v>200</v>
      </c>
      <c r="BA952" s="1" t="str">
        <f>"13291230240000"</f>
        <v>13291230240000</v>
      </c>
      <c r="BB952" s="1" t="s">
        <v>200</v>
      </c>
      <c r="BC952" s="1">
        <v>1079.0</v>
      </c>
      <c r="BD952" s="1">
        <v>139000.0</v>
      </c>
      <c r="BE952" s="2">
        <v>41764.0</v>
      </c>
      <c r="BF952" s="2" t="s">
        <v>10755</v>
      </c>
      <c r="BH952" s="1">
        <v>0.0</v>
      </c>
      <c r="BK952" s="1" t="s">
        <v>204</v>
      </c>
      <c r="BL952" s="1" t="str">
        <f>"2834"</f>
        <v>2834</v>
      </c>
      <c r="BM952" s="1" t="str">
        <f>"0"</f>
        <v>0</v>
      </c>
      <c r="BN952" s="1">
        <v>6234.0</v>
      </c>
      <c r="BO952" s="1">
        <v>0.0</v>
      </c>
      <c r="BQ952" s="1">
        <v>299.0</v>
      </c>
      <c r="BR952" s="1">
        <v>299.0</v>
      </c>
      <c r="BS952" s="1">
        <v>299.0</v>
      </c>
      <c r="BU952" s="1" t="s">
        <v>743</v>
      </c>
      <c r="BV952" s="1" t="s">
        <v>206</v>
      </c>
      <c r="BW952" s="1" t="s">
        <v>207</v>
      </c>
      <c r="BX952" s="1" t="s">
        <v>229</v>
      </c>
      <c r="BY952" s="1" t="s">
        <v>264</v>
      </c>
      <c r="BZ952" s="1" t="s">
        <v>206</v>
      </c>
      <c r="CA952" s="1" t="s">
        <v>207</v>
      </c>
      <c r="CB952" s="1" t="s">
        <v>229</v>
      </c>
      <c r="CC952" s="1" t="s">
        <v>363</v>
      </c>
      <c r="CD952" s="1" t="s">
        <v>206</v>
      </c>
      <c r="CE952" s="1" t="s">
        <v>207</v>
      </c>
      <c r="CF952" s="1" t="s">
        <v>229</v>
      </c>
      <c r="CG952" s="1" t="s">
        <v>264</v>
      </c>
      <c r="CH952" s="1" t="s">
        <v>206</v>
      </c>
      <c r="CI952" s="1" t="s">
        <v>617</v>
      </c>
      <c r="CJ952" s="1" t="s">
        <v>229</v>
      </c>
      <c r="CK952" s="1" t="s">
        <v>1892</v>
      </c>
      <c r="CL952" s="1" t="s">
        <v>209</v>
      </c>
      <c r="CM952" s="1" t="s">
        <v>207</v>
      </c>
      <c r="CN952" s="1" t="s">
        <v>229</v>
      </c>
      <c r="CO952" s="1" t="s">
        <v>433</v>
      </c>
      <c r="CP952" s="1" t="s">
        <v>209</v>
      </c>
      <c r="CQ952" s="1" t="s">
        <v>207</v>
      </c>
      <c r="CR952" s="1" t="s">
        <v>229</v>
      </c>
      <c r="CS952" s="1" t="s">
        <v>433</v>
      </c>
      <c r="CT952" s="1" t="s">
        <v>206</v>
      </c>
      <c r="CU952" s="1" t="s">
        <v>617</v>
      </c>
      <c r="CV952" s="1" t="s">
        <v>229</v>
      </c>
      <c r="CX952" s="1" t="s">
        <v>204</v>
      </c>
      <c r="DA952" s="1" t="s">
        <v>200</v>
      </c>
      <c r="DC952" s="1" t="s">
        <v>785</v>
      </c>
      <c r="DD952" s="1" t="s">
        <v>518</v>
      </c>
      <c r="DE952" s="1" t="s">
        <v>229</v>
      </c>
      <c r="DF952" s="1" t="s">
        <v>10756</v>
      </c>
      <c r="DH952" s="1" t="s">
        <v>220</v>
      </c>
      <c r="DI952" s="1" t="s">
        <v>2547</v>
      </c>
      <c r="DJ952" s="1" t="s">
        <v>222</v>
      </c>
      <c r="DK952" s="1" t="s">
        <v>1301</v>
      </c>
      <c r="DL952" s="1" t="s">
        <v>858</v>
      </c>
      <c r="DM952" s="1" t="s">
        <v>225</v>
      </c>
      <c r="DO952" s="1" t="s">
        <v>4234</v>
      </c>
      <c r="DP952" s="1" t="s">
        <v>340</v>
      </c>
      <c r="DQ952" s="1" t="s">
        <v>228</v>
      </c>
      <c r="DR952" s="1" t="s">
        <v>229</v>
      </c>
      <c r="DS952" s="1" t="s">
        <v>230</v>
      </c>
      <c r="DV952" s="1" t="s">
        <v>232</v>
      </c>
      <c r="DW952" s="1" t="s">
        <v>279</v>
      </c>
      <c r="DX952" s="1" t="s">
        <v>234</v>
      </c>
      <c r="DY952" s="1" t="s">
        <v>704</v>
      </c>
      <c r="DZ952" s="1" t="s">
        <v>310</v>
      </c>
      <c r="EA952" s="1" t="s">
        <v>644</v>
      </c>
      <c r="EC952" s="1" t="s">
        <v>645</v>
      </c>
      <c r="EE952" s="1" t="s">
        <v>187</v>
      </c>
      <c r="EM952" s="1" t="s">
        <v>238</v>
      </c>
      <c r="EQ952" s="1" t="s">
        <v>238</v>
      </c>
      <c r="EU952" s="1" t="s">
        <v>238</v>
      </c>
      <c r="EY952" s="1" t="s">
        <v>238</v>
      </c>
      <c r="FC952" s="1" t="s">
        <v>238</v>
      </c>
      <c r="FF952" s="1" t="s">
        <v>239</v>
      </c>
      <c r="FG952" s="1" t="s">
        <v>192</v>
      </c>
      <c r="FH952" s="1" t="s">
        <v>192</v>
      </c>
      <c r="FJ952" s="1" t="s">
        <v>347</v>
      </c>
      <c r="FK952" s="1" t="s">
        <v>229</v>
      </c>
      <c r="FL952" s="1" t="s">
        <v>1289</v>
      </c>
      <c r="FM952" s="1">
        <v>3810.0</v>
      </c>
      <c r="FN952" s="1" t="s">
        <v>10757</v>
      </c>
      <c r="FO952" s="1" t="s">
        <v>10758</v>
      </c>
      <c r="FP952" s="1">
        <v>39359.0</v>
      </c>
      <c r="FQ952" s="1" t="s">
        <v>10759</v>
      </c>
      <c r="FT952" s="1" t="s">
        <v>10760</v>
      </c>
      <c r="FU952" s="1" t="s">
        <v>10761</v>
      </c>
      <c r="FV952" s="1" t="s">
        <v>200</v>
      </c>
      <c r="FW952" s="1" t="s">
        <v>567</v>
      </c>
      <c r="FX952" s="1" t="s">
        <v>238</v>
      </c>
      <c r="FZ952" s="1" t="s">
        <v>229</v>
      </c>
      <c r="GA952" s="1" t="s">
        <v>291</v>
      </c>
      <c r="GB952" s="2">
        <v>42033.0</v>
      </c>
      <c r="GC952" s="1" t="s">
        <v>10762</v>
      </c>
    </row>
    <row r="953">
      <c r="A953" s="1">
        <v>57936.0</v>
      </c>
      <c r="B953" s="1" t="s">
        <v>185</v>
      </c>
      <c r="C953" s="1" t="str">
        <f>"08798691"</f>
        <v>08798691</v>
      </c>
      <c r="D953" s="1" t="s">
        <v>186</v>
      </c>
      <c r="F953" s="1" t="str">
        <f>"8069"</f>
        <v>8069</v>
      </c>
      <c r="G953" s="2">
        <v>41981.0</v>
      </c>
      <c r="H953" s="1">
        <v>68000.0</v>
      </c>
      <c r="I953" s="1">
        <v>31.0</v>
      </c>
      <c r="J953" s="1">
        <v>68000.0</v>
      </c>
      <c r="K953" s="2">
        <v>42011.0</v>
      </c>
      <c r="L953" s="1">
        <v>31.0</v>
      </c>
      <c r="M953" s="2">
        <v>42011.0</v>
      </c>
      <c r="N953" s="1" t="s">
        <v>249</v>
      </c>
      <c r="O953" s="2">
        <v>42040.0</v>
      </c>
      <c r="P953" s="1">
        <v>226116.0</v>
      </c>
      <c r="Q953" s="1">
        <v>25888.0</v>
      </c>
      <c r="S953" s="1">
        <v>7828.0</v>
      </c>
      <c r="T953" s="1" t="s">
        <v>10763</v>
      </c>
      <c r="U953" s="1" t="s">
        <v>189</v>
      </c>
      <c r="V953" s="1" t="s">
        <v>190</v>
      </c>
      <c r="W953" s="1">
        <v>60619.0</v>
      </c>
      <c r="Y953" s="1" t="s">
        <v>10764</v>
      </c>
      <c r="Z953" s="1">
        <v>1921.0</v>
      </c>
      <c r="AA953" s="1" t="s">
        <v>192</v>
      </c>
      <c r="AB953" s="1" t="s">
        <v>193</v>
      </c>
      <c r="AD953" s="1" t="s">
        <v>194</v>
      </c>
      <c r="AE953" s="1" t="s">
        <v>195</v>
      </c>
      <c r="AF953" s="1" t="s">
        <v>637</v>
      </c>
      <c r="AH953" s="1" t="s">
        <v>359</v>
      </c>
      <c r="AI953" s="1">
        <v>0.1232</v>
      </c>
      <c r="AK953" s="1">
        <v>8.0</v>
      </c>
      <c r="AL953" s="1">
        <v>4.0</v>
      </c>
      <c r="AM953" s="1">
        <v>2.0</v>
      </c>
      <c r="AN953" s="1">
        <v>0.0</v>
      </c>
      <c r="AO953" s="1" t="s">
        <v>229</v>
      </c>
      <c r="AQ953" s="1" t="s">
        <v>198</v>
      </c>
      <c r="AR953" s="1" t="s">
        <v>200</v>
      </c>
      <c r="AS953" s="1" t="s">
        <v>199</v>
      </c>
      <c r="AT953" s="1">
        <v>2.0</v>
      </c>
      <c r="AV953" s="1" t="s">
        <v>200</v>
      </c>
      <c r="AW953" s="1">
        <v>2697.07</v>
      </c>
      <c r="AX953" s="1">
        <v>2012.0</v>
      </c>
      <c r="AZ953" s="1" t="s">
        <v>545</v>
      </c>
      <c r="BA953" s="1" t="str">
        <f>"20273190210000"</f>
        <v>20273190210000</v>
      </c>
      <c r="BC953" s="1">
        <v>1711.0</v>
      </c>
      <c r="BD953" s="1">
        <v>57936.0</v>
      </c>
      <c r="BE953" s="2">
        <v>41981.0</v>
      </c>
      <c r="BF953" s="1" t="s">
        <v>10765</v>
      </c>
      <c r="BH953" s="1">
        <v>0.0</v>
      </c>
      <c r="BK953" s="1" t="s">
        <v>204</v>
      </c>
      <c r="BL953" s="1" t="str">
        <f>"0"</f>
        <v>0</v>
      </c>
      <c r="BM953" s="1" t="str">
        <f>"150"</f>
        <v>150</v>
      </c>
      <c r="BN953" s="1">
        <v>0.0</v>
      </c>
      <c r="BO953" s="1">
        <v>7828.0</v>
      </c>
      <c r="BQ953" s="1">
        <v>299.0</v>
      </c>
      <c r="BR953" s="1">
        <v>299.0</v>
      </c>
      <c r="BS953" s="1">
        <v>299.0</v>
      </c>
      <c r="BU953" s="1" t="s">
        <v>433</v>
      </c>
      <c r="BV953" s="1" t="s">
        <v>206</v>
      </c>
      <c r="BY953" s="1" t="s">
        <v>363</v>
      </c>
      <c r="BZ953" s="1" t="s">
        <v>206</v>
      </c>
      <c r="CC953" s="1" t="s">
        <v>495</v>
      </c>
      <c r="CD953" s="1" t="s">
        <v>206</v>
      </c>
      <c r="CG953" s="1" t="s">
        <v>212</v>
      </c>
      <c r="CH953" s="1" t="s">
        <v>206</v>
      </c>
      <c r="CK953" s="1" t="s">
        <v>363</v>
      </c>
      <c r="CL953" s="1" t="s">
        <v>209</v>
      </c>
      <c r="CO953" s="1" t="s">
        <v>363</v>
      </c>
      <c r="CP953" s="1" t="s">
        <v>209</v>
      </c>
      <c r="CS953" s="1" t="s">
        <v>212</v>
      </c>
      <c r="CT953" s="1" t="s">
        <v>206</v>
      </c>
      <c r="CX953" s="1" t="s">
        <v>204</v>
      </c>
      <c r="DA953" s="1" t="s">
        <v>200</v>
      </c>
      <c r="DC953" s="1" t="s">
        <v>216</v>
      </c>
      <c r="DE953" s="1" t="s">
        <v>229</v>
      </c>
      <c r="DF953" s="1" t="s">
        <v>4120</v>
      </c>
      <c r="DH953" s="1" t="s">
        <v>365</v>
      </c>
      <c r="DJ953" s="1" t="s">
        <v>222</v>
      </c>
      <c r="DL953" s="1" t="s">
        <v>223</v>
      </c>
      <c r="DM953" s="1" t="s">
        <v>229</v>
      </c>
      <c r="DP953" s="1" t="s">
        <v>340</v>
      </c>
      <c r="DQ953" s="1" t="s">
        <v>228</v>
      </c>
      <c r="DR953" s="1" t="s">
        <v>229</v>
      </c>
      <c r="DV953" s="1" t="s">
        <v>4466</v>
      </c>
      <c r="DW953" s="1" t="s">
        <v>279</v>
      </c>
      <c r="DX953" s="1" t="s">
        <v>234</v>
      </c>
      <c r="EC953" s="1" t="s">
        <v>645</v>
      </c>
      <c r="ED953" s="1" t="s">
        <v>1761</v>
      </c>
      <c r="EG953" s="1" t="s">
        <v>1270</v>
      </c>
      <c r="EH953" s="1" t="s">
        <v>450</v>
      </c>
      <c r="EL953" s="1" t="s">
        <v>269</v>
      </c>
      <c r="EM953" s="1" t="s">
        <v>42</v>
      </c>
      <c r="EP953" s="1" t="s">
        <v>264</v>
      </c>
      <c r="EQ953" s="1" t="s">
        <v>42</v>
      </c>
      <c r="EU953" s="1" t="s">
        <v>238</v>
      </c>
      <c r="EY953" s="1" t="s">
        <v>238</v>
      </c>
      <c r="FC953" s="1" t="s">
        <v>238</v>
      </c>
      <c r="FF953" s="1" t="s">
        <v>239</v>
      </c>
      <c r="FG953" s="1" t="s">
        <v>192</v>
      </c>
      <c r="FH953" s="1" t="s">
        <v>192</v>
      </c>
      <c r="FJ953" s="1" t="s">
        <v>2156</v>
      </c>
      <c r="FK953" s="1" t="s">
        <v>229</v>
      </c>
      <c r="FL953" s="1" t="s">
        <v>10766</v>
      </c>
      <c r="FM953" s="1">
        <v>13909.0</v>
      </c>
      <c r="FN953" s="1" t="s">
        <v>10767</v>
      </c>
      <c r="FO953" s="1" t="s">
        <v>10768</v>
      </c>
      <c r="FP953" s="1">
        <v>126761.0</v>
      </c>
      <c r="FQ953" s="1" t="s">
        <v>10767</v>
      </c>
      <c r="FU953" s="1" t="s">
        <v>3993</v>
      </c>
      <c r="FV953" s="1" t="s">
        <v>200</v>
      </c>
      <c r="FW953" s="1" t="s">
        <v>1524</v>
      </c>
      <c r="FX953" s="1" t="s">
        <v>655</v>
      </c>
      <c r="FZ953" s="1" t="s">
        <v>229</v>
      </c>
      <c r="GA953" s="1" t="s">
        <v>291</v>
      </c>
      <c r="GB953" s="2">
        <v>42041.0</v>
      </c>
      <c r="GC953" s="1" t="s">
        <v>10769</v>
      </c>
    </row>
    <row r="954">
      <c r="A954" s="1">
        <v>295000.0</v>
      </c>
      <c r="B954" s="1" t="s">
        <v>185</v>
      </c>
      <c r="C954" s="1" t="str">
        <f>"08601051"</f>
        <v>08601051</v>
      </c>
      <c r="D954" s="1" t="s">
        <v>186</v>
      </c>
      <c r="F954" s="1" t="str">
        <f t="shared" ref="F954:F955" si="627">"136"</f>
        <v>136</v>
      </c>
      <c r="G954" s="2">
        <v>41760.0</v>
      </c>
      <c r="H954" s="1">
        <v>332000.0</v>
      </c>
      <c r="I954" s="1">
        <v>266.0</v>
      </c>
      <c r="J954" s="1">
        <v>318000.0</v>
      </c>
      <c r="K954" s="2">
        <v>42025.0</v>
      </c>
      <c r="L954" s="1">
        <v>266.0</v>
      </c>
      <c r="M954" s="2">
        <v>42025.0</v>
      </c>
      <c r="N954" s="1" t="s">
        <v>187</v>
      </c>
      <c r="O954" s="2">
        <v>42073.0</v>
      </c>
      <c r="P954" s="1">
        <v>88963.0</v>
      </c>
      <c r="Q954" s="1">
        <v>8296.0</v>
      </c>
      <c r="S954" s="1">
        <v>336.0</v>
      </c>
      <c r="T954" s="1" t="s">
        <v>10770</v>
      </c>
      <c r="U954" s="1" t="s">
        <v>420</v>
      </c>
      <c r="V954" s="1" t="s">
        <v>5032</v>
      </c>
      <c r="W954" s="1">
        <v>60136.0</v>
      </c>
      <c r="Y954" s="1" t="s">
        <v>10771</v>
      </c>
      <c r="Z954" s="1">
        <v>2006.0</v>
      </c>
      <c r="AA954" s="1" t="s">
        <v>200</v>
      </c>
      <c r="AB954" s="1" t="s">
        <v>193</v>
      </c>
      <c r="AC954" s="1" t="s">
        <v>5034</v>
      </c>
      <c r="AD954" s="1" t="s">
        <v>5035</v>
      </c>
      <c r="AE954" s="1" t="s">
        <v>325</v>
      </c>
      <c r="AF954" s="1" t="s">
        <v>3429</v>
      </c>
      <c r="AG954" s="1" t="s">
        <v>10772</v>
      </c>
      <c r="AH954" s="1" t="s">
        <v>10773</v>
      </c>
      <c r="AI954" s="1">
        <v>0.15</v>
      </c>
      <c r="AK954" s="1">
        <v>9.0</v>
      </c>
      <c r="AL954" s="1">
        <v>4.0</v>
      </c>
      <c r="AM954" s="1">
        <v>3.0</v>
      </c>
      <c r="AN954" s="1">
        <v>1.0</v>
      </c>
      <c r="AO954" s="1" t="s">
        <v>198</v>
      </c>
      <c r="AP954" s="1">
        <v>0.0</v>
      </c>
      <c r="AQ954" s="1" t="s">
        <v>198</v>
      </c>
      <c r="AR954" s="1" t="s">
        <v>200</v>
      </c>
      <c r="AS954" s="1" t="s">
        <v>199</v>
      </c>
      <c r="AT954" s="1">
        <v>2.0</v>
      </c>
      <c r="AV954" s="1" t="s">
        <v>200</v>
      </c>
      <c r="AW954" s="1">
        <v>10279.48</v>
      </c>
      <c r="AX954" s="1">
        <v>2013.0</v>
      </c>
      <c r="AY954" s="1" t="s">
        <v>387</v>
      </c>
      <c r="AZ954" s="1" t="s">
        <v>192</v>
      </c>
      <c r="BA954" s="1" t="str">
        <f>"0224129005"</f>
        <v>0224129005</v>
      </c>
      <c r="BB954" s="1" t="s">
        <v>192</v>
      </c>
      <c r="BC954" s="1">
        <v>3176.0</v>
      </c>
      <c r="BD954" s="1">
        <v>295000.0</v>
      </c>
      <c r="BE954" s="2">
        <v>41760.0</v>
      </c>
      <c r="BF954" s="2" t="s">
        <v>10774</v>
      </c>
      <c r="BG954" s="1" t="s">
        <v>5039</v>
      </c>
      <c r="BH954" s="1">
        <v>349.0</v>
      </c>
      <c r="BI954" s="1" t="s">
        <v>1093</v>
      </c>
      <c r="BJ954" s="1" t="s">
        <v>1182</v>
      </c>
      <c r="BK954" s="1" t="s">
        <v>580</v>
      </c>
      <c r="BL954" s="1" t="str">
        <f t="shared" ref="BL954:BM954" si="626">""</f>
        <v/>
      </c>
      <c r="BM954" s="1" t="str">
        <f t="shared" si="626"/>
        <v/>
      </c>
      <c r="BQ954" s="1">
        <v>300.0</v>
      </c>
      <c r="BR954" s="1">
        <v>300.0</v>
      </c>
      <c r="BS954" s="1">
        <v>300.0</v>
      </c>
      <c r="BU954" s="1" t="s">
        <v>743</v>
      </c>
      <c r="BV954" s="1" t="s">
        <v>206</v>
      </c>
      <c r="BW954" s="1" t="s">
        <v>210</v>
      </c>
      <c r="BX954" s="1" t="s">
        <v>229</v>
      </c>
      <c r="BY954" s="1" t="s">
        <v>854</v>
      </c>
      <c r="BZ954" s="1" t="s">
        <v>209</v>
      </c>
      <c r="CA954" s="1" t="s">
        <v>210</v>
      </c>
      <c r="CB954" s="1" t="s">
        <v>431</v>
      </c>
      <c r="CC954" s="1" t="s">
        <v>584</v>
      </c>
      <c r="CD954" s="1" t="s">
        <v>206</v>
      </c>
      <c r="CE954" s="1" t="s">
        <v>210</v>
      </c>
      <c r="CF954" s="1" t="s">
        <v>229</v>
      </c>
      <c r="CG954" s="1" t="s">
        <v>433</v>
      </c>
      <c r="CH954" s="1" t="s">
        <v>209</v>
      </c>
      <c r="CI954" s="1" t="s">
        <v>210</v>
      </c>
      <c r="CJ954" s="1" t="s">
        <v>229</v>
      </c>
      <c r="CK954" s="1" t="s">
        <v>433</v>
      </c>
      <c r="CL954" s="1" t="s">
        <v>209</v>
      </c>
      <c r="CM954" s="1" t="s">
        <v>210</v>
      </c>
      <c r="CN954" s="1" t="s">
        <v>229</v>
      </c>
      <c r="CO954" s="1" t="s">
        <v>212</v>
      </c>
      <c r="CP954" s="1" t="s">
        <v>209</v>
      </c>
      <c r="CQ954" s="1" t="s">
        <v>210</v>
      </c>
      <c r="CR954" s="1" t="s">
        <v>229</v>
      </c>
      <c r="CS954" s="1" t="s">
        <v>854</v>
      </c>
      <c r="CT954" s="1" t="s">
        <v>206</v>
      </c>
      <c r="CU954" s="1" t="s">
        <v>617</v>
      </c>
      <c r="CV954" s="1" t="s">
        <v>229</v>
      </c>
      <c r="CW954" s="1" t="s">
        <v>3475</v>
      </c>
      <c r="CX954" s="1" t="s">
        <v>206</v>
      </c>
      <c r="CY954" s="1" t="s">
        <v>210</v>
      </c>
      <c r="CZ954" s="1" t="s">
        <v>431</v>
      </c>
      <c r="DA954" s="1" t="s">
        <v>200</v>
      </c>
      <c r="DC954" s="1" t="s">
        <v>481</v>
      </c>
      <c r="DD954" s="1" t="s">
        <v>8015</v>
      </c>
      <c r="DE954" s="1" t="s">
        <v>273</v>
      </c>
      <c r="DF954" s="1" t="s">
        <v>2275</v>
      </c>
      <c r="DG954" s="1" t="s">
        <v>10775</v>
      </c>
      <c r="DH954" s="1" t="s">
        <v>220</v>
      </c>
      <c r="DI954" s="1" t="s">
        <v>2547</v>
      </c>
      <c r="DJ954" s="1" t="s">
        <v>222</v>
      </c>
      <c r="DK954" s="1" t="s">
        <v>223</v>
      </c>
      <c r="DL954" s="1" t="s">
        <v>223</v>
      </c>
      <c r="DM954" s="1" t="s">
        <v>1268</v>
      </c>
      <c r="DN954" s="1" t="s">
        <v>485</v>
      </c>
      <c r="DO954" s="1" t="s">
        <v>4234</v>
      </c>
      <c r="DP954" s="1" t="s">
        <v>340</v>
      </c>
      <c r="DQ954" s="1" t="s">
        <v>228</v>
      </c>
      <c r="DR954" s="1" t="s">
        <v>588</v>
      </c>
      <c r="DU954" s="1" t="s">
        <v>10776</v>
      </c>
      <c r="DV954" s="1" t="s">
        <v>494</v>
      </c>
      <c r="DW954" s="1" t="s">
        <v>233</v>
      </c>
      <c r="DX954" s="1" t="s">
        <v>234</v>
      </c>
      <c r="DY954" s="1" t="s">
        <v>3846</v>
      </c>
      <c r="DZ954" s="1" t="s">
        <v>310</v>
      </c>
      <c r="EA954" s="1" t="s">
        <v>344</v>
      </c>
      <c r="EC954" s="1" t="s">
        <v>237</v>
      </c>
      <c r="ED954" s="1" t="s">
        <v>555</v>
      </c>
      <c r="EE954" s="1" t="s">
        <v>493</v>
      </c>
      <c r="EG954" s="1" t="s">
        <v>494</v>
      </c>
      <c r="EL954" s="1" t="s">
        <v>329</v>
      </c>
      <c r="EM954" s="1" t="s">
        <v>206</v>
      </c>
      <c r="EN954" s="1" t="s">
        <v>210</v>
      </c>
      <c r="EO954" s="1" t="s">
        <v>229</v>
      </c>
      <c r="EQ954" s="1" t="s">
        <v>238</v>
      </c>
      <c r="EU954" s="1" t="s">
        <v>238</v>
      </c>
      <c r="EY954" s="1" t="s">
        <v>238</v>
      </c>
      <c r="FC954" s="1" t="s">
        <v>238</v>
      </c>
      <c r="FF954" s="1" t="s">
        <v>239</v>
      </c>
      <c r="FG954" s="1" t="s">
        <v>192</v>
      </c>
      <c r="FH954" s="1" t="s">
        <v>192</v>
      </c>
      <c r="FJ954" s="1" t="s">
        <v>1469</v>
      </c>
      <c r="FK954" s="1" t="s">
        <v>229</v>
      </c>
      <c r="FL954" s="1" t="s">
        <v>10777</v>
      </c>
      <c r="FM954" s="1">
        <v>25108.0</v>
      </c>
      <c r="FN954" s="1" t="s">
        <v>10778</v>
      </c>
      <c r="FO954" s="1" t="s">
        <v>10779</v>
      </c>
      <c r="FP954" s="1">
        <v>238493.0</v>
      </c>
      <c r="FT954" s="1" t="s">
        <v>10780</v>
      </c>
      <c r="FU954" s="1" t="s">
        <v>10781</v>
      </c>
      <c r="FV954" s="1" t="s">
        <v>200</v>
      </c>
      <c r="FW954" s="1" t="s">
        <v>10782</v>
      </c>
      <c r="FZ954" s="1" t="s">
        <v>229</v>
      </c>
      <c r="GA954" s="1" t="s">
        <v>247</v>
      </c>
      <c r="GB954" s="2">
        <v>42073.0</v>
      </c>
      <c r="GC954" s="1" t="s">
        <v>10783</v>
      </c>
    </row>
    <row r="955">
      <c r="A955" s="1">
        <v>190000.0</v>
      </c>
      <c r="B955" s="1" t="s">
        <v>185</v>
      </c>
      <c r="C955" s="1" t="str">
        <f>"08605195"</f>
        <v>08605195</v>
      </c>
      <c r="D955" s="1" t="s">
        <v>186</v>
      </c>
      <c r="F955" s="1" t="str">
        <f t="shared" si="627"/>
        <v>136</v>
      </c>
      <c r="G955" s="2">
        <v>41764.0</v>
      </c>
      <c r="H955" s="1">
        <v>249900.0</v>
      </c>
      <c r="I955" s="1">
        <v>209.0</v>
      </c>
      <c r="J955" s="1">
        <v>189900.0</v>
      </c>
      <c r="K955" s="2">
        <v>41972.0</v>
      </c>
      <c r="L955" s="1">
        <v>209.0</v>
      </c>
      <c r="M955" s="2">
        <v>41972.0</v>
      </c>
      <c r="N955" s="1" t="s">
        <v>249</v>
      </c>
      <c r="O955" s="2">
        <v>41995.0</v>
      </c>
      <c r="P955" s="1">
        <v>183669.0</v>
      </c>
      <c r="Q955" s="1">
        <v>18653.0</v>
      </c>
      <c r="S955" s="1">
        <v>133.0</v>
      </c>
      <c r="T955" s="1" t="s">
        <v>7740</v>
      </c>
      <c r="U955" s="1" t="s">
        <v>1015</v>
      </c>
      <c r="V955" s="1" t="s">
        <v>5032</v>
      </c>
      <c r="W955" s="1">
        <v>60136.0</v>
      </c>
      <c r="Y955" s="1" t="s">
        <v>10784</v>
      </c>
      <c r="Z955" s="1">
        <v>2002.0</v>
      </c>
      <c r="AA955" s="1" t="s">
        <v>200</v>
      </c>
      <c r="AB955" s="1" t="s">
        <v>193</v>
      </c>
      <c r="AC955" s="1" t="s">
        <v>10785</v>
      </c>
      <c r="AD955" s="1" t="s">
        <v>5035</v>
      </c>
      <c r="AE955" s="1" t="s">
        <v>325</v>
      </c>
      <c r="AF955" s="1" t="s">
        <v>3429</v>
      </c>
      <c r="AG955" s="1" t="s">
        <v>10786</v>
      </c>
      <c r="AH955" s="1">
        <v>7280.0</v>
      </c>
      <c r="AI955" s="1">
        <v>0.1671</v>
      </c>
      <c r="AK955" s="1">
        <v>7.0</v>
      </c>
      <c r="AL955" s="1">
        <v>4.0</v>
      </c>
      <c r="AM955" s="1">
        <v>2.0</v>
      </c>
      <c r="AN955" s="1">
        <v>1.0</v>
      </c>
      <c r="AO955" s="1" t="s">
        <v>198</v>
      </c>
      <c r="AQ955" s="1" t="s">
        <v>198</v>
      </c>
      <c r="AR955" s="1" t="s">
        <v>200</v>
      </c>
      <c r="AS955" s="1" t="s">
        <v>199</v>
      </c>
      <c r="AT955" s="1">
        <v>2.0</v>
      </c>
      <c r="AV955" s="1" t="s">
        <v>200</v>
      </c>
      <c r="AW955" s="1">
        <v>6868.0</v>
      </c>
      <c r="AX955" s="1">
        <v>2013.0</v>
      </c>
      <c r="AY955" s="1" t="s">
        <v>387</v>
      </c>
      <c r="AZ955" s="1" t="s">
        <v>545</v>
      </c>
      <c r="BA955" s="1" t="str">
        <f>"0236132003"</f>
        <v>0236132003</v>
      </c>
      <c r="BC955" s="1">
        <v>0.0</v>
      </c>
      <c r="BD955" s="1">
        <v>190000.0</v>
      </c>
      <c r="BE955" s="2">
        <v>41764.0</v>
      </c>
      <c r="BF955" s="2" t="s">
        <v>10787</v>
      </c>
      <c r="BH955" s="1">
        <v>320.0</v>
      </c>
      <c r="BK955" s="1" t="s">
        <v>580</v>
      </c>
      <c r="BL955" s="1" t="str">
        <f>"15"</f>
        <v>15</v>
      </c>
      <c r="BM955" s="1" t="str">
        <f>"0"</f>
        <v>0</v>
      </c>
      <c r="BN955" s="1">
        <v>39.0</v>
      </c>
      <c r="BO955" s="1">
        <v>0.0</v>
      </c>
      <c r="BQ955" s="1">
        <v>300.0</v>
      </c>
      <c r="BR955" s="1">
        <v>300.0</v>
      </c>
      <c r="BS955" s="1">
        <v>300.0</v>
      </c>
      <c r="BU955" s="1" t="s">
        <v>924</v>
      </c>
      <c r="BV955" s="1" t="s">
        <v>206</v>
      </c>
      <c r="BW955" s="1" t="s">
        <v>301</v>
      </c>
      <c r="BX955" s="1" t="s">
        <v>229</v>
      </c>
      <c r="BY955" s="1" t="s">
        <v>361</v>
      </c>
      <c r="BZ955" s="1" t="s">
        <v>209</v>
      </c>
      <c r="CA955" s="1" t="s">
        <v>210</v>
      </c>
      <c r="CB955" s="1" t="s">
        <v>229</v>
      </c>
      <c r="CC955" s="1" t="s">
        <v>264</v>
      </c>
      <c r="CD955" s="1" t="s">
        <v>206</v>
      </c>
      <c r="CE955" s="1" t="s">
        <v>207</v>
      </c>
      <c r="CF955" s="1" t="s">
        <v>229</v>
      </c>
      <c r="CG955" s="1" t="s">
        <v>495</v>
      </c>
      <c r="CH955" s="1" t="s">
        <v>209</v>
      </c>
      <c r="CI955" s="1" t="s">
        <v>210</v>
      </c>
      <c r="CJ955" s="1" t="s">
        <v>229</v>
      </c>
      <c r="CK955" s="1" t="s">
        <v>495</v>
      </c>
      <c r="CL955" s="1" t="s">
        <v>209</v>
      </c>
      <c r="CM955" s="1" t="s">
        <v>210</v>
      </c>
      <c r="CN955" s="1" t="s">
        <v>229</v>
      </c>
      <c r="CO955" s="1" t="s">
        <v>495</v>
      </c>
      <c r="CP955" s="1" t="s">
        <v>209</v>
      </c>
      <c r="CQ955" s="1" t="s">
        <v>210</v>
      </c>
      <c r="CR955" s="1" t="s">
        <v>229</v>
      </c>
      <c r="CS955" s="1" t="s">
        <v>4353</v>
      </c>
      <c r="CT955" s="1" t="s">
        <v>206</v>
      </c>
      <c r="CU955" s="1" t="s">
        <v>268</v>
      </c>
      <c r="CV955" s="1" t="s">
        <v>229</v>
      </c>
      <c r="CX955" s="1" t="s">
        <v>204</v>
      </c>
      <c r="DA955" s="1" t="s">
        <v>200</v>
      </c>
      <c r="DC955" s="1" t="s">
        <v>335</v>
      </c>
      <c r="DD955" s="1" t="s">
        <v>336</v>
      </c>
      <c r="DE955" s="1" t="s">
        <v>273</v>
      </c>
      <c r="DF955" s="1" t="s">
        <v>619</v>
      </c>
      <c r="DG955" s="1" t="s">
        <v>482</v>
      </c>
      <c r="DH955" s="1" t="s">
        <v>220</v>
      </c>
      <c r="DJ955" s="1" t="s">
        <v>222</v>
      </c>
      <c r="DL955" s="1" t="s">
        <v>224</v>
      </c>
      <c r="DM955" s="1" t="s">
        <v>929</v>
      </c>
      <c r="DP955" s="1" t="s">
        <v>340</v>
      </c>
      <c r="DQ955" s="1" t="s">
        <v>228</v>
      </c>
      <c r="DR955" s="1" t="s">
        <v>229</v>
      </c>
      <c r="DV955" s="1" t="s">
        <v>232</v>
      </c>
      <c r="DW955" s="1" t="s">
        <v>891</v>
      </c>
      <c r="DX955" s="1" t="s">
        <v>234</v>
      </c>
      <c r="DZ955" s="1" t="s">
        <v>282</v>
      </c>
      <c r="EA955" s="1" t="s">
        <v>447</v>
      </c>
      <c r="EC955" s="1" t="s">
        <v>237</v>
      </c>
      <c r="EM955" s="1" t="s">
        <v>238</v>
      </c>
      <c r="EQ955" s="1" t="s">
        <v>238</v>
      </c>
      <c r="EU955" s="1" t="s">
        <v>238</v>
      </c>
      <c r="EY955" s="1" t="s">
        <v>238</v>
      </c>
      <c r="FC955" s="1" t="s">
        <v>238</v>
      </c>
      <c r="FF955" s="1" t="s">
        <v>239</v>
      </c>
      <c r="FG955" s="1" t="s">
        <v>192</v>
      </c>
      <c r="FH955" s="1" t="s">
        <v>192</v>
      </c>
      <c r="FJ955" s="1" t="s">
        <v>347</v>
      </c>
      <c r="FK955" s="1" t="s">
        <v>229</v>
      </c>
      <c r="FL955" s="1" t="s">
        <v>4635</v>
      </c>
      <c r="FM955" s="1">
        <v>1666.0</v>
      </c>
      <c r="FN955" s="1" t="s">
        <v>4636</v>
      </c>
      <c r="FO955" s="1" t="s">
        <v>4637</v>
      </c>
      <c r="FP955" s="1">
        <v>26352.0</v>
      </c>
      <c r="FQ955" s="1" t="s">
        <v>4638</v>
      </c>
      <c r="FU955" s="1" t="s">
        <v>10788</v>
      </c>
      <c r="FV955" s="1" t="s">
        <v>200</v>
      </c>
      <c r="FW955" s="1" t="s">
        <v>354</v>
      </c>
      <c r="FZ955" s="1" t="s">
        <v>229</v>
      </c>
      <c r="GA955" s="1" t="s">
        <v>291</v>
      </c>
      <c r="GB955" s="2">
        <v>41995.0</v>
      </c>
      <c r="GC955" s="1" t="s">
        <v>4640</v>
      </c>
    </row>
    <row r="956">
      <c r="A956" s="1">
        <v>345000.0</v>
      </c>
      <c r="B956" s="1" t="s">
        <v>185</v>
      </c>
      <c r="C956" s="1" t="str">
        <f>"08823318"</f>
        <v>08823318</v>
      </c>
      <c r="D956" s="1" t="s">
        <v>186</v>
      </c>
      <c r="F956" s="1" t="str">
        <f>"554"</f>
        <v>554</v>
      </c>
      <c r="G956" s="2">
        <v>42028.0</v>
      </c>
      <c r="H956" s="1">
        <v>354900.0</v>
      </c>
      <c r="I956" s="1">
        <v>25.0</v>
      </c>
      <c r="J956" s="1">
        <v>354900.0</v>
      </c>
      <c r="K956" s="2">
        <v>42051.0</v>
      </c>
      <c r="L956" s="1">
        <v>25.0</v>
      </c>
      <c r="M956" s="2">
        <v>42051.0</v>
      </c>
      <c r="N956" s="1" t="s">
        <v>187</v>
      </c>
      <c r="O956" s="2">
        <v>42087.0</v>
      </c>
      <c r="P956" s="1">
        <v>681.0</v>
      </c>
      <c r="Q956" s="1">
        <v>604.0</v>
      </c>
      <c r="S956" s="1">
        <v>893.0</v>
      </c>
      <c r="T956" s="1" t="s">
        <v>10789</v>
      </c>
      <c r="U956" s="1" t="s">
        <v>569</v>
      </c>
      <c r="V956" s="1" t="s">
        <v>2212</v>
      </c>
      <c r="W956" s="1">
        <v>60554.0</v>
      </c>
      <c r="Y956" s="1" t="s">
        <v>10790</v>
      </c>
      <c r="Z956" s="1">
        <v>1995.0</v>
      </c>
      <c r="AA956" s="1" t="s">
        <v>200</v>
      </c>
      <c r="AB956" s="1" t="s">
        <v>467</v>
      </c>
      <c r="AC956" s="1" t="s">
        <v>10791</v>
      </c>
      <c r="AD956" s="1" t="s">
        <v>1887</v>
      </c>
      <c r="AE956" s="1" t="s">
        <v>325</v>
      </c>
      <c r="AF956" s="1" t="s">
        <v>1887</v>
      </c>
      <c r="AH956" s="1" t="s">
        <v>10792</v>
      </c>
      <c r="AK956" s="1">
        <v>11.0</v>
      </c>
      <c r="AL956" s="1">
        <v>4.0</v>
      </c>
      <c r="AM956" s="1">
        <v>3.0</v>
      </c>
      <c r="AN956" s="1">
        <v>1.0</v>
      </c>
      <c r="AO956" s="1" t="s">
        <v>198</v>
      </c>
      <c r="AP956" s="1">
        <v>1.0</v>
      </c>
      <c r="AQ956" s="1" t="s">
        <v>198</v>
      </c>
      <c r="AR956" s="1" t="s">
        <v>192</v>
      </c>
      <c r="AS956" s="1" t="s">
        <v>199</v>
      </c>
      <c r="AT956" s="1">
        <v>3.0</v>
      </c>
      <c r="AV956" s="1" t="s">
        <v>200</v>
      </c>
      <c r="AW956" s="1">
        <v>10090.0</v>
      </c>
      <c r="AX956" s="1">
        <v>2013.0</v>
      </c>
      <c r="AY956" s="1" t="s">
        <v>387</v>
      </c>
      <c r="AZ956" s="1" t="s">
        <v>200</v>
      </c>
      <c r="BA956" s="1" t="str">
        <f>"1403454007"</f>
        <v>1403454007</v>
      </c>
      <c r="BB956" s="1" t="s">
        <v>200</v>
      </c>
      <c r="BC956" s="1">
        <v>2800.0</v>
      </c>
      <c r="BD956" s="1">
        <v>345000.0</v>
      </c>
      <c r="BE956" s="2">
        <v>42027.0</v>
      </c>
      <c r="BF956" s="2" t="s">
        <v>10793</v>
      </c>
      <c r="BG956" s="1" t="s">
        <v>1890</v>
      </c>
      <c r="BH956" s="1">
        <v>300.0</v>
      </c>
      <c r="BI956" s="1" t="s">
        <v>1635</v>
      </c>
      <c r="BJ956" s="1" t="s">
        <v>1636</v>
      </c>
      <c r="BK956" s="1" t="s">
        <v>580</v>
      </c>
      <c r="BL956" s="1" t="str">
        <f t="shared" ref="BL956:BM956" si="628">""</f>
        <v/>
      </c>
      <c r="BM956" s="1" t="str">
        <f t="shared" si="628"/>
        <v/>
      </c>
      <c r="BQ956" s="1">
        <v>302.0</v>
      </c>
      <c r="BR956" s="1">
        <v>302.0</v>
      </c>
      <c r="BS956" s="1">
        <v>302.0</v>
      </c>
      <c r="BU956" s="1" t="s">
        <v>758</v>
      </c>
      <c r="BV956" s="1" t="s">
        <v>206</v>
      </c>
      <c r="BW956" s="1" t="s">
        <v>210</v>
      </c>
      <c r="BX956" s="1" t="s">
        <v>239</v>
      </c>
      <c r="BY956" s="1" t="s">
        <v>432</v>
      </c>
      <c r="BZ956" s="1" t="s">
        <v>209</v>
      </c>
      <c r="CA956" s="1" t="s">
        <v>210</v>
      </c>
      <c r="CB956" s="1" t="s">
        <v>239</v>
      </c>
      <c r="CC956" s="1" t="s">
        <v>329</v>
      </c>
      <c r="CD956" s="1" t="s">
        <v>206</v>
      </c>
      <c r="CE956" s="1" t="s">
        <v>210</v>
      </c>
      <c r="CF956" s="1" t="s">
        <v>239</v>
      </c>
      <c r="CG956" s="1" t="s">
        <v>363</v>
      </c>
      <c r="CH956" s="1" t="s">
        <v>209</v>
      </c>
      <c r="CI956" s="1" t="s">
        <v>210</v>
      </c>
      <c r="CJ956" s="1" t="s">
        <v>239</v>
      </c>
      <c r="CK956" s="1" t="s">
        <v>363</v>
      </c>
      <c r="CL956" s="1" t="s">
        <v>209</v>
      </c>
      <c r="CM956" s="1" t="s">
        <v>210</v>
      </c>
      <c r="CN956" s="1" t="s">
        <v>239</v>
      </c>
      <c r="CO956" s="1" t="s">
        <v>212</v>
      </c>
      <c r="CP956" s="1" t="s">
        <v>209</v>
      </c>
      <c r="CQ956" s="1" t="s">
        <v>210</v>
      </c>
      <c r="CR956" s="1" t="s">
        <v>239</v>
      </c>
      <c r="CS956" s="1" t="s">
        <v>2492</v>
      </c>
      <c r="CT956" s="1" t="s">
        <v>206</v>
      </c>
      <c r="CU956" s="1" t="s">
        <v>207</v>
      </c>
      <c r="CV956" s="1" t="s">
        <v>239</v>
      </c>
      <c r="CW956" s="1" t="s">
        <v>854</v>
      </c>
      <c r="CX956" s="1" t="s">
        <v>206</v>
      </c>
      <c r="CY956" s="1" t="s">
        <v>210</v>
      </c>
      <c r="CZ956" s="1" t="s">
        <v>239</v>
      </c>
      <c r="DA956" s="1" t="s">
        <v>200</v>
      </c>
      <c r="DC956" s="1" t="s">
        <v>678</v>
      </c>
      <c r="DD956" s="1" t="s">
        <v>926</v>
      </c>
      <c r="DE956" s="1" t="s">
        <v>273</v>
      </c>
      <c r="DF956" s="1" t="s">
        <v>219</v>
      </c>
      <c r="DG956" s="1" t="s">
        <v>10794</v>
      </c>
      <c r="DH956" s="1" t="s">
        <v>220</v>
      </c>
      <c r="DI956" s="1" t="s">
        <v>275</v>
      </c>
      <c r="DJ956" s="1" t="s">
        <v>222</v>
      </c>
      <c r="DL956" s="1" t="s">
        <v>224</v>
      </c>
      <c r="DM956" s="1" t="s">
        <v>338</v>
      </c>
      <c r="DN956" s="1" t="s">
        <v>399</v>
      </c>
      <c r="DO956" s="1" t="s">
        <v>486</v>
      </c>
      <c r="DP956" s="1" t="s">
        <v>340</v>
      </c>
      <c r="DQ956" s="1" t="s">
        <v>441</v>
      </c>
      <c r="DR956" s="1" t="s">
        <v>588</v>
      </c>
      <c r="DV956" s="1" t="s">
        <v>10795</v>
      </c>
      <c r="DW956" s="1" t="s">
        <v>964</v>
      </c>
      <c r="DX956" s="1" t="s">
        <v>234</v>
      </c>
      <c r="DY956" s="1" t="s">
        <v>490</v>
      </c>
      <c r="DZ956" s="1" t="s">
        <v>310</v>
      </c>
      <c r="EA956" s="1" t="s">
        <v>344</v>
      </c>
      <c r="EC956" s="1" t="s">
        <v>237</v>
      </c>
      <c r="ED956" s="1" t="s">
        <v>407</v>
      </c>
      <c r="EG956" s="1" t="s">
        <v>494</v>
      </c>
      <c r="EH956" s="1" t="s">
        <v>450</v>
      </c>
      <c r="EI956" s="1" t="s">
        <v>557</v>
      </c>
      <c r="EL956" s="1" t="s">
        <v>543</v>
      </c>
      <c r="EM956" s="1" t="s">
        <v>206</v>
      </c>
      <c r="EN956" s="1" t="s">
        <v>210</v>
      </c>
      <c r="EO956" s="1" t="s">
        <v>239</v>
      </c>
      <c r="EP956" s="1" t="s">
        <v>10796</v>
      </c>
      <c r="EQ956" s="1" t="s">
        <v>42</v>
      </c>
      <c r="ER956" s="1" t="s">
        <v>210</v>
      </c>
      <c r="ET956" s="1" t="s">
        <v>582</v>
      </c>
      <c r="EU956" s="1" t="s">
        <v>209</v>
      </c>
      <c r="EV956" s="1" t="s">
        <v>210</v>
      </c>
      <c r="EY956" s="1" t="s">
        <v>238</v>
      </c>
      <c r="FC956" s="1" t="s">
        <v>238</v>
      </c>
      <c r="FF956" s="1" t="s">
        <v>239</v>
      </c>
      <c r="FG956" s="1" t="s">
        <v>192</v>
      </c>
      <c r="FH956" s="1" t="s">
        <v>192</v>
      </c>
      <c r="FJ956" s="1" t="s">
        <v>2552</v>
      </c>
      <c r="FK956" s="1" t="s">
        <v>348</v>
      </c>
      <c r="FL956" s="1" t="s">
        <v>6918</v>
      </c>
      <c r="FM956" s="1">
        <v>31580.0</v>
      </c>
      <c r="FN956" s="1" t="s">
        <v>6919</v>
      </c>
      <c r="FO956" s="1" t="s">
        <v>10797</v>
      </c>
      <c r="FP956" s="1">
        <v>315422.0</v>
      </c>
      <c r="FQ956" s="1" t="s">
        <v>10798</v>
      </c>
      <c r="FU956" s="1" t="s">
        <v>10799</v>
      </c>
      <c r="FV956" s="1" t="s">
        <v>200</v>
      </c>
      <c r="FW956" s="1" t="s">
        <v>4583</v>
      </c>
      <c r="FZ956" s="1" t="s">
        <v>229</v>
      </c>
      <c r="GA956" s="1" t="s">
        <v>291</v>
      </c>
      <c r="GB956" s="2">
        <v>42087.0</v>
      </c>
      <c r="GC956" s="1" t="s">
        <v>10800</v>
      </c>
    </row>
    <row r="957">
      <c r="A957" s="1">
        <v>105000.0</v>
      </c>
      <c r="B957" s="1" t="s">
        <v>185</v>
      </c>
      <c r="C957" s="1" t="str">
        <f>"08599364"</f>
        <v>08599364</v>
      </c>
      <c r="D957" s="1" t="s">
        <v>186</v>
      </c>
      <c r="F957" s="1" t="str">
        <f>"8063"</f>
        <v>8063</v>
      </c>
      <c r="G957" s="2">
        <v>41758.0</v>
      </c>
      <c r="H957" s="1">
        <v>119900.0</v>
      </c>
      <c r="I957" s="1">
        <v>136.0</v>
      </c>
      <c r="J957" s="1">
        <v>99900.0</v>
      </c>
      <c r="K957" s="2">
        <v>41892.0</v>
      </c>
      <c r="L957" s="1">
        <v>136.0</v>
      </c>
      <c r="M957" s="2">
        <v>41892.0</v>
      </c>
      <c r="N957" s="1" t="s">
        <v>187</v>
      </c>
      <c r="O957" s="2">
        <v>42013.0</v>
      </c>
      <c r="P957" s="1">
        <v>31120.0</v>
      </c>
      <c r="Q957" s="1">
        <v>3642.0</v>
      </c>
      <c r="R957" s="1">
        <v>3150.0</v>
      </c>
      <c r="S957" s="1">
        <v>5230.0</v>
      </c>
      <c r="T957" s="1" t="s">
        <v>10801</v>
      </c>
      <c r="U957" s="1" t="s">
        <v>189</v>
      </c>
      <c r="V957" s="1" t="s">
        <v>190</v>
      </c>
      <c r="W957" s="1">
        <v>60632.0</v>
      </c>
      <c r="Y957" s="1" t="s">
        <v>10802</v>
      </c>
      <c r="Z957" s="1" t="s">
        <v>296</v>
      </c>
      <c r="AA957" s="1" t="s">
        <v>192</v>
      </c>
      <c r="AB957" s="1" t="s">
        <v>193</v>
      </c>
      <c r="AD957" s="1" t="s">
        <v>194</v>
      </c>
      <c r="AE957" s="1" t="s">
        <v>195</v>
      </c>
      <c r="AF957" s="1" t="s">
        <v>659</v>
      </c>
      <c r="AH957" s="1" t="s">
        <v>359</v>
      </c>
      <c r="AK957" s="1">
        <v>8.0</v>
      </c>
      <c r="AL957" s="1">
        <v>3.0</v>
      </c>
      <c r="AM957" s="1">
        <v>2.0</v>
      </c>
      <c r="AN957" s="1">
        <v>0.0</v>
      </c>
      <c r="AO957" s="1" t="s">
        <v>229</v>
      </c>
      <c r="AQ957" s="1" t="s">
        <v>198</v>
      </c>
      <c r="AR957" s="1" t="s">
        <v>192</v>
      </c>
      <c r="AS957" s="1" t="s">
        <v>199</v>
      </c>
      <c r="AT957" s="1">
        <v>1.0</v>
      </c>
      <c r="AV957" s="1" t="s">
        <v>192</v>
      </c>
      <c r="AW957" s="1">
        <v>1499.16</v>
      </c>
      <c r="AX957" s="1">
        <v>2012.0</v>
      </c>
      <c r="AY957" s="1" t="s">
        <v>387</v>
      </c>
      <c r="AZ957" s="1" t="s">
        <v>200</v>
      </c>
      <c r="BA957" s="1" t="str">
        <f>"19114070360000"</f>
        <v>19114070360000</v>
      </c>
      <c r="BC957" s="1">
        <v>953.0</v>
      </c>
      <c r="BD957" s="1">
        <v>105000.0</v>
      </c>
      <c r="BE957" s="2">
        <v>41757.0</v>
      </c>
      <c r="BF957" s="1" t="s">
        <v>10803</v>
      </c>
      <c r="BH957" s="1">
        <v>0.0</v>
      </c>
      <c r="BK957" s="1" t="s">
        <v>204</v>
      </c>
      <c r="BL957" s="1" t="str">
        <f t="shared" ref="BL957:BM957" si="629">"0"</f>
        <v>0</v>
      </c>
      <c r="BM957" s="1" t="str">
        <f t="shared" si="629"/>
        <v>0</v>
      </c>
      <c r="BN957" s="1">
        <v>3500.0</v>
      </c>
      <c r="BO957" s="1">
        <v>5200.0</v>
      </c>
      <c r="BQ957" s="1">
        <v>299.0</v>
      </c>
      <c r="BR957" s="1">
        <v>299.0</v>
      </c>
      <c r="BS957" s="1">
        <v>299.0</v>
      </c>
      <c r="BU957" s="1" t="s">
        <v>329</v>
      </c>
      <c r="BV957" s="1" t="s">
        <v>206</v>
      </c>
      <c r="BY957" s="1" t="s">
        <v>955</v>
      </c>
      <c r="BZ957" s="1" t="s">
        <v>209</v>
      </c>
      <c r="CC957" s="1" t="s">
        <v>392</v>
      </c>
      <c r="CD957" s="1" t="s">
        <v>206</v>
      </c>
      <c r="CG957" s="1" t="s">
        <v>375</v>
      </c>
      <c r="CH957" s="1" t="s">
        <v>206</v>
      </c>
      <c r="CK957" s="1" t="s">
        <v>375</v>
      </c>
      <c r="CL957" s="1" t="s">
        <v>206</v>
      </c>
      <c r="CO957" s="1" t="s">
        <v>375</v>
      </c>
      <c r="CP957" s="1" t="s">
        <v>42</v>
      </c>
      <c r="CS957" s="1" t="s">
        <v>972</v>
      </c>
      <c r="CT957" s="1" t="s">
        <v>206</v>
      </c>
      <c r="CX957" s="1" t="s">
        <v>204</v>
      </c>
      <c r="DA957" s="1" t="s">
        <v>200</v>
      </c>
      <c r="DC957" s="1" t="s">
        <v>785</v>
      </c>
      <c r="DE957" s="1" t="s">
        <v>229</v>
      </c>
      <c r="DF957" s="1" t="s">
        <v>905</v>
      </c>
      <c r="DH957" s="1" t="s">
        <v>220</v>
      </c>
      <c r="DJ957" s="1" t="s">
        <v>222</v>
      </c>
      <c r="DL957" s="1" t="s">
        <v>858</v>
      </c>
      <c r="DM957" s="1" t="s">
        <v>229</v>
      </c>
      <c r="DQ957" s="1" t="s">
        <v>228</v>
      </c>
      <c r="DR957" s="1" t="s">
        <v>229</v>
      </c>
      <c r="DV957" s="1" t="s">
        <v>557</v>
      </c>
      <c r="DW957" s="1" t="s">
        <v>279</v>
      </c>
      <c r="DX957" s="1" t="s">
        <v>234</v>
      </c>
      <c r="EA957" s="1" t="s">
        <v>644</v>
      </c>
      <c r="EC957" s="1" t="s">
        <v>645</v>
      </c>
      <c r="EG957" s="1" t="s">
        <v>557</v>
      </c>
      <c r="EL957" s="1" t="s">
        <v>3271</v>
      </c>
      <c r="EM957" s="1" t="s">
        <v>42</v>
      </c>
      <c r="EQ957" s="1" t="s">
        <v>238</v>
      </c>
      <c r="EU957" s="1" t="s">
        <v>238</v>
      </c>
      <c r="EY957" s="1" t="s">
        <v>238</v>
      </c>
      <c r="FC957" s="1" t="s">
        <v>238</v>
      </c>
      <c r="FF957" s="1" t="s">
        <v>239</v>
      </c>
      <c r="FG957" s="1" t="s">
        <v>192</v>
      </c>
      <c r="FH957" s="1" t="s">
        <v>192</v>
      </c>
      <c r="FJ957" s="1" t="s">
        <v>10804</v>
      </c>
      <c r="FK957" s="1" t="s">
        <v>1586</v>
      </c>
      <c r="FL957" s="1" t="s">
        <v>10805</v>
      </c>
      <c r="FM957" s="1">
        <v>15232.0</v>
      </c>
      <c r="FN957" s="1" t="s">
        <v>10806</v>
      </c>
      <c r="FO957" s="1" t="s">
        <v>10807</v>
      </c>
      <c r="FP957" s="1">
        <v>188269.0</v>
      </c>
      <c r="FU957" s="1" t="s">
        <v>10808</v>
      </c>
      <c r="FV957" s="1" t="s">
        <v>200</v>
      </c>
      <c r="FW957" s="1" t="s">
        <v>10809</v>
      </c>
      <c r="FX957" s="1" t="s">
        <v>655</v>
      </c>
      <c r="FZ957" s="1" t="s">
        <v>229</v>
      </c>
      <c r="GA957" s="1" t="s">
        <v>291</v>
      </c>
      <c r="GB957" s="2">
        <v>42016.0</v>
      </c>
      <c r="GC957" s="1" t="s">
        <v>10810</v>
      </c>
    </row>
    <row r="958">
      <c r="A958" s="1">
        <v>640000.0</v>
      </c>
      <c r="B958" s="1" t="s">
        <v>185</v>
      </c>
      <c r="C958" s="1" t="str">
        <f>"08721913"</f>
        <v>08721913</v>
      </c>
      <c r="D958" s="1" t="s">
        <v>186</v>
      </c>
      <c r="F958" s="1" t="str">
        <f>"8022"</f>
        <v>8022</v>
      </c>
      <c r="G958" s="2">
        <v>41890.0</v>
      </c>
      <c r="H958" s="1">
        <v>695000.0</v>
      </c>
      <c r="I958" s="1">
        <v>121.0</v>
      </c>
      <c r="J958" s="1">
        <v>665000.0</v>
      </c>
      <c r="K958" s="2">
        <v>42010.0</v>
      </c>
      <c r="L958" s="1">
        <v>121.0</v>
      </c>
      <c r="M958" s="2">
        <v>42010.0</v>
      </c>
      <c r="N958" s="1" t="s">
        <v>187</v>
      </c>
      <c r="O958" s="2">
        <v>42033.0</v>
      </c>
      <c r="P958" s="1">
        <v>875324.0</v>
      </c>
      <c r="Q958" s="1">
        <v>18705.0</v>
      </c>
      <c r="S958" s="1">
        <v>2547.0</v>
      </c>
      <c r="T958" s="1" t="s">
        <v>7911</v>
      </c>
      <c r="U958" s="1" t="s">
        <v>320</v>
      </c>
      <c r="V958" s="1" t="s">
        <v>190</v>
      </c>
      <c r="W958" s="1">
        <v>60647.0</v>
      </c>
      <c r="Y958" s="1" t="s">
        <v>10811</v>
      </c>
      <c r="Z958" s="1">
        <v>1996.0</v>
      </c>
      <c r="AA958" s="1" t="s">
        <v>200</v>
      </c>
      <c r="AB958" s="1" t="s">
        <v>193</v>
      </c>
      <c r="AD958" s="1" t="s">
        <v>194</v>
      </c>
      <c r="AE958" s="1" t="s">
        <v>195</v>
      </c>
      <c r="AF958" s="1" t="s">
        <v>827</v>
      </c>
      <c r="AH958" s="1" t="s">
        <v>10812</v>
      </c>
      <c r="AK958" s="1">
        <v>9.0</v>
      </c>
      <c r="AL958" s="1">
        <v>4.0</v>
      </c>
      <c r="AM958" s="1">
        <v>3.0</v>
      </c>
      <c r="AN958" s="1">
        <v>1.0</v>
      </c>
      <c r="AO958" s="1" t="s">
        <v>198</v>
      </c>
      <c r="AP958" s="1">
        <v>1.0</v>
      </c>
      <c r="AQ958" s="1" t="s">
        <v>472</v>
      </c>
      <c r="AR958" s="1" t="s">
        <v>192</v>
      </c>
      <c r="AS958" s="1" t="s">
        <v>199</v>
      </c>
      <c r="AT958" s="1">
        <v>2.0</v>
      </c>
      <c r="AV958" s="1" t="s">
        <v>200</v>
      </c>
      <c r="AW958" s="1">
        <v>8092.0</v>
      </c>
      <c r="AX958" s="1">
        <v>2012.0</v>
      </c>
      <c r="AZ958" s="1" t="s">
        <v>200</v>
      </c>
      <c r="BA958" s="1" t="str">
        <f>"13364130060000"</f>
        <v>13364130060000</v>
      </c>
      <c r="BC958" s="1">
        <v>0.0</v>
      </c>
      <c r="BD958" s="1">
        <v>640000.0</v>
      </c>
      <c r="BE958" s="2">
        <v>41890.0</v>
      </c>
      <c r="BF958" s="2" t="s">
        <v>10813</v>
      </c>
      <c r="BH958" s="1">
        <v>0.0</v>
      </c>
      <c r="BK958" s="1" t="s">
        <v>204</v>
      </c>
      <c r="BL958" s="1" t="str">
        <f>"1900"</f>
        <v>1900</v>
      </c>
      <c r="BM958" s="1" t="str">
        <f>"0"</f>
        <v>0</v>
      </c>
      <c r="BN958" s="1">
        <v>2547.0</v>
      </c>
      <c r="BO958" s="1">
        <v>0.0</v>
      </c>
      <c r="BQ958" s="1">
        <v>299.0</v>
      </c>
      <c r="BR958" s="1">
        <v>299.0</v>
      </c>
      <c r="BS958" s="1">
        <v>299.0</v>
      </c>
      <c r="BU958" s="1" t="s">
        <v>3817</v>
      </c>
      <c r="BV958" s="1" t="s">
        <v>206</v>
      </c>
      <c r="BW958" s="1" t="s">
        <v>207</v>
      </c>
      <c r="BY958" s="1" t="s">
        <v>480</v>
      </c>
      <c r="BZ958" s="1" t="s">
        <v>209</v>
      </c>
      <c r="CA958" s="1" t="s">
        <v>210</v>
      </c>
      <c r="CC958" s="1" t="s">
        <v>542</v>
      </c>
      <c r="CD958" s="1" t="s">
        <v>206</v>
      </c>
      <c r="CE958" s="1" t="s">
        <v>207</v>
      </c>
      <c r="CG958" s="1" t="s">
        <v>969</v>
      </c>
      <c r="CH958" s="1" t="s">
        <v>209</v>
      </c>
      <c r="CI958" s="1" t="s">
        <v>210</v>
      </c>
      <c r="CK958" s="1" t="s">
        <v>969</v>
      </c>
      <c r="CL958" s="1" t="s">
        <v>209</v>
      </c>
      <c r="CM958" s="1" t="s">
        <v>210</v>
      </c>
      <c r="CO958" s="1" t="s">
        <v>1426</v>
      </c>
      <c r="CP958" s="1" t="s">
        <v>267</v>
      </c>
      <c r="CQ958" s="1" t="s">
        <v>210</v>
      </c>
      <c r="CS958" s="1" t="s">
        <v>1623</v>
      </c>
      <c r="CT958" s="1" t="s">
        <v>206</v>
      </c>
      <c r="CU958" s="1" t="s">
        <v>207</v>
      </c>
      <c r="CW958" s="1" t="s">
        <v>784</v>
      </c>
      <c r="CX958" s="1" t="s">
        <v>206</v>
      </c>
      <c r="CY958" s="1" t="s">
        <v>207</v>
      </c>
      <c r="DA958" s="1" t="s">
        <v>200</v>
      </c>
      <c r="DC958" s="1" t="s">
        <v>678</v>
      </c>
      <c r="DD958" s="1" t="s">
        <v>731</v>
      </c>
      <c r="DE958" s="1" t="s">
        <v>273</v>
      </c>
      <c r="DF958" s="1" t="s">
        <v>219</v>
      </c>
      <c r="DG958" s="1" t="s">
        <v>2311</v>
      </c>
      <c r="DH958" s="1" t="s">
        <v>220</v>
      </c>
      <c r="DJ958" s="1" t="s">
        <v>222</v>
      </c>
      <c r="DL958" s="1" t="s">
        <v>224</v>
      </c>
      <c r="DM958" s="1" t="s">
        <v>229</v>
      </c>
      <c r="DP958" s="1" t="s">
        <v>227</v>
      </c>
      <c r="DQ958" s="1" t="s">
        <v>228</v>
      </c>
      <c r="DR958" s="1" t="s">
        <v>229</v>
      </c>
      <c r="DV958" s="1" t="s">
        <v>2023</v>
      </c>
      <c r="DW958" s="1" t="s">
        <v>233</v>
      </c>
      <c r="DX958" s="1" t="s">
        <v>234</v>
      </c>
      <c r="EA958" s="1" t="s">
        <v>1027</v>
      </c>
      <c r="EC958" s="1" t="s">
        <v>237</v>
      </c>
      <c r="EG958" s="1" t="s">
        <v>2023</v>
      </c>
      <c r="EL958" s="1" t="s">
        <v>1825</v>
      </c>
      <c r="EM958" s="1" t="s">
        <v>267</v>
      </c>
      <c r="EQ958" s="1" t="s">
        <v>238</v>
      </c>
      <c r="EU958" s="1" t="s">
        <v>238</v>
      </c>
      <c r="EY958" s="1" t="s">
        <v>238</v>
      </c>
      <c r="FC958" s="1" t="s">
        <v>238</v>
      </c>
      <c r="FF958" s="1" t="s">
        <v>239</v>
      </c>
      <c r="FG958" s="1" t="s">
        <v>192</v>
      </c>
      <c r="FH958" s="1" t="s">
        <v>192</v>
      </c>
      <c r="FJ958" s="1" t="s">
        <v>561</v>
      </c>
      <c r="FK958" s="1" t="s">
        <v>229</v>
      </c>
      <c r="FL958" s="1" t="s">
        <v>1358</v>
      </c>
      <c r="FM958" s="1">
        <v>3310.0</v>
      </c>
      <c r="FN958" s="1" t="s">
        <v>10814</v>
      </c>
      <c r="FO958" s="1" t="s">
        <v>10815</v>
      </c>
      <c r="FP958" s="1">
        <v>31445.0</v>
      </c>
      <c r="FQ958" s="1" t="s">
        <v>10816</v>
      </c>
      <c r="FU958" s="1" t="s">
        <v>10817</v>
      </c>
      <c r="FV958" s="1" t="s">
        <v>200</v>
      </c>
      <c r="FW958" s="1" t="s">
        <v>10818</v>
      </c>
      <c r="FX958" s="1" t="s">
        <v>246</v>
      </c>
      <c r="FZ958" s="1" t="s">
        <v>229</v>
      </c>
      <c r="GA958" s="1" t="s">
        <v>291</v>
      </c>
      <c r="GB958" s="2">
        <v>42033.0</v>
      </c>
      <c r="GC958" s="1" t="s">
        <v>10819</v>
      </c>
    </row>
    <row r="959">
      <c r="A959" s="1">
        <v>67000.0</v>
      </c>
      <c r="B959" s="1" t="s">
        <v>185</v>
      </c>
      <c r="C959" s="1" t="str">
        <f>"08599456"</f>
        <v>08599456</v>
      </c>
      <c r="D959" s="1" t="s">
        <v>186</v>
      </c>
      <c r="F959" s="1" t="str">
        <f>"8070"</f>
        <v>8070</v>
      </c>
      <c r="G959" s="2">
        <v>41758.0</v>
      </c>
      <c r="H959" s="1">
        <v>99900.0</v>
      </c>
      <c r="I959" s="1">
        <v>162.0</v>
      </c>
      <c r="J959" s="1">
        <v>69900.0</v>
      </c>
      <c r="K959" s="2">
        <v>41918.0</v>
      </c>
      <c r="L959" s="1">
        <v>162.0</v>
      </c>
      <c r="M959" s="2">
        <v>41918.0</v>
      </c>
      <c r="N959" s="1" t="s">
        <v>249</v>
      </c>
      <c r="O959" s="2">
        <v>42048.0</v>
      </c>
      <c r="P959" s="1">
        <v>109722.0</v>
      </c>
      <c r="Q959" s="1">
        <v>12511.0</v>
      </c>
      <c r="S959" s="1">
        <v>8018.0</v>
      </c>
      <c r="T959" s="1" t="s">
        <v>10820</v>
      </c>
      <c r="U959" s="1" t="s">
        <v>189</v>
      </c>
      <c r="V959" s="1" t="s">
        <v>190</v>
      </c>
      <c r="W959" s="1">
        <v>60652.0</v>
      </c>
      <c r="Y959" s="1" t="s">
        <v>10821</v>
      </c>
      <c r="Z959" s="1">
        <v>1948.0</v>
      </c>
      <c r="AA959" s="1" t="s">
        <v>192</v>
      </c>
      <c r="AB959" s="1" t="s">
        <v>193</v>
      </c>
      <c r="AD959" s="1" t="s">
        <v>194</v>
      </c>
      <c r="AE959" s="1" t="s">
        <v>195</v>
      </c>
      <c r="AF959" s="1" t="s">
        <v>1154</v>
      </c>
      <c r="AH959" s="1" t="s">
        <v>7233</v>
      </c>
      <c r="AI959" s="1">
        <v>0.0868</v>
      </c>
      <c r="AK959" s="1">
        <v>8.0</v>
      </c>
      <c r="AL959" s="1">
        <v>4.0</v>
      </c>
      <c r="AM959" s="1">
        <v>2.0</v>
      </c>
      <c r="AN959" s="1">
        <v>1.0</v>
      </c>
      <c r="AO959" s="1" t="s">
        <v>229</v>
      </c>
      <c r="AQ959" s="1" t="s">
        <v>198</v>
      </c>
      <c r="AR959" s="1" t="s">
        <v>192</v>
      </c>
      <c r="AS959" s="1" t="s">
        <v>199</v>
      </c>
      <c r="AT959" s="1">
        <v>2.0</v>
      </c>
      <c r="AV959" s="1" t="s">
        <v>200</v>
      </c>
      <c r="AW959" s="1">
        <v>1950.43</v>
      </c>
      <c r="AX959" s="1">
        <v>2012.0</v>
      </c>
      <c r="AY959" s="1" t="s">
        <v>387</v>
      </c>
      <c r="AZ959" s="1" t="s">
        <v>200</v>
      </c>
      <c r="BA959" s="1" t="str">
        <f>"19362080300000"</f>
        <v>19362080300000</v>
      </c>
      <c r="BB959" s="1" t="s">
        <v>200</v>
      </c>
      <c r="BC959" s="1">
        <v>0.0</v>
      </c>
      <c r="BD959" s="1">
        <v>67000.0</v>
      </c>
      <c r="BE959" s="2">
        <v>41757.0</v>
      </c>
      <c r="BF959" s="2" t="s">
        <v>10822</v>
      </c>
      <c r="BH959" s="1">
        <v>0.0</v>
      </c>
      <c r="BK959" s="1" t="s">
        <v>204</v>
      </c>
      <c r="BL959" s="1" t="str">
        <f t="shared" ref="BL959:BM959" si="630">"0"</f>
        <v>0</v>
      </c>
      <c r="BM959" s="1" t="str">
        <f t="shared" si="630"/>
        <v>0</v>
      </c>
      <c r="BN959" s="1">
        <v>2700.0</v>
      </c>
      <c r="BO959" s="1">
        <v>8018.0</v>
      </c>
      <c r="BQ959" s="1">
        <v>299.0</v>
      </c>
      <c r="BR959" s="1">
        <v>299.0</v>
      </c>
      <c r="BS959" s="1">
        <v>299.0</v>
      </c>
      <c r="BU959" s="1" t="s">
        <v>664</v>
      </c>
      <c r="BV959" s="1" t="s">
        <v>206</v>
      </c>
      <c r="BY959" s="1" t="s">
        <v>332</v>
      </c>
      <c r="BZ959" s="1" t="s">
        <v>206</v>
      </c>
      <c r="CA959" s="1" t="s">
        <v>210</v>
      </c>
      <c r="CC959" s="1" t="s">
        <v>543</v>
      </c>
      <c r="CD959" s="1" t="s">
        <v>206</v>
      </c>
      <c r="CG959" s="1" t="s">
        <v>269</v>
      </c>
      <c r="CH959" s="1" t="s">
        <v>206</v>
      </c>
      <c r="CK959" s="1" t="s">
        <v>2872</v>
      </c>
      <c r="CL959" s="1" t="s">
        <v>209</v>
      </c>
      <c r="CO959" s="1" t="s">
        <v>2219</v>
      </c>
      <c r="CP959" s="1" t="s">
        <v>209</v>
      </c>
      <c r="CS959" s="1" t="s">
        <v>543</v>
      </c>
      <c r="CT959" s="1" t="s">
        <v>206</v>
      </c>
      <c r="CU959" s="1" t="s">
        <v>617</v>
      </c>
      <c r="CW959" s="1" t="s">
        <v>1483</v>
      </c>
      <c r="CX959" s="1" t="s">
        <v>267</v>
      </c>
      <c r="DA959" s="1" t="s">
        <v>200</v>
      </c>
      <c r="DC959" s="1" t="s">
        <v>702</v>
      </c>
      <c r="DE959" s="1" t="s">
        <v>273</v>
      </c>
      <c r="DF959" s="1" t="s">
        <v>219</v>
      </c>
      <c r="DH959" s="1" t="s">
        <v>307</v>
      </c>
      <c r="DJ959" s="1" t="s">
        <v>222</v>
      </c>
      <c r="DL959" s="1" t="s">
        <v>224</v>
      </c>
      <c r="DM959" s="1" t="s">
        <v>229</v>
      </c>
      <c r="DQ959" s="1" t="s">
        <v>794</v>
      </c>
      <c r="DR959" s="1" t="s">
        <v>229</v>
      </c>
      <c r="DS959" s="1" t="s">
        <v>230</v>
      </c>
      <c r="DU959" s="1" t="s">
        <v>487</v>
      </c>
      <c r="DV959" s="1" t="s">
        <v>232</v>
      </c>
      <c r="DW959" s="1" t="s">
        <v>7053</v>
      </c>
      <c r="DX959" s="1" t="s">
        <v>234</v>
      </c>
      <c r="EC959" s="1" t="s">
        <v>645</v>
      </c>
      <c r="EM959" s="1" t="s">
        <v>238</v>
      </c>
      <c r="EQ959" s="1" t="s">
        <v>238</v>
      </c>
      <c r="EU959" s="1" t="s">
        <v>238</v>
      </c>
      <c r="EY959" s="1" t="s">
        <v>238</v>
      </c>
      <c r="FC959" s="1" t="s">
        <v>238</v>
      </c>
      <c r="FF959" s="1" t="s">
        <v>239</v>
      </c>
      <c r="FG959" s="1" t="s">
        <v>192</v>
      </c>
      <c r="FH959" s="1" t="s">
        <v>192</v>
      </c>
      <c r="FJ959" s="1" t="s">
        <v>1248</v>
      </c>
      <c r="FK959" s="1" t="s">
        <v>229</v>
      </c>
      <c r="FL959" s="1" t="s">
        <v>3272</v>
      </c>
      <c r="FM959" s="1">
        <v>12511.0</v>
      </c>
      <c r="FN959" s="1" t="s">
        <v>3273</v>
      </c>
      <c r="FO959" s="1" t="s">
        <v>3274</v>
      </c>
      <c r="FP959" s="1">
        <v>121408.0</v>
      </c>
      <c r="FQ959" s="1" t="s">
        <v>3275</v>
      </c>
      <c r="FU959" s="1" t="s">
        <v>10823</v>
      </c>
      <c r="FV959" s="1" t="s">
        <v>200</v>
      </c>
      <c r="FW959" s="1" t="s">
        <v>1411</v>
      </c>
      <c r="FX959" s="1" t="s">
        <v>655</v>
      </c>
      <c r="FZ959" s="1" t="s">
        <v>229</v>
      </c>
      <c r="GA959" s="1" t="s">
        <v>291</v>
      </c>
      <c r="GB959" s="2">
        <v>42051.0</v>
      </c>
      <c r="GC959" s="1" t="s">
        <v>10824</v>
      </c>
    </row>
    <row r="960">
      <c r="A960" s="1">
        <v>215000.0</v>
      </c>
      <c r="B960" s="1" t="s">
        <v>185</v>
      </c>
      <c r="C960" s="1" t="str">
        <f>"08603423"</f>
        <v>08603423</v>
      </c>
      <c r="D960" s="1" t="s">
        <v>186</v>
      </c>
      <c r="F960" s="1" t="str">
        <f>"8072"</f>
        <v>8072</v>
      </c>
      <c r="G960" s="2">
        <v>41761.0</v>
      </c>
      <c r="H960" s="1">
        <v>255000.0</v>
      </c>
      <c r="I960" s="1">
        <v>223.0</v>
      </c>
      <c r="J960" s="1">
        <v>230000.0</v>
      </c>
      <c r="K960" s="2">
        <v>41983.0</v>
      </c>
      <c r="L960" s="1">
        <v>223.0</v>
      </c>
      <c r="M960" s="2">
        <v>41983.0</v>
      </c>
      <c r="N960" s="1" t="s">
        <v>187</v>
      </c>
      <c r="O960" s="2">
        <v>42094.0</v>
      </c>
      <c r="P960" s="1">
        <v>602178.0</v>
      </c>
      <c r="Q960" s="1">
        <v>60788.0</v>
      </c>
      <c r="R960" s="1">
        <v>2.0</v>
      </c>
      <c r="S960" s="1">
        <v>1526.0</v>
      </c>
      <c r="T960" s="1" t="s">
        <v>10825</v>
      </c>
      <c r="U960" s="1" t="s">
        <v>320</v>
      </c>
      <c r="V960" s="1" t="s">
        <v>190</v>
      </c>
      <c r="W960" s="1">
        <v>60643.0</v>
      </c>
      <c r="X960" s="1">
        <v>2813.0</v>
      </c>
      <c r="Y960" s="1" t="s">
        <v>10826</v>
      </c>
      <c r="Z960" s="1">
        <v>1884.0</v>
      </c>
      <c r="AA960" s="1" t="s">
        <v>192</v>
      </c>
      <c r="AB960" s="1" t="s">
        <v>193</v>
      </c>
      <c r="AD960" s="1" t="s">
        <v>194</v>
      </c>
      <c r="AE960" s="1" t="s">
        <v>195</v>
      </c>
      <c r="AF960" s="1" t="s">
        <v>659</v>
      </c>
      <c r="AG960" s="1" t="s">
        <v>3711</v>
      </c>
      <c r="AH960" s="1" t="s">
        <v>10827</v>
      </c>
      <c r="AK960" s="1">
        <v>8.0</v>
      </c>
      <c r="AL960" s="1">
        <v>4.0</v>
      </c>
      <c r="AM960" s="1">
        <v>2.0</v>
      </c>
      <c r="AN960" s="1">
        <v>1.0</v>
      </c>
      <c r="AO960" s="1" t="s">
        <v>198</v>
      </c>
      <c r="AP960" s="1">
        <v>1.0</v>
      </c>
      <c r="AQ960" s="1" t="s">
        <v>198</v>
      </c>
      <c r="AR960" s="1" t="s">
        <v>200</v>
      </c>
      <c r="AS960" s="1" t="s">
        <v>828</v>
      </c>
      <c r="AU960" s="1">
        <v>3.0</v>
      </c>
      <c r="AV960" s="1" t="s">
        <v>200</v>
      </c>
      <c r="AW960" s="1">
        <v>4310.0</v>
      </c>
      <c r="AX960" s="1">
        <v>2012.0</v>
      </c>
      <c r="AY960" s="1" t="s">
        <v>387</v>
      </c>
      <c r="AZ960" s="1" t="s">
        <v>545</v>
      </c>
      <c r="BA960" s="1" t="str">
        <f>"25083060670000"</f>
        <v>25083060670000</v>
      </c>
      <c r="BC960" s="1">
        <v>3273.0</v>
      </c>
      <c r="BD960" s="1">
        <v>215000.0</v>
      </c>
      <c r="BE960" s="2">
        <v>41761.0</v>
      </c>
      <c r="BF960" s="1" t="s">
        <v>10828</v>
      </c>
      <c r="BH960" s="1">
        <v>0.0</v>
      </c>
      <c r="BK960" s="1" t="s">
        <v>204</v>
      </c>
      <c r="BL960" s="1" t="str">
        <f t="shared" ref="BL960:BM960" si="631">"0"</f>
        <v>0</v>
      </c>
      <c r="BM960" s="1" t="str">
        <f t="shared" si="631"/>
        <v>0</v>
      </c>
      <c r="BN960" s="1">
        <v>1526.0</v>
      </c>
      <c r="BO960" s="1">
        <v>103.0</v>
      </c>
      <c r="BQ960" s="1">
        <v>299.0</v>
      </c>
      <c r="BR960" s="1">
        <v>299.0</v>
      </c>
      <c r="BS960" s="1">
        <v>299.0</v>
      </c>
      <c r="BU960" s="1" t="s">
        <v>2181</v>
      </c>
      <c r="BV960" s="1" t="s">
        <v>206</v>
      </c>
      <c r="BW960" s="1" t="s">
        <v>207</v>
      </c>
      <c r="BX960" s="1" t="s">
        <v>1549</v>
      </c>
      <c r="BY960" s="1" t="s">
        <v>2181</v>
      </c>
      <c r="BZ960" s="1" t="s">
        <v>391</v>
      </c>
      <c r="CA960" s="1" t="s">
        <v>210</v>
      </c>
      <c r="CB960" s="1" t="s">
        <v>1549</v>
      </c>
      <c r="CC960" s="1" t="s">
        <v>393</v>
      </c>
      <c r="CD960" s="1" t="s">
        <v>206</v>
      </c>
      <c r="CE960" s="1" t="s">
        <v>207</v>
      </c>
      <c r="CF960" s="1" t="s">
        <v>1549</v>
      </c>
      <c r="CG960" s="1" t="s">
        <v>2181</v>
      </c>
      <c r="CH960" s="1" t="s">
        <v>209</v>
      </c>
      <c r="CI960" s="1" t="s">
        <v>207</v>
      </c>
      <c r="CJ960" s="1" t="s">
        <v>1549</v>
      </c>
      <c r="CK960" s="1" t="s">
        <v>393</v>
      </c>
      <c r="CL960" s="1" t="s">
        <v>209</v>
      </c>
      <c r="CM960" s="1" t="s">
        <v>207</v>
      </c>
      <c r="CN960" s="1" t="s">
        <v>1549</v>
      </c>
      <c r="CO960" s="1" t="s">
        <v>393</v>
      </c>
      <c r="CP960" s="1" t="s">
        <v>209</v>
      </c>
      <c r="CQ960" s="1" t="s">
        <v>210</v>
      </c>
      <c r="CR960" s="1" t="s">
        <v>431</v>
      </c>
      <c r="CS960" s="1" t="s">
        <v>743</v>
      </c>
      <c r="CT960" s="1" t="s">
        <v>206</v>
      </c>
      <c r="CU960" s="1" t="s">
        <v>268</v>
      </c>
      <c r="CV960" s="1" t="s">
        <v>1118</v>
      </c>
      <c r="CX960" s="1" t="s">
        <v>204</v>
      </c>
      <c r="DA960" s="1" t="s">
        <v>200</v>
      </c>
      <c r="DC960" s="1" t="s">
        <v>642</v>
      </c>
      <c r="DD960" s="1" t="s">
        <v>618</v>
      </c>
      <c r="DE960" s="1" t="s">
        <v>229</v>
      </c>
      <c r="DF960" s="1" t="s">
        <v>3540</v>
      </c>
      <c r="DG960" s="1" t="s">
        <v>337</v>
      </c>
      <c r="DH960" s="1" t="s">
        <v>307</v>
      </c>
      <c r="DJ960" s="1" t="s">
        <v>222</v>
      </c>
      <c r="DK960" s="1" t="s">
        <v>4233</v>
      </c>
      <c r="DL960" s="1" t="s">
        <v>858</v>
      </c>
      <c r="DM960" s="1" t="s">
        <v>229</v>
      </c>
      <c r="DO960" s="1" t="s">
        <v>549</v>
      </c>
      <c r="DP960" s="1" t="s">
        <v>340</v>
      </c>
      <c r="DQ960" s="1" t="s">
        <v>228</v>
      </c>
      <c r="DR960" s="1" t="s">
        <v>229</v>
      </c>
      <c r="DS960" s="1" t="s">
        <v>230</v>
      </c>
      <c r="DV960" s="1" t="s">
        <v>10829</v>
      </c>
      <c r="DW960" s="1" t="s">
        <v>8064</v>
      </c>
      <c r="DX960" s="1" t="s">
        <v>234</v>
      </c>
      <c r="DY960" s="1" t="s">
        <v>935</v>
      </c>
      <c r="DZ960" s="1" t="s">
        <v>4491</v>
      </c>
      <c r="EA960" s="1" t="s">
        <v>344</v>
      </c>
      <c r="EB960" s="1" t="s">
        <v>797</v>
      </c>
      <c r="EC960" s="1" t="s">
        <v>406</v>
      </c>
      <c r="EE960" s="1" t="s">
        <v>493</v>
      </c>
      <c r="EF960" s="1" t="s">
        <v>10830</v>
      </c>
      <c r="EG960" s="1" t="s">
        <v>1228</v>
      </c>
      <c r="EH960" s="1" t="s">
        <v>408</v>
      </c>
      <c r="EI960" s="1" t="s">
        <v>968</v>
      </c>
      <c r="EJ960" s="1" t="s">
        <v>310</v>
      </c>
      <c r="EK960" s="1" t="s">
        <v>1102</v>
      </c>
      <c r="EM960" s="1" t="s">
        <v>238</v>
      </c>
      <c r="EQ960" s="1" t="s">
        <v>238</v>
      </c>
      <c r="EU960" s="1" t="s">
        <v>238</v>
      </c>
      <c r="EY960" s="1" t="s">
        <v>238</v>
      </c>
      <c r="FB960" s="1" t="s">
        <v>8189</v>
      </c>
      <c r="FC960" s="1" t="s">
        <v>209</v>
      </c>
      <c r="FD960" s="1" t="s">
        <v>207</v>
      </c>
      <c r="FE960" s="1" t="s">
        <v>431</v>
      </c>
      <c r="FF960" s="1" t="s">
        <v>239</v>
      </c>
      <c r="FG960" s="1" t="s">
        <v>192</v>
      </c>
      <c r="FH960" s="1" t="s">
        <v>192</v>
      </c>
      <c r="FJ960" s="1" t="s">
        <v>524</v>
      </c>
      <c r="FK960" s="1" t="s">
        <v>229</v>
      </c>
      <c r="FL960" s="1" t="s">
        <v>10831</v>
      </c>
      <c r="FM960" s="1">
        <v>12956.0</v>
      </c>
      <c r="FN960" s="1" t="s">
        <v>10832</v>
      </c>
      <c r="FO960" s="1" t="s">
        <v>10833</v>
      </c>
      <c r="FP960" s="1">
        <v>117340.0</v>
      </c>
      <c r="FQ960" s="1" t="s">
        <v>10832</v>
      </c>
      <c r="FU960" s="1" t="s">
        <v>2030</v>
      </c>
      <c r="FV960" s="1" t="s">
        <v>200</v>
      </c>
      <c r="FW960" s="1" t="s">
        <v>530</v>
      </c>
      <c r="FX960" s="1" t="s">
        <v>246</v>
      </c>
      <c r="FZ960" s="1" t="s">
        <v>229</v>
      </c>
      <c r="GA960" s="1" t="s">
        <v>291</v>
      </c>
      <c r="GB960" s="2">
        <v>42096.0</v>
      </c>
      <c r="GC960" s="1" t="s">
        <v>10834</v>
      </c>
    </row>
    <row r="961">
      <c r="A961" s="1">
        <v>50000.0</v>
      </c>
      <c r="B961" s="1" t="s">
        <v>185</v>
      </c>
      <c r="C961" s="1" t="str">
        <f>"08607760"</f>
        <v>08607760</v>
      </c>
      <c r="D961" s="1" t="s">
        <v>186</v>
      </c>
      <c r="F961" s="1" t="str">
        <f>"8073"</f>
        <v>8073</v>
      </c>
      <c r="G961" s="2">
        <v>41766.0</v>
      </c>
      <c r="H961" s="1">
        <v>50350.0</v>
      </c>
      <c r="I961" s="1">
        <v>125.0</v>
      </c>
      <c r="J961" s="1">
        <v>50350.0</v>
      </c>
      <c r="K961" s="2">
        <v>41890.0</v>
      </c>
      <c r="L961" s="1">
        <v>125.0</v>
      </c>
      <c r="M961" s="2">
        <v>41890.0</v>
      </c>
      <c r="N961" s="1" t="s">
        <v>249</v>
      </c>
      <c r="O961" s="2">
        <v>41975.0</v>
      </c>
      <c r="P961" s="1">
        <v>234288.0</v>
      </c>
      <c r="Q961" s="1">
        <v>22993.0</v>
      </c>
      <c r="S961" s="1">
        <v>9142.0</v>
      </c>
      <c r="T961" s="1" t="s">
        <v>4188</v>
      </c>
      <c r="U961" s="1" t="s">
        <v>320</v>
      </c>
      <c r="V961" s="1" t="s">
        <v>190</v>
      </c>
      <c r="W961" s="1">
        <v>60620.0</v>
      </c>
      <c r="Y961" s="1" t="s">
        <v>10835</v>
      </c>
      <c r="Z961" s="1">
        <v>1922.0</v>
      </c>
      <c r="AA961" s="1" t="s">
        <v>192</v>
      </c>
      <c r="AB961" s="1" t="s">
        <v>193</v>
      </c>
      <c r="AD961" s="1" t="s">
        <v>194</v>
      </c>
      <c r="AE961" s="1" t="s">
        <v>195</v>
      </c>
      <c r="AF961" s="1" t="s">
        <v>637</v>
      </c>
      <c r="AH961" s="1" t="s">
        <v>741</v>
      </c>
      <c r="AI961" s="1">
        <v>0.0847</v>
      </c>
      <c r="AK961" s="1">
        <v>8.0</v>
      </c>
      <c r="AL961" s="1">
        <v>3.0</v>
      </c>
      <c r="AM961" s="1">
        <v>3.0</v>
      </c>
      <c r="AN961" s="1">
        <v>0.0</v>
      </c>
      <c r="AO961" s="1" t="s">
        <v>198</v>
      </c>
      <c r="AQ961" s="1" t="s">
        <v>327</v>
      </c>
      <c r="AR961" s="1" t="s">
        <v>192</v>
      </c>
      <c r="AS961" s="1" t="s">
        <v>199</v>
      </c>
      <c r="AT961" s="1">
        <v>2.0</v>
      </c>
      <c r="AV961" s="1" t="s">
        <v>200</v>
      </c>
      <c r="AW961" s="1">
        <v>1993.13</v>
      </c>
      <c r="AX961" s="1">
        <v>2012.0</v>
      </c>
      <c r="AZ961" s="1" t="s">
        <v>200</v>
      </c>
      <c r="BA961" s="1" t="str">
        <f>"25054000330000"</f>
        <v>25054000330000</v>
      </c>
      <c r="BC961" s="1">
        <v>1294.0</v>
      </c>
      <c r="BD961" s="1">
        <v>50000.0</v>
      </c>
      <c r="BE961" s="2">
        <v>41766.0</v>
      </c>
      <c r="BF961" s="2" t="s">
        <v>10836</v>
      </c>
      <c r="BH961" s="1">
        <v>0.0</v>
      </c>
      <c r="BK961" s="1" t="s">
        <v>204</v>
      </c>
      <c r="BL961" s="1" t="str">
        <f t="shared" ref="BL961:BM961" si="632">"0"</f>
        <v>0</v>
      </c>
      <c r="BM961" s="1" t="str">
        <f t="shared" si="632"/>
        <v>0</v>
      </c>
      <c r="BN961" s="1">
        <v>1100.0</v>
      </c>
      <c r="BO961" s="1">
        <v>9100.0</v>
      </c>
      <c r="BQ961" s="1">
        <v>299.0</v>
      </c>
      <c r="BR961" s="1">
        <v>299.0</v>
      </c>
      <c r="BS961" s="1">
        <v>299.0</v>
      </c>
      <c r="BU961" s="1" t="s">
        <v>211</v>
      </c>
      <c r="BV961" s="1" t="s">
        <v>206</v>
      </c>
      <c r="BY961" s="1" t="s">
        <v>582</v>
      </c>
      <c r="BZ961" s="1" t="s">
        <v>209</v>
      </c>
      <c r="CC961" s="1" t="s">
        <v>495</v>
      </c>
      <c r="CD961" s="1" t="s">
        <v>206</v>
      </c>
      <c r="CG961" s="1" t="s">
        <v>647</v>
      </c>
      <c r="CH961" s="1" t="s">
        <v>209</v>
      </c>
      <c r="CK961" s="1" t="s">
        <v>212</v>
      </c>
      <c r="CL961" s="1" t="s">
        <v>206</v>
      </c>
      <c r="CO961" s="1" t="s">
        <v>363</v>
      </c>
      <c r="CP961" s="1" t="s">
        <v>42</v>
      </c>
      <c r="CS961" s="1" t="s">
        <v>2695</v>
      </c>
      <c r="CT961" s="1" t="s">
        <v>206</v>
      </c>
      <c r="CW961" s="1" t="s">
        <v>433</v>
      </c>
      <c r="CX961" s="1" t="s">
        <v>42</v>
      </c>
      <c r="DA961" s="1" t="s">
        <v>200</v>
      </c>
      <c r="DC961" s="1" t="s">
        <v>216</v>
      </c>
      <c r="DE961" s="1" t="s">
        <v>229</v>
      </c>
      <c r="DF961" s="1" t="s">
        <v>219</v>
      </c>
      <c r="DH961" s="1" t="s">
        <v>220</v>
      </c>
      <c r="DJ961" s="1" t="s">
        <v>222</v>
      </c>
      <c r="DL961" s="1" t="s">
        <v>224</v>
      </c>
      <c r="DM961" s="1" t="s">
        <v>229</v>
      </c>
      <c r="DQ961" s="1" t="s">
        <v>718</v>
      </c>
      <c r="DR961" s="1" t="s">
        <v>229</v>
      </c>
      <c r="DV961" s="1" t="s">
        <v>232</v>
      </c>
      <c r="DW961" s="1" t="s">
        <v>279</v>
      </c>
      <c r="DX961" s="1" t="s">
        <v>234</v>
      </c>
      <c r="DY961" s="1" t="s">
        <v>704</v>
      </c>
      <c r="EA961" s="1" t="s">
        <v>644</v>
      </c>
      <c r="EC961" s="1" t="s">
        <v>237</v>
      </c>
      <c r="EM961" s="1" t="s">
        <v>238</v>
      </c>
      <c r="EQ961" s="1" t="s">
        <v>238</v>
      </c>
      <c r="EU961" s="1" t="s">
        <v>238</v>
      </c>
      <c r="EY961" s="1" t="s">
        <v>238</v>
      </c>
      <c r="FC961" s="1" t="s">
        <v>238</v>
      </c>
      <c r="FF961" s="1" t="s">
        <v>239</v>
      </c>
      <c r="FG961" s="1" t="s">
        <v>192</v>
      </c>
      <c r="FH961" s="1" t="s">
        <v>192</v>
      </c>
      <c r="FJ961" s="1" t="s">
        <v>347</v>
      </c>
      <c r="FK961" s="1" t="s">
        <v>229</v>
      </c>
      <c r="FL961" s="1" t="s">
        <v>3433</v>
      </c>
      <c r="FM961" s="1">
        <v>5293.0</v>
      </c>
      <c r="FN961" s="1" t="s">
        <v>3434</v>
      </c>
      <c r="FO961" s="1" t="s">
        <v>3435</v>
      </c>
      <c r="FP961" s="1">
        <v>53957.0</v>
      </c>
      <c r="FU961" s="1" t="s">
        <v>7218</v>
      </c>
      <c r="FV961" s="1" t="s">
        <v>200</v>
      </c>
      <c r="FW961" s="1" t="s">
        <v>290</v>
      </c>
      <c r="FX961" s="1" t="s">
        <v>655</v>
      </c>
      <c r="FZ961" s="1" t="s">
        <v>229</v>
      </c>
      <c r="GA961" s="1" t="s">
        <v>291</v>
      </c>
      <c r="GB961" s="2">
        <v>41975.0</v>
      </c>
      <c r="GC961" s="1" t="s">
        <v>10837</v>
      </c>
    </row>
    <row r="962">
      <c r="A962" s="1">
        <v>180000.0</v>
      </c>
      <c r="B962" s="1" t="s">
        <v>185</v>
      </c>
      <c r="C962" s="1" t="str">
        <f>"08615776"</f>
        <v>08615776</v>
      </c>
      <c r="D962" s="1" t="s">
        <v>186</v>
      </c>
      <c r="F962" s="1" t="str">
        <f>"8015"</f>
        <v>8015</v>
      </c>
      <c r="G962" s="2">
        <v>41774.0</v>
      </c>
      <c r="H962" s="1">
        <v>179900.0</v>
      </c>
      <c r="I962" s="1">
        <v>99.0</v>
      </c>
      <c r="J962" s="1">
        <v>179900.0</v>
      </c>
      <c r="K962" s="2">
        <v>41872.0</v>
      </c>
      <c r="L962" s="1">
        <v>99.0</v>
      </c>
      <c r="M962" s="2">
        <v>41872.0</v>
      </c>
      <c r="N962" s="1" t="s">
        <v>356</v>
      </c>
      <c r="O962" s="2">
        <v>42002.0</v>
      </c>
      <c r="P962" s="1">
        <v>182963.0</v>
      </c>
      <c r="Q962" s="1">
        <v>18322.0</v>
      </c>
      <c r="S962" s="1">
        <v>3604.0</v>
      </c>
      <c r="T962" s="1" t="s">
        <v>10838</v>
      </c>
      <c r="U962" s="1" t="s">
        <v>189</v>
      </c>
      <c r="V962" s="1" t="s">
        <v>190</v>
      </c>
      <c r="W962" s="1">
        <v>60641.0</v>
      </c>
      <c r="Y962" s="1" t="s">
        <v>10839</v>
      </c>
      <c r="Z962" s="1">
        <v>1921.0</v>
      </c>
      <c r="AA962" s="1" t="s">
        <v>192</v>
      </c>
      <c r="AB962" s="1" t="s">
        <v>193</v>
      </c>
      <c r="AD962" s="1" t="s">
        <v>194</v>
      </c>
      <c r="AE962" s="1" t="s">
        <v>195</v>
      </c>
      <c r="AF962" s="1" t="s">
        <v>196</v>
      </c>
      <c r="AH962" s="1" t="s">
        <v>1501</v>
      </c>
      <c r="AI962" s="1">
        <v>0.0868</v>
      </c>
      <c r="AK962" s="1">
        <v>7.0</v>
      </c>
      <c r="AL962" s="1">
        <v>4.0</v>
      </c>
      <c r="AM962" s="1">
        <v>2.0</v>
      </c>
      <c r="AN962" s="1">
        <v>0.0</v>
      </c>
      <c r="AO962" s="1" t="s">
        <v>1261</v>
      </c>
      <c r="AQ962" s="1" t="s">
        <v>1314</v>
      </c>
      <c r="AR962" s="1" t="s">
        <v>192</v>
      </c>
      <c r="AS962" s="1" t="s">
        <v>199</v>
      </c>
      <c r="AT962" s="1">
        <v>2.0</v>
      </c>
      <c r="AV962" s="1" t="s">
        <v>200</v>
      </c>
      <c r="AW962" s="1">
        <v>3549.87</v>
      </c>
      <c r="AX962" s="1">
        <v>2012.0</v>
      </c>
      <c r="AY962" s="1" t="s">
        <v>387</v>
      </c>
      <c r="AZ962" s="1" t="s">
        <v>200</v>
      </c>
      <c r="BA962" s="1" t="str">
        <f>"13211240380000"</f>
        <v>13211240380000</v>
      </c>
      <c r="BC962" s="1">
        <v>1160.0</v>
      </c>
      <c r="BD962" s="1">
        <v>180000.0</v>
      </c>
      <c r="BE962" s="2">
        <v>41774.0</v>
      </c>
      <c r="BF962" s="1" t="s">
        <v>10840</v>
      </c>
      <c r="BH962" s="1">
        <v>0.0</v>
      </c>
      <c r="BK962" s="1" t="s">
        <v>204</v>
      </c>
      <c r="BL962" s="1" t="str">
        <f>"3604"</f>
        <v>3604</v>
      </c>
      <c r="BM962" s="1" t="str">
        <f>"0"</f>
        <v>0</v>
      </c>
      <c r="BN962" s="1">
        <v>5600.0</v>
      </c>
      <c r="BO962" s="1">
        <v>0.0</v>
      </c>
      <c r="BQ962" s="1">
        <v>299.0</v>
      </c>
      <c r="BR962" s="1">
        <v>299.0</v>
      </c>
      <c r="BS962" s="1">
        <v>299.0</v>
      </c>
      <c r="BU962" s="1" t="s">
        <v>758</v>
      </c>
      <c r="BV962" s="1" t="s">
        <v>206</v>
      </c>
      <c r="BW962" s="1" t="s">
        <v>207</v>
      </c>
      <c r="BY962" s="1" t="s">
        <v>10841</v>
      </c>
      <c r="BZ962" s="1" t="s">
        <v>209</v>
      </c>
      <c r="CA962" s="1" t="s">
        <v>210</v>
      </c>
      <c r="CC962" s="1" t="s">
        <v>433</v>
      </c>
      <c r="CD962" s="1" t="s">
        <v>206</v>
      </c>
      <c r="CE962" s="1" t="s">
        <v>207</v>
      </c>
      <c r="CG962" s="1" t="s">
        <v>264</v>
      </c>
      <c r="CH962" s="1" t="s">
        <v>206</v>
      </c>
      <c r="CI962" s="1" t="s">
        <v>210</v>
      </c>
      <c r="CK962" s="1" t="s">
        <v>699</v>
      </c>
      <c r="CL962" s="1" t="s">
        <v>206</v>
      </c>
      <c r="CM962" s="1" t="s">
        <v>210</v>
      </c>
      <c r="CO962" s="1" t="s">
        <v>1672</v>
      </c>
      <c r="CP962" s="1" t="s">
        <v>206</v>
      </c>
      <c r="CQ962" s="1" t="s">
        <v>210</v>
      </c>
      <c r="CS962" s="1" t="s">
        <v>5295</v>
      </c>
      <c r="CT962" s="1" t="s">
        <v>206</v>
      </c>
      <c r="CU962" s="1" t="s">
        <v>268</v>
      </c>
      <c r="CX962" s="1" t="s">
        <v>204</v>
      </c>
      <c r="DA962" s="1" t="s">
        <v>200</v>
      </c>
      <c r="DC962" s="1" t="s">
        <v>216</v>
      </c>
      <c r="DE962" s="1" t="s">
        <v>229</v>
      </c>
      <c r="DF962" s="1" t="s">
        <v>619</v>
      </c>
      <c r="DH962" s="1" t="s">
        <v>220</v>
      </c>
      <c r="DJ962" s="1" t="s">
        <v>857</v>
      </c>
      <c r="DK962" s="1" t="s">
        <v>1301</v>
      </c>
      <c r="DL962" s="1" t="s">
        <v>858</v>
      </c>
      <c r="DM962" s="1" t="s">
        <v>225</v>
      </c>
      <c r="DQ962" s="1" t="s">
        <v>441</v>
      </c>
      <c r="DR962" s="1" t="s">
        <v>229</v>
      </c>
      <c r="DV962" s="1" t="s">
        <v>374</v>
      </c>
      <c r="DW962" s="1" t="s">
        <v>279</v>
      </c>
      <c r="DX962" s="1" t="s">
        <v>234</v>
      </c>
      <c r="EA962" s="1" t="s">
        <v>644</v>
      </c>
      <c r="EC962" s="1" t="s">
        <v>645</v>
      </c>
      <c r="EE962" s="1" t="s">
        <v>1960</v>
      </c>
      <c r="EG962" s="1" t="s">
        <v>374</v>
      </c>
      <c r="EL962" s="1" t="s">
        <v>10842</v>
      </c>
      <c r="EM962" s="1" t="s">
        <v>206</v>
      </c>
      <c r="EQ962" s="1" t="s">
        <v>238</v>
      </c>
      <c r="EU962" s="1" t="s">
        <v>238</v>
      </c>
      <c r="EY962" s="1" t="s">
        <v>238</v>
      </c>
      <c r="FC962" s="1" t="s">
        <v>238</v>
      </c>
      <c r="FF962" s="1" t="s">
        <v>239</v>
      </c>
      <c r="FG962" s="1" t="s">
        <v>192</v>
      </c>
      <c r="FH962" s="1" t="s">
        <v>192</v>
      </c>
      <c r="FJ962" s="1" t="s">
        <v>10843</v>
      </c>
      <c r="FK962" s="1" t="s">
        <v>1586</v>
      </c>
      <c r="FL962" s="1" t="s">
        <v>10844</v>
      </c>
      <c r="FM962" s="1">
        <v>18322.0</v>
      </c>
      <c r="FN962" s="1" t="s">
        <v>10845</v>
      </c>
      <c r="FO962" s="1" t="s">
        <v>10846</v>
      </c>
      <c r="FP962" s="1">
        <v>158612.0</v>
      </c>
      <c r="FQ962" s="1" t="s">
        <v>10845</v>
      </c>
      <c r="FU962" s="1" t="s">
        <v>10847</v>
      </c>
      <c r="FV962" s="1" t="s">
        <v>200</v>
      </c>
      <c r="FW962" s="1" t="s">
        <v>10848</v>
      </c>
      <c r="FX962" s="1" t="s">
        <v>238</v>
      </c>
      <c r="FZ962" s="1" t="s">
        <v>229</v>
      </c>
      <c r="GA962" s="1" t="s">
        <v>291</v>
      </c>
      <c r="GB962" s="2">
        <v>42003.0</v>
      </c>
      <c r="GC962" s="1" t="s">
        <v>10849</v>
      </c>
    </row>
    <row r="963">
      <c r="A963" s="1">
        <v>209900.0</v>
      </c>
      <c r="B963" s="1" t="s">
        <v>185</v>
      </c>
      <c r="C963" s="1" t="str">
        <f>"08620489"</f>
        <v>08620489</v>
      </c>
      <c r="D963" s="1" t="s">
        <v>186</v>
      </c>
      <c r="F963" s="1" t="str">
        <f>"107"</f>
        <v>107</v>
      </c>
      <c r="G963" s="2">
        <v>41779.0</v>
      </c>
      <c r="H963" s="1">
        <v>222900.0</v>
      </c>
      <c r="I963" s="1">
        <v>270.0</v>
      </c>
      <c r="J963" s="1">
        <v>209900.0</v>
      </c>
      <c r="K963" s="2">
        <v>42047.0</v>
      </c>
      <c r="L963" s="1">
        <v>270.0</v>
      </c>
      <c r="M963" s="2">
        <v>42047.0</v>
      </c>
      <c r="N963" s="1" t="s">
        <v>187</v>
      </c>
      <c r="O963" s="2">
        <v>42083.0</v>
      </c>
      <c r="P963" s="1">
        <v>182049.0</v>
      </c>
      <c r="Q963" s="1">
        <v>18499.0</v>
      </c>
      <c r="S963" s="1">
        <v>526.0</v>
      </c>
      <c r="T963" s="1" t="s">
        <v>10850</v>
      </c>
      <c r="U963" s="1" t="s">
        <v>569</v>
      </c>
      <c r="V963" s="1" t="s">
        <v>294</v>
      </c>
      <c r="W963" s="1">
        <v>60107.0</v>
      </c>
      <c r="X963" s="1">
        <v>3163.0</v>
      </c>
      <c r="Y963" s="1" t="s">
        <v>10851</v>
      </c>
      <c r="Z963" s="1">
        <v>1998.0</v>
      </c>
      <c r="AA963" s="1" t="s">
        <v>200</v>
      </c>
      <c r="AB963" s="1" t="s">
        <v>193</v>
      </c>
      <c r="AC963" s="1" t="s">
        <v>10852</v>
      </c>
      <c r="AD963" s="1" t="s">
        <v>297</v>
      </c>
      <c r="AE963" s="1" t="s">
        <v>195</v>
      </c>
      <c r="AF963" s="1" t="s">
        <v>298</v>
      </c>
      <c r="AH963" s="1" t="s">
        <v>10853</v>
      </c>
      <c r="AK963" s="1">
        <v>8.0</v>
      </c>
      <c r="AL963" s="1">
        <v>4.0</v>
      </c>
      <c r="AM963" s="1">
        <v>2.0</v>
      </c>
      <c r="AN963" s="1">
        <v>1.0</v>
      </c>
      <c r="AO963" s="1" t="s">
        <v>198</v>
      </c>
      <c r="AQ963" s="1" t="s">
        <v>1314</v>
      </c>
      <c r="AR963" s="1" t="s">
        <v>200</v>
      </c>
      <c r="AS963" s="1" t="s">
        <v>199</v>
      </c>
      <c r="AT963" s="1">
        <v>2.0</v>
      </c>
      <c r="AV963" s="1" t="s">
        <v>200</v>
      </c>
      <c r="AW963" s="1">
        <v>7226.78</v>
      </c>
      <c r="AX963" s="1">
        <v>2012.0</v>
      </c>
      <c r="AY963" s="1" t="s">
        <v>387</v>
      </c>
      <c r="AZ963" s="1" t="s">
        <v>200</v>
      </c>
      <c r="BA963" s="1" t="str">
        <f>"06264150360000"</f>
        <v>06264150360000</v>
      </c>
      <c r="BB963" s="1" t="s">
        <v>200</v>
      </c>
      <c r="BC963" s="1">
        <v>2240.0</v>
      </c>
      <c r="BD963" s="1">
        <v>209900.0</v>
      </c>
      <c r="BE963" s="2">
        <v>41778.0</v>
      </c>
      <c r="BF963" s="2" t="s">
        <v>10854</v>
      </c>
      <c r="BG963" s="1" t="s">
        <v>10855</v>
      </c>
      <c r="BH963" s="1">
        <v>160.0</v>
      </c>
      <c r="BI963" s="1" t="s">
        <v>513</v>
      </c>
      <c r="BK963" s="1" t="s">
        <v>580</v>
      </c>
      <c r="BL963" s="1" t="str">
        <f t="shared" ref="BL963:BM963" si="633">""</f>
        <v/>
      </c>
      <c r="BM963" s="1" t="str">
        <f t="shared" si="633"/>
        <v/>
      </c>
      <c r="BQ963" s="1">
        <v>46.0</v>
      </c>
      <c r="BR963" s="1">
        <v>46.0</v>
      </c>
      <c r="BS963" s="1">
        <v>46.0</v>
      </c>
      <c r="BU963" s="1" t="s">
        <v>584</v>
      </c>
      <c r="BV963" s="1" t="s">
        <v>206</v>
      </c>
      <c r="BY963" s="1" t="s">
        <v>2713</v>
      </c>
      <c r="BZ963" s="1" t="s">
        <v>209</v>
      </c>
      <c r="CC963" s="1" t="s">
        <v>302</v>
      </c>
      <c r="CD963" s="1" t="s">
        <v>206</v>
      </c>
      <c r="CG963" s="1" t="s">
        <v>663</v>
      </c>
      <c r="CH963" s="1" t="s">
        <v>209</v>
      </c>
      <c r="CK963" s="1" t="s">
        <v>303</v>
      </c>
      <c r="CL963" s="1" t="s">
        <v>209</v>
      </c>
      <c r="CO963" s="1" t="s">
        <v>303</v>
      </c>
      <c r="CP963" s="1" t="s">
        <v>209</v>
      </c>
      <c r="CS963" s="1" t="s">
        <v>663</v>
      </c>
      <c r="CT963" s="1" t="s">
        <v>206</v>
      </c>
      <c r="CW963" s="1" t="s">
        <v>2713</v>
      </c>
      <c r="CX963" s="1" t="s">
        <v>206</v>
      </c>
      <c r="DA963" s="1" t="s">
        <v>200</v>
      </c>
      <c r="DC963" s="1" t="s">
        <v>678</v>
      </c>
      <c r="DD963" s="1" t="s">
        <v>518</v>
      </c>
      <c r="DE963" s="1" t="s">
        <v>273</v>
      </c>
      <c r="DF963" s="1" t="s">
        <v>219</v>
      </c>
      <c r="DG963" s="1" t="s">
        <v>337</v>
      </c>
      <c r="DH963" s="1" t="s">
        <v>220</v>
      </c>
      <c r="DJ963" s="1" t="s">
        <v>222</v>
      </c>
      <c r="DL963" s="1" t="s">
        <v>223</v>
      </c>
      <c r="DM963" s="1" t="s">
        <v>1919</v>
      </c>
      <c r="DP963" s="1" t="s">
        <v>340</v>
      </c>
      <c r="DQ963" s="1" t="s">
        <v>228</v>
      </c>
      <c r="DR963" s="1" t="s">
        <v>588</v>
      </c>
      <c r="DV963" s="1" t="s">
        <v>232</v>
      </c>
      <c r="DW963" s="1" t="s">
        <v>667</v>
      </c>
      <c r="DX963" s="1" t="s">
        <v>234</v>
      </c>
      <c r="DZ963" s="1" t="s">
        <v>343</v>
      </c>
      <c r="EC963" s="1" t="s">
        <v>237</v>
      </c>
      <c r="EM963" s="1" t="s">
        <v>238</v>
      </c>
      <c r="EQ963" s="1" t="s">
        <v>238</v>
      </c>
      <c r="EU963" s="1" t="s">
        <v>238</v>
      </c>
      <c r="EY963" s="1" t="s">
        <v>238</v>
      </c>
      <c r="FC963" s="1" t="s">
        <v>238</v>
      </c>
      <c r="FF963" s="1" t="s">
        <v>239</v>
      </c>
      <c r="FG963" s="1" t="s">
        <v>192</v>
      </c>
      <c r="FH963" s="1" t="s">
        <v>192</v>
      </c>
      <c r="FJ963" s="1" t="s">
        <v>347</v>
      </c>
      <c r="FK963" s="1" t="s">
        <v>229</v>
      </c>
      <c r="FL963" s="1" t="s">
        <v>10856</v>
      </c>
      <c r="FM963" s="1">
        <v>24569.0</v>
      </c>
      <c r="FN963" s="1" t="s">
        <v>10857</v>
      </c>
      <c r="FO963" s="1" t="s">
        <v>10858</v>
      </c>
      <c r="FP963" s="1">
        <v>236309.0</v>
      </c>
      <c r="FR963" s="1">
        <v>236310.0</v>
      </c>
      <c r="FU963" s="1" t="s">
        <v>10859</v>
      </c>
      <c r="FV963" s="1" t="s">
        <v>200</v>
      </c>
      <c r="FW963" s="1" t="s">
        <v>1307</v>
      </c>
      <c r="FZ963" s="1" t="s">
        <v>229</v>
      </c>
      <c r="GA963" s="1" t="s">
        <v>291</v>
      </c>
      <c r="GB963" s="2">
        <v>42086.0</v>
      </c>
      <c r="GC963" s="1" t="s">
        <v>10860</v>
      </c>
    </row>
    <row r="964">
      <c r="A964" s="1">
        <v>250000.0</v>
      </c>
      <c r="B964" s="1" t="s">
        <v>185</v>
      </c>
      <c r="C964" s="1" t="str">
        <f>"08607401"</f>
        <v>08607401</v>
      </c>
      <c r="D964" s="1" t="s">
        <v>186</v>
      </c>
      <c r="F964" s="1" t="str">
        <f>"560"</f>
        <v>560</v>
      </c>
      <c r="G964" s="2">
        <v>41766.0</v>
      </c>
      <c r="H964" s="1">
        <v>315000.0</v>
      </c>
      <c r="I964" s="1">
        <v>179.0</v>
      </c>
      <c r="J964" s="1">
        <v>269900.0</v>
      </c>
      <c r="K964" s="2">
        <v>41944.0</v>
      </c>
      <c r="L964" s="1">
        <v>179.0</v>
      </c>
      <c r="M964" s="2">
        <v>41944.0</v>
      </c>
      <c r="N964" s="1" t="s">
        <v>187</v>
      </c>
      <c r="O964" s="2">
        <v>41990.0</v>
      </c>
      <c r="P964" s="1">
        <v>705724.0</v>
      </c>
      <c r="Q964" s="1">
        <v>72505.0</v>
      </c>
      <c r="S964" s="1">
        <v>6202.0</v>
      </c>
      <c r="T964" s="1" t="s">
        <v>10861</v>
      </c>
      <c r="U964" s="1" t="s">
        <v>569</v>
      </c>
      <c r="V964" s="1" t="s">
        <v>845</v>
      </c>
      <c r="W964" s="1">
        <v>60560.0</v>
      </c>
      <c r="Y964" s="1" t="s">
        <v>10862</v>
      </c>
      <c r="Z964" s="1">
        <v>2003.0</v>
      </c>
      <c r="AA964" s="1" t="s">
        <v>200</v>
      </c>
      <c r="AB964" s="1" t="s">
        <v>193</v>
      </c>
      <c r="AD964" s="1" t="s">
        <v>1089</v>
      </c>
      <c r="AE964" s="1" t="s">
        <v>849</v>
      </c>
      <c r="AF964" s="1" t="s">
        <v>850</v>
      </c>
      <c r="AH964" s="1" t="s">
        <v>10863</v>
      </c>
      <c r="AI964" s="1">
        <v>1.0</v>
      </c>
      <c r="AK964" s="1">
        <v>9.0</v>
      </c>
      <c r="AL964" s="1">
        <v>3.0</v>
      </c>
      <c r="AM964" s="1">
        <v>3.0</v>
      </c>
      <c r="AN964" s="1">
        <v>0.0</v>
      </c>
      <c r="AO964" s="1" t="s">
        <v>198</v>
      </c>
      <c r="AP964" s="1">
        <v>1.0</v>
      </c>
      <c r="AQ964" s="1" t="s">
        <v>472</v>
      </c>
      <c r="AR964" s="1" t="s">
        <v>192</v>
      </c>
      <c r="AS964" s="1" t="s">
        <v>199</v>
      </c>
      <c r="AT964" s="1">
        <v>3.0</v>
      </c>
      <c r="AV964" s="1" t="s">
        <v>200</v>
      </c>
      <c r="AW964" s="1">
        <v>7955.66</v>
      </c>
      <c r="AX964" s="1">
        <v>2012.0</v>
      </c>
      <c r="AY964" s="1" t="s">
        <v>387</v>
      </c>
      <c r="AZ964" s="1" t="s">
        <v>200</v>
      </c>
      <c r="BA964" s="1" t="str">
        <f>"0402227002"</f>
        <v>0402227002</v>
      </c>
      <c r="BC964" s="1">
        <v>2133.0</v>
      </c>
      <c r="BD964" s="1">
        <v>250000.0</v>
      </c>
      <c r="BE964" s="2">
        <v>41766.0</v>
      </c>
      <c r="BF964" s="2" t="s">
        <v>10864</v>
      </c>
      <c r="BH964" s="1">
        <v>0.0</v>
      </c>
      <c r="BK964" s="1" t="s">
        <v>204</v>
      </c>
      <c r="BL964" s="1" t="str">
        <f>"20"</f>
        <v>20</v>
      </c>
      <c r="BM964" s="1" t="str">
        <f>""</f>
        <v/>
      </c>
      <c r="BN964" s="1">
        <v>30.0</v>
      </c>
      <c r="BQ964" s="1">
        <v>115.0</v>
      </c>
      <c r="BR964" s="1">
        <v>115.0</v>
      </c>
      <c r="BS964" s="1">
        <v>115.0</v>
      </c>
      <c r="BU964" s="1" t="s">
        <v>3817</v>
      </c>
      <c r="BV964" s="1" t="s">
        <v>206</v>
      </c>
      <c r="BW964" s="1" t="s">
        <v>207</v>
      </c>
      <c r="BX964" s="1" t="s">
        <v>229</v>
      </c>
      <c r="BY964" s="1" t="s">
        <v>784</v>
      </c>
      <c r="BZ964" s="1" t="s">
        <v>206</v>
      </c>
      <c r="CA964" s="1" t="s">
        <v>210</v>
      </c>
      <c r="CB964" s="1" t="s">
        <v>229</v>
      </c>
      <c r="CC964" s="1" t="s">
        <v>361</v>
      </c>
      <c r="CD964" s="1" t="s">
        <v>206</v>
      </c>
      <c r="CE964" s="1" t="s">
        <v>207</v>
      </c>
      <c r="CF964" s="1" t="s">
        <v>229</v>
      </c>
      <c r="CG964" s="1" t="s">
        <v>743</v>
      </c>
      <c r="CH964" s="1" t="s">
        <v>206</v>
      </c>
      <c r="CI964" s="1" t="s">
        <v>210</v>
      </c>
      <c r="CJ964" s="1" t="s">
        <v>229</v>
      </c>
      <c r="CK964" s="1" t="s">
        <v>433</v>
      </c>
      <c r="CL964" s="1" t="s">
        <v>206</v>
      </c>
      <c r="CM964" s="1" t="s">
        <v>210</v>
      </c>
      <c r="CN964" s="1" t="s">
        <v>229</v>
      </c>
      <c r="CO964" s="1" t="s">
        <v>363</v>
      </c>
      <c r="CP964" s="1" t="s">
        <v>42</v>
      </c>
      <c r="CQ964" s="1" t="s">
        <v>210</v>
      </c>
      <c r="CS964" s="1" t="s">
        <v>212</v>
      </c>
      <c r="CT964" s="1" t="s">
        <v>206</v>
      </c>
      <c r="CU964" s="1" t="s">
        <v>207</v>
      </c>
      <c r="CV964" s="1" t="s">
        <v>229</v>
      </c>
      <c r="CX964" s="1" t="s">
        <v>204</v>
      </c>
      <c r="DA964" s="1" t="s">
        <v>200</v>
      </c>
      <c r="DC964" s="1" t="s">
        <v>335</v>
      </c>
      <c r="DE964" s="1" t="s">
        <v>273</v>
      </c>
      <c r="DF964" s="1" t="s">
        <v>219</v>
      </c>
      <c r="DH964" s="1" t="s">
        <v>856</v>
      </c>
      <c r="DJ964" s="1" t="s">
        <v>857</v>
      </c>
      <c r="DK964" s="1" t="s">
        <v>9556</v>
      </c>
      <c r="DL964" s="1" t="s">
        <v>224</v>
      </c>
      <c r="DM964" s="1" t="s">
        <v>338</v>
      </c>
      <c r="DN964" s="1" t="s">
        <v>339</v>
      </c>
      <c r="DQ964" s="1" t="s">
        <v>931</v>
      </c>
      <c r="DR964" s="1" t="s">
        <v>229</v>
      </c>
      <c r="DS964" s="1" t="s">
        <v>368</v>
      </c>
      <c r="DU964" s="1" t="s">
        <v>2636</v>
      </c>
      <c r="DV964" s="1" t="s">
        <v>10865</v>
      </c>
      <c r="DW964" s="1" t="s">
        <v>588</v>
      </c>
      <c r="DX964" s="1" t="s">
        <v>234</v>
      </c>
      <c r="DY964" s="1" t="s">
        <v>2803</v>
      </c>
      <c r="DZ964" s="1" t="s">
        <v>310</v>
      </c>
      <c r="EA964" s="1" t="s">
        <v>683</v>
      </c>
      <c r="EB964" s="1" t="s">
        <v>345</v>
      </c>
      <c r="EC964" s="1" t="s">
        <v>685</v>
      </c>
      <c r="ED964" s="1" t="s">
        <v>555</v>
      </c>
      <c r="EG964" s="1" t="s">
        <v>556</v>
      </c>
      <c r="EI964" s="1" t="s">
        <v>450</v>
      </c>
      <c r="EJ964" s="1" t="s">
        <v>2313</v>
      </c>
      <c r="EL964" s="1" t="s">
        <v>699</v>
      </c>
      <c r="EM964" s="1" t="s">
        <v>206</v>
      </c>
      <c r="EN964" s="1" t="s">
        <v>207</v>
      </c>
      <c r="EO964" s="1" t="s">
        <v>229</v>
      </c>
      <c r="EQ964" s="1" t="s">
        <v>238</v>
      </c>
      <c r="ET964" s="1" t="s">
        <v>4560</v>
      </c>
      <c r="EU964" s="1" t="s">
        <v>42</v>
      </c>
      <c r="EV964" s="1" t="s">
        <v>210</v>
      </c>
      <c r="EX964" s="1" t="s">
        <v>560</v>
      </c>
      <c r="EY964" s="1" t="s">
        <v>206</v>
      </c>
      <c r="EZ964" s="1" t="s">
        <v>617</v>
      </c>
      <c r="FC964" s="1" t="s">
        <v>238</v>
      </c>
      <c r="FF964" s="1" t="s">
        <v>239</v>
      </c>
      <c r="FG964" s="1" t="s">
        <v>192</v>
      </c>
      <c r="FH964" s="1" t="s">
        <v>192</v>
      </c>
      <c r="FJ964" s="1" t="s">
        <v>4626</v>
      </c>
      <c r="FK964" s="1" t="s">
        <v>557</v>
      </c>
      <c r="FL964" s="1" t="s">
        <v>1007</v>
      </c>
      <c r="FM964" s="1">
        <v>72505.0</v>
      </c>
      <c r="FN964" s="1" t="s">
        <v>5096</v>
      </c>
      <c r="FO964" s="1" t="s">
        <v>10866</v>
      </c>
      <c r="FP964" s="1">
        <v>701986.0</v>
      </c>
      <c r="FQ964" s="1" t="s">
        <v>10867</v>
      </c>
      <c r="FU964" s="1" t="s">
        <v>353</v>
      </c>
      <c r="FV964" s="1" t="s">
        <v>200</v>
      </c>
      <c r="FW964" s="1" t="s">
        <v>1511</v>
      </c>
      <c r="FZ964" s="1" t="s">
        <v>229</v>
      </c>
      <c r="GA964" s="1" t="s">
        <v>291</v>
      </c>
      <c r="GB964" s="2">
        <v>41990.0</v>
      </c>
    </row>
    <row r="965">
      <c r="A965" s="1">
        <v>630000.0</v>
      </c>
      <c r="B965" s="1" t="s">
        <v>185</v>
      </c>
      <c r="C965" s="1" t="str">
        <f>"08607890"</f>
        <v>08607890</v>
      </c>
      <c r="D965" s="1" t="s">
        <v>186</v>
      </c>
      <c r="F965" s="1" t="str">
        <f>"8022"</f>
        <v>8022</v>
      </c>
      <c r="G965" s="2">
        <v>41766.0</v>
      </c>
      <c r="H965" s="1">
        <v>669900.0</v>
      </c>
      <c r="I965" s="1">
        <v>238.0</v>
      </c>
      <c r="J965" s="1">
        <v>649900.0</v>
      </c>
      <c r="K965" s="2">
        <v>42002.0</v>
      </c>
      <c r="L965" s="1">
        <v>238.0</v>
      </c>
      <c r="M965" s="2">
        <v>42002.0</v>
      </c>
      <c r="N965" s="1" t="s">
        <v>187</v>
      </c>
      <c r="O965" s="2">
        <v>42064.0</v>
      </c>
      <c r="P965" s="1">
        <v>152048.0</v>
      </c>
      <c r="Q965" s="1">
        <v>15694.0</v>
      </c>
      <c r="S965" s="1">
        <v>3030.0</v>
      </c>
      <c r="T965" s="1" t="s">
        <v>2609</v>
      </c>
      <c r="U965" s="1" t="s">
        <v>7404</v>
      </c>
      <c r="V965" s="1" t="s">
        <v>190</v>
      </c>
      <c r="W965" s="1">
        <v>60647.0</v>
      </c>
      <c r="Y965" s="1" t="s">
        <v>10868</v>
      </c>
      <c r="Z965" s="1">
        <v>1921.0</v>
      </c>
      <c r="AA965" s="1" t="s">
        <v>192</v>
      </c>
      <c r="AB965" s="1" t="s">
        <v>193</v>
      </c>
      <c r="AD965" s="1" t="s">
        <v>194</v>
      </c>
      <c r="AE965" s="1" t="s">
        <v>195</v>
      </c>
      <c r="AF965" s="1" t="s">
        <v>827</v>
      </c>
      <c r="AH965" s="1" t="s">
        <v>10869</v>
      </c>
      <c r="AK965" s="1">
        <v>8.0</v>
      </c>
      <c r="AL965" s="1">
        <v>4.0</v>
      </c>
      <c r="AM965" s="1">
        <v>1.0</v>
      </c>
      <c r="AN965" s="1">
        <v>1.0</v>
      </c>
      <c r="AO965" s="1" t="s">
        <v>229</v>
      </c>
      <c r="AQ965" s="1" t="s">
        <v>198</v>
      </c>
      <c r="AR965" s="1" t="s">
        <v>200</v>
      </c>
      <c r="AS965" s="1" t="s">
        <v>199</v>
      </c>
      <c r="AT965" s="1">
        <v>2.0</v>
      </c>
      <c r="AV965" s="1" t="s">
        <v>200</v>
      </c>
      <c r="AW965" s="1">
        <v>6520.94</v>
      </c>
      <c r="AX965" s="1">
        <v>2013.0</v>
      </c>
      <c r="AZ965" s="1" t="s">
        <v>200</v>
      </c>
      <c r="BA965" s="1" t="str">
        <f>"13361080620000"</f>
        <v>13361080620000</v>
      </c>
      <c r="BC965" s="1">
        <v>1600.0</v>
      </c>
      <c r="BD965" s="1">
        <v>630000.0</v>
      </c>
      <c r="BE965" s="2">
        <v>41765.0</v>
      </c>
      <c r="BF965" s="2" t="s">
        <v>10870</v>
      </c>
      <c r="BH965" s="1">
        <v>0.0</v>
      </c>
      <c r="BK965" s="1" t="s">
        <v>204</v>
      </c>
      <c r="BL965" s="1" t="str">
        <f>"2200"</f>
        <v>2200</v>
      </c>
      <c r="BM965" s="1" t="str">
        <f>"0"</f>
        <v>0</v>
      </c>
      <c r="BN965" s="1">
        <v>3030.0</v>
      </c>
      <c r="BO965" s="1">
        <v>0.0</v>
      </c>
      <c r="BQ965" s="1">
        <v>299.0</v>
      </c>
      <c r="BR965" s="1">
        <v>299.0</v>
      </c>
      <c r="BS965" s="1">
        <v>299.0</v>
      </c>
      <c r="BU965" s="1" t="s">
        <v>1044</v>
      </c>
      <c r="BV965" s="1" t="s">
        <v>206</v>
      </c>
      <c r="BW965" s="1" t="s">
        <v>207</v>
      </c>
      <c r="BY965" s="1" t="s">
        <v>300</v>
      </c>
      <c r="BZ965" s="1" t="s">
        <v>206</v>
      </c>
      <c r="CA965" s="1" t="s">
        <v>207</v>
      </c>
      <c r="CC965" s="1" t="s">
        <v>211</v>
      </c>
      <c r="CD965" s="1" t="s">
        <v>206</v>
      </c>
      <c r="CE965" s="1" t="s">
        <v>207</v>
      </c>
      <c r="CG965" s="1" t="s">
        <v>1351</v>
      </c>
      <c r="CH965" s="1" t="s">
        <v>206</v>
      </c>
      <c r="CI965" s="1" t="s">
        <v>207</v>
      </c>
      <c r="CK965" s="1" t="s">
        <v>3182</v>
      </c>
      <c r="CL965" s="1" t="s">
        <v>206</v>
      </c>
      <c r="CM965" s="1" t="s">
        <v>207</v>
      </c>
      <c r="CO965" s="1" t="s">
        <v>266</v>
      </c>
      <c r="CP965" s="1" t="s">
        <v>209</v>
      </c>
      <c r="CQ965" s="1" t="s">
        <v>207</v>
      </c>
      <c r="CS965" s="1" t="s">
        <v>699</v>
      </c>
      <c r="CT965" s="1" t="s">
        <v>206</v>
      </c>
      <c r="CX965" s="1" t="s">
        <v>204</v>
      </c>
      <c r="DA965" s="1" t="s">
        <v>200</v>
      </c>
      <c r="DC965" s="1" t="s">
        <v>216</v>
      </c>
      <c r="DE965" s="1" t="s">
        <v>273</v>
      </c>
      <c r="DF965" s="1" t="s">
        <v>4206</v>
      </c>
      <c r="DH965" s="1" t="s">
        <v>365</v>
      </c>
      <c r="DJ965" s="1" t="s">
        <v>222</v>
      </c>
      <c r="DL965" s="1" t="s">
        <v>223</v>
      </c>
      <c r="DM965" s="1" t="s">
        <v>3575</v>
      </c>
      <c r="DQ965" s="1" t="s">
        <v>794</v>
      </c>
      <c r="DR965" s="1" t="s">
        <v>229</v>
      </c>
      <c r="DV965" s="1" t="s">
        <v>1729</v>
      </c>
      <c r="DW965" s="1" t="s">
        <v>279</v>
      </c>
      <c r="DX965" s="1" t="s">
        <v>1287</v>
      </c>
      <c r="EC965" s="1" t="s">
        <v>645</v>
      </c>
      <c r="EG965" s="1" t="s">
        <v>1729</v>
      </c>
      <c r="EL965" s="1" t="s">
        <v>1029</v>
      </c>
      <c r="EM965" s="1" t="s">
        <v>206</v>
      </c>
      <c r="EN965" s="1" t="s">
        <v>207</v>
      </c>
      <c r="EQ965" s="1" t="s">
        <v>238</v>
      </c>
      <c r="EU965" s="1" t="s">
        <v>238</v>
      </c>
      <c r="EY965" s="1" t="s">
        <v>238</v>
      </c>
      <c r="FC965" s="1" t="s">
        <v>238</v>
      </c>
      <c r="FF965" s="1" t="s">
        <v>239</v>
      </c>
      <c r="FG965" s="1" t="s">
        <v>192</v>
      </c>
      <c r="FH965" s="1" t="s">
        <v>192</v>
      </c>
      <c r="FJ965" s="1" t="s">
        <v>648</v>
      </c>
      <c r="FK965" s="1" t="s">
        <v>229</v>
      </c>
      <c r="FL965" s="1" t="s">
        <v>10871</v>
      </c>
      <c r="FM965" s="1">
        <v>14091.0</v>
      </c>
      <c r="FN965" s="1" t="s">
        <v>10872</v>
      </c>
      <c r="FO965" s="1" t="s">
        <v>10873</v>
      </c>
      <c r="FP965" s="1">
        <v>108079.0</v>
      </c>
      <c r="FQ965" s="1" t="s">
        <v>10874</v>
      </c>
      <c r="FU965" s="1" t="s">
        <v>10875</v>
      </c>
      <c r="FV965" s="1" t="s">
        <v>200</v>
      </c>
      <c r="FW965" s="1" t="s">
        <v>530</v>
      </c>
      <c r="FX965" s="1" t="s">
        <v>246</v>
      </c>
      <c r="FZ965" s="1" t="s">
        <v>229</v>
      </c>
      <c r="GA965" s="1" t="s">
        <v>291</v>
      </c>
      <c r="GB965" s="2">
        <v>42066.0</v>
      </c>
    </row>
    <row r="966">
      <c r="A966" s="1">
        <v>255000.0</v>
      </c>
      <c r="B966" s="1" t="s">
        <v>185</v>
      </c>
      <c r="C966" s="1" t="str">
        <f>"08797813"</f>
        <v>08797813</v>
      </c>
      <c r="D966" s="1" t="s">
        <v>186</v>
      </c>
      <c r="F966" s="1" t="str">
        <f>"174"</f>
        <v>174</v>
      </c>
      <c r="G966" s="2">
        <v>41978.0</v>
      </c>
      <c r="H966" s="1">
        <v>315000.0</v>
      </c>
      <c r="I966" s="1">
        <v>99.0</v>
      </c>
      <c r="J966" s="1">
        <v>249900.0</v>
      </c>
      <c r="K966" s="2">
        <v>42076.0</v>
      </c>
      <c r="L966" s="1">
        <v>99.0</v>
      </c>
      <c r="M966" s="2">
        <v>42076.0</v>
      </c>
      <c r="N966" s="1" t="s">
        <v>187</v>
      </c>
      <c r="O966" s="2">
        <v>42132.0</v>
      </c>
      <c r="P966" s="1">
        <v>252268.0</v>
      </c>
      <c r="Q966" s="1">
        <v>25215.0</v>
      </c>
      <c r="S966" s="1">
        <v>1445.0</v>
      </c>
      <c r="T966" s="1" t="s">
        <v>10876</v>
      </c>
      <c r="U966" s="1" t="s">
        <v>320</v>
      </c>
      <c r="V966" s="1" t="s">
        <v>1200</v>
      </c>
      <c r="W966" s="1">
        <v>60174.0</v>
      </c>
      <c r="Y966" s="1" t="s">
        <v>10877</v>
      </c>
      <c r="Z966" s="1">
        <v>2004.0</v>
      </c>
      <c r="AA966" s="1" t="s">
        <v>200</v>
      </c>
      <c r="AB966" s="1" t="s">
        <v>193</v>
      </c>
      <c r="AD966" s="1" t="s">
        <v>1203</v>
      </c>
      <c r="AE966" s="1" t="s">
        <v>325</v>
      </c>
      <c r="AF966" s="1" t="s">
        <v>1203</v>
      </c>
      <c r="AH966" s="1" t="s">
        <v>10878</v>
      </c>
      <c r="AI966" s="1">
        <v>0.22</v>
      </c>
      <c r="AK966" s="1">
        <v>12.0</v>
      </c>
      <c r="AL966" s="1">
        <v>4.0</v>
      </c>
      <c r="AM966" s="1">
        <v>3.0</v>
      </c>
      <c r="AN966" s="1">
        <v>1.0</v>
      </c>
      <c r="AO966" s="1" t="s">
        <v>198</v>
      </c>
      <c r="AP966" s="1">
        <v>1.0</v>
      </c>
      <c r="AQ966" s="1" t="s">
        <v>198</v>
      </c>
      <c r="AR966" s="1" t="s">
        <v>192</v>
      </c>
      <c r="AS966" s="1" t="s">
        <v>199</v>
      </c>
      <c r="AT966" s="1">
        <v>2.0</v>
      </c>
      <c r="AV966" s="1" t="s">
        <v>200</v>
      </c>
      <c r="AW966" s="1">
        <v>8170.38</v>
      </c>
      <c r="AX966" s="1">
        <v>2013.0</v>
      </c>
      <c r="AY966" s="1" t="s">
        <v>387</v>
      </c>
      <c r="AZ966" s="1" t="s">
        <v>200</v>
      </c>
      <c r="BA966" s="1" t="str">
        <f>"0928376016"</f>
        <v>0928376016</v>
      </c>
      <c r="BC966" s="1">
        <v>1973.0</v>
      </c>
      <c r="BD966" s="1">
        <v>255000.0</v>
      </c>
      <c r="BE966" s="2">
        <v>41978.0</v>
      </c>
      <c r="BF966" s="2" t="s">
        <v>10879</v>
      </c>
      <c r="BH966" s="1">
        <v>0.0</v>
      </c>
      <c r="BK966" s="1" t="s">
        <v>204</v>
      </c>
      <c r="BL966" s="1" t="str">
        <f t="shared" ref="BL966:BM966" si="634">""</f>
        <v/>
      </c>
      <c r="BM966" s="1" t="str">
        <f t="shared" si="634"/>
        <v/>
      </c>
      <c r="BQ966" s="1">
        <v>303.0</v>
      </c>
      <c r="BR966" s="1">
        <v>303.0</v>
      </c>
      <c r="BS966" s="1">
        <v>303.0</v>
      </c>
      <c r="BU966" s="1" t="s">
        <v>215</v>
      </c>
      <c r="BV966" s="1" t="s">
        <v>206</v>
      </c>
      <c r="BW966" s="1" t="s">
        <v>207</v>
      </c>
      <c r="BY966" s="1" t="s">
        <v>1483</v>
      </c>
      <c r="BZ966" s="1" t="s">
        <v>209</v>
      </c>
      <c r="CA966" s="1" t="s">
        <v>207</v>
      </c>
      <c r="CC966" s="1" t="s">
        <v>212</v>
      </c>
      <c r="CD966" s="1" t="s">
        <v>206</v>
      </c>
      <c r="CE966" s="1" t="s">
        <v>207</v>
      </c>
      <c r="CG966" s="1" t="s">
        <v>212</v>
      </c>
      <c r="CH966" s="1" t="s">
        <v>209</v>
      </c>
      <c r="CI966" s="1" t="s">
        <v>207</v>
      </c>
      <c r="CK966" s="1" t="s">
        <v>699</v>
      </c>
      <c r="CL966" s="1" t="s">
        <v>209</v>
      </c>
      <c r="CM966" s="1" t="s">
        <v>207</v>
      </c>
      <c r="CO966" s="1" t="s">
        <v>699</v>
      </c>
      <c r="CP966" s="1" t="s">
        <v>209</v>
      </c>
      <c r="CQ966" s="1" t="s">
        <v>207</v>
      </c>
      <c r="CS966" s="1" t="s">
        <v>1245</v>
      </c>
      <c r="CT966" s="1" t="s">
        <v>206</v>
      </c>
      <c r="CU966" s="1" t="s">
        <v>207</v>
      </c>
      <c r="CW966" s="1" t="s">
        <v>758</v>
      </c>
      <c r="CX966" s="1" t="s">
        <v>206</v>
      </c>
      <c r="CY966" s="1" t="s">
        <v>207</v>
      </c>
      <c r="DA966" s="1" t="s">
        <v>200</v>
      </c>
      <c r="DC966" s="1" t="s">
        <v>335</v>
      </c>
      <c r="DD966" s="1" t="s">
        <v>306</v>
      </c>
      <c r="DE966" s="1" t="s">
        <v>273</v>
      </c>
      <c r="DF966" s="1" t="s">
        <v>219</v>
      </c>
      <c r="DG966" s="1" t="s">
        <v>3833</v>
      </c>
      <c r="DH966" s="1" t="s">
        <v>220</v>
      </c>
      <c r="DJ966" s="1" t="s">
        <v>222</v>
      </c>
      <c r="DL966" s="1" t="s">
        <v>224</v>
      </c>
      <c r="DM966" s="1" t="s">
        <v>229</v>
      </c>
      <c r="DN966" s="1" t="s">
        <v>10880</v>
      </c>
      <c r="DO966" s="1" t="s">
        <v>549</v>
      </c>
      <c r="DP966" s="1" t="s">
        <v>340</v>
      </c>
      <c r="DQ966" s="1" t="s">
        <v>228</v>
      </c>
      <c r="DR966" s="1" t="s">
        <v>229</v>
      </c>
      <c r="DS966" s="1" t="s">
        <v>591</v>
      </c>
      <c r="DU966" s="1" t="s">
        <v>1840</v>
      </c>
      <c r="DV966" s="1" t="s">
        <v>10881</v>
      </c>
      <c r="DW966" s="1" t="s">
        <v>444</v>
      </c>
      <c r="DX966" s="1" t="s">
        <v>234</v>
      </c>
      <c r="DY966" s="1" t="s">
        <v>235</v>
      </c>
      <c r="DZ966" s="1" t="s">
        <v>2693</v>
      </c>
      <c r="EA966" s="1" t="s">
        <v>344</v>
      </c>
      <c r="EB966" s="1" t="s">
        <v>684</v>
      </c>
      <c r="EC966" s="1" t="s">
        <v>237</v>
      </c>
      <c r="ED966" s="1" t="s">
        <v>555</v>
      </c>
      <c r="EG966" s="1" t="s">
        <v>449</v>
      </c>
      <c r="EH966" s="1" t="s">
        <v>450</v>
      </c>
      <c r="EI966" s="1" t="s">
        <v>1228</v>
      </c>
      <c r="EJ966" s="1" t="s">
        <v>2023</v>
      </c>
      <c r="EK966" s="1" t="s">
        <v>720</v>
      </c>
      <c r="EL966" s="1" t="s">
        <v>265</v>
      </c>
      <c r="EM966" s="1" t="s">
        <v>206</v>
      </c>
      <c r="EN966" s="1" t="s">
        <v>207</v>
      </c>
      <c r="EP966" s="1" t="s">
        <v>582</v>
      </c>
      <c r="EQ966" s="1" t="s">
        <v>42</v>
      </c>
      <c r="ER966" s="1" t="s">
        <v>268</v>
      </c>
      <c r="ET966" s="1" t="s">
        <v>262</v>
      </c>
      <c r="EU966" s="1" t="s">
        <v>209</v>
      </c>
      <c r="EV966" s="1" t="s">
        <v>207</v>
      </c>
      <c r="EX966" s="1" t="s">
        <v>784</v>
      </c>
      <c r="EY966" s="1" t="s">
        <v>42</v>
      </c>
      <c r="EZ966" s="1" t="s">
        <v>210</v>
      </c>
      <c r="FB966" s="1" t="s">
        <v>560</v>
      </c>
      <c r="FC966" s="1" t="s">
        <v>206</v>
      </c>
      <c r="FD966" s="1" t="s">
        <v>617</v>
      </c>
      <c r="FF966" s="1" t="s">
        <v>239</v>
      </c>
      <c r="FG966" s="1" t="s">
        <v>192</v>
      </c>
      <c r="FH966" s="1" t="s">
        <v>192</v>
      </c>
      <c r="FJ966" s="1" t="s">
        <v>770</v>
      </c>
      <c r="FK966" s="1" t="s">
        <v>229</v>
      </c>
      <c r="FL966" s="1" t="s">
        <v>456</v>
      </c>
      <c r="FM966" s="1">
        <v>49.0</v>
      </c>
      <c r="FN966" s="1" t="s">
        <v>457</v>
      </c>
      <c r="FO966" s="1" t="s">
        <v>7305</v>
      </c>
      <c r="FP966" s="1">
        <v>7198.0</v>
      </c>
      <c r="FQ966" s="1" t="s">
        <v>7306</v>
      </c>
      <c r="FR966" s="1">
        <v>35055.0</v>
      </c>
      <c r="FU966" s="1" t="s">
        <v>10669</v>
      </c>
      <c r="FV966" s="1" t="s">
        <v>200</v>
      </c>
      <c r="FW966" s="1" t="s">
        <v>10670</v>
      </c>
      <c r="FZ966" s="1" t="s">
        <v>229</v>
      </c>
      <c r="GA966" s="1" t="s">
        <v>291</v>
      </c>
      <c r="GB966" s="2">
        <v>42135.0</v>
      </c>
      <c r="GC966" s="1" t="s">
        <v>10882</v>
      </c>
    </row>
    <row r="967">
      <c r="A967" s="1">
        <v>235000.0</v>
      </c>
      <c r="B967" s="1" t="s">
        <v>185</v>
      </c>
      <c r="C967" s="1" t="str">
        <f>"08608406"</f>
        <v>08608406</v>
      </c>
      <c r="D967" s="1" t="s">
        <v>186</v>
      </c>
      <c r="F967" s="1" t="str">
        <f>"140"</f>
        <v>140</v>
      </c>
      <c r="G967" s="2">
        <v>41767.0</v>
      </c>
      <c r="H967" s="1">
        <v>289000.0</v>
      </c>
      <c r="I967" s="1">
        <v>225.0</v>
      </c>
      <c r="J967" s="1">
        <v>239000.0</v>
      </c>
      <c r="K967" s="2">
        <v>41991.0</v>
      </c>
      <c r="L967" s="1">
        <v>225.0</v>
      </c>
      <c r="M967" s="2">
        <v>41991.0</v>
      </c>
      <c r="N967" s="1" t="s">
        <v>187</v>
      </c>
      <c r="O967" s="2">
        <v>41996.0</v>
      </c>
      <c r="P967" s="1">
        <v>55062.0</v>
      </c>
      <c r="Q967" s="1">
        <v>5016.0</v>
      </c>
      <c r="R967" s="1">
        <v>2000.0</v>
      </c>
      <c r="S967" s="1">
        <v>2541.0</v>
      </c>
      <c r="T967" s="1" t="s">
        <v>10883</v>
      </c>
      <c r="U967" s="1" t="s">
        <v>464</v>
      </c>
      <c r="V967" s="1" t="s">
        <v>321</v>
      </c>
      <c r="W967" s="1">
        <v>60140.0</v>
      </c>
      <c r="Y967" s="1" t="s">
        <v>10884</v>
      </c>
      <c r="Z967" s="1">
        <v>2007.0</v>
      </c>
      <c r="AA967" s="1" t="s">
        <v>200</v>
      </c>
      <c r="AB967" s="1" t="s">
        <v>193</v>
      </c>
      <c r="AC967" s="1" t="s">
        <v>10885</v>
      </c>
      <c r="AD967" s="1" t="s">
        <v>324</v>
      </c>
      <c r="AE967" s="1" t="s">
        <v>325</v>
      </c>
      <c r="AF967" s="1" t="s">
        <v>3429</v>
      </c>
      <c r="AH967" s="1" t="s">
        <v>10886</v>
      </c>
      <c r="AK967" s="1">
        <v>10.0</v>
      </c>
      <c r="AL967" s="1">
        <v>4.0</v>
      </c>
      <c r="AM967" s="1">
        <v>2.0</v>
      </c>
      <c r="AN967" s="1">
        <v>1.0</v>
      </c>
      <c r="AO967" s="1" t="s">
        <v>198</v>
      </c>
      <c r="AP967" s="1">
        <v>1.0</v>
      </c>
      <c r="AQ967" s="1" t="s">
        <v>472</v>
      </c>
      <c r="AR967" s="1" t="s">
        <v>200</v>
      </c>
      <c r="AS967" s="1" t="s">
        <v>199</v>
      </c>
      <c r="AT967" s="1">
        <v>3.0</v>
      </c>
      <c r="AV967" s="1" t="s">
        <v>200</v>
      </c>
      <c r="AW967" s="1">
        <v>8115.0</v>
      </c>
      <c r="AX967" s="1">
        <v>2013.0</v>
      </c>
      <c r="AY967" s="1" t="s">
        <v>229</v>
      </c>
      <c r="AZ967" s="1" t="s">
        <v>200</v>
      </c>
      <c r="BA967" s="1" t="str">
        <f>"0207301006"</f>
        <v>0207301006</v>
      </c>
      <c r="BC967" s="1">
        <v>2946.0</v>
      </c>
      <c r="BD967" s="1">
        <v>235000.0</v>
      </c>
      <c r="BE967" s="2">
        <v>41767.0</v>
      </c>
      <c r="BF967" s="2" t="s">
        <v>10887</v>
      </c>
      <c r="BH967" s="1">
        <v>34.0</v>
      </c>
      <c r="BK967" s="1" t="s">
        <v>474</v>
      </c>
      <c r="BL967" s="1" t="str">
        <f t="shared" ref="BL967:BM967" si="635">""</f>
        <v/>
      </c>
      <c r="BM967" s="1" t="str">
        <f t="shared" si="635"/>
        <v/>
      </c>
      <c r="BQ967" s="1">
        <v>158.0</v>
      </c>
      <c r="BR967" s="1">
        <v>158.0</v>
      </c>
      <c r="BS967" s="1">
        <v>158.0</v>
      </c>
      <c r="BU967" s="1" t="s">
        <v>1395</v>
      </c>
      <c r="BV967" s="1" t="s">
        <v>206</v>
      </c>
      <c r="BW967" s="1" t="s">
        <v>210</v>
      </c>
      <c r="BY967" s="1" t="s">
        <v>304</v>
      </c>
      <c r="BZ967" s="1" t="s">
        <v>209</v>
      </c>
      <c r="CA967" s="1" t="s">
        <v>210</v>
      </c>
      <c r="CC967" s="1" t="s">
        <v>262</v>
      </c>
      <c r="CD967" s="1" t="s">
        <v>206</v>
      </c>
      <c r="CE967" s="1" t="s">
        <v>210</v>
      </c>
      <c r="CG967" s="1" t="s">
        <v>213</v>
      </c>
      <c r="CH967" s="1" t="s">
        <v>209</v>
      </c>
      <c r="CI967" s="1" t="s">
        <v>210</v>
      </c>
      <c r="CK967" s="1" t="s">
        <v>300</v>
      </c>
      <c r="CL967" s="1" t="s">
        <v>209</v>
      </c>
      <c r="CM967" s="1" t="s">
        <v>210</v>
      </c>
      <c r="CO967" s="1" t="s">
        <v>213</v>
      </c>
      <c r="CP967" s="1" t="s">
        <v>206</v>
      </c>
      <c r="CQ967" s="1" t="s">
        <v>210</v>
      </c>
      <c r="CR967" s="1" t="s">
        <v>239</v>
      </c>
      <c r="CS967" s="1" t="s">
        <v>392</v>
      </c>
      <c r="CT967" s="1" t="s">
        <v>206</v>
      </c>
      <c r="CU967" s="1" t="s">
        <v>617</v>
      </c>
      <c r="CW967" s="1" t="s">
        <v>392</v>
      </c>
      <c r="CX967" s="1" t="s">
        <v>206</v>
      </c>
      <c r="CY967" s="1" t="s">
        <v>210</v>
      </c>
      <c r="DA967" s="1" t="s">
        <v>200</v>
      </c>
      <c r="DC967" s="1" t="s">
        <v>481</v>
      </c>
      <c r="DD967" s="1" t="s">
        <v>336</v>
      </c>
      <c r="DE967" s="1" t="s">
        <v>273</v>
      </c>
      <c r="DF967" s="1" t="s">
        <v>619</v>
      </c>
      <c r="DG967" s="1" t="s">
        <v>3259</v>
      </c>
      <c r="DH967" s="1" t="s">
        <v>220</v>
      </c>
      <c r="DI967" s="1" t="s">
        <v>703</v>
      </c>
      <c r="DJ967" s="1" t="s">
        <v>222</v>
      </c>
      <c r="DL967" s="1" t="s">
        <v>484</v>
      </c>
      <c r="DM967" s="1" t="s">
        <v>338</v>
      </c>
      <c r="DN967" s="1" t="s">
        <v>3293</v>
      </c>
      <c r="DO967" s="1" t="s">
        <v>10888</v>
      </c>
      <c r="DP967" s="1" t="s">
        <v>276</v>
      </c>
      <c r="DQ967" s="1" t="s">
        <v>228</v>
      </c>
      <c r="DR967" s="1" t="s">
        <v>588</v>
      </c>
      <c r="DS967" s="1" t="s">
        <v>230</v>
      </c>
      <c r="DU967" s="1" t="s">
        <v>1840</v>
      </c>
      <c r="DV967" s="1" t="s">
        <v>6535</v>
      </c>
      <c r="DW967" s="1" t="s">
        <v>233</v>
      </c>
      <c r="DX967" s="1" t="s">
        <v>234</v>
      </c>
      <c r="DY967" s="1" t="s">
        <v>10889</v>
      </c>
      <c r="DZ967" s="1" t="s">
        <v>966</v>
      </c>
      <c r="EA967" s="1" t="s">
        <v>344</v>
      </c>
      <c r="EB967" s="1" t="s">
        <v>937</v>
      </c>
      <c r="EC967" s="1" t="s">
        <v>237</v>
      </c>
      <c r="ED967" s="1" t="s">
        <v>4163</v>
      </c>
      <c r="EE967" s="1" t="s">
        <v>493</v>
      </c>
      <c r="EG967" s="1" t="s">
        <v>341</v>
      </c>
      <c r="EH967" s="1" t="s">
        <v>598</v>
      </c>
      <c r="EL967" s="1" t="s">
        <v>2800</v>
      </c>
      <c r="EM967" s="1" t="s">
        <v>209</v>
      </c>
      <c r="EN967" s="1" t="s">
        <v>210</v>
      </c>
      <c r="EP967" s="1" t="s">
        <v>699</v>
      </c>
      <c r="EQ967" s="1" t="s">
        <v>206</v>
      </c>
      <c r="ER967" s="1" t="s">
        <v>210</v>
      </c>
      <c r="EU967" s="1" t="s">
        <v>238</v>
      </c>
      <c r="EY967" s="1" t="s">
        <v>238</v>
      </c>
      <c r="FC967" s="1" t="s">
        <v>238</v>
      </c>
      <c r="FF967" s="1" t="s">
        <v>239</v>
      </c>
      <c r="FG967" s="1" t="s">
        <v>192</v>
      </c>
      <c r="FH967" s="1" t="s">
        <v>192</v>
      </c>
      <c r="FJ967" s="1" t="s">
        <v>10548</v>
      </c>
      <c r="FK967" s="1" t="s">
        <v>229</v>
      </c>
      <c r="FL967" s="1" t="s">
        <v>6233</v>
      </c>
      <c r="FM967" s="1">
        <v>7630.0</v>
      </c>
      <c r="FN967" s="1" t="s">
        <v>6234</v>
      </c>
      <c r="FO967" s="1" t="s">
        <v>10890</v>
      </c>
      <c r="FP967" s="1">
        <v>77006.0</v>
      </c>
      <c r="FQ967" s="1" t="s">
        <v>10891</v>
      </c>
      <c r="FR967" s="1">
        <v>53605.0</v>
      </c>
      <c r="FS967" s="1" t="s">
        <v>10892</v>
      </c>
      <c r="FU967" s="1" t="s">
        <v>10893</v>
      </c>
      <c r="FV967" s="1" t="s">
        <v>200</v>
      </c>
      <c r="FW967" s="1" t="s">
        <v>1293</v>
      </c>
      <c r="FZ967" s="1" t="s">
        <v>229</v>
      </c>
      <c r="GA967" s="1" t="s">
        <v>291</v>
      </c>
      <c r="GB967" s="2">
        <v>41996.0</v>
      </c>
    </row>
    <row r="968">
      <c r="A968" s="1">
        <v>550000.0</v>
      </c>
      <c r="B968" s="1" t="s">
        <v>185</v>
      </c>
      <c r="C968" s="1" t="str">
        <f>"08608825"</f>
        <v>08608825</v>
      </c>
      <c r="D968" s="1" t="s">
        <v>186</v>
      </c>
      <c r="F968" s="1" t="str">
        <f>"134"</f>
        <v>134</v>
      </c>
      <c r="G968" s="2">
        <v>41767.0</v>
      </c>
      <c r="H968" s="1">
        <v>595000.0</v>
      </c>
      <c r="I968" s="1">
        <v>444.0</v>
      </c>
      <c r="J968" s="1">
        <v>574900.0</v>
      </c>
      <c r="K968" s="2">
        <v>41940.0</v>
      </c>
      <c r="L968" s="1">
        <v>174.0</v>
      </c>
      <c r="M968" s="2">
        <v>41940.0</v>
      </c>
      <c r="N968" s="1" t="s">
        <v>187</v>
      </c>
      <c r="O968" s="2">
        <v>41978.0</v>
      </c>
      <c r="P968" s="1">
        <v>681.0</v>
      </c>
      <c r="Q968" s="1">
        <v>604.0</v>
      </c>
      <c r="S968" s="1">
        <v>1002.0</v>
      </c>
      <c r="T968" s="1" t="s">
        <v>8621</v>
      </c>
      <c r="U968" s="1" t="s">
        <v>1015</v>
      </c>
      <c r="V968" s="1" t="s">
        <v>421</v>
      </c>
      <c r="W968" s="1">
        <v>60134.0</v>
      </c>
      <c r="Y968" s="1" t="s">
        <v>10894</v>
      </c>
      <c r="Z968" s="1">
        <v>1992.0</v>
      </c>
      <c r="AA968" s="1" t="s">
        <v>200</v>
      </c>
      <c r="AB968" s="1" t="s">
        <v>193</v>
      </c>
      <c r="AC968" s="1" t="s">
        <v>3521</v>
      </c>
      <c r="AD968" s="1" t="s">
        <v>424</v>
      </c>
      <c r="AE968" s="1" t="s">
        <v>325</v>
      </c>
      <c r="AF968" s="1" t="s">
        <v>424</v>
      </c>
      <c r="AH968" s="1" t="s">
        <v>10895</v>
      </c>
      <c r="AK968" s="1">
        <v>13.0</v>
      </c>
      <c r="AL968" s="1">
        <v>4.0</v>
      </c>
      <c r="AM968" s="1">
        <v>4.0</v>
      </c>
      <c r="AN968" s="1">
        <v>1.0</v>
      </c>
      <c r="AO968" s="1" t="s">
        <v>198</v>
      </c>
      <c r="AP968" s="1">
        <v>2.0</v>
      </c>
      <c r="AQ968" s="1" t="s">
        <v>257</v>
      </c>
      <c r="AR968" s="1" t="s">
        <v>192</v>
      </c>
      <c r="AS968" s="1" t="s">
        <v>199</v>
      </c>
      <c r="AT968" s="1">
        <v>3.0</v>
      </c>
      <c r="AV968" s="1" t="s">
        <v>192</v>
      </c>
      <c r="AW968" s="1">
        <v>15781.0</v>
      </c>
      <c r="AX968" s="1">
        <v>2013.0</v>
      </c>
      <c r="AY968" s="1" t="s">
        <v>387</v>
      </c>
      <c r="AZ968" s="1" t="s">
        <v>200</v>
      </c>
      <c r="BA968" s="1" t="str">
        <f>"1209181009"</f>
        <v>1209181009</v>
      </c>
      <c r="BB968" s="1" t="s">
        <v>200</v>
      </c>
      <c r="BC968" s="1">
        <v>3631.0</v>
      </c>
      <c r="BD968" s="1">
        <v>550000.0</v>
      </c>
      <c r="BE968" s="2">
        <v>41767.0</v>
      </c>
      <c r="BF968" s="2" t="s">
        <v>10896</v>
      </c>
      <c r="BH968" s="1">
        <v>0.0</v>
      </c>
      <c r="BK968" s="1" t="s">
        <v>204</v>
      </c>
      <c r="BL968" s="1" t="str">
        <f t="shared" ref="BL968:BM968" si="636">""</f>
        <v/>
      </c>
      <c r="BM968" s="1" t="str">
        <f t="shared" si="636"/>
        <v/>
      </c>
      <c r="BN968" s="1">
        <v>34.0</v>
      </c>
      <c r="BQ968" s="1">
        <v>304.0</v>
      </c>
      <c r="BR968" s="1">
        <v>304.0</v>
      </c>
      <c r="BS968" s="1">
        <v>304.0</v>
      </c>
      <c r="BU968" s="1" t="s">
        <v>676</v>
      </c>
      <c r="BV968" s="1" t="s">
        <v>206</v>
      </c>
      <c r="BW968" s="1" t="s">
        <v>207</v>
      </c>
      <c r="BX968" s="1" t="s">
        <v>239</v>
      </c>
      <c r="BY968" s="1" t="s">
        <v>676</v>
      </c>
      <c r="BZ968" s="1" t="s">
        <v>206</v>
      </c>
      <c r="CA968" s="1" t="s">
        <v>210</v>
      </c>
      <c r="CB968" s="1" t="s">
        <v>239</v>
      </c>
      <c r="CC968" s="1" t="s">
        <v>830</v>
      </c>
      <c r="CD968" s="1" t="s">
        <v>206</v>
      </c>
      <c r="CE968" s="1" t="s">
        <v>207</v>
      </c>
      <c r="CF968" s="1" t="s">
        <v>239</v>
      </c>
      <c r="CG968" s="1" t="s">
        <v>2273</v>
      </c>
      <c r="CH968" s="1" t="s">
        <v>209</v>
      </c>
      <c r="CI968" s="1" t="s">
        <v>210</v>
      </c>
      <c r="CJ968" s="1" t="s">
        <v>239</v>
      </c>
      <c r="CK968" s="1" t="s">
        <v>2082</v>
      </c>
      <c r="CL968" s="1" t="s">
        <v>209</v>
      </c>
      <c r="CM968" s="1" t="s">
        <v>210</v>
      </c>
      <c r="CN968" s="1" t="s">
        <v>239</v>
      </c>
      <c r="CO968" s="1" t="s">
        <v>2713</v>
      </c>
      <c r="CP968" s="1" t="s">
        <v>209</v>
      </c>
      <c r="CQ968" s="1" t="s">
        <v>210</v>
      </c>
      <c r="CR968" s="1" t="s">
        <v>239</v>
      </c>
      <c r="CS968" s="1" t="s">
        <v>300</v>
      </c>
      <c r="CT968" s="1" t="s">
        <v>206</v>
      </c>
      <c r="CU968" s="1" t="s">
        <v>207</v>
      </c>
      <c r="CV968" s="1" t="s">
        <v>239</v>
      </c>
      <c r="CW968" s="1" t="s">
        <v>10897</v>
      </c>
      <c r="CX968" s="1" t="s">
        <v>206</v>
      </c>
      <c r="CY968" s="1" t="s">
        <v>210</v>
      </c>
      <c r="CZ968" s="1" t="s">
        <v>239</v>
      </c>
      <c r="DA968" s="1" t="s">
        <v>200</v>
      </c>
      <c r="DC968" s="1" t="s">
        <v>435</v>
      </c>
      <c r="DD968" s="1" t="s">
        <v>272</v>
      </c>
      <c r="DE968" s="1" t="s">
        <v>1810</v>
      </c>
      <c r="DF968" s="1" t="s">
        <v>2328</v>
      </c>
      <c r="DG968" s="1" t="s">
        <v>482</v>
      </c>
      <c r="DH968" s="1" t="s">
        <v>220</v>
      </c>
      <c r="DI968" s="1" t="s">
        <v>10898</v>
      </c>
      <c r="DJ968" s="1" t="s">
        <v>222</v>
      </c>
      <c r="DK968" s="1" t="s">
        <v>223</v>
      </c>
      <c r="DL968" s="1" t="s">
        <v>224</v>
      </c>
      <c r="DM968" s="1" t="s">
        <v>929</v>
      </c>
      <c r="DN968" s="1" t="s">
        <v>10899</v>
      </c>
      <c r="DO968" s="1" t="s">
        <v>10900</v>
      </c>
      <c r="DP968" s="1" t="s">
        <v>340</v>
      </c>
      <c r="DQ968" s="1" t="s">
        <v>441</v>
      </c>
      <c r="DR968" s="1" t="s">
        <v>229</v>
      </c>
      <c r="DS968" s="1" t="s">
        <v>230</v>
      </c>
      <c r="DU968" s="1" t="s">
        <v>10901</v>
      </c>
      <c r="DV968" s="1" t="s">
        <v>10902</v>
      </c>
      <c r="DW968" s="1" t="s">
        <v>1957</v>
      </c>
      <c r="DX968" s="1" t="s">
        <v>234</v>
      </c>
      <c r="DY968" s="1" t="s">
        <v>10903</v>
      </c>
      <c r="DZ968" s="1" t="s">
        <v>1100</v>
      </c>
      <c r="EA968" s="1" t="s">
        <v>257</v>
      </c>
      <c r="EB968" s="1" t="s">
        <v>10904</v>
      </c>
      <c r="EC968" s="1" t="s">
        <v>237</v>
      </c>
      <c r="ED968" s="1" t="s">
        <v>407</v>
      </c>
      <c r="EG968" s="1" t="s">
        <v>449</v>
      </c>
      <c r="EH968" s="1" t="s">
        <v>450</v>
      </c>
      <c r="EI968" s="1" t="s">
        <v>451</v>
      </c>
      <c r="EJ968" s="1" t="s">
        <v>1432</v>
      </c>
      <c r="EK968" s="1" t="s">
        <v>1729</v>
      </c>
      <c r="EL968" s="1" t="s">
        <v>1397</v>
      </c>
      <c r="EM968" s="1" t="s">
        <v>206</v>
      </c>
      <c r="EN968" s="1" t="s">
        <v>207</v>
      </c>
      <c r="EO968" s="1" t="s">
        <v>239</v>
      </c>
      <c r="EP968" s="1" t="s">
        <v>2441</v>
      </c>
      <c r="EQ968" s="1" t="s">
        <v>267</v>
      </c>
      <c r="ER968" s="1" t="s">
        <v>210</v>
      </c>
      <c r="ES968" s="1" t="s">
        <v>229</v>
      </c>
      <c r="ET968" s="1" t="s">
        <v>5515</v>
      </c>
      <c r="EU968" s="1" t="s">
        <v>267</v>
      </c>
      <c r="EV968" s="1" t="s">
        <v>210</v>
      </c>
      <c r="EW968" s="1" t="s">
        <v>229</v>
      </c>
      <c r="EX968" s="1" t="s">
        <v>364</v>
      </c>
      <c r="EY968" s="1" t="s">
        <v>267</v>
      </c>
      <c r="EZ968" s="1" t="s">
        <v>210</v>
      </c>
      <c r="FA968" s="1" t="s">
        <v>239</v>
      </c>
      <c r="FB968" s="1" t="s">
        <v>677</v>
      </c>
      <c r="FC968" s="1" t="s">
        <v>206</v>
      </c>
      <c r="FD968" s="1" t="s">
        <v>210</v>
      </c>
      <c r="FE968" s="1" t="s">
        <v>239</v>
      </c>
      <c r="FF968" s="1" t="s">
        <v>239</v>
      </c>
      <c r="FG968" s="1" t="s">
        <v>192</v>
      </c>
      <c r="FH968" s="1" t="s">
        <v>192</v>
      </c>
      <c r="FJ968" s="1" t="s">
        <v>686</v>
      </c>
      <c r="FK968" s="1" t="s">
        <v>229</v>
      </c>
      <c r="FL968" s="1" t="s">
        <v>1212</v>
      </c>
      <c r="FM968" s="1">
        <v>30.0</v>
      </c>
      <c r="FN968" s="1" t="s">
        <v>1213</v>
      </c>
      <c r="FO968" s="1" t="s">
        <v>5594</v>
      </c>
      <c r="FP968" s="1">
        <v>500.0</v>
      </c>
      <c r="FQ968" s="1" t="s">
        <v>5595</v>
      </c>
      <c r="FU968" s="1" t="s">
        <v>3617</v>
      </c>
      <c r="FV968" s="1" t="s">
        <v>200</v>
      </c>
      <c r="FW968" s="1" t="s">
        <v>290</v>
      </c>
      <c r="FZ968" s="1" t="s">
        <v>229</v>
      </c>
      <c r="GA968" s="1" t="s">
        <v>291</v>
      </c>
      <c r="GB968" s="2">
        <v>41979.0</v>
      </c>
      <c r="GC968" s="1" t="s">
        <v>10905</v>
      </c>
    </row>
    <row r="969">
      <c r="A969" s="1">
        <v>185000.0</v>
      </c>
      <c r="B969" s="1" t="s">
        <v>185</v>
      </c>
      <c r="C969" s="1" t="str">
        <f>"08255694"</f>
        <v>08255694</v>
      </c>
      <c r="D969" s="1" t="s">
        <v>186</v>
      </c>
      <c r="F969" s="1" t="str">
        <f>"123"</f>
        <v>123</v>
      </c>
      <c r="G969" s="2">
        <v>41297.0</v>
      </c>
      <c r="H969" s="1">
        <v>250000.0</v>
      </c>
      <c r="I969" s="1">
        <v>58.0</v>
      </c>
      <c r="J969" s="1">
        <v>180000.0</v>
      </c>
      <c r="K969" s="2">
        <v>41354.0</v>
      </c>
      <c r="L969" s="1">
        <v>58.0</v>
      </c>
      <c r="M969" s="2">
        <v>41354.0</v>
      </c>
      <c r="N969" s="1" t="s">
        <v>356</v>
      </c>
      <c r="O969" s="2">
        <v>41969.0</v>
      </c>
      <c r="P969" s="1">
        <v>8125.0</v>
      </c>
      <c r="Q969" s="1">
        <v>7480.0</v>
      </c>
      <c r="R969" s="1">
        <v>1785.0</v>
      </c>
      <c r="S969" s="1">
        <v>815.0</v>
      </c>
      <c r="T969" s="1" t="s">
        <v>10906</v>
      </c>
      <c r="U969" s="1" t="s">
        <v>569</v>
      </c>
      <c r="V969" s="1" t="s">
        <v>465</v>
      </c>
      <c r="W969" s="1">
        <v>60120.0</v>
      </c>
      <c r="Y969" s="1" t="s">
        <v>10907</v>
      </c>
      <c r="Z969" s="1">
        <v>1973.0</v>
      </c>
      <c r="AA969" s="1" t="s">
        <v>192</v>
      </c>
      <c r="AB969" s="1" t="s">
        <v>193</v>
      </c>
      <c r="AC969" s="1" t="s">
        <v>10908</v>
      </c>
      <c r="AD969" s="1" t="s">
        <v>469</v>
      </c>
      <c r="AE969" s="1" t="s">
        <v>195</v>
      </c>
      <c r="AF969" s="1" t="s">
        <v>298</v>
      </c>
      <c r="AH969" s="1" t="s">
        <v>10909</v>
      </c>
      <c r="AI969" s="1">
        <v>0.22</v>
      </c>
      <c r="AK969" s="1">
        <v>8.0</v>
      </c>
      <c r="AL969" s="1">
        <v>4.0</v>
      </c>
      <c r="AM969" s="1">
        <v>2.0</v>
      </c>
      <c r="AN969" s="1">
        <v>1.0</v>
      </c>
      <c r="AO969" s="1" t="s">
        <v>198</v>
      </c>
      <c r="AP969" s="1">
        <v>1.0</v>
      </c>
      <c r="AQ969" s="1" t="s">
        <v>1314</v>
      </c>
      <c r="AR969" s="1" t="s">
        <v>192</v>
      </c>
      <c r="AS969" s="1" t="s">
        <v>199</v>
      </c>
      <c r="AT969" s="1">
        <v>2.0</v>
      </c>
      <c r="AV969" s="1" t="s">
        <v>200</v>
      </c>
      <c r="AW969" s="1">
        <v>5631.0</v>
      </c>
      <c r="AX969" s="1">
        <v>2011.0</v>
      </c>
      <c r="AY969" s="1" t="s">
        <v>387</v>
      </c>
      <c r="AZ969" s="1" t="s">
        <v>200</v>
      </c>
      <c r="BA969" s="1" t="str">
        <f>"06073130020000"</f>
        <v>06073130020000</v>
      </c>
      <c r="BB969" s="1" t="s">
        <v>200</v>
      </c>
      <c r="BC969" s="1">
        <v>2432.0</v>
      </c>
      <c r="BD969" s="1">
        <v>185000.0</v>
      </c>
      <c r="BE969" s="2">
        <v>41297.0</v>
      </c>
      <c r="BF969" s="2" t="s">
        <v>10910</v>
      </c>
      <c r="BG969" s="1" t="s">
        <v>2142</v>
      </c>
      <c r="BH969" s="1">
        <v>0.0</v>
      </c>
      <c r="BI969" s="1" t="s">
        <v>1242</v>
      </c>
      <c r="BJ969" s="1" t="s">
        <v>1243</v>
      </c>
      <c r="BK969" s="1" t="s">
        <v>204</v>
      </c>
      <c r="BL969" s="1" t="str">
        <f>"12"</f>
        <v>12</v>
      </c>
      <c r="BM969" s="1" t="str">
        <f>"0"</f>
        <v>0</v>
      </c>
      <c r="BN969" s="1">
        <v>32.0</v>
      </c>
      <c r="BO969" s="1">
        <v>0.0</v>
      </c>
      <c r="BQ969" s="1">
        <v>46.0</v>
      </c>
      <c r="BR969" s="1">
        <v>46.0</v>
      </c>
      <c r="BS969" s="1">
        <v>46.0</v>
      </c>
      <c r="BU969" s="1" t="s">
        <v>784</v>
      </c>
      <c r="BV969" s="1" t="s">
        <v>206</v>
      </c>
      <c r="BW969" s="1" t="s">
        <v>301</v>
      </c>
      <c r="BX969" s="1" t="s">
        <v>1549</v>
      </c>
      <c r="BY969" s="1" t="s">
        <v>1426</v>
      </c>
      <c r="BZ969" s="1" t="s">
        <v>209</v>
      </c>
      <c r="CA969" s="1" t="s">
        <v>207</v>
      </c>
      <c r="CB969" s="1" t="s">
        <v>431</v>
      </c>
      <c r="CC969" s="1" t="s">
        <v>212</v>
      </c>
      <c r="CD969" s="1" t="s">
        <v>206</v>
      </c>
      <c r="CE969" s="1" t="s">
        <v>301</v>
      </c>
      <c r="CF969" s="1" t="s">
        <v>1549</v>
      </c>
      <c r="CG969" s="1" t="s">
        <v>264</v>
      </c>
      <c r="CH969" s="1" t="s">
        <v>209</v>
      </c>
      <c r="CI969" s="1" t="s">
        <v>207</v>
      </c>
      <c r="CJ969" s="1" t="s">
        <v>431</v>
      </c>
      <c r="CK969" s="1" t="s">
        <v>331</v>
      </c>
      <c r="CL969" s="1" t="s">
        <v>209</v>
      </c>
      <c r="CM969" s="1" t="s">
        <v>207</v>
      </c>
      <c r="CN969" s="1" t="s">
        <v>431</v>
      </c>
      <c r="CO969" s="1" t="s">
        <v>454</v>
      </c>
      <c r="CP969" s="1" t="s">
        <v>209</v>
      </c>
      <c r="CQ969" s="1" t="s">
        <v>207</v>
      </c>
      <c r="CR969" s="1" t="s">
        <v>431</v>
      </c>
      <c r="CS969" s="1" t="s">
        <v>3989</v>
      </c>
      <c r="CT969" s="1" t="s">
        <v>206</v>
      </c>
      <c r="CU969" s="1" t="s">
        <v>268</v>
      </c>
      <c r="CV969" s="1" t="s">
        <v>229</v>
      </c>
      <c r="CW969" s="1" t="s">
        <v>1117</v>
      </c>
      <c r="CX969" s="1" t="s">
        <v>206</v>
      </c>
      <c r="CY969" s="1" t="s">
        <v>1790</v>
      </c>
      <c r="CZ969" s="1" t="s">
        <v>229</v>
      </c>
      <c r="DA969" s="1" t="s">
        <v>200</v>
      </c>
      <c r="DC969" s="1" t="s">
        <v>395</v>
      </c>
      <c r="DD969" s="1" t="s">
        <v>518</v>
      </c>
      <c r="DE969" s="1" t="s">
        <v>273</v>
      </c>
      <c r="DF969" s="1" t="s">
        <v>219</v>
      </c>
      <c r="DG969" s="1" t="s">
        <v>337</v>
      </c>
      <c r="DH969" s="1" t="s">
        <v>220</v>
      </c>
      <c r="DI969" s="1" t="s">
        <v>9345</v>
      </c>
      <c r="DJ969" s="1" t="s">
        <v>222</v>
      </c>
      <c r="DL969" s="1" t="s">
        <v>858</v>
      </c>
      <c r="DM969" s="1" t="s">
        <v>3697</v>
      </c>
      <c r="DO969" s="1" t="s">
        <v>1556</v>
      </c>
      <c r="DP969" s="1" t="s">
        <v>340</v>
      </c>
      <c r="DQ969" s="1" t="s">
        <v>228</v>
      </c>
      <c r="DR969" s="1" t="s">
        <v>229</v>
      </c>
      <c r="DS969" s="1" t="s">
        <v>277</v>
      </c>
      <c r="DV969" s="1" t="s">
        <v>10911</v>
      </c>
      <c r="DW969" s="1" t="s">
        <v>233</v>
      </c>
      <c r="DX969" s="1" t="s">
        <v>234</v>
      </c>
      <c r="DZ969" s="1" t="s">
        <v>10912</v>
      </c>
      <c r="EA969" s="1" t="s">
        <v>447</v>
      </c>
      <c r="EB969" s="1" t="s">
        <v>345</v>
      </c>
      <c r="EC969" s="1" t="s">
        <v>237</v>
      </c>
      <c r="ED969" s="1" t="s">
        <v>555</v>
      </c>
      <c r="EE969" s="1" t="s">
        <v>493</v>
      </c>
      <c r="EG969" s="1" t="s">
        <v>374</v>
      </c>
      <c r="EH969" s="1" t="s">
        <v>588</v>
      </c>
      <c r="EL969" s="1" t="s">
        <v>393</v>
      </c>
      <c r="EM969" s="1" t="s">
        <v>206</v>
      </c>
      <c r="EN969" s="1" t="s">
        <v>588</v>
      </c>
      <c r="EO969" s="1" t="s">
        <v>229</v>
      </c>
      <c r="EP969" s="1" t="s">
        <v>433</v>
      </c>
      <c r="EQ969" s="1" t="s">
        <v>42</v>
      </c>
      <c r="ER969" s="1" t="s">
        <v>210</v>
      </c>
      <c r="ES969" s="1" t="s">
        <v>431</v>
      </c>
      <c r="EU969" s="1" t="s">
        <v>238</v>
      </c>
      <c r="EY969" s="1" t="s">
        <v>238</v>
      </c>
      <c r="FC969" s="1" t="s">
        <v>238</v>
      </c>
      <c r="FF969" s="1" t="s">
        <v>239</v>
      </c>
      <c r="FG969" s="1" t="s">
        <v>192</v>
      </c>
      <c r="FH969" s="1" t="s">
        <v>200</v>
      </c>
      <c r="FJ969" s="1" t="s">
        <v>10913</v>
      </c>
      <c r="FK969" s="1" t="s">
        <v>1586</v>
      </c>
      <c r="FL969" s="1" t="s">
        <v>10914</v>
      </c>
      <c r="FM969" s="1">
        <v>143.0</v>
      </c>
      <c r="FN969" s="1" t="s">
        <v>10915</v>
      </c>
      <c r="FO969" s="1" t="s">
        <v>10916</v>
      </c>
      <c r="FP969" s="1">
        <v>70149.0</v>
      </c>
      <c r="FQ969" s="1" t="s">
        <v>10917</v>
      </c>
      <c r="FU969" s="1" t="s">
        <v>10918</v>
      </c>
      <c r="FV969" s="1" t="s">
        <v>200</v>
      </c>
      <c r="FW969" s="1" t="s">
        <v>1457</v>
      </c>
      <c r="FZ969" s="1" t="s">
        <v>229</v>
      </c>
      <c r="GA969" s="1" t="s">
        <v>291</v>
      </c>
      <c r="GB969" s="2">
        <v>41974.0</v>
      </c>
      <c r="GC969" s="1" t="s">
        <v>10919</v>
      </c>
    </row>
    <row r="970">
      <c r="A970" s="1">
        <v>146500.0</v>
      </c>
      <c r="B970" s="1" t="s">
        <v>185</v>
      </c>
      <c r="C970" s="1" t="str">
        <f>"08306517"</f>
        <v>08306517</v>
      </c>
      <c r="D970" s="1" t="s">
        <v>186</v>
      </c>
      <c r="F970" s="1" t="str">
        <f>"8058"</f>
        <v>8058</v>
      </c>
      <c r="G970" s="2">
        <v>41367.0</v>
      </c>
      <c r="H970" s="1">
        <v>249900.0</v>
      </c>
      <c r="I970" s="1">
        <v>1197.0</v>
      </c>
      <c r="J970" s="1">
        <v>146000.0</v>
      </c>
      <c r="K970" s="2">
        <v>41887.0</v>
      </c>
      <c r="L970" s="1">
        <v>521.0</v>
      </c>
      <c r="M970" s="2">
        <v>41887.0</v>
      </c>
      <c r="N970" s="1" t="s">
        <v>187</v>
      </c>
      <c r="O970" s="2">
        <v>42047.0</v>
      </c>
      <c r="P970" s="1">
        <v>125145.0</v>
      </c>
      <c r="Q970" s="1">
        <v>84301.0</v>
      </c>
      <c r="S970" s="1">
        <v>4636.0</v>
      </c>
      <c r="T970" s="1" t="s">
        <v>10920</v>
      </c>
      <c r="U970" s="1" t="s">
        <v>189</v>
      </c>
      <c r="V970" s="1" t="s">
        <v>190</v>
      </c>
      <c r="W970" s="1">
        <v>60632.0</v>
      </c>
      <c r="Y970" s="1" t="s">
        <v>10921</v>
      </c>
      <c r="Z970" s="1">
        <v>2004.0</v>
      </c>
      <c r="AA970" s="1" t="s">
        <v>200</v>
      </c>
      <c r="AB970" s="1" t="s">
        <v>193</v>
      </c>
      <c r="AD970" s="1" t="s">
        <v>194</v>
      </c>
      <c r="AE970" s="1" t="s">
        <v>195</v>
      </c>
      <c r="AF970" s="1" t="s">
        <v>659</v>
      </c>
      <c r="AH970" s="1" t="s">
        <v>359</v>
      </c>
      <c r="AK970" s="1">
        <v>8.0</v>
      </c>
      <c r="AL970" s="1">
        <v>4.0</v>
      </c>
      <c r="AM970" s="1">
        <v>3.0</v>
      </c>
      <c r="AN970" s="1">
        <v>1.0</v>
      </c>
      <c r="AO970" s="1" t="s">
        <v>198</v>
      </c>
      <c r="AQ970" s="1" t="s">
        <v>198</v>
      </c>
      <c r="AR970" s="1" t="s">
        <v>192</v>
      </c>
      <c r="AS970" s="1" t="s">
        <v>199</v>
      </c>
      <c r="AT970" s="1">
        <v>2.0</v>
      </c>
      <c r="AV970" s="1" t="s">
        <v>200</v>
      </c>
      <c r="AW970" s="1">
        <v>2569.85</v>
      </c>
      <c r="AX970" s="1">
        <v>2012.0</v>
      </c>
      <c r="AY970" s="1" t="s">
        <v>387</v>
      </c>
      <c r="AZ970" s="1" t="s">
        <v>200</v>
      </c>
      <c r="BA970" s="1" t="str">
        <f>"19014230330000"</f>
        <v>19014230330000</v>
      </c>
      <c r="BC970" s="1">
        <v>1456.0</v>
      </c>
      <c r="BD970" s="1">
        <v>146500.0</v>
      </c>
      <c r="BE970" s="2">
        <v>41367.0</v>
      </c>
      <c r="BF970" s="2" t="s">
        <v>10922</v>
      </c>
      <c r="BH970" s="1">
        <v>0.0</v>
      </c>
      <c r="BK970" s="1" t="s">
        <v>204</v>
      </c>
      <c r="BL970" s="1" t="str">
        <f t="shared" ref="BL970:BM970" si="637">"0"</f>
        <v>0</v>
      </c>
      <c r="BM970" s="1" t="str">
        <f t="shared" si="637"/>
        <v>0</v>
      </c>
      <c r="BN970" s="1">
        <v>2650.0</v>
      </c>
      <c r="BO970" s="1">
        <v>4636.0</v>
      </c>
      <c r="BQ970" s="1">
        <v>299.0</v>
      </c>
      <c r="BR970" s="1">
        <v>299.0</v>
      </c>
      <c r="BS970" s="1">
        <v>299.0</v>
      </c>
      <c r="BU970" s="1" t="s">
        <v>924</v>
      </c>
      <c r="BV970" s="1" t="s">
        <v>206</v>
      </c>
      <c r="BW970" s="1" t="s">
        <v>207</v>
      </c>
      <c r="BY970" s="1" t="s">
        <v>2224</v>
      </c>
      <c r="BZ970" s="1" t="s">
        <v>209</v>
      </c>
      <c r="CA970" s="1" t="s">
        <v>210</v>
      </c>
      <c r="CC970" s="1" t="s">
        <v>495</v>
      </c>
      <c r="CD970" s="1" t="s">
        <v>206</v>
      </c>
      <c r="CE970" s="1" t="s">
        <v>207</v>
      </c>
      <c r="CG970" s="1" t="s">
        <v>2281</v>
      </c>
      <c r="CH970" s="1" t="s">
        <v>209</v>
      </c>
      <c r="CI970" s="1" t="s">
        <v>210</v>
      </c>
      <c r="CK970" s="1" t="s">
        <v>5359</v>
      </c>
      <c r="CL970" s="1" t="s">
        <v>209</v>
      </c>
      <c r="CM970" s="1" t="s">
        <v>210</v>
      </c>
      <c r="CO970" s="1" t="s">
        <v>10923</v>
      </c>
      <c r="CP970" s="1" t="s">
        <v>267</v>
      </c>
      <c r="CQ970" s="1" t="s">
        <v>210</v>
      </c>
      <c r="CS970" s="1" t="s">
        <v>5359</v>
      </c>
      <c r="CT970" s="1" t="s">
        <v>206</v>
      </c>
      <c r="CU970" s="1" t="s">
        <v>207</v>
      </c>
      <c r="CW970" s="1" t="s">
        <v>10923</v>
      </c>
      <c r="CX970" s="1" t="s">
        <v>267</v>
      </c>
      <c r="DA970" s="1" t="s">
        <v>200</v>
      </c>
      <c r="DC970" s="1" t="s">
        <v>481</v>
      </c>
      <c r="DE970" s="1" t="s">
        <v>273</v>
      </c>
      <c r="DF970" s="1" t="s">
        <v>219</v>
      </c>
      <c r="DG970" s="1" t="s">
        <v>10924</v>
      </c>
      <c r="DH970" s="1" t="s">
        <v>365</v>
      </c>
      <c r="DJ970" s="1" t="s">
        <v>222</v>
      </c>
      <c r="DL970" s="1" t="s">
        <v>1161</v>
      </c>
      <c r="DM970" s="1" t="s">
        <v>229</v>
      </c>
      <c r="DQ970" s="1" t="s">
        <v>718</v>
      </c>
      <c r="DR970" s="1" t="s">
        <v>229</v>
      </c>
      <c r="DS970" s="1" t="s">
        <v>401</v>
      </c>
      <c r="DU970" s="1" t="s">
        <v>550</v>
      </c>
      <c r="DV970" s="1" t="s">
        <v>232</v>
      </c>
      <c r="DW970" s="1" t="s">
        <v>764</v>
      </c>
      <c r="DX970" s="1" t="s">
        <v>234</v>
      </c>
      <c r="DZ970" s="1" t="s">
        <v>310</v>
      </c>
      <c r="EA970" s="1" t="s">
        <v>1027</v>
      </c>
      <c r="EC970" s="1" t="s">
        <v>237</v>
      </c>
      <c r="EM970" s="1" t="s">
        <v>238</v>
      </c>
      <c r="EQ970" s="1" t="s">
        <v>238</v>
      </c>
      <c r="EU970" s="1" t="s">
        <v>238</v>
      </c>
      <c r="EY970" s="1" t="s">
        <v>238</v>
      </c>
      <c r="FC970" s="1" t="s">
        <v>238</v>
      </c>
      <c r="FF970" s="1" t="s">
        <v>239</v>
      </c>
      <c r="FG970" s="1" t="s">
        <v>192</v>
      </c>
      <c r="FH970" s="1" t="s">
        <v>192</v>
      </c>
      <c r="FJ970" s="1" t="s">
        <v>9377</v>
      </c>
      <c r="FK970" s="1" t="s">
        <v>1586</v>
      </c>
      <c r="FL970" s="1" t="s">
        <v>4579</v>
      </c>
      <c r="FM970" s="1">
        <v>84301.0</v>
      </c>
      <c r="FN970" s="1" t="s">
        <v>4580</v>
      </c>
      <c r="FO970" s="1" t="s">
        <v>10925</v>
      </c>
      <c r="FP970" s="1">
        <v>136620.0</v>
      </c>
      <c r="FU970" s="1" t="s">
        <v>10926</v>
      </c>
      <c r="FV970" s="1" t="s">
        <v>192</v>
      </c>
      <c r="FW970" s="1" t="s">
        <v>654</v>
      </c>
      <c r="FX970" s="1" t="s">
        <v>655</v>
      </c>
      <c r="FZ970" s="1" t="s">
        <v>229</v>
      </c>
      <c r="GA970" s="1" t="s">
        <v>291</v>
      </c>
      <c r="GB970" s="2">
        <v>42047.0</v>
      </c>
      <c r="GC970" s="1" t="s">
        <v>10927</v>
      </c>
    </row>
    <row r="971">
      <c r="A971" s="1">
        <v>180000.0</v>
      </c>
      <c r="B971" s="1" t="s">
        <v>185</v>
      </c>
      <c r="C971" s="1" t="str">
        <f>"08301029"</f>
        <v>08301029</v>
      </c>
      <c r="D971" s="1" t="s">
        <v>186</v>
      </c>
      <c r="F971" s="1" t="str">
        <f>"115"</f>
        <v>115</v>
      </c>
      <c r="G971" s="2">
        <v>41360.0</v>
      </c>
      <c r="H971" s="1">
        <v>209750.0</v>
      </c>
      <c r="I971" s="1">
        <v>518.0</v>
      </c>
      <c r="J971" s="1">
        <v>180000.0</v>
      </c>
      <c r="K971" s="2">
        <v>41877.0</v>
      </c>
      <c r="L971" s="1">
        <v>518.0</v>
      </c>
      <c r="M971" s="2">
        <v>41877.0</v>
      </c>
      <c r="N971" s="1" t="s">
        <v>356</v>
      </c>
      <c r="O971" s="2">
        <v>42073.0</v>
      </c>
      <c r="P971" s="1">
        <v>930399.0</v>
      </c>
      <c r="Q971" s="1">
        <v>93043.0</v>
      </c>
      <c r="R971" s="1">
        <v>3000.0</v>
      </c>
      <c r="S971" s="1">
        <v>634.0</v>
      </c>
      <c r="T971" s="1" t="s">
        <v>10928</v>
      </c>
      <c r="U971" s="1" t="s">
        <v>420</v>
      </c>
      <c r="V971" s="1" t="s">
        <v>610</v>
      </c>
      <c r="W971" s="1">
        <v>60115.0</v>
      </c>
      <c r="Y971" s="1" t="s">
        <v>10929</v>
      </c>
      <c r="Z971" s="1">
        <v>2004.0</v>
      </c>
      <c r="AA971" s="1" t="s">
        <v>200</v>
      </c>
      <c r="AB971" s="1" t="s">
        <v>467</v>
      </c>
      <c r="AC971" s="1" t="s">
        <v>10930</v>
      </c>
      <c r="AD971" s="1" t="s">
        <v>612</v>
      </c>
      <c r="AE971" s="1" t="s">
        <v>613</v>
      </c>
      <c r="AF971" s="1" t="s">
        <v>612</v>
      </c>
      <c r="AH971" s="1" t="s">
        <v>10931</v>
      </c>
      <c r="AI971" s="1">
        <v>0.34</v>
      </c>
      <c r="AK971" s="1">
        <v>9.0</v>
      </c>
      <c r="AL971" s="1">
        <v>4.0</v>
      </c>
      <c r="AM971" s="1">
        <v>2.0</v>
      </c>
      <c r="AN971" s="1">
        <v>1.0</v>
      </c>
      <c r="AO971" s="1" t="s">
        <v>198</v>
      </c>
      <c r="AP971" s="1">
        <v>0.0</v>
      </c>
      <c r="AQ971" s="1" t="s">
        <v>198</v>
      </c>
      <c r="AR971" s="1" t="s">
        <v>200</v>
      </c>
      <c r="AS971" s="1" t="s">
        <v>199</v>
      </c>
      <c r="AT971" s="1">
        <v>3.0</v>
      </c>
      <c r="AV971" s="1" t="s">
        <v>200</v>
      </c>
      <c r="AW971" s="1">
        <v>6310.96</v>
      </c>
      <c r="AX971" s="1">
        <v>2013.0</v>
      </c>
      <c r="AY971" s="1" t="s">
        <v>387</v>
      </c>
      <c r="AZ971" s="1" t="s">
        <v>200</v>
      </c>
      <c r="BA971" s="1" t="str">
        <f>"0821375025"</f>
        <v>0821375025</v>
      </c>
      <c r="BB971" s="1" t="s">
        <v>200</v>
      </c>
      <c r="BC971" s="1">
        <v>2430.0</v>
      </c>
      <c r="BD971" s="1">
        <v>180000.0</v>
      </c>
      <c r="BE971" s="2">
        <v>41360.0</v>
      </c>
      <c r="BF971" s="2" t="s">
        <v>10932</v>
      </c>
      <c r="BH971" s="1">
        <v>125.0</v>
      </c>
      <c r="BK971" s="1" t="s">
        <v>580</v>
      </c>
      <c r="BL971" s="1" t="str">
        <f t="shared" ref="BL971:BM971" si="638">""</f>
        <v/>
      </c>
      <c r="BM971" s="1" t="str">
        <f t="shared" si="638"/>
        <v/>
      </c>
      <c r="BQ971" s="1">
        <v>428.0</v>
      </c>
      <c r="BR971" s="1">
        <v>428.0</v>
      </c>
      <c r="BS971" s="1">
        <v>428.0</v>
      </c>
      <c r="BU971" s="1" t="s">
        <v>212</v>
      </c>
      <c r="BV971" s="1" t="s">
        <v>206</v>
      </c>
      <c r="BW971" s="1" t="s">
        <v>210</v>
      </c>
      <c r="BX971" s="1" t="s">
        <v>239</v>
      </c>
      <c r="BY971" s="1" t="s">
        <v>208</v>
      </c>
      <c r="BZ971" s="1" t="s">
        <v>209</v>
      </c>
      <c r="CA971" s="1" t="s">
        <v>210</v>
      </c>
      <c r="CB971" s="1" t="s">
        <v>239</v>
      </c>
      <c r="CC971" s="1" t="s">
        <v>332</v>
      </c>
      <c r="CD971" s="1" t="s">
        <v>206</v>
      </c>
      <c r="CE971" s="1" t="s">
        <v>210</v>
      </c>
      <c r="CF971" s="1" t="s">
        <v>239</v>
      </c>
      <c r="CG971" s="1" t="s">
        <v>495</v>
      </c>
      <c r="CH971" s="1" t="s">
        <v>209</v>
      </c>
      <c r="CI971" s="1" t="s">
        <v>210</v>
      </c>
      <c r="CJ971" s="1" t="s">
        <v>239</v>
      </c>
      <c r="CK971" s="1" t="s">
        <v>495</v>
      </c>
      <c r="CL971" s="1" t="s">
        <v>209</v>
      </c>
      <c r="CM971" s="1" t="s">
        <v>210</v>
      </c>
      <c r="CN971" s="1" t="s">
        <v>239</v>
      </c>
      <c r="CO971" s="1" t="s">
        <v>699</v>
      </c>
      <c r="CP971" s="1" t="s">
        <v>209</v>
      </c>
      <c r="CQ971" s="1" t="s">
        <v>210</v>
      </c>
      <c r="CR971" s="1" t="s">
        <v>239</v>
      </c>
      <c r="CS971" s="1" t="s">
        <v>758</v>
      </c>
      <c r="CT971" s="1" t="s">
        <v>206</v>
      </c>
      <c r="CU971" s="1" t="s">
        <v>617</v>
      </c>
      <c r="CV971" s="1" t="s">
        <v>239</v>
      </c>
      <c r="CW971" s="1" t="s">
        <v>1483</v>
      </c>
      <c r="CX971" s="1" t="s">
        <v>206</v>
      </c>
      <c r="CY971" s="1" t="s">
        <v>210</v>
      </c>
      <c r="CZ971" s="1" t="s">
        <v>239</v>
      </c>
      <c r="DA971" s="1" t="s">
        <v>200</v>
      </c>
      <c r="DC971" s="1" t="s">
        <v>481</v>
      </c>
      <c r="DD971" s="1" t="s">
        <v>1838</v>
      </c>
      <c r="DE971" s="1" t="s">
        <v>273</v>
      </c>
      <c r="DF971" s="1" t="s">
        <v>219</v>
      </c>
      <c r="DG971" s="1" t="s">
        <v>1020</v>
      </c>
      <c r="DH971" s="1" t="s">
        <v>220</v>
      </c>
      <c r="DI971" s="1" t="s">
        <v>1003</v>
      </c>
      <c r="DJ971" s="1" t="s">
        <v>222</v>
      </c>
      <c r="DK971" s="1" t="s">
        <v>223</v>
      </c>
      <c r="DL971" s="1" t="s">
        <v>223</v>
      </c>
      <c r="DM971" s="1" t="s">
        <v>1268</v>
      </c>
      <c r="DN971" s="1" t="s">
        <v>339</v>
      </c>
      <c r="DO971" s="1" t="s">
        <v>440</v>
      </c>
      <c r="DP971" s="1" t="s">
        <v>340</v>
      </c>
      <c r="DQ971" s="1" t="s">
        <v>441</v>
      </c>
      <c r="DR971" s="1" t="s">
        <v>588</v>
      </c>
      <c r="DS971" s="1" t="s">
        <v>230</v>
      </c>
      <c r="DU971" s="1" t="s">
        <v>1049</v>
      </c>
      <c r="DV971" s="1" t="s">
        <v>494</v>
      </c>
      <c r="DW971" s="1" t="s">
        <v>444</v>
      </c>
      <c r="DX971" s="1" t="s">
        <v>234</v>
      </c>
      <c r="DY971" s="1" t="s">
        <v>1051</v>
      </c>
      <c r="DZ971" s="1" t="s">
        <v>10933</v>
      </c>
      <c r="EA971" s="1" t="s">
        <v>344</v>
      </c>
      <c r="EC971" s="1" t="s">
        <v>237</v>
      </c>
      <c r="ED971" s="1" t="s">
        <v>1406</v>
      </c>
      <c r="EE971" s="1" t="s">
        <v>1077</v>
      </c>
      <c r="EG971" s="1" t="s">
        <v>494</v>
      </c>
      <c r="EL971" s="1" t="s">
        <v>495</v>
      </c>
      <c r="EM971" s="1" t="s">
        <v>206</v>
      </c>
      <c r="EN971" s="1" t="s">
        <v>210</v>
      </c>
      <c r="EO971" s="1" t="s">
        <v>239</v>
      </c>
      <c r="EQ971" s="1" t="s">
        <v>238</v>
      </c>
      <c r="EU971" s="1" t="s">
        <v>238</v>
      </c>
      <c r="EY971" s="1" t="s">
        <v>238</v>
      </c>
      <c r="FC971" s="1" t="s">
        <v>238</v>
      </c>
      <c r="FF971" s="1" t="s">
        <v>239</v>
      </c>
      <c r="FG971" s="1" t="s">
        <v>192</v>
      </c>
      <c r="FH971" s="1" t="s">
        <v>192</v>
      </c>
      <c r="FJ971" s="1" t="s">
        <v>2552</v>
      </c>
      <c r="FK971" s="1" t="s">
        <v>1586</v>
      </c>
      <c r="FL971" s="1" t="s">
        <v>1007</v>
      </c>
      <c r="FM971" s="1">
        <v>93043.0</v>
      </c>
      <c r="FN971" s="1" t="s">
        <v>1008</v>
      </c>
      <c r="FO971" s="1" t="s">
        <v>4141</v>
      </c>
      <c r="FP971" s="1">
        <v>930149.0</v>
      </c>
      <c r="FQ971" s="1" t="s">
        <v>4142</v>
      </c>
      <c r="FU971" s="1" t="s">
        <v>10934</v>
      </c>
      <c r="FV971" s="1" t="s">
        <v>200</v>
      </c>
      <c r="FW971" s="1" t="s">
        <v>10935</v>
      </c>
      <c r="FZ971" s="1" t="s">
        <v>229</v>
      </c>
      <c r="GA971" s="1" t="s">
        <v>291</v>
      </c>
      <c r="GB971" s="2">
        <v>42073.0</v>
      </c>
      <c r="GC971" s="2" t="s">
        <v>10936</v>
      </c>
    </row>
    <row r="972">
      <c r="A972" s="1">
        <v>680000.0</v>
      </c>
      <c r="B972" s="1" t="s">
        <v>185</v>
      </c>
      <c r="C972" s="1" t="str">
        <f>"08371103"</f>
        <v>08371103</v>
      </c>
      <c r="D972" s="1" t="s">
        <v>186</v>
      </c>
      <c r="F972" s="1" t="str">
        <f>"10"</f>
        <v>10</v>
      </c>
      <c r="G972" s="2">
        <v>41442.0</v>
      </c>
      <c r="H972" s="1">
        <v>939000.0</v>
      </c>
      <c r="I972" s="1">
        <v>386.0</v>
      </c>
      <c r="J972" s="1">
        <v>799000.0</v>
      </c>
      <c r="K972" s="2">
        <v>41827.0</v>
      </c>
      <c r="L972" s="1">
        <v>386.0</v>
      </c>
      <c r="M972" s="2">
        <v>41827.0</v>
      </c>
      <c r="N972" s="1" t="s">
        <v>187</v>
      </c>
      <c r="O972" s="2">
        <v>42013.0</v>
      </c>
      <c r="P972" s="1">
        <v>62021.0</v>
      </c>
      <c r="Q972" s="1">
        <v>6018.0</v>
      </c>
      <c r="S972" s="1">
        <v>10.0</v>
      </c>
      <c r="T972" s="1" t="s">
        <v>10937</v>
      </c>
      <c r="U972" s="1" t="s">
        <v>1174</v>
      </c>
      <c r="V972" s="1" t="s">
        <v>1945</v>
      </c>
      <c r="W972" s="1">
        <v>60010.0</v>
      </c>
      <c r="Y972" s="1" t="s">
        <v>10938</v>
      </c>
      <c r="Z972" s="1">
        <v>1996.0</v>
      </c>
      <c r="AA972" s="1" t="s">
        <v>200</v>
      </c>
      <c r="AB972" s="1" t="s">
        <v>193</v>
      </c>
      <c r="AD972" s="1" t="s">
        <v>9765</v>
      </c>
      <c r="AE972" s="1" t="s">
        <v>5681</v>
      </c>
      <c r="AF972" s="1" t="s">
        <v>5682</v>
      </c>
      <c r="AH972" s="1" t="s">
        <v>10939</v>
      </c>
      <c r="AI972" s="1">
        <v>5.0</v>
      </c>
      <c r="AK972" s="1">
        <v>11.0</v>
      </c>
      <c r="AL972" s="1">
        <v>4.0</v>
      </c>
      <c r="AM972" s="1">
        <v>5.0</v>
      </c>
      <c r="AN972" s="1">
        <v>2.0</v>
      </c>
      <c r="AO972" s="1" t="s">
        <v>198</v>
      </c>
      <c r="AP972" s="1">
        <v>2.0</v>
      </c>
      <c r="AQ972" s="1" t="s">
        <v>198</v>
      </c>
      <c r="AR972" s="1" t="s">
        <v>200</v>
      </c>
      <c r="AS972" s="1" t="s">
        <v>199</v>
      </c>
      <c r="AT972" s="1">
        <v>3.0</v>
      </c>
      <c r="AV972" s="1" t="s">
        <v>200</v>
      </c>
      <c r="AW972" s="1">
        <v>22526.0</v>
      </c>
      <c r="AX972" s="1">
        <v>2013.0</v>
      </c>
      <c r="AZ972" s="1" t="s">
        <v>200</v>
      </c>
      <c r="BA972" s="1" t="str">
        <f>"2029351003"</f>
        <v>2029351003</v>
      </c>
      <c r="BC972" s="1">
        <v>5300.0</v>
      </c>
      <c r="BD972" s="1">
        <v>680000.0</v>
      </c>
      <c r="BE972" s="2">
        <v>41442.0</v>
      </c>
      <c r="BF972" s="2" t="s">
        <v>10940</v>
      </c>
      <c r="BG972" s="1" t="s">
        <v>9768</v>
      </c>
      <c r="BH972" s="1">
        <v>320.0</v>
      </c>
      <c r="BI972" s="1" t="s">
        <v>10941</v>
      </c>
      <c r="BJ972" s="1" t="s">
        <v>1714</v>
      </c>
      <c r="BK972" s="1" t="s">
        <v>580</v>
      </c>
      <c r="BL972" s="1" t="str">
        <f>"21"</f>
        <v>21</v>
      </c>
      <c r="BM972" s="1" t="str">
        <f>"0"</f>
        <v>0</v>
      </c>
      <c r="BN972" s="1">
        <v>29.0</v>
      </c>
      <c r="BO972" s="1">
        <v>0.0</v>
      </c>
      <c r="BQ972" s="1">
        <v>220.0</v>
      </c>
      <c r="BR972" s="1">
        <v>220.0</v>
      </c>
      <c r="BS972" s="1">
        <v>220.0</v>
      </c>
      <c r="BU972" s="1" t="s">
        <v>1623</v>
      </c>
      <c r="BV972" s="1" t="s">
        <v>206</v>
      </c>
      <c r="BW972" s="1" t="s">
        <v>207</v>
      </c>
      <c r="BY972" s="1" t="s">
        <v>3817</v>
      </c>
      <c r="BZ972" s="1" t="s">
        <v>209</v>
      </c>
      <c r="CA972" s="1" t="s">
        <v>210</v>
      </c>
      <c r="CC972" s="1" t="s">
        <v>208</v>
      </c>
      <c r="CD972" s="1" t="s">
        <v>206</v>
      </c>
      <c r="CE972" s="1" t="s">
        <v>207</v>
      </c>
      <c r="CF972" s="1" t="s">
        <v>229</v>
      </c>
      <c r="CG972" s="1" t="s">
        <v>1063</v>
      </c>
      <c r="CH972" s="1" t="s">
        <v>209</v>
      </c>
      <c r="CI972" s="1" t="s">
        <v>210</v>
      </c>
      <c r="CK972" s="1" t="s">
        <v>1567</v>
      </c>
      <c r="CL972" s="1" t="s">
        <v>209</v>
      </c>
      <c r="CM972" s="1" t="s">
        <v>210</v>
      </c>
      <c r="CO972" s="1" t="s">
        <v>1534</v>
      </c>
      <c r="CP972" s="1" t="s">
        <v>209</v>
      </c>
      <c r="CQ972" s="1" t="s">
        <v>210</v>
      </c>
      <c r="CS972" s="1" t="s">
        <v>3154</v>
      </c>
      <c r="CT972" s="1" t="s">
        <v>206</v>
      </c>
      <c r="CU972" s="1" t="s">
        <v>207</v>
      </c>
      <c r="CW972" s="1" t="s">
        <v>3817</v>
      </c>
      <c r="CX972" s="1" t="s">
        <v>206</v>
      </c>
      <c r="CY972" s="1" t="s">
        <v>207</v>
      </c>
      <c r="DA972" s="1" t="s">
        <v>200</v>
      </c>
      <c r="DC972" s="1" t="s">
        <v>678</v>
      </c>
      <c r="DD972" s="1" t="s">
        <v>272</v>
      </c>
      <c r="DE972" s="1" t="s">
        <v>218</v>
      </c>
      <c r="DF972" s="1" t="s">
        <v>1718</v>
      </c>
      <c r="DG972" s="1" t="s">
        <v>10942</v>
      </c>
      <c r="DH972" s="1" t="s">
        <v>856</v>
      </c>
      <c r="DI972" s="1" t="s">
        <v>221</v>
      </c>
      <c r="DJ972" s="1" t="s">
        <v>857</v>
      </c>
      <c r="DK972" s="1" t="s">
        <v>3740</v>
      </c>
      <c r="DL972" s="1" t="s">
        <v>858</v>
      </c>
      <c r="DM972" s="1" t="s">
        <v>338</v>
      </c>
      <c r="DN972" s="1" t="s">
        <v>10880</v>
      </c>
      <c r="DO972" s="1" t="s">
        <v>761</v>
      </c>
      <c r="DP972" s="1" t="s">
        <v>340</v>
      </c>
      <c r="DQ972" s="1" t="s">
        <v>6366</v>
      </c>
      <c r="DR972" s="1" t="s">
        <v>10943</v>
      </c>
      <c r="DU972" s="1" t="s">
        <v>7494</v>
      </c>
      <c r="DV972" s="1" t="s">
        <v>8388</v>
      </c>
      <c r="DW972" s="1" t="s">
        <v>764</v>
      </c>
      <c r="DX972" s="1" t="s">
        <v>234</v>
      </c>
      <c r="DY972" s="1" t="s">
        <v>6179</v>
      </c>
      <c r="DZ972" s="1" t="s">
        <v>3877</v>
      </c>
      <c r="EA972" s="1" t="s">
        <v>3308</v>
      </c>
      <c r="EB972" s="1" t="s">
        <v>8570</v>
      </c>
      <c r="EC972" s="1" t="s">
        <v>237</v>
      </c>
      <c r="ED972" s="1" t="s">
        <v>9696</v>
      </c>
      <c r="EG972" s="1" t="s">
        <v>449</v>
      </c>
      <c r="EH972" s="1" t="s">
        <v>1121</v>
      </c>
      <c r="EI972" s="1" t="s">
        <v>494</v>
      </c>
      <c r="EL972" s="1" t="s">
        <v>375</v>
      </c>
      <c r="EM972" s="1" t="s">
        <v>206</v>
      </c>
      <c r="EN972" s="1" t="s">
        <v>207</v>
      </c>
      <c r="EP972" s="1" t="s">
        <v>264</v>
      </c>
      <c r="EQ972" s="1" t="s">
        <v>209</v>
      </c>
      <c r="ER972" s="1" t="s">
        <v>210</v>
      </c>
      <c r="ET972" s="1" t="s">
        <v>1534</v>
      </c>
      <c r="EU972" s="1" t="s">
        <v>206</v>
      </c>
      <c r="EV972" s="1" t="s">
        <v>207</v>
      </c>
      <c r="EY972" s="1" t="s">
        <v>238</v>
      </c>
      <c r="FC972" s="1" t="s">
        <v>238</v>
      </c>
      <c r="FF972" s="1" t="s">
        <v>239</v>
      </c>
      <c r="FG972" s="1" t="s">
        <v>192</v>
      </c>
      <c r="FH972" s="1" t="s">
        <v>192</v>
      </c>
      <c r="FJ972" s="1" t="s">
        <v>5605</v>
      </c>
      <c r="FK972" s="1" t="s">
        <v>1586</v>
      </c>
      <c r="FL972" s="1" t="s">
        <v>2026</v>
      </c>
      <c r="FM972" s="1">
        <v>6018.0</v>
      </c>
      <c r="FN972" s="1" t="s">
        <v>2027</v>
      </c>
      <c r="FO972" s="1" t="s">
        <v>10944</v>
      </c>
      <c r="FP972" s="1">
        <v>61461.0</v>
      </c>
      <c r="FS972" s="1" t="s">
        <v>10945</v>
      </c>
      <c r="FU972" s="1" t="s">
        <v>10946</v>
      </c>
      <c r="FV972" s="1" t="s">
        <v>200</v>
      </c>
      <c r="FW972" s="1" t="s">
        <v>530</v>
      </c>
      <c r="FZ972" s="1" t="s">
        <v>229</v>
      </c>
      <c r="GA972" s="1" t="s">
        <v>291</v>
      </c>
      <c r="GB972" s="2">
        <v>42020.0</v>
      </c>
      <c r="GC972" s="2" t="s">
        <v>10947</v>
      </c>
    </row>
    <row r="973">
      <c r="A973" s="1">
        <v>310000.0</v>
      </c>
      <c r="B973" s="1" t="s">
        <v>185</v>
      </c>
      <c r="C973" s="1" t="str">
        <f>"08610570"</f>
        <v>08610570</v>
      </c>
      <c r="D973" s="1" t="s">
        <v>186</v>
      </c>
      <c r="F973" s="1" t="str">
        <f>"510"</f>
        <v>510</v>
      </c>
      <c r="G973" s="2">
        <v>41768.0</v>
      </c>
      <c r="H973" s="1">
        <v>350000.0</v>
      </c>
      <c r="I973" s="1">
        <v>183.0</v>
      </c>
      <c r="J973" s="1">
        <v>329900.0</v>
      </c>
      <c r="K973" s="2">
        <v>41950.0</v>
      </c>
      <c r="L973" s="1">
        <v>183.0</v>
      </c>
      <c r="M973" s="2">
        <v>41950.0</v>
      </c>
      <c r="N973" s="1" t="s">
        <v>187</v>
      </c>
      <c r="O973" s="2">
        <v>42012.0</v>
      </c>
      <c r="P973" s="1">
        <v>310453.0</v>
      </c>
      <c r="Q973" s="1">
        <v>306.0</v>
      </c>
      <c r="S973" s="1">
        <v>727.0</v>
      </c>
      <c r="T973" s="1" t="s">
        <v>10948</v>
      </c>
      <c r="U973" s="1" t="s">
        <v>320</v>
      </c>
      <c r="V973" s="1" t="s">
        <v>2700</v>
      </c>
      <c r="W973" s="1">
        <v>60510.0</v>
      </c>
      <c r="Y973" s="1" t="s">
        <v>10949</v>
      </c>
      <c r="Z973" s="1" t="s">
        <v>296</v>
      </c>
      <c r="AA973" s="1" t="s">
        <v>192</v>
      </c>
      <c r="AB973" s="1" t="s">
        <v>193</v>
      </c>
      <c r="AD973" s="1" t="s">
        <v>2702</v>
      </c>
      <c r="AE973" s="1" t="s">
        <v>325</v>
      </c>
      <c r="AF973" s="1" t="s">
        <v>2702</v>
      </c>
      <c r="AH973" s="1" t="s">
        <v>10950</v>
      </c>
      <c r="AI973" s="1">
        <v>1.3</v>
      </c>
      <c r="AK973" s="1">
        <v>8.0</v>
      </c>
      <c r="AL973" s="1">
        <v>4.0</v>
      </c>
      <c r="AM973" s="1">
        <v>2.0</v>
      </c>
      <c r="AN973" s="1">
        <v>1.0</v>
      </c>
      <c r="AO973" s="1" t="s">
        <v>2068</v>
      </c>
      <c r="AQ973" s="1" t="s">
        <v>198</v>
      </c>
      <c r="AR973" s="1" t="s">
        <v>200</v>
      </c>
      <c r="AS973" s="1" t="s">
        <v>199</v>
      </c>
      <c r="AT973" s="1">
        <v>2.0</v>
      </c>
      <c r="AV973" s="1" t="s">
        <v>200</v>
      </c>
      <c r="AW973" s="1">
        <v>8107.66</v>
      </c>
      <c r="AX973" s="1">
        <v>2012.0</v>
      </c>
      <c r="AY973" s="1" t="s">
        <v>1179</v>
      </c>
      <c r="AZ973" s="1" t="s">
        <v>200</v>
      </c>
      <c r="BA973" s="1" t="str">
        <f>"1214377005"</f>
        <v>1214377005</v>
      </c>
      <c r="BB973" s="1" t="s">
        <v>192</v>
      </c>
      <c r="BC973" s="1">
        <v>1912.0</v>
      </c>
      <c r="BD973" s="1">
        <v>310000.0</v>
      </c>
      <c r="BE973" s="2">
        <v>41768.0</v>
      </c>
      <c r="BF973" s="2" t="s">
        <v>10951</v>
      </c>
      <c r="BG973" s="1" t="s">
        <v>6796</v>
      </c>
      <c r="BH973" s="1">
        <v>0.0</v>
      </c>
      <c r="BI973" s="1" t="s">
        <v>3090</v>
      </c>
      <c r="BJ973" s="1" t="s">
        <v>3091</v>
      </c>
      <c r="BK973" s="1" t="s">
        <v>204</v>
      </c>
      <c r="BL973" s="1" t="str">
        <f t="shared" ref="BL973:BM973" si="639">""</f>
        <v/>
      </c>
      <c r="BM973" s="1" t="str">
        <f t="shared" si="639"/>
        <v/>
      </c>
      <c r="BQ973" s="1">
        <v>101.0</v>
      </c>
      <c r="BR973" s="1">
        <v>101.0</v>
      </c>
      <c r="BS973" s="1">
        <v>101.0</v>
      </c>
      <c r="BV973" s="1" t="s">
        <v>204</v>
      </c>
      <c r="BY973" s="1" t="s">
        <v>743</v>
      </c>
      <c r="BZ973" s="1" t="s">
        <v>209</v>
      </c>
      <c r="CA973" s="1" t="s">
        <v>210</v>
      </c>
      <c r="CB973" s="1" t="s">
        <v>239</v>
      </c>
      <c r="CC973" s="1" t="s">
        <v>331</v>
      </c>
      <c r="CD973" s="1" t="s">
        <v>206</v>
      </c>
      <c r="CE973" s="1" t="s">
        <v>207</v>
      </c>
      <c r="CF973" s="1" t="s">
        <v>239</v>
      </c>
      <c r="CG973" s="1" t="s">
        <v>904</v>
      </c>
      <c r="CH973" s="1" t="s">
        <v>209</v>
      </c>
      <c r="CI973" s="1" t="s">
        <v>210</v>
      </c>
      <c r="CJ973" s="1" t="s">
        <v>239</v>
      </c>
      <c r="CK973" s="1" t="s">
        <v>1229</v>
      </c>
      <c r="CL973" s="1" t="s">
        <v>209</v>
      </c>
      <c r="CM973" s="1" t="s">
        <v>210</v>
      </c>
      <c r="CN973" s="1" t="s">
        <v>239</v>
      </c>
      <c r="CO973" s="1" t="s">
        <v>433</v>
      </c>
      <c r="CP973" s="1" t="s">
        <v>209</v>
      </c>
      <c r="CQ973" s="1" t="s">
        <v>210</v>
      </c>
      <c r="CR973" s="1" t="s">
        <v>239</v>
      </c>
      <c r="CS973" s="1" t="s">
        <v>3375</v>
      </c>
      <c r="CT973" s="1" t="s">
        <v>206</v>
      </c>
      <c r="CU973" s="1" t="s">
        <v>301</v>
      </c>
      <c r="CV973" s="1" t="s">
        <v>239</v>
      </c>
      <c r="CW973" s="1" t="s">
        <v>213</v>
      </c>
      <c r="CX973" s="1" t="s">
        <v>206</v>
      </c>
      <c r="CY973" s="1" t="s">
        <v>207</v>
      </c>
      <c r="CZ973" s="1" t="s">
        <v>1549</v>
      </c>
      <c r="DA973" s="1" t="s">
        <v>200</v>
      </c>
      <c r="DC973" s="1" t="s">
        <v>642</v>
      </c>
      <c r="DD973" s="1" t="s">
        <v>926</v>
      </c>
      <c r="DE973" s="1" t="s">
        <v>273</v>
      </c>
      <c r="DF973" s="1" t="s">
        <v>219</v>
      </c>
      <c r="DG973" s="1" t="s">
        <v>4976</v>
      </c>
      <c r="DH973" s="1" t="s">
        <v>220</v>
      </c>
      <c r="DI973" s="1" t="s">
        <v>10952</v>
      </c>
      <c r="DJ973" s="1" t="s">
        <v>222</v>
      </c>
      <c r="DK973" s="1" t="s">
        <v>3740</v>
      </c>
      <c r="DL973" s="1" t="s">
        <v>858</v>
      </c>
      <c r="DM973" s="1" t="s">
        <v>338</v>
      </c>
      <c r="DO973" s="1" t="s">
        <v>1208</v>
      </c>
      <c r="DP973" s="1" t="s">
        <v>340</v>
      </c>
      <c r="DQ973" s="1" t="s">
        <v>931</v>
      </c>
      <c r="DR973" s="1" t="s">
        <v>229</v>
      </c>
      <c r="DU973" s="1" t="s">
        <v>2405</v>
      </c>
      <c r="DV973" s="1" t="s">
        <v>494</v>
      </c>
      <c r="DW973" s="1" t="s">
        <v>964</v>
      </c>
      <c r="DX973" s="1" t="s">
        <v>234</v>
      </c>
      <c r="DY973" s="1" t="s">
        <v>10953</v>
      </c>
      <c r="DZ973" s="1" t="s">
        <v>7194</v>
      </c>
      <c r="EC973" s="1" t="s">
        <v>237</v>
      </c>
      <c r="EG973" s="1" t="s">
        <v>494</v>
      </c>
      <c r="EL973" s="1" t="s">
        <v>640</v>
      </c>
      <c r="EM973" s="1" t="s">
        <v>206</v>
      </c>
      <c r="EN973" s="1" t="s">
        <v>207</v>
      </c>
      <c r="EO973" s="1" t="s">
        <v>239</v>
      </c>
      <c r="EQ973" s="1" t="s">
        <v>238</v>
      </c>
      <c r="EU973" s="1" t="s">
        <v>238</v>
      </c>
      <c r="EY973" s="1" t="s">
        <v>238</v>
      </c>
      <c r="FC973" s="1" t="s">
        <v>238</v>
      </c>
      <c r="FF973" s="1" t="s">
        <v>239</v>
      </c>
      <c r="FG973" s="1" t="s">
        <v>192</v>
      </c>
      <c r="FH973" s="1" t="s">
        <v>192</v>
      </c>
      <c r="FJ973" s="1" t="s">
        <v>3613</v>
      </c>
      <c r="FK973" s="1" t="s">
        <v>601</v>
      </c>
      <c r="FL973" s="1" t="s">
        <v>456</v>
      </c>
      <c r="FM973" s="1">
        <v>49.0</v>
      </c>
      <c r="FN973" s="1" t="s">
        <v>457</v>
      </c>
      <c r="FO973" s="1" t="s">
        <v>10954</v>
      </c>
      <c r="FP973" s="1">
        <v>932.0</v>
      </c>
      <c r="FQ973" s="1" t="s">
        <v>457</v>
      </c>
      <c r="FU973" s="1" t="s">
        <v>10955</v>
      </c>
      <c r="FV973" s="1" t="s">
        <v>200</v>
      </c>
      <c r="FW973" s="1" t="s">
        <v>290</v>
      </c>
      <c r="FZ973" s="1" t="s">
        <v>229</v>
      </c>
      <c r="GA973" s="1" t="s">
        <v>291</v>
      </c>
      <c r="GB973" s="2">
        <v>42012.0</v>
      </c>
      <c r="GC973" s="1" t="s">
        <v>10956</v>
      </c>
    </row>
    <row r="974">
      <c r="A974" s="1">
        <v>145000.0</v>
      </c>
      <c r="B974" s="1" t="s">
        <v>185</v>
      </c>
      <c r="C974" s="1" t="str">
        <f>"08603455"</f>
        <v>08603455</v>
      </c>
      <c r="D974" s="1" t="s">
        <v>186</v>
      </c>
      <c r="F974" s="1" t="str">
        <f>"8065"</f>
        <v>8065</v>
      </c>
      <c r="G974" s="2">
        <v>41761.0</v>
      </c>
      <c r="H974" s="1">
        <v>160000.0</v>
      </c>
      <c r="I974" s="1">
        <v>266.0</v>
      </c>
      <c r="J974" s="1">
        <v>152000.0</v>
      </c>
      <c r="K974" s="2">
        <v>42026.0</v>
      </c>
      <c r="L974" s="1">
        <v>266.0</v>
      </c>
      <c r="M974" s="2">
        <v>42026.0</v>
      </c>
      <c r="N974" s="1" t="s">
        <v>634</v>
      </c>
      <c r="O974" s="2">
        <v>42093.0</v>
      </c>
      <c r="P974" s="1">
        <v>163599.0</v>
      </c>
      <c r="Q974" s="1">
        <v>84036.0</v>
      </c>
      <c r="R974" s="1">
        <v>2500.0</v>
      </c>
      <c r="S974" s="1">
        <v>7135.0</v>
      </c>
      <c r="T974" s="1" t="s">
        <v>5274</v>
      </c>
      <c r="U974" s="1" t="s">
        <v>189</v>
      </c>
      <c r="V974" s="1" t="s">
        <v>190</v>
      </c>
      <c r="W974" s="1">
        <v>60629.0</v>
      </c>
      <c r="Y974" s="1" t="s">
        <v>10957</v>
      </c>
      <c r="Z974" s="1">
        <v>1953.0</v>
      </c>
      <c r="AA974" s="1" t="s">
        <v>192</v>
      </c>
      <c r="AB974" s="1" t="s">
        <v>193</v>
      </c>
      <c r="AD974" s="1" t="s">
        <v>194</v>
      </c>
      <c r="AE974" s="1" t="s">
        <v>195</v>
      </c>
      <c r="AF974" s="1" t="s">
        <v>659</v>
      </c>
      <c r="AH974" s="1" t="s">
        <v>779</v>
      </c>
      <c r="AI974" s="1">
        <v>0.0955</v>
      </c>
      <c r="AK974" s="1">
        <v>6.0</v>
      </c>
      <c r="AL974" s="1">
        <v>4.0</v>
      </c>
      <c r="AM974" s="1">
        <v>1.0</v>
      </c>
      <c r="AN974" s="1">
        <v>0.0</v>
      </c>
      <c r="AO974" s="1" t="s">
        <v>229</v>
      </c>
      <c r="AQ974" s="1" t="s">
        <v>198</v>
      </c>
      <c r="AR974" s="1" t="s">
        <v>200</v>
      </c>
      <c r="AS974" s="1" t="s">
        <v>199</v>
      </c>
      <c r="AT974" s="1">
        <v>2.0</v>
      </c>
      <c r="AV974" s="1" t="s">
        <v>200</v>
      </c>
      <c r="AW974" s="1">
        <v>3213.62</v>
      </c>
      <c r="AX974" s="1">
        <v>2012.0</v>
      </c>
      <c r="AZ974" s="1" t="s">
        <v>200</v>
      </c>
      <c r="BA974" s="1" t="str">
        <f>"19261010720000"</f>
        <v>19261010720000</v>
      </c>
      <c r="BC974" s="1">
        <v>1500.0</v>
      </c>
      <c r="BD974" s="1">
        <v>145000.0</v>
      </c>
      <c r="BE974" s="2">
        <v>41761.0</v>
      </c>
      <c r="BF974" s="1" t="s">
        <v>10958</v>
      </c>
      <c r="BH974" s="1">
        <v>0.0</v>
      </c>
      <c r="BK974" s="1" t="s">
        <v>204</v>
      </c>
      <c r="BL974" s="1" t="str">
        <f t="shared" ref="BL974:BM974" si="640">"0"</f>
        <v>0</v>
      </c>
      <c r="BM974" s="1" t="str">
        <f t="shared" si="640"/>
        <v>0</v>
      </c>
      <c r="BN974" s="1">
        <v>3900.0</v>
      </c>
      <c r="BO974" s="1">
        <v>7100.0</v>
      </c>
      <c r="BQ974" s="1">
        <v>299.0</v>
      </c>
      <c r="BR974" s="1">
        <v>299.0</v>
      </c>
      <c r="BS974" s="1">
        <v>299.0</v>
      </c>
      <c r="BU974" s="1" t="s">
        <v>2442</v>
      </c>
      <c r="BV974" s="1" t="s">
        <v>206</v>
      </c>
      <c r="BW974" s="1" t="s">
        <v>207</v>
      </c>
      <c r="BY974" s="1" t="s">
        <v>1395</v>
      </c>
      <c r="BZ974" s="1" t="s">
        <v>206</v>
      </c>
      <c r="CA974" s="1" t="s">
        <v>207</v>
      </c>
      <c r="CD974" s="1" t="s">
        <v>204</v>
      </c>
      <c r="CG974" s="1" t="s">
        <v>300</v>
      </c>
      <c r="CH974" s="1" t="s">
        <v>206</v>
      </c>
      <c r="CI974" s="1" t="s">
        <v>207</v>
      </c>
      <c r="CK974" s="1" t="s">
        <v>1395</v>
      </c>
      <c r="CL974" s="1" t="s">
        <v>209</v>
      </c>
      <c r="CO974" s="1" t="s">
        <v>2713</v>
      </c>
      <c r="CP974" s="1" t="s">
        <v>209</v>
      </c>
      <c r="CS974" s="1" t="s">
        <v>878</v>
      </c>
      <c r="CT974" s="1" t="s">
        <v>206</v>
      </c>
      <c r="CU974" s="1" t="s">
        <v>207</v>
      </c>
      <c r="CX974" s="1" t="s">
        <v>204</v>
      </c>
      <c r="DA974" s="1" t="s">
        <v>200</v>
      </c>
      <c r="DC974" s="1" t="s">
        <v>702</v>
      </c>
      <c r="DE974" s="1" t="s">
        <v>273</v>
      </c>
      <c r="DF974" s="1" t="s">
        <v>619</v>
      </c>
      <c r="DH974" s="1" t="s">
        <v>365</v>
      </c>
      <c r="DJ974" s="1" t="s">
        <v>222</v>
      </c>
      <c r="DL974" s="1" t="s">
        <v>858</v>
      </c>
      <c r="DM974" s="1" t="s">
        <v>229</v>
      </c>
      <c r="DQ974" s="1" t="s">
        <v>794</v>
      </c>
      <c r="DR974" s="1" t="s">
        <v>229</v>
      </c>
      <c r="DV974" s="1" t="s">
        <v>232</v>
      </c>
      <c r="DW974" s="1" t="s">
        <v>279</v>
      </c>
      <c r="DX974" s="1" t="s">
        <v>234</v>
      </c>
      <c r="EC974" s="1" t="s">
        <v>645</v>
      </c>
      <c r="EM974" s="1" t="s">
        <v>238</v>
      </c>
      <c r="EQ974" s="1" t="s">
        <v>238</v>
      </c>
      <c r="EU974" s="1" t="s">
        <v>238</v>
      </c>
      <c r="EY974" s="1" t="s">
        <v>238</v>
      </c>
      <c r="FC974" s="1" t="s">
        <v>238</v>
      </c>
      <c r="FF974" s="1" t="s">
        <v>239</v>
      </c>
      <c r="FG974" s="1" t="s">
        <v>192</v>
      </c>
      <c r="FH974" s="1" t="s">
        <v>192</v>
      </c>
      <c r="FJ974" s="1" t="s">
        <v>10959</v>
      </c>
      <c r="FK974" s="1" t="s">
        <v>229</v>
      </c>
      <c r="FL974" s="1" t="s">
        <v>10960</v>
      </c>
      <c r="FM974" s="1">
        <v>40125.0</v>
      </c>
      <c r="FN974" s="1" t="s">
        <v>10961</v>
      </c>
      <c r="FO974" s="1" t="s">
        <v>10962</v>
      </c>
      <c r="FP974" s="1">
        <v>406041.0</v>
      </c>
      <c r="FQ974" s="1" t="s">
        <v>10961</v>
      </c>
      <c r="FU974" s="1" t="s">
        <v>10963</v>
      </c>
      <c r="FV974" s="1" t="s">
        <v>200</v>
      </c>
      <c r="FW974" s="1" t="s">
        <v>290</v>
      </c>
      <c r="FX974" s="1" t="s">
        <v>655</v>
      </c>
      <c r="FZ974" s="1" t="s">
        <v>229</v>
      </c>
      <c r="GA974" s="1" t="s">
        <v>291</v>
      </c>
      <c r="GB974" s="2">
        <v>42095.0</v>
      </c>
      <c r="GC974" s="1" t="s">
        <v>10964</v>
      </c>
    </row>
    <row r="975">
      <c r="A975" s="1">
        <v>243000.0</v>
      </c>
      <c r="B975" s="1" t="s">
        <v>185</v>
      </c>
      <c r="C975" s="1" t="str">
        <f>"08610431"</f>
        <v>08610431</v>
      </c>
      <c r="D975" s="1" t="s">
        <v>186</v>
      </c>
      <c r="F975" s="1" t="str">
        <f>"178"</f>
        <v>178</v>
      </c>
      <c r="G975" s="2">
        <v>41768.0</v>
      </c>
      <c r="H975" s="1">
        <v>249000.0</v>
      </c>
      <c r="I975" s="1">
        <v>901.0</v>
      </c>
      <c r="J975" s="1">
        <v>249000.0</v>
      </c>
      <c r="K975" s="2">
        <v>42095.0</v>
      </c>
      <c r="L975" s="1">
        <v>328.0</v>
      </c>
      <c r="M975" s="2">
        <v>42095.0</v>
      </c>
      <c r="N975" s="1" t="s">
        <v>634</v>
      </c>
      <c r="O975" s="2">
        <v>42138.0</v>
      </c>
      <c r="P975" s="1">
        <v>78087.0</v>
      </c>
      <c r="Q975" s="1">
        <v>604.0</v>
      </c>
      <c r="S975" s="1">
        <v>627.0</v>
      </c>
      <c r="T975" s="1" t="s">
        <v>10965</v>
      </c>
      <c r="U975" s="1" t="s">
        <v>1174</v>
      </c>
      <c r="V975" s="1" t="s">
        <v>994</v>
      </c>
      <c r="W975" s="1">
        <v>60178.0</v>
      </c>
      <c r="Y975" s="1" t="s">
        <v>10966</v>
      </c>
      <c r="Z975" s="1">
        <v>2004.0</v>
      </c>
      <c r="AA975" s="1" t="s">
        <v>200</v>
      </c>
      <c r="AB975" s="1" t="s">
        <v>467</v>
      </c>
      <c r="AC975" s="1" t="s">
        <v>10967</v>
      </c>
      <c r="AD975" s="1" t="s">
        <v>997</v>
      </c>
      <c r="AE975" s="1" t="s">
        <v>613</v>
      </c>
      <c r="AF975" s="1" t="s">
        <v>997</v>
      </c>
      <c r="AH975" s="1" t="s">
        <v>4132</v>
      </c>
      <c r="AI975" s="1">
        <v>0.23</v>
      </c>
      <c r="AK975" s="1">
        <v>8.0</v>
      </c>
      <c r="AL975" s="1">
        <v>4.0</v>
      </c>
      <c r="AM975" s="1">
        <v>2.0</v>
      </c>
      <c r="AN975" s="1">
        <v>1.0</v>
      </c>
      <c r="AO975" s="1" t="s">
        <v>198</v>
      </c>
      <c r="AP975" s="1">
        <v>1.0</v>
      </c>
      <c r="AQ975" s="1" t="s">
        <v>198</v>
      </c>
      <c r="AR975" s="1" t="s">
        <v>200</v>
      </c>
      <c r="AS975" s="1" t="s">
        <v>199</v>
      </c>
      <c r="AT975" s="1">
        <v>2.0</v>
      </c>
      <c r="AV975" s="1" t="s">
        <v>200</v>
      </c>
      <c r="AW975" s="1">
        <v>7669.14</v>
      </c>
      <c r="AX975" s="1">
        <v>2013.0</v>
      </c>
      <c r="AY975" s="1" t="s">
        <v>387</v>
      </c>
      <c r="AZ975" s="1" t="s">
        <v>200</v>
      </c>
      <c r="BA975" s="1" t="str">
        <f>"0621425008"</f>
        <v>0621425008</v>
      </c>
      <c r="BC975" s="1">
        <v>2380.0</v>
      </c>
      <c r="BD975" s="1">
        <v>243000.0</v>
      </c>
      <c r="BE975" s="2">
        <v>41768.0</v>
      </c>
      <c r="BF975" s="2" t="s">
        <v>10968</v>
      </c>
      <c r="BH975" s="1">
        <v>309.0</v>
      </c>
      <c r="BK975" s="1" t="s">
        <v>580</v>
      </c>
      <c r="BL975" s="1" t="str">
        <f t="shared" ref="BL975:BM975" si="641">""</f>
        <v/>
      </c>
      <c r="BM975" s="1" t="str">
        <f t="shared" si="641"/>
        <v/>
      </c>
      <c r="BQ975" s="1">
        <v>427.0</v>
      </c>
      <c r="BR975" s="1">
        <v>427.0</v>
      </c>
      <c r="BS975" s="1">
        <v>427.0</v>
      </c>
      <c r="BV975" s="1" t="s">
        <v>204</v>
      </c>
      <c r="BY975" s="1" t="s">
        <v>743</v>
      </c>
      <c r="BZ975" s="1" t="s">
        <v>209</v>
      </c>
      <c r="CA975" s="1" t="s">
        <v>210</v>
      </c>
      <c r="CC975" s="1" t="s">
        <v>212</v>
      </c>
      <c r="CD975" s="1" t="s">
        <v>206</v>
      </c>
      <c r="CE975" s="1" t="s">
        <v>207</v>
      </c>
      <c r="CG975" s="1" t="s">
        <v>331</v>
      </c>
      <c r="CH975" s="1" t="s">
        <v>209</v>
      </c>
      <c r="CI975" s="1" t="s">
        <v>210</v>
      </c>
      <c r="CK975" s="1" t="s">
        <v>363</v>
      </c>
      <c r="CL975" s="1" t="s">
        <v>209</v>
      </c>
      <c r="CM975" s="1" t="s">
        <v>210</v>
      </c>
      <c r="CO975" s="1" t="s">
        <v>214</v>
      </c>
      <c r="CP975" s="1" t="s">
        <v>209</v>
      </c>
      <c r="CQ975" s="1" t="s">
        <v>210</v>
      </c>
      <c r="CS975" s="1" t="s">
        <v>1063</v>
      </c>
      <c r="CT975" s="1" t="s">
        <v>206</v>
      </c>
      <c r="CU975" s="1" t="s">
        <v>207</v>
      </c>
      <c r="CW975" s="1" t="s">
        <v>496</v>
      </c>
      <c r="CX975" s="1" t="s">
        <v>206</v>
      </c>
      <c r="CY975" s="1" t="s">
        <v>207</v>
      </c>
      <c r="DA975" s="1" t="s">
        <v>200</v>
      </c>
      <c r="DC975" s="1" t="s">
        <v>335</v>
      </c>
      <c r="DD975" s="1" t="s">
        <v>5553</v>
      </c>
      <c r="DE975" s="1" t="s">
        <v>273</v>
      </c>
      <c r="DF975" s="1" t="s">
        <v>905</v>
      </c>
      <c r="DG975" s="1" t="s">
        <v>337</v>
      </c>
      <c r="DH975" s="1" t="s">
        <v>220</v>
      </c>
      <c r="DI975" s="1" t="s">
        <v>221</v>
      </c>
      <c r="DJ975" s="1" t="s">
        <v>222</v>
      </c>
      <c r="DL975" s="1" t="s">
        <v>223</v>
      </c>
      <c r="DM975" s="1" t="s">
        <v>338</v>
      </c>
      <c r="DN975" s="1" t="s">
        <v>399</v>
      </c>
      <c r="DP975" s="1" t="s">
        <v>340</v>
      </c>
      <c r="DQ975" s="1" t="s">
        <v>228</v>
      </c>
      <c r="DR975" s="1" t="s">
        <v>1487</v>
      </c>
      <c r="DS975" s="1" t="s">
        <v>591</v>
      </c>
      <c r="DU975" s="1" t="s">
        <v>10969</v>
      </c>
      <c r="DV975" s="1" t="s">
        <v>494</v>
      </c>
      <c r="DW975" s="1" t="s">
        <v>233</v>
      </c>
      <c r="DX975" s="1" t="s">
        <v>234</v>
      </c>
      <c r="DY975" s="1" t="s">
        <v>596</v>
      </c>
      <c r="EC975" s="1" t="s">
        <v>237</v>
      </c>
      <c r="ED975" s="1" t="s">
        <v>555</v>
      </c>
      <c r="EG975" s="1" t="s">
        <v>494</v>
      </c>
      <c r="EL975" s="1" t="s">
        <v>332</v>
      </c>
      <c r="EM975" s="1" t="s">
        <v>206</v>
      </c>
      <c r="EN975" s="1" t="s">
        <v>207</v>
      </c>
      <c r="EQ975" s="1" t="s">
        <v>238</v>
      </c>
      <c r="EU975" s="1" t="s">
        <v>238</v>
      </c>
      <c r="EY975" s="1" t="s">
        <v>238</v>
      </c>
      <c r="FC975" s="1" t="s">
        <v>238</v>
      </c>
      <c r="FF975" s="1" t="s">
        <v>239</v>
      </c>
      <c r="FG975" s="1" t="s">
        <v>192</v>
      </c>
      <c r="FH975" s="1" t="s">
        <v>192</v>
      </c>
      <c r="FJ975" s="1" t="s">
        <v>648</v>
      </c>
      <c r="FK975" s="1" t="s">
        <v>229</v>
      </c>
      <c r="FL975" s="1" t="s">
        <v>9398</v>
      </c>
      <c r="FM975" s="1">
        <v>93094.0</v>
      </c>
      <c r="FN975" s="1" t="s">
        <v>9399</v>
      </c>
      <c r="FO975" s="1" t="s">
        <v>9400</v>
      </c>
      <c r="FP975" s="1">
        <v>930256.0</v>
      </c>
      <c r="FQ975" s="1" t="s">
        <v>9401</v>
      </c>
      <c r="FU975" s="1" t="s">
        <v>10970</v>
      </c>
      <c r="FV975" s="1" t="s">
        <v>200</v>
      </c>
      <c r="FW975" s="1" t="s">
        <v>290</v>
      </c>
      <c r="FZ975" s="1" t="s">
        <v>229</v>
      </c>
      <c r="GA975" s="1" t="s">
        <v>291</v>
      </c>
      <c r="GB975" s="2">
        <v>42139.0</v>
      </c>
    </row>
    <row r="976">
      <c r="A976" s="1">
        <v>137000.0</v>
      </c>
      <c r="B976" s="1" t="s">
        <v>185</v>
      </c>
      <c r="C976" s="1" t="str">
        <f>"08608672"</f>
        <v>08608672</v>
      </c>
      <c r="D976" s="1" t="s">
        <v>186</v>
      </c>
      <c r="F976" s="1" t="str">
        <f>"8071"</f>
        <v>8071</v>
      </c>
      <c r="G976" s="2">
        <v>41767.0</v>
      </c>
      <c r="H976" s="1">
        <v>148000.0</v>
      </c>
      <c r="I976" s="1">
        <v>130.0</v>
      </c>
      <c r="J976" s="1">
        <v>129000.0</v>
      </c>
      <c r="K976" s="2">
        <v>41893.0</v>
      </c>
      <c r="L976" s="1">
        <v>127.0</v>
      </c>
      <c r="M976" s="2">
        <v>41893.0</v>
      </c>
      <c r="N976" s="1" t="s">
        <v>634</v>
      </c>
      <c r="O976" s="2">
        <v>41974.0</v>
      </c>
      <c r="P976" s="1">
        <v>876762.0</v>
      </c>
      <c r="Q976" s="1">
        <v>12293.0</v>
      </c>
      <c r="R976" s="1">
        <v>5000.0</v>
      </c>
      <c r="S976" s="1">
        <v>8104.0</v>
      </c>
      <c r="T976" s="1" t="s">
        <v>4089</v>
      </c>
      <c r="U976" s="1" t="s">
        <v>320</v>
      </c>
      <c r="V976" s="1" t="s">
        <v>190</v>
      </c>
      <c r="W976" s="1">
        <v>60620.0</v>
      </c>
      <c r="Y976" s="1" t="s">
        <v>10971</v>
      </c>
      <c r="Z976" s="1">
        <v>1917.0</v>
      </c>
      <c r="AA976" s="1" t="s">
        <v>192</v>
      </c>
      <c r="AB976" s="1" t="s">
        <v>193</v>
      </c>
      <c r="AD976" s="1" t="s">
        <v>194</v>
      </c>
      <c r="AE976" s="1" t="s">
        <v>195</v>
      </c>
      <c r="AF976" s="1" t="s">
        <v>1154</v>
      </c>
      <c r="AH976" s="1" t="s">
        <v>741</v>
      </c>
      <c r="AI976" s="1">
        <v>0.1004</v>
      </c>
      <c r="AK976" s="1">
        <v>8.0</v>
      </c>
      <c r="AL976" s="1">
        <v>4.0</v>
      </c>
      <c r="AM976" s="1">
        <v>2.0</v>
      </c>
      <c r="AN976" s="1">
        <v>1.0</v>
      </c>
      <c r="AO976" s="1" t="s">
        <v>229</v>
      </c>
      <c r="AQ976" s="1" t="s">
        <v>198</v>
      </c>
      <c r="AR976" s="1" t="s">
        <v>192</v>
      </c>
      <c r="AS976" s="1" t="s">
        <v>199</v>
      </c>
      <c r="AT976" s="1">
        <v>2.0</v>
      </c>
      <c r="AV976" s="1" t="s">
        <v>200</v>
      </c>
      <c r="AW976" s="1">
        <v>1480.8</v>
      </c>
      <c r="AX976" s="1">
        <v>2012.0</v>
      </c>
      <c r="AY976" s="1" t="s">
        <v>229</v>
      </c>
      <c r="AZ976" s="1" t="s">
        <v>200</v>
      </c>
      <c r="BA976" s="1" t="str">
        <f>"20322180180000"</f>
        <v>20322180180000</v>
      </c>
      <c r="BB976" s="1" t="s">
        <v>200</v>
      </c>
      <c r="BC976" s="1">
        <v>2115.0</v>
      </c>
      <c r="BD976" s="1">
        <v>137000.0</v>
      </c>
      <c r="BE976" s="2">
        <v>41767.0</v>
      </c>
      <c r="BF976" s="2" t="s">
        <v>10972</v>
      </c>
      <c r="BH976" s="1">
        <v>0.0</v>
      </c>
      <c r="BK976" s="1" t="s">
        <v>204</v>
      </c>
      <c r="BL976" s="1" t="str">
        <f t="shared" ref="BL976:BM976" si="642">"0"</f>
        <v>0</v>
      </c>
      <c r="BM976" s="1" t="str">
        <f t="shared" si="642"/>
        <v>0</v>
      </c>
      <c r="BN976" s="1">
        <v>1000.0</v>
      </c>
      <c r="BO976" s="1">
        <v>8104.0</v>
      </c>
      <c r="BQ976" s="1">
        <v>299.0</v>
      </c>
      <c r="BR976" s="1">
        <v>299.0</v>
      </c>
      <c r="BS976" s="1">
        <v>299.0</v>
      </c>
      <c r="BU976" s="1" t="s">
        <v>433</v>
      </c>
      <c r="BV976" s="1" t="s">
        <v>206</v>
      </c>
      <c r="BW976" s="1" t="s">
        <v>207</v>
      </c>
      <c r="BY976" s="1" t="s">
        <v>215</v>
      </c>
      <c r="BZ976" s="1" t="s">
        <v>206</v>
      </c>
      <c r="CA976" s="1" t="s">
        <v>210</v>
      </c>
      <c r="CC976" s="1" t="s">
        <v>215</v>
      </c>
      <c r="CD976" s="1" t="s">
        <v>206</v>
      </c>
      <c r="CE976" s="1" t="s">
        <v>207</v>
      </c>
      <c r="CG976" s="1" t="s">
        <v>215</v>
      </c>
      <c r="CH976" s="1" t="s">
        <v>206</v>
      </c>
      <c r="CI976" s="1" t="s">
        <v>210</v>
      </c>
      <c r="CK976" s="1" t="s">
        <v>495</v>
      </c>
      <c r="CL976" s="1" t="s">
        <v>209</v>
      </c>
      <c r="CM976" s="1" t="s">
        <v>210</v>
      </c>
      <c r="CO976" s="1" t="s">
        <v>495</v>
      </c>
      <c r="CP976" s="1" t="s">
        <v>209</v>
      </c>
      <c r="CQ976" s="1" t="s">
        <v>210</v>
      </c>
      <c r="CS976" s="1" t="s">
        <v>495</v>
      </c>
      <c r="CT976" s="1" t="s">
        <v>206</v>
      </c>
      <c r="CU976" s="1" t="s">
        <v>1136</v>
      </c>
      <c r="CW976" s="1" t="s">
        <v>515</v>
      </c>
      <c r="CX976" s="1" t="s">
        <v>209</v>
      </c>
      <c r="CY976" s="1" t="s">
        <v>1136</v>
      </c>
      <c r="CZ976" s="1" t="s">
        <v>229</v>
      </c>
      <c r="DA976" s="1" t="s">
        <v>200</v>
      </c>
      <c r="DC976" s="1" t="s">
        <v>216</v>
      </c>
      <c r="DD976" s="1" t="s">
        <v>518</v>
      </c>
      <c r="DE976" s="1" t="s">
        <v>229</v>
      </c>
      <c r="DF976" s="1" t="s">
        <v>219</v>
      </c>
      <c r="DH976" s="1" t="s">
        <v>365</v>
      </c>
      <c r="DJ976" s="1" t="s">
        <v>222</v>
      </c>
      <c r="DL976" s="1" t="s">
        <v>224</v>
      </c>
      <c r="DM976" s="1" t="s">
        <v>3697</v>
      </c>
      <c r="DP976" s="1" t="s">
        <v>340</v>
      </c>
      <c r="DQ976" s="1" t="s">
        <v>228</v>
      </c>
      <c r="DR976" s="1" t="s">
        <v>229</v>
      </c>
      <c r="DV976" s="1" t="s">
        <v>232</v>
      </c>
      <c r="DW976" s="1" t="s">
        <v>279</v>
      </c>
      <c r="DX976" s="1" t="s">
        <v>309</v>
      </c>
      <c r="EA976" s="1" t="s">
        <v>644</v>
      </c>
      <c r="EC976" s="1" t="s">
        <v>237</v>
      </c>
      <c r="EE976" s="1" t="s">
        <v>493</v>
      </c>
      <c r="EM976" s="1" t="s">
        <v>238</v>
      </c>
      <c r="EQ976" s="1" t="s">
        <v>238</v>
      </c>
      <c r="EU976" s="1" t="s">
        <v>238</v>
      </c>
      <c r="EY976" s="1" t="s">
        <v>238</v>
      </c>
      <c r="FC976" s="1" t="s">
        <v>238</v>
      </c>
      <c r="FF976" s="1" t="s">
        <v>239</v>
      </c>
      <c r="FG976" s="1" t="s">
        <v>192</v>
      </c>
      <c r="FH976" s="1" t="s">
        <v>192</v>
      </c>
      <c r="FJ976" s="1" t="s">
        <v>524</v>
      </c>
      <c r="FK976" s="1" t="s">
        <v>229</v>
      </c>
      <c r="FL976" s="1" t="s">
        <v>1249</v>
      </c>
      <c r="FM976" s="1">
        <v>20150.0</v>
      </c>
      <c r="FN976" s="1" t="s">
        <v>1250</v>
      </c>
      <c r="FO976" s="1" t="s">
        <v>10973</v>
      </c>
      <c r="FP976" s="1">
        <v>238563.0</v>
      </c>
      <c r="FS976" s="1" t="s">
        <v>10974</v>
      </c>
      <c r="FT976" s="1" t="s">
        <v>10975</v>
      </c>
      <c r="FU976" s="1" t="s">
        <v>10976</v>
      </c>
      <c r="FV976" s="1" t="s">
        <v>200</v>
      </c>
      <c r="FW976" s="1" t="s">
        <v>10977</v>
      </c>
      <c r="FX976" s="1" t="s">
        <v>655</v>
      </c>
      <c r="FZ976" s="1" t="s">
        <v>632</v>
      </c>
      <c r="GA976" s="1" t="s">
        <v>291</v>
      </c>
      <c r="GB976" s="2">
        <v>41975.0</v>
      </c>
      <c r="GC976" s="1" t="s">
        <v>10978</v>
      </c>
    </row>
    <row r="977">
      <c r="A977" s="1">
        <v>162750.0</v>
      </c>
      <c r="B977" s="1" t="s">
        <v>185</v>
      </c>
      <c r="C977" s="1" t="str">
        <f>"08610242"</f>
        <v>08610242</v>
      </c>
      <c r="D977" s="1" t="s">
        <v>186</v>
      </c>
      <c r="F977" s="1" t="str">
        <f>"110"</f>
        <v>110</v>
      </c>
      <c r="G977" s="2">
        <v>41768.0</v>
      </c>
      <c r="H977" s="1">
        <v>202700.0</v>
      </c>
      <c r="I977" s="1">
        <v>190.0</v>
      </c>
      <c r="J977" s="1">
        <v>1.0</v>
      </c>
      <c r="K977" s="2">
        <v>41957.0</v>
      </c>
      <c r="L977" s="1">
        <v>190.0</v>
      </c>
      <c r="M977" s="2">
        <v>41957.0</v>
      </c>
      <c r="N977" s="1" t="s">
        <v>249</v>
      </c>
      <c r="O977" s="2">
        <v>41989.0</v>
      </c>
      <c r="P977" s="1">
        <v>256359.0</v>
      </c>
      <c r="Q977" s="1">
        <v>25368.0</v>
      </c>
      <c r="S977" s="1">
        <v>4603.0</v>
      </c>
      <c r="T977" s="1" t="s">
        <v>10979</v>
      </c>
      <c r="U977" s="1" t="s">
        <v>1015</v>
      </c>
      <c r="V977" s="1" t="s">
        <v>807</v>
      </c>
      <c r="W977" s="1">
        <v>60110.0</v>
      </c>
      <c r="Y977" s="1" t="s">
        <v>10980</v>
      </c>
      <c r="Z977" s="1">
        <v>2000.0</v>
      </c>
      <c r="AA977" s="1" t="s">
        <v>200</v>
      </c>
      <c r="AB977" s="1" t="s">
        <v>193</v>
      </c>
      <c r="AC977" s="1" t="s">
        <v>2766</v>
      </c>
      <c r="AD977" s="1" t="s">
        <v>809</v>
      </c>
      <c r="AE977" s="1" t="s">
        <v>325</v>
      </c>
      <c r="AF977" s="1" t="s">
        <v>810</v>
      </c>
      <c r="AH977" s="1" t="s">
        <v>10981</v>
      </c>
      <c r="AI977" s="1">
        <v>0.3194</v>
      </c>
      <c r="AK977" s="1">
        <v>8.0</v>
      </c>
      <c r="AL977" s="1">
        <v>4.0</v>
      </c>
      <c r="AM977" s="1">
        <v>2.0</v>
      </c>
      <c r="AN977" s="1">
        <v>1.0</v>
      </c>
      <c r="AO977" s="1" t="s">
        <v>198</v>
      </c>
      <c r="AP977" s="1">
        <v>1.0</v>
      </c>
      <c r="AQ977" s="1" t="s">
        <v>198</v>
      </c>
      <c r="AR977" s="1" t="s">
        <v>200</v>
      </c>
      <c r="AS977" s="1" t="s">
        <v>199</v>
      </c>
      <c r="AT977" s="1">
        <v>2.0</v>
      </c>
      <c r="AV977" s="1" t="s">
        <v>200</v>
      </c>
      <c r="AW977" s="1">
        <v>7182.36</v>
      </c>
      <c r="AX977" s="1">
        <v>2012.0</v>
      </c>
      <c r="AZ977" s="1" t="s">
        <v>200</v>
      </c>
      <c r="BA977" s="1" t="str">
        <f>"0308402002"</f>
        <v>0308402002</v>
      </c>
      <c r="BC977" s="1">
        <v>2188.0</v>
      </c>
      <c r="BD977" s="1">
        <v>162750.0</v>
      </c>
      <c r="BE977" s="2">
        <v>41768.0</v>
      </c>
      <c r="BF977" s="2" t="s">
        <v>10982</v>
      </c>
      <c r="BH977" s="1">
        <v>0.0</v>
      </c>
      <c r="BK977" s="1" t="s">
        <v>204</v>
      </c>
      <c r="BL977" s="1" t="str">
        <f>"18"</f>
        <v>18</v>
      </c>
      <c r="BM977" s="1" t="str">
        <f>"0"</f>
        <v>0</v>
      </c>
      <c r="BN977" s="1">
        <v>36.0</v>
      </c>
      <c r="BO977" s="1">
        <v>0.0</v>
      </c>
      <c r="BQ977" s="1">
        <v>300.0</v>
      </c>
      <c r="BR977" s="1">
        <v>300.0</v>
      </c>
      <c r="BS977" s="1">
        <v>300.0</v>
      </c>
      <c r="BU977" s="1" t="s">
        <v>743</v>
      </c>
      <c r="BV977" s="1" t="s">
        <v>206</v>
      </c>
      <c r="BY977" s="1" t="s">
        <v>362</v>
      </c>
      <c r="BZ977" s="1" t="s">
        <v>209</v>
      </c>
      <c r="CC977" s="1" t="s">
        <v>393</v>
      </c>
      <c r="CD977" s="1" t="s">
        <v>206</v>
      </c>
      <c r="CG977" s="1" t="s">
        <v>392</v>
      </c>
      <c r="CH977" s="1" t="s">
        <v>209</v>
      </c>
      <c r="CK977" s="1" t="s">
        <v>363</v>
      </c>
      <c r="CL977" s="1" t="s">
        <v>209</v>
      </c>
      <c r="CO977" s="1" t="s">
        <v>363</v>
      </c>
      <c r="CP977" s="1" t="s">
        <v>209</v>
      </c>
      <c r="CS977" s="1" t="s">
        <v>1426</v>
      </c>
      <c r="CT977" s="1" t="s">
        <v>206</v>
      </c>
      <c r="CW977" s="1" t="s">
        <v>393</v>
      </c>
      <c r="CX977" s="1" t="s">
        <v>206</v>
      </c>
      <c r="DA977" s="1" t="s">
        <v>200</v>
      </c>
      <c r="DC977" s="1" t="s">
        <v>335</v>
      </c>
      <c r="DE977" s="1" t="s">
        <v>273</v>
      </c>
      <c r="DF977" s="1" t="s">
        <v>219</v>
      </c>
      <c r="DH977" s="1" t="s">
        <v>220</v>
      </c>
      <c r="DJ977" s="1" t="s">
        <v>222</v>
      </c>
      <c r="DL977" s="1" t="s">
        <v>223</v>
      </c>
      <c r="DM977" s="1" t="s">
        <v>229</v>
      </c>
      <c r="DO977" s="1" t="s">
        <v>549</v>
      </c>
      <c r="DQ977" s="1" t="s">
        <v>441</v>
      </c>
      <c r="DR977" s="1" t="s">
        <v>229</v>
      </c>
      <c r="DV977" s="1" t="s">
        <v>232</v>
      </c>
      <c r="DW977" s="1" t="s">
        <v>444</v>
      </c>
      <c r="DX977" s="1" t="s">
        <v>234</v>
      </c>
      <c r="DZ977" s="1" t="s">
        <v>10983</v>
      </c>
      <c r="EC977" s="1" t="s">
        <v>237</v>
      </c>
      <c r="EM977" s="1" t="s">
        <v>238</v>
      </c>
      <c r="EQ977" s="1" t="s">
        <v>238</v>
      </c>
      <c r="EU977" s="1" t="s">
        <v>238</v>
      </c>
      <c r="EY977" s="1" t="s">
        <v>238</v>
      </c>
      <c r="FC977" s="1" t="s">
        <v>238</v>
      </c>
      <c r="FF977" s="1" t="s">
        <v>239</v>
      </c>
      <c r="FG977" s="1" t="s">
        <v>192</v>
      </c>
      <c r="FH977" s="1" t="s">
        <v>192</v>
      </c>
      <c r="FJ977" s="1" t="s">
        <v>6372</v>
      </c>
      <c r="FK977" s="1" t="s">
        <v>229</v>
      </c>
      <c r="FL977" s="1" t="s">
        <v>3433</v>
      </c>
      <c r="FM977" s="1">
        <v>5293.0</v>
      </c>
      <c r="FN977" s="1" t="s">
        <v>3434</v>
      </c>
      <c r="FO977" s="1" t="s">
        <v>3435</v>
      </c>
      <c r="FP977" s="1">
        <v>53957.0</v>
      </c>
      <c r="FU977" s="1" t="s">
        <v>7218</v>
      </c>
      <c r="FV977" s="1" t="s">
        <v>200</v>
      </c>
      <c r="FW977" s="1" t="s">
        <v>290</v>
      </c>
      <c r="FZ977" s="1" t="s">
        <v>229</v>
      </c>
      <c r="GA977" s="1" t="s">
        <v>291</v>
      </c>
      <c r="GB977" s="2">
        <v>41990.0</v>
      </c>
      <c r="GC977" s="1" t="s">
        <v>10984</v>
      </c>
    </row>
    <row r="978">
      <c r="A978" s="1">
        <v>234900.0</v>
      </c>
      <c r="B978" s="1" t="s">
        <v>185</v>
      </c>
      <c r="C978" s="1" t="str">
        <f>"08610397"</f>
        <v>08610397</v>
      </c>
      <c r="D978" s="1" t="s">
        <v>186</v>
      </c>
      <c r="F978" s="1" t="str">
        <f t="shared" ref="F978:F980" si="643">"543"</f>
        <v>543</v>
      </c>
      <c r="G978" s="2">
        <v>41768.0</v>
      </c>
      <c r="H978" s="1">
        <v>259900.0</v>
      </c>
      <c r="I978" s="1">
        <v>299.0</v>
      </c>
      <c r="J978" s="1">
        <v>234900.0</v>
      </c>
      <c r="K978" s="2">
        <v>42066.0</v>
      </c>
      <c r="L978" s="1">
        <v>299.0</v>
      </c>
      <c r="M978" s="2">
        <v>42066.0</v>
      </c>
      <c r="N978" s="1" t="s">
        <v>356</v>
      </c>
      <c r="O978" s="2">
        <v>42109.0</v>
      </c>
      <c r="P978" s="1">
        <v>218461.0</v>
      </c>
      <c r="Q978" s="1">
        <v>23830.0</v>
      </c>
      <c r="S978" s="1">
        <v>305.0</v>
      </c>
      <c r="T978" s="1" t="s">
        <v>10985</v>
      </c>
      <c r="U978" s="1" t="s">
        <v>1015</v>
      </c>
      <c r="V978" s="1" t="s">
        <v>1527</v>
      </c>
      <c r="W978" s="1">
        <v>60543.0</v>
      </c>
      <c r="Y978" s="1" t="s">
        <v>10986</v>
      </c>
      <c r="Z978" s="1">
        <v>2000.0</v>
      </c>
      <c r="AA978" s="1" t="s">
        <v>200</v>
      </c>
      <c r="AB978" s="1" t="s">
        <v>193</v>
      </c>
      <c r="AC978" s="1" t="s">
        <v>10987</v>
      </c>
      <c r="AD978" s="1" t="s">
        <v>1529</v>
      </c>
      <c r="AE978" s="1" t="s">
        <v>849</v>
      </c>
      <c r="AF978" s="1" t="s">
        <v>1529</v>
      </c>
      <c r="AH978" s="1" t="s">
        <v>8611</v>
      </c>
      <c r="AI978" s="1">
        <v>0.2</v>
      </c>
      <c r="AK978" s="1">
        <v>9.0</v>
      </c>
      <c r="AL978" s="1">
        <v>4.0</v>
      </c>
      <c r="AM978" s="1">
        <v>3.0</v>
      </c>
      <c r="AN978" s="1">
        <v>1.0</v>
      </c>
      <c r="AO978" s="1" t="s">
        <v>198</v>
      </c>
      <c r="AP978" s="1">
        <v>1.0</v>
      </c>
      <c r="AQ978" s="1" t="s">
        <v>198</v>
      </c>
      <c r="AR978" s="1" t="s">
        <v>192</v>
      </c>
      <c r="AS978" s="1" t="s">
        <v>199</v>
      </c>
      <c r="AT978" s="1">
        <v>2.0</v>
      </c>
      <c r="AV978" s="1" t="s">
        <v>200</v>
      </c>
      <c r="AW978" s="1">
        <v>7842.72</v>
      </c>
      <c r="AX978" s="1">
        <v>2013.0</v>
      </c>
      <c r="AY978" s="1" t="s">
        <v>387</v>
      </c>
      <c r="AZ978" s="1" t="s">
        <v>200</v>
      </c>
      <c r="BA978" s="1" t="str">
        <f>"0309111005"</f>
        <v>0309111005</v>
      </c>
      <c r="BC978" s="1">
        <v>2250.0</v>
      </c>
      <c r="BD978" s="1">
        <v>234900.0</v>
      </c>
      <c r="BE978" s="2">
        <v>41768.0</v>
      </c>
      <c r="BF978" s="2" t="s">
        <v>10988</v>
      </c>
      <c r="BG978" s="1" t="s">
        <v>4366</v>
      </c>
      <c r="BH978" s="1">
        <v>126.0</v>
      </c>
      <c r="BI978" s="1" t="s">
        <v>1348</v>
      </c>
      <c r="BJ978" s="1" t="s">
        <v>1349</v>
      </c>
      <c r="BK978" s="1" t="s">
        <v>1952</v>
      </c>
      <c r="BL978" s="1" t="str">
        <f>"44"</f>
        <v>44</v>
      </c>
      <c r="BM978" s="1" t="str">
        <f>"88"</f>
        <v>88</v>
      </c>
      <c r="BQ978" s="1">
        <v>308.0</v>
      </c>
      <c r="BR978" s="1">
        <v>308.0</v>
      </c>
      <c r="BS978" s="1">
        <v>308.0</v>
      </c>
      <c r="BU978" s="1" t="s">
        <v>1483</v>
      </c>
      <c r="BV978" s="1" t="s">
        <v>206</v>
      </c>
      <c r="BW978" s="1" t="s">
        <v>210</v>
      </c>
      <c r="BY978" s="1" t="s">
        <v>361</v>
      </c>
      <c r="BZ978" s="1" t="s">
        <v>209</v>
      </c>
      <c r="CA978" s="1" t="s">
        <v>210</v>
      </c>
      <c r="CC978" s="1" t="s">
        <v>300</v>
      </c>
      <c r="CD978" s="1" t="s">
        <v>206</v>
      </c>
      <c r="CE978" s="1" t="s">
        <v>210</v>
      </c>
      <c r="CG978" s="1" t="s">
        <v>925</v>
      </c>
      <c r="CH978" s="1" t="s">
        <v>209</v>
      </c>
      <c r="CI978" s="1" t="s">
        <v>210</v>
      </c>
      <c r="CK978" s="1" t="s">
        <v>699</v>
      </c>
      <c r="CL978" s="1" t="s">
        <v>209</v>
      </c>
      <c r="CM978" s="1" t="s">
        <v>210</v>
      </c>
      <c r="CO978" s="1" t="s">
        <v>269</v>
      </c>
      <c r="CP978" s="1" t="s">
        <v>209</v>
      </c>
      <c r="CQ978" s="1" t="s">
        <v>210</v>
      </c>
      <c r="CS978" s="1" t="s">
        <v>393</v>
      </c>
      <c r="CT978" s="1" t="s">
        <v>206</v>
      </c>
      <c r="CU978" s="1" t="s">
        <v>207</v>
      </c>
      <c r="CW978" s="1" t="s">
        <v>205</v>
      </c>
      <c r="CX978" s="1" t="s">
        <v>206</v>
      </c>
      <c r="CY978" s="1" t="s">
        <v>210</v>
      </c>
      <c r="DA978" s="1" t="s">
        <v>200</v>
      </c>
      <c r="DC978" s="1" t="s">
        <v>335</v>
      </c>
      <c r="DE978" s="1" t="s">
        <v>273</v>
      </c>
      <c r="DF978" s="1" t="s">
        <v>619</v>
      </c>
      <c r="DG978" s="1" t="s">
        <v>3020</v>
      </c>
      <c r="DH978" s="1" t="s">
        <v>220</v>
      </c>
      <c r="DJ978" s="1" t="s">
        <v>222</v>
      </c>
      <c r="DL978" s="1" t="s">
        <v>858</v>
      </c>
      <c r="DM978" s="1" t="s">
        <v>229</v>
      </c>
      <c r="DN978" s="1" t="s">
        <v>666</v>
      </c>
      <c r="DQ978" s="1" t="s">
        <v>228</v>
      </c>
      <c r="DR978" s="1" t="s">
        <v>229</v>
      </c>
      <c r="DS978" s="1" t="s">
        <v>368</v>
      </c>
      <c r="DU978" s="1" t="s">
        <v>1637</v>
      </c>
      <c r="DV978" s="1" t="s">
        <v>449</v>
      </c>
      <c r="DW978" s="1" t="s">
        <v>233</v>
      </c>
      <c r="DX978" s="1" t="s">
        <v>234</v>
      </c>
      <c r="DY978" s="1" t="s">
        <v>2803</v>
      </c>
      <c r="DZ978" s="1" t="s">
        <v>282</v>
      </c>
      <c r="EA978" s="1" t="s">
        <v>1027</v>
      </c>
      <c r="EB978" s="1" t="s">
        <v>937</v>
      </c>
      <c r="EC978" s="1" t="s">
        <v>237</v>
      </c>
      <c r="EG978" s="1" t="s">
        <v>449</v>
      </c>
      <c r="EL978" s="1" t="s">
        <v>1672</v>
      </c>
      <c r="EM978" s="1" t="s">
        <v>206</v>
      </c>
      <c r="EN978" s="1" t="s">
        <v>207</v>
      </c>
      <c r="EQ978" s="1" t="s">
        <v>238</v>
      </c>
      <c r="EU978" s="1" t="s">
        <v>238</v>
      </c>
      <c r="EY978" s="1" t="s">
        <v>238</v>
      </c>
      <c r="FC978" s="1" t="s">
        <v>238</v>
      </c>
      <c r="FF978" s="1" t="s">
        <v>239</v>
      </c>
      <c r="FG978" s="1" t="s">
        <v>192</v>
      </c>
      <c r="FH978" s="1" t="s">
        <v>192</v>
      </c>
      <c r="FJ978" s="1" t="s">
        <v>524</v>
      </c>
      <c r="FK978" s="1" t="s">
        <v>229</v>
      </c>
      <c r="FL978" s="1" t="s">
        <v>525</v>
      </c>
      <c r="FM978" s="1">
        <v>22029.0</v>
      </c>
      <c r="FN978" s="1" t="s">
        <v>526</v>
      </c>
      <c r="FO978" s="1" t="s">
        <v>10989</v>
      </c>
      <c r="FP978" s="1">
        <v>232759.0</v>
      </c>
      <c r="FQ978" s="1" t="s">
        <v>10990</v>
      </c>
      <c r="FR978" s="1">
        <v>230211.0</v>
      </c>
      <c r="FU978" s="1" t="s">
        <v>10991</v>
      </c>
      <c r="FV978" s="1" t="s">
        <v>192</v>
      </c>
      <c r="FW978" s="1" t="s">
        <v>290</v>
      </c>
      <c r="FZ978" s="1" t="s">
        <v>632</v>
      </c>
      <c r="GA978" s="1" t="s">
        <v>291</v>
      </c>
      <c r="GB978" s="2">
        <v>42110.0</v>
      </c>
      <c r="GC978" s="1" t="s">
        <v>10992</v>
      </c>
    </row>
    <row r="979">
      <c r="A979" s="1">
        <v>347990.0</v>
      </c>
      <c r="B979" s="1" t="s">
        <v>185</v>
      </c>
      <c r="C979" s="1" t="str">
        <f>"08612813"</f>
        <v>08612813</v>
      </c>
      <c r="D979" s="1" t="s">
        <v>186</v>
      </c>
      <c r="F979" s="1" t="str">
        <f t="shared" si="643"/>
        <v>543</v>
      </c>
      <c r="G979" s="2">
        <v>41771.0</v>
      </c>
      <c r="H979" s="1">
        <v>359340.0</v>
      </c>
      <c r="I979" s="1">
        <v>325.0</v>
      </c>
      <c r="J979" s="1">
        <v>349990.0</v>
      </c>
      <c r="K979" s="2">
        <v>42095.0</v>
      </c>
      <c r="L979" s="1">
        <v>325.0</v>
      </c>
      <c r="M979" s="2">
        <v>42095.0</v>
      </c>
      <c r="N979" s="1" t="s">
        <v>187</v>
      </c>
      <c r="O979" s="2">
        <v>42122.0</v>
      </c>
      <c r="P979" s="1">
        <v>216474.0</v>
      </c>
      <c r="Q979" s="1">
        <v>60219.0</v>
      </c>
      <c r="S979" s="1">
        <v>361.0</v>
      </c>
      <c r="T979" s="1" t="s">
        <v>10993</v>
      </c>
      <c r="U979" s="1" t="s">
        <v>1015</v>
      </c>
      <c r="V979" s="1" t="s">
        <v>1527</v>
      </c>
      <c r="W979" s="1">
        <v>60543.0</v>
      </c>
      <c r="Y979" s="1" t="s">
        <v>10994</v>
      </c>
      <c r="Z979" s="1">
        <v>2015.0</v>
      </c>
      <c r="AA979" s="1" t="s">
        <v>200</v>
      </c>
      <c r="AB979" s="1" t="s">
        <v>467</v>
      </c>
      <c r="AC979" s="1" t="s">
        <v>8196</v>
      </c>
      <c r="AD979" s="1" t="s">
        <v>1529</v>
      </c>
      <c r="AE979" s="1" t="s">
        <v>849</v>
      </c>
      <c r="AF979" s="1" t="s">
        <v>1529</v>
      </c>
      <c r="AG979" s="1" t="s">
        <v>10995</v>
      </c>
      <c r="AH979" s="1" t="s">
        <v>10996</v>
      </c>
      <c r="AK979" s="1">
        <v>9.0</v>
      </c>
      <c r="AL979" s="1">
        <v>4.0</v>
      </c>
      <c r="AM979" s="1">
        <v>2.0</v>
      </c>
      <c r="AN979" s="1">
        <v>1.0</v>
      </c>
      <c r="AO979" s="1" t="s">
        <v>198</v>
      </c>
      <c r="AQ979" s="1" t="s">
        <v>198</v>
      </c>
      <c r="AR979" s="1" t="s">
        <v>200</v>
      </c>
      <c r="AS979" s="1" t="s">
        <v>199</v>
      </c>
      <c r="AT979" s="1">
        <v>3.0</v>
      </c>
      <c r="AV979" s="1" t="s">
        <v>200</v>
      </c>
      <c r="AW979" s="1" t="s">
        <v>575</v>
      </c>
      <c r="AX979" s="1">
        <v>2013.0</v>
      </c>
      <c r="AZ979" s="1" t="s">
        <v>200</v>
      </c>
      <c r="BA979" s="1" t="str">
        <f>"0321181019"</f>
        <v>0321181019</v>
      </c>
      <c r="BB979" s="1" t="s">
        <v>200</v>
      </c>
      <c r="BC979" s="1">
        <v>3164.0</v>
      </c>
      <c r="BD979" s="1">
        <v>347990.0</v>
      </c>
      <c r="BE979" s="2">
        <v>41771.0</v>
      </c>
      <c r="BF979" s="2" t="s">
        <v>10997</v>
      </c>
      <c r="BG979" s="1" t="s">
        <v>8200</v>
      </c>
      <c r="BH979" s="1">
        <v>150.0</v>
      </c>
      <c r="BI979" s="1" t="s">
        <v>1533</v>
      </c>
      <c r="BJ979" s="1" t="s">
        <v>1349</v>
      </c>
      <c r="BK979" s="1" t="s">
        <v>1952</v>
      </c>
      <c r="BL979" s="1" t="str">
        <f t="shared" ref="BL979:BM979" si="644">""</f>
        <v/>
      </c>
      <c r="BM979" s="1" t="str">
        <f t="shared" si="644"/>
        <v/>
      </c>
      <c r="BQ979" s="1">
        <v>308.0</v>
      </c>
      <c r="BR979" s="1">
        <v>308.0</v>
      </c>
      <c r="BS979" s="1">
        <v>308.0</v>
      </c>
      <c r="BV979" s="1" t="s">
        <v>204</v>
      </c>
      <c r="BY979" s="1" t="s">
        <v>583</v>
      </c>
      <c r="BZ979" s="1" t="s">
        <v>209</v>
      </c>
      <c r="CA979" s="1" t="s">
        <v>210</v>
      </c>
      <c r="CC979" s="1" t="s">
        <v>205</v>
      </c>
      <c r="CD979" s="1" t="s">
        <v>206</v>
      </c>
      <c r="CE979" s="1" t="s">
        <v>207</v>
      </c>
      <c r="CG979" s="1" t="s">
        <v>647</v>
      </c>
      <c r="CH979" s="1" t="s">
        <v>209</v>
      </c>
      <c r="CI979" s="1" t="s">
        <v>210</v>
      </c>
      <c r="CK979" s="1" t="s">
        <v>215</v>
      </c>
      <c r="CL979" s="1" t="s">
        <v>209</v>
      </c>
      <c r="CM979" s="1" t="s">
        <v>210</v>
      </c>
      <c r="CO979" s="1" t="s">
        <v>363</v>
      </c>
      <c r="CP979" s="1" t="s">
        <v>209</v>
      </c>
      <c r="CQ979" s="1" t="s">
        <v>210</v>
      </c>
      <c r="CS979" s="1" t="s">
        <v>2120</v>
      </c>
      <c r="CT979" s="1" t="s">
        <v>206</v>
      </c>
      <c r="CU979" s="1" t="s">
        <v>207</v>
      </c>
      <c r="CW979" s="1" t="s">
        <v>715</v>
      </c>
      <c r="CX979" s="1" t="s">
        <v>206</v>
      </c>
      <c r="CY979" s="1" t="s">
        <v>207</v>
      </c>
      <c r="DA979" s="1" t="s">
        <v>192</v>
      </c>
      <c r="DB979" s="2">
        <v>42093.0</v>
      </c>
      <c r="DC979" s="1" t="s">
        <v>744</v>
      </c>
      <c r="DD979" s="1" t="s">
        <v>396</v>
      </c>
      <c r="DE979" s="1" t="s">
        <v>273</v>
      </c>
      <c r="DF979" s="1" t="s">
        <v>219</v>
      </c>
      <c r="DG979" s="1" t="s">
        <v>8201</v>
      </c>
      <c r="DH979" s="1" t="s">
        <v>220</v>
      </c>
      <c r="DI979" s="1" t="s">
        <v>10998</v>
      </c>
      <c r="DJ979" s="1" t="s">
        <v>222</v>
      </c>
      <c r="DK979" s="1" t="s">
        <v>223</v>
      </c>
      <c r="DL979" s="1" t="s">
        <v>223</v>
      </c>
      <c r="DM979" s="1" t="s">
        <v>338</v>
      </c>
      <c r="DN979" s="1" t="s">
        <v>485</v>
      </c>
      <c r="DP979" s="1" t="s">
        <v>340</v>
      </c>
      <c r="DQ979" s="1" t="s">
        <v>228</v>
      </c>
      <c r="DR979" s="1" t="s">
        <v>2593</v>
      </c>
      <c r="DS979" s="1" t="s">
        <v>368</v>
      </c>
      <c r="DT979" s="1" t="s">
        <v>10999</v>
      </c>
      <c r="DU979" s="1" t="s">
        <v>550</v>
      </c>
      <c r="DV979" s="1" t="s">
        <v>11000</v>
      </c>
      <c r="DW979" s="1" t="s">
        <v>8203</v>
      </c>
      <c r="DX979" s="1" t="s">
        <v>234</v>
      </c>
      <c r="DY979" s="1" t="s">
        <v>1936</v>
      </c>
      <c r="EA979" s="1" t="s">
        <v>344</v>
      </c>
      <c r="EC979" s="1" t="s">
        <v>237</v>
      </c>
      <c r="EE979" s="1" t="s">
        <v>493</v>
      </c>
      <c r="EG979" s="1" t="s">
        <v>556</v>
      </c>
      <c r="EH979" s="1" t="s">
        <v>494</v>
      </c>
      <c r="EJ979" s="1" t="s">
        <v>720</v>
      </c>
      <c r="EL979" s="1" t="s">
        <v>5211</v>
      </c>
      <c r="EM979" s="1" t="s">
        <v>206</v>
      </c>
      <c r="EN979" s="1" t="s">
        <v>207</v>
      </c>
      <c r="EP979" s="1" t="s">
        <v>433</v>
      </c>
      <c r="EQ979" s="1" t="s">
        <v>206</v>
      </c>
      <c r="ER979" s="1" t="s">
        <v>207</v>
      </c>
      <c r="EU979" s="1" t="s">
        <v>238</v>
      </c>
      <c r="EX979" s="1" t="s">
        <v>1937</v>
      </c>
      <c r="EY979" s="1" t="s">
        <v>206</v>
      </c>
      <c r="EZ979" s="1" t="s">
        <v>268</v>
      </c>
      <c r="FC979" s="1" t="s">
        <v>238</v>
      </c>
      <c r="FF979" s="1" t="s">
        <v>239</v>
      </c>
      <c r="FG979" s="1" t="s">
        <v>192</v>
      </c>
      <c r="FH979" s="1" t="s">
        <v>192</v>
      </c>
      <c r="FJ979" s="1" t="s">
        <v>11001</v>
      </c>
      <c r="FK979" s="1" t="s">
        <v>557</v>
      </c>
      <c r="FL979" s="1" t="s">
        <v>8206</v>
      </c>
      <c r="FM979" s="1">
        <v>23223.0</v>
      </c>
      <c r="FN979" s="1" t="s">
        <v>8207</v>
      </c>
      <c r="FO979" s="1" t="s">
        <v>8208</v>
      </c>
      <c r="FP979" s="1">
        <v>236300.0</v>
      </c>
      <c r="FR979" s="1">
        <v>210778.0</v>
      </c>
      <c r="FT979" s="1" t="s">
        <v>11002</v>
      </c>
      <c r="FU979" s="1" t="s">
        <v>11003</v>
      </c>
      <c r="FV979" s="1" t="s">
        <v>200</v>
      </c>
      <c r="FW979" s="1" t="s">
        <v>8211</v>
      </c>
      <c r="FZ979" s="1" t="s">
        <v>229</v>
      </c>
      <c r="GA979" s="1" t="s">
        <v>247</v>
      </c>
      <c r="GB979" s="2">
        <v>42122.0</v>
      </c>
      <c r="GC979" s="1" t="s">
        <v>11004</v>
      </c>
    </row>
    <row r="980">
      <c r="A980" s="1">
        <v>335000.0</v>
      </c>
      <c r="B980" s="1" t="s">
        <v>185</v>
      </c>
      <c r="C980" s="1" t="str">
        <f>"08612469"</f>
        <v>08612469</v>
      </c>
      <c r="D980" s="1" t="s">
        <v>186</v>
      </c>
      <c r="F980" s="1" t="str">
        <f t="shared" si="643"/>
        <v>543</v>
      </c>
      <c r="G980" s="2">
        <v>41771.0</v>
      </c>
      <c r="H980" s="1">
        <v>344440.0</v>
      </c>
      <c r="I980" s="1">
        <v>234.0</v>
      </c>
      <c r="J980" s="1">
        <v>339990.0</v>
      </c>
      <c r="K980" s="2">
        <v>42004.0</v>
      </c>
      <c r="L980" s="1">
        <v>234.0</v>
      </c>
      <c r="M980" s="2">
        <v>42004.0</v>
      </c>
      <c r="N980" s="1" t="s">
        <v>187</v>
      </c>
      <c r="O980" s="2">
        <v>42090.0</v>
      </c>
      <c r="P980" s="1">
        <v>231272.0</v>
      </c>
      <c r="Q980" s="1">
        <v>22029.0</v>
      </c>
      <c r="S980" s="1">
        <v>595.0</v>
      </c>
      <c r="T980" s="1" t="s">
        <v>11005</v>
      </c>
      <c r="U980" s="1" t="s">
        <v>569</v>
      </c>
      <c r="V980" s="1" t="s">
        <v>1527</v>
      </c>
      <c r="W980" s="1">
        <v>60543.0</v>
      </c>
      <c r="Y980" s="1" t="s">
        <v>11006</v>
      </c>
      <c r="Z980" s="1">
        <v>2014.0</v>
      </c>
      <c r="AA980" s="1" t="s">
        <v>200</v>
      </c>
      <c r="AB980" s="1" t="s">
        <v>467</v>
      </c>
      <c r="AC980" s="1" t="s">
        <v>8196</v>
      </c>
      <c r="AD980" s="1" t="s">
        <v>1529</v>
      </c>
      <c r="AE980" s="1" t="s">
        <v>849</v>
      </c>
      <c r="AF980" s="1" t="s">
        <v>1529</v>
      </c>
      <c r="AG980" s="1" t="s">
        <v>11007</v>
      </c>
      <c r="AH980" s="1" t="s">
        <v>11008</v>
      </c>
      <c r="AK980" s="1">
        <v>9.0</v>
      </c>
      <c r="AL980" s="1">
        <v>4.0</v>
      </c>
      <c r="AM980" s="1">
        <v>2.0</v>
      </c>
      <c r="AN980" s="1">
        <v>1.0</v>
      </c>
      <c r="AO980" s="1" t="s">
        <v>198</v>
      </c>
      <c r="AP980" s="1">
        <v>1.0</v>
      </c>
      <c r="AQ980" s="1" t="s">
        <v>198</v>
      </c>
      <c r="AR980" s="1" t="s">
        <v>200</v>
      </c>
      <c r="AS980" s="1" t="s">
        <v>199</v>
      </c>
      <c r="AT980" s="1">
        <v>2.0</v>
      </c>
      <c r="AV980" s="1" t="s">
        <v>200</v>
      </c>
      <c r="AW980" s="1" t="s">
        <v>575</v>
      </c>
      <c r="AX980" s="1">
        <v>2013.0</v>
      </c>
      <c r="AZ980" s="1" t="s">
        <v>200</v>
      </c>
      <c r="BA980" s="1" t="str">
        <f>"0321176003"</f>
        <v>0321176003</v>
      </c>
      <c r="BB980" s="1" t="s">
        <v>200</v>
      </c>
      <c r="BC980" s="1">
        <v>3195.0</v>
      </c>
      <c r="BD980" s="1">
        <v>335000.0</v>
      </c>
      <c r="BE980" s="2">
        <v>41771.0</v>
      </c>
      <c r="BF980" s="2" t="s">
        <v>11009</v>
      </c>
      <c r="BG980" s="1" t="s">
        <v>8200</v>
      </c>
      <c r="BH980" s="1">
        <v>150.0</v>
      </c>
      <c r="BI980" s="1" t="s">
        <v>1533</v>
      </c>
      <c r="BJ980" s="1" t="s">
        <v>1349</v>
      </c>
      <c r="BK980" s="1" t="s">
        <v>1952</v>
      </c>
      <c r="BL980" s="1" t="str">
        <f t="shared" ref="BL980:BM980" si="645">""</f>
        <v/>
      </c>
      <c r="BM980" s="1" t="str">
        <f t="shared" si="645"/>
        <v/>
      </c>
      <c r="BQ980" s="1">
        <v>308.0</v>
      </c>
      <c r="BR980" s="1">
        <v>308.0</v>
      </c>
      <c r="BS980" s="1">
        <v>308.0</v>
      </c>
      <c r="BV980" s="1" t="s">
        <v>204</v>
      </c>
      <c r="BY980" s="1" t="s">
        <v>361</v>
      </c>
      <c r="BZ980" s="1" t="s">
        <v>209</v>
      </c>
      <c r="CC980" s="1" t="s">
        <v>331</v>
      </c>
      <c r="CD980" s="1" t="s">
        <v>206</v>
      </c>
      <c r="CG980" s="1" t="s">
        <v>699</v>
      </c>
      <c r="CH980" s="1" t="s">
        <v>209</v>
      </c>
      <c r="CK980" s="1" t="s">
        <v>212</v>
      </c>
      <c r="CL980" s="1" t="s">
        <v>209</v>
      </c>
      <c r="CO980" s="1" t="s">
        <v>699</v>
      </c>
      <c r="CP980" s="1" t="s">
        <v>209</v>
      </c>
      <c r="CS980" s="1" t="s">
        <v>392</v>
      </c>
      <c r="CT980" s="1" t="s">
        <v>206</v>
      </c>
      <c r="CU980" s="1" t="s">
        <v>207</v>
      </c>
      <c r="CW980" s="1" t="s">
        <v>477</v>
      </c>
      <c r="CX980" s="1" t="s">
        <v>206</v>
      </c>
      <c r="DA980" s="1" t="s">
        <v>192</v>
      </c>
      <c r="DB980" s="2">
        <v>42154.0</v>
      </c>
      <c r="DC980" s="1" t="s">
        <v>744</v>
      </c>
      <c r="DD980" s="1" t="s">
        <v>396</v>
      </c>
      <c r="DE980" s="1" t="s">
        <v>273</v>
      </c>
      <c r="DF980" s="1" t="s">
        <v>219</v>
      </c>
      <c r="DG980" s="1" t="s">
        <v>8201</v>
      </c>
      <c r="DH980" s="1" t="s">
        <v>220</v>
      </c>
      <c r="DI980" s="1" t="s">
        <v>1354</v>
      </c>
      <c r="DJ980" s="1" t="s">
        <v>222</v>
      </c>
      <c r="DK980" s="1" t="s">
        <v>223</v>
      </c>
      <c r="DL980" s="1" t="s">
        <v>223</v>
      </c>
      <c r="DM980" s="1" t="s">
        <v>338</v>
      </c>
      <c r="DN980" s="1" t="s">
        <v>485</v>
      </c>
      <c r="DP980" s="1" t="s">
        <v>340</v>
      </c>
      <c r="DQ980" s="1" t="s">
        <v>228</v>
      </c>
      <c r="DR980" s="1" t="s">
        <v>588</v>
      </c>
      <c r="DS980" s="1" t="s">
        <v>368</v>
      </c>
      <c r="DU980" s="1" t="s">
        <v>550</v>
      </c>
      <c r="DV980" s="1" t="s">
        <v>2941</v>
      </c>
      <c r="DW980" s="1" t="s">
        <v>8203</v>
      </c>
      <c r="DX980" s="1" t="s">
        <v>234</v>
      </c>
      <c r="DY980" s="1" t="s">
        <v>1051</v>
      </c>
      <c r="DZ980" s="1" t="s">
        <v>405</v>
      </c>
      <c r="EA980" s="1" t="s">
        <v>344</v>
      </c>
      <c r="EB980" s="1" t="s">
        <v>8204</v>
      </c>
      <c r="EC980" s="1" t="s">
        <v>237</v>
      </c>
      <c r="EE980" s="1" t="s">
        <v>493</v>
      </c>
      <c r="EG980" s="1" t="s">
        <v>449</v>
      </c>
      <c r="EH980" s="1" t="s">
        <v>1028</v>
      </c>
      <c r="EL980" s="1" t="s">
        <v>264</v>
      </c>
      <c r="EM980" s="1" t="s">
        <v>206</v>
      </c>
      <c r="EN980" s="1" t="s">
        <v>207</v>
      </c>
      <c r="EP980" s="1" t="s">
        <v>1417</v>
      </c>
      <c r="EQ980" s="1" t="s">
        <v>206</v>
      </c>
      <c r="EU980" s="1" t="s">
        <v>238</v>
      </c>
      <c r="EY980" s="1" t="s">
        <v>238</v>
      </c>
      <c r="FC980" s="1" t="s">
        <v>238</v>
      </c>
      <c r="FF980" s="1" t="s">
        <v>239</v>
      </c>
      <c r="FG980" s="1" t="s">
        <v>192</v>
      </c>
      <c r="FH980" s="1" t="s">
        <v>192</v>
      </c>
      <c r="FJ980" s="1" t="s">
        <v>11010</v>
      </c>
      <c r="FK980" s="1" t="s">
        <v>557</v>
      </c>
      <c r="FL980" s="1" t="s">
        <v>8206</v>
      </c>
      <c r="FM980" s="1">
        <v>23223.0</v>
      </c>
      <c r="FN980" s="1" t="s">
        <v>8207</v>
      </c>
      <c r="FO980" s="1" t="s">
        <v>8208</v>
      </c>
      <c r="FP980" s="1">
        <v>236300.0</v>
      </c>
      <c r="FR980" s="1">
        <v>210778.0</v>
      </c>
      <c r="FT980" s="1" t="s">
        <v>11002</v>
      </c>
      <c r="FU980" s="1" t="s">
        <v>11011</v>
      </c>
      <c r="FV980" s="1" t="s">
        <v>200</v>
      </c>
      <c r="FW980" s="1" t="s">
        <v>8211</v>
      </c>
      <c r="FZ980" s="1" t="s">
        <v>229</v>
      </c>
      <c r="GA980" s="1" t="s">
        <v>247</v>
      </c>
      <c r="GB980" s="2">
        <v>42090.0</v>
      </c>
      <c r="GC980" s="1" t="s">
        <v>8212</v>
      </c>
    </row>
    <row r="981">
      <c r="A981" s="1">
        <v>465000.0</v>
      </c>
      <c r="B981" s="1" t="s">
        <v>185</v>
      </c>
      <c r="C981" s="1" t="str">
        <f>"08620466"</f>
        <v>08620466</v>
      </c>
      <c r="D981" s="1" t="s">
        <v>186</v>
      </c>
      <c r="F981" s="1" t="str">
        <f>"123"</f>
        <v>123</v>
      </c>
      <c r="G981" s="2">
        <v>41779.0</v>
      </c>
      <c r="H981" s="1">
        <v>509900.0</v>
      </c>
      <c r="I981" s="1">
        <v>259.0</v>
      </c>
      <c r="J981" s="1">
        <v>479900.0</v>
      </c>
      <c r="K981" s="2">
        <v>42037.0</v>
      </c>
      <c r="L981" s="1">
        <v>259.0</v>
      </c>
      <c r="M981" s="2">
        <v>42037.0</v>
      </c>
      <c r="N981" s="1" t="s">
        <v>187</v>
      </c>
      <c r="O981" s="2">
        <v>42083.0</v>
      </c>
      <c r="P981" s="1">
        <v>32237.0</v>
      </c>
      <c r="Q981" s="1">
        <v>3754.0</v>
      </c>
      <c r="S981" s="1">
        <v>2627.0</v>
      </c>
      <c r="T981" s="1" t="s">
        <v>11012</v>
      </c>
      <c r="V981" s="1" t="s">
        <v>465</v>
      </c>
      <c r="W981" s="1">
        <v>60120.0</v>
      </c>
      <c r="Y981" s="1" t="s">
        <v>11013</v>
      </c>
      <c r="Z981" s="1">
        <v>1994.0</v>
      </c>
      <c r="AA981" s="1" t="s">
        <v>200</v>
      </c>
      <c r="AB981" s="1" t="s">
        <v>193</v>
      </c>
      <c r="AC981" s="1" t="s">
        <v>11014</v>
      </c>
      <c r="AD981" s="1" t="s">
        <v>469</v>
      </c>
      <c r="AE981" s="1" t="s">
        <v>195</v>
      </c>
      <c r="AF981" s="1" t="s">
        <v>298</v>
      </c>
      <c r="AH981" s="1" t="s">
        <v>11015</v>
      </c>
      <c r="AI981" s="1">
        <v>1.002</v>
      </c>
      <c r="AK981" s="1">
        <v>10.0</v>
      </c>
      <c r="AL981" s="1">
        <v>4.0</v>
      </c>
      <c r="AM981" s="1">
        <v>3.0</v>
      </c>
      <c r="AN981" s="1">
        <v>1.0</v>
      </c>
      <c r="AO981" s="1" t="s">
        <v>198</v>
      </c>
      <c r="AP981" s="1">
        <v>2.0</v>
      </c>
      <c r="AQ981" s="1" t="s">
        <v>327</v>
      </c>
      <c r="AR981" s="1" t="s">
        <v>192</v>
      </c>
      <c r="AS981" s="1" t="s">
        <v>199</v>
      </c>
      <c r="AT981" s="1">
        <v>3.0</v>
      </c>
      <c r="AV981" s="1" t="s">
        <v>200</v>
      </c>
      <c r="AW981" s="1">
        <v>11031.71</v>
      </c>
      <c r="AX981" s="1">
        <v>2012.0</v>
      </c>
      <c r="AY981" s="1" t="s">
        <v>387</v>
      </c>
      <c r="AZ981" s="1" t="s">
        <v>200</v>
      </c>
      <c r="BA981" s="1" t="str">
        <f>"06174040060000"</f>
        <v>06174040060000</v>
      </c>
      <c r="BC981" s="1">
        <v>3212.0</v>
      </c>
      <c r="BD981" s="1">
        <v>465000.0</v>
      </c>
      <c r="BE981" s="2">
        <v>41779.0</v>
      </c>
      <c r="BF981" s="2" t="s">
        <v>11016</v>
      </c>
      <c r="BH981" s="1">
        <v>230.0</v>
      </c>
      <c r="BK981" s="1" t="s">
        <v>580</v>
      </c>
      <c r="BL981" s="1" t="str">
        <f>"11"</f>
        <v>11</v>
      </c>
      <c r="BM981" s="1" t="str">
        <f t="shared" ref="BM981:BM982" si="646">"0"</f>
        <v>0</v>
      </c>
      <c r="BN981" s="1">
        <v>31.0</v>
      </c>
      <c r="BO981" s="1">
        <v>0.0</v>
      </c>
      <c r="BQ981" s="1">
        <v>46.0</v>
      </c>
      <c r="BR981" s="1">
        <v>46.0</v>
      </c>
      <c r="BS981" s="1">
        <v>46.0</v>
      </c>
      <c r="BU981" s="1" t="s">
        <v>3905</v>
      </c>
      <c r="BV981" s="1" t="s">
        <v>206</v>
      </c>
      <c r="BW981" s="1" t="s">
        <v>210</v>
      </c>
      <c r="BY981" s="1" t="s">
        <v>3475</v>
      </c>
      <c r="BZ981" s="1" t="s">
        <v>206</v>
      </c>
      <c r="CA981" s="1" t="s">
        <v>210</v>
      </c>
      <c r="CC981" s="1" t="s">
        <v>361</v>
      </c>
      <c r="CD981" s="1" t="s">
        <v>206</v>
      </c>
      <c r="CE981" s="1" t="s">
        <v>210</v>
      </c>
      <c r="CG981" s="1" t="s">
        <v>329</v>
      </c>
      <c r="CH981" s="1" t="s">
        <v>209</v>
      </c>
      <c r="CI981" s="1" t="s">
        <v>210</v>
      </c>
      <c r="CK981" s="1" t="s">
        <v>758</v>
      </c>
      <c r="CL981" s="1" t="s">
        <v>209</v>
      </c>
      <c r="CM981" s="1" t="s">
        <v>210</v>
      </c>
      <c r="CO981" s="1" t="s">
        <v>743</v>
      </c>
      <c r="CP981" s="1" t="s">
        <v>209</v>
      </c>
      <c r="CQ981" s="1" t="s">
        <v>210</v>
      </c>
      <c r="CS981" s="1" t="s">
        <v>214</v>
      </c>
      <c r="CT981" s="1" t="s">
        <v>206</v>
      </c>
      <c r="CU981" s="1" t="s">
        <v>207</v>
      </c>
      <c r="CX981" s="1" t="s">
        <v>204</v>
      </c>
      <c r="DA981" s="1" t="s">
        <v>200</v>
      </c>
      <c r="DC981" s="1" t="s">
        <v>678</v>
      </c>
      <c r="DD981" s="1" t="s">
        <v>272</v>
      </c>
      <c r="DE981" s="1" t="s">
        <v>273</v>
      </c>
      <c r="DF981" s="1" t="s">
        <v>745</v>
      </c>
      <c r="DH981" s="1" t="s">
        <v>856</v>
      </c>
      <c r="DI981" s="1" t="s">
        <v>11017</v>
      </c>
      <c r="DJ981" s="1" t="s">
        <v>222</v>
      </c>
      <c r="DL981" s="1" t="s">
        <v>224</v>
      </c>
      <c r="DM981" s="1" t="s">
        <v>338</v>
      </c>
      <c r="DN981" s="1" t="s">
        <v>226</v>
      </c>
      <c r="DO981" s="1" t="s">
        <v>11018</v>
      </c>
      <c r="DP981" s="1" t="s">
        <v>340</v>
      </c>
      <c r="DQ981" s="1" t="s">
        <v>931</v>
      </c>
      <c r="DR981" s="1" t="s">
        <v>588</v>
      </c>
      <c r="DS981" s="1" t="s">
        <v>230</v>
      </c>
      <c r="DU981" s="1" t="s">
        <v>11019</v>
      </c>
      <c r="DV981" s="1" t="s">
        <v>11020</v>
      </c>
      <c r="DW981" s="1" t="s">
        <v>764</v>
      </c>
      <c r="DX981" s="1" t="s">
        <v>234</v>
      </c>
      <c r="DY981" s="1" t="s">
        <v>2423</v>
      </c>
      <c r="DZ981" s="1" t="s">
        <v>11021</v>
      </c>
      <c r="EB981" s="1" t="s">
        <v>1639</v>
      </c>
      <c r="EC981" s="1" t="s">
        <v>237</v>
      </c>
      <c r="ED981" s="1" t="s">
        <v>407</v>
      </c>
      <c r="EE981" s="1" t="s">
        <v>493</v>
      </c>
      <c r="EG981" s="1" t="s">
        <v>494</v>
      </c>
      <c r="EH981" s="1" t="s">
        <v>450</v>
      </c>
      <c r="EI981" s="1" t="s">
        <v>2023</v>
      </c>
      <c r="EJ981" s="1" t="s">
        <v>588</v>
      </c>
      <c r="EL981" s="1" t="s">
        <v>332</v>
      </c>
      <c r="EM981" s="1" t="s">
        <v>1697</v>
      </c>
      <c r="EN981" s="1" t="s">
        <v>210</v>
      </c>
      <c r="EP981" s="1" t="s">
        <v>9803</v>
      </c>
      <c r="EQ981" s="1" t="s">
        <v>1697</v>
      </c>
      <c r="ER981" s="1" t="s">
        <v>210</v>
      </c>
      <c r="ET981" s="1" t="s">
        <v>854</v>
      </c>
      <c r="EU981" s="1" t="s">
        <v>1697</v>
      </c>
      <c r="EV981" s="1" t="s">
        <v>210</v>
      </c>
      <c r="EX981" s="1" t="s">
        <v>816</v>
      </c>
      <c r="EY981" s="1" t="s">
        <v>1697</v>
      </c>
      <c r="EZ981" s="1" t="s">
        <v>210</v>
      </c>
      <c r="FC981" s="1" t="s">
        <v>238</v>
      </c>
      <c r="FF981" s="1" t="s">
        <v>239</v>
      </c>
      <c r="FG981" s="1" t="s">
        <v>192</v>
      </c>
      <c r="FH981" s="1" t="s">
        <v>192</v>
      </c>
      <c r="FJ981" s="1" t="s">
        <v>2552</v>
      </c>
      <c r="FK981" s="1" t="s">
        <v>348</v>
      </c>
      <c r="FL981" s="1" t="s">
        <v>1451</v>
      </c>
      <c r="FM981" s="1">
        <v>7450.0</v>
      </c>
      <c r="FN981" s="1" t="s">
        <v>1452</v>
      </c>
      <c r="FO981" s="1" t="s">
        <v>5583</v>
      </c>
      <c r="FP981" s="1">
        <v>70036.0</v>
      </c>
      <c r="FQ981" s="1" t="s">
        <v>5584</v>
      </c>
      <c r="FR981" s="1">
        <v>77640.0</v>
      </c>
      <c r="FU981" s="1" t="s">
        <v>5585</v>
      </c>
      <c r="FV981" s="1" t="s">
        <v>200</v>
      </c>
      <c r="FW981" s="1" t="s">
        <v>290</v>
      </c>
      <c r="FZ981" s="1" t="s">
        <v>632</v>
      </c>
      <c r="GA981" s="1" t="s">
        <v>291</v>
      </c>
      <c r="GB981" s="2">
        <v>42083.0</v>
      </c>
      <c r="GC981" s="1" t="s">
        <v>11022</v>
      </c>
    </row>
    <row r="982">
      <c r="A982" s="1">
        <v>60000.0</v>
      </c>
      <c r="B982" s="1" t="s">
        <v>185</v>
      </c>
      <c r="C982" s="1" t="str">
        <f>"08614984"</f>
        <v>08614984</v>
      </c>
      <c r="D982" s="1" t="s">
        <v>186</v>
      </c>
      <c r="F982" s="1" t="str">
        <f>"8025"</f>
        <v>8025</v>
      </c>
      <c r="G982" s="2">
        <v>41773.0</v>
      </c>
      <c r="H982" s="1">
        <v>64900.0</v>
      </c>
      <c r="I982" s="1">
        <v>291.0</v>
      </c>
      <c r="J982" s="1">
        <v>64900.0</v>
      </c>
      <c r="K982" s="2">
        <v>41778.0</v>
      </c>
      <c r="L982" s="1">
        <v>6.0</v>
      </c>
      <c r="M982" s="2">
        <v>41778.0</v>
      </c>
      <c r="N982" s="1" t="s">
        <v>249</v>
      </c>
      <c r="O982" s="2">
        <v>42103.0</v>
      </c>
      <c r="P982" s="1">
        <v>113231.0</v>
      </c>
      <c r="Q982" s="1">
        <v>84719.0</v>
      </c>
      <c r="S982" s="1">
        <v>1519.0</v>
      </c>
      <c r="T982" s="1" t="s">
        <v>11023</v>
      </c>
      <c r="U982" s="1" t="s">
        <v>189</v>
      </c>
      <c r="V982" s="1" t="s">
        <v>190</v>
      </c>
      <c r="W982" s="1">
        <v>60651.0</v>
      </c>
      <c r="Y982" s="1" t="s">
        <v>11024</v>
      </c>
      <c r="Z982" s="1" t="s">
        <v>296</v>
      </c>
      <c r="AA982" s="1" t="s">
        <v>192</v>
      </c>
      <c r="AB982" s="1" t="s">
        <v>193</v>
      </c>
      <c r="AD982" s="1" t="s">
        <v>194</v>
      </c>
      <c r="AE982" s="1" t="s">
        <v>195</v>
      </c>
      <c r="AF982" s="1" t="s">
        <v>827</v>
      </c>
      <c r="AH982" s="1" t="s">
        <v>11025</v>
      </c>
      <c r="AK982" s="1">
        <v>8.0</v>
      </c>
      <c r="AL982" s="1">
        <v>4.0</v>
      </c>
      <c r="AM982" s="1">
        <v>2.0</v>
      </c>
      <c r="AN982" s="1">
        <v>0.0</v>
      </c>
      <c r="AO982" s="1" t="s">
        <v>229</v>
      </c>
      <c r="AQ982" s="1" t="s">
        <v>198</v>
      </c>
      <c r="AR982" s="1" t="s">
        <v>192</v>
      </c>
      <c r="AS982" s="1" t="s">
        <v>199</v>
      </c>
      <c r="AT982" s="1">
        <v>2.0</v>
      </c>
      <c r="AV982" s="1" t="s">
        <v>200</v>
      </c>
      <c r="AW982" s="1">
        <v>2552.0</v>
      </c>
      <c r="AX982" s="1">
        <v>2012.0</v>
      </c>
      <c r="AZ982" s="1" t="s">
        <v>200</v>
      </c>
      <c r="BA982" s="1" t="str">
        <f>"16042020090000"</f>
        <v>16042020090000</v>
      </c>
      <c r="BC982" s="1">
        <v>1600.0</v>
      </c>
      <c r="BD982" s="1">
        <v>60000.0</v>
      </c>
      <c r="BE982" s="2">
        <v>41773.0</v>
      </c>
      <c r="BF982" s="1" t="s">
        <v>11026</v>
      </c>
      <c r="BH982" s="1">
        <v>0.0</v>
      </c>
      <c r="BK982" s="1" t="s">
        <v>204</v>
      </c>
      <c r="BL982" s="1" t="str">
        <f>"1500"</f>
        <v>1500</v>
      </c>
      <c r="BM982" s="1" t="str">
        <f t="shared" si="646"/>
        <v>0</v>
      </c>
      <c r="BN982" s="1">
        <v>5100.0</v>
      </c>
      <c r="BO982" s="1">
        <v>0.0</v>
      </c>
      <c r="BQ982" s="1">
        <v>299.0</v>
      </c>
      <c r="BR982" s="1">
        <v>299.0</v>
      </c>
      <c r="BS982" s="1">
        <v>299.0</v>
      </c>
      <c r="BU982" s="1" t="s">
        <v>1395</v>
      </c>
      <c r="BV982" s="1" t="s">
        <v>206</v>
      </c>
      <c r="BW982" s="1" t="s">
        <v>207</v>
      </c>
      <c r="BY982" s="1" t="s">
        <v>264</v>
      </c>
      <c r="BZ982" s="1" t="s">
        <v>206</v>
      </c>
      <c r="CC982" s="1" t="s">
        <v>363</v>
      </c>
      <c r="CD982" s="1" t="s">
        <v>206</v>
      </c>
      <c r="CE982" s="1" t="s">
        <v>207</v>
      </c>
      <c r="CG982" s="1" t="s">
        <v>264</v>
      </c>
      <c r="CH982" s="1" t="s">
        <v>206</v>
      </c>
      <c r="CK982" s="1" t="s">
        <v>478</v>
      </c>
      <c r="CL982" s="1" t="s">
        <v>114</v>
      </c>
      <c r="CO982" s="1" t="s">
        <v>300</v>
      </c>
      <c r="CP982" s="1" t="s">
        <v>114</v>
      </c>
      <c r="CS982" s="1" t="s">
        <v>495</v>
      </c>
      <c r="CT982" s="1" t="s">
        <v>206</v>
      </c>
      <c r="CU982" s="1" t="s">
        <v>617</v>
      </c>
      <c r="CX982" s="1" t="s">
        <v>204</v>
      </c>
      <c r="DA982" s="1" t="s">
        <v>200</v>
      </c>
      <c r="DC982" s="1" t="s">
        <v>545</v>
      </c>
      <c r="DE982" s="1" t="s">
        <v>229</v>
      </c>
      <c r="DF982" s="1" t="s">
        <v>3540</v>
      </c>
      <c r="DH982" s="1" t="s">
        <v>307</v>
      </c>
      <c r="DJ982" s="1" t="s">
        <v>222</v>
      </c>
      <c r="DK982" s="1" t="s">
        <v>224</v>
      </c>
      <c r="DL982" s="1" t="s">
        <v>858</v>
      </c>
      <c r="DM982" s="1" t="s">
        <v>229</v>
      </c>
      <c r="DP982" s="1" t="s">
        <v>340</v>
      </c>
      <c r="DQ982" s="1" t="s">
        <v>718</v>
      </c>
      <c r="DR982" s="1" t="s">
        <v>229</v>
      </c>
      <c r="DV982" s="1" t="s">
        <v>11027</v>
      </c>
      <c r="DW982" s="1" t="s">
        <v>279</v>
      </c>
      <c r="DX982" s="1" t="s">
        <v>234</v>
      </c>
      <c r="EC982" s="1" t="s">
        <v>645</v>
      </c>
      <c r="EG982" s="1" t="s">
        <v>557</v>
      </c>
      <c r="EH982" s="1" t="s">
        <v>1270</v>
      </c>
      <c r="EL982" s="1" t="s">
        <v>3888</v>
      </c>
      <c r="EM982" s="1" t="s">
        <v>206</v>
      </c>
      <c r="EP982" s="1" t="s">
        <v>2047</v>
      </c>
      <c r="EQ982" s="1" t="s">
        <v>42</v>
      </c>
      <c r="EU982" s="1" t="s">
        <v>238</v>
      </c>
      <c r="EY982" s="1" t="s">
        <v>238</v>
      </c>
      <c r="FC982" s="1" t="s">
        <v>238</v>
      </c>
      <c r="FF982" s="1" t="s">
        <v>239</v>
      </c>
      <c r="FG982" s="1" t="s">
        <v>200</v>
      </c>
      <c r="FH982" s="1" t="s">
        <v>192</v>
      </c>
      <c r="FJ982" s="1" t="s">
        <v>2133</v>
      </c>
      <c r="FK982" s="1" t="s">
        <v>1586</v>
      </c>
      <c r="FL982" s="1" t="s">
        <v>2037</v>
      </c>
      <c r="FM982" s="1">
        <v>84719.0</v>
      </c>
      <c r="FN982" s="1" t="s">
        <v>2038</v>
      </c>
      <c r="FO982" s="1" t="s">
        <v>11028</v>
      </c>
      <c r="FP982" s="1">
        <v>113231.0</v>
      </c>
      <c r="FQ982" s="1" t="s">
        <v>11029</v>
      </c>
      <c r="FU982" s="1" t="s">
        <v>11030</v>
      </c>
      <c r="FV982" s="1" t="s">
        <v>200</v>
      </c>
      <c r="FW982" s="1" t="s">
        <v>530</v>
      </c>
      <c r="FX982" s="1" t="s">
        <v>238</v>
      </c>
      <c r="FZ982" s="1" t="s">
        <v>229</v>
      </c>
      <c r="GA982" s="1" t="s">
        <v>291</v>
      </c>
      <c r="GB982" s="2">
        <v>42105.0</v>
      </c>
      <c r="GC982" s="1" t="s">
        <v>3170</v>
      </c>
    </row>
    <row r="983">
      <c r="A983" s="1">
        <v>185000.0</v>
      </c>
      <c r="B983" s="1" t="s">
        <v>185</v>
      </c>
      <c r="C983" s="1" t="str">
        <f>"08611945"</f>
        <v>08611945</v>
      </c>
      <c r="D983" s="1" t="s">
        <v>186</v>
      </c>
      <c r="F983" s="1" t="str">
        <f>"538"</f>
        <v>538</v>
      </c>
      <c r="G983" s="2">
        <v>41771.0</v>
      </c>
      <c r="H983" s="1">
        <v>224700.0</v>
      </c>
      <c r="I983" s="1">
        <v>163.0</v>
      </c>
      <c r="J983" s="1">
        <v>189900.0</v>
      </c>
      <c r="K983" s="2">
        <v>41933.0</v>
      </c>
      <c r="L983" s="1">
        <v>163.0</v>
      </c>
      <c r="M983" s="2">
        <v>41933.0</v>
      </c>
      <c r="N983" s="1" t="s">
        <v>356</v>
      </c>
      <c r="O983" s="2">
        <v>41992.0</v>
      </c>
      <c r="P983" s="1">
        <v>239583.0</v>
      </c>
      <c r="Q983" s="1">
        <v>23265.0</v>
      </c>
      <c r="S983" s="1">
        <v>2676.0</v>
      </c>
      <c r="T983" s="1" t="s">
        <v>11031</v>
      </c>
      <c r="U983" s="1" t="s">
        <v>1174</v>
      </c>
      <c r="V983" s="1" t="s">
        <v>1340</v>
      </c>
      <c r="W983" s="1">
        <v>60538.0</v>
      </c>
      <c r="Y983" s="1" t="s">
        <v>11032</v>
      </c>
      <c r="Z983" s="1">
        <v>2006.0</v>
      </c>
      <c r="AA983" s="1" t="s">
        <v>200</v>
      </c>
      <c r="AB983" s="1" t="s">
        <v>467</v>
      </c>
      <c r="AC983" s="1" t="s">
        <v>11033</v>
      </c>
      <c r="AD983" s="1" t="s">
        <v>1343</v>
      </c>
      <c r="AE983" s="1" t="s">
        <v>849</v>
      </c>
      <c r="AF983" s="1" t="s">
        <v>1312</v>
      </c>
      <c r="AH983" s="1" t="s">
        <v>7299</v>
      </c>
      <c r="AI983" s="1">
        <v>0.1283</v>
      </c>
      <c r="AK983" s="1">
        <v>8.0</v>
      </c>
      <c r="AL983" s="1">
        <v>4.0</v>
      </c>
      <c r="AM983" s="1">
        <v>2.0</v>
      </c>
      <c r="AN983" s="1">
        <v>1.0</v>
      </c>
      <c r="AO983" s="1" t="s">
        <v>198</v>
      </c>
      <c r="AP983" s="1">
        <v>0.0</v>
      </c>
      <c r="AQ983" s="1" t="s">
        <v>198</v>
      </c>
      <c r="AR983" s="1" t="s">
        <v>200</v>
      </c>
      <c r="AS983" s="1" t="s">
        <v>199</v>
      </c>
      <c r="AT983" s="1">
        <v>2.0</v>
      </c>
      <c r="AV983" s="1" t="s">
        <v>200</v>
      </c>
      <c r="AW983" s="1">
        <v>6530.04</v>
      </c>
      <c r="AX983" s="1">
        <v>2012.0</v>
      </c>
      <c r="AZ983" s="1" t="s">
        <v>200</v>
      </c>
      <c r="BA983" s="1" t="str">
        <f>"0210130018"</f>
        <v>0210130018</v>
      </c>
      <c r="BC983" s="1">
        <v>2375.0</v>
      </c>
      <c r="BD983" s="1">
        <v>185000.0</v>
      </c>
      <c r="BE983" s="2">
        <v>41771.0</v>
      </c>
      <c r="BF983" s="1" t="s">
        <v>11034</v>
      </c>
      <c r="BG983" s="1" t="s">
        <v>4759</v>
      </c>
      <c r="BH983" s="1">
        <v>150.0</v>
      </c>
      <c r="BI983" s="1" t="s">
        <v>10618</v>
      </c>
      <c r="BJ983" s="1" t="s">
        <v>3053</v>
      </c>
      <c r="BK983" s="1" t="s">
        <v>580</v>
      </c>
      <c r="BL983" s="1" t="str">
        <f t="shared" ref="BL983:BM983" si="647">""</f>
        <v/>
      </c>
      <c r="BM983" s="1" t="str">
        <f t="shared" si="647"/>
        <v/>
      </c>
      <c r="BQ983" s="1">
        <v>115.0</v>
      </c>
      <c r="BR983" s="1">
        <v>115.0</v>
      </c>
      <c r="BS983" s="1">
        <v>115.0</v>
      </c>
      <c r="BU983" s="1" t="s">
        <v>699</v>
      </c>
      <c r="BV983" s="1" t="s">
        <v>206</v>
      </c>
      <c r="BY983" s="1" t="s">
        <v>2900</v>
      </c>
      <c r="BZ983" s="1" t="s">
        <v>209</v>
      </c>
      <c r="CC983" s="1" t="s">
        <v>699</v>
      </c>
      <c r="CD983" s="1" t="s">
        <v>206</v>
      </c>
      <c r="CG983" s="1" t="s">
        <v>264</v>
      </c>
      <c r="CH983" s="1" t="s">
        <v>209</v>
      </c>
      <c r="CK983" s="1" t="s">
        <v>212</v>
      </c>
      <c r="CL983" s="1" t="s">
        <v>209</v>
      </c>
      <c r="CO983" s="1" t="s">
        <v>332</v>
      </c>
      <c r="CP983" s="1" t="s">
        <v>209</v>
      </c>
      <c r="CS983" s="1" t="s">
        <v>1892</v>
      </c>
      <c r="CT983" s="1" t="s">
        <v>206</v>
      </c>
      <c r="CW983" s="1" t="s">
        <v>361</v>
      </c>
      <c r="CX983" s="1" t="s">
        <v>206</v>
      </c>
      <c r="DA983" s="1" t="s">
        <v>200</v>
      </c>
      <c r="DC983" s="1" t="s">
        <v>481</v>
      </c>
      <c r="DE983" s="1" t="s">
        <v>273</v>
      </c>
      <c r="DF983" s="1" t="s">
        <v>219</v>
      </c>
      <c r="DG983" s="1" t="s">
        <v>482</v>
      </c>
      <c r="DH983" s="1" t="s">
        <v>220</v>
      </c>
      <c r="DJ983" s="1" t="s">
        <v>222</v>
      </c>
      <c r="DL983" s="1" t="s">
        <v>223</v>
      </c>
      <c r="DM983" s="1" t="s">
        <v>338</v>
      </c>
      <c r="DQ983" s="1" t="s">
        <v>228</v>
      </c>
      <c r="DR983" s="1" t="s">
        <v>1487</v>
      </c>
      <c r="DV983" s="1" t="s">
        <v>1102</v>
      </c>
      <c r="DW983" s="1" t="s">
        <v>233</v>
      </c>
      <c r="DX983" s="1" t="s">
        <v>234</v>
      </c>
      <c r="DZ983" s="1" t="s">
        <v>282</v>
      </c>
      <c r="EA983" s="1" t="s">
        <v>344</v>
      </c>
      <c r="EC983" s="1" t="s">
        <v>237</v>
      </c>
      <c r="EG983" s="1" t="s">
        <v>1102</v>
      </c>
      <c r="EL983" s="1" t="s">
        <v>699</v>
      </c>
      <c r="EM983" s="1" t="s">
        <v>206</v>
      </c>
      <c r="EQ983" s="1" t="s">
        <v>238</v>
      </c>
      <c r="EU983" s="1" t="s">
        <v>238</v>
      </c>
      <c r="EY983" s="1" t="s">
        <v>238</v>
      </c>
      <c r="FC983" s="1" t="s">
        <v>238</v>
      </c>
      <c r="FF983" s="1" t="s">
        <v>239</v>
      </c>
      <c r="FG983" s="1" t="s">
        <v>192</v>
      </c>
      <c r="FH983" s="1" t="s">
        <v>192</v>
      </c>
      <c r="FJ983" s="1" t="s">
        <v>347</v>
      </c>
      <c r="FK983" s="1" t="s">
        <v>229</v>
      </c>
      <c r="FL983" s="1" t="s">
        <v>10439</v>
      </c>
      <c r="FM983" s="1">
        <v>24199.0</v>
      </c>
      <c r="FN983" s="1" t="s">
        <v>10440</v>
      </c>
      <c r="FO983" s="1" t="s">
        <v>10441</v>
      </c>
      <c r="FP983" s="1">
        <v>235607.0</v>
      </c>
      <c r="FQ983" s="1" t="s">
        <v>10442</v>
      </c>
      <c r="FR983" s="1">
        <v>237175.0</v>
      </c>
      <c r="FU983" s="1" t="s">
        <v>10443</v>
      </c>
      <c r="FV983" s="1" t="s">
        <v>200</v>
      </c>
      <c r="FW983" s="1" t="s">
        <v>354</v>
      </c>
      <c r="FZ983" s="1" t="s">
        <v>229</v>
      </c>
      <c r="GA983" s="1" t="s">
        <v>291</v>
      </c>
      <c r="GB983" s="2">
        <v>41996.0</v>
      </c>
      <c r="GC983" s="1" t="s">
        <v>11035</v>
      </c>
    </row>
    <row r="984">
      <c r="A984" s="1">
        <v>288250.0</v>
      </c>
      <c r="B984" s="1" t="s">
        <v>185</v>
      </c>
      <c r="C984" s="1" t="str">
        <f>"08623300"</f>
        <v>08623300</v>
      </c>
      <c r="D984" s="1" t="s">
        <v>186</v>
      </c>
      <c r="F984" s="1" t="str">
        <f>"140"</f>
        <v>140</v>
      </c>
      <c r="G984" s="2">
        <v>41782.0</v>
      </c>
      <c r="H984" s="1">
        <v>322500.0</v>
      </c>
      <c r="I984" s="1">
        <v>204.0</v>
      </c>
      <c r="J984" s="1">
        <v>300000.0</v>
      </c>
      <c r="K984" s="2">
        <v>41939.0</v>
      </c>
      <c r="L984" s="1">
        <v>158.0</v>
      </c>
      <c r="M984" s="2">
        <v>41939.0</v>
      </c>
      <c r="N984" s="1" t="s">
        <v>187</v>
      </c>
      <c r="O984" s="2">
        <v>41978.0</v>
      </c>
      <c r="P984" s="1">
        <v>7968.0</v>
      </c>
      <c r="Q984" s="1">
        <v>372.0</v>
      </c>
      <c r="S984" s="1">
        <v>1868.0</v>
      </c>
      <c r="T984" s="1" t="s">
        <v>11036</v>
      </c>
      <c r="U984" s="1" t="s">
        <v>1174</v>
      </c>
      <c r="V984" s="1" t="s">
        <v>4858</v>
      </c>
      <c r="W984" s="1">
        <v>60140.0</v>
      </c>
      <c r="Y984" s="1" t="s">
        <v>11037</v>
      </c>
      <c r="Z984" s="1">
        <v>2009.0</v>
      </c>
      <c r="AA984" s="1" t="s">
        <v>200</v>
      </c>
      <c r="AB984" s="1" t="s">
        <v>467</v>
      </c>
      <c r="AC984" s="1" t="s">
        <v>6189</v>
      </c>
      <c r="AD984" s="1" t="s">
        <v>4860</v>
      </c>
      <c r="AE984" s="1" t="s">
        <v>325</v>
      </c>
      <c r="AF984" s="1" t="s">
        <v>3429</v>
      </c>
      <c r="AG984" s="1" t="s">
        <v>10403</v>
      </c>
      <c r="AH984" s="1" t="s">
        <v>11038</v>
      </c>
      <c r="AK984" s="1">
        <v>10.0</v>
      </c>
      <c r="AL984" s="1">
        <v>4.0</v>
      </c>
      <c r="AM984" s="1">
        <v>2.0</v>
      </c>
      <c r="AN984" s="1">
        <v>1.0</v>
      </c>
      <c r="AO984" s="1" t="s">
        <v>198</v>
      </c>
      <c r="AQ984" s="1" t="s">
        <v>198</v>
      </c>
      <c r="AR984" s="1" t="s">
        <v>200</v>
      </c>
      <c r="AS984" s="1" t="s">
        <v>199</v>
      </c>
      <c r="AT984" s="1">
        <v>2.0</v>
      </c>
      <c r="AV984" s="1" t="s">
        <v>200</v>
      </c>
      <c r="AW984" s="1">
        <v>7916.0</v>
      </c>
      <c r="AX984" s="1">
        <v>2013.0</v>
      </c>
      <c r="AY984" s="1" t="s">
        <v>387</v>
      </c>
      <c r="AZ984" s="1" t="s">
        <v>200</v>
      </c>
      <c r="BA984" s="1" t="str">
        <f>"0229305010"</f>
        <v>0229305010</v>
      </c>
      <c r="BC984" s="1">
        <v>2781.0</v>
      </c>
      <c r="BD984" s="1">
        <v>288250.0</v>
      </c>
      <c r="BE984" s="2">
        <v>41782.0</v>
      </c>
      <c r="BF984" s="2" t="s">
        <v>11039</v>
      </c>
      <c r="BG984" s="1" t="s">
        <v>6193</v>
      </c>
      <c r="BH984" s="1">
        <v>62.0</v>
      </c>
      <c r="BI984" s="1" t="s">
        <v>5040</v>
      </c>
      <c r="BJ984" s="1" t="s">
        <v>1182</v>
      </c>
      <c r="BK984" s="1" t="s">
        <v>474</v>
      </c>
      <c r="BL984" s="1" t="str">
        <f t="shared" ref="BL984:BM984" si="648">""</f>
        <v/>
      </c>
      <c r="BM984" s="1" t="str">
        <f t="shared" si="648"/>
        <v/>
      </c>
      <c r="BP984" s="1" t="s">
        <v>6194</v>
      </c>
      <c r="BQ984" s="1">
        <v>300.0</v>
      </c>
      <c r="BR984" s="1">
        <v>300.0</v>
      </c>
      <c r="BS984" s="1">
        <v>300.0</v>
      </c>
      <c r="BU984" s="1" t="s">
        <v>329</v>
      </c>
      <c r="BV984" s="1" t="s">
        <v>206</v>
      </c>
      <c r="BW984" s="1" t="s">
        <v>207</v>
      </c>
      <c r="BX984" s="1" t="s">
        <v>431</v>
      </c>
      <c r="BY984" s="1" t="s">
        <v>334</v>
      </c>
      <c r="BZ984" s="1" t="s">
        <v>209</v>
      </c>
      <c r="CA984" s="1" t="s">
        <v>210</v>
      </c>
      <c r="CB984" s="1" t="s">
        <v>431</v>
      </c>
      <c r="CC984" s="1" t="s">
        <v>495</v>
      </c>
      <c r="CD984" s="1" t="s">
        <v>206</v>
      </c>
      <c r="CE984" s="1" t="s">
        <v>207</v>
      </c>
      <c r="CF984" s="1" t="s">
        <v>431</v>
      </c>
      <c r="CG984" s="1" t="s">
        <v>262</v>
      </c>
      <c r="CH984" s="1" t="s">
        <v>209</v>
      </c>
      <c r="CI984" s="1" t="s">
        <v>210</v>
      </c>
      <c r="CJ984" s="1" t="s">
        <v>431</v>
      </c>
      <c r="CK984" s="1" t="s">
        <v>495</v>
      </c>
      <c r="CL984" s="1" t="s">
        <v>209</v>
      </c>
      <c r="CM984" s="1" t="s">
        <v>210</v>
      </c>
      <c r="CN984" s="1" t="s">
        <v>431</v>
      </c>
      <c r="CO984" s="1" t="s">
        <v>363</v>
      </c>
      <c r="CP984" s="1" t="s">
        <v>209</v>
      </c>
      <c r="CQ984" s="1" t="s">
        <v>210</v>
      </c>
      <c r="CR984" s="1" t="s">
        <v>431</v>
      </c>
      <c r="CS984" s="1" t="s">
        <v>497</v>
      </c>
      <c r="CT984" s="1" t="s">
        <v>206</v>
      </c>
      <c r="CU984" s="1" t="s">
        <v>207</v>
      </c>
      <c r="CV984" s="1" t="s">
        <v>431</v>
      </c>
      <c r="CW984" s="1" t="s">
        <v>1892</v>
      </c>
      <c r="CX984" s="1" t="s">
        <v>206</v>
      </c>
      <c r="CY984" s="1" t="s">
        <v>210</v>
      </c>
      <c r="CZ984" s="1" t="s">
        <v>431</v>
      </c>
      <c r="DA984" s="1" t="s">
        <v>200</v>
      </c>
      <c r="DC984" s="1" t="s">
        <v>1046</v>
      </c>
      <c r="DD984" s="1" t="s">
        <v>926</v>
      </c>
      <c r="DE984" s="1" t="s">
        <v>273</v>
      </c>
      <c r="DF984" s="1" t="s">
        <v>219</v>
      </c>
      <c r="DG984" s="1" t="s">
        <v>1602</v>
      </c>
      <c r="DH984" s="1" t="s">
        <v>220</v>
      </c>
      <c r="DI984" s="1" t="s">
        <v>1003</v>
      </c>
      <c r="DJ984" s="1" t="s">
        <v>222</v>
      </c>
      <c r="DL984" s="1" t="s">
        <v>484</v>
      </c>
      <c r="DM984" s="1" t="s">
        <v>338</v>
      </c>
      <c r="DN984" s="1" t="s">
        <v>485</v>
      </c>
      <c r="DO984" s="1" t="s">
        <v>717</v>
      </c>
      <c r="DP984" s="1" t="s">
        <v>340</v>
      </c>
      <c r="DQ984" s="1" t="s">
        <v>228</v>
      </c>
      <c r="DR984" s="1" t="s">
        <v>1980</v>
      </c>
      <c r="DS984" s="1" t="s">
        <v>230</v>
      </c>
      <c r="DU984" s="1" t="s">
        <v>487</v>
      </c>
      <c r="DV984" s="1" t="s">
        <v>8134</v>
      </c>
      <c r="DW984" s="1" t="s">
        <v>444</v>
      </c>
      <c r="DX984" s="1" t="s">
        <v>234</v>
      </c>
      <c r="DY984" s="1" t="s">
        <v>490</v>
      </c>
      <c r="DZ984" s="1" t="s">
        <v>11040</v>
      </c>
      <c r="EA984" s="1" t="s">
        <v>344</v>
      </c>
      <c r="EC984" s="1" t="s">
        <v>237</v>
      </c>
      <c r="ED984" s="1" t="s">
        <v>407</v>
      </c>
      <c r="EG984" s="1" t="s">
        <v>449</v>
      </c>
      <c r="EH984" s="1" t="s">
        <v>341</v>
      </c>
      <c r="EL984" s="1" t="s">
        <v>212</v>
      </c>
      <c r="EM984" s="1" t="s">
        <v>206</v>
      </c>
      <c r="EN984" s="1" t="s">
        <v>207</v>
      </c>
      <c r="EO984" s="1" t="s">
        <v>431</v>
      </c>
      <c r="EP984" s="1" t="s">
        <v>495</v>
      </c>
      <c r="EQ984" s="1" t="s">
        <v>209</v>
      </c>
      <c r="ER984" s="1" t="s">
        <v>210</v>
      </c>
      <c r="ES984" s="1" t="s">
        <v>431</v>
      </c>
      <c r="EU984" s="1" t="s">
        <v>238</v>
      </c>
      <c r="EY984" s="1" t="s">
        <v>238</v>
      </c>
      <c r="FC984" s="1" t="s">
        <v>238</v>
      </c>
      <c r="FF984" s="1" t="s">
        <v>239</v>
      </c>
      <c r="FG984" s="1" t="s">
        <v>192</v>
      </c>
      <c r="FH984" s="1" t="s">
        <v>192</v>
      </c>
      <c r="FJ984" s="1" t="s">
        <v>285</v>
      </c>
      <c r="FK984" s="1" t="s">
        <v>229</v>
      </c>
      <c r="FL984" s="1" t="s">
        <v>456</v>
      </c>
      <c r="FM984" s="1">
        <v>49.0</v>
      </c>
      <c r="FN984" s="1" t="s">
        <v>457</v>
      </c>
      <c r="FO984" s="1" t="s">
        <v>11041</v>
      </c>
      <c r="FP984" s="1">
        <v>549.0</v>
      </c>
      <c r="FS984" s="1" t="s">
        <v>11042</v>
      </c>
      <c r="FU984" s="1" t="s">
        <v>11043</v>
      </c>
      <c r="FV984" s="1" t="s">
        <v>200</v>
      </c>
      <c r="FW984" s="1" t="s">
        <v>290</v>
      </c>
      <c r="FZ984" s="1" t="s">
        <v>229</v>
      </c>
      <c r="GA984" s="1" t="s">
        <v>291</v>
      </c>
      <c r="GB984" s="2">
        <v>41980.0</v>
      </c>
      <c r="GC984" s="1" t="s">
        <v>11044</v>
      </c>
    </row>
    <row r="985">
      <c r="A985" s="1">
        <v>440000.0</v>
      </c>
      <c r="B985" s="1" t="s">
        <v>185</v>
      </c>
      <c r="C985" s="1" t="str">
        <f>"08621964"</f>
        <v>08621964</v>
      </c>
      <c r="D985" s="1" t="s">
        <v>186</v>
      </c>
      <c r="F985" s="1" t="str">
        <f t="shared" ref="F985:F986" si="649">"174"</f>
        <v>174</v>
      </c>
      <c r="G985" s="2">
        <v>41780.0</v>
      </c>
      <c r="H985" s="1">
        <v>479000.0</v>
      </c>
      <c r="I985" s="1">
        <v>204.0</v>
      </c>
      <c r="J985" s="1">
        <v>450000.0</v>
      </c>
      <c r="K985" s="2">
        <v>41983.0</v>
      </c>
      <c r="L985" s="1">
        <v>204.0</v>
      </c>
      <c r="M985" s="2">
        <v>41983.0</v>
      </c>
      <c r="N985" s="1" t="s">
        <v>634</v>
      </c>
      <c r="O985" s="2">
        <v>42062.0</v>
      </c>
      <c r="P985" s="1">
        <v>931543.0</v>
      </c>
      <c r="Q985" s="1">
        <v>93069.0</v>
      </c>
      <c r="S985" s="1" t="s">
        <v>11045</v>
      </c>
      <c r="T985" s="1" t="s">
        <v>11046</v>
      </c>
      <c r="U985" s="1" t="s">
        <v>320</v>
      </c>
      <c r="V985" s="1" t="s">
        <v>1200</v>
      </c>
      <c r="W985" s="1">
        <v>60175.0</v>
      </c>
      <c r="Y985" s="1" t="s">
        <v>11047</v>
      </c>
      <c r="Z985" s="1">
        <v>2003.0</v>
      </c>
      <c r="AA985" s="1" t="s">
        <v>200</v>
      </c>
      <c r="AB985" s="1" t="s">
        <v>193</v>
      </c>
      <c r="AC985" s="1" t="s">
        <v>4318</v>
      </c>
      <c r="AD985" s="1" t="s">
        <v>3766</v>
      </c>
      <c r="AE985" s="1" t="s">
        <v>325</v>
      </c>
      <c r="AF985" s="1" t="s">
        <v>1632</v>
      </c>
      <c r="AH985" s="1" t="s">
        <v>11048</v>
      </c>
      <c r="AK985" s="1">
        <v>13.0</v>
      </c>
      <c r="AL985" s="1">
        <v>4.0</v>
      </c>
      <c r="AM985" s="1">
        <v>3.0</v>
      </c>
      <c r="AN985" s="1">
        <v>1.0</v>
      </c>
      <c r="AO985" s="1" t="s">
        <v>198</v>
      </c>
      <c r="AP985" s="1">
        <v>1.0</v>
      </c>
      <c r="AQ985" s="1" t="s">
        <v>472</v>
      </c>
      <c r="AR985" s="1" t="s">
        <v>192</v>
      </c>
      <c r="AS985" s="1" t="s">
        <v>199</v>
      </c>
      <c r="AT985" s="1">
        <v>3.0</v>
      </c>
      <c r="AV985" s="1" t="s">
        <v>200</v>
      </c>
      <c r="AW985" s="1">
        <v>11947.0</v>
      </c>
      <c r="AX985" s="1">
        <v>2013.0</v>
      </c>
      <c r="AY985" s="1" t="s">
        <v>387</v>
      </c>
      <c r="AZ985" s="1" t="s">
        <v>200</v>
      </c>
      <c r="BA985" s="1" t="str">
        <f>"0823401020"</f>
        <v>0823401020</v>
      </c>
      <c r="BB985" s="1" t="s">
        <v>200</v>
      </c>
      <c r="BC985" s="1">
        <v>4400.0</v>
      </c>
      <c r="BD985" s="1">
        <v>440000.0</v>
      </c>
      <c r="BE985" s="2">
        <v>41780.0</v>
      </c>
      <c r="BF985" s="2" t="s">
        <v>11049</v>
      </c>
      <c r="BH985" s="1">
        <v>290.0</v>
      </c>
      <c r="BK985" s="1" t="s">
        <v>1952</v>
      </c>
      <c r="BL985" s="1" t="str">
        <f>"4"</f>
        <v>4</v>
      </c>
      <c r="BM985" s="1" t="str">
        <f>"0"</f>
        <v>0</v>
      </c>
      <c r="BN985" s="1">
        <v>39.0</v>
      </c>
      <c r="BO985" s="1">
        <v>0.0</v>
      </c>
      <c r="BQ985" s="1">
        <v>303.0</v>
      </c>
      <c r="BR985" s="1">
        <v>303.0</v>
      </c>
      <c r="BS985" s="1">
        <v>303.0</v>
      </c>
      <c r="BU985" s="1" t="s">
        <v>583</v>
      </c>
      <c r="BV985" s="1" t="s">
        <v>209</v>
      </c>
      <c r="BW985" s="1" t="s">
        <v>210</v>
      </c>
      <c r="BX985" s="1" t="s">
        <v>239</v>
      </c>
      <c r="BY985" s="1" t="s">
        <v>782</v>
      </c>
      <c r="BZ985" s="1" t="s">
        <v>209</v>
      </c>
      <c r="CA985" s="1" t="s">
        <v>210</v>
      </c>
      <c r="CB985" s="1" t="s">
        <v>239</v>
      </c>
      <c r="CC985" s="1" t="s">
        <v>478</v>
      </c>
      <c r="CD985" s="1" t="s">
        <v>206</v>
      </c>
      <c r="CE985" s="1" t="s">
        <v>207</v>
      </c>
      <c r="CF985" s="1" t="s">
        <v>239</v>
      </c>
      <c r="CG985" s="1" t="s">
        <v>215</v>
      </c>
      <c r="CH985" s="1" t="s">
        <v>209</v>
      </c>
      <c r="CI985" s="1" t="s">
        <v>210</v>
      </c>
      <c r="CJ985" s="1" t="s">
        <v>431</v>
      </c>
      <c r="CK985" s="1" t="s">
        <v>211</v>
      </c>
      <c r="CL985" s="1" t="s">
        <v>209</v>
      </c>
      <c r="CM985" s="1" t="s">
        <v>210</v>
      </c>
      <c r="CN985" s="1" t="s">
        <v>431</v>
      </c>
      <c r="CO985" s="1" t="s">
        <v>215</v>
      </c>
      <c r="CP985" s="1" t="s">
        <v>209</v>
      </c>
      <c r="CQ985" s="1" t="s">
        <v>210</v>
      </c>
      <c r="CR985" s="1" t="s">
        <v>431</v>
      </c>
      <c r="CS985" s="1" t="s">
        <v>784</v>
      </c>
      <c r="CT985" s="1" t="s">
        <v>206</v>
      </c>
      <c r="CU985" s="1" t="s">
        <v>207</v>
      </c>
      <c r="CV985" s="1" t="s">
        <v>239</v>
      </c>
      <c r="CW985" s="1" t="s">
        <v>390</v>
      </c>
      <c r="CX985" s="1" t="s">
        <v>206</v>
      </c>
      <c r="CY985" s="1" t="s">
        <v>207</v>
      </c>
      <c r="CZ985" s="1" t="s">
        <v>239</v>
      </c>
      <c r="DA985" s="1" t="s">
        <v>200</v>
      </c>
      <c r="DC985" s="1" t="s">
        <v>335</v>
      </c>
      <c r="DD985" s="1" t="s">
        <v>1838</v>
      </c>
      <c r="DE985" s="1" t="s">
        <v>273</v>
      </c>
      <c r="DF985" s="1" t="s">
        <v>219</v>
      </c>
      <c r="DG985" s="1" t="s">
        <v>5454</v>
      </c>
      <c r="DH985" s="1" t="s">
        <v>220</v>
      </c>
      <c r="DI985" s="1" t="s">
        <v>760</v>
      </c>
      <c r="DJ985" s="1" t="s">
        <v>222</v>
      </c>
      <c r="DK985" s="1" t="s">
        <v>3941</v>
      </c>
      <c r="DL985" s="1" t="s">
        <v>224</v>
      </c>
      <c r="DM985" s="1" t="s">
        <v>229</v>
      </c>
      <c r="DN985" s="1" t="s">
        <v>439</v>
      </c>
      <c r="DO985" s="1" t="s">
        <v>11050</v>
      </c>
      <c r="DP985" s="1" t="s">
        <v>340</v>
      </c>
      <c r="DQ985" s="1" t="s">
        <v>228</v>
      </c>
      <c r="DR985" s="1" t="s">
        <v>1487</v>
      </c>
      <c r="DS985" s="1" t="s">
        <v>368</v>
      </c>
      <c r="DU985" s="1" t="s">
        <v>2959</v>
      </c>
      <c r="DV985" s="1" t="s">
        <v>11051</v>
      </c>
      <c r="DW985" s="1" t="s">
        <v>964</v>
      </c>
      <c r="DX985" s="1" t="s">
        <v>234</v>
      </c>
      <c r="DY985" s="1" t="s">
        <v>11052</v>
      </c>
      <c r="EB985" s="1" t="s">
        <v>492</v>
      </c>
      <c r="EC985" s="1" t="s">
        <v>237</v>
      </c>
      <c r="ED985" s="1" t="s">
        <v>10039</v>
      </c>
      <c r="EE985" s="1" t="s">
        <v>493</v>
      </c>
      <c r="EG985" s="1" t="s">
        <v>556</v>
      </c>
      <c r="EH985" s="1" t="s">
        <v>598</v>
      </c>
      <c r="EI985" s="1" t="s">
        <v>450</v>
      </c>
      <c r="EJ985" s="1" t="s">
        <v>1432</v>
      </c>
      <c r="EK985" s="1" t="s">
        <v>408</v>
      </c>
      <c r="EL985" s="1" t="s">
        <v>543</v>
      </c>
      <c r="EM985" s="1" t="s">
        <v>206</v>
      </c>
      <c r="EN985" s="1" t="s">
        <v>207</v>
      </c>
      <c r="EO985" s="1" t="s">
        <v>239</v>
      </c>
      <c r="EP985" s="1" t="s">
        <v>215</v>
      </c>
      <c r="EQ985" s="1" t="s">
        <v>206</v>
      </c>
      <c r="ER985" s="1" t="s">
        <v>207</v>
      </c>
      <c r="ES985" s="1" t="s">
        <v>229</v>
      </c>
      <c r="ET985" s="1" t="s">
        <v>262</v>
      </c>
      <c r="EU985" s="1" t="s">
        <v>267</v>
      </c>
      <c r="EV985" s="1" t="s">
        <v>268</v>
      </c>
      <c r="EX985" s="1" t="s">
        <v>955</v>
      </c>
      <c r="EY985" s="1" t="s">
        <v>267</v>
      </c>
      <c r="EZ985" s="1" t="s">
        <v>210</v>
      </c>
      <c r="FA985" s="1" t="s">
        <v>239</v>
      </c>
      <c r="FB985" s="1" t="s">
        <v>433</v>
      </c>
      <c r="FC985" s="1" t="s">
        <v>206</v>
      </c>
      <c r="FD985" s="1" t="s">
        <v>207</v>
      </c>
      <c r="FF985" s="1" t="s">
        <v>239</v>
      </c>
      <c r="FG985" s="1" t="s">
        <v>192</v>
      </c>
      <c r="FH985" s="1" t="s">
        <v>192</v>
      </c>
      <c r="FJ985" s="1" t="s">
        <v>11053</v>
      </c>
      <c r="FK985" s="1" t="s">
        <v>348</v>
      </c>
      <c r="FL985" s="1" t="s">
        <v>1358</v>
      </c>
      <c r="FM985" s="1">
        <v>23591.0</v>
      </c>
      <c r="FN985" s="1" t="s">
        <v>2134</v>
      </c>
      <c r="FO985" s="1" t="s">
        <v>11054</v>
      </c>
      <c r="FP985" s="1">
        <v>221299.0</v>
      </c>
      <c r="FQ985" s="1" t="s">
        <v>11055</v>
      </c>
      <c r="FS985" s="1" t="s">
        <v>11056</v>
      </c>
      <c r="FU985" s="1" t="s">
        <v>11057</v>
      </c>
      <c r="FV985" s="1" t="s">
        <v>200</v>
      </c>
      <c r="FW985" s="1" t="s">
        <v>290</v>
      </c>
      <c r="FZ985" s="1" t="s">
        <v>229</v>
      </c>
      <c r="GA985" s="1" t="s">
        <v>291</v>
      </c>
      <c r="GB985" s="2">
        <v>42065.0</v>
      </c>
      <c r="GC985" s="1" t="s">
        <v>11058</v>
      </c>
    </row>
    <row r="986">
      <c r="A986" s="1">
        <v>470000.0</v>
      </c>
      <c r="B986" s="1" t="s">
        <v>185</v>
      </c>
      <c r="C986" s="1" t="str">
        <f>"08642811"</f>
        <v>08642811</v>
      </c>
      <c r="D986" s="1" t="s">
        <v>186</v>
      </c>
      <c r="F986" s="1" t="str">
        <f t="shared" si="649"/>
        <v>174</v>
      </c>
      <c r="G986" s="2">
        <v>41802.0</v>
      </c>
      <c r="H986" s="1">
        <v>499000.0</v>
      </c>
      <c r="I986" s="1">
        <v>260.0</v>
      </c>
      <c r="J986" s="1">
        <v>499000.0</v>
      </c>
      <c r="K986" s="2">
        <v>42061.0</v>
      </c>
      <c r="L986" s="1">
        <v>260.0</v>
      </c>
      <c r="M986" s="2">
        <v>42061.0</v>
      </c>
      <c r="N986" s="1" t="s">
        <v>249</v>
      </c>
      <c r="O986" s="2">
        <v>42089.0</v>
      </c>
      <c r="P986" s="1">
        <v>253931.0</v>
      </c>
      <c r="Q986" s="1">
        <v>25163.0</v>
      </c>
      <c r="S986" s="1" t="s">
        <v>11059</v>
      </c>
      <c r="T986" s="1" t="s">
        <v>11060</v>
      </c>
      <c r="U986" s="1" t="s">
        <v>420</v>
      </c>
      <c r="V986" s="1" t="s">
        <v>1200</v>
      </c>
      <c r="W986" s="1">
        <v>60174.0</v>
      </c>
      <c r="Y986" s="1" t="s">
        <v>11061</v>
      </c>
      <c r="Z986" s="1">
        <v>1997.0</v>
      </c>
      <c r="AA986" s="1" t="s">
        <v>200</v>
      </c>
      <c r="AB986" s="1" t="s">
        <v>193</v>
      </c>
      <c r="AD986" s="1" t="s">
        <v>1203</v>
      </c>
      <c r="AE986" s="1" t="s">
        <v>325</v>
      </c>
      <c r="AF986" s="1" t="s">
        <v>1203</v>
      </c>
      <c r="AG986" s="1" t="s">
        <v>752</v>
      </c>
      <c r="AH986" s="1" t="s">
        <v>11062</v>
      </c>
      <c r="AI986" s="1">
        <v>1.26</v>
      </c>
      <c r="AK986" s="1">
        <v>14.0</v>
      </c>
      <c r="AL986" s="1">
        <v>4.0</v>
      </c>
      <c r="AM986" s="1">
        <v>3.0</v>
      </c>
      <c r="AN986" s="1">
        <v>2.0</v>
      </c>
      <c r="AO986" s="1" t="s">
        <v>198</v>
      </c>
      <c r="AP986" s="1">
        <v>2.0</v>
      </c>
      <c r="AQ986" s="1" t="s">
        <v>327</v>
      </c>
      <c r="AR986" s="1" t="s">
        <v>192</v>
      </c>
      <c r="AS986" s="1" t="s">
        <v>199</v>
      </c>
      <c r="AT986" s="1">
        <v>3.0</v>
      </c>
      <c r="AV986" s="1" t="s">
        <v>200</v>
      </c>
      <c r="AW986" s="1">
        <v>8258.4</v>
      </c>
      <c r="AX986" s="1">
        <v>2013.0</v>
      </c>
      <c r="AY986" s="1" t="s">
        <v>387</v>
      </c>
      <c r="AZ986" s="1" t="s">
        <v>200</v>
      </c>
      <c r="BA986" s="1" t="str">
        <f>"0911131002"</f>
        <v>0911131002</v>
      </c>
      <c r="BC986" s="1">
        <v>2785.0</v>
      </c>
      <c r="BD986" s="1">
        <v>470000.0</v>
      </c>
      <c r="BE986" s="2">
        <v>41802.0</v>
      </c>
      <c r="BF986" s="2" t="s">
        <v>11063</v>
      </c>
      <c r="BG986" s="1" t="s">
        <v>11064</v>
      </c>
      <c r="BH986" s="1">
        <v>0.0</v>
      </c>
      <c r="BI986" s="1" t="s">
        <v>2143</v>
      </c>
      <c r="BJ986" s="1" t="s">
        <v>2144</v>
      </c>
      <c r="BK986" s="1" t="s">
        <v>204</v>
      </c>
      <c r="BL986" s="1" t="str">
        <f>"40"</f>
        <v>40</v>
      </c>
      <c r="BM986" s="1" t="str">
        <f>"8"</f>
        <v>8</v>
      </c>
      <c r="BQ986" s="1">
        <v>303.0</v>
      </c>
      <c r="BR986" s="1">
        <v>303.0</v>
      </c>
      <c r="BS986" s="1">
        <v>303.0</v>
      </c>
      <c r="BV986" s="1" t="s">
        <v>204</v>
      </c>
      <c r="BY986" s="1" t="s">
        <v>214</v>
      </c>
      <c r="BZ986" s="1" t="s">
        <v>206</v>
      </c>
      <c r="CA986" s="1" t="s">
        <v>210</v>
      </c>
      <c r="CB986" s="1" t="s">
        <v>11065</v>
      </c>
      <c r="CC986" s="1" t="s">
        <v>215</v>
      </c>
      <c r="CD986" s="1" t="s">
        <v>206</v>
      </c>
      <c r="CE986" s="1" t="s">
        <v>207</v>
      </c>
      <c r="CG986" s="1" t="s">
        <v>361</v>
      </c>
      <c r="CH986" s="1" t="s">
        <v>209</v>
      </c>
      <c r="CI986" s="1" t="s">
        <v>210</v>
      </c>
      <c r="CJ986" s="1" t="s">
        <v>431</v>
      </c>
      <c r="CK986" s="1" t="s">
        <v>211</v>
      </c>
      <c r="CL986" s="1" t="s">
        <v>209</v>
      </c>
      <c r="CM986" s="1" t="s">
        <v>210</v>
      </c>
      <c r="CN986" s="1" t="s">
        <v>261</v>
      </c>
      <c r="CO986" s="1" t="s">
        <v>433</v>
      </c>
      <c r="CP986" s="1" t="s">
        <v>1697</v>
      </c>
      <c r="CQ986" s="1" t="s">
        <v>210</v>
      </c>
      <c r="CR986" s="1" t="s">
        <v>229</v>
      </c>
      <c r="CS986" s="1" t="s">
        <v>729</v>
      </c>
      <c r="CT986" s="1" t="s">
        <v>206</v>
      </c>
      <c r="CU986" s="1" t="s">
        <v>207</v>
      </c>
      <c r="CV986" s="1" t="s">
        <v>229</v>
      </c>
      <c r="CW986" s="1" t="s">
        <v>583</v>
      </c>
      <c r="CX986" s="1" t="s">
        <v>1697</v>
      </c>
      <c r="CY986" s="1" t="s">
        <v>210</v>
      </c>
      <c r="DA986" s="1" t="s">
        <v>200</v>
      </c>
      <c r="DC986" s="1" t="s">
        <v>678</v>
      </c>
      <c r="DD986" s="1" t="s">
        <v>336</v>
      </c>
      <c r="DE986" s="1" t="s">
        <v>273</v>
      </c>
      <c r="DF986" s="1" t="s">
        <v>219</v>
      </c>
      <c r="DG986" s="1" t="s">
        <v>11066</v>
      </c>
      <c r="DH986" s="1" t="s">
        <v>856</v>
      </c>
      <c r="DI986" s="1" t="s">
        <v>703</v>
      </c>
      <c r="DJ986" s="1" t="s">
        <v>857</v>
      </c>
      <c r="DK986" s="1" t="s">
        <v>223</v>
      </c>
      <c r="DL986" s="1" t="s">
        <v>224</v>
      </c>
      <c r="DM986" s="1" t="s">
        <v>338</v>
      </c>
      <c r="DN986" s="1" t="s">
        <v>399</v>
      </c>
      <c r="DO986" s="1" t="s">
        <v>11067</v>
      </c>
      <c r="DP986" s="1" t="s">
        <v>340</v>
      </c>
      <c r="DQ986" s="1" t="s">
        <v>931</v>
      </c>
      <c r="DR986" s="1" t="s">
        <v>229</v>
      </c>
      <c r="DS986" s="1" t="s">
        <v>230</v>
      </c>
      <c r="DU986" s="1" t="s">
        <v>2785</v>
      </c>
      <c r="DV986" s="1" t="s">
        <v>11068</v>
      </c>
      <c r="DW986" s="1" t="s">
        <v>1957</v>
      </c>
      <c r="DX986" s="1" t="s">
        <v>234</v>
      </c>
      <c r="DY986" s="1" t="s">
        <v>2841</v>
      </c>
      <c r="DZ986" s="1" t="s">
        <v>11069</v>
      </c>
      <c r="EB986" s="1" t="s">
        <v>937</v>
      </c>
      <c r="EC986" s="1" t="s">
        <v>237</v>
      </c>
      <c r="ED986" s="1" t="s">
        <v>555</v>
      </c>
      <c r="EE986" s="1" t="s">
        <v>493</v>
      </c>
      <c r="EG986" s="1" t="s">
        <v>556</v>
      </c>
      <c r="EH986" s="1" t="s">
        <v>598</v>
      </c>
      <c r="EI986" s="1" t="s">
        <v>1164</v>
      </c>
      <c r="EJ986" s="1" t="s">
        <v>341</v>
      </c>
      <c r="EK986" s="1" t="s">
        <v>557</v>
      </c>
      <c r="EL986" s="1" t="s">
        <v>205</v>
      </c>
      <c r="EM986" s="1" t="s">
        <v>206</v>
      </c>
      <c r="EN986" s="1" t="s">
        <v>207</v>
      </c>
      <c r="EO986" s="1" t="s">
        <v>229</v>
      </c>
      <c r="EP986" s="1" t="s">
        <v>211</v>
      </c>
      <c r="EQ986" s="1" t="s">
        <v>1697</v>
      </c>
      <c r="ER986" s="1" t="s">
        <v>210</v>
      </c>
      <c r="ET986" s="1" t="s">
        <v>3092</v>
      </c>
      <c r="EU986" s="1" t="s">
        <v>206</v>
      </c>
      <c r="EV986" s="1" t="s">
        <v>207</v>
      </c>
      <c r="EW986" s="1" t="s">
        <v>229</v>
      </c>
      <c r="EX986" s="1" t="s">
        <v>3672</v>
      </c>
      <c r="EY986" s="1" t="s">
        <v>209</v>
      </c>
      <c r="EZ986" s="1" t="s">
        <v>210</v>
      </c>
      <c r="FA986" s="1" t="s">
        <v>229</v>
      </c>
      <c r="FB986" s="1" t="s">
        <v>639</v>
      </c>
      <c r="FC986" s="1" t="s">
        <v>209</v>
      </c>
      <c r="FD986" s="1" t="s">
        <v>210</v>
      </c>
      <c r="FE986" s="1" t="s">
        <v>431</v>
      </c>
      <c r="FF986" s="1" t="s">
        <v>239</v>
      </c>
      <c r="FG986" s="1" t="s">
        <v>200</v>
      </c>
      <c r="FH986" s="1" t="s">
        <v>192</v>
      </c>
      <c r="FJ986" s="1" t="s">
        <v>498</v>
      </c>
      <c r="FK986" s="1" t="s">
        <v>229</v>
      </c>
      <c r="FL986" s="1" t="s">
        <v>1358</v>
      </c>
      <c r="FM986" s="1">
        <v>23591.0</v>
      </c>
      <c r="FN986" s="1" t="s">
        <v>2134</v>
      </c>
      <c r="FO986" s="1" t="s">
        <v>11070</v>
      </c>
      <c r="FP986" s="1">
        <v>229199.0</v>
      </c>
      <c r="FQ986" s="1" t="s">
        <v>2134</v>
      </c>
      <c r="FU986" s="1" t="s">
        <v>11071</v>
      </c>
      <c r="FV986" s="1" t="s">
        <v>200</v>
      </c>
      <c r="FW986" s="1" t="s">
        <v>290</v>
      </c>
      <c r="FZ986" s="1" t="s">
        <v>229</v>
      </c>
      <c r="GA986" s="1" t="s">
        <v>291</v>
      </c>
      <c r="GB986" s="2">
        <v>42089.0</v>
      </c>
      <c r="GC986" s="1" t="s">
        <v>11072</v>
      </c>
    </row>
    <row r="987">
      <c r="A987" s="1">
        <v>285000.0</v>
      </c>
      <c r="B987" s="1" t="s">
        <v>185</v>
      </c>
      <c r="C987" s="1" t="str">
        <f>"08617320"</f>
        <v>08617320</v>
      </c>
      <c r="D987" s="1" t="s">
        <v>186</v>
      </c>
      <c r="F987" s="1" t="str">
        <f>"118"</f>
        <v>118</v>
      </c>
      <c r="G987" s="2">
        <v>41775.0</v>
      </c>
      <c r="H987" s="1">
        <v>315000.0</v>
      </c>
      <c r="I987" s="1">
        <v>138.0</v>
      </c>
      <c r="J987" s="1">
        <v>299900.0</v>
      </c>
      <c r="K987" s="2">
        <v>41912.0</v>
      </c>
      <c r="L987" s="1">
        <v>138.0</v>
      </c>
      <c r="M987" s="2">
        <v>41912.0</v>
      </c>
      <c r="N987" s="1" t="s">
        <v>187</v>
      </c>
      <c r="O987" s="2">
        <v>41978.0</v>
      </c>
      <c r="P987" s="1">
        <v>88512.0</v>
      </c>
      <c r="Q987" s="1">
        <v>8296.0</v>
      </c>
      <c r="R987" s="1">
        <v>500.0</v>
      </c>
      <c r="S987" s="1">
        <v>937.0</v>
      </c>
      <c r="T987" s="1" t="s">
        <v>11073</v>
      </c>
      <c r="U987" s="1" t="s">
        <v>569</v>
      </c>
      <c r="V987" s="1" t="s">
        <v>3438</v>
      </c>
      <c r="W987" s="1">
        <v>60118.0</v>
      </c>
      <c r="Y987" s="1" t="s">
        <v>11074</v>
      </c>
      <c r="Z987" s="1">
        <v>1989.0</v>
      </c>
      <c r="AA987" s="1" t="s">
        <v>200</v>
      </c>
      <c r="AB987" s="1" t="s">
        <v>467</v>
      </c>
      <c r="AD987" s="1" t="s">
        <v>3440</v>
      </c>
      <c r="AE987" s="1" t="s">
        <v>325</v>
      </c>
      <c r="AF987" s="1" t="s">
        <v>810</v>
      </c>
      <c r="AH987" s="1" t="s">
        <v>11075</v>
      </c>
      <c r="AI987" s="1">
        <v>0.6946</v>
      </c>
      <c r="AK987" s="1">
        <v>9.0</v>
      </c>
      <c r="AL987" s="1">
        <v>4.0</v>
      </c>
      <c r="AM987" s="1">
        <v>2.0</v>
      </c>
      <c r="AN987" s="1">
        <v>1.0</v>
      </c>
      <c r="AO987" s="1" t="s">
        <v>198</v>
      </c>
      <c r="AP987" s="1">
        <v>1.0</v>
      </c>
      <c r="AQ987" s="1" t="s">
        <v>198</v>
      </c>
      <c r="AR987" s="1" t="s">
        <v>200</v>
      </c>
      <c r="AS987" s="1" t="s">
        <v>199</v>
      </c>
      <c r="AT987" s="1">
        <v>2.0</v>
      </c>
      <c r="AV987" s="1" t="s">
        <v>200</v>
      </c>
      <c r="AW987" s="1">
        <v>7548.72</v>
      </c>
      <c r="AX987" s="1">
        <v>2012.0</v>
      </c>
      <c r="AY987" s="1" t="s">
        <v>387</v>
      </c>
      <c r="AZ987" s="1" t="s">
        <v>200</v>
      </c>
      <c r="BA987" s="1" t="str">
        <f>"0328321010"</f>
        <v>0328321010</v>
      </c>
      <c r="BC987" s="1">
        <v>2495.0</v>
      </c>
      <c r="BD987" s="1">
        <v>285000.0</v>
      </c>
      <c r="BE987" s="2">
        <v>41775.0</v>
      </c>
      <c r="BF987" s="2" t="s">
        <v>11076</v>
      </c>
      <c r="BG987" s="1" t="s">
        <v>1092</v>
      </c>
      <c r="BH987" s="1">
        <v>0.0</v>
      </c>
      <c r="BI987" s="1" t="s">
        <v>1093</v>
      </c>
      <c r="BJ987" s="1" t="s">
        <v>1094</v>
      </c>
      <c r="BK987" s="1" t="s">
        <v>204</v>
      </c>
      <c r="BL987" s="1" t="str">
        <f t="shared" ref="BL987:BM987" si="650">""</f>
        <v/>
      </c>
      <c r="BM987" s="1" t="str">
        <f t="shared" si="650"/>
        <v/>
      </c>
      <c r="BQ987" s="1">
        <v>300.0</v>
      </c>
      <c r="BR987" s="1">
        <v>300.0</v>
      </c>
      <c r="BS987" s="1">
        <v>300.0</v>
      </c>
      <c r="BU987" s="1" t="s">
        <v>205</v>
      </c>
      <c r="BV987" s="1" t="s">
        <v>206</v>
      </c>
      <c r="BW987" s="1" t="s">
        <v>11077</v>
      </c>
      <c r="BY987" s="1" t="s">
        <v>955</v>
      </c>
      <c r="BZ987" s="1" t="s">
        <v>209</v>
      </c>
      <c r="CA987" s="1" t="s">
        <v>301</v>
      </c>
      <c r="CC987" s="1" t="s">
        <v>212</v>
      </c>
      <c r="CD987" s="1" t="s">
        <v>206</v>
      </c>
      <c r="CE987" s="1" t="s">
        <v>11077</v>
      </c>
      <c r="CG987" s="1" t="s">
        <v>478</v>
      </c>
      <c r="CH987" s="1" t="s">
        <v>209</v>
      </c>
      <c r="CI987" s="1" t="s">
        <v>301</v>
      </c>
      <c r="CK987" s="1" t="s">
        <v>478</v>
      </c>
      <c r="CL987" s="1" t="s">
        <v>209</v>
      </c>
      <c r="CM987" s="1" t="s">
        <v>210</v>
      </c>
      <c r="CO987" s="1" t="s">
        <v>699</v>
      </c>
      <c r="CP987" s="1" t="s">
        <v>209</v>
      </c>
      <c r="CQ987" s="1" t="s">
        <v>210</v>
      </c>
      <c r="CS987" s="1" t="s">
        <v>478</v>
      </c>
      <c r="CT987" s="1" t="s">
        <v>206</v>
      </c>
      <c r="CU987" s="1" t="s">
        <v>11077</v>
      </c>
      <c r="CW987" s="1" t="s">
        <v>830</v>
      </c>
      <c r="CX987" s="1" t="s">
        <v>206</v>
      </c>
      <c r="CY987" s="1" t="s">
        <v>210</v>
      </c>
      <c r="DA987" s="1" t="s">
        <v>200</v>
      </c>
      <c r="DC987" s="1" t="s">
        <v>435</v>
      </c>
      <c r="DD987" s="1" t="s">
        <v>7914</v>
      </c>
      <c r="DE987" s="1" t="s">
        <v>273</v>
      </c>
      <c r="DF987" s="1" t="s">
        <v>219</v>
      </c>
      <c r="DG987" s="1" t="s">
        <v>11078</v>
      </c>
      <c r="DH987" s="1" t="s">
        <v>220</v>
      </c>
      <c r="DI987" s="1" t="s">
        <v>221</v>
      </c>
      <c r="DJ987" s="1" t="s">
        <v>222</v>
      </c>
      <c r="DK987" s="1" t="s">
        <v>223</v>
      </c>
      <c r="DL987" s="1" t="s">
        <v>858</v>
      </c>
      <c r="DM987" s="1" t="s">
        <v>338</v>
      </c>
      <c r="DN987" s="1" t="s">
        <v>548</v>
      </c>
      <c r="DP987" s="1" t="s">
        <v>340</v>
      </c>
      <c r="DQ987" s="1" t="s">
        <v>1557</v>
      </c>
      <c r="DR987" s="1" t="s">
        <v>229</v>
      </c>
      <c r="DS987" s="1" t="s">
        <v>230</v>
      </c>
      <c r="DU987" s="1" t="s">
        <v>11079</v>
      </c>
      <c r="DV987" s="1" t="s">
        <v>598</v>
      </c>
      <c r="DW987" s="1" t="s">
        <v>233</v>
      </c>
      <c r="DX987" s="1" t="s">
        <v>234</v>
      </c>
      <c r="DY987" s="1" t="s">
        <v>4698</v>
      </c>
      <c r="DZ987" s="1" t="s">
        <v>236</v>
      </c>
      <c r="EA987" s="1" t="s">
        <v>344</v>
      </c>
      <c r="EC987" s="1" t="s">
        <v>237</v>
      </c>
      <c r="EG987" s="1" t="s">
        <v>598</v>
      </c>
      <c r="EL987" s="1" t="s">
        <v>363</v>
      </c>
      <c r="EM987" s="1" t="s">
        <v>42</v>
      </c>
      <c r="EN987" s="1" t="s">
        <v>210</v>
      </c>
      <c r="EQ987" s="1" t="s">
        <v>238</v>
      </c>
      <c r="EU987" s="1" t="s">
        <v>238</v>
      </c>
      <c r="EY987" s="1" t="s">
        <v>238</v>
      </c>
      <c r="FC987" s="1" t="s">
        <v>238</v>
      </c>
      <c r="FF987" s="1" t="s">
        <v>239</v>
      </c>
      <c r="FG987" s="1" t="s">
        <v>192</v>
      </c>
      <c r="FH987" s="1" t="s">
        <v>192</v>
      </c>
      <c r="FJ987" s="1" t="s">
        <v>11080</v>
      </c>
      <c r="FK987" s="1" t="s">
        <v>229</v>
      </c>
      <c r="FL987" s="1" t="s">
        <v>241</v>
      </c>
      <c r="FM987" s="1">
        <v>15358.0</v>
      </c>
      <c r="FN987" s="1" t="s">
        <v>242</v>
      </c>
      <c r="FO987" s="1" t="s">
        <v>243</v>
      </c>
      <c r="FP987" s="1">
        <v>114479.0</v>
      </c>
      <c r="FQ987" s="1" t="s">
        <v>242</v>
      </c>
      <c r="FU987" s="1" t="s">
        <v>11081</v>
      </c>
      <c r="FV987" s="1" t="s">
        <v>200</v>
      </c>
      <c r="FW987" s="1" t="s">
        <v>11082</v>
      </c>
      <c r="FZ987" s="1" t="s">
        <v>229</v>
      </c>
      <c r="GA987" s="1" t="s">
        <v>247</v>
      </c>
      <c r="GB987" s="2">
        <v>41978.0</v>
      </c>
      <c r="GC987" s="1" t="s">
        <v>11083</v>
      </c>
    </row>
    <row r="988">
      <c r="A988" s="1">
        <v>850000.0</v>
      </c>
      <c r="B988" s="1" t="s">
        <v>185</v>
      </c>
      <c r="C988" s="1" t="str">
        <f>"08619575"</f>
        <v>08619575</v>
      </c>
      <c r="D988" s="1" t="s">
        <v>186</v>
      </c>
      <c r="F988" s="1" t="str">
        <f>"510"</f>
        <v>510</v>
      </c>
      <c r="G988" s="2">
        <v>41778.0</v>
      </c>
      <c r="H988" s="1">
        <v>875000.0</v>
      </c>
      <c r="I988" s="1">
        <v>589.0</v>
      </c>
      <c r="J988" s="1">
        <v>875000.0</v>
      </c>
      <c r="K988" s="2">
        <v>42089.0</v>
      </c>
      <c r="L988" s="1">
        <v>312.0</v>
      </c>
      <c r="M988" s="2">
        <v>42089.0</v>
      </c>
      <c r="N988" s="1" t="s">
        <v>187</v>
      </c>
      <c r="O988" s="2">
        <v>42146.0</v>
      </c>
      <c r="P988" s="1">
        <v>1850.0</v>
      </c>
      <c r="Q988" s="1">
        <v>973.0</v>
      </c>
      <c r="S988" s="1">
        <v>2752.0</v>
      </c>
      <c r="T988" s="1" t="s">
        <v>11084</v>
      </c>
      <c r="U988" s="1" t="s">
        <v>1174</v>
      </c>
      <c r="V988" s="1" t="s">
        <v>2700</v>
      </c>
      <c r="W988" s="1">
        <v>60510.0</v>
      </c>
      <c r="Y988" s="1" t="s">
        <v>11085</v>
      </c>
      <c r="Z988" s="1">
        <v>2006.0</v>
      </c>
      <c r="AA988" s="1" t="s">
        <v>200</v>
      </c>
      <c r="AB988" s="1" t="s">
        <v>467</v>
      </c>
      <c r="AC988" s="1" t="s">
        <v>3086</v>
      </c>
      <c r="AD988" s="1" t="s">
        <v>2702</v>
      </c>
      <c r="AE988" s="1" t="s">
        <v>325</v>
      </c>
      <c r="AF988" s="1" t="s">
        <v>2702</v>
      </c>
      <c r="AG988" s="1" t="s">
        <v>752</v>
      </c>
      <c r="AH988" s="1" t="s">
        <v>11086</v>
      </c>
      <c r="AI988" s="1">
        <v>0.64</v>
      </c>
      <c r="AK988" s="1">
        <v>12.0</v>
      </c>
      <c r="AL988" s="1">
        <v>4.0</v>
      </c>
      <c r="AM988" s="1">
        <v>5.0</v>
      </c>
      <c r="AN988" s="1">
        <v>0.0</v>
      </c>
      <c r="AO988" s="1" t="s">
        <v>198</v>
      </c>
      <c r="AP988" s="1">
        <v>2.0</v>
      </c>
      <c r="AQ988" s="1" t="s">
        <v>327</v>
      </c>
      <c r="AR988" s="1" t="s">
        <v>200</v>
      </c>
      <c r="AS988" s="1" t="s">
        <v>199</v>
      </c>
      <c r="AT988" s="1">
        <v>3.5</v>
      </c>
      <c r="AV988" s="1" t="s">
        <v>200</v>
      </c>
      <c r="AW988" s="1">
        <v>25697.22</v>
      </c>
      <c r="AX988" s="1">
        <v>2013.0</v>
      </c>
      <c r="AY988" s="1" t="s">
        <v>387</v>
      </c>
      <c r="AZ988" s="1" t="s">
        <v>200</v>
      </c>
      <c r="BA988" s="1" t="str">
        <f>"1229102015"</f>
        <v>1229102015</v>
      </c>
      <c r="BB988" s="1" t="s">
        <v>200</v>
      </c>
      <c r="BC988" s="1">
        <v>5552.0</v>
      </c>
      <c r="BD988" s="1">
        <v>850000.0</v>
      </c>
      <c r="BE988" s="2">
        <v>41778.0</v>
      </c>
      <c r="BF988" s="2" t="s">
        <v>11087</v>
      </c>
      <c r="BG988" s="1" t="s">
        <v>3089</v>
      </c>
      <c r="BH988" s="1">
        <v>375.0</v>
      </c>
      <c r="BI988" s="1" t="s">
        <v>3090</v>
      </c>
      <c r="BJ988" s="1" t="s">
        <v>3091</v>
      </c>
      <c r="BK988" s="1" t="s">
        <v>1952</v>
      </c>
      <c r="BL988" s="1" t="str">
        <f t="shared" ref="BL988:BM988" si="651">"0"</f>
        <v>0</v>
      </c>
      <c r="BM988" s="1" t="str">
        <f t="shared" si="651"/>
        <v>0</v>
      </c>
      <c r="BN988" s="1">
        <v>37.0</v>
      </c>
      <c r="BO988" s="1">
        <v>2.0</v>
      </c>
      <c r="BQ988" s="1">
        <v>101.0</v>
      </c>
      <c r="BR988" s="1">
        <v>101.0</v>
      </c>
      <c r="BS988" s="1">
        <v>101.0</v>
      </c>
      <c r="BU988" s="1" t="s">
        <v>215</v>
      </c>
      <c r="BV988" s="1" t="s">
        <v>206</v>
      </c>
      <c r="BW988" s="1" t="s">
        <v>210</v>
      </c>
      <c r="BX988" s="1" t="s">
        <v>229</v>
      </c>
      <c r="BY988" s="1" t="s">
        <v>1534</v>
      </c>
      <c r="BZ988" s="1" t="s">
        <v>206</v>
      </c>
      <c r="CA988" s="1" t="s">
        <v>210</v>
      </c>
      <c r="CB988" s="1" t="s">
        <v>431</v>
      </c>
      <c r="CC988" s="1" t="s">
        <v>924</v>
      </c>
      <c r="CD988" s="1" t="s">
        <v>206</v>
      </c>
      <c r="CE988" s="1" t="s">
        <v>207</v>
      </c>
      <c r="CF988" s="1" t="s">
        <v>229</v>
      </c>
      <c r="CG988" s="1" t="s">
        <v>213</v>
      </c>
      <c r="CH988" s="1" t="s">
        <v>209</v>
      </c>
      <c r="CI988" s="1" t="s">
        <v>210</v>
      </c>
      <c r="CJ988" s="1" t="s">
        <v>431</v>
      </c>
      <c r="CK988" s="1" t="s">
        <v>433</v>
      </c>
      <c r="CL988" s="1" t="s">
        <v>209</v>
      </c>
      <c r="CM988" s="1" t="s">
        <v>210</v>
      </c>
      <c r="CN988" s="1" t="s">
        <v>431</v>
      </c>
      <c r="CO988" s="1" t="s">
        <v>362</v>
      </c>
      <c r="CP988" s="1" t="s">
        <v>209</v>
      </c>
      <c r="CQ988" s="1" t="s">
        <v>210</v>
      </c>
      <c r="CR988" s="1" t="s">
        <v>431</v>
      </c>
      <c r="CS988" s="1" t="s">
        <v>1825</v>
      </c>
      <c r="CT988" s="1" t="s">
        <v>206</v>
      </c>
      <c r="CU988" s="1" t="s">
        <v>207</v>
      </c>
      <c r="CV988" s="1" t="s">
        <v>229</v>
      </c>
      <c r="CW988" s="1" t="s">
        <v>346</v>
      </c>
      <c r="CX988" s="1" t="s">
        <v>206</v>
      </c>
      <c r="CY988" s="1" t="s">
        <v>210</v>
      </c>
      <c r="CZ988" s="1" t="s">
        <v>431</v>
      </c>
      <c r="DA988" s="1" t="s">
        <v>200</v>
      </c>
      <c r="DC988" s="1" t="s">
        <v>481</v>
      </c>
      <c r="DD988" s="1" t="s">
        <v>9282</v>
      </c>
      <c r="DE988" s="1" t="s">
        <v>1810</v>
      </c>
      <c r="DF988" s="1" t="s">
        <v>219</v>
      </c>
      <c r="DG988" s="1" t="s">
        <v>6030</v>
      </c>
      <c r="DH988" s="1" t="s">
        <v>220</v>
      </c>
      <c r="DI988" s="1" t="s">
        <v>11088</v>
      </c>
      <c r="DJ988" s="1" t="s">
        <v>222</v>
      </c>
      <c r="DK988" s="1" t="s">
        <v>223</v>
      </c>
      <c r="DL988" s="1" t="s">
        <v>11089</v>
      </c>
      <c r="DM988" s="1" t="s">
        <v>338</v>
      </c>
      <c r="DN988" s="1" t="s">
        <v>6974</v>
      </c>
      <c r="DO988" s="1" t="s">
        <v>1556</v>
      </c>
      <c r="DP988" s="1" t="s">
        <v>340</v>
      </c>
      <c r="DQ988" s="1" t="s">
        <v>1557</v>
      </c>
      <c r="DR988" s="1" t="s">
        <v>2593</v>
      </c>
      <c r="DS988" s="1" t="s">
        <v>368</v>
      </c>
      <c r="DU988" s="1" t="s">
        <v>11090</v>
      </c>
      <c r="DV988" s="1" t="s">
        <v>11091</v>
      </c>
      <c r="DW988" s="1" t="s">
        <v>764</v>
      </c>
      <c r="DX988" s="1" t="s">
        <v>234</v>
      </c>
      <c r="DY988" s="1" t="s">
        <v>10572</v>
      </c>
      <c r="DZ988" s="1" t="s">
        <v>7194</v>
      </c>
      <c r="EA988" s="1" t="s">
        <v>344</v>
      </c>
      <c r="EB988" s="1" t="s">
        <v>372</v>
      </c>
      <c r="EC988" s="1" t="s">
        <v>406</v>
      </c>
      <c r="ED988" s="1" t="s">
        <v>1406</v>
      </c>
      <c r="EE988" s="1" t="s">
        <v>493</v>
      </c>
      <c r="EG988" s="1" t="s">
        <v>449</v>
      </c>
      <c r="EH988" s="1" t="s">
        <v>341</v>
      </c>
      <c r="EI988" s="1" t="s">
        <v>557</v>
      </c>
      <c r="EJ988" s="1" t="s">
        <v>1121</v>
      </c>
      <c r="EK988" s="1" t="s">
        <v>408</v>
      </c>
      <c r="EL988" s="1" t="s">
        <v>331</v>
      </c>
      <c r="EM988" s="1" t="s">
        <v>206</v>
      </c>
      <c r="EN988" s="1" t="s">
        <v>207</v>
      </c>
      <c r="EO988" s="1" t="s">
        <v>229</v>
      </c>
      <c r="EP988" s="1" t="s">
        <v>11092</v>
      </c>
      <c r="EQ988" s="1" t="s">
        <v>209</v>
      </c>
      <c r="ER988" s="1" t="s">
        <v>210</v>
      </c>
      <c r="ES988" s="1" t="s">
        <v>229</v>
      </c>
      <c r="ET988" s="1" t="s">
        <v>1206</v>
      </c>
      <c r="EU988" s="1" t="s">
        <v>209</v>
      </c>
      <c r="EV988" s="1" t="s">
        <v>588</v>
      </c>
      <c r="EW988" s="1" t="s">
        <v>229</v>
      </c>
      <c r="EX988" s="1" t="s">
        <v>269</v>
      </c>
      <c r="EY988" s="1" t="s">
        <v>206</v>
      </c>
      <c r="EZ988" s="1" t="s">
        <v>210</v>
      </c>
      <c r="FA988" s="1" t="s">
        <v>431</v>
      </c>
      <c r="FB988" s="1" t="s">
        <v>392</v>
      </c>
      <c r="FC988" s="1" t="s">
        <v>206</v>
      </c>
      <c r="FD988" s="1" t="s">
        <v>207</v>
      </c>
      <c r="FE988" s="1" t="s">
        <v>229</v>
      </c>
      <c r="FF988" s="1" t="s">
        <v>239</v>
      </c>
      <c r="FG988" s="1" t="s">
        <v>192</v>
      </c>
      <c r="FH988" s="1" t="s">
        <v>192</v>
      </c>
      <c r="FJ988" s="1" t="s">
        <v>1469</v>
      </c>
      <c r="FK988" s="1" t="s">
        <v>229</v>
      </c>
      <c r="FL988" s="1" t="s">
        <v>456</v>
      </c>
      <c r="FM988" s="1">
        <v>49.0</v>
      </c>
      <c r="FN988" s="1" t="s">
        <v>457</v>
      </c>
      <c r="FO988" s="1" t="s">
        <v>7855</v>
      </c>
      <c r="FP988" s="1">
        <v>720.0</v>
      </c>
      <c r="FQ988" s="1" t="s">
        <v>7856</v>
      </c>
      <c r="FS988" s="1" t="s">
        <v>7857</v>
      </c>
      <c r="FU988" s="1" t="s">
        <v>11093</v>
      </c>
      <c r="FV988" s="1" t="s">
        <v>200</v>
      </c>
      <c r="FW988" s="1" t="s">
        <v>1293</v>
      </c>
      <c r="FZ988" s="1" t="s">
        <v>229</v>
      </c>
      <c r="GA988" s="1" t="s">
        <v>291</v>
      </c>
      <c r="GB988" s="2">
        <v>42146.0</v>
      </c>
      <c r="GC988" s="1" t="s">
        <v>11094</v>
      </c>
    </row>
    <row r="989">
      <c r="A989" s="1">
        <v>165000.0</v>
      </c>
      <c r="B989" s="1" t="s">
        <v>185</v>
      </c>
      <c r="C989" s="1" t="str">
        <f>"08610838"</f>
        <v>08610838</v>
      </c>
      <c r="D989" s="1" t="s">
        <v>186</v>
      </c>
      <c r="F989" s="1" t="str">
        <f>"8015"</f>
        <v>8015</v>
      </c>
      <c r="G989" s="2">
        <v>41768.0</v>
      </c>
      <c r="H989" s="1">
        <v>239900.0</v>
      </c>
      <c r="I989" s="1">
        <v>334.0</v>
      </c>
      <c r="J989" s="1">
        <v>184900.0</v>
      </c>
      <c r="K989" s="2">
        <v>42101.0</v>
      </c>
      <c r="L989" s="1">
        <v>334.0</v>
      </c>
      <c r="M989" s="2">
        <v>42101.0</v>
      </c>
      <c r="N989" s="1" t="s">
        <v>249</v>
      </c>
      <c r="O989" s="2">
        <v>42122.0</v>
      </c>
      <c r="P989" s="1">
        <v>101500.0</v>
      </c>
      <c r="Q989" s="1">
        <v>10274.0</v>
      </c>
      <c r="S989" s="1">
        <v>4822.0</v>
      </c>
      <c r="T989" s="1" t="s">
        <v>2724</v>
      </c>
      <c r="U989" s="1" t="s">
        <v>189</v>
      </c>
      <c r="V989" s="1" t="s">
        <v>190</v>
      </c>
      <c r="W989" s="1">
        <v>60641.0</v>
      </c>
      <c r="Y989" s="1" t="s">
        <v>11095</v>
      </c>
      <c r="Z989" s="1">
        <v>1906.0</v>
      </c>
      <c r="AA989" s="1" t="s">
        <v>192</v>
      </c>
      <c r="AB989" s="1" t="s">
        <v>193</v>
      </c>
      <c r="AD989" s="1" t="s">
        <v>194</v>
      </c>
      <c r="AE989" s="1" t="s">
        <v>195</v>
      </c>
      <c r="AF989" s="1" t="s">
        <v>196</v>
      </c>
      <c r="AH989" s="1" t="s">
        <v>359</v>
      </c>
      <c r="AI989" s="1">
        <v>0.0746</v>
      </c>
      <c r="AK989" s="1">
        <v>8.0</v>
      </c>
      <c r="AL989" s="1">
        <v>4.0</v>
      </c>
      <c r="AM989" s="1">
        <v>1.0</v>
      </c>
      <c r="AN989" s="1">
        <v>0.0</v>
      </c>
      <c r="AO989" s="1" t="s">
        <v>229</v>
      </c>
      <c r="AQ989" s="1" t="s">
        <v>198</v>
      </c>
      <c r="AR989" s="1" t="s">
        <v>200</v>
      </c>
      <c r="AS989" s="1" t="s">
        <v>199</v>
      </c>
      <c r="AT989" s="1">
        <v>2.0</v>
      </c>
      <c r="AV989" s="1" t="s">
        <v>200</v>
      </c>
      <c r="AW989" s="1">
        <v>3097.5</v>
      </c>
      <c r="AX989" s="1">
        <v>2013.0</v>
      </c>
      <c r="AZ989" s="1" t="s">
        <v>200</v>
      </c>
      <c r="BA989" s="1" t="str">
        <f>"13164030260000"</f>
        <v>13164030260000</v>
      </c>
      <c r="BC989" s="1">
        <v>882.0</v>
      </c>
      <c r="BD989" s="1">
        <v>165000.0</v>
      </c>
      <c r="BE989" s="2">
        <v>41768.0</v>
      </c>
      <c r="BF989" s="1" t="s">
        <v>11096</v>
      </c>
      <c r="BH989" s="1">
        <v>0.0</v>
      </c>
      <c r="BK989" s="1" t="s">
        <v>204</v>
      </c>
      <c r="BL989" s="1" t="str">
        <f>"4400"</f>
        <v>4400</v>
      </c>
      <c r="BM989" s="1" t="str">
        <f>"0"</f>
        <v>0</v>
      </c>
      <c r="BN989" s="1">
        <v>4800.0</v>
      </c>
      <c r="BO989" s="1">
        <v>0.0</v>
      </c>
      <c r="BQ989" s="1">
        <v>299.0</v>
      </c>
      <c r="BR989" s="1">
        <v>299.0</v>
      </c>
      <c r="BS989" s="1">
        <v>299.0</v>
      </c>
      <c r="BU989" s="1" t="s">
        <v>269</v>
      </c>
      <c r="BV989" s="1" t="s">
        <v>206</v>
      </c>
      <c r="BW989" s="1" t="s">
        <v>207</v>
      </c>
      <c r="BY989" s="1" t="s">
        <v>3182</v>
      </c>
      <c r="BZ989" s="1" t="s">
        <v>206</v>
      </c>
      <c r="CA989" s="1" t="s">
        <v>207</v>
      </c>
      <c r="CC989" s="1" t="s">
        <v>269</v>
      </c>
      <c r="CD989" s="1" t="s">
        <v>206</v>
      </c>
      <c r="CE989" s="1" t="s">
        <v>207</v>
      </c>
      <c r="CG989" s="1" t="s">
        <v>3182</v>
      </c>
      <c r="CH989" s="1" t="s">
        <v>206</v>
      </c>
      <c r="CI989" s="1" t="s">
        <v>207</v>
      </c>
      <c r="CK989" s="1" t="s">
        <v>3594</v>
      </c>
      <c r="CL989" s="1" t="s">
        <v>209</v>
      </c>
      <c r="CM989" s="1" t="s">
        <v>617</v>
      </c>
      <c r="CO989" s="1" t="s">
        <v>3594</v>
      </c>
      <c r="CP989" s="1" t="s">
        <v>209</v>
      </c>
      <c r="CQ989" s="1" t="s">
        <v>617</v>
      </c>
      <c r="CS989" s="1" t="s">
        <v>269</v>
      </c>
      <c r="CT989" s="1" t="s">
        <v>206</v>
      </c>
      <c r="CU989" s="1" t="s">
        <v>617</v>
      </c>
      <c r="CX989" s="1" t="s">
        <v>204</v>
      </c>
      <c r="DA989" s="1" t="s">
        <v>200</v>
      </c>
      <c r="DC989" s="1" t="s">
        <v>642</v>
      </c>
      <c r="DE989" s="1" t="s">
        <v>1300</v>
      </c>
      <c r="DF989" s="1" t="s">
        <v>619</v>
      </c>
      <c r="DH989" s="1" t="s">
        <v>365</v>
      </c>
      <c r="DJ989" s="1" t="s">
        <v>222</v>
      </c>
      <c r="DL989" s="1" t="s">
        <v>223</v>
      </c>
      <c r="DM989" s="1" t="s">
        <v>229</v>
      </c>
      <c r="DQ989" s="1" t="s">
        <v>228</v>
      </c>
      <c r="DR989" s="1" t="s">
        <v>229</v>
      </c>
      <c r="DV989" s="1" t="s">
        <v>449</v>
      </c>
      <c r="DW989" s="1" t="s">
        <v>370</v>
      </c>
      <c r="DX989" s="1" t="s">
        <v>234</v>
      </c>
      <c r="EC989" s="1" t="s">
        <v>645</v>
      </c>
      <c r="EG989" s="1" t="s">
        <v>449</v>
      </c>
      <c r="EL989" s="1" t="s">
        <v>1418</v>
      </c>
      <c r="EM989" s="1" t="s">
        <v>206</v>
      </c>
      <c r="EN989" s="1" t="s">
        <v>207</v>
      </c>
      <c r="EQ989" s="1" t="s">
        <v>238</v>
      </c>
      <c r="EU989" s="1" t="s">
        <v>238</v>
      </c>
      <c r="EY989" s="1" t="s">
        <v>238</v>
      </c>
      <c r="FC989" s="1" t="s">
        <v>238</v>
      </c>
      <c r="FF989" s="1" t="s">
        <v>239</v>
      </c>
      <c r="FG989" s="1" t="s">
        <v>192</v>
      </c>
      <c r="FH989" s="1" t="s">
        <v>192</v>
      </c>
      <c r="FJ989" s="1" t="s">
        <v>2406</v>
      </c>
      <c r="FK989" s="1" t="s">
        <v>557</v>
      </c>
      <c r="FL989" s="1" t="s">
        <v>11097</v>
      </c>
      <c r="FM989" s="1">
        <v>18102.0</v>
      </c>
      <c r="FN989" s="1" t="s">
        <v>11098</v>
      </c>
      <c r="FO989" s="1" t="s">
        <v>11099</v>
      </c>
      <c r="FP989" s="1">
        <v>164825.0</v>
      </c>
      <c r="FU989" s="1" t="s">
        <v>11100</v>
      </c>
      <c r="FV989" s="1" t="s">
        <v>200</v>
      </c>
      <c r="FW989" s="1" t="s">
        <v>11101</v>
      </c>
      <c r="FX989" s="1" t="s">
        <v>246</v>
      </c>
      <c r="FZ989" s="1" t="s">
        <v>229</v>
      </c>
      <c r="GA989" s="1" t="s">
        <v>247</v>
      </c>
      <c r="GB989" s="2">
        <v>42122.0</v>
      </c>
      <c r="GC989" s="1" t="s">
        <v>11102</v>
      </c>
    </row>
    <row r="990">
      <c r="A990" s="1">
        <v>35000.0</v>
      </c>
      <c r="B990" s="1" t="s">
        <v>185</v>
      </c>
      <c r="C990" s="1" t="str">
        <f>"08610489"</f>
        <v>08610489</v>
      </c>
      <c r="D990" s="1" t="s">
        <v>186</v>
      </c>
      <c r="F990" s="1" t="str">
        <f>"8066"</f>
        <v>8066</v>
      </c>
      <c r="G990" s="2">
        <v>41768.0</v>
      </c>
      <c r="H990" s="1">
        <v>67900.0</v>
      </c>
      <c r="I990" s="1">
        <v>258.0</v>
      </c>
      <c r="J990" s="1">
        <v>67900.0</v>
      </c>
      <c r="K990" s="2">
        <v>42025.0</v>
      </c>
      <c r="L990" s="1">
        <v>258.0</v>
      </c>
      <c r="M990" s="2">
        <v>42025.0</v>
      </c>
      <c r="N990" s="1" t="s">
        <v>249</v>
      </c>
      <c r="O990" s="2">
        <v>42058.0</v>
      </c>
      <c r="P990" s="1">
        <v>840754.0</v>
      </c>
      <c r="Q990" s="1">
        <v>85882.0</v>
      </c>
      <c r="S990" s="1">
        <v>7204.0</v>
      </c>
      <c r="T990" s="1" t="s">
        <v>11103</v>
      </c>
      <c r="U990" s="1" t="s">
        <v>320</v>
      </c>
      <c r="V990" s="1" t="s">
        <v>190</v>
      </c>
      <c r="W990" s="1">
        <v>60629.0</v>
      </c>
      <c r="X990" s="1">
        <v>2030.0</v>
      </c>
      <c r="Y990" s="1" t="s">
        <v>11104</v>
      </c>
      <c r="Z990" s="1">
        <v>1924.0</v>
      </c>
      <c r="AA990" s="1" t="s">
        <v>192</v>
      </c>
      <c r="AB990" s="1" t="s">
        <v>193</v>
      </c>
      <c r="AD990" s="1" t="s">
        <v>194</v>
      </c>
      <c r="AE990" s="1" t="s">
        <v>195</v>
      </c>
      <c r="AF990" s="1" t="s">
        <v>1154</v>
      </c>
      <c r="AG990" s="1" t="s">
        <v>778</v>
      </c>
      <c r="AH990" s="1" t="s">
        <v>1501</v>
      </c>
      <c r="AI990" s="1">
        <v>0.0</v>
      </c>
      <c r="AK990" s="1">
        <v>6.0</v>
      </c>
      <c r="AL990" s="1">
        <v>3.0</v>
      </c>
      <c r="AM990" s="1">
        <v>1.0</v>
      </c>
      <c r="AN990" s="1">
        <v>0.0</v>
      </c>
      <c r="AO990" s="1" t="s">
        <v>229</v>
      </c>
      <c r="AQ990" s="1" t="s">
        <v>198</v>
      </c>
      <c r="AR990" s="1" t="s">
        <v>200</v>
      </c>
      <c r="AS990" s="1" t="s">
        <v>199</v>
      </c>
      <c r="AT990" s="1">
        <v>2.0</v>
      </c>
      <c r="AV990" s="1" t="s">
        <v>200</v>
      </c>
      <c r="AW990" s="1">
        <v>1347.0</v>
      </c>
      <c r="AX990" s="1">
        <v>2012.0</v>
      </c>
      <c r="AY990" s="1" t="s">
        <v>229</v>
      </c>
      <c r="AZ990" s="1" t="s">
        <v>200</v>
      </c>
      <c r="BA990" s="1" t="str">
        <f>"19252110220000"</f>
        <v>19252110220000</v>
      </c>
      <c r="BB990" s="1" t="s">
        <v>200</v>
      </c>
      <c r="BC990" s="1">
        <v>875.0</v>
      </c>
      <c r="BD990" s="1">
        <v>35000.0</v>
      </c>
      <c r="BE990" s="2">
        <v>41768.0</v>
      </c>
      <c r="BF990" s="2" t="s">
        <v>11105</v>
      </c>
      <c r="BH990" s="1">
        <v>0.0</v>
      </c>
      <c r="BK990" s="1" t="s">
        <v>204</v>
      </c>
      <c r="BL990" s="1" t="str">
        <f t="shared" ref="BL990:BM990" si="652">"0"</f>
        <v>0</v>
      </c>
      <c r="BM990" s="1" t="str">
        <f t="shared" si="652"/>
        <v>0</v>
      </c>
      <c r="BN990" s="1">
        <v>2800.0</v>
      </c>
      <c r="BO990" s="1">
        <v>7204.0</v>
      </c>
      <c r="BQ990" s="1">
        <v>299.0</v>
      </c>
      <c r="BR990" s="1">
        <v>299.0</v>
      </c>
      <c r="BS990" s="1">
        <v>299.0</v>
      </c>
      <c r="BU990" s="1" t="s">
        <v>1064</v>
      </c>
      <c r="BV990" s="1" t="s">
        <v>206</v>
      </c>
      <c r="BW990" s="1" t="s">
        <v>210</v>
      </c>
      <c r="BX990" s="1" t="s">
        <v>1549</v>
      </c>
      <c r="BY990" s="1" t="s">
        <v>1517</v>
      </c>
      <c r="BZ990" s="1" t="s">
        <v>209</v>
      </c>
      <c r="CA990" s="1" t="s">
        <v>617</v>
      </c>
      <c r="CD990" s="1" t="s">
        <v>204</v>
      </c>
      <c r="CG990" s="1" t="s">
        <v>699</v>
      </c>
      <c r="CH990" s="1" t="s">
        <v>206</v>
      </c>
      <c r="CI990" s="1" t="s">
        <v>617</v>
      </c>
      <c r="CK990" s="1" t="s">
        <v>663</v>
      </c>
      <c r="CL990" s="1" t="s">
        <v>42</v>
      </c>
      <c r="CM990" s="1" t="s">
        <v>207</v>
      </c>
      <c r="CO990" s="1" t="s">
        <v>1397</v>
      </c>
      <c r="CP990" s="1" t="s">
        <v>209</v>
      </c>
      <c r="CQ990" s="1" t="s">
        <v>617</v>
      </c>
      <c r="CS990" s="1" t="s">
        <v>302</v>
      </c>
      <c r="CT990" s="1" t="s">
        <v>206</v>
      </c>
      <c r="CU990" s="1" t="s">
        <v>617</v>
      </c>
      <c r="CX990" s="1" t="s">
        <v>204</v>
      </c>
      <c r="DA990" s="1" t="s">
        <v>200</v>
      </c>
      <c r="DC990" s="1" t="s">
        <v>216</v>
      </c>
      <c r="DD990" s="1" t="s">
        <v>786</v>
      </c>
      <c r="DE990" s="1" t="s">
        <v>273</v>
      </c>
      <c r="DF990" s="1" t="s">
        <v>219</v>
      </c>
      <c r="DG990" s="1" t="s">
        <v>482</v>
      </c>
      <c r="DH990" s="1" t="s">
        <v>307</v>
      </c>
      <c r="DJ990" s="1" t="s">
        <v>222</v>
      </c>
      <c r="DL990" s="1" t="s">
        <v>791</v>
      </c>
      <c r="DM990" s="1" t="s">
        <v>229</v>
      </c>
      <c r="DO990" s="1" t="s">
        <v>549</v>
      </c>
      <c r="DQ990" s="1" t="s">
        <v>718</v>
      </c>
      <c r="DR990" s="1" t="s">
        <v>229</v>
      </c>
      <c r="DS990" s="1" t="s">
        <v>230</v>
      </c>
      <c r="DU990" s="1" t="s">
        <v>11106</v>
      </c>
      <c r="DV990" s="1" t="s">
        <v>9705</v>
      </c>
      <c r="DW990" s="1" t="s">
        <v>279</v>
      </c>
      <c r="DX990" s="1" t="s">
        <v>309</v>
      </c>
      <c r="DZ990" s="1" t="s">
        <v>282</v>
      </c>
      <c r="EA990" s="1" t="s">
        <v>644</v>
      </c>
      <c r="EC990" s="1" t="s">
        <v>645</v>
      </c>
      <c r="ED990" s="1" t="s">
        <v>407</v>
      </c>
      <c r="EE990" s="1" t="s">
        <v>1960</v>
      </c>
      <c r="EG990" s="1" t="s">
        <v>374</v>
      </c>
      <c r="EH990" s="1" t="s">
        <v>2877</v>
      </c>
      <c r="EL990" s="1" t="s">
        <v>11107</v>
      </c>
      <c r="EM990" s="1" t="s">
        <v>206</v>
      </c>
      <c r="EN990" s="1" t="s">
        <v>617</v>
      </c>
      <c r="EP990" s="1" t="s">
        <v>8478</v>
      </c>
      <c r="EQ990" s="1" t="s">
        <v>206</v>
      </c>
      <c r="ER990" s="1" t="s">
        <v>617</v>
      </c>
      <c r="ES990" s="1" t="s">
        <v>229</v>
      </c>
      <c r="EU990" s="1" t="s">
        <v>238</v>
      </c>
      <c r="EY990" s="1" t="s">
        <v>238</v>
      </c>
      <c r="FC990" s="1" t="s">
        <v>238</v>
      </c>
      <c r="FF990" s="1" t="s">
        <v>239</v>
      </c>
      <c r="FG990" s="1" t="s">
        <v>192</v>
      </c>
      <c r="FH990" s="1" t="s">
        <v>192</v>
      </c>
      <c r="FJ990" s="1" t="s">
        <v>770</v>
      </c>
      <c r="FK990" s="1" t="s">
        <v>229</v>
      </c>
      <c r="FL990" s="1" t="s">
        <v>10651</v>
      </c>
      <c r="FM990" s="1">
        <v>15318.0</v>
      </c>
      <c r="FN990" s="1" t="s">
        <v>10652</v>
      </c>
      <c r="FO990" s="1" t="s">
        <v>10653</v>
      </c>
      <c r="FP990" s="1">
        <v>124918.0</v>
      </c>
      <c r="FQ990" s="1" t="s">
        <v>10654</v>
      </c>
      <c r="FU990" s="1" t="s">
        <v>11108</v>
      </c>
      <c r="FV990" s="1" t="s">
        <v>200</v>
      </c>
      <c r="FW990" s="1" t="s">
        <v>530</v>
      </c>
      <c r="FX990" s="1" t="s">
        <v>655</v>
      </c>
      <c r="FZ990" s="1" t="s">
        <v>229</v>
      </c>
      <c r="GA990" s="1" t="s">
        <v>247</v>
      </c>
      <c r="GB990" s="2">
        <v>42058.0</v>
      </c>
    </row>
    <row r="991">
      <c r="A991" s="1">
        <v>300000.0</v>
      </c>
      <c r="B991" s="1" t="s">
        <v>185</v>
      </c>
      <c r="C991" s="1" t="str">
        <f>"08610662"</f>
        <v>08610662</v>
      </c>
      <c r="D991" s="1" t="s">
        <v>186</v>
      </c>
      <c r="F991" s="1" t="str">
        <f>"543"</f>
        <v>543</v>
      </c>
      <c r="G991" s="2">
        <v>41768.0</v>
      </c>
      <c r="H991" s="1">
        <v>334368.0</v>
      </c>
      <c r="I991" s="1">
        <v>207.0</v>
      </c>
      <c r="J991" s="1">
        <v>309990.0</v>
      </c>
      <c r="K991" s="2">
        <v>41974.0</v>
      </c>
      <c r="L991" s="1">
        <v>207.0</v>
      </c>
      <c r="M991" s="2">
        <v>41974.0</v>
      </c>
      <c r="N991" s="1" t="s">
        <v>249</v>
      </c>
      <c r="O991" s="2">
        <v>41988.0</v>
      </c>
      <c r="P991" s="1">
        <v>99999.0</v>
      </c>
      <c r="Q991" s="1" t="s">
        <v>947</v>
      </c>
      <c r="S991" s="1">
        <v>284.0</v>
      </c>
      <c r="T991" s="1" t="s">
        <v>10400</v>
      </c>
      <c r="U991" s="1" t="s">
        <v>844</v>
      </c>
      <c r="V991" s="1" t="s">
        <v>1527</v>
      </c>
      <c r="W991" s="1">
        <v>60543.0</v>
      </c>
      <c r="Y991" s="1" t="s">
        <v>11109</v>
      </c>
      <c r="Z991" s="1">
        <v>2013.0</v>
      </c>
      <c r="AA991" s="1" t="s">
        <v>200</v>
      </c>
      <c r="AB991" s="1" t="s">
        <v>467</v>
      </c>
      <c r="AC991" s="1" t="s">
        <v>3254</v>
      </c>
      <c r="AD991" s="1" t="s">
        <v>1529</v>
      </c>
      <c r="AE991" s="1" t="s">
        <v>849</v>
      </c>
      <c r="AF991" s="1" t="s">
        <v>1529</v>
      </c>
      <c r="AG991" s="1" t="s">
        <v>6190</v>
      </c>
      <c r="AH991" s="1" t="s">
        <v>11110</v>
      </c>
      <c r="AK991" s="1">
        <v>7.0</v>
      </c>
      <c r="AL991" s="1">
        <v>4.0</v>
      </c>
      <c r="AM991" s="1">
        <v>2.0</v>
      </c>
      <c r="AN991" s="1">
        <v>1.0</v>
      </c>
      <c r="AO991" s="1" t="s">
        <v>198</v>
      </c>
      <c r="AQ991" s="1" t="s">
        <v>198</v>
      </c>
      <c r="AR991" s="1" t="s">
        <v>200</v>
      </c>
      <c r="AS991" s="1" t="s">
        <v>199</v>
      </c>
      <c r="AT991" s="1">
        <v>3.0</v>
      </c>
      <c r="AV991" s="1" t="s">
        <v>200</v>
      </c>
      <c r="AW991" s="1" t="s">
        <v>575</v>
      </c>
      <c r="AX991" s="1">
        <v>2013.0</v>
      </c>
      <c r="AZ991" s="1" t="s">
        <v>200</v>
      </c>
      <c r="BA991" s="1" t="str">
        <f>"0316330005"</f>
        <v>0316330005</v>
      </c>
      <c r="BB991" s="1" t="s">
        <v>200</v>
      </c>
      <c r="BC991" s="1">
        <v>2680.0</v>
      </c>
      <c r="BD991" s="1">
        <v>300000.0</v>
      </c>
      <c r="BE991" s="2">
        <v>41768.0</v>
      </c>
      <c r="BF991" s="2" t="s">
        <v>11111</v>
      </c>
      <c r="BG991" s="1" t="s">
        <v>8200</v>
      </c>
      <c r="BH991" s="1">
        <v>140.0</v>
      </c>
      <c r="BI991" s="1" t="s">
        <v>1533</v>
      </c>
      <c r="BJ991" s="1" t="s">
        <v>1349</v>
      </c>
      <c r="BK991" s="1" t="s">
        <v>1952</v>
      </c>
      <c r="BL991" s="1" t="str">
        <f t="shared" ref="BL991:BM991" si="653">""</f>
        <v/>
      </c>
      <c r="BM991" s="1" t="str">
        <f t="shared" si="653"/>
        <v/>
      </c>
      <c r="BQ991" s="1">
        <v>308.0</v>
      </c>
      <c r="BR991" s="1">
        <v>308.0</v>
      </c>
      <c r="BS991" s="1">
        <v>308.0</v>
      </c>
      <c r="BU991" s="1" t="s">
        <v>260</v>
      </c>
      <c r="BV991" s="1" t="s">
        <v>206</v>
      </c>
      <c r="BW991" s="1" t="s">
        <v>207</v>
      </c>
      <c r="BY991" s="1" t="s">
        <v>616</v>
      </c>
      <c r="BZ991" s="1" t="s">
        <v>209</v>
      </c>
      <c r="CA991" s="1" t="s">
        <v>210</v>
      </c>
      <c r="CD991" s="1" t="s">
        <v>204</v>
      </c>
      <c r="CG991" s="1" t="s">
        <v>332</v>
      </c>
      <c r="CH991" s="1" t="s">
        <v>209</v>
      </c>
      <c r="CI991" s="1" t="s">
        <v>210</v>
      </c>
      <c r="CK991" s="1" t="s">
        <v>264</v>
      </c>
      <c r="CL991" s="1" t="s">
        <v>209</v>
      </c>
      <c r="CM991" s="1" t="s">
        <v>210</v>
      </c>
      <c r="CO991" s="1" t="s">
        <v>1183</v>
      </c>
      <c r="CP991" s="1" t="s">
        <v>209</v>
      </c>
      <c r="CQ991" s="1" t="s">
        <v>210</v>
      </c>
      <c r="CS991" s="1" t="s">
        <v>2647</v>
      </c>
      <c r="CT991" s="1" t="s">
        <v>206</v>
      </c>
      <c r="CU991" s="1" t="s">
        <v>207</v>
      </c>
      <c r="CX991" s="1" t="s">
        <v>204</v>
      </c>
      <c r="DA991" s="1" t="s">
        <v>192</v>
      </c>
      <c r="DB991" s="2">
        <v>41901.0</v>
      </c>
      <c r="DC991" s="1" t="s">
        <v>744</v>
      </c>
      <c r="DD991" s="1" t="s">
        <v>926</v>
      </c>
      <c r="DE991" s="1" t="s">
        <v>273</v>
      </c>
      <c r="DF991" s="1" t="s">
        <v>619</v>
      </c>
      <c r="DG991" s="1" t="s">
        <v>5344</v>
      </c>
      <c r="DH991" s="1" t="s">
        <v>220</v>
      </c>
      <c r="DI991" s="1" t="s">
        <v>589</v>
      </c>
      <c r="DJ991" s="1" t="s">
        <v>222</v>
      </c>
      <c r="DL991" s="1" t="s">
        <v>223</v>
      </c>
      <c r="DM991" s="1" t="s">
        <v>229</v>
      </c>
      <c r="DN991" s="1" t="s">
        <v>548</v>
      </c>
      <c r="DQ991" s="1" t="s">
        <v>441</v>
      </c>
      <c r="DR991" s="1" t="s">
        <v>1980</v>
      </c>
      <c r="DS991" s="1" t="s">
        <v>591</v>
      </c>
      <c r="DV991" s="1" t="s">
        <v>556</v>
      </c>
      <c r="DW991" s="1" t="s">
        <v>11112</v>
      </c>
      <c r="DX991" s="1" t="s">
        <v>234</v>
      </c>
      <c r="DY991" s="1" t="s">
        <v>596</v>
      </c>
      <c r="EC991" s="1" t="s">
        <v>237</v>
      </c>
      <c r="ED991" s="1" t="s">
        <v>6543</v>
      </c>
      <c r="EE991" s="1" t="s">
        <v>493</v>
      </c>
      <c r="EG991" s="1" t="s">
        <v>556</v>
      </c>
      <c r="EL991" s="1" t="s">
        <v>363</v>
      </c>
      <c r="EM991" s="1" t="s">
        <v>206</v>
      </c>
      <c r="EN991" s="1" t="s">
        <v>207</v>
      </c>
      <c r="EQ991" s="1" t="s">
        <v>238</v>
      </c>
      <c r="EU991" s="1" t="s">
        <v>238</v>
      </c>
      <c r="EY991" s="1" t="s">
        <v>238</v>
      </c>
      <c r="FC991" s="1" t="s">
        <v>238</v>
      </c>
      <c r="FF991" s="1" t="s">
        <v>239</v>
      </c>
      <c r="FG991" s="1" t="s">
        <v>192</v>
      </c>
      <c r="FH991" s="1" t="s">
        <v>192</v>
      </c>
      <c r="FJ991" s="1" t="s">
        <v>347</v>
      </c>
      <c r="FK991" s="1" t="s">
        <v>229</v>
      </c>
      <c r="FL991" s="1" t="s">
        <v>2448</v>
      </c>
      <c r="FM991" s="1">
        <v>92038.0</v>
      </c>
      <c r="FN991" s="1" t="s">
        <v>2449</v>
      </c>
      <c r="FO991" s="1" t="s">
        <v>2450</v>
      </c>
      <c r="FP991" s="1">
        <v>21137.0</v>
      </c>
      <c r="FQ991" s="1" t="s">
        <v>2451</v>
      </c>
      <c r="FU991" s="1" t="s">
        <v>11113</v>
      </c>
      <c r="FV991" s="1" t="s">
        <v>200</v>
      </c>
      <c r="FW991" s="1" t="s">
        <v>11114</v>
      </c>
      <c r="FZ991" s="1" t="s">
        <v>229</v>
      </c>
      <c r="GA991" s="1" t="s">
        <v>291</v>
      </c>
      <c r="GB991" s="2">
        <v>41988.0</v>
      </c>
      <c r="GC991" s="1" t="s">
        <v>11115</v>
      </c>
    </row>
    <row r="992">
      <c r="A992" s="1">
        <v>40000.0</v>
      </c>
      <c r="B992" s="1" t="s">
        <v>185</v>
      </c>
      <c r="C992" s="1" t="str">
        <f>"08612499"</f>
        <v>08612499</v>
      </c>
      <c r="D992" s="1" t="s">
        <v>186</v>
      </c>
      <c r="F992" s="1" t="str">
        <f>"8073"</f>
        <v>8073</v>
      </c>
      <c r="G992" s="2">
        <v>41771.0</v>
      </c>
      <c r="H992" s="1">
        <v>70000.0</v>
      </c>
      <c r="I992" s="1">
        <v>569.0</v>
      </c>
      <c r="J992" s="1">
        <v>55000.0</v>
      </c>
      <c r="K992" s="2">
        <v>41979.0</v>
      </c>
      <c r="L992" s="1">
        <v>209.0</v>
      </c>
      <c r="M992" s="2">
        <v>41979.0</v>
      </c>
      <c r="N992" s="1" t="s">
        <v>249</v>
      </c>
      <c r="O992" s="2">
        <v>42031.0</v>
      </c>
      <c r="P992" s="1">
        <v>922515.0</v>
      </c>
      <c r="Q992" s="1">
        <v>25726.0</v>
      </c>
      <c r="S992" s="1">
        <v>10243.0</v>
      </c>
      <c r="T992" s="1" t="s">
        <v>2655</v>
      </c>
      <c r="U992" s="1" t="s">
        <v>320</v>
      </c>
      <c r="V992" s="1" t="s">
        <v>190</v>
      </c>
      <c r="W992" s="1">
        <v>60643.0</v>
      </c>
      <c r="Y992" s="1" t="s">
        <v>11116</v>
      </c>
      <c r="Z992" s="1">
        <v>1921.0</v>
      </c>
      <c r="AA992" s="1" t="s">
        <v>192</v>
      </c>
      <c r="AB992" s="1" t="s">
        <v>193</v>
      </c>
      <c r="AD992" s="1" t="s">
        <v>194</v>
      </c>
      <c r="AE992" s="1" t="s">
        <v>195</v>
      </c>
      <c r="AF992" s="1" t="s">
        <v>659</v>
      </c>
      <c r="AH992" s="6">
        <v>4575.0</v>
      </c>
      <c r="AI992" s="1">
        <v>0.105</v>
      </c>
      <c r="AK992" s="1">
        <v>7.0</v>
      </c>
      <c r="AL992" s="1">
        <v>4.0</v>
      </c>
      <c r="AM992" s="1">
        <v>2.0</v>
      </c>
      <c r="AN992" s="1">
        <v>0.0</v>
      </c>
      <c r="AO992" s="1" t="s">
        <v>229</v>
      </c>
      <c r="AQ992" s="1" t="s">
        <v>198</v>
      </c>
      <c r="AR992" s="1" t="s">
        <v>200</v>
      </c>
      <c r="AS992" s="1" t="s">
        <v>199</v>
      </c>
      <c r="AT992" s="1">
        <v>4.0</v>
      </c>
      <c r="AV992" s="1" t="s">
        <v>200</v>
      </c>
      <c r="AW992" s="1">
        <v>1952.87</v>
      </c>
      <c r="AX992" s="1">
        <v>2012.0</v>
      </c>
      <c r="AY992" s="1" t="s">
        <v>3108</v>
      </c>
      <c r="AZ992" s="1" t="s">
        <v>200</v>
      </c>
      <c r="BA992" s="1" t="str">
        <f>"25084290150000"</f>
        <v>25084290150000</v>
      </c>
      <c r="BC992" s="1">
        <v>1170.0</v>
      </c>
      <c r="BD992" s="1">
        <v>40000.0</v>
      </c>
      <c r="BE992" s="2">
        <v>41771.0</v>
      </c>
      <c r="BF992" s="1" t="s">
        <v>11117</v>
      </c>
      <c r="BH992" s="1">
        <v>0.0</v>
      </c>
      <c r="BK992" s="1" t="s">
        <v>204</v>
      </c>
      <c r="BL992" s="1" t="str">
        <f t="shared" ref="BL992:BM992" si="654">"0"</f>
        <v>0</v>
      </c>
      <c r="BM992" s="1" t="str">
        <f t="shared" si="654"/>
        <v>0</v>
      </c>
      <c r="BN992" s="1">
        <v>932.0</v>
      </c>
      <c r="BO992" s="1">
        <v>10243.0</v>
      </c>
      <c r="BQ992" s="1">
        <v>299.0</v>
      </c>
      <c r="BR992" s="1">
        <v>299.0</v>
      </c>
      <c r="BS992" s="1">
        <v>299.0</v>
      </c>
      <c r="BU992" s="1" t="s">
        <v>1043</v>
      </c>
      <c r="BV992" s="1" t="s">
        <v>206</v>
      </c>
      <c r="BW992" s="1" t="s">
        <v>207</v>
      </c>
      <c r="BX992" s="1" t="s">
        <v>261</v>
      </c>
      <c r="BY992" s="1" t="s">
        <v>663</v>
      </c>
      <c r="BZ992" s="1" t="s">
        <v>206</v>
      </c>
      <c r="CA992" s="1" t="s">
        <v>207</v>
      </c>
      <c r="CB992" s="1" t="s">
        <v>261</v>
      </c>
      <c r="CC992" s="1" t="s">
        <v>830</v>
      </c>
      <c r="CD992" s="1" t="s">
        <v>206</v>
      </c>
      <c r="CE992" s="1" t="s">
        <v>207</v>
      </c>
      <c r="CF992" s="1" t="s">
        <v>261</v>
      </c>
      <c r="CG992" s="1" t="s">
        <v>1584</v>
      </c>
      <c r="CH992" s="1" t="s">
        <v>206</v>
      </c>
      <c r="CI992" s="1" t="s">
        <v>207</v>
      </c>
      <c r="CJ992" s="1" t="s">
        <v>261</v>
      </c>
      <c r="CK992" s="1" t="s">
        <v>1584</v>
      </c>
      <c r="CL992" s="1" t="s">
        <v>206</v>
      </c>
      <c r="CM992" s="1" t="s">
        <v>207</v>
      </c>
      <c r="CN992" s="1" t="s">
        <v>261</v>
      </c>
      <c r="CO992" s="1" t="s">
        <v>495</v>
      </c>
      <c r="CP992" s="1" t="s">
        <v>209</v>
      </c>
      <c r="CQ992" s="1" t="s">
        <v>207</v>
      </c>
      <c r="CR992" s="1" t="s">
        <v>229</v>
      </c>
      <c r="CS992" s="1" t="s">
        <v>1584</v>
      </c>
      <c r="CT992" s="1" t="s">
        <v>206</v>
      </c>
      <c r="CU992" s="1" t="s">
        <v>617</v>
      </c>
      <c r="CV992" s="1" t="s">
        <v>229</v>
      </c>
      <c r="CX992" s="1" t="s">
        <v>204</v>
      </c>
      <c r="DA992" s="1" t="s">
        <v>200</v>
      </c>
      <c r="DC992" s="1" t="s">
        <v>216</v>
      </c>
      <c r="DE992" s="1" t="s">
        <v>273</v>
      </c>
      <c r="DF992" s="1" t="s">
        <v>4891</v>
      </c>
      <c r="DH992" s="1" t="s">
        <v>365</v>
      </c>
      <c r="DJ992" s="1" t="s">
        <v>222</v>
      </c>
      <c r="DL992" s="1" t="s">
        <v>223</v>
      </c>
      <c r="DM992" s="1" t="s">
        <v>229</v>
      </c>
      <c r="DO992" s="1" t="s">
        <v>549</v>
      </c>
      <c r="DQ992" s="1" t="s">
        <v>441</v>
      </c>
      <c r="DR992" s="1" t="s">
        <v>229</v>
      </c>
      <c r="DV992" s="1" t="s">
        <v>232</v>
      </c>
      <c r="DW992" s="1" t="s">
        <v>279</v>
      </c>
      <c r="DX992" s="1" t="s">
        <v>234</v>
      </c>
      <c r="EA992" s="1" t="s">
        <v>644</v>
      </c>
      <c r="EC992" s="1" t="s">
        <v>588</v>
      </c>
      <c r="ED992" s="1" t="s">
        <v>5333</v>
      </c>
      <c r="EM992" s="1" t="s">
        <v>238</v>
      </c>
      <c r="EQ992" s="1" t="s">
        <v>238</v>
      </c>
      <c r="EU992" s="1" t="s">
        <v>238</v>
      </c>
      <c r="EY992" s="1" t="s">
        <v>238</v>
      </c>
      <c r="FC992" s="1" t="s">
        <v>238</v>
      </c>
      <c r="FF992" s="1" t="s">
        <v>239</v>
      </c>
      <c r="FG992" s="1" t="s">
        <v>192</v>
      </c>
      <c r="FH992" s="1" t="s">
        <v>192</v>
      </c>
      <c r="FJ992" s="1" t="s">
        <v>524</v>
      </c>
      <c r="FK992" s="1" t="s">
        <v>229</v>
      </c>
      <c r="FL992" s="1" t="s">
        <v>456</v>
      </c>
      <c r="FM992" s="1">
        <v>60021.0</v>
      </c>
      <c r="FN992" s="1" t="s">
        <v>2170</v>
      </c>
      <c r="FO992" s="1" t="s">
        <v>11118</v>
      </c>
      <c r="FP992" s="1">
        <v>236367.0</v>
      </c>
      <c r="FQ992" s="1" t="s">
        <v>2170</v>
      </c>
      <c r="FS992" s="1" t="s">
        <v>11119</v>
      </c>
      <c r="FU992" s="1" t="s">
        <v>11120</v>
      </c>
      <c r="FV992" s="1" t="s">
        <v>200</v>
      </c>
      <c r="FW992" s="1" t="s">
        <v>530</v>
      </c>
      <c r="FX992" s="1" t="s">
        <v>655</v>
      </c>
      <c r="FZ992" s="1" t="s">
        <v>229</v>
      </c>
      <c r="GA992" s="1" t="s">
        <v>291</v>
      </c>
      <c r="GB992" s="2">
        <v>42039.0</v>
      </c>
      <c r="GC992" s="1" t="s">
        <v>11121</v>
      </c>
    </row>
    <row r="993">
      <c r="A993" s="1">
        <v>301337.0</v>
      </c>
      <c r="B993" s="1" t="s">
        <v>185</v>
      </c>
      <c r="C993" s="1" t="str">
        <f>"08612133"</f>
        <v>08612133</v>
      </c>
      <c r="D993" s="1" t="s">
        <v>186</v>
      </c>
      <c r="F993" s="1" t="str">
        <f>"177"</f>
        <v>177</v>
      </c>
      <c r="G993" s="2">
        <v>41771.0</v>
      </c>
      <c r="H993" s="1">
        <v>294712.0</v>
      </c>
      <c r="I993" s="1">
        <v>1.0</v>
      </c>
      <c r="J993" s="1">
        <v>294712.0</v>
      </c>
      <c r="K993" s="2">
        <v>41771.0</v>
      </c>
      <c r="L993" s="1">
        <v>1.0</v>
      </c>
      <c r="M993" s="2">
        <v>41771.0</v>
      </c>
      <c r="N993" s="1" t="s">
        <v>187</v>
      </c>
      <c r="O993" s="2">
        <v>42047.0</v>
      </c>
      <c r="P993" s="1">
        <v>227429.0</v>
      </c>
      <c r="Q993" s="1">
        <v>22029.0</v>
      </c>
      <c r="S993" s="1">
        <v>1400.0</v>
      </c>
      <c r="T993" s="1" t="s">
        <v>11122</v>
      </c>
      <c r="U993" s="1" t="s">
        <v>569</v>
      </c>
      <c r="V993" s="1" t="s">
        <v>2249</v>
      </c>
      <c r="W993" s="1">
        <v>60177.0</v>
      </c>
      <c r="Y993" s="1" t="s">
        <v>11123</v>
      </c>
      <c r="Z993" s="1">
        <v>2014.0</v>
      </c>
      <c r="AA993" s="1" t="s">
        <v>200</v>
      </c>
      <c r="AB993" s="1" t="s">
        <v>193</v>
      </c>
      <c r="AC993" s="1" t="s">
        <v>11124</v>
      </c>
      <c r="AD993" s="1" t="s">
        <v>2252</v>
      </c>
      <c r="AE993" s="1" t="s">
        <v>325</v>
      </c>
      <c r="AF993" s="1" t="s">
        <v>469</v>
      </c>
      <c r="AG993" s="1" t="s">
        <v>11125</v>
      </c>
      <c r="AH993" s="1" t="s">
        <v>11126</v>
      </c>
      <c r="AK993" s="1">
        <v>10.0</v>
      </c>
      <c r="AL993" s="1">
        <v>4.0</v>
      </c>
      <c r="AM993" s="1">
        <v>2.0</v>
      </c>
      <c r="AN993" s="1">
        <v>1.0</v>
      </c>
      <c r="AO993" s="1" t="s">
        <v>198</v>
      </c>
      <c r="AQ993" s="1" t="s">
        <v>198</v>
      </c>
      <c r="AR993" s="1" t="s">
        <v>200</v>
      </c>
      <c r="AS993" s="1" t="s">
        <v>199</v>
      </c>
      <c r="AT993" s="1">
        <v>2.0</v>
      </c>
      <c r="AV993" s="1" t="s">
        <v>200</v>
      </c>
      <c r="AW993" s="1" t="s">
        <v>575</v>
      </c>
      <c r="AX993" s="1">
        <v>2013.0</v>
      </c>
      <c r="AZ993" s="1" t="s">
        <v>200</v>
      </c>
      <c r="BA993" s="1" t="str">
        <f>"0000000000"</f>
        <v>0000000000</v>
      </c>
      <c r="BB993" s="1" t="s">
        <v>200</v>
      </c>
      <c r="BC993" s="1">
        <v>2638.0</v>
      </c>
      <c r="BD993" s="1">
        <v>301337.0</v>
      </c>
      <c r="BE993" s="2">
        <v>41771.0</v>
      </c>
      <c r="BF993" s="2" t="s">
        <v>11127</v>
      </c>
      <c r="BG993" s="1" t="s">
        <v>11128</v>
      </c>
      <c r="BH993" s="1">
        <v>200.0</v>
      </c>
      <c r="BI993" s="1" t="s">
        <v>11129</v>
      </c>
      <c r="BJ993" s="1" t="s">
        <v>11130</v>
      </c>
      <c r="BK993" s="1" t="s">
        <v>580</v>
      </c>
      <c r="BL993" s="1" t="str">
        <f t="shared" ref="BL993:BM993" si="655">""</f>
        <v/>
      </c>
      <c r="BM993" s="1" t="str">
        <f t="shared" si="655"/>
        <v/>
      </c>
      <c r="BQ993" s="1">
        <v>46.0</v>
      </c>
      <c r="BR993" s="1">
        <v>46.0</v>
      </c>
      <c r="BS993" s="1">
        <v>46.0</v>
      </c>
      <c r="BU993" s="1" t="s">
        <v>647</v>
      </c>
      <c r="BV993" s="1" t="s">
        <v>206</v>
      </c>
      <c r="BW993" s="1" t="s">
        <v>207</v>
      </c>
      <c r="BY993" s="1" t="s">
        <v>2219</v>
      </c>
      <c r="BZ993" s="1" t="s">
        <v>209</v>
      </c>
      <c r="CA993" s="1" t="s">
        <v>210</v>
      </c>
      <c r="CC993" s="1" t="s">
        <v>262</v>
      </c>
      <c r="CD993" s="1" t="s">
        <v>206</v>
      </c>
      <c r="CE993" s="1" t="s">
        <v>207</v>
      </c>
      <c r="CG993" s="1" t="s">
        <v>302</v>
      </c>
      <c r="CH993" s="1" t="s">
        <v>209</v>
      </c>
      <c r="CI993" s="1" t="s">
        <v>210</v>
      </c>
      <c r="CK993" s="1" t="s">
        <v>663</v>
      </c>
      <c r="CL993" s="1" t="s">
        <v>209</v>
      </c>
      <c r="CM993" s="1" t="s">
        <v>210</v>
      </c>
      <c r="CO993" s="1" t="s">
        <v>699</v>
      </c>
      <c r="CP993" s="1" t="s">
        <v>209</v>
      </c>
      <c r="CQ993" s="1" t="s">
        <v>210</v>
      </c>
      <c r="CS993" s="1" t="s">
        <v>302</v>
      </c>
      <c r="CT993" s="1" t="s">
        <v>206</v>
      </c>
      <c r="CU993" s="1" t="s">
        <v>207</v>
      </c>
      <c r="CW993" s="1" t="s">
        <v>743</v>
      </c>
      <c r="CX993" s="1" t="s">
        <v>206</v>
      </c>
      <c r="CY993" s="1" t="s">
        <v>207</v>
      </c>
      <c r="DA993" s="1" t="s">
        <v>192</v>
      </c>
      <c r="DB993" s="2">
        <v>41913.0</v>
      </c>
      <c r="DC993" s="1" t="s">
        <v>744</v>
      </c>
      <c r="DE993" s="1" t="s">
        <v>273</v>
      </c>
      <c r="DF993" s="1" t="s">
        <v>219</v>
      </c>
      <c r="DH993" s="1" t="s">
        <v>220</v>
      </c>
      <c r="DJ993" s="1" t="s">
        <v>222</v>
      </c>
      <c r="DL993" s="1" t="s">
        <v>223</v>
      </c>
      <c r="DM993" s="1" t="s">
        <v>229</v>
      </c>
      <c r="DP993" s="1" t="s">
        <v>340</v>
      </c>
      <c r="DQ993" s="1" t="s">
        <v>228</v>
      </c>
      <c r="DR993" s="1" t="s">
        <v>229</v>
      </c>
      <c r="DS993" s="1" t="s">
        <v>591</v>
      </c>
      <c r="DU993" s="1" t="s">
        <v>550</v>
      </c>
      <c r="DV993" s="1" t="s">
        <v>8941</v>
      </c>
      <c r="DW993" s="1" t="s">
        <v>233</v>
      </c>
      <c r="DX993" s="1" t="s">
        <v>234</v>
      </c>
      <c r="EA993" s="1" t="s">
        <v>344</v>
      </c>
      <c r="EC993" s="1" t="s">
        <v>237</v>
      </c>
      <c r="EG993" s="1" t="s">
        <v>556</v>
      </c>
      <c r="EH993" s="1" t="s">
        <v>341</v>
      </c>
      <c r="EL993" s="1" t="s">
        <v>495</v>
      </c>
      <c r="EM993" s="1" t="s">
        <v>206</v>
      </c>
      <c r="EN993" s="1" t="s">
        <v>207</v>
      </c>
      <c r="EP993" s="1" t="s">
        <v>215</v>
      </c>
      <c r="EQ993" s="1" t="s">
        <v>209</v>
      </c>
      <c r="ER993" s="1" t="s">
        <v>210</v>
      </c>
      <c r="EU993" s="1" t="s">
        <v>238</v>
      </c>
      <c r="EY993" s="1" t="s">
        <v>238</v>
      </c>
      <c r="FC993" s="1" t="s">
        <v>238</v>
      </c>
      <c r="FF993" s="1" t="s">
        <v>239</v>
      </c>
      <c r="FG993" s="1" t="s">
        <v>192</v>
      </c>
      <c r="FH993" s="1" t="s">
        <v>192</v>
      </c>
      <c r="FJ993" s="1" t="s">
        <v>1450</v>
      </c>
      <c r="FK993" s="1" t="s">
        <v>229</v>
      </c>
      <c r="FL993" s="1" t="s">
        <v>1358</v>
      </c>
      <c r="FM993" s="1">
        <v>23591.0</v>
      </c>
      <c r="FN993" s="1" t="s">
        <v>2134</v>
      </c>
      <c r="FO993" s="1" t="s">
        <v>11054</v>
      </c>
      <c r="FP993" s="1">
        <v>221299.0</v>
      </c>
      <c r="FQ993" s="1" t="s">
        <v>11055</v>
      </c>
      <c r="FU993" s="1" t="s">
        <v>11131</v>
      </c>
      <c r="FV993" s="1" t="s">
        <v>200</v>
      </c>
      <c r="FW993" s="1" t="s">
        <v>11132</v>
      </c>
      <c r="FZ993" s="1" t="s">
        <v>229</v>
      </c>
      <c r="GA993" s="1" t="s">
        <v>291</v>
      </c>
      <c r="GB993" s="2">
        <v>42050.0</v>
      </c>
      <c r="GC993" s="1" t="s">
        <v>11133</v>
      </c>
    </row>
    <row r="994">
      <c r="A994" s="1">
        <v>565000.0</v>
      </c>
      <c r="B994" s="1" t="s">
        <v>185</v>
      </c>
      <c r="C994" s="1" t="str">
        <f>"08619703"</f>
        <v>08619703</v>
      </c>
      <c r="D994" s="1" t="s">
        <v>186</v>
      </c>
      <c r="F994" s="1" t="str">
        <f>"8012"</f>
        <v>8012</v>
      </c>
      <c r="G994" s="2">
        <v>41778.0</v>
      </c>
      <c r="H994" s="1">
        <v>672750.0</v>
      </c>
      <c r="I994" s="1">
        <v>205.0</v>
      </c>
      <c r="J994" s="1">
        <v>599800.0</v>
      </c>
      <c r="K994" s="2">
        <v>41982.0</v>
      </c>
      <c r="L994" s="1">
        <v>205.0</v>
      </c>
      <c r="M994" s="2">
        <v>41982.0</v>
      </c>
      <c r="N994" s="1" t="s">
        <v>249</v>
      </c>
      <c r="O994" s="2">
        <v>42100.0</v>
      </c>
      <c r="P994" s="1">
        <v>149090.0</v>
      </c>
      <c r="Q994" s="1">
        <v>10274.0</v>
      </c>
      <c r="S994" s="1">
        <v>6888.0</v>
      </c>
      <c r="T994" s="1" t="s">
        <v>11134</v>
      </c>
      <c r="U994" s="1" t="s">
        <v>189</v>
      </c>
      <c r="V994" s="1" t="s">
        <v>190</v>
      </c>
      <c r="W994" s="1">
        <v>60646.0</v>
      </c>
      <c r="Y994" s="1" t="s">
        <v>11135</v>
      </c>
      <c r="Z994" s="1">
        <v>1941.0</v>
      </c>
      <c r="AA994" s="1" t="s">
        <v>192</v>
      </c>
      <c r="AB994" s="1" t="s">
        <v>193</v>
      </c>
      <c r="AC994" s="1" t="s">
        <v>11136</v>
      </c>
      <c r="AD994" s="1" t="s">
        <v>194</v>
      </c>
      <c r="AE994" s="1" t="s">
        <v>195</v>
      </c>
      <c r="AF994" s="1" t="s">
        <v>196</v>
      </c>
      <c r="AH994" s="1" t="s">
        <v>11137</v>
      </c>
      <c r="AK994" s="1">
        <v>9.0</v>
      </c>
      <c r="AL994" s="1">
        <v>3.0</v>
      </c>
      <c r="AM994" s="1">
        <v>3.0</v>
      </c>
      <c r="AN994" s="1">
        <v>0.0</v>
      </c>
      <c r="AO994" s="1" t="s">
        <v>1261</v>
      </c>
      <c r="AP994" s="1">
        <v>1.0</v>
      </c>
      <c r="AQ994" s="1" t="s">
        <v>198</v>
      </c>
      <c r="AR994" s="1" t="s">
        <v>192</v>
      </c>
      <c r="AS994" s="1" t="s">
        <v>510</v>
      </c>
      <c r="AT994" s="1">
        <v>2.0</v>
      </c>
      <c r="AU994" s="1">
        <v>2.0</v>
      </c>
      <c r="AV994" s="1" t="s">
        <v>200</v>
      </c>
      <c r="AW994" s="1">
        <v>7131.0</v>
      </c>
      <c r="AX994" s="1">
        <v>2012.0</v>
      </c>
      <c r="AY994" s="1" t="s">
        <v>387</v>
      </c>
      <c r="AZ994" s="1" t="s">
        <v>200</v>
      </c>
      <c r="BA994" s="1" t="str">
        <f>"10321190350000"</f>
        <v>10321190350000</v>
      </c>
      <c r="BC994" s="1">
        <v>2000.0</v>
      </c>
      <c r="BD994" s="1">
        <v>565000.0</v>
      </c>
      <c r="BE994" s="2">
        <v>41778.0</v>
      </c>
      <c r="BF994" s="2" t="s">
        <v>11138</v>
      </c>
      <c r="BG994" s="1" t="s">
        <v>2364</v>
      </c>
      <c r="BH994" s="1">
        <v>0.0</v>
      </c>
      <c r="BI994" s="1" t="s">
        <v>2364</v>
      </c>
      <c r="BJ994" s="1" t="s">
        <v>1222</v>
      </c>
      <c r="BK994" s="1" t="s">
        <v>204</v>
      </c>
      <c r="BL994" s="1" t="str">
        <f>"6888"</f>
        <v>6888</v>
      </c>
      <c r="BM994" s="1" t="str">
        <f>"0"</f>
        <v>0</v>
      </c>
      <c r="BN994" s="1">
        <v>6100.0</v>
      </c>
      <c r="BO994" s="1">
        <v>0.0</v>
      </c>
      <c r="BQ994" s="1">
        <v>299.0</v>
      </c>
      <c r="BR994" s="1">
        <v>299.0</v>
      </c>
      <c r="BS994" s="1">
        <v>299.0</v>
      </c>
      <c r="BU994" s="1" t="s">
        <v>1158</v>
      </c>
      <c r="BV994" s="1" t="s">
        <v>206</v>
      </c>
      <c r="BW994" s="1" t="s">
        <v>207</v>
      </c>
      <c r="BY994" s="1" t="s">
        <v>729</v>
      </c>
      <c r="BZ994" s="1" t="s">
        <v>209</v>
      </c>
      <c r="CA994" s="1" t="s">
        <v>210</v>
      </c>
      <c r="CC994" s="1" t="s">
        <v>332</v>
      </c>
      <c r="CD994" s="1" t="s">
        <v>206</v>
      </c>
      <c r="CE994" s="1" t="s">
        <v>207</v>
      </c>
      <c r="CG994" s="1" t="s">
        <v>5311</v>
      </c>
      <c r="CH994" s="1" t="s">
        <v>209</v>
      </c>
      <c r="CI994" s="1" t="s">
        <v>210</v>
      </c>
      <c r="CK994" s="1" t="s">
        <v>332</v>
      </c>
      <c r="CL994" s="1" t="s">
        <v>206</v>
      </c>
      <c r="CM994" s="1" t="s">
        <v>210</v>
      </c>
      <c r="CO994" s="1" t="s">
        <v>332</v>
      </c>
      <c r="CP994" s="1" t="s">
        <v>42</v>
      </c>
      <c r="CQ994" s="1" t="s">
        <v>268</v>
      </c>
      <c r="CS994" s="1" t="s">
        <v>6146</v>
      </c>
      <c r="CT994" s="1" t="s">
        <v>206</v>
      </c>
      <c r="CU994" s="1" t="s">
        <v>207</v>
      </c>
      <c r="CW994" s="1" t="s">
        <v>8988</v>
      </c>
      <c r="CX994" s="1" t="s">
        <v>42</v>
      </c>
      <c r="CY994" s="1" t="s">
        <v>268</v>
      </c>
      <c r="DA994" s="1" t="s">
        <v>200</v>
      </c>
      <c r="DC994" s="1" t="s">
        <v>1399</v>
      </c>
      <c r="DD994" s="1" t="s">
        <v>436</v>
      </c>
      <c r="DE994" s="1" t="s">
        <v>273</v>
      </c>
      <c r="DF994" s="1" t="s">
        <v>745</v>
      </c>
      <c r="DG994" s="1" t="s">
        <v>1400</v>
      </c>
      <c r="DH994" s="1" t="s">
        <v>365</v>
      </c>
      <c r="DI994" s="1" t="s">
        <v>2257</v>
      </c>
      <c r="DJ994" s="1" t="s">
        <v>11139</v>
      </c>
      <c r="DL994" s="1" t="s">
        <v>224</v>
      </c>
      <c r="DM994" s="1" t="s">
        <v>229</v>
      </c>
      <c r="DN994" s="1" t="s">
        <v>11140</v>
      </c>
      <c r="DP994" s="1" t="s">
        <v>340</v>
      </c>
      <c r="DQ994" s="1" t="s">
        <v>794</v>
      </c>
      <c r="DR994" s="1" t="s">
        <v>229</v>
      </c>
      <c r="DU994" s="1" t="s">
        <v>7801</v>
      </c>
      <c r="DV994" s="1" t="s">
        <v>1491</v>
      </c>
      <c r="DW994" s="1" t="s">
        <v>279</v>
      </c>
      <c r="DX994" s="1" t="s">
        <v>234</v>
      </c>
      <c r="DY994" s="1" t="s">
        <v>11141</v>
      </c>
      <c r="DZ994" s="1" t="s">
        <v>11142</v>
      </c>
      <c r="EA994" s="1" t="s">
        <v>257</v>
      </c>
      <c r="EB994" s="1" t="s">
        <v>5995</v>
      </c>
      <c r="EC994" s="1" t="s">
        <v>645</v>
      </c>
      <c r="ED994" s="1" t="s">
        <v>555</v>
      </c>
      <c r="EF994" s="1" t="s">
        <v>523</v>
      </c>
      <c r="EG994" s="1" t="s">
        <v>1491</v>
      </c>
      <c r="EL994" s="1" t="s">
        <v>6146</v>
      </c>
      <c r="EM994" s="1" t="s">
        <v>42</v>
      </c>
      <c r="EN994" s="1" t="s">
        <v>268</v>
      </c>
      <c r="EQ994" s="1" t="s">
        <v>238</v>
      </c>
      <c r="EU994" s="1" t="s">
        <v>238</v>
      </c>
      <c r="EY994" s="1" t="s">
        <v>238</v>
      </c>
      <c r="FC994" s="1" t="s">
        <v>238</v>
      </c>
      <c r="FF994" s="1" t="s">
        <v>239</v>
      </c>
      <c r="FG994" s="1" t="s">
        <v>192</v>
      </c>
      <c r="FH994" s="1" t="s">
        <v>192</v>
      </c>
      <c r="FJ994" s="1" t="s">
        <v>3664</v>
      </c>
      <c r="FK994" s="1" t="s">
        <v>229</v>
      </c>
      <c r="FL994" s="1" t="s">
        <v>974</v>
      </c>
      <c r="FM994" s="1">
        <v>14470.0</v>
      </c>
      <c r="FN994" s="1" t="s">
        <v>3407</v>
      </c>
      <c r="FO994" s="1" t="s">
        <v>11143</v>
      </c>
      <c r="FP994" s="1">
        <v>116919.0</v>
      </c>
      <c r="FQ994" s="1" t="s">
        <v>11144</v>
      </c>
      <c r="FU994" s="1" t="s">
        <v>11145</v>
      </c>
      <c r="FV994" s="1" t="s">
        <v>200</v>
      </c>
      <c r="FW994" s="1" t="s">
        <v>290</v>
      </c>
      <c r="FX994" s="1" t="s">
        <v>238</v>
      </c>
      <c r="FZ994" s="1" t="s">
        <v>229</v>
      </c>
      <c r="GA994" s="1" t="s">
        <v>291</v>
      </c>
      <c r="GB994" s="2">
        <v>42101.0</v>
      </c>
      <c r="GC994" s="1" t="s">
        <v>11146</v>
      </c>
    </row>
    <row r="995">
      <c r="A995" s="1">
        <v>265000.0</v>
      </c>
      <c r="B995" s="1" t="s">
        <v>185</v>
      </c>
      <c r="C995" s="1" t="str">
        <f>"08614918"</f>
        <v>08614918</v>
      </c>
      <c r="D995" s="1" t="s">
        <v>186</v>
      </c>
      <c r="F995" s="1" t="str">
        <f t="shared" ref="F995:F996" si="657">"134"</f>
        <v>134</v>
      </c>
      <c r="G995" s="2">
        <v>41773.0</v>
      </c>
      <c r="H995" s="1">
        <v>364500.0</v>
      </c>
      <c r="I995" s="1">
        <v>196.0</v>
      </c>
      <c r="J995" s="1">
        <v>269900.0</v>
      </c>
      <c r="K995" s="2">
        <v>41968.0</v>
      </c>
      <c r="L995" s="1">
        <v>196.0</v>
      </c>
      <c r="M995" s="2">
        <v>41968.0</v>
      </c>
      <c r="N995" s="1" t="s">
        <v>187</v>
      </c>
      <c r="O995" s="2">
        <v>41992.0</v>
      </c>
      <c r="P995" s="1">
        <v>8384.0</v>
      </c>
      <c r="Q995" s="1">
        <v>49.0</v>
      </c>
      <c r="S995" s="1" t="s">
        <v>11147</v>
      </c>
      <c r="T995" s="1" t="s">
        <v>11148</v>
      </c>
      <c r="U995" s="1" t="s">
        <v>569</v>
      </c>
      <c r="V995" s="1" t="s">
        <v>421</v>
      </c>
      <c r="W995" s="1">
        <v>60134.0</v>
      </c>
      <c r="Y995" s="1" t="s">
        <v>11149</v>
      </c>
      <c r="Z995" s="1">
        <v>1996.0</v>
      </c>
      <c r="AA995" s="1" t="s">
        <v>200</v>
      </c>
      <c r="AB995" s="1" t="s">
        <v>193</v>
      </c>
      <c r="AC995" s="1" t="s">
        <v>7406</v>
      </c>
      <c r="AD995" s="1" t="s">
        <v>1089</v>
      </c>
      <c r="AE995" s="1" t="s">
        <v>325</v>
      </c>
      <c r="AF995" s="1" t="s">
        <v>1479</v>
      </c>
      <c r="AH995" s="1" t="s">
        <v>5725</v>
      </c>
      <c r="AI995" s="1">
        <v>0.17</v>
      </c>
      <c r="AK995" s="1">
        <v>10.0</v>
      </c>
      <c r="AL995" s="1">
        <v>4.0</v>
      </c>
      <c r="AM995" s="1">
        <v>3.0</v>
      </c>
      <c r="AN995" s="1">
        <v>1.0</v>
      </c>
      <c r="AO995" s="1" t="s">
        <v>198</v>
      </c>
      <c r="AP995" s="1">
        <v>1.0</v>
      </c>
      <c r="AQ995" s="1" t="s">
        <v>198</v>
      </c>
      <c r="AR995" s="1" t="s">
        <v>192</v>
      </c>
      <c r="AS995" s="1" t="s">
        <v>199</v>
      </c>
      <c r="AT995" s="1">
        <v>2.0</v>
      </c>
      <c r="AV995" s="1" t="s">
        <v>200</v>
      </c>
      <c r="AW995" s="1">
        <v>9299.54</v>
      </c>
      <c r="AX995" s="1">
        <v>2013.0</v>
      </c>
      <c r="AZ995" s="1" t="s">
        <v>200</v>
      </c>
      <c r="BA995" s="1" t="str">
        <f>"1112327004"</f>
        <v>1112327004</v>
      </c>
      <c r="BB995" s="1" t="s">
        <v>200</v>
      </c>
      <c r="BC995" s="1">
        <v>2365.0</v>
      </c>
      <c r="BD995" s="1">
        <v>265000.0</v>
      </c>
      <c r="BE995" s="2">
        <v>41773.0</v>
      </c>
      <c r="BF995" s="1" t="s">
        <v>11150</v>
      </c>
      <c r="BH995" s="1">
        <v>0.0</v>
      </c>
      <c r="BK995" s="1" t="s">
        <v>204</v>
      </c>
      <c r="BL995" s="1" t="str">
        <f t="shared" ref="BL995:BM995" si="656">"0"</f>
        <v>0</v>
      </c>
      <c r="BM995" s="1" t="str">
        <f t="shared" si="656"/>
        <v>0</v>
      </c>
      <c r="BN995" s="1">
        <v>39.0</v>
      </c>
      <c r="BO995" s="1">
        <v>0.0</v>
      </c>
      <c r="BQ995" s="1">
        <v>304.0</v>
      </c>
      <c r="BR995" s="1">
        <v>304.0</v>
      </c>
      <c r="BS995" s="1">
        <v>304.0</v>
      </c>
      <c r="BU995" s="1" t="s">
        <v>480</v>
      </c>
      <c r="BV995" s="1" t="s">
        <v>206</v>
      </c>
      <c r="BW995" s="1" t="s">
        <v>207</v>
      </c>
      <c r="BY995" s="1" t="s">
        <v>1117</v>
      </c>
      <c r="BZ995" s="1" t="s">
        <v>209</v>
      </c>
      <c r="CA995" s="1" t="s">
        <v>210</v>
      </c>
      <c r="CC995" s="1" t="s">
        <v>264</v>
      </c>
      <c r="CD995" s="1" t="s">
        <v>206</v>
      </c>
      <c r="CE995" s="1" t="s">
        <v>207</v>
      </c>
      <c r="CG995" s="1" t="s">
        <v>393</v>
      </c>
      <c r="CH995" s="1" t="s">
        <v>209</v>
      </c>
      <c r="CI995" s="1" t="s">
        <v>210</v>
      </c>
      <c r="CK995" s="1" t="s">
        <v>433</v>
      </c>
      <c r="CL995" s="1" t="s">
        <v>209</v>
      </c>
      <c r="CM995" s="1" t="s">
        <v>210</v>
      </c>
      <c r="CO995" s="1" t="s">
        <v>363</v>
      </c>
      <c r="CP995" s="1" t="s">
        <v>209</v>
      </c>
      <c r="CQ995" s="1" t="s">
        <v>210</v>
      </c>
      <c r="CS995" s="1" t="s">
        <v>1426</v>
      </c>
      <c r="CT995" s="1" t="s">
        <v>206</v>
      </c>
      <c r="CU995" s="1" t="s">
        <v>207</v>
      </c>
      <c r="CW995" s="1" t="s">
        <v>1426</v>
      </c>
      <c r="CX995" s="1" t="s">
        <v>206</v>
      </c>
      <c r="CY995" s="1" t="s">
        <v>210</v>
      </c>
      <c r="DA995" s="1" t="s">
        <v>200</v>
      </c>
      <c r="DC995" s="1" t="s">
        <v>678</v>
      </c>
      <c r="DD995" s="1" t="s">
        <v>518</v>
      </c>
      <c r="DE995" s="1" t="s">
        <v>273</v>
      </c>
      <c r="DF995" s="1" t="s">
        <v>219</v>
      </c>
      <c r="DH995" s="1" t="s">
        <v>220</v>
      </c>
      <c r="DI995" s="1" t="s">
        <v>9345</v>
      </c>
      <c r="DJ995" s="1" t="s">
        <v>222</v>
      </c>
      <c r="DL995" s="1" t="s">
        <v>224</v>
      </c>
      <c r="DM995" s="1" t="s">
        <v>229</v>
      </c>
      <c r="DN995" s="1" t="s">
        <v>548</v>
      </c>
      <c r="DP995" s="1" t="s">
        <v>340</v>
      </c>
      <c r="DQ995" s="1" t="s">
        <v>228</v>
      </c>
      <c r="DR995" s="1" t="s">
        <v>229</v>
      </c>
      <c r="DS995" s="1" t="s">
        <v>591</v>
      </c>
      <c r="DV995" s="1" t="s">
        <v>11151</v>
      </c>
      <c r="DW995" s="1" t="s">
        <v>233</v>
      </c>
      <c r="DX995" s="1" t="s">
        <v>234</v>
      </c>
      <c r="DY995" s="1" t="s">
        <v>11152</v>
      </c>
      <c r="DZ995" s="1" t="s">
        <v>766</v>
      </c>
      <c r="EC995" s="1" t="s">
        <v>237</v>
      </c>
      <c r="EG995" s="1" t="s">
        <v>450</v>
      </c>
      <c r="EH995" s="1" t="s">
        <v>1824</v>
      </c>
      <c r="EL995" s="1" t="s">
        <v>2014</v>
      </c>
      <c r="EM995" s="1" t="s">
        <v>42</v>
      </c>
      <c r="EN995" s="1" t="s">
        <v>210</v>
      </c>
      <c r="EP995" s="1" t="s">
        <v>363</v>
      </c>
      <c r="EQ995" s="1" t="s">
        <v>42</v>
      </c>
      <c r="ER995" s="1" t="s">
        <v>210</v>
      </c>
      <c r="EU995" s="1" t="s">
        <v>238</v>
      </c>
      <c r="EY995" s="1" t="s">
        <v>238</v>
      </c>
      <c r="FC995" s="1" t="s">
        <v>238</v>
      </c>
      <c r="FF995" s="1" t="s">
        <v>239</v>
      </c>
      <c r="FG995" s="1" t="s">
        <v>192</v>
      </c>
      <c r="FH995" s="1" t="s">
        <v>192</v>
      </c>
      <c r="FJ995" s="1" t="s">
        <v>11153</v>
      </c>
      <c r="FK995" s="1" t="s">
        <v>557</v>
      </c>
      <c r="FL995" s="1" t="s">
        <v>1855</v>
      </c>
      <c r="FM995" s="1">
        <v>41.0</v>
      </c>
      <c r="FN995" s="1" t="s">
        <v>1856</v>
      </c>
      <c r="FO995" s="1" t="s">
        <v>1857</v>
      </c>
      <c r="FP995" s="1">
        <v>8483.0</v>
      </c>
      <c r="FQ995" s="1" t="s">
        <v>1858</v>
      </c>
      <c r="FS995" s="1" t="s">
        <v>7114</v>
      </c>
      <c r="FT995" s="1" t="s">
        <v>1860</v>
      </c>
      <c r="FU995" s="1" t="s">
        <v>7115</v>
      </c>
      <c r="FV995" s="1" t="s">
        <v>200</v>
      </c>
      <c r="FW995" s="1" t="s">
        <v>354</v>
      </c>
      <c r="FZ995" s="1" t="s">
        <v>229</v>
      </c>
      <c r="GA995" s="1" t="s">
        <v>291</v>
      </c>
      <c r="GB995" s="2">
        <v>41992.0</v>
      </c>
      <c r="GC995" s="1" t="s">
        <v>1862</v>
      </c>
    </row>
    <row r="996">
      <c r="A996" s="1">
        <v>600000.0</v>
      </c>
      <c r="B996" s="1" t="s">
        <v>185</v>
      </c>
      <c r="C996" s="1" t="str">
        <f>"08704033"</f>
        <v>08704033</v>
      </c>
      <c r="D996" s="1" t="s">
        <v>186</v>
      </c>
      <c r="F996" s="1" t="str">
        <f t="shared" si="657"/>
        <v>134</v>
      </c>
      <c r="G996" s="2">
        <v>41868.0</v>
      </c>
      <c r="H996" s="1">
        <v>750000.0</v>
      </c>
      <c r="I996" s="1">
        <v>151.0</v>
      </c>
      <c r="J996" s="1">
        <v>625000.0</v>
      </c>
      <c r="K996" s="2">
        <v>42018.0</v>
      </c>
      <c r="L996" s="1">
        <v>151.0</v>
      </c>
      <c r="M996" s="2">
        <v>42018.0</v>
      </c>
      <c r="N996" s="1" t="s">
        <v>187</v>
      </c>
      <c r="O996" s="2">
        <v>42046.0</v>
      </c>
      <c r="P996" s="1">
        <v>1333.0</v>
      </c>
      <c r="Q996" s="1">
        <v>464.0</v>
      </c>
      <c r="S996" s="1">
        <v>1214.0</v>
      </c>
      <c r="T996" s="1" t="s">
        <v>11154</v>
      </c>
      <c r="U996" s="1" t="s">
        <v>844</v>
      </c>
      <c r="V996" s="1" t="s">
        <v>421</v>
      </c>
      <c r="W996" s="1">
        <v>60134.0</v>
      </c>
      <c r="Y996" s="1" t="s">
        <v>11155</v>
      </c>
      <c r="Z996" s="1">
        <v>2000.0</v>
      </c>
      <c r="AA996" s="1" t="s">
        <v>200</v>
      </c>
      <c r="AB996" s="1" t="s">
        <v>193</v>
      </c>
      <c r="AC996" s="1" t="s">
        <v>11156</v>
      </c>
      <c r="AD996" s="1" t="s">
        <v>424</v>
      </c>
      <c r="AE996" s="1" t="s">
        <v>325</v>
      </c>
      <c r="AF996" s="1" t="s">
        <v>424</v>
      </c>
      <c r="AH996" s="1" t="s">
        <v>11157</v>
      </c>
      <c r="AI996" s="1">
        <v>0.45</v>
      </c>
      <c r="AK996" s="1">
        <v>12.0</v>
      </c>
      <c r="AL996" s="1">
        <v>4.0</v>
      </c>
      <c r="AM996" s="1">
        <v>4.0</v>
      </c>
      <c r="AN996" s="1">
        <v>1.0</v>
      </c>
      <c r="AO996" s="1" t="s">
        <v>198</v>
      </c>
      <c r="AP996" s="1">
        <v>3.0</v>
      </c>
      <c r="AQ996" s="1" t="s">
        <v>198</v>
      </c>
      <c r="AR996" s="1" t="s">
        <v>192</v>
      </c>
      <c r="AS996" s="1" t="s">
        <v>199</v>
      </c>
      <c r="AT996" s="1">
        <v>3.0</v>
      </c>
      <c r="AV996" s="1" t="s">
        <v>200</v>
      </c>
      <c r="AW996" s="1">
        <v>14888.0</v>
      </c>
      <c r="AX996" s="1">
        <v>2013.0</v>
      </c>
      <c r="AY996" s="1" t="s">
        <v>387</v>
      </c>
      <c r="AZ996" s="1" t="s">
        <v>200</v>
      </c>
      <c r="BA996" s="1" t="str">
        <f>"1209427002"</f>
        <v>1209427002</v>
      </c>
      <c r="BB996" s="1" t="s">
        <v>192</v>
      </c>
      <c r="BC996" s="1">
        <v>4252.0</v>
      </c>
      <c r="BD996" s="1">
        <v>600000.0</v>
      </c>
      <c r="BE996" s="2">
        <v>41868.0</v>
      </c>
      <c r="BF996" s="2" t="s">
        <v>11158</v>
      </c>
      <c r="BG996" s="1" t="s">
        <v>3524</v>
      </c>
      <c r="BH996" s="1">
        <v>0.0</v>
      </c>
      <c r="BI996" s="1" t="s">
        <v>429</v>
      </c>
      <c r="BJ996" s="1" t="s">
        <v>430</v>
      </c>
      <c r="BK996" s="1" t="s">
        <v>204</v>
      </c>
      <c r="BL996" s="1" t="str">
        <f t="shared" ref="BL996:BM996" si="658">"0"</f>
        <v>0</v>
      </c>
      <c r="BM996" s="1" t="str">
        <f t="shared" si="658"/>
        <v>0</v>
      </c>
      <c r="BN996" s="1">
        <v>36.0</v>
      </c>
      <c r="BO996" s="1">
        <v>0.0</v>
      </c>
      <c r="BQ996" s="1">
        <v>304.0</v>
      </c>
      <c r="BR996" s="1">
        <v>304.0</v>
      </c>
      <c r="BS996" s="1">
        <v>304.0</v>
      </c>
      <c r="BU996" s="1" t="s">
        <v>544</v>
      </c>
      <c r="BV996" s="1" t="s">
        <v>206</v>
      </c>
      <c r="BW996" s="1" t="s">
        <v>210</v>
      </c>
      <c r="BX996" s="1" t="s">
        <v>239</v>
      </c>
      <c r="BY996" s="1" t="s">
        <v>769</v>
      </c>
      <c r="BZ996" s="1" t="s">
        <v>209</v>
      </c>
      <c r="CA996" s="1" t="s">
        <v>210</v>
      </c>
      <c r="CB996" s="1" t="s">
        <v>239</v>
      </c>
      <c r="CC996" s="1" t="s">
        <v>924</v>
      </c>
      <c r="CD996" s="1" t="s">
        <v>206</v>
      </c>
      <c r="CE996" s="1" t="s">
        <v>207</v>
      </c>
      <c r="CF996" s="1" t="s">
        <v>239</v>
      </c>
      <c r="CG996" s="1" t="s">
        <v>1483</v>
      </c>
      <c r="CH996" s="1" t="s">
        <v>209</v>
      </c>
      <c r="CI996" s="1" t="s">
        <v>210</v>
      </c>
      <c r="CJ996" s="1" t="s">
        <v>239</v>
      </c>
      <c r="CK996" s="1" t="s">
        <v>758</v>
      </c>
      <c r="CL996" s="1" t="s">
        <v>209</v>
      </c>
      <c r="CM996" s="1" t="s">
        <v>210</v>
      </c>
      <c r="CN996" s="1" t="s">
        <v>239</v>
      </c>
      <c r="CO996" s="1" t="s">
        <v>329</v>
      </c>
      <c r="CP996" s="1" t="s">
        <v>209</v>
      </c>
      <c r="CQ996" s="1" t="s">
        <v>210</v>
      </c>
      <c r="CR996" s="1" t="s">
        <v>239</v>
      </c>
      <c r="CS996" s="1" t="s">
        <v>9077</v>
      </c>
      <c r="CT996" s="1" t="s">
        <v>206</v>
      </c>
      <c r="CU996" s="1" t="s">
        <v>207</v>
      </c>
      <c r="CV996" s="1" t="s">
        <v>239</v>
      </c>
      <c r="CW996" s="1" t="s">
        <v>6858</v>
      </c>
      <c r="CX996" s="1" t="s">
        <v>206</v>
      </c>
      <c r="CY996" s="1" t="s">
        <v>210</v>
      </c>
      <c r="CZ996" s="1" t="s">
        <v>239</v>
      </c>
      <c r="DA996" s="1" t="s">
        <v>200</v>
      </c>
      <c r="DC996" s="1" t="s">
        <v>335</v>
      </c>
      <c r="DD996" s="1" t="s">
        <v>4137</v>
      </c>
      <c r="DE996" s="1" t="s">
        <v>218</v>
      </c>
      <c r="DF996" s="1" t="s">
        <v>745</v>
      </c>
      <c r="DG996" s="1" t="s">
        <v>482</v>
      </c>
      <c r="DH996" s="1" t="s">
        <v>220</v>
      </c>
      <c r="DI996" s="1" t="s">
        <v>11159</v>
      </c>
      <c r="DJ996" s="1" t="s">
        <v>222</v>
      </c>
      <c r="DK996" s="1" t="s">
        <v>223</v>
      </c>
      <c r="DL996" s="1" t="s">
        <v>858</v>
      </c>
      <c r="DM996" s="1" t="s">
        <v>929</v>
      </c>
      <c r="DN996" s="1" t="s">
        <v>961</v>
      </c>
      <c r="DO996" s="1" t="s">
        <v>717</v>
      </c>
      <c r="DP996" s="1" t="s">
        <v>340</v>
      </c>
      <c r="DQ996" s="1" t="s">
        <v>441</v>
      </c>
      <c r="DR996" s="1" t="s">
        <v>229</v>
      </c>
      <c r="DS996" s="1" t="s">
        <v>230</v>
      </c>
      <c r="DU996" s="1" t="s">
        <v>11160</v>
      </c>
      <c r="DV996" s="1" t="s">
        <v>11161</v>
      </c>
      <c r="DW996" s="1" t="s">
        <v>1145</v>
      </c>
      <c r="DX996" s="1" t="s">
        <v>234</v>
      </c>
      <c r="DY996" s="1" t="s">
        <v>11162</v>
      </c>
      <c r="DZ996" s="1" t="s">
        <v>11163</v>
      </c>
      <c r="EA996" s="1" t="s">
        <v>344</v>
      </c>
      <c r="EB996" s="1" t="s">
        <v>345</v>
      </c>
      <c r="EC996" s="1" t="s">
        <v>237</v>
      </c>
      <c r="ED996" s="1" t="s">
        <v>555</v>
      </c>
      <c r="EE996" s="1" t="s">
        <v>187</v>
      </c>
      <c r="EG996" s="1" t="s">
        <v>494</v>
      </c>
      <c r="EH996" s="1" t="s">
        <v>450</v>
      </c>
      <c r="EI996" s="1" t="s">
        <v>451</v>
      </c>
      <c r="EJ996" s="1" t="s">
        <v>1121</v>
      </c>
      <c r="EK996" s="1" t="s">
        <v>409</v>
      </c>
      <c r="EL996" s="1" t="s">
        <v>758</v>
      </c>
      <c r="EM996" s="1" t="s">
        <v>206</v>
      </c>
      <c r="EN996" s="1" t="s">
        <v>210</v>
      </c>
      <c r="EO996" s="1" t="s">
        <v>239</v>
      </c>
      <c r="EP996" s="1" t="s">
        <v>3658</v>
      </c>
      <c r="EQ996" s="1" t="s">
        <v>42</v>
      </c>
      <c r="ER996" s="1" t="s">
        <v>210</v>
      </c>
      <c r="ES996" s="1" t="s">
        <v>239</v>
      </c>
      <c r="ET996" s="1" t="s">
        <v>3832</v>
      </c>
      <c r="EU996" s="1" t="s">
        <v>42</v>
      </c>
      <c r="EV996" s="1" t="s">
        <v>210</v>
      </c>
      <c r="EW996" s="1" t="s">
        <v>239</v>
      </c>
      <c r="EX996" s="1" t="s">
        <v>1117</v>
      </c>
      <c r="EY996" s="1" t="s">
        <v>209</v>
      </c>
      <c r="EZ996" s="1" t="s">
        <v>210</v>
      </c>
      <c r="FA996" s="1" t="s">
        <v>239</v>
      </c>
      <c r="FB996" s="1" t="s">
        <v>497</v>
      </c>
      <c r="FC996" s="1" t="s">
        <v>209</v>
      </c>
      <c r="FD996" s="1" t="s">
        <v>210</v>
      </c>
      <c r="FE996" s="1" t="s">
        <v>229</v>
      </c>
      <c r="FF996" s="1" t="s">
        <v>239</v>
      </c>
      <c r="FG996" s="1" t="s">
        <v>192</v>
      </c>
      <c r="FH996" s="1" t="s">
        <v>200</v>
      </c>
      <c r="FJ996" s="1" t="s">
        <v>4598</v>
      </c>
      <c r="FK996" s="1" t="s">
        <v>348</v>
      </c>
      <c r="FL996" s="1" t="s">
        <v>1212</v>
      </c>
      <c r="FM996" s="1">
        <v>30.0</v>
      </c>
      <c r="FN996" s="1" t="s">
        <v>1213</v>
      </c>
      <c r="FO996" s="1" t="s">
        <v>4599</v>
      </c>
      <c r="FP996" s="1">
        <v>878.0</v>
      </c>
      <c r="FQ996" s="1" t="s">
        <v>4600</v>
      </c>
      <c r="FR996" s="1">
        <v>236610.0</v>
      </c>
      <c r="FU996" s="1" t="s">
        <v>11164</v>
      </c>
      <c r="FV996" s="1" t="s">
        <v>200</v>
      </c>
      <c r="FW996" s="1" t="s">
        <v>290</v>
      </c>
      <c r="FZ996" s="1" t="s">
        <v>229</v>
      </c>
      <c r="GA996" s="1" t="s">
        <v>291</v>
      </c>
      <c r="GB996" s="2">
        <v>42047.0</v>
      </c>
      <c r="GC996" s="1" t="s">
        <v>11165</v>
      </c>
    </row>
    <row r="997">
      <c r="A997" s="1">
        <v>218000.0</v>
      </c>
      <c r="B997" s="1" t="s">
        <v>185</v>
      </c>
      <c r="C997" s="1" t="str">
        <f>"08620449"</f>
        <v>08620449</v>
      </c>
      <c r="D997" s="1" t="s">
        <v>186</v>
      </c>
      <c r="F997" s="1" t="str">
        <f>"8064"</f>
        <v>8064</v>
      </c>
      <c r="G997" s="2">
        <v>41779.0</v>
      </c>
      <c r="H997" s="1">
        <v>224900.0</v>
      </c>
      <c r="I997" s="1">
        <v>204.0</v>
      </c>
      <c r="J997" s="1">
        <v>224900.0</v>
      </c>
      <c r="K997" s="2">
        <v>41982.0</v>
      </c>
      <c r="L997" s="1">
        <v>204.0</v>
      </c>
      <c r="M997" s="2">
        <v>41982.0</v>
      </c>
      <c r="N997" s="1" t="s">
        <v>634</v>
      </c>
      <c r="O997" s="2">
        <v>42037.0</v>
      </c>
      <c r="P997" s="1">
        <v>874351.0</v>
      </c>
      <c r="Q997" s="1">
        <v>13327.0</v>
      </c>
      <c r="S997" s="1">
        <v>6042.0</v>
      </c>
      <c r="T997" s="1" t="s">
        <v>3162</v>
      </c>
      <c r="U997" s="1" t="s">
        <v>320</v>
      </c>
      <c r="V997" s="1" t="s">
        <v>190</v>
      </c>
      <c r="W997" s="1">
        <v>60638.0</v>
      </c>
      <c r="Y997" s="1" t="s">
        <v>11166</v>
      </c>
      <c r="Z997" s="1">
        <v>1960.0</v>
      </c>
      <c r="AA997" s="1" t="s">
        <v>192</v>
      </c>
      <c r="AB997" s="1" t="s">
        <v>193</v>
      </c>
      <c r="AD997" s="1" t="s">
        <v>194</v>
      </c>
      <c r="AE997" s="1" t="s">
        <v>195</v>
      </c>
      <c r="AF997" s="1" t="s">
        <v>659</v>
      </c>
      <c r="AH997" s="1" t="s">
        <v>11167</v>
      </c>
      <c r="AI997" s="1">
        <v>0.1317</v>
      </c>
      <c r="AK997" s="1">
        <v>7.0</v>
      </c>
      <c r="AL997" s="1">
        <v>3.0</v>
      </c>
      <c r="AM997" s="1">
        <v>1.0</v>
      </c>
      <c r="AN997" s="1">
        <v>0.0</v>
      </c>
      <c r="AO997" s="1" t="s">
        <v>229</v>
      </c>
      <c r="AQ997" s="1" t="s">
        <v>198</v>
      </c>
      <c r="AR997" s="1" t="s">
        <v>200</v>
      </c>
      <c r="AS997" s="1" t="s">
        <v>199</v>
      </c>
      <c r="AT997" s="1">
        <v>2.5</v>
      </c>
      <c r="AV997" s="1" t="s">
        <v>200</v>
      </c>
      <c r="AW997" s="1">
        <v>2832.0</v>
      </c>
      <c r="AX997" s="1">
        <v>2012.0</v>
      </c>
      <c r="AY997" s="1" t="s">
        <v>387</v>
      </c>
      <c r="AZ997" s="1" t="s">
        <v>200</v>
      </c>
      <c r="BA997" s="1" t="str">
        <f>"19173080080000"</f>
        <v>19173080080000</v>
      </c>
      <c r="BC997" s="1">
        <v>1085.0</v>
      </c>
      <c r="BD997" s="1">
        <v>218000.0</v>
      </c>
      <c r="BE997" s="2">
        <v>41779.0</v>
      </c>
      <c r="BF997" s="1" t="s">
        <v>11168</v>
      </c>
      <c r="BH997" s="1">
        <v>0.0</v>
      </c>
      <c r="BK997" s="1" t="s">
        <v>204</v>
      </c>
      <c r="BL997" s="1" t="str">
        <f t="shared" ref="BL997:BM997" si="659">"0"</f>
        <v>0</v>
      </c>
      <c r="BM997" s="1" t="str">
        <f t="shared" si="659"/>
        <v>0</v>
      </c>
      <c r="BN997" s="1">
        <v>6042.0</v>
      </c>
      <c r="BO997" s="1">
        <v>6000.0</v>
      </c>
      <c r="BQ997" s="1">
        <v>299.0</v>
      </c>
      <c r="BR997" s="1">
        <v>299.0</v>
      </c>
      <c r="BS997" s="1">
        <v>299.0</v>
      </c>
      <c r="BU997" s="1" t="s">
        <v>664</v>
      </c>
      <c r="BV997" s="1" t="s">
        <v>206</v>
      </c>
      <c r="BW997" s="1" t="s">
        <v>207</v>
      </c>
      <c r="BY997" s="1" t="s">
        <v>331</v>
      </c>
      <c r="BZ997" s="1" t="s">
        <v>206</v>
      </c>
      <c r="CA997" s="1" t="s">
        <v>207</v>
      </c>
      <c r="CD997" s="1" t="s">
        <v>204</v>
      </c>
      <c r="CG997" s="1" t="s">
        <v>699</v>
      </c>
      <c r="CH997" s="1" t="s">
        <v>206</v>
      </c>
      <c r="CI997" s="1" t="s">
        <v>207</v>
      </c>
      <c r="CK997" s="1" t="s">
        <v>495</v>
      </c>
      <c r="CL997" s="1" t="s">
        <v>206</v>
      </c>
      <c r="CM997" s="1" t="s">
        <v>207</v>
      </c>
      <c r="CO997" s="1" t="s">
        <v>264</v>
      </c>
      <c r="CP997" s="1" t="s">
        <v>42</v>
      </c>
      <c r="CQ997" s="1" t="s">
        <v>617</v>
      </c>
      <c r="CS997" s="1" t="s">
        <v>1117</v>
      </c>
      <c r="CT997" s="1" t="s">
        <v>206</v>
      </c>
      <c r="CU997" s="1" t="s">
        <v>268</v>
      </c>
      <c r="CW997" s="1" t="s">
        <v>4387</v>
      </c>
      <c r="CX997" s="1" t="s">
        <v>42</v>
      </c>
      <c r="DA997" s="1" t="s">
        <v>200</v>
      </c>
      <c r="DC997" s="1" t="s">
        <v>271</v>
      </c>
      <c r="DD997" s="1" t="s">
        <v>518</v>
      </c>
      <c r="DE997" s="1" t="s">
        <v>273</v>
      </c>
      <c r="DF997" s="1" t="s">
        <v>219</v>
      </c>
      <c r="DG997" s="1" t="s">
        <v>337</v>
      </c>
      <c r="DH997" s="1" t="s">
        <v>365</v>
      </c>
      <c r="DJ997" s="1" t="s">
        <v>222</v>
      </c>
      <c r="DK997" s="1" t="s">
        <v>3740</v>
      </c>
      <c r="DL997" s="1" t="s">
        <v>224</v>
      </c>
      <c r="DM997" s="1" t="s">
        <v>229</v>
      </c>
      <c r="DO997" s="1" t="s">
        <v>549</v>
      </c>
      <c r="DQ997" s="1" t="s">
        <v>228</v>
      </c>
      <c r="DR997" s="1" t="s">
        <v>229</v>
      </c>
      <c r="DS997" s="1" t="s">
        <v>230</v>
      </c>
      <c r="DU997" s="1" t="s">
        <v>1355</v>
      </c>
      <c r="DV997" s="1" t="s">
        <v>232</v>
      </c>
      <c r="DW997" s="1" t="s">
        <v>279</v>
      </c>
      <c r="DX997" s="1" t="s">
        <v>234</v>
      </c>
      <c r="DY997" s="1" t="s">
        <v>704</v>
      </c>
      <c r="DZ997" s="1" t="s">
        <v>11169</v>
      </c>
      <c r="EC997" s="1" t="s">
        <v>311</v>
      </c>
      <c r="ED997" s="1" t="s">
        <v>407</v>
      </c>
      <c r="EM997" s="1" t="s">
        <v>238</v>
      </c>
      <c r="EQ997" s="1" t="s">
        <v>238</v>
      </c>
      <c r="EU997" s="1" t="s">
        <v>238</v>
      </c>
      <c r="EY997" s="1" t="s">
        <v>238</v>
      </c>
      <c r="FC997" s="1" t="s">
        <v>238</v>
      </c>
      <c r="FF997" s="1" t="s">
        <v>239</v>
      </c>
      <c r="FG997" s="1" t="s">
        <v>192</v>
      </c>
      <c r="FH997" s="1" t="s">
        <v>192</v>
      </c>
      <c r="FJ997" s="1" t="s">
        <v>5764</v>
      </c>
      <c r="FK997" s="1" t="s">
        <v>229</v>
      </c>
      <c r="FL997" s="1" t="s">
        <v>11170</v>
      </c>
      <c r="FM997" s="1">
        <v>12503.0</v>
      </c>
      <c r="FN997" s="1" t="s">
        <v>11171</v>
      </c>
      <c r="FO997" s="1" t="s">
        <v>11172</v>
      </c>
      <c r="FP997" s="1">
        <v>117452.0</v>
      </c>
      <c r="FQ997" s="1" t="s">
        <v>11171</v>
      </c>
      <c r="FU997" s="1" t="s">
        <v>11173</v>
      </c>
      <c r="FV997" s="1" t="s">
        <v>200</v>
      </c>
      <c r="FW997" s="1" t="s">
        <v>1293</v>
      </c>
      <c r="FX997" s="1" t="s">
        <v>246</v>
      </c>
      <c r="FZ997" s="1" t="s">
        <v>229</v>
      </c>
      <c r="GA997" s="1" t="s">
        <v>291</v>
      </c>
      <c r="GB997" s="2">
        <v>42039.0</v>
      </c>
    </row>
    <row r="998">
      <c r="A998" s="1">
        <v>289990.0</v>
      </c>
      <c r="B998" s="1" t="s">
        <v>185</v>
      </c>
      <c r="C998" s="1" t="str">
        <f>"08623771"</f>
        <v>08623771</v>
      </c>
      <c r="D998" s="1" t="s">
        <v>186</v>
      </c>
      <c r="F998" s="1" t="str">
        <f t="shared" ref="F998:F999" si="661">"543"</f>
        <v>543</v>
      </c>
      <c r="G998" s="2">
        <v>41782.0</v>
      </c>
      <c r="H998" s="1">
        <v>316127.0</v>
      </c>
      <c r="I998" s="1">
        <v>240.0</v>
      </c>
      <c r="J998" s="1">
        <v>289990.0</v>
      </c>
      <c r="K998" s="2">
        <v>42021.0</v>
      </c>
      <c r="L998" s="1">
        <v>240.0</v>
      </c>
      <c r="M998" s="2">
        <v>42021.0</v>
      </c>
      <c r="N998" s="1" t="s">
        <v>187</v>
      </c>
      <c r="O998" s="2">
        <v>42061.0</v>
      </c>
      <c r="P998" s="1">
        <v>99999.0</v>
      </c>
      <c r="Q998" s="1" t="s">
        <v>947</v>
      </c>
      <c r="S998" s="1">
        <v>276.0</v>
      </c>
      <c r="T998" s="1" t="s">
        <v>10400</v>
      </c>
      <c r="U998" s="1" t="s">
        <v>844</v>
      </c>
      <c r="V998" s="1" t="s">
        <v>1527</v>
      </c>
      <c r="W998" s="1">
        <v>60543.0</v>
      </c>
      <c r="Y998" s="1" t="s">
        <v>11174</v>
      </c>
      <c r="Z998" s="1">
        <v>2013.0</v>
      </c>
      <c r="AA998" s="1" t="s">
        <v>200</v>
      </c>
      <c r="AB998" s="1" t="s">
        <v>467</v>
      </c>
      <c r="AC998" s="1" t="s">
        <v>10402</v>
      </c>
      <c r="AD998" s="1" t="s">
        <v>1529</v>
      </c>
      <c r="AE998" s="1" t="s">
        <v>849</v>
      </c>
      <c r="AF998" s="1" t="s">
        <v>1529</v>
      </c>
      <c r="AG998" s="1" t="s">
        <v>8118</v>
      </c>
      <c r="AH998" s="1" t="s">
        <v>11175</v>
      </c>
      <c r="AK998" s="1">
        <v>10.0</v>
      </c>
      <c r="AL998" s="1">
        <v>4.0</v>
      </c>
      <c r="AM998" s="1">
        <v>2.0</v>
      </c>
      <c r="AN998" s="1">
        <v>1.0</v>
      </c>
      <c r="AO998" s="1" t="s">
        <v>198</v>
      </c>
      <c r="AQ998" s="1" t="s">
        <v>198</v>
      </c>
      <c r="AR998" s="1" t="s">
        <v>200</v>
      </c>
      <c r="AS998" s="1" t="s">
        <v>199</v>
      </c>
      <c r="AT998" s="1">
        <v>3.0</v>
      </c>
      <c r="AV998" s="1" t="s">
        <v>200</v>
      </c>
      <c r="AW998" s="1" t="s">
        <v>575</v>
      </c>
      <c r="AX998" s="1">
        <v>2013.0</v>
      </c>
      <c r="AZ998" s="1" t="s">
        <v>200</v>
      </c>
      <c r="BA998" s="1" t="str">
        <f>"0316330001"</f>
        <v>0316330001</v>
      </c>
      <c r="BB998" s="1" t="s">
        <v>200</v>
      </c>
      <c r="BC998" s="1">
        <v>2700.0</v>
      </c>
      <c r="BD998" s="1">
        <v>289990.0</v>
      </c>
      <c r="BE998" s="2">
        <v>41782.0</v>
      </c>
      <c r="BF998" s="2" t="s">
        <v>11176</v>
      </c>
      <c r="BG998" s="1" t="s">
        <v>8200</v>
      </c>
      <c r="BH998" s="1">
        <v>140.0</v>
      </c>
      <c r="BI998" s="1" t="s">
        <v>1533</v>
      </c>
      <c r="BJ998" s="1" t="s">
        <v>1349</v>
      </c>
      <c r="BK998" s="1" t="s">
        <v>1952</v>
      </c>
      <c r="BL998" s="1" t="str">
        <f t="shared" ref="BL998:BM998" si="660">""</f>
        <v/>
      </c>
      <c r="BM998" s="1" t="str">
        <f t="shared" si="660"/>
        <v/>
      </c>
      <c r="BQ998" s="1">
        <v>308.0</v>
      </c>
      <c r="BR998" s="1">
        <v>308.0</v>
      </c>
      <c r="BS998" s="1">
        <v>308.0</v>
      </c>
      <c r="BU998" s="1" t="s">
        <v>212</v>
      </c>
      <c r="BV998" s="1" t="s">
        <v>206</v>
      </c>
      <c r="BW998" s="1" t="s">
        <v>301</v>
      </c>
      <c r="BX998" s="1" t="s">
        <v>229</v>
      </c>
      <c r="BY998" s="1" t="s">
        <v>662</v>
      </c>
      <c r="BZ998" s="1" t="s">
        <v>209</v>
      </c>
      <c r="CA998" s="1" t="s">
        <v>210</v>
      </c>
      <c r="CB998" s="1" t="s">
        <v>229</v>
      </c>
      <c r="CC998" s="1" t="s">
        <v>1351</v>
      </c>
      <c r="CD998" s="1" t="s">
        <v>206</v>
      </c>
      <c r="CE998" s="1" t="s">
        <v>301</v>
      </c>
      <c r="CF998" s="1" t="s">
        <v>229</v>
      </c>
      <c r="CG998" s="1" t="s">
        <v>1351</v>
      </c>
      <c r="CH998" s="1" t="s">
        <v>209</v>
      </c>
      <c r="CI998" s="1" t="s">
        <v>210</v>
      </c>
      <c r="CJ998" s="1" t="s">
        <v>229</v>
      </c>
      <c r="CK998" s="1" t="s">
        <v>302</v>
      </c>
      <c r="CL998" s="1" t="s">
        <v>209</v>
      </c>
      <c r="CM998" s="1" t="s">
        <v>210</v>
      </c>
      <c r="CO998" s="1" t="s">
        <v>212</v>
      </c>
      <c r="CP998" s="1" t="s">
        <v>209</v>
      </c>
      <c r="CQ998" s="1" t="s">
        <v>210</v>
      </c>
      <c r="CR998" s="1" t="s">
        <v>229</v>
      </c>
      <c r="CS998" s="1" t="s">
        <v>262</v>
      </c>
      <c r="CT998" s="1" t="s">
        <v>206</v>
      </c>
      <c r="CU998" s="1" t="s">
        <v>301</v>
      </c>
      <c r="CV998" s="1" t="s">
        <v>229</v>
      </c>
      <c r="CW998" s="1" t="s">
        <v>214</v>
      </c>
      <c r="CX998" s="1" t="s">
        <v>206</v>
      </c>
      <c r="CY998" s="1" t="s">
        <v>301</v>
      </c>
      <c r="CZ998" s="1" t="s">
        <v>229</v>
      </c>
      <c r="DA998" s="1" t="s">
        <v>192</v>
      </c>
      <c r="DB998" s="2">
        <v>41908.0</v>
      </c>
      <c r="DC998" s="1" t="s">
        <v>744</v>
      </c>
      <c r="DD998" s="1" t="s">
        <v>4137</v>
      </c>
      <c r="DE998" s="1" t="s">
        <v>273</v>
      </c>
      <c r="DF998" s="1" t="s">
        <v>219</v>
      </c>
      <c r="DG998" s="1" t="s">
        <v>6030</v>
      </c>
      <c r="DH998" s="1" t="s">
        <v>220</v>
      </c>
      <c r="DI998" s="1" t="s">
        <v>589</v>
      </c>
      <c r="DJ998" s="1" t="s">
        <v>222</v>
      </c>
      <c r="DL998" s="1" t="s">
        <v>223</v>
      </c>
      <c r="DM998" s="1" t="s">
        <v>338</v>
      </c>
      <c r="DN998" s="1" t="s">
        <v>548</v>
      </c>
      <c r="DP998" s="1" t="s">
        <v>340</v>
      </c>
      <c r="DQ998" s="1" t="s">
        <v>441</v>
      </c>
      <c r="DR998" s="1" t="s">
        <v>1980</v>
      </c>
      <c r="DS998" s="1" t="s">
        <v>591</v>
      </c>
      <c r="DU998" s="1" t="s">
        <v>550</v>
      </c>
      <c r="DV998" s="1" t="s">
        <v>8941</v>
      </c>
      <c r="DW998" s="1" t="s">
        <v>233</v>
      </c>
      <c r="DX998" s="1" t="s">
        <v>234</v>
      </c>
      <c r="DY998" s="1" t="s">
        <v>342</v>
      </c>
      <c r="EA998" s="1" t="s">
        <v>344</v>
      </c>
      <c r="EC998" s="1" t="s">
        <v>237</v>
      </c>
      <c r="EE998" s="1" t="s">
        <v>493</v>
      </c>
      <c r="EG998" s="1" t="s">
        <v>556</v>
      </c>
      <c r="EI998" s="1" t="s">
        <v>341</v>
      </c>
      <c r="EL998" s="1" t="s">
        <v>212</v>
      </c>
      <c r="EM998" s="1" t="s">
        <v>206</v>
      </c>
      <c r="EN998" s="1" t="s">
        <v>301</v>
      </c>
      <c r="EO998" s="1" t="s">
        <v>229</v>
      </c>
      <c r="EQ998" s="1" t="s">
        <v>238</v>
      </c>
      <c r="ET998" s="1" t="s">
        <v>211</v>
      </c>
      <c r="EU998" s="1" t="s">
        <v>209</v>
      </c>
      <c r="EV998" s="1" t="s">
        <v>210</v>
      </c>
      <c r="EW998" s="1" t="s">
        <v>229</v>
      </c>
      <c r="EY998" s="1" t="s">
        <v>238</v>
      </c>
      <c r="FC998" s="1" t="s">
        <v>238</v>
      </c>
      <c r="FF998" s="1" t="s">
        <v>239</v>
      </c>
      <c r="FG998" s="1" t="s">
        <v>192</v>
      </c>
      <c r="FH998" s="1" t="s">
        <v>192</v>
      </c>
      <c r="FJ998" s="1" t="s">
        <v>347</v>
      </c>
      <c r="FK998" s="1" t="s">
        <v>229</v>
      </c>
      <c r="FL998" s="1" t="s">
        <v>2448</v>
      </c>
      <c r="FM998" s="1">
        <v>92038.0</v>
      </c>
      <c r="FN998" s="1" t="s">
        <v>2449</v>
      </c>
      <c r="FO998" s="1" t="s">
        <v>2450</v>
      </c>
      <c r="FP998" s="1">
        <v>21137.0</v>
      </c>
      <c r="FQ998" s="1" t="s">
        <v>2451</v>
      </c>
      <c r="FS998" s="1" t="s">
        <v>10407</v>
      </c>
      <c r="FU998" s="1" t="s">
        <v>11177</v>
      </c>
      <c r="FV998" s="1" t="s">
        <v>200</v>
      </c>
      <c r="FW998" s="1" t="s">
        <v>10410</v>
      </c>
      <c r="FZ998" s="1" t="s">
        <v>229</v>
      </c>
      <c r="GA998" s="1" t="s">
        <v>291</v>
      </c>
      <c r="GB998" s="2">
        <v>42064.0</v>
      </c>
      <c r="GC998" s="1" t="s">
        <v>11178</v>
      </c>
    </row>
    <row r="999">
      <c r="A999" s="1">
        <v>385000.0</v>
      </c>
      <c r="B999" s="1" t="s">
        <v>185</v>
      </c>
      <c r="C999" s="1" t="str">
        <f>"08613299"</f>
        <v>08613299</v>
      </c>
      <c r="D999" s="1" t="s">
        <v>186</v>
      </c>
      <c r="F999" s="1" t="str">
        <f t="shared" si="661"/>
        <v>543</v>
      </c>
      <c r="G999" s="2">
        <v>41772.0</v>
      </c>
      <c r="H999" s="1">
        <v>393320.0</v>
      </c>
      <c r="I999" s="1">
        <v>305.0</v>
      </c>
      <c r="J999" s="1">
        <v>389990.0</v>
      </c>
      <c r="K999" s="2">
        <v>42076.0</v>
      </c>
      <c r="L999" s="1">
        <v>305.0</v>
      </c>
      <c r="M999" s="2">
        <v>42076.0</v>
      </c>
      <c r="N999" s="1" t="s">
        <v>249</v>
      </c>
      <c r="O999" s="2">
        <v>42090.0</v>
      </c>
      <c r="P999" s="1">
        <v>99999.0</v>
      </c>
      <c r="Q999" s="1" t="s">
        <v>947</v>
      </c>
      <c r="S999" s="1">
        <v>386.0</v>
      </c>
      <c r="T999" s="1" t="s">
        <v>10993</v>
      </c>
      <c r="U999" s="1" t="s">
        <v>1015</v>
      </c>
      <c r="V999" s="1" t="s">
        <v>1527</v>
      </c>
      <c r="W999" s="1">
        <v>60543.0</v>
      </c>
      <c r="Y999" s="1" t="s">
        <v>11179</v>
      </c>
      <c r="Z999" s="1">
        <v>2014.0</v>
      </c>
      <c r="AA999" s="1" t="s">
        <v>200</v>
      </c>
      <c r="AB999" s="1" t="s">
        <v>467</v>
      </c>
      <c r="AC999" s="1" t="s">
        <v>8196</v>
      </c>
      <c r="AD999" s="1" t="s">
        <v>1529</v>
      </c>
      <c r="AE999" s="1" t="s">
        <v>849</v>
      </c>
      <c r="AF999" s="1" t="s">
        <v>1529</v>
      </c>
      <c r="AG999" s="1" t="s">
        <v>11180</v>
      </c>
      <c r="AH999" s="1" t="s">
        <v>11181</v>
      </c>
      <c r="AK999" s="1">
        <v>10.0</v>
      </c>
      <c r="AL999" s="1">
        <v>4.0</v>
      </c>
      <c r="AM999" s="1">
        <v>3.0</v>
      </c>
      <c r="AN999" s="1">
        <v>1.0</v>
      </c>
      <c r="AO999" s="1" t="s">
        <v>198</v>
      </c>
      <c r="AQ999" s="1" t="s">
        <v>198</v>
      </c>
      <c r="AR999" s="1" t="s">
        <v>200</v>
      </c>
      <c r="AS999" s="1" t="s">
        <v>199</v>
      </c>
      <c r="AT999" s="1">
        <v>3.0</v>
      </c>
      <c r="AV999" s="1" t="s">
        <v>200</v>
      </c>
      <c r="AW999" s="1" t="s">
        <v>575</v>
      </c>
      <c r="AX999" s="1">
        <v>2013.0</v>
      </c>
      <c r="AZ999" s="1" t="s">
        <v>200</v>
      </c>
      <c r="BA999" s="1" t="str">
        <f>"0321179021"</f>
        <v>0321179021</v>
      </c>
      <c r="BB999" s="1" t="s">
        <v>200</v>
      </c>
      <c r="BC999" s="1">
        <v>3815.0</v>
      </c>
      <c r="BD999" s="1">
        <v>385000.0</v>
      </c>
      <c r="BE999" s="2">
        <v>41772.0</v>
      </c>
      <c r="BF999" s="2" t="s">
        <v>11182</v>
      </c>
      <c r="BG999" s="1" t="s">
        <v>8200</v>
      </c>
      <c r="BH999" s="1">
        <v>150.0</v>
      </c>
      <c r="BI999" s="1" t="s">
        <v>1533</v>
      </c>
      <c r="BJ999" s="1" t="s">
        <v>1349</v>
      </c>
      <c r="BK999" s="1" t="s">
        <v>1952</v>
      </c>
      <c r="BL999" s="1" t="str">
        <f t="shared" ref="BL999:BM999" si="662">""</f>
        <v/>
      </c>
      <c r="BM999" s="1" t="str">
        <f t="shared" si="662"/>
        <v/>
      </c>
      <c r="BQ999" s="1">
        <v>308.0</v>
      </c>
      <c r="BR999" s="1">
        <v>308.0</v>
      </c>
      <c r="BS999" s="1">
        <v>308.0</v>
      </c>
      <c r="BV999" s="1" t="s">
        <v>204</v>
      </c>
      <c r="BY999" s="1" t="s">
        <v>1206</v>
      </c>
      <c r="BZ999" s="1" t="s">
        <v>209</v>
      </c>
      <c r="CA999" s="1" t="s">
        <v>210</v>
      </c>
      <c r="CC999" s="1" t="s">
        <v>332</v>
      </c>
      <c r="CD999" s="1" t="s">
        <v>206</v>
      </c>
      <c r="CE999" s="1" t="s">
        <v>207</v>
      </c>
      <c r="CG999" s="1" t="s">
        <v>215</v>
      </c>
      <c r="CH999" s="1" t="s">
        <v>209</v>
      </c>
      <c r="CI999" s="1" t="s">
        <v>210</v>
      </c>
      <c r="CK999" s="1" t="s">
        <v>433</v>
      </c>
      <c r="CL999" s="1" t="s">
        <v>209</v>
      </c>
      <c r="CM999" s="1" t="s">
        <v>210</v>
      </c>
      <c r="CO999" s="1" t="s">
        <v>433</v>
      </c>
      <c r="CP999" s="1" t="s">
        <v>209</v>
      </c>
      <c r="CQ999" s="1" t="s">
        <v>210</v>
      </c>
      <c r="CS999" s="1" t="s">
        <v>392</v>
      </c>
      <c r="CT999" s="1" t="s">
        <v>206</v>
      </c>
      <c r="CU999" s="1" t="s">
        <v>207</v>
      </c>
      <c r="CW999" s="1" t="s">
        <v>330</v>
      </c>
      <c r="CX999" s="1" t="s">
        <v>206</v>
      </c>
      <c r="CY999" s="1" t="s">
        <v>207</v>
      </c>
      <c r="DA999" s="1" t="s">
        <v>192</v>
      </c>
      <c r="DB999" s="2">
        <v>42093.0</v>
      </c>
      <c r="DC999" s="1" t="s">
        <v>1353</v>
      </c>
      <c r="DD999" s="1" t="s">
        <v>786</v>
      </c>
      <c r="DE999" s="1" t="s">
        <v>273</v>
      </c>
      <c r="DF999" s="1" t="s">
        <v>219</v>
      </c>
      <c r="DG999" s="1" t="s">
        <v>8201</v>
      </c>
      <c r="DH999" s="1" t="s">
        <v>220</v>
      </c>
      <c r="DI999" s="1" t="s">
        <v>8202</v>
      </c>
      <c r="DJ999" s="1" t="s">
        <v>222</v>
      </c>
      <c r="DK999" s="1" t="s">
        <v>223</v>
      </c>
      <c r="DL999" s="1" t="s">
        <v>3611</v>
      </c>
      <c r="DM999" s="1" t="s">
        <v>338</v>
      </c>
      <c r="DN999" s="1" t="s">
        <v>485</v>
      </c>
      <c r="DP999" s="1" t="s">
        <v>340</v>
      </c>
      <c r="DQ999" s="1" t="s">
        <v>228</v>
      </c>
      <c r="DR999" s="1" t="s">
        <v>588</v>
      </c>
      <c r="DS999" s="1" t="s">
        <v>368</v>
      </c>
      <c r="DU999" s="1" t="s">
        <v>550</v>
      </c>
      <c r="DV999" s="1" t="s">
        <v>11183</v>
      </c>
      <c r="DW999" s="1" t="s">
        <v>8203</v>
      </c>
      <c r="DX999" s="1" t="s">
        <v>234</v>
      </c>
      <c r="DY999" s="1" t="s">
        <v>1051</v>
      </c>
      <c r="DZ999" s="1" t="s">
        <v>405</v>
      </c>
      <c r="EA999" s="1" t="s">
        <v>344</v>
      </c>
      <c r="EC999" s="1" t="s">
        <v>237</v>
      </c>
      <c r="EE999" s="1" t="s">
        <v>493</v>
      </c>
      <c r="EG999" s="1" t="s">
        <v>449</v>
      </c>
      <c r="EH999" s="1" t="s">
        <v>1028</v>
      </c>
      <c r="EJ999" s="1" t="s">
        <v>341</v>
      </c>
      <c r="EL999" s="1" t="s">
        <v>264</v>
      </c>
      <c r="EM999" s="1" t="s">
        <v>206</v>
      </c>
      <c r="EN999" s="1" t="s">
        <v>207</v>
      </c>
      <c r="EP999" s="1" t="s">
        <v>363</v>
      </c>
      <c r="EQ999" s="1" t="s">
        <v>206</v>
      </c>
      <c r="EU999" s="1" t="s">
        <v>238</v>
      </c>
      <c r="EX999" s="1" t="s">
        <v>329</v>
      </c>
      <c r="EY999" s="1" t="s">
        <v>209</v>
      </c>
      <c r="FC999" s="1" t="s">
        <v>238</v>
      </c>
      <c r="FF999" s="1" t="s">
        <v>239</v>
      </c>
      <c r="FG999" s="1" t="s">
        <v>192</v>
      </c>
      <c r="FH999" s="1" t="s">
        <v>192</v>
      </c>
      <c r="FJ999" s="1" t="s">
        <v>11184</v>
      </c>
      <c r="FK999" s="1" t="s">
        <v>557</v>
      </c>
      <c r="FL999" s="1" t="s">
        <v>8206</v>
      </c>
      <c r="FM999" s="1">
        <v>23223.0</v>
      </c>
      <c r="FN999" s="1" t="s">
        <v>8207</v>
      </c>
      <c r="FO999" s="1" t="s">
        <v>8208</v>
      </c>
      <c r="FP999" s="1">
        <v>236300.0</v>
      </c>
      <c r="FR999" s="1">
        <v>210778.0</v>
      </c>
      <c r="FT999" s="1" t="s">
        <v>11002</v>
      </c>
      <c r="FU999" s="1" t="s">
        <v>11185</v>
      </c>
      <c r="FV999" s="1" t="s">
        <v>200</v>
      </c>
      <c r="FW999" s="1" t="s">
        <v>8211</v>
      </c>
      <c r="FZ999" s="1" t="s">
        <v>229</v>
      </c>
      <c r="GA999" s="1" t="s">
        <v>247</v>
      </c>
      <c r="GB999" s="2">
        <v>42093.0</v>
      </c>
      <c r="GC999" s="1" t="s">
        <v>11186</v>
      </c>
    </row>
    <row r="1000">
      <c r="A1000" s="1">
        <v>220000.0</v>
      </c>
      <c r="B1000" s="1" t="s">
        <v>185</v>
      </c>
      <c r="C1000" s="1" t="str">
        <f>"08616932"</f>
        <v>08616932</v>
      </c>
      <c r="D1000" s="1" t="s">
        <v>186</v>
      </c>
      <c r="F1000" s="1" t="str">
        <f>"110"</f>
        <v>110</v>
      </c>
      <c r="G1000" s="2">
        <v>41775.0</v>
      </c>
      <c r="H1000" s="1">
        <v>226000.0</v>
      </c>
      <c r="I1000" s="1">
        <v>24.0</v>
      </c>
      <c r="J1000" s="1">
        <v>226000.0</v>
      </c>
      <c r="K1000" s="2">
        <v>41798.0</v>
      </c>
      <c r="L1000" s="1">
        <v>24.0</v>
      </c>
      <c r="M1000" s="2">
        <v>41798.0</v>
      </c>
      <c r="N1000" s="1" t="s">
        <v>356</v>
      </c>
      <c r="O1000" s="2">
        <v>42041.0</v>
      </c>
      <c r="P1000" s="1">
        <v>84713.0</v>
      </c>
      <c r="Q1000" s="1">
        <v>1109.0</v>
      </c>
      <c r="S1000" s="1">
        <v>418.0</v>
      </c>
      <c r="T1000" s="1" t="s">
        <v>11187</v>
      </c>
      <c r="U1000" s="1" t="s">
        <v>569</v>
      </c>
      <c r="V1000" s="1" t="s">
        <v>807</v>
      </c>
      <c r="W1000" s="1">
        <v>60110.0</v>
      </c>
      <c r="Y1000" s="1" t="s">
        <v>11188</v>
      </c>
      <c r="Z1000" s="1">
        <v>1995.0</v>
      </c>
      <c r="AA1000" s="1" t="s">
        <v>200</v>
      </c>
      <c r="AB1000" s="1" t="s">
        <v>193</v>
      </c>
      <c r="AC1000" s="1" t="s">
        <v>11189</v>
      </c>
      <c r="AD1000" s="1" t="s">
        <v>809</v>
      </c>
      <c r="AE1000" s="1" t="s">
        <v>325</v>
      </c>
      <c r="AF1000" s="1" t="s">
        <v>810</v>
      </c>
      <c r="AH1000" s="1" t="s">
        <v>11190</v>
      </c>
      <c r="AK1000" s="1">
        <v>11.0</v>
      </c>
      <c r="AL1000" s="1">
        <v>4.0</v>
      </c>
      <c r="AM1000" s="1">
        <v>2.0</v>
      </c>
      <c r="AN1000" s="1">
        <v>2.0</v>
      </c>
      <c r="AO1000" s="1" t="s">
        <v>198</v>
      </c>
      <c r="AP1000" s="1">
        <v>1.0</v>
      </c>
      <c r="AQ1000" s="1" t="s">
        <v>198</v>
      </c>
      <c r="AR1000" s="1" t="s">
        <v>192</v>
      </c>
      <c r="AS1000" s="1" t="s">
        <v>199</v>
      </c>
      <c r="AT1000" s="1">
        <v>2.0</v>
      </c>
      <c r="AV1000" s="1" t="s">
        <v>200</v>
      </c>
      <c r="AW1000" s="1">
        <v>6445.04</v>
      </c>
      <c r="AX1000" s="1">
        <v>2012.0</v>
      </c>
      <c r="AZ1000" s="1" t="s">
        <v>545</v>
      </c>
      <c r="BA1000" s="1" t="str">
        <f>"0321203011"</f>
        <v>0321203011</v>
      </c>
      <c r="BC1000" s="1">
        <v>2240.0</v>
      </c>
      <c r="BD1000" s="1">
        <v>220000.0</v>
      </c>
      <c r="BE1000" s="2">
        <v>41775.0</v>
      </c>
      <c r="BF1000" s="2" t="s">
        <v>11191</v>
      </c>
      <c r="BG1000" s="1" t="s">
        <v>3486</v>
      </c>
      <c r="BH1000" s="1">
        <v>0.0</v>
      </c>
      <c r="BI1000" s="1" t="s">
        <v>1093</v>
      </c>
      <c r="BJ1000" s="1" t="s">
        <v>1759</v>
      </c>
      <c r="BK1000" s="1" t="s">
        <v>204</v>
      </c>
      <c r="BL1000" s="1" t="str">
        <f t="shared" ref="BL1000:BM1000" si="663">""</f>
        <v/>
      </c>
      <c r="BM1000" s="1" t="str">
        <f t="shared" si="663"/>
        <v/>
      </c>
      <c r="BQ1000" s="1">
        <v>300.0</v>
      </c>
      <c r="BR1000" s="1">
        <v>300.0</v>
      </c>
      <c r="BS1000" s="1">
        <v>300.0</v>
      </c>
      <c r="BU1000" s="1" t="s">
        <v>758</v>
      </c>
      <c r="BV1000" s="1" t="s">
        <v>206</v>
      </c>
      <c r="BW1000" s="1" t="s">
        <v>210</v>
      </c>
      <c r="BX1000" s="1" t="s">
        <v>431</v>
      </c>
      <c r="BY1000" s="1" t="s">
        <v>433</v>
      </c>
      <c r="BZ1000" s="1" t="s">
        <v>209</v>
      </c>
      <c r="CA1000" s="1" t="s">
        <v>210</v>
      </c>
      <c r="CB1000" s="1" t="s">
        <v>1549</v>
      </c>
      <c r="CC1000" s="1" t="s">
        <v>497</v>
      </c>
      <c r="CD1000" s="1" t="s">
        <v>206</v>
      </c>
      <c r="CE1000" s="1" t="s">
        <v>210</v>
      </c>
      <c r="CF1000" s="1" t="s">
        <v>229</v>
      </c>
      <c r="CG1000" s="1" t="s">
        <v>211</v>
      </c>
      <c r="CH1000" s="1" t="s">
        <v>209</v>
      </c>
      <c r="CI1000" s="1" t="s">
        <v>210</v>
      </c>
      <c r="CJ1000" s="1" t="s">
        <v>229</v>
      </c>
      <c r="CK1000" s="1" t="s">
        <v>454</v>
      </c>
      <c r="CL1000" s="1" t="s">
        <v>209</v>
      </c>
      <c r="CM1000" s="1" t="s">
        <v>210</v>
      </c>
      <c r="CN1000" s="1" t="s">
        <v>1549</v>
      </c>
      <c r="CO1000" s="1" t="s">
        <v>495</v>
      </c>
      <c r="CP1000" s="1" t="s">
        <v>209</v>
      </c>
      <c r="CQ1000" s="1" t="s">
        <v>210</v>
      </c>
      <c r="CR1000" s="1" t="s">
        <v>229</v>
      </c>
      <c r="CS1000" s="1" t="s">
        <v>264</v>
      </c>
      <c r="CT1000" s="1" t="s">
        <v>206</v>
      </c>
      <c r="CU1000" s="1" t="s">
        <v>301</v>
      </c>
      <c r="CV1000" s="1" t="s">
        <v>229</v>
      </c>
      <c r="CW1000" s="1" t="s">
        <v>432</v>
      </c>
      <c r="CX1000" s="1" t="s">
        <v>206</v>
      </c>
      <c r="CY1000" s="1" t="s">
        <v>301</v>
      </c>
      <c r="CZ1000" s="1" t="s">
        <v>229</v>
      </c>
      <c r="DA1000" s="1" t="s">
        <v>200</v>
      </c>
      <c r="DC1000" s="1" t="s">
        <v>678</v>
      </c>
      <c r="DD1000" s="1" t="s">
        <v>855</v>
      </c>
      <c r="DE1000" s="1" t="s">
        <v>273</v>
      </c>
      <c r="DF1000" s="1" t="s">
        <v>619</v>
      </c>
      <c r="DH1000" s="1" t="s">
        <v>220</v>
      </c>
      <c r="DI1000" s="1" t="s">
        <v>519</v>
      </c>
      <c r="DJ1000" s="1" t="s">
        <v>222</v>
      </c>
      <c r="DL1000" s="1" t="s">
        <v>224</v>
      </c>
      <c r="DM1000" s="1" t="s">
        <v>338</v>
      </c>
      <c r="DN1000" s="1" t="s">
        <v>485</v>
      </c>
      <c r="DO1000" s="1" t="s">
        <v>11192</v>
      </c>
      <c r="DP1000" s="1" t="s">
        <v>340</v>
      </c>
      <c r="DQ1000" s="1" t="s">
        <v>228</v>
      </c>
      <c r="DR1000" s="1" t="s">
        <v>229</v>
      </c>
      <c r="DS1000" s="1" t="s">
        <v>230</v>
      </c>
      <c r="DU1000" s="1" t="s">
        <v>3021</v>
      </c>
      <c r="DV1000" s="1" t="s">
        <v>11193</v>
      </c>
      <c r="DW1000" s="1" t="s">
        <v>233</v>
      </c>
      <c r="DX1000" s="1" t="s">
        <v>234</v>
      </c>
      <c r="DY1000" s="1" t="s">
        <v>11194</v>
      </c>
      <c r="DZ1000" s="1" t="s">
        <v>862</v>
      </c>
      <c r="EA1000" s="1" t="s">
        <v>447</v>
      </c>
      <c r="EB1000" s="1" t="s">
        <v>345</v>
      </c>
      <c r="EC1000" s="1" t="s">
        <v>237</v>
      </c>
      <c r="ED1000" s="1" t="s">
        <v>407</v>
      </c>
      <c r="EG1000" s="1" t="s">
        <v>449</v>
      </c>
      <c r="EH1000" s="1" t="s">
        <v>450</v>
      </c>
      <c r="EI1000" s="1" t="s">
        <v>1824</v>
      </c>
      <c r="EJ1000" s="1" t="s">
        <v>310</v>
      </c>
      <c r="EL1000" s="1" t="s">
        <v>721</v>
      </c>
      <c r="EM1000" s="1" t="s">
        <v>206</v>
      </c>
      <c r="EN1000" s="1" t="s">
        <v>301</v>
      </c>
      <c r="EO1000" s="1" t="s">
        <v>1549</v>
      </c>
      <c r="EP1000" s="1" t="s">
        <v>783</v>
      </c>
      <c r="EQ1000" s="1" t="s">
        <v>267</v>
      </c>
      <c r="ER1000" s="1" t="s">
        <v>210</v>
      </c>
      <c r="ES1000" s="1" t="s">
        <v>229</v>
      </c>
      <c r="ET1000" s="1" t="s">
        <v>2132</v>
      </c>
      <c r="EU1000" s="1" t="s">
        <v>267</v>
      </c>
      <c r="EV1000" s="1" t="s">
        <v>210</v>
      </c>
      <c r="EW1000" s="1" t="s">
        <v>229</v>
      </c>
      <c r="EX1000" s="1" t="s">
        <v>11195</v>
      </c>
      <c r="EY1000" s="1" t="s">
        <v>206</v>
      </c>
      <c r="EZ1000" s="1" t="s">
        <v>588</v>
      </c>
      <c r="FA1000" s="1" t="s">
        <v>229</v>
      </c>
      <c r="FC1000" s="1" t="s">
        <v>238</v>
      </c>
      <c r="FF1000" s="1" t="s">
        <v>239</v>
      </c>
      <c r="FG1000" s="1" t="s">
        <v>192</v>
      </c>
      <c r="FH1000" s="1" t="s">
        <v>192</v>
      </c>
      <c r="FJ1000" s="1" t="s">
        <v>799</v>
      </c>
      <c r="FK1000" s="1" t="s">
        <v>1586</v>
      </c>
      <c r="FL1000" s="1" t="s">
        <v>2026</v>
      </c>
      <c r="FM1000" s="1">
        <v>6018.0</v>
      </c>
      <c r="FN1000" s="1" t="s">
        <v>2027</v>
      </c>
      <c r="FO1000" s="1" t="s">
        <v>11196</v>
      </c>
      <c r="FP1000" s="1">
        <v>62021.0</v>
      </c>
      <c r="FQ1000" s="1" t="s">
        <v>11197</v>
      </c>
      <c r="FU1000" s="1" t="s">
        <v>11198</v>
      </c>
      <c r="FV1000" s="1" t="s">
        <v>200</v>
      </c>
      <c r="FW1000" s="1" t="s">
        <v>290</v>
      </c>
      <c r="FZ1000" s="1" t="s">
        <v>229</v>
      </c>
      <c r="GA1000" s="1" t="s">
        <v>291</v>
      </c>
      <c r="GB1000" s="2">
        <v>42046.0</v>
      </c>
      <c r="GC1000" s="2" t="s">
        <v>11199</v>
      </c>
    </row>
    <row r="1001">
      <c r="A1001" s="1">
        <v>122500.0</v>
      </c>
      <c r="B1001" s="1" t="s">
        <v>185</v>
      </c>
      <c r="C1001" s="1" t="str">
        <f>"08665055"</f>
        <v>08665055</v>
      </c>
      <c r="D1001" s="1" t="s">
        <v>186</v>
      </c>
      <c r="F1001" s="1" t="str">
        <f>"123"</f>
        <v>123</v>
      </c>
      <c r="G1001" s="2">
        <v>41827.0</v>
      </c>
      <c r="H1001" s="1">
        <v>195900.0</v>
      </c>
      <c r="I1001" s="1">
        <v>460.0</v>
      </c>
      <c r="J1001" s="1">
        <v>139900.0</v>
      </c>
      <c r="K1001" s="2">
        <v>41981.0</v>
      </c>
      <c r="L1001" s="1">
        <v>155.0</v>
      </c>
      <c r="M1001" s="2">
        <v>41981.0</v>
      </c>
      <c r="N1001" s="1" t="s">
        <v>249</v>
      </c>
      <c r="O1001" s="2">
        <v>41997.0</v>
      </c>
      <c r="P1001" s="1">
        <v>2157.0</v>
      </c>
      <c r="Q1001" s="1">
        <v>7661.0</v>
      </c>
      <c r="S1001" s="1">
        <v>272.0</v>
      </c>
      <c r="T1001" s="1" t="s">
        <v>11200</v>
      </c>
      <c r="U1001" s="1" t="s">
        <v>189</v>
      </c>
      <c r="V1001" s="1" t="s">
        <v>465</v>
      </c>
      <c r="W1001" s="1">
        <v>60123.0</v>
      </c>
      <c r="Y1001" s="1" t="s">
        <v>11201</v>
      </c>
      <c r="Z1001" s="1">
        <v>1868.0</v>
      </c>
      <c r="AA1001" s="1" t="s">
        <v>192</v>
      </c>
      <c r="AB1001" s="1" t="s">
        <v>193</v>
      </c>
      <c r="AD1001" s="1" t="s">
        <v>469</v>
      </c>
      <c r="AE1001" s="1" t="s">
        <v>325</v>
      </c>
      <c r="AF1001" s="1" t="s">
        <v>469</v>
      </c>
      <c r="AG1001" s="1" t="s">
        <v>11202</v>
      </c>
      <c r="AH1001" s="1" t="s">
        <v>11203</v>
      </c>
      <c r="AI1001" s="1">
        <v>0.45</v>
      </c>
      <c r="AK1001" s="1">
        <v>9.0</v>
      </c>
      <c r="AL1001" s="1">
        <v>4.0</v>
      </c>
      <c r="AM1001" s="1">
        <v>2.0</v>
      </c>
      <c r="AN1001" s="1">
        <v>1.0</v>
      </c>
      <c r="AO1001" s="1" t="s">
        <v>1261</v>
      </c>
      <c r="AP1001" s="1">
        <v>4.0</v>
      </c>
      <c r="AQ1001" s="1" t="s">
        <v>198</v>
      </c>
      <c r="AR1001" s="1" t="s">
        <v>200</v>
      </c>
      <c r="AS1001" s="1" t="s">
        <v>199</v>
      </c>
      <c r="AT1001" s="1">
        <v>1.0</v>
      </c>
      <c r="AV1001" s="1" t="s">
        <v>200</v>
      </c>
      <c r="AW1001" s="1">
        <v>6571.0</v>
      </c>
      <c r="AX1001" s="1">
        <v>2012.0</v>
      </c>
      <c r="AY1001" s="1" t="s">
        <v>229</v>
      </c>
      <c r="AZ1001" s="1" t="s">
        <v>200</v>
      </c>
      <c r="BA1001" s="1" t="str">
        <f>"0614154015"</f>
        <v>0614154015</v>
      </c>
      <c r="BC1001" s="1">
        <v>2819.0</v>
      </c>
      <c r="BD1001" s="1">
        <v>122500.0</v>
      </c>
      <c r="BE1001" s="2">
        <v>41827.0</v>
      </c>
      <c r="BF1001" s="2" t="s">
        <v>11204</v>
      </c>
      <c r="BH1001" s="1">
        <v>0.0</v>
      </c>
      <c r="BK1001" s="1" t="s">
        <v>204</v>
      </c>
      <c r="BL1001" s="1" t="str">
        <f t="shared" ref="BL1001:BM1001" si="664">""</f>
        <v/>
      </c>
      <c r="BM1001" s="1" t="str">
        <f t="shared" si="664"/>
        <v/>
      </c>
      <c r="BQ1001" s="1">
        <v>46.0</v>
      </c>
      <c r="BR1001" s="1">
        <v>46.0</v>
      </c>
      <c r="BS1001" s="1">
        <v>46.0</v>
      </c>
      <c r="BU1001" s="1" t="s">
        <v>333</v>
      </c>
      <c r="BV1001" s="1" t="s">
        <v>206</v>
      </c>
      <c r="BW1001" s="1" t="s">
        <v>207</v>
      </c>
      <c r="BY1001" s="1" t="s">
        <v>4387</v>
      </c>
      <c r="BZ1001" s="1" t="s">
        <v>209</v>
      </c>
      <c r="CA1001" s="1" t="s">
        <v>210</v>
      </c>
      <c r="CC1001" s="1" t="s">
        <v>1068</v>
      </c>
      <c r="CD1001" s="1" t="s">
        <v>206</v>
      </c>
      <c r="CE1001" s="1" t="s">
        <v>210</v>
      </c>
      <c r="CG1001" s="1" t="s">
        <v>616</v>
      </c>
      <c r="CH1001" s="1" t="s">
        <v>206</v>
      </c>
      <c r="CI1001" s="1" t="s">
        <v>210</v>
      </c>
      <c r="CK1001" s="1" t="s">
        <v>215</v>
      </c>
      <c r="CL1001" s="1" t="s">
        <v>209</v>
      </c>
      <c r="CM1001" s="1" t="s">
        <v>210</v>
      </c>
      <c r="CO1001" s="1" t="s">
        <v>363</v>
      </c>
      <c r="CP1001" s="1" t="s">
        <v>209</v>
      </c>
      <c r="CS1001" s="1" t="s">
        <v>616</v>
      </c>
      <c r="CT1001" s="1" t="s">
        <v>206</v>
      </c>
      <c r="CU1001" s="1" t="s">
        <v>617</v>
      </c>
      <c r="CW1001" s="1" t="s">
        <v>393</v>
      </c>
      <c r="CX1001" s="1" t="s">
        <v>206</v>
      </c>
      <c r="CY1001" s="1" t="s">
        <v>207</v>
      </c>
      <c r="DA1001" s="1" t="s">
        <v>200</v>
      </c>
      <c r="DC1001" s="1" t="s">
        <v>642</v>
      </c>
      <c r="DD1001" s="1" t="s">
        <v>11205</v>
      </c>
      <c r="DE1001" s="1" t="s">
        <v>229</v>
      </c>
      <c r="DF1001" s="1" t="s">
        <v>219</v>
      </c>
      <c r="DG1001" s="1" t="s">
        <v>337</v>
      </c>
      <c r="DH1001" s="1" t="s">
        <v>220</v>
      </c>
      <c r="DI1001" s="1" t="s">
        <v>308</v>
      </c>
      <c r="DJ1001" s="1" t="s">
        <v>222</v>
      </c>
      <c r="DK1001" s="1" t="s">
        <v>223</v>
      </c>
      <c r="DL1001" s="1" t="s">
        <v>791</v>
      </c>
      <c r="DM1001" s="1" t="s">
        <v>225</v>
      </c>
      <c r="DO1001" s="1" t="s">
        <v>549</v>
      </c>
      <c r="DP1001" s="1" t="s">
        <v>340</v>
      </c>
      <c r="DQ1001" s="1" t="s">
        <v>441</v>
      </c>
      <c r="DR1001" s="1" t="s">
        <v>229</v>
      </c>
      <c r="DS1001" s="1" t="s">
        <v>401</v>
      </c>
      <c r="DV1001" s="1" t="s">
        <v>1121</v>
      </c>
      <c r="DW1001" s="1" t="s">
        <v>964</v>
      </c>
      <c r="DX1001" s="1" t="s">
        <v>234</v>
      </c>
      <c r="DY1001" s="1" t="s">
        <v>987</v>
      </c>
      <c r="DZ1001" s="1" t="s">
        <v>282</v>
      </c>
      <c r="EA1001" s="1" t="s">
        <v>588</v>
      </c>
      <c r="EB1001" s="1" t="s">
        <v>345</v>
      </c>
      <c r="EC1001" s="1" t="s">
        <v>237</v>
      </c>
      <c r="EH1001" s="1" t="s">
        <v>1121</v>
      </c>
      <c r="EM1001" s="1" t="s">
        <v>238</v>
      </c>
      <c r="EP1001" s="1" t="s">
        <v>584</v>
      </c>
      <c r="EQ1001" s="1" t="s">
        <v>206</v>
      </c>
      <c r="ER1001" s="1" t="s">
        <v>210</v>
      </c>
      <c r="EU1001" s="1" t="s">
        <v>238</v>
      </c>
      <c r="EY1001" s="1" t="s">
        <v>238</v>
      </c>
      <c r="FC1001" s="1" t="s">
        <v>238</v>
      </c>
      <c r="FF1001" s="1" t="s">
        <v>239</v>
      </c>
      <c r="FG1001" s="1" t="s">
        <v>192</v>
      </c>
      <c r="FH1001" s="1" t="s">
        <v>192</v>
      </c>
      <c r="FJ1001" s="1" t="s">
        <v>347</v>
      </c>
      <c r="FK1001" s="1" t="s">
        <v>229</v>
      </c>
      <c r="FL1001" s="1" t="s">
        <v>2263</v>
      </c>
      <c r="FM1001" s="1">
        <v>7661.0</v>
      </c>
      <c r="FN1001" s="1" t="s">
        <v>4356</v>
      </c>
      <c r="FO1001" s="1" t="s">
        <v>7176</v>
      </c>
      <c r="FP1001" s="1">
        <v>7844.0</v>
      </c>
      <c r="FQ1001" s="1" t="s">
        <v>7177</v>
      </c>
      <c r="FU1001" s="1" t="s">
        <v>4359</v>
      </c>
      <c r="FV1001" s="1" t="s">
        <v>200</v>
      </c>
      <c r="FW1001" s="1" t="s">
        <v>1307</v>
      </c>
      <c r="FZ1001" s="1" t="s">
        <v>229</v>
      </c>
      <c r="GA1001" s="1" t="s">
        <v>291</v>
      </c>
      <c r="GB1001" s="2">
        <v>41997.0</v>
      </c>
      <c r="GC1001" s="1" t="s">
        <v>11206</v>
      </c>
    </row>
    <row r="1002">
      <c r="A1002" s="1">
        <v>18500.0</v>
      </c>
      <c r="B1002" s="1" t="s">
        <v>185</v>
      </c>
      <c r="C1002" s="1" t="str">
        <f>"08620328"</f>
        <v>08620328</v>
      </c>
      <c r="D1002" s="1" t="s">
        <v>186</v>
      </c>
      <c r="F1002" s="1" t="str">
        <f>"8043"</f>
        <v>8043</v>
      </c>
      <c r="G1002" s="2">
        <v>41779.0</v>
      </c>
      <c r="H1002" s="1">
        <v>45000.0</v>
      </c>
      <c r="I1002" s="1">
        <v>229.0</v>
      </c>
      <c r="J1002" s="1">
        <v>30000.0</v>
      </c>
      <c r="K1002" s="2">
        <v>42007.0</v>
      </c>
      <c r="L1002" s="1">
        <v>229.0</v>
      </c>
      <c r="M1002" s="2">
        <v>42007.0</v>
      </c>
      <c r="N1002" s="1" t="s">
        <v>249</v>
      </c>
      <c r="O1002" s="2">
        <v>42055.0</v>
      </c>
      <c r="P1002" s="1">
        <v>900708.0</v>
      </c>
      <c r="Q1002" s="1">
        <v>90140.0</v>
      </c>
      <c r="S1002" s="1">
        <v>7720.0</v>
      </c>
      <c r="T1002" s="1" t="s">
        <v>7046</v>
      </c>
      <c r="U1002" s="1" t="s">
        <v>1442</v>
      </c>
      <c r="V1002" s="1" t="s">
        <v>190</v>
      </c>
      <c r="W1002" s="1">
        <v>60649.0</v>
      </c>
      <c r="Y1002" s="1" t="s">
        <v>11207</v>
      </c>
      <c r="Z1002" s="1">
        <v>1915.0</v>
      </c>
      <c r="AA1002" s="1" t="s">
        <v>192</v>
      </c>
      <c r="AB1002" s="1" t="s">
        <v>193</v>
      </c>
      <c r="AD1002" s="1" t="s">
        <v>194</v>
      </c>
      <c r="AE1002" s="1" t="s">
        <v>195</v>
      </c>
      <c r="AF1002" s="1" t="s">
        <v>637</v>
      </c>
      <c r="AH1002" s="1">
        <v>4158.0</v>
      </c>
      <c r="AI1002" s="1">
        <v>0.0955</v>
      </c>
      <c r="AK1002" s="1">
        <v>7.0</v>
      </c>
      <c r="AL1002" s="1">
        <v>4.0</v>
      </c>
      <c r="AM1002" s="1">
        <v>2.0</v>
      </c>
      <c r="AN1002" s="1">
        <v>0.0</v>
      </c>
      <c r="AO1002" s="1" t="s">
        <v>229</v>
      </c>
      <c r="AQ1002" s="1" t="s">
        <v>198</v>
      </c>
      <c r="AR1002" s="1" t="s">
        <v>192</v>
      </c>
      <c r="AS1002" s="1" t="s">
        <v>199</v>
      </c>
      <c r="AT1002" s="1">
        <v>1.0</v>
      </c>
      <c r="AV1002" s="1" t="s">
        <v>200</v>
      </c>
      <c r="AW1002" s="1">
        <v>1591.32</v>
      </c>
      <c r="AX1002" s="1">
        <v>2012.0</v>
      </c>
      <c r="AY1002" s="1" t="s">
        <v>1917</v>
      </c>
      <c r="AZ1002" s="1" t="s">
        <v>200</v>
      </c>
      <c r="BA1002" s="1" t="str">
        <f>"20254230260000"</f>
        <v>20254230260000</v>
      </c>
      <c r="BB1002" s="1" t="s">
        <v>200</v>
      </c>
      <c r="BC1002" s="1">
        <v>4158.0</v>
      </c>
      <c r="BD1002" s="1">
        <v>18500.0</v>
      </c>
      <c r="BE1002" s="2">
        <v>41779.0</v>
      </c>
      <c r="BF1002" s="2" t="s">
        <v>11208</v>
      </c>
      <c r="BH1002" s="1">
        <v>0.0</v>
      </c>
      <c r="BK1002" s="1" t="s">
        <v>204</v>
      </c>
      <c r="BL1002" s="1" t="str">
        <f>"0"</f>
        <v>0</v>
      </c>
      <c r="BM1002" s="1" t="str">
        <f>"2400"</f>
        <v>2400</v>
      </c>
      <c r="BN1002" s="1">
        <v>0.0</v>
      </c>
      <c r="BO1002" s="1">
        <v>7700.0</v>
      </c>
      <c r="BQ1002" s="1">
        <v>299.0</v>
      </c>
      <c r="BR1002" s="1">
        <v>299.0</v>
      </c>
      <c r="BS1002" s="1">
        <v>299.0</v>
      </c>
      <c r="BU1002" s="1" t="s">
        <v>830</v>
      </c>
      <c r="BV1002" s="1" t="s">
        <v>206</v>
      </c>
      <c r="BW1002" s="1" t="s">
        <v>210</v>
      </c>
      <c r="BX1002" s="1" t="s">
        <v>1549</v>
      </c>
      <c r="BY1002" s="1" t="s">
        <v>478</v>
      </c>
      <c r="BZ1002" s="1" t="s">
        <v>206</v>
      </c>
      <c r="CA1002" s="1" t="s">
        <v>207</v>
      </c>
      <c r="CB1002" s="1" t="s">
        <v>1549</v>
      </c>
      <c r="CC1002" s="1" t="s">
        <v>1064</v>
      </c>
      <c r="CD1002" s="1" t="s">
        <v>206</v>
      </c>
      <c r="CE1002" s="1" t="s">
        <v>210</v>
      </c>
      <c r="CF1002" s="1" t="s">
        <v>1549</v>
      </c>
      <c r="CG1002" s="1" t="s">
        <v>1584</v>
      </c>
      <c r="CH1002" s="1" t="s">
        <v>206</v>
      </c>
      <c r="CI1002" s="1" t="s">
        <v>207</v>
      </c>
      <c r="CJ1002" s="1" t="s">
        <v>1549</v>
      </c>
      <c r="CK1002" s="1" t="s">
        <v>478</v>
      </c>
      <c r="CL1002" s="1" t="s">
        <v>209</v>
      </c>
      <c r="CM1002" s="1" t="s">
        <v>617</v>
      </c>
      <c r="CN1002" s="1" t="s">
        <v>1549</v>
      </c>
      <c r="CO1002" s="1" t="s">
        <v>478</v>
      </c>
      <c r="CP1002" s="1" t="s">
        <v>209</v>
      </c>
      <c r="CQ1002" s="1" t="s">
        <v>617</v>
      </c>
      <c r="CS1002" s="1" t="s">
        <v>1417</v>
      </c>
      <c r="CT1002" s="1" t="s">
        <v>206</v>
      </c>
      <c r="CU1002" s="1" t="s">
        <v>617</v>
      </c>
      <c r="CV1002" s="1" t="s">
        <v>1549</v>
      </c>
      <c r="CX1002" s="1" t="s">
        <v>204</v>
      </c>
      <c r="DA1002" s="1" t="s">
        <v>200</v>
      </c>
      <c r="DC1002" s="1" t="s">
        <v>216</v>
      </c>
      <c r="DD1002" s="1" t="s">
        <v>518</v>
      </c>
      <c r="DE1002" s="1" t="s">
        <v>229</v>
      </c>
      <c r="DF1002" s="1" t="s">
        <v>619</v>
      </c>
      <c r="DH1002" s="1" t="s">
        <v>365</v>
      </c>
      <c r="DJ1002" s="1" t="s">
        <v>222</v>
      </c>
      <c r="DL1002" s="1" t="s">
        <v>223</v>
      </c>
      <c r="DM1002" s="1" t="s">
        <v>225</v>
      </c>
      <c r="DP1002" s="1" t="s">
        <v>340</v>
      </c>
      <c r="DQ1002" s="1" t="s">
        <v>228</v>
      </c>
      <c r="DR1002" s="1" t="s">
        <v>229</v>
      </c>
      <c r="DS1002" s="1" t="s">
        <v>230</v>
      </c>
      <c r="DV1002" s="1" t="s">
        <v>374</v>
      </c>
      <c r="DW1002" s="1" t="s">
        <v>279</v>
      </c>
      <c r="DX1002" s="1" t="s">
        <v>234</v>
      </c>
      <c r="EA1002" s="1" t="s">
        <v>644</v>
      </c>
      <c r="EC1002" s="1" t="s">
        <v>645</v>
      </c>
      <c r="ED1002" s="1" t="s">
        <v>1761</v>
      </c>
      <c r="EE1002" s="1" t="s">
        <v>1960</v>
      </c>
      <c r="EG1002" s="1" t="s">
        <v>374</v>
      </c>
      <c r="EL1002" s="1" t="s">
        <v>3594</v>
      </c>
      <c r="EM1002" s="1" t="s">
        <v>206</v>
      </c>
      <c r="EO1002" s="1" t="s">
        <v>1549</v>
      </c>
      <c r="EQ1002" s="1" t="s">
        <v>238</v>
      </c>
      <c r="EU1002" s="1" t="s">
        <v>238</v>
      </c>
      <c r="EY1002" s="1" t="s">
        <v>238</v>
      </c>
      <c r="FC1002" s="1" t="s">
        <v>238</v>
      </c>
      <c r="FF1002" s="1" t="s">
        <v>239</v>
      </c>
      <c r="FG1002" s="1" t="s">
        <v>192</v>
      </c>
      <c r="FH1002" s="1" t="s">
        <v>192</v>
      </c>
      <c r="FJ1002" s="1" t="s">
        <v>9659</v>
      </c>
      <c r="FK1002" s="1" t="s">
        <v>229</v>
      </c>
      <c r="FL1002" s="1" t="s">
        <v>1124</v>
      </c>
      <c r="FM1002" s="1">
        <v>12293.0</v>
      </c>
      <c r="FN1002" s="1" t="s">
        <v>3300</v>
      </c>
      <c r="FO1002" s="1" t="s">
        <v>11209</v>
      </c>
      <c r="FP1002" s="1">
        <v>118409.0</v>
      </c>
      <c r="FQ1002" s="1" t="s">
        <v>11210</v>
      </c>
      <c r="FS1002" s="1" t="s">
        <v>11209</v>
      </c>
      <c r="FT1002" s="1" t="s">
        <v>11211</v>
      </c>
      <c r="FU1002" s="1" t="s">
        <v>11212</v>
      </c>
      <c r="FV1002" s="1" t="s">
        <v>200</v>
      </c>
      <c r="FW1002" s="1" t="s">
        <v>11213</v>
      </c>
      <c r="FX1002" s="1" t="s">
        <v>655</v>
      </c>
      <c r="FZ1002" s="1" t="s">
        <v>2993</v>
      </c>
      <c r="GA1002" s="1" t="s">
        <v>291</v>
      </c>
      <c r="GB1002" s="2">
        <v>42055.0</v>
      </c>
      <c r="GC1002" s="1" t="s">
        <v>11214</v>
      </c>
    </row>
    <row r="1003">
      <c r="A1003" s="1">
        <v>136500.0</v>
      </c>
      <c r="B1003" s="1" t="s">
        <v>185</v>
      </c>
      <c r="C1003" s="1" t="str">
        <f>"08624232"</f>
        <v>08624232</v>
      </c>
      <c r="D1003" s="1" t="s">
        <v>186</v>
      </c>
      <c r="F1003" s="1" t="str">
        <f>"103"</f>
        <v>103</v>
      </c>
      <c r="G1003" s="2">
        <v>41782.0</v>
      </c>
      <c r="H1003" s="1">
        <v>145000.0</v>
      </c>
      <c r="I1003" s="1">
        <v>41.0</v>
      </c>
      <c r="J1003" s="1">
        <v>145000.0</v>
      </c>
      <c r="K1003" s="2">
        <v>41822.0</v>
      </c>
      <c r="L1003" s="1">
        <v>41.0</v>
      </c>
      <c r="M1003" s="2">
        <v>41822.0</v>
      </c>
      <c r="N1003" s="1" t="s">
        <v>187</v>
      </c>
      <c r="O1003" s="2">
        <v>41983.0</v>
      </c>
      <c r="P1003" s="1">
        <v>165980.0</v>
      </c>
      <c r="Q1003" s="1">
        <v>18477.0</v>
      </c>
      <c r="S1003" s="1">
        <v>6946.0</v>
      </c>
      <c r="T1003" s="1" t="s">
        <v>3150</v>
      </c>
      <c r="U1003" s="1" t="s">
        <v>1174</v>
      </c>
      <c r="V1003" s="1" t="s">
        <v>251</v>
      </c>
      <c r="W1003" s="1">
        <v>60133.0</v>
      </c>
      <c r="Y1003" s="1" t="s">
        <v>11215</v>
      </c>
      <c r="Z1003" s="1">
        <v>1966.0</v>
      </c>
      <c r="AA1003" s="1" t="s">
        <v>192</v>
      </c>
      <c r="AB1003" s="1" t="s">
        <v>193</v>
      </c>
      <c r="AC1003" s="1" t="s">
        <v>3214</v>
      </c>
      <c r="AD1003" s="1" t="s">
        <v>254</v>
      </c>
      <c r="AE1003" s="1" t="s">
        <v>195</v>
      </c>
      <c r="AF1003" s="1" t="s">
        <v>298</v>
      </c>
      <c r="AH1003" s="1" t="s">
        <v>2309</v>
      </c>
      <c r="AK1003" s="1">
        <v>8.0</v>
      </c>
      <c r="AL1003" s="1">
        <v>4.0</v>
      </c>
      <c r="AM1003" s="1">
        <v>1.0</v>
      </c>
      <c r="AN1003" s="1">
        <v>1.0</v>
      </c>
      <c r="AO1003" s="1" t="s">
        <v>229</v>
      </c>
      <c r="AQ1003" s="1" t="s">
        <v>1314</v>
      </c>
      <c r="AR1003" s="1" t="s">
        <v>192</v>
      </c>
      <c r="AS1003" s="1" t="s">
        <v>199</v>
      </c>
      <c r="AT1003" s="1">
        <v>1.0</v>
      </c>
      <c r="AV1003" s="1" t="s">
        <v>200</v>
      </c>
      <c r="AW1003" s="1">
        <v>5319.47</v>
      </c>
      <c r="AX1003" s="1">
        <v>2012.0</v>
      </c>
      <c r="AZ1003" s="1" t="s">
        <v>545</v>
      </c>
      <c r="BA1003" s="1" t="str">
        <f>"07312170280000"</f>
        <v>07312170280000</v>
      </c>
      <c r="BC1003" s="1">
        <v>1200.0</v>
      </c>
      <c r="BD1003" s="1">
        <v>136500.0</v>
      </c>
      <c r="BE1003" s="2">
        <v>41782.0</v>
      </c>
      <c r="BF1003" s="1" t="s">
        <v>1586</v>
      </c>
      <c r="BH1003" s="1">
        <v>0.0</v>
      </c>
      <c r="BK1003" s="1" t="s">
        <v>204</v>
      </c>
      <c r="BL1003" s="1" t="str">
        <f>"8"</f>
        <v>8</v>
      </c>
      <c r="BM1003" s="1" t="str">
        <f>"0"</f>
        <v>0</v>
      </c>
      <c r="BN1003" s="1">
        <v>26.0</v>
      </c>
      <c r="BO1003" s="1">
        <v>0.0</v>
      </c>
      <c r="BQ1003" s="1">
        <v>54.0</v>
      </c>
      <c r="BR1003" s="1">
        <v>211.0</v>
      </c>
      <c r="BS1003" s="1">
        <v>54.0</v>
      </c>
      <c r="BU1003" s="1" t="s">
        <v>544</v>
      </c>
      <c r="BV1003" s="1" t="s">
        <v>206</v>
      </c>
      <c r="BW1003" s="1" t="s">
        <v>210</v>
      </c>
      <c r="BY1003" s="1" t="s">
        <v>262</v>
      </c>
      <c r="BZ1003" s="1" t="s">
        <v>209</v>
      </c>
      <c r="CC1003" s="1" t="s">
        <v>1852</v>
      </c>
      <c r="CD1003" s="1" t="s">
        <v>206</v>
      </c>
      <c r="CG1003" s="1" t="s">
        <v>265</v>
      </c>
      <c r="CH1003" s="1" t="s">
        <v>209</v>
      </c>
      <c r="CK1003" s="1" t="s">
        <v>516</v>
      </c>
      <c r="CL1003" s="1" t="s">
        <v>209</v>
      </c>
      <c r="CO1003" s="1" t="s">
        <v>925</v>
      </c>
      <c r="CP1003" s="1" t="s">
        <v>267</v>
      </c>
      <c r="CS1003" s="1" t="s">
        <v>303</v>
      </c>
      <c r="CT1003" s="1" t="s">
        <v>206</v>
      </c>
      <c r="CW1003" s="1" t="s">
        <v>265</v>
      </c>
      <c r="CX1003" s="1" t="s">
        <v>267</v>
      </c>
      <c r="DA1003" s="1" t="s">
        <v>200</v>
      </c>
      <c r="DC1003" s="1" t="s">
        <v>517</v>
      </c>
      <c r="DE1003" s="1" t="s">
        <v>273</v>
      </c>
      <c r="DF1003" s="1" t="s">
        <v>619</v>
      </c>
      <c r="DH1003" s="1" t="s">
        <v>307</v>
      </c>
      <c r="DJ1003" s="1" t="s">
        <v>222</v>
      </c>
      <c r="DL1003" s="1" t="s">
        <v>858</v>
      </c>
      <c r="DM1003" s="1" t="s">
        <v>229</v>
      </c>
      <c r="DQ1003" s="1" t="s">
        <v>228</v>
      </c>
      <c r="DR1003" s="1" t="s">
        <v>229</v>
      </c>
      <c r="DV1003" s="1" t="s">
        <v>1270</v>
      </c>
      <c r="DW1003" s="1" t="s">
        <v>489</v>
      </c>
      <c r="DX1003" s="1" t="s">
        <v>234</v>
      </c>
      <c r="EC1003" s="1" t="s">
        <v>645</v>
      </c>
      <c r="EG1003" s="1" t="s">
        <v>1270</v>
      </c>
      <c r="EL1003" s="1" t="s">
        <v>8276</v>
      </c>
      <c r="EM1003" s="1" t="s">
        <v>267</v>
      </c>
      <c r="EQ1003" s="1" t="s">
        <v>238</v>
      </c>
      <c r="EU1003" s="1" t="s">
        <v>238</v>
      </c>
      <c r="EY1003" s="1" t="s">
        <v>238</v>
      </c>
      <c r="FC1003" s="1" t="s">
        <v>238</v>
      </c>
      <c r="FF1003" s="1" t="s">
        <v>239</v>
      </c>
      <c r="FG1003" s="1" t="s">
        <v>192</v>
      </c>
      <c r="FH1003" s="1" t="s">
        <v>192</v>
      </c>
      <c r="FJ1003" s="1" t="s">
        <v>11216</v>
      </c>
      <c r="FK1003" s="1" t="s">
        <v>1586</v>
      </c>
      <c r="FL1003" s="1" t="s">
        <v>1663</v>
      </c>
      <c r="FM1003" s="1">
        <v>17299.0</v>
      </c>
      <c r="FN1003" s="1" t="s">
        <v>1664</v>
      </c>
      <c r="FO1003" s="1" t="s">
        <v>11217</v>
      </c>
      <c r="FP1003" s="1">
        <v>164762.0</v>
      </c>
      <c r="FQ1003" s="1" t="s">
        <v>11218</v>
      </c>
      <c r="FR1003" s="1">
        <v>181780.0</v>
      </c>
      <c r="FU1003" s="1" t="s">
        <v>11219</v>
      </c>
      <c r="FV1003" s="1" t="s">
        <v>200</v>
      </c>
      <c r="FW1003" s="1" t="s">
        <v>290</v>
      </c>
      <c r="FZ1003" s="1" t="s">
        <v>229</v>
      </c>
      <c r="GA1003" s="1" t="s">
        <v>291</v>
      </c>
      <c r="GB1003" s="2">
        <v>41983.0</v>
      </c>
      <c r="GC1003" s="1" t="s">
        <v>11220</v>
      </c>
    </row>
    <row r="1004">
      <c r="A1004" s="1">
        <v>260000.0</v>
      </c>
      <c r="B1004" s="1" t="s">
        <v>185</v>
      </c>
      <c r="C1004" s="1" t="str">
        <f>"08618946"</f>
        <v>08618946</v>
      </c>
      <c r="D1004" s="1" t="s">
        <v>186</v>
      </c>
      <c r="F1004" s="1" t="str">
        <f>"178"</f>
        <v>178</v>
      </c>
      <c r="G1004" s="2">
        <v>41778.0</v>
      </c>
      <c r="H1004" s="1">
        <v>292900.0</v>
      </c>
      <c r="I1004" s="1">
        <v>264.0</v>
      </c>
      <c r="J1004" s="1">
        <v>269900.0</v>
      </c>
      <c r="K1004" s="2">
        <v>42040.0</v>
      </c>
      <c r="L1004" s="1">
        <v>264.0</v>
      </c>
      <c r="M1004" s="2">
        <v>42040.0</v>
      </c>
      <c r="N1004" s="1" t="s">
        <v>187</v>
      </c>
      <c r="O1004" s="2">
        <v>42090.0</v>
      </c>
      <c r="P1004" s="1">
        <v>237408.0</v>
      </c>
      <c r="Q1004" s="1">
        <v>24809.0</v>
      </c>
      <c r="S1004" s="1">
        <v>1009.0</v>
      </c>
      <c r="T1004" s="1" t="s">
        <v>2664</v>
      </c>
      <c r="U1004" s="1" t="s">
        <v>569</v>
      </c>
      <c r="V1004" s="1" t="s">
        <v>994</v>
      </c>
      <c r="W1004" s="1">
        <v>60178.0</v>
      </c>
      <c r="Y1004" s="1" t="s">
        <v>11221</v>
      </c>
      <c r="Z1004" s="1">
        <v>2002.0</v>
      </c>
      <c r="AA1004" s="1" t="s">
        <v>200</v>
      </c>
      <c r="AB1004" s="1" t="s">
        <v>193</v>
      </c>
      <c r="AC1004" s="1" t="s">
        <v>11222</v>
      </c>
      <c r="AD1004" s="1" t="s">
        <v>997</v>
      </c>
      <c r="AE1004" s="1" t="s">
        <v>613</v>
      </c>
      <c r="AF1004" s="1" t="s">
        <v>4019</v>
      </c>
      <c r="AH1004" s="1" t="s">
        <v>11223</v>
      </c>
      <c r="AI1004" s="1">
        <v>0.23</v>
      </c>
      <c r="AK1004" s="1">
        <v>8.0</v>
      </c>
      <c r="AL1004" s="1">
        <v>3.0</v>
      </c>
      <c r="AM1004" s="1">
        <v>3.0</v>
      </c>
      <c r="AN1004" s="1">
        <v>1.0</v>
      </c>
      <c r="AO1004" s="1" t="s">
        <v>198</v>
      </c>
      <c r="AP1004" s="1">
        <v>1.0</v>
      </c>
      <c r="AQ1004" s="1" t="s">
        <v>472</v>
      </c>
      <c r="AR1004" s="1" t="s">
        <v>192</v>
      </c>
      <c r="AS1004" s="1" t="s">
        <v>199</v>
      </c>
      <c r="AT1004" s="1">
        <v>2.5</v>
      </c>
      <c r="AV1004" s="1" t="s">
        <v>200</v>
      </c>
      <c r="AW1004" s="1">
        <v>6394.0</v>
      </c>
      <c r="AX1004" s="1">
        <v>2013.0</v>
      </c>
      <c r="AY1004" s="1" t="s">
        <v>1179</v>
      </c>
      <c r="AZ1004" s="1" t="s">
        <v>200</v>
      </c>
      <c r="BA1004" s="1" t="str">
        <f>"0906224016"</f>
        <v>0906224016</v>
      </c>
      <c r="BB1004" s="1" t="s">
        <v>200</v>
      </c>
      <c r="BC1004" s="1">
        <v>2100.0</v>
      </c>
      <c r="BD1004" s="1">
        <v>260000.0</v>
      </c>
      <c r="BE1004" s="2">
        <v>41777.0</v>
      </c>
      <c r="BF1004" s="2" t="s">
        <v>11224</v>
      </c>
      <c r="BH1004" s="1">
        <v>0.0</v>
      </c>
      <c r="BK1004" s="1" t="s">
        <v>204</v>
      </c>
      <c r="BL1004" s="1" t="str">
        <f t="shared" ref="BL1004:BM1004" si="665">""</f>
        <v/>
      </c>
      <c r="BM1004" s="1" t="str">
        <f t="shared" si="665"/>
        <v/>
      </c>
      <c r="BQ1004" s="1">
        <v>427.0</v>
      </c>
      <c r="BR1004" s="1">
        <v>427.0</v>
      </c>
      <c r="BS1004" s="1">
        <v>427.0</v>
      </c>
      <c r="BU1004" s="1" t="s">
        <v>11225</v>
      </c>
      <c r="BV1004" s="1" t="s">
        <v>206</v>
      </c>
      <c r="BW1004" s="1" t="s">
        <v>207</v>
      </c>
      <c r="BX1004" s="1" t="s">
        <v>431</v>
      </c>
      <c r="BY1004" s="1" t="s">
        <v>1068</v>
      </c>
      <c r="BZ1004" s="1" t="s">
        <v>206</v>
      </c>
      <c r="CA1004" s="1" t="s">
        <v>210</v>
      </c>
      <c r="CB1004" s="1" t="s">
        <v>431</v>
      </c>
      <c r="CC1004" s="1" t="s">
        <v>300</v>
      </c>
      <c r="CD1004" s="1" t="s">
        <v>206</v>
      </c>
      <c r="CE1004" s="1" t="s">
        <v>207</v>
      </c>
      <c r="CF1004" s="1" t="s">
        <v>431</v>
      </c>
      <c r="CG1004" s="1" t="s">
        <v>332</v>
      </c>
      <c r="CH1004" s="1" t="s">
        <v>206</v>
      </c>
      <c r="CI1004" s="1" t="s">
        <v>210</v>
      </c>
      <c r="CJ1004" s="1" t="s">
        <v>431</v>
      </c>
      <c r="CK1004" s="1" t="s">
        <v>332</v>
      </c>
      <c r="CL1004" s="1" t="s">
        <v>206</v>
      </c>
      <c r="CM1004" s="1" t="s">
        <v>210</v>
      </c>
      <c r="CN1004" s="1" t="s">
        <v>431</v>
      </c>
      <c r="CO1004" s="1" t="s">
        <v>584</v>
      </c>
      <c r="CP1004" s="1" t="s">
        <v>42</v>
      </c>
      <c r="CQ1004" s="1" t="s">
        <v>210</v>
      </c>
      <c r="CR1004" s="1" t="s">
        <v>431</v>
      </c>
      <c r="CS1004" s="1" t="s">
        <v>300</v>
      </c>
      <c r="CT1004" s="1" t="s">
        <v>206</v>
      </c>
      <c r="CU1004" s="1" t="s">
        <v>207</v>
      </c>
      <c r="CV1004" s="1" t="s">
        <v>431</v>
      </c>
      <c r="CX1004" s="1" t="s">
        <v>204</v>
      </c>
      <c r="DA1004" s="1" t="s">
        <v>200</v>
      </c>
      <c r="DC1004" s="1" t="s">
        <v>335</v>
      </c>
      <c r="DD1004" s="1" t="s">
        <v>217</v>
      </c>
      <c r="DE1004" s="1" t="s">
        <v>273</v>
      </c>
      <c r="DF1004" s="1" t="s">
        <v>219</v>
      </c>
      <c r="DG1004" s="1" t="s">
        <v>337</v>
      </c>
      <c r="DH1004" s="1" t="s">
        <v>220</v>
      </c>
      <c r="DI1004" s="1" t="s">
        <v>519</v>
      </c>
      <c r="DJ1004" s="1" t="s">
        <v>222</v>
      </c>
      <c r="DK1004" s="1" t="s">
        <v>198</v>
      </c>
      <c r="DL1004" s="1" t="s">
        <v>224</v>
      </c>
      <c r="DM1004" s="1" t="s">
        <v>229</v>
      </c>
      <c r="DN1004" s="1" t="s">
        <v>399</v>
      </c>
      <c r="DQ1004" s="1" t="s">
        <v>228</v>
      </c>
      <c r="DR1004" s="1" t="s">
        <v>229</v>
      </c>
      <c r="DS1004" s="1" t="s">
        <v>368</v>
      </c>
      <c r="DU1004" s="1" t="s">
        <v>11226</v>
      </c>
      <c r="DV1004" s="1" t="s">
        <v>11227</v>
      </c>
      <c r="DW1004" s="1" t="s">
        <v>444</v>
      </c>
      <c r="DX1004" s="1" t="s">
        <v>234</v>
      </c>
      <c r="DY1004" s="1" t="s">
        <v>1958</v>
      </c>
      <c r="DZ1004" s="1" t="s">
        <v>11228</v>
      </c>
      <c r="EA1004" s="1" t="s">
        <v>683</v>
      </c>
      <c r="EB1004" s="1" t="s">
        <v>684</v>
      </c>
      <c r="EC1004" s="1" t="s">
        <v>685</v>
      </c>
      <c r="ED1004" s="1" t="s">
        <v>555</v>
      </c>
      <c r="EG1004" s="1" t="s">
        <v>450</v>
      </c>
      <c r="EH1004" s="1" t="s">
        <v>408</v>
      </c>
      <c r="EI1004" s="1" t="s">
        <v>374</v>
      </c>
      <c r="EJ1004" s="1" t="s">
        <v>374</v>
      </c>
      <c r="EL1004" s="1" t="s">
        <v>11229</v>
      </c>
      <c r="EM1004" s="1" t="s">
        <v>42</v>
      </c>
      <c r="EN1004" s="1" t="s">
        <v>210</v>
      </c>
      <c r="EO1004" s="1" t="s">
        <v>431</v>
      </c>
      <c r="EP1004" s="1" t="s">
        <v>11230</v>
      </c>
      <c r="EQ1004" s="1" t="s">
        <v>206</v>
      </c>
      <c r="ER1004" s="1" t="s">
        <v>207</v>
      </c>
      <c r="ES1004" s="1" t="s">
        <v>229</v>
      </c>
      <c r="EU1004" s="1" t="s">
        <v>238</v>
      </c>
      <c r="EX1004" s="1" t="s">
        <v>208</v>
      </c>
      <c r="EY1004" s="1" t="s">
        <v>206</v>
      </c>
      <c r="EZ1004" s="1" t="s">
        <v>588</v>
      </c>
      <c r="FA1004" s="1" t="s">
        <v>229</v>
      </c>
      <c r="FC1004" s="1" t="s">
        <v>238</v>
      </c>
      <c r="FF1004" s="1" t="s">
        <v>239</v>
      </c>
      <c r="FG1004" s="1" t="s">
        <v>192</v>
      </c>
      <c r="FH1004" s="1" t="s">
        <v>192</v>
      </c>
      <c r="FJ1004" s="1" t="s">
        <v>624</v>
      </c>
      <c r="FK1004" s="1" t="s">
        <v>229</v>
      </c>
      <c r="FL1004" s="1" t="s">
        <v>2926</v>
      </c>
      <c r="FM1004" s="1">
        <v>24809.0</v>
      </c>
      <c r="FN1004" s="1" t="s">
        <v>2927</v>
      </c>
      <c r="FO1004" s="1" t="s">
        <v>11231</v>
      </c>
      <c r="FP1004" s="1">
        <v>237408.0</v>
      </c>
      <c r="FQ1004" s="1" t="s">
        <v>2927</v>
      </c>
      <c r="FU1004" s="1" t="s">
        <v>3678</v>
      </c>
      <c r="FV1004" s="1" t="s">
        <v>200</v>
      </c>
      <c r="FW1004" s="1" t="s">
        <v>290</v>
      </c>
      <c r="FZ1004" s="1" t="s">
        <v>229</v>
      </c>
      <c r="GA1004" s="1" t="s">
        <v>291</v>
      </c>
      <c r="GB1004" s="2">
        <v>42090.0</v>
      </c>
      <c r="GC1004" s="1" t="s">
        <v>11232</v>
      </c>
    </row>
    <row r="1005">
      <c r="A1005" s="1">
        <v>433974.0</v>
      </c>
      <c r="B1005" s="1" t="s">
        <v>185</v>
      </c>
      <c r="C1005" s="1" t="str">
        <f>"08622340"</f>
        <v>08622340</v>
      </c>
      <c r="D1005" s="1" t="s">
        <v>186</v>
      </c>
      <c r="F1005" s="1" t="str">
        <f>"8010"</f>
        <v>8010</v>
      </c>
      <c r="G1005" s="2">
        <v>41781.0</v>
      </c>
      <c r="H1005" s="1">
        <v>568000.0</v>
      </c>
      <c r="I1005" s="1">
        <v>224.0</v>
      </c>
      <c r="J1005" s="1">
        <v>469900.0</v>
      </c>
      <c r="K1005" s="2">
        <v>42004.0</v>
      </c>
      <c r="L1005" s="1">
        <v>224.0</v>
      </c>
      <c r="M1005" s="2">
        <v>42004.0</v>
      </c>
      <c r="N1005" s="1" t="s">
        <v>249</v>
      </c>
      <c r="O1005" s="2">
        <v>42030.0</v>
      </c>
      <c r="P1005" s="1">
        <v>920126.0</v>
      </c>
      <c r="Q1005" s="1">
        <v>8058.0</v>
      </c>
      <c r="S1005" s="1">
        <v>8159.0</v>
      </c>
      <c r="T1005" s="1" t="s">
        <v>8794</v>
      </c>
      <c r="U1005" s="1" t="s">
        <v>189</v>
      </c>
      <c r="V1005" s="1" t="s">
        <v>190</v>
      </c>
      <c r="W1005" s="1">
        <v>60656.0</v>
      </c>
      <c r="Y1005" s="1" t="s">
        <v>11233</v>
      </c>
      <c r="Z1005" s="1">
        <v>1989.0</v>
      </c>
      <c r="AA1005" s="1" t="s">
        <v>200</v>
      </c>
      <c r="AB1005" s="1" t="s">
        <v>193</v>
      </c>
      <c r="AD1005" s="1" t="s">
        <v>194</v>
      </c>
      <c r="AE1005" s="1" t="s">
        <v>195</v>
      </c>
      <c r="AF1005" s="1" t="s">
        <v>2645</v>
      </c>
      <c r="AH1005" s="1">
        <v>10728.0</v>
      </c>
      <c r="AI1005" s="1">
        <v>0.2463</v>
      </c>
      <c r="AK1005" s="1">
        <v>9.0</v>
      </c>
      <c r="AL1005" s="1">
        <v>4.0</v>
      </c>
      <c r="AM1005" s="1">
        <v>3.0</v>
      </c>
      <c r="AN1005" s="1">
        <v>1.0</v>
      </c>
      <c r="AO1005" s="1" t="s">
        <v>229</v>
      </c>
      <c r="AQ1005" s="1" t="s">
        <v>198</v>
      </c>
      <c r="AR1005" s="1" t="s">
        <v>200</v>
      </c>
      <c r="AS1005" s="1" t="s">
        <v>199</v>
      </c>
      <c r="AT1005" s="1">
        <v>3.0</v>
      </c>
      <c r="AV1005" s="1" t="s">
        <v>200</v>
      </c>
      <c r="AW1005" s="1">
        <v>15450.5</v>
      </c>
      <c r="AX1005" s="1">
        <v>2012.0</v>
      </c>
      <c r="AZ1005" s="1" t="s">
        <v>545</v>
      </c>
      <c r="BA1005" s="1" t="str">
        <f>"12112160010000"</f>
        <v>12112160010000</v>
      </c>
      <c r="BC1005" s="1">
        <v>5607.0</v>
      </c>
      <c r="BD1005" s="1">
        <v>433974.0</v>
      </c>
      <c r="BE1005" s="2">
        <v>41781.0</v>
      </c>
      <c r="BF1005" s="2" t="s">
        <v>11234</v>
      </c>
      <c r="BH1005" s="1">
        <v>0.0</v>
      </c>
      <c r="BK1005" s="1" t="s">
        <v>204</v>
      </c>
      <c r="BL1005" s="1" t="str">
        <f>"5400"</f>
        <v>5400</v>
      </c>
      <c r="BM1005" s="1" t="str">
        <f t="shared" ref="BM1005:BM1006" si="666">"0"</f>
        <v>0</v>
      </c>
      <c r="BN1005" s="1">
        <v>8135.0</v>
      </c>
      <c r="BO1005" s="1">
        <v>0.0</v>
      </c>
      <c r="BQ1005" s="1">
        <v>299.0</v>
      </c>
      <c r="BR1005" s="1">
        <v>299.0</v>
      </c>
      <c r="BS1005" s="1">
        <v>299.0</v>
      </c>
      <c r="BU1005" s="1" t="s">
        <v>1483</v>
      </c>
      <c r="BV1005" s="1" t="s">
        <v>206</v>
      </c>
      <c r="BY1005" s="1" t="s">
        <v>1483</v>
      </c>
      <c r="BZ1005" s="1" t="s">
        <v>206</v>
      </c>
      <c r="CC1005" s="1" t="s">
        <v>363</v>
      </c>
      <c r="CD1005" s="1" t="s">
        <v>206</v>
      </c>
      <c r="CG1005" s="1" t="s">
        <v>363</v>
      </c>
      <c r="CH1005" s="1" t="s">
        <v>206</v>
      </c>
      <c r="CK1005" s="1" t="s">
        <v>363</v>
      </c>
      <c r="CL1005" s="1" t="s">
        <v>209</v>
      </c>
      <c r="CO1005" s="1" t="s">
        <v>363</v>
      </c>
      <c r="CP1005" s="1" t="s">
        <v>209</v>
      </c>
      <c r="CS1005" s="1" t="s">
        <v>363</v>
      </c>
      <c r="CT1005" s="1" t="s">
        <v>206</v>
      </c>
      <c r="CW1005" s="1" t="s">
        <v>1483</v>
      </c>
      <c r="CX1005" s="1" t="s">
        <v>206</v>
      </c>
      <c r="DA1005" s="1" t="s">
        <v>200</v>
      </c>
      <c r="DC1005" s="1" t="s">
        <v>435</v>
      </c>
      <c r="DE1005" s="1" t="s">
        <v>273</v>
      </c>
      <c r="DF1005" s="1" t="s">
        <v>219</v>
      </c>
      <c r="DH1005" s="1" t="s">
        <v>365</v>
      </c>
      <c r="DJ1005" s="1" t="s">
        <v>222</v>
      </c>
      <c r="DL1005" s="1" t="s">
        <v>224</v>
      </c>
      <c r="DM1005" s="1" t="s">
        <v>229</v>
      </c>
      <c r="DQ1005" s="1" t="s">
        <v>228</v>
      </c>
      <c r="DR1005" s="1" t="s">
        <v>229</v>
      </c>
      <c r="DV1005" s="1" t="s">
        <v>449</v>
      </c>
      <c r="DW1005" s="1" t="s">
        <v>279</v>
      </c>
      <c r="DX1005" s="1" t="s">
        <v>234</v>
      </c>
      <c r="EC1005" s="1" t="s">
        <v>237</v>
      </c>
      <c r="EE1005" s="1" t="s">
        <v>1673</v>
      </c>
      <c r="EG1005" s="1" t="s">
        <v>449</v>
      </c>
      <c r="EL1005" s="1" t="s">
        <v>363</v>
      </c>
      <c r="EM1005" s="1" t="s">
        <v>209</v>
      </c>
      <c r="EQ1005" s="1" t="s">
        <v>238</v>
      </c>
      <c r="EU1005" s="1" t="s">
        <v>238</v>
      </c>
      <c r="EY1005" s="1" t="s">
        <v>238</v>
      </c>
      <c r="FC1005" s="1" t="s">
        <v>238</v>
      </c>
      <c r="FF1005" s="1" t="s">
        <v>239</v>
      </c>
      <c r="FG1005" s="1" t="s">
        <v>192</v>
      </c>
      <c r="FH1005" s="1" t="s">
        <v>192</v>
      </c>
      <c r="FJ1005" s="1" t="s">
        <v>347</v>
      </c>
      <c r="FK1005" s="1" t="s">
        <v>229</v>
      </c>
      <c r="FL1005" s="1" t="s">
        <v>3033</v>
      </c>
      <c r="FM1005" s="1">
        <v>1984.0</v>
      </c>
      <c r="FN1005" s="1" t="s">
        <v>3034</v>
      </c>
      <c r="FO1005" s="1" t="s">
        <v>3035</v>
      </c>
      <c r="FP1005" s="1">
        <v>922950.0</v>
      </c>
      <c r="FU1005" s="1" t="s">
        <v>4334</v>
      </c>
      <c r="FV1005" s="1" t="s">
        <v>200</v>
      </c>
      <c r="FW1005" s="1" t="s">
        <v>4959</v>
      </c>
      <c r="FX1005" s="1" t="s">
        <v>246</v>
      </c>
      <c r="FZ1005" s="1" t="s">
        <v>229</v>
      </c>
      <c r="GA1005" s="1" t="s">
        <v>291</v>
      </c>
      <c r="GB1005" s="2">
        <v>42031.0</v>
      </c>
      <c r="GC1005" s="1" t="s">
        <v>11235</v>
      </c>
    </row>
    <row r="1006">
      <c r="A1006" s="1">
        <v>283000.0</v>
      </c>
      <c r="B1006" s="1" t="s">
        <v>185</v>
      </c>
      <c r="C1006" s="1" t="str">
        <f>"08616733"</f>
        <v>08616733</v>
      </c>
      <c r="D1006" s="1" t="s">
        <v>186</v>
      </c>
      <c r="F1006" s="1" t="str">
        <f t="shared" ref="F1006:F1007" si="667">"174"</f>
        <v>174</v>
      </c>
      <c r="G1006" s="2">
        <v>41775.0</v>
      </c>
      <c r="H1006" s="1">
        <v>299800.0</v>
      </c>
      <c r="I1006" s="1">
        <v>336.0</v>
      </c>
      <c r="J1006" s="1">
        <v>289400.0</v>
      </c>
      <c r="K1006" s="2">
        <v>41993.0</v>
      </c>
      <c r="L1006" s="1">
        <v>219.0</v>
      </c>
      <c r="M1006" s="2">
        <v>41993.0</v>
      </c>
      <c r="N1006" s="1" t="s">
        <v>187</v>
      </c>
      <c r="O1006" s="2">
        <v>42034.0</v>
      </c>
      <c r="P1006" s="1">
        <v>53954.0</v>
      </c>
      <c r="Q1006" s="1">
        <v>5030.0</v>
      </c>
      <c r="S1006" s="1" t="s">
        <v>11236</v>
      </c>
      <c r="T1006" s="1" t="s">
        <v>11237</v>
      </c>
      <c r="U1006" s="1" t="s">
        <v>1174</v>
      </c>
      <c r="V1006" s="1" t="s">
        <v>1200</v>
      </c>
      <c r="W1006" s="1">
        <v>60175.0</v>
      </c>
      <c r="Y1006" s="1" t="s">
        <v>11238</v>
      </c>
      <c r="Z1006" s="1">
        <v>1987.0</v>
      </c>
      <c r="AA1006" s="1" t="s">
        <v>200</v>
      </c>
      <c r="AB1006" s="1" t="s">
        <v>193</v>
      </c>
      <c r="AC1006" s="1" t="s">
        <v>7845</v>
      </c>
      <c r="AD1006" s="1" t="s">
        <v>1089</v>
      </c>
      <c r="AE1006" s="1" t="s">
        <v>325</v>
      </c>
      <c r="AF1006" s="1" t="s">
        <v>1632</v>
      </c>
      <c r="AG1006" s="1" t="s">
        <v>752</v>
      </c>
      <c r="AH1006" s="1">
        <v>22082.0</v>
      </c>
      <c r="AI1006" s="1">
        <v>0.7</v>
      </c>
      <c r="AK1006" s="1">
        <v>10.0</v>
      </c>
      <c r="AL1006" s="1">
        <v>4.0</v>
      </c>
      <c r="AM1006" s="1">
        <v>2.0</v>
      </c>
      <c r="AN1006" s="1">
        <v>1.0</v>
      </c>
      <c r="AO1006" s="1" t="s">
        <v>198</v>
      </c>
      <c r="AP1006" s="1">
        <v>1.0</v>
      </c>
      <c r="AQ1006" s="1" t="s">
        <v>198</v>
      </c>
      <c r="AR1006" s="1" t="s">
        <v>200</v>
      </c>
      <c r="AS1006" s="1" t="s">
        <v>199</v>
      </c>
      <c r="AT1006" s="1">
        <v>3.0</v>
      </c>
      <c r="AV1006" s="1" t="s">
        <v>200</v>
      </c>
      <c r="AW1006" s="1">
        <v>8252.38</v>
      </c>
      <c r="AX1006" s="1">
        <v>2013.0</v>
      </c>
      <c r="AY1006" s="1" t="s">
        <v>1179</v>
      </c>
      <c r="AZ1006" s="1" t="s">
        <v>200</v>
      </c>
      <c r="BA1006" s="1" t="str">
        <f>"0816252014"</f>
        <v>0816252014</v>
      </c>
      <c r="BB1006" s="1" t="s">
        <v>200</v>
      </c>
      <c r="BC1006" s="1">
        <v>2500.0</v>
      </c>
      <c r="BD1006" s="1">
        <v>283000.0</v>
      </c>
      <c r="BE1006" s="2">
        <v>41775.0</v>
      </c>
      <c r="BF1006" s="2" t="s">
        <v>11239</v>
      </c>
      <c r="BH1006" s="1">
        <v>375.0</v>
      </c>
      <c r="BK1006" s="1" t="s">
        <v>580</v>
      </c>
      <c r="BL1006" s="1" t="str">
        <f>"5"</f>
        <v>5</v>
      </c>
      <c r="BM1006" s="1" t="str">
        <f t="shared" si="666"/>
        <v>0</v>
      </c>
      <c r="BN1006" s="1">
        <v>43.0</v>
      </c>
      <c r="BO1006" s="1">
        <v>0.0</v>
      </c>
      <c r="BQ1006" s="1">
        <v>301.0</v>
      </c>
      <c r="BR1006" s="1">
        <v>301.0</v>
      </c>
      <c r="BS1006" s="1">
        <v>301.0</v>
      </c>
      <c r="BU1006" s="1" t="s">
        <v>677</v>
      </c>
      <c r="BV1006" s="1" t="s">
        <v>206</v>
      </c>
      <c r="BW1006" s="1" t="s">
        <v>210</v>
      </c>
      <c r="BY1006" s="1" t="s">
        <v>784</v>
      </c>
      <c r="BZ1006" s="1" t="s">
        <v>209</v>
      </c>
      <c r="CA1006" s="1" t="s">
        <v>210</v>
      </c>
      <c r="CC1006" s="1" t="s">
        <v>213</v>
      </c>
      <c r="CD1006" s="1" t="s">
        <v>206</v>
      </c>
      <c r="CE1006" s="1" t="s">
        <v>210</v>
      </c>
      <c r="CG1006" s="1" t="s">
        <v>1351</v>
      </c>
      <c r="CH1006" s="1" t="s">
        <v>209</v>
      </c>
      <c r="CI1006" s="1" t="s">
        <v>210</v>
      </c>
      <c r="CK1006" s="1" t="s">
        <v>433</v>
      </c>
      <c r="CL1006" s="1" t="s">
        <v>209</v>
      </c>
      <c r="CM1006" s="1" t="s">
        <v>210</v>
      </c>
      <c r="CO1006" s="1" t="s">
        <v>212</v>
      </c>
      <c r="CP1006" s="1" t="s">
        <v>209</v>
      </c>
      <c r="CQ1006" s="1" t="s">
        <v>210</v>
      </c>
      <c r="CS1006" s="1" t="s">
        <v>1068</v>
      </c>
      <c r="CT1006" s="1" t="s">
        <v>206</v>
      </c>
      <c r="CU1006" s="1" t="s">
        <v>207</v>
      </c>
      <c r="CW1006" s="1" t="s">
        <v>878</v>
      </c>
      <c r="CX1006" s="1" t="s">
        <v>206</v>
      </c>
      <c r="CY1006" s="1" t="s">
        <v>207</v>
      </c>
      <c r="DA1006" s="1" t="s">
        <v>200</v>
      </c>
      <c r="DC1006" s="1" t="s">
        <v>305</v>
      </c>
      <c r="DD1006" s="1" t="s">
        <v>11240</v>
      </c>
      <c r="DE1006" s="1" t="s">
        <v>273</v>
      </c>
      <c r="DF1006" s="1" t="s">
        <v>219</v>
      </c>
      <c r="DG1006" s="1" t="s">
        <v>4422</v>
      </c>
      <c r="DH1006" s="1" t="s">
        <v>220</v>
      </c>
      <c r="DI1006" s="1" t="s">
        <v>703</v>
      </c>
      <c r="DJ1006" s="1" t="s">
        <v>222</v>
      </c>
      <c r="DK1006" s="1" t="s">
        <v>223</v>
      </c>
      <c r="DL1006" s="1" t="s">
        <v>223</v>
      </c>
      <c r="DM1006" s="1" t="s">
        <v>338</v>
      </c>
      <c r="DN1006" s="1" t="s">
        <v>548</v>
      </c>
      <c r="DO1006" s="1" t="s">
        <v>1556</v>
      </c>
      <c r="DP1006" s="1" t="s">
        <v>340</v>
      </c>
      <c r="DQ1006" s="1" t="s">
        <v>1557</v>
      </c>
      <c r="DR1006" s="1" t="s">
        <v>3096</v>
      </c>
      <c r="DS1006" s="1" t="s">
        <v>230</v>
      </c>
      <c r="DU1006" s="1" t="s">
        <v>11241</v>
      </c>
      <c r="DV1006" s="1" t="s">
        <v>7010</v>
      </c>
      <c r="DW1006" s="1" t="s">
        <v>370</v>
      </c>
      <c r="DX1006" s="1" t="s">
        <v>234</v>
      </c>
      <c r="DY1006" s="1" t="s">
        <v>1006</v>
      </c>
      <c r="DZ1006" s="1" t="s">
        <v>968</v>
      </c>
      <c r="EA1006" s="1" t="s">
        <v>447</v>
      </c>
      <c r="EB1006" s="1" t="s">
        <v>937</v>
      </c>
      <c r="EC1006" s="1" t="s">
        <v>237</v>
      </c>
      <c r="ED1006" s="1" t="s">
        <v>407</v>
      </c>
      <c r="EG1006" s="1" t="s">
        <v>598</v>
      </c>
      <c r="EH1006" s="1" t="s">
        <v>449</v>
      </c>
      <c r="EL1006" s="1" t="s">
        <v>454</v>
      </c>
      <c r="EM1006" s="1" t="s">
        <v>206</v>
      </c>
      <c r="EN1006" s="1" t="s">
        <v>207</v>
      </c>
      <c r="EP1006" s="1" t="s">
        <v>729</v>
      </c>
      <c r="EQ1006" s="1" t="s">
        <v>206</v>
      </c>
      <c r="ER1006" s="1" t="s">
        <v>207</v>
      </c>
      <c r="ES1006" s="1" t="s">
        <v>431</v>
      </c>
      <c r="EU1006" s="1" t="s">
        <v>238</v>
      </c>
      <c r="EY1006" s="1" t="s">
        <v>238</v>
      </c>
      <c r="FC1006" s="1" t="s">
        <v>238</v>
      </c>
      <c r="FF1006" s="1" t="s">
        <v>239</v>
      </c>
      <c r="FG1006" s="1" t="s">
        <v>200</v>
      </c>
      <c r="FH1006" s="1" t="s">
        <v>192</v>
      </c>
      <c r="FJ1006" s="1" t="s">
        <v>2552</v>
      </c>
      <c r="FK1006" s="1" t="s">
        <v>229</v>
      </c>
      <c r="FL1006" s="1" t="s">
        <v>456</v>
      </c>
      <c r="FM1006" s="1">
        <v>49.0</v>
      </c>
      <c r="FN1006" s="1" t="s">
        <v>457</v>
      </c>
      <c r="FO1006" s="1" t="s">
        <v>9307</v>
      </c>
      <c r="FP1006" s="1">
        <v>8384.0</v>
      </c>
      <c r="FS1006" s="1" t="s">
        <v>9308</v>
      </c>
      <c r="FU1006" s="1" t="s">
        <v>11242</v>
      </c>
      <c r="FV1006" s="1" t="s">
        <v>200</v>
      </c>
      <c r="FW1006" s="1" t="s">
        <v>290</v>
      </c>
      <c r="FZ1006" s="1" t="s">
        <v>229</v>
      </c>
      <c r="GA1006" s="1" t="s">
        <v>291</v>
      </c>
      <c r="GB1006" s="2">
        <v>42034.0</v>
      </c>
      <c r="GC1006" s="1" t="s">
        <v>11243</v>
      </c>
    </row>
    <row r="1007">
      <c r="A1007" s="1">
        <v>304500.0</v>
      </c>
      <c r="B1007" s="1" t="s">
        <v>185</v>
      </c>
      <c r="C1007" s="1" t="str">
        <f>"08619687"</f>
        <v>08619687</v>
      </c>
      <c r="D1007" s="1" t="s">
        <v>186</v>
      </c>
      <c r="F1007" s="1" t="str">
        <f t="shared" si="667"/>
        <v>174</v>
      </c>
      <c r="G1007" s="2">
        <v>41778.0</v>
      </c>
      <c r="H1007" s="1">
        <v>357400.0</v>
      </c>
      <c r="I1007" s="1">
        <v>232.0</v>
      </c>
      <c r="J1007" s="1">
        <v>314700.0</v>
      </c>
      <c r="K1007" s="2">
        <v>42009.0</v>
      </c>
      <c r="L1007" s="1">
        <v>232.0</v>
      </c>
      <c r="M1007" s="2">
        <v>42009.0</v>
      </c>
      <c r="N1007" s="1" t="s">
        <v>634</v>
      </c>
      <c r="O1007" s="2">
        <v>42061.0</v>
      </c>
      <c r="P1007" s="1">
        <v>233292.0</v>
      </c>
      <c r="Q1007" s="1">
        <v>23030.0</v>
      </c>
      <c r="S1007" s="1" t="s">
        <v>11244</v>
      </c>
      <c r="T1007" s="1" t="s">
        <v>11245</v>
      </c>
      <c r="U1007" s="1" t="s">
        <v>569</v>
      </c>
      <c r="V1007" s="1" t="s">
        <v>1200</v>
      </c>
      <c r="W1007" s="1">
        <v>60174.0</v>
      </c>
      <c r="X1007" s="1">
        <v>6788.0</v>
      </c>
      <c r="Y1007" s="1" t="s">
        <v>11246</v>
      </c>
      <c r="Z1007" s="1">
        <v>1990.0</v>
      </c>
      <c r="AA1007" s="1" t="s">
        <v>200</v>
      </c>
      <c r="AB1007" s="1" t="s">
        <v>193</v>
      </c>
      <c r="AD1007" s="1" t="s">
        <v>1089</v>
      </c>
      <c r="AE1007" s="1" t="s">
        <v>325</v>
      </c>
      <c r="AF1007" s="1" t="s">
        <v>1203</v>
      </c>
      <c r="AH1007" s="1" t="s">
        <v>11247</v>
      </c>
      <c r="AI1007" s="1">
        <v>0.53</v>
      </c>
      <c r="AK1007" s="1">
        <v>9.0</v>
      </c>
      <c r="AL1007" s="1">
        <v>4.0</v>
      </c>
      <c r="AM1007" s="1">
        <v>2.0</v>
      </c>
      <c r="AN1007" s="1">
        <v>1.0</v>
      </c>
      <c r="AO1007" s="1" t="s">
        <v>198</v>
      </c>
      <c r="AQ1007" s="1" t="s">
        <v>198</v>
      </c>
      <c r="AR1007" s="1" t="s">
        <v>200</v>
      </c>
      <c r="AS1007" s="1" t="s">
        <v>199</v>
      </c>
      <c r="AT1007" s="1">
        <v>2.0</v>
      </c>
      <c r="AV1007" s="1" t="s">
        <v>200</v>
      </c>
      <c r="AW1007" s="1">
        <v>6873.12</v>
      </c>
      <c r="AX1007" s="1">
        <v>2012.0</v>
      </c>
      <c r="AZ1007" s="1" t="s">
        <v>200</v>
      </c>
      <c r="BA1007" s="1" t="str">
        <f>"0910427012"</f>
        <v>0910427012</v>
      </c>
      <c r="BC1007" s="1">
        <v>3200.0</v>
      </c>
      <c r="BD1007" s="1">
        <v>304500.0</v>
      </c>
      <c r="BE1007" s="2">
        <v>41778.0</v>
      </c>
      <c r="BF1007" s="2" t="s">
        <v>11248</v>
      </c>
      <c r="BH1007" s="1">
        <v>0.0</v>
      </c>
      <c r="BJ1007" s="1" t="s">
        <v>2144</v>
      </c>
      <c r="BK1007" s="1" t="s">
        <v>204</v>
      </c>
      <c r="BL1007" s="1" t="str">
        <f t="shared" ref="BL1007:BM1007" si="668">""</f>
        <v/>
      </c>
      <c r="BM1007" s="1" t="str">
        <f t="shared" si="668"/>
        <v/>
      </c>
      <c r="BQ1007" s="1">
        <v>303.0</v>
      </c>
      <c r="BR1007" s="1">
        <v>303.0</v>
      </c>
      <c r="BS1007" s="1">
        <v>303.0</v>
      </c>
      <c r="BU1007" s="1" t="s">
        <v>743</v>
      </c>
      <c r="BV1007" s="1" t="s">
        <v>206</v>
      </c>
      <c r="BW1007" s="1" t="s">
        <v>210</v>
      </c>
      <c r="BY1007" s="1" t="s">
        <v>1001</v>
      </c>
      <c r="BZ1007" s="1" t="s">
        <v>209</v>
      </c>
      <c r="CA1007" s="1" t="s">
        <v>210</v>
      </c>
      <c r="CC1007" s="1" t="s">
        <v>497</v>
      </c>
      <c r="CD1007" s="1" t="s">
        <v>206</v>
      </c>
      <c r="CE1007" s="1" t="s">
        <v>210</v>
      </c>
      <c r="CG1007" s="1" t="s">
        <v>1001</v>
      </c>
      <c r="CH1007" s="1" t="s">
        <v>209</v>
      </c>
      <c r="CI1007" s="1" t="s">
        <v>207</v>
      </c>
      <c r="CK1007" s="1" t="s">
        <v>213</v>
      </c>
      <c r="CL1007" s="1" t="s">
        <v>209</v>
      </c>
      <c r="CM1007" s="1" t="s">
        <v>210</v>
      </c>
      <c r="CO1007" s="1" t="s">
        <v>584</v>
      </c>
      <c r="CP1007" s="1" t="s">
        <v>209</v>
      </c>
      <c r="CQ1007" s="1" t="s">
        <v>210</v>
      </c>
      <c r="CS1007" s="1" t="s">
        <v>1426</v>
      </c>
      <c r="CT1007" s="1" t="s">
        <v>206</v>
      </c>
      <c r="CU1007" s="1" t="s">
        <v>207</v>
      </c>
      <c r="CW1007" s="1" t="s">
        <v>1001</v>
      </c>
      <c r="CX1007" s="1" t="s">
        <v>206</v>
      </c>
      <c r="CY1007" s="1" t="s">
        <v>207</v>
      </c>
      <c r="DA1007" s="1" t="s">
        <v>200</v>
      </c>
      <c r="DC1007" s="1" t="s">
        <v>435</v>
      </c>
      <c r="DD1007" s="1" t="s">
        <v>518</v>
      </c>
      <c r="DE1007" s="1" t="s">
        <v>273</v>
      </c>
      <c r="DF1007" s="1" t="s">
        <v>619</v>
      </c>
      <c r="DG1007" s="1" t="s">
        <v>11249</v>
      </c>
      <c r="DH1007" s="1" t="s">
        <v>856</v>
      </c>
      <c r="DI1007" s="1" t="s">
        <v>4695</v>
      </c>
      <c r="DJ1007" s="1" t="s">
        <v>857</v>
      </c>
      <c r="DL1007" s="1" t="s">
        <v>223</v>
      </c>
      <c r="DM1007" s="1" t="s">
        <v>338</v>
      </c>
      <c r="DO1007" s="1" t="s">
        <v>6799</v>
      </c>
      <c r="DP1007" s="1" t="s">
        <v>340</v>
      </c>
      <c r="DQ1007" s="1" t="s">
        <v>1557</v>
      </c>
      <c r="DR1007" s="1" t="s">
        <v>229</v>
      </c>
      <c r="DU1007" s="1" t="s">
        <v>11250</v>
      </c>
      <c r="DV1007" s="1" t="s">
        <v>11251</v>
      </c>
      <c r="DW1007" s="1" t="s">
        <v>3465</v>
      </c>
      <c r="DX1007" s="1" t="s">
        <v>234</v>
      </c>
      <c r="DY1007" s="1" t="s">
        <v>704</v>
      </c>
      <c r="DZ1007" s="1" t="s">
        <v>3863</v>
      </c>
      <c r="EC1007" s="1" t="s">
        <v>237</v>
      </c>
      <c r="EH1007" s="1" t="s">
        <v>408</v>
      </c>
      <c r="EI1007" s="1" t="s">
        <v>409</v>
      </c>
      <c r="EJ1007" s="1" t="s">
        <v>310</v>
      </c>
      <c r="EK1007" s="1" t="s">
        <v>374</v>
      </c>
      <c r="EM1007" s="1" t="s">
        <v>238</v>
      </c>
      <c r="EP1007" s="1" t="s">
        <v>1795</v>
      </c>
      <c r="EQ1007" s="1" t="s">
        <v>206</v>
      </c>
      <c r="ER1007" s="1" t="s">
        <v>207</v>
      </c>
      <c r="ET1007" s="1" t="s">
        <v>1052</v>
      </c>
      <c r="EU1007" s="1" t="s">
        <v>209</v>
      </c>
      <c r="EX1007" s="1" t="s">
        <v>11252</v>
      </c>
      <c r="EY1007" s="1" t="s">
        <v>206</v>
      </c>
      <c r="FB1007" s="1" t="s">
        <v>11253</v>
      </c>
      <c r="FC1007" s="1" t="s">
        <v>206</v>
      </c>
      <c r="FD1007" s="1" t="s">
        <v>207</v>
      </c>
      <c r="FF1007" s="1" t="s">
        <v>239</v>
      </c>
      <c r="FG1007" s="1" t="s">
        <v>192</v>
      </c>
      <c r="FH1007" s="1" t="s">
        <v>192</v>
      </c>
      <c r="FJ1007" s="1" t="s">
        <v>770</v>
      </c>
      <c r="FK1007" s="1" t="s">
        <v>229</v>
      </c>
      <c r="FL1007" s="1" t="s">
        <v>11254</v>
      </c>
      <c r="FM1007" s="1">
        <v>173.0</v>
      </c>
      <c r="FN1007" s="1" t="s">
        <v>11255</v>
      </c>
      <c r="FO1007" s="1" t="s">
        <v>11256</v>
      </c>
      <c r="FP1007" s="1">
        <v>1856.0</v>
      </c>
      <c r="FQ1007" s="1" t="s">
        <v>11257</v>
      </c>
      <c r="FU1007" s="1" t="s">
        <v>11258</v>
      </c>
      <c r="FV1007" s="1" t="s">
        <v>200</v>
      </c>
      <c r="FW1007" s="1" t="s">
        <v>290</v>
      </c>
      <c r="FZ1007" s="1" t="s">
        <v>229</v>
      </c>
      <c r="GA1007" s="1" t="s">
        <v>291</v>
      </c>
      <c r="GB1007" s="2">
        <v>42061.0</v>
      </c>
      <c r="GC1007" s="1" t="s">
        <v>11259</v>
      </c>
    </row>
    <row r="1008">
      <c r="A1008" s="1">
        <v>1012500.0</v>
      </c>
      <c r="B1008" s="1" t="s">
        <v>185</v>
      </c>
      <c r="C1008" s="1" t="str">
        <f>"08616794"</f>
        <v>08616794</v>
      </c>
      <c r="D1008" s="1" t="s">
        <v>186</v>
      </c>
      <c r="F1008" s="1" t="str">
        <f>"8007"</f>
        <v>8007</v>
      </c>
      <c r="G1008" s="2">
        <v>41775.0</v>
      </c>
      <c r="H1008" s="1">
        <v>1100000.0</v>
      </c>
      <c r="I1008" s="1">
        <v>186.0</v>
      </c>
      <c r="J1008" s="1">
        <v>1100000.0</v>
      </c>
      <c r="K1008" s="2">
        <v>41936.0</v>
      </c>
      <c r="L1008" s="1">
        <v>162.0</v>
      </c>
      <c r="M1008" s="2">
        <v>41936.0</v>
      </c>
      <c r="N1008" s="1" t="s">
        <v>187</v>
      </c>
      <c r="O1008" s="2">
        <v>41978.0</v>
      </c>
      <c r="P1008" s="1">
        <v>145703.0</v>
      </c>
      <c r="Q1008" s="1">
        <v>15678.0</v>
      </c>
      <c r="S1008" s="1">
        <v>440.0</v>
      </c>
      <c r="T1008" s="1" t="s">
        <v>2778</v>
      </c>
      <c r="U1008" s="1" t="s">
        <v>694</v>
      </c>
      <c r="V1008" s="1" t="s">
        <v>190</v>
      </c>
      <c r="W1008" s="1">
        <v>60614.0</v>
      </c>
      <c r="Y1008" s="1" t="s">
        <v>11260</v>
      </c>
      <c r="Z1008" s="1">
        <v>1896.0</v>
      </c>
      <c r="AA1008" s="1" t="s">
        <v>192</v>
      </c>
      <c r="AB1008" s="1" t="s">
        <v>193</v>
      </c>
      <c r="AD1008" s="1" t="s">
        <v>194</v>
      </c>
      <c r="AE1008" s="1" t="s">
        <v>195</v>
      </c>
      <c r="AF1008" s="1" t="s">
        <v>534</v>
      </c>
      <c r="AH1008" s="1" t="s">
        <v>11261</v>
      </c>
      <c r="AK1008" s="1">
        <v>9.0</v>
      </c>
      <c r="AL1008" s="1">
        <v>4.0</v>
      </c>
      <c r="AM1008" s="1">
        <v>2.0</v>
      </c>
      <c r="AN1008" s="1">
        <v>2.0</v>
      </c>
      <c r="AO1008" s="1" t="s">
        <v>229</v>
      </c>
      <c r="AP1008" s="1">
        <v>1.0</v>
      </c>
      <c r="AQ1008" s="1" t="s">
        <v>472</v>
      </c>
      <c r="AR1008" s="1" t="s">
        <v>192</v>
      </c>
      <c r="AS1008" s="1" t="s">
        <v>828</v>
      </c>
      <c r="AU1008" s="1">
        <v>1.0</v>
      </c>
      <c r="AV1008" s="1" t="s">
        <v>200</v>
      </c>
      <c r="AW1008" s="1">
        <v>15698.02</v>
      </c>
      <c r="AX1008" s="1">
        <v>2013.0</v>
      </c>
      <c r="AY1008" s="1" t="s">
        <v>387</v>
      </c>
      <c r="AZ1008" s="1" t="s">
        <v>200</v>
      </c>
      <c r="BA1008" s="1" t="str">
        <f>"14283210240000"</f>
        <v>14283210240000</v>
      </c>
      <c r="BB1008" s="1" t="s">
        <v>200</v>
      </c>
      <c r="BC1008" s="1">
        <v>3800.0</v>
      </c>
      <c r="BD1008" s="1">
        <v>1012500.0</v>
      </c>
      <c r="BE1008" s="2">
        <v>41775.0</v>
      </c>
      <c r="BF1008" s="2" t="s">
        <v>11262</v>
      </c>
      <c r="BG1008" s="1" t="s">
        <v>2870</v>
      </c>
      <c r="BH1008" s="1">
        <v>0.0</v>
      </c>
      <c r="BJ1008" s="1" t="s">
        <v>2871</v>
      </c>
      <c r="BK1008" s="1" t="s">
        <v>204</v>
      </c>
      <c r="BL1008" s="1" t="str">
        <f>"2445"</f>
        <v>2445</v>
      </c>
      <c r="BM1008" s="1" t="str">
        <f t="shared" ref="BM1008:BM1009" si="669">"0"</f>
        <v>0</v>
      </c>
      <c r="BN1008" s="1">
        <v>440.0</v>
      </c>
      <c r="BO1008" s="1">
        <v>0.0</v>
      </c>
      <c r="BQ1008" s="1">
        <v>299.0</v>
      </c>
      <c r="BR1008" s="1">
        <v>299.0</v>
      </c>
      <c r="BS1008" s="1">
        <v>299.0</v>
      </c>
      <c r="BU1008" s="1" t="s">
        <v>5490</v>
      </c>
      <c r="BV1008" s="1" t="s">
        <v>206</v>
      </c>
      <c r="BW1008" s="1" t="s">
        <v>207</v>
      </c>
      <c r="BY1008" s="1" t="s">
        <v>214</v>
      </c>
      <c r="BZ1008" s="1" t="s">
        <v>209</v>
      </c>
      <c r="CA1008" s="1" t="s">
        <v>207</v>
      </c>
      <c r="CC1008" s="1" t="s">
        <v>582</v>
      </c>
      <c r="CD1008" s="1" t="s">
        <v>206</v>
      </c>
      <c r="CE1008" s="1" t="s">
        <v>207</v>
      </c>
      <c r="CG1008" s="1" t="s">
        <v>1351</v>
      </c>
      <c r="CH1008" s="1" t="s">
        <v>209</v>
      </c>
      <c r="CI1008" s="1" t="s">
        <v>210</v>
      </c>
      <c r="CK1008" s="1" t="s">
        <v>212</v>
      </c>
      <c r="CL1008" s="1" t="s">
        <v>209</v>
      </c>
      <c r="CM1008" s="1" t="s">
        <v>207</v>
      </c>
      <c r="CO1008" s="1" t="s">
        <v>1483</v>
      </c>
      <c r="CP1008" s="1" t="s">
        <v>267</v>
      </c>
      <c r="CQ1008" s="1" t="s">
        <v>268</v>
      </c>
      <c r="CS1008" s="1" t="s">
        <v>2647</v>
      </c>
      <c r="CT1008" s="1" t="s">
        <v>206</v>
      </c>
      <c r="CU1008" s="1" t="s">
        <v>268</v>
      </c>
      <c r="CW1008" s="1" t="s">
        <v>11263</v>
      </c>
      <c r="CX1008" s="1" t="s">
        <v>391</v>
      </c>
      <c r="CY1008" s="1" t="s">
        <v>207</v>
      </c>
      <c r="DA1008" s="1" t="s">
        <v>200</v>
      </c>
      <c r="DC1008" s="1" t="s">
        <v>642</v>
      </c>
      <c r="DD1008" s="1" t="s">
        <v>306</v>
      </c>
      <c r="DE1008" s="1" t="s">
        <v>1314</v>
      </c>
      <c r="DF1008" s="1" t="s">
        <v>4086</v>
      </c>
      <c r="DH1008" s="1" t="s">
        <v>365</v>
      </c>
      <c r="DI1008" s="1" t="s">
        <v>221</v>
      </c>
      <c r="DJ1008" s="1" t="s">
        <v>222</v>
      </c>
      <c r="DL1008" s="1" t="s">
        <v>986</v>
      </c>
      <c r="DM1008" s="1" t="s">
        <v>3575</v>
      </c>
      <c r="DN1008" s="1" t="s">
        <v>1486</v>
      </c>
      <c r="DP1008" s="1" t="s">
        <v>340</v>
      </c>
      <c r="DQ1008" s="1" t="s">
        <v>718</v>
      </c>
      <c r="DR1008" s="1" t="s">
        <v>229</v>
      </c>
      <c r="DS1008" s="1" t="s">
        <v>230</v>
      </c>
      <c r="DU1008" s="1" t="s">
        <v>4671</v>
      </c>
      <c r="DV1008" s="1" t="s">
        <v>11264</v>
      </c>
      <c r="DW1008" s="1" t="s">
        <v>1145</v>
      </c>
      <c r="DX1008" s="1" t="s">
        <v>234</v>
      </c>
      <c r="DY1008" s="1" t="s">
        <v>11052</v>
      </c>
      <c r="DZ1008" s="1" t="s">
        <v>766</v>
      </c>
      <c r="EA1008" s="1" t="s">
        <v>2466</v>
      </c>
      <c r="EB1008" s="1" t="s">
        <v>345</v>
      </c>
      <c r="EC1008" s="1" t="s">
        <v>406</v>
      </c>
      <c r="EE1008" s="1" t="s">
        <v>187</v>
      </c>
      <c r="EF1008" s="1" t="s">
        <v>1572</v>
      </c>
      <c r="EG1008" s="1" t="s">
        <v>450</v>
      </c>
      <c r="EH1008" s="1" t="s">
        <v>1103</v>
      </c>
      <c r="EI1008" s="1" t="s">
        <v>310</v>
      </c>
      <c r="EL1008" s="1" t="s">
        <v>300</v>
      </c>
      <c r="EM1008" s="1" t="s">
        <v>267</v>
      </c>
      <c r="EN1008" s="1" t="s">
        <v>268</v>
      </c>
      <c r="EP1008" s="1" t="s">
        <v>6315</v>
      </c>
      <c r="EQ1008" s="1" t="s">
        <v>267</v>
      </c>
      <c r="ET1008" s="1" t="s">
        <v>1069</v>
      </c>
      <c r="EU1008" s="1" t="s">
        <v>391</v>
      </c>
      <c r="EY1008" s="1" t="s">
        <v>238</v>
      </c>
      <c r="FC1008" s="1" t="s">
        <v>238</v>
      </c>
      <c r="FF1008" s="1" t="s">
        <v>239</v>
      </c>
      <c r="FG1008" s="1" t="s">
        <v>192</v>
      </c>
      <c r="FH1008" s="1" t="s">
        <v>192</v>
      </c>
      <c r="FJ1008" s="1" t="s">
        <v>561</v>
      </c>
      <c r="FK1008" s="1" t="s">
        <v>229</v>
      </c>
      <c r="FL1008" s="1" t="s">
        <v>1358</v>
      </c>
      <c r="FM1008" s="1">
        <v>10115.0</v>
      </c>
      <c r="FN1008" s="1" t="s">
        <v>2286</v>
      </c>
      <c r="FO1008" s="1" t="s">
        <v>2881</v>
      </c>
      <c r="FP1008" s="1">
        <v>124168.0</v>
      </c>
      <c r="FQ1008" s="1" t="s">
        <v>2882</v>
      </c>
      <c r="FU1008" s="1" t="s">
        <v>2883</v>
      </c>
      <c r="FV1008" s="1" t="s">
        <v>200</v>
      </c>
      <c r="FW1008" s="1" t="s">
        <v>530</v>
      </c>
      <c r="FX1008" s="1" t="s">
        <v>246</v>
      </c>
      <c r="FZ1008" s="1" t="s">
        <v>229</v>
      </c>
      <c r="GA1008" s="1" t="s">
        <v>291</v>
      </c>
      <c r="GB1008" s="2">
        <v>41978.0</v>
      </c>
      <c r="GC1008" s="1" t="s">
        <v>11265</v>
      </c>
    </row>
    <row r="1009">
      <c r="A1009" s="1">
        <v>61609.0</v>
      </c>
      <c r="B1009" s="1" t="s">
        <v>185</v>
      </c>
      <c r="C1009" s="1" t="str">
        <f>"08621579"</f>
        <v>08621579</v>
      </c>
      <c r="D1009" s="1" t="s">
        <v>186</v>
      </c>
      <c r="F1009" s="1" t="str">
        <f>"110"</f>
        <v>110</v>
      </c>
      <c r="G1009" s="2">
        <v>41780.0</v>
      </c>
      <c r="H1009" s="1">
        <v>77000.0</v>
      </c>
      <c r="I1009" s="1">
        <v>205.0</v>
      </c>
      <c r="J1009" s="1">
        <v>69300.0</v>
      </c>
      <c r="K1009" s="2">
        <v>41984.0</v>
      </c>
      <c r="L1009" s="1">
        <v>205.0</v>
      </c>
      <c r="M1009" s="2">
        <v>41984.0</v>
      </c>
      <c r="N1009" s="1" t="s">
        <v>249</v>
      </c>
      <c r="O1009" s="2">
        <v>42039.0</v>
      </c>
      <c r="P1009" s="1">
        <v>241350.0</v>
      </c>
      <c r="Q1009" s="1">
        <v>24007.0</v>
      </c>
      <c r="S1009" s="1">
        <v>75.0</v>
      </c>
      <c r="T1009" s="1" t="s">
        <v>11266</v>
      </c>
      <c r="U1009" s="1" t="s">
        <v>464</v>
      </c>
      <c r="V1009" s="1" t="s">
        <v>807</v>
      </c>
      <c r="W1009" s="1">
        <v>60110.0</v>
      </c>
      <c r="Y1009" s="1" t="s">
        <v>11267</v>
      </c>
      <c r="Z1009" s="1">
        <v>1956.0</v>
      </c>
      <c r="AA1009" s="1" t="s">
        <v>192</v>
      </c>
      <c r="AB1009" s="1" t="s">
        <v>193</v>
      </c>
      <c r="AD1009" s="1" t="s">
        <v>809</v>
      </c>
      <c r="AE1009" s="1" t="s">
        <v>325</v>
      </c>
      <c r="AF1009" s="1" t="s">
        <v>810</v>
      </c>
      <c r="AH1009" s="1" t="s">
        <v>11268</v>
      </c>
      <c r="AI1009" s="1">
        <v>0.1563</v>
      </c>
      <c r="AK1009" s="1">
        <v>7.0</v>
      </c>
      <c r="AL1009" s="1">
        <v>4.0</v>
      </c>
      <c r="AM1009" s="1">
        <v>1.0</v>
      </c>
      <c r="AN1009" s="1">
        <v>0.0</v>
      </c>
      <c r="AO1009" s="1" t="s">
        <v>229</v>
      </c>
      <c r="AQ1009" s="1" t="s">
        <v>229</v>
      </c>
      <c r="AR1009" s="1" t="s">
        <v>200</v>
      </c>
      <c r="AS1009" s="1" t="s">
        <v>229</v>
      </c>
      <c r="AV1009" s="1" t="s">
        <v>200</v>
      </c>
      <c r="AW1009" s="1">
        <v>1919.74</v>
      </c>
      <c r="AX1009" s="1">
        <v>2012.0</v>
      </c>
      <c r="AZ1009" s="1" t="s">
        <v>200</v>
      </c>
      <c r="BA1009" s="1" t="str">
        <f>"0313127007"</f>
        <v>0313127007</v>
      </c>
      <c r="BC1009" s="1">
        <v>1285.0</v>
      </c>
      <c r="BD1009" s="1">
        <v>61609.0</v>
      </c>
      <c r="BE1009" s="2">
        <v>41780.0</v>
      </c>
      <c r="BF1009" s="2" t="s">
        <v>11269</v>
      </c>
      <c r="BH1009" s="1">
        <v>0.0</v>
      </c>
      <c r="BK1009" s="1" t="s">
        <v>204</v>
      </c>
      <c r="BL1009" s="1" t="str">
        <f>"17"</f>
        <v>17</v>
      </c>
      <c r="BM1009" s="1" t="str">
        <f t="shared" si="669"/>
        <v>0</v>
      </c>
      <c r="BN1009" s="1">
        <v>32.0</v>
      </c>
      <c r="BO1009" s="1">
        <v>0.0</v>
      </c>
      <c r="BQ1009" s="1">
        <v>300.0</v>
      </c>
      <c r="BR1009" s="1">
        <v>300.0</v>
      </c>
      <c r="BS1009" s="1">
        <v>300.0</v>
      </c>
      <c r="BU1009" s="1" t="s">
        <v>214</v>
      </c>
      <c r="BV1009" s="1" t="s">
        <v>206</v>
      </c>
      <c r="BY1009" s="1" t="s">
        <v>331</v>
      </c>
      <c r="BZ1009" s="1" t="s">
        <v>206</v>
      </c>
      <c r="CC1009" s="1" t="s">
        <v>269</v>
      </c>
      <c r="CD1009" s="1" t="s">
        <v>206</v>
      </c>
      <c r="CG1009" s="1" t="s">
        <v>212</v>
      </c>
      <c r="CH1009" s="1" t="s">
        <v>206</v>
      </c>
      <c r="CK1009" s="1" t="s">
        <v>816</v>
      </c>
      <c r="CL1009" s="1" t="s">
        <v>206</v>
      </c>
      <c r="CO1009" s="1" t="s">
        <v>699</v>
      </c>
      <c r="CP1009" s="1" t="s">
        <v>206</v>
      </c>
      <c r="CS1009" s="1" t="s">
        <v>11092</v>
      </c>
      <c r="CT1009" s="1" t="s">
        <v>206</v>
      </c>
      <c r="CX1009" s="1" t="s">
        <v>204</v>
      </c>
      <c r="DA1009" s="1" t="s">
        <v>200</v>
      </c>
      <c r="DC1009" s="1" t="s">
        <v>271</v>
      </c>
      <c r="DD1009" s="1" t="s">
        <v>518</v>
      </c>
      <c r="DE1009" s="1" t="s">
        <v>229</v>
      </c>
      <c r="DF1009" s="1" t="s">
        <v>219</v>
      </c>
      <c r="DG1009" s="1" t="s">
        <v>337</v>
      </c>
      <c r="DH1009" s="1" t="s">
        <v>220</v>
      </c>
      <c r="DJ1009" s="1" t="s">
        <v>222</v>
      </c>
      <c r="DL1009" s="1" t="s">
        <v>229</v>
      </c>
      <c r="DM1009" s="1" t="s">
        <v>229</v>
      </c>
      <c r="DP1009" s="1" t="s">
        <v>340</v>
      </c>
      <c r="DQ1009" s="1" t="s">
        <v>228</v>
      </c>
      <c r="DR1009" s="1" t="s">
        <v>229</v>
      </c>
      <c r="DV1009" s="1" t="s">
        <v>232</v>
      </c>
      <c r="DW1009" s="1" t="s">
        <v>667</v>
      </c>
      <c r="DX1009" s="1" t="s">
        <v>234</v>
      </c>
      <c r="DZ1009" s="1" t="s">
        <v>343</v>
      </c>
      <c r="EA1009" s="1" t="s">
        <v>683</v>
      </c>
      <c r="EC1009" s="1" t="s">
        <v>685</v>
      </c>
      <c r="EM1009" s="1" t="s">
        <v>238</v>
      </c>
      <c r="EQ1009" s="1" t="s">
        <v>238</v>
      </c>
      <c r="EU1009" s="1" t="s">
        <v>238</v>
      </c>
      <c r="EY1009" s="1" t="s">
        <v>238</v>
      </c>
      <c r="FC1009" s="1" t="s">
        <v>238</v>
      </c>
      <c r="FF1009" s="1" t="s">
        <v>239</v>
      </c>
      <c r="FG1009" s="1" t="s">
        <v>192</v>
      </c>
      <c r="FH1009" s="1" t="s">
        <v>192</v>
      </c>
      <c r="FJ1009" s="1" t="s">
        <v>347</v>
      </c>
      <c r="FK1009" s="1" t="s">
        <v>1586</v>
      </c>
      <c r="FL1009" s="1" t="s">
        <v>3433</v>
      </c>
      <c r="FM1009" s="1">
        <v>5293.0</v>
      </c>
      <c r="FN1009" s="1" t="s">
        <v>3434</v>
      </c>
      <c r="FO1009" s="1" t="s">
        <v>3435</v>
      </c>
      <c r="FP1009" s="1">
        <v>53957.0</v>
      </c>
      <c r="FU1009" s="1" t="s">
        <v>2697</v>
      </c>
      <c r="FV1009" s="1" t="s">
        <v>200</v>
      </c>
      <c r="FW1009" s="1" t="s">
        <v>290</v>
      </c>
      <c r="FZ1009" s="1" t="s">
        <v>229</v>
      </c>
      <c r="GA1009" s="1" t="s">
        <v>291</v>
      </c>
      <c r="GB1009" s="2">
        <v>42041.0</v>
      </c>
      <c r="GC1009" s="2" t="s">
        <v>11270</v>
      </c>
    </row>
    <row r="1010">
      <c r="A1010" s="1">
        <v>540000.0</v>
      </c>
      <c r="B1010" s="1" t="s">
        <v>185</v>
      </c>
      <c r="C1010" s="1" t="str">
        <f>"08643194"</f>
        <v>08643194</v>
      </c>
      <c r="D1010" s="1" t="s">
        <v>186</v>
      </c>
      <c r="F1010" s="1" t="str">
        <f>"10"</f>
        <v>10</v>
      </c>
      <c r="G1010" s="2">
        <v>41802.0</v>
      </c>
      <c r="H1010" s="1">
        <v>675000.0</v>
      </c>
      <c r="I1010" s="1">
        <v>284.0</v>
      </c>
      <c r="J1010" s="1">
        <v>575000.0</v>
      </c>
      <c r="K1010" s="2">
        <v>42083.0</v>
      </c>
      <c r="L1010" s="1">
        <v>284.0</v>
      </c>
      <c r="M1010" s="2">
        <v>42083.0</v>
      </c>
      <c r="N1010" s="1" t="s">
        <v>187</v>
      </c>
      <c r="O1010" s="2">
        <v>42111.0</v>
      </c>
      <c r="P1010" s="1">
        <v>89578.0</v>
      </c>
      <c r="Q1010" s="1">
        <v>8666.0</v>
      </c>
      <c r="S1010" s="1">
        <v>20515.0</v>
      </c>
      <c r="T1010" s="1" t="s">
        <v>11271</v>
      </c>
      <c r="U1010" s="1" t="s">
        <v>420</v>
      </c>
      <c r="V1010" s="1" t="s">
        <v>914</v>
      </c>
      <c r="W1010" s="1">
        <v>60010.0</v>
      </c>
      <c r="Y1010" s="1" t="s">
        <v>11272</v>
      </c>
      <c r="Z1010" s="1">
        <v>1987.0</v>
      </c>
      <c r="AA1010" s="1" t="s">
        <v>200</v>
      </c>
      <c r="AB1010" s="1" t="s">
        <v>193</v>
      </c>
      <c r="AC1010" s="1" t="s">
        <v>11273</v>
      </c>
      <c r="AD1010" s="1" t="s">
        <v>916</v>
      </c>
      <c r="AE1010" s="1" t="s">
        <v>917</v>
      </c>
      <c r="AF1010" s="1" t="s">
        <v>918</v>
      </c>
      <c r="AG1010" s="1" t="s">
        <v>752</v>
      </c>
      <c r="AH1010" s="1" t="s">
        <v>11274</v>
      </c>
      <c r="AI1010" s="1">
        <v>1.4391</v>
      </c>
      <c r="AK1010" s="1">
        <v>11.0</v>
      </c>
      <c r="AL1010" s="1">
        <v>4.0</v>
      </c>
      <c r="AM1010" s="1">
        <v>3.0</v>
      </c>
      <c r="AN1010" s="1">
        <v>1.0</v>
      </c>
      <c r="AO1010" s="1" t="s">
        <v>198</v>
      </c>
      <c r="AP1010" s="1">
        <v>2.0</v>
      </c>
      <c r="AQ1010" s="1" t="s">
        <v>951</v>
      </c>
      <c r="AR1010" s="1" t="s">
        <v>192</v>
      </c>
      <c r="AS1010" s="1" t="s">
        <v>199</v>
      </c>
      <c r="AT1010" s="1">
        <v>3.0</v>
      </c>
      <c r="AV1010" s="1" t="s">
        <v>200</v>
      </c>
      <c r="AW1010" s="1">
        <v>12356.0</v>
      </c>
      <c r="AX1010" s="1">
        <v>2013.0</v>
      </c>
      <c r="AZ1010" s="1" t="s">
        <v>200</v>
      </c>
      <c r="BA1010" s="1" t="str">
        <f>"14322040270000"</f>
        <v>14322040270000</v>
      </c>
      <c r="BB1010" s="1" t="s">
        <v>200</v>
      </c>
      <c r="BC1010" s="1">
        <v>2878.0</v>
      </c>
      <c r="BD1010" s="1">
        <v>540000.0</v>
      </c>
      <c r="BE1010" s="2">
        <v>41800.0</v>
      </c>
      <c r="BF1010" s="2" t="s">
        <v>11275</v>
      </c>
      <c r="BG1010" s="1" t="s">
        <v>1712</v>
      </c>
      <c r="BH1010" s="1">
        <v>100.0</v>
      </c>
      <c r="BI1010" s="1" t="s">
        <v>11276</v>
      </c>
      <c r="BJ1010" s="1" t="s">
        <v>1714</v>
      </c>
      <c r="BK1010" s="1" t="s">
        <v>580</v>
      </c>
      <c r="BL1010" s="1" t="str">
        <f>"20"</f>
        <v>20</v>
      </c>
      <c r="BM1010" s="1" t="str">
        <f>""</f>
        <v/>
      </c>
      <c r="BN1010" s="1">
        <v>23.0</v>
      </c>
      <c r="BQ1010" s="1">
        <v>220.0</v>
      </c>
      <c r="BR1010" s="1">
        <v>220.0</v>
      </c>
      <c r="BS1010" s="1">
        <v>220.0</v>
      </c>
      <c r="BU1010" s="1" t="s">
        <v>432</v>
      </c>
      <c r="BV1010" s="1" t="s">
        <v>206</v>
      </c>
      <c r="BW1010" s="1" t="s">
        <v>210</v>
      </c>
      <c r="BX1010" s="1" t="s">
        <v>476</v>
      </c>
      <c r="BY1010" s="1" t="s">
        <v>639</v>
      </c>
      <c r="BZ1010" s="1" t="s">
        <v>209</v>
      </c>
      <c r="CA1010" s="1" t="s">
        <v>210</v>
      </c>
      <c r="CB1010" s="1" t="s">
        <v>431</v>
      </c>
      <c r="CC1010" s="1" t="s">
        <v>454</v>
      </c>
      <c r="CD1010" s="1" t="s">
        <v>206</v>
      </c>
      <c r="CE1010" s="1" t="s">
        <v>207</v>
      </c>
      <c r="CF1010" s="1" t="s">
        <v>476</v>
      </c>
      <c r="CG1010" s="1" t="s">
        <v>363</v>
      </c>
      <c r="CH1010" s="1" t="s">
        <v>209</v>
      </c>
      <c r="CI1010" s="1" t="s">
        <v>210</v>
      </c>
      <c r="CJ1010" s="1" t="s">
        <v>476</v>
      </c>
      <c r="CK1010" s="1" t="s">
        <v>433</v>
      </c>
      <c r="CL1010" s="1" t="s">
        <v>209</v>
      </c>
      <c r="CM1010" s="1" t="s">
        <v>210</v>
      </c>
      <c r="CN1010" s="1" t="s">
        <v>431</v>
      </c>
      <c r="CO1010" s="1" t="s">
        <v>329</v>
      </c>
      <c r="CP1010" s="1" t="s">
        <v>209</v>
      </c>
      <c r="CQ1010" s="1" t="s">
        <v>210</v>
      </c>
      <c r="CR1010" s="1" t="s">
        <v>431</v>
      </c>
      <c r="CS1010" s="1" t="s">
        <v>3539</v>
      </c>
      <c r="CT1010" s="1" t="s">
        <v>206</v>
      </c>
      <c r="CU1010" s="1" t="s">
        <v>207</v>
      </c>
      <c r="CV1010" s="1" t="s">
        <v>431</v>
      </c>
      <c r="CW1010" s="1" t="s">
        <v>854</v>
      </c>
      <c r="CX1010" s="1" t="s">
        <v>206</v>
      </c>
      <c r="CY1010" s="1" t="s">
        <v>210</v>
      </c>
      <c r="CZ1010" s="1" t="s">
        <v>431</v>
      </c>
      <c r="DA1010" s="1" t="s">
        <v>200</v>
      </c>
      <c r="DC1010" s="1" t="s">
        <v>305</v>
      </c>
      <c r="DD1010" s="1" t="s">
        <v>1838</v>
      </c>
      <c r="DE1010" s="1" t="s">
        <v>273</v>
      </c>
      <c r="DF1010" s="1" t="s">
        <v>219</v>
      </c>
      <c r="DG1010" s="1" t="s">
        <v>11277</v>
      </c>
      <c r="DH1010" s="1" t="s">
        <v>856</v>
      </c>
      <c r="DI1010" s="1" t="s">
        <v>11278</v>
      </c>
      <c r="DJ1010" s="1" t="s">
        <v>857</v>
      </c>
      <c r="DK1010" s="1" t="s">
        <v>223</v>
      </c>
      <c r="DL1010" s="1" t="s">
        <v>224</v>
      </c>
      <c r="DM1010" s="1" t="s">
        <v>338</v>
      </c>
      <c r="DN1010" s="1" t="s">
        <v>399</v>
      </c>
      <c r="DO1010" s="1" t="s">
        <v>2838</v>
      </c>
      <c r="DP1010" s="1" t="s">
        <v>340</v>
      </c>
      <c r="DQ1010" s="1" t="s">
        <v>931</v>
      </c>
      <c r="DR1010" s="1" t="s">
        <v>1185</v>
      </c>
      <c r="DU1010" s="1" t="s">
        <v>7852</v>
      </c>
      <c r="DV1010" s="1" t="s">
        <v>11279</v>
      </c>
      <c r="DW1010" s="1" t="s">
        <v>964</v>
      </c>
      <c r="DX1010" s="1" t="s">
        <v>234</v>
      </c>
      <c r="DY1010" s="1" t="s">
        <v>11280</v>
      </c>
      <c r="DZ1010" s="1" t="s">
        <v>11281</v>
      </c>
      <c r="EA1010" s="1" t="s">
        <v>447</v>
      </c>
      <c r="EB1010" s="1" t="s">
        <v>937</v>
      </c>
      <c r="EC1010" s="1" t="s">
        <v>237</v>
      </c>
      <c r="ED1010" s="1" t="s">
        <v>407</v>
      </c>
      <c r="EG1010" s="1" t="s">
        <v>598</v>
      </c>
      <c r="EH1010" s="1" t="s">
        <v>114</v>
      </c>
      <c r="EI1010" s="1" t="s">
        <v>450</v>
      </c>
      <c r="EL1010" s="1" t="s">
        <v>758</v>
      </c>
      <c r="EM1010" s="1" t="s">
        <v>1697</v>
      </c>
      <c r="EN1010" s="1" t="s">
        <v>210</v>
      </c>
      <c r="EO1010" s="1" t="s">
        <v>229</v>
      </c>
      <c r="EP1010" s="1" t="s">
        <v>11282</v>
      </c>
      <c r="EQ1010" s="1" t="s">
        <v>209</v>
      </c>
      <c r="ET1010" s="1" t="s">
        <v>11283</v>
      </c>
      <c r="EU1010" s="1" t="s">
        <v>1697</v>
      </c>
      <c r="EV1010" s="1" t="s">
        <v>210</v>
      </c>
      <c r="EW1010" s="1" t="s">
        <v>431</v>
      </c>
      <c r="EY1010" s="1" t="s">
        <v>238</v>
      </c>
      <c r="FC1010" s="1" t="s">
        <v>238</v>
      </c>
      <c r="FF1010" s="1" t="s">
        <v>239</v>
      </c>
      <c r="FG1010" s="1" t="s">
        <v>192</v>
      </c>
      <c r="FH1010" s="1" t="s">
        <v>192</v>
      </c>
      <c r="FJ1010" s="1" t="s">
        <v>1469</v>
      </c>
      <c r="FK1010" s="1" t="s">
        <v>229</v>
      </c>
      <c r="FL1010" s="1" t="s">
        <v>2026</v>
      </c>
      <c r="FM1010" s="1">
        <v>6018.0</v>
      </c>
      <c r="FN1010" s="1" t="s">
        <v>2027</v>
      </c>
      <c r="FO1010" s="1" t="s">
        <v>10944</v>
      </c>
      <c r="FP1010" s="1">
        <v>61461.0</v>
      </c>
      <c r="FS1010" s="1" t="s">
        <v>10945</v>
      </c>
      <c r="FU1010" s="1" t="s">
        <v>11284</v>
      </c>
      <c r="FV1010" s="1" t="s">
        <v>200</v>
      </c>
      <c r="FW1010" s="1" t="s">
        <v>530</v>
      </c>
      <c r="FX1010" s="1" t="s">
        <v>238</v>
      </c>
      <c r="FZ1010" s="1" t="s">
        <v>229</v>
      </c>
      <c r="GA1010" s="1" t="s">
        <v>291</v>
      </c>
      <c r="GB1010" s="2">
        <v>42111.0</v>
      </c>
      <c r="GC1010" s="1" t="s">
        <v>11285</v>
      </c>
    </row>
    <row r="1011">
      <c r="A1011" s="1">
        <v>437500.0</v>
      </c>
      <c r="B1011" s="1" t="s">
        <v>185</v>
      </c>
      <c r="C1011" s="1" t="str">
        <f>"08624171"</f>
        <v>08624171</v>
      </c>
      <c r="D1011" s="1" t="s">
        <v>186</v>
      </c>
      <c r="F1011" s="1" t="str">
        <f>"134"</f>
        <v>134</v>
      </c>
      <c r="G1011" s="2">
        <v>41782.0</v>
      </c>
      <c r="H1011" s="1">
        <v>464900.0</v>
      </c>
      <c r="I1011" s="1">
        <v>202.0</v>
      </c>
      <c r="J1011" s="1">
        <v>449900.0</v>
      </c>
      <c r="K1011" s="2">
        <v>41983.0</v>
      </c>
      <c r="L1011" s="1">
        <v>202.0</v>
      </c>
      <c r="M1011" s="2">
        <v>41983.0</v>
      </c>
      <c r="N1011" s="1" t="s">
        <v>187</v>
      </c>
      <c r="O1011" s="2">
        <v>42062.0</v>
      </c>
      <c r="P1011" s="1">
        <v>181.0</v>
      </c>
      <c r="Q1011" s="1">
        <v>771.0</v>
      </c>
      <c r="S1011" s="1" t="s">
        <v>11286</v>
      </c>
      <c r="T1011" s="1" t="s">
        <v>7403</v>
      </c>
      <c r="U1011" s="1" t="s">
        <v>7404</v>
      </c>
      <c r="V1011" s="1" t="s">
        <v>421</v>
      </c>
      <c r="W1011" s="1">
        <v>60134.0</v>
      </c>
      <c r="Y1011" s="1" t="s">
        <v>11287</v>
      </c>
      <c r="Z1011" s="1">
        <v>1998.0</v>
      </c>
      <c r="AA1011" s="1" t="s">
        <v>200</v>
      </c>
      <c r="AB1011" s="1" t="s">
        <v>193</v>
      </c>
      <c r="AC1011" s="1" t="s">
        <v>7406</v>
      </c>
      <c r="AD1011" s="1" t="s">
        <v>1089</v>
      </c>
      <c r="AE1011" s="1" t="s">
        <v>325</v>
      </c>
      <c r="AF1011" s="1" t="s">
        <v>1479</v>
      </c>
      <c r="AG1011" s="1" t="s">
        <v>5046</v>
      </c>
      <c r="AH1011" s="1">
        <v>10447.0</v>
      </c>
      <c r="AI1011" s="1">
        <v>0.239</v>
      </c>
      <c r="AK1011" s="1">
        <v>11.0</v>
      </c>
      <c r="AL1011" s="1">
        <v>4.0</v>
      </c>
      <c r="AM1011" s="1">
        <v>4.0</v>
      </c>
      <c r="AN1011" s="1">
        <v>1.0</v>
      </c>
      <c r="AO1011" s="1" t="s">
        <v>198</v>
      </c>
      <c r="AP1011" s="1">
        <v>1.0</v>
      </c>
      <c r="AQ1011" s="1" t="s">
        <v>327</v>
      </c>
      <c r="AR1011" s="1" t="s">
        <v>192</v>
      </c>
      <c r="AS1011" s="1" t="s">
        <v>199</v>
      </c>
      <c r="AT1011" s="1">
        <v>3.0</v>
      </c>
      <c r="AV1011" s="1" t="s">
        <v>200</v>
      </c>
      <c r="AW1011" s="1">
        <v>13864.0</v>
      </c>
      <c r="AX1011" s="1">
        <v>2013.0</v>
      </c>
      <c r="AY1011" s="1" t="s">
        <v>387</v>
      </c>
      <c r="AZ1011" s="1" t="s">
        <v>200</v>
      </c>
      <c r="BA1011" s="1" t="str">
        <f>"1112257003"</f>
        <v>1112257003</v>
      </c>
      <c r="BC1011" s="1">
        <v>4917.0</v>
      </c>
      <c r="BD1011" s="1">
        <v>437500.0</v>
      </c>
      <c r="BE1011" s="2">
        <v>41782.0</v>
      </c>
      <c r="BF1011" s="2" t="s">
        <v>11288</v>
      </c>
      <c r="BG1011" s="1" t="s">
        <v>6713</v>
      </c>
      <c r="BH1011" s="1">
        <v>0.0</v>
      </c>
      <c r="BI1011" s="1" t="s">
        <v>429</v>
      </c>
      <c r="BJ1011" s="1" t="s">
        <v>430</v>
      </c>
      <c r="BK1011" s="1" t="s">
        <v>204</v>
      </c>
      <c r="BL1011" s="1" t="str">
        <f t="shared" ref="BL1011:BM1011" si="670">""</f>
        <v/>
      </c>
      <c r="BM1011" s="1" t="str">
        <f t="shared" si="670"/>
        <v/>
      </c>
      <c r="BQ1011" s="1">
        <v>304.0</v>
      </c>
      <c r="BR1011" s="1">
        <v>304.0</v>
      </c>
      <c r="BS1011" s="1">
        <v>304.0</v>
      </c>
      <c r="BU1011" s="1" t="s">
        <v>393</v>
      </c>
      <c r="BV1011" s="1" t="s">
        <v>206</v>
      </c>
      <c r="BW1011" s="1" t="s">
        <v>210</v>
      </c>
      <c r="BY1011" s="1" t="s">
        <v>641</v>
      </c>
      <c r="BZ1011" s="1" t="s">
        <v>209</v>
      </c>
      <c r="CA1011" s="1" t="s">
        <v>210</v>
      </c>
      <c r="CC1011" s="1" t="s">
        <v>215</v>
      </c>
      <c r="CD1011" s="1" t="s">
        <v>206</v>
      </c>
      <c r="CE1011" s="1" t="s">
        <v>210</v>
      </c>
      <c r="CG1011" s="1" t="s">
        <v>433</v>
      </c>
      <c r="CH1011" s="1" t="s">
        <v>209</v>
      </c>
      <c r="CI1011" s="1" t="s">
        <v>210</v>
      </c>
      <c r="CK1011" s="1" t="s">
        <v>215</v>
      </c>
      <c r="CL1011" s="1" t="s">
        <v>209</v>
      </c>
      <c r="CM1011" s="1" t="s">
        <v>210</v>
      </c>
      <c r="CO1011" s="1" t="s">
        <v>215</v>
      </c>
      <c r="CP1011" s="1" t="s">
        <v>209</v>
      </c>
      <c r="CQ1011" s="1" t="s">
        <v>210</v>
      </c>
      <c r="CS1011" s="1" t="s">
        <v>2749</v>
      </c>
      <c r="CT1011" s="1" t="s">
        <v>206</v>
      </c>
      <c r="CU1011" s="1" t="s">
        <v>207</v>
      </c>
      <c r="CW1011" s="1" t="s">
        <v>477</v>
      </c>
      <c r="CX1011" s="1" t="s">
        <v>206</v>
      </c>
      <c r="CY1011" s="1" t="s">
        <v>207</v>
      </c>
      <c r="DA1011" s="1" t="s">
        <v>200</v>
      </c>
      <c r="DC1011" s="1" t="s">
        <v>678</v>
      </c>
      <c r="DD1011" s="1" t="s">
        <v>436</v>
      </c>
      <c r="DE1011" s="1" t="s">
        <v>273</v>
      </c>
      <c r="DF1011" s="1" t="s">
        <v>219</v>
      </c>
      <c r="DG1011" s="1" t="s">
        <v>5454</v>
      </c>
      <c r="DH1011" s="1" t="s">
        <v>220</v>
      </c>
      <c r="DI1011" s="1" t="s">
        <v>519</v>
      </c>
      <c r="DJ1011" s="1" t="s">
        <v>222</v>
      </c>
      <c r="DL1011" s="1" t="s">
        <v>224</v>
      </c>
      <c r="DM1011" s="1" t="s">
        <v>3697</v>
      </c>
      <c r="DN1011" s="1" t="s">
        <v>399</v>
      </c>
      <c r="DO1011" s="1" t="s">
        <v>11289</v>
      </c>
      <c r="DP1011" s="1" t="s">
        <v>340</v>
      </c>
      <c r="DQ1011" s="1" t="s">
        <v>228</v>
      </c>
      <c r="DR1011" s="1" t="s">
        <v>229</v>
      </c>
      <c r="DS1011" s="1" t="s">
        <v>368</v>
      </c>
      <c r="DV1011" s="1" t="s">
        <v>11290</v>
      </c>
      <c r="DW1011" s="1" t="s">
        <v>764</v>
      </c>
      <c r="DX1011" s="1" t="s">
        <v>234</v>
      </c>
      <c r="DY1011" s="1" t="s">
        <v>490</v>
      </c>
      <c r="DZ1011" s="1" t="s">
        <v>310</v>
      </c>
      <c r="EC1011" s="1" t="s">
        <v>237</v>
      </c>
      <c r="EG1011" s="1" t="s">
        <v>450</v>
      </c>
      <c r="EH1011" s="1" t="s">
        <v>494</v>
      </c>
      <c r="EJ1011" s="1" t="s">
        <v>451</v>
      </c>
      <c r="EL1011" s="1" t="s">
        <v>11291</v>
      </c>
      <c r="EM1011" s="1" t="s">
        <v>1697</v>
      </c>
      <c r="EN1011" s="1" t="s">
        <v>210</v>
      </c>
      <c r="EP1011" s="1" t="s">
        <v>264</v>
      </c>
      <c r="EQ1011" s="1" t="s">
        <v>206</v>
      </c>
      <c r="ER1011" s="1" t="s">
        <v>210</v>
      </c>
      <c r="EU1011" s="1" t="s">
        <v>238</v>
      </c>
      <c r="EX1011" s="1" t="s">
        <v>3475</v>
      </c>
      <c r="EY1011" s="1" t="s">
        <v>1697</v>
      </c>
      <c r="FC1011" s="1" t="s">
        <v>238</v>
      </c>
      <c r="FF1011" s="1" t="s">
        <v>239</v>
      </c>
      <c r="FG1011" s="1" t="s">
        <v>192</v>
      </c>
      <c r="FH1011" s="1" t="s">
        <v>192</v>
      </c>
      <c r="FJ1011" s="1" t="s">
        <v>498</v>
      </c>
      <c r="FK1011" s="1" t="s">
        <v>229</v>
      </c>
      <c r="FL1011" s="1" t="s">
        <v>1358</v>
      </c>
      <c r="FM1011" s="1">
        <v>23591.0</v>
      </c>
      <c r="FN1011" s="1" t="s">
        <v>2134</v>
      </c>
      <c r="FO1011" s="1" t="s">
        <v>2135</v>
      </c>
      <c r="FP1011" s="1">
        <v>230500.0</v>
      </c>
      <c r="FQ1011" s="1" t="s">
        <v>2136</v>
      </c>
      <c r="FU1011" s="1" t="s">
        <v>11292</v>
      </c>
      <c r="FV1011" s="1" t="s">
        <v>200</v>
      </c>
      <c r="FW1011" s="1" t="s">
        <v>290</v>
      </c>
      <c r="FX1011" s="1" t="s">
        <v>1739</v>
      </c>
      <c r="FZ1011" s="1" t="s">
        <v>229</v>
      </c>
      <c r="GA1011" s="1" t="s">
        <v>291</v>
      </c>
      <c r="GB1011" s="2">
        <v>42063.0</v>
      </c>
      <c r="GC1011" s="1" t="s">
        <v>11293</v>
      </c>
    </row>
    <row r="1012">
      <c r="A1012" s="1">
        <v>257500.0</v>
      </c>
      <c r="B1012" s="1" t="s">
        <v>185</v>
      </c>
      <c r="C1012" s="1" t="str">
        <f>"08623944"</f>
        <v>08623944</v>
      </c>
      <c r="D1012" s="1" t="s">
        <v>186</v>
      </c>
      <c r="F1012" s="1" t="str">
        <f>"8017"</f>
        <v>8017</v>
      </c>
      <c r="G1012" s="2">
        <v>41782.0</v>
      </c>
      <c r="H1012" s="1">
        <v>299000.0</v>
      </c>
      <c r="I1012" s="1">
        <v>529.0</v>
      </c>
      <c r="J1012" s="1">
        <v>248900.0</v>
      </c>
      <c r="K1012" s="2">
        <v>42047.0</v>
      </c>
      <c r="L1012" s="1">
        <v>266.0</v>
      </c>
      <c r="M1012" s="2">
        <v>42047.0</v>
      </c>
      <c r="N1012" s="1" t="s">
        <v>187</v>
      </c>
      <c r="O1012" s="2">
        <v>42097.0</v>
      </c>
      <c r="P1012" s="1">
        <v>156155.0</v>
      </c>
      <c r="Q1012" s="1">
        <v>18359.0</v>
      </c>
      <c r="S1012" s="1">
        <v>3411.0</v>
      </c>
      <c r="T1012" s="1" t="s">
        <v>4833</v>
      </c>
      <c r="U1012" s="1" t="s">
        <v>189</v>
      </c>
      <c r="V1012" s="1" t="s">
        <v>190</v>
      </c>
      <c r="W1012" s="1">
        <v>60634.0</v>
      </c>
      <c r="Y1012" s="1" t="s">
        <v>11294</v>
      </c>
      <c r="Z1012" s="1">
        <v>1925.0</v>
      </c>
      <c r="AA1012" s="1" t="s">
        <v>192</v>
      </c>
      <c r="AB1012" s="1" t="s">
        <v>193</v>
      </c>
      <c r="AD1012" s="1" t="s">
        <v>194</v>
      </c>
      <c r="AE1012" s="1" t="s">
        <v>195</v>
      </c>
      <c r="AF1012" s="1" t="s">
        <v>196</v>
      </c>
      <c r="AH1012" s="1" t="s">
        <v>11295</v>
      </c>
      <c r="AK1012" s="1">
        <v>6.0</v>
      </c>
      <c r="AL1012" s="1">
        <v>4.0</v>
      </c>
      <c r="AM1012" s="1">
        <v>3.0</v>
      </c>
      <c r="AN1012" s="1">
        <v>0.0</v>
      </c>
      <c r="AO1012" s="1" t="s">
        <v>198</v>
      </c>
      <c r="AP1012" s="1">
        <v>1.0</v>
      </c>
      <c r="AQ1012" s="1" t="s">
        <v>198</v>
      </c>
      <c r="AR1012" s="1" t="s">
        <v>200</v>
      </c>
      <c r="AS1012" s="1" t="s">
        <v>828</v>
      </c>
      <c r="AU1012" s="1">
        <v>3.0</v>
      </c>
      <c r="AV1012" s="1" t="s">
        <v>200</v>
      </c>
      <c r="AW1012" s="4">
        <v>6795.75</v>
      </c>
      <c r="AX1012" s="1">
        <v>2012.0</v>
      </c>
      <c r="AY1012" s="1" t="s">
        <v>229</v>
      </c>
      <c r="AZ1012" s="1" t="s">
        <v>200</v>
      </c>
      <c r="BA1012" s="1" t="str">
        <f>"12244150070000"</f>
        <v>12244150070000</v>
      </c>
      <c r="BC1012" s="1">
        <v>1729.0</v>
      </c>
      <c r="BD1012" s="1">
        <v>257500.0</v>
      </c>
      <c r="BE1012" s="2">
        <v>41782.0</v>
      </c>
      <c r="BF1012" s="2" t="s">
        <v>11296</v>
      </c>
      <c r="BG1012" s="1" t="s">
        <v>11297</v>
      </c>
      <c r="BH1012" s="1">
        <v>0.0</v>
      </c>
      <c r="BK1012" s="1" t="s">
        <v>204</v>
      </c>
      <c r="BL1012" s="1" t="str">
        <f>"3411"</f>
        <v>3411</v>
      </c>
      <c r="BM1012" s="1" t="str">
        <f>"0"</f>
        <v>0</v>
      </c>
      <c r="BN1012" s="1">
        <v>7250.0</v>
      </c>
      <c r="BO1012" s="1">
        <v>0.0</v>
      </c>
      <c r="BQ1012" s="1">
        <v>299.0</v>
      </c>
      <c r="BR1012" s="1">
        <v>299.0</v>
      </c>
      <c r="BS1012" s="1">
        <v>299.0</v>
      </c>
      <c r="BU1012" s="1" t="s">
        <v>730</v>
      </c>
      <c r="BV1012" s="1" t="s">
        <v>206</v>
      </c>
      <c r="BW1012" s="1" t="s">
        <v>210</v>
      </c>
      <c r="BY1012" s="1" t="s">
        <v>5515</v>
      </c>
      <c r="BZ1012" s="1" t="s">
        <v>209</v>
      </c>
      <c r="CA1012" s="1" t="s">
        <v>210</v>
      </c>
      <c r="CD1012" s="1" t="s">
        <v>204</v>
      </c>
      <c r="CG1012" s="1" t="s">
        <v>303</v>
      </c>
      <c r="CH1012" s="1" t="s">
        <v>209</v>
      </c>
      <c r="CI1012" s="1" t="s">
        <v>210</v>
      </c>
      <c r="CK1012" s="1" t="s">
        <v>303</v>
      </c>
      <c r="CL1012" s="1" t="s">
        <v>209</v>
      </c>
      <c r="CM1012" s="1" t="s">
        <v>210</v>
      </c>
      <c r="CO1012" s="1" t="s">
        <v>497</v>
      </c>
      <c r="CP1012" s="1" t="s">
        <v>206</v>
      </c>
      <c r="CQ1012" s="1" t="s">
        <v>210</v>
      </c>
      <c r="CS1012" s="1" t="s">
        <v>2082</v>
      </c>
      <c r="CT1012" s="1" t="s">
        <v>206</v>
      </c>
      <c r="CU1012" s="1" t="s">
        <v>617</v>
      </c>
      <c r="CX1012" s="1" t="s">
        <v>204</v>
      </c>
      <c r="DA1012" s="1" t="s">
        <v>200</v>
      </c>
      <c r="DC1012" s="1" t="s">
        <v>785</v>
      </c>
      <c r="DD1012" s="1" t="s">
        <v>518</v>
      </c>
      <c r="DE1012" s="1" t="s">
        <v>229</v>
      </c>
      <c r="DF1012" s="1" t="s">
        <v>7364</v>
      </c>
      <c r="DH1012" s="1" t="s">
        <v>365</v>
      </c>
      <c r="DI1012" s="1" t="s">
        <v>1401</v>
      </c>
      <c r="DJ1012" s="1" t="s">
        <v>222</v>
      </c>
      <c r="DL1012" s="1" t="s">
        <v>223</v>
      </c>
      <c r="DM1012" s="1" t="s">
        <v>229</v>
      </c>
      <c r="DO1012" s="1" t="s">
        <v>11298</v>
      </c>
      <c r="DQ1012" s="1" t="s">
        <v>794</v>
      </c>
      <c r="DR1012" s="1" t="s">
        <v>229</v>
      </c>
      <c r="DS1012" s="1" t="s">
        <v>230</v>
      </c>
      <c r="DV1012" s="1" t="s">
        <v>232</v>
      </c>
      <c r="DW1012" s="1" t="s">
        <v>370</v>
      </c>
      <c r="DX1012" s="1" t="s">
        <v>234</v>
      </c>
      <c r="DY1012" s="1" t="s">
        <v>8223</v>
      </c>
      <c r="DZ1012" s="1" t="s">
        <v>11299</v>
      </c>
      <c r="EB1012" s="1" t="s">
        <v>345</v>
      </c>
      <c r="EC1012" s="1" t="s">
        <v>4340</v>
      </c>
      <c r="EF1012" s="1" t="s">
        <v>523</v>
      </c>
      <c r="EM1012" s="1" t="s">
        <v>238</v>
      </c>
      <c r="EQ1012" s="1" t="s">
        <v>238</v>
      </c>
      <c r="EU1012" s="1" t="s">
        <v>238</v>
      </c>
      <c r="EY1012" s="1" t="s">
        <v>238</v>
      </c>
      <c r="FC1012" s="1" t="s">
        <v>238</v>
      </c>
      <c r="FF1012" s="1" t="s">
        <v>239</v>
      </c>
      <c r="FG1012" s="1" t="s">
        <v>192</v>
      </c>
      <c r="FH1012" s="1" t="s">
        <v>192</v>
      </c>
      <c r="FJ1012" s="1" t="s">
        <v>1450</v>
      </c>
      <c r="FK1012" s="1" t="s">
        <v>229</v>
      </c>
      <c r="FL1012" s="1" t="s">
        <v>11300</v>
      </c>
      <c r="FM1012" s="1">
        <v>10840.0</v>
      </c>
      <c r="FN1012" s="1" t="s">
        <v>11301</v>
      </c>
      <c r="FO1012" s="1" t="s">
        <v>11302</v>
      </c>
      <c r="FP1012" s="1">
        <v>129652.0</v>
      </c>
      <c r="FQ1012" s="1" t="s">
        <v>11303</v>
      </c>
      <c r="FU1012" s="1" t="s">
        <v>1438</v>
      </c>
      <c r="FV1012" s="1" t="s">
        <v>200</v>
      </c>
      <c r="FW1012" s="1" t="s">
        <v>1511</v>
      </c>
      <c r="FX1012" s="1" t="s">
        <v>238</v>
      </c>
      <c r="FZ1012" s="1" t="s">
        <v>229</v>
      </c>
      <c r="GA1012" s="1" t="s">
        <v>291</v>
      </c>
      <c r="GB1012" s="2">
        <v>42098.0</v>
      </c>
      <c r="GC1012" s="1" t="s">
        <v>11304</v>
      </c>
    </row>
    <row r="1013">
      <c r="A1013" s="1">
        <v>320000.0</v>
      </c>
      <c r="B1013" s="1" t="s">
        <v>185</v>
      </c>
      <c r="C1013" s="1" t="str">
        <f>"08625316"</f>
        <v>08625316</v>
      </c>
      <c r="D1013" s="1" t="s">
        <v>186</v>
      </c>
      <c r="F1013" s="1" t="str">
        <f>"554"</f>
        <v>554</v>
      </c>
      <c r="G1013" s="2">
        <v>41786.0</v>
      </c>
      <c r="H1013" s="1">
        <v>359900.0</v>
      </c>
      <c r="I1013" s="1">
        <v>291.0</v>
      </c>
      <c r="J1013" s="1">
        <v>333000.0</v>
      </c>
      <c r="K1013" s="2">
        <v>42074.0</v>
      </c>
      <c r="L1013" s="1">
        <v>291.0</v>
      </c>
      <c r="M1013" s="2">
        <v>42074.0</v>
      </c>
      <c r="N1013" s="1" t="s">
        <v>187</v>
      </c>
      <c r="O1013" s="2">
        <v>42118.0</v>
      </c>
      <c r="P1013" s="1">
        <v>229190.0</v>
      </c>
      <c r="Q1013" s="1">
        <v>23591.0</v>
      </c>
      <c r="S1013" s="1">
        <v>405.0</v>
      </c>
      <c r="T1013" s="1" t="s">
        <v>11305</v>
      </c>
      <c r="U1013" s="1" t="s">
        <v>464</v>
      </c>
      <c r="V1013" s="1" t="s">
        <v>2212</v>
      </c>
      <c r="W1013" s="1">
        <v>60554.0</v>
      </c>
      <c r="Y1013" s="1" t="s">
        <v>11306</v>
      </c>
      <c r="Z1013" s="1">
        <v>1994.0</v>
      </c>
      <c r="AA1013" s="1" t="s">
        <v>200</v>
      </c>
      <c r="AB1013" s="1" t="s">
        <v>467</v>
      </c>
      <c r="AC1013" s="1" t="s">
        <v>4417</v>
      </c>
      <c r="AD1013" s="1" t="s">
        <v>1089</v>
      </c>
      <c r="AE1013" s="1" t="s">
        <v>325</v>
      </c>
      <c r="AF1013" s="1" t="s">
        <v>1887</v>
      </c>
      <c r="AG1013" s="1" t="s">
        <v>752</v>
      </c>
      <c r="AH1013" s="1" t="s">
        <v>11307</v>
      </c>
      <c r="AI1013" s="1">
        <v>0.3</v>
      </c>
      <c r="AK1013" s="1">
        <v>10.0</v>
      </c>
      <c r="AL1013" s="1">
        <v>4.0</v>
      </c>
      <c r="AM1013" s="1">
        <v>3.0</v>
      </c>
      <c r="AN1013" s="1">
        <v>1.0</v>
      </c>
      <c r="AO1013" s="1" t="s">
        <v>198</v>
      </c>
      <c r="AP1013" s="1">
        <v>2.0</v>
      </c>
      <c r="AQ1013" s="1" t="s">
        <v>198</v>
      </c>
      <c r="AR1013" s="1" t="s">
        <v>200</v>
      </c>
      <c r="AS1013" s="1" t="s">
        <v>199</v>
      </c>
      <c r="AT1013" s="1">
        <v>2.0</v>
      </c>
      <c r="AV1013" s="1" t="s">
        <v>200</v>
      </c>
      <c r="AW1013" s="1">
        <v>8500.0</v>
      </c>
      <c r="AX1013" s="1">
        <v>2013.0</v>
      </c>
      <c r="AY1013" s="1" t="s">
        <v>387</v>
      </c>
      <c r="AZ1013" s="1" t="s">
        <v>200</v>
      </c>
      <c r="BA1013" s="1" t="str">
        <f>"1410476048"</f>
        <v>1410476048</v>
      </c>
      <c r="BB1013" s="1" t="s">
        <v>200</v>
      </c>
      <c r="BC1013" s="1">
        <v>3054.0</v>
      </c>
      <c r="BD1013" s="1">
        <v>320000.0</v>
      </c>
      <c r="BE1013" s="2">
        <v>41784.0</v>
      </c>
      <c r="BF1013" s="2" t="s">
        <v>11308</v>
      </c>
      <c r="BG1013" s="1" t="s">
        <v>4420</v>
      </c>
      <c r="BH1013" s="1">
        <v>148.0</v>
      </c>
      <c r="BI1013" s="1" t="s">
        <v>4421</v>
      </c>
      <c r="BJ1013" s="1" t="s">
        <v>3831</v>
      </c>
      <c r="BK1013" s="1" t="s">
        <v>474</v>
      </c>
      <c r="BL1013" s="1" t="str">
        <f t="shared" ref="BL1013:BM1013" si="671">""</f>
        <v/>
      </c>
      <c r="BM1013" s="1" t="str">
        <f t="shared" si="671"/>
        <v/>
      </c>
      <c r="BQ1013" s="1">
        <v>129.0</v>
      </c>
      <c r="BR1013" s="1">
        <v>129.0</v>
      </c>
      <c r="BS1013" s="1">
        <v>129.0</v>
      </c>
      <c r="BU1013" s="1" t="s">
        <v>211</v>
      </c>
      <c r="BV1013" s="1" t="s">
        <v>206</v>
      </c>
      <c r="BW1013" s="1" t="s">
        <v>210</v>
      </c>
      <c r="BY1013" s="1" t="s">
        <v>616</v>
      </c>
      <c r="BZ1013" s="1" t="s">
        <v>206</v>
      </c>
      <c r="CA1013" s="1" t="s">
        <v>210</v>
      </c>
      <c r="CC1013" s="1" t="s">
        <v>454</v>
      </c>
      <c r="CD1013" s="1" t="s">
        <v>206</v>
      </c>
      <c r="CE1013" s="1" t="s">
        <v>268</v>
      </c>
      <c r="CG1013" s="1" t="s">
        <v>215</v>
      </c>
      <c r="CH1013" s="1" t="s">
        <v>206</v>
      </c>
      <c r="CI1013" s="1" t="s">
        <v>210</v>
      </c>
      <c r="CK1013" s="1" t="s">
        <v>331</v>
      </c>
      <c r="CL1013" s="1" t="s">
        <v>209</v>
      </c>
      <c r="CM1013" s="1" t="s">
        <v>210</v>
      </c>
      <c r="CO1013" s="1" t="s">
        <v>264</v>
      </c>
      <c r="CP1013" s="1" t="s">
        <v>209</v>
      </c>
      <c r="CQ1013" s="1" t="s">
        <v>210</v>
      </c>
      <c r="CS1013" s="1" t="s">
        <v>664</v>
      </c>
      <c r="CT1013" s="1" t="s">
        <v>206</v>
      </c>
      <c r="CU1013" s="1" t="s">
        <v>617</v>
      </c>
      <c r="CW1013" s="1" t="s">
        <v>583</v>
      </c>
      <c r="CX1013" s="1" t="s">
        <v>206</v>
      </c>
      <c r="CY1013" s="1" t="s">
        <v>210</v>
      </c>
      <c r="DA1013" s="1" t="s">
        <v>200</v>
      </c>
      <c r="DC1013" s="1" t="s">
        <v>678</v>
      </c>
      <c r="DD1013" s="1" t="s">
        <v>518</v>
      </c>
      <c r="DE1013" s="1" t="s">
        <v>1810</v>
      </c>
      <c r="DF1013" s="1" t="s">
        <v>546</v>
      </c>
      <c r="DG1013" s="1" t="s">
        <v>1602</v>
      </c>
      <c r="DH1013" s="1" t="s">
        <v>220</v>
      </c>
      <c r="DI1013" s="1" t="s">
        <v>4998</v>
      </c>
      <c r="DJ1013" s="1" t="s">
        <v>222</v>
      </c>
      <c r="DK1013" s="1" t="s">
        <v>11309</v>
      </c>
      <c r="DL1013" s="1" t="s">
        <v>223</v>
      </c>
      <c r="DM1013" s="1" t="s">
        <v>1268</v>
      </c>
      <c r="DN1013" s="1" t="s">
        <v>1721</v>
      </c>
      <c r="DO1013" s="1" t="s">
        <v>11310</v>
      </c>
      <c r="DP1013" s="1" t="s">
        <v>340</v>
      </c>
      <c r="DQ1013" s="1" t="s">
        <v>441</v>
      </c>
      <c r="DR1013" s="1" t="s">
        <v>11311</v>
      </c>
      <c r="DS1013" s="1" t="s">
        <v>368</v>
      </c>
      <c r="DU1013" s="1" t="s">
        <v>11312</v>
      </c>
      <c r="DV1013" s="1" t="s">
        <v>11313</v>
      </c>
      <c r="DW1013" s="1" t="s">
        <v>764</v>
      </c>
      <c r="DX1013" s="1" t="s">
        <v>280</v>
      </c>
      <c r="DY1013" s="1" t="s">
        <v>11314</v>
      </c>
      <c r="DZ1013" s="1" t="s">
        <v>2648</v>
      </c>
      <c r="EA1013" s="1" t="s">
        <v>344</v>
      </c>
      <c r="EB1013" s="1" t="s">
        <v>11315</v>
      </c>
      <c r="EC1013" s="1" t="s">
        <v>237</v>
      </c>
      <c r="ED1013" s="1" t="s">
        <v>407</v>
      </c>
      <c r="EG1013" s="1" t="s">
        <v>408</v>
      </c>
      <c r="EH1013" s="1" t="s">
        <v>341</v>
      </c>
      <c r="EI1013" s="1" t="s">
        <v>2313</v>
      </c>
      <c r="EJ1013" s="1" t="s">
        <v>114</v>
      </c>
      <c r="EK1013" s="1" t="s">
        <v>1103</v>
      </c>
      <c r="EL1013" s="1" t="s">
        <v>9356</v>
      </c>
      <c r="EM1013" s="1" t="s">
        <v>206</v>
      </c>
      <c r="EN1013" s="1" t="s">
        <v>268</v>
      </c>
      <c r="EP1013" s="1" t="s">
        <v>1875</v>
      </c>
      <c r="EQ1013" s="1" t="s">
        <v>209</v>
      </c>
      <c r="ER1013" s="1" t="s">
        <v>210</v>
      </c>
      <c r="ET1013" s="1" t="s">
        <v>558</v>
      </c>
      <c r="EU1013" s="1" t="s">
        <v>206</v>
      </c>
      <c r="EV1013" s="1" t="s">
        <v>617</v>
      </c>
      <c r="EX1013" s="1" t="s">
        <v>3262</v>
      </c>
      <c r="EY1013" s="1" t="s">
        <v>391</v>
      </c>
      <c r="FB1013" s="1" t="s">
        <v>11316</v>
      </c>
      <c r="FC1013" s="1" t="s">
        <v>42</v>
      </c>
      <c r="FF1013" s="1" t="s">
        <v>239</v>
      </c>
      <c r="FG1013" s="1" t="s">
        <v>192</v>
      </c>
      <c r="FH1013" s="1" t="s">
        <v>192</v>
      </c>
      <c r="FJ1013" s="1" t="s">
        <v>11317</v>
      </c>
      <c r="FK1013" s="1" t="s">
        <v>229</v>
      </c>
      <c r="FL1013" s="1" t="s">
        <v>1358</v>
      </c>
      <c r="FM1013" s="1">
        <v>22049.0</v>
      </c>
      <c r="FN1013" s="1" t="s">
        <v>10181</v>
      </c>
      <c r="FO1013" s="1" t="s">
        <v>11318</v>
      </c>
      <c r="FP1013" s="1">
        <v>220543.0</v>
      </c>
      <c r="FQ1013" s="1" t="s">
        <v>11319</v>
      </c>
      <c r="FU1013" s="1" t="s">
        <v>11320</v>
      </c>
      <c r="FV1013" s="1" t="s">
        <v>200</v>
      </c>
      <c r="FW1013" s="1" t="s">
        <v>530</v>
      </c>
      <c r="FZ1013" s="1" t="s">
        <v>229</v>
      </c>
      <c r="GA1013" s="1" t="s">
        <v>291</v>
      </c>
      <c r="GB1013" s="2">
        <v>42120.0</v>
      </c>
      <c r="GC1013" s="1" t="s">
        <v>11321</v>
      </c>
    </row>
    <row r="1014">
      <c r="A1014" s="1">
        <v>260000.0</v>
      </c>
      <c r="B1014" s="1" t="s">
        <v>185</v>
      </c>
      <c r="C1014" s="1" t="str">
        <f>"08636258"</f>
        <v>08636258</v>
      </c>
      <c r="D1014" s="1" t="s">
        <v>186</v>
      </c>
      <c r="F1014" s="1" t="str">
        <f>"110"</f>
        <v>110</v>
      </c>
      <c r="G1014" s="2">
        <v>41795.0</v>
      </c>
      <c r="H1014" s="1">
        <v>349000.0</v>
      </c>
      <c r="I1014" s="1">
        <v>111.0</v>
      </c>
      <c r="J1014" s="1">
        <v>260000.0</v>
      </c>
      <c r="K1014" s="2">
        <v>41904.0</v>
      </c>
      <c r="L1014" s="1">
        <v>111.0</v>
      </c>
      <c r="M1014" s="2">
        <v>41904.0</v>
      </c>
      <c r="N1014" s="1" t="s">
        <v>356</v>
      </c>
      <c r="O1014" s="2">
        <v>41975.0</v>
      </c>
      <c r="P1014" s="1">
        <v>8561.0</v>
      </c>
      <c r="Q1014" s="1">
        <v>7630.0</v>
      </c>
      <c r="S1014" s="1">
        <v>5908.0</v>
      </c>
      <c r="T1014" s="1" t="s">
        <v>11322</v>
      </c>
      <c r="U1014" s="1" t="s">
        <v>464</v>
      </c>
      <c r="V1014" s="1" t="s">
        <v>807</v>
      </c>
      <c r="W1014" s="1">
        <v>60110.0</v>
      </c>
      <c r="Y1014" s="1" t="s">
        <v>11323</v>
      </c>
      <c r="Z1014" s="1">
        <v>2000.0</v>
      </c>
      <c r="AA1014" s="1" t="s">
        <v>200</v>
      </c>
      <c r="AB1014" s="1" t="s">
        <v>193</v>
      </c>
      <c r="AD1014" s="1" t="s">
        <v>809</v>
      </c>
      <c r="AE1014" s="1" t="s">
        <v>325</v>
      </c>
      <c r="AF1014" s="1" t="s">
        <v>810</v>
      </c>
      <c r="AH1014" s="1">
        <v>10019.0</v>
      </c>
      <c r="AK1014" s="1">
        <v>10.0</v>
      </c>
      <c r="AL1014" s="1">
        <v>4.0</v>
      </c>
      <c r="AM1014" s="1">
        <v>2.0</v>
      </c>
      <c r="AN1014" s="1">
        <v>1.0</v>
      </c>
      <c r="AO1014" s="1" t="s">
        <v>198</v>
      </c>
      <c r="AQ1014" s="1" t="s">
        <v>198</v>
      </c>
      <c r="AR1014" s="1" t="s">
        <v>192</v>
      </c>
      <c r="AS1014" s="1" t="s">
        <v>199</v>
      </c>
      <c r="AT1014" s="1">
        <v>2.0</v>
      </c>
      <c r="AV1014" s="1" t="s">
        <v>200</v>
      </c>
      <c r="AW1014" s="1">
        <v>9990.0</v>
      </c>
      <c r="AX1014" s="1">
        <v>2012.0</v>
      </c>
      <c r="AY1014" s="1" t="s">
        <v>387</v>
      </c>
      <c r="AZ1014" s="1" t="s">
        <v>545</v>
      </c>
      <c r="BA1014" s="1" t="str">
        <f>"0308453040"</f>
        <v>0308453040</v>
      </c>
      <c r="BC1014" s="1">
        <v>4018.0</v>
      </c>
      <c r="BD1014" s="1">
        <v>260000.0</v>
      </c>
      <c r="BE1014" s="2">
        <v>41794.0</v>
      </c>
      <c r="BF1014" s="2" t="s">
        <v>11324</v>
      </c>
      <c r="BH1014" s="1">
        <v>176.0</v>
      </c>
      <c r="BK1014" s="1" t="s">
        <v>580</v>
      </c>
      <c r="BL1014" s="1" t="str">
        <f t="shared" ref="BL1014:BM1014" si="672">""</f>
        <v/>
      </c>
      <c r="BM1014" s="1" t="str">
        <f t="shared" si="672"/>
        <v/>
      </c>
      <c r="BQ1014" s="1">
        <v>300.0</v>
      </c>
      <c r="BR1014" s="1">
        <v>300.0</v>
      </c>
      <c r="BS1014" s="1">
        <v>300.0</v>
      </c>
      <c r="BU1014" s="1" t="s">
        <v>758</v>
      </c>
      <c r="BV1014" s="1" t="s">
        <v>206</v>
      </c>
      <c r="BW1014" s="1" t="s">
        <v>210</v>
      </c>
      <c r="BY1014" s="1" t="s">
        <v>453</v>
      </c>
      <c r="BZ1014" s="1" t="s">
        <v>209</v>
      </c>
      <c r="CA1014" s="1" t="s">
        <v>210</v>
      </c>
      <c r="CC1014" s="1" t="s">
        <v>584</v>
      </c>
      <c r="CD1014" s="1" t="s">
        <v>206</v>
      </c>
      <c r="CE1014" s="1" t="s">
        <v>210</v>
      </c>
      <c r="CG1014" s="1" t="s">
        <v>331</v>
      </c>
      <c r="CH1014" s="1" t="s">
        <v>209</v>
      </c>
      <c r="CI1014" s="1" t="s">
        <v>210</v>
      </c>
      <c r="CK1014" s="1" t="s">
        <v>331</v>
      </c>
      <c r="CL1014" s="1" t="s">
        <v>209</v>
      </c>
      <c r="CM1014" s="1" t="s">
        <v>210</v>
      </c>
      <c r="CO1014" s="1" t="s">
        <v>332</v>
      </c>
      <c r="CP1014" s="1" t="s">
        <v>209</v>
      </c>
      <c r="CQ1014" s="1" t="s">
        <v>210</v>
      </c>
      <c r="CS1014" s="1" t="s">
        <v>903</v>
      </c>
      <c r="CT1014" s="1" t="s">
        <v>206</v>
      </c>
      <c r="CU1014" s="1" t="s">
        <v>207</v>
      </c>
      <c r="CW1014" s="1" t="s">
        <v>1279</v>
      </c>
      <c r="CX1014" s="1" t="s">
        <v>206</v>
      </c>
      <c r="CY1014" s="1" t="s">
        <v>210</v>
      </c>
      <c r="DA1014" s="1" t="s">
        <v>200</v>
      </c>
      <c r="DC1014" s="1" t="s">
        <v>335</v>
      </c>
      <c r="DD1014" s="1" t="s">
        <v>306</v>
      </c>
      <c r="DE1014" s="1" t="s">
        <v>273</v>
      </c>
      <c r="DF1014" s="1" t="s">
        <v>219</v>
      </c>
      <c r="DH1014" s="1" t="s">
        <v>365</v>
      </c>
      <c r="DJ1014" s="1" t="s">
        <v>222</v>
      </c>
      <c r="DL1014" s="1" t="s">
        <v>223</v>
      </c>
      <c r="DM1014" s="1" t="s">
        <v>338</v>
      </c>
      <c r="DO1014" s="1" t="s">
        <v>486</v>
      </c>
      <c r="DP1014" s="1" t="s">
        <v>276</v>
      </c>
      <c r="DQ1014" s="1" t="s">
        <v>228</v>
      </c>
      <c r="DR1014" s="1" t="s">
        <v>229</v>
      </c>
      <c r="DV1014" s="1" t="s">
        <v>11325</v>
      </c>
      <c r="DW1014" s="1" t="s">
        <v>489</v>
      </c>
      <c r="DX1014" s="1" t="s">
        <v>280</v>
      </c>
      <c r="DY1014" s="1" t="s">
        <v>1051</v>
      </c>
      <c r="EA1014" s="1" t="s">
        <v>344</v>
      </c>
      <c r="EC1014" s="1" t="s">
        <v>237</v>
      </c>
      <c r="EG1014" s="1" t="s">
        <v>494</v>
      </c>
      <c r="EH1014" s="1" t="s">
        <v>1121</v>
      </c>
      <c r="EL1014" s="1" t="s">
        <v>331</v>
      </c>
      <c r="EM1014" s="1" t="s">
        <v>206</v>
      </c>
      <c r="EN1014" s="1" t="s">
        <v>210</v>
      </c>
      <c r="EP1014" s="1" t="s">
        <v>329</v>
      </c>
      <c r="EQ1014" s="1" t="s">
        <v>209</v>
      </c>
      <c r="ER1014" s="1" t="s">
        <v>210</v>
      </c>
      <c r="EU1014" s="1" t="s">
        <v>238</v>
      </c>
      <c r="EY1014" s="1" t="s">
        <v>238</v>
      </c>
      <c r="FC1014" s="1" t="s">
        <v>238</v>
      </c>
      <c r="FF1014" s="1" t="s">
        <v>239</v>
      </c>
      <c r="FG1014" s="1" t="s">
        <v>192</v>
      </c>
      <c r="FH1014" s="1" t="s">
        <v>192</v>
      </c>
      <c r="FJ1014" s="1" t="s">
        <v>11326</v>
      </c>
      <c r="FK1014" s="1" t="s">
        <v>11327</v>
      </c>
      <c r="FL1014" s="1" t="s">
        <v>5902</v>
      </c>
      <c r="FM1014" s="1">
        <v>24185.0</v>
      </c>
      <c r="FN1014" s="1" t="s">
        <v>5903</v>
      </c>
      <c r="FO1014" s="1" t="s">
        <v>11328</v>
      </c>
      <c r="FP1014" s="1">
        <v>222751.0</v>
      </c>
      <c r="FQ1014" s="1" t="s">
        <v>11329</v>
      </c>
      <c r="FU1014" s="1" t="s">
        <v>11330</v>
      </c>
      <c r="FV1014" s="1" t="s">
        <v>200</v>
      </c>
      <c r="FW1014" s="1" t="s">
        <v>290</v>
      </c>
      <c r="FZ1014" s="1" t="s">
        <v>229</v>
      </c>
      <c r="GA1014" s="1" t="s">
        <v>291</v>
      </c>
      <c r="GB1014" s="2">
        <v>41977.0</v>
      </c>
      <c r="GC1014" s="1" t="s">
        <v>11331</v>
      </c>
    </row>
    <row r="1015">
      <c r="A1015" s="1">
        <v>203500.0</v>
      </c>
      <c r="B1015" s="1" t="s">
        <v>185</v>
      </c>
      <c r="C1015" s="1" t="str">
        <f>"08625239"</f>
        <v>08625239</v>
      </c>
      <c r="D1015" s="1" t="s">
        <v>186</v>
      </c>
      <c r="F1015" s="1" t="str">
        <f>"123"</f>
        <v>123</v>
      </c>
      <c r="G1015" s="2">
        <v>41786.0</v>
      </c>
      <c r="H1015" s="1">
        <v>255000.0</v>
      </c>
      <c r="I1015" s="1">
        <v>242.0</v>
      </c>
      <c r="J1015" s="1">
        <v>220000.0</v>
      </c>
      <c r="K1015" s="2">
        <v>42027.0</v>
      </c>
      <c r="L1015" s="1">
        <v>242.0</v>
      </c>
      <c r="M1015" s="2">
        <v>42027.0</v>
      </c>
      <c r="N1015" s="1" t="s">
        <v>249</v>
      </c>
      <c r="O1015" s="2">
        <v>42032.0</v>
      </c>
      <c r="P1015" s="1">
        <v>920002.0</v>
      </c>
      <c r="Q1015" s="1">
        <v>8055.0</v>
      </c>
      <c r="S1015" s="1">
        <v>1710.0</v>
      </c>
      <c r="T1015" s="1" t="s">
        <v>11332</v>
      </c>
      <c r="U1015" s="1" t="s">
        <v>420</v>
      </c>
      <c r="V1015" s="1" t="s">
        <v>465</v>
      </c>
      <c r="W1015" s="1">
        <v>60123.0</v>
      </c>
      <c r="Y1015" s="1" t="s">
        <v>11333</v>
      </c>
      <c r="Z1015" s="1">
        <v>2004.0</v>
      </c>
      <c r="AA1015" s="1" t="s">
        <v>200</v>
      </c>
      <c r="AB1015" s="1" t="s">
        <v>193</v>
      </c>
      <c r="AD1015" s="1" t="s">
        <v>469</v>
      </c>
      <c r="AE1015" s="1" t="s">
        <v>325</v>
      </c>
      <c r="AF1015" s="1" t="s">
        <v>469</v>
      </c>
      <c r="AH1015" s="1">
        <v>9100.0</v>
      </c>
      <c r="AI1015" s="1">
        <v>0.21</v>
      </c>
      <c r="AK1015" s="1">
        <v>8.0</v>
      </c>
      <c r="AL1015" s="1">
        <v>4.0</v>
      </c>
      <c r="AM1015" s="1">
        <v>2.0</v>
      </c>
      <c r="AN1015" s="1">
        <v>1.0</v>
      </c>
      <c r="AO1015" s="1" t="s">
        <v>198</v>
      </c>
      <c r="AQ1015" s="1" t="s">
        <v>1314</v>
      </c>
      <c r="AR1015" s="1" t="s">
        <v>200</v>
      </c>
      <c r="AS1015" s="1" t="s">
        <v>199</v>
      </c>
      <c r="AT1015" s="1">
        <v>2.0</v>
      </c>
      <c r="AV1015" s="1" t="s">
        <v>200</v>
      </c>
      <c r="AW1015" s="1">
        <v>6225.0</v>
      </c>
      <c r="AX1015" s="1">
        <v>2013.0</v>
      </c>
      <c r="AZ1015" s="1" t="s">
        <v>545</v>
      </c>
      <c r="BA1015" s="1" t="str">
        <f>"0633304005"</f>
        <v>0633304005</v>
      </c>
      <c r="BC1015" s="1">
        <v>2476.0</v>
      </c>
      <c r="BD1015" s="1">
        <v>203500.0</v>
      </c>
      <c r="BE1015" s="2">
        <v>41786.0</v>
      </c>
      <c r="BF1015" s="2" t="s">
        <v>11334</v>
      </c>
      <c r="BH1015" s="1">
        <v>248.0</v>
      </c>
      <c r="BK1015" s="1" t="s">
        <v>580</v>
      </c>
      <c r="BL1015" s="1" t="str">
        <f t="shared" ref="BL1015:BM1015" si="673">""</f>
        <v/>
      </c>
      <c r="BM1015" s="1" t="str">
        <f t="shared" si="673"/>
        <v/>
      </c>
      <c r="BQ1015" s="1">
        <v>46.0</v>
      </c>
      <c r="BR1015" s="1">
        <v>46.0</v>
      </c>
      <c r="BS1015" s="1">
        <v>46.0</v>
      </c>
      <c r="BU1015" s="1" t="s">
        <v>1417</v>
      </c>
      <c r="BV1015" s="1" t="s">
        <v>206</v>
      </c>
      <c r="BW1015" s="1" t="s">
        <v>210</v>
      </c>
      <c r="BX1015" s="1" t="s">
        <v>229</v>
      </c>
      <c r="BY1015" s="1" t="s">
        <v>478</v>
      </c>
      <c r="BZ1015" s="1" t="s">
        <v>209</v>
      </c>
      <c r="CA1015" s="1" t="s">
        <v>210</v>
      </c>
      <c r="CB1015" s="1" t="s">
        <v>229</v>
      </c>
      <c r="CC1015" s="1" t="s">
        <v>699</v>
      </c>
      <c r="CD1015" s="1" t="s">
        <v>206</v>
      </c>
      <c r="CE1015" s="1" t="s">
        <v>210</v>
      </c>
      <c r="CF1015" s="1" t="s">
        <v>1549</v>
      </c>
      <c r="CG1015" s="1" t="s">
        <v>699</v>
      </c>
      <c r="CH1015" s="1" t="s">
        <v>209</v>
      </c>
      <c r="CI1015" s="1" t="s">
        <v>210</v>
      </c>
      <c r="CJ1015" s="1" t="s">
        <v>229</v>
      </c>
      <c r="CK1015" s="1" t="s">
        <v>699</v>
      </c>
      <c r="CL1015" s="1" t="s">
        <v>209</v>
      </c>
      <c r="CM1015" s="1" t="s">
        <v>210</v>
      </c>
      <c r="CN1015" s="1" t="s">
        <v>229</v>
      </c>
      <c r="CO1015" s="1" t="s">
        <v>495</v>
      </c>
      <c r="CP1015" s="1" t="s">
        <v>209</v>
      </c>
      <c r="CQ1015" s="1" t="s">
        <v>210</v>
      </c>
      <c r="CR1015" s="1" t="s">
        <v>229</v>
      </c>
      <c r="CS1015" s="1" t="s">
        <v>303</v>
      </c>
      <c r="CT1015" s="1" t="s">
        <v>206</v>
      </c>
      <c r="CU1015" s="1" t="s">
        <v>617</v>
      </c>
      <c r="CV1015" s="1" t="s">
        <v>431</v>
      </c>
      <c r="CW1015" s="1" t="s">
        <v>329</v>
      </c>
      <c r="CX1015" s="1" t="s">
        <v>206</v>
      </c>
      <c r="CY1015" s="1" t="s">
        <v>210</v>
      </c>
      <c r="CZ1015" s="1" t="s">
        <v>229</v>
      </c>
      <c r="DA1015" s="1" t="s">
        <v>200</v>
      </c>
      <c r="DC1015" s="1" t="s">
        <v>481</v>
      </c>
      <c r="DD1015" s="1" t="s">
        <v>518</v>
      </c>
      <c r="DE1015" s="1" t="s">
        <v>273</v>
      </c>
      <c r="DF1015" s="1" t="s">
        <v>619</v>
      </c>
      <c r="DH1015" s="1" t="s">
        <v>220</v>
      </c>
      <c r="DI1015" s="1" t="s">
        <v>789</v>
      </c>
      <c r="DJ1015" s="1" t="s">
        <v>222</v>
      </c>
      <c r="DL1015" s="1" t="s">
        <v>1853</v>
      </c>
      <c r="DM1015" s="1" t="s">
        <v>229</v>
      </c>
      <c r="DO1015" s="1" t="s">
        <v>440</v>
      </c>
      <c r="DQ1015" s="1" t="s">
        <v>228</v>
      </c>
      <c r="DR1015" s="1" t="s">
        <v>229</v>
      </c>
      <c r="DV1015" s="1" t="s">
        <v>232</v>
      </c>
      <c r="DW1015" s="1" t="s">
        <v>370</v>
      </c>
      <c r="DX1015" s="1" t="s">
        <v>234</v>
      </c>
      <c r="EC1015" s="1" t="s">
        <v>237</v>
      </c>
      <c r="EE1015" s="1" t="s">
        <v>493</v>
      </c>
      <c r="EM1015" s="1" t="s">
        <v>238</v>
      </c>
      <c r="EQ1015" s="1" t="s">
        <v>238</v>
      </c>
      <c r="EU1015" s="1" t="s">
        <v>238</v>
      </c>
      <c r="EY1015" s="1" t="s">
        <v>238</v>
      </c>
      <c r="FC1015" s="1" t="s">
        <v>238</v>
      </c>
      <c r="FF1015" s="1" t="s">
        <v>239</v>
      </c>
      <c r="FG1015" s="1" t="s">
        <v>192</v>
      </c>
      <c r="FH1015" s="1" t="s">
        <v>192</v>
      </c>
      <c r="FJ1015" s="1" t="s">
        <v>2133</v>
      </c>
      <c r="FK1015" s="1" t="s">
        <v>1586</v>
      </c>
      <c r="FL1015" s="1" t="s">
        <v>11335</v>
      </c>
      <c r="FM1015" s="1">
        <v>251.0</v>
      </c>
      <c r="FN1015" s="1" t="s">
        <v>11336</v>
      </c>
      <c r="FO1015" s="1" t="s">
        <v>11335</v>
      </c>
      <c r="FP1015" s="1">
        <v>77363.0</v>
      </c>
      <c r="FQ1015" s="1" t="s">
        <v>11337</v>
      </c>
      <c r="FU1015" s="1" t="s">
        <v>11338</v>
      </c>
      <c r="FV1015" s="1" t="s">
        <v>192</v>
      </c>
      <c r="FW1015" s="1" t="s">
        <v>290</v>
      </c>
      <c r="FZ1015" s="1" t="s">
        <v>229</v>
      </c>
      <c r="GA1015" s="1" t="s">
        <v>291</v>
      </c>
      <c r="GB1015" s="2">
        <v>42032.0</v>
      </c>
      <c r="GC1015" s="1" t="s">
        <v>11339</v>
      </c>
    </row>
    <row r="1016">
      <c r="A1016" s="1">
        <v>195000.0</v>
      </c>
      <c r="B1016" s="1" t="s">
        <v>185</v>
      </c>
      <c r="C1016" s="1" t="str">
        <f>"08633365"</f>
        <v>08633365</v>
      </c>
      <c r="D1016" s="1" t="s">
        <v>186</v>
      </c>
      <c r="F1016" s="1" t="str">
        <f>"8069"</f>
        <v>8069</v>
      </c>
      <c r="G1016" s="2">
        <v>41793.0</v>
      </c>
      <c r="H1016" s="1">
        <v>199000.0</v>
      </c>
      <c r="I1016" s="1">
        <v>1.0</v>
      </c>
      <c r="J1016" s="1">
        <v>199000.0</v>
      </c>
      <c r="K1016" s="2">
        <v>41793.0</v>
      </c>
      <c r="L1016" s="1">
        <v>1.0</v>
      </c>
      <c r="M1016" s="2">
        <v>41793.0</v>
      </c>
      <c r="N1016" s="1" t="s">
        <v>187</v>
      </c>
      <c r="O1016" s="2">
        <v>41985.0</v>
      </c>
      <c r="P1016" s="1">
        <v>235321.0</v>
      </c>
      <c r="Q1016" s="1">
        <v>8654.0</v>
      </c>
      <c r="R1016" s="1">
        <v>1500.0</v>
      </c>
      <c r="S1016" s="1">
        <v>7224.0</v>
      </c>
      <c r="T1016" s="1" t="s">
        <v>1326</v>
      </c>
      <c r="U1016" s="1" t="s">
        <v>189</v>
      </c>
      <c r="V1016" s="1" t="s">
        <v>190</v>
      </c>
      <c r="W1016" s="1">
        <v>60619.0</v>
      </c>
      <c r="Y1016" s="1" t="s">
        <v>11340</v>
      </c>
      <c r="Z1016" s="1">
        <v>1915.0</v>
      </c>
      <c r="AA1016" s="1" t="s">
        <v>192</v>
      </c>
      <c r="AB1016" s="1" t="s">
        <v>193</v>
      </c>
      <c r="AD1016" s="1" t="s">
        <v>194</v>
      </c>
      <c r="AE1016" s="1" t="s">
        <v>195</v>
      </c>
      <c r="AF1016" s="1" t="s">
        <v>637</v>
      </c>
      <c r="AH1016" s="1">
        <v>5332.0</v>
      </c>
      <c r="AI1016" s="1">
        <v>0.1224</v>
      </c>
      <c r="AK1016" s="1">
        <v>7.0</v>
      </c>
      <c r="AL1016" s="1">
        <v>3.0</v>
      </c>
      <c r="AM1016" s="1">
        <v>3.0</v>
      </c>
      <c r="AN1016" s="1">
        <v>0.0</v>
      </c>
      <c r="AO1016" s="1" t="s">
        <v>229</v>
      </c>
      <c r="AQ1016" s="1" t="s">
        <v>198</v>
      </c>
      <c r="AR1016" s="1" t="s">
        <v>192</v>
      </c>
      <c r="AS1016" s="1" t="s">
        <v>199</v>
      </c>
      <c r="AT1016" s="1">
        <v>2.0</v>
      </c>
      <c r="AV1016" s="1" t="s">
        <v>200</v>
      </c>
      <c r="AW1016" s="1">
        <v>1644.6</v>
      </c>
      <c r="AX1016" s="1">
        <v>2012.0</v>
      </c>
      <c r="AZ1016" s="1" t="s">
        <v>200</v>
      </c>
      <c r="BA1016" s="1" t="str">
        <f>"20271090260000"</f>
        <v>20271090260000</v>
      </c>
      <c r="BC1016" s="1">
        <v>1400.0</v>
      </c>
      <c r="BD1016" s="1">
        <v>195000.0</v>
      </c>
      <c r="BE1016" s="2">
        <v>41793.0</v>
      </c>
      <c r="BF1016" s="1" t="s">
        <v>11341</v>
      </c>
      <c r="BH1016" s="1">
        <v>0.0</v>
      </c>
      <c r="BK1016" s="1" t="s">
        <v>204</v>
      </c>
      <c r="BL1016" s="1" t="str">
        <f>"0"</f>
        <v>0</v>
      </c>
      <c r="BM1016" s="1" t="str">
        <f>"300"</f>
        <v>300</v>
      </c>
      <c r="BN1016" s="1">
        <v>0.0</v>
      </c>
      <c r="BO1016" s="1">
        <v>7224.0</v>
      </c>
      <c r="BQ1016" s="1">
        <v>299.0</v>
      </c>
      <c r="BR1016" s="1">
        <v>299.0</v>
      </c>
      <c r="BS1016" s="1">
        <v>299.0</v>
      </c>
      <c r="BU1016" s="1" t="s">
        <v>390</v>
      </c>
      <c r="BV1016" s="1" t="s">
        <v>206</v>
      </c>
      <c r="BY1016" s="1" t="s">
        <v>332</v>
      </c>
      <c r="BZ1016" s="1" t="s">
        <v>206</v>
      </c>
      <c r="CD1016" s="1" t="s">
        <v>204</v>
      </c>
      <c r="CG1016" s="1" t="s">
        <v>497</v>
      </c>
      <c r="CH1016" s="1" t="s">
        <v>206</v>
      </c>
      <c r="CK1016" s="1" t="s">
        <v>264</v>
      </c>
      <c r="CL1016" s="1" t="s">
        <v>206</v>
      </c>
      <c r="CO1016" s="1" t="s">
        <v>495</v>
      </c>
      <c r="CP1016" s="1" t="s">
        <v>42</v>
      </c>
      <c r="CS1016" s="1" t="s">
        <v>497</v>
      </c>
      <c r="CT1016" s="1" t="s">
        <v>206</v>
      </c>
      <c r="CW1016" s="1" t="s">
        <v>4709</v>
      </c>
      <c r="CX1016" s="1" t="s">
        <v>42</v>
      </c>
      <c r="DA1016" s="1" t="s">
        <v>200</v>
      </c>
      <c r="DC1016" s="1" t="s">
        <v>216</v>
      </c>
      <c r="DE1016" s="1" t="s">
        <v>273</v>
      </c>
      <c r="DF1016" s="1" t="s">
        <v>619</v>
      </c>
      <c r="DH1016" s="1" t="s">
        <v>220</v>
      </c>
      <c r="DJ1016" s="1" t="s">
        <v>222</v>
      </c>
      <c r="DL1016" s="1" t="s">
        <v>224</v>
      </c>
      <c r="DM1016" s="1" t="s">
        <v>229</v>
      </c>
      <c r="DQ1016" s="1" t="s">
        <v>228</v>
      </c>
      <c r="DR1016" s="1" t="s">
        <v>229</v>
      </c>
      <c r="DV1016" s="1" t="s">
        <v>232</v>
      </c>
      <c r="DW1016" s="1" t="s">
        <v>279</v>
      </c>
      <c r="DX1016" s="1" t="s">
        <v>234</v>
      </c>
      <c r="EC1016" s="1" t="s">
        <v>685</v>
      </c>
      <c r="EM1016" s="1" t="s">
        <v>238</v>
      </c>
      <c r="EQ1016" s="1" t="s">
        <v>238</v>
      </c>
      <c r="EU1016" s="1" t="s">
        <v>238</v>
      </c>
      <c r="EY1016" s="1" t="s">
        <v>238</v>
      </c>
      <c r="FC1016" s="1" t="s">
        <v>238</v>
      </c>
      <c r="FF1016" s="1" t="s">
        <v>239</v>
      </c>
      <c r="FG1016" s="1" t="s">
        <v>192</v>
      </c>
      <c r="FH1016" s="1" t="s">
        <v>192</v>
      </c>
      <c r="FJ1016" s="1" t="s">
        <v>648</v>
      </c>
      <c r="FK1016" s="1" t="s">
        <v>229</v>
      </c>
      <c r="FL1016" s="1" t="s">
        <v>649</v>
      </c>
      <c r="FM1016" s="1">
        <v>60296.0</v>
      </c>
      <c r="FN1016" s="1" t="s">
        <v>650</v>
      </c>
      <c r="FO1016" s="1" t="s">
        <v>651</v>
      </c>
      <c r="FP1016" s="1">
        <v>602837.0</v>
      </c>
      <c r="FQ1016" s="1" t="s">
        <v>652</v>
      </c>
      <c r="FR1016" s="1">
        <v>602442.0</v>
      </c>
      <c r="FU1016" s="1" t="s">
        <v>11342</v>
      </c>
      <c r="FV1016" s="1" t="s">
        <v>200</v>
      </c>
      <c r="FW1016" s="1" t="s">
        <v>1511</v>
      </c>
      <c r="FX1016" s="1" t="s">
        <v>655</v>
      </c>
      <c r="FZ1016" s="1" t="s">
        <v>229</v>
      </c>
      <c r="GA1016" s="1" t="s">
        <v>291</v>
      </c>
      <c r="GB1016" s="2">
        <v>41985.0</v>
      </c>
      <c r="GC1016" s="1" t="s">
        <v>11343</v>
      </c>
    </row>
    <row r="1017">
      <c r="A1017" s="1">
        <v>190000.0</v>
      </c>
      <c r="B1017" s="1" t="s">
        <v>185</v>
      </c>
      <c r="C1017" s="1" t="str">
        <f>"08631764"</f>
        <v>08631764</v>
      </c>
      <c r="D1017" s="1" t="s">
        <v>186</v>
      </c>
      <c r="F1017" s="1" t="str">
        <f>"135"</f>
        <v>135</v>
      </c>
      <c r="G1017" s="2">
        <v>41792.0</v>
      </c>
      <c r="H1017" s="1">
        <v>259000.0</v>
      </c>
      <c r="I1017" s="1">
        <v>292.0</v>
      </c>
      <c r="J1017" s="1">
        <v>195000.0</v>
      </c>
      <c r="K1017" s="2">
        <v>42080.0</v>
      </c>
      <c r="L1017" s="1">
        <v>292.0</v>
      </c>
      <c r="M1017" s="2">
        <v>42080.0</v>
      </c>
      <c r="N1017" s="1" t="s">
        <v>187</v>
      </c>
      <c r="O1017" s="2">
        <v>42123.0</v>
      </c>
      <c r="P1017" s="1">
        <v>80828.0</v>
      </c>
      <c r="Q1017" s="1">
        <v>8439.0</v>
      </c>
      <c r="S1017" s="1">
        <v>29737.0</v>
      </c>
      <c r="T1017" s="1" t="s">
        <v>11344</v>
      </c>
      <c r="V1017" s="1" t="s">
        <v>10122</v>
      </c>
      <c r="W1017" s="1">
        <v>60135.0</v>
      </c>
      <c r="Y1017" s="1" t="s">
        <v>11345</v>
      </c>
      <c r="Z1017" s="1">
        <v>1886.0</v>
      </c>
      <c r="AA1017" s="1" t="s">
        <v>192</v>
      </c>
      <c r="AB1017" s="1" t="s">
        <v>193</v>
      </c>
      <c r="AD1017" s="1" t="s">
        <v>1089</v>
      </c>
      <c r="AE1017" s="1" t="s">
        <v>613</v>
      </c>
      <c r="AF1017" s="1" t="s">
        <v>1785</v>
      </c>
      <c r="AH1017" s="1" t="s">
        <v>11346</v>
      </c>
      <c r="AI1017" s="1">
        <v>2.51</v>
      </c>
      <c r="AK1017" s="1">
        <v>7.0</v>
      </c>
      <c r="AL1017" s="1">
        <v>4.0</v>
      </c>
      <c r="AM1017" s="1">
        <v>2.0</v>
      </c>
      <c r="AN1017" s="1">
        <v>0.0</v>
      </c>
      <c r="AO1017" s="1" t="s">
        <v>229</v>
      </c>
      <c r="AP1017" s="1">
        <v>1.0</v>
      </c>
      <c r="AQ1017" s="1" t="s">
        <v>198</v>
      </c>
      <c r="AR1017" s="1" t="s">
        <v>200</v>
      </c>
      <c r="AS1017" s="1" t="s">
        <v>199</v>
      </c>
      <c r="AT1017" s="1">
        <v>4.0</v>
      </c>
      <c r="AV1017" s="1" t="s">
        <v>200</v>
      </c>
      <c r="AW1017" s="1">
        <v>3737.0</v>
      </c>
      <c r="AX1017" s="1">
        <v>2013.0</v>
      </c>
      <c r="AY1017" s="1" t="s">
        <v>229</v>
      </c>
      <c r="AZ1017" s="1" t="s">
        <v>200</v>
      </c>
      <c r="BA1017" s="1" t="str">
        <f>"0605209012"</f>
        <v>0605209012</v>
      </c>
      <c r="BC1017" s="1">
        <v>0.0</v>
      </c>
      <c r="BD1017" s="1">
        <v>190000.0</v>
      </c>
      <c r="BE1017" s="2">
        <v>41789.0</v>
      </c>
      <c r="BF1017" s="2" t="s">
        <v>11347</v>
      </c>
      <c r="BH1017" s="1">
        <v>0.0</v>
      </c>
      <c r="BK1017" s="1" t="s">
        <v>204</v>
      </c>
      <c r="BL1017" s="1" t="str">
        <f t="shared" ref="BL1017:BM1017" si="674">""</f>
        <v/>
      </c>
      <c r="BM1017" s="1" t="str">
        <f t="shared" si="674"/>
        <v/>
      </c>
      <c r="BQ1017" s="1">
        <v>424.0</v>
      </c>
      <c r="BR1017" s="1">
        <v>424.0</v>
      </c>
      <c r="BS1017" s="1">
        <v>424.0</v>
      </c>
      <c r="BU1017" s="1" t="s">
        <v>743</v>
      </c>
      <c r="BV1017" s="1" t="s">
        <v>206</v>
      </c>
      <c r="BW1017" s="1" t="s">
        <v>207</v>
      </c>
      <c r="BY1017" s="1" t="s">
        <v>743</v>
      </c>
      <c r="BZ1017" s="1" t="s">
        <v>209</v>
      </c>
      <c r="CA1017" s="1" t="s">
        <v>210</v>
      </c>
      <c r="CD1017" s="1" t="s">
        <v>204</v>
      </c>
      <c r="CG1017" s="1" t="s">
        <v>215</v>
      </c>
      <c r="CH1017" s="1" t="s">
        <v>209</v>
      </c>
      <c r="CI1017" s="1" t="s">
        <v>210</v>
      </c>
      <c r="CK1017" s="1" t="s">
        <v>663</v>
      </c>
      <c r="CL1017" s="1" t="s">
        <v>209</v>
      </c>
      <c r="CM1017" s="1" t="s">
        <v>210</v>
      </c>
      <c r="CO1017" s="1" t="s">
        <v>1760</v>
      </c>
      <c r="CP1017" s="1" t="s">
        <v>209</v>
      </c>
      <c r="CQ1017" s="1" t="s">
        <v>301</v>
      </c>
      <c r="CS1017" s="1" t="s">
        <v>329</v>
      </c>
      <c r="CT1017" s="1" t="s">
        <v>206</v>
      </c>
      <c r="CU1017" s="1" t="s">
        <v>617</v>
      </c>
      <c r="CW1017" s="1" t="s">
        <v>4063</v>
      </c>
      <c r="CX1017" s="1" t="s">
        <v>206</v>
      </c>
      <c r="CY1017" s="1" t="s">
        <v>207</v>
      </c>
      <c r="DA1017" s="1" t="s">
        <v>200</v>
      </c>
      <c r="DC1017" s="1" t="s">
        <v>642</v>
      </c>
      <c r="DD1017" s="1" t="s">
        <v>518</v>
      </c>
      <c r="DE1017" s="1" t="s">
        <v>3750</v>
      </c>
      <c r="DF1017" s="1" t="s">
        <v>2328</v>
      </c>
      <c r="DG1017" s="1" t="s">
        <v>1553</v>
      </c>
      <c r="DH1017" s="1" t="s">
        <v>856</v>
      </c>
      <c r="DI1017" s="1" t="s">
        <v>1401</v>
      </c>
      <c r="DJ1017" s="1" t="s">
        <v>857</v>
      </c>
      <c r="DK1017" s="1" t="s">
        <v>223</v>
      </c>
      <c r="DL1017" s="1" t="s">
        <v>223</v>
      </c>
      <c r="DM1017" s="1" t="s">
        <v>338</v>
      </c>
      <c r="DO1017" s="1" t="s">
        <v>11348</v>
      </c>
      <c r="DP1017" s="1" t="s">
        <v>227</v>
      </c>
      <c r="DQ1017" s="1" t="s">
        <v>860</v>
      </c>
      <c r="DR1017" s="1" t="s">
        <v>229</v>
      </c>
      <c r="DS1017" s="1" t="s">
        <v>368</v>
      </c>
      <c r="DV1017" s="1" t="s">
        <v>11349</v>
      </c>
      <c r="DW1017" s="1" t="s">
        <v>370</v>
      </c>
      <c r="DX1017" s="1" t="s">
        <v>234</v>
      </c>
      <c r="DY1017" s="1" t="s">
        <v>1122</v>
      </c>
      <c r="DZ1017" s="1" t="s">
        <v>1560</v>
      </c>
      <c r="EA1017" s="1" t="s">
        <v>3308</v>
      </c>
      <c r="EB1017" s="1" t="s">
        <v>492</v>
      </c>
      <c r="EC1017" s="1" t="s">
        <v>237</v>
      </c>
      <c r="ED1017" s="1" t="s">
        <v>864</v>
      </c>
      <c r="EE1017" s="1" t="s">
        <v>187</v>
      </c>
      <c r="EG1017" s="1" t="s">
        <v>720</v>
      </c>
      <c r="EH1017" s="1" t="s">
        <v>1102</v>
      </c>
      <c r="EL1017" s="1" t="s">
        <v>4046</v>
      </c>
      <c r="EM1017" s="1" t="s">
        <v>206</v>
      </c>
      <c r="EN1017" s="1" t="s">
        <v>617</v>
      </c>
      <c r="EP1017" s="1" t="s">
        <v>454</v>
      </c>
      <c r="EQ1017" s="1" t="s">
        <v>206</v>
      </c>
      <c r="ER1017" s="1" t="s">
        <v>210</v>
      </c>
      <c r="EU1017" s="1" t="s">
        <v>238</v>
      </c>
      <c r="EY1017" s="1" t="s">
        <v>238</v>
      </c>
      <c r="FC1017" s="1" t="s">
        <v>238</v>
      </c>
      <c r="FF1017" s="1" t="s">
        <v>239</v>
      </c>
      <c r="FG1017" s="1" t="s">
        <v>192</v>
      </c>
      <c r="FH1017" s="1" t="s">
        <v>192</v>
      </c>
      <c r="FJ1017" s="1" t="s">
        <v>624</v>
      </c>
      <c r="FK1017" s="1" t="s">
        <v>348</v>
      </c>
      <c r="FL1017" s="1" t="s">
        <v>2926</v>
      </c>
      <c r="FM1017" s="1">
        <v>24809.0</v>
      </c>
      <c r="FN1017" s="1" t="s">
        <v>2927</v>
      </c>
      <c r="FO1017" s="1" t="s">
        <v>11350</v>
      </c>
      <c r="FP1017" s="1">
        <v>237417.0</v>
      </c>
      <c r="FS1017" s="1" t="s">
        <v>11351</v>
      </c>
      <c r="FU1017" s="1" t="s">
        <v>9005</v>
      </c>
      <c r="FV1017" s="1" t="s">
        <v>200</v>
      </c>
      <c r="FW1017" s="1" t="s">
        <v>290</v>
      </c>
      <c r="FZ1017" s="1" t="s">
        <v>229</v>
      </c>
      <c r="GA1017" s="1" t="s">
        <v>291</v>
      </c>
      <c r="GB1017" s="2">
        <v>42123.0</v>
      </c>
      <c r="GC1017" s="1" t="s">
        <v>11352</v>
      </c>
    </row>
    <row r="1018">
      <c r="A1018" s="1">
        <v>430000.0</v>
      </c>
      <c r="B1018" s="1" t="s">
        <v>185</v>
      </c>
      <c r="C1018" s="1" t="str">
        <f>"08634958"</f>
        <v>08634958</v>
      </c>
      <c r="D1018" s="1" t="s">
        <v>186</v>
      </c>
      <c r="F1018" s="1" t="str">
        <f>"8056"</f>
        <v>8056</v>
      </c>
      <c r="G1018" s="2">
        <v>41794.0</v>
      </c>
      <c r="H1018" s="1">
        <v>485000.0</v>
      </c>
      <c r="I1018" s="1">
        <v>195.0</v>
      </c>
      <c r="J1018" s="1">
        <v>445000.0</v>
      </c>
      <c r="K1018" s="2">
        <v>41988.0</v>
      </c>
      <c r="L1018" s="1">
        <v>195.0</v>
      </c>
      <c r="M1018" s="2">
        <v>41988.0</v>
      </c>
      <c r="N1018" s="1" t="s">
        <v>187</v>
      </c>
      <c r="O1018" s="2">
        <v>42048.0</v>
      </c>
      <c r="P1018" s="1">
        <v>142666.0</v>
      </c>
      <c r="Q1018" s="1">
        <v>10646.0</v>
      </c>
      <c r="S1018" s="1">
        <v>5240.0</v>
      </c>
      <c r="T1018" s="1" t="s">
        <v>9321</v>
      </c>
      <c r="U1018" s="1" t="s">
        <v>189</v>
      </c>
      <c r="V1018" s="1" t="s">
        <v>190</v>
      </c>
      <c r="W1018" s="1">
        <v>60638.0</v>
      </c>
      <c r="Y1018" s="1" t="s">
        <v>11353</v>
      </c>
      <c r="Z1018" s="1" t="s">
        <v>296</v>
      </c>
      <c r="AA1018" s="1" t="s">
        <v>200</v>
      </c>
      <c r="AB1018" s="1" t="s">
        <v>193</v>
      </c>
      <c r="AD1018" s="1" t="s">
        <v>194</v>
      </c>
      <c r="AE1018" s="1" t="s">
        <v>195</v>
      </c>
      <c r="AF1018" s="1" t="s">
        <v>659</v>
      </c>
      <c r="AH1018" s="1" t="s">
        <v>11354</v>
      </c>
      <c r="AK1018" s="1">
        <v>9.0</v>
      </c>
      <c r="AL1018" s="1">
        <v>4.0</v>
      </c>
      <c r="AM1018" s="1">
        <v>3.0</v>
      </c>
      <c r="AN1018" s="1">
        <v>1.0</v>
      </c>
      <c r="AO1018" s="1" t="s">
        <v>198</v>
      </c>
      <c r="AP1018" s="1">
        <v>1.0</v>
      </c>
      <c r="AQ1018" s="1" t="s">
        <v>198</v>
      </c>
      <c r="AR1018" s="1" t="s">
        <v>192</v>
      </c>
      <c r="AS1018" s="1" t="s">
        <v>199</v>
      </c>
      <c r="AT1018" s="1">
        <v>3.5</v>
      </c>
      <c r="AV1018" s="1" t="s">
        <v>200</v>
      </c>
      <c r="AW1018" s="1">
        <v>2814.0</v>
      </c>
      <c r="AX1018" s="1">
        <v>2012.0</v>
      </c>
      <c r="AZ1018" s="1" t="s">
        <v>200</v>
      </c>
      <c r="BA1018" s="1" t="str">
        <f>"19083130390000"</f>
        <v>19083130390000</v>
      </c>
      <c r="BC1018" s="1">
        <v>0.0</v>
      </c>
      <c r="BD1018" s="1">
        <v>430000.0</v>
      </c>
      <c r="BE1018" s="2">
        <v>41794.0</v>
      </c>
      <c r="BF1018" s="2" t="s">
        <v>11355</v>
      </c>
      <c r="BH1018" s="1">
        <v>0.0</v>
      </c>
      <c r="BK1018" s="1" t="s">
        <v>204</v>
      </c>
      <c r="BL1018" s="1" t="str">
        <f t="shared" ref="BL1018:BM1018" si="675">"0"</f>
        <v>0</v>
      </c>
      <c r="BM1018" s="1" t="str">
        <f t="shared" si="675"/>
        <v>0</v>
      </c>
      <c r="BN1018" s="1">
        <v>6100.0</v>
      </c>
      <c r="BO1018" s="1">
        <v>5240.0</v>
      </c>
      <c r="BQ1018" s="1">
        <v>299.0</v>
      </c>
      <c r="BR1018" s="1">
        <v>299.0</v>
      </c>
      <c r="BS1018" s="1">
        <v>299.0</v>
      </c>
      <c r="BU1018" s="1" t="s">
        <v>433</v>
      </c>
      <c r="BV1018" s="1" t="s">
        <v>206</v>
      </c>
      <c r="BW1018" s="1" t="s">
        <v>207</v>
      </c>
      <c r="BX1018" s="1" t="s">
        <v>229</v>
      </c>
      <c r="BY1018" s="1" t="s">
        <v>1483</v>
      </c>
      <c r="BZ1018" s="1" t="s">
        <v>209</v>
      </c>
      <c r="CA1018" s="1" t="s">
        <v>207</v>
      </c>
      <c r="CB1018" s="1" t="s">
        <v>229</v>
      </c>
      <c r="CC1018" s="1" t="s">
        <v>433</v>
      </c>
      <c r="CD1018" s="1" t="s">
        <v>206</v>
      </c>
      <c r="CE1018" s="1" t="s">
        <v>207</v>
      </c>
      <c r="CF1018" s="1" t="s">
        <v>229</v>
      </c>
      <c r="CG1018" s="1" t="s">
        <v>212</v>
      </c>
      <c r="CH1018" s="1" t="s">
        <v>209</v>
      </c>
      <c r="CI1018" s="1" t="s">
        <v>207</v>
      </c>
      <c r="CJ1018" s="1" t="s">
        <v>229</v>
      </c>
      <c r="CK1018" s="1" t="s">
        <v>212</v>
      </c>
      <c r="CL1018" s="1" t="s">
        <v>209</v>
      </c>
      <c r="CM1018" s="1" t="s">
        <v>207</v>
      </c>
      <c r="CN1018" s="1" t="s">
        <v>229</v>
      </c>
      <c r="CO1018" s="1" t="s">
        <v>1427</v>
      </c>
      <c r="CP1018" s="1" t="s">
        <v>209</v>
      </c>
      <c r="CQ1018" s="1" t="s">
        <v>207</v>
      </c>
      <c r="CR1018" s="1" t="s">
        <v>229</v>
      </c>
      <c r="CS1018" s="1" t="s">
        <v>392</v>
      </c>
      <c r="CT1018" s="1" t="s">
        <v>206</v>
      </c>
      <c r="CU1018" s="1" t="s">
        <v>207</v>
      </c>
      <c r="CV1018" s="1" t="s">
        <v>229</v>
      </c>
      <c r="CW1018" s="1" t="s">
        <v>758</v>
      </c>
      <c r="CX1018" s="1" t="s">
        <v>206</v>
      </c>
      <c r="CY1018" s="1" t="s">
        <v>207</v>
      </c>
      <c r="CZ1018" s="1" t="s">
        <v>229</v>
      </c>
      <c r="DA1018" s="1" t="s">
        <v>200</v>
      </c>
      <c r="DC1018" s="1" t="s">
        <v>545</v>
      </c>
      <c r="DE1018" s="1" t="s">
        <v>273</v>
      </c>
      <c r="DF1018" s="1" t="s">
        <v>219</v>
      </c>
      <c r="DH1018" s="1" t="s">
        <v>365</v>
      </c>
      <c r="DI1018" s="1" t="s">
        <v>308</v>
      </c>
      <c r="DJ1018" s="1" t="s">
        <v>222</v>
      </c>
      <c r="DL1018" s="1" t="s">
        <v>224</v>
      </c>
      <c r="DM1018" s="1" t="s">
        <v>1464</v>
      </c>
      <c r="DN1018" s="1" t="s">
        <v>339</v>
      </c>
      <c r="DP1018" s="1" t="s">
        <v>340</v>
      </c>
      <c r="DQ1018" s="1" t="s">
        <v>441</v>
      </c>
      <c r="DR1018" s="1" t="s">
        <v>229</v>
      </c>
      <c r="DS1018" s="1" t="s">
        <v>230</v>
      </c>
      <c r="DV1018" s="1" t="s">
        <v>450</v>
      </c>
      <c r="DW1018" s="1" t="s">
        <v>11356</v>
      </c>
      <c r="DX1018" s="1" t="s">
        <v>5015</v>
      </c>
      <c r="DY1018" s="1" t="s">
        <v>704</v>
      </c>
      <c r="DZ1018" s="1" t="s">
        <v>966</v>
      </c>
      <c r="EA1018" s="1" t="s">
        <v>1027</v>
      </c>
      <c r="EB1018" s="1" t="s">
        <v>937</v>
      </c>
      <c r="EC1018" s="1" t="s">
        <v>237</v>
      </c>
      <c r="ED1018" s="1" t="s">
        <v>9274</v>
      </c>
      <c r="EG1018" s="1" t="s">
        <v>450</v>
      </c>
      <c r="EL1018" s="1" t="s">
        <v>212</v>
      </c>
      <c r="EM1018" s="1" t="s">
        <v>42</v>
      </c>
      <c r="EN1018" s="1" t="s">
        <v>268</v>
      </c>
      <c r="EO1018" s="1" t="s">
        <v>229</v>
      </c>
      <c r="EQ1018" s="1" t="s">
        <v>238</v>
      </c>
      <c r="EU1018" s="1" t="s">
        <v>238</v>
      </c>
      <c r="EY1018" s="1" t="s">
        <v>238</v>
      </c>
      <c r="FC1018" s="1" t="s">
        <v>238</v>
      </c>
      <c r="FF1018" s="1" t="s">
        <v>239</v>
      </c>
      <c r="FG1018" s="1" t="s">
        <v>192</v>
      </c>
      <c r="FH1018" s="1" t="s">
        <v>192</v>
      </c>
      <c r="FJ1018" s="1" t="s">
        <v>498</v>
      </c>
      <c r="FK1018" s="1" t="s">
        <v>348</v>
      </c>
      <c r="FL1018" s="1" t="s">
        <v>3597</v>
      </c>
      <c r="FM1018" s="1">
        <v>24451.0</v>
      </c>
      <c r="FN1018" s="1" t="s">
        <v>3598</v>
      </c>
      <c r="FO1018" s="1" t="s">
        <v>3599</v>
      </c>
      <c r="FP1018" s="1">
        <v>256870.0</v>
      </c>
      <c r="FQ1018" s="1" t="s">
        <v>3598</v>
      </c>
      <c r="FS1018" s="1" t="s">
        <v>11357</v>
      </c>
      <c r="FT1018" s="1" t="s">
        <v>11358</v>
      </c>
      <c r="FU1018" s="1" t="s">
        <v>11359</v>
      </c>
      <c r="FV1018" s="1" t="s">
        <v>200</v>
      </c>
      <c r="FW1018" s="1" t="s">
        <v>11360</v>
      </c>
      <c r="FX1018" s="1" t="s">
        <v>655</v>
      </c>
      <c r="FZ1018" s="1" t="s">
        <v>229</v>
      </c>
      <c r="GA1018" s="1" t="s">
        <v>247</v>
      </c>
      <c r="GB1018" s="2">
        <v>42053.0</v>
      </c>
      <c r="GC1018" s="1" t="s">
        <v>11361</v>
      </c>
    </row>
    <row r="1019">
      <c r="A1019" s="1">
        <v>179900.0</v>
      </c>
      <c r="B1019" s="1" t="s">
        <v>185</v>
      </c>
      <c r="C1019" s="1" t="str">
        <f>"08632289"</f>
        <v>08632289</v>
      </c>
      <c r="D1019" s="1" t="s">
        <v>186</v>
      </c>
      <c r="F1019" s="1" t="str">
        <f>"8069"</f>
        <v>8069</v>
      </c>
      <c r="G1019" s="2">
        <v>41792.0</v>
      </c>
      <c r="H1019" s="1">
        <v>185000.0</v>
      </c>
      <c r="I1019" s="1">
        <v>96.0</v>
      </c>
      <c r="J1019" s="1">
        <v>179900.0</v>
      </c>
      <c r="K1019" s="2">
        <v>41887.0</v>
      </c>
      <c r="L1019" s="1">
        <v>96.0</v>
      </c>
      <c r="M1019" s="2">
        <v>41887.0</v>
      </c>
      <c r="N1019" s="1" t="s">
        <v>187</v>
      </c>
      <c r="O1019" s="2">
        <v>41974.0</v>
      </c>
      <c r="P1019" s="1">
        <v>117948.0</v>
      </c>
      <c r="Q1019" s="1">
        <v>12293.0</v>
      </c>
      <c r="R1019" s="1">
        <v>5397.0</v>
      </c>
      <c r="S1019" s="1">
        <v>56.0</v>
      </c>
      <c r="T1019" s="1" t="s">
        <v>6669</v>
      </c>
      <c r="U1019" s="1" t="s">
        <v>320</v>
      </c>
      <c r="V1019" s="1" t="s">
        <v>190</v>
      </c>
      <c r="W1019" s="1">
        <v>60620.0</v>
      </c>
      <c r="Y1019" s="1" t="s">
        <v>11362</v>
      </c>
      <c r="Z1019" s="1">
        <v>1953.0</v>
      </c>
      <c r="AA1019" s="1" t="s">
        <v>192</v>
      </c>
      <c r="AB1019" s="1" t="s">
        <v>193</v>
      </c>
      <c r="AD1019" s="1" t="s">
        <v>194</v>
      </c>
      <c r="AE1019" s="1" t="s">
        <v>195</v>
      </c>
      <c r="AF1019" s="1" t="s">
        <v>659</v>
      </c>
      <c r="AG1019" s="1" t="s">
        <v>11363</v>
      </c>
      <c r="AH1019" s="1" t="s">
        <v>2080</v>
      </c>
      <c r="AK1019" s="1">
        <v>8.0</v>
      </c>
      <c r="AL1019" s="1">
        <v>3.0</v>
      </c>
      <c r="AM1019" s="1">
        <v>2.0</v>
      </c>
      <c r="AN1019" s="1">
        <v>1.0</v>
      </c>
      <c r="AO1019" s="1" t="s">
        <v>229</v>
      </c>
      <c r="AQ1019" s="1" t="s">
        <v>198</v>
      </c>
      <c r="AR1019" s="1" t="s">
        <v>192</v>
      </c>
      <c r="AS1019" s="1" t="s">
        <v>199</v>
      </c>
      <c r="AT1019" s="1">
        <v>2.0</v>
      </c>
      <c r="AV1019" s="1" t="s">
        <v>200</v>
      </c>
      <c r="AW1019" s="1">
        <v>2402.0</v>
      </c>
      <c r="AX1019" s="1">
        <v>2012.0</v>
      </c>
      <c r="AY1019" s="1" t="s">
        <v>229</v>
      </c>
      <c r="AZ1019" s="1" t="s">
        <v>200</v>
      </c>
      <c r="BA1019" s="1" t="str">
        <f>"20284180150000"</f>
        <v>20284180150000</v>
      </c>
      <c r="BB1019" s="1" t="s">
        <v>200</v>
      </c>
      <c r="BC1019" s="1">
        <v>1700.0</v>
      </c>
      <c r="BD1019" s="1">
        <v>179900.0</v>
      </c>
      <c r="BE1019" s="2">
        <v>41792.0</v>
      </c>
      <c r="BF1019" s="2" t="s">
        <v>11364</v>
      </c>
      <c r="BH1019" s="1">
        <v>0.0</v>
      </c>
      <c r="BK1019" s="1" t="s">
        <v>204</v>
      </c>
      <c r="BL1019" s="1" t="str">
        <f t="shared" ref="BL1019:BM1019" si="676">"0"</f>
        <v>0</v>
      </c>
      <c r="BM1019" s="1" t="str">
        <f t="shared" si="676"/>
        <v>0</v>
      </c>
      <c r="BN1019" s="1">
        <v>56.0</v>
      </c>
      <c r="BO1019" s="1">
        <v>7800.0</v>
      </c>
      <c r="BQ1019" s="1">
        <v>299.0</v>
      </c>
      <c r="BR1019" s="1">
        <v>299.0</v>
      </c>
      <c r="BS1019" s="1">
        <v>299.0</v>
      </c>
      <c r="BU1019" s="1" t="s">
        <v>758</v>
      </c>
      <c r="BV1019" s="1" t="s">
        <v>206</v>
      </c>
      <c r="BW1019" s="1" t="s">
        <v>207</v>
      </c>
      <c r="BX1019" s="1" t="s">
        <v>229</v>
      </c>
      <c r="BY1019" s="1" t="s">
        <v>758</v>
      </c>
      <c r="BZ1019" s="1" t="s">
        <v>206</v>
      </c>
      <c r="CA1019" s="1" t="s">
        <v>207</v>
      </c>
      <c r="CB1019" s="1" t="s">
        <v>229</v>
      </c>
      <c r="CC1019" s="1" t="s">
        <v>542</v>
      </c>
      <c r="CD1019" s="1" t="s">
        <v>206</v>
      </c>
      <c r="CE1019" s="1" t="s">
        <v>207</v>
      </c>
      <c r="CF1019" s="1" t="s">
        <v>229</v>
      </c>
      <c r="CG1019" s="1" t="s">
        <v>363</v>
      </c>
      <c r="CH1019" s="1" t="s">
        <v>206</v>
      </c>
      <c r="CI1019" s="1" t="s">
        <v>207</v>
      </c>
      <c r="CJ1019" s="1" t="s">
        <v>229</v>
      </c>
      <c r="CK1019" s="1" t="s">
        <v>495</v>
      </c>
      <c r="CL1019" s="1" t="s">
        <v>206</v>
      </c>
      <c r="CM1019" s="1" t="s">
        <v>207</v>
      </c>
      <c r="CN1019" s="1" t="s">
        <v>229</v>
      </c>
      <c r="CO1019" s="1" t="s">
        <v>363</v>
      </c>
      <c r="CP1019" s="1" t="s">
        <v>42</v>
      </c>
      <c r="CQ1019" s="1" t="s">
        <v>268</v>
      </c>
      <c r="CR1019" s="1" t="s">
        <v>229</v>
      </c>
      <c r="CS1019" s="1" t="s">
        <v>497</v>
      </c>
      <c r="CT1019" s="1" t="s">
        <v>206</v>
      </c>
      <c r="CU1019" s="1" t="s">
        <v>207</v>
      </c>
      <c r="CV1019" s="1" t="s">
        <v>229</v>
      </c>
      <c r="CW1019" s="1" t="s">
        <v>2181</v>
      </c>
      <c r="CX1019" s="1" t="s">
        <v>42</v>
      </c>
      <c r="CY1019" s="1" t="s">
        <v>268</v>
      </c>
      <c r="CZ1019" s="1" t="s">
        <v>229</v>
      </c>
      <c r="DA1019" s="1" t="s">
        <v>200</v>
      </c>
      <c r="DC1019" s="1" t="s">
        <v>702</v>
      </c>
      <c r="DD1019" s="1" t="s">
        <v>731</v>
      </c>
      <c r="DE1019" s="1" t="s">
        <v>273</v>
      </c>
      <c r="DF1019" s="1" t="s">
        <v>219</v>
      </c>
      <c r="DG1019" s="1" t="s">
        <v>337</v>
      </c>
      <c r="DH1019" s="1" t="s">
        <v>220</v>
      </c>
      <c r="DI1019" s="1" t="s">
        <v>2970</v>
      </c>
      <c r="DJ1019" s="1" t="s">
        <v>222</v>
      </c>
      <c r="DL1019" s="1" t="s">
        <v>224</v>
      </c>
      <c r="DM1019" s="1" t="s">
        <v>1143</v>
      </c>
      <c r="DN1019" s="1" t="s">
        <v>7052</v>
      </c>
      <c r="DO1019" s="1" t="s">
        <v>11365</v>
      </c>
      <c r="DP1019" s="1" t="s">
        <v>276</v>
      </c>
      <c r="DQ1019" s="1" t="s">
        <v>1557</v>
      </c>
      <c r="DR1019" s="1" t="s">
        <v>229</v>
      </c>
      <c r="DS1019" s="1" t="s">
        <v>230</v>
      </c>
      <c r="DV1019" s="1" t="s">
        <v>232</v>
      </c>
      <c r="DW1019" s="1" t="s">
        <v>279</v>
      </c>
      <c r="DX1019" s="1" t="s">
        <v>309</v>
      </c>
      <c r="DY1019" s="1" t="s">
        <v>1122</v>
      </c>
      <c r="DZ1019" s="1" t="s">
        <v>4612</v>
      </c>
      <c r="EA1019" s="1" t="s">
        <v>683</v>
      </c>
      <c r="EC1019" s="1" t="s">
        <v>311</v>
      </c>
      <c r="ED1019" s="1" t="s">
        <v>555</v>
      </c>
      <c r="EE1019" s="1" t="s">
        <v>493</v>
      </c>
      <c r="EM1019" s="1" t="s">
        <v>238</v>
      </c>
      <c r="EQ1019" s="1" t="s">
        <v>238</v>
      </c>
      <c r="EU1019" s="1" t="s">
        <v>238</v>
      </c>
      <c r="EY1019" s="1" t="s">
        <v>238</v>
      </c>
      <c r="FC1019" s="1" t="s">
        <v>238</v>
      </c>
      <c r="FF1019" s="1" t="s">
        <v>239</v>
      </c>
      <c r="FG1019" s="1" t="s">
        <v>192</v>
      </c>
      <c r="FH1019" s="1" t="s">
        <v>192</v>
      </c>
      <c r="FJ1019" s="1" t="s">
        <v>4173</v>
      </c>
      <c r="FK1019" s="1" t="s">
        <v>229</v>
      </c>
      <c r="FL1019" s="1" t="s">
        <v>1124</v>
      </c>
      <c r="FM1019" s="1">
        <v>12293.0</v>
      </c>
      <c r="FN1019" s="1" t="s">
        <v>3300</v>
      </c>
      <c r="FO1019" s="1" t="s">
        <v>3953</v>
      </c>
      <c r="FP1019" s="1">
        <v>117948.0</v>
      </c>
      <c r="FQ1019" s="1" t="s">
        <v>3954</v>
      </c>
      <c r="FR1019" s="1">
        <v>107531.0</v>
      </c>
      <c r="FU1019" s="1" t="s">
        <v>3957</v>
      </c>
      <c r="FV1019" s="1" t="s">
        <v>200</v>
      </c>
      <c r="FW1019" s="1" t="s">
        <v>11366</v>
      </c>
      <c r="FX1019" s="1" t="s">
        <v>246</v>
      </c>
      <c r="FZ1019" s="1" t="s">
        <v>229</v>
      </c>
      <c r="GA1019" s="1" t="s">
        <v>291</v>
      </c>
      <c r="GB1019" s="2">
        <v>41975.0</v>
      </c>
      <c r="GC1019" s="1" t="s">
        <v>11367</v>
      </c>
    </row>
    <row r="1020">
      <c r="A1020" s="1">
        <v>441500.0</v>
      </c>
      <c r="B1020" s="1" t="s">
        <v>185</v>
      </c>
      <c r="C1020" s="1" t="str">
        <f>"08641367"</f>
        <v>08641367</v>
      </c>
      <c r="D1020" s="1" t="s">
        <v>186</v>
      </c>
      <c r="F1020" s="1" t="str">
        <f>"134"</f>
        <v>134</v>
      </c>
      <c r="G1020" s="2">
        <v>41801.0</v>
      </c>
      <c r="H1020" s="1">
        <v>475000.0</v>
      </c>
      <c r="I1020" s="1">
        <v>243.0</v>
      </c>
      <c r="J1020" s="1">
        <v>459900.0</v>
      </c>
      <c r="K1020" s="2">
        <v>42043.0</v>
      </c>
      <c r="L1020" s="1">
        <v>243.0</v>
      </c>
      <c r="M1020" s="2">
        <v>42043.0</v>
      </c>
      <c r="N1020" s="1" t="s">
        <v>187</v>
      </c>
      <c r="O1020" s="2">
        <v>42090.0</v>
      </c>
      <c r="P1020" s="1">
        <v>230481.0</v>
      </c>
      <c r="Q1020" s="1">
        <v>23591.0</v>
      </c>
      <c r="S1020" s="1" t="s">
        <v>11368</v>
      </c>
      <c r="T1020" s="1" t="s">
        <v>11369</v>
      </c>
      <c r="U1020" s="1" t="s">
        <v>569</v>
      </c>
      <c r="V1020" s="1" t="s">
        <v>421</v>
      </c>
      <c r="W1020" s="1">
        <v>60134.0</v>
      </c>
      <c r="Y1020" s="1" t="s">
        <v>11370</v>
      </c>
      <c r="Z1020" s="1">
        <v>1997.0</v>
      </c>
      <c r="AA1020" s="1" t="s">
        <v>200</v>
      </c>
      <c r="AB1020" s="1" t="s">
        <v>193</v>
      </c>
      <c r="AC1020" s="1" t="s">
        <v>7406</v>
      </c>
      <c r="AD1020" s="1" t="s">
        <v>1089</v>
      </c>
      <c r="AE1020" s="1" t="s">
        <v>325</v>
      </c>
      <c r="AF1020" s="1" t="s">
        <v>1479</v>
      </c>
      <c r="AG1020" s="1" t="s">
        <v>11371</v>
      </c>
      <c r="AH1020" s="1" t="s">
        <v>11372</v>
      </c>
      <c r="AK1020" s="1">
        <v>12.0</v>
      </c>
      <c r="AL1020" s="1">
        <v>4.0</v>
      </c>
      <c r="AM1020" s="1">
        <v>2.0</v>
      </c>
      <c r="AN1020" s="1">
        <v>1.0</v>
      </c>
      <c r="AO1020" s="1" t="s">
        <v>198</v>
      </c>
      <c r="AP1020" s="1">
        <v>1.0</v>
      </c>
      <c r="AQ1020" s="1" t="s">
        <v>198</v>
      </c>
      <c r="AR1020" s="1" t="s">
        <v>200</v>
      </c>
      <c r="AS1020" s="1" t="s">
        <v>199</v>
      </c>
      <c r="AT1020" s="1">
        <v>3.0</v>
      </c>
      <c r="AV1020" s="1" t="s">
        <v>200</v>
      </c>
      <c r="AW1020" s="1">
        <v>11825.0</v>
      </c>
      <c r="AX1020" s="1">
        <v>2013.0</v>
      </c>
      <c r="AY1020" s="1" t="s">
        <v>1179</v>
      </c>
      <c r="AZ1020" s="1" t="s">
        <v>200</v>
      </c>
      <c r="BA1020" s="1" t="str">
        <f>"1112457001"</f>
        <v>1112457001</v>
      </c>
      <c r="BB1020" s="1" t="s">
        <v>200</v>
      </c>
      <c r="BC1020" s="1">
        <v>2971.0</v>
      </c>
      <c r="BD1020" s="1">
        <v>441500.0</v>
      </c>
      <c r="BE1020" s="2">
        <v>41801.0</v>
      </c>
      <c r="BF1020" s="2" t="s">
        <v>11373</v>
      </c>
      <c r="BH1020" s="1">
        <v>0.0</v>
      </c>
      <c r="BK1020" s="1" t="s">
        <v>204</v>
      </c>
      <c r="BL1020" s="1" t="str">
        <f t="shared" ref="BL1020:BM1020" si="677">""</f>
        <v/>
      </c>
      <c r="BM1020" s="1" t="str">
        <f t="shared" si="677"/>
        <v/>
      </c>
      <c r="BQ1020" s="1">
        <v>304.0</v>
      </c>
      <c r="BR1020" s="1">
        <v>304.0</v>
      </c>
      <c r="BS1020" s="1">
        <v>304.0</v>
      </c>
      <c r="BU1020" s="1" t="s">
        <v>1483</v>
      </c>
      <c r="BV1020" s="1" t="s">
        <v>206</v>
      </c>
      <c r="BW1020" s="1" t="s">
        <v>210</v>
      </c>
      <c r="BX1020" s="1" t="s">
        <v>229</v>
      </c>
      <c r="BY1020" s="1" t="s">
        <v>616</v>
      </c>
      <c r="BZ1020" s="1" t="s">
        <v>209</v>
      </c>
      <c r="CA1020" s="1" t="s">
        <v>210</v>
      </c>
      <c r="CB1020" s="1" t="s">
        <v>431</v>
      </c>
      <c r="CC1020" s="1" t="s">
        <v>393</v>
      </c>
      <c r="CD1020" s="1" t="s">
        <v>206</v>
      </c>
      <c r="CE1020" s="1" t="s">
        <v>207</v>
      </c>
      <c r="CF1020" s="1" t="s">
        <v>229</v>
      </c>
      <c r="CG1020" s="1" t="s">
        <v>262</v>
      </c>
      <c r="CH1020" s="1" t="s">
        <v>209</v>
      </c>
      <c r="CI1020" s="1" t="s">
        <v>210</v>
      </c>
      <c r="CJ1020" s="1" t="s">
        <v>229</v>
      </c>
      <c r="CK1020" s="1" t="s">
        <v>699</v>
      </c>
      <c r="CL1020" s="1" t="s">
        <v>209</v>
      </c>
      <c r="CM1020" s="1" t="s">
        <v>210</v>
      </c>
      <c r="CN1020" s="1" t="s">
        <v>431</v>
      </c>
      <c r="CO1020" s="1" t="s">
        <v>699</v>
      </c>
      <c r="CP1020" s="1" t="s">
        <v>209</v>
      </c>
      <c r="CQ1020" s="1" t="s">
        <v>210</v>
      </c>
      <c r="CR1020" s="1" t="s">
        <v>431</v>
      </c>
      <c r="CS1020" s="1" t="s">
        <v>480</v>
      </c>
      <c r="CT1020" s="1" t="s">
        <v>206</v>
      </c>
      <c r="CU1020" s="1" t="s">
        <v>207</v>
      </c>
      <c r="CV1020" s="1" t="s">
        <v>1118</v>
      </c>
      <c r="CW1020" s="1" t="s">
        <v>639</v>
      </c>
      <c r="CX1020" s="1" t="s">
        <v>206</v>
      </c>
      <c r="CY1020" s="1" t="s">
        <v>207</v>
      </c>
      <c r="CZ1020" s="1" t="s">
        <v>1118</v>
      </c>
      <c r="DA1020" s="1" t="s">
        <v>200</v>
      </c>
      <c r="DC1020" s="1" t="s">
        <v>678</v>
      </c>
      <c r="DD1020" s="1" t="s">
        <v>336</v>
      </c>
      <c r="DE1020" s="1" t="s">
        <v>273</v>
      </c>
      <c r="DF1020" s="1" t="s">
        <v>219</v>
      </c>
      <c r="DG1020" s="1" t="s">
        <v>1266</v>
      </c>
      <c r="DH1020" s="1" t="s">
        <v>220</v>
      </c>
      <c r="DI1020" s="1" t="s">
        <v>5873</v>
      </c>
      <c r="DJ1020" s="1" t="s">
        <v>222</v>
      </c>
      <c r="DL1020" s="1" t="s">
        <v>224</v>
      </c>
      <c r="DM1020" s="1" t="s">
        <v>338</v>
      </c>
      <c r="DN1020" s="1" t="s">
        <v>399</v>
      </c>
      <c r="DO1020" s="1" t="s">
        <v>590</v>
      </c>
      <c r="DP1020" s="1" t="s">
        <v>340</v>
      </c>
      <c r="DQ1020" s="1" t="s">
        <v>441</v>
      </c>
      <c r="DR1020" s="1" t="s">
        <v>229</v>
      </c>
      <c r="DU1020" s="1" t="s">
        <v>10901</v>
      </c>
      <c r="DV1020" s="1" t="s">
        <v>11374</v>
      </c>
      <c r="DW1020" s="1" t="s">
        <v>764</v>
      </c>
      <c r="DX1020" s="1" t="s">
        <v>234</v>
      </c>
      <c r="DY1020" s="1" t="s">
        <v>1559</v>
      </c>
      <c r="DZ1020" s="1" t="s">
        <v>8649</v>
      </c>
      <c r="EA1020" s="1" t="s">
        <v>344</v>
      </c>
      <c r="EB1020" s="1" t="s">
        <v>492</v>
      </c>
      <c r="EC1020" s="1" t="s">
        <v>237</v>
      </c>
      <c r="ED1020" s="1" t="s">
        <v>407</v>
      </c>
      <c r="EG1020" s="1" t="s">
        <v>494</v>
      </c>
      <c r="EH1020" s="1" t="s">
        <v>1121</v>
      </c>
      <c r="EI1020" s="1" t="s">
        <v>450</v>
      </c>
      <c r="EJ1020" s="1" t="s">
        <v>451</v>
      </c>
      <c r="EL1020" s="1" t="s">
        <v>699</v>
      </c>
      <c r="EM1020" s="1" t="s">
        <v>206</v>
      </c>
      <c r="EN1020" s="1" t="s">
        <v>207</v>
      </c>
      <c r="EO1020" s="1" t="s">
        <v>1549</v>
      </c>
      <c r="EP1020" s="1" t="s">
        <v>516</v>
      </c>
      <c r="EQ1020" s="1" t="s">
        <v>209</v>
      </c>
      <c r="ER1020" s="1" t="s">
        <v>210</v>
      </c>
      <c r="ES1020" s="1" t="s">
        <v>1549</v>
      </c>
      <c r="ET1020" s="1" t="s">
        <v>214</v>
      </c>
      <c r="EU1020" s="1" t="s">
        <v>42</v>
      </c>
      <c r="EV1020" s="1" t="s">
        <v>210</v>
      </c>
      <c r="EW1020" s="1" t="s">
        <v>1549</v>
      </c>
      <c r="EX1020" s="1" t="s">
        <v>854</v>
      </c>
      <c r="EY1020" s="1" t="s">
        <v>42</v>
      </c>
      <c r="EZ1020" s="1" t="s">
        <v>210</v>
      </c>
      <c r="FA1020" s="1" t="s">
        <v>229</v>
      </c>
      <c r="FC1020" s="1" t="s">
        <v>238</v>
      </c>
      <c r="FF1020" s="1" t="s">
        <v>239</v>
      </c>
      <c r="FG1020" s="1" t="s">
        <v>192</v>
      </c>
      <c r="FH1020" s="1" t="s">
        <v>192</v>
      </c>
      <c r="FJ1020" s="1" t="s">
        <v>11375</v>
      </c>
      <c r="FK1020" s="1" t="s">
        <v>229</v>
      </c>
      <c r="FL1020" s="1" t="s">
        <v>456</v>
      </c>
      <c r="FM1020" s="1">
        <v>49.0</v>
      </c>
      <c r="FN1020" s="1" t="s">
        <v>457</v>
      </c>
      <c r="FO1020" s="1" t="s">
        <v>11376</v>
      </c>
      <c r="FP1020" s="1">
        <v>197.0</v>
      </c>
      <c r="FQ1020" s="1" t="s">
        <v>11377</v>
      </c>
      <c r="FS1020" s="1" t="s">
        <v>11378</v>
      </c>
      <c r="FU1020" s="1" t="s">
        <v>11379</v>
      </c>
      <c r="FV1020" s="1" t="s">
        <v>200</v>
      </c>
      <c r="FW1020" s="1" t="s">
        <v>290</v>
      </c>
      <c r="FZ1020" s="1" t="s">
        <v>229</v>
      </c>
      <c r="GA1020" s="1" t="s">
        <v>291</v>
      </c>
      <c r="GB1020" s="2">
        <v>42092.0</v>
      </c>
      <c r="GC1020" s="1" t="s">
        <v>11380</v>
      </c>
    </row>
    <row r="1021">
      <c r="A1021" s="1">
        <v>200000.0</v>
      </c>
      <c r="B1021" s="1" t="s">
        <v>185</v>
      </c>
      <c r="C1021" s="1" t="str">
        <f>"08630953"</f>
        <v>08630953</v>
      </c>
      <c r="D1021" s="1" t="s">
        <v>186</v>
      </c>
      <c r="F1021" s="1" t="str">
        <f>"178"</f>
        <v>178</v>
      </c>
      <c r="G1021" s="2">
        <v>41791.0</v>
      </c>
      <c r="H1021" s="1">
        <v>199900.0</v>
      </c>
      <c r="I1021" s="1">
        <v>224.0</v>
      </c>
      <c r="J1021" s="1">
        <v>199900.0</v>
      </c>
      <c r="K1021" s="2">
        <v>42014.0</v>
      </c>
      <c r="L1021" s="1">
        <v>224.0</v>
      </c>
      <c r="M1021" s="2">
        <v>42014.0</v>
      </c>
      <c r="N1021" s="1" t="s">
        <v>634</v>
      </c>
      <c r="O1021" s="2">
        <v>42096.0</v>
      </c>
      <c r="P1021" s="1">
        <v>930149.0</v>
      </c>
      <c r="Q1021" s="1">
        <v>93043.0</v>
      </c>
      <c r="S1021" s="1">
        <v>1636.0</v>
      </c>
      <c r="T1021" s="1" t="s">
        <v>11381</v>
      </c>
      <c r="U1021" s="1" t="s">
        <v>694</v>
      </c>
      <c r="V1021" s="1" t="s">
        <v>994</v>
      </c>
      <c r="W1021" s="1">
        <v>60178.0</v>
      </c>
      <c r="Y1021" s="1" t="s">
        <v>11382</v>
      </c>
      <c r="Z1021" s="1">
        <v>2006.0</v>
      </c>
      <c r="AA1021" s="1" t="s">
        <v>200</v>
      </c>
      <c r="AB1021" s="1" t="s">
        <v>467</v>
      </c>
      <c r="AD1021" s="1" t="s">
        <v>997</v>
      </c>
      <c r="AE1021" s="1" t="s">
        <v>613</v>
      </c>
      <c r="AF1021" s="1" t="s">
        <v>997</v>
      </c>
      <c r="AH1021" s="1" t="s">
        <v>11383</v>
      </c>
      <c r="AI1021" s="1">
        <v>0.24</v>
      </c>
      <c r="AK1021" s="1">
        <v>9.0</v>
      </c>
      <c r="AL1021" s="1">
        <v>4.0</v>
      </c>
      <c r="AM1021" s="1">
        <v>2.0</v>
      </c>
      <c r="AN1021" s="1">
        <v>1.0</v>
      </c>
      <c r="AO1021" s="1" t="s">
        <v>198</v>
      </c>
      <c r="AP1021" s="1">
        <v>1.0</v>
      </c>
      <c r="AQ1021" s="1" t="s">
        <v>198</v>
      </c>
      <c r="AR1021" s="1" t="s">
        <v>200</v>
      </c>
      <c r="AS1021" s="1" t="s">
        <v>199</v>
      </c>
      <c r="AT1021" s="1">
        <v>2.0</v>
      </c>
      <c r="AV1021" s="1" t="s">
        <v>200</v>
      </c>
      <c r="AW1021" s="1">
        <v>5936.2</v>
      </c>
      <c r="AX1021" s="1">
        <v>2013.0</v>
      </c>
      <c r="AY1021" s="1" t="s">
        <v>387</v>
      </c>
      <c r="AZ1021" s="1" t="s">
        <v>200</v>
      </c>
      <c r="BA1021" s="1" t="str">
        <f>"0905405018"</f>
        <v>0905405018</v>
      </c>
      <c r="BC1021" s="1">
        <v>2400.0</v>
      </c>
      <c r="BD1021" s="1">
        <v>200000.0</v>
      </c>
      <c r="BE1021" s="2">
        <v>41791.0</v>
      </c>
      <c r="BF1021" s="2" t="s">
        <v>11384</v>
      </c>
      <c r="BH1021" s="1">
        <v>369.0</v>
      </c>
      <c r="BK1021" s="1" t="s">
        <v>580</v>
      </c>
      <c r="BL1021" s="1" t="str">
        <f t="shared" ref="BL1021:BM1021" si="678">""</f>
        <v/>
      </c>
      <c r="BM1021" s="1" t="str">
        <f t="shared" si="678"/>
        <v/>
      </c>
      <c r="BQ1021" s="1">
        <v>427.0</v>
      </c>
      <c r="BR1021" s="1">
        <v>427.0</v>
      </c>
      <c r="BS1021" s="1">
        <v>427.0</v>
      </c>
      <c r="BU1021" s="1" t="s">
        <v>213</v>
      </c>
      <c r="BV1021" s="1" t="s">
        <v>206</v>
      </c>
      <c r="BW1021" s="1" t="s">
        <v>210</v>
      </c>
      <c r="BY1021" s="1" t="s">
        <v>1043</v>
      </c>
      <c r="BZ1021" s="1" t="s">
        <v>209</v>
      </c>
      <c r="CA1021" s="1" t="s">
        <v>210</v>
      </c>
      <c r="CC1021" s="1" t="s">
        <v>1417</v>
      </c>
      <c r="CD1021" s="1" t="s">
        <v>206</v>
      </c>
      <c r="CE1021" s="1" t="s">
        <v>210</v>
      </c>
      <c r="CG1021" s="1" t="s">
        <v>302</v>
      </c>
      <c r="CH1021" s="1" t="s">
        <v>209</v>
      </c>
      <c r="CI1021" s="1" t="s">
        <v>210</v>
      </c>
      <c r="CK1021" s="1" t="s">
        <v>363</v>
      </c>
      <c r="CL1021" s="1" t="s">
        <v>209</v>
      </c>
      <c r="CM1021" s="1" t="s">
        <v>210</v>
      </c>
      <c r="CO1021" s="1" t="s">
        <v>329</v>
      </c>
      <c r="CP1021" s="1" t="s">
        <v>209</v>
      </c>
      <c r="CQ1021" s="1" t="s">
        <v>210</v>
      </c>
      <c r="CS1021" s="1" t="s">
        <v>1417</v>
      </c>
      <c r="CT1021" s="1" t="s">
        <v>206</v>
      </c>
      <c r="CU1021" s="1" t="s">
        <v>617</v>
      </c>
      <c r="CW1021" s="1" t="s">
        <v>333</v>
      </c>
      <c r="CX1021" s="1" t="s">
        <v>206</v>
      </c>
      <c r="CY1021" s="1" t="s">
        <v>210</v>
      </c>
      <c r="DA1021" s="1" t="s">
        <v>200</v>
      </c>
      <c r="DC1021" s="1" t="s">
        <v>481</v>
      </c>
      <c r="DE1021" s="1" t="s">
        <v>273</v>
      </c>
      <c r="DF1021" s="1" t="s">
        <v>219</v>
      </c>
      <c r="DG1021" s="1" t="s">
        <v>482</v>
      </c>
      <c r="DH1021" s="1" t="s">
        <v>220</v>
      </c>
      <c r="DJ1021" s="1" t="s">
        <v>222</v>
      </c>
      <c r="DL1021" s="1" t="s">
        <v>223</v>
      </c>
      <c r="DM1021" s="1" t="s">
        <v>338</v>
      </c>
      <c r="DN1021" s="1" t="s">
        <v>485</v>
      </c>
      <c r="DQ1021" s="1" t="s">
        <v>228</v>
      </c>
      <c r="DR1021" s="1" t="s">
        <v>11385</v>
      </c>
      <c r="DU1021" s="1" t="s">
        <v>487</v>
      </c>
      <c r="DV1021" s="1" t="s">
        <v>449</v>
      </c>
      <c r="DW1021" s="1" t="s">
        <v>233</v>
      </c>
      <c r="DX1021" s="1" t="s">
        <v>234</v>
      </c>
      <c r="DY1021" s="1" t="s">
        <v>1051</v>
      </c>
      <c r="EB1021" s="1" t="s">
        <v>937</v>
      </c>
      <c r="EC1021" s="1" t="s">
        <v>237</v>
      </c>
      <c r="EE1021" s="1" t="s">
        <v>522</v>
      </c>
      <c r="EG1021" s="1" t="s">
        <v>449</v>
      </c>
      <c r="EL1021" s="1" t="s">
        <v>1672</v>
      </c>
      <c r="EM1021" s="1" t="s">
        <v>206</v>
      </c>
      <c r="EN1021" s="1" t="s">
        <v>617</v>
      </c>
      <c r="EQ1021" s="1" t="s">
        <v>238</v>
      </c>
      <c r="EU1021" s="1" t="s">
        <v>238</v>
      </c>
      <c r="EY1021" s="1" t="s">
        <v>238</v>
      </c>
      <c r="FC1021" s="1" t="s">
        <v>238</v>
      </c>
      <c r="FF1021" s="1" t="s">
        <v>239</v>
      </c>
      <c r="FG1021" s="1" t="s">
        <v>192</v>
      </c>
      <c r="FH1021" s="1" t="s">
        <v>192</v>
      </c>
      <c r="FJ1021" s="1" t="s">
        <v>2133</v>
      </c>
      <c r="FK1021" s="1" t="s">
        <v>1586</v>
      </c>
      <c r="FL1021" s="1" t="s">
        <v>1007</v>
      </c>
      <c r="FM1021" s="1">
        <v>93043.0</v>
      </c>
      <c r="FN1021" s="1" t="s">
        <v>1008</v>
      </c>
      <c r="FO1021" s="1" t="s">
        <v>4154</v>
      </c>
      <c r="FP1021" s="1">
        <v>930132.0</v>
      </c>
      <c r="FQ1021" s="1" t="s">
        <v>4155</v>
      </c>
      <c r="FU1021" s="1" t="s">
        <v>11386</v>
      </c>
      <c r="FV1021" s="1" t="s">
        <v>200</v>
      </c>
      <c r="FW1021" s="1" t="s">
        <v>290</v>
      </c>
      <c r="FZ1021" s="1" t="s">
        <v>229</v>
      </c>
      <c r="GA1021" s="1" t="s">
        <v>291</v>
      </c>
      <c r="GB1021" s="2">
        <v>42097.0</v>
      </c>
      <c r="GC1021" s="1" t="s">
        <v>11387</v>
      </c>
    </row>
    <row r="1022">
      <c r="A1022" s="1">
        <v>370000.0</v>
      </c>
      <c r="B1022" s="1" t="s">
        <v>185</v>
      </c>
      <c r="C1022" s="1" t="str">
        <f>"08635362"</f>
        <v>08635362</v>
      </c>
      <c r="D1022" s="1" t="s">
        <v>186</v>
      </c>
      <c r="F1022" s="1" t="str">
        <f>"119"</f>
        <v>119</v>
      </c>
      <c r="G1022" s="2">
        <v>41795.0</v>
      </c>
      <c r="H1022" s="1">
        <v>425000.0</v>
      </c>
      <c r="I1022" s="1">
        <v>138.0</v>
      </c>
      <c r="J1022" s="1">
        <v>385000.0</v>
      </c>
      <c r="K1022" s="2">
        <v>41932.0</v>
      </c>
      <c r="L1022" s="1">
        <v>138.0</v>
      </c>
      <c r="M1022" s="2">
        <v>41932.0</v>
      </c>
      <c r="N1022" s="1" t="s">
        <v>187</v>
      </c>
      <c r="O1022" s="2">
        <v>41981.0</v>
      </c>
      <c r="P1022" s="1">
        <v>1040.0</v>
      </c>
      <c r="Q1022" s="1">
        <v>28.0</v>
      </c>
      <c r="S1022" s="1" t="s">
        <v>11388</v>
      </c>
      <c r="T1022" s="1" t="s">
        <v>11389</v>
      </c>
      <c r="U1022" s="1" t="s">
        <v>464</v>
      </c>
      <c r="V1022" s="1" t="s">
        <v>1476</v>
      </c>
      <c r="W1022" s="1">
        <v>60119.0</v>
      </c>
      <c r="Y1022" s="1" t="s">
        <v>11390</v>
      </c>
      <c r="Z1022" s="1">
        <v>1986.0</v>
      </c>
      <c r="AA1022" s="1" t="s">
        <v>200</v>
      </c>
      <c r="AB1022" s="1" t="s">
        <v>193</v>
      </c>
      <c r="AD1022" s="1" t="s">
        <v>1089</v>
      </c>
      <c r="AE1022" s="1" t="s">
        <v>325</v>
      </c>
      <c r="AF1022" s="1" t="s">
        <v>1632</v>
      </c>
      <c r="AH1022" s="1">
        <v>320602.0</v>
      </c>
      <c r="AI1022" s="1">
        <v>7.36</v>
      </c>
      <c r="AK1022" s="1">
        <v>8.0</v>
      </c>
      <c r="AL1022" s="1">
        <v>4.0</v>
      </c>
      <c r="AM1022" s="1">
        <v>3.0</v>
      </c>
      <c r="AN1022" s="1">
        <v>0.0</v>
      </c>
      <c r="AO1022" s="1" t="s">
        <v>198</v>
      </c>
      <c r="AP1022" s="1">
        <v>2.0</v>
      </c>
      <c r="AQ1022" s="1" t="s">
        <v>198</v>
      </c>
      <c r="AR1022" s="1" t="s">
        <v>200</v>
      </c>
      <c r="AS1022" s="1" t="s">
        <v>199</v>
      </c>
      <c r="AT1022" s="1">
        <v>6.0</v>
      </c>
      <c r="AV1022" s="1" t="s">
        <v>200</v>
      </c>
      <c r="AW1022" s="1">
        <v>12074.6</v>
      </c>
      <c r="AX1022" s="1">
        <v>2012.0</v>
      </c>
      <c r="AY1022" s="1" t="s">
        <v>387</v>
      </c>
      <c r="AZ1022" s="1" t="s">
        <v>200</v>
      </c>
      <c r="BA1022" s="1" t="str">
        <f>"0821300017"</f>
        <v>0821300017</v>
      </c>
      <c r="BC1022" s="1">
        <v>3020.0</v>
      </c>
      <c r="BD1022" s="1">
        <v>370000.0</v>
      </c>
      <c r="BE1022" s="2">
        <v>41795.0</v>
      </c>
      <c r="BF1022" s="2" t="s">
        <v>11391</v>
      </c>
      <c r="BG1022" s="1" t="s">
        <v>2198</v>
      </c>
      <c r="BH1022" s="1">
        <v>0.0</v>
      </c>
      <c r="BI1022" s="1" t="s">
        <v>2199</v>
      </c>
      <c r="BJ1022" s="1" t="s">
        <v>2200</v>
      </c>
      <c r="BK1022" s="1" t="s">
        <v>204</v>
      </c>
      <c r="BL1022" s="1" t="str">
        <f>"5"</f>
        <v>5</v>
      </c>
      <c r="BM1022" s="1" t="str">
        <f>""</f>
        <v/>
      </c>
      <c r="BN1022" s="1">
        <v>42.0</v>
      </c>
      <c r="BQ1022" s="1">
        <v>303.0</v>
      </c>
      <c r="BR1022" s="1">
        <v>303.0</v>
      </c>
      <c r="BS1022" s="1">
        <v>303.0</v>
      </c>
      <c r="BU1022" s="1" t="s">
        <v>1503</v>
      </c>
      <c r="BV1022" s="1" t="s">
        <v>206</v>
      </c>
      <c r="BW1022" s="1" t="s">
        <v>268</v>
      </c>
      <c r="BX1022" s="1" t="s">
        <v>239</v>
      </c>
      <c r="BY1022" s="1" t="s">
        <v>330</v>
      </c>
      <c r="BZ1022" s="1" t="s">
        <v>209</v>
      </c>
      <c r="CA1022" s="1" t="s">
        <v>210</v>
      </c>
      <c r="CB1022" s="1" t="s">
        <v>239</v>
      </c>
      <c r="CC1022" s="1" t="s">
        <v>262</v>
      </c>
      <c r="CD1022" s="1" t="s">
        <v>206</v>
      </c>
      <c r="CE1022" s="1" t="s">
        <v>268</v>
      </c>
      <c r="CF1022" s="1" t="s">
        <v>239</v>
      </c>
      <c r="CG1022" s="1" t="s">
        <v>925</v>
      </c>
      <c r="CH1022" s="1" t="s">
        <v>206</v>
      </c>
      <c r="CI1022" s="1" t="s">
        <v>210</v>
      </c>
      <c r="CJ1022" s="1" t="s">
        <v>239</v>
      </c>
      <c r="CK1022" s="1" t="s">
        <v>2224</v>
      </c>
      <c r="CL1022" s="1" t="s">
        <v>206</v>
      </c>
      <c r="CM1022" s="1" t="s">
        <v>210</v>
      </c>
      <c r="CN1022" s="1" t="s">
        <v>239</v>
      </c>
      <c r="CO1022" s="1" t="s">
        <v>363</v>
      </c>
      <c r="CP1022" s="1" t="s">
        <v>206</v>
      </c>
      <c r="CQ1022" s="1" t="s">
        <v>210</v>
      </c>
      <c r="CR1022" s="1" t="s">
        <v>239</v>
      </c>
      <c r="CS1022" s="1" t="s">
        <v>454</v>
      </c>
      <c r="CT1022" s="1" t="s">
        <v>206</v>
      </c>
      <c r="CU1022" s="1" t="s">
        <v>207</v>
      </c>
      <c r="CV1022" s="1" t="s">
        <v>239</v>
      </c>
      <c r="CW1022" s="1" t="s">
        <v>2749</v>
      </c>
      <c r="CX1022" s="1" t="s">
        <v>206</v>
      </c>
      <c r="CY1022" s="1" t="s">
        <v>207</v>
      </c>
      <c r="CZ1022" s="1" t="s">
        <v>239</v>
      </c>
      <c r="DA1022" s="1" t="s">
        <v>200</v>
      </c>
      <c r="DC1022" s="1" t="s">
        <v>305</v>
      </c>
      <c r="DD1022" s="1" t="s">
        <v>336</v>
      </c>
      <c r="DE1022" s="1" t="s">
        <v>273</v>
      </c>
      <c r="DF1022" s="1" t="s">
        <v>219</v>
      </c>
      <c r="DG1022" s="1" t="s">
        <v>1553</v>
      </c>
      <c r="DH1022" s="1" t="s">
        <v>856</v>
      </c>
      <c r="DI1022" s="1" t="s">
        <v>11392</v>
      </c>
      <c r="DJ1022" s="1" t="s">
        <v>857</v>
      </c>
      <c r="DL1022" s="1" t="s">
        <v>3611</v>
      </c>
      <c r="DM1022" s="1" t="s">
        <v>338</v>
      </c>
      <c r="DO1022" s="1" t="s">
        <v>5000</v>
      </c>
      <c r="DP1022" s="1" t="s">
        <v>340</v>
      </c>
      <c r="DQ1022" s="1" t="s">
        <v>1723</v>
      </c>
      <c r="DR1022" s="1" t="s">
        <v>229</v>
      </c>
      <c r="DS1022" s="1" t="s">
        <v>230</v>
      </c>
      <c r="DU1022" s="1" t="s">
        <v>11393</v>
      </c>
      <c r="DV1022" s="1" t="s">
        <v>408</v>
      </c>
      <c r="DW1022" s="1" t="s">
        <v>964</v>
      </c>
      <c r="DX1022" s="1" t="s">
        <v>309</v>
      </c>
      <c r="DY1022" s="1" t="s">
        <v>7645</v>
      </c>
      <c r="DZ1022" s="1" t="s">
        <v>11394</v>
      </c>
      <c r="EA1022" s="1" t="s">
        <v>1027</v>
      </c>
      <c r="EB1022" s="1" t="s">
        <v>9273</v>
      </c>
      <c r="EC1022" s="1" t="s">
        <v>237</v>
      </c>
      <c r="ED1022" s="1" t="s">
        <v>1406</v>
      </c>
      <c r="EE1022" s="1" t="s">
        <v>493</v>
      </c>
      <c r="EG1022" s="1" t="s">
        <v>408</v>
      </c>
      <c r="EL1022" s="1" t="s">
        <v>3508</v>
      </c>
      <c r="EM1022" s="1" t="s">
        <v>206</v>
      </c>
      <c r="EQ1022" s="1" t="s">
        <v>238</v>
      </c>
      <c r="EU1022" s="1" t="s">
        <v>238</v>
      </c>
      <c r="EY1022" s="1" t="s">
        <v>238</v>
      </c>
      <c r="FC1022" s="1" t="s">
        <v>238</v>
      </c>
      <c r="FF1022" s="1" t="s">
        <v>239</v>
      </c>
      <c r="FG1022" s="1" t="s">
        <v>192</v>
      </c>
      <c r="FH1022" s="1" t="s">
        <v>192</v>
      </c>
      <c r="FJ1022" s="1" t="s">
        <v>1469</v>
      </c>
      <c r="FK1022" s="1" t="s">
        <v>229</v>
      </c>
      <c r="FL1022" s="1" t="s">
        <v>5963</v>
      </c>
      <c r="FM1022" s="1">
        <v>23099.0</v>
      </c>
      <c r="FN1022" s="1" t="s">
        <v>5964</v>
      </c>
      <c r="FO1022" s="1" t="s">
        <v>11395</v>
      </c>
      <c r="FP1022" s="1">
        <v>237256.0</v>
      </c>
      <c r="FQ1022" s="1" t="s">
        <v>11396</v>
      </c>
      <c r="FS1022" s="1" t="s">
        <v>11397</v>
      </c>
      <c r="FU1022" s="1" t="s">
        <v>11398</v>
      </c>
      <c r="FV1022" s="1" t="s">
        <v>200</v>
      </c>
      <c r="FW1022" s="1" t="s">
        <v>530</v>
      </c>
      <c r="FZ1022" s="1" t="s">
        <v>229</v>
      </c>
      <c r="GA1022" s="1" t="s">
        <v>291</v>
      </c>
      <c r="GB1022" s="2">
        <v>41981.0</v>
      </c>
    </row>
    <row r="1023">
      <c r="A1023" s="1">
        <v>70000.0</v>
      </c>
      <c r="B1023" s="1" t="s">
        <v>185</v>
      </c>
      <c r="C1023" s="1" t="str">
        <f>"08633756"</f>
        <v>08633756</v>
      </c>
      <c r="D1023" s="1" t="s">
        <v>186</v>
      </c>
      <c r="F1023" s="1" t="str">
        <f>"8025"</f>
        <v>8025</v>
      </c>
      <c r="G1023" s="2">
        <v>41793.0</v>
      </c>
      <c r="H1023" s="1">
        <v>83900.0</v>
      </c>
      <c r="I1023" s="1">
        <v>221.0</v>
      </c>
      <c r="J1023" s="1">
        <v>70000.0</v>
      </c>
      <c r="K1023" s="2">
        <v>42013.0</v>
      </c>
      <c r="L1023" s="1">
        <v>221.0</v>
      </c>
      <c r="M1023" s="2">
        <v>42013.0</v>
      </c>
      <c r="N1023" s="1" t="s">
        <v>249</v>
      </c>
      <c r="O1023" s="2">
        <v>42058.0</v>
      </c>
      <c r="P1023" s="1">
        <v>219946.0</v>
      </c>
      <c r="Q1023" s="1">
        <v>61153.0</v>
      </c>
      <c r="S1023" s="1">
        <v>5240.0</v>
      </c>
      <c r="T1023" s="1" t="s">
        <v>11399</v>
      </c>
      <c r="U1023" s="1" t="s">
        <v>189</v>
      </c>
      <c r="V1023" s="1" t="s">
        <v>190</v>
      </c>
      <c r="W1023" s="1">
        <v>60644.0</v>
      </c>
      <c r="Y1023" s="1" t="s">
        <v>11400</v>
      </c>
      <c r="Z1023" s="1">
        <v>1896.0</v>
      </c>
      <c r="AA1023" s="1" t="s">
        <v>192</v>
      </c>
      <c r="AB1023" s="1" t="s">
        <v>193</v>
      </c>
      <c r="AD1023" s="1" t="s">
        <v>194</v>
      </c>
      <c r="AE1023" s="1" t="s">
        <v>195</v>
      </c>
      <c r="AF1023" s="1" t="s">
        <v>827</v>
      </c>
      <c r="AH1023" s="1" t="s">
        <v>11401</v>
      </c>
      <c r="AK1023" s="1">
        <v>7.0</v>
      </c>
      <c r="AL1023" s="1">
        <v>4.0</v>
      </c>
      <c r="AM1023" s="1">
        <v>2.0</v>
      </c>
      <c r="AN1023" s="1">
        <v>0.0</v>
      </c>
      <c r="AO1023" s="1" t="s">
        <v>198</v>
      </c>
      <c r="AQ1023" s="1" t="s">
        <v>198</v>
      </c>
      <c r="AR1023" s="1" t="s">
        <v>200</v>
      </c>
      <c r="AS1023" s="1" t="s">
        <v>229</v>
      </c>
      <c r="AV1023" s="1" t="s">
        <v>200</v>
      </c>
      <c r="AW1023" s="1">
        <v>1842.38</v>
      </c>
      <c r="AX1023" s="1">
        <v>2012.0</v>
      </c>
      <c r="AY1023" s="1" t="s">
        <v>387</v>
      </c>
      <c r="AZ1023" s="1" t="s">
        <v>200</v>
      </c>
      <c r="BA1023" s="1" t="str">
        <f>"16091170240000"</f>
        <v>16091170240000</v>
      </c>
      <c r="BC1023" s="1">
        <v>1402.0</v>
      </c>
      <c r="BD1023" s="1">
        <v>70000.0</v>
      </c>
      <c r="BE1023" s="2">
        <v>41793.0</v>
      </c>
      <c r="BF1023" s="2" t="s">
        <v>11402</v>
      </c>
      <c r="BH1023" s="1">
        <v>0.0</v>
      </c>
      <c r="BK1023" s="1" t="s">
        <v>204</v>
      </c>
      <c r="BL1023" s="1" t="str">
        <f>"500"</f>
        <v>500</v>
      </c>
      <c r="BM1023" s="1" t="str">
        <f>"0"</f>
        <v>0</v>
      </c>
      <c r="BN1023" s="1">
        <v>5240.0</v>
      </c>
      <c r="BO1023" s="1">
        <v>0.0</v>
      </c>
      <c r="BQ1023" s="1">
        <v>299.0</v>
      </c>
      <c r="BR1023" s="1">
        <v>299.0</v>
      </c>
      <c r="BS1023" s="1">
        <v>299.0</v>
      </c>
      <c r="BU1023" s="1" t="s">
        <v>363</v>
      </c>
      <c r="BV1023" s="1" t="s">
        <v>206</v>
      </c>
      <c r="BW1023" s="1" t="s">
        <v>210</v>
      </c>
      <c r="BY1023" s="1" t="s">
        <v>2224</v>
      </c>
      <c r="BZ1023" s="1" t="s">
        <v>209</v>
      </c>
      <c r="CC1023" s="1" t="s">
        <v>363</v>
      </c>
      <c r="CD1023" s="1" t="s">
        <v>206</v>
      </c>
      <c r="CE1023" s="1" t="s">
        <v>210</v>
      </c>
      <c r="CG1023" s="1" t="s">
        <v>269</v>
      </c>
      <c r="CH1023" s="1" t="s">
        <v>206</v>
      </c>
      <c r="CK1023" s="1" t="s">
        <v>264</v>
      </c>
      <c r="CL1023" s="1" t="s">
        <v>206</v>
      </c>
      <c r="CO1023" s="1" t="s">
        <v>264</v>
      </c>
      <c r="CP1023" s="1" t="s">
        <v>209</v>
      </c>
      <c r="CS1023" s="1" t="s">
        <v>264</v>
      </c>
      <c r="CT1023" s="1" t="s">
        <v>206</v>
      </c>
      <c r="CU1023" s="1" t="s">
        <v>268</v>
      </c>
      <c r="CX1023" s="1" t="s">
        <v>204</v>
      </c>
      <c r="DA1023" s="1" t="s">
        <v>200</v>
      </c>
      <c r="DC1023" s="1" t="s">
        <v>642</v>
      </c>
      <c r="DD1023" s="1" t="s">
        <v>518</v>
      </c>
      <c r="DE1023" s="1" t="s">
        <v>229</v>
      </c>
      <c r="DF1023" s="1" t="s">
        <v>619</v>
      </c>
      <c r="DH1023" s="1" t="s">
        <v>365</v>
      </c>
      <c r="DI1023" s="1" t="s">
        <v>831</v>
      </c>
      <c r="DJ1023" s="1" t="s">
        <v>222</v>
      </c>
      <c r="DL1023" s="1" t="s">
        <v>223</v>
      </c>
      <c r="DM1023" s="1" t="s">
        <v>229</v>
      </c>
      <c r="DP1023" s="1" t="s">
        <v>340</v>
      </c>
      <c r="DQ1023" s="1" t="s">
        <v>228</v>
      </c>
      <c r="DR1023" s="1" t="s">
        <v>229</v>
      </c>
      <c r="DV1023" s="1" t="s">
        <v>374</v>
      </c>
      <c r="DW1023" s="1" t="s">
        <v>370</v>
      </c>
      <c r="DX1023" s="1" t="s">
        <v>234</v>
      </c>
      <c r="DY1023" s="1" t="s">
        <v>553</v>
      </c>
      <c r="DZ1023" s="1" t="s">
        <v>343</v>
      </c>
      <c r="EA1023" s="1" t="s">
        <v>644</v>
      </c>
      <c r="EC1023" s="1" t="s">
        <v>645</v>
      </c>
      <c r="EE1023" s="1" t="s">
        <v>522</v>
      </c>
      <c r="EG1023" s="1" t="s">
        <v>374</v>
      </c>
      <c r="EL1023" s="1" t="s">
        <v>516</v>
      </c>
      <c r="EM1023" s="1" t="s">
        <v>206</v>
      </c>
      <c r="EQ1023" s="1" t="s">
        <v>238</v>
      </c>
      <c r="EU1023" s="1" t="s">
        <v>238</v>
      </c>
      <c r="EY1023" s="1" t="s">
        <v>238</v>
      </c>
      <c r="FC1023" s="1" t="s">
        <v>238</v>
      </c>
      <c r="FF1023" s="1" t="s">
        <v>239</v>
      </c>
      <c r="FG1023" s="1" t="s">
        <v>192</v>
      </c>
      <c r="FH1023" s="1" t="s">
        <v>192</v>
      </c>
      <c r="FJ1023" s="1" t="s">
        <v>11403</v>
      </c>
      <c r="FK1023" s="1" t="s">
        <v>229</v>
      </c>
      <c r="FL1023" s="1" t="s">
        <v>5642</v>
      </c>
      <c r="FM1023" s="1">
        <v>15391.0</v>
      </c>
      <c r="FN1023" s="1" t="s">
        <v>5643</v>
      </c>
      <c r="FO1023" s="1" t="s">
        <v>11404</v>
      </c>
      <c r="FP1023" s="1">
        <v>185244.0</v>
      </c>
      <c r="FQ1023" s="1" t="s">
        <v>11405</v>
      </c>
      <c r="FU1023" s="1" t="s">
        <v>11406</v>
      </c>
      <c r="FV1023" s="1" t="s">
        <v>200</v>
      </c>
      <c r="FW1023" s="1" t="s">
        <v>11407</v>
      </c>
      <c r="FX1023" s="1" t="s">
        <v>246</v>
      </c>
      <c r="FZ1023" s="1" t="s">
        <v>229</v>
      </c>
      <c r="GA1023" s="1" t="s">
        <v>291</v>
      </c>
      <c r="GB1023" s="2">
        <v>42058.0</v>
      </c>
    </row>
    <row r="1024">
      <c r="A1024" s="1">
        <v>236000.0</v>
      </c>
      <c r="B1024" s="1" t="s">
        <v>185</v>
      </c>
      <c r="C1024" s="1" t="str">
        <f>"08630366"</f>
        <v>08630366</v>
      </c>
      <c r="D1024" s="1" t="s">
        <v>186</v>
      </c>
      <c r="F1024" s="1" t="str">
        <f>"542"</f>
        <v>542</v>
      </c>
      <c r="G1024" s="2">
        <v>41790.0</v>
      </c>
      <c r="H1024" s="1">
        <v>275000.0</v>
      </c>
      <c r="I1024" s="1">
        <v>145.0</v>
      </c>
      <c r="J1024" s="1">
        <v>245000.0</v>
      </c>
      <c r="K1024" s="2">
        <v>41934.0</v>
      </c>
      <c r="L1024" s="1">
        <v>145.0</v>
      </c>
      <c r="M1024" s="2">
        <v>41934.0</v>
      </c>
      <c r="N1024" s="1" t="s">
        <v>187</v>
      </c>
      <c r="O1024" s="2">
        <v>41991.0</v>
      </c>
      <c r="P1024" s="1">
        <v>214605.0</v>
      </c>
      <c r="Q1024" s="1">
        <v>25309.0</v>
      </c>
      <c r="S1024" s="1">
        <v>2100.0</v>
      </c>
      <c r="T1024" s="1" t="s">
        <v>11408</v>
      </c>
      <c r="U1024" s="1" t="s">
        <v>464</v>
      </c>
      <c r="V1024" s="1" t="s">
        <v>3984</v>
      </c>
      <c r="W1024" s="1">
        <v>60542.0</v>
      </c>
      <c r="Y1024" s="1" t="s">
        <v>11409</v>
      </c>
      <c r="Z1024" s="1">
        <v>2012.0</v>
      </c>
      <c r="AA1024" s="1" t="s">
        <v>200</v>
      </c>
      <c r="AB1024" s="1" t="s">
        <v>467</v>
      </c>
      <c r="AC1024" s="1" t="s">
        <v>11410</v>
      </c>
      <c r="AD1024" s="1" t="s">
        <v>3986</v>
      </c>
      <c r="AE1024" s="1" t="s">
        <v>325</v>
      </c>
      <c r="AF1024" s="1" t="s">
        <v>2702</v>
      </c>
      <c r="AG1024" s="1" t="s">
        <v>11411</v>
      </c>
      <c r="AH1024" s="1" t="s">
        <v>11412</v>
      </c>
      <c r="AI1024" s="1">
        <v>0.287</v>
      </c>
      <c r="AK1024" s="1">
        <v>8.0</v>
      </c>
      <c r="AL1024" s="1">
        <v>4.0</v>
      </c>
      <c r="AM1024" s="1">
        <v>2.0</v>
      </c>
      <c r="AN1024" s="1">
        <v>1.0</v>
      </c>
      <c r="AO1024" s="1" t="s">
        <v>198</v>
      </c>
      <c r="AP1024" s="1">
        <v>0.0</v>
      </c>
      <c r="AQ1024" s="1" t="s">
        <v>198</v>
      </c>
      <c r="AR1024" s="1" t="s">
        <v>200</v>
      </c>
      <c r="AS1024" s="1" t="s">
        <v>199</v>
      </c>
      <c r="AT1024" s="1">
        <v>2.0</v>
      </c>
      <c r="AV1024" s="1" t="s">
        <v>200</v>
      </c>
      <c r="AW1024" s="1">
        <v>7536.76</v>
      </c>
      <c r="AX1024" s="1">
        <v>2013.0</v>
      </c>
      <c r="AY1024" s="1" t="s">
        <v>387</v>
      </c>
      <c r="AZ1024" s="1" t="s">
        <v>200</v>
      </c>
      <c r="BA1024" s="1" t="str">
        <f>"1231152003"</f>
        <v>1231152003</v>
      </c>
      <c r="BC1024" s="1">
        <v>2050.0</v>
      </c>
      <c r="BD1024" s="1">
        <v>236000.0</v>
      </c>
      <c r="BE1024" s="2">
        <v>41790.0</v>
      </c>
      <c r="BF1024" s="2" t="s">
        <v>11413</v>
      </c>
      <c r="BH1024" s="1">
        <v>300.0</v>
      </c>
      <c r="BK1024" s="1" t="s">
        <v>580</v>
      </c>
      <c r="BL1024" s="1" t="str">
        <f t="shared" ref="BL1024:BM1024" si="679">""</f>
        <v/>
      </c>
      <c r="BM1024" s="1" t="str">
        <f t="shared" si="679"/>
        <v/>
      </c>
      <c r="BQ1024" s="1">
        <v>129.0</v>
      </c>
      <c r="BR1024" s="1">
        <v>129.0</v>
      </c>
      <c r="BS1024" s="1">
        <v>129.0</v>
      </c>
      <c r="BV1024" s="1" t="s">
        <v>204</v>
      </c>
      <c r="BY1024" s="1" t="s">
        <v>758</v>
      </c>
      <c r="BZ1024" s="1" t="s">
        <v>209</v>
      </c>
      <c r="CA1024" s="1" t="s">
        <v>210</v>
      </c>
      <c r="CB1024" s="1" t="s">
        <v>431</v>
      </c>
      <c r="CC1024" s="1" t="s">
        <v>393</v>
      </c>
      <c r="CD1024" s="1" t="s">
        <v>206</v>
      </c>
      <c r="CE1024" s="1" t="s">
        <v>207</v>
      </c>
      <c r="CF1024" s="1" t="s">
        <v>431</v>
      </c>
      <c r="CG1024" s="1" t="s">
        <v>1117</v>
      </c>
      <c r="CH1024" s="1" t="s">
        <v>209</v>
      </c>
      <c r="CI1024" s="1" t="s">
        <v>210</v>
      </c>
      <c r="CJ1024" s="1" t="s">
        <v>431</v>
      </c>
      <c r="CK1024" s="1" t="s">
        <v>331</v>
      </c>
      <c r="CL1024" s="1" t="s">
        <v>209</v>
      </c>
      <c r="CM1024" s="1" t="s">
        <v>210</v>
      </c>
      <c r="CN1024" s="1" t="s">
        <v>431</v>
      </c>
      <c r="CO1024" s="1" t="s">
        <v>699</v>
      </c>
      <c r="CP1024" s="1" t="s">
        <v>209</v>
      </c>
      <c r="CQ1024" s="1" t="s">
        <v>210</v>
      </c>
      <c r="CR1024" s="1" t="s">
        <v>431</v>
      </c>
      <c r="CS1024" s="1" t="s">
        <v>264</v>
      </c>
      <c r="CT1024" s="1" t="s">
        <v>206</v>
      </c>
      <c r="CU1024" s="1" t="s">
        <v>207</v>
      </c>
      <c r="CV1024" s="1" t="s">
        <v>431</v>
      </c>
      <c r="CW1024" s="1" t="s">
        <v>743</v>
      </c>
      <c r="CX1024" s="1" t="s">
        <v>206</v>
      </c>
      <c r="CY1024" s="1" t="s">
        <v>207</v>
      </c>
      <c r="CZ1024" s="1" t="s">
        <v>431</v>
      </c>
      <c r="DA1024" s="1" t="s">
        <v>200</v>
      </c>
      <c r="DC1024" s="1" t="s">
        <v>1046</v>
      </c>
      <c r="DD1024" s="1" t="s">
        <v>396</v>
      </c>
      <c r="DE1024" s="1" t="s">
        <v>273</v>
      </c>
      <c r="DF1024" s="1" t="s">
        <v>619</v>
      </c>
      <c r="DH1024" s="1" t="s">
        <v>220</v>
      </c>
      <c r="DI1024" s="1" t="s">
        <v>221</v>
      </c>
      <c r="DJ1024" s="1" t="s">
        <v>222</v>
      </c>
      <c r="DK1024" s="1" t="s">
        <v>223</v>
      </c>
      <c r="DL1024" s="1" t="s">
        <v>223</v>
      </c>
      <c r="DM1024" s="1" t="s">
        <v>229</v>
      </c>
      <c r="DO1024" s="1" t="s">
        <v>549</v>
      </c>
      <c r="DP1024" s="1" t="s">
        <v>340</v>
      </c>
      <c r="DQ1024" s="1" t="s">
        <v>441</v>
      </c>
      <c r="DR1024" s="1" t="s">
        <v>229</v>
      </c>
      <c r="DU1024" s="1" t="s">
        <v>1024</v>
      </c>
      <c r="DV1024" s="1" t="s">
        <v>11414</v>
      </c>
      <c r="DW1024" s="1" t="s">
        <v>588</v>
      </c>
      <c r="DX1024" s="1" t="s">
        <v>234</v>
      </c>
      <c r="DY1024" s="1" t="s">
        <v>596</v>
      </c>
      <c r="EA1024" s="1" t="s">
        <v>1075</v>
      </c>
      <c r="EC1024" s="1" t="s">
        <v>237</v>
      </c>
      <c r="ED1024" s="1" t="s">
        <v>407</v>
      </c>
      <c r="EE1024" s="1" t="s">
        <v>493</v>
      </c>
      <c r="EG1024" s="1" t="s">
        <v>409</v>
      </c>
      <c r="EH1024" s="1" t="s">
        <v>556</v>
      </c>
      <c r="EL1024" s="1" t="s">
        <v>1104</v>
      </c>
      <c r="EM1024" s="1" t="s">
        <v>209</v>
      </c>
      <c r="EN1024" s="1" t="s">
        <v>210</v>
      </c>
      <c r="EO1024" s="1" t="s">
        <v>229</v>
      </c>
      <c r="EP1024" s="1" t="s">
        <v>269</v>
      </c>
      <c r="EQ1024" s="1" t="s">
        <v>206</v>
      </c>
      <c r="ER1024" s="1" t="s">
        <v>207</v>
      </c>
      <c r="ES1024" s="1" t="s">
        <v>431</v>
      </c>
      <c r="EU1024" s="1" t="s">
        <v>238</v>
      </c>
      <c r="EY1024" s="1" t="s">
        <v>238</v>
      </c>
      <c r="FC1024" s="1" t="s">
        <v>238</v>
      </c>
      <c r="FF1024" s="1" t="s">
        <v>239</v>
      </c>
      <c r="FG1024" s="1" t="s">
        <v>192</v>
      </c>
      <c r="FH1024" s="1" t="s">
        <v>192</v>
      </c>
      <c r="FJ1024" s="1" t="s">
        <v>686</v>
      </c>
      <c r="FK1024" s="1" t="s">
        <v>229</v>
      </c>
      <c r="FL1024" s="1" t="s">
        <v>456</v>
      </c>
      <c r="FM1024" s="1">
        <v>49.0</v>
      </c>
      <c r="FN1024" s="1" t="s">
        <v>457</v>
      </c>
      <c r="FO1024" s="1" t="s">
        <v>11415</v>
      </c>
      <c r="FP1024" s="1">
        <v>8134.0</v>
      </c>
      <c r="FQ1024" s="1" t="s">
        <v>11416</v>
      </c>
      <c r="FR1024" s="1">
        <v>8405.0</v>
      </c>
      <c r="FS1024" s="1" t="s">
        <v>11417</v>
      </c>
      <c r="FU1024" s="1" t="s">
        <v>11418</v>
      </c>
      <c r="FV1024" s="1" t="s">
        <v>200</v>
      </c>
      <c r="FW1024" s="1" t="s">
        <v>290</v>
      </c>
      <c r="FZ1024" s="1" t="s">
        <v>229</v>
      </c>
      <c r="GA1024" s="1" t="s">
        <v>291</v>
      </c>
      <c r="GB1024" s="2">
        <v>41992.0</v>
      </c>
      <c r="GC1024" s="1" t="s">
        <v>11419</v>
      </c>
    </row>
    <row r="1025">
      <c r="A1025" s="1">
        <v>470000.0</v>
      </c>
      <c r="B1025" s="1" t="s">
        <v>185</v>
      </c>
      <c r="C1025" s="1" t="str">
        <f>"08626542"</f>
        <v>08626542</v>
      </c>
      <c r="D1025" s="1" t="s">
        <v>186</v>
      </c>
      <c r="F1025" s="1" t="str">
        <f>"145"</f>
        <v>145</v>
      </c>
      <c r="G1025" s="2">
        <v>41786.0</v>
      </c>
      <c r="H1025" s="1">
        <v>575000.0</v>
      </c>
      <c r="I1025" s="1">
        <v>163.0</v>
      </c>
      <c r="J1025" s="1">
        <v>475000.0</v>
      </c>
      <c r="K1025" s="2">
        <v>41948.0</v>
      </c>
      <c r="L1025" s="1">
        <v>163.0</v>
      </c>
      <c r="M1025" s="2">
        <v>41948.0</v>
      </c>
      <c r="N1025" s="1" t="s">
        <v>187</v>
      </c>
      <c r="O1025" s="2">
        <v>42019.0</v>
      </c>
      <c r="P1025" s="1">
        <v>77258.0</v>
      </c>
      <c r="Q1025" s="1">
        <v>7545.0</v>
      </c>
      <c r="S1025" s="1">
        <v>8262.0</v>
      </c>
      <c r="T1025" s="1" t="s">
        <v>11420</v>
      </c>
      <c r="U1025" s="1" t="s">
        <v>464</v>
      </c>
      <c r="V1025" s="1" t="s">
        <v>1782</v>
      </c>
      <c r="W1025" s="1">
        <v>60145.0</v>
      </c>
      <c r="Y1025" s="1" t="s">
        <v>11421</v>
      </c>
      <c r="Z1025" s="1">
        <v>2012.0</v>
      </c>
      <c r="AA1025" s="1" t="s">
        <v>200</v>
      </c>
      <c r="AB1025" s="1" t="s">
        <v>193</v>
      </c>
      <c r="AD1025" s="1" t="s">
        <v>1089</v>
      </c>
      <c r="AE1025" s="1" t="s">
        <v>613</v>
      </c>
      <c r="AF1025" s="1" t="s">
        <v>11422</v>
      </c>
      <c r="AH1025" s="1" t="s">
        <v>11423</v>
      </c>
      <c r="AI1025" s="1">
        <v>4.0</v>
      </c>
      <c r="AK1025" s="1">
        <v>8.0</v>
      </c>
      <c r="AL1025" s="1">
        <v>4.0</v>
      </c>
      <c r="AM1025" s="1">
        <v>3.0</v>
      </c>
      <c r="AN1025" s="1">
        <v>1.0</v>
      </c>
      <c r="AO1025" s="1" t="s">
        <v>198</v>
      </c>
      <c r="AP1025" s="1">
        <v>0.0</v>
      </c>
      <c r="AQ1025" s="1" t="s">
        <v>198</v>
      </c>
      <c r="AR1025" s="1" t="s">
        <v>200</v>
      </c>
      <c r="AS1025" s="1" t="s">
        <v>199</v>
      </c>
      <c r="AT1025" s="1">
        <v>4.0</v>
      </c>
      <c r="AV1025" s="1" t="s">
        <v>200</v>
      </c>
      <c r="AW1025" s="1">
        <v>11184.92</v>
      </c>
      <c r="AX1025" s="1">
        <v>2013.0</v>
      </c>
      <c r="AY1025" s="1" t="s">
        <v>387</v>
      </c>
      <c r="AZ1025" s="1" t="s">
        <v>200</v>
      </c>
      <c r="BA1025" s="1" t="str">
        <f>"0504100006"</f>
        <v>0504100006</v>
      </c>
      <c r="BC1025" s="1">
        <v>3490.0</v>
      </c>
      <c r="BD1025" s="1">
        <v>470000.0</v>
      </c>
      <c r="BE1025" s="2">
        <v>41786.0</v>
      </c>
      <c r="BF1025" s="2" t="s">
        <v>11424</v>
      </c>
      <c r="BH1025" s="1">
        <v>0.0</v>
      </c>
      <c r="BK1025" s="1" t="s">
        <v>204</v>
      </c>
      <c r="BL1025" s="1" t="str">
        <f t="shared" ref="BL1025:BM1025" si="680">""</f>
        <v/>
      </c>
      <c r="BM1025" s="1" t="str">
        <f t="shared" si="680"/>
        <v/>
      </c>
      <c r="BQ1025" s="1">
        <v>426.0</v>
      </c>
      <c r="BR1025" s="1">
        <v>426.0</v>
      </c>
      <c r="BS1025" s="1">
        <v>426.0</v>
      </c>
      <c r="BU1025" s="1" t="s">
        <v>434</v>
      </c>
      <c r="BV1025" s="1" t="s">
        <v>206</v>
      </c>
      <c r="BW1025" s="1" t="s">
        <v>207</v>
      </c>
      <c r="BX1025" s="1" t="s">
        <v>431</v>
      </c>
      <c r="BY1025" s="1" t="s">
        <v>3595</v>
      </c>
      <c r="BZ1025" s="1" t="s">
        <v>209</v>
      </c>
      <c r="CA1025" s="1" t="s">
        <v>210</v>
      </c>
      <c r="CB1025" s="1" t="s">
        <v>431</v>
      </c>
      <c r="CC1025" s="1" t="s">
        <v>663</v>
      </c>
      <c r="CD1025" s="1" t="s">
        <v>206</v>
      </c>
      <c r="CE1025" s="1" t="s">
        <v>207</v>
      </c>
      <c r="CF1025" s="1" t="s">
        <v>431</v>
      </c>
      <c r="CG1025" s="1" t="s">
        <v>332</v>
      </c>
      <c r="CH1025" s="1" t="s">
        <v>209</v>
      </c>
      <c r="CI1025" s="1" t="s">
        <v>210</v>
      </c>
      <c r="CJ1025" s="1" t="s">
        <v>431</v>
      </c>
      <c r="CK1025" s="1" t="s">
        <v>392</v>
      </c>
      <c r="CL1025" s="1" t="s">
        <v>209</v>
      </c>
      <c r="CM1025" s="1" t="s">
        <v>210</v>
      </c>
      <c r="CN1025" s="1" t="s">
        <v>431</v>
      </c>
      <c r="CO1025" s="1" t="s">
        <v>639</v>
      </c>
      <c r="CP1025" s="1" t="s">
        <v>206</v>
      </c>
      <c r="CQ1025" s="1" t="s">
        <v>210</v>
      </c>
      <c r="CR1025" s="1" t="s">
        <v>431</v>
      </c>
      <c r="CS1025" s="1" t="s">
        <v>208</v>
      </c>
      <c r="CT1025" s="1" t="s">
        <v>206</v>
      </c>
      <c r="CU1025" s="1" t="s">
        <v>207</v>
      </c>
      <c r="CV1025" s="1" t="s">
        <v>431</v>
      </c>
      <c r="CX1025" s="1" t="s">
        <v>204</v>
      </c>
      <c r="DA1025" s="1" t="s">
        <v>200</v>
      </c>
      <c r="DC1025" s="1" t="s">
        <v>1046</v>
      </c>
      <c r="DD1025" s="1" t="s">
        <v>759</v>
      </c>
      <c r="DE1025" s="1" t="s">
        <v>273</v>
      </c>
      <c r="DF1025" s="1" t="s">
        <v>588</v>
      </c>
      <c r="DH1025" s="1" t="s">
        <v>856</v>
      </c>
      <c r="DI1025" s="1" t="s">
        <v>6881</v>
      </c>
      <c r="DJ1025" s="1" t="s">
        <v>857</v>
      </c>
      <c r="DL1025" s="1" t="s">
        <v>223</v>
      </c>
      <c r="DM1025" s="1" t="s">
        <v>338</v>
      </c>
      <c r="DN1025" s="1" t="s">
        <v>11425</v>
      </c>
      <c r="DP1025" s="1" t="s">
        <v>340</v>
      </c>
      <c r="DQ1025" s="1" t="s">
        <v>2549</v>
      </c>
      <c r="DR1025" s="1" t="s">
        <v>229</v>
      </c>
      <c r="DS1025" s="1" t="s">
        <v>11426</v>
      </c>
      <c r="DU1025" s="1" t="s">
        <v>9002</v>
      </c>
      <c r="DV1025" s="1" t="s">
        <v>11427</v>
      </c>
      <c r="DW1025" s="1" t="s">
        <v>233</v>
      </c>
      <c r="DX1025" s="1" t="s">
        <v>234</v>
      </c>
      <c r="DY1025" s="1" t="s">
        <v>11428</v>
      </c>
      <c r="DZ1025" s="1" t="s">
        <v>1661</v>
      </c>
      <c r="EC1025" s="1" t="s">
        <v>237</v>
      </c>
      <c r="ED1025" s="1" t="s">
        <v>864</v>
      </c>
      <c r="EG1025" s="1" t="s">
        <v>341</v>
      </c>
      <c r="EI1025" s="1" t="s">
        <v>408</v>
      </c>
      <c r="EJ1025" s="1" t="s">
        <v>409</v>
      </c>
      <c r="EL1025" s="1" t="s">
        <v>729</v>
      </c>
      <c r="EM1025" s="1" t="s">
        <v>209</v>
      </c>
      <c r="EN1025" s="1" t="s">
        <v>207</v>
      </c>
      <c r="EO1025" s="1" t="s">
        <v>431</v>
      </c>
      <c r="EQ1025" s="1" t="s">
        <v>238</v>
      </c>
      <c r="ET1025" s="1" t="s">
        <v>363</v>
      </c>
      <c r="EU1025" s="1" t="s">
        <v>206</v>
      </c>
      <c r="EV1025" s="1" t="s">
        <v>207</v>
      </c>
      <c r="EX1025" s="1" t="s">
        <v>2749</v>
      </c>
      <c r="EY1025" s="1" t="s">
        <v>209</v>
      </c>
      <c r="EZ1025" s="1" t="s">
        <v>207</v>
      </c>
      <c r="FA1025" s="1" t="s">
        <v>431</v>
      </c>
      <c r="FC1025" s="1" t="s">
        <v>238</v>
      </c>
      <c r="FF1025" s="1" t="s">
        <v>239</v>
      </c>
      <c r="FG1025" s="1" t="s">
        <v>192</v>
      </c>
      <c r="FH1025" s="1" t="s">
        <v>192</v>
      </c>
      <c r="FJ1025" s="1" t="s">
        <v>498</v>
      </c>
      <c r="FK1025" s="1" t="s">
        <v>229</v>
      </c>
      <c r="FL1025" s="1" t="s">
        <v>1358</v>
      </c>
      <c r="FM1025" s="1">
        <v>23591.0</v>
      </c>
      <c r="FN1025" s="1" t="s">
        <v>2134</v>
      </c>
      <c r="FO1025" s="1" t="s">
        <v>11429</v>
      </c>
      <c r="FP1025" s="1">
        <v>238342.0</v>
      </c>
      <c r="FS1025" s="1" t="s">
        <v>11430</v>
      </c>
      <c r="FU1025" s="1" t="s">
        <v>11431</v>
      </c>
      <c r="FV1025" s="1" t="s">
        <v>200</v>
      </c>
      <c r="FW1025" s="1" t="s">
        <v>11432</v>
      </c>
      <c r="FZ1025" s="1" t="s">
        <v>229</v>
      </c>
      <c r="GA1025" s="1" t="s">
        <v>291</v>
      </c>
      <c r="GB1025" s="2">
        <v>42019.0</v>
      </c>
      <c r="GC1025" s="1" t="s">
        <v>11433</v>
      </c>
    </row>
    <row r="1026">
      <c r="A1026" s="1">
        <v>340000.0</v>
      </c>
      <c r="B1026" s="1" t="s">
        <v>185</v>
      </c>
      <c r="C1026" s="1" t="str">
        <f>"08638830"</f>
        <v>08638830</v>
      </c>
      <c r="D1026" s="1" t="s">
        <v>186</v>
      </c>
      <c r="F1026" s="1" t="str">
        <f>"134"</f>
        <v>134</v>
      </c>
      <c r="G1026" s="2">
        <v>41799.0</v>
      </c>
      <c r="H1026" s="1">
        <v>384900.0</v>
      </c>
      <c r="I1026" s="1">
        <v>206.0</v>
      </c>
      <c r="J1026" s="1">
        <v>349900.0</v>
      </c>
      <c r="K1026" s="2">
        <v>42004.0</v>
      </c>
      <c r="L1026" s="1">
        <v>206.0</v>
      </c>
      <c r="M1026" s="2">
        <v>42004.0</v>
      </c>
      <c r="N1026" s="1" t="s">
        <v>187</v>
      </c>
      <c r="O1026" s="2">
        <v>42048.0</v>
      </c>
      <c r="P1026" s="1">
        <v>315846.0</v>
      </c>
      <c r="Q1026" s="1">
        <v>31500.0</v>
      </c>
      <c r="S1026" s="1" t="s">
        <v>11434</v>
      </c>
      <c r="T1026" s="1" t="s">
        <v>11435</v>
      </c>
      <c r="U1026" s="1" t="s">
        <v>1174</v>
      </c>
      <c r="V1026" s="1" t="s">
        <v>421</v>
      </c>
      <c r="W1026" s="1">
        <v>60134.0</v>
      </c>
      <c r="Y1026" s="1" t="s">
        <v>11436</v>
      </c>
      <c r="Z1026" s="1">
        <v>2002.0</v>
      </c>
      <c r="AA1026" s="1" t="s">
        <v>200</v>
      </c>
      <c r="AB1026" s="1" t="s">
        <v>193</v>
      </c>
      <c r="AC1026" s="1" t="s">
        <v>7406</v>
      </c>
      <c r="AD1026" s="1" t="s">
        <v>1089</v>
      </c>
      <c r="AE1026" s="1" t="s">
        <v>325</v>
      </c>
      <c r="AF1026" s="1" t="s">
        <v>424</v>
      </c>
      <c r="AH1026" s="1" t="s">
        <v>11437</v>
      </c>
      <c r="AI1026" s="1">
        <v>0.2342</v>
      </c>
      <c r="AK1026" s="1">
        <v>11.0</v>
      </c>
      <c r="AL1026" s="1">
        <v>4.0</v>
      </c>
      <c r="AM1026" s="1">
        <v>2.0</v>
      </c>
      <c r="AN1026" s="1">
        <v>1.0</v>
      </c>
      <c r="AO1026" s="1" t="s">
        <v>198</v>
      </c>
      <c r="AP1026" s="1">
        <v>1.0</v>
      </c>
      <c r="AQ1026" s="1" t="s">
        <v>198</v>
      </c>
      <c r="AR1026" s="1" t="s">
        <v>200</v>
      </c>
      <c r="AS1026" s="1" t="s">
        <v>199</v>
      </c>
      <c r="AT1026" s="1">
        <v>2.0</v>
      </c>
      <c r="AV1026" s="1" t="s">
        <v>200</v>
      </c>
      <c r="AW1026" s="1">
        <v>11730.08</v>
      </c>
      <c r="AX1026" s="1">
        <v>2013.0</v>
      </c>
      <c r="AY1026" s="1" t="s">
        <v>387</v>
      </c>
      <c r="AZ1026" s="1" t="s">
        <v>200</v>
      </c>
      <c r="BA1026" s="1" t="str">
        <f>"1218179022"</f>
        <v>1218179022</v>
      </c>
      <c r="BC1026" s="1">
        <v>2867.0</v>
      </c>
      <c r="BD1026" s="1">
        <v>340000.0</v>
      </c>
      <c r="BE1026" s="2">
        <v>41799.0</v>
      </c>
      <c r="BF1026" s="2" t="s">
        <v>11438</v>
      </c>
      <c r="BH1026" s="1">
        <v>0.0</v>
      </c>
      <c r="BK1026" s="1" t="s">
        <v>204</v>
      </c>
      <c r="BL1026" s="1" t="str">
        <f t="shared" ref="BL1026:BM1026" si="681">""</f>
        <v/>
      </c>
      <c r="BM1026" s="1" t="str">
        <f t="shared" si="681"/>
        <v/>
      </c>
      <c r="BQ1026" s="1">
        <v>304.0</v>
      </c>
      <c r="BR1026" s="1">
        <v>304.0</v>
      </c>
      <c r="BS1026" s="1">
        <v>304.0</v>
      </c>
      <c r="BU1026" s="1" t="s">
        <v>2082</v>
      </c>
      <c r="BV1026" s="1" t="s">
        <v>206</v>
      </c>
      <c r="BW1026" s="1" t="s">
        <v>207</v>
      </c>
      <c r="BX1026" s="1" t="s">
        <v>239</v>
      </c>
      <c r="BY1026" s="1" t="s">
        <v>2442</v>
      </c>
      <c r="BZ1026" s="1" t="s">
        <v>209</v>
      </c>
      <c r="CA1026" s="1" t="s">
        <v>210</v>
      </c>
      <c r="CB1026" s="1" t="s">
        <v>239</v>
      </c>
      <c r="CC1026" s="1" t="s">
        <v>478</v>
      </c>
      <c r="CD1026" s="1" t="s">
        <v>206</v>
      </c>
      <c r="CE1026" s="1" t="s">
        <v>207</v>
      </c>
      <c r="CF1026" s="1" t="s">
        <v>239</v>
      </c>
      <c r="CG1026" s="1" t="s">
        <v>363</v>
      </c>
      <c r="CH1026" s="1" t="s">
        <v>209</v>
      </c>
      <c r="CI1026" s="1" t="s">
        <v>210</v>
      </c>
      <c r="CJ1026" s="1" t="s">
        <v>239</v>
      </c>
      <c r="CK1026" s="1" t="s">
        <v>2082</v>
      </c>
      <c r="CL1026" s="1" t="s">
        <v>209</v>
      </c>
      <c r="CM1026" s="1" t="s">
        <v>210</v>
      </c>
      <c r="CN1026" s="1" t="s">
        <v>239</v>
      </c>
      <c r="CO1026" s="1" t="s">
        <v>478</v>
      </c>
      <c r="CP1026" s="1" t="s">
        <v>209</v>
      </c>
      <c r="CQ1026" s="1" t="s">
        <v>210</v>
      </c>
      <c r="CR1026" s="1" t="s">
        <v>239</v>
      </c>
      <c r="CS1026" s="1" t="s">
        <v>5291</v>
      </c>
      <c r="CT1026" s="1" t="s">
        <v>206</v>
      </c>
      <c r="CU1026" s="1" t="s">
        <v>207</v>
      </c>
      <c r="CV1026" s="1" t="s">
        <v>239</v>
      </c>
      <c r="CW1026" s="1" t="s">
        <v>662</v>
      </c>
      <c r="CX1026" s="1" t="s">
        <v>206</v>
      </c>
      <c r="CY1026" s="1" t="s">
        <v>207</v>
      </c>
      <c r="CZ1026" s="1" t="s">
        <v>239</v>
      </c>
      <c r="DA1026" s="1" t="s">
        <v>200</v>
      </c>
      <c r="DC1026" s="1" t="s">
        <v>335</v>
      </c>
      <c r="DD1026" s="1" t="s">
        <v>272</v>
      </c>
      <c r="DE1026" s="1" t="s">
        <v>273</v>
      </c>
      <c r="DF1026" s="1" t="s">
        <v>219</v>
      </c>
      <c r="DG1026" s="1" t="s">
        <v>1266</v>
      </c>
      <c r="DH1026" s="1" t="s">
        <v>1603</v>
      </c>
      <c r="DI1026" s="1" t="s">
        <v>2257</v>
      </c>
      <c r="DJ1026" s="1" t="s">
        <v>222</v>
      </c>
      <c r="DL1026" s="1" t="s">
        <v>224</v>
      </c>
      <c r="DM1026" s="1" t="s">
        <v>929</v>
      </c>
      <c r="DN1026" s="1" t="s">
        <v>485</v>
      </c>
      <c r="DO1026" s="1" t="s">
        <v>486</v>
      </c>
      <c r="DP1026" s="1" t="s">
        <v>340</v>
      </c>
      <c r="DQ1026" s="1" t="s">
        <v>228</v>
      </c>
      <c r="DR1026" s="1" t="s">
        <v>229</v>
      </c>
      <c r="DU1026" s="1" t="s">
        <v>11439</v>
      </c>
      <c r="DV1026" s="1" t="s">
        <v>11290</v>
      </c>
      <c r="DW1026" s="1" t="s">
        <v>233</v>
      </c>
      <c r="DX1026" s="1" t="s">
        <v>234</v>
      </c>
      <c r="DY1026" s="1" t="s">
        <v>1051</v>
      </c>
      <c r="DZ1026" s="1" t="s">
        <v>11440</v>
      </c>
      <c r="EC1026" s="1" t="s">
        <v>237</v>
      </c>
      <c r="ED1026" s="1" t="s">
        <v>555</v>
      </c>
      <c r="EG1026" s="1" t="s">
        <v>494</v>
      </c>
      <c r="EH1026" s="1" t="s">
        <v>450</v>
      </c>
      <c r="EI1026" s="1" t="s">
        <v>451</v>
      </c>
      <c r="EL1026" s="1" t="s">
        <v>1352</v>
      </c>
      <c r="EM1026" s="1" t="s">
        <v>206</v>
      </c>
      <c r="EN1026" s="1" t="s">
        <v>210</v>
      </c>
      <c r="EO1026" s="1" t="s">
        <v>239</v>
      </c>
      <c r="EP1026" s="1" t="s">
        <v>1183</v>
      </c>
      <c r="EQ1026" s="1" t="s">
        <v>42</v>
      </c>
      <c r="ER1026" s="1" t="s">
        <v>210</v>
      </c>
      <c r="ET1026" s="1" t="s">
        <v>11441</v>
      </c>
      <c r="EU1026" s="1" t="s">
        <v>42</v>
      </c>
      <c r="EV1026" s="1" t="s">
        <v>210</v>
      </c>
      <c r="EY1026" s="1" t="s">
        <v>238</v>
      </c>
      <c r="FC1026" s="1" t="s">
        <v>238</v>
      </c>
      <c r="FF1026" s="1" t="s">
        <v>239</v>
      </c>
      <c r="FG1026" s="1" t="s">
        <v>192</v>
      </c>
      <c r="FH1026" s="1" t="s">
        <v>192</v>
      </c>
      <c r="FJ1026" s="1" t="s">
        <v>347</v>
      </c>
      <c r="FK1026" s="1" t="s">
        <v>229</v>
      </c>
      <c r="FL1026" s="1" t="s">
        <v>1212</v>
      </c>
      <c r="FM1026" s="1">
        <v>30.0</v>
      </c>
      <c r="FN1026" s="1" t="s">
        <v>1213</v>
      </c>
      <c r="FO1026" s="1" t="s">
        <v>3423</v>
      </c>
      <c r="FP1026" s="1">
        <v>148.0</v>
      </c>
      <c r="FQ1026" s="1" t="s">
        <v>3424</v>
      </c>
      <c r="FS1026" s="1" t="s">
        <v>3425</v>
      </c>
      <c r="FU1026" s="1" t="s">
        <v>11442</v>
      </c>
      <c r="FV1026" s="1" t="s">
        <v>200</v>
      </c>
      <c r="FW1026" s="1" t="s">
        <v>290</v>
      </c>
      <c r="FZ1026" s="1" t="s">
        <v>229</v>
      </c>
      <c r="GA1026" s="1" t="s">
        <v>291</v>
      </c>
      <c r="GB1026" s="2">
        <v>42048.0</v>
      </c>
      <c r="GC1026" s="1" t="s">
        <v>11443</v>
      </c>
    </row>
    <row r="1027">
      <c r="A1027" s="1">
        <v>400000.0</v>
      </c>
      <c r="B1027" s="1" t="s">
        <v>185</v>
      </c>
      <c r="C1027" s="1" t="str">
        <f>"08634146"</f>
        <v>08634146</v>
      </c>
      <c r="D1027" s="1" t="s">
        <v>186</v>
      </c>
      <c r="F1027" s="1" t="str">
        <f>"174"</f>
        <v>174</v>
      </c>
      <c r="G1027" s="2">
        <v>41794.0</v>
      </c>
      <c r="H1027" s="1">
        <v>450000.0</v>
      </c>
      <c r="I1027" s="1">
        <v>158.0</v>
      </c>
      <c r="J1027" s="1">
        <v>409000.0</v>
      </c>
      <c r="K1027" s="2">
        <v>41950.0</v>
      </c>
      <c r="L1027" s="1">
        <v>158.0</v>
      </c>
      <c r="M1027" s="2">
        <v>41950.0</v>
      </c>
      <c r="N1027" s="1" t="s">
        <v>249</v>
      </c>
      <c r="O1027" s="2">
        <v>41990.0</v>
      </c>
      <c r="P1027" s="1">
        <v>124469.0</v>
      </c>
      <c r="Q1027" s="1">
        <v>10646.0</v>
      </c>
      <c r="S1027" s="1">
        <v>1401.0</v>
      </c>
      <c r="T1027" s="1" t="s">
        <v>11444</v>
      </c>
      <c r="U1027" s="1" t="s">
        <v>189</v>
      </c>
      <c r="V1027" s="1" t="s">
        <v>1200</v>
      </c>
      <c r="W1027" s="1">
        <v>60174.0</v>
      </c>
      <c r="Y1027" s="1" t="s">
        <v>11445</v>
      </c>
      <c r="Z1027" s="1">
        <v>1996.0</v>
      </c>
      <c r="AA1027" s="1" t="s">
        <v>200</v>
      </c>
      <c r="AB1027" s="1" t="s">
        <v>193</v>
      </c>
      <c r="AC1027" s="1" t="s">
        <v>11446</v>
      </c>
      <c r="AD1027" s="1" t="s">
        <v>1203</v>
      </c>
      <c r="AE1027" s="1" t="s">
        <v>325</v>
      </c>
      <c r="AF1027" s="1" t="s">
        <v>1203</v>
      </c>
      <c r="AH1027" s="1" t="s">
        <v>11447</v>
      </c>
      <c r="AI1027" s="1">
        <v>0.243</v>
      </c>
      <c r="AK1027" s="1">
        <v>10.0</v>
      </c>
      <c r="AL1027" s="1">
        <v>4.0</v>
      </c>
      <c r="AM1027" s="1">
        <v>2.0</v>
      </c>
      <c r="AN1027" s="1">
        <v>1.0</v>
      </c>
      <c r="AO1027" s="1" t="s">
        <v>198</v>
      </c>
      <c r="AP1027" s="1">
        <v>1.0</v>
      </c>
      <c r="AQ1027" s="1" t="s">
        <v>198</v>
      </c>
      <c r="AR1027" s="1" t="s">
        <v>200</v>
      </c>
      <c r="AS1027" s="1" t="s">
        <v>199</v>
      </c>
      <c r="AT1027" s="1">
        <v>2.0</v>
      </c>
      <c r="AV1027" s="1" t="s">
        <v>200</v>
      </c>
      <c r="AW1027" s="1">
        <v>12411.96</v>
      </c>
      <c r="AX1027" s="1">
        <v>2013.0</v>
      </c>
      <c r="AY1027" s="1" t="s">
        <v>387</v>
      </c>
      <c r="AZ1027" s="1" t="s">
        <v>200</v>
      </c>
      <c r="BA1027" s="1" t="str">
        <f>"0924477003"</f>
        <v>0924477003</v>
      </c>
      <c r="BB1027" s="1" t="s">
        <v>200</v>
      </c>
      <c r="BC1027" s="1">
        <v>2551.0</v>
      </c>
      <c r="BD1027" s="1">
        <v>400000.0</v>
      </c>
      <c r="BE1027" s="2">
        <v>41793.0</v>
      </c>
      <c r="BF1027" s="2" t="s">
        <v>11448</v>
      </c>
      <c r="BG1027" s="1" t="s">
        <v>11449</v>
      </c>
      <c r="BH1027" s="1">
        <v>150.0</v>
      </c>
      <c r="BI1027" s="1" t="s">
        <v>2143</v>
      </c>
      <c r="BJ1027" s="1" t="s">
        <v>2144</v>
      </c>
      <c r="BK1027" s="1" t="s">
        <v>580</v>
      </c>
      <c r="BL1027" s="1" t="str">
        <f t="shared" ref="BL1027:BM1027" si="682">""</f>
        <v/>
      </c>
      <c r="BM1027" s="1" t="str">
        <f t="shared" si="682"/>
        <v/>
      </c>
      <c r="BQ1027" s="1">
        <v>303.0</v>
      </c>
      <c r="BR1027" s="1">
        <v>303.0</v>
      </c>
      <c r="BS1027" s="1">
        <v>303.0</v>
      </c>
      <c r="BU1027" s="1" t="s">
        <v>2713</v>
      </c>
      <c r="BV1027" s="1" t="s">
        <v>206</v>
      </c>
      <c r="BW1027" s="1" t="s">
        <v>207</v>
      </c>
      <c r="BX1027" s="1" t="s">
        <v>239</v>
      </c>
      <c r="BY1027" s="1" t="s">
        <v>2564</v>
      </c>
      <c r="BZ1027" s="1" t="s">
        <v>209</v>
      </c>
      <c r="CA1027" s="1" t="s">
        <v>210</v>
      </c>
      <c r="CB1027" s="1" t="s">
        <v>239</v>
      </c>
      <c r="CC1027" s="1" t="s">
        <v>1395</v>
      </c>
      <c r="CD1027" s="1" t="s">
        <v>206</v>
      </c>
      <c r="CE1027" s="1" t="s">
        <v>207</v>
      </c>
      <c r="CF1027" s="1" t="s">
        <v>239</v>
      </c>
      <c r="CG1027" s="1" t="s">
        <v>331</v>
      </c>
      <c r="CH1027" s="1" t="s">
        <v>209</v>
      </c>
      <c r="CI1027" s="1" t="s">
        <v>210</v>
      </c>
      <c r="CJ1027" s="1" t="s">
        <v>239</v>
      </c>
      <c r="CK1027" s="1" t="s">
        <v>264</v>
      </c>
      <c r="CL1027" s="1" t="s">
        <v>209</v>
      </c>
      <c r="CM1027" s="1" t="s">
        <v>210</v>
      </c>
      <c r="CN1027" s="1" t="s">
        <v>239</v>
      </c>
      <c r="CO1027" s="1" t="s">
        <v>331</v>
      </c>
      <c r="CP1027" s="1" t="s">
        <v>209</v>
      </c>
      <c r="CQ1027" s="1" t="s">
        <v>210</v>
      </c>
      <c r="CR1027" s="1" t="s">
        <v>239</v>
      </c>
      <c r="CS1027" s="1" t="s">
        <v>2273</v>
      </c>
      <c r="CT1027" s="1" t="s">
        <v>206</v>
      </c>
      <c r="CU1027" s="1" t="s">
        <v>207</v>
      </c>
      <c r="CV1027" s="1" t="s">
        <v>239</v>
      </c>
      <c r="CW1027" s="1" t="s">
        <v>496</v>
      </c>
      <c r="CX1027" s="1" t="s">
        <v>206</v>
      </c>
      <c r="CY1027" s="1" t="s">
        <v>210</v>
      </c>
      <c r="CZ1027" s="1" t="s">
        <v>239</v>
      </c>
      <c r="DA1027" s="1" t="s">
        <v>200</v>
      </c>
      <c r="DC1027" s="1" t="s">
        <v>678</v>
      </c>
      <c r="DD1027" s="1" t="s">
        <v>436</v>
      </c>
      <c r="DE1027" s="1" t="s">
        <v>273</v>
      </c>
      <c r="DF1027" s="1" t="s">
        <v>219</v>
      </c>
      <c r="DG1027" s="1" t="s">
        <v>482</v>
      </c>
      <c r="DH1027" s="1" t="s">
        <v>220</v>
      </c>
      <c r="DI1027" s="1" t="s">
        <v>1868</v>
      </c>
      <c r="DJ1027" s="1" t="s">
        <v>222</v>
      </c>
      <c r="DK1027" s="1" t="s">
        <v>223</v>
      </c>
      <c r="DL1027" s="1" t="s">
        <v>1267</v>
      </c>
      <c r="DM1027" s="1" t="s">
        <v>229</v>
      </c>
      <c r="DN1027" s="1" t="s">
        <v>399</v>
      </c>
      <c r="DO1027" s="1" t="s">
        <v>11450</v>
      </c>
      <c r="DP1027" s="1" t="s">
        <v>340</v>
      </c>
      <c r="DQ1027" s="1" t="s">
        <v>228</v>
      </c>
      <c r="DR1027" s="1" t="s">
        <v>229</v>
      </c>
      <c r="DU1027" s="1" t="s">
        <v>11451</v>
      </c>
      <c r="DV1027" s="1" t="s">
        <v>3592</v>
      </c>
      <c r="DW1027" s="1" t="s">
        <v>764</v>
      </c>
      <c r="DX1027" s="1" t="s">
        <v>234</v>
      </c>
      <c r="DY1027" s="1" t="s">
        <v>1559</v>
      </c>
      <c r="DZ1027" s="1" t="s">
        <v>11452</v>
      </c>
      <c r="EB1027" s="1" t="s">
        <v>492</v>
      </c>
      <c r="EC1027" s="1" t="s">
        <v>237</v>
      </c>
      <c r="ED1027" s="1" t="s">
        <v>407</v>
      </c>
      <c r="EG1027" s="1" t="s">
        <v>598</v>
      </c>
      <c r="EH1027" s="1" t="s">
        <v>450</v>
      </c>
      <c r="EI1027" s="1" t="s">
        <v>408</v>
      </c>
      <c r="EL1027" s="1" t="s">
        <v>300</v>
      </c>
      <c r="EM1027" s="1" t="s">
        <v>42</v>
      </c>
      <c r="EN1027" s="1" t="s">
        <v>210</v>
      </c>
      <c r="EP1027" s="1" t="s">
        <v>6943</v>
      </c>
      <c r="EQ1027" s="1" t="s">
        <v>42</v>
      </c>
      <c r="ER1027" s="1" t="s">
        <v>210</v>
      </c>
      <c r="ET1027" s="1" t="s">
        <v>264</v>
      </c>
      <c r="EU1027" s="1" t="s">
        <v>206</v>
      </c>
      <c r="EV1027" s="1" t="s">
        <v>207</v>
      </c>
      <c r="EW1027" s="1" t="s">
        <v>229</v>
      </c>
      <c r="EY1027" s="1" t="s">
        <v>238</v>
      </c>
      <c r="FC1027" s="1" t="s">
        <v>238</v>
      </c>
      <c r="FF1027" s="1" t="s">
        <v>239</v>
      </c>
      <c r="FG1027" s="1" t="s">
        <v>192</v>
      </c>
      <c r="FH1027" s="1" t="s">
        <v>192</v>
      </c>
      <c r="FJ1027" s="1" t="s">
        <v>524</v>
      </c>
      <c r="FK1027" s="1" t="s">
        <v>229</v>
      </c>
      <c r="FL1027" s="1" t="s">
        <v>11453</v>
      </c>
      <c r="FM1027" s="1">
        <v>439.0</v>
      </c>
      <c r="FN1027" s="1" t="s">
        <v>11454</v>
      </c>
      <c r="FO1027" s="1" t="s">
        <v>11455</v>
      </c>
      <c r="FP1027" s="1">
        <v>1212.0</v>
      </c>
      <c r="FQ1027" s="1" t="s">
        <v>11456</v>
      </c>
      <c r="FU1027" s="1" t="s">
        <v>11457</v>
      </c>
      <c r="FV1027" s="1" t="s">
        <v>200</v>
      </c>
      <c r="FW1027" s="1" t="s">
        <v>530</v>
      </c>
      <c r="FZ1027" s="1" t="s">
        <v>229</v>
      </c>
      <c r="GA1027" s="1" t="s">
        <v>291</v>
      </c>
      <c r="GB1027" s="2">
        <v>41990.0</v>
      </c>
      <c r="GC1027" s="1" t="s">
        <v>11458</v>
      </c>
    </row>
    <row r="1028">
      <c r="A1028" s="1">
        <v>325000.0</v>
      </c>
      <c r="B1028" s="1" t="s">
        <v>185</v>
      </c>
      <c r="C1028" s="1" t="str">
        <f>"08645021"</f>
        <v>08645021</v>
      </c>
      <c r="D1028" s="1" t="s">
        <v>186</v>
      </c>
      <c r="F1028" s="1" t="str">
        <f>"8056"</f>
        <v>8056</v>
      </c>
      <c r="G1028" s="2">
        <v>41804.0</v>
      </c>
      <c r="H1028" s="1">
        <v>349900.0</v>
      </c>
      <c r="I1028" s="1">
        <v>110.0</v>
      </c>
      <c r="J1028" s="1">
        <v>349900.0</v>
      </c>
      <c r="K1028" s="2">
        <v>41913.0</v>
      </c>
      <c r="L1028" s="1">
        <v>110.0</v>
      </c>
      <c r="M1028" s="2">
        <v>41913.0</v>
      </c>
      <c r="N1028" s="1" t="s">
        <v>187</v>
      </c>
      <c r="O1028" s="2">
        <v>41995.0</v>
      </c>
      <c r="P1028" s="1">
        <v>176078.0</v>
      </c>
      <c r="Q1028" s="1">
        <v>14062.0</v>
      </c>
      <c r="S1028" s="1">
        <v>5443.0</v>
      </c>
      <c r="T1028" s="1" t="s">
        <v>5114</v>
      </c>
      <c r="U1028" s="1" t="s">
        <v>189</v>
      </c>
      <c r="V1028" s="1" t="s">
        <v>190</v>
      </c>
      <c r="W1028" s="1">
        <v>60638.0</v>
      </c>
      <c r="Y1028" s="1" t="s">
        <v>11459</v>
      </c>
      <c r="Z1028" s="1">
        <v>1951.0</v>
      </c>
      <c r="AA1028" s="1" t="s">
        <v>192</v>
      </c>
      <c r="AB1028" s="1" t="s">
        <v>193</v>
      </c>
      <c r="AD1028" s="1" t="s">
        <v>194</v>
      </c>
      <c r="AE1028" s="1" t="s">
        <v>195</v>
      </c>
      <c r="AF1028" s="1" t="s">
        <v>659</v>
      </c>
      <c r="AH1028" s="1" t="s">
        <v>3342</v>
      </c>
      <c r="AI1028" s="1">
        <v>0.1148</v>
      </c>
      <c r="AK1028" s="1">
        <v>8.0</v>
      </c>
      <c r="AL1028" s="1">
        <v>4.0</v>
      </c>
      <c r="AM1028" s="1">
        <v>4.0</v>
      </c>
      <c r="AN1028" s="1">
        <v>0.0</v>
      </c>
      <c r="AO1028" s="1" t="s">
        <v>198</v>
      </c>
      <c r="AQ1028" s="1" t="s">
        <v>198</v>
      </c>
      <c r="AR1028" s="1" t="s">
        <v>192</v>
      </c>
      <c r="AS1028" s="1" t="s">
        <v>199</v>
      </c>
      <c r="AT1028" s="1">
        <v>2.0</v>
      </c>
      <c r="AV1028" s="1" t="s">
        <v>200</v>
      </c>
      <c r="AW1028" s="1">
        <v>4721.59</v>
      </c>
      <c r="AX1028" s="1">
        <v>2012.0</v>
      </c>
      <c r="AY1028" s="1" t="s">
        <v>229</v>
      </c>
      <c r="AZ1028" s="1" t="s">
        <v>200</v>
      </c>
      <c r="BA1028" s="1" t="str">
        <f>"19074310320000"</f>
        <v>19074310320000</v>
      </c>
      <c r="BC1028" s="1">
        <v>2033.0</v>
      </c>
      <c r="BD1028" s="1">
        <v>325000.0</v>
      </c>
      <c r="BE1028" s="2">
        <v>41804.0</v>
      </c>
      <c r="BF1028" s="2" t="s">
        <v>11460</v>
      </c>
      <c r="BH1028" s="1">
        <v>0.0</v>
      </c>
      <c r="BK1028" s="1" t="s">
        <v>204</v>
      </c>
      <c r="BL1028" s="1" t="str">
        <f t="shared" ref="BL1028:BM1028" si="683">"0"</f>
        <v>0</v>
      </c>
      <c r="BM1028" s="1" t="str">
        <f t="shared" si="683"/>
        <v>0</v>
      </c>
      <c r="BN1028" s="1">
        <v>6400.0</v>
      </c>
      <c r="BO1028" s="1">
        <v>5500.0</v>
      </c>
      <c r="BQ1028" s="1">
        <v>299.0</v>
      </c>
      <c r="BR1028" s="1">
        <v>299.0</v>
      </c>
      <c r="BS1028" s="1">
        <v>299.0</v>
      </c>
      <c r="BU1028" s="1" t="s">
        <v>1623</v>
      </c>
      <c r="BV1028" s="1" t="s">
        <v>206</v>
      </c>
      <c r="BW1028" s="1" t="s">
        <v>207</v>
      </c>
      <c r="BX1028" s="1" t="s">
        <v>431</v>
      </c>
      <c r="BY1028" s="1" t="s">
        <v>544</v>
      </c>
      <c r="BZ1028" s="1" t="s">
        <v>209</v>
      </c>
      <c r="CA1028" s="1" t="s">
        <v>210</v>
      </c>
      <c r="CB1028" s="1" t="s">
        <v>239</v>
      </c>
      <c r="CC1028" s="1" t="s">
        <v>516</v>
      </c>
      <c r="CD1028" s="1" t="s">
        <v>206</v>
      </c>
      <c r="CE1028" s="1" t="s">
        <v>268</v>
      </c>
      <c r="CF1028" s="1" t="s">
        <v>431</v>
      </c>
      <c r="CG1028" s="1" t="s">
        <v>393</v>
      </c>
      <c r="CH1028" s="1" t="s">
        <v>209</v>
      </c>
      <c r="CI1028" s="1" t="s">
        <v>210</v>
      </c>
      <c r="CJ1028" s="1" t="s">
        <v>431</v>
      </c>
      <c r="CK1028" s="1" t="s">
        <v>269</v>
      </c>
      <c r="CL1028" s="1" t="s">
        <v>206</v>
      </c>
      <c r="CM1028" s="1" t="s">
        <v>207</v>
      </c>
      <c r="CO1028" s="1" t="s">
        <v>699</v>
      </c>
      <c r="CP1028" s="1" t="s">
        <v>206</v>
      </c>
      <c r="CQ1028" s="1" t="s">
        <v>207</v>
      </c>
      <c r="CS1028" s="1" t="s">
        <v>1672</v>
      </c>
      <c r="CT1028" s="1" t="s">
        <v>206</v>
      </c>
      <c r="CU1028" s="1" t="s">
        <v>268</v>
      </c>
      <c r="CV1028" s="1" t="s">
        <v>431</v>
      </c>
      <c r="CW1028" s="1" t="s">
        <v>1875</v>
      </c>
      <c r="CX1028" s="1" t="s">
        <v>209</v>
      </c>
      <c r="CY1028" s="1" t="s">
        <v>301</v>
      </c>
      <c r="CZ1028" s="1" t="s">
        <v>431</v>
      </c>
      <c r="DA1028" s="1" t="s">
        <v>200</v>
      </c>
      <c r="DC1028" s="1" t="s">
        <v>702</v>
      </c>
      <c r="DE1028" s="1" t="s">
        <v>3750</v>
      </c>
      <c r="DF1028" s="1" t="s">
        <v>619</v>
      </c>
      <c r="DH1028" s="1" t="s">
        <v>365</v>
      </c>
      <c r="DJ1028" s="1" t="s">
        <v>1048</v>
      </c>
      <c r="DL1028" s="1" t="s">
        <v>224</v>
      </c>
      <c r="DM1028" s="1" t="s">
        <v>229</v>
      </c>
      <c r="DN1028" s="1" t="s">
        <v>439</v>
      </c>
      <c r="DQ1028" s="1" t="s">
        <v>228</v>
      </c>
      <c r="DR1028" s="1" t="s">
        <v>229</v>
      </c>
      <c r="DV1028" s="1" t="s">
        <v>232</v>
      </c>
      <c r="DW1028" s="1" t="s">
        <v>444</v>
      </c>
      <c r="DX1028" s="1" t="s">
        <v>234</v>
      </c>
      <c r="DY1028" s="1" t="s">
        <v>11461</v>
      </c>
      <c r="EC1028" s="1" t="s">
        <v>237</v>
      </c>
      <c r="EM1028" s="1" t="s">
        <v>238</v>
      </c>
      <c r="EQ1028" s="1" t="s">
        <v>238</v>
      </c>
      <c r="EU1028" s="1" t="s">
        <v>238</v>
      </c>
      <c r="EY1028" s="1" t="s">
        <v>238</v>
      </c>
      <c r="FC1028" s="1" t="s">
        <v>238</v>
      </c>
      <c r="FF1028" s="1" t="s">
        <v>239</v>
      </c>
      <c r="FG1028" s="1" t="s">
        <v>192</v>
      </c>
      <c r="FH1028" s="1" t="s">
        <v>192</v>
      </c>
      <c r="FJ1028" s="1" t="s">
        <v>11462</v>
      </c>
      <c r="FK1028" s="1" t="s">
        <v>229</v>
      </c>
      <c r="FL1028" s="1" t="s">
        <v>5704</v>
      </c>
      <c r="FM1028" s="1">
        <v>22616.0</v>
      </c>
      <c r="FN1028" s="1" t="s">
        <v>5705</v>
      </c>
      <c r="FO1028" s="1" t="s">
        <v>11463</v>
      </c>
      <c r="FP1028" s="1">
        <v>235879.0</v>
      </c>
      <c r="FQ1028" s="1" t="s">
        <v>5705</v>
      </c>
      <c r="FU1028" s="1" t="s">
        <v>11464</v>
      </c>
      <c r="FV1028" s="1" t="s">
        <v>200</v>
      </c>
      <c r="FW1028" s="1" t="s">
        <v>11465</v>
      </c>
      <c r="FX1028" s="1" t="s">
        <v>655</v>
      </c>
      <c r="FZ1028" s="1" t="s">
        <v>229</v>
      </c>
      <c r="GA1028" s="1" t="s">
        <v>291</v>
      </c>
      <c r="GB1028" s="2">
        <v>41995.0</v>
      </c>
      <c r="GC1028" s="1" t="s">
        <v>11466</v>
      </c>
    </row>
    <row r="1029">
      <c r="A1029" s="1">
        <v>298818.0</v>
      </c>
      <c r="B1029" s="1" t="s">
        <v>185</v>
      </c>
      <c r="C1029" s="1" t="str">
        <f>"08634750"</f>
        <v>08634750</v>
      </c>
      <c r="D1029" s="1" t="s">
        <v>186</v>
      </c>
      <c r="F1029" s="1" t="str">
        <f>"123"</f>
        <v>123</v>
      </c>
      <c r="G1029" s="2">
        <v>41794.0</v>
      </c>
      <c r="H1029" s="1">
        <v>249995.0</v>
      </c>
      <c r="I1029" s="1">
        <v>1.0</v>
      </c>
      <c r="J1029" s="1">
        <v>249995.0</v>
      </c>
      <c r="K1029" s="2">
        <v>41794.0</v>
      </c>
      <c r="L1029" s="1">
        <v>1.0</v>
      </c>
      <c r="M1029" s="2">
        <v>41794.0</v>
      </c>
      <c r="N1029" s="1" t="s">
        <v>356</v>
      </c>
      <c r="O1029" s="2">
        <v>42032.0</v>
      </c>
      <c r="P1029" s="1">
        <v>237234.0</v>
      </c>
      <c r="Q1029" s="1">
        <v>22448.0</v>
      </c>
      <c r="S1029" s="1">
        <v>3668.0</v>
      </c>
      <c r="T1029" s="1" t="s">
        <v>11467</v>
      </c>
      <c r="U1029" s="1" t="s">
        <v>569</v>
      </c>
      <c r="V1029" s="1" t="s">
        <v>465</v>
      </c>
      <c r="W1029" s="1">
        <v>60124.0</v>
      </c>
      <c r="Y1029" s="1" t="s">
        <v>11468</v>
      </c>
      <c r="Z1029" s="1">
        <v>2014.0</v>
      </c>
      <c r="AA1029" s="1" t="s">
        <v>200</v>
      </c>
      <c r="AB1029" s="1" t="s">
        <v>193</v>
      </c>
      <c r="AC1029" s="1" t="s">
        <v>571</v>
      </c>
      <c r="AD1029" s="1" t="s">
        <v>469</v>
      </c>
      <c r="AE1029" s="1" t="s">
        <v>325</v>
      </c>
      <c r="AF1029" s="1" t="s">
        <v>572</v>
      </c>
      <c r="AG1029" s="1" t="s">
        <v>11469</v>
      </c>
      <c r="AH1029" s="1" t="s">
        <v>11470</v>
      </c>
      <c r="AI1029" s="1">
        <v>0.3</v>
      </c>
      <c r="AK1029" s="1">
        <v>8.0</v>
      </c>
      <c r="AL1029" s="1">
        <v>4.0</v>
      </c>
      <c r="AM1029" s="1">
        <v>2.0</v>
      </c>
      <c r="AN1029" s="1">
        <v>1.0</v>
      </c>
      <c r="AO1029" s="1" t="s">
        <v>198</v>
      </c>
      <c r="AP1029" s="1">
        <v>1.0</v>
      </c>
      <c r="AQ1029" s="1" t="s">
        <v>198</v>
      </c>
      <c r="AR1029" s="1" t="s">
        <v>200</v>
      </c>
      <c r="AS1029" s="1" t="s">
        <v>199</v>
      </c>
      <c r="AT1029" s="1">
        <v>2.0</v>
      </c>
      <c r="AV1029" s="1" t="s">
        <v>200</v>
      </c>
      <c r="AW1029" s="1" t="s">
        <v>575</v>
      </c>
      <c r="AX1029" s="1">
        <v>2012.0</v>
      </c>
      <c r="AZ1029" s="1" t="s">
        <v>200</v>
      </c>
      <c r="BA1029" s="1" t="str">
        <f>"0525300006"</f>
        <v>0525300006</v>
      </c>
      <c r="BC1029" s="1">
        <v>2423.0</v>
      </c>
      <c r="BD1029" s="1">
        <v>298818.0</v>
      </c>
      <c r="BE1029" s="2">
        <v>41794.0</v>
      </c>
      <c r="BF1029" s="2" t="s">
        <v>11471</v>
      </c>
      <c r="BG1029" s="1" t="s">
        <v>577</v>
      </c>
      <c r="BH1029" s="1">
        <v>421.0</v>
      </c>
      <c r="BI1029" s="1" t="s">
        <v>578</v>
      </c>
      <c r="BJ1029" s="1" t="s">
        <v>579</v>
      </c>
      <c r="BK1029" s="1" t="s">
        <v>580</v>
      </c>
      <c r="BL1029" s="1" t="str">
        <f>"9"</f>
        <v>9</v>
      </c>
      <c r="BM1029" s="1" t="str">
        <f>"0"</f>
        <v>0</v>
      </c>
      <c r="BN1029" s="1">
        <v>37.0</v>
      </c>
      <c r="BO1029" s="1">
        <v>0.0</v>
      </c>
      <c r="BQ1029" s="1">
        <v>301.0</v>
      </c>
      <c r="BR1029" s="1">
        <v>301.0</v>
      </c>
      <c r="BS1029" s="1">
        <v>301.0</v>
      </c>
      <c r="BU1029" s="1" t="s">
        <v>758</v>
      </c>
      <c r="BV1029" s="1" t="s">
        <v>206</v>
      </c>
      <c r="BW1029" s="1" t="s">
        <v>210</v>
      </c>
      <c r="BX1029" s="1" t="s">
        <v>229</v>
      </c>
      <c r="BY1029" s="1" t="s">
        <v>432</v>
      </c>
      <c r="BZ1029" s="1" t="s">
        <v>209</v>
      </c>
      <c r="CA1029" s="1" t="s">
        <v>210</v>
      </c>
      <c r="CB1029" s="1" t="s">
        <v>229</v>
      </c>
      <c r="CC1029" s="1" t="s">
        <v>11472</v>
      </c>
      <c r="CD1029" s="1" t="s">
        <v>206</v>
      </c>
      <c r="CE1029" s="1" t="s">
        <v>210</v>
      </c>
      <c r="CF1029" s="1" t="s">
        <v>229</v>
      </c>
      <c r="CG1029" s="1" t="s">
        <v>497</v>
      </c>
      <c r="CH1029" s="1" t="s">
        <v>209</v>
      </c>
      <c r="CI1029" s="1" t="s">
        <v>210</v>
      </c>
      <c r="CJ1029" s="1" t="s">
        <v>229</v>
      </c>
      <c r="CK1029" s="1" t="s">
        <v>212</v>
      </c>
      <c r="CL1029" s="1" t="s">
        <v>209</v>
      </c>
      <c r="CM1029" s="1" t="s">
        <v>210</v>
      </c>
      <c r="CN1029" s="1" t="s">
        <v>229</v>
      </c>
      <c r="CO1029" s="1" t="s">
        <v>264</v>
      </c>
      <c r="CP1029" s="1" t="s">
        <v>209</v>
      </c>
      <c r="CQ1029" s="1" t="s">
        <v>210</v>
      </c>
      <c r="CR1029" s="1" t="s">
        <v>229</v>
      </c>
      <c r="CS1029" s="1" t="s">
        <v>1892</v>
      </c>
      <c r="CT1029" s="1" t="s">
        <v>206</v>
      </c>
      <c r="CU1029" s="1" t="s">
        <v>207</v>
      </c>
      <c r="CV1029" s="1" t="s">
        <v>229</v>
      </c>
      <c r="CW1029" s="1" t="s">
        <v>616</v>
      </c>
      <c r="CX1029" s="1" t="s">
        <v>206</v>
      </c>
      <c r="CY1029" s="1" t="s">
        <v>210</v>
      </c>
      <c r="CZ1029" s="1" t="s">
        <v>229</v>
      </c>
      <c r="DA1029" s="1" t="s">
        <v>192</v>
      </c>
      <c r="DB1029" s="2">
        <v>41943.0</v>
      </c>
      <c r="DC1029" s="1" t="s">
        <v>744</v>
      </c>
      <c r="DD1029" s="1" t="s">
        <v>786</v>
      </c>
      <c r="DE1029" s="1" t="s">
        <v>273</v>
      </c>
      <c r="DF1029" s="1" t="s">
        <v>219</v>
      </c>
      <c r="DG1029" s="1" t="s">
        <v>587</v>
      </c>
      <c r="DH1029" s="1" t="s">
        <v>220</v>
      </c>
      <c r="DI1029" s="1" t="s">
        <v>589</v>
      </c>
      <c r="DJ1029" s="1" t="s">
        <v>222</v>
      </c>
      <c r="DL1029" s="1" t="s">
        <v>223</v>
      </c>
      <c r="DM1029" s="1" t="s">
        <v>338</v>
      </c>
      <c r="DN1029" s="1" t="s">
        <v>485</v>
      </c>
      <c r="DP1029" s="1" t="s">
        <v>340</v>
      </c>
      <c r="DQ1029" s="1" t="s">
        <v>441</v>
      </c>
      <c r="DR1029" s="1" t="s">
        <v>588</v>
      </c>
      <c r="DS1029" s="1" t="s">
        <v>591</v>
      </c>
      <c r="DT1029" s="1" t="s">
        <v>11473</v>
      </c>
      <c r="DU1029" s="1" t="s">
        <v>10083</v>
      </c>
      <c r="DV1029" s="1" t="s">
        <v>232</v>
      </c>
      <c r="DW1029" s="1" t="s">
        <v>3465</v>
      </c>
      <c r="DX1029" s="1" t="s">
        <v>234</v>
      </c>
      <c r="DY1029" s="1" t="s">
        <v>1051</v>
      </c>
      <c r="DZ1029" s="1" t="s">
        <v>405</v>
      </c>
      <c r="EA1029" s="1" t="s">
        <v>447</v>
      </c>
      <c r="EB1029" s="1" t="s">
        <v>597</v>
      </c>
      <c r="EC1029" s="1" t="s">
        <v>237</v>
      </c>
      <c r="ED1029" s="1" t="s">
        <v>407</v>
      </c>
      <c r="EM1029" s="1" t="s">
        <v>238</v>
      </c>
      <c r="EQ1029" s="1" t="s">
        <v>238</v>
      </c>
      <c r="EU1029" s="1" t="s">
        <v>238</v>
      </c>
      <c r="EY1029" s="1" t="s">
        <v>238</v>
      </c>
      <c r="FC1029" s="1" t="s">
        <v>238</v>
      </c>
      <c r="FF1029" s="1" t="s">
        <v>239</v>
      </c>
      <c r="FG1029" s="1" t="s">
        <v>192</v>
      </c>
      <c r="FH1029" s="1" t="s">
        <v>192</v>
      </c>
      <c r="FJ1029" s="1" t="s">
        <v>11474</v>
      </c>
      <c r="FK1029" s="1" t="s">
        <v>601</v>
      </c>
      <c r="FL1029" s="1" t="s">
        <v>602</v>
      </c>
      <c r="FM1029" s="1">
        <v>25645.0</v>
      </c>
      <c r="FN1029" s="1" t="s">
        <v>603</v>
      </c>
      <c r="FO1029" s="1" t="s">
        <v>604</v>
      </c>
      <c r="FP1029" s="1">
        <v>80455.0</v>
      </c>
      <c r="FT1029" s="1" t="s">
        <v>605</v>
      </c>
      <c r="FU1029" s="1" t="s">
        <v>11475</v>
      </c>
      <c r="FV1029" s="1" t="s">
        <v>200</v>
      </c>
      <c r="FW1029" s="1" t="s">
        <v>607</v>
      </c>
      <c r="FZ1029" s="1" t="s">
        <v>229</v>
      </c>
      <c r="GA1029" s="1" t="s">
        <v>291</v>
      </c>
      <c r="GB1029" s="2">
        <v>42034.0</v>
      </c>
      <c r="GC1029" s="1" t="s">
        <v>11476</v>
      </c>
    </row>
    <row r="1030">
      <c r="A1030" s="1">
        <v>110000.0</v>
      </c>
      <c r="B1030" s="1" t="s">
        <v>185</v>
      </c>
      <c r="C1030" s="1" t="str">
        <f>"08636344"</f>
        <v>08636344</v>
      </c>
      <c r="D1030" s="1" t="s">
        <v>186</v>
      </c>
      <c r="F1030" s="1" t="str">
        <f>"8063"</f>
        <v>8063</v>
      </c>
      <c r="G1030" s="2">
        <v>41795.0</v>
      </c>
      <c r="H1030" s="1">
        <v>107000.0</v>
      </c>
      <c r="I1030" s="1">
        <v>215.0</v>
      </c>
      <c r="J1030" s="1">
        <v>110000.0</v>
      </c>
      <c r="K1030" s="2">
        <v>42009.0</v>
      </c>
      <c r="L1030" s="1">
        <v>215.0</v>
      </c>
      <c r="M1030" s="2">
        <v>42009.0</v>
      </c>
      <c r="N1030" s="1" t="s">
        <v>187</v>
      </c>
      <c r="O1030" s="2">
        <v>42101.0</v>
      </c>
      <c r="P1030" s="1">
        <v>146443.0</v>
      </c>
      <c r="Q1030" s="1">
        <v>14856.0</v>
      </c>
      <c r="S1030" s="1">
        <v>5602.0</v>
      </c>
      <c r="T1030" s="1" t="s">
        <v>11477</v>
      </c>
      <c r="U1030" s="1" t="s">
        <v>320</v>
      </c>
      <c r="V1030" s="1" t="s">
        <v>190</v>
      </c>
      <c r="W1030" s="1">
        <v>60629.0</v>
      </c>
      <c r="Y1030" s="1" t="s">
        <v>11478</v>
      </c>
      <c r="Z1030" s="1">
        <v>1923.0</v>
      </c>
      <c r="AA1030" s="1" t="s">
        <v>192</v>
      </c>
      <c r="AB1030" s="1" t="s">
        <v>193</v>
      </c>
      <c r="AD1030" s="1" t="s">
        <v>194</v>
      </c>
      <c r="AE1030" s="1" t="s">
        <v>195</v>
      </c>
      <c r="AF1030" s="1" t="s">
        <v>659</v>
      </c>
      <c r="AH1030" s="1" t="s">
        <v>359</v>
      </c>
      <c r="AK1030" s="1">
        <v>9.0</v>
      </c>
      <c r="AL1030" s="1">
        <v>4.0</v>
      </c>
      <c r="AM1030" s="1">
        <v>2.0</v>
      </c>
      <c r="AN1030" s="1">
        <v>0.0</v>
      </c>
      <c r="AO1030" s="1" t="s">
        <v>229</v>
      </c>
      <c r="AQ1030" s="1" t="s">
        <v>327</v>
      </c>
      <c r="AR1030" s="1" t="s">
        <v>192</v>
      </c>
      <c r="AS1030" s="1" t="s">
        <v>199</v>
      </c>
      <c r="AT1030" s="1">
        <v>2.0</v>
      </c>
      <c r="AV1030" s="1" t="s">
        <v>200</v>
      </c>
      <c r="AW1030" s="5">
        <v>1485.1</v>
      </c>
      <c r="AX1030" s="1">
        <v>2013.0</v>
      </c>
      <c r="AY1030" s="1" t="s">
        <v>387</v>
      </c>
      <c r="AZ1030" s="1" t="s">
        <v>200</v>
      </c>
      <c r="BA1030" s="1" t="str">
        <f>"19131120220000"</f>
        <v>19131120220000</v>
      </c>
      <c r="BB1030" s="1" t="s">
        <v>200</v>
      </c>
      <c r="BC1030" s="1">
        <v>0.0</v>
      </c>
      <c r="BD1030" s="1">
        <v>110000.0</v>
      </c>
      <c r="BE1030" s="2">
        <v>41795.0</v>
      </c>
      <c r="BF1030" s="2" t="s">
        <v>11479</v>
      </c>
      <c r="BH1030" s="1">
        <v>0.0</v>
      </c>
      <c r="BK1030" s="1" t="s">
        <v>204</v>
      </c>
      <c r="BL1030" s="1" t="str">
        <f t="shared" ref="BL1030:BM1030" si="684">"0"</f>
        <v>0</v>
      </c>
      <c r="BM1030" s="1" t="str">
        <f t="shared" si="684"/>
        <v>0</v>
      </c>
      <c r="BN1030" s="1">
        <v>3100.0</v>
      </c>
      <c r="BO1030" s="1">
        <v>5600.0</v>
      </c>
      <c r="BQ1030" s="1">
        <v>299.0</v>
      </c>
      <c r="BR1030" s="1">
        <v>299.0</v>
      </c>
      <c r="BS1030" s="1">
        <v>299.0</v>
      </c>
      <c r="BU1030" s="1" t="s">
        <v>393</v>
      </c>
      <c r="BV1030" s="1" t="s">
        <v>206</v>
      </c>
      <c r="BW1030" s="1" t="s">
        <v>210</v>
      </c>
      <c r="BX1030" s="1" t="s">
        <v>431</v>
      </c>
      <c r="BY1030" s="1" t="s">
        <v>264</v>
      </c>
      <c r="BZ1030" s="1" t="s">
        <v>206</v>
      </c>
      <c r="CA1030" s="1" t="s">
        <v>210</v>
      </c>
      <c r="CB1030" s="1" t="s">
        <v>1549</v>
      </c>
      <c r="CC1030" s="1" t="s">
        <v>433</v>
      </c>
      <c r="CD1030" s="1" t="s">
        <v>206</v>
      </c>
      <c r="CE1030" s="1" t="s">
        <v>207</v>
      </c>
      <c r="CF1030" s="1" t="s">
        <v>431</v>
      </c>
      <c r="CG1030" s="1" t="s">
        <v>264</v>
      </c>
      <c r="CH1030" s="1" t="s">
        <v>206</v>
      </c>
      <c r="CI1030" s="1" t="s">
        <v>210</v>
      </c>
      <c r="CJ1030" s="1" t="s">
        <v>1549</v>
      </c>
      <c r="CK1030" s="1" t="s">
        <v>11480</v>
      </c>
      <c r="CL1030" s="1" t="s">
        <v>209</v>
      </c>
      <c r="CM1030" s="1" t="s">
        <v>210</v>
      </c>
      <c r="CN1030" s="1" t="s">
        <v>1549</v>
      </c>
      <c r="CO1030" s="1" t="s">
        <v>363</v>
      </c>
      <c r="CP1030" s="1" t="s">
        <v>267</v>
      </c>
      <c r="CQ1030" s="1" t="s">
        <v>588</v>
      </c>
      <c r="CR1030" s="1" t="s">
        <v>1549</v>
      </c>
      <c r="CS1030" s="1" t="s">
        <v>730</v>
      </c>
      <c r="CT1030" s="1" t="s">
        <v>206</v>
      </c>
      <c r="CU1030" s="1" t="s">
        <v>588</v>
      </c>
      <c r="CV1030" s="1" t="s">
        <v>1118</v>
      </c>
      <c r="CW1030" s="1" t="s">
        <v>3623</v>
      </c>
      <c r="CX1030" s="1" t="s">
        <v>42</v>
      </c>
      <c r="CY1030" s="1" t="s">
        <v>588</v>
      </c>
      <c r="CZ1030" s="1" t="s">
        <v>229</v>
      </c>
      <c r="DA1030" s="1" t="s">
        <v>200</v>
      </c>
      <c r="DC1030" s="1" t="s">
        <v>216</v>
      </c>
      <c r="DE1030" s="1" t="s">
        <v>273</v>
      </c>
      <c r="DF1030" s="1" t="s">
        <v>905</v>
      </c>
      <c r="DH1030" s="1" t="s">
        <v>220</v>
      </c>
      <c r="DJ1030" s="1" t="s">
        <v>222</v>
      </c>
      <c r="DK1030" s="1" t="s">
        <v>224</v>
      </c>
      <c r="DL1030" s="1" t="s">
        <v>224</v>
      </c>
      <c r="DM1030" s="1" t="s">
        <v>229</v>
      </c>
      <c r="DQ1030" s="1" t="s">
        <v>228</v>
      </c>
      <c r="DR1030" s="1" t="s">
        <v>229</v>
      </c>
      <c r="DV1030" s="1" t="s">
        <v>598</v>
      </c>
      <c r="DW1030" s="1" t="s">
        <v>279</v>
      </c>
      <c r="DX1030" s="1" t="s">
        <v>1287</v>
      </c>
      <c r="DZ1030" s="1" t="s">
        <v>282</v>
      </c>
      <c r="EA1030" s="1" t="s">
        <v>644</v>
      </c>
      <c r="EC1030" s="1" t="s">
        <v>645</v>
      </c>
      <c r="EH1030" s="1" t="s">
        <v>598</v>
      </c>
      <c r="EM1030" s="1" t="s">
        <v>238</v>
      </c>
      <c r="EP1030" s="1" t="s">
        <v>798</v>
      </c>
      <c r="EQ1030" s="1" t="s">
        <v>206</v>
      </c>
      <c r="ER1030" s="1" t="s">
        <v>210</v>
      </c>
      <c r="ES1030" s="1" t="s">
        <v>1549</v>
      </c>
      <c r="EU1030" s="1" t="s">
        <v>238</v>
      </c>
      <c r="EY1030" s="1" t="s">
        <v>238</v>
      </c>
      <c r="FC1030" s="1" t="s">
        <v>238</v>
      </c>
      <c r="FF1030" s="1" t="s">
        <v>239</v>
      </c>
      <c r="FG1030" s="1" t="s">
        <v>192</v>
      </c>
      <c r="FH1030" s="1" t="s">
        <v>192</v>
      </c>
      <c r="FJ1030" s="1" t="s">
        <v>11481</v>
      </c>
      <c r="FK1030" s="1" t="s">
        <v>1586</v>
      </c>
      <c r="FL1030" s="1" t="s">
        <v>2111</v>
      </c>
      <c r="FM1030" s="1">
        <v>12555.0</v>
      </c>
      <c r="FN1030" s="1" t="s">
        <v>2112</v>
      </c>
      <c r="FO1030" s="1" t="s">
        <v>11482</v>
      </c>
      <c r="FP1030" s="1">
        <v>118642.0</v>
      </c>
      <c r="FQ1030" s="1" t="s">
        <v>11483</v>
      </c>
      <c r="FU1030" s="1" t="s">
        <v>11484</v>
      </c>
      <c r="FV1030" s="1" t="s">
        <v>200</v>
      </c>
      <c r="FW1030" s="1" t="s">
        <v>11485</v>
      </c>
      <c r="FX1030" s="1" t="s">
        <v>655</v>
      </c>
      <c r="FZ1030" s="1" t="s">
        <v>229</v>
      </c>
      <c r="GA1030" s="1" t="s">
        <v>291</v>
      </c>
      <c r="GB1030" s="2">
        <v>42102.0</v>
      </c>
      <c r="GC1030" s="1" t="s">
        <v>11486</v>
      </c>
    </row>
    <row r="1031">
      <c r="A1031" s="1">
        <v>58800.0</v>
      </c>
      <c r="B1031" s="1" t="s">
        <v>185</v>
      </c>
      <c r="C1031" s="1" t="str">
        <f>"08639444"</f>
        <v>08639444</v>
      </c>
      <c r="D1031" s="1" t="s">
        <v>186</v>
      </c>
      <c r="F1031" s="1" t="str">
        <f>"8048"</f>
        <v>8048</v>
      </c>
      <c r="G1031" s="2">
        <v>41799.0</v>
      </c>
      <c r="H1031" s="1">
        <v>103550.0</v>
      </c>
      <c r="I1031" s="1">
        <v>233.0</v>
      </c>
      <c r="J1031" s="1">
        <v>0.0</v>
      </c>
      <c r="K1031" s="2">
        <v>42030.0</v>
      </c>
      <c r="L1031" s="1">
        <v>233.0</v>
      </c>
      <c r="M1031" s="2">
        <v>42030.0</v>
      </c>
      <c r="N1031" s="1" t="s">
        <v>249</v>
      </c>
      <c r="O1031" s="2">
        <v>42032.0</v>
      </c>
      <c r="P1031" s="1">
        <v>868904.0</v>
      </c>
      <c r="Q1031" s="1">
        <v>18712.0</v>
      </c>
      <c r="S1031" s="1">
        <v>1644.0</v>
      </c>
      <c r="T1031" s="1" t="s">
        <v>11487</v>
      </c>
      <c r="U1031" s="1" t="s">
        <v>694</v>
      </c>
      <c r="V1031" s="1" t="s">
        <v>190</v>
      </c>
      <c r="W1031" s="1">
        <v>60617.0</v>
      </c>
      <c r="Y1031" s="1" t="s">
        <v>11488</v>
      </c>
      <c r="Z1031" s="1">
        <v>1952.0</v>
      </c>
      <c r="AA1031" s="1" t="s">
        <v>192</v>
      </c>
      <c r="AB1031" s="1" t="s">
        <v>193</v>
      </c>
      <c r="AC1031" s="1" t="s">
        <v>11489</v>
      </c>
      <c r="AD1031" s="1" t="s">
        <v>194</v>
      </c>
      <c r="AE1031" s="1" t="s">
        <v>195</v>
      </c>
      <c r="AF1031" s="1" t="s">
        <v>637</v>
      </c>
      <c r="AH1031" s="1">
        <v>4270.0</v>
      </c>
      <c r="AK1031" s="1">
        <v>7.0</v>
      </c>
      <c r="AL1031" s="1">
        <v>4.0</v>
      </c>
      <c r="AM1031" s="1">
        <v>2.0</v>
      </c>
      <c r="AN1031" s="1">
        <v>0.0</v>
      </c>
      <c r="AO1031" s="1" t="s">
        <v>229</v>
      </c>
      <c r="AQ1031" s="1" t="s">
        <v>198</v>
      </c>
      <c r="AR1031" s="1" t="s">
        <v>200</v>
      </c>
      <c r="AS1031" s="1" t="s">
        <v>229</v>
      </c>
      <c r="AV1031" s="1" t="s">
        <v>200</v>
      </c>
      <c r="AW1031" s="1">
        <v>2747.0</v>
      </c>
      <c r="AX1031" s="1">
        <v>2012.0</v>
      </c>
      <c r="AZ1031" s="1" t="s">
        <v>545</v>
      </c>
      <c r="BA1031" s="1" t="str">
        <f>"25011000280000"</f>
        <v>25011000280000</v>
      </c>
      <c r="BB1031" s="1" t="s">
        <v>200</v>
      </c>
      <c r="BC1031" s="1">
        <v>1796.0</v>
      </c>
      <c r="BD1031" s="1">
        <v>58800.0</v>
      </c>
      <c r="BE1031" s="2">
        <v>41798.0</v>
      </c>
      <c r="BF1031" s="2" t="s">
        <v>11490</v>
      </c>
      <c r="BH1031" s="1">
        <v>0.0</v>
      </c>
      <c r="BK1031" s="1" t="s">
        <v>204</v>
      </c>
      <c r="BL1031" s="1" t="str">
        <f>"0"</f>
        <v>0</v>
      </c>
      <c r="BM1031" s="1" t="str">
        <f>"1644"</f>
        <v>1644</v>
      </c>
      <c r="BN1031" s="1">
        <v>0.0</v>
      </c>
      <c r="BO1031" s="1">
        <v>8700.0</v>
      </c>
      <c r="BQ1031" s="1">
        <v>299.0</v>
      </c>
      <c r="BR1031" s="1">
        <v>299.0</v>
      </c>
      <c r="BS1031" s="1">
        <v>299.0</v>
      </c>
      <c r="BU1031" s="1" t="s">
        <v>1117</v>
      </c>
      <c r="BV1031" s="1" t="s">
        <v>206</v>
      </c>
      <c r="BY1031" s="1" t="s">
        <v>331</v>
      </c>
      <c r="BZ1031" s="1" t="s">
        <v>206</v>
      </c>
      <c r="CC1031" s="1" t="s">
        <v>215</v>
      </c>
      <c r="CD1031" s="1" t="s">
        <v>206</v>
      </c>
      <c r="CG1031" s="1" t="s">
        <v>264</v>
      </c>
      <c r="CH1031" s="1" t="s">
        <v>206</v>
      </c>
      <c r="CK1031" s="1" t="s">
        <v>497</v>
      </c>
      <c r="CL1031" s="1" t="s">
        <v>206</v>
      </c>
      <c r="CO1031" s="1" t="s">
        <v>264</v>
      </c>
      <c r="CP1031" s="1" t="s">
        <v>206</v>
      </c>
      <c r="CS1031" s="1" t="s">
        <v>11491</v>
      </c>
      <c r="CT1031" s="1" t="s">
        <v>206</v>
      </c>
      <c r="CX1031" s="1" t="s">
        <v>204</v>
      </c>
      <c r="DA1031" s="1" t="s">
        <v>200</v>
      </c>
      <c r="DC1031" s="1" t="s">
        <v>702</v>
      </c>
      <c r="DE1031" s="1" t="s">
        <v>229</v>
      </c>
      <c r="DF1031" s="1" t="s">
        <v>619</v>
      </c>
      <c r="DH1031" s="1" t="s">
        <v>365</v>
      </c>
      <c r="DJ1031" s="1" t="s">
        <v>222</v>
      </c>
      <c r="DL1031" s="1" t="s">
        <v>858</v>
      </c>
      <c r="DM1031" s="1" t="s">
        <v>229</v>
      </c>
      <c r="DQ1031" s="1" t="s">
        <v>228</v>
      </c>
      <c r="DR1031" s="1" t="s">
        <v>229</v>
      </c>
      <c r="DS1031" s="1" t="s">
        <v>230</v>
      </c>
      <c r="DV1031" s="1" t="s">
        <v>232</v>
      </c>
      <c r="DW1031" s="1" t="s">
        <v>279</v>
      </c>
      <c r="DX1031" s="1" t="s">
        <v>234</v>
      </c>
      <c r="EC1031" s="1" t="s">
        <v>685</v>
      </c>
      <c r="EM1031" s="1" t="s">
        <v>238</v>
      </c>
      <c r="EQ1031" s="1" t="s">
        <v>238</v>
      </c>
      <c r="EU1031" s="1" t="s">
        <v>238</v>
      </c>
      <c r="EY1031" s="1" t="s">
        <v>238</v>
      </c>
      <c r="FC1031" s="1" t="s">
        <v>238</v>
      </c>
      <c r="FF1031" s="1" t="s">
        <v>239</v>
      </c>
      <c r="FG1031" s="1" t="s">
        <v>192</v>
      </c>
      <c r="FH1031" s="1" t="s">
        <v>192</v>
      </c>
      <c r="FJ1031" s="1" t="s">
        <v>347</v>
      </c>
      <c r="FK1031" s="1" t="s">
        <v>229</v>
      </c>
      <c r="FL1031" s="1" t="s">
        <v>4730</v>
      </c>
      <c r="FM1031" s="1">
        <v>18712.0</v>
      </c>
      <c r="FN1031" s="1" t="s">
        <v>4731</v>
      </c>
      <c r="FO1031" s="1" t="s">
        <v>4732</v>
      </c>
      <c r="FP1031" s="1">
        <v>113736.0</v>
      </c>
      <c r="FQ1031" s="1" t="s">
        <v>4731</v>
      </c>
      <c r="FU1031" s="1" t="s">
        <v>4733</v>
      </c>
      <c r="FV1031" s="1" t="s">
        <v>200</v>
      </c>
      <c r="FW1031" s="1" t="s">
        <v>354</v>
      </c>
      <c r="FX1031" s="1" t="s">
        <v>1739</v>
      </c>
      <c r="FZ1031" s="1" t="s">
        <v>229</v>
      </c>
      <c r="GA1031" s="1" t="s">
        <v>291</v>
      </c>
      <c r="GB1031" s="2">
        <v>42032.0</v>
      </c>
      <c r="GC1031" s="1" t="s">
        <v>11492</v>
      </c>
    </row>
    <row r="1032">
      <c r="A1032" s="1">
        <v>448000.0</v>
      </c>
      <c r="B1032" s="1" t="s">
        <v>185</v>
      </c>
      <c r="C1032" s="1" t="str">
        <f>"08629221"</f>
        <v>08629221</v>
      </c>
      <c r="D1032" s="1" t="s">
        <v>186</v>
      </c>
      <c r="F1032" s="1" t="str">
        <f>"134"</f>
        <v>134</v>
      </c>
      <c r="G1032" s="2">
        <v>41789.0</v>
      </c>
      <c r="H1032" s="1">
        <v>479000.0</v>
      </c>
      <c r="I1032" s="1">
        <v>174.0</v>
      </c>
      <c r="J1032" s="1">
        <v>459000.0</v>
      </c>
      <c r="K1032" s="2">
        <v>41960.0</v>
      </c>
      <c r="L1032" s="1">
        <v>174.0</v>
      </c>
      <c r="M1032" s="2">
        <v>41960.0</v>
      </c>
      <c r="N1032" s="1" t="s">
        <v>356</v>
      </c>
      <c r="O1032" s="2">
        <v>42003.0</v>
      </c>
      <c r="P1032" s="1">
        <v>7842.0</v>
      </c>
      <c r="Q1032" s="1">
        <v>41.0</v>
      </c>
      <c r="S1032" s="1">
        <v>330.0</v>
      </c>
      <c r="T1032" s="1" t="s">
        <v>11493</v>
      </c>
      <c r="U1032" s="1" t="s">
        <v>1015</v>
      </c>
      <c r="V1032" s="1" t="s">
        <v>421</v>
      </c>
      <c r="W1032" s="1">
        <v>60134.0</v>
      </c>
      <c r="Y1032" s="1" t="s">
        <v>11494</v>
      </c>
      <c r="Z1032" s="1">
        <v>1996.0</v>
      </c>
      <c r="AA1032" s="1" t="s">
        <v>200</v>
      </c>
      <c r="AB1032" s="1" t="s">
        <v>193</v>
      </c>
      <c r="AC1032" s="1" t="s">
        <v>11493</v>
      </c>
      <c r="AD1032" s="1" t="s">
        <v>424</v>
      </c>
      <c r="AE1032" s="1" t="s">
        <v>325</v>
      </c>
      <c r="AF1032" s="1" t="s">
        <v>424</v>
      </c>
      <c r="AH1032" s="1" t="s">
        <v>11495</v>
      </c>
      <c r="AK1032" s="1">
        <v>11.0</v>
      </c>
      <c r="AL1032" s="1">
        <v>4.0</v>
      </c>
      <c r="AM1032" s="1">
        <v>3.0</v>
      </c>
      <c r="AN1032" s="1">
        <v>1.0</v>
      </c>
      <c r="AO1032" s="1" t="s">
        <v>198</v>
      </c>
      <c r="AP1032" s="1">
        <v>1.0</v>
      </c>
      <c r="AQ1032" s="1" t="s">
        <v>198</v>
      </c>
      <c r="AR1032" s="1" t="s">
        <v>192</v>
      </c>
      <c r="AS1032" s="1" t="s">
        <v>199</v>
      </c>
      <c r="AT1032" s="1">
        <v>3.0</v>
      </c>
      <c r="AV1032" s="1" t="s">
        <v>200</v>
      </c>
      <c r="AW1032" s="1">
        <v>12350.22</v>
      </c>
      <c r="AX1032" s="1">
        <v>2013.0</v>
      </c>
      <c r="AY1032" s="1" t="s">
        <v>387</v>
      </c>
      <c r="AZ1032" s="1" t="s">
        <v>200</v>
      </c>
      <c r="BA1032" s="1" t="str">
        <f>"1205351011"</f>
        <v>1205351011</v>
      </c>
      <c r="BC1032" s="1">
        <v>3104.0</v>
      </c>
      <c r="BD1032" s="1">
        <v>448000.0</v>
      </c>
      <c r="BE1032" s="2">
        <v>41787.0</v>
      </c>
      <c r="BF1032" s="2" t="s">
        <v>11496</v>
      </c>
      <c r="BH1032" s="1">
        <v>0.0</v>
      </c>
      <c r="BK1032" s="1" t="s">
        <v>204</v>
      </c>
      <c r="BL1032" s="1" t="str">
        <f>"1"</f>
        <v>1</v>
      </c>
      <c r="BM1032" s="1" t="str">
        <f>""</f>
        <v/>
      </c>
      <c r="BN1032" s="1">
        <v>37.0</v>
      </c>
      <c r="BQ1032" s="1">
        <v>304.0</v>
      </c>
      <c r="BR1032" s="1">
        <v>304.0</v>
      </c>
      <c r="BS1032" s="1">
        <v>304.0</v>
      </c>
      <c r="BU1032" s="1" t="s">
        <v>677</v>
      </c>
      <c r="BV1032" s="1" t="s">
        <v>206</v>
      </c>
      <c r="BW1032" s="1" t="s">
        <v>207</v>
      </c>
      <c r="BY1032" s="1" t="s">
        <v>1517</v>
      </c>
      <c r="BZ1032" s="1" t="s">
        <v>209</v>
      </c>
      <c r="CA1032" s="1" t="s">
        <v>210</v>
      </c>
      <c r="CC1032" s="1" t="s">
        <v>478</v>
      </c>
      <c r="CD1032" s="1" t="s">
        <v>206</v>
      </c>
      <c r="CE1032" s="1" t="s">
        <v>207</v>
      </c>
      <c r="CG1032" s="1" t="s">
        <v>300</v>
      </c>
      <c r="CH1032" s="1" t="s">
        <v>209</v>
      </c>
      <c r="CI1032" s="1" t="s">
        <v>210</v>
      </c>
      <c r="CK1032" s="1" t="s">
        <v>478</v>
      </c>
      <c r="CL1032" s="1" t="s">
        <v>209</v>
      </c>
      <c r="CM1032" s="1" t="s">
        <v>210</v>
      </c>
      <c r="CO1032" s="1" t="s">
        <v>11497</v>
      </c>
      <c r="CP1032" s="1" t="s">
        <v>209</v>
      </c>
      <c r="CQ1032" s="1" t="s">
        <v>207</v>
      </c>
      <c r="CS1032" s="1" t="s">
        <v>1183</v>
      </c>
      <c r="CT1032" s="1" t="s">
        <v>206</v>
      </c>
      <c r="CU1032" s="1" t="s">
        <v>207</v>
      </c>
      <c r="CW1032" s="1" t="s">
        <v>1299</v>
      </c>
      <c r="CX1032" s="1" t="s">
        <v>206</v>
      </c>
      <c r="CY1032" s="1" t="s">
        <v>207</v>
      </c>
      <c r="DA1032" s="1" t="s">
        <v>200</v>
      </c>
      <c r="DC1032" s="1" t="s">
        <v>678</v>
      </c>
      <c r="DD1032" s="1" t="s">
        <v>957</v>
      </c>
      <c r="DE1032" s="1" t="s">
        <v>273</v>
      </c>
      <c r="DF1032" s="1" t="s">
        <v>219</v>
      </c>
      <c r="DG1032" s="1" t="s">
        <v>1160</v>
      </c>
      <c r="DH1032" s="1" t="s">
        <v>220</v>
      </c>
      <c r="DI1032" s="1" t="s">
        <v>221</v>
      </c>
      <c r="DJ1032" s="1" t="s">
        <v>222</v>
      </c>
      <c r="DK1032" s="1" t="s">
        <v>3740</v>
      </c>
      <c r="DL1032" s="1" t="s">
        <v>224</v>
      </c>
      <c r="DM1032" s="1" t="s">
        <v>229</v>
      </c>
      <c r="DN1032" s="1" t="s">
        <v>666</v>
      </c>
      <c r="DP1032" s="1" t="s">
        <v>340</v>
      </c>
      <c r="DQ1032" s="1" t="s">
        <v>441</v>
      </c>
      <c r="DR1032" s="1" t="s">
        <v>229</v>
      </c>
      <c r="DV1032" s="1" t="s">
        <v>11498</v>
      </c>
      <c r="DW1032" s="1" t="s">
        <v>964</v>
      </c>
      <c r="DX1032" s="1" t="s">
        <v>234</v>
      </c>
      <c r="DY1032" s="1" t="s">
        <v>404</v>
      </c>
      <c r="DZ1032" s="1" t="s">
        <v>310</v>
      </c>
      <c r="EA1032" s="1" t="s">
        <v>3112</v>
      </c>
      <c r="EB1032" s="1" t="s">
        <v>492</v>
      </c>
      <c r="EC1032" s="1" t="s">
        <v>237</v>
      </c>
      <c r="ED1032" s="1" t="s">
        <v>407</v>
      </c>
      <c r="EG1032" s="1" t="s">
        <v>494</v>
      </c>
      <c r="EH1032" s="1" t="s">
        <v>557</v>
      </c>
      <c r="EI1032" s="1" t="s">
        <v>450</v>
      </c>
      <c r="EL1032" s="1" t="s">
        <v>264</v>
      </c>
      <c r="EM1032" s="1" t="s">
        <v>206</v>
      </c>
      <c r="EN1032" s="1" t="s">
        <v>207</v>
      </c>
      <c r="EP1032" s="1" t="s">
        <v>878</v>
      </c>
      <c r="EQ1032" s="1" t="s">
        <v>42</v>
      </c>
      <c r="ER1032" s="1" t="s">
        <v>210</v>
      </c>
      <c r="ET1032" s="1" t="s">
        <v>878</v>
      </c>
      <c r="EU1032" s="1" t="s">
        <v>42</v>
      </c>
      <c r="EV1032" s="1" t="s">
        <v>210</v>
      </c>
      <c r="EY1032" s="1" t="s">
        <v>238</v>
      </c>
      <c r="FC1032" s="1" t="s">
        <v>238</v>
      </c>
      <c r="FF1032" s="1" t="s">
        <v>239</v>
      </c>
      <c r="FG1032" s="1" t="s">
        <v>192</v>
      </c>
      <c r="FH1032" s="1" t="s">
        <v>192</v>
      </c>
      <c r="FJ1032" s="1" t="s">
        <v>2133</v>
      </c>
      <c r="FK1032" s="1" t="s">
        <v>229</v>
      </c>
      <c r="FL1032" s="1" t="s">
        <v>1212</v>
      </c>
      <c r="FM1032" s="1">
        <v>30.0</v>
      </c>
      <c r="FN1032" s="1" t="s">
        <v>1213</v>
      </c>
      <c r="FO1032" s="1" t="s">
        <v>8470</v>
      </c>
      <c r="FP1032" s="1">
        <v>497.0</v>
      </c>
      <c r="FQ1032" s="1" t="s">
        <v>8471</v>
      </c>
      <c r="FR1032" s="1">
        <v>8177.0</v>
      </c>
      <c r="FS1032" s="1">
        <v>8177.0</v>
      </c>
      <c r="FU1032" s="1" t="s">
        <v>8472</v>
      </c>
      <c r="FV1032" s="1" t="s">
        <v>200</v>
      </c>
      <c r="FW1032" s="1" t="s">
        <v>290</v>
      </c>
      <c r="FZ1032" s="1" t="s">
        <v>229</v>
      </c>
      <c r="GA1032" s="1" t="s">
        <v>291</v>
      </c>
      <c r="GB1032" s="2">
        <v>42003.0</v>
      </c>
      <c r="GC1032" s="1" t="s">
        <v>11499</v>
      </c>
    </row>
    <row r="1033">
      <c r="A1033" s="1">
        <v>1060000.0</v>
      </c>
      <c r="B1033" s="1" t="s">
        <v>185</v>
      </c>
      <c r="C1033" s="1" t="str">
        <f>"08631387"</f>
        <v>08631387</v>
      </c>
      <c r="D1033" s="1" t="s">
        <v>186</v>
      </c>
      <c r="F1033" s="1" t="str">
        <f>"8007"</f>
        <v>8007</v>
      </c>
      <c r="G1033" s="2">
        <v>41792.0</v>
      </c>
      <c r="H1033" s="1">
        <v>1150000.0</v>
      </c>
      <c r="I1033" s="1">
        <v>140.0</v>
      </c>
      <c r="J1033" s="1">
        <v>1125000.0</v>
      </c>
      <c r="K1033" s="2">
        <v>41931.0</v>
      </c>
      <c r="L1033" s="1">
        <v>140.0</v>
      </c>
      <c r="M1033" s="2">
        <v>41931.0</v>
      </c>
      <c r="N1033" s="1" t="s">
        <v>187</v>
      </c>
      <c r="O1033" s="2">
        <v>41982.0</v>
      </c>
      <c r="P1033" s="1">
        <v>112050.0</v>
      </c>
      <c r="Q1033" s="1">
        <v>14470.0</v>
      </c>
      <c r="R1033" s="1">
        <v>23000.0</v>
      </c>
      <c r="S1033" s="1">
        <v>2636.0</v>
      </c>
      <c r="T1033" s="1" t="s">
        <v>948</v>
      </c>
      <c r="U1033" s="1" t="s">
        <v>320</v>
      </c>
      <c r="V1033" s="1" t="s">
        <v>190</v>
      </c>
      <c r="W1033" s="1">
        <v>60614.0</v>
      </c>
      <c r="Y1033" s="1" t="s">
        <v>11500</v>
      </c>
      <c r="Z1033" s="1">
        <v>2006.0</v>
      </c>
      <c r="AA1033" s="1" t="s">
        <v>200</v>
      </c>
      <c r="AB1033" s="1" t="s">
        <v>193</v>
      </c>
      <c r="AD1033" s="1" t="s">
        <v>194</v>
      </c>
      <c r="AE1033" s="1" t="s">
        <v>195</v>
      </c>
      <c r="AF1033" s="1" t="s">
        <v>534</v>
      </c>
      <c r="AH1033" s="1" t="s">
        <v>11501</v>
      </c>
      <c r="AK1033" s="1">
        <v>9.0</v>
      </c>
      <c r="AL1033" s="1">
        <v>4.0</v>
      </c>
      <c r="AM1033" s="1">
        <v>3.0</v>
      </c>
      <c r="AN1033" s="1">
        <v>1.0</v>
      </c>
      <c r="AO1033" s="1" t="s">
        <v>198</v>
      </c>
      <c r="AQ1033" s="1" t="s">
        <v>472</v>
      </c>
      <c r="AR1033" s="1" t="s">
        <v>192</v>
      </c>
      <c r="AS1033" s="1" t="s">
        <v>199</v>
      </c>
      <c r="AT1033" s="1">
        <v>2.0</v>
      </c>
      <c r="AV1033" s="1" t="s">
        <v>200</v>
      </c>
      <c r="AW1033" s="6">
        <v>14364.0</v>
      </c>
      <c r="AX1033" s="1">
        <v>2012.0</v>
      </c>
      <c r="AY1033" s="1" t="s">
        <v>387</v>
      </c>
      <c r="AZ1033" s="1" t="s">
        <v>200</v>
      </c>
      <c r="BA1033" s="1" t="str">
        <f>"14304031110000"</f>
        <v>14304031110000</v>
      </c>
      <c r="BC1033" s="1">
        <v>4000.0</v>
      </c>
      <c r="BD1033" s="1">
        <v>1060000.0</v>
      </c>
      <c r="BE1033" s="2">
        <v>41792.0</v>
      </c>
      <c r="BF1033" s="2" t="s">
        <v>11502</v>
      </c>
      <c r="BG1033" s="1" t="s">
        <v>4847</v>
      </c>
      <c r="BH1033" s="1">
        <v>83.0</v>
      </c>
      <c r="BJ1033" s="1" t="s">
        <v>2871</v>
      </c>
      <c r="BK1033" s="1" t="s">
        <v>474</v>
      </c>
      <c r="BL1033" s="1" t="str">
        <f>"2636"</f>
        <v>2636</v>
      </c>
      <c r="BM1033" s="1" t="str">
        <f t="shared" ref="BM1033:BM1034" si="685">"0"</f>
        <v>0</v>
      </c>
      <c r="BN1033" s="1">
        <v>1700.0</v>
      </c>
      <c r="BO1033" s="1">
        <v>0.0</v>
      </c>
      <c r="BQ1033" s="1">
        <v>299.0</v>
      </c>
      <c r="BR1033" s="1">
        <v>299.0</v>
      </c>
      <c r="BS1033" s="1">
        <v>299.0</v>
      </c>
      <c r="BU1033" s="1" t="s">
        <v>743</v>
      </c>
      <c r="BV1033" s="1" t="s">
        <v>206</v>
      </c>
      <c r="BW1033" s="1" t="s">
        <v>207</v>
      </c>
      <c r="BX1033" s="1" t="s">
        <v>431</v>
      </c>
      <c r="BY1033" s="1" t="s">
        <v>924</v>
      </c>
      <c r="BZ1033" s="1" t="s">
        <v>209</v>
      </c>
      <c r="CA1033" s="1" t="s">
        <v>207</v>
      </c>
      <c r="CB1033" s="1" t="s">
        <v>431</v>
      </c>
      <c r="CC1033" s="1" t="s">
        <v>743</v>
      </c>
      <c r="CD1033" s="1" t="s">
        <v>206</v>
      </c>
      <c r="CE1033" s="1" t="s">
        <v>207</v>
      </c>
      <c r="CF1033" s="1" t="s">
        <v>431</v>
      </c>
      <c r="CG1033" s="1" t="s">
        <v>925</v>
      </c>
      <c r="CH1033" s="1" t="s">
        <v>209</v>
      </c>
      <c r="CI1033" s="1" t="s">
        <v>207</v>
      </c>
      <c r="CJ1033" s="1" t="s">
        <v>431</v>
      </c>
      <c r="CK1033" s="1" t="s">
        <v>497</v>
      </c>
      <c r="CL1033" s="1" t="s">
        <v>209</v>
      </c>
      <c r="CM1033" s="1" t="s">
        <v>207</v>
      </c>
      <c r="CN1033" s="1" t="s">
        <v>431</v>
      </c>
      <c r="CO1033" s="1" t="s">
        <v>2082</v>
      </c>
      <c r="CP1033" s="1" t="s">
        <v>267</v>
      </c>
      <c r="CQ1033" s="1" t="s">
        <v>210</v>
      </c>
      <c r="CR1033" s="1" t="s">
        <v>431</v>
      </c>
      <c r="CS1033" s="1" t="s">
        <v>213</v>
      </c>
      <c r="CT1033" s="1" t="s">
        <v>206</v>
      </c>
      <c r="CU1033" s="1" t="s">
        <v>207</v>
      </c>
      <c r="CV1033" s="1" t="s">
        <v>431</v>
      </c>
      <c r="CW1033" s="1" t="s">
        <v>434</v>
      </c>
      <c r="CX1033" s="1" t="s">
        <v>206</v>
      </c>
      <c r="CY1033" s="1" t="s">
        <v>207</v>
      </c>
      <c r="CZ1033" s="1" t="s">
        <v>431</v>
      </c>
      <c r="DA1033" s="1" t="s">
        <v>200</v>
      </c>
      <c r="DC1033" s="1" t="s">
        <v>481</v>
      </c>
      <c r="DD1033" s="1" t="s">
        <v>1838</v>
      </c>
      <c r="DE1033" s="1" t="s">
        <v>273</v>
      </c>
      <c r="DF1033" s="1" t="s">
        <v>219</v>
      </c>
      <c r="DH1033" s="1" t="s">
        <v>365</v>
      </c>
      <c r="DI1033" s="1" t="s">
        <v>5919</v>
      </c>
      <c r="DJ1033" s="1" t="s">
        <v>222</v>
      </c>
      <c r="DL1033" s="1" t="s">
        <v>224</v>
      </c>
      <c r="DM1033" s="1" t="s">
        <v>229</v>
      </c>
      <c r="DN1033" s="1" t="s">
        <v>548</v>
      </c>
      <c r="DP1033" s="1" t="s">
        <v>276</v>
      </c>
      <c r="DQ1033" s="1" t="s">
        <v>228</v>
      </c>
      <c r="DR1033" s="1" t="s">
        <v>10152</v>
      </c>
      <c r="DS1033" s="1" t="s">
        <v>230</v>
      </c>
      <c r="DV1033" s="1" t="s">
        <v>3397</v>
      </c>
      <c r="DW1033" s="1" t="s">
        <v>279</v>
      </c>
      <c r="DX1033" s="1" t="s">
        <v>234</v>
      </c>
      <c r="DY1033" s="1" t="s">
        <v>5811</v>
      </c>
      <c r="DZ1033" s="1" t="s">
        <v>2876</v>
      </c>
      <c r="EA1033" s="1" t="s">
        <v>2466</v>
      </c>
      <c r="EC1033" s="1" t="s">
        <v>237</v>
      </c>
      <c r="ED1033" s="1" t="s">
        <v>407</v>
      </c>
      <c r="EG1033" s="1" t="s">
        <v>450</v>
      </c>
      <c r="EH1033" s="1" t="s">
        <v>588</v>
      </c>
      <c r="EL1033" s="1" t="s">
        <v>1279</v>
      </c>
      <c r="EM1033" s="1" t="s">
        <v>267</v>
      </c>
      <c r="EN1033" s="1" t="s">
        <v>210</v>
      </c>
      <c r="EP1033" s="1" t="s">
        <v>269</v>
      </c>
      <c r="EQ1033" s="1" t="s">
        <v>267</v>
      </c>
      <c r="EU1033" s="1" t="s">
        <v>238</v>
      </c>
      <c r="EY1033" s="1" t="s">
        <v>238</v>
      </c>
      <c r="FC1033" s="1" t="s">
        <v>238</v>
      </c>
      <c r="FF1033" s="1" t="s">
        <v>239</v>
      </c>
      <c r="FG1033" s="1" t="s">
        <v>192</v>
      </c>
      <c r="FH1033" s="1" t="s">
        <v>192</v>
      </c>
      <c r="FJ1033" s="1" t="s">
        <v>799</v>
      </c>
      <c r="FK1033" s="1" t="s">
        <v>229</v>
      </c>
      <c r="FL1033" s="1" t="s">
        <v>562</v>
      </c>
      <c r="FM1033" s="1">
        <v>16379.0</v>
      </c>
      <c r="FN1033" s="1" t="s">
        <v>563</v>
      </c>
      <c r="FO1033" s="1" t="s">
        <v>11503</v>
      </c>
      <c r="FP1033" s="1">
        <v>107433.0</v>
      </c>
      <c r="FQ1033" s="1" t="s">
        <v>11504</v>
      </c>
      <c r="FU1033" s="1" t="s">
        <v>11505</v>
      </c>
      <c r="FV1033" s="1" t="s">
        <v>200</v>
      </c>
      <c r="FW1033" s="1" t="s">
        <v>530</v>
      </c>
      <c r="FX1033" s="1" t="s">
        <v>238</v>
      </c>
      <c r="FZ1033" s="1" t="s">
        <v>229</v>
      </c>
      <c r="GA1033" s="1" t="s">
        <v>291</v>
      </c>
      <c r="GB1033" s="2">
        <v>41983.0</v>
      </c>
      <c r="GC1033" s="1" t="s">
        <v>11506</v>
      </c>
    </row>
    <row r="1034">
      <c r="A1034" s="1">
        <v>320000.0</v>
      </c>
      <c r="B1034" s="1" t="s">
        <v>185</v>
      </c>
      <c r="C1034" s="1" t="str">
        <f>"08634570"</f>
        <v>08634570</v>
      </c>
      <c r="D1034" s="1" t="s">
        <v>186</v>
      </c>
      <c r="F1034" s="1" t="str">
        <f>"10"</f>
        <v>10</v>
      </c>
      <c r="G1034" s="2">
        <v>41794.0</v>
      </c>
      <c r="H1034" s="1">
        <v>349000.0</v>
      </c>
      <c r="I1034" s="1">
        <v>514.0</v>
      </c>
      <c r="J1034" s="1">
        <v>349000.0</v>
      </c>
      <c r="K1034" s="2">
        <v>41935.0</v>
      </c>
      <c r="L1034" s="1">
        <v>142.0</v>
      </c>
      <c r="M1034" s="2">
        <v>41935.0</v>
      </c>
      <c r="N1034" s="1" t="s">
        <v>249</v>
      </c>
      <c r="O1034" s="2">
        <v>41974.0</v>
      </c>
      <c r="P1034" s="1">
        <v>62332.0</v>
      </c>
      <c r="Q1034" s="1">
        <v>4777.0</v>
      </c>
      <c r="S1034" s="1">
        <v>436.0</v>
      </c>
      <c r="T1034" s="1" t="s">
        <v>11507</v>
      </c>
      <c r="U1034" s="1" t="s">
        <v>1174</v>
      </c>
      <c r="V1034" s="1" t="s">
        <v>11508</v>
      </c>
      <c r="W1034" s="1">
        <v>60010.0</v>
      </c>
      <c r="Y1034" s="1" t="s">
        <v>11509</v>
      </c>
      <c r="Z1034" s="1">
        <v>1963.0</v>
      </c>
      <c r="AA1034" s="1" t="s">
        <v>192</v>
      </c>
      <c r="AB1034" s="1" t="s">
        <v>193</v>
      </c>
      <c r="AC1034" s="1" t="s">
        <v>11510</v>
      </c>
      <c r="AD1034" s="1" t="s">
        <v>11511</v>
      </c>
      <c r="AE1034" s="1" t="s">
        <v>917</v>
      </c>
      <c r="AF1034" s="1" t="s">
        <v>2008</v>
      </c>
      <c r="AH1034" s="1" t="s">
        <v>11512</v>
      </c>
      <c r="AK1034" s="1">
        <v>8.0</v>
      </c>
      <c r="AL1034" s="1">
        <v>4.0</v>
      </c>
      <c r="AM1034" s="1">
        <v>2.0</v>
      </c>
      <c r="AN1034" s="1">
        <v>1.0</v>
      </c>
      <c r="AO1034" s="1" t="s">
        <v>198</v>
      </c>
      <c r="AP1034" s="1">
        <v>1.0</v>
      </c>
      <c r="AQ1034" s="1" t="s">
        <v>198</v>
      </c>
      <c r="AR1034" s="1" t="s">
        <v>200</v>
      </c>
      <c r="AS1034" s="1" t="s">
        <v>199</v>
      </c>
      <c r="AT1034" s="1">
        <v>2.0</v>
      </c>
      <c r="AV1034" s="1" t="s">
        <v>200</v>
      </c>
      <c r="AW1034" s="1">
        <v>7801.7</v>
      </c>
      <c r="AX1034" s="1">
        <v>2012.0</v>
      </c>
      <c r="AY1034" s="1" t="s">
        <v>387</v>
      </c>
      <c r="AZ1034" s="1" t="s">
        <v>200</v>
      </c>
      <c r="BA1034" s="1" t="str">
        <f>"13132140120000"</f>
        <v>13132140120000</v>
      </c>
      <c r="BB1034" s="1" t="s">
        <v>200</v>
      </c>
      <c r="BC1034" s="1">
        <v>0.0</v>
      </c>
      <c r="BD1034" s="1">
        <v>320000.0</v>
      </c>
      <c r="BE1034" s="2">
        <v>41794.0</v>
      </c>
      <c r="BF1034" s="2" t="s">
        <v>11513</v>
      </c>
      <c r="BG1034" s="1" t="s">
        <v>2011</v>
      </c>
      <c r="BH1034" s="1">
        <v>0.0</v>
      </c>
      <c r="BI1034" s="1" t="s">
        <v>11276</v>
      </c>
      <c r="BJ1034" s="1" t="s">
        <v>1714</v>
      </c>
      <c r="BK1034" s="1" t="s">
        <v>204</v>
      </c>
      <c r="BL1034" s="1" t="str">
        <f>"23"</f>
        <v>23</v>
      </c>
      <c r="BM1034" s="1" t="str">
        <f t="shared" si="685"/>
        <v>0</v>
      </c>
      <c r="BN1034" s="1">
        <v>25.0</v>
      </c>
      <c r="BO1034" s="1">
        <v>0.0</v>
      </c>
      <c r="BQ1034" s="1">
        <v>220.0</v>
      </c>
      <c r="BR1034" s="1">
        <v>220.0</v>
      </c>
      <c r="BS1034" s="1">
        <v>220.0</v>
      </c>
      <c r="BU1034" s="1" t="s">
        <v>432</v>
      </c>
      <c r="BV1034" s="1" t="s">
        <v>206</v>
      </c>
      <c r="BW1034" s="1" t="s">
        <v>207</v>
      </c>
      <c r="BY1034" s="1" t="s">
        <v>361</v>
      </c>
      <c r="BZ1034" s="1" t="s">
        <v>209</v>
      </c>
      <c r="CA1034" s="1" t="s">
        <v>210</v>
      </c>
      <c r="CC1034" s="1" t="s">
        <v>584</v>
      </c>
      <c r="CD1034" s="1" t="s">
        <v>206</v>
      </c>
      <c r="CE1034" s="1" t="s">
        <v>207</v>
      </c>
      <c r="CG1034" s="1" t="s">
        <v>1351</v>
      </c>
      <c r="CH1034" s="1" t="s">
        <v>209</v>
      </c>
      <c r="CI1034" s="1" t="s">
        <v>210</v>
      </c>
      <c r="CK1034" s="1" t="s">
        <v>433</v>
      </c>
      <c r="CL1034" s="1" t="s">
        <v>209</v>
      </c>
      <c r="CM1034" s="1" t="s">
        <v>210</v>
      </c>
      <c r="CO1034" s="1" t="s">
        <v>516</v>
      </c>
      <c r="CP1034" s="1" t="s">
        <v>209</v>
      </c>
      <c r="CQ1034" s="1" t="s">
        <v>210</v>
      </c>
      <c r="CS1034" s="1" t="s">
        <v>1117</v>
      </c>
      <c r="CT1034" s="1" t="s">
        <v>206</v>
      </c>
      <c r="CU1034" s="1" t="s">
        <v>268</v>
      </c>
      <c r="CW1034" s="1" t="s">
        <v>664</v>
      </c>
      <c r="CX1034" s="1" t="s">
        <v>206</v>
      </c>
      <c r="CY1034" s="1" t="s">
        <v>207</v>
      </c>
      <c r="DA1034" s="1" t="s">
        <v>200</v>
      </c>
      <c r="DC1034" s="1" t="s">
        <v>271</v>
      </c>
      <c r="DD1034" s="1" t="s">
        <v>518</v>
      </c>
      <c r="DE1034" s="1" t="s">
        <v>273</v>
      </c>
      <c r="DF1034" s="1" t="s">
        <v>619</v>
      </c>
      <c r="DG1034" s="1" t="s">
        <v>11277</v>
      </c>
      <c r="DH1034" s="1" t="s">
        <v>856</v>
      </c>
      <c r="DI1034" s="1" t="s">
        <v>959</v>
      </c>
      <c r="DJ1034" s="1" t="s">
        <v>857</v>
      </c>
      <c r="DL1034" s="1" t="s">
        <v>858</v>
      </c>
      <c r="DM1034" s="1" t="s">
        <v>229</v>
      </c>
      <c r="DO1034" s="1" t="s">
        <v>7486</v>
      </c>
      <c r="DP1034" s="1" t="s">
        <v>340</v>
      </c>
      <c r="DQ1034" s="1" t="s">
        <v>1557</v>
      </c>
      <c r="DR1034" s="1" t="s">
        <v>229</v>
      </c>
      <c r="DS1034" s="1" t="s">
        <v>230</v>
      </c>
      <c r="DU1034" s="1" t="s">
        <v>11514</v>
      </c>
      <c r="DV1034" s="1" t="s">
        <v>232</v>
      </c>
      <c r="DW1034" s="1" t="s">
        <v>891</v>
      </c>
      <c r="DX1034" s="1" t="s">
        <v>234</v>
      </c>
      <c r="DZ1034" s="1" t="s">
        <v>3564</v>
      </c>
      <c r="EA1034" s="1" t="s">
        <v>447</v>
      </c>
      <c r="EC1034" s="1" t="s">
        <v>237</v>
      </c>
      <c r="EM1034" s="1" t="s">
        <v>238</v>
      </c>
      <c r="EQ1034" s="1" t="s">
        <v>238</v>
      </c>
      <c r="EU1034" s="1" t="s">
        <v>238</v>
      </c>
      <c r="EY1034" s="1" t="s">
        <v>238</v>
      </c>
      <c r="FC1034" s="1" t="s">
        <v>238</v>
      </c>
      <c r="FF1034" s="1" t="s">
        <v>239</v>
      </c>
      <c r="FG1034" s="1" t="s">
        <v>192</v>
      </c>
      <c r="FH1034" s="1" t="s">
        <v>192</v>
      </c>
      <c r="FJ1034" s="1" t="s">
        <v>1123</v>
      </c>
      <c r="FK1034" s="1" t="s">
        <v>229</v>
      </c>
      <c r="FL1034" s="1" t="s">
        <v>1358</v>
      </c>
      <c r="FM1034" s="1">
        <v>6022.0</v>
      </c>
      <c r="FN1034" s="1" t="s">
        <v>11515</v>
      </c>
      <c r="FO1034" s="1" t="s">
        <v>11516</v>
      </c>
      <c r="FP1034" s="1">
        <v>61753.0</v>
      </c>
      <c r="FQ1034" s="1" t="s">
        <v>11517</v>
      </c>
      <c r="FR1034" s="1">
        <v>61922.0</v>
      </c>
      <c r="FU1034" s="1" t="s">
        <v>11518</v>
      </c>
      <c r="FV1034" s="1" t="s">
        <v>200</v>
      </c>
      <c r="FW1034" s="1" t="s">
        <v>290</v>
      </c>
      <c r="FZ1034" s="1" t="s">
        <v>229</v>
      </c>
      <c r="GA1034" s="1" t="s">
        <v>291</v>
      </c>
      <c r="GB1034" s="2">
        <v>41974.0</v>
      </c>
    </row>
    <row r="1035">
      <c r="A1035" s="1">
        <v>284000.0</v>
      </c>
      <c r="B1035" s="1" t="s">
        <v>185</v>
      </c>
      <c r="C1035" s="1" t="str">
        <f>"08633278"</f>
        <v>08633278</v>
      </c>
      <c r="D1035" s="1" t="s">
        <v>186</v>
      </c>
      <c r="F1035" s="1" t="str">
        <f>"140"</f>
        <v>140</v>
      </c>
      <c r="G1035" s="2">
        <v>41793.0</v>
      </c>
      <c r="H1035" s="1">
        <v>299000.0</v>
      </c>
      <c r="I1035" s="1">
        <v>79.0</v>
      </c>
      <c r="J1035" s="1">
        <v>288900.0</v>
      </c>
      <c r="K1035" s="2">
        <v>41844.0</v>
      </c>
      <c r="L1035" s="1">
        <v>52.0</v>
      </c>
      <c r="M1035" s="2">
        <v>41844.0</v>
      </c>
      <c r="N1035" s="1" t="s">
        <v>356</v>
      </c>
      <c r="O1035" s="2">
        <v>41996.0</v>
      </c>
      <c r="P1035" s="1">
        <v>55737.0</v>
      </c>
      <c r="Q1035" s="1">
        <v>5115.0</v>
      </c>
      <c r="S1035" s="1">
        <v>507.0</v>
      </c>
      <c r="T1035" s="1" t="s">
        <v>11519</v>
      </c>
      <c r="U1035" s="1" t="s">
        <v>1174</v>
      </c>
      <c r="V1035" s="1" t="s">
        <v>321</v>
      </c>
      <c r="W1035" s="1">
        <v>60140.0</v>
      </c>
      <c r="Y1035" s="1" t="s">
        <v>11520</v>
      </c>
      <c r="Z1035" s="1">
        <v>2001.0</v>
      </c>
      <c r="AA1035" s="1" t="s">
        <v>200</v>
      </c>
      <c r="AB1035" s="1" t="s">
        <v>193</v>
      </c>
      <c r="AC1035" s="1" t="s">
        <v>11521</v>
      </c>
      <c r="AD1035" s="1" t="s">
        <v>324</v>
      </c>
      <c r="AE1035" s="1" t="s">
        <v>325</v>
      </c>
      <c r="AF1035" s="1" t="s">
        <v>324</v>
      </c>
      <c r="AH1035" s="1" t="s">
        <v>11522</v>
      </c>
      <c r="AI1035" s="1">
        <v>0.2469</v>
      </c>
      <c r="AK1035" s="1">
        <v>10.0</v>
      </c>
      <c r="AL1035" s="1">
        <v>4.0</v>
      </c>
      <c r="AM1035" s="1">
        <v>2.0</v>
      </c>
      <c r="AN1035" s="1">
        <v>1.0</v>
      </c>
      <c r="AO1035" s="1" t="s">
        <v>198</v>
      </c>
      <c r="AP1035" s="1">
        <v>1.0</v>
      </c>
      <c r="AQ1035" s="1" t="s">
        <v>198</v>
      </c>
      <c r="AR1035" s="1" t="s">
        <v>200</v>
      </c>
      <c r="AS1035" s="1" t="s">
        <v>199</v>
      </c>
      <c r="AT1035" s="1">
        <v>3.0</v>
      </c>
      <c r="AV1035" s="1" t="s">
        <v>200</v>
      </c>
      <c r="AW1035" s="1">
        <v>7617.0</v>
      </c>
      <c r="AX1035" s="1">
        <v>2013.0</v>
      </c>
      <c r="AY1035" s="1" t="s">
        <v>1179</v>
      </c>
      <c r="AZ1035" s="1" t="s">
        <v>200</v>
      </c>
      <c r="BA1035" s="1" t="str">
        <f>"0128180004"</f>
        <v>0128180004</v>
      </c>
      <c r="BC1035" s="1">
        <v>2654.0</v>
      </c>
      <c r="BD1035" s="1">
        <v>284000.0</v>
      </c>
      <c r="BE1035" s="2">
        <v>41793.0</v>
      </c>
      <c r="BF1035" s="2" t="s">
        <v>11523</v>
      </c>
      <c r="BH1035" s="1">
        <v>0.0</v>
      </c>
      <c r="BK1035" s="1" t="s">
        <v>204</v>
      </c>
      <c r="BL1035" s="1" t="str">
        <f t="shared" ref="BL1035:BM1035" si="686">""</f>
        <v/>
      </c>
      <c r="BM1035" s="1" t="str">
        <f t="shared" si="686"/>
        <v/>
      </c>
      <c r="BQ1035" s="1">
        <v>300.0</v>
      </c>
      <c r="BR1035" s="1">
        <v>300.0</v>
      </c>
      <c r="BS1035" s="1">
        <v>300.0</v>
      </c>
      <c r="BU1035" s="1" t="s">
        <v>302</v>
      </c>
      <c r="BV1035" s="1" t="s">
        <v>206</v>
      </c>
      <c r="BW1035" s="1" t="s">
        <v>210</v>
      </c>
      <c r="BX1035" s="1" t="s">
        <v>239</v>
      </c>
      <c r="BY1035" s="1" t="s">
        <v>496</v>
      </c>
      <c r="BZ1035" s="1" t="s">
        <v>209</v>
      </c>
      <c r="CA1035" s="1" t="s">
        <v>210</v>
      </c>
      <c r="CB1035" s="1" t="s">
        <v>239</v>
      </c>
      <c r="CC1035" s="1" t="s">
        <v>212</v>
      </c>
      <c r="CD1035" s="1" t="s">
        <v>206</v>
      </c>
      <c r="CE1035" s="1" t="s">
        <v>210</v>
      </c>
      <c r="CF1035" s="1" t="s">
        <v>239</v>
      </c>
      <c r="CG1035" s="1" t="s">
        <v>2459</v>
      </c>
      <c r="CH1035" s="1" t="s">
        <v>209</v>
      </c>
      <c r="CI1035" s="1" t="s">
        <v>210</v>
      </c>
      <c r="CJ1035" s="1" t="s">
        <v>239</v>
      </c>
      <c r="CK1035" s="1" t="s">
        <v>2459</v>
      </c>
      <c r="CL1035" s="1" t="s">
        <v>209</v>
      </c>
      <c r="CM1035" s="1" t="s">
        <v>210</v>
      </c>
      <c r="CN1035" s="1" t="s">
        <v>239</v>
      </c>
      <c r="CO1035" s="1" t="s">
        <v>699</v>
      </c>
      <c r="CP1035" s="1" t="s">
        <v>209</v>
      </c>
      <c r="CQ1035" s="1" t="s">
        <v>210</v>
      </c>
      <c r="CR1035" s="1" t="s">
        <v>239</v>
      </c>
      <c r="CS1035" s="1" t="s">
        <v>392</v>
      </c>
      <c r="CT1035" s="1" t="s">
        <v>206</v>
      </c>
      <c r="CU1035" s="1" t="s">
        <v>207</v>
      </c>
      <c r="CW1035" s="1" t="s">
        <v>2481</v>
      </c>
      <c r="CX1035" s="1" t="s">
        <v>206</v>
      </c>
      <c r="CY1035" s="1" t="s">
        <v>210</v>
      </c>
      <c r="CZ1035" s="1" t="s">
        <v>239</v>
      </c>
      <c r="DA1035" s="1" t="s">
        <v>200</v>
      </c>
      <c r="DC1035" s="1" t="s">
        <v>335</v>
      </c>
      <c r="DD1035" s="1" t="s">
        <v>336</v>
      </c>
      <c r="DE1035" s="1" t="s">
        <v>273</v>
      </c>
      <c r="DF1035" s="1" t="s">
        <v>219</v>
      </c>
      <c r="DG1035" s="1" t="s">
        <v>1569</v>
      </c>
      <c r="DH1035" s="1" t="s">
        <v>220</v>
      </c>
      <c r="DI1035" s="1" t="s">
        <v>275</v>
      </c>
      <c r="DJ1035" s="1" t="s">
        <v>222</v>
      </c>
      <c r="DL1035" s="1" t="s">
        <v>484</v>
      </c>
      <c r="DM1035" s="1" t="s">
        <v>338</v>
      </c>
      <c r="DN1035" s="1" t="s">
        <v>399</v>
      </c>
      <c r="DP1035" s="1" t="s">
        <v>340</v>
      </c>
      <c r="DQ1035" s="1" t="s">
        <v>228</v>
      </c>
      <c r="DR1035" s="1" t="s">
        <v>229</v>
      </c>
      <c r="DS1035" s="1" t="s">
        <v>591</v>
      </c>
      <c r="DU1035" s="1" t="s">
        <v>11226</v>
      </c>
      <c r="DV1035" s="1" t="s">
        <v>2914</v>
      </c>
      <c r="DW1035" s="1" t="s">
        <v>934</v>
      </c>
      <c r="DX1035" s="1" t="s">
        <v>234</v>
      </c>
      <c r="DY1035" s="1" t="s">
        <v>704</v>
      </c>
      <c r="DZ1035" s="1" t="s">
        <v>282</v>
      </c>
      <c r="EA1035" s="1" t="s">
        <v>1027</v>
      </c>
      <c r="EB1035" s="1" t="s">
        <v>767</v>
      </c>
      <c r="EC1035" s="1" t="s">
        <v>237</v>
      </c>
      <c r="ED1035" s="1" t="s">
        <v>407</v>
      </c>
      <c r="EG1035" s="1" t="s">
        <v>449</v>
      </c>
      <c r="EH1035" s="1" t="s">
        <v>1729</v>
      </c>
      <c r="EL1035" s="1" t="s">
        <v>2224</v>
      </c>
      <c r="EM1035" s="1" t="s">
        <v>206</v>
      </c>
      <c r="EN1035" s="1" t="s">
        <v>207</v>
      </c>
      <c r="EP1035" s="1" t="s">
        <v>2082</v>
      </c>
      <c r="EQ1035" s="1" t="s">
        <v>206</v>
      </c>
      <c r="ER1035" s="1" t="s">
        <v>268</v>
      </c>
      <c r="ES1035" s="1" t="s">
        <v>239</v>
      </c>
      <c r="EU1035" s="1" t="s">
        <v>238</v>
      </c>
      <c r="EY1035" s="1" t="s">
        <v>238</v>
      </c>
      <c r="FC1035" s="1" t="s">
        <v>238</v>
      </c>
      <c r="FF1035" s="1" t="s">
        <v>239</v>
      </c>
      <c r="FG1035" s="1" t="s">
        <v>192</v>
      </c>
      <c r="FH1035" s="1" t="s">
        <v>192</v>
      </c>
      <c r="FJ1035" s="1" t="s">
        <v>498</v>
      </c>
      <c r="FK1035" s="1" t="s">
        <v>229</v>
      </c>
      <c r="FL1035" s="1" t="s">
        <v>11524</v>
      </c>
      <c r="FM1035" s="1">
        <v>137.0</v>
      </c>
      <c r="FN1035" s="1" t="s">
        <v>11525</v>
      </c>
      <c r="FO1035" s="1" t="s">
        <v>11526</v>
      </c>
      <c r="FP1035" s="1">
        <v>771.0</v>
      </c>
      <c r="FQ1035" s="1" t="s">
        <v>11525</v>
      </c>
      <c r="FU1035" s="1" t="s">
        <v>1438</v>
      </c>
      <c r="FV1035" s="1" t="s">
        <v>200</v>
      </c>
      <c r="FW1035" s="1" t="s">
        <v>290</v>
      </c>
      <c r="FZ1035" s="1" t="s">
        <v>229</v>
      </c>
      <c r="GA1035" s="1" t="s">
        <v>291</v>
      </c>
      <c r="GB1035" s="2">
        <v>42002.0</v>
      </c>
    </row>
    <row r="1036">
      <c r="A1036" s="1">
        <v>206000.0</v>
      </c>
      <c r="B1036" s="1" t="s">
        <v>185</v>
      </c>
      <c r="C1036" s="1" t="str">
        <f>"08635675"</f>
        <v>08635675</v>
      </c>
      <c r="D1036" s="1" t="s">
        <v>186</v>
      </c>
      <c r="F1036" s="1" t="str">
        <f>"538"</f>
        <v>538</v>
      </c>
      <c r="G1036" s="2">
        <v>41795.0</v>
      </c>
      <c r="H1036" s="1">
        <v>234500.0</v>
      </c>
      <c r="I1036" s="1">
        <v>202.0</v>
      </c>
      <c r="J1036" s="1">
        <v>209900.0</v>
      </c>
      <c r="K1036" s="2">
        <v>41996.0</v>
      </c>
      <c r="L1036" s="1">
        <v>202.0</v>
      </c>
      <c r="M1036" s="2">
        <v>41996.0</v>
      </c>
      <c r="N1036" s="1" t="s">
        <v>356</v>
      </c>
      <c r="O1036" s="2">
        <v>42045.0</v>
      </c>
      <c r="P1036" s="1">
        <v>314232.0</v>
      </c>
      <c r="Q1036" s="1">
        <v>31420.0</v>
      </c>
      <c r="R1036" s="1">
        <v>10500.0</v>
      </c>
      <c r="S1036" s="1">
        <v>147.0</v>
      </c>
      <c r="T1036" s="1" t="s">
        <v>11527</v>
      </c>
      <c r="U1036" s="1" t="s">
        <v>569</v>
      </c>
      <c r="V1036" s="1" t="s">
        <v>1340</v>
      </c>
      <c r="W1036" s="1">
        <v>60538.0</v>
      </c>
      <c r="Y1036" s="1" t="s">
        <v>11528</v>
      </c>
      <c r="Z1036" s="1">
        <v>1988.0</v>
      </c>
      <c r="AA1036" s="1" t="s">
        <v>200</v>
      </c>
      <c r="AB1036" s="1" t="s">
        <v>193</v>
      </c>
      <c r="AC1036" s="1" t="s">
        <v>5391</v>
      </c>
      <c r="AD1036" s="1" t="s">
        <v>1343</v>
      </c>
      <c r="AE1036" s="1" t="s">
        <v>849</v>
      </c>
      <c r="AF1036" s="1" t="s">
        <v>1529</v>
      </c>
      <c r="AG1036" s="1" t="s">
        <v>7426</v>
      </c>
      <c r="AH1036" s="1" t="s">
        <v>11529</v>
      </c>
      <c r="AK1036" s="1">
        <v>9.0</v>
      </c>
      <c r="AL1036" s="1">
        <v>4.0</v>
      </c>
      <c r="AM1036" s="1">
        <v>2.0</v>
      </c>
      <c r="AN1036" s="1">
        <v>1.0</v>
      </c>
      <c r="AO1036" s="1" t="s">
        <v>198</v>
      </c>
      <c r="AP1036" s="1">
        <v>0.0</v>
      </c>
      <c r="AQ1036" s="1" t="s">
        <v>198</v>
      </c>
      <c r="AR1036" s="1" t="s">
        <v>200</v>
      </c>
      <c r="AS1036" s="1" t="s">
        <v>199</v>
      </c>
      <c r="AT1036" s="1">
        <v>2.0</v>
      </c>
      <c r="AV1036" s="1" t="s">
        <v>200</v>
      </c>
      <c r="AW1036" s="1">
        <v>6664.02</v>
      </c>
      <c r="AX1036" s="1">
        <v>2013.0</v>
      </c>
      <c r="AZ1036" s="1" t="s">
        <v>200</v>
      </c>
      <c r="BA1036" s="1" t="str">
        <f>"0304127032"</f>
        <v>0304127032</v>
      </c>
      <c r="BC1036" s="1">
        <v>2200.0</v>
      </c>
      <c r="BD1036" s="1">
        <v>206000.0</v>
      </c>
      <c r="BE1036" s="2">
        <v>41795.0</v>
      </c>
      <c r="BF1036" s="2" t="s">
        <v>11530</v>
      </c>
      <c r="BH1036" s="1">
        <v>0.0</v>
      </c>
      <c r="BK1036" s="1" t="s">
        <v>204</v>
      </c>
      <c r="BL1036" s="1" t="str">
        <f t="shared" ref="BL1036:BM1036" si="687">""</f>
        <v/>
      </c>
      <c r="BM1036" s="1" t="str">
        <f t="shared" si="687"/>
        <v/>
      </c>
      <c r="BQ1036" s="1">
        <v>308.0</v>
      </c>
      <c r="BR1036" s="1">
        <v>308.0</v>
      </c>
      <c r="BS1036" s="1">
        <v>308.0</v>
      </c>
      <c r="BU1036" s="1" t="s">
        <v>390</v>
      </c>
      <c r="BV1036" s="1" t="s">
        <v>206</v>
      </c>
      <c r="BW1036" s="1" t="s">
        <v>210</v>
      </c>
      <c r="BX1036" s="1" t="s">
        <v>431</v>
      </c>
      <c r="BY1036" s="1" t="s">
        <v>214</v>
      </c>
      <c r="BZ1036" s="1" t="s">
        <v>209</v>
      </c>
      <c r="CA1036" s="1" t="s">
        <v>210</v>
      </c>
      <c r="CB1036" s="1" t="s">
        <v>431</v>
      </c>
      <c r="CC1036" s="1" t="s">
        <v>363</v>
      </c>
      <c r="CD1036" s="1" t="s">
        <v>206</v>
      </c>
      <c r="CE1036" s="1" t="s">
        <v>210</v>
      </c>
      <c r="CF1036" s="1" t="s">
        <v>431</v>
      </c>
      <c r="CG1036" s="1" t="s">
        <v>699</v>
      </c>
      <c r="CH1036" s="1" t="s">
        <v>209</v>
      </c>
      <c r="CI1036" s="1" t="s">
        <v>210</v>
      </c>
      <c r="CJ1036" s="1" t="s">
        <v>431</v>
      </c>
      <c r="CK1036" s="1" t="s">
        <v>699</v>
      </c>
      <c r="CL1036" s="1" t="s">
        <v>209</v>
      </c>
      <c r="CM1036" s="1" t="s">
        <v>210</v>
      </c>
      <c r="CN1036" s="1" t="s">
        <v>431</v>
      </c>
      <c r="CO1036" s="1" t="s">
        <v>495</v>
      </c>
      <c r="CP1036" s="1" t="s">
        <v>209</v>
      </c>
      <c r="CQ1036" s="1" t="s">
        <v>210</v>
      </c>
      <c r="CR1036" s="1" t="s">
        <v>431</v>
      </c>
      <c r="CS1036" s="1" t="s">
        <v>266</v>
      </c>
      <c r="CT1036" s="1" t="s">
        <v>206</v>
      </c>
      <c r="CU1036" s="1" t="s">
        <v>301</v>
      </c>
      <c r="CW1036" s="1" t="s">
        <v>432</v>
      </c>
      <c r="CX1036" s="1" t="s">
        <v>206</v>
      </c>
      <c r="CY1036" s="1" t="s">
        <v>210</v>
      </c>
      <c r="CZ1036" s="1" t="s">
        <v>431</v>
      </c>
      <c r="DA1036" s="1" t="s">
        <v>200</v>
      </c>
      <c r="DC1036" s="1" t="s">
        <v>305</v>
      </c>
      <c r="DD1036" s="1" t="s">
        <v>855</v>
      </c>
      <c r="DE1036" s="1" t="s">
        <v>273</v>
      </c>
      <c r="DF1036" s="1" t="s">
        <v>219</v>
      </c>
      <c r="DG1036" s="1" t="s">
        <v>2747</v>
      </c>
      <c r="DH1036" s="1" t="s">
        <v>220</v>
      </c>
      <c r="DJ1036" s="1" t="s">
        <v>222</v>
      </c>
      <c r="DL1036" s="1" t="s">
        <v>224</v>
      </c>
      <c r="DM1036" s="1" t="s">
        <v>338</v>
      </c>
      <c r="DN1036" s="1" t="s">
        <v>1023</v>
      </c>
      <c r="DO1036" s="1" t="s">
        <v>486</v>
      </c>
      <c r="DP1036" s="1" t="s">
        <v>276</v>
      </c>
      <c r="DQ1036" s="1" t="s">
        <v>228</v>
      </c>
      <c r="DR1036" s="1" t="s">
        <v>229</v>
      </c>
      <c r="DS1036" s="1" t="s">
        <v>3204</v>
      </c>
      <c r="DU1036" s="1" t="s">
        <v>1840</v>
      </c>
      <c r="DV1036" s="1" t="s">
        <v>2071</v>
      </c>
      <c r="DW1036" s="1" t="s">
        <v>233</v>
      </c>
      <c r="DX1036" s="1" t="s">
        <v>234</v>
      </c>
      <c r="DY1036" s="1" t="s">
        <v>4449</v>
      </c>
      <c r="DZ1036" s="1" t="s">
        <v>310</v>
      </c>
      <c r="EA1036" s="1" t="s">
        <v>344</v>
      </c>
      <c r="EC1036" s="1" t="s">
        <v>237</v>
      </c>
      <c r="ED1036" s="1" t="s">
        <v>407</v>
      </c>
      <c r="EG1036" s="1" t="s">
        <v>449</v>
      </c>
      <c r="EH1036" s="1" t="s">
        <v>408</v>
      </c>
      <c r="EL1036" s="1" t="s">
        <v>495</v>
      </c>
      <c r="EM1036" s="1" t="s">
        <v>206</v>
      </c>
      <c r="EN1036" s="1" t="s">
        <v>301</v>
      </c>
      <c r="EO1036" s="1" t="s">
        <v>431</v>
      </c>
      <c r="EP1036" s="1" t="s">
        <v>211</v>
      </c>
      <c r="EQ1036" s="1" t="s">
        <v>206</v>
      </c>
      <c r="ER1036" s="1" t="s">
        <v>268</v>
      </c>
      <c r="EU1036" s="1" t="s">
        <v>238</v>
      </c>
      <c r="EY1036" s="1" t="s">
        <v>238</v>
      </c>
      <c r="FC1036" s="1" t="s">
        <v>238</v>
      </c>
      <c r="FF1036" s="1" t="s">
        <v>239</v>
      </c>
      <c r="FG1036" s="1" t="s">
        <v>192</v>
      </c>
      <c r="FH1036" s="1" t="s">
        <v>192</v>
      </c>
      <c r="FJ1036" s="1" t="s">
        <v>11531</v>
      </c>
      <c r="FK1036" s="1" t="s">
        <v>229</v>
      </c>
      <c r="FL1036" s="1" t="s">
        <v>1007</v>
      </c>
      <c r="FM1036" s="1">
        <v>23286.0</v>
      </c>
      <c r="FN1036" s="1" t="s">
        <v>4221</v>
      </c>
      <c r="FO1036" s="1" t="s">
        <v>4222</v>
      </c>
      <c r="FP1036" s="1">
        <v>259181.0</v>
      </c>
      <c r="FQ1036" s="1" t="s">
        <v>4223</v>
      </c>
      <c r="FR1036" s="1">
        <v>259314.0</v>
      </c>
      <c r="FS1036" s="1" t="s">
        <v>4224</v>
      </c>
      <c r="FU1036" s="1" t="s">
        <v>11532</v>
      </c>
      <c r="FV1036" s="1" t="s">
        <v>200</v>
      </c>
      <c r="FW1036" s="1" t="s">
        <v>11533</v>
      </c>
      <c r="FZ1036" s="1" t="s">
        <v>229</v>
      </c>
      <c r="GA1036" s="1" t="s">
        <v>291</v>
      </c>
      <c r="GB1036" s="2">
        <v>42045.0</v>
      </c>
      <c r="GC1036" s="1" t="s">
        <v>11534</v>
      </c>
    </row>
    <row r="1037">
      <c r="A1037" s="1">
        <v>280000.0</v>
      </c>
      <c r="B1037" s="1" t="s">
        <v>185</v>
      </c>
      <c r="C1037" s="1" t="str">
        <f>"08640312"</f>
        <v>08640312</v>
      </c>
      <c r="D1037" s="1" t="s">
        <v>186</v>
      </c>
      <c r="F1037" s="1" t="str">
        <f>"123"</f>
        <v>123</v>
      </c>
      <c r="G1037" s="2">
        <v>41800.0</v>
      </c>
      <c r="H1037" s="1">
        <v>299990.0</v>
      </c>
      <c r="I1037" s="1">
        <v>14.0</v>
      </c>
      <c r="J1037" s="1">
        <v>299990.0</v>
      </c>
      <c r="K1037" s="2">
        <v>41813.0</v>
      </c>
      <c r="L1037" s="1">
        <v>14.0</v>
      </c>
      <c r="M1037" s="2">
        <v>41813.0</v>
      </c>
      <c r="N1037" s="1" t="s">
        <v>187</v>
      </c>
      <c r="O1037" s="2">
        <v>41969.0</v>
      </c>
      <c r="P1037" s="1">
        <v>89799.0</v>
      </c>
      <c r="Q1037" s="1">
        <v>8055.0</v>
      </c>
      <c r="S1037" s="1">
        <v>318.0</v>
      </c>
      <c r="T1037" s="1" t="s">
        <v>468</v>
      </c>
      <c r="U1037" s="1" t="s">
        <v>569</v>
      </c>
      <c r="V1037" s="1" t="s">
        <v>465</v>
      </c>
      <c r="W1037" s="1">
        <v>60124.0</v>
      </c>
      <c r="Y1037" s="1" t="s">
        <v>11535</v>
      </c>
      <c r="Z1037" s="1">
        <v>2006.0</v>
      </c>
      <c r="AA1037" s="1" t="s">
        <v>200</v>
      </c>
      <c r="AB1037" s="1" t="s">
        <v>467</v>
      </c>
      <c r="AC1037" s="1" t="s">
        <v>468</v>
      </c>
      <c r="AD1037" s="1" t="s">
        <v>469</v>
      </c>
      <c r="AE1037" s="1" t="s">
        <v>325</v>
      </c>
      <c r="AF1037" s="1" t="s">
        <v>572</v>
      </c>
      <c r="AG1037" s="1" t="s">
        <v>11536</v>
      </c>
      <c r="AH1037" s="1" t="s">
        <v>5193</v>
      </c>
      <c r="AI1037" s="1">
        <v>0.2251</v>
      </c>
      <c r="AK1037" s="1">
        <v>11.0</v>
      </c>
      <c r="AL1037" s="1">
        <v>4.0</v>
      </c>
      <c r="AM1037" s="1">
        <v>2.0</v>
      </c>
      <c r="AN1037" s="1">
        <v>1.0</v>
      </c>
      <c r="AO1037" s="1" t="s">
        <v>198</v>
      </c>
      <c r="AP1037" s="1">
        <v>1.0</v>
      </c>
      <c r="AQ1037" s="1" t="s">
        <v>198</v>
      </c>
      <c r="AR1037" s="1" t="s">
        <v>200</v>
      </c>
      <c r="AS1037" s="1" t="s">
        <v>199</v>
      </c>
      <c r="AT1037" s="1">
        <v>3.0</v>
      </c>
      <c r="AV1037" s="1" t="s">
        <v>200</v>
      </c>
      <c r="AW1037" s="1">
        <v>10880.82</v>
      </c>
      <c r="AX1037" s="1">
        <v>2013.0</v>
      </c>
      <c r="AY1037" s="1" t="s">
        <v>387</v>
      </c>
      <c r="AZ1037" s="1" t="s">
        <v>545</v>
      </c>
      <c r="BA1037" s="1" t="str">
        <f>"0524433010"</f>
        <v>0524433010</v>
      </c>
      <c r="BC1037" s="1">
        <v>3415.0</v>
      </c>
      <c r="BD1037" s="1">
        <v>280000.0</v>
      </c>
      <c r="BE1037" s="2">
        <v>41800.0</v>
      </c>
      <c r="BF1037" s="2" t="s">
        <v>11537</v>
      </c>
      <c r="BH1037" s="1">
        <v>35.0</v>
      </c>
      <c r="BK1037" s="1" t="s">
        <v>474</v>
      </c>
      <c r="BL1037" s="1" t="str">
        <f t="shared" ref="BL1037:BM1037" si="688">""</f>
        <v/>
      </c>
      <c r="BM1037" s="1" t="str">
        <f t="shared" si="688"/>
        <v/>
      </c>
      <c r="BQ1037" s="1">
        <v>301.0</v>
      </c>
      <c r="BR1037" s="1">
        <v>301.0</v>
      </c>
      <c r="BS1037" s="1">
        <v>301.0</v>
      </c>
      <c r="BU1037" s="1" t="s">
        <v>1064</v>
      </c>
      <c r="BV1037" s="1" t="s">
        <v>206</v>
      </c>
      <c r="BW1037" s="1" t="s">
        <v>207</v>
      </c>
      <c r="BY1037" s="1" t="s">
        <v>1279</v>
      </c>
      <c r="BZ1037" s="1" t="s">
        <v>209</v>
      </c>
      <c r="CA1037" s="1" t="s">
        <v>210</v>
      </c>
      <c r="CC1037" s="1" t="s">
        <v>300</v>
      </c>
      <c r="CD1037" s="1" t="s">
        <v>206</v>
      </c>
      <c r="CE1037" s="1" t="s">
        <v>207</v>
      </c>
      <c r="CG1037" s="1" t="s">
        <v>454</v>
      </c>
      <c r="CH1037" s="1" t="s">
        <v>209</v>
      </c>
      <c r="CI1037" s="1" t="s">
        <v>210</v>
      </c>
      <c r="CK1037" s="1" t="s">
        <v>433</v>
      </c>
      <c r="CL1037" s="1" t="s">
        <v>209</v>
      </c>
      <c r="CM1037" s="1" t="s">
        <v>210</v>
      </c>
      <c r="CO1037" s="1" t="s">
        <v>212</v>
      </c>
      <c r="CP1037" s="1" t="s">
        <v>209</v>
      </c>
      <c r="CQ1037" s="1" t="s">
        <v>210</v>
      </c>
      <c r="CS1037" s="1" t="s">
        <v>262</v>
      </c>
      <c r="CT1037" s="1" t="s">
        <v>206</v>
      </c>
      <c r="CU1037" s="1" t="s">
        <v>207</v>
      </c>
      <c r="CW1037" s="1" t="s">
        <v>3784</v>
      </c>
      <c r="CX1037" s="1" t="s">
        <v>206</v>
      </c>
      <c r="CY1037" s="1" t="s">
        <v>210</v>
      </c>
      <c r="DA1037" s="1" t="s">
        <v>200</v>
      </c>
      <c r="DC1037" s="1" t="s">
        <v>481</v>
      </c>
      <c r="DD1037" s="1" t="s">
        <v>336</v>
      </c>
      <c r="DE1037" s="1" t="s">
        <v>218</v>
      </c>
      <c r="DF1037" s="1" t="s">
        <v>745</v>
      </c>
      <c r="DG1037" s="1" t="s">
        <v>482</v>
      </c>
      <c r="DH1037" s="1" t="s">
        <v>220</v>
      </c>
      <c r="DI1037" s="1" t="s">
        <v>11538</v>
      </c>
      <c r="DJ1037" s="1" t="s">
        <v>222</v>
      </c>
      <c r="DK1037" s="1" t="s">
        <v>223</v>
      </c>
      <c r="DL1037" s="1" t="s">
        <v>484</v>
      </c>
      <c r="DM1037" s="1" t="s">
        <v>4610</v>
      </c>
      <c r="DN1037" s="1" t="s">
        <v>485</v>
      </c>
      <c r="DP1037" s="1" t="s">
        <v>340</v>
      </c>
      <c r="DQ1037" s="1" t="s">
        <v>228</v>
      </c>
      <c r="DR1037" s="1" t="s">
        <v>588</v>
      </c>
      <c r="DU1037" s="1" t="s">
        <v>1355</v>
      </c>
      <c r="DV1037" s="1" t="s">
        <v>11539</v>
      </c>
      <c r="DW1037" s="1" t="s">
        <v>444</v>
      </c>
      <c r="DX1037" s="1" t="s">
        <v>234</v>
      </c>
      <c r="DY1037" s="1" t="s">
        <v>490</v>
      </c>
      <c r="EA1037" s="1" t="s">
        <v>344</v>
      </c>
      <c r="EB1037" s="1" t="s">
        <v>937</v>
      </c>
      <c r="EC1037" s="1" t="s">
        <v>237</v>
      </c>
      <c r="EE1037" s="1" t="s">
        <v>493</v>
      </c>
      <c r="EG1037" s="1" t="s">
        <v>556</v>
      </c>
      <c r="EH1037" s="1" t="s">
        <v>494</v>
      </c>
      <c r="EI1037" s="1" t="s">
        <v>341</v>
      </c>
      <c r="EJ1037" s="1" t="s">
        <v>408</v>
      </c>
      <c r="EK1037" s="1" t="s">
        <v>409</v>
      </c>
      <c r="EL1037" s="1" t="s">
        <v>904</v>
      </c>
      <c r="EM1037" s="1" t="s">
        <v>206</v>
      </c>
      <c r="EN1037" s="1" t="s">
        <v>207</v>
      </c>
      <c r="EP1037" s="1" t="s">
        <v>1417</v>
      </c>
      <c r="EQ1037" s="1" t="s">
        <v>206</v>
      </c>
      <c r="ER1037" s="1" t="s">
        <v>210</v>
      </c>
      <c r="ET1037" s="1" t="s">
        <v>300</v>
      </c>
      <c r="EU1037" s="1" t="s">
        <v>209</v>
      </c>
      <c r="EV1037" s="1" t="s">
        <v>210</v>
      </c>
      <c r="EX1037" s="1" t="s">
        <v>2047</v>
      </c>
      <c r="EY1037" s="1" t="s">
        <v>206</v>
      </c>
      <c r="EZ1037" s="1" t="s">
        <v>207</v>
      </c>
      <c r="FB1037" s="1" t="s">
        <v>1029</v>
      </c>
      <c r="FC1037" s="1" t="s">
        <v>209</v>
      </c>
      <c r="FD1037" s="1" t="s">
        <v>210</v>
      </c>
      <c r="FF1037" s="1" t="s">
        <v>239</v>
      </c>
      <c r="FG1037" s="1" t="s">
        <v>192</v>
      </c>
      <c r="FH1037" s="1" t="s">
        <v>192</v>
      </c>
      <c r="FJ1037" s="1" t="s">
        <v>10500</v>
      </c>
      <c r="FK1037" s="1" t="s">
        <v>11327</v>
      </c>
      <c r="FL1037" s="1" t="s">
        <v>4627</v>
      </c>
      <c r="FM1037" s="1">
        <v>23030.0</v>
      </c>
      <c r="FN1037" s="1" t="s">
        <v>4628</v>
      </c>
      <c r="FO1037" s="1" t="s">
        <v>11540</v>
      </c>
      <c r="FP1037" s="1">
        <v>233651.0</v>
      </c>
      <c r="FQ1037" s="1" t="s">
        <v>11541</v>
      </c>
      <c r="FS1037" s="1" t="s">
        <v>11542</v>
      </c>
      <c r="FU1037" s="1" t="s">
        <v>11543</v>
      </c>
      <c r="FV1037" s="1" t="s">
        <v>200</v>
      </c>
      <c r="FW1037" s="1" t="s">
        <v>4583</v>
      </c>
      <c r="FZ1037" s="1" t="s">
        <v>229</v>
      </c>
      <c r="GA1037" s="1" t="s">
        <v>291</v>
      </c>
      <c r="GB1037" s="2">
        <v>42023.0</v>
      </c>
      <c r="GC1037" s="2" t="s">
        <v>11544</v>
      </c>
    </row>
    <row r="1038">
      <c r="A1038" s="1">
        <v>145000.0</v>
      </c>
      <c r="B1038" s="1" t="s">
        <v>185</v>
      </c>
      <c r="C1038" s="1" t="str">
        <f>"08637711"</f>
        <v>08637711</v>
      </c>
      <c r="D1038" s="1" t="s">
        <v>186</v>
      </c>
      <c r="F1038" s="1" t="str">
        <f>"8070"</f>
        <v>8070</v>
      </c>
      <c r="G1038" s="2">
        <v>41796.0</v>
      </c>
      <c r="H1038" s="1">
        <v>164900.0</v>
      </c>
      <c r="I1038" s="1">
        <v>253.0</v>
      </c>
      <c r="J1038" s="1">
        <v>126000.0</v>
      </c>
      <c r="K1038" s="2">
        <v>42046.0</v>
      </c>
      <c r="L1038" s="1">
        <v>253.0</v>
      </c>
      <c r="M1038" s="2">
        <v>42046.0</v>
      </c>
      <c r="N1038" s="1" t="s">
        <v>187</v>
      </c>
      <c r="O1038" s="2">
        <v>42052.0</v>
      </c>
      <c r="P1038" s="1">
        <v>122839.0</v>
      </c>
      <c r="Q1038" s="1">
        <v>15286.0</v>
      </c>
      <c r="R1038" s="1">
        <v>4350.0</v>
      </c>
      <c r="S1038" s="1">
        <v>8118.0</v>
      </c>
      <c r="T1038" s="1" t="s">
        <v>1390</v>
      </c>
      <c r="U1038" s="1" t="s">
        <v>189</v>
      </c>
      <c r="V1038" s="1" t="s">
        <v>190</v>
      </c>
      <c r="W1038" s="1">
        <v>60652.0</v>
      </c>
      <c r="Y1038" s="1" t="s">
        <v>11545</v>
      </c>
      <c r="Z1038" s="1">
        <v>1953.0</v>
      </c>
      <c r="AA1038" s="1" t="s">
        <v>192</v>
      </c>
      <c r="AB1038" s="1" t="s">
        <v>193</v>
      </c>
      <c r="AD1038" s="1" t="s">
        <v>194</v>
      </c>
      <c r="AE1038" s="1" t="s">
        <v>195</v>
      </c>
      <c r="AF1038" s="1" t="s">
        <v>659</v>
      </c>
      <c r="AG1038" s="1" t="s">
        <v>874</v>
      </c>
      <c r="AH1038" s="1">
        <v>6048.0</v>
      </c>
      <c r="AK1038" s="1">
        <v>7.0</v>
      </c>
      <c r="AL1038" s="1">
        <v>3.0</v>
      </c>
      <c r="AM1038" s="1">
        <v>2.0</v>
      </c>
      <c r="AN1038" s="1">
        <v>0.0</v>
      </c>
      <c r="AO1038" s="1" t="s">
        <v>229</v>
      </c>
      <c r="AQ1038" s="1" t="s">
        <v>198</v>
      </c>
      <c r="AR1038" s="1" t="s">
        <v>192</v>
      </c>
      <c r="AS1038" s="1" t="s">
        <v>199</v>
      </c>
      <c r="AT1038" s="1">
        <v>2.0</v>
      </c>
      <c r="AV1038" s="1" t="s">
        <v>200</v>
      </c>
      <c r="AW1038" s="1">
        <v>2001.15</v>
      </c>
      <c r="AX1038" s="1">
        <v>2012.0</v>
      </c>
      <c r="AY1038" s="1" t="s">
        <v>387</v>
      </c>
      <c r="AZ1038" s="1" t="s">
        <v>200</v>
      </c>
      <c r="BA1038" s="1" t="str">
        <f>"19342070590000"</f>
        <v>19342070590000</v>
      </c>
      <c r="BC1038" s="1">
        <v>1025.0</v>
      </c>
      <c r="BD1038" s="1">
        <v>145000.0</v>
      </c>
      <c r="BE1038" s="2">
        <v>41794.0</v>
      </c>
      <c r="BF1038" s="2" t="s">
        <v>11546</v>
      </c>
      <c r="BH1038" s="1">
        <v>0.0</v>
      </c>
      <c r="BK1038" s="1" t="s">
        <v>204</v>
      </c>
      <c r="BL1038" s="1" t="str">
        <f t="shared" ref="BL1038:BM1038" si="689">"0"</f>
        <v>0</v>
      </c>
      <c r="BM1038" s="1" t="str">
        <f t="shared" si="689"/>
        <v>0</v>
      </c>
      <c r="BN1038" s="1">
        <v>4300.0</v>
      </c>
      <c r="BO1038" s="1">
        <v>8118.0</v>
      </c>
      <c r="BQ1038" s="1">
        <v>299.0</v>
      </c>
      <c r="BR1038" s="1">
        <v>299.0</v>
      </c>
      <c r="BS1038" s="1">
        <v>299.0</v>
      </c>
      <c r="BU1038" s="1" t="s">
        <v>582</v>
      </c>
      <c r="BV1038" s="1" t="s">
        <v>206</v>
      </c>
      <c r="BW1038" s="1" t="s">
        <v>210</v>
      </c>
      <c r="BX1038" s="1" t="s">
        <v>229</v>
      </c>
      <c r="BY1038" s="1" t="s">
        <v>495</v>
      </c>
      <c r="BZ1038" s="1" t="s">
        <v>206</v>
      </c>
      <c r="CA1038" s="1" t="s">
        <v>210</v>
      </c>
      <c r="CB1038" s="1" t="s">
        <v>229</v>
      </c>
      <c r="CD1038" s="1" t="s">
        <v>204</v>
      </c>
      <c r="CG1038" s="1" t="s">
        <v>269</v>
      </c>
      <c r="CH1038" s="1" t="s">
        <v>206</v>
      </c>
      <c r="CI1038" s="1" t="s">
        <v>210</v>
      </c>
      <c r="CJ1038" s="1" t="s">
        <v>229</v>
      </c>
      <c r="CK1038" s="1" t="s">
        <v>375</v>
      </c>
      <c r="CL1038" s="1" t="s">
        <v>206</v>
      </c>
      <c r="CM1038" s="1" t="s">
        <v>210</v>
      </c>
      <c r="CN1038" s="1" t="s">
        <v>229</v>
      </c>
      <c r="CO1038" s="1" t="s">
        <v>1672</v>
      </c>
      <c r="CP1038" s="1" t="s">
        <v>42</v>
      </c>
      <c r="CQ1038" s="1" t="s">
        <v>617</v>
      </c>
      <c r="CS1038" s="1" t="s">
        <v>541</v>
      </c>
      <c r="CT1038" s="1" t="s">
        <v>206</v>
      </c>
      <c r="CW1038" s="1" t="s">
        <v>878</v>
      </c>
      <c r="CX1038" s="1" t="s">
        <v>42</v>
      </c>
      <c r="CY1038" s="1" t="s">
        <v>210</v>
      </c>
      <c r="DA1038" s="1" t="s">
        <v>200</v>
      </c>
      <c r="DC1038" s="1" t="s">
        <v>702</v>
      </c>
      <c r="DD1038" s="1" t="s">
        <v>518</v>
      </c>
      <c r="DE1038" s="1" t="s">
        <v>273</v>
      </c>
      <c r="DF1038" s="1" t="s">
        <v>219</v>
      </c>
      <c r="DH1038" s="1" t="s">
        <v>307</v>
      </c>
      <c r="DJ1038" s="1" t="s">
        <v>222</v>
      </c>
      <c r="DL1038" s="1" t="s">
        <v>224</v>
      </c>
      <c r="DM1038" s="1" t="s">
        <v>229</v>
      </c>
      <c r="DO1038" s="1" t="s">
        <v>549</v>
      </c>
      <c r="DQ1038" s="1" t="s">
        <v>228</v>
      </c>
      <c r="DR1038" s="1" t="s">
        <v>229</v>
      </c>
      <c r="DS1038" s="1" t="s">
        <v>230</v>
      </c>
      <c r="DV1038" s="1" t="s">
        <v>232</v>
      </c>
      <c r="DW1038" s="1" t="s">
        <v>279</v>
      </c>
      <c r="DX1038" s="1" t="s">
        <v>234</v>
      </c>
      <c r="EA1038" s="1" t="s">
        <v>683</v>
      </c>
      <c r="EC1038" s="1" t="s">
        <v>685</v>
      </c>
      <c r="EM1038" s="1" t="s">
        <v>238</v>
      </c>
      <c r="EQ1038" s="1" t="s">
        <v>238</v>
      </c>
      <c r="EU1038" s="1" t="s">
        <v>238</v>
      </c>
      <c r="EY1038" s="1" t="s">
        <v>238</v>
      </c>
      <c r="FC1038" s="1" t="s">
        <v>238</v>
      </c>
      <c r="FF1038" s="1" t="s">
        <v>239</v>
      </c>
      <c r="FG1038" s="1" t="s">
        <v>192</v>
      </c>
      <c r="FH1038" s="1" t="s">
        <v>192</v>
      </c>
      <c r="FJ1038" s="1" t="s">
        <v>11547</v>
      </c>
      <c r="FK1038" s="1" t="s">
        <v>557</v>
      </c>
      <c r="FL1038" s="1" t="s">
        <v>1625</v>
      </c>
      <c r="FM1038" s="1">
        <v>16416.0</v>
      </c>
      <c r="FN1038" s="1" t="s">
        <v>1626</v>
      </c>
      <c r="FO1038" s="1" t="s">
        <v>11548</v>
      </c>
      <c r="FP1038" s="1">
        <v>150202.0</v>
      </c>
      <c r="FQ1038" s="1" t="s">
        <v>1626</v>
      </c>
      <c r="FU1038" s="1" t="s">
        <v>1628</v>
      </c>
      <c r="FV1038" s="1" t="s">
        <v>200</v>
      </c>
      <c r="FW1038" s="1" t="s">
        <v>1307</v>
      </c>
      <c r="FX1038" s="1" t="s">
        <v>655</v>
      </c>
      <c r="FZ1038" s="1" t="s">
        <v>229</v>
      </c>
      <c r="GA1038" s="1" t="s">
        <v>291</v>
      </c>
      <c r="GB1038" s="2">
        <v>42054.0</v>
      </c>
      <c r="GC1038" s="1" t="s">
        <v>11549</v>
      </c>
    </row>
    <row r="1039">
      <c r="A1039" s="1">
        <v>308000.0</v>
      </c>
      <c r="B1039" s="1" t="s">
        <v>185</v>
      </c>
      <c r="C1039" s="1" t="str">
        <f>"08634608"</f>
        <v>08634608</v>
      </c>
      <c r="D1039" s="1" t="s">
        <v>186</v>
      </c>
      <c r="F1039" s="1" t="str">
        <f>"123"</f>
        <v>123</v>
      </c>
      <c r="G1039" s="2">
        <v>41794.0</v>
      </c>
      <c r="H1039" s="1">
        <v>359900.0</v>
      </c>
      <c r="I1039" s="1">
        <v>275.0</v>
      </c>
      <c r="J1039" s="1">
        <v>339000.0</v>
      </c>
      <c r="K1039" s="2">
        <v>41942.0</v>
      </c>
      <c r="L1039" s="1">
        <v>149.0</v>
      </c>
      <c r="M1039" s="2">
        <v>41942.0</v>
      </c>
      <c r="N1039" s="1" t="s">
        <v>187</v>
      </c>
      <c r="O1039" s="2">
        <v>41977.0</v>
      </c>
      <c r="P1039" s="1">
        <v>80173.0</v>
      </c>
      <c r="Q1039" s="1">
        <v>8965.0</v>
      </c>
      <c r="S1039" s="1">
        <v>1204.0</v>
      </c>
      <c r="T1039" s="1" t="s">
        <v>11550</v>
      </c>
      <c r="U1039" s="1" t="s">
        <v>464</v>
      </c>
      <c r="V1039" s="1" t="s">
        <v>465</v>
      </c>
      <c r="W1039" s="1">
        <v>60120.0</v>
      </c>
      <c r="Y1039" s="1" t="s">
        <v>11551</v>
      </c>
      <c r="Z1039" s="1">
        <v>1993.0</v>
      </c>
      <c r="AA1039" s="1" t="s">
        <v>200</v>
      </c>
      <c r="AB1039" s="1" t="s">
        <v>193</v>
      </c>
      <c r="AC1039" s="1" t="s">
        <v>11552</v>
      </c>
      <c r="AD1039" s="1" t="s">
        <v>469</v>
      </c>
      <c r="AE1039" s="1" t="s">
        <v>195</v>
      </c>
      <c r="AF1039" s="1" t="s">
        <v>298</v>
      </c>
      <c r="AG1039" s="1" t="s">
        <v>752</v>
      </c>
      <c r="AH1039" s="1" t="s">
        <v>11553</v>
      </c>
      <c r="AK1039" s="1">
        <v>8.0</v>
      </c>
      <c r="AL1039" s="1">
        <v>4.0</v>
      </c>
      <c r="AM1039" s="1">
        <v>2.0</v>
      </c>
      <c r="AN1039" s="1">
        <v>1.0</v>
      </c>
      <c r="AO1039" s="1" t="s">
        <v>198</v>
      </c>
      <c r="AP1039" s="1">
        <v>1.0</v>
      </c>
      <c r="AQ1039" s="1" t="s">
        <v>198</v>
      </c>
      <c r="AR1039" s="1" t="s">
        <v>200</v>
      </c>
      <c r="AS1039" s="1" t="s">
        <v>199</v>
      </c>
      <c r="AT1039" s="1">
        <v>3.0</v>
      </c>
      <c r="AV1039" s="1" t="s">
        <v>200</v>
      </c>
      <c r="AW1039" s="1">
        <v>9908.44</v>
      </c>
      <c r="AX1039" s="1">
        <v>2012.0</v>
      </c>
      <c r="AY1039" s="1" t="s">
        <v>387</v>
      </c>
      <c r="AZ1039" s="1" t="s">
        <v>200</v>
      </c>
      <c r="BA1039" s="1" t="str">
        <f>"06282050160000"</f>
        <v>06282050160000</v>
      </c>
      <c r="BB1039" s="1" t="s">
        <v>200</v>
      </c>
      <c r="BC1039" s="1">
        <v>2300.0</v>
      </c>
      <c r="BD1039" s="1">
        <v>308000.0</v>
      </c>
      <c r="BE1039" s="2">
        <v>41794.0</v>
      </c>
      <c r="BF1039" s="2" t="s">
        <v>11554</v>
      </c>
      <c r="BH1039" s="1">
        <v>65.0</v>
      </c>
      <c r="BK1039" s="1" t="s">
        <v>474</v>
      </c>
      <c r="BL1039" s="1" t="str">
        <f t="shared" ref="BL1039:BM1039" si="690">""</f>
        <v/>
      </c>
      <c r="BM1039" s="1" t="str">
        <f t="shared" si="690"/>
        <v/>
      </c>
      <c r="BQ1039" s="1">
        <v>46.0</v>
      </c>
      <c r="BR1039" s="1">
        <v>46.0</v>
      </c>
      <c r="BS1039" s="1">
        <v>46.0</v>
      </c>
      <c r="BU1039" s="1" t="s">
        <v>433</v>
      </c>
      <c r="BV1039" s="1" t="s">
        <v>206</v>
      </c>
      <c r="BW1039" s="1" t="s">
        <v>207</v>
      </c>
      <c r="BX1039" s="1" t="s">
        <v>239</v>
      </c>
      <c r="BY1039" s="1" t="s">
        <v>758</v>
      </c>
      <c r="BZ1039" s="1" t="s">
        <v>206</v>
      </c>
      <c r="CA1039" s="1" t="s">
        <v>210</v>
      </c>
      <c r="CB1039" s="1" t="s">
        <v>239</v>
      </c>
      <c r="CC1039" s="1" t="s">
        <v>433</v>
      </c>
      <c r="CD1039" s="1" t="s">
        <v>206</v>
      </c>
      <c r="CE1039" s="1" t="s">
        <v>207</v>
      </c>
      <c r="CF1039" s="1" t="s">
        <v>239</v>
      </c>
      <c r="CG1039" s="1" t="s">
        <v>215</v>
      </c>
      <c r="CH1039" s="1" t="s">
        <v>209</v>
      </c>
      <c r="CI1039" s="1" t="s">
        <v>210</v>
      </c>
      <c r="CJ1039" s="1" t="s">
        <v>239</v>
      </c>
      <c r="CK1039" s="1" t="s">
        <v>215</v>
      </c>
      <c r="CL1039" s="1" t="s">
        <v>209</v>
      </c>
      <c r="CM1039" s="1" t="s">
        <v>210</v>
      </c>
      <c r="CN1039" s="1" t="s">
        <v>239</v>
      </c>
      <c r="CO1039" s="1" t="s">
        <v>433</v>
      </c>
      <c r="CP1039" s="1" t="s">
        <v>209</v>
      </c>
      <c r="CQ1039" s="1" t="s">
        <v>210</v>
      </c>
      <c r="CR1039" s="1" t="s">
        <v>239</v>
      </c>
      <c r="CS1039" s="1" t="s">
        <v>361</v>
      </c>
      <c r="CT1039" s="1" t="s">
        <v>206</v>
      </c>
      <c r="CU1039" s="1" t="s">
        <v>207</v>
      </c>
      <c r="CV1039" s="1" t="s">
        <v>239</v>
      </c>
      <c r="CW1039" s="1" t="s">
        <v>1891</v>
      </c>
      <c r="CX1039" s="1" t="s">
        <v>206</v>
      </c>
      <c r="CY1039" s="1" t="s">
        <v>210</v>
      </c>
      <c r="CZ1039" s="1" t="s">
        <v>239</v>
      </c>
      <c r="DA1039" s="1" t="s">
        <v>200</v>
      </c>
      <c r="DC1039" s="1" t="s">
        <v>435</v>
      </c>
      <c r="DD1039" s="1" t="s">
        <v>759</v>
      </c>
      <c r="DE1039" s="1" t="s">
        <v>273</v>
      </c>
      <c r="DF1039" s="1" t="s">
        <v>219</v>
      </c>
      <c r="DH1039" s="1" t="s">
        <v>365</v>
      </c>
      <c r="DI1039" s="1" t="s">
        <v>1813</v>
      </c>
      <c r="DJ1039" s="1" t="s">
        <v>222</v>
      </c>
      <c r="DK1039" s="1" t="s">
        <v>2312</v>
      </c>
      <c r="DL1039" s="1" t="s">
        <v>484</v>
      </c>
      <c r="DM1039" s="1" t="s">
        <v>229</v>
      </c>
      <c r="DN1039" s="1" t="s">
        <v>399</v>
      </c>
      <c r="DP1039" s="1" t="s">
        <v>340</v>
      </c>
      <c r="DQ1039" s="1" t="s">
        <v>228</v>
      </c>
      <c r="DR1039" s="1" t="s">
        <v>4024</v>
      </c>
      <c r="DS1039" s="1" t="s">
        <v>230</v>
      </c>
      <c r="DU1039" s="1" t="s">
        <v>11555</v>
      </c>
      <c r="DV1039" s="1" t="s">
        <v>232</v>
      </c>
      <c r="DW1039" s="1" t="s">
        <v>764</v>
      </c>
      <c r="DX1039" s="1" t="s">
        <v>234</v>
      </c>
      <c r="DY1039" s="1" t="s">
        <v>2841</v>
      </c>
      <c r="EB1039" s="1" t="s">
        <v>345</v>
      </c>
      <c r="EC1039" s="1" t="s">
        <v>237</v>
      </c>
      <c r="ED1039" s="1" t="s">
        <v>407</v>
      </c>
      <c r="EE1039" s="1" t="s">
        <v>493</v>
      </c>
      <c r="EM1039" s="1" t="s">
        <v>238</v>
      </c>
      <c r="EQ1039" s="1" t="s">
        <v>238</v>
      </c>
      <c r="EU1039" s="1" t="s">
        <v>238</v>
      </c>
      <c r="EY1039" s="1" t="s">
        <v>238</v>
      </c>
      <c r="FC1039" s="1" t="s">
        <v>238</v>
      </c>
      <c r="FF1039" s="1" t="s">
        <v>239</v>
      </c>
      <c r="FG1039" s="1" t="s">
        <v>192</v>
      </c>
      <c r="FH1039" s="1" t="s">
        <v>192</v>
      </c>
      <c r="FJ1039" s="1" t="s">
        <v>561</v>
      </c>
      <c r="FK1039" s="1" t="s">
        <v>229</v>
      </c>
      <c r="FL1039" s="1" t="s">
        <v>1124</v>
      </c>
      <c r="FM1039" s="1">
        <v>10267.0</v>
      </c>
      <c r="FN1039" s="1" t="s">
        <v>3908</v>
      </c>
      <c r="FO1039" s="1" t="s">
        <v>11556</v>
      </c>
      <c r="FP1039" s="1">
        <v>118597.0</v>
      </c>
      <c r="FQ1039" s="1" t="s">
        <v>11557</v>
      </c>
      <c r="FU1039" s="1" t="s">
        <v>11558</v>
      </c>
      <c r="FV1039" s="1" t="s">
        <v>200</v>
      </c>
      <c r="FW1039" s="1" t="s">
        <v>567</v>
      </c>
      <c r="FZ1039" s="1" t="s">
        <v>229</v>
      </c>
      <c r="GA1039" s="1" t="s">
        <v>291</v>
      </c>
      <c r="GB1039" s="2">
        <v>41981.0</v>
      </c>
      <c r="GC1039" s="1" t="s">
        <v>11559</v>
      </c>
    </row>
    <row r="1040">
      <c r="A1040" s="1">
        <v>170000.0</v>
      </c>
      <c r="B1040" s="1" t="s">
        <v>185</v>
      </c>
      <c r="C1040" s="1" t="str">
        <f>"08639169"</f>
        <v>08639169</v>
      </c>
      <c r="D1040" s="1" t="s">
        <v>186</v>
      </c>
      <c r="F1040" s="1" t="str">
        <f>"118"</f>
        <v>118</v>
      </c>
      <c r="G1040" s="2">
        <v>41799.0</v>
      </c>
      <c r="H1040" s="1">
        <v>209900.0</v>
      </c>
      <c r="I1040" s="1">
        <v>153.0</v>
      </c>
      <c r="J1040" s="1">
        <v>179900.0</v>
      </c>
      <c r="K1040" s="2">
        <v>41948.0</v>
      </c>
      <c r="L1040" s="1">
        <v>153.0</v>
      </c>
      <c r="M1040" s="2">
        <v>41948.0</v>
      </c>
      <c r="N1040" s="1" t="s">
        <v>1512</v>
      </c>
      <c r="O1040" s="2">
        <v>42067.0</v>
      </c>
      <c r="P1040" s="1">
        <v>89963.0</v>
      </c>
      <c r="Q1040" s="1">
        <v>26020.0</v>
      </c>
      <c r="S1040" s="1" t="s">
        <v>11560</v>
      </c>
      <c r="T1040" s="1" t="s">
        <v>3438</v>
      </c>
      <c r="U1040" s="1" t="s">
        <v>464</v>
      </c>
      <c r="V1040" s="1" t="s">
        <v>7481</v>
      </c>
      <c r="W1040" s="1">
        <v>60118.0</v>
      </c>
      <c r="Y1040" s="1" t="s">
        <v>11561</v>
      </c>
      <c r="Z1040" s="1">
        <v>1967.0</v>
      </c>
      <c r="AA1040" s="1" t="s">
        <v>192</v>
      </c>
      <c r="AB1040" s="1" t="s">
        <v>193</v>
      </c>
      <c r="AD1040" s="1" t="s">
        <v>810</v>
      </c>
      <c r="AE1040" s="1" t="s">
        <v>325</v>
      </c>
      <c r="AF1040" s="1" t="s">
        <v>810</v>
      </c>
      <c r="AH1040" s="1" t="s">
        <v>11562</v>
      </c>
      <c r="AK1040" s="1">
        <v>8.0</v>
      </c>
      <c r="AL1040" s="1">
        <v>4.0</v>
      </c>
      <c r="AM1040" s="1">
        <v>2.0</v>
      </c>
      <c r="AN1040" s="1">
        <v>1.0</v>
      </c>
      <c r="AO1040" s="1" t="s">
        <v>2068</v>
      </c>
      <c r="AQ1040" s="1" t="s">
        <v>229</v>
      </c>
      <c r="AR1040" s="1" t="s">
        <v>200</v>
      </c>
      <c r="AS1040" s="1" t="s">
        <v>199</v>
      </c>
      <c r="AT1040" s="1">
        <v>2.0</v>
      </c>
      <c r="AV1040" s="1" t="s">
        <v>200</v>
      </c>
      <c r="AW1040" s="1">
        <v>9016.0</v>
      </c>
      <c r="AX1040" s="1">
        <v>2013.0</v>
      </c>
      <c r="AZ1040" s="1" t="s">
        <v>200</v>
      </c>
      <c r="BA1040" s="1" t="str">
        <f>"0329451012"</f>
        <v>0329451012</v>
      </c>
      <c r="BC1040" s="1">
        <v>0.0</v>
      </c>
      <c r="BD1040" s="1">
        <v>170000.0</v>
      </c>
      <c r="BE1040" s="2">
        <v>41796.0</v>
      </c>
      <c r="BF1040" s="1" t="s">
        <v>11563</v>
      </c>
      <c r="BH1040" s="1">
        <v>0.0</v>
      </c>
      <c r="BK1040" s="1" t="s">
        <v>204</v>
      </c>
      <c r="BL1040" s="1" t="str">
        <f t="shared" ref="BL1040:BM1040" si="691">""</f>
        <v/>
      </c>
      <c r="BM1040" s="1" t="str">
        <f t="shared" si="691"/>
        <v/>
      </c>
      <c r="BQ1040" s="1">
        <v>300.0</v>
      </c>
      <c r="BR1040" s="1">
        <v>300.0</v>
      </c>
      <c r="BS1040" s="1">
        <v>300.0</v>
      </c>
      <c r="BU1040" s="1" t="s">
        <v>8426</v>
      </c>
      <c r="BV1040" s="1" t="s">
        <v>206</v>
      </c>
      <c r="BY1040" s="1" t="s">
        <v>362</v>
      </c>
      <c r="BZ1040" s="1" t="s">
        <v>206</v>
      </c>
      <c r="CC1040" s="1" t="s">
        <v>1329</v>
      </c>
      <c r="CD1040" s="1" t="s">
        <v>206</v>
      </c>
      <c r="CG1040" s="1" t="s">
        <v>1417</v>
      </c>
      <c r="CH1040" s="1" t="s">
        <v>206</v>
      </c>
      <c r="CK1040" s="1" t="s">
        <v>1417</v>
      </c>
      <c r="CL1040" s="1" t="s">
        <v>206</v>
      </c>
      <c r="CO1040" s="1" t="s">
        <v>663</v>
      </c>
      <c r="CP1040" s="1" t="s">
        <v>206</v>
      </c>
      <c r="CS1040" s="1" t="s">
        <v>2219</v>
      </c>
      <c r="CT1040" s="1" t="s">
        <v>206</v>
      </c>
      <c r="CW1040" s="1" t="s">
        <v>7781</v>
      </c>
      <c r="CX1040" s="1" t="s">
        <v>206</v>
      </c>
      <c r="DA1040" s="1" t="s">
        <v>200</v>
      </c>
      <c r="DC1040" s="1" t="s">
        <v>517</v>
      </c>
      <c r="DE1040" s="1" t="s">
        <v>273</v>
      </c>
      <c r="DF1040" s="1" t="s">
        <v>619</v>
      </c>
      <c r="DH1040" s="1" t="s">
        <v>856</v>
      </c>
      <c r="DJ1040" s="1" t="s">
        <v>857</v>
      </c>
      <c r="DL1040" s="1" t="s">
        <v>1853</v>
      </c>
      <c r="DM1040" s="1" t="s">
        <v>229</v>
      </c>
      <c r="DQ1040" s="1" t="s">
        <v>1557</v>
      </c>
      <c r="DR1040" s="1" t="s">
        <v>229</v>
      </c>
      <c r="DV1040" s="1" t="s">
        <v>2313</v>
      </c>
      <c r="DW1040" s="1" t="s">
        <v>279</v>
      </c>
      <c r="DX1040" s="1" t="s">
        <v>234</v>
      </c>
      <c r="EC1040" s="1" t="s">
        <v>685</v>
      </c>
      <c r="EE1040" s="1" t="s">
        <v>1673</v>
      </c>
      <c r="EG1040" s="1" t="s">
        <v>2313</v>
      </c>
      <c r="EL1040" s="1" t="s">
        <v>478</v>
      </c>
      <c r="EM1040" s="1" t="s">
        <v>206</v>
      </c>
      <c r="EQ1040" s="1" t="s">
        <v>238</v>
      </c>
      <c r="EU1040" s="1" t="s">
        <v>238</v>
      </c>
      <c r="EY1040" s="1" t="s">
        <v>238</v>
      </c>
      <c r="FC1040" s="1" t="s">
        <v>238</v>
      </c>
      <c r="FF1040" s="1" t="s">
        <v>239</v>
      </c>
      <c r="FG1040" s="1" t="s">
        <v>192</v>
      </c>
      <c r="FH1040" s="1" t="s">
        <v>192</v>
      </c>
      <c r="FJ1040" s="1" t="s">
        <v>1248</v>
      </c>
      <c r="FK1040" s="1" t="s">
        <v>229</v>
      </c>
      <c r="FL1040" s="1" t="s">
        <v>11564</v>
      </c>
      <c r="FM1040" s="1">
        <v>8116.0</v>
      </c>
      <c r="FN1040" s="1" t="s">
        <v>11565</v>
      </c>
      <c r="FO1040" s="1" t="s">
        <v>11566</v>
      </c>
      <c r="FP1040" s="1">
        <v>84100.0</v>
      </c>
      <c r="FQ1040" s="1" t="s">
        <v>11565</v>
      </c>
      <c r="FU1040" s="1" t="s">
        <v>1541</v>
      </c>
      <c r="FV1040" s="1" t="s">
        <v>192</v>
      </c>
      <c r="FW1040" s="1" t="s">
        <v>1511</v>
      </c>
      <c r="FZ1040" s="1" t="s">
        <v>229</v>
      </c>
      <c r="GA1040" s="1" t="s">
        <v>291</v>
      </c>
      <c r="GB1040" s="2">
        <v>42068.0</v>
      </c>
      <c r="GC1040" s="1" t="s">
        <v>11567</v>
      </c>
    </row>
    <row r="1041">
      <c r="A1041" s="1">
        <v>315000.0</v>
      </c>
      <c r="B1041" s="1" t="s">
        <v>185</v>
      </c>
      <c r="C1041" s="1" t="str">
        <f>"08382429"</f>
        <v>08382429</v>
      </c>
      <c r="D1041" s="1" t="s">
        <v>186</v>
      </c>
      <c r="F1041" s="1" t="str">
        <f>"560"</f>
        <v>560</v>
      </c>
      <c r="G1041" s="2">
        <v>41455.0</v>
      </c>
      <c r="H1041" s="1">
        <v>368000.0</v>
      </c>
      <c r="I1041" s="1">
        <v>481.0</v>
      </c>
      <c r="J1041" s="1">
        <v>329000.0</v>
      </c>
      <c r="K1041" s="2">
        <v>41935.0</v>
      </c>
      <c r="L1041" s="1">
        <v>481.0</v>
      </c>
      <c r="M1041" s="2">
        <v>41935.0</v>
      </c>
      <c r="N1041" s="1" t="s">
        <v>187</v>
      </c>
      <c r="O1041" s="2">
        <v>41975.0</v>
      </c>
      <c r="P1041" s="1">
        <v>233292.0</v>
      </c>
      <c r="Q1041" s="1">
        <v>23030.0</v>
      </c>
      <c r="S1041" s="1">
        <v>357.0</v>
      </c>
      <c r="T1041" s="1" t="s">
        <v>11568</v>
      </c>
      <c r="U1041" s="1" t="s">
        <v>420</v>
      </c>
      <c r="V1041" s="1" t="s">
        <v>845</v>
      </c>
      <c r="W1041" s="1">
        <v>60560.0</v>
      </c>
      <c r="Y1041" s="1" t="s">
        <v>11569</v>
      </c>
      <c r="Z1041" s="1">
        <v>2000.0</v>
      </c>
      <c r="AA1041" s="1" t="s">
        <v>200</v>
      </c>
      <c r="AB1041" s="1" t="s">
        <v>193</v>
      </c>
      <c r="AC1041" s="1" t="s">
        <v>11570</v>
      </c>
      <c r="AD1041" s="1" t="s">
        <v>1089</v>
      </c>
      <c r="AE1041" s="1" t="s">
        <v>849</v>
      </c>
      <c r="AF1041" s="1" t="s">
        <v>2153</v>
      </c>
      <c r="AH1041" s="1" t="s">
        <v>11571</v>
      </c>
      <c r="AI1041" s="1">
        <v>1.0</v>
      </c>
      <c r="AK1041" s="1">
        <v>8.0</v>
      </c>
      <c r="AL1041" s="1">
        <v>4.0</v>
      </c>
      <c r="AM1041" s="1">
        <v>2.0</v>
      </c>
      <c r="AN1041" s="1">
        <v>1.0</v>
      </c>
      <c r="AO1041" s="1" t="s">
        <v>198</v>
      </c>
      <c r="AP1041" s="1">
        <v>1.0</v>
      </c>
      <c r="AQ1041" s="1" t="s">
        <v>327</v>
      </c>
      <c r="AR1041" s="1" t="s">
        <v>200</v>
      </c>
      <c r="AS1041" s="1" t="s">
        <v>199</v>
      </c>
      <c r="AT1041" s="1">
        <v>3.0</v>
      </c>
      <c r="AV1041" s="1" t="s">
        <v>200</v>
      </c>
      <c r="AW1041" s="1">
        <v>8264.92</v>
      </c>
      <c r="AX1041" s="1">
        <v>2012.0</v>
      </c>
      <c r="AZ1041" s="1" t="s">
        <v>200</v>
      </c>
      <c r="BA1041" s="1" t="str">
        <f>"0502102012"</f>
        <v>0502102012</v>
      </c>
      <c r="BC1041" s="1">
        <v>2878.0</v>
      </c>
      <c r="BD1041" s="1">
        <v>315000.0</v>
      </c>
      <c r="BE1041" s="2">
        <v>41455.0</v>
      </c>
      <c r="BF1041" s="2" t="s">
        <v>11572</v>
      </c>
      <c r="BH1041" s="1">
        <v>360.0</v>
      </c>
      <c r="BK1041" s="1" t="s">
        <v>580</v>
      </c>
      <c r="BL1041" s="1" t="str">
        <f t="shared" ref="BL1041:BM1041" si="692">""</f>
        <v/>
      </c>
      <c r="BM1041" s="1" t="str">
        <f t="shared" si="692"/>
        <v/>
      </c>
      <c r="BQ1041" s="1">
        <v>115.0</v>
      </c>
      <c r="BR1041" s="1">
        <v>115.0</v>
      </c>
      <c r="BS1041" s="1">
        <v>115.0</v>
      </c>
      <c r="BV1041" s="1" t="s">
        <v>204</v>
      </c>
      <c r="BY1041" s="1" t="s">
        <v>453</v>
      </c>
      <c r="BZ1041" s="1" t="s">
        <v>209</v>
      </c>
      <c r="CA1041" s="1" t="s">
        <v>210</v>
      </c>
      <c r="CB1041" s="1" t="s">
        <v>431</v>
      </c>
      <c r="CC1041" s="1" t="s">
        <v>262</v>
      </c>
      <c r="CD1041" s="1" t="s">
        <v>206</v>
      </c>
      <c r="CE1041" s="1" t="s">
        <v>210</v>
      </c>
      <c r="CF1041" s="1" t="s">
        <v>431</v>
      </c>
      <c r="CG1041" s="1" t="s">
        <v>699</v>
      </c>
      <c r="CH1041" s="1" t="s">
        <v>209</v>
      </c>
      <c r="CI1041" s="1" t="s">
        <v>210</v>
      </c>
      <c r="CJ1041" s="1" t="s">
        <v>431</v>
      </c>
      <c r="CK1041" s="1" t="s">
        <v>302</v>
      </c>
      <c r="CL1041" s="1" t="s">
        <v>209</v>
      </c>
      <c r="CM1041" s="1" t="s">
        <v>210</v>
      </c>
      <c r="CN1041" s="1" t="s">
        <v>431</v>
      </c>
      <c r="CO1041" s="1" t="s">
        <v>1417</v>
      </c>
      <c r="CP1041" s="1" t="s">
        <v>209</v>
      </c>
      <c r="CQ1041" s="1" t="s">
        <v>210</v>
      </c>
      <c r="CR1041" s="1" t="s">
        <v>431</v>
      </c>
      <c r="CS1041" s="1" t="s">
        <v>1001</v>
      </c>
      <c r="CT1041" s="1" t="s">
        <v>206</v>
      </c>
      <c r="CU1041" s="1" t="s">
        <v>207</v>
      </c>
      <c r="CW1041" s="1" t="s">
        <v>4597</v>
      </c>
      <c r="CX1041" s="1" t="s">
        <v>206</v>
      </c>
      <c r="CY1041" s="1" t="s">
        <v>210</v>
      </c>
      <c r="CZ1041" s="1" t="s">
        <v>431</v>
      </c>
      <c r="DA1041" s="1" t="s">
        <v>200</v>
      </c>
      <c r="DC1041" s="1" t="s">
        <v>335</v>
      </c>
      <c r="DD1041" s="1" t="s">
        <v>9282</v>
      </c>
      <c r="DE1041" s="1" t="s">
        <v>273</v>
      </c>
      <c r="DF1041" s="1" t="s">
        <v>219</v>
      </c>
      <c r="DG1041" s="1" t="s">
        <v>11573</v>
      </c>
      <c r="DH1041" s="1" t="s">
        <v>856</v>
      </c>
      <c r="DI1041" s="1" t="s">
        <v>221</v>
      </c>
      <c r="DJ1041" s="1" t="s">
        <v>857</v>
      </c>
      <c r="DL1041" s="1" t="s">
        <v>2220</v>
      </c>
      <c r="DM1041" s="1" t="s">
        <v>229</v>
      </c>
      <c r="DN1041" s="1" t="s">
        <v>226</v>
      </c>
      <c r="DO1041" s="1" t="s">
        <v>11574</v>
      </c>
      <c r="DP1041" s="1" t="s">
        <v>340</v>
      </c>
      <c r="DQ1041" s="1" t="s">
        <v>931</v>
      </c>
      <c r="DR1041" s="1" t="s">
        <v>229</v>
      </c>
      <c r="DU1041" s="1" t="s">
        <v>3890</v>
      </c>
      <c r="DV1041" s="1" t="s">
        <v>594</v>
      </c>
      <c r="DW1041" s="1" t="s">
        <v>3142</v>
      </c>
      <c r="DX1041" s="1" t="s">
        <v>234</v>
      </c>
      <c r="DY1041" s="1" t="s">
        <v>490</v>
      </c>
      <c r="DZ1041" s="1" t="s">
        <v>491</v>
      </c>
      <c r="EB1041" s="1" t="s">
        <v>597</v>
      </c>
      <c r="EC1041" s="1" t="s">
        <v>237</v>
      </c>
      <c r="ED1041" s="1" t="s">
        <v>407</v>
      </c>
      <c r="EG1041" s="1" t="s">
        <v>598</v>
      </c>
      <c r="EH1041" s="1" t="s">
        <v>408</v>
      </c>
      <c r="EL1041" s="1" t="s">
        <v>332</v>
      </c>
      <c r="EM1041" s="1" t="s">
        <v>206</v>
      </c>
      <c r="EN1041" s="1" t="s">
        <v>210</v>
      </c>
      <c r="EO1041" s="1" t="s">
        <v>431</v>
      </c>
      <c r="EP1041" s="1" t="s">
        <v>392</v>
      </c>
      <c r="EQ1041" s="1" t="s">
        <v>206</v>
      </c>
      <c r="ER1041" s="1" t="s">
        <v>207</v>
      </c>
      <c r="EU1041" s="1" t="s">
        <v>238</v>
      </c>
      <c r="EY1041" s="1" t="s">
        <v>238</v>
      </c>
      <c r="FC1041" s="1" t="s">
        <v>238</v>
      </c>
      <c r="FF1041" s="1" t="s">
        <v>239</v>
      </c>
      <c r="FG1041" s="1" t="s">
        <v>192</v>
      </c>
      <c r="FH1041" s="1" t="s">
        <v>192</v>
      </c>
      <c r="FJ1041" s="1" t="s">
        <v>624</v>
      </c>
      <c r="FK1041" s="1" t="s">
        <v>229</v>
      </c>
      <c r="FL1041" s="1" t="s">
        <v>1007</v>
      </c>
      <c r="FM1041" s="1">
        <v>22588.0</v>
      </c>
      <c r="FN1041" s="1" t="s">
        <v>1321</v>
      </c>
      <c r="FO1041" s="1" t="s">
        <v>1322</v>
      </c>
      <c r="FP1041" s="1">
        <v>223009.0</v>
      </c>
      <c r="FQ1041" s="1" t="s">
        <v>1323</v>
      </c>
      <c r="FU1041" s="1" t="s">
        <v>10294</v>
      </c>
      <c r="FV1041" s="1" t="s">
        <v>200</v>
      </c>
      <c r="FW1041" s="1" t="s">
        <v>530</v>
      </c>
      <c r="FZ1041" s="1" t="s">
        <v>229</v>
      </c>
      <c r="GA1041" s="1" t="s">
        <v>291</v>
      </c>
      <c r="GB1041" s="2">
        <v>41975.0</v>
      </c>
    </row>
    <row r="1042">
      <c r="A1042" s="1">
        <v>1100000.0</v>
      </c>
      <c r="B1042" s="1" t="s">
        <v>185</v>
      </c>
      <c r="C1042" s="1" t="str">
        <f>"08397541"</f>
        <v>08397541</v>
      </c>
      <c r="D1042" s="1" t="s">
        <v>186</v>
      </c>
      <c r="F1042" s="1" t="str">
        <f>"174"</f>
        <v>174</v>
      </c>
      <c r="G1042" s="2">
        <v>41473.0</v>
      </c>
      <c r="H1042" s="1">
        <v>1350000.0</v>
      </c>
      <c r="I1042" s="1">
        <v>932.0</v>
      </c>
      <c r="J1042" s="1">
        <v>1248000.0</v>
      </c>
      <c r="K1042" s="2">
        <v>42036.0</v>
      </c>
      <c r="L1042" s="1">
        <v>564.0</v>
      </c>
      <c r="M1042" s="2">
        <v>42036.0</v>
      </c>
      <c r="N1042" s="1" t="s">
        <v>187</v>
      </c>
      <c r="O1042" s="2">
        <v>42076.0</v>
      </c>
      <c r="P1042" s="1">
        <v>1279.0</v>
      </c>
      <c r="Q1042" s="1">
        <v>604.0</v>
      </c>
      <c r="S1042" s="1">
        <v>2901.0</v>
      </c>
      <c r="T1042" s="1" t="s">
        <v>11575</v>
      </c>
      <c r="U1042" s="1" t="s">
        <v>569</v>
      </c>
      <c r="V1042" s="1" t="s">
        <v>1200</v>
      </c>
      <c r="W1042" s="1">
        <v>60174.0</v>
      </c>
      <c r="Y1042" s="1" t="s">
        <v>11576</v>
      </c>
      <c r="Z1042" s="1">
        <v>1996.0</v>
      </c>
      <c r="AA1042" s="1" t="s">
        <v>200</v>
      </c>
      <c r="AB1042" s="1" t="s">
        <v>467</v>
      </c>
      <c r="AC1042" s="1" t="s">
        <v>11577</v>
      </c>
      <c r="AD1042" s="1" t="s">
        <v>1203</v>
      </c>
      <c r="AE1042" s="1" t="s">
        <v>325</v>
      </c>
      <c r="AF1042" s="1" t="s">
        <v>1203</v>
      </c>
      <c r="AH1042" s="1" t="s">
        <v>11578</v>
      </c>
      <c r="AI1042" s="1">
        <v>1.263</v>
      </c>
      <c r="AK1042" s="1">
        <v>15.0</v>
      </c>
      <c r="AL1042" s="1">
        <v>4.0</v>
      </c>
      <c r="AM1042" s="1">
        <v>5.0</v>
      </c>
      <c r="AN1042" s="1">
        <v>1.0</v>
      </c>
      <c r="AO1042" s="1" t="s">
        <v>198</v>
      </c>
      <c r="AP1042" s="1">
        <v>6.0</v>
      </c>
      <c r="AQ1042" s="1" t="s">
        <v>5726</v>
      </c>
      <c r="AR1042" s="1" t="s">
        <v>192</v>
      </c>
      <c r="AS1042" s="1" t="s">
        <v>199</v>
      </c>
      <c r="AT1042" s="1">
        <v>3.0</v>
      </c>
      <c r="AV1042" s="1" t="s">
        <v>200</v>
      </c>
      <c r="AW1042" s="1">
        <v>37009.9</v>
      </c>
      <c r="AX1042" s="1">
        <v>2013.0</v>
      </c>
      <c r="AY1042" s="1" t="s">
        <v>229</v>
      </c>
      <c r="AZ1042" s="1" t="s">
        <v>200</v>
      </c>
      <c r="BA1042" s="1" t="str">
        <f>"0914376009"</f>
        <v>0914376009</v>
      </c>
      <c r="BB1042" s="1" t="s">
        <v>200</v>
      </c>
      <c r="BC1042" s="1">
        <v>7236.0</v>
      </c>
      <c r="BD1042" s="1">
        <v>1100000.0</v>
      </c>
      <c r="BE1042" s="2">
        <v>41473.0</v>
      </c>
      <c r="BF1042" s="2" t="s">
        <v>11579</v>
      </c>
      <c r="BH1042" s="1">
        <v>150.0</v>
      </c>
      <c r="BI1042" s="1" t="s">
        <v>2143</v>
      </c>
      <c r="BJ1042" s="1" t="s">
        <v>2144</v>
      </c>
      <c r="BK1042" s="1" t="s">
        <v>580</v>
      </c>
      <c r="BL1042" s="1" t="str">
        <f t="shared" ref="BL1042:BM1042" si="693">""</f>
        <v/>
      </c>
      <c r="BM1042" s="1" t="str">
        <f t="shared" si="693"/>
        <v/>
      </c>
      <c r="BQ1042" s="1">
        <v>303.0</v>
      </c>
      <c r="BR1042" s="1">
        <v>303.0</v>
      </c>
      <c r="BS1042" s="1">
        <v>303.0</v>
      </c>
      <c r="BU1042" s="1" t="s">
        <v>9408</v>
      </c>
      <c r="BV1042" s="1" t="s">
        <v>206</v>
      </c>
      <c r="BW1042" s="1" t="s">
        <v>207</v>
      </c>
      <c r="BY1042" s="1" t="s">
        <v>479</v>
      </c>
      <c r="BZ1042" s="1" t="s">
        <v>209</v>
      </c>
      <c r="CA1042" s="1" t="s">
        <v>210</v>
      </c>
      <c r="CC1042" s="1" t="s">
        <v>715</v>
      </c>
      <c r="CD1042" s="1" t="s">
        <v>206</v>
      </c>
      <c r="CE1042" s="1" t="s">
        <v>207</v>
      </c>
      <c r="CG1042" s="1" t="s">
        <v>480</v>
      </c>
      <c r="CH1042" s="1" t="s">
        <v>209</v>
      </c>
      <c r="CI1042" s="1" t="s">
        <v>210</v>
      </c>
      <c r="CK1042" s="1" t="s">
        <v>2182</v>
      </c>
      <c r="CL1042" s="1" t="s">
        <v>209</v>
      </c>
      <c r="CM1042" s="1" t="s">
        <v>210</v>
      </c>
      <c r="CO1042" s="1" t="s">
        <v>453</v>
      </c>
      <c r="CP1042" s="1" t="s">
        <v>209</v>
      </c>
      <c r="CQ1042" s="1" t="s">
        <v>210</v>
      </c>
      <c r="CS1042" s="1" t="s">
        <v>213</v>
      </c>
      <c r="CT1042" s="1" t="s">
        <v>206</v>
      </c>
      <c r="CU1042" s="1" t="s">
        <v>2128</v>
      </c>
      <c r="CW1042" s="1" t="s">
        <v>9803</v>
      </c>
      <c r="CX1042" s="1" t="s">
        <v>206</v>
      </c>
      <c r="CY1042" s="1" t="s">
        <v>207</v>
      </c>
      <c r="DA1042" s="1" t="s">
        <v>200</v>
      </c>
      <c r="DC1042" s="1" t="s">
        <v>678</v>
      </c>
      <c r="DD1042" s="1" t="s">
        <v>1552</v>
      </c>
      <c r="DE1042" s="1" t="s">
        <v>273</v>
      </c>
      <c r="DF1042" s="1" t="s">
        <v>2328</v>
      </c>
      <c r="DG1042" s="1" t="s">
        <v>3833</v>
      </c>
      <c r="DH1042" s="1" t="s">
        <v>220</v>
      </c>
      <c r="DI1042" s="1" t="s">
        <v>1318</v>
      </c>
      <c r="DJ1042" s="1" t="s">
        <v>222</v>
      </c>
      <c r="DL1042" s="1" t="s">
        <v>11580</v>
      </c>
      <c r="DM1042" s="1" t="s">
        <v>338</v>
      </c>
      <c r="DN1042" s="1" t="s">
        <v>3785</v>
      </c>
      <c r="DO1042" s="1" t="s">
        <v>2838</v>
      </c>
      <c r="DP1042" s="1" t="s">
        <v>340</v>
      </c>
      <c r="DQ1042" s="1" t="s">
        <v>931</v>
      </c>
      <c r="DR1042" s="1" t="s">
        <v>229</v>
      </c>
      <c r="DU1042" s="1" t="s">
        <v>11581</v>
      </c>
      <c r="DV1042" s="1" t="s">
        <v>11582</v>
      </c>
      <c r="DW1042" s="1" t="s">
        <v>279</v>
      </c>
      <c r="DX1042" s="1" t="s">
        <v>1287</v>
      </c>
      <c r="DY1042" s="1" t="s">
        <v>11583</v>
      </c>
      <c r="DZ1042" s="1" t="s">
        <v>1466</v>
      </c>
      <c r="EA1042" s="1" t="s">
        <v>344</v>
      </c>
      <c r="EB1042" s="1" t="s">
        <v>11584</v>
      </c>
      <c r="EC1042" s="1" t="s">
        <v>237</v>
      </c>
      <c r="ED1042" s="1" t="s">
        <v>407</v>
      </c>
      <c r="EG1042" s="1" t="s">
        <v>494</v>
      </c>
      <c r="EH1042" s="1" t="s">
        <v>451</v>
      </c>
      <c r="EI1042" s="1" t="s">
        <v>408</v>
      </c>
      <c r="EJ1042" s="1" t="s">
        <v>449</v>
      </c>
      <c r="EK1042" s="1" t="s">
        <v>450</v>
      </c>
      <c r="EL1042" s="1" t="s">
        <v>362</v>
      </c>
      <c r="EM1042" s="1" t="s">
        <v>206</v>
      </c>
      <c r="EN1042" s="1" t="s">
        <v>207</v>
      </c>
      <c r="EP1042" s="1" t="s">
        <v>333</v>
      </c>
      <c r="EQ1042" s="1" t="s">
        <v>42</v>
      </c>
      <c r="ER1042" s="1" t="s">
        <v>210</v>
      </c>
      <c r="ET1042" s="1" t="s">
        <v>333</v>
      </c>
      <c r="EU1042" s="1" t="s">
        <v>206</v>
      </c>
      <c r="EV1042" s="1" t="s">
        <v>2128</v>
      </c>
      <c r="EX1042" s="1" t="s">
        <v>215</v>
      </c>
      <c r="EY1042" s="1" t="s">
        <v>206</v>
      </c>
      <c r="EZ1042" s="1" t="s">
        <v>2128</v>
      </c>
      <c r="FB1042" s="1" t="s">
        <v>6858</v>
      </c>
      <c r="FC1042" s="1" t="s">
        <v>42</v>
      </c>
      <c r="FD1042" s="1" t="s">
        <v>210</v>
      </c>
      <c r="FF1042" s="1" t="s">
        <v>239</v>
      </c>
      <c r="FG1042" s="1" t="s">
        <v>192</v>
      </c>
      <c r="FH1042" s="1" t="s">
        <v>192</v>
      </c>
      <c r="FJ1042" s="1" t="s">
        <v>9053</v>
      </c>
      <c r="FK1042" s="1" t="s">
        <v>229</v>
      </c>
      <c r="FL1042" s="1" t="s">
        <v>1358</v>
      </c>
      <c r="FM1042" s="1">
        <v>23591.0</v>
      </c>
      <c r="FN1042" s="1" t="s">
        <v>2134</v>
      </c>
      <c r="FO1042" s="1" t="s">
        <v>2135</v>
      </c>
      <c r="FP1042" s="1">
        <v>230500.0</v>
      </c>
      <c r="FQ1042" s="1" t="s">
        <v>2136</v>
      </c>
      <c r="FS1042" s="1" t="s">
        <v>11585</v>
      </c>
      <c r="FU1042" s="1" t="s">
        <v>11586</v>
      </c>
      <c r="FV1042" s="1" t="s">
        <v>200</v>
      </c>
      <c r="FW1042" s="1" t="s">
        <v>290</v>
      </c>
      <c r="FZ1042" s="1" t="s">
        <v>229</v>
      </c>
      <c r="GA1042" s="1" t="s">
        <v>291</v>
      </c>
      <c r="GB1042" s="2">
        <v>42076.0</v>
      </c>
      <c r="GC1042" s="1" t="s">
        <v>11587</v>
      </c>
    </row>
    <row r="1043">
      <c r="A1043" s="1">
        <v>260000.0</v>
      </c>
      <c r="B1043" s="1" t="s">
        <v>185</v>
      </c>
      <c r="C1043" s="1" t="str">
        <f>"08398326"</f>
        <v>08398326</v>
      </c>
      <c r="D1043" s="1" t="s">
        <v>186</v>
      </c>
      <c r="F1043" s="1" t="str">
        <f>"538"</f>
        <v>538</v>
      </c>
      <c r="G1043" s="2">
        <v>41474.0</v>
      </c>
      <c r="H1043" s="1">
        <v>265000.0</v>
      </c>
      <c r="I1043" s="1">
        <v>492.0</v>
      </c>
      <c r="J1043" s="1">
        <v>265000.0</v>
      </c>
      <c r="K1043" s="2">
        <v>41965.0</v>
      </c>
      <c r="L1043" s="1">
        <v>492.0</v>
      </c>
      <c r="M1043" s="2">
        <v>41965.0</v>
      </c>
      <c r="N1043" s="1" t="s">
        <v>356</v>
      </c>
      <c r="O1043" s="2">
        <v>42013.0</v>
      </c>
      <c r="P1043" s="1">
        <v>245750.0</v>
      </c>
      <c r="Q1043" s="1">
        <v>25042.0</v>
      </c>
      <c r="R1043" s="1">
        <v>5000.0</v>
      </c>
      <c r="S1043" s="1">
        <v>970.0</v>
      </c>
      <c r="T1043" s="1" t="s">
        <v>11588</v>
      </c>
      <c r="U1043" s="1" t="s">
        <v>1174</v>
      </c>
      <c r="V1043" s="1" t="s">
        <v>1340</v>
      </c>
      <c r="W1043" s="1">
        <v>60538.0</v>
      </c>
      <c r="Y1043" s="1" t="s">
        <v>11589</v>
      </c>
      <c r="Z1043" s="1">
        <v>2008.0</v>
      </c>
      <c r="AA1043" s="1" t="s">
        <v>200</v>
      </c>
      <c r="AB1043" s="1" t="s">
        <v>193</v>
      </c>
      <c r="AC1043" s="1" t="s">
        <v>11590</v>
      </c>
      <c r="AD1043" s="1" t="s">
        <v>1343</v>
      </c>
      <c r="AE1043" s="1" t="s">
        <v>849</v>
      </c>
      <c r="AF1043" s="1" t="s">
        <v>1529</v>
      </c>
      <c r="AG1043" s="1" t="s">
        <v>11591</v>
      </c>
      <c r="AH1043" s="1" t="s">
        <v>11592</v>
      </c>
      <c r="AK1043" s="1">
        <v>7.0</v>
      </c>
      <c r="AL1043" s="1">
        <v>4.0</v>
      </c>
      <c r="AM1043" s="1">
        <v>3.0</v>
      </c>
      <c r="AN1043" s="1">
        <v>1.0</v>
      </c>
      <c r="AO1043" s="1" t="s">
        <v>198</v>
      </c>
      <c r="AP1043" s="1">
        <v>1.0</v>
      </c>
      <c r="AQ1043" s="1" t="s">
        <v>327</v>
      </c>
      <c r="AR1043" s="1" t="s">
        <v>192</v>
      </c>
      <c r="AS1043" s="1" t="s">
        <v>199</v>
      </c>
      <c r="AT1043" s="1">
        <v>3.0</v>
      </c>
      <c r="AV1043" s="1" t="s">
        <v>200</v>
      </c>
      <c r="AW1043" s="1" t="s">
        <v>575</v>
      </c>
      <c r="AX1043" s="1">
        <v>2012.0</v>
      </c>
      <c r="AY1043" s="1" t="s">
        <v>229</v>
      </c>
      <c r="AZ1043" s="1" t="s">
        <v>200</v>
      </c>
      <c r="BA1043" s="1" t="str">
        <f>"0302219018"</f>
        <v>0302219018</v>
      </c>
      <c r="BB1043" s="1" t="s">
        <v>200</v>
      </c>
      <c r="BC1043" s="1">
        <v>2565.0</v>
      </c>
      <c r="BD1043" s="1">
        <v>260000.0</v>
      </c>
      <c r="BE1043" s="2">
        <v>41474.0</v>
      </c>
      <c r="BF1043" s="2" t="s">
        <v>11593</v>
      </c>
      <c r="BG1043" s="1" t="s">
        <v>1347</v>
      </c>
      <c r="BH1043" s="1">
        <v>0.0</v>
      </c>
      <c r="BI1043" s="1" t="s">
        <v>3647</v>
      </c>
      <c r="BJ1043" s="1" t="s">
        <v>2546</v>
      </c>
      <c r="BK1043" s="1" t="s">
        <v>204</v>
      </c>
      <c r="BL1043" s="1" t="str">
        <f t="shared" ref="BL1043:BM1043" si="694">""</f>
        <v/>
      </c>
      <c r="BM1043" s="1" t="str">
        <f t="shared" si="694"/>
        <v/>
      </c>
      <c r="BQ1043" s="1">
        <v>308.0</v>
      </c>
      <c r="BR1043" s="1">
        <v>308.0</v>
      </c>
      <c r="BS1043" s="1">
        <v>308.0</v>
      </c>
      <c r="BU1043" s="1" t="s">
        <v>730</v>
      </c>
      <c r="BV1043" s="1" t="s">
        <v>206</v>
      </c>
      <c r="BW1043" s="1" t="s">
        <v>210</v>
      </c>
      <c r="BY1043" s="1" t="s">
        <v>479</v>
      </c>
      <c r="BZ1043" s="1" t="s">
        <v>209</v>
      </c>
      <c r="CA1043" s="1" t="s">
        <v>210</v>
      </c>
      <c r="CD1043" s="1" t="s">
        <v>204</v>
      </c>
      <c r="CG1043" s="1" t="s">
        <v>363</v>
      </c>
      <c r="CH1043" s="1" t="s">
        <v>209</v>
      </c>
      <c r="CI1043" s="1" t="s">
        <v>210</v>
      </c>
      <c r="CK1043" s="1" t="s">
        <v>433</v>
      </c>
      <c r="CL1043" s="1" t="s">
        <v>209</v>
      </c>
      <c r="CM1043" s="1" t="s">
        <v>210</v>
      </c>
      <c r="CO1043" s="1" t="s">
        <v>212</v>
      </c>
      <c r="CP1043" s="1" t="s">
        <v>209</v>
      </c>
      <c r="CQ1043" s="1" t="s">
        <v>210</v>
      </c>
      <c r="CS1043" s="1" t="s">
        <v>6146</v>
      </c>
      <c r="CT1043" s="1" t="s">
        <v>206</v>
      </c>
      <c r="CU1043" s="1" t="s">
        <v>207</v>
      </c>
      <c r="CW1043" s="1" t="s">
        <v>639</v>
      </c>
      <c r="CX1043" s="1" t="s">
        <v>206</v>
      </c>
      <c r="CY1043" s="1" t="s">
        <v>210</v>
      </c>
      <c r="DA1043" s="1" t="s">
        <v>200</v>
      </c>
      <c r="DC1043" s="1" t="s">
        <v>481</v>
      </c>
      <c r="DD1043" s="1" t="s">
        <v>1838</v>
      </c>
      <c r="DE1043" s="1" t="s">
        <v>273</v>
      </c>
      <c r="DF1043" s="1" t="s">
        <v>619</v>
      </c>
      <c r="DG1043" s="1" t="s">
        <v>337</v>
      </c>
      <c r="DH1043" s="1" t="s">
        <v>220</v>
      </c>
      <c r="DI1043" s="1" t="s">
        <v>275</v>
      </c>
      <c r="DJ1043" s="1" t="s">
        <v>222</v>
      </c>
      <c r="DL1043" s="1" t="s">
        <v>1161</v>
      </c>
      <c r="DM1043" s="1" t="s">
        <v>338</v>
      </c>
      <c r="DN1043" s="1" t="s">
        <v>485</v>
      </c>
      <c r="DP1043" s="1" t="s">
        <v>276</v>
      </c>
      <c r="DQ1043" s="1" t="s">
        <v>228</v>
      </c>
      <c r="DR1043" s="1" t="s">
        <v>229</v>
      </c>
      <c r="DS1043" s="1" t="s">
        <v>591</v>
      </c>
      <c r="DU1043" s="1" t="s">
        <v>11594</v>
      </c>
      <c r="DV1043" s="1" t="s">
        <v>232</v>
      </c>
      <c r="DW1043" s="1" t="s">
        <v>444</v>
      </c>
      <c r="DX1043" s="1" t="s">
        <v>309</v>
      </c>
      <c r="DY1043" s="1" t="s">
        <v>596</v>
      </c>
      <c r="DZ1043" s="1" t="s">
        <v>11595</v>
      </c>
      <c r="EA1043" s="1" t="s">
        <v>344</v>
      </c>
      <c r="EB1043" s="1" t="s">
        <v>1639</v>
      </c>
      <c r="EC1043" s="1" t="s">
        <v>237</v>
      </c>
      <c r="ED1043" s="1" t="s">
        <v>5333</v>
      </c>
      <c r="EM1043" s="1" t="s">
        <v>238</v>
      </c>
      <c r="EQ1043" s="1" t="s">
        <v>238</v>
      </c>
      <c r="EU1043" s="1" t="s">
        <v>238</v>
      </c>
      <c r="EY1043" s="1" t="s">
        <v>238</v>
      </c>
      <c r="FC1043" s="1" t="s">
        <v>238</v>
      </c>
      <c r="FF1043" s="1" t="s">
        <v>239</v>
      </c>
      <c r="FG1043" s="1" t="s">
        <v>192</v>
      </c>
      <c r="FH1043" s="1" t="s">
        <v>192</v>
      </c>
      <c r="FJ1043" s="1" t="s">
        <v>11596</v>
      </c>
      <c r="FK1043" s="1" t="s">
        <v>229</v>
      </c>
      <c r="FL1043" s="1" t="s">
        <v>525</v>
      </c>
      <c r="FM1043" s="1">
        <v>22029.0</v>
      </c>
      <c r="FN1043" s="1" t="s">
        <v>526</v>
      </c>
      <c r="FO1043" s="1" t="s">
        <v>11597</v>
      </c>
      <c r="FP1043" s="1">
        <v>215491.0</v>
      </c>
      <c r="FQ1043" s="1" t="s">
        <v>11598</v>
      </c>
      <c r="FS1043" s="1" t="s">
        <v>11599</v>
      </c>
      <c r="FT1043" s="1" t="s">
        <v>11600</v>
      </c>
      <c r="FU1043" s="1" t="s">
        <v>11601</v>
      </c>
      <c r="FV1043" s="1" t="s">
        <v>200</v>
      </c>
      <c r="FW1043" s="1" t="s">
        <v>11602</v>
      </c>
      <c r="FZ1043" s="1" t="s">
        <v>632</v>
      </c>
      <c r="GA1043" s="1" t="s">
        <v>291</v>
      </c>
      <c r="GB1043" s="2">
        <v>42013.0</v>
      </c>
      <c r="GC1043" s="1" t="s">
        <v>11603</v>
      </c>
    </row>
    <row r="1044">
      <c r="A1044" s="1">
        <v>105000.0</v>
      </c>
      <c r="B1044" s="1" t="s">
        <v>185</v>
      </c>
      <c r="C1044" s="1" t="str">
        <f>"08397016"</f>
        <v>08397016</v>
      </c>
      <c r="D1044" s="1" t="s">
        <v>186</v>
      </c>
      <c r="F1044" s="1" t="str">
        <f>"140"</f>
        <v>140</v>
      </c>
      <c r="G1044" s="2">
        <v>41472.0</v>
      </c>
      <c r="H1044" s="1">
        <v>145900.0</v>
      </c>
      <c r="I1044" s="1">
        <v>580.0</v>
      </c>
      <c r="J1044" s="1">
        <v>99900.0</v>
      </c>
      <c r="K1044" s="2">
        <v>42050.0</v>
      </c>
      <c r="L1044" s="1">
        <v>580.0</v>
      </c>
      <c r="M1044" s="2">
        <v>42050.0</v>
      </c>
      <c r="N1044" s="1" t="s">
        <v>356</v>
      </c>
      <c r="O1044" s="2">
        <v>42146.0</v>
      </c>
      <c r="P1044" s="1">
        <v>215726.0</v>
      </c>
      <c r="Q1044" s="1">
        <v>22808.0</v>
      </c>
      <c r="S1044" s="1" t="s">
        <v>11604</v>
      </c>
      <c r="T1044" s="1" t="s">
        <v>11605</v>
      </c>
      <c r="U1044" s="1" t="s">
        <v>464</v>
      </c>
      <c r="V1044" s="1" t="s">
        <v>11606</v>
      </c>
      <c r="W1044" s="1">
        <v>60170.0</v>
      </c>
      <c r="Y1044" s="1" t="s">
        <v>11607</v>
      </c>
      <c r="Z1044" s="1">
        <v>1951.0</v>
      </c>
      <c r="AA1044" s="1" t="s">
        <v>192</v>
      </c>
      <c r="AB1044" s="1" t="s">
        <v>193</v>
      </c>
      <c r="AD1044" s="1" t="s">
        <v>11608</v>
      </c>
      <c r="AE1044" s="1" t="s">
        <v>325</v>
      </c>
      <c r="AF1044" s="1" t="s">
        <v>572</v>
      </c>
      <c r="AG1044" s="1" t="s">
        <v>1392</v>
      </c>
      <c r="AH1044" s="1" t="s">
        <v>3573</v>
      </c>
      <c r="AI1044" s="1">
        <v>0.25</v>
      </c>
      <c r="AK1044" s="1">
        <v>7.0</v>
      </c>
      <c r="AL1044" s="1">
        <v>4.0</v>
      </c>
      <c r="AM1044" s="1">
        <v>2.0</v>
      </c>
      <c r="AN1044" s="1">
        <v>0.0</v>
      </c>
      <c r="AO1044" s="1" t="s">
        <v>229</v>
      </c>
      <c r="AQ1044" s="1" t="s">
        <v>198</v>
      </c>
      <c r="AR1044" s="1" t="s">
        <v>192</v>
      </c>
      <c r="AS1044" s="1" t="s">
        <v>199</v>
      </c>
      <c r="AT1044" s="1">
        <v>2.0</v>
      </c>
      <c r="AV1044" s="1" t="s">
        <v>200</v>
      </c>
      <c r="AW1044" s="1">
        <v>4620.0</v>
      </c>
      <c r="AX1044" s="1">
        <v>2013.0</v>
      </c>
      <c r="AY1044" s="1" t="s">
        <v>1179</v>
      </c>
      <c r="AZ1044" s="1" t="s">
        <v>200</v>
      </c>
      <c r="BA1044" s="1" t="str">
        <f>"0522126013"</f>
        <v>0522126013</v>
      </c>
      <c r="BB1044" s="1" t="s">
        <v>200</v>
      </c>
      <c r="BC1044" s="1">
        <v>1500.0</v>
      </c>
      <c r="BD1044" s="1">
        <v>105000.0</v>
      </c>
      <c r="BE1044" s="2">
        <v>41471.0</v>
      </c>
      <c r="BF1044" s="1" t="s">
        <v>11609</v>
      </c>
      <c r="BH1044" s="1">
        <v>0.0</v>
      </c>
      <c r="BK1044" s="1" t="s">
        <v>204</v>
      </c>
      <c r="BL1044" s="1" t="str">
        <f>"11"</f>
        <v>11</v>
      </c>
      <c r="BM1044" s="1" t="str">
        <f>""</f>
        <v/>
      </c>
      <c r="BN1044" s="1">
        <v>41.0</v>
      </c>
      <c r="BQ1044" s="1">
        <v>301.0</v>
      </c>
      <c r="BR1044" s="1">
        <v>301.0</v>
      </c>
      <c r="BS1044" s="1">
        <v>301.0</v>
      </c>
      <c r="BU1044" s="1" t="s">
        <v>433</v>
      </c>
      <c r="BV1044" s="1" t="s">
        <v>206</v>
      </c>
      <c r="BW1044" s="1" t="s">
        <v>210</v>
      </c>
      <c r="BX1044" s="1" t="s">
        <v>229</v>
      </c>
      <c r="BY1044" s="1" t="s">
        <v>302</v>
      </c>
      <c r="BZ1044" s="1" t="s">
        <v>206</v>
      </c>
      <c r="CA1044" s="1" t="s">
        <v>210</v>
      </c>
      <c r="CB1044" s="1" t="s">
        <v>229</v>
      </c>
      <c r="CD1044" s="1" t="s">
        <v>204</v>
      </c>
      <c r="CG1044" s="1" t="s">
        <v>1760</v>
      </c>
      <c r="CH1044" s="1" t="s">
        <v>206</v>
      </c>
      <c r="CI1044" s="1" t="s">
        <v>210</v>
      </c>
      <c r="CJ1044" s="1" t="s">
        <v>229</v>
      </c>
      <c r="CK1044" s="1" t="s">
        <v>699</v>
      </c>
      <c r="CL1044" s="1" t="s">
        <v>209</v>
      </c>
      <c r="CM1044" s="1" t="s">
        <v>210</v>
      </c>
      <c r="CN1044" s="1" t="s">
        <v>229</v>
      </c>
      <c r="CO1044" s="1" t="s">
        <v>699</v>
      </c>
      <c r="CP1044" s="1" t="s">
        <v>209</v>
      </c>
      <c r="CQ1044" s="1" t="s">
        <v>210</v>
      </c>
      <c r="CR1044" s="1" t="s">
        <v>229</v>
      </c>
      <c r="CS1044" s="1" t="s">
        <v>215</v>
      </c>
      <c r="CT1044" s="1" t="s">
        <v>206</v>
      </c>
      <c r="CU1044" s="1" t="s">
        <v>588</v>
      </c>
      <c r="CV1044" s="1" t="s">
        <v>229</v>
      </c>
      <c r="CX1044" s="1" t="s">
        <v>204</v>
      </c>
      <c r="DA1044" s="1" t="s">
        <v>200</v>
      </c>
      <c r="DC1044" s="1" t="s">
        <v>702</v>
      </c>
      <c r="DD1044" s="1" t="s">
        <v>518</v>
      </c>
      <c r="DE1044" s="1" t="s">
        <v>3750</v>
      </c>
      <c r="DF1044" s="1" t="s">
        <v>11610</v>
      </c>
      <c r="DG1044" s="1" t="s">
        <v>1553</v>
      </c>
      <c r="DH1044" s="1" t="s">
        <v>856</v>
      </c>
      <c r="DI1044" s="1" t="s">
        <v>1223</v>
      </c>
      <c r="DJ1044" s="1" t="s">
        <v>857</v>
      </c>
      <c r="DK1044" s="1" t="s">
        <v>198</v>
      </c>
      <c r="DL1044" s="1" t="s">
        <v>223</v>
      </c>
      <c r="DM1044" s="1" t="s">
        <v>229</v>
      </c>
      <c r="DO1044" s="1" t="s">
        <v>5000</v>
      </c>
      <c r="DQ1044" s="1" t="s">
        <v>441</v>
      </c>
      <c r="DR1044" s="1" t="s">
        <v>229</v>
      </c>
      <c r="DS1044" s="1" t="s">
        <v>230</v>
      </c>
      <c r="DU1044" s="1" t="s">
        <v>11611</v>
      </c>
      <c r="DV1044" s="1" t="s">
        <v>557</v>
      </c>
      <c r="DW1044" s="1" t="s">
        <v>370</v>
      </c>
      <c r="DX1044" s="1" t="s">
        <v>234</v>
      </c>
      <c r="DY1044" s="1" t="s">
        <v>6341</v>
      </c>
      <c r="DZ1044" s="1" t="s">
        <v>343</v>
      </c>
      <c r="EA1044" s="1" t="s">
        <v>1075</v>
      </c>
      <c r="EC1044" s="1" t="s">
        <v>237</v>
      </c>
      <c r="ED1044" s="1" t="s">
        <v>555</v>
      </c>
      <c r="EE1044" s="1" t="s">
        <v>493</v>
      </c>
      <c r="EG1044" s="1" t="s">
        <v>557</v>
      </c>
      <c r="EL1044" s="1" t="s">
        <v>2564</v>
      </c>
      <c r="EM1044" s="1" t="s">
        <v>114</v>
      </c>
      <c r="EN1044" s="1" t="s">
        <v>588</v>
      </c>
      <c r="EO1044" s="1" t="s">
        <v>229</v>
      </c>
      <c r="EQ1044" s="1" t="s">
        <v>238</v>
      </c>
      <c r="EU1044" s="1" t="s">
        <v>238</v>
      </c>
      <c r="EY1044" s="1" t="s">
        <v>238</v>
      </c>
      <c r="FC1044" s="1" t="s">
        <v>238</v>
      </c>
      <c r="FF1044" s="1" t="s">
        <v>239</v>
      </c>
      <c r="FG1044" s="1" t="s">
        <v>192</v>
      </c>
      <c r="FH1044" s="1" t="s">
        <v>192</v>
      </c>
      <c r="FJ1044" s="1" t="s">
        <v>11612</v>
      </c>
      <c r="FK1044" s="1" t="s">
        <v>1586</v>
      </c>
      <c r="FL1044" s="1" t="s">
        <v>11613</v>
      </c>
      <c r="FM1044" s="1">
        <v>224.0</v>
      </c>
      <c r="FN1044" s="1" t="s">
        <v>11614</v>
      </c>
      <c r="FO1044" s="1" t="s">
        <v>11615</v>
      </c>
      <c r="FP1044" s="1">
        <v>77511.0</v>
      </c>
      <c r="FQ1044" s="1" t="s">
        <v>11616</v>
      </c>
      <c r="FT1044" s="1" t="s">
        <v>11617</v>
      </c>
      <c r="FU1044" s="1" t="s">
        <v>11618</v>
      </c>
      <c r="FV1044" s="1" t="s">
        <v>200</v>
      </c>
      <c r="FW1044" s="1" t="s">
        <v>11619</v>
      </c>
      <c r="FZ1044" s="1" t="s">
        <v>229</v>
      </c>
      <c r="GA1044" s="1" t="s">
        <v>291</v>
      </c>
      <c r="GB1044" s="2">
        <v>42150.0</v>
      </c>
      <c r="GC1044" s="1" t="s">
        <v>11620</v>
      </c>
    </row>
    <row r="1045">
      <c r="A1045" s="1">
        <v>63000.0</v>
      </c>
      <c r="B1045" s="1" t="s">
        <v>185</v>
      </c>
      <c r="C1045" s="1" t="str">
        <f>"08923659"</f>
        <v>08923659</v>
      </c>
      <c r="D1045" s="1" t="s">
        <v>186</v>
      </c>
      <c r="F1045" s="1" t="str">
        <f>"8063"</f>
        <v>8063</v>
      </c>
      <c r="G1045" s="2">
        <v>42139.0</v>
      </c>
      <c r="H1045" s="1">
        <v>63000.0</v>
      </c>
      <c r="I1045" s="1">
        <v>1.0</v>
      </c>
      <c r="J1045" s="1">
        <v>63000.0</v>
      </c>
      <c r="K1045" s="2">
        <v>42139.0</v>
      </c>
      <c r="L1045" s="1">
        <v>1.0</v>
      </c>
      <c r="M1045" s="2">
        <v>42139.0</v>
      </c>
      <c r="N1045" s="1" t="s">
        <v>249</v>
      </c>
      <c r="O1045" s="2">
        <v>42139.0</v>
      </c>
      <c r="P1045" s="1">
        <v>114256.0</v>
      </c>
      <c r="Q1045" s="1">
        <v>12174.0</v>
      </c>
      <c r="S1045" s="1">
        <v>5651.0</v>
      </c>
      <c r="T1045" s="1" t="s">
        <v>3471</v>
      </c>
      <c r="U1045" s="1" t="s">
        <v>189</v>
      </c>
      <c r="V1045" s="1" t="s">
        <v>190</v>
      </c>
      <c r="W1045" s="1">
        <v>60629.0</v>
      </c>
      <c r="Y1045" s="1" t="s">
        <v>11621</v>
      </c>
      <c r="Z1045" s="1">
        <v>1923.0</v>
      </c>
      <c r="AA1045" s="1" t="s">
        <v>192</v>
      </c>
      <c r="AB1045" s="1" t="s">
        <v>193</v>
      </c>
      <c r="AD1045" s="1" t="s">
        <v>194</v>
      </c>
      <c r="AE1045" s="1" t="s">
        <v>195</v>
      </c>
      <c r="AF1045" s="1" t="s">
        <v>659</v>
      </c>
      <c r="AG1045" s="1" t="s">
        <v>778</v>
      </c>
      <c r="AH1045" s="1">
        <v>3150.0</v>
      </c>
      <c r="AK1045" s="1">
        <v>8.0</v>
      </c>
      <c r="AL1045" s="1">
        <v>4.0</v>
      </c>
      <c r="AM1045" s="1">
        <v>2.0</v>
      </c>
      <c r="AN1045" s="1">
        <v>0.0</v>
      </c>
      <c r="AO1045" s="1" t="s">
        <v>229</v>
      </c>
      <c r="AQ1045" s="1" t="s">
        <v>327</v>
      </c>
      <c r="AR1045" s="1" t="s">
        <v>192</v>
      </c>
      <c r="AS1045" s="1" t="s">
        <v>199</v>
      </c>
      <c r="AT1045" s="1">
        <v>2.0</v>
      </c>
      <c r="AV1045" s="1" t="s">
        <v>200</v>
      </c>
      <c r="AW1045" s="1">
        <v>1530.43</v>
      </c>
      <c r="AX1045" s="1">
        <v>2013.0</v>
      </c>
      <c r="AZ1045" s="1" t="s">
        <v>545</v>
      </c>
      <c r="BA1045" s="1" t="str">
        <f>"19142120180000"</f>
        <v>19142120180000</v>
      </c>
      <c r="BC1045" s="1">
        <v>903.0</v>
      </c>
      <c r="BD1045" s="1">
        <v>63000.0</v>
      </c>
      <c r="BE1045" s="2">
        <v>42139.0</v>
      </c>
      <c r="BF1045" s="1" t="s">
        <v>6552</v>
      </c>
      <c r="BH1045" s="1">
        <v>0.0</v>
      </c>
      <c r="BK1045" s="1" t="s">
        <v>204</v>
      </c>
      <c r="BL1045" s="1" t="str">
        <f t="shared" ref="BL1045:BM1045" si="695">"0"</f>
        <v>0</v>
      </c>
      <c r="BM1045" s="1" t="str">
        <f t="shared" si="695"/>
        <v>0</v>
      </c>
      <c r="BN1045" s="1">
        <v>3300.0</v>
      </c>
      <c r="BO1045" s="1">
        <v>5651.0</v>
      </c>
      <c r="BQ1045" s="1">
        <v>299.0</v>
      </c>
      <c r="BR1045" s="1">
        <v>299.0</v>
      </c>
      <c r="BS1045" s="1">
        <v>299.0</v>
      </c>
      <c r="BU1045" s="1" t="s">
        <v>266</v>
      </c>
      <c r="BV1045" s="1" t="s">
        <v>206</v>
      </c>
      <c r="BY1045" s="1" t="s">
        <v>1745</v>
      </c>
      <c r="BZ1045" s="1" t="s">
        <v>206</v>
      </c>
      <c r="CC1045" s="1" t="s">
        <v>640</v>
      </c>
      <c r="CD1045" s="1" t="s">
        <v>206</v>
      </c>
      <c r="CG1045" s="1" t="s">
        <v>1745</v>
      </c>
      <c r="CH1045" s="1" t="s">
        <v>206</v>
      </c>
      <c r="CK1045" s="1" t="s">
        <v>1689</v>
      </c>
      <c r="CL1045" s="1" t="s">
        <v>209</v>
      </c>
      <c r="CO1045" s="1" t="s">
        <v>640</v>
      </c>
      <c r="CP1045" s="1" t="s">
        <v>209</v>
      </c>
      <c r="CS1045" s="1" t="s">
        <v>1672</v>
      </c>
      <c r="CT1045" s="1" t="s">
        <v>206</v>
      </c>
      <c r="CW1045" s="1" t="s">
        <v>616</v>
      </c>
      <c r="CX1045" s="1" t="s">
        <v>42</v>
      </c>
      <c r="DA1045" s="1" t="s">
        <v>200</v>
      </c>
      <c r="DC1045" s="1" t="s">
        <v>216</v>
      </c>
      <c r="DE1045" s="1" t="s">
        <v>229</v>
      </c>
      <c r="DF1045" s="1" t="s">
        <v>219</v>
      </c>
      <c r="DG1045" s="1" t="s">
        <v>2747</v>
      </c>
      <c r="DH1045" s="1" t="s">
        <v>220</v>
      </c>
      <c r="DJ1045" s="1" t="s">
        <v>222</v>
      </c>
      <c r="DK1045" s="1" t="s">
        <v>224</v>
      </c>
      <c r="DL1045" s="1" t="s">
        <v>858</v>
      </c>
      <c r="DM1045" s="1" t="s">
        <v>229</v>
      </c>
      <c r="DP1045" s="1" t="s">
        <v>276</v>
      </c>
      <c r="DQ1045" s="1" t="s">
        <v>718</v>
      </c>
      <c r="DR1045" s="1" t="s">
        <v>229</v>
      </c>
      <c r="DV1045" s="1" t="s">
        <v>232</v>
      </c>
      <c r="DW1045" s="1" t="s">
        <v>279</v>
      </c>
      <c r="DX1045" s="1" t="s">
        <v>234</v>
      </c>
      <c r="EA1045" s="1" t="s">
        <v>644</v>
      </c>
      <c r="EC1045" s="1" t="s">
        <v>645</v>
      </c>
      <c r="EM1045" s="1" t="s">
        <v>238</v>
      </c>
      <c r="EQ1045" s="1" t="s">
        <v>238</v>
      </c>
      <c r="EU1045" s="1" t="s">
        <v>238</v>
      </c>
      <c r="EY1045" s="1" t="s">
        <v>238</v>
      </c>
      <c r="FC1045" s="1" t="s">
        <v>238</v>
      </c>
      <c r="FF1045" s="1" t="s">
        <v>239</v>
      </c>
      <c r="FG1045" s="1" t="s">
        <v>192</v>
      </c>
      <c r="FH1045" s="1" t="s">
        <v>200</v>
      </c>
      <c r="FJ1045" s="1" t="s">
        <v>4092</v>
      </c>
      <c r="FK1045" s="1" t="s">
        <v>229</v>
      </c>
      <c r="FL1045" s="1" t="s">
        <v>11622</v>
      </c>
      <c r="FM1045" s="1">
        <v>16339.0</v>
      </c>
      <c r="FN1045" s="1" t="s">
        <v>11623</v>
      </c>
      <c r="FO1045" s="1" t="s">
        <v>11624</v>
      </c>
      <c r="FP1045" s="1">
        <v>106496.0</v>
      </c>
      <c r="FR1045" s="1">
        <v>165879.0</v>
      </c>
      <c r="FU1045" s="1" t="s">
        <v>6367</v>
      </c>
      <c r="FV1045" s="1" t="s">
        <v>200</v>
      </c>
      <c r="FW1045" s="1" t="s">
        <v>7400</v>
      </c>
      <c r="FX1045" s="1" t="s">
        <v>655</v>
      </c>
      <c r="FZ1045" s="1" t="s">
        <v>229</v>
      </c>
      <c r="GA1045" s="1" t="s">
        <v>291</v>
      </c>
      <c r="GB1045" s="2">
        <v>42139.0</v>
      </c>
    </row>
    <row r="1046">
      <c r="A1046" s="1">
        <v>324071.0</v>
      </c>
      <c r="B1046" s="1" t="s">
        <v>185</v>
      </c>
      <c r="C1046" s="1" t="str">
        <f>"08924822"</f>
        <v>08924822</v>
      </c>
      <c r="D1046" s="1" t="s">
        <v>186</v>
      </c>
      <c r="F1046" s="1" t="str">
        <f>"178"</f>
        <v>178</v>
      </c>
      <c r="G1046" s="2">
        <v>42140.0</v>
      </c>
      <c r="H1046" s="1">
        <v>325601.0</v>
      </c>
      <c r="I1046" s="1">
        <v>1.0</v>
      </c>
      <c r="J1046" s="1">
        <v>325601.0</v>
      </c>
      <c r="K1046" s="2">
        <v>42137.0</v>
      </c>
      <c r="L1046" s="1">
        <v>1.0</v>
      </c>
      <c r="M1046" s="2">
        <v>42137.0</v>
      </c>
      <c r="N1046" s="1" t="s">
        <v>187</v>
      </c>
      <c r="O1046" s="2">
        <v>42142.0</v>
      </c>
      <c r="P1046" s="1">
        <v>189649.0</v>
      </c>
      <c r="Q1046" s="1">
        <v>85399.0</v>
      </c>
      <c r="S1046" s="1">
        <v>1211.0</v>
      </c>
      <c r="T1046" s="1" t="s">
        <v>11625</v>
      </c>
      <c r="U1046" s="1" t="s">
        <v>420</v>
      </c>
      <c r="V1046" s="1" t="s">
        <v>994</v>
      </c>
      <c r="W1046" s="1">
        <v>60178.0</v>
      </c>
      <c r="Y1046" s="1" t="s">
        <v>11626</v>
      </c>
      <c r="Z1046" s="1">
        <v>2015.0</v>
      </c>
      <c r="AA1046" s="1" t="s">
        <v>200</v>
      </c>
      <c r="AB1046" s="1" t="s">
        <v>467</v>
      </c>
      <c r="AC1046" s="1" t="s">
        <v>4018</v>
      </c>
      <c r="AD1046" s="1" t="s">
        <v>997</v>
      </c>
      <c r="AE1046" s="1" t="s">
        <v>613</v>
      </c>
      <c r="AF1046" s="1" t="s">
        <v>4019</v>
      </c>
      <c r="AG1046" s="1" t="s">
        <v>11627</v>
      </c>
      <c r="AH1046" s="1" t="s">
        <v>11628</v>
      </c>
      <c r="AK1046" s="1">
        <v>10.0</v>
      </c>
      <c r="AL1046" s="1">
        <v>4.0</v>
      </c>
      <c r="AM1046" s="1">
        <v>3.0</v>
      </c>
      <c r="AN1046" s="1">
        <v>0.0</v>
      </c>
      <c r="AO1046" s="1" t="s">
        <v>198</v>
      </c>
      <c r="AQ1046" s="1" t="s">
        <v>198</v>
      </c>
      <c r="AR1046" s="1" t="s">
        <v>192</v>
      </c>
      <c r="AS1046" s="1" t="s">
        <v>199</v>
      </c>
      <c r="AT1046" s="1">
        <v>3.0</v>
      </c>
      <c r="AV1046" s="1" t="s">
        <v>200</v>
      </c>
      <c r="AW1046" s="5">
        <v>51.0</v>
      </c>
      <c r="AX1046" s="1">
        <v>2014.0</v>
      </c>
      <c r="AY1046" s="1" t="s">
        <v>229</v>
      </c>
      <c r="AZ1046" s="1" t="s">
        <v>192</v>
      </c>
      <c r="BA1046" s="1" t="str">
        <f>"0905276016"</f>
        <v>0905276016</v>
      </c>
      <c r="BC1046" s="1">
        <v>2681.0</v>
      </c>
      <c r="BD1046" s="1">
        <v>324071.0</v>
      </c>
      <c r="BE1046" s="2">
        <v>42137.0</v>
      </c>
      <c r="BF1046" s="1" t="s">
        <v>11629</v>
      </c>
      <c r="BH1046" s="1">
        <v>369.0</v>
      </c>
      <c r="BK1046" s="1" t="s">
        <v>580</v>
      </c>
      <c r="BL1046" s="1" t="str">
        <f t="shared" ref="BL1046:BM1046" si="696">""</f>
        <v/>
      </c>
      <c r="BM1046" s="1" t="str">
        <f t="shared" si="696"/>
        <v/>
      </c>
      <c r="BQ1046" s="1">
        <v>427.0</v>
      </c>
      <c r="BR1046" s="1">
        <v>427.0</v>
      </c>
      <c r="BS1046" s="1">
        <v>427.0</v>
      </c>
      <c r="BU1046" s="1" t="s">
        <v>4045</v>
      </c>
      <c r="BV1046" s="1" t="s">
        <v>206</v>
      </c>
      <c r="BW1046" s="1" t="s">
        <v>210</v>
      </c>
      <c r="BX1046" s="1" t="s">
        <v>229</v>
      </c>
      <c r="BY1046" s="1" t="s">
        <v>453</v>
      </c>
      <c r="BZ1046" s="1" t="s">
        <v>209</v>
      </c>
      <c r="CA1046" s="1" t="s">
        <v>210</v>
      </c>
      <c r="CB1046" s="1" t="s">
        <v>229</v>
      </c>
      <c r="CC1046" s="1" t="s">
        <v>1351</v>
      </c>
      <c r="CD1046" s="1" t="s">
        <v>206</v>
      </c>
      <c r="CE1046" s="1" t="s">
        <v>207</v>
      </c>
      <c r="CF1046" s="1" t="s">
        <v>229</v>
      </c>
      <c r="CG1046" s="1" t="s">
        <v>478</v>
      </c>
      <c r="CH1046" s="1" t="s">
        <v>209</v>
      </c>
      <c r="CI1046" s="1" t="s">
        <v>210</v>
      </c>
      <c r="CJ1046" s="1" t="s">
        <v>229</v>
      </c>
      <c r="CK1046" s="1" t="s">
        <v>1329</v>
      </c>
      <c r="CL1046" s="1" t="s">
        <v>209</v>
      </c>
      <c r="CM1046" s="1" t="s">
        <v>210</v>
      </c>
      <c r="CN1046" s="1" t="s">
        <v>229</v>
      </c>
      <c r="CO1046" s="1" t="s">
        <v>478</v>
      </c>
      <c r="CP1046" s="1" t="s">
        <v>209</v>
      </c>
      <c r="CQ1046" s="1" t="s">
        <v>210</v>
      </c>
      <c r="CR1046" s="1" t="s">
        <v>229</v>
      </c>
      <c r="CS1046" s="1" t="s">
        <v>2460</v>
      </c>
      <c r="CT1046" s="1" t="s">
        <v>206</v>
      </c>
      <c r="CU1046" s="1" t="s">
        <v>207</v>
      </c>
      <c r="CV1046" s="1" t="s">
        <v>229</v>
      </c>
      <c r="CW1046" s="1" t="s">
        <v>1600</v>
      </c>
      <c r="CX1046" s="1" t="s">
        <v>206</v>
      </c>
      <c r="CY1046" s="1" t="s">
        <v>210</v>
      </c>
      <c r="CZ1046" s="1" t="s">
        <v>229</v>
      </c>
      <c r="DA1046" s="1" t="s">
        <v>192</v>
      </c>
      <c r="DB1046" s="2">
        <v>42137.0</v>
      </c>
      <c r="DC1046" s="1" t="s">
        <v>744</v>
      </c>
      <c r="DD1046" s="1" t="s">
        <v>1484</v>
      </c>
      <c r="DE1046" s="1" t="s">
        <v>273</v>
      </c>
      <c r="DF1046" s="1" t="s">
        <v>619</v>
      </c>
      <c r="DG1046" s="1" t="s">
        <v>3175</v>
      </c>
      <c r="DH1046" s="1" t="s">
        <v>220</v>
      </c>
      <c r="DI1046" s="1" t="s">
        <v>11630</v>
      </c>
      <c r="DJ1046" s="1" t="s">
        <v>222</v>
      </c>
      <c r="DL1046" s="1" t="s">
        <v>224</v>
      </c>
      <c r="DM1046" s="1" t="s">
        <v>338</v>
      </c>
      <c r="DN1046" s="1" t="s">
        <v>548</v>
      </c>
      <c r="DO1046" s="1" t="s">
        <v>486</v>
      </c>
      <c r="DP1046" s="1" t="s">
        <v>340</v>
      </c>
      <c r="DQ1046" s="1" t="s">
        <v>441</v>
      </c>
      <c r="DR1046" s="1" t="s">
        <v>229</v>
      </c>
      <c r="DS1046" s="1" t="s">
        <v>591</v>
      </c>
      <c r="DT1046" s="1" t="s">
        <v>11631</v>
      </c>
      <c r="DU1046" s="1" t="s">
        <v>8086</v>
      </c>
      <c r="DV1046" s="1" t="s">
        <v>2941</v>
      </c>
      <c r="DW1046" s="1" t="s">
        <v>233</v>
      </c>
      <c r="DX1046" s="1" t="s">
        <v>234</v>
      </c>
      <c r="DY1046" s="1" t="s">
        <v>5921</v>
      </c>
      <c r="DZ1046" s="1" t="s">
        <v>343</v>
      </c>
      <c r="EA1046" s="1" t="s">
        <v>344</v>
      </c>
      <c r="EC1046" s="1" t="s">
        <v>237</v>
      </c>
      <c r="ED1046" s="1" t="s">
        <v>407</v>
      </c>
      <c r="EE1046" s="1" t="s">
        <v>493</v>
      </c>
      <c r="EG1046" s="1" t="s">
        <v>449</v>
      </c>
      <c r="EH1046" s="1" t="s">
        <v>1028</v>
      </c>
      <c r="EL1046" s="1" t="s">
        <v>2460</v>
      </c>
      <c r="EM1046" s="1" t="s">
        <v>206</v>
      </c>
      <c r="EN1046" s="1" t="s">
        <v>207</v>
      </c>
      <c r="EO1046" s="1" t="s">
        <v>229</v>
      </c>
      <c r="EP1046" s="1" t="s">
        <v>584</v>
      </c>
      <c r="EQ1046" s="1" t="s">
        <v>206</v>
      </c>
      <c r="ER1046" s="1" t="s">
        <v>210</v>
      </c>
      <c r="ES1046" s="1" t="s">
        <v>229</v>
      </c>
      <c r="EU1046" s="1" t="s">
        <v>238</v>
      </c>
      <c r="EY1046" s="1" t="s">
        <v>238</v>
      </c>
      <c r="FC1046" s="1" t="s">
        <v>238</v>
      </c>
      <c r="FF1046" s="1" t="s">
        <v>239</v>
      </c>
      <c r="FG1046" s="1" t="s">
        <v>192</v>
      </c>
      <c r="FH1046" s="1" t="s">
        <v>192</v>
      </c>
      <c r="FJ1046" s="1" t="s">
        <v>524</v>
      </c>
      <c r="FK1046" s="1" t="s">
        <v>229</v>
      </c>
      <c r="FL1046" s="1" t="s">
        <v>1614</v>
      </c>
      <c r="FM1046" s="1">
        <v>85399.0</v>
      </c>
      <c r="FN1046" s="1" t="s">
        <v>1615</v>
      </c>
      <c r="FO1046" s="1" t="s">
        <v>1616</v>
      </c>
      <c r="FP1046" s="1">
        <v>189649.0</v>
      </c>
      <c r="FQ1046" s="1" t="s">
        <v>1615</v>
      </c>
      <c r="FT1046" s="1" t="s">
        <v>2942</v>
      </c>
      <c r="FU1046" s="1" t="s">
        <v>11632</v>
      </c>
      <c r="FV1046" s="1" t="s">
        <v>200</v>
      </c>
      <c r="FW1046" s="1" t="s">
        <v>1618</v>
      </c>
      <c r="FZ1046" s="1" t="s">
        <v>229</v>
      </c>
      <c r="GA1046" s="1" t="s">
        <v>247</v>
      </c>
      <c r="GB1046" s="2">
        <v>42147.0</v>
      </c>
    </row>
    <row r="1047">
      <c r="A1047" s="1">
        <v>174900.0</v>
      </c>
      <c r="B1047" s="1" t="s">
        <v>185</v>
      </c>
      <c r="C1047" s="1" t="str">
        <f>"08629807"</f>
        <v>08629807</v>
      </c>
      <c r="D1047" s="1" t="s">
        <v>186</v>
      </c>
      <c r="F1047" s="1" t="str">
        <f>"8065"</f>
        <v>8065</v>
      </c>
      <c r="G1047" s="2">
        <v>41789.0</v>
      </c>
      <c r="H1047" s="1">
        <v>175900.0</v>
      </c>
      <c r="I1047" s="1">
        <v>301.0</v>
      </c>
      <c r="J1047" s="1">
        <v>175900.0</v>
      </c>
      <c r="K1047" s="2">
        <v>41922.0</v>
      </c>
      <c r="L1047" s="1">
        <v>134.0</v>
      </c>
      <c r="M1047" s="2">
        <v>41922.0</v>
      </c>
      <c r="N1047" s="1" t="s">
        <v>1512</v>
      </c>
      <c r="O1047" s="2">
        <v>42020.0</v>
      </c>
      <c r="P1047" s="1">
        <v>131320.0</v>
      </c>
      <c r="Q1047" s="1">
        <v>12555.0</v>
      </c>
      <c r="R1047" s="1">
        <v>4900.0</v>
      </c>
      <c r="S1047" s="1">
        <v>6540.0</v>
      </c>
      <c r="T1047" s="1" t="s">
        <v>3654</v>
      </c>
      <c r="U1047" s="1" t="s">
        <v>189</v>
      </c>
      <c r="V1047" s="1" t="s">
        <v>190</v>
      </c>
      <c r="W1047" s="1">
        <v>60629.0</v>
      </c>
      <c r="Y1047" s="1" t="s">
        <v>11633</v>
      </c>
      <c r="Z1047" s="1">
        <v>1956.0</v>
      </c>
      <c r="AA1047" s="1" t="s">
        <v>192</v>
      </c>
      <c r="AB1047" s="1" t="s">
        <v>193</v>
      </c>
      <c r="AD1047" s="1" t="s">
        <v>194</v>
      </c>
      <c r="AE1047" s="1" t="s">
        <v>195</v>
      </c>
      <c r="AF1047" s="1" t="s">
        <v>659</v>
      </c>
      <c r="AH1047" s="1" t="s">
        <v>11634</v>
      </c>
      <c r="AK1047" s="1">
        <v>8.0</v>
      </c>
      <c r="AL1047" s="1">
        <v>4.0</v>
      </c>
      <c r="AM1047" s="1">
        <v>3.0</v>
      </c>
      <c r="AN1047" s="1">
        <v>0.0</v>
      </c>
      <c r="AO1047" s="1" t="s">
        <v>229</v>
      </c>
      <c r="AQ1047" s="1" t="s">
        <v>198</v>
      </c>
      <c r="AR1047" s="1" t="s">
        <v>192</v>
      </c>
      <c r="AS1047" s="1" t="s">
        <v>199</v>
      </c>
      <c r="AT1047" s="1">
        <v>2.1</v>
      </c>
      <c r="AV1047" s="1" t="s">
        <v>200</v>
      </c>
      <c r="AW1047" s="1">
        <v>3530.34</v>
      </c>
      <c r="AX1047" s="1">
        <v>2012.0</v>
      </c>
      <c r="AZ1047" s="1" t="s">
        <v>200</v>
      </c>
      <c r="BA1047" s="1" t="str">
        <f>"19222180320000"</f>
        <v>19222180320000</v>
      </c>
      <c r="BC1047" s="1">
        <v>1900.0</v>
      </c>
      <c r="BD1047" s="1">
        <v>174900.0</v>
      </c>
      <c r="BE1047" s="2">
        <v>41789.0</v>
      </c>
      <c r="BF1047" s="2" t="s">
        <v>11635</v>
      </c>
      <c r="BH1047" s="1">
        <v>0.0</v>
      </c>
      <c r="BK1047" s="1" t="s">
        <v>204</v>
      </c>
      <c r="BL1047" s="1" t="str">
        <f t="shared" ref="BL1047:BM1047" si="697">"0"</f>
        <v>0</v>
      </c>
      <c r="BM1047" s="1" t="str">
        <f t="shared" si="697"/>
        <v>0</v>
      </c>
      <c r="BN1047" s="1">
        <v>4132.0</v>
      </c>
      <c r="BO1047" s="1">
        <v>6500.0</v>
      </c>
      <c r="BQ1047" s="1">
        <v>299.0</v>
      </c>
      <c r="BR1047" s="1">
        <v>299.0</v>
      </c>
      <c r="BS1047" s="1">
        <v>299.0</v>
      </c>
      <c r="BU1047" s="1" t="s">
        <v>1517</v>
      </c>
      <c r="BV1047" s="1" t="s">
        <v>206</v>
      </c>
      <c r="BW1047" s="1" t="s">
        <v>207</v>
      </c>
      <c r="BY1047" s="1" t="s">
        <v>743</v>
      </c>
      <c r="BZ1047" s="1" t="s">
        <v>209</v>
      </c>
      <c r="CA1047" s="1" t="s">
        <v>210</v>
      </c>
      <c r="CC1047" s="1" t="s">
        <v>264</v>
      </c>
      <c r="CD1047" s="1" t="s">
        <v>206</v>
      </c>
      <c r="CG1047" s="1" t="s">
        <v>433</v>
      </c>
      <c r="CH1047" s="1" t="s">
        <v>209</v>
      </c>
      <c r="CK1047" s="1" t="s">
        <v>433</v>
      </c>
      <c r="CL1047" s="1" t="s">
        <v>209</v>
      </c>
      <c r="CO1047" s="1" t="s">
        <v>212</v>
      </c>
      <c r="CP1047" s="1" t="s">
        <v>206</v>
      </c>
      <c r="CS1047" s="1" t="s">
        <v>361</v>
      </c>
      <c r="CT1047" s="1" t="s">
        <v>206</v>
      </c>
      <c r="CW1047" s="1" t="s">
        <v>3989</v>
      </c>
      <c r="CX1047" s="1" t="s">
        <v>42</v>
      </c>
      <c r="DA1047" s="1" t="s">
        <v>200</v>
      </c>
      <c r="DC1047" s="1" t="s">
        <v>271</v>
      </c>
      <c r="DE1047" s="1" t="s">
        <v>273</v>
      </c>
      <c r="DF1047" s="1" t="s">
        <v>219</v>
      </c>
      <c r="DH1047" s="1" t="s">
        <v>220</v>
      </c>
      <c r="DJ1047" s="1" t="s">
        <v>222</v>
      </c>
      <c r="DL1047" s="1" t="s">
        <v>224</v>
      </c>
      <c r="DM1047" s="1" t="s">
        <v>229</v>
      </c>
      <c r="DQ1047" s="1" t="s">
        <v>228</v>
      </c>
      <c r="DR1047" s="1" t="s">
        <v>229</v>
      </c>
      <c r="DV1047" s="1" t="s">
        <v>232</v>
      </c>
      <c r="DW1047" s="1" t="s">
        <v>444</v>
      </c>
      <c r="DX1047" s="1" t="s">
        <v>234</v>
      </c>
      <c r="EC1047" s="1" t="s">
        <v>237</v>
      </c>
      <c r="EM1047" s="1" t="s">
        <v>238</v>
      </c>
      <c r="EQ1047" s="1" t="s">
        <v>238</v>
      </c>
      <c r="EU1047" s="1" t="s">
        <v>238</v>
      </c>
      <c r="EY1047" s="1" t="s">
        <v>238</v>
      </c>
      <c r="FC1047" s="1" t="s">
        <v>238</v>
      </c>
      <c r="FF1047" s="1" t="s">
        <v>239</v>
      </c>
      <c r="FG1047" s="1" t="s">
        <v>192</v>
      </c>
      <c r="FH1047" s="1" t="s">
        <v>192</v>
      </c>
      <c r="FJ1047" s="1" t="s">
        <v>770</v>
      </c>
      <c r="FK1047" s="1" t="s">
        <v>229</v>
      </c>
      <c r="FL1047" s="1" t="s">
        <v>1383</v>
      </c>
      <c r="FM1047" s="1">
        <v>24370.0</v>
      </c>
      <c r="FN1047" s="1" t="s">
        <v>1384</v>
      </c>
      <c r="FO1047" s="1" t="s">
        <v>2980</v>
      </c>
      <c r="FP1047" s="1">
        <v>259338.0</v>
      </c>
      <c r="FQ1047" s="1" t="s">
        <v>1386</v>
      </c>
      <c r="FS1047" s="1" t="s">
        <v>11636</v>
      </c>
      <c r="FU1047" s="1" t="s">
        <v>11637</v>
      </c>
      <c r="FV1047" s="1" t="s">
        <v>200</v>
      </c>
      <c r="FW1047" s="1" t="s">
        <v>290</v>
      </c>
      <c r="FX1047" s="1" t="s">
        <v>655</v>
      </c>
      <c r="FZ1047" s="1" t="s">
        <v>229</v>
      </c>
      <c r="GA1047" s="1" t="s">
        <v>291</v>
      </c>
      <c r="GB1047" s="2">
        <v>42020.0</v>
      </c>
      <c r="GC1047" s="1" t="s">
        <v>2982</v>
      </c>
    </row>
    <row r="1048">
      <c r="A1048" s="1">
        <v>258490.0</v>
      </c>
      <c r="B1048" s="1" t="s">
        <v>185</v>
      </c>
      <c r="C1048" s="1" t="str">
        <f>"08634642"</f>
        <v>08634642</v>
      </c>
      <c r="D1048" s="1" t="s">
        <v>186</v>
      </c>
      <c r="F1048" s="1" t="str">
        <f>"140"</f>
        <v>140</v>
      </c>
      <c r="G1048" s="2">
        <v>41794.0</v>
      </c>
      <c r="H1048" s="1">
        <v>273990.0</v>
      </c>
      <c r="I1048" s="1">
        <v>165.0</v>
      </c>
      <c r="J1048" s="1">
        <v>260990.0</v>
      </c>
      <c r="K1048" s="2">
        <v>41958.0</v>
      </c>
      <c r="L1048" s="1">
        <v>165.0</v>
      </c>
      <c r="M1048" s="2">
        <v>41958.0</v>
      </c>
      <c r="N1048" s="1" t="s">
        <v>356</v>
      </c>
      <c r="O1048" s="2">
        <v>42013.0</v>
      </c>
      <c r="P1048" s="1">
        <v>7386.0</v>
      </c>
      <c r="Q1048" s="1">
        <v>7661.0</v>
      </c>
      <c r="S1048" s="1">
        <v>1049.0</v>
      </c>
      <c r="T1048" s="1" t="s">
        <v>11638</v>
      </c>
      <c r="U1048" s="1" t="s">
        <v>569</v>
      </c>
      <c r="V1048" s="1" t="s">
        <v>4858</v>
      </c>
      <c r="W1048" s="1">
        <v>60140.0</v>
      </c>
      <c r="Y1048" s="1" t="s">
        <v>11639</v>
      </c>
      <c r="Z1048" s="1">
        <v>2014.0</v>
      </c>
      <c r="AA1048" s="1" t="s">
        <v>200</v>
      </c>
      <c r="AB1048" s="1" t="s">
        <v>193</v>
      </c>
      <c r="AC1048" s="1" t="s">
        <v>6189</v>
      </c>
      <c r="AD1048" s="1" t="s">
        <v>4860</v>
      </c>
      <c r="AE1048" s="1" t="s">
        <v>325</v>
      </c>
      <c r="AF1048" s="1" t="s">
        <v>3429</v>
      </c>
      <c r="AG1048" s="1" t="s">
        <v>11640</v>
      </c>
      <c r="AH1048" s="1" t="s">
        <v>11641</v>
      </c>
      <c r="AK1048" s="1">
        <v>11.0</v>
      </c>
      <c r="AL1048" s="1">
        <v>4.0</v>
      </c>
      <c r="AM1048" s="1">
        <v>2.0</v>
      </c>
      <c r="AN1048" s="1">
        <v>1.0</v>
      </c>
      <c r="AO1048" s="1" t="s">
        <v>198</v>
      </c>
      <c r="AQ1048" s="1" t="s">
        <v>198</v>
      </c>
      <c r="AR1048" s="1" t="s">
        <v>200</v>
      </c>
      <c r="AS1048" s="1" t="s">
        <v>199</v>
      </c>
      <c r="AT1048" s="1">
        <v>3.0</v>
      </c>
      <c r="AV1048" s="1" t="s">
        <v>200</v>
      </c>
      <c r="AW1048" s="1" t="s">
        <v>575</v>
      </c>
      <c r="AX1048" s="1">
        <v>2013.0</v>
      </c>
      <c r="AZ1048" s="1" t="s">
        <v>200</v>
      </c>
      <c r="BA1048" s="1" t="str">
        <f>"0229453015"</f>
        <v>0229453015</v>
      </c>
      <c r="BB1048" s="1" t="s">
        <v>200</v>
      </c>
      <c r="BC1048" s="1">
        <v>2799.0</v>
      </c>
      <c r="BD1048" s="1">
        <v>258490.0</v>
      </c>
      <c r="BE1048" s="2">
        <v>41794.0</v>
      </c>
      <c r="BF1048" s="2" t="s">
        <v>11642</v>
      </c>
      <c r="BG1048" s="1" t="s">
        <v>6193</v>
      </c>
      <c r="BH1048" s="1">
        <v>62.0</v>
      </c>
      <c r="BI1048" s="1" t="s">
        <v>5040</v>
      </c>
      <c r="BJ1048" s="1" t="s">
        <v>1182</v>
      </c>
      <c r="BK1048" s="1" t="s">
        <v>474</v>
      </c>
      <c r="BL1048" s="1" t="str">
        <f t="shared" ref="BL1048:BM1048" si="698">""</f>
        <v/>
      </c>
      <c r="BM1048" s="1" t="str">
        <f t="shared" si="698"/>
        <v/>
      </c>
      <c r="BP1048" s="1" t="s">
        <v>11643</v>
      </c>
      <c r="BQ1048" s="1">
        <v>300.0</v>
      </c>
      <c r="BR1048" s="1">
        <v>300.0</v>
      </c>
      <c r="BS1048" s="1">
        <v>300.0</v>
      </c>
      <c r="BU1048" s="1" t="s">
        <v>1492</v>
      </c>
      <c r="BV1048" s="1" t="s">
        <v>206</v>
      </c>
      <c r="BW1048" s="1" t="s">
        <v>210</v>
      </c>
      <c r="BX1048" s="1" t="s">
        <v>229</v>
      </c>
      <c r="BY1048" s="1" t="s">
        <v>616</v>
      </c>
      <c r="BZ1048" s="1" t="s">
        <v>209</v>
      </c>
      <c r="CA1048" s="1" t="s">
        <v>210</v>
      </c>
      <c r="CC1048" s="1" t="s">
        <v>542</v>
      </c>
      <c r="CD1048" s="1" t="s">
        <v>206</v>
      </c>
      <c r="CE1048" s="1" t="s">
        <v>210</v>
      </c>
      <c r="CF1048" s="1" t="s">
        <v>229</v>
      </c>
      <c r="CG1048" s="1" t="s">
        <v>497</v>
      </c>
      <c r="CH1048" s="1" t="s">
        <v>209</v>
      </c>
      <c r="CI1048" s="1" t="s">
        <v>210</v>
      </c>
      <c r="CK1048" s="1" t="s">
        <v>830</v>
      </c>
      <c r="CL1048" s="1" t="s">
        <v>209</v>
      </c>
      <c r="CM1048" s="1" t="s">
        <v>210</v>
      </c>
      <c r="CO1048" s="1" t="s">
        <v>1064</v>
      </c>
      <c r="CP1048" s="1" t="s">
        <v>209</v>
      </c>
      <c r="CQ1048" s="1" t="s">
        <v>210</v>
      </c>
      <c r="CS1048" s="1" t="s">
        <v>1190</v>
      </c>
      <c r="CT1048" s="1" t="s">
        <v>206</v>
      </c>
      <c r="CU1048" s="1" t="s">
        <v>301</v>
      </c>
      <c r="CV1048" s="1" t="s">
        <v>229</v>
      </c>
      <c r="CW1048" s="1" t="s">
        <v>1063</v>
      </c>
      <c r="CX1048" s="1" t="s">
        <v>206</v>
      </c>
      <c r="CY1048" s="1" t="s">
        <v>210</v>
      </c>
      <c r="DA1048" s="1" t="s">
        <v>192</v>
      </c>
      <c r="DB1048" s="2">
        <v>41882.0</v>
      </c>
      <c r="DC1048" s="1" t="s">
        <v>744</v>
      </c>
      <c r="DD1048" s="1" t="s">
        <v>436</v>
      </c>
      <c r="DE1048" s="1" t="s">
        <v>273</v>
      </c>
      <c r="DF1048" s="1" t="s">
        <v>219</v>
      </c>
      <c r="DG1048" s="1" t="s">
        <v>2379</v>
      </c>
      <c r="DH1048" s="1" t="s">
        <v>220</v>
      </c>
      <c r="DI1048" s="1" t="s">
        <v>366</v>
      </c>
      <c r="DJ1048" s="1" t="s">
        <v>222</v>
      </c>
      <c r="DL1048" s="1" t="s">
        <v>223</v>
      </c>
      <c r="DM1048" s="1" t="s">
        <v>1022</v>
      </c>
      <c r="DN1048" s="1" t="s">
        <v>548</v>
      </c>
      <c r="DO1048" s="1" t="s">
        <v>5000</v>
      </c>
      <c r="DP1048" s="1" t="s">
        <v>276</v>
      </c>
      <c r="DQ1048" s="1" t="s">
        <v>228</v>
      </c>
      <c r="DR1048" s="1" t="s">
        <v>1980</v>
      </c>
      <c r="DS1048" s="1" t="s">
        <v>591</v>
      </c>
      <c r="DT1048" s="1" t="s">
        <v>11644</v>
      </c>
      <c r="DV1048" s="1" t="s">
        <v>11645</v>
      </c>
      <c r="DW1048" s="1" t="s">
        <v>233</v>
      </c>
      <c r="DX1048" s="1" t="s">
        <v>234</v>
      </c>
      <c r="DY1048" s="1" t="s">
        <v>2446</v>
      </c>
      <c r="EA1048" s="1" t="s">
        <v>344</v>
      </c>
      <c r="EC1048" s="1" t="s">
        <v>237</v>
      </c>
      <c r="ED1048" s="1" t="s">
        <v>5333</v>
      </c>
      <c r="EE1048" s="1" t="s">
        <v>493</v>
      </c>
      <c r="EG1048" s="1" t="s">
        <v>557</v>
      </c>
      <c r="EH1048" s="1" t="s">
        <v>449</v>
      </c>
      <c r="EI1048" s="1" t="s">
        <v>494</v>
      </c>
      <c r="EL1048" s="1" t="s">
        <v>2273</v>
      </c>
      <c r="EM1048" s="1" t="s">
        <v>209</v>
      </c>
      <c r="EN1048" s="1" t="s">
        <v>210</v>
      </c>
      <c r="EP1048" s="1" t="s">
        <v>1418</v>
      </c>
      <c r="EQ1048" s="1" t="s">
        <v>206</v>
      </c>
      <c r="ER1048" s="1" t="s">
        <v>301</v>
      </c>
      <c r="ET1048" s="1" t="s">
        <v>303</v>
      </c>
      <c r="EU1048" s="1" t="s">
        <v>206</v>
      </c>
      <c r="EV1048" s="1" t="s">
        <v>210</v>
      </c>
      <c r="EY1048" s="1" t="s">
        <v>238</v>
      </c>
      <c r="FC1048" s="1" t="s">
        <v>238</v>
      </c>
      <c r="FF1048" s="1" t="s">
        <v>2447</v>
      </c>
      <c r="FG1048" s="1" t="s">
        <v>192</v>
      </c>
      <c r="FH1048" s="1" t="s">
        <v>192</v>
      </c>
      <c r="FJ1048" s="1" t="s">
        <v>347</v>
      </c>
      <c r="FK1048" s="1" t="s">
        <v>229</v>
      </c>
      <c r="FL1048" s="1" t="s">
        <v>2448</v>
      </c>
      <c r="FM1048" s="1">
        <v>92038.0</v>
      </c>
      <c r="FN1048" s="1" t="s">
        <v>2449</v>
      </c>
      <c r="FO1048" s="1" t="s">
        <v>2450</v>
      </c>
      <c r="FP1048" s="1">
        <v>21137.0</v>
      </c>
      <c r="FQ1048" s="1" t="s">
        <v>2451</v>
      </c>
      <c r="FU1048" s="1" t="s">
        <v>11646</v>
      </c>
      <c r="FV1048" s="1" t="s">
        <v>200</v>
      </c>
      <c r="FW1048" s="1" t="s">
        <v>10410</v>
      </c>
      <c r="FZ1048" s="1" t="s">
        <v>229</v>
      </c>
      <c r="GA1048" s="1" t="s">
        <v>291</v>
      </c>
      <c r="GB1048" s="2">
        <v>42025.0</v>
      </c>
      <c r="GC1048" s="1" t="s">
        <v>11647</v>
      </c>
    </row>
    <row r="1049">
      <c r="A1049" s="1">
        <v>255415.0</v>
      </c>
      <c r="B1049" s="1" t="s">
        <v>185</v>
      </c>
      <c r="C1049" s="1" t="str">
        <f>"08639644"</f>
        <v>08639644</v>
      </c>
      <c r="D1049" s="1" t="s">
        <v>186</v>
      </c>
      <c r="F1049" s="1" t="str">
        <f>"543"</f>
        <v>543</v>
      </c>
      <c r="G1049" s="2">
        <v>41799.0</v>
      </c>
      <c r="H1049" s="1">
        <v>229495.0</v>
      </c>
      <c r="I1049" s="1">
        <v>1.0</v>
      </c>
      <c r="J1049" s="1">
        <v>229495.0</v>
      </c>
      <c r="K1049" s="2">
        <v>41799.0</v>
      </c>
      <c r="L1049" s="1">
        <v>1.0</v>
      </c>
      <c r="M1049" s="2">
        <v>41799.0</v>
      </c>
      <c r="N1049" s="1" t="s">
        <v>187</v>
      </c>
      <c r="O1049" s="2">
        <v>41983.0</v>
      </c>
      <c r="P1049" s="1">
        <v>99999.0</v>
      </c>
      <c r="Q1049" s="1" t="s">
        <v>947</v>
      </c>
      <c r="S1049" s="1">
        <v>4418.0</v>
      </c>
      <c r="T1049" s="1" t="s">
        <v>11648</v>
      </c>
      <c r="U1049" s="1" t="s">
        <v>189</v>
      </c>
      <c r="V1049" s="1" t="s">
        <v>1527</v>
      </c>
      <c r="W1049" s="1">
        <v>60543.0</v>
      </c>
      <c r="Y1049" s="1" t="s">
        <v>10308</v>
      </c>
      <c r="Z1049" s="1">
        <v>2014.0</v>
      </c>
      <c r="AA1049" s="1" t="s">
        <v>200</v>
      </c>
      <c r="AB1049" s="1" t="s">
        <v>193</v>
      </c>
      <c r="AC1049" s="1" t="s">
        <v>8934</v>
      </c>
      <c r="AD1049" s="1" t="s">
        <v>1529</v>
      </c>
      <c r="AE1049" s="1" t="s">
        <v>849</v>
      </c>
      <c r="AF1049" s="1" t="s">
        <v>1529</v>
      </c>
      <c r="AG1049" s="1" t="s">
        <v>8936</v>
      </c>
      <c r="AH1049" s="1" t="s">
        <v>10310</v>
      </c>
      <c r="AK1049" s="1">
        <v>10.0</v>
      </c>
      <c r="AL1049" s="1">
        <v>4.0</v>
      </c>
      <c r="AM1049" s="1">
        <v>2.0</v>
      </c>
      <c r="AN1049" s="1">
        <v>1.0</v>
      </c>
      <c r="AO1049" s="1" t="s">
        <v>198</v>
      </c>
      <c r="AQ1049" s="1" t="s">
        <v>198</v>
      </c>
      <c r="AR1049" s="1" t="s">
        <v>200</v>
      </c>
      <c r="AS1049" s="1" t="s">
        <v>199</v>
      </c>
      <c r="AT1049" s="1">
        <v>2.0</v>
      </c>
      <c r="AV1049" s="1" t="s">
        <v>200</v>
      </c>
      <c r="AW1049" s="1" t="s">
        <v>575</v>
      </c>
      <c r="AX1049" s="1">
        <v>2012.0</v>
      </c>
      <c r="AZ1049" s="1" t="s">
        <v>200</v>
      </c>
      <c r="BA1049" s="1" t="str">
        <f>"0339400001"</f>
        <v>0339400001</v>
      </c>
      <c r="BC1049" s="1">
        <v>2638.0</v>
      </c>
      <c r="BD1049" s="1">
        <v>255415.0</v>
      </c>
      <c r="BE1049" s="2">
        <v>41799.0</v>
      </c>
      <c r="BF1049" s="1" t="s">
        <v>11649</v>
      </c>
      <c r="BG1049" s="1" t="s">
        <v>8939</v>
      </c>
      <c r="BH1049" s="1">
        <v>66.0</v>
      </c>
      <c r="BI1049" s="1" t="s">
        <v>1533</v>
      </c>
      <c r="BJ1049" s="1" t="s">
        <v>1349</v>
      </c>
      <c r="BK1049" s="1" t="s">
        <v>474</v>
      </c>
      <c r="BL1049" s="1" t="str">
        <f t="shared" ref="BL1049:BM1049" si="699">"0"</f>
        <v>0</v>
      </c>
      <c r="BM1049" s="1" t="str">
        <f t="shared" si="699"/>
        <v>0</v>
      </c>
      <c r="BN1049" s="1">
        <v>39.0</v>
      </c>
      <c r="BO1049" s="1">
        <v>15.0</v>
      </c>
      <c r="BQ1049" s="1">
        <v>308.0</v>
      </c>
      <c r="BR1049" s="1">
        <v>308.0</v>
      </c>
      <c r="BS1049" s="1">
        <v>308.0</v>
      </c>
      <c r="BU1049" s="1" t="s">
        <v>743</v>
      </c>
      <c r="BV1049" s="1" t="s">
        <v>206</v>
      </c>
      <c r="BW1049" s="1" t="s">
        <v>210</v>
      </c>
      <c r="BY1049" s="1" t="s">
        <v>1350</v>
      </c>
      <c r="BZ1049" s="1" t="s">
        <v>209</v>
      </c>
      <c r="CA1049" s="1" t="s">
        <v>210</v>
      </c>
      <c r="CC1049" s="1" t="s">
        <v>212</v>
      </c>
      <c r="CD1049" s="1" t="s">
        <v>206</v>
      </c>
      <c r="CE1049" s="1" t="s">
        <v>210</v>
      </c>
      <c r="CG1049" s="1" t="s">
        <v>363</v>
      </c>
      <c r="CH1049" s="1" t="s">
        <v>209</v>
      </c>
      <c r="CI1049" s="1" t="s">
        <v>210</v>
      </c>
      <c r="CK1049" s="1" t="s">
        <v>1417</v>
      </c>
      <c r="CL1049" s="1" t="s">
        <v>209</v>
      </c>
      <c r="CM1049" s="1" t="s">
        <v>210</v>
      </c>
      <c r="CO1049" s="1" t="s">
        <v>302</v>
      </c>
      <c r="CP1049" s="1" t="s">
        <v>209</v>
      </c>
      <c r="CQ1049" s="1" t="s">
        <v>210</v>
      </c>
      <c r="CS1049" s="1" t="s">
        <v>302</v>
      </c>
      <c r="CT1049" s="1" t="s">
        <v>206</v>
      </c>
      <c r="CU1049" s="1" t="s">
        <v>617</v>
      </c>
      <c r="CW1049" s="1" t="s">
        <v>743</v>
      </c>
      <c r="CX1049" s="1" t="s">
        <v>206</v>
      </c>
      <c r="CY1049" s="1" t="s">
        <v>210</v>
      </c>
      <c r="DA1049" s="1" t="s">
        <v>192</v>
      </c>
      <c r="DB1049" s="2">
        <v>41927.0</v>
      </c>
      <c r="DC1049" s="1" t="s">
        <v>744</v>
      </c>
      <c r="DD1049" s="1" t="s">
        <v>396</v>
      </c>
      <c r="DE1049" s="1" t="s">
        <v>229</v>
      </c>
      <c r="DF1049" s="1" t="s">
        <v>219</v>
      </c>
      <c r="DG1049" s="1" t="s">
        <v>2379</v>
      </c>
      <c r="DH1049" s="1" t="s">
        <v>220</v>
      </c>
      <c r="DI1049" s="1" t="s">
        <v>1021</v>
      </c>
      <c r="DJ1049" s="1" t="s">
        <v>1048</v>
      </c>
      <c r="DL1049" s="1" t="s">
        <v>223</v>
      </c>
      <c r="DM1049" s="1" t="s">
        <v>338</v>
      </c>
      <c r="DQ1049" s="1" t="s">
        <v>228</v>
      </c>
      <c r="DR1049" s="1" t="s">
        <v>2593</v>
      </c>
      <c r="DV1049" s="1" t="s">
        <v>8941</v>
      </c>
      <c r="DW1049" s="1" t="s">
        <v>233</v>
      </c>
      <c r="DX1049" s="1" t="s">
        <v>234</v>
      </c>
      <c r="EA1049" s="1" t="s">
        <v>344</v>
      </c>
      <c r="EC1049" s="1" t="s">
        <v>237</v>
      </c>
      <c r="EG1049" s="1" t="s">
        <v>341</v>
      </c>
      <c r="EH1049" s="1" t="s">
        <v>556</v>
      </c>
      <c r="EL1049" s="1" t="s">
        <v>640</v>
      </c>
      <c r="EM1049" s="1" t="s">
        <v>209</v>
      </c>
      <c r="EN1049" s="1" t="s">
        <v>210</v>
      </c>
      <c r="EP1049" s="1" t="s">
        <v>212</v>
      </c>
      <c r="EQ1049" s="1" t="s">
        <v>206</v>
      </c>
      <c r="ER1049" s="1" t="s">
        <v>617</v>
      </c>
      <c r="EU1049" s="1" t="s">
        <v>238</v>
      </c>
      <c r="EY1049" s="1" t="s">
        <v>238</v>
      </c>
      <c r="FC1049" s="1" t="s">
        <v>238</v>
      </c>
      <c r="FF1049" s="1" t="s">
        <v>239</v>
      </c>
      <c r="FG1049" s="1" t="s">
        <v>192</v>
      </c>
      <c r="FH1049" s="1" t="s">
        <v>192</v>
      </c>
      <c r="FJ1049" s="1" t="s">
        <v>10515</v>
      </c>
      <c r="FK1049" s="1" t="s">
        <v>229</v>
      </c>
      <c r="FL1049" s="1" t="s">
        <v>1358</v>
      </c>
      <c r="FM1049" s="1">
        <v>23076.0</v>
      </c>
      <c r="FN1049" s="1" t="s">
        <v>1359</v>
      </c>
      <c r="FO1049" s="1" t="s">
        <v>10313</v>
      </c>
      <c r="FP1049" s="1">
        <v>216120.0</v>
      </c>
      <c r="FQ1049" s="1" t="s">
        <v>10314</v>
      </c>
      <c r="FU1049" s="1" t="s">
        <v>11650</v>
      </c>
      <c r="FV1049" s="1" t="s">
        <v>200</v>
      </c>
      <c r="FW1049" s="1" t="s">
        <v>10316</v>
      </c>
      <c r="FZ1049" s="1" t="s">
        <v>229</v>
      </c>
      <c r="GA1049" s="1" t="s">
        <v>247</v>
      </c>
      <c r="GB1049" s="2">
        <v>41984.0</v>
      </c>
    </row>
    <row r="1050">
      <c r="A1050" s="1">
        <v>223000.0</v>
      </c>
      <c r="B1050" s="1" t="s">
        <v>185</v>
      </c>
      <c r="C1050" s="1" t="str">
        <f>"08635348"</f>
        <v>08635348</v>
      </c>
      <c r="D1050" s="1" t="s">
        <v>186</v>
      </c>
      <c r="F1050" s="1" t="str">
        <f>"510"</f>
        <v>510</v>
      </c>
      <c r="G1050" s="2">
        <v>41795.0</v>
      </c>
      <c r="H1050" s="1">
        <v>270000.0</v>
      </c>
      <c r="I1050" s="1">
        <v>278.0</v>
      </c>
      <c r="J1050" s="1">
        <v>245000.0</v>
      </c>
      <c r="K1050" s="2">
        <v>42072.0</v>
      </c>
      <c r="L1050" s="1">
        <v>278.0</v>
      </c>
      <c r="M1050" s="2">
        <v>42072.0</v>
      </c>
      <c r="N1050" s="1" t="s">
        <v>356</v>
      </c>
      <c r="O1050" s="2">
        <v>42129.0</v>
      </c>
      <c r="P1050" s="1">
        <v>848734.0</v>
      </c>
      <c r="Q1050" s="1">
        <v>85464.0</v>
      </c>
      <c r="S1050" s="1">
        <v>1324.0</v>
      </c>
      <c r="T1050" s="1" t="s">
        <v>11651</v>
      </c>
      <c r="U1050" s="1" t="s">
        <v>464</v>
      </c>
      <c r="V1050" s="1" t="s">
        <v>2700</v>
      </c>
      <c r="W1050" s="1">
        <v>60510.0</v>
      </c>
      <c r="Y1050" s="1" t="s">
        <v>11652</v>
      </c>
      <c r="Z1050" s="1">
        <v>1978.0</v>
      </c>
      <c r="AA1050" s="1" t="s">
        <v>200</v>
      </c>
      <c r="AB1050" s="1" t="s">
        <v>193</v>
      </c>
      <c r="AC1050" s="1" t="s">
        <v>11653</v>
      </c>
      <c r="AD1050" s="1" t="s">
        <v>2702</v>
      </c>
      <c r="AE1050" s="1" t="s">
        <v>325</v>
      </c>
      <c r="AF1050" s="1" t="s">
        <v>2702</v>
      </c>
      <c r="AG1050" s="1" t="s">
        <v>11654</v>
      </c>
      <c r="AH1050" s="1" t="s">
        <v>11655</v>
      </c>
      <c r="AI1050" s="1">
        <v>0.2213</v>
      </c>
      <c r="AK1050" s="1">
        <v>9.0</v>
      </c>
      <c r="AL1050" s="1">
        <v>4.0</v>
      </c>
      <c r="AM1050" s="1">
        <v>2.0</v>
      </c>
      <c r="AN1050" s="1">
        <v>1.0</v>
      </c>
      <c r="AO1050" s="1" t="s">
        <v>198</v>
      </c>
      <c r="AP1050" s="1">
        <v>1.0</v>
      </c>
      <c r="AQ1050" s="1" t="s">
        <v>1314</v>
      </c>
      <c r="AR1050" s="1" t="s">
        <v>200</v>
      </c>
      <c r="AS1050" s="1" t="s">
        <v>199</v>
      </c>
      <c r="AT1050" s="1">
        <v>2.0</v>
      </c>
      <c r="AV1050" s="1" t="s">
        <v>200</v>
      </c>
      <c r="AW1050" s="1">
        <v>7312.64</v>
      </c>
      <c r="AX1050" s="1">
        <v>2013.0</v>
      </c>
      <c r="AY1050" s="1" t="s">
        <v>387</v>
      </c>
      <c r="AZ1050" s="1" t="s">
        <v>200</v>
      </c>
      <c r="BA1050" s="1" t="str">
        <f>"1225153011"</f>
        <v>1225153011</v>
      </c>
      <c r="BB1050" s="1" t="s">
        <v>200</v>
      </c>
      <c r="BC1050" s="1">
        <v>2152.0</v>
      </c>
      <c r="BD1050" s="1">
        <v>223000.0</v>
      </c>
      <c r="BE1050" s="2">
        <v>41795.0</v>
      </c>
      <c r="BF1050" s="2" t="s">
        <v>11656</v>
      </c>
      <c r="BH1050" s="1">
        <v>0.0</v>
      </c>
      <c r="BI1050" s="1" t="s">
        <v>3090</v>
      </c>
      <c r="BJ1050" s="1" t="s">
        <v>3091</v>
      </c>
      <c r="BK1050" s="1" t="s">
        <v>204</v>
      </c>
      <c r="BL1050" s="1" t="str">
        <f t="shared" ref="BL1050:BM1050" si="700">""</f>
        <v/>
      </c>
      <c r="BM1050" s="1" t="str">
        <f t="shared" si="700"/>
        <v/>
      </c>
      <c r="BQ1050" s="1">
        <v>101.0</v>
      </c>
      <c r="BR1050" s="1">
        <v>101.0</v>
      </c>
      <c r="BS1050" s="1">
        <v>101.0</v>
      </c>
      <c r="BU1050" s="1" t="s">
        <v>830</v>
      </c>
      <c r="BV1050" s="1" t="s">
        <v>206</v>
      </c>
      <c r="BW1050" s="1" t="s">
        <v>210</v>
      </c>
      <c r="BX1050" s="1" t="s">
        <v>261</v>
      </c>
      <c r="BY1050" s="1" t="s">
        <v>11657</v>
      </c>
      <c r="BZ1050" s="1" t="s">
        <v>209</v>
      </c>
      <c r="CA1050" s="1" t="s">
        <v>210</v>
      </c>
      <c r="CB1050" s="1" t="s">
        <v>261</v>
      </c>
      <c r="CC1050" s="1" t="s">
        <v>303</v>
      </c>
      <c r="CD1050" s="1" t="s">
        <v>206</v>
      </c>
      <c r="CE1050" s="1" t="s">
        <v>210</v>
      </c>
      <c r="CF1050" s="1" t="s">
        <v>261</v>
      </c>
      <c r="CG1050" s="1" t="s">
        <v>1117</v>
      </c>
      <c r="CH1050" s="1" t="s">
        <v>209</v>
      </c>
      <c r="CI1050" s="1" t="s">
        <v>210</v>
      </c>
      <c r="CJ1050" s="1" t="s">
        <v>431</v>
      </c>
      <c r="CK1050" s="1" t="s">
        <v>212</v>
      </c>
      <c r="CL1050" s="1" t="s">
        <v>209</v>
      </c>
      <c r="CM1050" s="1" t="s">
        <v>210</v>
      </c>
      <c r="CN1050" s="1" t="s">
        <v>431</v>
      </c>
      <c r="CO1050" s="1" t="s">
        <v>640</v>
      </c>
      <c r="CP1050" s="1" t="s">
        <v>209</v>
      </c>
      <c r="CQ1050" s="1" t="s">
        <v>210</v>
      </c>
      <c r="CR1050" s="1" t="s">
        <v>431</v>
      </c>
      <c r="CS1050" s="1" t="s">
        <v>212</v>
      </c>
      <c r="CT1050" s="1" t="s">
        <v>206</v>
      </c>
      <c r="CU1050" s="1" t="s">
        <v>268</v>
      </c>
      <c r="CV1050" s="1" t="s">
        <v>431</v>
      </c>
      <c r="CW1050" s="1" t="s">
        <v>758</v>
      </c>
      <c r="CX1050" s="1" t="s">
        <v>206</v>
      </c>
      <c r="CY1050" s="1" t="s">
        <v>207</v>
      </c>
      <c r="CZ1050" s="1" t="s">
        <v>431</v>
      </c>
      <c r="DA1050" s="1" t="s">
        <v>200</v>
      </c>
      <c r="DC1050" s="1" t="s">
        <v>395</v>
      </c>
      <c r="DD1050" s="1" t="s">
        <v>731</v>
      </c>
      <c r="DE1050" s="1" t="s">
        <v>273</v>
      </c>
      <c r="DF1050" s="1" t="s">
        <v>219</v>
      </c>
      <c r="DG1050" s="1" t="s">
        <v>337</v>
      </c>
      <c r="DH1050" s="1" t="s">
        <v>220</v>
      </c>
      <c r="DI1050" s="1" t="s">
        <v>221</v>
      </c>
      <c r="DJ1050" s="1" t="s">
        <v>222</v>
      </c>
      <c r="DL1050" s="1" t="s">
        <v>3611</v>
      </c>
      <c r="DM1050" s="1" t="s">
        <v>1268</v>
      </c>
      <c r="DP1050" s="1" t="s">
        <v>276</v>
      </c>
      <c r="DQ1050" s="1" t="s">
        <v>228</v>
      </c>
      <c r="DR1050" s="1" t="s">
        <v>229</v>
      </c>
      <c r="DU1050" s="1" t="s">
        <v>3890</v>
      </c>
      <c r="DV1050" s="1" t="s">
        <v>11658</v>
      </c>
      <c r="DW1050" s="1" t="s">
        <v>233</v>
      </c>
      <c r="DX1050" s="1" t="s">
        <v>234</v>
      </c>
      <c r="DZ1050" s="1" t="s">
        <v>8913</v>
      </c>
      <c r="EA1050" s="1" t="s">
        <v>344</v>
      </c>
      <c r="EC1050" s="1" t="s">
        <v>237</v>
      </c>
      <c r="ED1050" s="1" t="s">
        <v>407</v>
      </c>
      <c r="EE1050" s="1" t="s">
        <v>493</v>
      </c>
      <c r="EG1050" s="1" t="s">
        <v>114</v>
      </c>
      <c r="EH1050" s="1" t="s">
        <v>408</v>
      </c>
      <c r="EI1050" s="1" t="s">
        <v>310</v>
      </c>
      <c r="EM1050" s="1" t="s">
        <v>238</v>
      </c>
      <c r="EP1050" s="1" t="s">
        <v>3298</v>
      </c>
      <c r="EQ1050" s="1" t="s">
        <v>206</v>
      </c>
      <c r="ER1050" s="1" t="s">
        <v>268</v>
      </c>
      <c r="ET1050" s="1" t="s">
        <v>4387</v>
      </c>
      <c r="EU1050" s="1" t="s">
        <v>206</v>
      </c>
      <c r="EV1050" s="1" t="s">
        <v>588</v>
      </c>
      <c r="EY1050" s="1" t="s">
        <v>238</v>
      </c>
      <c r="FC1050" s="1" t="s">
        <v>238</v>
      </c>
      <c r="FF1050" s="1" t="s">
        <v>239</v>
      </c>
      <c r="FG1050" s="1" t="s">
        <v>192</v>
      </c>
      <c r="FH1050" s="1" t="s">
        <v>192</v>
      </c>
      <c r="FJ1050" s="1" t="s">
        <v>524</v>
      </c>
      <c r="FK1050" s="1" t="s">
        <v>229</v>
      </c>
      <c r="FL1050" s="1" t="s">
        <v>7324</v>
      </c>
      <c r="FM1050" s="1">
        <v>494.0</v>
      </c>
      <c r="FN1050" s="1" t="s">
        <v>7325</v>
      </c>
      <c r="FO1050" s="1" t="s">
        <v>11659</v>
      </c>
      <c r="FP1050" s="1">
        <v>519.0</v>
      </c>
      <c r="FQ1050" s="1" t="s">
        <v>11660</v>
      </c>
      <c r="FR1050" s="1">
        <v>1183.0</v>
      </c>
      <c r="FU1050" s="1" t="s">
        <v>11661</v>
      </c>
      <c r="FV1050" s="1" t="s">
        <v>200</v>
      </c>
      <c r="FW1050" s="1" t="s">
        <v>11662</v>
      </c>
      <c r="FZ1050" s="1" t="s">
        <v>229</v>
      </c>
      <c r="GA1050" s="1" t="s">
        <v>291</v>
      </c>
      <c r="GB1050" s="2">
        <v>42130.0</v>
      </c>
      <c r="GC1050" s="1" t="s">
        <v>11663</v>
      </c>
    </row>
    <row r="1051">
      <c r="A1051" s="1">
        <v>264159.0</v>
      </c>
      <c r="B1051" s="1" t="s">
        <v>185</v>
      </c>
      <c r="C1051" s="1" t="str">
        <f>"08634459"</f>
        <v>08634459</v>
      </c>
      <c r="D1051" s="1" t="s">
        <v>186</v>
      </c>
      <c r="F1051" s="1" t="str">
        <f>"140"</f>
        <v>140</v>
      </c>
      <c r="G1051" s="2">
        <v>41794.0</v>
      </c>
      <c r="H1051" s="1">
        <v>277990.0</v>
      </c>
      <c r="I1051" s="1">
        <v>148.0</v>
      </c>
      <c r="J1051" s="1">
        <v>263990.0</v>
      </c>
      <c r="K1051" s="2">
        <v>41941.0</v>
      </c>
      <c r="L1051" s="1">
        <v>148.0</v>
      </c>
      <c r="M1051" s="2">
        <v>41941.0</v>
      </c>
      <c r="N1051" s="1" t="s">
        <v>187</v>
      </c>
      <c r="O1051" s="2">
        <v>41975.0</v>
      </c>
      <c r="P1051" s="1">
        <v>99995.0</v>
      </c>
      <c r="Q1051" s="1" t="s">
        <v>947</v>
      </c>
      <c r="S1051" s="1">
        <v>677.0</v>
      </c>
      <c r="T1051" s="1" t="s">
        <v>11664</v>
      </c>
      <c r="U1051" s="1" t="s">
        <v>1015</v>
      </c>
      <c r="V1051" s="1" t="s">
        <v>4858</v>
      </c>
      <c r="W1051" s="1">
        <v>60140.0</v>
      </c>
      <c r="Y1051" s="1" t="s">
        <v>11665</v>
      </c>
      <c r="Z1051" s="1">
        <v>2014.0</v>
      </c>
      <c r="AA1051" s="1" t="s">
        <v>200</v>
      </c>
      <c r="AB1051" s="1" t="s">
        <v>193</v>
      </c>
      <c r="AC1051" s="1" t="s">
        <v>8130</v>
      </c>
      <c r="AD1051" s="1" t="s">
        <v>4860</v>
      </c>
      <c r="AE1051" s="1" t="s">
        <v>325</v>
      </c>
      <c r="AF1051" s="1" t="s">
        <v>3429</v>
      </c>
      <c r="AG1051" s="1" t="s">
        <v>11640</v>
      </c>
      <c r="AH1051" s="1" t="s">
        <v>2503</v>
      </c>
      <c r="AK1051" s="1">
        <v>10.0</v>
      </c>
      <c r="AL1051" s="1">
        <v>4.0</v>
      </c>
      <c r="AM1051" s="1">
        <v>2.0</v>
      </c>
      <c r="AN1051" s="1">
        <v>1.0</v>
      </c>
      <c r="AO1051" s="1" t="s">
        <v>198</v>
      </c>
      <c r="AQ1051" s="1" t="s">
        <v>327</v>
      </c>
      <c r="AR1051" s="1" t="s">
        <v>192</v>
      </c>
      <c r="AS1051" s="1" t="s">
        <v>199</v>
      </c>
      <c r="AT1051" s="1">
        <v>2.0</v>
      </c>
      <c r="AV1051" s="1" t="s">
        <v>200</v>
      </c>
      <c r="AW1051" s="1" t="s">
        <v>575</v>
      </c>
      <c r="AX1051" s="1">
        <v>2013.0</v>
      </c>
      <c r="AY1051" s="1" t="s">
        <v>387</v>
      </c>
      <c r="AZ1051" s="1" t="s">
        <v>200</v>
      </c>
      <c r="BA1051" s="1" t="str">
        <f>"0233161009"</f>
        <v>0233161009</v>
      </c>
      <c r="BC1051" s="1">
        <v>2799.0</v>
      </c>
      <c r="BD1051" s="1">
        <v>264159.0</v>
      </c>
      <c r="BE1051" s="2">
        <v>41794.0</v>
      </c>
      <c r="BF1051" s="2" t="s">
        <v>11666</v>
      </c>
      <c r="BG1051" s="1" t="s">
        <v>6193</v>
      </c>
      <c r="BH1051" s="1">
        <v>62.0</v>
      </c>
      <c r="BI1051" s="1" t="s">
        <v>5040</v>
      </c>
      <c r="BJ1051" s="1" t="s">
        <v>1182</v>
      </c>
      <c r="BK1051" s="1" t="s">
        <v>474</v>
      </c>
      <c r="BL1051" s="1" t="str">
        <f t="shared" ref="BL1051:BM1051" si="701">""</f>
        <v/>
      </c>
      <c r="BM1051" s="1" t="str">
        <f t="shared" si="701"/>
        <v/>
      </c>
      <c r="BP1051" s="1" t="s">
        <v>11667</v>
      </c>
      <c r="BQ1051" s="1">
        <v>300.0</v>
      </c>
      <c r="BR1051" s="1">
        <v>300.0</v>
      </c>
      <c r="BS1051" s="1">
        <v>300.0</v>
      </c>
      <c r="BU1051" s="1" t="s">
        <v>3307</v>
      </c>
      <c r="BV1051" s="1" t="s">
        <v>206</v>
      </c>
      <c r="BW1051" s="1" t="s">
        <v>210</v>
      </c>
      <c r="BY1051" s="1" t="s">
        <v>616</v>
      </c>
      <c r="BZ1051" s="1" t="s">
        <v>209</v>
      </c>
      <c r="CA1051" s="1" t="s">
        <v>210</v>
      </c>
      <c r="CC1051" s="1" t="s">
        <v>542</v>
      </c>
      <c r="CD1051" s="1" t="s">
        <v>206</v>
      </c>
      <c r="CE1051" s="1" t="s">
        <v>210</v>
      </c>
      <c r="CG1051" s="1" t="s">
        <v>264</v>
      </c>
      <c r="CH1051" s="1" t="s">
        <v>209</v>
      </c>
      <c r="CI1051" s="1" t="s">
        <v>210</v>
      </c>
      <c r="CK1051" s="1" t="s">
        <v>329</v>
      </c>
      <c r="CL1051" s="1" t="s">
        <v>209</v>
      </c>
      <c r="CM1051" s="1" t="s">
        <v>210</v>
      </c>
      <c r="CO1051" s="1" t="s">
        <v>329</v>
      </c>
      <c r="CP1051" s="1" t="s">
        <v>209</v>
      </c>
      <c r="CQ1051" s="1" t="s">
        <v>210</v>
      </c>
      <c r="CS1051" s="1" t="s">
        <v>262</v>
      </c>
      <c r="CT1051" s="1" t="s">
        <v>206</v>
      </c>
      <c r="CU1051" s="1" t="s">
        <v>301</v>
      </c>
      <c r="CW1051" s="1" t="s">
        <v>208</v>
      </c>
      <c r="CX1051" s="1" t="s">
        <v>206</v>
      </c>
      <c r="CY1051" s="1" t="s">
        <v>210</v>
      </c>
      <c r="DA1051" s="1" t="s">
        <v>192</v>
      </c>
      <c r="DB1051" s="2">
        <v>41851.0</v>
      </c>
      <c r="DC1051" s="1" t="s">
        <v>744</v>
      </c>
      <c r="DD1051" s="1" t="s">
        <v>1976</v>
      </c>
      <c r="DE1051" s="1" t="s">
        <v>273</v>
      </c>
      <c r="DF1051" s="1" t="s">
        <v>219</v>
      </c>
      <c r="DH1051" s="1" t="s">
        <v>220</v>
      </c>
      <c r="DI1051" s="1" t="s">
        <v>732</v>
      </c>
      <c r="DJ1051" s="1" t="s">
        <v>222</v>
      </c>
      <c r="DL1051" s="1" t="s">
        <v>223</v>
      </c>
      <c r="DM1051" s="1" t="s">
        <v>1022</v>
      </c>
      <c r="DN1051" s="1" t="s">
        <v>1023</v>
      </c>
      <c r="DO1051" s="1" t="s">
        <v>440</v>
      </c>
      <c r="DP1051" s="1" t="s">
        <v>276</v>
      </c>
      <c r="DQ1051" s="1" t="s">
        <v>228</v>
      </c>
      <c r="DR1051" s="1" t="s">
        <v>1980</v>
      </c>
      <c r="DS1051" s="1" t="s">
        <v>591</v>
      </c>
      <c r="DT1051" s="1" t="s">
        <v>11668</v>
      </c>
      <c r="DV1051" s="1" t="s">
        <v>11669</v>
      </c>
      <c r="DW1051" s="1" t="s">
        <v>233</v>
      </c>
      <c r="DX1051" s="1" t="s">
        <v>234</v>
      </c>
      <c r="DY1051" s="1" t="s">
        <v>2446</v>
      </c>
      <c r="EA1051" s="1" t="s">
        <v>344</v>
      </c>
      <c r="EC1051" s="1" t="s">
        <v>237</v>
      </c>
      <c r="EE1051" s="1" t="s">
        <v>493</v>
      </c>
      <c r="EG1051" s="1" t="s">
        <v>449</v>
      </c>
      <c r="EH1051" s="1" t="s">
        <v>557</v>
      </c>
      <c r="EL1051" s="1" t="s">
        <v>215</v>
      </c>
      <c r="EM1051" s="1" t="s">
        <v>206</v>
      </c>
      <c r="EN1051" s="1" t="s">
        <v>301</v>
      </c>
      <c r="EP1051" s="1" t="s">
        <v>743</v>
      </c>
      <c r="EQ1051" s="1" t="s">
        <v>209</v>
      </c>
      <c r="ER1051" s="1" t="s">
        <v>210</v>
      </c>
      <c r="EU1051" s="1" t="s">
        <v>238</v>
      </c>
      <c r="EY1051" s="1" t="s">
        <v>238</v>
      </c>
      <c r="FC1051" s="1" t="s">
        <v>238</v>
      </c>
      <c r="FF1051" s="1" t="s">
        <v>239</v>
      </c>
      <c r="FG1051" s="1" t="s">
        <v>192</v>
      </c>
      <c r="FH1051" s="1" t="s">
        <v>192</v>
      </c>
      <c r="FJ1051" s="1" t="s">
        <v>347</v>
      </c>
      <c r="FK1051" s="1" t="s">
        <v>229</v>
      </c>
      <c r="FL1051" s="1" t="s">
        <v>2448</v>
      </c>
      <c r="FM1051" s="1">
        <v>92038.0</v>
      </c>
      <c r="FN1051" s="1" t="s">
        <v>2449</v>
      </c>
      <c r="FO1051" s="1" t="s">
        <v>2450</v>
      </c>
      <c r="FP1051" s="1">
        <v>21137.0</v>
      </c>
      <c r="FQ1051" s="1" t="s">
        <v>2451</v>
      </c>
      <c r="FS1051" s="1" t="s">
        <v>11670</v>
      </c>
      <c r="FT1051" s="1" t="s">
        <v>6199</v>
      </c>
      <c r="FU1051" s="1" t="s">
        <v>11671</v>
      </c>
      <c r="FV1051" s="1" t="s">
        <v>200</v>
      </c>
      <c r="FW1051" s="1" t="s">
        <v>11672</v>
      </c>
      <c r="FZ1051" s="1" t="s">
        <v>229</v>
      </c>
      <c r="GA1051" s="1" t="s">
        <v>291</v>
      </c>
      <c r="GB1051" s="2">
        <v>41980.0</v>
      </c>
      <c r="GC1051" s="1" t="s">
        <v>11673</v>
      </c>
    </row>
    <row r="1052">
      <c r="A1052" s="1">
        <v>100000.0</v>
      </c>
      <c r="B1052" s="1" t="s">
        <v>185</v>
      </c>
      <c r="C1052" s="1" t="str">
        <f>"08636933"</f>
        <v>08636933</v>
      </c>
      <c r="D1052" s="1" t="s">
        <v>186</v>
      </c>
      <c r="F1052" s="1" t="str">
        <f>"118"</f>
        <v>118</v>
      </c>
      <c r="G1052" s="2">
        <v>41796.0</v>
      </c>
      <c r="H1052" s="1">
        <v>174999.0</v>
      </c>
      <c r="I1052" s="1">
        <v>278.0</v>
      </c>
      <c r="J1052" s="1">
        <v>99900.0</v>
      </c>
      <c r="K1052" s="2">
        <v>42071.0</v>
      </c>
      <c r="L1052" s="1">
        <v>278.0</v>
      </c>
      <c r="M1052" s="2">
        <v>42071.0</v>
      </c>
      <c r="N1052" s="1" t="s">
        <v>249</v>
      </c>
      <c r="O1052" s="2">
        <v>42102.0</v>
      </c>
      <c r="P1052" s="1">
        <v>26352.0</v>
      </c>
      <c r="Q1052" s="1">
        <v>1666.0</v>
      </c>
      <c r="S1052" s="1" t="s">
        <v>11674</v>
      </c>
      <c r="T1052" s="1" t="s">
        <v>11675</v>
      </c>
      <c r="U1052" s="1" t="s">
        <v>189</v>
      </c>
      <c r="V1052" s="1" t="s">
        <v>11676</v>
      </c>
      <c r="W1052" s="1">
        <v>60118.0</v>
      </c>
      <c r="Y1052" s="1" t="s">
        <v>11677</v>
      </c>
      <c r="Z1052" s="1">
        <v>1929.0</v>
      </c>
      <c r="AA1052" s="1" t="s">
        <v>192</v>
      </c>
      <c r="AB1052" s="1" t="s">
        <v>193</v>
      </c>
      <c r="AD1052" s="1" t="s">
        <v>1089</v>
      </c>
      <c r="AE1052" s="1" t="s">
        <v>325</v>
      </c>
      <c r="AF1052" s="1" t="s">
        <v>810</v>
      </c>
      <c r="AG1052" s="1" t="s">
        <v>11678</v>
      </c>
      <c r="AH1052" s="1" t="s">
        <v>11679</v>
      </c>
      <c r="AI1052" s="1">
        <v>0.0</v>
      </c>
      <c r="AK1052" s="1">
        <v>7.0</v>
      </c>
      <c r="AL1052" s="1">
        <v>4.0</v>
      </c>
      <c r="AM1052" s="1">
        <v>2.0</v>
      </c>
      <c r="AN1052" s="1">
        <v>0.0</v>
      </c>
      <c r="AO1052" s="1" t="s">
        <v>229</v>
      </c>
      <c r="AP1052" s="1">
        <v>0.0</v>
      </c>
      <c r="AQ1052" s="1" t="s">
        <v>198</v>
      </c>
      <c r="AR1052" s="1" t="s">
        <v>200</v>
      </c>
      <c r="AS1052" s="1" t="s">
        <v>199</v>
      </c>
      <c r="AT1052" s="1">
        <v>2.0</v>
      </c>
      <c r="AV1052" s="1" t="s">
        <v>200</v>
      </c>
      <c r="AW1052" s="1">
        <v>4551.76</v>
      </c>
      <c r="AX1052" s="1">
        <v>2013.0</v>
      </c>
      <c r="AY1052" s="1" t="s">
        <v>387</v>
      </c>
      <c r="AZ1052" s="1" t="s">
        <v>200</v>
      </c>
      <c r="BA1052" s="1" t="str">
        <f>"0336104001"</f>
        <v>0336104001</v>
      </c>
      <c r="BC1052" s="1">
        <v>2052.0</v>
      </c>
      <c r="BD1052" s="1">
        <v>100000.0</v>
      </c>
      <c r="BE1052" s="2">
        <v>41794.0</v>
      </c>
      <c r="BF1052" s="1" t="s">
        <v>11680</v>
      </c>
      <c r="BH1052" s="1">
        <v>0.0</v>
      </c>
      <c r="BK1052" s="1" t="s">
        <v>204</v>
      </c>
      <c r="BL1052" s="1" t="str">
        <f>"14"</f>
        <v>14</v>
      </c>
      <c r="BM1052" s="1" t="str">
        <f>"0"</f>
        <v>0</v>
      </c>
      <c r="BN1052" s="1">
        <v>32.0</v>
      </c>
      <c r="BO1052" s="1">
        <v>0.0</v>
      </c>
      <c r="BQ1052" s="1">
        <v>300.0</v>
      </c>
      <c r="BR1052" s="1">
        <v>300.0</v>
      </c>
      <c r="BS1052" s="1">
        <v>300.0</v>
      </c>
      <c r="BU1052" s="1" t="s">
        <v>3092</v>
      </c>
      <c r="BV1052" s="1" t="s">
        <v>206</v>
      </c>
      <c r="BY1052" s="1" t="s">
        <v>433</v>
      </c>
      <c r="BZ1052" s="1" t="s">
        <v>206</v>
      </c>
      <c r="CC1052" s="1" t="s">
        <v>1939</v>
      </c>
      <c r="CD1052" s="1" t="s">
        <v>206</v>
      </c>
      <c r="CG1052" s="1" t="s">
        <v>729</v>
      </c>
      <c r="CH1052" s="1" t="s">
        <v>209</v>
      </c>
      <c r="CK1052" s="1" t="s">
        <v>363</v>
      </c>
      <c r="CL1052" s="1" t="s">
        <v>209</v>
      </c>
      <c r="CO1052" s="1" t="s">
        <v>1745</v>
      </c>
      <c r="CP1052" s="1" t="s">
        <v>209</v>
      </c>
      <c r="CS1052" s="1" t="s">
        <v>329</v>
      </c>
      <c r="CT1052" s="1" t="s">
        <v>206</v>
      </c>
      <c r="CX1052" s="1" t="s">
        <v>204</v>
      </c>
      <c r="DA1052" s="1" t="s">
        <v>200</v>
      </c>
      <c r="DC1052" s="1" t="s">
        <v>785</v>
      </c>
      <c r="DE1052" s="1" t="s">
        <v>273</v>
      </c>
      <c r="DF1052" s="1" t="s">
        <v>219</v>
      </c>
      <c r="DH1052" s="1" t="s">
        <v>856</v>
      </c>
      <c r="DJ1052" s="1" t="s">
        <v>857</v>
      </c>
      <c r="DL1052" s="1" t="s">
        <v>223</v>
      </c>
      <c r="DM1052" s="1" t="s">
        <v>229</v>
      </c>
      <c r="DQ1052" s="1" t="s">
        <v>441</v>
      </c>
      <c r="DR1052" s="1" t="s">
        <v>229</v>
      </c>
      <c r="DV1052" s="1" t="s">
        <v>232</v>
      </c>
      <c r="DW1052" s="1" t="s">
        <v>964</v>
      </c>
      <c r="DX1052" s="1" t="s">
        <v>234</v>
      </c>
      <c r="EA1052" s="1" t="s">
        <v>3577</v>
      </c>
      <c r="EC1052" s="1" t="s">
        <v>237</v>
      </c>
      <c r="EE1052" s="1" t="s">
        <v>8121</v>
      </c>
      <c r="EM1052" s="1" t="s">
        <v>238</v>
      </c>
      <c r="EQ1052" s="1" t="s">
        <v>238</v>
      </c>
      <c r="EU1052" s="1" t="s">
        <v>238</v>
      </c>
      <c r="EY1052" s="1" t="s">
        <v>238</v>
      </c>
      <c r="FC1052" s="1" t="s">
        <v>238</v>
      </c>
      <c r="FF1052" s="1" t="s">
        <v>239</v>
      </c>
      <c r="FG1052" s="1" t="s">
        <v>192</v>
      </c>
      <c r="FH1052" s="1" t="s">
        <v>192</v>
      </c>
      <c r="FJ1052" s="1" t="s">
        <v>11681</v>
      </c>
      <c r="FK1052" s="1" t="s">
        <v>229</v>
      </c>
      <c r="FL1052" s="1" t="s">
        <v>819</v>
      </c>
      <c r="FM1052" s="1">
        <v>6267.0</v>
      </c>
      <c r="FN1052" s="1" t="s">
        <v>820</v>
      </c>
      <c r="FO1052" s="1" t="s">
        <v>7907</v>
      </c>
      <c r="FP1052" s="1">
        <v>38359.0</v>
      </c>
      <c r="FQ1052" s="1" t="s">
        <v>7908</v>
      </c>
      <c r="FU1052" s="1" t="s">
        <v>7909</v>
      </c>
      <c r="FV1052" s="1" t="s">
        <v>200</v>
      </c>
      <c r="FW1052" s="1" t="s">
        <v>354</v>
      </c>
      <c r="FZ1052" s="1" t="s">
        <v>229</v>
      </c>
      <c r="GA1052" s="1" t="s">
        <v>291</v>
      </c>
      <c r="GB1052" s="2">
        <v>42102.0</v>
      </c>
      <c r="GC1052" s="1" t="s">
        <v>11682</v>
      </c>
    </row>
    <row r="1053">
      <c r="A1053" s="1">
        <v>145000.0</v>
      </c>
      <c r="B1053" s="1" t="s">
        <v>185</v>
      </c>
      <c r="C1053" s="1" t="str">
        <f>"08647011"</f>
        <v>08647011</v>
      </c>
      <c r="D1053" s="1" t="s">
        <v>186</v>
      </c>
      <c r="F1053" s="1" t="str">
        <f>"103"</f>
        <v>103</v>
      </c>
      <c r="G1053" s="2">
        <v>41807.0</v>
      </c>
      <c r="H1053" s="1">
        <v>175000.0</v>
      </c>
      <c r="I1053" s="1">
        <v>164.0</v>
      </c>
      <c r="J1053" s="1">
        <v>145000.0</v>
      </c>
      <c r="K1053" s="2">
        <v>41969.0</v>
      </c>
      <c r="L1053" s="1">
        <v>164.0</v>
      </c>
      <c r="M1053" s="2">
        <v>41969.0</v>
      </c>
      <c r="N1053" s="1" t="s">
        <v>356</v>
      </c>
      <c r="O1053" s="2">
        <v>42047.0</v>
      </c>
      <c r="P1053" s="1">
        <v>83905.0</v>
      </c>
      <c r="Q1053" s="1">
        <v>8965.0</v>
      </c>
      <c r="S1053" s="1">
        <v>862.0</v>
      </c>
      <c r="T1053" s="1" t="s">
        <v>11683</v>
      </c>
      <c r="U1053" s="1" t="s">
        <v>420</v>
      </c>
      <c r="V1053" s="1" t="s">
        <v>251</v>
      </c>
      <c r="W1053" s="1">
        <v>60133.0</v>
      </c>
      <c r="Y1053" s="1" t="s">
        <v>11684</v>
      </c>
      <c r="Z1053" s="1">
        <v>1973.0</v>
      </c>
      <c r="AA1053" s="1" t="s">
        <v>192</v>
      </c>
      <c r="AB1053" s="1" t="s">
        <v>193</v>
      </c>
      <c r="AD1053" s="1" t="s">
        <v>255</v>
      </c>
      <c r="AE1053" s="1" t="s">
        <v>195</v>
      </c>
      <c r="AF1053" s="1" t="s">
        <v>298</v>
      </c>
      <c r="AH1053" s="1" t="s">
        <v>11685</v>
      </c>
      <c r="AK1053" s="1">
        <v>7.0</v>
      </c>
      <c r="AL1053" s="1">
        <v>4.0</v>
      </c>
      <c r="AM1053" s="1">
        <v>2.0</v>
      </c>
      <c r="AN1053" s="1">
        <v>0.0</v>
      </c>
      <c r="AO1053" s="1" t="s">
        <v>198</v>
      </c>
      <c r="AQ1053" s="1" t="s">
        <v>229</v>
      </c>
      <c r="AR1053" s="1" t="s">
        <v>200</v>
      </c>
      <c r="AS1053" s="1" t="s">
        <v>199</v>
      </c>
      <c r="AT1053" s="1">
        <v>1.0</v>
      </c>
      <c r="AV1053" s="1" t="s">
        <v>200</v>
      </c>
      <c r="AW1053" s="1">
        <v>5091.0</v>
      </c>
      <c r="AX1053" s="1">
        <v>2012.0</v>
      </c>
      <c r="AY1053" s="1" t="s">
        <v>387</v>
      </c>
      <c r="AZ1053" s="1" t="s">
        <v>200</v>
      </c>
      <c r="BA1053" s="1" t="str">
        <f>"07302120340000"</f>
        <v>07302120340000</v>
      </c>
      <c r="BC1053" s="1">
        <v>1600.0</v>
      </c>
      <c r="BD1053" s="1">
        <v>145000.0</v>
      </c>
      <c r="BE1053" s="2">
        <v>41806.0</v>
      </c>
      <c r="BF1053" s="1" t="s">
        <v>11686</v>
      </c>
      <c r="BH1053" s="1">
        <v>0.0</v>
      </c>
      <c r="BK1053" s="1" t="s">
        <v>204</v>
      </c>
      <c r="BL1053" s="1" t="str">
        <f t="shared" ref="BL1053:BM1053" si="702">""</f>
        <v/>
      </c>
      <c r="BM1053" s="1" t="str">
        <f t="shared" si="702"/>
        <v/>
      </c>
      <c r="BQ1053" s="1">
        <v>54.0</v>
      </c>
      <c r="BR1053" s="1">
        <v>211.0</v>
      </c>
      <c r="BS1053" s="1">
        <v>54.0</v>
      </c>
      <c r="BU1053" s="1" t="s">
        <v>854</v>
      </c>
      <c r="BV1053" s="1" t="s">
        <v>206</v>
      </c>
      <c r="BY1053" s="1" t="s">
        <v>454</v>
      </c>
      <c r="BZ1053" s="1" t="s">
        <v>206</v>
      </c>
      <c r="CC1053" s="1" t="s">
        <v>478</v>
      </c>
      <c r="CD1053" s="1" t="s">
        <v>206</v>
      </c>
      <c r="CG1053" s="1" t="s">
        <v>392</v>
      </c>
      <c r="CH1053" s="1" t="s">
        <v>206</v>
      </c>
      <c r="CK1053" s="1" t="s">
        <v>264</v>
      </c>
      <c r="CL1053" s="1" t="s">
        <v>206</v>
      </c>
      <c r="CO1053" s="1" t="s">
        <v>269</v>
      </c>
      <c r="CP1053" s="1" t="s">
        <v>206</v>
      </c>
      <c r="CS1053" s="1" t="s">
        <v>478</v>
      </c>
      <c r="CT1053" s="1" t="s">
        <v>206</v>
      </c>
      <c r="CX1053" s="1" t="s">
        <v>204</v>
      </c>
      <c r="DA1053" s="1" t="s">
        <v>200</v>
      </c>
      <c r="DC1053" s="1" t="s">
        <v>517</v>
      </c>
      <c r="DE1053" s="1" t="s">
        <v>273</v>
      </c>
      <c r="DF1053" s="1" t="s">
        <v>219</v>
      </c>
      <c r="DH1053" s="1" t="s">
        <v>365</v>
      </c>
      <c r="DJ1053" s="1" t="s">
        <v>222</v>
      </c>
      <c r="DL1053" s="1" t="s">
        <v>229</v>
      </c>
      <c r="DM1053" s="1" t="s">
        <v>229</v>
      </c>
      <c r="DQ1053" s="1" t="s">
        <v>441</v>
      </c>
      <c r="DR1053" s="1" t="s">
        <v>229</v>
      </c>
      <c r="DV1053" s="1" t="s">
        <v>2313</v>
      </c>
      <c r="DW1053" s="1" t="s">
        <v>764</v>
      </c>
      <c r="DX1053" s="1" t="s">
        <v>234</v>
      </c>
      <c r="EC1053" s="1" t="s">
        <v>685</v>
      </c>
      <c r="EG1053" s="1" t="s">
        <v>2313</v>
      </c>
      <c r="EL1053" s="1" t="s">
        <v>721</v>
      </c>
      <c r="EM1053" s="1" t="s">
        <v>206</v>
      </c>
      <c r="EQ1053" s="1" t="s">
        <v>238</v>
      </c>
      <c r="EU1053" s="1" t="s">
        <v>238</v>
      </c>
      <c r="EY1053" s="1" t="s">
        <v>238</v>
      </c>
      <c r="FC1053" s="1" t="s">
        <v>238</v>
      </c>
      <c r="FF1053" s="1" t="s">
        <v>239</v>
      </c>
      <c r="FG1053" s="1" t="s">
        <v>192</v>
      </c>
      <c r="FH1053" s="1" t="s">
        <v>192</v>
      </c>
      <c r="FJ1053" s="1" t="s">
        <v>4404</v>
      </c>
      <c r="FK1053" s="1" t="s">
        <v>1586</v>
      </c>
      <c r="FL1053" s="1" t="s">
        <v>456</v>
      </c>
      <c r="FM1053" s="1">
        <v>8002.0</v>
      </c>
      <c r="FN1053" s="1" t="s">
        <v>3129</v>
      </c>
      <c r="FO1053" s="1" t="s">
        <v>3130</v>
      </c>
      <c r="FP1053" s="1">
        <v>84922.0</v>
      </c>
      <c r="FQ1053" s="1" t="s">
        <v>3131</v>
      </c>
      <c r="FU1053" s="1" t="s">
        <v>11687</v>
      </c>
      <c r="FV1053" s="1" t="s">
        <v>200</v>
      </c>
      <c r="FW1053" s="1" t="s">
        <v>290</v>
      </c>
      <c r="FZ1053" s="1" t="s">
        <v>229</v>
      </c>
      <c r="GA1053" s="1" t="s">
        <v>291</v>
      </c>
      <c r="GB1053" s="2">
        <v>42047.0</v>
      </c>
      <c r="GC1053" s="2" t="s">
        <v>11688</v>
      </c>
    </row>
    <row r="1054">
      <c r="A1054" s="1">
        <v>214500.0</v>
      </c>
      <c r="B1054" s="1" t="s">
        <v>185</v>
      </c>
      <c r="C1054" s="1" t="str">
        <f>"08641170"</f>
        <v>08641170</v>
      </c>
      <c r="D1054" s="1" t="s">
        <v>186</v>
      </c>
      <c r="F1054" s="1" t="str">
        <f>"8015"</f>
        <v>8015</v>
      </c>
      <c r="G1054" s="2">
        <v>41800.0</v>
      </c>
      <c r="H1054" s="1">
        <v>269000.0</v>
      </c>
      <c r="I1054" s="1">
        <v>678.0</v>
      </c>
      <c r="J1054" s="1">
        <v>219900.0</v>
      </c>
      <c r="K1054" s="2">
        <v>42080.0</v>
      </c>
      <c r="L1054" s="1">
        <v>281.0</v>
      </c>
      <c r="M1054" s="2">
        <v>42080.0</v>
      </c>
      <c r="N1054" s="1" t="s">
        <v>187</v>
      </c>
      <c r="O1054" s="2">
        <v>42122.0</v>
      </c>
      <c r="P1054" s="1">
        <v>859734.0</v>
      </c>
      <c r="Q1054" s="1">
        <v>18235.0</v>
      </c>
      <c r="S1054" s="1">
        <v>4824.0</v>
      </c>
      <c r="T1054" s="1" t="s">
        <v>11689</v>
      </c>
      <c r="U1054" s="1" t="s">
        <v>189</v>
      </c>
      <c r="V1054" s="1" t="s">
        <v>190</v>
      </c>
      <c r="W1054" s="1">
        <v>60641.0</v>
      </c>
      <c r="Y1054" s="1" t="s">
        <v>11690</v>
      </c>
      <c r="Z1054" s="1">
        <v>1947.0</v>
      </c>
      <c r="AA1054" s="1" t="s">
        <v>192</v>
      </c>
      <c r="AB1054" s="1" t="s">
        <v>193</v>
      </c>
      <c r="AD1054" s="1" t="s">
        <v>194</v>
      </c>
      <c r="AE1054" s="1" t="s">
        <v>195</v>
      </c>
      <c r="AF1054" s="1" t="s">
        <v>196</v>
      </c>
      <c r="AG1054" s="1" t="s">
        <v>11691</v>
      </c>
      <c r="AH1054" s="1" t="s">
        <v>11692</v>
      </c>
      <c r="AI1054" s="1">
        <v>0.0911</v>
      </c>
      <c r="AK1054" s="1">
        <v>9.0</v>
      </c>
      <c r="AL1054" s="1">
        <v>3.0</v>
      </c>
      <c r="AM1054" s="1">
        <v>3.0</v>
      </c>
      <c r="AN1054" s="1">
        <v>0.0</v>
      </c>
      <c r="AO1054" s="1" t="s">
        <v>229</v>
      </c>
      <c r="AP1054" s="1">
        <v>1.0</v>
      </c>
      <c r="AQ1054" s="1" t="s">
        <v>198</v>
      </c>
      <c r="AR1054" s="1" t="s">
        <v>192</v>
      </c>
      <c r="AS1054" s="1" t="s">
        <v>199</v>
      </c>
      <c r="AT1054" s="1">
        <v>2.0</v>
      </c>
      <c r="AV1054" s="1" t="s">
        <v>200</v>
      </c>
      <c r="AW1054" s="1">
        <v>4369.39</v>
      </c>
      <c r="AX1054" s="1">
        <v>2013.0</v>
      </c>
      <c r="AY1054" s="1" t="s">
        <v>387</v>
      </c>
      <c r="AZ1054" s="1" t="s">
        <v>200</v>
      </c>
      <c r="BA1054" s="1" t="str">
        <f>"13212230370000"</f>
        <v>13212230370000</v>
      </c>
      <c r="BB1054" s="1" t="s">
        <v>200</v>
      </c>
      <c r="BC1054" s="1">
        <v>1653.0</v>
      </c>
      <c r="BD1054" s="1">
        <v>214500.0</v>
      </c>
      <c r="BE1054" s="2">
        <v>41800.0</v>
      </c>
      <c r="BF1054" s="2" t="s">
        <v>11693</v>
      </c>
      <c r="BH1054" s="1">
        <v>0.0</v>
      </c>
      <c r="BK1054" s="1" t="s">
        <v>204</v>
      </c>
      <c r="BL1054" s="1" t="str">
        <f>"3800"</f>
        <v>3800</v>
      </c>
      <c r="BM1054" s="1" t="str">
        <f>"0"</f>
        <v>0</v>
      </c>
      <c r="BN1054" s="1">
        <v>4824.0</v>
      </c>
      <c r="BO1054" s="1">
        <v>0.0</v>
      </c>
      <c r="BQ1054" s="1">
        <v>299.0</v>
      </c>
      <c r="BR1054" s="1">
        <v>299.0</v>
      </c>
      <c r="BS1054" s="1">
        <v>299.0</v>
      </c>
      <c r="BU1054" s="1" t="s">
        <v>1426</v>
      </c>
      <c r="BV1054" s="1" t="s">
        <v>206</v>
      </c>
      <c r="BW1054" s="1" t="s">
        <v>207</v>
      </c>
      <c r="BX1054" s="1" t="s">
        <v>239</v>
      </c>
      <c r="BY1054" s="1" t="s">
        <v>454</v>
      </c>
      <c r="BZ1054" s="1" t="s">
        <v>209</v>
      </c>
      <c r="CA1054" s="1" t="s">
        <v>1790</v>
      </c>
      <c r="CB1054" s="1" t="s">
        <v>229</v>
      </c>
      <c r="CC1054" s="1" t="s">
        <v>543</v>
      </c>
      <c r="CD1054" s="1" t="s">
        <v>206</v>
      </c>
      <c r="CE1054" s="1" t="s">
        <v>207</v>
      </c>
      <c r="CF1054" s="1" t="s">
        <v>239</v>
      </c>
      <c r="CG1054" s="1" t="s">
        <v>215</v>
      </c>
      <c r="CH1054" s="1" t="s">
        <v>209</v>
      </c>
      <c r="CI1054" s="1" t="s">
        <v>1790</v>
      </c>
      <c r="CJ1054" s="1" t="s">
        <v>239</v>
      </c>
      <c r="CK1054" s="1" t="s">
        <v>212</v>
      </c>
      <c r="CL1054" s="1" t="s">
        <v>206</v>
      </c>
      <c r="CM1054" s="1" t="s">
        <v>207</v>
      </c>
      <c r="CO1054" s="1" t="s">
        <v>332</v>
      </c>
      <c r="CP1054" s="1" t="s">
        <v>42</v>
      </c>
      <c r="CQ1054" s="1" t="s">
        <v>588</v>
      </c>
      <c r="CR1054" s="1" t="s">
        <v>229</v>
      </c>
      <c r="CS1054" s="1" t="s">
        <v>647</v>
      </c>
      <c r="CT1054" s="1" t="s">
        <v>206</v>
      </c>
      <c r="CU1054" s="1" t="s">
        <v>207</v>
      </c>
      <c r="CV1054" s="1" t="s">
        <v>239</v>
      </c>
      <c r="CW1054" s="1" t="s">
        <v>616</v>
      </c>
      <c r="CX1054" s="1" t="s">
        <v>206</v>
      </c>
      <c r="CY1054" s="1" t="s">
        <v>210</v>
      </c>
      <c r="CZ1054" s="1" t="s">
        <v>229</v>
      </c>
      <c r="DA1054" s="1" t="s">
        <v>200</v>
      </c>
      <c r="DC1054" s="1" t="s">
        <v>702</v>
      </c>
      <c r="DD1054" s="1" t="s">
        <v>518</v>
      </c>
      <c r="DE1054" s="1" t="s">
        <v>273</v>
      </c>
      <c r="DF1054" s="1" t="s">
        <v>219</v>
      </c>
      <c r="DG1054" s="1" t="s">
        <v>1553</v>
      </c>
      <c r="DH1054" s="1" t="s">
        <v>365</v>
      </c>
      <c r="DJ1054" s="1" t="s">
        <v>222</v>
      </c>
      <c r="DK1054" s="1" t="s">
        <v>2506</v>
      </c>
      <c r="DL1054" s="1" t="s">
        <v>224</v>
      </c>
      <c r="DM1054" s="1" t="s">
        <v>229</v>
      </c>
      <c r="DN1054" s="1" t="s">
        <v>339</v>
      </c>
      <c r="DO1054" s="1" t="s">
        <v>549</v>
      </c>
      <c r="DP1054" s="1" t="s">
        <v>340</v>
      </c>
      <c r="DQ1054" s="1" t="s">
        <v>794</v>
      </c>
      <c r="DR1054" s="1" t="s">
        <v>229</v>
      </c>
      <c r="DS1054" s="1" t="s">
        <v>368</v>
      </c>
      <c r="DU1054" s="1" t="s">
        <v>11694</v>
      </c>
      <c r="DV1054" s="1" t="s">
        <v>450</v>
      </c>
      <c r="DW1054" s="1" t="s">
        <v>279</v>
      </c>
      <c r="DX1054" s="1" t="s">
        <v>280</v>
      </c>
      <c r="DY1054" s="1" t="s">
        <v>4250</v>
      </c>
      <c r="DZ1054" s="1" t="s">
        <v>282</v>
      </c>
      <c r="EA1054" s="1" t="s">
        <v>257</v>
      </c>
      <c r="EB1054" s="1" t="s">
        <v>797</v>
      </c>
      <c r="EC1054" s="1" t="s">
        <v>237</v>
      </c>
      <c r="ED1054" s="1" t="s">
        <v>1406</v>
      </c>
      <c r="EE1054" s="1" t="s">
        <v>11695</v>
      </c>
      <c r="EG1054" s="1" t="s">
        <v>450</v>
      </c>
      <c r="EL1054" s="1" t="s">
        <v>7715</v>
      </c>
      <c r="EM1054" s="1" t="s">
        <v>42</v>
      </c>
      <c r="EN1054" s="1" t="s">
        <v>588</v>
      </c>
      <c r="EO1054" s="1" t="s">
        <v>229</v>
      </c>
      <c r="EQ1054" s="1" t="s">
        <v>238</v>
      </c>
      <c r="EU1054" s="1" t="s">
        <v>238</v>
      </c>
      <c r="EY1054" s="1" t="s">
        <v>238</v>
      </c>
      <c r="FC1054" s="1" t="s">
        <v>238</v>
      </c>
      <c r="FF1054" s="1" t="s">
        <v>239</v>
      </c>
      <c r="FG1054" s="1" t="s">
        <v>192</v>
      </c>
      <c r="FH1054" s="1" t="s">
        <v>192</v>
      </c>
      <c r="FJ1054" s="1" t="s">
        <v>11696</v>
      </c>
      <c r="FK1054" s="1" t="s">
        <v>11327</v>
      </c>
      <c r="FL1054" s="1" t="s">
        <v>11697</v>
      </c>
      <c r="FM1054" s="1">
        <v>16938.0</v>
      </c>
      <c r="FN1054" s="1" t="s">
        <v>9532</v>
      </c>
      <c r="FO1054" s="1" t="s">
        <v>11698</v>
      </c>
      <c r="FP1054" s="1">
        <v>122011.0</v>
      </c>
      <c r="FQ1054" s="1" t="s">
        <v>11699</v>
      </c>
      <c r="FT1054" s="1" t="s">
        <v>11700</v>
      </c>
      <c r="FU1054" s="1" t="s">
        <v>11701</v>
      </c>
      <c r="FV1054" s="1" t="s">
        <v>200</v>
      </c>
      <c r="FW1054" s="1" t="s">
        <v>11702</v>
      </c>
      <c r="FX1054" s="1" t="s">
        <v>246</v>
      </c>
      <c r="FZ1054" s="1" t="s">
        <v>2993</v>
      </c>
      <c r="GA1054" s="1" t="s">
        <v>247</v>
      </c>
      <c r="GB1054" s="2">
        <v>42123.0</v>
      </c>
      <c r="GC1054" s="1" t="s">
        <v>11703</v>
      </c>
    </row>
    <row r="1055">
      <c r="A1055" s="1">
        <v>165000.0</v>
      </c>
      <c r="B1055" s="1" t="s">
        <v>185</v>
      </c>
      <c r="C1055" s="1" t="str">
        <f>"08633450"</f>
        <v>08633450</v>
      </c>
      <c r="D1055" s="1" t="s">
        <v>186</v>
      </c>
      <c r="F1055" s="1" t="str">
        <f>"8056"</f>
        <v>8056</v>
      </c>
      <c r="G1055" s="2">
        <v>41793.0</v>
      </c>
      <c r="H1055" s="1">
        <v>174900.0</v>
      </c>
      <c r="I1055" s="1">
        <v>165.0</v>
      </c>
      <c r="J1055" s="1">
        <v>159900.0</v>
      </c>
      <c r="K1055" s="2">
        <v>41957.0</v>
      </c>
      <c r="L1055" s="1">
        <v>165.0</v>
      </c>
      <c r="M1055" s="2">
        <v>41957.0</v>
      </c>
      <c r="N1055" s="1" t="s">
        <v>1512</v>
      </c>
      <c r="O1055" s="2">
        <v>42003.0</v>
      </c>
      <c r="P1055" s="1">
        <v>108735.0</v>
      </c>
      <c r="Q1055" s="1">
        <v>14442.0</v>
      </c>
      <c r="S1055" s="1">
        <v>4928.0</v>
      </c>
      <c r="T1055" s="1" t="s">
        <v>9879</v>
      </c>
      <c r="U1055" s="1" t="s">
        <v>189</v>
      </c>
      <c r="V1055" s="1" t="s">
        <v>190</v>
      </c>
      <c r="W1055" s="1">
        <v>60638.0</v>
      </c>
      <c r="Y1055" s="1" t="s">
        <v>11704</v>
      </c>
      <c r="Z1055" s="1">
        <v>1954.0</v>
      </c>
      <c r="AA1055" s="1" t="s">
        <v>192</v>
      </c>
      <c r="AB1055" s="1" t="s">
        <v>193</v>
      </c>
      <c r="AD1055" s="1" t="s">
        <v>194</v>
      </c>
      <c r="AE1055" s="1" t="s">
        <v>195</v>
      </c>
      <c r="AF1055" s="1" t="s">
        <v>659</v>
      </c>
      <c r="AH1055" s="1" t="s">
        <v>1501</v>
      </c>
      <c r="AI1055" s="1">
        <v>0.0868</v>
      </c>
      <c r="AK1055" s="1">
        <v>7.0</v>
      </c>
      <c r="AL1055" s="1">
        <v>3.0</v>
      </c>
      <c r="AM1055" s="1">
        <v>2.0</v>
      </c>
      <c r="AN1055" s="1">
        <v>0.0</v>
      </c>
      <c r="AO1055" s="1" t="s">
        <v>229</v>
      </c>
      <c r="AQ1055" s="1" t="s">
        <v>198</v>
      </c>
      <c r="AR1055" s="1" t="s">
        <v>192</v>
      </c>
      <c r="AS1055" s="1" t="s">
        <v>199</v>
      </c>
      <c r="AT1055" s="1">
        <v>2.0</v>
      </c>
      <c r="AV1055" s="1" t="s">
        <v>200</v>
      </c>
      <c r="AW1055" s="1">
        <v>2514.91</v>
      </c>
      <c r="AX1055" s="1">
        <v>2012.0</v>
      </c>
      <c r="AZ1055" s="1" t="s">
        <v>200</v>
      </c>
      <c r="BA1055" s="1" t="str">
        <f>"19101150450000"</f>
        <v>19101150450000</v>
      </c>
      <c r="BC1055" s="1">
        <v>1032.0</v>
      </c>
      <c r="BD1055" s="1">
        <v>165000.0</v>
      </c>
      <c r="BE1055" s="2">
        <v>41793.0</v>
      </c>
      <c r="BF1055" s="2" t="s">
        <v>11705</v>
      </c>
      <c r="BH1055" s="1">
        <v>0.0</v>
      </c>
      <c r="BK1055" s="1" t="s">
        <v>204</v>
      </c>
      <c r="BL1055" s="1" t="str">
        <f t="shared" ref="BL1055:BM1055" si="703">"0"</f>
        <v>0</v>
      </c>
      <c r="BM1055" s="1" t="str">
        <f t="shared" si="703"/>
        <v>0</v>
      </c>
      <c r="BN1055" s="1">
        <v>4650.0</v>
      </c>
      <c r="BO1055" s="1">
        <v>4928.0</v>
      </c>
      <c r="BQ1055" s="1">
        <v>299.0</v>
      </c>
      <c r="BR1055" s="1">
        <v>299.0</v>
      </c>
      <c r="BS1055" s="1">
        <v>299.0</v>
      </c>
      <c r="BU1055" s="1" t="s">
        <v>1891</v>
      </c>
      <c r="BV1055" s="1" t="s">
        <v>206</v>
      </c>
      <c r="BY1055" s="1" t="s">
        <v>331</v>
      </c>
      <c r="BZ1055" s="1" t="s">
        <v>206</v>
      </c>
      <c r="CD1055" s="1" t="s">
        <v>204</v>
      </c>
      <c r="CG1055" s="1" t="s">
        <v>497</v>
      </c>
      <c r="CH1055" s="1" t="s">
        <v>206</v>
      </c>
      <c r="CK1055" s="1" t="s">
        <v>264</v>
      </c>
      <c r="CL1055" s="1" t="s">
        <v>206</v>
      </c>
      <c r="CO1055" s="1" t="s">
        <v>331</v>
      </c>
      <c r="CP1055" s="1" t="s">
        <v>42</v>
      </c>
      <c r="CS1055" s="1" t="s">
        <v>215</v>
      </c>
      <c r="CT1055" s="1" t="s">
        <v>206</v>
      </c>
      <c r="CW1055" s="1" t="s">
        <v>3415</v>
      </c>
      <c r="CX1055" s="1" t="s">
        <v>42</v>
      </c>
      <c r="DA1055" s="1" t="s">
        <v>200</v>
      </c>
      <c r="DC1055" s="1" t="s">
        <v>271</v>
      </c>
      <c r="DE1055" s="1" t="s">
        <v>229</v>
      </c>
      <c r="DF1055" s="1" t="s">
        <v>219</v>
      </c>
      <c r="DH1055" s="1" t="s">
        <v>220</v>
      </c>
      <c r="DJ1055" s="1" t="s">
        <v>222</v>
      </c>
      <c r="DL1055" s="1" t="s">
        <v>224</v>
      </c>
      <c r="DM1055" s="1" t="s">
        <v>229</v>
      </c>
      <c r="DQ1055" s="1" t="s">
        <v>228</v>
      </c>
      <c r="DR1055" s="1" t="s">
        <v>229</v>
      </c>
      <c r="DV1055" s="1" t="s">
        <v>232</v>
      </c>
      <c r="DW1055" s="1" t="s">
        <v>279</v>
      </c>
      <c r="DX1055" s="1" t="s">
        <v>234</v>
      </c>
      <c r="EA1055" s="1" t="s">
        <v>644</v>
      </c>
      <c r="EC1055" s="1" t="s">
        <v>685</v>
      </c>
      <c r="EM1055" s="1" t="s">
        <v>238</v>
      </c>
      <c r="EQ1055" s="1" t="s">
        <v>238</v>
      </c>
      <c r="EU1055" s="1" t="s">
        <v>238</v>
      </c>
      <c r="EY1055" s="1" t="s">
        <v>238</v>
      </c>
      <c r="FC1055" s="1" t="s">
        <v>238</v>
      </c>
      <c r="FF1055" s="1" t="s">
        <v>239</v>
      </c>
      <c r="FG1055" s="1" t="s">
        <v>192</v>
      </c>
      <c r="FH1055" s="1" t="s">
        <v>192</v>
      </c>
      <c r="FJ1055" s="1" t="s">
        <v>347</v>
      </c>
      <c r="FK1055" s="1" t="s">
        <v>229</v>
      </c>
      <c r="FL1055" s="1" t="s">
        <v>2989</v>
      </c>
      <c r="FM1055" s="1">
        <v>21139.0</v>
      </c>
      <c r="FN1055" s="1" t="s">
        <v>8190</v>
      </c>
      <c r="FO1055" s="1" t="s">
        <v>11706</v>
      </c>
      <c r="FP1055" s="1">
        <v>504315.0</v>
      </c>
      <c r="FQ1055" s="1" t="s">
        <v>8190</v>
      </c>
      <c r="FS1055" s="1" t="s">
        <v>8192</v>
      </c>
      <c r="FU1055" s="1" t="s">
        <v>3993</v>
      </c>
      <c r="FV1055" s="1" t="s">
        <v>200</v>
      </c>
      <c r="FW1055" s="1" t="s">
        <v>1411</v>
      </c>
      <c r="FX1055" s="1" t="s">
        <v>655</v>
      </c>
      <c r="FZ1055" s="1" t="s">
        <v>229</v>
      </c>
      <c r="GA1055" s="1" t="s">
        <v>291</v>
      </c>
      <c r="GB1055" s="2">
        <v>42004.0</v>
      </c>
    </row>
    <row r="1056">
      <c r="A1056" s="1">
        <v>5000.0</v>
      </c>
      <c r="B1056" s="1" t="s">
        <v>185</v>
      </c>
      <c r="C1056" s="1" t="str">
        <f>"08634385"</f>
        <v>08634385</v>
      </c>
      <c r="D1056" s="1" t="s">
        <v>186</v>
      </c>
      <c r="F1056" s="1" t="str">
        <f>"8049"</f>
        <v>8049</v>
      </c>
      <c r="G1056" s="2">
        <v>41794.0</v>
      </c>
      <c r="H1056" s="1">
        <v>9900.0</v>
      </c>
      <c r="I1056" s="1">
        <v>167.0</v>
      </c>
      <c r="J1056" s="1">
        <v>5900.0</v>
      </c>
      <c r="K1056" s="2">
        <v>41960.0</v>
      </c>
      <c r="L1056" s="1">
        <v>167.0</v>
      </c>
      <c r="M1056" s="2">
        <v>41960.0</v>
      </c>
      <c r="N1056" s="1" t="s">
        <v>249</v>
      </c>
      <c r="O1056" s="2">
        <v>41981.0</v>
      </c>
      <c r="P1056" s="1">
        <v>219725.0</v>
      </c>
      <c r="Q1056" s="1">
        <v>21445.0</v>
      </c>
      <c r="S1056" s="1">
        <v>349.0</v>
      </c>
      <c r="T1056" s="1" t="s">
        <v>11707</v>
      </c>
      <c r="U1056" s="1" t="s">
        <v>694</v>
      </c>
      <c r="V1056" s="1" t="s">
        <v>190</v>
      </c>
      <c r="W1056" s="1">
        <v>60628.0</v>
      </c>
      <c r="Y1056" s="1" t="s">
        <v>11708</v>
      </c>
      <c r="Z1056" s="1">
        <v>1901.0</v>
      </c>
      <c r="AA1056" s="1" t="s">
        <v>192</v>
      </c>
      <c r="AB1056" s="1" t="s">
        <v>193</v>
      </c>
      <c r="AD1056" s="1" t="s">
        <v>194</v>
      </c>
      <c r="AE1056" s="1" t="s">
        <v>195</v>
      </c>
      <c r="AF1056" s="1" t="s">
        <v>659</v>
      </c>
      <c r="AH1056" s="1" t="s">
        <v>359</v>
      </c>
      <c r="AK1056" s="1">
        <v>6.0</v>
      </c>
      <c r="AL1056" s="1">
        <v>4.0</v>
      </c>
      <c r="AM1056" s="1">
        <v>1.0</v>
      </c>
      <c r="AN1056" s="1">
        <v>0.0</v>
      </c>
      <c r="AO1056" s="1" t="s">
        <v>229</v>
      </c>
      <c r="AQ1056" s="1" t="s">
        <v>198</v>
      </c>
      <c r="AR1056" s="1" t="s">
        <v>200</v>
      </c>
      <c r="AS1056" s="1" t="s">
        <v>229</v>
      </c>
      <c r="AV1056" s="1" t="s">
        <v>200</v>
      </c>
      <c r="AW1056" s="1">
        <v>303.0</v>
      </c>
      <c r="AX1056" s="1">
        <v>2012.0</v>
      </c>
      <c r="AZ1056" s="1" t="s">
        <v>200</v>
      </c>
      <c r="BA1056" s="1" t="str">
        <f>"25162110790000"</f>
        <v>25162110790000</v>
      </c>
      <c r="BC1056" s="1">
        <v>1050.0</v>
      </c>
      <c r="BD1056" s="1">
        <v>5000.0</v>
      </c>
      <c r="BE1056" s="2">
        <v>41794.0</v>
      </c>
      <c r="BF1056" s="2" t="s">
        <v>11709</v>
      </c>
      <c r="BH1056" s="1">
        <v>0.0</v>
      </c>
      <c r="BK1056" s="1" t="s">
        <v>204</v>
      </c>
      <c r="BL1056" s="1" t="str">
        <f t="shared" ref="BL1056:BM1056" si="704">"0"</f>
        <v>0</v>
      </c>
      <c r="BM1056" s="1" t="str">
        <f t="shared" si="704"/>
        <v>0</v>
      </c>
      <c r="BN1056" s="1">
        <v>357.0</v>
      </c>
      <c r="BO1056" s="1">
        <v>10500.0</v>
      </c>
      <c r="BQ1056" s="1">
        <v>299.0</v>
      </c>
      <c r="BR1056" s="1">
        <v>299.0</v>
      </c>
      <c r="BS1056" s="1">
        <v>299.0</v>
      </c>
      <c r="BU1056" s="1" t="s">
        <v>361</v>
      </c>
      <c r="BV1056" s="1" t="s">
        <v>206</v>
      </c>
      <c r="BY1056" s="1" t="s">
        <v>300</v>
      </c>
      <c r="BZ1056" s="1" t="s">
        <v>209</v>
      </c>
      <c r="CD1056" s="1" t="s">
        <v>204</v>
      </c>
      <c r="CG1056" s="1" t="s">
        <v>300</v>
      </c>
      <c r="CH1056" s="1" t="s">
        <v>209</v>
      </c>
      <c r="CK1056" s="1" t="s">
        <v>264</v>
      </c>
      <c r="CL1056" s="1" t="s">
        <v>209</v>
      </c>
      <c r="CO1056" s="1" t="s">
        <v>264</v>
      </c>
      <c r="CP1056" s="1" t="s">
        <v>209</v>
      </c>
      <c r="CS1056" s="1" t="s">
        <v>1352</v>
      </c>
      <c r="CT1056" s="1" t="s">
        <v>206</v>
      </c>
      <c r="CX1056" s="1" t="s">
        <v>204</v>
      </c>
      <c r="DA1056" s="1" t="s">
        <v>200</v>
      </c>
      <c r="DC1056" s="1" t="s">
        <v>642</v>
      </c>
      <c r="DE1056" s="1" t="s">
        <v>229</v>
      </c>
      <c r="DF1056" s="1" t="s">
        <v>219</v>
      </c>
      <c r="DH1056" s="1" t="s">
        <v>220</v>
      </c>
      <c r="DJ1056" s="1" t="s">
        <v>222</v>
      </c>
      <c r="DL1056" s="1" t="s">
        <v>223</v>
      </c>
      <c r="DM1056" s="1" t="s">
        <v>229</v>
      </c>
      <c r="DQ1056" s="1" t="s">
        <v>228</v>
      </c>
      <c r="DR1056" s="1" t="s">
        <v>229</v>
      </c>
      <c r="DV1056" s="1" t="s">
        <v>232</v>
      </c>
      <c r="DW1056" s="1" t="s">
        <v>3142</v>
      </c>
      <c r="DX1056" s="1" t="s">
        <v>234</v>
      </c>
      <c r="EC1056" s="1" t="s">
        <v>645</v>
      </c>
      <c r="EM1056" s="1" t="s">
        <v>238</v>
      </c>
      <c r="EQ1056" s="1" t="s">
        <v>238</v>
      </c>
      <c r="EU1056" s="1" t="s">
        <v>238</v>
      </c>
      <c r="EY1056" s="1" t="s">
        <v>238</v>
      </c>
      <c r="FC1056" s="1" t="s">
        <v>238</v>
      </c>
      <c r="FF1056" s="1" t="s">
        <v>239</v>
      </c>
      <c r="FG1056" s="1" t="s">
        <v>192</v>
      </c>
      <c r="FH1056" s="1" t="s">
        <v>192</v>
      </c>
      <c r="FJ1056" s="1" t="s">
        <v>347</v>
      </c>
      <c r="FK1056" s="1" t="s">
        <v>229</v>
      </c>
      <c r="FL1056" s="1" t="s">
        <v>3443</v>
      </c>
      <c r="FM1056" s="1">
        <v>8658.0</v>
      </c>
      <c r="FN1056" s="1" t="s">
        <v>3444</v>
      </c>
      <c r="FO1056" s="1" t="s">
        <v>3445</v>
      </c>
      <c r="FP1056" s="1">
        <v>84760.0</v>
      </c>
      <c r="FQ1056" s="1" t="s">
        <v>3444</v>
      </c>
      <c r="FS1056" s="1" t="s">
        <v>11710</v>
      </c>
      <c r="FU1056" s="1" t="s">
        <v>710</v>
      </c>
      <c r="FV1056" s="1" t="s">
        <v>200</v>
      </c>
      <c r="FW1056" s="1" t="s">
        <v>290</v>
      </c>
      <c r="FX1056" s="1" t="s">
        <v>246</v>
      </c>
      <c r="FZ1056" s="1" t="s">
        <v>229</v>
      </c>
      <c r="GA1056" s="1" t="s">
        <v>291</v>
      </c>
      <c r="GB1056" s="2">
        <v>41985.0</v>
      </c>
      <c r="GC1056" s="1" t="s">
        <v>11711</v>
      </c>
    </row>
    <row r="1057">
      <c r="A1057" s="1">
        <v>224900.0</v>
      </c>
      <c r="B1057" s="1" t="s">
        <v>185</v>
      </c>
      <c r="C1057" s="1" t="str">
        <f>"08637003"</f>
        <v>08637003</v>
      </c>
      <c r="D1057" s="1" t="s">
        <v>186</v>
      </c>
      <c r="F1057" s="1" t="str">
        <f>"123"</f>
        <v>123</v>
      </c>
      <c r="G1057" s="2">
        <v>41796.0</v>
      </c>
      <c r="H1057" s="1">
        <v>279000.0</v>
      </c>
      <c r="I1057" s="1">
        <v>291.0</v>
      </c>
      <c r="J1057" s="1">
        <v>224900.0</v>
      </c>
      <c r="K1057" s="2">
        <v>42086.0</v>
      </c>
      <c r="L1057" s="1">
        <v>291.0</v>
      </c>
      <c r="M1057" s="2">
        <v>42086.0</v>
      </c>
      <c r="N1057" s="1" t="s">
        <v>187</v>
      </c>
      <c r="O1057" s="2">
        <v>42132.0</v>
      </c>
      <c r="P1057" s="1">
        <v>228670.0</v>
      </c>
      <c r="Q1057" s="1">
        <v>25005.0</v>
      </c>
      <c r="S1057" s="1">
        <v>2829.0</v>
      </c>
      <c r="T1057" s="1" t="s">
        <v>11712</v>
      </c>
      <c r="U1057" s="1" t="s">
        <v>464</v>
      </c>
      <c r="V1057" s="1" t="s">
        <v>465</v>
      </c>
      <c r="W1057" s="1">
        <v>60124.0</v>
      </c>
      <c r="X1057" s="1">
        <v>8049.0</v>
      </c>
      <c r="Y1057" s="1" t="s">
        <v>11713</v>
      </c>
      <c r="Z1057" s="1">
        <v>1994.0</v>
      </c>
      <c r="AA1057" s="1" t="s">
        <v>200</v>
      </c>
      <c r="AB1057" s="1" t="s">
        <v>193</v>
      </c>
      <c r="AC1057" s="1" t="s">
        <v>11714</v>
      </c>
      <c r="AD1057" s="1" t="s">
        <v>469</v>
      </c>
      <c r="AE1057" s="1" t="s">
        <v>325</v>
      </c>
      <c r="AF1057" s="1" t="s">
        <v>469</v>
      </c>
      <c r="AH1057" s="1" t="s">
        <v>11715</v>
      </c>
      <c r="AI1057" s="1">
        <v>0.25</v>
      </c>
      <c r="AK1057" s="1">
        <v>10.0</v>
      </c>
      <c r="AL1057" s="1">
        <v>4.0</v>
      </c>
      <c r="AM1057" s="1">
        <v>2.0</v>
      </c>
      <c r="AN1057" s="1">
        <v>1.0</v>
      </c>
      <c r="AO1057" s="1" t="s">
        <v>198</v>
      </c>
      <c r="AP1057" s="1">
        <v>0.0</v>
      </c>
      <c r="AQ1057" s="1" t="s">
        <v>1314</v>
      </c>
      <c r="AR1057" s="1" t="s">
        <v>200</v>
      </c>
      <c r="AS1057" s="1" t="s">
        <v>199</v>
      </c>
      <c r="AT1057" s="1">
        <v>2.0</v>
      </c>
      <c r="AV1057" s="1" t="s">
        <v>200</v>
      </c>
      <c r="AW1057" s="4">
        <v>6850.4</v>
      </c>
      <c r="AX1057" s="1">
        <v>2013.0</v>
      </c>
      <c r="AY1057" s="1" t="s">
        <v>387</v>
      </c>
      <c r="AZ1057" s="1" t="s">
        <v>200</v>
      </c>
      <c r="BA1057" s="1" t="str">
        <f>"0617179006"</f>
        <v>0617179006</v>
      </c>
      <c r="BB1057" s="1" t="s">
        <v>200</v>
      </c>
      <c r="BC1057" s="1">
        <v>2018.0</v>
      </c>
      <c r="BD1057" s="1">
        <v>224900.0</v>
      </c>
      <c r="BE1057" s="2">
        <v>41796.0</v>
      </c>
      <c r="BF1057" s="2" t="s">
        <v>11716</v>
      </c>
      <c r="BH1057" s="1">
        <v>0.0</v>
      </c>
      <c r="BK1057" s="1" t="s">
        <v>204</v>
      </c>
      <c r="BL1057" s="1" t="str">
        <f>"11"</f>
        <v>11</v>
      </c>
      <c r="BM1057" s="1" t="str">
        <f>"0"</f>
        <v>0</v>
      </c>
      <c r="BN1057" s="1">
        <v>37.0</v>
      </c>
      <c r="BO1057" s="1">
        <v>0.0</v>
      </c>
      <c r="BQ1057" s="1">
        <v>301.0</v>
      </c>
      <c r="BR1057" s="1">
        <v>301.0</v>
      </c>
      <c r="BS1057" s="1">
        <v>301.0</v>
      </c>
      <c r="BU1057" s="1" t="s">
        <v>211</v>
      </c>
      <c r="BV1057" s="1" t="s">
        <v>206</v>
      </c>
      <c r="BW1057" s="1" t="s">
        <v>207</v>
      </c>
      <c r="BY1057" s="1" t="s">
        <v>664</v>
      </c>
      <c r="BZ1057" s="1" t="s">
        <v>209</v>
      </c>
      <c r="CA1057" s="1" t="s">
        <v>210</v>
      </c>
      <c r="CC1057" s="1" t="s">
        <v>392</v>
      </c>
      <c r="CD1057" s="1" t="s">
        <v>206</v>
      </c>
      <c r="CE1057" s="1" t="s">
        <v>207</v>
      </c>
      <c r="CG1057" s="1" t="s">
        <v>269</v>
      </c>
      <c r="CH1057" s="1" t="s">
        <v>209</v>
      </c>
      <c r="CI1057" s="1" t="s">
        <v>210</v>
      </c>
      <c r="CK1057" s="1" t="s">
        <v>699</v>
      </c>
      <c r="CL1057" s="1" t="s">
        <v>209</v>
      </c>
      <c r="CM1057" s="1" t="s">
        <v>210</v>
      </c>
      <c r="CO1057" s="1" t="s">
        <v>331</v>
      </c>
      <c r="CP1057" s="1" t="s">
        <v>209</v>
      </c>
      <c r="CQ1057" s="1" t="s">
        <v>210</v>
      </c>
      <c r="CS1057" s="1" t="s">
        <v>269</v>
      </c>
      <c r="CT1057" s="1" t="s">
        <v>206</v>
      </c>
      <c r="CU1057" s="1" t="s">
        <v>207</v>
      </c>
      <c r="CW1057" s="1" t="s">
        <v>434</v>
      </c>
      <c r="CX1057" s="1" t="s">
        <v>206</v>
      </c>
      <c r="CY1057" s="1" t="s">
        <v>210</v>
      </c>
      <c r="DA1057" s="1" t="s">
        <v>200</v>
      </c>
      <c r="DC1057" s="1" t="s">
        <v>435</v>
      </c>
      <c r="DD1057" s="1" t="s">
        <v>396</v>
      </c>
      <c r="DE1057" s="1" t="s">
        <v>273</v>
      </c>
      <c r="DF1057" s="1" t="s">
        <v>219</v>
      </c>
      <c r="DG1057" s="1" t="s">
        <v>337</v>
      </c>
      <c r="DH1057" s="1" t="s">
        <v>220</v>
      </c>
      <c r="DI1057" s="1" t="s">
        <v>519</v>
      </c>
      <c r="DJ1057" s="1" t="s">
        <v>222</v>
      </c>
      <c r="DK1057" s="1" t="s">
        <v>1555</v>
      </c>
      <c r="DL1057" s="1" t="s">
        <v>224</v>
      </c>
      <c r="DM1057" s="1" t="s">
        <v>338</v>
      </c>
      <c r="DN1057" s="1" t="s">
        <v>399</v>
      </c>
      <c r="DO1057" s="1" t="s">
        <v>486</v>
      </c>
      <c r="DP1057" s="1" t="s">
        <v>276</v>
      </c>
      <c r="DQ1057" s="1" t="s">
        <v>228</v>
      </c>
      <c r="DR1057" s="1" t="s">
        <v>229</v>
      </c>
      <c r="DS1057" s="1" t="s">
        <v>591</v>
      </c>
      <c r="DU1057" s="1" t="s">
        <v>2959</v>
      </c>
      <c r="DV1057" s="1" t="s">
        <v>11717</v>
      </c>
      <c r="DW1057" s="1" t="s">
        <v>279</v>
      </c>
      <c r="DX1057" s="1" t="s">
        <v>234</v>
      </c>
      <c r="DY1057" s="1" t="s">
        <v>704</v>
      </c>
      <c r="DZ1057" s="1" t="s">
        <v>2204</v>
      </c>
      <c r="EA1057" s="1" t="s">
        <v>447</v>
      </c>
      <c r="EC1057" s="1" t="s">
        <v>237</v>
      </c>
      <c r="ED1057" s="1" t="s">
        <v>407</v>
      </c>
      <c r="EE1057" s="1" t="s">
        <v>493</v>
      </c>
      <c r="EG1057" s="1" t="s">
        <v>449</v>
      </c>
      <c r="EH1057" s="1" t="s">
        <v>450</v>
      </c>
      <c r="EI1057" s="1" t="s">
        <v>408</v>
      </c>
      <c r="EL1057" s="1" t="s">
        <v>940</v>
      </c>
      <c r="EM1057" s="1" t="s">
        <v>206</v>
      </c>
      <c r="EN1057" s="1" t="s">
        <v>207</v>
      </c>
      <c r="EP1057" s="1" t="s">
        <v>11718</v>
      </c>
      <c r="EQ1057" s="1" t="s">
        <v>42</v>
      </c>
      <c r="ER1057" s="1" t="s">
        <v>210</v>
      </c>
      <c r="ET1057" s="1" t="s">
        <v>11719</v>
      </c>
      <c r="EU1057" s="1" t="s">
        <v>206</v>
      </c>
      <c r="EV1057" s="1" t="s">
        <v>207</v>
      </c>
      <c r="EY1057" s="1" t="s">
        <v>238</v>
      </c>
      <c r="FC1057" s="1" t="s">
        <v>238</v>
      </c>
      <c r="FF1057" s="1" t="s">
        <v>239</v>
      </c>
      <c r="FG1057" s="1" t="s">
        <v>192</v>
      </c>
      <c r="FH1057" s="1" t="s">
        <v>192</v>
      </c>
      <c r="FJ1057" s="1" t="s">
        <v>2552</v>
      </c>
      <c r="FK1057" s="1" t="s">
        <v>11327</v>
      </c>
      <c r="FL1057" s="1" t="s">
        <v>1451</v>
      </c>
      <c r="FM1057" s="1">
        <v>7450.0</v>
      </c>
      <c r="FN1057" s="1" t="s">
        <v>1452</v>
      </c>
      <c r="FO1057" s="1" t="s">
        <v>5583</v>
      </c>
      <c r="FP1057" s="1">
        <v>70036.0</v>
      </c>
      <c r="FQ1057" s="1" t="s">
        <v>5584</v>
      </c>
      <c r="FR1057" s="1">
        <v>77640.0</v>
      </c>
      <c r="FU1057" s="1" t="s">
        <v>11720</v>
      </c>
      <c r="FV1057" s="1" t="s">
        <v>200</v>
      </c>
      <c r="FW1057" s="1" t="s">
        <v>290</v>
      </c>
      <c r="FZ1057" s="1" t="s">
        <v>632</v>
      </c>
      <c r="GA1057" s="1" t="s">
        <v>291</v>
      </c>
      <c r="GB1057" s="2">
        <v>42132.0</v>
      </c>
      <c r="GC1057" s="1" t="s">
        <v>11721</v>
      </c>
    </row>
    <row r="1058">
      <c r="A1058" s="1">
        <v>252000.0</v>
      </c>
      <c r="B1058" s="1" t="s">
        <v>185</v>
      </c>
      <c r="C1058" s="1" t="str">
        <f>"08643708"</f>
        <v>08643708</v>
      </c>
      <c r="D1058" s="1" t="s">
        <v>186</v>
      </c>
      <c r="F1058" s="1" t="str">
        <f>"542"</f>
        <v>542</v>
      </c>
      <c r="G1058" s="2">
        <v>41803.0</v>
      </c>
      <c r="H1058" s="1">
        <v>312900.0</v>
      </c>
      <c r="I1058" s="1">
        <v>154.0</v>
      </c>
      <c r="J1058" s="1">
        <v>254900.0</v>
      </c>
      <c r="K1058" s="2">
        <v>41955.0</v>
      </c>
      <c r="L1058" s="1">
        <v>154.0</v>
      </c>
      <c r="M1058" s="2">
        <v>41955.0</v>
      </c>
      <c r="N1058" s="1" t="s">
        <v>187</v>
      </c>
      <c r="O1058" s="2">
        <v>41990.0</v>
      </c>
      <c r="P1058" s="1">
        <v>301661.0</v>
      </c>
      <c r="Q1058" s="1">
        <v>31982.0</v>
      </c>
      <c r="R1058" s="1">
        <v>1000.0</v>
      </c>
      <c r="S1058" s="1">
        <v>733.0</v>
      </c>
      <c r="T1058" s="1" t="s">
        <v>11722</v>
      </c>
      <c r="U1058" s="1" t="s">
        <v>569</v>
      </c>
      <c r="V1058" s="1" t="s">
        <v>3984</v>
      </c>
      <c r="W1058" s="1">
        <v>60542.0</v>
      </c>
      <c r="Y1058" s="1" t="s">
        <v>11723</v>
      </c>
      <c r="Z1058" s="1">
        <v>2005.0</v>
      </c>
      <c r="AA1058" s="1" t="s">
        <v>200</v>
      </c>
      <c r="AB1058" s="1" t="s">
        <v>467</v>
      </c>
      <c r="AC1058" s="1" t="s">
        <v>6897</v>
      </c>
      <c r="AD1058" s="1" t="s">
        <v>3986</v>
      </c>
      <c r="AE1058" s="1" t="s">
        <v>325</v>
      </c>
      <c r="AF1058" s="1" t="s">
        <v>1479</v>
      </c>
      <c r="AH1058" s="1" t="s">
        <v>11724</v>
      </c>
      <c r="AI1058" s="1">
        <v>0.3079</v>
      </c>
      <c r="AK1058" s="1">
        <v>10.0</v>
      </c>
      <c r="AL1058" s="1">
        <v>4.0</v>
      </c>
      <c r="AM1058" s="1">
        <v>2.0</v>
      </c>
      <c r="AN1058" s="1">
        <v>1.0</v>
      </c>
      <c r="AO1058" s="1" t="s">
        <v>198</v>
      </c>
      <c r="AQ1058" s="1" t="s">
        <v>198</v>
      </c>
      <c r="AR1058" s="1" t="s">
        <v>200</v>
      </c>
      <c r="AS1058" s="1" t="s">
        <v>199</v>
      </c>
      <c r="AT1058" s="1">
        <v>3.0</v>
      </c>
      <c r="AV1058" s="1" t="s">
        <v>200</v>
      </c>
      <c r="AW1058" s="1">
        <v>8338.2</v>
      </c>
      <c r="AX1058" s="1">
        <v>2012.0</v>
      </c>
      <c r="AZ1058" s="1" t="s">
        <v>200</v>
      </c>
      <c r="BA1058" s="1" t="str">
        <f>"1136177013"</f>
        <v>1136177013</v>
      </c>
      <c r="BC1058" s="1">
        <v>2854.0</v>
      </c>
      <c r="BD1058" s="1">
        <v>252000.0</v>
      </c>
      <c r="BE1058" s="2">
        <v>41802.0</v>
      </c>
      <c r="BF1058" s="2" t="s">
        <v>11725</v>
      </c>
      <c r="BH1058" s="1">
        <v>45.0</v>
      </c>
      <c r="BK1058" s="1" t="s">
        <v>1952</v>
      </c>
      <c r="BL1058" s="1" t="str">
        <f t="shared" ref="BL1058:BM1058" si="705">""</f>
        <v/>
      </c>
      <c r="BM1058" s="1" t="str">
        <f t="shared" si="705"/>
        <v/>
      </c>
      <c r="BQ1058" s="1">
        <v>129.0</v>
      </c>
      <c r="BR1058" s="1">
        <v>129.0</v>
      </c>
      <c r="BS1058" s="1">
        <v>129.0</v>
      </c>
      <c r="BU1058" s="1" t="s">
        <v>363</v>
      </c>
      <c r="BV1058" s="1" t="s">
        <v>206</v>
      </c>
      <c r="BY1058" s="1" t="s">
        <v>390</v>
      </c>
      <c r="BZ1058" s="1" t="s">
        <v>209</v>
      </c>
      <c r="CC1058" s="1" t="s">
        <v>212</v>
      </c>
      <c r="CD1058" s="1" t="s">
        <v>206</v>
      </c>
      <c r="CG1058" s="1" t="s">
        <v>363</v>
      </c>
      <c r="CH1058" s="1" t="s">
        <v>209</v>
      </c>
      <c r="CK1058" s="1" t="s">
        <v>329</v>
      </c>
      <c r="CL1058" s="1" t="s">
        <v>209</v>
      </c>
      <c r="CO1058" s="1" t="s">
        <v>363</v>
      </c>
      <c r="CP1058" s="1" t="s">
        <v>209</v>
      </c>
      <c r="CS1058" s="1" t="s">
        <v>332</v>
      </c>
      <c r="CT1058" s="1" t="s">
        <v>206</v>
      </c>
      <c r="CW1058" s="1" t="s">
        <v>453</v>
      </c>
      <c r="CX1058" s="1" t="s">
        <v>206</v>
      </c>
      <c r="DA1058" s="1" t="s">
        <v>200</v>
      </c>
      <c r="DC1058" s="1" t="s">
        <v>481</v>
      </c>
      <c r="DE1058" s="1" t="s">
        <v>273</v>
      </c>
      <c r="DF1058" s="1" t="s">
        <v>619</v>
      </c>
      <c r="DH1058" s="1" t="s">
        <v>220</v>
      </c>
      <c r="DJ1058" s="1" t="s">
        <v>222</v>
      </c>
      <c r="DL1058" s="1" t="s">
        <v>224</v>
      </c>
      <c r="DM1058" s="1" t="s">
        <v>229</v>
      </c>
      <c r="DQ1058" s="1" t="s">
        <v>441</v>
      </c>
      <c r="DR1058" s="1" t="s">
        <v>229</v>
      </c>
      <c r="DV1058" s="1" t="s">
        <v>6535</v>
      </c>
      <c r="DW1058" s="1" t="s">
        <v>3142</v>
      </c>
      <c r="DX1058" s="1" t="s">
        <v>234</v>
      </c>
      <c r="EC1058" s="1" t="s">
        <v>237</v>
      </c>
      <c r="EG1058" s="1" t="s">
        <v>598</v>
      </c>
      <c r="EH1058" s="1" t="s">
        <v>341</v>
      </c>
      <c r="EL1058" s="1" t="s">
        <v>497</v>
      </c>
      <c r="EM1058" s="1" t="s">
        <v>206</v>
      </c>
      <c r="EP1058" s="1" t="s">
        <v>329</v>
      </c>
      <c r="EQ1058" s="1" t="s">
        <v>209</v>
      </c>
      <c r="EU1058" s="1" t="s">
        <v>238</v>
      </c>
      <c r="EY1058" s="1" t="s">
        <v>238</v>
      </c>
      <c r="FC1058" s="1" t="s">
        <v>238</v>
      </c>
      <c r="FF1058" s="1" t="s">
        <v>239</v>
      </c>
      <c r="FG1058" s="1" t="s">
        <v>192</v>
      </c>
      <c r="FH1058" s="1" t="s">
        <v>192</v>
      </c>
      <c r="FJ1058" s="1" t="s">
        <v>1248</v>
      </c>
      <c r="FK1058" s="1" t="s">
        <v>229</v>
      </c>
      <c r="FL1058" s="1" t="s">
        <v>1007</v>
      </c>
      <c r="FM1058" s="1">
        <v>23286.0</v>
      </c>
      <c r="FN1058" s="1" t="s">
        <v>4221</v>
      </c>
      <c r="FO1058" s="1" t="s">
        <v>9318</v>
      </c>
      <c r="FP1058" s="1">
        <v>223647.0</v>
      </c>
      <c r="FQ1058" s="1" t="s">
        <v>9319</v>
      </c>
      <c r="FR1058" s="1">
        <v>230243.0</v>
      </c>
      <c r="FU1058" s="1" t="s">
        <v>3993</v>
      </c>
      <c r="FV1058" s="1" t="s">
        <v>200</v>
      </c>
      <c r="FW1058" s="1" t="s">
        <v>354</v>
      </c>
      <c r="FZ1058" s="1" t="s">
        <v>229</v>
      </c>
      <c r="GA1058" s="1" t="s">
        <v>291</v>
      </c>
      <c r="GB1058" s="2">
        <v>41993.0</v>
      </c>
      <c r="GC1058" s="1" t="s">
        <v>11726</v>
      </c>
    </row>
    <row r="1059">
      <c r="A1059" s="1">
        <v>275450.0</v>
      </c>
      <c r="B1059" s="1" t="s">
        <v>185</v>
      </c>
      <c r="C1059" s="1" t="str">
        <f>"08638212"</f>
        <v>08638212</v>
      </c>
      <c r="D1059" s="1" t="s">
        <v>186</v>
      </c>
      <c r="F1059" s="1" t="str">
        <f>"177"</f>
        <v>177</v>
      </c>
      <c r="G1059" s="2">
        <v>41797.0</v>
      </c>
      <c r="H1059" s="1">
        <v>261020.0</v>
      </c>
      <c r="I1059" s="1">
        <v>1.0</v>
      </c>
      <c r="J1059" s="1">
        <v>261020.0</v>
      </c>
      <c r="K1059" s="2">
        <v>41797.0</v>
      </c>
      <c r="L1059" s="1">
        <v>1.0</v>
      </c>
      <c r="M1059" s="2">
        <v>41797.0</v>
      </c>
      <c r="N1059" s="1" t="s">
        <v>187</v>
      </c>
      <c r="O1059" s="2">
        <v>41975.0</v>
      </c>
      <c r="P1059" s="1">
        <v>239627.0</v>
      </c>
      <c r="Q1059" s="1">
        <v>25196.0</v>
      </c>
      <c r="S1059" s="1">
        <v>1380.0</v>
      </c>
      <c r="T1059" s="1" t="s">
        <v>11727</v>
      </c>
      <c r="U1059" s="1" t="s">
        <v>569</v>
      </c>
      <c r="V1059" s="1" t="s">
        <v>2249</v>
      </c>
      <c r="W1059" s="1">
        <v>60177.0</v>
      </c>
      <c r="Y1059" s="1" t="s">
        <v>11123</v>
      </c>
      <c r="Z1059" s="1">
        <v>2014.0</v>
      </c>
      <c r="AA1059" s="1" t="s">
        <v>200</v>
      </c>
      <c r="AB1059" s="1" t="s">
        <v>193</v>
      </c>
      <c r="AC1059" s="1" t="s">
        <v>11728</v>
      </c>
      <c r="AD1059" s="1" t="s">
        <v>2252</v>
      </c>
      <c r="AE1059" s="1" t="s">
        <v>325</v>
      </c>
      <c r="AF1059" s="1" t="s">
        <v>469</v>
      </c>
      <c r="AG1059" s="1" t="s">
        <v>11729</v>
      </c>
      <c r="AH1059" s="1" t="s">
        <v>11126</v>
      </c>
      <c r="AK1059" s="1">
        <v>9.0</v>
      </c>
      <c r="AL1059" s="1">
        <v>4.0</v>
      </c>
      <c r="AM1059" s="1">
        <v>2.0</v>
      </c>
      <c r="AN1059" s="1">
        <v>1.0</v>
      </c>
      <c r="AO1059" s="1" t="s">
        <v>198</v>
      </c>
      <c r="AQ1059" s="1" t="s">
        <v>198</v>
      </c>
      <c r="AR1059" s="1" t="s">
        <v>200</v>
      </c>
      <c r="AS1059" s="1" t="s">
        <v>199</v>
      </c>
      <c r="AT1059" s="1">
        <v>2.0</v>
      </c>
      <c r="AV1059" s="1" t="s">
        <v>200</v>
      </c>
      <c r="AW1059" s="1" t="s">
        <v>575</v>
      </c>
      <c r="AX1059" s="1">
        <v>2013.0</v>
      </c>
      <c r="AZ1059" s="1" t="s">
        <v>200</v>
      </c>
      <c r="BA1059" s="1" t="str">
        <f>"0625330013"</f>
        <v>0625330013</v>
      </c>
      <c r="BC1059" s="1">
        <v>2330.0</v>
      </c>
      <c r="BD1059" s="1">
        <v>275450.0</v>
      </c>
      <c r="BE1059" s="2">
        <v>41797.0</v>
      </c>
      <c r="BF1059" s="2" t="s">
        <v>11730</v>
      </c>
      <c r="BG1059" s="1" t="s">
        <v>11128</v>
      </c>
      <c r="BH1059" s="1">
        <v>200.0</v>
      </c>
      <c r="BI1059" s="1" t="s">
        <v>11129</v>
      </c>
      <c r="BJ1059" s="1" t="s">
        <v>11130</v>
      </c>
      <c r="BK1059" s="1" t="s">
        <v>580</v>
      </c>
      <c r="BL1059" s="1" t="str">
        <f t="shared" ref="BL1059:BM1059" si="706">""</f>
        <v/>
      </c>
      <c r="BM1059" s="1" t="str">
        <f t="shared" si="706"/>
        <v/>
      </c>
      <c r="BQ1059" s="1">
        <v>46.0</v>
      </c>
      <c r="BR1059" s="1">
        <v>46.0</v>
      </c>
      <c r="BS1059" s="1">
        <v>46.0</v>
      </c>
      <c r="BU1059" s="1" t="s">
        <v>393</v>
      </c>
      <c r="BV1059" s="1" t="s">
        <v>206</v>
      </c>
      <c r="BW1059" s="1" t="s">
        <v>210</v>
      </c>
      <c r="BY1059" s="1" t="s">
        <v>830</v>
      </c>
      <c r="BZ1059" s="1" t="s">
        <v>209</v>
      </c>
      <c r="CA1059" s="1" t="s">
        <v>210</v>
      </c>
      <c r="CD1059" s="1" t="s">
        <v>204</v>
      </c>
      <c r="CG1059" s="1" t="s">
        <v>302</v>
      </c>
      <c r="CH1059" s="1" t="s">
        <v>209</v>
      </c>
      <c r="CI1059" s="1" t="s">
        <v>210</v>
      </c>
      <c r="CK1059" s="1" t="s">
        <v>1417</v>
      </c>
      <c r="CL1059" s="1" t="s">
        <v>209</v>
      </c>
      <c r="CM1059" s="1" t="s">
        <v>210</v>
      </c>
      <c r="CO1059" s="1" t="s">
        <v>1417</v>
      </c>
      <c r="CP1059" s="1" t="s">
        <v>209</v>
      </c>
      <c r="CS1059" s="1" t="s">
        <v>1351</v>
      </c>
      <c r="CT1059" s="1" t="s">
        <v>206</v>
      </c>
      <c r="CU1059" s="1" t="s">
        <v>617</v>
      </c>
      <c r="CW1059" s="1" t="s">
        <v>214</v>
      </c>
      <c r="CX1059" s="1" t="s">
        <v>206</v>
      </c>
      <c r="CY1059" s="1" t="s">
        <v>210</v>
      </c>
      <c r="DA1059" s="1" t="s">
        <v>192</v>
      </c>
      <c r="DB1059" s="2">
        <v>41943.0</v>
      </c>
      <c r="DC1059" s="1" t="s">
        <v>585</v>
      </c>
      <c r="DD1059" s="1" t="s">
        <v>2094</v>
      </c>
      <c r="DE1059" s="1" t="s">
        <v>273</v>
      </c>
      <c r="DF1059" s="1" t="s">
        <v>219</v>
      </c>
      <c r="DH1059" s="1" t="s">
        <v>220</v>
      </c>
      <c r="DI1059" s="1" t="s">
        <v>1021</v>
      </c>
      <c r="DJ1059" s="1" t="s">
        <v>222</v>
      </c>
      <c r="DL1059" s="1" t="s">
        <v>223</v>
      </c>
      <c r="DM1059" s="1" t="s">
        <v>229</v>
      </c>
      <c r="DQ1059" s="1" t="s">
        <v>228</v>
      </c>
      <c r="DR1059" s="1" t="s">
        <v>229</v>
      </c>
      <c r="DS1059" s="1" t="s">
        <v>591</v>
      </c>
      <c r="DU1059" s="1" t="s">
        <v>550</v>
      </c>
      <c r="DV1059" s="1" t="s">
        <v>8941</v>
      </c>
      <c r="DW1059" s="1" t="s">
        <v>233</v>
      </c>
      <c r="DX1059" s="1" t="s">
        <v>234</v>
      </c>
      <c r="DY1059" s="1" t="s">
        <v>3075</v>
      </c>
      <c r="EA1059" s="1" t="s">
        <v>344</v>
      </c>
      <c r="EC1059" s="1" t="s">
        <v>237</v>
      </c>
      <c r="EG1059" s="1" t="s">
        <v>556</v>
      </c>
      <c r="EH1059" s="1" t="s">
        <v>341</v>
      </c>
      <c r="EL1059" s="1" t="s">
        <v>1417</v>
      </c>
      <c r="EM1059" s="1" t="s">
        <v>209</v>
      </c>
      <c r="EN1059" s="1" t="s">
        <v>617</v>
      </c>
      <c r="EP1059" s="1" t="s">
        <v>302</v>
      </c>
      <c r="EQ1059" s="1" t="s">
        <v>209</v>
      </c>
      <c r="ER1059" s="1" t="s">
        <v>210</v>
      </c>
      <c r="EU1059" s="1" t="s">
        <v>238</v>
      </c>
      <c r="EY1059" s="1" t="s">
        <v>238</v>
      </c>
      <c r="FC1059" s="1" t="s">
        <v>238</v>
      </c>
      <c r="FF1059" s="1" t="s">
        <v>239</v>
      </c>
      <c r="FG1059" s="1" t="s">
        <v>192</v>
      </c>
      <c r="FH1059" s="1" t="s">
        <v>192</v>
      </c>
      <c r="FJ1059" s="1" t="s">
        <v>1469</v>
      </c>
      <c r="FK1059" s="1" t="s">
        <v>229</v>
      </c>
      <c r="FL1059" s="1" t="s">
        <v>1358</v>
      </c>
      <c r="FM1059" s="1">
        <v>23591.0</v>
      </c>
      <c r="FN1059" s="1" t="s">
        <v>2134</v>
      </c>
      <c r="FO1059" s="1" t="s">
        <v>11731</v>
      </c>
      <c r="FP1059" s="1">
        <v>235571.0</v>
      </c>
      <c r="FQ1059" s="1" t="s">
        <v>11732</v>
      </c>
      <c r="FU1059" s="1" t="s">
        <v>11733</v>
      </c>
      <c r="FV1059" s="1" t="s">
        <v>200</v>
      </c>
      <c r="FW1059" s="1" t="s">
        <v>11132</v>
      </c>
      <c r="FZ1059" s="1" t="s">
        <v>229</v>
      </c>
      <c r="GA1059" s="1" t="s">
        <v>291</v>
      </c>
      <c r="GB1059" s="2">
        <v>41975.0</v>
      </c>
      <c r="GC1059" s="1" t="s">
        <v>11734</v>
      </c>
    </row>
    <row r="1060">
      <c r="A1060" s="1">
        <v>41005.0</v>
      </c>
      <c r="B1060" s="1" t="s">
        <v>185</v>
      </c>
      <c r="C1060" s="1" t="str">
        <f>"08642858"</f>
        <v>08642858</v>
      </c>
      <c r="D1060" s="1" t="s">
        <v>186</v>
      </c>
      <c r="F1060" s="1" t="str">
        <f>"8052"</f>
        <v>8052</v>
      </c>
      <c r="G1060" s="2">
        <v>41802.0</v>
      </c>
      <c r="H1060" s="1">
        <v>79999.0</v>
      </c>
      <c r="I1060" s="1">
        <v>200.0</v>
      </c>
      <c r="J1060" s="1">
        <v>0.0</v>
      </c>
      <c r="K1060" s="2">
        <v>42001.0</v>
      </c>
      <c r="L1060" s="1">
        <v>200.0</v>
      </c>
      <c r="M1060" s="2">
        <v>42001.0</v>
      </c>
      <c r="N1060" s="1" t="s">
        <v>249</v>
      </c>
      <c r="O1060" s="2">
        <v>42002.0</v>
      </c>
      <c r="P1060" s="1">
        <v>99999.0</v>
      </c>
      <c r="Q1060" s="1" t="s">
        <v>947</v>
      </c>
      <c r="S1060" s="1">
        <v>11033.0</v>
      </c>
      <c r="T1060" s="1" t="s">
        <v>11735</v>
      </c>
      <c r="V1060" s="1" t="s">
        <v>190</v>
      </c>
      <c r="W1060" s="1">
        <v>60617.0</v>
      </c>
      <c r="Y1060" s="1" t="s">
        <v>11736</v>
      </c>
      <c r="Z1060" s="1">
        <v>1941.0</v>
      </c>
      <c r="AA1060" s="1" t="s">
        <v>192</v>
      </c>
      <c r="AB1060" s="1" t="s">
        <v>193</v>
      </c>
      <c r="AD1060" s="1" t="s">
        <v>194</v>
      </c>
      <c r="AE1060" s="1" t="s">
        <v>195</v>
      </c>
      <c r="AF1060" s="1" t="s">
        <v>637</v>
      </c>
      <c r="AH1060" s="1" t="s">
        <v>5314</v>
      </c>
      <c r="AI1060" s="1">
        <v>0.1004</v>
      </c>
      <c r="AK1060" s="1">
        <v>7.0</v>
      </c>
      <c r="AL1060" s="1">
        <v>4.0</v>
      </c>
      <c r="AM1060" s="1">
        <v>1.0</v>
      </c>
      <c r="AN1060" s="1">
        <v>0.0</v>
      </c>
      <c r="AO1060" s="1" t="s">
        <v>229</v>
      </c>
      <c r="AQ1060" s="1" t="s">
        <v>198</v>
      </c>
      <c r="AR1060" s="1" t="s">
        <v>200</v>
      </c>
      <c r="AS1060" s="1" t="s">
        <v>199</v>
      </c>
      <c r="AT1060" s="1">
        <v>3.0</v>
      </c>
      <c r="AV1060" s="1" t="s">
        <v>200</v>
      </c>
      <c r="AW1060" s="1">
        <v>1407.96</v>
      </c>
      <c r="AX1060" s="1">
        <v>2012.0</v>
      </c>
      <c r="AZ1060" s="1" t="s">
        <v>200</v>
      </c>
      <c r="BA1060" s="1" t="str">
        <f>"26174100100000"</f>
        <v>26174100100000</v>
      </c>
      <c r="BB1060" s="1" t="s">
        <v>200</v>
      </c>
      <c r="BC1060" s="1">
        <v>1100.0</v>
      </c>
      <c r="BD1060" s="1">
        <v>41005.0</v>
      </c>
      <c r="BE1060" s="2">
        <v>41802.0</v>
      </c>
      <c r="BF1060" s="1" t="s">
        <v>11737</v>
      </c>
      <c r="BH1060" s="1">
        <v>0.0</v>
      </c>
      <c r="BK1060" s="1" t="s">
        <v>204</v>
      </c>
      <c r="BL1060" s="1" t="str">
        <f>"0"</f>
        <v>0</v>
      </c>
      <c r="BM1060" s="1" t="str">
        <f>"3800"</f>
        <v>3800</v>
      </c>
      <c r="BN1060" s="1">
        <v>0.0</v>
      </c>
      <c r="BO1060" s="1">
        <v>11000.0</v>
      </c>
      <c r="BQ1060" s="1">
        <v>299.0</v>
      </c>
      <c r="BR1060" s="1">
        <v>299.0</v>
      </c>
      <c r="BS1060" s="1">
        <v>299.0</v>
      </c>
      <c r="BU1060" s="1" t="s">
        <v>729</v>
      </c>
      <c r="BV1060" s="1" t="s">
        <v>206</v>
      </c>
      <c r="BY1060" s="1" t="s">
        <v>495</v>
      </c>
      <c r="BZ1060" s="1" t="s">
        <v>206</v>
      </c>
      <c r="CC1060" s="1" t="s">
        <v>269</v>
      </c>
      <c r="CD1060" s="1" t="s">
        <v>206</v>
      </c>
      <c r="CG1060" s="1" t="s">
        <v>495</v>
      </c>
      <c r="CH1060" s="1" t="s">
        <v>209</v>
      </c>
      <c r="CK1060" s="1" t="s">
        <v>212</v>
      </c>
      <c r="CL1060" s="1" t="s">
        <v>209</v>
      </c>
      <c r="CO1060" s="1" t="s">
        <v>1875</v>
      </c>
      <c r="CP1060" s="1" t="s">
        <v>206</v>
      </c>
      <c r="CS1060" s="1" t="s">
        <v>2047</v>
      </c>
      <c r="CT1060" s="1" t="s">
        <v>206</v>
      </c>
      <c r="CX1060" s="1" t="s">
        <v>204</v>
      </c>
      <c r="DA1060" s="1" t="s">
        <v>200</v>
      </c>
      <c r="DC1060" s="1" t="s">
        <v>1399</v>
      </c>
      <c r="DE1060" s="1" t="s">
        <v>273</v>
      </c>
      <c r="DF1060" s="1" t="s">
        <v>219</v>
      </c>
      <c r="DG1060" s="1" t="s">
        <v>2311</v>
      </c>
      <c r="DH1060" s="1" t="s">
        <v>307</v>
      </c>
      <c r="DJ1060" s="1" t="s">
        <v>222</v>
      </c>
      <c r="DL1060" s="1" t="s">
        <v>224</v>
      </c>
      <c r="DM1060" s="1" t="s">
        <v>229</v>
      </c>
      <c r="DQ1060" s="1" t="s">
        <v>794</v>
      </c>
      <c r="DR1060" s="1" t="s">
        <v>229</v>
      </c>
      <c r="DS1060" s="1" t="s">
        <v>230</v>
      </c>
      <c r="DV1060" s="1" t="s">
        <v>232</v>
      </c>
      <c r="DW1060" s="1" t="s">
        <v>279</v>
      </c>
      <c r="DX1060" s="1" t="s">
        <v>234</v>
      </c>
      <c r="DY1060" s="1" t="s">
        <v>4238</v>
      </c>
      <c r="DZ1060" s="1" t="s">
        <v>310</v>
      </c>
      <c r="EA1060" s="1" t="s">
        <v>1075</v>
      </c>
      <c r="EC1060" s="1" t="s">
        <v>645</v>
      </c>
      <c r="EM1060" s="1" t="s">
        <v>238</v>
      </c>
      <c r="EQ1060" s="1" t="s">
        <v>238</v>
      </c>
      <c r="EU1060" s="1" t="s">
        <v>238</v>
      </c>
      <c r="EY1060" s="1" t="s">
        <v>238</v>
      </c>
      <c r="FC1060" s="1" t="s">
        <v>238</v>
      </c>
      <c r="FF1060" s="1" t="s">
        <v>239</v>
      </c>
      <c r="FG1060" s="1" t="s">
        <v>192</v>
      </c>
      <c r="FH1060" s="1" t="s">
        <v>192</v>
      </c>
      <c r="FJ1060" s="1" t="s">
        <v>11738</v>
      </c>
      <c r="FK1060" s="1" t="s">
        <v>229</v>
      </c>
      <c r="FL1060" s="1" t="s">
        <v>3272</v>
      </c>
      <c r="FM1060" s="1">
        <v>12511.0</v>
      </c>
      <c r="FN1060" s="1" t="s">
        <v>3273</v>
      </c>
      <c r="FO1060" s="1" t="s">
        <v>3274</v>
      </c>
      <c r="FP1060" s="1">
        <v>121408.0</v>
      </c>
      <c r="FQ1060" s="1" t="s">
        <v>3275</v>
      </c>
      <c r="FU1060" s="1" t="s">
        <v>3276</v>
      </c>
      <c r="FV1060" s="1" t="s">
        <v>200</v>
      </c>
      <c r="FW1060" s="1" t="s">
        <v>1307</v>
      </c>
      <c r="FX1060" s="1" t="s">
        <v>655</v>
      </c>
      <c r="FZ1060" s="1" t="s">
        <v>229</v>
      </c>
      <c r="GA1060" s="1" t="s">
        <v>291</v>
      </c>
      <c r="GB1060" s="2">
        <v>42002.0</v>
      </c>
      <c r="GC1060" s="1" t="s">
        <v>11739</v>
      </c>
    </row>
    <row r="1061">
      <c r="A1061" s="1">
        <v>228000.0</v>
      </c>
      <c r="B1061" s="1" t="s">
        <v>185</v>
      </c>
      <c r="C1061" s="1" t="str">
        <f>"08653008"</f>
        <v>08653008</v>
      </c>
      <c r="D1061" s="1" t="s">
        <v>186</v>
      </c>
      <c r="F1061" s="1" t="str">
        <f>"543"</f>
        <v>543</v>
      </c>
      <c r="G1061" s="2">
        <v>41813.0</v>
      </c>
      <c r="H1061" s="1">
        <v>250000.0</v>
      </c>
      <c r="I1061" s="1">
        <v>172.0</v>
      </c>
      <c r="J1061" s="1">
        <v>230000.0</v>
      </c>
      <c r="K1061" s="2">
        <v>41984.0</v>
      </c>
      <c r="L1061" s="1">
        <v>172.0</v>
      </c>
      <c r="M1061" s="2">
        <v>41984.0</v>
      </c>
      <c r="N1061" s="1" t="s">
        <v>187</v>
      </c>
      <c r="O1061" s="2">
        <v>42034.0</v>
      </c>
      <c r="P1061" s="1">
        <v>313804.0</v>
      </c>
      <c r="Q1061" s="1">
        <v>300.0</v>
      </c>
      <c r="R1061" s="1">
        <v>3000.0</v>
      </c>
      <c r="S1061" s="1">
        <v>7.0</v>
      </c>
      <c r="T1061" s="1" t="s">
        <v>11740</v>
      </c>
      <c r="U1061" s="1" t="s">
        <v>464</v>
      </c>
      <c r="V1061" s="1" t="s">
        <v>1527</v>
      </c>
      <c r="W1061" s="1">
        <v>60543.0</v>
      </c>
      <c r="Y1061" s="1" t="s">
        <v>11741</v>
      </c>
      <c r="Z1061" s="1">
        <v>1978.0</v>
      </c>
      <c r="AA1061" s="1" t="s">
        <v>200</v>
      </c>
      <c r="AB1061" s="1" t="s">
        <v>193</v>
      </c>
      <c r="AD1061" s="1" t="s">
        <v>1529</v>
      </c>
      <c r="AE1061" s="1" t="s">
        <v>849</v>
      </c>
      <c r="AF1061" s="1" t="s">
        <v>1529</v>
      </c>
      <c r="AH1061" s="1" t="s">
        <v>11742</v>
      </c>
      <c r="AI1061" s="1">
        <v>0.2882</v>
      </c>
      <c r="AK1061" s="1">
        <v>12.0</v>
      </c>
      <c r="AL1061" s="1">
        <v>4.0</v>
      </c>
      <c r="AM1061" s="1">
        <v>3.0</v>
      </c>
      <c r="AN1061" s="1">
        <v>0.0</v>
      </c>
      <c r="AO1061" s="1" t="s">
        <v>1261</v>
      </c>
      <c r="AQ1061" s="1" t="s">
        <v>198</v>
      </c>
      <c r="AR1061" s="1" t="s">
        <v>192</v>
      </c>
      <c r="AS1061" s="1" t="s">
        <v>199</v>
      </c>
      <c r="AT1061" s="1">
        <v>2.0</v>
      </c>
      <c r="AV1061" s="1" t="s">
        <v>200</v>
      </c>
      <c r="AW1061" s="1">
        <v>6336.14</v>
      </c>
      <c r="AX1061" s="1">
        <v>2013.0</v>
      </c>
      <c r="AY1061" s="1" t="s">
        <v>387</v>
      </c>
      <c r="AZ1061" s="1" t="s">
        <v>200</v>
      </c>
      <c r="BA1061" s="1" t="str">
        <f>"0309327006"</f>
        <v>0309327006</v>
      </c>
      <c r="BC1061" s="1">
        <v>3000.0</v>
      </c>
      <c r="BD1061" s="1">
        <v>228000.0</v>
      </c>
      <c r="BE1061" s="2">
        <v>41813.0</v>
      </c>
      <c r="BF1061" s="2" t="s">
        <v>11743</v>
      </c>
      <c r="BH1061" s="1">
        <v>0.0</v>
      </c>
      <c r="BK1061" s="1" t="s">
        <v>204</v>
      </c>
      <c r="BL1061" s="1" t="str">
        <f t="shared" ref="BL1061:BM1061" si="707">""</f>
        <v/>
      </c>
      <c r="BM1061" s="1" t="str">
        <f t="shared" si="707"/>
        <v/>
      </c>
      <c r="BQ1061" s="1">
        <v>308.0</v>
      </c>
      <c r="BR1061" s="1">
        <v>308.0</v>
      </c>
      <c r="BS1061" s="1">
        <v>308.0</v>
      </c>
      <c r="BU1061" s="1" t="s">
        <v>262</v>
      </c>
      <c r="BV1061" s="1" t="s">
        <v>206</v>
      </c>
      <c r="BW1061" s="1" t="s">
        <v>210</v>
      </c>
      <c r="BX1061" s="1" t="s">
        <v>261</v>
      </c>
      <c r="BY1061" s="1" t="s">
        <v>3475</v>
      </c>
      <c r="BZ1061" s="1" t="s">
        <v>209</v>
      </c>
      <c r="CA1061" s="1" t="s">
        <v>210</v>
      </c>
      <c r="CD1061" s="1" t="s">
        <v>204</v>
      </c>
      <c r="CG1061" s="1" t="s">
        <v>434</v>
      </c>
      <c r="CH1061" s="1" t="s">
        <v>209</v>
      </c>
      <c r="CI1061" s="1" t="s">
        <v>210</v>
      </c>
      <c r="CK1061" s="1" t="s">
        <v>497</v>
      </c>
      <c r="CL1061" s="1" t="s">
        <v>206</v>
      </c>
      <c r="CM1061" s="1" t="s">
        <v>210</v>
      </c>
      <c r="CN1061" s="1" t="s">
        <v>431</v>
      </c>
      <c r="CO1061" s="1" t="s">
        <v>393</v>
      </c>
      <c r="CP1061" s="1" t="s">
        <v>206</v>
      </c>
      <c r="CQ1061" s="1" t="s">
        <v>210</v>
      </c>
      <c r="CR1061" s="1" t="s">
        <v>239</v>
      </c>
      <c r="CS1061" s="1" t="s">
        <v>266</v>
      </c>
      <c r="CT1061" s="1" t="s">
        <v>206</v>
      </c>
      <c r="CU1061" s="1" t="s">
        <v>588</v>
      </c>
      <c r="CV1061" s="1" t="s">
        <v>229</v>
      </c>
      <c r="CW1061" s="1" t="s">
        <v>1517</v>
      </c>
      <c r="CX1061" s="1" t="s">
        <v>206</v>
      </c>
      <c r="CY1061" s="1" t="s">
        <v>301</v>
      </c>
      <c r="CZ1061" s="1" t="s">
        <v>239</v>
      </c>
      <c r="DA1061" s="1" t="s">
        <v>200</v>
      </c>
      <c r="DC1061" s="1" t="s">
        <v>395</v>
      </c>
      <c r="DD1061" s="1" t="s">
        <v>518</v>
      </c>
      <c r="DE1061" s="1" t="s">
        <v>273</v>
      </c>
      <c r="DF1061" s="1" t="s">
        <v>219</v>
      </c>
      <c r="DH1061" s="1" t="s">
        <v>220</v>
      </c>
      <c r="DI1061" s="1" t="s">
        <v>11744</v>
      </c>
      <c r="DJ1061" s="1" t="s">
        <v>222</v>
      </c>
      <c r="DL1061" s="1" t="s">
        <v>224</v>
      </c>
      <c r="DM1061" s="1" t="s">
        <v>338</v>
      </c>
      <c r="DQ1061" s="1" t="s">
        <v>228</v>
      </c>
      <c r="DR1061" s="1" t="s">
        <v>229</v>
      </c>
      <c r="DV1061" s="1" t="s">
        <v>11745</v>
      </c>
      <c r="DW1061" s="1" t="s">
        <v>891</v>
      </c>
      <c r="DX1061" s="1" t="s">
        <v>234</v>
      </c>
      <c r="DY1061" s="1" t="s">
        <v>11746</v>
      </c>
      <c r="EC1061" s="1" t="s">
        <v>237</v>
      </c>
      <c r="EH1061" s="1" t="s">
        <v>598</v>
      </c>
      <c r="EI1061" s="1" t="s">
        <v>557</v>
      </c>
      <c r="EJ1061" s="1" t="s">
        <v>450</v>
      </c>
      <c r="EK1061" s="1" t="s">
        <v>1491</v>
      </c>
      <c r="EM1061" s="1" t="s">
        <v>238</v>
      </c>
      <c r="EP1061" s="1" t="s">
        <v>269</v>
      </c>
      <c r="EQ1061" s="1" t="s">
        <v>206</v>
      </c>
      <c r="ER1061" s="1" t="s">
        <v>301</v>
      </c>
      <c r="ES1061" s="1" t="s">
        <v>229</v>
      </c>
      <c r="ET1061" s="1" t="s">
        <v>5640</v>
      </c>
      <c r="EU1061" s="1" t="s">
        <v>42</v>
      </c>
      <c r="EV1061" s="1" t="s">
        <v>210</v>
      </c>
      <c r="EX1061" s="1" t="s">
        <v>2879</v>
      </c>
      <c r="EY1061" s="1" t="s">
        <v>42</v>
      </c>
      <c r="FB1061" s="1" t="s">
        <v>2900</v>
      </c>
      <c r="FC1061" s="1" t="s">
        <v>42</v>
      </c>
      <c r="FF1061" s="1" t="s">
        <v>239</v>
      </c>
      <c r="FG1061" s="1" t="s">
        <v>192</v>
      </c>
      <c r="FH1061" s="1" t="s">
        <v>192</v>
      </c>
      <c r="FJ1061" s="1" t="s">
        <v>686</v>
      </c>
      <c r="FK1061" s="1" t="s">
        <v>229</v>
      </c>
      <c r="FL1061" s="1" t="s">
        <v>1007</v>
      </c>
      <c r="FM1061" s="1">
        <v>23196.0</v>
      </c>
      <c r="FN1061" s="1" t="s">
        <v>3741</v>
      </c>
      <c r="FO1061" s="1" t="s">
        <v>11747</v>
      </c>
      <c r="FP1061" s="1">
        <v>233870.0</v>
      </c>
      <c r="FQ1061" s="1" t="s">
        <v>11748</v>
      </c>
      <c r="FU1061" s="1" t="s">
        <v>11749</v>
      </c>
      <c r="FV1061" s="1" t="s">
        <v>200</v>
      </c>
      <c r="FW1061" s="1" t="s">
        <v>11750</v>
      </c>
      <c r="FZ1061" s="1" t="s">
        <v>229</v>
      </c>
      <c r="GA1061" s="1" t="s">
        <v>291</v>
      </c>
      <c r="GB1061" s="2">
        <v>42034.0</v>
      </c>
    </row>
    <row r="1062">
      <c r="A1062" s="1">
        <v>277975.0</v>
      </c>
      <c r="B1062" s="1" t="s">
        <v>185</v>
      </c>
      <c r="C1062" s="1" t="str">
        <f>"08642857"</f>
        <v>08642857</v>
      </c>
      <c r="D1062" s="1" t="s">
        <v>186</v>
      </c>
      <c r="F1062" s="1" t="str">
        <f>"177"</f>
        <v>177</v>
      </c>
      <c r="G1062" s="2">
        <v>41802.0</v>
      </c>
      <c r="H1062" s="1">
        <v>252745.0</v>
      </c>
      <c r="I1062" s="1">
        <v>1.0</v>
      </c>
      <c r="J1062" s="1">
        <v>252745.0</v>
      </c>
      <c r="K1062" s="2">
        <v>41801.0</v>
      </c>
      <c r="L1062" s="1">
        <v>1.0</v>
      </c>
      <c r="M1062" s="2">
        <v>41801.0</v>
      </c>
      <c r="N1062" s="1" t="s">
        <v>187</v>
      </c>
      <c r="O1062" s="2">
        <v>42073.0</v>
      </c>
      <c r="P1062" s="1">
        <v>237830.0</v>
      </c>
      <c r="Q1062" s="1">
        <v>8073.0</v>
      </c>
      <c r="S1062" s="1">
        <v>23.0</v>
      </c>
      <c r="T1062" s="1" t="s">
        <v>11751</v>
      </c>
      <c r="U1062" s="1" t="s">
        <v>1015</v>
      </c>
      <c r="V1062" s="1" t="s">
        <v>2249</v>
      </c>
      <c r="W1062" s="1">
        <v>60177.0</v>
      </c>
      <c r="Y1062" s="1" t="s">
        <v>11123</v>
      </c>
      <c r="Z1062" s="1">
        <v>2014.0</v>
      </c>
      <c r="AA1062" s="1" t="s">
        <v>200</v>
      </c>
      <c r="AB1062" s="1" t="s">
        <v>193</v>
      </c>
      <c r="AC1062" s="1" t="s">
        <v>11728</v>
      </c>
      <c r="AD1062" s="1" t="s">
        <v>2252</v>
      </c>
      <c r="AE1062" s="1" t="s">
        <v>325</v>
      </c>
      <c r="AF1062" s="1" t="s">
        <v>469</v>
      </c>
      <c r="AG1062" s="1" t="s">
        <v>11752</v>
      </c>
      <c r="AH1062" s="1" t="s">
        <v>11126</v>
      </c>
      <c r="AK1062" s="1">
        <v>9.0</v>
      </c>
      <c r="AL1062" s="1">
        <v>4.0</v>
      </c>
      <c r="AM1062" s="1">
        <v>2.0</v>
      </c>
      <c r="AN1062" s="1">
        <v>1.0</v>
      </c>
      <c r="AO1062" s="1" t="s">
        <v>198</v>
      </c>
      <c r="AQ1062" s="1" t="s">
        <v>198</v>
      </c>
      <c r="AR1062" s="1" t="s">
        <v>200</v>
      </c>
      <c r="AS1062" s="1" t="s">
        <v>199</v>
      </c>
      <c r="AT1062" s="1">
        <v>2.0</v>
      </c>
      <c r="AV1062" s="1" t="s">
        <v>200</v>
      </c>
      <c r="AW1062" s="1" t="s">
        <v>575</v>
      </c>
      <c r="AX1062" s="1">
        <v>2013.0</v>
      </c>
      <c r="AZ1062" s="1" t="s">
        <v>200</v>
      </c>
      <c r="BA1062" s="1" t="str">
        <f>"0000000000"</f>
        <v>0000000000</v>
      </c>
      <c r="BC1062" s="1">
        <v>2330.0</v>
      </c>
      <c r="BD1062" s="1">
        <v>277975.0</v>
      </c>
      <c r="BE1062" s="2">
        <v>41801.0</v>
      </c>
      <c r="BF1062" s="2" t="s">
        <v>11753</v>
      </c>
      <c r="BG1062" s="1" t="s">
        <v>11128</v>
      </c>
      <c r="BH1062" s="1">
        <v>200.0</v>
      </c>
      <c r="BI1062" s="1" t="s">
        <v>11129</v>
      </c>
      <c r="BJ1062" s="1" t="s">
        <v>11130</v>
      </c>
      <c r="BK1062" s="1" t="s">
        <v>580</v>
      </c>
      <c r="BL1062" s="1" t="str">
        <f t="shared" ref="BL1062:BM1062" si="708">""</f>
        <v/>
      </c>
      <c r="BM1062" s="1" t="str">
        <f t="shared" si="708"/>
        <v/>
      </c>
      <c r="BQ1062" s="1">
        <v>46.0</v>
      </c>
      <c r="BR1062" s="1">
        <v>46.0</v>
      </c>
      <c r="BS1062" s="1">
        <v>46.0</v>
      </c>
      <c r="BU1062" s="1" t="s">
        <v>393</v>
      </c>
      <c r="BV1062" s="1" t="s">
        <v>206</v>
      </c>
      <c r="BW1062" s="1" t="s">
        <v>210</v>
      </c>
      <c r="BY1062" s="1" t="s">
        <v>830</v>
      </c>
      <c r="BZ1062" s="1" t="s">
        <v>209</v>
      </c>
      <c r="CA1062" s="1" t="s">
        <v>210</v>
      </c>
      <c r="CD1062" s="1" t="s">
        <v>204</v>
      </c>
      <c r="CG1062" s="1" t="s">
        <v>302</v>
      </c>
      <c r="CH1062" s="1" t="s">
        <v>209</v>
      </c>
      <c r="CI1062" s="1" t="s">
        <v>210</v>
      </c>
      <c r="CK1062" s="1" t="s">
        <v>1417</v>
      </c>
      <c r="CL1062" s="1" t="s">
        <v>209</v>
      </c>
      <c r="CM1062" s="1" t="s">
        <v>210</v>
      </c>
      <c r="CO1062" s="1" t="s">
        <v>1417</v>
      </c>
      <c r="CP1062" s="1" t="s">
        <v>209</v>
      </c>
      <c r="CS1062" s="1" t="s">
        <v>1351</v>
      </c>
      <c r="CT1062" s="1" t="s">
        <v>206</v>
      </c>
      <c r="CU1062" s="1" t="s">
        <v>617</v>
      </c>
      <c r="CW1062" s="1" t="s">
        <v>214</v>
      </c>
      <c r="CX1062" s="1" t="s">
        <v>206</v>
      </c>
      <c r="CY1062" s="1" t="s">
        <v>210</v>
      </c>
      <c r="DA1062" s="1" t="s">
        <v>192</v>
      </c>
      <c r="DB1062" s="2">
        <v>41943.0</v>
      </c>
      <c r="DC1062" s="1" t="s">
        <v>585</v>
      </c>
      <c r="DD1062" s="1" t="s">
        <v>2094</v>
      </c>
      <c r="DE1062" s="1" t="s">
        <v>273</v>
      </c>
      <c r="DF1062" s="1" t="s">
        <v>219</v>
      </c>
      <c r="DH1062" s="1" t="s">
        <v>220</v>
      </c>
      <c r="DI1062" s="1" t="s">
        <v>1021</v>
      </c>
      <c r="DJ1062" s="1" t="s">
        <v>222</v>
      </c>
      <c r="DL1062" s="1" t="s">
        <v>223</v>
      </c>
      <c r="DM1062" s="1" t="s">
        <v>229</v>
      </c>
      <c r="DQ1062" s="1" t="s">
        <v>228</v>
      </c>
      <c r="DR1062" s="1" t="s">
        <v>229</v>
      </c>
      <c r="DS1062" s="1" t="s">
        <v>591</v>
      </c>
      <c r="DU1062" s="1" t="s">
        <v>550</v>
      </c>
      <c r="DV1062" s="1" t="s">
        <v>8941</v>
      </c>
      <c r="DW1062" s="1" t="s">
        <v>233</v>
      </c>
      <c r="DX1062" s="1" t="s">
        <v>234</v>
      </c>
      <c r="DY1062" s="1" t="s">
        <v>3075</v>
      </c>
      <c r="EA1062" s="1" t="s">
        <v>344</v>
      </c>
      <c r="EC1062" s="1" t="s">
        <v>237</v>
      </c>
      <c r="EG1062" s="1" t="s">
        <v>556</v>
      </c>
      <c r="EH1062" s="1" t="s">
        <v>341</v>
      </c>
      <c r="EL1062" s="1" t="s">
        <v>1417</v>
      </c>
      <c r="EM1062" s="1" t="s">
        <v>209</v>
      </c>
      <c r="EN1062" s="1" t="s">
        <v>617</v>
      </c>
      <c r="EP1062" s="1" t="s">
        <v>302</v>
      </c>
      <c r="EQ1062" s="1" t="s">
        <v>209</v>
      </c>
      <c r="ER1062" s="1" t="s">
        <v>210</v>
      </c>
      <c r="EU1062" s="1" t="s">
        <v>238</v>
      </c>
      <c r="EY1062" s="1" t="s">
        <v>238</v>
      </c>
      <c r="FC1062" s="1" t="s">
        <v>238</v>
      </c>
      <c r="FF1062" s="1" t="s">
        <v>239</v>
      </c>
      <c r="FG1062" s="1" t="s">
        <v>192</v>
      </c>
      <c r="FH1062" s="1" t="s">
        <v>192</v>
      </c>
      <c r="FJ1062" s="1" t="s">
        <v>648</v>
      </c>
      <c r="FK1062" s="1" t="s">
        <v>229</v>
      </c>
      <c r="FL1062" s="1" t="s">
        <v>1358</v>
      </c>
      <c r="FM1062" s="1">
        <v>23591.0</v>
      </c>
      <c r="FN1062" s="1" t="s">
        <v>2134</v>
      </c>
      <c r="FO1062" s="1" t="s">
        <v>11054</v>
      </c>
      <c r="FP1062" s="1">
        <v>221299.0</v>
      </c>
      <c r="FQ1062" s="1" t="s">
        <v>11055</v>
      </c>
      <c r="FU1062" s="1" t="s">
        <v>11754</v>
      </c>
      <c r="FV1062" s="1" t="s">
        <v>200</v>
      </c>
      <c r="FW1062" s="1" t="s">
        <v>11132</v>
      </c>
      <c r="FZ1062" s="1" t="s">
        <v>229</v>
      </c>
      <c r="GA1062" s="1" t="s">
        <v>291</v>
      </c>
      <c r="GB1062" s="2">
        <v>42075.0</v>
      </c>
      <c r="GC1062" s="1" t="s">
        <v>11755</v>
      </c>
    </row>
    <row r="1063">
      <c r="A1063" s="1">
        <v>136000.0</v>
      </c>
      <c r="B1063" s="1" t="s">
        <v>185</v>
      </c>
      <c r="C1063" s="1" t="str">
        <f>"08652931"</f>
        <v>08652931</v>
      </c>
      <c r="D1063" s="1" t="s">
        <v>186</v>
      </c>
      <c r="F1063" s="1" t="str">
        <f>"8055"</f>
        <v>8055</v>
      </c>
      <c r="G1063" s="2">
        <v>41813.0</v>
      </c>
      <c r="H1063" s="1">
        <v>144850.0</v>
      </c>
      <c r="I1063" s="1">
        <v>144.0</v>
      </c>
      <c r="J1063" s="1">
        <v>137500.0</v>
      </c>
      <c r="K1063" s="2">
        <v>41953.0</v>
      </c>
      <c r="L1063" s="1">
        <v>144.0</v>
      </c>
      <c r="M1063" s="2">
        <v>41953.0</v>
      </c>
      <c r="N1063" s="1" t="s">
        <v>356</v>
      </c>
      <c r="O1063" s="2">
        <v>41983.0</v>
      </c>
      <c r="P1063" s="1">
        <v>869144.0</v>
      </c>
      <c r="Q1063" s="1">
        <v>85391.0</v>
      </c>
      <c r="R1063" s="1">
        <v>3750.0</v>
      </c>
      <c r="S1063" s="1">
        <v>13214.0</v>
      </c>
      <c r="T1063" s="1" t="s">
        <v>11756</v>
      </c>
      <c r="V1063" s="1" t="s">
        <v>190</v>
      </c>
      <c r="W1063" s="1">
        <v>60633.0</v>
      </c>
      <c r="Y1063" s="1" t="s">
        <v>11757</v>
      </c>
      <c r="Z1063" s="1">
        <v>1949.0</v>
      </c>
      <c r="AA1063" s="1" t="s">
        <v>192</v>
      </c>
      <c r="AB1063" s="1" t="s">
        <v>193</v>
      </c>
      <c r="AD1063" s="1" t="s">
        <v>194</v>
      </c>
      <c r="AE1063" s="1" t="s">
        <v>195</v>
      </c>
      <c r="AF1063" s="1" t="s">
        <v>637</v>
      </c>
      <c r="AH1063" s="1" t="s">
        <v>3342</v>
      </c>
      <c r="AI1063" s="1">
        <v>0.1148</v>
      </c>
      <c r="AK1063" s="1">
        <v>6.0</v>
      </c>
      <c r="AL1063" s="1">
        <v>4.0</v>
      </c>
      <c r="AM1063" s="1">
        <v>1.0</v>
      </c>
      <c r="AN1063" s="1">
        <v>1.0</v>
      </c>
      <c r="AO1063" s="1" t="s">
        <v>229</v>
      </c>
      <c r="AQ1063" s="1" t="s">
        <v>198</v>
      </c>
      <c r="AR1063" s="1" t="s">
        <v>200</v>
      </c>
      <c r="AS1063" s="1" t="s">
        <v>199</v>
      </c>
      <c r="AT1063" s="1">
        <v>2.0</v>
      </c>
      <c r="AV1063" s="1" t="s">
        <v>200</v>
      </c>
      <c r="AW1063" s="1">
        <v>1852.0</v>
      </c>
      <c r="AX1063" s="1">
        <v>2013.0</v>
      </c>
      <c r="AY1063" s="1" t="s">
        <v>387</v>
      </c>
      <c r="AZ1063" s="1" t="s">
        <v>200</v>
      </c>
      <c r="BA1063" s="1" t="str">
        <f>"26321070510000"</f>
        <v>26321070510000</v>
      </c>
      <c r="BC1063" s="1">
        <v>1400.0</v>
      </c>
      <c r="BD1063" s="1">
        <v>136000.0</v>
      </c>
      <c r="BE1063" s="2">
        <v>41810.0</v>
      </c>
      <c r="BF1063" s="2" t="s">
        <v>11758</v>
      </c>
      <c r="BH1063" s="1">
        <v>0.0</v>
      </c>
      <c r="BK1063" s="1" t="s">
        <v>204</v>
      </c>
      <c r="BL1063" s="1" t="str">
        <f t="shared" ref="BL1063:BL1064" si="709">"0"</f>
        <v>0</v>
      </c>
      <c r="BM1063" s="1" t="str">
        <f>"15"</f>
        <v>15</v>
      </c>
      <c r="BN1063" s="1">
        <v>0.0</v>
      </c>
      <c r="BO1063" s="1">
        <v>3.0</v>
      </c>
      <c r="BQ1063" s="1">
        <v>299.0</v>
      </c>
      <c r="BR1063" s="1">
        <v>299.0</v>
      </c>
      <c r="BS1063" s="1">
        <v>299.0</v>
      </c>
      <c r="BU1063" s="1" t="s">
        <v>743</v>
      </c>
      <c r="BV1063" s="1" t="s">
        <v>206</v>
      </c>
      <c r="BW1063" s="1" t="s">
        <v>210</v>
      </c>
      <c r="BX1063" s="1" t="s">
        <v>239</v>
      </c>
      <c r="BY1063" s="1" t="s">
        <v>758</v>
      </c>
      <c r="BZ1063" s="1" t="s">
        <v>209</v>
      </c>
      <c r="CA1063" s="1" t="s">
        <v>210</v>
      </c>
      <c r="CB1063" s="1" t="s">
        <v>239</v>
      </c>
      <c r="CD1063" s="1" t="s">
        <v>204</v>
      </c>
      <c r="CG1063" s="1" t="s">
        <v>332</v>
      </c>
      <c r="CH1063" s="1" t="s">
        <v>209</v>
      </c>
      <c r="CI1063" s="1" t="s">
        <v>210</v>
      </c>
      <c r="CJ1063" s="1" t="s">
        <v>239</v>
      </c>
      <c r="CK1063" s="1" t="s">
        <v>302</v>
      </c>
      <c r="CL1063" s="1" t="s">
        <v>206</v>
      </c>
      <c r="CM1063" s="1" t="s">
        <v>210</v>
      </c>
      <c r="CN1063" s="1" t="s">
        <v>239</v>
      </c>
      <c r="CO1063" s="1" t="s">
        <v>495</v>
      </c>
      <c r="CP1063" s="1" t="s">
        <v>206</v>
      </c>
      <c r="CQ1063" s="1" t="s">
        <v>210</v>
      </c>
      <c r="CR1063" s="1" t="s">
        <v>239</v>
      </c>
      <c r="CS1063" s="1" t="s">
        <v>433</v>
      </c>
      <c r="CT1063" s="1" t="s">
        <v>206</v>
      </c>
      <c r="CU1063" s="1" t="s">
        <v>301</v>
      </c>
      <c r="CV1063" s="1" t="s">
        <v>239</v>
      </c>
      <c r="CX1063" s="1" t="s">
        <v>204</v>
      </c>
      <c r="DA1063" s="1" t="s">
        <v>200</v>
      </c>
      <c r="DC1063" s="1" t="s">
        <v>702</v>
      </c>
      <c r="DE1063" s="1" t="s">
        <v>273</v>
      </c>
      <c r="DF1063" s="1" t="s">
        <v>219</v>
      </c>
      <c r="DG1063" s="1" t="s">
        <v>337</v>
      </c>
      <c r="DH1063" s="1" t="s">
        <v>365</v>
      </c>
      <c r="DI1063" s="1" t="s">
        <v>789</v>
      </c>
      <c r="DJ1063" s="1" t="s">
        <v>222</v>
      </c>
      <c r="DK1063" s="1" t="s">
        <v>224</v>
      </c>
      <c r="DL1063" s="1" t="s">
        <v>223</v>
      </c>
      <c r="DM1063" s="1" t="s">
        <v>225</v>
      </c>
      <c r="DO1063" s="1" t="s">
        <v>549</v>
      </c>
      <c r="DQ1063" s="1" t="s">
        <v>228</v>
      </c>
      <c r="DR1063" s="1" t="s">
        <v>229</v>
      </c>
      <c r="DS1063" s="1" t="s">
        <v>401</v>
      </c>
      <c r="DV1063" s="1" t="s">
        <v>232</v>
      </c>
      <c r="DW1063" s="1" t="s">
        <v>279</v>
      </c>
      <c r="DX1063" s="1" t="s">
        <v>234</v>
      </c>
      <c r="DY1063" s="1" t="s">
        <v>6341</v>
      </c>
      <c r="EA1063" s="1" t="s">
        <v>1075</v>
      </c>
      <c r="EC1063" s="1" t="s">
        <v>645</v>
      </c>
      <c r="ED1063" s="1" t="s">
        <v>555</v>
      </c>
      <c r="EE1063" s="1" t="s">
        <v>493</v>
      </c>
      <c r="EM1063" s="1" t="s">
        <v>238</v>
      </c>
      <c r="EQ1063" s="1" t="s">
        <v>238</v>
      </c>
      <c r="EU1063" s="1" t="s">
        <v>238</v>
      </c>
      <c r="EY1063" s="1" t="s">
        <v>238</v>
      </c>
      <c r="FC1063" s="1" t="s">
        <v>238</v>
      </c>
      <c r="FF1063" s="1" t="s">
        <v>239</v>
      </c>
      <c r="FG1063" s="1" t="s">
        <v>192</v>
      </c>
      <c r="FH1063" s="1" t="s">
        <v>192</v>
      </c>
      <c r="FJ1063" s="1" t="s">
        <v>11759</v>
      </c>
      <c r="FK1063" s="1" t="s">
        <v>557</v>
      </c>
      <c r="FL1063" s="1" t="s">
        <v>1358</v>
      </c>
      <c r="FM1063" s="1">
        <v>51100.0</v>
      </c>
      <c r="FN1063" s="1" t="s">
        <v>7763</v>
      </c>
      <c r="FO1063" s="1" t="s">
        <v>11760</v>
      </c>
      <c r="FP1063" s="1">
        <v>501411.0</v>
      </c>
      <c r="FQ1063" s="1" t="s">
        <v>11761</v>
      </c>
      <c r="FU1063" s="1" t="s">
        <v>710</v>
      </c>
      <c r="FV1063" s="1" t="s">
        <v>200</v>
      </c>
      <c r="FW1063" s="1" t="s">
        <v>290</v>
      </c>
      <c r="FX1063" s="1" t="s">
        <v>655</v>
      </c>
      <c r="FZ1063" s="1" t="s">
        <v>229</v>
      </c>
      <c r="GA1063" s="1" t="s">
        <v>291</v>
      </c>
      <c r="GB1063" s="2">
        <v>41984.0</v>
      </c>
      <c r="GC1063" s="1" t="s">
        <v>11762</v>
      </c>
    </row>
    <row r="1064">
      <c r="A1064" s="1">
        <v>390000.0</v>
      </c>
      <c r="B1064" s="1" t="s">
        <v>185</v>
      </c>
      <c r="C1064" s="1" t="str">
        <f>"08649278"</f>
        <v>08649278</v>
      </c>
      <c r="D1064" s="1" t="s">
        <v>186</v>
      </c>
      <c r="F1064" s="1" t="str">
        <f>"8060"</f>
        <v>8060</v>
      </c>
      <c r="G1064" s="2">
        <v>41808.0</v>
      </c>
      <c r="H1064" s="1">
        <v>405000.0</v>
      </c>
      <c r="I1064" s="1">
        <v>74.0</v>
      </c>
      <c r="J1064" s="1">
        <v>379900.0</v>
      </c>
      <c r="K1064" s="2">
        <v>41881.0</v>
      </c>
      <c r="L1064" s="1">
        <v>74.0</v>
      </c>
      <c r="M1064" s="2">
        <v>41881.0</v>
      </c>
      <c r="N1064" s="1" t="s">
        <v>356</v>
      </c>
      <c r="O1064" s="2">
        <v>41995.0</v>
      </c>
      <c r="P1064" s="1">
        <v>166573.0</v>
      </c>
      <c r="Q1064" s="1">
        <v>84025.0</v>
      </c>
      <c r="S1064" s="1">
        <v>2506.0</v>
      </c>
      <c r="T1064" s="1" t="s">
        <v>11763</v>
      </c>
      <c r="U1064" s="1" t="s">
        <v>189</v>
      </c>
      <c r="V1064" s="1" t="s">
        <v>190</v>
      </c>
      <c r="W1064" s="1">
        <v>60608.0</v>
      </c>
      <c r="Y1064" s="1" t="s">
        <v>11764</v>
      </c>
      <c r="Z1064" s="1">
        <v>2007.0</v>
      </c>
      <c r="AA1064" s="1" t="s">
        <v>200</v>
      </c>
      <c r="AB1064" s="1" t="s">
        <v>193</v>
      </c>
      <c r="AD1064" s="1" t="s">
        <v>194</v>
      </c>
      <c r="AE1064" s="1" t="s">
        <v>195</v>
      </c>
      <c r="AF1064" s="1" t="s">
        <v>1154</v>
      </c>
      <c r="AH1064" s="1" t="s">
        <v>11765</v>
      </c>
      <c r="AK1064" s="1">
        <v>7.0</v>
      </c>
      <c r="AL1064" s="1">
        <v>4.0</v>
      </c>
      <c r="AM1064" s="1">
        <v>3.0</v>
      </c>
      <c r="AN1064" s="1">
        <v>1.0</v>
      </c>
      <c r="AO1064" s="1" t="s">
        <v>198</v>
      </c>
      <c r="AP1064" s="1">
        <v>1.0</v>
      </c>
      <c r="AQ1064" s="1" t="s">
        <v>229</v>
      </c>
      <c r="AS1064" s="1" t="s">
        <v>199</v>
      </c>
      <c r="AT1064" s="1">
        <v>2.0</v>
      </c>
      <c r="AV1064" s="1" t="s">
        <v>200</v>
      </c>
      <c r="AW1064" s="1">
        <v>6874.42</v>
      </c>
      <c r="AX1064" s="1">
        <v>2012.0</v>
      </c>
      <c r="AY1064" s="1" t="s">
        <v>387</v>
      </c>
      <c r="AZ1064" s="1" t="s">
        <v>200</v>
      </c>
      <c r="BA1064" s="1" t="str">
        <f>"17294040480000"</f>
        <v>17294040480000</v>
      </c>
      <c r="BB1064" s="1" t="s">
        <v>200</v>
      </c>
      <c r="BC1064" s="1">
        <v>2165.0</v>
      </c>
      <c r="BD1064" s="1">
        <v>390000.0</v>
      </c>
      <c r="BE1064" s="2">
        <v>41808.0</v>
      </c>
      <c r="BF1064" s="2" t="s">
        <v>11766</v>
      </c>
      <c r="BH1064" s="1">
        <v>0.0</v>
      </c>
      <c r="BK1064" s="1" t="s">
        <v>204</v>
      </c>
      <c r="BL1064" s="1" t="str">
        <f t="shared" si="709"/>
        <v>0</v>
      </c>
      <c r="BM1064" s="1" t="str">
        <f t="shared" ref="BM1064:BM1066" si="710">"0"</f>
        <v>0</v>
      </c>
      <c r="BN1064" s="1">
        <v>1032.0</v>
      </c>
      <c r="BO1064" s="1">
        <v>2502.0</v>
      </c>
      <c r="BQ1064" s="1">
        <v>299.0</v>
      </c>
      <c r="BR1064" s="1">
        <v>299.0</v>
      </c>
      <c r="BS1064" s="1">
        <v>299.0</v>
      </c>
      <c r="BU1064" s="1" t="s">
        <v>2219</v>
      </c>
      <c r="BV1064" s="1" t="s">
        <v>209</v>
      </c>
      <c r="BW1064" s="1" t="s">
        <v>207</v>
      </c>
      <c r="BY1064" s="1" t="s">
        <v>205</v>
      </c>
      <c r="BZ1064" s="1" t="s">
        <v>391</v>
      </c>
      <c r="CA1064" s="1" t="s">
        <v>210</v>
      </c>
      <c r="CC1064" s="1" t="s">
        <v>925</v>
      </c>
      <c r="CD1064" s="1" t="s">
        <v>209</v>
      </c>
      <c r="CE1064" s="1" t="s">
        <v>207</v>
      </c>
      <c r="CG1064" s="1" t="s">
        <v>495</v>
      </c>
      <c r="CH1064" s="1" t="s">
        <v>391</v>
      </c>
      <c r="CI1064" s="1" t="s">
        <v>210</v>
      </c>
      <c r="CK1064" s="1" t="s">
        <v>269</v>
      </c>
      <c r="CL1064" s="1" t="s">
        <v>391</v>
      </c>
      <c r="CM1064" s="1" t="s">
        <v>210</v>
      </c>
      <c r="CO1064" s="1" t="s">
        <v>1351</v>
      </c>
      <c r="CP1064" s="1" t="s">
        <v>206</v>
      </c>
      <c r="CQ1064" s="1" t="s">
        <v>207</v>
      </c>
      <c r="CS1064" s="1" t="s">
        <v>7133</v>
      </c>
      <c r="CT1064" s="1" t="s">
        <v>209</v>
      </c>
      <c r="CU1064" s="1" t="s">
        <v>207</v>
      </c>
      <c r="CX1064" s="1" t="s">
        <v>204</v>
      </c>
      <c r="DA1064" s="1" t="s">
        <v>200</v>
      </c>
      <c r="DC1064" s="1" t="s">
        <v>481</v>
      </c>
      <c r="DD1064" s="1" t="s">
        <v>679</v>
      </c>
      <c r="DE1064" s="1" t="s">
        <v>273</v>
      </c>
      <c r="DF1064" s="1" t="s">
        <v>219</v>
      </c>
      <c r="DG1064" s="1" t="s">
        <v>337</v>
      </c>
      <c r="DH1064" s="1" t="s">
        <v>365</v>
      </c>
      <c r="DI1064" s="1" t="s">
        <v>1003</v>
      </c>
      <c r="DJ1064" s="1" t="s">
        <v>222</v>
      </c>
      <c r="DL1064" s="1" t="s">
        <v>229</v>
      </c>
      <c r="DM1064" s="1" t="s">
        <v>229</v>
      </c>
      <c r="DP1064" s="1" t="s">
        <v>340</v>
      </c>
      <c r="DQ1064" s="1" t="s">
        <v>228</v>
      </c>
      <c r="DR1064" s="1" t="s">
        <v>229</v>
      </c>
      <c r="DS1064" s="1" t="s">
        <v>230</v>
      </c>
      <c r="DV1064" s="1" t="s">
        <v>232</v>
      </c>
      <c r="DW1064" s="1" t="s">
        <v>279</v>
      </c>
      <c r="DX1064" s="1" t="s">
        <v>234</v>
      </c>
      <c r="DY1064" s="1" t="s">
        <v>7385</v>
      </c>
      <c r="DZ1064" s="1" t="s">
        <v>310</v>
      </c>
      <c r="EB1064" s="1" t="s">
        <v>684</v>
      </c>
      <c r="EC1064" s="1" t="s">
        <v>406</v>
      </c>
      <c r="EM1064" s="1" t="s">
        <v>238</v>
      </c>
      <c r="EQ1064" s="1" t="s">
        <v>238</v>
      </c>
      <c r="EU1064" s="1" t="s">
        <v>238</v>
      </c>
      <c r="EY1064" s="1" t="s">
        <v>238</v>
      </c>
      <c r="FC1064" s="1" t="s">
        <v>238</v>
      </c>
      <c r="FF1064" s="1" t="s">
        <v>239</v>
      </c>
      <c r="FG1064" s="1" t="s">
        <v>192</v>
      </c>
      <c r="FH1064" s="1" t="s">
        <v>192</v>
      </c>
      <c r="FJ1064" s="1" t="s">
        <v>2285</v>
      </c>
      <c r="FK1064" s="1" t="s">
        <v>229</v>
      </c>
      <c r="FL1064" s="1" t="s">
        <v>734</v>
      </c>
      <c r="FM1064" s="1">
        <v>10646.0</v>
      </c>
      <c r="FN1064" s="1" t="s">
        <v>735</v>
      </c>
      <c r="FO1064" s="1" t="s">
        <v>1940</v>
      </c>
      <c r="FP1064" s="1">
        <v>145496.0</v>
      </c>
      <c r="FQ1064" s="1" t="s">
        <v>1941</v>
      </c>
      <c r="FR1064" s="1">
        <v>111894.0</v>
      </c>
      <c r="FS1064" s="1" t="s">
        <v>11767</v>
      </c>
      <c r="FU1064" s="1" t="s">
        <v>11768</v>
      </c>
      <c r="FV1064" s="1" t="s">
        <v>192</v>
      </c>
      <c r="FW1064" s="1" t="s">
        <v>530</v>
      </c>
      <c r="FX1064" s="1" t="s">
        <v>655</v>
      </c>
      <c r="FZ1064" s="1" t="s">
        <v>2993</v>
      </c>
      <c r="GA1064" s="1" t="s">
        <v>291</v>
      </c>
      <c r="GB1064" s="2">
        <v>41997.0</v>
      </c>
      <c r="GC1064" s="1" t="s">
        <v>11769</v>
      </c>
    </row>
    <row r="1065">
      <c r="A1065" s="1">
        <v>577000.0</v>
      </c>
      <c r="B1065" s="1" t="s">
        <v>185</v>
      </c>
      <c r="C1065" s="1" t="str">
        <f>"08649987"</f>
        <v>08649987</v>
      </c>
      <c r="D1065" s="1" t="s">
        <v>186</v>
      </c>
      <c r="F1065" s="1" t="str">
        <f>"8005"</f>
        <v>8005</v>
      </c>
      <c r="G1065" s="2">
        <v>41809.0</v>
      </c>
      <c r="H1065" s="1">
        <v>619000.0</v>
      </c>
      <c r="I1065" s="1">
        <v>60.0</v>
      </c>
      <c r="J1065" s="1">
        <v>599000.0</v>
      </c>
      <c r="K1065" s="2">
        <v>41868.0</v>
      </c>
      <c r="L1065" s="1">
        <v>60.0</v>
      </c>
      <c r="M1065" s="2">
        <v>41868.0</v>
      </c>
      <c r="N1065" s="1" t="s">
        <v>187</v>
      </c>
      <c r="O1065" s="2">
        <v>42010.0</v>
      </c>
      <c r="P1065" s="1">
        <v>110346.0</v>
      </c>
      <c r="Q1065" s="1">
        <v>16379.0</v>
      </c>
      <c r="S1065" s="1">
        <v>2845.0</v>
      </c>
      <c r="T1065" s="1" t="s">
        <v>6780</v>
      </c>
      <c r="U1065" s="1" t="s">
        <v>189</v>
      </c>
      <c r="V1065" s="1" t="s">
        <v>190</v>
      </c>
      <c r="W1065" s="1">
        <v>60657.0</v>
      </c>
      <c r="Y1065" s="1" t="s">
        <v>11770</v>
      </c>
      <c r="Z1065" s="1">
        <v>1997.0</v>
      </c>
      <c r="AA1065" s="1" t="s">
        <v>200</v>
      </c>
      <c r="AB1065" s="1" t="s">
        <v>193</v>
      </c>
      <c r="AC1065" s="1" t="s">
        <v>11771</v>
      </c>
      <c r="AD1065" s="1" t="s">
        <v>194</v>
      </c>
      <c r="AE1065" s="1" t="s">
        <v>195</v>
      </c>
      <c r="AF1065" s="1" t="s">
        <v>534</v>
      </c>
      <c r="AH1065" s="1" t="s">
        <v>11772</v>
      </c>
      <c r="AK1065" s="1">
        <v>7.0</v>
      </c>
      <c r="AL1065" s="1">
        <v>4.0</v>
      </c>
      <c r="AM1065" s="1">
        <v>3.0</v>
      </c>
      <c r="AN1065" s="1">
        <v>0.0</v>
      </c>
      <c r="AO1065" s="1" t="s">
        <v>198</v>
      </c>
      <c r="AP1065" s="1">
        <v>1.0</v>
      </c>
      <c r="AQ1065" s="1" t="s">
        <v>198</v>
      </c>
      <c r="AR1065" s="1" t="s">
        <v>192</v>
      </c>
      <c r="AS1065" s="1" t="s">
        <v>199</v>
      </c>
      <c r="AT1065" s="1">
        <v>1.0</v>
      </c>
      <c r="AV1065" s="1" t="s">
        <v>200</v>
      </c>
      <c r="AW1065" s="1">
        <v>8275.72</v>
      </c>
      <c r="AX1065" s="1">
        <v>2012.0</v>
      </c>
      <c r="AY1065" s="1" t="s">
        <v>387</v>
      </c>
      <c r="AZ1065" s="1" t="s">
        <v>200</v>
      </c>
      <c r="BA1065" s="1" t="str">
        <f>"14302221440000"</f>
        <v>14302221440000</v>
      </c>
      <c r="BC1065" s="1">
        <v>2200.0</v>
      </c>
      <c r="BD1065" s="1">
        <v>577000.0</v>
      </c>
      <c r="BE1065" s="2">
        <v>41809.0</v>
      </c>
      <c r="BF1065" s="2" t="s">
        <v>11773</v>
      </c>
      <c r="BG1065" s="1" t="s">
        <v>11774</v>
      </c>
      <c r="BH1065" s="1">
        <v>112.0</v>
      </c>
      <c r="BI1065" s="1" t="s">
        <v>11774</v>
      </c>
      <c r="BJ1065" s="1" t="s">
        <v>538</v>
      </c>
      <c r="BK1065" s="1" t="s">
        <v>474</v>
      </c>
      <c r="BL1065" s="1" t="str">
        <f>"2900"</f>
        <v>2900</v>
      </c>
      <c r="BM1065" s="1" t="str">
        <f t="shared" si="710"/>
        <v>0</v>
      </c>
      <c r="BN1065" s="1">
        <v>1900.0</v>
      </c>
      <c r="BO1065" s="1">
        <v>0.0</v>
      </c>
      <c r="BQ1065" s="1">
        <v>299.0</v>
      </c>
      <c r="BR1065" s="1">
        <v>299.0</v>
      </c>
      <c r="BS1065" s="1">
        <v>299.0</v>
      </c>
      <c r="BU1065" s="1" t="s">
        <v>390</v>
      </c>
      <c r="BV1065" s="1" t="s">
        <v>206</v>
      </c>
      <c r="BW1065" s="1" t="s">
        <v>207</v>
      </c>
      <c r="BY1065" s="1" t="s">
        <v>205</v>
      </c>
      <c r="BZ1065" s="1" t="s">
        <v>209</v>
      </c>
      <c r="CA1065" s="1" t="s">
        <v>210</v>
      </c>
      <c r="CC1065" s="1" t="s">
        <v>2224</v>
      </c>
      <c r="CD1065" s="1" t="s">
        <v>206</v>
      </c>
      <c r="CE1065" s="1" t="s">
        <v>207</v>
      </c>
      <c r="CG1065" s="1" t="s">
        <v>699</v>
      </c>
      <c r="CH1065" s="1" t="s">
        <v>209</v>
      </c>
      <c r="CI1065" s="1" t="s">
        <v>210</v>
      </c>
      <c r="CK1065" s="1" t="s">
        <v>265</v>
      </c>
      <c r="CL1065" s="1" t="s">
        <v>209</v>
      </c>
      <c r="CM1065" s="1" t="s">
        <v>210</v>
      </c>
      <c r="CO1065" s="1" t="s">
        <v>332</v>
      </c>
      <c r="CP1065" s="1" t="s">
        <v>267</v>
      </c>
      <c r="CS1065" s="1" t="s">
        <v>363</v>
      </c>
      <c r="CT1065" s="1" t="s">
        <v>206</v>
      </c>
      <c r="CU1065" s="1" t="s">
        <v>207</v>
      </c>
      <c r="CX1065" s="1" t="s">
        <v>204</v>
      </c>
      <c r="DA1065" s="1" t="s">
        <v>200</v>
      </c>
      <c r="DC1065" s="1" t="s">
        <v>678</v>
      </c>
      <c r="DD1065" s="1" t="s">
        <v>957</v>
      </c>
      <c r="DE1065" s="1" t="s">
        <v>273</v>
      </c>
      <c r="DF1065" s="1" t="s">
        <v>619</v>
      </c>
      <c r="DH1065" s="1" t="s">
        <v>365</v>
      </c>
      <c r="DI1065" s="1" t="s">
        <v>519</v>
      </c>
      <c r="DJ1065" s="1" t="s">
        <v>222</v>
      </c>
      <c r="DK1065" s="1" t="s">
        <v>223</v>
      </c>
      <c r="DL1065" s="1" t="s">
        <v>224</v>
      </c>
      <c r="DM1065" s="1" t="s">
        <v>229</v>
      </c>
      <c r="DN1065" s="1" t="s">
        <v>339</v>
      </c>
      <c r="DO1065" s="1" t="s">
        <v>549</v>
      </c>
      <c r="DP1065" s="1" t="s">
        <v>276</v>
      </c>
      <c r="DQ1065" s="1" t="s">
        <v>228</v>
      </c>
      <c r="DR1065" s="1" t="s">
        <v>11775</v>
      </c>
      <c r="DV1065" s="1" t="s">
        <v>232</v>
      </c>
      <c r="DW1065" s="1" t="s">
        <v>233</v>
      </c>
      <c r="DX1065" s="1" t="s">
        <v>234</v>
      </c>
      <c r="EC1065" s="1" t="s">
        <v>237</v>
      </c>
      <c r="EM1065" s="1" t="s">
        <v>238</v>
      </c>
      <c r="EQ1065" s="1" t="s">
        <v>238</v>
      </c>
      <c r="EU1065" s="1" t="s">
        <v>238</v>
      </c>
      <c r="EY1065" s="1" t="s">
        <v>238</v>
      </c>
      <c r="FC1065" s="1" t="s">
        <v>238</v>
      </c>
      <c r="FF1065" s="1" t="s">
        <v>239</v>
      </c>
      <c r="FG1065" s="1" t="s">
        <v>192</v>
      </c>
      <c r="FH1065" s="1" t="s">
        <v>192</v>
      </c>
      <c r="FJ1065" s="1" t="s">
        <v>4122</v>
      </c>
      <c r="FK1065" s="1" t="s">
        <v>229</v>
      </c>
      <c r="FL1065" s="1" t="s">
        <v>456</v>
      </c>
      <c r="FM1065" s="1">
        <v>10274.0</v>
      </c>
      <c r="FN1065" s="1" t="s">
        <v>4794</v>
      </c>
      <c r="FO1065" s="1" t="s">
        <v>11776</v>
      </c>
      <c r="FP1065" s="1">
        <v>157541.0</v>
      </c>
      <c r="FQ1065" s="1" t="s">
        <v>11777</v>
      </c>
      <c r="FU1065" s="1" t="s">
        <v>11778</v>
      </c>
      <c r="FV1065" s="1" t="s">
        <v>200</v>
      </c>
      <c r="FW1065" s="1" t="s">
        <v>290</v>
      </c>
      <c r="FX1065" s="1" t="s">
        <v>238</v>
      </c>
      <c r="FZ1065" s="1" t="s">
        <v>229</v>
      </c>
      <c r="GA1065" s="1" t="s">
        <v>291</v>
      </c>
      <c r="GB1065" s="2">
        <v>42011.0</v>
      </c>
      <c r="GC1065" s="1" t="s">
        <v>11779</v>
      </c>
    </row>
    <row r="1066">
      <c r="A1066" s="1">
        <v>150000.0</v>
      </c>
      <c r="B1066" s="1" t="s">
        <v>185</v>
      </c>
      <c r="C1066" s="1" t="str">
        <f>"08668337"</f>
        <v>08668337</v>
      </c>
      <c r="D1066" s="1" t="s">
        <v>186</v>
      </c>
      <c r="F1066" s="1" t="str">
        <f>"107"</f>
        <v>107</v>
      </c>
      <c r="G1066" s="2">
        <v>41830.0</v>
      </c>
      <c r="H1066" s="1">
        <v>174900.0</v>
      </c>
      <c r="I1066" s="1">
        <v>215.0</v>
      </c>
      <c r="J1066" s="1">
        <v>159000.0</v>
      </c>
      <c r="K1066" s="2">
        <v>42044.0</v>
      </c>
      <c r="L1066" s="1">
        <v>215.0</v>
      </c>
      <c r="M1066" s="2">
        <v>42044.0</v>
      </c>
      <c r="N1066" s="1" t="s">
        <v>187</v>
      </c>
      <c r="O1066" s="2">
        <v>42100.0</v>
      </c>
      <c r="P1066" s="1">
        <v>81720.0</v>
      </c>
      <c r="Q1066" s="1">
        <v>8073.0</v>
      </c>
      <c r="S1066" s="1">
        <v>822.0</v>
      </c>
      <c r="T1066" s="1" t="s">
        <v>297</v>
      </c>
      <c r="U1066" s="1" t="s">
        <v>1442</v>
      </c>
      <c r="V1066" s="1" t="s">
        <v>294</v>
      </c>
      <c r="W1066" s="1">
        <v>60107.0</v>
      </c>
      <c r="Y1066" s="1" t="s">
        <v>11780</v>
      </c>
      <c r="Z1066" s="1">
        <v>1968.0</v>
      </c>
      <c r="AA1066" s="1" t="s">
        <v>192</v>
      </c>
      <c r="AB1066" s="1" t="s">
        <v>193</v>
      </c>
      <c r="AC1066" s="1" t="s">
        <v>4962</v>
      </c>
      <c r="AD1066" s="1" t="s">
        <v>297</v>
      </c>
      <c r="AE1066" s="1" t="s">
        <v>195</v>
      </c>
      <c r="AF1066" s="1" t="s">
        <v>298</v>
      </c>
      <c r="AH1066" s="1" t="s">
        <v>11781</v>
      </c>
      <c r="AI1066" s="1">
        <v>0.0</v>
      </c>
      <c r="AK1066" s="1">
        <v>7.0</v>
      </c>
      <c r="AL1066" s="1">
        <v>4.0</v>
      </c>
      <c r="AM1066" s="1">
        <v>2.0</v>
      </c>
      <c r="AN1066" s="1">
        <v>0.0</v>
      </c>
      <c r="AO1066" s="1" t="s">
        <v>229</v>
      </c>
      <c r="AQ1066" s="1" t="s">
        <v>1314</v>
      </c>
      <c r="AR1066" s="1" t="s">
        <v>192</v>
      </c>
      <c r="AS1066" s="1" t="s">
        <v>199</v>
      </c>
      <c r="AT1066" s="1">
        <v>2.0</v>
      </c>
      <c r="AV1066" s="1" t="s">
        <v>200</v>
      </c>
      <c r="AW1066" s="1">
        <v>5906.0</v>
      </c>
      <c r="AX1066" s="1">
        <v>2012.0</v>
      </c>
      <c r="AY1066" s="1" t="s">
        <v>387</v>
      </c>
      <c r="AZ1066" s="1" t="s">
        <v>200</v>
      </c>
      <c r="BA1066" s="1" t="str">
        <f>"06241100400000"</f>
        <v>06241100400000</v>
      </c>
      <c r="BC1066" s="1">
        <v>1687.0</v>
      </c>
      <c r="BD1066" s="1">
        <v>150000.0</v>
      </c>
      <c r="BE1066" s="2">
        <v>41830.0</v>
      </c>
      <c r="BF1066" s="2" t="s">
        <v>11782</v>
      </c>
      <c r="BH1066" s="1">
        <v>0.0</v>
      </c>
      <c r="BK1066" s="1" t="s">
        <v>204</v>
      </c>
      <c r="BL1066" s="1" t="str">
        <f>"10"</f>
        <v>10</v>
      </c>
      <c r="BM1066" s="1" t="str">
        <f t="shared" si="710"/>
        <v>0</v>
      </c>
      <c r="BN1066" s="1">
        <v>27.0</v>
      </c>
      <c r="BO1066" s="1">
        <v>0.0</v>
      </c>
      <c r="BQ1066" s="1">
        <v>46.0</v>
      </c>
      <c r="BR1066" s="1">
        <v>46.0</v>
      </c>
      <c r="BS1066" s="1">
        <v>46.0</v>
      </c>
      <c r="BU1066" s="1" t="s">
        <v>2155</v>
      </c>
      <c r="BV1066" s="1" t="s">
        <v>206</v>
      </c>
      <c r="BW1066" s="1" t="s">
        <v>210</v>
      </c>
      <c r="BX1066" s="1" t="s">
        <v>229</v>
      </c>
      <c r="BY1066" s="1" t="s">
        <v>955</v>
      </c>
      <c r="BZ1066" s="1" t="s">
        <v>267</v>
      </c>
      <c r="CA1066" s="1" t="s">
        <v>210</v>
      </c>
      <c r="CB1066" s="1" t="s">
        <v>229</v>
      </c>
      <c r="CC1066" s="1" t="s">
        <v>542</v>
      </c>
      <c r="CD1066" s="1" t="s">
        <v>206</v>
      </c>
      <c r="CE1066" s="1" t="s">
        <v>210</v>
      </c>
      <c r="CF1066" s="1" t="s">
        <v>229</v>
      </c>
      <c r="CG1066" s="1" t="s">
        <v>215</v>
      </c>
      <c r="CH1066" s="1" t="s">
        <v>206</v>
      </c>
      <c r="CI1066" s="1" t="s">
        <v>210</v>
      </c>
      <c r="CJ1066" s="1" t="s">
        <v>229</v>
      </c>
      <c r="CK1066" s="1" t="s">
        <v>264</v>
      </c>
      <c r="CL1066" s="1" t="s">
        <v>206</v>
      </c>
      <c r="CM1066" s="1" t="s">
        <v>207</v>
      </c>
      <c r="CN1066" s="1" t="s">
        <v>229</v>
      </c>
      <c r="CO1066" s="1" t="s">
        <v>495</v>
      </c>
      <c r="CP1066" s="1" t="s">
        <v>206</v>
      </c>
      <c r="CQ1066" s="1" t="s">
        <v>210</v>
      </c>
      <c r="CR1066" s="1" t="s">
        <v>229</v>
      </c>
      <c r="CS1066" s="1" t="s">
        <v>212</v>
      </c>
      <c r="CT1066" s="1" t="s">
        <v>206</v>
      </c>
      <c r="CU1066" s="1" t="s">
        <v>617</v>
      </c>
      <c r="CV1066" s="1" t="s">
        <v>229</v>
      </c>
      <c r="CX1066" s="1" t="s">
        <v>204</v>
      </c>
      <c r="DA1066" s="1" t="s">
        <v>200</v>
      </c>
      <c r="DC1066" s="1" t="s">
        <v>517</v>
      </c>
      <c r="DD1066" s="1" t="s">
        <v>518</v>
      </c>
      <c r="DE1066" s="1" t="s">
        <v>273</v>
      </c>
      <c r="DF1066" s="1" t="s">
        <v>219</v>
      </c>
      <c r="DG1066" s="1" t="s">
        <v>337</v>
      </c>
      <c r="DH1066" s="1" t="s">
        <v>220</v>
      </c>
      <c r="DI1066" s="1" t="s">
        <v>789</v>
      </c>
      <c r="DJ1066" s="1" t="s">
        <v>222</v>
      </c>
      <c r="DL1066" s="1" t="s">
        <v>224</v>
      </c>
      <c r="DM1066" s="1" t="s">
        <v>1022</v>
      </c>
      <c r="DO1066" s="1" t="s">
        <v>1004</v>
      </c>
      <c r="DP1066" s="1" t="s">
        <v>276</v>
      </c>
      <c r="DQ1066" s="1" t="s">
        <v>441</v>
      </c>
      <c r="DR1066" s="1" t="s">
        <v>229</v>
      </c>
      <c r="DS1066" s="1" t="s">
        <v>230</v>
      </c>
      <c r="DV1066" s="1" t="s">
        <v>232</v>
      </c>
      <c r="DW1066" s="1" t="s">
        <v>489</v>
      </c>
      <c r="DX1066" s="1" t="s">
        <v>234</v>
      </c>
      <c r="DZ1066" s="1" t="s">
        <v>8913</v>
      </c>
      <c r="EC1066" s="1" t="s">
        <v>311</v>
      </c>
      <c r="ED1066" s="1" t="s">
        <v>407</v>
      </c>
      <c r="EE1066" s="1" t="s">
        <v>493</v>
      </c>
      <c r="EM1066" s="1" t="s">
        <v>238</v>
      </c>
      <c r="EQ1066" s="1" t="s">
        <v>238</v>
      </c>
      <c r="EU1066" s="1" t="s">
        <v>238</v>
      </c>
      <c r="EY1066" s="1" t="s">
        <v>238</v>
      </c>
      <c r="FC1066" s="1" t="s">
        <v>238</v>
      </c>
      <c r="FF1066" s="1" t="s">
        <v>239</v>
      </c>
      <c r="FG1066" s="1" t="s">
        <v>192</v>
      </c>
      <c r="FH1066" s="1" t="s">
        <v>192</v>
      </c>
      <c r="FJ1066" s="1" t="s">
        <v>11783</v>
      </c>
      <c r="FK1066" s="1" t="s">
        <v>229</v>
      </c>
      <c r="FL1066" s="1" t="s">
        <v>11784</v>
      </c>
      <c r="FM1066" s="1">
        <v>85615.0</v>
      </c>
      <c r="FN1066" s="1" t="s">
        <v>11785</v>
      </c>
      <c r="FO1066" s="1" t="s">
        <v>11786</v>
      </c>
      <c r="FP1066" s="1">
        <v>862164.0</v>
      </c>
      <c r="FQ1066" s="1" t="s">
        <v>11787</v>
      </c>
      <c r="FU1066" s="1" t="s">
        <v>11788</v>
      </c>
      <c r="FV1066" s="1" t="s">
        <v>200</v>
      </c>
      <c r="FW1066" s="1" t="s">
        <v>567</v>
      </c>
      <c r="FX1066" s="1" t="s">
        <v>1739</v>
      </c>
      <c r="FZ1066" s="1" t="s">
        <v>229</v>
      </c>
      <c r="GA1066" s="1" t="s">
        <v>291</v>
      </c>
      <c r="GB1066" s="2">
        <v>42101.0</v>
      </c>
      <c r="GC1066" s="1" t="s">
        <v>11789</v>
      </c>
    </row>
    <row r="1067">
      <c r="A1067" s="1">
        <v>174900.0</v>
      </c>
      <c r="B1067" s="1" t="s">
        <v>185</v>
      </c>
      <c r="C1067" s="1" t="str">
        <f>"08646468"</f>
        <v>08646468</v>
      </c>
      <c r="D1067" s="1" t="s">
        <v>186</v>
      </c>
      <c r="F1067" s="1" t="str">
        <f>"8046"</f>
        <v>8046</v>
      </c>
      <c r="G1067" s="2">
        <v>41806.0</v>
      </c>
      <c r="H1067" s="1">
        <v>178500.0</v>
      </c>
      <c r="I1067" s="1">
        <v>372.0</v>
      </c>
      <c r="J1067" s="1">
        <v>174900.0</v>
      </c>
      <c r="K1067" s="2">
        <v>41967.0</v>
      </c>
      <c r="L1067" s="1">
        <v>162.0</v>
      </c>
      <c r="M1067" s="2">
        <v>41967.0</v>
      </c>
      <c r="N1067" s="1" t="s">
        <v>356</v>
      </c>
      <c r="O1067" s="2">
        <v>42034.0</v>
      </c>
      <c r="P1067" s="1">
        <v>149967.0</v>
      </c>
      <c r="Q1067" s="1">
        <v>16921.0</v>
      </c>
      <c r="R1067" s="1">
        <v>3.0</v>
      </c>
      <c r="S1067" s="1">
        <v>8419.0</v>
      </c>
      <c r="T1067" s="1" t="s">
        <v>2411</v>
      </c>
      <c r="U1067" s="1" t="s">
        <v>189</v>
      </c>
      <c r="V1067" s="1" t="s">
        <v>190</v>
      </c>
      <c r="W1067" s="1">
        <v>60617.0</v>
      </c>
      <c r="Y1067" s="1" t="s">
        <v>11790</v>
      </c>
      <c r="Z1067" s="1">
        <v>1935.0</v>
      </c>
      <c r="AA1067" s="1" t="s">
        <v>192</v>
      </c>
      <c r="AB1067" s="1" t="s">
        <v>193</v>
      </c>
      <c r="AD1067" s="1" t="s">
        <v>194</v>
      </c>
      <c r="AE1067" s="1" t="s">
        <v>195</v>
      </c>
      <c r="AF1067" s="1" t="s">
        <v>637</v>
      </c>
      <c r="AH1067" s="1">
        <v>3750.0</v>
      </c>
      <c r="AI1067" s="1">
        <v>0.0861</v>
      </c>
      <c r="AK1067" s="1">
        <v>8.0</v>
      </c>
      <c r="AL1067" s="1">
        <v>3.0</v>
      </c>
      <c r="AM1067" s="1">
        <v>3.0</v>
      </c>
      <c r="AN1067" s="1">
        <v>0.0</v>
      </c>
      <c r="AO1067" s="1" t="s">
        <v>229</v>
      </c>
      <c r="AQ1067" s="1" t="s">
        <v>198</v>
      </c>
      <c r="AR1067" s="1" t="s">
        <v>192</v>
      </c>
      <c r="AS1067" s="1" t="s">
        <v>199</v>
      </c>
      <c r="AT1067" s="1">
        <v>2.0</v>
      </c>
      <c r="AV1067" s="1" t="s">
        <v>200</v>
      </c>
      <c r="AW1067" s="1">
        <v>1644.6</v>
      </c>
      <c r="AX1067" s="1">
        <v>2012.0</v>
      </c>
      <c r="AZ1067" s="1" t="s">
        <v>200</v>
      </c>
      <c r="BA1067" s="1" t="str">
        <f>"20364110070000"</f>
        <v>20364110070000</v>
      </c>
      <c r="BC1067" s="1">
        <v>1400.0</v>
      </c>
      <c r="BD1067" s="1">
        <v>174900.0</v>
      </c>
      <c r="BE1067" s="2">
        <v>41806.0</v>
      </c>
      <c r="BF1067" s="2" t="s">
        <v>11791</v>
      </c>
      <c r="BH1067" s="1">
        <v>0.0</v>
      </c>
      <c r="BK1067" s="1" t="s">
        <v>204</v>
      </c>
      <c r="BL1067" s="1" t="str">
        <f>"0"</f>
        <v>0</v>
      </c>
      <c r="BM1067" s="1" t="str">
        <f>"2200"</f>
        <v>2200</v>
      </c>
      <c r="BN1067" s="1">
        <v>0.0</v>
      </c>
      <c r="BO1067" s="1">
        <v>8419.0</v>
      </c>
      <c r="BQ1067" s="1">
        <v>299.0</v>
      </c>
      <c r="BR1067" s="1">
        <v>299.0</v>
      </c>
      <c r="BS1067" s="1">
        <v>299.0</v>
      </c>
      <c r="BU1067" s="1" t="s">
        <v>664</v>
      </c>
      <c r="BV1067" s="1" t="s">
        <v>206</v>
      </c>
      <c r="BW1067" s="1" t="s">
        <v>207</v>
      </c>
      <c r="BY1067" s="1" t="s">
        <v>2120</v>
      </c>
      <c r="BZ1067" s="1" t="s">
        <v>209</v>
      </c>
      <c r="CA1067" s="1" t="s">
        <v>210</v>
      </c>
      <c r="CC1067" s="1" t="s">
        <v>215</v>
      </c>
      <c r="CD1067" s="1" t="s">
        <v>206</v>
      </c>
      <c r="CE1067" s="1" t="s">
        <v>207</v>
      </c>
      <c r="CG1067" s="1" t="s">
        <v>205</v>
      </c>
      <c r="CH1067" s="1" t="s">
        <v>209</v>
      </c>
      <c r="CI1067" s="1" t="s">
        <v>210</v>
      </c>
      <c r="CK1067" s="1" t="s">
        <v>647</v>
      </c>
      <c r="CL1067" s="1" t="s">
        <v>206</v>
      </c>
      <c r="CM1067" s="1" t="s">
        <v>207</v>
      </c>
      <c r="CO1067" s="1" t="s">
        <v>212</v>
      </c>
      <c r="CP1067" s="1" t="s">
        <v>42</v>
      </c>
      <c r="CQ1067" s="1" t="s">
        <v>268</v>
      </c>
      <c r="CS1067" s="1" t="s">
        <v>264</v>
      </c>
      <c r="CT1067" s="1" t="s">
        <v>206</v>
      </c>
      <c r="CU1067" s="1" t="s">
        <v>207</v>
      </c>
      <c r="CW1067" s="1" t="s">
        <v>3817</v>
      </c>
      <c r="CX1067" s="1" t="s">
        <v>42</v>
      </c>
      <c r="CY1067" s="1" t="s">
        <v>268</v>
      </c>
      <c r="DA1067" s="1" t="s">
        <v>200</v>
      </c>
      <c r="DC1067" s="1" t="s">
        <v>1399</v>
      </c>
      <c r="DE1067" s="1" t="s">
        <v>273</v>
      </c>
      <c r="DF1067" s="1" t="s">
        <v>219</v>
      </c>
      <c r="DH1067" s="1" t="s">
        <v>220</v>
      </c>
      <c r="DI1067" s="1" t="s">
        <v>366</v>
      </c>
      <c r="DJ1067" s="1" t="s">
        <v>222</v>
      </c>
      <c r="DL1067" s="1" t="s">
        <v>224</v>
      </c>
      <c r="DM1067" s="1" t="s">
        <v>229</v>
      </c>
      <c r="DQ1067" s="1" t="s">
        <v>228</v>
      </c>
      <c r="DR1067" s="1" t="s">
        <v>229</v>
      </c>
      <c r="DS1067" s="1" t="s">
        <v>230</v>
      </c>
      <c r="DV1067" s="1" t="s">
        <v>232</v>
      </c>
      <c r="DW1067" s="1" t="s">
        <v>279</v>
      </c>
      <c r="DX1067" s="1" t="s">
        <v>234</v>
      </c>
      <c r="DY1067" s="1" t="s">
        <v>553</v>
      </c>
      <c r="EA1067" s="1" t="s">
        <v>1075</v>
      </c>
      <c r="EC1067" s="1" t="s">
        <v>645</v>
      </c>
      <c r="EM1067" s="1" t="s">
        <v>238</v>
      </c>
      <c r="EQ1067" s="1" t="s">
        <v>238</v>
      </c>
      <c r="EU1067" s="1" t="s">
        <v>238</v>
      </c>
      <c r="EY1067" s="1" t="s">
        <v>238</v>
      </c>
      <c r="FC1067" s="1" t="s">
        <v>238</v>
      </c>
      <c r="FF1067" s="1" t="s">
        <v>239</v>
      </c>
      <c r="FG1067" s="1" t="s">
        <v>192</v>
      </c>
      <c r="FH1067" s="1" t="s">
        <v>192</v>
      </c>
      <c r="FJ1067" s="1" t="s">
        <v>1280</v>
      </c>
      <c r="FK1067" s="1" t="s">
        <v>557</v>
      </c>
      <c r="FL1067" s="1" t="s">
        <v>649</v>
      </c>
      <c r="FM1067" s="1">
        <v>60296.0</v>
      </c>
      <c r="FN1067" s="1" t="s">
        <v>650</v>
      </c>
      <c r="FO1067" s="1" t="s">
        <v>651</v>
      </c>
      <c r="FP1067" s="1">
        <v>602837.0</v>
      </c>
      <c r="FQ1067" s="1" t="s">
        <v>652</v>
      </c>
      <c r="FR1067" s="1">
        <v>602442.0</v>
      </c>
      <c r="FU1067" s="1" t="s">
        <v>11342</v>
      </c>
      <c r="FV1067" s="1" t="s">
        <v>200</v>
      </c>
      <c r="FW1067" s="1" t="s">
        <v>530</v>
      </c>
      <c r="FX1067" s="1" t="s">
        <v>655</v>
      </c>
      <c r="FZ1067" s="1" t="s">
        <v>229</v>
      </c>
      <c r="GA1067" s="1" t="s">
        <v>291</v>
      </c>
      <c r="GB1067" s="2">
        <v>42034.0</v>
      </c>
      <c r="GC1067" s="1" t="s">
        <v>11792</v>
      </c>
    </row>
    <row r="1068">
      <c r="A1068" s="1">
        <v>408500.0</v>
      </c>
      <c r="B1068" s="1" t="s">
        <v>185</v>
      </c>
      <c r="C1068" s="1" t="str">
        <f>"08652209"</f>
        <v>08652209</v>
      </c>
      <c r="D1068" s="1" t="s">
        <v>186</v>
      </c>
      <c r="F1068" s="1" t="str">
        <f>"510"</f>
        <v>510</v>
      </c>
      <c r="G1068" s="2">
        <v>41812.0</v>
      </c>
      <c r="H1068" s="1">
        <v>465000.0</v>
      </c>
      <c r="I1068" s="1">
        <v>171.0</v>
      </c>
      <c r="J1068" s="1">
        <v>439900.0</v>
      </c>
      <c r="K1068" s="2">
        <v>41981.0</v>
      </c>
      <c r="L1068" s="1">
        <v>171.0</v>
      </c>
      <c r="M1068" s="2">
        <v>41981.0</v>
      </c>
      <c r="N1068" s="1" t="s">
        <v>187</v>
      </c>
      <c r="O1068" s="2">
        <v>42033.0</v>
      </c>
      <c r="P1068" s="1">
        <v>921.0</v>
      </c>
      <c r="Q1068" s="1">
        <v>383.0</v>
      </c>
      <c r="S1068" s="1" t="s">
        <v>11793</v>
      </c>
      <c r="T1068" s="1" t="s">
        <v>11794</v>
      </c>
      <c r="U1068" s="1" t="s">
        <v>464</v>
      </c>
      <c r="V1068" s="1" t="s">
        <v>2700</v>
      </c>
      <c r="W1068" s="1">
        <v>60510.0</v>
      </c>
      <c r="Y1068" s="1" t="s">
        <v>11795</v>
      </c>
      <c r="Z1068" s="1">
        <v>1978.0</v>
      </c>
      <c r="AA1068" s="1" t="s">
        <v>200</v>
      </c>
      <c r="AB1068" s="1" t="s">
        <v>193</v>
      </c>
      <c r="AD1068" s="1" t="s">
        <v>2702</v>
      </c>
      <c r="AE1068" s="1" t="s">
        <v>325</v>
      </c>
      <c r="AF1068" s="1" t="s">
        <v>2702</v>
      </c>
      <c r="AH1068" s="1" t="s">
        <v>11796</v>
      </c>
      <c r="AI1068" s="1">
        <v>1.3287</v>
      </c>
      <c r="AK1068" s="1">
        <v>9.0</v>
      </c>
      <c r="AL1068" s="1">
        <v>4.0</v>
      </c>
      <c r="AM1068" s="1">
        <v>2.0</v>
      </c>
      <c r="AN1068" s="1">
        <v>1.0</v>
      </c>
      <c r="AO1068" s="1" t="s">
        <v>198</v>
      </c>
      <c r="AQ1068" s="1" t="s">
        <v>198</v>
      </c>
      <c r="AR1068" s="1" t="s">
        <v>200</v>
      </c>
      <c r="AS1068" s="1" t="s">
        <v>199</v>
      </c>
      <c r="AT1068" s="1">
        <v>3.0</v>
      </c>
      <c r="AV1068" s="1" t="s">
        <v>200</v>
      </c>
      <c r="AW1068" s="1">
        <v>11277.52</v>
      </c>
      <c r="AX1068" s="1">
        <v>2012.0</v>
      </c>
      <c r="AY1068" s="1" t="s">
        <v>387</v>
      </c>
      <c r="AZ1068" s="1" t="s">
        <v>200</v>
      </c>
      <c r="BA1068" s="1" t="str">
        <f>"1229300028"</f>
        <v>1229300028</v>
      </c>
      <c r="BC1068" s="1">
        <v>2800.0</v>
      </c>
      <c r="BD1068" s="1">
        <v>408500.0</v>
      </c>
      <c r="BE1068" s="2">
        <v>41811.0</v>
      </c>
      <c r="BF1068" s="2" t="s">
        <v>11797</v>
      </c>
      <c r="BH1068" s="1">
        <v>0.0</v>
      </c>
      <c r="BK1068" s="1" t="s">
        <v>204</v>
      </c>
      <c r="BL1068" s="1" t="str">
        <f t="shared" ref="BL1068:BM1068" si="711">""</f>
        <v/>
      </c>
      <c r="BM1068" s="1" t="str">
        <f t="shared" si="711"/>
        <v/>
      </c>
      <c r="BQ1068" s="1">
        <v>101.0</v>
      </c>
      <c r="BR1068" s="1">
        <v>101.0</v>
      </c>
      <c r="BS1068" s="1">
        <v>101.0</v>
      </c>
      <c r="BU1068" s="1" t="s">
        <v>208</v>
      </c>
      <c r="BV1068" s="1" t="s">
        <v>206</v>
      </c>
      <c r="BW1068" s="1" t="s">
        <v>301</v>
      </c>
      <c r="BY1068" s="1" t="s">
        <v>333</v>
      </c>
      <c r="BZ1068" s="1" t="s">
        <v>209</v>
      </c>
      <c r="CA1068" s="1" t="s">
        <v>301</v>
      </c>
      <c r="CC1068" s="1" t="s">
        <v>329</v>
      </c>
      <c r="CD1068" s="1" t="s">
        <v>206</v>
      </c>
      <c r="CE1068" s="1" t="s">
        <v>301</v>
      </c>
      <c r="CG1068" s="1" t="s">
        <v>329</v>
      </c>
      <c r="CH1068" s="1" t="s">
        <v>209</v>
      </c>
      <c r="CI1068" s="1" t="s">
        <v>210</v>
      </c>
      <c r="CK1068" s="1" t="s">
        <v>215</v>
      </c>
      <c r="CL1068" s="1" t="s">
        <v>209</v>
      </c>
      <c r="CM1068" s="1" t="s">
        <v>210</v>
      </c>
      <c r="CO1068" s="1" t="s">
        <v>495</v>
      </c>
      <c r="CP1068" s="1" t="s">
        <v>209</v>
      </c>
      <c r="CQ1068" s="1" t="s">
        <v>210</v>
      </c>
      <c r="CS1068" s="1" t="s">
        <v>333</v>
      </c>
      <c r="CT1068" s="1" t="s">
        <v>206</v>
      </c>
      <c r="CU1068" s="1" t="s">
        <v>268</v>
      </c>
      <c r="CW1068" s="1" t="s">
        <v>782</v>
      </c>
      <c r="CX1068" s="1" t="s">
        <v>206</v>
      </c>
      <c r="CY1068" s="1" t="s">
        <v>268</v>
      </c>
      <c r="DA1068" s="1" t="s">
        <v>200</v>
      </c>
      <c r="DC1068" s="1" t="s">
        <v>395</v>
      </c>
      <c r="DD1068" s="1" t="s">
        <v>1838</v>
      </c>
      <c r="DE1068" s="1" t="s">
        <v>273</v>
      </c>
      <c r="DF1068" s="1" t="s">
        <v>219</v>
      </c>
      <c r="DH1068" s="1" t="s">
        <v>856</v>
      </c>
      <c r="DI1068" s="1" t="s">
        <v>6881</v>
      </c>
      <c r="DJ1068" s="1" t="s">
        <v>857</v>
      </c>
      <c r="DL1068" s="1" t="s">
        <v>858</v>
      </c>
      <c r="DM1068" s="1" t="s">
        <v>229</v>
      </c>
      <c r="DO1068" s="1" t="s">
        <v>761</v>
      </c>
      <c r="DP1068" s="1" t="s">
        <v>276</v>
      </c>
      <c r="DQ1068" s="1" t="s">
        <v>931</v>
      </c>
      <c r="DR1068" s="1" t="s">
        <v>229</v>
      </c>
      <c r="DV1068" s="1" t="s">
        <v>1729</v>
      </c>
      <c r="DW1068" s="1" t="s">
        <v>370</v>
      </c>
      <c r="DX1068" s="1" t="s">
        <v>234</v>
      </c>
      <c r="DY1068" s="1" t="s">
        <v>11798</v>
      </c>
      <c r="DZ1068" s="1" t="s">
        <v>11799</v>
      </c>
      <c r="EA1068" s="1" t="s">
        <v>447</v>
      </c>
      <c r="EC1068" s="1" t="s">
        <v>237</v>
      </c>
      <c r="ED1068" s="1" t="s">
        <v>407</v>
      </c>
      <c r="EG1068" s="1" t="s">
        <v>1729</v>
      </c>
      <c r="EL1068" s="1" t="s">
        <v>393</v>
      </c>
      <c r="EM1068" s="1" t="s">
        <v>206</v>
      </c>
      <c r="EN1068" s="1" t="s">
        <v>268</v>
      </c>
      <c r="EQ1068" s="1" t="s">
        <v>238</v>
      </c>
      <c r="EU1068" s="1" t="s">
        <v>238</v>
      </c>
      <c r="EY1068" s="1" t="s">
        <v>238</v>
      </c>
      <c r="FC1068" s="1" t="s">
        <v>238</v>
      </c>
      <c r="FF1068" s="1" t="s">
        <v>239</v>
      </c>
      <c r="FG1068" s="1" t="s">
        <v>192</v>
      </c>
      <c r="FH1068" s="1" t="s">
        <v>192</v>
      </c>
      <c r="FJ1068" s="1" t="s">
        <v>2206</v>
      </c>
      <c r="FK1068" s="1" t="s">
        <v>229</v>
      </c>
      <c r="FL1068" s="1" t="s">
        <v>11800</v>
      </c>
      <c r="FM1068" s="1">
        <v>25769.0</v>
      </c>
      <c r="FN1068" s="1" t="s">
        <v>11801</v>
      </c>
      <c r="FO1068" s="1" t="s">
        <v>11802</v>
      </c>
      <c r="FP1068" s="1">
        <v>242768.0</v>
      </c>
      <c r="FQ1068" s="1" t="s">
        <v>11803</v>
      </c>
      <c r="FR1068" s="1">
        <v>242608.0</v>
      </c>
      <c r="FU1068" s="1" t="s">
        <v>11804</v>
      </c>
      <c r="FV1068" s="1" t="s">
        <v>200</v>
      </c>
      <c r="FW1068" s="1" t="s">
        <v>290</v>
      </c>
      <c r="FZ1068" s="1" t="s">
        <v>229</v>
      </c>
      <c r="GA1068" s="1" t="s">
        <v>291</v>
      </c>
      <c r="GB1068" s="2">
        <v>42034.0</v>
      </c>
      <c r="GC1068" s="1" t="s">
        <v>11805</v>
      </c>
    </row>
    <row r="1069">
      <c r="A1069" s="1">
        <v>30110.0</v>
      </c>
      <c r="B1069" s="1" t="s">
        <v>185</v>
      </c>
      <c r="C1069" s="1" t="str">
        <f>"08641649"</f>
        <v>08641649</v>
      </c>
      <c r="D1069" s="1" t="s">
        <v>186</v>
      </c>
      <c r="F1069" s="1" t="str">
        <f>"8073"</f>
        <v>8073</v>
      </c>
      <c r="G1069" s="2">
        <v>41801.0</v>
      </c>
      <c r="H1069" s="1">
        <v>30000.0</v>
      </c>
      <c r="I1069" s="1">
        <v>199.0</v>
      </c>
      <c r="J1069" s="1">
        <v>30000.0</v>
      </c>
      <c r="K1069" s="2">
        <v>41999.0</v>
      </c>
      <c r="L1069" s="1">
        <v>199.0</v>
      </c>
      <c r="M1069" s="2">
        <v>41999.0</v>
      </c>
      <c r="N1069" s="1" t="s">
        <v>249</v>
      </c>
      <c r="O1069" s="2">
        <v>42041.0</v>
      </c>
      <c r="P1069" s="1">
        <v>602568.0</v>
      </c>
      <c r="Q1069" s="1">
        <v>60296.0</v>
      </c>
      <c r="S1069" s="1">
        <v>8930.0</v>
      </c>
      <c r="T1069" s="1" t="s">
        <v>2622</v>
      </c>
      <c r="U1069" s="1" t="s">
        <v>320</v>
      </c>
      <c r="V1069" s="1" t="s">
        <v>190</v>
      </c>
      <c r="W1069" s="1">
        <v>60620.0</v>
      </c>
      <c r="Y1069" s="1" t="s">
        <v>11806</v>
      </c>
      <c r="Z1069" s="1">
        <v>1924.0</v>
      </c>
      <c r="AA1069" s="1" t="s">
        <v>192</v>
      </c>
      <c r="AB1069" s="1" t="s">
        <v>193</v>
      </c>
      <c r="AD1069" s="1" t="s">
        <v>194</v>
      </c>
      <c r="AE1069" s="1" t="s">
        <v>195</v>
      </c>
      <c r="AF1069" s="1" t="s">
        <v>659</v>
      </c>
      <c r="AH1069" s="1">
        <v>3720.0</v>
      </c>
      <c r="AK1069" s="1">
        <v>7.0</v>
      </c>
      <c r="AL1069" s="1">
        <v>4.0</v>
      </c>
      <c r="AM1069" s="1">
        <v>1.0</v>
      </c>
      <c r="AN1069" s="1">
        <v>0.0</v>
      </c>
      <c r="AO1069" s="1" t="s">
        <v>229</v>
      </c>
      <c r="AQ1069" s="1" t="s">
        <v>198</v>
      </c>
      <c r="AR1069" s="1" t="s">
        <v>200</v>
      </c>
      <c r="AS1069" s="1" t="s">
        <v>199</v>
      </c>
      <c r="AT1069" s="1">
        <v>2.0</v>
      </c>
      <c r="AV1069" s="1" t="s">
        <v>200</v>
      </c>
      <c r="AW1069" s="1">
        <v>790.0</v>
      </c>
      <c r="AX1069" s="1">
        <v>2012.0</v>
      </c>
      <c r="AZ1069" s="1" t="s">
        <v>200</v>
      </c>
      <c r="BA1069" s="1" t="str">
        <f>"25051220220000"</f>
        <v>25051220220000</v>
      </c>
      <c r="BC1069" s="1">
        <v>801.0</v>
      </c>
      <c r="BD1069" s="1">
        <v>30110.0</v>
      </c>
      <c r="BE1069" s="2">
        <v>41801.0</v>
      </c>
      <c r="BF1069" s="1" t="s">
        <v>11807</v>
      </c>
      <c r="BH1069" s="1">
        <v>0.0</v>
      </c>
      <c r="BK1069" s="1" t="s">
        <v>204</v>
      </c>
      <c r="BL1069" s="1" t="str">
        <f t="shared" ref="BL1069:BM1069" si="712">"0"</f>
        <v>0</v>
      </c>
      <c r="BM1069" s="1" t="str">
        <f t="shared" si="712"/>
        <v>0</v>
      </c>
      <c r="BN1069" s="1">
        <v>1100.0</v>
      </c>
      <c r="BO1069" s="1">
        <v>8930.0</v>
      </c>
      <c r="BQ1069" s="1">
        <v>299.0</v>
      </c>
      <c r="BR1069" s="1">
        <v>299.0</v>
      </c>
      <c r="BS1069" s="1">
        <v>299.0</v>
      </c>
      <c r="BU1069" s="1" t="s">
        <v>332</v>
      </c>
      <c r="BV1069" s="1" t="s">
        <v>206</v>
      </c>
      <c r="BY1069" s="1" t="s">
        <v>392</v>
      </c>
      <c r="BZ1069" s="1" t="s">
        <v>206</v>
      </c>
      <c r="CC1069" s="1" t="s">
        <v>495</v>
      </c>
      <c r="CD1069" s="1" t="s">
        <v>206</v>
      </c>
      <c r="CG1069" s="1" t="s">
        <v>269</v>
      </c>
      <c r="CH1069" s="1" t="s">
        <v>206</v>
      </c>
      <c r="CK1069" s="1" t="s">
        <v>4403</v>
      </c>
      <c r="CL1069" s="1" t="s">
        <v>209</v>
      </c>
      <c r="CO1069" s="1" t="s">
        <v>269</v>
      </c>
      <c r="CP1069" s="1" t="s">
        <v>209</v>
      </c>
      <c r="CS1069" s="1" t="s">
        <v>265</v>
      </c>
      <c r="CT1069" s="1" t="s">
        <v>206</v>
      </c>
      <c r="CX1069" s="1" t="s">
        <v>204</v>
      </c>
      <c r="DA1069" s="1" t="s">
        <v>200</v>
      </c>
      <c r="DC1069" s="1" t="s">
        <v>785</v>
      </c>
      <c r="DE1069" s="1" t="s">
        <v>229</v>
      </c>
      <c r="DF1069" s="1" t="s">
        <v>219</v>
      </c>
      <c r="DH1069" s="1" t="s">
        <v>220</v>
      </c>
      <c r="DJ1069" s="1" t="s">
        <v>222</v>
      </c>
      <c r="DL1069" s="1" t="s">
        <v>224</v>
      </c>
      <c r="DM1069" s="1" t="s">
        <v>229</v>
      </c>
      <c r="DQ1069" s="1" t="s">
        <v>228</v>
      </c>
      <c r="DR1069" s="1" t="s">
        <v>229</v>
      </c>
      <c r="DV1069" s="1" t="s">
        <v>232</v>
      </c>
      <c r="DW1069" s="1" t="s">
        <v>279</v>
      </c>
      <c r="DX1069" s="1" t="s">
        <v>234</v>
      </c>
      <c r="EC1069" s="1" t="s">
        <v>685</v>
      </c>
      <c r="EM1069" s="1" t="s">
        <v>238</v>
      </c>
      <c r="EQ1069" s="1" t="s">
        <v>238</v>
      </c>
      <c r="EU1069" s="1" t="s">
        <v>238</v>
      </c>
      <c r="EY1069" s="1" t="s">
        <v>238</v>
      </c>
      <c r="FC1069" s="1" t="s">
        <v>238</v>
      </c>
      <c r="FF1069" s="1" t="s">
        <v>239</v>
      </c>
      <c r="FG1069" s="1" t="s">
        <v>192</v>
      </c>
      <c r="FH1069" s="1" t="s">
        <v>192</v>
      </c>
      <c r="FJ1069" s="1" t="s">
        <v>2156</v>
      </c>
      <c r="FK1069" s="1" t="s">
        <v>229</v>
      </c>
      <c r="FL1069" s="1" t="s">
        <v>10766</v>
      </c>
      <c r="FM1069" s="1">
        <v>13909.0</v>
      </c>
      <c r="FN1069" s="1" t="s">
        <v>10767</v>
      </c>
      <c r="FO1069" s="1" t="s">
        <v>10768</v>
      </c>
      <c r="FP1069" s="1">
        <v>126761.0</v>
      </c>
      <c r="FQ1069" s="1" t="s">
        <v>10767</v>
      </c>
      <c r="FU1069" s="1" t="s">
        <v>11808</v>
      </c>
      <c r="FV1069" s="1" t="s">
        <v>200</v>
      </c>
      <c r="FW1069" s="1" t="s">
        <v>290</v>
      </c>
      <c r="FX1069" s="1" t="s">
        <v>655</v>
      </c>
      <c r="FZ1069" s="1" t="s">
        <v>229</v>
      </c>
      <c r="GA1069" s="1" t="s">
        <v>291</v>
      </c>
      <c r="GB1069" s="2">
        <v>42046.0</v>
      </c>
      <c r="GC1069" s="1" t="s">
        <v>11809</v>
      </c>
    </row>
    <row r="1070">
      <c r="A1070" s="1">
        <v>287500.0</v>
      </c>
      <c r="B1070" s="1" t="s">
        <v>185</v>
      </c>
      <c r="C1070" s="1" t="str">
        <f>"08643198"</f>
        <v>08643198</v>
      </c>
      <c r="D1070" s="1" t="s">
        <v>186</v>
      </c>
      <c r="F1070" s="1" t="str">
        <f>"134"</f>
        <v>134</v>
      </c>
      <c r="G1070" s="2">
        <v>41802.0</v>
      </c>
      <c r="H1070" s="1">
        <v>320000.0</v>
      </c>
      <c r="I1070" s="1">
        <v>151.0</v>
      </c>
      <c r="J1070" s="1">
        <v>295000.0</v>
      </c>
      <c r="K1070" s="2">
        <v>41952.0</v>
      </c>
      <c r="L1070" s="1">
        <v>151.0</v>
      </c>
      <c r="M1070" s="2">
        <v>41952.0</v>
      </c>
      <c r="N1070" s="1" t="s">
        <v>187</v>
      </c>
      <c r="O1070" s="2">
        <v>41978.0</v>
      </c>
      <c r="P1070" s="1">
        <v>702908.0</v>
      </c>
      <c r="Q1070" s="1">
        <v>79802.0</v>
      </c>
      <c r="S1070" s="1" t="s">
        <v>11810</v>
      </c>
      <c r="T1070" s="1" t="s">
        <v>11811</v>
      </c>
      <c r="U1070" s="1" t="s">
        <v>1174</v>
      </c>
      <c r="V1070" s="1" t="s">
        <v>421</v>
      </c>
      <c r="W1070" s="1">
        <v>60134.0</v>
      </c>
      <c r="Y1070" s="1" t="s">
        <v>11812</v>
      </c>
      <c r="Z1070" s="1">
        <v>1996.0</v>
      </c>
      <c r="AA1070" s="1" t="s">
        <v>200</v>
      </c>
      <c r="AB1070" s="1" t="s">
        <v>193</v>
      </c>
      <c r="AC1070" s="1" t="s">
        <v>7406</v>
      </c>
      <c r="AD1070" s="1" t="s">
        <v>1089</v>
      </c>
      <c r="AE1070" s="1" t="s">
        <v>325</v>
      </c>
      <c r="AF1070" s="1" t="s">
        <v>1479</v>
      </c>
      <c r="AH1070" s="1" t="s">
        <v>11813</v>
      </c>
      <c r="AK1070" s="1">
        <v>9.0</v>
      </c>
      <c r="AL1070" s="1">
        <v>3.0</v>
      </c>
      <c r="AM1070" s="1">
        <v>3.0</v>
      </c>
      <c r="AN1070" s="1">
        <v>1.0</v>
      </c>
      <c r="AO1070" s="1" t="s">
        <v>198</v>
      </c>
      <c r="AP1070" s="1">
        <v>1.0</v>
      </c>
      <c r="AQ1070" s="1" t="s">
        <v>198</v>
      </c>
      <c r="AR1070" s="1" t="s">
        <v>192</v>
      </c>
      <c r="AS1070" s="1" t="s">
        <v>199</v>
      </c>
      <c r="AT1070" s="1">
        <v>2.0</v>
      </c>
      <c r="AV1070" s="1" t="s">
        <v>200</v>
      </c>
      <c r="AW1070" s="1">
        <v>9073.0</v>
      </c>
      <c r="AX1070" s="1">
        <v>2013.0</v>
      </c>
      <c r="AZ1070" s="1" t="s">
        <v>200</v>
      </c>
      <c r="BA1070" s="1" t="str">
        <f>"1112330003"</f>
        <v>1112330003</v>
      </c>
      <c r="BC1070" s="1">
        <v>2416.0</v>
      </c>
      <c r="BD1070" s="1">
        <v>287500.0</v>
      </c>
      <c r="BE1070" s="2">
        <v>41802.0</v>
      </c>
      <c r="BF1070" s="1" t="s">
        <v>11814</v>
      </c>
      <c r="BG1070" s="1" t="s">
        <v>6713</v>
      </c>
      <c r="BH1070" s="1">
        <v>0.0</v>
      </c>
      <c r="BI1070" s="1" t="s">
        <v>429</v>
      </c>
      <c r="BJ1070" s="1" t="s">
        <v>430</v>
      </c>
      <c r="BK1070" s="1" t="s">
        <v>204</v>
      </c>
      <c r="BL1070" s="1" t="str">
        <f t="shared" ref="BL1070:BM1070" si="713">""</f>
        <v/>
      </c>
      <c r="BM1070" s="1" t="str">
        <f t="shared" si="713"/>
        <v/>
      </c>
      <c r="BQ1070" s="1">
        <v>304.0</v>
      </c>
      <c r="BR1070" s="1">
        <v>304.0</v>
      </c>
      <c r="BS1070" s="1">
        <v>304.0</v>
      </c>
      <c r="BU1070" s="1" t="s">
        <v>1483</v>
      </c>
      <c r="BV1070" s="1" t="s">
        <v>206</v>
      </c>
      <c r="BW1070" s="1" t="s">
        <v>210</v>
      </c>
      <c r="BX1070" s="1" t="s">
        <v>431</v>
      </c>
      <c r="BY1070" s="1" t="s">
        <v>639</v>
      </c>
      <c r="BZ1070" s="1" t="s">
        <v>209</v>
      </c>
      <c r="CA1070" s="1" t="s">
        <v>207</v>
      </c>
      <c r="CC1070" s="1" t="s">
        <v>264</v>
      </c>
      <c r="CD1070" s="1" t="s">
        <v>206</v>
      </c>
      <c r="CE1070" s="1" t="s">
        <v>207</v>
      </c>
      <c r="CF1070" s="1" t="s">
        <v>431</v>
      </c>
      <c r="CG1070" s="1" t="s">
        <v>264</v>
      </c>
      <c r="CH1070" s="1" t="s">
        <v>209</v>
      </c>
      <c r="CI1070" s="1" t="s">
        <v>210</v>
      </c>
      <c r="CK1070" s="1" t="s">
        <v>495</v>
      </c>
      <c r="CL1070" s="1" t="s">
        <v>209</v>
      </c>
      <c r="CM1070" s="1" t="s">
        <v>210</v>
      </c>
      <c r="CO1070" s="1" t="s">
        <v>269</v>
      </c>
      <c r="CP1070" s="1" t="s">
        <v>42</v>
      </c>
      <c r="CQ1070" s="1" t="s">
        <v>210</v>
      </c>
      <c r="CS1070" s="1" t="s">
        <v>664</v>
      </c>
      <c r="CT1070" s="1" t="s">
        <v>206</v>
      </c>
      <c r="CU1070" s="1" t="s">
        <v>207</v>
      </c>
      <c r="CW1070" s="1" t="s">
        <v>1001</v>
      </c>
      <c r="CX1070" s="1" t="s">
        <v>206</v>
      </c>
      <c r="CY1070" s="1" t="s">
        <v>210</v>
      </c>
      <c r="CZ1070" s="1" t="s">
        <v>431</v>
      </c>
      <c r="DA1070" s="1" t="s">
        <v>200</v>
      </c>
      <c r="DC1070" s="1" t="s">
        <v>678</v>
      </c>
      <c r="DD1070" s="1" t="s">
        <v>518</v>
      </c>
      <c r="DE1070" s="1" t="s">
        <v>273</v>
      </c>
      <c r="DF1070" s="1" t="s">
        <v>219</v>
      </c>
      <c r="DH1070" s="1" t="s">
        <v>220</v>
      </c>
      <c r="DJ1070" s="1" t="s">
        <v>222</v>
      </c>
      <c r="DL1070" s="1" t="s">
        <v>224</v>
      </c>
      <c r="DM1070" s="1" t="s">
        <v>3697</v>
      </c>
      <c r="DP1070" s="1" t="s">
        <v>340</v>
      </c>
      <c r="DQ1070" s="1" t="s">
        <v>228</v>
      </c>
      <c r="DR1070" s="1" t="s">
        <v>229</v>
      </c>
      <c r="DV1070" s="1" t="s">
        <v>341</v>
      </c>
      <c r="DW1070" s="1" t="s">
        <v>370</v>
      </c>
      <c r="DX1070" s="1" t="s">
        <v>234</v>
      </c>
      <c r="EA1070" s="1" t="s">
        <v>1027</v>
      </c>
      <c r="EC1070" s="1" t="s">
        <v>237</v>
      </c>
      <c r="EG1070" s="1" t="s">
        <v>341</v>
      </c>
      <c r="EL1070" s="1" t="s">
        <v>215</v>
      </c>
      <c r="EM1070" s="1" t="s">
        <v>209</v>
      </c>
      <c r="EN1070" s="1" t="s">
        <v>210</v>
      </c>
      <c r="EQ1070" s="1" t="s">
        <v>238</v>
      </c>
      <c r="EU1070" s="1" t="s">
        <v>238</v>
      </c>
      <c r="EY1070" s="1" t="s">
        <v>238</v>
      </c>
      <c r="FC1070" s="1" t="s">
        <v>238</v>
      </c>
      <c r="FF1070" s="1" t="s">
        <v>239</v>
      </c>
      <c r="FG1070" s="1" t="s">
        <v>192</v>
      </c>
      <c r="FH1070" s="1" t="s">
        <v>192</v>
      </c>
      <c r="FJ1070" s="1" t="s">
        <v>1573</v>
      </c>
      <c r="FK1070" s="1" t="s">
        <v>229</v>
      </c>
      <c r="FL1070" s="1" t="s">
        <v>7033</v>
      </c>
      <c r="FM1070" s="1">
        <v>226.0</v>
      </c>
      <c r="FN1070" s="1" t="s">
        <v>7034</v>
      </c>
      <c r="FO1070" s="1" t="s">
        <v>11815</v>
      </c>
      <c r="FP1070" s="1">
        <v>8747.0</v>
      </c>
      <c r="FQ1070" s="1" t="s">
        <v>11816</v>
      </c>
      <c r="FU1070" s="1" t="s">
        <v>11817</v>
      </c>
      <c r="FV1070" s="1" t="s">
        <v>200</v>
      </c>
      <c r="FW1070" s="1" t="s">
        <v>290</v>
      </c>
      <c r="FZ1070" s="1" t="s">
        <v>229</v>
      </c>
      <c r="GA1070" s="1" t="s">
        <v>291</v>
      </c>
      <c r="GB1070" s="2">
        <v>41978.0</v>
      </c>
      <c r="GC1070" s="1" t="s">
        <v>11818</v>
      </c>
    </row>
    <row r="1071">
      <c r="A1071" s="1">
        <v>250000.0</v>
      </c>
      <c r="B1071" s="1" t="s">
        <v>185</v>
      </c>
      <c r="C1071" s="1" t="str">
        <f>"08658062"</f>
        <v>08658062</v>
      </c>
      <c r="D1071" s="1" t="s">
        <v>186</v>
      </c>
      <c r="F1071" s="1" t="str">
        <f t="shared" ref="F1071:F1072" si="715">"178"</f>
        <v>178</v>
      </c>
      <c r="G1071" s="2">
        <v>41817.0</v>
      </c>
      <c r="H1071" s="1">
        <v>299900.0</v>
      </c>
      <c r="I1071" s="1">
        <v>270.0</v>
      </c>
      <c r="J1071" s="1">
        <v>259900.0</v>
      </c>
      <c r="K1071" s="2">
        <v>42086.0</v>
      </c>
      <c r="L1071" s="1">
        <v>270.0</v>
      </c>
      <c r="M1071" s="2">
        <v>42086.0</v>
      </c>
      <c r="N1071" s="1" t="s">
        <v>356</v>
      </c>
      <c r="O1071" s="2">
        <v>42128.0</v>
      </c>
      <c r="P1071" s="1">
        <v>932063.0</v>
      </c>
      <c r="Q1071" s="1">
        <v>93190.0</v>
      </c>
      <c r="S1071" s="1">
        <v>27510.0</v>
      </c>
      <c r="T1071" s="1" t="s">
        <v>11819</v>
      </c>
      <c r="U1071" s="1" t="s">
        <v>1174</v>
      </c>
      <c r="V1071" s="1" t="s">
        <v>994</v>
      </c>
      <c r="W1071" s="1">
        <v>60178.0</v>
      </c>
      <c r="Y1071" s="1" t="s">
        <v>11820</v>
      </c>
      <c r="Z1071" s="1">
        <v>1998.0</v>
      </c>
      <c r="AA1071" s="1" t="s">
        <v>200</v>
      </c>
      <c r="AB1071" s="1" t="s">
        <v>193</v>
      </c>
      <c r="AD1071" s="1" t="s">
        <v>997</v>
      </c>
      <c r="AE1071" s="1" t="s">
        <v>613</v>
      </c>
      <c r="AF1071" s="1" t="s">
        <v>997</v>
      </c>
      <c r="AH1071" s="1" t="s">
        <v>11821</v>
      </c>
      <c r="AI1071" s="1">
        <v>1.47</v>
      </c>
      <c r="AK1071" s="1">
        <v>8.0</v>
      </c>
      <c r="AL1071" s="1">
        <v>4.0</v>
      </c>
      <c r="AM1071" s="1">
        <v>2.0</v>
      </c>
      <c r="AN1071" s="1">
        <v>0.0</v>
      </c>
      <c r="AO1071" s="1" t="s">
        <v>198</v>
      </c>
      <c r="AP1071" s="1">
        <v>1.0</v>
      </c>
      <c r="AQ1071" s="1" t="s">
        <v>198</v>
      </c>
      <c r="AR1071" s="1" t="s">
        <v>200</v>
      </c>
      <c r="AS1071" s="1" t="s">
        <v>199</v>
      </c>
      <c r="AT1071" s="1">
        <v>2.0</v>
      </c>
      <c r="AV1071" s="1" t="s">
        <v>200</v>
      </c>
      <c r="AW1071" s="1">
        <v>6922.18</v>
      </c>
      <c r="AX1071" s="1">
        <v>2013.0</v>
      </c>
      <c r="AY1071" s="1" t="s">
        <v>387</v>
      </c>
      <c r="AZ1071" s="1" t="s">
        <v>200</v>
      </c>
      <c r="BA1071" s="1" t="str">
        <f>"0614207006"</f>
        <v>0614207006</v>
      </c>
      <c r="BB1071" s="1" t="s">
        <v>200</v>
      </c>
      <c r="BC1071" s="1">
        <v>2100.0</v>
      </c>
      <c r="BD1071" s="1">
        <v>250000.0</v>
      </c>
      <c r="BE1071" s="2">
        <v>41817.0</v>
      </c>
      <c r="BF1071" s="2" t="s">
        <v>11822</v>
      </c>
      <c r="BH1071" s="1">
        <v>0.0</v>
      </c>
      <c r="BK1071" s="1" t="s">
        <v>204</v>
      </c>
      <c r="BL1071" s="1" t="str">
        <f t="shared" ref="BL1071:BM1071" si="714">""</f>
        <v/>
      </c>
      <c r="BM1071" s="1" t="str">
        <f t="shared" si="714"/>
        <v/>
      </c>
      <c r="BQ1071" s="1">
        <v>427.0</v>
      </c>
      <c r="BR1071" s="1">
        <v>427.0</v>
      </c>
      <c r="BS1071" s="1">
        <v>427.0</v>
      </c>
      <c r="BU1071" s="1" t="s">
        <v>453</v>
      </c>
      <c r="BV1071" s="1" t="s">
        <v>206</v>
      </c>
      <c r="BW1071" s="1" t="s">
        <v>207</v>
      </c>
      <c r="BY1071" s="1" t="s">
        <v>616</v>
      </c>
      <c r="BZ1071" s="1" t="s">
        <v>206</v>
      </c>
      <c r="CA1071" s="1" t="s">
        <v>210</v>
      </c>
      <c r="CC1071" s="1" t="s">
        <v>616</v>
      </c>
      <c r="CD1071" s="1" t="s">
        <v>206</v>
      </c>
      <c r="CE1071" s="1" t="s">
        <v>207</v>
      </c>
      <c r="CG1071" s="1" t="s">
        <v>215</v>
      </c>
      <c r="CH1071" s="1" t="s">
        <v>206</v>
      </c>
      <c r="CI1071" s="1" t="s">
        <v>210</v>
      </c>
      <c r="CK1071" s="1" t="s">
        <v>393</v>
      </c>
      <c r="CL1071" s="1" t="s">
        <v>206</v>
      </c>
      <c r="CM1071" s="1" t="s">
        <v>210</v>
      </c>
      <c r="CO1071" s="1" t="s">
        <v>215</v>
      </c>
      <c r="CP1071" s="1" t="s">
        <v>206</v>
      </c>
      <c r="CQ1071" s="1" t="s">
        <v>210</v>
      </c>
      <c r="CS1071" s="1" t="s">
        <v>584</v>
      </c>
      <c r="CT1071" s="1" t="s">
        <v>206</v>
      </c>
      <c r="CU1071" s="1" t="s">
        <v>268</v>
      </c>
      <c r="CX1071" s="1" t="s">
        <v>204</v>
      </c>
      <c r="DA1071" s="1" t="s">
        <v>200</v>
      </c>
      <c r="DC1071" s="1" t="s">
        <v>678</v>
      </c>
      <c r="DE1071" s="1" t="s">
        <v>273</v>
      </c>
      <c r="DF1071" s="1" t="s">
        <v>11823</v>
      </c>
      <c r="DH1071" s="1" t="s">
        <v>856</v>
      </c>
      <c r="DI1071" s="1" t="s">
        <v>308</v>
      </c>
      <c r="DJ1071" s="1" t="s">
        <v>857</v>
      </c>
      <c r="DL1071" s="1" t="s">
        <v>223</v>
      </c>
      <c r="DM1071" s="1" t="s">
        <v>338</v>
      </c>
      <c r="DN1071" s="1" t="s">
        <v>399</v>
      </c>
      <c r="DO1071" s="1" t="s">
        <v>2297</v>
      </c>
      <c r="DP1071" s="1" t="s">
        <v>340</v>
      </c>
      <c r="DQ1071" s="1" t="s">
        <v>931</v>
      </c>
      <c r="DR1071" s="1" t="s">
        <v>229</v>
      </c>
      <c r="DS1071" s="1" t="s">
        <v>230</v>
      </c>
      <c r="DV1071" s="1" t="s">
        <v>556</v>
      </c>
      <c r="DW1071" s="1" t="s">
        <v>1957</v>
      </c>
      <c r="DX1071" s="1" t="s">
        <v>234</v>
      </c>
      <c r="DY1071" s="1" t="s">
        <v>2423</v>
      </c>
      <c r="DZ1071" s="1" t="s">
        <v>8913</v>
      </c>
      <c r="EA1071" s="1" t="s">
        <v>683</v>
      </c>
      <c r="EB1071" s="1" t="s">
        <v>863</v>
      </c>
      <c r="EC1071" s="1" t="s">
        <v>685</v>
      </c>
      <c r="ED1071" s="1" t="s">
        <v>407</v>
      </c>
      <c r="EG1071" s="1" t="s">
        <v>556</v>
      </c>
      <c r="EL1071" s="1" t="s">
        <v>495</v>
      </c>
      <c r="EM1071" s="1" t="s">
        <v>206</v>
      </c>
      <c r="EN1071" s="1" t="s">
        <v>268</v>
      </c>
      <c r="EQ1071" s="1" t="s">
        <v>238</v>
      </c>
      <c r="EU1071" s="1" t="s">
        <v>238</v>
      </c>
      <c r="EY1071" s="1" t="s">
        <v>238</v>
      </c>
      <c r="FC1071" s="1" t="s">
        <v>238</v>
      </c>
      <c r="FF1071" s="1" t="s">
        <v>239</v>
      </c>
      <c r="FG1071" s="1" t="s">
        <v>192</v>
      </c>
      <c r="FH1071" s="1" t="s">
        <v>192</v>
      </c>
      <c r="FJ1071" s="1" t="s">
        <v>11824</v>
      </c>
      <c r="FK1071" s="1" t="s">
        <v>229</v>
      </c>
      <c r="FL1071" s="1" t="s">
        <v>5572</v>
      </c>
      <c r="FM1071" s="1">
        <v>24811.0</v>
      </c>
      <c r="FN1071" s="1" t="s">
        <v>5573</v>
      </c>
      <c r="FO1071" s="1" t="s">
        <v>5574</v>
      </c>
      <c r="FP1071" s="1">
        <v>237447.0</v>
      </c>
      <c r="FR1071" s="1">
        <v>237457.0</v>
      </c>
      <c r="FU1071" s="1" t="s">
        <v>11825</v>
      </c>
      <c r="FV1071" s="1" t="s">
        <v>200</v>
      </c>
      <c r="FW1071" s="1" t="s">
        <v>290</v>
      </c>
      <c r="FZ1071" s="1" t="s">
        <v>2993</v>
      </c>
      <c r="GA1071" s="1" t="s">
        <v>291</v>
      </c>
      <c r="GB1071" s="2">
        <v>42128.0</v>
      </c>
      <c r="GC1071" s="1" t="s">
        <v>11826</v>
      </c>
    </row>
    <row r="1072">
      <c r="A1072" s="1">
        <v>195000.0</v>
      </c>
      <c r="B1072" s="1" t="s">
        <v>185</v>
      </c>
      <c r="C1072" s="1" t="str">
        <f>"08644754"</f>
        <v>08644754</v>
      </c>
      <c r="D1072" s="1" t="s">
        <v>186</v>
      </c>
      <c r="F1072" s="1" t="str">
        <f t="shared" si="715"/>
        <v>178</v>
      </c>
      <c r="G1072" s="2">
        <v>41803.0</v>
      </c>
      <c r="H1072" s="1">
        <v>164900.0</v>
      </c>
      <c r="I1072" s="1">
        <v>2.0</v>
      </c>
      <c r="J1072" s="1">
        <v>164900.0</v>
      </c>
      <c r="K1072" s="2">
        <v>41804.0</v>
      </c>
      <c r="L1072" s="1">
        <v>2.0</v>
      </c>
      <c r="M1072" s="2">
        <v>41804.0</v>
      </c>
      <c r="N1072" s="1" t="s">
        <v>187</v>
      </c>
      <c r="O1072" s="2">
        <v>41996.0</v>
      </c>
      <c r="P1072" s="1">
        <v>131.0</v>
      </c>
      <c r="Q1072" s="1">
        <v>604.0</v>
      </c>
      <c r="S1072" s="1">
        <v>1135.0</v>
      </c>
      <c r="T1072" s="1" t="s">
        <v>11827</v>
      </c>
      <c r="U1072" s="1" t="s">
        <v>320</v>
      </c>
      <c r="V1072" s="1" t="s">
        <v>994</v>
      </c>
      <c r="W1072" s="1">
        <v>60178.0</v>
      </c>
      <c r="Y1072" s="1" t="s">
        <v>11828</v>
      </c>
      <c r="Z1072" s="1" t="s">
        <v>296</v>
      </c>
      <c r="AA1072" s="1" t="s">
        <v>200</v>
      </c>
      <c r="AB1072" s="1" t="s">
        <v>193</v>
      </c>
      <c r="AD1072" s="1" t="s">
        <v>997</v>
      </c>
      <c r="AE1072" s="1" t="s">
        <v>613</v>
      </c>
      <c r="AF1072" s="1" t="s">
        <v>997</v>
      </c>
      <c r="AH1072" s="1" t="s">
        <v>11829</v>
      </c>
      <c r="AI1072" s="1">
        <v>0.21</v>
      </c>
      <c r="AK1072" s="1">
        <v>7.0</v>
      </c>
      <c r="AL1072" s="1">
        <v>4.0</v>
      </c>
      <c r="AM1072" s="1">
        <v>2.0</v>
      </c>
      <c r="AN1072" s="1">
        <v>1.0</v>
      </c>
      <c r="AO1072" s="1" t="s">
        <v>198</v>
      </c>
      <c r="AP1072" s="1">
        <v>1.0</v>
      </c>
      <c r="AQ1072" s="1" t="s">
        <v>198</v>
      </c>
      <c r="AR1072" s="1" t="s">
        <v>200</v>
      </c>
      <c r="AS1072" s="1" t="s">
        <v>199</v>
      </c>
      <c r="AT1072" s="1">
        <v>3.0</v>
      </c>
      <c r="AV1072" s="1" t="s">
        <v>200</v>
      </c>
      <c r="AW1072" s="1">
        <v>6555.34</v>
      </c>
      <c r="AX1072" s="1">
        <v>2013.0</v>
      </c>
      <c r="AY1072" s="1" t="s">
        <v>1179</v>
      </c>
      <c r="AZ1072" s="1" t="s">
        <v>200</v>
      </c>
      <c r="BA1072" s="1" t="str">
        <f>"0628329048"</f>
        <v>0628329048</v>
      </c>
      <c r="BC1072" s="1">
        <v>2300.0</v>
      </c>
      <c r="BD1072" s="1">
        <v>195000.0</v>
      </c>
      <c r="BE1072" s="2">
        <v>41803.0</v>
      </c>
      <c r="BF1072" s="1" t="s">
        <v>11830</v>
      </c>
      <c r="BH1072" s="1">
        <v>0.0</v>
      </c>
      <c r="BK1072" s="1" t="s">
        <v>204</v>
      </c>
      <c r="BL1072" s="1" t="str">
        <f t="shared" ref="BL1072:BM1072" si="716">""</f>
        <v/>
      </c>
      <c r="BM1072" s="1" t="str">
        <f t="shared" si="716"/>
        <v/>
      </c>
      <c r="BQ1072" s="1">
        <v>427.0</v>
      </c>
      <c r="BR1072" s="1">
        <v>427.0</v>
      </c>
      <c r="BS1072" s="1">
        <v>427.0</v>
      </c>
      <c r="BV1072" s="1" t="s">
        <v>204</v>
      </c>
      <c r="BY1072" s="1" t="s">
        <v>454</v>
      </c>
      <c r="BZ1072" s="1" t="s">
        <v>206</v>
      </c>
      <c r="CC1072" s="1" t="s">
        <v>663</v>
      </c>
      <c r="CD1072" s="1" t="s">
        <v>206</v>
      </c>
      <c r="CE1072" s="1" t="s">
        <v>207</v>
      </c>
      <c r="CG1072" s="1" t="s">
        <v>363</v>
      </c>
      <c r="CH1072" s="1" t="s">
        <v>206</v>
      </c>
      <c r="CK1072" s="1" t="s">
        <v>363</v>
      </c>
      <c r="CL1072" s="1" t="s">
        <v>206</v>
      </c>
      <c r="CO1072" s="1" t="s">
        <v>303</v>
      </c>
      <c r="CP1072" s="1" t="s">
        <v>206</v>
      </c>
      <c r="CS1072" s="1" t="s">
        <v>454</v>
      </c>
      <c r="CT1072" s="1" t="s">
        <v>206</v>
      </c>
      <c r="CU1072" s="1" t="s">
        <v>207</v>
      </c>
      <c r="CW1072" s="1" t="s">
        <v>1600</v>
      </c>
      <c r="CX1072" s="1" t="s">
        <v>206</v>
      </c>
      <c r="CY1072" s="1" t="s">
        <v>210</v>
      </c>
      <c r="DA1072" s="1" t="s">
        <v>200</v>
      </c>
      <c r="DC1072" s="1" t="s">
        <v>481</v>
      </c>
      <c r="DE1072" s="1" t="s">
        <v>273</v>
      </c>
      <c r="DF1072" s="1" t="s">
        <v>619</v>
      </c>
      <c r="DH1072" s="1" t="s">
        <v>220</v>
      </c>
      <c r="DJ1072" s="1" t="s">
        <v>222</v>
      </c>
      <c r="DL1072" s="1" t="s">
        <v>223</v>
      </c>
      <c r="DM1072" s="1" t="s">
        <v>229</v>
      </c>
      <c r="DQ1072" s="1" t="s">
        <v>228</v>
      </c>
      <c r="DR1072" s="1" t="s">
        <v>229</v>
      </c>
      <c r="DV1072" s="1" t="s">
        <v>588</v>
      </c>
      <c r="DW1072" s="1" t="s">
        <v>444</v>
      </c>
      <c r="DX1072" s="1" t="s">
        <v>309</v>
      </c>
      <c r="EC1072" s="1" t="s">
        <v>685</v>
      </c>
      <c r="EG1072" s="1" t="s">
        <v>588</v>
      </c>
      <c r="EL1072" s="1" t="s">
        <v>393</v>
      </c>
      <c r="EM1072" s="1" t="s">
        <v>206</v>
      </c>
      <c r="EQ1072" s="1" t="s">
        <v>238</v>
      </c>
      <c r="EU1072" s="1" t="s">
        <v>238</v>
      </c>
      <c r="EY1072" s="1" t="s">
        <v>238</v>
      </c>
      <c r="FC1072" s="1" t="s">
        <v>238</v>
      </c>
      <c r="FF1072" s="1" t="s">
        <v>239</v>
      </c>
      <c r="FG1072" s="1" t="s">
        <v>200</v>
      </c>
      <c r="FH1072" s="1" t="s">
        <v>200</v>
      </c>
      <c r="FJ1072" s="1" t="s">
        <v>1573</v>
      </c>
      <c r="FK1072" s="1" t="s">
        <v>1586</v>
      </c>
      <c r="FL1072" s="1" t="s">
        <v>11831</v>
      </c>
      <c r="FM1072" s="1">
        <v>93181.0</v>
      </c>
      <c r="FN1072" s="1" t="s">
        <v>11832</v>
      </c>
      <c r="FO1072" s="1" t="s">
        <v>11833</v>
      </c>
      <c r="FP1072" s="1">
        <v>931586.0</v>
      </c>
      <c r="FU1072" s="1" t="s">
        <v>11834</v>
      </c>
      <c r="FV1072" s="1" t="s">
        <v>200</v>
      </c>
      <c r="FW1072" s="1" t="s">
        <v>530</v>
      </c>
      <c r="FZ1072" s="1" t="s">
        <v>229</v>
      </c>
      <c r="GA1072" s="1" t="s">
        <v>291</v>
      </c>
      <c r="GB1072" s="2">
        <v>42000.0</v>
      </c>
      <c r="GC1072" s="1" t="s">
        <v>11835</v>
      </c>
    </row>
    <row r="1073">
      <c r="A1073" s="1">
        <v>427500.0</v>
      </c>
      <c r="B1073" s="1" t="s">
        <v>185</v>
      </c>
      <c r="C1073" s="1" t="str">
        <f>"08649336"</f>
        <v>08649336</v>
      </c>
      <c r="D1073" s="1" t="s">
        <v>186</v>
      </c>
      <c r="F1073" s="1" t="str">
        <f>"10"</f>
        <v>10</v>
      </c>
      <c r="G1073" s="2">
        <v>41810.0</v>
      </c>
      <c r="H1073" s="1">
        <v>499500.0</v>
      </c>
      <c r="I1073" s="1">
        <v>491.0</v>
      </c>
      <c r="J1073" s="1">
        <v>400000.0</v>
      </c>
      <c r="K1073" s="2">
        <v>41932.0</v>
      </c>
      <c r="L1073" s="1">
        <v>123.0</v>
      </c>
      <c r="M1073" s="2">
        <v>41932.0</v>
      </c>
      <c r="N1073" s="1" t="s">
        <v>187</v>
      </c>
      <c r="O1073" s="2">
        <v>42027.0</v>
      </c>
      <c r="P1073" s="1">
        <v>239180.0</v>
      </c>
      <c r="Q1073" s="1">
        <v>25329.0</v>
      </c>
      <c r="S1073" s="1">
        <v>128.0</v>
      </c>
      <c r="T1073" s="1" t="s">
        <v>11836</v>
      </c>
      <c r="U1073" s="1" t="s">
        <v>569</v>
      </c>
      <c r="V1073" s="1" t="s">
        <v>11837</v>
      </c>
      <c r="W1073" s="1">
        <v>60010.0</v>
      </c>
      <c r="Y1073" s="1" t="s">
        <v>11838</v>
      </c>
      <c r="Z1073" s="1">
        <v>1967.0</v>
      </c>
      <c r="AA1073" s="1" t="s">
        <v>192</v>
      </c>
      <c r="AB1073" s="1" t="s">
        <v>193</v>
      </c>
      <c r="AC1073" s="1" t="s">
        <v>11837</v>
      </c>
      <c r="AD1073" s="1" t="s">
        <v>11839</v>
      </c>
      <c r="AE1073" s="1" t="s">
        <v>917</v>
      </c>
      <c r="AF1073" s="1" t="s">
        <v>2008</v>
      </c>
      <c r="AG1073" s="1" t="s">
        <v>752</v>
      </c>
      <c r="AH1073" s="1" t="s">
        <v>11840</v>
      </c>
      <c r="AK1073" s="1">
        <v>12.0</v>
      </c>
      <c r="AL1073" s="1">
        <v>4.0</v>
      </c>
      <c r="AM1073" s="1">
        <v>4.0</v>
      </c>
      <c r="AN1073" s="1">
        <v>0.0</v>
      </c>
      <c r="AO1073" s="1" t="s">
        <v>198</v>
      </c>
      <c r="AP1073" s="1">
        <v>5.0</v>
      </c>
      <c r="AQ1073" s="1" t="s">
        <v>327</v>
      </c>
      <c r="AR1073" s="1" t="s">
        <v>192</v>
      </c>
      <c r="AS1073" s="1" t="s">
        <v>199</v>
      </c>
      <c r="AT1073" s="1">
        <v>2.0</v>
      </c>
      <c r="AV1073" s="1" t="s">
        <v>192</v>
      </c>
      <c r="AW1073" s="1">
        <v>15307.0</v>
      </c>
      <c r="AX1073" s="1">
        <v>2012.0</v>
      </c>
      <c r="AY1073" s="1" t="s">
        <v>1179</v>
      </c>
      <c r="AZ1073" s="1" t="s">
        <v>192</v>
      </c>
      <c r="BA1073" s="1" t="str">
        <f>"13023190030000"</f>
        <v>13023190030000</v>
      </c>
      <c r="BC1073" s="1">
        <v>8486.0</v>
      </c>
      <c r="BD1073" s="1">
        <v>427500.0</v>
      </c>
      <c r="BE1073" s="2">
        <v>41810.0</v>
      </c>
      <c r="BF1073" s="2" t="s">
        <v>11841</v>
      </c>
      <c r="BG1073" s="1" t="s">
        <v>2011</v>
      </c>
      <c r="BH1073" s="1">
        <v>450.0</v>
      </c>
      <c r="BI1073" s="1" t="s">
        <v>11276</v>
      </c>
      <c r="BJ1073" s="1" t="s">
        <v>1714</v>
      </c>
      <c r="BK1073" s="1" t="s">
        <v>580</v>
      </c>
      <c r="BL1073" s="1" t="str">
        <f>"25"</f>
        <v>25</v>
      </c>
      <c r="BM1073" s="1" t="str">
        <f>""</f>
        <v/>
      </c>
      <c r="BN1073" s="1">
        <v>26.0</v>
      </c>
      <c r="BQ1073" s="1">
        <v>220.0</v>
      </c>
      <c r="BR1073" s="1">
        <v>220.0</v>
      </c>
      <c r="BS1073" s="1">
        <v>220.0</v>
      </c>
      <c r="BU1073" s="1" t="s">
        <v>769</v>
      </c>
      <c r="BV1073" s="1" t="s">
        <v>206</v>
      </c>
      <c r="BW1073" s="1" t="s">
        <v>210</v>
      </c>
      <c r="BX1073" s="1" t="s">
        <v>1549</v>
      </c>
      <c r="BY1073" s="1" t="s">
        <v>2120</v>
      </c>
      <c r="BZ1073" s="1" t="s">
        <v>206</v>
      </c>
      <c r="CA1073" s="1" t="s">
        <v>210</v>
      </c>
      <c r="CB1073" s="1" t="s">
        <v>1549</v>
      </c>
      <c r="CC1073" s="1" t="s">
        <v>4387</v>
      </c>
      <c r="CD1073" s="1" t="s">
        <v>206</v>
      </c>
      <c r="CE1073" s="1" t="s">
        <v>210</v>
      </c>
      <c r="CF1073" s="1" t="s">
        <v>1549</v>
      </c>
      <c r="CG1073" s="1" t="s">
        <v>361</v>
      </c>
      <c r="CH1073" s="1" t="s">
        <v>206</v>
      </c>
      <c r="CI1073" s="1" t="s">
        <v>210</v>
      </c>
      <c r="CJ1073" s="1" t="s">
        <v>1549</v>
      </c>
      <c r="CK1073" s="1" t="s">
        <v>393</v>
      </c>
      <c r="CL1073" s="1" t="s">
        <v>206</v>
      </c>
      <c r="CM1073" s="1" t="s">
        <v>210</v>
      </c>
      <c r="CN1073" s="1" t="s">
        <v>1549</v>
      </c>
      <c r="CO1073" s="1" t="s">
        <v>304</v>
      </c>
      <c r="CP1073" s="1" t="s">
        <v>206</v>
      </c>
      <c r="CQ1073" s="1" t="s">
        <v>210</v>
      </c>
      <c r="CR1073" s="1" t="s">
        <v>1549</v>
      </c>
      <c r="CS1073" s="1" t="s">
        <v>433</v>
      </c>
      <c r="CT1073" s="1" t="s">
        <v>206</v>
      </c>
      <c r="CU1073" s="1" t="s">
        <v>1715</v>
      </c>
      <c r="CV1073" s="1" t="s">
        <v>229</v>
      </c>
      <c r="CW1073" s="1" t="s">
        <v>924</v>
      </c>
      <c r="CX1073" s="1" t="s">
        <v>206</v>
      </c>
      <c r="CY1073" s="1" t="s">
        <v>210</v>
      </c>
      <c r="CZ1073" s="1" t="s">
        <v>1549</v>
      </c>
      <c r="DA1073" s="1" t="s">
        <v>200</v>
      </c>
      <c r="DC1073" s="1" t="s">
        <v>517</v>
      </c>
      <c r="DD1073" s="1" t="s">
        <v>336</v>
      </c>
      <c r="DE1073" s="1" t="s">
        <v>218</v>
      </c>
      <c r="DF1073" s="1" t="s">
        <v>1931</v>
      </c>
      <c r="DG1073" s="1" t="s">
        <v>11842</v>
      </c>
      <c r="DH1073" s="1" t="s">
        <v>7667</v>
      </c>
      <c r="DI1073" s="1" t="s">
        <v>7593</v>
      </c>
      <c r="DJ1073" s="1" t="s">
        <v>857</v>
      </c>
      <c r="DL1073" s="1" t="s">
        <v>224</v>
      </c>
      <c r="DM1073" s="1" t="s">
        <v>1658</v>
      </c>
      <c r="DN1073" s="1" t="s">
        <v>399</v>
      </c>
      <c r="DO1073" s="1" t="s">
        <v>10301</v>
      </c>
      <c r="DP1073" s="1" t="s">
        <v>340</v>
      </c>
      <c r="DQ1073" s="1" t="s">
        <v>1557</v>
      </c>
      <c r="DR1073" s="1" t="s">
        <v>1724</v>
      </c>
      <c r="DS1073" s="1" t="s">
        <v>230</v>
      </c>
      <c r="DU1073" s="1" t="s">
        <v>11843</v>
      </c>
      <c r="DV1073" s="1" t="s">
        <v>11844</v>
      </c>
      <c r="DW1073" s="1" t="s">
        <v>1820</v>
      </c>
      <c r="DX1073" s="1" t="s">
        <v>234</v>
      </c>
      <c r="DY1073" s="1" t="s">
        <v>11845</v>
      </c>
      <c r="DZ1073" s="1" t="s">
        <v>236</v>
      </c>
      <c r="EA1073" s="1" t="s">
        <v>1027</v>
      </c>
      <c r="EB1073" s="1" t="s">
        <v>1101</v>
      </c>
      <c r="EC1073" s="1" t="s">
        <v>685</v>
      </c>
      <c r="ED1073" s="1" t="s">
        <v>407</v>
      </c>
      <c r="EG1073" s="1" t="s">
        <v>556</v>
      </c>
      <c r="EH1073" s="1" t="s">
        <v>1028</v>
      </c>
      <c r="EI1073" s="1" t="s">
        <v>450</v>
      </c>
      <c r="EJ1073" s="1" t="s">
        <v>588</v>
      </c>
      <c r="EK1073" s="1" t="s">
        <v>408</v>
      </c>
      <c r="EL1073" s="1" t="s">
        <v>332</v>
      </c>
      <c r="EM1073" s="1" t="s">
        <v>206</v>
      </c>
      <c r="EN1073" s="1" t="s">
        <v>1715</v>
      </c>
      <c r="EO1073" s="1" t="s">
        <v>1549</v>
      </c>
      <c r="EP1073" s="1" t="s">
        <v>1483</v>
      </c>
      <c r="EQ1073" s="1" t="s">
        <v>206</v>
      </c>
      <c r="ER1073" s="1" t="s">
        <v>210</v>
      </c>
      <c r="ES1073" s="1" t="s">
        <v>1549</v>
      </c>
      <c r="ET1073" s="1" t="s">
        <v>2368</v>
      </c>
      <c r="EU1073" s="1" t="s">
        <v>1697</v>
      </c>
      <c r="EV1073" s="1" t="s">
        <v>617</v>
      </c>
      <c r="EW1073" s="1" t="s">
        <v>229</v>
      </c>
      <c r="EX1073" s="1" t="s">
        <v>8789</v>
      </c>
      <c r="EY1073" s="1" t="s">
        <v>1697</v>
      </c>
      <c r="EZ1073" s="1" t="s">
        <v>210</v>
      </c>
      <c r="FA1073" s="1" t="s">
        <v>1549</v>
      </c>
      <c r="FB1073" s="1" t="s">
        <v>11846</v>
      </c>
      <c r="FC1073" s="1" t="s">
        <v>206</v>
      </c>
      <c r="FD1073" s="1" t="s">
        <v>1715</v>
      </c>
      <c r="FE1073" s="1" t="s">
        <v>229</v>
      </c>
      <c r="FF1073" s="1" t="s">
        <v>239</v>
      </c>
      <c r="FG1073" s="1" t="s">
        <v>192</v>
      </c>
      <c r="FH1073" s="1" t="s">
        <v>192</v>
      </c>
      <c r="FJ1073" s="1" t="s">
        <v>2133</v>
      </c>
      <c r="FK1073" s="1" t="s">
        <v>1586</v>
      </c>
      <c r="FL1073" s="1" t="s">
        <v>456</v>
      </c>
      <c r="FM1073" s="1">
        <v>6026.0</v>
      </c>
      <c r="FN1073" s="1" t="s">
        <v>3545</v>
      </c>
      <c r="FO1073" s="1" t="s">
        <v>11847</v>
      </c>
      <c r="FP1073" s="1">
        <v>60241.0</v>
      </c>
      <c r="FQ1073" s="1" t="s">
        <v>11848</v>
      </c>
      <c r="FR1073" s="1">
        <v>62090.0</v>
      </c>
      <c r="FU1073" s="1" t="s">
        <v>11849</v>
      </c>
      <c r="FV1073" s="1" t="s">
        <v>200</v>
      </c>
      <c r="FW1073" s="1" t="s">
        <v>530</v>
      </c>
      <c r="FZ1073" s="1" t="s">
        <v>229</v>
      </c>
      <c r="GA1073" s="1" t="s">
        <v>291</v>
      </c>
      <c r="GB1073" s="2">
        <v>42027.0</v>
      </c>
      <c r="GC1073" s="1" t="s">
        <v>3170</v>
      </c>
    </row>
    <row r="1074">
      <c r="A1074" s="1">
        <v>246000.0</v>
      </c>
      <c r="B1074" s="1" t="s">
        <v>185</v>
      </c>
      <c r="C1074" s="1" t="str">
        <f>"08654969"</f>
        <v>08654969</v>
      </c>
      <c r="D1074" s="1" t="s">
        <v>186</v>
      </c>
      <c r="F1074" s="1" t="str">
        <f>"134"</f>
        <v>134</v>
      </c>
      <c r="G1074" s="2">
        <v>41815.0</v>
      </c>
      <c r="H1074" s="1">
        <v>299900.0</v>
      </c>
      <c r="I1074" s="1">
        <v>198.0</v>
      </c>
      <c r="J1074" s="1">
        <v>259900.0</v>
      </c>
      <c r="K1074" s="2">
        <v>42011.0</v>
      </c>
      <c r="L1074" s="1">
        <v>198.0</v>
      </c>
      <c r="M1074" s="2">
        <v>42011.0</v>
      </c>
      <c r="N1074" s="1" t="s">
        <v>249</v>
      </c>
      <c r="O1074" s="2">
        <v>42035.0</v>
      </c>
      <c r="P1074" s="1">
        <v>601822.0</v>
      </c>
      <c r="Q1074" s="1">
        <v>24945.0</v>
      </c>
      <c r="S1074" s="1">
        <v>1000.0</v>
      </c>
      <c r="T1074" s="1" t="s">
        <v>5565</v>
      </c>
      <c r="U1074" s="1" t="s">
        <v>464</v>
      </c>
      <c r="V1074" s="1" t="s">
        <v>421</v>
      </c>
      <c r="W1074" s="1">
        <v>60134.0</v>
      </c>
      <c r="Y1074" s="1" t="s">
        <v>11850</v>
      </c>
      <c r="Z1074" s="1">
        <v>1987.0</v>
      </c>
      <c r="AA1074" s="1" t="s">
        <v>200</v>
      </c>
      <c r="AB1074" s="1" t="s">
        <v>193</v>
      </c>
      <c r="AC1074" s="1" t="s">
        <v>11851</v>
      </c>
      <c r="AD1074" s="1" t="s">
        <v>424</v>
      </c>
      <c r="AE1074" s="1" t="s">
        <v>325</v>
      </c>
      <c r="AF1074" s="1" t="s">
        <v>424</v>
      </c>
      <c r="AH1074" s="1" t="s">
        <v>11852</v>
      </c>
      <c r="AI1074" s="1">
        <v>0.3587</v>
      </c>
      <c r="AK1074" s="1">
        <v>9.0</v>
      </c>
      <c r="AL1074" s="1">
        <v>4.0</v>
      </c>
      <c r="AM1074" s="1">
        <v>2.0</v>
      </c>
      <c r="AN1074" s="1">
        <v>1.0</v>
      </c>
      <c r="AO1074" s="1" t="s">
        <v>198</v>
      </c>
      <c r="AP1074" s="1">
        <v>1.0</v>
      </c>
      <c r="AQ1074" s="1" t="s">
        <v>198</v>
      </c>
      <c r="AR1074" s="1" t="s">
        <v>200</v>
      </c>
      <c r="AS1074" s="1" t="s">
        <v>199</v>
      </c>
      <c r="AT1074" s="1">
        <v>2.0</v>
      </c>
      <c r="AV1074" s="1" t="s">
        <v>200</v>
      </c>
      <c r="AW1074" s="1">
        <v>8353.16</v>
      </c>
      <c r="AX1074" s="1">
        <v>2013.0</v>
      </c>
      <c r="AY1074" s="1" t="s">
        <v>387</v>
      </c>
      <c r="AZ1074" s="1" t="s">
        <v>545</v>
      </c>
      <c r="BA1074" s="1" t="str">
        <f>"1208404006"</f>
        <v>1208404006</v>
      </c>
      <c r="BC1074" s="1">
        <v>2388.0</v>
      </c>
      <c r="BD1074" s="1">
        <v>246000.0</v>
      </c>
      <c r="BE1074" s="2">
        <v>41814.0</v>
      </c>
      <c r="BF1074" s="2" t="s">
        <v>11853</v>
      </c>
      <c r="BG1074" s="1" t="s">
        <v>3524</v>
      </c>
      <c r="BH1074" s="1">
        <v>0.0</v>
      </c>
      <c r="BI1074" s="1" t="s">
        <v>429</v>
      </c>
      <c r="BJ1074" s="1" t="s">
        <v>430</v>
      </c>
      <c r="BK1074" s="1" t="s">
        <v>204</v>
      </c>
      <c r="BL1074" s="1" t="str">
        <f t="shared" ref="BL1074:BM1074" si="717">""</f>
        <v/>
      </c>
      <c r="BM1074" s="1" t="str">
        <f t="shared" si="717"/>
        <v/>
      </c>
      <c r="BQ1074" s="1">
        <v>304.0</v>
      </c>
      <c r="BR1074" s="1">
        <v>304.0</v>
      </c>
      <c r="BS1074" s="1">
        <v>304.0</v>
      </c>
      <c r="BU1074" s="1" t="s">
        <v>758</v>
      </c>
      <c r="BV1074" s="1" t="s">
        <v>206</v>
      </c>
      <c r="BW1074" s="1" t="s">
        <v>210</v>
      </c>
      <c r="BY1074" s="1" t="s">
        <v>260</v>
      </c>
      <c r="BZ1074" s="1" t="s">
        <v>209</v>
      </c>
      <c r="CA1074" s="1" t="s">
        <v>210</v>
      </c>
      <c r="CC1074" s="1" t="s">
        <v>363</v>
      </c>
      <c r="CD1074" s="1" t="s">
        <v>206</v>
      </c>
      <c r="CE1074" s="1" t="s">
        <v>210</v>
      </c>
      <c r="CG1074" s="1" t="s">
        <v>758</v>
      </c>
      <c r="CH1074" s="1" t="s">
        <v>209</v>
      </c>
      <c r="CI1074" s="1" t="s">
        <v>210</v>
      </c>
      <c r="CK1074" s="1" t="s">
        <v>454</v>
      </c>
      <c r="CL1074" s="1" t="s">
        <v>209</v>
      </c>
      <c r="CM1074" s="1" t="s">
        <v>210</v>
      </c>
      <c r="CO1074" s="1" t="s">
        <v>332</v>
      </c>
      <c r="CP1074" s="1" t="s">
        <v>206</v>
      </c>
      <c r="CQ1074" s="1" t="s">
        <v>210</v>
      </c>
      <c r="CS1074" s="1" t="s">
        <v>497</v>
      </c>
      <c r="CT1074" s="1" t="s">
        <v>206</v>
      </c>
      <c r="CU1074" s="1" t="s">
        <v>207</v>
      </c>
      <c r="CW1074" s="1" t="s">
        <v>434</v>
      </c>
      <c r="CX1074" s="1" t="s">
        <v>206</v>
      </c>
      <c r="CY1074" s="1" t="s">
        <v>207</v>
      </c>
      <c r="DA1074" s="1" t="s">
        <v>200</v>
      </c>
      <c r="DC1074" s="1" t="s">
        <v>305</v>
      </c>
      <c r="DD1074" s="1" t="s">
        <v>396</v>
      </c>
      <c r="DE1074" s="1" t="s">
        <v>273</v>
      </c>
      <c r="DF1074" s="1" t="s">
        <v>219</v>
      </c>
      <c r="DG1074" s="1" t="s">
        <v>2747</v>
      </c>
      <c r="DH1074" s="1" t="s">
        <v>220</v>
      </c>
      <c r="DI1074" s="1" t="s">
        <v>789</v>
      </c>
      <c r="DJ1074" s="1" t="s">
        <v>222</v>
      </c>
      <c r="DK1074" s="1" t="s">
        <v>1555</v>
      </c>
      <c r="DL1074" s="1" t="s">
        <v>223</v>
      </c>
      <c r="DM1074" s="1" t="s">
        <v>929</v>
      </c>
      <c r="DN1074" s="1" t="s">
        <v>439</v>
      </c>
      <c r="DO1074" s="1" t="s">
        <v>590</v>
      </c>
      <c r="DP1074" s="1" t="s">
        <v>340</v>
      </c>
      <c r="DQ1074" s="1" t="s">
        <v>441</v>
      </c>
      <c r="DR1074" s="1" t="s">
        <v>229</v>
      </c>
      <c r="DS1074" s="1" t="s">
        <v>230</v>
      </c>
      <c r="DV1074" s="1" t="s">
        <v>556</v>
      </c>
      <c r="DW1074" s="1" t="s">
        <v>444</v>
      </c>
      <c r="DX1074" s="1" t="s">
        <v>234</v>
      </c>
      <c r="DY1074" s="1" t="s">
        <v>1051</v>
      </c>
      <c r="DZ1074" s="1" t="s">
        <v>8913</v>
      </c>
      <c r="EA1074" s="1" t="s">
        <v>3308</v>
      </c>
      <c r="EC1074" s="1" t="s">
        <v>237</v>
      </c>
      <c r="EG1074" s="1" t="s">
        <v>556</v>
      </c>
      <c r="EL1074" s="1" t="s">
        <v>640</v>
      </c>
      <c r="EM1074" s="1" t="s">
        <v>206</v>
      </c>
      <c r="EN1074" s="1" t="s">
        <v>207</v>
      </c>
      <c r="EQ1074" s="1" t="s">
        <v>238</v>
      </c>
      <c r="EU1074" s="1" t="s">
        <v>238</v>
      </c>
      <c r="EY1074" s="1" t="s">
        <v>238</v>
      </c>
      <c r="FC1074" s="1" t="s">
        <v>238</v>
      </c>
      <c r="FF1074" s="1" t="s">
        <v>239</v>
      </c>
      <c r="FG1074" s="1" t="s">
        <v>192</v>
      </c>
      <c r="FH1074" s="1" t="s">
        <v>192</v>
      </c>
      <c r="FJ1074" s="1" t="s">
        <v>3514</v>
      </c>
      <c r="FK1074" s="1" t="s">
        <v>229</v>
      </c>
      <c r="FL1074" s="1" t="s">
        <v>1007</v>
      </c>
      <c r="FM1074" s="1">
        <v>771.0</v>
      </c>
      <c r="FN1074" s="1" t="s">
        <v>1494</v>
      </c>
      <c r="FO1074" s="1" t="s">
        <v>11854</v>
      </c>
      <c r="FP1074" s="1">
        <v>8131.0</v>
      </c>
      <c r="FQ1074" s="1" t="s">
        <v>11855</v>
      </c>
      <c r="FS1074" s="1" t="s">
        <v>11856</v>
      </c>
      <c r="FU1074" s="1" t="s">
        <v>10106</v>
      </c>
      <c r="FV1074" s="1" t="s">
        <v>200</v>
      </c>
      <c r="FW1074" s="1" t="s">
        <v>290</v>
      </c>
      <c r="FZ1074" s="1" t="s">
        <v>229</v>
      </c>
      <c r="GA1074" s="1" t="s">
        <v>291</v>
      </c>
      <c r="GB1074" s="2">
        <v>42037.0</v>
      </c>
    </row>
    <row r="1075">
      <c r="A1075" s="1">
        <v>250750.0</v>
      </c>
      <c r="B1075" s="1" t="s">
        <v>185</v>
      </c>
      <c r="C1075" s="1" t="str">
        <f>"08649022"</f>
        <v>08649022</v>
      </c>
      <c r="D1075" s="1" t="s">
        <v>186</v>
      </c>
      <c r="F1075" s="1" t="str">
        <f>"119"</f>
        <v>119</v>
      </c>
      <c r="G1075" s="2">
        <v>41808.0</v>
      </c>
      <c r="H1075" s="1">
        <v>275000.0</v>
      </c>
      <c r="I1075" s="1">
        <v>237.0</v>
      </c>
      <c r="J1075" s="1">
        <v>267500.0</v>
      </c>
      <c r="K1075" s="2">
        <v>42043.0</v>
      </c>
      <c r="L1075" s="1">
        <v>237.0</v>
      </c>
      <c r="M1075" s="2">
        <v>42043.0</v>
      </c>
      <c r="N1075" s="1" t="s">
        <v>187</v>
      </c>
      <c r="O1075" s="2">
        <v>42090.0</v>
      </c>
      <c r="P1075" s="1">
        <v>230482.0</v>
      </c>
      <c r="Q1075" s="1">
        <v>23591.0</v>
      </c>
      <c r="S1075" s="1" t="s">
        <v>11857</v>
      </c>
      <c r="T1075" s="1" t="s">
        <v>11858</v>
      </c>
      <c r="U1075" s="1" t="s">
        <v>464</v>
      </c>
      <c r="V1075" s="1" t="s">
        <v>1476</v>
      </c>
      <c r="W1075" s="1">
        <v>60119.0</v>
      </c>
      <c r="Y1075" s="1" t="s">
        <v>11859</v>
      </c>
      <c r="Z1075" s="1">
        <v>1972.0</v>
      </c>
      <c r="AA1075" s="1" t="s">
        <v>192</v>
      </c>
      <c r="AB1075" s="1" t="s">
        <v>193</v>
      </c>
      <c r="AD1075" s="1" t="s">
        <v>1089</v>
      </c>
      <c r="AE1075" s="1" t="s">
        <v>325</v>
      </c>
      <c r="AF1075" s="1" t="s">
        <v>1632</v>
      </c>
      <c r="AH1075" s="1" t="s">
        <v>11860</v>
      </c>
      <c r="AK1075" s="1">
        <v>7.0</v>
      </c>
      <c r="AL1075" s="1">
        <v>4.0</v>
      </c>
      <c r="AM1075" s="1">
        <v>2.0</v>
      </c>
      <c r="AN1075" s="1">
        <v>1.0</v>
      </c>
      <c r="AO1075" s="1" t="s">
        <v>198</v>
      </c>
      <c r="AP1075" s="1">
        <v>1.0</v>
      </c>
      <c r="AQ1075" s="1" t="s">
        <v>198</v>
      </c>
      <c r="AR1075" s="1" t="s">
        <v>200</v>
      </c>
      <c r="AS1075" s="1" t="s">
        <v>199</v>
      </c>
      <c r="AT1075" s="1">
        <v>2.0</v>
      </c>
      <c r="AV1075" s="1" t="s">
        <v>200</v>
      </c>
      <c r="AW1075" s="1">
        <v>7995.0</v>
      </c>
      <c r="AX1075" s="1">
        <v>2013.0</v>
      </c>
      <c r="AY1075" s="1" t="s">
        <v>229</v>
      </c>
      <c r="AZ1075" s="1" t="s">
        <v>545</v>
      </c>
      <c r="BA1075" s="1" t="str">
        <f>"0820425002"</f>
        <v>0820425002</v>
      </c>
      <c r="BB1075" s="1" t="s">
        <v>192</v>
      </c>
      <c r="BC1075" s="1">
        <v>2088.0</v>
      </c>
      <c r="BD1075" s="1">
        <v>250750.0</v>
      </c>
      <c r="BE1075" s="2">
        <v>41807.0</v>
      </c>
      <c r="BF1075" s="2" t="s">
        <v>11861</v>
      </c>
      <c r="BH1075" s="1">
        <v>0.0</v>
      </c>
      <c r="BK1075" s="1" t="s">
        <v>204</v>
      </c>
      <c r="BL1075" s="1" t="str">
        <f>"4"</f>
        <v>4</v>
      </c>
      <c r="BM1075" s="1" t="str">
        <f>"0"</f>
        <v>0</v>
      </c>
      <c r="BN1075" s="1">
        <v>41.0</v>
      </c>
      <c r="BO1075" s="1">
        <v>0.0</v>
      </c>
      <c r="BQ1075" s="1">
        <v>302.0</v>
      </c>
      <c r="BR1075" s="1">
        <v>302.0</v>
      </c>
      <c r="BS1075" s="1">
        <v>302.0</v>
      </c>
      <c r="BU1075" s="1" t="s">
        <v>479</v>
      </c>
      <c r="BV1075" s="1" t="s">
        <v>206</v>
      </c>
      <c r="BW1075" s="1" t="s">
        <v>210</v>
      </c>
      <c r="BY1075" s="1" t="s">
        <v>3888</v>
      </c>
      <c r="BZ1075" s="1" t="s">
        <v>209</v>
      </c>
      <c r="CA1075" s="1" t="s">
        <v>210</v>
      </c>
      <c r="CD1075" s="1" t="s">
        <v>204</v>
      </c>
      <c r="CG1075" s="1" t="s">
        <v>212</v>
      </c>
      <c r="CH1075" s="1" t="s">
        <v>209</v>
      </c>
      <c r="CI1075" s="1" t="s">
        <v>210</v>
      </c>
      <c r="CK1075" s="1" t="s">
        <v>1064</v>
      </c>
      <c r="CL1075" s="1" t="s">
        <v>209</v>
      </c>
      <c r="CM1075" s="1" t="s">
        <v>210</v>
      </c>
      <c r="CO1075" s="1" t="s">
        <v>1351</v>
      </c>
      <c r="CP1075" s="1" t="s">
        <v>209</v>
      </c>
      <c r="CQ1075" s="1" t="s">
        <v>210</v>
      </c>
      <c r="CS1075" s="1" t="s">
        <v>1892</v>
      </c>
      <c r="CT1075" s="1" t="s">
        <v>206</v>
      </c>
      <c r="CU1075" s="1" t="s">
        <v>301</v>
      </c>
      <c r="CW1075" s="1" t="s">
        <v>362</v>
      </c>
      <c r="CX1075" s="1" t="s">
        <v>206</v>
      </c>
      <c r="CY1075" s="1" t="s">
        <v>301</v>
      </c>
      <c r="DA1075" s="1" t="s">
        <v>200</v>
      </c>
      <c r="DC1075" s="1" t="s">
        <v>517</v>
      </c>
      <c r="DD1075" s="1" t="s">
        <v>272</v>
      </c>
      <c r="DE1075" s="1" t="s">
        <v>273</v>
      </c>
      <c r="DF1075" s="1" t="s">
        <v>219</v>
      </c>
      <c r="DH1075" s="1" t="s">
        <v>856</v>
      </c>
      <c r="DI1075" s="1" t="s">
        <v>959</v>
      </c>
      <c r="DJ1075" s="1" t="s">
        <v>857</v>
      </c>
      <c r="DL1075" s="1" t="s">
        <v>223</v>
      </c>
      <c r="DM1075" s="1" t="s">
        <v>229</v>
      </c>
      <c r="DO1075" s="1" t="s">
        <v>1208</v>
      </c>
      <c r="DQ1075" s="1" t="s">
        <v>931</v>
      </c>
      <c r="DR1075" s="1" t="s">
        <v>229</v>
      </c>
      <c r="DU1075" s="1" t="s">
        <v>1840</v>
      </c>
      <c r="DV1075" s="1" t="s">
        <v>232</v>
      </c>
      <c r="DW1075" s="1" t="s">
        <v>934</v>
      </c>
      <c r="DX1075" s="1" t="s">
        <v>234</v>
      </c>
      <c r="DY1075" s="1" t="s">
        <v>861</v>
      </c>
      <c r="EC1075" s="1" t="s">
        <v>237</v>
      </c>
      <c r="ED1075" s="1" t="s">
        <v>407</v>
      </c>
      <c r="EM1075" s="1" t="s">
        <v>238</v>
      </c>
      <c r="EQ1075" s="1" t="s">
        <v>238</v>
      </c>
      <c r="EU1075" s="1" t="s">
        <v>238</v>
      </c>
      <c r="EY1075" s="1" t="s">
        <v>238</v>
      </c>
      <c r="FC1075" s="1" t="s">
        <v>238</v>
      </c>
      <c r="FF1075" s="1" t="s">
        <v>239</v>
      </c>
      <c r="FG1075" s="1" t="s">
        <v>192</v>
      </c>
      <c r="FH1075" s="1" t="s">
        <v>192</v>
      </c>
      <c r="FJ1075" s="1" t="s">
        <v>2206</v>
      </c>
      <c r="FK1075" s="1" t="s">
        <v>229</v>
      </c>
      <c r="FL1075" s="1" t="s">
        <v>1212</v>
      </c>
      <c r="FM1075" s="1">
        <v>30.0</v>
      </c>
      <c r="FN1075" s="1" t="s">
        <v>1213</v>
      </c>
      <c r="FO1075" s="1" t="s">
        <v>8470</v>
      </c>
      <c r="FP1075" s="1">
        <v>497.0</v>
      </c>
      <c r="FQ1075" s="1" t="s">
        <v>8471</v>
      </c>
      <c r="FR1075" s="1">
        <v>8177.0</v>
      </c>
      <c r="FS1075" s="1">
        <v>8177.0</v>
      </c>
      <c r="FU1075" s="1" t="s">
        <v>10211</v>
      </c>
      <c r="FV1075" s="1" t="s">
        <v>200</v>
      </c>
      <c r="FW1075" s="1" t="s">
        <v>290</v>
      </c>
      <c r="FZ1075" s="1" t="s">
        <v>229</v>
      </c>
      <c r="GA1075" s="1" t="s">
        <v>291</v>
      </c>
      <c r="GB1075" s="2">
        <v>42090.0</v>
      </c>
    </row>
    <row r="1076">
      <c r="A1076" s="1">
        <v>206500.0</v>
      </c>
      <c r="B1076" s="1" t="s">
        <v>185</v>
      </c>
      <c r="C1076" s="1" t="str">
        <f>"08651760"</f>
        <v>08651760</v>
      </c>
      <c r="D1076" s="1" t="s">
        <v>186</v>
      </c>
      <c r="F1076" s="1" t="str">
        <f>"538"</f>
        <v>538</v>
      </c>
      <c r="G1076" s="2">
        <v>41811.0</v>
      </c>
      <c r="H1076" s="1">
        <v>234900.0</v>
      </c>
      <c r="I1076" s="1">
        <v>148.0</v>
      </c>
      <c r="J1076" s="1">
        <v>209900.0</v>
      </c>
      <c r="K1076" s="2">
        <v>41958.0</v>
      </c>
      <c r="L1076" s="1">
        <v>148.0</v>
      </c>
      <c r="M1076" s="2">
        <v>41958.0</v>
      </c>
      <c r="N1076" s="1" t="s">
        <v>356</v>
      </c>
      <c r="O1076" s="2">
        <v>42010.0</v>
      </c>
      <c r="P1076" s="1">
        <v>145985.0</v>
      </c>
      <c r="Q1076" s="1">
        <v>16339.0</v>
      </c>
      <c r="R1076" s="1">
        <v>6150.0</v>
      </c>
      <c r="S1076" s="1">
        <v>2472.0</v>
      </c>
      <c r="T1076" s="1" t="s">
        <v>11862</v>
      </c>
      <c r="U1076" s="1" t="s">
        <v>1015</v>
      </c>
      <c r="V1076" s="1" t="s">
        <v>1340</v>
      </c>
      <c r="W1076" s="1">
        <v>60538.0</v>
      </c>
      <c r="Y1076" s="1" t="s">
        <v>11863</v>
      </c>
      <c r="Z1076" s="1">
        <v>2005.0</v>
      </c>
      <c r="AA1076" s="1" t="s">
        <v>200</v>
      </c>
      <c r="AB1076" s="1" t="s">
        <v>193</v>
      </c>
      <c r="AC1076" s="1" t="s">
        <v>3016</v>
      </c>
      <c r="AD1076" s="1" t="s">
        <v>1343</v>
      </c>
      <c r="AE1076" s="1" t="s">
        <v>849</v>
      </c>
      <c r="AF1076" s="1" t="s">
        <v>1312</v>
      </c>
      <c r="AG1076" s="1" t="s">
        <v>5899</v>
      </c>
      <c r="AH1076" s="1" t="s">
        <v>11864</v>
      </c>
      <c r="AK1076" s="1">
        <v>8.0</v>
      </c>
      <c r="AL1076" s="1">
        <v>4.0</v>
      </c>
      <c r="AM1076" s="1">
        <v>2.0</v>
      </c>
      <c r="AN1076" s="1">
        <v>1.0</v>
      </c>
      <c r="AO1076" s="1" t="s">
        <v>198</v>
      </c>
      <c r="AQ1076" s="1" t="s">
        <v>1314</v>
      </c>
      <c r="AR1076" s="1" t="s">
        <v>200</v>
      </c>
      <c r="AS1076" s="1" t="s">
        <v>199</v>
      </c>
      <c r="AT1076" s="1">
        <v>2.0</v>
      </c>
      <c r="AV1076" s="1" t="s">
        <v>200</v>
      </c>
      <c r="AW1076" s="1">
        <v>5883.18</v>
      </c>
      <c r="AX1076" s="1">
        <v>2013.0</v>
      </c>
      <c r="AY1076" s="1" t="s">
        <v>387</v>
      </c>
      <c r="AZ1076" s="1" t="s">
        <v>200</v>
      </c>
      <c r="BA1076" s="1" t="str">
        <f>"0202489027"</f>
        <v>0202489027</v>
      </c>
      <c r="BC1076" s="1">
        <v>2180.0</v>
      </c>
      <c r="BD1076" s="1">
        <v>206500.0</v>
      </c>
      <c r="BE1076" s="2">
        <v>41811.0</v>
      </c>
      <c r="BF1076" s="2" t="s">
        <v>11865</v>
      </c>
      <c r="BH1076" s="1">
        <v>0.0</v>
      </c>
      <c r="BI1076" s="1" t="s">
        <v>1533</v>
      </c>
      <c r="BK1076" s="1" t="s">
        <v>204</v>
      </c>
      <c r="BL1076" s="1" t="str">
        <f t="shared" ref="BL1076:BM1076" si="718">""</f>
        <v/>
      </c>
      <c r="BM1076" s="1" t="str">
        <f t="shared" si="718"/>
        <v/>
      </c>
      <c r="BQ1076" s="1">
        <v>308.0</v>
      </c>
      <c r="BR1076" s="1">
        <v>308.0</v>
      </c>
      <c r="BS1076" s="1">
        <v>308.0</v>
      </c>
      <c r="BU1076" s="1" t="s">
        <v>584</v>
      </c>
      <c r="BV1076" s="1" t="s">
        <v>206</v>
      </c>
      <c r="BW1076" s="1" t="s">
        <v>210</v>
      </c>
      <c r="BX1076" s="1" t="s">
        <v>1549</v>
      </c>
      <c r="BY1076" s="1" t="s">
        <v>1395</v>
      </c>
      <c r="BZ1076" s="1" t="s">
        <v>209</v>
      </c>
      <c r="CA1076" s="1" t="s">
        <v>210</v>
      </c>
      <c r="CB1076" s="1" t="s">
        <v>1549</v>
      </c>
      <c r="CC1076" s="1" t="s">
        <v>663</v>
      </c>
      <c r="CD1076" s="1" t="s">
        <v>206</v>
      </c>
      <c r="CE1076" s="1" t="s">
        <v>210</v>
      </c>
      <c r="CF1076" s="1" t="s">
        <v>1549</v>
      </c>
      <c r="CG1076" s="1" t="s">
        <v>478</v>
      </c>
      <c r="CH1076" s="1" t="s">
        <v>209</v>
      </c>
      <c r="CI1076" s="1" t="s">
        <v>210</v>
      </c>
      <c r="CJ1076" s="1" t="s">
        <v>1549</v>
      </c>
      <c r="CK1076" s="1" t="s">
        <v>1417</v>
      </c>
      <c r="CL1076" s="1" t="s">
        <v>209</v>
      </c>
      <c r="CM1076" s="1" t="s">
        <v>210</v>
      </c>
      <c r="CN1076" s="1" t="s">
        <v>1549</v>
      </c>
      <c r="CO1076" s="1" t="s">
        <v>1352</v>
      </c>
      <c r="CP1076" s="1" t="s">
        <v>209</v>
      </c>
      <c r="CQ1076" s="1" t="s">
        <v>210</v>
      </c>
      <c r="CR1076" s="1" t="s">
        <v>1549</v>
      </c>
      <c r="CS1076" s="1" t="s">
        <v>1068</v>
      </c>
      <c r="CT1076" s="1" t="s">
        <v>206</v>
      </c>
      <c r="CU1076" s="1" t="s">
        <v>207</v>
      </c>
      <c r="CV1076" s="1" t="s">
        <v>1549</v>
      </c>
      <c r="CW1076" s="1" t="s">
        <v>743</v>
      </c>
      <c r="CX1076" s="1" t="s">
        <v>206</v>
      </c>
      <c r="CY1076" s="1" t="s">
        <v>210</v>
      </c>
      <c r="CZ1076" s="1" t="s">
        <v>1549</v>
      </c>
      <c r="DA1076" s="1" t="s">
        <v>200</v>
      </c>
      <c r="DC1076" s="1" t="s">
        <v>481</v>
      </c>
      <c r="DD1076" s="1" t="s">
        <v>396</v>
      </c>
      <c r="DE1076" s="1" t="s">
        <v>273</v>
      </c>
      <c r="DF1076" s="1" t="s">
        <v>219</v>
      </c>
      <c r="DG1076" s="1" t="s">
        <v>11866</v>
      </c>
      <c r="DH1076" s="1" t="s">
        <v>220</v>
      </c>
      <c r="DI1076" s="1" t="s">
        <v>8567</v>
      </c>
      <c r="DJ1076" s="1" t="s">
        <v>222</v>
      </c>
      <c r="DL1076" s="1" t="s">
        <v>223</v>
      </c>
      <c r="DM1076" s="1" t="s">
        <v>338</v>
      </c>
      <c r="DN1076" s="1" t="s">
        <v>485</v>
      </c>
      <c r="DO1076" s="1" t="s">
        <v>11867</v>
      </c>
      <c r="DP1076" s="1" t="s">
        <v>340</v>
      </c>
      <c r="DQ1076" s="1" t="s">
        <v>228</v>
      </c>
      <c r="DR1076" s="1" t="s">
        <v>229</v>
      </c>
      <c r="DS1076" s="1" t="s">
        <v>230</v>
      </c>
      <c r="DV1076" s="1" t="s">
        <v>408</v>
      </c>
      <c r="DW1076" s="1" t="s">
        <v>233</v>
      </c>
      <c r="DX1076" s="1" t="s">
        <v>234</v>
      </c>
      <c r="DY1076" s="1" t="s">
        <v>1051</v>
      </c>
      <c r="DZ1076" s="1" t="s">
        <v>282</v>
      </c>
      <c r="EA1076" s="1" t="s">
        <v>447</v>
      </c>
      <c r="EC1076" s="1" t="s">
        <v>237</v>
      </c>
      <c r="ED1076" s="1" t="s">
        <v>407</v>
      </c>
      <c r="EE1076" s="1" t="s">
        <v>493</v>
      </c>
      <c r="EG1076" s="1" t="s">
        <v>408</v>
      </c>
      <c r="EL1076" s="1" t="s">
        <v>3894</v>
      </c>
      <c r="EM1076" s="1" t="s">
        <v>206</v>
      </c>
      <c r="EN1076" s="1" t="s">
        <v>207</v>
      </c>
      <c r="EQ1076" s="1" t="s">
        <v>238</v>
      </c>
      <c r="EU1076" s="1" t="s">
        <v>238</v>
      </c>
      <c r="EY1076" s="1" t="s">
        <v>238</v>
      </c>
      <c r="FC1076" s="1" t="s">
        <v>238</v>
      </c>
      <c r="FF1076" s="1" t="s">
        <v>239</v>
      </c>
      <c r="FG1076" s="1" t="s">
        <v>192</v>
      </c>
      <c r="FH1076" s="1" t="s">
        <v>192</v>
      </c>
      <c r="FJ1076" s="1" t="s">
        <v>524</v>
      </c>
      <c r="FK1076" s="1" t="s">
        <v>229</v>
      </c>
      <c r="FL1076" s="1" t="s">
        <v>525</v>
      </c>
      <c r="FM1076" s="1">
        <v>22029.0</v>
      </c>
      <c r="FN1076" s="1" t="s">
        <v>526</v>
      </c>
      <c r="FO1076" s="1" t="s">
        <v>11868</v>
      </c>
      <c r="FP1076" s="1">
        <v>219868.0</v>
      </c>
      <c r="FQ1076" s="1" t="s">
        <v>11869</v>
      </c>
      <c r="FU1076" s="1" t="s">
        <v>11870</v>
      </c>
      <c r="FV1076" s="1" t="s">
        <v>200</v>
      </c>
      <c r="FW1076" s="1" t="s">
        <v>2754</v>
      </c>
      <c r="FZ1076" s="1" t="s">
        <v>229</v>
      </c>
      <c r="GA1076" s="1" t="s">
        <v>247</v>
      </c>
      <c r="GB1076" s="2">
        <v>42011.0</v>
      </c>
      <c r="GC1076" s="1" t="s">
        <v>11871</v>
      </c>
    </row>
    <row r="1077">
      <c r="A1077" s="1">
        <v>239900.0</v>
      </c>
      <c r="B1077" s="1" t="s">
        <v>185</v>
      </c>
      <c r="C1077" s="1" t="str">
        <f>"08644753"</f>
        <v>08644753</v>
      </c>
      <c r="D1077" s="1" t="s">
        <v>186</v>
      </c>
      <c r="F1077" s="1" t="str">
        <f>"543"</f>
        <v>543</v>
      </c>
      <c r="G1077" s="2">
        <v>41803.0</v>
      </c>
      <c r="H1077" s="1">
        <v>262000.0</v>
      </c>
      <c r="I1077" s="1">
        <v>157.0</v>
      </c>
      <c r="J1077" s="1">
        <v>239900.0</v>
      </c>
      <c r="K1077" s="2">
        <v>41959.0</v>
      </c>
      <c r="L1077" s="1">
        <v>157.0</v>
      </c>
      <c r="M1077" s="2">
        <v>41959.0</v>
      </c>
      <c r="N1077" s="1" t="s">
        <v>187</v>
      </c>
      <c r="O1077" s="2">
        <v>41984.0</v>
      </c>
      <c r="P1077" s="1">
        <v>235554.0</v>
      </c>
      <c r="Q1077" s="1">
        <v>24182.0</v>
      </c>
      <c r="S1077" s="1">
        <v>209.0</v>
      </c>
      <c r="T1077" s="1" t="s">
        <v>11794</v>
      </c>
      <c r="U1077" s="1" t="s">
        <v>569</v>
      </c>
      <c r="V1077" s="1" t="s">
        <v>1527</v>
      </c>
      <c r="W1077" s="1">
        <v>60543.0</v>
      </c>
      <c r="Y1077" s="1" t="s">
        <v>11872</v>
      </c>
      <c r="Z1077" s="1">
        <v>1994.0</v>
      </c>
      <c r="AA1077" s="1" t="s">
        <v>200</v>
      </c>
      <c r="AB1077" s="1" t="s">
        <v>193</v>
      </c>
      <c r="AC1077" s="1" t="s">
        <v>4982</v>
      </c>
      <c r="AD1077" s="1" t="s">
        <v>1529</v>
      </c>
      <c r="AE1077" s="1" t="s">
        <v>849</v>
      </c>
      <c r="AF1077" s="1" t="s">
        <v>1529</v>
      </c>
      <c r="AH1077" s="1" t="s">
        <v>11873</v>
      </c>
      <c r="AI1077" s="1">
        <v>0.2649</v>
      </c>
      <c r="AK1077" s="1">
        <v>7.0</v>
      </c>
      <c r="AL1077" s="1">
        <v>4.0</v>
      </c>
      <c r="AM1077" s="1">
        <v>3.0</v>
      </c>
      <c r="AN1077" s="1">
        <v>0.0</v>
      </c>
      <c r="AO1077" s="1" t="s">
        <v>198</v>
      </c>
      <c r="AQ1077" s="1" t="s">
        <v>5726</v>
      </c>
      <c r="AR1077" s="1" t="s">
        <v>200</v>
      </c>
      <c r="AS1077" s="1" t="s">
        <v>199</v>
      </c>
      <c r="AT1077" s="1">
        <v>2.0</v>
      </c>
      <c r="AV1077" s="1" t="s">
        <v>200</v>
      </c>
      <c r="AW1077" s="1">
        <v>4605.0</v>
      </c>
      <c r="AX1077" s="1">
        <v>2013.0</v>
      </c>
      <c r="AY1077" s="1" t="s">
        <v>387</v>
      </c>
      <c r="AZ1077" s="1" t="s">
        <v>200</v>
      </c>
      <c r="BA1077" s="1" t="str">
        <f>"0307454014"</f>
        <v>0307454014</v>
      </c>
      <c r="BC1077" s="1">
        <v>2400.0</v>
      </c>
      <c r="BD1077" s="1">
        <v>239900.0</v>
      </c>
      <c r="BE1077" s="2">
        <v>41803.0</v>
      </c>
      <c r="BF1077" s="2" t="s">
        <v>11874</v>
      </c>
      <c r="BG1077" s="1" t="s">
        <v>4985</v>
      </c>
      <c r="BH1077" s="1">
        <v>0.0</v>
      </c>
      <c r="BI1077" s="1" t="s">
        <v>1348</v>
      </c>
      <c r="BJ1077" s="1" t="s">
        <v>1349</v>
      </c>
      <c r="BK1077" s="1" t="s">
        <v>204</v>
      </c>
      <c r="BL1077" s="1" t="str">
        <f t="shared" ref="BL1077:BM1077" si="719">""</f>
        <v/>
      </c>
      <c r="BM1077" s="1" t="str">
        <f t="shared" si="719"/>
        <v/>
      </c>
      <c r="BQ1077" s="1">
        <v>308.0</v>
      </c>
      <c r="BR1077" s="1">
        <v>308.0</v>
      </c>
      <c r="BS1077" s="1">
        <v>308.0</v>
      </c>
      <c r="BU1077" s="1" t="s">
        <v>616</v>
      </c>
      <c r="BV1077" s="1" t="s">
        <v>206</v>
      </c>
      <c r="BW1077" s="1" t="s">
        <v>207</v>
      </c>
      <c r="BX1077" s="1" t="s">
        <v>239</v>
      </c>
      <c r="BY1077" s="1" t="s">
        <v>664</v>
      </c>
      <c r="BZ1077" s="1" t="s">
        <v>391</v>
      </c>
      <c r="CA1077" s="1" t="s">
        <v>207</v>
      </c>
      <c r="CB1077" s="1" t="s">
        <v>239</v>
      </c>
      <c r="CD1077" s="1" t="s">
        <v>204</v>
      </c>
      <c r="CG1077" s="1" t="s">
        <v>212</v>
      </c>
      <c r="CH1077" s="1" t="s">
        <v>209</v>
      </c>
      <c r="CI1077" s="1" t="s">
        <v>207</v>
      </c>
      <c r="CJ1077" s="1" t="s">
        <v>239</v>
      </c>
      <c r="CK1077" s="1" t="s">
        <v>262</v>
      </c>
      <c r="CL1077" s="1" t="s">
        <v>209</v>
      </c>
      <c r="CM1077" s="1" t="s">
        <v>207</v>
      </c>
      <c r="CN1077" s="1" t="s">
        <v>239</v>
      </c>
      <c r="CO1077" s="1" t="s">
        <v>212</v>
      </c>
      <c r="CP1077" s="1" t="s">
        <v>209</v>
      </c>
      <c r="CQ1077" s="1" t="s">
        <v>207</v>
      </c>
      <c r="CR1077" s="1" t="s">
        <v>239</v>
      </c>
      <c r="CS1077" s="1" t="s">
        <v>1158</v>
      </c>
      <c r="CT1077" s="1" t="s">
        <v>206</v>
      </c>
      <c r="CU1077" s="1" t="s">
        <v>207</v>
      </c>
      <c r="CV1077" s="1" t="s">
        <v>239</v>
      </c>
      <c r="CW1077" s="1" t="s">
        <v>453</v>
      </c>
      <c r="CX1077" s="1" t="s">
        <v>267</v>
      </c>
      <c r="CY1077" s="1" t="s">
        <v>210</v>
      </c>
      <c r="CZ1077" s="1" t="s">
        <v>239</v>
      </c>
      <c r="DA1077" s="1" t="s">
        <v>200</v>
      </c>
      <c r="DC1077" s="1" t="s">
        <v>678</v>
      </c>
      <c r="DE1077" s="1" t="s">
        <v>273</v>
      </c>
      <c r="DF1077" s="1" t="s">
        <v>619</v>
      </c>
      <c r="DG1077" s="1" t="s">
        <v>11875</v>
      </c>
      <c r="DH1077" s="1" t="s">
        <v>220</v>
      </c>
      <c r="DI1077" s="1" t="s">
        <v>11876</v>
      </c>
      <c r="DJ1077" s="1" t="s">
        <v>222</v>
      </c>
      <c r="DL1077" s="1" t="s">
        <v>224</v>
      </c>
      <c r="DM1077" s="1" t="s">
        <v>229</v>
      </c>
      <c r="DN1077" s="1" t="s">
        <v>485</v>
      </c>
      <c r="DO1077" s="1" t="s">
        <v>549</v>
      </c>
      <c r="DQ1077" s="1" t="s">
        <v>441</v>
      </c>
      <c r="DR1077" s="1" t="s">
        <v>229</v>
      </c>
      <c r="DS1077" s="1" t="s">
        <v>591</v>
      </c>
      <c r="DV1077" s="1" t="s">
        <v>409</v>
      </c>
      <c r="DW1077" s="1" t="s">
        <v>444</v>
      </c>
      <c r="DX1077" s="1" t="s">
        <v>5015</v>
      </c>
      <c r="DY1077" s="1" t="s">
        <v>704</v>
      </c>
      <c r="DZ1077" s="1" t="s">
        <v>11877</v>
      </c>
      <c r="EC1077" s="1" t="s">
        <v>406</v>
      </c>
      <c r="ED1077" s="1" t="s">
        <v>407</v>
      </c>
      <c r="EE1077" s="1" t="s">
        <v>493</v>
      </c>
      <c r="EG1077" s="1" t="s">
        <v>409</v>
      </c>
      <c r="EL1077" s="1" t="s">
        <v>263</v>
      </c>
      <c r="EM1077" s="1" t="s">
        <v>391</v>
      </c>
      <c r="EN1077" s="1" t="s">
        <v>207</v>
      </c>
      <c r="EQ1077" s="1" t="s">
        <v>238</v>
      </c>
      <c r="EU1077" s="1" t="s">
        <v>238</v>
      </c>
      <c r="EY1077" s="1" t="s">
        <v>238</v>
      </c>
      <c r="FC1077" s="1" t="s">
        <v>238</v>
      </c>
      <c r="FF1077" s="1" t="s">
        <v>239</v>
      </c>
      <c r="FG1077" s="1" t="s">
        <v>192</v>
      </c>
      <c r="FH1077" s="1" t="s">
        <v>192</v>
      </c>
      <c r="FJ1077" s="1" t="s">
        <v>2552</v>
      </c>
      <c r="FK1077" s="1" t="s">
        <v>229</v>
      </c>
      <c r="FL1077" s="1" t="s">
        <v>1007</v>
      </c>
      <c r="FM1077" s="1">
        <v>23196.0</v>
      </c>
      <c r="FN1077" s="1" t="s">
        <v>3741</v>
      </c>
      <c r="FO1077" s="1" t="s">
        <v>11878</v>
      </c>
      <c r="FP1077" s="1">
        <v>231054.0</v>
      </c>
      <c r="FQ1077" s="1" t="s">
        <v>11879</v>
      </c>
      <c r="FU1077" s="1" t="s">
        <v>11749</v>
      </c>
      <c r="FV1077" s="1" t="s">
        <v>200</v>
      </c>
      <c r="FW1077" s="1" t="s">
        <v>290</v>
      </c>
      <c r="FZ1077" s="1" t="s">
        <v>229</v>
      </c>
      <c r="GA1077" s="1" t="s">
        <v>291</v>
      </c>
      <c r="GB1077" s="2">
        <v>41984.0</v>
      </c>
      <c r="GC1077" s="1" t="s">
        <v>11880</v>
      </c>
    </row>
    <row r="1078">
      <c r="A1078" s="1">
        <v>13000.0</v>
      </c>
      <c r="B1078" s="1" t="s">
        <v>185</v>
      </c>
      <c r="C1078" s="1" t="str">
        <f>"08643354"</f>
        <v>08643354</v>
      </c>
      <c r="D1078" s="1" t="s">
        <v>186</v>
      </c>
      <c r="F1078" s="1" t="str">
        <f>"8067"</f>
        <v>8067</v>
      </c>
      <c r="G1078" s="2">
        <v>41802.0</v>
      </c>
      <c r="H1078" s="1">
        <v>80000.0</v>
      </c>
      <c r="I1078" s="1">
        <v>156.0</v>
      </c>
      <c r="J1078" s="1">
        <v>16403.0</v>
      </c>
      <c r="K1078" s="2">
        <v>41957.0</v>
      </c>
      <c r="L1078" s="1">
        <v>156.0</v>
      </c>
      <c r="M1078" s="2">
        <v>41957.0</v>
      </c>
      <c r="N1078" s="1" t="s">
        <v>249</v>
      </c>
      <c r="O1078" s="2">
        <v>41991.0</v>
      </c>
      <c r="P1078" s="1">
        <v>226782.0</v>
      </c>
      <c r="Q1078" s="1">
        <v>23426.0</v>
      </c>
      <c r="S1078" s="1">
        <v>1307.0</v>
      </c>
      <c r="T1078" s="1" t="s">
        <v>11881</v>
      </c>
      <c r="U1078" s="1" t="s">
        <v>320</v>
      </c>
      <c r="V1078" s="1" t="s">
        <v>190</v>
      </c>
      <c r="W1078" s="1">
        <v>60636.0</v>
      </c>
      <c r="Y1078" s="1" t="s">
        <v>11882</v>
      </c>
      <c r="Z1078" s="1">
        <v>1916.0</v>
      </c>
      <c r="AA1078" s="1" t="s">
        <v>192</v>
      </c>
      <c r="AB1078" s="1" t="s">
        <v>193</v>
      </c>
      <c r="AD1078" s="1" t="s">
        <v>194</v>
      </c>
      <c r="AE1078" s="1" t="s">
        <v>195</v>
      </c>
      <c r="AF1078" s="1" t="s">
        <v>659</v>
      </c>
      <c r="AH1078" s="1">
        <v>3625.0</v>
      </c>
      <c r="AK1078" s="1">
        <v>7.0</v>
      </c>
      <c r="AL1078" s="1">
        <v>4.0</v>
      </c>
      <c r="AM1078" s="1">
        <v>1.0</v>
      </c>
      <c r="AN1078" s="1">
        <v>0.0</v>
      </c>
      <c r="AO1078" s="1" t="s">
        <v>229</v>
      </c>
      <c r="AQ1078" s="1" t="s">
        <v>198</v>
      </c>
      <c r="AR1078" s="1" t="s">
        <v>192</v>
      </c>
      <c r="AS1078" s="1" t="s">
        <v>199</v>
      </c>
      <c r="AT1078" s="1">
        <v>2.0</v>
      </c>
      <c r="AV1078" s="1" t="s">
        <v>200</v>
      </c>
      <c r="AW1078" s="1">
        <v>1255.0</v>
      </c>
      <c r="AX1078" s="1">
        <v>2012.0</v>
      </c>
      <c r="AZ1078" s="1" t="s">
        <v>200</v>
      </c>
      <c r="BA1078" s="1" t="str">
        <f>"20291130110000"</f>
        <v>20291130110000</v>
      </c>
      <c r="BC1078" s="1">
        <v>1170.0</v>
      </c>
      <c r="BD1078" s="1">
        <v>13000.0</v>
      </c>
      <c r="BE1078" s="2">
        <v>41802.0</v>
      </c>
      <c r="BF1078" s="1" t="s">
        <v>11883</v>
      </c>
      <c r="BH1078" s="1">
        <v>0.0</v>
      </c>
      <c r="BK1078" s="1" t="s">
        <v>204</v>
      </c>
      <c r="BL1078" s="1" t="str">
        <f t="shared" ref="BL1078:BM1078" si="720">"0"</f>
        <v>0</v>
      </c>
      <c r="BM1078" s="1" t="str">
        <f t="shared" si="720"/>
        <v>0</v>
      </c>
      <c r="BN1078" s="1">
        <v>1307.0</v>
      </c>
      <c r="BO1078" s="1">
        <v>7200.0</v>
      </c>
      <c r="BQ1078" s="1">
        <v>299.0</v>
      </c>
      <c r="BR1078" s="1">
        <v>299.0</v>
      </c>
      <c r="BS1078" s="1">
        <v>299.0</v>
      </c>
      <c r="BU1078" s="1" t="s">
        <v>363</v>
      </c>
      <c r="BV1078" s="1" t="s">
        <v>206</v>
      </c>
      <c r="BW1078" s="1" t="s">
        <v>210</v>
      </c>
      <c r="BX1078" s="1" t="s">
        <v>229</v>
      </c>
      <c r="BY1078" s="1" t="s">
        <v>363</v>
      </c>
      <c r="BZ1078" s="1" t="s">
        <v>206</v>
      </c>
      <c r="CA1078" s="1" t="s">
        <v>210</v>
      </c>
      <c r="CB1078" s="1" t="s">
        <v>229</v>
      </c>
      <c r="CC1078" s="1" t="s">
        <v>363</v>
      </c>
      <c r="CD1078" s="1" t="s">
        <v>206</v>
      </c>
      <c r="CE1078" s="1" t="s">
        <v>210</v>
      </c>
      <c r="CF1078" s="1" t="s">
        <v>229</v>
      </c>
      <c r="CG1078" s="1" t="s">
        <v>212</v>
      </c>
      <c r="CH1078" s="1" t="s">
        <v>206</v>
      </c>
      <c r="CI1078" s="1" t="s">
        <v>210</v>
      </c>
      <c r="CJ1078" s="1" t="s">
        <v>229</v>
      </c>
      <c r="CK1078" s="1" t="s">
        <v>495</v>
      </c>
      <c r="CL1078" s="1" t="s">
        <v>209</v>
      </c>
      <c r="CM1078" s="1" t="s">
        <v>210</v>
      </c>
      <c r="CN1078" s="1" t="s">
        <v>229</v>
      </c>
      <c r="CO1078" s="1" t="s">
        <v>269</v>
      </c>
      <c r="CP1078" s="1" t="s">
        <v>209</v>
      </c>
      <c r="CQ1078" s="1" t="s">
        <v>210</v>
      </c>
      <c r="CR1078" s="1" t="s">
        <v>229</v>
      </c>
      <c r="CS1078" s="1" t="s">
        <v>264</v>
      </c>
      <c r="CT1078" s="1" t="s">
        <v>206</v>
      </c>
      <c r="CU1078" s="1" t="s">
        <v>268</v>
      </c>
      <c r="CV1078" s="1" t="s">
        <v>229</v>
      </c>
      <c r="CX1078" s="1" t="s">
        <v>204</v>
      </c>
      <c r="DA1078" s="1" t="s">
        <v>200</v>
      </c>
      <c r="DC1078" s="1" t="s">
        <v>216</v>
      </c>
      <c r="DE1078" s="1" t="s">
        <v>229</v>
      </c>
      <c r="DF1078" s="1" t="s">
        <v>4086</v>
      </c>
      <c r="DH1078" s="1" t="s">
        <v>365</v>
      </c>
      <c r="DJ1078" s="1" t="s">
        <v>222</v>
      </c>
      <c r="DL1078" s="1" t="s">
        <v>224</v>
      </c>
      <c r="DM1078" s="1" t="s">
        <v>229</v>
      </c>
      <c r="DQ1078" s="1" t="s">
        <v>228</v>
      </c>
      <c r="DR1078" s="1" t="s">
        <v>229</v>
      </c>
      <c r="DS1078" s="1" t="s">
        <v>277</v>
      </c>
      <c r="DV1078" s="1" t="s">
        <v>232</v>
      </c>
      <c r="DW1078" s="1" t="s">
        <v>667</v>
      </c>
      <c r="DX1078" s="1" t="s">
        <v>234</v>
      </c>
      <c r="EC1078" s="1" t="s">
        <v>237</v>
      </c>
      <c r="EM1078" s="1" t="s">
        <v>238</v>
      </c>
      <c r="EQ1078" s="1" t="s">
        <v>238</v>
      </c>
      <c r="EU1078" s="1" t="s">
        <v>238</v>
      </c>
      <c r="EY1078" s="1" t="s">
        <v>238</v>
      </c>
      <c r="FC1078" s="1" t="s">
        <v>238</v>
      </c>
      <c r="FF1078" s="1" t="s">
        <v>239</v>
      </c>
      <c r="FG1078" s="1" t="s">
        <v>192</v>
      </c>
      <c r="FH1078" s="1" t="s">
        <v>192</v>
      </c>
      <c r="FJ1078" s="1" t="s">
        <v>11884</v>
      </c>
      <c r="FK1078" s="1" t="s">
        <v>229</v>
      </c>
      <c r="FL1078" s="1" t="s">
        <v>11622</v>
      </c>
      <c r="FM1078" s="1">
        <v>16339.0</v>
      </c>
      <c r="FN1078" s="1" t="s">
        <v>11623</v>
      </c>
      <c r="FO1078" s="1" t="s">
        <v>11624</v>
      </c>
      <c r="FP1078" s="1">
        <v>106496.0</v>
      </c>
      <c r="FR1078" s="1">
        <v>165879.0</v>
      </c>
      <c r="FU1078" s="1" t="s">
        <v>11885</v>
      </c>
      <c r="FV1078" s="1" t="s">
        <v>200</v>
      </c>
      <c r="FW1078" s="1" t="s">
        <v>11886</v>
      </c>
      <c r="FX1078" s="1" t="s">
        <v>246</v>
      </c>
      <c r="FZ1078" s="1" t="s">
        <v>229</v>
      </c>
      <c r="GA1078" s="1" t="s">
        <v>291</v>
      </c>
      <c r="GB1078" s="2">
        <v>41995.0</v>
      </c>
      <c r="GC1078" s="1" t="s">
        <v>11887</v>
      </c>
    </row>
    <row r="1079">
      <c r="A1079" s="1">
        <v>264000.0</v>
      </c>
      <c r="B1079" s="1" t="s">
        <v>185</v>
      </c>
      <c r="C1079" s="1" t="str">
        <f>"08647139"</f>
        <v>08647139</v>
      </c>
      <c r="D1079" s="1" t="s">
        <v>186</v>
      </c>
      <c r="F1079" s="1" t="str">
        <f>"543"</f>
        <v>543</v>
      </c>
      <c r="G1079" s="2">
        <v>41807.0</v>
      </c>
      <c r="H1079" s="1">
        <v>299900.0</v>
      </c>
      <c r="I1079" s="1">
        <v>225.0</v>
      </c>
      <c r="J1079" s="1">
        <v>259900.0</v>
      </c>
      <c r="K1079" s="2">
        <v>41955.0</v>
      </c>
      <c r="L1079" s="1">
        <v>149.0</v>
      </c>
      <c r="M1079" s="2">
        <v>41955.0</v>
      </c>
      <c r="N1079" s="1" t="s">
        <v>634</v>
      </c>
      <c r="O1079" s="2">
        <v>42013.0</v>
      </c>
      <c r="P1079" s="1">
        <v>241512.0</v>
      </c>
      <c r="Q1079" s="1">
        <v>23156.0</v>
      </c>
      <c r="R1079" s="1">
        <v>6000.0</v>
      </c>
      <c r="S1079" s="1">
        <v>510.0</v>
      </c>
      <c r="T1079" s="1" t="s">
        <v>11888</v>
      </c>
      <c r="U1079" s="1" t="s">
        <v>420</v>
      </c>
      <c r="V1079" s="1" t="s">
        <v>1527</v>
      </c>
      <c r="W1079" s="1">
        <v>60543.0</v>
      </c>
      <c r="Y1079" s="1" t="s">
        <v>11889</v>
      </c>
      <c r="Z1079" s="1">
        <v>1993.0</v>
      </c>
      <c r="AA1079" s="1" t="s">
        <v>200</v>
      </c>
      <c r="AB1079" s="1" t="s">
        <v>467</v>
      </c>
      <c r="AC1079" s="1" t="s">
        <v>11890</v>
      </c>
      <c r="AD1079" s="1" t="s">
        <v>1529</v>
      </c>
      <c r="AE1079" s="1" t="s">
        <v>849</v>
      </c>
      <c r="AF1079" s="1" t="s">
        <v>1529</v>
      </c>
      <c r="AH1079" s="1" t="s">
        <v>11891</v>
      </c>
      <c r="AK1079" s="1">
        <v>10.0</v>
      </c>
      <c r="AL1079" s="1">
        <v>4.0</v>
      </c>
      <c r="AM1079" s="1">
        <v>3.0</v>
      </c>
      <c r="AN1079" s="1">
        <v>1.0</v>
      </c>
      <c r="AO1079" s="1" t="s">
        <v>198</v>
      </c>
      <c r="AP1079" s="1">
        <v>1.0</v>
      </c>
      <c r="AQ1079" s="1" t="s">
        <v>327</v>
      </c>
      <c r="AR1079" s="1" t="s">
        <v>192</v>
      </c>
      <c r="AS1079" s="1" t="s">
        <v>199</v>
      </c>
      <c r="AT1079" s="1">
        <v>2.5</v>
      </c>
      <c r="AV1079" s="1" t="s">
        <v>192</v>
      </c>
      <c r="AW1079" s="1">
        <v>9335.48</v>
      </c>
      <c r="AX1079" s="1">
        <v>2013.0</v>
      </c>
      <c r="AY1079" s="1" t="s">
        <v>229</v>
      </c>
      <c r="AZ1079" s="1" t="s">
        <v>200</v>
      </c>
      <c r="BA1079" s="1" t="str">
        <f>"0309424024"</f>
        <v>0309424024</v>
      </c>
      <c r="BC1079" s="1">
        <v>2606.0</v>
      </c>
      <c r="BD1079" s="1">
        <v>264000.0</v>
      </c>
      <c r="BE1079" s="2">
        <v>41807.0</v>
      </c>
      <c r="BF1079" s="2" t="s">
        <v>11892</v>
      </c>
      <c r="BG1079" s="1" t="s">
        <v>4366</v>
      </c>
      <c r="BH1079" s="1">
        <v>356.0</v>
      </c>
      <c r="BI1079" s="1" t="s">
        <v>1348</v>
      </c>
      <c r="BJ1079" s="1" t="s">
        <v>1349</v>
      </c>
      <c r="BK1079" s="1" t="s">
        <v>580</v>
      </c>
      <c r="BL1079" s="1" t="str">
        <f t="shared" ref="BL1079:BM1079" si="721">"0"</f>
        <v>0</v>
      </c>
      <c r="BM1079" s="1" t="str">
        <f t="shared" si="721"/>
        <v>0</v>
      </c>
      <c r="BN1079" s="1">
        <v>36.0</v>
      </c>
      <c r="BO1079" s="1">
        <v>11.0</v>
      </c>
      <c r="BQ1079" s="1">
        <v>308.0</v>
      </c>
      <c r="BR1079" s="1">
        <v>308.0</v>
      </c>
      <c r="BS1079" s="1">
        <v>308.0</v>
      </c>
      <c r="BU1079" s="1" t="s">
        <v>582</v>
      </c>
      <c r="BV1079" s="1" t="s">
        <v>206</v>
      </c>
      <c r="BW1079" s="1" t="s">
        <v>207</v>
      </c>
      <c r="BX1079" s="1" t="s">
        <v>431</v>
      </c>
      <c r="BY1079" s="1" t="s">
        <v>784</v>
      </c>
      <c r="BZ1079" s="1" t="s">
        <v>209</v>
      </c>
      <c r="CA1079" s="1" t="s">
        <v>210</v>
      </c>
      <c r="CB1079" s="1" t="s">
        <v>431</v>
      </c>
      <c r="CC1079" s="1" t="s">
        <v>215</v>
      </c>
      <c r="CD1079" s="1" t="s">
        <v>206</v>
      </c>
      <c r="CE1079" s="1" t="s">
        <v>207</v>
      </c>
      <c r="CF1079" s="1" t="s">
        <v>431</v>
      </c>
      <c r="CG1079" s="1" t="s">
        <v>363</v>
      </c>
      <c r="CH1079" s="1" t="s">
        <v>209</v>
      </c>
      <c r="CI1079" s="1" t="s">
        <v>210</v>
      </c>
      <c r="CK1079" s="1" t="s">
        <v>363</v>
      </c>
      <c r="CL1079" s="1" t="s">
        <v>209</v>
      </c>
      <c r="CM1079" s="1" t="s">
        <v>1790</v>
      </c>
      <c r="CN1079" s="1" t="s">
        <v>431</v>
      </c>
      <c r="CO1079" s="1" t="s">
        <v>212</v>
      </c>
      <c r="CP1079" s="1" t="s">
        <v>209</v>
      </c>
      <c r="CQ1079" s="1" t="s">
        <v>210</v>
      </c>
      <c r="CR1079" s="1" t="s">
        <v>431</v>
      </c>
      <c r="CS1079" s="1" t="s">
        <v>454</v>
      </c>
      <c r="CT1079" s="1" t="s">
        <v>206</v>
      </c>
      <c r="CU1079" s="1" t="s">
        <v>268</v>
      </c>
      <c r="CV1079" s="1" t="s">
        <v>431</v>
      </c>
      <c r="CW1079" s="1" t="s">
        <v>1892</v>
      </c>
      <c r="CX1079" s="1" t="s">
        <v>206</v>
      </c>
      <c r="CY1079" s="1" t="s">
        <v>207</v>
      </c>
      <c r="CZ1079" s="1" t="s">
        <v>431</v>
      </c>
      <c r="DA1079" s="1" t="s">
        <v>200</v>
      </c>
      <c r="DC1079" s="1" t="s">
        <v>435</v>
      </c>
      <c r="DD1079" s="1" t="s">
        <v>926</v>
      </c>
      <c r="DE1079" s="1" t="s">
        <v>273</v>
      </c>
      <c r="DF1079" s="1" t="s">
        <v>219</v>
      </c>
      <c r="DG1079" s="1" t="s">
        <v>1020</v>
      </c>
      <c r="DH1079" s="1" t="s">
        <v>220</v>
      </c>
      <c r="DI1079" s="1" t="s">
        <v>589</v>
      </c>
      <c r="DJ1079" s="1" t="s">
        <v>222</v>
      </c>
      <c r="DK1079" s="1" t="s">
        <v>223</v>
      </c>
      <c r="DL1079" s="1" t="s">
        <v>1814</v>
      </c>
      <c r="DM1079" s="1" t="s">
        <v>338</v>
      </c>
      <c r="DN1079" s="1" t="s">
        <v>399</v>
      </c>
      <c r="DO1079" s="1" t="s">
        <v>11893</v>
      </c>
      <c r="DP1079" s="1" t="s">
        <v>340</v>
      </c>
      <c r="DQ1079" s="1" t="s">
        <v>228</v>
      </c>
      <c r="DR1079" s="1" t="s">
        <v>1487</v>
      </c>
      <c r="DS1079" s="1" t="s">
        <v>230</v>
      </c>
      <c r="DU1079" s="1" t="s">
        <v>11894</v>
      </c>
      <c r="DV1079" s="1" t="s">
        <v>11895</v>
      </c>
      <c r="DW1079" s="1" t="s">
        <v>764</v>
      </c>
      <c r="DX1079" s="1" t="s">
        <v>234</v>
      </c>
      <c r="DY1079" s="1" t="s">
        <v>490</v>
      </c>
      <c r="DZ1079" s="1" t="s">
        <v>1405</v>
      </c>
      <c r="EA1079" s="1" t="s">
        <v>344</v>
      </c>
      <c r="EB1079" s="1" t="s">
        <v>345</v>
      </c>
      <c r="EC1079" s="1" t="s">
        <v>237</v>
      </c>
      <c r="ED1079" s="1" t="s">
        <v>407</v>
      </c>
      <c r="EG1079" s="1" t="s">
        <v>598</v>
      </c>
      <c r="EH1079" s="1" t="s">
        <v>408</v>
      </c>
      <c r="EI1079" s="1" t="s">
        <v>449</v>
      </c>
      <c r="EL1079" s="1" t="s">
        <v>495</v>
      </c>
      <c r="EM1079" s="1" t="s">
        <v>209</v>
      </c>
      <c r="EN1079" s="1" t="s">
        <v>1790</v>
      </c>
      <c r="EO1079" s="1" t="s">
        <v>431</v>
      </c>
      <c r="EP1079" s="1" t="s">
        <v>495</v>
      </c>
      <c r="EQ1079" s="1" t="s">
        <v>206</v>
      </c>
      <c r="ER1079" s="1" t="s">
        <v>207</v>
      </c>
      <c r="ET1079" s="1" t="s">
        <v>263</v>
      </c>
      <c r="EU1079" s="1" t="s">
        <v>206</v>
      </c>
      <c r="EV1079" s="1" t="s">
        <v>268</v>
      </c>
      <c r="EW1079" s="1" t="s">
        <v>431</v>
      </c>
      <c r="EY1079" s="1" t="s">
        <v>238</v>
      </c>
      <c r="FC1079" s="1" t="s">
        <v>238</v>
      </c>
      <c r="FF1079" s="1" t="s">
        <v>239</v>
      </c>
      <c r="FG1079" s="1" t="s">
        <v>192</v>
      </c>
      <c r="FH1079" s="1" t="s">
        <v>192</v>
      </c>
      <c r="FJ1079" s="1" t="s">
        <v>347</v>
      </c>
      <c r="FK1079" s="1" t="s">
        <v>229</v>
      </c>
      <c r="FL1079" s="1" t="s">
        <v>11896</v>
      </c>
      <c r="FM1079" s="1">
        <v>24716.0</v>
      </c>
      <c r="FN1079" s="1" t="s">
        <v>11897</v>
      </c>
      <c r="FO1079" s="1" t="s">
        <v>11898</v>
      </c>
      <c r="FP1079" s="1">
        <v>235596.0</v>
      </c>
      <c r="FQ1079" s="1" t="s">
        <v>11899</v>
      </c>
      <c r="FS1079" s="1" t="s">
        <v>11900</v>
      </c>
      <c r="FU1079" s="1" t="s">
        <v>1882</v>
      </c>
      <c r="FV1079" s="1" t="s">
        <v>200</v>
      </c>
      <c r="FW1079" s="1" t="s">
        <v>654</v>
      </c>
      <c r="FZ1079" s="1" t="s">
        <v>229</v>
      </c>
      <c r="GA1079" s="1" t="s">
        <v>291</v>
      </c>
      <c r="GB1079" s="2">
        <v>42016.0</v>
      </c>
    </row>
    <row r="1080">
      <c r="A1080" s="1">
        <v>665000.0</v>
      </c>
      <c r="B1080" s="1" t="s">
        <v>185</v>
      </c>
      <c r="C1080" s="1" t="str">
        <f>"08666462"</f>
        <v>08666462</v>
      </c>
      <c r="D1080" s="1" t="s">
        <v>186</v>
      </c>
      <c r="F1080" s="1" t="str">
        <f>"8016"</f>
        <v>8016</v>
      </c>
      <c r="G1080" s="2">
        <v>41828.0</v>
      </c>
      <c r="H1080" s="1">
        <v>739900.0</v>
      </c>
      <c r="I1080" s="1">
        <v>254.0</v>
      </c>
      <c r="J1080" s="1">
        <v>699000.0</v>
      </c>
      <c r="K1080" s="2">
        <v>42080.0</v>
      </c>
      <c r="L1080" s="1">
        <v>254.0</v>
      </c>
      <c r="M1080" s="2">
        <v>42080.0</v>
      </c>
      <c r="N1080" s="1" t="s">
        <v>187</v>
      </c>
      <c r="O1080" s="2">
        <v>42123.0</v>
      </c>
      <c r="P1080" s="1">
        <v>108861.0</v>
      </c>
      <c r="Q1080" s="1">
        <v>84025.0</v>
      </c>
      <c r="S1080" s="1">
        <v>3824.0</v>
      </c>
      <c r="T1080" s="1" t="s">
        <v>3339</v>
      </c>
      <c r="U1080" s="1" t="s">
        <v>189</v>
      </c>
      <c r="V1080" s="1" t="s">
        <v>190</v>
      </c>
      <c r="W1080" s="1">
        <v>60641.0</v>
      </c>
      <c r="X1080" s="1">
        <v>3021.0</v>
      </c>
      <c r="Y1080" s="1" t="s">
        <v>11901</v>
      </c>
      <c r="Z1080" s="1">
        <v>1874.0</v>
      </c>
      <c r="AA1080" s="1" t="s">
        <v>192</v>
      </c>
      <c r="AB1080" s="1" t="s">
        <v>193</v>
      </c>
      <c r="AC1080" s="1" t="s">
        <v>11902</v>
      </c>
      <c r="AD1080" s="1" t="s">
        <v>194</v>
      </c>
      <c r="AE1080" s="1" t="s">
        <v>195</v>
      </c>
      <c r="AF1080" s="1" t="s">
        <v>196</v>
      </c>
      <c r="AH1080" s="1" t="s">
        <v>11903</v>
      </c>
      <c r="AK1080" s="1">
        <v>11.0</v>
      </c>
      <c r="AL1080" s="1">
        <v>4.0</v>
      </c>
      <c r="AM1080" s="1">
        <v>2.0</v>
      </c>
      <c r="AN1080" s="1">
        <v>0.0</v>
      </c>
      <c r="AO1080" s="1" t="s">
        <v>229</v>
      </c>
      <c r="AP1080" s="1">
        <v>1.0</v>
      </c>
      <c r="AQ1080" s="1" t="s">
        <v>198</v>
      </c>
      <c r="AR1080" s="1" t="s">
        <v>200</v>
      </c>
      <c r="AS1080" s="1" t="s">
        <v>199</v>
      </c>
      <c r="AT1080" s="1">
        <v>2.0</v>
      </c>
      <c r="AV1080" s="1" t="s">
        <v>200</v>
      </c>
      <c r="AW1080" s="1">
        <v>9697.65</v>
      </c>
      <c r="AX1080" s="1">
        <v>2013.0</v>
      </c>
      <c r="AY1080" s="1" t="s">
        <v>387</v>
      </c>
      <c r="AZ1080" s="1" t="s">
        <v>200</v>
      </c>
      <c r="BA1080" s="1" t="str">
        <f>"13222100220000"</f>
        <v>13222100220000</v>
      </c>
      <c r="BB1080" s="1" t="s">
        <v>200</v>
      </c>
      <c r="BC1080" s="1">
        <v>2836.0</v>
      </c>
      <c r="BD1080" s="1">
        <v>665000.0</v>
      </c>
      <c r="BE1080" s="2">
        <v>41827.0</v>
      </c>
      <c r="BF1080" s="2" t="s">
        <v>11904</v>
      </c>
      <c r="BG1080" s="1" t="s">
        <v>9125</v>
      </c>
      <c r="BH1080" s="1">
        <v>0.0</v>
      </c>
      <c r="BJ1080" s="1" t="s">
        <v>203</v>
      </c>
      <c r="BK1080" s="1" t="s">
        <v>204</v>
      </c>
      <c r="BL1080" s="1" t="str">
        <f>"3824"</f>
        <v>3824</v>
      </c>
      <c r="BM1080" s="1" t="str">
        <f>"0"</f>
        <v>0</v>
      </c>
      <c r="BN1080" s="1">
        <v>4200.0</v>
      </c>
      <c r="BO1080" s="1">
        <v>0.0</v>
      </c>
      <c r="BQ1080" s="1">
        <v>299.0</v>
      </c>
      <c r="BR1080" s="1">
        <v>299.0</v>
      </c>
      <c r="BS1080" s="1">
        <v>299.0</v>
      </c>
      <c r="BU1080" s="1" t="s">
        <v>2059</v>
      </c>
      <c r="BV1080" s="1" t="s">
        <v>206</v>
      </c>
      <c r="BW1080" s="1" t="s">
        <v>207</v>
      </c>
      <c r="BY1080" s="1" t="s">
        <v>743</v>
      </c>
      <c r="BZ1080" s="1" t="s">
        <v>209</v>
      </c>
      <c r="CA1080" s="1" t="s">
        <v>207</v>
      </c>
      <c r="CC1080" s="1" t="s">
        <v>515</v>
      </c>
      <c r="CD1080" s="1" t="s">
        <v>206</v>
      </c>
      <c r="CE1080" s="1" t="s">
        <v>207</v>
      </c>
      <c r="CG1080" s="1" t="s">
        <v>393</v>
      </c>
      <c r="CH1080" s="1" t="s">
        <v>209</v>
      </c>
      <c r="CI1080" s="1" t="s">
        <v>207</v>
      </c>
      <c r="CK1080" s="1" t="s">
        <v>2166</v>
      </c>
      <c r="CL1080" s="1" t="s">
        <v>209</v>
      </c>
      <c r="CM1080" s="1" t="s">
        <v>207</v>
      </c>
      <c r="CO1080" s="1" t="s">
        <v>1119</v>
      </c>
      <c r="CP1080" s="1" t="s">
        <v>209</v>
      </c>
      <c r="CQ1080" s="1" t="s">
        <v>207</v>
      </c>
      <c r="CS1080" s="1" t="s">
        <v>215</v>
      </c>
      <c r="CT1080" s="1" t="s">
        <v>206</v>
      </c>
      <c r="CU1080" s="1" t="s">
        <v>207</v>
      </c>
      <c r="CW1080" s="1" t="s">
        <v>433</v>
      </c>
      <c r="CX1080" s="1" t="s">
        <v>206</v>
      </c>
      <c r="CY1080" s="1" t="s">
        <v>210</v>
      </c>
      <c r="DA1080" s="1" t="s">
        <v>200</v>
      </c>
      <c r="DC1080" s="1" t="s">
        <v>642</v>
      </c>
      <c r="DD1080" s="1" t="s">
        <v>518</v>
      </c>
      <c r="DE1080" s="1" t="s">
        <v>7068</v>
      </c>
      <c r="DF1080" s="1" t="s">
        <v>787</v>
      </c>
      <c r="DG1080" s="1" t="s">
        <v>337</v>
      </c>
      <c r="DH1080" s="1" t="s">
        <v>588</v>
      </c>
      <c r="DI1080" s="1" t="s">
        <v>221</v>
      </c>
      <c r="DJ1080" s="1" t="s">
        <v>588</v>
      </c>
      <c r="DL1080" s="1" t="s">
        <v>858</v>
      </c>
      <c r="DM1080" s="1" t="s">
        <v>1464</v>
      </c>
      <c r="DO1080" s="1" t="s">
        <v>549</v>
      </c>
      <c r="DP1080" s="1" t="s">
        <v>340</v>
      </c>
      <c r="DQ1080" s="1" t="s">
        <v>794</v>
      </c>
      <c r="DR1080" s="1" t="s">
        <v>229</v>
      </c>
      <c r="DS1080" s="1" t="s">
        <v>230</v>
      </c>
      <c r="DV1080" s="1" t="s">
        <v>11905</v>
      </c>
      <c r="DW1080" s="1" t="s">
        <v>3576</v>
      </c>
      <c r="DX1080" s="1" t="s">
        <v>234</v>
      </c>
      <c r="DY1080" s="1" t="s">
        <v>704</v>
      </c>
      <c r="DZ1080" s="1" t="s">
        <v>236</v>
      </c>
      <c r="EA1080" s="1" t="s">
        <v>3112</v>
      </c>
      <c r="EB1080" s="1" t="s">
        <v>345</v>
      </c>
      <c r="EC1080" s="1" t="s">
        <v>237</v>
      </c>
      <c r="ED1080" s="1" t="s">
        <v>407</v>
      </c>
      <c r="EE1080" s="1" t="s">
        <v>493</v>
      </c>
      <c r="EG1080" s="1" t="s">
        <v>556</v>
      </c>
      <c r="EH1080" s="1" t="s">
        <v>408</v>
      </c>
      <c r="EI1080" s="1" t="s">
        <v>1228</v>
      </c>
      <c r="EJ1080" s="1" t="s">
        <v>450</v>
      </c>
      <c r="EL1080" s="1" t="s">
        <v>212</v>
      </c>
      <c r="EM1080" s="1" t="s">
        <v>206</v>
      </c>
      <c r="EN1080" s="1" t="s">
        <v>207</v>
      </c>
      <c r="EP1080" s="1" t="s">
        <v>11906</v>
      </c>
      <c r="EQ1080" s="1" t="s">
        <v>206</v>
      </c>
      <c r="ER1080" s="1" t="s">
        <v>207</v>
      </c>
      <c r="ET1080" s="1" t="s">
        <v>582</v>
      </c>
      <c r="EU1080" s="1" t="s">
        <v>209</v>
      </c>
      <c r="EV1080" s="1" t="s">
        <v>207</v>
      </c>
      <c r="EX1080" s="1" t="s">
        <v>582</v>
      </c>
      <c r="EY1080" s="1" t="s">
        <v>42</v>
      </c>
      <c r="EZ1080" s="1" t="s">
        <v>210</v>
      </c>
      <c r="FC1080" s="1" t="s">
        <v>238</v>
      </c>
      <c r="FF1080" s="1" t="s">
        <v>239</v>
      </c>
      <c r="FG1080" s="1" t="s">
        <v>192</v>
      </c>
      <c r="FH1080" s="1" t="s">
        <v>192</v>
      </c>
      <c r="FJ1080" s="1" t="s">
        <v>1450</v>
      </c>
      <c r="FK1080" s="1" t="s">
        <v>229</v>
      </c>
      <c r="FL1080" s="1" t="s">
        <v>456</v>
      </c>
      <c r="FM1080" s="1">
        <v>10013.0</v>
      </c>
      <c r="FN1080" s="1" t="s">
        <v>2428</v>
      </c>
      <c r="FO1080" s="1" t="s">
        <v>11907</v>
      </c>
      <c r="FP1080" s="1">
        <v>106133.0</v>
      </c>
      <c r="FQ1080" s="1" t="s">
        <v>11908</v>
      </c>
      <c r="FU1080" s="1" t="s">
        <v>11909</v>
      </c>
      <c r="FV1080" s="1" t="s">
        <v>200</v>
      </c>
      <c r="FW1080" s="1" t="s">
        <v>8793</v>
      </c>
      <c r="FX1080" s="1" t="s">
        <v>238</v>
      </c>
      <c r="FZ1080" s="1" t="s">
        <v>229</v>
      </c>
      <c r="GA1080" s="1" t="s">
        <v>291</v>
      </c>
      <c r="GB1080" s="2">
        <v>42123.0</v>
      </c>
    </row>
    <row r="1081">
      <c r="A1081" s="1">
        <v>156000.0</v>
      </c>
      <c r="B1081" s="1" t="s">
        <v>185</v>
      </c>
      <c r="C1081" s="1" t="str">
        <f>"08644145"</f>
        <v>08644145</v>
      </c>
      <c r="D1081" s="1" t="s">
        <v>186</v>
      </c>
      <c r="F1081" s="1" t="str">
        <f>"8049"</f>
        <v>8049</v>
      </c>
      <c r="G1081" s="2">
        <v>41803.0</v>
      </c>
      <c r="H1081" s="1">
        <v>159900.0</v>
      </c>
      <c r="I1081" s="1">
        <v>396.0</v>
      </c>
      <c r="J1081" s="1">
        <v>159900.0</v>
      </c>
      <c r="K1081" s="2">
        <v>41980.0</v>
      </c>
      <c r="L1081" s="1">
        <v>178.0</v>
      </c>
      <c r="M1081" s="2">
        <v>41980.0</v>
      </c>
      <c r="N1081" s="1" t="s">
        <v>356</v>
      </c>
      <c r="O1081" s="2">
        <v>42032.0</v>
      </c>
      <c r="P1081" s="1">
        <v>176629.0</v>
      </c>
      <c r="Q1081" s="1">
        <v>85143.0</v>
      </c>
      <c r="R1081" s="1">
        <v>3.0</v>
      </c>
      <c r="S1081" s="1">
        <v>9351.0</v>
      </c>
      <c r="T1081" s="1" t="s">
        <v>2966</v>
      </c>
      <c r="U1081" s="1" t="s">
        <v>189</v>
      </c>
      <c r="V1081" s="1" t="s">
        <v>190</v>
      </c>
      <c r="W1081" s="1">
        <v>60619.0</v>
      </c>
      <c r="Y1081" s="1" t="s">
        <v>11910</v>
      </c>
      <c r="Z1081" s="1">
        <v>1958.0</v>
      </c>
      <c r="AA1081" s="1" t="s">
        <v>192</v>
      </c>
      <c r="AB1081" s="1" t="s">
        <v>193</v>
      </c>
      <c r="AD1081" s="1" t="s">
        <v>194</v>
      </c>
      <c r="AE1081" s="1" t="s">
        <v>195</v>
      </c>
      <c r="AF1081" s="1" t="s">
        <v>637</v>
      </c>
      <c r="AH1081" s="1">
        <v>3844.0</v>
      </c>
      <c r="AI1081" s="1">
        <v>0.0882</v>
      </c>
      <c r="AK1081" s="1">
        <v>8.0</v>
      </c>
      <c r="AL1081" s="1">
        <v>3.0</v>
      </c>
      <c r="AM1081" s="1">
        <v>2.0</v>
      </c>
      <c r="AN1081" s="1">
        <v>0.0</v>
      </c>
      <c r="AO1081" s="1" t="s">
        <v>229</v>
      </c>
      <c r="AQ1081" s="1" t="s">
        <v>198</v>
      </c>
      <c r="AR1081" s="1" t="s">
        <v>192</v>
      </c>
      <c r="AS1081" s="1" t="s">
        <v>199</v>
      </c>
      <c r="AT1081" s="1">
        <v>2.5</v>
      </c>
      <c r="AV1081" s="1" t="s">
        <v>200</v>
      </c>
      <c r="AW1081" s="1">
        <v>2457.34</v>
      </c>
      <c r="AX1081" s="1">
        <v>2012.0</v>
      </c>
      <c r="AZ1081" s="1" t="s">
        <v>200</v>
      </c>
      <c r="BA1081" s="1" t="str">
        <f>"25033200170000"</f>
        <v>25033200170000</v>
      </c>
      <c r="BC1081" s="1">
        <v>1400.0</v>
      </c>
      <c r="BD1081" s="1">
        <v>156000.0</v>
      </c>
      <c r="BE1081" s="2">
        <v>41803.0</v>
      </c>
      <c r="BF1081" s="2" t="s">
        <v>11911</v>
      </c>
      <c r="BH1081" s="1">
        <v>0.0</v>
      </c>
      <c r="BK1081" s="1" t="s">
        <v>204</v>
      </c>
      <c r="BL1081" s="1" t="str">
        <f>"0"</f>
        <v>0</v>
      </c>
      <c r="BM1081" s="1" t="str">
        <f>"300"</f>
        <v>300</v>
      </c>
      <c r="BN1081" s="1">
        <v>0.0</v>
      </c>
      <c r="BO1081" s="1">
        <v>9351.0</v>
      </c>
      <c r="BQ1081" s="1">
        <v>299.0</v>
      </c>
      <c r="BR1081" s="1">
        <v>299.0</v>
      </c>
      <c r="BS1081" s="1">
        <v>299.0</v>
      </c>
      <c r="BU1081" s="1" t="s">
        <v>3989</v>
      </c>
      <c r="BV1081" s="1" t="s">
        <v>206</v>
      </c>
      <c r="BW1081" s="1" t="s">
        <v>207</v>
      </c>
      <c r="BY1081" s="1" t="s">
        <v>212</v>
      </c>
      <c r="BZ1081" s="1" t="s">
        <v>206</v>
      </c>
      <c r="CA1081" s="1" t="s">
        <v>207</v>
      </c>
      <c r="CC1081" s="1" t="s">
        <v>516</v>
      </c>
      <c r="CD1081" s="1" t="s">
        <v>206</v>
      </c>
      <c r="CE1081" s="1" t="s">
        <v>207</v>
      </c>
      <c r="CG1081" s="1" t="s">
        <v>269</v>
      </c>
      <c r="CH1081" s="1" t="s">
        <v>206</v>
      </c>
      <c r="CI1081" s="1" t="s">
        <v>207</v>
      </c>
      <c r="CK1081" s="1" t="s">
        <v>516</v>
      </c>
      <c r="CL1081" s="1" t="s">
        <v>206</v>
      </c>
      <c r="CM1081" s="1" t="s">
        <v>207</v>
      </c>
      <c r="CO1081" s="1" t="s">
        <v>495</v>
      </c>
      <c r="CP1081" s="1" t="s">
        <v>42</v>
      </c>
      <c r="CQ1081" s="1" t="s">
        <v>268</v>
      </c>
      <c r="CS1081" s="1" t="s">
        <v>516</v>
      </c>
      <c r="CT1081" s="1" t="s">
        <v>206</v>
      </c>
      <c r="CU1081" s="1" t="s">
        <v>207</v>
      </c>
      <c r="CW1081" s="1" t="s">
        <v>3892</v>
      </c>
      <c r="CX1081" s="1" t="s">
        <v>42</v>
      </c>
      <c r="CY1081" s="1" t="s">
        <v>268</v>
      </c>
      <c r="DA1081" s="1" t="s">
        <v>200</v>
      </c>
      <c r="DC1081" s="1" t="s">
        <v>271</v>
      </c>
      <c r="DE1081" s="1" t="s">
        <v>273</v>
      </c>
      <c r="DF1081" s="1" t="s">
        <v>219</v>
      </c>
      <c r="DH1081" s="1" t="s">
        <v>220</v>
      </c>
      <c r="DI1081" s="1" t="s">
        <v>366</v>
      </c>
      <c r="DJ1081" s="1" t="s">
        <v>222</v>
      </c>
      <c r="DL1081" s="1" t="s">
        <v>224</v>
      </c>
      <c r="DM1081" s="1" t="s">
        <v>229</v>
      </c>
      <c r="DQ1081" s="1" t="s">
        <v>228</v>
      </c>
      <c r="DR1081" s="1" t="s">
        <v>229</v>
      </c>
      <c r="DS1081" s="1" t="s">
        <v>230</v>
      </c>
      <c r="DV1081" s="1" t="s">
        <v>232</v>
      </c>
      <c r="DW1081" s="1" t="s">
        <v>279</v>
      </c>
      <c r="DX1081" s="1" t="s">
        <v>234</v>
      </c>
      <c r="DY1081" s="1" t="s">
        <v>553</v>
      </c>
      <c r="EA1081" s="1" t="s">
        <v>683</v>
      </c>
      <c r="EC1081" s="1" t="s">
        <v>685</v>
      </c>
      <c r="EM1081" s="1" t="s">
        <v>238</v>
      </c>
      <c r="EQ1081" s="1" t="s">
        <v>238</v>
      </c>
      <c r="EU1081" s="1" t="s">
        <v>238</v>
      </c>
      <c r="EY1081" s="1" t="s">
        <v>238</v>
      </c>
      <c r="FC1081" s="1" t="s">
        <v>238</v>
      </c>
      <c r="FF1081" s="1" t="s">
        <v>239</v>
      </c>
      <c r="FG1081" s="1" t="s">
        <v>192</v>
      </c>
      <c r="FH1081" s="1" t="s">
        <v>192</v>
      </c>
      <c r="FJ1081" s="1" t="s">
        <v>648</v>
      </c>
      <c r="FK1081" s="1" t="s">
        <v>229</v>
      </c>
      <c r="FL1081" s="1" t="s">
        <v>649</v>
      </c>
      <c r="FM1081" s="1">
        <v>60296.0</v>
      </c>
      <c r="FN1081" s="1" t="s">
        <v>650</v>
      </c>
      <c r="FO1081" s="1" t="s">
        <v>651</v>
      </c>
      <c r="FP1081" s="1">
        <v>602837.0</v>
      </c>
      <c r="FQ1081" s="1" t="s">
        <v>652</v>
      </c>
      <c r="FR1081" s="1">
        <v>602442.0</v>
      </c>
      <c r="FU1081" s="1" t="s">
        <v>11342</v>
      </c>
      <c r="FV1081" s="1" t="s">
        <v>200</v>
      </c>
      <c r="FW1081" s="1" t="s">
        <v>530</v>
      </c>
      <c r="FX1081" s="1" t="s">
        <v>655</v>
      </c>
      <c r="FZ1081" s="1" t="s">
        <v>229</v>
      </c>
      <c r="GA1081" s="1" t="s">
        <v>291</v>
      </c>
      <c r="GB1081" s="2">
        <v>42032.0</v>
      </c>
      <c r="GC1081" s="1" t="s">
        <v>9819</v>
      </c>
    </row>
    <row r="1082">
      <c r="A1082" s="1">
        <v>310043.0</v>
      </c>
      <c r="B1082" s="1" t="s">
        <v>185</v>
      </c>
      <c r="C1082" s="1" t="str">
        <f>"08649066"</f>
        <v>08649066</v>
      </c>
      <c r="D1082" s="1" t="s">
        <v>186</v>
      </c>
      <c r="F1082" s="1" t="str">
        <f>"542"</f>
        <v>542</v>
      </c>
      <c r="G1082" s="2">
        <v>41808.0</v>
      </c>
      <c r="H1082" s="1">
        <v>325183.0</v>
      </c>
      <c r="I1082" s="1">
        <v>98.0</v>
      </c>
      <c r="J1082" s="1">
        <v>314950.0</v>
      </c>
      <c r="K1082" s="2">
        <v>41905.0</v>
      </c>
      <c r="L1082" s="1">
        <v>98.0</v>
      </c>
      <c r="M1082" s="2">
        <v>41905.0</v>
      </c>
      <c r="N1082" s="1" t="s">
        <v>187</v>
      </c>
      <c r="O1082" s="2">
        <v>42116.0</v>
      </c>
      <c r="P1082" s="1">
        <v>163830.0</v>
      </c>
      <c r="Q1082" s="1">
        <v>18235.0</v>
      </c>
      <c r="S1082" s="1">
        <v>565.0</v>
      </c>
      <c r="T1082" s="1" t="s">
        <v>11912</v>
      </c>
      <c r="U1082" s="1" t="s">
        <v>189</v>
      </c>
      <c r="V1082" s="1" t="s">
        <v>3984</v>
      </c>
      <c r="W1082" s="1">
        <v>60542.0</v>
      </c>
      <c r="Y1082" s="1" t="s">
        <v>11913</v>
      </c>
      <c r="Z1082" s="1">
        <v>2014.0</v>
      </c>
      <c r="AA1082" s="1" t="s">
        <v>200</v>
      </c>
      <c r="AB1082" s="1" t="s">
        <v>193</v>
      </c>
      <c r="AC1082" s="1" t="s">
        <v>11914</v>
      </c>
      <c r="AD1082" s="1" t="s">
        <v>3986</v>
      </c>
      <c r="AE1082" s="1" t="s">
        <v>325</v>
      </c>
      <c r="AF1082" s="1" t="s">
        <v>2702</v>
      </c>
      <c r="AG1082" s="1" t="s">
        <v>11915</v>
      </c>
      <c r="AH1082" s="1" t="s">
        <v>11916</v>
      </c>
      <c r="AK1082" s="1">
        <v>9.0</v>
      </c>
      <c r="AL1082" s="1">
        <v>4.0</v>
      </c>
      <c r="AM1082" s="1">
        <v>2.0</v>
      </c>
      <c r="AN1082" s="1">
        <v>1.0</v>
      </c>
      <c r="AO1082" s="1" t="s">
        <v>198</v>
      </c>
      <c r="AP1082" s="1">
        <v>1.0</v>
      </c>
      <c r="AQ1082" s="1" t="s">
        <v>198</v>
      </c>
      <c r="AR1082" s="1" t="s">
        <v>200</v>
      </c>
      <c r="AS1082" s="1" t="s">
        <v>199</v>
      </c>
      <c r="AT1082" s="1">
        <v>3.0</v>
      </c>
      <c r="AV1082" s="1" t="s">
        <v>200</v>
      </c>
      <c r="AW1082" s="1" t="s">
        <v>575</v>
      </c>
      <c r="AX1082" s="1">
        <v>2013.0</v>
      </c>
      <c r="AZ1082" s="1" t="s">
        <v>200</v>
      </c>
      <c r="BA1082" s="1" t="str">
        <f>"1232329002"</f>
        <v>1232329002</v>
      </c>
      <c r="BB1082" s="1" t="s">
        <v>200</v>
      </c>
      <c r="BC1082" s="1">
        <v>3145.0</v>
      </c>
      <c r="BD1082" s="1">
        <v>310043.0</v>
      </c>
      <c r="BE1082" s="2">
        <v>41808.0</v>
      </c>
      <c r="BF1082" s="2" t="s">
        <v>11917</v>
      </c>
      <c r="BG1082" s="1" t="s">
        <v>4420</v>
      </c>
      <c r="BH1082" s="1">
        <v>200.0</v>
      </c>
      <c r="BI1082" s="1" t="s">
        <v>9543</v>
      </c>
      <c r="BJ1082" s="1" t="s">
        <v>3831</v>
      </c>
      <c r="BK1082" s="1" t="s">
        <v>580</v>
      </c>
      <c r="BL1082" s="1" t="str">
        <f t="shared" ref="BL1082:BM1082" si="722">""</f>
        <v/>
      </c>
      <c r="BM1082" s="1" t="str">
        <f t="shared" si="722"/>
        <v/>
      </c>
      <c r="BQ1082" s="1">
        <v>129.0</v>
      </c>
      <c r="BR1082" s="1">
        <v>129.0</v>
      </c>
      <c r="BS1082" s="1">
        <v>129.0</v>
      </c>
      <c r="BV1082" s="1" t="s">
        <v>204</v>
      </c>
      <c r="BY1082" s="1" t="s">
        <v>11918</v>
      </c>
      <c r="BZ1082" s="1" t="s">
        <v>209</v>
      </c>
      <c r="CA1082" s="1" t="s">
        <v>210</v>
      </c>
      <c r="CB1082" s="1" t="s">
        <v>229</v>
      </c>
      <c r="CC1082" s="1" t="s">
        <v>215</v>
      </c>
      <c r="CD1082" s="1" t="s">
        <v>206</v>
      </c>
      <c r="CE1082" s="1" t="s">
        <v>207</v>
      </c>
      <c r="CF1082" s="1" t="s">
        <v>229</v>
      </c>
      <c r="CG1082" s="1" t="s">
        <v>647</v>
      </c>
      <c r="CH1082" s="1" t="s">
        <v>209</v>
      </c>
      <c r="CI1082" s="1" t="s">
        <v>210</v>
      </c>
      <c r="CJ1082" s="1" t="s">
        <v>229</v>
      </c>
      <c r="CK1082" s="1" t="s">
        <v>758</v>
      </c>
      <c r="CL1082" s="1" t="s">
        <v>209</v>
      </c>
      <c r="CM1082" s="1" t="s">
        <v>210</v>
      </c>
      <c r="CN1082" s="1" t="s">
        <v>229</v>
      </c>
      <c r="CO1082" s="1" t="s">
        <v>215</v>
      </c>
      <c r="CP1082" s="1" t="s">
        <v>209</v>
      </c>
      <c r="CQ1082" s="1" t="s">
        <v>210</v>
      </c>
      <c r="CR1082" s="1" t="s">
        <v>229</v>
      </c>
      <c r="CS1082" s="1" t="s">
        <v>329</v>
      </c>
      <c r="CT1082" s="1" t="s">
        <v>206</v>
      </c>
      <c r="CU1082" s="1" t="s">
        <v>207</v>
      </c>
      <c r="CV1082" s="1" t="s">
        <v>229</v>
      </c>
      <c r="CW1082" s="1" t="s">
        <v>924</v>
      </c>
      <c r="CX1082" s="1" t="s">
        <v>206</v>
      </c>
      <c r="CY1082" s="1" t="s">
        <v>210</v>
      </c>
      <c r="CZ1082" s="1" t="s">
        <v>229</v>
      </c>
      <c r="DA1082" s="1" t="s">
        <v>192</v>
      </c>
      <c r="DB1082" s="2">
        <v>41929.0</v>
      </c>
      <c r="DC1082" s="1" t="s">
        <v>744</v>
      </c>
      <c r="DD1082" s="1" t="s">
        <v>786</v>
      </c>
      <c r="DE1082" s="1" t="s">
        <v>273</v>
      </c>
      <c r="DF1082" s="1" t="s">
        <v>619</v>
      </c>
      <c r="DG1082" s="1" t="s">
        <v>337</v>
      </c>
      <c r="DH1082" s="1" t="s">
        <v>220</v>
      </c>
      <c r="DI1082" s="1" t="s">
        <v>2201</v>
      </c>
      <c r="DJ1082" s="1" t="s">
        <v>222</v>
      </c>
      <c r="DL1082" s="1" t="s">
        <v>223</v>
      </c>
      <c r="DM1082" s="1" t="s">
        <v>1268</v>
      </c>
      <c r="DN1082" s="1" t="s">
        <v>548</v>
      </c>
      <c r="DP1082" s="1" t="s">
        <v>340</v>
      </c>
      <c r="DQ1082" s="1" t="s">
        <v>441</v>
      </c>
      <c r="DR1082" s="1" t="s">
        <v>1487</v>
      </c>
      <c r="DS1082" s="1" t="s">
        <v>230</v>
      </c>
      <c r="DV1082" s="1" t="s">
        <v>2445</v>
      </c>
      <c r="DW1082" s="1" t="s">
        <v>233</v>
      </c>
      <c r="DX1082" s="1" t="s">
        <v>234</v>
      </c>
      <c r="DY1082" s="1" t="s">
        <v>596</v>
      </c>
      <c r="DZ1082" s="1" t="s">
        <v>343</v>
      </c>
      <c r="EC1082" s="1" t="s">
        <v>237</v>
      </c>
      <c r="EG1082" s="1" t="s">
        <v>556</v>
      </c>
      <c r="EH1082" s="1" t="s">
        <v>557</v>
      </c>
      <c r="EL1082" s="1" t="s">
        <v>331</v>
      </c>
      <c r="EM1082" s="1" t="s">
        <v>206</v>
      </c>
      <c r="EN1082" s="1" t="s">
        <v>207</v>
      </c>
      <c r="EO1082" s="1" t="s">
        <v>229</v>
      </c>
      <c r="EP1082" s="1" t="s">
        <v>3092</v>
      </c>
      <c r="EQ1082" s="1" t="s">
        <v>209</v>
      </c>
      <c r="ER1082" s="1" t="s">
        <v>210</v>
      </c>
      <c r="ES1082" s="1" t="s">
        <v>229</v>
      </c>
      <c r="EU1082" s="1" t="s">
        <v>238</v>
      </c>
      <c r="EY1082" s="1" t="s">
        <v>238</v>
      </c>
      <c r="FC1082" s="1" t="s">
        <v>238</v>
      </c>
      <c r="FF1082" s="1" t="s">
        <v>239</v>
      </c>
      <c r="FG1082" s="1" t="s">
        <v>192</v>
      </c>
      <c r="FH1082" s="1" t="s">
        <v>192</v>
      </c>
      <c r="FJ1082" s="1" t="s">
        <v>11919</v>
      </c>
      <c r="FK1082" s="1" t="s">
        <v>229</v>
      </c>
      <c r="FL1082" s="1" t="s">
        <v>1358</v>
      </c>
      <c r="FM1082" s="1">
        <v>23076.0</v>
      </c>
      <c r="FN1082" s="1" t="s">
        <v>1359</v>
      </c>
      <c r="FO1082" s="1" t="s">
        <v>11920</v>
      </c>
      <c r="FP1082" s="1">
        <v>216518.0</v>
      </c>
      <c r="FQ1082" s="1" t="s">
        <v>11921</v>
      </c>
      <c r="FS1082" s="1" t="s">
        <v>11922</v>
      </c>
      <c r="FT1082" s="1" t="s">
        <v>11923</v>
      </c>
      <c r="FU1082" s="1" t="s">
        <v>11924</v>
      </c>
      <c r="FV1082" s="1" t="s">
        <v>200</v>
      </c>
      <c r="FW1082" s="1" t="s">
        <v>11925</v>
      </c>
      <c r="FZ1082" s="1" t="s">
        <v>229</v>
      </c>
      <c r="GA1082" s="1" t="s">
        <v>247</v>
      </c>
      <c r="GB1082" s="2">
        <v>42121.0</v>
      </c>
      <c r="GC1082" s="1" t="s">
        <v>11926</v>
      </c>
    </row>
    <row r="1083">
      <c r="A1083" s="1">
        <v>60000.0</v>
      </c>
      <c r="B1083" s="1" t="s">
        <v>185</v>
      </c>
      <c r="C1083" s="1" t="str">
        <f>"08649499"</f>
        <v>08649499</v>
      </c>
      <c r="D1083" s="1" t="s">
        <v>186</v>
      </c>
      <c r="F1083" s="1" t="str">
        <f>"135"</f>
        <v>135</v>
      </c>
      <c r="G1083" s="2">
        <v>41809.0</v>
      </c>
      <c r="H1083" s="1">
        <v>79900.0</v>
      </c>
      <c r="I1083" s="1">
        <v>161.0</v>
      </c>
      <c r="J1083" s="1">
        <v>59900.0</v>
      </c>
      <c r="K1083" s="2">
        <v>41969.0</v>
      </c>
      <c r="L1083" s="1">
        <v>161.0</v>
      </c>
      <c r="M1083" s="2">
        <v>41969.0</v>
      </c>
      <c r="N1083" s="1" t="s">
        <v>249</v>
      </c>
      <c r="O1083" s="2">
        <v>41990.0</v>
      </c>
      <c r="P1083" s="1">
        <v>930214.0</v>
      </c>
      <c r="Q1083" s="1">
        <v>93083.0</v>
      </c>
      <c r="S1083" s="1">
        <v>126.0</v>
      </c>
      <c r="T1083" s="1" t="s">
        <v>11927</v>
      </c>
      <c r="U1083" s="1" t="s">
        <v>320</v>
      </c>
      <c r="V1083" s="1" t="s">
        <v>10122</v>
      </c>
      <c r="W1083" s="1">
        <v>60135.0</v>
      </c>
      <c r="Y1083" s="1" t="s">
        <v>11928</v>
      </c>
      <c r="Z1083" s="1" t="s">
        <v>296</v>
      </c>
      <c r="AA1083" s="1" t="s">
        <v>192</v>
      </c>
      <c r="AB1083" s="1" t="s">
        <v>193</v>
      </c>
      <c r="AD1083" s="1" t="s">
        <v>1089</v>
      </c>
      <c r="AE1083" s="1" t="s">
        <v>613</v>
      </c>
      <c r="AF1083" s="1" t="s">
        <v>10124</v>
      </c>
      <c r="AH1083" s="1" t="s">
        <v>11929</v>
      </c>
      <c r="AI1083" s="1">
        <v>0.23</v>
      </c>
      <c r="AK1083" s="1">
        <v>7.0</v>
      </c>
      <c r="AL1083" s="1">
        <v>4.0</v>
      </c>
      <c r="AM1083" s="1">
        <v>2.0</v>
      </c>
      <c r="AN1083" s="1">
        <v>0.0</v>
      </c>
      <c r="AO1083" s="1" t="s">
        <v>229</v>
      </c>
      <c r="AQ1083" s="1" t="s">
        <v>198</v>
      </c>
      <c r="AR1083" s="1" t="s">
        <v>200</v>
      </c>
      <c r="AS1083" s="1" t="s">
        <v>199</v>
      </c>
      <c r="AT1083" s="1">
        <v>2.0</v>
      </c>
      <c r="AV1083" s="1" t="s">
        <v>200</v>
      </c>
      <c r="AW1083" s="1">
        <v>5037.36</v>
      </c>
      <c r="AX1083" s="1">
        <v>2013.0</v>
      </c>
      <c r="AY1083" s="1" t="s">
        <v>387</v>
      </c>
      <c r="AZ1083" s="1" t="s">
        <v>200</v>
      </c>
      <c r="BA1083" s="1" t="str">
        <f>"0319483020"</f>
        <v>0319483020</v>
      </c>
      <c r="BC1083" s="1">
        <v>2001.0</v>
      </c>
      <c r="BD1083" s="1">
        <v>60000.0</v>
      </c>
      <c r="BE1083" s="2">
        <v>41809.0</v>
      </c>
      <c r="BF1083" s="1" t="s">
        <v>11930</v>
      </c>
      <c r="BH1083" s="1">
        <v>0.0</v>
      </c>
      <c r="BK1083" s="1" t="s">
        <v>204</v>
      </c>
      <c r="BL1083" s="1" t="str">
        <f t="shared" ref="BL1083:BM1083" si="723">""</f>
        <v/>
      </c>
      <c r="BM1083" s="1" t="str">
        <f t="shared" si="723"/>
        <v/>
      </c>
      <c r="BQ1083" s="1">
        <v>424.0</v>
      </c>
      <c r="BR1083" s="1">
        <v>424.0</v>
      </c>
      <c r="BS1083" s="1">
        <v>424.0</v>
      </c>
      <c r="BU1083" s="1" t="s">
        <v>758</v>
      </c>
      <c r="BV1083" s="1" t="s">
        <v>206</v>
      </c>
      <c r="BW1083" s="1" t="s">
        <v>210</v>
      </c>
      <c r="BY1083" s="1" t="s">
        <v>392</v>
      </c>
      <c r="BZ1083" s="1" t="s">
        <v>209</v>
      </c>
      <c r="CA1083" s="1" t="s">
        <v>210</v>
      </c>
      <c r="CC1083" s="1" t="s">
        <v>584</v>
      </c>
      <c r="CD1083" s="1" t="s">
        <v>206</v>
      </c>
      <c r="CE1083" s="1" t="s">
        <v>207</v>
      </c>
      <c r="CG1083" s="1" t="s">
        <v>584</v>
      </c>
      <c r="CH1083" s="1" t="s">
        <v>209</v>
      </c>
      <c r="CI1083" s="1" t="s">
        <v>210</v>
      </c>
      <c r="CK1083" s="1" t="s">
        <v>269</v>
      </c>
      <c r="CL1083" s="1" t="s">
        <v>209</v>
      </c>
      <c r="CM1083" s="1" t="s">
        <v>210</v>
      </c>
      <c r="CO1083" s="1" t="s">
        <v>729</v>
      </c>
      <c r="CP1083" s="1" t="s">
        <v>206</v>
      </c>
      <c r="CQ1083" s="1" t="s">
        <v>210</v>
      </c>
      <c r="CS1083" s="1" t="s">
        <v>392</v>
      </c>
      <c r="CT1083" s="1" t="s">
        <v>206</v>
      </c>
      <c r="CU1083" s="1" t="s">
        <v>617</v>
      </c>
      <c r="CX1083" s="1" t="s">
        <v>204</v>
      </c>
      <c r="DA1083" s="1" t="s">
        <v>200</v>
      </c>
      <c r="DC1083" s="1" t="s">
        <v>11931</v>
      </c>
      <c r="DD1083" s="1" t="s">
        <v>518</v>
      </c>
      <c r="DE1083" s="1" t="s">
        <v>273</v>
      </c>
      <c r="DF1083" s="1" t="s">
        <v>219</v>
      </c>
      <c r="DG1083" s="1" t="s">
        <v>1553</v>
      </c>
      <c r="DH1083" s="1" t="s">
        <v>220</v>
      </c>
      <c r="DI1083" s="1" t="s">
        <v>1318</v>
      </c>
      <c r="DJ1083" s="1" t="s">
        <v>222</v>
      </c>
      <c r="DL1083" s="1" t="s">
        <v>223</v>
      </c>
      <c r="DM1083" s="1" t="s">
        <v>229</v>
      </c>
      <c r="DP1083" s="1" t="s">
        <v>340</v>
      </c>
      <c r="DQ1083" s="1" t="s">
        <v>228</v>
      </c>
      <c r="DR1083" s="1" t="s">
        <v>229</v>
      </c>
      <c r="DV1083" s="1" t="s">
        <v>232</v>
      </c>
      <c r="DW1083" s="1" t="s">
        <v>233</v>
      </c>
      <c r="DX1083" s="1" t="s">
        <v>234</v>
      </c>
      <c r="DY1083" s="1" t="s">
        <v>1051</v>
      </c>
      <c r="DZ1083" s="1" t="s">
        <v>343</v>
      </c>
      <c r="EA1083" s="1" t="s">
        <v>622</v>
      </c>
      <c r="EC1083" s="1" t="s">
        <v>237</v>
      </c>
      <c r="EM1083" s="1" t="s">
        <v>238</v>
      </c>
      <c r="EQ1083" s="1" t="s">
        <v>238</v>
      </c>
      <c r="EU1083" s="1" t="s">
        <v>238</v>
      </c>
      <c r="EY1083" s="1" t="s">
        <v>238</v>
      </c>
      <c r="FC1083" s="1" t="s">
        <v>238</v>
      </c>
      <c r="FF1083" s="1" t="s">
        <v>239</v>
      </c>
      <c r="FG1083" s="1" t="s">
        <v>192</v>
      </c>
      <c r="FH1083" s="1" t="s">
        <v>192</v>
      </c>
      <c r="FJ1083" s="1" t="s">
        <v>770</v>
      </c>
      <c r="FK1083" s="1" t="s">
        <v>229</v>
      </c>
      <c r="FL1083" s="1" t="s">
        <v>11932</v>
      </c>
      <c r="FM1083" s="1">
        <v>24620.0</v>
      </c>
      <c r="FN1083" s="1" t="s">
        <v>11933</v>
      </c>
      <c r="FO1083" s="1" t="s">
        <v>11934</v>
      </c>
      <c r="FP1083" s="1">
        <v>237125.0</v>
      </c>
      <c r="FQ1083" s="1" t="s">
        <v>11935</v>
      </c>
      <c r="FU1083" s="1" t="s">
        <v>11936</v>
      </c>
      <c r="FV1083" s="1" t="s">
        <v>200</v>
      </c>
      <c r="FW1083" s="1" t="s">
        <v>11937</v>
      </c>
      <c r="FX1083" s="1" t="s">
        <v>655</v>
      </c>
      <c r="FZ1083" s="1" t="s">
        <v>229</v>
      </c>
      <c r="GA1083" s="1" t="s">
        <v>291</v>
      </c>
      <c r="GB1083" s="2">
        <v>42009.0</v>
      </c>
      <c r="GC1083" s="1" t="s">
        <v>11938</v>
      </c>
    </row>
    <row r="1084">
      <c r="A1084" s="1">
        <v>117500.0</v>
      </c>
      <c r="B1084" s="1" t="s">
        <v>185</v>
      </c>
      <c r="C1084" s="1" t="str">
        <f>"08651694"</f>
        <v>08651694</v>
      </c>
      <c r="D1084" s="1" t="s">
        <v>186</v>
      </c>
      <c r="F1084" s="1" t="str">
        <f>"8056"</f>
        <v>8056</v>
      </c>
      <c r="G1084" s="2">
        <v>41810.0</v>
      </c>
      <c r="H1084" s="1">
        <v>124900.0</v>
      </c>
      <c r="I1084" s="1">
        <v>183.0</v>
      </c>
      <c r="J1084" s="1">
        <v>124900.0</v>
      </c>
      <c r="K1084" s="2">
        <v>41991.0</v>
      </c>
      <c r="L1084" s="1">
        <v>183.0</v>
      </c>
      <c r="M1084" s="2">
        <v>41991.0</v>
      </c>
      <c r="N1084" s="1" t="s">
        <v>249</v>
      </c>
      <c r="O1084" s="2">
        <v>42016.0</v>
      </c>
      <c r="P1084" s="1">
        <v>226034.0</v>
      </c>
      <c r="Q1084" s="1">
        <v>61153.0</v>
      </c>
      <c r="S1084" s="1">
        <v>5139.0</v>
      </c>
      <c r="T1084" s="1" t="s">
        <v>8965</v>
      </c>
      <c r="U1084" s="1" t="s">
        <v>189</v>
      </c>
      <c r="V1084" s="1" t="s">
        <v>190</v>
      </c>
      <c r="W1084" s="1">
        <v>60638.0</v>
      </c>
      <c r="Y1084" s="1" t="s">
        <v>11939</v>
      </c>
      <c r="Z1084" s="1">
        <v>1939.0</v>
      </c>
      <c r="AA1084" s="1" t="s">
        <v>192</v>
      </c>
      <c r="AB1084" s="1" t="s">
        <v>193</v>
      </c>
      <c r="AD1084" s="1" t="s">
        <v>194</v>
      </c>
      <c r="AE1084" s="1" t="s">
        <v>195</v>
      </c>
      <c r="AF1084" s="1" t="s">
        <v>659</v>
      </c>
      <c r="AH1084" s="1" t="s">
        <v>11940</v>
      </c>
      <c r="AI1084" s="1">
        <v>0.1157</v>
      </c>
      <c r="AK1084" s="1">
        <v>6.0</v>
      </c>
      <c r="AL1084" s="1">
        <v>4.0</v>
      </c>
      <c r="AM1084" s="1">
        <v>2.0</v>
      </c>
      <c r="AN1084" s="1">
        <v>0.0</v>
      </c>
      <c r="AO1084" s="1" t="s">
        <v>229</v>
      </c>
      <c r="AQ1084" s="1" t="s">
        <v>198</v>
      </c>
      <c r="AR1084" s="1" t="s">
        <v>192</v>
      </c>
      <c r="AS1084" s="1" t="s">
        <v>199</v>
      </c>
      <c r="AT1084" s="1">
        <v>2.0</v>
      </c>
      <c r="AV1084" s="1" t="s">
        <v>200</v>
      </c>
      <c r="AW1084" s="1">
        <v>2316.12</v>
      </c>
      <c r="AX1084" s="1">
        <v>2012.0</v>
      </c>
      <c r="AY1084" s="1" t="s">
        <v>229</v>
      </c>
      <c r="AZ1084" s="1" t="s">
        <v>200</v>
      </c>
      <c r="BA1084" s="1" t="str">
        <f>"19094010450000"</f>
        <v>19094010450000</v>
      </c>
      <c r="BB1084" s="1" t="s">
        <v>200</v>
      </c>
      <c r="BC1084" s="1">
        <v>800.0</v>
      </c>
      <c r="BD1084" s="1">
        <v>117500.0</v>
      </c>
      <c r="BE1084" s="2">
        <v>41809.0</v>
      </c>
      <c r="BF1084" s="2" t="s">
        <v>11941</v>
      </c>
      <c r="BH1084" s="1">
        <v>0.0</v>
      </c>
      <c r="BK1084" s="1" t="s">
        <v>204</v>
      </c>
      <c r="BL1084" s="1" t="str">
        <f t="shared" ref="BL1084:BM1084" si="724">"0"</f>
        <v>0</v>
      </c>
      <c r="BM1084" s="1" t="str">
        <f t="shared" si="724"/>
        <v>0</v>
      </c>
      <c r="BN1084" s="1">
        <v>5132.0</v>
      </c>
      <c r="BO1084" s="1">
        <v>5100.0</v>
      </c>
      <c r="BQ1084" s="1">
        <v>299.0</v>
      </c>
      <c r="BR1084" s="1">
        <v>299.0</v>
      </c>
      <c r="BS1084" s="1">
        <v>299.0</v>
      </c>
      <c r="BU1084" s="1" t="s">
        <v>213</v>
      </c>
      <c r="BV1084" s="1" t="s">
        <v>206</v>
      </c>
      <c r="BW1084" s="1" t="s">
        <v>207</v>
      </c>
      <c r="BY1084" s="1" t="s">
        <v>453</v>
      </c>
      <c r="BZ1084" s="1" t="s">
        <v>209</v>
      </c>
      <c r="CA1084" s="1" t="s">
        <v>207</v>
      </c>
      <c r="CD1084" s="1" t="s">
        <v>204</v>
      </c>
      <c r="CG1084" s="1" t="s">
        <v>331</v>
      </c>
      <c r="CH1084" s="1" t="s">
        <v>209</v>
      </c>
      <c r="CI1084" s="1" t="s">
        <v>207</v>
      </c>
      <c r="CK1084" s="1" t="s">
        <v>543</v>
      </c>
      <c r="CL1084" s="1" t="s">
        <v>209</v>
      </c>
      <c r="CM1084" s="1" t="s">
        <v>207</v>
      </c>
      <c r="CO1084" s="1" t="s">
        <v>1760</v>
      </c>
      <c r="CP1084" s="1" t="s">
        <v>209</v>
      </c>
      <c r="CQ1084" s="1" t="s">
        <v>207</v>
      </c>
      <c r="CS1084" s="1" t="s">
        <v>332</v>
      </c>
      <c r="CT1084" s="1" t="s">
        <v>206</v>
      </c>
      <c r="CU1084" s="1" t="s">
        <v>617</v>
      </c>
      <c r="CX1084" s="1" t="s">
        <v>204</v>
      </c>
      <c r="DA1084" s="1" t="s">
        <v>200</v>
      </c>
      <c r="DC1084" s="1" t="s">
        <v>1399</v>
      </c>
      <c r="DE1084" s="1" t="s">
        <v>273</v>
      </c>
      <c r="DF1084" s="1" t="s">
        <v>905</v>
      </c>
      <c r="DG1084" s="1" t="s">
        <v>2311</v>
      </c>
      <c r="DH1084" s="1" t="s">
        <v>365</v>
      </c>
      <c r="DJ1084" s="1" t="s">
        <v>222</v>
      </c>
      <c r="DL1084" s="1" t="s">
        <v>223</v>
      </c>
      <c r="DM1084" s="1" t="s">
        <v>1464</v>
      </c>
      <c r="DO1084" s="1" t="s">
        <v>549</v>
      </c>
      <c r="DQ1084" s="1" t="s">
        <v>228</v>
      </c>
      <c r="DR1084" s="1" t="s">
        <v>229</v>
      </c>
      <c r="DS1084" s="1" t="s">
        <v>230</v>
      </c>
      <c r="DV1084" s="1" t="s">
        <v>232</v>
      </c>
      <c r="DW1084" s="1" t="s">
        <v>279</v>
      </c>
      <c r="DX1084" s="1" t="s">
        <v>309</v>
      </c>
      <c r="DY1084" s="1" t="s">
        <v>704</v>
      </c>
      <c r="EA1084" s="1" t="s">
        <v>1075</v>
      </c>
      <c r="EC1084" s="1" t="s">
        <v>237</v>
      </c>
      <c r="EE1084" s="1" t="s">
        <v>1673</v>
      </c>
      <c r="EM1084" s="1" t="s">
        <v>238</v>
      </c>
      <c r="EQ1084" s="1" t="s">
        <v>238</v>
      </c>
      <c r="EU1084" s="1" t="s">
        <v>238</v>
      </c>
      <c r="EY1084" s="1" t="s">
        <v>238</v>
      </c>
      <c r="FC1084" s="1" t="s">
        <v>238</v>
      </c>
      <c r="FF1084" s="1" t="s">
        <v>239</v>
      </c>
      <c r="FG1084" s="1" t="s">
        <v>192</v>
      </c>
      <c r="FH1084" s="1" t="s">
        <v>192</v>
      </c>
      <c r="FJ1084" s="1" t="s">
        <v>4181</v>
      </c>
      <c r="FK1084" s="1" t="s">
        <v>229</v>
      </c>
      <c r="FL1084" s="1" t="s">
        <v>2037</v>
      </c>
      <c r="FM1084" s="1">
        <v>24706.0</v>
      </c>
      <c r="FN1084" s="1" t="s">
        <v>4240</v>
      </c>
      <c r="FO1084" s="1" t="s">
        <v>8515</v>
      </c>
      <c r="FP1084" s="1">
        <v>237922.0</v>
      </c>
      <c r="FU1084" s="1" t="s">
        <v>11942</v>
      </c>
      <c r="FV1084" s="1" t="s">
        <v>200</v>
      </c>
      <c r="FW1084" s="1" t="s">
        <v>530</v>
      </c>
      <c r="FX1084" s="1" t="s">
        <v>655</v>
      </c>
      <c r="FZ1084" s="1" t="s">
        <v>229</v>
      </c>
      <c r="GA1084" s="1" t="s">
        <v>291</v>
      </c>
      <c r="GB1084" s="2">
        <v>42017.0</v>
      </c>
      <c r="GC1084" s="1" t="s">
        <v>11943</v>
      </c>
    </row>
    <row r="1085">
      <c r="A1085" s="1">
        <v>470000.0</v>
      </c>
      <c r="B1085" s="1" t="s">
        <v>185</v>
      </c>
      <c r="C1085" s="1" t="str">
        <f>"08787220"</f>
        <v>08787220</v>
      </c>
      <c r="D1085" s="1" t="s">
        <v>186</v>
      </c>
      <c r="F1085" s="1" t="str">
        <f>"8001"</f>
        <v>8001</v>
      </c>
      <c r="G1085" s="2">
        <v>41959.0</v>
      </c>
      <c r="H1085" s="1">
        <v>495000.0</v>
      </c>
      <c r="I1085" s="1">
        <v>66.0</v>
      </c>
      <c r="J1085" s="1">
        <v>475000.0</v>
      </c>
      <c r="K1085" s="2">
        <v>42024.0</v>
      </c>
      <c r="L1085" s="1">
        <v>66.0</v>
      </c>
      <c r="M1085" s="2">
        <v>42024.0</v>
      </c>
      <c r="N1085" s="1" t="s">
        <v>187</v>
      </c>
      <c r="O1085" s="2">
        <v>42090.0</v>
      </c>
      <c r="P1085" s="1">
        <v>123973.0</v>
      </c>
      <c r="Q1085" s="1">
        <v>85470.0</v>
      </c>
      <c r="R1085" s="1">
        <v>5500.0</v>
      </c>
      <c r="S1085" s="1">
        <v>1530.0</v>
      </c>
      <c r="T1085" s="1" t="s">
        <v>11944</v>
      </c>
      <c r="U1085" s="1" t="s">
        <v>1754</v>
      </c>
      <c r="V1085" s="1" t="s">
        <v>190</v>
      </c>
      <c r="W1085" s="1">
        <v>60626.0</v>
      </c>
      <c r="Y1085" s="1" t="s">
        <v>11945</v>
      </c>
      <c r="Z1085" s="1" t="s">
        <v>296</v>
      </c>
      <c r="AA1085" s="1" t="s">
        <v>200</v>
      </c>
      <c r="AB1085" s="1" t="s">
        <v>193</v>
      </c>
      <c r="AD1085" s="1" t="s">
        <v>194</v>
      </c>
      <c r="AE1085" s="1" t="s">
        <v>195</v>
      </c>
      <c r="AF1085" s="1" t="s">
        <v>2323</v>
      </c>
      <c r="AH1085" s="1" t="s">
        <v>11946</v>
      </c>
      <c r="AK1085" s="1">
        <v>13.0</v>
      </c>
      <c r="AL1085" s="1">
        <v>4.0</v>
      </c>
      <c r="AM1085" s="1">
        <v>1.0</v>
      </c>
      <c r="AN1085" s="1">
        <v>1.0</v>
      </c>
      <c r="AO1085" s="1" t="s">
        <v>229</v>
      </c>
      <c r="AP1085" s="1">
        <v>1.0</v>
      </c>
      <c r="AQ1085" s="1" t="s">
        <v>198</v>
      </c>
      <c r="AR1085" s="1" t="s">
        <v>192</v>
      </c>
      <c r="AS1085" s="1" t="s">
        <v>199</v>
      </c>
      <c r="AT1085" s="1">
        <v>2.0</v>
      </c>
      <c r="AV1085" s="1" t="s">
        <v>200</v>
      </c>
      <c r="AW1085" s="1">
        <v>5739.29</v>
      </c>
      <c r="AX1085" s="1">
        <v>2013.0</v>
      </c>
      <c r="AY1085" s="1" t="s">
        <v>1917</v>
      </c>
      <c r="AZ1085" s="1" t="s">
        <v>200</v>
      </c>
      <c r="BA1085" s="1" t="str">
        <f>"11291010070000"</f>
        <v>11291010070000</v>
      </c>
      <c r="BB1085" s="1" t="s">
        <v>200</v>
      </c>
      <c r="BC1085" s="1">
        <v>2020.0</v>
      </c>
      <c r="BD1085" s="1">
        <v>470000.0</v>
      </c>
      <c r="BE1085" s="2">
        <v>41959.0</v>
      </c>
      <c r="BF1085" s="2" t="s">
        <v>11947</v>
      </c>
      <c r="BH1085" s="1">
        <v>0.0</v>
      </c>
      <c r="BK1085" s="1" t="s">
        <v>204</v>
      </c>
      <c r="BL1085" s="1" t="str">
        <f>"7650"</f>
        <v>7650</v>
      </c>
      <c r="BM1085" s="1" t="str">
        <f>"0"</f>
        <v>0</v>
      </c>
      <c r="BN1085" s="1">
        <v>1530.0</v>
      </c>
      <c r="BO1085" s="1">
        <v>0.0</v>
      </c>
      <c r="BQ1085" s="1">
        <v>299.0</v>
      </c>
      <c r="BR1085" s="1">
        <v>299.0</v>
      </c>
      <c r="BS1085" s="1">
        <v>299.0</v>
      </c>
      <c r="BU1085" s="1" t="s">
        <v>1892</v>
      </c>
      <c r="BV1085" s="1" t="s">
        <v>206</v>
      </c>
      <c r="BW1085" s="1" t="s">
        <v>207</v>
      </c>
      <c r="BY1085" s="1" t="s">
        <v>392</v>
      </c>
      <c r="BZ1085" s="1" t="s">
        <v>209</v>
      </c>
      <c r="CA1085" s="1" t="s">
        <v>207</v>
      </c>
      <c r="CC1085" s="1" t="s">
        <v>329</v>
      </c>
      <c r="CD1085" s="1" t="s">
        <v>206</v>
      </c>
      <c r="CE1085" s="1" t="s">
        <v>207</v>
      </c>
      <c r="CG1085" s="1" t="s">
        <v>331</v>
      </c>
      <c r="CH1085" s="1" t="s">
        <v>209</v>
      </c>
      <c r="CI1085" s="1" t="s">
        <v>207</v>
      </c>
      <c r="CK1085" s="1" t="s">
        <v>640</v>
      </c>
      <c r="CL1085" s="1" t="s">
        <v>209</v>
      </c>
      <c r="CM1085" s="1" t="s">
        <v>207</v>
      </c>
      <c r="CO1085" s="1" t="s">
        <v>516</v>
      </c>
      <c r="CP1085" s="1" t="s">
        <v>209</v>
      </c>
      <c r="CQ1085" s="1" t="s">
        <v>207</v>
      </c>
      <c r="CS1085" s="1" t="s">
        <v>264</v>
      </c>
      <c r="CT1085" s="1" t="s">
        <v>206</v>
      </c>
      <c r="CU1085" s="1" t="s">
        <v>207</v>
      </c>
      <c r="CX1085" s="1" t="s">
        <v>204</v>
      </c>
      <c r="DA1085" s="1" t="s">
        <v>200</v>
      </c>
      <c r="DC1085" s="1" t="s">
        <v>216</v>
      </c>
      <c r="DD1085" s="1" t="s">
        <v>11948</v>
      </c>
      <c r="DE1085" s="1" t="s">
        <v>1300</v>
      </c>
      <c r="DF1085" s="1" t="s">
        <v>6818</v>
      </c>
      <c r="DG1085" s="1" t="s">
        <v>1020</v>
      </c>
      <c r="DH1085" s="1" t="s">
        <v>365</v>
      </c>
      <c r="DI1085" s="1" t="s">
        <v>1223</v>
      </c>
      <c r="DJ1085" s="1" t="s">
        <v>222</v>
      </c>
      <c r="DK1085" s="1" t="s">
        <v>11949</v>
      </c>
      <c r="DL1085" s="1" t="s">
        <v>11950</v>
      </c>
      <c r="DM1085" s="1" t="s">
        <v>3697</v>
      </c>
      <c r="DN1085" s="1" t="s">
        <v>793</v>
      </c>
      <c r="DO1085" s="1" t="s">
        <v>11951</v>
      </c>
      <c r="DP1085" s="1" t="s">
        <v>340</v>
      </c>
      <c r="DQ1085" s="1" t="s">
        <v>228</v>
      </c>
      <c r="DR1085" s="1" t="s">
        <v>229</v>
      </c>
      <c r="DS1085" s="1" t="s">
        <v>277</v>
      </c>
      <c r="DV1085" s="1" t="s">
        <v>11952</v>
      </c>
      <c r="DW1085" s="1" t="s">
        <v>3576</v>
      </c>
      <c r="DX1085" s="1" t="s">
        <v>234</v>
      </c>
      <c r="DY1085" s="1" t="s">
        <v>704</v>
      </c>
      <c r="DZ1085" s="1" t="s">
        <v>343</v>
      </c>
      <c r="EA1085" s="1" t="s">
        <v>3577</v>
      </c>
      <c r="EB1085" s="1" t="s">
        <v>345</v>
      </c>
      <c r="EC1085" s="1" t="s">
        <v>237</v>
      </c>
      <c r="ED1085" s="1" t="s">
        <v>555</v>
      </c>
      <c r="EG1085" s="1" t="s">
        <v>556</v>
      </c>
      <c r="EH1085" s="1" t="s">
        <v>114</v>
      </c>
      <c r="EJ1085" s="1" t="s">
        <v>1121</v>
      </c>
      <c r="EK1085" s="1" t="s">
        <v>1491</v>
      </c>
      <c r="EL1085" s="1" t="s">
        <v>264</v>
      </c>
      <c r="EM1085" s="1" t="s">
        <v>206</v>
      </c>
      <c r="EP1085" s="1" t="s">
        <v>11953</v>
      </c>
      <c r="EQ1085" s="1" t="s">
        <v>391</v>
      </c>
      <c r="ER1085" s="1" t="s">
        <v>207</v>
      </c>
      <c r="EU1085" s="1" t="s">
        <v>238</v>
      </c>
      <c r="EX1085" s="1" t="s">
        <v>495</v>
      </c>
      <c r="EY1085" s="1" t="s">
        <v>209</v>
      </c>
      <c r="EZ1085" s="1" t="s">
        <v>207</v>
      </c>
      <c r="FB1085" s="1" t="s">
        <v>265</v>
      </c>
      <c r="FC1085" s="1" t="s">
        <v>42</v>
      </c>
      <c r="FF1085" s="1" t="s">
        <v>239</v>
      </c>
      <c r="FG1085" s="1" t="s">
        <v>192</v>
      </c>
      <c r="FH1085" s="1" t="s">
        <v>192</v>
      </c>
      <c r="FJ1085" s="1" t="s">
        <v>561</v>
      </c>
      <c r="FK1085" s="1" t="s">
        <v>229</v>
      </c>
      <c r="FL1085" s="1" t="s">
        <v>562</v>
      </c>
      <c r="FM1085" s="1">
        <v>16379.0</v>
      </c>
      <c r="FN1085" s="1" t="s">
        <v>563</v>
      </c>
      <c r="FO1085" s="1" t="s">
        <v>2339</v>
      </c>
      <c r="FP1085" s="1">
        <v>167228.0</v>
      </c>
      <c r="FQ1085" s="1" t="s">
        <v>2340</v>
      </c>
      <c r="FS1085" s="1" t="s">
        <v>2341</v>
      </c>
      <c r="FU1085" s="1" t="s">
        <v>11954</v>
      </c>
      <c r="FV1085" s="1" t="s">
        <v>200</v>
      </c>
      <c r="FW1085" s="1" t="s">
        <v>530</v>
      </c>
      <c r="FX1085" s="1" t="s">
        <v>246</v>
      </c>
      <c r="FZ1085" s="1" t="s">
        <v>229</v>
      </c>
      <c r="GA1085" s="1" t="s">
        <v>291</v>
      </c>
      <c r="GB1085" s="2">
        <v>42092.0</v>
      </c>
      <c r="GC1085" s="1" t="s">
        <v>11955</v>
      </c>
    </row>
    <row r="1086">
      <c r="A1086" s="1">
        <v>229695.0</v>
      </c>
      <c r="B1086" s="1" t="s">
        <v>185</v>
      </c>
      <c r="C1086" s="1" t="str">
        <f>"08649576"</f>
        <v>08649576</v>
      </c>
      <c r="D1086" s="1" t="s">
        <v>186</v>
      </c>
      <c r="F1086" s="1" t="str">
        <f>"140"</f>
        <v>140</v>
      </c>
      <c r="G1086" s="2">
        <v>41809.0</v>
      </c>
      <c r="H1086" s="1">
        <v>229695.0</v>
      </c>
      <c r="I1086" s="1">
        <v>1.0</v>
      </c>
      <c r="J1086" s="1">
        <v>229695.0</v>
      </c>
      <c r="K1086" s="2">
        <v>41809.0</v>
      </c>
      <c r="L1086" s="1">
        <v>1.0</v>
      </c>
      <c r="M1086" s="2">
        <v>41809.0</v>
      </c>
      <c r="N1086" s="1" t="s">
        <v>187</v>
      </c>
      <c r="O1086" s="2">
        <v>42014.0</v>
      </c>
      <c r="P1086" s="1">
        <v>99999.0</v>
      </c>
      <c r="Q1086" s="1" t="s">
        <v>947</v>
      </c>
      <c r="S1086" s="1">
        <v>1531.0</v>
      </c>
      <c r="T1086" s="1" t="s">
        <v>2664</v>
      </c>
      <c r="U1086" s="1" t="s">
        <v>569</v>
      </c>
      <c r="V1086" s="1" t="s">
        <v>321</v>
      </c>
      <c r="W1086" s="1">
        <v>60140.0</v>
      </c>
      <c r="Y1086" s="1" t="s">
        <v>11956</v>
      </c>
      <c r="Z1086" s="1">
        <v>2014.0</v>
      </c>
      <c r="AA1086" s="1" t="s">
        <v>200</v>
      </c>
      <c r="AB1086" s="1" t="s">
        <v>193</v>
      </c>
      <c r="AC1086" s="1" t="s">
        <v>11957</v>
      </c>
      <c r="AD1086" s="1" t="s">
        <v>324</v>
      </c>
      <c r="AE1086" s="1" t="s">
        <v>325</v>
      </c>
      <c r="AF1086" s="1" t="s">
        <v>324</v>
      </c>
      <c r="AG1086" s="1" t="s">
        <v>11958</v>
      </c>
      <c r="AH1086" s="1">
        <v>0.0</v>
      </c>
      <c r="AK1086" s="1">
        <v>10.0</v>
      </c>
      <c r="AL1086" s="1">
        <v>4.0</v>
      </c>
      <c r="AM1086" s="1">
        <v>2.0</v>
      </c>
      <c r="AN1086" s="1">
        <v>1.0</v>
      </c>
      <c r="AO1086" s="1" t="s">
        <v>198</v>
      </c>
      <c r="AQ1086" s="1" t="s">
        <v>198</v>
      </c>
      <c r="AR1086" s="1" t="s">
        <v>200</v>
      </c>
      <c r="AS1086" s="1" t="s">
        <v>199</v>
      </c>
      <c r="AT1086" s="1">
        <v>2.0</v>
      </c>
      <c r="AV1086" s="1" t="s">
        <v>200</v>
      </c>
      <c r="AW1086" s="1" t="s">
        <v>575</v>
      </c>
      <c r="AX1086" s="1">
        <v>2012.0</v>
      </c>
      <c r="AZ1086" s="1" t="s">
        <v>192</v>
      </c>
      <c r="BA1086" s="1" t="str">
        <f>"0111111100"</f>
        <v>0111111100</v>
      </c>
      <c r="BC1086" s="1">
        <v>2455.0</v>
      </c>
      <c r="BD1086" s="1">
        <v>229695.0</v>
      </c>
      <c r="BE1086" s="2">
        <v>41809.0</v>
      </c>
      <c r="BF1086" s="2" t="s">
        <v>11959</v>
      </c>
      <c r="BG1086" s="1" t="s">
        <v>6193</v>
      </c>
      <c r="BH1086" s="1">
        <v>34.0</v>
      </c>
      <c r="BI1086" s="1" t="s">
        <v>5040</v>
      </c>
      <c r="BJ1086" s="1" t="s">
        <v>1182</v>
      </c>
      <c r="BK1086" s="1" t="s">
        <v>474</v>
      </c>
      <c r="BL1086" s="1" t="str">
        <f t="shared" ref="BL1086:BM1086" si="725">""</f>
        <v/>
      </c>
      <c r="BM1086" s="1" t="str">
        <f t="shared" si="725"/>
        <v/>
      </c>
      <c r="BQ1086" s="1">
        <v>300.0</v>
      </c>
      <c r="BR1086" s="1">
        <v>300.0</v>
      </c>
      <c r="BS1086" s="1">
        <v>300.0</v>
      </c>
      <c r="BU1086" s="1" t="s">
        <v>623</v>
      </c>
      <c r="BV1086" s="1" t="s">
        <v>206</v>
      </c>
      <c r="BW1086" s="1" t="s">
        <v>210</v>
      </c>
      <c r="BY1086" s="1" t="s">
        <v>390</v>
      </c>
      <c r="BZ1086" s="1" t="s">
        <v>209</v>
      </c>
      <c r="CA1086" s="1" t="s">
        <v>210</v>
      </c>
      <c r="CC1086" s="1" t="s">
        <v>1939</v>
      </c>
      <c r="CD1086" s="1" t="s">
        <v>206</v>
      </c>
      <c r="CE1086" s="1" t="s">
        <v>210</v>
      </c>
      <c r="CG1086" s="1" t="s">
        <v>729</v>
      </c>
      <c r="CH1086" s="1" t="s">
        <v>209</v>
      </c>
      <c r="CI1086" s="1" t="s">
        <v>210</v>
      </c>
      <c r="CK1086" s="1" t="s">
        <v>2460</v>
      </c>
      <c r="CL1086" s="1" t="s">
        <v>209</v>
      </c>
      <c r="CM1086" s="1" t="s">
        <v>210</v>
      </c>
      <c r="CO1086" s="1" t="s">
        <v>663</v>
      </c>
      <c r="CP1086" s="1" t="s">
        <v>209</v>
      </c>
      <c r="CQ1086" s="1" t="s">
        <v>210</v>
      </c>
      <c r="CS1086" s="1" t="s">
        <v>1904</v>
      </c>
      <c r="CT1086" s="1" t="s">
        <v>206</v>
      </c>
      <c r="CU1086" s="1" t="s">
        <v>207</v>
      </c>
      <c r="CW1086" s="1" t="s">
        <v>743</v>
      </c>
      <c r="CX1086" s="1" t="s">
        <v>206</v>
      </c>
      <c r="CY1086" s="1" t="s">
        <v>210</v>
      </c>
      <c r="DA1086" s="1" t="s">
        <v>192</v>
      </c>
      <c r="DB1086" s="2">
        <v>41813.0</v>
      </c>
      <c r="DC1086" s="1" t="s">
        <v>744</v>
      </c>
      <c r="DD1086" s="1" t="s">
        <v>396</v>
      </c>
      <c r="DE1086" s="1" t="s">
        <v>273</v>
      </c>
      <c r="DF1086" s="1" t="s">
        <v>219</v>
      </c>
      <c r="DG1086" s="1" t="s">
        <v>1602</v>
      </c>
      <c r="DH1086" s="1" t="s">
        <v>220</v>
      </c>
      <c r="DI1086" s="1" t="s">
        <v>11960</v>
      </c>
      <c r="DJ1086" s="1" t="s">
        <v>222</v>
      </c>
      <c r="DL1086" s="1" t="s">
        <v>588</v>
      </c>
      <c r="DM1086" s="1" t="s">
        <v>338</v>
      </c>
      <c r="DP1086" s="1" t="s">
        <v>340</v>
      </c>
      <c r="DQ1086" s="1" t="s">
        <v>441</v>
      </c>
      <c r="DR1086" s="1" t="s">
        <v>2593</v>
      </c>
      <c r="DV1086" s="1" t="s">
        <v>1356</v>
      </c>
      <c r="DW1086" s="1" t="s">
        <v>233</v>
      </c>
      <c r="DX1086" s="1" t="s">
        <v>234</v>
      </c>
      <c r="EA1086" s="1" t="s">
        <v>1027</v>
      </c>
      <c r="EC1086" s="1" t="s">
        <v>237</v>
      </c>
      <c r="ED1086" s="1" t="s">
        <v>1761</v>
      </c>
      <c r="EG1086" s="1" t="s">
        <v>556</v>
      </c>
      <c r="EH1086" s="1" t="s">
        <v>1028</v>
      </c>
      <c r="EL1086" s="1" t="s">
        <v>1316</v>
      </c>
      <c r="EM1086" s="1" t="s">
        <v>206</v>
      </c>
      <c r="EP1086" s="1" t="s">
        <v>269</v>
      </c>
      <c r="EQ1086" s="1" t="s">
        <v>206</v>
      </c>
      <c r="EU1086" s="1" t="s">
        <v>238</v>
      </c>
      <c r="EY1086" s="1" t="s">
        <v>238</v>
      </c>
      <c r="FC1086" s="1" t="s">
        <v>238</v>
      </c>
      <c r="FF1086" s="1" t="s">
        <v>239</v>
      </c>
      <c r="FG1086" s="1" t="s">
        <v>192</v>
      </c>
      <c r="FH1086" s="1" t="s">
        <v>192</v>
      </c>
      <c r="FJ1086" s="1" t="s">
        <v>11961</v>
      </c>
      <c r="FK1086" s="1" t="s">
        <v>229</v>
      </c>
      <c r="FL1086" s="1" t="s">
        <v>2263</v>
      </c>
      <c r="FM1086" s="1">
        <v>7661.0</v>
      </c>
      <c r="FN1086" s="1" t="s">
        <v>4356</v>
      </c>
      <c r="FO1086" s="1" t="s">
        <v>7176</v>
      </c>
      <c r="FP1086" s="1">
        <v>7844.0</v>
      </c>
      <c r="FQ1086" s="1" t="s">
        <v>7177</v>
      </c>
      <c r="FT1086" s="1" t="s">
        <v>11962</v>
      </c>
      <c r="FU1086" s="1" t="s">
        <v>4359</v>
      </c>
      <c r="FV1086" s="1" t="s">
        <v>200</v>
      </c>
      <c r="FW1086" s="1" t="s">
        <v>1037</v>
      </c>
      <c r="FZ1086" s="1" t="s">
        <v>229</v>
      </c>
      <c r="GA1086" s="1" t="s">
        <v>291</v>
      </c>
      <c r="GB1086" s="2">
        <v>42017.0</v>
      </c>
      <c r="GC1086" s="1" t="s">
        <v>11963</v>
      </c>
    </row>
    <row r="1087">
      <c r="A1087" s="1">
        <v>1312800.0</v>
      </c>
      <c r="B1087" s="1" t="s">
        <v>185</v>
      </c>
      <c r="C1087" s="1" t="str">
        <f>"08647904"</f>
        <v>08647904</v>
      </c>
      <c r="D1087" s="1" t="s">
        <v>186</v>
      </c>
      <c r="F1087" s="1" t="str">
        <f>"8007"</f>
        <v>8007</v>
      </c>
      <c r="G1087" s="2">
        <v>41807.0</v>
      </c>
      <c r="H1087" s="1">
        <v>1495000.0</v>
      </c>
      <c r="I1087" s="1">
        <v>249.0</v>
      </c>
      <c r="J1087" s="1">
        <v>1350000.0</v>
      </c>
      <c r="K1087" s="2">
        <v>42055.0</v>
      </c>
      <c r="L1087" s="1">
        <v>249.0</v>
      </c>
      <c r="M1087" s="2">
        <v>42055.0</v>
      </c>
      <c r="N1087" s="1" t="s">
        <v>187</v>
      </c>
      <c r="O1087" s="2">
        <v>42093.0</v>
      </c>
      <c r="P1087" s="1">
        <v>183725.0</v>
      </c>
      <c r="Q1087" s="1">
        <v>10115.0</v>
      </c>
      <c r="S1087" s="1">
        <v>2619.0</v>
      </c>
      <c r="T1087" s="1" t="s">
        <v>11964</v>
      </c>
      <c r="U1087" s="1" t="s">
        <v>189</v>
      </c>
      <c r="V1087" s="1" t="s">
        <v>190</v>
      </c>
      <c r="W1087" s="1">
        <v>60614.0</v>
      </c>
      <c r="Y1087" s="1" t="s">
        <v>11965</v>
      </c>
      <c r="Z1087" s="1">
        <v>1990.0</v>
      </c>
      <c r="AA1087" s="1" t="s">
        <v>200</v>
      </c>
      <c r="AB1087" s="1" t="s">
        <v>467</v>
      </c>
      <c r="AC1087" s="1" t="s">
        <v>11966</v>
      </c>
      <c r="AD1087" s="1" t="s">
        <v>194</v>
      </c>
      <c r="AE1087" s="1" t="s">
        <v>195</v>
      </c>
      <c r="AF1087" s="1" t="s">
        <v>2645</v>
      </c>
      <c r="AH1087" s="1" t="s">
        <v>11967</v>
      </c>
      <c r="AK1087" s="1">
        <v>9.0</v>
      </c>
      <c r="AL1087" s="1">
        <v>4.0</v>
      </c>
      <c r="AM1087" s="1">
        <v>3.0</v>
      </c>
      <c r="AN1087" s="1">
        <v>1.0</v>
      </c>
      <c r="AO1087" s="1" t="s">
        <v>198</v>
      </c>
      <c r="AP1087" s="1">
        <v>2.0</v>
      </c>
      <c r="AQ1087" s="1" t="s">
        <v>229</v>
      </c>
      <c r="AR1087" s="1" t="s">
        <v>200</v>
      </c>
      <c r="AS1087" s="1" t="s">
        <v>510</v>
      </c>
      <c r="AT1087" s="1">
        <v>2.0</v>
      </c>
      <c r="AU1087" s="1">
        <v>2.0</v>
      </c>
      <c r="AV1087" s="1" t="s">
        <v>200</v>
      </c>
      <c r="AW1087" s="1">
        <v>21325.0</v>
      </c>
      <c r="AX1087" s="1">
        <v>2012.0</v>
      </c>
      <c r="AY1087" s="1" t="s">
        <v>1179</v>
      </c>
      <c r="AZ1087" s="1" t="s">
        <v>200</v>
      </c>
      <c r="BA1087" s="1" t="str">
        <f>"14293021820000"</f>
        <v>14293021820000</v>
      </c>
      <c r="BB1087" s="1" t="s">
        <v>200</v>
      </c>
      <c r="BC1087" s="1">
        <v>4200.0</v>
      </c>
      <c r="BD1087" s="1">
        <v>1312800.0</v>
      </c>
      <c r="BE1087" s="2">
        <v>41807.0</v>
      </c>
      <c r="BF1087" s="2" t="s">
        <v>11968</v>
      </c>
      <c r="BG1087" s="1" t="s">
        <v>4847</v>
      </c>
      <c r="BH1087" s="1">
        <v>190.0</v>
      </c>
      <c r="BK1087" s="1" t="s">
        <v>474</v>
      </c>
      <c r="BL1087" s="1" t="str">
        <f>"2619"</f>
        <v>2619</v>
      </c>
      <c r="BM1087" s="1" t="str">
        <f>"0"</f>
        <v>0</v>
      </c>
      <c r="BN1087" s="1">
        <v>1500.0</v>
      </c>
      <c r="BO1087" s="1">
        <v>0.0</v>
      </c>
      <c r="BQ1087" s="1">
        <v>299.0</v>
      </c>
      <c r="BR1087" s="1">
        <v>299.0</v>
      </c>
      <c r="BS1087" s="1">
        <v>299.0</v>
      </c>
      <c r="BU1087" s="1" t="s">
        <v>477</v>
      </c>
      <c r="BV1087" s="1" t="s">
        <v>209</v>
      </c>
      <c r="BW1087" s="1" t="s">
        <v>207</v>
      </c>
      <c r="BY1087" s="1" t="s">
        <v>782</v>
      </c>
      <c r="BZ1087" s="1" t="s">
        <v>391</v>
      </c>
      <c r="CA1087" s="1" t="s">
        <v>588</v>
      </c>
      <c r="CC1087" s="1" t="s">
        <v>214</v>
      </c>
      <c r="CD1087" s="1" t="s">
        <v>209</v>
      </c>
      <c r="CE1087" s="1" t="s">
        <v>207</v>
      </c>
      <c r="CG1087" s="1" t="s">
        <v>584</v>
      </c>
      <c r="CH1087" s="1" t="s">
        <v>391</v>
      </c>
      <c r="CI1087" s="1" t="s">
        <v>207</v>
      </c>
      <c r="CK1087" s="1" t="s">
        <v>584</v>
      </c>
      <c r="CL1087" s="1" t="s">
        <v>391</v>
      </c>
      <c r="CM1087" s="1" t="s">
        <v>207</v>
      </c>
      <c r="CO1087" s="1" t="s">
        <v>497</v>
      </c>
      <c r="CP1087" s="1" t="s">
        <v>206</v>
      </c>
      <c r="CQ1087" s="1" t="s">
        <v>207</v>
      </c>
      <c r="CS1087" s="1" t="s">
        <v>432</v>
      </c>
      <c r="CT1087" s="1" t="s">
        <v>209</v>
      </c>
      <c r="CU1087" s="1" t="s">
        <v>2615</v>
      </c>
      <c r="CW1087" s="1" t="s">
        <v>6591</v>
      </c>
      <c r="CX1087" s="1" t="s">
        <v>206</v>
      </c>
      <c r="CY1087" s="1" t="s">
        <v>210</v>
      </c>
      <c r="DA1087" s="1" t="s">
        <v>200</v>
      </c>
      <c r="DC1087" s="1" t="s">
        <v>435</v>
      </c>
      <c r="DD1087" s="1" t="s">
        <v>336</v>
      </c>
      <c r="DE1087" s="1" t="s">
        <v>218</v>
      </c>
      <c r="DF1087" s="1" t="s">
        <v>3258</v>
      </c>
      <c r="DH1087" s="1" t="s">
        <v>365</v>
      </c>
      <c r="DI1087" s="1" t="s">
        <v>4608</v>
      </c>
      <c r="DJ1087" s="1" t="s">
        <v>222</v>
      </c>
      <c r="DL1087" s="1" t="s">
        <v>229</v>
      </c>
      <c r="DM1087" s="1" t="s">
        <v>229</v>
      </c>
      <c r="DN1087" s="1" t="s">
        <v>2873</v>
      </c>
      <c r="DO1087" s="1" t="s">
        <v>486</v>
      </c>
      <c r="DP1087" s="1" t="s">
        <v>340</v>
      </c>
      <c r="DQ1087" s="1" t="s">
        <v>228</v>
      </c>
      <c r="DR1087" s="1" t="s">
        <v>9741</v>
      </c>
      <c r="DV1087" s="1" t="s">
        <v>11969</v>
      </c>
      <c r="DW1087" s="1" t="s">
        <v>3876</v>
      </c>
      <c r="DX1087" s="1" t="s">
        <v>234</v>
      </c>
      <c r="DY1087" s="1" t="s">
        <v>11845</v>
      </c>
      <c r="DZ1087" s="1" t="s">
        <v>766</v>
      </c>
      <c r="EB1087" s="1" t="s">
        <v>937</v>
      </c>
      <c r="EC1087" s="1" t="s">
        <v>406</v>
      </c>
      <c r="EF1087" s="1" t="s">
        <v>523</v>
      </c>
      <c r="EG1087" s="1" t="s">
        <v>556</v>
      </c>
      <c r="EH1087" s="1" t="s">
        <v>408</v>
      </c>
      <c r="EL1087" s="1" t="s">
        <v>363</v>
      </c>
      <c r="EM1087" s="1" t="s">
        <v>209</v>
      </c>
      <c r="EN1087" s="1" t="s">
        <v>2615</v>
      </c>
      <c r="EP1087" s="1" t="s">
        <v>2072</v>
      </c>
      <c r="EQ1087" s="1" t="s">
        <v>209</v>
      </c>
      <c r="EU1087" s="1" t="s">
        <v>238</v>
      </c>
      <c r="EY1087" s="1" t="s">
        <v>238</v>
      </c>
      <c r="FC1087" s="1" t="s">
        <v>238</v>
      </c>
      <c r="FF1087" s="1" t="s">
        <v>239</v>
      </c>
      <c r="FG1087" s="1" t="s">
        <v>192</v>
      </c>
      <c r="FH1087" s="1" t="s">
        <v>192</v>
      </c>
      <c r="FJ1087" s="1" t="s">
        <v>2285</v>
      </c>
      <c r="FK1087" s="1" t="s">
        <v>229</v>
      </c>
      <c r="FL1087" s="1" t="s">
        <v>974</v>
      </c>
      <c r="FM1087" s="1">
        <v>10988.0</v>
      </c>
      <c r="FN1087" s="1" t="s">
        <v>975</v>
      </c>
      <c r="FO1087" s="1" t="s">
        <v>11970</v>
      </c>
      <c r="FP1087" s="1">
        <v>145907.0</v>
      </c>
      <c r="FQ1087" s="1" t="s">
        <v>11971</v>
      </c>
      <c r="FU1087" s="1" t="s">
        <v>11972</v>
      </c>
      <c r="FV1087" s="1" t="s">
        <v>200</v>
      </c>
      <c r="FW1087" s="1" t="s">
        <v>290</v>
      </c>
      <c r="FX1087" s="1" t="s">
        <v>238</v>
      </c>
      <c r="FZ1087" s="1" t="s">
        <v>229</v>
      </c>
      <c r="GA1087" s="1" t="s">
        <v>291</v>
      </c>
      <c r="GB1087" s="2">
        <v>42093.0</v>
      </c>
      <c r="GC1087" s="1" t="s">
        <v>11973</v>
      </c>
    </row>
    <row r="1088">
      <c r="A1088" s="1">
        <v>359000.0</v>
      </c>
      <c r="B1088" s="1" t="s">
        <v>185</v>
      </c>
      <c r="C1088" s="1" t="str">
        <f>"08646267"</f>
        <v>08646267</v>
      </c>
      <c r="D1088" s="1" t="s">
        <v>186</v>
      </c>
      <c r="F1088" s="1" t="str">
        <f>"134"</f>
        <v>134</v>
      </c>
      <c r="G1088" s="2">
        <v>41806.0</v>
      </c>
      <c r="H1088" s="1">
        <v>409900.0</v>
      </c>
      <c r="I1088" s="1">
        <v>266.0</v>
      </c>
      <c r="J1088" s="1">
        <v>385900.0</v>
      </c>
      <c r="K1088" s="2">
        <v>42046.0</v>
      </c>
      <c r="L1088" s="1">
        <v>241.0</v>
      </c>
      <c r="M1088" s="2">
        <v>42046.0</v>
      </c>
      <c r="N1088" s="1" t="s">
        <v>187</v>
      </c>
      <c r="O1088" s="2">
        <v>42088.0</v>
      </c>
      <c r="P1088" s="1">
        <v>901.0</v>
      </c>
      <c r="Q1088" s="1">
        <v>41.0</v>
      </c>
      <c r="S1088" s="1">
        <v>721.0</v>
      </c>
      <c r="T1088" s="1" t="s">
        <v>11974</v>
      </c>
      <c r="U1088" s="1" t="s">
        <v>189</v>
      </c>
      <c r="V1088" s="1" t="s">
        <v>421</v>
      </c>
      <c r="W1088" s="1">
        <v>60134.0</v>
      </c>
      <c r="Y1088" s="1" t="s">
        <v>11975</v>
      </c>
      <c r="Z1088" s="1">
        <v>1968.0</v>
      </c>
      <c r="AA1088" s="1" t="s">
        <v>192</v>
      </c>
      <c r="AB1088" s="1" t="s">
        <v>193</v>
      </c>
      <c r="AD1088" s="1" t="s">
        <v>424</v>
      </c>
      <c r="AE1088" s="1" t="s">
        <v>325</v>
      </c>
      <c r="AF1088" s="1" t="s">
        <v>424</v>
      </c>
      <c r="AG1088" s="1" t="s">
        <v>11976</v>
      </c>
      <c r="AH1088" s="1" t="s">
        <v>11977</v>
      </c>
      <c r="AI1088" s="1">
        <v>0.2</v>
      </c>
      <c r="AK1088" s="1">
        <v>10.0</v>
      </c>
      <c r="AL1088" s="1">
        <v>4.0</v>
      </c>
      <c r="AM1088" s="1">
        <v>2.0</v>
      </c>
      <c r="AN1088" s="1">
        <v>1.0</v>
      </c>
      <c r="AO1088" s="1" t="s">
        <v>198</v>
      </c>
      <c r="AP1088" s="1">
        <v>1.0</v>
      </c>
      <c r="AQ1088" s="1" t="s">
        <v>198</v>
      </c>
      <c r="AR1088" s="1" t="s">
        <v>200</v>
      </c>
      <c r="AS1088" s="1" t="s">
        <v>199</v>
      </c>
      <c r="AT1088" s="1">
        <v>2.0</v>
      </c>
      <c r="AV1088" s="1" t="s">
        <v>200</v>
      </c>
      <c r="AW1088" s="1">
        <v>7232.64</v>
      </c>
      <c r="AX1088" s="1">
        <v>2013.0</v>
      </c>
      <c r="AY1088" s="1" t="s">
        <v>387</v>
      </c>
      <c r="AZ1088" s="1" t="s">
        <v>200</v>
      </c>
      <c r="BA1088" s="1" t="str">
        <f>"1210131002"</f>
        <v>1210131002</v>
      </c>
      <c r="BC1088" s="1">
        <v>0.0</v>
      </c>
      <c r="BD1088" s="1">
        <v>359000.0</v>
      </c>
      <c r="BE1088" s="2">
        <v>41806.0</v>
      </c>
      <c r="BF1088" s="2" t="s">
        <v>11978</v>
      </c>
      <c r="BH1088" s="1">
        <v>0.0</v>
      </c>
      <c r="BK1088" s="1" t="s">
        <v>204</v>
      </c>
      <c r="BL1088" s="1" t="str">
        <f t="shared" ref="BL1088:BM1088" si="726">""</f>
        <v/>
      </c>
      <c r="BM1088" s="1" t="str">
        <f t="shared" si="726"/>
        <v/>
      </c>
      <c r="BQ1088" s="1">
        <v>304.0</v>
      </c>
      <c r="BR1088" s="1">
        <v>304.0</v>
      </c>
      <c r="BS1088" s="1">
        <v>304.0</v>
      </c>
      <c r="BU1088" s="1" t="s">
        <v>212</v>
      </c>
      <c r="BV1088" s="1" t="s">
        <v>206</v>
      </c>
      <c r="BW1088" s="1" t="s">
        <v>207</v>
      </c>
      <c r="BY1088" s="1" t="s">
        <v>432</v>
      </c>
      <c r="BZ1088" s="1" t="s">
        <v>209</v>
      </c>
      <c r="CA1088" s="1" t="s">
        <v>207</v>
      </c>
      <c r="CC1088" s="1" t="s">
        <v>758</v>
      </c>
      <c r="CD1088" s="1" t="s">
        <v>206</v>
      </c>
      <c r="CE1088" s="1" t="s">
        <v>207</v>
      </c>
      <c r="CG1088" s="1" t="s">
        <v>211</v>
      </c>
      <c r="CH1088" s="1" t="s">
        <v>209</v>
      </c>
      <c r="CI1088" s="1" t="s">
        <v>207</v>
      </c>
      <c r="CK1088" s="1" t="s">
        <v>647</v>
      </c>
      <c r="CL1088" s="1" t="s">
        <v>209</v>
      </c>
      <c r="CM1088" s="1" t="s">
        <v>207</v>
      </c>
      <c r="CO1088" s="1" t="s">
        <v>647</v>
      </c>
      <c r="CP1088" s="1" t="s">
        <v>209</v>
      </c>
      <c r="CQ1088" s="1" t="s">
        <v>207</v>
      </c>
      <c r="CS1088" s="1" t="s">
        <v>392</v>
      </c>
      <c r="CT1088" s="1" t="s">
        <v>206</v>
      </c>
      <c r="CU1088" s="1" t="s">
        <v>207</v>
      </c>
      <c r="CW1088" s="1" t="s">
        <v>3475</v>
      </c>
      <c r="CX1088" s="1" t="s">
        <v>206</v>
      </c>
      <c r="CY1088" s="1" t="s">
        <v>207</v>
      </c>
      <c r="DA1088" s="1" t="s">
        <v>200</v>
      </c>
      <c r="DC1088" s="1" t="s">
        <v>517</v>
      </c>
      <c r="DD1088" s="1" t="s">
        <v>306</v>
      </c>
      <c r="DE1088" s="1" t="s">
        <v>273</v>
      </c>
      <c r="DF1088" s="1" t="s">
        <v>219</v>
      </c>
      <c r="DG1088" s="1" t="s">
        <v>11979</v>
      </c>
      <c r="DH1088" s="1" t="s">
        <v>220</v>
      </c>
      <c r="DI1088" s="1" t="s">
        <v>221</v>
      </c>
      <c r="DJ1088" s="1" t="s">
        <v>222</v>
      </c>
      <c r="DK1088" s="1" t="s">
        <v>223</v>
      </c>
      <c r="DL1088" s="1" t="s">
        <v>858</v>
      </c>
      <c r="DM1088" s="1" t="s">
        <v>1022</v>
      </c>
      <c r="DN1088" s="1" t="s">
        <v>367</v>
      </c>
      <c r="DO1088" s="1" t="s">
        <v>549</v>
      </c>
      <c r="DP1088" s="1" t="s">
        <v>340</v>
      </c>
      <c r="DQ1088" s="1" t="s">
        <v>228</v>
      </c>
      <c r="DR1088" s="1" t="s">
        <v>229</v>
      </c>
      <c r="DU1088" s="1" t="s">
        <v>11226</v>
      </c>
      <c r="DV1088" s="1" t="s">
        <v>11980</v>
      </c>
      <c r="DW1088" s="1" t="s">
        <v>764</v>
      </c>
      <c r="DX1088" s="1" t="s">
        <v>234</v>
      </c>
      <c r="DY1088" s="1" t="s">
        <v>935</v>
      </c>
      <c r="DZ1088" s="1" t="s">
        <v>11981</v>
      </c>
      <c r="EA1088" s="1" t="s">
        <v>447</v>
      </c>
      <c r="EB1088" s="1" t="s">
        <v>937</v>
      </c>
      <c r="EC1088" s="1" t="s">
        <v>237</v>
      </c>
      <c r="ED1088" s="1" t="s">
        <v>555</v>
      </c>
      <c r="EG1088" s="1" t="s">
        <v>1729</v>
      </c>
      <c r="EI1088" s="1" t="s">
        <v>1121</v>
      </c>
      <c r="EL1088" s="1" t="s">
        <v>392</v>
      </c>
      <c r="EM1088" s="1" t="s">
        <v>206</v>
      </c>
      <c r="EN1088" s="1" t="s">
        <v>2128</v>
      </c>
      <c r="EQ1088" s="1" t="s">
        <v>238</v>
      </c>
      <c r="ET1088" s="1" t="s">
        <v>212</v>
      </c>
      <c r="EU1088" s="1" t="s">
        <v>206</v>
      </c>
      <c r="EV1088" s="1" t="s">
        <v>207</v>
      </c>
      <c r="EY1088" s="1" t="s">
        <v>238</v>
      </c>
      <c r="FC1088" s="1" t="s">
        <v>238</v>
      </c>
      <c r="FF1088" s="1" t="s">
        <v>239</v>
      </c>
      <c r="FG1088" s="1" t="s">
        <v>200</v>
      </c>
      <c r="FH1088" s="1" t="s">
        <v>192</v>
      </c>
      <c r="FJ1088" s="1" t="s">
        <v>2133</v>
      </c>
      <c r="FK1088" s="1" t="s">
        <v>229</v>
      </c>
      <c r="FL1088" s="1" t="s">
        <v>499</v>
      </c>
      <c r="FM1088" s="1">
        <v>358.0</v>
      </c>
      <c r="FN1088" s="1" t="s">
        <v>500</v>
      </c>
      <c r="FO1088" s="1" t="s">
        <v>501</v>
      </c>
      <c r="FP1088" s="1">
        <v>347.0</v>
      </c>
      <c r="FQ1088" s="1" t="s">
        <v>500</v>
      </c>
      <c r="FU1088" s="1" t="s">
        <v>11982</v>
      </c>
      <c r="FV1088" s="1" t="s">
        <v>200</v>
      </c>
      <c r="FW1088" s="1" t="s">
        <v>290</v>
      </c>
      <c r="FZ1088" s="1" t="s">
        <v>2993</v>
      </c>
      <c r="GA1088" s="1" t="s">
        <v>291</v>
      </c>
      <c r="GB1088" s="2">
        <v>42089.0</v>
      </c>
      <c r="GC1088" s="1" t="s">
        <v>11983</v>
      </c>
    </row>
    <row r="1089">
      <c r="A1089" s="1">
        <v>450000.0</v>
      </c>
      <c r="B1089" s="1" t="s">
        <v>185</v>
      </c>
      <c r="C1089" s="1" t="str">
        <f>"08648003"</f>
        <v>08648003</v>
      </c>
      <c r="D1089" s="1" t="s">
        <v>186</v>
      </c>
      <c r="F1089" s="1" t="str">
        <f>"174"</f>
        <v>174</v>
      </c>
      <c r="G1089" s="2">
        <v>41807.0</v>
      </c>
      <c r="H1089" s="1">
        <v>475000.0</v>
      </c>
      <c r="I1089" s="1">
        <v>109.0</v>
      </c>
      <c r="J1089" s="1">
        <v>475000.0</v>
      </c>
      <c r="K1089" s="2">
        <v>41915.0</v>
      </c>
      <c r="L1089" s="1">
        <v>109.0</v>
      </c>
      <c r="M1089" s="2">
        <v>41915.0</v>
      </c>
      <c r="N1089" s="1" t="s">
        <v>249</v>
      </c>
      <c r="O1089" s="2">
        <v>41978.0</v>
      </c>
      <c r="P1089" s="1">
        <v>230544.0</v>
      </c>
      <c r="Q1089" s="1">
        <v>24330.0</v>
      </c>
      <c r="S1089" s="1" t="s">
        <v>11984</v>
      </c>
      <c r="T1089" s="1" t="s">
        <v>11985</v>
      </c>
      <c r="U1089" s="1" t="s">
        <v>569</v>
      </c>
      <c r="V1089" s="1" t="s">
        <v>1200</v>
      </c>
      <c r="W1089" s="1">
        <v>60175.0</v>
      </c>
      <c r="Y1089" s="1" t="s">
        <v>11986</v>
      </c>
      <c r="Z1089" s="1">
        <v>1999.0</v>
      </c>
      <c r="AA1089" s="1" t="s">
        <v>200</v>
      </c>
      <c r="AB1089" s="1" t="s">
        <v>467</v>
      </c>
      <c r="AC1089" s="1" t="s">
        <v>11987</v>
      </c>
      <c r="AD1089" s="1" t="s">
        <v>3766</v>
      </c>
      <c r="AE1089" s="1" t="s">
        <v>325</v>
      </c>
      <c r="AF1089" s="1" t="s">
        <v>1632</v>
      </c>
      <c r="AH1089" s="1" t="s">
        <v>11988</v>
      </c>
      <c r="AI1089" s="1">
        <v>1.25</v>
      </c>
      <c r="AK1089" s="1">
        <v>12.0</v>
      </c>
      <c r="AL1089" s="1">
        <v>4.0</v>
      </c>
      <c r="AM1089" s="1">
        <v>4.0</v>
      </c>
      <c r="AN1089" s="1">
        <v>0.0</v>
      </c>
      <c r="AO1089" s="1" t="s">
        <v>198</v>
      </c>
      <c r="AP1089" s="1">
        <v>1.0</v>
      </c>
      <c r="AQ1089" s="1" t="s">
        <v>198</v>
      </c>
      <c r="AR1089" s="1" t="s">
        <v>192</v>
      </c>
      <c r="AS1089" s="1" t="s">
        <v>199</v>
      </c>
      <c r="AT1089" s="1">
        <v>3.0</v>
      </c>
      <c r="AV1089" s="1" t="s">
        <v>200</v>
      </c>
      <c r="AW1089" s="1">
        <v>12336.0</v>
      </c>
      <c r="AX1089" s="1">
        <v>2012.0</v>
      </c>
      <c r="AY1089" s="1" t="s">
        <v>387</v>
      </c>
      <c r="AZ1089" s="1" t="s">
        <v>200</v>
      </c>
      <c r="BA1089" s="1" t="str">
        <f>"0815353001"</f>
        <v>0815353001</v>
      </c>
      <c r="BC1089" s="1">
        <v>3383.0</v>
      </c>
      <c r="BD1089" s="1">
        <v>450000.0</v>
      </c>
      <c r="BE1089" s="2">
        <v>41807.0</v>
      </c>
      <c r="BF1089" s="2" t="s">
        <v>11989</v>
      </c>
      <c r="BG1089" s="1" t="s">
        <v>2198</v>
      </c>
      <c r="BH1089" s="1">
        <v>125.0</v>
      </c>
      <c r="BI1089" s="1" t="s">
        <v>2199</v>
      </c>
      <c r="BJ1089" s="1" t="s">
        <v>2200</v>
      </c>
      <c r="BK1089" s="1" t="s">
        <v>580</v>
      </c>
      <c r="BL1089" s="1" t="str">
        <f t="shared" ref="BL1089:BM1089" si="727">""</f>
        <v/>
      </c>
      <c r="BM1089" s="1" t="str">
        <f t="shared" si="727"/>
        <v/>
      </c>
      <c r="BQ1089" s="1">
        <v>303.0</v>
      </c>
      <c r="BR1089" s="1">
        <v>303.0</v>
      </c>
      <c r="BS1089" s="1">
        <v>303.0</v>
      </c>
      <c r="BU1089" s="1" t="s">
        <v>743</v>
      </c>
      <c r="BV1089" s="1" t="s">
        <v>206</v>
      </c>
      <c r="BW1089" s="1" t="s">
        <v>210</v>
      </c>
      <c r="BX1089" s="1" t="s">
        <v>239</v>
      </c>
      <c r="BY1089" s="1" t="s">
        <v>480</v>
      </c>
      <c r="BZ1089" s="1" t="s">
        <v>209</v>
      </c>
      <c r="CA1089" s="1" t="s">
        <v>207</v>
      </c>
      <c r="CB1089" s="1" t="s">
        <v>239</v>
      </c>
      <c r="CC1089" s="1" t="s">
        <v>743</v>
      </c>
      <c r="CD1089" s="1" t="s">
        <v>206</v>
      </c>
      <c r="CE1089" s="1" t="s">
        <v>207</v>
      </c>
      <c r="CF1089" s="1" t="s">
        <v>239</v>
      </c>
      <c r="CG1089" s="1" t="s">
        <v>393</v>
      </c>
      <c r="CH1089" s="1" t="s">
        <v>209</v>
      </c>
      <c r="CI1089" s="1" t="s">
        <v>210</v>
      </c>
      <c r="CJ1089" s="1" t="s">
        <v>239</v>
      </c>
      <c r="CK1089" s="1" t="s">
        <v>433</v>
      </c>
      <c r="CL1089" s="1" t="s">
        <v>209</v>
      </c>
      <c r="CM1089" s="1" t="s">
        <v>210</v>
      </c>
      <c r="CN1089" s="1" t="s">
        <v>239</v>
      </c>
      <c r="CO1089" s="1" t="s">
        <v>363</v>
      </c>
      <c r="CP1089" s="1" t="s">
        <v>209</v>
      </c>
      <c r="CQ1089" s="1" t="s">
        <v>207</v>
      </c>
      <c r="CR1089" s="1" t="s">
        <v>239</v>
      </c>
      <c r="CS1089" s="1" t="s">
        <v>1953</v>
      </c>
      <c r="CT1089" s="1" t="s">
        <v>206</v>
      </c>
      <c r="CU1089" s="1" t="s">
        <v>268</v>
      </c>
      <c r="CV1089" s="1" t="s">
        <v>239</v>
      </c>
      <c r="CW1089" s="1" t="s">
        <v>769</v>
      </c>
      <c r="CX1089" s="1" t="s">
        <v>206</v>
      </c>
      <c r="CY1089" s="1" t="s">
        <v>210</v>
      </c>
      <c r="CZ1089" s="1" t="s">
        <v>239</v>
      </c>
      <c r="DA1089" s="1" t="s">
        <v>200</v>
      </c>
      <c r="DC1089" s="1" t="s">
        <v>335</v>
      </c>
      <c r="DD1089" s="1" t="s">
        <v>336</v>
      </c>
      <c r="DE1089" s="1" t="s">
        <v>273</v>
      </c>
      <c r="DF1089" s="1" t="s">
        <v>219</v>
      </c>
      <c r="DG1089" s="1" t="s">
        <v>3769</v>
      </c>
      <c r="DH1089" s="1" t="s">
        <v>856</v>
      </c>
      <c r="DI1089" s="1" t="s">
        <v>703</v>
      </c>
      <c r="DJ1089" s="1" t="s">
        <v>857</v>
      </c>
      <c r="DK1089" s="1" t="s">
        <v>198</v>
      </c>
      <c r="DL1089" s="1" t="s">
        <v>224</v>
      </c>
      <c r="DM1089" s="1" t="s">
        <v>929</v>
      </c>
      <c r="DN1089" s="1" t="s">
        <v>439</v>
      </c>
      <c r="DO1089" s="1" t="s">
        <v>717</v>
      </c>
      <c r="DP1089" s="1" t="s">
        <v>340</v>
      </c>
      <c r="DQ1089" s="1" t="s">
        <v>931</v>
      </c>
      <c r="DR1089" s="1" t="s">
        <v>1487</v>
      </c>
      <c r="DS1089" s="1" t="s">
        <v>368</v>
      </c>
      <c r="DU1089" s="1" t="s">
        <v>1637</v>
      </c>
      <c r="DV1089" s="1" t="s">
        <v>11990</v>
      </c>
      <c r="DW1089" s="1" t="s">
        <v>764</v>
      </c>
      <c r="DX1089" s="1" t="s">
        <v>234</v>
      </c>
      <c r="DY1089" s="1" t="s">
        <v>11991</v>
      </c>
      <c r="DZ1089" s="1" t="s">
        <v>11992</v>
      </c>
      <c r="EA1089" s="1" t="s">
        <v>344</v>
      </c>
      <c r="EB1089" s="1" t="s">
        <v>1639</v>
      </c>
      <c r="EC1089" s="1" t="s">
        <v>237</v>
      </c>
      <c r="ED1089" s="1" t="s">
        <v>407</v>
      </c>
      <c r="EG1089" s="1" t="s">
        <v>494</v>
      </c>
      <c r="EH1089" s="1" t="s">
        <v>450</v>
      </c>
      <c r="EI1089" s="1" t="s">
        <v>451</v>
      </c>
      <c r="EJ1089" s="1" t="s">
        <v>1121</v>
      </c>
      <c r="EK1089" s="1" t="s">
        <v>408</v>
      </c>
      <c r="EL1089" s="1" t="s">
        <v>433</v>
      </c>
      <c r="EM1089" s="1" t="s">
        <v>206</v>
      </c>
      <c r="EN1089" s="1" t="s">
        <v>207</v>
      </c>
      <c r="EO1089" s="1" t="s">
        <v>239</v>
      </c>
      <c r="EP1089" s="1" t="s">
        <v>11993</v>
      </c>
      <c r="EQ1089" s="1" t="s">
        <v>42</v>
      </c>
      <c r="ER1089" s="1" t="s">
        <v>210</v>
      </c>
      <c r="ET1089" s="1" t="s">
        <v>11994</v>
      </c>
      <c r="EU1089" s="1" t="s">
        <v>42</v>
      </c>
      <c r="EV1089" s="1" t="s">
        <v>210</v>
      </c>
      <c r="EX1089" s="1" t="s">
        <v>392</v>
      </c>
      <c r="EY1089" s="1" t="s">
        <v>209</v>
      </c>
      <c r="EZ1089" s="1" t="s">
        <v>207</v>
      </c>
      <c r="FA1089" s="1" t="s">
        <v>239</v>
      </c>
      <c r="FB1089" s="1" t="s">
        <v>329</v>
      </c>
      <c r="FC1089" s="1" t="s">
        <v>206</v>
      </c>
      <c r="FD1089" s="1" t="s">
        <v>268</v>
      </c>
      <c r="FF1089" s="1" t="s">
        <v>239</v>
      </c>
      <c r="FG1089" s="1" t="s">
        <v>192</v>
      </c>
      <c r="FH1089" s="1" t="s">
        <v>192</v>
      </c>
      <c r="FJ1089" s="1" t="s">
        <v>498</v>
      </c>
      <c r="FK1089" s="1" t="s">
        <v>229</v>
      </c>
      <c r="FL1089" s="1" t="s">
        <v>1358</v>
      </c>
      <c r="FM1089" s="1">
        <v>23591.0</v>
      </c>
      <c r="FN1089" s="1" t="s">
        <v>2134</v>
      </c>
      <c r="FO1089" s="1" t="s">
        <v>2843</v>
      </c>
      <c r="FP1089" s="1">
        <v>230482.0</v>
      </c>
      <c r="FQ1089" s="1" t="s">
        <v>2844</v>
      </c>
      <c r="FS1089" s="1" t="s">
        <v>8183</v>
      </c>
      <c r="FU1089" s="1" t="s">
        <v>11995</v>
      </c>
      <c r="FV1089" s="1" t="s">
        <v>200</v>
      </c>
      <c r="FW1089" s="1" t="s">
        <v>8360</v>
      </c>
      <c r="FZ1089" s="1" t="s">
        <v>229</v>
      </c>
      <c r="GA1089" s="1" t="s">
        <v>291</v>
      </c>
      <c r="GB1089" s="2">
        <v>41979.0</v>
      </c>
      <c r="GC1089" s="1" t="s">
        <v>11996</v>
      </c>
    </row>
    <row r="1090">
      <c r="A1090" s="1">
        <v>217500.0</v>
      </c>
      <c r="B1090" s="1" t="s">
        <v>185</v>
      </c>
      <c r="C1090" s="1" t="str">
        <f>"08647764"</f>
        <v>08647764</v>
      </c>
      <c r="D1090" s="1" t="s">
        <v>186</v>
      </c>
      <c r="F1090" s="1" t="str">
        <f>"134"</f>
        <v>134</v>
      </c>
      <c r="G1090" s="2">
        <v>41807.0</v>
      </c>
      <c r="H1090" s="1">
        <v>249900.0</v>
      </c>
      <c r="I1090" s="1">
        <v>245.0</v>
      </c>
      <c r="J1090" s="1">
        <v>244900.0</v>
      </c>
      <c r="K1090" s="2">
        <v>42051.0</v>
      </c>
      <c r="L1090" s="1">
        <v>245.0</v>
      </c>
      <c r="M1090" s="2">
        <v>42051.0</v>
      </c>
      <c r="N1090" s="1" t="s">
        <v>249</v>
      </c>
      <c r="O1090" s="2">
        <v>42104.0</v>
      </c>
      <c r="P1090" s="1">
        <v>486.0</v>
      </c>
      <c r="Q1090" s="1">
        <v>890.0</v>
      </c>
      <c r="S1090" s="1">
        <v>1202.0</v>
      </c>
      <c r="T1090" s="1" t="s">
        <v>11997</v>
      </c>
      <c r="U1090" s="1" t="s">
        <v>189</v>
      </c>
      <c r="V1090" s="1" t="s">
        <v>421</v>
      </c>
      <c r="W1090" s="1">
        <v>60134.0</v>
      </c>
      <c r="Y1090" s="1" t="s">
        <v>11998</v>
      </c>
      <c r="Z1090" s="1">
        <v>1951.0</v>
      </c>
      <c r="AA1090" s="1" t="s">
        <v>192</v>
      </c>
      <c r="AB1090" s="1" t="s">
        <v>193</v>
      </c>
      <c r="AC1090" s="1" t="s">
        <v>8709</v>
      </c>
      <c r="AD1090" s="1" t="s">
        <v>424</v>
      </c>
      <c r="AE1090" s="1" t="s">
        <v>325</v>
      </c>
      <c r="AF1090" s="1" t="s">
        <v>424</v>
      </c>
      <c r="AH1090" s="1" t="s">
        <v>11999</v>
      </c>
      <c r="AI1090" s="1">
        <v>0.4645</v>
      </c>
      <c r="AK1090" s="1">
        <v>10.0</v>
      </c>
      <c r="AL1090" s="1">
        <v>4.0</v>
      </c>
      <c r="AM1090" s="1">
        <v>2.0</v>
      </c>
      <c r="AN1090" s="1">
        <v>1.0</v>
      </c>
      <c r="AO1090" s="1" t="s">
        <v>229</v>
      </c>
      <c r="AP1090" s="1">
        <v>2.0</v>
      </c>
      <c r="AQ1090" s="1" t="s">
        <v>1314</v>
      </c>
      <c r="AR1090" s="1" t="s">
        <v>192</v>
      </c>
      <c r="AS1090" s="1" t="s">
        <v>199</v>
      </c>
      <c r="AT1090" s="1">
        <v>2.0</v>
      </c>
      <c r="AV1090" s="1" t="s">
        <v>200</v>
      </c>
      <c r="AW1090" s="1">
        <v>7431.22</v>
      </c>
      <c r="AX1090" s="1">
        <v>2013.0</v>
      </c>
      <c r="AY1090" s="1" t="s">
        <v>229</v>
      </c>
      <c r="AZ1090" s="1" t="s">
        <v>200</v>
      </c>
      <c r="BA1090" s="1" t="str">
        <f>"1210151002"</f>
        <v>1210151002</v>
      </c>
      <c r="BC1090" s="1">
        <v>1646.0</v>
      </c>
      <c r="BD1090" s="1">
        <v>217500.0</v>
      </c>
      <c r="BE1090" s="2">
        <v>41807.0</v>
      </c>
      <c r="BF1090" s="2" t="s">
        <v>12000</v>
      </c>
      <c r="BG1090" s="1" t="s">
        <v>3524</v>
      </c>
      <c r="BH1090" s="1">
        <v>0.0</v>
      </c>
      <c r="BI1090" s="1" t="s">
        <v>429</v>
      </c>
      <c r="BJ1090" s="1" t="s">
        <v>430</v>
      </c>
      <c r="BK1090" s="1" t="s">
        <v>204</v>
      </c>
      <c r="BL1090" s="1" t="str">
        <f t="shared" ref="BL1090:BM1090" si="728">""</f>
        <v/>
      </c>
      <c r="BM1090" s="1" t="str">
        <f t="shared" si="728"/>
        <v/>
      </c>
      <c r="BQ1090" s="1">
        <v>304.0</v>
      </c>
      <c r="BR1090" s="1">
        <v>304.0</v>
      </c>
      <c r="BS1090" s="1">
        <v>304.0</v>
      </c>
      <c r="BU1090" s="1" t="s">
        <v>432</v>
      </c>
      <c r="BV1090" s="1" t="s">
        <v>206</v>
      </c>
      <c r="BW1090" s="1" t="s">
        <v>207</v>
      </c>
      <c r="BY1090" s="1" t="s">
        <v>363</v>
      </c>
      <c r="BZ1090" s="1" t="s">
        <v>206</v>
      </c>
      <c r="CA1090" s="1" t="s">
        <v>207</v>
      </c>
      <c r="CC1090" s="1" t="s">
        <v>8357</v>
      </c>
      <c r="CD1090" s="1" t="s">
        <v>206</v>
      </c>
      <c r="CG1090" s="1" t="s">
        <v>363</v>
      </c>
      <c r="CH1090" s="1" t="s">
        <v>206</v>
      </c>
      <c r="CI1090" s="1" t="s">
        <v>207</v>
      </c>
      <c r="CK1090" s="1" t="s">
        <v>264</v>
      </c>
      <c r="CL1090" s="1" t="s">
        <v>206</v>
      </c>
      <c r="CM1090" s="1" t="s">
        <v>207</v>
      </c>
      <c r="CO1090" s="1" t="s">
        <v>1068</v>
      </c>
      <c r="CP1090" s="1" t="s">
        <v>206</v>
      </c>
      <c r="CQ1090" s="1" t="s">
        <v>210</v>
      </c>
      <c r="CS1090" s="1" t="s">
        <v>2459</v>
      </c>
      <c r="CT1090" s="1" t="s">
        <v>206</v>
      </c>
      <c r="CW1090" s="1" t="s">
        <v>1938</v>
      </c>
      <c r="CX1090" s="1" t="s">
        <v>206</v>
      </c>
      <c r="CY1090" s="1" t="s">
        <v>210</v>
      </c>
      <c r="DA1090" s="1" t="s">
        <v>200</v>
      </c>
      <c r="DC1090" s="1" t="s">
        <v>702</v>
      </c>
      <c r="DD1090" s="1" t="s">
        <v>436</v>
      </c>
      <c r="DE1090" s="1" t="s">
        <v>273</v>
      </c>
      <c r="DF1090" s="1" t="s">
        <v>219</v>
      </c>
      <c r="DG1090" s="1" t="s">
        <v>12001</v>
      </c>
      <c r="DH1090" s="1" t="s">
        <v>220</v>
      </c>
      <c r="DI1090" s="1" t="s">
        <v>959</v>
      </c>
      <c r="DJ1090" s="1" t="s">
        <v>222</v>
      </c>
      <c r="DL1090" s="1" t="s">
        <v>438</v>
      </c>
      <c r="DM1090" s="1" t="s">
        <v>1919</v>
      </c>
      <c r="DQ1090" s="1" t="s">
        <v>441</v>
      </c>
      <c r="DR1090" s="1" t="s">
        <v>229</v>
      </c>
      <c r="DV1090" s="1" t="s">
        <v>12002</v>
      </c>
      <c r="DW1090" s="1" t="s">
        <v>279</v>
      </c>
      <c r="DX1090" s="1" t="s">
        <v>234</v>
      </c>
      <c r="DY1090" s="1" t="s">
        <v>12003</v>
      </c>
      <c r="DZ1090" s="1" t="s">
        <v>10242</v>
      </c>
      <c r="EA1090" s="1" t="s">
        <v>683</v>
      </c>
      <c r="EB1090" s="1" t="s">
        <v>345</v>
      </c>
      <c r="EC1090" s="1" t="s">
        <v>685</v>
      </c>
      <c r="ED1090" s="1" t="s">
        <v>555</v>
      </c>
      <c r="EG1090" s="1" t="s">
        <v>720</v>
      </c>
      <c r="EH1090" s="1" t="s">
        <v>598</v>
      </c>
      <c r="EI1090" s="1" t="s">
        <v>450</v>
      </c>
      <c r="EL1090" s="1" t="s">
        <v>6147</v>
      </c>
      <c r="EM1090" s="1" t="s">
        <v>206</v>
      </c>
      <c r="EP1090" s="1" t="s">
        <v>925</v>
      </c>
      <c r="EQ1090" s="1" t="s">
        <v>42</v>
      </c>
      <c r="ET1090" s="1" t="s">
        <v>12004</v>
      </c>
      <c r="EU1090" s="1" t="s">
        <v>42</v>
      </c>
      <c r="EY1090" s="1" t="s">
        <v>238</v>
      </c>
      <c r="FC1090" s="1" t="s">
        <v>238</v>
      </c>
      <c r="FF1090" s="1" t="s">
        <v>239</v>
      </c>
      <c r="FG1090" s="1" t="s">
        <v>192</v>
      </c>
      <c r="FH1090" s="1" t="s">
        <v>192</v>
      </c>
      <c r="FJ1090" s="1" t="s">
        <v>1469</v>
      </c>
      <c r="FK1090" s="1" t="s">
        <v>229</v>
      </c>
      <c r="FL1090" s="1" t="s">
        <v>12005</v>
      </c>
      <c r="FM1090" s="1">
        <v>2644.0</v>
      </c>
      <c r="FN1090" s="1" t="s">
        <v>12006</v>
      </c>
      <c r="FO1090" s="1" t="s">
        <v>12007</v>
      </c>
      <c r="FP1090" s="1">
        <v>21164.0</v>
      </c>
      <c r="FQ1090" s="1" t="s">
        <v>12008</v>
      </c>
      <c r="FS1090" s="1" t="s">
        <v>12009</v>
      </c>
      <c r="FU1090" s="1" t="s">
        <v>1751</v>
      </c>
      <c r="FV1090" s="1" t="s">
        <v>200</v>
      </c>
      <c r="FW1090" s="1" t="s">
        <v>567</v>
      </c>
      <c r="FZ1090" s="1" t="s">
        <v>229</v>
      </c>
      <c r="GA1090" s="1" t="s">
        <v>291</v>
      </c>
      <c r="GB1090" s="2">
        <v>42104.0</v>
      </c>
      <c r="GC1090" s="1" t="s">
        <v>12010</v>
      </c>
    </row>
    <row r="1091">
      <c r="A1091" s="1">
        <v>309966.0</v>
      </c>
      <c r="B1091" s="1" t="s">
        <v>185</v>
      </c>
      <c r="C1091" s="1" t="str">
        <f>"08649003"</f>
        <v>08649003</v>
      </c>
      <c r="D1091" s="1" t="s">
        <v>186</v>
      </c>
      <c r="F1091" s="1" t="str">
        <f>"542"</f>
        <v>542</v>
      </c>
      <c r="G1091" s="2">
        <v>41808.0</v>
      </c>
      <c r="H1091" s="1">
        <v>323256.0</v>
      </c>
      <c r="I1091" s="1">
        <v>115.0</v>
      </c>
      <c r="J1091" s="1">
        <v>312350.0</v>
      </c>
      <c r="K1091" s="2">
        <v>41922.0</v>
      </c>
      <c r="L1091" s="1">
        <v>115.0</v>
      </c>
      <c r="M1091" s="2">
        <v>41922.0</v>
      </c>
      <c r="N1091" s="1" t="s">
        <v>249</v>
      </c>
      <c r="O1091" s="2">
        <v>41983.0</v>
      </c>
      <c r="P1091" s="1">
        <v>99999.0</v>
      </c>
      <c r="Q1091" s="1" t="s">
        <v>947</v>
      </c>
      <c r="S1091" s="1">
        <v>566.0</v>
      </c>
      <c r="T1091" s="1" t="s">
        <v>11912</v>
      </c>
      <c r="U1091" s="1" t="s">
        <v>189</v>
      </c>
      <c r="V1091" s="1" t="s">
        <v>3984</v>
      </c>
      <c r="W1091" s="1">
        <v>60542.0</v>
      </c>
      <c r="Y1091" s="1" t="s">
        <v>12011</v>
      </c>
      <c r="Z1091" s="1">
        <v>2014.0</v>
      </c>
      <c r="AA1091" s="1" t="s">
        <v>200</v>
      </c>
      <c r="AB1091" s="1" t="s">
        <v>467</v>
      </c>
      <c r="AC1091" s="1" t="s">
        <v>11914</v>
      </c>
      <c r="AD1091" s="1" t="s">
        <v>3986</v>
      </c>
      <c r="AE1091" s="1" t="s">
        <v>325</v>
      </c>
      <c r="AF1091" s="1" t="s">
        <v>2702</v>
      </c>
      <c r="AG1091" s="1" t="s">
        <v>12012</v>
      </c>
      <c r="AH1091" s="1" t="s">
        <v>12013</v>
      </c>
      <c r="AK1091" s="1">
        <v>11.0</v>
      </c>
      <c r="AL1091" s="1">
        <v>4.0</v>
      </c>
      <c r="AM1091" s="1">
        <v>2.0</v>
      </c>
      <c r="AN1091" s="1">
        <v>1.0</v>
      </c>
      <c r="AO1091" s="1" t="s">
        <v>198</v>
      </c>
      <c r="AQ1091" s="1" t="s">
        <v>198</v>
      </c>
      <c r="AR1091" s="1" t="s">
        <v>200</v>
      </c>
      <c r="AS1091" s="1" t="s">
        <v>199</v>
      </c>
      <c r="AT1091" s="1">
        <v>3.0</v>
      </c>
      <c r="AV1091" s="1" t="s">
        <v>200</v>
      </c>
      <c r="AW1091" s="1" t="s">
        <v>575</v>
      </c>
      <c r="AX1091" s="1">
        <v>2013.0</v>
      </c>
      <c r="AZ1091" s="1" t="s">
        <v>200</v>
      </c>
      <c r="BA1091" s="1" t="str">
        <f>"1232150100"</f>
        <v>1232150100</v>
      </c>
      <c r="BB1091" s="1" t="s">
        <v>200</v>
      </c>
      <c r="BC1091" s="1">
        <v>3238.0</v>
      </c>
      <c r="BD1091" s="1">
        <v>309966.0</v>
      </c>
      <c r="BE1091" s="2">
        <v>41808.0</v>
      </c>
      <c r="BF1091" s="2" t="s">
        <v>12014</v>
      </c>
      <c r="BG1091" s="1" t="s">
        <v>4420</v>
      </c>
      <c r="BH1091" s="1">
        <v>200.0</v>
      </c>
      <c r="BI1091" s="1" t="s">
        <v>9543</v>
      </c>
      <c r="BJ1091" s="1" t="s">
        <v>3831</v>
      </c>
      <c r="BK1091" s="1" t="s">
        <v>580</v>
      </c>
      <c r="BL1091" s="1" t="str">
        <f t="shared" ref="BL1091:BM1091" si="729">""</f>
        <v/>
      </c>
      <c r="BM1091" s="1" t="str">
        <f t="shared" si="729"/>
        <v/>
      </c>
      <c r="BQ1091" s="1">
        <v>129.0</v>
      </c>
      <c r="BR1091" s="1">
        <v>129.0</v>
      </c>
      <c r="BS1091" s="1">
        <v>129.0</v>
      </c>
      <c r="BU1091" s="1" t="s">
        <v>331</v>
      </c>
      <c r="BV1091" s="1" t="s">
        <v>206</v>
      </c>
      <c r="BW1091" s="1" t="s">
        <v>207</v>
      </c>
      <c r="BX1091" s="1" t="s">
        <v>229</v>
      </c>
      <c r="BY1091" s="1" t="s">
        <v>2120</v>
      </c>
      <c r="BZ1091" s="1" t="s">
        <v>209</v>
      </c>
      <c r="CA1091" s="1" t="s">
        <v>210</v>
      </c>
      <c r="CB1091" s="1" t="s">
        <v>229</v>
      </c>
      <c r="CC1091" s="1" t="s">
        <v>331</v>
      </c>
      <c r="CD1091" s="1" t="s">
        <v>206</v>
      </c>
      <c r="CE1091" s="1" t="s">
        <v>207</v>
      </c>
      <c r="CF1091" s="1" t="s">
        <v>229</v>
      </c>
      <c r="CG1091" s="1" t="s">
        <v>454</v>
      </c>
      <c r="CH1091" s="1" t="s">
        <v>209</v>
      </c>
      <c r="CI1091" s="1" t="s">
        <v>210</v>
      </c>
      <c r="CJ1091" s="1" t="s">
        <v>229</v>
      </c>
      <c r="CK1091" s="1" t="s">
        <v>363</v>
      </c>
      <c r="CL1091" s="1" t="s">
        <v>209</v>
      </c>
      <c r="CM1091" s="1" t="s">
        <v>210</v>
      </c>
      <c r="CN1091" s="1" t="s">
        <v>229</v>
      </c>
      <c r="CO1091" s="1" t="s">
        <v>433</v>
      </c>
      <c r="CP1091" s="1" t="s">
        <v>209</v>
      </c>
      <c r="CQ1091" s="1" t="s">
        <v>210</v>
      </c>
      <c r="CR1091" s="1" t="s">
        <v>229</v>
      </c>
      <c r="CS1091" s="1" t="s">
        <v>582</v>
      </c>
      <c r="CT1091" s="1" t="s">
        <v>206</v>
      </c>
      <c r="CU1091" s="1" t="s">
        <v>207</v>
      </c>
      <c r="CV1091" s="1" t="s">
        <v>229</v>
      </c>
      <c r="CW1091" s="1" t="s">
        <v>2120</v>
      </c>
      <c r="CX1091" s="1" t="s">
        <v>206</v>
      </c>
      <c r="CY1091" s="1" t="s">
        <v>207</v>
      </c>
      <c r="CZ1091" s="1" t="s">
        <v>229</v>
      </c>
      <c r="DA1091" s="1" t="s">
        <v>192</v>
      </c>
      <c r="DB1091" s="2">
        <v>41927.0</v>
      </c>
      <c r="DC1091" s="1" t="s">
        <v>744</v>
      </c>
      <c r="DD1091" s="1" t="s">
        <v>586</v>
      </c>
      <c r="DE1091" s="1" t="s">
        <v>273</v>
      </c>
      <c r="DF1091" s="1" t="s">
        <v>619</v>
      </c>
      <c r="DG1091" s="1" t="s">
        <v>337</v>
      </c>
      <c r="DH1091" s="1" t="s">
        <v>220</v>
      </c>
      <c r="DI1091" s="1" t="s">
        <v>2201</v>
      </c>
      <c r="DJ1091" s="1" t="s">
        <v>222</v>
      </c>
      <c r="DL1091" s="1" t="s">
        <v>223</v>
      </c>
      <c r="DM1091" s="1" t="s">
        <v>1268</v>
      </c>
      <c r="DN1091" s="1" t="s">
        <v>548</v>
      </c>
      <c r="DP1091" s="1" t="s">
        <v>340</v>
      </c>
      <c r="DQ1091" s="1" t="s">
        <v>441</v>
      </c>
      <c r="DR1091" s="1" t="s">
        <v>1487</v>
      </c>
      <c r="DV1091" s="1" t="s">
        <v>3022</v>
      </c>
      <c r="DW1091" s="1" t="s">
        <v>233</v>
      </c>
      <c r="DX1091" s="1" t="s">
        <v>234</v>
      </c>
      <c r="DY1091" s="1" t="s">
        <v>596</v>
      </c>
      <c r="EC1091" s="1" t="s">
        <v>237</v>
      </c>
      <c r="EG1091" s="1" t="s">
        <v>556</v>
      </c>
      <c r="EH1091" s="1" t="s">
        <v>494</v>
      </c>
      <c r="EI1091" s="1" t="s">
        <v>557</v>
      </c>
      <c r="EL1091" s="1" t="s">
        <v>640</v>
      </c>
      <c r="EM1091" s="1" t="s">
        <v>206</v>
      </c>
      <c r="EN1091" s="1" t="s">
        <v>207</v>
      </c>
      <c r="EO1091" s="1" t="s">
        <v>229</v>
      </c>
      <c r="EP1091" s="1" t="s">
        <v>331</v>
      </c>
      <c r="EQ1091" s="1" t="s">
        <v>206</v>
      </c>
      <c r="ER1091" s="1" t="s">
        <v>210</v>
      </c>
      <c r="ES1091" s="1" t="s">
        <v>229</v>
      </c>
      <c r="ET1091" s="1" t="s">
        <v>878</v>
      </c>
      <c r="EU1091" s="1" t="s">
        <v>209</v>
      </c>
      <c r="EV1091" s="1" t="s">
        <v>210</v>
      </c>
      <c r="EW1091" s="1" t="s">
        <v>229</v>
      </c>
      <c r="EY1091" s="1" t="s">
        <v>238</v>
      </c>
      <c r="FC1091" s="1" t="s">
        <v>238</v>
      </c>
      <c r="FF1091" s="1" t="s">
        <v>239</v>
      </c>
      <c r="FG1091" s="1" t="s">
        <v>192</v>
      </c>
      <c r="FH1091" s="1" t="s">
        <v>192</v>
      </c>
      <c r="FJ1091" s="1" t="s">
        <v>12015</v>
      </c>
      <c r="FK1091" s="1" t="s">
        <v>229</v>
      </c>
      <c r="FL1091" s="1" t="s">
        <v>1358</v>
      </c>
      <c r="FM1091" s="1">
        <v>23076.0</v>
      </c>
      <c r="FN1091" s="1" t="s">
        <v>1359</v>
      </c>
      <c r="FO1091" s="1" t="s">
        <v>11920</v>
      </c>
      <c r="FP1091" s="1">
        <v>216518.0</v>
      </c>
      <c r="FQ1091" s="1" t="s">
        <v>11921</v>
      </c>
      <c r="FS1091" s="1" t="s">
        <v>11922</v>
      </c>
      <c r="FT1091" s="1" t="s">
        <v>11923</v>
      </c>
      <c r="FU1091" s="1" t="s">
        <v>12016</v>
      </c>
      <c r="FV1091" s="1" t="s">
        <v>200</v>
      </c>
      <c r="FW1091" s="1" t="s">
        <v>12017</v>
      </c>
      <c r="FZ1091" s="1" t="s">
        <v>229</v>
      </c>
      <c r="GA1091" s="1" t="s">
        <v>247</v>
      </c>
      <c r="GB1091" s="2">
        <v>42004.0</v>
      </c>
      <c r="GC1091" s="1" t="s">
        <v>12018</v>
      </c>
    </row>
    <row r="1092">
      <c r="A1092" s="1">
        <v>180500.0</v>
      </c>
      <c r="B1092" s="1" t="s">
        <v>185</v>
      </c>
      <c r="C1092" s="1" t="str">
        <f>"08651084"</f>
        <v>08651084</v>
      </c>
      <c r="D1092" s="1" t="s">
        <v>186</v>
      </c>
      <c r="F1092" s="1" t="str">
        <f>"110"</f>
        <v>110</v>
      </c>
      <c r="G1092" s="2">
        <v>41810.0</v>
      </c>
      <c r="H1092" s="1">
        <v>200000.0</v>
      </c>
      <c r="I1092" s="1">
        <v>169.0</v>
      </c>
      <c r="J1092" s="1">
        <v>185000.0</v>
      </c>
      <c r="K1092" s="2">
        <v>41977.0</v>
      </c>
      <c r="L1092" s="1">
        <v>169.0</v>
      </c>
      <c r="M1092" s="2">
        <v>41977.0</v>
      </c>
      <c r="N1092" s="1" t="s">
        <v>356</v>
      </c>
      <c r="O1092" s="2">
        <v>42020.0</v>
      </c>
      <c r="P1092" s="1">
        <v>86043.0</v>
      </c>
      <c r="Q1092" s="1">
        <v>1133.0</v>
      </c>
      <c r="R1092" s="1">
        <v>5500.0</v>
      </c>
      <c r="S1092" s="1">
        <v>415.0</v>
      </c>
      <c r="T1092" s="1" t="s">
        <v>12019</v>
      </c>
      <c r="U1092" s="1" t="s">
        <v>569</v>
      </c>
      <c r="V1092" s="1" t="s">
        <v>807</v>
      </c>
      <c r="W1092" s="1">
        <v>60110.0</v>
      </c>
      <c r="Y1092" s="1" t="s">
        <v>12020</v>
      </c>
      <c r="Z1092" s="1">
        <v>1995.0</v>
      </c>
      <c r="AA1092" s="1" t="s">
        <v>200</v>
      </c>
      <c r="AB1092" s="1" t="s">
        <v>193</v>
      </c>
      <c r="AC1092" s="1" t="s">
        <v>12021</v>
      </c>
      <c r="AD1092" s="1" t="s">
        <v>809</v>
      </c>
      <c r="AE1092" s="1" t="s">
        <v>325</v>
      </c>
      <c r="AF1092" s="1" t="s">
        <v>810</v>
      </c>
      <c r="AG1092" s="1" t="s">
        <v>5182</v>
      </c>
      <c r="AH1092" s="6">
        <v>10890.0</v>
      </c>
      <c r="AK1092" s="1">
        <v>8.0</v>
      </c>
      <c r="AL1092" s="1">
        <v>3.0</v>
      </c>
      <c r="AM1092" s="1">
        <v>2.0</v>
      </c>
      <c r="AN1092" s="1">
        <v>0.0</v>
      </c>
      <c r="AO1092" s="1" t="s">
        <v>198</v>
      </c>
      <c r="AQ1092" s="1" t="s">
        <v>198</v>
      </c>
      <c r="AR1092" s="1" t="s">
        <v>200</v>
      </c>
      <c r="AS1092" s="1" t="s">
        <v>199</v>
      </c>
      <c r="AT1092" s="1">
        <v>2.0</v>
      </c>
      <c r="AV1092" s="1" t="s">
        <v>200</v>
      </c>
      <c r="AW1092" s="1">
        <v>3956.64</v>
      </c>
      <c r="AX1092" s="1">
        <v>2013.0</v>
      </c>
      <c r="AY1092" s="1" t="s">
        <v>387</v>
      </c>
      <c r="AZ1092" s="1" t="s">
        <v>200</v>
      </c>
      <c r="BA1092" s="1" t="str">
        <f>"0315403054"</f>
        <v>0315403054</v>
      </c>
      <c r="BC1092" s="1">
        <v>1360.0</v>
      </c>
      <c r="BD1092" s="1">
        <v>180500.0</v>
      </c>
      <c r="BE1092" s="2">
        <v>41809.0</v>
      </c>
      <c r="BF1092" s="2" t="s">
        <v>12022</v>
      </c>
      <c r="BH1092" s="1">
        <v>0.0</v>
      </c>
      <c r="BK1092" s="1" t="s">
        <v>204</v>
      </c>
      <c r="BL1092" s="1" t="str">
        <f t="shared" ref="BL1092:BM1092" si="730">""</f>
        <v/>
      </c>
      <c r="BM1092" s="1" t="str">
        <f t="shared" si="730"/>
        <v/>
      </c>
      <c r="BQ1092" s="1">
        <v>300.0</v>
      </c>
      <c r="BR1092" s="1">
        <v>300.0</v>
      </c>
      <c r="BS1092" s="1">
        <v>300.0</v>
      </c>
      <c r="BU1092" s="1" t="s">
        <v>1567</v>
      </c>
      <c r="BV1092" s="1" t="s">
        <v>206</v>
      </c>
      <c r="BW1092" s="1" t="s">
        <v>1136</v>
      </c>
      <c r="BX1092" s="1" t="s">
        <v>239</v>
      </c>
      <c r="BY1092" s="1" t="s">
        <v>2459</v>
      </c>
      <c r="BZ1092" s="1" t="s">
        <v>206</v>
      </c>
      <c r="CA1092" s="1" t="s">
        <v>210</v>
      </c>
      <c r="CB1092" s="1" t="s">
        <v>239</v>
      </c>
      <c r="CC1092" s="1" t="s">
        <v>3805</v>
      </c>
      <c r="CD1092" s="1" t="s">
        <v>206</v>
      </c>
      <c r="CE1092" s="1" t="s">
        <v>1136</v>
      </c>
      <c r="CF1092" s="1" t="s">
        <v>229</v>
      </c>
      <c r="CG1092" s="1" t="s">
        <v>303</v>
      </c>
      <c r="CH1092" s="1" t="s">
        <v>206</v>
      </c>
      <c r="CI1092" s="1" t="s">
        <v>1136</v>
      </c>
      <c r="CJ1092" s="1" t="s">
        <v>239</v>
      </c>
      <c r="CK1092" s="1" t="s">
        <v>303</v>
      </c>
      <c r="CL1092" s="1" t="s">
        <v>206</v>
      </c>
      <c r="CM1092" s="1" t="s">
        <v>1136</v>
      </c>
      <c r="CN1092" s="1" t="s">
        <v>239</v>
      </c>
      <c r="CO1092" s="1" t="s">
        <v>1352</v>
      </c>
      <c r="CP1092" s="1" t="s">
        <v>42</v>
      </c>
      <c r="CQ1092" s="1" t="s">
        <v>1136</v>
      </c>
      <c r="CR1092" s="1" t="s">
        <v>229</v>
      </c>
      <c r="CS1092" s="1" t="s">
        <v>475</v>
      </c>
      <c r="CT1092" s="1" t="s">
        <v>206</v>
      </c>
      <c r="CU1092" s="1" t="s">
        <v>1136</v>
      </c>
      <c r="CV1092" s="1" t="s">
        <v>239</v>
      </c>
      <c r="CW1092" s="1" t="s">
        <v>1938</v>
      </c>
      <c r="CX1092" s="1" t="s">
        <v>42</v>
      </c>
      <c r="CY1092" s="1" t="s">
        <v>1136</v>
      </c>
      <c r="CZ1092" s="1" t="s">
        <v>229</v>
      </c>
      <c r="DA1092" s="1" t="s">
        <v>200</v>
      </c>
      <c r="DC1092" s="1" t="s">
        <v>678</v>
      </c>
      <c r="DD1092" s="1" t="s">
        <v>518</v>
      </c>
      <c r="DE1092" s="1" t="s">
        <v>273</v>
      </c>
      <c r="DF1092" s="1" t="s">
        <v>219</v>
      </c>
      <c r="DG1092" s="1" t="s">
        <v>482</v>
      </c>
      <c r="DH1092" s="1" t="s">
        <v>220</v>
      </c>
      <c r="DI1092" s="1" t="s">
        <v>680</v>
      </c>
      <c r="DJ1092" s="1" t="s">
        <v>222</v>
      </c>
      <c r="DL1092" s="1" t="s">
        <v>224</v>
      </c>
      <c r="DM1092" s="1" t="s">
        <v>229</v>
      </c>
      <c r="DO1092" s="1" t="s">
        <v>1979</v>
      </c>
      <c r="DQ1092" s="1" t="s">
        <v>441</v>
      </c>
      <c r="DR1092" s="1" t="s">
        <v>229</v>
      </c>
      <c r="DS1092" s="1" t="s">
        <v>230</v>
      </c>
      <c r="DU1092" s="1" t="s">
        <v>12023</v>
      </c>
      <c r="DV1092" s="1" t="s">
        <v>588</v>
      </c>
      <c r="DW1092" s="1" t="s">
        <v>667</v>
      </c>
      <c r="DX1092" s="1" t="s">
        <v>234</v>
      </c>
      <c r="DY1092" s="1" t="s">
        <v>3846</v>
      </c>
      <c r="DZ1092" s="1" t="s">
        <v>12024</v>
      </c>
      <c r="EA1092" s="1" t="s">
        <v>683</v>
      </c>
      <c r="EC1092" s="1" t="s">
        <v>685</v>
      </c>
      <c r="ED1092" s="1" t="s">
        <v>407</v>
      </c>
      <c r="EE1092" s="1" t="s">
        <v>493</v>
      </c>
      <c r="EG1092" s="1" t="s">
        <v>588</v>
      </c>
      <c r="EL1092" s="1" t="s">
        <v>270</v>
      </c>
      <c r="EM1092" s="1" t="s">
        <v>42</v>
      </c>
      <c r="EN1092" s="1" t="s">
        <v>1136</v>
      </c>
      <c r="EO1092" s="1" t="s">
        <v>229</v>
      </c>
      <c r="EQ1092" s="1" t="s">
        <v>238</v>
      </c>
      <c r="EU1092" s="1" t="s">
        <v>238</v>
      </c>
      <c r="EY1092" s="1" t="s">
        <v>238</v>
      </c>
      <c r="FC1092" s="1" t="s">
        <v>238</v>
      </c>
      <c r="FF1092" s="1" t="s">
        <v>239</v>
      </c>
      <c r="FG1092" s="1" t="s">
        <v>192</v>
      </c>
      <c r="FH1092" s="1" t="s">
        <v>192</v>
      </c>
      <c r="FJ1092" s="1" t="s">
        <v>1469</v>
      </c>
      <c r="FK1092" s="1" t="s">
        <v>229</v>
      </c>
      <c r="FL1092" s="1" t="s">
        <v>1007</v>
      </c>
      <c r="FM1092" s="1">
        <v>5030.0</v>
      </c>
      <c r="FN1092" s="1" t="s">
        <v>12025</v>
      </c>
      <c r="FO1092" s="1" t="s">
        <v>12026</v>
      </c>
      <c r="FP1092" s="1">
        <v>53249.0</v>
      </c>
      <c r="FQ1092" s="1" t="s">
        <v>12027</v>
      </c>
      <c r="FS1092" s="1" t="s">
        <v>12028</v>
      </c>
      <c r="FU1092" s="1" t="s">
        <v>12029</v>
      </c>
      <c r="FV1092" s="1" t="s">
        <v>200</v>
      </c>
      <c r="FW1092" s="1" t="s">
        <v>567</v>
      </c>
      <c r="FZ1092" s="1" t="s">
        <v>229</v>
      </c>
      <c r="GA1092" s="1" t="s">
        <v>291</v>
      </c>
      <c r="GB1092" s="2">
        <v>42022.0</v>
      </c>
    </row>
    <row r="1093">
      <c r="A1093" s="1">
        <v>246000.0</v>
      </c>
      <c r="B1093" s="1" t="s">
        <v>185</v>
      </c>
      <c r="C1093" s="1" t="str">
        <f>"08800387"</f>
        <v>08800387</v>
      </c>
      <c r="D1093" s="1" t="s">
        <v>186</v>
      </c>
      <c r="F1093" s="1" t="str">
        <f>"178"</f>
        <v>178</v>
      </c>
      <c r="G1093" s="2">
        <v>41984.0</v>
      </c>
      <c r="H1093" s="1">
        <v>246300.0</v>
      </c>
      <c r="I1093" s="1">
        <v>89.0</v>
      </c>
      <c r="J1093" s="1">
        <v>246300.0</v>
      </c>
      <c r="K1093" s="2">
        <v>42072.0</v>
      </c>
      <c r="L1093" s="1">
        <v>89.0</v>
      </c>
      <c r="M1093" s="2">
        <v>42072.0</v>
      </c>
      <c r="N1093" s="1" t="s">
        <v>187</v>
      </c>
      <c r="O1093" s="2">
        <v>42088.0</v>
      </c>
      <c r="P1093" s="1">
        <v>99999.0</v>
      </c>
      <c r="Q1093" s="1" t="s">
        <v>947</v>
      </c>
      <c r="S1093" s="1">
        <v>2325.0</v>
      </c>
      <c r="T1093" s="1" t="s">
        <v>12030</v>
      </c>
      <c r="U1093" s="1" t="s">
        <v>844</v>
      </c>
      <c r="V1093" s="1" t="s">
        <v>994</v>
      </c>
      <c r="W1093" s="1">
        <v>60178.0</v>
      </c>
      <c r="Y1093" s="1" t="s">
        <v>12031</v>
      </c>
      <c r="Z1093" s="1">
        <v>2014.0</v>
      </c>
      <c r="AA1093" s="1" t="s">
        <v>200</v>
      </c>
      <c r="AB1093" s="1" t="s">
        <v>467</v>
      </c>
      <c r="AD1093" s="1" t="s">
        <v>997</v>
      </c>
      <c r="AE1093" s="1" t="s">
        <v>613</v>
      </c>
      <c r="AF1093" s="1" t="s">
        <v>997</v>
      </c>
      <c r="AG1093" s="1" t="s">
        <v>12032</v>
      </c>
      <c r="AH1093" s="1" t="s">
        <v>12033</v>
      </c>
      <c r="AI1093" s="1">
        <v>0.22</v>
      </c>
      <c r="AK1093" s="1">
        <v>6.0</v>
      </c>
      <c r="AL1093" s="1">
        <v>4.0</v>
      </c>
      <c r="AM1093" s="1">
        <v>2.0</v>
      </c>
      <c r="AN1093" s="1">
        <v>1.0</v>
      </c>
      <c r="AO1093" s="1" t="s">
        <v>198</v>
      </c>
      <c r="AP1093" s="1">
        <v>1.0</v>
      </c>
      <c r="AQ1093" s="1" t="s">
        <v>198</v>
      </c>
      <c r="AR1093" s="1" t="s">
        <v>200</v>
      </c>
      <c r="AS1093" s="1" t="s">
        <v>199</v>
      </c>
      <c r="AT1093" s="1">
        <v>3.0</v>
      </c>
      <c r="AV1093" s="1" t="s">
        <v>200</v>
      </c>
      <c r="AW1093" s="1">
        <v>0.0</v>
      </c>
      <c r="AX1093" s="1">
        <v>2013.0</v>
      </c>
      <c r="AY1093" s="1" t="s">
        <v>229</v>
      </c>
      <c r="AZ1093" s="1" t="s">
        <v>200</v>
      </c>
      <c r="BA1093" s="1" t="str">
        <f>"0621201004"</f>
        <v>0621201004</v>
      </c>
      <c r="BB1093" s="1" t="s">
        <v>200</v>
      </c>
      <c r="BC1093" s="1">
        <v>2058.0</v>
      </c>
      <c r="BD1093" s="1">
        <v>246000.0</v>
      </c>
      <c r="BE1093" s="2">
        <v>41984.0</v>
      </c>
      <c r="BF1093" s="2" t="s">
        <v>12034</v>
      </c>
      <c r="BH1093" s="1">
        <v>80.0</v>
      </c>
      <c r="BK1093" s="1" t="s">
        <v>1952</v>
      </c>
      <c r="BL1093" s="1" t="str">
        <f t="shared" ref="BL1093:BM1093" si="731">""</f>
        <v/>
      </c>
      <c r="BM1093" s="1" t="str">
        <f t="shared" si="731"/>
        <v/>
      </c>
      <c r="BQ1093" s="1">
        <v>427.0</v>
      </c>
      <c r="BR1093" s="1">
        <v>427.0</v>
      </c>
      <c r="BS1093" s="1">
        <v>427.0</v>
      </c>
      <c r="BU1093" s="1" t="s">
        <v>213</v>
      </c>
      <c r="BV1093" s="1" t="s">
        <v>206</v>
      </c>
      <c r="BW1093" s="1" t="s">
        <v>207</v>
      </c>
      <c r="BY1093" s="1" t="s">
        <v>205</v>
      </c>
      <c r="BZ1093" s="1" t="s">
        <v>209</v>
      </c>
      <c r="CA1093" s="1" t="s">
        <v>210</v>
      </c>
      <c r="CD1093" s="1" t="s">
        <v>204</v>
      </c>
      <c r="CG1093" s="1" t="s">
        <v>433</v>
      </c>
      <c r="CH1093" s="1" t="s">
        <v>209</v>
      </c>
      <c r="CI1093" s="1" t="s">
        <v>210</v>
      </c>
      <c r="CK1093" s="1" t="s">
        <v>758</v>
      </c>
      <c r="CL1093" s="1" t="s">
        <v>209</v>
      </c>
      <c r="CM1093" s="1" t="s">
        <v>210</v>
      </c>
      <c r="CO1093" s="1" t="s">
        <v>363</v>
      </c>
      <c r="CP1093" s="1" t="s">
        <v>209</v>
      </c>
      <c r="CS1093" s="1" t="s">
        <v>1892</v>
      </c>
      <c r="CT1093" s="1" t="s">
        <v>206</v>
      </c>
      <c r="CU1093" s="1" t="s">
        <v>207</v>
      </c>
      <c r="CX1093" s="1" t="s">
        <v>204</v>
      </c>
      <c r="DA1093" s="1" t="s">
        <v>192</v>
      </c>
      <c r="DB1093" s="2">
        <v>41654.0</v>
      </c>
      <c r="DC1093" s="1" t="s">
        <v>744</v>
      </c>
      <c r="DD1093" s="1" t="s">
        <v>759</v>
      </c>
      <c r="DE1093" s="1" t="s">
        <v>273</v>
      </c>
      <c r="DF1093" s="1" t="s">
        <v>219</v>
      </c>
      <c r="DG1093" s="1" t="s">
        <v>337</v>
      </c>
      <c r="DH1093" s="1" t="s">
        <v>220</v>
      </c>
      <c r="DI1093" s="1" t="s">
        <v>2547</v>
      </c>
      <c r="DJ1093" s="1" t="s">
        <v>222</v>
      </c>
      <c r="DL1093" s="1" t="s">
        <v>484</v>
      </c>
      <c r="DM1093" s="1" t="s">
        <v>338</v>
      </c>
      <c r="DN1093" s="1" t="s">
        <v>548</v>
      </c>
      <c r="DQ1093" s="1" t="s">
        <v>228</v>
      </c>
      <c r="DR1093" s="1" t="s">
        <v>1487</v>
      </c>
      <c r="DS1093" s="1" t="s">
        <v>368</v>
      </c>
      <c r="DU1093" s="1" t="s">
        <v>12035</v>
      </c>
      <c r="DV1093" s="1" t="s">
        <v>232</v>
      </c>
      <c r="DW1093" s="1" t="s">
        <v>233</v>
      </c>
      <c r="DX1093" s="1" t="s">
        <v>234</v>
      </c>
      <c r="DY1093" s="1" t="s">
        <v>704</v>
      </c>
      <c r="DZ1093" s="1" t="s">
        <v>405</v>
      </c>
      <c r="EB1093" s="1" t="s">
        <v>684</v>
      </c>
      <c r="EC1093" s="1" t="s">
        <v>237</v>
      </c>
      <c r="ED1093" s="1" t="s">
        <v>407</v>
      </c>
      <c r="EE1093" s="1" t="s">
        <v>493</v>
      </c>
      <c r="EM1093" s="1" t="s">
        <v>238</v>
      </c>
      <c r="EQ1093" s="1" t="s">
        <v>238</v>
      </c>
      <c r="EU1093" s="1" t="s">
        <v>238</v>
      </c>
      <c r="EY1093" s="1" t="s">
        <v>238</v>
      </c>
      <c r="FC1093" s="1" t="s">
        <v>238</v>
      </c>
      <c r="FF1093" s="1" t="s">
        <v>239</v>
      </c>
      <c r="FG1093" s="1" t="s">
        <v>192</v>
      </c>
      <c r="FH1093" s="1" t="s">
        <v>192</v>
      </c>
      <c r="FJ1093" s="1" t="s">
        <v>3613</v>
      </c>
      <c r="FK1093" s="1" t="s">
        <v>348</v>
      </c>
      <c r="FL1093" s="1" t="s">
        <v>1007</v>
      </c>
      <c r="FM1093" s="1">
        <v>93043.0</v>
      </c>
      <c r="FN1093" s="1" t="s">
        <v>1008</v>
      </c>
      <c r="FO1093" s="1" t="s">
        <v>12036</v>
      </c>
      <c r="FP1093" s="1">
        <v>930150.0</v>
      </c>
      <c r="FQ1093" s="1" t="s">
        <v>12037</v>
      </c>
      <c r="FR1093" s="1">
        <v>931575.0</v>
      </c>
      <c r="FU1093" s="1" t="s">
        <v>8903</v>
      </c>
      <c r="FV1093" s="1" t="s">
        <v>200</v>
      </c>
      <c r="FW1093" s="1" t="s">
        <v>12038</v>
      </c>
      <c r="FZ1093" s="1" t="s">
        <v>229</v>
      </c>
      <c r="GA1093" s="1" t="s">
        <v>291</v>
      </c>
      <c r="GB1093" s="2">
        <v>42089.0</v>
      </c>
      <c r="GC1093" s="1" t="s">
        <v>12039</v>
      </c>
    </row>
    <row r="1094">
      <c r="A1094" s="1">
        <v>142800.0</v>
      </c>
      <c r="B1094" s="1" t="s">
        <v>185</v>
      </c>
      <c r="C1094" s="1" t="str">
        <f>"08648805"</f>
        <v>08648805</v>
      </c>
      <c r="D1094" s="1" t="s">
        <v>186</v>
      </c>
      <c r="F1094" s="1" t="str">
        <f>"123"</f>
        <v>123</v>
      </c>
      <c r="G1094" s="2">
        <v>41808.0</v>
      </c>
      <c r="H1094" s="1">
        <v>299900.0</v>
      </c>
      <c r="I1094" s="1">
        <v>310.0</v>
      </c>
      <c r="J1094" s="1">
        <v>0.0</v>
      </c>
      <c r="K1094" s="2">
        <v>42117.0</v>
      </c>
      <c r="L1094" s="1">
        <v>310.0</v>
      </c>
      <c r="M1094" s="2">
        <v>42117.0</v>
      </c>
      <c r="N1094" s="1" t="s">
        <v>187</v>
      </c>
      <c r="O1094" s="2">
        <v>42118.0</v>
      </c>
      <c r="P1094" s="1">
        <v>26352.0</v>
      </c>
      <c r="Q1094" s="1">
        <v>1666.0</v>
      </c>
      <c r="S1094" s="1" t="s">
        <v>12040</v>
      </c>
      <c r="T1094" s="1" t="s">
        <v>11136</v>
      </c>
      <c r="U1094" s="1" t="s">
        <v>569</v>
      </c>
      <c r="V1094" s="1" t="s">
        <v>465</v>
      </c>
      <c r="W1094" s="1">
        <v>60124.0</v>
      </c>
      <c r="Y1094" s="1" t="s">
        <v>12041</v>
      </c>
      <c r="Z1094" s="1">
        <v>1979.0</v>
      </c>
      <c r="AA1094" s="1" t="s">
        <v>200</v>
      </c>
      <c r="AB1094" s="1" t="s">
        <v>193</v>
      </c>
      <c r="AC1094" s="1" t="s">
        <v>12042</v>
      </c>
      <c r="AD1094" s="1" t="s">
        <v>469</v>
      </c>
      <c r="AE1094" s="1" t="s">
        <v>325</v>
      </c>
      <c r="AF1094" s="1" t="s">
        <v>469</v>
      </c>
      <c r="AH1094" s="1">
        <v>28800.0</v>
      </c>
      <c r="AK1094" s="1">
        <v>9.0</v>
      </c>
      <c r="AL1094" s="1">
        <v>4.0</v>
      </c>
      <c r="AM1094" s="1">
        <v>3.0</v>
      </c>
      <c r="AN1094" s="1">
        <v>1.0</v>
      </c>
      <c r="AO1094" s="1" t="s">
        <v>198</v>
      </c>
      <c r="AP1094" s="1">
        <v>1.0</v>
      </c>
      <c r="AQ1094" s="1" t="s">
        <v>472</v>
      </c>
      <c r="AR1094" s="1" t="s">
        <v>192</v>
      </c>
      <c r="AS1094" s="1" t="s">
        <v>199</v>
      </c>
      <c r="AT1094" s="1">
        <v>2.0</v>
      </c>
      <c r="AV1094" s="1" t="s">
        <v>192</v>
      </c>
      <c r="AW1094" s="1">
        <v>6955.0</v>
      </c>
      <c r="AX1094" s="1">
        <v>2012.0</v>
      </c>
      <c r="AY1094" s="1" t="s">
        <v>387</v>
      </c>
      <c r="AZ1094" s="1" t="s">
        <v>200</v>
      </c>
      <c r="BA1094" s="1" t="str">
        <f>"0632153018"</f>
        <v>0632153018</v>
      </c>
      <c r="BC1094" s="1">
        <v>0.0</v>
      </c>
      <c r="BD1094" s="1">
        <v>142800.0</v>
      </c>
      <c r="BE1094" s="2">
        <v>41808.0</v>
      </c>
      <c r="BF1094" s="2" t="s">
        <v>12043</v>
      </c>
      <c r="BH1094" s="1">
        <v>0.0</v>
      </c>
      <c r="BK1094" s="1" t="s">
        <v>204</v>
      </c>
      <c r="BL1094" s="1" t="str">
        <f>"8"</f>
        <v>8</v>
      </c>
      <c r="BM1094" s="1" t="str">
        <f t="shared" ref="BM1094:BM1095" si="732">"0"</f>
        <v>0</v>
      </c>
      <c r="BN1094" s="1">
        <v>37.0</v>
      </c>
      <c r="BO1094" s="1">
        <v>0.0</v>
      </c>
      <c r="BQ1094" s="1">
        <v>46.0</v>
      </c>
      <c r="BR1094" s="1">
        <v>46.0</v>
      </c>
      <c r="BS1094" s="1">
        <v>46.0</v>
      </c>
      <c r="BU1094" s="1" t="s">
        <v>214</v>
      </c>
      <c r="BV1094" s="1" t="s">
        <v>206</v>
      </c>
      <c r="BW1094" s="1" t="s">
        <v>210</v>
      </c>
      <c r="BX1094" s="1" t="s">
        <v>229</v>
      </c>
      <c r="BY1094" s="1" t="s">
        <v>333</v>
      </c>
      <c r="BZ1094" s="1" t="s">
        <v>209</v>
      </c>
      <c r="CA1094" s="1" t="s">
        <v>210</v>
      </c>
      <c r="CB1094" s="1" t="s">
        <v>229</v>
      </c>
      <c r="CC1094" s="1" t="s">
        <v>454</v>
      </c>
      <c r="CD1094" s="1" t="s">
        <v>206</v>
      </c>
      <c r="CE1094" s="1" t="s">
        <v>210</v>
      </c>
      <c r="CF1094" s="1" t="s">
        <v>229</v>
      </c>
      <c r="CG1094" s="1" t="s">
        <v>2414</v>
      </c>
      <c r="CH1094" s="1" t="s">
        <v>209</v>
      </c>
      <c r="CI1094" s="1" t="s">
        <v>210</v>
      </c>
      <c r="CJ1094" s="1" t="s">
        <v>229</v>
      </c>
      <c r="CK1094" s="1" t="s">
        <v>495</v>
      </c>
      <c r="CL1094" s="1" t="s">
        <v>209</v>
      </c>
      <c r="CM1094" s="1" t="s">
        <v>210</v>
      </c>
      <c r="CN1094" s="1" t="s">
        <v>229</v>
      </c>
      <c r="CO1094" s="1" t="s">
        <v>497</v>
      </c>
      <c r="CP1094" s="1" t="s">
        <v>206</v>
      </c>
      <c r="CQ1094" s="1" t="s">
        <v>210</v>
      </c>
      <c r="CR1094" s="1" t="s">
        <v>229</v>
      </c>
      <c r="CS1094" s="1" t="s">
        <v>213</v>
      </c>
      <c r="CT1094" s="1" t="s">
        <v>206</v>
      </c>
      <c r="CU1094" s="1" t="s">
        <v>617</v>
      </c>
      <c r="CV1094" s="1" t="s">
        <v>229</v>
      </c>
      <c r="CW1094" s="1" t="s">
        <v>924</v>
      </c>
      <c r="CX1094" s="1" t="s">
        <v>206</v>
      </c>
      <c r="CY1094" s="1" t="s">
        <v>210</v>
      </c>
      <c r="CZ1094" s="1" t="s">
        <v>229</v>
      </c>
      <c r="DA1094" s="1" t="s">
        <v>200</v>
      </c>
      <c r="DC1094" s="1" t="s">
        <v>395</v>
      </c>
      <c r="DD1094" s="1" t="s">
        <v>436</v>
      </c>
      <c r="DE1094" s="1" t="s">
        <v>273</v>
      </c>
      <c r="DF1094" s="1" t="s">
        <v>219</v>
      </c>
      <c r="DG1094" s="1" t="s">
        <v>12044</v>
      </c>
      <c r="DH1094" s="1" t="s">
        <v>856</v>
      </c>
      <c r="DJ1094" s="1" t="s">
        <v>857</v>
      </c>
      <c r="DL1094" s="1" t="s">
        <v>224</v>
      </c>
      <c r="DM1094" s="1" t="s">
        <v>229</v>
      </c>
      <c r="DO1094" s="1" t="s">
        <v>12045</v>
      </c>
      <c r="DP1094" s="1" t="s">
        <v>340</v>
      </c>
      <c r="DQ1094" s="1" t="s">
        <v>1557</v>
      </c>
      <c r="DR1094" s="1" t="s">
        <v>229</v>
      </c>
      <c r="DS1094" s="1" t="s">
        <v>591</v>
      </c>
      <c r="DV1094" s="1" t="s">
        <v>12046</v>
      </c>
      <c r="DW1094" s="1" t="s">
        <v>764</v>
      </c>
      <c r="DX1094" s="1" t="s">
        <v>234</v>
      </c>
      <c r="DZ1094" s="1" t="s">
        <v>310</v>
      </c>
      <c r="EA1094" s="1" t="s">
        <v>1027</v>
      </c>
      <c r="EB1094" s="1" t="s">
        <v>5995</v>
      </c>
      <c r="EC1094" s="1" t="s">
        <v>237</v>
      </c>
      <c r="EG1094" s="1" t="s">
        <v>408</v>
      </c>
      <c r="EH1094" s="1" t="s">
        <v>450</v>
      </c>
      <c r="EI1094" s="1" t="s">
        <v>1270</v>
      </c>
      <c r="EL1094" s="1" t="s">
        <v>925</v>
      </c>
      <c r="EM1094" s="1" t="s">
        <v>206</v>
      </c>
      <c r="EN1094" s="1" t="s">
        <v>268</v>
      </c>
      <c r="EO1094" s="1" t="s">
        <v>229</v>
      </c>
      <c r="EP1094" s="1" t="s">
        <v>12047</v>
      </c>
      <c r="EQ1094" s="1" t="s">
        <v>42</v>
      </c>
      <c r="ES1094" s="1" t="s">
        <v>229</v>
      </c>
      <c r="ET1094" s="1" t="s">
        <v>616</v>
      </c>
      <c r="EU1094" s="1" t="s">
        <v>42</v>
      </c>
      <c r="EV1094" s="1" t="s">
        <v>588</v>
      </c>
      <c r="EW1094" s="1" t="s">
        <v>229</v>
      </c>
      <c r="EY1094" s="1" t="s">
        <v>238</v>
      </c>
      <c r="FC1094" s="1" t="s">
        <v>238</v>
      </c>
      <c r="FF1094" s="1" t="s">
        <v>229</v>
      </c>
      <c r="FG1094" s="1" t="s">
        <v>200</v>
      </c>
      <c r="FH1094" s="1" t="s">
        <v>200</v>
      </c>
      <c r="FJ1094" s="1" t="s">
        <v>6372</v>
      </c>
      <c r="FK1094" s="1" t="s">
        <v>229</v>
      </c>
      <c r="FL1094" s="1" t="s">
        <v>4635</v>
      </c>
      <c r="FM1094" s="1">
        <v>1666.0</v>
      </c>
      <c r="FN1094" s="1" t="s">
        <v>4636</v>
      </c>
      <c r="FO1094" s="1" t="s">
        <v>4637</v>
      </c>
      <c r="FP1094" s="1">
        <v>26352.0</v>
      </c>
      <c r="FQ1094" s="1" t="s">
        <v>4638</v>
      </c>
      <c r="FU1094" s="1" t="s">
        <v>10788</v>
      </c>
      <c r="FV1094" s="1" t="s">
        <v>200</v>
      </c>
      <c r="FW1094" s="1" t="s">
        <v>354</v>
      </c>
      <c r="FZ1094" s="1" t="s">
        <v>229</v>
      </c>
      <c r="GA1094" s="1" t="s">
        <v>291</v>
      </c>
      <c r="GB1094" s="2">
        <v>42118.0</v>
      </c>
      <c r="GC1094" s="1" t="s">
        <v>12048</v>
      </c>
    </row>
    <row r="1095">
      <c r="A1095" s="1">
        <v>770000.0</v>
      </c>
      <c r="B1095" s="1" t="s">
        <v>185</v>
      </c>
      <c r="C1095" s="1" t="str">
        <f>"08653968"</f>
        <v>08653968</v>
      </c>
      <c r="D1095" s="1" t="s">
        <v>186</v>
      </c>
      <c r="F1095" s="1" t="str">
        <f>"8005"</f>
        <v>8005</v>
      </c>
      <c r="G1095" s="2">
        <v>41814.0</v>
      </c>
      <c r="H1095" s="1">
        <v>849000.0</v>
      </c>
      <c r="I1095" s="1">
        <v>108.0</v>
      </c>
      <c r="J1095" s="1">
        <v>824900.0</v>
      </c>
      <c r="K1095" s="2">
        <v>41921.0</v>
      </c>
      <c r="L1095" s="1">
        <v>108.0</v>
      </c>
      <c r="M1095" s="2">
        <v>41921.0</v>
      </c>
      <c r="N1095" s="1" t="s">
        <v>187</v>
      </c>
      <c r="O1095" s="2">
        <v>42067.0</v>
      </c>
      <c r="P1095" s="1">
        <v>242758.0</v>
      </c>
      <c r="Q1095" s="1">
        <v>2024.0</v>
      </c>
      <c r="S1095" s="1">
        <v>2027.0</v>
      </c>
      <c r="T1095" s="1" t="s">
        <v>6337</v>
      </c>
      <c r="U1095" s="1" t="s">
        <v>320</v>
      </c>
      <c r="V1095" s="1" t="s">
        <v>190</v>
      </c>
      <c r="W1095" s="1">
        <v>60618.0</v>
      </c>
      <c r="Y1095" s="1" t="s">
        <v>12049</v>
      </c>
      <c r="Z1095" s="1">
        <v>1904.0</v>
      </c>
      <c r="AA1095" s="1" t="s">
        <v>192</v>
      </c>
      <c r="AB1095" s="1" t="s">
        <v>193</v>
      </c>
      <c r="AD1095" s="1" t="s">
        <v>194</v>
      </c>
      <c r="AE1095" s="1" t="s">
        <v>195</v>
      </c>
      <c r="AF1095" s="1" t="s">
        <v>534</v>
      </c>
      <c r="AH1095" s="1" t="s">
        <v>741</v>
      </c>
      <c r="AI1095" s="1">
        <v>0.0717</v>
      </c>
      <c r="AK1095" s="1">
        <v>9.0</v>
      </c>
      <c r="AL1095" s="1">
        <v>3.0</v>
      </c>
      <c r="AM1095" s="1">
        <v>2.0</v>
      </c>
      <c r="AN1095" s="1">
        <v>1.0</v>
      </c>
      <c r="AO1095" s="1" t="s">
        <v>229</v>
      </c>
      <c r="AQ1095" s="1" t="s">
        <v>198</v>
      </c>
      <c r="AR1095" s="1" t="s">
        <v>192</v>
      </c>
      <c r="AS1095" s="1" t="s">
        <v>199</v>
      </c>
      <c r="AT1095" s="1">
        <v>2.0</v>
      </c>
      <c r="AV1095" s="1" t="s">
        <v>200</v>
      </c>
      <c r="AW1095" s="1">
        <v>9008.57</v>
      </c>
      <c r="AX1095" s="1">
        <v>2012.0</v>
      </c>
      <c r="AZ1095" s="1" t="s">
        <v>200</v>
      </c>
      <c r="BA1095" s="1" t="str">
        <f>"14191210100000"</f>
        <v>14191210100000</v>
      </c>
      <c r="BC1095" s="1">
        <v>1768.0</v>
      </c>
      <c r="BD1095" s="1">
        <v>770000.0</v>
      </c>
      <c r="BE1095" s="2">
        <v>41814.0</v>
      </c>
      <c r="BF1095" s="2" t="s">
        <v>12050</v>
      </c>
      <c r="BG1095" s="1" t="s">
        <v>6973</v>
      </c>
      <c r="BH1095" s="1">
        <v>0.0</v>
      </c>
      <c r="BI1095" s="1" t="s">
        <v>6973</v>
      </c>
      <c r="BK1095" s="1" t="s">
        <v>204</v>
      </c>
      <c r="BL1095" s="1" t="str">
        <f>"3800"</f>
        <v>3800</v>
      </c>
      <c r="BM1095" s="1" t="str">
        <f t="shared" si="732"/>
        <v>0</v>
      </c>
      <c r="BN1095" s="1">
        <v>2027.0</v>
      </c>
      <c r="BO1095" s="1">
        <v>0.0</v>
      </c>
      <c r="BQ1095" s="1">
        <v>299.0</v>
      </c>
      <c r="BR1095" s="1">
        <v>299.0</v>
      </c>
      <c r="BS1095" s="1">
        <v>299.0</v>
      </c>
      <c r="BU1095" s="1" t="s">
        <v>300</v>
      </c>
      <c r="BV1095" s="1" t="s">
        <v>206</v>
      </c>
      <c r="BW1095" s="1" t="s">
        <v>207</v>
      </c>
      <c r="BY1095" s="1" t="s">
        <v>496</v>
      </c>
      <c r="BZ1095" s="1" t="s">
        <v>209</v>
      </c>
      <c r="CA1095" s="1" t="s">
        <v>210</v>
      </c>
      <c r="CC1095" s="1" t="s">
        <v>2082</v>
      </c>
      <c r="CD1095" s="1" t="s">
        <v>206</v>
      </c>
      <c r="CE1095" s="1" t="s">
        <v>207</v>
      </c>
      <c r="CG1095" s="1" t="s">
        <v>1063</v>
      </c>
      <c r="CH1095" s="1" t="s">
        <v>209</v>
      </c>
      <c r="CI1095" s="1" t="s">
        <v>210</v>
      </c>
      <c r="CK1095" s="1" t="s">
        <v>1939</v>
      </c>
      <c r="CL1095" s="1" t="s">
        <v>209</v>
      </c>
      <c r="CM1095" s="1" t="s">
        <v>210</v>
      </c>
      <c r="CO1095" s="1" t="s">
        <v>363</v>
      </c>
      <c r="CP1095" s="1" t="s">
        <v>42</v>
      </c>
      <c r="CQ1095" s="1" t="s">
        <v>210</v>
      </c>
      <c r="CS1095" s="1" t="s">
        <v>699</v>
      </c>
      <c r="CT1095" s="1" t="s">
        <v>206</v>
      </c>
      <c r="CU1095" s="1" t="s">
        <v>207</v>
      </c>
      <c r="CW1095" s="1" t="s">
        <v>363</v>
      </c>
      <c r="CX1095" s="1" t="s">
        <v>206</v>
      </c>
      <c r="CY1095" s="1" t="s">
        <v>207</v>
      </c>
      <c r="DA1095" s="1" t="s">
        <v>200</v>
      </c>
      <c r="DC1095" s="1" t="s">
        <v>642</v>
      </c>
      <c r="DE1095" s="1" t="s">
        <v>273</v>
      </c>
      <c r="DF1095" s="1" t="s">
        <v>619</v>
      </c>
      <c r="DH1095" s="1" t="s">
        <v>365</v>
      </c>
      <c r="DJ1095" s="1" t="s">
        <v>222</v>
      </c>
      <c r="DL1095" s="1" t="s">
        <v>224</v>
      </c>
      <c r="DM1095" s="1" t="s">
        <v>229</v>
      </c>
      <c r="DQ1095" s="1" t="s">
        <v>228</v>
      </c>
      <c r="DR1095" s="1" t="s">
        <v>229</v>
      </c>
      <c r="DV1095" s="1" t="s">
        <v>12051</v>
      </c>
      <c r="DW1095" s="1" t="s">
        <v>233</v>
      </c>
      <c r="DX1095" s="1" t="s">
        <v>234</v>
      </c>
      <c r="DY1095" s="1" t="s">
        <v>704</v>
      </c>
      <c r="DZ1095" s="1" t="s">
        <v>966</v>
      </c>
      <c r="EA1095" s="1" t="s">
        <v>3112</v>
      </c>
      <c r="EC1095" s="1" t="s">
        <v>237</v>
      </c>
      <c r="EG1095" s="1" t="s">
        <v>114</v>
      </c>
      <c r="EH1095" s="1" t="s">
        <v>1270</v>
      </c>
      <c r="EL1095" s="1" t="s">
        <v>12052</v>
      </c>
      <c r="EM1095" s="1" t="s">
        <v>391</v>
      </c>
      <c r="EP1095" s="1" t="s">
        <v>12053</v>
      </c>
      <c r="EQ1095" s="1" t="s">
        <v>42</v>
      </c>
      <c r="ER1095" s="1" t="s">
        <v>210</v>
      </c>
      <c r="EU1095" s="1" t="s">
        <v>238</v>
      </c>
      <c r="EY1095" s="1" t="s">
        <v>238</v>
      </c>
      <c r="FC1095" s="1" t="s">
        <v>238</v>
      </c>
      <c r="FF1095" s="1" t="s">
        <v>239</v>
      </c>
      <c r="FG1095" s="1" t="s">
        <v>192</v>
      </c>
      <c r="FH1095" s="1" t="s">
        <v>192</v>
      </c>
      <c r="FJ1095" s="1" t="s">
        <v>733</v>
      </c>
      <c r="FK1095" s="1" t="s">
        <v>229</v>
      </c>
      <c r="FL1095" s="1" t="s">
        <v>6182</v>
      </c>
      <c r="FM1095" s="1">
        <v>84483.0</v>
      </c>
      <c r="FN1095" s="1" t="s">
        <v>12054</v>
      </c>
      <c r="FO1095" s="1" t="s">
        <v>12055</v>
      </c>
      <c r="FP1095" s="1">
        <v>161464.0</v>
      </c>
      <c r="FU1095" s="1" t="s">
        <v>1438</v>
      </c>
      <c r="FV1095" s="1" t="s">
        <v>200</v>
      </c>
      <c r="FW1095" s="1" t="s">
        <v>530</v>
      </c>
      <c r="FX1095" s="1" t="s">
        <v>246</v>
      </c>
      <c r="FZ1095" s="1" t="s">
        <v>504</v>
      </c>
      <c r="GA1095" s="1" t="s">
        <v>291</v>
      </c>
      <c r="GB1095" s="2">
        <v>42068.0</v>
      </c>
    </row>
    <row r="1096">
      <c r="A1096" s="1">
        <v>230000.0</v>
      </c>
      <c r="B1096" s="1" t="s">
        <v>185</v>
      </c>
      <c r="C1096" s="1" t="str">
        <f>"08657087"</f>
        <v>08657087</v>
      </c>
      <c r="D1096" s="1" t="s">
        <v>186</v>
      </c>
      <c r="F1096" s="1" t="str">
        <f>"554"</f>
        <v>554</v>
      </c>
      <c r="G1096" s="2">
        <v>41817.0</v>
      </c>
      <c r="H1096" s="1">
        <v>259900.0</v>
      </c>
      <c r="I1096" s="1">
        <v>98.0</v>
      </c>
      <c r="J1096" s="1">
        <v>239900.0</v>
      </c>
      <c r="K1096" s="2">
        <v>41913.0</v>
      </c>
      <c r="L1096" s="1">
        <v>98.0</v>
      </c>
      <c r="M1096" s="2">
        <v>41913.0</v>
      </c>
      <c r="N1096" s="1" t="s">
        <v>356</v>
      </c>
      <c r="O1096" s="2">
        <v>41988.0</v>
      </c>
      <c r="P1096" s="1">
        <v>230480.0</v>
      </c>
      <c r="Q1096" s="1">
        <v>23591.0</v>
      </c>
      <c r="S1096" s="1">
        <v>1934.0</v>
      </c>
      <c r="T1096" s="1" t="s">
        <v>12056</v>
      </c>
      <c r="U1096" s="1" t="s">
        <v>1174</v>
      </c>
      <c r="V1096" s="1" t="s">
        <v>2212</v>
      </c>
      <c r="W1096" s="1">
        <v>60554.0</v>
      </c>
      <c r="Y1096" s="1" t="s">
        <v>12057</v>
      </c>
      <c r="Z1096" s="1">
        <v>1990.0</v>
      </c>
      <c r="AA1096" s="1" t="s">
        <v>200</v>
      </c>
      <c r="AB1096" s="1" t="s">
        <v>193</v>
      </c>
      <c r="AC1096" s="1" t="s">
        <v>12058</v>
      </c>
      <c r="AD1096" s="1" t="s">
        <v>1089</v>
      </c>
      <c r="AE1096" s="1" t="s">
        <v>325</v>
      </c>
      <c r="AF1096" s="1" t="s">
        <v>1887</v>
      </c>
      <c r="AH1096" s="1" t="s">
        <v>12059</v>
      </c>
      <c r="AI1096" s="1">
        <v>0.5151</v>
      </c>
      <c r="AK1096" s="1">
        <v>10.0</v>
      </c>
      <c r="AL1096" s="1">
        <v>4.0</v>
      </c>
      <c r="AM1096" s="1">
        <v>3.0</v>
      </c>
      <c r="AN1096" s="1">
        <v>0.0</v>
      </c>
      <c r="AO1096" s="1" t="s">
        <v>198</v>
      </c>
      <c r="AP1096" s="1">
        <v>1.0</v>
      </c>
      <c r="AQ1096" s="1" t="s">
        <v>198</v>
      </c>
      <c r="AR1096" s="1" t="s">
        <v>200</v>
      </c>
      <c r="AS1096" s="1" t="s">
        <v>199</v>
      </c>
      <c r="AT1096" s="1">
        <v>2.0</v>
      </c>
      <c r="AV1096" s="1" t="s">
        <v>200</v>
      </c>
      <c r="AW1096" s="1">
        <v>8995.0</v>
      </c>
      <c r="AX1096" s="1">
        <v>2013.0</v>
      </c>
      <c r="AY1096" s="1" t="s">
        <v>1179</v>
      </c>
      <c r="AZ1096" s="1" t="s">
        <v>200</v>
      </c>
      <c r="BA1096" s="1" t="str">
        <f>"1419401002"</f>
        <v>1419401002</v>
      </c>
      <c r="BC1096" s="1">
        <v>2640.0</v>
      </c>
      <c r="BD1096" s="1">
        <v>230000.0</v>
      </c>
      <c r="BE1096" s="2">
        <v>41816.0</v>
      </c>
      <c r="BF1096" s="2" t="s">
        <v>12060</v>
      </c>
      <c r="BH1096" s="1">
        <v>0.0</v>
      </c>
      <c r="BK1096" s="1" t="s">
        <v>204</v>
      </c>
      <c r="BL1096" s="1" t="str">
        <f t="shared" ref="BL1096:BM1096" si="733">""</f>
        <v/>
      </c>
      <c r="BM1096" s="1" t="str">
        <f t="shared" si="733"/>
        <v/>
      </c>
      <c r="BQ1096" s="1">
        <v>302.0</v>
      </c>
      <c r="BR1096" s="1">
        <v>302.0</v>
      </c>
      <c r="BS1096" s="1">
        <v>302.0</v>
      </c>
      <c r="BU1096" s="1" t="s">
        <v>208</v>
      </c>
      <c r="BV1096" s="1" t="s">
        <v>206</v>
      </c>
      <c r="BW1096" s="1" t="s">
        <v>210</v>
      </c>
      <c r="BX1096" s="1" t="s">
        <v>239</v>
      </c>
      <c r="BY1096" s="1" t="s">
        <v>784</v>
      </c>
      <c r="BZ1096" s="1" t="s">
        <v>209</v>
      </c>
      <c r="CA1096" s="1" t="s">
        <v>210</v>
      </c>
      <c r="CB1096" s="1" t="s">
        <v>239</v>
      </c>
      <c r="CC1096" s="1" t="s">
        <v>433</v>
      </c>
      <c r="CD1096" s="1" t="s">
        <v>206</v>
      </c>
      <c r="CE1096" s="1" t="s">
        <v>210</v>
      </c>
      <c r="CF1096" s="1" t="s">
        <v>239</v>
      </c>
      <c r="CG1096" s="1" t="s">
        <v>212</v>
      </c>
      <c r="CH1096" s="1" t="s">
        <v>209</v>
      </c>
      <c r="CI1096" s="1" t="s">
        <v>210</v>
      </c>
      <c r="CJ1096" s="1" t="s">
        <v>239</v>
      </c>
      <c r="CK1096" s="1" t="s">
        <v>331</v>
      </c>
      <c r="CL1096" s="1" t="s">
        <v>209</v>
      </c>
      <c r="CM1096" s="1" t="s">
        <v>210</v>
      </c>
      <c r="CN1096" s="1" t="s">
        <v>239</v>
      </c>
      <c r="CO1096" s="1" t="s">
        <v>212</v>
      </c>
      <c r="CP1096" s="1" t="s">
        <v>209</v>
      </c>
      <c r="CQ1096" s="1" t="s">
        <v>210</v>
      </c>
      <c r="CR1096" s="1" t="s">
        <v>239</v>
      </c>
      <c r="CS1096" s="1" t="s">
        <v>433</v>
      </c>
      <c r="CT1096" s="1" t="s">
        <v>206</v>
      </c>
      <c r="CU1096" s="1" t="s">
        <v>617</v>
      </c>
      <c r="CV1096" s="1" t="s">
        <v>239</v>
      </c>
      <c r="CW1096" s="1" t="s">
        <v>1623</v>
      </c>
      <c r="CX1096" s="1" t="s">
        <v>206</v>
      </c>
      <c r="CY1096" s="1" t="s">
        <v>210</v>
      </c>
      <c r="CZ1096" s="1" t="s">
        <v>239</v>
      </c>
      <c r="DA1096" s="1" t="s">
        <v>200</v>
      </c>
      <c r="DC1096" s="1" t="s">
        <v>435</v>
      </c>
      <c r="DD1096" s="1" t="s">
        <v>217</v>
      </c>
      <c r="DE1096" s="1" t="s">
        <v>273</v>
      </c>
      <c r="DF1096" s="1" t="s">
        <v>619</v>
      </c>
      <c r="DH1096" s="1" t="s">
        <v>220</v>
      </c>
      <c r="DI1096" s="1" t="s">
        <v>703</v>
      </c>
      <c r="DJ1096" s="1" t="s">
        <v>857</v>
      </c>
      <c r="DL1096" s="1" t="s">
        <v>223</v>
      </c>
      <c r="DM1096" s="1" t="s">
        <v>338</v>
      </c>
      <c r="DN1096" s="1" t="s">
        <v>439</v>
      </c>
      <c r="DP1096" s="1" t="s">
        <v>340</v>
      </c>
      <c r="DQ1096" s="1" t="s">
        <v>1557</v>
      </c>
      <c r="DR1096" s="1" t="s">
        <v>229</v>
      </c>
      <c r="DU1096" s="1" t="s">
        <v>4565</v>
      </c>
      <c r="DV1096" s="1" t="s">
        <v>5455</v>
      </c>
      <c r="DW1096" s="1" t="s">
        <v>934</v>
      </c>
      <c r="DX1096" s="1" t="s">
        <v>234</v>
      </c>
      <c r="DY1096" s="1" t="s">
        <v>12061</v>
      </c>
      <c r="EC1096" s="1" t="s">
        <v>237</v>
      </c>
      <c r="EG1096" s="1" t="s">
        <v>449</v>
      </c>
      <c r="EH1096" s="1" t="s">
        <v>341</v>
      </c>
      <c r="EI1096" s="1" t="s">
        <v>408</v>
      </c>
      <c r="EL1096" s="1" t="s">
        <v>363</v>
      </c>
      <c r="EM1096" s="1" t="s">
        <v>206</v>
      </c>
      <c r="EN1096" s="1" t="s">
        <v>617</v>
      </c>
      <c r="EO1096" s="1" t="s">
        <v>239</v>
      </c>
      <c r="EP1096" s="1" t="s">
        <v>495</v>
      </c>
      <c r="EQ1096" s="1" t="s">
        <v>209</v>
      </c>
      <c r="ER1096" s="1" t="s">
        <v>210</v>
      </c>
      <c r="ES1096" s="1" t="s">
        <v>239</v>
      </c>
      <c r="ET1096" s="1" t="s">
        <v>12062</v>
      </c>
      <c r="EU1096" s="1" t="s">
        <v>206</v>
      </c>
      <c r="EV1096" s="1" t="s">
        <v>268</v>
      </c>
      <c r="EW1096" s="1" t="s">
        <v>239</v>
      </c>
      <c r="EY1096" s="1" t="s">
        <v>238</v>
      </c>
      <c r="FC1096" s="1" t="s">
        <v>238</v>
      </c>
      <c r="FF1096" s="1" t="s">
        <v>239</v>
      </c>
      <c r="FG1096" s="1" t="s">
        <v>192</v>
      </c>
      <c r="FH1096" s="1" t="s">
        <v>192</v>
      </c>
      <c r="FJ1096" s="1" t="s">
        <v>770</v>
      </c>
      <c r="FK1096" s="1" t="s">
        <v>229</v>
      </c>
      <c r="FL1096" s="1" t="s">
        <v>2226</v>
      </c>
      <c r="FM1096" s="1">
        <v>300.0</v>
      </c>
      <c r="FN1096" s="1" t="s">
        <v>2227</v>
      </c>
      <c r="FO1096" s="1" t="s">
        <v>2682</v>
      </c>
      <c r="FP1096" s="1">
        <v>313804.0</v>
      </c>
      <c r="FQ1096" s="1" t="s">
        <v>2683</v>
      </c>
      <c r="FU1096" s="1" t="s">
        <v>12063</v>
      </c>
      <c r="FV1096" s="1" t="s">
        <v>200</v>
      </c>
      <c r="FW1096" s="1" t="s">
        <v>631</v>
      </c>
      <c r="FZ1096" s="1" t="s">
        <v>632</v>
      </c>
      <c r="GA1096" s="1" t="s">
        <v>291</v>
      </c>
      <c r="GB1096" s="2">
        <v>41989.0</v>
      </c>
      <c r="GC1096" s="1" t="s">
        <v>12064</v>
      </c>
    </row>
    <row r="1097">
      <c r="A1097" s="1">
        <v>302000.0</v>
      </c>
      <c r="B1097" s="1" t="s">
        <v>185</v>
      </c>
      <c r="C1097" s="1" t="str">
        <f>"08655641"</f>
        <v>08655641</v>
      </c>
      <c r="D1097" s="1" t="s">
        <v>186</v>
      </c>
      <c r="F1097" s="1" t="str">
        <f>"8011"</f>
        <v>8011</v>
      </c>
      <c r="G1097" s="2">
        <v>41815.0</v>
      </c>
      <c r="H1097" s="1">
        <v>325000.0</v>
      </c>
      <c r="I1097" s="1">
        <v>140.0</v>
      </c>
      <c r="J1097" s="1">
        <v>309900.0</v>
      </c>
      <c r="K1097" s="2">
        <v>41954.0</v>
      </c>
      <c r="L1097" s="1">
        <v>140.0</v>
      </c>
      <c r="M1097" s="2">
        <v>41954.0</v>
      </c>
      <c r="N1097" s="1" t="s">
        <v>187</v>
      </c>
      <c r="O1097" s="2">
        <v>42046.0</v>
      </c>
      <c r="P1097" s="1">
        <v>177058.0</v>
      </c>
      <c r="Q1097" s="1">
        <v>84729.0</v>
      </c>
      <c r="R1097" s="1">
        <v>12400.0</v>
      </c>
      <c r="S1097" s="1">
        <v>5042.0</v>
      </c>
      <c r="T1097" s="1" t="s">
        <v>4428</v>
      </c>
      <c r="U1097" s="1" t="s">
        <v>189</v>
      </c>
      <c r="V1097" s="1" t="s">
        <v>190</v>
      </c>
      <c r="W1097" s="1">
        <v>60630.0</v>
      </c>
      <c r="X1097" s="1">
        <v>2267.0</v>
      </c>
      <c r="Y1097" s="1" t="s">
        <v>12065</v>
      </c>
      <c r="Z1097" s="1">
        <v>1920.0</v>
      </c>
      <c r="AA1097" s="1" t="s">
        <v>192</v>
      </c>
      <c r="AB1097" s="1" t="s">
        <v>193</v>
      </c>
      <c r="AD1097" s="1" t="s">
        <v>194</v>
      </c>
      <c r="AE1097" s="1" t="s">
        <v>195</v>
      </c>
      <c r="AF1097" s="1" t="s">
        <v>196</v>
      </c>
      <c r="AH1097" s="1" t="s">
        <v>5989</v>
      </c>
      <c r="AK1097" s="1">
        <v>9.0</v>
      </c>
      <c r="AL1097" s="1">
        <v>4.0</v>
      </c>
      <c r="AM1097" s="1">
        <v>2.0</v>
      </c>
      <c r="AN1097" s="1">
        <v>0.0</v>
      </c>
      <c r="AO1097" s="1" t="s">
        <v>229</v>
      </c>
      <c r="AP1097" s="1">
        <v>0.0</v>
      </c>
      <c r="AQ1097" s="1" t="s">
        <v>198</v>
      </c>
      <c r="AR1097" s="1" t="s">
        <v>200</v>
      </c>
      <c r="AS1097" s="1" t="s">
        <v>199</v>
      </c>
      <c r="AT1097" s="1">
        <v>2.0</v>
      </c>
      <c r="AV1097" s="1" t="s">
        <v>200</v>
      </c>
      <c r="AW1097" s="1">
        <v>4920.51</v>
      </c>
      <c r="AX1097" s="1">
        <v>2012.0</v>
      </c>
      <c r="AY1097" s="1" t="s">
        <v>229</v>
      </c>
      <c r="AZ1097" s="1" t="s">
        <v>200</v>
      </c>
      <c r="BA1097" s="1" t="str">
        <f>"13093120280000"</f>
        <v>13093120280000</v>
      </c>
      <c r="BB1097" s="1" t="s">
        <v>200</v>
      </c>
      <c r="BC1097" s="1">
        <v>1820.0</v>
      </c>
      <c r="BD1097" s="1">
        <v>302000.0</v>
      </c>
      <c r="BE1097" s="2">
        <v>41815.0</v>
      </c>
      <c r="BF1097" s="2" t="s">
        <v>12066</v>
      </c>
      <c r="BG1097" s="1" t="s">
        <v>728</v>
      </c>
      <c r="BH1097" s="1">
        <v>0.0</v>
      </c>
      <c r="BK1097" s="1" t="s">
        <v>204</v>
      </c>
      <c r="BL1097" s="1" t="str">
        <f>"5042"</f>
        <v>5042</v>
      </c>
      <c r="BM1097" s="1" t="str">
        <f t="shared" ref="BM1097:BM1098" si="734">"0"</f>
        <v>0</v>
      </c>
      <c r="BN1097" s="1">
        <v>5300.0</v>
      </c>
      <c r="BO1097" s="1">
        <v>0.0</v>
      </c>
      <c r="BQ1097" s="1">
        <v>299.0</v>
      </c>
      <c r="BR1097" s="1">
        <v>299.0</v>
      </c>
      <c r="BS1097" s="1">
        <v>299.0</v>
      </c>
      <c r="BU1097" s="1" t="s">
        <v>1427</v>
      </c>
      <c r="BV1097" s="1" t="s">
        <v>206</v>
      </c>
      <c r="BW1097" s="1" t="s">
        <v>210</v>
      </c>
      <c r="BX1097" s="1" t="s">
        <v>431</v>
      </c>
      <c r="BY1097" s="1" t="s">
        <v>3375</v>
      </c>
      <c r="BZ1097" s="1" t="s">
        <v>209</v>
      </c>
      <c r="CA1097" s="1" t="s">
        <v>210</v>
      </c>
      <c r="CB1097" s="1" t="s">
        <v>431</v>
      </c>
      <c r="CC1097" s="1" t="s">
        <v>392</v>
      </c>
      <c r="CD1097" s="1" t="s">
        <v>206</v>
      </c>
      <c r="CE1097" s="1" t="s">
        <v>268</v>
      </c>
      <c r="CF1097" s="1" t="s">
        <v>431</v>
      </c>
      <c r="CG1097" s="1" t="s">
        <v>212</v>
      </c>
      <c r="CH1097" s="1" t="s">
        <v>209</v>
      </c>
      <c r="CI1097" s="1" t="s">
        <v>210</v>
      </c>
      <c r="CJ1097" s="1" t="s">
        <v>431</v>
      </c>
      <c r="CK1097" s="1" t="s">
        <v>264</v>
      </c>
      <c r="CL1097" s="1" t="s">
        <v>209</v>
      </c>
      <c r="CM1097" s="1" t="s">
        <v>210</v>
      </c>
      <c r="CN1097" s="1" t="s">
        <v>431</v>
      </c>
      <c r="CO1097" s="1" t="s">
        <v>543</v>
      </c>
      <c r="CP1097" s="1" t="s">
        <v>206</v>
      </c>
      <c r="CQ1097" s="1" t="s">
        <v>210</v>
      </c>
      <c r="CR1097" s="1" t="s">
        <v>229</v>
      </c>
      <c r="CS1097" s="1" t="s">
        <v>375</v>
      </c>
      <c r="CT1097" s="1" t="s">
        <v>206</v>
      </c>
      <c r="CU1097" s="1" t="s">
        <v>268</v>
      </c>
      <c r="CV1097" s="1" t="s">
        <v>431</v>
      </c>
      <c r="CW1097" s="1" t="s">
        <v>1825</v>
      </c>
      <c r="CX1097" s="1" t="s">
        <v>42</v>
      </c>
      <c r="CY1097" s="1" t="s">
        <v>617</v>
      </c>
      <c r="DA1097" s="1" t="s">
        <v>200</v>
      </c>
      <c r="DC1097" s="1" t="s">
        <v>216</v>
      </c>
      <c r="DD1097" s="1" t="s">
        <v>518</v>
      </c>
      <c r="DE1097" s="1" t="s">
        <v>273</v>
      </c>
      <c r="DF1097" s="1" t="s">
        <v>619</v>
      </c>
      <c r="DG1097" s="1" t="s">
        <v>482</v>
      </c>
      <c r="DH1097" s="1" t="s">
        <v>365</v>
      </c>
      <c r="DI1097" s="1" t="s">
        <v>221</v>
      </c>
      <c r="DJ1097" s="1" t="s">
        <v>222</v>
      </c>
      <c r="DL1097" s="1" t="s">
        <v>224</v>
      </c>
      <c r="DM1097" s="1" t="s">
        <v>1143</v>
      </c>
      <c r="DN1097" s="1" t="s">
        <v>439</v>
      </c>
      <c r="DP1097" s="1" t="s">
        <v>340</v>
      </c>
      <c r="DQ1097" s="1" t="s">
        <v>228</v>
      </c>
      <c r="DR1097" s="1" t="s">
        <v>229</v>
      </c>
      <c r="DS1097" s="1" t="s">
        <v>230</v>
      </c>
      <c r="DU1097" s="1" t="s">
        <v>2070</v>
      </c>
      <c r="DV1097" s="1" t="s">
        <v>373</v>
      </c>
      <c r="DW1097" s="1" t="s">
        <v>233</v>
      </c>
      <c r="DX1097" s="1" t="s">
        <v>234</v>
      </c>
      <c r="DY1097" s="1" t="s">
        <v>1371</v>
      </c>
      <c r="DZ1097" s="1" t="s">
        <v>405</v>
      </c>
      <c r="EC1097" s="1" t="s">
        <v>237</v>
      </c>
      <c r="ED1097" s="1" t="s">
        <v>4163</v>
      </c>
      <c r="EE1097" s="1" t="s">
        <v>522</v>
      </c>
      <c r="EK1097" s="1" t="s">
        <v>373</v>
      </c>
      <c r="EM1097" s="1" t="s">
        <v>238</v>
      </c>
      <c r="EQ1097" s="1" t="s">
        <v>238</v>
      </c>
      <c r="EU1097" s="1" t="s">
        <v>238</v>
      </c>
      <c r="EY1097" s="1" t="s">
        <v>238</v>
      </c>
      <c r="FB1097" s="1" t="s">
        <v>1774</v>
      </c>
      <c r="FC1097" s="1" t="s">
        <v>206</v>
      </c>
      <c r="FD1097" s="1" t="s">
        <v>588</v>
      </c>
      <c r="FF1097" s="1" t="s">
        <v>239</v>
      </c>
      <c r="FG1097" s="1" t="s">
        <v>192</v>
      </c>
      <c r="FH1097" s="1" t="s">
        <v>192</v>
      </c>
      <c r="FJ1097" s="1" t="s">
        <v>9444</v>
      </c>
      <c r="FK1097" s="1" t="s">
        <v>229</v>
      </c>
      <c r="FL1097" s="1" t="s">
        <v>456</v>
      </c>
      <c r="FM1097" s="1">
        <v>3573.0</v>
      </c>
      <c r="FN1097" s="1" t="s">
        <v>2428</v>
      </c>
      <c r="FO1097" s="1" t="s">
        <v>8873</v>
      </c>
      <c r="FP1097" s="1">
        <v>33999.0</v>
      </c>
      <c r="FQ1097" s="1" t="s">
        <v>8874</v>
      </c>
      <c r="FS1097" s="1" t="s">
        <v>12067</v>
      </c>
      <c r="FU1097" s="1" t="s">
        <v>12068</v>
      </c>
      <c r="FV1097" s="1" t="s">
        <v>200</v>
      </c>
      <c r="FW1097" s="1" t="s">
        <v>290</v>
      </c>
      <c r="FX1097" s="1" t="s">
        <v>238</v>
      </c>
      <c r="FZ1097" s="1" t="s">
        <v>229</v>
      </c>
      <c r="GA1097" s="1" t="s">
        <v>291</v>
      </c>
      <c r="GB1097" s="2">
        <v>42047.0</v>
      </c>
    </row>
    <row r="1098">
      <c r="A1098" s="1">
        <v>2775000.0</v>
      </c>
      <c r="B1098" s="1" t="s">
        <v>185</v>
      </c>
      <c r="C1098" s="1" t="str">
        <f>"08646420"</f>
        <v>08646420</v>
      </c>
      <c r="D1098" s="1" t="s">
        <v>186</v>
      </c>
      <c r="F1098" s="1" t="str">
        <f>"8007"</f>
        <v>8007</v>
      </c>
      <c r="G1098" s="2">
        <v>41806.0</v>
      </c>
      <c r="H1098" s="1">
        <v>2950000.0</v>
      </c>
      <c r="I1098" s="1">
        <v>263.0</v>
      </c>
      <c r="J1098" s="1">
        <v>2875000.0</v>
      </c>
      <c r="K1098" s="2">
        <v>42068.0</v>
      </c>
      <c r="L1098" s="1">
        <v>263.0</v>
      </c>
      <c r="M1098" s="2">
        <v>42068.0</v>
      </c>
      <c r="N1098" s="1" t="s">
        <v>187</v>
      </c>
      <c r="O1098" s="2">
        <v>42123.0</v>
      </c>
      <c r="P1098" s="1">
        <v>128393.0</v>
      </c>
      <c r="Q1098" s="1">
        <v>14470.0</v>
      </c>
      <c r="S1098" s="1">
        <v>2017.0</v>
      </c>
      <c r="T1098" s="1" t="s">
        <v>6159</v>
      </c>
      <c r="U1098" s="1" t="s">
        <v>320</v>
      </c>
      <c r="V1098" s="1" t="s">
        <v>190</v>
      </c>
      <c r="W1098" s="1">
        <v>60614.0</v>
      </c>
      <c r="Y1098" s="1" t="s">
        <v>12069</v>
      </c>
      <c r="Z1098" s="1">
        <v>1891.0</v>
      </c>
      <c r="AA1098" s="1" t="s">
        <v>192</v>
      </c>
      <c r="AB1098" s="1" t="s">
        <v>193</v>
      </c>
      <c r="AD1098" s="1" t="s">
        <v>194</v>
      </c>
      <c r="AE1098" s="1" t="s">
        <v>195</v>
      </c>
      <c r="AF1098" s="1" t="s">
        <v>2645</v>
      </c>
      <c r="AH1098" s="1" t="s">
        <v>12070</v>
      </c>
      <c r="AK1098" s="1">
        <v>9.0</v>
      </c>
      <c r="AL1098" s="1">
        <v>4.0</v>
      </c>
      <c r="AM1098" s="1">
        <v>4.0</v>
      </c>
      <c r="AN1098" s="1">
        <v>1.0</v>
      </c>
      <c r="AO1098" s="1" t="s">
        <v>198</v>
      </c>
      <c r="AP1098" s="1">
        <v>4.0</v>
      </c>
      <c r="AQ1098" s="1" t="s">
        <v>198</v>
      </c>
      <c r="AR1098" s="1" t="s">
        <v>192</v>
      </c>
      <c r="AS1098" s="1" t="s">
        <v>199</v>
      </c>
      <c r="AT1098" s="1">
        <v>2.0</v>
      </c>
      <c r="AV1098" s="1" t="s">
        <v>200</v>
      </c>
      <c r="AW1098" s="1">
        <v>24722.96</v>
      </c>
      <c r="AX1098" s="1">
        <v>2013.0</v>
      </c>
      <c r="AY1098" s="1" t="s">
        <v>229</v>
      </c>
      <c r="AZ1098" s="1" t="s">
        <v>200</v>
      </c>
      <c r="BA1098" s="1" t="str">
        <f>"14322270180000"</f>
        <v>14322270180000</v>
      </c>
      <c r="BC1098" s="1">
        <v>5163.0</v>
      </c>
      <c r="BD1098" s="1">
        <v>2775000.0</v>
      </c>
      <c r="BE1098" s="2">
        <v>41806.0</v>
      </c>
      <c r="BF1098" s="2" t="s">
        <v>12071</v>
      </c>
      <c r="BH1098" s="1">
        <v>0.0</v>
      </c>
      <c r="BK1098" s="1" t="s">
        <v>204</v>
      </c>
      <c r="BL1098" s="1" t="str">
        <f>"2017"</f>
        <v>2017</v>
      </c>
      <c r="BM1098" s="1" t="str">
        <f t="shared" si="734"/>
        <v>0</v>
      </c>
      <c r="BN1098" s="1">
        <v>900.0</v>
      </c>
      <c r="BO1098" s="1">
        <v>0.0</v>
      </c>
      <c r="BQ1098" s="1">
        <v>299.0</v>
      </c>
      <c r="BR1098" s="1">
        <v>299.0</v>
      </c>
      <c r="BS1098" s="1">
        <v>299.0</v>
      </c>
      <c r="BU1098" s="1" t="s">
        <v>432</v>
      </c>
      <c r="BV1098" s="1" t="s">
        <v>206</v>
      </c>
      <c r="BW1098" s="1" t="s">
        <v>207</v>
      </c>
      <c r="BY1098" s="1" t="s">
        <v>1623</v>
      </c>
      <c r="BZ1098" s="1" t="s">
        <v>391</v>
      </c>
      <c r="CA1098" s="1" t="s">
        <v>207</v>
      </c>
      <c r="CC1098" s="1" t="s">
        <v>2647</v>
      </c>
      <c r="CD1098" s="1" t="s">
        <v>206</v>
      </c>
      <c r="CE1098" s="1" t="s">
        <v>207</v>
      </c>
      <c r="CG1098" s="1" t="s">
        <v>12072</v>
      </c>
      <c r="CH1098" s="1" t="s">
        <v>391</v>
      </c>
      <c r="CI1098" s="1" t="s">
        <v>207</v>
      </c>
      <c r="CK1098" s="1" t="s">
        <v>2120</v>
      </c>
      <c r="CL1098" s="1" t="s">
        <v>209</v>
      </c>
      <c r="CM1098" s="1" t="s">
        <v>207</v>
      </c>
      <c r="CO1098" s="1" t="s">
        <v>2082</v>
      </c>
      <c r="CP1098" s="1" t="s">
        <v>209</v>
      </c>
      <c r="CQ1098" s="1" t="s">
        <v>207</v>
      </c>
      <c r="CS1098" s="1" t="s">
        <v>3475</v>
      </c>
      <c r="CT1098" s="1" t="s">
        <v>206</v>
      </c>
      <c r="CU1098" s="1" t="s">
        <v>207</v>
      </c>
      <c r="CW1098" s="1" t="s">
        <v>639</v>
      </c>
      <c r="CX1098" s="1" t="s">
        <v>206</v>
      </c>
      <c r="CY1098" s="1" t="s">
        <v>588</v>
      </c>
      <c r="DA1098" s="1" t="s">
        <v>200</v>
      </c>
      <c r="DC1098" s="1" t="s">
        <v>642</v>
      </c>
      <c r="DD1098" s="1" t="s">
        <v>759</v>
      </c>
      <c r="DE1098" s="1" t="s">
        <v>1810</v>
      </c>
      <c r="DF1098" s="1" t="s">
        <v>4248</v>
      </c>
      <c r="DH1098" s="1" t="s">
        <v>365</v>
      </c>
      <c r="DI1098" s="1" t="s">
        <v>12073</v>
      </c>
      <c r="DJ1098" s="1" t="s">
        <v>222</v>
      </c>
      <c r="DL1098" s="1" t="s">
        <v>224</v>
      </c>
      <c r="DM1098" s="1" t="s">
        <v>1464</v>
      </c>
      <c r="DN1098" s="1" t="s">
        <v>9198</v>
      </c>
      <c r="DP1098" s="1" t="s">
        <v>340</v>
      </c>
      <c r="DQ1098" s="1" t="s">
        <v>718</v>
      </c>
      <c r="DR1098" s="1" t="s">
        <v>229</v>
      </c>
      <c r="DS1098" s="1" t="s">
        <v>368</v>
      </c>
      <c r="DU1098" s="1" t="s">
        <v>12074</v>
      </c>
      <c r="DV1098" s="1" t="s">
        <v>12075</v>
      </c>
      <c r="DW1098" s="1" t="s">
        <v>1145</v>
      </c>
      <c r="DX1098" s="1" t="s">
        <v>234</v>
      </c>
      <c r="DY1098" s="1" t="s">
        <v>747</v>
      </c>
      <c r="DZ1098" s="1" t="s">
        <v>282</v>
      </c>
      <c r="EB1098" s="1" t="s">
        <v>937</v>
      </c>
      <c r="EC1098" s="1" t="s">
        <v>406</v>
      </c>
      <c r="ED1098" s="1" t="s">
        <v>9274</v>
      </c>
      <c r="EE1098" s="1" t="s">
        <v>187</v>
      </c>
      <c r="EG1098" s="1" t="s">
        <v>1164</v>
      </c>
      <c r="EH1098" s="1" t="s">
        <v>1270</v>
      </c>
      <c r="EI1098" s="1" t="s">
        <v>1103</v>
      </c>
      <c r="EL1098" s="1" t="s">
        <v>12076</v>
      </c>
      <c r="EM1098" s="1" t="s">
        <v>267</v>
      </c>
      <c r="EN1098" s="1" t="s">
        <v>210</v>
      </c>
      <c r="EP1098" s="1" t="s">
        <v>453</v>
      </c>
      <c r="EQ1098" s="1" t="s">
        <v>267</v>
      </c>
      <c r="ET1098" s="1" t="s">
        <v>434</v>
      </c>
      <c r="EU1098" s="1" t="s">
        <v>267</v>
      </c>
      <c r="EY1098" s="1" t="s">
        <v>238</v>
      </c>
      <c r="FC1098" s="1" t="s">
        <v>238</v>
      </c>
      <c r="FF1098" s="1" t="s">
        <v>239</v>
      </c>
      <c r="FG1098" s="1" t="s">
        <v>192</v>
      </c>
      <c r="FH1098" s="1" t="s">
        <v>192</v>
      </c>
      <c r="FJ1098" s="1" t="s">
        <v>561</v>
      </c>
      <c r="FK1098" s="1" t="s">
        <v>229</v>
      </c>
      <c r="FL1098" s="1" t="s">
        <v>1358</v>
      </c>
      <c r="FM1098" s="1">
        <v>10115.0</v>
      </c>
      <c r="FN1098" s="1" t="s">
        <v>2286</v>
      </c>
      <c r="FO1098" s="1" t="s">
        <v>12077</v>
      </c>
      <c r="FP1098" s="1">
        <v>111653.0</v>
      </c>
      <c r="FQ1098" s="1" t="s">
        <v>12078</v>
      </c>
      <c r="FU1098" s="1" t="s">
        <v>12079</v>
      </c>
      <c r="FV1098" s="1" t="s">
        <v>200</v>
      </c>
      <c r="FW1098" s="1" t="s">
        <v>567</v>
      </c>
      <c r="FX1098" s="1" t="s">
        <v>238</v>
      </c>
      <c r="FZ1098" s="1" t="s">
        <v>229</v>
      </c>
      <c r="GA1098" s="1" t="s">
        <v>291</v>
      </c>
      <c r="GB1098" s="2">
        <v>42123.0</v>
      </c>
      <c r="GC1098" s="1" t="s">
        <v>12080</v>
      </c>
    </row>
    <row r="1099">
      <c r="A1099" s="1">
        <v>190000.0</v>
      </c>
      <c r="B1099" s="1" t="s">
        <v>185</v>
      </c>
      <c r="C1099" s="1" t="str">
        <f>"08646719"</f>
        <v>08646719</v>
      </c>
      <c r="D1099" s="1" t="s">
        <v>186</v>
      </c>
      <c r="F1099" s="1" t="str">
        <f>"140"</f>
        <v>140</v>
      </c>
      <c r="G1099" s="2">
        <v>41806.0</v>
      </c>
      <c r="H1099" s="1">
        <v>219900.0</v>
      </c>
      <c r="I1099" s="1">
        <v>186.0</v>
      </c>
      <c r="J1099" s="1">
        <v>195100.0</v>
      </c>
      <c r="K1099" s="2">
        <v>41991.0</v>
      </c>
      <c r="L1099" s="1">
        <v>186.0</v>
      </c>
      <c r="M1099" s="2">
        <v>41991.0</v>
      </c>
      <c r="N1099" s="1" t="s">
        <v>356</v>
      </c>
      <c r="O1099" s="2">
        <v>42025.0</v>
      </c>
      <c r="P1099" s="1">
        <v>87719.0</v>
      </c>
      <c r="Q1099" s="1">
        <v>2135.0</v>
      </c>
      <c r="S1099" s="1">
        <v>335.0</v>
      </c>
      <c r="T1099" s="1" t="s">
        <v>12081</v>
      </c>
      <c r="U1099" s="1" t="s">
        <v>189</v>
      </c>
      <c r="V1099" s="1" t="s">
        <v>321</v>
      </c>
      <c r="W1099" s="1">
        <v>60140.0</v>
      </c>
      <c r="Y1099" s="1" t="s">
        <v>12082</v>
      </c>
      <c r="Z1099" s="1">
        <v>1994.0</v>
      </c>
      <c r="AA1099" s="1" t="s">
        <v>200</v>
      </c>
      <c r="AB1099" s="1" t="s">
        <v>193</v>
      </c>
      <c r="AD1099" s="1" t="s">
        <v>324</v>
      </c>
      <c r="AE1099" s="1" t="s">
        <v>325</v>
      </c>
      <c r="AF1099" s="1" t="s">
        <v>324</v>
      </c>
      <c r="AH1099" s="1" t="s">
        <v>12083</v>
      </c>
      <c r="AI1099" s="1">
        <v>0.195</v>
      </c>
      <c r="AK1099" s="1">
        <v>8.0</v>
      </c>
      <c r="AL1099" s="1">
        <v>4.0</v>
      </c>
      <c r="AM1099" s="1">
        <v>2.0</v>
      </c>
      <c r="AN1099" s="1">
        <v>1.0</v>
      </c>
      <c r="AO1099" s="1" t="s">
        <v>198</v>
      </c>
      <c r="AP1099" s="1">
        <v>1.0</v>
      </c>
      <c r="AQ1099" s="1" t="s">
        <v>1314</v>
      </c>
      <c r="AR1099" s="1" t="s">
        <v>200</v>
      </c>
      <c r="AS1099" s="1" t="s">
        <v>199</v>
      </c>
      <c r="AT1099" s="1">
        <v>2.0</v>
      </c>
      <c r="AV1099" s="1" t="s">
        <v>200</v>
      </c>
      <c r="AW1099" s="1">
        <v>5163.88</v>
      </c>
      <c r="AX1099" s="1">
        <v>2012.0</v>
      </c>
      <c r="AY1099" s="1" t="s">
        <v>387</v>
      </c>
      <c r="AZ1099" s="1" t="s">
        <v>200</v>
      </c>
      <c r="BA1099" s="1" t="str">
        <f>"0127129015"</f>
        <v>0127129015</v>
      </c>
      <c r="BB1099" s="1" t="s">
        <v>200</v>
      </c>
      <c r="BC1099" s="1">
        <v>2076.0</v>
      </c>
      <c r="BD1099" s="1">
        <v>190000.0</v>
      </c>
      <c r="BE1099" s="2">
        <v>41806.0</v>
      </c>
      <c r="BF1099" s="2" t="s">
        <v>12084</v>
      </c>
      <c r="BH1099" s="1">
        <v>0.0</v>
      </c>
      <c r="BK1099" s="1" t="s">
        <v>204</v>
      </c>
      <c r="BL1099" s="1" t="str">
        <f t="shared" ref="BL1099:BM1099" si="735">""</f>
        <v/>
      </c>
      <c r="BM1099" s="1" t="str">
        <f t="shared" si="735"/>
        <v/>
      </c>
      <c r="BQ1099" s="1">
        <v>300.0</v>
      </c>
      <c r="BR1099" s="1">
        <v>300.0</v>
      </c>
      <c r="BS1099" s="1">
        <v>300.0</v>
      </c>
      <c r="BV1099" s="1" t="s">
        <v>204</v>
      </c>
      <c r="BY1099" s="1" t="s">
        <v>1064</v>
      </c>
      <c r="BZ1099" s="1" t="s">
        <v>209</v>
      </c>
      <c r="CA1099" s="1" t="s">
        <v>210</v>
      </c>
      <c r="CB1099" s="1" t="s">
        <v>229</v>
      </c>
      <c r="CC1099" s="1" t="s">
        <v>699</v>
      </c>
      <c r="CD1099" s="1" t="s">
        <v>206</v>
      </c>
      <c r="CE1099" s="1" t="s">
        <v>268</v>
      </c>
      <c r="CF1099" s="1" t="s">
        <v>229</v>
      </c>
      <c r="CG1099" s="1" t="s">
        <v>302</v>
      </c>
      <c r="CH1099" s="1" t="s">
        <v>209</v>
      </c>
      <c r="CI1099" s="1" t="s">
        <v>210</v>
      </c>
      <c r="CJ1099" s="1" t="s">
        <v>229</v>
      </c>
      <c r="CK1099" s="1" t="s">
        <v>663</v>
      </c>
      <c r="CL1099" s="1" t="s">
        <v>209</v>
      </c>
      <c r="CM1099" s="1" t="s">
        <v>210</v>
      </c>
      <c r="CN1099" s="1" t="s">
        <v>229</v>
      </c>
      <c r="CO1099" s="1" t="s">
        <v>663</v>
      </c>
      <c r="CP1099" s="1" t="s">
        <v>209</v>
      </c>
      <c r="CQ1099" s="1" t="s">
        <v>210</v>
      </c>
      <c r="CR1099" s="1" t="s">
        <v>229</v>
      </c>
      <c r="CS1099" s="1" t="s">
        <v>302</v>
      </c>
      <c r="CT1099" s="1" t="s">
        <v>206</v>
      </c>
      <c r="CU1099" s="1" t="s">
        <v>268</v>
      </c>
      <c r="CV1099" s="1" t="s">
        <v>229</v>
      </c>
      <c r="CW1099" s="1" t="s">
        <v>8854</v>
      </c>
      <c r="CX1099" s="1" t="s">
        <v>206</v>
      </c>
      <c r="CY1099" s="1" t="s">
        <v>207</v>
      </c>
      <c r="CZ1099" s="1" t="s">
        <v>229</v>
      </c>
      <c r="DA1099" s="1" t="s">
        <v>200</v>
      </c>
      <c r="DC1099" s="1" t="s">
        <v>678</v>
      </c>
      <c r="DD1099" s="1" t="s">
        <v>855</v>
      </c>
      <c r="DE1099" s="1" t="s">
        <v>273</v>
      </c>
      <c r="DF1099" s="1" t="s">
        <v>219</v>
      </c>
      <c r="DG1099" s="1" t="s">
        <v>2311</v>
      </c>
      <c r="DH1099" s="1" t="s">
        <v>220</v>
      </c>
      <c r="DI1099" s="1" t="s">
        <v>519</v>
      </c>
      <c r="DJ1099" s="1" t="s">
        <v>222</v>
      </c>
      <c r="DK1099" s="1" t="s">
        <v>1555</v>
      </c>
      <c r="DL1099" s="1" t="s">
        <v>12085</v>
      </c>
      <c r="DM1099" s="1" t="s">
        <v>1022</v>
      </c>
      <c r="DN1099" s="1" t="s">
        <v>399</v>
      </c>
      <c r="DO1099" s="1" t="s">
        <v>486</v>
      </c>
      <c r="DP1099" s="1" t="s">
        <v>340</v>
      </c>
      <c r="DQ1099" s="1" t="s">
        <v>228</v>
      </c>
      <c r="DR1099" s="1" t="s">
        <v>229</v>
      </c>
      <c r="DS1099" s="1" t="s">
        <v>368</v>
      </c>
      <c r="DU1099" s="1" t="s">
        <v>12086</v>
      </c>
      <c r="DV1099" s="1" t="s">
        <v>450</v>
      </c>
      <c r="DW1099" s="1" t="s">
        <v>233</v>
      </c>
      <c r="DX1099" s="1" t="s">
        <v>5015</v>
      </c>
      <c r="DY1099" s="1" t="s">
        <v>1051</v>
      </c>
      <c r="DZ1099" s="1" t="s">
        <v>12087</v>
      </c>
      <c r="EA1099" s="1" t="s">
        <v>554</v>
      </c>
      <c r="EB1099" s="1" t="s">
        <v>8570</v>
      </c>
      <c r="EC1099" s="1" t="s">
        <v>237</v>
      </c>
      <c r="ED1099" s="1" t="s">
        <v>407</v>
      </c>
      <c r="EE1099" s="1" t="s">
        <v>493</v>
      </c>
      <c r="EG1099" s="1" t="s">
        <v>450</v>
      </c>
      <c r="EL1099" s="1" t="s">
        <v>1397</v>
      </c>
      <c r="EM1099" s="1" t="s">
        <v>42</v>
      </c>
      <c r="EN1099" s="1" t="s">
        <v>210</v>
      </c>
      <c r="EO1099" s="1" t="s">
        <v>229</v>
      </c>
      <c r="EQ1099" s="1" t="s">
        <v>238</v>
      </c>
      <c r="EU1099" s="1" t="s">
        <v>238</v>
      </c>
      <c r="EY1099" s="1" t="s">
        <v>238</v>
      </c>
      <c r="FC1099" s="1" t="s">
        <v>238</v>
      </c>
      <c r="FF1099" s="1" t="s">
        <v>12088</v>
      </c>
      <c r="FG1099" s="1" t="s">
        <v>192</v>
      </c>
      <c r="FH1099" s="1" t="s">
        <v>192</v>
      </c>
      <c r="FJ1099" s="1" t="s">
        <v>12089</v>
      </c>
      <c r="FK1099" s="1" t="s">
        <v>229</v>
      </c>
      <c r="FL1099" s="1" t="s">
        <v>12090</v>
      </c>
      <c r="FM1099" s="1">
        <v>131.0</v>
      </c>
      <c r="FN1099" s="1" t="s">
        <v>12091</v>
      </c>
      <c r="FO1099" s="1" t="s">
        <v>12092</v>
      </c>
      <c r="FP1099" s="1">
        <v>196.0</v>
      </c>
      <c r="FQ1099" s="1" t="s">
        <v>12093</v>
      </c>
      <c r="FR1099" s="1">
        <v>8717.0</v>
      </c>
      <c r="FS1099" s="1" t="s">
        <v>567</v>
      </c>
      <c r="FT1099" s="1" t="s">
        <v>12094</v>
      </c>
      <c r="FU1099" s="1" t="s">
        <v>12095</v>
      </c>
      <c r="FV1099" s="1" t="s">
        <v>200</v>
      </c>
      <c r="FW1099" s="1" t="s">
        <v>567</v>
      </c>
      <c r="FZ1099" s="1" t="s">
        <v>229</v>
      </c>
      <c r="GA1099" s="1" t="s">
        <v>291</v>
      </c>
      <c r="GB1099" s="2">
        <v>42027.0</v>
      </c>
      <c r="GC1099" s="1" t="s">
        <v>12096</v>
      </c>
    </row>
    <row r="1100">
      <c r="A1100" s="1">
        <v>285000.0</v>
      </c>
      <c r="B1100" s="1" t="s">
        <v>185</v>
      </c>
      <c r="C1100" s="1" t="str">
        <f>"08647807"</f>
        <v>08647807</v>
      </c>
      <c r="D1100" s="1" t="s">
        <v>186</v>
      </c>
      <c r="F1100" s="1" t="str">
        <f>"8018"</f>
        <v>8018</v>
      </c>
      <c r="G1100" s="2">
        <v>41807.0</v>
      </c>
      <c r="H1100" s="1">
        <v>315000.0</v>
      </c>
      <c r="I1100" s="1">
        <v>120.0</v>
      </c>
      <c r="J1100" s="1">
        <v>299900.0</v>
      </c>
      <c r="K1100" s="2">
        <v>41926.0</v>
      </c>
      <c r="L1100" s="1">
        <v>120.0</v>
      </c>
      <c r="M1100" s="2">
        <v>41926.0</v>
      </c>
      <c r="N1100" s="1" t="s">
        <v>187</v>
      </c>
      <c r="O1100" s="2">
        <v>41974.0</v>
      </c>
      <c r="P1100" s="1">
        <v>222892.0</v>
      </c>
      <c r="Q1100" s="1">
        <v>22232.0</v>
      </c>
      <c r="S1100" s="1">
        <v>3011.0</v>
      </c>
      <c r="T1100" s="1" t="s">
        <v>9504</v>
      </c>
      <c r="U1100" s="1" t="s">
        <v>189</v>
      </c>
      <c r="V1100" s="1" t="s">
        <v>190</v>
      </c>
      <c r="W1100" s="1">
        <v>60634.0</v>
      </c>
      <c r="X1100" s="1">
        <v>4744.0</v>
      </c>
      <c r="Y1100" s="1" t="s">
        <v>12097</v>
      </c>
      <c r="Z1100" s="1">
        <v>1936.0</v>
      </c>
      <c r="AA1100" s="1" t="s">
        <v>192</v>
      </c>
      <c r="AB1100" s="1" t="s">
        <v>193</v>
      </c>
      <c r="AD1100" s="1" t="s">
        <v>194</v>
      </c>
      <c r="AE1100" s="1" t="s">
        <v>195</v>
      </c>
      <c r="AF1100" s="1" t="s">
        <v>196</v>
      </c>
      <c r="AH1100" s="1" t="s">
        <v>12098</v>
      </c>
      <c r="AK1100" s="1">
        <v>9.0</v>
      </c>
      <c r="AL1100" s="1">
        <v>4.0</v>
      </c>
      <c r="AM1100" s="1">
        <v>2.0</v>
      </c>
      <c r="AN1100" s="1">
        <v>0.0</v>
      </c>
      <c r="AO1100" s="1" t="s">
        <v>229</v>
      </c>
      <c r="AQ1100" s="1" t="s">
        <v>198</v>
      </c>
      <c r="AR1100" s="1" t="s">
        <v>192</v>
      </c>
      <c r="AS1100" s="1" t="s">
        <v>199</v>
      </c>
      <c r="AT1100" s="1">
        <v>2.0</v>
      </c>
      <c r="AV1100" s="1" t="s">
        <v>200</v>
      </c>
      <c r="AW1100" s="1">
        <v>3537.0</v>
      </c>
      <c r="AX1100" s="1">
        <v>2012.0</v>
      </c>
      <c r="AY1100" s="1" t="s">
        <v>387</v>
      </c>
      <c r="AZ1100" s="1" t="s">
        <v>200</v>
      </c>
      <c r="BA1100" s="1" t="str">
        <f>"13301110120000"</f>
        <v>13301110120000</v>
      </c>
      <c r="BC1100" s="1">
        <v>1555.0</v>
      </c>
      <c r="BD1100" s="1">
        <v>285000.0</v>
      </c>
      <c r="BE1100" s="2">
        <v>41807.0</v>
      </c>
      <c r="BF1100" s="2" t="s">
        <v>12099</v>
      </c>
      <c r="BH1100" s="1">
        <v>0.0</v>
      </c>
      <c r="BK1100" s="1" t="s">
        <v>204</v>
      </c>
      <c r="BL1100" s="1" t="str">
        <f>"3011"</f>
        <v>3011</v>
      </c>
      <c r="BM1100" s="1" t="str">
        <f>"0"</f>
        <v>0</v>
      </c>
      <c r="BN1100" s="1">
        <v>7100.0</v>
      </c>
      <c r="BO1100" s="1">
        <v>0.0</v>
      </c>
      <c r="BQ1100" s="1">
        <v>299.0</v>
      </c>
      <c r="BR1100" s="1">
        <v>299.0</v>
      </c>
      <c r="BS1100" s="1">
        <v>299.0</v>
      </c>
      <c r="BU1100" s="1" t="s">
        <v>925</v>
      </c>
      <c r="BV1100" s="1" t="s">
        <v>206</v>
      </c>
      <c r="BW1100" s="1" t="s">
        <v>207</v>
      </c>
      <c r="BY1100" s="1" t="s">
        <v>262</v>
      </c>
      <c r="BZ1100" s="1" t="s">
        <v>209</v>
      </c>
      <c r="CA1100" s="1" t="s">
        <v>301</v>
      </c>
      <c r="CC1100" s="1" t="s">
        <v>392</v>
      </c>
      <c r="CD1100" s="1" t="s">
        <v>206</v>
      </c>
      <c r="CE1100" s="1" t="s">
        <v>207</v>
      </c>
      <c r="CG1100" s="1" t="s">
        <v>262</v>
      </c>
      <c r="CH1100" s="1" t="s">
        <v>209</v>
      </c>
      <c r="CI1100" s="1" t="s">
        <v>301</v>
      </c>
      <c r="CJ1100" s="1" t="s">
        <v>431</v>
      </c>
      <c r="CK1100" s="1" t="s">
        <v>264</v>
      </c>
      <c r="CL1100" s="1" t="s">
        <v>206</v>
      </c>
      <c r="CM1100" s="1" t="s">
        <v>207</v>
      </c>
      <c r="CN1100" s="1" t="s">
        <v>431</v>
      </c>
      <c r="CO1100" s="1" t="s">
        <v>269</v>
      </c>
      <c r="CP1100" s="1" t="s">
        <v>206</v>
      </c>
      <c r="CQ1100" s="1" t="s">
        <v>207</v>
      </c>
      <c r="CR1100" s="1" t="s">
        <v>476</v>
      </c>
      <c r="CS1100" s="1" t="s">
        <v>1745</v>
      </c>
      <c r="CT1100" s="1" t="s">
        <v>206</v>
      </c>
      <c r="CU1100" s="1" t="s">
        <v>207</v>
      </c>
      <c r="CX1100" s="1" t="s">
        <v>204</v>
      </c>
      <c r="DA1100" s="1" t="s">
        <v>200</v>
      </c>
      <c r="DC1100" s="1" t="s">
        <v>1399</v>
      </c>
      <c r="DD1100" s="1" t="s">
        <v>618</v>
      </c>
      <c r="DE1100" s="1" t="s">
        <v>1810</v>
      </c>
      <c r="DF1100" s="1" t="s">
        <v>2328</v>
      </c>
      <c r="DG1100" s="1" t="s">
        <v>337</v>
      </c>
      <c r="DH1100" s="1" t="s">
        <v>365</v>
      </c>
      <c r="DI1100" s="1" t="s">
        <v>308</v>
      </c>
      <c r="DJ1100" s="1" t="s">
        <v>222</v>
      </c>
      <c r="DK1100" s="1" t="s">
        <v>790</v>
      </c>
      <c r="DL1100" s="1" t="s">
        <v>1161</v>
      </c>
      <c r="DM1100" s="1" t="s">
        <v>225</v>
      </c>
      <c r="DP1100" s="1" t="s">
        <v>8257</v>
      </c>
      <c r="DQ1100" s="1" t="s">
        <v>794</v>
      </c>
      <c r="DR1100" s="1" t="s">
        <v>229</v>
      </c>
      <c r="DS1100" s="1" t="s">
        <v>230</v>
      </c>
      <c r="DU1100" s="1" t="s">
        <v>8415</v>
      </c>
      <c r="DV1100" s="1" t="s">
        <v>12100</v>
      </c>
      <c r="DW1100" s="1" t="s">
        <v>279</v>
      </c>
      <c r="DX1100" s="1" t="s">
        <v>234</v>
      </c>
      <c r="DY1100" s="1" t="s">
        <v>2972</v>
      </c>
      <c r="DZ1100" s="1" t="s">
        <v>1661</v>
      </c>
      <c r="EA1100" s="1" t="s">
        <v>2535</v>
      </c>
      <c r="EC1100" s="1" t="s">
        <v>645</v>
      </c>
      <c r="ED1100" s="1" t="s">
        <v>407</v>
      </c>
      <c r="EG1100" s="1" t="s">
        <v>341</v>
      </c>
      <c r="EH1100" s="1" t="s">
        <v>450</v>
      </c>
      <c r="EI1100" s="1" t="s">
        <v>1102</v>
      </c>
      <c r="EJ1100" s="1" t="s">
        <v>2971</v>
      </c>
      <c r="EK1100" s="1" t="s">
        <v>1270</v>
      </c>
      <c r="EL1100" s="1" t="s">
        <v>730</v>
      </c>
      <c r="EM1100" s="1" t="s">
        <v>209</v>
      </c>
      <c r="EN1100" s="1" t="s">
        <v>210</v>
      </c>
      <c r="EP1100" s="1" t="s">
        <v>515</v>
      </c>
      <c r="EQ1100" s="1" t="s">
        <v>42</v>
      </c>
      <c r="ER1100" s="1" t="s">
        <v>268</v>
      </c>
      <c r="ET1100" s="1" t="s">
        <v>266</v>
      </c>
      <c r="EU1100" s="1" t="s">
        <v>206</v>
      </c>
      <c r="EV1100" s="1" t="s">
        <v>268</v>
      </c>
      <c r="EX1100" s="1" t="s">
        <v>212</v>
      </c>
      <c r="EY1100" s="1" t="s">
        <v>42</v>
      </c>
      <c r="EZ1100" s="1" t="s">
        <v>268</v>
      </c>
      <c r="FB1100" s="1" t="s">
        <v>1891</v>
      </c>
      <c r="FC1100" s="1" t="s">
        <v>42</v>
      </c>
      <c r="FD1100" s="1" t="s">
        <v>588</v>
      </c>
      <c r="FF1100" s="1" t="s">
        <v>239</v>
      </c>
      <c r="FG1100" s="1" t="s">
        <v>192</v>
      </c>
      <c r="FH1100" s="1" t="s">
        <v>192</v>
      </c>
      <c r="FJ1100" s="1" t="s">
        <v>2285</v>
      </c>
      <c r="FK1100" s="1" t="s">
        <v>229</v>
      </c>
      <c r="FL1100" s="1" t="s">
        <v>974</v>
      </c>
      <c r="FM1100" s="1">
        <v>1746.0</v>
      </c>
      <c r="FN1100" s="1" t="s">
        <v>2523</v>
      </c>
      <c r="FO1100" s="1" t="s">
        <v>12101</v>
      </c>
      <c r="FP1100" s="1">
        <v>84590.0</v>
      </c>
      <c r="FQ1100" s="1" t="s">
        <v>12102</v>
      </c>
      <c r="FS1100" s="1" t="s">
        <v>12103</v>
      </c>
      <c r="FU1100" s="1" t="s">
        <v>12104</v>
      </c>
      <c r="FV1100" s="1" t="s">
        <v>200</v>
      </c>
      <c r="FW1100" s="1" t="s">
        <v>530</v>
      </c>
      <c r="FX1100" s="1" t="s">
        <v>238</v>
      </c>
      <c r="FZ1100" s="1" t="s">
        <v>229</v>
      </c>
      <c r="GA1100" s="1" t="s">
        <v>291</v>
      </c>
      <c r="GB1100" s="2">
        <v>41976.0</v>
      </c>
      <c r="GC1100" s="1" t="s">
        <v>12105</v>
      </c>
    </row>
    <row r="1101">
      <c r="A1101" s="1">
        <v>140000.0</v>
      </c>
      <c r="B1101" s="1" t="s">
        <v>185</v>
      </c>
      <c r="C1101" s="1" t="str">
        <f>"08422424"</f>
        <v>08422424</v>
      </c>
      <c r="D1101" s="1" t="s">
        <v>186</v>
      </c>
      <c r="F1101" s="1" t="str">
        <f>"8065"</f>
        <v>8065</v>
      </c>
      <c r="G1101" s="2">
        <v>41502.0</v>
      </c>
      <c r="H1101" s="1">
        <v>99900.0</v>
      </c>
      <c r="I1101" s="1">
        <v>374.0</v>
      </c>
      <c r="J1101" s="1">
        <v>125000.0</v>
      </c>
      <c r="K1101" s="2">
        <v>41875.0</v>
      </c>
      <c r="L1101" s="1">
        <v>374.0</v>
      </c>
      <c r="M1101" s="2">
        <v>41875.0</v>
      </c>
      <c r="N1101" s="1" t="s">
        <v>249</v>
      </c>
      <c r="O1101" s="2">
        <v>42040.0</v>
      </c>
      <c r="P1101" s="1">
        <v>146443.0</v>
      </c>
      <c r="Q1101" s="1">
        <v>14856.0</v>
      </c>
      <c r="S1101" s="1">
        <v>5947.0</v>
      </c>
      <c r="T1101" s="1" t="s">
        <v>5251</v>
      </c>
      <c r="U1101" s="1" t="s">
        <v>189</v>
      </c>
      <c r="V1101" s="1" t="s">
        <v>190</v>
      </c>
      <c r="W1101" s="1">
        <v>60629.0</v>
      </c>
      <c r="Y1101" s="1" t="s">
        <v>12106</v>
      </c>
      <c r="Z1101" s="1">
        <v>1953.0</v>
      </c>
      <c r="AA1101" s="1" t="s">
        <v>192</v>
      </c>
      <c r="AB1101" s="1" t="s">
        <v>193</v>
      </c>
      <c r="AD1101" s="1" t="s">
        <v>194</v>
      </c>
      <c r="AE1101" s="1" t="s">
        <v>195</v>
      </c>
      <c r="AF1101" s="1" t="s">
        <v>659</v>
      </c>
      <c r="AH1101" s="1" t="s">
        <v>779</v>
      </c>
      <c r="AI1101" s="1">
        <v>0.0868</v>
      </c>
      <c r="AK1101" s="1">
        <v>7.0</v>
      </c>
      <c r="AL1101" s="1">
        <v>3.0</v>
      </c>
      <c r="AM1101" s="1">
        <v>2.0</v>
      </c>
      <c r="AN1101" s="1">
        <v>0.0</v>
      </c>
      <c r="AO1101" s="1" t="s">
        <v>229</v>
      </c>
      <c r="AQ1101" s="1" t="s">
        <v>198</v>
      </c>
      <c r="AR1101" s="1" t="s">
        <v>192</v>
      </c>
      <c r="AS1101" s="1" t="s">
        <v>199</v>
      </c>
      <c r="AT1101" s="1">
        <v>2.0</v>
      </c>
      <c r="AV1101" s="1" t="s">
        <v>200</v>
      </c>
      <c r="AW1101" s="1">
        <v>2339.27</v>
      </c>
      <c r="AX1101" s="1">
        <v>2012.0</v>
      </c>
      <c r="AY1101" s="1" t="s">
        <v>229</v>
      </c>
      <c r="AZ1101" s="1" t="s">
        <v>200</v>
      </c>
      <c r="BA1101" s="1" t="str">
        <f>"19153060070000"</f>
        <v>19153060070000</v>
      </c>
      <c r="BC1101" s="1">
        <v>1022.0</v>
      </c>
      <c r="BD1101" s="1">
        <v>140000.0</v>
      </c>
      <c r="BE1101" s="2">
        <v>41502.0</v>
      </c>
      <c r="BF1101" s="1" t="s">
        <v>12107</v>
      </c>
      <c r="BH1101" s="1">
        <v>0.0</v>
      </c>
      <c r="BK1101" s="1" t="s">
        <v>204</v>
      </c>
      <c r="BL1101" s="1" t="str">
        <f t="shared" ref="BL1101:BM1101" si="736">"0"</f>
        <v>0</v>
      </c>
      <c r="BM1101" s="1" t="str">
        <f t="shared" si="736"/>
        <v>0</v>
      </c>
      <c r="BN1101" s="1">
        <v>4500.0</v>
      </c>
      <c r="BO1101" s="1">
        <v>5947.0</v>
      </c>
      <c r="BQ1101" s="1">
        <v>299.0</v>
      </c>
      <c r="BR1101" s="1">
        <v>299.0</v>
      </c>
      <c r="BS1101" s="1">
        <v>299.0</v>
      </c>
      <c r="BU1101" s="1" t="s">
        <v>2224</v>
      </c>
      <c r="BV1101" s="1" t="s">
        <v>206</v>
      </c>
      <c r="BW1101" s="1" t="s">
        <v>207</v>
      </c>
      <c r="BY1101" s="1" t="s">
        <v>495</v>
      </c>
      <c r="BZ1101" s="1" t="s">
        <v>206</v>
      </c>
      <c r="CA1101" s="1" t="s">
        <v>210</v>
      </c>
      <c r="CD1101" s="1" t="s">
        <v>204</v>
      </c>
      <c r="CG1101" s="1" t="s">
        <v>495</v>
      </c>
      <c r="CH1101" s="1" t="s">
        <v>206</v>
      </c>
      <c r="CI1101" s="1" t="s">
        <v>210</v>
      </c>
      <c r="CK1101" s="1" t="s">
        <v>798</v>
      </c>
      <c r="CL1101" s="1" t="s">
        <v>206</v>
      </c>
      <c r="CM1101" s="1" t="s">
        <v>210</v>
      </c>
      <c r="CO1101" s="1" t="s">
        <v>2224</v>
      </c>
      <c r="CP1101" s="1" t="s">
        <v>42</v>
      </c>
      <c r="CQ1101" s="1" t="s">
        <v>617</v>
      </c>
      <c r="CS1101" s="1" t="s">
        <v>729</v>
      </c>
      <c r="CT1101" s="1" t="s">
        <v>206</v>
      </c>
      <c r="CU1101" s="1" t="s">
        <v>617</v>
      </c>
      <c r="CW1101" s="1" t="s">
        <v>584</v>
      </c>
      <c r="CX1101" s="1" t="s">
        <v>42</v>
      </c>
      <c r="CY1101" s="1" t="s">
        <v>617</v>
      </c>
      <c r="DA1101" s="1" t="s">
        <v>200</v>
      </c>
      <c r="DC1101" s="1" t="s">
        <v>702</v>
      </c>
      <c r="DE1101" s="1" t="s">
        <v>229</v>
      </c>
      <c r="DF1101" s="1" t="s">
        <v>905</v>
      </c>
      <c r="DH1101" s="1" t="s">
        <v>220</v>
      </c>
      <c r="DJ1101" s="1" t="s">
        <v>222</v>
      </c>
      <c r="DL1101" s="1" t="s">
        <v>224</v>
      </c>
      <c r="DM1101" s="1" t="s">
        <v>229</v>
      </c>
      <c r="DQ1101" s="1" t="s">
        <v>228</v>
      </c>
      <c r="DR1101" s="1" t="s">
        <v>229</v>
      </c>
      <c r="DS1101" s="1" t="s">
        <v>230</v>
      </c>
      <c r="DV1101" s="1" t="s">
        <v>232</v>
      </c>
      <c r="DW1101" s="1" t="s">
        <v>279</v>
      </c>
      <c r="DX1101" s="1" t="s">
        <v>234</v>
      </c>
      <c r="EA1101" s="1" t="s">
        <v>683</v>
      </c>
      <c r="EC1101" s="1" t="s">
        <v>685</v>
      </c>
      <c r="EE1101" s="1" t="s">
        <v>493</v>
      </c>
      <c r="EM1101" s="1" t="s">
        <v>238</v>
      </c>
      <c r="EQ1101" s="1" t="s">
        <v>238</v>
      </c>
      <c r="EU1101" s="1" t="s">
        <v>238</v>
      </c>
      <c r="EY1101" s="1" t="s">
        <v>238</v>
      </c>
      <c r="FC1101" s="1" t="s">
        <v>238</v>
      </c>
      <c r="FF1101" s="1" t="s">
        <v>239</v>
      </c>
      <c r="FG1101" s="1" t="s">
        <v>192</v>
      </c>
      <c r="FH1101" s="1" t="s">
        <v>192</v>
      </c>
      <c r="FJ1101" s="1" t="s">
        <v>799</v>
      </c>
      <c r="FK1101" s="1" t="s">
        <v>1586</v>
      </c>
      <c r="FL1101" s="1" t="s">
        <v>3794</v>
      </c>
      <c r="FM1101" s="1">
        <v>16734.0</v>
      </c>
      <c r="FN1101" s="1" t="s">
        <v>6021</v>
      </c>
      <c r="FO1101" s="1" t="s">
        <v>12108</v>
      </c>
      <c r="FP1101" s="1">
        <v>111924.0</v>
      </c>
      <c r="FQ1101" s="1" t="s">
        <v>12109</v>
      </c>
      <c r="FU1101" s="1" t="s">
        <v>12110</v>
      </c>
      <c r="FV1101" s="1" t="s">
        <v>200</v>
      </c>
      <c r="FW1101" s="1" t="s">
        <v>530</v>
      </c>
      <c r="FX1101" s="1" t="s">
        <v>655</v>
      </c>
      <c r="FZ1101" s="1" t="s">
        <v>229</v>
      </c>
      <c r="GA1101" s="1" t="s">
        <v>291</v>
      </c>
      <c r="GB1101" s="2">
        <v>42041.0</v>
      </c>
      <c r="GC1101" s="1" t="s">
        <v>12111</v>
      </c>
    </row>
    <row r="1102">
      <c r="A1102" s="1">
        <v>403500.0</v>
      </c>
      <c r="B1102" s="1" t="s">
        <v>185</v>
      </c>
      <c r="C1102" s="1" t="str">
        <f>"08424530"</f>
        <v>08424530</v>
      </c>
      <c r="D1102" s="1" t="s">
        <v>186</v>
      </c>
      <c r="F1102" s="1" t="str">
        <f>"184"</f>
        <v>184</v>
      </c>
      <c r="G1102" s="2">
        <v>41505.0</v>
      </c>
      <c r="H1102" s="1">
        <v>550000.0</v>
      </c>
      <c r="I1102" s="1">
        <v>669.0</v>
      </c>
      <c r="J1102" s="1">
        <v>449900.0</v>
      </c>
      <c r="K1102" s="2">
        <v>41939.0</v>
      </c>
      <c r="L1102" s="1">
        <v>435.0</v>
      </c>
      <c r="M1102" s="2">
        <v>41939.0</v>
      </c>
      <c r="N1102" s="1" t="s">
        <v>187</v>
      </c>
      <c r="O1102" s="2">
        <v>41992.0</v>
      </c>
      <c r="P1102" s="1">
        <v>736.0</v>
      </c>
      <c r="Q1102" s="1">
        <v>30.0</v>
      </c>
      <c r="S1102" s="1" t="s">
        <v>12112</v>
      </c>
      <c r="T1102" s="1" t="s">
        <v>12113</v>
      </c>
      <c r="U1102" s="1" t="s">
        <v>464</v>
      </c>
      <c r="V1102" s="1" t="s">
        <v>3870</v>
      </c>
      <c r="W1102" s="1">
        <v>60184.0</v>
      </c>
      <c r="Y1102" s="1" t="s">
        <v>12114</v>
      </c>
      <c r="Z1102" s="1">
        <v>1977.0</v>
      </c>
      <c r="AA1102" s="1" t="s">
        <v>192</v>
      </c>
      <c r="AB1102" s="1" t="s">
        <v>193</v>
      </c>
      <c r="AD1102" s="1" t="s">
        <v>3935</v>
      </c>
      <c r="AE1102" s="1" t="s">
        <v>325</v>
      </c>
      <c r="AF1102" s="1" t="s">
        <v>1203</v>
      </c>
      <c r="AH1102" s="1" t="s">
        <v>12115</v>
      </c>
      <c r="AI1102" s="1">
        <v>4.0</v>
      </c>
      <c r="AK1102" s="1">
        <v>10.0</v>
      </c>
      <c r="AL1102" s="1">
        <v>4.0</v>
      </c>
      <c r="AM1102" s="1">
        <v>3.0</v>
      </c>
      <c r="AN1102" s="1">
        <v>2.0</v>
      </c>
      <c r="AO1102" s="1" t="s">
        <v>198</v>
      </c>
      <c r="AP1102" s="1">
        <v>3.0</v>
      </c>
      <c r="AQ1102" s="1" t="s">
        <v>327</v>
      </c>
      <c r="AR1102" s="1" t="s">
        <v>200</v>
      </c>
      <c r="AS1102" s="1" t="s">
        <v>199</v>
      </c>
      <c r="AT1102" s="1">
        <v>2.5</v>
      </c>
      <c r="AV1102" s="1" t="s">
        <v>200</v>
      </c>
      <c r="AW1102" s="1">
        <v>16767.16</v>
      </c>
      <c r="AX1102" s="1">
        <v>2013.0</v>
      </c>
      <c r="AY1102" s="1" t="s">
        <v>387</v>
      </c>
      <c r="AZ1102" s="1" t="s">
        <v>200</v>
      </c>
      <c r="BA1102" s="1" t="str">
        <f>"0923100019"</f>
        <v>0923100019</v>
      </c>
      <c r="BC1102" s="1">
        <v>4086.0</v>
      </c>
      <c r="BD1102" s="1">
        <v>403500.0</v>
      </c>
      <c r="BE1102" s="2">
        <v>41505.0</v>
      </c>
      <c r="BF1102" s="2" t="s">
        <v>12116</v>
      </c>
      <c r="BH1102" s="1">
        <v>0.0</v>
      </c>
      <c r="BK1102" s="1" t="s">
        <v>204</v>
      </c>
      <c r="BL1102" s="1" t="str">
        <f t="shared" ref="BL1102:BM1102" si="737">""</f>
        <v/>
      </c>
      <c r="BM1102" s="1" t="str">
        <f t="shared" si="737"/>
        <v/>
      </c>
      <c r="BQ1102" s="1">
        <v>303.0</v>
      </c>
      <c r="BR1102" s="1">
        <v>303.0</v>
      </c>
      <c r="BS1102" s="1">
        <v>303.0</v>
      </c>
      <c r="BU1102" s="1" t="s">
        <v>8854</v>
      </c>
      <c r="BV1102" s="1" t="s">
        <v>206</v>
      </c>
      <c r="BW1102" s="1" t="s">
        <v>207</v>
      </c>
      <c r="BY1102" s="1" t="s">
        <v>583</v>
      </c>
      <c r="BZ1102" s="1" t="s">
        <v>209</v>
      </c>
      <c r="CA1102" s="1" t="s">
        <v>210</v>
      </c>
      <c r="CC1102" s="1" t="s">
        <v>677</v>
      </c>
      <c r="CD1102" s="1" t="s">
        <v>206</v>
      </c>
      <c r="CE1102" s="1" t="s">
        <v>207</v>
      </c>
      <c r="CG1102" s="1" t="s">
        <v>743</v>
      </c>
      <c r="CH1102" s="1" t="s">
        <v>209</v>
      </c>
      <c r="CI1102" s="1" t="s">
        <v>207</v>
      </c>
      <c r="CK1102" s="1" t="s">
        <v>215</v>
      </c>
      <c r="CL1102" s="1" t="s">
        <v>209</v>
      </c>
      <c r="CM1102" s="1" t="s">
        <v>207</v>
      </c>
      <c r="CO1102" s="1" t="s">
        <v>215</v>
      </c>
      <c r="CP1102" s="1" t="s">
        <v>209</v>
      </c>
      <c r="CQ1102" s="1" t="s">
        <v>207</v>
      </c>
      <c r="CS1102" s="1" t="s">
        <v>730</v>
      </c>
      <c r="CT1102" s="1" t="s">
        <v>206</v>
      </c>
      <c r="CU1102" s="1" t="s">
        <v>268</v>
      </c>
      <c r="CW1102" s="1" t="s">
        <v>730</v>
      </c>
      <c r="CX1102" s="1" t="s">
        <v>206</v>
      </c>
      <c r="CY1102" s="1" t="s">
        <v>207</v>
      </c>
      <c r="DA1102" s="1" t="s">
        <v>200</v>
      </c>
      <c r="DC1102" s="1" t="s">
        <v>395</v>
      </c>
      <c r="DD1102" s="1" t="s">
        <v>396</v>
      </c>
      <c r="DE1102" s="1" t="s">
        <v>218</v>
      </c>
      <c r="DF1102" s="1" t="s">
        <v>12117</v>
      </c>
      <c r="DG1102" s="1" t="s">
        <v>12118</v>
      </c>
      <c r="DH1102" s="1" t="s">
        <v>856</v>
      </c>
      <c r="DI1102" s="1" t="s">
        <v>12119</v>
      </c>
      <c r="DJ1102" s="1" t="s">
        <v>857</v>
      </c>
      <c r="DK1102" s="1" t="s">
        <v>223</v>
      </c>
      <c r="DL1102" s="1" t="s">
        <v>224</v>
      </c>
      <c r="DM1102" s="1" t="s">
        <v>229</v>
      </c>
      <c r="DN1102" s="1" t="s">
        <v>548</v>
      </c>
      <c r="DO1102" s="1" t="s">
        <v>12120</v>
      </c>
      <c r="DP1102" s="1" t="s">
        <v>340</v>
      </c>
      <c r="DQ1102" s="1" t="s">
        <v>2549</v>
      </c>
      <c r="DR1102" s="1" t="s">
        <v>229</v>
      </c>
      <c r="DS1102" s="1" t="s">
        <v>5883</v>
      </c>
      <c r="DU1102" s="1" t="s">
        <v>12121</v>
      </c>
      <c r="DV1102" s="1" t="s">
        <v>12122</v>
      </c>
      <c r="DW1102" s="1" t="s">
        <v>588</v>
      </c>
      <c r="DX1102" s="1" t="s">
        <v>234</v>
      </c>
      <c r="DY1102" s="1" t="s">
        <v>1051</v>
      </c>
      <c r="DZ1102" s="1" t="s">
        <v>12123</v>
      </c>
      <c r="EB1102" s="1" t="s">
        <v>345</v>
      </c>
      <c r="EC1102" s="1" t="s">
        <v>237</v>
      </c>
      <c r="ED1102" s="1" t="s">
        <v>1761</v>
      </c>
      <c r="EG1102" s="1" t="s">
        <v>1102</v>
      </c>
      <c r="EH1102" s="1" t="s">
        <v>494</v>
      </c>
      <c r="EI1102" s="1" t="s">
        <v>450</v>
      </c>
      <c r="EJ1102" s="1" t="s">
        <v>588</v>
      </c>
      <c r="EL1102" s="1" t="s">
        <v>12124</v>
      </c>
      <c r="EM1102" s="1" t="s">
        <v>206</v>
      </c>
      <c r="EN1102" s="1" t="s">
        <v>210</v>
      </c>
      <c r="EP1102" s="1" t="s">
        <v>329</v>
      </c>
      <c r="EQ1102" s="1" t="s">
        <v>206</v>
      </c>
      <c r="ER1102" s="1" t="s">
        <v>207</v>
      </c>
      <c r="ET1102" s="1" t="s">
        <v>12125</v>
      </c>
      <c r="EU1102" s="1" t="s">
        <v>1697</v>
      </c>
      <c r="EV1102" s="1" t="s">
        <v>210</v>
      </c>
      <c r="EX1102" s="1" t="s">
        <v>2647</v>
      </c>
      <c r="EY1102" s="1" t="s">
        <v>1697</v>
      </c>
      <c r="EZ1102" s="1" t="s">
        <v>210</v>
      </c>
      <c r="FC1102" s="1" t="s">
        <v>238</v>
      </c>
      <c r="FF1102" s="1" t="s">
        <v>239</v>
      </c>
      <c r="FG1102" s="1" t="s">
        <v>192</v>
      </c>
      <c r="FH1102" s="1" t="s">
        <v>192</v>
      </c>
      <c r="FJ1102" s="1" t="s">
        <v>4181</v>
      </c>
      <c r="FK1102" s="1" t="s">
        <v>229</v>
      </c>
      <c r="FL1102" s="1" t="s">
        <v>1212</v>
      </c>
      <c r="FM1102" s="1">
        <v>30.0</v>
      </c>
      <c r="FN1102" s="1" t="s">
        <v>1213</v>
      </c>
      <c r="FO1102" s="1" t="s">
        <v>8470</v>
      </c>
      <c r="FP1102" s="1">
        <v>497.0</v>
      </c>
      <c r="FQ1102" s="1" t="s">
        <v>8471</v>
      </c>
      <c r="FR1102" s="1">
        <v>8177.0</v>
      </c>
      <c r="FU1102" s="1" t="s">
        <v>10211</v>
      </c>
      <c r="FV1102" s="1" t="s">
        <v>200</v>
      </c>
      <c r="FW1102" s="1" t="s">
        <v>290</v>
      </c>
      <c r="FZ1102" s="1" t="s">
        <v>229</v>
      </c>
      <c r="GA1102" s="1" t="s">
        <v>291</v>
      </c>
      <c r="GB1102" s="2">
        <v>41992.0</v>
      </c>
    </row>
    <row r="1103">
      <c r="A1103" s="1">
        <v>246500.0</v>
      </c>
      <c r="B1103" s="1" t="s">
        <v>185</v>
      </c>
      <c r="C1103" s="1" t="str">
        <f>"08847173"</f>
        <v>08847173</v>
      </c>
      <c r="D1103" s="1" t="s">
        <v>186</v>
      </c>
      <c r="F1103" s="1" t="str">
        <f>"510"</f>
        <v>510</v>
      </c>
      <c r="G1103" s="2">
        <v>42061.0</v>
      </c>
      <c r="H1103" s="1">
        <v>250000.0</v>
      </c>
      <c r="I1103" s="1">
        <v>135.0</v>
      </c>
      <c r="J1103" s="1">
        <v>250000.0</v>
      </c>
      <c r="K1103" s="2">
        <v>42088.0</v>
      </c>
      <c r="L1103" s="1">
        <v>28.0</v>
      </c>
      <c r="M1103" s="2">
        <v>42088.0</v>
      </c>
      <c r="N1103" s="1" t="s">
        <v>187</v>
      </c>
      <c r="O1103" s="2">
        <v>42121.0</v>
      </c>
      <c r="P1103" s="1">
        <v>239086.0</v>
      </c>
      <c r="Q1103" s="1">
        <v>23099.0</v>
      </c>
      <c r="S1103" s="1">
        <v>450.0</v>
      </c>
      <c r="T1103" s="1" t="s">
        <v>12126</v>
      </c>
      <c r="U1103" s="1" t="s">
        <v>320</v>
      </c>
      <c r="V1103" s="1" t="s">
        <v>2700</v>
      </c>
      <c r="W1103" s="1">
        <v>60510.0</v>
      </c>
      <c r="Y1103" s="1" t="s">
        <v>12127</v>
      </c>
      <c r="Z1103" s="1">
        <v>1998.0</v>
      </c>
      <c r="AA1103" s="1" t="s">
        <v>200</v>
      </c>
      <c r="AB1103" s="1" t="s">
        <v>193</v>
      </c>
      <c r="AD1103" s="1" t="s">
        <v>2702</v>
      </c>
      <c r="AE1103" s="1" t="s">
        <v>325</v>
      </c>
      <c r="AF1103" s="1" t="s">
        <v>2702</v>
      </c>
      <c r="AG1103" s="1" t="s">
        <v>874</v>
      </c>
      <c r="AH1103" s="1" t="s">
        <v>12128</v>
      </c>
      <c r="AI1103" s="1">
        <v>0.3262</v>
      </c>
      <c r="AK1103" s="1">
        <v>7.0</v>
      </c>
      <c r="AL1103" s="1">
        <v>4.0</v>
      </c>
      <c r="AM1103" s="1">
        <v>2.0</v>
      </c>
      <c r="AN1103" s="1">
        <v>1.0</v>
      </c>
      <c r="AO1103" s="1" t="s">
        <v>198</v>
      </c>
      <c r="AP1103" s="1">
        <v>0.0</v>
      </c>
      <c r="AQ1103" s="1" t="s">
        <v>198</v>
      </c>
      <c r="AR1103" s="1" t="s">
        <v>192</v>
      </c>
      <c r="AS1103" s="1" t="s">
        <v>199</v>
      </c>
      <c r="AT1103" s="1">
        <v>2.0</v>
      </c>
      <c r="AV1103" s="1" t="s">
        <v>200</v>
      </c>
      <c r="AW1103" s="1">
        <v>6603.0</v>
      </c>
      <c r="AX1103" s="1">
        <v>2013.0</v>
      </c>
      <c r="AY1103" s="1" t="s">
        <v>387</v>
      </c>
      <c r="AZ1103" s="1" t="s">
        <v>200</v>
      </c>
      <c r="BA1103" s="1" t="str">
        <f>"1214351022"</f>
        <v>1214351022</v>
      </c>
      <c r="BB1103" s="1" t="s">
        <v>200</v>
      </c>
      <c r="BC1103" s="1">
        <v>1400.0</v>
      </c>
      <c r="BD1103" s="1">
        <v>246500.0</v>
      </c>
      <c r="BE1103" s="2">
        <v>42061.0</v>
      </c>
      <c r="BF1103" s="2" t="s">
        <v>12129</v>
      </c>
      <c r="BG1103" s="1" t="s">
        <v>6796</v>
      </c>
      <c r="BH1103" s="1">
        <v>0.0</v>
      </c>
      <c r="BK1103" s="1" t="s">
        <v>204</v>
      </c>
      <c r="BL1103" s="1" t="str">
        <f t="shared" ref="BL1103:BM1103" si="738">""</f>
        <v/>
      </c>
      <c r="BM1103" s="1" t="str">
        <f t="shared" si="738"/>
        <v/>
      </c>
      <c r="BQ1103" s="1">
        <v>101.0</v>
      </c>
      <c r="BR1103" s="1">
        <v>101.0</v>
      </c>
      <c r="BS1103" s="1">
        <v>101.0</v>
      </c>
      <c r="BU1103" s="1" t="s">
        <v>434</v>
      </c>
      <c r="BV1103" s="1" t="s">
        <v>206</v>
      </c>
      <c r="BW1103" s="1" t="s">
        <v>210</v>
      </c>
      <c r="BY1103" s="1" t="s">
        <v>215</v>
      </c>
      <c r="BZ1103" s="1" t="s">
        <v>206</v>
      </c>
      <c r="CA1103" s="1" t="s">
        <v>210</v>
      </c>
      <c r="CD1103" s="1" t="s">
        <v>204</v>
      </c>
      <c r="CG1103" s="1" t="s">
        <v>497</v>
      </c>
      <c r="CH1103" s="1" t="s">
        <v>206</v>
      </c>
      <c r="CI1103" s="1" t="s">
        <v>210</v>
      </c>
      <c r="CK1103" s="1" t="s">
        <v>543</v>
      </c>
      <c r="CL1103" s="1" t="s">
        <v>206</v>
      </c>
      <c r="CM1103" s="1" t="s">
        <v>210</v>
      </c>
      <c r="CO1103" s="1" t="s">
        <v>215</v>
      </c>
      <c r="CP1103" s="1" t="s">
        <v>267</v>
      </c>
      <c r="CQ1103" s="1" t="s">
        <v>210</v>
      </c>
      <c r="CS1103" s="1" t="s">
        <v>1891</v>
      </c>
      <c r="CT1103" s="1" t="s">
        <v>206</v>
      </c>
      <c r="CU1103" s="1" t="s">
        <v>301</v>
      </c>
      <c r="CX1103" s="1" t="s">
        <v>204</v>
      </c>
      <c r="DA1103" s="1" t="s">
        <v>200</v>
      </c>
      <c r="DC1103" s="1" t="s">
        <v>678</v>
      </c>
      <c r="DD1103" s="1" t="s">
        <v>436</v>
      </c>
      <c r="DE1103" s="1" t="s">
        <v>273</v>
      </c>
      <c r="DF1103" s="1" t="s">
        <v>219</v>
      </c>
      <c r="DG1103" s="1" t="s">
        <v>12130</v>
      </c>
      <c r="DH1103" s="1" t="s">
        <v>220</v>
      </c>
      <c r="DI1103" s="1" t="s">
        <v>221</v>
      </c>
      <c r="DJ1103" s="1" t="s">
        <v>222</v>
      </c>
      <c r="DK1103" s="1" t="s">
        <v>223</v>
      </c>
      <c r="DL1103" s="1" t="s">
        <v>224</v>
      </c>
      <c r="DM1103" s="1" t="s">
        <v>338</v>
      </c>
      <c r="DN1103" s="1" t="s">
        <v>367</v>
      </c>
      <c r="DO1103" s="1" t="s">
        <v>12131</v>
      </c>
      <c r="DQ1103" s="1" t="s">
        <v>441</v>
      </c>
      <c r="DR1103" s="1" t="s">
        <v>229</v>
      </c>
      <c r="DU1103" s="1" t="s">
        <v>12132</v>
      </c>
      <c r="DV1103" s="1" t="s">
        <v>763</v>
      </c>
      <c r="DW1103" s="1" t="s">
        <v>370</v>
      </c>
      <c r="DX1103" s="1" t="s">
        <v>309</v>
      </c>
      <c r="DY1103" s="1" t="s">
        <v>12133</v>
      </c>
      <c r="DZ1103" s="1" t="s">
        <v>1661</v>
      </c>
      <c r="EA1103" s="1" t="s">
        <v>683</v>
      </c>
      <c r="EC1103" s="1" t="s">
        <v>685</v>
      </c>
      <c r="ED1103" s="1" t="s">
        <v>555</v>
      </c>
      <c r="EE1103" s="1" t="s">
        <v>493</v>
      </c>
      <c r="EI1103" s="1" t="s">
        <v>408</v>
      </c>
      <c r="EJ1103" s="1" t="s">
        <v>450</v>
      </c>
      <c r="EM1103" s="1" t="s">
        <v>238</v>
      </c>
      <c r="EQ1103" s="1" t="s">
        <v>238</v>
      </c>
      <c r="ET1103" s="1" t="s">
        <v>3702</v>
      </c>
      <c r="EU1103" s="1" t="s">
        <v>206</v>
      </c>
      <c r="EV1103" s="1" t="s">
        <v>301</v>
      </c>
      <c r="EX1103" s="1" t="s">
        <v>784</v>
      </c>
      <c r="EY1103" s="1" t="s">
        <v>267</v>
      </c>
      <c r="EZ1103" s="1" t="s">
        <v>210</v>
      </c>
      <c r="FC1103" s="1" t="s">
        <v>238</v>
      </c>
      <c r="FF1103" s="1" t="s">
        <v>239</v>
      </c>
      <c r="FG1103" s="1" t="s">
        <v>192</v>
      </c>
      <c r="FH1103" s="1" t="s">
        <v>192</v>
      </c>
      <c r="FJ1103" s="1" t="s">
        <v>12134</v>
      </c>
      <c r="FK1103" s="1" t="s">
        <v>229</v>
      </c>
      <c r="FL1103" s="1" t="s">
        <v>4627</v>
      </c>
      <c r="FM1103" s="1">
        <v>23030.0</v>
      </c>
      <c r="FN1103" s="1" t="s">
        <v>4628</v>
      </c>
      <c r="FO1103" s="1" t="s">
        <v>12135</v>
      </c>
      <c r="FP1103" s="1">
        <v>232397.0</v>
      </c>
      <c r="FQ1103" s="1" t="s">
        <v>12136</v>
      </c>
      <c r="FU1103" s="1" t="s">
        <v>12137</v>
      </c>
      <c r="FV1103" s="1" t="s">
        <v>200</v>
      </c>
      <c r="FW1103" s="1" t="s">
        <v>461</v>
      </c>
      <c r="FZ1103" s="1" t="s">
        <v>632</v>
      </c>
      <c r="GA1103" s="1" t="s">
        <v>291</v>
      </c>
      <c r="GB1103" s="2">
        <v>42121.0</v>
      </c>
      <c r="GC1103" s="1" t="s">
        <v>12138</v>
      </c>
    </row>
    <row r="1104">
      <c r="A1104" s="1">
        <v>91324.0</v>
      </c>
      <c r="B1104" s="1" t="s">
        <v>185</v>
      </c>
      <c r="C1104" s="1" t="str">
        <f>"08847916"</f>
        <v>08847916</v>
      </c>
      <c r="D1104" s="1" t="s">
        <v>186</v>
      </c>
      <c r="F1104" s="1" t="str">
        <f>"8070"</f>
        <v>8070</v>
      </c>
      <c r="G1104" s="2">
        <v>42062.0</v>
      </c>
      <c r="H1104" s="1">
        <v>55000.0</v>
      </c>
      <c r="I1104" s="1">
        <v>16.0</v>
      </c>
      <c r="J1104" s="1">
        <v>55000.0</v>
      </c>
      <c r="K1104" s="2">
        <v>42076.0</v>
      </c>
      <c r="L1104" s="1">
        <v>16.0</v>
      </c>
      <c r="M1104" s="2">
        <v>42076.0</v>
      </c>
      <c r="N1104" s="1" t="s">
        <v>249</v>
      </c>
      <c r="O1104" s="2">
        <v>42110.0</v>
      </c>
      <c r="P1104" s="1">
        <v>239395.0</v>
      </c>
      <c r="Q1104" s="1">
        <v>23391.0</v>
      </c>
      <c r="S1104" s="1">
        <v>8032.0</v>
      </c>
      <c r="T1104" s="1" t="s">
        <v>8454</v>
      </c>
      <c r="U1104" s="1" t="s">
        <v>189</v>
      </c>
      <c r="V1104" s="1" t="s">
        <v>190</v>
      </c>
      <c r="W1104" s="1">
        <v>60652.0</v>
      </c>
      <c r="Y1104" s="1" t="s">
        <v>12139</v>
      </c>
      <c r="Z1104" s="1">
        <v>1948.0</v>
      </c>
      <c r="AA1104" s="1" t="s">
        <v>192</v>
      </c>
      <c r="AB1104" s="1" t="s">
        <v>193</v>
      </c>
      <c r="AD1104" s="1" t="s">
        <v>194</v>
      </c>
      <c r="AE1104" s="1" t="s">
        <v>195</v>
      </c>
      <c r="AF1104" s="1" t="s">
        <v>659</v>
      </c>
      <c r="AH1104" s="1">
        <v>4375.0</v>
      </c>
      <c r="AI1104" s="1">
        <v>0.1004</v>
      </c>
      <c r="AK1104" s="1">
        <v>7.0</v>
      </c>
      <c r="AL1104" s="1">
        <v>4.0</v>
      </c>
      <c r="AM1104" s="1">
        <v>2.0</v>
      </c>
      <c r="AN1104" s="1">
        <v>0.0</v>
      </c>
      <c r="AO1104" s="1" t="s">
        <v>229</v>
      </c>
      <c r="AQ1104" s="1" t="s">
        <v>198</v>
      </c>
      <c r="AR1104" s="1" t="s">
        <v>192</v>
      </c>
      <c r="AS1104" s="1" t="s">
        <v>199</v>
      </c>
      <c r="AT1104" s="1">
        <v>2.0</v>
      </c>
      <c r="AV1104" s="1" t="s">
        <v>200</v>
      </c>
      <c r="AW1104" s="1">
        <v>1804.18</v>
      </c>
      <c r="AX1104" s="1">
        <v>2013.0</v>
      </c>
      <c r="AZ1104" s="1" t="s">
        <v>545</v>
      </c>
      <c r="BA1104" s="1" t="str">
        <f>"19352110300000"</f>
        <v>19352110300000</v>
      </c>
      <c r="BC1104" s="1">
        <v>1500.0</v>
      </c>
      <c r="BD1104" s="1">
        <v>91324.0</v>
      </c>
      <c r="BE1104" s="2">
        <v>42061.0</v>
      </c>
      <c r="BF1104" s="2" t="s">
        <v>12140</v>
      </c>
      <c r="BH1104" s="1">
        <v>0.0</v>
      </c>
      <c r="BK1104" s="1" t="s">
        <v>204</v>
      </c>
      <c r="BL1104" s="1" t="str">
        <f t="shared" ref="BL1104:BM1104" si="739">"0"</f>
        <v>0</v>
      </c>
      <c r="BM1104" s="1" t="str">
        <f t="shared" si="739"/>
        <v>0</v>
      </c>
      <c r="BN1104" s="1">
        <v>3100.0</v>
      </c>
      <c r="BO1104" s="1">
        <v>8032.0</v>
      </c>
      <c r="BQ1104" s="1">
        <v>299.0</v>
      </c>
      <c r="BR1104" s="1">
        <v>299.0</v>
      </c>
      <c r="BS1104" s="1">
        <v>299.0</v>
      </c>
      <c r="BU1104" s="1" t="s">
        <v>3989</v>
      </c>
      <c r="BV1104" s="1" t="s">
        <v>206</v>
      </c>
      <c r="BW1104" s="1" t="s">
        <v>207</v>
      </c>
      <c r="BY1104" s="1" t="s">
        <v>363</v>
      </c>
      <c r="BZ1104" s="1" t="s">
        <v>209</v>
      </c>
      <c r="CC1104" s="1" t="s">
        <v>542</v>
      </c>
      <c r="CD1104" s="1" t="s">
        <v>206</v>
      </c>
      <c r="CG1104" s="1" t="s">
        <v>363</v>
      </c>
      <c r="CH1104" s="1" t="s">
        <v>209</v>
      </c>
      <c r="CK1104" s="1" t="s">
        <v>212</v>
      </c>
      <c r="CL1104" s="1" t="s">
        <v>206</v>
      </c>
      <c r="CO1104" s="1" t="s">
        <v>212</v>
      </c>
      <c r="CP1104" s="1" t="s">
        <v>206</v>
      </c>
      <c r="CS1104" s="1" t="s">
        <v>264</v>
      </c>
      <c r="CT1104" s="1" t="s">
        <v>206</v>
      </c>
      <c r="CX1104" s="1" t="s">
        <v>204</v>
      </c>
      <c r="DA1104" s="1" t="s">
        <v>200</v>
      </c>
      <c r="DC1104" s="1" t="s">
        <v>702</v>
      </c>
      <c r="DE1104" s="1" t="s">
        <v>273</v>
      </c>
      <c r="DF1104" s="1" t="s">
        <v>905</v>
      </c>
      <c r="DH1104" s="1" t="s">
        <v>220</v>
      </c>
      <c r="DJ1104" s="1" t="s">
        <v>222</v>
      </c>
      <c r="DL1104" s="1" t="s">
        <v>858</v>
      </c>
      <c r="DM1104" s="1" t="s">
        <v>1464</v>
      </c>
      <c r="DQ1104" s="1" t="s">
        <v>228</v>
      </c>
      <c r="DR1104" s="1" t="s">
        <v>229</v>
      </c>
      <c r="DV1104" s="1" t="s">
        <v>232</v>
      </c>
      <c r="DW1104" s="1" t="s">
        <v>279</v>
      </c>
      <c r="DX1104" s="1" t="s">
        <v>234</v>
      </c>
      <c r="EC1104" s="1" t="s">
        <v>645</v>
      </c>
      <c r="EM1104" s="1" t="s">
        <v>238</v>
      </c>
      <c r="EQ1104" s="1" t="s">
        <v>238</v>
      </c>
      <c r="EU1104" s="1" t="s">
        <v>238</v>
      </c>
      <c r="EY1104" s="1" t="s">
        <v>238</v>
      </c>
      <c r="FC1104" s="1" t="s">
        <v>238</v>
      </c>
      <c r="FF1104" s="1" t="s">
        <v>239</v>
      </c>
      <c r="FG1104" s="1" t="s">
        <v>192</v>
      </c>
      <c r="FH1104" s="1" t="s">
        <v>192</v>
      </c>
      <c r="FJ1104" s="1" t="s">
        <v>770</v>
      </c>
      <c r="FK1104" s="1" t="s">
        <v>229</v>
      </c>
      <c r="FL1104" s="1" t="s">
        <v>7366</v>
      </c>
      <c r="FM1104" s="1">
        <v>84674.0</v>
      </c>
      <c r="FN1104" s="1" t="s">
        <v>7367</v>
      </c>
      <c r="FO1104" s="1" t="s">
        <v>7368</v>
      </c>
      <c r="FP1104" s="1">
        <v>109817.0</v>
      </c>
      <c r="FQ1104" s="1" t="s">
        <v>7369</v>
      </c>
      <c r="FR1104" s="1">
        <v>152288.0</v>
      </c>
      <c r="FU1104" s="1" t="s">
        <v>1438</v>
      </c>
      <c r="FV1104" s="1" t="s">
        <v>200</v>
      </c>
      <c r="FW1104" s="1" t="s">
        <v>354</v>
      </c>
      <c r="FX1104" s="1" t="s">
        <v>655</v>
      </c>
      <c r="FZ1104" s="1" t="s">
        <v>229</v>
      </c>
      <c r="GA1104" s="1" t="s">
        <v>291</v>
      </c>
      <c r="GB1104" s="2">
        <v>42115.0</v>
      </c>
      <c r="GC1104" s="1" t="s">
        <v>12141</v>
      </c>
    </row>
    <row r="1105">
      <c r="A1105" s="1">
        <v>167000.0</v>
      </c>
      <c r="B1105" s="1" t="s">
        <v>185</v>
      </c>
      <c r="C1105" s="1" t="str">
        <f>"08837262"</f>
        <v>08837262</v>
      </c>
      <c r="D1105" s="1" t="s">
        <v>186</v>
      </c>
      <c r="F1105" s="1" t="str">
        <f>"8073"</f>
        <v>8073</v>
      </c>
      <c r="G1105" s="2">
        <v>42047.0</v>
      </c>
      <c r="H1105" s="1">
        <v>169900.0</v>
      </c>
      <c r="I1105" s="1">
        <v>331.0</v>
      </c>
      <c r="J1105" s="1">
        <v>169900.0</v>
      </c>
      <c r="K1105" s="2">
        <v>42068.0</v>
      </c>
      <c r="L1105" s="1">
        <v>22.0</v>
      </c>
      <c r="M1105" s="2">
        <v>42068.0</v>
      </c>
      <c r="N1105" s="1" t="s">
        <v>356</v>
      </c>
      <c r="O1105" s="2">
        <v>42125.0</v>
      </c>
      <c r="P1105" s="1">
        <v>180419.0</v>
      </c>
      <c r="Q1105" s="1">
        <v>18235.0</v>
      </c>
      <c r="R1105" s="1">
        <v>2.5</v>
      </c>
      <c r="S1105" s="1">
        <v>9051.0</v>
      </c>
      <c r="T1105" s="1" t="s">
        <v>12142</v>
      </c>
      <c r="U1105" s="1" t="s">
        <v>320</v>
      </c>
      <c r="V1105" s="1" t="s">
        <v>190</v>
      </c>
      <c r="W1105" s="1">
        <v>60620.0</v>
      </c>
      <c r="Y1105" s="1" t="s">
        <v>12143</v>
      </c>
      <c r="Z1105" s="1">
        <v>1937.0</v>
      </c>
      <c r="AA1105" s="1" t="s">
        <v>192</v>
      </c>
      <c r="AB1105" s="1" t="s">
        <v>193</v>
      </c>
      <c r="AD1105" s="1" t="s">
        <v>194</v>
      </c>
      <c r="AE1105" s="1" t="s">
        <v>195</v>
      </c>
      <c r="AF1105" s="1" t="s">
        <v>659</v>
      </c>
      <c r="AH1105" s="1">
        <v>5040.0</v>
      </c>
      <c r="AI1105" s="1">
        <v>0.1157</v>
      </c>
      <c r="AK1105" s="1">
        <v>9.0</v>
      </c>
      <c r="AL1105" s="1">
        <v>3.0</v>
      </c>
      <c r="AM1105" s="1">
        <v>2.0</v>
      </c>
      <c r="AN1105" s="1">
        <v>1.0</v>
      </c>
      <c r="AO1105" s="1" t="s">
        <v>229</v>
      </c>
      <c r="AQ1105" s="1" t="s">
        <v>198</v>
      </c>
      <c r="AR1105" s="1" t="s">
        <v>192</v>
      </c>
      <c r="AS1105" s="1" t="s">
        <v>199</v>
      </c>
      <c r="AT1105" s="1">
        <v>2.5</v>
      </c>
      <c r="AV1105" s="1" t="s">
        <v>200</v>
      </c>
      <c r="AW1105" s="1">
        <v>3054.82</v>
      </c>
      <c r="AX1105" s="1">
        <v>2013.0</v>
      </c>
      <c r="AZ1105" s="1" t="s">
        <v>200</v>
      </c>
      <c r="BA1105" s="1" t="str">
        <f>"25052270400000"</f>
        <v>25052270400000</v>
      </c>
      <c r="BC1105" s="1">
        <v>1400.0</v>
      </c>
      <c r="BD1105" s="1">
        <v>167000.0</v>
      </c>
      <c r="BE1105" s="2">
        <v>42047.0</v>
      </c>
      <c r="BF1105" s="2" t="s">
        <v>12144</v>
      </c>
      <c r="BH1105" s="1">
        <v>0.0</v>
      </c>
      <c r="BK1105" s="1" t="s">
        <v>204</v>
      </c>
      <c r="BL1105" s="1" t="str">
        <f t="shared" ref="BL1105:BM1105" si="740">"0"</f>
        <v>0</v>
      </c>
      <c r="BM1105" s="1" t="str">
        <f t="shared" si="740"/>
        <v>0</v>
      </c>
      <c r="BN1105" s="1">
        <v>1150.0</v>
      </c>
      <c r="BO1105" s="1">
        <v>9000.0</v>
      </c>
      <c r="BQ1105" s="1">
        <v>299.0</v>
      </c>
      <c r="BR1105" s="1">
        <v>299.0</v>
      </c>
      <c r="BS1105" s="1">
        <v>299.0</v>
      </c>
      <c r="BU1105" s="1" t="s">
        <v>1503</v>
      </c>
      <c r="BV1105" s="1" t="s">
        <v>206</v>
      </c>
      <c r="BW1105" s="1" t="s">
        <v>207</v>
      </c>
      <c r="BY1105" s="1" t="s">
        <v>390</v>
      </c>
      <c r="BZ1105" s="1" t="s">
        <v>209</v>
      </c>
      <c r="CA1105" s="1" t="s">
        <v>207</v>
      </c>
      <c r="CC1105" s="1" t="s">
        <v>264</v>
      </c>
      <c r="CD1105" s="1" t="s">
        <v>206</v>
      </c>
      <c r="CE1105" s="1" t="s">
        <v>207</v>
      </c>
      <c r="CG1105" s="1" t="s">
        <v>215</v>
      </c>
      <c r="CH1105" s="1" t="s">
        <v>209</v>
      </c>
      <c r="CI1105" s="1" t="s">
        <v>207</v>
      </c>
      <c r="CK1105" s="1" t="s">
        <v>495</v>
      </c>
      <c r="CL1105" s="1" t="s">
        <v>209</v>
      </c>
      <c r="CM1105" s="1" t="s">
        <v>207</v>
      </c>
      <c r="CO1105" s="1" t="s">
        <v>265</v>
      </c>
      <c r="CP1105" s="1" t="s">
        <v>42</v>
      </c>
      <c r="CQ1105" s="1" t="s">
        <v>268</v>
      </c>
      <c r="CS1105" s="1" t="s">
        <v>478</v>
      </c>
      <c r="CT1105" s="1" t="s">
        <v>206</v>
      </c>
      <c r="CU1105" s="1" t="s">
        <v>207</v>
      </c>
      <c r="CW1105" s="1" t="s">
        <v>1892</v>
      </c>
      <c r="CX1105" s="1" t="s">
        <v>42</v>
      </c>
      <c r="CY1105" s="1" t="s">
        <v>268</v>
      </c>
      <c r="DA1105" s="1" t="s">
        <v>200</v>
      </c>
      <c r="DC1105" s="1" t="s">
        <v>1399</v>
      </c>
      <c r="DE1105" s="1" t="s">
        <v>273</v>
      </c>
      <c r="DF1105" s="1" t="s">
        <v>219</v>
      </c>
      <c r="DH1105" s="1" t="s">
        <v>365</v>
      </c>
      <c r="DI1105" s="1" t="s">
        <v>12145</v>
      </c>
      <c r="DJ1105" s="1" t="s">
        <v>222</v>
      </c>
      <c r="DL1105" s="1" t="s">
        <v>224</v>
      </c>
      <c r="DM1105" s="1" t="s">
        <v>229</v>
      </c>
      <c r="DQ1105" s="1" t="s">
        <v>228</v>
      </c>
      <c r="DR1105" s="1" t="s">
        <v>229</v>
      </c>
      <c r="DS1105" s="1" t="s">
        <v>230</v>
      </c>
      <c r="DV1105" s="1" t="s">
        <v>598</v>
      </c>
      <c r="DW1105" s="1" t="s">
        <v>279</v>
      </c>
      <c r="DX1105" s="1" t="s">
        <v>234</v>
      </c>
      <c r="DY1105" s="1" t="s">
        <v>704</v>
      </c>
      <c r="EA1105" s="1" t="s">
        <v>1075</v>
      </c>
      <c r="EC1105" s="1" t="s">
        <v>645</v>
      </c>
      <c r="EG1105" s="1" t="s">
        <v>598</v>
      </c>
      <c r="EL1105" s="1" t="s">
        <v>6414</v>
      </c>
      <c r="EM1105" s="1" t="s">
        <v>206</v>
      </c>
      <c r="EN1105" s="1" t="s">
        <v>207</v>
      </c>
      <c r="EQ1105" s="1" t="s">
        <v>238</v>
      </c>
      <c r="EU1105" s="1" t="s">
        <v>238</v>
      </c>
      <c r="EY1105" s="1" t="s">
        <v>238</v>
      </c>
      <c r="FC1105" s="1" t="s">
        <v>238</v>
      </c>
      <c r="FF1105" s="1" t="s">
        <v>239</v>
      </c>
      <c r="FG1105" s="1" t="s">
        <v>192</v>
      </c>
      <c r="FH1105" s="1" t="s">
        <v>192</v>
      </c>
      <c r="FJ1105" s="1" t="s">
        <v>648</v>
      </c>
      <c r="FK1105" s="1" t="s">
        <v>229</v>
      </c>
      <c r="FL1105" s="1" t="s">
        <v>649</v>
      </c>
      <c r="FM1105" s="1">
        <v>60296.0</v>
      </c>
      <c r="FN1105" s="1" t="s">
        <v>650</v>
      </c>
      <c r="FO1105" s="1" t="s">
        <v>651</v>
      </c>
      <c r="FP1105" s="1">
        <v>602837.0</v>
      </c>
      <c r="FQ1105" s="1" t="s">
        <v>652</v>
      </c>
      <c r="FR1105" s="1">
        <v>602442.0</v>
      </c>
      <c r="FU1105" s="1" t="s">
        <v>1438</v>
      </c>
      <c r="FV1105" s="1" t="s">
        <v>200</v>
      </c>
      <c r="FW1105" s="1" t="s">
        <v>530</v>
      </c>
      <c r="FX1105" s="1" t="s">
        <v>655</v>
      </c>
      <c r="FZ1105" s="1" t="s">
        <v>229</v>
      </c>
      <c r="GA1105" s="1" t="s">
        <v>291</v>
      </c>
      <c r="GB1105" s="2">
        <v>42125.0</v>
      </c>
      <c r="GC1105" s="1" t="s">
        <v>11343</v>
      </c>
    </row>
    <row r="1106">
      <c r="A1106" s="1">
        <v>144900.0</v>
      </c>
      <c r="B1106" s="1" t="s">
        <v>185</v>
      </c>
      <c r="C1106" s="1" t="str">
        <f>"08838998"</f>
        <v>08838998</v>
      </c>
      <c r="D1106" s="1" t="s">
        <v>186</v>
      </c>
      <c r="F1106" s="1" t="str">
        <f>"123"</f>
        <v>123</v>
      </c>
      <c r="G1106" s="2">
        <v>42050.0</v>
      </c>
      <c r="H1106" s="1">
        <v>144900.0</v>
      </c>
      <c r="I1106" s="1">
        <v>14.0</v>
      </c>
      <c r="J1106" s="1">
        <v>144900.0</v>
      </c>
      <c r="K1106" s="2">
        <v>42060.0</v>
      </c>
      <c r="L1106" s="1">
        <v>14.0</v>
      </c>
      <c r="M1106" s="2">
        <v>42060.0</v>
      </c>
      <c r="N1106" s="1" t="s">
        <v>356</v>
      </c>
      <c r="O1106" s="2">
        <v>42094.0</v>
      </c>
      <c r="P1106" s="1">
        <v>243632.0</v>
      </c>
      <c r="Q1106" s="1">
        <v>1946.0</v>
      </c>
      <c r="R1106" s="1">
        <v>6500.0</v>
      </c>
      <c r="S1106" s="1">
        <v>661.0</v>
      </c>
      <c r="T1106" s="1" t="s">
        <v>9778</v>
      </c>
      <c r="U1106" s="1" t="s">
        <v>189</v>
      </c>
      <c r="V1106" s="1" t="s">
        <v>465</v>
      </c>
      <c r="W1106" s="1">
        <v>60120.0</v>
      </c>
      <c r="Y1106" s="1" t="s">
        <v>12146</v>
      </c>
      <c r="Z1106" s="1">
        <v>1900.0</v>
      </c>
      <c r="AA1106" s="1" t="s">
        <v>192</v>
      </c>
      <c r="AB1106" s="1" t="s">
        <v>193</v>
      </c>
      <c r="AD1106" s="1" t="s">
        <v>469</v>
      </c>
      <c r="AE1106" s="1" t="s">
        <v>325</v>
      </c>
      <c r="AF1106" s="1" t="s">
        <v>469</v>
      </c>
      <c r="AH1106" s="1" t="s">
        <v>3573</v>
      </c>
      <c r="AI1106" s="1">
        <v>0.1995</v>
      </c>
      <c r="AK1106" s="1">
        <v>7.0</v>
      </c>
      <c r="AL1106" s="1">
        <v>4.0</v>
      </c>
      <c r="AM1106" s="1">
        <v>1.0</v>
      </c>
      <c r="AN1106" s="1">
        <v>0.0</v>
      </c>
      <c r="AO1106" s="1" t="s">
        <v>229</v>
      </c>
      <c r="AQ1106" s="1" t="s">
        <v>198</v>
      </c>
      <c r="AR1106" s="1" t="s">
        <v>200</v>
      </c>
      <c r="AS1106" s="1" t="s">
        <v>199</v>
      </c>
      <c r="AT1106" s="1">
        <v>2.0</v>
      </c>
      <c r="AV1106" s="1" t="s">
        <v>200</v>
      </c>
      <c r="AW1106" s="1">
        <v>4891.7</v>
      </c>
      <c r="AX1106" s="1">
        <v>2013.0</v>
      </c>
      <c r="AY1106" s="1" t="s">
        <v>229</v>
      </c>
      <c r="AZ1106" s="1" t="s">
        <v>200</v>
      </c>
      <c r="BA1106" s="1" t="str">
        <f>"0612483002"</f>
        <v>0612483002</v>
      </c>
      <c r="BC1106" s="1">
        <v>1790.0</v>
      </c>
      <c r="BD1106" s="1">
        <v>144900.0</v>
      </c>
      <c r="BE1106" s="2">
        <v>42047.0</v>
      </c>
      <c r="BF1106" s="2" t="s">
        <v>12147</v>
      </c>
      <c r="BG1106" s="1" t="s">
        <v>12148</v>
      </c>
      <c r="BH1106" s="1">
        <v>0.0</v>
      </c>
      <c r="BI1106" s="1" t="s">
        <v>12149</v>
      </c>
      <c r="BJ1106" s="1" t="s">
        <v>1243</v>
      </c>
      <c r="BK1106" s="1" t="s">
        <v>204</v>
      </c>
      <c r="BL1106" s="1" t="str">
        <f>"12"</f>
        <v>12</v>
      </c>
      <c r="BM1106" s="1" t="str">
        <f>"0"</f>
        <v>0</v>
      </c>
      <c r="BN1106" s="1">
        <v>33.0</v>
      </c>
      <c r="BO1106" s="1">
        <v>0.0</v>
      </c>
      <c r="BQ1106" s="1">
        <v>46.0</v>
      </c>
      <c r="BR1106" s="1">
        <v>46.0</v>
      </c>
      <c r="BS1106" s="1">
        <v>46.0</v>
      </c>
      <c r="BU1106" s="1" t="s">
        <v>743</v>
      </c>
      <c r="BV1106" s="1" t="s">
        <v>206</v>
      </c>
      <c r="BW1106" s="1" t="s">
        <v>268</v>
      </c>
      <c r="BX1106" s="1" t="s">
        <v>239</v>
      </c>
      <c r="BY1106" s="1" t="s">
        <v>205</v>
      </c>
      <c r="BZ1106" s="1" t="s">
        <v>209</v>
      </c>
      <c r="CA1106" s="1" t="s">
        <v>207</v>
      </c>
      <c r="CB1106" s="1" t="s">
        <v>239</v>
      </c>
      <c r="CC1106" s="1" t="s">
        <v>215</v>
      </c>
      <c r="CD1106" s="1" t="s">
        <v>206</v>
      </c>
      <c r="CE1106" s="1" t="s">
        <v>268</v>
      </c>
      <c r="CF1106" s="1" t="s">
        <v>239</v>
      </c>
      <c r="CG1106" s="1" t="s">
        <v>363</v>
      </c>
      <c r="CH1106" s="1" t="s">
        <v>209</v>
      </c>
      <c r="CI1106" s="1" t="s">
        <v>207</v>
      </c>
      <c r="CJ1106" s="1" t="s">
        <v>239</v>
      </c>
      <c r="CK1106" s="1" t="s">
        <v>814</v>
      </c>
      <c r="CL1106" s="1" t="s">
        <v>209</v>
      </c>
      <c r="CM1106" s="1" t="s">
        <v>207</v>
      </c>
      <c r="CN1106" s="1" t="s">
        <v>239</v>
      </c>
      <c r="CO1106" s="1" t="s">
        <v>1119</v>
      </c>
      <c r="CP1106" s="1" t="s">
        <v>206</v>
      </c>
      <c r="CQ1106" s="1" t="s">
        <v>207</v>
      </c>
      <c r="CR1106" s="1" t="s">
        <v>239</v>
      </c>
      <c r="CS1106" s="1" t="s">
        <v>480</v>
      </c>
      <c r="CT1106" s="1" t="s">
        <v>206</v>
      </c>
      <c r="CU1106" s="1" t="s">
        <v>268</v>
      </c>
      <c r="CV1106" s="1" t="s">
        <v>239</v>
      </c>
      <c r="CX1106" s="1" t="s">
        <v>204</v>
      </c>
      <c r="DA1106" s="1" t="s">
        <v>200</v>
      </c>
      <c r="DC1106" s="1" t="s">
        <v>642</v>
      </c>
      <c r="DD1106" s="1" t="s">
        <v>786</v>
      </c>
      <c r="DE1106" s="1" t="s">
        <v>273</v>
      </c>
      <c r="DF1106" s="1" t="s">
        <v>219</v>
      </c>
      <c r="DG1106" s="1" t="s">
        <v>337</v>
      </c>
      <c r="DH1106" s="1" t="s">
        <v>220</v>
      </c>
      <c r="DI1106" s="1" t="s">
        <v>8120</v>
      </c>
      <c r="DJ1106" s="1" t="s">
        <v>222</v>
      </c>
      <c r="DL1106" s="1" t="s">
        <v>858</v>
      </c>
      <c r="DM1106" s="1" t="s">
        <v>229</v>
      </c>
      <c r="DP1106" s="1" t="s">
        <v>340</v>
      </c>
      <c r="DQ1106" s="1" t="s">
        <v>228</v>
      </c>
      <c r="DR1106" s="1" t="s">
        <v>229</v>
      </c>
      <c r="DS1106" s="1" t="s">
        <v>401</v>
      </c>
      <c r="DU1106" s="1" t="s">
        <v>1331</v>
      </c>
      <c r="DV1106" s="1" t="s">
        <v>1102</v>
      </c>
      <c r="DW1106" s="1" t="s">
        <v>5639</v>
      </c>
      <c r="DX1106" s="1" t="s">
        <v>234</v>
      </c>
      <c r="DY1106" s="1" t="s">
        <v>987</v>
      </c>
      <c r="EA1106" s="1" t="s">
        <v>622</v>
      </c>
      <c r="EC1106" s="1" t="s">
        <v>237</v>
      </c>
      <c r="ED1106" s="1" t="s">
        <v>407</v>
      </c>
      <c r="EE1106" s="1" t="s">
        <v>493</v>
      </c>
      <c r="EG1106" s="1" t="s">
        <v>1102</v>
      </c>
      <c r="EL1106" s="1" t="s">
        <v>497</v>
      </c>
      <c r="EM1106" s="1" t="s">
        <v>206</v>
      </c>
      <c r="EN1106" s="1" t="s">
        <v>268</v>
      </c>
      <c r="EO1106" s="1" t="s">
        <v>239</v>
      </c>
      <c r="EQ1106" s="1" t="s">
        <v>238</v>
      </c>
      <c r="EU1106" s="1" t="s">
        <v>238</v>
      </c>
      <c r="EY1106" s="1" t="s">
        <v>238</v>
      </c>
      <c r="FC1106" s="1" t="s">
        <v>238</v>
      </c>
      <c r="FF1106" s="1" t="s">
        <v>239</v>
      </c>
      <c r="FG1106" s="1" t="s">
        <v>192</v>
      </c>
      <c r="FH1106" s="1" t="s">
        <v>192</v>
      </c>
      <c r="FJ1106" s="1" t="s">
        <v>624</v>
      </c>
      <c r="FK1106" s="1" t="s">
        <v>348</v>
      </c>
      <c r="FL1106" s="1" t="s">
        <v>1451</v>
      </c>
      <c r="FM1106" s="1">
        <v>7450.0</v>
      </c>
      <c r="FN1106" s="1" t="s">
        <v>1452</v>
      </c>
      <c r="FO1106" s="1" t="s">
        <v>12150</v>
      </c>
      <c r="FP1106" s="1">
        <v>1256.0</v>
      </c>
      <c r="FQ1106" s="1" t="s">
        <v>12151</v>
      </c>
      <c r="FS1106" s="1" t="s">
        <v>12152</v>
      </c>
      <c r="FU1106" s="1" t="s">
        <v>12153</v>
      </c>
      <c r="FV1106" s="1" t="s">
        <v>200</v>
      </c>
      <c r="FW1106" s="1" t="s">
        <v>12154</v>
      </c>
      <c r="FZ1106" s="1" t="s">
        <v>229</v>
      </c>
      <c r="GA1106" s="1" t="s">
        <v>291</v>
      </c>
      <c r="GB1106" s="2">
        <v>42095.0</v>
      </c>
    </row>
    <row r="1107">
      <c r="A1107" s="1">
        <v>388800.0</v>
      </c>
      <c r="B1107" s="1" t="s">
        <v>185</v>
      </c>
      <c r="C1107" s="1" t="str">
        <f>"08841604"</f>
        <v>08841604</v>
      </c>
      <c r="D1107" s="1" t="s">
        <v>186</v>
      </c>
      <c r="F1107" s="1" t="str">
        <f>"510"</f>
        <v>510</v>
      </c>
      <c r="G1107" s="2">
        <v>42053.0</v>
      </c>
      <c r="H1107" s="1">
        <v>398800.0</v>
      </c>
      <c r="I1107" s="1">
        <v>12.0</v>
      </c>
      <c r="J1107" s="1">
        <v>398800.0</v>
      </c>
      <c r="K1107" s="2">
        <v>42064.0</v>
      </c>
      <c r="L1107" s="1">
        <v>12.0</v>
      </c>
      <c r="M1107" s="2">
        <v>42064.0</v>
      </c>
      <c r="N1107" s="1" t="s">
        <v>187</v>
      </c>
      <c r="O1107" s="2">
        <v>42109.0</v>
      </c>
      <c r="P1107" s="1">
        <v>232884.0</v>
      </c>
      <c r="Q1107" s="1">
        <v>23265.0</v>
      </c>
      <c r="R1107" s="1">
        <v>5000.0</v>
      </c>
      <c r="S1107" s="1">
        <v>1016.0</v>
      </c>
      <c r="T1107" s="1" t="s">
        <v>12155</v>
      </c>
      <c r="U1107" s="1" t="s">
        <v>420</v>
      </c>
      <c r="V1107" s="1" t="s">
        <v>2700</v>
      </c>
      <c r="W1107" s="1">
        <v>60510.0</v>
      </c>
      <c r="Y1107" s="1" t="s">
        <v>12156</v>
      </c>
      <c r="Z1107" s="1">
        <v>2001.0</v>
      </c>
      <c r="AA1107" s="1" t="s">
        <v>200</v>
      </c>
      <c r="AB1107" s="1" t="s">
        <v>193</v>
      </c>
      <c r="AD1107" s="1" t="s">
        <v>2702</v>
      </c>
      <c r="AE1107" s="1" t="s">
        <v>325</v>
      </c>
      <c r="AF1107" s="1" t="s">
        <v>2702</v>
      </c>
      <c r="AG1107" s="1" t="s">
        <v>752</v>
      </c>
      <c r="AH1107" s="1" t="s">
        <v>12157</v>
      </c>
      <c r="AI1107" s="1">
        <v>0.32</v>
      </c>
      <c r="AK1107" s="1">
        <v>8.0</v>
      </c>
      <c r="AL1107" s="1">
        <v>4.0</v>
      </c>
      <c r="AM1107" s="1">
        <v>2.0</v>
      </c>
      <c r="AN1107" s="1">
        <v>1.0</v>
      </c>
      <c r="AO1107" s="1" t="s">
        <v>198</v>
      </c>
      <c r="AP1107" s="1">
        <v>1.0</v>
      </c>
      <c r="AQ1107" s="1" t="s">
        <v>472</v>
      </c>
      <c r="AR1107" s="1" t="s">
        <v>200</v>
      </c>
      <c r="AS1107" s="1" t="s">
        <v>199</v>
      </c>
      <c r="AT1107" s="1">
        <v>2.0</v>
      </c>
      <c r="AV1107" s="1" t="s">
        <v>200</v>
      </c>
      <c r="AW1107" s="1">
        <v>10522.0</v>
      </c>
      <c r="AX1107" s="1">
        <v>2013.0</v>
      </c>
      <c r="AY1107" s="1" t="s">
        <v>387</v>
      </c>
      <c r="AZ1107" s="1" t="s">
        <v>200</v>
      </c>
      <c r="BA1107" s="1" t="str">
        <f>"1226254009"</f>
        <v>1226254009</v>
      </c>
      <c r="BC1107" s="1">
        <v>2700.0</v>
      </c>
      <c r="BD1107" s="1">
        <v>388800.0</v>
      </c>
      <c r="BE1107" s="2">
        <v>42053.0</v>
      </c>
      <c r="BF1107" s="2" t="s">
        <v>12158</v>
      </c>
      <c r="BH1107" s="1">
        <v>0.0</v>
      </c>
      <c r="BK1107" s="1" t="s">
        <v>204</v>
      </c>
      <c r="BL1107" s="1" t="str">
        <f t="shared" ref="BL1107:BM1107" si="741">""</f>
        <v/>
      </c>
      <c r="BM1107" s="1" t="str">
        <f t="shared" si="741"/>
        <v/>
      </c>
      <c r="BN1107" s="1">
        <v>34.0</v>
      </c>
      <c r="BO1107" s="1">
        <v>2.0</v>
      </c>
      <c r="BQ1107" s="1">
        <v>101.0</v>
      </c>
      <c r="BR1107" s="1">
        <v>101.0</v>
      </c>
      <c r="BS1107" s="1">
        <v>101.0</v>
      </c>
      <c r="BU1107" s="1" t="s">
        <v>433</v>
      </c>
      <c r="BV1107" s="1" t="s">
        <v>206</v>
      </c>
      <c r="BW1107" s="1" t="s">
        <v>210</v>
      </c>
      <c r="BX1107" s="1" t="s">
        <v>431</v>
      </c>
      <c r="BY1107" s="1" t="s">
        <v>616</v>
      </c>
      <c r="BZ1107" s="1" t="s">
        <v>209</v>
      </c>
      <c r="CA1107" s="1" t="s">
        <v>210</v>
      </c>
      <c r="CB1107" s="1" t="s">
        <v>1118</v>
      </c>
      <c r="CC1107" s="1" t="s">
        <v>584</v>
      </c>
      <c r="CD1107" s="1" t="s">
        <v>206</v>
      </c>
      <c r="CE1107" s="1" t="s">
        <v>207</v>
      </c>
      <c r="CF1107" s="1" t="s">
        <v>1549</v>
      </c>
      <c r="CG1107" s="1" t="s">
        <v>584</v>
      </c>
      <c r="CH1107" s="1" t="s">
        <v>209</v>
      </c>
      <c r="CI1107" s="1" t="s">
        <v>210</v>
      </c>
      <c r="CJ1107" s="1" t="s">
        <v>431</v>
      </c>
      <c r="CK1107" s="1" t="s">
        <v>433</v>
      </c>
      <c r="CL1107" s="1" t="s">
        <v>209</v>
      </c>
      <c r="CM1107" s="1" t="s">
        <v>210</v>
      </c>
      <c r="CN1107" s="1" t="s">
        <v>1549</v>
      </c>
      <c r="CO1107" s="1" t="s">
        <v>363</v>
      </c>
      <c r="CP1107" s="1" t="s">
        <v>209</v>
      </c>
      <c r="CQ1107" s="1" t="s">
        <v>210</v>
      </c>
      <c r="CR1107" s="1" t="s">
        <v>1118</v>
      </c>
      <c r="CS1107" s="1" t="s">
        <v>1138</v>
      </c>
      <c r="CT1107" s="1" t="s">
        <v>206</v>
      </c>
      <c r="CU1107" s="1" t="s">
        <v>207</v>
      </c>
      <c r="CV1107" s="1" t="s">
        <v>229</v>
      </c>
      <c r="CW1107" s="1" t="s">
        <v>515</v>
      </c>
      <c r="CX1107" s="1" t="s">
        <v>206</v>
      </c>
      <c r="CY1107" s="1" t="s">
        <v>210</v>
      </c>
      <c r="CZ1107" s="1" t="s">
        <v>229</v>
      </c>
      <c r="DA1107" s="1" t="s">
        <v>200</v>
      </c>
      <c r="DC1107" s="1" t="s">
        <v>335</v>
      </c>
      <c r="DD1107" s="1" t="s">
        <v>396</v>
      </c>
      <c r="DE1107" s="1" t="s">
        <v>273</v>
      </c>
      <c r="DF1107" s="1" t="s">
        <v>219</v>
      </c>
      <c r="DG1107" s="1" t="s">
        <v>2747</v>
      </c>
      <c r="DH1107" s="1" t="s">
        <v>220</v>
      </c>
      <c r="DI1107" s="1" t="s">
        <v>732</v>
      </c>
      <c r="DJ1107" s="1" t="s">
        <v>222</v>
      </c>
      <c r="DL1107" s="1" t="s">
        <v>223</v>
      </c>
      <c r="DM1107" s="1" t="s">
        <v>338</v>
      </c>
      <c r="DN1107" s="1" t="s">
        <v>399</v>
      </c>
      <c r="DO1107" s="1" t="s">
        <v>440</v>
      </c>
      <c r="DP1107" s="1" t="s">
        <v>340</v>
      </c>
      <c r="DQ1107" s="1" t="s">
        <v>441</v>
      </c>
      <c r="DR1107" s="1" t="s">
        <v>229</v>
      </c>
      <c r="DS1107" s="1" t="s">
        <v>368</v>
      </c>
      <c r="DU1107" s="1" t="s">
        <v>12159</v>
      </c>
      <c r="DV1107" s="1" t="s">
        <v>232</v>
      </c>
      <c r="DW1107" s="1" t="s">
        <v>12160</v>
      </c>
      <c r="DX1107" s="1" t="s">
        <v>234</v>
      </c>
      <c r="DY1107" s="1" t="s">
        <v>1051</v>
      </c>
      <c r="DZ1107" s="1" t="s">
        <v>766</v>
      </c>
      <c r="EA1107" s="1" t="s">
        <v>344</v>
      </c>
      <c r="EB1107" s="1" t="s">
        <v>492</v>
      </c>
      <c r="EC1107" s="1" t="s">
        <v>237</v>
      </c>
      <c r="ED1107" s="1" t="s">
        <v>407</v>
      </c>
      <c r="EE1107" s="1" t="s">
        <v>522</v>
      </c>
      <c r="EM1107" s="1" t="s">
        <v>238</v>
      </c>
      <c r="EQ1107" s="1" t="s">
        <v>238</v>
      </c>
      <c r="EU1107" s="1" t="s">
        <v>238</v>
      </c>
      <c r="EY1107" s="1" t="s">
        <v>238</v>
      </c>
      <c r="FC1107" s="1" t="s">
        <v>238</v>
      </c>
      <c r="FF1107" s="1" t="s">
        <v>239</v>
      </c>
      <c r="FG1107" s="1" t="s">
        <v>192</v>
      </c>
      <c r="FH1107" s="1" t="s">
        <v>192</v>
      </c>
      <c r="FJ1107" s="1" t="s">
        <v>524</v>
      </c>
      <c r="FK1107" s="1" t="s">
        <v>229</v>
      </c>
      <c r="FL1107" s="1" t="s">
        <v>1212</v>
      </c>
      <c r="FM1107" s="1">
        <v>30.0</v>
      </c>
      <c r="FN1107" s="1" t="s">
        <v>1213</v>
      </c>
      <c r="FO1107" s="1" t="s">
        <v>1214</v>
      </c>
      <c r="FP1107" s="1">
        <v>329.0</v>
      </c>
      <c r="FQ1107" s="1" t="s">
        <v>1215</v>
      </c>
      <c r="FU1107" s="1" t="s">
        <v>12161</v>
      </c>
      <c r="FV1107" s="1" t="s">
        <v>200</v>
      </c>
      <c r="FW1107" s="1" t="s">
        <v>290</v>
      </c>
      <c r="FZ1107" s="1" t="s">
        <v>229</v>
      </c>
      <c r="GA1107" s="1" t="s">
        <v>291</v>
      </c>
      <c r="GB1107" s="2">
        <v>42110.0</v>
      </c>
      <c r="GC1107" s="1" t="s">
        <v>12162</v>
      </c>
    </row>
    <row r="1108">
      <c r="A1108" s="1">
        <v>284000.0</v>
      </c>
      <c r="B1108" s="1" t="s">
        <v>185</v>
      </c>
      <c r="C1108" s="1" t="str">
        <f>"08838046"</f>
        <v>08838046</v>
      </c>
      <c r="D1108" s="1" t="s">
        <v>186</v>
      </c>
      <c r="F1108" s="1" t="str">
        <f>"543"</f>
        <v>543</v>
      </c>
      <c r="G1108" s="2">
        <v>42048.0</v>
      </c>
      <c r="H1108" s="1">
        <v>300000.0</v>
      </c>
      <c r="I1108" s="1">
        <v>280.0</v>
      </c>
      <c r="J1108" s="1">
        <v>300000.0</v>
      </c>
      <c r="K1108" s="2">
        <v>42076.0</v>
      </c>
      <c r="L1108" s="1">
        <v>29.0</v>
      </c>
      <c r="M1108" s="2">
        <v>42076.0</v>
      </c>
      <c r="N1108" s="1" t="s">
        <v>356</v>
      </c>
      <c r="O1108" s="2">
        <v>42139.0</v>
      </c>
      <c r="P1108" s="1">
        <v>878645.0</v>
      </c>
      <c r="Q1108" s="1">
        <v>84818.0</v>
      </c>
      <c r="S1108" s="1">
        <v>195.0</v>
      </c>
      <c r="T1108" s="1" t="s">
        <v>12163</v>
      </c>
      <c r="U1108" s="1" t="s">
        <v>844</v>
      </c>
      <c r="V1108" s="1" t="s">
        <v>1527</v>
      </c>
      <c r="W1108" s="1">
        <v>60543.0</v>
      </c>
      <c r="Y1108" s="1" t="s">
        <v>12164</v>
      </c>
      <c r="Z1108" s="1">
        <v>2010.0</v>
      </c>
      <c r="AA1108" s="1" t="s">
        <v>200</v>
      </c>
      <c r="AB1108" s="1" t="s">
        <v>467</v>
      </c>
      <c r="AC1108" s="1" t="s">
        <v>12165</v>
      </c>
      <c r="AD1108" s="1" t="s">
        <v>1529</v>
      </c>
      <c r="AE1108" s="1" t="s">
        <v>849</v>
      </c>
      <c r="AF1108" s="1" t="s">
        <v>1529</v>
      </c>
      <c r="AG1108" s="1" t="s">
        <v>12166</v>
      </c>
      <c r="AH1108" s="1" t="s">
        <v>12167</v>
      </c>
      <c r="AK1108" s="1">
        <v>10.0</v>
      </c>
      <c r="AL1108" s="1">
        <v>4.0</v>
      </c>
      <c r="AM1108" s="1">
        <v>2.0</v>
      </c>
      <c r="AN1108" s="1">
        <v>1.0</v>
      </c>
      <c r="AO1108" s="1" t="s">
        <v>198</v>
      </c>
      <c r="AP1108" s="1">
        <v>0.0</v>
      </c>
      <c r="AQ1108" s="1" t="s">
        <v>198</v>
      </c>
      <c r="AR1108" s="1" t="s">
        <v>200</v>
      </c>
      <c r="AS1108" s="1" t="s">
        <v>199</v>
      </c>
      <c r="AT1108" s="1">
        <v>3.0</v>
      </c>
      <c r="AV1108" s="1" t="s">
        <v>200</v>
      </c>
      <c r="AW1108" s="1">
        <v>8923.0</v>
      </c>
      <c r="AX1108" s="1">
        <v>2013.0</v>
      </c>
      <c r="AY1108" s="1" t="s">
        <v>387</v>
      </c>
      <c r="AZ1108" s="1" t="s">
        <v>200</v>
      </c>
      <c r="BA1108" s="1" t="str">
        <f>"0312353022"</f>
        <v>0312353022</v>
      </c>
      <c r="BC1108" s="1">
        <v>2314.0</v>
      </c>
      <c r="BD1108" s="1">
        <v>284000.0</v>
      </c>
      <c r="BE1108" s="2">
        <v>42048.0</v>
      </c>
      <c r="BF1108" s="2" t="s">
        <v>12168</v>
      </c>
      <c r="BG1108" s="1" t="s">
        <v>2544</v>
      </c>
      <c r="BH1108" s="1">
        <v>412.0</v>
      </c>
      <c r="BJ1108" s="1" t="s">
        <v>2546</v>
      </c>
      <c r="BK1108" s="1" t="s">
        <v>580</v>
      </c>
      <c r="BL1108" s="1" t="str">
        <f t="shared" ref="BL1108:BM1108" si="742">""</f>
        <v/>
      </c>
      <c r="BM1108" s="1" t="str">
        <f t="shared" si="742"/>
        <v/>
      </c>
      <c r="BQ1108" s="1">
        <v>308.0</v>
      </c>
      <c r="BR1108" s="1">
        <v>308.0</v>
      </c>
      <c r="BS1108" s="1">
        <v>308.0</v>
      </c>
      <c r="BU1108" s="1" t="s">
        <v>495</v>
      </c>
      <c r="BV1108" s="1" t="s">
        <v>206</v>
      </c>
      <c r="BW1108" s="1" t="s">
        <v>210</v>
      </c>
      <c r="BX1108" s="1" t="s">
        <v>431</v>
      </c>
      <c r="BY1108" s="1" t="s">
        <v>1483</v>
      </c>
      <c r="BZ1108" s="1" t="s">
        <v>209</v>
      </c>
      <c r="CA1108" s="1" t="s">
        <v>210</v>
      </c>
      <c r="CB1108" s="1" t="s">
        <v>431</v>
      </c>
      <c r="CC1108" s="1" t="s">
        <v>495</v>
      </c>
      <c r="CD1108" s="1" t="s">
        <v>206</v>
      </c>
      <c r="CE1108" s="1" t="s">
        <v>210</v>
      </c>
      <c r="CF1108" s="1" t="s">
        <v>431</v>
      </c>
      <c r="CG1108" s="1" t="s">
        <v>699</v>
      </c>
      <c r="CH1108" s="1" t="s">
        <v>209</v>
      </c>
      <c r="CI1108" s="1" t="s">
        <v>210</v>
      </c>
      <c r="CJ1108" s="1" t="s">
        <v>431</v>
      </c>
      <c r="CK1108" s="1" t="s">
        <v>212</v>
      </c>
      <c r="CL1108" s="1" t="s">
        <v>209</v>
      </c>
      <c r="CM1108" s="1" t="s">
        <v>210</v>
      </c>
      <c r="CN1108" s="1" t="s">
        <v>431</v>
      </c>
      <c r="CO1108" s="1" t="s">
        <v>264</v>
      </c>
      <c r="CP1108" s="1" t="s">
        <v>209</v>
      </c>
      <c r="CQ1108" s="1" t="s">
        <v>210</v>
      </c>
      <c r="CR1108" s="1" t="s">
        <v>431</v>
      </c>
      <c r="CS1108" s="1" t="s">
        <v>264</v>
      </c>
      <c r="CT1108" s="1" t="s">
        <v>206</v>
      </c>
      <c r="CU1108" s="1" t="s">
        <v>207</v>
      </c>
      <c r="CV1108" s="1" t="s">
        <v>431</v>
      </c>
      <c r="CW1108" s="1" t="s">
        <v>782</v>
      </c>
      <c r="CX1108" s="1" t="s">
        <v>206</v>
      </c>
      <c r="CY1108" s="1" t="s">
        <v>207</v>
      </c>
      <c r="CZ1108" s="1" t="s">
        <v>431</v>
      </c>
      <c r="DA1108" s="1" t="s">
        <v>200</v>
      </c>
      <c r="DC1108" s="1" t="s">
        <v>1046</v>
      </c>
      <c r="DD1108" s="1" t="s">
        <v>336</v>
      </c>
      <c r="DE1108" s="1" t="s">
        <v>273</v>
      </c>
      <c r="DF1108" s="1" t="s">
        <v>219</v>
      </c>
      <c r="DG1108" s="1" t="s">
        <v>5528</v>
      </c>
      <c r="DH1108" s="1" t="s">
        <v>220</v>
      </c>
      <c r="DI1108" s="1" t="s">
        <v>703</v>
      </c>
      <c r="DJ1108" s="1" t="s">
        <v>222</v>
      </c>
      <c r="DK1108" s="1" t="s">
        <v>198</v>
      </c>
      <c r="DL1108" s="1" t="s">
        <v>484</v>
      </c>
      <c r="DM1108" s="1" t="s">
        <v>338</v>
      </c>
      <c r="DN1108" s="1" t="s">
        <v>485</v>
      </c>
      <c r="DO1108" s="1" t="s">
        <v>12169</v>
      </c>
      <c r="DP1108" s="1" t="s">
        <v>276</v>
      </c>
      <c r="DQ1108" s="1" t="s">
        <v>228</v>
      </c>
      <c r="DR1108" s="1" t="s">
        <v>588</v>
      </c>
      <c r="DS1108" s="1" t="s">
        <v>230</v>
      </c>
      <c r="DU1108" s="1" t="s">
        <v>1049</v>
      </c>
      <c r="DV1108" s="1" t="s">
        <v>7747</v>
      </c>
      <c r="DW1108" s="1" t="s">
        <v>444</v>
      </c>
      <c r="DX1108" s="1" t="s">
        <v>234</v>
      </c>
      <c r="DY1108" s="1" t="s">
        <v>490</v>
      </c>
      <c r="DZ1108" s="1" t="s">
        <v>1146</v>
      </c>
      <c r="EA1108" s="1" t="s">
        <v>1027</v>
      </c>
      <c r="EC1108" s="1" t="s">
        <v>237</v>
      </c>
      <c r="ED1108" s="1" t="s">
        <v>407</v>
      </c>
      <c r="EE1108" s="1" t="s">
        <v>493</v>
      </c>
      <c r="EG1108" s="1" t="s">
        <v>449</v>
      </c>
      <c r="EH1108" s="1" t="s">
        <v>494</v>
      </c>
      <c r="EI1108" s="1" t="s">
        <v>408</v>
      </c>
      <c r="EL1108" s="1" t="s">
        <v>3805</v>
      </c>
      <c r="EM1108" s="1" t="s">
        <v>206</v>
      </c>
      <c r="EN1108" s="1" t="s">
        <v>207</v>
      </c>
      <c r="EO1108" s="1" t="s">
        <v>431</v>
      </c>
      <c r="EP1108" s="1" t="s">
        <v>1352</v>
      </c>
      <c r="EQ1108" s="1" t="s">
        <v>206</v>
      </c>
      <c r="ER1108" s="1" t="s">
        <v>210</v>
      </c>
      <c r="ES1108" s="1" t="s">
        <v>431</v>
      </c>
      <c r="ET1108" s="1" t="s">
        <v>768</v>
      </c>
      <c r="EU1108" s="1" t="s">
        <v>206</v>
      </c>
      <c r="EV1108" s="1" t="s">
        <v>207</v>
      </c>
      <c r="EY1108" s="1" t="s">
        <v>238</v>
      </c>
      <c r="FC1108" s="1" t="s">
        <v>238</v>
      </c>
      <c r="FF1108" s="1" t="s">
        <v>239</v>
      </c>
      <c r="FG1108" s="1" t="s">
        <v>200</v>
      </c>
      <c r="FH1108" s="1" t="s">
        <v>192</v>
      </c>
      <c r="FJ1108" s="1" t="s">
        <v>498</v>
      </c>
      <c r="FK1108" s="1" t="s">
        <v>229</v>
      </c>
      <c r="FL1108" s="1" t="s">
        <v>4369</v>
      </c>
      <c r="FM1108" s="1">
        <v>23120.0</v>
      </c>
      <c r="FN1108" s="1" t="s">
        <v>4370</v>
      </c>
      <c r="FO1108" s="1" t="s">
        <v>12170</v>
      </c>
      <c r="FP1108" s="1">
        <v>243806.0</v>
      </c>
      <c r="FU1108" s="1" t="s">
        <v>12171</v>
      </c>
      <c r="FV1108" s="1" t="s">
        <v>200</v>
      </c>
      <c r="FW1108" s="1" t="s">
        <v>12172</v>
      </c>
      <c r="FZ1108" s="1" t="s">
        <v>229</v>
      </c>
      <c r="GA1108" s="1" t="s">
        <v>291</v>
      </c>
      <c r="GB1108" s="2">
        <v>42139.0</v>
      </c>
    </row>
    <row r="1109">
      <c r="A1109" s="1">
        <v>660000.0</v>
      </c>
      <c r="B1109" s="1" t="s">
        <v>185</v>
      </c>
      <c r="C1109" s="1" t="str">
        <f>"08840244"</f>
        <v>08840244</v>
      </c>
      <c r="D1109" s="1" t="s">
        <v>186</v>
      </c>
      <c r="F1109" s="1" t="str">
        <f>"174"</f>
        <v>174</v>
      </c>
      <c r="G1109" s="2">
        <v>42052.0</v>
      </c>
      <c r="H1109" s="1">
        <v>675000.0</v>
      </c>
      <c r="I1109" s="1">
        <v>20.0</v>
      </c>
      <c r="J1109" s="1">
        <v>675000.0</v>
      </c>
      <c r="K1109" s="2">
        <v>42071.0</v>
      </c>
      <c r="L1109" s="1">
        <v>20.0</v>
      </c>
      <c r="M1109" s="2">
        <v>42071.0</v>
      </c>
      <c r="N1109" s="1" t="s">
        <v>187</v>
      </c>
      <c r="O1109" s="2">
        <v>42118.0</v>
      </c>
      <c r="P1109" s="1">
        <v>230500.0</v>
      </c>
      <c r="Q1109" s="1">
        <v>23591.0</v>
      </c>
      <c r="S1109" s="1" t="s">
        <v>12173</v>
      </c>
      <c r="T1109" s="1" t="s">
        <v>12174</v>
      </c>
      <c r="U1109" s="1" t="s">
        <v>569</v>
      </c>
      <c r="V1109" s="1" t="s">
        <v>1200</v>
      </c>
      <c r="W1109" s="1">
        <v>60175.0</v>
      </c>
      <c r="Y1109" s="1" t="s">
        <v>12175</v>
      </c>
      <c r="Z1109" s="1">
        <v>2008.0</v>
      </c>
      <c r="AA1109" s="1" t="s">
        <v>200</v>
      </c>
      <c r="AB1109" s="1" t="s">
        <v>467</v>
      </c>
      <c r="AC1109" s="1" t="s">
        <v>12174</v>
      </c>
      <c r="AD1109" s="1" t="s">
        <v>3766</v>
      </c>
      <c r="AE1109" s="1" t="s">
        <v>325</v>
      </c>
      <c r="AF1109" s="1" t="s">
        <v>1632</v>
      </c>
      <c r="AH1109" s="1" t="s">
        <v>12176</v>
      </c>
      <c r="AI1109" s="1">
        <v>0.37</v>
      </c>
      <c r="AK1109" s="1">
        <v>11.0</v>
      </c>
      <c r="AL1109" s="1">
        <v>4.0</v>
      </c>
      <c r="AM1109" s="1">
        <v>4.0</v>
      </c>
      <c r="AN1109" s="1">
        <v>1.0</v>
      </c>
      <c r="AO1109" s="1" t="s">
        <v>198</v>
      </c>
      <c r="AP1109" s="1">
        <v>1.0</v>
      </c>
      <c r="AQ1109" s="1" t="s">
        <v>198</v>
      </c>
      <c r="AR1109" s="1" t="s">
        <v>192</v>
      </c>
      <c r="AS1109" s="1" t="s">
        <v>199</v>
      </c>
      <c r="AT1109" s="1">
        <v>3.0</v>
      </c>
      <c r="AV1109" s="1" t="s">
        <v>192</v>
      </c>
      <c r="AW1109" s="1">
        <v>16490.0</v>
      </c>
      <c r="AX1109" s="1">
        <v>2013.0</v>
      </c>
      <c r="AY1109" s="1" t="s">
        <v>387</v>
      </c>
      <c r="AZ1109" s="1" t="s">
        <v>200</v>
      </c>
      <c r="BA1109" s="1" t="str">
        <f>"0823182008"</f>
        <v>0823182008</v>
      </c>
      <c r="BC1109" s="1">
        <v>3831.0</v>
      </c>
      <c r="BD1109" s="1">
        <v>660000.0</v>
      </c>
      <c r="BE1109" s="2">
        <v>42052.0</v>
      </c>
      <c r="BF1109" s="2" t="s">
        <v>12177</v>
      </c>
      <c r="BG1109" s="1" t="s">
        <v>2198</v>
      </c>
      <c r="BH1109" s="1">
        <v>650.0</v>
      </c>
      <c r="BI1109" s="1" t="s">
        <v>2199</v>
      </c>
      <c r="BJ1109" s="1" t="s">
        <v>2200</v>
      </c>
      <c r="BK1109" s="1" t="s">
        <v>580</v>
      </c>
      <c r="BL1109" s="1" t="str">
        <f t="shared" ref="BL1109:BM1109" si="743">""</f>
        <v/>
      </c>
      <c r="BM1109" s="1" t="str">
        <f t="shared" si="743"/>
        <v/>
      </c>
      <c r="BQ1109" s="1">
        <v>303.0</v>
      </c>
      <c r="BR1109" s="1">
        <v>303.0</v>
      </c>
      <c r="BS1109" s="1">
        <v>303.0</v>
      </c>
      <c r="BU1109" s="1" t="s">
        <v>433</v>
      </c>
      <c r="BV1109" s="1" t="s">
        <v>206</v>
      </c>
      <c r="BW1109" s="1" t="s">
        <v>210</v>
      </c>
      <c r="BY1109" s="1" t="s">
        <v>4469</v>
      </c>
      <c r="BZ1109" s="1" t="s">
        <v>209</v>
      </c>
      <c r="CA1109" s="1" t="s">
        <v>210</v>
      </c>
      <c r="CC1109" s="1" t="s">
        <v>390</v>
      </c>
      <c r="CD1109" s="1" t="s">
        <v>206</v>
      </c>
      <c r="CE1109" s="1" t="s">
        <v>207</v>
      </c>
      <c r="CG1109" s="1" t="s">
        <v>331</v>
      </c>
      <c r="CH1109" s="1" t="s">
        <v>209</v>
      </c>
      <c r="CI1109" s="1" t="s">
        <v>210</v>
      </c>
      <c r="CK1109" s="1" t="s">
        <v>215</v>
      </c>
      <c r="CL1109" s="1" t="s">
        <v>209</v>
      </c>
      <c r="CM1109" s="1" t="s">
        <v>210</v>
      </c>
      <c r="CO1109" s="1" t="s">
        <v>329</v>
      </c>
      <c r="CP1109" s="1" t="s">
        <v>209</v>
      </c>
      <c r="CQ1109" s="1" t="s">
        <v>210</v>
      </c>
      <c r="CS1109" s="1" t="s">
        <v>346</v>
      </c>
      <c r="CT1109" s="1" t="s">
        <v>206</v>
      </c>
      <c r="CU1109" s="1" t="s">
        <v>207</v>
      </c>
      <c r="CW1109" s="1" t="s">
        <v>479</v>
      </c>
      <c r="CX1109" s="1" t="s">
        <v>206</v>
      </c>
      <c r="CY1109" s="1" t="s">
        <v>210</v>
      </c>
      <c r="DA1109" s="1" t="s">
        <v>200</v>
      </c>
      <c r="DC1109" s="1" t="s">
        <v>481</v>
      </c>
      <c r="DD1109" s="1" t="s">
        <v>1838</v>
      </c>
      <c r="DE1109" s="1" t="s">
        <v>218</v>
      </c>
      <c r="DF1109" s="1" t="s">
        <v>745</v>
      </c>
      <c r="DG1109" s="1" t="s">
        <v>3020</v>
      </c>
      <c r="DH1109" s="1" t="s">
        <v>220</v>
      </c>
      <c r="DI1109" s="1" t="s">
        <v>12178</v>
      </c>
      <c r="DJ1109" s="1" t="s">
        <v>222</v>
      </c>
      <c r="DL1109" s="1" t="s">
        <v>224</v>
      </c>
      <c r="DM1109" s="1" t="s">
        <v>338</v>
      </c>
      <c r="DN1109" s="1" t="s">
        <v>1721</v>
      </c>
      <c r="DO1109" s="1" t="s">
        <v>2221</v>
      </c>
      <c r="DP1109" s="1" t="s">
        <v>340</v>
      </c>
      <c r="DQ1109" s="1" t="s">
        <v>441</v>
      </c>
      <c r="DR1109" s="1" t="s">
        <v>1487</v>
      </c>
      <c r="DS1109" s="1" t="s">
        <v>368</v>
      </c>
      <c r="DU1109" s="1" t="s">
        <v>12179</v>
      </c>
      <c r="DV1109" s="1" t="s">
        <v>12180</v>
      </c>
      <c r="DW1109" s="1" t="s">
        <v>1957</v>
      </c>
      <c r="DX1109" s="1" t="s">
        <v>234</v>
      </c>
      <c r="DY1109" s="1" t="s">
        <v>5228</v>
      </c>
      <c r="DZ1109" s="1" t="s">
        <v>282</v>
      </c>
      <c r="EA1109" s="1" t="s">
        <v>344</v>
      </c>
      <c r="EB1109" s="1" t="s">
        <v>684</v>
      </c>
      <c r="EC1109" s="1" t="s">
        <v>237</v>
      </c>
      <c r="ED1109" s="1" t="s">
        <v>407</v>
      </c>
      <c r="EG1109" s="1" t="s">
        <v>494</v>
      </c>
      <c r="EH1109" s="1" t="s">
        <v>450</v>
      </c>
      <c r="EI1109" s="1" t="s">
        <v>1729</v>
      </c>
      <c r="EL1109" s="1" t="s">
        <v>582</v>
      </c>
      <c r="EM1109" s="1" t="s">
        <v>206</v>
      </c>
      <c r="EN1109" s="1" t="s">
        <v>210</v>
      </c>
      <c r="EP1109" s="1" t="s">
        <v>4752</v>
      </c>
      <c r="EQ1109" s="1" t="s">
        <v>42</v>
      </c>
      <c r="ER1109" s="1" t="s">
        <v>210</v>
      </c>
      <c r="ET1109" s="1" t="s">
        <v>363</v>
      </c>
      <c r="EU1109" s="1" t="s">
        <v>206</v>
      </c>
      <c r="EV1109" s="1" t="s">
        <v>207</v>
      </c>
      <c r="EY1109" s="1" t="s">
        <v>238</v>
      </c>
      <c r="FC1109" s="1" t="s">
        <v>238</v>
      </c>
      <c r="FF1109" s="1" t="s">
        <v>239</v>
      </c>
      <c r="FG1109" s="1" t="s">
        <v>192</v>
      </c>
      <c r="FH1109" s="1" t="s">
        <v>192</v>
      </c>
      <c r="FJ1109" s="1" t="s">
        <v>2206</v>
      </c>
      <c r="FK1109" s="1" t="s">
        <v>229</v>
      </c>
      <c r="FL1109" s="1" t="s">
        <v>893</v>
      </c>
      <c r="FM1109" s="1">
        <v>604.0</v>
      </c>
      <c r="FN1109" s="1" t="s">
        <v>894</v>
      </c>
      <c r="FO1109" s="1" t="s">
        <v>2207</v>
      </c>
      <c r="FP1109" s="1">
        <v>681.0</v>
      </c>
      <c r="FQ1109" s="1" t="s">
        <v>2208</v>
      </c>
      <c r="FR1109" s="1">
        <v>824.0</v>
      </c>
      <c r="FS1109" s="1" t="s">
        <v>2209</v>
      </c>
      <c r="FU1109" s="1" t="s">
        <v>2210</v>
      </c>
      <c r="FV1109" s="1" t="s">
        <v>200</v>
      </c>
      <c r="FW1109" s="1" t="s">
        <v>530</v>
      </c>
      <c r="FZ1109" s="1" t="s">
        <v>229</v>
      </c>
      <c r="GA1109" s="1" t="s">
        <v>291</v>
      </c>
      <c r="GB1109" s="2">
        <v>42118.0</v>
      </c>
    </row>
    <row r="1110">
      <c r="A1110" s="1">
        <v>53000.0</v>
      </c>
      <c r="B1110" s="1" t="s">
        <v>185</v>
      </c>
      <c r="C1110" s="1" t="str">
        <f>"08837987"</f>
        <v>08837987</v>
      </c>
      <c r="D1110" s="1" t="s">
        <v>186</v>
      </c>
      <c r="F1110" s="1" t="str">
        <f>"8053"</f>
        <v>8053</v>
      </c>
      <c r="G1110" s="2">
        <v>42048.0</v>
      </c>
      <c r="H1110" s="1">
        <v>59000.0</v>
      </c>
      <c r="I1110" s="1">
        <v>73.0</v>
      </c>
      <c r="J1110" s="1">
        <v>59900.0</v>
      </c>
      <c r="K1110" s="2">
        <v>42070.0</v>
      </c>
      <c r="L1110" s="1">
        <v>25.0</v>
      </c>
      <c r="M1110" s="2">
        <v>42070.0</v>
      </c>
      <c r="N1110" s="1" t="s">
        <v>249</v>
      </c>
      <c r="O1110" s="2">
        <v>42102.0</v>
      </c>
      <c r="P1110" s="1">
        <v>606919.0</v>
      </c>
      <c r="Q1110" s="1">
        <v>61092.0</v>
      </c>
      <c r="S1110" s="1">
        <v>11536.0</v>
      </c>
      <c r="T1110" s="1" t="s">
        <v>6320</v>
      </c>
      <c r="U1110" s="1" t="s">
        <v>320</v>
      </c>
      <c r="V1110" s="1" t="s">
        <v>190</v>
      </c>
      <c r="W1110" s="1">
        <v>60643.0</v>
      </c>
      <c r="Y1110" s="1" t="s">
        <v>12181</v>
      </c>
      <c r="Z1110" s="1">
        <v>1964.0</v>
      </c>
      <c r="AA1110" s="1" t="s">
        <v>192</v>
      </c>
      <c r="AB1110" s="1" t="s">
        <v>193</v>
      </c>
      <c r="AD1110" s="1" t="s">
        <v>194</v>
      </c>
      <c r="AE1110" s="1" t="s">
        <v>195</v>
      </c>
      <c r="AF1110" s="1" t="s">
        <v>659</v>
      </c>
      <c r="AH1110" s="1" t="s">
        <v>12182</v>
      </c>
      <c r="AI1110" s="1">
        <v>0.0861</v>
      </c>
      <c r="AK1110" s="1">
        <v>8.0</v>
      </c>
      <c r="AL1110" s="1">
        <v>3.0</v>
      </c>
      <c r="AM1110" s="1">
        <v>1.0</v>
      </c>
      <c r="AN1110" s="1">
        <v>1.0</v>
      </c>
      <c r="AO1110" s="1" t="s">
        <v>229</v>
      </c>
      <c r="AQ1110" s="1" t="s">
        <v>198</v>
      </c>
      <c r="AR1110" s="1" t="s">
        <v>192</v>
      </c>
      <c r="AS1110" s="1" t="s">
        <v>199</v>
      </c>
      <c r="AT1110" s="1">
        <v>2.0</v>
      </c>
      <c r="AV1110" s="1" t="s">
        <v>200</v>
      </c>
      <c r="AW1110" s="1">
        <v>1485.95</v>
      </c>
      <c r="AX1110" s="1">
        <v>2013.0</v>
      </c>
      <c r="AY1110" s="1" t="s">
        <v>229</v>
      </c>
      <c r="AZ1110" s="1" t="s">
        <v>200</v>
      </c>
      <c r="BA1110" s="1" t="str">
        <f>"25204010330000"</f>
        <v>25204010330000</v>
      </c>
      <c r="BC1110" s="1">
        <v>946.0</v>
      </c>
      <c r="BD1110" s="1">
        <v>53000.0</v>
      </c>
      <c r="BE1110" s="2">
        <v>42046.0</v>
      </c>
      <c r="BF1110" s="2" t="s">
        <v>12183</v>
      </c>
      <c r="BH1110" s="1">
        <v>0.0</v>
      </c>
      <c r="BK1110" s="1" t="s">
        <v>204</v>
      </c>
      <c r="BL1110" s="1" t="str">
        <f t="shared" ref="BL1110:BM1110" si="744">"0"</f>
        <v>0</v>
      </c>
      <c r="BM1110" s="1" t="str">
        <f t="shared" si="744"/>
        <v>0</v>
      </c>
      <c r="BN1110" s="1">
        <v>1100.0</v>
      </c>
      <c r="BO1110" s="1">
        <v>11536.0</v>
      </c>
      <c r="BQ1110" s="1">
        <v>299.0</v>
      </c>
      <c r="BR1110" s="1">
        <v>299.0</v>
      </c>
      <c r="BS1110" s="1">
        <v>299.0</v>
      </c>
      <c r="BU1110" s="1" t="s">
        <v>664</v>
      </c>
      <c r="BV1110" s="1" t="s">
        <v>206</v>
      </c>
      <c r="BW1110" s="1" t="s">
        <v>207</v>
      </c>
      <c r="BX1110" s="1" t="s">
        <v>431</v>
      </c>
      <c r="BY1110" s="1" t="s">
        <v>647</v>
      </c>
      <c r="BZ1110" s="1" t="s">
        <v>206</v>
      </c>
      <c r="CA1110" s="1" t="s">
        <v>207</v>
      </c>
      <c r="CB1110" s="1" t="s">
        <v>431</v>
      </c>
      <c r="CC1110" s="1" t="s">
        <v>542</v>
      </c>
      <c r="CD1110" s="1" t="s">
        <v>206</v>
      </c>
      <c r="CG1110" s="1" t="s">
        <v>264</v>
      </c>
      <c r="CH1110" s="1" t="s">
        <v>206</v>
      </c>
      <c r="CI1110" s="1" t="s">
        <v>207</v>
      </c>
      <c r="CJ1110" s="1" t="s">
        <v>431</v>
      </c>
      <c r="CK1110" s="1" t="s">
        <v>495</v>
      </c>
      <c r="CL1110" s="1" t="s">
        <v>206</v>
      </c>
      <c r="CM1110" s="1" t="s">
        <v>207</v>
      </c>
      <c r="CN1110" s="1" t="s">
        <v>431</v>
      </c>
      <c r="CO1110" s="1" t="s">
        <v>454</v>
      </c>
      <c r="CP1110" s="1" t="s">
        <v>42</v>
      </c>
      <c r="CS1110" s="1" t="s">
        <v>5640</v>
      </c>
      <c r="CT1110" s="1" t="s">
        <v>206</v>
      </c>
      <c r="CU1110" s="1" t="s">
        <v>617</v>
      </c>
      <c r="CW1110" s="1" t="s">
        <v>924</v>
      </c>
      <c r="CX1110" s="1" t="s">
        <v>42</v>
      </c>
      <c r="DA1110" s="1" t="s">
        <v>200</v>
      </c>
      <c r="DC1110" s="1" t="s">
        <v>271</v>
      </c>
      <c r="DD1110" s="1" t="s">
        <v>306</v>
      </c>
      <c r="DE1110" s="1" t="s">
        <v>273</v>
      </c>
      <c r="DF1110" s="1" t="s">
        <v>219</v>
      </c>
      <c r="DH1110" s="1" t="s">
        <v>220</v>
      </c>
      <c r="DI1110" s="1" t="s">
        <v>2096</v>
      </c>
      <c r="DJ1110" s="1" t="s">
        <v>222</v>
      </c>
      <c r="DL1110" s="1" t="s">
        <v>858</v>
      </c>
      <c r="DM1110" s="1" t="s">
        <v>1143</v>
      </c>
      <c r="DO1110" s="1" t="s">
        <v>549</v>
      </c>
      <c r="DQ1110" s="1" t="s">
        <v>718</v>
      </c>
      <c r="DR1110" s="1" t="s">
        <v>229</v>
      </c>
      <c r="DS1110" s="1" t="s">
        <v>277</v>
      </c>
      <c r="DU1110" s="1" t="s">
        <v>10037</v>
      </c>
      <c r="DV1110" s="1" t="s">
        <v>232</v>
      </c>
      <c r="DW1110" s="1" t="s">
        <v>279</v>
      </c>
      <c r="DX1110" s="1" t="s">
        <v>234</v>
      </c>
      <c r="DY1110" s="1" t="s">
        <v>704</v>
      </c>
      <c r="DZ1110" s="1" t="s">
        <v>282</v>
      </c>
      <c r="EC1110" s="1" t="s">
        <v>311</v>
      </c>
      <c r="EE1110" s="1" t="s">
        <v>493</v>
      </c>
      <c r="EM1110" s="1" t="s">
        <v>238</v>
      </c>
      <c r="EQ1110" s="1" t="s">
        <v>238</v>
      </c>
      <c r="EU1110" s="1" t="s">
        <v>238</v>
      </c>
      <c r="EY1110" s="1" t="s">
        <v>238</v>
      </c>
      <c r="FC1110" s="1" t="s">
        <v>238</v>
      </c>
      <c r="FF1110" s="1" t="s">
        <v>239</v>
      </c>
      <c r="FG1110" s="1" t="s">
        <v>192</v>
      </c>
      <c r="FH1110" s="1" t="s">
        <v>192</v>
      </c>
      <c r="FJ1110" s="1" t="s">
        <v>1280</v>
      </c>
      <c r="FK1110" s="1" t="s">
        <v>229</v>
      </c>
      <c r="FL1110" s="1" t="s">
        <v>5025</v>
      </c>
      <c r="FM1110" s="1">
        <v>51720.0</v>
      </c>
      <c r="FN1110" s="1" t="s">
        <v>5026</v>
      </c>
      <c r="FO1110" s="1" t="s">
        <v>12184</v>
      </c>
      <c r="FP1110" s="1">
        <v>244050.0</v>
      </c>
      <c r="FS1110" s="1" t="s">
        <v>12185</v>
      </c>
      <c r="FU1110" s="1" t="s">
        <v>12186</v>
      </c>
      <c r="FV1110" s="1" t="s">
        <v>200</v>
      </c>
      <c r="FW1110" s="1" t="s">
        <v>290</v>
      </c>
      <c r="FX1110" s="1" t="s">
        <v>655</v>
      </c>
      <c r="FZ1110" s="1" t="s">
        <v>229</v>
      </c>
      <c r="GA1110" s="1" t="s">
        <v>291</v>
      </c>
      <c r="GB1110" s="2">
        <v>42102.0</v>
      </c>
      <c r="GC1110" s="1" t="s">
        <v>12187</v>
      </c>
    </row>
    <row r="1111">
      <c r="A1111" s="1">
        <v>388000.0</v>
      </c>
      <c r="B1111" s="1" t="s">
        <v>185</v>
      </c>
      <c r="C1111" s="1" t="str">
        <f>"08841309"</f>
        <v>08841309</v>
      </c>
      <c r="D1111" s="1" t="s">
        <v>186</v>
      </c>
      <c r="F1111" s="1" t="str">
        <f>"8004"</f>
        <v>8004</v>
      </c>
      <c r="G1111" s="2">
        <v>42053.0</v>
      </c>
      <c r="H1111" s="1">
        <v>398900.0</v>
      </c>
      <c r="I1111" s="1">
        <v>6.0</v>
      </c>
      <c r="J1111" s="1">
        <v>398900.0</v>
      </c>
      <c r="K1111" s="2">
        <v>42058.0</v>
      </c>
      <c r="L1111" s="1">
        <v>6.0</v>
      </c>
      <c r="M1111" s="2">
        <v>42058.0</v>
      </c>
      <c r="N1111" s="1" t="s">
        <v>187</v>
      </c>
      <c r="O1111" s="2">
        <v>42104.0</v>
      </c>
      <c r="P1111" s="1">
        <v>238501.0</v>
      </c>
      <c r="Q1111" s="1">
        <v>24990.0</v>
      </c>
      <c r="S1111" s="1">
        <v>2607.0</v>
      </c>
      <c r="T1111" s="1" t="s">
        <v>12188</v>
      </c>
      <c r="U1111" s="1" t="s">
        <v>320</v>
      </c>
      <c r="V1111" s="1" t="s">
        <v>190</v>
      </c>
      <c r="W1111" s="1">
        <v>60625.0</v>
      </c>
      <c r="Y1111" s="1" t="s">
        <v>12189</v>
      </c>
      <c r="Z1111" s="1">
        <v>1957.0</v>
      </c>
      <c r="AA1111" s="1" t="s">
        <v>192</v>
      </c>
      <c r="AB1111" s="1" t="s">
        <v>193</v>
      </c>
      <c r="AD1111" s="1" t="s">
        <v>194</v>
      </c>
      <c r="AE1111" s="1" t="s">
        <v>195</v>
      </c>
      <c r="AF1111" s="1" t="s">
        <v>534</v>
      </c>
      <c r="AH1111" s="1" t="s">
        <v>1501</v>
      </c>
      <c r="AK1111" s="1">
        <v>9.0</v>
      </c>
      <c r="AL1111" s="1">
        <v>4.0</v>
      </c>
      <c r="AM1111" s="1">
        <v>3.0</v>
      </c>
      <c r="AN1111" s="1">
        <v>0.0</v>
      </c>
      <c r="AO1111" s="1" t="s">
        <v>198</v>
      </c>
      <c r="AQ1111" s="1" t="s">
        <v>1314</v>
      </c>
      <c r="AR1111" s="1" t="s">
        <v>200</v>
      </c>
      <c r="AS1111" s="1" t="s">
        <v>199</v>
      </c>
      <c r="AT1111" s="1">
        <v>2.0</v>
      </c>
      <c r="AV1111" s="1" t="s">
        <v>192</v>
      </c>
      <c r="AW1111" s="1">
        <v>1382.66</v>
      </c>
      <c r="AX1111" s="1">
        <v>2013.0</v>
      </c>
      <c r="AZ1111" s="1" t="s">
        <v>200</v>
      </c>
      <c r="BA1111" s="1" t="str">
        <f>"13122050170000"</f>
        <v>13122050170000</v>
      </c>
      <c r="BC1111" s="1">
        <v>1644.0</v>
      </c>
      <c r="BD1111" s="1">
        <v>388000.0</v>
      </c>
      <c r="BE1111" s="2">
        <v>42053.0</v>
      </c>
      <c r="BF1111" s="2" t="s">
        <v>12190</v>
      </c>
      <c r="BH1111" s="1">
        <v>0.0</v>
      </c>
      <c r="BK1111" s="1" t="s">
        <v>204</v>
      </c>
      <c r="BL1111" s="1" t="str">
        <f>"5530"</f>
        <v>5530</v>
      </c>
      <c r="BM1111" s="1" t="str">
        <f t="shared" ref="BM1111:BM1113" si="745">"0"</f>
        <v>0</v>
      </c>
      <c r="BN1111" s="1">
        <v>2609.0</v>
      </c>
      <c r="BO1111" s="1">
        <v>0.0</v>
      </c>
      <c r="BQ1111" s="1">
        <v>299.0</v>
      </c>
      <c r="BR1111" s="1">
        <v>299.0</v>
      </c>
      <c r="BS1111" s="1">
        <v>299.0</v>
      </c>
      <c r="BU1111" s="1" t="s">
        <v>1426</v>
      </c>
      <c r="BV1111" s="1" t="s">
        <v>206</v>
      </c>
      <c r="BW1111" s="1" t="s">
        <v>210</v>
      </c>
      <c r="BY1111" s="1" t="s">
        <v>392</v>
      </c>
      <c r="BZ1111" s="1" t="s">
        <v>209</v>
      </c>
      <c r="CA1111" s="1" t="s">
        <v>210</v>
      </c>
      <c r="CC1111" s="1" t="s">
        <v>699</v>
      </c>
      <c r="CD1111" s="1" t="s">
        <v>206</v>
      </c>
      <c r="CE1111" s="1" t="s">
        <v>210</v>
      </c>
      <c r="CG1111" s="1" t="s">
        <v>269</v>
      </c>
      <c r="CH1111" s="1" t="s">
        <v>209</v>
      </c>
      <c r="CI1111" s="1" t="s">
        <v>210</v>
      </c>
      <c r="CK1111" s="1" t="s">
        <v>269</v>
      </c>
      <c r="CL1111" s="1" t="s">
        <v>209</v>
      </c>
      <c r="CM1111" s="1" t="s">
        <v>210</v>
      </c>
      <c r="CO1111" s="1" t="s">
        <v>434</v>
      </c>
      <c r="CP1111" s="1" t="s">
        <v>206</v>
      </c>
      <c r="CQ1111" s="1" t="s">
        <v>210</v>
      </c>
      <c r="CS1111" s="1" t="s">
        <v>699</v>
      </c>
      <c r="CT1111" s="1" t="s">
        <v>206</v>
      </c>
      <c r="CU1111" s="1" t="s">
        <v>268</v>
      </c>
      <c r="CW1111" s="1" t="s">
        <v>1352</v>
      </c>
      <c r="CX1111" s="1" t="s">
        <v>42</v>
      </c>
      <c r="CY1111" s="1" t="s">
        <v>210</v>
      </c>
      <c r="DA1111" s="1" t="s">
        <v>200</v>
      </c>
      <c r="DC1111" s="1" t="s">
        <v>271</v>
      </c>
      <c r="DE1111" s="1" t="s">
        <v>273</v>
      </c>
      <c r="DF1111" s="1" t="s">
        <v>219</v>
      </c>
      <c r="DH1111" s="1" t="s">
        <v>220</v>
      </c>
      <c r="DI1111" s="1" t="s">
        <v>2257</v>
      </c>
      <c r="DJ1111" s="1" t="s">
        <v>222</v>
      </c>
      <c r="DL1111" s="1" t="s">
        <v>224</v>
      </c>
      <c r="DM1111" s="1" t="s">
        <v>229</v>
      </c>
      <c r="DP1111" s="1" t="s">
        <v>340</v>
      </c>
      <c r="DQ1111" s="1" t="s">
        <v>794</v>
      </c>
      <c r="DR1111" s="1" t="s">
        <v>229</v>
      </c>
      <c r="DV1111" s="1" t="s">
        <v>1467</v>
      </c>
      <c r="DW1111" s="1" t="s">
        <v>279</v>
      </c>
      <c r="DX1111" s="1" t="s">
        <v>234</v>
      </c>
      <c r="DY1111" s="1" t="s">
        <v>2240</v>
      </c>
      <c r="EC1111" s="1" t="s">
        <v>237</v>
      </c>
      <c r="EH1111" s="1" t="s">
        <v>1467</v>
      </c>
      <c r="EM1111" s="1" t="s">
        <v>238</v>
      </c>
      <c r="EP1111" s="1" t="s">
        <v>2460</v>
      </c>
      <c r="EQ1111" s="1" t="s">
        <v>42</v>
      </c>
      <c r="ER1111" s="1" t="s">
        <v>210</v>
      </c>
      <c r="EU1111" s="1" t="s">
        <v>238</v>
      </c>
      <c r="EY1111" s="1" t="s">
        <v>238</v>
      </c>
      <c r="FC1111" s="1" t="s">
        <v>238</v>
      </c>
      <c r="FF1111" s="1" t="s">
        <v>239</v>
      </c>
      <c r="FG1111" s="1" t="s">
        <v>192</v>
      </c>
      <c r="FH1111" s="1" t="s">
        <v>192</v>
      </c>
      <c r="FJ1111" s="1" t="s">
        <v>561</v>
      </c>
      <c r="FK1111" s="1" t="s">
        <v>229</v>
      </c>
      <c r="FL1111" s="1" t="s">
        <v>562</v>
      </c>
      <c r="FM1111" s="1">
        <v>14703.0</v>
      </c>
      <c r="FN1111" s="1" t="s">
        <v>2570</v>
      </c>
      <c r="FO1111" s="1" t="s">
        <v>12191</v>
      </c>
      <c r="FP1111" s="1">
        <v>189795.0</v>
      </c>
      <c r="FQ1111" s="1" t="s">
        <v>12192</v>
      </c>
      <c r="FR1111" s="1">
        <v>879141.0</v>
      </c>
      <c r="FU1111" s="1" t="s">
        <v>5430</v>
      </c>
      <c r="FV1111" s="1" t="s">
        <v>200</v>
      </c>
      <c r="FW1111" s="1" t="s">
        <v>290</v>
      </c>
      <c r="FX1111" s="1" t="s">
        <v>246</v>
      </c>
      <c r="FZ1111" s="1" t="s">
        <v>229</v>
      </c>
      <c r="GA1111" s="1" t="s">
        <v>291</v>
      </c>
      <c r="GB1111" s="2">
        <v>42104.0</v>
      </c>
      <c r="GC1111" s="1" t="s">
        <v>12193</v>
      </c>
    </row>
    <row r="1112">
      <c r="A1112" s="1">
        <v>105000.0</v>
      </c>
      <c r="B1112" s="1" t="s">
        <v>185</v>
      </c>
      <c r="C1112" s="1" t="str">
        <f>"08838371"</f>
        <v>08838371</v>
      </c>
      <c r="D1112" s="1" t="s">
        <v>186</v>
      </c>
      <c r="F1112" s="1" t="str">
        <f>"8023"</f>
        <v>8023</v>
      </c>
      <c r="G1112" s="2">
        <v>42048.0</v>
      </c>
      <c r="H1112" s="1">
        <v>115000.0</v>
      </c>
      <c r="I1112" s="1">
        <v>71.0</v>
      </c>
      <c r="J1112" s="1">
        <v>115000.0</v>
      </c>
      <c r="K1112" s="2">
        <v>42053.0</v>
      </c>
      <c r="L1112" s="1">
        <v>6.0</v>
      </c>
      <c r="M1112" s="2">
        <v>42053.0</v>
      </c>
      <c r="N1112" s="1" t="s">
        <v>187</v>
      </c>
      <c r="O1112" s="2">
        <v>42087.0</v>
      </c>
      <c r="P1112" s="1">
        <v>138140.0</v>
      </c>
      <c r="Q1112" s="1">
        <v>17299.0</v>
      </c>
      <c r="S1112" s="1">
        <v>432.0</v>
      </c>
      <c r="T1112" s="1" t="s">
        <v>7565</v>
      </c>
      <c r="U1112" s="1" t="s">
        <v>189</v>
      </c>
      <c r="V1112" s="1" t="s">
        <v>190</v>
      </c>
      <c r="W1112" s="1">
        <v>60624.0</v>
      </c>
      <c r="Y1112" s="1" t="s">
        <v>12194</v>
      </c>
      <c r="Z1112" s="1">
        <v>1905.0</v>
      </c>
      <c r="AA1112" s="1" t="s">
        <v>192</v>
      </c>
      <c r="AB1112" s="1" t="s">
        <v>193</v>
      </c>
      <c r="AD1112" s="1" t="s">
        <v>194</v>
      </c>
      <c r="AE1112" s="1" t="s">
        <v>195</v>
      </c>
      <c r="AF1112" s="1" t="s">
        <v>827</v>
      </c>
      <c r="AH1112" s="1" t="s">
        <v>2080</v>
      </c>
      <c r="AI1112" s="1">
        <v>0.063</v>
      </c>
      <c r="AK1112" s="1">
        <v>7.0</v>
      </c>
      <c r="AL1112" s="1">
        <v>4.0</v>
      </c>
      <c r="AM1112" s="1">
        <v>1.0</v>
      </c>
      <c r="AN1112" s="1">
        <v>1.0</v>
      </c>
      <c r="AO1112" s="1" t="s">
        <v>229</v>
      </c>
      <c r="AQ1112" s="1" t="s">
        <v>198</v>
      </c>
      <c r="AR1112" s="1" t="s">
        <v>200</v>
      </c>
      <c r="AS1112" s="1" t="s">
        <v>229</v>
      </c>
      <c r="AV1112" s="1" t="s">
        <v>200</v>
      </c>
      <c r="AW1112" s="1">
        <v>2945.83</v>
      </c>
      <c r="AX1112" s="1">
        <v>2013.0</v>
      </c>
      <c r="AY1112" s="1" t="s">
        <v>387</v>
      </c>
      <c r="AZ1112" s="1" t="s">
        <v>200</v>
      </c>
      <c r="BA1112" s="1" t="str">
        <f>"16111330040000"</f>
        <v>16111330040000</v>
      </c>
      <c r="BC1112" s="1">
        <v>1300.0</v>
      </c>
      <c r="BD1112" s="1">
        <v>105000.0</v>
      </c>
      <c r="BE1112" s="2">
        <v>42048.0</v>
      </c>
      <c r="BH1112" s="1">
        <v>0.0</v>
      </c>
      <c r="BK1112" s="1" t="s">
        <v>204</v>
      </c>
      <c r="BL1112" s="1" t="str">
        <f>"400"</f>
        <v>400</v>
      </c>
      <c r="BM1112" s="1" t="str">
        <f t="shared" si="745"/>
        <v>0</v>
      </c>
      <c r="BN1112" s="1">
        <v>3600.0</v>
      </c>
      <c r="BO1112" s="1">
        <v>0.0</v>
      </c>
      <c r="BQ1112" s="1">
        <v>299.0</v>
      </c>
      <c r="BR1112" s="1">
        <v>299.0</v>
      </c>
      <c r="BS1112" s="1">
        <v>299.0</v>
      </c>
      <c r="BU1112" s="1" t="s">
        <v>454</v>
      </c>
      <c r="BV1112" s="1" t="s">
        <v>206</v>
      </c>
      <c r="BY1112" s="1" t="s">
        <v>1483</v>
      </c>
      <c r="BZ1112" s="1" t="s">
        <v>209</v>
      </c>
      <c r="CC1112" s="1" t="s">
        <v>454</v>
      </c>
      <c r="CD1112" s="1" t="s">
        <v>206</v>
      </c>
      <c r="CG1112" s="1" t="s">
        <v>363</v>
      </c>
      <c r="CH1112" s="1" t="s">
        <v>209</v>
      </c>
      <c r="CK1112" s="1" t="s">
        <v>363</v>
      </c>
      <c r="CL1112" s="1" t="s">
        <v>209</v>
      </c>
      <c r="CO1112" s="1" t="s">
        <v>363</v>
      </c>
      <c r="CP1112" s="1" t="s">
        <v>209</v>
      </c>
      <c r="CS1112" s="1" t="s">
        <v>263</v>
      </c>
      <c r="CT1112" s="1" t="s">
        <v>206</v>
      </c>
      <c r="CX1112" s="1" t="s">
        <v>204</v>
      </c>
      <c r="DA1112" s="1" t="s">
        <v>200</v>
      </c>
      <c r="DC1112" s="1" t="s">
        <v>642</v>
      </c>
      <c r="DE1112" s="1" t="s">
        <v>229</v>
      </c>
      <c r="DF1112" s="1" t="s">
        <v>619</v>
      </c>
      <c r="DH1112" s="1" t="s">
        <v>220</v>
      </c>
      <c r="DJ1112" s="1" t="s">
        <v>222</v>
      </c>
      <c r="DL1112" s="1" t="s">
        <v>223</v>
      </c>
      <c r="DM1112" s="1" t="s">
        <v>229</v>
      </c>
      <c r="DQ1112" s="1" t="s">
        <v>228</v>
      </c>
      <c r="DR1112" s="1" t="s">
        <v>229</v>
      </c>
      <c r="DV1112" s="1" t="s">
        <v>232</v>
      </c>
      <c r="DW1112" s="1" t="s">
        <v>279</v>
      </c>
      <c r="DX1112" s="1" t="s">
        <v>234</v>
      </c>
      <c r="EC1112" s="1" t="s">
        <v>237</v>
      </c>
      <c r="EM1112" s="1" t="s">
        <v>238</v>
      </c>
      <c r="EQ1112" s="1" t="s">
        <v>238</v>
      </c>
      <c r="EU1112" s="1" t="s">
        <v>238</v>
      </c>
      <c r="EY1112" s="1" t="s">
        <v>238</v>
      </c>
      <c r="FC1112" s="1" t="s">
        <v>238</v>
      </c>
      <c r="FF1112" s="1" t="s">
        <v>239</v>
      </c>
      <c r="FG1112" s="1" t="s">
        <v>200</v>
      </c>
      <c r="FH1112" s="1" t="s">
        <v>192</v>
      </c>
      <c r="FJ1112" s="1" t="s">
        <v>9397</v>
      </c>
      <c r="FK1112" s="1" t="s">
        <v>229</v>
      </c>
      <c r="FL1112" s="1" t="s">
        <v>1124</v>
      </c>
      <c r="FM1112" s="1">
        <v>12293.0</v>
      </c>
      <c r="FN1112" s="1" t="s">
        <v>3300</v>
      </c>
      <c r="FO1112" s="1" t="s">
        <v>12195</v>
      </c>
      <c r="FP1112" s="1">
        <v>180352.0</v>
      </c>
      <c r="FQ1112" s="1" t="s">
        <v>12196</v>
      </c>
      <c r="FU1112" s="1" t="s">
        <v>12197</v>
      </c>
      <c r="FV1112" s="1" t="s">
        <v>200</v>
      </c>
      <c r="FW1112" s="1" t="s">
        <v>290</v>
      </c>
      <c r="FX1112" s="1" t="s">
        <v>238</v>
      </c>
      <c r="FZ1112" s="1" t="s">
        <v>229</v>
      </c>
      <c r="GA1112" s="1" t="s">
        <v>291</v>
      </c>
      <c r="GB1112" s="2">
        <v>42092.0</v>
      </c>
    </row>
    <row r="1113">
      <c r="A1113" s="1">
        <v>670000.0</v>
      </c>
      <c r="B1113" s="1" t="s">
        <v>185</v>
      </c>
      <c r="C1113" s="1" t="str">
        <f>"08840692"</f>
        <v>08840692</v>
      </c>
      <c r="D1113" s="1" t="s">
        <v>186</v>
      </c>
      <c r="F1113" s="1" t="str">
        <f>"8022"</f>
        <v>8022</v>
      </c>
      <c r="G1113" s="2">
        <v>42052.0</v>
      </c>
      <c r="H1113" s="1">
        <v>674900.0</v>
      </c>
      <c r="I1113" s="1">
        <v>278.0</v>
      </c>
      <c r="J1113" s="1">
        <v>674900.0</v>
      </c>
      <c r="K1113" s="2">
        <v>42060.0</v>
      </c>
      <c r="L1113" s="1">
        <v>9.0</v>
      </c>
      <c r="M1113" s="2">
        <v>42060.0</v>
      </c>
      <c r="N1113" s="1" t="s">
        <v>187</v>
      </c>
      <c r="O1113" s="2">
        <v>42102.0</v>
      </c>
      <c r="P1113" s="1">
        <v>121310.0</v>
      </c>
      <c r="Q1113" s="1">
        <v>84025.0</v>
      </c>
      <c r="S1113" s="1">
        <v>1929.0</v>
      </c>
      <c r="T1113" s="1" t="s">
        <v>12198</v>
      </c>
      <c r="U1113" s="1" t="s">
        <v>320</v>
      </c>
      <c r="V1113" s="1" t="s">
        <v>190</v>
      </c>
      <c r="W1113" s="1">
        <v>60647.0</v>
      </c>
      <c r="Y1113" s="1" t="s">
        <v>12199</v>
      </c>
      <c r="Z1113" s="1">
        <v>2004.0</v>
      </c>
      <c r="AA1113" s="1" t="s">
        <v>200</v>
      </c>
      <c r="AB1113" s="1" t="s">
        <v>193</v>
      </c>
      <c r="AD1113" s="1" t="s">
        <v>194</v>
      </c>
      <c r="AE1113" s="1" t="s">
        <v>195</v>
      </c>
      <c r="AF1113" s="1" t="s">
        <v>827</v>
      </c>
      <c r="AH1113" s="1" t="s">
        <v>12200</v>
      </c>
      <c r="AK1113" s="1">
        <v>9.0</v>
      </c>
      <c r="AL1113" s="1">
        <v>4.0</v>
      </c>
      <c r="AM1113" s="1">
        <v>3.0</v>
      </c>
      <c r="AN1113" s="1">
        <v>1.0</v>
      </c>
      <c r="AO1113" s="1" t="s">
        <v>198</v>
      </c>
      <c r="AP1113" s="1">
        <v>2.0</v>
      </c>
      <c r="AQ1113" s="1" t="s">
        <v>472</v>
      </c>
      <c r="AR1113" s="1" t="s">
        <v>192</v>
      </c>
      <c r="AS1113" s="1" t="s">
        <v>199</v>
      </c>
      <c r="AT1113" s="1">
        <v>2.0</v>
      </c>
      <c r="AV1113" s="1" t="s">
        <v>200</v>
      </c>
      <c r="AW1113" s="4">
        <v>9148.05</v>
      </c>
      <c r="AX1113" s="1">
        <v>2013.0</v>
      </c>
      <c r="AY1113" s="1" t="s">
        <v>387</v>
      </c>
      <c r="AZ1113" s="1" t="s">
        <v>200</v>
      </c>
      <c r="BA1113" s="1" t="str">
        <f>"13363030090000"</f>
        <v>13363030090000</v>
      </c>
      <c r="BB1113" s="1" t="s">
        <v>200</v>
      </c>
      <c r="BC1113" s="1">
        <v>4000.0</v>
      </c>
      <c r="BD1113" s="1">
        <v>670000.0</v>
      </c>
      <c r="BE1113" s="2">
        <v>42052.0</v>
      </c>
      <c r="BF1113" s="2" t="s">
        <v>12201</v>
      </c>
      <c r="BH1113" s="1">
        <v>0.0</v>
      </c>
      <c r="BK1113" s="1" t="s">
        <v>204</v>
      </c>
      <c r="BL1113" s="1" t="str">
        <f>"1929"</f>
        <v>1929</v>
      </c>
      <c r="BM1113" s="1" t="str">
        <f t="shared" si="745"/>
        <v>0</v>
      </c>
      <c r="BN1113" s="1">
        <v>3050.0</v>
      </c>
      <c r="BO1113" s="1">
        <v>0.0</v>
      </c>
      <c r="BQ1113" s="1">
        <v>299.0</v>
      </c>
      <c r="BR1113" s="1">
        <v>299.0</v>
      </c>
      <c r="BS1113" s="1">
        <v>299.0</v>
      </c>
      <c r="BU1113" s="1" t="s">
        <v>10300</v>
      </c>
      <c r="BV1113" s="1" t="s">
        <v>206</v>
      </c>
      <c r="BW1113" s="1" t="s">
        <v>207</v>
      </c>
      <c r="BY1113" s="1" t="s">
        <v>1426</v>
      </c>
      <c r="BZ1113" s="1" t="s">
        <v>209</v>
      </c>
      <c r="CA1113" s="1" t="s">
        <v>207</v>
      </c>
      <c r="CC1113" s="1" t="s">
        <v>542</v>
      </c>
      <c r="CD1113" s="1" t="s">
        <v>206</v>
      </c>
      <c r="CE1113" s="1" t="s">
        <v>207</v>
      </c>
      <c r="CG1113" s="1" t="s">
        <v>214</v>
      </c>
      <c r="CH1113" s="1" t="s">
        <v>209</v>
      </c>
      <c r="CI1113" s="1" t="s">
        <v>207</v>
      </c>
      <c r="CK1113" s="1" t="s">
        <v>265</v>
      </c>
      <c r="CL1113" s="1" t="s">
        <v>209</v>
      </c>
      <c r="CM1113" s="1" t="s">
        <v>207</v>
      </c>
      <c r="CO1113" s="1" t="s">
        <v>12202</v>
      </c>
      <c r="CP1113" s="1" t="s">
        <v>267</v>
      </c>
      <c r="CQ1113" s="1" t="s">
        <v>1065</v>
      </c>
      <c r="CS1113" s="1" t="s">
        <v>743</v>
      </c>
      <c r="CT1113" s="1" t="s">
        <v>206</v>
      </c>
      <c r="CU1113" s="1" t="s">
        <v>207</v>
      </c>
      <c r="CW1113" s="1" t="s">
        <v>700</v>
      </c>
      <c r="CX1113" s="1" t="s">
        <v>206</v>
      </c>
      <c r="CY1113" s="1" t="s">
        <v>207</v>
      </c>
      <c r="DA1113" s="1" t="s">
        <v>200</v>
      </c>
      <c r="DC1113" s="1" t="s">
        <v>335</v>
      </c>
      <c r="DD1113" s="1" t="s">
        <v>217</v>
      </c>
      <c r="DE1113" s="1" t="s">
        <v>273</v>
      </c>
      <c r="DF1113" s="1" t="s">
        <v>219</v>
      </c>
      <c r="DH1113" s="1" t="s">
        <v>307</v>
      </c>
      <c r="DI1113" s="1" t="s">
        <v>5225</v>
      </c>
      <c r="DJ1113" s="1" t="s">
        <v>222</v>
      </c>
      <c r="DL1113" s="1" t="s">
        <v>224</v>
      </c>
      <c r="DM1113" s="1" t="s">
        <v>229</v>
      </c>
      <c r="DN1113" s="1" t="s">
        <v>399</v>
      </c>
      <c r="DO1113" s="1" t="s">
        <v>549</v>
      </c>
      <c r="DP1113" s="1" t="s">
        <v>276</v>
      </c>
      <c r="DQ1113" s="1" t="s">
        <v>794</v>
      </c>
      <c r="DR1113" s="1" t="s">
        <v>229</v>
      </c>
      <c r="DS1113" s="1" t="s">
        <v>591</v>
      </c>
      <c r="DV1113" s="1" t="s">
        <v>1934</v>
      </c>
      <c r="DW1113" s="1" t="s">
        <v>444</v>
      </c>
      <c r="DX1113" s="1" t="s">
        <v>309</v>
      </c>
      <c r="DY1113" s="1" t="s">
        <v>704</v>
      </c>
      <c r="EB1113" s="1" t="s">
        <v>345</v>
      </c>
      <c r="EC1113" s="1" t="s">
        <v>406</v>
      </c>
      <c r="ED1113" s="1" t="s">
        <v>555</v>
      </c>
      <c r="EE1113" s="1" t="s">
        <v>187</v>
      </c>
      <c r="EG1113" s="1" t="s">
        <v>310</v>
      </c>
      <c r="EH1113" s="1" t="s">
        <v>450</v>
      </c>
      <c r="EI1113" s="1" t="s">
        <v>409</v>
      </c>
      <c r="EL1113" s="1" t="s">
        <v>2224</v>
      </c>
      <c r="EM1113" s="1" t="s">
        <v>206</v>
      </c>
      <c r="EN1113" s="1" t="s">
        <v>11077</v>
      </c>
      <c r="EP1113" s="1" t="s">
        <v>938</v>
      </c>
      <c r="EQ1113" s="1" t="s">
        <v>267</v>
      </c>
      <c r="ER1113" s="1" t="s">
        <v>1065</v>
      </c>
      <c r="ET1113" s="1" t="s">
        <v>9936</v>
      </c>
      <c r="EU1113" s="1" t="s">
        <v>209</v>
      </c>
      <c r="EV1113" s="1" t="s">
        <v>207</v>
      </c>
      <c r="EY1113" s="1" t="s">
        <v>238</v>
      </c>
      <c r="FC1113" s="1" t="s">
        <v>238</v>
      </c>
      <c r="FF1113" s="1" t="s">
        <v>239</v>
      </c>
      <c r="FG1113" s="1" t="s">
        <v>192</v>
      </c>
      <c r="FH1113" s="1" t="s">
        <v>192</v>
      </c>
      <c r="FJ1113" s="1" t="s">
        <v>799</v>
      </c>
      <c r="FK1113" s="1" t="s">
        <v>229</v>
      </c>
      <c r="FL1113" s="1" t="s">
        <v>562</v>
      </c>
      <c r="FM1113" s="1">
        <v>85774.0</v>
      </c>
      <c r="FN1113" s="1" t="s">
        <v>2369</v>
      </c>
      <c r="FO1113" s="1" t="s">
        <v>12203</v>
      </c>
      <c r="FP1113" s="1">
        <v>101661.0</v>
      </c>
      <c r="FQ1113" s="1" t="s">
        <v>12204</v>
      </c>
      <c r="FS1113" s="1" t="s">
        <v>12205</v>
      </c>
      <c r="FU1113" s="1" t="s">
        <v>12206</v>
      </c>
      <c r="FV1113" s="1" t="s">
        <v>200</v>
      </c>
      <c r="FW1113" s="1" t="s">
        <v>530</v>
      </c>
      <c r="FX1113" s="1" t="s">
        <v>238</v>
      </c>
      <c r="FZ1113" s="1" t="s">
        <v>229</v>
      </c>
      <c r="GA1113" s="1" t="s">
        <v>291</v>
      </c>
      <c r="GB1113" s="2">
        <v>42103.0</v>
      </c>
      <c r="GC1113" s="1" t="s">
        <v>12207</v>
      </c>
    </row>
    <row r="1114">
      <c r="A1114" s="1">
        <v>105000.0</v>
      </c>
      <c r="B1114" s="1" t="s">
        <v>185</v>
      </c>
      <c r="C1114" s="1" t="str">
        <f>"08840095"</f>
        <v>08840095</v>
      </c>
      <c r="D1114" s="1" t="s">
        <v>186</v>
      </c>
      <c r="F1114" s="1" t="str">
        <f>"8063"</f>
        <v>8063</v>
      </c>
      <c r="G1114" s="2">
        <v>42051.0</v>
      </c>
      <c r="H1114" s="1">
        <v>104000.0</v>
      </c>
      <c r="I1114" s="1">
        <v>198.0</v>
      </c>
      <c r="J1114" s="1">
        <v>104000.0</v>
      </c>
      <c r="K1114" s="2">
        <v>42057.0</v>
      </c>
      <c r="L1114" s="1">
        <v>9.0</v>
      </c>
      <c r="M1114" s="2">
        <v>42057.0</v>
      </c>
      <c r="N1114" s="1" t="s">
        <v>249</v>
      </c>
      <c r="O1114" s="2">
        <v>42062.0</v>
      </c>
      <c r="P1114" s="1">
        <v>236770.0</v>
      </c>
      <c r="Q1114" s="1">
        <v>22746.0</v>
      </c>
      <c r="S1114" s="1">
        <v>5723.0</v>
      </c>
      <c r="T1114" s="1" t="s">
        <v>12208</v>
      </c>
      <c r="U1114" s="1" t="s">
        <v>189</v>
      </c>
      <c r="V1114" s="1" t="s">
        <v>190</v>
      </c>
      <c r="W1114" s="1">
        <v>60629.0</v>
      </c>
      <c r="X1114" s="1">
        <v>3119.0</v>
      </c>
      <c r="Y1114" s="1" t="s">
        <v>12209</v>
      </c>
      <c r="Z1114" s="1">
        <v>1922.0</v>
      </c>
      <c r="AA1114" s="1" t="s">
        <v>192</v>
      </c>
      <c r="AB1114" s="1" t="s">
        <v>193</v>
      </c>
      <c r="AD1114" s="1" t="s">
        <v>194</v>
      </c>
      <c r="AE1114" s="1" t="s">
        <v>195</v>
      </c>
      <c r="AF1114" s="1" t="s">
        <v>659</v>
      </c>
      <c r="AH1114" s="1">
        <v>3591.0</v>
      </c>
      <c r="AK1114" s="1">
        <v>8.0</v>
      </c>
      <c r="AL1114" s="1">
        <v>4.0</v>
      </c>
      <c r="AM1114" s="1">
        <v>1.0</v>
      </c>
      <c r="AN1114" s="1">
        <v>1.0</v>
      </c>
      <c r="AO1114" s="1" t="s">
        <v>229</v>
      </c>
      <c r="AQ1114" s="1" t="s">
        <v>198</v>
      </c>
      <c r="AR1114" s="1" t="s">
        <v>200</v>
      </c>
      <c r="AS1114" s="1" t="s">
        <v>199</v>
      </c>
      <c r="AT1114" s="1">
        <v>2.0</v>
      </c>
      <c r="AV1114" s="1" t="s">
        <v>200</v>
      </c>
      <c r="AW1114" s="1">
        <v>2066.0</v>
      </c>
      <c r="AX1114" s="1">
        <v>2013.0</v>
      </c>
      <c r="AZ1114" s="1" t="s">
        <v>545</v>
      </c>
      <c r="BA1114" s="1" t="str">
        <f>"19142160100000"</f>
        <v>19142160100000</v>
      </c>
      <c r="BC1114" s="1">
        <v>1008.0</v>
      </c>
      <c r="BD1114" s="1">
        <v>105000.0</v>
      </c>
      <c r="BE1114" s="2">
        <v>42049.0</v>
      </c>
      <c r="BF1114" s="1" t="s">
        <v>12210</v>
      </c>
      <c r="BH1114" s="1">
        <v>0.0</v>
      </c>
      <c r="BK1114" s="1" t="s">
        <v>204</v>
      </c>
      <c r="BL1114" s="1" t="str">
        <f t="shared" ref="BL1114:BM1114" si="746">"0"</f>
        <v>0</v>
      </c>
      <c r="BM1114" s="1" t="str">
        <f t="shared" si="746"/>
        <v>0</v>
      </c>
      <c r="BN1114" s="1">
        <v>3400.0</v>
      </c>
      <c r="BO1114" s="1">
        <v>5723.0</v>
      </c>
      <c r="BQ1114" s="1">
        <v>299.0</v>
      </c>
      <c r="BR1114" s="1">
        <v>299.0</v>
      </c>
      <c r="BS1114" s="1">
        <v>299.0</v>
      </c>
      <c r="BU1114" s="1" t="s">
        <v>2082</v>
      </c>
      <c r="BV1114" s="1" t="s">
        <v>206</v>
      </c>
      <c r="BW1114" s="1" t="s">
        <v>207</v>
      </c>
      <c r="BY1114" s="1" t="s">
        <v>392</v>
      </c>
      <c r="BZ1114" s="1" t="s">
        <v>206</v>
      </c>
      <c r="CA1114" s="1" t="s">
        <v>207</v>
      </c>
      <c r="CC1114" s="1" t="s">
        <v>2082</v>
      </c>
      <c r="CD1114" s="1" t="s">
        <v>206</v>
      </c>
      <c r="CE1114" s="1" t="s">
        <v>207</v>
      </c>
      <c r="CG1114" s="1" t="s">
        <v>302</v>
      </c>
      <c r="CH1114" s="1" t="s">
        <v>206</v>
      </c>
      <c r="CK1114" s="1" t="s">
        <v>265</v>
      </c>
      <c r="CL1114" s="1" t="s">
        <v>209</v>
      </c>
      <c r="CO1114" s="1" t="s">
        <v>266</v>
      </c>
      <c r="CP1114" s="1" t="s">
        <v>209</v>
      </c>
      <c r="CS1114" s="1" t="s">
        <v>495</v>
      </c>
      <c r="CT1114" s="1" t="s">
        <v>206</v>
      </c>
      <c r="CW1114" s="1" t="s">
        <v>300</v>
      </c>
      <c r="CX1114" s="1" t="s">
        <v>42</v>
      </c>
      <c r="DA1114" s="1" t="s">
        <v>200</v>
      </c>
      <c r="DC1114" s="1" t="s">
        <v>216</v>
      </c>
      <c r="DE1114" s="1" t="s">
        <v>229</v>
      </c>
      <c r="DF1114" s="1" t="s">
        <v>619</v>
      </c>
      <c r="DH1114" s="1" t="s">
        <v>365</v>
      </c>
      <c r="DJ1114" s="1" t="s">
        <v>222</v>
      </c>
      <c r="DL1114" s="1" t="s">
        <v>224</v>
      </c>
      <c r="DM1114" s="1" t="s">
        <v>338</v>
      </c>
      <c r="DQ1114" s="1" t="s">
        <v>228</v>
      </c>
      <c r="DR1114" s="1" t="s">
        <v>229</v>
      </c>
      <c r="DV1114" s="1" t="s">
        <v>232</v>
      </c>
      <c r="DW1114" s="1" t="s">
        <v>279</v>
      </c>
      <c r="DX1114" s="1" t="s">
        <v>234</v>
      </c>
      <c r="EA1114" s="1" t="s">
        <v>644</v>
      </c>
      <c r="EC1114" s="1" t="s">
        <v>645</v>
      </c>
      <c r="EM1114" s="1" t="s">
        <v>238</v>
      </c>
      <c r="EQ1114" s="1" t="s">
        <v>238</v>
      </c>
      <c r="EU1114" s="1" t="s">
        <v>238</v>
      </c>
      <c r="EY1114" s="1" t="s">
        <v>238</v>
      </c>
      <c r="FC1114" s="1" t="s">
        <v>238</v>
      </c>
      <c r="FF1114" s="1" t="s">
        <v>239</v>
      </c>
      <c r="FG1114" s="1" t="s">
        <v>192</v>
      </c>
      <c r="FH1114" s="1" t="s">
        <v>192</v>
      </c>
      <c r="FJ1114" s="1" t="s">
        <v>347</v>
      </c>
      <c r="FK1114" s="1" t="s">
        <v>229</v>
      </c>
      <c r="FL1114" s="1" t="s">
        <v>3319</v>
      </c>
      <c r="FM1114" s="1">
        <v>15920.0</v>
      </c>
      <c r="FN1114" s="1" t="s">
        <v>3320</v>
      </c>
      <c r="FO1114" s="1" t="s">
        <v>3321</v>
      </c>
      <c r="FP1114" s="1">
        <v>125398.0</v>
      </c>
      <c r="FQ1114" s="1" t="s">
        <v>3320</v>
      </c>
      <c r="FU1114" s="1" t="s">
        <v>353</v>
      </c>
      <c r="FV1114" s="1" t="s">
        <v>200</v>
      </c>
      <c r="FW1114" s="1" t="s">
        <v>354</v>
      </c>
      <c r="FX1114" s="1" t="s">
        <v>655</v>
      </c>
      <c r="FZ1114" s="1" t="s">
        <v>229</v>
      </c>
      <c r="GA1114" s="1" t="s">
        <v>291</v>
      </c>
      <c r="GB1114" s="2">
        <v>42087.0</v>
      </c>
      <c r="GC1114" s="1" t="s">
        <v>12211</v>
      </c>
    </row>
    <row r="1115">
      <c r="A1115" s="1">
        <v>450000.0</v>
      </c>
      <c r="B1115" s="1" t="s">
        <v>185</v>
      </c>
      <c r="C1115" s="1" t="str">
        <f>"08841370"</f>
        <v>08841370</v>
      </c>
      <c r="D1115" s="1" t="s">
        <v>186</v>
      </c>
      <c r="F1115" s="1" t="str">
        <f>"8022"</f>
        <v>8022</v>
      </c>
      <c r="G1115" s="2">
        <v>42053.0</v>
      </c>
      <c r="H1115" s="1">
        <v>479900.0</v>
      </c>
      <c r="I1115" s="1">
        <v>100.0</v>
      </c>
      <c r="J1115" s="1">
        <v>469900.0</v>
      </c>
      <c r="K1115" s="2">
        <v>42081.0</v>
      </c>
      <c r="L1115" s="1">
        <v>29.0</v>
      </c>
      <c r="M1115" s="2">
        <v>42081.0</v>
      </c>
      <c r="N1115" s="1" t="s">
        <v>187</v>
      </c>
      <c r="O1115" s="2">
        <v>42131.0</v>
      </c>
      <c r="P1115" s="1">
        <v>131377.0</v>
      </c>
      <c r="Q1115" s="1">
        <v>16983.0</v>
      </c>
      <c r="S1115" s="1">
        <v>2334.0</v>
      </c>
      <c r="T1115" s="1" t="s">
        <v>5860</v>
      </c>
      <c r="U1115" s="1" t="s">
        <v>189</v>
      </c>
      <c r="V1115" s="1" t="s">
        <v>190</v>
      </c>
      <c r="W1115" s="1">
        <v>60647.0</v>
      </c>
      <c r="Y1115" s="1" t="s">
        <v>12212</v>
      </c>
      <c r="Z1115" s="1">
        <v>1891.0</v>
      </c>
      <c r="AA1115" s="1" t="s">
        <v>192</v>
      </c>
      <c r="AB1115" s="1" t="s">
        <v>193</v>
      </c>
      <c r="AD1115" s="1" t="s">
        <v>194</v>
      </c>
      <c r="AE1115" s="1" t="s">
        <v>195</v>
      </c>
      <c r="AF1115" s="1" t="s">
        <v>196</v>
      </c>
      <c r="AH1115" s="1" t="s">
        <v>12213</v>
      </c>
      <c r="AI1115" s="1">
        <v>0.1076</v>
      </c>
      <c r="AK1115" s="1">
        <v>9.0</v>
      </c>
      <c r="AL1115" s="1">
        <v>4.0</v>
      </c>
      <c r="AM1115" s="1">
        <v>4.0</v>
      </c>
      <c r="AN1115" s="1">
        <v>0.0</v>
      </c>
      <c r="AO1115" s="1" t="s">
        <v>198</v>
      </c>
      <c r="AQ1115" s="1" t="s">
        <v>198</v>
      </c>
      <c r="AR1115" s="1" t="s">
        <v>192</v>
      </c>
      <c r="AS1115" s="1" t="s">
        <v>199</v>
      </c>
      <c r="AT1115" s="1">
        <v>2.0</v>
      </c>
      <c r="AV1115" s="1" t="s">
        <v>200</v>
      </c>
      <c r="AW1115" s="1">
        <v>3354.92</v>
      </c>
      <c r="AX1115" s="1">
        <v>2013.0</v>
      </c>
      <c r="AZ1115" s="1" t="s">
        <v>545</v>
      </c>
      <c r="BA1115" s="1" t="str">
        <f>"13351060250000"</f>
        <v>13351060250000</v>
      </c>
      <c r="BC1115" s="1">
        <v>2000.0</v>
      </c>
      <c r="BD1115" s="1">
        <v>450000.0</v>
      </c>
      <c r="BE1115" s="2">
        <v>42053.0</v>
      </c>
      <c r="BF1115" s="2" t="s">
        <v>12214</v>
      </c>
      <c r="BH1115" s="1">
        <v>0.0</v>
      </c>
      <c r="BK1115" s="1" t="s">
        <v>204</v>
      </c>
      <c r="BL1115" s="1" t="str">
        <f>"2334"</f>
        <v>2334</v>
      </c>
      <c r="BM1115" s="1" t="str">
        <f>"0"</f>
        <v>0</v>
      </c>
      <c r="BN1115" s="1">
        <v>3700.0</v>
      </c>
      <c r="BO1115" s="1">
        <v>0.0</v>
      </c>
      <c r="BQ1115" s="1">
        <v>299.0</v>
      </c>
      <c r="BR1115" s="1">
        <v>299.0</v>
      </c>
      <c r="BS1115" s="1">
        <v>299.0</v>
      </c>
      <c r="BU1115" s="1" t="s">
        <v>758</v>
      </c>
      <c r="BV1115" s="1" t="s">
        <v>206</v>
      </c>
      <c r="BW1115" s="1" t="s">
        <v>207</v>
      </c>
      <c r="BY1115" s="1" t="s">
        <v>1158</v>
      </c>
      <c r="BZ1115" s="1" t="s">
        <v>209</v>
      </c>
      <c r="CA1115" s="1" t="s">
        <v>207</v>
      </c>
      <c r="CC1115" s="1" t="s">
        <v>582</v>
      </c>
      <c r="CD1115" s="1" t="s">
        <v>206</v>
      </c>
      <c r="CE1115" s="1" t="s">
        <v>207</v>
      </c>
      <c r="CG1115" s="1" t="s">
        <v>211</v>
      </c>
      <c r="CH1115" s="1" t="s">
        <v>209</v>
      </c>
      <c r="CI1115" s="1" t="s">
        <v>207</v>
      </c>
      <c r="CK1115" s="1" t="s">
        <v>215</v>
      </c>
      <c r="CL1115" s="1" t="s">
        <v>209</v>
      </c>
      <c r="CM1115" s="1" t="s">
        <v>207</v>
      </c>
      <c r="CO1115" s="1" t="s">
        <v>497</v>
      </c>
      <c r="CP1115" s="1" t="s">
        <v>206</v>
      </c>
      <c r="CQ1115" s="1" t="s">
        <v>207</v>
      </c>
      <c r="CS1115" s="1" t="s">
        <v>5955</v>
      </c>
      <c r="CT1115" s="1" t="s">
        <v>206</v>
      </c>
      <c r="CU1115" s="1" t="s">
        <v>207</v>
      </c>
      <c r="CW1115" s="1" t="s">
        <v>2647</v>
      </c>
      <c r="CX1115" s="1" t="s">
        <v>42</v>
      </c>
      <c r="CY1115" s="1" t="s">
        <v>268</v>
      </c>
      <c r="DA1115" s="1" t="s">
        <v>200</v>
      </c>
      <c r="DC1115" s="1" t="s">
        <v>642</v>
      </c>
      <c r="DE1115" s="1" t="s">
        <v>273</v>
      </c>
      <c r="DF1115" s="1" t="s">
        <v>219</v>
      </c>
      <c r="DH1115" s="1" t="s">
        <v>220</v>
      </c>
      <c r="DI1115" s="1" t="s">
        <v>366</v>
      </c>
      <c r="DJ1115" s="1" t="s">
        <v>222</v>
      </c>
      <c r="DL1115" s="1" t="s">
        <v>224</v>
      </c>
      <c r="DM1115" s="1" t="s">
        <v>229</v>
      </c>
      <c r="DQ1115" s="1" t="s">
        <v>228</v>
      </c>
      <c r="DR1115" s="1" t="s">
        <v>229</v>
      </c>
      <c r="DV1115" s="1" t="s">
        <v>598</v>
      </c>
      <c r="DW1115" s="1" t="s">
        <v>489</v>
      </c>
      <c r="DX1115" s="1" t="s">
        <v>234</v>
      </c>
      <c r="DY1115" s="1" t="s">
        <v>553</v>
      </c>
      <c r="EC1115" s="1" t="s">
        <v>645</v>
      </c>
      <c r="EG1115" s="1" t="s">
        <v>598</v>
      </c>
      <c r="EL1115" s="1" t="s">
        <v>1382</v>
      </c>
      <c r="EM1115" s="1" t="s">
        <v>42</v>
      </c>
      <c r="EN1115" s="1" t="s">
        <v>268</v>
      </c>
      <c r="EQ1115" s="1" t="s">
        <v>238</v>
      </c>
      <c r="EU1115" s="1" t="s">
        <v>238</v>
      </c>
      <c r="EY1115" s="1" t="s">
        <v>238</v>
      </c>
      <c r="FC1115" s="1" t="s">
        <v>238</v>
      </c>
      <c r="FF1115" s="1" t="s">
        <v>239</v>
      </c>
      <c r="FG1115" s="1" t="s">
        <v>192</v>
      </c>
      <c r="FH1115" s="1" t="s">
        <v>192</v>
      </c>
      <c r="FJ1115" s="1" t="s">
        <v>648</v>
      </c>
      <c r="FK1115" s="1" t="s">
        <v>229</v>
      </c>
      <c r="FL1115" s="1" t="s">
        <v>649</v>
      </c>
      <c r="FM1115" s="1">
        <v>60296.0</v>
      </c>
      <c r="FN1115" s="1" t="s">
        <v>650</v>
      </c>
      <c r="FO1115" s="1" t="s">
        <v>651</v>
      </c>
      <c r="FP1115" s="1">
        <v>602837.0</v>
      </c>
      <c r="FQ1115" s="1" t="s">
        <v>652</v>
      </c>
      <c r="FR1115" s="1">
        <v>602442.0</v>
      </c>
      <c r="FU1115" s="1" t="s">
        <v>1438</v>
      </c>
      <c r="FV1115" s="1" t="s">
        <v>200</v>
      </c>
      <c r="FW1115" s="1" t="s">
        <v>530</v>
      </c>
      <c r="FX1115" s="1" t="s">
        <v>238</v>
      </c>
      <c r="FZ1115" s="1" t="s">
        <v>229</v>
      </c>
      <c r="GA1115" s="1" t="s">
        <v>291</v>
      </c>
      <c r="GB1115" s="2">
        <v>42135.0</v>
      </c>
      <c r="GC1115" s="1" t="s">
        <v>1372</v>
      </c>
    </row>
    <row r="1116">
      <c r="A1116" s="1">
        <v>278000.0</v>
      </c>
      <c r="B1116" s="1" t="s">
        <v>185</v>
      </c>
      <c r="C1116" s="1" t="str">
        <f>"08838799"</f>
        <v>08838799</v>
      </c>
      <c r="D1116" s="1" t="s">
        <v>186</v>
      </c>
      <c r="F1116" s="1" t="str">
        <f>"177"</f>
        <v>177</v>
      </c>
      <c r="G1116" s="2">
        <v>42049.0</v>
      </c>
      <c r="H1116" s="1">
        <v>298500.0</v>
      </c>
      <c r="I1116" s="1">
        <v>38.0</v>
      </c>
      <c r="J1116" s="1">
        <v>288500.0</v>
      </c>
      <c r="K1116" s="2">
        <v>42086.0</v>
      </c>
      <c r="L1116" s="1">
        <v>38.0</v>
      </c>
      <c r="M1116" s="2">
        <v>42086.0</v>
      </c>
      <c r="N1116" s="1" t="s">
        <v>356</v>
      </c>
      <c r="O1116" s="2">
        <v>42086.0</v>
      </c>
      <c r="P1116" s="1">
        <v>1602.0</v>
      </c>
      <c r="Q1116" s="1">
        <v>49.0</v>
      </c>
      <c r="R1116" s="1">
        <v>3000.0</v>
      </c>
      <c r="S1116" s="1">
        <v>770.0</v>
      </c>
      <c r="T1116" s="1" t="s">
        <v>12215</v>
      </c>
      <c r="U1116" s="1" t="s">
        <v>569</v>
      </c>
      <c r="V1116" s="1" t="s">
        <v>2249</v>
      </c>
      <c r="W1116" s="1">
        <v>60177.0</v>
      </c>
      <c r="Y1116" s="1" t="s">
        <v>12216</v>
      </c>
      <c r="Z1116" s="1">
        <v>1996.0</v>
      </c>
      <c r="AA1116" s="1" t="s">
        <v>200</v>
      </c>
      <c r="AB1116" s="1" t="s">
        <v>193</v>
      </c>
      <c r="AC1116" s="1" t="s">
        <v>12217</v>
      </c>
      <c r="AD1116" s="1" t="s">
        <v>2252</v>
      </c>
      <c r="AE1116" s="1" t="s">
        <v>325</v>
      </c>
      <c r="AF1116" s="1" t="s">
        <v>469</v>
      </c>
      <c r="AG1116" s="1" t="s">
        <v>12218</v>
      </c>
      <c r="AH1116" s="1" t="s">
        <v>326</v>
      </c>
      <c r="AI1116" s="1">
        <v>0.2473</v>
      </c>
      <c r="AK1116" s="1">
        <v>11.0</v>
      </c>
      <c r="AL1116" s="1">
        <v>4.0</v>
      </c>
      <c r="AM1116" s="1">
        <v>2.0</v>
      </c>
      <c r="AN1116" s="1">
        <v>1.0</v>
      </c>
      <c r="AO1116" s="1" t="s">
        <v>198</v>
      </c>
      <c r="AP1116" s="1">
        <v>1.0</v>
      </c>
      <c r="AQ1116" s="1" t="s">
        <v>198</v>
      </c>
      <c r="AR1116" s="1" t="s">
        <v>200</v>
      </c>
      <c r="AS1116" s="1" t="s">
        <v>199</v>
      </c>
      <c r="AT1116" s="1">
        <v>3.0</v>
      </c>
      <c r="AV1116" s="1" t="s">
        <v>200</v>
      </c>
      <c r="AW1116" s="1">
        <v>5690.08</v>
      </c>
      <c r="AX1116" s="1">
        <v>2013.0</v>
      </c>
      <c r="AY1116" s="1" t="s">
        <v>387</v>
      </c>
      <c r="AZ1116" s="1" t="s">
        <v>200</v>
      </c>
      <c r="BA1116" s="1" t="str">
        <f>"0634427065"</f>
        <v>0634427065</v>
      </c>
      <c r="BC1116" s="1">
        <v>2348.0</v>
      </c>
      <c r="BD1116" s="1">
        <v>278000.0</v>
      </c>
      <c r="BE1116" s="2">
        <v>42049.0</v>
      </c>
      <c r="BF1116" s="2" t="s">
        <v>12219</v>
      </c>
      <c r="BG1116" s="1" t="s">
        <v>12220</v>
      </c>
      <c r="BH1116" s="1">
        <v>0.0</v>
      </c>
      <c r="BI1116" s="1" t="s">
        <v>8076</v>
      </c>
      <c r="BJ1116" s="1" t="s">
        <v>2440</v>
      </c>
      <c r="BK1116" s="1" t="s">
        <v>204</v>
      </c>
      <c r="BL1116" s="1" t="str">
        <f>"8"</f>
        <v>8</v>
      </c>
      <c r="BM1116" s="1" t="str">
        <f>""</f>
        <v/>
      </c>
      <c r="BN1116" s="1">
        <v>35.0</v>
      </c>
      <c r="BQ1116" s="1">
        <v>46.0</v>
      </c>
      <c r="BR1116" s="1">
        <v>46.0</v>
      </c>
      <c r="BS1116" s="1">
        <v>46.0</v>
      </c>
      <c r="BU1116" s="1" t="s">
        <v>213</v>
      </c>
      <c r="BV1116" s="1" t="s">
        <v>206</v>
      </c>
      <c r="BW1116" s="1" t="s">
        <v>210</v>
      </c>
      <c r="BX1116" s="1" t="s">
        <v>1549</v>
      </c>
      <c r="BY1116" s="1" t="s">
        <v>925</v>
      </c>
      <c r="BZ1116" s="1" t="s">
        <v>209</v>
      </c>
      <c r="CA1116" s="1" t="s">
        <v>301</v>
      </c>
      <c r="CB1116" s="1" t="s">
        <v>1549</v>
      </c>
      <c r="CC1116" s="1" t="s">
        <v>264</v>
      </c>
      <c r="CD1116" s="1" t="s">
        <v>206</v>
      </c>
      <c r="CE1116" s="1" t="s">
        <v>301</v>
      </c>
      <c r="CF1116" s="1" t="s">
        <v>1549</v>
      </c>
      <c r="CG1116" s="1" t="s">
        <v>332</v>
      </c>
      <c r="CH1116" s="1" t="s">
        <v>209</v>
      </c>
      <c r="CI1116" s="1" t="s">
        <v>210</v>
      </c>
      <c r="CJ1116" s="1" t="s">
        <v>1549</v>
      </c>
      <c r="CK1116" s="1" t="s">
        <v>332</v>
      </c>
      <c r="CL1116" s="1" t="s">
        <v>209</v>
      </c>
      <c r="CM1116" s="1" t="s">
        <v>210</v>
      </c>
      <c r="CN1116" s="1" t="s">
        <v>1549</v>
      </c>
      <c r="CO1116" s="1" t="s">
        <v>332</v>
      </c>
      <c r="CP1116" s="1" t="s">
        <v>209</v>
      </c>
      <c r="CQ1116" s="1" t="s">
        <v>210</v>
      </c>
      <c r="CR1116" s="1" t="s">
        <v>1549</v>
      </c>
      <c r="CS1116" s="1" t="s">
        <v>212</v>
      </c>
      <c r="CT1116" s="1" t="s">
        <v>206</v>
      </c>
      <c r="CU1116" s="1" t="s">
        <v>301</v>
      </c>
      <c r="CV1116" s="1" t="s">
        <v>1549</v>
      </c>
      <c r="CW1116" s="1" t="s">
        <v>214</v>
      </c>
      <c r="CX1116" s="1" t="s">
        <v>206</v>
      </c>
      <c r="CY1116" s="1" t="s">
        <v>301</v>
      </c>
      <c r="CZ1116" s="1" t="s">
        <v>1549</v>
      </c>
      <c r="DA1116" s="1" t="s">
        <v>200</v>
      </c>
      <c r="DC1116" s="1" t="s">
        <v>678</v>
      </c>
      <c r="DD1116" s="1" t="s">
        <v>518</v>
      </c>
      <c r="DE1116" s="1" t="s">
        <v>273</v>
      </c>
      <c r="DF1116" s="1" t="s">
        <v>219</v>
      </c>
      <c r="DH1116" s="1" t="s">
        <v>220</v>
      </c>
      <c r="DI1116" s="1" t="s">
        <v>12221</v>
      </c>
      <c r="DJ1116" s="1" t="s">
        <v>222</v>
      </c>
      <c r="DK1116" s="1" t="s">
        <v>198</v>
      </c>
      <c r="DL1116" s="1" t="s">
        <v>224</v>
      </c>
      <c r="DM1116" s="1" t="s">
        <v>1402</v>
      </c>
      <c r="DP1116" s="1" t="s">
        <v>340</v>
      </c>
      <c r="DQ1116" s="1" t="s">
        <v>228</v>
      </c>
      <c r="DR1116" s="1" t="s">
        <v>229</v>
      </c>
      <c r="DS1116" s="1" t="s">
        <v>230</v>
      </c>
      <c r="DU1116" s="1" t="s">
        <v>4061</v>
      </c>
      <c r="DV1116" s="1" t="s">
        <v>2366</v>
      </c>
      <c r="DW1116" s="1" t="s">
        <v>12222</v>
      </c>
      <c r="DX1116" s="1" t="s">
        <v>234</v>
      </c>
      <c r="DY1116" s="1" t="s">
        <v>12223</v>
      </c>
      <c r="DZ1116" s="1" t="s">
        <v>10983</v>
      </c>
      <c r="EB1116" s="1" t="s">
        <v>937</v>
      </c>
      <c r="EC1116" s="1" t="s">
        <v>237</v>
      </c>
      <c r="ED1116" s="1" t="s">
        <v>407</v>
      </c>
      <c r="EE1116" s="1" t="s">
        <v>493</v>
      </c>
      <c r="EG1116" s="1" t="s">
        <v>494</v>
      </c>
      <c r="EH1116" s="1" t="s">
        <v>598</v>
      </c>
      <c r="EI1116" s="1" t="s">
        <v>450</v>
      </c>
      <c r="EL1116" s="1" t="s">
        <v>264</v>
      </c>
      <c r="EM1116" s="1" t="s">
        <v>206</v>
      </c>
      <c r="EN1116" s="1" t="s">
        <v>301</v>
      </c>
      <c r="EO1116" s="1" t="s">
        <v>431</v>
      </c>
      <c r="EP1116" s="1" t="s">
        <v>758</v>
      </c>
      <c r="EQ1116" s="1" t="s">
        <v>42</v>
      </c>
      <c r="ER1116" s="1" t="s">
        <v>210</v>
      </c>
      <c r="ES1116" s="1" t="s">
        <v>229</v>
      </c>
      <c r="ET1116" s="1" t="s">
        <v>2182</v>
      </c>
      <c r="EU1116" s="1" t="s">
        <v>42</v>
      </c>
      <c r="EV1116" s="1" t="s">
        <v>210</v>
      </c>
      <c r="EW1116" s="1" t="s">
        <v>229</v>
      </c>
      <c r="EY1116" s="1" t="s">
        <v>238</v>
      </c>
      <c r="FC1116" s="1" t="s">
        <v>238</v>
      </c>
      <c r="FF1116" s="1" t="s">
        <v>239</v>
      </c>
      <c r="FG1116" s="1" t="s">
        <v>192</v>
      </c>
      <c r="FH1116" s="1" t="s">
        <v>192</v>
      </c>
      <c r="FJ1116" s="1" t="s">
        <v>7646</v>
      </c>
      <c r="FK1116" s="1" t="s">
        <v>229</v>
      </c>
      <c r="FL1116" s="1" t="s">
        <v>3218</v>
      </c>
      <c r="FM1116" s="1">
        <v>25215.0</v>
      </c>
      <c r="FN1116" s="1" t="s">
        <v>3219</v>
      </c>
      <c r="FO1116" s="1" t="s">
        <v>12224</v>
      </c>
      <c r="FP1116" s="1">
        <v>252268.0</v>
      </c>
      <c r="FQ1116" s="1" t="s">
        <v>3219</v>
      </c>
      <c r="FR1116" s="1">
        <v>242601.0</v>
      </c>
      <c r="FT1116" s="1" t="s">
        <v>12225</v>
      </c>
      <c r="FU1116" s="1" t="s">
        <v>12226</v>
      </c>
      <c r="FV1116" s="1" t="s">
        <v>200</v>
      </c>
      <c r="FW1116" s="1" t="s">
        <v>12227</v>
      </c>
      <c r="FZ1116" s="1" t="s">
        <v>229</v>
      </c>
      <c r="GA1116" s="1" t="s">
        <v>291</v>
      </c>
      <c r="GB1116" s="2">
        <v>42140.0</v>
      </c>
    </row>
    <row r="1117">
      <c r="A1117" s="1">
        <v>625000.0</v>
      </c>
      <c r="B1117" s="1" t="s">
        <v>185</v>
      </c>
      <c r="C1117" s="1" t="str">
        <f>"08840249"</f>
        <v>08840249</v>
      </c>
      <c r="D1117" s="1" t="s">
        <v>186</v>
      </c>
      <c r="F1117" s="1" t="str">
        <f>"8021"</f>
        <v>8021</v>
      </c>
      <c r="G1117" s="2">
        <v>42052.0</v>
      </c>
      <c r="H1117" s="1">
        <v>650000.0</v>
      </c>
      <c r="I1117" s="1">
        <v>12.0</v>
      </c>
      <c r="J1117" s="1">
        <v>650000.0</v>
      </c>
      <c r="K1117" s="2">
        <v>42063.0</v>
      </c>
      <c r="L1117" s="1">
        <v>12.0</v>
      </c>
      <c r="M1117" s="2">
        <v>42063.0</v>
      </c>
      <c r="N1117" s="1" t="s">
        <v>187</v>
      </c>
      <c r="O1117" s="2">
        <v>42118.0</v>
      </c>
      <c r="P1117" s="1">
        <v>132541.0</v>
      </c>
      <c r="Q1117" s="1">
        <v>18705.0</v>
      </c>
      <c r="R1117" s="1">
        <v>2700.0</v>
      </c>
      <c r="S1117" s="1">
        <v>3738.0</v>
      </c>
      <c r="T1117" s="1" t="s">
        <v>2501</v>
      </c>
      <c r="U1117" s="1" t="s">
        <v>320</v>
      </c>
      <c r="V1117" s="1" t="s">
        <v>190</v>
      </c>
      <c r="W1117" s="1">
        <v>60618.0</v>
      </c>
      <c r="Y1117" s="1" t="s">
        <v>12228</v>
      </c>
      <c r="Z1117" s="1">
        <v>2006.0</v>
      </c>
      <c r="AA1117" s="1" t="s">
        <v>200</v>
      </c>
      <c r="AB1117" s="1" t="s">
        <v>193</v>
      </c>
      <c r="AD1117" s="1" t="s">
        <v>194</v>
      </c>
      <c r="AE1117" s="1" t="s">
        <v>195</v>
      </c>
      <c r="AF1117" s="1" t="s">
        <v>196</v>
      </c>
      <c r="AH1117" s="1" t="s">
        <v>741</v>
      </c>
      <c r="AI1117" s="1">
        <v>0.0717</v>
      </c>
      <c r="AK1117" s="1">
        <v>9.0</v>
      </c>
      <c r="AL1117" s="1">
        <v>3.0</v>
      </c>
      <c r="AM1117" s="1">
        <v>3.0</v>
      </c>
      <c r="AN1117" s="1">
        <v>1.0</v>
      </c>
      <c r="AO1117" s="1" t="s">
        <v>198</v>
      </c>
      <c r="AP1117" s="1">
        <v>2.0</v>
      </c>
      <c r="AQ1117" s="1" t="s">
        <v>198</v>
      </c>
      <c r="AR1117" s="1" t="s">
        <v>192</v>
      </c>
      <c r="AS1117" s="1" t="s">
        <v>199</v>
      </c>
      <c r="AT1117" s="1">
        <v>2.0</v>
      </c>
      <c r="AV1117" s="1" t="s">
        <v>200</v>
      </c>
      <c r="AW1117" s="6">
        <v>9276.0</v>
      </c>
      <c r="AX1117" s="1">
        <v>2013.0</v>
      </c>
      <c r="AY1117" s="1" t="s">
        <v>387</v>
      </c>
      <c r="AZ1117" s="1" t="s">
        <v>200</v>
      </c>
      <c r="BA1117" s="1" t="str">
        <f>"13233020240000"</f>
        <v>13233020240000</v>
      </c>
      <c r="BC1117" s="1">
        <v>3800.0</v>
      </c>
      <c r="BD1117" s="1">
        <v>625000.0</v>
      </c>
      <c r="BE1117" s="2">
        <v>42052.0</v>
      </c>
      <c r="BF1117" s="2" t="s">
        <v>12229</v>
      </c>
      <c r="BH1117" s="1">
        <v>0.0</v>
      </c>
      <c r="BK1117" s="1" t="s">
        <v>204</v>
      </c>
      <c r="BL1117" s="1" t="str">
        <f>"3550"</f>
        <v>3550</v>
      </c>
      <c r="BM1117" s="1" t="str">
        <f>"0"</f>
        <v>0</v>
      </c>
      <c r="BN1117" s="1">
        <v>3738.0</v>
      </c>
      <c r="BO1117" s="1">
        <v>0.0</v>
      </c>
      <c r="BQ1117" s="1">
        <v>299.0</v>
      </c>
      <c r="BR1117" s="1">
        <v>299.0</v>
      </c>
      <c r="BS1117" s="1">
        <v>299.0</v>
      </c>
      <c r="BU1117" s="1" t="s">
        <v>477</v>
      </c>
      <c r="BV1117" s="1" t="s">
        <v>206</v>
      </c>
      <c r="BW1117" s="1" t="s">
        <v>207</v>
      </c>
      <c r="BY1117" s="1" t="s">
        <v>3538</v>
      </c>
      <c r="BZ1117" s="1" t="s">
        <v>209</v>
      </c>
      <c r="CA1117" s="1" t="s">
        <v>207</v>
      </c>
      <c r="CB1117" s="1" t="s">
        <v>1549</v>
      </c>
      <c r="CC1117" s="1" t="s">
        <v>542</v>
      </c>
      <c r="CD1117" s="1" t="s">
        <v>206</v>
      </c>
      <c r="CE1117" s="1" t="s">
        <v>207</v>
      </c>
      <c r="CG1117" s="1" t="s">
        <v>211</v>
      </c>
      <c r="CH1117" s="1" t="s">
        <v>209</v>
      </c>
      <c r="CI1117" s="1" t="s">
        <v>207</v>
      </c>
      <c r="CJ1117" s="1" t="s">
        <v>431</v>
      </c>
      <c r="CK1117" s="1" t="s">
        <v>215</v>
      </c>
      <c r="CL1117" s="1" t="s">
        <v>209</v>
      </c>
      <c r="CM1117" s="1" t="s">
        <v>207</v>
      </c>
      <c r="CN1117" s="1" t="s">
        <v>431</v>
      </c>
      <c r="CO1117" s="1" t="s">
        <v>2564</v>
      </c>
      <c r="CP1117" s="1" t="s">
        <v>42</v>
      </c>
      <c r="CQ1117" s="1" t="s">
        <v>210</v>
      </c>
      <c r="CS1117" s="1" t="s">
        <v>1244</v>
      </c>
      <c r="CT1117" s="1" t="s">
        <v>206</v>
      </c>
      <c r="CU1117" s="1" t="s">
        <v>207</v>
      </c>
      <c r="CW1117" s="1" t="s">
        <v>9232</v>
      </c>
      <c r="CX1117" s="1" t="s">
        <v>206</v>
      </c>
      <c r="CY1117" s="1" t="s">
        <v>207</v>
      </c>
      <c r="DA1117" s="1" t="s">
        <v>200</v>
      </c>
      <c r="DC1117" s="1" t="s">
        <v>481</v>
      </c>
      <c r="DD1117" s="1" t="s">
        <v>759</v>
      </c>
      <c r="DE1117" s="1" t="s">
        <v>273</v>
      </c>
      <c r="DF1117" s="1" t="s">
        <v>619</v>
      </c>
      <c r="DH1117" s="1" t="s">
        <v>365</v>
      </c>
      <c r="DI1117" s="1" t="s">
        <v>2057</v>
      </c>
      <c r="DJ1117" s="1" t="s">
        <v>222</v>
      </c>
      <c r="DL1117" s="1" t="s">
        <v>224</v>
      </c>
      <c r="DM1117" s="1" t="s">
        <v>792</v>
      </c>
      <c r="DN1117" s="1" t="s">
        <v>399</v>
      </c>
      <c r="DP1117" s="1" t="s">
        <v>276</v>
      </c>
      <c r="DQ1117" s="1" t="s">
        <v>718</v>
      </c>
      <c r="DR1117" s="1" t="s">
        <v>229</v>
      </c>
      <c r="DS1117" s="1" t="s">
        <v>230</v>
      </c>
      <c r="DV1117" s="1" t="s">
        <v>450</v>
      </c>
      <c r="DW1117" s="1" t="s">
        <v>489</v>
      </c>
      <c r="DX1117" s="1" t="s">
        <v>234</v>
      </c>
      <c r="DY1117" s="1" t="s">
        <v>12230</v>
      </c>
      <c r="DZ1117" s="1" t="s">
        <v>310</v>
      </c>
      <c r="EB1117" s="1" t="s">
        <v>684</v>
      </c>
      <c r="EC1117" s="1" t="s">
        <v>237</v>
      </c>
      <c r="EG1117" s="1" t="s">
        <v>450</v>
      </c>
      <c r="EL1117" s="1" t="s">
        <v>12231</v>
      </c>
      <c r="EM1117" s="1" t="s">
        <v>42</v>
      </c>
      <c r="EN1117" s="1" t="s">
        <v>210</v>
      </c>
      <c r="EQ1117" s="1" t="s">
        <v>238</v>
      </c>
      <c r="EU1117" s="1" t="s">
        <v>238</v>
      </c>
      <c r="EY1117" s="1" t="s">
        <v>238</v>
      </c>
      <c r="FC1117" s="1" t="s">
        <v>238</v>
      </c>
      <c r="FF1117" s="1" t="s">
        <v>239</v>
      </c>
      <c r="FG1117" s="1" t="s">
        <v>192</v>
      </c>
      <c r="FH1117" s="1" t="s">
        <v>192</v>
      </c>
      <c r="FJ1117" s="1" t="s">
        <v>2285</v>
      </c>
      <c r="FK1117" s="1" t="s">
        <v>229</v>
      </c>
      <c r="FL1117" s="1" t="s">
        <v>1358</v>
      </c>
      <c r="FM1117" s="1">
        <v>10272.0</v>
      </c>
      <c r="FN1117" s="1" t="s">
        <v>3233</v>
      </c>
      <c r="FO1117" s="1" t="s">
        <v>12232</v>
      </c>
      <c r="FP1117" s="1">
        <v>175101.0</v>
      </c>
      <c r="FQ1117" s="1" t="s">
        <v>12233</v>
      </c>
      <c r="FU1117" s="1" t="s">
        <v>12234</v>
      </c>
      <c r="FV1117" s="1" t="s">
        <v>200</v>
      </c>
      <c r="FW1117" s="1" t="s">
        <v>12235</v>
      </c>
      <c r="FX1117" s="1" t="s">
        <v>246</v>
      </c>
      <c r="FZ1117" s="1" t="s">
        <v>229</v>
      </c>
      <c r="GA1117" s="1" t="s">
        <v>291</v>
      </c>
      <c r="GB1117" s="2">
        <v>42130.0</v>
      </c>
    </row>
    <row r="1118">
      <c r="A1118" s="1">
        <v>257500.0</v>
      </c>
      <c r="B1118" s="1" t="s">
        <v>185</v>
      </c>
      <c r="C1118" s="1" t="str">
        <f>"08846718"</f>
        <v>08846718</v>
      </c>
      <c r="D1118" s="1" t="s">
        <v>186</v>
      </c>
      <c r="F1118" s="1" t="str">
        <f>"538"</f>
        <v>538</v>
      </c>
      <c r="G1118" s="2">
        <v>42060.0</v>
      </c>
      <c r="H1118" s="1">
        <v>268000.0</v>
      </c>
      <c r="I1118" s="1">
        <v>201.0</v>
      </c>
      <c r="J1118" s="1">
        <v>259900.0</v>
      </c>
      <c r="K1118" s="2">
        <v>42093.0</v>
      </c>
      <c r="L1118" s="1">
        <v>34.0</v>
      </c>
      <c r="M1118" s="2">
        <v>42093.0</v>
      </c>
      <c r="N1118" s="1" t="s">
        <v>356</v>
      </c>
      <c r="O1118" s="2">
        <v>42132.0</v>
      </c>
      <c r="P1118" s="1">
        <v>233155.0</v>
      </c>
      <c r="Q1118" s="1">
        <v>23196.0</v>
      </c>
      <c r="R1118" s="1">
        <v>2500.0</v>
      </c>
      <c r="S1118" s="1">
        <v>3145.0</v>
      </c>
      <c r="T1118" s="1" t="s">
        <v>12236</v>
      </c>
      <c r="U1118" s="1" t="s">
        <v>1174</v>
      </c>
      <c r="V1118" s="1" t="s">
        <v>1340</v>
      </c>
      <c r="W1118" s="1">
        <v>60538.0</v>
      </c>
      <c r="Y1118" s="1" t="s">
        <v>12237</v>
      </c>
      <c r="Z1118" s="1">
        <v>2008.0</v>
      </c>
      <c r="AA1118" s="1" t="s">
        <v>200</v>
      </c>
      <c r="AB1118" s="1" t="s">
        <v>467</v>
      </c>
      <c r="AC1118" s="1" t="s">
        <v>6926</v>
      </c>
      <c r="AD1118" s="1" t="s">
        <v>1343</v>
      </c>
      <c r="AE1118" s="1" t="s">
        <v>849</v>
      </c>
      <c r="AF1118" s="1" t="s">
        <v>1312</v>
      </c>
      <c r="AH1118" s="1" t="s">
        <v>9137</v>
      </c>
      <c r="AI1118" s="1">
        <v>0.0</v>
      </c>
      <c r="AK1118" s="1">
        <v>10.0</v>
      </c>
      <c r="AL1118" s="1">
        <v>4.0</v>
      </c>
      <c r="AM1118" s="1">
        <v>2.0</v>
      </c>
      <c r="AN1118" s="1">
        <v>1.0</v>
      </c>
      <c r="AO1118" s="1" t="s">
        <v>198</v>
      </c>
      <c r="AP1118" s="1">
        <v>1.0</v>
      </c>
      <c r="AQ1118" s="1" t="s">
        <v>198</v>
      </c>
      <c r="AR1118" s="1" t="s">
        <v>200</v>
      </c>
      <c r="AS1118" s="1" t="s">
        <v>199</v>
      </c>
      <c r="AT1118" s="1">
        <v>3.0</v>
      </c>
      <c r="AV1118" s="1" t="s">
        <v>200</v>
      </c>
      <c r="AW1118" s="1">
        <v>9476.0</v>
      </c>
      <c r="AX1118" s="1">
        <v>2013.0</v>
      </c>
      <c r="AY1118" s="1" t="s">
        <v>387</v>
      </c>
      <c r="AZ1118" s="1" t="s">
        <v>200</v>
      </c>
      <c r="BA1118" s="1" t="str">
        <f>"0203277006"</f>
        <v>0203277006</v>
      </c>
      <c r="BC1118" s="1">
        <v>3109.0</v>
      </c>
      <c r="BD1118" s="1">
        <v>257500.0</v>
      </c>
      <c r="BE1118" s="2">
        <v>42060.0</v>
      </c>
      <c r="BF1118" s="2" t="s">
        <v>12238</v>
      </c>
      <c r="BH1118" s="1">
        <v>260.0</v>
      </c>
      <c r="BK1118" s="1" t="s">
        <v>580</v>
      </c>
      <c r="BL1118" s="1" t="str">
        <f t="shared" ref="BL1118:BM1118" si="747">""</f>
        <v/>
      </c>
      <c r="BM1118" s="1" t="str">
        <f t="shared" si="747"/>
        <v/>
      </c>
      <c r="BQ1118" s="1">
        <v>115.0</v>
      </c>
      <c r="BR1118" s="1">
        <v>115.0</v>
      </c>
      <c r="BS1118" s="1">
        <v>115.0</v>
      </c>
      <c r="BU1118" s="1" t="s">
        <v>212</v>
      </c>
      <c r="BV1118" s="1" t="s">
        <v>206</v>
      </c>
      <c r="BW1118" s="1" t="s">
        <v>210</v>
      </c>
      <c r="BY1118" s="1" t="s">
        <v>334</v>
      </c>
      <c r="BZ1118" s="1" t="s">
        <v>209</v>
      </c>
      <c r="CA1118" s="1" t="s">
        <v>210</v>
      </c>
      <c r="CC1118" s="1" t="s">
        <v>363</v>
      </c>
      <c r="CD1118" s="1" t="s">
        <v>206</v>
      </c>
      <c r="CE1118" s="1" t="s">
        <v>210</v>
      </c>
      <c r="CG1118" s="1" t="s">
        <v>699</v>
      </c>
      <c r="CH1118" s="1" t="s">
        <v>209</v>
      </c>
      <c r="CI1118" s="1" t="s">
        <v>210</v>
      </c>
      <c r="CK1118" s="1" t="s">
        <v>331</v>
      </c>
      <c r="CL1118" s="1" t="s">
        <v>209</v>
      </c>
      <c r="CM1118" s="1" t="s">
        <v>210</v>
      </c>
      <c r="CO1118" s="1" t="s">
        <v>212</v>
      </c>
      <c r="CP1118" s="1" t="s">
        <v>209</v>
      </c>
      <c r="CQ1118" s="1" t="s">
        <v>210</v>
      </c>
      <c r="CS1118" s="1" t="s">
        <v>3817</v>
      </c>
      <c r="CT1118" s="1" t="s">
        <v>206</v>
      </c>
      <c r="CU1118" s="1" t="s">
        <v>207</v>
      </c>
      <c r="CW1118" s="1" t="s">
        <v>3538</v>
      </c>
      <c r="CX1118" s="1" t="s">
        <v>206</v>
      </c>
      <c r="CY1118" s="1" t="s">
        <v>210</v>
      </c>
      <c r="DA1118" s="1" t="s">
        <v>200</v>
      </c>
      <c r="DC1118" s="1" t="s">
        <v>481</v>
      </c>
      <c r="DD1118" s="1" t="s">
        <v>1428</v>
      </c>
      <c r="DE1118" s="1" t="s">
        <v>273</v>
      </c>
      <c r="DF1118" s="1" t="s">
        <v>219</v>
      </c>
      <c r="DG1118" s="1" t="s">
        <v>482</v>
      </c>
      <c r="DH1118" s="1" t="s">
        <v>220</v>
      </c>
      <c r="DI1118" s="1" t="s">
        <v>10035</v>
      </c>
      <c r="DJ1118" s="1" t="s">
        <v>222</v>
      </c>
      <c r="DK1118" s="1" t="s">
        <v>223</v>
      </c>
      <c r="DL1118" s="1" t="s">
        <v>223</v>
      </c>
      <c r="DM1118" s="1" t="s">
        <v>338</v>
      </c>
      <c r="DN1118" s="1" t="s">
        <v>399</v>
      </c>
      <c r="DO1118" s="1" t="s">
        <v>486</v>
      </c>
      <c r="DP1118" s="1" t="s">
        <v>276</v>
      </c>
      <c r="DQ1118" s="1" t="s">
        <v>441</v>
      </c>
      <c r="DR1118" s="1" t="s">
        <v>1487</v>
      </c>
      <c r="DS1118" s="1" t="s">
        <v>368</v>
      </c>
      <c r="DU1118" s="1" t="s">
        <v>12086</v>
      </c>
      <c r="DV1118" s="1" t="s">
        <v>12239</v>
      </c>
      <c r="DW1118" s="1" t="s">
        <v>233</v>
      </c>
      <c r="DX1118" s="1" t="s">
        <v>234</v>
      </c>
      <c r="DY1118" s="1" t="s">
        <v>490</v>
      </c>
      <c r="EA1118" s="1" t="s">
        <v>344</v>
      </c>
      <c r="EB1118" s="1" t="s">
        <v>2915</v>
      </c>
      <c r="EC1118" s="1" t="s">
        <v>237</v>
      </c>
      <c r="ED1118" s="1" t="s">
        <v>407</v>
      </c>
      <c r="EG1118" s="1" t="s">
        <v>494</v>
      </c>
      <c r="EH1118" s="1" t="s">
        <v>341</v>
      </c>
      <c r="EI1118" s="1" t="s">
        <v>408</v>
      </c>
      <c r="EJ1118" s="1" t="s">
        <v>2313</v>
      </c>
      <c r="EL1118" s="1" t="s">
        <v>269</v>
      </c>
      <c r="EM1118" s="1" t="s">
        <v>206</v>
      </c>
      <c r="EN1118" s="1" t="s">
        <v>210</v>
      </c>
      <c r="EP1118" s="1" t="s">
        <v>454</v>
      </c>
      <c r="EQ1118" s="1" t="s">
        <v>209</v>
      </c>
      <c r="ER1118" s="1" t="s">
        <v>210</v>
      </c>
      <c r="ES1118" s="1" t="s">
        <v>229</v>
      </c>
      <c r="ET1118" s="1" t="s">
        <v>12240</v>
      </c>
      <c r="EU1118" s="1" t="s">
        <v>206</v>
      </c>
      <c r="EV1118" s="1" t="s">
        <v>207</v>
      </c>
      <c r="EX1118" s="1" t="s">
        <v>411</v>
      </c>
      <c r="EY1118" s="1" t="s">
        <v>206</v>
      </c>
      <c r="EZ1118" s="1" t="s">
        <v>588</v>
      </c>
      <c r="FA1118" s="1" t="s">
        <v>239</v>
      </c>
      <c r="FC1118" s="1" t="s">
        <v>238</v>
      </c>
      <c r="FF1118" s="1" t="s">
        <v>239</v>
      </c>
      <c r="FG1118" s="1" t="s">
        <v>192</v>
      </c>
      <c r="FH1118" s="1" t="s">
        <v>192</v>
      </c>
      <c r="FJ1118" s="1" t="s">
        <v>770</v>
      </c>
      <c r="FK1118" s="1" t="s">
        <v>229</v>
      </c>
      <c r="FL1118" s="1" t="s">
        <v>2226</v>
      </c>
      <c r="FM1118" s="1">
        <v>300.0</v>
      </c>
      <c r="FN1118" s="1" t="s">
        <v>2227</v>
      </c>
      <c r="FO1118" s="1" t="s">
        <v>2682</v>
      </c>
      <c r="FP1118" s="1">
        <v>313804.0</v>
      </c>
      <c r="FQ1118" s="1" t="s">
        <v>2683</v>
      </c>
      <c r="FU1118" s="1" t="s">
        <v>12241</v>
      </c>
      <c r="FV1118" s="1" t="s">
        <v>200</v>
      </c>
      <c r="FW1118" s="1" t="s">
        <v>290</v>
      </c>
      <c r="FZ1118" s="1" t="s">
        <v>632</v>
      </c>
      <c r="GA1118" s="1" t="s">
        <v>291</v>
      </c>
      <c r="GB1118" s="2">
        <v>42136.0</v>
      </c>
      <c r="GC1118" s="1" t="s">
        <v>12242</v>
      </c>
    </row>
    <row r="1119">
      <c r="A1119" s="1">
        <v>1480000.0</v>
      </c>
      <c r="B1119" s="1" t="s">
        <v>185</v>
      </c>
      <c r="C1119" s="1" t="str">
        <f>"08903435"</f>
        <v>08903435</v>
      </c>
      <c r="D1119" s="1" t="s">
        <v>186</v>
      </c>
      <c r="F1119" s="1" t="str">
        <f>"8007"</f>
        <v>8007</v>
      </c>
      <c r="G1119" s="2">
        <v>42121.0</v>
      </c>
      <c r="H1119" s="1">
        <v>1500000.0</v>
      </c>
      <c r="I1119" s="1">
        <v>1.0</v>
      </c>
      <c r="J1119" s="1">
        <v>1500000.0</v>
      </c>
      <c r="K1119" s="2">
        <v>42073.0</v>
      </c>
      <c r="L1119" s="1">
        <v>1.0</v>
      </c>
      <c r="M1119" s="2">
        <v>42073.0</v>
      </c>
      <c r="N1119" s="1" t="s">
        <v>187</v>
      </c>
      <c r="O1119" s="2">
        <v>42118.0</v>
      </c>
      <c r="P1119" s="1">
        <v>128632.0</v>
      </c>
      <c r="Q1119" s="1">
        <v>85774.0</v>
      </c>
      <c r="S1119" s="1">
        <v>1834.0</v>
      </c>
      <c r="T1119" s="1" t="s">
        <v>6159</v>
      </c>
      <c r="U1119" s="1" t="s">
        <v>320</v>
      </c>
      <c r="V1119" s="1" t="s">
        <v>190</v>
      </c>
      <c r="W1119" s="1">
        <v>60614.0</v>
      </c>
      <c r="Y1119" s="1" t="s">
        <v>12243</v>
      </c>
      <c r="Z1119" s="1">
        <v>1886.0</v>
      </c>
      <c r="AA1119" s="1" t="s">
        <v>192</v>
      </c>
      <c r="AB1119" s="1" t="s">
        <v>193</v>
      </c>
      <c r="AD1119" s="1" t="s">
        <v>194</v>
      </c>
      <c r="AE1119" s="1" t="s">
        <v>195</v>
      </c>
      <c r="AF1119" s="1" t="s">
        <v>2645</v>
      </c>
      <c r="AH1119" s="1" t="s">
        <v>4868</v>
      </c>
      <c r="AI1119" s="1">
        <v>0.069</v>
      </c>
      <c r="AK1119" s="1">
        <v>8.0</v>
      </c>
      <c r="AL1119" s="1">
        <v>4.0</v>
      </c>
      <c r="AM1119" s="1">
        <v>3.0</v>
      </c>
      <c r="AN1119" s="1">
        <v>1.0</v>
      </c>
      <c r="AO1119" s="1" t="s">
        <v>198</v>
      </c>
      <c r="AP1119" s="1">
        <v>2.0</v>
      </c>
      <c r="AQ1119" s="1" t="s">
        <v>472</v>
      </c>
      <c r="AR1119" s="1" t="s">
        <v>200</v>
      </c>
      <c r="AS1119" s="1" t="s">
        <v>199</v>
      </c>
      <c r="AT1119" s="1">
        <v>2.0</v>
      </c>
      <c r="AV1119" s="1" t="s">
        <v>200</v>
      </c>
      <c r="AW1119" s="1">
        <v>17403.29</v>
      </c>
      <c r="AX1119" s="1">
        <v>2013.0</v>
      </c>
      <c r="AY1119" s="1" t="s">
        <v>387</v>
      </c>
      <c r="AZ1119" s="1" t="s">
        <v>200</v>
      </c>
      <c r="BA1119" s="1" t="str">
        <f>"14324120480000"</f>
        <v>14324120480000</v>
      </c>
      <c r="BB1119" s="1" t="s">
        <v>200</v>
      </c>
      <c r="BC1119" s="1">
        <v>2720.0</v>
      </c>
      <c r="BD1119" s="1">
        <v>1480000.0</v>
      </c>
      <c r="BE1119" s="2">
        <v>42073.0</v>
      </c>
      <c r="BF1119" s="2" t="s">
        <v>12244</v>
      </c>
      <c r="BG1119" s="1" t="s">
        <v>3588</v>
      </c>
      <c r="BH1119" s="1">
        <v>0.0</v>
      </c>
      <c r="BI1119" s="1" t="s">
        <v>3588</v>
      </c>
      <c r="BJ1119" s="1" t="s">
        <v>2871</v>
      </c>
      <c r="BK1119" s="1" t="s">
        <v>204</v>
      </c>
      <c r="BL1119" s="1" t="str">
        <f>"1834"</f>
        <v>1834</v>
      </c>
      <c r="BM1119" s="1" t="str">
        <f>"0"</f>
        <v>0</v>
      </c>
      <c r="BN1119" s="1">
        <v>900.0</v>
      </c>
      <c r="BO1119" s="1">
        <v>0.0</v>
      </c>
      <c r="BQ1119" s="1">
        <v>299.0</v>
      </c>
      <c r="BR1119" s="1">
        <v>299.0</v>
      </c>
      <c r="BS1119" s="1">
        <v>299.0</v>
      </c>
      <c r="BU1119" s="1" t="s">
        <v>924</v>
      </c>
      <c r="BV1119" s="1" t="s">
        <v>206</v>
      </c>
      <c r="BW1119" s="1" t="s">
        <v>207</v>
      </c>
      <c r="BX1119" s="1" t="s">
        <v>431</v>
      </c>
      <c r="BY1119" s="1" t="s">
        <v>432</v>
      </c>
      <c r="BZ1119" s="1" t="s">
        <v>209</v>
      </c>
      <c r="CA1119" s="1" t="s">
        <v>210</v>
      </c>
      <c r="CB1119" s="1" t="s">
        <v>1118</v>
      </c>
      <c r="CC1119" s="1" t="s">
        <v>582</v>
      </c>
      <c r="CD1119" s="1" t="s">
        <v>206</v>
      </c>
      <c r="CE1119" s="1" t="s">
        <v>207</v>
      </c>
      <c r="CF1119" s="1" t="s">
        <v>431</v>
      </c>
      <c r="CG1119" s="1" t="s">
        <v>208</v>
      </c>
      <c r="CH1119" s="1" t="s">
        <v>209</v>
      </c>
      <c r="CI1119" s="1" t="s">
        <v>210</v>
      </c>
      <c r="CJ1119" s="1" t="s">
        <v>1118</v>
      </c>
      <c r="CK1119" s="1" t="s">
        <v>392</v>
      </c>
      <c r="CL1119" s="1" t="s">
        <v>209</v>
      </c>
      <c r="CM1119" s="1" t="s">
        <v>210</v>
      </c>
      <c r="CN1119" s="1" t="s">
        <v>431</v>
      </c>
      <c r="CO1119" s="1" t="s">
        <v>264</v>
      </c>
      <c r="CP1119" s="1" t="s">
        <v>206</v>
      </c>
      <c r="CQ1119" s="1" t="s">
        <v>210</v>
      </c>
      <c r="CR1119" s="1" t="s">
        <v>1118</v>
      </c>
      <c r="CS1119" s="1" t="s">
        <v>477</v>
      </c>
      <c r="CT1119" s="1" t="s">
        <v>206</v>
      </c>
      <c r="CU1119" s="1" t="s">
        <v>268</v>
      </c>
      <c r="CV1119" s="1" t="s">
        <v>431</v>
      </c>
      <c r="CW1119" s="1" t="s">
        <v>784</v>
      </c>
      <c r="CX1119" s="1" t="s">
        <v>209</v>
      </c>
      <c r="CY1119" s="1" t="s">
        <v>210</v>
      </c>
      <c r="CZ1119" s="1" t="s">
        <v>431</v>
      </c>
      <c r="DA1119" s="1" t="s">
        <v>200</v>
      </c>
      <c r="DC1119" s="1" t="s">
        <v>642</v>
      </c>
      <c r="DD1119" s="1" t="s">
        <v>272</v>
      </c>
      <c r="DE1119" s="1" t="s">
        <v>218</v>
      </c>
      <c r="DF1119" s="1" t="s">
        <v>745</v>
      </c>
      <c r="DG1119" s="1" t="s">
        <v>1657</v>
      </c>
      <c r="DH1119" s="1" t="s">
        <v>365</v>
      </c>
      <c r="DI1119" s="1" t="s">
        <v>7225</v>
      </c>
      <c r="DJ1119" s="1" t="s">
        <v>222</v>
      </c>
      <c r="DK1119" s="1" t="s">
        <v>2312</v>
      </c>
      <c r="DL1119" s="1" t="s">
        <v>791</v>
      </c>
      <c r="DM1119" s="1" t="s">
        <v>229</v>
      </c>
      <c r="DN1119" s="1" t="s">
        <v>2873</v>
      </c>
      <c r="DO1119" s="1" t="s">
        <v>549</v>
      </c>
      <c r="DP1119" s="1" t="s">
        <v>340</v>
      </c>
      <c r="DQ1119" s="1" t="s">
        <v>718</v>
      </c>
      <c r="DR1119" s="1" t="s">
        <v>229</v>
      </c>
      <c r="DS1119" s="1" t="s">
        <v>230</v>
      </c>
      <c r="DU1119" s="1" t="s">
        <v>2728</v>
      </c>
      <c r="DV1119" s="1" t="s">
        <v>12245</v>
      </c>
      <c r="DW1119" s="1" t="s">
        <v>279</v>
      </c>
      <c r="DX1119" s="1" t="s">
        <v>234</v>
      </c>
      <c r="DY1119" s="1" t="s">
        <v>12246</v>
      </c>
      <c r="DZ1119" s="1" t="s">
        <v>12247</v>
      </c>
      <c r="EA1119" s="1" t="s">
        <v>344</v>
      </c>
      <c r="EB1119" s="1" t="s">
        <v>12248</v>
      </c>
      <c r="EC1119" s="1" t="s">
        <v>237</v>
      </c>
      <c r="ED1119" s="1" t="s">
        <v>12249</v>
      </c>
      <c r="EE1119" s="1" t="s">
        <v>187</v>
      </c>
      <c r="EG1119" s="1" t="s">
        <v>12250</v>
      </c>
      <c r="EH1119" s="1" t="s">
        <v>409</v>
      </c>
      <c r="EI1119" s="1" t="s">
        <v>310</v>
      </c>
      <c r="EJ1119" s="1" t="s">
        <v>310</v>
      </c>
      <c r="EK1119" s="1" t="s">
        <v>968</v>
      </c>
      <c r="EL1119" s="1" t="s">
        <v>1229</v>
      </c>
      <c r="EM1119" s="1" t="s">
        <v>206</v>
      </c>
      <c r="EN1119" s="1" t="s">
        <v>207</v>
      </c>
      <c r="EO1119" s="1" t="s">
        <v>431</v>
      </c>
      <c r="EP1119" s="1" t="s">
        <v>560</v>
      </c>
      <c r="EQ1119" s="1" t="s">
        <v>209</v>
      </c>
      <c r="ER1119" s="1" t="s">
        <v>210</v>
      </c>
      <c r="ET1119" s="1" t="s">
        <v>394</v>
      </c>
      <c r="EU1119" s="1" t="s">
        <v>209</v>
      </c>
      <c r="EV1119" s="1" t="s">
        <v>588</v>
      </c>
      <c r="EX1119" s="1" t="s">
        <v>2182</v>
      </c>
      <c r="EY1119" s="1" t="s">
        <v>206</v>
      </c>
      <c r="EZ1119" s="1" t="s">
        <v>588</v>
      </c>
      <c r="FB1119" s="1" t="s">
        <v>6126</v>
      </c>
      <c r="FC1119" s="1" t="s">
        <v>209</v>
      </c>
      <c r="FD1119" s="1" t="s">
        <v>588</v>
      </c>
      <c r="FF1119" s="1" t="s">
        <v>239</v>
      </c>
      <c r="FG1119" s="1" t="s">
        <v>192</v>
      </c>
      <c r="FH1119" s="1" t="s">
        <v>192</v>
      </c>
      <c r="FJ1119" s="1" t="s">
        <v>799</v>
      </c>
      <c r="FK1119" s="1" t="s">
        <v>229</v>
      </c>
      <c r="FL1119" s="1" t="s">
        <v>562</v>
      </c>
      <c r="FM1119" s="1">
        <v>16379.0</v>
      </c>
      <c r="FN1119" s="1" t="s">
        <v>563</v>
      </c>
      <c r="FO1119" s="1" t="s">
        <v>12251</v>
      </c>
      <c r="FP1119" s="1">
        <v>139989.0</v>
      </c>
      <c r="FQ1119" s="1" t="s">
        <v>12252</v>
      </c>
      <c r="FU1119" s="1" t="s">
        <v>3678</v>
      </c>
      <c r="FV1119" s="1" t="s">
        <v>200</v>
      </c>
      <c r="FW1119" s="1" t="s">
        <v>290</v>
      </c>
      <c r="FX1119" s="1" t="s">
        <v>238</v>
      </c>
      <c r="FZ1119" s="1" t="s">
        <v>229</v>
      </c>
      <c r="GA1119" s="1" t="s">
        <v>291</v>
      </c>
      <c r="GB1119" s="2">
        <v>42121.0</v>
      </c>
      <c r="GC1119" s="1" t="s">
        <v>12253</v>
      </c>
    </row>
    <row r="1120">
      <c r="A1120" s="1">
        <v>160000.0</v>
      </c>
      <c r="B1120" s="1" t="s">
        <v>185</v>
      </c>
      <c r="C1120" s="1" t="str">
        <f>"08841585"</f>
        <v>08841585</v>
      </c>
      <c r="D1120" s="1" t="s">
        <v>186</v>
      </c>
      <c r="F1120" s="1" t="str">
        <f>"8049"</f>
        <v>8049</v>
      </c>
      <c r="G1120" s="2">
        <v>42053.0</v>
      </c>
      <c r="H1120" s="1">
        <v>169900.0</v>
      </c>
      <c r="I1120" s="1">
        <v>6.0</v>
      </c>
      <c r="J1120" s="1">
        <v>169900.0</v>
      </c>
      <c r="K1120" s="2">
        <v>42058.0</v>
      </c>
      <c r="L1120" s="1">
        <v>6.0</v>
      </c>
      <c r="M1120" s="2">
        <v>42058.0</v>
      </c>
      <c r="N1120" s="1" t="s">
        <v>634</v>
      </c>
      <c r="O1120" s="2">
        <v>42114.0</v>
      </c>
      <c r="P1120" s="1">
        <v>501194.0</v>
      </c>
      <c r="Q1120" s="1">
        <v>51720.0</v>
      </c>
      <c r="R1120" s="1">
        <v>3.0</v>
      </c>
      <c r="S1120" s="1">
        <v>10032.0</v>
      </c>
      <c r="T1120" s="1" t="s">
        <v>2966</v>
      </c>
      <c r="U1120" s="1" t="s">
        <v>189</v>
      </c>
      <c r="V1120" s="1" t="s">
        <v>190</v>
      </c>
      <c r="W1120" s="1">
        <v>60628.0</v>
      </c>
      <c r="Y1120" s="1" t="s">
        <v>12254</v>
      </c>
      <c r="Z1120" s="1">
        <v>1938.0</v>
      </c>
      <c r="AA1120" s="1" t="s">
        <v>192</v>
      </c>
      <c r="AB1120" s="1" t="s">
        <v>193</v>
      </c>
      <c r="AD1120" s="1" t="s">
        <v>194</v>
      </c>
      <c r="AE1120" s="1" t="s">
        <v>195</v>
      </c>
      <c r="AF1120" s="1" t="s">
        <v>637</v>
      </c>
      <c r="AH1120" s="1">
        <v>3750.0</v>
      </c>
      <c r="AI1120" s="1">
        <v>0.0861</v>
      </c>
      <c r="AK1120" s="1">
        <v>8.0</v>
      </c>
      <c r="AL1120" s="1">
        <v>3.0</v>
      </c>
      <c r="AM1120" s="1">
        <v>3.0</v>
      </c>
      <c r="AN1120" s="1">
        <v>0.0</v>
      </c>
      <c r="AO1120" s="1" t="s">
        <v>198</v>
      </c>
      <c r="AQ1120" s="1" t="s">
        <v>198</v>
      </c>
      <c r="AR1120" s="1" t="s">
        <v>192</v>
      </c>
      <c r="AS1120" s="1" t="s">
        <v>199</v>
      </c>
      <c r="AT1120" s="1">
        <v>2.0</v>
      </c>
      <c r="AV1120" s="1" t="s">
        <v>200</v>
      </c>
      <c r="AW1120" s="1">
        <v>2078.23</v>
      </c>
      <c r="AX1120" s="1">
        <v>2013.0</v>
      </c>
      <c r="AZ1120" s="1" t="s">
        <v>200</v>
      </c>
      <c r="BA1120" s="1" t="str">
        <f>"25103130320000"</f>
        <v>25103130320000</v>
      </c>
      <c r="BC1120" s="1">
        <v>1500.0</v>
      </c>
      <c r="BD1120" s="1">
        <v>160000.0</v>
      </c>
      <c r="BE1120" s="2">
        <v>42053.0</v>
      </c>
      <c r="BF1120" s="2" t="s">
        <v>12255</v>
      </c>
      <c r="BH1120" s="1">
        <v>0.0</v>
      </c>
      <c r="BK1120" s="1" t="s">
        <v>204</v>
      </c>
      <c r="BL1120" s="1" t="str">
        <f>"0"</f>
        <v>0</v>
      </c>
      <c r="BM1120" s="1" t="str">
        <f>"344"</f>
        <v>344</v>
      </c>
      <c r="BN1120" s="1">
        <v>0.0</v>
      </c>
      <c r="BO1120" s="1">
        <v>10032.0</v>
      </c>
      <c r="BQ1120" s="1">
        <v>299.0</v>
      </c>
      <c r="BR1120" s="1">
        <v>299.0</v>
      </c>
      <c r="BS1120" s="1">
        <v>299.0</v>
      </c>
      <c r="BU1120" s="1" t="s">
        <v>433</v>
      </c>
      <c r="BV1120" s="1" t="s">
        <v>206</v>
      </c>
      <c r="BW1120" s="1" t="s">
        <v>207</v>
      </c>
      <c r="BY1120" s="1" t="s">
        <v>616</v>
      </c>
      <c r="BZ1120" s="1" t="s">
        <v>209</v>
      </c>
      <c r="CA1120" s="1" t="s">
        <v>210</v>
      </c>
      <c r="CC1120" s="1" t="s">
        <v>543</v>
      </c>
      <c r="CD1120" s="1" t="s">
        <v>206</v>
      </c>
      <c r="CE1120" s="1" t="s">
        <v>207</v>
      </c>
      <c r="CG1120" s="1" t="s">
        <v>497</v>
      </c>
      <c r="CH1120" s="1" t="s">
        <v>206</v>
      </c>
      <c r="CI1120" s="1" t="s">
        <v>210</v>
      </c>
      <c r="CK1120" s="1" t="s">
        <v>495</v>
      </c>
      <c r="CL1120" s="1" t="s">
        <v>206</v>
      </c>
      <c r="CM1120" s="1" t="s">
        <v>210</v>
      </c>
      <c r="CO1120" s="1" t="s">
        <v>640</v>
      </c>
      <c r="CP1120" s="1" t="s">
        <v>42</v>
      </c>
      <c r="CQ1120" s="1" t="s">
        <v>268</v>
      </c>
      <c r="CS1120" s="1" t="s">
        <v>1875</v>
      </c>
      <c r="CT1120" s="1" t="s">
        <v>206</v>
      </c>
      <c r="CU1120" s="1" t="s">
        <v>207</v>
      </c>
      <c r="CW1120" s="1" t="s">
        <v>346</v>
      </c>
      <c r="CX1120" s="1" t="s">
        <v>42</v>
      </c>
      <c r="CY1120" s="1" t="s">
        <v>268</v>
      </c>
      <c r="DA1120" s="1" t="s">
        <v>200</v>
      </c>
      <c r="DC1120" s="1" t="s">
        <v>1399</v>
      </c>
      <c r="DE1120" s="1" t="s">
        <v>273</v>
      </c>
      <c r="DF1120" s="1" t="s">
        <v>219</v>
      </c>
      <c r="DH1120" s="1" t="s">
        <v>365</v>
      </c>
      <c r="DI1120" s="1" t="s">
        <v>366</v>
      </c>
      <c r="DJ1120" s="1" t="s">
        <v>222</v>
      </c>
      <c r="DL1120" s="1" t="s">
        <v>224</v>
      </c>
      <c r="DM1120" s="1" t="s">
        <v>229</v>
      </c>
      <c r="DQ1120" s="1" t="s">
        <v>228</v>
      </c>
      <c r="DR1120" s="1" t="s">
        <v>229</v>
      </c>
      <c r="DS1120" s="1" t="s">
        <v>230</v>
      </c>
      <c r="DV1120" s="1" t="s">
        <v>232</v>
      </c>
      <c r="DW1120" s="1" t="s">
        <v>279</v>
      </c>
      <c r="DX1120" s="1" t="s">
        <v>234</v>
      </c>
      <c r="DY1120" s="1" t="s">
        <v>553</v>
      </c>
      <c r="EA1120" s="1" t="s">
        <v>1075</v>
      </c>
      <c r="EC1120" s="1" t="s">
        <v>645</v>
      </c>
      <c r="EE1120" s="1" t="s">
        <v>493</v>
      </c>
      <c r="EM1120" s="1" t="s">
        <v>238</v>
      </c>
      <c r="EQ1120" s="1" t="s">
        <v>238</v>
      </c>
      <c r="EU1120" s="1" t="s">
        <v>238</v>
      </c>
      <c r="EY1120" s="1" t="s">
        <v>238</v>
      </c>
      <c r="FC1120" s="1" t="s">
        <v>238</v>
      </c>
      <c r="FF1120" s="1" t="s">
        <v>229</v>
      </c>
      <c r="FG1120" s="1" t="s">
        <v>200</v>
      </c>
      <c r="FH1120" s="1" t="s">
        <v>200</v>
      </c>
      <c r="FJ1120" s="1" t="s">
        <v>648</v>
      </c>
      <c r="FK1120" s="1" t="s">
        <v>229</v>
      </c>
      <c r="FL1120" s="1" t="s">
        <v>649</v>
      </c>
      <c r="FM1120" s="1">
        <v>60296.0</v>
      </c>
      <c r="FN1120" s="1" t="s">
        <v>650</v>
      </c>
      <c r="FO1120" s="1" t="s">
        <v>651</v>
      </c>
      <c r="FP1120" s="1">
        <v>602837.0</v>
      </c>
      <c r="FQ1120" s="1" t="s">
        <v>652</v>
      </c>
      <c r="FR1120" s="1">
        <v>602442.0</v>
      </c>
      <c r="FU1120" s="1" t="s">
        <v>653</v>
      </c>
      <c r="FV1120" s="1" t="s">
        <v>200</v>
      </c>
      <c r="FW1120" s="1" t="s">
        <v>654</v>
      </c>
      <c r="FX1120" s="1" t="s">
        <v>655</v>
      </c>
      <c r="FZ1120" s="1" t="s">
        <v>229</v>
      </c>
      <c r="GA1120" s="1" t="s">
        <v>291</v>
      </c>
      <c r="GB1120" s="2">
        <v>42114.0</v>
      </c>
      <c r="GC1120" s="1" t="s">
        <v>1372</v>
      </c>
    </row>
    <row r="1121">
      <c r="A1121" s="1">
        <v>237990.0</v>
      </c>
      <c r="B1121" s="1" t="s">
        <v>185</v>
      </c>
      <c r="C1121" s="1" t="str">
        <f>"08844846"</f>
        <v>08844846</v>
      </c>
      <c r="D1121" s="1" t="s">
        <v>186</v>
      </c>
      <c r="F1121" s="1" t="str">
        <f>"140"</f>
        <v>140</v>
      </c>
      <c r="G1121" s="2">
        <v>42058.0</v>
      </c>
      <c r="H1121" s="1">
        <v>240990.0</v>
      </c>
      <c r="I1121" s="1">
        <v>51.0</v>
      </c>
      <c r="J1121" s="1">
        <v>237990.0</v>
      </c>
      <c r="K1121" s="2">
        <v>42108.0</v>
      </c>
      <c r="L1121" s="1">
        <v>51.0</v>
      </c>
      <c r="M1121" s="2">
        <v>42108.0</v>
      </c>
      <c r="N1121" s="1" t="s">
        <v>187</v>
      </c>
      <c r="O1121" s="2">
        <v>42136.0</v>
      </c>
      <c r="P1121" s="1">
        <v>99995.0</v>
      </c>
      <c r="Q1121" s="1" t="s">
        <v>947</v>
      </c>
      <c r="S1121" s="1">
        <v>1385.0</v>
      </c>
      <c r="T1121" s="1" t="s">
        <v>12256</v>
      </c>
      <c r="U1121" s="1" t="s">
        <v>569</v>
      </c>
      <c r="V1121" s="1" t="s">
        <v>4858</v>
      </c>
      <c r="W1121" s="1">
        <v>60140.0</v>
      </c>
      <c r="Y1121" s="1" t="s">
        <v>11639</v>
      </c>
      <c r="Z1121" s="1">
        <v>2014.0</v>
      </c>
      <c r="AA1121" s="1" t="s">
        <v>200</v>
      </c>
      <c r="AB1121" s="1" t="s">
        <v>193</v>
      </c>
      <c r="AC1121" s="1" t="s">
        <v>6189</v>
      </c>
      <c r="AD1121" s="1" t="s">
        <v>4860</v>
      </c>
      <c r="AE1121" s="1" t="s">
        <v>325</v>
      </c>
      <c r="AF1121" s="1" t="s">
        <v>3429</v>
      </c>
      <c r="AG1121" s="1" t="s">
        <v>11640</v>
      </c>
      <c r="AH1121" s="1" t="s">
        <v>11641</v>
      </c>
      <c r="AK1121" s="1">
        <v>10.0</v>
      </c>
      <c r="AL1121" s="1">
        <v>4.0</v>
      </c>
      <c r="AM1121" s="1">
        <v>2.0</v>
      </c>
      <c r="AN1121" s="1">
        <v>1.0</v>
      </c>
      <c r="AO1121" s="1" t="s">
        <v>198</v>
      </c>
      <c r="AQ1121" s="1" t="s">
        <v>229</v>
      </c>
      <c r="AS1121" s="1" t="s">
        <v>199</v>
      </c>
      <c r="AT1121" s="1">
        <v>2.0</v>
      </c>
      <c r="AV1121" s="1" t="s">
        <v>200</v>
      </c>
      <c r="AW1121" s="1" t="s">
        <v>575</v>
      </c>
      <c r="AX1121" s="1">
        <v>2013.0</v>
      </c>
      <c r="AY1121" s="1" t="s">
        <v>229</v>
      </c>
      <c r="AZ1121" s="1" t="s">
        <v>200</v>
      </c>
      <c r="BA1121" s="1" t="str">
        <f>"0229328008"</f>
        <v>0229328008</v>
      </c>
      <c r="BB1121" s="1" t="s">
        <v>200</v>
      </c>
      <c r="BC1121" s="1">
        <v>2799.0</v>
      </c>
      <c r="BD1121" s="1">
        <v>237990.0</v>
      </c>
      <c r="BE1121" s="2">
        <v>42058.0</v>
      </c>
      <c r="BF1121" s="2" t="s">
        <v>12257</v>
      </c>
      <c r="BG1121" s="1" t="s">
        <v>6193</v>
      </c>
      <c r="BH1121" s="1">
        <v>66.0</v>
      </c>
      <c r="BI1121" s="1" t="s">
        <v>5040</v>
      </c>
      <c r="BJ1121" s="1" t="s">
        <v>1182</v>
      </c>
      <c r="BK1121" s="1" t="s">
        <v>474</v>
      </c>
      <c r="BL1121" s="1" t="str">
        <f t="shared" ref="BL1121:BM1121" si="748">""</f>
        <v/>
      </c>
      <c r="BM1121" s="1" t="str">
        <f t="shared" si="748"/>
        <v/>
      </c>
      <c r="BP1121" s="1" t="s">
        <v>11643</v>
      </c>
      <c r="BQ1121" s="1">
        <v>300.0</v>
      </c>
      <c r="BR1121" s="1">
        <v>300.0</v>
      </c>
      <c r="BS1121" s="1">
        <v>300.0</v>
      </c>
      <c r="BU1121" s="1" t="s">
        <v>1492</v>
      </c>
      <c r="BV1121" s="1" t="s">
        <v>206</v>
      </c>
      <c r="BW1121" s="1" t="s">
        <v>210</v>
      </c>
      <c r="BX1121" s="1" t="s">
        <v>229</v>
      </c>
      <c r="BY1121" s="1" t="s">
        <v>616</v>
      </c>
      <c r="BZ1121" s="1" t="s">
        <v>209</v>
      </c>
      <c r="CA1121" s="1" t="s">
        <v>210</v>
      </c>
      <c r="CC1121" s="1" t="s">
        <v>542</v>
      </c>
      <c r="CD1121" s="1" t="s">
        <v>206</v>
      </c>
      <c r="CE1121" s="1" t="s">
        <v>210</v>
      </c>
      <c r="CF1121" s="1" t="s">
        <v>229</v>
      </c>
      <c r="CG1121" s="1" t="s">
        <v>497</v>
      </c>
      <c r="CH1121" s="1" t="s">
        <v>209</v>
      </c>
      <c r="CI1121" s="1" t="s">
        <v>210</v>
      </c>
      <c r="CK1121" s="1" t="s">
        <v>830</v>
      </c>
      <c r="CL1121" s="1" t="s">
        <v>209</v>
      </c>
      <c r="CM1121" s="1" t="s">
        <v>210</v>
      </c>
      <c r="CO1121" s="1" t="s">
        <v>1064</v>
      </c>
      <c r="CP1121" s="1" t="s">
        <v>209</v>
      </c>
      <c r="CQ1121" s="1" t="s">
        <v>210</v>
      </c>
      <c r="CS1121" s="1" t="s">
        <v>1190</v>
      </c>
      <c r="CT1121" s="1" t="s">
        <v>206</v>
      </c>
      <c r="CU1121" s="1" t="s">
        <v>301</v>
      </c>
      <c r="CV1121" s="1" t="s">
        <v>229</v>
      </c>
      <c r="CW1121" s="1" t="s">
        <v>1063</v>
      </c>
      <c r="CX1121" s="1" t="s">
        <v>206</v>
      </c>
      <c r="CY1121" s="1" t="s">
        <v>210</v>
      </c>
      <c r="DA1121" s="1" t="s">
        <v>192</v>
      </c>
      <c r="DB1121" s="2">
        <v>42093.0</v>
      </c>
      <c r="DC1121" s="1" t="s">
        <v>744</v>
      </c>
      <c r="DD1121" s="1" t="s">
        <v>586</v>
      </c>
      <c r="DE1121" s="1" t="s">
        <v>273</v>
      </c>
      <c r="DF1121" s="1" t="s">
        <v>219</v>
      </c>
      <c r="DG1121" s="1" t="s">
        <v>2379</v>
      </c>
      <c r="DH1121" s="1" t="s">
        <v>220</v>
      </c>
      <c r="DI1121" s="1" t="s">
        <v>732</v>
      </c>
      <c r="DJ1121" s="1" t="s">
        <v>222</v>
      </c>
      <c r="DL1121" s="1" t="s">
        <v>229</v>
      </c>
      <c r="DM1121" s="1" t="s">
        <v>1022</v>
      </c>
      <c r="DN1121" s="1" t="s">
        <v>548</v>
      </c>
      <c r="DP1121" s="1" t="s">
        <v>276</v>
      </c>
      <c r="DQ1121" s="1" t="s">
        <v>228</v>
      </c>
      <c r="DR1121" s="1" t="s">
        <v>1980</v>
      </c>
      <c r="DS1121" s="1" t="s">
        <v>591</v>
      </c>
      <c r="DT1121" s="1" t="s">
        <v>12258</v>
      </c>
      <c r="DV1121" s="1" t="s">
        <v>11669</v>
      </c>
      <c r="DW1121" s="1" t="s">
        <v>233</v>
      </c>
      <c r="DX1121" s="1" t="s">
        <v>234</v>
      </c>
      <c r="DY1121" s="1" t="s">
        <v>2446</v>
      </c>
      <c r="EA1121" s="1" t="s">
        <v>344</v>
      </c>
      <c r="EC1121" s="1" t="s">
        <v>237</v>
      </c>
      <c r="ED1121" s="1" t="s">
        <v>5333</v>
      </c>
      <c r="EE1121" s="1" t="s">
        <v>493</v>
      </c>
      <c r="EG1121" s="1" t="s">
        <v>557</v>
      </c>
      <c r="EH1121" s="1" t="s">
        <v>449</v>
      </c>
      <c r="EL1121" s="1" t="s">
        <v>2273</v>
      </c>
      <c r="EM1121" s="1" t="s">
        <v>209</v>
      </c>
      <c r="EN1121" s="1" t="s">
        <v>210</v>
      </c>
      <c r="EP1121" s="1" t="s">
        <v>1418</v>
      </c>
      <c r="EQ1121" s="1" t="s">
        <v>206</v>
      </c>
      <c r="ER1121" s="1" t="s">
        <v>301</v>
      </c>
      <c r="EU1121" s="1" t="s">
        <v>238</v>
      </c>
      <c r="EY1121" s="1" t="s">
        <v>238</v>
      </c>
      <c r="FC1121" s="1" t="s">
        <v>238</v>
      </c>
      <c r="FF1121" s="1" t="s">
        <v>239</v>
      </c>
      <c r="FG1121" s="1" t="s">
        <v>192</v>
      </c>
      <c r="FH1121" s="1" t="s">
        <v>192</v>
      </c>
      <c r="FJ1121" s="1" t="s">
        <v>347</v>
      </c>
      <c r="FK1121" s="1" t="s">
        <v>229</v>
      </c>
      <c r="FL1121" s="1" t="s">
        <v>2448</v>
      </c>
      <c r="FM1121" s="1">
        <v>92038.0</v>
      </c>
      <c r="FN1121" s="1" t="s">
        <v>2449</v>
      </c>
      <c r="FO1121" s="1" t="s">
        <v>2450</v>
      </c>
      <c r="FP1121" s="1">
        <v>21137.0</v>
      </c>
      <c r="FQ1121" s="1" t="s">
        <v>2451</v>
      </c>
      <c r="FS1121" s="1" t="s">
        <v>12259</v>
      </c>
      <c r="FT1121" s="1" t="s">
        <v>6199</v>
      </c>
      <c r="FU1121" s="1" t="s">
        <v>12260</v>
      </c>
      <c r="FV1121" s="1" t="s">
        <v>200</v>
      </c>
      <c r="FW1121" s="1" t="s">
        <v>2453</v>
      </c>
      <c r="FZ1121" s="1" t="s">
        <v>229</v>
      </c>
      <c r="GA1121" s="1" t="s">
        <v>291</v>
      </c>
      <c r="GB1121" s="2">
        <v>42148.0</v>
      </c>
      <c r="GC1121" s="1" t="s">
        <v>12261</v>
      </c>
    </row>
    <row r="1122">
      <c r="A1122" s="1">
        <v>250000.0</v>
      </c>
      <c r="B1122" s="1" t="s">
        <v>185</v>
      </c>
      <c r="C1122" s="1" t="str">
        <f>"08843834"</f>
        <v>08843834</v>
      </c>
      <c r="D1122" s="1" t="s">
        <v>186</v>
      </c>
      <c r="F1122" s="1" t="str">
        <f>"554"</f>
        <v>554</v>
      </c>
      <c r="G1122" s="2">
        <v>42056.0</v>
      </c>
      <c r="H1122" s="1">
        <v>250000.0</v>
      </c>
      <c r="I1122" s="1">
        <v>10.0</v>
      </c>
      <c r="J1122" s="1">
        <v>250000.0</v>
      </c>
      <c r="K1122" s="2">
        <v>42065.0</v>
      </c>
      <c r="L1122" s="1">
        <v>10.0</v>
      </c>
      <c r="M1122" s="2">
        <v>42065.0</v>
      </c>
      <c r="N1122" s="1" t="s">
        <v>356</v>
      </c>
      <c r="O1122" s="2">
        <v>42124.0</v>
      </c>
      <c r="P1122" s="1">
        <v>253931.0</v>
      </c>
      <c r="Q1122" s="1">
        <v>25163.0</v>
      </c>
      <c r="R1122" s="1">
        <v>6000.0</v>
      </c>
      <c r="S1122" s="1">
        <v>331.0</v>
      </c>
      <c r="T1122" s="1" t="s">
        <v>12262</v>
      </c>
      <c r="U1122" s="1" t="s">
        <v>569</v>
      </c>
      <c r="V1122" s="1" t="s">
        <v>2212</v>
      </c>
      <c r="W1122" s="1">
        <v>60554.0</v>
      </c>
      <c r="Y1122" s="1" t="s">
        <v>12263</v>
      </c>
      <c r="Z1122" s="1">
        <v>2006.0</v>
      </c>
      <c r="AA1122" s="1" t="s">
        <v>200</v>
      </c>
      <c r="AB1122" s="1" t="s">
        <v>467</v>
      </c>
      <c r="AC1122" s="1" t="s">
        <v>12264</v>
      </c>
      <c r="AD1122" s="1" t="s">
        <v>1887</v>
      </c>
      <c r="AE1122" s="1" t="s">
        <v>325</v>
      </c>
      <c r="AF1122" s="1" t="s">
        <v>1887</v>
      </c>
      <c r="AG1122" s="1" t="s">
        <v>12265</v>
      </c>
      <c r="AH1122" s="1" t="s">
        <v>5193</v>
      </c>
      <c r="AK1122" s="1">
        <v>9.0</v>
      </c>
      <c r="AL1122" s="1">
        <v>4.0</v>
      </c>
      <c r="AM1122" s="1">
        <v>2.0</v>
      </c>
      <c r="AN1122" s="1">
        <v>1.0</v>
      </c>
      <c r="AO1122" s="1" t="s">
        <v>198</v>
      </c>
      <c r="AP1122" s="1">
        <v>1.0</v>
      </c>
      <c r="AQ1122" s="1" t="s">
        <v>472</v>
      </c>
      <c r="AR1122" s="1" t="s">
        <v>200</v>
      </c>
      <c r="AS1122" s="1" t="s">
        <v>199</v>
      </c>
      <c r="AT1122" s="1">
        <v>3.0</v>
      </c>
      <c r="AV1122" s="1" t="s">
        <v>200</v>
      </c>
      <c r="AW1122" s="1">
        <v>7588.54</v>
      </c>
      <c r="AX1122" s="1">
        <v>2013.0</v>
      </c>
      <c r="AY1122" s="1" t="s">
        <v>387</v>
      </c>
      <c r="AZ1122" s="1" t="s">
        <v>200</v>
      </c>
      <c r="BA1122" s="1" t="str">
        <f>"1416104010"</f>
        <v>1416104010</v>
      </c>
      <c r="BB1122" s="1" t="s">
        <v>200</v>
      </c>
      <c r="BC1122" s="1">
        <v>2381.0</v>
      </c>
      <c r="BD1122" s="1">
        <v>250000.0</v>
      </c>
      <c r="BE1122" s="2">
        <v>42056.0</v>
      </c>
      <c r="BF1122" s="2" t="s">
        <v>12266</v>
      </c>
      <c r="BG1122" s="1" t="s">
        <v>2218</v>
      </c>
      <c r="BH1122" s="1">
        <v>289.0</v>
      </c>
      <c r="BI1122" s="1" t="s">
        <v>1635</v>
      </c>
      <c r="BJ1122" s="1" t="s">
        <v>1636</v>
      </c>
      <c r="BK1122" s="1" t="s">
        <v>580</v>
      </c>
      <c r="BL1122" s="1" t="str">
        <f t="shared" ref="BL1122:BM1122" si="749">"0"</f>
        <v>0</v>
      </c>
      <c r="BM1122" s="1" t="str">
        <f t="shared" si="749"/>
        <v>0</v>
      </c>
      <c r="BN1122" s="1">
        <v>47.0</v>
      </c>
      <c r="BO1122" s="1">
        <v>4.0</v>
      </c>
      <c r="BQ1122" s="1">
        <v>302.0</v>
      </c>
      <c r="BR1122" s="1">
        <v>302.0</v>
      </c>
      <c r="BS1122" s="1">
        <v>302.0</v>
      </c>
      <c r="BU1122" s="1" t="s">
        <v>215</v>
      </c>
      <c r="BV1122" s="1" t="s">
        <v>206</v>
      </c>
      <c r="BW1122" s="1" t="s">
        <v>210</v>
      </c>
      <c r="BX1122" s="1" t="s">
        <v>239</v>
      </c>
      <c r="BY1122" s="1" t="s">
        <v>390</v>
      </c>
      <c r="BZ1122" s="1" t="s">
        <v>209</v>
      </c>
      <c r="CA1122" s="1" t="s">
        <v>210</v>
      </c>
      <c r="CB1122" s="1" t="s">
        <v>239</v>
      </c>
      <c r="CC1122" s="1" t="s">
        <v>215</v>
      </c>
      <c r="CD1122" s="1" t="s">
        <v>206</v>
      </c>
      <c r="CE1122" s="1" t="s">
        <v>210</v>
      </c>
      <c r="CF1122" s="1" t="s">
        <v>239</v>
      </c>
      <c r="CG1122" s="1" t="s">
        <v>212</v>
      </c>
      <c r="CH1122" s="1" t="s">
        <v>209</v>
      </c>
      <c r="CI1122" s="1" t="s">
        <v>210</v>
      </c>
      <c r="CJ1122" s="1" t="s">
        <v>239</v>
      </c>
      <c r="CK1122" s="1" t="s">
        <v>212</v>
      </c>
      <c r="CL1122" s="1" t="s">
        <v>209</v>
      </c>
      <c r="CM1122" s="1" t="s">
        <v>210</v>
      </c>
      <c r="CN1122" s="1" t="s">
        <v>239</v>
      </c>
      <c r="CO1122" s="1" t="s">
        <v>363</v>
      </c>
      <c r="CP1122" s="1" t="s">
        <v>209</v>
      </c>
      <c r="CQ1122" s="1" t="s">
        <v>210</v>
      </c>
      <c r="CR1122" s="1" t="s">
        <v>239</v>
      </c>
      <c r="CS1122" s="1" t="s">
        <v>1417</v>
      </c>
      <c r="CT1122" s="1" t="s">
        <v>206</v>
      </c>
      <c r="CU1122" s="1" t="s">
        <v>268</v>
      </c>
      <c r="CV1122" s="1" t="s">
        <v>239</v>
      </c>
      <c r="CW1122" s="1" t="s">
        <v>432</v>
      </c>
      <c r="CX1122" s="1" t="s">
        <v>206</v>
      </c>
      <c r="CY1122" s="1" t="s">
        <v>210</v>
      </c>
      <c r="CZ1122" s="1" t="s">
        <v>239</v>
      </c>
      <c r="DA1122" s="1" t="s">
        <v>200</v>
      </c>
      <c r="DC1122" s="1" t="s">
        <v>481</v>
      </c>
      <c r="DD1122" s="1" t="s">
        <v>1954</v>
      </c>
      <c r="DE1122" s="1" t="s">
        <v>273</v>
      </c>
      <c r="DF1122" s="1" t="s">
        <v>219</v>
      </c>
      <c r="DG1122" s="1" t="s">
        <v>482</v>
      </c>
      <c r="DH1122" s="1" t="s">
        <v>220</v>
      </c>
      <c r="DI1122" s="1" t="s">
        <v>519</v>
      </c>
      <c r="DJ1122" s="1" t="s">
        <v>222</v>
      </c>
      <c r="DK1122" s="1" t="s">
        <v>223</v>
      </c>
      <c r="DL1122" s="1" t="s">
        <v>484</v>
      </c>
      <c r="DM1122" s="1" t="s">
        <v>1268</v>
      </c>
      <c r="DN1122" s="1" t="s">
        <v>485</v>
      </c>
      <c r="DO1122" s="1" t="s">
        <v>12267</v>
      </c>
      <c r="DP1122" s="1" t="s">
        <v>340</v>
      </c>
      <c r="DQ1122" s="1" t="s">
        <v>441</v>
      </c>
      <c r="DR1122" s="1" t="s">
        <v>588</v>
      </c>
      <c r="DS1122" s="1" t="s">
        <v>368</v>
      </c>
      <c r="DU1122" s="1" t="s">
        <v>1840</v>
      </c>
      <c r="DV1122" s="1" t="s">
        <v>556</v>
      </c>
      <c r="DW1122" s="1" t="s">
        <v>444</v>
      </c>
      <c r="DX1122" s="1" t="s">
        <v>234</v>
      </c>
      <c r="DY1122" s="1" t="s">
        <v>1189</v>
      </c>
      <c r="EB1122" s="1" t="s">
        <v>2183</v>
      </c>
      <c r="EC1122" s="1" t="s">
        <v>237</v>
      </c>
      <c r="ED1122" s="1" t="s">
        <v>10039</v>
      </c>
      <c r="EG1122" s="1" t="s">
        <v>556</v>
      </c>
      <c r="EL1122" s="1" t="s">
        <v>266</v>
      </c>
      <c r="EM1122" s="1" t="s">
        <v>206</v>
      </c>
      <c r="EN1122" s="1" t="s">
        <v>268</v>
      </c>
      <c r="EO1122" s="1" t="s">
        <v>239</v>
      </c>
      <c r="EQ1122" s="1" t="s">
        <v>238</v>
      </c>
      <c r="EU1122" s="1" t="s">
        <v>238</v>
      </c>
      <c r="EY1122" s="1" t="s">
        <v>238</v>
      </c>
      <c r="FC1122" s="1" t="s">
        <v>238</v>
      </c>
      <c r="FF1122" s="1" t="s">
        <v>239</v>
      </c>
      <c r="FG1122" s="1" t="s">
        <v>192</v>
      </c>
      <c r="FH1122" s="1" t="s">
        <v>192</v>
      </c>
      <c r="FJ1122" s="1" t="s">
        <v>2225</v>
      </c>
      <c r="FK1122" s="1" t="s">
        <v>229</v>
      </c>
      <c r="FL1122" s="1" t="s">
        <v>2226</v>
      </c>
      <c r="FM1122" s="1">
        <v>300.0</v>
      </c>
      <c r="FN1122" s="1" t="s">
        <v>2227</v>
      </c>
      <c r="FO1122" s="1" t="s">
        <v>2228</v>
      </c>
      <c r="FP1122" s="1">
        <v>313816.0</v>
      </c>
      <c r="FQ1122" s="1" t="s">
        <v>2229</v>
      </c>
      <c r="FR1122" s="1">
        <v>8490.0</v>
      </c>
      <c r="FS1122" s="1" t="s">
        <v>2230</v>
      </c>
      <c r="FU1122" s="1" t="s">
        <v>12268</v>
      </c>
      <c r="FV1122" s="1" t="s">
        <v>200</v>
      </c>
      <c r="FW1122" s="1" t="s">
        <v>567</v>
      </c>
      <c r="FZ1122" s="1" t="s">
        <v>229</v>
      </c>
      <c r="GA1122" s="1" t="s">
        <v>291</v>
      </c>
      <c r="GB1122" s="2">
        <v>42124.0</v>
      </c>
      <c r="GC1122" s="1" t="s">
        <v>12269</v>
      </c>
    </row>
    <row r="1123">
      <c r="A1123" s="1">
        <v>441000.0</v>
      </c>
      <c r="B1123" s="1" t="s">
        <v>185</v>
      </c>
      <c r="C1123" s="1" t="str">
        <f>"08843734"</f>
        <v>08843734</v>
      </c>
      <c r="D1123" s="1" t="s">
        <v>186</v>
      </c>
      <c r="F1123" s="1" t="str">
        <f>"8017"</f>
        <v>8017</v>
      </c>
      <c r="G1123" s="2">
        <v>42056.0</v>
      </c>
      <c r="H1123" s="1">
        <v>445000.0</v>
      </c>
      <c r="I1123" s="1">
        <v>105.0</v>
      </c>
      <c r="J1123" s="1">
        <v>445000.0</v>
      </c>
      <c r="K1123" s="2">
        <v>42059.0</v>
      </c>
      <c r="L1123" s="1">
        <v>4.0</v>
      </c>
      <c r="M1123" s="2">
        <v>42059.0</v>
      </c>
      <c r="N1123" s="1" t="s">
        <v>187</v>
      </c>
      <c r="O1123" s="2">
        <v>42096.0</v>
      </c>
      <c r="P1123" s="1">
        <v>110965.0</v>
      </c>
      <c r="Q1123" s="1">
        <v>13691.0</v>
      </c>
      <c r="S1123" s="1">
        <v>3711.0</v>
      </c>
      <c r="T1123" s="1" t="s">
        <v>12270</v>
      </c>
      <c r="U1123" s="1" t="s">
        <v>189</v>
      </c>
      <c r="V1123" s="1" t="s">
        <v>190</v>
      </c>
      <c r="W1123" s="1">
        <v>60634.0</v>
      </c>
      <c r="Y1123" s="1" t="s">
        <v>12271</v>
      </c>
      <c r="Z1123" s="1">
        <v>2007.0</v>
      </c>
      <c r="AA1123" s="1" t="s">
        <v>200</v>
      </c>
      <c r="AB1123" s="1" t="s">
        <v>193</v>
      </c>
      <c r="AD1123" s="1" t="s">
        <v>194</v>
      </c>
      <c r="AE1123" s="1" t="s">
        <v>195</v>
      </c>
      <c r="AF1123" s="1" t="s">
        <v>196</v>
      </c>
      <c r="AH1123" s="1" t="s">
        <v>1501</v>
      </c>
      <c r="AK1123" s="1">
        <v>8.0</v>
      </c>
      <c r="AL1123" s="1">
        <v>3.0</v>
      </c>
      <c r="AM1123" s="1">
        <v>3.0</v>
      </c>
      <c r="AN1123" s="1">
        <v>1.0</v>
      </c>
      <c r="AO1123" s="1" t="s">
        <v>198</v>
      </c>
      <c r="AP1123" s="1">
        <v>1.0</v>
      </c>
      <c r="AQ1123" s="1" t="s">
        <v>198</v>
      </c>
      <c r="AR1123" s="1" t="s">
        <v>192</v>
      </c>
      <c r="AS1123" s="1" t="s">
        <v>199</v>
      </c>
      <c r="AT1123" s="1">
        <v>2.0</v>
      </c>
      <c r="AV1123" s="1" t="s">
        <v>200</v>
      </c>
      <c r="AW1123" s="1">
        <v>6631.07</v>
      </c>
      <c r="AX1123" s="1">
        <v>2013.0</v>
      </c>
      <c r="AY1123" s="1" t="s">
        <v>229</v>
      </c>
      <c r="AZ1123" s="1" t="s">
        <v>200</v>
      </c>
      <c r="BA1123" s="1" t="str">
        <f>"12242220200000"</f>
        <v>12242220200000</v>
      </c>
      <c r="BB1123" s="1" t="s">
        <v>200</v>
      </c>
      <c r="BC1123" s="1">
        <v>3600.0</v>
      </c>
      <c r="BD1123" s="1">
        <v>441000.0</v>
      </c>
      <c r="BE1123" s="2">
        <v>42056.0</v>
      </c>
      <c r="BF1123" s="2" t="s">
        <v>12272</v>
      </c>
      <c r="BH1123" s="1">
        <v>0.0</v>
      </c>
      <c r="BK1123" s="1" t="s">
        <v>204</v>
      </c>
      <c r="BL1123" s="1" t="str">
        <f>"3711"</f>
        <v>3711</v>
      </c>
      <c r="BM1123" s="1" t="str">
        <f>"0"</f>
        <v>0</v>
      </c>
      <c r="BN1123" s="1">
        <v>7330.0</v>
      </c>
      <c r="BO1123" s="1">
        <v>0.0</v>
      </c>
      <c r="BQ1123" s="1">
        <v>299.0</v>
      </c>
      <c r="BR1123" s="1">
        <v>299.0</v>
      </c>
      <c r="BS1123" s="1">
        <v>299.0</v>
      </c>
      <c r="BU1123" s="1" t="s">
        <v>12273</v>
      </c>
      <c r="BV1123" s="1" t="s">
        <v>206</v>
      </c>
      <c r="BW1123" s="1" t="s">
        <v>207</v>
      </c>
      <c r="BY1123" s="1" t="s">
        <v>304</v>
      </c>
      <c r="BZ1123" s="1" t="s">
        <v>209</v>
      </c>
      <c r="CA1123" s="1" t="s">
        <v>207</v>
      </c>
      <c r="CC1123" s="1" t="s">
        <v>542</v>
      </c>
      <c r="CD1123" s="1" t="s">
        <v>206</v>
      </c>
      <c r="CE1123" s="1" t="s">
        <v>207</v>
      </c>
      <c r="CG1123" s="1" t="s">
        <v>304</v>
      </c>
      <c r="CH1123" s="1" t="s">
        <v>209</v>
      </c>
      <c r="CI1123" s="1" t="s">
        <v>207</v>
      </c>
      <c r="CK1123" s="1" t="s">
        <v>332</v>
      </c>
      <c r="CL1123" s="1" t="s">
        <v>209</v>
      </c>
      <c r="CM1123" s="1" t="s">
        <v>207</v>
      </c>
      <c r="CO1123" s="1" t="s">
        <v>1299</v>
      </c>
      <c r="CP1123" s="1" t="s">
        <v>42</v>
      </c>
      <c r="CQ1123" s="1" t="s">
        <v>207</v>
      </c>
      <c r="CS1123" s="1" t="s">
        <v>1623</v>
      </c>
      <c r="CT1123" s="1" t="s">
        <v>206</v>
      </c>
      <c r="CU1123" s="1" t="s">
        <v>207</v>
      </c>
      <c r="CW1123" s="1" t="s">
        <v>12274</v>
      </c>
      <c r="CX1123" s="1" t="s">
        <v>42</v>
      </c>
      <c r="CY1123" s="1" t="s">
        <v>207</v>
      </c>
      <c r="DA1123" s="1" t="s">
        <v>200</v>
      </c>
      <c r="DC1123" s="1" t="s">
        <v>481</v>
      </c>
      <c r="DD1123" s="1" t="s">
        <v>272</v>
      </c>
      <c r="DE1123" s="1" t="s">
        <v>273</v>
      </c>
      <c r="DF1123" s="1" t="s">
        <v>219</v>
      </c>
      <c r="DG1123" s="1" t="s">
        <v>337</v>
      </c>
      <c r="DH1123" s="1" t="s">
        <v>365</v>
      </c>
      <c r="DI1123" s="1" t="s">
        <v>221</v>
      </c>
      <c r="DJ1123" s="1" t="s">
        <v>222</v>
      </c>
      <c r="DK1123" s="1" t="s">
        <v>2312</v>
      </c>
      <c r="DL1123" s="1" t="s">
        <v>224</v>
      </c>
      <c r="DM1123" s="1" t="s">
        <v>225</v>
      </c>
      <c r="DN1123" s="1" t="s">
        <v>399</v>
      </c>
      <c r="DP1123" s="1" t="s">
        <v>276</v>
      </c>
      <c r="DQ1123" s="1" t="s">
        <v>228</v>
      </c>
      <c r="DR1123" s="1" t="s">
        <v>229</v>
      </c>
      <c r="DS1123" s="1" t="s">
        <v>591</v>
      </c>
      <c r="DU1123" s="1" t="s">
        <v>12275</v>
      </c>
      <c r="DV1123" s="1" t="s">
        <v>232</v>
      </c>
      <c r="DW1123" s="1" t="s">
        <v>279</v>
      </c>
      <c r="DX1123" s="1" t="s">
        <v>234</v>
      </c>
      <c r="DY1123" s="1" t="s">
        <v>596</v>
      </c>
      <c r="DZ1123" s="1" t="s">
        <v>310</v>
      </c>
      <c r="EA1123" s="1" t="s">
        <v>344</v>
      </c>
      <c r="EB1123" s="1" t="s">
        <v>492</v>
      </c>
      <c r="EC1123" s="1" t="s">
        <v>237</v>
      </c>
      <c r="EM1123" s="1" t="s">
        <v>238</v>
      </c>
      <c r="EQ1123" s="1" t="s">
        <v>238</v>
      </c>
      <c r="EU1123" s="1" t="s">
        <v>238</v>
      </c>
      <c r="EY1123" s="1" t="s">
        <v>238</v>
      </c>
      <c r="FC1123" s="1" t="s">
        <v>238</v>
      </c>
      <c r="FF1123" s="1" t="s">
        <v>239</v>
      </c>
      <c r="FG1123" s="1" t="s">
        <v>192</v>
      </c>
      <c r="FH1123" s="1" t="s">
        <v>192</v>
      </c>
      <c r="FJ1123" s="1" t="s">
        <v>12276</v>
      </c>
      <c r="FK1123" s="1" t="s">
        <v>348</v>
      </c>
      <c r="FL1123" s="1" t="s">
        <v>12277</v>
      </c>
      <c r="FM1123" s="1">
        <v>24060.0</v>
      </c>
      <c r="FN1123" s="1" t="s">
        <v>5643</v>
      </c>
      <c r="FO1123" s="1" t="s">
        <v>12278</v>
      </c>
      <c r="FP1123" s="1">
        <v>83854.0</v>
      </c>
      <c r="FQ1123" s="1" t="s">
        <v>12279</v>
      </c>
      <c r="FU1123" s="1" t="s">
        <v>12280</v>
      </c>
      <c r="FV1123" s="1" t="s">
        <v>200</v>
      </c>
      <c r="FW1123" s="1" t="s">
        <v>12281</v>
      </c>
      <c r="FX1123" s="1" t="s">
        <v>238</v>
      </c>
      <c r="FZ1123" s="1" t="s">
        <v>229</v>
      </c>
      <c r="GA1123" s="1" t="s">
        <v>291</v>
      </c>
      <c r="GB1123" s="2">
        <v>42096.0</v>
      </c>
      <c r="GC1123" s="1" t="s">
        <v>12282</v>
      </c>
    </row>
    <row r="1124">
      <c r="A1124" s="1">
        <v>154000.0</v>
      </c>
      <c r="B1124" s="1" t="s">
        <v>185</v>
      </c>
      <c r="C1124" s="1" t="str">
        <f>"08841047"</f>
        <v>08841047</v>
      </c>
      <c r="D1124" s="1" t="s">
        <v>186</v>
      </c>
      <c r="F1124" s="1" t="str">
        <f>"123"</f>
        <v>123</v>
      </c>
      <c r="G1124" s="2">
        <v>42053.0</v>
      </c>
      <c r="H1124" s="1">
        <v>164900.0</v>
      </c>
      <c r="I1124" s="1">
        <v>19.0</v>
      </c>
      <c r="J1124" s="1">
        <v>164900.0</v>
      </c>
      <c r="K1124" s="2">
        <v>42070.0</v>
      </c>
      <c r="L1124" s="1">
        <v>19.0</v>
      </c>
      <c r="M1124" s="2">
        <v>42070.0</v>
      </c>
      <c r="N1124" s="1" t="s">
        <v>187</v>
      </c>
      <c r="O1124" s="2">
        <v>42118.0</v>
      </c>
      <c r="P1124" s="1">
        <v>77258.0</v>
      </c>
      <c r="Q1124" s="1">
        <v>7545.0</v>
      </c>
      <c r="S1124" s="1">
        <v>820.0</v>
      </c>
      <c r="T1124" s="1" t="s">
        <v>12283</v>
      </c>
      <c r="U1124" s="1" t="s">
        <v>320</v>
      </c>
      <c r="V1124" s="1" t="s">
        <v>465</v>
      </c>
      <c r="W1124" s="1">
        <v>60123.0</v>
      </c>
      <c r="Y1124" s="1" t="s">
        <v>12284</v>
      </c>
      <c r="Z1124" s="1">
        <v>1974.0</v>
      </c>
      <c r="AA1124" s="1" t="s">
        <v>192</v>
      </c>
      <c r="AB1124" s="1" t="s">
        <v>193</v>
      </c>
      <c r="AD1124" s="1" t="s">
        <v>469</v>
      </c>
      <c r="AE1124" s="1" t="s">
        <v>325</v>
      </c>
      <c r="AF1124" s="1" t="s">
        <v>469</v>
      </c>
      <c r="AH1124" s="1" t="s">
        <v>12285</v>
      </c>
      <c r="AK1124" s="1">
        <v>8.0</v>
      </c>
      <c r="AL1124" s="1">
        <v>4.0</v>
      </c>
      <c r="AM1124" s="1">
        <v>2.0</v>
      </c>
      <c r="AN1124" s="1">
        <v>0.0</v>
      </c>
      <c r="AO1124" s="1" t="s">
        <v>229</v>
      </c>
      <c r="AQ1124" s="1" t="s">
        <v>198</v>
      </c>
      <c r="AR1124" s="1" t="s">
        <v>200</v>
      </c>
      <c r="AS1124" s="1" t="s">
        <v>199</v>
      </c>
      <c r="AT1124" s="1">
        <v>1.5</v>
      </c>
      <c r="AV1124" s="1" t="s">
        <v>200</v>
      </c>
      <c r="AW1124" s="1">
        <v>4222.58</v>
      </c>
      <c r="AX1124" s="1">
        <v>2013.0</v>
      </c>
      <c r="AZ1124" s="1" t="s">
        <v>200</v>
      </c>
      <c r="BA1124" s="1" t="str">
        <f>"0623106011"</f>
        <v>0623106011</v>
      </c>
      <c r="BC1124" s="1">
        <v>1800.0</v>
      </c>
      <c r="BD1124" s="1">
        <v>154000.0</v>
      </c>
      <c r="BE1124" s="2">
        <v>42052.0</v>
      </c>
      <c r="BF1124" s="2" t="s">
        <v>12286</v>
      </c>
      <c r="BH1124" s="1">
        <v>0.0</v>
      </c>
      <c r="BK1124" s="1" t="s">
        <v>204</v>
      </c>
      <c r="BL1124" s="1" t="str">
        <f t="shared" ref="BL1124:BM1124" si="750">""</f>
        <v/>
      </c>
      <c r="BM1124" s="1" t="str">
        <f t="shared" si="750"/>
        <v/>
      </c>
      <c r="BQ1124" s="1">
        <v>46.0</v>
      </c>
      <c r="BR1124" s="1">
        <v>46.0</v>
      </c>
      <c r="BS1124" s="1">
        <v>46.0</v>
      </c>
      <c r="BU1124" s="1" t="s">
        <v>260</v>
      </c>
      <c r="BV1124" s="1" t="s">
        <v>206</v>
      </c>
      <c r="BW1124" s="1" t="s">
        <v>207</v>
      </c>
      <c r="BY1124" s="1" t="s">
        <v>262</v>
      </c>
      <c r="BZ1124" s="1" t="s">
        <v>209</v>
      </c>
      <c r="CA1124" s="1" t="s">
        <v>210</v>
      </c>
      <c r="CD1124" s="1" t="s">
        <v>204</v>
      </c>
      <c r="CG1124" s="1" t="s">
        <v>543</v>
      </c>
      <c r="CH1124" s="1" t="s">
        <v>209</v>
      </c>
      <c r="CI1124" s="1" t="s">
        <v>210</v>
      </c>
      <c r="CK1124" s="1" t="s">
        <v>497</v>
      </c>
      <c r="CL1124" s="1" t="s">
        <v>206</v>
      </c>
      <c r="CM1124" s="1" t="s">
        <v>207</v>
      </c>
      <c r="CO1124" s="1" t="s">
        <v>215</v>
      </c>
      <c r="CP1124" s="1" t="s">
        <v>206</v>
      </c>
      <c r="CQ1124" s="1" t="s">
        <v>207</v>
      </c>
      <c r="CS1124" s="1" t="s">
        <v>2461</v>
      </c>
      <c r="CT1124" s="1" t="s">
        <v>206</v>
      </c>
      <c r="CU1124" s="1" t="s">
        <v>617</v>
      </c>
      <c r="CW1124" s="1" t="s">
        <v>1246</v>
      </c>
      <c r="CX1124" s="1" t="s">
        <v>209</v>
      </c>
      <c r="CY1124" s="1" t="s">
        <v>210</v>
      </c>
      <c r="DA1124" s="1" t="s">
        <v>200</v>
      </c>
      <c r="DC1124" s="1" t="s">
        <v>517</v>
      </c>
      <c r="DE1124" s="1" t="s">
        <v>273</v>
      </c>
      <c r="DF1124" s="1" t="s">
        <v>619</v>
      </c>
      <c r="DH1124" s="1" t="s">
        <v>220</v>
      </c>
      <c r="DJ1124" s="1" t="s">
        <v>222</v>
      </c>
      <c r="DL1124" s="1" t="s">
        <v>224</v>
      </c>
      <c r="DM1124" s="1" t="s">
        <v>3697</v>
      </c>
      <c r="DQ1124" s="1" t="s">
        <v>228</v>
      </c>
      <c r="DR1124" s="1" t="s">
        <v>229</v>
      </c>
      <c r="DV1124" s="1" t="s">
        <v>3397</v>
      </c>
      <c r="DW1124" s="1" t="s">
        <v>964</v>
      </c>
      <c r="DX1124" s="1" t="s">
        <v>234</v>
      </c>
      <c r="DZ1124" s="1" t="s">
        <v>282</v>
      </c>
      <c r="EC1124" s="1" t="s">
        <v>237</v>
      </c>
      <c r="EG1124" s="1" t="s">
        <v>450</v>
      </c>
      <c r="EH1124" s="1" t="s">
        <v>588</v>
      </c>
      <c r="EL1124" s="1" t="s">
        <v>12287</v>
      </c>
      <c r="EM1124" s="1" t="s">
        <v>42</v>
      </c>
      <c r="EN1124" s="1" t="s">
        <v>210</v>
      </c>
      <c r="EP1124" s="1" t="s">
        <v>1418</v>
      </c>
      <c r="EQ1124" s="1" t="s">
        <v>42</v>
      </c>
      <c r="EU1124" s="1" t="s">
        <v>238</v>
      </c>
      <c r="EY1124" s="1" t="s">
        <v>238</v>
      </c>
      <c r="FC1124" s="1" t="s">
        <v>238</v>
      </c>
      <c r="FF1124" s="1" t="s">
        <v>239</v>
      </c>
      <c r="FG1124" s="1" t="s">
        <v>192</v>
      </c>
      <c r="FH1124" s="1" t="s">
        <v>192</v>
      </c>
      <c r="FJ1124" s="1" t="s">
        <v>1450</v>
      </c>
      <c r="FK1124" s="1" t="s">
        <v>229</v>
      </c>
      <c r="FL1124" s="1" t="s">
        <v>12288</v>
      </c>
      <c r="FM1124" s="1">
        <v>237.0</v>
      </c>
      <c r="FN1124" s="1" t="s">
        <v>12289</v>
      </c>
      <c r="FO1124" s="1" t="s">
        <v>12290</v>
      </c>
      <c r="FP1124" s="1">
        <v>8913.0</v>
      </c>
      <c r="FQ1124" s="1" t="s">
        <v>12291</v>
      </c>
      <c r="FU1124" s="1" t="s">
        <v>12292</v>
      </c>
      <c r="FV1124" s="1" t="s">
        <v>192</v>
      </c>
      <c r="FW1124" s="1" t="s">
        <v>290</v>
      </c>
      <c r="FZ1124" s="1" t="s">
        <v>229</v>
      </c>
      <c r="GA1124" s="1" t="s">
        <v>291</v>
      </c>
      <c r="GB1124" s="2">
        <v>42120.0</v>
      </c>
      <c r="GC1124" s="1" t="s">
        <v>12293</v>
      </c>
    </row>
    <row r="1125">
      <c r="A1125" s="1">
        <v>155100.0</v>
      </c>
      <c r="B1125" s="1" t="s">
        <v>185</v>
      </c>
      <c r="C1125" s="1" t="str">
        <f>"08861413"</f>
        <v>08861413</v>
      </c>
      <c r="D1125" s="1" t="s">
        <v>186</v>
      </c>
      <c r="F1125" s="1" t="str">
        <f>"103"</f>
        <v>103</v>
      </c>
      <c r="G1125" s="2">
        <v>42076.0</v>
      </c>
      <c r="H1125" s="1">
        <v>139900.0</v>
      </c>
      <c r="I1125" s="1">
        <v>6.0</v>
      </c>
      <c r="J1125" s="1">
        <v>139900.0</v>
      </c>
      <c r="K1125" s="2">
        <v>42081.0</v>
      </c>
      <c r="L1125" s="1">
        <v>6.0</v>
      </c>
      <c r="M1125" s="2">
        <v>42081.0</v>
      </c>
      <c r="N1125" s="1" t="s">
        <v>187</v>
      </c>
      <c r="O1125" s="2">
        <v>42130.0</v>
      </c>
      <c r="P1125" s="1">
        <v>240233.0</v>
      </c>
      <c r="Q1125" s="1">
        <v>8074.0</v>
      </c>
      <c r="S1125" s="1">
        <v>7156.0</v>
      </c>
      <c r="T1125" s="1" t="s">
        <v>12294</v>
      </c>
      <c r="U1125" s="1" t="s">
        <v>1174</v>
      </c>
      <c r="V1125" s="1" t="s">
        <v>251</v>
      </c>
      <c r="W1125" s="1">
        <v>60133.0</v>
      </c>
      <c r="Y1125" s="1" t="s">
        <v>12295</v>
      </c>
      <c r="Z1125" s="1">
        <v>1967.0</v>
      </c>
      <c r="AA1125" s="1" t="s">
        <v>192</v>
      </c>
      <c r="AB1125" s="1" t="s">
        <v>193</v>
      </c>
      <c r="AD1125" s="1" t="s">
        <v>254</v>
      </c>
      <c r="AE1125" s="1" t="s">
        <v>195</v>
      </c>
      <c r="AF1125" s="1" t="s">
        <v>255</v>
      </c>
      <c r="AH1125" s="1" t="s">
        <v>12296</v>
      </c>
      <c r="AK1125" s="1">
        <v>7.0</v>
      </c>
      <c r="AL1125" s="1">
        <v>4.0</v>
      </c>
      <c r="AM1125" s="1">
        <v>2.0</v>
      </c>
      <c r="AN1125" s="1">
        <v>0.0</v>
      </c>
      <c r="AO1125" s="1" t="s">
        <v>229</v>
      </c>
      <c r="AQ1125" s="1" t="s">
        <v>198</v>
      </c>
      <c r="AR1125" s="1" t="s">
        <v>200</v>
      </c>
      <c r="AS1125" s="1" t="s">
        <v>199</v>
      </c>
      <c r="AT1125" s="1">
        <v>1.0</v>
      </c>
      <c r="AV1125" s="1" t="s">
        <v>192</v>
      </c>
      <c r="AW1125" s="1">
        <v>4516.88</v>
      </c>
      <c r="AX1125" s="1">
        <v>2013.0</v>
      </c>
      <c r="AY1125" s="1" t="s">
        <v>387</v>
      </c>
      <c r="AZ1125" s="1" t="s">
        <v>545</v>
      </c>
      <c r="BA1125" s="1" t="str">
        <f>"07312110350000"</f>
        <v>07312110350000</v>
      </c>
      <c r="BC1125" s="1">
        <v>1155.0</v>
      </c>
      <c r="BD1125" s="1">
        <v>155100.0</v>
      </c>
      <c r="BE1125" s="2">
        <v>42076.0</v>
      </c>
      <c r="BF1125" s="1" t="s">
        <v>12297</v>
      </c>
      <c r="BH1125" s="1">
        <v>0.0</v>
      </c>
      <c r="BK1125" s="1" t="s">
        <v>204</v>
      </c>
      <c r="BL1125" s="1" t="str">
        <f t="shared" ref="BL1125:BM1125" si="751">""</f>
        <v/>
      </c>
      <c r="BM1125" s="1" t="str">
        <f t="shared" si="751"/>
        <v/>
      </c>
      <c r="BQ1125" s="1">
        <v>54.0</v>
      </c>
      <c r="BR1125" s="1">
        <v>211.0</v>
      </c>
      <c r="BS1125" s="1">
        <v>54.0</v>
      </c>
      <c r="BU1125" s="1" t="s">
        <v>260</v>
      </c>
      <c r="BV1125" s="1" t="s">
        <v>206</v>
      </c>
      <c r="BY1125" s="1" t="s">
        <v>647</v>
      </c>
      <c r="BZ1125" s="1" t="s">
        <v>206</v>
      </c>
      <c r="CD1125" s="1" t="s">
        <v>204</v>
      </c>
      <c r="CG1125" s="1" t="s">
        <v>212</v>
      </c>
      <c r="CH1125" s="1" t="s">
        <v>206</v>
      </c>
      <c r="CK1125" s="1" t="s">
        <v>516</v>
      </c>
      <c r="CL1125" s="1" t="s">
        <v>206</v>
      </c>
      <c r="CO1125" s="1" t="s">
        <v>582</v>
      </c>
      <c r="CP1125" s="1" t="s">
        <v>267</v>
      </c>
      <c r="CS1125" s="1" t="s">
        <v>3054</v>
      </c>
      <c r="CT1125" s="1" t="s">
        <v>206</v>
      </c>
      <c r="CW1125" s="1" t="s">
        <v>363</v>
      </c>
      <c r="CX1125" s="1" t="s">
        <v>206</v>
      </c>
      <c r="DA1125" s="1" t="s">
        <v>200</v>
      </c>
      <c r="DC1125" s="1" t="s">
        <v>517</v>
      </c>
      <c r="DE1125" s="1" t="s">
        <v>273</v>
      </c>
      <c r="DF1125" s="1" t="s">
        <v>619</v>
      </c>
      <c r="DH1125" s="1" t="s">
        <v>365</v>
      </c>
      <c r="DJ1125" s="1" t="s">
        <v>222</v>
      </c>
      <c r="DL1125" s="1" t="s">
        <v>224</v>
      </c>
      <c r="DM1125" s="1" t="s">
        <v>229</v>
      </c>
      <c r="DQ1125" s="1" t="s">
        <v>228</v>
      </c>
      <c r="DR1125" s="1" t="s">
        <v>229</v>
      </c>
      <c r="DV1125" s="1" t="s">
        <v>232</v>
      </c>
      <c r="DW1125" s="1" t="s">
        <v>667</v>
      </c>
      <c r="DX1125" s="1" t="s">
        <v>234</v>
      </c>
      <c r="EC1125" s="1" t="s">
        <v>311</v>
      </c>
      <c r="EM1125" s="1" t="s">
        <v>238</v>
      </c>
      <c r="EQ1125" s="1" t="s">
        <v>238</v>
      </c>
      <c r="EU1125" s="1" t="s">
        <v>238</v>
      </c>
      <c r="EY1125" s="1" t="s">
        <v>238</v>
      </c>
      <c r="FC1125" s="1" t="s">
        <v>238</v>
      </c>
      <c r="FF1125" s="1" t="s">
        <v>239</v>
      </c>
      <c r="FG1125" s="1" t="s">
        <v>192</v>
      </c>
      <c r="FH1125" s="1" t="s">
        <v>192</v>
      </c>
      <c r="FJ1125" s="1" t="s">
        <v>1469</v>
      </c>
      <c r="FK1125" s="1" t="s">
        <v>229</v>
      </c>
      <c r="FL1125" s="1" t="s">
        <v>893</v>
      </c>
      <c r="FM1125" s="1">
        <v>604.0</v>
      </c>
      <c r="FN1125" s="1" t="s">
        <v>894</v>
      </c>
      <c r="FO1125" s="1" t="s">
        <v>895</v>
      </c>
      <c r="FP1125" s="1">
        <v>381.0</v>
      </c>
      <c r="FQ1125" s="1" t="s">
        <v>896</v>
      </c>
      <c r="FR1125" s="1">
        <v>1954.0</v>
      </c>
      <c r="FU1125" s="1" t="s">
        <v>897</v>
      </c>
      <c r="FV1125" s="1" t="s">
        <v>200</v>
      </c>
      <c r="FW1125" s="1" t="s">
        <v>290</v>
      </c>
      <c r="FZ1125" s="1" t="s">
        <v>2993</v>
      </c>
      <c r="GA1125" s="1" t="s">
        <v>291</v>
      </c>
      <c r="GB1125" s="2">
        <v>42130.0</v>
      </c>
      <c r="GC1125" s="1" t="s">
        <v>12298</v>
      </c>
    </row>
    <row r="1126">
      <c r="A1126" s="1">
        <v>287900.0</v>
      </c>
      <c r="B1126" s="1" t="s">
        <v>185</v>
      </c>
      <c r="C1126" s="1" t="str">
        <f>"08841226"</f>
        <v>08841226</v>
      </c>
      <c r="D1126" s="1" t="s">
        <v>186</v>
      </c>
      <c r="F1126" s="1" t="str">
        <f>"8017"</f>
        <v>8017</v>
      </c>
      <c r="G1126" s="2">
        <v>42053.0</v>
      </c>
      <c r="H1126" s="1">
        <v>329900.0</v>
      </c>
      <c r="I1126" s="1">
        <v>45.0</v>
      </c>
      <c r="J1126" s="1">
        <v>299900.0</v>
      </c>
      <c r="K1126" s="2">
        <v>42096.0</v>
      </c>
      <c r="L1126" s="1">
        <v>45.0</v>
      </c>
      <c r="M1126" s="2">
        <v>42096.0</v>
      </c>
      <c r="N1126" s="1" t="s">
        <v>187</v>
      </c>
      <c r="O1126" s="2">
        <v>42142.0</v>
      </c>
      <c r="P1126" s="1">
        <v>165719.0</v>
      </c>
      <c r="Q1126" s="1">
        <v>10840.0</v>
      </c>
      <c r="S1126" s="1">
        <v>7033.0</v>
      </c>
      <c r="T1126" s="1" t="s">
        <v>3323</v>
      </c>
      <c r="U1126" s="1" t="s">
        <v>320</v>
      </c>
      <c r="V1126" s="1" t="s">
        <v>190</v>
      </c>
      <c r="W1126" s="1">
        <v>60634.0</v>
      </c>
      <c r="Y1126" s="1" t="s">
        <v>12299</v>
      </c>
      <c r="Z1126" s="1">
        <v>2000.0</v>
      </c>
      <c r="AA1126" s="1" t="s">
        <v>200</v>
      </c>
      <c r="AB1126" s="1" t="s">
        <v>193</v>
      </c>
      <c r="AD1126" s="1" t="s">
        <v>194</v>
      </c>
      <c r="AE1126" s="1" t="s">
        <v>195</v>
      </c>
      <c r="AF1126" s="1" t="s">
        <v>196</v>
      </c>
      <c r="AH1126" s="1">
        <v>3750.0</v>
      </c>
      <c r="AI1126" s="1">
        <v>0.0861</v>
      </c>
      <c r="AK1126" s="1">
        <v>7.0</v>
      </c>
      <c r="AL1126" s="1">
        <v>3.0</v>
      </c>
      <c r="AM1126" s="1">
        <v>3.0</v>
      </c>
      <c r="AN1126" s="1">
        <v>0.0</v>
      </c>
      <c r="AO1126" s="1" t="s">
        <v>229</v>
      </c>
      <c r="AQ1126" s="1" t="s">
        <v>198</v>
      </c>
      <c r="AR1126" s="1" t="s">
        <v>192</v>
      </c>
      <c r="AS1126" s="1" t="s">
        <v>199</v>
      </c>
      <c r="AT1126" s="1">
        <v>2.0</v>
      </c>
      <c r="AV1126" s="1" t="s">
        <v>200</v>
      </c>
      <c r="AW1126" s="1">
        <v>5441.0</v>
      </c>
      <c r="AX1126" s="1">
        <v>2013.0</v>
      </c>
      <c r="AZ1126" s="1" t="s">
        <v>200</v>
      </c>
      <c r="BA1126" s="1" t="str">
        <f>"13193290040000"</f>
        <v>13193290040000</v>
      </c>
      <c r="BC1126" s="1">
        <v>1434.0</v>
      </c>
      <c r="BD1126" s="1">
        <v>287900.0</v>
      </c>
      <c r="BE1126" s="2">
        <v>42052.0</v>
      </c>
      <c r="BF1126" s="2" t="s">
        <v>12300</v>
      </c>
      <c r="BH1126" s="1">
        <v>0.0</v>
      </c>
      <c r="BK1126" s="1" t="s">
        <v>204</v>
      </c>
      <c r="BL1126" s="1" t="str">
        <f>"3300"</f>
        <v>3300</v>
      </c>
      <c r="BM1126" s="1" t="str">
        <f t="shared" ref="BM1126:BM1128" si="752">"0"</f>
        <v>0</v>
      </c>
      <c r="BN1126" s="1">
        <v>7033.0</v>
      </c>
      <c r="BO1126" s="1">
        <v>0.0</v>
      </c>
      <c r="BQ1126" s="1">
        <v>299.0</v>
      </c>
      <c r="BR1126" s="1">
        <v>299.0</v>
      </c>
      <c r="BS1126" s="1">
        <v>299.0</v>
      </c>
      <c r="BU1126" s="1" t="s">
        <v>262</v>
      </c>
      <c r="BV1126" s="1" t="s">
        <v>206</v>
      </c>
      <c r="BY1126" s="1" t="s">
        <v>331</v>
      </c>
      <c r="BZ1126" s="1" t="s">
        <v>206</v>
      </c>
      <c r="CC1126" s="1" t="s">
        <v>332</v>
      </c>
      <c r="CD1126" s="1" t="s">
        <v>206</v>
      </c>
      <c r="CG1126" s="1" t="s">
        <v>495</v>
      </c>
      <c r="CH1126" s="1" t="s">
        <v>206</v>
      </c>
      <c r="CK1126" s="1" t="s">
        <v>363</v>
      </c>
      <c r="CL1126" s="1" t="s">
        <v>206</v>
      </c>
      <c r="CO1126" s="1" t="s">
        <v>331</v>
      </c>
      <c r="CP1126" s="1" t="s">
        <v>42</v>
      </c>
      <c r="CS1126" s="1" t="s">
        <v>3832</v>
      </c>
      <c r="CT1126" s="1" t="s">
        <v>206</v>
      </c>
      <c r="CX1126" s="1" t="s">
        <v>204</v>
      </c>
      <c r="DA1126" s="1" t="s">
        <v>200</v>
      </c>
      <c r="DC1126" s="1" t="s">
        <v>335</v>
      </c>
      <c r="DE1126" s="1" t="s">
        <v>273</v>
      </c>
      <c r="DF1126" s="1" t="s">
        <v>619</v>
      </c>
      <c r="DH1126" s="1" t="s">
        <v>220</v>
      </c>
      <c r="DJ1126" s="1" t="s">
        <v>222</v>
      </c>
      <c r="DL1126" s="1" t="s">
        <v>858</v>
      </c>
      <c r="DM1126" s="1" t="s">
        <v>229</v>
      </c>
      <c r="DQ1126" s="1" t="s">
        <v>228</v>
      </c>
      <c r="DR1126" s="1" t="s">
        <v>229</v>
      </c>
      <c r="DV1126" s="1" t="s">
        <v>232</v>
      </c>
      <c r="DW1126" s="1" t="s">
        <v>279</v>
      </c>
      <c r="DX1126" s="1" t="s">
        <v>234</v>
      </c>
      <c r="EC1126" s="1" t="s">
        <v>685</v>
      </c>
      <c r="EM1126" s="1" t="s">
        <v>238</v>
      </c>
      <c r="EQ1126" s="1" t="s">
        <v>238</v>
      </c>
      <c r="EU1126" s="1" t="s">
        <v>238</v>
      </c>
      <c r="EY1126" s="1" t="s">
        <v>238</v>
      </c>
      <c r="FC1126" s="1" t="s">
        <v>238</v>
      </c>
      <c r="FF1126" s="1" t="s">
        <v>239</v>
      </c>
      <c r="FG1126" s="1" t="s">
        <v>192</v>
      </c>
      <c r="FH1126" s="1" t="s">
        <v>192</v>
      </c>
      <c r="FJ1126" s="1" t="s">
        <v>347</v>
      </c>
      <c r="FK1126" s="1" t="s">
        <v>229</v>
      </c>
      <c r="FL1126" s="1" t="s">
        <v>3500</v>
      </c>
      <c r="FM1126" s="1">
        <v>12279.0</v>
      </c>
      <c r="FN1126" s="1" t="s">
        <v>3501</v>
      </c>
      <c r="FO1126" s="1" t="s">
        <v>3502</v>
      </c>
      <c r="FP1126" s="1">
        <v>875170.0</v>
      </c>
      <c r="FU1126" s="1" t="s">
        <v>3503</v>
      </c>
      <c r="FV1126" s="1" t="s">
        <v>200</v>
      </c>
      <c r="FW1126" s="1" t="s">
        <v>1307</v>
      </c>
      <c r="FX1126" s="1" t="s">
        <v>246</v>
      </c>
      <c r="FZ1126" s="1" t="s">
        <v>229</v>
      </c>
      <c r="GA1126" s="1" t="s">
        <v>291</v>
      </c>
      <c r="GB1126" s="2">
        <v>42142.0</v>
      </c>
      <c r="GC1126" s="1" t="s">
        <v>12301</v>
      </c>
    </row>
    <row r="1127">
      <c r="A1127" s="1">
        <v>647000.0</v>
      </c>
      <c r="B1127" s="1" t="s">
        <v>185</v>
      </c>
      <c r="C1127" s="1" t="str">
        <f>"08843496"</f>
        <v>08843496</v>
      </c>
      <c r="D1127" s="1" t="s">
        <v>186</v>
      </c>
      <c r="F1127" s="1" t="str">
        <f>"8004"</f>
        <v>8004</v>
      </c>
      <c r="G1127" s="2">
        <v>42055.0</v>
      </c>
      <c r="H1127" s="1">
        <v>645000.0</v>
      </c>
      <c r="I1127" s="1">
        <v>6.0</v>
      </c>
      <c r="J1127" s="1">
        <v>645000.0</v>
      </c>
      <c r="K1127" s="2">
        <v>42060.0</v>
      </c>
      <c r="L1127" s="1">
        <v>6.0</v>
      </c>
      <c r="M1127" s="2">
        <v>42060.0</v>
      </c>
      <c r="N1127" s="1" t="s">
        <v>187</v>
      </c>
      <c r="O1127" s="2">
        <v>42107.0</v>
      </c>
      <c r="P1127" s="1">
        <v>166302.0</v>
      </c>
      <c r="Q1127" s="1">
        <v>84729.0</v>
      </c>
      <c r="S1127" s="1">
        <v>2425.0</v>
      </c>
      <c r="T1127" s="1" t="s">
        <v>12302</v>
      </c>
      <c r="U1127" s="1" t="s">
        <v>189</v>
      </c>
      <c r="V1127" s="1" t="s">
        <v>190</v>
      </c>
      <c r="W1127" s="1">
        <v>60625.0</v>
      </c>
      <c r="Y1127" s="1" t="s">
        <v>12303</v>
      </c>
      <c r="Z1127" s="1">
        <v>1904.0</v>
      </c>
      <c r="AA1127" s="1" t="s">
        <v>192</v>
      </c>
      <c r="AB1127" s="1" t="s">
        <v>193</v>
      </c>
      <c r="AD1127" s="1" t="s">
        <v>194</v>
      </c>
      <c r="AE1127" s="1" t="s">
        <v>195</v>
      </c>
      <c r="AF1127" s="1" t="s">
        <v>196</v>
      </c>
      <c r="AH1127" s="1" t="s">
        <v>5314</v>
      </c>
      <c r="AI1127" s="1">
        <v>0.1</v>
      </c>
      <c r="AK1127" s="1">
        <v>8.0</v>
      </c>
      <c r="AL1127" s="1">
        <v>4.0</v>
      </c>
      <c r="AM1127" s="1">
        <v>1.0</v>
      </c>
      <c r="AN1127" s="1">
        <v>1.0</v>
      </c>
      <c r="AO1127" s="1" t="s">
        <v>229</v>
      </c>
      <c r="AQ1127" s="1" t="s">
        <v>198</v>
      </c>
      <c r="AR1127" s="1" t="s">
        <v>200</v>
      </c>
      <c r="AS1127" s="1" t="s">
        <v>199</v>
      </c>
      <c r="AT1127" s="1">
        <v>2.0</v>
      </c>
      <c r="AV1127" s="1" t="s">
        <v>200</v>
      </c>
      <c r="AW1127" s="1">
        <v>8256.4</v>
      </c>
      <c r="AX1127" s="1">
        <v>2013.0</v>
      </c>
      <c r="AY1127" s="1" t="s">
        <v>3108</v>
      </c>
      <c r="AZ1127" s="1" t="s">
        <v>200</v>
      </c>
      <c r="BA1127" s="1" t="str">
        <f>"13132250010000"</f>
        <v>13132250010000</v>
      </c>
      <c r="BC1127" s="1">
        <v>2200.0</v>
      </c>
      <c r="BD1127" s="1">
        <v>647000.0</v>
      </c>
      <c r="BE1127" s="2">
        <v>42055.0</v>
      </c>
      <c r="BF1127" s="2" t="s">
        <v>12304</v>
      </c>
      <c r="BG1127" s="1" t="s">
        <v>12305</v>
      </c>
      <c r="BH1127" s="1">
        <v>0.0</v>
      </c>
      <c r="BJ1127" s="1" t="s">
        <v>12306</v>
      </c>
      <c r="BK1127" s="1" t="s">
        <v>204</v>
      </c>
      <c r="BL1127" s="1" t="str">
        <f>"4600"</f>
        <v>4600</v>
      </c>
      <c r="BM1127" s="1" t="str">
        <f t="shared" si="752"/>
        <v>0</v>
      </c>
      <c r="BN1127" s="1">
        <v>2425.0</v>
      </c>
      <c r="BO1127" s="1">
        <v>0.0</v>
      </c>
      <c r="BQ1127" s="1">
        <v>299.0</v>
      </c>
      <c r="BR1127" s="1">
        <v>299.0</v>
      </c>
      <c r="BS1127" s="1">
        <v>299.0</v>
      </c>
      <c r="BU1127" s="1" t="s">
        <v>582</v>
      </c>
      <c r="BV1127" s="1" t="s">
        <v>206</v>
      </c>
      <c r="BW1127" s="1" t="s">
        <v>207</v>
      </c>
      <c r="BX1127" s="1" t="s">
        <v>431</v>
      </c>
      <c r="BY1127" s="1" t="s">
        <v>743</v>
      </c>
      <c r="BZ1127" s="1" t="s">
        <v>209</v>
      </c>
      <c r="CA1127" s="1" t="s">
        <v>207</v>
      </c>
      <c r="CB1127" s="1" t="s">
        <v>431</v>
      </c>
      <c r="CC1127" s="1" t="s">
        <v>393</v>
      </c>
      <c r="CD1127" s="1" t="s">
        <v>206</v>
      </c>
      <c r="CE1127" s="1" t="s">
        <v>207</v>
      </c>
      <c r="CF1127" s="1" t="s">
        <v>431</v>
      </c>
      <c r="CG1127" s="1" t="s">
        <v>332</v>
      </c>
      <c r="CH1127" s="1" t="s">
        <v>209</v>
      </c>
      <c r="CI1127" s="1" t="s">
        <v>207</v>
      </c>
      <c r="CJ1127" s="1" t="s">
        <v>431</v>
      </c>
      <c r="CK1127" s="1" t="s">
        <v>1158</v>
      </c>
      <c r="CL1127" s="1" t="s">
        <v>209</v>
      </c>
      <c r="CM1127" s="1" t="s">
        <v>207</v>
      </c>
      <c r="CN1127" s="1" t="s">
        <v>431</v>
      </c>
      <c r="CO1127" s="1" t="s">
        <v>212</v>
      </c>
      <c r="CP1127" s="1" t="s">
        <v>206</v>
      </c>
      <c r="CQ1127" s="1" t="s">
        <v>207</v>
      </c>
      <c r="CR1127" s="1" t="s">
        <v>431</v>
      </c>
      <c r="CS1127" s="1" t="s">
        <v>516</v>
      </c>
      <c r="CT1127" s="1" t="s">
        <v>206</v>
      </c>
      <c r="CU1127" s="1" t="s">
        <v>617</v>
      </c>
      <c r="CV1127" s="1" t="s">
        <v>431</v>
      </c>
      <c r="CX1127" s="1" t="s">
        <v>204</v>
      </c>
      <c r="DA1127" s="1" t="s">
        <v>200</v>
      </c>
      <c r="DC1127" s="1" t="s">
        <v>642</v>
      </c>
      <c r="DD1127" s="1" t="s">
        <v>518</v>
      </c>
      <c r="DE1127" s="1" t="s">
        <v>229</v>
      </c>
      <c r="DF1127" s="1" t="s">
        <v>4206</v>
      </c>
      <c r="DG1127" s="1" t="s">
        <v>337</v>
      </c>
      <c r="DH1127" s="1" t="s">
        <v>365</v>
      </c>
      <c r="DI1127" s="1" t="s">
        <v>703</v>
      </c>
      <c r="DJ1127" s="1" t="s">
        <v>222</v>
      </c>
      <c r="DK1127" s="1" t="s">
        <v>2097</v>
      </c>
      <c r="DL1127" s="1" t="s">
        <v>791</v>
      </c>
      <c r="DM1127" s="1" t="s">
        <v>229</v>
      </c>
      <c r="DO1127" s="1" t="s">
        <v>1004</v>
      </c>
      <c r="DP1127" s="1" t="s">
        <v>340</v>
      </c>
      <c r="DQ1127" s="1" t="s">
        <v>228</v>
      </c>
      <c r="DR1127" s="1" t="s">
        <v>229</v>
      </c>
      <c r="DS1127" s="1" t="s">
        <v>230</v>
      </c>
      <c r="DU1127" s="1" t="s">
        <v>2070</v>
      </c>
      <c r="DV1127" s="1" t="s">
        <v>11969</v>
      </c>
      <c r="DW1127" s="1" t="s">
        <v>667</v>
      </c>
      <c r="DX1127" s="1" t="s">
        <v>234</v>
      </c>
      <c r="DY1127" s="1" t="s">
        <v>2240</v>
      </c>
      <c r="DZ1127" s="1" t="s">
        <v>12307</v>
      </c>
      <c r="EA1127" s="1" t="s">
        <v>622</v>
      </c>
      <c r="EC1127" s="1" t="s">
        <v>237</v>
      </c>
      <c r="ED1127" s="1" t="s">
        <v>4163</v>
      </c>
      <c r="EE1127" s="1" t="s">
        <v>187</v>
      </c>
      <c r="EG1127" s="1" t="s">
        <v>556</v>
      </c>
      <c r="EH1127" s="1" t="s">
        <v>408</v>
      </c>
      <c r="EL1127" s="1" t="s">
        <v>640</v>
      </c>
      <c r="EM1127" s="1" t="s">
        <v>206</v>
      </c>
      <c r="EN1127" s="1" t="s">
        <v>207</v>
      </c>
      <c r="EO1127" s="1" t="s">
        <v>431</v>
      </c>
      <c r="EP1127" s="1" t="s">
        <v>2072</v>
      </c>
      <c r="EQ1127" s="1" t="s">
        <v>206</v>
      </c>
      <c r="ER1127" s="1" t="s">
        <v>207</v>
      </c>
      <c r="ES1127" s="1" t="s">
        <v>431</v>
      </c>
      <c r="EU1127" s="1" t="s">
        <v>238</v>
      </c>
      <c r="EY1127" s="1" t="s">
        <v>238</v>
      </c>
      <c r="FC1127" s="1" t="s">
        <v>238</v>
      </c>
      <c r="FF1127" s="1" t="s">
        <v>239</v>
      </c>
      <c r="FG1127" s="1" t="s">
        <v>192</v>
      </c>
      <c r="FH1127" s="1" t="s">
        <v>192</v>
      </c>
      <c r="FJ1127" s="1" t="s">
        <v>973</v>
      </c>
      <c r="FK1127" s="1" t="s">
        <v>229</v>
      </c>
      <c r="FL1127" s="1" t="s">
        <v>734</v>
      </c>
      <c r="FM1127" s="1">
        <v>10646.0</v>
      </c>
      <c r="FN1127" s="1" t="s">
        <v>735</v>
      </c>
      <c r="FO1127" s="1" t="s">
        <v>12308</v>
      </c>
      <c r="FP1127" s="1">
        <v>105555.0</v>
      </c>
      <c r="FQ1127" s="1" t="s">
        <v>12309</v>
      </c>
      <c r="FU1127" s="1" t="s">
        <v>1438</v>
      </c>
      <c r="FV1127" s="1" t="s">
        <v>200</v>
      </c>
      <c r="FW1127" s="1" t="s">
        <v>530</v>
      </c>
      <c r="FX1127" s="1" t="s">
        <v>246</v>
      </c>
      <c r="FZ1127" s="1" t="s">
        <v>229</v>
      </c>
      <c r="GA1127" s="1" t="s">
        <v>291</v>
      </c>
      <c r="GB1127" s="2">
        <v>42108.0</v>
      </c>
      <c r="GC1127" s="1" t="s">
        <v>12310</v>
      </c>
    </row>
    <row r="1128">
      <c r="A1128" s="1">
        <v>465000.0</v>
      </c>
      <c r="B1128" s="1" t="s">
        <v>185</v>
      </c>
      <c r="C1128" s="1" t="str">
        <f>"08844148"</f>
        <v>08844148</v>
      </c>
      <c r="D1128" s="1" t="s">
        <v>186</v>
      </c>
      <c r="F1128" s="1" t="str">
        <f>"8014"</f>
        <v>8014</v>
      </c>
      <c r="G1128" s="2">
        <v>42057.0</v>
      </c>
      <c r="H1128" s="1">
        <v>474500.0</v>
      </c>
      <c r="I1128" s="1">
        <v>93.0</v>
      </c>
      <c r="J1128" s="1">
        <v>474500.0</v>
      </c>
      <c r="K1128" s="2">
        <v>42077.0</v>
      </c>
      <c r="L1128" s="1">
        <v>21.0</v>
      </c>
      <c r="M1128" s="2">
        <v>42077.0</v>
      </c>
      <c r="N1128" s="1" t="s">
        <v>187</v>
      </c>
      <c r="O1128" s="2">
        <v>42111.0</v>
      </c>
      <c r="P1128" s="1">
        <v>867714.0</v>
      </c>
      <c r="Q1128" s="1">
        <v>16240.0</v>
      </c>
      <c r="S1128" s="1">
        <v>4627.0</v>
      </c>
      <c r="T1128" s="1" t="s">
        <v>12311</v>
      </c>
      <c r="U1128" s="1" t="s">
        <v>189</v>
      </c>
      <c r="V1128" s="1" t="s">
        <v>190</v>
      </c>
      <c r="W1128" s="1">
        <v>60630.0</v>
      </c>
      <c r="Y1128" s="1" t="s">
        <v>12312</v>
      </c>
      <c r="Z1128" s="1">
        <v>2015.0</v>
      </c>
      <c r="AA1128" s="1" t="s">
        <v>200</v>
      </c>
      <c r="AB1128" s="1" t="s">
        <v>193</v>
      </c>
      <c r="AD1128" s="1" t="s">
        <v>194</v>
      </c>
      <c r="AE1128" s="1" t="s">
        <v>195</v>
      </c>
      <c r="AF1128" s="1" t="s">
        <v>196</v>
      </c>
      <c r="AH1128" s="1" t="s">
        <v>12313</v>
      </c>
      <c r="AK1128" s="1">
        <v>10.0</v>
      </c>
      <c r="AL1128" s="1">
        <v>4.0</v>
      </c>
      <c r="AM1128" s="1">
        <v>3.0</v>
      </c>
      <c r="AN1128" s="1">
        <v>1.0</v>
      </c>
      <c r="AO1128" s="1" t="s">
        <v>198</v>
      </c>
      <c r="AP1128" s="1">
        <v>0.0</v>
      </c>
      <c r="AQ1128" s="1" t="s">
        <v>472</v>
      </c>
      <c r="AR1128" s="1" t="s">
        <v>192</v>
      </c>
      <c r="AS1128" s="1" t="s">
        <v>199</v>
      </c>
      <c r="AT1128" s="1">
        <v>2.0</v>
      </c>
      <c r="AV1128" s="1" t="s">
        <v>200</v>
      </c>
      <c r="AW1128" s="1" t="s">
        <v>575</v>
      </c>
      <c r="AX1128" s="1">
        <v>2013.0</v>
      </c>
      <c r="AY1128" s="1" t="s">
        <v>229</v>
      </c>
      <c r="AZ1128" s="1" t="s">
        <v>200</v>
      </c>
      <c r="BA1128" s="1" t="str">
        <f>"13152220100000"</f>
        <v>13152220100000</v>
      </c>
      <c r="BB1128" s="1" t="s">
        <v>200</v>
      </c>
      <c r="BC1128" s="1">
        <v>0.0</v>
      </c>
      <c r="BD1128" s="1">
        <v>465000.0</v>
      </c>
      <c r="BE1128" s="2">
        <v>42057.0</v>
      </c>
      <c r="BF1128" s="2" t="s">
        <v>12314</v>
      </c>
      <c r="BG1128" s="1" t="s">
        <v>12315</v>
      </c>
      <c r="BH1128" s="1">
        <v>0.0</v>
      </c>
      <c r="BJ1128" s="1" t="s">
        <v>12316</v>
      </c>
      <c r="BK1128" s="1" t="s">
        <v>204</v>
      </c>
      <c r="BL1128" s="1" t="str">
        <f>"4627"</f>
        <v>4627</v>
      </c>
      <c r="BM1128" s="1" t="str">
        <f t="shared" si="752"/>
        <v>0</v>
      </c>
      <c r="BN1128" s="1">
        <v>4032.0</v>
      </c>
      <c r="BO1128" s="1">
        <v>0.0</v>
      </c>
      <c r="BQ1128" s="1">
        <v>299.0</v>
      </c>
      <c r="BR1128" s="1">
        <v>299.0</v>
      </c>
      <c r="BS1128" s="1">
        <v>299.0</v>
      </c>
      <c r="BU1128" s="1" t="s">
        <v>329</v>
      </c>
      <c r="BV1128" s="1" t="s">
        <v>206</v>
      </c>
      <c r="BW1128" s="1" t="s">
        <v>207</v>
      </c>
      <c r="BY1128" s="1" t="s">
        <v>434</v>
      </c>
      <c r="BZ1128" s="1" t="s">
        <v>209</v>
      </c>
      <c r="CA1128" s="1" t="s">
        <v>210</v>
      </c>
      <c r="CC1128" s="1" t="s">
        <v>758</v>
      </c>
      <c r="CD1128" s="1" t="s">
        <v>206</v>
      </c>
      <c r="CE1128" s="1" t="s">
        <v>207</v>
      </c>
      <c r="CG1128" s="1" t="s">
        <v>332</v>
      </c>
      <c r="CH1128" s="1" t="s">
        <v>209</v>
      </c>
      <c r="CI1128" s="1" t="s">
        <v>210</v>
      </c>
      <c r="CK1128" s="1" t="s">
        <v>332</v>
      </c>
      <c r="CL1128" s="1" t="s">
        <v>209</v>
      </c>
      <c r="CM1128" s="1" t="s">
        <v>210</v>
      </c>
      <c r="CO1128" s="1" t="s">
        <v>215</v>
      </c>
      <c r="CP1128" s="1" t="s">
        <v>267</v>
      </c>
      <c r="CQ1128" s="1" t="s">
        <v>210</v>
      </c>
      <c r="CS1128" s="1" t="s">
        <v>432</v>
      </c>
      <c r="CT1128" s="1" t="s">
        <v>206</v>
      </c>
      <c r="CU1128" s="1" t="s">
        <v>207</v>
      </c>
      <c r="CW1128" s="1" t="s">
        <v>432</v>
      </c>
      <c r="CX1128" s="1" t="s">
        <v>206</v>
      </c>
      <c r="CY1128" s="1" t="s">
        <v>207</v>
      </c>
      <c r="DA1128" s="1" t="s">
        <v>192</v>
      </c>
      <c r="DB1128" s="2">
        <v>42063.0</v>
      </c>
      <c r="DC1128" s="1" t="s">
        <v>1353</v>
      </c>
      <c r="DD1128" s="1" t="s">
        <v>272</v>
      </c>
      <c r="DE1128" s="1" t="s">
        <v>218</v>
      </c>
      <c r="DF1128" s="1" t="s">
        <v>12317</v>
      </c>
      <c r="DG1128" s="1" t="s">
        <v>8467</v>
      </c>
      <c r="DH1128" s="1" t="s">
        <v>365</v>
      </c>
      <c r="DI1128" s="1" t="s">
        <v>519</v>
      </c>
      <c r="DJ1128" s="1" t="s">
        <v>222</v>
      </c>
      <c r="DL1128" s="1" t="s">
        <v>224</v>
      </c>
      <c r="DM1128" s="1" t="s">
        <v>1464</v>
      </c>
      <c r="DN1128" s="1" t="s">
        <v>399</v>
      </c>
      <c r="DO1128" s="1" t="s">
        <v>717</v>
      </c>
      <c r="DP1128" s="1" t="s">
        <v>276</v>
      </c>
      <c r="DQ1128" s="1" t="s">
        <v>718</v>
      </c>
      <c r="DR1128" s="1" t="s">
        <v>229</v>
      </c>
      <c r="DS1128" s="1" t="s">
        <v>230</v>
      </c>
      <c r="DT1128" s="1" t="s">
        <v>12318</v>
      </c>
      <c r="DU1128" s="1" t="s">
        <v>5750</v>
      </c>
      <c r="DV1128" s="1" t="s">
        <v>12319</v>
      </c>
      <c r="DW1128" s="1" t="s">
        <v>667</v>
      </c>
      <c r="DX1128" s="1" t="s">
        <v>234</v>
      </c>
      <c r="DY1128" s="1" t="s">
        <v>596</v>
      </c>
      <c r="DZ1128" s="1" t="s">
        <v>1100</v>
      </c>
      <c r="EA1128" s="1" t="s">
        <v>344</v>
      </c>
      <c r="EC1128" s="1" t="s">
        <v>237</v>
      </c>
      <c r="ED1128" s="1" t="s">
        <v>555</v>
      </c>
      <c r="EE1128" s="1" t="s">
        <v>187</v>
      </c>
      <c r="EG1128" s="1" t="s">
        <v>310</v>
      </c>
      <c r="EH1128" s="1" t="s">
        <v>409</v>
      </c>
      <c r="EI1128" s="1" t="s">
        <v>450</v>
      </c>
      <c r="EJ1128" s="1" t="s">
        <v>408</v>
      </c>
      <c r="EK1128" s="1" t="s">
        <v>5618</v>
      </c>
      <c r="EL1128" s="1" t="s">
        <v>647</v>
      </c>
      <c r="EM1128" s="1" t="s">
        <v>206</v>
      </c>
      <c r="EN1128" s="1" t="s">
        <v>588</v>
      </c>
      <c r="EP1128" s="1" t="s">
        <v>4904</v>
      </c>
      <c r="EQ1128" s="1" t="s">
        <v>209</v>
      </c>
      <c r="ER1128" s="1" t="s">
        <v>210</v>
      </c>
      <c r="ET1128" s="1" t="s">
        <v>9077</v>
      </c>
      <c r="EU1128" s="1" t="s">
        <v>267</v>
      </c>
      <c r="EV1128" s="1" t="s">
        <v>210</v>
      </c>
      <c r="EX1128" s="1" t="s">
        <v>12320</v>
      </c>
      <c r="EY1128" s="1" t="s">
        <v>206</v>
      </c>
      <c r="EZ1128" s="1" t="s">
        <v>207</v>
      </c>
      <c r="FB1128" s="1" t="s">
        <v>12321</v>
      </c>
      <c r="FC1128" s="1" t="s">
        <v>206</v>
      </c>
      <c r="FD1128" s="1" t="s">
        <v>588</v>
      </c>
      <c r="FF1128" s="1" t="s">
        <v>239</v>
      </c>
      <c r="FG1128" s="1" t="s">
        <v>192</v>
      </c>
      <c r="FH1128" s="1" t="s">
        <v>192</v>
      </c>
      <c r="FJ1128" s="1" t="s">
        <v>2285</v>
      </c>
      <c r="FK1128" s="1" t="s">
        <v>229</v>
      </c>
      <c r="FL1128" s="1" t="s">
        <v>974</v>
      </c>
      <c r="FM1128" s="1">
        <v>10900.0</v>
      </c>
      <c r="FN1128" s="1" t="s">
        <v>1435</v>
      </c>
      <c r="FO1128" s="1" t="s">
        <v>6288</v>
      </c>
      <c r="FP1128" s="1">
        <v>113690.0</v>
      </c>
      <c r="FQ1128" s="1" t="s">
        <v>6289</v>
      </c>
      <c r="FU1128" s="1" t="s">
        <v>6290</v>
      </c>
      <c r="FV1128" s="1" t="s">
        <v>200</v>
      </c>
      <c r="FW1128" s="1" t="s">
        <v>290</v>
      </c>
      <c r="FX1128" s="1" t="s">
        <v>238</v>
      </c>
      <c r="FZ1128" s="1" t="s">
        <v>229</v>
      </c>
      <c r="GA1128" s="1" t="s">
        <v>291</v>
      </c>
      <c r="GB1128" s="2">
        <v>42111.0</v>
      </c>
      <c r="GC1128" s="1" t="s">
        <v>12322</v>
      </c>
    </row>
    <row r="1129">
      <c r="A1129" s="1">
        <v>350000.0</v>
      </c>
      <c r="B1129" s="1" t="s">
        <v>185</v>
      </c>
      <c r="C1129" s="1" t="str">
        <f>"08856213"</f>
        <v>08856213</v>
      </c>
      <c r="D1129" s="1" t="s">
        <v>186</v>
      </c>
      <c r="F1129" s="1" t="str">
        <f>"560"</f>
        <v>560</v>
      </c>
      <c r="G1129" s="2">
        <v>42072.0</v>
      </c>
      <c r="H1129" s="1">
        <v>379900.0</v>
      </c>
      <c r="I1129" s="1">
        <v>19.0</v>
      </c>
      <c r="J1129" s="1">
        <v>379900.0</v>
      </c>
      <c r="K1129" s="2">
        <v>42090.0</v>
      </c>
      <c r="L1129" s="1">
        <v>19.0</v>
      </c>
      <c r="M1129" s="2">
        <v>42090.0</v>
      </c>
      <c r="N1129" s="1" t="s">
        <v>187</v>
      </c>
      <c r="O1129" s="2">
        <v>42125.0</v>
      </c>
      <c r="P1129" s="1">
        <v>8504.0</v>
      </c>
      <c r="Q1129" s="1">
        <v>300.0</v>
      </c>
      <c r="S1129" s="1">
        <v>56.0</v>
      </c>
      <c r="T1129" s="1" t="s">
        <v>12323</v>
      </c>
      <c r="U1129" s="1" t="s">
        <v>569</v>
      </c>
      <c r="V1129" s="1" t="s">
        <v>2664</v>
      </c>
      <c r="W1129" s="1">
        <v>60512.0</v>
      </c>
      <c r="Y1129" s="1" t="s">
        <v>12324</v>
      </c>
      <c r="Z1129" s="1">
        <v>1995.0</v>
      </c>
      <c r="AA1129" s="1" t="s">
        <v>200</v>
      </c>
      <c r="AB1129" s="1" t="s">
        <v>193</v>
      </c>
      <c r="AC1129" s="1" t="s">
        <v>12325</v>
      </c>
      <c r="AD1129" s="1" t="s">
        <v>1089</v>
      </c>
      <c r="AE1129" s="1" t="s">
        <v>849</v>
      </c>
      <c r="AF1129" s="1" t="s">
        <v>1312</v>
      </c>
      <c r="AH1129" s="1" t="s">
        <v>12326</v>
      </c>
      <c r="AI1129" s="1">
        <v>1.3</v>
      </c>
      <c r="AK1129" s="1">
        <v>10.0</v>
      </c>
      <c r="AL1129" s="1">
        <v>4.0</v>
      </c>
      <c r="AM1129" s="1">
        <v>3.0</v>
      </c>
      <c r="AN1129" s="1">
        <v>1.0</v>
      </c>
      <c r="AO1129" s="1" t="s">
        <v>198</v>
      </c>
      <c r="AP1129" s="1">
        <v>1.0</v>
      </c>
      <c r="AQ1129" s="1" t="s">
        <v>472</v>
      </c>
      <c r="AR1129" s="1" t="s">
        <v>192</v>
      </c>
      <c r="AS1129" s="1" t="s">
        <v>199</v>
      </c>
      <c r="AT1129" s="1">
        <v>3.0</v>
      </c>
      <c r="AV1129" s="1" t="s">
        <v>192</v>
      </c>
      <c r="AW1129" s="1">
        <v>9232.0</v>
      </c>
      <c r="AX1129" s="1">
        <v>2013.0</v>
      </c>
      <c r="AY1129" s="1" t="s">
        <v>387</v>
      </c>
      <c r="AZ1129" s="1" t="s">
        <v>200</v>
      </c>
      <c r="BA1129" s="1" t="str">
        <f>"0215402009"</f>
        <v>0215402009</v>
      </c>
      <c r="BB1129" s="1" t="s">
        <v>200</v>
      </c>
      <c r="BC1129" s="1">
        <v>3200.0</v>
      </c>
      <c r="BD1129" s="1">
        <v>350000.0</v>
      </c>
      <c r="BE1129" s="2">
        <v>42072.0</v>
      </c>
      <c r="BF1129" s="2" t="s">
        <v>12327</v>
      </c>
      <c r="BG1129" s="1" t="s">
        <v>5667</v>
      </c>
      <c r="BH1129" s="1">
        <v>0.0</v>
      </c>
      <c r="BI1129" s="1" t="s">
        <v>3052</v>
      </c>
      <c r="BJ1129" s="1" t="s">
        <v>3053</v>
      </c>
      <c r="BK1129" s="1" t="s">
        <v>204</v>
      </c>
      <c r="BL1129" s="1" t="str">
        <f t="shared" ref="BL1129:BM1129" si="753">"0"</f>
        <v>0</v>
      </c>
      <c r="BM1129" s="1" t="str">
        <f t="shared" si="753"/>
        <v>0</v>
      </c>
      <c r="BN1129" s="1">
        <v>41.0</v>
      </c>
      <c r="BO1129" s="1">
        <v>12.0</v>
      </c>
      <c r="BQ1129" s="1">
        <v>115.0</v>
      </c>
      <c r="BR1129" s="1">
        <v>115.0</v>
      </c>
      <c r="BS1129" s="1">
        <v>115.0</v>
      </c>
      <c r="BU1129" s="1" t="s">
        <v>924</v>
      </c>
      <c r="BV1129" s="1" t="s">
        <v>206</v>
      </c>
      <c r="BW1129" s="1" t="s">
        <v>207</v>
      </c>
      <c r="BY1129" s="1" t="s">
        <v>432</v>
      </c>
      <c r="BZ1129" s="1" t="s">
        <v>209</v>
      </c>
      <c r="CA1129" s="1" t="s">
        <v>210</v>
      </c>
      <c r="CC1129" s="1" t="s">
        <v>212</v>
      </c>
      <c r="CD1129" s="1" t="s">
        <v>206</v>
      </c>
      <c r="CE1129" s="1" t="s">
        <v>207</v>
      </c>
      <c r="CG1129" s="1" t="s">
        <v>743</v>
      </c>
      <c r="CH1129" s="1" t="s">
        <v>209</v>
      </c>
      <c r="CI1129" s="1" t="s">
        <v>207</v>
      </c>
      <c r="CK1129" s="1" t="s">
        <v>215</v>
      </c>
      <c r="CL1129" s="1" t="s">
        <v>209</v>
      </c>
      <c r="CM1129" s="1" t="s">
        <v>210</v>
      </c>
      <c r="CO1129" s="1" t="s">
        <v>215</v>
      </c>
      <c r="CP1129" s="1" t="s">
        <v>209</v>
      </c>
      <c r="CQ1129" s="1" t="s">
        <v>210</v>
      </c>
      <c r="CS1129" s="1" t="s">
        <v>1000</v>
      </c>
      <c r="CT1129" s="1" t="s">
        <v>206</v>
      </c>
      <c r="CU1129" s="1" t="s">
        <v>207</v>
      </c>
      <c r="CW1129" s="1" t="s">
        <v>1825</v>
      </c>
      <c r="CX1129" s="1" t="s">
        <v>206</v>
      </c>
      <c r="CY1129" s="1" t="s">
        <v>210</v>
      </c>
      <c r="DA1129" s="1" t="s">
        <v>200</v>
      </c>
      <c r="DC1129" s="1" t="s">
        <v>678</v>
      </c>
      <c r="DD1129" s="1" t="s">
        <v>336</v>
      </c>
      <c r="DE1129" s="1" t="s">
        <v>273</v>
      </c>
      <c r="DF1129" s="1" t="s">
        <v>619</v>
      </c>
      <c r="DH1129" s="1" t="s">
        <v>856</v>
      </c>
      <c r="DI1129" s="1" t="s">
        <v>1141</v>
      </c>
      <c r="DJ1129" s="1" t="s">
        <v>857</v>
      </c>
      <c r="DK1129" s="1" t="s">
        <v>198</v>
      </c>
      <c r="DL1129" s="1" t="s">
        <v>224</v>
      </c>
      <c r="DM1129" s="1" t="s">
        <v>229</v>
      </c>
      <c r="DN1129" s="1" t="s">
        <v>485</v>
      </c>
      <c r="DO1129" s="1" t="s">
        <v>12328</v>
      </c>
      <c r="DP1129" s="1" t="s">
        <v>340</v>
      </c>
      <c r="DQ1129" s="1" t="s">
        <v>931</v>
      </c>
      <c r="DR1129" s="1" t="s">
        <v>229</v>
      </c>
      <c r="DS1129" s="1" t="s">
        <v>230</v>
      </c>
      <c r="DU1129" s="1" t="s">
        <v>487</v>
      </c>
      <c r="DV1129" s="1" t="s">
        <v>7291</v>
      </c>
      <c r="DW1129" s="1" t="s">
        <v>764</v>
      </c>
      <c r="DX1129" s="1" t="s">
        <v>309</v>
      </c>
      <c r="DY1129" s="1" t="s">
        <v>3125</v>
      </c>
      <c r="DZ1129" s="1" t="s">
        <v>1100</v>
      </c>
      <c r="EA1129" s="1" t="s">
        <v>344</v>
      </c>
      <c r="EB1129" s="1" t="s">
        <v>684</v>
      </c>
      <c r="EC1129" s="1" t="s">
        <v>237</v>
      </c>
      <c r="ED1129" s="1" t="s">
        <v>9274</v>
      </c>
      <c r="EE1129" s="1" t="s">
        <v>493</v>
      </c>
      <c r="EG1129" s="1" t="s">
        <v>494</v>
      </c>
      <c r="EI1129" s="1" t="s">
        <v>450</v>
      </c>
      <c r="EL1129" s="1" t="s">
        <v>264</v>
      </c>
      <c r="EM1129" s="1" t="s">
        <v>206</v>
      </c>
      <c r="EN1129" s="1" t="s">
        <v>210</v>
      </c>
      <c r="EQ1129" s="1" t="s">
        <v>238</v>
      </c>
      <c r="ET1129" s="1" t="s">
        <v>6672</v>
      </c>
      <c r="EU1129" s="1" t="s">
        <v>42</v>
      </c>
      <c r="EV1129" s="1" t="s">
        <v>210</v>
      </c>
      <c r="EY1129" s="1" t="s">
        <v>238</v>
      </c>
      <c r="FC1129" s="1" t="s">
        <v>238</v>
      </c>
      <c r="FF1129" s="1" t="s">
        <v>239</v>
      </c>
      <c r="FG1129" s="1" t="s">
        <v>192</v>
      </c>
      <c r="FH1129" s="1" t="s">
        <v>192</v>
      </c>
      <c r="FJ1129" s="1" t="s">
        <v>1538</v>
      </c>
      <c r="FK1129" s="1" t="s">
        <v>229</v>
      </c>
      <c r="FL1129" s="1" t="s">
        <v>1358</v>
      </c>
      <c r="FM1129" s="1">
        <v>23076.0</v>
      </c>
      <c r="FN1129" s="1" t="s">
        <v>1359</v>
      </c>
      <c r="FO1129" s="1" t="s">
        <v>12329</v>
      </c>
      <c r="FP1129" s="1">
        <v>234307.0</v>
      </c>
      <c r="FQ1129" s="1" t="s">
        <v>12330</v>
      </c>
      <c r="FT1129" s="1" t="s">
        <v>12331</v>
      </c>
      <c r="FU1129" s="1" t="s">
        <v>12332</v>
      </c>
      <c r="FV1129" s="1" t="s">
        <v>200</v>
      </c>
      <c r="FW1129" s="1" t="s">
        <v>290</v>
      </c>
      <c r="FX1129" s="1" t="s">
        <v>246</v>
      </c>
      <c r="FZ1129" s="1" t="s">
        <v>229</v>
      </c>
      <c r="GA1129" s="1" t="s">
        <v>291</v>
      </c>
      <c r="GB1129" s="2">
        <v>42125.0</v>
      </c>
    </row>
    <row r="1130">
      <c r="A1130" s="1">
        <v>282900.0</v>
      </c>
      <c r="B1130" s="1" t="s">
        <v>185</v>
      </c>
      <c r="C1130" s="1" t="str">
        <f>"08843533"</f>
        <v>08843533</v>
      </c>
      <c r="D1130" s="1" t="s">
        <v>186</v>
      </c>
      <c r="F1130" s="1" t="str">
        <f>"8074"</f>
        <v>8074</v>
      </c>
      <c r="G1130" s="2">
        <v>42055.0</v>
      </c>
      <c r="H1130" s="1">
        <v>289900.0</v>
      </c>
      <c r="I1130" s="1">
        <v>11.0</v>
      </c>
      <c r="J1130" s="1">
        <v>289900.0</v>
      </c>
      <c r="K1130" s="2">
        <v>42065.0</v>
      </c>
      <c r="L1130" s="1">
        <v>11.0</v>
      </c>
      <c r="M1130" s="2">
        <v>42065.0</v>
      </c>
      <c r="N1130" s="1" t="s">
        <v>187</v>
      </c>
      <c r="O1130" s="2">
        <v>42103.0</v>
      </c>
      <c r="P1130" s="1">
        <v>237516.0</v>
      </c>
      <c r="Q1130" s="1">
        <v>24174.0</v>
      </c>
      <c r="R1130" s="1">
        <v>3500.0</v>
      </c>
      <c r="S1130" s="1">
        <v>11017.0</v>
      </c>
      <c r="T1130" s="1" t="s">
        <v>2106</v>
      </c>
      <c r="U1130" s="1" t="s">
        <v>189</v>
      </c>
      <c r="V1130" s="1" t="s">
        <v>190</v>
      </c>
      <c r="W1130" s="1">
        <v>60655.0</v>
      </c>
      <c r="Y1130" s="1" t="s">
        <v>12333</v>
      </c>
      <c r="Z1130" s="1">
        <v>1943.0</v>
      </c>
      <c r="AA1130" s="1" t="s">
        <v>192</v>
      </c>
      <c r="AB1130" s="1" t="s">
        <v>193</v>
      </c>
      <c r="AD1130" s="1" t="s">
        <v>194</v>
      </c>
      <c r="AE1130" s="1" t="s">
        <v>195</v>
      </c>
      <c r="AF1130" s="1" t="s">
        <v>659</v>
      </c>
      <c r="AH1130" s="1" t="s">
        <v>12334</v>
      </c>
      <c r="AI1130" s="1">
        <v>0.1121</v>
      </c>
      <c r="AK1130" s="1">
        <v>7.0</v>
      </c>
      <c r="AL1130" s="1">
        <v>4.0</v>
      </c>
      <c r="AM1130" s="1">
        <v>3.0</v>
      </c>
      <c r="AN1130" s="1">
        <v>0.0</v>
      </c>
      <c r="AO1130" s="1" t="s">
        <v>198</v>
      </c>
      <c r="AP1130" s="1">
        <v>1.0</v>
      </c>
      <c r="AQ1130" s="1" t="s">
        <v>6771</v>
      </c>
      <c r="AR1130" s="1" t="s">
        <v>192</v>
      </c>
      <c r="AS1130" s="1" t="s">
        <v>199</v>
      </c>
      <c r="AT1130" s="1">
        <v>3.0</v>
      </c>
      <c r="AV1130" s="1" t="s">
        <v>200</v>
      </c>
      <c r="AW1130" s="1">
        <v>3214.0</v>
      </c>
      <c r="AX1130" s="1">
        <v>2012.0</v>
      </c>
      <c r="AY1130" s="1" t="s">
        <v>387</v>
      </c>
      <c r="AZ1130" s="1" t="s">
        <v>200</v>
      </c>
      <c r="BA1130" s="1" t="str">
        <f>"24144230610000"</f>
        <v>24144230610000</v>
      </c>
      <c r="BB1130" s="1" t="s">
        <v>200</v>
      </c>
      <c r="BC1130" s="1">
        <v>1600.0</v>
      </c>
      <c r="BD1130" s="1">
        <v>282900.0</v>
      </c>
      <c r="BE1130" s="2">
        <v>42055.0</v>
      </c>
      <c r="BF1130" s="2" t="s">
        <v>12335</v>
      </c>
      <c r="BH1130" s="1">
        <v>0.0</v>
      </c>
      <c r="BK1130" s="1" t="s">
        <v>204</v>
      </c>
      <c r="BL1130" s="1" t="str">
        <f t="shared" ref="BL1130:BM1130" si="754">"0"</f>
        <v>0</v>
      </c>
      <c r="BM1130" s="1" t="str">
        <f t="shared" si="754"/>
        <v>0</v>
      </c>
      <c r="BN1130" s="1">
        <v>3230.0</v>
      </c>
      <c r="BO1130" s="1">
        <v>11017.0</v>
      </c>
      <c r="BQ1130" s="1">
        <v>299.0</v>
      </c>
      <c r="BR1130" s="1">
        <v>299.0</v>
      </c>
      <c r="BS1130" s="1">
        <v>299.0</v>
      </c>
      <c r="BU1130" s="1" t="s">
        <v>1068</v>
      </c>
      <c r="BV1130" s="1" t="s">
        <v>206</v>
      </c>
      <c r="BW1130" s="1" t="s">
        <v>207</v>
      </c>
      <c r="BX1130" s="1" t="s">
        <v>239</v>
      </c>
      <c r="BY1130" s="1" t="s">
        <v>454</v>
      </c>
      <c r="BZ1130" s="1" t="s">
        <v>209</v>
      </c>
      <c r="CA1130" s="1" t="s">
        <v>207</v>
      </c>
      <c r="CB1130" s="1" t="s">
        <v>239</v>
      </c>
      <c r="CD1130" s="1" t="s">
        <v>204</v>
      </c>
      <c r="CG1130" s="1" t="s">
        <v>1672</v>
      </c>
      <c r="CH1130" s="1" t="s">
        <v>209</v>
      </c>
      <c r="CI1130" s="1" t="s">
        <v>207</v>
      </c>
      <c r="CJ1130" s="1" t="s">
        <v>239</v>
      </c>
      <c r="CK1130" s="1" t="s">
        <v>1672</v>
      </c>
      <c r="CL1130" s="1" t="s">
        <v>209</v>
      </c>
      <c r="CM1130" s="1" t="s">
        <v>207</v>
      </c>
      <c r="CN1130" s="1" t="s">
        <v>239</v>
      </c>
      <c r="CO1130" s="1" t="s">
        <v>333</v>
      </c>
      <c r="CP1130" s="1" t="s">
        <v>391</v>
      </c>
      <c r="CQ1130" s="1" t="s">
        <v>210</v>
      </c>
      <c r="CR1130" s="1" t="s">
        <v>239</v>
      </c>
      <c r="CS1130" s="1" t="s">
        <v>1396</v>
      </c>
      <c r="CT1130" s="1" t="s">
        <v>206</v>
      </c>
      <c r="CU1130" s="1" t="s">
        <v>268</v>
      </c>
      <c r="CV1130" s="1" t="s">
        <v>239</v>
      </c>
      <c r="CW1130" s="1" t="s">
        <v>1244</v>
      </c>
      <c r="CX1130" s="1" t="s">
        <v>267</v>
      </c>
      <c r="CY1130" s="1" t="s">
        <v>268</v>
      </c>
      <c r="CZ1130" s="1" t="s">
        <v>239</v>
      </c>
      <c r="DA1130" s="1" t="s">
        <v>200</v>
      </c>
      <c r="DC1130" s="1" t="s">
        <v>1399</v>
      </c>
      <c r="DD1130" s="1" t="s">
        <v>518</v>
      </c>
      <c r="DE1130" s="1" t="s">
        <v>273</v>
      </c>
      <c r="DF1130" s="1" t="s">
        <v>219</v>
      </c>
      <c r="DG1130" s="1" t="s">
        <v>2462</v>
      </c>
      <c r="DH1130" s="1" t="s">
        <v>307</v>
      </c>
      <c r="DI1130" s="1" t="s">
        <v>703</v>
      </c>
      <c r="DJ1130" s="1" t="s">
        <v>222</v>
      </c>
      <c r="DL1130" s="1" t="s">
        <v>1161</v>
      </c>
      <c r="DM1130" s="1" t="s">
        <v>225</v>
      </c>
      <c r="DN1130" s="1" t="s">
        <v>6251</v>
      </c>
      <c r="DO1130" s="1" t="s">
        <v>1979</v>
      </c>
      <c r="DQ1130" s="1" t="s">
        <v>228</v>
      </c>
      <c r="DR1130" s="1" t="s">
        <v>229</v>
      </c>
      <c r="DS1130" s="1" t="s">
        <v>401</v>
      </c>
      <c r="DV1130" s="1" t="s">
        <v>2971</v>
      </c>
      <c r="DW1130" s="1" t="s">
        <v>233</v>
      </c>
      <c r="DX1130" s="1" t="s">
        <v>280</v>
      </c>
      <c r="DY1130" s="1" t="s">
        <v>2730</v>
      </c>
      <c r="DZ1130" s="1" t="s">
        <v>8432</v>
      </c>
      <c r="EA1130" s="1" t="s">
        <v>554</v>
      </c>
      <c r="EB1130" s="1" t="s">
        <v>937</v>
      </c>
      <c r="EC1130" s="1" t="s">
        <v>284</v>
      </c>
      <c r="ED1130" s="1" t="s">
        <v>1761</v>
      </c>
      <c r="EE1130" s="1" t="s">
        <v>493</v>
      </c>
      <c r="EG1130" s="1" t="s">
        <v>2971</v>
      </c>
      <c r="EL1130" s="1" t="s">
        <v>699</v>
      </c>
      <c r="EM1130" s="1" t="s">
        <v>267</v>
      </c>
      <c r="EN1130" s="1" t="s">
        <v>268</v>
      </c>
      <c r="EO1130" s="1" t="s">
        <v>239</v>
      </c>
      <c r="EQ1130" s="1" t="s">
        <v>238</v>
      </c>
      <c r="EU1130" s="1" t="s">
        <v>238</v>
      </c>
      <c r="EY1130" s="1" t="s">
        <v>238</v>
      </c>
      <c r="FC1130" s="1" t="s">
        <v>238</v>
      </c>
      <c r="FF1130" s="1" t="s">
        <v>239</v>
      </c>
      <c r="FG1130" s="1" t="s">
        <v>192</v>
      </c>
      <c r="FH1130" s="1" t="s">
        <v>192</v>
      </c>
      <c r="FJ1130" s="1" t="s">
        <v>3357</v>
      </c>
      <c r="FK1130" s="1" t="s">
        <v>348</v>
      </c>
      <c r="FL1130" s="1" t="s">
        <v>707</v>
      </c>
      <c r="FM1130" s="1">
        <v>24174.0</v>
      </c>
      <c r="FN1130" s="1" t="s">
        <v>708</v>
      </c>
      <c r="FO1130" s="1" t="s">
        <v>12336</v>
      </c>
      <c r="FP1130" s="1">
        <v>237516.0</v>
      </c>
      <c r="FQ1130" s="1" t="s">
        <v>12337</v>
      </c>
      <c r="FU1130" s="1" t="s">
        <v>1438</v>
      </c>
      <c r="FV1130" s="1" t="s">
        <v>200</v>
      </c>
      <c r="FW1130" s="1" t="s">
        <v>12338</v>
      </c>
      <c r="FX1130" s="1" t="s">
        <v>655</v>
      </c>
      <c r="FZ1130" s="1" t="s">
        <v>229</v>
      </c>
      <c r="GA1130" s="1" t="s">
        <v>291</v>
      </c>
      <c r="GB1130" s="2">
        <v>42103.0</v>
      </c>
    </row>
    <row r="1131">
      <c r="A1131" s="1">
        <v>138500.0</v>
      </c>
      <c r="B1131" s="1" t="s">
        <v>185</v>
      </c>
      <c r="C1131" s="1" t="str">
        <f>"08841735"</f>
        <v>08841735</v>
      </c>
      <c r="D1131" s="1" t="s">
        <v>186</v>
      </c>
      <c r="F1131" s="1" t="str">
        <f>"8070"</f>
        <v>8070</v>
      </c>
      <c r="G1131" s="2">
        <v>42053.0</v>
      </c>
      <c r="H1131" s="1">
        <v>144900.0</v>
      </c>
      <c r="I1131" s="1">
        <v>31.0</v>
      </c>
      <c r="J1131" s="1">
        <v>144900.0</v>
      </c>
      <c r="K1131" s="2">
        <v>42083.0</v>
      </c>
      <c r="L1131" s="1">
        <v>31.0</v>
      </c>
      <c r="M1131" s="2">
        <v>42083.0</v>
      </c>
      <c r="N1131" s="1" t="s">
        <v>356</v>
      </c>
      <c r="O1131" s="2">
        <v>42132.0</v>
      </c>
      <c r="P1131" s="1">
        <v>148207.0</v>
      </c>
      <c r="Q1131" s="1">
        <v>14856.0</v>
      </c>
      <c r="R1131" s="1">
        <v>2.89</v>
      </c>
      <c r="S1131" s="1">
        <v>3623.0</v>
      </c>
      <c r="T1131" s="1" t="s">
        <v>12339</v>
      </c>
      <c r="U1131" s="1" t="s">
        <v>320</v>
      </c>
      <c r="V1131" s="1" t="s">
        <v>190</v>
      </c>
      <c r="W1131" s="1">
        <v>60652.0</v>
      </c>
      <c r="Y1131" s="1" t="s">
        <v>12340</v>
      </c>
      <c r="Z1131" s="1">
        <v>1946.0</v>
      </c>
      <c r="AA1131" s="1" t="s">
        <v>192</v>
      </c>
      <c r="AB1131" s="1" t="s">
        <v>193</v>
      </c>
      <c r="AD1131" s="1" t="s">
        <v>194</v>
      </c>
      <c r="AE1131" s="1" t="s">
        <v>195</v>
      </c>
      <c r="AF1131" s="1" t="s">
        <v>659</v>
      </c>
      <c r="AH1131" s="1" t="s">
        <v>359</v>
      </c>
      <c r="AI1131" s="1">
        <v>0.1215</v>
      </c>
      <c r="AK1131" s="1">
        <v>7.0</v>
      </c>
      <c r="AL1131" s="1">
        <v>4.0</v>
      </c>
      <c r="AM1131" s="1">
        <v>1.0</v>
      </c>
      <c r="AN1131" s="1">
        <v>0.0</v>
      </c>
      <c r="AO1131" s="1" t="s">
        <v>229</v>
      </c>
      <c r="AQ1131" s="1" t="s">
        <v>198</v>
      </c>
      <c r="AR1131" s="1" t="s">
        <v>200</v>
      </c>
      <c r="AS1131" s="1" t="s">
        <v>199</v>
      </c>
      <c r="AT1131" s="1">
        <v>2.0</v>
      </c>
      <c r="AV1131" s="1" t="s">
        <v>200</v>
      </c>
      <c r="AW1131" s="4">
        <v>1834.9</v>
      </c>
      <c r="AX1131" s="1">
        <v>2013.0</v>
      </c>
      <c r="AZ1131" s="1" t="s">
        <v>200</v>
      </c>
      <c r="BA1131" s="1" t="str">
        <f>"19353340510000"</f>
        <v>19353340510000</v>
      </c>
      <c r="BB1131" s="1" t="s">
        <v>200</v>
      </c>
      <c r="BC1131" s="1">
        <v>992.0</v>
      </c>
      <c r="BD1131" s="1">
        <v>138500.0</v>
      </c>
      <c r="BE1131" s="2">
        <v>42053.0</v>
      </c>
      <c r="BF1131" s="1" t="s">
        <v>12341</v>
      </c>
      <c r="BH1131" s="1">
        <v>0.0</v>
      </c>
      <c r="BK1131" s="1" t="s">
        <v>204</v>
      </c>
      <c r="BL1131" s="1" t="str">
        <f t="shared" ref="BL1131:BM1131" si="755">"0"</f>
        <v>0</v>
      </c>
      <c r="BM1131" s="1" t="str">
        <f t="shared" si="755"/>
        <v>0</v>
      </c>
      <c r="BN1131" s="1">
        <v>3623.0</v>
      </c>
      <c r="BO1131" s="1">
        <v>8600.0</v>
      </c>
      <c r="BQ1131" s="1">
        <v>299.0</v>
      </c>
      <c r="BR1131" s="1">
        <v>299.0</v>
      </c>
      <c r="BS1131" s="1">
        <v>299.0</v>
      </c>
      <c r="BU1131" s="1" t="s">
        <v>205</v>
      </c>
      <c r="BV1131" s="1" t="s">
        <v>206</v>
      </c>
      <c r="BW1131" s="1" t="s">
        <v>207</v>
      </c>
      <c r="BY1131" s="1" t="s">
        <v>1351</v>
      </c>
      <c r="BZ1131" s="1" t="s">
        <v>206</v>
      </c>
      <c r="CA1131" s="1" t="s">
        <v>210</v>
      </c>
      <c r="CC1131" s="1" t="s">
        <v>1891</v>
      </c>
      <c r="CD1131" s="1" t="s">
        <v>206</v>
      </c>
      <c r="CE1131" s="1" t="s">
        <v>268</v>
      </c>
      <c r="CG1131" s="1" t="s">
        <v>269</v>
      </c>
      <c r="CH1131" s="1" t="s">
        <v>206</v>
      </c>
      <c r="CI1131" s="1" t="s">
        <v>210</v>
      </c>
      <c r="CK1131" s="1" t="s">
        <v>2425</v>
      </c>
      <c r="CL1131" s="1" t="s">
        <v>209</v>
      </c>
      <c r="CM1131" s="1" t="s">
        <v>210</v>
      </c>
      <c r="CO1131" s="1" t="s">
        <v>1352</v>
      </c>
      <c r="CP1131" s="1" t="s">
        <v>209</v>
      </c>
      <c r="CQ1131" s="1" t="s">
        <v>210</v>
      </c>
      <c r="CS1131" s="1" t="s">
        <v>2425</v>
      </c>
      <c r="CT1131" s="1" t="s">
        <v>206</v>
      </c>
      <c r="CU1131" s="1" t="s">
        <v>207</v>
      </c>
      <c r="CX1131" s="1" t="s">
        <v>204</v>
      </c>
      <c r="DA1131" s="1" t="s">
        <v>200</v>
      </c>
      <c r="DC1131" s="1" t="s">
        <v>702</v>
      </c>
      <c r="DE1131" s="1" t="s">
        <v>273</v>
      </c>
      <c r="DF1131" s="1" t="s">
        <v>619</v>
      </c>
      <c r="DH1131" s="1" t="s">
        <v>220</v>
      </c>
      <c r="DJ1131" s="1" t="s">
        <v>222</v>
      </c>
      <c r="DK1131" s="1" t="s">
        <v>224</v>
      </c>
      <c r="DL1131" s="1" t="s">
        <v>223</v>
      </c>
      <c r="DM1131" s="1" t="s">
        <v>229</v>
      </c>
      <c r="DQ1131" s="1" t="s">
        <v>228</v>
      </c>
      <c r="DR1131" s="1" t="s">
        <v>229</v>
      </c>
      <c r="DV1131" s="1" t="s">
        <v>232</v>
      </c>
      <c r="DW1131" s="1" t="s">
        <v>8064</v>
      </c>
      <c r="DX1131" s="1" t="s">
        <v>234</v>
      </c>
      <c r="EC1131" s="1" t="s">
        <v>237</v>
      </c>
      <c r="EM1131" s="1" t="s">
        <v>238</v>
      </c>
      <c r="EQ1131" s="1" t="s">
        <v>238</v>
      </c>
      <c r="EU1131" s="1" t="s">
        <v>238</v>
      </c>
      <c r="EY1131" s="1" t="s">
        <v>238</v>
      </c>
      <c r="FC1131" s="1" t="s">
        <v>238</v>
      </c>
      <c r="FF1131" s="1" t="s">
        <v>239</v>
      </c>
      <c r="FG1131" s="1" t="s">
        <v>192</v>
      </c>
      <c r="FH1131" s="1" t="s">
        <v>192</v>
      </c>
      <c r="FJ1131" s="1" t="s">
        <v>12342</v>
      </c>
      <c r="FK1131" s="1" t="s">
        <v>229</v>
      </c>
      <c r="FL1131" s="1" t="s">
        <v>3358</v>
      </c>
      <c r="FM1131" s="1">
        <v>84818.0</v>
      </c>
      <c r="FN1131" s="1" t="s">
        <v>3359</v>
      </c>
      <c r="FO1131" s="1" t="s">
        <v>3360</v>
      </c>
      <c r="FP1131" s="1">
        <v>161998.0</v>
      </c>
      <c r="FU1131" s="1" t="s">
        <v>12343</v>
      </c>
      <c r="FV1131" s="1" t="s">
        <v>200</v>
      </c>
      <c r="FW1131" s="1" t="s">
        <v>290</v>
      </c>
      <c r="FX1131" s="1" t="s">
        <v>246</v>
      </c>
      <c r="FZ1131" s="1" t="s">
        <v>229</v>
      </c>
      <c r="GA1131" s="1" t="s">
        <v>291</v>
      </c>
      <c r="GB1131" s="2">
        <v>42136.0</v>
      </c>
    </row>
    <row r="1132">
      <c r="A1132" s="1">
        <v>34000.0</v>
      </c>
      <c r="B1132" s="1" t="s">
        <v>185</v>
      </c>
      <c r="C1132" s="1" t="str">
        <f>"08844753"</f>
        <v>08844753</v>
      </c>
      <c r="D1132" s="1" t="s">
        <v>186</v>
      </c>
      <c r="F1132" s="1" t="str">
        <f>"8049"</f>
        <v>8049</v>
      </c>
      <c r="G1132" s="2">
        <v>42058.0</v>
      </c>
      <c r="H1132" s="1">
        <v>34900.0</v>
      </c>
      <c r="I1132" s="1">
        <v>16.0</v>
      </c>
      <c r="J1132" s="1">
        <v>34900.0</v>
      </c>
      <c r="K1132" s="2">
        <v>42073.0</v>
      </c>
      <c r="L1132" s="1">
        <v>16.0</v>
      </c>
      <c r="M1132" s="2">
        <v>42073.0</v>
      </c>
      <c r="N1132" s="1" t="s">
        <v>588</v>
      </c>
      <c r="O1132" s="2">
        <v>42103.0</v>
      </c>
      <c r="P1132" s="1">
        <v>109722.0</v>
      </c>
      <c r="Q1132" s="1">
        <v>12511.0</v>
      </c>
      <c r="S1132" s="1">
        <v>10040.0</v>
      </c>
      <c r="T1132" s="1" t="s">
        <v>7525</v>
      </c>
      <c r="U1132" s="1" t="s">
        <v>189</v>
      </c>
      <c r="V1132" s="1" t="s">
        <v>190</v>
      </c>
      <c r="W1132" s="1">
        <v>60628.0</v>
      </c>
      <c r="Y1132" s="1" t="s">
        <v>12344</v>
      </c>
      <c r="Z1132" s="1">
        <v>1936.0</v>
      </c>
      <c r="AA1132" s="1" t="s">
        <v>192</v>
      </c>
      <c r="AB1132" s="1" t="s">
        <v>193</v>
      </c>
      <c r="AD1132" s="1" t="s">
        <v>194</v>
      </c>
      <c r="AE1132" s="1" t="s">
        <v>195</v>
      </c>
      <c r="AF1132" s="1" t="s">
        <v>637</v>
      </c>
      <c r="AH1132" s="1">
        <v>3750.0</v>
      </c>
      <c r="AI1132" s="1">
        <v>0.0861</v>
      </c>
      <c r="AK1132" s="1">
        <v>7.0</v>
      </c>
      <c r="AL1132" s="1">
        <v>4.0</v>
      </c>
      <c r="AM1132" s="1">
        <v>2.0</v>
      </c>
      <c r="AN1132" s="1">
        <v>1.0</v>
      </c>
      <c r="AO1132" s="1" t="s">
        <v>229</v>
      </c>
      <c r="AQ1132" s="1" t="s">
        <v>198</v>
      </c>
      <c r="AR1132" s="1" t="s">
        <v>192</v>
      </c>
      <c r="AS1132" s="1" t="s">
        <v>199</v>
      </c>
      <c r="AT1132" s="1">
        <v>2.0</v>
      </c>
      <c r="AV1132" s="1" t="s">
        <v>200</v>
      </c>
      <c r="AW1132" s="1">
        <v>1743.71</v>
      </c>
      <c r="AX1132" s="1">
        <v>2012.0</v>
      </c>
      <c r="AZ1132" s="1" t="s">
        <v>200</v>
      </c>
      <c r="BA1132" s="1" t="str">
        <f>"25103120330000"</f>
        <v>25103120330000</v>
      </c>
      <c r="BC1132" s="1">
        <v>912.0</v>
      </c>
      <c r="BD1132" s="1">
        <v>34000.0</v>
      </c>
      <c r="BE1132" s="2">
        <v>42058.0</v>
      </c>
      <c r="BF1132" s="2" t="s">
        <v>12345</v>
      </c>
      <c r="BH1132" s="1">
        <v>0.0</v>
      </c>
      <c r="BK1132" s="1" t="s">
        <v>204</v>
      </c>
      <c r="BL1132" s="1" t="str">
        <f t="shared" ref="BL1132:BL1133" si="756">"0"</f>
        <v>0</v>
      </c>
      <c r="BM1132" s="1" t="str">
        <f>"300"</f>
        <v>300</v>
      </c>
      <c r="BN1132" s="1">
        <v>0.0</v>
      </c>
      <c r="BO1132" s="1">
        <v>10040.0</v>
      </c>
      <c r="BQ1132" s="1">
        <v>299.0</v>
      </c>
      <c r="BR1132" s="1">
        <v>299.0</v>
      </c>
      <c r="BS1132" s="1">
        <v>299.0</v>
      </c>
      <c r="BU1132" s="1" t="s">
        <v>454</v>
      </c>
      <c r="BV1132" s="1" t="s">
        <v>206</v>
      </c>
      <c r="BY1132" s="1" t="s">
        <v>329</v>
      </c>
      <c r="BZ1132" s="1" t="s">
        <v>206</v>
      </c>
      <c r="CC1132" s="1" t="s">
        <v>269</v>
      </c>
      <c r="CD1132" s="1" t="s">
        <v>206</v>
      </c>
      <c r="CG1132" s="1" t="s">
        <v>215</v>
      </c>
      <c r="CH1132" s="1" t="s">
        <v>206</v>
      </c>
      <c r="CK1132" s="1" t="s">
        <v>495</v>
      </c>
      <c r="CL1132" s="1" t="s">
        <v>209</v>
      </c>
      <c r="CO1132" s="1" t="s">
        <v>269</v>
      </c>
      <c r="CP1132" s="1" t="s">
        <v>209</v>
      </c>
      <c r="CS1132" s="1" t="s">
        <v>212</v>
      </c>
      <c r="CT1132" s="1" t="s">
        <v>206</v>
      </c>
      <c r="CX1132" s="1" t="s">
        <v>204</v>
      </c>
      <c r="DA1132" s="1" t="s">
        <v>200</v>
      </c>
      <c r="DC1132" s="1" t="s">
        <v>1399</v>
      </c>
      <c r="DE1132" s="1" t="s">
        <v>229</v>
      </c>
      <c r="DF1132" s="1" t="s">
        <v>619</v>
      </c>
      <c r="DH1132" s="1" t="s">
        <v>220</v>
      </c>
      <c r="DJ1132" s="1" t="s">
        <v>222</v>
      </c>
      <c r="DL1132" s="1" t="s">
        <v>858</v>
      </c>
      <c r="DM1132" s="1" t="s">
        <v>229</v>
      </c>
      <c r="DQ1132" s="1" t="s">
        <v>228</v>
      </c>
      <c r="DR1132" s="1" t="s">
        <v>229</v>
      </c>
      <c r="DV1132" s="1" t="s">
        <v>232</v>
      </c>
      <c r="DW1132" s="1" t="s">
        <v>279</v>
      </c>
      <c r="DX1132" s="1" t="s">
        <v>234</v>
      </c>
      <c r="EC1132" s="1" t="s">
        <v>237</v>
      </c>
      <c r="EM1132" s="1" t="s">
        <v>238</v>
      </c>
      <c r="EQ1132" s="1" t="s">
        <v>238</v>
      </c>
      <c r="EU1132" s="1" t="s">
        <v>238</v>
      </c>
      <c r="EY1132" s="1" t="s">
        <v>238</v>
      </c>
      <c r="FC1132" s="1" t="s">
        <v>238</v>
      </c>
      <c r="FF1132" s="1" t="s">
        <v>239</v>
      </c>
      <c r="FG1132" s="1" t="s">
        <v>192</v>
      </c>
      <c r="FH1132" s="1" t="s">
        <v>192</v>
      </c>
      <c r="FJ1132" s="1" t="s">
        <v>3728</v>
      </c>
      <c r="FK1132" s="1" t="s">
        <v>229</v>
      </c>
      <c r="FL1132" s="1" t="s">
        <v>3272</v>
      </c>
      <c r="FM1132" s="1">
        <v>12511.0</v>
      </c>
      <c r="FN1132" s="1" t="s">
        <v>3273</v>
      </c>
      <c r="FO1132" s="1" t="s">
        <v>3274</v>
      </c>
      <c r="FP1132" s="1">
        <v>121408.0</v>
      </c>
      <c r="FQ1132" s="1" t="s">
        <v>3275</v>
      </c>
      <c r="FU1132" s="1" t="s">
        <v>12346</v>
      </c>
      <c r="FV1132" s="1" t="s">
        <v>200</v>
      </c>
      <c r="FW1132" s="1" t="s">
        <v>1897</v>
      </c>
      <c r="FX1132" s="1" t="s">
        <v>655</v>
      </c>
      <c r="FZ1132" s="1" t="s">
        <v>229</v>
      </c>
      <c r="GA1132" s="1" t="s">
        <v>291</v>
      </c>
      <c r="GB1132" s="2">
        <v>42104.0</v>
      </c>
      <c r="GC1132" s="1" t="s">
        <v>12347</v>
      </c>
    </row>
    <row r="1133">
      <c r="A1133" s="1">
        <v>82500.0</v>
      </c>
      <c r="B1133" s="1" t="s">
        <v>185</v>
      </c>
      <c r="C1133" s="1" t="str">
        <f>"08847720"</f>
        <v>08847720</v>
      </c>
      <c r="D1133" s="1" t="s">
        <v>186</v>
      </c>
      <c r="F1133" s="1" t="str">
        <f>"8066"</f>
        <v>8066</v>
      </c>
      <c r="G1133" s="2">
        <v>42062.0</v>
      </c>
      <c r="H1133" s="1">
        <v>89900.0</v>
      </c>
      <c r="I1133" s="1">
        <v>1.0</v>
      </c>
      <c r="J1133" s="1">
        <v>89900.0</v>
      </c>
      <c r="K1133" s="2">
        <v>42060.0</v>
      </c>
      <c r="L1133" s="1">
        <v>1.0</v>
      </c>
      <c r="M1133" s="2">
        <v>42060.0</v>
      </c>
      <c r="N1133" s="1" t="s">
        <v>249</v>
      </c>
      <c r="O1133" s="2">
        <v>42104.0</v>
      </c>
      <c r="P1133" s="1">
        <v>226556.0</v>
      </c>
      <c r="Q1133" s="1">
        <v>25189.0</v>
      </c>
      <c r="S1133" s="1">
        <v>6543.0</v>
      </c>
      <c r="T1133" s="1" t="s">
        <v>9093</v>
      </c>
      <c r="U1133" s="1" t="s">
        <v>320</v>
      </c>
      <c r="V1133" s="1" t="s">
        <v>190</v>
      </c>
      <c r="W1133" s="1">
        <v>60629.0</v>
      </c>
      <c r="Y1133" s="1" t="s">
        <v>12348</v>
      </c>
      <c r="Z1133" s="1">
        <v>1916.0</v>
      </c>
      <c r="AA1133" s="1" t="s">
        <v>192</v>
      </c>
      <c r="AB1133" s="1" t="s">
        <v>193</v>
      </c>
      <c r="AD1133" s="1" t="s">
        <v>194</v>
      </c>
      <c r="AE1133" s="1" t="s">
        <v>195</v>
      </c>
      <c r="AF1133" s="1" t="s">
        <v>659</v>
      </c>
      <c r="AH1133" s="1" t="s">
        <v>359</v>
      </c>
      <c r="AI1133" s="1">
        <v>0.0861</v>
      </c>
      <c r="AK1133" s="1">
        <v>7.0</v>
      </c>
      <c r="AL1133" s="1">
        <v>4.0</v>
      </c>
      <c r="AM1133" s="1">
        <v>1.0</v>
      </c>
      <c r="AN1133" s="1">
        <v>0.0</v>
      </c>
      <c r="AO1133" s="1" t="s">
        <v>229</v>
      </c>
      <c r="AQ1133" s="1" t="s">
        <v>198</v>
      </c>
      <c r="AR1133" s="1" t="s">
        <v>200</v>
      </c>
      <c r="AS1133" s="1" t="s">
        <v>199</v>
      </c>
      <c r="AT1133" s="1">
        <v>2.0</v>
      </c>
      <c r="AV1133" s="1" t="s">
        <v>200</v>
      </c>
      <c r="AW1133" s="1">
        <v>1749.15</v>
      </c>
      <c r="AX1133" s="1">
        <v>2012.0</v>
      </c>
      <c r="AY1133" s="1" t="s">
        <v>387</v>
      </c>
      <c r="AZ1133" s="1" t="s">
        <v>200</v>
      </c>
      <c r="BA1133" s="1" t="str">
        <f>"19241170160000"</f>
        <v>19241170160000</v>
      </c>
      <c r="BC1133" s="1">
        <v>1400.0</v>
      </c>
      <c r="BD1133" s="1">
        <v>82500.0</v>
      </c>
      <c r="BE1133" s="2">
        <v>42060.0</v>
      </c>
      <c r="BF1133" s="1" t="s">
        <v>12349</v>
      </c>
      <c r="BH1133" s="1">
        <v>0.0</v>
      </c>
      <c r="BK1133" s="1" t="s">
        <v>204</v>
      </c>
      <c r="BL1133" s="1" t="str">
        <f t="shared" si="756"/>
        <v>0</v>
      </c>
      <c r="BM1133" s="1" t="str">
        <f>"0"</f>
        <v>0</v>
      </c>
      <c r="BN1133" s="1">
        <v>3100.0</v>
      </c>
      <c r="BO1133" s="1">
        <v>6500.0</v>
      </c>
      <c r="BQ1133" s="1">
        <v>299.0</v>
      </c>
      <c r="BR1133" s="1">
        <v>299.0</v>
      </c>
      <c r="BS1133" s="1">
        <v>299.0</v>
      </c>
      <c r="BU1133" s="1" t="s">
        <v>1483</v>
      </c>
      <c r="BV1133" s="1" t="s">
        <v>206</v>
      </c>
      <c r="BY1133" s="1" t="s">
        <v>544</v>
      </c>
      <c r="BZ1133" s="1" t="s">
        <v>209</v>
      </c>
      <c r="CC1133" s="1" t="s">
        <v>1395</v>
      </c>
      <c r="CD1133" s="1" t="s">
        <v>206</v>
      </c>
      <c r="CG1133" s="1" t="s">
        <v>269</v>
      </c>
      <c r="CH1133" s="1" t="s">
        <v>206</v>
      </c>
      <c r="CK1133" s="1" t="s">
        <v>269</v>
      </c>
      <c r="CL1133" s="1" t="s">
        <v>206</v>
      </c>
      <c r="CO1133" s="1" t="s">
        <v>269</v>
      </c>
      <c r="CP1133" s="1" t="s">
        <v>206</v>
      </c>
      <c r="CS1133" s="1" t="s">
        <v>363</v>
      </c>
      <c r="CT1133" s="1" t="s">
        <v>206</v>
      </c>
      <c r="CX1133" s="1" t="s">
        <v>204</v>
      </c>
      <c r="DA1133" s="1" t="s">
        <v>200</v>
      </c>
      <c r="DC1133" s="1" t="s">
        <v>216</v>
      </c>
      <c r="DE1133" s="1" t="s">
        <v>1139</v>
      </c>
      <c r="DF1133" s="1" t="s">
        <v>4891</v>
      </c>
      <c r="DH1133" s="1" t="s">
        <v>365</v>
      </c>
      <c r="DJ1133" s="1" t="s">
        <v>222</v>
      </c>
      <c r="DL1133" s="1" t="s">
        <v>223</v>
      </c>
      <c r="DM1133" s="1" t="s">
        <v>229</v>
      </c>
      <c r="DQ1133" s="1" t="s">
        <v>228</v>
      </c>
      <c r="DR1133" s="1" t="s">
        <v>229</v>
      </c>
      <c r="DV1133" s="1" t="s">
        <v>232</v>
      </c>
      <c r="DW1133" s="1" t="s">
        <v>279</v>
      </c>
      <c r="DX1133" s="1" t="s">
        <v>309</v>
      </c>
      <c r="EC1133" s="1" t="s">
        <v>237</v>
      </c>
      <c r="EM1133" s="1" t="s">
        <v>238</v>
      </c>
      <c r="EQ1133" s="1" t="s">
        <v>238</v>
      </c>
      <c r="EU1133" s="1" t="s">
        <v>238</v>
      </c>
      <c r="EY1133" s="1" t="s">
        <v>238</v>
      </c>
      <c r="FC1133" s="1" t="s">
        <v>238</v>
      </c>
      <c r="FF1133" s="1" t="s">
        <v>239</v>
      </c>
      <c r="FG1133" s="1" t="s">
        <v>192</v>
      </c>
      <c r="FH1133" s="1" t="s">
        <v>192</v>
      </c>
      <c r="FJ1133" s="1" t="s">
        <v>1248</v>
      </c>
      <c r="FK1133" s="1" t="s">
        <v>229</v>
      </c>
      <c r="FL1133" s="1" t="s">
        <v>12350</v>
      </c>
      <c r="FM1133" s="1">
        <v>25189.0</v>
      </c>
      <c r="FN1133" s="1" t="s">
        <v>12351</v>
      </c>
      <c r="FO1133" s="1" t="s">
        <v>12352</v>
      </c>
      <c r="FP1133" s="1">
        <v>226556.0</v>
      </c>
      <c r="FU1133" s="1" t="s">
        <v>12353</v>
      </c>
      <c r="FV1133" s="1" t="s">
        <v>200</v>
      </c>
      <c r="FW1133" s="1" t="s">
        <v>12354</v>
      </c>
      <c r="FX1133" s="1" t="s">
        <v>655</v>
      </c>
      <c r="FZ1133" s="1" t="s">
        <v>229</v>
      </c>
      <c r="GA1133" s="1" t="s">
        <v>291</v>
      </c>
      <c r="GB1133" s="2">
        <v>42106.0</v>
      </c>
      <c r="GC1133" s="1" t="s">
        <v>12349</v>
      </c>
    </row>
    <row r="1134">
      <c r="A1134" s="1">
        <v>317000.0</v>
      </c>
      <c r="B1134" s="1" t="s">
        <v>185</v>
      </c>
      <c r="C1134" s="1" t="str">
        <f>"08849234"</f>
        <v>08849234</v>
      </c>
      <c r="D1134" s="1" t="s">
        <v>186</v>
      </c>
      <c r="F1134" s="1" t="str">
        <f>"136"</f>
        <v>136</v>
      </c>
      <c r="G1134" s="2">
        <v>42064.0</v>
      </c>
      <c r="H1134" s="1">
        <v>349900.0</v>
      </c>
      <c r="I1134" s="1">
        <v>39.0</v>
      </c>
      <c r="J1134" s="1">
        <v>349900.0</v>
      </c>
      <c r="K1134" s="2">
        <v>42101.0</v>
      </c>
      <c r="L1134" s="1">
        <v>39.0</v>
      </c>
      <c r="M1134" s="2">
        <v>42101.0</v>
      </c>
      <c r="N1134" s="1" t="s">
        <v>249</v>
      </c>
      <c r="O1134" s="2">
        <v>42111.0</v>
      </c>
      <c r="P1134" s="1">
        <v>87648.0</v>
      </c>
      <c r="Q1134" s="1">
        <v>8081.0</v>
      </c>
      <c r="S1134" s="1">
        <v>385.0</v>
      </c>
      <c r="T1134" s="1" t="s">
        <v>10770</v>
      </c>
      <c r="U1134" s="1" t="s">
        <v>420</v>
      </c>
      <c r="V1134" s="1" t="s">
        <v>5032</v>
      </c>
      <c r="W1134" s="1">
        <v>60136.0</v>
      </c>
      <c r="Y1134" s="1" t="s">
        <v>12355</v>
      </c>
      <c r="Z1134" s="1">
        <v>2006.0</v>
      </c>
      <c r="AA1134" s="1" t="s">
        <v>200</v>
      </c>
      <c r="AB1134" s="1" t="s">
        <v>193</v>
      </c>
      <c r="AD1134" s="1" t="s">
        <v>5035</v>
      </c>
      <c r="AE1134" s="1" t="s">
        <v>325</v>
      </c>
      <c r="AF1134" s="1" t="s">
        <v>3429</v>
      </c>
      <c r="AH1134" s="1">
        <v>0.3</v>
      </c>
      <c r="AK1134" s="1">
        <v>10.0</v>
      </c>
      <c r="AL1134" s="1">
        <v>4.0</v>
      </c>
      <c r="AM1134" s="1">
        <v>2.0</v>
      </c>
      <c r="AN1134" s="1">
        <v>1.0</v>
      </c>
      <c r="AO1134" s="1" t="s">
        <v>198</v>
      </c>
      <c r="AP1134" s="1">
        <v>1.0</v>
      </c>
      <c r="AQ1134" s="1" t="s">
        <v>472</v>
      </c>
      <c r="AR1134" s="1" t="s">
        <v>200</v>
      </c>
      <c r="AS1134" s="1" t="s">
        <v>199</v>
      </c>
      <c r="AT1134" s="1">
        <v>3.0</v>
      </c>
      <c r="AV1134" s="1" t="s">
        <v>200</v>
      </c>
      <c r="AW1134" s="1">
        <v>11280.08</v>
      </c>
      <c r="AX1134" s="1">
        <v>2013.0</v>
      </c>
      <c r="AZ1134" s="1" t="s">
        <v>200</v>
      </c>
      <c r="BA1134" s="1" t="str">
        <f>"0224201008"</f>
        <v>0224201008</v>
      </c>
      <c r="BB1134" s="1" t="s">
        <v>200</v>
      </c>
      <c r="BC1134" s="1">
        <v>3225.0</v>
      </c>
      <c r="BD1134" s="1">
        <v>317000.0</v>
      </c>
      <c r="BE1134" s="2">
        <v>42063.0</v>
      </c>
      <c r="BF1134" s="2" t="s">
        <v>12356</v>
      </c>
      <c r="BH1134" s="1">
        <v>88.0</v>
      </c>
      <c r="BK1134" s="1" t="s">
        <v>1952</v>
      </c>
      <c r="BL1134" s="1" t="str">
        <f t="shared" ref="BL1134:BM1134" si="757">""</f>
        <v/>
      </c>
      <c r="BM1134" s="1" t="str">
        <f t="shared" si="757"/>
        <v/>
      </c>
      <c r="BQ1134" s="1">
        <v>300.0</v>
      </c>
      <c r="BR1134" s="1">
        <v>300.0</v>
      </c>
      <c r="BS1134" s="1">
        <v>300.0</v>
      </c>
      <c r="BU1134" s="1" t="s">
        <v>1064</v>
      </c>
      <c r="BV1134" s="1" t="s">
        <v>206</v>
      </c>
      <c r="BW1134" s="1" t="s">
        <v>207</v>
      </c>
      <c r="BY1134" s="1" t="s">
        <v>334</v>
      </c>
      <c r="BZ1134" s="1" t="s">
        <v>209</v>
      </c>
      <c r="CC1134" s="1" t="s">
        <v>300</v>
      </c>
      <c r="CD1134" s="1" t="s">
        <v>206</v>
      </c>
      <c r="CE1134" s="1" t="s">
        <v>207</v>
      </c>
      <c r="CG1134" s="1" t="s">
        <v>2459</v>
      </c>
      <c r="CH1134" s="1" t="s">
        <v>209</v>
      </c>
      <c r="CK1134" s="1" t="s">
        <v>1417</v>
      </c>
      <c r="CL1134" s="1" t="s">
        <v>209</v>
      </c>
      <c r="CO1134" s="1" t="s">
        <v>699</v>
      </c>
      <c r="CP1134" s="1" t="s">
        <v>209</v>
      </c>
      <c r="CS1134" s="1" t="s">
        <v>3784</v>
      </c>
      <c r="CT1134" s="1" t="s">
        <v>206</v>
      </c>
      <c r="CU1134" s="1" t="s">
        <v>207</v>
      </c>
      <c r="CW1134" s="1" t="s">
        <v>5291</v>
      </c>
      <c r="CX1134" s="1" t="s">
        <v>206</v>
      </c>
      <c r="DA1134" s="1" t="s">
        <v>200</v>
      </c>
      <c r="DC1134" s="1" t="s">
        <v>481</v>
      </c>
      <c r="DE1134" s="1" t="s">
        <v>273</v>
      </c>
      <c r="DF1134" s="1" t="s">
        <v>219</v>
      </c>
      <c r="DG1134" s="1" t="s">
        <v>337</v>
      </c>
      <c r="DH1134" s="1" t="s">
        <v>220</v>
      </c>
      <c r="DJ1134" s="1" t="s">
        <v>222</v>
      </c>
      <c r="DL1134" s="1" t="s">
        <v>223</v>
      </c>
      <c r="DM1134" s="1" t="s">
        <v>229</v>
      </c>
      <c r="DQ1134" s="1" t="s">
        <v>441</v>
      </c>
      <c r="DR1134" s="1" t="s">
        <v>229</v>
      </c>
      <c r="DS1134" s="1" t="s">
        <v>230</v>
      </c>
      <c r="DU1134" s="1" t="s">
        <v>12357</v>
      </c>
      <c r="DV1134" s="1" t="s">
        <v>6535</v>
      </c>
      <c r="DW1134" s="1" t="s">
        <v>489</v>
      </c>
      <c r="DX1134" s="1" t="s">
        <v>234</v>
      </c>
      <c r="DY1134" s="1" t="s">
        <v>490</v>
      </c>
      <c r="DZ1134" s="1" t="s">
        <v>491</v>
      </c>
      <c r="EC1134" s="1" t="s">
        <v>237</v>
      </c>
      <c r="EG1134" s="1" t="s">
        <v>598</v>
      </c>
      <c r="EH1134" s="1" t="s">
        <v>341</v>
      </c>
      <c r="EL1134" s="1" t="s">
        <v>663</v>
      </c>
      <c r="EM1134" s="1" t="s">
        <v>206</v>
      </c>
      <c r="EP1134" s="1" t="s">
        <v>1064</v>
      </c>
      <c r="EQ1134" s="1" t="s">
        <v>209</v>
      </c>
      <c r="EU1134" s="1" t="s">
        <v>238</v>
      </c>
      <c r="EY1134" s="1" t="s">
        <v>238</v>
      </c>
      <c r="FC1134" s="1" t="s">
        <v>238</v>
      </c>
      <c r="FF1134" s="1" t="s">
        <v>239</v>
      </c>
      <c r="FG1134" s="1" t="s">
        <v>192</v>
      </c>
      <c r="FH1134" s="1" t="s">
        <v>192</v>
      </c>
      <c r="FJ1134" s="1" t="s">
        <v>770</v>
      </c>
      <c r="FK1134" s="1" t="s">
        <v>229</v>
      </c>
      <c r="FL1134" s="1" t="s">
        <v>5844</v>
      </c>
      <c r="FM1134" s="1">
        <v>93084.0</v>
      </c>
      <c r="FN1134" s="1" t="s">
        <v>5845</v>
      </c>
      <c r="FO1134" s="1" t="s">
        <v>6830</v>
      </c>
      <c r="FP1134" s="1">
        <v>930228.0</v>
      </c>
      <c r="FQ1134" s="1" t="s">
        <v>6831</v>
      </c>
      <c r="FU1134" s="1" t="s">
        <v>12358</v>
      </c>
      <c r="FV1134" s="1" t="s">
        <v>200</v>
      </c>
      <c r="FW1134" s="1" t="s">
        <v>3082</v>
      </c>
      <c r="FZ1134" s="1" t="s">
        <v>229</v>
      </c>
      <c r="GA1134" s="1" t="s">
        <v>291</v>
      </c>
      <c r="GB1134" s="2">
        <v>42113.0</v>
      </c>
      <c r="GC1134" s="1" t="s">
        <v>12359</v>
      </c>
    </row>
    <row r="1135">
      <c r="A1135" s="1">
        <v>309000.0</v>
      </c>
      <c r="B1135" s="1" t="s">
        <v>185</v>
      </c>
      <c r="C1135" s="1" t="str">
        <f>"08841847"</f>
        <v>08841847</v>
      </c>
      <c r="D1135" s="1" t="s">
        <v>186</v>
      </c>
      <c r="F1135" s="1" t="str">
        <f>"8017"</f>
        <v>8017</v>
      </c>
      <c r="G1135" s="2">
        <v>42053.0</v>
      </c>
      <c r="H1135" s="1">
        <v>332500.0</v>
      </c>
      <c r="I1135" s="1">
        <v>44.0</v>
      </c>
      <c r="J1135" s="1">
        <v>309900.0</v>
      </c>
      <c r="K1135" s="2">
        <v>42095.0</v>
      </c>
      <c r="L1135" s="1">
        <v>44.0</v>
      </c>
      <c r="M1135" s="2">
        <v>42095.0</v>
      </c>
      <c r="N1135" s="1" t="s">
        <v>187</v>
      </c>
      <c r="O1135" s="2">
        <v>42135.0</v>
      </c>
      <c r="P1135" s="1">
        <v>107323.0</v>
      </c>
      <c r="Q1135" s="1">
        <v>17299.0</v>
      </c>
      <c r="S1135" s="1">
        <v>3558.0</v>
      </c>
      <c r="T1135" s="1" t="s">
        <v>12360</v>
      </c>
      <c r="U1135" s="1" t="s">
        <v>189</v>
      </c>
      <c r="V1135" s="1" t="s">
        <v>190</v>
      </c>
      <c r="W1135" s="1">
        <v>60634.0</v>
      </c>
      <c r="Y1135" s="1" t="s">
        <v>12361</v>
      </c>
      <c r="Z1135" s="1">
        <v>2006.0</v>
      </c>
      <c r="AA1135" s="1" t="s">
        <v>200</v>
      </c>
      <c r="AB1135" s="1" t="s">
        <v>193</v>
      </c>
      <c r="AD1135" s="1" t="s">
        <v>194</v>
      </c>
      <c r="AE1135" s="1" t="s">
        <v>195</v>
      </c>
      <c r="AF1135" s="1" t="s">
        <v>196</v>
      </c>
      <c r="AH1135" s="1">
        <v>3936.0</v>
      </c>
      <c r="AI1135" s="1">
        <v>0.0904</v>
      </c>
      <c r="AK1135" s="1">
        <v>9.0</v>
      </c>
      <c r="AL1135" s="1">
        <v>3.0</v>
      </c>
      <c r="AM1135" s="1">
        <v>3.0</v>
      </c>
      <c r="AN1135" s="1">
        <v>1.0</v>
      </c>
      <c r="AO1135" s="1" t="s">
        <v>198</v>
      </c>
      <c r="AQ1135" s="1" t="s">
        <v>198</v>
      </c>
      <c r="AR1135" s="1" t="s">
        <v>192</v>
      </c>
      <c r="AS1135" s="1" t="s">
        <v>199</v>
      </c>
      <c r="AT1135" s="1">
        <v>2.0</v>
      </c>
      <c r="AV1135" s="1" t="s">
        <v>200</v>
      </c>
      <c r="AW1135" s="1">
        <v>7312.99</v>
      </c>
      <c r="AX1135" s="1">
        <v>2013.0</v>
      </c>
      <c r="AY1135" s="1" t="s">
        <v>387</v>
      </c>
      <c r="AZ1135" s="1" t="s">
        <v>200</v>
      </c>
      <c r="BA1135" s="1" t="str">
        <f>"13194020460000"</f>
        <v>13194020460000</v>
      </c>
      <c r="BC1135" s="1">
        <v>2134.0</v>
      </c>
      <c r="BD1135" s="1">
        <v>309000.0</v>
      </c>
      <c r="BE1135" s="2">
        <v>42052.0</v>
      </c>
      <c r="BF1135" s="2" t="s">
        <v>12362</v>
      </c>
      <c r="BH1135" s="1">
        <v>0.0</v>
      </c>
      <c r="BK1135" s="1" t="s">
        <v>204</v>
      </c>
      <c r="BL1135" s="1" t="str">
        <f>"3558"</f>
        <v>3558</v>
      </c>
      <c r="BM1135" s="1" t="str">
        <f t="shared" ref="BM1135:BM1136" si="758">"0"</f>
        <v>0</v>
      </c>
      <c r="BN1135" s="1">
        <v>6600.0</v>
      </c>
      <c r="BO1135" s="1">
        <v>0.0</v>
      </c>
      <c r="BQ1135" s="1">
        <v>299.0</v>
      </c>
      <c r="BR1135" s="1">
        <v>299.0</v>
      </c>
      <c r="BS1135" s="1">
        <v>299.0</v>
      </c>
      <c r="BU1135" s="1" t="s">
        <v>715</v>
      </c>
      <c r="BV1135" s="1" t="s">
        <v>206</v>
      </c>
      <c r="BW1135" s="1" t="s">
        <v>207</v>
      </c>
      <c r="BY1135" s="1" t="s">
        <v>924</v>
      </c>
      <c r="BZ1135" s="1" t="s">
        <v>209</v>
      </c>
      <c r="CA1135" s="1" t="s">
        <v>207</v>
      </c>
      <c r="CC1135" s="1" t="s">
        <v>542</v>
      </c>
      <c r="CD1135" s="1" t="s">
        <v>206</v>
      </c>
      <c r="CG1135" s="1" t="s">
        <v>647</v>
      </c>
      <c r="CH1135" s="1" t="s">
        <v>209</v>
      </c>
      <c r="CI1135" s="1" t="s">
        <v>207</v>
      </c>
      <c r="CK1135" s="1" t="s">
        <v>647</v>
      </c>
      <c r="CL1135" s="1" t="s">
        <v>209</v>
      </c>
      <c r="CM1135" s="1" t="s">
        <v>207</v>
      </c>
      <c r="CO1135" s="1" t="s">
        <v>454</v>
      </c>
      <c r="CP1135" s="1" t="s">
        <v>42</v>
      </c>
      <c r="CQ1135" s="1" t="s">
        <v>210</v>
      </c>
      <c r="CS1135" s="1" t="s">
        <v>582</v>
      </c>
      <c r="CT1135" s="1" t="s">
        <v>206</v>
      </c>
      <c r="CU1135" s="1" t="s">
        <v>207</v>
      </c>
      <c r="CW1135" s="1" t="s">
        <v>3817</v>
      </c>
      <c r="CX1135" s="1" t="s">
        <v>206</v>
      </c>
      <c r="CY1135" s="1" t="s">
        <v>207</v>
      </c>
      <c r="DA1135" s="1" t="s">
        <v>200</v>
      </c>
      <c r="DC1135" s="1" t="s">
        <v>481</v>
      </c>
      <c r="DD1135" s="1" t="s">
        <v>306</v>
      </c>
      <c r="DE1135" s="1" t="s">
        <v>273</v>
      </c>
      <c r="DF1135" s="1" t="s">
        <v>219</v>
      </c>
      <c r="DG1135" s="1" t="s">
        <v>337</v>
      </c>
      <c r="DH1135" s="1" t="s">
        <v>220</v>
      </c>
      <c r="DJ1135" s="1" t="s">
        <v>222</v>
      </c>
      <c r="DL1135" s="1" t="s">
        <v>224</v>
      </c>
      <c r="DM1135" s="1" t="s">
        <v>229</v>
      </c>
      <c r="DP1135" s="1" t="s">
        <v>276</v>
      </c>
      <c r="DQ1135" s="1" t="s">
        <v>228</v>
      </c>
      <c r="DR1135" s="1" t="s">
        <v>229</v>
      </c>
      <c r="DS1135" s="1" t="s">
        <v>230</v>
      </c>
      <c r="DV1135" s="1" t="s">
        <v>5174</v>
      </c>
      <c r="DW1135" s="1" t="s">
        <v>279</v>
      </c>
      <c r="DX1135" s="1" t="s">
        <v>234</v>
      </c>
      <c r="DY1135" s="1" t="s">
        <v>10287</v>
      </c>
      <c r="DZ1135" s="1" t="s">
        <v>310</v>
      </c>
      <c r="EA1135" s="1" t="s">
        <v>1027</v>
      </c>
      <c r="EC1135" s="1" t="s">
        <v>237</v>
      </c>
      <c r="ED1135" s="1" t="s">
        <v>1761</v>
      </c>
      <c r="EG1135" s="1" t="s">
        <v>450</v>
      </c>
      <c r="EH1135" s="1" t="s">
        <v>409</v>
      </c>
      <c r="EL1135" s="1" t="s">
        <v>1623</v>
      </c>
      <c r="EM1135" s="1" t="s">
        <v>42</v>
      </c>
      <c r="EN1135" s="1" t="s">
        <v>210</v>
      </c>
      <c r="EP1135" s="1" t="s">
        <v>4413</v>
      </c>
      <c r="EQ1135" s="1" t="s">
        <v>209</v>
      </c>
      <c r="ER1135" s="1" t="s">
        <v>210</v>
      </c>
      <c r="EU1135" s="1" t="s">
        <v>238</v>
      </c>
      <c r="EY1135" s="1" t="s">
        <v>238</v>
      </c>
      <c r="FC1135" s="1" t="s">
        <v>238</v>
      </c>
      <c r="FF1135" s="1" t="s">
        <v>239</v>
      </c>
      <c r="FG1135" s="1" t="s">
        <v>192</v>
      </c>
      <c r="FH1135" s="1" t="s">
        <v>192</v>
      </c>
      <c r="FJ1135" s="1" t="s">
        <v>770</v>
      </c>
      <c r="FK1135" s="1" t="s">
        <v>12363</v>
      </c>
      <c r="FL1135" s="1" t="s">
        <v>836</v>
      </c>
      <c r="FM1135" s="1">
        <v>18080.0</v>
      </c>
      <c r="FN1135" s="1" t="s">
        <v>837</v>
      </c>
      <c r="FO1135" s="1" t="s">
        <v>12364</v>
      </c>
      <c r="FP1135" s="1">
        <v>132745.0</v>
      </c>
      <c r="FQ1135" s="1" t="s">
        <v>12365</v>
      </c>
      <c r="FU1135" s="1" t="s">
        <v>12366</v>
      </c>
      <c r="FV1135" s="1" t="s">
        <v>200</v>
      </c>
      <c r="FW1135" s="1" t="s">
        <v>12367</v>
      </c>
      <c r="FX1135" s="1" t="s">
        <v>238</v>
      </c>
      <c r="FZ1135" s="1" t="s">
        <v>229</v>
      </c>
      <c r="GA1135" s="1" t="s">
        <v>291</v>
      </c>
      <c r="GB1135" s="2">
        <v>42136.0</v>
      </c>
      <c r="GC1135" s="1" t="s">
        <v>12368</v>
      </c>
    </row>
    <row r="1136">
      <c r="A1136" s="1">
        <v>492500.0</v>
      </c>
      <c r="B1136" s="1" t="s">
        <v>185</v>
      </c>
      <c r="C1136" s="1" t="str">
        <f>"08847020"</f>
        <v>08847020</v>
      </c>
      <c r="D1136" s="1" t="s">
        <v>186</v>
      </c>
      <c r="F1136" s="1" t="str">
        <f>"8012"</f>
        <v>8012</v>
      </c>
      <c r="G1136" s="2">
        <v>42061.0</v>
      </c>
      <c r="H1136" s="1">
        <v>499000.0</v>
      </c>
      <c r="I1136" s="1">
        <v>4.0</v>
      </c>
      <c r="J1136" s="1">
        <v>499000.0</v>
      </c>
      <c r="K1136" s="2">
        <v>42064.0</v>
      </c>
      <c r="L1136" s="1">
        <v>4.0</v>
      </c>
      <c r="M1136" s="2">
        <v>42064.0</v>
      </c>
      <c r="N1136" s="1" t="s">
        <v>187</v>
      </c>
      <c r="O1136" s="2">
        <v>42097.0</v>
      </c>
      <c r="P1136" s="1">
        <v>115311.0</v>
      </c>
      <c r="Q1136" s="1">
        <v>10115.0</v>
      </c>
      <c r="R1136" s="1">
        <v>1500.0</v>
      </c>
      <c r="S1136" s="1">
        <v>6231.0</v>
      </c>
      <c r="T1136" s="1" t="s">
        <v>12369</v>
      </c>
      <c r="U1136" s="1" t="s">
        <v>189</v>
      </c>
      <c r="V1136" s="1" t="s">
        <v>190</v>
      </c>
      <c r="W1136" s="1">
        <v>60646.0</v>
      </c>
      <c r="Y1136" s="1" t="s">
        <v>12370</v>
      </c>
      <c r="Z1136" s="1">
        <v>1935.0</v>
      </c>
      <c r="AA1136" s="1" t="s">
        <v>192</v>
      </c>
      <c r="AB1136" s="1" t="s">
        <v>193</v>
      </c>
      <c r="AD1136" s="1" t="s">
        <v>194</v>
      </c>
      <c r="AE1136" s="1" t="s">
        <v>195</v>
      </c>
      <c r="AF1136" s="1" t="s">
        <v>196</v>
      </c>
      <c r="AH1136" s="1" t="s">
        <v>5314</v>
      </c>
      <c r="AI1136" s="1">
        <v>0.1004</v>
      </c>
      <c r="AK1136" s="1">
        <v>8.0</v>
      </c>
      <c r="AL1136" s="1">
        <v>4.0</v>
      </c>
      <c r="AM1136" s="1">
        <v>2.0</v>
      </c>
      <c r="AN1136" s="1">
        <v>1.0</v>
      </c>
      <c r="AO1136" s="1" t="s">
        <v>229</v>
      </c>
      <c r="AP1136" s="1">
        <v>1.0</v>
      </c>
      <c r="AQ1136" s="1" t="s">
        <v>198</v>
      </c>
      <c r="AR1136" s="1" t="s">
        <v>192</v>
      </c>
      <c r="AS1136" s="1" t="s">
        <v>199</v>
      </c>
      <c r="AT1136" s="1">
        <v>2.0</v>
      </c>
      <c r="AV1136" s="1" t="s">
        <v>200</v>
      </c>
      <c r="AW1136" s="1">
        <v>6525.71</v>
      </c>
      <c r="AX1136" s="1">
        <v>2012.0</v>
      </c>
      <c r="AZ1136" s="1" t="s">
        <v>200</v>
      </c>
      <c r="BA1136" s="1" t="str">
        <f>"13042070050000"</f>
        <v>13042070050000</v>
      </c>
      <c r="BC1136" s="1">
        <v>1703.0</v>
      </c>
      <c r="BD1136" s="1">
        <v>492500.0</v>
      </c>
      <c r="BE1136" s="2">
        <v>42061.0</v>
      </c>
      <c r="BF1136" s="2" t="s">
        <v>12371</v>
      </c>
      <c r="BG1136" s="1" t="s">
        <v>9269</v>
      </c>
      <c r="BH1136" s="1">
        <v>0.0</v>
      </c>
      <c r="BK1136" s="1" t="s">
        <v>204</v>
      </c>
      <c r="BL1136" s="1" t="str">
        <f>"6231"</f>
        <v>6231</v>
      </c>
      <c r="BM1136" s="1" t="str">
        <f t="shared" si="758"/>
        <v>0</v>
      </c>
      <c r="BN1136" s="1">
        <v>5100.0</v>
      </c>
      <c r="BO1136" s="1">
        <v>0.0</v>
      </c>
      <c r="BQ1136" s="1">
        <v>299.0</v>
      </c>
      <c r="BR1136" s="1">
        <v>299.0</v>
      </c>
      <c r="BS1136" s="1">
        <v>299.0</v>
      </c>
      <c r="BU1136" s="1" t="s">
        <v>453</v>
      </c>
      <c r="BV1136" s="1" t="s">
        <v>206</v>
      </c>
      <c r="BW1136" s="1" t="s">
        <v>207</v>
      </c>
      <c r="BY1136" s="1" t="s">
        <v>453</v>
      </c>
      <c r="BZ1136" s="1" t="s">
        <v>209</v>
      </c>
      <c r="CA1136" s="1" t="s">
        <v>207</v>
      </c>
      <c r="CC1136" s="1" t="s">
        <v>543</v>
      </c>
      <c r="CD1136" s="1" t="s">
        <v>206</v>
      </c>
      <c r="CE1136" s="1" t="s">
        <v>207</v>
      </c>
      <c r="CG1136" s="1" t="s">
        <v>497</v>
      </c>
      <c r="CH1136" s="1" t="s">
        <v>209</v>
      </c>
      <c r="CI1136" s="1" t="s">
        <v>207</v>
      </c>
      <c r="CK1136" s="1" t="s">
        <v>495</v>
      </c>
      <c r="CL1136" s="1" t="s">
        <v>209</v>
      </c>
      <c r="CM1136" s="1" t="s">
        <v>207</v>
      </c>
      <c r="CO1136" s="1" t="s">
        <v>9108</v>
      </c>
      <c r="CP1136" s="1" t="s">
        <v>206</v>
      </c>
      <c r="CQ1136" s="1" t="s">
        <v>210</v>
      </c>
      <c r="CS1136" s="1" t="s">
        <v>664</v>
      </c>
      <c r="CT1136" s="1" t="s">
        <v>206</v>
      </c>
      <c r="CU1136" s="1" t="s">
        <v>207</v>
      </c>
      <c r="CX1136" s="1" t="s">
        <v>204</v>
      </c>
      <c r="DA1136" s="1" t="s">
        <v>200</v>
      </c>
      <c r="DC1136" s="1" t="s">
        <v>1399</v>
      </c>
      <c r="DD1136" s="1" t="s">
        <v>518</v>
      </c>
      <c r="DE1136" s="1" t="s">
        <v>273</v>
      </c>
      <c r="DF1136" s="1" t="s">
        <v>219</v>
      </c>
      <c r="DH1136" s="1" t="s">
        <v>365</v>
      </c>
      <c r="DI1136" s="1" t="s">
        <v>519</v>
      </c>
      <c r="DJ1136" s="1" t="s">
        <v>222</v>
      </c>
      <c r="DK1136" s="1" t="s">
        <v>12372</v>
      </c>
      <c r="DL1136" s="1" t="s">
        <v>224</v>
      </c>
      <c r="DM1136" s="1" t="s">
        <v>229</v>
      </c>
      <c r="DO1136" s="1" t="s">
        <v>549</v>
      </c>
      <c r="DP1136" s="1" t="s">
        <v>340</v>
      </c>
      <c r="DQ1136" s="1" t="s">
        <v>228</v>
      </c>
      <c r="DR1136" s="1" t="s">
        <v>229</v>
      </c>
      <c r="DV1136" s="1" t="s">
        <v>450</v>
      </c>
      <c r="DW1136" s="1" t="s">
        <v>279</v>
      </c>
      <c r="DX1136" s="1" t="s">
        <v>234</v>
      </c>
      <c r="DY1136" s="1" t="s">
        <v>2240</v>
      </c>
      <c r="EB1136" s="1" t="s">
        <v>345</v>
      </c>
      <c r="EC1136" s="1" t="s">
        <v>237</v>
      </c>
      <c r="ED1136" s="1" t="s">
        <v>407</v>
      </c>
      <c r="EG1136" s="1" t="s">
        <v>450</v>
      </c>
      <c r="EL1136" s="1" t="s">
        <v>3092</v>
      </c>
      <c r="EM1136" s="1" t="s">
        <v>42</v>
      </c>
      <c r="EN1136" s="1" t="s">
        <v>617</v>
      </c>
      <c r="EQ1136" s="1" t="s">
        <v>238</v>
      </c>
      <c r="EU1136" s="1" t="s">
        <v>238</v>
      </c>
      <c r="EY1136" s="1" t="s">
        <v>238</v>
      </c>
      <c r="FC1136" s="1" t="s">
        <v>238</v>
      </c>
      <c r="FF1136" s="1" t="s">
        <v>239</v>
      </c>
      <c r="FG1136" s="1" t="s">
        <v>192</v>
      </c>
      <c r="FH1136" s="1" t="s">
        <v>192</v>
      </c>
      <c r="FJ1136" s="1" t="s">
        <v>686</v>
      </c>
      <c r="FK1136" s="1" t="s">
        <v>229</v>
      </c>
      <c r="FL1136" s="1" t="s">
        <v>12373</v>
      </c>
      <c r="FM1136" s="1">
        <v>1325.0</v>
      </c>
      <c r="FN1136" s="1" t="s">
        <v>12374</v>
      </c>
      <c r="FO1136" s="1" t="s">
        <v>12375</v>
      </c>
      <c r="FP1136" s="1">
        <v>80763.0</v>
      </c>
      <c r="FQ1136" s="1" t="s">
        <v>12376</v>
      </c>
      <c r="FU1136" s="1" t="s">
        <v>12377</v>
      </c>
      <c r="FV1136" s="1" t="s">
        <v>200</v>
      </c>
      <c r="FW1136" s="1" t="s">
        <v>461</v>
      </c>
      <c r="FX1136" s="1" t="s">
        <v>238</v>
      </c>
      <c r="FZ1136" s="1" t="s">
        <v>229</v>
      </c>
      <c r="GA1136" s="1" t="s">
        <v>291</v>
      </c>
      <c r="GB1136" s="2">
        <v>42101.0</v>
      </c>
    </row>
    <row r="1137">
      <c r="A1137" s="1">
        <v>248500.0</v>
      </c>
      <c r="B1137" s="1" t="s">
        <v>185</v>
      </c>
      <c r="C1137" s="1" t="str">
        <f>"08846508"</f>
        <v>08846508</v>
      </c>
      <c r="D1137" s="1" t="s">
        <v>186</v>
      </c>
      <c r="F1137" s="1" t="str">
        <f>"543"</f>
        <v>543</v>
      </c>
      <c r="G1137" s="2">
        <v>42060.0</v>
      </c>
      <c r="H1137" s="1">
        <v>254900.0</v>
      </c>
      <c r="I1137" s="1">
        <v>15.0</v>
      </c>
      <c r="J1137" s="1">
        <v>254900.0</v>
      </c>
      <c r="K1137" s="2">
        <v>42074.0</v>
      </c>
      <c r="L1137" s="1">
        <v>15.0</v>
      </c>
      <c r="M1137" s="2">
        <v>42074.0</v>
      </c>
      <c r="N1137" s="1" t="s">
        <v>356</v>
      </c>
      <c r="O1137" s="2">
        <v>42139.0</v>
      </c>
      <c r="P1137" s="1">
        <v>221930.0</v>
      </c>
      <c r="Q1137" s="1">
        <v>25718.0</v>
      </c>
      <c r="S1137" s="1">
        <v>713.0</v>
      </c>
      <c r="T1137" s="1" t="s">
        <v>12378</v>
      </c>
      <c r="U1137" s="1" t="s">
        <v>420</v>
      </c>
      <c r="V1137" s="1" t="s">
        <v>1527</v>
      </c>
      <c r="W1137" s="1">
        <v>60543.0</v>
      </c>
      <c r="Y1137" s="1" t="s">
        <v>12379</v>
      </c>
      <c r="Z1137" s="1">
        <v>2000.0</v>
      </c>
      <c r="AA1137" s="1" t="s">
        <v>200</v>
      </c>
      <c r="AB1137" s="1" t="s">
        <v>467</v>
      </c>
      <c r="AC1137" s="1" t="s">
        <v>12380</v>
      </c>
      <c r="AD1137" s="1" t="s">
        <v>1529</v>
      </c>
      <c r="AE1137" s="1" t="s">
        <v>849</v>
      </c>
      <c r="AF1137" s="1" t="s">
        <v>1529</v>
      </c>
      <c r="AG1137" s="1" t="s">
        <v>12381</v>
      </c>
      <c r="AH1137" s="1" t="s">
        <v>12382</v>
      </c>
      <c r="AK1137" s="1">
        <v>8.0</v>
      </c>
      <c r="AL1137" s="1">
        <v>4.0</v>
      </c>
      <c r="AM1137" s="1">
        <v>2.0</v>
      </c>
      <c r="AN1137" s="1">
        <v>1.0</v>
      </c>
      <c r="AO1137" s="1" t="s">
        <v>198</v>
      </c>
      <c r="AP1137" s="1">
        <v>1.0</v>
      </c>
      <c r="AQ1137" s="1" t="s">
        <v>198</v>
      </c>
      <c r="AR1137" s="1" t="s">
        <v>200</v>
      </c>
      <c r="AS1137" s="1" t="s">
        <v>199</v>
      </c>
      <c r="AT1137" s="1">
        <v>2.0</v>
      </c>
      <c r="AV1137" s="1" t="s">
        <v>200</v>
      </c>
      <c r="AW1137" s="1">
        <v>8309.98</v>
      </c>
      <c r="AX1137" s="1">
        <v>2013.0</v>
      </c>
      <c r="AY1137" s="1" t="s">
        <v>387</v>
      </c>
      <c r="AZ1137" s="1" t="s">
        <v>200</v>
      </c>
      <c r="BA1137" s="1" t="str">
        <f>"0319452033"</f>
        <v>0319452033</v>
      </c>
      <c r="BC1137" s="1">
        <v>2814.0</v>
      </c>
      <c r="BD1137" s="1">
        <v>248500.0</v>
      </c>
      <c r="BE1137" s="2">
        <v>42060.0</v>
      </c>
      <c r="BF1137" s="2" t="s">
        <v>12383</v>
      </c>
      <c r="BH1137" s="1">
        <v>190.0</v>
      </c>
      <c r="BK1137" s="1" t="s">
        <v>580</v>
      </c>
      <c r="BL1137" s="1" t="str">
        <f t="shared" ref="BL1137:BM1137" si="759">""</f>
        <v/>
      </c>
      <c r="BM1137" s="1" t="str">
        <f t="shared" si="759"/>
        <v/>
      </c>
      <c r="BQ1137" s="1">
        <v>308.0</v>
      </c>
      <c r="BR1137" s="1">
        <v>308.0</v>
      </c>
      <c r="BS1137" s="1">
        <v>308.0</v>
      </c>
      <c r="BU1137" s="1" t="s">
        <v>743</v>
      </c>
      <c r="BV1137" s="1" t="s">
        <v>206</v>
      </c>
      <c r="BW1137" s="1" t="s">
        <v>210</v>
      </c>
      <c r="BY1137" s="1" t="s">
        <v>2800</v>
      </c>
      <c r="BZ1137" s="1" t="s">
        <v>209</v>
      </c>
      <c r="CA1137" s="1" t="s">
        <v>210</v>
      </c>
      <c r="CC1137" s="1" t="s">
        <v>393</v>
      </c>
      <c r="CD1137" s="1" t="s">
        <v>206</v>
      </c>
      <c r="CE1137" s="1" t="s">
        <v>210</v>
      </c>
      <c r="CG1137" s="1" t="s">
        <v>332</v>
      </c>
      <c r="CH1137" s="1" t="s">
        <v>209</v>
      </c>
      <c r="CI1137" s="1" t="s">
        <v>210</v>
      </c>
      <c r="CK1137" s="1" t="s">
        <v>699</v>
      </c>
      <c r="CL1137" s="1" t="s">
        <v>209</v>
      </c>
      <c r="CM1137" s="1" t="s">
        <v>210</v>
      </c>
      <c r="CO1137" s="1" t="s">
        <v>433</v>
      </c>
      <c r="CP1137" s="1" t="s">
        <v>209</v>
      </c>
      <c r="CQ1137" s="1" t="s">
        <v>210</v>
      </c>
      <c r="CS1137" s="1" t="s">
        <v>784</v>
      </c>
      <c r="CT1137" s="1" t="s">
        <v>206</v>
      </c>
      <c r="CU1137" s="1" t="s">
        <v>207</v>
      </c>
      <c r="CW1137" s="1" t="s">
        <v>260</v>
      </c>
      <c r="CX1137" s="1" t="s">
        <v>206</v>
      </c>
      <c r="CY1137" s="1" t="s">
        <v>210</v>
      </c>
      <c r="DA1137" s="1" t="s">
        <v>200</v>
      </c>
      <c r="DC1137" s="1" t="s">
        <v>335</v>
      </c>
      <c r="DD1137" s="1" t="s">
        <v>436</v>
      </c>
      <c r="DE1137" s="1" t="s">
        <v>273</v>
      </c>
      <c r="DF1137" s="1" t="s">
        <v>619</v>
      </c>
      <c r="DH1137" s="1" t="s">
        <v>220</v>
      </c>
      <c r="DI1137" s="1" t="s">
        <v>308</v>
      </c>
      <c r="DJ1137" s="1" t="s">
        <v>222</v>
      </c>
      <c r="DL1137" s="1" t="s">
        <v>223</v>
      </c>
      <c r="DM1137" s="1" t="s">
        <v>229</v>
      </c>
      <c r="DN1137" s="1" t="s">
        <v>548</v>
      </c>
      <c r="DO1137" s="1" t="s">
        <v>440</v>
      </c>
      <c r="DP1137" s="1" t="s">
        <v>340</v>
      </c>
      <c r="DQ1137" s="1" t="s">
        <v>228</v>
      </c>
      <c r="DR1137" s="1" t="s">
        <v>229</v>
      </c>
      <c r="DS1137" s="1" t="s">
        <v>230</v>
      </c>
      <c r="DU1137" s="1" t="s">
        <v>1355</v>
      </c>
      <c r="DV1137" s="1" t="s">
        <v>232</v>
      </c>
      <c r="DW1137" s="1" t="s">
        <v>444</v>
      </c>
      <c r="DX1137" s="1" t="s">
        <v>309</v>
      </c>
      <c r="DY1137" s="1" t="s">
        <v>1051</v>
      </c>
      <c r="DZ1137" s="1" t="s">
        <v>282</v>
      </c>
      <c r="EA1137" s="1" t="s">
        <v>344</v>
      </c>
      <c r="EB1137" s="1" t="s">
        <v>937</v>
      </c>
      <c r="EC1137" s="1" t="s">
        <v>237</v>
      </c>
      <c r="ED1137" s="1" t="s">
        <v>407</v>
      </c>
      <c r="EM1137" s="1" t="s">
        <v>238</v>
      </c>
      <c r="EQ1137" s="1" t="s">
        <v>238</v>
      </c>
      <c r="EU1137" s="1" t="s">
        <v>238</v>
      </c>
      <c r="EY1137" s="1" t="s">
        <v>238</v>
      </c>
      <c r="FC1137" s="1" t="s">
        <v>238</v>
      </c>
      <c r="FF1137" s="1" t="s">
        <v>239</v>
      </c>
      <c r="FG1137" s="1" t="s">
        <v>192</v>
      </c>
      <c r="FH1137" s="1" t="s">
        <v>192</v>
      </c>
      <c r="FJ1137" s="1" t="s">
        <v>1123</v>
      </c>
      <c r="FK1137" s="1" t="s">
        <v>229</v>
      </c>
      <c r="FL1137" s="1" t="s">
        <v>6918</v>
      </c>
      <c r="FM1137" s="1">
        <v>31580.0</v>
      </c>
      <c r="FN1137" s="1" t="s">
        <v>6919</v>
      </c>
      <c r="FO1137" s="1" t="s">
        <v>9139</v>
      </c>
      <c r="FP1137" s="1">
        <v>300079.0</v>
      </c>
      <c r="FS1137" s="1" t="s">
        <v>9140</v>
      </c>
      <c r="FU1137" s="1" t="s">
        <v>9141</v>
      </c>
      <c r="FV1137" s="1" t="s">
        <v>200</v>
      </c>
      <c r="FW1137" s="1" t="s">
        <v>290</v>
      </c>
      <c r="FZ1137" s="1" t="s">
        <v>229</v>
      </c>
      <c r="GA1137" s="1" t="s">
        <v>291</v>
      </c>
      <c r="GB1137" s="2">
        <v>42141.0</v>
      </c>
    </row>
    <row r="1138">
      <c r="A1138" s="1">
        <v>181200.0</v>
      </c>
      <c r="B1138" s="1" t="s">
        <v>185</v>
      </c>
      <c r="C1138" s="1" t="str">
        <f>"08847850"</f>
        <v>08847850</v>
      </c>
      <c r="D1138" s="1" t="s">
        <v>186</v>
      </c>
      <c r="F1138" s="1" t="str">
        <f>"8025"</f>
        <v>8025</v>
      </c>
      <c r="G1138" s="2">
        <v>42062.0</v>
      </c>
      <c r="H1138" s="1">
        <v>154900.0</v>
      </c>
      <c r="I1138" s="1">
        <v>15.0</v>
      </c>
      <c r="J1138" s="1">
        <v>154900.0</v>
      </c>
      <c r="K1138" s="2">
        <v>42074.0</v>
      </c>
      <c r="L1138" s="1">
        <v>15.0</v>
      </c>
      <c r="M1138" s="2">
        <v>42074.0</v>
      </c>
      <c r="N1138" s="1" t="s">
        <v>249</v>
      </c>
      <c r="O1138" s="2">
        <v>42088.0</v>
      </c>
      <c r="P1138" s="1">
        <v>120446.0</v>
      </c>
      <c r="Q1138" s="1">
        <v>18505.0</v>
      </c>
      <c r="S1138" s="1">
        <v>1807.0</v>
      </c>
      <c r="T1138" s="1" t="s">
        <v>12384</v>
      </c>
      <c r="U1138" s="1" t="s">
        <v>189</v>
      </c>
      <c r="V1138" s="1" t="s">
        <v>190</v>
      </c>
      <c r="W1138" s="1">
        <v>60707.0</v>
      </c>
      <c r="Y1138" s="1" t="s">
        <v>12385</v>
      </c>
      <c r="Z1138" s="1">
        <v>1928.0</v>
      </c>
      <c r="AA1138" s="1" t="s">
        <v>192</v>
      </c>
      <c r="AB1138" s="1" t="s">
        <v>193</v>
      </c>
      <c r="AD1138" s="1" t="s">
        <v>194</v>
      </c>
      <c r="AE1138" s="1" t="s">
        <v>195</v>
      </c>
      <c r="AF1138" s="1" t="s">
        <v>827</v>
      </c>
      <c r="AH1138" s="1" t="s">
        <v>1501</v>
      </c>
      <c r="AK1138" s="1">
        <v>8.0</v>
      </c>
      <c r="AL1138" s="1">
        <v>4.0</v>
      </c>
      <c r="AM1138" s="1">
        <v>2.0</v>
      </c>
      <c r="AN1138" s="1">
        <v>0.0</v>
      </c>
      <c r="AO1138" s="1" t="s">
        <v>229</v>
      </c>
      <c r="AQ1138" s="1" t="s">
        <v>198</v>
      </c>
      <c r="AR1138" s="1" t="s">
        <v>192</v>
      </c>
      <c r="AS1138" s="1" t="s">
        <v>199</v>
      </c>
      <c r="AT1138" s="1">
        <v>2.0</v>
      </c>
      <c r="AV1138" s="1" t="s">
        <v>200</v>
      </c>
      <c r="AW1138" s="1">
        <v>4635.0</v>
      </c>
      <c r="AX1138" s="1">
        <v>2013.0</v>
      </c>
      <c r="AY1138" s="1" t="s">
        <v>229</v>
      </c>
      <c r="AZ1138" s="1" t="s">
        <v>545</v>
      </c>
      <c r="BA1138" s="1" t="str">
        <f>"13313120160000"</f>
        <v>13313120160000</v>
      </c>
      <c r="BC1138" s="1">
        <v>1595.0</v>
      </c>
      <c r="BD1138" s="1">
        <v>181200.0</v>
      </c>
      <c r="BE1138" s="2">
        <v>42060.0</v>
      </c>
      <c r="BF1138" s="1" t="s">
        <v>12386</v>
      </c>
      <c r="BH1138" s="1">
        <v>0.0</v>
      </c>
      <c r="BK1138" s="1" t="s">
        <v>204</v>
      </c>
      <c r="BL1138" s="1" t="str">
        <f>"1807"</f>
        <v>1807</v>
      </c>
      <c r="BM1138" s="1" t="str">
        <f>"0"</f>
        <v>0</v>
      </c>
      <c r="BN1138" s="1">
        <v>6900.0</v>
      </c>
      <c r="BO1138" s="1">
        <v>0.0</v>
      </c>
      <c r="BQ1138" s="1">
        <v>299.0</v>
      </c>
      <c r="BR1138" s="1">
        <v>299.0</v>
      </c>
      <c r="BS1138" s="1">
        <v>299.0</v>
      </c>
      <c r="BU1138" s="1" t="s">
        <v>2800</v>
      </c>
      <c r="BV1138" s="1" t="s">
        <v>206</v>
      </c>
      <c r="BY1138" s="1" t="s">
        <v>729</v>
      </c>
      <c r="BZ1138" s="1" t="s">
        <v>206</v>
      </c>
      <c r="CC1138" s="1" t="s">
        <v>211</v>
      </c>
      <c r="CD1138" s="1" t="s">
        <v>206</v>
      </c>
      <c r="CG1138" s="1" t="s">
        <v>332</v>
      </c>
      <c r="CH1138" s="1" t="s">
        <v>206</v>
      </c>
      <c r="CK1138" s="1" t="s">
        <v>264</v>
      </c>
      <c r="CL1138" s="1" t="s">
        <v>206</v>
      </c>
      <c r="CO1138" s="1" t="s">
        <v>1117</v>
      </c>
      <c r="CP1138" s="1" t="s">
        <v>209</v>
      </c>
      <c r="CS1138" s="1" t="s">
        <v>262</v>
      </c>
      <c r="CT1138" s="1" t="s">
        <v>206</v>
      </c>
      <c r="CW1138" s="1" t="s">
        <v>2592</v>
      </c>
      <c r="CX1138" s="1" t="s">
        <v>42</v>
      </c>
      <c r="DA1138" s="1" t="s">
        <v>200</v>
      </c>
      <c r="DC1138" s="1" t="s">
        <v>785</v>
      </c>
      <c r="DE1138" s="1" t="s">
        <v>229</v>
      </c>
      <c r="DF1138" s="1" t="s">
        <v>619</v>
      </c>
      <c r="DH1138" s="1" t="s">
        <v>365</v>
      </c>
      <c r="DJ1138" s="1" t="s">
        <v>222</v>
      </c>
      <c r="DL1138" s="1" t="s">
        <v>858</v>
      </c>
      <c r="DM1138" s="1" t="s">
        <v>229</v>
      </c>
      <c r="DP1138" s="1" t="s">
        <v>340</v>
      </c>
      <c r="DQ1138" s="1" t="s">
        <v>718</v>
      </c>
      <c r="DR1138" s="1" t="s">
        <v>229</v>
      </c>
      <c r="DV1138" s="1" t="s">
        <v>232</v>
      </c>
      <c r="DW1138" s="1" t="s">
        <v>279</v>
      </c>
      <c r="DX1138" s="1" t="s">
        <v>234</v>
      </c>
      <c r="EC1138" s="1" t="s">
        <v>645</v>
      </c>
      <c r="EM1138" s="1" t="s">
        <v>238</v>
      </c>
      <c r="EQ1138" s="1" t="s">
        <v>238</v>
      </c>
      <c r="EU1138" s="1" t="s">
        <v>238</v>
      </c>
      <c r="EY1138" s="1" t="s">
        <v>238</v>
      </c>
      <c r="FC1138" s="1" t="s">
        <v>238</v>
      </c>
      <c r="FF1138" s="1" t="s">
        <v>239</v>
      </c>
      <c r="FG1138" s="1" t="s">
        <v>192</v>
      </c>
      <c r="FH1138" s="1" t="s">
        <v>192</v>
      </c>
      <c r="FJ1138" s="1" t="s">
        <v>347</v>
      </c>
      <c r="FK1138" s="1" t="s">
        <v>229</v>
      </c>
      <c r="FL1138" s="1" t="s">
        <v>2049</v>
      </c>
      <c r="FM1138" s="1">
        <v>14858.0</v>
      </c>
      <c r="FN1138" s="1" t="s">
        <v>2050</v>
      </c>
      <c r="FO1138" s="1" t="s">
        <v>12387</v>
      </c>
      <c r="FP1138" s="1">
        <v>166910.0</v>
      </c>
      <c r="FQ1138" s="1" t="s">
        <v>12388</v>
      </c>
      <c r="FU1138" s="1" t="s">
        <v>12389</v>
      </c>
      <c r="FV1138" s="1" t="s">
        <v>200</v>
      </c>
      <c r="FW1138" s="1" t="s">
        <v>4843</v>
      </c>
      <c r="FX1138" s="1" t="s">
        <v>238</v>
      </c>
      <c r="FZ1138" s="1" t="s">
        <v>229</v>
      </c>
      <c r="GA1138" s="1" t="s">
        <v>291</v>
      </c>
      <c r="GB1138" s="2">
        <v>42089.0</v>
      </c>
      <c r="GC1138" s="1" t="s">
        <v>12390</v>
      </c>
    </row>
    <row r="1139">
      <c r="A1139" s="1">
        <v>450000.0</v>
      </c>
      <c r="B1139" s="1" t="s">
        <v>185</v>
      </c>
      <c r="C1139" s="1" t="str">
        <f>"08850066"</f>
        <v>08850066</v>
      </c>
      <c r="D1139" s="1" t="s">
        <v>186</v>
      </c>
      <c r="F1139" s="1" t="str">
        <f>"8060"</f>
        <v>8060</v>
      </c>
      <c r="G1139" s="2">
        <v>42065.0</v>
      </c>
      <c r="H1139" s="1">
        <v>465000.0</v>
      </c>
      <c r="I1139" s="1">
        <v>171.0</v>
      </c>
      <c r="J1139" s="1">
        <v>465000.0</v>
      </c>
      <c r="K1139" s="2">
        <v>42107.0</v>
      </c>
      <c r="L1139" s="1">
        <v>43.0</v>
      </c>
      <c r="M1139" s="2">
        <v>42107.0</v>
      </c>
      <c r="N1139" s="1" t="s">
        <v>187</v>
      </c>
      <c r="O1139" s="2">
        <v>42142.0</v>
      </c>
      <c r="P1139" s="1">
        <v>158356.0</v>
      </c>
      <c r="Q1139" s="1">
        <v>14165.0</v>
      </c>
      <c r="S1139" s="1">
        <v>2969.0</v>
      </c>
      <c r="T1139" s="1" t="s">
        <v>12391</v>
      </c>
      <c r="U1139" s="1" t="s">
        <v>320</v>
      </c>
      <c r="V1139" s="1" t="s">
        <v>190</v>
      </c>
      <c r="W1139" s="1">
        <v>60608.0</v>
      </c>
      <c r="Y1139" s="1" t="s">
        <v>12392</v>
      </c>
      <c r="Z1139" s="1">
        <v>2014.0</v>
      </c>
      <c r="AA1139" s="1" t="s">
        <v>200</v>
      </c>
      <c r="AB1139" s="1" t="s">
        <v>193</v>
      </c>
      <c r="AD1139" s="1" t="s">
        <v>194</v>
      </c>
      <c r="AE1139" s="1" t="s">
        <v>195</v>
      </c>
      <c r="AF1139" s="1" t="s">
        <v>1154</v>
      </c>
      <c r="AH1139" s="1" t="s">
        <v>12393</v>
      </c>
      <c r="AK1139" s="1">
        <v>8.0</v>
      </c>
      <c r="AL1139" s="1">
        <v>3.0</v>
      </c>
      <c r="AM1139" s="1">
        <v>3.0</v>
      </c>
      <c r="AN1139" s="1">
        <v>1.0</v>
      </c>
      <c r="AO1139" s="1" t="s">
        <v>198</v>
      </c>
      <c r="AQ1139" s="1" t="s">
        <v>198</v>
      </c>
      <c r="AR1139" s="1" t="s">
        <v>192</v>
      </c>
      <c r="AS1139" s="1" t="s">
        <v>199</v>
      </c>
      <c r="AT1139" s="1">
        <v>2.0</v>
      </c>
      <c r="AV1139" s="1" t="s">
        <v>200</v>
      </c>
      <c r="AW1139" s="1" t="s">
        <v>575</v>
      </c>
      <c r="AX1139" s="1">
        <v>2013.0</v>
      </c>
      <c r="AZ1139" s="1" t="s">
        <v>200</v>
      </c>
      <c r="BA1139" s="1" t="str">
        <f>"17293250310000"</f>
        <v>17293250310000</v>
      </c>
      <c r="BB1139" s="1" t="s">
        <v>200</v>
      </c>
      <c r="BC1139" s="1">
        <v>3100.0</v>
      </c>
      <c r="BD1139" s="1">
        <v>450000.0</v>
      </c>
      <c r="BE1139" s="2">
        <v>42065.0</v>
      </c>
      <c r="BF1139" s="1" t="s">
        <v>12394</v>
      </c>
      <c r="BH1139" s="1">
        <v>0.0</v>
      </c>
      <c r="BK1139" s="1" t="s">
        <v>204</v>
      </c>
      <c r="BL1139" s="1" t="str">
        <f t="shared" ref="BL1139:BM1139" si="760">"0"</f>
        <v>0</v>
      </c>
      <c r="BM1139" s="1" t="str">
        <f t="shared" si="760"/>
        <v>0</v>
      </c>
      <c r="BN1139" s="1">
        <v>1200.0</v>
      </c>
      <c r="BO1139" s="1">
        <v>2969.0</v>
      </c>
      <c r="BQ1139" s="1">
        <v>299.0</v>
      </c>
      <c r="BR1139" s="1">
        <v>299.0</v>
      </c>
      <c r="BS1139" s="1">
        <v>299.0</v>
      </c>
      <c r="BU1139" s="1" t="s">
        <v>782</v>
      </c>
      <c r="BV1139" s="1" t="s">
        <v>206</v>
      </c>
      <c r="BY1139" s="1" t="s">
        <v>393</v>
      </c>
      <c r="BZ1139" s="1" t="s">
        <v>209</v>
      </c>
      <c r="CC1139" s="1" t="s">
        <v>542</v>
      </c>
      <c r="CD1139" s="1" t="s">
        <v>206</v>
      </c>
      <c r="CG1139" s="1" t="s">
        <v>264</v>
      </c>
      <c r="CH1139" s="1" t="s">
        <v>209</v>
      </c>
      <c r="CK1139" s="1" t="s">
        <v>1351</v>
      </c>
      <c r="CL1139" s="1" t="s">
        <v>209</v>
      </c>
      <c r="CO1139" s="1" t="s">
        <v>478</v>
      </c>
      <c r="CP1139" s="1" t="s">
        <v>42</v>
      </c>
      <c r="CS1139" s="1" t="s">
        <v>2592</v>
      </c>
      <c r="CT1139" s="1" t="s">
        <v>206</v>
      </c>
      <c r="CW1139" s="1" t="s">
        <v>394</v>
      </c>
      <c r="CX1139" s="1" t="s">
        <v>42</v>
      </c>
      <c r="DA1139" s="1" t="s">
        <v>192</v>
      </c>
      <c r="DB1139" s="2">
        <v>42062.0</v>
      </c>
      <c r="DC1139" s="1" t="s">
        <v>1353</v>
      </c>
      <c r="DE1139" s="1" t="s">
        <v>273</v>
      </c>
      <c r="DF1139" s="1" t="s">
        <v>219</v>
      </c>
      <c r="DH1139" s="1" t="s">
        <v>365</v>
      </c>
      <c r="DJ1139" s="1" t="s">
        <v>222</v>
      </c>
      <c r="DL1139" s="1" t="s">
        <v>224</v>
      </c>
      <c r="DM1139" s="1" t="s">
        <v>229</v>
      </c>
      <c r="DQ1139" s="1" t="s">
        <v>228</v>
      </c>
      <c r="DR1139" s="1" t="s">
        <v>229</v>
      </c>
      <c r="DV1139" s="1" t="s">
        <v>232</v>
      </c>
      <c r="DW1139" s="1" t="s">
        <v>279</v>
      </c>
      <c r="DX1139" s="1" t="s">
        <v>234</v>
      </c>
      <c r="EC1139" s="1" t="s">
        <v>237</v>
      </c>
      <c r="EM1139" s="1" t="s">
        <v>238</v>
      </c>
      <c r="EQ1139" s="1" t="s">
        <v>238</v>
      </c>
      <c r="EU1139" s="1" t="s">
        <v>238</v>
      </c>
      <c r="EY1139" s="1" t="s">
        <v>238</v>
      </c>
      <c r="FC1139" s="1" t="s">
        <v>238</v>
      </c>
      <c r="FF1139" s="1" t="s">
        <v>239</v>
      </c>
      <c r="FG1139" s="1" t="s">
        <v>200</v>
      </c>
      <c r="FH1139" s="1" t="s">
        <v>192</v>
      </c>
      <c r="FJ1139" s="1" t="s">
        <v>12395</v>
      </c>
      <c r="FK1139" s="1" t="s">
        <v>229</v>
      </c>
      <c r="FL1139" s="1" t="s">
        <v>1168</v>
      </c>
      <c r="FM1139" s="1">
        <v>14165.0</v>
      </c>
      <c r="FN1139" s="1" t="s">
        <v>1169</v>
      </c>
      <c r="FO1139" s="1" t="s">
        <v>12396</v>
      </c>
      <c r="FP1139" s="1">
        <v>130234.0</v>
      </c>
      <c r="FU1139" s="1" t="s">
        <v>12397</v>
      </c>
      <c r="FV1139" s="1" t="s">
        <v>200</v>
      </c>
      <c r="FW1139" s="1" t="s">
        <v>290</v>
      </c>
      <c r="FX1139" s="1" t="s">
        <v>655</v>
      </c>
      <c r="FZ1139" s="1" t="s">
        <v>229</v>
      </c>
      <c r="GA1139" s="1" t="s">
        <v>291</v>
      </c>
      <c r="GB1139" s="2">
        <v>42142.0</v>
      </c>
    </row>
    <row r="1140">
      <c r="A1140" s="1">
        <v>220000.0</v>
      </c>
      <c r="B1140" s="1" t="s">
        <v>185</v>
      </c>
      <c r="C1140" s="1" t="str">
        <f>"08845922"</f>
        <v>08845922</v>
      </c>
      <c r="D1140" s="1" t="s">
        <v>186</v>
      </c>
      <c r="F1140" s="1" t="str">
        <f>"538"</f>
        <v>538</v>
      </c>
      <c r="G1140" s="2">
        <v>42059.0</v>
      </c>
      <c r="H1140" s="1">
        <v>209900.0</v>
      </c>
      <c r="I1140" s="1">
        <v>18.0</v>
      </c>
      <c r="J1140" s="1">
        <v>209900.0</v>
      </c>
      <c r="K1140" s="2">
        <v>42076.0</v>
      </c>
      <c r="L1140" s="1">
        <v>18.0</v>
      </c>
      <c r="M1140" s="2">
        <v>42076.0</v>
      </c>
      <c r="N1140" s="1" t="s">
        <v>634</v>
      </c>
      <c r="O1140" s="2">
        <v>42129.0</v>
      </c>
      <c r="P1140" s="1">
        <v>381.0</v>
      </c>
      <c r="Q1140" s="1">
        <v>604.0</v>
      </c>
      <c r="R1140" s="1">
        <v>5000.0</v>
      </c>
      <c r="S1140" s="1">
        <v>2218.0</v>
      </c>
      <c r="T1140" s="1" t="s">
        <v>12398</v>
      </c>
      <c r="U1140" s="1" t="s">
        <v>4857</v>
      </c>
      <c r="V1140" s="1" t="s">
        <v>1340</v>
      </c>
      <c r="W1140" s="1">
        <v>60538.0</v>
      </c>
      <c r="Y1140" s="1" t="s">
        <v>12399</v>
      </c>
      <c r="Z1140" s="1">
        <v>2002.0</v>
      </c>
      <c r="AA1140" s="1" t="s">
        <v>200</v>
      </c>
      <c r="AB1140" s="1" t="s">
        <v>467</v>
      </c>
      <c r="AC1140" s="1" t="s">
        <v>5960</v>
      </c>
      <c r="AD1140" s="1" t="s">
        <v>1343</v>
      </c>
      <c r="AE1140" s="1" t="s">
        <v>849</v>
      </c>
      <c r="AF1140" s="1" t="s">
        <v>1312</v>
      </c>
      <c r="AH1140" s="1" t="s">
        <v>12400</v>
      </c>
      <c r="AI1140" s="1">
        <v>0.21</v>
      </c>
      <c r="AK1140" s="1">
        <v>11.0</v>
      </c>
      <c r="AL1140" s="1">
        <v>4.0</v>
      </c>
      <c r="AM1140" s="1">
        <v>2.0</v>
      </c>
      <c r="AN1140" s="1">
        <v>2.0</v>
      </c>
      <c r="AO1140" s="1" t="s">
        <v>198</v>
      </c>
      <c r="AQ1140" s="1" t="s">
        <v>198</v>
      </c>
      <c r="AR1140" s="1" t="s">
        <v>192</v>
      </c>
      <c r="AS1140" s="1" t="s">
        <v>199</v>
      </c>
      <c r="AT1140" s="1">
        <v>2.0</v>
      </c>
      <c r="AV1140" s="1" t="s">
        <v>200</v>
      </c>
      <c r="AW1140" s="1">
        <v>5323.0</v>
      </c>
      <c r="AX1140" s="1">
        <v>2013.0</v>
      </c>
      <c r="AY1140" s="1" t="s">
        <v>387</v>
      </c>
      <c r="AZ1140" s="1" t="s">
        <v>192</v>
      </c>
      <c r="BA1140" s="1" t="str">
        <f>"0202230013"</f>
        <v>0202230013</v>
      </c>
      <c r="BB1140" s="1" t="s">
        <v>200</v>
      </c>
      <c r="BC1140" s="1">
        <v>2492.0</v>
      </c>
      <c r="BD1140" s="1">
        <v>220000.0</v>
      </c>
      <c r="BE1140" s="2">
        <v>42059.0</v>
      </c>
      <c r="BF1140" s="2" t="s">
        <v>12401</v>
      </c>
      <c r="BG1140" s="1" t="s">
        <v>1837</v>
      </c>
      <c r="BH1140" s="1">
        <v>81.0</v>
      </c>
      <c r="BI1140" s="1" t="s">
        <v>1533</v>
      </c>
      <c r="BJ1140" s="1" t="s">
        <v>1349</v>
      </c>
      <c r="BK1140" s="1" t="s">
        <v>1952</v>
      </c>
      <c r="BL1140" s="1" t="str">
        <f t="shared" ref="BL1140:BM1140" si="761">""</f>
        <v/>
      </c>
      <c r="BM1140" s="1" t="str">
        <f t="shared" si="761"/>
        <v/>
      </c>
      <c r="BQ1140" s="1">
        <v>308.0</v>
      </c>
      <c r="BR1140" s="1">
        <v>308.0</v>
      </c>
      <c r="BS1140" s="1">
        <v>308.0</v>
      </c>
      <c r="BU1140" s="1" t="s">
        <v>329</v>
      </c>
      <c r="BV1140" s="1" t="s">
        <v>206</v>
      </c>
      <c r="BW1140" s="1" t="s">
        <v>210</v>
      </c>
      <c r="BX1140" s="1" t="s">
        <v>431</v>
      </c>
      <c r="BY1140" s="1" t="s">
        <v>390</v>
      </c>
      <c r="BZ1140" s="1" t="s">
        <v>209</v>
      </c>
      <c r="CA1140" s="1" t="s">
        <v>210</v>
      </c>
      <c r="CB1140" s="1" t="s">
        <v>431</v>
      </c>
      <c r="CC1140" s="1" t="s">
        <v>332</v>
      </c>
      <c r="CD1140" s="1" t="s">
        <v>206</v>
      </c>
      <c r="CE1140" s="1" t="s">
        <v>210</v>
      </c>
      <c r="CF1140" s="1" t="s">
        <v>1549</v>
      </c>
      <c r="CG1140" s="1" t="s">
        <v>331</v>
      </c>
      <c r="CH1140" s="1" t="s">
        <v>209</v>
      </c>
      <c r="CI1140" s="1" t="s">
        <v>210</v>
      </c>
      <c r="CJ1140" s="1" t="s">
        <v>431</v>
      </c>
      <c r="CK1140" s="1" t="s">
        <v>215</v>
      </c>
      <c r="CL1140" s="1" t="s">
        <v>209</v>
      </c>
      <c r="CM1140" s="1" t="s">
        <v>210</v>
      </c>
      <c r="CN1140" s="1" t="s">
        <v>431</v>
      </c>
      <c r="CO1140" s="1" t="s">
        <v>495</v>
      </c>
      <c r="CP1140" s="1" t="s">
        <v>209</v>
      </c>
      <c r="CQ1140" s="1" t="s">
        <v>210</v>
      </c>
      <c r="CR1140" s="1" t="s">
        <v>431</v>
      </c>
      <c r="CS1140" s="1" t="s">
        <v>743</v>
      </c>
      <c r="CT1140" s="1" t="s">
        <v>206</v>
      </c>
      <c r="CU1140" s="1" t="s">
        <v>617</v>
      </c>
      <c r="CV1140" s="1" t="s">
        <v>431</v>
      </c>
      <c r="CW1140" s="1" t="s">
        <v>208</v>
      </c>
      <c r="CX1140" s="1" t="s">
        <v>206</v>
      </c>
      <c r="CY1140" s="1" t="s">
        <v>210</v>
      </c>
      <c r="CZ1140" s="1" t="s">
        <v>431</v>
      </c>
      <c r="DA1140" s="1" t="s">
        <v>200</v>
      </c>
      <c r="DC1140" s="1" t="s">
        <v>335</v>
      </c>
      <c r="DD1140" s="1" t="s">
        <v>336</v>
      </c>
      <c r="DE1140" s="1" t="s">
        <v>273</v>
      </c>
      <c r="DF1140" s="1" t="s">
        <v>619</v>
      </c>
      <c r="DG1140" s="1" t="s">
        <v>1266</v>
      </c>
      <c r="DH1140" s="1" t="s">
        <v>220</v>
      </c>
      <c r="DI1140" s="1" t="s">
        <v>4695</v>
      </c>
      <c r="DJ1140" s="1" t="s">
        <v>222</v>
      </c>
      <c r="DL1140" s="1" t="s">
        <v>224</v>
      </c>
      <c r="DM1140" s="1" t="s">
        <v>229</v>
      </c>
      <c r="DN1140" s="1" t="s">
        <v>1486</v>
      </c>
      <c r="DO1140" s="1" t="s">
        <v>549</v>
      </c>
      <c r="DP1140" s="1" t="s">
        <v>340</v>
      </c>
      <c r="DQ1140" s="1" t="s">
        <v>228</v>
      </c>
      <c r="DR1140" s="1" t="s">
        <v>2593</v>
      </c>
      <c r="DS1140" s="1" t="s">
        <v>230</v>
      </c>
      <c r="DU1140" s="1" t="s">
        <v>487</v>
      </c>
      <c r="DV1140" s="1" t="s">
        <v>2366</v>
      </c>
      <c r="DW1140" s="1" t="s">
        <v>233</v>
      </c>
      <c r="DX1140" s="1" t="s">
        <v>234</v>
      </c>
      <c r="DY1140" s="1" t="s">
        <v>3846</v>
      </c>
      <c r="DZ1140" s="1" t="s">
        <v>2424</v>
      </c>
      <c r="EA1140" s="1" t="s">
        <v>344</v>
      </c>
      <c r="EC1140" s="1" t="s">
        <v>237</v>
      </c>
      <c r="ED1140" s="1" t="s">
        <v>407</v>
      </c>
      <c r="EG1140" s="1" t="s">
        <v>494</v>
      </c>
      <c r="EI1140" s="1" t="s">
        <v>598</v>
      </c>
      <c r="EJ1140" s="1" t="s">
        <v>450</v>
      </c>
      <c r="EL1140" s="1" t="s">
        <v>495</v>
      </c>
      <c r="EM1140" s="1" t="s">
        <v>206</v>
      </c>
      <c r="EN1140" s="1" t="s">
        <v>210</v>
      </c>
      <c r="EO1140" s="1" t="s">
        <v>431</v>
      </c>
      <c r="EQ1140" s="1" t="s">
        <v>238</v>
      </c>
      <c r="ET1140" s="1" t="s">
        <v>211</v>
      </c>
      <c r="EU1140" s="1" t="s">
        <v>42</v>
      </c>
      <c r="EV1140" s="1" t="s">
        <v>210</v>
      </c>
      <c r="EX1140" s="1" t="s">
        <v>1378</v>
      </c>
      <c r="EY1140" s="1" t="s">
        <v>42</v>
      </c>
      <c r="EZ1140" s="1" t="s">
        <v>301</v>
      </c>
      <c r="FC1140" s="1" t="s">
        <v>238</v>
      </c>
      <c r="FF1140" s="1" t="s">
        <v>239</v>
      </c>
      <c r="FG1140" s="1" t="s">
        <v>192</v>
      </c>
      <c r="FH1140" s="1" t="s">
        <v>192</v>
      </c>
      <c r="FJ1140" s="1" t="s">
        <v>313</v>
      </c>
      <c r="FK1140" s="1" t="s">
        <v>229</v>
      </c>
      <c r="FL1140" s="1" t="s">
        <v>1007</v>
      </c>
      <c r="FM1140" s="1">
        <v>23286.0</v>
      </c>
      <c r="FN1140" s="1" t="s">
        <v>4221</v>
      </c>
      <c r="FO1140" s="1" t="s">
        <v>7350</v>
      </c>
      <c r="FP1140" s="1">
        <v>225367.0</v>
      </c>
      <c r="FQ1140" s="1" t="s">
        <v>7351</v>
      </c>
      <c r="FU1140" s="1" t="s">
        <v>12402</v>
      </c>
      <c r="FV1140" s="1" t="s">
        <v>200</v>
      </c>
      <c r="FW1140" s="1" t="s">
        <v>290</v>
      </c>
      <c r="FZ1140" s="1" t="s">
        <v>229</v>
      </c>
      <c r="GA1140" s="1" t="s">
        <v>291</v>
      </c>
      <c r="GB1140" s="2">
        <v>42129.0</v>
      </c>
      <c r="GC1140" s="1" t="s">
        <v>12403</v>
      </c>
    </row>
    <row r="1141">
      <c r="A1141" s="1">
        <v>369000.0</v>
      </c>
      <c r="B1141" s="1" t="s">
        <v>185</v>
      </c>
      <c r="C1141" s="1" t="str">
        <f>"08859794"</f>
        <v>08859794</v>
      </c>
      <c r="D1141" s="1" t="s">
        <v>186</v>
      </c>
      <c r="F1141" s="1" t="str">
        <f>"8015"</f>
        <v>8015</v>
      </c>
      <c r="G1141" s="2">
        <v>42075.0</v>
      </c>
      <c r="H1141" s="1">
        <v>359900.0</v>
      </c>
      <c r="I1141" s="1">
        <v>27.0</v>
      </c>
      <c r="J1141" s="1">
        <v>359900.0</v>
      </c>
      <c r="K1141" s="2">
        <v>42101.0</v>
      </c>
      <c r="L1141" s="1">
        <v>27.0</v>
      </c>
      <c r="M1141" s="2">
        <v>42101.0</v>
      </c>
      <c r="N1141" s="1" t="s">
        <v>187</v>
      </c>
      <c r="O1141" s="2">
        <v>42130.0</v>
      </c>
      <c r="P1141" s="1">
        <v>141587.0</v>
      </c>
      <c r="Q1141" s="1">
        <v>15899.0</v>
      </c>
      <c r="R1141" s="1">
        <v>5000.0</v>
      </c>
      <c r="S1141" s="1">
        <v>4835.0</v>
      </c>
      <c r="T1141" s="1" t="s">
        <v>6337</v>
      </c>
      <c r="U1141" s="1" t="s">
        <v>320</v>
      </c>
      <c r="V1141" s="1" t="s">
        <v>190</v>
      </c>
      <c r="W1141" s="1">
        <v>60641.0</v>
      </c>
      <c r="Y1141" s="1" t="s">
        <v>12404</v>
      </c>
      <c r="Z1141" s="1">
        <v>1918.0</v>
      </c>
      <c r="AA1141" s="1" t="s">
        <v>192</v>
      </c>
      <c r="AB1141" s="1" t="s">
        <v>193</v>
      </c>
      <c r="AD1141" s="1" t="s">
        <v>194</v>
      </c>
      <c r="AE1141" s="1" t="s">
        <v>195</v>
      </c>
      <c r="AF1141" s="1" t="s">
        <v>196</v>
      </c>
      <c r="AH1141" s="1" t="s">
        <v>12405</v>
      </c>
      <c r="AI1141" s="1">
        <v>0.09</v>
      </c>
      <c r="AK1141" s="1">
        <v>10.0</v>
      </c>
      <c r="AL1141" s="1">
        <v>3.0</v>
      </c>
      <c r="AM1141" s="1">
        <v>3.0</v>
      </c>
      <c r="AN1141" s="1">
        <v>0.0</v>
      </c>
      <c r="AO1141" s="1" t="s">
        <v>198</v>
      </c>
      <c r="AQ1141" s="1" t="s">
        <v>198</v>
      </c>
      <c r="AR1141" s="1" t="s">
        <v>192</v>
      </c>
      <c r="AS1141" s="1" t="s">
        <v>199</v>
      </c>
      <c r="AT1141" s="1">
        <v>2.0</v>
      </c>
      <c r="AV1141" s="1" t="s">
        <v>200</v>
      </c>
      <c r="AW1141" s="4">
        <v>3682.68</v>
      </c>
      <c r="AX1141" s="1">
        <v>2013.0</v>
      </c>
      <c r="AY1141" s="1" t="s">
        <v>387</v>
      </c>
      <c r="AZ1141" s="1" t="s">
        <v>200</v>
      </c>
      <c r="BA1141" s="1" t="str">
        <f>"13212190090000"</f>
        <v>13212190090000</v>
      </c>
      <c r="BC1141" s="1">
        <v>0.0</v>
      </c>
      <c r="BD1141" s="1">
        <v>369000.0</v>
      </c>
      <c r="BE1141" s="2">
        <v>42075.0</v>
      </c>
      <c r="BF1141" s="2" t="s">
        <v>12406</v>
      </c>
      <c r="BH1141" s="1">
        <v>0.0</v>
      </c>
      <c r="BK1141" s="1" t="s">
        <v>204</v>
      </c>
      <c r="BL1141" s="1" t="str">
        <f>"3800"</f>
        <v>3800</v>
      </c>
      <c r="BM1141" s="1" t="str">
        <f>"0"</f>
        <v>0</v>
      </c>
      <c r="BN1141" s="1">
        <v>4835.0</v>
      </c>
      <c r="BO1141" s="1">
        <v>0.0</v>
      </c>
      <c r="BQ1141" s="1">
        <v>299.0</v>
      </c>
      <c r="BR1141" s="1">
        <v>299.0</v>
      </c>
      <c r="BS1141" s="1">
        <v>299.0</v>
      </c>
      <c r="BU1141" s="1" t="s">
        <v>1064</v>
      </c>
      <c r="BV1141" s="1" t="s">
        <v>206</v>
      </c>
      <c r="BW1141" s="1" t="s">
        <v>207</v>
      </c>
      <c r="BY1141" s="1" t="s">
        <v>497</v>
      </c>
      <c r="BZ1141" s="1" t="s">
        <v>206</v>
      </c>
      <c r="CA1141" s="1" t="s">
        <v>207</v>
      </c>
      <c r="CC1141" s="1" t="s">
        <v>584</v>
      </c>
      <c r="CD1141" s="1" t="s">
        <v>206</v>
      </c>
      <c r="CE1141" s="1" t="s">
        <v>207</v>
      </c>
      <c r="CG1141" s="1" t="s">
        <v>495</v>
      </c>
      <c r="CH1141" s="1" t="s">
        <v>206</v>
      </c>
      <c r="CI1141" s="1" t="s">
        <v>207</v>
      </c>
      <c r="CK1141" s="1" t="s">
        <v>269</v>
      </c>
      <c r="CL1141" s="1" t="s">
        <v>206</v>
      </c>
      <c r="CM1141" s="1" t="s">
        <v>207</v>
      </c>
      <c r="CO1141" s="1" t="s">
        <v>516</v>
      </c>
      <c r="CP1141" s="1" t="s">
        <v>42</v>
      </c>
      <c r="CQ1141" s="1" t="s">
        <v>210</v>
      </c>
      <c r="CS1141" s="1" t="s">
        <v>329</v>
      </c>
      <c r="CT1141" s="1" t="s">
        <v>206</v>
      </c>
      <c r="CU1141" s="1" t="s">
        <v>268</v>
      </c>
      <c r="CW1141" s="1" t="s">
        <v>11953</v>
      </c>
      <c r="CX1141" s="1" t="s">
        <v>42</v>
      </c>
      <c r="CY1141" s="1" t="s">
        <v>210</v>
      </c>
      <c r="DA1141" s="1" t="s">
        <v>200</v>
      </c>
      <c r="DC1141" s="1" t="s">
        <v>216</v>
      </c>
      <c r="DD1141" s="1" t="s">
        <v>518</v>
      </c>
      <c r="DE1141" s="1" t="s">
        <v>273</v>
      </c>
      <c r="DF1141" s="1" t="s">
        <v>219</v>
      </c>
      <c r="DG1141" s="1" t="s">
        <v>337</v>
      </c>
      <c r="DH1141" s="1" t="s">
        <v>220</v>
      </c>
      <c r="DI1141" s="1" t="s">
        <v>366</v>
      </c>
      <c r="DJ1141" s="1" t="s">
        <v>222</v>
      </c>
      <c r="DK1141" s="1" t="s">
        <v>224</v>
      </c>
      <c r="DL1141" s="1" t="s">
        <v>224</v>
      </c>
      <c r="DM1141" s="1" t="s">
        <v>1268</v>
      </c>
      <c r="DO1141" s="1" t="s">
        <v>486</v>
      </c>
      <c r="DP1141" s="1" t="s">
        <v>340</v>
      </c>
      <c r="DQ1141" s="1" t="s">
        <v>228</v>
      </c>
      <c r="DR1141" s="1" t="s">
        <v>229</v>
      </c>
      <c r="DU1141" s="1" t="s">
        <v>12035</v>
      </c>
      <c r="DV1141" s="1" t="s">
        <v>12407</v>
      </c>
      <c r="DW1141" s="1" t="s">
        <v>667</v>
      </c>
      <c r="DX1141" s="1" t="s">
        <v>234</v>
      </c>
      <c r="DY1141" s="1" t="s">
        <v>553</v>
      </c>
      <c r="DZ1141" s="1" t="s">
        <v>343</v>
      </c>
      <c r="EA1141" s="1" t="s">
        <v>644</v>
      </c>
      <c r="EC1141" s="1" t="s">
        <v>237</v>
      </c>
      <c r="EG1141" s="1" t="s">
        <v>341</v>
      </c>
      <c r="EH1141" s="1" t="s">
        <v>1729</v>
      </c>
      <c r="EL1141" s="1" t="s">
        <v>12408</v>
      </c>
      <c r="EM1141" s="1" t="s">
        <v>114</v>
      </c>
      <c r="EN1141" s="1" t="s">
        <v>210</v>
      </c>
      <c r="EP1141" s="1" t="s">
        <v>4298</v>
      </c>
      <c r="EQ1141" s="1" t="s">
        <v>206</v>
      </c>
      <c r="ER1141" s="1" t="s">
        <v>268</v>
      </c>
      <c r="EU1141" s="1" t="s">
        <v>238</v>
      </c>
      <c r="EY1141" s="1" t="s">
        <v>238</v>
      </c>
      <c r="FC1141" s="1" t="s">
        <v>238</v>
      </c>
      <c r="FF1141" s="1" t="s">
        <v>239</v>
      </c>
      <c r="FG1141" s="1" t="s">
        <v>192</v>
      </c>
      <c r="FH1141" s="1" t="s">
        <v>192</v>
      </c>
      <c r="FJ1141" s="1" t="s">
        <v>561</v>
      </c>
      <c r="FK1141" s="1" t="s">
        <v>229</v>
      </c>
      <c r="FL1141" s="1" t="s">
        <v>562</v>
      </c>
      <c r="FM1141" s="1">
        <v>16379.0</v>
      </c>
      <c r="FN1141" s="1" t="s">
        <v>563</v>
      </c>
      <c r="FO1141" s="1" t="s">
        <v>12409</v>
      </c>
      <c r="FP1141" s="1">
        <v>874755.0</v>
      </c>
      <c r="FQ1141" s="1" t="s">
        <v>12410</v>
      </c>
      <c r="FU1141" s="1" t="s">
        <v>12411</v>
      </c>
      <c r="FV1141" s="1" t="s">
        <v>200</v>
      </c>
      <c r="FW1141" s="1" t="s">
        <v>530</v>
      </c>
      <c r="FX1141" s="1" t="s">
        <v>246</v>
      </c>
      <c r="FZ1141" s="1" t="s">
        <v>229</v>
      </c>
      <c r="GA1141" s="1" t="s">
        <v>291</v>
      </c>
      <c r="GB1141" s="2">
        <v>42131.0</v>
      </c>
    </row>
    <row r="1142">
      <c r="A1142" s="1">
        <v>229000.0</v>
      </c>
      <c r="B1142" s="1" t="s">
        <v>185</v>
      </c>
      <c r="C1142" s="1" t="str">
        <f>"08849863"</f>
        <v>08849863</v>
      </c>
      <c r="D1142" s="1" t="s">
        <v>186</v>
      </c>
      <c r="F1142" s="1" t="str">
        <f>"151"</f>
        <v>151</v>
      </c>
      <c r="G1142" s="2">
        <v>42065.0</v>
      </c>
      <c r="H1142" s="1">
        <v>229000.0</v>
      </c>
      <c r="I1142" s="1">
        <v>235.0</v>
      </c>
      <c r="J1142" s="1">
        <v>229000.0</v>
      </c>
      <c r="K1142" s="2">
        <v>42096.0</v>
      </c>
      <c r="L1142" s="1">
        <v>33.0</v>
      </c>
      <c r="M1142" s="2">
        <v>42096.0</v>
      </c>
      <c r="N1142" s="1" t="s">
        <v>356</v>
      </c>
      <c r="O1142" s="2">
        <v>42146.0</v>
      </c>
      <c r="P1142" s="1">
        <v>702670.0</v>
      </c>
      <c r="Q1142" s="1">
        <v>72506.0</v>
      </c>
      <c r="S1142" s="1">
        <v>652.0</v>
      </c>
      <c r="T1142" s="1" t="s">
        <v>12412</v>
      </c>
      <c r="U1142" s="1" t="s">
        <v>569</v>
      </c>
      <c r="V1142" s="1" t="s">
        <v>8905</v>
      </c>
      <c r="W1142" s="1">
        <v>60151.0</v>
      </c>
      <c r="Y1142" s="1" t="s">
        <v>12413</v>
      </c>
      <c r="Z1142" s="1">
        <v>2005.0</v>
      </c>
      <c r="AA1142" s="1" t="s">
        <v>200</v>
      </c>
      <c r="AB1142" s="1" t="s">
        <v>467</v>
      </c>
      <c r="AD1142" s="1" t="s">
        <v>8908</v>
      </c>
      <c r="AE1142" s="1" t="s">
        <v>325</v>
      </c>
      <c r="AF1142" s="1" t="s">
        <v>8909</v>
      </c>
      <c r="AH1142" s="1" t="s">
        <v>12414</v>
      </c>
      <c r="AI1142" s="1">
        <v>0.2361</v>
      </c>
      <c r="AK1142" s="1">
        <v>10.0</v>
      </c>
      <c r="AL1142" s="1">
        <v>4.0</v>
      </c>
      <c r="AM1142" s="1">
        <v>3.0</v>
      </c>
      <c r="AN1142" s="1">
        <v>1.0</v>
      </c>
      <c r="AO1142" s="1" t="s">
        <v>198</v>
      </c>
      <c r="AP1142" s="1">
        <v>1.0</v>
      </c>
      <c r="AQ1142" s="1" t="s">
        <v>1314</v>
      </c>
      <c r="AR1142" s="1" t="s">
        <v>200</v>
      </c>
      <c r="AS1142" s="1" t="s">
        <v>199</v>
      </c>
      <c r="AT1142" s="1">
        <v>3.0</v>
      </c>
      <c r="AV1142" s="1" t="s">
        <v>200</v>
      </c>
      <c r="AW1142" s="1">
        <v>8235.0</v>
      </c>
      <c r="AX1142" s="1">
        <v>2013.0</v>
      </c>
      <c r="AY1142" s="1" t="s">
        <v>387</v>
      </c>
      <c r="AZ1142" s="1" t="s">
        <v>200</v>
      </c>
      <c r="BA1142" s="1" t="str">
        <f>"0731211005"</f>
        <v>0731211005</v>
      </c>
      <c r="BC1142" s="1">
        <v>3530.0</v>
      </c>
      <c r="BD1142" s="1">
        <v>229000.0</v>
      </c>
      <c r="BE1142" s="2">
        <v>42064.0</v>
      </c>
      <c r="BF1142" s="2" t="s">
        <v>12415</v>
      </c>
      <c r="BH1142" s="1">
        <v>225.0</v>
      </c>
      <c r="BK1142" s="1" t="s">
        <v>580</v>
      </c>
      <c r="BL1142" s="1" t="str">
        <f t="shared" ref="BL1142:BM1142" si="762">""</f>
        <v/>
      </c>
      <c r="BM1142" s="1" t="str">
        <f t="shared" si="762"/>
        <v/>
      </c>
      <c r="BQ1142" s="1">
        <v>302.0</v>
      </c>
      <c r="BR1142" s="1">
        <v>302.0</v>
      </c>
      <c r="BS1142" s="1">
        <v>302.0</v>
      </c>
      <c r="BU1142" s="1" t="s">
        <v>1045</v>
      </c>
      <c r="BV1142" s="1" t="s">
        <v>206</v>
      </c>
      <c r="BW1142" s="1" t="s">
        <v>207</v>
      </c>
      <c r="BY1142" s="1" t="s">
        <v>6890</v>
      </c>
      <c r="BZ1142" s="1" t="s">
        <v>209</v>
      </c>
      <c r="CA1142" s="1" t="s">
        <v>210</v>
      </c>
      <c r="CC1142" s="1" t="s">
        <v>1045</v>
      </c>
      <c r="CD1142" s="1" t="s">
        <v>206</v>
      </c>
      <c r="CE1142" s="1" t="s">
        <v>207</v>
      </c>
      <c r="CG1142" s="1" t="s">
        <v>584</v>
      </c>
      <c r="CH1142" s="1" t="s">
        <v>209</v>
      </c>
      <c r="CI1142" s="1" t="s">
        <v>210</v>
      </c>
      <c r="CK1142" s="1" t="s">
        <v>647</v>
      </c>
      <c r="CL1142" s="1" t="s">
        <v>209</v>
      </c>
      <c r="CM1142" s="1" t="s">
        <v>210</v>
      </c>
      <c r="CO1142" s="1" t="s">
        <v>478</v>
      </c>
      <c r="CP1142" s="1" t="s">
        <v>209</v>
      </c>
      <c r="CQ1142" s="1" t="s">
        <v>210</v>
      </c>
      <c r="CS1142" s="1" t="s">
        <v>1892</v>
      </c>
      <c r="CT1142" s="1" t="s">
        <v>206</v>
      </c>
      <c r="CU1142" s="1" t="s">
        <v>617</v>
      </c>
      <c r="CW1142" s="1" t="s">
        <v>434</v>
      </c>
      <c r="CX1142" s="1" t="s">
        <v>206</v>
      </c>
      <c r="CY1142" s="1" t="s">
        <v>207</v>
      </c>
      <c r="DA1142" s="1" t="s">
        <v>200</v>
      </c>
      <c r="DC1142" s="1" t="s">
        <v>481</v>
      </c>
      <c r="DD1142" s="1" t="s">
        <v>518</v>
      </c>
      <c r="DE1142" s="1" t="s">
        <v>273</v>
      </c>
      <c r="DF1142" s="1" t="s">
        <v>219</v>
      </c>
      <c r="DH1142" s="1" t="s">
        <v>220</v>
      </c>
      <c r="DI1142" s="1" t="s">
        <v>10998</v>
      </c>
      <c r="DJ1142" s="1" t="s">
        <v>222</v>
      </c>
      <c r="DL1142" s="1" t="s">
        <v>3611</v>
      </c>
      <c r="DM1142" s="1" t="s">
        <v>338</v>
      </c>
      <c r="DN1142" s="1" t="s">
        <v>12416</v>
      </c>
      <c r="DP1142" s="1" t="s">
        <v>340</v>
      </c>
      <c r="DQ1142" s="1" t="s">
        <v>228</v>
      </c>
      <c r="DR1142" s="1" t="s">
        <v>588</v>
      </c>
      <c r="DS1142" s="1" t="s">
        <v>230</v>
      </c>
      <c r="DU1142" s="1" t="s">
        <v>442</v>
      </c>
      <c r="DV1142" s="1" t="s">
        <v>6535</v>
      </c>
      <c r="DW1142" s="1" t="s">
        <v>233</v>
      </c>
      <c r="DX1142" s="1" t="s">
        <v>234</v>
      </c>
      <c r="DY1142" s="1" t="s">
        <v>1051</v>
      </c>
      <c r="DZ1142" s="1" t="s">
        <v>405</v>
      </c>
      <c r="EB1142" s="1" t="s">
        <v>684</v>
      </c>
      <c r="EC1142" s="1" t="s">
        <v>237</v>
      </c>
      <c r="ED1142" s="1" t="s">
        <v>407</v>
      </c>
      <c r="EG1142" s="1" t="s">
        <v>598</v>
      </c>
      <c r="EH1142" s="1" t="s">
        <v>341</v>
      </c>
      <c r="EL1142" s="1" t="s">
        <v>363</v>
      </c>
      <c r="EM1142" s="1" t="s">
        <v>206</v>
      </c>
      <c r="EN1142" s="1" t="s">
        <v>210</v>
      </c>
      <c r="EP1142" s="1" t="s">
        <v>208</v>
      </c>
      <c r="EQ1142" s="1" t="s">
        <v>209</v>
      </c>
      <c r="ER1142" s="1" t="s">
        <v>210</v>
      </c>
      <c r="EU1142" s="1" t="s">
        <v>238</v>
      </c>
      <c r="EY1142" s="1" t="s">
        <v>238</v>
      </c>
      <c r="FC1142" s="1" t="s">
        <v>238</v>
      </c>
      <c r="FF1142" s="1" t="s">
        <v>239</v>
      </c>
      <c r="FG1142" s="1" t="s">
        <v>192</v>
      </c>
      <c r="FH1142" s="1" t="s">
        <v>192</v>
      </c>
      <c r="FJ1142" s="1" t="s">
        <v>1469</v>
      </c>
      <c r="FK1142" s="1" t="s">
        <v>229</v>
      </c>
      <c r="FL1142" s="1" t="s">
        <v>1358</v>
      </c>
      <c r="FM1142" s="1">
        <v>23591.0</v>
      </c>
      <c r="FN1142" s="1" t="s">
        <v>2134</v>
      </c>
      <c r="FO1142" s="1" t="s">
        <v>11429</v>
      </c>
      <c r="FP1142" s="1">
        <v>238342.0</v>
      </c>
      <c r="FU1142" s="1" t="s">
        <v>1438</v>
      </c>
      <c r="FV1142" s="1" t="s">
        <v>200</v>
      </c>
      <c r="FW1142" s="1" t="s">
        <v>290</v>
      </c>
      <c r="FZ1142" s="1" t="s">
        <v>229</v>
      </c>
      <c r="GA1142" s="1" t="s">
        <v>291</v>
      </c>
      <c r="GB1142" s="2">
        <v>42150.0</v>
      </c>
      <c r="GC1142" s="1" t="s">
        <v>12417</v>
      </c>
    </row>
    <row r="1143">
      <c r="A1143" s="1">
        <v>237000.0</v>
      </c>
      <c r="B1143" s="1" t="s">
        <v>185</v>
      </c>
      <c r="C1143" s="1" t="str">
        <f>"08847771"</f>
        <v>08847771</v>
      </c>
      <c r="D1143" s="1" t="s">
        <v>186</v>
      </c>
      <c r="F1143" s="1" t="str">
        <f>"560"</f>
        <v>560</v>
      </c>
      <c r="G1143" s="2">
        <v>42062.0</v>
      </c>
      <c r="H1143" s="1">
        <v>238000.0</v>
      </c>
      <c r="I1143" s="1">
        <v>19.0</v>
      </c>
      <c r="J1143" s="1">
        <v>238000.0</v>
      </c>
      <c r="K1143" s="2">
        <v>42077.0</v>
      </c>
      <c r="L1143" s="1">
        <v>19.0</v>
      </c>
      <c r="M1143" s="2">
        <v>42077.0</v>
      </c>
      <c r="N1143" s="1" t="s">
        <v>356</v>
      </c>
      <c r="O1143" s="2">
        <v>42128.0</v>
      </c>
      <c r="P1143" s="1">
        <v>884.0</v>
      </c>
      <c r="Q1143" s="1">
        <v>357.0</v>
      </c>
      <c r="R1143" s="1">
        <v>7110.0</v>
      </c>
      <c r="S1143" s="1">
        <v>2511.0</v>
      </c>
      <c r="T1143" s="1" t="s">
        <v>12418</v>
      </c>
      <c r="V1143" s="1" t="s">
        <v>845</v>
      </c>
      <c r="W1143" s="1">
        <v>60560.0</v>
      </c>
      <c r="Y1143" s="1" t="s">
        <v>12419</v>
      </c>
      <c r="Z1143" s="1">
        <v>2007.0</v>
      </c>
      <c r="AA1143" s="1" t="s">
        <v>200</v>
      </c>
      <c r="AB1143" s="1" t="s">
        <v>467</v>
      </c>
      <c r="AC1143" s="1" t="s">
        <v>5663</v>
      </c>
      <c r="AD1143" s="1" t="s">
        <v>848</v>
      </c>
      <c r="AE1143" s="1" t="s">
        <v>849</v>
      </c>
      <c r="AF1143" s="1" t="s">
        <v>1312</v>
      </c>
      <c r="AH1143" s="1" t="s">
        <v>12420</v>
      </c>
      <c r="AK1143" s="1">
        <v>9.0</v>
      </c>
      <c r="AL1143" s="1">
        <v>4.0</v>
      </c>
      <c r="AM1143" s="1">
        <v>2.0</v>
      </c>
      <c r="AN1143" s="1">
        <v>1.0</v>
      </c>
      <c r="AO1143" s="1" t="s">
        <v>198</v>
      </c>
      <c r="AP1143" s="1">
        <v>1.0</v>
      </c>
      <c r="AQ1143" s="1" t="s">
        <v>472</v>
      </c>
      <c r="AR1143" s="1" t="s">
        <v>200</v>
      </c>
      <c r="AS1143" s="1" t="s">
        <v>199</v>
      </c>
      <c r="AT1143" s="1">
        <v>2.0</v>
      </c>
      <c r="AV1143" s="1" t="s">
        <v>192</v>
      </c>
      <c r="AW1143" s="1">
        <v>8427.0</v>
      </c>
      <c r="AX1143" s="1">
        <v>2013.0</v>
      </c>
      <c r="AY1143" s="1" t="s">
        <v>387</v>
      </c>
      <c r="AZ1143" s="1" t="s">
        <v>192</v>
      </c>
      <c r="BA1143" s="1" t="str">
        <f>"0223129018"</f>
        <v>0223129018</v>
      </c>
      <c r="BB1143" s="1" t="s">
        <v>200</v>
      </c>
      <c r="BC1143" s="1">
        <v>2640.0</v>
      </c>
      <c r="BD1143" s="1">
        <v>237000.0</v>
      </c>
      <c r="BE1143" s="2">
        <v>42059.0</v>
      </c>
      <c r="BF1143" s="2" t="s">
        <v>12421</v>
      </c>
      <c r="BH1143" s="1">
        <v>90.0</v>
      </c>
      <c r="BK1143" s="1" t="s">
        <v>474</v>
      </c>
      <c r="BL1143" s="1" t="str">
        <f t="shared" ref="BL1143:BM1143" si="763">""</f>
        <v/>
      </c>
      <c r="BM1143" s="1" t="str">
        <f t="shared" si="763"/>
        <v/>
      </c>
      <c r="BQ1143" s="1">
        <v>115.0</v>
      </c>
      <c r="BR1143" s="1">
        <v>115.0</v>
      </c>
      <c r="BS1143" s="1">
        <v>115.0</v>
      </c>
      <c r="BU1143" s="1" t="s">
        <v>264</v>
      </c>
      <c r="BV1143" s="1" t="s">
        <v>206</v>
      </c>
      <c r="BW1143" s="1" t="s">
        <v>207</v>
      </c>
      <c r="BX1143" s="1" t="s">
        <v>239</v>
      </c>
      <c r="BY1143" s="1" t="s">
        <v>333</v>
      </c>
      <c r="BZ1143" s="1" t="s">
        <v>209</v>
      </c>
      <c r="CA1143" s="1" t="s">
        <v>210</v>
      </c>
      <c r="CB1143" s="1" t="s">
        <v>239</v>
      </c>
      <c r="CC1143" s="1" t="s">
        <v>265</v>
      </c>
      <c r="CD1143" s="1" t="s">
        <v>206</v>
      </c>
      <c r="CE1143" s="1" t="s">
        <v>207</v>
      </c>
      <c r="CF1143" s="1" t="s">
        <v>239</v>
      </c>
      <c r="CG1143" s="1" t="s">
        <v>495</v>
      </c>
      <c r="CH1143" s="1" t="s">
        <v>209</v>
      </c>
      <c r="CI1143" s="1" t="s">
        <v>210</v>
      </c>
      <c r="CJ1143" s="1" t="s">
        <v>239</v>
      </c>
      <c r="CK1143" s="1" t="s">
        <v>495</v>
      </c>
      <c r="CL1143" s="1" t="s">
        <v>209</v>
      </c>
      <c r="CM1143" s="1" t="s">
        <v>210</v>
      </c>
      <c r="CN1143" s="1" t="s">
        <v>239</v>
      </c>
      <c r="CO1143" s="1" t="s">
        <v>495</v>
      </c>
      <c r="CP1143" s="1" t="s">
        <v>209</v>
      </c>
      <c r="CQ1143" s="1" t="s">
        <v>210</v>
      </c>
      <c r="CR1143" s="1" t="s">
        <v>239</v>
      </c>
      <c r="CS1143" s="1" t="s">
        <v>333</v>
      </c>
      <c r="CT1143" s="1" t="s">
        <v>206</v>
      </c>
      <c r="CU1143" s="1" t="s">
        <v>268</v>
      </c>
      <c r="CV1143" s="1" t="s">
        <v>239</v>
      </c>
      <c r="CW1143" s="1" t="s">
        <v>854</v>
      </c>
      <c r="CX1143" s="1" t="s">
        <v>206</v>
      </c>
      <c r="CY1143" s="1" t="s">
        <v>207</v>
      </c>
      <c r="CZ1143" s="1" t="s">
        <v>239</v>
      </c>
      <c r="DA1143" s="1" t="s">
        <v>200</v>
      </c>
      <c r="DC1143" s="1" t="s">
        <v>481</v>
      </c>
      <c r="DD1143" s="1" t="s">
        <v>1838</v>
      </c>
      <c r="DE1143" s="1" t="s">
        <v>273</v>
      </c>
      <c r="DF1143" s="1" t="s">
        <v>219</v>
      </c>
      <c r="DG1143" s="1" t="s">
        <v>2379</v>
      </c>
      <c r="DH1143" s="1" t="s">
        <v>220</v>
      </c>
      <c r="DI1143" s="1" t="s">
        <v>519</v>
      </c>
      <c r="DJ1143" s="1" t="s">
        <v>222</v>
      </c>
      <c r="DL1143" s="1" t="s">
        <v>223</v>
      </c>
      <c r="DM1143" s="1" t="s">
        <v>338</v>
      </c>
      <c r="DN1143" s="1" t="s">
        <v>485</v>
      </c>
      <c r="DO1143" s="1" t="s">
        <v>12422</v>
      </c>
      <c r="DP1143" s="1" t="s">
        <v>340</v>
      </c>
      <c r="DQ1143" s="1" t="s">
        <v>441</v>
      </c>
      <c r="DR1143" s="1" t="s">
        <v>229</v>
      </c>
      <c r="DV1143" s="1" t="s">
        <v>12423</v>
      </c>
      <c r="DW1143" s="1" t="s">
        <v>444</v>
      </c>
      <c r="DX1143" s="1" t="s">
        <v>234</v>
      </c>
      <c r="DY1143" s="1" t="s">
        <v>7854</v>
      </c>
      <c r="DZ1143" s="1" t="s">
        <v>310</v>
      </c>
      <c r="EA1143" s="1" t="s">
        <v>344</v>
      </c>
      <c r="EC1143" s="1" t="s">
        <v>237</v>
      </c>
      <c r="ED1143" s="1" t="s">
        <v>407</v>
      </c>
      <c r="EE1143" s="1" t="s">
        <v>493</v>
      </c>
      <c r="EG1143" s="1" t="s">
        <v>494</v>
      </c>
      <c r="EH1143" s="1" t="s">
        <v>2313</v>
      </c>
      <c r="EL1143" s="1" t="s">
        <v>4153</v>
      </c>
      <c r="EM1143" s="1" t="s">
        <v>206</v>
      </c>
      <c r="EN1143" s="1" t="s">
        <v>210</v>
      </c>
      <c r="EP1143" s="1" t="s">
        <v>2902</v>
      </c>
      <c r="EQ1143" s="1" t="s">
        <v>206</v>
      </c>
      <c r="ER1143" s="1" t="s">
        <v>268</v>
      </c>
      <c r="ES1143" s="1" t="s">
        <v>229</v>
      </c>
      <c r="EU1143" s="1" t="s">
        <v>238</v>
      </c>
      <c r="EY1143" s="1" t="s">
        <v>238</v>
      </c>
      <c r="FC1143" s="1" t="s">
        <v>238</v>
      </c>
      <c r="FF1143" s="1" t="s">
        <v>239</v>
      </c>
      <c r="FG1143" s="1" t="s">
        <v>192</v>
      </c>
      <c r="FH1143" s="1" t="s">
        <v>192</v>
      </c>
      <c r="FJ1143" s="1" t="s">
        <v>1450</v>
      </c>
      <c r="FK1143" s="1" t="s">
        <v>229</v>
      </c>
      <c r="FL1143" s="1" t="s">
        <v>12424</v>
      </c>
      <c r="FM1143" s="1">
        <v>70303.0</v>
      </c>
      <c r="FN1143" s="1" t="s">
        <v>6932</v>
      </c>
      <c r="FO1143" s="1" t="s">
        <v>12425</v>
      </c>
      <c r="FP1143" s="1">
        <v>701574.0</v>
      </c>
      <c r="FQ1143" s="1" t="s">
        <v>12426</v>
      </c>
      <c r="FU1143" s="1" t="s">
        <v>12427</v>
      </c>
      <c r="FV1143" s="1" t="s">
        <v>192</v>
      </c>
      <c r="FW1143" s="1" t="s">
        <v>290</v>
      </c>
      <c r="FZ1143" s="1" t="s">
        <v>229</v>
      </c>
      <c r="GA1143" s="1" t="s">
        <v>291</v>
      </c>
      <c r="GB1143" s="2">
        <v>42128.0</v>
      </c>
      <c r="GC1143" s="1" t="s">
        <v>12428</v>
      </c>
    </row>
    <row r="1144">
      <c r="A1144" s="1">
        <v>305000.0</v>
      </c>
      <c r="B1144" s="1" t="s">
        <v>185</v>
      </c>
      <c r="C1144" s="1" t="str">
        <f>"08845740"</f>
        <v>08845740</v>
      </c>
      <c r="D1144" s="1" t="s">
        <v>186</v>
      </c>
      <c r="F1144" s="1" t="str">
        <f>"8011"</f>
        <v>8011</v>
      </c>
      <c r="G1144" s="2">
        <v>42059.0</v>
      </c>
      <c r="H1144" s="1">
        <v>309000.0</v>
      </c>
      <c r="I1144" s="1">
        <v>7.0</v>
      </c>
      <c r="J1144" s="1">
        <v>309000.0</v>
      </c>
      <c r="K1144" s="2">
        <v>42065.0</v>
      </c>
      <c r="L1144" s="1">
        <v>7.0</v>
      </c>
      <c r="M1144" s="2">
        <v>42065.0</v>
      </c>
      <c r="N1144" s="1" t="s">
        <v>187</v>
      </c>
      <c r="O1144" s="2">
        <v>42111.0</v>
      </c>
      <c r="P1144" s="1">
        <v>110965.0</v>
      </c>
      <c r="Q1144" s="1">
        <v>13691.0</v>
      </c>
      <c r="S1144" s="1">
        <v>5307.0</v>
      </c>
      <c r="T1144" s="1" t="s">
        <v>12429</v>
      </c>
      <c r="U1144" s="1" t="s">
        <v>189</v>
      </c>
      <c r="V1144" s="1" t="s">
        <v>190</v>
      </c>
      <c r="W1144" s="1">
        <v>60630.0</v>
      </c>
      <c r="Y1144" s="1" t="s">
        <v>12430</v>
      </c>
      <c r="Z1144" s="1" t="s">
        <v>296</v>
      </c>
      <c r="AA1144" s="1" t="s">
        <v>192</v>
      </c>
      <c r="AB1144" s="1" t="s">
        <v>193</v>
      </c>
      <c r="AD1144" s="1" t="s">
        <v>194</v>
      </c>
      <c r="AE1144" s="1" t="s">
        <v>195</v>
      </c>
      <c r="AF1144" s="1" t="s">
        <v>196</v>
      </c>
      <c r="AH1144" s="1" t="s">
        <v>779</v>
      </c>
      <c r="AK1144" s="1">
        <v>8.0</v>
      </c>
      <c r="AL1144" s="1">
        <v>4.0</v>
      </c>
      <c r="AM1144" s="1">
        <v>2.0</v>
      </c>
      <c r="AN1144" s="1">
        <v>0.0</v>
      </c>
      <c r="AO1144" s="1" t="s">
        <v>229</v>
      </c>
      <c r="AQ1144" s="1" t="s">
        <v>198</v>
      </c>
      <c r="AR1144" s="1" t="s">
        <v>192</v>
      </c>
      <c r="AS1144" s="1" t="s">
        <v>199</v>
      </c>
      <c r="AT1144" s="1">
        <v>2.5</v>
      </c>
      <c r="AV1144" s="1" t="s">
        <v>200</v>
      </c>
      <c r="AW1144" s="1">
        <v>3894.0</v>
      </c>
      <c r="AX1144" s="1">
        <v>2013.0</v>
      </c>
      <c r="AY1144" s="1" t="s">
        <v>387</v>
      </c>
      <c r="AZ1144" s="1" t="s">
        <v>200</v>
      </c>
      <c r="BA1144" s="1" t="str">
        <f>"13081190180000"</f>
        <v>13081190180000</v>
      </c>
      <c r="BC1144" s="1">
        <v>0.0</v>
      </c>
      <c r="BD1144" s="1">
        <v>305000.0</v>
      </c>
      <c r="BE1144" s="2">
        <v>42059.0</v>
      </c>
      <c r="BF1144" s="2" t="s">
        <v>12431</v>
      </c>
      <c r="BG1144" s="1" t="s">
        <v>8269</v>
      </c>
      <c r="BH1144" s="1">
        <v>0.0</v>
      </c>
      <c r="BJ1144" s="1" t="s">
        <v>1222</v>
      </c>
      <c r="BK1144" s="1" t="s">
        <v>204</v>
      </c>
      <c r="BL1144" s="1" t="str">
        <f>"5307"</f>
        <v>5307</v>
      </c>
      <c r="BM1144" s="1" t="str">
        <f t="shared" ref="BM1144:BM1147" si="764">"0"</f>
        <v>0</v>
      </c>
      <c r="BN1144" s="1">
        <v>6200.0</v>
      </c>
      <c r="BO1144" s="1">
        <v>0.0</v>
      </c>
      <c r="BQ1144" s="1">
        <v>299.0</v>
      </c>
      <c r="BR1144" s="1">
        <v>299.0</v>
      </c>
      <c r="BS1144" s="1">
        <v>299.0</v>
      </c>
      <c r="BU1144" s="1" t="s">
        <v>1426</v>
      </c>
      <c r="BV1144" s="1" t="s">
        <v>206</v>
      </c>
      <c r="BW1144" s="1" t="s">
        <v>207</v>
      </c>
      <c r="BY1144" s="1" t="s">
        <v>361</v>
      </c>
      <c r="BZ1144" s="1" t="s">
        <v>206</v>
      </c>
      <c r="CA1144" s="1" t="s">
        <v>207</v>
      </c>
      <c r="CD1144" s="1" t="s">
        <v>204</v>
      </c>
      <c r="CG1144" s="1" t="s">
        <v>584</v>
      </c>
      <c r="CH1144" s="1" t="s">
        <v>206</v>
      </c>
      <c r="CI1144" s="1" t="s">
        <v>207</v>
      </c>
      <c r="CK1144" s="1" t="s">
        <v>264</v>
      </c>
      <c r="CL1144" s="1" t="s">
        <v>209</v>
      </c>
      <c r="CM1144" s="1" t="s">
        <v>210</v>
      </c>
      <c r="CO1144" s="1" t="s">
        <v>264</v>
      </c>
      <c r="CP1144" s="1" t="s">
        <v>209</v>
      </c>
      <c r="CQ1144" s="1" t="s">
        <v>210</v>
      </c>
      <c r="CS1144" s="1" t="s">
        <v>264</v>
      </c>
      <c r="CT1144" s="1" t="s">
        <v>206</v>
      </c>
      <c r="CW1144" s="1" t="s">
        <v>1117</v>
      </c>
      <c r="CX1144" s="1" t="s">
        <v>42</v>
      </c>
      <c r="CY1144" s="1" t="s">
        <v>210</v>
      </c>
      <c r="DA1144" s="1" t="s">
        <v>200</v>
      </c>
      <c r="DC1144" s="1" t="s">
        <v>545</v>
      </c>
      <c r="DD1144" s="1" t="s">
        <v>518</v>
      </c>
      <c r="DE1144" s="1" t="s">
        <v>273</v>
      </c>
      <c r="DF1144" s="1" t="s">
        <v>619</v>
      </c>
      <c r="DG1144" s="1" t="s">
        <v>2311</v>
      </c>
      <c r="DH1144" s="1" t="s">
        <v>365</v>
      </c>
      <c r="DI1144" s="1" t="s">
        <v>1401</v>
      </c>
      <c r="DJ1144" s="1" t="s">
        <v>222</v>
      </c>
      <c r="DK1144" s="1" t="s">
        <v>1301</v>
      </c>
      <c r="DL1144" s="1" t="s">
        <v>224</v>
      </c>
      <c r="DM1144" s="1" t="s">
        <v>1464</v>
      </c>
      <c r="DO1144" s="1" t="s">
        <v>549</v>
      </c>
      <c r="DQ1144" s="1" t="s">
        <v>718</v>
      </c>
      <c r="DR1144" s="1" t="s">
        <v>229</v>
      </c>
      <c r="DS1144" s="1" t="s">
        <v>277</v>
      </c>
      <c r="DV1144" s="1" t="s">
        <v>2521</v>
      </c>
      <c r="DW1144" s="1" t="s">
        <v>279</v>
      </c>
      <c r="DX1144" s="1" t="s">
        <v>234</v>
      </c>
      <c r="DZ1144" s="1" t="s">
        <v>282</v>
      </c>
      <c r="EA1144" s="1" t="s">
        <v>257</v>
      </c>
      <c r="EC1144" s="1" t="s">
        <v>645</v>
      </c>
      <c r="ED1144" s="1" t="s">
        <v>555</v>
      </c>
      <c r="EG1144" s="1" t="s">
        <v>450</v>
      </c>
      <c r="EH1144" s="1" t="s">
        <v>374</v>
      </c>
      <c r="EL1144" s="1" t="s">
        <v>729</v>
      </c>
      <c r="EM1144" s="1" t="s">
        <v>42</v>
      </c>
      <c r="EN1144" s="1" t="s">
        <v>210</v>
      </c>
      <c r="EP1144" s="1" t="s">
        <v>264</v>
      </c>
      <c r="EQ1144" s="1" t="s">
        <v>206</v>
      </c>
      <c r="ER1144" s="1" t="s">
        <v>268</v>
      </c>
      <c r="EU1144" s="1" t="s">
        <v>238</v>
      </c>
      <c r="EY1144" s="1" t="s">
        <v>238</v>
      </c>
      <c r="FC1144" s="1" t="s">
        <v>238</v>
      </c>
      <c r="FF1144" s="1" t="s">
        <v>239</v>
      </c>
      <c r="FG1144" s="1" t="s">
        <v>192</v>
      </c>
      <c r="FH1144" s="1" t="s">
        <v>192</v>
      </c>
      <c r="FJ1144" s="1" t="s">
        <v>799</v>
      </c>
      <c r="FK1144" s="1" t="s">
        <v>229</v>
      </c>
      <c r="FL1144" s="1" t="s">
        <v>3156</v>
      </c>
      <c r="FM1144" s="1">
        <v>84729.0</v>
      </c>
      <c r="FN1144" s="1" t="s">
        <v>3157</v>
      </c>
      <c r="FO1144" s="1" t="s">
        <v>9327</v>
      </c>
      <c r="FP1144" s="1">
        <v>157318.0</v>
      </c>
      <c r="FQ1144" s="1" t="s">
        <v>9328</v>
      </c>
      <c r="FU1144" s="1" t="s">
        <v>12432</v>
      </c>
      <c r="FV1144" s="1" t="s">
        <v>200</v>
      </c>
      <c r="FW1144" s="1" t="s">
        <v>290</v>
      </c>
      <c r="FX1144" s="1" t="s">
        <v>238</v>
      </c>
      <c r="FZ1144" s="1" t="s">
        <v>229</v>
      </c>
      <c r="GA1144" s="1" t="s">
        <v>291</v>
      </c>
      <c r="GB1144" s="2">
        <v>42111.0</v>
      </c>
      <c r="GC1144" s="1" t="s">
        <v>12433</v>
      </c>
    </row>
    <row r="1145">
      <c r="A1145" s="1">
        <v>449000.0</v>
      </c>
      <c r="B1145" s="1" t="s">
        <v>185</v>
      </c>
      <c r="C1145" s="1" t="str">
        <f>"08839381"</f>
        <v>08839381</v>
      </c>
      <c r="D1145" s="1" t="s">
        <v>186</v>
      </c>
      <c r="F1145" s="1" t="str">
        <f>"8023"</f>
        <v>8023</v>
      </c>
      <c r="G1145" s="2">
        <v>42051.0</v>
      </c>
      <c r="H1145" s="1">
        <v>449000.0</v>
      </c>
      <c r="I1145" s="1">
        <v>26.0</v>
      </c>
      <c r="J1145" s="1">
        <v>449000.0</v>
      </c>
      <c r="K1145" s="2">
        <v>42051.0</v>
      </c>
      <c r="L1145" s="1">
        <v>1.0</v>
      </c>
      <c r="M1145" s="2">
        <v>42051.0</v>
      </c>
      <c r="N1145" s="1" t="s">
        <v>187</v>
      </c>
      <c r="O1145" s="2">
        <v>42094.0</v>
      </c>
      <c r="P1145" s="1">
        <v>112102.0</v>
      </c>
      <c r="Q1145" s="1">
        <v>18705.0</v>
      </c>
      <c r="S1145" s="1">
        <v>3336.0</v>
      </c>
      <c r="T1145" s="1" t="s">
        <v>12434</v>
      </c>
      <c r="U1145" s="1" t="s">
        <v>320</v>
      </c>
      <c r="V1145" s="1" t="s">
        <v>190</v>
      </c>
      <c r="W1145" s="1">
        <v>60651.0</v>
      </c>
      <c r="Y1145" s="1" t="s">
        <v>12435</v>
      </c>
      <c r="Z1145" s="1">
        <v>2015.0</v>
      </c>
      <c r="AA1145" s="1" t="s">
        <v>200</v>
      </c>
      <c r="AB1145" s="1" t="s">
        <v>193</v>
      </c>
      <c r="AD1145" s="1" t="s">
        <v>194</v>
      </c>
      <c r="AE1145" s="1" t="s">
        <v>195</v>
      </c>
      <c r="AF1145" s="1" t="s">
        <v>827</v>
      </c>
      <c r="AH1145" s="1" t="s">
        <v>6548</v>
      </c>
      <c r="AK1145" s="1">
        <v>8.0</v>
      </c>
      <c r="AL1145" s="1">
        <v>4.0</v>
      </c>
      <c r="AM1145" s="1">
        <v>2.0</v>
      </c>
      <c r="AN1145" s="1">
        <v>1.0</v>
      </c>
      <c r="AO1145" s="1" t="s">
        <v>198</v>
      </c>
      <c r="AQ1145" s="1" t="s">
        <v>472</v>
      </c>
      <c r="AR1145" s="1" t="s">
        <v>200</v>
      </c>
      <c r="AS1145" s="1" t="s">
        <v>199</v>
      </c>
      <c r="AT1145" s="1">
        <v>2.0</v>
      </c>
      <c r="AV1145" s="1" t="s">
        <v>200</v>
      </c>
      <c r="AW1145" s="1" t="s">
        <v>575</v>
      </c>
      <c r="AX1145" s="1">
        <v>2013.0</v>
      </c>
      <c r="AY1145" s="1" t="s">
        <v>229</v>
      </c>
      <c r="AZ1145" s="1" t="s">
        <v>200</v>
      </c>
      <c r="BA1145" s="1" t="str">
        <f>"16022060250000"</f>
        <v>16022060250000</v>
      </c>
      <c r="BC1145" s="1">
        <v>2400.0</v>
      </c>
      <c r="BD1145" s="1">
        <v>449000.0</v>
      </c>
      <c r="BE1145" s="2">
        <v>42051.0</v>
      </c>
      <c r="BF1145" s="1" t="s">
        <v>12436</v>
      </c>
      <c r="BH1145" s="1">
        <v>0.0</v>
      </c>
      <c r="BK1145" s="1" t="s">
        <v>204</v>
      </c>
      <c r="BL1145" s="1" t="str">
        <f>"1500"</f>
        <v>1500</v>
      </c>
      <c r="BM1145" s="1" t="str">
        <f t="shared" si="764"/>
        <v>0</v>
      </c>
      <c r="BN1145" s="1">
        <v>3336.0</v>
      </c>
      <c r="BO1145" s="1">
        <v>0.0</v>
      </c>
      <c r="BQ1145" s="1">
        <v>299.0</v>
      </c>
      <c r="BR1145" s="1">
        <v>299.0</v>
      </c>
      <c r="BS1145" s="1">
        <v>299.0</v>
      </c>
      <c r="BU1145" s="1" t="s">
        <v>12437</v>
      </c>
      <c r="BV1145" s="1" t="s">
        <v>206</v>
      </c>
      <c r="BW1145" s="1" t="s">
        <v>207</v>
      </c>
      <c r="BX1145" s="1" t="s">
        <v>229</v>
      </c>
      <c r="BY1145" s="1" t="s">
        <v>454</v>
      </c>
      <c r="BZ1145" s="1" t="s">
        <v>209</v>
      </c>
      <c r="CA1145" s="1" t="s">
        <v>210</v>
      </c>
      <c r="CB1145" s="1" t="s">
        <v>229</v>
      </c>
      <c r="CC1145" s="1" t="s">
        <v>542</v>
      </c>
      <c r="CD1145" s="1" t="s">
        <v>206</v>
      </c>
      <c r="CG1145" s="1" t="s">
        <v>904</v>
      </c>
      <c r="CH1145" s="1" t="s">
        <v>209</v>
      </c>
      <c r="CI1145" s="1" t="s">
        <v>210</v>
      </c>
      <c r="CJ1145" s="1" t="s">
        <v>229</v>
      </c>
      <c r="CK1145" s="1" t="s">
        <v>265</v>
      </c>
      <c r="CL1145" s="1" t="s">
        <v>209</v>
      </c>
      <c r="CM1145" s="1" t="s">
        <v>210</v>
      </c>
      <c r="CN1145" s="1" t="s">
        <v>229</v>
      </c>
      <c r="CO1145" s="1" t="s">
        <v>392</v>
      </c>
      <c r="CP1145" s="1" t="s">
        <v>267</v>
      </c>
      <c r="CQ1145" s="1" t="s">
        <v>588</v>
      </c>
      <c r="CR1145" s="1" t="s">
        <v>229</v>
      </c>
      <c r="CS1145" s="1" t="s">
        <v>454</v>
      </c>
      <c r="CT1145" s="1" t="s">
        <v>206</v>
      </c>
      <c r="CU1145" s="1" t="s">
        <v>207</v>
      </c>
      <c r="CV1145" s="1" t="s">
        <v>229</v>
      </c>
      <c r="CX1145" s="1" t="s">
        <v>204</v>
      </c>
      <c r="DA1145" s="1" t="s">
        <v>192</v>
      </c>
      <c r="DB1145" s="2">
        <v>42090.0</v>
      </c>
      <c r="DC1145" s="1" t="s">
        <v>744</v>
      </c>
      <c r="DD1145" s="1" t="s">
        <v>217</v>
      </c>
      <c r="DE1145" s="1" t="s">
        <v>273</v>
      </c>
      <c r="DF1145" s="1" t="s">
        <v>219</v>
      </c>
      <c r="DG1145" s="1" t="s">
        <v>12438</v>
      </c>
      <c r="DH1145" s="1" t="s">
        <v>220</v>
      </c>
      <c r="DI1145" s="1" t="s">
        <v>1003</v>
      </c>
      <c r="DJ1145" s="1" t="s">
        <v>222</v>
      </c>
      <c r="DL1145" s="1" t="s">
        <v>858</v>
      </c>
      <c r="DM1145" s="1" t="s">
        <v>229</v>
      </c>
      <c r="DN1145" s="1" t="s">
        <v>548</v>
      </c>
      <c r="DO1145" s="1" t="s">
        <v>4172</v>
      </c>
      <c r="DP1145" s="1" t="s">
        <v>276</v>
      </c>
      <c r="DQ1145" s="1" t="s">
        <v>718</v>
      </c>
      <c r="DR1145" s="1" t="s">
        <v>229</v>
      </c>
      <c r="DS1145" s="1" t="s">
        <v>230</v>
      </c>
      <c r="DU1145" s="1" t="s">
        <v>593</v>
      </c>
      <c r="DV1145" s="1" t="s">
        <v>450</v>
      </c>
      <c r="DW1145" s="1" t="s">
        <v>1026</v>
      </c>
      <c r="DX1145" s="1" t="s">
        <v>234</v>
      </c>
      <c r="DY1145" s="1" t="s">
        <v>704</v>
      </c>
      <c r="EA1145" s="1" t="s">
        <v>1027</v>
      </c>
      <c r="EC1145" s="1" t="s">
        <v>237</v>
      </c>
      <c r="ED1145" s="1" t="s">
        <v>555</v>
      </c>
      <c r="EG1145" s="1" t="s">
        <v>450</v>
      </c>
      <c r="EL1145" s="1" t="s">
        <v>3333</v>
      </c>
      <c r="EM1145" s="1" t="s">
        <v>267</v>
      </c>
      <c r="EN1145" s="1" t="s">
        <v>588</v>
      </c>
      <c r="EO1145" s="1" t="s">
        <v>229</v>
      </c>
      <c r="EQ1145" s="1" t="s">
        <v>238</v>
      </c>
      <c r="EU1145" s="1" t="s">
        <v>238</v>
      </c>
      <c r="EY1145" s="1" t="s">
        <v>238</v>
      </c>
      <c r="FC1145" s="1" t="s">
        <v>238</v>
      </c>
      <c r="FF1145" s="1" t="s">
        <v>239</v>
      </c>
      <c r="FG1145" s="1" t="s">
        <v>192</v>
      </c>
      <c r="FH1145" s="1" t="s">
        <v>192</v>
      </c>
      <c r="FJ1145" s="1" t="s">
        <v>412</v>
      </c>
      <c r="FK1145" s="1" t="s">
        <v>229</v>
      </c>
      <c r="FL1145" s="1" t="s">
        <v>5070</v>
      </c>
      <c r="FM1145" s="1">
        <v>12604.0</v>
      </c>
      <c r="FN1145" s="1" t="s">
        <v>5071</v>
      </c>
      <c r="FO1145" s="1" t="s">
        <v>5072</v>
      </c>
      <c r="FP1145" s="1">
        <v>125093.0</v>
      </c>
      <c r="FQ1145" s="1" t="s">
        <v>5073</v>
      </c>
      <c r="FR1145" s="1">
        <v>148835.0</v>
      </c>
      <c r="FU1145" s="1" t="s">
        <v>6552</v>
      </c>
      <c r="FV1145" s="1" t="s">
        <v>200</v>
      </c>
      <c r="FW1145" s="1" t="s">
        <v>530</v>
      </c>
      <c r="FX1145" s="1" t="s">
        <v>246</v>
      </c>
      <c r="FZ1145" s="1" t="s">
        <v>229</v>
      </c>
      <c r="GA1145" s="1" t="s">
        <v>291</v>
      </c>
      <c r="GB1145" s="2">
        <v>42095.0</v>
      </c>
      <c r="GC1145" s="1" t="s">
        <v>6552</v>
      </c>
    </row>
    <row r="1146">
      <c r="A1146" s="1">
        <v>650000.0</v>
      </c>
      <c r="B1146" s="1" t="s">
        <v>185</v>
      </c>
      <c r="C1146" s="1" t="str">
        <f>"08841136"</f>
        <v>08841136</v>
      </c>
      <c r="D1146" s="1" t="s">
        <v>186</v>
      </c>
      <c r="F1146" s="1" t="str">
        <f>"8024"</f>
        <v>8024</v>
      </c>
      <c r="G1146" s="2">
        <v>42053.0</v>
      </c>
      <c r="H1146" s="1">
        <v>699000.0</v>
      </c>
      <c r="I1146" s="1">
        <v>29.0</v>
      </c>
      <c r="J1146" s="1">
        <v>675000.0</v>
      </c>
      <c r="K1146" s="2">
        <v>42081.0</v>
      </c>
      <c r="L1146" s="1">
        <v>29.0</v>
      </c>
      <c r="M1146" s="2">
        <v>42081.0</v>
      </c>
      <c r="N1146" s="1" t="s">
        <v>187</v>
      </c>
      <c r="O1146" s="2">
        <v>42145.0</v>
      </c>
      <c r="P1146" s="1">
        <v>180607.0</v>
      </c>
      <c r="Q1146" s="1">
        <v>17665.0</v>
      </c>
      <c r="S1146" s="1">
        <v>1925.0</v>
      </c>
      <c r="T1146" s="1" t="s">
        <v>12439</v>
      </c>
      <c r="U1146" s="1" t="s">
        <v>320</v>
      </c>
      <c r="V1146" s="1" t="s">
        <v>190</v>
      </c>
      <c r="W1146" s="1">
        <v>60622.0</v>
      </c>
      <c r="Y1146" s="1" t="s">
        <v>12440</v>
      </c>
      <c r="Z1146" s="1" t="s">
        <v>296</v>
      </c>
      <c r="AA1146" s="1" t="s">
        <v>192</v>
      </c>
      <c r="AB1146" s="1" t="s">
        <v>193</v>
      </c>
      <c r="AD1146" s="1" t="s">
        <v>194</v>
      </c>
      <c r="AE1146" s="1" t="s">
        <v>195</v>
      </c>
      <c r="AF1146" s="1" t="s">
        <v>827</v>
      </c>
      <c r="AH1146" s="1" t="s">
        <v>4868</v>
      </c>
      <c r="AK1146" s="1">
        <v>7.0</v>
      </c>
      <c r="AL1146" s="1">
        <v>4.0</v>
      </c>
      <c r="AM1146" s="1">
        <v>3.0</v>
      </c>
      <c r="AN1146" s="1">
        <v>0.0</v>
      </c>
      <c r="AO1146" s="1" t="s">
        <v>198</v>
      </c>
      <c r="AQ1146" s="1" t="s">
        <v>229</v>
      </c>
      <c r="AR1146" s="1" t="s">
        <v>200</v>
      </c>
      <c r="AS1146" s="1" t="s">
        <v>199</v>
      </c>
      <c r="AT1146" s="1">
        <v>2.0</v>
      </c>
      <c r="AV1146" s="1" t="s">
        <v>200</v>
      </c>
      <c r="AW1146" s="1">
        <v>4625.47</v>
      </c>
      <c r="AX1146" s="1">
        <v>2013.0</v>
      </c>
      <c r="AY1146" s="1" t="s">
        <v>387</v>
      </c>
      <c r="AZ1146" s="1" t="s">
        <v>200</v>
      </c>
      <c r="BA1146" s="1" t="str">
        <f>"17072080140000"</f>
        <v>17072080140000</v>
      </c>
      <c r="BC1146" s="1">
        <v>0.0</v>
      </c>
      <c r="BD1146" s="1">
        <v>650000.0</v>
      </c>
      <c r="BE1146" s="2">
        <v>42053.0</v>
      </c>
      <c r="BF1146" s="2" t="s">
        <v>12441</v>
      </c>
      <c r="BG1146" s="1" t="s">
        <v>12442</v>
      </c>
      <c r="BH1146" s="1">
        <v>0.0</v>
      </c>
      <c r="BK1146" s="1" t="s">
        <v>204</v>
      </c>
      <c r="BL1146" s="1" t="str">
        <f>"700"</f>
        <v>700</v>
      </c>
      <c r="BM1146" s="1" t="str">
        <f t="shared" si="764"/>
        <v>0</v>
      </c>
      <c r="BN1146" s="1">
        <v>1925.0</v>
      </c>
      <c r="BO1146" s="1">
        <v>0.0</v>
      </c>
      <c r="BQ1146" s="1">
        <v>299.0</v>
      </c>
      <c r="BR1146" s="1">
        <v>299.0</v>
      </c>
      <c r="BS1146" s="1">
        <v>299.0</v>
      </c>
      <c r="BU1146" s="1" t="s">
        <v>12443</v>
      </c>
      <c r="BV1146" s="1" t="s">
        <v>206</v>
      </c>
      <c r="BW1146" s="1" t="s">
        <v>207</v>
      </c>
      <c r="BX1146" s="1" t="s">
        <v>229</v>
      </c>
      <c r="BY1146" s="1" t="s">
        <v>515</v>
      </c>
      <c r="BZ1146" s="1" t="s">
        <v>209</v>
      </c>
      <c r="CA1146" s="1" t="s">
        <v>207</v>
      </c>
      <c r="CB1146" s="1" t="s">
        <v>1549</v>
      </c>
      <c r="CC1146" s="1" t="s">
        <v>1395</v>
      </c>
      <c r="CD1146" s="1" t="s">
        <v>206</v>
      </c>
      <c r="CE1146" s="1" t="s">
        <v>207</v>
      </c>
      <c r="CF1146" s="1" t="s">
        <v>229</v>
      </c>
      <c r="CG1146" s="1" t="s">
        <v>2647</v>
      </c>
      <c r="CH1146" s="1" t="s">
        <v>209</v>
      </c>
      <c r="CI1146" s="1" t="s">
        <v>207</v>
      </c>
      <c r="CK1146" s="1" t="s">
        <v>543</v>
      </c>
      <c r="CL1146" s="1" t="s">
        <v>209</v>
      </c>
      <c r="CM1146" s="1" t="s">
        <v>207</v>
      </c>
      <c r="CN1146" s="1" t="s">
        <v>1549</v>
      </c>
      <c r="CO1146" s="1" t="s">
        <v>1137</v>
      </c>
      <c r="CP1146" s="1" t="s">
        <v>206</v>
      </c>
      <c r="CQ1146" s="1" t="s">
        <v>207</v>
      </c>
      <c r="CR1146" s="1" t="s">
        <v>1549</v>
      </c>
      <c r="CS1146" s="1" t="s">
        <v>262</v>
      </c>
      <c r="CT1146" s="1" t="s">
        <v>206</v>
      </c>
      <c r="CU1146" s="1" t="s">
        <v>207</v>
      </c>
      <c r="CV1146" s="1" t="s">
        <v>229</v>
      </c>
      <c r="CX1146" s="1" t="s">
        <v>204</v>
      </c>
      <c r="DA1146" s="1" t="s">
        <v>200</v>
      </c>
      <c r="DC1146" s="1" t="s">
        <v>642</v>
      </c>
      <c r="DD1146" s="1" t="s">
        <v>12444</v>
      </c>
      <c r="DE1146" s="1" t="s">
        <v>273</v>
      </c>
      <c r="DF1146" s="1" t="s">
        <v>219</v>
      </c>
      <c r="DH1146" s="1" t="s">
        <v>220</v>
      </c>
      <c r="DI1146" s="1" t="s">
        <v>5225</v>
      </c>
      <c r="DJ1146" s="1" t="s">
        <v>222</v>
      </c>
      <c r="DL1146" s="1" t="s">
        <v>1853</v>
      </c>
      <c r="DM1146" s="1" t="s">
        <v>398</v>
      </c>
      <c r="DN1146" s="1" t="s">
        <v>399</v>
      </c>
      <c r="DO1146" s="1" t="s">
        <v>549</v>
      </c>
      <c r="DQ1146" s="1" t="s">
        <v>228</v>
      </c>
      <c r="DR1146" s="1" t="s">
        <v>229</v>
      </c>
      <c r="DS1146" s="1" t="s">
        <v>230</v>
      </c>
      <c r="DV1146" s="1" t="s">
        <v>232</v>
      </c>
      <c r="DW1146" s="1" t="s">
        <v>279</v>
      </c>
      <c r="DX1146" s="1" t="s">
        <v>234</v>
      </c>
      <c r="DY1146" s="1" t="s">
        <v>12445</v>
      </c>
      <c r="EC1146" s="1" t="s">
        <v>237</v>
      </c>
      <c r="EM1146" s="1" t="s">
        <v>238</v>
      </c>
      <c r="EQ1146" s="1" t="s">
        <v>238</v>
      </c>
      <c r="EU1146" s="1" t="s">
        <v>238</v>
      </c>
      <c r="EY1146" s="1" t="s">
        <v>238</v>
      </c>
      <c r="FC1146" s="1" t="s">
        <v>238</v>
      </c>
      <c r="FF1146" s="1" t="s">
        <v>239</v>
      </c>
      <c r="FG1146" s="1" t="s">
        <v>192</v>
      </c>
      <c r="FH1146" s="1" t="s">
        <v>192</v>
      </c>
      <c r="FJ1146" s="1" t="s">
        <v>12446</v>
      </c>
      <c r="FK1146" s="1" t="s">
        <v>229</v>
      </c>
      <c r="FL1146" s="1" t="s">
        <v>3156</v>
      </c>
      <c r="FM1146" s="1">
        <v>84729.0</v>
      </c>
      <c r="FN1146" s="1" t="s">
        <v>3157</v>
      </c>
      <c r="FO1146" s="1" t="s">
        <v>4104</v>
      </c>
      <c r="FP1146" s="1">
        <v>106635.0</v>
      </c>
      <c r="FQ1146" s="1" t="s">
        <v>4105</v>
      </c>
      <c r="FR1146" s="1">
        <v>877001.0</v>
      </c>
      <c r="FU1146" s="1" t="s">
        <v>12447</v>
      </c>
      <c r="FV1146" s="1" t="s">
        <v>200</v>
      </c>
      <c r="FW1146" s="1" t="s">
        <v>290</v>
      </c>
      <c r="FX1146" s="1" t="s">
        <v>246</v>
      </c>
      <c r="FZ1146" s="1" t="s">
        <v>229</v>
      </c>
      <c r="GA1146" s="1" t="s">
        <v>291</v>
      </c>
      <c r="GB1146" s="2">
        <v>42146.0</v>
      </c>
      <c r="GC1146" s="1" t="s">
        <v>12448</v>
      </c>
    </row>
    <row r="1147">
      <c r="A1147" s="1">
        <v>440000.0</v>
      </c>
      <c r="B1147" s="1" t="s">
        <v>185</v>
      </c>
      <c r="C1147" s="1" t="str">
        <f>"08842727"</f>
        <v>08842727</v>
      </c>
      <c r="D1147" s="1" t="s">
        <v>186</v>
      </c>
      <c r="F1147" s="1" t="str">
        <f>"123"</f>
        <v>123</v>
      </c>
      <c r="G1147" s="2">
        <v>42054.0</v>
      </c>
      <c r="H1147" s="1">
        <v>469900.0</v>
      </c>
      <c r="I1147" s="1">
        <v>8.0</v>
      </c>
      <c r="J1147" s="1">
        <v>469900.0</v>
      </c>
      <c r="K1147" s="2">
        <v>42060.0</v>
      </c>
      <c r="L1147" s="1">
        <v>8.0</v>
      </c>
      <c r="M1147" s="2">
        <v>42060.0</v>
      </c>
      <c r="N1147" s="1" t="s">
        <v>187</v>
      </c>
      <c r="O1147" s="2">
        <v>42124.0</v>
      </c>
      <c r="P1147" s="1">
        <v>8725.0</v>
      </c>
      <c r="Q1147" s="1">
        <v>212.0</v>
      </c>
      <c r="S1147" s="1" t="s">
        <v>12449</v>
      </c>
      <c r="T1147" s="1" t="s">
        <v>12450</v>
      </c>
      <c r="U1147" s="1" t="s">
        <v>464</v>
      </c>
      <c r="V1147" s="1" t="s">
        <v>465</v>
      </c>
      <c r="W1147" s="1">
        <v>60120.0</v>
      </c>
      <c r="Y1147" s="1" t="s">
        <v>12451</v>
      </c>
      <c r="Z1147" s="1">
        <v>1959.0</v>
      </c>
      <c r="AA1147" s="1" t="s">
        <v>192</v>
      </c>
      <c r="AB1147" s="1" t="s">
        <v>193</v>
      </c>
      <c r="AD1147" s="1" t="s">
        <v>1089</v>
      </c>
      <c r="AE1147" s="1" t="s">
        <v>195</v>
      </c>
      <c r="AF1147" s="1" t="s">
        <v>298</v>
      </c>
      <c r="AH1147" s="1" t="s">
        <v>12452</v>
      </c>
      <c r="AI1147" s="1">
        <v>5.0</v>
      </c>
      <c r="AK1147" s="1">
        <v>9.0</v>
      </c>
      <c r="AL1147" s="1">
        <v>4.0</v>
      </c>
      <c r="AM1147" s="1">
        <v>3.0</v>
      </c>
      <c r="AN1147" s="1">
        <v>1.0</v>
      </c>
      <c r="AO1147" s="1" t="s">
        <v>198</v>
      </c>
      <c r="AP1147" s="1">
        <v>3.0</v>
      </c>
      <c r="AQ1147" s="1" t="s">
        <v>198</v>
      </c>
      <c r="AR1147" s="1" t="s">
        <v>200</v>
      </c>
      <c r="AS1147" s="1" t="s">
        <v>199</v>
      </c>
      <c r="AT1147" s="1">
        <v>1.5</v>
      </c>
      <c r="AV1147" s="1" t="s">
        <v>200</v>
      </c>
      <c r="AW1147" s="1">
        <v>7554.32</v>
      </c>
      <c r="AX1147" s="1">
        <v>2013.0</v>
      </c>
      <c r="AY1147" s="1" t="s">
        <v>387</v>
      </c>
      <c r="AZ1147" s="1" t="s">
        <v>200</v>
      </c>
      <c r="BA1147" s="1" t="str">
        <f>"06172000220000"</f>
        <v>06172000220000</v>
      </c>
      <c r="BB1147" s="1" t="s">
        <v>200</v>
      </c>
      <c r="BC1147" s="1">
        <v>3003.0</v>
      </c>
      <c r="BD1147" s="1">
        <v>440000.0</v>
      </c>
      <c r="BE1147" s="2">
        <v>42053.0</v>
      </c>
      <c r="BF1147" s="2" t="s">
        <v>12453</v>
      </c>
      <c r="BG1147" s="1" t="s">
        <v>12454</v>
      </c>
      <c r="BH1147" s="1">
        <v>0.0</v>
      </c>
      <c r="BI1147" s="1" t="s">
        <v>1242</v>
      </c>
      <c r="BJ1147" s="1" t="s">
        <v>1243</v>
      </c>
      <c r="BK1147" s="1" t="s">
        <v>204</v>
      </c>
      <c r="BL1147" s="1" t="str">
        <f>"12"</f>
        <v>12</v>
      </c>
      <c r="BM1147" s="1" t="str">
        <f t="shared" si="764"/>
        <v>0</v>
      </c>
      <c r="BN1147" s="1">
        <v>31.0</v>
      </c>
      <c r="BO1147" s="1">
        <v>0.0</v>
      </c>
      <c r="BQ1147" s="1">
        <v>46.0</v>
      </c>
      <c r="BR1147" s="1">
        <v>46.0</v>
      </c>
      <c r="BS1147" s="1">
        <v>46.0</v>
      </c>
      <c r="BU1147" s="1" t="s">
        <v>1892</v>
      </c>
      <c r="BV1147" s="1" t="s">
        <v>206</v>
      </c>
      <c r="BW1147" s="1" t="s">
        <v>207</v>
      </c>
      <c r="BY1147" s="1" t="s">
        <v>955</v>
      </c>
      <c r="BZ1147" s="1" t="s">
        <v>206</v>
      </c>
      <c r="CA1147" s="1" t="s">
        <v>210</v>
      </c>
      <c r="CB1147" s="1" t="s">
        <v>239</v>
      </c>
      <c r="CC1147" s="1" t="s">
        <v>715</v>
      </c>
      <c r="CD1147" s="1" t="s">
        <v>206</v>
      </c>
      <c r="CE1147" s="1" t="s">
        <v>207</v>
      </c>
      <c r="CG1147" s="1" t="s">
        <v>433</v>
      </c>
      <c r="CH1147" s="1" t="s">
        <v>206</v>
      </c>
      <c r="CI1147" s="1" t="s">
        <v>210</v>
      </c>
      <c r="CJ1147" s="1" t="s">
        <v>239</v>
      </c>
      <c r="CK1147" s="1" t="s">
        <v>331</v>
      </c>
      <c r="CL1147" s="1" t="s">
        <v>206</v>
      </c>
      <c r="CM1147" s="1" t="s">
        <v>210</v>
      </c>
      <c r="CN1147" s="1" t="s">
        <v>239</v>
      </c>
      <c r="CO1147" s="1" t="s">
        <v>331</v>
      </c>
      <c r="CP1147" s="1" t="s">
        <v>206</v>
      </c>
      <c r="CQ1147" s="1" t="s">
        <v>210</v>
      </c>
      <c r="CR1147" s="1" t="s">
        <v>239</v>
      </c>
      <c r="CS1147" s="1" t="s">
        <v>758</v>
      </c>
      <c r="CT1147" s="1" t="s">
        <v>206</v>
      </c>
      <c r="CU1147" s="1" t="s">
        <v>617</v>
      </c>
      <c r="CW1147" s="1" t="s">
        <v>4469</v>
      </c>
      <c r="CX1147" s="1" t="s">
        <v>206</v>
      </c>
      <c r="CY1147" s="1" t="s">
        <v>210</v>
      </c>
      <c r="DA1147" s="1" t="s">
        <v>200</v>
      </c>
      <c r="DC1147" s="1" t="s">
        <v>271</v>
      </c>
      <c r="DD1147" s="1" t="s">
        <v>926</v>
      </c>
      <c r="DE1147" s="1" t="s">
        <v>273</v>
      </c>
      <c r="DF1147" s="1" t="s">
        <v>745</v>
      </c>
      <c r="DG1147" s="1" t="s">
        <v>12455</v>
      </c>
      <c r="DH1147" s="1" t="s">
        <v>856</v>
      </c>
      <c r="DI1147" s="1" t="s">
        <v>2837</v>
      </c>
      <c r="DJ1147" s="1" t="s">
        <v>857</v>
      </c>
      <c r="DK1147" s="1" t="s">
        <v>1555</v>
      </c>
      <c r="DL1147" s="1" t="s">
        <v>9985</v>
      </c>
      <c r="DM1147" s="1" t="s">
        <v>929</v>
      </c>
      <c r="DN1147" s="1" t="s">
        <v>1486</v>
      </c>
      <c r="DO1147" s="1" t="s">
        <v>12456</v>
      </c>
      <c r="DP1147" s="1" t="s">
        <v>227</v>
      </c>
      <c r="DQ1147" s="1" t="s">
        <v>6366</v>
      </c>
      <c r="DR1147" s="1" t="s">
        <v>229</v>
      </c>
      <c r="DS1147" s="1" t="s">
        <v>230</v>
      </c>
      <c r="DU1147" s="1" t="s">
        <v>1005</v>
      </c>
      <c r="DV1147" s="1" t="s">
        <v>5331</v>
      </c>
      <c r="DW1147" s="1" t="s">
        <v>279</v>
      </c>
      <c r="DX1147" s="1" t="s">
        <v>234</v>
      </c>
      <c r="DY1147" s="1" t="s">
        <v>12457</v>
      </c>
      <c r="DZ1147" s="1" t="s">
        <v>12458</v>
      </c>
      <c r="EA1147" s="1" t="s">
        <v>683</v>
      </c>
      <c r="EB1147" s="1" t="s">
        <v>345</v>
      </c>
      <c r="EC1147" s="1" t="s">
        <v>685</v>
      </c>
      <c r="EE1147" s="1" t="s">
        <v>493</v>
      </c>
      <c r="EG1147" s="1" t="s">
        <v>556</v>
      </c>
      <c r="EH1147" s="1" t="s">
        <v>720</v>
      </c>
      <c r="EL1147" s="1" t="s">
        <v>543</v>
      </c>
      <c r="EM1147" s="1" t="s">
        <v>206</v>
      </c>
      <c r="EN1147" s="1" t="s">
        <v>617</v>
      </c>
      <c r="EP1147" s="1" t="s">
        <v>543</v>
      </c>
      <c r="EQ1147" s="1" t="s">
        <v>206</v>
      </c>
      <c r="ER1147" s="1" t="s">
        <v>617</v>
      </c>
      <c r="ES1147" s="1" t="s">
        <v>229</v>
      </c>
      <c r="EU1147" s="1" t="s">
        <v>238</v>
      </c>
      <c r="EY1147" s="1" t="s">
        <v>238</v>
      </c>
      <c r="FC1147" s="1" t="s">
        <v>238</v>
      </c>
      <c r="FF1147" s="1" t="s">
        <v>239</v>
      </c>
      <c r="FG1147" s="1" t="s">
        <v>192</v>
      </c>
      <c r="FH1147" s="1" t="s">
        <v>192</v>
      </c>
      <c r="FJ1147" s="1" t="s">
        <v>2133</v>
      </c>
      <c r="FK1147" s="1" t="s">
        <v>229</v>
      </c>
      <c r="FL1147" s="1" t="s">
        <v>1358</v>
      </c>
      <c r="FM1147" s="1">
        <v>23591.0</v>
      </c>
      <c r="FN1147" s="1" t="s">
        <v>2134</v>
      </c>
      <c r="FO1147" s="1" t="s">
        <v>4614</v>
      </c>
      <c r="FP1147" s="1">
        <v>245649.0</v>
      </c>
      <c r="FQ1147" s="1" t="s">
        <v>4615</v>
      </c>
      <c r="FS1147" s="1" t="s">
        <v>4616</v>
      </c>
      <c r="FU1147" s="1" t="s">
        <v>12459</v>
      </c>
      <c r="FV1147" s="1" t="s">
        <v>200</v>
      </c>
      <c r="FW1147" s="1" t="s">
        <v>290</v>
      </c>
      <c r="FZ1147" s="1" t="s">
        <v>229</v>
      </c>
      <c r="GA1147" s="1" t="s">
        <v>291</v>
      </c>
      <c r="GB1147" s="2">
        <v>42125.0</v>
      </c>
      <c r="GC1147" s="1" t="s">
        <v>12460</v>
      </c>
    </row>
    <row r="1148">
      <c r="A1148" s="1">
        <v>420000.0</v>
      </c>
      <c r="B1148" s="1" t="s">
        <v>185</v>
      </c>
      <c r="C1148" s="1" t="str">
        <f>"08840433"</f>
        <v>08840433</v>
      </c>
      <c r="D1148" s="1" t="s">
        <v>186</v>
      </c>
      <c r="F1148" s="1" t="str">
        <f>"510"</f>
        <v>510</v>
      </c>
      <c r="G1148" s="2">
        <v>42052.0</v>
      </c>
      <c r="H1148" s="1">
        <v>439000.0</v>
      </c>
      <c r="I1148" s="1">
        <v>31.0</v>
      </c>
      <c r="J1148" s="1">
        <v>439000.0</v>
      </c>
      <c r="K1148" s="2">
        <v>42082.0</v>
      </c>
      <c r="L1148" s="1">
        <v>31.0</v>
      </c>
      <c r="M1148" s="2">
        <v>42082.0</v>
      </c>
      <c r="N1148" s="1" t="s">
        <v>187</v>
      </c>
      <c r="O1148" s="2">
        <v>42139.0</v>
      </c>
      <c r="P1148" s="1">
        <v>232566.0</v>
      </c>
      <c r="Q1148" s="1">
        <v>23076.0</v>
      </c>
      <c r="S1148" s="1">
        <v>1822.0</v>
      </c>
      <c r="T1148" s="1" t="s">
        <v>12461</v>
      </c>
      <c r="U1148" s="1" t="s">
        <v>464</v>
      </c>
      <c r="V1148" s="1" t="s">
        <v>2700</v>
      </c>
      <c r="W1148" s="1">
        <v>60510.0</v>
      </c>
      <c r="Y1148" s="1" t="s">
        <v>12462</v>
      </c>
      <c r="Z1148" s="1">
        <v>2003.0</v>
      </c>
      <c r="AA1148" s="1" t="s">
        <v>200</v>
      </c>
      <c r="AB1148" s="1" t="s">
        <v>193</v>
      </c>
      <c r="AC1148" s="1" t="s">
        <v>12463</v>
      </c>
      <c r="AD1148" s="1" t="s">
        <v>2702</v>
      </c>
      <c r="AE1148" s="1" t="s">
        <v>325</v>
      </c>
      <c r="AF1148" s="1" t="s">
        <v>2702</v>
      </c>
      <c r="AH1148" s="1" t="s">
        <v>12464</v>
      </c>
      <c r="AI1148" s="1">
        <v>0.3235</v>
      </c>
      <c r="AK1148" s="1">
        <v>13.0</v>
      </c>
      <c r="AL1148" s="1">
        <v>4.0</v>
      </c>
      <c r="AM1148" s="1">
        <v>2.0</v>
      </c>
      <c r="AN1148" s="1">
        <v>1.0</v>
      </c>
      <c r="AO1148" s="1" t="s">
        <v>198</v>
      </c>
      <c r="AP1148" s="1">
        <v>2.0</v>
      </c>
      <c r="AQ1148" s="1" t="s">
        <v>257</v>
      </c>
      <c r="AR1148" s="1" t="s">
        <v>200</v>
      </c>
      <c r="AS1148" s="1" t="s">
        <v>199</v>
      </c>
      <c r="AT1148" s="1">
        <v>3.0</v>
      </c>
      <c r="AV1148" s="1" t="s">
        <v>200</v>
      </c>
      <c r="AW1148" s="1">
        <v>11072.42</v>
      </c>
      <c r="AX1148" s="1">
        <v>2013.0</v>
      </c>
      <c r="AY1148" s="1" t="s">
        <v>387</v>
      </c>
      <c r="AZ1148" s="1" t="s">
        <v>200</v>
      </c>
      <c r="BA1148" s="1" t="str">
        <f>"1235227005"</f>
        <v>1235227005</v>
      </c>
      <c r="BB1148" s="1" t="s">
        <v>200</v>
      </c>
      <c r="BC1148" s="1">
        <v>3100.0</v>
      </c>
      <c r="BD1148" s="1">
        <v>420000.0</v>
      </c>
      <c r="BE1148" s="2">
        <v>42052.0</v>
      </c>
      <c r="BF1148" s="2" t="s">
        <v>12465</v>
      </c>
      <c r="BH1148" s="1">
        <v>80.0</v>
      </c>
      <c r="BK1148" s="1" t="s">
        <v>580</v>
      </c>
      <c r="BL1148" s="1" t="str">
        <f t="shared" ref="BL1148:BM1148" si="765">""</f>
        <v/>
      </c>
      <c r="BM1148" s="1" t="str">
        <f t="shared" si="765"/>
        <v/>
      </c>
      <c r="BQ1148" s="1">
        <v>101.0</v>
      </c>
      <c r="BR1148" s="1">
        <v>101.0</v>
      </c>
      <c r="BS1148" s="1">
        <v>101.0</v>
      </c>
      <c r="BU1148" s="1" t="s">
        <v>363</v>
      </c>
      <c r="BV1148" s="1" t="s">
        <v>206</v>
      </c>
      <c r="BW1148" s="1" t="s">
        <v>210</v>
      </c>
      <c r="BX1148" s="1" t="s">
        <v>1118</v>
      </c>
      <c r="BY1148" s="1" t="s">
        <v>434</v>
      </c>
      <c r="BZ1148" s="1" t="s">
        <v>209</v>
      </c>
      <c r="CA1148" s="1" t="s">
        <v>210</v>
      </c>
      <c r="CB1148" s="1" t="s">
        <v>1550</v>
      </c>
      <c r="CC1148" s="1" t="s">
        <v>215</v>
      </c>
      <c r="CD1148" s="1" t="s">
        <v>206</v>
      </c>
      <c r="CE1148" s="1" t="s">
        <v>210</v>
      </c>
      <c r="CF1148" s="1" t="s">
        <v>1549</v>
      </c>
      <c r="CG1148" s="1" t="s">
        <v>433</v>
      </c>
      <c r="CH1148" s="1" t="s">
        <v>209</v>
      </c>
      <c r="CI1148" s="1" t="s">
        <v>210</v>
      </c>
      <c r="CJ1148" s="1" t="s">
        <v>261</v>
      </c>
      <c r="CK1148" s="1" t="s">
        <v>433</v>
      </c>
      <c r="CL1148" s="1" t="s">
        <v>209</v>
      </c>
      <c r="CM1148" s="1" t="s">
        <v>210</v>
      </c>
      <c r="CN1148" s="1" t="s">
        <v>261</v>
      </c>
      <c r="CO1148" s="1" t="s">
        <v>363</v>
      </c>
      <c r="CP1148" s="1" t="s">
        <v>209</v>
      </c>
      <c r="CQ1148" s="1" t="s">
        <v>210</v>
      </c>
      <c r="CR1148" s="1" t="s">
        <v>1549</v>
      </c>
      <c r="CS1148" s="1" t="s">
        <v>758</v>
      </c>
      <c r="CT1148" s="1" t="s">
        <v>206</v>
      </c>
      <c r="CU1148" s="1" t="s">
        <v>207</v>
      </c>
      <c r="CW1148" s="1" t="s">
        <v>715</v>
      </c>
      <c r="CX1148" s="1" t="s">
        <v>206</v>
      </c>
      <c r="CY1148" s="1" t="s">
        <v>210</v>
      </c>
      <c r="CZ1148" s="1" t="s">
        <v>1550</v>
      </c>
      <c r="DA1148" s="1" t="s">
        <v>200</v>
      </c>
      <c r="DC1148" s="1" t="s">
        <v>335</v>
      </c>
      <c r="DD1148" s="1" t="s">
        <v>1838</v>
      </c>
      <c r="DE1148" s="1" t="s">
        <v>273</v>
      </c>
      <c r="DF1148" s="1" t="s">
        <v>219</v>
      </c>
      <c r="DG1148" s="1" t="s">
        <v>482</v>
      </c>
      <c r="DH1148" s="1" t="s">
        <v>220</v>
      </c>
      <c r="DI1148" s="1" t="s">
        <v>12466</v>
      </c>
      <c r="DJ1148" s="1" t="s">
        <v>222</v>
      </c>
      <c r="DL1148" s="1" t="s">
        <v>224</v>
      </c>
      <c r="DM1148" s="1" t="s">
        <v>338</v>
      </c>
      <c r="DN1148" s="1" t="s">
        <v>226</v>
      </c>
      <c r="DO1148" s="1" t="s">
        <v>6435</v>
      </c>
      <c r="DP1148" s="1" t="s">
        <v>340</v>
      </c>
      <c r="DQ1148" s="1" t="s">
        <v>441</v>
      </c>
      <c r="DR1148" s="1" t="s">
        <v>588</v>
      </c>
      <c r="DU1148" s="1" t="s">
        <v>12467</v>
      </c>
      <c r="DV1148" s="1" t="s">
        <v>12468</v>
      </c>
      <c r="DW1148" s="1" t="s">
        <v>444</v>
      </c>
      <c r="DX1148" s="1" t="s">
        <v>234</v>
      </c>
      <c r="DY1148" s="1" t="s">
        <v>2730</v>
      </c>
      <c r="DZ1148" s="1" t="s">
        <v>310</v>
      </c>
      <c r="EB1148" s="1" t="s">
        <v>3699</v>
      </c>
      <c r="EC1148" s="1" t="s">
        <v>237</v>
      </c>
      <c r="ED1148" s="1" t="s">
        <v>555</v>
      </c>
      <c r="EG1148" s="1" t="s">
        <v>449</v>
      </c>
      <c r="EH1148" s="1" t="s">
        <v>598</v>
      </c>
      <c r="EI1148" s="1" t="s">
        <v>450</v>
      </c>
      <c r="EJ1148" s="1" t="s">
        <v>1467</v>
      </c>
      <c r="EK1148" s="1" t="s">
        <v>1824</v>
      </c>
      <c r="EL1148" s="1" t="s">
        <v>543</v>
      </c>
      <c r="EM1148" s="1" t="s">
        <v>206</v>
      </c>
      <c r="EN1148" s="1" t="s">
        <v>207</v>
      </c>
      <c r="EP1148" s="1" t="s">
        <v>264</v>
      </c>
      <c r="EQ1148" s="1" t="s">
        <v>206</v>
      </c>
      <c r="ER1148" s="1" t="s">
        <v>210</v>
      </c>
      <c r="ES1148" s="1" t="s">
        <v>431</v>
      </c>
      <c r="ET1148" s="1" t="s">
        <v>1206</v>
      </c>
      <c r="EU1148" s="1" t="s">
        <v>42</v>
      </c>
      <c r="EV1148" s="1" t="s">
        <v>210</v>
      </c>
      <c r="EX1148" s="1" t="s">
        <v>582</v>
      </c>
      <c r="EY1148" s="1" t="s">
        <v>42</v>
      </c>
      <c r="EZ1148" s="1" t="s">
        <v>210</v>
      </c>
      <c r="FB1148" s="1" t="s">
        <v>433</v>
      </c>
      <c r="FC1148" s="1" t="s">
        <v>42</v>
      </c>
      <c r="FD1148" s="1" t="s">
        <v>588</v>
      </c>
      <c r="FF1148" s="1" t="s">
        <v>239</v>
      </c>
      <c r="FG1148" s="1" t="s">
        <v>192</v>
      </c>
      <c r="FH1148" s="1" t="s">
        <v>192</v>
      </c>
      <c r="FJ1148" s="1" t="s">
        <v>624</v>
      </c>
      <c r="FK1148" s="1" t="s">
        <v>229</v>
      </c>
      <c r="FL1148" s="1" t="s">
        <v>625</v>
      </c>
      <c r="FM1148" s="1">
        <v>37.0</v>
      </c>
      <c r="FN1148" s="1" t="s">
        <v>626</v>
      </c>
      <c r="FO1148" s="1" t="s">
        <v>8650</v>
      </c>
      <c r="FP1148" s="1">
        <v>8546.0</v>
      </c>
      <c r="FQ1148" s="1" t="s">
        <v>8651</v>
      </c>
      <c r="FU1148" s="1" t="s">
        <v>12469</v>
      </c>
      <c r="FV1148" s="1" t="s">
        <v>200</v>
      </c>
      <c r="FW1148" s="1" t="s">
        <v>290</v>
      </c>
      <c r="FZ1148" s="1" t="s">
        <v>632</v>
      </c>
      <c r="GA1148" s="1" t="s">
        <v>291</v>
      </c>
      <c r="GB1148" s="2">
        <v>42139.0</v>
      </c>
      <c r="GC1148" s="1" t="s">
        <v>12470</v>
      </c>
    </row>
    <row r="1149">
      <c r="A1149" s="1">
        <v>750000.0</v>
      </c>
      <c r="B1149" s="1" t="s">
        <v>185</v>
      </c>
      <c r="C1149" s="1" t="str">
        <f>"08838481"</f>
        <v>08838481</v>
      </c>
      <c r="D1149" s="1" t="s">
        <v>186</v>
      </c>
      <c r="F1149" s="1" t="str">
        <f>"8024"</f>
        <v>8024</v>
      </c>
      <c r="G1149" s="2">
        <v>42048.0</v>
      </c>
      <c r="H1149" s="1">
        <v>769000.0</v>
      </c>
      <c r="I1149" s="1">
        <v>22.0</v>
      </c>
      <c r="J1149" s="1">
        <v>769000.0</v>
      </c>
      <c r="K1149" s="2">
        <v>42069.0</v>
      </c>
      <c r="L1149" s="1">
        <v>22.0</v>
      </c>
      <c r="M1149" s="2">
        <v>42069.0</v>
      </c>
      <c r="N1149" s="1" t="s">
        <v>187</v>
      </c>
      <c r="O1149" s="2">
        <v>42123.0</v>
      </c>
      <c r="P1149" s="1">
        <v>120916.0</v>
      </c>
      <c r="Q1149" s="1">
        <v>85848.0</v>
      </c>
      <c r="S1149" s="1">
        <v>918.0</v>
      </c>
      <c r="T1149" s="1" t="s">
        <v>12471</v>
      </c>
      <c r="U1149" s="1" t="s">
        <v>189</v>
      </c>
      <c r="V1149" s="1" t="s">
        <v>190</v>
      </c>
      <c r="W1149" s="1">
        <v>60642.0</v>
      </c>
      <c r="Y1149" s="1" t="s">
        <v>12472</v>
      </c>
      <c r="Z1149" s="1" t="s">
        <v>296</v>
      </c>
      <c r="AA1149" s="1" t="s">
        <v>192</v>
      </c>
      <c r="AB1149" s="1" t="s">
        <v>193</v>
      </c>
      <c r="AD1149" s="1" t="s">
        <v>194</v>
      </c>
      <c r="AE1149" s="1" t="s">
        <v>195</v>
      </c>
      <c r="AF1149" s="1" t="s">
        <v>827</v>
      </c>
      <c r="AH1149" s="1" t="s">
        <v>12473</v>
      </c>
      <c r="AK1149" s="1">
        <v>7.0</v>
      </c>
      <c r="AL1149" s="1">
        <v>4.0</v>
      </c>
      <c r="AM1149" s="1">
        <v>2.0</v>
      </c>
      <c r="AN1149" s="1">
        <v>1.0</v>
      </c>
      <c r="AO1149" s="1" t="s">
        <v>198</v>
      </c>
      <c r="AP1149" s="1">
        <v>2.0</v>
      </c>
      <c r="AQ1149" s="1" t="s">
        <v>198</v>
      </c>
      <c r="AR1149" s="1" t="s">
        <v>200</v>
      </c>
      <c r="AS1149" s="1" t="s">
        <v>199</v>
      </c>
      <c r="AT1149" s="1">
        <v>2.0</v>
      </c>
      <c r="AV1149" s="1" t="s">
        <v>200</v>
      </c>
      <c r="AW1149" s="1">
        <v>11712.0</v>
      </c>
      <c r="AX1149" s="1">
        <v>2013.0</v>
      </c>
      <c r="AZ1149" s="1" t="s">
        <v>200</v>
      </c>
      <c r="BA1149" s="1" t="str">
        <f>"17053191110000"</f>
        <v>17053191110000</v>
      </c>
      <c r="BC1149" s="1">
        <v>2400.0</v>
      </c>
      <c r="BD1149" s="1">
        <v>750000.0</v>
      </c>
      <c r="BE1149" s="2">
        <v>42048.0</v>
      </c>
      <c r="BF1149" s="2" t="s">
        <v>12474</v>
      </c>
      <c r="BH1149" s="1">
        <v>0.0</v>
      </c>
      <c r="BK1149" s="1" t="s">
        <v>204</v>
      </c>
      <c r="BL1149" s="1" t="str">
        <f>"900"</f>
        <v>900</v>
      </c>
      <c r="BM1149" s="1" t="str">
        <f t="shared" ref="BM1149:BM1151" si="766">"0"</f>
        <v>0</v>
      </c>
      <c r="BN1149" s="1">
        <v>1350.0</v>
      </c>
      <c r="BO1149" s="1">
        <v>0.0</v>
      </c>
      <c r="BQ1149" s="1">
        <v>299.0</v>
      </c>
      <c r="BR1149" s="1">
        <v>299.0</v>
      </c>
      <c r="BS1149" s="1">
        <v>299.0</v>
      </c>
      <c r="BU1149" s="1" t="s">
        <v>477</v>
      </c>
      <c r="BV1149" s="1" t="s">
        <v>206</v>
      </c>
      <c r="BW1149" s="1" t="s">
        <v>207</v>
      </c>
      <c r="BX1149" s="1" t="s">
        <v>229</v>
      </c>
      <c r="BY1149" s="1" t="s">
        <v>4353</v>
      </c>
      <c r="BZ1149" s="1" t="s">
        <v>391</v>
      </c>
      <c r="CA1149" s="1" t="s">
        <v>207</v>
      </c>
      <c r="CB1149" s="1" t="s">
        <v>229</v>
      </c>
      <c r="CC1149" s="1" t="s">
        <v>266</v>
      </c>
      <c r="CD1149" s="1" t="s">
        <v>206</v>
      </c>
      <c r="CE1149" s="1" t="s">
        <v>207</v>
      </c>
      <c r="CF1149" s="1" t="s">
        <v>229</v>
      </c>
      <c r="CG1149" s="1" t="s">
        <v>1745</v>
      </c>
      <c r="CH1149" s="1" t="s">
        <v>209</v>
      </c>
      <c r="CI1149" s="1" t="s">
        <v>207</v>
      </c>
      <c r="CK1149" s="1" t="s">
        <v>213</v>
      </c>
      <c r="CL1149" s="1" t="s">
        <v>209</v>
      </c>
      <c r="CM1149" s="1" t="s">
        <v>207</v>
      </c>
      <c r="CO1149" s="1" t="s">
        <v>211</v>
      </c>
      <c r="CP1149" s="1" t="s">
        <v>209</v>
      </c>
      <c r="CQ1149" s="1" t="s">
        <v>207</v>
      </c>
      <c r="CS1149" s="1" t="s">
        <v>3154</v>
      </c>
      <c r="CT1149" s="1" t="s">
        <v>206</v>
      </c>
      <c r="CU1149" s="1" t="s">
        <v>268</v>
      </c>
      <c r="CX1149" s="1" t="s">
        <v>204</v>
      </c>
      <c r="DA1149" s="1" t="s">
        <v>200</v>
      </c>
      <c r="DC1149" s="1" t="s">
        <v>545</v>
      </c>
      <c r="DD1149" s="1" t="s">
        <v>731</v>
      </c>
      <c r="DE1149" s="1" t="s">
        <v>273</v>
      </c>
      <c r="DF1149" s="1" t="s">
        <v>619</v>
      </c>
      <c r="DH1149" s="1" t="s">
        <v>365</v>
      </c>
      <c r="DI1149" s="1" t="s">
        <v>12475</v>
      </c>
      <c r="DJ1149" s="1" t="s">
        <v>222</v>
      </c>
      <c r="DL1149" s="1" t="s">
        <v>3611</v>
      </c>
      <c r="DM1149" s="1" t="s">
        <v>229</v>
      </c>
      <c r="DN1149" s="1" t="s">
        <v>1721</v>
      </c>
      <c r="DP1149" s="1" t="s">
        <v>276</v>
      </c>
      <c r="DQ1149" s="1" t="s">
        <v>228</v>
      </c>
      <c r="DR1149" s="1" t="s">
        <v>229</v>
      </c>
      <c r="DV1149" s="1" t="s">
        <v>588</v>
      </c>
      <c r="DW1149" s="1" t="s">
        <v>279</v>
      </c>
      <c r="DX1149" s="1" t="s">
        <v>234</v>
      </c>
      <c r="DY1149" s="1" t="s">
        <v>747</v>
      </c>
      <c r="EC1149" s="1" t="s">
        <v>406</v>
      </c>
      <c r="EE1149" s="1" t="s">
        <v>187</v>
      </c>
      <c r="EG1149" s="1" t="s">
        <v>588</v>
      </c>
      <c r="EL1149" s="1" t="s">
        <v>584</v>
      </c>
      <c r="EM1149" s="1" t="s">
        <v>391</v>
      </c>
      <c r="EN1149" s="1" t="s">
        <v>207</v>
      </c>
      <c r="EO1149" s="1" t="s">
        <v>229</v>
      </c>
      <c r="EQ1149" s="1" t="s">
        <v>238</v>
      </c>
      <c r="EU1149" s="1" t="s">
        <v>238</v>
      </c>
      <c r="EY1149" s="1" t="s">
        <v>238</v>
      </c>
      <c r="FC1149" s="1" t="s">
        <v>238</v>
      </c>
      <c r="FF1149" s="1" t="s">
        <v>239</v>
      </c>
      <c r="FG1149" s="1" t="s">
        <v>192</v>
      </c>
      <c r="FH1149" s="1" t="s">
        <v>192</v>
      </c>
      <c r="FJ1149" s="1" t="s">
        <v>561</v>
      </c>
      <c r="FK1149" s="1" t="s">
        <v>229</v>
      </c>
      <c r="FL1149" s="1" t="s">
        <v>3156</v>
      </c>
      <c r="FM1149" s="1">
        <v>14090.0</v>
      </c>
      <c r="FN1149" s="1" t="s">
        <v>12476</v>
      </c>
      <c r="FO1149" s="1" t="s">
        <v>12477</v>
      </c>
      <c r="FP1149" s="1">
        <v>105715.0</v>
      </c>
      <c r="FQ1149" s="1" t="s">
        <v>12478</v>
      </c>
      <c r="FR1149" s="1">
        <v>158866.0</v>
      </c>
      <c r="FU1149" s="1" t="s">
        <v>12479</v>
      </c>
      <c r="FV1149" s="1" t="s">
        <v>200</v>
      </c>
      <c r="FW1149" s="1" t="s">
        <v>1411</v>
      </c>
      <c r="FX1149" s="1" t="s">
        <v>238</v>
      </c>
      <c r="FZ1149" s="1" t="s">
        <v>229</v>
      </c>
      <c r="GA1149" s="1" t="s">
        <v>291</v>
      </c>
      <c r="GB1149" s="2">
        <v>42125.0</v>
      </c>
      <c r="GC1149" s="1" t="s">
        <v>12480</v>
      </c>
    </row>
    <row r="1150">
      <c r="A1150" s="1">
        <v>220000.0</v>
      </c>
      <c r="B1150" s="1" t="s">
        <v>185</v>
      </c>
      <c r="C1150" s="1" t="str">
        <f>"08839950"</f>
        <v>08839950</v>
      </c>
      <c r="D1150" s="1" t="s">
        <v>186</v>
      </c>
      <c r="F1150" s="1" t="str">
        <f>"8015"</f>
        <v>8015</v>
      </c>
      <c r="G1150" s="2">
        <v>42051.0</v>
      </c>
      <c r="H1150" s="1">
        <v>220000.0</v>
      </c>
      <c r="I1150" s="1">
        <v>9.0</v>
      </c>
      <c r="J1150" s="1">
        <v>220000.0</v>
      </c>
      <c r="K1150" s="2">
        <v>42059.0</v>
      </c>
      <c r="L1150" s="1">
        <v>9.0</v>
      </c>
      <c r="M1150" s="2">
        <v>42059.0</v>
      </c>
      <c r="N1150" s="1" t="s">
        <v>187</v>
      </c>
      <c r="O1150" s="2">
        <v>42143.0</v>
      </c>
      <c r="P1150" s="1">
        <v>875985.0</v>
      </c>
      <c r="Q1150" s="1">
        <v>10273.0</v>
      </c>
      <c r="S1150" s="1">
        <v>4943.0</v>
      </c>
      <c r="T1150" s="1" t="s">
        <v>12481</v>
      </c>
      <c r="U1150" s="1" t="s">
        <v>320</v>
      </c>
      <c r="V1150" s="1" t="s">
        <v>190</v>
      </c>
      <c r="W1150" s="1">
        <v>60641.0</v>
      </c>
      <c r="Y1150" s="1" t="s">
        <v>12482</v>
      </c>
      <c r="Z1150" s="1">
        <v>1910.0</v>
      </c>
      <c r="AA1150" s="1" t="s">
        <v>192</v>
      </c>
      <c r="AB1150" s="1" t="s">
        <v>193</v>
      </c>
      <c r="AD1150" s="1" t="s">
        <v>194</v>
      </c>
      <c r="AE1150" s="1" t="s">
        <v>195</v>
      </c>
      <c r="AF1150" s="1" t="s">
        <v>196</v>
      </c>
      <c r="AH1150" s="1" t="s">
        <v>1501</v>
      </c>
      <c r="AI1150" s="1">
        <v>0.0847</v>
      </c>
      <c r="AK1150" s="1">
        <v>7.0</v>
      </c>
      <c r="AL1150" s="1">
        <v>4.0</v>
      </c>
      <c r="AM1150" s="1">
        <v>1.0</v>
      </c>
      <c r="AN1150" s="1">
        <v>0.0</v>
      </c>
      <c r="AO1150" s="1" t="s">
        <v>229</v>
      </c>
      <c r="AQ1150" s="1" t="s">
        <v>198</v>
      </c>
      <c r="AR1150" s="1" t="s">
        <v>200</v>
      </c>
      <c r="AS1150" s="1" t="s">
        <v>199</v>
      </c>
      <c r="AT1150" s="1">
        <v>2.0</v>
      </c>
      <c r="AV1150" s="1" t="s">
        <v>200</v>
      </c>
      <c r="AW1150" s="1">
        <v>2946.0</v>
      </c>
      <c r="AX1150" s="1">
        <v>2013.0</v>
      </c>
      <c r="AY1150" s="1" t="s">
        <v>387</v>
      </c>
      <c r="AZ1150" s="1" t="s">
        <v>200</v>
      </c>
      <c r="BA1150" s="1" t="str">
        <f>"13212060050000"</f>
        <v>13212060050000</v>
      </c>
      <c r="BC1150" s="1">
        <v>882.0</v>
      </c>
      <c r="BD1150" s="1">
        <v>220000.0</v>
      </c>
      <c r="BE1150" s="2">
        <v>42051.0</v>
      </c>
      <c r="BF1150" s="2" t="s">
        <v>12483</v>
      </c>
      <c r="BH1150" s="1">
        <v>0.0</v>
      </c>
      <c r="BK1150" s="1" t="s">
        <v>204</v>
      </c>
      <c r="BL1150" s="1" t="str">
        <f>"3900"</f>
        <v>3900</v>
      </c>
      <c r="BM1150" s="1" t="str">
        <f t="shared" si="766"/>
        <v>0</v>
      </c>
      <c r="BN1150" s="1">
        <v>4943.0</v>
      </c>
      <c r="BO1150" s="1">
        <v>0.0</v>
      </c>
      <c r="BQ1150" s="1">
        <v>299.0</v>
      </c>
      <c r="BR1150" s="1">
        <v>299.0</v>
      </c>
      <c r="BS1150" s="1">
        <v>299.0</v>
      </c>
      <c r="BU1150" s="1" t="s">
        <v>2082</v>
      </c>
      <c r="BV1150" s="1" t="s">
        <v>206</v>
      </c>
      <c r="BW1150" s="1" t="s">
        <v>207</v>
      </c>
      <c r="BY1150" s="1" t="s">
        <v>478</v>
      </c>
      <c r="BZ1150" s="1" t="s">
        <v>209</v>
      </c>
      <c r="CA1150" s="1" t="s">
        <v>301</v>
      </c>
      <c r="CC1150" s="1" t="s">
        <v>363</v>
      </c>
      <c r="CD1150" s="1" t="s">
        <v>206</v>
      </c>
      <c r="CE1150" s="1" t="s">
        <v>207</v>
      </c>
      <c r="CG1150" s="1" t="s">
        <v>478</v>
      </c>
      <c r="CH1150" s="1" t="s">
        <v>209</v>
      </c>
      <c r="CI1150" s="1" t="s">
        <v>301</v>
      </c>
      <c r="CK1150" s="1" t="s">
        <v>1584</v>
      </c>
      <c r="CL1150" s="1" t="s">
        <v>206</v>
      </c>
      <c r="CM1150" s="1" t="s">
        <v>207</v>
      </c>
      <c r="CO1150" s="1" t="s">
        <v>3182</v>
      </c>
      <c r="CP1150" s="1" t="s">
        <v>206</v>
      </c>
      <c r="CQ1150" s="1" t="s">
        <v>207</v>
      </c>
      <c r="CS1150" s="1" t="s">
        <v>300</v>
      </c>
      <c r="CT1150" s="1" t="s">
        <v>206</v>
      </c>
      <c r="CU1150" s="1" t="s">
        <v>268</v>
      </c>
      <c r="CX1150" s="1" t="s">
        <v>204</v>
      </c>
      <c r="DA1150" s="1" t="s">
        <v>200</v>
      </c>
      <c r="DC1150" s="1" t="s">
        <v>642</v>
      </c>
      <c r="DD1150" s="1" t="s">
        <v>786</v>
      </c>
      <c r="DE1150" s="1" t="s">
        <v>229</v>
      </c>
      <c r="DF1150" s="1" t="s">
        <v>219</v>
      </c>
      <c r="DG1150" s="1" t="s">
        <v>2311</v>
      </c>
      <c r="DH1150" s="1" t="s">
        <v>365</v>
      </c>
      <c r="DI1150" s="1" t="s">
        <v>1401</v>
      </c>
      <c r="DJ1150" s="1" t="s">
        <v>222</v>
      </c>
      <c r="DK1150" s="1" t="s">
        <v>224</v>
      </c>
      <c r="DL1150" s="1" t="s">
        <v>223</v>
      </c>
      <c r="DM1150" s="1" t="s">
        <v>229</v>
      </c>
      <c r="DP1150" s="1" t="s">
        <v>340</v>
      </c>
      <c r="DQ1150" s="1" t="s">
        <v>718</v>
      </c>
      <c r="DR1150" s="1" t="s">
        <v>229</v>
      </c>
      <c r="DS1150" s="1" t="s">
        <v>230</v>
      </c>
      <c r="DV1150" s="1" t="s">
        <v>374</v>
      </c>
      <c r="DW1150" s="1" t="s">
        <v>934</v>
      </c>
      <c r="DX1150" s="1" t="s">
        <v>234</v>
      </c>
      <c r="DY1150" s="1" t="s">
        <v>2240</v>
      </c>
      <c r="EA1150" s="1" t="s">
        <v>644</v>
      </c>
      <c r="EC1150" s="1" t="s">
        <v>237</v>
      </c>
      <c r="EE1150" s="1" t="s">
        <v>522</v>
      </c>
      <c r="EG1150" s="1" t="s">
        <v>374</v>
      </c>
      <c r="EL1150" s="1" t="s">
        <v>6414</v>
      </c>
      <c r="EM1150" s="1" t="s">
        <v>206</v>
      </c>
      <c r="EN1150" s="1" t="s">
        <v>617</v>
      </c>
      <c r="EQ1150" s="1" t="s">
        <v>238</v>
      </c>
      <c r="EU1150" s="1" t="s">
        <v>238</v>
      </c>
      <c r="EY1150" s="1" t="s">
        <v>238</v>
      </c>
      <c r="FC1150" s="1" t="s">
        <v>238</v>
      </c>
      <c r="FF1150" s="1" t="s">
        <v>239</v>
      </c>
      <c r="FG1150" s="1" t="s">
        <v>192</v>
      </c>
      <c r="FH1150" s="1" t="s">
        <v>192</v>
      </c>
      <c r="FJ1150" s="1" t="s">
        <v>412</v>
      </c>
      <c r="FK1150" s="1" t="s">
        <v>229</v>
      </c>
      <c r="FL1150" s="1" t="s">
        <v>11300</v>
      </c>
      <c r="FM1150" s="1">
        <v>10840.0</v>
      </c>
      <c r="FN1150" s="1" t="s">
        <v>11301</v>
      </c>
      <c r="FO1150" s="1" t="s">
        <v>11302</v>
      </c>
      <c r="FP1150" s="1">
        <v>129652.0</v>
      </c>
      <c r="FQ1150" s="1" t="s">
        <v>11303</v>
      </c>
      <c r="FU1150" s="1" t="s">
        <v>1438</v>
      </c>
      <c r="FV1150" s="1" t="s">
        <v>200</v>
      </c>
      <c r="FW1150" s="1" t="s">
        <v>290</v>
      </c>
      <c r="FX1150" s="1" t="s">
        <v>246</v>
      </c>
      <c r="FZ1150" s="1" t="s">
        <v>229</v>
      </c>
      <c r="GA1150" s="1" t="s">
        <v>291</v>
      </c>
      <c r="GB1150" s="2">
        <v>42143.0</v>
      </c>
      <c r="GC1150" s="1" t="s">
        <v>12484</v>
      </c>
    </row>
    <row r="1151">
      <c r="A1151" s="1">
        <v>337000.0</v>
      </c>
      <c r="B1151" s="1" t="s">
        <v>185</v>
      </c>
      <c r="C1151" s="1" t="str">
        <f>"08842919"</f>
        <v>08842919</v>
      </c>
      <c r="D1151" s="1" t="s">
        <v>186</v>
      </c>
      <c r="F1151" s="1" t="str">
        <f>"123"</f>
        <v>123</v>
      </c>
      <c r="G1151" s="2">
        <v>42055.0</v>
      </c>
      <c r="H1151" s="1">
        <v>349500.0</v>
      </c>
      <c r="I1151" s="1">
        <v>27.0</v>
      </c>
      <c r="J1151" s="1">
        <v>349500.0</v>
      </c>
      <c r="K1151" s="2">
        <v>42081.0</v>
      </c>
      <c r="L1151" s="1">
        <v>27.0</v>
      </c>
      <c r="M1151" s="2">
        <v>42081.0</v>
      </c>
      <c r="N1151" s="1" t="s">
        <v>356</v>
      </c>
      <c r="O1151" s="2">
        <v>42116.0</v>
      </c>
      <c r="P1151" s="1">
        <v>869054.0</v>
      </c>
      <c r="Q1151" s="1">
        <v>85464.0</v>
      </c>
      <c r="S1151" s="1">
        <v>196.0</v>
      </c>
      <c r="T1151" s="1" t="s">
        <v>12485</v>
      </c>
      <c r="U1151" s="1" t="s">
        <v>320</v>
      </c>
      <c r="V1151" s="1" t="s">
        <v>465</v>
      </c>
      <c r="W1151" s="1">
        <v>60124.0</v>
      </c>
      <c r="Y1151" s="1" t="s">
        <v>12486</v>
      </c>
      <c r="Z1151" s="1">
        <v>2004.0</v>
      </c>
      <c r="AA1151" s="1" t="s">
        <v>200</v>
      </c>
      <c r="AB1151" s="1" t="s">
        <v>467</v>
      </c>
      <c r="AC1151" s="1" t="s">
        <v>10728</v>
      </c>
      <c r="AD1151" s="1" t="s">
        <v>469</v>
      </c>
      <c r="AE1151" s="1" t="s">
        <v>325</v>
      </c>
      <c r="AF1151" s="1" t="s">
        <v>469</v>
      </c>
      <c r="AG1151" s="1" t="s">
        <v>12487</v>
      </c>
      <c r="AH1151" s="1" t="s">
        <v>12488</v>
      </c>
      <c r="AI1151" s="1">
        <v>0.0</v>
      </c>
      <c r="AK1151" s="1">
        <v>11.0</v>
      </c>
      <c r="AL1151" s="1">
        <v>4.0</v>
      </c>
      <c r="AM1151" s="1">
        <v>2.0</v>
      </c>
      <c r="AN1151" s="1">
        <v>1.0</v>
      </c>
      <c r="AO1151" s="1" t="s">
        <v>198</v>
      </c>
      <c r="AP1151" s="1">
        <v>1.0</v>
      </c>
      <c r="AQ1151" s="1" t="s">
        <v>198</v>
      </c>
      <c r="AR1151" s="1" t="s">
        <v>200</v>
      </c>
      <c r="AS1151" s="1" t="s">
        <v>199</v>
      </c>
      <c r="AT1151" s="1">
        <v>3.0</v>
      </c>
      <c r="AV1151" s="1" t="s">
        <v>200</v>
      </c>
      <c r="AW1151" s="1">
        <v>9089.36</v>
      </c>
      <c r="AX1151" s="1">
        <v>2013.0</v>
      </c>
      <c r="AY1151" s="1" t="s">
        <v>387</v>
      </c>
      <c r="AZ1151" s="1" t="s">
        <v>200</v>
      </c>
      <c r="BA1151" s="1" t="str">
        <f>"0618455003"</f>
        <v>0618455003</v>
      </c>
      <c r="BB1151" s="1" t="s">
        <v>192</v>
      </c>
      <c r="BC1151" s="1">
        <v>3115.0</v>
      </c>
      <c r="BD1151" s="1">
        <v>337000.0</v>
      </c>
      <c r="BE1151" s="2">
        <v>42055.0</v>
      </c>
      <c r="BF1151" s="2" t="s">
        <v>12489</v>
      </c>
      <c r="BG1151" s="1" t="s">
        <v>3686</v>
      </c>
      <c r="BH1151" s="1">
        <v>295.0</v>
      </c>
      <c r="BI1151" s="1" t="s">
        <v>578</v>
      </c>
      <c r="BJ1151" s="1" t="s">
        <v>579</v>
      </c>
      <c r="BK1151" s="1" t="s">
        <v>580</v>
      </c>
      <c r="BL1151" s="1" t="str">
        <f>"11"</f>
        <v>11</v>
      </c>
      <c r="BM1151" s="1" t="str">
        <f t="shared" si="766"/>
        <v>0</v>
      </c>
      <c r="BN1151" s="1">
        <v>38.0</v>
      </c>
      <c r="BO1151" s="1">
        <v>0.0</v>
      </c>
      <c r="BQ1151" s="1">
        <v>301.0</v>
      </c>
      <c r="BR1151" s="1">
        <v>301.0</v>
      </c>
      <c r="BS1151" s="1">
        <v>301.0</v>
      </c>
      <c r="BU1151" s="1" t="s">
        <v>361</v>
      </c>
      <c r="BV1151" s="1" t="s">
        <v>206</v>
      </c>
      <c r="BW1151" s="1" t="s">
        <v>207</v>
      </c>
      <c r="BX1151" s="1" t="s">
        <v>239</v>
      </c>
      <c r="BY1151" s="1" t="s">
        <v>1551</v>
      </c>
      <c r="BZ1151" s="1" t="s">
        <v>209</v>
      </c>
      <c r="CA1151" s="1" t="s">
        <v>210</v>
      </c>
      <c r="CB1151" s="1" t="s">
        <v>239</v>
      </c>
      <c r="CC1151" s="1" t="s">
        <v>361</v>
      </c>
      <c r="CD1151" s="1" t="s">
        <v>206</v>
      </c>
      <c r="CE1151" s="1" t="s">
        <v>207</v>
      </c>
      <c r="CF1151" s="1" t="s">
        <v>239</v>
      </c>
      <c r="CG1151" s="1" t="s">
        <v>361</v>
      </c>
      <c r="CH1151" s="1" t="s">
        <v>209</v>
      </c>
      <c r="CI1151" s="1" t="s">
        <v>210</v>
      </c>
      <c r="CJ1151" s="1" t="s">
        <v>239</v>
      </c>
      <c r="CK1151" s="1" t="s">
        <v>329</v>
      </c>
      <c r="CL1151" s="1" t="s">
        <v>209</v>
      </c>
      <c r="CM1151" s="1" t="s">
        <v>210</v>
      </c>
      <c r="CN1151" s="1" t="s">
        <v>239</v>
      </c>
      <c r="CO1151" s="1" t="s">
        <v>212</v>
      </c>
      <c r="CP1151" s="1" t="s">
        <v>209</v>
      </c>
      <c r="CQ1151" s="1" t="s">
        <v>210</v>
      </c>
      <c r="CR1151" s="1" t="s">
        <v>239</v>
      </c>
      <c r="CS1151" s="1" t="s">
        <v>758</v>
      </c>
      <c r="CT1151" s="1" t="s">
        <v>206</v>
      </c>
      <c r="CU1151" s="1" t="s">
        <v>207</v>
      </c>
      <c r="CV1151" s="1" t="s">
        <v>239</v>
      </c>
      <c r="CW1151" s="1" t="s">
        <v>924</v>
      </c>
      <c r="CX1151" s="1" t="s">
        <v>206</v>
      </c>
      <c r="CY1151" s="1" t="s">
        <v>207</v>
      </c>
      <c r="CZ1151" s="1" t="s">
        <v>239</v>
      </c>
      <c r="DA1151" s="1" t="s">
        <v>200</v>
      </c>
      <c r="DC1151" s="1" t="s">
        <v>335</v>
      </c>
      <c r="DD1151" s="1" t="s">
        <v>586</v>
      </c>
      <c r="DE1151" s="1" t="s">
        <v>273</v>
      </c>
      <c r="DF1151" s="1" t="s">
        <v>219</v>
      </c>
      <c r="DG1151" s="1" t="s">
        <v>482</v>
      </c>
      <c r="DH1151" s="1" t="s">
        <v>220</v>
      </c>
      <c r="DI1151" s="1" t="s">
        <v>1021</v>
      </c>
      <c r="DJ1151" s="1" t="s">
        <v>222</v>
      </c>
      <c r="DK1151" s="1" t="s">
        <v>223</v>
      </c>
      <c r="DL1151" s="1" t="s">
        <v>223</v>
      </c>
      <c r="DM1151" s="1" t="s">
        <v>338</v>
      </c>
      <c r="DN1151" s="1" t="s">
        <v>485</v>
      </c>
      <c r="DO1151" s="1" t="s">
        <v>486</v>
      </c>
      <c r="DP1151" s="1" t="s">
        <v>340</v>
      </c>
      <c r="DQ1151" s="1" t="s">
        <v>441</v>
      </c>
      <c r="DR1151" s="1" t="s">
        <v>588</v>
      </c>
      <c r="DS1151" s="1" t="s">
        <v>368</v>
      </c>
      <c r="DU1151" s="1" t="s">
        <v>12490</v>
      </c>
      <c r="DV1151" s="1" t="s">
        <v>12491</v>
      </c>
      <c r="DW1151" s="1" t="s">
        <v>5639</v>
      </c>
      <c r="DX1151" s="1" t="s">
        <v>234</v>
      </c>
      <c r="DY1151" s="1" t="s">
        <v>3846</v>
      </c>
      <c r="DZ1151" s="1" t="s">
        <v>7055</v>
      </c>
      <c r="EB1151" s="1" t="s">
        <v>1639</v>
      </c>
      <c r="EC1151" s="1" t="s">
        <v>237</v>
      </c>
      <c r="ED1151" s="1" t="s">
        <v>12492</v>
      </c>
      <c r="EE1151" s="1" t="s">
        <v>493</v>
      </c>
      <c r="EG1151" s="1" t="s">
        <v>494</v>
      </c>
      <c r="EH1151" s="1" t="s">
        <v>449</v>
      </c>
      <c r="EI1151" s="1" t="s">
        <v>341</v>
      </c>
      <c r="EK1151" s="1" t="s">
        <v>408</v>
      </c>
      <c r="EL1151" s="1" t="s">
        <v>331</v>
      </c>
      <c r="EM1151" s="1" t="s">
        <v>206</v>
      </c>
      <c r="EN1151" s="1" t="s">
        <v>207</v>
      </c>
      <c r="EO1151" s="1" t="s">
        <v>239</v>
      </c>
      <c r="EP1151" s="1" t="s">
        <v>1417</v>
      </c>
      <c r="EQ1151" s="1" t="s">
        <v>206</v>
      </c>
      <c r="ER1151" s="1" t="s">
        <v>268</v>
      </c>
      <c r="ES1151" s="1" t="s">
        <v>239</v>
      </c>
      <c r="ET1151" s="1" t="s">
        <v>303</v>
      </c>
      <c r="EU1151" s="1" t="s">
        <v>209</v>
      </c>
      <c r="EV1151" s="1" t="s">
        <v>210</v>
      </c>
      <c r="EW1151" s="1" t="s">
        <v>239</v>
      </c>
      <c r="EY1151" s="1" t="s">
        <v>238</v>
      </c>
      <c r="FB1151" s="1" t="s">
        <v>331</v>
      </c>
      <c r="FC1151" s="1" t="s">
        <v>206</v>
      </c>
      <c r="FD1151" s="1" t="s">
        <v>207</v>
      </c>
      <c r="FF1151" s="1" t="s">
        <v>239</v>
      </c>
      <c r="FG1151" s="1" t="s">
        <v>192</v>
      </c>
      <c r="FH1151" s="1" t="s">
        <v>192</v>
      </c>
      <c r="FJ1151" s="1" t="s">
        <v>12493</v>
      </c>
      <c r="FK1151" s="1" t="s">
        <v>229</v>
      </c>
      <c r="FL1151" s="1" t="s">
        <v>625</v>
      </c>
      <c r="FM1151" s="1">
        <v>37.0</v>
      </c>
      <c r="FN1151" s="1" t="s">
        <v>626</v>
      </c>
      <c r="FO1151" s="1" t="s">
        <v>1272</v>
      </c>
      <c r="FP1151" s="1">
        <v>7683.0</v>
      </c>
      <c r="FQ1151" s="1" t="s">
        <v>1273</v>
      </c>
      <c r="FR1151" s="1">
        <v>8360.0</v>
      </c>
      <c r="FU1151" s="1" t="s">
        <v>12494</v>
      </c>
      <c r="FV1151" s="1" t="s">
        <v>200</v>
      </c>
      <c r="FW1151" s="1" t="s">
        <v>290</v>
      </c>
      <c r="FZ1151" s="1" t="s">
        <v>229</v>
      </c>
      <c r="GA1151" s="1" t="s">
        <v>291</v>
      </c>
      <c r="GB1151" s="2">
        <v>42121.0</v>
      </c>
      <c r="GC1151" s="1" t="s">
        <v>12495</v>
      </c>
    </row>
    <row r="1152">
      <c r="A1152" s="1">
        <v>300000.0</v>
      </c>
      <c r="B1152" s="1" t="s">
        <v>185</v>
      </c>
      <c r="C1152" s="1" t="str">
        <f>"08838788"</f>
        <v>08838788</v>
      </c>
      <c r="D1152" s="1" t="s">
        <v>186</v>
      </c>
      <c r="F1152" s="1" t="str">
        <f>"543"</f>
        <v>543</v>
      </c>
      <c r="G1152" s="2">
        <v>42049.0</v>
      </c>
      <c r="H1152" s="1">
        <v>314900.0</v>
      </c>
      <c r="I1152" s="1">
        <v>53.0</v>
      </c>
      <c r="J1152" s="1">
        <v>312900.0</v>
      </c>
      <c r="K1152" s="2">
        <v>42101.0</v>
      </c>
      <c r="L1152" s="1">
        <v>53.0</v>
      </c>
      <c r="M1152" s="2">
        <v>42101.0</v>
      </c>
      <c r="N1152" s="1" t="s">
        <v>187</v>
      </c>
      <c r="O1152" s="2">
        <v>42146.0</v>
      </c>
      <c r="P1152" s="1">
        <v>221325.0</v>
      </c>
      <c r="Q1152" s="1">
        <v>23030.0</v>
      </c>
      <c r="S1152" s="1">
        <v>612.0</v>
      </c>
      <c r="T1152" s="1" t="s">
        <v>8253</v>
      </c>
      <c r="U1152" s="1" t="s">
        <v>420</v>
      </c>
      <c r="V1152" s="1" t="s">
        <v>1527</v>
      </c>
      <c r="W1152" s="1">
        <v>60543.0</v>
      </c>
      <c r="Y1152" s="1" t="s">
        <v>12496</v>
      </c>
      <c r="Z1152" s="1">
        <v>2002.0</v>
      </c>
      <c r="AA1152" s="1" t="s">
        <v>200</v>
      </c>
      <c r="AB1152" s="1" t="s">
        <v>193</v>
      </c>
      <c r="AC1152" s="1" t="s">
        <v>12497</v>
      </c>
      <c r="AD1152" s="1" t="s">
        <v>1529</v>
      </c>
      <c r="AE1152" s="1" t="s">
        <v>849</v>
      </c>
      <c r="AF1152" s="1" t="s">
        <v>1312</v>
      </c>
      <c r="AH1152" s="1" t="s">
        <v>12498</v>
      </c>
      <c r="AI1152" s="1">
        <v>0.2361</v>
      </c>
      <c r="AK1152" s="1">
        <v>9.0</v>
      </c>
      <c r="AL1152" s="1">
        <v>4.0</v>
      </c>
      <c r="AM1152" s="1">
        <v>2.0</v>
      </c>
      <c r="AN1152" s="1">
        <v>1.0</v>
      </c>
      <c r="AO1152" s="1" t="s">
        <v>198</v>
      </c>
      <c r="AP1152" s="1">
        <v>1.0</v>
      </c>
      <c r="AQ1152" s="1" t="s">
        <v>198</v>
      </c>
      <c r="AR1152" s="1" t="s">
        <v>200</v>
      </c>
      <c r="AS1152" s="1" t="s">
        <v>199</v>
      </c>
      <c r="AT1152" s="1">
        <v>2.0</v>
      </c>
      <c r="AV1152" s="1" t="s">
        <v>200</v>
      </c>
      <c r="AW1152" s="1">
        <v>8227.74</v>
      </c>
      <c r="AX1152" s="1">
        <v>2012.0</v>
      </c>
      <c r="AY1152" s="1" t="s">
        <v>387</v>
      </c>
      <c r="AZ1152" s="1" t="s">
        <v>200</v>
      </c>
      <c r="BA1152" s="1" t="str">
        <f>"0213225008"</f>
        <v>0213225008</v>
      </c>
      <c r="BC1152" s="1">
        <v>2697.0</v>
      </c>
      <c r="BD1152" s="1">
        <v>300000.0</v>
      </c>
      <c r="BE1152" s="2">
        <v>42049.0</v>
      </c>
      <c r="BF1152" s="2" t="s">
        <v>12499</v>
      </c>
      <c r="BG1152" s="1" t="s">
        <v>4985</v>
      </c>
      <c r="BH1152" s="1">
        <v>200.0</v>
      </c>
      <c r="BI1152" s="1" t="s">
        <v>1348</v>
      </c>
      <c r="BJ1152" s="1" t="s">
        <v>1349</v>
      </c>
      <c r="BK1152" s="1" t="s">
        <v>580</v>
      </c>
      <c r="BL1152" s="1" t="str">
        <f t="shared" ref="BL1152:BM1152" si="767">""</f>
        <v/>
      </c>
      <c r="BM1152" s="1" t="str">
        <f t="shared" si="767"/>
        <v/>
      </c>
      <c r="BQ1152" s="1">
        <v>308.0</v>
      </c>
      <c r="BR1152" s="1">
        <v>308.0</v>
      </c>
      <c r="BS1152" s="1">
        <v>308.0</v>
      </c>
      <c r="BU1152" s="1" t="s">
        <v>211</v>
      </c>
      <c r="BV1152" s="1" t="s">
        <v>206</v>
      </c>
      <c r="BW1152" s="1" t="s">
        <v>210</v>
      </c>
      <c r="BY1152" s="1" t="s">
        <v>211</v>
      </c>
      <c r="BZ1152" s="1" t="s">
        <v>209</v>
      </c>
      <c r="CA1152" s="1" t="s">
        <v>210</v>
      </c>
      <c r="CC1152" s="1" t="s">
        <v>454</v>
      </c>
      <c r="CD1152" s="1" t="s">
        <v>206</v>
      </c>
      <c r="CE1152" s="1" t="s">
        <v>210</v>
      </c>
      <c r="CG1152" s="1" t="s">
        <v>302</v>
      </c>
      <c r="CH1152" s="1" t="s">
        <v>209</v>
      </c>
      <c r="CI1152" s="1" t="s">
        <v>210</v>
      </c>
      <c r="CK1152" s="1" t="s">
        <v>699</v>
      </c>
      <c r="CL1152" s="1" t="s">
        <v>209</v>
      </c>
      <c r="CM1152" s="1" t="s">
        <v>210</v>
      </c>
      <c r="CO1152" s="1" t="s">
        <v>264</v>
      </c>
      <c r="CP1152" s="1" t="s">
        <v>209</v>
      </c>
      <c r="CQ1152" s="1" t="s">
        <v>210</v>
      </c>
      <c r="CS1152" s="1" t="s">
        <v>1503</v>
      </c>
      <c r="CT1152" s="1" t="s">
        <v>206</v>
      </c>
      <c r="CU1152" s="1" t="s">
        <v>207</v>
      </c>
      <c r="CW1152" s="1" t="s">
        <v>477</v>
      </c>
      <c r="CX1152" s="1" t="s">
        <v>206</v>
      </c>
      <c r="CY1152" s="1" t="s">
        <v>207</v>
      </c>
      <c r="DA1152" s="1" t="s">
        <v>200</v>
      </c>
      <c r="DC1152" s="1" t="s">
        <v>335</v>
      </c>
      <c r="DD1152" s="1" t="s">
        <v>759</v>
      </c>
      <c r="DE1152" s="1" t="s">
        <v>273</v>
      </c>
      <c r="DF1152" s="1" t="s">
        <v>219</v>
      </c>
      <c r="DH1152" s="1" t="s">
        <v>220</v>
      </c>
      <c r="DI1152" s="1" t="s">
        <v>589</v>
      </c>
      <c r="DJ1152" s="1" t="s">
        <v>222</v>
      </c>
      <c r="DK1152" s="1" t="s">
        <v>223</v>
      </c>
      <c r="DL1152" s="1" t="s">
        <v>223</v>
      </c>
      <c r="DM1152" s="1" t="s">
        <v>338</v>
      </c>
      <c r="DP1152" s="1" t="s">
        <v>340</v>
      </c>
      <c r="DQ1152" s="1" t="s">
        <v>228</v>
      </c>
      <c r="DR1152" s="1" t="s">
        <v>229</v>
      </c>
      <c r="DS1152" s="1" t="s">
        <v>230</v>
      </c>
      <c r="DU1152" s="1" t="s">
        <v>2691</v>
      </c>
      <c r="DV1152" s="1" t="s">
        <v>494</v>
      </c>
      <c r="DW1152" s="1" t="s">
        <v>279</v>
      </c>
      <c r="DX1152" s="1" t="s">
        <v>234</v>
      </c>
      <c r="EA1152" s="1" t="s">
        <v>344</v>
      </c>
      <c r="EC1152" s="1" t="s">
        <v>237</v>
      </c>
      <c r="ED1152" s="1" t="s">
        <v>555</v>
      </c>
      <c r="EG1152" s="1" t="s">
        <v>494</v>
      </c>
      <c r="EL1152" s="1" t="s">
        <v>363</v>
      </c>
      <c r="EM1152" s="1" t="s">
        <v>206</v>
      </c>
      <c r="EN1152" s="1" t="s">
        <v>207</v>
      </c>
      <c r="EQ1152" s="1" t="s">
        <v>238</v>
      </c>
      <c r="EU1152" s="1" t="s">
        <v>238</v>
      </c>
      <c r="EY1152" s="1" t="s">
        <v>238</v>
      </c>
      <c r="FC1152" s="1" t="s">
        <v>238</v>
      </c>
      <c r="FF1152" s="1" t="s">
        <v>239</v>
      </c>
      <c r="FG1152" s="1" t="s">
        <v>192</v>
      </c>
      <c r="FH1152" s="1" t="s">
        <v>192</v>
      </c>
      <c r="FJ1152" s="1" t="s">
        <v>561</v>
      </c>
      <c r="FK1152" s="1" t="s">
        <v>229</v>
      </c>
      <c r="FL1152" s="1" t="s">
        <v>2580</v>
      </c>
      <c r="FM1152" s="1">
        <v>23265.0</v>
      </c>
      <c r="FN1152" s="1" t="s">
        <v>2581</v>
      </c>
      <c r="FO1152" s="1" t="s">
        <v>12500</v>
      </c>
      <c r="FP1152" s="1">
        <v>232884.0</v>
      </c>
      <c r="FQ1152" s="1" t="s">
        <v>12501</v>
      </c>
      <c r="FU1152" s="1" t="s">
        <v>4572</v>
      </c>
      <c r="FV1152" s="1" t="s">
        <v>200</v>
      </c>
      <c r="FW1152" s="1" t="s">
        <v>290</v>
      </c>
      <c r="FZ1152" s="1" t="s">
        <v>229</v>
      </c>
      <c r="GA1152" s="1" t="s">
        <v>291</v>
      </c>
      <c r="GB1152" s="2">
        <v>42146.0</v>
      </c>
      <c r="GC1152" s="1" t="s">
        <v>12502</v>
      </c>
    </row>
    <row r="1153">
      <c r="A1153" s="1">
        <v>295000.0</v>
      </c>
      <c r="B1153" s="1" t="s">
        <v>185</v>
      </c>
      <c r="C1153" s="1" t="str">
        <f>"08845849"</f>
        <v>08845849</v>
      </c>
      <c r="D1153" s="1" t="s">
        <v>186</v>
      </c>
      <c r="F1153" s="1" t="str">
        <f>"118"</f>
        <v>118</v>
      </c>
      <c r="G1153" s="2">
        <v>42059.0</v>
      </c>
      <c r="H1153" s="1">
        <v>315000.0</v>
      </c>
      <c r="I1153" s="1">
        <v>4.0</v>
      </c>
      <c r="J1153" s="1">
        <v>315000.0</v>
      </c>
      <c r="K1153" s="2">
        <v>42062.0</v>
      </c>
      <c r="L1153" s="1">
        <v>4.0</v>
      </c>
      <c r="M1153" s="2">
        <v>42062.0</v>
      </c>
      <c r="N1153" s="1" t="s">
        <v>187</v>
      </c>
      <c r="O1153" s="2">
        <v>42097.0</v>
      </c>
      <c r="P1153" s="1">
        <v>62952.0</v>
      </c>
      <c r="Q1153" s="1">
        <v>6426.0</v>
      </c>
      <c r="R1153" s="1">
        <v>2000.0</v>
      </c>
      <c r="S1153" s="1">
        <v>510.0</v>
      </c>
      <c r="T1153" s="1" t="s">
        <v>12503</v>
      </c>
      <c r="U1153" s="1" t="s">
        <v>320</v>
      </c>
      <c r="V1153" s="1" t="s">
        <v>1086</v>
      </c>
      <c r="W1153" s="1">
        <v>60118.0</v>
      </c>
      <c r="Y1153" s="1" t="s">
        <v>12504</v>
      </c>
      <c r="Z1153" s="1">
        <v>1891.0</v>
      </c>
      <c r="AA1153" s="1" t="s">
        <v>192</v>
      </c>
      <c r="AB1153" s="1" t="s">
        <v>193</v>
      </c>
      <c r="AC1153" s="1" t="s">
        <v>12505</v>
      </c>
      <c r="AD1153" s="1" t="s">
        <v>3394</v>
      </c>
      <c r="AE1153" s="1" t="s">
        <v>325</v>
      </c>
      <c r="AF1153" s="1" t="s">
        <v>810</v>
      </c>
      <c r="AG1153" s="1" t="s">
        <v>5103</v>
      </c>
      <c r="AH1153" s="1" t="s">
        <v>3987</v>
      </c>
      <c r="AI1153" s="1">
        <v>0.2</v>
      </c>
      <c r="AK1153" s="1">
        <v>10.0</v>
      </c>
      <c r="AL1153" s="1">
        <v>4.0</v>
      </c>
      <c r="AM1153" s="1">
        <v>3.0</v>
      </c>
      <c r="AN1153" s="1">
        <v>0.0</v>
      </c>
      <c r="AO1153" s="1" t="s">
        <v>198</v>
      </c>
      <c r="AP1153" s="1">
        <v>1.0</v>
      </c>
      <c r="AQ1153" s="1" t="s">
        <v>198</v>
      </c>
      <c r="AR1153" s="1" t="s">
        <v>200</v>
      </c>
      <c r="AS1153" s="1" t="s">
        <v>199</v>
      </c>
      <c r="AT1153" s="1">
        <v>2.0</v>
      </c>
      <c r="AV1153" s="1" t="s">
        <v>200</v>
      </c>
      <c r="AW1153" s="1">
        <v>5413.1</v>
      </c>
      <c r="AX1153" s="1">
        <v>2013.0</v>
      </c>
      <c r="AY1153" s="1" t="s">
        <v>387</v>
      </c>
      <c r="AZ1153" s="1" t="s">
        <v>200</v>
      </c>
      <c r="BA1153" s="1" t="str">
        <f>"0327235012"</f>
        <v>0327235012</v>
      </c>
      <c r="BB1153" s="1" t="s">
        <v>200</v>
      </c>
      <c r="BC1153" s="1">
        <v>1988.0</v>
      </c>
      <c r="BD1153" s="1">
        <v>295000.0</v>
      </c>
      <c r="BE1153" s="2">
        <v>42059.0</v>
      </c>
      <c r="BF1153" s="2" t="s">
        <v>12506</v>
      </c>
      <c r="BG1153" s="1" t="s">
        <v>3486</v>
      </c>
      <c r="BH1153" s="1">
        <v>0.0</v>
      </c>
      <c r="BI1153" s="1" t="s">
        <v>1093</v>
      </c>
      <c r="BJ1153" s="1" t="s">
        <v>1094</v>
      </c>
      <c r="BK1153" s="1" t="s">
        <v>204</v>
      </c>
      <c r="BL1153" s="1" t="str">
        <f>"15"</f>
        <v>15</v>
      </c>
      <c r="BM1153" s="1" t="str">
        <f>"0"</f>
        <v>0</v>
      </c>
      <c r="BN1153" s="1">
        <v>32.0</v>
      </c>
      <c r="BO1153" s="1">
        <v>0.0</v>
      </c>
      <c r="BQ1153" s="1">
        <v>300.0</v>
      </c>
      <c r="BR1153" s="1">
        <v>300.0</v>
      </c>
      <c r="BS1153" s="1">
        <v>300.0</v>
      </c>
      <c r="BU1153" s="1" t="s">
        <v>329</v>
      </c>
      <c r="BV1153" s="1" t="s">
        <v>206</v>
      </c>
      <c r="BW1153" s="1" t="s">
        <v>207</v>
      </c>
      <c r="BX1153" s="1" t="s">
        <v>431</v>
      </c>
      <c r="BY1153" s="1" t="s">
        <v>1117</v>
      </c>
      <c r="BZ1153" s="1" t="s">
        <v>209</v>
      </c>
      <c r="CA1153" s="1" t="s">
        <v>210</v>
      </c>
      <c r="CB1153" s="1" t="s">
        <v>431</v>
      </c>
      <c r="CC1153" s="1" t="s">
        <v>215</v>
      </c>
      <c r="CD1153" s="1" t="s">
        <v>206</v>
      </c>
      <c r="CE1153" s="1" t="s">
        <v>207</v>
      </c>
      <c r="CF1153" s="1" t="s">
        <v>431</v>
      </c>
      <c r="CG1153" s="1" t="s">
        <v>215</v>
      </c>
      <c r="CH1153" s="1" t="s">
        <v>209</v>
      </c>
      <c r="CI1153" s="1" t="s">
        <v>210</v>
      </c>
      <c r="CJ1153" s="1" t="s">
        <v>229</v>
      </c>
      <c r="CK1153" s="1" t="s">
        <v>332</v>
      </c>
      <c r="CL1153" s="1" t="s">
        <v>209</v>
      </c>
      <c r="CM1153" s="1" t="s">
        <v>210</v>
      </c>
      <c r="CN1153" s="1" t="s">
        <v>229</v>
      </c>
      <c r="CO1153" s="1" t="s">
        <v>699</v>
      </c>
      <c r="CP1153" s="1" t="s">
        <v>206</v>
      </c>
      <c r="CQ1153" s="1" t="s">
        <v>207</v>
      </c>
      <c r="CR1153" s="1" t="s">
        <v>431</v>
      </c>
      <c r="CS1153" s="1" t="s">
        <v>213</v>
      </c>
      <c r="CT1153" s="1" t="s">
        <v>206</v>
      </c>
      <c r="CU1153" s="1" t="s">
        <v>268</v>
      </c>
      <c r="CV1153" s="1" t="s">
        <v>229</v>
      </c>
      <c r="CW1153" s="1" t="s">
        <v>302</v>
      </c>
      <c r="CX1153" s="1" t="s">
        <v>42</v>
      </c>
      <c r="CY1153" s="1" t="s">
        <v>210</v>
      </c>
      <c r="CZ1153" s="1" t="s">
        <v>229</v>
      </c>
      <c r="DA1153" s="1" t="s">
        <v>200</v>
      </c>
      <c r="DC1153" s="1" t="s">
        <v>642</v>
      </c>
      <c r="DD1153" s="1" t="s">
        <v>217</v>
      </c>
      <c r="DE1153" s="1" t="s">
        <v>218</v>
      </c>
      <c r="DF1153" s="1" t="s">
        <v>546</v>
      </c>
      <c r="DG1153" s="1" t="s">
        <v>337</v>
      </c>
      <c r="DH1153" s="1" t="s">
        <v>220</v>
      </c>
      <c r="DI1153" s="1" t="s">
        <v>519</v>
      </c>
      <c r="DJ1153" s="1" t="s">
        <v>222</v>
      </c>
      <c r="DK1153" s="1" t="s">
        <v>223</v>
      </c>
      <c r="DL1153" s="1" t="s">
        <v>1870</v>
      </c>
      <c r="DM1153" s="1" t="s">
        <v>338</v>
      </c>
      <c r="DN1153" s="1" t="s">
        <v>548</v>
      </c>
      <c r="DO1153" s="1" t="s">
        <v>549</v>
      </c>
      <c r="DP1153" s="1" t="s">
        <v>340</v>
      </c>
      <c r="DQ1153" s="1" t="s">
        <v>228</v>
      </c>
      <c r="DR1153" s="1" t="s">
        <v>229</v>
      </c>
      <c r="DS1153" s="1" t="s">
        <v>368</v>
      </c>
      <c r="DU1153" s="1" t="s">
        <v>5827</v>
      </c>
      <c r="DV1153" s="1" t="s">
        <v>12507</v>
      </c>
      <c r="DW1153" s="1" t="s">
        <v>964</v>
      </c>
      <c r="DX1153" s="1" t="s">
        <v>234</v>
      </c>
      <c r="DY1153" s="1" t="s">
        <v>4467</v>
      </c>
      <c r="DZ1153" s="1" t="s">
        <v>1100</v>
      </c>
      <c r="EA1153" s="1" t="s">
        <v>3112</v>
      </c>
      <c r="EB1153" s="1" t="s">
        <v>2183</v>
      </c>
      <c r="EC1153" s="1" t="s">
        <v>237</v>
      </c>
      <c r="ED1153" s="1" t="s">
        <v>407</v>
      </c>
      <c r="EE1153" s="1" t="s">
        <v>1077</v>
      </c>
      <c r="EG1153" s="1" t="s">
        <v>1102</v>
      </c>
      <c r="EH1153" s="1" t="s">
        <v>341</v>
      </c>
      <c r="EI1153" s="1" t="s">
        <v>1961</v>
      </c>
      <c r="EL1153" s="1" t="s">
        <v>1396</v>
      </c>
      <c r="EM1153" s="1" t="s">
        <v>206</v>
      </c>
      <c r="EN1153" s="1" t="s">
        <v>301</v>
      </c>
      <c r="EO1153" s="1" t="s">
        <v>239</v>
      </c>
      <c r="EP1153" s="1" t="s">
        <v>363</v>
      </c>
      <c r="EQ1153" s="1" t="s">
        <v>209</v>
      </c>
      <c r="ER1153" s="1" t="s">
        <v>207</v>
      </c>
      <c r="ES1153" s="1" t="s">
        <v>229</v>
      </c>
      <c r="ET1153" s="1" t="s">
        <v>331</v>
      </c>
      <c r="EU1153" s="1" t="s">
        <v>206</v>
      </c>
      <c r="EV1153" s="1" t="s">
        <v>207</v>
      </c>
      <c r="EW1153" s="1" t="s">
        <v>431</v>
      </c>
      <c r="EY1153" s="1" t="s">
        <v>238</v>
      </c>
      <c r="FC1153" s="1" t="s">
        <v>238</v>
      </c>
      <c r="FF1153" s="1" t="s">
        <v>239</v>
      </c>
      <c r="FG1153" s="1" t="s">
        <v>192</v>
      </c>
      <c r="FH1153" s="1" t="s">
        <v>192</v>
      </c>
      <c r="FJ1153" s="1" t="s">
        <v>1419</v>
      </c>
      <c r="FK1153" s="1" t="s">
        <v>229</v>
      </c>
      <c r="FL1153" s="1" t="s">
        <v>3848</v>
      </c>
      <c r="FM1153" s="1">
        <v>432.0</v>
      </c>
      <c r="FN1153" s="1" t="s">
        <v>3849</v>
      </c>
      <c r="FO1153" s="1" t="s">
        <v>3850</v>
      </c>
      <c r="FP1153" s="1">
        <v>77389.0</v>
      </c>
      <c r="FQ1153" s="1" t="s">
        <v>3851</v>
      </c>
      <c r="FR1153" s="1">
        <v>655.0</v>
      </c>
      <c r="FS1153" s="1" t="s">
        <v>12508</v>
      </c>
      <c r="FU1153" s="1" t="s">
        <v>12509</v>
      </c>
      <c r="FV1153" s="1" t="s">
        <v>200</v>
      </c>
      <c r="FW1153" s="1" t="s">
        <v>290</v>
      </c>
      <c r="FX1153" s="1" t="s">
        <v>655</v>
      </c>
      <c r="FZ1153" s="1" t="s">
        <v>229</v>
      </c>
      <c r="GA1153" s="1" t="s">
        <v>291</v>
      </c>
      <c r="GB1153" s="2">
        <v>42100.0</v>
      </c>
      <c r="GC1153" s="1" t="s">
        <v>12510</v>
      </c>
    </row>
    <row r="1154">
      <c r="A1154" s="1">
        <v>254000.0</v>
      </c>
      <c r="B1154" s="1" t="s">
        <v>185</v>
      </c>
      <c r="C1154" s="1" t="str">
        <f>"08843123"</f>
        <v>08843123</v>
      </c>
      <c r="D1154" s="1" t="s">
        <v>186</v>
      </c>
      <c r="F1154" s="1" t="str">
        <f>"119"</f>
        <v>119</v>
      </c>
      <c r="G1154" s="2">
        <v>42055.0</v>
      </c>
      <c r="H1154" s="1">
        <v>258000.0</v>
      </c>
      <c r="I1154" s="1">
        <v>92.0</v>
      </c>
      <c r="J1154" s="1">
        <v>258000.0</v>
      </c>
      <c r="K1154" s="2">
        <v>42056.0</v>
      </c>
      <c r="L1154" s="1">
        <v>2.0</v>
      </c>
      <c r="M1154" s="2">
        <v>42056.0</v>
      </c>
      <c r="N1154" s="1" t="s">
        <v>187</v>
      </c>
      <c r="O1154" s="2">
        <v>42090.0</v>
      </c>
      <c r="P1154" s="1">
        <v>1016.0</v>
      </c>
      <c r="Q1154" s="1">
        <v>49.0</v>
      </c>
      <c r="S1154" s="1">
        <v>1075.0</v>
      </c>
      <c r="T1154" s="1" t="s">
        <v>12511</v>
      </c>
      <c r="U1154" s="1" t="s">
        <v>320</v>
      </c>
      <c r="V1154" s="1" t="s">
        <v>1476</v>
      </c>
      <c r="W1154" s="1">
        <v>60119.0</v>
      </c>
      <c r="Y1154" s="1" t="s">
        <v>12512</v>
      </c>
      <c r="Z1154" s="1">
        <v>2004.0</v>
      </c>
      <c r="AA1154" s="1" t="s">
        <v>200</v>
      </c>
      <c r="AB1154" s="1" t="s">
        <v>467</v>
      </c>
      <c r="AC1154" s="1" t="s">
        <v>2178</v>
      </c>
      <c r="AD1154" s="1" t="s">
        <v>1478</v>
      </c>
      <c r="AE1154" s="1" t="s">
        <v>325</v>
      </c>
      <c r="AF1154" s="1" t="s">
        <v>1632</v>
      </c>
      <c r="AH1154" s="1" t="s">
        <v>12513</v>
      </c>
      <c r="AI1154" s="1">
        <v>0.1848</v>
      </c>
      <c r="AK1154" s="1">
        <v>8.0</v>
      </c>
      <c r="AL1154" s="1">
        <v>4.0</v>
      </c>
      <c r="AM1154" s="1">
        <v>3.0</v>
      </c>
      <c r="AN1154" s="1">
        <v>1.0</v>
      </c>
      <c r="AO1154" s="1" t="s">
        <v>198</v>
      </c>
      <c r="AP1154" s="1">
        <v>1.0</v>
      </c>
      <c r="AQ1154" s="1" t="s">
        <v>198</v>
      </c>
      <c r="AR1154" s="1" t="s">
        <v>192</v>
      </c>
      <c r="AS1154" s="1" t="s">
        <v>199</v>
      </c>
      <c r="AT1154" s="1">
        <v>2.5</v>
      </c>
      <c r="AV1154" s="1" t="s">
        <v>200</v>
      </c>
      <c r="AW1154" s="1">
        <v>6001.12</v>
      </c>
      <c r="AX1154" s="1">
        <v>2013.0</v>
      </c>
      <c r="AY1154" s="1" t="s">
        <v>1179</v>
      </c>
      <c r="AZ1154" s="1" t="s">
        <v>200</v>
      </c>
      <c r="BA1154" s="1" t="str">
        <f>"1108179003"</f>
        <v>1108179003</v>
      </c>
      <c r="BB1154" s="1" t="s">
        <v>200</v>
      </c>
      <c r="BC1154" s="1">
        <v>2700.0</v>
      </c>
      <c r="BD1154" s="1">
        <v>254000.0</v>
      </c>
      <c r="BE1154" s="2">
        <v>42055.0</v>
      </c>
      <c r="BF1154" s="2" t="s">
        <v>12514</v>
      </c>
      <c r="BH1154" s="1">
        <v>213.0</v>
      </c>
      <c r="BK1154" s="1" t="s">
        <v>580</v>
      </c>
      <c r="BL1154" s="1" t="str">
        <f t="shared" ref="BL1154:BM1154" si="768">""</f>
        <v/>
      </c>
      <c r="BM1154" s="1" t="str">
        <f t="shared" si="768"/>
        <v/>
      </c>
      <c r="BQ1154" s="1">
        <v>302.0</v>
      </c>
      <c r="BR1154" s="1">
        <v>302.0</v>
      </c>
      <c r="BS1154" s="1">
        <v>302.0</v>
      </c>
      <c r="BU1154" s="1" t="s">
        <v>1534</v>
      </c>
      <c r="BV1154" s="1" t="s">
        <v>206</v>
      </c>
      <c r="BW1154" s="1" t="s">
        <v>210</v>
      </c>
      <c r="BX1154" s="1" t="s">
        <v>261</v>
      </c>
      <c r="BY1154" s="1" t="s">
        <v>4469</v>
      </c>
      <c r="BZ1154" s="1" t="s">
        <v>209</v>
      </c>
      <c r="CA1154" s="1" t="s">
        <v>210</v>
      </c>
      <c r="CB1154" s="1" t="s">
        <v>261</v>
      </c>
      <c r="CC1154" s="1" t="s">
        <v>2120</v>
      </c>
      <c r="CD1154" s="1" t="s">
        <v>206</v>
      </c>
      <c r="CE1154" s="1" t="s">
        <v>210</v>
      </c>
      <c r="CF1154" s="1" t="s">
        <v>261</v>
      </c>
      <c r="CG1154" s="1" t="s">
        <v>329</v>
      </c>
      <c r="CH1154" s="1" t="s">
        <v>209</v>
      </c>
      <c r="CI1154" s="1" t="s">
        <v>210</v>
      </c>
      <c r="CJ1154" s="1" t="s">
        <v>261</v>
      </c>
      <c r="CK1154" s="1" t="s">
        <v>264</v>
      </c>
      <c r="CL1154" s="1" t="s">
        <v>209</v>
      </c>
      <c r="CM1154" s="1" t="s">
        <v>210</v>
      </c>
      <c r="CN1154" s="1" t="s">
        <v>431</v>
      </c>
      <c r="CO1154" s="1" t="s">
        <v>269</v>
      </c>
      <c r="CP1154" s="1" t="s">
        <v>209</v>
      </c>
      <c r="CQ1154" s="1" t="s">
        <v>210</v>
      </c>
      <c r="CR1154" s="1" t="s">
        <v>1549</v>
      </c>
      <c r="CS1154" s="1" t="s">
        <v>769</v>
      </c>
      <c r="CT1154" s="1" t="s">
        <v>206</v>
      </c>
      <c r="CU1154" s="1" t="s">
        <v>301</v>
      </c>
      <c r="CV1154" s="1" t="s">
        <v>431</v>
      </c>
      <c r="CX1154" s="1" t="s">
        <v>204</v>
      </c>
      <c r="DA1154" s="1" t="s">
        <v>200</v>
      </c>
      <c r="DC1154" s="1" t="s">
        <v>335</v>
      </c>
      <c r="DD1154" s="1" t="s">
        <v>786</v>
      </c>
      <c r="DE1154" s="1" t="s">
        <v>273</v>
      </c>
      <c r="DF1154" s="1" t="s">
        <v>219</v>
      </c>
      <c r="DG1154" s="1" t="s">
        <v>5528</v>
      </c>
      <c r="DH1154" s="1" t="s">
        <v>220</v>
      </c>
      <c r="DI1154" s="1" t="s">
        <v>221</v>
      </c>
      <c r="DJ1154" s="1" t="s">
        <v>222</v>
      </c>
      <c r="DL1154" s="1" t="s">
        <v>224</v>
      </c>
      <c r="DM1154" s="1" t="s">
        <v>4610</v>
      </c>
      <c r="DN1154" s="1" t="s">
        <v>1486</v>
      </c>
      <c r="DO1154" s="1" t="s">
        <v>486</v>
      </c>
      <c r="DP1154" s="1" t="s">
        <v>276</v>
      </c>
      <c r="DQ1154" s="1" t="s">
        <v>228</v>
      </c>
      <c r="DR1154" s="1" t="s">
        <v>12515</v>
      </c>
      <c r="DS1154" s="1" t="s">
        <v>591</v>
      </c>
      <c r="DU1154" s="1" t="s">
        <v>12516</v>
      </c>
      <c r="DV1154" s="1" t="s">
        <v>12517</v>
      </c>
      <c r="DW1154" s="1" t="s">
        <v>233</v>
      </c>
      <c r="DX1154" s="1" t="s">
        <v>234</v>
      </c>
      <c r="DY1154" s="1" t="s">
        <v>12518</v>
      </c>
      <c r="DZ1154" s="1" t="s">
        <v>236</v>
      </c>
      <c r="EB1154" s="1" t="s">
        <v>684</v>
      </c>
      <c r="EC1154" s="1" t="s">
        <v>237</v>
      </c>
      <c r="ED1154" s="1" t="s">
        <v>864</v>
      </c>
      <c r="EG1154" s="1" t="s">
        <v>720</v>
      </c>
      <c r="EH1154" s="1" t="s">
        <v>310</v>
      </c>
      <c r="EI1154" s="1" t="s">
        <v>341</v>
      </c>
      <c r="EL1154" s="1" t="s">
        <v>1774</v>
      </c>
      <c r="EM1154" s="1" t="s">
        <v>206</v>
      </c>
      <c r="EP1154" s="1" t="s">
        <v>11283</v>
      </c>
      <c r="EQ1154" s="1" t="s">
        <v>206</v>
      </c>
      <c r="ET1154" s="1" t="s">
        <v>1000</v>
      </c>
      <c r="EU1154" s="1" t="s">
        <v>209</v>
      </c>
      <c r="EW1154" s="1" t="s">
        <v>431</v>
      </c>
      <c r="EY1154" s="1" t="s">
        <v>238</v>
      </c>
      <c r="FC1154" s="1" t="s">
        <v>238</v>
      </c>
      <c r="FF1154" s="1" t="s">
        <v>239</v>
      </c>
      <c r="FG1154" s="1" t="s">
        <v>192</v>
      </c>
      <c r="FH1154" s="1" t="s">
        <v>192</v>
      </c>
      <c r="FJ1154" s="1" t="s">
        <v>624</v>
      </c>
      <c r="FK1154" s="1" t="s">
        <v>229</v>
      </c>
      <c r="FL1154" s="1" t="s">
        <v>456</v>
      </c>
      <c r="FM1154" s="1">
        <v>49.0</v>
      </c>
      <c r="FN1154" s="1" t="s">
        <v>457</v>
      </c>
      <c r="FO1154" s="1" t="s">
        <v>9307</v>
      </c>
      <c r="FP1154" s="1">
        <v>8384.0</v>
      </c>
      <c r="FS1154" s="1" t="s">
        <v>9308</v>
      </c>
      <c r="FU1154" s="1" t="s">
        <v>12519</v>
      </c>
      <c r="FV1154" s="1" t="s">
        <v>200</v>
      </c>
      <c r="FW1154" s="1" t="s">
        <v>290</v>
      </c>
      <c r="FZ1154" s="1" t="s">
        <v>229</v>
      </c>
      <c r="GA1154" s="1" t="s">
        <v>291</v>
      </c>
      <c r="GB1154" s="2">
        <v>42090.0</v>
      </c>
      <c r="GC1154" s="1" t="s">
        <v>12520</v>
      </c>
    </row>
    <row r="1155">
      <c r="A1155" s="1">
        <v>240220.0</v>
      </c>
      <c r="B1155" s="1" t="s">
        <v>185</v>
      </c>
      <c r="C1155" s="1" t="str">
        <f>"08840890"</f>
        <v>08840890</v>
      </c>
      <c r="D1155" s="1" t="s">
        <v>186</v>
      </c>
      <c r="F1155" s="1" t="str">
        <f>"538"</f>
        <v>538</v>
      </c>
      <c r="G1155" s="2">
        <v>42052.0</v>
      </c>
      <c r="H1155" s="1">
        <v>249000.0</v>
      </c>
      <c r="I1155" s="1">
        <v>10.0</v>
      </c>
      <c r="J1155" s="1">
        <v>249000.0</v>
      </c>
      <c r="K1155" s="2">
        <v>42061.0</v>
      </c>
      <c r="L1155" s="1">
        <v>10.0</v>
      </c>
      <c r="M1155" s="2">
        <v>42061.0</v>
      </c>
      <c r="N1155" s="1" t="s">
        <v>187</v>
      </c>
      <c r="O1155" s="2">
        <v>42104.0</v>
      </c>
      <c r="P1155" s="1">
        <v>701599.0</v>
      </c>
      <c r="Q1155" s="1">
        <v>70332.0</v>
      </c>
      <c r="S1155" s="1">
        <v>3132.0</v>
      </c>
      <c r="T1155" s="1" t="s">
        <v>12521</v>
      </c>
      <c r="U1155" s="1" t="s">
        <v>844</v>
      </c>
      <c r="V1155" s="1" t="s">
        <v>1340</v>
      </c>
      <c r="W1155" s="1">
        <v>60538.0</v>
      </c>
      <c r="Y1155" s="1" t="s">
        <v>12522</v>
      </c>
      <c r="Z1155" s="1">
        <v>2007.0</v>
      </c>
      <c r="AA1155" s="1" t="s">
        <v>200</v>
      </c>
      <c r="AB1155" s="1" t="s">
        <v>467</v>
      </c>
      <c r="AC1155" s="1" t="s">
        <v>6926</v>
      </c>
      <c r="AD1155" s="1" t="s">
        <v>1343</v>
      </c>
      <c r="AE1155" s="1" t="s">
        <v>849</v>
      </c>
      <c r="AF1155" s="1" t="s">
        <v>1312</v>
      </c>
      <c r="AH1155" s="1" t="s">
        <v>12523</v>
      </c>
      <c r="AI1155" s="1">
        <v>0.24</v>
      </c>
      <c r="AK1155" s="1">
        <v>12.0</v>
      </c>
      <c r="AL1155" s="1">
        <v>4.0</v>
      </c>
      <c r="AM1155" s="1">
        <v>3.0</v>
      </c>
      <c r="AN1155" s="1">
        <v>1.0</v>
      </c>
      <c r="AO1155" s="1" t="s">
        <v>198</v>
      </c>
      <c r="AP1155" s="1">
        <v>1.0</v>
      </c>
      <c r="AQ1155" s="1" t="s">
        <v>198</v>
      </c>
      <c r="AR1155" s="1" t="s">
        <v>192</v>
      </c>
      <c r="AS1155" s="1" t="s">
        <v>199</v>
      </c>
      <c r="AT1155" s="1">
        <v>2.0</v>
      </c>
      <c r="AV1155" s="1" t="s">
        <v>200</v>
      </c>
      <c r="AW1155" s="1">
        <v>6648.0</v>
      </c>
      <c r="AX1155" s="1">
        <v>2013.0</v>
      </c>
      <c r="AY1155" s="1" t="s">
        <v>387</v>
      </c>
      <c r="AZ1155" s="1" t="s">
        <v>200</v>
      </c>
      <c r="BA1155" s="1" t="str">
        <f>"0203484009"</f>
        <v>0203484009</v>
      </c>
      <c r="BB1155" s="1" t="s">
        <v>200</v>
      </c>
      <c r="BC1155" s="1">
        <v>2415.0</v>
      </c>
      <c r="BD1155" s="1">
        <v>240220.0</v>
      </c>
      <c r="BE1155" s="2">
        <v>42052.0</v>
      </c>
      <c r="BF1155" s="2" t="s">
        <v>12524</v>
      </c>
      <c r="BG1155" s="1" t="s">
        <v>4624</v>
      </c>
      <c r="BH1155" s="1">
        <v>360.0</v>
      </c>
      <c r="BI1155" s="1" t="s">
        <v>3052</v>
      </c>
      <c r="BJ1155" s="1" t="s">
        <v>3053</v>
      </c>
      <c r="BK1155" s="1" t="s">
        <v>580</v>
      </c>
      <c r="BL1155" s="1" t="str">
        <f t="shared" ref="BL1155:BM1155" si="769">""</f>
        <v/>
      </c>
      <c r="BM1155" s="1" t="str">
        <f t="shared" si="769"/>
        <v/>
      </c>
      <c r="BQ1155" s="1">
        <v>115.0</v>
      </c>
      <c r="BR1155" s="1">
        <v>115.0</v>
      </c>
      <c r="BS1155" s="1">
        <v>115.0</v>
      </c>
      <c r="BU1155" s="1" t="s">
        <v>700</v>
      </c>
      <c r="BV1155" s="1" t="s">
        <v>206</v>
      </c>
      <c r="BW1155" s="1" t="s">
        <v>301</v>
      </c>
      <c r="BY1155" s="1" t="s">
        <v>2800</v>
      </c>
      <c r="BZ1155" s="1" t="s">
        <v>209</v>
      </c>
      <c r="CA1155" s="1" t="s">
        <v>210</v>
      </c>
      <c r="CC1155" s="1" t="s">
        <v>542</v>
      </c>
      <c r="CD1155" s="1" t="s">
        <v>206</v>
      </c>
      <c r="CE1155" s="1" t="s">
        <v>301</v>
      </c>
      <c r="CG1155" s="1" t="s">
        <v>495</v>
      </c>
      <c r="CH1155" s="1" t="s">
        <v>209</v>
      </c>
      <c r="CI1155" s="1" t="s">
        <v>210</v>
      </c>
      <c r="CK1155" s="1" t="s">
        <v>264</v>
      </c>
      <c r="CL1155" s="1" t="s">
        <v>209</v>
      </c>
      <c r="CM1155" s="1" t="s">
        <v>210</v>
      </c>
      <c r="CO1155" s="1" t="s">
        <v>269</v>
      </c>
      <c r="CP1155" s="1" t="s">
        <v>209</v>
      </c>
      <c r="CQ1155" s="1" t="s">
        <v>210</v>
      </c>
      <c r="CS1155" s="1" t="s">
        <v>1000</v>
      </c>
      <c r="CT1155" s="1" t="s">
        <v>206</v>
      </c>
      <c r="CU1155" s="1" t="s">
        <v>301</v>
      </c>
      <c r="CW1155" s="1" t="s">
        <v>1483</v>
      </c>
      <c r="CX1155" s="1" t="s">
        <v>206</v>
      </c>
      <c r="CY1155" s="1" t="s">
        <v>301</v>
      </c>
      <c r="DA1155" s="1" t="s">
        <v>200</v>
      </c>
      <c r="DC1155" s="1" t="s">
        <v>481</v>
      </c>
      <c r="DD1155" s="1" t="s">
        <v>586</v>
      </c>
      <c r="DE1155" s="1" t="s">
        <v>273</v>
      </c>
      <c r="DF1155" s="1" t="s">
        <v>219</v>
      </c>
      <c r="DG1155" s="1" t="s">
        <v>337</v>
      </c>
      <c r="DH1155" s="1" t="s">
        <v>220</v>
      </c>
      <c r="DI1155" s="1" t="s">
        <v>519</v>
      </c>
      <c r="DJ1155" s="1" t="s">
        <v>222</v>
      </c>
      <c r="DK1155" s="1" t="s">
        <v>223</v>
      </c>
      <c r="DL1155" s="1" t="s">
        <v>224</v>
      </c>
      <c r="DM1155" s="1" t="s">
        <v>338</v>
      </c>
      <c r="DN1155" s="1" t="s">
        <v>485</v>
      </c>
      <c r="DO1155" s="1" t="s">
        <v>717</v>
      </c>
      <c r="DP1155" s="1" t="s">
        <v>276</v>
      </c>
      <c r="DQ1155" s="1" t="s">
        <v>228</v>
      </c>
      <c r="DR1155" s="1" t="s">
        <v>229</v>
      </c>
      <c r="DU1155" s="1" t="s">
        <v>2464</v>
      </c>
      <c r="DV1155" s="1" t="s">
        <v>12525</v>
      </c>
      <c r="DW1155" s="1" t="s">
        <v>233</v>
      </c>
      <c r="DX1155" s="1" t="s">
        <v>234</v>
      </c>
      <c r="DY1155" s="1" t="s">
        <v>12526</v>
      </c>
      <c r="DZ1155" s="1" t="s">
        <v>12527</v>
      </c>
      <c r="EB1155" s="1" t="s">
        <v>492</v>
      </c>
      <c r="EC1155" s="1" t="s">
        <v>237</v>
      </c>
      <c r="ED1155" s="1" t="s">
        <v>407</v>
      </c>
      <c r="EG1155" s="1" t="s">
        <v>494</v>
      </c>
      <c r="EH1155" s="1" t="s">
        <v>557</v>
      </c>
      <c r="EI1155" s="1" t="s">
        <v>450</v>
      </c>
      <c r="EJ1155" s="1" t="s">
        <v>451</v>
      </c>
      <c r="EL1155" s="1" t="s">
        <v>269</v>
      </c>
      <c r="EM1155" s="1" t="s">
        <v>206</v>
      </c>
      <c r="EN1155" s="1" t="s">
        <v>301</v>
      </c>
      <c r="EP1155" s="1" t="s">
        <v>332</v>
      </c>
      <c r="EQ1155" s="1" t="s">
        <v>42</v>
      </c>
      <c r="ER1155" s="1" t="s">
        <v>210</v>
      </c>
      <c r="ET1155" s="1" t="s">
        <v>260</v>
      </c>
      <c r="EU1155" s="1" t="s">
        <v>42</v>
      </c>
      <c r="EV1155" s="1" t="s">
        <v>210</v>
      </c>
      <c r="EX1155" s="1" t="s">
        <v>1891</v>
      </c>
      <c r="EY1155" s="1" t="s">
        <v>42</v>
      </c>
      <c r="EZ1155" s="1" t="s">
        <v>210</v>
      </c>
      <c r="FC1155" s="1" t="s">
        <v>238</v>
      </c>
      <c r="FF1155" s="1" t="s">
        <v>239</v>
      </c>
      <c r="FG1155" s="1" t="s">
        <v>192</v>
      </c>
      <c r="FH1155" s="1" t="s">
        <v>192</v>
      </c>
      <c r="FJ1155" s="1" t="s">
        <v>498</v>
      </c>
      <c r="FK1155" s="1" t="s">
        <v>229</v>
      </c>
      <c r="FL1155" s="1" t="s">
        <v>893</v>
      </c>
      <c r="FM1155" s="1">
        <v>604.0</v>
      </c>
      <c r="FN1155" s="1" t="s">
        <v>894</v>
      </c>
      <c r="FO1155" s="1" t="s">
        <v>895</v>
      </c>
      <c r="FP1155" s="1">
        <v>381.0</v>
      </c>
      <c r="FQ1155" s="1" t="s">
        <v>896</v>
      </c>
      <c r="FU1155" s="1" t="s">
        <v>5997</v>
      </c>
      <c r="FV1155" s="1" t="s">
        <v>200</v>
      </c>
      <c r="FW1155" s="1" t="s">
        <v>290</v>
      </c>
      <c r="FZ1155" s="1" t="s">
        <v>229</v>
      </c>
      <c r="GA1155" s="1" t="s">
        <v>291</v>
      </c>
      <c r="GB1155" s="2">
        <v>42105.0</v>
      </c>
      <c r="GC1155" s="1" t="s">
        <v>12528</v>
      </c>
    </row>
    <row r="1156">
      <c r="A1156" s="1">
        <v>105000.0</v>
      </c>
      <c r="B1156" s="1" t="s">
        <v>185</v>
      </c>
      <c r="C1156" s="1" t="str">
        <f>"08840045"</f>
        <v>08840045</v>
      </c>
      <c r="D1156" s="1" t="s">
        <v>186</v>
      </c>
      <c r="F1156" s="1" t="str">
        <f>"8019"</f>
        <v>8019</v>
      </c>
      <c r="G1156" s="2">
        <v>42051.0</v>
      </c>
      <c r="H1156" s="1">
        <v>99900.0</v>
      </c>
      <c r="I1156" s="1">
        <v>5.0</v>
      </c>
      <c r="J1156" s="1">
        <v>99900.0</v>
      </c>
      <c r="K1156" s="2">
        <v>42055.0</v>
      </c>
      <c r="L1156" s="1">
        <v>5.0</v>
      </c>
      <c r="M1156" s="2">
        <v>42055.0</v>
      </c>
      <c r="N1156" s="1" t="s">
        <v>249</v>
      </c>
      <c r="O1156" s="2">
        <v>42065.0</v>
      </c>
      <c r="P1156" s="1">
        <v>148005.0</v>
      </c>
      <c r="Q1156" s="1">
        <v>16446.0</v>
      </c>
      <c r="S1156" s="1">
        <v>2211.0</v>
      </c>
      <c r="T1156" s="1" t="s">
        <v>2343</v>
      </c>
      <c r="U1156" s="1" t="s">
        <v>189</v>
      </c>
      <c r="V1156" s="1" t="s">
        <v>190</v>
      </c>
      <c r="W1156" s="1">
        <v>60639.0</v>
      </c>
      <c r="Y1156" s="1" t="s">
        <v>12529</v>
      </c>
      <c r="Z1156" s="1">
        <v>1924.0</v>
      </c>
      <c r="AA1156" s="1" t="s">
        <v>192</v>
      </c>
      <c r="AB1156" s="1" t="s">
        <v>193</v>
      </c>
      <c r="AD1156" s="1" t="s">
        <v>194</v>
      </c>
      <c r="AE1156" s="1" t="s">
        <v>195</v>
      </c>
      <c r="AF1156" s="1" t="s">
        <v>196</v>
      </c>
      <c r="AH1156" s="1" t="s">
        <v>359</v>
      </c>
      <c r="AI1156" s="1">
        <v>0.0861</v>
      </c>
      <c r="AK1156" s="1">
        <v>8.0</v>
      </c>
      <c r="AL1156" s="1">
        <v>3.0</v>
      </c>
      <c r="AM1156" s="1">
        <v>2.0</v>
      </c>
      <c r="AN1156" s="1">
        <v>0.0</v>
      </c>
      <c r="AO1156" s="1" t="s">
        <v>229</v>
      </c>
      <c r="AP1156" s="1">
        <v>1.0</v>
      </c>
      <c r="AQ1156" s="1" t="s">
        <v>198</v>
      </c>
      <c r="AR1156" s="1" t="s">
        <v>192</v>
      </c>
      <c r="AS1156" s="1" t="s">
        <v>199</v>
      </c>
      <c r="AT1156" s="1">
        <v>1.0</v>
      </c>
      <c r="AV1156" s="1" t="s">
        <v>200</v>
      </c>
      <c r="AW1156" s="1">
        <v>550.93</v>
      </c>
      <c r="AX1156" s="1">
        <v>2012.0</v>
      </c>
      <c r="AZ1156" s="1" t="s">
        <v>200</v>
      </c>
      <c r="BA1156" s="1" t="str">
        <f>"13321100260000"</f>
        <v>13321100260000</v>
      </c>
      <c r="BC1156" s="1">
        <v>1500.0</v>
      </c>
      <c r="BD1156" s="1">
        <v>105000.0</v>
      </c>
      <c r="BE1156" s="2">
        <v>42051.0</v>
      </c>
      <c r="BF1156" s="1" t="s">
        <v>12530</v>
      </c>
      <c r="BH1156" s="1">
        <v>0.0</v>
      </c>
      <c r="BK1156" s="1" t="s">
        <v>204</v>
      </c>
      <c r="BL1156" s="1" t="str">
        <f>"2211"</f>
        <v>2211</v>
      </c>
      <c r="BM1156" s="1" t="str">
        <f t="shared" ref="BM1156:BM1157" si="770">"0"</f>
        <v>0</v>
      </c>
      <c r="BN1156" s="1">
        <v>6500.0</v>
      </c>
      <c r="BO1156" s="1">
        <v>0.0</v>
      </c>
      <c r="BQ1156" s="1">
        <v>299.0</v>
      </c>
      <c r="BR1156" s="1">
        <v>299.0</v>
      </c>
      <c r="BS1156" s="1">
        <v>299.0</v>
      </c>
      <c r="BU1156" s="1" t="s">
        <v>2219</v>
      </c>
      <c r="BV1156" s="1" t="s">
        <v>206</v>
      </c>
      <c r="BY1156" s="1" t="s">
        <v>495</v>
      </c>
      <c r="BZ1156" s="1" t="s">
        <v>206</v>
      </c>
      <c r="CC1156" s="1" t="s">
        <v>663</v>
      </c>
      <c r="CD1156" s="1" t="s">
        <v>206</v>
      </c>
      <c r="CG1156" s="1" t="s">
        <v>516</v>
      </c>
      <c r="CH1156" s="1" t="s">
        <v>206</v>
      </c>
      <c r="CK1156" s="1" t="s">
        <v>798</v>
      </c>
      <c r="CL1156" s="1" t="s">
        <v>206</v>
      </c>
      <c r="CO1156" s="1" t="s">
        <v>1746</v>
      </c>
      <c r="CP1156" s="1" t="s">
        <v>42</v>
      </c>
      <c r="CS1156" s="1" t="s">
        <v>269</v>
      </c>
      <c r="CT1156" s="1" t="s">
        <v>206</v>
      </c>
      <c r="CX1156" s="1" t="s">
        <v>204</v>
      </c>
      <c r="DA1156" s="1" t="s">
        <v>200</v>
      </c>
      <c r="DC1156" s="1" t="s">
        <v>216</v>
      </c>
      <c r="DE1156" s="1" t="s">
        <v>1139</v>
      </c>
      <c r="DF1156" s="1" t="s">
        <v>372</v>
      </c>
      <c r="DH1156" s="1" t="s">
        <v>365</v>
      </c>
      <c r="DJ1156" s="1" t="s">
        <v>222</v>
      </c>
      <c r="DL1156" s="1" t="s">
        <v>223</v>
      </c>
      <c r="DM1156" s="1" t="s">
        <v>229</v>
      </c>
      <c r="DQ1156" s="1" t="s">
        <v>228</v>
      </c>
      <c r="DR1156" s="1" t="s">
        <v>229</v>
      </c>
      <c r="DV1156" s="1" t="s">
        <v>557</v>
      </c>
      <c r="DW1156" s="1" t="s">
        <v>279</v>
      </c>
      <c r="DX1156" s="1" t="s">
        <v>234</v>
      </c>
      <c r="EC1156" s="1" t="s">
        <v>237</v>
      </c>
      <c r="EG1156" s="1" t="s">
        <v>557</v>
      </c>
      <c r="EL1156" s="1" t="s">
        <v>12531</v>
      </c>
      <c r="EM1156" s="1" t="s">
        <v>209</v>
      </c>
      <c r="EQ1156" s="1" t="s">
        <v>238</v>
      </c>
      <c r="EU1156" s="1" t="s">
        <v>238</v>
      </c>
      <c r="EY1156" s="1" t="s">
        <v>238</v>
      </c>
      <c r="FC1156" s="1" t="s">
        <v>238</v>
      </c>
      <c r="FF1156" s="1" t="s">
        <v>239</v>
      </c>
      <c r="FG1156" s="1" t="s">
        <v>192</v>
      </c>
      <c r="FH1156" s="1" t="s">
        <v>192</v>
      </c>
      <c r="FJ1156" s="1" t="s">
        <v>799</v>
      </c>
      <c r="FK1156" s="1" t="s">
        <v>229</v>
      </c>
      <c r="FL1156" s="1" t="s">
        <v>12532</v>
      </c>
      <c r="FM1156" s="1">
        <v>26013.0</v>
      </c>
      <c r="FN1156" s="1" t="s">
        <v>12533</v>
      </c>
      <c r="FO1156" s="1" t="s">
        <v>12534</v>
      </c>
      <c r="FP1156" s="1">
        <v>238305.0</v>
      </c>
      <c r="FU1156" s="1" t="s">
        <v>12535</v>
      </c>
      <c r="FV1156" s="1" t="s">
        <v>200</v>
      </c>
      <c r="FW1156" s="1" t="s">
        <v>12536</v>
      </c>
      <c r="FX1156" s="1" t="s">
        <v>238</v>
      </c>
      <c r="FZ1156" s="1" t="s">
        <v>229</v>
      </c>
      <c r="GA1156" s="1" t="s">
        <v>291</v>
      </c>
      <c r="GB1156" s="2">
        <v>42065.0</v>
      </c>
      <c r="GC1156" s="1" t="s">
        <v>12537</v>
      </c>
    </row>
    <row r="1157">
      <c r="A1157" s="1">
        <v>1349000.0</v>
      </c>
      <c r="B1157" s="1" t="s">
        <v>185</v>
      </c>
      <c r="C1157" s="1" t="str">
        <f>"08840383"</f>
        <v>08840383</v>
      </c>
      <c r="D1157" s="1" t="s">
        <v>186</v>
      </c>
      <c r="F1157" s="1" t="str">
        <f>"8006"</f>
        <v>8006</v>
      </c>
      <c r="G1157" s="2">
        <v>42052.0</v>
      </c>
      <c r="H1157" s="1">
        <v>1349000.0</v>
      </c>
      <c r="I1157" s="1">
        <v>249.0</v>
      </c>
      <c r="J1157" s="1">
        <v>1349000.0</v>
      </c>
      <c r="K1157" s="2">
        <v>42060.0</v>
      </c>
      <c r="L1157" s="1">
        <v>9.0</v>
      </c>
      <c r="M1157" s="2">
        <v>42060.0</v>
      </c>
      <c r="N1157" s="1" t="s">
        <v>187</v>
      </c>
      <c r="O1157" s="2">
        <v>42125.0</v>
      </c>
      <c r="P1157" s="1">
        <v>124168.0</v>
      </c>
      <c r="Q1157" s="1">
        <v>10115.0</v>
      </c>
      <c r="S1157" s="1">
        <v>1513.0</v>
      </c>
      <c r="T1157" s="1" t="s">
        <v>419</v>
      </c>
      <c r="U1157" s="1" t="s">
        <v>189</v>
      </c>
      <c r="V1157" s="1" t="s">
        <v>190</v>
      </c>
      <c r="W1157" s="1">
        <v>60657.0</v>
      </c>
      <c r="Y1157" s="1" t="s">
        <v>12538</v>
      </c>
      <c r="Z1157" s="1">
        <v>2003.0</v>
      </c>
      <c r="AA1157" s="1" t="s">
        <v>200</v>
      </c>
      <c r="AB1157" s="1" t="s">
        <v>193</v>
      </c>
      <c r="AD1157" s="1" t="s">
        <v>194</v>
      </c>
      <c r="AE1157" s="1" t="s">
        <v>195</v>
      </c>
      <c r="AF1157" s="1" t="s">
        <v>534</v>
      </c>
      <c r="AH1157" s="1" t="s">
        <v>741</v>
      </c>
      <c r="AI1157" s="1">
        <v>0.0717</v>
      </c>
      <c r="AK1157" s="1">
        <v>10.0</v>
      </c>
      <c r="AL1157" s="1">
        <v>4.0</v>
      </c>
      <c r="AM1157" s="1">
        <v>3.0</v>
      </c>
      <c r="AN1157" s="1">
        <v>2.0</v>
      </c>
      <c r="AO1157" s="1" t="s">
        <v>198</v>
      </c>
      <c r="AP1157" s="1">
        <v>1.0</v>
      </c>
      <c r="AQ1157" s="1" t="s">
        <v>472</v>
      </c>
      <c r="AR1157" s="1" t="s">
        <v>192</v>
      </c>
      <c r="AS1157" s="1" t="s">
        <v>199</v>
      </c>
      <c r="AT1157" s="1">
        <v>2.0</v>
      </c>
      <c r="AV1157" s="1" t="s">
        <v>200</v>
      </c>
      <c r="AW1157" s="1">
        <v>20799.0</v>
      </c>
      <c r="AX1157" s="1">
        <v>2013.0</v>
      </c>
      <c r="AY1157" s="1" t="s">
        <v>387</v>
      </c>
      <c r="AZ1157" s="1" t="s">
        <v>200</v>
      </c>
      <c r="BA1157" s="1" t="str">
        <f>"14291160230000"</f>
        <v>14291160230000</v>
      </c>
      <c r="BB1157" s="1" t="s">
        <v>200</v>
      </c>
      <c r="BC1157" s="1">
        <v>4200.0</v>
      </c>
      <c r="BD1157" s="1">
        <v>1349000.0</v>
      </c>
      <c r="BE1157" s="2">
        <v>42052.0</v>
      </c>
      <c r="BF1157" s="2" t="s">
        <v>12539</v>
      </c>
      <c r="BG1157" s="1" t="s">
        <v>3405</v>
      </c>
      <c r="BH1157" s="1">
        <v>0.0</v>
      </c>
      <c r="BI1157" s="1" t="s">
        <v>3405</v>
      </c>
      <c r="BK1157" s="1" t="s">
        <v>204</v>
      </c>
      <c r="BL1157" s="1" t="str">
        <f>"3000"</f>
        <v>3000</v>
      </c>
      <c r="BM1157" s="1" t="str">
        <f t="shared" si="770"/>
        <v>0</v>
      </c>
      <c r="BN1157" s="1">
        <v>1513.0</v>
      </c>
      <c r="BO1157" s="1">
        <v>0.0</v>
      </c>
      <c r="BQ1157" s="1">
        <v>299.0</v>
      </c>
      <c r="BR1157" s="1">
        <v>299.0</v>
      </c>
      <c r="BS1157" s="1">
        <v>299.0</v>
      </c>
      <c r="BU1157" s="1" t="s">
        <v>477</v>
      </c>
      <c r="BV1157" s="1" t="s">
        <v>206</v>
      </c>
      <c r="BW1157" s="1" t="s">
        <v>207</v>
      </c>
      <c r="BY1157" s="1" t="s">
        <v>639</v>
      </c>
      <c r="BZ1157" s="1" t="s">
        <v>209</v>
      </c>
      <c r="CA1157" s="1" t="s">
        <v>210</v>
      </c>
      <c r="CB1157" s="1" t="s">
        <v>431</v>
      </c>
      <c r="CC1157" s="1" t="s">
        <v>664</v>
      </c>
      <c r="CD1157" s="1" t="s">
        <v>206</v>
      </c>
      <c r="CE1157" s="1" t="s">
        <v>207</v>
      </c>
      <c r="CG1157" s="1" t="s">
        <v>584</v>
      </c>
      <c r="CH1157" s="1" t="s">
        <v>209</v>
      </c>
      <c r="CI1157" s="1" t="s">
        <v>210</v>
      </c>
      <c r="CK1157" s="1" t="s">
        <v>432</v>
      </c>
      <c r="CL1157" s="1" t="s">
        <v>209</v>
      </c>
      <c r="CM1157" s="1" t="s">
        <v>210</v>
      </c>
      <c r="CO1157" s="1" t="s">
        <v>432</v>
      </c>
      <c r="CP1157" s="1" t="s">
        <v>267</v>
      </c>
      <c r="CQ1157" s="1" t="s">
        <v>210</v>
      </c>
      <c r="CR1157" s="1" t="s">
        <v>431</v>
      </c>
      <c r="CS1157" s="1" t="s">
        <v>664</v>
      </c>
      <c r="CT1157" s="1" t="s">
        <v>206</v>
      </c>
      <c r="CU1157" s="1" t="s">
        <v>207</v>
      </c>
      <c r="CW1157" s="1" t="s">
        <v>434</v>
      </c>
      <c r="CX1157" s="1" t="s">
        <v>206</v>
      </c>
      <c r="CY1157" s="1" t="s">
        <v>207</v>
      </c>
      <c r="DA1157" s="1" t="s">
        <v>200</v>
      </c>
      <c r="DC1157" s="1" t="s">
        <v>335</v>
      </c>
      <c r="DD1157" s="1" t="s">
        <v>436</v>
      </c>
      <c r="DE1157" s="1" t="s">
        <v>218</v>
      </c>
      <c r="DF1157" s="1" t="s">
        <v>745</v>
      </c>
      <c r="DH1157" s="1" t="s">
        <v>365</v>
      </c>
      <c r="DI1157" s="1" t="s">
        <v>12540</v>
      </c>
      <c r="DJ1157" s="1" t="s">
        <v>222</v>
      </c>
      <c r="DL1157" s="1" t="s">
        <v>224</v>
      </c>
      <c r="DM1157" s="1" t="s">
        <v>229</v>
      </c>
      <c r="DP1157" s="1" t="s">
        <v>340</v>
      </c>
      <c r="DQ1157" s="1" t="s">
        <v>718</v>
      </c>
      <c r="DR1157" s="1" t="s">
        <v>229</v>
      </c>
      <c r="DS1157" s="1" t="s">
        <v>368</v>
      </c>
      <c r="DV1157" s="1" t="s">
        <v>12541</v>
      </c>
      <c r="DW1157" s="1" t="s">
        <v>279</v>
      </c>
      <c r="DX1157" s="1" t="s">
        <v>234</v>
      </c>
      <c r="DY1157" s="1" t="s">
        <v>12542</v>
      </c>
      <c r="EA1157" s="1" t="s">
        <v>447</v>
      </c>
      <c r="EC1157" s="1" t="s">
        <v>406</v>
      </c>
      <c r="EG1157" s="1" t="s">
        <v>449</v>
      </c>
      <c r="EH1157" s="1" t="s">
        <v>450</v>
      </c>
      <c r="EI1157" s="1" t="s">
        <v>310</v>
      </c>
      <c r="EL1157" s="1" t="s">
        <v>969</v>
      </c>
      <c r="EM1157" s="1" t="s">
        <v>206</v>
      </c>
      <c r="EN1157" s="1" t="s">
        <v>207</v>
      </c>
      <c r="EP1157" s="1" t="s">
        <v>12543</v>
      </c>
      <c r="EQ1157" s="1" t="s">
        <v>267</v>
      </c>
      <c r="ER1157" s="1" t="s">
        <v>210</v>
      </c>
      <c r="ET1157" s="1" t="s">
        <v>2675</v>
      </c>
      <c r="EU1157" s="1" t="s">
        <v>206</v>
      </c>
      <c r="EV1157" s="1" t="s">
        <v>588</v>
      </c>
      <c r="EY1157" s="1" t="s">
        <v>238</v>
      </c>
      <c r="FC1157" s="1" t="s">
        <v>238</v>
      </c>
      <c r="FF1157" s="1" t="s">
        <v>239</v>
      </c>
      <c r="FG1157" s="1" t="s">
        <v>192</v>
      </c>
      <c r="FH1157" s="1" t="s">
        <v>192</v>
      </c>
      <c r="FJ1157" s="1" t="s">
        <v>733</v>
      </c>
      <c r="FK1157" s="1" t="s">
        <v>229</v>
      </c>
      <c r="FL1157" s="1" t="s">
        <v>974</v>
      </c>
      <c r="FM1157" s="1">
        <v>10988.0</v>
      </c>
      <c r="FN1157" s="1" t="s">
        <v>975</v>
      </c>
      <c r="FO1157" s="1" t="s">
        <v>12544</v>
      </c>
      <c r="FP1157" s="1">
        <v>118250.0</v>
      </c>
      <c r="FQ1157" s="1" t="s">
        <v>12545</v>
      </c>
      <c r="FR1157" s="1">
        <v>150479.0</v>
      </c>
      <c r="FU1157" s="1" t="s">
        <v>12546</v>
      </c>
      <c r="FV1157" s="1" t="s">
        <v>200</v>
      </c>
      <c r="FW1157" s="1" t="s">
        <v>12547</v>
      </c>
      <c r="FX1157" s="1" t="s">
        <v>246</v>
      </c>
      <c r="FZ1157" s="1" t="s">
        <v>229</v>
      </c>
      <c r="GA1157" s="1" t="s">
        <v>291</v>
      </c>
      <c r="GB1157" s="2">
        <v>42128.0</v>
      </c>
      <c r="GC1157" s="1" t="s">
        <v>12548</v>
      </c>
    </row>
    <row r="1158">
      <c r="A1158" s="1">
        <v>282000.0</v>
      </c>
      <c r="B1158" s="1" t="s">
        <v>185</v>
      </c>
      <c r="C1158" s="1" t="str">
        <f>"08842429"</f>
        <v>08842429</v>
      </c>
      <c r="D1158" s="1" t="s">
        <v>186</v>
      </c>
      <c r="F1158" s="1" t="str">
        <f>"123"</f>
        <v>123</v>
      </c>
      <c r="G1158" s="2">
        <v>42054.0</v>
      </c>
      <c r="H1158" s="1">
        <v>290000.0</v>
      </c>
      <c r="I1158" s="1">
        <v>1.0</v>
      </c>
      <c r="J1158" s="1">
        <v>290000.0</v>
      </c>
      <c r="K1158" s="2">
        <v>42053.0</v>
      </c>
      <c r="L1158" s="1">
        <v>1.0</v>
      </c>
      <c r="M1158" s="2">
        <v>42053.0</v>
      </c>
      <c r="N1158" s="1" t="s">
        <v>356</v>
      </c>
      <c r="O1158" s="2">
        <v>42115.0</v>
      </c>
      <c r="P1158" s="1">
        <v>77292.0</v>
      </c>
      <c r="Q1158" s="1">
        <v>37.0</v>
      </c>
      <c r="S1158" s="1" t="s">
        <v>12549</v>
      </c>
      <c r="T1158" s="1" t="s">
        <v>12550</v>
      </c>
      <c r="U1158" s="1" t="s">
        <v>464</v>
      </c>
      <c r="V1158" s="1" t="s">
        <v>465</v>
      </c>
      <c r="W1158" s="1">
        <v>60124.0</v>
      </c>
      <c r="Y1158" s="1" t="s">
        <v>12551</v>
      </c>
      <c r="Z1158" s="1">
        <v>1978.0</v>
      </c>
      <c r="AA1158" s="1" t="s">
        <v>200</v>
      </c>
      <c r="AB1158" s="1" t="s">
        <v>467</v>
      </c>
      <c r="AC1158" s="1" t="s">
        <v>12552</v>
      </c>
      <c r="AD1158" s="1" t="s">
        <v>469</v>
      </c>
      <c r="AE1158" s="1" t="s">
        <v>325</v>
      </c>
      <c r="AF1158" s="1" t="s">
        <v>469</v>
      </c>
      <c r="AH1158" s="1" t="s">
        <v>12553</v>
      </c>
      <c r="AI1158" s="1">
        <v>1.0</v>
      </c>
      <c r="AK1158" s="1">
        <v>10.0</v>
      </c>
      <c r="AL1158" s="1">
        <v>4.0</v>
      </c>
      <c r="AM1158" s="1">
        <v>4.0</v>
      </c>
      <c r="AN1158" s="1">
        <v>0.0</v>
      </c>
      <c r="AO1158" s="1" t="s">
        <v>198</v>
      </c>
      <c r="AP1158" s="1">
        <v>1.0</v>
      </c>
      <c r="AQ1158" s="1" t="s">
        <v>198</v>
      </c>
      <c r="AR1158" s="1" t="s">
        <v>192</v>
      </c>
      <c r="AS1158" s="1" t="s">
        <v>199</v>
      </c>
      <c r="AT1158" s="1">
        <v>2.0</v>
      </c>
      <c r="AV1158" s="1" t="s">
        <v>200</v>
      </c>
      <c r="AW1158" s="1">
        <v>6570.9</v>
      </c>
      <c r="AX1158" s="1">
        <v>2013.0</v>
      </c>
      <c r="AY1158" s="1" t="s">
        <v>387</v>
      </c>
      <c r="AZ1158" s="1" t="s">
        <v>200</v>
      </c>
      <c r="BA1158" s="1" t="str">
        <f>"0631102003"</f>
        <v>0631102003</v>
      </c>
      <c r="BC1158" s="1">
        <v>2533.0</v>
      </c>
      <c r="BD1158" s="1">
        <v>282000.0</v>
      </c>
      <c r="BE1158" s="2">
        <v>42053.0</v>
      </c>
      <c r="BF1158" s="2" t="s">
        <v>12554</v>
      </c>
      <c r="BH1158" s="1">
        <v>35.0</v>
      </c>
      <c r="BK1158" s="1" t="s">
        <v>580</v>
      </c>
      <c r="BL1158" s="1" t="str">
        <f t="shared" ref="BL1158:BM1158" si="771">""</f>
        <v/>
      </c>
      <c r="BM1158" s="1" t="str">
        <f t="shared" si="771"/>
        <v/>
      </c>
      <c r="BQ1158" s="1">
        <v>46.0</v>
      </c>
      <c r="BR1158" s="1">
        <v>46.0</v>
      </c>
      <c r="BS1158" s="1">
        <v>46.0</v>
      </c>
      <c r="BU1158" s="1" t="s">
        <v>1117</v>
      </c>
      <c r="BV1158" s="1" t="s">
        <v>206</v>
      </c>
      <c r="BW1158" s="1" t="s">
        <v>210</v>
      </c>
      <c r="BY1158" s="1" t="s">
        <v>743</v>
      </c>
      <c r="BZ1158" s="1" t="s">
        <v>209</v>
      </c>
      <c r="CA1158" s="1" t="s">
        <v>210</v>
      </c>
      <c r="CC1158" s="1" t="s">
        <v>393</v>
      </c>
      <c r="CD1158" s="1" t="s">
        <v>206</v>
      </c>
      <c r="CE1158" s="1" t="s">
        <v>207</v>
      </c>
      <c r="CF1158" s="1" t="s">
        <v>1549</v>
      </c>
      <c r="CG1158" s="1" t="s">
        <v>363</v>
      </c>
      <c r="CH1158" s="1" t="s">
        <v>209</v>
      </c>
      <c r="CI1158" s="1" t="s">
        <v>210</v>
      </c>
      <c r="CK1158" s="1" t="s">
        <v>363</v>
      </c>
      <c r="CL1158" s="1" t="s">
        <v>209</v>
      </c>
      <c r="CM1158" s="1" t="s">
        <v>210</v>
      </c>
      <c r="CO1158" s="1" t="s">
        <v>264</v>
      </c>
      <c r="CP1158" s="1" t="s">
        <v>206</v>
      </c>
      <c r="CQ1158" s="1" t="s">
        <v>210</v>
      </c>
      <c r="CS1158" s="1" t="s">
        <v>433</v>
      </c>
      <c r="CT1158" s="1" t="s">
        <v>206</v>
      </c>
      <c r="CU1158" s="1" t="s">
        <v>207</v>
      </c>
      <c r="CV1158" s="1" t="s">
        <v>1549</v>
      </c>
      <c r="CW1158" s="1" t="s">
        <v>211</v>
      </c>
      <c r="CX1158" s="1" t="s">
        <v>206</v>
      </c>
      <c r="CY1158" s="1" t="s">
        <v>210</v>
      </c>
      <c r="DA1158" s="1" t="s">
        <v>200</v>
      </c>
      <c r="DC1158" s="1" t="s">
        <v>395</v>
      </c>
      <c r="DD1158" s="1" t="s">
        <v>679</v>
      </c>
      <c r="DE1158" s="1" t="s">
        <v>273</v>
      </c>
      <c r="DF1158" s="1" t="s">
        <v>219</v>
      </c>
      <c r="DG1158" s="1" t="s">
        <v>1553</v>
      </c>
      <c r="DH1158" s="1" t="s">
        <v>856</v>
      </c>
      <c r="DI1158" s="1" t="s">
        <v>12555</v>
      </c>
      <c r="DJ1158" s="1" t="s">
        <v>857</v>
      </c>
      <c r="DK1158" s="1" t="s">
        <v>960</v>
      </c>
      <c r="DL1158" s="1" t="s">
        <v>858</v>
      </c>
      <c r="DM1158" s="1" t="s">
        <v>338</v>
      </c>
      <c r="DN1158" s="1" t="s">
        <v>548</v>
      </c>
      <c r="DO1158" s="1" t="s">
        <v>440</v>
      </c>
      <c r="DQ1158" s="1" t="s">
        <v>931</v>
      </c>
      <c r="DR1158" s="1" t="s">
        <v>588</v>
      </c>
      <c r="DS1158" s="1" t="s">
        <v>230</v>
      </c>
      <c r="DU1158" s="1" t="s">
        <v>12556</v>
      </c>
      <c r="DV1158" s="1" t="s">
        <v>12557</v>
      </c>
      <c r="DW1158" s="1" t="s">
        <v>233</v>
      </c>
      <c r="DX1158" s="1" t="s">
        <v>309</v>
      </c>
      <c r="DY1158" s="1" t="s">
        <v>553</v>
      </c>
      <c r="DZ1158" s="1" t="s">
        <v>7881</v>
      </c>
      <c r="EA1158" s="1" t="s">
        <v>1075</v>
      </c>
      <c r="EB1158" s="1" t="s">
        <v>2183</v>
      </c>
      <c r="EC1158" s="1" t="s">
        <v>237</v>
      </c>
      <c r="ED1158" s="1" t="s">
        <v>407</v>
      </c>
      <c r="EE1158" s="1" t="s">
        <v>493</v>
      </c>
      <c r="EG1158" s="1" t="s">
        <v>557</v>
      </c>
      <c r="EH1158" s="1" t="s">
        <v>450</v>
      </c>
      <c r="EI1158" s="1" t="s">
        <v>408</v>
      </c>
      <c r="EJ1158" s="1" t="s">
        <v>720</v>
      </c>
      <c r="EK1158" s="1" t="s">
        <v>588</v>
      </c>
      <c r="EL1158" s="1" t="s">
        <v>363</v>
      </c>
      <c r="EM1158" s="1" t="s">
        <v>42</v>
      </c>
      <c r="EN1158" s="1" t="s">
        <v>210</v>
      </c>
      <c r="EP1158" s="1" t="s">
        <v>333</v>
      </c>
      <c r="EQ1158" s="1" t="s">
        <v>42</v>
      </c>
      <c r="ER1158" s="1" t="s">
        <v>210</v>
      </c>
      <c r="ET1158" s="1" t="s">
        <v>263</v>
      </c>
      <c r="EU1158" s="1" t="s">
        <v>206</v>
      </c>
      <c r="EV1158" s="1" t="s">
        <v>207</v>
      </c>
      <c r="EX1158" s="1" t="s">
        <v>2072</v>
      </c>
      <c r="EY1158" s="1" t="s">
        <v>206</v>
      </c>
      <c r="EZ1158" s="1" t="s">
        <v>617</v>
      </c>
      <c r="FB1158" s="1" t="s">
        <v>363</v>
      </c>
      <c r="FC1158" s="1" t="s">
        <v>42</v>
      </c>
      <c r="FD1158" s="1" t="s">
        <v>210</v>
      </c>
      <c r="FF1158" s="1" t="s">
        <v>239</v>
      </c>
      <c r="FG1158" s="1" t="s">
        <v>192</v>
      </c>
      <c r="FH1158" s="1" t="s">
        <v>192</v>
      </c>
      <c r="FJ1158" s="1" t="s">
        <v>988</v>
      </c>
      <c r="FK1158" s="1" t="s">
        <v>348</v>
      </c>
      <c r="FL1158" s="1" t="s">
        <v>625</v>
      </c>
      <c r="FM1158" s="1">
        <v>37.0</v>
      </c>
      <c r="FN1158" s="1" t="s">
        <v>626</v>
      </c>
      <c r="FO1158" s="1" t="s">
        <v>7749</v>
      </c>
      <c r="FP1158" s="1">
        <v>77292.0</v>
      </c>
      <c r="FQ1158" s="1" t="s">
        <v>7750</v>
      </c>
      <c r="FU1158" s="1" t="s">
        <v>12558</v>
      </c>
      <c r="FV1158" s="1" t="s">
        <v>200</v>
      </c>
      <c r="FW1158" s="1" t="s">
        <v>12559</v>
      </c>
      <c r="FZ1158" s="1" t="s">
        <v>229</v>
      </c>
      <c r="GA1158" s="1" t="s">
        <v>291</v>
      </c>
      <c r="GB1158" s="2">
        <v>42115.0</v>
      </c>
      <c r="GC1158" s="1" t="s">
        <v>1038</v>
      </c>
    </row>
    <row r="1159">
      <c r="A1159" s="1">
        <v>280000.0</v>
      </c>
      <c r="B1159" s="1" t="s">
        <v>185</v>
      </c>
      <c r="C1159" s="1" t="str">
        <f>"08842249"</f>
        <v>08842249</v>
      </c>
      <c r="D1159" s="1" t="s">
        <v>186</v>
      </c>
      <c r="F1159" s="1" t="str">
        <f>"510"</f>
        <v>510</v>
      </c>
      <c r="G1159" s="2">
        <v>42054.0</v>
      </c>
      <c r="H1159" s="1">
        <v>299000.0</v>
      </c>
      <c r="I1159" s="1">
        <v>21.0</v>
      </c>
      <c r="J1159" s="1">
        <v>299000.0</v>
      </c>
      <c r="K1159" s="2">
        <v>42073.0</v>
      </c>
      <c r="L1159" s="1">
        <v>21.0</v>
      </c>
      <c r="M1159" s="2">
        <v>42073.0</v>
      </c>
      <c r="N1159" s="1" t="s">
        <v>249</v>
      </c>
      <c r="O1159" s="2">
        <v>42097.0</v>
      </c>
      <c r="P1159" s="1">
        <v>1103.0</v>
      </c>
      <c r="Q1159" s="1">
        <v>383.0</v>
      </c>
      <c r="S1159" s="1" t="s">
        <v>12560</v>
      </c>
      <c r="T1159" s="1" t="s">
        <v>12561</v>
      </c>
      <c r="U1159" s="1" t="s">
        <v>464</v>
      </c>
      <c r="V1159" s="1" t="s">
        <v>2700</v>
      </c>
      <c r="W1159" s="1">
        <v>60510.0</v>
      </c>
      <c r="Y1159" s="1" t="s">
        <v>12562</v>
      </c>
      <c r="Z1159" s="1">
        <v>1977.0</v>
      </c>
      <c r="AA1159" s="1" t="s">
        <v>192</v>
      </c>
      <c r="AB1159" s="1" t="s">
        <v>193</v>
      </c>
      <c r="AD1159" s="1" t="s">
        <v>1089</v>
      </c>
      <c r="AE1159" s="1" t="s">
        <v>325</v>
      </c>
      <c r="AF1159" s="1" t="s">
        <v>2702</v>
      </c>
      <c r="AH1159" s="1" t="s">
        <v>12563</v>
      </c>
      <c r="AI1159" s="1">
        <v>3.0</v>
      </c>
      <c r="AK1159" s="1">
        <v>9.0</v>
      </c>
      <c r="AL1159" s="1">
        <v>4.0</v>
      </c>
      <c r="AM1159" s="1">
        <v>2.0</v>
      </c>
      <c r="AN1159" s="1">
        <v>1.0</v>
      </c>
      <c r="AO1159" s="1" t="s">
        <v>198</v>
      </c>
      <c r="AP1159" s="1">
        <v>1.0</v>
      </c>
      <c r="AQ1159" s="1" t="s">
        <v>198</v>
      </c>
      <c r="AR1159" s="1" t="s">
        <v>200</v>
      </c>
      <c r="AS1159" s="1" t="s">
        <v>199</v>
      </c>
      <c r="AT1159" s="1">
        <v>2.0</v>
      </c>
      <c r="AV1159" s="1" t="s">
        <v>200</v>
      </c>
      <c r="AW1159" s="1">
        <v>9577.34</v>
      </c>
      <c r="AX1159" s="1">
        <v>2013.0</v>
      </c>
      <c r="AY1159" s="1" t="s">
        <v>1917</v>
      </c>
      <c r="AZ1159" s="1" t="s">
        <v>200</v>
      </c>
      <c r="BA1159" s="1" t="str">
        <f>"1230300028"</f>
        <v>1230300028</v>
      </c>
      <c r="BC1159" s="1">
        <v>2902.0</v>
      </c>
      <c r="BD1159" s="1">
        <v>280000.0</v>
      </c>
      <c r="BE1159" s="2">
        <v>42053.0</v>
      </c>
      <c r="BF1159" s="2" t="s">
        <v>12564</v>
      </c>
      <c r="BH1159" s="1">
        <v>0.0</v>
      </c>
      <c r="BK1159" s="1" t="s">
        <v>204</v>
      </c>
      <c r="BL1159" s="1" t="str">
        <f t="shared" ref="BL1159:BM1159" si="772">""</f>
        <v/>
      </c>
      <c r="BM1159" s="1" t="str">
        <f t="shared" si="772"/>
        <v/>
      </c>
      <c r="BQ1159" s="1">
        <v>129.0</v>
      </c>
      <c r="BR1159" s="1">
        <v>129.0</v>
      </c>
      <c r="BS1159" s="1">
        <v>129.0</v>
      </c>
      <c r="BU1159" s="1" t="s">
        <v>1063</v>
      </c>
      <c r="BV1159" s="1" t="s">
        <v>206</v>
      </c>
      <c r="BW1159" s="1" t="s">
        <v>207</v>
      </c>
      <c r="BY1159" s="1" t="s">
        <v>12565</v>
      </c>
      <c r="BZ1159" s="1" t="s">
        <v>209</v>
      </c>
      <c r="CA1159" s="1" t="s">
        <v>207</v>
      </c>
      <c r="CC1159" s="1" t="s">
        <v>363</v>
      </c>
      <c r="CD1159" s="1" t="s">
        <v>206</v>
      </c>
      <c r="CE1159" s="1" t="s">
        <v>207</v>
      </c>
      <c r="CG1159" s="1" t="s">
        <v>1064</v>
      </c>
      <c r="CH1159" s="1" t="s">
        <v>209</v>
      </c>
      <c r="CI1159" s="1" t="s">
        <v>207</v>
      </c>
      <c r="CK1159" s="1" t="s">
        <v>584</v>
      </c>
      <c r="CL1159" s="1" t="s">
        <v>209</v>
      </c>
      <c r="CM1159" s="1" t="s">
        <v>207</v>
      </c>
      <c r="CO1159" s="1" t="s">
        <v>1584</v>
      </c>
      <c r="CP1159" s="1" t="s">
        <v>209</v>
      </c>
      <c r="CQ1159" s="1" t="s">
        <v>207</v>
      </c>
      <c r="CS1159" s="1" t="s">
        <v>830</v>
      </c>
      <c r="CT1159" s="1" t="s">
        <v>206</v>
      </c>
      <c r="CU1159" s="1" t="s">
        <v>207</v>
      </c>
      <c r="CW1159" s="1" t="s">
        <v>2900</v>
      </c>
      <c r="CX1159" s="1" t="s">
        <v>206</v>
      </c>
      <c r="CY1159" s="1" t="s">
        <v>207</v>
      </c>
      <c r="DA1159" s="1" t="s">
        <v>200</v>
      </c>
      <c r="DC1159" s="1" t="s">
        <v>395</v>
      </c>
      <c r="DE1159" s="1" t="s">
        <v>229</v>
      </c>
      <c r="DF1159" s="1" t="s">
        <v>219</v>
      </c>
      <c r="DG1159" s="1" t="s">
        <v>12566</v>
      </c>
      <c r="DH1159" s="1" t="s">
        <v>856</v>
      </c>
      <c r="DJ1159" s="1" t="s">
        <v>857</v>
      </c>
      <c r="DL1159" s="1" t="s">
        <v>223</v>
      </c>
      <c r="DM1159" s="1" t="s">
        <v>338</v>
      </c>
      <c r="DO1159" s="1" t="s">
        <v>12567</v>
      </c>
      <c r="DP1159" s="1" t="s">
        <v>340</v>
      </c>
      <c r="DQ1159" s="1" t="s">
        <v>4389</v>
      </c>
      <c r="DR1159" s="1" t="s">
        <v>229</v>
      </c>
      <c r="DU1159" s="1" t="s">
        <v>1355</v>
      </c>
      <c r="DV1159" s="1" t="s">
        <v>557</v>
      </c>
      <c r="DW1159" s="1" t="s">
        <v>370</v>
      </c>
      <c r="DX1159" s="1" t="s">
        <v>309</v>
      </c>
      <c r="DY1159" s="1" t="s">
        <v>1051</v>
      </c>
      <c r="DZ1159" s="1" t="s">
        <v>12568</v>
      </c>
      <c r="EA1159" s="1" t="s">
        <v>3308</v>
      </c>
      <c r="EB1159" s="1" t="s">
        <v>345</v>
      </c>
      <c r="EC1159" s="1" t="s">
        <v>237</v>
      </c>
      <c r="EG1159" s="1" t="s">
        <v>557</v>
      </c>
      <c r="EL1159" s="1" t="s">
        <v>3888</v>
      </c>
      <c r="EM1159" s="1" t="s">
        <v>209</v>
      </c>
      <c r="EN1159" s="1" t="s">
        <v>207</v>
      </c>
      <c r="EQ1159" s="1" t="s">
        <v>238</v>
      </c>
      <c r="EU1159" s="1" t="s">
        <v>238</v>
      </c>
      <c r="EY1159" s="1" t="s">
        <v>238</v>
      </c>
      <c r="FC1159" s="1" t="s">
        <v>238</v>
      </c>
      <c r="FF1159" s="1" t="s">
        <v>239</v>
      </c>
      <c r="FG1159" s="1" t="s">
        <v>192</v>
      </c>
      <c r="FH1159" s="1" t="s">
        <v>192</v>
      </c>
      <c r="FJ1159" s="1" t="s">
        <v>4626</v>
      </c>
      <c r="FK1159" s="1" t="s">
        <v>348</v>
      </c>
      <c r="FL1159" s="1" t="s">
        <v>10608</v>
      </c>
      <c r="FM1159" s="1">
        <v>383.0</v>
      </c>
      <c r="FN1159" s="1" t="s">
        <v>10609</v>
      </c>
      <c r="FO1159" s="1" t="s">
        <v>12569</v>
      </c>
      <c r="FP1159" s="1">
        <v>1103.0</v>
      </c>
      <c r="FQ1159" s="1" t="s">
        <v>10609</v>
      </c>
      <c r="FR1159" s="1">
        <v>583.0</v>
      </c>
      <c r="FS1159" s="1" t="s">
        <v>12570</v>
      </c>
      <c r="FU1159" s="1" t="s">
        <v>12571</v>
      </c>
      <c r="FV1159" s="1" t="s">
        <v>200</v>
      </c>
      <c r="FW1159" s="1" t="s">
        <v>12572</v>
      </c>
      <c r="FZ1159" s="1" t="s">
        <v>229</v>
      </c>
      <c r="GA1159" s="1" t="s">
        <v>291</v>
      </c>
      <c r="GB1159" s="2">
        <v>42097.0</v>
      </c>
      <c r="GC1159" s="1" t="s">
        <v>12573</v>
      </c>
    </row>
    <row r="1160">
      <c r="A1160" s="1">
        <v>155000.0</v>
      </c>
      <c r="B1160" s="1" t="s">
        <v>185</v>
      </c>
      <c r="C1160" s="1" t="str">
        <f>"08841940"</f>
        <v>08841940</v>
      </c>
      <c r="D1160" s="1" t="s">
        <v>186</v>
      </c>
      <c r="F1160" s="1" t="str">
        <f>"110"</f>
        <v>110</v>
      </c>
      <c r="G1160" s="2">
        <v>42054.0</v>
      </c>
      <c r="H1160" s="1">
        <v>159900.0</v>
      </c>
      <c r="I1160" s="1">
        <v>1.0</v>
      </c>
      <c r="J1160" s="1">
        <v>159900.0</v>
      </c>
      <c r="K1160" s="2">
        <v>42052.0</v>
      </c>
      <c r="L1160" s="1">
        <v>1.0</v>
      </c>
      <c r="M1160" s="2">
        <v>42052.0</v>
      </c>
      <c r="N1160" s="1" t="s">
        <v>187</v>
      </c>
      <c r="O1160" s="2">
        <v>42083.0</v>
      </c>
      <c r="P1160" s="1">
        <v>77197.0</v>
      </c>
      <c r="Q1160" s="1">
        <v>7450.0</v>
      </c>
      <c r="S1160" s="1">
        <v>2317.0</v>
      </c>
      <c r="T1160" s="1" t="s">
        <v>12574</v>
      </c>
      <c r="U1160" s="1" t="s">
        <v>320</v>
      </c>
      <c r="V1160" s="1" t="s">
        <v>807</v>
      </c>
      <c r="W1160" s="1">
        <v>60110.0</v>
      </c>
      <c r="Y1160" s="1" t="s">
        <v>12575</v>
      </c>
      <c r="Z1160" s="1">
        <v>1956.0</v>
      </c>
      <c r="AA1160" s="1" t="s">
        <v>192</v>
      </c>
      <c r="AB1160" s="1" t="s">
        <v>193</v>
      </c>
      <c r="AC1160" s="1" t="s">
        <v>5724</v>
      </c>
      <c r="AD1160" s="1" t="s">
        <v>809</v>
      </c>
      <c r="AE1160" s="1" t="s">
        <v>325</v>
      </c>
      <c r="AF1160" s="1" t="s">
        <v>810</v>
      </c>
      <c r="AH1160" s="1" t="s">
        <v>12576</v>
      </c>
      <c r="AK1160" s="1">
        <v>8.0</v>
      </c>
      <c r="AL1160" s="1">
        <v>4.0</v>
      </c>
      <c r="AM1160" s="1">
        <v>2.0</v>
      </c>
      <c r="AN1160" s="1">
        <v>0.0</v>
      </c>
      <c r="AO1160" s="1" t="s">
        <v>229</v>
      </c>
      <c r="AP1160" s="1">
        <v>1.0</v>
      </c>
      <c r="AQ1160" s="1" t="s">
        <v>229</v>
      </c>
      <c r="AS1160" s="1" t="s">
        <v>199</v>
      </c>
      <c r="AT1160" s="1">
        <v>1.0</v>
      </c>
      <c r="AV1160" s="1" t="s">
        <v>200</v>
      </c>
      <c r="AW1160" s="1">
        <v>1932.0</v>
      </c>
      <c r="AX1160" s="1">
        <v>2013.0</v>
      </c>
      <c r="AY1160" s="1" t="s">
        <v>387</v>
      </c>
      <c r="AZ1160" s="1" t="s">
        <v>200</v>
      </c>
      <c r="BA1160" s="1" t="str">
        <f>"0312153033"</f>
        <v>0312153033</v>
      </c>
      <c r="BB1160" s="1" t="s">
        <v>200</v>
      </c>
      <c r="BC1160" s="1">
        <v>1700.0</v>
      </c>
      <c r="BD1160" s="1">
        <v>155000.0</v>
      </c>
      <c r="BE1160" s="2">
        <v>42052.0</v>
      </c>
      <c r="BF1160" s="2" t="s">
        <v>12577</v>
      </c>
      <c r="BH1160" s="1">
        <v>0.0</v>
      </c>
      <c r="BK1160" s="1" t="s">
        <v>204</v>
      </c>
      <c r="BL1160" s="1" t="str">
        <f>"18"</f>
        <v>18</v>
      </c>
      <c r="BM1160" s="1" t="str">
        <f t="shared" ref="BM1160:BM1161" si="773">"0"</f>
        <v>0</v>
      </c>
      <c r="BN1160" s="1">
        <v>32.0</v>
      </c>
      <c r="BO1160" s="1">
        <v>0.0</v>
      </c>
      <c r="BQ1160" s="1">
        <v>220.0</v>
      </c>
      <c r="BR1160" s="1">
        <v>220.0</v>
      </c>
      <c r="BS1160" s="1">
        <v>220.0</v>
      </c>
      <c r="BU1160" s="1" t="s">
        <v>434</v>
      </c>
      <c r="BV1160" s="1" t="s">
        <v>206</v>
      </c>
      <c r="BW1160" s="1" t="s">
        <v>301</v>
      </c>
      <c r="BY1160" s="1" t="s">
        <v>329</v>
      </c>
      <c r="BZ1160" s="1" t="s">
        <v>206</v>
      </c>
      <c r="CA1160" s="1" t="s">
        <v>210</v>
      </c>
      <c r="CC1160" s="1" t="s">
        <v>542</v>
      </c>
      <c r="CD1160" s="1" t="s">
        <v>206</v>
      </c>
      <c r="CE1160" s="1" t="s">
        <v>617</v>
      </c>
      <c r="CG1160" s="1" t="s">
        <v>215</v>
      </c>
      <c r="CH1160" s="1" t="s">
        <v>206</v>
      </c>
      <c r="CI1160" s="1" t="s">
        <v>210</v>
      </c>
      <c r="CK1160" s="1" t="s">
        <v>269</v>
      </c>
      <c r="CL1160" s="1" t="s">
        <v>206</v>
      </c>
      <c r="CM1160" s="1" t="s">
        <v>210</v>
      </c>
      <c r="CO1160" s="1" t="s">
        <v>816</v>
      </c>
      <c r="CP1160" s="1" t="s">
        <v>206</v>
      </c>
      <c r="CQ1160" s="1" t="s">
        <v>210</v>
      </c>
      <c r="CS1160" s="1" t="s">
        <v>1426</v>
      </c>
      <c r="CT1160" s="1" t="s">
        <v>206</v>
      </c>
      <c r="CU1160" s="1" t="s">
        <v>268</v>
      </c>
      <c r="CW1160" s="1" t="s">
        <v>3092</v>
      </c>
      <c r="CX1160" s="1" t="s">
        <v>206</v>
      </c>
      <c r="CY1160" s="1" t="s">
        <v>301</v>
      </c>
      <c r="DA1160" s="1" t="s">
        <v>200</v>
      </c>
      <c r="DC1160" s="1" t="s">
        <v>271</v>
      </c>
      <c r="DD1160" s="1" t="s">
        <v>518</v>
      </c>
      <c r="DE1160" s="1" t="s">
        <v>229</v>
      </c>
      <c r="DF1160" s="1" t="s">
        <v>619</v>
      </c>
      <c r="DG1160" s="1" t="s">
        <v>274</v>
      </c>
      <c r="DH1160" s="1" t="s">
        <v>220</v>
      </c>
      <c r="DI1160" s="1" t="s">
        <v>1223</v>
      </c>
      <c r="DJ1160" s="1" t="s">
        <v>222</v>
      </c>
      <c r="DL1160" s="1" t="s">
        <v>229</v>
      </c>
      <c r="DM1160" s="1" t="s">
        <v>229</v>
      </c>
      <c r="DO1160" s="1" t="s">
        <v>549</v>
      </c>
      <c r="DP1160" s="1" t="s">
        <v>276</v>
      </c>
      <c r="DQ1160" s="1" t="s">
        <v>228</v>
      </c>
      <c r="DR1160" s="1" t="s">
        <v>229</v>
      </c>
      <c r="DS1160" s="1" t="s">
        <v>230</v>
      </c>
      <c r="DU1160" s="1" t="s">
        <v>681</v>
      </c>
      <c r="DV1160" s="1" t="s">
        <v>232</v>
      </c>
      <c r="DW1160" s="1" t="s">
        <v>2602</v>
      </c>
      <c r="DX1160" s="1" t="s">
        <v>234</v>
      </c>
      <c r="DY1160" s="1" t="s">
        <v>12578</v>
      </c>
      <c r="DZ1160" s="1" t="s">
        <v>2204</v>
      </c>
      <c r="EA1160" s="1" t="s">
        <v>683</v>
      </c>
      <c r="EB1160" s="1" t="s">
        <v>345</v>
      </c>
      <c r="EC1160" s="1" t="s">
        <v>685</v>
      </c>
      <c r="EM1160" s="1" t="s">
        <v>238</v>
      </c>
      <c r="EQ1160" s="1" t="s">
        <v>238</v>
      </c>
      <c r="EU1160" s="1" t="s">
        <v>238</v>
      </c>
      <c r="EY1160" s="1" t="s">
        <v>238</v>
      </c>
      <c r="FC1160" s="1" t="s">
        <v>238</v>
      </c>
      <c r="FF1160" s="1" t="s">
        <v>239</v>
      </c>
      <c r="FG1160" s="1" t="s">
        <v>192</v>
      </c>
      <c r="FH1160" s="1" t="s">
        <v>192</v>
      </c>
      <c r="FJ1160" s="1" t="s">
        <v>6790</v>
      </c>
      <c r="FK1160" s="1" t="s">
        <v>229</v>
      </c>
      <c r="FL1160" s="1" t="s">
        <v>12579</v>
      </c>
      <c r="FM1160" s="1">
        <v>7470.0</v>
      </c>
      <c r="FN1160" s="1" t="s">
        <v>12580</v>
      </c>
      <c r="FO1160" s="1" t="s">
        <v>12581</v>
      </c>
      <c r="FP1160" s="1">
        <v>77577.0</v>
      </c>
      <c r="FQ1160" s="1" t="s">
        <v>12582</v>
      </c>
      <c r="FU1160" s="1" t="s">
        <v>12583</v>
      </c>
      <c r="FV1160" s="1" t="s">
        <v>200</v>
      </c>
      <c r="FW1160" s="1" t="s">
        <v>12584</v>
      </c>
      <c r="FZ1160" s="1" t="s">
        <v>229</v>
      </c>
      <c r="GA1160" s="1" t="s">
        <v>291</v>
      </c>
      <c r="GB1160" s="2">
        <v>42087.0</v>
      </c>
      <c r="GC1160" s="1" t="s">
        <v>1038</v>
      </c>
    </row>
    <row r="1161">
      <c r="A1161" s="1">
        <v>195000.0</v>
      </c>
      <c r="B1161" s="1" t="s">
        <v>185</v>
      </c>
      <c r="C1161" s="1" t="str">
        <f>"08844821"</f>
        <v>08844821</v>
      </c>
      <c r="D1161" s="1" t="s">
        <v>186</v>
      </c>
      <c r="F1161" s="1" t="str">
        <f>"115"</f>
        <v>115</v>
      </c>
      <c r="G1161" s="2">
        <v>42058.0</v>
      </c>
      <c r="H1161" s="1">
        <v>200000.0</v>
      </c>
      <c r="I1161" s="1">
        <v>25.0</v>
      </c>
      <c r="J1161" s="1">
        <v>200000.0</v>
      </c>
      <c r="K1161" s="2">
        <v>42082.0</v>
      </c>
      <c r="L1161" s="1">
        <v>25.0</v>
      </c>
      <c r="M1161" s="2">
        <v>42082.0</v>
      </c>
      <c r="N1161" s="1" t="s">
        <v>249</v>
      </c>
      <c r="O1161" s="2">
        <v>42112.0</v>
      </c>
      <c r="P1161" s="1">
        <v>930150.0</v>
      </c>
      <c r="Q1161" s="1">
        <v>93043.0</v>
      </c>
      <c r="S1161" s="1">
        <v>484.0</v>
      </c>
      <c r="T1161" s="1" t="s">
        <v>12585</v>
      </c>
      <c r="U1161" s="1" t="s">
        <v>982</v>
      </c>
      <c r="V1161" s="1" t="s">
        <v>610</v>
      </c>
      <c r="W1161" s="1">
        <v>60115.0</v>
      </c>
      <c r="Y1161" s="1" t="s">
        <v>12586</v>
      </c>
      <c r="Z1161" s="1">
        <v>2006.0</v>
      </c>
      <c r="AA1161" s="1" t="s">
        <v>200</v>
      </c>
      <c r="AB1161" s="1" t="s">
        <v>467</v>
      </c>
      <c r="AC1161" s="1" t="s">
        <v>10930</v>
      </c>
      <c r="AD1161" s="1" t="s">
        <v>612</v>
      </c>
      <c r="AE1161" s="1" t="s">
        <v>613</v>
      </c>
      <c r="AF1161" s="1" t="s">
        <v>612</v>
      </c>
      <c r="AH1161" s="1" t="s">
        <v>4021</v>
      </c>
      <c r="AK1161" s="1">
        <v>9.0</v>
      </c>
      <c r="AL1161" s="1">
        <v>3.0</v>
      </c>
      <c r="AM1161" s="1">
        <v>3.0</v>
      </c>
      <c r="AN1161" s="1">
        <v>0.0</v>
      </c>
      <c r="AO1161" s="1" t="s">
        <v>198</v>
      </c>
      <c r="AP1161" s="1">
        <v>1.0</v>
      </c>
      <c r="AQ1161" s="1" t="s">
        <v>472</v>
      </c>
      <c r="AR1161" s="1" t="s">
        <v>192</v>
      </c>
      <c r="AS1161" s="1" t="s">
        <v>199</v>
      </c>
      <c r="AT1161" s="1">
        <v>3.0</v>
      </c>
      <c r="AV1161" s="1" t="s">
        <v>200</v>
      </c>
      <c r="AW1161" s="1">
        <v>6822.48</v>
      </c>
      <c r="AX1161" s="1">
        <v>2013.0</v>
      </c>
      <c r="AY1161" s="1" t="s">
        <v>387</v>
      </c>
      <c r="AZ1161" s="1" t="s">
        <v>200</v>
      </c>
      <c r="BA1161" s="1" t="str">
        <f>"0821373006"</f>
        <v>0821373006</v>
      </c>
      <c r="BB1161" s="1" t="s">
        <v>200</v>
      </c>
      <c r="BC1161" s="1">
        <v>1734.0</v>
      </c>
      <c r="BD1161" s="1">
        <v>195000.0</v>
      </c>
      <c r="BE1161" s="2">
        <v>42058.0</v>
      </c>
      <c r="BF1161" s="2" t="s">
        <v>12587</v>
      </c>
      <c r="BH1161" s="1">
        <v>125.0</v>
      </c>
      <c r="BK1161" s="1" t="s">
        <v>580</v>
      </c>
      <c r="BL1161" s="1" t="str">
        <f>"3"</f>
        <v>3</v>
      </c>
      <c r="BM1161" s="1" t="str">
        <f t="shared" si="773"/>
        <v>0</v>
      </c>
      <c r="BN1161" s="1">
        <v>60.0</v>
      </c>
      <c r="BO1161" s="1">
        <v>0.0</v>
      </c>
      <c r="BQ1161" s="1">
        <v>428.0</v>
      </c>
      <c r="BR1161" s="1">
        <v>428.0</v>
      </c>
      <c r="BS1161" s="1">
        <v>428.0</v>
      </c>
      <c r="BU1161" s="1" t="s">
        <v>2861</v>
      </c>
      <c r="BV1161" s="1" t="s">
        <v>206</v>
      </c>
      <c r="BW1161" s="1" t="s">
        <v>210</v>
      </c>
      <c r="BX1161" s="1" t="s">
        <v>1550</v>
      </c>
      <c r="BY1161" s="1" t="s">
        <v>213</v>
      </c>
      <c r="BZ1161" s="1" t="s">
        <v>206</v>
      </c>
      <c r="CA1161" s="1" t="s">
        <v>210</v>
      </c>
      <c r="CB1161" s="1" t="s">
        <v>1550</v>
      </c>
      <c r="CC1161" s="1" t="s">
        <v>647</v>
      </c>
      <c r="CD1161" s="1" t="s">
        <v>206</v>
      </c>
      <c r="CE1161" s="1" t="s">
        <v>207</v>
      </c>
      <c r="CF1161" s="1" t="s">
        <v>1550</v>
      </c>
      <c r="CG1161" s="1" t="s">
        <v>497</v>
      </c>
      <c r="CH1161" s="1" t="s">
        <v>206</v>
      </c>
      <c r="CI1161" s="1" t="s">
        <v>210</v>
      </c>
      <c r="CJ1161" s="1" t="s">
        <v>1550</v>
      </c>
      <c r="CK1161" s="1" t="s">
        <v>584</v>
      </c>
      <c r="CL1161" s="1" t="s">
        <v>206</v>
      </c>
      <c r="CM1161" s="1" t="s">
        <v>210</v>
      </c>
      <c r="CN1161" s="1" t="s">
        <v>1550</v>
      </c>
      <c r="CO1161" s="1" t="s">
        <v>1190</v>
      </c>
      <c r="CP1161" s="1" t="s">
        <v>42</v>
      </c>
      <c r="CQ1161" s="1" t="s">
        <v>210</v>
      </c>
      <c r="CS1161" s="1" t="s">
        <v>1351</v>
      </c>
      <c r="CT1161" s="1" t="s">
        <v>206</v>
      </c>
      <c r="CU1161" s="1" t="s">
        <v>207</v>
      </c>
      <c r="CW1161" s="1" t="s">
        <v>12588</v>
      </c>
      <c r="CX1161" s="1" t="s">
        <v>42</v>
      </c>
      <c r="CY1161" s="1" t="s">
        <v>210</v>
      </c>
      <c r="CZ1161" s="1" t="s">
        <v>1118</v>
      </c>
      <c r="DA1161" s="1" t="s">
        <v>200</v>
      </c>
      <c r="DC1161" s="1" t="s">
        <v>481</v>
      </c>
      <c r="DD1161" s="1" t="s">
        <v>396</v>
      </c>
      <c r="DE1161" s="1" t="s">
        <v>273</v>
      </c>
      <c r="DF1161" s="1" t="s">
        <v>219</v>
      </c>
      <c r="DG1161" s="1" t="s">
        <v>1020</v>
      </c>
      <c r="DH1161" s="1" t="s">
        <v>220</v>
      </c>
      <c r="DI1161" s="1" t="s">
        <v>1003</v>
      </c>
      <c r="DJ1161" s="1" t="s">
        <v>222</v>
      </c>
      <c r="DL1161" s="1" t="s">
        <v>224</v>
      </c>
      <c r="DM1161" s="1" t="s">
        <v>338</v>
      </c>
      <c r="DN1161" s="1" t="s">
        <v>548</v>
      </c>
      <c r="DP1161" s="1" t="s">
        <v>340</v>
      </c>
      <c r="DQ1161" s="1" t="s">
        <v>441</v>
      </c>
      <c r="DR1161" s="1" t="s">
        <v>12589</v>
      </c>
      <c r="DU1161" s="1" t="s">
        <v>5914</v>
      </c>
      <c r="DV1161" s="1" t="s">
        <v>5014</v>
      </c>
      <c r="DW1161" s="1" t="s">
        <v>444</v>
      </c>
      <c r="DX1161" s="1" t="s">
        <v>234</v>
      </c>
      <c r="DY1161" s="1" t="s">
        <v>12590</v>
      </c>
      <c r="DZ1161" s="1" t="s">
        <v>766</v>
      </c>
      <c r="EA1161" s="1" t="s">
        <v>683</v>
      </c>
      <c r="EB1161" s="1" t="s">
        <v>684</v>
      </c>
      <c r="EC1161" s="1" t="s">
        <v>685</v>
      </c>
      <c r="ED1161" s="1" t="s">
        <v>407</v>
      </c>
      <c r="EG1161" s="1" t="s">
        <v>494</v>
      </c>
      <c r="EH1161" s="1" t="s">
        <v>408</v>
      </c>
      <c r="EL1161" s="1" t="s">
        <v>1244</v>
      </c>
      <c r="EM1161" s="1" t="s">
        <v>42</v>
      </c>
      <c r="EN1161" s="1" t="s">
        <v>210</v>
      </c>
      <c r="EP1161" s="1" t="s">
        <v>3182</v>
      </c>
      <c r="EQ1161" s="1" t="s">
        <v>206</v>
      </c>
      <c r="ER1161" s="1" t="s">
        <v>207</v>
      </c>
      <c r="EU1161" s="1" t="s">
        <v>238</v>
      </c>
      <c r="EY1161" s="1" t="s">
        <v>238</v>
      </c>
      <c r="FC1161" s="1" t="s">
        <v>238</v>
      </c>
      <c r="FF1161" s="1" t="s">
        <v>239</v>
      </c>
      <c r="FG1161" s="1" t="s">
        <v>192</v>
      </c>
      <c r="FH1161" s="1" t="s">
        <v>192</v>
      </c>
      <c r="FJ1161" s="1" t="s">
        <v>12591</v>
      </c>
      <c r="FK1161" s="1" t="s">
        <v>229</v>
      </c>
      <c r="FL1161" s="1" t="s">
        <v>1007</v>
      </c>
      <c r="FM1161" s="1">
        <v>93043.0</v>
      </c>
      <c r="FN1161" s="1" t="s">
        <v>1008</v>
      </c>
      <c r="FO1161" s="1" t="s">
        <v>12592</v>
      </c>
      <c r="FP1161" s="1">
        <v>930102.0</v>
      </c>
      <c r="FQ1161" s="1" t="s">
        <v>12593</v>
      </c>
      <c r="FU1161" s="1" t="s">
        <v>12594</v>
      </c>
      <c r="FV1161" s="1" t="s">
        <v>200</v>
      </c>
      <c r="FW1161" s="1" t="s">
        <v>290</v>
      </c>
      <c r="FZ1161" s="1" t="s">
        <v>229</v>
      </c>
      <c r="GA1161" s="1" t="s">
        <v>291</v>
      </c>
      <c r="GB1161" s="2">
        <v>42114.0</v>
      </c>
      <c r="GC1161" s="1" t="s">
        <v>12595</v>
      </c>
    </row>
    <row r="1162">
      <c r="A1162" s="1">
        <v>30000.0</v>
      </c>
      <c r="B1162" s="1" t="s">
        <v>185</v>
      </c>
      <c r="C1162" s="1" t="str">
        <f>"08845571"</f>
        <v>08845571</v>
      </c>
      <c r="D1162" s="1" t="s">
        <v>186</v>
      </c>
      <c r="F1162" s="1" t="str">
        <f>"8061"</f>
        <v>8061</v>
      </c>
      <c r="G1162" s="2">
        <v>42059.0</v>
      </c>
      <c r="H1162" s="1">
        <v>30000.0</v>
      </c>
      <c r="I1162" s="1">
        <v>17.0</v>
      </c>
      <c r="J1162" s="1">
        <v>30000.0</v>
      </c>
      <c r="K1162" s="2">
        <v>42075.0</v>
      </c>
      <c r="L1162" s="1">
        <v>17.0</v>
      </c>
      <c r="M1162" s="2">
        <v>42075.0</v>
      </c>
      <c r="N1162" s="1" t="s">
        <v>249</v>
      </c>
      <c r="O1162" s="2">
        <v>42117.0</v>
      </c>
      <c r="P1162" s="1">
        <v>118439.0</v>
      </c>
      <c r="Q1162" s="1">
        <v>12519.0</v>
      </c>
      <c r="S1162" s="1">
        <v>5330.0</v>
      </c>
      <c r="T1162" s="1" t="s">
        <v>12142</v>
      </c>
      <c r="U1162" s="1" t="s">
        <v>320</v>
      </c>
      <c r="V1162" s="1" t="s">
        <v>190</v>
      </c>
      <c r="W1162" s="1">
        <v>60609.0</v>
      </c>
      <c r="Y1162" s="1" t="s">
        <v>12596</v>
      </c>
      <c r="Z1162" s="1">
        <v>1881.0</v>
      </c>
      <c r="AA1162" s="1" t="s">
        <v>192</v>
      </c>
      <c r="AB1162" s="1" t="s">
        <v>193</v>
      </c>
      <c r="AD1162" s="1" t="s">
        <v>194</v>
      </c>
      <c r="AE1162" s="1" t="s">
        <v>195</v>
      </c>
      <c r="AF1162" s="1" t="s">
        <v>659</v>
      </c>
      <c r="AH1162" s="1" t="s">
        <v>12597</v>
      </c>
      <c r="AI1162" s="1">
        <v>0.1435</v>
      </c>
      <c r="AK1162" s="1">
        <v>6.0</v>
      </c>
      <c r="AL1162" s="1">
        <v>4.0</v>
      </c>
      <c r="AM1162" s="1">
        <v>1.0</v>
      </c>
      <c r="AN1162" s="1">
        <v>1.0</v>
      </c>
      <c r="AO1162" s="1" t="s">
        <v>229</v>
      </c>
      <c r="AQ1162" s="1" t="s">
        <v>229</v>
      </c>
      <c r="AR1162" s="1" t="s">
        <v>200</v>
      </c>
      <c r="AS1162" s="1" t="s">
        <v>229</v>
      </c>
      <c r="AV1162" s="1" t="s">
        <v>200</v>
      </c>
      <c r="AW1162" s="1">
        <v>1116.38</v>
      </c>
      <c r="AX1162" s="1">
        <v>2013.0</v>
      </c>
      <c r="AY1162" s="1" t="s">
        <v>229</v>
      </c>
      <c r="AZ1162" s="1" t="s">
        <v>200</v>
      </c>
      <c r="BA1162" s="1" t="str">
        <f>"20084150340000"</f>
        <v>20084150340000</v>
      </c>
      <c r="BB1162" s="1" t="s">
        <v>200</v>
      </c>
      <c r="BC1162" s="1">
        <v>861.0</v>
      </c>
      <c r="BD1162" s="1">
        <v>30000.0</v>
      </c>
      <c r="BE1162" s="2">
        <v>42059.0</v>
      </c>
      <c r="BF1162" s="1" t="s">
        <v>12598</v>
      </c>
      <c r="BH1162" s="1">
        <v>0.0</v>
      </c>
      <c r="BK1162" s="1" t="s">
        <v>204</v>
      </c>
      <c r="BL1162" s="1" t="str">
        <f t="shared" ref="BL1162:BM1162" si="774">"0"</f>
        <v>0</v>
      </c>
      <c r="BM1162" s="1" t="str">
        <f t="shared" si="774"/>
        <v>0</v>
      </c>
      <c r="BN1162" s="1">
        <v>1100.0</v>
      </c>
      <c r="BO1162" s="1">
        <v>5300.0</v>
      </c>
      <c r="BQ1162" s="1">
        <v>299.0</v>
      </c>
      <c r="BR1162" s="1">
        <v>299.0</v>
      </c>
      <c r="BS1162" s="1">
        <v>299.0</v>
      </c>
      <c r="BU1162" s="1" t="s">
        <v>208</v>
      </c>
      <c r="BV1162" s="1" t="s">
        <v>206</v>
      </c>
      <c r="BY1162" s="1" t="s">
        <v>700</v>
      </c>
      <c r="BZ1162" s="1" t="s">
        <v>209</v>
      </c>
      <c r="CD1162" s="1" t="s">
        <v>204</v>
      </c>
      <c r="CG1162" s="1" t="s">
        <v>433</v>
      </c>
      <c r="CH1162" s="1" t="s">
        <v>209</v>
      </c>
      <c r="CK1162" s="1" t="s">
        <v>392</v>
      </c>
      <c r="CL1162" s="1" t="s">
        <v>209</v>
      </c>
      <c r="CO1162" s="1" t="s">
        <v>212</v>
      </c>
      <c r="CP1162" s="1" t="s">
        <v>209</v>
      </c>
      <c r="CS1162" s="1" t="s">
        <v>743</v>
      </c>
      <c r="CT1162" s="1" t="s">
        <v>206</v>
      </c>
      <c r="CX1162" s="1" t="s">
        <v>204</v>
      </c>
      <c r="DA1162" s="1" t="s">
        <v>200</v>
      </c>
      <c r="DC1162" s="1" t="s">
        <v>642</v>
      </c>
      <c r="DD1162" s="1" t="s">
        <v>518</v>
      </c>
      <c r="DE1162" s="1" t="s">
        <v>229</v>
      </c>
      <c r="DF1162" s="1" t="s">
        <v>219</v>
      </c>
      <c r="DH1162" s="1" t="s">
        <v>307</v>
      </c>
      <c r="DJ1162" s="1" t="s">
        <v>222</v>
      </c>
      <c r="DL1162" s="1" t="s">
        <v>229</v>
      </c>
      <c r="DM1162" s="1" t="s">
        <v>229</v>
      </c>
      <c r="DQ1162" s="1" t="s">
        <v>228</v>
      </c>
      <c r="DR1162" s="1" t="s">
        <v>229</v>
      </c>
      <c r="DV1162" s="1" t="s">
        <v>232</v>
      </c>
      <c r="DW1162" s="1" t="s">
        <v>667</v>
      </c>
      <c r="DX1162" s="1" t="s">
        <v>309</v>
      </c>
      <c r="EC1162" s="1" t="s">
        <v>237</v>
      </c>
      <c r="EE1162" s="1" t="s">
        <v>1960</v>
      </c>
      <c r="EM1162" s="1" t="s">
        <v>238</v>
      </c>
      <c r="EQ1162" s="1" t="s">
        <v>238</v>
      </c>
      <c r="EU1162" s="1" t="s">
        <v>238</v>
      </c>
      <c r="EY1162" s="1" t="s">
        <v>238</v>
      </c>
      <c r="FC1162" s="1" t="s">
        <v>238</v>
      </c>
      <c r="FF1162" s="1" t="s">
        <v>239</v>
      </c>
      <c r="FG1162" s="1" t="s">
        <v>192</v>
      </c>
      <c r="FH1162" s="1" t="s">
        <v>192</v>
      </c>
      <c r="FJ1162" s="1" t="s">
        <v>1674</v>
      </c>
      <c r="FK1162" s="1" t="s">
        <v>229</v>
      </c>
      <c r="FL1162" s="1" t="s">
        <v>1675</v>
      </c>
      <c r="FM1162" s="1">
        <v>12519.0</v>
      </c>
      <c r="FN1162" s="1" t="s">
        <v>1676</v>
      </c>
      <c r="FO1162" s="1" t="s">
        <v>1677</v>
      </c>
      <c r="FP1162" s="1">
        <v>118439.0</v>
      </c>
      <c r="FQ1162" s="1" t="s">
        <v>1678</v>
      </c>
      <c r="FR1162" s="1">
        <v>118337.0</v>
      </c>
      <c r="FU1162" s="1" t="s">
        <v>1679</v>
      </c>
      <c r="FV1162" s="1" t="s">
        <v>200</v>
      </c>
      <c r="FW1162" s="1" t="s">
        <v>8231</v>
      </c>
      <c r="FX1162" s="1" t="s">
        <v>655</v>
      </c>
      <c r="FZ1162" s="1" t="s">
        <v>229</v>
      </c>
      <c r="GA1162" s="1" t="s">
        <v>291</v>
      </c>
      <c r="GB1162" s="2">
        <v>42118.0</v>
      </c>
      <c r="GC1162" s="1" t="s">
        <v>12599</v>
      </c>
    </row>
    <row r="1163">
      <c r="A1163" s="1">
        <v>252000.0</v>
      </c>
      <c r="B1163" s="1" t="s">
        <v>185</v>
      </c>
      <c r="C1163" s="1" t="str">
        <f>"08844497"</f>
        <v>08844497</v>
      </c>
      <c r="D1163" s="1" t="s">
        <v>186</v>
      </c>
      <c r="F1163" s="1" t="str">
        <f>"178"</f>
        <v>178</v>
      </c>
      <c r="G1163" s="2">
        <v>42058.0</v>
      </c>
      <c r="H1163" s="1">
        <v>259999.0</v>
      </c>
      <c r="I1163" s="1">
        <v>45.0</v>
      </c>
      <c r="J1163" s="1">
        <v>249900.0</v>
      </c>
      <c r="K1163" s="2">
        <v>42100.0</v>
      </c>
      <c r="L1163" s="1">
        <v>45.0</v>
      </c>
      <c r="M1163" s="2">
        <v>42100.0</v>
      </c>
      <c r="N1163" s="1" t="s">
        <v>249</v>
      </c>
      <c r="O1163" s="2">
        <v>42124.0</v>
      </c>
      <c r="P1163" s="1">
        <v>237435.0</v>
      </c>
      <c r="Q1163" s="1">
        <v>24809.0</v>
      </c>
      <c r="S1163" s="1">
        <v>1311.0</v>
      </c>
      <c r="T1163" s="1" t="s">
        <v>1526</v>
      </c>
      <c r="U1163" s="1" t="s">
        <v>420</v>
      </c>
      <c r="V1163" s="1" t="s">
        <v>994</v>
      </c>
      <c r="W1163" s="1">
        <v>60178.0</v>
      </c>
      <c r="Y1163" s="1" t="s">
        <v>12600</v>
      </c>
      <c r="Z1163" s="1">
        <v>2001.0</v>
      </c>
      <c r="AA1163" s="1" t="s">
        <v>200</v>
      </c>
      <c r="AB1163" s="1" t="s">
        <v>193</v>
      </c>
      <c r="AC1163" s="1" t="s">
        <v>11222</v>
      </c>
      <c r="AD1163" s="1" t="s">
        <v>997</v>
      </c>
      <c r="AE1163" s="1" t="s">
        <v>613</v>
      </c>
      <c r="AF1163" s="1" t="s">
        <v>4019</v>
      </c>
      <c r="AH1163" s="1" t="s">
        <v>12601</v>
      </c>
      <c r="AI1163" s="1">
        <v>0.27</v>
      </c>
      <c r="AK1163" s="1">
        <v>11.0</v>
      </c>
      <c r="AL1163" s="1">
        <v>4.0</v>
      </c>
      <c r="AM1163" s="1">
        <v>2.0</v>
      </c>
      <c r="AN1163" s="1">
        <v>2.0</v>
      </c>
      <c r="AO1163" s="1" t="s">
        <v>198</v>
      </c>
      <c r="AP1163" s="1">
        <v>1.0</v>
      </c>
      <c r="AQ1163" s="1" t="s">
        <v>198</v>
      </c>
      <c r="AR1163" s="1" t="s">
        <v>192</v>
      </c>
      <c r="AS1163" s="1" t="s">
        <v>510</v>
      </c>
      <c r="AT1163" s="1">
        <v>2.1</v>
      </c>
      <c r="AU1163" s="1">
        <v>2.0</v>
      </c>
      <c r="AV1163" s="1" t="s">
        <v>200</v>
      </c>
      <c r="AW1163" s="1">
        <v>6168.82</v>
      </c>
      <c r="AX1163" s="1">
        <v>2013.0</v>
      </c>
      <c r="AY1163" s="1" t="s">
        <v>852</v>
      </c>
      <c r="AZ1163" s="1" t="s">
        <v>200</v>
      </c>
      <c r="BA1163" s="1" t="str">
        <f>"0906225004"</f>
        <v>0906225004</v>
      </c>
      <c r="BC1163" s="1">
        <v>2122.0</v>
      </c>
      <c r="BD1163" s="1">
        <v>252000.0</v>
      </c>
      <c r="BE1163" s="2">
        <v>42056.0</v>
      </c>
      <c r="BF1163" s="2" t="s">
        <v>12602</v>
      </c>
      <c r="BH1163" s="1">
        <v>0.0</v>
      </c>
      <c r="BK1163" s="1" t="s">
        <v>204</v>
      </c>
      <c r="BL1163" s="1" t="str">
        <f t="shared" ref="BL1163:BM1163" si="775">""</f>
        <v/>
      </c>
      <c r="BM1163" s="1" t="str">
        <f t="shared" si="775"/>
        <v/>
      </c>
      <c r="BQ1163" s="1">
        <v>427.0</v>
      </c>
      <c r="BR1163" s="1">
        <v>427.0</v>
      </c>
      <c r="BS1163" s="1">
        <v>427.0</v>
      </c>
      <c r="BU1163" s="1" t="s">
        <v>212</v>
      </c>
      <c r="BV1163" s="1" t="s">
        <v>206</v>
      </c>
      <c r="BW1163" s="1" t="s">
        <v>207</v>
      </c>
      <c r="BX1163" s="1" t="s">
        <v>1549</v>
      </c>
      <c r="BY1163" s="1" t="s">
        <v>1426</v>
      </c>
      <c r="BZ1163" s="1" t="s">
        <v>209</v>
      </c>
      <c r="CA1163" s="1" t="s">
        <v>210</v>
      </c>
      <c r="CB1163" s="1" t="s">
        <v>1549</v>
      </c>
      <c r="CC1163" s="1" t="s">
        <v>215</v>
      </c>
      <c r="CD1163" s="1" t="s">
        <v>206</v>
      </c>
      <c r="CE1163" s="1" t="s">
        <v>207</v>
      </c>
      <c r="CF1163" s="1" t="s">
        <v>1549</v>
      </c>
      <c r="CG1163" s="1" t="s">
        <v>212</v>
      </c>
      <c r="CH1163" s="1" t="s">
        <v>209</v>
      </c>
      <c r="CI1163" s="1" t="s">
        <v>210</v>
      </c>
      <c r="CJ1163" s="1" t="s">
        <v>431</v>
      </c>
      <c r="CK1163" s="1" t="s">
        <v>212</v>
      </c>
      <c r="CL1163" s="1" t="s">
        <v>209</v>
      </c>
      <c r="CM1163" s="1" t="s">
        <v>210</v>
      </c>
      <c r="CN1163" s="1" t="s">
        <v>431</v>
      </c>
      <c r="CO1163" s="1" t="s">
        <v>363</v>
      </c>
      <c r="CP1163" s="1" t="s">
        <v>209</v>
      </c>
      <c r="CQ1163" s="1" t="s">
        <v>210</v>
      </c>
      <c r="CR1163" s="1" t="s">
        <v>431</v>
      </c>
      <c r="CS1163" s="1" t="s">
        <v>205</v>
      </c>
      <c r="CT1163" s="1" t="s">
        <v>206</v>
      </c>
      <c r="CU1163" s="1" t="s">
        <v>207</v>
      </c>
      <c r="CV1163" s="1" t="s">
        <v>1549</v>
      </c>
      <c r="CW1163" s="1" t="s">
        <v>208</v>
      </c>
      <c r="CX1163" s="1" t="s">
        <v>206</v>
      </c>
      <c r="CY1163" s="1" t="s">
        <v>207</v>
      </c>
      <c r="CZ1163" s="1" t="s">
        <v>1549</v>
      </c>
      <c r="DA1163" s="1" t="s">
        <v>200</v>
      </c>
      <c r="DC1163" s="1" t="s">
        <v>335</v>
      </c>
      <c r="DD1163" s="1" t="s">
        <v>518</v>
      </c>
      <c r="DE1163" s="1" t="s">
        <v>218</v>
      </c>
      <c r="DF1163" s="1" t="s">
        <v>3258</v>
      </c>
      <c r="DG1163" s="1" t="s">
        <v>337</v>
      </c>
      <c r="DH1163" s="1" t="s">
        <v>220</v>
      </c>
      <c r="DI1163" s="1" t="s">
        <v>221</v>
      </c>
      <c r="DJ1163" s="1" t="s">
        <v>222</v>
      </c>
      <c r="DK1163" s="1" t="s">
        <v>198</v>
      </c>
      <c r="DL1163" s="1" t="s">
        <v>858</v>
      </c>
      <c r="DM1163" s="1" t="s">
        <v>338</v>
      </c>
      <c r="DN1163" s="1" t="s">
        <v>399</v>
      </c>
      <c r="DO1163" s="1" t="s">
        <v>12603</v>
      </c>
      <c r="DP1163" s="1" t="s">
        <v>340</v>
      </c>
      <c r="DQ1163" s="1" t="s">
        <v>441</v>
      </c>
      <c r="DR1163" s="1" t="s">
        <v>229</v>
      </c>
      <c r="DS1163" s="1" t="s">
        <v>368</v>
      </c>
      <c r="DV1163" s="1" t="s">
        <v>12604</v>
      </c>
      <c r="DW1163" s="1" t="s">
        <v>444</v>
      </c>
      <c r="DX1163" s="1" t="s">
        <v>234</v>
      </c>
      <c r="DY1163" s="1" t="s">
        <v>1936</v>
      </c>
      <c r="DZ1163" s="1" t="s">
        <v>7881</v>
      </c>
      <c r="EA1163" s="1" t="s">
        <v>344</v>
      </c>
      <c r="EB1163" s="1" t="s">
        <v>767</v>
      </c>
      <c r="EC1163" s="1" t="s">
        <v>237</v>
      </c>
      <c r="ED1163" s="1" t="s">
        <v>407</v>
      </c>
      <c r="EE1163" s="1" t="s">
        <v>1077</v>
      </c>
      <c r="EF1163" s="1" t="s">
        <v>12605</v>
      </c>
      <c r="EG1163" s="1" t="s">
        <v>450</v>
      </c>
      <c r="EH1163" s="1" t="s">
        <v>451</v>
      </c>
      <c r="EI1163" s="1" t="s">
        <v>1824</v>
      </c>
      <c r="EJ1163" s="1" t="s">
        <v>720</v>
      </c>
      <c r="EL1163" s="1" t="s">
        <v>2861</v>
      </c>
      <c r="EM1163" s="1" t="s">
        <v>42</v>
      </c>
      <c r="EN1163" s="1" t="s">
        <v>210</v>
      </c>
      <c r="EO1163" s="1" t="s">
        <v>229</v>
      </c>
      <c r="EP1163" s="1" t="s">
        <v>1746</v>
      </c>
      <c r="EQ1163" s="1" t="s">
        <v>42</v>
      </c>
      <c r="ER1163" s="1" t="s">
        <v>210</v>
      </c>
      <c r="ES1163" s="1" t="s">
        <v>229</v>
      </c>
      <c r="ET1163" s="1" t="s">
        <v>2072</v>
      </c>
      <c r="EU1163" s="1" t="s">
        <v>42</v>
      </c>
      <c r="EV1163" s="1" t="s">
        <v>268</v>
      </c>
      <c r="EW1163" s="1" t="s">
        <v>229</v>
      </c>
      <c r="EX1163" s="1" t="s">
        <v>12606</v>
      </c>
      <c r="EY1163" s="1" t="s">
        <v>206</v>
      </c>
      <c r="EZ1163" s="1" t="s">
        <v>268</v>
      </c>
      <c r="FA1163" s="1" t="s">
        <v>1549</v>
      </c>
      <c r="FC1163" s="1" t="s">
        <v>238</v>
      </c>
      <c r="FF1163" s="1" t="s">
        <v>239</v>
      </c>
      <c r="FG1163" s="1" t="s">
        <v>192</v>
      </c>
      <c r="FH1163" s="1" t="s">
        <v>192</v>
      </c>
      <c r="FJ1163" s="1" t="s">
        <v>3062</v>
      </c>
      <c r="FK1163" s="1" t="s">
        <v>348</v>
      </c>
      <c r="FL1163" s="1" t="s">
        <v>2926</v>
      </c>
      <c r="FM1163" s="1">
        <v>24809.0</v>
      </c>
      <c r="FN1163" s="1" t="s">
        <v>2927</v>
      </c>
      <c r="FO1163" s="1" t="s">
        <v>9003</v>
      </c>
      <c r="FP1163" s="1">
        <v>237428.0</v>
      </c>
      <c r="FQ1163" s="1" t="s">
        <v>9004</v>
      </c>
      <c r="FU1163" s="1" t="s">
        <v>12607</v>
      </c>
      <c r="FV1163" s="1" t="s">
        <v>200</v>
      </c>
      <c r="FW1163" s="1" t="s">
        <v>12608</v>
      </c>
      <c r="FZ1163" s="1" t="s">
        <v>229</v>
      </c>
      <c r="GA1163" s="1" t="s">
        <v>291</v>
      </c>
      <c r="GB1163" s="2">
        <v>42125.0</v>
      </c>
      <c r="GC1163" s="1" t="s">
        <v>12609</v>
      </c>
    </row>
    <row r="1164">
      <c r="A1164" s="1">
        <v>244000.0</v>
      </c>
      <c r="B1164" s="1" t="s">
        <v>185</v>
      </c>
      <c r="C1164" s="1" t="str">
        <f>"08844098"</f>
        <v>08844098</v>
      </c>
      <c r="D1164" s="1" t="s">
        <v>186</v>
      </c>
      <c r="F1164" s="1" t="str">
        <f>"123"</f>
        <v>123</v>
      </c>
      <c r="G1164" s="2">
        <v>42057.0</v>
      </c>
      <c r="H1164" s="1">
        <v>244900.0</v>
      </c>
      <c r="I1164" s="1">
        <v>46.0</v>
      </c>
      <c r="J1164" s="1">
        <v>244900.0</v>
      </c>
      <c r="K1164" s="2">
        <v>42102.0</v>
      </c>
      <c r="L1164" s="1">
        <v>46.0</v>
      </c>
      <c r="M1164" s="2">
        <v>42102.0</v>
      </c>
      <c r="N1164" s="1" t="s">
        <v>187</v>
      </c>
      <c r="O1164" s="2">
        <v>42145.0</v>
      </c>
      <c r="P1164" s="1">
        <v>257022.0</v>
      </c>
      <c r="Q1164" s="1">
        <v>25072.0</v>
      </c>
      <c r="R1164" s="1">
        <v>3.0</v>
      </c>
      <c r="S1164" s="1">
        <v>2019.0</v>
      </c>
      <c r="T1164" s="1" t="s">
        <v>12610</v>
      </c>
      <c r="U1164" s="1" t="s">
        <v>1015</v>
      </c>
      <c r="V1164" s="1" t="s">
        <v>465</v>
      </c>
      <c r="W1164" s="1">
        <v>60123.0</v>
      </c>
      <c r="Y1164" s="1" t="s">
        <v>12611</v>
      </c>
      <c r="Z1164" s="1">
        <v>1992.0</v>
      </c>
      <c r="AA1164" s="1" t="s">
        <v>200</v>
      </c>
      <c r="AB1164" s="1" t="s">
        <v>467</v>
      </c>
      <c r="AC1164" s="1" t="s">
        <v>8623</v>
      </c>
      <c r="AD1164" s="1" t="s">
        <v>469</v>
      </c>
      <c r="AE1164" s="1" t="s">
        <v>325</v>
      </c>
      <c r="AF1164" s="1" t="s">
        <v>469</v>
      </c>
      <c r="AG1164" s="1" t="s">
        <v>3069</v>
      </c>
      <c r="AH1164" s="1" t="s">
        <v>12612</v>
      </c>
      <c r="AI1164" s="1">
        <v>0.2221</v>
      </c>
      <c r="AK1164" s="1">
        <v>9.0</v>
      </c>
      <c r="AL1164" s="1">
        <v>4.0</v>
      </c>
      <c r="AM1164" s="1">
        <v>2.0</v>
      </c>
      <c r="AN1164" s="1">
        <v>1.0</v>
      </c>
      <c r="AO1164" s="1" t="s">
        <v>198</v>
      </c>
      <c r="AP1164" s="1">
        <v>1.0</v>
      </c>
      <c r="AQ1164" s="1" t="s">
        <v>198</v>
      </c>
      <c r="AR1164" s="1" t="s">
        <v>200</v>
      </c>
      <c r="AS1164" s="1" t="s">
        <v>199</v>
      </c>
      <c r="AT1164" s="1">
        <v>2.0</v>
      </c>
      <c r="AV1164" s="1" t="s">
        <v>200</v>
      </c>
      <c r="AW1164" s="1">
        <v>5946.26</v>
      </c>
      <c r="AX1164" s="1">
        <v>2013.0</v>
      </c>
      <c r="AY1164" s="1" t="s">
        <v>387</v>
      </c>
      <c r="AZ1164" s="1" t="s">
        <v>200</v>
      </c>
      <c r="BA1164" s="1" t="str">
        <f>"0628253010"</f>
        <v>0628253010</v>
      </c>
      <c r="BC1164" s="1">
        <v>2348.0</v>
      </c>
      <c r="BD1164" s="1">
        <v>244000.0</v>
      </c>
      <c r="BE1164" s="2">
        <v>42057.0</v>
      </c>
      <c r="BF1164" s="2" t="s">
        <v>12613</v>
      </c>
      <c r="BH1164" s="1">
        <v>83.0</v>
      </c>
      <c r="BK1164" s="1" t="s">
        <v>580</v>
      </c>
      <c r="BL1164" s="1" t="str">
        <f t="shared" ref="BL1164:BM1164" si="776">""</f>
        <v/>
      </c>
      <c r="BM1164" s="1" t="str">
        <f t="shared" si="776"/>
        <v/>
      </c>
      <c r="BQ1164" s="1">
        <v>46.0</v>
      </c>
      <c r="BR1164" s="1">
        <v>46.0</v>
      </c>
      <c r="BS1164" s="1">
        <v>46.0</v>
      </c>
      <c r="BU1164" s="1" t="s">
        <v>758</v>
      </c>
      <c r="BV1164" s="1" t="s">
        <v>206</v>
      </c>
      <c r="BW1164" s="1" t="s">
        <v>210</v>
      </c>
      <c r="BX1164" s="1" t="s">
        <v>431</v>
      </c>
      <c r="BY1164" s="1" t="s">
        <v>1483</v>
      </c>
      <c r="BZ1164" s="1" t="s">
        <v>209</v>
      </c>
      <c r="CA1164" s="1" t="s">
        <v>210</v>
      </c>
      <c r="CB1164" s="1" t="s">
        <v>431</v>
      </c>
      <c r="CC1164" s="1" t="s">
        <v>215</v>
      </c>
      <c r="CD1164" s="1" t="s">
        <v>206</v>
      </c>
      <c r="CE1164" s="1" t="s">
        <v>210</v>
      </c>
      <c r="CF1164" s="1" t="s">
        <v>431</v>
      </c>
      <c r="CG1164" s="1" t="s">
        <v>497</v>
      </c>
      <c r="CH1164" s="1" t="s">
        <v>209</v>
      </c>
      <c r="CI1164" s="1" t="s">
        <v>210</v>
      </c>
      <c r="CJ1164" s="1" t="s">
        <v>431</v>
      </c>
      <c r="CK1164" s="1" t="s">
        <v>266</v>
      </c>
      <c r="CL1164" s="1" t="s">
        <v>209</v>
      </c>
      <c r="CM1164" s="1" t="s">
        <v>210</v>
      </c>
      <c r="CN1164" s="1" t="s">
        <v>431</v>
      </c>
      <c r="CO1164" s="1" t="s">
        <v>269</v>
      </c>
      <c r="CP1164" s="1" t="s">
        <v>209</v>
      </c>
      <c r="CQ1164" s="1" t="s">
        <v>210</v>
      </c>
      <c r="CR1164" s="1" t="s">
        <v>431</v>
      </c>
      <c r="CS1164" s="1" t="s">
        <v>784</v>
      </c>
      <c r="CT1164" s="1" t="s">
        <v>206</v>
      </c>
      <c r="CU1164" s="1" t="s">
        <v>301</v>
      </c>
      <c r="CV1164" s="1" t="s">
        <v>431</v>
      </c>
      <c r="CW1164" s="1" t="s">
        <v>1378</v>
      </c>
      <c r="CX1164" s="1" t="s">
        <v>206</v>
      </c>
      <c r="CY1164" s="1" t="s">
        <v>210</v>
      </c>
      <c r="CZ1164" s="1" t="s">
        <v>431</v>
      </c>
      <c r="DA1164" s="1" t="s">
        <v>200</v>
      </c>
      <c r="DC1164" s="1" t="s">
        <v>435</v>
      </c>
      <c r="DD1164" s="1" t="s">
        <v>1838</v>
      </c>
      <c r="DE1164" s="1" t="s">
        <v>273</v>
      </c>
      <c r="DF1164" s="1" t="s">
        <v>219</v>
      </c>
      <c r="DG1164" s="1" t="s">
        <v>482</v>
      </c>
      <c r="DH1164" s="1" t="s">
        <v>220</v>
      </c>
      <c r="DI1164" s="1" t="s">
        <v>221</v>
      </c>
      <c r="DJ1164" s="1" t="s">
        <v>222</v>
      </c>
      <c r="DK1164" s="1" t="s">
        <v>223</v>
      </c>
      <c r="DL1164" s="1" t="s">
        <v>224</v>
      </c>
      <c r="DM1164" s="1" t="s">
        <v>338</v>
      </c>
      <c r="DN1164" s="1" t="s">
        <v>3844</v>
      </c>
      <c r="DP1164" s="1" t="s">
        <v>340</v>
      </c>
      <c r="DQ1164" s="1" t="s">
        <v>228</v>
      </c>
      <c r="DR1164" s="1" t="s">
        <v>588</v>
      </c>
      <c r="DS1164" s="1" t="s">
        <v>230</v>
      </c>
      <c r="DU1164" s="1" t="s">
        <v>1049</v>
      </c>
      <c r="DV1164" s="1" t="s">
        <v>12614</v>
      </c>
      <c r="DW1164" s="1" t="s">
        <v>444</v>
      </c>
      <c r="DX1164" s="1" t="s">
        <v>234</v>
      </c>
      <c r="DY1164" s="1" t="s">
        <v>12615</v>
      </c>
      <c r="DZ1164" s="1" t="s">
        <v>2260</v>
      </c>
      <c r="EA1164" s="1" t="s">
        <v>447</v>
      </c>
      <c r="EB1164" s="1" t="s">
        <v>2915</v>
      </c>
      <c r="EC1164" s="1" t="s">
        <v>237</v>
      </c>
      <c r="ED1164" s="1" t="s">
        <v>407</v>
      </c>
      <c r="EE1164" s="1" t="s">
        <v>493</v>
      </c>
      <c r="EG1164" s="1" t="s">
        <v>450</v>
      </c>
      <c r="EH1164" s="1" t="s">
        <v>408</v>
      </c>
      <c r="EI1164" s="1" t="s">
        <v>588</v>
      </c>
      <c r="EJ1164" s="1" t="s">
        <v>2971</v>
      </c>
      <c r="EL1164" s="1" t="s">
        <v>1468</v>
      </c>
      <c r="EM1164" s="1" t="s">
        <v>42</v>
      </c>
      <c r="EN1164" s="1" t="s">
        <v>210</v>
      </c>
      <c r="EO1164" s="1" t="s">
        <v>431</v>
      </c>
      <c r="EP1164" s="1" t="s">
        <v>375</v>
      </c>
      <c r="EQ1164" s="1" t="s">
        <v>206</v>
      </c>
      <c r="ER1164" s="1" t="s">
        <v>268</v>
      </c>
      <c r="ET1164" s="1" t="s">
        <v>363</v>
      </c>
      <c r="EU1164" s="1" t="s">
        <v>42</v>
      </c>
      <c r="EV1164" s="1" t="s">
        <v>210</v>
      </c>
      <c r="EX1164" s="1" t="s">
        <v>1329</v>
      </c>
      <c r="EY1164" s="1" t="s">
        <v>42</v>
      </c>
      <c r="EZ1164" s="1" t="s">
        <v>210</v>
      </c>
      <c r="FA1164" s="1" t="s">
        <v>431</v>
      </c>
      <c r="FC1164" s="1" t="s">
        <v>238</v>
      </c>
      <c r="FF1164" s="1" t="s">
        <v>239</v>
      </c>
      <c r="FG1164" s="1" t="s">
        <v>192</v>
      </c>
      <c r="FH1164" s="1" t="s">
        <v>192</v>
      </c>
      <c r="FJ1164" s="1" t="s">
        <v>624</v>
      </c>
      <c r="FK1164" s="1" t="s">
        <v>229</v>
      </c>
      <c r="FL1164" s="1" t="s">
        <v>625</v>
      </c>
      <c r="FM1164" s="1">
        <v>37.0</v>
      </c>
      <c r="FN1164" s="1" t="s">
        <v>626</v>
      </c>
      <c r="FO1164" s="1" t="s">
        <v>7749</v>
      </c>
      <c r="FP1164" s="1">
        <v>77292.0</v>
      </c>
      <c r="FQ1164" s="1" t="s">
        <v>7750</v>
      </c>
      <c r="FS1164" s="1" t="s">
        <v>7751</v>
      </c>
      <c r="FU1164" s="1" t="s">
        <v>12616</v>
      </c>
      <c r="FV1164" s="1" t="s">
        <v>200</v>
      </c>
      <c r="FW1164" s="1" t="s">
        <v>12617</v>
      </c>
      <c r="FZ1164" s="1" t="s">
        <v>632</v>
      </c>
      <c r="GA1164" s="1" t="s">
        <v>291</v>
      </c>
      <c r="GB1164" s="2">
        <v>42145.0</v>
      </c>
      <c r="GC1164" s="1" t="s">
        <v>12618</v>
      </c>
    </row>
    <row r="1165">
      <c r="A1165" s="1">
        <v>267500.0</v>
      </c>
      <c r="B1165" s="1" t="s">
        <v>185</v>
      </c>
      <c r="C1165" s="1" t="str">
        <f>"08849652"</f>
        <v>08849652</v>
      </c>
      <c r="D1165" s="1" t="s">
        <v>186</v>
      </c>
      <c r="F1165" s="1" t="str">
        <f>"543"</f>
        <v>543</v>
      </c>
      <c r="G1165" s="2">
        <v>42065.0</v>
      </c>
      <c r="H1165" s="1">
        <v>270000.0</v>
      </c>
      <c r="I1165" s="1">
        <v>286.0</v>
      </c>
      <c r="J1165" s="1">
        <v>270000.0</v>
      </c>
      <c r="K1165" s="2">
        <v>42074.0</v>
      </c>
      <c r="L1165" s="1">
        <v>11.0</v>
      </c>
      <c r="M1165" s="2">
        <v>42074.0</v>
      </c>
      <c r="N1165" s="1" t="s">
        <v>356</v>
      </c>
      <c r="O1165" s="2">
        <v>42124.0</v>
      </c>
      <c r="P1165" s="1">
        <v>236170.0</v>
      </c>
      <c r="Q1165" s="1">
        <v>23099.0</v>
      </c>
      <c r="S1165" s="1">
        <v>235.0</v>
      </c>
      <c r="T1165" s="1" t="s">
        <v>4265</v>
      </c>
      <c r="U1165" s="1" t="s">
        <v>982</v>
      </c>
      <c r="V1165" s="1" t="s">
        <v>1527</v>
      </c>
      <c r="W1165" s="1">
        <v>60543.0</v>
      </c>
      <c r="Y1165" s="1" t="s">
        <v>12619</v>
      </c>
      <c r="Z1165" s="1">
        <v>2007.0</v>
      </c>
      <c r="AA1165" s="1" t="s">
        <v>200</v>
      </c>
      <c r="AB1165" s="1" t="s">
        <v>193</v>
      </c>
      <c r="AC1165" s="1" t="s">
        <v>5769</v>
      </c>
      <c r="AD1165" s="1" t="s">
        <v>1529</v>
      </c>
      <c r="AE1165" s="1" t="s">
        <v>849</v>
      </c>
      <c r="AF1165" s="1" t="s">
        <v>1529</v>
      </c>
      <c r="AG1165" s="1" t="s">
        <v>12620</v>
      </c>
      <c r="AH1165" s="1" t="s">
        <v>1990</v>
      </c>
      <c r="AK1165" s="1">
        <v>10.0</v>
      </c>
      <c r="AL1165" s="1">
        <v>4.0</v>
      </c>
      <c r="AM1165" s="1">
        <v>2.0</v>
      </c>
      <c r="AN1165" s="1">
        <v>1.0</v>
      </c>
      <c r="AO1165" s="1" t="s">
        <v>198</v>
      </c>
      <c r="AP1165" s="1">
        <v>1.0</v>
      </c>
      <c r="AQ1165" s="1" t="s">
        <v>1314</v>
      </c>
      <c r="AR1165" s="1" t="s">
        <v>200</v>
      </c>
      <c r="AS1165" s="1" t="s">
        <v>199</v>
      </c>
      <c r="AT1165" s="1">
        <v>2.0</v>
      </c>
      <c r="AV1165" s="1" t="s">
        <v>200</v>
      </c>
      <c r="AW1165" s="1">
        <v>8444.0</v>
      </c>
      <c r="AX1165" s="1">
        <v>2013.0</v>
      </c>
      <c r="AY1165" s="1" t="s">
        <v>387</v>
      </c>
      <c r="AZ1165" s="1" t="s">
        <v>200</v>
      </c>
      <c r="BA1165" s="1" t="str">
        <f>"0310376013"</f>
        <v>0310376013</v>
      </c>
      <c r="BB1165" s="1" t="s">
        <v>200</v>
      </c>
      <c r="BC1165" s="1">
        <v>2743.0</v>
      </c>
      <c r="BD1165" s="1">
        <v>267500.0</v>
      </c>
      <c r="BE1165" s="2">
        <v>42064.0</v>
      </c>
      <c r="BF1165" s="2" t="s">
        <v>12621</v>
      </c>
      <c r="BG1165" s="1" t="s">
        <v>4271</v>
      </c>
      <c r="BH1165" s="1">
        <v>20.0</v>
      </c>
      <c r="BI1165" s="1" t="s">
        <v>3647</v>
      </c>
      <c r="BJ1165" s="1" t="s">
        <v>2546</v>
      </c>
      <c r="BK1165" s="1" t="s">
        <v>474</v>
      </c>
      <c r="BL1165" s="1" t="str">
        <f t="shared" ref="BL1165:BM1165" si="777">"0"</f>
        <v>0</v>
      </c>
      <c r="BM1165" s="1" t="str">
        <f t="shared" si="777"/>
        <v>0</v>
      </c>
      <c r="BN1165" s="1">
        <v>36.0</v>
      </c>
      <c r="BO1165" s="1">
        <v>12.0</v>
      </c>
      <c r="BQ1165" s="1">
        <v>308.0</v>
      </c>
      <c r="BR1165" s="1">
        <v>308.0</v>
      </c>
      <c r="BS1165" s="1">
        <v>308.0</v>
      </c>
      <c r="BU1165" s="1" t="s">
        <v>361</v>
      </c>
      <c r="BV1165" s="1" t="s">
        <v>206</v>
      </c>
      <c r="BW1165" s="1" t="s">
        <v>210</v>
      </c>
      <c r="BX1165" s="1" t="s">
        <v>431</v>
      </c>
      <c r="BY1165" s="1" t="s">
        <v>479</v>
      </c>
      <c r="BZ1165" s="1" t="s">
        <v>209</v>
      </c>
      <c r="CA1165" s="1" t="s">
        <v>210</v>
      </c>
      <c r="CB1165" s="1" t="s">
        <v>431</v>
      </c>
      <c r="CC1165" s="1" t="s">
        <v>454</v>
      </c>
      <c r="CD1165" s="1" t="s">
        <v>206</v>
      </c>
      <c r="CE1165" s="1" t="s">
        <v>210</v>
      </c>
      <c r="CF1165" s="1" t="s">
        <v>431</v>
      </c>
      <c r="CG1165" s="1" t="s">
        <v>433</v>
      </c>
      <c r="CH1165" s="1" t="s">
        <v>209</v>
      </c>
      <c r="CI1165" s="1" t="s">
        <v>210</v>
      </c>
      <c r="CJ1165" s="1" t="s">
        <v>431</v>
      </c>
      <c r="CK1165" s="1" t="s">
        <v>212</v>
      </c>
      <c r="CL1165" s="1" t="s">
        <v>209</v>
      </c>
      <c r="CM1165" s="1" t="s">
        <v>210</v>
      </c>
      <c r="CN1165" s="1" t="s">
        <v>431</v>
      </c>
      <c r="CO1165" s="1" t="s">
        <v>264</v>
      </c>
      <c r="CP1165" s="1" t="s">
        <v>209</v>
      </c>
      <c r="CQ1165" s="1" t="s">
        <v>210</v>
      </c>
      <c r="CR1165" s="1" t="s">
        <v>431</v>
      </c>
      <c r="CS1165" s="1" t="s">
        <v>213</v>
      </c>
      <c r="CT1165" s="1" t="s">
        <v>206</v>
      </c>
      <c r="CU1165" s="1" t="s">
        <v>207</v>
      </c>
      <c r="CV1165" s="1" t="s">
        <v>431</v>
      </c>
      <c r="CW1165" s="1" t="s">
        <v>362</v>
      </c>
      <c r="CX1165" s="1" t="s">
        <v>206</v>
      </c>
      <c r="CY1165" s="1" t="s">
        <v>210</v>
      </c>
      <c r="CZ1165" s="1" t="s">
        <v>431</v>
      </c>
      <c r="DA1165" s="1" t="s">
        <v>200</v>
      </c>
      <c r="DC1165" s="1" t="s">
        <v>481</v>
      </c>
      <c r="DD1165" s="1" t="s">
        <v>1838</v>
      </c>
      <c r="DE1165" s="1" t="s">
        <v>273</v>
      </c>
      <c r="DF1165" s="1" t="s">
        <v>219</v>
      </c>
      <c r="DG1165" s="1" t="s">
        <v>5224</v>
      </c>
      <c r="DH1165" s="1" t="s">
        <v>220</v>
      </c>
      <c r="DI1165" s="1" t="s">
        <v>5873</v>
      </c>
      <c r="DJ1165" s="1" t="s">
        <v>222</v>
      </c>
      <c r="DK1165" s="1" t="s">
        <v>223</v>
      </c>
      <c r="DL1165" s="1" t="s">
        <v>3611</v>
      </c>
      <c r="DM1165" s="1" t="s">
        <v>338</v>
      </c>
      <c r="DN1165" s="1" t="s">
        <v>548</v>
      </c>
      <c r="DO1165" s="1" t="s">
        <v>12622</v>
      </c>
      <c r="DP1165" s="1" t="s">
        <v>340</v>
      </c>
      <c r="DQ1165" s="1" t="s">
        <v>228</v>
      </c>
      <c r="DR1165" s="1" t="s">
        <v>4273</v>
      </c>
      <c r="DS1165" s="1" t="s">
        <v>368</v>
      </c>
      <c r="DU1165" s="1" t="s">
        <v>7337</v>
      </c>
      <c r="DV1165" s="1" t="s">
        <v>643</v>
      </c>
      <c r="DW1165" s="1" t="s">
        <v>444</v>
      </c>
      <c r="DX1165" s="1" t="s">
        <v>234</v>
      </c>
      <c r="DY1165" s="1" t="s">
        <v>490</v>
      </c>
      <c r="DZ1165" s="1" t="s">
        <v>2424</v>
      </c>
      <c r="EA1165" s="1" t="s">
        <v>344</v>
      </c>
      <c r="EB1165" s="1" t="s">
        <v>492</v>
      </c>
      <c r="EC1165" s="1" t="s">
        <v>237</v>
      </c>
      <c r="ED1165" s="1" t="s">
        <v>1406</v>
      </c>
      <c r="EG1165" s="1" t="s">
        <v>556</v>
      </c>
      <c r="EK1165" s="1" t="s">
        <v>598</v>
      </c>
      <c r="EL1165" s="1" t="s">
        <v>497</v>
      </c>
      <c r="EM1165" s="1" t="s">
        <v>206</v>
      </c>
      <c r="EN1165" s="1" t="s">
        <v>207</v>
      </c>
      <c r="EO1165" s="1" t="s">
        <v>431</v>
      </c>
      <c r="EQ1165" s="1" t="s">
        <v>238</v>
      </c>
      <c r="EU1165" s="1" t="s">
        <v>238</v>
      </c>
      <c r="EY1165" s="1" t="s">
        <v>238</v>
      </c>
      <c r="FB1165" s="1" t="s">
        <v>2460</v>
      </c>
      <c r="FC1165" s="1" t="s">
        <v>206</v>
      </c>
      <c r="FD1165" s="1" t="s">
        <v>210</v>
      </c>
      <c r="FE1165" s="1" t="s">
        <v>431</v>
      </c>
      <c r="FF1165" s="1" t="s">
        <v>239</v>
      </c>
      <c r="FG1165" s="1" t="s">
        <v>192</v>
      </c>
      <c r="FH1165" s="1" t="s">
        <v>192</v>
      </c>
      <c r="FJ1165" s="1" t="s">
        <v>1248</v>
      </c>
      <c r="FK1165" s="1" t="s">
        <v>229</v>
      </c>
      <c r="FL1165" s="1" t="s">
        <v>12623</v>
      </c>
      <c r="FM1165" s="1">
        <v>22695.0</v>
      </c>
      <c r="FN1165" s="1" t="s">
        <v>12624</v>
      </c>
      <c r="FO1165" s="1" t="s">
        <v>12625</v>
      </c>
      <c r="FP1165" s="1">
        <v>225522.0</v>
      </c>
      <c r="FQ1165" s="1" t="s">
        <v>12624</v>
      </c>
      <c r="FS1165" s="1" t="s">
        <v>12626</v>
      </c>
      <c r="FU1165" s="1" t="s">
        <v>12627</v>
      </c>
      <c r="FV1165" s="1" t="s">
        <v>200</v>
      </c>
      <c r="FW1165" s="1" t="s">
        <v>290</v>
      </c>
      <c r="FZ1165" s="1" t="s">
        <v>229</v>
      </c>
      <c r="GA1165" s="1" t="s">
        <v>291</v>
      </c>
      <c r="GB1165" s="2">
        <v>42126.0</v>
      </c>
      <c r="GC1165" s="1" t="s">
        <v>12628</v>
      </c>
    </row>
    <row r="1166">
      <c r="A1166" s="1">
        <v>259000.0</v>
      </c>
      <c r="B1166" s="1" t="s">
        <v>185</v>
      </c>
      <c r="C1166" s="1" t="str">
        <f>"08844565"</f>
        <v>08844565</v>
      </c>
      <c r="D1166" s="1" t="s">
        <v>186</v>
      </c>
      <c r="F1166" s="1" t="str">
        <f>"8015"</f>
        <v>8015</v>
      </c>
      <c r="G1166" s="2">
        <v>42058.0</v>
      </c>
      <c r="H1166" s="1">
        <v>259000.0</v>
      </c>
      <c r="I1166" s="1">
        <v>4.0</v>
      </c>
      <c r="J1166" s="1">
        <v>259000.0</v>
      </c>
      <c r="K1166" s="2">
        <v>42061.0</v>
      </c>
      <c r="L1166" s="1">
        <v>4.0</v>
      </c>
      <c r="M1166" s="2">
        <v>42061.0</v>
      </c>
      <c r="N1166" s="1" t="s">
        <v>187</v>
      </c>
      <c r="O1166" s="2">
        <v>42125.0</v>
      </c>
      <c r="P1166" s="1">
        <v>875121.0</v>
      </c>
      <c r="Q1166" s="1">
        <v>13691.0</v>
      </c>
      <c r="S1166" s="1">
        <v>4033.0</v>
      </c>
      <c r="T1166" s="1" t="s">
        <v>10041</v>
      </c>
      <c r="U1166" s="1" t="s">
        <v>189</v>
      </c>
      <c r="V1166" s="1" t="s">
        <v>190</v>
      </c>
      <c r="W1166" s="1">
        <v>60641.0</v>
      </c>
      <c r="Y1166" s="1" t="s">
        <v>12629</v>
      </c>
      <c r="Z1166" s="1">
        <v>1908.0</v>
      </c>
      <c r="AA1166" s="1" t="s">
        <v>192</v>
      </c>
      <c r="AB1166" s="1" t="s">
        <v>193</v>
      </c>
      <c r="AD1166" s="1" t="s">
        <v>194</v>
      </c>
      <c r="AE1166" s="1" t="s">
        <v>195</v>
      </c>
      <c r="AF1166" s="1" t="s">
        <v>2645</v>
      </c>
      <c r="AH1166" s="1" t="s">
        <v>12630</v>
      </c>
      <c r="AI1166" s="1">
        <v>0.1064</v>
      </c>
      <c r="AK1166" s="1">
        <v>11.0</v>
      </c>
      <c r="AL1166" s="1">
        <v>3.0</v>
      </c>
      <c r="AM1166" s="1">
        <v>3.0</v>
      </c>
      <c r="AN1166" s="1">
        <v>0.0</v>
      </c>
      <c r="AO1166" s="1" t="s">
        <v>229</v>
      </c>
      <c r="AQ1166" s="1" t="s">
        <v>198</v>
      </c>
      <c r="AR1166" s="1" t="s">
        <v>192</v>
      </c>
      <c r="AS1166" s="1" t="s">
        <v>199</v>
      </c>
      <c r="AT1166" s="1">
        <v>2.0</v>
      </c>
      <c r="AV1166" s="1" t="s">
        <v>200</v>
      </c>
      <c r="AW1166" s="1">
        <v>4008.37</v>
      </c>
      <c r="AX1166" s="1">
        <v>2012.0</v>
      </c>
      <c r="AY1166" s="1" t="s">
        <v>387</v>
      </c>
      <c r="AZ1166" s="1" t="s">
        <v>200</v>
      </c>
      <c r="BA1166" s="1" t="str">
        <f>"13164240070000"</f>
        <v>13164240070000</v>
      </c>
      <c r="BC1166" s="1">
        <v>1400.0</v>
      </c>
      <c r="BD1166" s="1">
        <v>259000.0</v>
      </c>
      <c r="BE1166" s="2">
        <v>42058.0</v>
      </c>
      <c r="BF1166" s="2" t="s">
        <v>12631</v>
      </c>
      <c r="BH1166" s="1">
        <v>0.0</v>
      </c>
      <c r="BK1166" s="1" t="s">
        <v>204</v>
      </c>
      <c r="BL1166" s="1" t="str">
        <f>"4033"</f>
        <v>4033</v>
      </c>
      <c r="BM1166" s="1" t="str">
        <f t="shared" ref="BM1166:BM1167" si="778">"0"</f>
        <v>0</v>
      </c>
      <c r="BN1166" s="1">
        <v>5200.0</v>
      </c>
      <c r="BO1166" s="1">
        <v>0.0</v>
      </c>
      <c r="BQ1166" s="1">
        <v>299.0</v>
      </c>
      <c r="BR1166" s="1">
        <v>299.0</v>
      </c>
      <c r="BS1166" s="1">
        <v>299.0</v>
      </c>
      <c r="BU1166" s="1" t="s">
        <v>2261</v>
      </c>
      <c r="BV1166" s="1" t="s">
        <v>206</v>
      </c>
      <c r="BW1166" s="1" t="s">
        <v>207</v>
      </c>
      <c r="BX1166" s="1" t="s">
        <v>431</v>
      </c>
      <c r="BY1166" s="1" t="s">
        <v>743</v>
      </c>
      <c r="BZ1166" s="1" t="s">
        <v>209</v>
      </c>
      <c r="CA1166" s="1" t="s">
        <v>301</v>
      </c>
      <c r="CC1166" s="1" t="s">
        <v>542</v>
      </c>
      <c r="CD1166" s="1" t="s">
        <v>206</v>
      </c>
      <c r="CE1166" s="1" t="s">
        <v>207</v>
      </c>
      <c r="CF1166" s="1" t="s">
        <v>431</v>
      </c>
      <c r="CG1166" s="1" t="s">
        <v>212</v>
      </c>
      <c r="CH1166" s="1" t="s">
        <v>206</v>
      </c>
      <c r="CI1166" s="1" t="s">
        <v>207</v>
      </c>
      <c r="CK1166" s="1" t="s">
        <v>363</v>
      </c>
      <c r="CL1166" s="1" t="s">
        <v>206</v>
      </c>
      <c r="CM1166" s="1" t="s">
        <v>207</v>
      </c>
      <c r="CO1166" s="1" t="s">
        <v>699</v>
      </c>
      <c r="CP1166" s="1" t="s">
        <v>42</v>
      </c>
      <c r="CQ1166" s="1" t="s">
        <v>210</v>
      </c>
      <c r="CS1166" s="1" t="s">
        <v>363</v>
      </c>
      <c r="CT1166" s="1" t="s">
        <v>206</v>
      </c>
      <c r="CU1166" s="1" t="s">
        <v>207</v>
      </c>
      <c r="CW1166" s="1" t="s">
        <v>333</v>
      </c>
      <c r="CX1166" s="1" t="s">
        <v>209</v>
      </c>
      <c r="CY1166" s="1" t="s">
        <v>301</v>
      </c>
      <c r="DA1166" s="1" t="s">
        <v>200</v>
      </c>
      <c r="DC1166" s="1" t="s">
        <v>642</v>
      </c>
      <c r="DD1166" s="1" t="s">
        <v>306</v>
      </c>
      <c r="DE1166" s="1" t="s">
        <v>1810</v>
      </c>
      <c r="DF1166" s="1" t="s">
        <v>219</v>
      </c>
      <c r="DH1166" s="1" t="s">
        <v>365</v>
      </c>
      <c r="DI1166" s="1" t="s">
        <v>1463</v>
      </c>
      <c r="DJ1166" s="1" t="s">
        <v>588</v>
      </c>
      <c r="DL1166" s="1" t="s">
        <v>224</v>
      </c>
      <c r="DM1166" s="1" t="s">
        <v>229</v>
      </c>
      <c r="DP1166" s="1" t="s">
        <v>276</v>
      </c>
      <c r="DQ1166" s="1" t="s">
        <v>794</v>
      </c>
      <c r="DR1166" s="1" t="s">
        <v>229</v>
      </c>
      <c r="DV1166" s="1" t="s">
        <v>12632</v>
      </c>
      <c r="DW1166" s="1" t="s">
        <v>667</v>
      </c>
      <c r="DX1166" s="1" t="s">
        <v>234</v>
      </c>
      <c r="DY1166" s="1" t="s">
        <v>12633</v>
      </c>
      <c r="EC1166" s="1" t="s">
        <v>237</v>
      </c>
      <c r="ED1166" s="1" t="s">
        <v>555</v>
      </c>
      <c r="EG1166" s="1" t="s">
        <v>598</v>
      </c>
      <c r="EH1166" s="1" t="s">
        <v>450</v>
      </c>
      <c r="EI1166" s="1" t="s">
        <v>1407</v>
      </c>
      <c r="EJ1166" s="1" t="s">
        <v>374</v>
      </c>
      <c r="EL1166" s="1" t="s">
        <v>433</v>
      </c>
      <c r="EM1166" s="1" t="s">
        <v>209</v>
      </c>
      <c r="EN1166" s="1" t="s">
        <v>301</v>
      </c>
      <c r="EP1166" s="1" t="s">
        <v>743</v>
      </c>
      <c r="EQ1166" s="1" t="s">
        <v>42</v>
      </c>
      <c r="ET1166" s="1" t="s">
        <v>663</v>
      </c>
      <c r="EU1166" s="1" t="s">
        <v>42</v>
      </c>
      <c r="EV1166" s="1" t="s">
        <v>617</v>
      </c>
      <c r="EX1166" s="1" t="s">
        <v>1298</v>
      </c>
      <c r="EY1166" s="1" t="s">
        <v>206</v>
      </c>
      <c r="EZ1166" s="1" t="s">
        <v>588</v>
      </c>
      <c r="FC1166" s="1" t="s">
        <v>238</v>
      </c>
      <c r="FF1166" s="1" t="s">
        <v>239</v>
      </c>
      <c r="FG1166" s="1" t="s">
        <v>192</v>
      </c>
      <c r="FH1166" s="1" t="s">
        <v>192</v>
      </c>
      <c r="FJ1166" s="1" t="s">
        <v>799</v>
      </c>
      <c r="FK1166" s="1" t="s">
        <v>229</v>
      </c>
      <c r="FL1166" s="1" t="s">
        <v>413</v>
      </c>
      <c r="FM1166" s="1">
        <v>13691.0</v>
      </c>
      <c r="FN1166" s="1" t="s">
        <v>414</v>
      </c>
      <c r="FO1166" s="1" t="s">
        <v>12634</v>
      </c>
      <c r="FP1166" s="1">
        <v>103681.0</v>
      </c>
      <c r="FQ1166" s="1" t="s">
        <v>12635</v>
      </c>
      <c r="FU1166" s="1" t="s">
        <v>12636</v>
      </c>
      <c r="FV1166" s="1" t="s">
        <v>200</v>
      </c>
      <c r="FW1166" s="1" t="s">
        <v>290</v>
      </c>
      <c r="FX1166" s="1" t="s">
        <v>238</v>
      </c>
      <c r="FZ1166" s="1" t="s">
        <v>229</v>
      </c>
      <c r="GA1166" s="1" t="s">
        <v>291</v>
      </c>
      <c r="GB1166" s="2">
        <v>42128.0</v>
      </c>
      <c r="GC1166" s="1" t="s">
        <v>12637</v>
      </c>
    </row>
    <row r="1167">
      <c r="A1167" s="1">
        <v>620000.0</v>
      </c>
      <c r="B1167" s="1" t="s">
        <v>185</v>
      </c>
      <c r="C1167" s="1" t="str">
        <f>"08845779"</f>
        <v>08845779</v>
      </c>
      <c r="D1167" s="1" t="s">
        <v>186</v>
      </c>
      <c r="F1167" s="1" t="str">
        <f>"8021"</f>
        <v>8021</v>
      </c>
      <c r="G1167" s="2">
        <v>42059.0</v>
      </c>
      <c r="H1167" s="1">
        <v>625000.0</v>
      </c>
      <c r="I1167" s="1">
        <v>7.0</v>
      </c>
      <c r="J1167" s="1">
        <v>625000.0</v>
      </c>
      <c r="K1167" s="2">
        <v>42065.0</v>
      </c>
      <c r="L1167" s="1">
        <v>7.0</v>
      </c>
      <c r="M1167" s="2">
        <v>42065.0</v>
      </c>
      <c r="N1167" s="1" t="s">
        <v>187</v>
      </c>
      <c r="O1167" s="2">
        <v>42132.0</v>
      </c>
      <c r="P1167" s="1">
        <v>110346.0</v>
      </c>
      <c r="Q1167" s="1">
        <v>16379.0</v>
      </c>
      <c r="S1167" s="1">
        <v>3137.0</v>
      </c>
      <c r="T1167" s="1" t="s">
        <v>8322</v>
      </c>
      <c r="U1167" s="1" t="s">
        <v>189</v>
      </c>
      <c r="V1167" s="1" t="s">
        <v>190</v>
      </c>
      <c r="W1167" s="1">
        <v>60618.0</v>
      </c>
      <c r="Y1167" s="1" t="s">
        <v>12638</v>
      </c>
      <c r="Z1167" s="1">
        <v>2015.0</v>
      </c>
      <c r="AA1167" s="1" t="s">
        <v>200</v>
      </c>
      <c r="AB1167" s="1" t="s">
        <v>193</v>
      </c>
      <c r="AD1167" s="1" t="s">
        <v>194</v>
      </c>
      <c r="AE1167" s="1" t="s">
        <v>195</v>
      </c>
      <c r="AF1167" s="1" t="s">
        <v>2645</v>
      </c>
      <c r="AH1167" s="1" t="s">
        <v>12639</v>
      </c>
      <c r="AK1167" s="1">
        <v>8.0</v>
      </c>
      <c r="AL1167" s="1">
        <v>3.0</v>
      </c>
      <c r="AM1167" s="1">
        <v>3.0</v>
      </c>
      <c r="AN1167" s="1">
        <v>1.0</v>
      </c>
      <c r="AO1167" s="1" t="s">
        <v>198</v>
      </c>
      <c r="AP1167" s="1">
        <v>1.0</v>
      </c>
      <c r="AQ1167" s="1" t="s">
        <v>198</v>
      </c>
      <c r="AR1167" s="1" t="s">
        <v>192</v>
      </c>
      <c r="AS1167" s="1" t="s">
        <v>199</v>
      </c>
      <c r="AT1167" s="1">
        <v>2.0</v>
      </c>
      <c r="AV1167" s="1" t="s">
        <v>200</v>
      </c>
      <c r="AW1167" s="1">
        <v>2840.29</v>
      </c>
      <c r="AX1167" s="1">
        <v>2013.0</v>
      </c>
      <c r="AY1167" s="1" t="s">
        <v>387</v>
      </c>
      <c r="AZ1167" s="1" t="s">
        <v>200</v>
      </c>
      <c r="BA1167" s="1" t="str">
        <f>"13262020140000"</f>
        <v>13262020140000</v>
      </c>
      <c r="BC1167" s="1">
        <v>3100.0</v>
      </c>
      <c r="BD1167" s="1">
        <v>620000.0</v>
      </c>
      <c r="BE1167" s="2">
        <v>42059.0</v>
      </c>
      <c r="BF1167" s="2" t="s">
        <v>12640</v>
      </c>
      <c r="BH1167" s="1">
        <v>0.0</v>
      </c>
      <c r="BK1167" s="1" t="s">
        <v>204</v>
      </c>
      <c r="BL1167" s="1" t="str">
        <f>"3137"</f>
        <v>3137</v>
      </c>
      <c r="BM1167" s="1" t="str">
        <f t="shared" si="778"/>
        <v>0</v>
      </c>
      <c r="BN1167" s="1">
        <v>3400.0</v>
      </c>
      <c r="BO1167" s="1">
        <v>0.0</v>
      </c>
      <c r="BQ1167" s="1">
        <v>299.0</v>
      </c>
      <c r="BR1167" s="1">
        <v>299.0</v>
      </c>
      <c r="BS1167" s="1">
        <v>299.0</v>
      </c>
      <c r="BU1167" s="1" t="s">
        <v>390</v>
      </c>
      <c r="BV1167" s="1" t="s">
        <v>206</v>
      </c>
      <c r="BW1167" s="1" t="s">
        <v>207</v>
      </c>
      <c r="BY1167" s="1" t="s">
        <v>208</v>
      </c>
      <c r="BZ1167" s="1" t="s">
        <v>209</v>
      </c>
      <c r="CA1167" s="1" t="s">
        <v>207</v>
      </c>
      <c r="CC1167" s="1" t="s">
        <v>205</v>
      </c>
      <c r="CD1167" s="1" t="s">
        <v>206</v>
      </c>
      <c r="CE1167" s="1" t="s">
        <v>207</v>
      </c>
      <c r="CG1167" s="1" t="s">
        <v>758</v>
      </c>
      <c r="CH1167" s="1" t="s">
        <v>209</v>
      </c>
      <c r="CI1167" s="1" t="s">
        <v>207</v>
      </c>
      <c r="CK1167" s="1" t="s">
        <v>663</v>
      </c>
      <c r="CL1167" s="1" t="s">
        <v>209</v>
      </c>
      <c r="CM1167" s="1" t="s">
        <v>207</v>
      </c>
      <c r="CO1167" s="1" t="s">
        <v>212</v>
      </c>
      <c r="CP1167" s="1" t="s">
        <v>42</v>
      </c>
      <c r="CQ1167" s="1" t="s">
        <v>210</v>
      </c>
      <c r="CS1167" s="1" t="s">
        <v>1329</v>
      </c>
      <c r="CT1167" s="1" t="s">
        <v>206</v>
      </c>
      <c r="CU1167" s="1" t="s">
        <v>207</v>
      </c>
      <c r="CW1167" s="1" t="s">
        <v>924</v>
      </c>
      <c r="CX1167" s="1" t="s">
        <v>206</v>
      </c>
      <c r="CY1167" s="1" t="s">
        <v>207</v>
      </c>
      <c r="DA1167" s="1" t="s">
        <v>192</v>
      </c>
      <c r="DB1167" s="2">
        <v>42118.0</v>
      </c>
      <c r="DC1167" s="1" t="s">
        <v>744</v>
      </c>
      <c r="DD1167" s="1" t="s">
        <v>306</v>
      </c>
      <c r="DE1167" s="1" t="s">
        <v>273</v>
      </c>
      <c r="DF1167" s="1" t="s">
        <v>1718</v>
      </c>
      <c r="DG1167" s="1" t="s">
        <v>1657</v>
      </c>
      <c r="DH1167" s="1" t="s">
        <v>365</v>
      </c>
      <c r="DI1167" s="1" t="s">
        <v>366</v>
      </c>
      <c r="DJ1167" s="1" t="s">
        <v>222</v>
      </c>
      <c r="DL1167" s="1" t="s">
        <v>224</v>
      </c>
      <c r="DM1167" s="1" t="s">
        <v>225</v>
      </c>
      <c r="DN1167" s="1" t="s">
        <v>399</v>
      </c>
      <c r="DP1167" s="1" t="s">
        <v>227</v>
      </c>
      <c r="DQ1167" s="1" t="s">
        <v>228</v>
      </c>
      <c r="DR1167" s="1" t="s">
        <v>229</v>
      </c>
      <c r="DT1167" s="1" t="s">
        <v>12641</v>
      </c>
      <c r="DV1167" s="1" t="s">
        <v>2465</v>
      </c>
      <c r="DW1167" s="1" t="s">
        <v>12642</v>
      </c>
      <c r="DX1167" s="1" t="s">
        <v>234</v>
      </c>
      <c r="DY1167" s="1" t="s">
        <v>12643</v>
      </c>
      <c r="DZ1167" s="1" t="s">
        <v>491</v>
      </c>
      <c r="EA1167" s="1" t="s">
        <v>12644</v>
      </c>
      <c r="EB1167" s="1" t="s">
        <v>684</v>
      </c>
      <c r="EC1167" s="1" t="s">
        <v>237</v>
      </c>
      <c r="ED1167" s="1" t="s">
        <v>407</v>
      </c>
      <c r="EH1167" s="1" t="s">
        <v>1103</v>
      </c>
      <c r="EI1167" s="1" t="s">
        <v>310</v>
      </c>
      <c r="EM1167" s="1" t="s">
        <v>238</v>
      </c>
      <c r="EP1167" s="1" t="s">
        <v>758</v>
      </c>
      <c r="EQ1167" s="1" t="s">
        <v>42</v>
      </c>
      <c r="ER1167" s="1" t="s">
        <v>588</v>
      </c>
      <c r="ET1167" s="1" t="s">
        <v>878</v>
      </c>
      <c r="EU1167" s="1" t="s">
        <v>206</v>
      </c>
      <c r="EY1167" s="1" t="s">
        <v>238</v>
      </c>
      <c r="FC1167" s="1" t="s">
        <v>238</v>
      </c>
      <c r="FF1167" s="1" t="s">
        <v>239</v>
      </c>
      <c r="FG1167" s="1" t="s">
        <v>192</v>
      </c>
      <c r="FH1167" s="1" t="s">
        <v>192</v>
      </c>
      <c r="FJ1167" s="1" t="s">
        <v>799</v>
      </c>
      <c r="FK1167" s="1" t="s">
        <v>229</v>
      </c>
      <c r="FL1167" s="1" t="s">
        <v>562</v>
      </c>
      <c r="FM1167" s="1">
        <v>16379.0</v>
      </c>
      <c r="FN1167" s="1" t="s">
        <v>563</v>
      </c>
      <c r="FO1167" s="1" t="s">
        <v>12645</v>
      </c>
      <c r="FP1167" s="1">
        <v>172414.0</v>
      </c>
      <c r="FQ1167" s="1" t="s">
        <v>12646</v>
      </c>
      <c r="FU1167" s="1" t="s">
        <v>12647</v>
      </c>
      <c r="FV1167" s="1" t="s">
        <v>200</v>
      </c>
      <c r="FW1167" s="1" t="s">
        <v>290</v>
      </c>
      <c r="FX1167" s="1" t="s">
        <v>238</v>
      </c>
      <c r="FZ1167" s="1" t="s">
        <v>229</v>
      </c>
      <c r="GA1167" s="1" t="s">
        <v>291</v>
      </c>
      <c r="GB1167" s="2">
        <v>42132.0</v>
      </c>
      <c r="GC1167" s="1" t="s">
        <v>12648</v>
      </c>
    </row>
    <row r="1168">
      <c r="A1168" s="1">
        <v>314500.0</v>
      </c>
      <c r="B1168" s="1" t="s">
        <v>185</v>
      </c>
      <c r="C1168" s="1" t="str">
        <f>"08849392"</f>
        <v>08849392</v>
      </c>
      <c r="D1168" s="1" t="s">
        <v>186</v>
      </c>
      <c r="F1168" s="1" t="str">
        <f>"510"</f>
        <v>510</v>
      </c>
      <c r="G1168" s="2">
        <v>42064.0</v>
      </c>
      <c r="H1168" s="1">
        <v>329000.0</v>
      </c>
      <c r="I1168" s="1">
        <v>51.0</v>
      </c>
      <c r="J1168" s="1">
        <v>329000.0</v>
      </c>
      <c r="K1168" s="2">
        <v>42114.0</v>
      </c>
      <c r="L1168" s="1">
        <v>51.0</v>
      </c>
      <c r="M1168" s="2">
        <v>42114.0</v>
      </c>
      <c r="N1168" s="1" t="s">
        <v>249</v>
      </c>
      <c r="O1168" s="2">
        <v>42138.0</v>
      </c>
      <c r="P1168" s="1">
        <v>227483.0</v>
      </c>
      <c r="Q1168" s="1">
        <v>25083.0</v>
      </c>
      <c r="S1168" s="1">
        <v>915.0</v>
      </c>
      <c r="T1168" s="1" t="s">
        <v>12649</v>
      </c>
      <c r="U1168" s="1" t="s">
        <v>420</v>
      </c>
      <c r="V1168" s="1" t="s">
        <v>2700</v>
      </c>
      <c r="W1168" s="1">
        <v>60510.0</v>
      </c>
      <c r="Y1168" s="1" t="s">
        <v>12650</v>
      </c>
      <c r="Z1168" s="1">
        <v>1981.0</v>
      </c>
      <c r="AA1168" s="1" t="s">
        <v>200</v>
      </c>
      <c r="AB1168" s="1" t="s">
        <v>193</v>
      </c>
      <c r="AC1168" s="1" t="s">
        <v>1596</v>
      </c>
      <c r="AD1168" s="1" t="s">
        <v>2702</v>
      </c>
      <c r="AE1168" s="1" t="s">
        <v>325</v>
      </c>
      <c r="AF1168" s="1" t="s">
        <v>2702</v>
      </c>
      <c r="AH1168" s="1" t="s">
        <v>12651</v>
      </c>
      <c r="AK1168" s="1">
        <v>9.0</v>
      </c>
      <c r="AL1168" s="1">
        <v>4.0</v>
      </c>
      <c r="AM1168" s="1">
        <v>2.0</v>
      </c>
      <c r="AN1168" s="1">
        <v>1.0</v>
      </c>
      <c r="AO1168" s="1" t="s">
        <v>198</v>
      </c>
      <c r="AP1168" s="1">
        <v>1.0</v>
      </c>
      <c r="AQ1168" s="1" t="s">
        <v>1314</v>
      </c>
      <c r="AR1168" s="1" t="s">
        <v>200</v>
      </c>
      <c r="AS1168" s="1" t="s">
        <v>199</v>
      </c>
      <c r="AT1168" s="1">
        <v>2.0</v>
      </c>
      <c r="AV1168" s="1" t="s">
        <v>200</v>
      </c>
      <c r="AW1168" s="1">
        <v>8418.3</v>
      </c>
      <c r="AX1168" s="1">
        <v>2013.0</v>
      </c>
      <c r="AY1168" s="1" t="s">
        <v>1179</v>
      </c>
      <c r="AZ1168" s="1" t="s">
        <v>200</v>
      </c>
      <c r="BA1168" s="1" t="str">
        <f>"1228230012"</f>
        <v>1228230012</v>
      </c>
      <c r="BB1168" s="1" t="s">
        <v>192</v>
      </c>
      <c r="BC1168" s="1">
        <v>2392.0</v>
      </c>
      <c r="BD1168" s="1">
        <v>314500.0</v>
      </c>
      <c r="BE1168" s="2">
        <v>42064.0</v>
      </c>
      <c r="BF1168" s="2" t="s">
        <v>12652</v>
      </c>
      <c r="BG1168" s="1" t="s">
        <v>5940</v>
      </c>
      <c r="BH1168" s="1">
        <v>0.0</v>
      </c>
      <c r="BI1168" s="1" t="s">
        <v>3090</v>
      </c>
      <c r="BJ1168" s="1" t="s">
        <v>3091</v>
      </c>
      <c r="BK1168" s="1" t="s">
        <v>204</v>
      </c>
      <c r="BL1168" s="1" t="str">
        <f t="shared" ref="BL1168:BM1168" si="779">""</f>
        <v/>
      </c>
      <c r="BM1168" s="1" t="str">
        <f t="shared" si="779"/>
        <v/>
      </c>
      <c r="BQ1168" s="1">
        <v>101.0</v>
      </c>
      <c r="BR1168" s="1">
        <v>101.0</v>
      </c>
      <c r="BS1168" s="1">
        <v>101.0</v>
      </c>
      <c r="BU1168" s="1" t="s">
        <v>5954</v>
      </c>
      <c r="BV1168" s="1" t="s">
        <v>206</v>
      </c>
      <c r="BW1168" s="1" t="s">
        <v>207</v>
      </c>
      <c r="BX1168" s="1" t="s">
        <v>1550</v>
      </c>
      <c r="BY1168" s="1" t="s">
        <v>1483</v>
      </c>
      <c r="BZ1168" s="1" t="s">
        <v>209</v>
      </c>
      <c r="CA1168" s="1" t="s">
        <v>207</v>
      </c>
      <c r="CB1168" s="1" t="s">
        <v>1118</v>
      </c>
      <c r="CC1168" s="1" t="s">
        <v>478</v>
      </c>
      <c r="CD1168" s="1" t="s">
        <v>206</v>
      </c>
      <c r="CE1168" s="1" t="s">
        <v>207</v>
      </c>
      <c r="CF1168" s="1" t="s">
        <v>1550</v>
      </c>
      <c r="CG1168" s="1" t="s">
        <v>647</v>
      </c>
      <c r="CH1168" s="1" t="s">
        <v>209</v>
      </c>
      <c r="CI1168" s="1" t="s">
        <v>210</v>
      </c>
      <c r="CJ1168" s="1" t="s">
        <v>239</v>
      </c>
      <c r="CK1168" s="1" t="s">
        <v>1417</v>
      </c>
      <c r="CL1168" s="1" t="s">
        <v>209</v>
      </c>
      <c r="CM1168" s="1" t="s">
        <v>210</v>
      </c>
      <c r="CN1168" s="1" t="s">
        <v>239</v>
      </c>
      <c r="CO1168" s="1" t="s">
        <v>516</v>
      </c>
      <c r="CP1168" s="1" t="s">
        <v>209</v>
      </c>
      <c r="CQ1168" s="1" t="s">
        <v>210</v>
      </c>
      <c r="CR1168" s="1" t="s">
        <v>239</v>
      </c>
      <c r="CS1168" s="1" t="s">
        <v>1001</v>
      </c>
      <c r="CT1168" s="1" t="s">
        <v>206</v>
      </c>
      <c r="CU1168" s="1" t="s">
        <v>207</v>
      </c>
      <c r="CV1168" s="1" t="s">
        <v>239</v>
      </c>
      <c r="CW1168" s="1" t="s">
        <v>1001</v>
      </c>
      <c r="CX1168" s="1" t="s">
        <v>206</v>
      </c>
      <c r="CY1168" s="1" t="s">
        <v>207</v>
      </c>
      <c r="CZ1168" s="1" t="s">
        <v>261</v>
      </c>
      <c r="DA1168" s="1" t="s">
        <v>200</v>
      </c>
      <c r="DC1168" s="1" t="s">
        <v>395</v>
      </c>
      <c r="DD1168" s="1" t="s">
        <v>436</v>
      </c>
      <c r="DE1168" s="1" t="s">
        <v>273</v>
      </c>
      <c r="DF1168" s="1" t="s">
        <v>12653</v>
      </c>
      <c r="DG1168" s="1" t="s">
        <v>337</v>
      </c>
      <c r="DH1168" s="1" t="s">
        <v>220</v>
      </c>
      <c r="DI1168" s="1" t="s">
        <v>12654</v>
      </c>
      <c r="DJ1168" s="1" t="s">
        <v>222</v>
      </c>
      <c r="DK1168" s="1" t="s">
        <v>223</v>
      </c>
      <c r="DL1168" s="1" t="s">
        <v>858</v>
      </c>
      <c r="DM1168" s="1" t="s">
        <v>338</v>
      </c>
      <c r="DO1168" s="1" t="s">
        <v>12603</v>
      </c>
      <c r="DP1168" s="1" t="s">
        <v>340</v>
      </c>
      <c r="DQ1168" s="1" t="s">
        <v>441</v>
      </c>
      <c r="DR1168" s="1" t="s">
        <v>229</v>
      </c>
      <c r="DS1168" s="1" t="s">
        <v>591</v>
      </c>
      <c r="DU1168" s="1" t="s">
        <v>3890</v>
      </c>
      <c r="DV1168" s="1" t="s">
        <v>341</v>
      </c>
      <c r="DW1168" s="1" t="s">
        <v>444</v>
      </c>
      <c r="DX1168" s="1" t="s">
        <v>234</v>
      </c>
      <c r="DY1168" s="1" t="s">
        <v>12655</v>
      </c>
      <c r="DZ1168" s="1" t="s">
        <v>12656</v>
      </c>
      <c r="EA1168" s="1" t="s">
        <v>447</v>
      </c>
      <c r="EB1168" s="1" t="s">
        <v>5995</v>
      </c>
      <c r="EC1168" s="1" t="s">
        <v>237</v>
      </c>
      <c r="ED1168" s="1" t="s">
        <v>407</v>
      </c>
      <c r="EG1168" s="1" t="s">
        <v>341</v>
      </c>
      <c r="EL1168" s="1" t="s">
        <v>6657</v>
      </c>
      <c r="EM1168" s="1" t="s">
        <v>209</v>
      </c>
      <c r="EN1168" s="1" t="s">
        <v>207</v>
      </c>
      <c r="EO1168" s="1" t="s">
        <v>229</v>
      </c>
      <c r="EQ1168" s="1" t="s">
        <v>238</v>
      </c>
      <c r="EU1168" s="1" t="s">
        <v>238</v>
      </c>
      <c r="EY1168" s="1" t="s">
        <v>238</v>
      </c>
      <c r="FC1168" s="1" t="s">
        <v>238</v>
      </c>
      <c r="FF1168" s="1" t="s">
        <v>239</v>
      </c>
      <c r="FG1168" s="1" t="s">
        <v>200</v>
      </c>
      <c r="FH1168" s="1" t="s">
        <v>192</v>
      </c>
      <c r="FJ1168" s="1" t="s">
        <v>12657</v>
      </c>
      <c r="FK1168" s="1" t="s">
        <v>229</v>
      </c>
      <c r="FL1168" s="1" t="s">
        <v>2263</v>
      </c>
      <c r="FM1168" s="1">
        <v>890.0</v>
      </c>
      <c r="FN1168" s="1" t="s">
        <v>5199</v>
      </c>
      <c r="FO1168" s="1" t="s">
        <v>12658</v>
      </c>
      <c r="FP1168" s="1">
        <v>60.0</v>
      </c>
      <c r="FQ1168" s="1" t="s">
        <v>12659</v>
      </c>
      <c r="FU1168" s="1" t="s">
        <v>12660</v>
      </c>
      <c r="FV1168" s="1" t="s">
        <v>200</v>
      </c>
      <c r="FW1168" s="1" t="s">
        <v>530</v>
      </c>
      <c r="FZ1168" s="1" t="s">
        <v>632</v>
      </c>
      <c r="GA1168" s="1" t="s">
        <v>291</v>
      </c>
      <c r="GB1168" s="2">
        <v>42139.0</v>
      </c>
      <c r="GC1168" s="1" t="s">
        <v>12661</v>
      </c>
    </row>
    <row r="1169">
      <c r="A1169" s="1">
        <v>438400.0</v>
      </c>
      <c r="B1169" s="1" t="s">
        <v>185</v>
      </c>
      <c r="C1169" s="1" t="str">
        <f>"08855836"</f>
        <v>08855836</v>
      </c>
      <c r="D1169" s="1" t="s">
        <v>186</v>
      </c>
      <c r="F1169" s="1" t="str">
        <f>"174"</f>
        <v>174</v>
      </c>
      <c r="G1169" s="2">
        <v>42072.0</v>
      </c>
      <c r="H1169" s="1">
        <v>449900.0</v>
      </c>
      <c r="I1169" s="1">
        <v>286.0</v>
      </c>
      <c r="J1169" s="1">
        <v>449900.0</v>
      </c>
      <c r="K1169" s="2">
        <v>42087.0</v>
      </c>
      <c r="L1169" s="1">
        <v>16.0</v>
      </c>
      <c r="M1169" s="2">
        <v>42087.0</v>
      </c>
      <c r="N1169" s="1" t="s">
        <v>187</v>
      </c>
      <c r="O1169" s="2">
        <v>42132.0</v>
      </c>
      <c r="P1169" s="1">
        <v>62011.0</v>
      </c>
      <c r="Q1169" s="1">
        <v>4777.0</v>
      </c>
      <c r="S1169" s="1">
        <v>1802.0</v>
      </c>
      <c r="T1169" s="1" t="s">
        <v>12662</v>
      </c>
      <c r="U1169" s="1" t="s">
        <v>1015</v>
      </c>
      <c r="V1169" s="1" t="s">
        <v>1200</v>
      </c>
      <c r="W1169" s="1">
        <v>60174.0</v>
      </c>
      <c r="Y1169" s="1" t="s">
        <v>12663</v>
      </c>
      <c r="Z1169" s="1">
        <v>1998.0</v>
      </c>
      <c r="AA1169" s="1" t="s">
        <v>200</v>
      </c>
      <c r="AB1169" s="1" t="s">
        <v>467</v>
      </c>
      <c r="AC1169" s="1" t="s">
        <v>11446</v>
      </c>
      <c r="AD1169" s="1" t="s">
        <v>1203</v>
      </c>
      <c r="AE1169" s="1" t="s">
        <v>325</v>
      </c>
      <c r="AF1169" s="1" t="s">
        <v>1203</v>
      </c>
      <c r="AG1169" s="1" t="s">
        <v>12664</v>
      </c>
      <c r="AH1169" s="1" t="s">
        <v>2937</v>
      </c>
      <c r="AI1169" s="1">
        <v>0.2279</v>
      </c>
      <c r="AK1169" s="1">
        <v>11.0</v>
      </c>
      <c r="AL1169" s="1">
        <v>4.0</v>
      </c>
      <c r="AM1169" s="1">
        <v>3.0</v>
      </c>
      <c r="AN1169" s="1">
        <v>1.0</v>
      </c>
      <c r="AO1169" s="1" t="s">
        <v>198</v>
      </c>
      <c r="AP1169" s="1">
        <v>1.0</v>
      </c>
      <c r="AQ1169" s="1" t="s">
        <v>472</v>
      </c>
      <c r="AR1169" s="1" t="s">
        <v>192</v>
      </c>
      <c r="AS1169" s="1" t="s">
        <v>199</v>
      </c>
      <c r="AT1169" s="1">
        <v>2.5</v>
      </c>
      <c r="AV1169" s="1" t="s">
        <v>200</v>
      </c>
      <c r="AW1169" s="1">
        <v>14346.1</v>
      </c>
      <c r="AX1169" s="1">
        <v>2013.0</v>
      </c>
      <c r="AY1169" s="1" t="s">
        <v>387</v>
      </c>
      <c r="AZ1169" s="1" t="s">
        <v>200</v>
      </c>
      <c r="BA1169" s="1" t="str">
        <f>"0924426043"</f>
        <v>0924426043</v>
      </c>
      <c r="BB1169" s="1" t="s">
        <v>200</v>
      </c>
      <c r="BC1169" s="1">
        <v>2965.0</v>
      </c>
      <c r="BD1169" s="1">
        <v>438400.0</v>
      </c>
      <c r="BE1169" s="2">
        <v>42072.0</v>
      </c>
      <c r="BF1169" s="2" t="s">
        <v>12665</v>
      </c>
      <c r="BG1169" s="1" t="s">
        <v>11449</v>
      </c>
      <c r="BH1169" s="1">
        <v>156.0</v>
      </c>
      <c r="BI1169" s="1" t="s">
        <v>2143</v>
      </c>
      <c r="BJ1169" s="1" t="s">
        <v>2144</v>
      </c>
      <c r="BK1169" s="1" t="s">
        <v>580</v>
      </c>
      <c r="BL1169" s="1" t="str">
        <f>"4"</f>
        <v>4</v>
      </c>
      <c r="BM1169" s="1" t="str">
        <f t="shared" ref="BM1169:BM1172" si="780">"0"</f>
        <v>0</v>
      </c>
      <c r="BN1169" s="1">
        <v>34.0</v>
      </c>
      <c r="BO1169" s="1">
        <v>0.0</v>
      </c>
      <c r="BQ1169" s="1">
        <v>303.0</v>
      </c>
      <c r="BR1169" s="1">
        <v>303.0</v>
      </c>
      <c r="BS1169" s="1">
        <v>303.0</v>
      </c>
      <c r="BU1169" s="1" t="s">
        <v>211</v>
      </c>
      <c r="BV1169" s="1" t="s">
        <v>206</v>
      </c>
      <c r="BW1169" s="1" t="s">
        <v>210</v>
      </c>
      <c r="BX1169" s="1" t="s">
        <v>229</v>
      </c>
      <c r="BY1169" s="1" t="s">
        <v>453</v>
      </c>
      <c r="BZ1169" s="1" t="s">
        <v>209</v>
      </c>
      <c r="CA1169" s="1" t="s">
        <v>210</v>
      </c>
      <c r="CB1169" s="1" t="s">
        <v>239</v>
      </c>
      <c r="CC1169" s="1" t="s">
        <v>215</v>
      </c>
      <c r="CD1169" s="1" t="s">
        <v>206</v>
      </c>
      <c r="CE1169" s="1" t="s">
        <v>207</v>
      </c>
      <c r="CF1169" s="1" t="s">
        <v>229</v>
      </c>
      <c r="CG1169" s="1" t="s">
        <v>332</v>
      </c>
      <c r="CH1169" s="1" t="s">
        <v>209</v>
      </c>
      <c r="CI1169" s="1" t="s">
        <v>210</v>
      </c>
      <c r="CJ1169" s="1" t="s">
        <v>239</v>
      </c>
      <c r="CK1169" s="1" t="s">
        <v>212</v>
      </c>
      <c r="CL1169" s="1" t="s">
        <v>209</v>
      </c>
      <c r="CM1169" s="1" t="s">
        <v>210</v>
      </c>
      <c r="CN1169" s="1" t="s">
        <v>239</v>
      </c>
      <c r="CO1169" s="1" t="s">
        <v>363</v>
      </c>
      <c r="CP1169" s="1" t="s">
        <v>209</v>
      </c>
      <c r="CQ1169" s="1" t="s">
        <v>210</v>
      </c>
      <c r="CR1169" s="1" t="s">
        <v>239</v>
      </c>
      <c r="CS1169" s="1" t="s">
        <v>2592</v>
      </c>
      <c r="CT1169" s="1" t="s">
        <v>206</v>
      </c>
      <c r="CU1169" s="1" t="s">
        <v>207</v>
      </c>
      <c r="CV1169" s="1" t="s">
        <v>229</v>
      </c>
      <c r="CW1169" s="1" t="s">
        <v>1534</v>
      </c>
      <c r="CX1169" s="1" t="s">
        <v>206</v>
      </c>
      <c r="CY1169" s="1" t="s">
        <v>210</v>
      </c>
      <c r="CZ1169" s="1" t="s">
        <v>229</v>
      </c>
      <c r="DA1169" s="1" t="s">
        <v>200</v>
      </c>
      <c r="DC1169" s="1" t="s">
        <v>678</v>
      </c>
      <c r="DD1169" s="1" t="s">
        <v>5326</v>
      </c>
      <c r="DE1169" s="1" t="s">
        <v>273</v>
      </c>
      <c r="DF1169" s="1" t="s">
        <v>219</v>
      </c>
      <c r="DH1169" s="1" t="s">
        <v>220</v>
      </c>
      <c r="DI1169" s="1" t="s">
        <v>12666</v>
      </c>
      <c r="DJ1169" s="1" t="s">
        <v>222</v>
      </c>
      <c r="DL1169" s="1" t="s">
        <v>1161</v>
      </c>
      <c r="DM1169" s="1" t="s">
        <v>1268</v>
      </c>
      <c r="DN1169" s="1" t="s">
        <v>399</v>
      </c>
      <c r="DO1169" s="1" t="s">
        <v>12667</v>
      </c>
      <c r="DP1169" s="1" t="s">
        <v>340</v>
      </c>
      <c r="DQ1169" s="1" t="s">
        <v>228</v>
      </c>
      <c r="DR1169" s="1" t="s">
        <v>588</v>
      </c>
      <c r="DS1169" s="1" t="s">
        <v>591</v>
      </c>
      <c r="DU1169" s="1" t="s">
        <v>12668</v>
      </c>
      <c r="DV1169" s="1" t="s">
        <v>12669</v>
      </c>
      <c r="DW1169" s="1" t="s">
        <v>764</v>
      </c>
      <c r="DX1169" s="1" t="s">
        <v>280</v>
      </c>
      <c r="DY1169" s="1" t="s">
        <v>6583</v>
      </c>
      <c r="DZ1169" s="1" t="s">
        <v>766</v>
      </c>
      <c r="EA1169" s="1" t="s">
        <v>344</v>
      </c>
      <c r="EB1169" s="1" t="s">
        <v>767</v>
      </c>
      <c r="EC1169" s="1" t="s">
        <v>237</v>
      </c>
      <c r="ED1169" s="1" t="s">
        <v>407</v>
      </c>
      <c r="EG1169" s="1" t="s">
        <v>598</v>
      </c>
      <c r="EH1169" s="1" t="s">
        <v>451</v>
      </c>
      <c r="EI1169" s="1" t="s">
        <v>1491</v>
      </c>
      <c r="EJ1169" s="1" t="s">
        <v>2971</v>
      </c>
      <c r="EL1169" s="1" t="s">
        <v>433</v>
      </c>
      <c r="EM1169" s="1" t="s">
        <v>206</v>
      </c>
      <c r="EN1169" s="1" t="s">
        <v>210</v>
      </c>
      <c r="EO1169" s="1" t="s">
        <v>239</v>
      </c>
      <c r="EP1169" s="1" t="s">
        <v>1623</v>
      </c>
      <c r="EQ1169" s="1" t="s">
        <v>1697</v>
      </c>
      <c r="ER1169" s="1" t="s">
        <v>210</v>
      </c>
      <c r="ES1169" s="1" t="s">
        <v>229</v>
      </c>
      <c r="ET1169" s="1" t="s">
        <v>663</v>
      </c>
      <c r="EU1169" s="1" t="s">
        <v>1697</v>
      </c>
      <c r="EV1169" s="1" t="s">
        <v>588</v>
      </c>
      <c r="EX1169" s="1" t="s">
        <v>12670</v>
      </c>
      <c r="EY1169" s="1" t="s">
        <v>1697</v>
      </c>
      <c r="EZ1169" s="1" t="s">
        <v>301</v>
      </c>
      <c r="FA1169" s="1" t="s">
        <v>229</v>
      </c>
      <c r="FC1169" s="1" t="s">
        <v>238</v>
      </c>
      <c r="FF1169" s="1" t="s">
        <v>239</v>
      </c>
      <c r="FG1169" s="1" t="s">
        <v>192</v>
      </c>
      <c r="FH1169" s="1" t="s">
        <v>192</v>
      </c>
      <c r="FJ1169" s="1" t="s">
        <v>1469</v>
      </c>
      <c r="FK1169" s="1" t="s">
        <v>229</v>
      </c>
      <c r="FL1169" s="1" t="s">
        <v>1358</v>
      </c>
      <c r="FM1169" s="1">
        <v>23591.0</v>
      </c>
      <c r="FN1169" s="1" t="s">
        <v>2134</v>
      </c>
      <c r="FO1169" s="1" t="s">
        <v>2135</v>
      </c>
      <c r="FP1169" s="1">
        <v>230500.0</v>
      </c>
      <c r="FQ1169" s="1" t="s">
        <v>2136</v>
      </c>
      <c r="FU1169" s="1" t="s">
        <v>12671</v>
      </c>
      <c r="FV1169" s="1" t="s">
        <v>200</v>
      </c>
      <c r="FW1169" s="1" t="s">
        <v>290</v>
      </c>
      <c r="FZ1169" s="1" t="s">
        <v>229</v>
      </c>
      <c r="GA1169" s="1" t="s">
        <v>291</v>
      </c>
      <c r="GB1169" s="2">
        <v>42132.0</v>
      </c>
    </row>
    <row r="1170">
      <c r="A1170" s="1">
        <v>650000.0</v>
      </c>
      <c r="B1170" s="1" t="s">
        <v>185</v>
      </c>
      <c r="C1170" s="1" t="str">
        <f>"08846631"</f>
        <v>08846631</v>
      </c>
      <c r="D1170" s="1" t="s">
        <v>186</v>
      </c>
      <c r="F1170" s="1" t="str">
        <f>"8077"</f>
        <v>8077</v>
      </c>
      <c r="G1170" s="2">
        <v>42060.0</v>
      </c>
      <c r="H1170" s="1">
        <v>674000.0</v>
      </c>
      <c r="I1170" s="1">
        <v>10.0</v>
      </c>
      <c r="J1170" s="1">
        <v>674000.0</v>
      </c>
      <c r="K1170" s="2">
        <v>42069.0</v>
      </c>
      <c r="L1170" s="1">
        <v>10.0</v>
      </c>
      <c r="M1170" s="2">
        <v>42069.0</v>
      </c>
      <c r="N1170" s="1" t="s">
        <v>187</v>
      </c>
      <c r="O1170" s="2">
        <v>42108.0</v>
      </c>
      <c r="P1170" s="1">
        <v>32814.0</v>
      </c>
      <c r="Q1170" s="1">
        <v>4420.0</v>
      </c>
      <c r="S1170" s="1">
        <v>5832.0</v>
      </c>
      <c r="T1170" s="1" t="s">
        <v>3870</v>
      </c>
      <c r="U1170" s="1" t="s">
        <v>189</v>
      </c>
      <c r="V1170" s="1" t="s">
        <v>190</v>
      </c>
      <c r="W1170" s="1">
        <v>60660.0</v>
      </c>
      <c r="Y1170" s="1" t="s">
        <v>12672</v>
      </c>
      <c r="Z1170" s="1">
        <v>1901.0</v>
      </c>
      <c r="AA1170" s="1" t="s">
        <v>192</v>
      </c>
      <c r="AB1170" s="1" t="s">
        <v>193</v>
      </c>
      <c r="AC1170" s="1" t="s">
        <v>12673</v>
      </c>
      <c r="AD1170" s="1" t="s">
        <v>194</v>
      </c>
      <c r="AE1170" s="1" t="s">
        <v>195</v>
      </c>
      <c r="AF1170" s="1" t="s">
        <v>534</v>
      </c>
      <c r="AH1170" s="1" t="s">
        <v>12674</v>
      </c>
      <c r="AI1170" s="1">
        <v>0.1076</v>
      </c>
      <c r="AK1170" s="1">
        <v>10.0</v>
      </c>
      <c r="AL1170" s="1">
        <v>4.0</v>
      </c>
      <c r="AM1170" s="1">
        <v>3.0</v>
      </c>
      <c r="AN1170" s="1">
        <v>0.0</v>
      </c>
      <c r="AO1170" s="1" t="s">
        <v>198</v>
      </c>
      <c r="AP1170" s="1">
        <v>1.0</v>
      </c>
      <c r="AQ1170" s="1" t="s">
        <v>198</v>
      </c>
      <c r="AR1170" s="1" t="s">
        <v>200</v>
      </c>
      <c r="AS1170" s="1" t="s">
        <v>199</v>
      </c>
      <c r="AT1170" s="1">
        <v>2.0</v>
      </c>
      <c r="AV1170" s="1" t="s">
        <v>200</v>
      </c>
      <c r="AW1170" s="1">
        <v>7491.0</v>
      </c>
      <c r="AX1170" s="1">
        <v>2013.0</v>
      </c>
      <c r="AY1170" s="1" t="s">
        <v>387</v>
      </c>
      <c r="AZ1170" s="1" t="s">
        <v>200</v>
      </c>
      <c r="BA1170" s="1" t="str">
        <f>"14053130160000"</f>
        <v>14053130160000</v>
      </c>
      <c r="BC1170" s="1">
        <v>2400.0</v>
      </c>
      <c r="BD1170" s="1">
        <v>650000.0</v>
      </c>
      <c r="BE1170" s="2">
        <v>42060.0</v>
      </c>
      <c r="BF1170" s="2" t="s">
        <v>12675</v>
      </c>
      <c r="BG1170" s="1" t="s">
        <v>5013</v>
      </c>
      <c r="BH1170" s="1">
        <v>0.0</v>
      </c>
      <c r="BI1170" s="1" t="s">
        <v>5013</v>
      </c>
      <c r="BJ1170" s="1" t="s">
        <v>4740</v>
      </c>
      <c r="BK1170" s="1" t="s">
        <v>204</v>
      </c>
      <c r="BL1170" s="1" t="str">
        <f>"5832"</f>
        <v>5832</v>
      </c>
      <c r="BM1170" s="1" t="str">
        <f t="shared" si="780"/>
        <v>0</v>
      </c>
      <c r="BN1170" s="1">
        <v>1300.0</v>
      </c>
      <c r="BO1170" s="1">
        <v>0.0</v>
      </c>
      <c r="BQ1170" s="1">
        <v>299.0</v>
      </c>
      <c r="BR1170" s="1">
        <v>299.0</v>
      </c>
      <c r="BS1170" s="1">
        <v>299.0</v>
      </c>
      <c r="BU1170" s="1" t="s">
        <v>639</v>
      </c>
      <c r="BV1170" s="1" t="s">
        <v>206</v>
      </c>
      <c r="BW1170" s="1" t="s">
        <v>207</v>
      </c>
      <c r="BX1170" s="1" t="s">
        <v>1118</v>
      </c>
      <c r="BY1170" s="1" t="s">
        <v>676</v>
      </c>
      <c r="BZ1170" s="1" t="s">
        <v>209</v>
      </c>
      <c r="CA1170" s="1" t="s">
        <v>210</v>
      </c>
      <c r="CB1170" s="1" t="s">
        <v>1118</v>
      </c>
      <c r="CC1170" s="1" t="s">
        <v>616</v>
      </c>
      <c r="CD1170" s="1" t="s">
        <v>206</v>
      </c>
      <c r="CE1170" s="1" t="s">
        <v>207</v>
      </c>
      <c r="CF1170" s="1" t="s">
        <v>1118</v>
      </c>
      <c r="CG1170" s="1" t="s">
        <v>6146</v>
      </c>
      <c r="CH1170" s="1" t="s">
        <v>209</v>
      </c>
      <c r="CI1170" s="1" t="s">
        <v>207</v>
      </c>
      <c r="CK1170" s="1" t="s">
        <v>543</v>
      </c>
      <c r="CL1170" s="1" t="s">
        <v>209</v>
      </c>
      <c r="CM1170" s="1" t="s">
        <v>207</v>
      </c>
      <c r="CO1170" s="1" t="s">
        <v>904</v>
      </c>
      <c r="CP1170" s="1" t="s">
        <v>206</v>
      </c>
      <c r="CQ1170" s="1" t="s">
        <v>207</v>
      </c>
      <c r="CS1170" s="1" t="s">
        <v>784</v>
      </c>
      <c r="CT1170" s="1" t="s">
        <v>206</v>
      </c>
      <c r="CU1170" s="1" t="s">
        <v>207</v>
      </c>
      <c r="CV1170" s="1" t="s">
        <v>431</v>
      </c>
      <c r="CX1170" s="1" t="s">
        <v>204</v>
      </c>
      <c r="DA1170" s="1" t="s">
        <v>200</v>
      </c>
      <c r="DC1170" s="1" t="s">
        <v>642</v>
      </c>
      <c r="DD1170" s="1" t="s">
        <v>759</v>
      </c>
      <c r="DE1170" s="1" t="s">
        <v>7068</v>
      </c>
      <c r="DF1170" s="1" t="s">
        <v>6818</v>
      </c>
      <c r="DG1170" s="1" t="s">
        <v>337</v>
      </c>
      <c r="DH1170" s="1" t="s">
        <v>307</v>
      </c>
      <c r="DI1170" s="1" t="s">
        <v>12676</v>
      </c>
      <c r="DJ1170" s="1" t="s">
        <v>222</v>
      </c>
      <c r="DL1170" s="1" t="s">
        <v>858</v>
      </c>
      <c r="DM1170" s="1" t="s">
        <v>229</v>
      </c>
      <c r="DO1170" s="1" t="s">
        <v>549</v>
      </c>
      <c r="DP1170" s="1" t="s">
        <v>340</v>
      </c>
      <c r="DQ1170" s="1" t="s">
        <v>794</v>
      </c>
      <c r="DR1170" s="1" t="s">
        <v>229</v>
      </c>
      <c r="DU1170" s="1" t="s">
        <v>12677</v>
      </c>
      <c r="DV1170" s="1" t="s">
        <v>12678</v>
      </c>
      <c r="DW1170" s="1" t="s">
        <v>233</v>
      </c>
      <c r="DX1170" s="1" t="s">
        <v>234</v>
      </c>
      <c r="DY1170" s="1" t="s">
        <v>5703</v>
      </c>
      <c r="DZ1170" s="1" t="s">
        <v>236</v>
      </c>
      <c r="EA1170" s="1" t="s">
        <v>12644</v>
      </c>
      <c r="EB1170" s="1" t="s">
        <v>345</v>
      </c>
      <c r="EC1170" s="1" t="s">
        <v>237</v>
      </c>
      <c r="EE1170" s="1" t="s">
        <v>187</v>
      </c>
      <c r="EG1170" s="1" t="s">
        <v>598</v>
      </c>
      <c r="EH1170" s="1" t="s">
        <v>450</v>
      </c>
      <c r="EI1170" s="1" t="s">
        <v>1467</v>
      </c>
      <c r="EJ1170" s="1" t="s">
        <v>720</v>
      </c>
      <c r="EK1170" s="1" t="s">
        <v>1270</v>
      </c>
      <c r="EL1170" s="1" t="s">
        <v>1796</v>
      </c>
      <c r="EM1170" s="1" t="s">
        <v>206</v>
      </c>
      <c r="EN1170" s="1" t="s">
        <v>207</v>
      </c>
      <c r="EP1170" s="1" t="s">
        <v>1825</v>
      </c>
      <c r="EQ1170" s="1" t="s">
        <v>42</v>
      </c>
      <c r="ER1170" s="1" t="s">
        <v>210</v>
      </c>
      <c r="ET1170" s="1" t="s">
        <v>1064</v>
      </c>
      <c r="EU1170" s="1" t="s">
        <v>114</v>
      </c>
      <c r="EV1170" s="1" t="s">
        <v>210</v>
      </c>
      <c r="EX1170" s="1" t="s">
        <v>3298</v>
      </c>
      <c r="EY1170" s="1" t="s">
        <v>206</v>
      </c>
      <c r="EZ1170" s="1" t="s">
        <v>268</v>
      </c>
      <c r="FB1170" s="1" t="s">
        <v>260</v>
      </c>
      <c r="FC1170" s="1" t="s">
        <v>42</v>
      </c>
      <c r="FD1170" s="1" t="s">
        <v>210</v>
      </c>
      <c r="FF1170" s="1" t="s">
        <v>239</v>
      </c>
      <c r="FG1170" s="1" t="s">
        <v>192</v>
      </c>
      <c r="FH1170" s="1" t="s">
        <v>192</v>
      </c>
      <c r="FJ1170" s="1" t="s">
        <v>4029</v>
      </c>
      <c r="FK1170" s="1" t="s">
        <v>229</v>
      </c>
      <c r="FL1170" s="1" t="s">
        <v>974</v>
      </c>
      <c r="FM1170" s="1">
        <v>10900.0</v>
      </c>
      <c r="FN1170" s="1" t="s">
        <v>1435</v>
      </c>
      <c r="FO1170" s="1" t="s">
        <v>12679</v>
      </c>
      <c r="FP1170" s="1">
        <v>145626.0</v>
      </c>
      <c r="FU1170" s="1" t="s">
        <v>12680</v>
      </c>
      <c r="FV1170" s="1" t="s">
        <v>200</v>
      </c>
      <c r="FW1170" s="1" t="s">
        <v>567</v>
      </c>
      <c r="FX1170" s="1" t="s">
        <v>238</v>
      </c>
      <c r="FZ1170" s="1" t="s">
        <v>229</v>
      </c>
      <c r="GA1170" s="1" t="s">
        <v>291</v>
      </c>
      <c r="GB1170" s="2">
        <v>42110.0</v>
      </c>
      <c r="GC1170" s="1" t="s">
        <v>12681</v>
      </c>
    </row>
    <row r="1171">
      <c r="A1171" s="1">
        <v>267000.0</v>
      </c>
      <c r="B1171" s="1" t="s">
        <v>185</v>
      </c>
      <c r="C1171" s="1" t="str">
        <f>"08850479"</f>
        <v>08850479</v>
      </c>
      <c r="D1171" s="1" t="s">
        <v>186</v>
      </c>
      <c r="F1171" s="1" t="str">
        <f>"8011"</f>
        <v>8011</v>
      </c>
      <c r="G1171" s="2">
        <v>42065.0</v>
      </c>
      <c r="H1171" s="1">
        <v>269000.0</v>
      </c>
      <c r="I1171" s="1">
        <v>8.0</v>
      </c>
      <c r="J1171" s="1">
        <v>269000.0</v>
      </c>
      <c r="K1171" s="2">
        <v>42072.0</v>
      </c>
      <c r="L1171" s="1">
        <v>8.0</v>
      </c>
      <c r="M1171" s="2">
        <v>42072.0</v>
      </c>
      <c r="N1171" s="1" t="s">
        <v>356</v>
      </c>
      <c r="O1171" s="2">
        <v>42111.0</v>
      </c>
      <c r="P1171" s="1">
        <v>80807.0</v>
      </c>
      <c r="Q1171" s="1">
        <v>8873.0</v>
      </c>
      <c r="S1171" s="1">
        <v>5378.0</v>
      </c>
      <c r="T1171" s="1" t="s">
        <v>12682</v>
      </c>
      <c r="U1171" s="1" t="s">
        <v>189</v>
      </c>
      <c r="V1171" s="1" t="s">
        <v>190</v>
      </c>
      <c r="W1171" s="1">
        <v>60630.0</v>
      </c>
      <c r="Y1171" s="1" t="s">
        <v>12683</v>
      </c>
      <c r="Z1171" s="1">
        <v>1928.0</v>
      </c>
      <c r="AA1171" s="1" t="s">
        <v>192</v>
      </c>
      <c r="AB1171" s="1" t="s">
        <v>193</v>
      </c>
      <c r="AD1171" s="1" t="s">
        <v>194</v>
      </c>
      <c r="AE1171" s="1" t="s">
        <v>195</v>
      </c>
      <c r="AF1171" s="1" t="s">
        <v>196</v>
      </c>
      <c r="AH1171" s="1" t="s">
        <v>12684</v>
      </c>
      <c r="AI1171" s="1">
        <v>0.0717</v>
      </c>
      <c r="AK1171" s="1">
        <v>10.0</v>
      </c>
      <c r="AL1171" s="1">
        <v>4.0</v>
      </c>
      <c r="AM1171" s="1">
        <v>3.0</v>
      </c>
      <c r="AN1171" s="1">
        <v>0.0</v>
      </c>
      <c r="AO1171" s="1" t="s">
        <v>229</v>
      </c>
      <c r="AQ1171" s="1" t="s">
        <v>198</v>
      </c>
      <c r="AR1171" s="1" t="s">
        <v>192</v>
      </c>
      <c r="AS1171" s="1" t="s">
        <v>199</v>
      </c>
      <c r="AT1171" s="1">
        <v>1.5</v>
      </c>
      <c r="AV1171" s="1" t="s">
        <v>200</v>
      </c>
      <c r="AW1171" s="1">
        <v>5086.81</v>
      </c>
      <c r="AX1171" s="1">
        <v>2013.0</v>
      </c>
      <c r="AY1171" s="1" t="s">
        <v>387</v>
      </c>
      <c r="AZ1171" s="1" t="s">
        <v>200</v>
      </c>
      <c r="BA1171" s="1" t="str">
        <f>"13091070470000"</f>
        <v>13091070470000</v>
      </c>
      <c r="BB1171" s="1" t="s">
        <v>200</v>
      </c>
      <c r="BC1171" s="1">
        <v>0.0</v>
      </c>
      <c r="BD1171" s="1">
        <v>267000.0</v>
      </c>
      <c r="BE1171" s="2">
        <v>42065.0</v>
      </c>
      <c r="BF1171" s="2" t="s">
        <v>12685</v>
      </c>
      <c r="BH1171" s="1">
        <v>0.0</v>
      </c>
      <c r="BK1171" s="1" t="s">
        <v>204</v>
      </c>
      <c r="BL1171" s="1" t="str">
        <f>"5300"</f>
        <v>5300</v>
      </c>
      <c r="BM1171" s="1" t="str">
        <f t="shared" si="780"/>
        <v>0</v>
      </c>
      <c r="BN1171" s="1">
        <v>5500.0</v>
      </c>
      <c r="BO1171" s="1">
        <v>0.0</v>
      </c>
      <c r="BQ1171" s="1">
        <v>299.0</v>
      </c>
      <c r="BR1171" s="1">
        <v>299.0</v>
      </c>
      <c r="BS1171" s="1">
        <v>299.0</v>
      </c>
      <c r="BU1171" s="1" t="s">
        <v>1426</v>
      </c>
      <c r="BV1171" s="1" t="s">
        <v>206</v>
      </c>
      <c r="BW1171" s="1" t="s">
        <v>207</v>
      </c>
      <c r="BY1171" s="1" t="s">
        <v>1117</v>
      </c>
      <c r="BZ1171" s="1" t="s">
        <v>209</v>
      </c>
      <c r="CC1171" s="1" t="s">
        <v>729</v>
      </c>
      <c r="CD1171" s="1" t="s">
        <v>206</v>
      </c>
      <c r="CE1171" s="1" t="s">
        <v>207</v>
      </c>
      <c r="CG1171" s="1" t="s">
        <v>361</v>
      </c>
      <c r="CH1171" s="1" t="s">
        <v>209</v>
      </c>
      <c r="CK1171" s="1" t="s">
        <v>1119</v>
      </c>
      <c r="CL1171" s="1" t="s">
        <v>206</v>
      </c>
      <c r="CM1171" s="1" t="s">
        <v>207</v>
      </c>
      <c r="CO1171" s="1" t="s">
        <v>331</v>
      </c>
      <c r="CP1171" s="1" t="s">
        <v>206</v>
      </c>
      <c r="CS1171" s="1" t="s">
        <v>6175</v>
      </c>
      <c r="CT1171" s="1" t="s">
        <v>206</v>
      </c>
      <c r="CU1171" s="1" t="s">
        <v>617</v>
      </c>
      <c r="CW1171" s="1" t="s">
        <v>12686</v>
      </c>
      <c r="CX1171" s="1" t="s">
        <v>42</v>
      </c>
      <c r="DA1171" s="1" t="s">
        <v>200</v>
      </c>
      <c r="DC1171" s="1" t="s">
        <v>785</v>
      </c>
      <c r="DD1171" s="1" t="s">
        <v>436</v>
      </c>
      <c r="DE1171" s="1" t="s">
        <v>273</v>
      </c>
      <c r="DF1171" s="1" t="s">
        <v>12687</v>
      </c>
      <c r="DG1171" s="1" t="s">
        <v>337</v>
      </c>
      <c r="DH1171" s="1" t="s">
        <v>307</v>
      </c>
      <c r="DI1171" s="1" t="s">
        <v>1223</v>
      </c>
      <c r="DJ1171" s="1" t="s">
        <v>222</v>
      </c>
      <c r="DL1171" s="1" t="s">
        <v>223</v>
      </c>
      <c r="DM1171" s="1" t="s">
        <v>1143</v>
      </c>
      <c r="DP1171" s="1" t="s">
        <v>340</v>
      </c>
      <c r="DQ1171" s="1" t="s">
        <v>228</v>
      </c>
      <c r="DR1171" s="1" t="s">
        <v>229</v>
      </c>
      <c r="DS1171" s="1" t="s">
        <v>230</v>
      </c>
      <c r="DV1171" s="1" t="s">
        <v>12688</v>
      </c>
      <c r="DW1171" s="1" t="s">
        <v>279</v>
      </c>
      <c r="DX1171" s="1" t="s">
        <v>234</v>
      </c>
      <c r="DY1171" s="1" t="s">
        <v>553</v>
      </c>
      <c r="DZ1171" s="1" t="s">
        <v>310</v>
      </c>
      <c r="EC1171" s="1" t="s">
        <v>237</v>
      </c>
      <c r="EE1171" s="1" t="s">
        <v>187</v>
      </c>
      <c r="EG1171" s="1" t="s">
        <v>449</v>
      </c>
      <c r="EH1171" s="1" t="s">
        <v>114</v>
      </c>
      <c r="EJ1171" s="1" t="s">
        <v>720</v>
      </c>
      <c r="EK1171" s="1" t="s">
        <v>1103</v>
      </c>
      <c r="EL1171" s="1" t="s">
        <v>263</v>
      </c>
      <c r="EM1171" s="1" t="s">
        <v>206</v>
      </c>
      <c r="EP1171" s="1" t="s">
        <v>4877</v>
      </c>
      <c r="EQ1171" s="1" t="s">
        <v>209</v>
      </c>
      <c r="EU1171" s="1" t="s">
        <v>238</v>
      </c>
      <c r="EX1171" s="1" t="s">
        <v>2335</v>
      </c>
      <c r="EY1171" s="1" t="s">
        <v>206</v>
      </c>
      <c r="FB1171" s="1" t="s">
        <v>6055</v>
      </c>
      <c r="FC1171" s="1" t="s">
        <v>42</v>
      </c>
      <c r="FF1171" s="1" t="s">
        <v>239</v>
      </c>
      <c r="FG1171" s="1" t="s">
        <v>192</v>
      </c>
      <c r="FH1171" s="1" t="s">
        <v>192</v>
      </c>
      <c r="FJ1171" s="1" t="s">
        <v>799</v>
      </c>
      <c r="FK1171" s="1" t="s">
        <v>229</v>
      </c>
      <c r="FL1171" s="1" t="s">
        <v>413</v>
      </c>
      <c r="FM1171" s="1">
        <v>13691.0</v>
      </c>
      <c r="FN1171" s="1" t="s">
        <v>414</v>
      </c>
      <c r="FO1171" s="1" t="s">
        <v>12689</v>
      </c>
      <c r="FP1171" s="1">
        <v>138943.0</v>
      </c>
      <c r="FQ1171" s="1" t="s">
        <v>12690</v>
      </c>
      <c r="FU1171" s="1" t="s">
        <v>12691</v>
      </c>
      <c r="FV1171" s="1" t="s">
        <v>200</v>
      </c>
      <c r="FW1171" s="1" t="s">
        <v>530</v>
      </c>
      <c r="FX1171" s="1" t="s">
        <v>238</v>
      </c>
      <c r="FZ1171" s="1" t="s">
        <v>229</v>
      </c>
      <c r="GA1171" s="1" t="s">
        <v>291</v>
      </c>
      <c r="GB1171" s="2">
        <v>42114.0</v>
      </c>
      <c r="GC1171" s="1" t="s">
        <v>12692</v>
      </c>
    </row>
    <row r="1172">
      <c r="A1172" s="1">
        <v>312500.0</v>
      </c>
      <c r="B1172" s="1" t="s">
        <v>185</v>
      </c>
      <c r="C1172" s="1" t="str">
        <f>"08850293"</f>
        <v>08850293</v>
      </c>
      <c r="D1172" s="1" t="s">
        <v>186</v>
      </c>
      <c r="F1172" s="1" t="str">
        <f>"8002"</f>
        <v>8002</v>
      </c>
      <c r="G1172" s="2">
        <v>42065.0</v>
      </c>
      <c r="H1172" s="1">
        <v>349000.0</v>
      </c>
      <c r="I1172" s="1">
        <v>411.0</v>
      </c>
      <c r="J1172" s="1">
        <v>329900.0</v>
      </c>
      <c r="K1172" s="2">
        <v>42135.0</v>
      </c>
      <c r="L1172" s="1">
        <v>71.0</v>
      </c>
      <c r="M1172" s="2">
        <v>42135.0</v>
      </c>
      <c r="N1172" s="1" t="s">
        <v>249</v>
      </c>
      <c r="O1172" s="2">
        <v>42150.0</v>
      </c>
      <c r="P1172" s="1">
        <v>122586.0</v>
      </c>
      <c r="Q1172" s="1">
        <v>14470.0</v>
      </c>
      <c r="S1172" s="1">
        <v>6314.0</v>
      </c>
      <c r="T1172" s="1" t="s">
        <v>9093</v>
      </c>
      <c r="U1172" s="1" t="s">
        <v>320</v>
      </c>
      <c r="V1172" s="1" t="s">
        <v>190</v>
      </c>
      <c r="W1172" s="1">
        <v>60659.0</v>
      </c>
      <c r="Y1172" s="1" t="s">
        <v>12693</v>
      </c>
      <c r="Z1172" s="1">
        <v>1949.0</v>
      </c>
      <c r="AA1172" s="1" t="s">
        <v>192</v>
      </c>
      <c r="AB1172" s="1" t="s">
        <v>193</v>
      </c>
      <c r="AD1172" s="1" t="s">
        <v>194</v>
      </c>
      <c r="AE1172" s="1" t="s">
        <v>195</v>
      </c>
      <c r="AF1172" s="1" t="s">
        <v>196</v>
      </c>
      <c r="AH1172" s="1">
        <v>4092.0</v>
      </c>
      <c r="AI1172" s="1">
        <v>0.0939</v>
      </c>
      <c r="AK1172" s="1">
        <v>7.0</v>
      </c>
      <c r="AL1172" s="1">
        <v>4.0</v>
      </c>
      <c r="AM1172" s="1">
        <v>2.0</v>
      </c>
      <c r="AN1172" s="1">
        <v>0.0</v>
      </c>
      <c r="AO1172" s="1" t="s">
        <v>198</v>
      </c>
      <c r="AQ1172" s="1" t="s">
        <v>198</v>
      </c>
      <c r="AR1172" s="1" t="s">
        <v>200</v>
      </c>
      <c r="AS1172" s="1" t="s">
        <v>229</v>
      </c>
      <c r="AV1172" s="1" t="s">
        <v>200</v>
      </c>
      <c r="AW1172" s="1">
        <v>5022.0</v>
      </c>
      <c r="AX1172" s="1">
        <v>2013.0</v>
      </c>
      <c r="AZ1172" s="1" t="s">
        <v>200</v>
      </c>
      <c r="BA1172" s="1" t="str">
        <f>"13011000290000"</f>
        <v>13011000290000</v>
      </c>
      <c r="BC1172" s="1">
        <v>0.0</v>
      </c>
      <c r="BD1172" s="1">
        <v>312500.0</v>
      </c>
      <c r="BE1172" s="2">
        <v>42065.0</v>
      </c>
      <c r="BF1172" s="2" t="s">
        <v>12694</v>
      </c>
      <c r="BH1172" s="1">
        <v>0.0</v>
      </c>
      <c r="BK1172" s="1" t="s">
        <v>204</v>
      </c>
      <c r="BL1172" s="1" t="str">
        <f>"6300"</f>
        <v>6300</v>
      </c>
      <c r="BM1172" s="1" t="str">
        <f t="shared" si="780"/>
        <v>0</v>
      </c>
      <c r="BN1172" s="1">
        <v>3000.0</v>
      </c>
      <c r="BO1172" s="1">
        <v>0.0</v>
      </c>
      <c r="BQ1172" s="1">
        <v>299.0</v>
      </c>
      <c r="BR1172" s="1">
        <v>299.0</v>
      </c>
      <c r="BS1172" s="1">
        <v>299.0</v>
      </c>
      <c r="BU1172" s="1" t="s">
        <v>454</v>
      </c>
      <c r="BV1172" s="1" t="s">
        <v>206</v>
      </c>
      <c r="BW1172" s="1" t="s">
        <v>207</v>
      </c>
      <c r="BY1172" s="1" t="s">
        <v>433</v>
      </c>
      <c r="BZ1172" s="1" t="s">
        <v>209</v>
      </c>
      <c r="CA1172" s="1" t="s">
        <v>210</v>
      </c>
      <c r="CC1172" s="1" t="s">
        <v>269</v>
      </c>
      <c r="CD1172" s="1" t="s">
        <v>206</v>
      </c>
      <c r="CE1172" s="1" t="s">
        <v>207</v>
      </c>
      <c r="CG1172" s="1" t="s">
        <v>264</v>
      </c>
      <c r="CH1172" s="1" t="s">
        <v>209</v>
      </c>
      <c r="CI1172" s="1" t="s">
        <v>210</v>
      </c>
      <c r="CK1172" s="1" t="s">
        <v>433</v>
      </c>
      <c r="CL1172" s="1" t="s">
        <v>206</v>
      </c>
      <c r="CM1172" s="1" t="s">
        <v>210</v>
      </c>
      <c r="CO1172" s="1" t="s">
        <v>264</v>
      </c>
      <c r="CP1172" s="1" t="s">
        <v>206</v>
      </c>
      <c r="CQ1172" s="1" t="s">
        <v>210</v>
      </c>
      <c r="CS1172" s="1" t="s">
        <v>363</v>
      </c>
      <c r="CT1172" s="1" t="s">
        <v>206</v>
      </c>
      <c r="CU1172" s="1" t="s">
        <v>268</v>
      </c>
      <c r="CX1172" s="1" t="s">
        <v>204</v>
      </c>
      <c r="DA1172" s="1" t="s">
        <v>200</v>
      </c>
      <c r="DC1172" s="1" t="s">
        <v>702</v>
      </c>
      <c r="DD1172" s="1" t="s">
        <v>518</v>
      </c>
      <c r="DE1172" s="1" t="s">
        <v>273</v>
      </c>
      <c r="DF1172" s="1" t="s">
        <v>219</v>
      </c>
      <c r="DH1172" s="1" t="s">
        <v>365</v>
      </c>
      <c r="DI1172" s="1" t="s">
        <v>12695</v>
      </c>
      <c r="DJ1172" s="1" t="s">
        <v>222</v>
      </c>
      <c r="DL1172" s="1" t="s">
        <v>223</v>
      </c>
      <c r="DM1172" s="1" t="s">
        <v>229</v>
      </c>
      <c r="DP1172" s="1" t="s">
        <v>340</v>
      </c>
      <c r="DQ1172" s="1" t="s">
        <v>228</v>
      </c>
      <c r="DR1172" s="1" t="s">
        <v>229</v>
      </c>
      <c r="DS1172" s="1" t="s">
        <v>230</v>
      </c>
      <c r="DV1172" s="1" t="s">
        <v>232</v>
      </c>
      <c r="DW1172" s="1" t="s">
        <v>6494</v>
      </c>
      <c r="DX1172" s="1" t="s">
        <v>234</v>
      </c>
      <c r="DY1172" s="1" t="s">
        <v>704</v>
      </c>
      <c r="EA1172" s="1" t="s">
        <v>2535</v>
      </c>
      <c r="EC1172" s="1" t="s">
        <v>237</v>
      </c>
      <c r="EM1172" s="1" t="s">
        <v>238</v>
      </c>
      <c r="EQ1172" s="1" t="s">
        <v>238</v>
      </c>
      <c r="EU1172" s="1" t="s">
        <v>238</v>
      </c>
      <c r="EY1172" s="1" t="s">
        <v>238</v>
      </c>
      <c r="FC1172" s="1" t="s">
        <v>238</v>
      </c>
      <c r="FF1172" s="1" t="s">
        <v>239</v>
      </c>
      <c r="FG1172" s="1" t="s">
        <v>192</v>
      </c>
      <c r="FH1172" s="1" t="s">
        <v>192</v>
      </c>
      <c r="FJ1172" s="1" t="s">
        <v>561</v>
      </c>
      <c r="FK1172" s="1" t="s">
        <v>229</v>
      </c>
      <c r="FL1172" s="1" t="s">
        <v>562</v>
      </c>
      <c r="FM1172" s="1">
        <v>84025.0</v>
      </c>
      <c r="FN1172" s="1" t="s">
        <v>2509</v>
      </c>
      <c r="FO1172" s="1" t="s">
        <v>12696</v>
      </c>
      <c r="FP1172" s="1">
        <v>146501.0</v>
      </c>
      <c r="FQ1172" s="1" t="s">
        <v>12697</v>
      </c>
      <c r="FR1172" s="1">
        <v>166792.0</v>
      </c>
      <c r="FU1172" s="1" t="s">
        <v>1438</v>
      </c>
      <c r="FV1172" s="1" t="s">
        <v>192</v>
      </c>
      <c r="FW1172" s="1" t="s">
        <v>290</v>
      </c>
      <c r="FX1172" s="1" t="s">
        <v>238</v>
      </c>
      <c r="FZ1172" s="1" t="s">
        <v>229</v>
      </c>
      <c r="GA1172" s="1" t="s">
        <v>291</v>
      </c>
      <c r="GB1172" s="2">
        <v>42150.0</v>
      </c>
    </row>
    <row r="1173">
      <c r="A1173" s="1">
        <v>73500.0</v>
      </c>
      <c r="B1173" s="1" t="s">
        <v>185</v>
      </c>
      <c r="C1173" s="1" t="str">
        <f>"08850671"</f>
        <v>08850671</v>
      </c>
      <c r="D1173" s="1" t="s">
        <v>186</v>
      </c>
      <c r="F1173" s="1" t="str">
        <f>"110"</f>
        <v>110</v>
      </c>
      <c r="G1173" s="2">
        <v>42065.0</v>
      </c>
      <c r="H1173" s="1">
        <v>95000.0</v>
      </c>
      <c r="I1173" s="1">
        <v>1.0</v>
      </c>
      <c r="J1173" s="1">
        <v>95000.0</v>
      </c>
      <c r="K1173" s="2">
        <v>42065.0</v>
      </c>
      <c r="L1173" s="1">
        <v>1.0</v>
      </c>
      <c r="M1173" s="2">
        <v>42065.0</v>
      </c>
      <c r="N1173" s="1" t="s">
        <v>249</v>
      </c>
      <c r="O1173" s="2">
        <v>42080.0</v>
      </c>
      <c r="P1173" s="1">
        <v>241056.0</v>
      </c>
      <c r="Q1173" s="1">
        <v>25709.0</v>
      </c>
      <c r="S1173" s="1">
        <v>103.0</v>
      </c>
      <c r="T1173" s="1" t="s">
        <v>12698</v>
      </c>
      <c r="U1173" s="1" t="s">
        <v>320</v>
      </c>
      <c r="V1173" s="1" t="s">
        <v>807</v>
      </c>
      <c r="W1173" s="1">
        <v>60110.0</v>
      </c>
      <c r="Y1173" s="1" t="s">
        <v>12699</v>
      </c>
      <c r="Z1173" s="1">
        <v>1871.0</v>
      </c>
      <c r="AA1173" s="1" t="s">
        <v>192</v>
      </c>
      <c r="AB1173" s="1" t="s">
        <v>193</v>
      </c>
      <c r="AD1173" s="1" t="s">
        <v>809</v>
      </c>
      <c r="AE1173" s="1" t="s">
        <v>325</v>
      </c>
      <c r="AF1173" s="1" t="s">
        <v>810</v>
      </c>
      <c r="AH1173" s="1" t="s">
        <v>12700</v>
      </c>
      <c r="AI1173" s="1">
        <v>0.1584</v>
      </c>
      <c r="AK1173" s="1">
        <v>7.0</v>
      </c>
      <c r="AL1173" s="1">
        <v>4.0</v>
      </c>
      <c r="AM1173" s="1">
        <v>2.0</v>
      </c>
      <c r="AN1173" s="1">
        <v>0.0</v>
      </c>
      <c r="AO1173" s="1" t="s">
        <v>229</v>
      </c>
      <c r="AQ1173" s="1" t="s">
        <v>1314</v>
      </c>
      <c r="AR1173" s="1" t="s">
        <v>200</v>
      </c>
      <c r="AS1173" s="1" t="s">
        <v>828</v>
      </c>
      <c r="AU1173" s="1">
        <v>1.0</v>
      </c>
      <c r="AV1173" s="1" t="s">
        <v>200</v>
      </c>
      <c r="AW1173" s="1">
        <v>4437.0</v>
      </c>
      <c r="AX1173" s="1">
        <v>2013.0</v>
      </c>
      <c r="AZ1173" s="1" t="s">
        <v>200</v>
      </c>
      <c r="BA1173" s="1" t="str">
        <f>"0315385007"</f>
        <v>0315385007</v>
      </c>
      <c r="BC1173" s="1">
        <v>0.0</v>
      </c>
      <c r="BD1173" s="1">
        <v>73500.0</v>
      </c>
      <c r="BE1173" s="2">
        <v>42065.0</v>
      </c>
      <c r="BF1173" s="1" t="s">
        <v>12701</v>
      </c>
      <c r="BH1173" s="1">
        <v>0.0</v>
      </c>
      <c r="BK1173" s="1" t="s">
        <v>204</v>
      </c>
      <c r="BL1173" s="1" t="str">
        <f t="shared" ref="BL1173:BM1173" si="781">""</f>
        <v/>
      </c>
      <c r="BM1173" s="1" t="str">
        <f t="shared" si="781"/>
        <v/>
      </c>
      <c r="BQ1173" s="1">
        <v>300.0</v>
      </c>
      <c r="BR1173" s="1">
        <v>300.0</v>
      </c>
      <c r="BS1173" s="1">
        <v>300.0</v>
      </c>
      <c r="BU1173" s="1" t="s">
        <v>663</v>
      </c>
      <c r="BV1173" s="1" t="s">
        <v>206</v>
      </c>
      <c r="BY1173" s="1" t="s">
        <v>663</v>
      </c>
      <c r="BZ1173" s="1" t="s">
        <v>209</v>
      </c>
      <c r="CC1173" s="1" t="s">
        <v>269</v>
      </c>
      <c r="CD1173" s="1" t="s">
        <v>206</v>
      </c>
      <c r="CG1173" s="1" t="s">
        <v>263</v>
      </c>
      <c r="CH1173" s="1" t="s">
        <v>209</v>
      </c>
      <c r="CK1173" s="1" t="s">
        <v>1329</v>
      </c>
      <c r="CL1173" s="1" t="s">
        <v>206</v>
      </c>
      <c r="CO1173" s="1" t="s">
        <v>263</v>
      </c>
      <c r="CP1173" s="1" t="s">
        <v>209</v>
      </c>
      <c r="CS1173" s="1" t="s">
        <v>516</v>
      </c>
      <c r="CT1173" s="1" t="s">
        <v>206</v>
      </c>
      <c r="CX1173" s="1" t="s">
        <v>204</v>
      </c>
      <c r="DA1173" s="1" t="s">
        <v>200</v>
      </c>
      <c r="DC1173" s="1" t="s">
        <v>642</v>
      </c>
      <c r="DE1173" s="1" t="s">
        <v>273</v>
      </c>
      <c r="DF1173" s="1" t="s">
        <v>619</v>
      </c>
      <c r="DH1173" s="1" t="s">
        <v>220</v>
      </c>
      <c r="DJ1173" s="1" t="s">
        <v>222</v>
      </c>
      <c r="DL1173" s="1" t="s">
        <v>4999</v>
      </c>
      <c r="DM1173" s="1" t="s">
        <v>229</v>
      </c>
      <c r="DQ1173" s="1" t="s">
        <v>228</v>
      </c>
      <c r="DR1173" s="1" t="s">
        <v>229</v>
      </c>
      <c r="DV1173" s="1" t="s">
        <v>232</v>
      </c>
      <c r="DW1173" s="1" t="s">
        <v>891</v>
      </c>
      <c r="DX1173" s="1" t="s">
        <v>234</v>
      </c>
      <c r="EC1173" s="1" t="s">
        <v>237</v>
      </c>
      <c r="EM1173" s="1" t="s">
        <v>238</v>
      </c>
      <c r="EQ1173" s="1" t="s">
        <v>238</v>
      </c>
      <c r="EU1173" s="1" t="s">
        <v>238</v>
      </c>
      <c r="EY1173" s="1" t="s">
        <v>238</v>
      </c>
      <c r="FC1173" s="1" t="s">
        <v>238</v>
      </c>
      <c r="FF1173" s="1" t="s">
        <v>239</v>
      </c>
      <c r="FG1173" s="1" t="s">
        <v>192</v>
      </c>
      <c r="FH1173" s="1" t="s">
        <v>192</v>
      </c>
      <c r="FJ1173" s="1" t="s">
        <v>12702</v>
      </c>
      <c r="FK1173" s="1" t="s">
        <v>229</v>
      </c>
      <c r="FL1173" s="1" t="s">
        <v>12703</v>
      </c>
      <c r="FM1173" s="1">
        <v>15140.0</v>
      </c>
      <c r="FN1173" s="1" t="s">
        <v>12704</v>
      </c>
      <c r="FO1173" s="1" t="s">
        <v>12705</v>
      </c>
      <c r="FP1173" s="1">
        <v>121137.0</v>
      </c>
      <c r="FQ1173" s="1" t="s">
        <v>12706</v>
      </c>
      <c r="FU1173" s="1" t="s">
        <v>3760</v>
      </c>
      <c r="FV1173" s="1" t="s">
        <v>200</v>
      </c>
      <c r="FW1173" s="1" t="s">
        <v>567</v>
      </c>
      <c r="FX1173" s="1" t="s">
        <v>238</v>
      </c>
      <c r="FZ1173" s="1" t="s">
        <v>229</v>
      </c>
      <c r="GA1173" s="1" t="s">
        <v>291</v>
      </c>
      <c r="GB1173" s="2">
        <v>42081.0</v>
      </c>
    </row>
    <row r="1174">
      <c r="A1174" s="1">
        <v>95500.0</v>
      </c>
      <c r="B1174" s="1" t="s">
        <v>185</v>
      </c>
      <c r="C1174" s="1" t="str">
        <f>"08849446"</f>
        <v>08849446</v>
      </c>
      <c r="D1174" s="1" t="s">
        <v>186</v>
      </c>
      <c r="F1174" s="1" t="str">
        <f>"177"</f>
        <v>177</v>
      </c>
      <c r="G1174" s="2">
        <v>42065.0</v>
      </c>
      <c r="H1174" s="1">
        <v>89400.0</v>
      </c>
      <c r="I1174" s="1">
        <v>69.0</v>
      </c>
      <c r="J1174" s="1">
        <v>89400.0</v>
      </c>
      <c r="K1174" s="2">
        <v>42130.0</v>
      </c>
      <c r="L1174" s="1">
        <v>69.0</v>
      </c>
      <c r="M1174" s="2">
        <v>42130.0</v>
      </c>
      <c r="N1174" s="1" t="s">
        <v>249</v>
      </c>
      <c r="O1174" s="2">
        <v>42145.0</v>
      </c>
      <c r="P1174" s="1">
        <v>33842.0</v>
      </c>
      <c r="Q1174" s="1">
        <v>4599.0</v>
      </c>
      <c r="S1174" s="1">
        <v>798.0</v>
      </c>
      <c r="T1174" s="1" t="s">
        <v>12707</v>
      </c>
      <c r="U1174" s="1" t="s">
        <v>320</v>
      </c>
      <c r="V1174" s="1" t="s">
        <v>2249</v>
      </c>
      <c r="W1174" s="1">
        <v>60177.0</v>
      </c>
      <c r="Y1174" s="1" t="s">
        <v>12708</v>
      </c>
      <c r="Z1174" s="1">
        <v>1963.0</v>
      </c>
      <c r="AA1174" s="1" t="s">
        <v>192</v>
      </c>
      <c r="AB1174" s="1" t="s">
        <v>193</v>
      </c>
      <c r="AD1174" s="1" t="s">
        <v>2252</v>
      </c>
      <c r="AE1174" s="1" t="s">
        <v>325</v>
      </c>
      <c r="AF1174" s="1" t="s">
        <v>469</v>
      </c>
      <c r="AH1174" s="1" t="s">
        <v>12709</v>
      </c>
      <c r="AI1174" s="1">
        <v>0.2203</v>
      </c>
      <c r="AK1174" s="1">
        <v>9.0</v>
      </c>
      <c r="AL1174" s="1">
        <v>3.0</v>
      </c>
      <c r="AM1174" s="1">
        <v>1.0</v>
      </c>
      <c r="AN1174" s="1">
        <v>0.0</v>
      </c>
      <c r="AO1174" s="1" t="s">
        <v>229</v>
      </c>
      <c r="AQ1174" s="1" t="s">
        <v>198</v>
      </c>
      <c r="AR1174" s="1" t="s">
        <v>200</v>
      </c>
      <c r="AS1174" s="1" t="s">
        <v>199</v>
      </c>
      <c r="AT1174" s="1">
        <v>2.0</v>
      </c>
      <c r="AV1174" s="1" t="s">
        <v>200</v>
      </c>
      <c r="AW1174" s="1">
        <v>3219.38</v>
      </c>
      <c r="AX1174" s="1">
        <v>2013.0</v>
      </c>
      <c r="AZ1174" s="1" t="s">
        <v>200</v>
      </c>
      <c r="BA1174" s="1" t="str">
        <f>"0635426045"</f>
        <v>0635426045</v>
      </c>
      <c r="BC1174" s="1">
        <v>1092.0</v>
      </c>
      <c r="BD1174" s="1">
        <v>95500.0</v>
      </c>
      <c r="BE1174" s="2">
        <v>42062.0</v>
      </c>
      <c r="BF1174" s="2" t="s">
        <v>12710</v>
      </c>
      <c r="BH1174" s="1">
        <v>0.0</v>
      </c>
      <c r="BK1174" s="1" t="s">
        <v>204</v>
      </c>
      <c r="BL1174" s="1" t="str">
        <f t="shared" ref="BL1174:BM1174" si="782">""</f>
        <v/>
      </c>
      <c r="BM1174" s="1" t="str">
        <f t="shared" si="782"/>
        <v/>
      </c>
      <c r="BQ1174" s="1">
        <v>46.0</v>
      </c>
      <c r="BR1174" s="1">
        <v>46.0</v>
      </c>
      <c r="BS1174" s="1">
        <v>46.0</v>
      </c>
      <c r="BU1174" s="1" t="s">
        <v>3271</v>
      </c>
      <c r="BV1174" s="1" t="s">
        <v>42</v>
      </c>
      <c r="BW1174" s="1" t="s">
        <v>588</v>
      </c>
      <c r="BY1174" s="1" t="s">
        <v>495</v>
      </c>
      <c r="BZ1174" s="1" t="s">
        <v>206</v>
      </c>
      <c r="CA1174" s="1" t="s">
        <v>207</v>
      </c>
      <c r="CD1174" s="1" t="s">
        <v>204</v>
      </c>
      <c r="CG1174" s="1" t="s">
        <v>798</v>
      </c>
      <c r="CH1174" s="1" t="s">
        <v>206</v>
      </c>
      <c r="CI1174" s="1" t="s">
        <v>207</v>
      </c>
      <c r="CK1174" s="1" t="s">
        <v>543</v>
      </c>
      <c r="CL1174" s="1" t="s">
        <v>206</v>
      </c>
      <c r="CM1174" s="1" t="s">
        <v>207</v>
      </c>
      <c r="CO1174" s="1" t="s">
        <v>332</v>
      </c>
      <c r="CP1174" s="1" t="s">
        <v>42</v>
      </c>
      <c r="CQ1174" s="1" t="s">
        <v>588</v>
      </c>
      <c r="CS1174" s="1" t="s">
        <v>332</v>
      </c>
      <c r="CT1174" s="1" t="s">
        <v>206</v>
      </c>
      <c r="CU1174" s="1" t="s">
        <v>588</v>
      </c>
      <c r="CW1174" s="1" t="s">
        <v>1158</v>
      </c>
      <c r="CX1174" s="1" t="s">
        <v>206</v>
      </c>
      <c r="CY1174" s="1" t="s">
        <v>588</v>
      </c>
      <c r="DA1174" s="1" t="s">
        <v>200</v>
      </c>
      <c r="DC1174" s="1" t="s">
        <v>271</v>
      </c>
      <c r="DD1174" s="1" t="s">
        <v>518</v>
      </c>
      <c r="DE1174" s="1" t="s">
        <v>273</v>
      </c>
      <c r="DF1174" s="1" t="s">
        <v>219</v>
      </c>
      <c r="DH1174" s="1" t="s">
        <v>220</v>
      </c>
      <c r="DJ1174" s="1" t="s">
        <v>222</v>
      </c>
      <c r="DL1174" s="1" t="s">
        <v>858</v>
      </c>
      <c r="DM1174" s="1" t="s">
        <v>229</v>
      </c>
      <c r="DQ1174" s="1" t="s">
        <v>228</v>
      </c>
      <c r="DR1174" s="1" t="s">
        <v>229</v>
      </c>
      <c r="DV1174" s="1" t="s">
        <v>12711</v>
      </c>
      <c r="DW1174" s="1" t="s">
        <v>964</v>
      </c>
      <c r="DX1174" s="1" t="s">
        <v>234</v>
      </c>
      <c r="DY1174" s="1" t="s">
        <v>704</v>
      </c>
      <c r="EC1174" s="1" t="s">
        <v>685</v>
      </c>
      <c r="EG1174" s="1" t="s">
        <v>449</v>
      </c>
      <c r="EH1174" s="1" t="s">
        <v>1491</v>
      </c>
      <c r="EL1174" s="1" t="s">
        <v>2617</v>
      </c>
      <c r="EM1174" s="1" t="s">
        <v>206</v>
      </c>
      <c r="EN1174" s="1" t="s">
        <v>588</v>
      </c>
      <c r="EP1174" s="1" t="s">
        <v>798</v>
      </c>
      <c r="EQ1174" s="1" t="s">
        <v>42</v>
      </c>
      <c r="ER1174" s="1" t="s">
        <v>588</v>
      </c>
      <c r="EU1174" s="1" t="s">
        <v>238</v>
      </c>
      <c r="EY1174" s="1" t="s">
        <v>238</v>
      </c>
      <c r="FC1174" s="1" t="s">
        <v>238</v>
      </c>
      <c r="FF1174" s="1" t="s">
        <v>239</v>
      </c>
      <c r="FG1174" s="1" t="s">
        <v>192</v>
      </c>
      <c r="FH1174" s="1" t="s">
        <v>192</v>
      </c>
      <c r="FJ1174" s="1" t="s">
        <v>1248</v>
      </c>
      <c r="FK1174" s="1" t="s">
        <v>229</v>
      </c>
      <c r="FL1174" s="1" t="s">
        <v>2184</v>
      </c>
      <c r="FM1174" s="1">
        <v>605.0</v>
      </c>
      <c r="FN1174" s="1" t="s">
        <v>2185</v>
      </c>
      <c r="FO1174" s="1" t="s">
        <v>1738</v>
      </c>
      <c r="FP1174" s="1">
        <v>170.0</v>
      </c>
      <c r="FQ1174" s="1" t="s">
        <v>2185</v>
      </c>
      <c r="FS1174" s="1" t="s">
        <v>3468</v>
      </c>
      <c r="FU1174" s="1" t="s">
        <v>3469</v>
      </c>
      <c r="FV1174" s="1" t="s">
        <v>200</v>
      </c>
      <c r="FW1174" s="1" t="s">
        <v>354</v>
      </c>
      <c r="FZ1174" s="1" t="s">
        <v>229</v>
      </c>
      <c r="GA1174" s="1" t="s">
        <v>291</v>
      </c>
      <c r="GB1174" s="2">
        <v>42145.0</v>
      </c>
      <c r="GC1174" s="1" t="s">
        <v>12712</v>
      </c>
    </row>
    <row r="1175">
      <c r="A1175" s="1">
        <v>365000.0</v>
      </c>
      <c r="B1175" s="1" t="s">
        <v>185</v>
      </c>
      <c r="C1175" s="1" t="str">
        <f>"08852444"</f>
        <v>08852444</v>
      </c>
      <c r="D1175" s="1" t="s">
        <v>186</v>
      </c>
      <c r="F1175" s="1" t="str">
        <f>"134"</f>
        <v>134</v>
      </c>
      <c r="G1175" s="2">
        <v>42067.0</v>
      </c>
      <c r="H1175" s="1">
        <v>369900.0</v>
      </c>
      <c r="I1175" s="1">
        <v>24.0</v>
      </c>
      <c r="J1175" s="1">
        <v>369900.0</v>
      </c>
      <c r="K1175" s="2">
        <v>42090.0</v>
      </c>
      <c r="L1175" s="1">
        <v>24.0</v>
      </c>
      <c r="M1175" s="2">
        <v>42090.0</v>
      </c>
      <c r="N1175" s="1" t="s">
        <v>356</v>
      </c>
      <c r="O1175" s="2">
        <v>42125.0</v>
      </c>
      <c r="P1175" s="1">
        <v>8292.0</v>
      </c>
      <c r="Q1175" s="1">
        <v>49.0</v>
      </c>
      <c r="R1175" s="1">
        <v>10000.0</v>
      </c>
      <c r="S1175" s="1">
        <v>2751.0</v>
      </c>
      <c r="T1175" s="1" t="s">
        <v>12713</v>
      </c>
      <c r="U1175" s="1" t="s">
        <v>189</v>
      </c>
      <c r="V1175" s="1" t="s">
        <v>421</v>
      </c>
      <c r="W1175" s="1">
        <v>60134.0</v>
      </c>
      <c r="Y1175" s="1" t="s">
        <v>12714</v>
      </c>
      <c r="Z1175" s="1">
        <v>1993.0</v>
      </c>
      <c r="AA1175" s="1" t="s">
        <v>200</v>
      </c>
      <c r="AB1175" s="1" t="s">
        <v>193</v>
      </c>
      <c r="AC1175" s="1" t="s">
        <v>12715</v>
      </c>
      <c r="AD1175" s="1" t="s">
        <v>424</v>
      </c>
      <c r="AE1175" s="1" t="s">
        <v>325</v>
      </c>
      <c r="AF1175" s="1" t="s">
        <v>424</v>
      </c>
      <c r="AH1175" s="1" t="s">
        <v>12716</v>
      </c>
      <c r="AI1175" s="1">
        <v>0.2925</v>
      </c>
      <c r="AK1175" s="1">
        <v>9.0</v>
      </c>
      <c r="AL1175" s="1">
        <v>4.0</v>
      </c>
      <c r="AM1175" s="1">
        <v>2.0</v>
      </c>
      <c r="AN1175" s="1">
        <v>1.0</v>
      </c>
      <c r="AO1175" s="1" t="s">
        <v>198</v>
      </c>
      <c r="AP1175" s="1">
        <v>1.0</v>
      </c>
      <c r="AQ1175" s="1" t="s">
        <v>1314</v>
      </c>
      <c r="AR1175" s="1" t="s">
        <v>200</v>
      </c>
      <c r="AS1175" s="1" t="s">
        <v>199</v>
      </c>
      <c r="AT1175" s="1">
        <v>2.0</v>
      </c>
      <c r="AV1175" s="1" t="s">
        <v>200</v>
      </c>
      <c r="AW1175" s="1">
        <v>10533.92</v>
      </c>
      <c r="AX1175" s="1">
        <v>2013.0</v>
      </c>
      <c r="AY1175" s="1" t="s">
        <v>229</v>
      </c>
      <c r="AZ1175" s="1" t="s">
        <v>200</v>
      </c>
      <c r="BA1175" s="1" t="str">
        <f>"1208177001"</f>
        <v>1208177001</v>
      </c>
      <c r="BC1175" s="1">
        <v>2417.0</v>
      </c>
      <c r="BD1175" s="1">
        <v>365000.0</v>
      </c>
      <c r="BE1175" s="2">
        <v>42067.0</v>
      </c>
      <c r="BF1175" s="2" t="s">
        <v>12717</v>
      </c>
      <c r="BH1175" s="1">
        <v>0.0</v>
      </c>
      <c r="BK1175" s="1" t="s">
        <v>204</v>
      </c>
      <c r="BL1175" s="1" t="str">
        <f t="shared" ref="BL1175:BM1175" si="783">""</f>
        <v/>
      </c>
      <c r="BM1175" s="1" t="str">
        <f t="shared" si="783"/>
        <v/>
      </c>
      <c r="BQ1175" s="1">
        <v>304.0</v>
      </c>
      <c r="BR1175" s="1">
        <v>304.0</v>
      </c>
      <c r="BS1175" s="1">
        <v>304.0</v>
      </c>
      <c r="BU1175" s="1" t="s">
        <v>830</v>
      </c>
      <c r="BV1175" s="1" t="s">
        <v>206</v>
      </c>
      <c r="BW1175" s="1" t="s">
        <v>207</v>
      </c>
      <c r="BY1175" s="1" t="s">
        <v>1068</v>
      </c>
      <c r="BZ1175" s="1" t="s">
        <v>209</v>
      </c>
      <c r="CA1175" s="1" t="s">
        <v>210</v>
      </c>
      <c r="CC1175" s="1" t="s">
        <v>2459</v>
      </c>
      <c r="CD1175" s="1" t="s">
        <v>206</v>
      </c>
      <c r="CE1175" s="1" t="s">
        <v>207</v>
      </c>
      <c r="CG1175" s="1" t="s">
        <v>478</v>
      </c>
      <c r="CH1175" s="1" t="s">
        <v>209</v>
      </c>
      <c r="CI1175" s="1" t="s">
        <v>210</v>
      </c>
      <c r="CK1175" s="1" t="s">
        <v>478</v>
      </c>
      <c r="CL1175" s="1" t="s">
        <v>209</v>
      </c>
      <c r="CM1175" s="1" t="s">
        <v>210</v>
      </c>
      <c r="CO1175" s="1" t="s">
        <v>663</v>
      </c>
      <c r="CP1175" s="1" t="s">
        <v>209</v>
      </c>
      <c r="CQ1175" s="1" t="s">
        <v>210</v>
      </c>
      <c r="CS1175" s="1" t="s">
        <v>677</v>
      </c>
      <c r="CT1175" s="1" t="s">
        <v>206</v>
      </c>
      <c r="CU1175" s="1" t="s">
        <v>207</v>
      </c>
      <c r="CW1175" s="1" t="s">
        <v>2219</v>
      </c>
      <c r="CX1175" s="1" t="s">
        <v>206</v>
      </c>
      <c r="CY1175" s="1" t="s">
        <v>207</v>
      </c>
      <c r="DA1175" s="1" t="s">
        <v>200</v>
      </c>
      <c r="DC1175" s="1" t="s">
        <v>435</v>
      </c>
      <c r="DD1175" s="1" t="s">
        <v>336</v>
      </c>
      <c r="DE1175" s="1" t="s">
        <v>273</v>
      </c>
      <c r="DF1175" s="1" t="s">
        <v>619</v>
      </c>
      <c r="DH1175" s="1" t="s">
        <v>220</v>
      </c>
      <c r="DI1175" s="1" t="s">
        <v>221</v>
      </c>
      <c r="DJ1175" s="1" t="s">
        <v>222</v>
      </c>
      <c r="DL1175" s="1" t="s">
        <v>1267</v>
      </c>
      <c r="DM1175" s="1" t="s">
        <v>229</v>
      </c>
      <c r="DP1175" s="1" t="s">
        <v>340</v>
      </c>
      <c r="DQ1175" s="1" t="s">
        <v>441</v>
      </c>
      <c r="DR1175" s="1" t="s">
        <v>229</v>
      </c>
      <c r="DU1175" s="1" t="s">
        <v>3073</v>
      </c>
      <c r="DV1175" s="1" t="s">
        <v>598</v>
      </c>
      <c r="DW1175" s="1" t="s">
        <v>444</v>
      </c>
      <c r="DX1175" s="1" t="s">
        <v>234</v>
      </c>
      <c r="DY1175" s="1" t="s">
        <v>1051</v>
      </c>
      <c r="DZ1175" s="1" t="s">
        <v>310</v>
      </c>
      <c r="EA1175" s="1" t="s">
        <v>344</v>
      </c>
      <c r="EB1175" s="1" t="s">
        <v>684</v>
      </c>
      <c r="EC1175" s="1" t="s">
        <v>237</v>
      </c>
      <c r="ED1175" s="1" t="s">
        <v>555</v>
      </c>
      <c r="EG1175" s="1" t="s">
        <v>598</v>
      </c>
      <c r="EL1175" s="1" t="s">
        <v>303</v>
      </c>
      <c r="EM1175" s="1" t="s">
        <v>206</v>
      </c>
      <c r="EN1175" s="1" t="s">
        <v>207</v>
      </c>
      <c r="EQ1175" s="1" t="s">
        <v>238</v>
      </c>
      <c r="EU1175" s="1" t="s">
        <v>238</v>
      </c>
      <c r="EY1175" s="1" t="s">
        <v>238</v>
      </c>
      <c r="FC1175" s="1" t="s">
        <v>238</v>
      </c>
      <c r="FF1175" s="1" t="s">
        <v>239</v>
      </c>
      <c r="FG1175" s="1" t="s">
        <v>192</v>
      </c>
      <c r="FH1175" s="1" t="s">
        <v>192</v>
      </c>
      <c r="FJ1175" s="1" t="s">
        <v>624</v>
      </c>
      <c r="FK1175" s="1" t="s">
        <v>229</v>
      </c>
      <c r="FL1175" s="1" t="s">
        <v>456</v>
      </c>
      <c r="FM1175" s="1">
        <v>49.0</v>
      </c>
      <c r="FN1175" s="1" t="s">
        <v>457</v>
      </c>
      <c r="FO1175" s="1" t="s">
        <v>12718</v>
      </c>
      <c r="FP1175" s="1">
        <v>7219.0</v>
      </c>
      <c r="FU1175" s="1" t="s">
        <v>12719</v>
      </c>
      <c r="FV1175" s="1" t="s">
        <v>200</v>
      </c>
      <c r="FW1175" s="1" t="s">
        <v>290</v>
      </c>
      <c r="FZ1175" s="1" t="s">
        <v>229</v>
      </c>
      <c r="GA1175" s="1" t="s">
        <v>291</v>
      </c>
      <c r="GB1175" s="2">
        <v>42125.0</v>
      </c>
      <c r="GC1175" s="1" t="s">
        <v>12720</v>
      </c>
    </row>
    <row r="1176">
      <c r="A1176" s="1">
        <v>298000.0</v>
      </c>
      <c r="B1176" s="1" t="s">
        <v>185</v>
      </c>
      <c r="C1176" s="1" t="str">
        <f>"08858482"</f>
        <v>08858482</v>
      </c>
      <c r="D1176" s="1" t="s">
        <v>186</v>
      </c>
      <c r="F1176" s="1" t="str">
        <f>"543"</f>
        <v>543</v>
      </c>
      <c r="G1176" s="2">
        <v>42074.0</v>
      </c>
      <c r="H1176" s="1">
        <v>315000.0</v>
      </c>
      <c r="I1176" s="1">
        <v>5.0</v>
      </c>
      <c r="J1176" s="1">
        <v>315000.0</v>
      </c>
      <c r="K1176" s="2">
        <v>42078.0</v>
      </c>
      <c r="L1176" s="1">
        <v>5.0</v>
      </c>
      <c r="M1176" s="2">
        <v>42078.0</v>
      </c>
      <c r="N1176" s="1" t="s">
        <v>187</v>
      </c>
      <c r="O1176" s="2">
        <v>42124.0</v>
      </c>
      <c r="P1176" s="1">
        <v>215584.0</v>
      </c>
      <c r="Q1176" s="1">
        <v>25616.0</v>
      </c>
      <c r="S1176" s="1">
        <v>211.0</v>
      </c>
      <c r="T1176" s="1" t="s">
        <v>8686</v>
      </c>
      <c r="U1176" s="1" t="s">
        <v>420</v>
      </c>
      <c r="V1176" s="1" t="s">
        <v>1527</v>
      </c>
      <c r="W1176" s="1">
        <v>60543.0</v>
      </c>
      <c r="Y1176" s="1" t="s">
        <v>12721</v>
      </c>
      <c r="Z1176" s="1">
        <v>2000.0</v>
      </c>
      <c r="AA1176" s="1" t="s">
        <v>200</v>
      </c>
      <c r="AB1176" s="1" t="s">
        <v>193</v>
      </c>
      <c r="AC1176" s="1" t="s">
        <v>1865</v>
      </c>
      <c r="AD1176" s="1" t="s">
        <v>1529</v>
      </c>
      <c r="AE1176" s="1" t="s">
        <v>849</v>
      </c>
      <c r="AF1176" s="1" t="s">
        <v>1529</v>
      </c>
      <c r="AH1176" s="1" t="s">
        <v>12722</v>
      </c>
      <c r="AK1176" s="1">
        <v>10.0</v>
      </c>
      <c r="AL1176" s="1">
        <v>4.0</v>
      </c>
      <c r="AM1176" s="1">
        <v>2.0</v>
      </c>
      <c r="AN1176" s="1">
        <v>1.0</v>
      </c>
      <c r="AO1176" s="1" t="s">
        <v>198</v>
      </c>
      <c r="AP1176" s="1">
        <v>1.0</v>
      </c>
      <c r="AQ1176" s="1" t="s">
        <v>198</v>
      </c>
      <c r="AR1176" s="1" t="s">
        <v>200</v>
      </c>
      <c r="AS1176" s="1" t="s">
        <v>199</v>
      </c>
      <c r="AT1176" s="1">
        <v>3.0</v>
      </c>
      <c r="AV1176" s="1" t="s">
        <v>200</v>
      </c>
      <c r="AW1176" s="1">
        <v>9468.0</v>
      </c>
      <c r="AX1176" s="1">
        <v>2013.0</v>
      </c>
      <c r="AY1176" s="1" t="s">
        <v>387</v>
      </c>
      <c r="AZ1176" s="1" t="s">
        <v>200</v>
      </c>
      <c r="BA1176" s="1" t="str">
        <f>"0329127006"</f>
        <v>0329127006</v>
      </c>
      <c r="BB1176" s="1" t="s">
        <v>200</v>
      </c>
      <c r="BC1176" s="1">
        <v>2832.0</v>
      </c>
      <c r="BD1176" s="1">
        <v>298000.0</v>
      </c>
      <c r="BE1176" s="2">
        <v>42074.0</v>
      </c>
      <c r="BF1176" s="2" t="s">
        <v>12723</v>
      </c>
      <c r="BG1176" s="1" t="s">
        <v>1532</v>
      </c>
      <c r="BH1176" s="1">
        <v>0.0</v>
      </c>
      <c r="BI1176" s="1" t="s">
        <v>1533</v>
      </c>
      <c r="BJ1176" s="1" t="s">
        <v>1349</v>
      </c>
      <c r="BK1176" s="1" t="s">
        <v>204</v>
      </c>
      <c r="BL1176" s="1" t="str">
        <f t="shared" ref="BL1176:BM1176" si="784">"0"</f>
        <v>0</v>
      </c>
      <c r="BM1176" s="1" t="str">
        <f t="shared" si="784"/>
        <v>0</v>
      </c>
      <c r="BN1176" s="1">
        <v>36.0</v>
      </c>
      <c r="BO1176" s="1">
        <v>10.0</v>
      </c>
      <c r="BQ1176" s="1">
        <v>308.0</v>
      </c>
      <c r="BR1176" s="1">
        <v>308.0</v>
      </c>
      <c r="BS1176" s="1">
        <v>308.0</v>
      </c>
      <c r="BU1176" s="1" t="s">
        <v>331</v>
      </c>
      <c r="BV1176" s="1" t="s">
        <v>206</v>
      </c>
      <c r="BW1176" s="1" t="s">
        <v>210</v>
      </c>
      <c r="BX1176" s="1" t="s">
        <v>431</v>
      </c>
      <c r="BY1176" s="1" t="s">
        <v>214</v>
      </c>
      <c r="BZ1176" s="1" t="s">
        <v>209</v>
      </c>
      <c r="CA1176" s="1" t="s">
        <v>210</v>
      </c>
      <c r="CB1176" s="1" t="s">
        <v>431</v>
      </c>
      <c r="CC1176" s="1" t="s">
        <v>497</v>
      </c>
      <c r="CD1176" s="1" t="s">
        <v>206</v>
      </c>
      <c r="CE1176" s="1" t="s">
        <v>210</v>
      </c>
      <c r="CF1176" s="1" t="s">
        <v>431</v>
      </c>
      <c r="CG1176" s="1" t="s">
        <v>729</v>
      </c>
      <c r="CH1176" s="1" t="s">
        <v>209</v>
      </c>
      <c r="CI1176" s="1" t="s">
        <v>210</v>
      </c>
      <c r="CJ1176" s="1" t="s">
        <v>431</v>
      </c>
      <c r="CK1176" s="1" t="s">
        <v>392</v>
      </c>
      <c r="CL1176" s="1" t="s">
        <v>209</v>
      </c>
      <c r="CM1176" s="1" t="s">
        <v>210</v>
      </c>
      <c r="CN1176" s="1" t="s">
        <v>431</v>
      </c>
      <c r="CO1176" s="1" t="s">
        <v>497</v>
      </c>
      <c r="CP1176" s="1" t="s">
        <v>209</v>
      </c>
      <c r="CQ1176" s="1" t="s">
        <v>210</v>
      </c>
      <c r="CR1176" s="1" t="s">
        <v>431</v>
      </c>
      <c r="CS1176" s="1" t="s">
        <v>1244</v>
      </c>
      <c r="CT1176" s="1" t="s">
        <v>206</v>
      </c>
      <c r="CU1176" s="1" t="s">
        <v>268</v>
      </c>
      <c r="CV1176" s="1" t="s">
        <v>431</v>
      </c>
      <c r="CW1176" s="1" t="s">
        <v>924</v>
      </c>
      <c r="CX1176" s="1" t="s">
        <v>206</v>
      </c>
      <c r="CY1176" s="1" t="s">
        <v>210</v>
      </c>
      <c r="CZ1176" s="1" t="s">
        <v>431</v>
      </c>
      <c r="DA1176" s="1" t="s">
        <v>200</v>
      </c>
      <c r="DC1176" s="1" t="s">
        <v>335</v>
      </c>
      <c r="DD1176" s="1" t="s">
        <v>1838</v>
      </c>
      <c r="DE1176" s="1" t="s">
        <v>273</v>
      </c>
      <c r="DF1176" s="1" t="s">
        <v>219</v>
      </c>
      <c r="DG1176" s="1" t="s">
        <v>482</v>
      </c>
      <c r="DH1176" s="1" t="s">
        <v>220</v>
      </c>
      <c r="DI1176" s="1" t="s">
        <v>5873</v>
      </c>
      <c r="DJ1176" s="1" t="s">
        <v>222</v>
      </c>
      <c r="DK1176" s="1" t="s">
        <v>1555</v>
      </c>
      <c r="DL1176" s="1" t="s">
        <v>484</v>
      </c>
      <c r="DM1176" s="1" t="s">
        <v>338</v>
      </c>
      <c r="DN1176" s="1" t="s">
        <v>485</v>
      </c>
      <c r="DO1176" s="1" t="s">
        <v>6305</v>
      </c>
      <c r="DP1176" s="1" t="s">
        <v>340</v>
      </c>
      <c r="DQ1176" s="1" t="s">
        <v>441</v>
      </c>
      <c r="DR1176" s="1" t="s">
        <v>229</v>
      </c>
      <c r="DS1176" s="1" t="s">
        <v>368</v>
      </c>
      <c r="DU1176" s="1" t="s">
        <v>487</v>
      </c>
      <c r="DV1176" s="1" t="s">
        <v>1188</v>
      </c>
      <c r="DW1176" s="1" t="s">
        <v>444</v>
      </c>
      <c r="DX1176" s="1" t="s">
        <v>234</v>
      </c>
      <c r="DY1176" s="1" t="s">
        <v>490</v>
      </c>
      <c r="DZ1176" s="1" t="s">
        <v>1959</v>
      </c>
      <c r="EA1176" s="1" t="s">
        <v>344</v>
      </c>
      <c r="EB1176" s="1" t="s">
        <v>937</v>
      </c>
      <c r="EC1176" s="1" t="s">
        <v>237</v>
      </c>
      <c r="ED1176" s="1" t="s">
        <v>407</v>
      </c>
      <c r="EG1176" s="1" t="s">
        <v>341</v>
      </c>
      <c r="EI1176" s="1" t="s">
        <v>494</v>
      </c>
      <c r="EL1176" s="1" t="s">
        <v>212</v>
      </c>
      <c r="EM1176" s="1" t="s">
        <v>209</v>
      </c>
      <c r="EN1176" s="1" t="s">
        <v>210</v>
      </c>
      <c r="EO1176" s="1" t="s">
        <v>431</v>
      </c>
      <c r="EQ1176" s="1" t="s">
        <v>238</v>
      </c>
      <c r="ET1176" s="1" t="s">
        <v>363</v>
      </c>
      <c r="EU1176" s="1" t="s">
        <v>206</v>
      </c>
      <c r="EV1176" s="1" t="s">
        <v>207</v>
      </c>
      <c r="EW1176" s="1" t="s">
        <v>431</v>
      </c>
      <c r="EY1176" s="1" t="s">
        <v>238</v>
      </c>
      <c r="FC1176" s="1" t="s">
        <v>238</v>
      </c>
      <c r="FF1176" s="1" t="s">
        <v>239</v>
      </c>
      <c r="FG1176" s="1" t="s">
        <v>192</v>
      </c>
      <c r="FH1176" s="1" t="s">
        <v>192</v>
      </c>
      <c r="FJ1176" s="1" t="s">
        <v>2206</v>
      </c>
      <c r="FK1176" s="1" t="s">
        <v>229</v>
      </c>
      <c r="FL1176" s="1" t="s">
        <v>456</v>
      </c>
      <c r="FM1176" s="1">
        <v>23156.0</v>
      </c>
      <c r="FN1176" s="1" t="s">
        <v>2553</v>
      </c>
      <c r="FO1176" s="1" t="s">
        <v>12724</v>
      </c>
      <c r="FP1176" s="1">
        <v>229320.0</v>
      </c>
      <c r="FQ1176" s="1" t="s">
        <v>12725</v>
      </c>
      <c r="FS1176" s="1" t="s">
        <v>12726</v>
      </c>
      <c r="FU1176" s="1" t="s">
        <v>12727</v>
      </c>
      <c r="FV1176" s="1" t="s">
        <v>200</v>
      </c>
      <c r="FW1176" s="1" t="s">
        <v>290</v>
      </c>
      <c r="FZ1176" s="1" t="s">
        <v>229</v>
      </c>
      <c r="GA1176" s="1" t="s">
        <v>291</v>
      </c>
      <c r="GB1176" s="2">
        <v>42125.0</v>
      </c>
      <c r="GC1176" s="1" t="s">
        <v>12728</v>
      </c>
    </row>
    <row r="1177">
      <c r="A1177" s="1">
        <v>1507000.0</v>
      </c>
      <c r="B1177" s="1" t="s">
        <v>185</v>
      </c>
      <c r="C1177" s="1" t="str">
        <f>"08851649"</f>
        <v>08851649</v>
      </c>
      <c r="D1177" s="1" t="s">
        <v>186</v>
      </c>
      <c r="F1177" s="1" t="str">
        <f>"8006"</f>
        <v>8006</v>
      </c>
      <c r="G1177" s="2">
        <v>42066.0</v>
      </c>
      <c r="H1177" s="1">
        <v>1689000.0</v>
      </c>
      <c r="I1177" s="1">
        <v>127.0</v>
      </c>
      <c r="J1177" s="1">
        <v>1689000.0</v>
      </c>
      <c r="K1177" s="2">
        <v>42086.0</v>
      </c>
      <c r="L1177" s="1">
        <v>21.0</v>
      </c>
      <c r="M1177" s="2">
        <v>42086.0</v>
      </c>
      <c r="N1177" s="1" t="s">
        <v>249</v>
      </c>
      <c r="O1177" s="2">
        <v>42131.0</v>
      </c>
      <c r="P1177" s="1">
        <v>109438.0</v>
      </c>
      <c r="Q1177" s="1">
        <v>84982.0</v>
      </c>
      <c r="S1177" s="1">
        <v>829.0</v>
      </c>
      <c r="T1177" s="1" t="s">
        <v>419</v>
      </c>
      <c r="U1177" s="1" t="s">
        <v>189</v>
      </c>
      <c r="V1177" s="1" t="s">
        <v>190</v>
      </c>
      <c r="W1177" s="1">
        <v>60657.0</v>
      </c>
      <c r="Y1177" s="1" t="s">
        <v>12729</v>
      </c>
      <c r="Z1177" s="1">
        <v>1889.0</v>
      </c>
      <c r="AA1177" s="1" t="s">
        <v>192</v>
      </c>
      <c r="AB1177" s="1" t="s">
        <v>193</v>
      </c>
      <c r="AD1177" s="1" t="s">
        <v>194</v>
      </c>
      <c r="AE1177" s="1" t="s">
        <v>195</v>
      </c>
      <c r="AF1177" s="1" t="s">
        <v>534</v>
      </c>
      <c r="AH1177" s="1" t="s">
        <v>741</v>
      </c>
      <c r="AI1177" s="1">
        <v>0.0717</v>
      </c>
      <c r="AK1177" s="1">
        <v>10.0</v>
      </c>
      <c r="AL1177" s="1">
        <v>4.0</v>
      </c>
      <c r="AM1177" s="1">
        <v>3.0</v>
      </c>
      <c r="AN1177" s="1">
        <v>1.0</v>
      </c>
      <c r="AO1177" s="1" t="s">
        <v>198</v>
      </c>
      <c r="AP1177" s="1">
        <v>3.0</v>
      </c>
      <c r="AQ1177" s="1" t="s">
        <v>472</v>
      </c>
      <c r="AR1177" s="1" t="s">
        <v>192</v>
      </c>
      <c r="AS1177" s="1" t="s">
        <v>199</v>
      </c>
      <c r="AT1177" s="1">
        <v>2.0</v>
      </c>
      <c r="AV1177" s="1" t="s">
        <v>200</v>
      </c>
      <c r="AW1177" s="1">
        <v>15369.0</v>
      </c>
      <c r="AX1177" s="1">
        <v>2013.0</v>
      </c>
      <c r="AZ1177" s="1" t="s">
        <v>200</v>
      </c>
      <c r="BA1177" s="1" t="str">
        <f>"14292180090000"</f>
        <v>14292180090000</v>
      </c>
      <c r="BC1177" s="1">
        <v>5000.0</v>
      </c>
      <c r="BD1177" s="1">
        <v>1507000.0</v>
      </c>
      <c r="BE1177" s="2">
        <v>42066.0</v>
      </c>
      <c r="BF1177" s="2" t="s">
        <v>12730</v>
      </c>
      <c r="BG1177" s="1" t="s">
        <v>2870</v>
      </c>
      <c r="BH1177" s="1">
        <v>0.0</v>
      </c>
      <c r="BJ1177" s="1" t="s">
        <v>2871</v>
      </c>
      <c r="BK1177" s="1" t="s">
        <v>204</v>
      </c>
      <c r="BL1177" s="1" t="str">
        <f>"3000"</f>
        <v>3000</v>
      </c>
      <c r="BM1177" s="1" t="str">
        <f>"0"</f>
        <v>0</v>
      </c>
      <c r="BN1177" s="1">
        <v>829.0</v>
      </c>
      <c r="BO1177" s="1">
        <v>0.0</v>
      </c>
      <c r="BQ1177" s="1">
        <v>299.0</v>
      </c>
      <c r="BR1177" s="1">
        <v>299.0</v>
      </c>
      <c r="BS1177" s="1">
        <v>299.0</v>
      </c>
      <c r="BU1177" s="1" t="s">
        <v>7203</v>
      </c>
      <c r="BV1177" s="1" t="s">
        <v>206</v>
      </c>
      <c r="BW1177" s="1" t="s">
        <v>207</v>
      </c>
      <c r="BX1177" s="1" t="s">
        <v>229</v>
      </c>
      <c r="BY1177" s="1" t="s">
        <v>5540</v>
      </c>
      <c r="BZ1177" s="1" t="s">
        <v>209</v>
      </c>
      <c r="CA1177" s="1" t="s">
        <v>207</v>
      </c>
      <c r="CB1177" s="1" t="s">
        <v>229</v>
      </c>
      <c r="CC1177" s="1" t="s">
        <v>784</v>
      </c>
      <c r="CD1177" s="1" t="s">
        <v>206</v>
      </c>
      <c r="CE1177" s="1" t="s">
        <v>207</v>
      </c>
      <c r="CF1177" s="1" t="s">
        <v>229</v>
      </c>
      <c r="CG1177" s="1" t="s">
        <v>264</v>
      </c>
      <c r="CH1177" s="1" t="s">
        <v>209</v>
      </c>
      <c r="CI1177" s="1" t="s">
        <v>207</v>
      </c>
      <c r="CJ1177" s="1" t="s">
        <v>229</v>
      </c>
      <c r="CK1177" s="1" t="s">
        <v>264</v>
      </c>
      <c r="CL1177" s="1" t="s">
        <v>209</v>
      </c>
      <c r="CM1177" s="1" t="s">
        <v>207</v>
      </c>
      <c r="CN1177" s="1" t="s">
        <v>229</v>
      </c>
      <c r="CO1177" s="1" t="s">
        <v>332</v>
      </c>
      <c r="CP1177" s="1" t="s">
        <v>267</v>
      </c>
      <c r="CQ1177" s="1" t="s">
        <v>210</v>
      </c>
      <c r="CR1177" s="1" t="s">
        <v>229</v>
      </c>
      <c r="CS1177" s="1" t="s">
        <v>361</v>
      </c>
      <c r="CT1177" s="1" t="s">
        <v>206</v>
      </c>
      <c r="CU1177" s="1" t="s">
        <v>207</v>
      </c>
      <c r="CV1177" s="1" t="s">
        <v>229</v>
      </c>
      <c r="CW1177" s="1" t="s">
        <v>333</v>
      </c>
      <c r="CX1177" s="1" t="s">
        <v>206</v>
      </c>
      <c r="CY1177" s="1" t="s">
        <v>207</v>
      </c>
      <c r="CZ1177" s="1" t="s">
        <v>229</v>
      </c>
      <c r="DA1177" s="1" t="s">
        <v>200</v>
      </c>
      <c r="DC1177" s="1" t="s">
        <v>642</v>
      </c>
      <c r="DD1177" s="1" t="s">
        <v>217</v>
      </c>
      <c r="DE1177" s="1" t="s">
        <v>273</v>
      </c>
      <c r="DF1177" s="1" t="s">
        <v>219</v>
      </c>
      <c r="DH1177" s="1" t="s">
        <v>307</v>
      </c>
      <c r="DI1177" s="1" t="s">
        <v>12731</v>
      </c>
      <c r="DJ1177" s="1" t="s">
        <v>222</v>
      </c>
      <c r="DL1177" s="1" t="s">
        <v>224</v>
      </c>
      <c r="DM1177" s="1" t="s">
        <v>3575</v>
      </c>
      <c r="DN1177" s="1" t="s">
        <v>12732</v>
      </c>
      <c r="DP1177" s="1" t="s">
        <v>340</v>
      </c>
      <c r="DQ1177" s="1" t="s">
        <v>228</v>
      </c>
      <c r="DR1177" s="1" t="s">
        <v>229</v>
      </c>
      <c r="DS1177" s="1" t="s">
        <v>591</v>
      </c>
      <c r="DV1177" s="1" t="s">
        <v>12733</v>
      </c>
      <c r="DW1177" s="1" t="s">
        <v>12734</v>
      </c>
      <c r="DX1177" s="1" t="s">
        <v>309</v>
      </c>
      <c r="EA1177" s="1" t="s">
        <v>5294</v>
      </c>
      <c r="EB1177" s="1" t="s">
        <v>1823</v>
      </c>
      <c r="EC1177" s="1" t="s">
        <v>237</v>
      </c>
      <c r="EG1177" s="1" t="s">
        <v>1467</v>
      </c>
      <c r="EH1177" s="1" t="s">
        <v>408</v>
      </c>
      <c r="EI1177" s="1" t="s">
        <v>409</v>
      </c>
      <c r="EJ1177" s="1" t="s">
        <v>8378</v>
      </c>
      <c r="EK1177" s="1" t="s">
        <v>310</v>
      </c>
      <c r="EL1177" s="1" t="s">
        <v>1426</v>
      </c>
      <c r="EM1177" s="1" t="s">
        <v>209</v>
      </c>
      <c r="EN1177" s="1" t="s">
        <v>207</v>
      </c>
      <c r="EP1177" s="1" t="s">
        <v>1796</v>
      </c>
      <c r="EQ1177" s="1" t="s">
        <v>206</v>
      </c>
      <c r="ER1177" s="1" t="s">
        <v>207</v>
      </c>
      <c r="ET1177" s="1" t="s">
        <v>264</v>
      </c>
      <c r="EU1177" s="1" t="s">
        <v>209</v>
      </c>
      <c r="EV1177" s="1" t="s">
        <v>207</v>
      </c>
      <c r="EW1177" s="1" t="s">
        <v>229</v>
      </c>
      <c r="EX1177" s="1" t="s">
        <v>904</v>
      </c>
      <c r="EY1177" s="1" t="s">
        <v>206</v>
      </c>
      <c r="EZ1177" s="1" t="s">
        <v>268</v>
      </c>
      <c r="FA1177" s="1" t="s">
        <v>229</v>
      </c>
      <c r="FB1177" s="1" t="s">
        <v>12735</v>
      </c>
      <c r="FC1177" s="1" t="s">
        <v>391</v>
      </c>
      <c r="FD1177" s="1" t="s">
        <v>207</v>
      </c>
      <c r="FE1177" s="1" t="s">
        <v>229</v>
      </c>
      <c r="FF1177" s="1" t="s">
        <v>239</v>
      </c>
      <c r="FG1177" s="1" t="s">
        <v>192</v>
      </c>
      <c r="FH1177" s="1" t="s">
        <v>192</v>
      </c>
      <c r="FJ1177" s="1" t="s">
        <v>799</v>
      </c>
      <c r="FK1177" s="1" t="s">
        <v>229</v>
      </c>
      <c r="FL1177" s="1" t="s">
        <v>562</v>
      </c>
      <c r="FM1177" s="1">
        <v>14703.0</v>
      </c>
      <c r="FN1177" s="1" t="s">
        <v>2570</v>
      </c>
      <c r="FO1177" s="1" t="s">
        <v>12736</v>
      </c>
      <c r="FP1177" s="1">
        <v>151487.0</v>
      </c>
      <c r="FQ1177" s="1" t="s">
        <v>12737</v>
      </c>
      <c r="FU1177" s="1" t="s">
        <v>12738</v>
      </c>
      <c r="FV1177" s="1" t="s">
        <v>200</v>
      </c>
      <c r="FW1177" s="1" t="s">
        <v>290</v>
      </c>
      <c r="FX1177" s="1" t="s">
        <v>246</v>
      </c>
      <c r="FZ1177" s="1" t="s">
        <v>229</v>
      </c>
      <c r="GA1177" s="1" t="s">
        <v>291</v>
      </c>
      <c r="GB1177" s="2">
        <v>42131.0</v>
      </c>
      <c r="GC1177" s="1" t="s">
        <v>12739</v>
      </c>
    </row>
    <row r="1178">
      <c r="A1178" s="1">
        <v>94000.0</v>
      </c>
      <c r="B1178" s="1" t="s">
        <v>185</v>
      </c>
      <c r="C1178" s="1" t="str">
        <f>"08852496"</f>
        <v>08852496</v>
      </c>
      <c r="D1178" s="1" t="s">
        <v>186</v>
      </c>
      <c r="F1178" s="1" t="str">
        <f>"8043"</f>
        <v>8043</v>
      </c>
      <c r="G1178" s="2">
        <v>42067.0</v>
      </c>
      <c r="H1178" s="1">
        <v>84000.0</v>
      </c>
      <c r="I1178" s="1">
        <v>1.0</v>
      </c>
      <c r="J1178" s="1">
        <v>84000.0</v>
      </c>
      <c r="K1178" s="2">
        <v>42067.0</v>
      </c>
      <c r="L1178" s="1">
        <v>1.0</v>
      </c>
      <c r="M1178" s="2">
        <v>42067.0</v>
      </c>
      <c r="N1178" s="1" t="s">
        <v>249</v>
      </c>
      <c r="O1178" s="2">
        <v>42067.0</v>
      </c>
      <c r="P1178" s="1">
        <v>870724.0</v>
      </c>
      <c r="Q1178" s="1">
        <v>85646.0</v>
      </c>
      <c r="S1178" s="1">
        <v>7618.0</v>
      </c>
      <c r="T1178" s="1" t="s">
        <v>4666</v>
      </c>
      <c r="U1178" s="1" t="s">
        <v>189</v>
      </c>
      <c r="V1178" s="1" t="s">
        <v>190</v>
      </c>
      <c r="W1178" s="1">
        <v>60649.0</v>
      </c>
      <c r="Y1178" s="1" t="s">
        <v>12740</v>
      </c>
      <c r="Z1178" s="1">
        <v>1916.0</v>
      </c>
      <c r="AA1178" s="1" t="s">
        <v>192</v>
      </c>
      <c r="AB1178" s="1" t="s">
        <v>193</v>
      </c>
      <c r="AD1178" s="1" t="s">
        <v>194</v>
      </c>
      <c r="AE1178" s="1" t="s">
        <v>195</v>
      </c>
      <c r="AF1178" s="1" t="s">
        <v>637</v>
      </c>
      <c r="AH1178" s="1" t="s">
        <v>12741</v>
      </c>
      <c r="AI1178" s="1">
        <v>0.096</v>
      </c>
      <c r="AK1178" s="1">
        <v>7.0</v>
      </c>
      <c r="AL1178" s="1">
        <v>4.0</v>
      </c>
      <c r="AM1178" s="1">
        <v>1.0</v>
      </c>
      <c r="AN1178" s="1">
        <v>1.0</v>
      </c>
      <c r="AO1178" s="1" t="s">
        <v>229</v>
      </c>
      <c r="AP1178" s="1">
        <v>1.0</v>
      </c>
      <c r="AQ1178" s="1" t="s">
        <v>198</v>
      </c>
      <c r="AR1178" s="1" t="s">
        <v>200</v>
      </c>
      <c r="AS1178" s="1" t="s">
        <v>229</v>
      </c>
      <c r="AV1178" s="1" t="s">
        <v>200</v>
      </c>
      <c r="AW1178" s="1">
        <v>2328.66</v>
      </c>
      <c r="AX1178" s="1">
        <v>2012.0</v>
      </c>
      <c r="AY1178" s="1" t="s">
        <v>387</v>
      </c>
      <c r="AZ1178" s="1" t="s">
        <v>545</v>
      </c>
      <c r="BA1178" s="1" t="str">
        <f>"20254100240000"</f>
        <v>20254100240000</v>
      </c>
      <c r="BB1178" s="1" t="s">
        <v>200</v>
      </c>
      <c r="BC1178" s="1">
        <v>1158.0</v>
      </c>
      <c r="BD1178" s="1">
        <v>94000.0</v>
      </c>
      <c r="BE1178" s="2">
        <v>42067.0</v>
      </c>
      <c r="BF1178" s="1" t="s">
        <v>12742</v>
      </c>
      <c r="BH1178" s="1">
        <v>0.0</v>
      </c>
      <c r="BK1178" s="1" t="s">
        <v>204</v>
      </c>
      <c r="BL1178" s="1" t="str">
        <f t="shared" ref="BL1178:BL1179" si="785">"0"</f>
        <v>0</v>
      </c>
      <c r="BM1178" s="1" t="str">
        <f>"2100"</f>
        <v>2100</v>
      </c>
      <c r="BN1178" s="1">
        <v>0.0</v>
      </c>
      <c r="BO1178" s="1">
        <v>7618.0</v>
      </c>
      <c r="BQ1178" s="1">
        <v>299.0</v>
      </c>
      <c r="BR1178" s="1">
        <v>299.0</v>
      </c>
      <c r="BS1178" s="1">
        <v>299.0</v>
      </c>
      <c r="BU1178" s="1" t="s">
        <v>1534</v>
      </c>
      <c r="BV1178" s="1" t="s">
        <v>206</v>
      </c>
      <c r="BW1178" s="1" t="s">
        <v>210</v>
      </c>
      <c r="BY1178" s="1" t="s">
        <v>331</v>
      </c>
      <c r="BZ1178" s="1" t="s">
        <v>206</v>
      </c>
      <c r="CA1178" s="1" t="s">
        <v>210</v>
      </c>
      <c r="CC1178" s="1" t="s">
        <v>361</v>
      </c>
      <c r="CD1178" s="1" t="s">
        <v>206</v>
      </c>
      <c r="CE1178" s="1" t="s">
        <v>210</v>
      </c>
      <c r="CG1178" s="1" t="s">
        <v>264</v>
      </c>
      <c r="CH1178" s="1" t="s">
        <v>206</v>
      </c>
      <c r="CI1178" s="1" t="s">
        <v>210</v>
      </c>
      <c r="CK1178" s="1" t="s">
        <v>1117</v>
      </c>
      <c r="CL1178" s="1" t="s">
        <v>209</v>
      </c>
      <c r="CM1178" s="1" t="s">
        <v>210</v>
      </c>
      <c r="CO1178" s="1" t="s">
        <v>333</v>
      </c>
      <c r="CP1178" s="1" t="s">
        <v>209</v>
      </c>
      <c r="CQ1178" s="1" t="s">
        <v>210</v>
      </c>
      <c r="CS1178" s="1" t="s">
        <v>264</v>
      </c>
      <c r="CT1178" s="1" t="s">
        <v>206</v>
      </c>
      <c r="CU1178" s="1" t="s">
        <v>617</v>
      </c>
      <c r="CX1178" s="1" t="s">
        <v>204</v>
      </c>
      <c r="DA1178" s="1" t="s">
        <v>200</v>
      </c>
      <c r="DC1178" s="1" t="s">
        <v>216</v>
      </c>
      <c r="DE1178" s="1" t="s">
        <v>229</v>
      </c>
      <c r="DF1178" s="1" t="s">
        <v>4891</v>
      </c>
      <c r="DH1178" s="1" t="s">
        <v>365</v>
      </c>
      <c r="DJ1178" s="1" t="s">
        <v>588</v>
      </c>
      <c r="DK1178" s="1" t="s">
        <v>223</v>
      </c>
      <c r="DL1178" s="1" t="s">
        <v>858</v>
      </c>
      <c r="DM1178" s="1" t="s">
        <v>229</v>
      </c>
      <c r="DQ1178" s="1" t="s">
        <v>228</v>
      </c>
      <c r="DR1178" s="1" t="s">
        <v>229</v>
      </c>
      <c r="DS1178" s="1" t="s">
        <v>230</v>
      </c>
      <c r="DV1178" s="1" t="s">
        <v>232</v>
      </c>
      <c r="DW1178" s="1" t="s">
        <v>279</v>
      </c>
      <c r="DX1178" s="1" t="s">
        <v>234</v>
      </c>
      <c r="EB1178" s="1" t="s">
        <v>345</v>
      </c>
      <c r="EC1178" s="1" t="s">
        <v>237</v>
      </c>
      <c r="EM1178" s="1" t="s">
        <v>238</v>
      </c>
      <c r="EQ1178" s="1" t="s">
        <v>238</v>
      </c>
      <c r="EU1178" s="1" t="s">
        <v>238</v>
      </c>
      <c r="EY1178" s="1" t="s">
        <v>238</v>
      </c>
      <c r="FC1178" s="1" t="s">
        <v>238</v>
      </c>
      <c r="FF1178" s="1" t="s">
        <v>239</v>
      </c>
      <c r="FG1178" s="1" t="s">
        <v>192</v>
      </c>
      <c r="FH1178" s="1" t="s">
        <v>192</v>
      </c>
      <c r="FJ1178" s="1" t="s">
        <v>12743</v>
      </c>
      <c r="FK1178" s="1" t="s">
        <v>1586</v>
      </c>
      <c r="FL1178" s="1" t="s">
        <v>1289</v>
      </c>
      <c r="FM1178" s="1">
        <v>85646.0</v>
      </c>
      <c r="FN1178" s="1" t="s">
        <v>12744</v>
      </c>
      <c r="FO1178" s="1" t="s">
        <v>12745</v>
      </c>
      <c r="FP1178" s="1">
        <v>143843.0</v>
      </c>
      <c r="FQ1178" s="1" t="s">
        <v>12746</v>
      </c>
      <c r="FR1178" s="1">
        <v>870724.0</v>
      </c>
      <c r="FU1178" s="1" t="s">
        <v>12747</v>
      </c>
      <c r="FV1178" s="1" t="s">
        <v>200</v>
      </c>
      <c r="FW1178" s="1" t="s">
        <v>12748</v>
      </c>
      <c r="FX1178" s="1" t="s">
        <v>655</v>
      </c>
      <c r="FZ1178" s="1" t="s">
        <v>229</v>
      </c>
      <c r="GA1178" s="1" t="s">
        <v>291</v>
      </c>
      <c r="GB1178" s="2">
        <v>42067.0</v>
      </c>
      <c r="GC1178" s="1" t="s">
        <v>12749</v>
      </c>
    </row>
    <row r="1179">
      <c r="A1179" s="1">
        <v>18000.0</v>
      </c>
      <c r="B1179" s="1" t="s">
        <v>185</v>
      </c>
      <c r="C1179" s="1" t="str">
        <f>"08850926"</f>
        <v>08850926</v>
      </c>
      <c r="D1179" s="1" t="s">
        <v>186</v>
      </c>
      <c r="F1179" s="1" t="str">
        <f>"8068"</f>
        <v>8068</v>
      </c>
      <c r="G1179" s="2">
        <v>42066.0</v>
      </c>
      <c r="H1179" s="1">
        <v>17000.0</v>
      </c>
      <c r="I1179" s="1">
        <v>17.0</v>
      </c>
      <c r="J1179" s="1">
        <v>17000.0</v>
      </c>
      <c r="K1179" s="2">
        <v>42082.0</v>
      </c>
      <c r="L1179" s="1">
        <v>17.0</v>
      </c>
      <c r="M1179" s="2">
        <v>42082.0</v>
      </c>
      <c r="N1179" s="1" t="s">
        <v>249</v>
      </c>
      <c r="O1179" s="2">
        <v>42111.0</v>
      </c>
      <c r="P1179" s="1">
        <v>101261.0</v>
      </c>
      <c r="Q1179" s="1">
        <v>12555.0</v>
      </c>
      <c r="S1179" s="1">
        <v>5517.0</v>
      </c>
      <c r="T1179" s="1" t="s">
        <v>12142</v>
      </c>
      <c r="U1179" s="1" t="s">
        <v>320</v>
      </c>
      <c r="V1179" s="1" t="s">
        <v>190</v>
      </c>
      <c r="W1179" s="1">
        <v>60621.0</v>
      </c>
      <c r="Y1179" s="1" t="s">
        <v>12750</v>
      </c>
      <c r="Z1179" s="1">
        <v>1969.0</v>
      </c>
      <c r="AA1179" s="1" t="s">
        <v>192</v>
      </c>
      <c r="AB1179" s="1" t="s">
        <v>193</v>
      </c>
      <c r="AD1179" s="1" t="s">
        <v>194</v>
      </c>
      <c r="AE1179" s="1" t="s">
        <v>195</v>
      </c>
      <c r="AF1179" s="1" t="s">
        <v>1154</v>
      </c>
      <c r="AH1179" s="1" t="s">
        <v>741</v>
      </c>
      <c r="AK1179" s="1">
        <v>7.0</v>
      </c>
      <c r="AL1179" s="1">
        <v>4.0</v>
      </c>
      <c r="AM1179" s="1">
        <v>1.0</v>
      </c>
      <c r="AN1179" s="1">
        <v>0.0</v>
      </c>
      <c r="AO1179" s="1" t="s">
        <v>229</v>
      </c>
      <c r="AQ1179" s="1" t="s">
        <v>198</v>
      </c>
      <c r="AR1179" s="1" t="s">
        <v>192</v>
      </c>
      <c r="AS1179" s="1" t="s">
        <v>229</v>
      </c>
      <c r="AV1179" s="1" t="s">
        <v>200</v>
      </c>
      <c r="AW1179" s="1">
        <v>1317.0</v>
      </c>
      <c r="AX1179" s="1">
        <v>2013.0</v>
      </c>
      <c r="AZ1179" s="1" t="s">
        <v>200</v>
      </c>
      <c r="BA1179" s="1" t="str">
        <f>"20172010090000"</f>
        <v>20172010090000</v>
      </c>
      <c r="BC1179" s="1">
        <v>1000.0</v>
      </c>
      <c r="BD1179" s="1">
        <v>18000.0</v>
      </c>
      <c r="BE1179" s="2">
        <v>42066.0</v>
      </c>
      <c r="BF1179" s="1" t="s">
        <v>12751</v>
      </c>
      <c r="BH1179" s="1">
        <v>0.0</v>
      </c>
      <c r="BK1179" s="1" t="s">
        <v>204</v>
      </c>
      <c r="BL1179" s="1" t="str">
        <f t="shared" si="785"/>
        <v>0</v>
      </c>
      <c r="BM1179" s="1" t="str">
        <f t="shared" ref="BM1179:BM1183" si="786">"0"</f>
        <v>0</v>
      </c>
      <c r="BN1179" s="1">
        <v>1132.0</v>
      </c>
      <c r="BO1179" s="1">
        <v>5500.0</v>
      </c>
      <c r="BQ1179" s="1">
        <v>299.0</v>
      </c>
      <c r="BR1179" s="1">
        <v>299.0</v>
      </c>
      <c r="BS1179" s="1">
        <v>299.0</v>
      </c>
      <c r="BU1179" s="1" t="s">
        <v>1426</v>
      </c>
      <c r="BV1179" s="1" t="s">
        <v>206</v>
      </c>
      <c r="BY1179" s="1" t="s">
        <v>647</v>
      </c>
      <c r="BZ1179" s="1" t="s">
        <v>209</v>
      </c>
      <c r="CC1179" s="1" t="s">
        <v>516</v>
      </c>
      <c r="CD1179" s="1" t="s">
        <v>209</v>
      </c>
      <c r="CG1179" s="1" t="s">
        <v>392</v>
      </c>
      <c r="CH1179" s="1" t="s">
        <v>206</v>
      </c>
      <c r="CK1179" s="1" t="s">
        <v>266</v>
      </c>
      <c r="CL1179" s="1" t="s">
        <v>209</v>
      </c>
      <c r="CO1179" s="1" t="s">
        <v>543</v>
      </c>
      <c r="CP1179" s="1" t="s">
        <v>209</v>
      </c>
      <c r="CS1179" s="1" t="s">
        <v>599</v>
      </c>
      <c r="CT1179" s="1" t="s">
        <v>206</v>
      </c>
      <c r="CX1179" s="1" t="s">
        <v>204</v>
      </c>
      <c r="DA1179" s="1" t="s">
        <v>200</v>
      </c>
      <c r="DC1179" s="1" t="s">
        <v>517</v>
      </c>
      <c r="DE1179" s="1" t="s">
        <v>229</v>
      </c>
      <c r="DF1179" s="1" t="s">
        <v>619</v>
      </c>
      <c r="DH1179" s="1" t="s">
        <v>365</v>
      </c>
      <c r="DJ1179" s="1" t="s">
        <v>222</v>
      </c>
      <c r="DL1179" s="1" t="s">
        <v>223</v>
      </c>
      <c r="DM1179" s="1" t="s">
        <v>229</v>
      </c>
      <c r="DQ1179" s="1" t="s">
        <v>228</v>
      </c>
      <c r="DR1179" s="1" t="s">
        <v>229</v>
      </c>
      <c r="DV1179" s="1" t="s">
        <v>232</v>
      </c>
      <c r="DW1179" s="1" t="s">
        <v>444</v>
      </c>
      <c r="DX1179" s="1" t="s">
        <v>234</v>
      </c>
      <c r="EC1179" s="1" t="s">
        <v>645</v>
      </c>
      <c r="EM1179" s="1" t="s">
        <v>238</v>
      </c>
      <c r="EQ1179" s="1" t="s">
        <v>238</v>
      </c>
      <c r="EU1179" s="1" t="s">
        <v>238</v>
      </c>
      <c r="EY1179" s="1" t="s">
        <v>238</v>
      </c>
      <c r="FC1179" s="1" t="s">
        <v>238</v>
      </c>
      <c r="FF1179" s="1" t="s">
        <v>239</v>
      </c>
      <c r="FG1179" s="1" t="s">
        <v>192</v>
      </c>
      <c r="FH1179" s="1" t="s">
        <v>192</v>
      </c>
      <c r="FJ1179" s="1" t="s">
        <v>12752</v>
      </c>
      <c r="FK1179" s="1" t="s">
        <v>229</v>
      </c>
      <c r="FL1179" s="1" t="s">
        <v>4048</v>
      </c>
      <c r="FM1179" s="1">
        <v>84077.0</v>
      </c>
      <c r="FN1179" s="1" t="s">
        <v>4049</v>
      </c>
      <c r="FO1179" s="1" t="s">
        <v>4050</v>
      </c>
      <c r="FP1179" s="1">
        <v>175275.0</v>
      </c>
      <c r="FU1179" s="1" t="s">
        <v>1541</v>
      </c>
      <c r="FV1179" s="1" t="s">
        <v>200</v>
      </c>
      <c r="FW1179" s="1" t="s">
        <v>290</v>
      </c>
      <c r="FX1179" s="1" t="s">
        <v>655</v>
      </c>
      <c r="FZ1179" s="1" t="s">
        <v>229</v>
      </c>
      <c r="GA1179" s="1" t="s">
        <v>291</v>
      </c>
      <c r="GB1179" s="2">
        <v>42111.0</v>
      </c>
      <c r="GC1179" s="1" t="s">
        <v>12753</v>
      </c>
    </row>
    <row r="1180">
      <c r="A1180" s="1">
        <v>195000.0</v>
      </c>
      <c r="B1180" s="1" t="s">
        <v>185</v>
      </c>
      <c r="C1180" s="1" t="str">
        <f>"08844116"</f>
        <v>08844116</v>
      </c>
      <c r="D1180" s="1" t="s">
        <v>186</v>
      </c>
      <c r="F1180" s="1" t="str">
        <f>"8019"</f>
        <v>8019</v>
      </c>
      <c r="G1180" s="2">
        <v>42057.0</v>
      </c>
      <c r="H1180" s="1">
        <v>189900.0</v>
      </c>
      <c r="I1180" s="1">
        <v>647.0</v>
      </c>
      <c r="J1180" s="1">
        <v>189999.0</v>
      </c>
      <c r="K1180" s="2">
        <v>42056.0</v>
      </c>
      <c r="L1180" s="1">
        <v>2.0</v>
      </c>
      <c r="M1180" s="2">
        <v>42056.0</v>
      </c>
      <c r="N1180" s="1" t="s">
        <v>187</v>
      </c>
      <c r="O1180" s="2">
        <v>42090.0</v>
      </c>
      <c r="P1180" s="1">
        <v>120748.0</v>
      </c>
      <c r="Q1180" s="1">
        <v>85679.0</v>
      </c>
      <c r="S1180" s="1">
        <v>2640.0</v>
      </c>
      <c r="T1180" s="1" t="s">
        <v>12754</v>
      </c>
      <c r="U1180" s="1" t="s">
        <v>189</v>
      </c>
      <c r="V1180" s="1" t="s">
        <v>190</v>
      </c>
      <c r="W1180" s="1">
        <v>60639.0</v>
      </c>
      <c r="Y1180" s="1" t="s">
        <v>12755</v>
      </c>
      <c r="Z1180" s="1">
        <v>1926.0</v>
      </c>
      <c r="AA1180" s="1" t="s">
        <v>192</v>
      </c>
      <c r="AB1180" s="1" t="s">
        <v>193</v>
      </c>
      <c r="AD1180" s="1" t="s">
        <v>194</v>
      </c>
      <c r="AE1180" s="1" t="s">
        <v>195</v>
      </c>
      <c r="AF1180" s="1" t="s">
        <v>196</v>
      </c>
      <c r="AH1180" s="1" t="s">
        <v>12756</v>
      </c>
      <c r="AI1180" s="1">
        <v>0.0</v>
      </c>
      <c r="AK1180" s="1">
        <v>7.0</v>
      </c>
      <c r="AL1180" s="1">
        <v>4.0</v>
      </c>
      <c r="AM1180" s="1">
        <v>2.0</v>
      </c>
      <c r="AN1180" s="1">
        <v>1.0</v>
      </c>
      <c r="AO1180" s="1" t="s">
        <v>229</v>
      </c>
      <c r="AP1180" s="1">
        <v>0.0</v>
      </c>
      <c r="AQ1180" s="1" t="s">
        <v>198</v>
      </c>
      <c r="AR1180" s="1" t="s">
        <v>192</v>
      </c>
      <c r="AS1180" s="1" t="s">
        <v>199</v>
      </c>
      <c r="AT1180" s="1">
        <v>2.0</v>
      </c>
      <c r="AV1180" s="1" t="s">
        <v>200</v>
      </c>
      <c r="AW1180" s="1">
        <v>3051.0</v>
      </c>
      <c r="AX1180" s="1">
        <v>2013.0</v>
      </c>
      <c r="AY1180" s="1" t="s">
        <v>387</v>
      </c>
      <c r="AZ1180" s="1" t="s">
        <v>200</v>
      </c>
      <c r="BA1180" s="1" t="str">
        <f>"13294130270000"</f>
        <v>13294130270000</v>
      </c>
      <c r="BB1180" s="1" t="s">
        <v>200</v>
      </c>
      <c r="BC1180" s="1">
        <v>2500.0</v>
      </c>
      <c r="BD1180" s="1">
        <v>195000.0</v>
      </c>
      <c r="BE1180" s="2">
        <v>42055.0</v>
      </c>
      <c r="BF1180" s="2" t="s">
        <v>12757</v>
      </c>
      <c r="BH1180" s="1">
        <v>0.0</v>
      </c>
      <c r="BK1180" s="1" t="s">
        <v>204</v>
      </c>
      <c r="BL1180" s="1" t="str">
        <f>"2640"</f>
        <v>2640</v>
      </c>
      <c r="BM1180" s="1" t="str">
        <f t="shared" si="786"/>
        <v>0</v>
      </c>
      <c r="BN1180" s="1">
        <v>5700.0</v>
      </c>
      <c r="BO1180" s="1">
        <v>0.0</v>
      </c>
      <c r="BQ1180" s="1">
        <v>299.0</v>
      </c>
      <c r="BR1180" s="1">
        <v>299.0</v>
      </c>
      <c r="BS1180" s="1">
        <v>299.0</v>
      </c>
      <c r="BU1180" s="1" t="s">
        <v>329</v>
      </c>
      <c r="BV1180" s="1" t="s">
        <v>206</v>
      </c>
      <c r="BW1180" s="1" t="s">
        <v>207</v>
      </c>
      <c r="BY1180" s="1" t="s">
        <v>729</v>
      </c>
      <c r="BZ1180" s="1" t="s">
        <v>209</v>
      </c>
      <c r="CA1180" s="1" t="s">
        <v>207</v>
      </c>
      <c r="CC1180" s="1" t="s">
        <v>582</v>
      </c>
      <c r="CD1180" s="1" t="s">
        <v>206</v>
      </c>
      <c r="CE1180" s="1" t="s">
        <v>207</v>
      </c>
      <c r="CG1180" s="1" t="s">
        <v>452</v>
      </c>
      <c r="CH1180" s="1" t="s">
        <v>209</v>
      </c>
      <c r="CI1180" s="1" t="s">
        <v>207</v>
      </c>
      <c r="CK1180" s="1" t="s">
        <v>623</v>
      </c>
      <c r="CL1180" s="1" t="s">
        <v>206</v>
      </c>
      <c r="CM1180" s="1" t="s">
        <v>207</v>
      </c>
      <c r="CO1180" s="1" t="s">
        <v>3594</v>
      </c>
      <c r="CP1180" s="1" t="s">
        <v>209</v>
      </c>
      <c r="CQ1180" s="1" t="s">
        <v>210</v>
      </c>
      <c r="CS1180" s="1" t="s">
        <v>699</v>
      </c>
      <c r="CT1180" s="1" t="s">
        <v>206</v>
      </c>
      <c r="CU1180" s="1" t="s">
        <v>268</v>
      </c>
      <c r="CX1180" s="1" t="s">
        <v>204</v>
      </c>
      <c r="DA1180" s="1" t="s">
        <v>200</v>
      </c>
      <c r="DC1180" s="1" t="s">
        <v>785</v>
      </c>
      <c r="DD1180" s="1" t="s">
        <v>306</v>
      </c>
      <c r="DE1180" s="1" t="s">
        <v>273</v>
      </c>
      <c r="DF1180" s="1" t="s">
        <v>905</v>
      </c>
      <c r="DH1180" s="1" t="s">
        <v>220</v>
      </c>
      <c r="DJ1180" s="1" t="s">
        <v>222</v>
      </c>
      <c r="DL1180" s="1" t="s">
        <v>224</v>
      </c>
      <c r="DM1180" s="1" t="s">
        <v>229</v>
      </c>
      <c r="DN1180" s="1" t="s">
        <v>666</v>
      </c>
      <c r="DP1180" s="1" t="s">
        <v>340</v>
      </c>
      <c r="DQ1180" s="1" t="s">
        <v>718</v>
      </c>
      <c r="DR1180" s="1" t="s">
        <v>229</v>
      </c>
      <c r="DS1180" s="1" t="s">
        <v>368</v>
      </c>
      <c r="DV1180" s="1" t="s">
        <v>374</v>
      </c>
      <c r="DW1180" s="1" t="s">
        <v>279</v>
      </c>
      <c r="DX1180" s="1" t="s">
        <v>234</v>
      </c>
      <c r="DZ1180" s="1" t="s">
        <v>766</v>
      </c>
      <c r="EA1180" s="1" t="s">
        <v>1695</v>
      </c>
      <c r="EC1180" s="1" t="s">
        <v>237</v>
      </c>
      <c r="ED1180" s="1" t="s">
        <v>555</v>
      </c>
      <c r="EG1180" s="1" t="s">
        <v>374</v>
      </c>
      <c r="EL1180" s="1" t="s">
        <v>3596</v>
      </c>
      <c r="EM1180" s="1" t="s">
        <v>206</v>
      </c>
      <c r="EN1180" s="1" t="s">
        <v>268</v>
      </c>
      <c r="EQ1180" s="1" t="s">
        <v>238</v>
      </c>
      <c r="EU1180" s="1" t="s">
        <v>238</v>
      </c>
      <c r="EY1180" s="1" t="s">
        <v>238</v>
      </c>
      <c r="FC1180" s="1" t="s">
        <v>238</v>
      </c>
      <c r="FF1180" s="1" t="s">
        <v>239</v>
      </c>
      <c r="FG1180" s="1" t="s">
        <v>192</v>
      </c>
      <c r="FH1180" s="1" t="s">
        <v>192</v>
      </c>
      <c r="FJ1180" s="1" t="s">
        <v>347</v>
      </c>
      <c r="FK1180" s="1" t="s">
        <v>229</v>
      </c>
      <c r="FL1180" s="1" t="s">
        <v>9498</v>
      </c>
      <c r="FM1180" s="1">
        <v>15545.0</v>
      </c>
      <c r="FN1180" s="1" t="s">
        <v>9499</v>
      </c>
      <c r="FO1180" s="1" t="s">
        <v>12758</v>
      </c>
      <c r="FP1180" s="1">
        <v>876631.0</v>
      </c>
      <c r="FU1180" s="1" t="s">
        <v>12759</v>
      </c>
      <c r="FV1180" s="1" t="s">
        <v>200</v>
      </c>
      <c r="FW1180" s="1" t="s">
        <v>1307</v>
      </c>
      <c r="FX1180" s="1" t="s">
        <v>238</v>
      </c>
      <c r="FZ1180" s="1" t="s">
        <v>229</v>
      </c>
      <c r="GA1180" s="1" t="s">
        <v>291</v>
      </c>
      <c r="GB1180" s="2">
        <v>42095.0</v>
      </c>
      <c r="GC1180" s="1" t="s">
        <v>12760</v>
      </c>
    </row>
    <row r="1181">
      <c r="A1181" s="1">
        <v>589900.0</v>
      </c>
      <c r="B1181" s="1" t="s">
        <v>185</v>
      </c>
      <c r="C1181" s="1" t="str">
        <f>"08848455"</f>
        <v>08848455</v>
      </c>
      <c r="D1181" s="1" t="s">
        <v>186</v>
      </c>
      <c r="F1181" s="1" t="str">
        <f>"8024"</f>
        <v>8024</v>
      </c>
      <c r="G1181" s="2">
        <v>42062.0</v>
      </c>
      <c r="H1181" s="1">
        <v>589900.0</v>
      </c>
      <c r="I1181" s="1">
        <v>1.0</v>
      </c>
      <c r="J1181" s="1">
        <v>589900.0</v>
      </c>
      <c r="K1181" s="2">
        <v>42062.0</v>
      </c>
      <c r="L1181" s="1">
        <v>1.0</v>
      </c>
      <c r="M1181" s="2">
        <v>42062.0</v>
      </c>
      <c r="N1181" s="1" t="s">
        <v>187</v>
      </c>
      <c r="O1181" s="2">
        <v>42118.0</v>
      </c>
      <c r="P1181" s="1">
        <v>841607.0</v>
      </c>
      <c r="Q1181" s="1">
        <v>15933.0</v>
      </c>
      <c r="S1181" s="1">
        <v>1630.0</v>
      </c>
      <c r="T1181" s="1" t="s">
        <v>11751</v>
      </c>
      <c r="U1181" s="1" t="s">
        <v>320</v>
      </c>
      <c r="V1181" s="1" t="s">
        <v>190</v>
      </c>
      <c r="W1181" s="1">
        <v>60647.0</v>
      </c>
      <c r="Y1181" s="1" t="s">
        <v>12761</v>
      </c>
      <c r="Z1181" s="1">
        <v>2014.0</v>
      </c>
      <c r="AA1181" s="1" t="s">
        <v>200</v>
      </c>
      <c r="AB1181" s="1" t="s">
        <v>193</v>
      </c>
      <c r="AD1181" s="1" t="s">
        <v>194</v>
      </c>
      <c r="AE1181" s="1" t="s">
        <v>195</v>
      </c>
      <c r="AF1181" s="1" t="s">
        <v>2645</v>
      </c>
      <c r="AH1181" s="1" t="s">
        <v>10238</v>
      </c>
      <c r="AK1181" s="1">
        <v>10.0</v>
      </c>
      <c r="AL1181" s="1">
        <v>4.0</v>
      </c>
      <c r="AM1181" s="1">
        <v>3.0</v>
      </c>
      <c r="AN1181" s="1">
        <v>1.0</v>
      </c>
      <c r="AO1181" s="1" t="s">
        <v>198</v>
      </c>
      <c r="AP1181" s="1">
        <v>1.0</v>
      </c>
      <c r="AQ1181" s="1" t="s">
        <v>198</v>
      </c>
      <c r="AR1181" s="1" t="s">
        <v>192</v>
      </c>
      <c r="AS1181" s="1" t="s">
        <v>199</v>
      </c>
      <c r="AT1181" s="1">
        <v>2.0</v>
      </c>
      <c r="AV1181" s="1" t="s">
        <v>200</v>
      </c>
      <c r="AW1181" s="1" t="s">
        <v>575</v>
      </c>
      <c r="AX1181" s="1">
        <v>2013.0</v>
      </c>
      <c r="AZ1181" s="1" t="s">
        <v>200</v>
      </c>
      <c r="BA1181" s="1" t="str">
        <f>"13363280260000"</f>
        <v>13363280260000</v>
      </c>
      <c r="BC1181" s="1">
        <v>3000.0</v>
      </c>
      <c r="BD1181" s="1">
        <v>589900.0</v>
      </c>
      <c r="BE1181" s="2">
        <v>42062.0</v>
      </c>
      <c r="BF1181" s="2" t="s">
        <v>12762</v>
      </c>
      <c r="BH1181" s="1">
        <v>0.0</v>
      </c>
      <c r="BK1181" s="1" t="s">
        <v>204</v>
      </c>
      <c r="BL1181" s="1" t="str">
        <f>"1360"</f>
        <v>1360</v>
      </c>
      <c r="BM1181" s="1" t="str">
        <f t="shared" si="786"/>
        <v>0</v>
      </c>
      <c r="BN1181" s="1">
        <v>3000.0</v>
      </c>
      <c r="BO1181" s="1">
        <v>0.0</v>
      </c>
      <c r="BQ1181" s="1">
        <v>299.0</v>
      </c>
      <c r="BR1181" s="1">
        <v>299.0</v>
      </c>
      <c r="BS1181" s="1">
        <v>299.0</v>
      </c>
      <c r="BU1181" s="1" t="s">
        <v>260</v>
      </c>
      <c r="BV1181" s="1" t="s">
        <v>206</v>
      </c>
      <c r="BW1181" s="1" t="s">
        <v>207</v>
      </c>
      <c r="BY1181" s="1" t="s">
        <v>213</v>
      </c>
      <c r="BZ1181" s="1" t="s">
        <v>209</v>
      </c>
      <c r="CA1181" s="1" t="s">
        <v>207</v>
      </c>
      <c r="CC1181" s="1" t="s">
        <v>542</v>
      </c>
      <c r="CD1181" s="1" t="s">
        <v>206</v>
      </c>
      <c r="CE1181" s="1" t="s">
        <v>207</v>
      </c>
      <c r="CG1181" s="1" t="s">
        <v>269</v>
      </c>
      <c r="CH1181" s="1" t="s">
        <v>209</v>
      </c>
      <c r="CI1181" s="1" t="s">
        <v>207</v>
      </c>
      <c r="CK1181" s="1" t="s">
        <v>212</v>
      </c>
      <c r="CL1181" s="1" t="s">
        <v>209</v>
      </c>
      <c r="CM1181" s="1" t="s">
        <v>207</v>
      </c>
      <c r="CO1181" s="1" t="s">
        <v>262</v>
      </c>
      <c r="CP1181" s="1" t="s">
        <v>267</v>
      </c>
      <c r="CQ1181" s="1" t="s">
        <v>210</v>
      </c>
      <c r="CS1181" s="1" t="s">
        <v>266</v>
      </c>
      <c r="CT1181" s="1" t="s">
        <v>206</v>
      </c>
      <c r="CU1181" s="1" t="s">
        <v>207</v>
      </c>
      <c r="CW1181" s="1" t="s">
        <v>479</v>
      </c>
      <c r="CX1181" s="1" t="s">
        <v>206</v>
      </c>
      <c r="CY1181" s="1" t="s">
        <v>207</v>
      </c>
      <c r="DA1181" s="1" t="s">
        <v>192</v>
      </c>
      <c r="DB1181" s="2">
        <v>42094.0</v>
      </c>
      <c r="DC1181" s="1" t="s">
        <v>1353</v>
      </c>
      <c r="DE1181" s="1" t="s">
        <v>273</v>
      </c>
      <c r="DF1181" s="1" t="s">
        <v>219</v>
      </c>
      <c r="DH1181" s="1" t="s">
        <v>220</v>
      </c>
      <c r="DI1181" s="1" t="s">
        <v>732</v>
      </c>
      <c r="DJ1181" s="1" t="s">
        <v>222</v>
      </c>
      <c r="DL1181" s="1" t="s">
        <v>224</v>
      </c>
      <c r="DM1181" s="1" t="s">
        <v>229</v>
      </c>
      <c r="DN1181" s="1" t="s">
        <v>12763</v>
      </c>
      <c r="DO1181" s="1" t="s">
        <v>4234</v>
      </c>
      <c r="DP1181" s="1" t="s">
        <v>227</v>
      </c>
      <c r="DQ1181" s="1" t="s">
        <v>228</v>
      </c>
      <c r="DR1181" s="1" t="s">
        <v>229</v>
      </c>
      <c r="DS1181" s="1" t="s">
        <v>591</v>
      </c>
      <c r="DV1181" s="1" t="s">
        <v>12764</v>
      </c>
      <c r="DW1181" s="1" t="s">
        <v>444</v>
      </c>
      <c r="DX1181" s="1" t="s">
        <v>234</v>
      </c>
      <c r="DY1181" s="1" t="s">
        <v>596</v>
      </c>
      <c r="DZ1181" s="1" t="s">
        <v>310</v>
      </c>
      <c r="EA1181" s="1" t="s">
        <v>1027</v>
      </c>
      <c r="EB1181" s="1" t="s">
        <v>684</v>
      </c>
      <c r="EC1181" s="1" t="s">
        <v>237</v>
      </c>
      <c r="ED1181" s="1" t="s">
        <v>555</v>
      </c>
      <c r="EE1181" s="1" t="s">
        <v>187</v>
      </c>
      <c r="EG1181" s="1" t="s">
        <v>450</v>
      </c>
      <c r="EH1181" s="1" t="s">
        <v>2023</v>
      </c>
      <c r="EL1181" s="1" t="s">
        <v>208</v>
      </c>
      <c r="EM1181" s="1" t="s">
        <v>267</v>
      </c>
      <c r="EN1181" s="1" t="s">
        <v>210</v>
      </c>
      <c r="EP1181" s="1" t="s">
        <v>454</v>
      </c>
      <c r="EQ1181" s="1" t="s">
        <v>267</v>
      </c>
      <c r="ER1181" s="1" t="s">
        <v>210</v>
      </c>
      <c r="EU1181" s="1" t="s">
        <v>238</v>
      </c>
      <c r="EY1181" s="1" t="s">
        <v>238</v>
      </c>
      <c r="FC1181" s="1" t="s">
        <v>238</v>
      </c>
      <c r="FF1181" s="1" t="s">
        <v>239</v>
      </c>
      <c r="FG1181" s="1" t="s">
        <v>192</v>
      </c>
      <c r="FH1181" s="1" t="s">
        <v>192</v>
      </c>
      <c r="FJ1181" s="1" t="s">
        <v>12765</v>
      </c>
      <c r="FK1181" s="1" t="s">
        <v>229</v>
      </c>
      <c r="FL1181" s="1" t="s">
        <v>1358</v>
      </c>
      <c r="FM1181" s="1">
        <v>12660.0</v>
      </c>
      <c r="FN1181" s="1" t="s">
        <v>12766</v>
      </c>
      <c r="FO1181" s="1" t="s">
        <v>12767</v>
      </c>
      <c r="FP1181" s="1">
        <v>174062.0</v>
      </c>
      <c r="FQ1181" s="1" t="s">
        <v>12768</v>
      </c>
      <c r="FS1181" s="1" t="s">
        <v>12769</v>
      </c>
      <c r="FU1181" s="1" t="s">
        <v>12770</v>
      </c>
      <c r="FV1181" s="1" t="s">
        <v>200</v>
      </c>
      <c r="FW1181" s="1" t="s">
        <v>1511</v>
      </c>
      <c r="FX1181" s="1" t="s">
        <v>238</v>
      </c>
      <c r="FZ1181" s="1" t="s">
        <v>229</v>
      </c>
      <c r="GA1181" s="1" t="s">
        <v>291</v>
      </c>
      <c r="GB1181" s="2">
        <v>42118.0</v>
      </c>
    </row>
    <row r="1182">
      <c r="A1182" s="1">
        <v>286000.0</v>
      </c>
      <c r="B1182" s="1" t="s">
        <v>185</v>
      </c>
      <c r="C1182" s="1" t="str">
        <f>"08850732"</f>
        <v>08850732</v>
      </c>
      <c r="D1182" s="1" t="s">
        <v>186</v>
      </c>
      <c r="F1182" s="1" t="str">
        <f>"140"</f>
        <v>140</v>
      </c>
      <c r="G1182" s="2">
        <v>42065.0</v>
      </c>
      <c r="H1182" s="1">
        <v>295000.0</v>
      </c>
      <c r="I1182" s="1">
        <v>220.0</v>
      </c>
      <c r="J1182" s="1">
        <v>295000.0</v>
      </c>
      <c r="K1182" s="2">
        <v>42073.0</v>
      </c>
      <c r="L1182" s="1">
        <v>9.0</v>
      </c>
      <c r="M1182" s="2">
        <v>42073.0</v>
      </c>
      <c r="N1182" s="1" t="s">
        <v>187</v>
      </c>
      <c r="O1182" s="2">
        <v>42116.0</v>
      </c>
      <c r="P1182" s="1">
        <v>784.0</v>
      </c>
      <c r="Q1182" s="1">
        <v>890.0</v>
      </c>
      <c r="S1182" s="1">
        <v>1919.0</v>
      </c>
      <c r="T1182" s="1" t="s">
        <v>12771</v>
      </c>
      <c r="U1182" s="1" t="s">
        <v>1174</v>
      </c>
      <c r="V1182" s="1" t="s">
        <v>4858</v>
      </c>
      <c r="W1182" s="1">
        <v>60140.0</v>
      </c>
      <c r="Y1182" s="1" t="s">
        <v>12772</v>
      </c>
      <c r="Z1182" s="1">
        <v>2009.0</v>
      </c>
      <c r="AA1182" s="1" t="s">
        <v>200</v>
      </c>
      <c r="AB1182" s="1" t="s">
        <v>467</v>
      </c>
      <c r="AC1182" s="1" t="s">
        <v>8130</v>
      </c>
      <c r="AD1182" s="1" t="s">
        <v>4860</v>
      </c>
      <c r="AE1182" s="1" t="s">
        <v>325</v>
      </c>
      <c r="AF1182" s="1" t="s">
        <v>3429</v>
      </c>
      <c r="AG1182" s="1" t="s">
        <v>8131</v>
      </c>
      <c r="AH1182" s="1" t="s">
        <v>12773</v>
      </c>
      <c r="AI1182" s="1">
        <v>0.2239</v>
      </c>
      <c r="AK1182" s="1">
        <v>10.0</v>
      </c>
      <c r="AL1182" s="1">
        <v>4.0</v>
      </c>
      <c r="AM1182" s="1">
        <v>2.0</v>
      </c>
      <c r="AN1182" s="1">
        <v>1.0</v>
      </c>
      <c r="AO1182" s="1" t="s">
        <v>198</v>
      </c>
      <c r="AP1182" s="1">
        <v>1.0</v>
      </c>
      <c r="AQ1182" s="1" t="s">
        <v>198</v>
      </c>
      <c r="AR1182" s="1" t="s">
        <v>200</v>
      </c>
      <c r="AS1182" s="1" t="s">
        <v>510</v>
      </c>
      <c r="AT1182" s="1">
        <v>2.0</v>
      </c>
      <c r="AU1182" s="1">
        <v>2.0</v>
      </c>
      <c r="AV1182" s="1" t="s">
        <v>200</v>
      </c>
      <c r="AW1182" s="4">
        <v>8188.52</v>
      </c>
      <c r="AX1182" s="1">
        <v>2013.0</v>
      </c>
      <c r="AY1182" s="1" t="s">
        <v>387</v>
      </c>
      <c r="AZ1182" s="1" t="s">
        <v>200</v>
      </c>
      <c r="BA1182" s="1" t="str">
        <f>"0229303002"</f>
        <v>0229303002</v>
      </c>
      <c r="BB1182" s="1" t="s">
        <v>200</v>
      </c>
      <c r="BC1182" s="1">
        <v>3080.0</v>
      </c>
      <c r="BD1182" s="1">
        <v>286000.0</v>
      </c>
      <c r="BE1182" s="2">
        <v>42065.0</v>
      </c>
      <c r="BF1182" s="2" t="s">
        <v>12774</v>
      </c>
      <c r="BH1182" s="1">
        <v>62.0</v>
      </c>
      <c r="BK1182" s="1" t="s">
        <v>474</v>
      </c>
      <c r="BL1182" s="1" t="str">
        <f>"13"</f>
        <v>13</v>
      </c>
      <c r="BM1182" s="1" t="str">
        <f t="shared" si="786"/>
        <v>0</v>
      </c>
      <c r="BN1182" s="1">
        <v>41.0</v>
      </c>
      <c r="BO1182" s="1">
        <v>0.0</v>
      </c>
      <c r="BP1182" s="1" t="s">
        <v>12775</v>
      </c>
      <c r="BQ1182" s="1">
        <v>300.0</v>
      </c>
      <c r="BR1182" s="1">
        <v>300.0</v>
      </c>
      <c r="BS1182" s="1">
        <v>300.0</v>
      </c>
      <c r="BU1182" s="1" t="s">
        <v>758</v>
      </c>
      <c r="BV1182" s="1" t="s">
        <v>206</v>
      </c>
      <c r="BW1182" s="1" t="s">
        <v>207</v>
      </c>
      <c r="BX1182" s="1" t="s">
        <v>239</v>
      </c>
      <c r="BY1182" s="1" t="s">
        <v>260</v>
      </c>
      <c r="BZ1182" s="1" t="s">
        <v>209</v>
      </c>
      <c r="CA1182" s="1" t="s">
        <v>210</v>
      </c>
      <c r="CB1182" s="1" t="s">
        <v>239</v>
      </c>
      <c r="CC1182" s="1" t="s">
        <v>331</v>
      </c>
      <c r="CD1182" s="1" t="s">
        <v>206</v>
      </c>
      <c r="CE1182" s="1" t="s">
        <v>207</v>
      </c>
      <c r="CF1182" s="1" t="s">
        <v>239</v>
      </c>
      <c r="CG1182" s="1" t="s">
        <v>454</v>
      </c>
      <c r="CH1182" s="1" t="s">
        <v>209</v>
      </c>
      <c r="CI1182" s="1" t="s">
        <v>210</v>
      </c>
      <c r="CJ1182" s="1" t="s">
        <v>239</v>
      </c>
      <c r="CK1182" s="1" t="s">
        <v>331</v>
      </c>
      <c r="CL1182" s="1" t="s">
        <v>209</v>
      </c>
      <c r="CM1182" s="1" t="s">
        <v>210</v>
      </c>
      <c r="CN1182" s="1" t="s">
        <v>239</v>
      </c>
      <c r="CO1182" s="1" t="s">
        <v>699</v>
      </c>
      <c r="CP1182" s="1" t="s">
        <v>209</v>
      </c>
      <c r="CQ1182" s="1" t="s">
        <v>210</v>
      </c>
      <c r="CR1182" s="1" t="s">
        <v>239</v>
      </c>
      <c r="CS1182" s="1" t="s">
        <v>266</v>
      </c>
      <c r="CT1182" s="1" t="s">
        <v>206</v>
      </c>
      <c r="CU1182" s="1" t="s">
        <v>207</v>
      </c>
      <c r="CV1182" s="1" t="s">
        <v>239</v>
      </c>
      <c r="CW1182" s="1" t="s">
        <v>260</v>
      </c>
      <c r="CX1182" s="1" t="s">
        <v>206</v>
      </c>
      <c r="CY1182" s="1" t="s">
        <v>207</v>
      </c>
      <c r="CZ1182" s="1" t="s">
        <v>239</v>
      </c>
      <c r="DA1182" s="1" t="s">
        <v>200</v>
      </c>
      <c r="DC1182" s="1" t="s">
        <v>481</v>
      </c>
      <c r="DD1182" s="1" t="s">
        <v>336</v>
      </c>
      <c r="DE1182" s="1" t="s">
        <v>273</v>
      </c>
      <c r="DF1182" s="1" t="s">
        <v>219</v>
      </c>
      <c r="DG1182" s="1" t="s">
        <v>5454</v>
      </c>
      <c r="DH1182" s="1" t="s">
        <v>220</v>
      </c>
      <c r="DI1182" s="1" t="s">
        <v>519</v>
      </c>
      <c r="DJ1182" s="1" t="s">
        <v>1048</v>
      </c>
      <c r="DK1182" s="1" t="s">
        <v>223</v>
      </c>
      <c r="DL1182" s="1" t="s">
        <v>223</v>
      </c>
      <c r="DM1182" s="1" t="s">
        <v>229</v>
      </c>
      <c r="DN1182" s="1" t="s">
        <v>1023</v>
      </c>
      <c r="DO1182" s="1" t="s">
        <v>590</v>
      </c>
      <c r="DP1182" s="1" t="s">
        <v>340</v>
      </c>
      <c r="DQ1182" s="1" t="s">
        <v>228</v>
      </c>
      <c r="DR1182" s="1" t="s">
        <v>4273</v>
      </c>
      <c r="DS1182" s="1" t="s">
        <v>368</v>
      </c>
      <c r="DU1182" s="1" t="s">
        <v>4274</v>
      </c>
      <c r="DV1182" s="1" t="s">
        <v>12776</v>
      </c>
      <c r="DW1182" s="1" t="s">
        <v>444</v>
      </c>
      <c r="DX1182" s="1" t="s">
        <v>234</v>
      </c>
      <c r="DY1182" s="1" t="s">
        <v>490</v>
      </c>
      <c r="DZ1182" s="1" t="s">
        <v>3044</v>
      </c>
      <c r="EA1182" s="1" t="s">
        <v>344</v>
      </c>
      <c r="EB1182" s="1" t="s">
        <v>345</v>
      </c>
      <c r="EC1182" s="1" t="s">
        <v>237</v>
      </c>
      <c r="ED1182" s="1" t="s">
        <v>407</v>
      </c>
      <c r="EE1182" s="1" t="s">
        <v>493</v>
      </c>
      <c r="EF1182" s="1" t="s">
        <v>5154</v>
      </c>
      <c r="EG1182" s="1" t="s">
        <v>341</v>
      </c>
      <c r="EH1182" s="1" t="s">
        <v>449</v>
      </c>
      <c r="EI1182" s="1" t="s">
        <v>2313</v>
      </c>
      <c r="EJ1182" s="1" t="s">
        <v>12250</v>
      </c>
      <c r="EL1182" s="1" t="s">
        <v>331</v>
      </c>
      <c r="EM1182" s="1" t="s">
        <v>209</v>
      </c>
      <c r="EN1182" s="1" t="s">
        <v>210</v>
      </c>
      <c r="EO1182" s="1" t="s">
        <v>239</v>
      </c>
      <c r="EP1182" s="1" t="s">
        <v>662</v>
      </c>
      <c r="EQ1182" s="1" t="s">
        <v>206</v>
      </c>
      <c r="ER1182" s="1" t="s">
        <v>207</v>
      </c>
      <c r="ES1182" s="1" t="s">
        <v>239</v>
      </c>
      <c r="ET1182" s="1" t="s">
        <v>939</v>
      </c>
      <c r="EU1182" s="1" t="s">
        <v>206</v>
      </c>
      <c r="EV1182" s="1" t="s">
        <v>617</v>
      </c>
      <c r="EW1182" s="1" t="s">
        <v>229</v>
      </c>
      <c r="EX1182" s="1" t="s">
        <v>663</v>
      </c>
      <c r="EY1182" s="1" t="s">
        <v>206</v>
      </c>
      <c r="EZ1182" s="1" t="s">
        <v>207</v>
      </c>
      <c r="FA1182" s="1" t="s">
        <v>229</v>
      </c>
      <c r="FC1182" s="1" t="s">
        <v>238</v>
      </c>
      <c r="FF1182" s="1" t="s">
        <v>239</v>
      </c>
      <c r="FG1182" s="1" t="s">
        <v>192</v>
      </c>
      <c r="FH1182" s="1" t="s">
        <v>192</v>
      </c>
      <c r="FJ1182" s="1" t="s">
        <v>3357</v>
      </c>
      <c r="FK1182" s="1" t="s">
        <v>229</v>
      </c>
      <c r="FL1182" s="1" t="s">
        <v>6233</v>
      </c>
      <c r="FM1182" s="1">
        <v>7630.0</v>
      </c>
      <c r="FN1182" s="1" t="s">
        <v>6234</v>
      </c>
      <c r="FO1182" s="1" t="s">
        <v>6512</v>
      </c>
      <c r="FP1182" s="1">
        <v>8561.0</v>
      </c>
      <c r="FU1182" s="1" t="s">
        <v>12777</v>
      </c>
      <c r="FV1182" s="1" t="s">
        <v>200</v>
      </c>
      <c r="FW1182" s="1" t="s">
        <v>290</v>
      </c>
      <c r="FZ1182" s="1" t="s">
        <v>229</v>
      </c>
      <c r="GA1182" s="1" t="s">
        <v>247</v>
      </c>
      <c r="GB1182" s="2">
        <v>42117.0</v>
      </c>
      <c r="GC1182" s="1" t="s">
        <v>12778</v>
      </c>
    </row>
    <row r="1183">
      <c r="A1183" s="1">
        <v>326000.0</v>
      </c>
      <c r="B1183" s="1" t="s">
        <v>185</v>
      </c>
      <c r="C1183" s="1" t="str">
        <f>"08854920"</f>
        <v>08854920</v>
      </c>
      <c r="D1183" s="1" t="s">
        <v>186</v>
      </c>
      <c r="F1183" s="1" t="str">
        <f>"8011"</f>
        <v>8011</v>
      </c>
      <c r="G1183" s="2">
        <v>42069.0</v>
      </c>
      <c r="H1183" s="1">
        <v>300000.0</v>
      </c>
      <c r="I1183" s="1">
        <v>7.0</v>
      </c>
      <c r="J1183" s="1">
        <v>300000.0</v>
      </c>
      <c r="K1183" s="2">
        <v>42075.0</v>
      </c>
      <c r="L1183" s="1">
        <v>7.0</v>
      </c>
      <c r="M1183" s="2">
        <v>42075.0</v>
      </c>
      <c r="N1183" s="1" t="s">
        <v>187</v>
      </c>
      <c r="O1183" s="2">
        <v>42118.0</v>
      </c>
      <c r="P1183" s="1">
        <v>156798.0</v>
      </c>
      <c r="Q1183" s="1">
        <v>18330.0</v>
      </c>
      <c r="S1183" s="1">
        <v>5316.0</v>
      </c>
      <c r="T1183" s="1" t="s">
        <v>12779</v>
      </c>
      <c r="U1183" s="1" t="s">
        <v>189</v>
      </c>
      <c r="V1183" s="1" t="s">
        <v>190</v>
      </c>
      <c r="W1183" s="1">
        <v>60630.0</v>
      </c>
      <c r="Y1183" s="1" t="s">
        <v>12780</v>
      </c>
      <c r="Z1183" s="1">
        <v>1924.0</v>
      </c>
      <c r="AA1183" s="1" t="s">
        <v>192</v>
      </c>
      <c r="AB1183" s="1" t="s">
        <v>193</v>
      </c>
      <c r="AD1183" s="1" t="s">
        <v>194</v>
      </c>
      <c r="AE1183" s="1" t="s">
        <v>195</v>
      </c>
      <c r="AF1183" s="1" t="s">
        <v>196</v>
      </c>
      <c r="AH1183" s="1" t="s">
        <v>12781</v>
      </c>
      <c r="AI1183" s="1">
        <v>0.0854</v>
      </c>
      <c r="AK1183" s="1">
        <v>8.0</v>
      </c>
      <c r="AL1183" s="1">
        <v>4.0</v>
      </c>
      <c r="AM1183" s="1">
        <v>3.0</v>
      </c>
      <c r="AN1183" s="1">
        <v>0.0</v>
      </c>
      <c r="AO1183" s="1" t="s">
        <v>198</v>
      </c>
      <c r="AQ1183" s="1" t="s">
        <v>198</v>
      </c>
      <c r="AR1183" s="1" t="s">
        <v>192</v>
      </c>
      <c r="AS1183" s="1" t="s">
        <v>199</v>
      </c>
      <c r="AT1183" s="1">
        <v>2.0</v>
      </c>
      <c r="AV1183" s="1" t="s">
        <v>200</v>
      </c>
      <c r="AW1183" s="1">
        <v>3091.14</v>
      </c>
      <c r="AX1183" s="1">
        <v>2013.0</v>
      </c>
      <c r="AY1183" s="1" t="s">
        <v>387</v>
      </c>
      <c r="AZ1183" s="1" t="s">
        <v>200</v>
      </c>
      <c r="BA1183" s="1" t="str">
        <f>"13091300260000"</f>
        <v>13091300260000</v>
      </c>
      <c r="BC1183" s="1">
        <v>2230.0</v>
      </c>
      <c r="BD1183" s="1">
        <v>326000.0</v>
      </c>
      <c r="BE1183" s="2">
        <v>42069.0</v>
      </c>
      <c r="BF1183" s="2" t="s">
        <v>12782</v>
      </c>
      <c r="BH1183" s="1">
        <v>0.0</v>
      </c>
      <c r="BK1183" s="1" t="s">
        <v>204</v>
      </c>
      <c r="BL1183" s="1" t="str">
        <f>"5316"</f>
        <v>5316</v>
      </c>
      <c r="BM1183" s="1" t="str">
        <f t="shared" si="786"/>
        <v>0</v>
      </c>
      <c r="BN1183" s="1">
        <v>5300.0</v>
      </c>
      <c r="BO1183" s="1">
        <v>0.0</v>
      </c>
      <c r="BQ1183" s="1">
        <v>299.0</v>
      </c>
      <c r="BR1183" s="1">
        <v>299.0</v>
      </c>
      <c r="BS1183" s="1">
        <v>299.0</v>
      </c>
      <c r="BU1183" s="1" t="s">
        <v>362</v>
      </c>
      <c r="BV1183" s="1" t="s">
        <v>206</v>
      </c>
      <c r="BY1183" s="1" t="s">
        <v>662</v>
      </c>
      <c r="BZ1183" s="1" t="s">
        <v>209</v>
      </c>
      <c r="CC1183" s="1" t="s">
        <v>2082</v>
      </c>
      <c r="CD1183" s="1" t="s">
        <v>206</v>
      </c>
      <c r="CG1183" s="1" t="s">
        <v>1397</v>
      </c>
      <c r="CH1183" s="1" t="s">
        <v>209</v>
      </c>
      <c r="CK1183" s="1" t="s">
        <v>1352</v>
      </c>
      <c r="CL1183" s="1" t="s">
        <v>206</v>
      </c>
      <c r="CO1183" s="1" t="s">
        <v>1351</v>
      </c>
      <c r="CP1183" s="1" t="s">
        <v>206</v>
      </c>
      <c r="CS1183" s="1" t="s">
        <v>1329</v>
      </c>
      <c r="CT1183" s="1" t="s">
        <v>206</v>
      </c>
      <c r="CW1183" s="1" t="s">
        <v>1505</v>
      </c>
      <c r="CX1183" s="1" t="s">
        <v>206</v>
      </c>
      <c r="DA1183" s="1" t="s">
        <v>200</v>
      </c>
      <c r="DC1183" s="1" t="s">
        <v>216</v>
      </c>
      <c r="DE1183" s="1" t="s">
        <v>273</v>
      </c>
      <c r="DF1183" s="1" t="s">
        <v>8745</v>
      </c>
      <c r="DH1183" s="1" t="s">
        <v>365</v>
      </c>
      <c r="DI1183" s="1" t="s">
        <v>221</v>
      </c>
      <c r="DJ1183" s="1" t="s">
        <v>222</v>
      </c>
      <c r="DL1183" s="1" t="s">
        <v>223</v>
      </c>
      <c r="DM1183" s="1" t="s">
        <v>229</v>
      </c>
      <c r="DP1183" s="1" t="s">
        <v>340</v>
      </c>
      <c r="DQ1183" s="1" t="s">
        <v>228</v>
      </c>
      <c r="DR1183" s="1" t="s">
        <v>229</v>
      </c>
      <c r="DV1183" s="1" t="s">
        <v>232</v>
      </c>
      <c r="DW1183" s="1" t="s">
        <v>279</v>
      </c>
      <c r="DX1183" s="1" t="s">
        <v>234</v>
      </c>
      <c r="EC1183" s="1" t="s">
        <v>237</v>
      </c>
      <c r="ED1183" s="1" t="s">
        <v>407</v>
      </c>
      <c r="EM1183" s="1" t="s">
        <v>238</v>
      </c>
      <c r="EQ1183" s="1" t="s">
        <v>238</v>
      </c>
      <c r="EU1183" s="1" t="s">
        <v>238</v>
      </c>
      <c r="EY1183" s="1" t="s">
        <v>238</v>
      </c>
      <c r="FC1183" s="1" t="s">
        <v>238</v>
      </c>
      <c r="FF1183" s="1" t="s">
        <v>239</v>
      </c>
      <c r="FG1183" s="1" t="s">
        <v>192</v>
      </c>
      <c r="FH1183" s="1" t="s">
        <v>192</v>
      </c>
      <c r="FJ1183" s="1" t="s">
        <v>624</v>
      </c>
      <c r="FK1183" s="1" t="s">
        <v>229</v>
      </c>
      <c r="FL1183" s="1" t="s">
        <v>3818</v>
      </c>
      <c r="FM1183" s="1">
        <v>23959.0</v>
      </c>
      <c r="FN1183" s="1" t="s">
        <v>3819</v>
      </c>
      <c r="FO1183" s="1" t="s">
        <v>3820</v>
      </c>
      <c r="FP1183" s="1">
        <v>220868.0</v>
      </c>
      <c r="FQ1183" s="1" t="s">
        <v>3819</v>
      </c>
      <c r="FS1183" s="1" t="s">
        <v>12783</v>
      </c>
      <c r="FU1183" s="1" t="s">
        <v>3821</v>
      </c>
      <c r="FV1183" s="1" t="s">
        <v>200</v>
      </c>
      <c r="FW1183" s="1" t="s">
        <v>290</v>
      </c>
      <c r="FX1183" s="1" t="s">
        <v>238</v>
      </c>
      <c r="FZ1183" s="1" t="s">
        <v>229</v>
      </c>
      <c r="GA1183" s="1" t="s">
        <v>291</v>
      </c>
      <c r="GB1183" s="2">
        <v>42119.0</v>
      </c>
      <c r="GC1183" s="1" t="s">
        <v>12784</v>
      </c>
    </row>
    <row r="1184">
      <c r="A1184" s="1">
        <v>287500.0</v>
      </c>
      <c r="B1184" s="1" t="s">
        <v>185</v>
      </c>
      <c r="C1184" s="1" t="str">
        <f>"08859236"</f>
        <v>08859236</v>
      </c>
      <c r="D1184" s="1" t="s">
        <v>186</v>
      </c>
      <c r="F1184" s="1" t="str">
        <f>"542"</f>
        <v>542</v>
      </c>
      <c r="G1184" s="2">
        <v>42075.0</v>
      </c>
      <c r="H1184" s="1">
        <v>287500.0</v>
      </c>
      <c r="I1184" s="1">
        <v>2.0</v>
      </c>
      <c r="J1184" s="1">
        <v>287500.0</v>
      </c>
      <c r="K1184" s="2">
        <v>42076.0</v>
      </c>
      <c r="L1184" s="1">
        <v>2.0</v>
      </c>
      <c r="M1184" s="2">
        <v>42076.0</v>
      </c>
      <c r="N1184" s="1" t="s">
        <v>187</v>
      </c>
      <c r="O1184" s="2">
        <v>42138.0</v>
      </c>
      <c r="P1184" s="1">
        <v>253873.0</v>
      </c>
      <c r="Q1184" s="1">
        <v>25279.0</v>
      </c>
      <c r="S1184" s="1">
        <v>58.0</v>
      </c>
      <c r="T1184" s="1" t="s">
        <v>12785</v>
      </c>
      <c r="U1184" s="1" t="s">
        <v>420</v>
      </c>
      <c r="V1184" s="1" t="s">
        <v>3984</v>
      </c>
      <c r="W1184" s="1">
        <v>60542.0</v>
      </c>
      <c r="Y1184" s="1" t="s">
        <v>12786</v>
      </c>
      <c r="Z1184" s="1">
        <v>2001.0</v>
      </c>
      <c r="AA1184" s="1" t="s">
        <v>200</v>
      </c>
      <c r="AB1184" s="1" t="s">
        <v>467</v>
      </c>
      <c r="AC1184" s="1" t="s">
        <v>12787</v>
      </c>
      <c r="AD1184" s="1" t="s">
        <v>3986</v>
      </c>
      <c r="AE1184" s="1" t="s">
        <v>325</v>
      </c>
      <c r="AF1184" s="1" t="s">
        <v>3826</v>
      </c>
      <c r="AH1184" s="1" t="s">
        <v>12788</v>
      </c>
      <c r="AK1184" s="1">
        <v>10.0</v>
      </c>
      <c r="AL1184" s="1">
        <v>4.0</v>
      </c>
      <c r="AM1184" s="1">
        <v>3.0</v>
      </c>
      <c r="AN1184" s="1">
        <v>1.0</v>
      </c>
      <c r="AO1184" s="1" t="s">
        <v>198</v>
      </c>
      <c r="AP1184" s="1">
        <v>1.0</v>
      </c>
      <c r="AQ1184" s="1" t="s">
        <v>1314</v>
      </c>
      <c r="AR1184" s="1" t="s">
        <v>192</v>
      </c>
      <c r="AS1184" s="1" t="s">
        <v>199</v>
      </c>
      <c r="AT1184" s="1">
        <v>2.5</v>
      </c>
      <c r="AV1184" s="1" t="s">
        <v>200</v>
      </c>
      <c r="AW1184" s="1">
        <v>7565.0</v>
      </c>
      <c r="AX1184" s="1">
        <v>2013.0</v>
      </c>
      <c r="AY1184" s="1" t="s">
        <v>387</v>
      </c>
      <c r="AZ1184" s="1" t="s">
        <v>200</v>
      </c>
      <c r="BA1184" s="1" t="str">
        <f>"1503277012"</f>
        <v>1503277012</v>
      </c>
      <c r="BB1184" s="1" t="s">
        <v>200</v>
      </c>
      <c r="BC1184" s="1">
        <v>2481.0</v>
      </c>
      <c r="BD1184" s="1">
        <v>287500.0</v>
      </c>
      <c r="BE1184" s="2">
        <v>42075.0</v>
      </c>
      <c r="BF1184" s="2" t="s">
        <v>12789</v>
      </c>
      <c r="BG1184" s="1" t="s">
        <v>4059</v>
      </c>
      <c r="BH1184" s="1">
        <v>300.0</v>
      </c>
      <c r="BI1184" s="1" t="s">
        <v>4421</v>
      </c>
      <c r="BJ1184" s="1" t="s">
        <v>3831</v>
      </c>
      <c r="BK1184" s="1" t="s">
        <v>580</v>
      </c>
      <c r="BL1184" s="1" t="str">
        <f t="shared" ref="BL1184:BM1184" si="787">"0"</f>
        <v>0</v>
      </c>
      <c r="BM1184" s="1" t="str">
        <f t="shared" si="787"/>
        <v>0</v>
      </c>
      <c r="BN1184" s="1">
        <v>35.0</v>
      </c>
      <c r="BO1184" s="1">
        <v>4.0</v>
      </c>
      <c r="BQ1184" s="1">
        <v>129.0</v>
      </c>
      <c r="BR1184" s="1">
        <v>129.0</v>
      </c>
      <c r="BS1184" s="1">
        <v>129.0</v>
      </c>
      <c r="BU1184" s="1" t="s">
        <v>433</v>
      </c>
      <c r="BV1184" s="1" t="s">
        <v>206</v>
      </c>
      <c r="BW1184" s="1" t="s">
        <v>210</v>
      </c>
      <c r="BX1184" s="1" t="s">
        <v>431</v>
      </c>
      <c r="BY1184" s="1" t="s">
        <v>213</v>
      </c>
      <c r="BZ1184" s="1" t="s">
        <v>209</v>
      </c>
      <c r="CA1184" s="1" t="s">
        <v>210</v>
      </c>
      <c r="CB1184" s="1" t="s">
        <v>431</v>
      </c>
      <c r="CC1184" s="1" t="s">
        <v>264</v>
      </c>
      <c r="CD1184" s="1" t="s">
        <v>206</v>
      </c>
      <c r="CE1184" s="1" t="s">
        <v>210</v>
      </c>
      <c r="CF1184" s="1" t="s">
        <v>431</v>
      </c>
      <c r="CG1184" s="1" t="s">
        <v>497</v>
      </c>
      <c r="CH1184" s="1" t="s">
        <v>209</v>
      </c>
      <c r="CI1184" s="1" t="s">
        <v>210</v>
      </c>
      <c r="CJ1184" s="1" t="s">
        <v>431</v>
      </c>
      <c r="CK1184" s="1" t="s">
        <v>495</v>
      </c>
      <c r="CL1184" s="1" t="s">
        <v>209</v>
      </c>
      <c r="CM1184" s="1" t="s">
        <v>210</v>
      </c>
      <c r="CN1184" s="1" t="s">
        <v>431</v>
      </c>
      <c r="CO1184" s="1" t="s">
        <v>212</v>
      </c>
      <c r="CP1184" s="1" t="s">
        <v>209</v>
      </c>
      <c r="CQ1184" s="1" t="s">
        <v>210</v>
      </c>
      <c r="CR1184" s="1" t="s">
        <v>431</v>
      </c>
      <c r="CS1184" s="1" t="s">
        <v>2121</v>
      </c>
      <c r="CT1184" s="1" t="s">
        <v>206</v>
      </c>
      <c r="CU1184" s="1" t="s">
        <v>207</v>
      </c>
      <c r="CV1184" s="1" t="s">
        <v>431</v>
      </c>
      <c r="CW1184" s="1" t="s">
        <v>583</v>
      </c>
      <c r="CX1184" s="1" t="s">
        <v>206</v>
      </c>
      <c r="CY1184" s="1" t="s">
        <v>210</v>
      </c>
      <c r="CZ1184" s="1" t="s">
        <v>431</v>
      </c>
      <c r="DA1184" s="1" t="s">
        <v>200</v>
      </c>
      <c r="DC1184" s="1" t="s">
        <v>335</v>
      </c>
      <c r="DD1184" s="1" t="s">
        <v>217</v>
      </c>
      <c r="DE1184" s="1" t="s">
        <v>273</v>
      </c>
      <c r="DF1184" s="1" t="s">
        <v>219</v>
      </c>
      <c r="DG1184" s="1" t="s">
        <v>482</v>
      </c>
      <c r="DH1184" s="1" t="s">
        <v>220</v>
      </c>
      <c r="DI1184" s="1" t="s">
        <v>959</v>
      </c>
      <c r="DJ1184" s="1" t="s">
        <v>222</v>
      </c>
      <c r="DK1184" s="1" t="s">
        <v>223</v>
      </c>
      <c r="DL1184" s="1" t="s">
        <v>1267</v>
      </c>
      <c r="DM1184" s="1" t="s">
        <v>1247</v>
      </c>
      <c r="DN1184" s="1" t="s">
        <v>399</v>
      </c>
      <c r="DO1184" s="1" t="s">
        <v>12790</v>
      </c>
      <c r="DP1184" s="1" t="s">
        <v>340</v>
      </c>
      <c r="DQ1184" s="1" t="s">
        <v>228</v>
      </c>
      <c r="DR1184" s="1" t="s">
        <v>229</v>
      </c>
      <c r="DS1184" s="1" t="s">
        <v>368</v>
      </c>
      <c r="DU1184" s="1" t="s">
        <v>746</v>
      </c>
      <c r="DV1184" s="1" t="s">
        <v>12791</v>
      </c>
      <c r="DW1184" s="1" t="s">
        <v>233</v>
      </c>
      <c r="DX1184" s="1" t="s">
        <v>234</v>
      </c>
      <c r="DY1184" s="1" t="s">
        <v>3125</v>
      </c>
      <c r="DZ1184" s="1" t="s">
        <v>310</v>
      </c>
      <c r="EA1184" s="1" t="s">
        <v>344</v>
      </c>
      <c r="EB1184" s="1" t="s">
        <v>1639</v>
      </c>
      <c r="EC1184" s="1" t="s">
        <v>237</v>
      </c>
      <c r="ED1184" s="1" t="s">
        <v>407</v>
      </c>
      <c r="EE1184" s="1" t="s">
        <v>493</v>
      </c>
      <c r="EG1184" s="1" t="s">
        <v>2971</v>
      </c>
      <c r="EH1184" s="1" t="s">
        <v>450</v>
      </c>
      <c r="EI1184" s="1" t="s">
        <v>341</v>
      </c>
      <c r="EL1184" s="1" t="s">
        <v>1064</v>
      </c>
      <c r="EM1184" s="1" t="s">
        <v>42</v>
      </c>
      <c r="EN1184" s="1" t="s">
        <v>210</v>
      </c>
      <c r="EO1184" s="1" t="s">
        <v>229</v>
      </c>
      <c r="EP1184" s="1" t="s">
        <v>955</v>
      </c>
      <c r="EQ1184" s="1" t="s">
        <v>42</v>
      </c>
      <c r="ER1184" s="1" t="s">
        <v>210</v>
      </c>
      <c r="ES1184" s="1" t="s">
        <v>431</v>
      </c>
      <c r="ET1184" s="1" t="s">
        <v>1382</v>
      </c>
      <c r="EU1184" s="1" t="s">
        <v>209</v>
      </c>
      <c r="EV1184" s="1" t="s">
        <v>210</v>
      </c>
      <c r="EW1184" s="1" t="s">
        <v>431</v>
      </c>
      <c r="EY1184" s="1" t="s">
        <v>238</v>
      </c>
      <c r="FC1184" s="1" t="s">
        <v>238</v>
      </c>
      <c r="FF1184" s="1" t="s">
        <v>239</v>
      </c>
      <c r="FG1184" s="1" t="s">
        <v>192</v>
      </c>
      <c r="FH1184" s="1" t="s">
        <v>192</v>
      </c>
      <c r="FJ1184" s="1" t="s">
        <v>12792</v>
      </c>
      <c r="FK1184" s="1" t="s">
        <v>229</v>
      </c>
      <c r="FL1184" s="1" t="s">
        <v>456</v>
      </c>
      <c r="FM1184" s="1">
        <v>23156.0</v>
      </c>
      <c r="FN1184" s="1" t="s">
        <v>2553</v>
      </c>
      <c r="FO1184" s="1" t="s">
        <v>12793</v>
      </c>
      <c r="FP1184" s="1">
        <v>232124.0</v>
      </c>
      <c r="FQ1184" s="1" t="s">
        <v>12794</v>
      </c>
      <c r="FU1184" s="1" t="s">
        <v>12795</v>
      </c>
      <c r="FV1184" s="1" t="s">
        <v>200</v>
      </c>
      <c r="FW1184" s="1" t="s">
        <v>1511</v>
      </c>
      <c r="FZ1184" s="1" t="s">
        <v>229</v>
      </c>
      <c r="GA1184" s="1" t="s">
        <v>291</v>
      </c>
      <c r="GB1184" s="2">
        <v>42138.0</v>
      </c>
      <c r="GC1184" s="1" t="s">
        <v>12796</v>
      </c>
    </row>
    <row r="1185">
      <c r="A1185" s="1">
        <v>337700.0</v>
      </c>
      <c r="B1185" s="1" t="s">
        <v>185</v>
      </c>
      <c r="C1185" s="1" t="str">
        <f>"08852907"</f>
        <v>08852907</v>
      </c>
      <c r="D1185" s="1" t="s">
        <v>186</v>
      </c>
      <c r="F1185" s="1" t="str">
        <f>"134"</f>
        <v>134</v>
      </c>
      <c r="G1185" s="2">
        <v>42068.0</v>
      </c>
      <c r="H1185" s="1">
        <v>337700.0</v>
      </c>
      <c r="I1185" s="1">
        <v>6.0</v>
      </c>
      <c r="J1185" s="1">
        <v>337700.0</v>
      </c>
      <c r="K1185" s="2">
        <v>42073.0</v>
      </c>
      <c r="L1185" s="1">
        <v>6.0</v>
      </c>
      <c r="M1185" s="2">
        <v>42073.0</v>
      </c>
      <c r="N1185" s="1" t="s">
        <v>187</v>
      </c>
      <c r="O1185" s="2">
        <v>42110.0</v>
      </c>
      <c r="P1185" s="1">
        <v>7679.0</v>
      </c>
      <c r="Q1185" s="1">
        <v>30.0</v>
      </c>
      <c r="S1185" s="1">
        <v>3154.0</v>
      </c>
      <c r="T1185" s="1" t="s">
        <v>12797</v>
      </c>
      <c r="U1185" s="1" t="s">
        <v>569</v>
      </c>
      <c r="V1185" s="1" t="s">
        <v>421</v>
      </c>
      <c r="W1185" s="1">
        <v>60134.0</v>
      </c>
      <c r="Y1185" s="1" t="s">
        <v>12798</v>
      </c>
      <c r="Z1185" s="1">
        <v>2000.0</v>
      </c>
      <c r="AA1185" s="1" t="s">
        <v>200</v>
      </c>
      <c r="AB1185" s="1" t="s">
        <v>467</v>
      </c>
      <c r="AC1185" s="1" t="s">
        <v>12799</v>
      </c>
      <c r="AD1185" s="1" t="s">
        <v>424</v>
      </c>
      <c r="AE1185" s="1" t="s">
        <v>325</v>
      </c>
      <c r="AF1185" s="1" t="s">
        <v>424</v>
      </c>
      <c r="AG1185" s="1" t="s">
        <v>7490</v>
      </c>
      <c r="AH1185" s="1" t="s">
        <v>12800</v>
      </c>
      <c r="AK1185" s="1">
        <v>12.0</v>
      </c>
      <c r="AL1185" s="1">
        <v>4.0</v>
      </c>
      <c r="AM1185" s="1">
        <v>3.0</v>
      </c>
      <c r="AN1185" s="1">
        <v>1.0</v>
      </c>
      <c r="AO1185" s="1" t="s">
        <v>198</v>
      </c>
      <c r="AP1185" s="1">
        <v>1.0</v>
      </c>
      <c r="AQ1185" s="1" t="s">
        <v>327</v>
      </c>
      <c r="AR1185" s="1" t="s">
        <v>192</v>
      </c>
      <c r="AS1185" s="1" t="s">
        <v>199</v>
      </c>
      <c r="AT1185" s="1">
        <v>2.5</v>
      </c>
      <c r="AV1185" s="1" t="s">
        <v>200</v>
      </c>
      <c r="AW1185" s="1">
        <v>9055.0</v>
      </c>
      <c r="AX1185" s="1">
        <v>2013.0</v>
      </c>
      <c r="AY1185" s="1" t="s">
        <v>387</v>
      </c>
      <c r="AZ1185" s="1" t="s">
        <v>200</v>
      </c>
      <c r="BA1185" s="1" t="str">
        <f>"1205330002"</f>
        <v>1205330002</v>
      </c>
      <c r="BC1185" s="1">
        <v>2420.0</v>
      </c>
      <c r="BD1185" s="1">
        <v>337700.0</v>
      </c>
      <c r="BE1185" s="2">
        <v>42068.0</v>
      </c>
      <c r="BF1185" s="2" t="s">
        <v>12801</v>
      </c>
      <c r="BG1185" s="1" t="s">
        <v>7493</v>
      </c>
      <c r="BH1185" s="1">
        <v>75.0</v>
      </c>
      <c r="BI1185" s="1" t="s">
        <v>429</v>
      </c>
      <c r="BJ1185" s="1" t="s">
        <v>430</v>
      </c>
      <c r="BK1185" s="1" t="s">
        <v>580</v>
      </c>
      <c r="BL1185" s="1" t="str">
        <f>"1"</f>
        <v>1</v>
      </c>
      <c r="BM1185" s="1" t="str">
        <f t="shared" ref="BM1185:BM1186" si="788">"0"</f>
        <v>0</v>
      </c>
      <c r="BN1185" s="1">
        <v>37.0</v>
      </c>
      <c r="BO1185" s="1">
        <v>0.0</v>
      </c>
      <c r="BQ1185" s="1">
        <v>304.0</v>
      </c>
      <c r="BR1185" s="1">
        <v>304.0</v>
      </c>
      <c r="BS1185" s="1">
        <v>304.0</v>
      </c>
      <c r="BU1185" s="1" t="s">
        <v>329</v>
      </c>
      <c r="BV1185" s="1" t="s">
        <v>206</v>
      </c>
      <c r="BW1185" s="1" t="s">
        <v>207</v>
      </c>
      <c r="BX1185" s="1" t="s">
        <v>6917</v>
      </c>
      <c r="BY1185" s="1" t="s">
        <v>616</v>
      </c>
      <c r="BZ1185" s="1" t="s">
        <v>209</v>
      </c>
      <c r="CA1185" s="1" t="s">
        <v>210</v>
      </c>
      <c r="CB1185" s="1" t="s">
        <v>431</v>
      </c>
      <c r="CC1185" s="1" t="s">
        <v>331</v>
      </c>
      <c r="CD1185" s="1" t="s">
        <v>206</v>
      </c>
      <c r="CE1185" s="1" t="s">
        <v>207</v>
      </c>
      <c r="CF1185" s="1" t="s">
        <v>6917</v>
      </c>
      <c r="CG1185" s="1" t="s">
        <v>332</v>
      </c>
      <c r="CH1185" s="1" t="s">
        <v>209</v>
      </c>
      <c r="CI1185" s="1" t="s">
        <v>210</v>
      </c>
      <c r="CJ1185" s="1" t="s">
        <v>6917</v>
      </c>
      <c r="CK1185" s="1" t="s">
        <v>212</v>
      </c>
      <c r="CL1185" s="1" t="s">
        <v>209</v>
      </c>
      <c r="CM1185" s="1" t="s">
        <v>210</v>
      </c>
      <c r="CN1185" s="1" t="s">
        <v>6917</v>
      </c>
      <c r="CO1185" s="1" t="s">
        <v>269</v>
      </c>
      <c r="CP1185" s="1" t="s">
        <v>209</v>
      </c>
      <c r="CQ1185" s="1" t="s">
        <v>210</v>
      </c>
      <c r="CR1185" s="1" t="s">
        <v>6917</v>
      </c>
      <c r="CS1185" s="1" t="s">
        <v>1298</v>
      </c>
      <c r="CT1185" s="1" t="s">
        <v>206</v>
      </c>
      <c r="CU1185" s="1" t="s">
        <v>207</v>
      </c>
      <c r="CV1185" s="1" t="s">
        <v>239</v>
      </c>
      <c r="CW1185" s="1" t="s">
        <v>1892</v>
      </c>
      <c r="CX1185" s="1" t="s">
        <v>206</v>
      </c>
      <c r="CY1185" s="1" t="s">
        <v>210</v>
      </c>
      <c r="CZ1185" s="1" t="s">
        <v>6917</v>
      </c>
      <c r="DA1185" s="1" t="s">
        <v>200</v>
      </c>
      <c r="DC1185" s="1" t="s">
        <v>335</v>
      </c>
      <c r="DD1185" s="1" t="s">
        <v>336</v>
      </c>
      <c r="DE1185" s="1" t="s">
        <v>273</v>
      </c>
      <c r="DF1185" s="1" t="s">
        <v>219</v>
      </c>
      <c r="DG1185" s="1" t="s">
        <v>482</v>
      </c>
      <c r="DH1185" s="1" t="s">
        <v>220</v>
      </c>
      <c r="DI1185" s="1" t="s">
        <v>589</v>
      </c>
      <c r="DJ1185" s="1" t="s">
        <v>222</v>
      </c>
      <c r="DK1185" s="1" t="s">
        <v>198</v>
      </c>
      <c r="DL1185" s="1" t="s">
        <v>1161</v>
      </c>
      <c r="DM1185" s="1" t="s">
        <v>3697</v>
      </c>
      <c r="DN1185" s="1" t="s">
        <v>1023</v>
      </c>
      <c r="DP1185" s="1" t="s">
        <v>340</v>
      </c>
      <c r="DQ1185" s="1" t="s">
        <v>228</v>
      </c>
      <c r="DR1185" s="1" t="s">
        <v>588</v>
      </c>
      <c r="DU1185" s="1" t="s">
        <v>12802</v>
      </c>
      <c r="DV1185" s="1" t="s">
        <v>12803</v>
      </c>
      <c r="DW1185" s="1" t="s">
        <v>12222</v>
      </c>
      <c r="DX1185" s="1" t="s">
        <v>234</v>
      </c>
      <c r="DY1185" s="1" t="s">
        <v>490</v>
      </c>
      <c r="DZ1185" s="1" t="s">
        <v>12804</v>
      </c>
      <c r="EB1185" s="1" t="s">
        <v>767</v>
      </c>
      <c r="EC1185" s="1" t="s">
        <v>237</v>
      </c>
      <c r="ED1185" s="1" t="s">
        <v>407</v>
      </c>
      <c r="EE1185" s="1" t="s">
        <v>493</v>
      </c>
      <c r="EG1185" s="1" t="s">
        <v>449</v>
      </c>
      <c r="EH1185" s="1" t="s">
        <v>494</v>
      </c>
      <c r="EI1185" s="1" t="s">
        <v>450</v>
      </c>
      <c r="EJ1185" s="1" t="s">
        <v>588</v>
      </c>
      <c r="EK1185" s="1" t="s">
        <v>1824</v>
      </c>
      <c r="EL1185" s="1" t="s">
        <v>332</v>
      </c>
      <c r="EM1185" s="1" t="s">
        <v>206</v>
      </c>
      <c r="EN1185" s="1" t="s">
        <v>207</v>
      </c>
      <c r="EP1185" s="1" t="s">
        <v>497</v>
      </c>
      <c r="EQ1185" s="1" t="s">
        <v>206</v>
      </c>
      <c r="ER1185" s="1" t="s">
        <v>210</v>
      </c>
      <c r="ET1185" s="1" t="s">
        <v>1891</v>
      </c>
      <c r="EU1185" s="1" t="s">
        <v>1697</v>
      </c>
      <c r="EV1185" s="1" t="s">
        <v>210</v>
      </c>
      <c r="EW1185" s="1" t="s">
        <v>431</v>
      </c>
      <c r="EX1185" s="1" t="s">
        <v>363</v>
      </c>
      <c r="EY1185" s="1" t="s">
        <v>1697</v>
      </c>
      <c r="EZ1185" s="1" t="s">
        <v>588</v>
      </c>
      <c r="FB1185" s="1" t="s">
        <v>363</v>
      </c>
      <c r="FC1185" s="1" t="s">
        <v>1697</v>
      </c>
      <c r="FD1185" s="1" t="s">
        <v>588</v>
      </c>
      <c r="FF1185" s="1" t="s">
        <v>239</v>
      </c>
      <c r="FG1185" s="1" t="s">
        <v>192</v>
      </c>
      <c r="FH1185" s="1" t="s">
        <v>192</v>
      </c>
      <c r="FJ1185" s="1" t="s">
        <v>7646</v>
      </c>
      <c r="FK1185" s="1" t="s">
        <v>229</v>
      </c>
      <c r="FL1185" s="1" t="s">
        <v>12805</v>
      </c>
      <c r="FM1185" s="1">
        <v>21823.0</v>
      </c>
      <c r="FN1185" s="1" t="s">
        <v>12806</v>
      </c>
      <c r="FO1185" s="1" t="s">
        <v>12807</v>
      </c>
      <c r="FP1185" s="1">
        <v>224834.0</v>
      </c>
      <c r="FQ1185" s="1" t="s">
        <v>12808</v>
      </c>
      <c r="FR1185" s="1">
        <v>241754.0</v>
      </c>
      <c r="FU1185" s="1" t="s">
        <v>12809</v>
      </c>
      <c r="FV1185" s="1" t="s">
        <v>200</v>
      </c>
      <c r="FW1185" s="1" t="s">
        <v>290</v>
      </c>
      <c r="FZ1185" s="1" t="s">
        <v>229</v>
      </c>
      <c r="GA1185" s="1" t="s">
        <v>291</v>
      </c>
      <c r="GB1185" s="2">
        <v>42110.0</v>
      </c>
      <c r="GC1185" s="1" t="s">
        <v>12810</v>
      </c>
    </row>
    <row r="1186">
      <c r="A1186" s="1">
        <v>230000.0</v>
      </c>
      <c r="B1186" s="1" t="s">
        <v>185</v>
      </c>
      <c r="C1186" s="1" t="str">
        <f>"08842338"</f>
        <v>08842338</v>
      </c>
      <c r="D1186" s="1" t="s">
        <v>186</v>
      </c>
      <c r="F1186" s="1" t="str">
        <f>"8017"</f>
        <v>8017</v>
      </c>
      <c r="G1186" s="2">
        <v>42054.0</v>
      </c>
      <c r="H1186" s="1">
        <v>235000.0</v>
      </c>
      <c r="I1186" s="1">
        <v>11.0</v>
      </c>
      <c r="J1186" s="1">
        <v>235000.0</v>
      </c>
      <c r="K1186" s="2">
        <v>42064.0</v>
      </c>
      <c r="L1186" s="1">
        <v>11.0</v>
      </c>
      <c r="M1186" s="2">
        <v>42064.0</v>
      </c>
      <c r="N1186" s="1" t="s">
        <v>187</v>
      </c>
      <c r="O1186" s="2">
        <v>42093.0</v>
      </c>
      <c r="P1186" s="1">
        <v>118739.0</v>
      </c>
      <c r="Q1186" s="1">
        <v>14090.0</v>
      </c>
      <c r="S1186" s="1">
        <v>3134.0</v>
      </c>
      <c r="T1186" s="1" t="s">
        <v>12811</v>
      </c>
      <c r="U1186" s="1" t="s">
        <v>189</v>
      </c>
      <c r="V1186" s="1" t="s">
        <v>190</v>
      </c>
      <c r="W1186" s="1">
        <v>60707.0</v>
      </c>
      <c r="Y1186" s="1" t="s">
        <v>12812</v>
      </c>
      <c r="Z1186" s="1" t="s">
        <v>296</v>
      </c>
      <c r="AA1186" s="1" t="s">
        <v>200</v>
      </c>
      <c r="AB1186" s="1" t="s">
        <v>193</v>
      </c>
      <c r="AD1186" s="1" t="s">
        <v>194</v>
      </c>
      <c r="AE1186" s="1" t="s">
        <v>195</v>
      </c>
      <c r="AF1186" s="1" t="s">
        <v>196</v>
      </c>
      <c r="AH1186" s="1" t="s">
        <v>12813</v>
      </c>
      <c r="AK1186" s="1">
        <v>9.0</v>
      </c>
      <c r="AL1186" s="1">
        <v>3.0</v>
      </c>
      <c r="AM1186" s="1">
        <v>2.0</v>
      </c>
      <c r="AN1186" s="1">
        <v>0.0</v>
      </c>
      <c r="AO1186" s="1" t="s">
        <v>229</v>
      </c>
      <c r="AQ1186" s="1" t="s">
        <v>198</v>
      </c>
      <c r="AR1186" s="1" t="s">
        <v>192</v>
      </c>
      <c r="AS1186" s="1" t="s">
        <v>229</v>
      </c>
      <c r="AV1186" s="1" t="s">
        <v>200</v>
      </c>
      <c r="AW1186" s="1">
        <v>3473.0</v>
      </c>
      <c r="AX1186" s="1">
        <v>2013.0</v>
      </c>
      <c r="AY1186" s="1" t="s">
        <v>387</v>
      </c>
      <c r="AZ1186" s="1" t="s">
        <v>200</v>
      </c>
      <c r="BA1186" s="1" t="str">
        <f>"12252050390000"</f>
        <v>12252050390000</v>
      </c>
      <c r="BB1186" s="1" t="s">
        <v>200</v>
      </c>
      <c r="BC1186" s="1">
        <v>1855.0</v>
      </c>
      <c r="BD1186" s="1">
        <v>230000.0</v>
      </c>
      <c r="BE1186" s="2">
        <v>42054.0</v>
      </c>
      <c r="BF1186" s="2" t="s">
        <v>12814</v>
      </c>
      <c r="BH1186" s="1">
        <v>0.0</v>
      </c>
      <c r="BK1186" s="1" t="s">
        <v>204</v>
      </c>
      <c r="BL1186" s="1" t="str">
        <f>"3134"</f>
        <v>3134</v>
      </c>
      <c r="BM1186" s="1" t="str">
        <f t="shared" si="788"/>
        <v>0</v>
      </c>
      <c r="BN1186" s="1">
        <v>7400.0</v>
      </c>
      <c r="BO1186" s="1">
        <v>0.0</v>
      </c>
      <c r="BQ1186" s="1">
        <v>299.0</v>
      </c>
      <c r="BR1186" s="1">
        <v>299.0</v>
      </c>
      <c r="BS1186" s="1">
        <v>299.0</v>
      </c>
      <c r="BU1186" s="1" t="s">
        <v>205</v>
      </c>
      <c r="BV1186" s="1" t="s">
        <v>206</v>
      </c>
      <c r="BW1186" s="1" t="s">
        <v>207</v>
      </c>
      <c r="BX1186" s="1" t="s">
        <v>431</v>
      </c>
      <c r="BY1186" s="1" t="s">
        <v>264</v>
      </c>
      <c r="BZ1186" s="1" t="s">
        <v>206</v>
      </c>
      <c r="CA1186" s="1" t="s">
        <v>207</v>
      </c>
      <c r="CB1186" s="1" t="s">
        <v>431</v>
      </c>
      <c r="CC1186" s="1" t="s">
        <v>1852</v>
      </c>
      <c r="CD1186" s="1" t="s">
        <v>206</v>
      </c>
      <c r="CE1186" s="1" t="s">
        <v>268</v>
      </c>
      <c r="CF1186" s="1" t="s">
        <v>431</v>
      </c>
      <c r="CG1186" s="1" t="s">
        <v>264</v>
      </c>
      <c r="CH1186" s="1" t="s">
        <v>206</v>
      </c>
      <c r="CI1186" s="1" t="s">
        <v>207</v>
      </c>
      <c r="CJ1186" s="1" t="s">
        <v>431</v>
      </c>
      <c r="CK1186" s="1" t="s">
        <v>495</v>
      </c>
      <c r="CL1186" s="1" t="s">
        <v>206</v>
      </c>
      <c r="CM1186" s="1" t="s">
        <v>207</v>
      </c>
      <c r="CN1186" s="1" t="s">
        <v>431</v>
      </c>
      <c r="CO1186" s="1" t="s">
        <v>497</v>
      </c>
      <c r="CP1186" s="1" t="s">
        <v>42</v>
      </c>
      <c r="CQ1186" s="1" t="s">
        <v>210</v>
      </c>
      <c r="CR1186" s="1" t="s">
        <v>229</v>
      </c>
      <c r="CS1186" s="1" t="s">
        <v>1875</v>
      </c>
      <c r="CT1186" s="1" t="s">
        <v>206</v>
      </c>
      <c r="CU1186" s="1" t="s">
        <v>268</v>
      </c>
      <c r="CV1186" s="1" t="s">
        <v>431</v>
      </c>
      <c r="CW1186" s="1" t="s">
        <v>1244</v>
      </c>
      <c r="CX1186" s="1" t="s">
        <v>206</v>
      </c>
      <c r="CY1186" s="1" t="s">
        <v>207</v>
      </c>
      <c r="CZ1186" s="1" t="s">
        <v>431</v>
      </c>
      <c r="DA1186" s="1" t="s">
        <v>200</v>
      </c>
      <c r="DC1186" s="1" t="s">
        <v>395</v>
      </c>
      <c r="DE1186" s="1" t="s">
        <v>273</v>
      </c>
      <c r="DF1186" s="1" t="s">
        <v>219</v>
      </c>
      <c r="DH1186" s="1" t="s">
        <v>365</v>
      </c>
      <c r="DI1186" s="1" t="s">
        <v>1463</v>
      </c>
      <c r="DJ1186" s="1" t="s">
        <v>222</v>
      </c>
      <c r="DL1186" s="1" t="s">
        <v>224</v>
      </c>
      <c r="DM1186" s="1" t="s">
        <v>338</v>
      </c>
      <c r="DO1186" s="1" t="s">
        <v>549</v>
      </c>
      <c r="DQ1186" s="1" t="s">
        <v>228</v>
      </c>
      <c r="DR1186" s="1" t="s">
        <v>229</v>
      </c>
      <c r="DS1186" s="1" t="s">
        <v>3008</v>
      </c>
      <c r="DV1186" s="1" t="s">
        <v>12815</v>
      </c>
      <c r="DW1186" s="1" t="s">
        <v>279</v>
      </c>
      <c r="DX1186" s="1" t="s">
        <v>234</v>
      </c>
      <c r="EA1186" s="1" t="s">
        <v>683</v>
      </c>
      <c r="EC1186" s="1" t="s">
        <v>685</v>
      </c>
      <c r="EH1186" s="1" t="s">
        <v>1407</v>
      </c>
      <c r="EK1186" s="1" t="s">
        <v>2877</v>
      </c>
      <c r="EM1186" s="1" t="s">
        <v>238</v>
      </c>
      <c r="EP1186" s="1" t="s">
        <v>495</v>
      </c>
      <c r="EQ1186" s="1" t="s">
        <v>42</v>
      </c>
      <c r="ER1186" s="1" t="s">
        <v>268</v>
      </c>
      <c r="EU1186" s="1" t="s">
        <v>238</v>
      </c>
      <c r="EY1186" s="1" t="s">
        <v>238</v>
      </c>
      <c r="FB1186" s="1" t="s">
        <v>558</v>
      </c>
      <c r="FC1186" s="1" t="s">
        <v>42</v>
      </c>
      <c r="FF1186" s="1" t="s">
        <v>239</v>
      </c>
      <c r="FG1186" s="1" t="s">
        <v>200</v>
      </c>
      <c r="FH1186" s="1" t="s">
        <v>192</v>
      </c>
      <c r="FJ1186" s="1" t="s">
        <v>4471</v>
      </c>
      <c r="FK1186" s="1" t="s">
        <v>229</v>
      </c>
      <c r="FL1186" s="1" t="s">
        <v>1289</v>
      </c>
      <c r="FM1186" s="1">
        <v>85382.0</v>
      </c>
      <c r="FN1186" s="1" t="s">
        <v>12816</v>
      </c>
      <c r="FO1186" s="1" t="s">
        <v>12817</v>
      </c>
      <c r="FP1186" s="1">
        <v>170820.0</v>
      </c>
      <c r="FQ1186" s="1" t="s">
        <v>12818</v>
      </c>
      <c r="FU1186" s="1" t="s">
        <v>12819</v>
      </c>
      <c r="FV1186" s="1" t="s">
        <v>192</v>
      </c>
      <c r="FW1186" s="1" t="s">
        <v>567</v>
      </c>
      <c r="FX1186" s="1" t="s">
        <v>238</v>
      </c>
      <c r="FZ1186" s="1" t="s">
        <v>229</v>
      </c>
      <c r="GA1186" s="1" t="s">
        <v>291</v>
      </c>
      <c r="GB1186" s="2">
        <v>42093.0</v>
      </c>
      <c r="GC1186" s="1" t="s">
        <v>12820</v>
      </c>
    </row>
    <row r="1187">
      <c r="A1187" s="1">
        <v>165000.0</v>
      </c>
      <c r="B1187" s="1" t="s">
        <v>185</v>
      </c>
      <c r="C1187" s="1" t="str">
        <f>"08839664"</f>
        <v>08839664</v>
      </c>
      <c r="D1187" s="1" t="s">
        <v>186</v>
      </c>
      <c r="F1187" s="1" t="str">
        <f>"8049"</f>
        <v>8049</v>
      </c>
      <c r="G1187" s="2">
        <v>42051.0</v>
      </c>
      <c r="H1187" s="1">
        <v>169900.0</v>
      </c>
      <c r="I1187" s="1">
        <v>8.0</v>
      </c>
      <c r="J1187" s="1">
        <v>169900.0</v>
      </c>
      <c r="K1187" s="2">
        <v>42058.0</v>
      </c>
      <c r="L1187" s="1">
        <v>8.0</v>
      </c>
      <c r="M1187" s="2">
        <v>42058.0</v>
      </c>
      <c r="N1187" s="1" t="s">
        <v>356</v>
      </c>
      <c r="O1187" s="2">
        <v>42100.0</v>
      </c>
      <c r="P1187" s="1">
        <v>161087.0</v>
      </c>
      <c r="Q1187" s="1">
        <v>12174.0</v>
      </c>
      <c r="R1187" s="1">
        <v>5000.0</v>
      </c>
      <c r="S1187" s="1">
        <v>9723.0</v>
      </c>
      <c r="T1187" s="1" t="s">
        <v>2248</v>
      </c>
      <c r="U1187" s="1" t="s">
        <v>189</v>
      </c>
      <c r="V1187" s="1" t="s">
        <v>190</v>
      </c>
      <c r="W1187" s="1">
        <v>60628.0</v>
      </c>
      <c r="Y1187" s="1" t="s">
        <v>12821</v>
      </c>
      <c r="Z1187" s="1" t="s">
        <v>296</v>
      </c>
      <c r="AA1187" s="1" t="s">
        <v>192</v>
      </c>
      <c r="AB1187" s="1" t="s">
        <v>193</v>
      </c>
      <c r="AD1187" s="1" t="s">
        <v>194</v>
      </c>
      <c r="AE1187" s="1" t="s">
        <v>195</v>
      </c>
      <c r="AF1187" s="1" t="s">
        <v>659</v>
      </c>
      <c r="AH1187" s="1" t="s">
        <v>1501</v>
      </c>
      <c r="AK1187" s="1">
        <v>8.0</v>
      </c>
      <c r="AL1187" s="1">
        <v>3.0</v>
      </c>
      <c r="AM1187" s="1">
        <v>2.0</v>
      </c>
      <c r="AN1187" s="1">
        <v>0.0</v>
      </c>
      <c r="AO1187" s="1" t="s">
        <v>229</v>
      </c>
      <c r="AQ1187" s="1" t="s">
        <v>198</v>
      </c>
      <c r="AR1187" s="1" t="s">
        <v>192</v>
      </c>
      <c r="AS1187" s="1" t="s">
        <v>199</v>
      </c>
      <c r="AT1187" s="1">
        <v>2.0</v>
      </c>
      <c r="AV1187" s="1" t="s">
        <v>200</v>
      </c>
      <c r="AW1187" s="1">
        <v>1923.81</v>
      </c>
      <c r="AX1187" s="1">
        <v>2013.0</v>
      </c>
      <c r="AZ1187" s="1" t="s">
        <v>200</v>
      </c>
      <c r="BA1187" s="1" t="str">
        <f>"25092170080000"</f>
        <v>25092170080000</v>
      </c>
      <c r="BB1187" s="1" t="s">
        <v>200</v>
      </c>
      <c r="BC1187" s="1">
        <v>984.0</v>
      </c>
      <c r="BD1187" s="1">
        <v>165000.0</v>
      </c>
      <c r="BE1187" s="2">
        <v>42051.0</v>
      </c>
      <c r="BF1187" s="2" t="s">
        <v>12822</v>
      </c>
      <c r="BH1187" s="1">
        <v>0.0</v>
      </c>
      <c r="BK1187" s="1" t="s">
        <v>204</v>
      </c>
      <c r="BL1187" s="1" t="str">
        <f t="shared" ref="BL1187:BM1187" si="789">"0"</f>
        <v>0</v>
      </c>
      <c r="BM1187" s="1" t="str">
        <f t="shared" si="789"/>
        <v>0</v>
      </c>
      <c r="BN1187" s="1">
        <v>319.0</v>
      </c>
      <c r="BO1187" s="1">
        <v>9500.0</v>
      </c>
      <c r="BQ1187" s="1">
        <v>299.0</v>
      </c>
      <c r="BR1187" s="1">
        <v>299.0</v>
      </c>
      <c r="BS1187" s="1">
        <v>299.0</v>
      </c>
      <c r="BU1187" s="1" t="s">
        <v>1426</v>
      </c>
      <c r="BV1187" s="1" t="s">
        <v>206</v>
      </c>
      <c r="BW1187" s="1" t="s">
        <v>207</v>
      </c>
      <c r="BY1187" s="1" t="s">
        <v>332</v>
      </c>
      <c r="BZ1187" s="1" t="s">
        <v>206</v>
      </c>
      <c r="CA1187" s="1" t="s">
        <v>207</v>
      </c>
      <c r="CC1187" s="1" t="s">
        <v>542</v>
      </c>
      <c r="CD1187" s="1" t="s">
        <v>206</v>
      </c>
      <c r="CE1187" s="1" t="s">
        <v>207</v>
      </c>
      <c r="CG1187" s="1" t="s">
        <v>332</v>
      </c>
      <c r="CH1187" s="1" t="s">
        <v>206</v>
      </c>
      <c r="CI1187" s="1" t="s">
        <v>207</v>
      </c>
      <c r="CK1187" s="1" t="s">
        <v>495</v>
      </c>
      <c r="CL1187" s="1" t="s">
        <v>206</v>
      </c>
      <c r="CM1187" s="1" t="s">
        <v>207</v>
      </c>
      <c r="CO1187" s="1" t="s">
        <v>264</v>
      </c>
      <c r="CP1187" s="1" t="s">
        <v>42</v>
      </c>
      <c r="CQ1187" s="1" t="s">
        <v>268</v>
      </c>
      <c r="CS1187" s="1" t="s">
        <v>664</v>
      </c>
      <c r="CT1187" s="1" t="s">
        <v>206</v>
      </c>
      <c r="CU1187" s="1" t="s">
        <v>207</v>
      </c>
      <c r="CW1187" s="1" t="s">
        <v>12823</v>
      </c>
      <c r="CX1187" s="1" t="s">
        <v>42</v>
      </c>
      <c r="CY1187" s="1" t="s">
        <v>268</v>
      </c>
      <c r="DA1187" s="1" t="s">
        <v>200</v>
      </c>
      <c r="DC1187" s="1" t="s">
        <v>271</v>
      </c>
      <c r="DD1187" s="1" t="s">
        <v>518</v>
      </c>
      <c r="DE1187" s="1" t="s">
        <v>273</v>
      </c>
      <c r="DF1187" s="1" t="s">
        <v>219</v>
      </c>
      <c r="DG1187" s="1" t="s">
        <v>337</v>
      </c>
      <c r="DH1187" s="1" t="s">
        <v>365</v>
      </c>
      <c r="DI1187" s="1" t="s">
        <v>366</v>
      </c>
      <c r="DJ1187" s="1" t="s">
        <v>222</v>
      </c>
      <c r="DL1187" s="1" t="s">
        <v>224</v>
      </c>
      <c r="DM1187" s="1" t="s">
        <v>229</v>
      </c>
      <c r="DN1187" s="1" t="s">
        <v>12824</v>
      </c>
      <c r="DP1187" s="1" t="s">
        <v>400</v>
      </c>
      <c r="DQ1187" s="1" t="s">
        <v>228</v>
      </c>
      <c r="DR1187" s="1" t="s">
        <v>229</v>
      </c>
      <c r="DS1187" s="1" t="s">
        <v>230</v>
      </c>
      <c r="DV1187" s="1" t="s">
        <v>2971</v>
      </c>
      <c r="DW1187" s="1" t="s">
        <v>279</v>
      </c>
      <c r="DX1187" s="1" t="s">
        <v>234</v>
      </c>
      <c r="DY1187" s="1" t="s">
        <v>2730</v>
      </c>
      <c r="EA1187" s="1" t="s">
        <v>683</v>
      </c>
      <c r="EC1187" s="1" t="s">
        <v>685</v>
      </c>
      <c r="EE1187" s="1" t="s">
        <v>493</v>
      </c>
      <c r="EG1187" s="1" t="s">
        <v>2971</v>
      </c>
      <c r="EL1187" s="1" t="s">
        <v>263</v>
      </c>
      <c r="EM1187" s="1" t="s">
        <v>42</v>
      </c>
      <c r="EN1187" s="1" t="s">
        <v>268</v>
      </c>
      <c r="EQ1187" s="1" t="s">
        <v>238</v>
      </c>
      <c r="EU1187" s="1" t="s">
        <v>238</v>
      </c>
      <c r="EY1187" s="1" t="s">
        <v>238</v>
      </c>
      <c r="FC1187" s="1" t="s">
        <v>238</v>
      </c>
      <c r="FF1187" s="1" t="s">
        <v>229</v>
      </c>
      <c r="FG1187" s="1" t="s">
        <v>200</v>
      </c>
      <c r="FH1187" s="1" t="s">
        <v>200</v>
      </c>
      <c r="FJ1187" s="1" t="s">
        <v>4471</v>
      </c>
      <c r="FK1187" s="1" t="s">
        <v>229</v>
      </c>
      <c r="FL1187" s="1" t="s">
        <v>8326</v>
      </c>
      <c r="FM1187" s="1">
        <v>23391.0</v>
      </c>
      <c r="FN1187" s="1" t="s">
        <v>8327</v>
      </c>
      <c r="FO1187" s="1" t="s">
        <v>12825</v>
      </c>
      <c r="FP1187" s="1">
        <v>239395.0</v>
      </c>
      <c r="FS1187" s="1" t="s">
        <v>12826</v>
      </c>
      <c r="FU1187" s="1" t="s">
        <v>12827</v>
      </c>
      <c r="FV1187" s="1" t="s">
        <v>200</v>
      </c>
      <c r="FW1187" s="1" t="s">
        <v>290</v>
      </c>
      <c r="FX1187" s="1" t="s">
        <v>655</v>
      </c>
      <c r="FZ1187" s="1" t="s">
        <v>229</v>
      </c>
      <c r="GA1187" s="1" t="s">
        <v>291</v>
      </c>
      <c r="GB1187" s="2">
        <v>42101.0</v>
      </c>
    </row>
    <row r="1188">
      <c r="A1188" s="1">
        <v>59900.0</v>
      </c>
      <c r="B1188" s="1" t="s">
        <v>185</v>
      </c>
      <c r="C1188" s="1" t="str">
        <f>"08839358"</f>
        <v>08839358</v>
      </c>
      <c r="D1188" s="1" t="s">
        <v>186</v>
      </c>
      <c r="F1188" s="1" t="str">
        <f>"8058"</f>
        <v>8058</v>
      </c>
      <c r="G1188" s="2">
        <v>42051.0</v>
      </c>
      <c r="H1188" s="1">
        <v>59900.0</v>
      </c>
      <c r="I1188" s="1">
        <v>15.0</v>
      </c>
      <c r="J1188" s="1">
        <v>59900.0</v>
      </c>
      <c r="K1188" s="2">
        <v>42065.0</v>
      </c>
      <c r="L1188" s="1">
        <v>15.0</v>
      </c>
      <c r="M1188" s="2">
        <v>42065.0</v>
      </c>
      <c r="N1188" s="1" t="s">
        <v>249</v>
      </c>
      <c r="O1188" s="2">
        <v>42094.0</v>
      </c>
      <c r="P1188" s="1">
        <v>161998.0</v>
      </c>
      <c r="Q1188" s="1">
        <v>84818.0</v>
      </c>
      <c r="S1188" s="1">
        <v>2910.0</v>
      </c>
      <c r="T1188" s="1" t="s">
        <v>12828</v>
      </c>
      <c r="U1188" s="1" t="s">
        <v>694</v>
      </c>
      <c r="V1188" s="1" t="s">
        <v>190</v>
      </c>
      <c r="W1188" s="1">
        <v>60632.0</v>
      </c>
      <c r="Y1188" s="1" t="s">
        <v>12829</v>
      </c>
      <c r="Z1188" s="1">
        <v>1897.0</v>
      </c>
      <c r="AA1188" s="1" t="s">
        <v>192</v>
      </c>
      <c r="AB1188" s="1" t="s">
        <v>193</v>
      </c>
      <c r="AD1188" s="1" t="s">
        <v>194</v>
      </c>
      <c r="AE1188" s="1" t="s">
        <v>195</v>
      </c>
      <c r="AF1188" s="1" t="s">
        <v>659</v>
      </c>
      <c r="AH1188" s="1" t="s">
        <v>359</v>
      </c>
      <c r="AK1188" s="1">
        <v>6.0</v>
      </c>
      <c r="AL1188" s="1">
        <v>4.0</v>
      </c>
      <c r="AM1188" s="1">
        <v>2.0</v>
      </c>
      <c r="AN1188" s="1">
        <v>0.0</v>
      </c>
      <c r="AO1188" s="1" t="s">
        <v>229</v>
      </c>
      <c r="AQ1188" s="1" t="s">
        <v>198</v>
      </c>
      <c r="AR1188" s="1" t="s">
        <v>200</v>
      </c>
      <c r="AS1188" s="1" t="s">
        <v>199</v>
      </c>
      <c r="AT1188" s="1">
        <v>2.0</v>
      </c>
      <c r="AV1188" s="1" t="s">
        <v>200</v>
      </c>
      <c r="AW1188" s="1">
        <v>1976.0</v>
      </c>
      <c r="AX1188" s="1">
        <v>2012.0</v>
      </c>
      <c r="AZ1188" s="1" t="s">
        <v>200</v>
      </c>
      <c r="BA1188" s="1" t="str">
        <f>"19011020400000"</f>
        <v>19011020400000</v>
      </c>
      <c r="BC1188" s="1">
        <v>1272.0</v>
      </c>
      <c r="BD1188" s="1">
        <v>59900.0</v>
      </c>
      <c r="BE1188" s="2">
        <v>42051.0</v>
      </c>
      <c r="BF1188" s="1" t="s">
        <v>9952</v>
      </c>
      <c r="BH1188" s="1">
        <v>0.0</v>
      </c>
      <c r="BK1188" s="1" t="s">
        <v>204</v>
      </c>
      <c r="BL1188" s="1" t="str">
        <f t="shared" ref="BL1188:BM1188" si="790">"0"</f>
        <v>0</v>
      </c>
      <c r="BM1188" s="1" t="str">
        <f t="shared" si="790"/>
        <v>0</v>
      </c>
      <c r="BN1188" s="1">
        <v>2800.0</v>
      </c>
      <c r="BO1188" s="1">
        <v>3900.0</v>
      </c>
      <c r="BQ1188" s="1">
        <v>299.0</v>
      </c>
      <c r="BR1188" s="1">
        <v>299.0</v>
      </c>
      <c r="BS1188" s="1">
        <v>299.0</v>
      </c>
      <c r="BU1188" s="1" t="s">
        <v>12830</v>
      </c>
      <c r="BV1188" s="1" t="s">
        <v>206</v>
      </c>
      <c r="BY1188" s="1" t="s">
        <v>584</v>
      </c>
      <c r="BZ1188" s="1" t="s">
        <v>206</v>
      </c>
      <c r="CD1188" s="1" t="s">
        <v>204</v>
      </c>
      <c r="CG1188" s="1" t="s">
        <v>1329</v>
      </c>
      <c r="CH1188" s="1" t="s">
        <v>209</v>
      </c>
      <c r="CK1188" s="1" t="s">
        <v>663</v>
      </c>
      <c r="CL1188" s="1" t="s">
        <v>209</v>
      </c>
      <c r="CO1188" s="1" t="s">
        <v>1351</v>
      </c>
      <c r="CP1188" s="1" t="s">
        <v>209</v>
      </c>
      <c r="CS1188" s="1" t="s">
        <v>663</v>
      </c>
      <c r="CT1188" s="1" t="s">
        <v>206</v>
      </c>
      <c r="CX1188" s="1" t="s">
        <v>204</v>
      </c>
      <c r="DA1188" s="1" t="s">
        <v>200</v>
      </c>
      <c r="DC1188" s="1" t="s">
        <v>642</v>
      </c>
      <c r="DE1188" s="1" t="s">
        <v>229</v>
      </c>
      <c r="DF1188" s="1" t="s">
        <v>905</v>
      </c>
      <c r="DH1188" s="1" t="s">
        <v>220</v>
      </c>
      <c r="DJ1188" s="1" t="s">
        <v>222</v>
      </c>
      <c r="DL1188" s="1" t="s">
        <v>223</v>
      </c>
      <c r="DM1188" s="1" t="s">
        <v>229</v>
      </c>
      <c r="DQ1188" s="1" t="s">
        <v>718</v>
      </c>
      <c r="DR1188" s="1" t="s">
        <v>229</v>
      </c>
      <c r="DV1188" s="1" t="s">
        <v>232</v>
      </c>
      <c r="DW1188" s="1" t="s">
        <v>9213</v>
      </c>
      <c r="DX1188" s="1" t="s">
        <v>234</v>
      </c>
      <c r="EC1188" s="1" t="s">
        <v>645</v>
      </c>
      <c r="EM1188" s="1" t="s">
        <v>238</v>
      </c>
      <c r="EQ1188" s="1" t="s">
        <v>238</v>
      </c>
      <c r="EU1188" s="1" t="s">
        <v>238</v>
      </c>
      <c r="EY1188" s="1" t="s">
        <v>238</v>
      </c>
      <c r="FC1188" s="1" t="s">
        <v>238</v>
      </c>
      <c r="FF1188" s="1" t="s">
        <v>239</v>
      </c>
      <c r="FG1188" s="1" t="s">
        <v>192</v>
      </c>
      <c r="FH1188" s="1" t="s">
        <v>192</v>
      </c>
      <c r="FJ1188" s="1" t="s">
        <v>1493</v>
      </c>
      <c r="FK1188" s="1" t="s">
        <v>229</v>
      </c>
      <c r="FL1188" s="1" t="s">
        <v>3358</v>
      </c>
      <c r="FM1188" s="1">
        <v>84818.0</v>
      </c>
      <c r="FN1188" s="1" t="s">
        <v>3359</v>
      </c>
      <c r="FO1188" s="1" t="s">
        <v>3515</v>
      </c>
      <c r="FP1188" s="1">
        <v>110478.0</v>
      </c>
      <c r="FQ1188" s="1" t="s">
        <v>3359</v>
      </c>
      <c r="FU1188" s="1" t="s">
        <v>9953</v>
      </c>
      <c r="FV1188" s="1" t="s">
        <v>200</v>
      </c>
      <c r="FW1188" s="1" t="s">
        <v>9954</v>
      </c>
      <c r="FX1188" s="1" t="s">
        <v>246</v>
      </c>
      <c r="FZ1188" s="1" t="s">
        <v>229</v>
      </c>
      <c r="GA1188" s="1" t="s">
        <v>291</v>
      </c>
      <c r="GB1188" s="2">
        <v>42094.0</v>
      </c>
      <c r="GC1188" s="1" t="s">
        <v>12831</v>
      </c>
    </row>
    <row r="1189">
      <c r="A1189" s="1">
        <v>495000.0</v>
      </c>
      <c r="B1189" s="1" t="s">
        <v>185</v>
      </c>
      <c r="C1189" s="1" t="str">
        <f>"08838522"</f>
        <v>08838522</v>
      </c>
      <c r="D1189" s="1" t="s">
        <v>186</v>
      </c>
      <c r="F1189" s="1" t="str">
        <f>"10"</f>
        <v>10</v>
      </c>
      <c r="G1189" s="2">
        <v>42048.0</v>
      </c>
      <c r="H1189" s="1">
        <v>549000.0</v>
      </c>
      <c r="I1189" s="1">
        <v>395.0</v>
      </c>
      <c r="J1189" s="1">
        <v>549000.0</v>
      </c>
      <c r="K1189" s="2">
        <v>42073.0</v>
      </c>
      <c r="L1189" s="1">
        <v>26.0</v>
      </c>
      <c r="M1189" s="2">
        <v>42073.0</v>
      </c>
      <c r="N1189" s="1" t="s">
        <v>249</v>
      </c>
      <c r="O1189" s="2">
        <v>42096.0</v>
      </c>
      <c r="P1189" s="1">
        <v>19072.0</v>
      </c>
      <c r="Q1189" s="1">
        <v>8390.0</v>
      </c>
      <c r="S1189" s="1">
        <v>13.0</v>
      </c>
      <c r="T1189" s="1" t="s">
        <v>12832</v>
      </c>
      <c r="U1189" s="1" t="s">
        <v>464</v>
      </c>
      <c r="V1189" s="1" t="s">
        <v>5237</v>
      </c>
      <c r="W1189" s="1">
        <v>60010.0</v>
      </c>
      <c r="Y1189" s="1" t="s">
        <v>12833</v>
      </c>
      <c r="Z1189" s="1">
        <v>1971.0</v>
      </c>
      <c r="AA1189" s="1" t="s">
        <v>192</v>
      </c>
      <c r="AB1189" s="1" t="s">
        <v>467</v>
      </c>
      <c r="AC1189" s="1" t="s">
        <v>12834</v>
      </c>
      <c r="AD1189" s="1" t="s">
        <v>5239</v>
      </c>
      <c r="AE1189" s="1" t="s">
        <v>195</v>
      </c>
      <c r="AF1189" s="1" t="s">
        <v>1948</v>
      </c>
      <c r="AG1189" s="1" t="s">
        <v>752</v>
      </c>
      <c r="AH1189" s="1" t="s">
        <v>12835</v>
      </c>
      <c r="AI1189" s="1">
        <v>1.0</v>
      </c>
      <c r="AK1189" s="1">
        <v>11.0</v>
      </c>
      <c r="AL1189" s="1">
        <v>4.0</v>
      </c>
      <c r="AM1189" s="1">
        <v>2.0</v>
      </c>
      <c r="AN1189" s="1">
        <v>2.0</v>
      </c>
      <c r="AO1189" s="1" t="s">
        <v>198</v>
      </c>
      <c r="AP1189" s="1">
        <v>1.0</v>
      </c>
      <c r="AQ1189" s="1" t="s">
        <v>1314</v>
      </c>
      <c r="AR1189" s="1" t="s">
        <v>192</v>
      </c>
      <c r="AS1189" s="1" t="s">
        <v>199</v>
      </c>
      <c r="AT1189" s="1">
        <v>2.0</v>
      </c>
      <c r="AV1189" s="1" t="s">
        <v>200</v>
      </c>
      <c r="AW1189" s="1">
        <v>10246.0</v>
      </c>
      <c r="AX1189" s="1">
        <v>2013.0</v>
      </c>
      <c r="AY1189" s="1" t="s">
        <v>387</v>
      </c>
      <c r="AZ1189" s="1" t="s">
        <v>200</v>
      </c>
      <c r="BA1189" s="1" t="str">
        <f>"01272000170000"</f>
        <v>01272000170000</v>
      </c>
      <c r="BB1189" s="1" t="s">
        <v>200</v>
      </c>
      <c r="BC1189" s="1">
        <v>2655.0</v>
      </c>
      <c r="BD1189" s="1">
        <v>495000.0</v>
      </c>
      <c r="BE1189" s="2">
        <v>42048.0</v>
      </c>
      <c r="BF1189" s="2" t="s">
        <v>12836</v>
      </c>
      <c r="BG1189" s="1" t="s">
        <v>5242</v>
      </c>
      <c r="BH1189" s="1">
        <v>450.0</v>
      </c>
      <c r="BI1189" s="1" t="s">
        <v>5243</v>
      </c>
      <c r="BJ1189" s="1" t="s">
        <v>1714</v>
      </c>
      <c r="BK1189" s="1" t="s">
        <v>580</v>
      </c>
      <c r="BL1189" s="1" t="str">
        <f>"14"</f>
        <v>14</v>
      </c>
      <c r="BM1189" s="1" t="str">
        <f>"0"</f>
        <v>0</v>
      </c>
      <c r="BN1189" s="1">
        <v>27.0</v>
      </c>
      <c r="BO1189" s="1">
        <v>0.0</v>
      </c>
      <c r="BQ1189" s="1">
        <v>220.0</v>
      </c>
      <c r="BR1189" s="1">
        <v>220.0</v>
      </c>
      <c r="BS1189" s="1">
        <v>220.0</v>
      </c>
      <c r="BU1189" s="1" t="s">
        <v>2749</v>
      </c>
      <c r="BV1189" s="1" t="s">
        <v>206</v>
      </c>
      <c r="BW1189" s="1" t="s">
        <v>207</v>
      </c>
      <c r="BX1189" s="1" t="s">
        <v>229</v>
      </c>
      <c r="BY1189" s="1" t="s">
        <v>1426</v>
      </c>
      <c r="BZ1189" s="1" t="s">
        <v>206</v>
      </c>
      <c r="CA1189" s="1" t="s">
        <v>207</v>
      </c>
      <c r="CC1189" s="1" t="s">
        <v>215</v>
      </c>
      <c r="CD1189" s="1" t="s">
        <v>206</v>
      </c>
      <c r="CE1189" s="1" t="s">
        <v>207</v>
      </c>
      <c r="CF1189" s="1" t="s">
        <v>229</v>
      </c>
      <c r="CG1189" s="1" t="s">
        <v>329</v>
      </c>
      <c r="CH1189" s="1" t="s">
        <v>206</v>
      </c>
      <c r="CI1189" s="1" t="s">
        <v>207</v>
      </c>
      <c r="CK1189" s="1" t="s">
        <v>392</v>
      </c>
      <c r="CL1189" s="1" t="s">
        <v>206</v>
      </c>
      <c r="CM1189" s="1" t="s">
        <v>207</v>
      </c>
      <c r="CO1189" s="1" t="s">
        <v>392</v>
      </c>
      <c r="CP1189" s="1" t="s">
        <v>206</v>
      </c>
      <c r="CQ1189" s="1" t="s">
        <v>207</v>
      </c>
      <c r="CS1189" s="1" t="s">
        <v>1939</v>
      </c>
      <c r="CT1189" s="1" t="s">
        <v>206</v>
      </c>
      <c r="CU1189" s="1" t="s">
        <v>207</v>
      </c>
      <c r="CV1189" s="1" t="s">
        <v>229</v>
      </c>
      <c r="CW1189" s="1" t="s">
        <v>453</v>
      </c>
      <c r="CX1189" s="1" t="s">
        <v>206</v>
      </c>
      <c r="CY1189" s="1" t="s">
        <v>207</v>
      </c>
      <c r="CZ1189" s="1" t="s">
        <v>229</v>
      </c>
      <c r="DA1189" s="1" t="s">
        <v>200</v>
      </c>
      <c r="DC1189" s="1" t="s">
        <v>517</v>
      </c>
      <c r="DD1189" s="1" t="s">
        <v>336</v>
      </c>
      <c r="DE1189" s="1" t="s">
        <v>273</v>
      </c>
      <c r="DF1189" s="1" t="s">
        <v>219</v>
      </c>
      <c r="DG1189" s="1" t="s">
        <v>9184</v>
      </c>
      <c r="DH1189" s="1" t="s">
        <v>856</v>
      </c>
      <c r="DI1189" s="1" t="s">
        <v>221</v>
      </c>
      <c r="DJ1189" s="1" t="s">
        <v>857</v>
      </c>
      <c r="DK1189" s="1" t="s">
        <v>223</v>
      </c>
      <c r="DL1189" s="1" t="s">
        <v>1267</v>
      </c>
      <c r="DM1189" s="1" t="s">
        <v>229</v>
      </c>
      <c r="DN1189" s="1" t="s">
        <v>548</v>
      </c>
      <c r="DO1189" s="1" t="s">
        <v>5000</v>
      </c>
      <c r="DP1189" s="1" t="s">
        <v>340</v>
      </c>
      <c r="DQ1189" s="1" t="s">
        <v>931</v>
      </c>
      <c r="DR1189" s="1" t="s">
        <v>1724</v>
      </c>
      <c r="DS1189" s="1" t="s">
        <v>368</v>
      </c>
      <c r="DU1189" s="1" t="s">
        <v>12837</v>
      </c>
      <c r="DV1189" s="1" t="s">
        <v>12838</v>
      </c>
      <c r="DW1189" s="1" t="s">
        <v>279</v>
      </c>
      <c r="DX1189" s="1" t="s">
        <v>234</v>
      </c>
      <c r="DY1189" s="1" t="s">
        <v>12839</v>
      </c>
      <c r="DZ1189" s="1" t="s">
        <v>446</v>
      </c>
      <c r="EA1189" s="1" t="s">
        <v>683</v>
      </c>
      <c r="EB1189" s="1" t="s">
        <v>345</v>
      </c>
      <c r="EC1189" s="1" t="s">
        <v>685</v>
      </c>
      <c r="ED1189" s="1" t="s">
        <v>407</v>
      </c>
      <c r="EG1189" s="1" t="s">
        <v>449</v>
      </c>
      <c r="EI1189" s="1" t="s">
        <v>408</v>
      </c>
      <c r="EJ1189" s="1" t="s">
        <v>450</v>
      </c>
      <c r="EK1189" s="1" t="s">
        <v>451</v>
      </c>
      <c r="EL1189" s="1" t="s">
        <v>640</v>
      </c>
      <c r="EM1189" s="1" t="s">
        <v>206</v>
      </c>
      <c r="EN1189" s="1" t="s">
        <v>207</v>
      </c>
      <c r="EO1189" s="1" t="s">
        <v>229</v>
      </c>
      <c r="EQ1189" s="1" t="s">
        <v>238</v>
      </c>
      <c r="ET1189" s="1" t="s">
        <v>1229</v>
      </c>
      <c r="EU1189" s="1" t="s">
        <v>206</v>
      </c>
      <c r="EV1189" s="1" t="s">
        <v>207</v>
      </c>
      <c r="EW1189" s="1" t="s">
        <v>229</v>
      </c>
      <c r="EX1189" s="1" t="s">
        <v>11497</v>
      </c>
      <c r="EY1189" s="1" t="s">
        <v>267</v>
      </c>
      <c r="EZ1189" s="1" t="s">
        <v>268</v>
      </c>
      <c r="FA1189" s="1" t="s">
        <v>229</v>
      </c>
      <c r="FB1189" s="1" t="s">
        <v>11497</v>
      </c>
      <c r="FC1189" s="1" t="s">
        <v>267</v>
      </c>
      <c r="FD1189" s="1" t="s">
        <v>268</v>
      </c>
      <c r="FF1189" s="1" t="s">
        <v>239</v>
      </c>
      <c r="FG1189" s="1" t="s">
        <v>192</v>
      </c>
      <c r="FH1189" s="1" t="s">
        <v>192</v>
      </c>
      <c r="FJ1189" s="1" t="s">
        <v>9630</v>
      </c>
      <c r="FK1189" s="1" t="s">
        <v>348</v>
      </c>
      <c r="FL1189" s="1" t="s">
        <v>1358</v>
      </c>
      <c r="FM1189" s="1">
        <v>6022.0</v>
      </c>
      <c r="FN1189" s="1" t="s">
        <v>11515</v>
      </c>
      <c r="FO1189" s="1" t="s">
        <v>12840</v>
      </c>
      <c r="FP1189" s="1">
        <v>60335.0</v>
      </c>
      <c r="FQ1189" s="1" t="s">
        <v>12841</v>
      </c>
      <c r="FU1189" s="1" t="s">
        <v>12842</v>
      </c>
      <c r="FV1189" s="1" t="s">
        <v>200</v>
      </c>
      <c r="FW1189" s="1" t="s">
        <v>290</v>
      </c>
      <c r="FZ1189" s="1" t="s">
        <v>229</v>
      </c>
      <c r="GA1189" s="1" t="s">
        <v>291</v>
      </c>
      <c r="GB1189" s="2">
        <v>42096.0</v>
      </c>
      <c r="GC1189" s="1" t="s">
        <v>12843</v>
      </c>
    </row>
    <row r="1190">
      <c r="A1190" s="1">
        <v>290200.0</v>
      </c>
      <c r="B1190" s="1" t="s">
        <v>185</v>
      </c>
      <c r="C1190" s="1" t="str">
        <f>"08839228"</f>
        <v>08839228</v>
      </c>
      <c r="D1190" s="1" t="s">
        <v>186</v>
      </c>
      <c r="F1190" s="1" t="str">
        <f>"177"</f>
        <v>177</v>
      </c>
      <c r="G1190" s="2">
        <v>42051.0</v>
      </c>
      <c r="H1190" s="1">
        <v>299900.0</v>
      </c>
      <c r="I1190" s="1">
        <v>24.0</v>
      </c>
      <c r="J1190" s="1">
        <v>299900.0</v>
      </c>
      <c r="K1190" s="2">
        <v>42072.0</v>
      </c>
      <c r="L1190" s="1">
        <v>24.0</v>
      </c>
      <c r="M1190" s="2">
        <v>42072.0</v>
      </c>
      <c r="N1190" s="1" t="s">
        <v>187</v>
      </c>
      <c r="O1190" s="2">
        <v>42132.0</v>
      </c>
      <c r="P1190" s="1">
        <v>8763.0</v>
      </c>
      <c r="Q1190" s="1">
        <v>37.0</v>
      </c>
      <c r="S1190" s="1">
        <v>23.0</v>
      </c>
      <c r="T1190" s="1" t="s">
        <v>12844</v>
      </c>
      <c r="U1190" s="1" t="s">
        <v>420</v>
      </c>
      <c r="V1190" s="1" t="s">
        <v>2249</v>
      </c>
      <c r="W1190" s="1">
        <v>60177.0</v>
      </c>
      <c r="Y1190" s="1" t="s">
        <v>12845</v>
      </c>
      <c r="Z1190" s="1">
        <v>1994.0</v>
      </c>
      <c r="AA1190" s="1" t="s">
        <v>200</v>
      </c>
      <c r="AB1190" s="1" t="s">
        <v>193</v>
      </c>
      <c r="AD1190" s="1" t="s">
        <v>2252</v>
      </c>
      <c r="AE1190" s="1" t="s">
        <v>325</v>
      </c>
      <c r="AF1190" s="1" t="s">
        <v>1203</v>
      </c>
      <c r="AH1190" s="1" t="s">
        <v>12846</v>
      </c>
      <c r="AK1190" s="1">
        <v>13.0</v>
      </c>
      <c r="AL1190" s="1">
        <v>4.0</v>
      </c>
      <c r="AM1190" s="1">
        <v>2.0</v>
      </c>
      <c r="AN1190" s="1">
        <v>1.0</v>
      </c>
      <c r="AO1190" s="1" t="s">
        <v>198</v>
      </c>
      <c r="AQ1190" s="1" t="s">
        <v>198</v>
      </c>
      <c r="AR1190" s="1" t="s">
        <v>200</v>
      </c>
      <c r="AS1190" s="1" t="s">
        <v>199</v>
      </c>
      <c r="AT1190" s="1">
        <v>2.0</v>
      </c>
      <c r="AV1190" s="1" t="s">
        <v>200</v>
      </c>
      <c r="AW1190" s="1">
        <v>6857.0</v>
      </c>
      <c r="AX1190" s="1">
        <v>2013.0</v>
      </c>
      <c r="AZ1190" s="1" t="s">
        <v>200</v>
      </c>
      <c r="BA1190" s="1" t="str">
        <f>"0903201026"</f>
        <v>0903201026</v>
      </c>
      <c r="BC1190" s="1">
        <v>2508.0</v>
      </c>
      <c r="BD1190" s="1">
        <v>290200.0</v>
      </c>
      <c r="BE1190" s="2">
        <v>42049.0</v>
      </c>
      <c r="BF1190" s="2" t="s">
        <v>12847</v>
      </c>
      <c r="BH1190" s="1">
        <v>0.0</v>
      </c>
      <c r="BK1190" s="1" t="s">
        <v>204</v>
      </c>
      <c r="BL1190" s="1" t="str">
        <f t="shared" ref="BL1190:BM1190" si="791">""</f>
        <v/>
      </c>
      <c r="BM1190" s="1" t="str">
        <f t="shared" si="791"/>
        <v/>
      </c>
      <c r="BQ1190" s="1">
        <v>303.0</v>
      </c>
      <c r="BR1190" s="1">
        <v>303.0</v>
      </c>
      <c r="BS1190" s="1">
        <v>303.0</v>
      </c>
      <c r="BU1190" s="1" t="s">
        <v>329</v>
      </c>
      <c r="BV1190" s="1" t="s">
        <v>206</v>
      </c>
      <c r="BW1190" s="1" t="s">
        <v>207</v>
      </c>
      <c r="BY1190" s="1" t="s">
        <v>214</v>
      </c>
      <c r="BZ1190" s="1" t="s">
        <v>209</v>
      </c>
      <c r="CA1190" s="1" t="s">
        <v>301</v>
      </c>
      <c r="CC1190" s="1" t="s">
        <v>699</v>
      </c>
      <c r="CD1190" s="1" t="s">
        <v>206</v>
      </c>
      <c r="CE1190" s="1" t="s">
        <v>207</v>
      </c>
      <c r="CG1190" s="1" t="s">
        <v>332</v>
      </c>
      <c r="CH1190" s="1" t="s">
        <v>209</v>
      </c>
      <c r="CI1190" s="1" t="s">
        <v>210</v>
      </c>
      <c r="CK1190" s="1" t="s">
        <v>264</v>
      </c>
      <c r="CL1190" s="1" t="s">
        <v>209</v>
      </c>
      <c r="CM1190" s="1" t="s">
        <v>210</v>
      </c>
      <c r="CO1190" s="1" t="s">
        <v>495</v>
      </c>
      <c r="CP1190" s="1" t="s">
        <v>209</v>
      </c>
      <c r="CQ1190" s="1" t="s">
        <v>210</v>
      </c>
      <c r="CS1190" s="1" t="s">
        <v>390</v>
      </c>
      <c r="CT1190" s="1" t="s">
        <v>206</v>
      </c>
      <c r="CU1190" s="1" t="s">
        <v>268</v>
      </c>
      <c r="CW1190" s="1" t="s">
        <v>784</v>
      </c>
      <c r="CX1190" s="1" t="s">
        <v>206</v>
      </c>
      <c r="CY1190" s="1" t="s">
        <v>207</v>
      </c>
      <c r="DA1190" s="1" t="s">
        <v>200</v>
      </c>
      <c r="DC1190" s="1" t="s">
        <v>435</v>
      </c>
      <c r="DD1190" s="1" t="s">
        <v>336</v>
      </c>
      <c r="DE1190" s="1" t="s">
        <v>273</v>
      </c>
      <c r="DF1190" s="1" t="s">
        <v>219</v>
      </c>
      <c r="DH1190" s="1" t="s">
        <v>220</v>
      </c>
      <c r="DI1190" s="1" t="s">
        <v>308</v>
      </c>
      <c r="DJ1190" s="1" t="s">
        <v>222</v>
      </c>
      <c r="DL1190" s="1" t="s">
        <v>224</v>
      </c>
      <c r="DM1190" s="1" t="s">
        <v>338</v>
      </c>
      <c r="DO1190" s="1" t="s">
        <v>590</v>
      </c>
      <c r="DP1190" s="1" t="s">
        <v>276</v>
      </c>
      <c r="DQ1190" s="1" t="s">
        <v>228</v>
      </c>
      <c r="DR1190" s="1" t="s">
        <v>229</v>
      </c>
      <c r="DV1190" s="1" t="s">
        <v>12848</v>
      </c>
      <c r="DW1190" s="1" t="s">
        <v>370</v>
      </c>
      <c r="DX1190" s="1" t="s">
        <v>1287</v>
      </c>
      <c r="EC1190" s="1" t="s">
        <v>237</v>
      </c>
      <c r="EG1190" s="1" t="s">
        <v>494</v>
      </c>
      <c r="EH1190" s="1" t="s">
        <v>557</v>
      </c>
      <c r="EI1190" s="1" t="s">
        <v>450</v>
      </c>
      <c r="EJ1190" s="1" t="s">
        <v>451</v>
      </c>
      <c r="EK1190" s="1" t="s">
        <v>588</v>
      </c>
      <c r="EL1190" s="1" t="s">
        <v>495</v>
      </c>
      <c r="EM1190" s="1" t="s">
        <v>206</v>
      </c>
      <c r="EN1190" s="1" t="s">
        <v>207</v>
      </c>
      <c r="EP1190" s="1" t="s">
        <v>262</v>
      </c>
      <c r="EQ1190" s="1" t="s">
        <v>267</v>
      </c>
      <c r="ER1190" s="1" t="s">
        <v>268</v>
      </c>
      <c r="ET1190" s="1" t="s">
        <v>1892</v>
      </c>
      <c r="EU1190" s="1" t="s">
        <v>267</v>
      </c>
      <c r="EV1190" s="1" t="s">
        <v>268</v>
      </c>
      <c r="EX1190" s="1" t="s">
        <v>743</v>
      </c>
      <c r="EY1190" s="1" t="s">
        <v>267</v>
      </c>
      <c r="EZ1190" s="1" t="s">
        <v>268</v>
      </c>
      <c r="FB1190" s="1" t="s">
        <v>2219</v>
      </c>
      <c r="FC1190" s="1" t="s">
        <v>267</v>
      </c>
      <c r="FD1190" s="1" t="s">
        <v>268</v>
      </c>
      <c r="FF1190" s="1" t="s">
        <v>239</v>
      </c>
      <c r="FG1190" s="1" t="s">
        <v>192</v>
      </c>
      <c r="FH1190" s="1" t="s">
        <v>192</v>
      </c>
      <c r="FJ1190" s="1" t="s">
        <v>1419</v>
      </c>
      <c r="FK1190" s="1" t="s">
        <v>229</v>
      </c>
      <c r="FL1190" s="1" t="s">
        <v>12849</v>
      </c>
      <c r="FM1190" s="1">
        <v>24002.0</v>
      </c>
      <c r="FN1190" s="1" t="s">
        <v>12850</v>
      </c>
      <c r="FO1190" s="1" t="s">
        <v>12851</v>
      </c>
      <c r="FP1190" s="1">
        <v>212209.0</v>
      </c>
      <c r="FQ1190" s="1" t="s">
        <v>12850</v>
      </c>
      <c r="FU1190" s="1" t="s">
        <v>12852</v>
      </c>
      <c r="FV1190" s="1" t="s">
        <v>200</v>
      </c>
      <c r="FW1190" s="1" t="s">
        <v>2754</v>
      </c>
      <c r="FZ1190" s="1" t="s">
        <v>229</v>
      </c>
      <c r="GA1190" s="1" t="s">
        <v>291</v>
      </c>
      <c r="GB1190" s="2">
        <v>42132.0</v>
      </c>
      <c r="GC1190" s="1" t="s">
        <v>12853</v>
      </c>
    </row>
    <row r="1191">
      <c r="A1191" s="1">
        <v>47100.0</v>
      </c>
      <c r="B1191" s="1" t="s">
        <v>185</v>
      </c>
      <c r="C1191" s="1" t="str">
        <f>"08838649"</f>
        <v>08838649</v>
      </c>
      <c r="D1191" s="1" t="s">
        <v>186</v>
      </c>
      <c r="F1191" s="1" t="str">
        <f>"8071"</f>
        <v>8071</v>
      </c>
      <c r="G1191" s="2">
        <v>42048.0</v>
      </c>
      <c r="H1191" s="1">
        <v>44900.0</v>
      </c>
      <c r="I1191" s="1">
        <v>30.0</v>
      </c>
      <c r="J1191" s="1">
        <v>44900.0</v>
      </c>
      <c r="K1191" s="2">
        <v>42077.0</v>
      </c>
      <c r="L1191" s="1">
        <v>30.0</v>
      </c>
      <c r="M1191" s="2">
        <v>42077.0</v>
      </c>
      <c r="N1191" s="1" t="s">
        <v>249</v>
      </c>
      <c r="O1191" s="2">
        <v>42104.0</v>
      </c>
      <c r="P1191" s="1">
        <v>602837.0</v>
      </c>
      <c r="Q1191" s="1">
        <v>60296.0</v>
      </c>
      <c r="S1191" s="1">
        <v>7646.0</v>
      </c>
      <c r="T1191" s="1" t="s">
        <v>3225</v>
      </c>
      <c r="U1191" s="1" t="s">
        <v>189</v>
      </c>
      <c r="V1191" s="1" t="s">
        <v>190</v>
      </c>
      <c r="W1191" s="1">
        <v>60620.0</v>
      </c>
      <c r="Y1191" s="1" t="s">
        <v>12854</v>
      </c>
      <c r="Z1191" s="1">
        <v>1922.0</v>
      </c>
      <c r="AA1191" s="1" t="s">
        <v>192</v>
      </c>
      <c r="AB1191" s="1" t="s">
        <v>193</v>
      </c>
      <c r="AD1191" s="1" t="s">
        <v>194</v>
      </c>
      <c r="AE1191" s="1" t="s">
        <v>195</v>
      </c>
      <c r="AF1191" s="1" t="s">
        <v>659</v>
      </c>
      <c r="AH1191" s="1" t="s">
        <v>12855</v>
      </c>
      <c r="AI1191" s="1">
        <v>0.0861</v>
      </c>
      <c r="AK1191" s="1">
        <v>8.0</v>
      </c>
      <c r="AL1191" s="1">
        <v>4.0</v>
      </c>
      <c r="AM1191" s="1">
        <v>1.0</v>
      </c>
      <c r="AN1191" s="1">
        <v>1.0</v>
      </c>
      <c r="AO1191" s="1" t="s">
        <v>229</v>
      </c>
      <c r="AQ1191" s="1" t="s">
        <v>198</v>
      </c>
      <c r="AR1191" s="1" t="s">
        <v>192</v>
      </c>
      <c r="AS1191" s="1" t="s">
        <v>828</v>
      </c>
      <c r="AU1191" s="1">
        <v>2.0</v>
      </c>
      <c r="AV1191" s="1" t="s">
        <v>200</v>
      </c>
      <c r="AW1191" s="1">
        <v>1779.75</v>
      </c>
      <c r="AX1191" s="1">
        <v>2012.0</v>
      </c>
      <c r="AZ1191" s="1" t="s">
        <v>545</v>
      </c>
      <c r="BA1191" s="1" t="str">
        <f>"20304160360000"</f>
        <v>20304160360000</v>
      </c>
      <c r="BC1191" s="1">
        <v>1185.0</v>
      </c>
      <c r="BD1191" s="1">
        <v>47100.0</v>
      </c>
      <c r="BE1191" s="2">
        <v>42048.0</v>
      </c>
      <c r="BF1191" s="1" t="s">
        <v>12856</v>
      </c>
      <c r="BH1191" s="1">
        <v>0.0</v>
      </c>
      <c r="BK1191" s="1" t="s">
        <v>204</v>
      </c>
      <c r="BL1191" s="1" t="str">
        <f t="shared" ref="BL1191:BM1191" si="792">"0"</f>
        <v>0</v>
      </c>
      <c r="BM1191" s="1" t="str">
        <f t="shared" si="792"/>
        <v>0</v>
      </c>
      <c r="BN1191" s="1">
        <v>1732.0</v>
      </c>
      <c r="BO1191" s="1">
        <v>7646.0</v>
      </c>
      <c r="BQ1191" s="1">
        <v>299.0</v>
      </c>
      <c r="BR1191" s="1">
        <v>299.0</v>
      </c>
      <c r="BS1191" s="1">
        <v>299.0</v>
      </c>
      <c r="BU1191" s="1" t="s">
        <v>3888</v>
      </c>
      <c r="BV1191" s="1" t="s">
        <v>206</v>
      </c>
      <c r="BY1191" s="1" t="s">
        <v>211</v>
      </c>
      <c r="BZ1191" s="1" t="s">
        <v>209</v>
      </c>
      <c r="CC1191" s="1" t="s">
        <v>1068</v>
      </c>
      <c r="CD1191" s="1" t="s">
        <v>206</v>
      </c>
      <c r="CG1191" s="1" t="s">
        <v>211</v>
      </c>
      <c r="CH1191" s="1" t="s">
        <v>209</v>
      </c>
      <c r="CK1191" s="1" t="s">
        <v>1316</v>
      </c>
      <c r="CL1191" s="1" t="s">
        <v>206</v>
      </c>
      <c r="CO1191" s="1" t="s">
        <v>1760</v>
      </c>
      <c r="CP1191" s="1" t="s">
        <v>206</v>
      </c>
      <c r="CS1191" s="1" t="s">
        <v>332</v>
      </c>
      <c r="CT1191" s="1" t="s">
        <v>206</v>
      </c>
      <c r="CW1191" s="1" t="s">
        <v>2426</v>
      </c>
      <c r="CX1191" s="1" t="s">
        <v>42</v>
      </c>
      <c r="DA1191" s="1" t="s">
        <v>200</v>
      </c>
      <c r="DC1191" s="1" t="s">
        <v>216</v>
      </c>
      <c r="DE1191" s="1" t="s">
        <v>229</v>
      </c>
      <c r="DF1191" s="1" t="s">
        <v>619</v>
      </c>
      <c r="DH1191" s="1" t="s">
        <v>365</v>
      </c>
      <c r="DJ1191" s="1" t="s">
        <v>222</v>
      </c>
      <c r="DL1191" s="1" t="s">
        <v>858</v>
      </c>
      <c r="DM1191" s="1" t="s">
        <v>229</v>
      </c>
      <c r="DQ1191" s="1" t="s">
        <v>228</v>
      </c>
      <c r="DR1191" s="1" t="s">
        <v>229</v>
      </c>
      <c r="DV1191" s="1" t="s">
        <v>232</v>
      </c>
      <c r="DW1191" s="1" t="s">
        <v>279</v>
      </c>
      <c r="DX1191" s="1" t="s">
        <v>234</v>
      </c>
      <c r="EC1191" s="1" t="s">
        <v>645</v>
      </c>
      <c r="EM1191" s="1" t="s">
        <v>238</v>
      </c>
      <c r="EQ1191" s="1" t="s">
        <v>238</v>
      </c>
      <c r="EU1191" s="1" t="s">
        <v>238</v>
      </c>
      <c r="EY1191" s="1" t="s">
        <v>238</v>
      </c>
      <c r="FC1191" s="1" t="s">
        <v>238</v>
      </c>
      <c r="FF1191" s="1" t="s">
        <v>239</v>
      </c>
      <c r="FG1191" s="1" t="s">
        <v>192</v>
      </c>
      <c r="FH1191" s="1" t="s">
        <v>192</v>
      </c>
      <c r="FJ1191" s="1" t="s">
        <v>7906</v>
      </c>
      <c r="FK1191" s="1" t="s">
        <v>229</v>
      </c>
      <c r="FL1191" s="1" t="s">
        <v>2826</v>
      </c>
      <c r="FM1191" s="1">
        <v>40290.0</v>
      </c>
      <c r="FN1191" s="1" t="s">
        <v>2827</v>
      </c>
      <c r="FO1191" s="1" t="s">
        <v>2828</v>
      </c>
      <c r="FP1191" s="1">
        <v>406061.0</v>
      </c>
      <c r="FQ1191" s="1" t="s">
        <v>2829</v>
      </c>
      <c r="FU1191" s="1" t="s">
        <v>2830</v>
      </c>
      <c r="FV1191" s="1" t="s">
        <v>200</v>
      </c>
      <c r="FW1191" s="1" t="s">
        <v>354</v>
      </c>
      <c r="FX1191" s="1" t="s">
        <v>655</v>
      </c>
      <c r="FZ1191" s="1" t="s">
        <v>229</v>
      </c>
      <c r="GA1191" s="1" t="s">
        <v>291</v>
      </c>
      <c r="GB1191" s="2">
        <v>42107.0</v>
      </c>
      <c r="GC1191" s="1" t="s">
        <v>2831</v>
      </c>
    </row>
    <row r="1192">
      <c r="A1192" s="1">
        <v>306000.0</v>
      </c>
      <c r="B1192" s="1" t="s">
        <v>185</v>
      </c>
      <c r="C1192" s="1" t="str">
        <f>"08839879"</f>
        <v>08839879</v>
      </c>
      <c r="D1192" s="1" t="s">
        <v>186</v>
      </c>
      <c r="F1192" s="1" t="str">
        <f>"8017"</f>
        <v>8017</v>
      </c>
      <c r="G1192" s="2">
        <v>42051.0</v>
      </c>
      <c r="H1192" s="1">
        <v>329900.0</v>
      </c>
      <c r="I1192" s="1">
        <v>15.0</v>
      </c>
      <c r="J1192" s="1">
        <v>329899.0</v>
      </c>
      <c r="K1192" s="2">
        <v>42065.0</v>
      </c>
      <c r="L1192" s="1">
        <v>15.0</v>
      </c>
      <c r="M1192" s="2">
        <v>42065.0</v>
      </c>
      <c r="N1192" s="1" t="s">
        <v>249</v>
      </c>
      <c r="O1192" s="2">
        <v>42076.0</v>
      </c>
      <c r="P1192" s="1">
        <v>28990.0</v>
      </c>
      <c r="Q1192" s="1">
        <v>8426.0</v>
      </c>
      <c r="S1192" s="1">
        <v>3900.0</v>
      </c>
      <c r="T1192" s="1" t="s">
        <v>12857</v>
      </c>
      <c r="U1192" s="1" t="s">
        <v>189</v>
      </c>
      <c r="V1192" s="1" t="s">
        <v>190</v>
      </c>
      <c r="W1192" s="1">
        <v>60634.0</v>
      </c>
      <c r="Y1192" s="1" t="s">
        <v>12858</v>
      </c>
      <c r="Z1192" s="1">
        <v>1953.0</v>
      </c>
      <c r="AA1192" s="1" t="s">
        <v>192</v>
      </c>
      <c r="AB1192" s="1" t="s">
        <v>193</v>
      </c>
      <c r="AD1192" s="1" t="s">
        <v>194</v>
      </c>
      <c r="AE1192" s="1" t="s">
        <v>195</v>
      </c>
      <c r="AF1192" s="1" t="s">
        <v>196</v>
      </c>
      <c r="AH1192" s="1" t="s">
        <v>12859</v>
      </c>
      <c r="AK1192" s="1">
        <v>8.0</v>
      </c>
      <c r="AL1192" s="1">
        <v>3.0</v>
      </c>
      <c r="AM1192" s="1">
        <v>2.0</v>
      </c>
      <c r="AN1192" s="1">
        <v>0.0</v>
      </c>
      <c r="AO1192" s="1" t="s">
        <v>229</v>
      </c>
      <c r="AQ1192" s="1" t="s">
        <v>327</v>
      </c>
      <c r="AR1192" s="1" t="s">
        <v>192</v>
      </c>
      <c r="AS1192" s="1" t="s">
        <v>199</v>
      </c>
      <c r="AT1192" s="1">
        <v>2.5</v>
      </c>
      <c r="AV1192" s="1" t="s">
        <v>200</v>
      </c>
      <c r="AW1192" s="1">
        <v>4450.09</v>
      </c>
      <c r="AX1192" s="1">
        <v>2013.0</v>
      </c>
      <c r="AZ1192" s="1" t="s">
        <v>200</v>
      </c>
      <c r="BA1192" s="1" t="str">
        <f>"13191050460000"</f>
        <v>13191050460000</v>
      </c>
      <c r="BC1192" s="1">
        <v>1150.0</v>
      </c>
      <c r="BD1192" s="1">
        <v>306000.0</v>
      </c>
      <c r="BE1192" s="2">
        <v>42051.0</v>
      </c>
      <c r="BF1192" s="1" t="s">
        <v>12860</v>
      </c>
      <c r="BG1192" s="1" t="s">
        <v>12861</v>
      </c>
      <c r="BH1192" s="1">
        <v>0.0</v>
      </c>
      <c r="BK1192" s="1" t="s">
        <v>204</v>
      </c>
      <c r="BL1192" s="1" t="str">
        <f>"3900"</f>
        <v>3900</v>
      </c>
      <c r="BM1192" s="1" t="str">
        <f>"0"</f>
        <v>0</v>
      </c>
      <c r="BN1192" s="1">
        <v>6932.0</v>
      </c>
      <c r="BO1192" s="1">
        <v>0.0</v>
      </c>
      <c r="BQ1192" s="1">
        <v>299.0</v>
      </c>
      <c r="BR1192" s="1">
        <v>299.0</v>
      </c>
      <c r="BS1192" s="1">
        <v>299.0</v>
      </c>
      <c r="BU1192" s="1" t="s">
        <v>664</v>
      </c>
      <c r="BV1192" s="1" t="s">
        <v>206</v>
      </c>
      <c r="BW1192" s="1" t="s">
        <v>207</v>
      </c>
      <c r="BX1192" s="1" t="s">
        <v>431</v>
      </c>
      <c r="BY1192" s="1" t="s">
        <v>363</v>
      </c>
      <c r="BZ1192" s="1" t="s">
        <v>206</v>
      </c>
      <c r="CA1192" s="1" t="s">
        <v>207</v>
      </c>
      <c r="CD1192" s="1" t="s">
        <v>204</v>
      </c>
      <c r="CG1192" s="1" t="s">
        <v>212</v>
      </c>
      <c r="CH1192" s="1" t="s">
        <v>206</v>
      </c>
      <c r="CI1192" s="1" t="s">
        <v>207</v>
      </c>
      <c r="CK1192" s="1" t="s">
        <v>264</v>
      </c>
      <c r="CL1192" s="1" t="s">
        <v>206</v>
      </c>
      <c r="CM1192" s="1" t="s">
        <v>207</v>
      </c>
      <c r="CO1192" s="1" t="s">
        <v>212</v>
      </c>
      <c r="CP1192" s="1" t="s">
        <v>42</v>
      </c>
      <c r="CQ1192" s="1" t="s">
        <v>210</v>
      </c>
      <c r="CS1192" s="1" t="s">
        <v>1875</v>
      </c>
      <c r="CT1192" s="1" t="s">
        <v>206</v>
      </c>
      <c r="CU1192" s="1" t="s">
        <v>207</v>
      </c>
      <c r="CV1192" s="1" t="s">
        <v>431</v>
      </c>
      <c r="CW1192" s="1" t="s">
        <v>7715</v>
      </c>
      <c r="CX1192" s="1" t="s">
        <v>42</v>
      </c>
      <c r="CY1192" s="1" t="s">
        <v>268</v>
      </c>
      <c r="DA1192" s="1" t="s">
        <v>200</v>
      </c>
      <c r="DC1192" s="1" t="s">
        <v>702</v>
      </c>
      <c r="DD1192" s="1" t="s">
        <v>926</v>
      </c>
      <c r="DE1192" s="1" t="s">
        <v>273</v>
      </c>
      <c r="DF1192" s="1" t="s">
        <v>619</v>
      </c>
      <c r="DG1192" s="1" t="s">
        <v>12862</v>
      </c>
      <c r="DH1192" s="1" t="s">
        <v>365</v>
      </c>
      <c r="DI1192" s="1" t="s">
        <v>366</v>
      </c>
      <c r="DJ1192" s="1" t="s">
        <v>222</v>
      </c>
      <c r="DK1192" s="1" t="s">
        <v>223</v>
      </c>
      <c r="DL1192" s="1" t="s">
        <v>1161</v>
      </c>
      <c r="DM1192" s="1" t="s">
        <v>225</v>
      </c>
      <c r="DN1192" s="1" t="s">
        <v>12863</v>
      </c>
      <c r="DO1192" s="1" t="s">
        <v>1004</v>
      </c>
      <c r="DQ1192" s="1" t="s">
        <v>228</v>
      </c>
      <c r="DR1192" s="1" t="s">
        <v>229</v>
      </c>
      <c r="DS1192" s="1" t="s">
        <v>368</v>
      </c>
      <c r="DU1192" s="1" t="s">
        <v>1840</v>
      </c>
      <c r="DV1192" s="1" t="s">
        <v>1228</v>
      </c>
      <c r="DW1192" s="1" t="s">
        <v>279</v>
      </c>
      <c r="DX1192" s="1" t="s">
        <v>234</v>
      </c>
      <c r="DY1192" s="1" t="s">
        <v>704</v>
      </c>
      <c r="DZ1192" s="1" t="s">
        <v>310</v>
      </c>
      <c r="EA1192" s="1" t="s">
        <v>683</v>
      </c>
      <c r="EC1192" s="1" t="s">
        <v>685</v>
      </c>
      <c r="ED1192" s="1" t="s">
        <v>555</v>
      </c>
      <c r="EH1192" s="1" t="s">
        <v>1228</v>
      </c>
      <c r="EM1192" s="1" t="s">
        <v>238</v>
      </c>
      <c r="EP1192" s="1" t="s">
        <v>1852</v>
      </c>
      <c r="EQ1192" s="1" t="s">
        <v>42</v>
      </c>
      <c r="EU1192" s="1" t="s">
        <v>238</v>
      </c>
      <c r="EY1192" s="1" t="s">
        <v>238</v>
      </c>
      <c r="FC1192" s="1" t="s">
        <v>238</v>
      </c>
      <c r="FF1192" s="1" t="s">
        <v>239</v>
      </c>
      <c r="FG1192" s="1" t="s">
        <v>192</v>
      </c>
      <c r="FH1192" s="1" t="s">
        <v>192</v>
      </c>
      <c r="FJ1192" s="1" t="s">
        <v>1450</v>
      </c>
      <c r="FK1192" s="1" t="s">
        <v>229</v>
      </c>
      <c r="FL1192" s="1" t="s">
        <v>5108</v>
      </c>
      <c r="FM1192" s="1">
        <v>14316.0</v>
      </c>
      <c r="FN1192" s="1" t="s">
        <v>5109</v>
      </c>
      <c r="FO1192" s="1" t="s">
        <v>12864</v>
      </c>
      <c r="FP1192" s="1">
        <v>878747.0</v>
      </c>
      <c r="FQ1192" s="1" t="s">
        <v>5109</v>
      </c>
      <c r="FS1192" s="1" t="s">
        <v>12865</v>
      </c>
      <c r="FU1192" s="1" t="s">
        <v>12866</v>
      </c>
      <c r="FV1192" s="1" t="s">
        <v>192</v>
      </c>
      <c r="FW1192" s="1" t="s">
        <v>567</v>
      </c>
      <c r="FX1192" s="1" t="s">
        <v>238</v>
      </c>
      <c r="FZ1192" s="1" t="s">
        <v>229</v>
      </c>
      <c r="GA1192" s="1" t="s">
        <v>291</v>
      </c>
      <c r="GB1192" s="2">
        <v>42076.0</v>
      </c>
      <c r="GC1192" s="1" t="s">
        <v>12867</v>
      </c>
    </row>
    <row r="1193">
      <c r="A1193" s="1">
        <v>235000.0</v>
      </c>
      <c r="B1193" s="1" t="s">
        <v>185</v>
      </c>
      <c r="C1193" s="1" t="str">
        <f>"08840149"</f>
        <v>08840149</v>
      </c>
      <c r="D1193" s="1" t="s">
        <v>186</v>
      </c>
      <c r="F1193" s="1" t="str">
        <f>"8072"</f>
        <v>8072</v>
      </c>
      <c r="G1193" s="2">
        <v>42052.0</v>
      </c>
      <c r="H1193" s="1">
        <v>234750.0</v>
      </c>
      <c r="I1193" s="1">
        <v>293.0</v>
      </c>
      <c r="J1193" s="1">
        <v>234500.0</v>
      </c>
      <c r="K1193" s="2">
        <v>42077.0</v>
      </c>
      <c r="L1193" s="1">
        <v>26.0</v>
      </c>
      <c r="M1193" s="2">
        <v>42077.0</v>
      </c>
      <c r="N1193" s="1" t="s">
        <v>356</v>
      </c>
      <c r="O1193" s="2">
        <v>42132.0</v>
      </c>
      <c r="P1193" s="1">
        <v>240993.0</v>
      </c>
      <c r="Q1193" s="1">
        <v>24945.0</v>
      </c>
      <c r="S1193" s="1">
        <v>9823.0</v>
      </c>
      <c r="T1193" s="1" t="s">
        <v>6991</v>
      </c>
      <c r="U1193" s="1" t="s">
        <v>189</v>
      </c>
      <c r="V1193" s="1" t="s">
        <v>190</v>
      </c>
      <c r="W1193" s="1">
        <v>60643.0</v>
      </c>
      <c r="Y1193" s="1" t="s">
        <v>12868</v>
      </c>
      <c r="Z1193" s="1">
        <v>1947.0</v>
      </c>
      <c r="AA1193" s="1" t="s">
        <v>192</v>
      </c>
      <c r="AB1193" s="1" t="s">
        <v>193</v>
      </c>
      <c r="AD1193" s="1" t="s">
        <v>194</v>
      </c>
      <c r="AE1193" s="1" t="s">
        <v>195</v>
      </c>
      <c r="AF1193" s="1" t="s">
        <v>659</v>
      </c>
      <c r="AH1193" s="1" t="s">
        <v>12869</v>
      </c>
      <c r="AI1193" s="1">
        <v>0.0988</v>
      </c>
      <c r="AK1193" s="1">
        <v>8.0</v>
      </c>
      <c r="AL1193" s="1">
        <v>3.0</v>
      </c>
      <c r="AM1193" s="1">
        <v>2.0</v>
      </c>
      <c r="AN1193" s="1">
        <v>0.0</v>
      </c>
      <c r="AO1193" s="1" t="s">
        <v>229</v>
      </c>
      <c r="AQ1193" s="1" t="s">
        <v>198</v>
      </c>
      <c r="AR1193" s="1" t="s">
        <v>192</v>
      </c>
      <c r="AS1193" s="1" t="s">
        <v>199</v>
      </c>
      <c r="AT1193" s="1">
        <v>2.0</v>
      </c>
      <c r="AV1193" s="1" t="s">
        <v>200</v>
      </c>
      <c r="AW1193" s="1">
        <v>4833.32</v>
      </c>
      <c r="AX1193" s="1">
        <v>2013.0</v>
      </c>
      <c r="AY1193" s="1" t="s">
        <v>229</v>
      </c>
      <c r="AZ1193" s="1" t="s">
        <v>200</v>
      </c>
      <c r="BA1193" s="1" t="str">
        <f>"25071160950000"</f>
        <v>25071160950000</v>
      </c>
      <c r="BC1193" s="1">
        <v>1236.0</v>
      </c>
      <c r="BD1193" s="1">
        <v>235000.0</v>
      </c>
      <c r="BE1193" s="2">
        <v>42052.0</v>
      </c>
      <c r="BF1193" s="2" t="s">
        <v>12870</v>
      </c>
      <c r="BG1193" s="1" t="s">
        <v>12871</v>
      </c>
      <c r="BH1193" s="1">
        <v>0.0</v>
      </c>
      <c r="BK1193" s="1" t="s">
        <v>204</v>
      </c>
      <c r="BL1193" s="1" t="str">
        <f t="shared" ref="BL1193:BM1193" si="793">"0"</f>
        <v>0</v>
      </c>
      <c r="BM1193" s="1" t="str">
        <f t="shared" si="793"/>
        <v>0</v>
      </c>
      <c r="BN1193" s="1">
        <v>2330.0</v>
      </c>
      <c r="BO1193" s="1">
        <v>9823.0</v>
      </c>
      <c r="BQ1193" s="1">
        <v>299.0</v>
      </c>
      <c r="BR1193" s="1">
        <v>299.0</v>
      </c>
      <c r="BS1193" s="1">
        <v>299.0</v>
      </c>
      <c r="BU1193" s="1" t="s">
        <v>1043</v>
      </c>
      <c r="BV1193" s="1" t="s">
        <v>206</v>
      </c>
      <c r="BY1193" s="1" t="s">
        <v>1417</v>
      </c>
      <c r="BZ1193" s="1" t="s">
        <v>206</v>
      </c>
      <c r="CC1193" s="1" t="s">
        <v>478</v>
      </c>
      <c r="CD1193" s="1" t="s">
        <v>206</v>
      </c>
      <c r="CG1193" s="1" t="s">
        <v>302</v>
      </c>
      <c r="CH1193" s="1" t="s">
        <v>206</v>
      </c>
      <c r="CK1193" s="1" t="s">
        <v>1417</v>
      </c>
      <c r="CL1193" s="1" t="s">
        <v>206</v>
      </c>
      <c r="CO1193" s="1" t="s">
        <v>303</v>
      </c>
      <c r="CP1193" s="1" t="s">
        <v>42</v>
      </c>
      <c r="CS1193" s="1" t="s">
        <v>1352</v>
      </c>
      <c r="CT1193" s="1" t="s">
        <v>206</v>
      </c>
      <c r="CW1193" s="1" t="s">
        <v>4919</v>
      </c>
      <c r="CX1193" s="1" t="s">
        <v>42</v>
      </c>
      <c r="DA1193" s="1" t="s">
        <v>200</v>
      </c>
      <c r="DC1193" s="1" t="s">
        <v>702</v>
      </c>
      <c r="DE1193" s="1" t="s">
        <v>273</v>
      </c>
      <c r="DF1193" s="1" t="s">
        <v>219</v>
      </c>
      <c r="DH1193" s="1" t="s">
        <v>220</v>
      </c>
      <c r="DI1193" s="1" t="s">
        <v>2420</v>
      </c>
      <c r="DJ1193" s="1" t="s">
        <v>222</v>
      </c>
      <c r="DK1193" s="1" t="s">
        <v>223</v>
      </c>
      <c r="DL1193" s="1" t="s">
        <v>1161</v>
      </c>
      <c r="DM1193" s="1" t="s">
        <v>1919</v>
      </c>
      <c r="DP1193" s="1" t="s">
        <v>340</v>
      </c>
      <c r="DQ1193" s="1" t="s">
        <v>228</v>
      </c>
      <c r="DR1193" s="1" t="s">
        <v>229</v>
      </c>
      <c r="DS1193" s="1" t="s">
        <v>230</v>
      </c>
      <c r="DV1193" s="1" t="s">
        <v>232</v>
      </c>
      <c r="DW1193" s="1" t="s">
        <v>279</v>
      </c>
      <c r="DX1193" s="1" t="s">
        <v>234</v>
      </c>
      <c r="DY1193" s="1" t="s">
        <v>879</v>
      </c>
      <c r="DZ1193" s="1" t="s">
        <v>12872</v>
      </c>
      <c r="EA1193" s="1" t="s">
        <v>1302</v>
      </c>
      <c r="EC1193" s="1" t="s">
        <v>311</v>
      </c>
      <c r="ED1193" s="1" t="s">
        <v>407</v>
      </c>
      <c r="EM1193" s="1" t="s">
        <v>238</v>
      </c>
      <c r="EQ1193" s="1" t="s">
        <v>238</v>
      </c>
      <c r="EU1193" s="1" t="s">
        <v>238</v>
      </c>
      <c r="EY1193" s="1" t="s">
        <v>238</v>
      </c>
      <c r="FC1193" s="1" t="s">
        <v>238</v>
      </c>
      <c r="FF1193" s="1" t="s">
        <v>239</v>
      </c>
      <c r="FG1193" s="1" t="s">
        <v>192</v>
      </c>
      <c r="FH1193" s="1" t="s">
        <v>192</v>
      </c>
      <c r="FJ1193" s="1" t="s">
        <v>770</v>
      </c>
      <c r="FK1193" s="1" t="s">
        <v>229</v>
      </c>
      <c r="FL1193" s="1" t="s">
        <v>5025</v>
      </c>
      <c r="FM1193" s="1">
        <v>24945.0</v>
      </c>
      <c r="FN1193" s="1" t="s">
        <v>12873</v>
      </c>
      <c r="FO1193" s="1" t="s">
        <v>12874</v>
      </c>
      <c r="FP1193" s="1">
        <v>240993.0</v>
      </c>
      <c r="FQ1193" s="1" t="s">
        <v>12875</v>
      </c>
      <c r="FU1193" s="1" t="s">
        <v>12876</v>
      </c>
      <c r="FV1193" s="1" t="s">
        <v>200</v>
      </c>
      <c r="FW1193" s="1" t="s">
        <v>290</v>
      </c>
      <c r="FX1193" s="1" t="s">
        <v>655</v>
      </c>
      <c r="FZ1193" s="1" t="s">
        <v>632</v>
      </c>
      <c r="GA1193" s="1" t="s">
        <v>291</v>
      </c>
      <c r="GB1193" s="2">
        <v>42135.0</v>
      </c>
      <c r="GC1193" s="1" t="s">
        <v>12877</v>
      </c>
    </row>
    <row r="1194">
      <c r="A1194" s="1">
        <v>850000.0</v>
      </c>
      <c r="B1194" s="1" t="s">
        <v>185</v>
      </c>
      <c r="C1194" s="1" t="str">
        <f>"08842607"</f>
        <v>08842607</v>
      </c>
      <c r="D1194" s="1" t="s">
        <v>186</v>
      </c>
      <c r="F1194" s="1" t="str">
        <f t="shared" ref="F1194:F1195" si="794">"8024"</f>
        <v>8024</v>
      </c>
      <c r="G1194" s="2">
        <v>42054.0</v>
      </c>
      <c r="H1194" s="1">
        <v>859000.0</v>
      </c>
      <c r="I1194" s="1">
        <v>9.0</v>
      </c>
      <c r="J1194" s="1">
        <v>859000.0</v>
      </c>
      <c r="K1194" s="2">
        <v>42062.0</v>
      </c>
      <c r="L1194" s="1">
        <v>9.0</v>
      </c>
      <c r="M1194" s="2">
        <v>42062.0</v>
      </c>
      <c r="N1194" s="1" t="s">
        <v>187</v>
      </c>
      <c r="O1194" s="2">
        <v>42109.0</v>
      </c>
      <c r="P1194" s="1">
        <v>120979.0</v>
      </c>
      <c r="Q1194" s="1">
        <v>85774.0</v>
      </c>
      <c r="S1194" s="1">
        <v>2148.0</v>
      </c>
      <c r="T1194" s="1" t="s">
        <v>12439</v>
      </c>
      <c r="U1194" s="1" t="s">
        <v>320</v>
      </c>
      <c r="V1194" s="1" t="s">
        <v>190</v>
      </c>
      <c r="W1194" s="1">
        <v>60612.0</v>
      </c>
      <c r="Y1194" s="1" t="s">
        <v>12878</v>
      </c>
      <c r="Z1194" s="1">
        <v>2003.0</v>
      </c>
      <c r="AA1194" s="1" t="s">
        <v>200</v>
      </c>
      <c r="AB1194" s="1" t="s">
        <v>193</v>
      </c>
      <c r="AD1194" s="1" t="s">
        <v>194</v>
      </c>
      <c r="AE1194" s="1" t="s">
        <v>195</v>
      </c>
      <c r="AF1194" s="1" t="s">
        <v>827</v>
      </c>
      <c r="AH1194" s="1" t="s">
        <v>12879</v>
      </c>
      <c r="AK1194" s="1">
        <v>9.0</v>
      </c>
      <c r="AL1194" s="1">
        <v>4.0</v>
      </c>
      <c r="AM1194" s="1">
        <v>3.0</v>
      </c>
      <c r="AN1194" s="1">
        <v>1.0</v>
      </c>
      <c r="AO1194" s="1" t="s">
        <v>198</v>
      </c>
      <c r="AP1194" s="1">
        <v>1.0</v>
      </c>
      <c r="AQ1194" s="1" t="s">
        <v>472</v>
      </c>
      <c r="AR1194" s="1" t="s">
        <v>192</v>
      </c>
      <c r="AS1194" s="1" t="s">
        <v>199</v>
      </c>
      <c r="AT1194" s="1">
        <v>2.0</v>
      </c>
      <c r="AV1194" s="1" t="s">
        <v>200</v>
      </c>
      <c r="AW1194" s="1">
        <v>12901.0</v>
      </c>
      <c r="AX1194" s="1">
        <v>2013.0</v>
      </c>
      <c r="AY1194" s="1" t="s">
        <v>387</v>
      </c>
      <c r="AZ1194" s="1" t="s">
        <v>200</v>
      </c>
      <c r="BA1194" s="1" t="str">
        <f>"17071060260000"</f>
        <v>17071060260000</v>
      </c>
      <c r="BC1194" s="1">
        <v>3800.0</v>
      </c>
      <c r="BD1194" s="1">
        <v>850000.0</v>
      </c>
      <c r="BE1194" s="2">
        <v>42054.0</v>
      </c>
      <c r="BF1194" s="2" t="s">
        <v>12880</v>
      </c>
      <c r="BG1194" s="1" t="s">
        <v>9353</v>
      </c>
      <c r="BH1194" s="1">
        <v>0.0</v>
      </c>
      <c r="BK1194" s="1" t="s">
        <v>204</v>
      </c>
      <c r="BL1194" s="1" t="str">
        <f>"700"</f>
        <v>700</v>
      </c>
      <c r="BM1194" s="1" t="str">
        <f t="shared" ref="BM1194:BM1195" si="795">"0"</f>
        <v>0</v>
      </c>
      <c r="BN1194" s="1">
        <v>2148.0</v>
      </c>
      <c r="BO1194" s="1">
        <v>0.0</v>
      </c>
      <c r="BQ1194" s="1">
        <v>299.0</v>
      </c>
      <c r="BR1194" s="1">
        <v>299.0</v>
      </c>
      <c r="BS1194" s="1">
        <v>299.0</v>
      </c>
      <c r="BU1194" s="1" t="s">
        <v>2861</v>
      </c>
      <c r="BV1194" s="1" t="s">
        <v>206</v>
      </c>
      <c r="BW1194" s="1" t="s">
        <v>207</v>
      </c>
      <c r="BY1194" s="1" t="s">
        <v>515</v>
      </c>
      <c r="BZ1194" s="1" t="s">
        <v>209</v>
      </c>
      <c r="CA1194" s="1" t="s">
        <v>207</v>
      </c>
      <c r="CC1194" s="1" t="s">
        <v>477</v>
      </c>
      <c r="CD1194" s="1" t="s">
        <v>206</v>
      </c>
      <c r="CE1194" s="1" t="s">
        <v>207</v>
      </c>
      <c r="CG1194" s="1" t="s">
        <v>1426</v>
      </c>
      <c r="CH1194" s="1" t="s">
        <v>209</v>
      </c>
      <c r="CI1194" s="1" t="s">
        <v>207</v>
      </c>
      <c r="CK1194" s="1" t="s">
        <v>264</v>
      </c>
      <c r="CL1194" s="1" t="s">
        <v>209</v>
      </c>
      <c r="CM1194" s="1" t="s">
        <v>207</v>
      </c>
      <c r="CO1194" s="1" t="s">
        <v>1689</v>
      </c>
      <c r="CP1194" s="1" t="s">
        <v>267</v>
      </c>
      <c r="CQ1194" s="1" t="s">
        <v>210</v>
      </c>
      <c r="CS1194" s="1" t="s">
        <v>361</v>
      </c>
      <c r="CT1194" s="1" t="s">
        <v>206</v>
      </c>
      <c r="CU1194" s="1" t="s">
        <v>2615</v>
      </c>
      <c r="CW1194" s="1" t="s">
        <v>2205</v>
      </c>
      <c r="CX1194" s="1" t="s">
        <v>267</v>
      </c>
      <c r="CY1194" s="1" t="s">
        <v>210</v>
      </c>
      <c r="DA1194" s="1" t="s">
        <v>200</v>
      </c>
      <c r="DC1194" s="1" t="s">
        <v>335</v>
      </c>
      <c r="DD1194" s="1" t="s">
        <v>272</v>
      </c>
      <c r="DE1194" s="1" t="s">
        <v>218</v>
      </c>
      <c r="DF1194" s="1" t="s">
        <v>745</v>
      </c>
      <c r="DH1194" s="1" t="s">
        <v>365</v>
      </c>
      <c r="DI1194" s="1" t="s">
        <v>2257</v>
      </c>
      <c r="DJ1194" s="1" t="s">
        <v>222</v>
      </c>
      <c r="DL1194" s="1" t="s">
        <v>224</v>
      </c>
      <c r="DM1194" s="1" t="s">
        <v>229</v>
      </c>
      <c r="DN1194" s="1" t="s">
        <v>2873</v>
      </c>
      <c r="DO1194" s="1" t="s">
        <v>4234</v>
      </c>
      <c r="DP1194" s="1" t="s">
        <v>340</v>
      </c>
      <c r="DQ1194" s="1" t="s">
        <v>718</v>
      </c>
      <c r="DR1194" s="1" t="s">
        <v>229</v>
      </c>
      <c r="DS1194" s="1" t="s">
        <v>230</v>
      </c>
      <c r="DU1194" s="1" t="s">
        <v>12881</v>
      </c>
      <c r="DV1194" s="1" t="s">
        <v>12882</v>
      </c>
      <c r="DW1194" s="1" t="s">
        <v>1026</v>
      </c>
      <c r="DX1194" s="1" t="s">
        <v>234</v>
      </c>
      <c r="DY1194" s="1" t="s">
        <v>12883</v>
      </c>
      <c r="DZ1194" s="1" t="s">
        <v>9355</v>
      </c>
      <c r="EA1194" s="1" t="s">
        <v>344</v>
      </c>
      <c r="EB1194" s="1" t="s">
        <v>937</v>
      </c>
      <c r="EC1194" s="1" t="s">
        <v>237</v>
      </c>
      <c r="ED1194" s="1" t="s">
        <v>555</v>
      </c>
      <c r="EE1194" s="1" t="s">
        <v>187</v>
      </c>
      <c r="EG1194" s="1" t="s">
        <v>598</v>
      </c>
      <c r="EH1194" s="1" t="s">
        <v>720</v>
      </c>
      <c r="EI1194" s="1" t="s">
        <v>1103</v>
      </c>
      <c r="EJ1194" s="1" t="s">
        <v>310</v>
      </c>
      <c r="EL1194" s="1" t="s">
        <v>361</v>
      </c>
      <c r="EM1194" s="1" t="s">
        <v>209</v>
      </c>
      <c r="EN1194" s="1" t="s">
        <v>207</v>
      </c>
      <c r="EP1194" s="1" t="s">
        <v>1688</v>
      </c>
      <c r="EQ1194" s="1" t="s">
        <v>267</v>
      </c>
      <c r="ER1194" s="1" t="s">
        <v>588</v>
      </c>
      <c r="ET1194" s="1" t="s">
        <v>2047</v>
      </c>
      <c r="EU1194" s="1" t="s">
        <v>267</v>
      </c>
      <c r="EV1194" s="1" t="s">
        <v>588</v>
      </c>
      <c r="EX1194" s="1" t="s">
        <v>12884</v>
      </c>
      <c r="EY1194" s="1" t="s">
        <v>391</v>
      </c>
      <c r="FC1194" s="1" t="s">
        <v>238</v>
      </c>
      <c r="FF1194" s="1" t="s">
        <v>239</v>
      </c>
      <c r="FG1194" s="1" t="s">
        <v>192</v>
      </c>
      <c r="FH1194" s="1" t="s">
        <v>192</v>
      </c>
      <c r="FJ1194" s="1" t="s">
        <v>412</v>
      </c>
      <c r="FK1194" s="1" t="s">
        <v>229</v>
      </c>
      <c r="FL1194" s="1" t="s">
        <v>5070</v>
      </c>
      <c r="FM1194" s="1">
        <v>12604.0</v>
      </c>
      <c r="FN1194" s="1" t="s">
        <v>5071</v>
      </c>
      <c r="FO1194" s="1" t="s">
        <v>5072</v>
      </c>
      <c r="FP1194" s="1">
        <v>125093.0</v>
      </c>
      <c r="FQ1194" s="1" t="s">
        <v>5073</v>
      </c>
      <c r="FR1194" s="1">
        <v>148835.0</v>
      </c>
      <c r="FU1194" s="1" t="s">
        <v>5074</v>
      </c>
      <c r="FV1194" s="1" t="s">
        <v>200</v>
      </c>
      <c r="FW1194" s="1" t="s">
        <v>530</v>
      </c>
      <c r="FX1194" s="1" t="s">
        <v>246</v>
      </c>
      <c r="FZ1194" s="1" t="s">
        <v>229</v>
      </c>
      <c r="GA1194" s="1" t="s">
        <v>291</v>
      </c>
      <c r="GB1194" s="2">
        <v>42110.0</v>
      </c>
      <c r="GC1194" s="1" t="s">
        <v>12885</v>
      </c>
    </row>
    <row r="1195">
      <c r="A1195" s="1">
        <v>505000.0</v>
      </c>
      <c r="B1195" s="1" t="s">
        <v>185</v>
      </c>
      <c r="C1195" s="1" t="str">
        <f>"08841700"</f>
        <v>08841700</v>
      </c>
      <c r="D1195" s="1" t="s">
        <v>186</v>
      </c>
      <c r="F1195" s="1" t="str">
        <f t="shared" si="794"/>
        <v>8024</v>
      </c>
      <c r="G1195" s="2">
        <v>42053.0</v>
      </c>
      <c r="H1195" s="1">
        <v>499000.0</v>
      </c>
      <c r="I1195" s="1">
        <v>114.0</v>
      </c>
      <c r="J1195" s="1">
        <v>499000.0</v>
      </c>
      <c r="K1195" s="2">
        <v>42058.0</v>
      </c>
      <c r="L1195" s="1">
        <v>6.0</v>
      </c>
      <c r="M1195" s="2">
        <v>42058.0</v>
      </c>
      <c r="N1195" s="1" t="s">
        <v>187</v>
      </c>
      <c r="O1195" s="2">
        <v>42109.0</v>
      </c>
      <c r="P1195" s="1">
        <v>183942.0</v>
      </c>
      <c r="Q1195" s="1">
        <v>85777.0</v>
      </c>
      <c r="S1195" s="1">
        <v>1724.0</v>
      </c>
      <c r="T1195" s="1" t="s">
        <v>5970</v>
      </c>
      <c r="U1195" s="1" t="s">
        <v>189</v>
      </c>
      <c r="V1195" s="1" t="s">
        <v>190</v>
      </c>
      <c r="W1195" s="1">
        <v>60647.0</v>
      </c>
      <c r="Y1195" s="1" t="s">
        <v>12886</v>
      </c>
      <c r="Z1195" s="1">
        <v>2015.0</v>
      </c>
      <c r="AA1195" s="1" t="s">
        <v>200</v>
      </c>
      <c r="AB1195" s="1" t="s">
        <v>193</v>
      </c>
      <c r="AD1195" s="1" t="s">
        <v>194</v>
      </c>
      <c r="AE1195" s="1" t="s">
        <v>195</v>
      </c>
      <c r="AF1195" s="1" t="s">
        <v>2645</v>
      </c>
      <c r="AH1195" s="1" t="s">
        <v>12887</v>
      </c>
      <c r="AK1195" s="1">
        <v>8.0</v>
      </c>
      <c r="AL1195" s="1">
        <v>3.0</v>
      </c>
      <c r="AM1195" s="1">
        <v>3.0</v>
      </c>
      <c r="AN1195" s="1">
        <v>1.0</v>
      </c>
      <c r="AO1195" s="1" t="s">
        <v>198</v>
      </c>
      <c r="AP1195" s="1">
        <v>1.0</v>
      </c>
      <c r="AQ1195" s="1" t="s">
        <v>198</v>
      </c>
      <c r="AR1195" s="1" t="s">
        <v>192</v>
      </c>
      <c r="AS1195" s="1" t="s">
        <v>199</v>
      </c>
      <c r="AT1195" s="1">
        <v>2.0</v>
      </c>
      <c r="AV1195" s="1" t="s">
        <v>200</v>
      </c>
      <c r="AW1195" s="1">
        <v>2829.88</v>
      </c>
      <c r="AX1195" s="1">
        <v>2013.0</v>
      </c>
      <c r="AZ1195" s="1" t="s">
        <v>200</v>
      </c>
      <c r="BA1195" s="1" t="str">
        <f>"13354120460000"</f>
        <v>13354120460000</v>
      </c>
      <c r="BC1195" s="1">
        <v>3000.0</v>
      </c>
      <c r="BD1195" s="1">
        <v>505000.0</v>
      </c>
      <c r="BE1195" s="2">
        <v>42053.0</v>
      </c>
      <c r="BF1195" s="2" t="s">
        <v>12888</v>
      </c>
      <c r="BH1195" s="1">
        <v>0.0</v>
      </c>
      <c r="BK1195" s="1" t="s">
        <v>204</v>
      </c>
      <c r="BL1195" s="1" t="str">
        <f>"1724"</f>
        <v>1724</v>
      </c>
      <c r="BM1195" s="1" t="str">
        <f t="shared" si="795"/>
        <v>0</v>
      </c>
      <c r="BN1195" s="1">
        <v>3500.0</v>
      </c>
      <c r="BO1195" s="1">
        <v>0.0</v>
      </c>
      <c r="BQ1195" s="1">
        <v>299.0</v>
      </c>
      <c r="BR1195" s="1">
        <v>299.0</v>
      </c>
      <c r="BS1195" s="1">
        <v>299.0</v>
      </c>
      <c r="BU1195" s="1" t="s">
        <v>390</v>
      </c>
      <c r="BV1195" s="1" t="s">
        <v>206</v>
      </c>
      <c r="BW1195" s="1" t="s">
        <v>207</v>
      </c>
      <c r="BY1195" s="1" t="s">
        <v>208</v>
      </c>
      <c r="BZ1195" s="1" t="s">
        <v>209</v>
      </c>
      <c r="CA1195" s="1" t="s">
        <v>207</v>
      </c>
      <c r="CC1195" s="1" t="s">
        <v>205</v>
      </c>
      <c r="CD1195" s="1" t="s">
        <v>206</v>
      </c>
      <c r="CE1195" s="1" t="s">
        <v>207</v>
      </c>
      <c r="CG1195" s="1" t="s">
        <v>758</v>
      </c>
      <c r="CH1195" s="1" t="s">
        <v>209</v>
      </c>
      <c r="CI1195" s="1" t="s">
        <v>207</v>
      </c>
      <c r="CK1195" s="1" t="s">
        <v>663</v>
      </c>
      <c r="CL1195" s="1" t="s">
        <v>209</v>
      </c>
      <c r="CM1195" s="1" t="s">
        <v>207</v>
      </c>
      <c r="CO1195" s="1" t="s">
        <v>212</v>
      </c>
      <c r="CP1195" s="1" t="s">
        <v>42</v>
      </c>
      <c r="CQ1195" s="1" t="s">
        <v>210</v>
      </c>
      <c r="CS1195" s="1" t="s">
        <v>1329</v>
      </c>
      <c r="CT1195" s="1" t="s">
        <v>206</v>
      </c>
      <c r="CU1195" s="1" t="s">
        <v>207</v>
      </c>
      <c r="CW1195" s="1" t="s">
        <v>924</v>
      </c>
      <c r="CX1195" s="1" t="s">
        <v>206</v>
      </c>
      <c r="CY1195" s="1" t="s">
        <v>207</v>
      </c>
      <c r="DA1195" s="1" t="s">
        <v>192</v>
      </c>
      <c r="DB1195" s="2">
        <v>42053.0</v>
      </c>
      <c r="DC1195" s="1" t="s">
        <v>1353</v>
      </c>
      <c r="DD1195" s="1" t="s">
        <v>306</v>
      </c>
      <c r="DE1195" s="1" t="s">
        <v>273</v>
      </c>
      <c r="DF1195" s="1" t="s">
        <v>1718</v>
      </c>
      <c r="DG1195" s="1" t="s">
        <v>1657</v>
      </c>
      <c r="DH1195" s="1" t="s">
        <v>365</v>
      </c>
      <c r="DI1195" s="1" t="s">
        <v>366</v>
      </c>
      <c r="DJ1195" s="1" t="s">
        <v>222</v>
      </c>
      <c r="DL1195" s="1" t="s">
        <v>224</v>
      </c>
      <c r="DM1195" s="1" t="s">
        <v>225</v>
      </c>
      <c r="DN1195" s="1" t="s">
        <v>399</v>
      </c>
      <c r="DP1195" s="1" t="s">
        <v>227</v>
      </c>
      <c r="DQ1195" s="1" t="s">
        <v>228</v>
      </c>
      <c r="DR1195" s="1" t="s">
        <v>229</v>
      </c>
      <c r="DT1195" s="1" t="s">
        <v>12641</v>
      </c>
      <c r="DV1195" s="1" t="s">
        <v>2465</v>
      </c>
      <c r="DW1195" s="1" t="s">
        <v>9127</v>
      </c>
      <c r="DX1195" s="1" t="s">
        <v>234</v>
      </c>
      <c r="DY1195" s="1" t="s">
        <v>12643</v>
      </c>
      <c r="DZ1195" s="1" t="s">
        <v>491</v>
      </c>
      <c r="EA1195" s="1" t="s">
        <v>12644</v>
      </c>
      <c r="EB1195" s="1" t="s">
        <v>684</v>
      </c>
      <c r="EC1195" s="1" t="s">
        <v>237</v>
      </c>
      <c r="ED1195" s="1" t="s">
        <v>407</v>
      </c>
      <c r="EH1195" s="1" t="s">
        <v>1103</v>
      </c>
      <c r="EI1195" s="1" t="s">
        <v>310</v>
      </c>
      <c r="EM1195" s="1" t="s">
        <v>238</v>
      </c>
      <c r="EP1195" s="1" t="s">
        <v>758</v>
      </c>
      <c r="EQ1195" s="1" t="s">
        <v>42</v>
      </c>
      <c r="ER1195" s="1" t="s">
        <v>588</v>
      </c>
      <c r="ET1195" s="1" t="s">
        <v>878</v>
      </c>
      <c r="EU1195" s="1" t="s">
        <v>206</v>
      </c>
      <c r="EY1195" s="1" t="s">
        <v>238</v>
      </c>
      <c r="FC1195" s="1" t="s">
        <v>238</v>
      </c>
      <c r="FF1195" s="1" t="s">
        <v>239</v>
      </c>
      <c r="FG1195" s="1" t="s">
        <v>200</v>
      </c>
      <c r="FH1195" s="1" t="s">
        <v>192</v>
      </c>
      <c r="FJ1195" s="1" t="s">
        <v>561</v>
      </c>
      <c r="FK1195" s="1" t="s">
        <v>229</v>
      </c>
      <c r="FL1195" s="1" t="s">
        <v>562</v>
      </c>
      <c r="FM1195" s="1">
        <v>16379.0</v>
      </c>
      <c r="FN1195" s="1" t="s">
        <v>563</v>
      </c>
      <c r="FO1195" s="1" t="s">
        <v>12645</v>
      </c>
      <c r="FP1195" s="1">
        <v>172414.0</v>
      </c>
      <c r="FQ1195" s="1" t="s">
        <v>12646</v>
      </c>
      <c r="FR1195" s="1">
        <v>178093.0</v>
      </c>
      <c r="FU1195" s="1" t="s">
        <v>12889</v>
      </c>
      <c r="FV1195" s="1" t="s">
        <v>200</v>
      </c>
      <c r="FW1195" s="1" t="s">
        <v>290</v>
      </c>
      <c r="FX1195" s="1" t="s">
        <v>238</v>
      </c>
      <c r="FZ1195" s="1" t="s">
        <v>229</v>
      </c>
      <c r="GA1195" s="1" t="s">
        <v>291</v>
      </c>
      <c r="GB1195" s="2">
        <v>42109.0</v>
      </c>
      <c r="GC1195" s="1" t="s">
        <v>12890</v>
      </c>
    </row>
    <row r="1196">
      <c r="A1196" s="1">
        <v>419000.0</v>
      </c>
      <c r="B1196" s="1" t="s">
        <v>185</v>
      </c>
      <c r="C1196" s="1" t="str">
        <f>"08841858"</f>
        <v>08841858</v>
      </c>
      <c r="D1196" s="1" t="s">
        <v>186</v>
      </c>
      <c r="F1196" s="1" t="str">
        <f>"8028"</f>
        <v>8028</v>
      </c>
      <c r="G1196" s="2">
        <v>42054.0</v>
      </c>
      <c r="H1196" s="1">
        <v>419000.0</v>
      </c>
      <c r="I1196" s="1">
        <v>14.0</v>
      </c>
      <c r="J1196" s="1">
        <v>419000.0</v>
      </c>
      <c r="K1196" s="2">
        <v>42066.0</v>
      </c>
      <c r="L1196" s="1">
        <v>14.0</v>
      </c>
      <c r="M1196" s="2">
        <v>42066.0</v>
      </c>
      <c r="N1196" s="1" t="s">
        <v>187</v>
      </c>
      <c r="O1196" s="2">
        <v>42129.0</v>
      </c>
      <c r="P1196" s="1">
        <v>180924.0</v>
      </c>
      <c r="Q1196" s="1">
        <v>16279.0</v>
      </c>
      <c r="R1196" s="1">
        <v>1600.0</v>
      </c>
      <c r="S1196" s="1">
        <v>2510.0</v>
      </c>
      <c r="T1196" s="1" t="s">
        <v>8922</v>
      </c>
      <c r="U1196" s="1" t="s">
        <v>320</v>
      </c>
      <c r="V1196" s="1" t="s">
        <v>190</v>
      </c>
      <c r="W1196" s="1">
        <v>60612.0</v>
      </c>
      <c r="Y1196" s="1" t="s">
        <v>12891</v>
      </c>
      <c r="Z1196" s="1">
        <v>2015.0</v>
      </c>
      <c r="AA1196" s="1" t="s">
        <v>200</v>
      </c>
      <c r="AB1196" s="1" t="s">
        <v>193</v>
      </c>
      <c r="AD1196" s="1" t="s">
        <v>194</v>
      </c>
      <c r="AE1196" s="1" t="s">
        <v>195</v>
      </c>
      <c r="AF1196" s="1" t="s">
        <v>827</v>
      </c>
      <c r="AH1196" s="1" t="s">
        <v>12597</v>
      </c>
      <c r="AI1196" s="1">
        <v>0.07</v>
      </c>
      <c r="AK1196" s="1">
        <v>8.0</v>
      </c>
      <c r="AL1196" s="1">
        <v>3.0</v>
      </c>
      <c r="AM1196" s="1">
        <v>3.0</v>
      </c>
      <c r="AN1196" s="1">
        <v>1.0</v>
      </c>
      <c r="AO1196" s="1" t="s">
        <v>198</v>
      </c>
      <c r="AQ1196" s="1" t="s">
        <v>472</v>
      </c>
      <c r="AR1196" s="1" t="s">
        <v>192</v>
      </c>
      <c r="AS1196" s="1" t="s">
        <v>510</v>
      </c>
      <c r="AT1196" s="1">
        <v>2.0</v>
      </c>
      <c r="AU1196" s="1">
        <v>2.0</v>
      </c>
      <c r="AV1196" s="1" t="s">
        <v>200</v>
      </c>
      <c r="AW1196" s="1" t="s">
        <v>575</v>
      </c>
      <c r="AX1196" s="1">
        <v>2013.0</v>
      </c>
      <c r="AY1196" s="1" t="s">
        <v>229</v>
      </c>
      <c r="AZ1196" s="1" t="s">
        <v>200</v>
      </c>
      <c r="BA1196" s="1" t="str">
        <f>"13353010340000"</f>
        <v>13353010340000</v>
      </c>
      <c r="BB1196" s="1" t="s">
        <v>200</v>
      </c>
      <c r="BC1196" s="1">
        <v>2400.0</v>
      </c>
      <c r="BD1196" s="1">
        <v>419000.0</v>
      </c>
      <c r="BE1196" s="2">
        <v>42053.0</v>
      </c>
      <c r="BF1196" s="2" t="s">
        <v>12892</v>
      </c>
      <c r="BH1196" s="1">
        <v>0.0</v>
      </c>
      <c r="BK1196" s="1" t="s">
        <v>204</v>
      </c>
      <c r="BL1196" s="1" t="str">
        <f t="shared" ref="BL1196:BM1196" si="796">"0"</f>
        <v>0</v>
      </c>
      <c r="BM1196" s="1" t="str">
        <f t="shared" si="796"/>
        <v>0</v>
      </c>
      <c r="BN1196" s="1">
        <v>2510.0</v>
      </c>
      <c r="BO1196" s="1">
        <v>1150.0</v>
      </c>
      <c r="BQ1196" s="1">
        <v>299.0</v>
      </c>
      <c r="BR1196" s="1">
        <v>299.0</v>
      </c>
      <c r="BS1196" s="1">
        <v>299.0</v>
      </c>
      <c r="BU1196" s="1" t="s">
        <v>2900</v>
      </c>
      <c r="BV1196" s="1" t="s">
        <v>206</v>
      </c>
      <c r="BW1196" s="1" t="s">
        <v>207</v>
      </c>
      <c r="BY1196" s="1" t="s">
        <v>2120</v>
      </c>
      <c r="BZ1196" s="1" t="s">
        <v>209</v>
      </c>
      <c r="CA1196" s="1" t="s">
        <v>210</v>
      </c>
      <c r="CC1196" s="1" t="s">
        <v>329</v>
      </c>
      <c r="CD1196" s="1" t="s">
        <v>206</v>
      </c>
      <c r="CE1196" s="1" t="s">
        <v>207</v>
      </c>
      <c r="CG1196" s="1" t="s">
        <v>262</v>
      </c>
      <c r="CH1196" s="1" t="s">
        <v>209</v>
      </c>
      <c r="CI1196" s="1" t="s">
        <v>210</v>
      </c>
      <c r="CK1196" s="1" t="s">
        <v>332</v>
      </c>
      <c r="CL1196" s="1" t="s">
        <v>209</v>
      </c>
      <c r="CM1196" s="1" t="s">
        <v>210</v>
      </c>
      <c r="CO1196" s="1" t="s">
        <v>332</v>
      </c>
      <c r="CP1196" s="1" t="s">
        <v>42</v>
      </c>
      <c r="CQ1196" s="1" t="s">
        <v>210</v>
      </c>
      <c r="CS1196" s="1" t="s">
        <v>208</v>
      </c>
      <c r="CT1196" s="1" t="s">
        <v>206</v>
      </c>
      <c r="CU1196" s="1" t="s">
        <v>207</v>
      </c>
      <c r="CW1196" s="1" t="s">
        <v>2205</v>
      </c>
      <c r="CX1196" s="1" t="s">
        <v>42</v>
      </c>
      <c r="CY1196" s="1" t="s">
        <v>210</v>
      </c>
      <c r="DA1196" s="1" t="s">
        <v>192</v>
      </c>
      <c r="DB1196" s="2">
        <v>42185.0</v>
      </c>
      <c r="DC1196" s="1" t="s">
        <v>1353</v>
      </c>
      <c r="DD1196" s="1" t="s">
        <v>759</v>
      </c>
      <c r="DE1196" s="1" t="s">
        <v>273</v>
      </c>
      <c r="DF1196" s="1" t="s">
        <v>219</v>
      </c>
      <c r="DH1196" s="1" t="s">
        <v>307</v>
      </c>
      <c r="DI1196" s="1" t="s">
        <v>732</v>
      </c>
      <c r="DJ1196" s="1" t="s">
        <v>222</v>
      </c>
      <c r="DL1196" s="1" t="s">
        <v>224</v>
      </c>
      <c r="DM1196" s="1" t="s">
        <v>398</v>
      </c>
      <c r="DN1196" s="1" t="s">
        <v>12893</v>
      </c>
      <c r="DO1196" s="1" t="s">
        <v>549</v>
      </c>
      <c r="DP1196" s="1" t="s">
        <v>276</v>
      </c>
      <c r="DQ1196" s="1" t="s">
        <v>228</v>
      </c>
      <c r="DR1196" s="1" t="s">
        <v>229</v>
      </c>
      <c r="DS1196" s="1" t="s">
        <v>230</v>
      </c>
      <c r="DU1196" s="1" t="s">
        <v>12894</v>
      </c>
      <c r="DV1196" s="1" t="s">
        <v>232</v>
      </c>
      <c r="DW1196" s="1" t="s">
        <v>279</v>
      </c>
      <c r="DX1196" s="1" t="s">
        <v>234</v>
      </c>
      <c r="DZ1196" s="1" t="s">
        <v>310</v>
      </c>
      <c r="EA1196" s="1" t="s">
        <v>1027</v>
      </c>
      <c r="EC1196" s="1" t="s">
        <v>237</v>
      </c>
      <c r="ED1196" s="1" t="s">
        <v>407</v>
      </c>
      <c r="EF1196" s="1" t="s">
        <v>834</v>
      </c>
      <c r="EM1196" s="1" t="s">
        <v>238</v>
      </c>
      <c r="EQ1196" s="1" t="s">
        <v>238</v>
      </c>
      <c r="EU1196" s="1" t="s">
        <v>238</v>
      </c>
      <c r="EY1196" s="1" t="s">
        <v>238</v>
      </c>
      <c r="FC1196" s="1" t="s">
        <v>238</v>
      </c>
      <c r="FF1196" s="1" t="s">
        <v>239</v>
      </c>
      <c r="FG1196" s="1" t="s">
        <v>192</v>
      </c>
      <c r="FH1196" s="1" t="s">
        <v>192</v>
      </c>
      <c r="FJ1196" s="1" t="s">
        <v>2262</v>
      </c>
      <c r="FK1196" s="1" t="s">
        <v>229</v>
      </c>
      <c r="FL1196" s="1" t="s">
        <v>8713</v>
      </c>
      <c r="FM1196" s="1">
        <v>16645.0</v>
      </c>
      <c r="FN1196" s="1" t="s">
        <v>8714</v>
      </c>
      <c r="FO1196" s="1" t="s">
        <v>12895</v>
      </c>
      <c r="FP1196" s="1">
        <v>144516.0</v>
      </c>
      <c r="FQ1196" s="1" t="s">
        <v>12896</v>
      </c>
      <c r="FS1196" s="1">
        <v>144516.0</v>
      </c>
      <c r="FT1196" s="1" t="s">
        <v>12897</v>
      </c>
      <c r="FU1196" s="1" t="s">
        <v>12898</v>
      </c>
      <c r="FV1196" s="1" t="s">
        <v>200</v>
      </c>
      <c r="FW1196" s="1" t="s">
        <v>530</v>
      </c>
      <c r="FX1196" s="1" t="s">
        <v>246</v>
      </c>
      <c r="FZ1196" s="1" t="s">
        <v>229</v>
      </c>
      <c r="GA1196" s="1" t="s">
        <v>247</v>
      </c>
      <c r="GB1196" s="2">
        <v>42129.0</v>
      </c>
      <c r="GC1196" s="1" t="s">
        <v>12899</v>
      </c>
    </row>
    <row r="1197">
      <c r="A1197" s="1">
        <v>230000.0</v>
      </c>
      <c r="B1197" s="1" t="s">
        <v>185</v>
      </c>
      <c r="C1197" s="1" t="str">
        <f>"08840947"</f>
        <v>08840947</v>
      </c>
      <c r="D1197" s="1" t="s">
        <v>186</v>
      </c>
      <c r="F1197" s="1" t="str">
        <f>"174"</f>
        <v>174</v>
      </c>
      <c r="G1197" s="2">
        <v>42052.0</v>
      </c>
      <c r="H1197" s="1">
        <v>279900.0</v>
      </c>
      <c r="I1197" s="1">
        <v>50.0</v>
      </c>
      <c r="J1197" s="1">
        <v>219900.0</v>
      </c>
      <c r="K1197" s="2">
        <v>42100.0</v>
      </c>
      <c r="L1197" s="1">
        <v>50.0</v>
      </c>
      <c r="M1197" s="2">
        <v>42100.0</v>
      </c>
      <c r="N1197" s="1" t="s">
        <v>249</v>
      </c>
      <c r="O1197" s="2">
        <v>42144.0</v>
      </c>
      <c r="P1197" s="1">
        <v>26352.0</v>
      </c>
      <c r="Q1197" s="1">
        <v>1666.0</v>
      </c>
      <c r="S1197" s="1" t="s">
        <v>12900</v>
      </c>
      <c r="T1197" s="1" t="s">
        <v>12901</v>
      </c>
      <c r="U1197" s="1" t="s">
        <v>569</v>
      </c>
      <c r="V1197" s="1" t="s">
        <v>1200</v>
      </c>
      <c r="W1197" s="1">
        <v>60175.0</v>
      </c>
      <c r="Y1197" s="1" t="s">
        <v>12902</v>
      </c>
      <c r="Z1197" s="1">
        <v>1988.0</v>
      </c>
      <c r="AA1197" s="1" t="s">
        <v>200</v>
      </c>
      <c r="AB1197" s="1" t="s">
        <v>193</v>
      </c>
      <c r="AC1197" s="1" t="s">
        <v>12903</v>
      </c>
      <c r="AD1197" s="1" t="s">
        <v>1089</v>
      </c>
      <c r="AE1197" s="1" t="s">
        <v>325</v>
      </c>
      <c r="AF1197" s="1" t="s">
        <v>1632</v>
      </c>
      <c r="AH1197" s="1" t="s">
        <v>12904</v>
      </c>
      <c r="AK1197" s="1">
        <v>10.0</v>
      </c>
      <c r="AL1197" s="1">
        <v>4.0</v>
      </c>
      <c r="AM1197" s="1">
        <v>2.0</v>
      </c>
      <c r="AN1197" s="1">
        <v>1.0</v>
      </c>
      <c r="AO1197" s="1" t="s">
        <v>198</v>
      </c>
      <c r="AP1197" s="1">
        <v>1.0</v>
      </c>
      <c r="AQ1197" s="1" t="s">
        <v>198</v>
      </c>
      <c r="AR1197" s="1" t="s">
        <v>200</v>
      </c>
      <c r="AS1197" s="1" t="s">
        <v>199</v>
      </c>
      <c r="AT1197" s="1">
        <v>3.0</v>
      </c>
      <c r="AV1197" s="1" t="s">
        <v>200</v>
      </c>
      <c r="AW1197" s="1">
        <v>7626.72</v>
      </c>
      <c r="AX1197" s="1">
        <v>2013.0</v>
      </c>
      <c r="AY1197" s="1" t="s">
        <v>387</v>
      </c>
      <c r="AZ1197" s="1" t="s">
        <v>200</v>
      </c>
      <c r="BA1197" s="1" t="str">
        <f>"0821252001"</f>
        <v>0821252001</v>
      </c>
      <c r="BB1197" s="1" t="s">
        <v>200</v>
      </c>
      <c r="BC1197" s="1">
        <v>2532.0</v>
      </c>
      <c r="BD1197" s="1">
        <v>230000.0</v>
      </c>
      <c r="BE1197" s="2">
        <v>42051.0</v>
      </c>
      <c r="BF1197" s="1" t="s">
        <v>12905</v>
      </c>
      <c r="BH1197" s="1">
        <v>0.0</v>
      </c>
      <c r="BK1197" s="1" t="s">
        <v>204</v>
      </c>
      <c r="BL1197" s="1" t="str">
        <f t="shared" ref="BL1197:BM1197" si="797">""</f>
        <v/>
      </c>
      <c r="BM1197" s="1" t="str">
        <f t="shared" si="797"/>
        <v/>
      </c>
      <c r="BQ1197" s="1">
        <v>303.0</v>
      </c>
      <c r="BR1197" s="1">
        <v>303.0</v>
      </c>
      <c r="BS1197" s="1">
        <v>303.0</v>
      </c>
      <c r="BU1197" s="1" t="s">
        <v>784</v>
      </c>
      <c r="BV1197" s="1" t="s">
        <v>206</v>
      </c>
      <c r="BY1197" s="1" t="s">
        <v>2900</v>
      </c>
      <c r="BZ1197" s="1" t="s">
        <v>209</v>
      </c>
      <c r="CC1197" s="1" t="s">
        <v>1395</v>
      </c>
      <c r="CD1197" s="1" t="s">
        <v>206</v>
      </c>
      <c r="CG1197" s="1" t="s">
        <v>495</v>
      </c>
      <c r="CH1197" s="1" t="s">
        <v>209</v>
      </c>
      <c r="CK1197" s="1" t="s">
        <v>663</v>
      </c>
      <c r="CL1197" s="1" t="s">
        <v>209</v>
      </c>
      <c r="CO1197" s="1" t="s">
        <v>433</v>
      </c>
      <c r="CP1197" s="1" t="s">
        <v>209</v>
      </c>
      <c r="CS1197" s="1" t="s">
        <v>616</v>
      </c>
      <c r="CT1197" s="1" t="s">
        <v>206</v>
      </c>
      <c r="CW1197" s="1" t="s">
        <v>1043</v>
      </c>
      <c r="CX1197" s="1" t="s">
        <v>206</v>
      </c>
      <c r="DA1197" s="1" t="s">
        <v>200</v>
      </c>
      <c r="DC1197" s="1" t="s">
        <v>305</v>
      </c>
      <c r="DE1197" s="1" t="s">
        <v>229</v>
      </c>
      <c r="DF1197" s="1" t="s">
        <v>219</v>
      </c>
      <c r="DH1197" s="1" t="s">
        <v>856</v>
      </c>
      <c r="DJ1197" s="1" t="s">
        <v>857</v>
      </c>
      <c r="DL1197" s="1" t="s">
        <v>224</v>
      </c>
      <c r="DM1197" s="1" t="s">
        <v>229</v>
      </c>
      <c r="DQ1197" s="1" t="s">
        <v>931</v>
      </c>
      <c r="DR1197" s="1" t="s">
        <v>229</v>
      </c>
      <c r="DV1197" s="1" t="s">
        <v>8315</v>
      </c>
      <c r="DW1197" s="1" t="s">
        <v>764</v>
      </c>
      <c r="DX1197" s="1" t="s">
        <v>234</v>
      </c>
      <c r="DY1197" s="1" t="s">
        <v>4250</v>
      </c>
      <c r="DZ1197" s="1" t="s">
        <v>3374</v>
      </c>
      <c r="EA1197" s="1" t="s">
        <v>447</v>
      </c>
      <c r="EC1197" s="1" t="s">
        <v>237</v>
      </c>
      <c r="EG1197" s="1" t="s">
        <v>450</v>
      </c>
      <c r="EH1197" s="1" t="s">
        <v>1491</v>
      </c>
      <c r="EL1197" s="1" t="s">
        <v>12906</v>
      </c>
      <c r="EM1197" s="1" t="s">
        <v>42</v>
      </c>
      <c r="EP1197" s="1" t="s">
        <v>1395</v>
      </c>
      <c r="EQ1197" s="1" t="s">
        <v>42</v>
      </c>
      <c r="EU1197" s="1" t="s">
        <v>238</v>
      </c>
      <c r="EY1197" s="1" t="s">
        <v>238</v>
      </c>
      <c r="FC1197" s="1" t="s">
        <v>238</v>
      </c>
      <c r="FF1197" s="1" t="s">
        <v>239</v>
      </c>
      <c r="FG1197" s="1" t="s">
        <v>192</v>
      </c>
      <c r="FH1197" s="1" t="s">
        <v>192</v>
      </c>
      <c r="FJ1197" s="1" t="s">
        <v>1248</v>
      </c>
      <c r="FK1197" s="1" t="s">
        <v>229</v>
      </c>
      <c r="FL1197" s="1" t="s">
        <v>1383</v>
      </c>
      <c r="FM1197" s="1">
        <v>24370.0</v>
      </c>
      <c r="FN1197" s="1" t="s">
        <v>1384</v>
      </c>
      <c r="FO1197" s="1" t="s">
        <v>2980</v>
      </c>
      <c r="FP1197" s="1">
        <v>259338.0</v>
      </c>
      <c r="FQ1197" s="1" t="s">
        <v>1386</v>
      </c>
      <c r="FR1197" s="1">
        <v>244997.0</v>
      </c>
      <c r="FU1197" s="1" t="s">
        <v>12907</v>
      </c>
      <c r="FV1197" s="1" t="s">
        <v>200</v>
      </c>
      <c r="FW1197" s="1" t="s">
        <v>290</v>
      </c>
      <c r="FZ1197" s="1" t="s">
        <v>229</v>
      </c>
      <c r="GA1197" s="1" t="s">
        <v>291</v>
      </c>
      <c r="GB1197" s="2">
        <v>42145.0</v>
      </c>
      <c r="GC1197" s="1" t="s">
        <v>2982</v>
      </c>
    </row>
    <row r="1198">
      <c r="A1198" s="1">
        <v>317500.0</v>
      </c>
      <c r="B1198" s="1" t="s">
        <v>185</v>
      </c>
      <c r="C1198" s="1" t="str">
        <f>"08840416"</f>
        <v>08840416</v>
      </c>
      <c r="D1198" s="1" t="s">
        <v>186</v>
      </c>
      <c r="F1198" s="1" t="str">
        <f>"119"</f>
        <v>119</v>
      </c>
      <c r="G1198" s="2">
        <v>42052.0</v>
      </c>
      <c r="H1198" s="1">
        <v>319900.0</v>
      </c>
      <c r="I1198" s="1">
        <v>5.0</v>
      </c>
      <c r="J1198" s="1">
        <v>319900.0</v>
      </c>
      <c r="K1198" s="2">
        <v>42056.0</v>
      </c>
      <c r="L1198" s="1">
        <v>5.0</v>
      </c>
      <c r="M1198" s="2">
        <v>42056.0</v>
      </c>
      <c r="N1198" s="1" t="s">
        <v>356</v>
      </c>
      <c r="O1198" s="2">
        <v>42089.0</v>
      </c>
      <c r="P1198" s="1">
        <v>7842.0</v>
      </c>
      <c r="Q1198" s="1">
        <v>41.0</v>
      </c>
      <c r="S1198" s="1" t="s">
        <v>12908</v>
      </c>
      <c r="T1198" s="1" t="s">
        <v>12909</v>
      </c>
      <c r="U1198" s="1" t="s">
        <v>569</v>
      </c>
      <c r="V1198" s="1" t="s">
        <v>1476</v>
      </c>
      <c r="W1198" s="1">
        <v>60119.0</v>
      </c>
      <c r="Y1198" s="1" t="s">
        <v>12910</v>
      </c>
      <c r="Z1198" s="1">
        <v>1984.0</v>
      </c>
      <c r="AA1198" s="1" t="s">
        <v>200</v>
      </c>
      <c r="AB1198" s="1" t="s">
        <v>467</v>
      </c>
      <c r="AC1198" s="1" t="s">
        <v>12911</v>
      </c>
      <c r="AD1198" s="1" t="s">
        <v>1089</v>
      </c>
      <c r="AE1198" s="1" t="s">
        <v>325</v>
      </c>
      <c r="AF1198" s="1" t="s">
        <v>1632</v>
      </c>
      <c r="AH1198" s="1" t="s">
        <v>12912</v>
      </c>
      <c r="AI1198" s="1">
        <v>0.98</v>
      </c>
      <c r="AK1198" s="1">
        <v>10.0</v>
      </c>
      <c r="AL1198" s="1">
        <v>4.0</v>
      </c>
      <c r="AM1198" s="1">
        <v>2.0</v>
      </c>
      <c r="AN1198" s="1">
        <v>1.0</v>
      </c>
      <c r="AO1198" s="1" t="s">
        <v>198</v>
      </c>
      <c r="AP1198" s="1">
        <v>1.0</v>
      </c>
      <c r="AQ1198" s="1" t="s">
        <v>1314</v>
      </c>
      <c r="AR1198" s="1" t="s">
        <v>200</v>
      </c>
      <c r="AS1198" s="1" t="s">
        <v>199</v>
      </c>
      <c r="AT1198" s="1">
        <v>2.0</v>
      </c>
      <c r="AV1198" s="1" t="s">
        <v>200</v>
      </c>
      <c r="AW1198" s="1">
        <v>8962.0</v>
      </c>
      <c r="AX1198" s="1">
        <v>2013.0</v>
      </c>
      <c r="AY1198" s="1" t="s">
        <v>387</v>
      </c>
      <c r="AZ1198" s="1" t="s">
        <v>200</v>
      </c>
      <c r="BA1198" s="1" t="str">
        <f>"0820178008"</f>
        <v>0820178008</v>
      </c>
      <c r="BB1198" s="1" t="s">
        <v>200</v>
      </c>
      <c r="BC1198" s="1">
        <v>2402.0</v>
      </c>
      <c r="BD1198" s="1">
        <v>317500.0</v>
      </c>
      <c r="BE1198" s="2">
        <v>42052.0</v>
      </c>
      <c r="BF1198" s="2" t="s">
        <v>12913</v>
      </c>
      <c r="BH1198" s="1">
        <v>60.0</v>
      </c>
      <c r="BK1198" s="1" t="s">
        <v>580</v>
      </c>
      <c r="BL1198" s="1" t="str">
        <f>"4"</f>
        <v>4</v>
      </c>
      <c r="BM1198" s="1" t="str">
        <f>""</f>
        <v/>
      </c>
      <c r="BN1198" s="1">
        <v>43.0</v>
      </c>
      <c r="BQ1198" s="1">
        <v>302.0</v>
      </c>
      <c r="BR1198" s="1">
        <v>302.0</v>
      </c>
      <c r="BS1198" s="1">
        <v>302.0</v>
      </c>
      <c r="BU1198" s="1" t="s">
        <v>878</v>
      </c>
      <c r="BV1198" s="1" t="s">
        <v>206</v>
      </c>
      <c r="BW1198" s="1" t="s">
        <v>207</v>
      </c>
      <c r="BX1198" s="1" t="s">
        <v>431</v>
      </c>
      <c r="BY1198" s="1" t="s">
        <v>1567</v>
      </c>
      <c r="BZ1198" s="1" t="s">
        <v>209</v>
      </c>
      <c r="CA1198" s="1" t="s">
        <v>210</v>
      </c>
      <c r="CB1198" s="1" t="s">
        <v>431</v>
      </c>
      <c r="CC1198" s="1" t="s">
        <v>663</v>
      </c>
      <c r="CD1198" s="1" t="s">
        <v>206</v>
      </c>
      <c r="CE1198" s="1" t="s">
        <v>207</v>
      </c>
      <c r="CF1198" s="1" t="s">
        <v>431</v>
      </c>
      <c r="CG1198" s="1" t="s">
        <v>1329</v>
      </c>
      <c r="CH1198" s="1" t="s">
        <v>209</v>
      </c>
      <c r="CI1198" s="1" t="s">
        <v>210</v>
      </c>
      <c r="CJ1198" s="1" t="s">
        <v>431</v>
      </c>
      <c r="CK1198" s="1" t="s">
        <v>1351</v>
      </c>
      <c r="CL1198" s="1" t="s">
        <v>209</v>
      </c>
      <c r="CM1198" s="1" t="s">
        <v>210</v>
      </c>
      <c r="CN1198" s="1" t="s">
        <v>431</v>
      </c>
      <c r="CO1198" s="1" t="s">
        <v>663</v>
      </c>
      <c r="CP1198" s="1" t="s">
        <v>209</v>
      </c>
      <c r="CQ1198" s="1" t="s">
        <v>210</v>
      </c>
      <c r="CR1198" s="1" t="s">
        <v>431</v>
      </c>
      <c r="CS1198" s="1" t="s">
        <v>1063</v>
      </c>
      <c r="CT1198" s="1" t="s">
        <v>206</v>
      </c>
      <c r="CU1198" s="1" t="s">
        <v>268</v>
      </c>
      <c r="CV1198" s="1" t="s">
        <v>431</v>
      </c>
      <c r="CW1198" s="1" t="s">
        <v>6316</v>
      </c>
      <c r="CX1198" s="1" t="s">
        <v>267</v>
      </c>
      <c r="CY1198" s="1" t="s">
        <v>268</v>
      </c>
      <c r="CZ1198" s="1" t="s">
        <v>431</v>
      </c>
      <c r="DA1198" s="1" t="s">
        <v>200</v>
      </c>
      <c r="DC1198" s="1" t="s">
        <v>395</v>
      </c>
      <c r="DD1198" s="1" t="s">
        <v>759</v>
      </c>
      <c r="DE1198" s="1" t="s">
        <v>273</v>
      </c>
      <c r="DF1198" s="1" t="s">
        <v>219</v>
      </c>
      <c r="DG1198" s="1" t="s">
        <v>4976</v>
      </c>
      <c r="DH1198" s="1" t="s">
        <v>856</v>
      </c>
      <c r="DI1198" s="1" t="s">
        <v>732</v>
      </c>
      <c r="DJ1198" s="1" t="s">
        <v>857</v>
      </c>
      <c r="DK1198" s="1" t="s">
        <v>223</v>
      </c>
      <c r="DL1198" s="1" t="s">
        <v>9826</v>
      </c>
      <c r="DM1198" s="1" t="s">
        <v>338</v>
      </c>
      <c r="DO1198" s="1" t="s">
        <v>717</v>
      </c>
      <c r="DP1198" s="1" t="s">
        <v>400</v>
      </c>
      <c r="DQ1198" s="1" t="s">
        <v>1557</v>
      </c>
      <c r="DR1198" s="1" t="s">
        <v>588</v>
      </c>
      <c r="DS1198" s="1" t="s">
        <v>230</v>
      </c>
      <c r="DU1198" s="1" t="s">
        <v>12914</v>
      </c>
      <c r="DV1198" s="1" t="s">
        <v>7010</v>
      </c>
      <c r="DW1198" s="1" t="s">
        <v>667</v>
      </c>
      <c r="DX1198" s="1" t="s">
        <v>234</v>
      </c>
      <c r="DY1198" s="1" t="s">
        <v>935</v>
      </c>
      <c r="DZ1198" s="1" t="s">
        <v>12915</v>
      </c>
      <c r="EA1198" s="1" t="s">
        <v>283</v>
      </c>
      <c r="EB1198" s="1" t="s">
        <v>2183</v>
      </c>
      <c r="EC1198" s="1" t="s">
        <v>4613</v>
      </c>
      <c r="ED1198" s="1" t="s">
        <v>407</v>
      </c>
      <c r="EE1198" s="1" t="s">
        <v>187</v>
      </c>
      <c r="EG1198" s="1" t="s">
        <v>449</v>
      </c>
      <c r="EH1198" s="1" t="s">
        <v>598</v>
      </c>
      <c r="EL1198" s="1" t="s">
        <v>3182</v>
      </c>
      <c r="EM1198" s="1" t="s">
        <v>206</v>
      </c>
      <c r="EN1198" s="1" t="s">
        <v>207</v>
      </c>
      <c r="EO1198" s="1" t="s">
        <v>431</v>
      </c>
      <c r="EP1198" s="1" t="s">
        <v>302</v>
      </c>
      <c r="EQ1198" s="1" t="s">
        <v>206</v>
      </c>
      <c r="ER1198" s="1" t="s">
        <v>207</v>
      </c>
      <c r="ES1198" s="1" t="s">
        <v>431</v>
      </c>
      <c r="EU1198" s="1" t="s">
        <v>238</v>
      </c>
      <c r="EY1198" s="1" t="s">
        <v>238</v>
      </c>
      <c r="FC1198" s="1" t="s">
        <v>238</v>
      </c>
      <c r="FF1198" s="1" t="s">
        <v>239</v>
      </c>
      <c r="FG1198" s="1" t="s">
        <v>192</v>
      </c>
      <c r="FH1198" s="1" t="s">
        <v>192</v>
      </c>
      <c r="FJ1198" s="1" t="s">
        <v>11531</v>
      </c>
      <c r="FK1198" s="1" t="s">
        <v>229</v>
      </c>
      <c r="FL1198" s="1" t="s">
        <v>1212</v>
      </c>
      <c r="FM1198" s="1">
        <v>30.0</v>
      </c>
      <c r="FN1198" s="1" t="s">
        <v>1213</v>
      </c>
      <c r="FO1198" s="1" t="s">
        <v>5594</v>
      </c>
      <c r="FP1198" s="1">
        <v>500.0</v>
      </c>
      <c r="FQ1198" s="1" t="s">
        <v>5595</v>
      </c>
      <c r="FU1198" s="1" t="s">
        <v>3617</v>
      </c>
      <c r="FV1198" s="1" t="s">
        <v>200</v>
      </c>
      <c r="FW1198" s="1" t="s">
        <v>290</v>
      </c>
      <c r="FZ1198" s="1" t="s">
        <v>229</v>
      </c>
      <c r="GA1198" s="1" t="s">
        <v>291</v>
      </c>
      <c r="GB1198" s="2">
        <v>42093.0</v>
      </c>
      <c r="GC1198" s="1" t="s">
        <v>12916</v>
      </c>
    </row>
    <row r="1199">
      <c r="A1199" s="1">
        <v>167500.0</v>
      </c>
      <c r="B1199" s="1" t="s">
        <v>185</v>
      </c>
      <c r="C1199" s="1" t="str">
        <f>"08841382"</f>
        <v>08841382</v>
      </c>
      <c r="D1199" s="1" t="s">
        <v>186</v>
      </c>
      <c r="F1199" s="1" t="str">
        <f>"8045"</f>
        <v>8045</v>
      </c>
      <c r="G1199" s="2">
        <v>42053.0</v>
      </c>
      <c r="H1199" s="1">
        <v>169900.0</v>
      </c>
      <c r="I1199" s="1">
        <v>62.0</v>
      </c>
      <c r="J1199" s="1">
        <v>167500.0</v>
      </c>
      <c r="K1199" s="2">
        <v>42093.0</v>
      </c>
      <c r="L1199" s="1">
        <v>41.0</v>
      </c>
      <c r="M1199" s="2">
        <v>42093.0</v>
      </c>
      <c r="N1199" s="1" t="s">
        <v>356</v>
      </c>
      <c r="O1199" s="2">
        <v>42128.0</v>
      </c>
      <c r="P1199" s="1">
        <v>154012.0</v>
      </c>
      <c r="Q1199" s="1">
        <v>85175.0</v>
      </c>
      <c r="R1199" s="1">
        <v>3.0</v>
      </c>
      <c r="S1199" s="1">
        <v>8610.0</v>
      </c>
      <c r="T1199" s="1" t="s">
        <v>12917</v>
      </c>
      <c r="U1199" s="1" t="s">
        <v>189</v>
      </c>
      <c r="V1199" s="1" t="s">
        <v>190</v>
      </c>
      <c r="W1199" s="1">
        <v>60619.0</v>
      </c>
      <c r="Y1199" s="1" t="s">
        <v>12918</v>
      </c>
      <c r="Z1199" s="1">
        <v>1949.0</v>
      </c>
      <c r="AA1199" s="1" t="s">
        <v>192</v>
      </c>
      <c r="AB1199" s="1" t="s">
        <v>193</v>
      </c>
      <c r="AD1199" s="1" t="s">
        <v>194</v>
      </c>
      <c r="AE1199" s="1" t="s">
        <v>195</v>
      </c>
      <c r="AF1199" s="1" t="s">
        <v>637</v>
      </c>
      <c r="AH1199" s="1">
        <v>3720.0</v>
      </c>
      <c r="AI1199" s="1">
        <v>0.0854</v>
      </c>
      <c r="AK1199" s="1">
        <v>7.0</v>
      </c>
      <c r="AL1199" s="1">
        <v>3.0</v>
      </c>
      <c r="AM1199" s="1">
        <v>2.0</v>
      </c>
      <c r="AN1199" s="1">
        <v>0.0</v>
      </c>
      <c r="AO1199" s="1" t="s">
        <v>229</v>
      </c>
      <c r="AP1199" s="1">
        <v>1.0</v>
      </c>
      <c r="AQ1199" s="1" t="s">
        <v>198</v>
      </c>
      <c r="AR1199" s="1" t="s">
        <v>192</v>
      </c>
      <c r="AS1199" s="1" t="s">
        <v>199</v>
      </c>
      <c r="AT1199" s="1">
        <v>2.0</v>
      </c>
      <c r="AV1199" s="1" t="s">
        <v>200</v>
      </c>
      <c r="AW1199" s="1">
        <v>1885.77</v>
      </c>
      <c r="AX1199" s="1">
        <v>2013.0</v>
      </c>
      <c r="AZ1199" s="1" t="s">
        <v>200</v>
      </c>
      <c r="BA1199" s="1" t="str">
        <f>"20354130190000"</f>
        <v>20354130190000</v>
      </c>
      <c r="BC1199" s="1">
        <v>1300.0</v>
      </c>
      <c r="BD1199" s="1">
        <v>167500.0</v>
      </c>
      <c r="BE1199" s="2">
        <v>42053.0</v>
      </c>
      <c r="BF1199" s="2" t="s">
        <v>12919</v>
      </c>
      <c r="BH1199" s="1">
        <v>0.0</v>
      </c>
      <c r="BK1199" s="1" t="s">
        <v>204</v>
      </c>
      <c r="BL1199" s="1" t="str">
        <f>"0"</f>
        <v>0</v>
      </c>
      <c r="BM1199" s="1" t="str">
        <f>"1432"</f>
        <v>1432</v>
      </c>
      <c r="BN1199" s="1">
        <v>0.0</v>
      </c>
      <c r="BO1199" s="1">
        <v>8610.0</v>
      </c>
      <c r="BQ1199" s="1">
        <v>299.0</v>
      </c>
      <c r="BR1199" s="1">
        <v>299.0</v>
      </c>
      <c r="BS1199" s="1">
        <v>299.0</v>
      </c>
      <c r="BU1199" s="1" t="s">
        <v>1426</v>
      </c>
      <c r="BV1199" s="1" t="s">
        <v>206</v>
      </c>
      <c r="BW1199" s="1" t="s">
        <v>207</v>
      </c>
      <c r="BY1199" s="1" t="s">
        <v>392</v>
      </c>
      <c r="BZ1199" s="1" t="s">
        <v>206</v>
      </c>
      <c r="CA1199" s="1" t="s">
        <v>207</v>
      </c>
      <c r="CD1199" s="1" t="s">
        <v>204</v>
      </c>
      <c r="CG1199" s="1" t="s">
        <v>497</v>
      </c>
      <c r="CH1199" s="1" t="s">
        <v>206</v>
      </c>
      <c r="CI1199" s="1" t="s">
        <v>207</v>
      </c>
      <c r="CK1199" s="1" t="s">
        <v>263</v>
      </c>
      <c r="CL1199" s="1" t="s">
        <v>206</v>
      </c>
      <c r="CO1199" s="1" t="s">
        <v>497</v>
      </c>
      <c r="CP1199" s="1" t="s">
        <v>42</v>
      </c>
      <c r="CQ1199" s="1" t="s">
        <v>268</v>
      </c>
      <c r="CS1199" s="1" t="s">
        <v>700</v>
      </c>
      <c r="CT1199" s="1" t="s">
        <v>206</v>
      </c>
      <c r="CU1199" s="1" t="s">
        <v>268</v>
      </c>
      <c r="CW1199" s="1" t="s">
        <v>1244</v>
      </c>
      <c r="CX1199" s="1" t="s">
        <v>42</v>
      </c>
      <c r="CY1199" s="1" t="s">
        <v>268</v>
      </c>
      <c r="DA1199" s="1" t="s">
        <v>200</v>
      </c>
      <c r="DC1199" s="1" t="s">
        <v>702</v>
      </c>
      <c r="DE1199" s="1" t="s">
        <v>273</v>
      </c>
      <c r="DF1199" s="1" t="s">
        <v>219</v>
      </c>
      <c r="DH1199" s="1" t="s">
        <v>365</v>
      </c>
      <c r="DI1199" s="1" t="s">
        <v>366</v>
      </c>
      <c r="DJ1199" s="1" t="s">
        <v>222</v>
      </c>
      <c r="DL1199" s="1" t="s">
        <v>224</v>
      </c>
      <c r="DM1199" s="1" t="s">
        <v>229</v>
      </c>
      <c r="DQ1199" s="1" t="s">
        <v>228</v>
      </c>
      <c r="DR1199" s="1" t="s">
        <v>229</v>
      </c>
      <c r="DS1199" s="1" t="s">
        <v>230</v>
      </c>
      <c r="DV1199" s="1" t="s">
        <v>232</v>
      </c>
      <c r="DW1199" s="1" t="s">
        <v>279</v>
      </c>
      <c r="DX1199" s="1" t="s">
        <v>234</v>
      </c>
      <c r="DY1199" s="1" t="s">
        <v>553</v>
      </c>
      <c r="EA1199" s="1" t="s">
        <v>683</v>
      </c>
      <c r="EC1199" s="1" t="s">
        <v>685</v>
      </c>
      <c r="EM1199" s="1" t="s">
        <v>238</v>
      </c>
      <c r="EQ1199" s="1" t="s">
        <v>238</v>
      </c>
      <c r="EU1199" s="1" t="s">
        <v>238</v>
      </c>
      <c r="EY1199" s="1" t="s">
        <v>238</v>
      </c>
      <c r="FC1199" s="1" t="s">
        <v>238</v>
      </c>
      <c r="FF1199" s="1" t="s">
        <v>239</v>
      </c>
      <c r="FG1199" s="1" t="s">
        <v>192</v>
      </c>
      <c r="FH1199" s="1" t="s">
        <v>192</v>
      </c>
      <c r="FJ1199" s="1" t="s">
        <v>648</v>
      </c>
      <c r="FK1199" s="1" t="s">
        <v>229</v>
      </c>
      <c r="FL1199" s="1" t="s">
        <v>649</v>
      </c>
      <c r="FM1199" s="1">
        <v>60296.0</v>
      </c>
      <c r="FN1199" s="1" t="s">
        <v>650</v>
      </c>
      <c r="FO1199" s="1" t="s">
        <v>651</v>
      </c>
      <c r="FP1199" s="1">
        <v>602837.0</v>
      </c>
      <c r="FQ1199" s="1" t="s">
        <v>652</v>
      </c>
      <c r="FR1199" s="1">
        <v>602442.0</v>
      </c>
      <c r="FU1199" s="1" t="s">
        <v>1438</v>
      </c>
      <c r="FV1199" s="1" t="s">
        <v>200</v>
      </c>
      <c r="FW1199" s="1" t="s">
        <v>530</v>
      </c>
      <c r="FX1199" s="1" t="s">
        <v>655</v>
      </c>
      <c r="FZ1199" s="1" t="s">
        <v>229</v>
      </c>
      <c r="GA1199" s="1" t="s">
        <v>291</v>
      </c>
      <c r="GB1199" s="2">
        <v>42135.0</v>
      </c>
      <c r="GC1199" s="1" t="s">
        <v>1372</v>
      </c>
    </row>
    <row r="1200">
      <c r="A1200" s="1">
        <v>648500.0</v>
      </c>
      <c r="B1200" s="1" t="s">
        <v>185</v>
      </c>
      <c r="C1200" s="1" t="str">
        <f>"08843330"</f>
        <v>08843330</v>
      </c>
      <c r="D1200" s="1" t="s">
        <v>186</v>
      </c>
      <c r="F1200" s="1" t="str">
        <f>"10"</f>
        <v>10</v>
      </c>
      <c r="G1200" s="2">
        <v>42055.0</v>
      </c>
      <c r="H1200" s="1">
        <v>699900.0</v>
      </c>
      <c r="I1200" s="1">
        <v>115.0</v>
      </c>
      <c r="J1200" s="1">
        <v>699900.0</v>
      </c>
      <c r="K1200" s="2">
        <v>42070.0</v>
      </c>
      <c r="L1200" s="1">
        <v>16.0</v>
      </c>
      <c r="M1200" s="2">
        <v>42070.0</v>
      </c>
      <c r="N1200" s="1" t="s">
        <v>187</v>
      </c>
      <c r="O1200" s="2">
        <v>42097.0</v>
      </c>
      <c r="P1200" s="1">
        <v>922136.0</v>
      </c>
      <c r="Q1200" s="1">
        <v>8390.0</v>
      </c>
      <c r="S1200" s="1">
        <v>22495.0</v>
      </c>
      <c r="T1200" s="1" t="s">
        <v>2886</v>
      </c>
      <c r="U1200" s="1" t="s">
        <v>844</v>
      </c>
      <c r="V1200" s="1" t="s">
        <v>2004</v>
      </c>
      <c r="W1200" s="1">
        <v>60010.0</v>
      </c>
      <c r="Y1200" s="1" t="s">
        <v>12920</v>
      </c>
      <c r="Z1200" s="1">
        <v>1993.0</v>
      </c>
      <c r="AA1200" s="1" t="s">
        <v>200</v>
      </c>
      <c r="AB1200" s="1" t="s">
        <v>193</v>
      </c>
      <c r="AC1200" s="1" t="s">
        <v>12921</v>
      </c>
      <c r="AD1200" s="1" t="s">
        <v>2007</v>
      </c>
      <c r="AE1200" s="1" t="s">
        <v>917</v>
      </c>
      <c r="AF1200" s="1" t="s">
        <v>2008</v>
      </c>
      <c r="AG1200" s="1" t="s">
        <v>752</v>
      </c>
      <c r="AH1200" s="1">
        <v>68745.0</v>
      </c>
      <c r="AI1200" s="1">
        <v>1.58</v>
      </c>
      <c r="AK1200" s="1">
        <v>12.0</v>
      </c>
      <c r="AL1200" s="1">
        <v>4.0</v>
      </c>
      <c r="AM1200" s="1">
        <v>4.0</v>
      </c>
      <c r="AN1200" s="1">
        <v>1.0</v>
      </c>
      <c r="AO1200" s="1" t="s">
        <v>198</v>
      </c>
      <c r="AP1200" s="1">
        <v>2.0</v>
      </c>
      <c r="AQ1200" s="1" t="s">
        <v>198</v>
      </c>
      <c r="AR1200" s="1" t="s">
        <v>192</v>
      </c>
      <c r="AS1200" s="1" t="s">
        <v>199</v>
      </c>
      <c r="AT1200" s="1">
        <v>3.0</v>
      </c>
      <c r="AV1200" s="1" t="s">
        <v>200</v>
      </c>
      <c r="AW1200" s="1">
        <v>16118.79</v>
      </c>
      <c r="AX1200" s="1">
        <v>2013.0</v>
      </c>
      <c r="AY1200" s="1" t="s">
        <v>229</v>
      </c>
      <c r="AZ1200" s="1" t="s">
        <v>200</v>
      </c>
      <c r="BA1200" s="1" t="str">
        <f>"13224040020000"</f>
        <v>13224040020000</v>
      </c>
      <c r="BC1200" s="1">
        <v>4781.0</v>
      </c>
      <c r="BD1200" s="1">
        <v>648500.0</v>
      </c>
      <c r="BE1200" s="2">
        <v>42055.0</v>
      </c>
      <c r="BF1200" s="2" t="s">
        <v>12922</v>
      </c>
      <c r="BG1200" s="1" t="s">
        <v>10354</v>
      </c>
      <c r="BH1200" s="1">
        <v>0.0</v>
      </c>
      <c r="BI1200" s="1" t="s">
        <v>2012</v>
      </c>
      <c r="BJ1200" s="1" t="s">
        <v>1714</v>
      </c>
      <c r="BK1200" s="1" t="s">
        <v>204</v>
      </c>
      <c r="BL1200" s="1" t="str">
        <f t="shared" ref="BL1200:BM1200" si="798">""</f>
        <v/>
      </c>
      <c r="BM1200" s="1" t="str">
        <f t="shared" si="798"/>
        <v/>
      </c>
      <c r="BQ1200" s="1">
        <v>220.0</v>
      </c>
      <c r="BR1200" s="1">
        <v>220.0</v>
      </c>
      <c r="BS1200" s="1">
        <v>220.0</v>
      </c>
      <c r="BU1200" s="1" t="s">
        <v>1350</v>
      </c>
      <c r="BV1200" s="1" t="s">
        <v>206</v>
      </c>
      <c r="BW1200" s="1" t="s">
        <v>207</v>
      </c>
      <c r="BX1200" s="1" t="s">
        <v>261</v>
      </c>
      <c r="BY1200" s="1" t="s">
        <v>4919</v>
      </c>
      <c r="BZ1200" s="1" t="s">
        <v>209</v>
      </c>
      <c r="CA1200" s="1" t="s">
        <v>210</v>
      </c>
      <c r="CB1200" s="1" t="s">
        <v>261</v>
      </c>
      <c r="CC1200" s="1" t="s">
        <v>743</v>
      </c>
      <c r="CD1200" s="1" t="s">
        <v>206</v>
      </c>
      <c r="CE1200" s="1" t="s">
        <v>207</v>
      </c>
      <c r="CF1200" s="1" t="s">
        <v>261</v>
      </c>
      <c r="CG1200" s="1" t="s">
        <v>1395</v>
      </c>
      <c r="CH1200" s="1" t="s">
        <v>209</v>
      </c>
      <c r="CI1200" s="1" t="s">
        <v>210</v>
      </c>
      <c r="CJ1200" s="1" t="s">
        <v>261</v>
      </c>
      <c r="CK1200" s="1" t="s">
        <v>12923</v>
      </c>
      <c r="CL1200" s="1" t="s">
        <v>209</v>
      </c>
      <c r="CM1200" s="1" t="s">
        <v>210</v>
      </c>
      <c r="CN1200" s="1" t="s">
        <v>261</v>
      </c>
      <c r="CO1200" s="1" t="s">
        <v>214</v>
      </c>
      <c r="CP1200" s="1" t="s">
        <v>209</v>
      </c>
      <c r="CS1200" s="1" t="s">
        <v>214</v>
      </c>
      <c r="CT1200" s="1" t="s">
        <v>206</v>
      </c>
      <c r="CU1200" s="1" t="s">
        <v>207</v>
      </c>
      <c r="CV1200" s="1" t="s">
        <v>261</v>
      </c>
      <c r="CW1200" s="1" t="s">
        <v>716</v>
      </c>
      <c r="CX1200" s="1" t="s">
        <v>206</v>
      </c>
      <c r="CY1200" s="1" t="s">
        <v>207</v>
      </c>
      <c r="CZ1200" s="1" t="s">
        <v>261</v>
      </c>
      <c r="DA1200" s="1" t="s">
        <v>200</v>
      </c>
      <c r="DC1200" s="1" t="s">
        <v>435</v>
      </c>
      <c r="DE1200" s="1" t="s">
        <v>273</v>
      </c>
      <c r="DF1200" s="1" t="s">
        <v>546</v>
      </c>
      <c r="DG1200" s="1" t="s">
        <v>11277</v>
      </c>
      <c r="DH1200" s="1" t="s">
        <v>856</v>
      </c>
      <c r="DJ1200" s="1" t="s">
        <v>857</v>
      </c>
      <c r="DK1200" s="1" t="s">
        <v>223</v>
      </c>
      <c r="DL1200" s="1" t="s">
        <v>224</v>
      </c>
      <c r="DM1200" s="1" t="s">
        <v>229</v>
      </c>
      <c r="DN1200" s="1" t="s">
        <v>1659</v>
      </c>
      <c r="DO1200" s="1" t="s">
        <v>440</v>
      </c>
      <c r="DQ1200" s="1" t="s">
        <v>931</v>
      </c>
      <c r="DR1200" s="1" t="s">
        <v>229</v>
      </c>
      <c r="DS1200" s="1" t="s">
        <v>368</v>
      </c>
      <c r="DU1200" s="1" t="s">
        <v>12924</v>
      </c>
      <c r="DV1200" s="1" t="s">
        <v>12925</v>
      </c>
      <c r="DW1200" s="1" t="s">
        <v>764</v>
      </c>
      <c r="DX1200" s="1" t="s">
        <v>234</v>
      </c>
      <c r="DY1200" s="1" t="s">
        <v>1821</v>
      </c>
      <c r="DZ1200" s="1" t="s">
        <v>12926</v>
      </c>
      <c r="EA1200" s="1" t="s">
        <v>344</v>
      </c>
      <c r="EB1200" s="1" t="s">
        <v>767</v>
      </c>
      <c r="EC1200" s="1" t="s">
        <v>237</v>
      </c>
      <c r="ED1200" s="1" t="s">
        <v>407</v>
      </c>
      <c r="EG1200" s="1" t="s">
        <v>449</v>
      </c>
      <c r="EH1200" s="1" t="s">
        <v>494</v>
      </c>
      <c r="EI1200" s="1" t="s">
        <v>450</v>
      </c>
      <c r="EJ1200" s="1" t="s">
        <v>451</v>
      </c>
      <c r="EK1200" s="1" t="s">
        <v>408</v>
      </c>
      <c r="EL1200" s="1" t="s">
        <v>1068</v>
      </c>
      <c r="EM1200" s="1" t="s">
        <v>206</v>
      </c>
      <c r="EN1200" s="1" t="s">
        <v>207</v>
      </c>
      <c r="EP1200" s="1" t="s">
        <v>1483</v>
      </c>
      <c r="EQ1200" s="1" t="s">
        <v>206</v>
      </c>
      <c r="ER1200" s="1" t="s">
        <v>207</v>
      </c>
      <c r="ET1200" s="1" t="s">
        <v>12927</v>
      </c>
      <c r="EU1200" s="1" t="s">
        <v>267</v>
      </c>
      <c r="EV1200" s="1" t="s">
        <v>210</v>
      </c>
      <c r="EX1200" s="1" t="s">
        <v>769</v>
      </c>
      <c r="EY1200" s="1" t="s">
        <v>267</v>
      </c>
      <c r="EZ1200" s="1" t="s">
        <v>210</v>
      </c>
      <c r="FB1200" s="1" t="s">
        <v>1417</v>
      </c>
      <c r="FC1200" s="1" t="s">
        <v>206</v>
      </c>
      <c r="FD1200" s="1" t="s">
        <v>207</v>
      </c>
      <c r="FF1200" s="1" t="s">
        <v>239</v>
      </c>
      <c r="FG1200" s="1" t="s">
        <v>192</v>
      </c>
      <c r="FH1200" s="1" t="s">
        <v>192</v>
      </c>
      <c r="FJ1200" s="1" t="s">
        <v>1123</v>
      </c>
      <c r="FK1200" s="1" t="s">
        <v>229</v>
      </c>
      <c r="FL1200" s="1" t="s">
        <v>1358</v>
      </c>
      <c r="FM1200" s="1">
        <v>6022.0</v>
      </c>
      <c r="FN1200" s="1" t="s">
        <v>11515</v>
      </c>
      <c r="FO1200" s="1" t="s">
        <v>12928</v>
      </c>
      <c r="FP1200" s="1">
        <v>62990.0</v>
      </c>
      <c r="FQ1200" s="1" t="s">
        <v>12929</v>
      </c>
      <c r="FR1200" s="1">
        <v>62286.0</v>
      </c>
      <c r="FU1200" s="1" t="s">
        <v>12930</v>
      </c>
      <c r="FV1200" s="1" t="s">
        <v>200</v>
      </c>
      <c r="FW1200" s="1" t="s">
        <v>290</v>
      </c>
      <c r="FX1200" s="1" t="s">
        <v>12931</v>
      </c>
      <c r="FZ1200" s="1" t="s">
        <v>229</v>
      </c>
      <c r="GA1200" s="1" t="s">
        <v>291</v>
      </c>
      <c r="GB1200" s="2">
        <v>42100.0</v>
      </c>
      <c r="GC1200" s="1" t="s">
        <v>12932</v>
      </c>
    </row>
    <row r="1201">
      <c r="A1201" s="1">
        <v>50500.0</v>
      </c>
      <c r="B1201" s="1" t="s">
        <v>185</v>
      </c>
      <c r="C1201" s="1" t="str">
        <f>"08843601"</f>
        <v>08843601</v>
      </c>
      <c r="D1201" s="1" t="s">
        <v>186</v>
      </c>
      <c r="F1201" s="1" t="str">
        <f>"8075"</f>
        <v>8075</v>
      </c>
      <c r="G1201" s="2">
        <v>42056.0</v>
      </c>
      <c r="H1201" s="1">
        <v>58900.0</v>
      </c>
      <c r="I1201" s="1">
        <v>43.0</v>
      </c>
      <c r="J1201" s="1">
        <v>54900.0</v>
      </c>
      <c r="K1201" s="2">
        <v>42096.0</v>
      </c>
      <c r="L1201" s="1">
        <v>43.0</v>
      </c>
      <c r="M1201" s="2">
        <v>42096.0</v>
      </c>
      <c r="N1201" s="1" t="s">
        <v>249</v>
      </c>
      <c r="O1201" s="2">
        <v>42111.0</v>
      </c>
      <c r="P1201" s="1">
        <v>217706.0</v>
      </c>
      <c r="Q1201" s="1">
        <v>24050.0</v>
      </c>
      <c r="S1201" s="1">
        <v>11015.0</v>
      </c>
      <c r="T1201" s="1" t="s">
        <v>6060</v>
      </c>
      <c r="U1201" s="1" t="s">
        <v>320</v>
      </c>
      <c r="V1201" s="1" t="s">
        <v>190</v>
      </c>
      <c r="W1201" s="1">
        <v>60643.0</v>
      </c>
      <c r="Y1201" s="1" t="s">
        <v>12933</v>
      </c>
      <c r="Z1201" s="1">
        <v>1952.0</v>
      </c>
      <c r="AA1201" s="1" t="s">
        <v>192</v>
      </c>
      <c r="AB1201" s="1" t="s">
        <v>193</v>
      </c>
      <c r="AD1201" s="1" t="s">
        <v>194</v>
      </c>
      <c r="AE1201" s="1" t="s">
        <v>195</v>
      </c>
      <c r="AF1201" s="1" t="s">
        <v>659</v>
      </c>
      <c r="AH1201" s="1" t="s">
        <v>12934</v>
      </c>
      <c r="AI1201" s="1">
        <v>0.1271</v>
      </c>
      <c r="AK1201" s="1">
        <v>7.0</v>
      </c>
      <c r="AL1201" s="1">
        <v>3.0</v>
      </c>
      <c r="AM1201" s="1">
        <v>2.0</v>
      </c>
      <c r="AN1201" s="1">
        <v>0.0</v>
      </c>
      <c r="AO1201" s="1" t="s">
        <v>229</v>
      </c>
      <c r="AQ1201" s="1" t="s">
        <v>198</v>
      </c>
      <c r="AR1201" s="1" t="s">
        <v>192</v>
      </c>
      <c r="AS1201" s="1" t="s">
        <v>828</v>
      </c>
      <c r="AU1201" s="1">
        <v>2.0</v>
      </c>
      <c r="AV1201" s="1" t="s">
        <v>200</v>
      </c>
      <c r="AW1201" s="1">
        <v>1641.54</v>
      </c>
      <c r="AX1201" s="1">
        <v>2013.0</v>
      </c>
      <c r="AY1201" s="1" t="s">
        <v>387</v>
      </c>
      <c r="AZ1201" s="1" t="s">
        <v>200</v>
      </c>
      <c r="BA1201" s="1" t="str">
        <f>"25174200540000"</f>
        <v>25174200540000</v>
      </c>
      <c r="BC1201" s="1">
        <v>1017.0</v>
      </c>
      <c r="BD1201" s="1">
        <v>50500.0</v>
      </c>
      <c r="BE1201" s="2">
        <v>42054.0</v>
      </c>
      <c r="BF1201" s="2" t="s">
        <v>12935</v>
      </c>
      <c r="BH1201" s="1">
        <v>0.0</v>
      </c>
      <c r="BK1201" s="1" t="s">
        <v>204</v>
      </c>
      <c r="BL1201" s="1" t="str">
        <f t="shared" ref="BL1201:BM1201" si="799">"0"</f>
        <v>0</v>
      </c>
      <c r="BM1201" s="1" t="str">
        <f t="shared" si="799"/>
        <v>0</v>
      </c>
      <c r="BN1201" s="1">
        <v>1000.0</v>
      </c>
      <c r="BO1201" s="1">
        <v>11000.0</v>
      </c>
      <c r="BQ1201" s="1">
        <v>299.0</v>
      </c>
      <c r="BR1201" s="1">
        <v>299.0</v>
      </c>
      <c r="BS1201" s="1">
        <v>299.0</v>
      </c>
      <c r="BU1201" s="1" t="s">
        <v>300</v>
      </c>
      <c r="BV1201" s="1" t="s">
        <v>206</v>
      </c>
      <c r="BW1201" s="1" t="s">
        <v>210</v>
      </c>
      <c r="BY1201" s="1" t="s">
        <v>478</v>
      </c>
      <c r="BZ1201" s="1" t="s">
        <v>206</v>
      </c>
      <c r="CA1201" s="1" t="s">
        <v>210</v>
      </c>
      <c r="CD1201" s="1" t="s">
        <v>204</v>
      </c>
      <c r="CG1201" s="1" t="s">
        <v>363</v>
      </c>
      <c r="CH1201" s="1" t="s">
        <v>206</v>
      </c>
      <c r="CI1201" s="1" t="s">
        <v>210</v>
      </c>
      <c r="CK1201" s="1" t="s">
        <v>264</v>
      </c>
      <c r="CL1201" s="1" t="s">
        <v>206</v>
      </c>
      <c r="CM1201" s="1" t="s">
        <v>210</v>
      </c>
      <c r="CO1201" s="1" t="s">
        <v>478</v>
      </c>
      <c r="CP1201" s="1" t="s">
        <v>42</v>
      </c>
      <c r="CQ1201" s="1" t="s">
        <v>210</v>
      </c>
      <c r="CS1201" s="1" t="s">
        <v>2082</v>
      </c>
      <c r="CT1201" s="1" t="s">
        <v>206</v>
      </c>
      <c r="CU1201" s="1" t="s">
        <v>268</v>
      </c>
      <c r="CW1201" s="1" t="s">
        <v>330</v>
      </c>
      <c r="CX1201" s="1" t="s">
        <v>42</v>
      </c>
      <c r="CY1201" s="1" t="s">
        <v>210</v>
      </c>
      <c r="DA1201" s="1" t="s">
        <v>200</v>
      </c>
      <c r="DC1201" s="1" t="s">
        <v>702</v>
      </c>
      <c r="DE1201" s="1" t="s">
        <v>6485</v>
      </c>
      <c r="DF1201" s="1" t="s">
        <v>219</v>
      </c>
      <c r="DG1201" s="1" t="s">
        <v>2311</v>
      </c>
      <c r="DH1201" s="1" t="s">
        <v>220</v>
      </c>
      <c r="DJ1201" s="1" t="s">
        <v>222</v>
      </c>
      <c r="DL1201" s="1" t="s">
        <v>224</v>
      </c>
      <c r="DM1201" s="1" t="s">
        <v>229</v>
      </c>
      <c r="DQ1201" s="1" t="s">
        <v>228</v>
      </c>
      <c r="DR1201" s="1" t="s">
        <v>229</v>
      </c>
      <c r="DV1201" s="1" t="s">
        <v>232</v>
      </c>
      <c r="DW1201" s="1" t="s">
        <v>279</v>
      </c>
      <c r="DX1201" s="1" t="s">
        <v>234</v>
      </c>
      <c r="DY1201" s="1" t="s">
        <v>6341</v>
      </c>
      <c r="EA1201" s="1" t="s">
        <v>683</v>
      </c>
      <c r="EC1201" s="1" t="s">
        <v>685</v>
      </c>
      <c r="EF1201" s="1" t="s">
        <v>523</v>
      </c>
      <c r="EM1201" s="1" t="s">
        <v>238</v>
      </c>
      <c r="EQ1201" s="1" t="s">
        <v>238</v>
      </c>
      <c r="EU1201" s="1" t="s">
        <v>238</v>
      </c>
      <c r="EY1201" s="1" t="s">
        <v>238</v>
      </c>
      <c r="FC1201" s="1" t="s">
        <v>238</v>
      </c>
      <c r="FF1201" s="1" t="s">
        <v>239</v>
      </c>
      <c r="FG1201" s="1" t="s">
        <v>192</v>
      </c>
      <c r="FH1201" s="1" t="s">
        <v>192</v>
      </c>
      <c r="FJ1201" s="1" t="s">
        <v>12936</v>
      </c>
      <c r="FK1201" s="1" t="s">
        <v>229</v>
      </c>
      <c r="FL1201" s="1" t="s">
        <v>12937</v>
      </c>
      <c r="FM1201" s="1">
        <v>24050.0</v>
      </c>
      <c r="FN1201" s="1" t="s">
        <v>12938</v>
      </c>
      <c r="FO1201" s="1" t="s">
        <v>12939</v>
      </c>
      <c r="FP1201" s="1">
        <v>217706.0</v>
      </c>
      <c r="FQ1201" s="1" t="s">
        <v>12940</v>
      </c>
      <c r="FU1201" s="1" t="s">
        <v>12941</v>
      </c>
      <c r="FV1201" s="1" t="s">
        <v>200</v>
      </c>
      <c r="FW1201" s="1" t="s">
        <v>567</v>
      </c>
      <c r="FX1201" s="1" t="s">
        <v>655</v>
      </c>
      <c r="FZ1201" s="1" t="s">
        <v>229</v>
      </c>
      <c r="GA1201" s="1" t="s">
        <v>291</v>
      </c>
      <c r="GB1201" s="2">
        <v>42111.0</v>
      </c>
      <c r="GC1201" s="1" t="s">
        <v>12942</v>
      </c>
    </row>
    <row r="1202">
      <c r="A1202" s="1">
        <v>398000.0</v>
      </c>
      <c r="B1202" s="1" t="s">
        <v>185</v>
      </c>
      <c r="C1202" s="1" t="str">
        <f>"08852560"</f>
        <v>08852560</v>
      </c>
      <c r="D1202" s="1" t="s">
        <v>186</v>
      </c>
      <c r="F1202" s="1" t="str">
        <f>"134"</f>
        <v>134</v>
      </c>
      <c r="G1202" s="2">
        <v>42067.0</v>
      </c>
      <c r="H1202" s="1">
        <v>409000.0</v>
      </c>
      <c r="I1202" s="1">
        <v>6.0</v>
      </c>
      <c r="J1202" s="1">
        <v>409000.0</v>
      </c>
      <c r="K1202" s="2">
        <v>42072.0</v>
      </c>
      <c r="L1202" s="1">
        <v>6.0</v>
      </c>
      <c r="M1202" s="2">
        <v>42072.0</v>
      </c>
      <c r="N1202" s="1" t="s">
        <v>187</v>
      </c>
      <c r="O1202" s="2">
        <v>42111.0</v>
      </c>
      <c r="P1202" s="1">
        <v>7710.0</v>
      </c>
      <c r="Q1202" s="1">
        <v>74.0</v>
      </c>
      <c r="S1202" s="1" t="s">
        <v>12943</v>
      </c>
      <c r="T1202" s="1" t="s">
        <v>12944</v>
      </c>
      <c r="U1202" s="1" t="s">
        <v>1174</v>
      </c>
      <c r="V1202" s="1" t="s">
        <v>421</v>
      </c>
      <c r="W1202" s="1">
        <v>60134.0</v>
      </c>
      <c r="Y1202" s="1" t="s">
        <v>12945</v>
      </c>
      <c r="Z1202" s="1">
        <v>2007.0</v>
      </c>
      <c r="AA1202" s="1" t="s">
        <v>200</v>
      </c>
      <c r="AB1202" s="1" t="s">
        <v>193</v>
      </c>
      <c r="AC1202" s="1" t="s">
        <v>1596</v>
      </c>
      <c r="AD1202" s="1" t="s">
        <v>1089</v>
      </c>
      <c r="AE1202" s="1" t="s">
        <v>325</v>
      </c>
      <c r="AF1202" s="1" t="s">
        <v>1479</v>
      </c>
      <c r="AG1202" s="1" t="s">
        <v>12946</v>
      </c>
      <c r="AH1202" s="1" t="s">
        <v>12947</v>
      </c>
      <c r="AI1202" s="1">
        <v>0.2149</v>
      </c>
      <c r="AK1202" s="1">
        <v>13.0</v>
      </c>
      <c r="AL1202" s="1">
        <v>4.0</v>
      </c>
      <c r="AM1202" s="1">
        <v>2.0</v>
      </c>
      <c r="AN1202" s="1">
        <v>2.0</v>
      </c>
      <c r="AO1202" s="1" t="s">
        <v>198</v>
      </c>
      <c r="AP1202" s="1">
        <v>1.0</v>
      </c>
      <c r="AQ1202" s="1" t="s">
        <v>257</v>
      </c>
      <c r="AR1202" s="1" t="s">
        <v>192</v>
      </c>
      <c r="AS1202" s="1" t="s">
        <v>199</v>
      </c>
      <c r="AT1202" s="1">
        <v>3.0</v>
      </c>
      <c r="AV1202" s="1" t="s">
        <v>200</v>
      </c>
      <c r="AW1202" s="1">
        <v>10131.72</v>
      </c>
      <c r="AX1202" s="1">
        <v>2013.0</v>
      </c>
      <c r="AY1202" s="1" t="s">
        <v>387</v>
      </c>
      <c r="AZ1202" s="1" t="s">
        <v>200</v>
      </c>
      <c r="BA1202" s="1" t="str">
        <f>"1112173020"</f>
        <v>1112173020</v>
      </c>
      <c r="BC1202" s="1">
        <v>2610.0</v>
      </c>
      <c r="BD1202" s="1">
        <v>398000.0</v>
      </c>
      <c r="BE1202" s="2">
        <v>42067.0</v>
      </c>
      <c r="BF1202" s="2" t="s">
        <v>12948</v>
      </c>
      <c r="BH1202" s="1">
        <v>0.0</v>
      </c>
      <c r="BK1202" s="1" t="s">
        <v>204</v>
      </c>
      <c r="BL1202" s="1" t="str">
        <f t="shared" ref="BL1202:BM1202" si="800">""</f>
        <v/>
      </c>
      <c r="BM1202" s="1" t="str">
        <f t="shared" si="800"/>
        <v/>
      </c>
      <c r="BQ1202" s="1">
        <v>304.0</v>
      </c>
      <c r="BR1202" s="1">
        <v>304.0</v>
      </c>
      <c r="BS1202" s="1">
        <v>304.0</v>
      </c>
      <c r="BU1202" s="1" t="s">
        <v>362</v>
      </c>
      <c r="BV1202" s="1" t="s">
        <v>206</v>
      </c>
      <c r="BW1202" s="1" t="s">
        <v>207</v>
      </c>
      <c r="BX1202" s="1" t="s">
        <v>239</v>
      </c>
      <c r="BY1202" s="1" t="s">
        <v>5954</v>
      </c>
      <c r="BZ1202" s="1" t="s">
        <v>209</v>
      </c>
      <c r="CA1202" s="1" t="s">
        <v>210</v>
      </c>
      <c r="CB1202" s="1" t="s">
        <v>431</v>
      </c>
      <c r="CC1202" s="1" t="s">
        <v>303</v>
      </c>
      <c r="CD1202" s="1" t="s">
        <v>206</v>
      </c>
      <c r="CE1202" s="1" t="s">
        <v>207</v>
      </c>
      <c r="CF1202" s="1" t="s">
        <v>239</v>
      </c>
      <c r="CG1202" s="1" t="s">
        <v>363</v>
      </c>
      <c r="CH1202" s="1" t="s">
        <v>209</v>
      </c>
      <c r="CI1202" s="1" t="s">
        <v>210</v>
      </c>
      <c r="CJ1202" s="1" t="s">
        <v>239</v>
      </c>
      <c r="CK1202" s="1" t="s">
        <v>363</v>
      </c>
      <c r="CL1202" s="1" t="s">
        <v>209</v>
      </c>
      <c r="CM1202" s="1" t="s">
        <v>210</v>
      </c>
      <c r="CN1202" s="1" t="s">
        <v>239</v>
      </c>
      <c r="CO1202" s="1" t="s">
        <v>392</v>
      </c>
      <c r="CP1202" s="1" t="s">
        <v>209</v>
      </c>
      <c r="CQ1202" s="1" t="s">
        <v>210</v>
      </c>
      <c r="CR1202" s="1" t="s">
        <v>239</v>
      </c>
      <c r="CS1202" s="1" t="s">
        <v>3538</v>
      </c>
      <c r="CT1202" s="1" t="s">
        <v>206</v>
      </c>
      <c r="CU1202" s="1" t="s">
        <v>207</v>
      </c>
      <c r="CV1202" s="1" t="s">
        <v>239</v>
      </c>
      <c r="CW1202" s="1" t="s">
        <v>2014</v>
      </c>
      <c r="CX1202" s="1" t="s">
        <v>42</v>
      </c>
      <c r="CY1202" s="1" t="s">
        <v>210</v>
      </c>
      <c r="CZ1202" s="1" t="s">
        <v>239</v>
      </c>
      <c r="DA1202" s="1" t="s">
        <v>200</v>
      </c>
      <c r="DC1202" s="1" t="s">
        <v>481</v>
      </c>
      <c r="DD1202" s="1" t="s">
        <v>336</v>
      </c>
      <c r="DE1202" s="1" t="s">
        <v>273</v>
      </c>
      <c r="DF1202" s="1" t="s">
        <v>619</v>
      </c>
      <c r="DG1202" s="1" t="s">
        <v>10775</v>
      </c>
      <c r="DH1202" s="1" t="s">
        <v>1603</v>
      </c>
      <c r="DI1202" s="1" t="s">
        <v>221</v>
      </c>
      <c r="DJ1202" s="1" t="s">
        <v>222</v>
      </c>
      <c r="DL1202" s="1" t="s">
        <v>224</v>
      </c>
      <c r="DM1202" s="1" t="s">
        <v>338</v>
      </c>
      <c r="DN1202" s="1" t="s">
        <v>367</v>
      </c>
      <c r="DO1202" s="1" t="s">
        <v>590</v>
      </c>
      <c r="DP1202" s="1" t="s">
        <v>340</v>
      </c>
      <c r="DQ1202" s="1" t="s">
        <v>228</v>
      </c>
      <c r="DR1202" s="1" t="s">
        <v>229</v>
      </c>
      <c r="DS1202" s="1" t="s">
        <v>368</v>
      </c>
      <c r="DU1202" s="1" t="s">
        <v>2550</v>
      </c>
      <c r="DV1202" s="1" t="s">
        <v>12949</v>
      </c>
      <c r="DW1202" s="1" t="s">
        <v>233</v>
      </c>
      <c r="DX1202" s="1" t="s">
        <v>234</v>
      </c>
      <c r="DY1202" s="1" t="s">
        <v>1051</v>
      </c>
      <c r="DZ1202" s="1" t="s">
        <v>12950</v>
      </c>
      <c r="EB1202" s="1" t="s">
        <v>937</v>
      </c>
      <c r="EC1202" s="1" t="s">
        <v>237</v>
      </c>
      <c r="ED1202" s="1" t="s">
        <v>555</v>
      </c>
      <c r="EG1202" s="1" t="s">
        <v>1467</v>
      </c>
      <c r="EH1202" s="1" t="s">
        <v>598</v>
      </c>
      <c r="EI1202" s="1" t="s">
        <v>409</v>
      </c>
      <c r="EJ1202" s="1" t="s">
        <v>114</v>
      </c>
      <c r="EK1202" s="1" t="s">
        <v>1824</v>
      </c>
      <c r="EL1202" s="1" t="s">
        <v>478</v>
      </c>
      <c r="EM1202" s="1" t="s">
        <v>42</v>
      </c>
      <c r="EN1202" s="1" t="s">
        <v>210</v>
      </c>
      <c r="EO1202" s="1" t="s">
        <v>239</v>
      </c>
      <c r="EP1202" s="1" t="s">
        <v>2460</v>
      </c>
      <c r="EQ1202" s="1" t="s">
        <v>206</v>
      </c>
      <c r="ER1202" s="1" t="s">
        <v>207</v>
      </c>
      <c r="ES1202" s="1" t="s">
        <v>239</v>
      </c>
      <c r="ET1202" s="1" t="s">
        <v>1417</v>
      </c>
      <c r="EU1202" s="1" t="s">
        <v>209</v>
      </c>
      <c r="EV1202" s="1" t="s">
        <v>207</v>
      </c>
      <c r="EW1202" s="1" t="s">
        <v>229</v>
      </c>
      <c r="EX1202" s="1" t="s">
        <v>2109</v>
      </c>
      <c r="EY1202" s="1" t="s">
        <v>209</v>
      </c>
      <c r="EZ1202" s="1" t="s">
        <v>588</v>
      </c>
      <c r="FA1202" s="1" t="s">
        <v>229</v>
      </c>
      <c r="FB1202" s="1" t="s">
        <v>3672</v>
      </c>
      <c r="FC1202" s="1" t="s">
        <v>42</v>
      </c>
      <c r="FD1202" s="1" t="s">
        <v>210</v>
      </c>
      <c r="FE1202" s="1" t="s">
        <v>229</v>
      </c>
      <c r="FF1202" s="1" t="s">
        <v>239</v>
      </c>
      <c r="FG1202" s="1" t="s">
        <v>192</v>
      </c>
      <c r="FH1202" s="1" t="s">
        <v>192</v>
      </c>
      <c r="FJ1202" s="1" t="s">
        <v>524</v>
      </c>
      <c r="FK1202" s="1" t="s">
        <v>229</v>
      </c>
      <c r="FL1202" s="1" t="s">
        <v>1855</v>
      </c>
      <c r="FM1202" s="1">
        <v>41.0</v>
      </c>
      <c r="FN1202" s="1" t="s">
        <v>1856</v>
      </c>
      <c r="FO1202" s="1" t="s">
        <v>12951</v>
      </c>
      <c r="FP1202" s="1">
        <v>8879.0</v>
      </c>
      <c r="FQ1202" s="1" t="s">
        <v>12952</v>
      </c>
      <c r="FR1202" s="1">
        <v>235571.0</v>
      </c>
      <c r="FU1202" s="1" t="s">
        <v>12953</v>
      </c>
      <c r="FV1202" s="1" t="s">
        <v>200</v>
      </c>
      <c r="FW1202" s="1" t="s">
        <v>290</v>
      </c>
      <c r="FZ1202" s="1" t="s">
        <v>229</v>
      </c>
      <c r="GA1202" s="1" t="s">
        <v>291</v>
      </c>
      <c r="GB1202" s="2">
        <v>42114.0</v>
      </c>
      <c r="GC1202" s="1" t="s">
        <v>12954</v>
      </c>
    </row>
    <row r="1203">
      <c r="A1203" s="1">
        <v>338000.0</v>
      </c>
      <c r="B1203" s="1" t="s">
        <v>185</v>
      </c>
      <c r="C1203" s="1" t="str">
        <f>"08842934"</f>
        <v>08842934</v>
      </c>
      <c r="D1203" s="1" t="s">
        <v>186</v>
      </c>
      <c r="F1203" s="1" t="str">
        <f>"542"</f>
        <v>542</v>
      </c>
      <c r="G1203" s="2">
        <v>42055.0</v>
      </c>
      <c r="H1203" s="1">
        <v>350000.0</v>
      </c>
      <c r="I1203" s="1">
        <v>10.0</v>
      </c>
      <c r="J1203" s="1">
        <v>350000.0</v>
      </c>
      <c r="K1203" s="2">
        <v>42064.0</v>
      </c>
      <c r="L1203" s="1">
        <v>10.0</v>
      </c>
      <c r="M1203" s="2">
        <v>42064.0</v>
      </c>
      <c r="N1203" s="1" t="s">
        <v>356</v>
      </c>
      <c r="O1203" s="2">
        <v>42094.0</v>
      </c>
      <c r="P1203" s="1">
        <v>232738.0</v>
      </c>
      <c r="Q1203" s="1">
        <v>23030.0</v>
      </c>
      <c r="S1203" s="1">
        <v>2956.0</v>
      </c>
      <c r="T1203" s="1" t="s">
        <v>12955</v>
      </c>
      <c r="U1203" s="1" t="s">
        <v>1174</v>
      </c>
      <c r="V1203" s="1" t="s">
        <v>3984</v>
      </c>
      <c r="W1203" s="1">
        <v>60542.0</v>
      </c>
      <c r="Y1203" s="1" t="s">
        <v>12956</v>
      </c>
      <c r="Z1203" s="1">
        <v>2006.0</v>
      </c>
      <c r="AA1203" s="1" t="s">
        <v>200</v>
      </c>
      <c r="AB1203" s="1" t="s">
        <v>467</v>
      </c>
      <c r="AC1203" s="1" t="s">
        <v>12957</v>
      </c>
      <c r="AD1203" s="1" t="s">
        <v>3986</v>
      </c>
      <c r="AE1203" s="1" t="s">
        <v>325</v>
      </c>
      <c r="AF1203" s="1" t="s">
        <v>1479</v>
      </c>
      <c r="AH1203" s="1" t="s">
        <v>12958</v>
      </c>
      <c r="AI1203" s="1">
        <v>0.32</v>
      </c>
      <c r="AK1203" s="1">
        <v>11.0</v>
      </c>
      <c r="AL1203" s="1">
        <v>4.0</v>
      </c>
      <c r="AM1203" s="1">
        <v>2.0</v>
      </c>
      <c r="AN1203" s="1">
        <v>2.0</v>
      </c>
      <c r="AO1203" s="1" t="s">
        <v>198</v>
      </c>
      <c r="AQ1203" s="1" t="s">
        <v>198</v>
      </c>
      <c r="AR1203" s="1" t="s">
        <v>192</v>
      </c>
      <c r="AS1203" s="1" t="s">
        <v>199</v>
      </c>
      <c r="AT1203" s="1">
        <v>3.0</v>
      </c>
      <c r="AV1203" s="1" t="s">
        <v>200</v>
      </c>
      <c r="AW1203" s="1">
        <v>9927.0</v>
      </c>
      <c r="AX1203" s="1">
        <v>2013.0</v>
      </c>
      <c r="AY1203" s="1" t="s">
        <v>387</v>
      </c>
      <c r="AZ1203" s="1" t="s">
        <v>200</v>
      </c>
      <c r="BA1203" s="1" t="str">
        <f>"1135282002"</f>
        <v>1135282002</v>
      </c>
      <c r="BB1203" s="1" t="s">
        <v>200</v>
      </c>
      <c r="BC1203" s="1">
        <v>2654.0</v>
      </c>
      <c r="BD1203" s="1">
        <v>338000.0</v>
      </c>
      <c r="BE1203" s="2">
        <v>42055.0</v>
      </c>
      <c r="BF1203" s="2" t="s">
        <v>12959</v>
      </c>
      <c r="BG1203" s="1" t="s">
        <v>4351</v>
      </c>
      <c r="BH1203" s="1">
        <v>38.0</v>
      </c>
      <c r="BI1203" s="1" t="s">
        <v>1635</v>
      </c>
      <c r="BJ1203" s="1" t="s">
        <v>1636</v>
      </c>
      <c r="BK1203" s="1" t="s">
        <v>474</v>
      </c>
      <c r="BL1203" s="1" t="str">
        <f t="shared" ref="BL1203:BM1203" si="801">""</f>
        <v/>
      </c>
      <c r="BM1203" s="1" t="str">
        <f t="shared" si="801"/>
        <v/>
      </c>
      <c r="BQ1203" s="1">
        <v>302.0</v>
      </c>
      <c r="BR1203" s="1">
        <v>302.0</v>
      </c>
      <c r="BS1203" s="1">
        <v>302.0</v>
      </c>
      <c r="BU1203" s="1" t="s">
        <v>332</v>
      </c>
      <c r="BV1203" s="1" t="s">
        <v>206</v>
      </c>
      <c r="BW1203" s="1" t="s">
        <v>210</v>
      </c>
      <c r="BX1203" s="1" t="s">
        <v>1549</v>
      </c>
      <c r="BY1203" s="1" t="s">
        <v>743</v>
      </c>
      <c r="BZ1203" s="1" t="s">
        <v>209</v>
      </c>
      <c r="CA1203" s="1" t="s">
        <v>210</v>
      </c>
      <c r="CB1203" s="1" t="s">
        <v>261</v>
      </c>
      <c r="CC1203" s="1" t="s">
        <v>331</v>
      </c>
      <c r="CD1203" s="1" t="s">
        <v>206</v>
      </c>
      <c r="CE1203" s="1" t="s">
        <v>210</v>
      </c>
      <c r="CF1203" s="1" t="s">
        <v>1549</v>
      </c>
      <c r="CG1203" s="1" t="s">
        <v>264</v>
      </c>
      <c r="CH1203" s="1" t="s">
        <v>209</v>
      </c>
      <c r="CI1203" s="1" t="s">
        <v>210</v>
      </c>
      <c r="CJ1203" s="1" t="s">
        <v>431</v>
      </c>
      <c r="CK1203" s="1" t="s">
        <v>699</v>
      </c>
      <c r="CL1203" s="1" t="s">
        <v>209</v>
      </c>
      <c r="CM1203" s="1" t="s">
        <v>210</v>
      </c>
      <c r="CN1203" s="1" t="s">
        <v>431</v>
      </c>
      <c r="CO1203" s="1" t="s">
        <v>699</v>
      </c>
      <c r="CP1203" s="1" t="s">
        <v>209</v>
      </c>
      <c r="CQ1203" s="1" t="s">
        <v>210</v>
      </c>
      <c r="CR1203" s="1" t="s">
        <v>1549</v>
      </c>
      <c r="CS1203" s="1" t="s">
        <v>584</v>
      </c>
      <c r="CT1203" s="1" t="s">
        <v>206</v>
      </c>
      <c r="CU1203" s="1" t="s">
        <v>207</v>
      </c>
      <c r="CV1203" s="1" t="s">
        <v>431</v>
      </c>
      <c r="CW1203" s="1" t="s">
        <v>214</v>
      </c>
      <c r="CX1203" s="1" t="s">
        <v>206</v>
      </c>
      <c r="CY1203" s="1" t="s">
        <v>210</v>
      </c>
      <c r="CZ1203" s="1" t="s">
        <v>431</v>
      </c>
      <c r="DA1203" s="1" t="s">
        <v>200</v>
      </c>
      <c r="DC1203" s="1" t="s">
        <v>481</v>
      </c>
      <c r="DD1203" s="1" t="s">
        <v>12960</v>
      </c>
      <c r="DE1203" s="1" t="s">
        <v>273</v>
      </c>
      <c r="DF1203" s="1" t="s">
        <v>219</v>
      </c>
      <c r="DG1203" s="1" t="s">
        <v>482</v>
      </c>
      <c r="DH1203" s="1" t="s">
        <v>220</v>
      </c>
      <c r="DI1203" s="1" t="s">
        <v>519</v>
      </c>
      <c r="DJ1203" s="1" t="s">
        <v>222</v>
      </c>
      <c r="DK1203" s="1" t="s">
        <v>223</v>
      </c>
      <c r="DL1203" s="1" t="s">
        <v>224</v>
      </c>
      <c r="DM1203" s="1" t="s">
        <v>1247</v>
      </c>
      <c r="DN1203" s="1" t="s">
        <v>485</v>
      </c>
      <c r="DO1203" s="1" t="s">
        <v>549</v>
      </c>
      <c r="DP1203" s="1" t="s">
        <v>340</v>
      </c>
      <c r="DQ1203" s="1" t="s">
        <v>441</v>
      </c>
      <c r="DR1203" s="1" t="s">
        <v>229</v>
      </c>
      <c r="DU1203" s="1" t="s">
        <v>2464</v>
      </c>
      <c r="DV1203" s="1" t="s">
        <v>10710</v>
      </c>
      <c r="DW1203" s="1" t="s">
        <v>444</v>
      </c>
      <c r="DX1203" s="1" t="s">
        <v>234</v>
      </c>
      <c r="DY1203" s="1" t="s">
        <v>490</v>
      </c>
      <c r="DZ1203" s="1" t="s">
        <v>6164</v>
      </c>
      <c r="EC1203" s="1" t="s">
        <v>237</v>
      </c>
      <c r="ED1203" s="1" t="s">
        <v>407</v>
      </c>
      <c r="EH1203" s="1" t="s">
        <v>450</v>
      </c>
      <c r="EI1203" s="1" t="s">
        <v>556</v>
      </c>
      <c r="EJ1203" s="1" t="s">
        <v>494</v>
      </c>
      <c r="EM1203" s="1" t="s">
        <v>238</v>
      </c>
      <c r="EP1203" s="1" t="s">
        <v>12823</v>
      </c>
      <c r="EQ1203" s="1" t="s">
        <v>42</v>
      </c>
      <c r="ER1203" s="1" t="s">
        <v>210</v>
      </c>
      <c r="ES1203" s="1" t="s">
        <v>431</v>
      </c>
      <c r="ET1203" s="1" t="s">
        <v>392</v>
      </c>
      <c r="EU1203" s="1" t="s">
        <v>206</v>
      </c>
      <c r="EV1203" s="1" t="s">
        <v>207</v>
      </c>
      <c r="EW1203" s="1" t="s">
        <v>431</v>
      </c>
      <c r="EX1203" s="1" t="s">
        <v>269</v>
      </c>
      <c r="EY1203" s="1" t="s">
        <v>42</v>
      </c>
      <c r="EZ1203" s="1" t="s">
        <v>210</v>
      </c>
      <c r="FA1203" s="1" t="s">
        <v>229</v>
      </c>
      <c r="FC1203" s="1" t="s">
        <v>238</v>
      </c>
      <c r="FF1203" s="1" t="s">
        <v>2447</v>
      </c>
      <c r="FG1203" s="1" t="s">
        <v>192</v>
      </c>
      <c r="FH1203" s="1" t="s">
        <v>192</v>
      </c>
      <c r="FJ1203" s="1" t="s">
        <v>498</v>
      </c>
      <c r="FK1203" s="1" t="s">
        <v>229</v>
      </c>
      <c r="FL1203" s="1" t="s">
        <v>4627</v>
      </c>
      <c r="FM1203" s="1">
        <v>23030.0</v>
      </c>
      <c r="FN1203" s="1" t="s">
        <v>4628</v>
      </c>
      <c r="FO1203" s="1" t="s">
        <v>12961</v>
      </c>
      <c r="FP1203" s="1">
        <v>232924.0</v>
      </c>
      <c r="FQ1203" s="1" t="s">
        <v>12962</v>
      </c>
      <c r="FU1203" s="1" t="s">
        <v>12963</v>
      </c>
      <c r="FV1203" s="1" t="s">
        <v>200</v>
      </c>
      <c r="FW1203" s="1" t="s">
        <v>290</v>
      </c>
      <c r="FZ1203" s="1" t="s">
        <v>632</v>
      </c>
      <c r="GA1203" s="1" t="s">
        <v>291</v>
      </c>
      <c r="GB1203" s="2">
        <v>42094.0</v>
      </c>
      <c r="GC1203" s="1" t="s">
        <v>12964</v>
      </c>
    </row>
    <row r="1204">
      <c r="A1204" s="1">
        <v>83899.0</v>
      </c>
      <c r="B1204" s="1" t="s">
        <v>185</v>
      </c>
      <c r="C1204" s="1" t="str">
        <f>"08842860"</f>
        <v>08842860</v>
      </c>
      <c r="D1204" s="1" t="s">
        <v>186</v>
      </c>
      <c r="F1204" s="1" t="str">
        <f>"554"</f>
        <v>554</v>
      </c>
      <c r="G1204" s="2">
        <v>42055.0</v>
      </c>
      <c r="H1204" s="1">
        <v>98100.0</v>
      </c>
      <c r="I1204" s="1">
        <v>32.0</v>
      </c>
      <c r="J1204" s="1">
        <v>88300.0</v>
      </c>
      <c r="K1204" s="2">
        <v>42086.0</v>
      </c>
      <c r="L1204" s="1">
        <v>32.0</v>
      </c>
      <c r="M1204" s="2">
        <v>42086.0</v>
      </c>
      <c r="N1204" s="1" t="s">
        <v>249</v>
      </c>
      <c r="O1204" s="2">
        <v>42132.0</v>
      </c>
      <c r="P1204" s="1">
        <v>244140.0</v>
      </c>
      <c r="Q1204" s="1">
        <v>23705.0</v>
      </c>
      <c r="S1204" s="1">
        <v>69.0</v>
      </c>
      <c r="T1204" s="1" t="s">
        <v>3813</v>
      </c>
      <c r="U1204" s="1" t="s">
        <v>320</v>
      </c>
      <c r="V1204" s="1" t="s">
        <v>2212</v>
      </c>
      <c r="W1204" s="1">
        <v>60554.0</v>
      </c>
      <c r="Y1204" s="1" t="s">
        <v>12965</v>
      </c>
      <c r="Z1204" s="1">
        <v>1891.0</v>
      </c>
      <c r="AA1204" s="1" t="s">
        <v>192</v>
      </c>
      <c r="AB1204" s="1" t="s">
        <v>193</v>
      </c>
      <c r="AD1204" s="1" t="s">
        <v>1887</v>
      </c>
      <c r="AE1204" s="1" t="s">
        <v>325</v>
      </c>
      <c r="AF1204" s="1" t="s">
        <v>1887</v>
      </c>
      <c r="AH1204" s="1">
        <v>14889.0</v>
      </c>
      <c r="AI1204" s="1">
        <v>0.3418</v>
      </c>
      <c r="AK1204" s="1">
        <v>8.0</v>
      </c>
      <c r="AL1204" s="1">
        <v>4.0</v>
      </c>
      <c r="AM1204" s="1">
        <v>1.0</v>
      </c>
      <c r="AN1204" s="1">
        <v>1.0</v>
      </c>
      <c r="AO1204" s="1" t="s">
        <v>229</v>
      </c>
      <c r="AQ1204" s="1" t="s">
        <v>198</v>
      </c>
      <c r="AR1204" s="1" t="s">
        <v>200</v>
      </c>
      <c r="AS1204" s="1" t="s">
        <v>199</v>
      </c>
      <c r="AT1204" s="1">
        <v>2.0</v>
      </c>
      <c r="AV1204" s="1" t="s">
        <v>200</v>
      </c>
      <c r="AW1204" s="1">
        <v>5270.94</v>
      </c>
      <c r="AX1204" s="1">
        <v>2013.0</v>
      </c>
      <c r="AZ1204" s="1" t="s">
        <v>545</v>
      </c>
      <c r="BA1204" s="1" t="str">
        <f>"1421180043"</f>
        <v>1421180043</v>
      </c>
      <c r="BC1204" s="1">
        <v>1890.0</v>
      </c>
      <c r="BD1204" s="1">
        <v>83899.0</v>
      </c>
      <c r="BE1204" s="2">
        <v>42055.0</v>
      </c>
      <c r="BF1204" s="2" t="s">
        <v>3507</v>
      </c>
      <c r="BH1204" s="1">
        <v>0.0</v>
      </c>
      <c r="BK1204" s="1" t="s">
        <v>204</v>
      </c>
      <c r="BL1204" s="1" t="str">
        <f t="shared" ref="BL1204:BM1204" si="802">"0"</f>
        <v>0</v>
      </c>
      <c r="BM1204" s="1" t="str">
        <f t="shared" si="802"/>
        <v>0</v>
      </c>
      <c r="BN1204" s="1">
        <v>42.0</v>
      </c>
      <c r="BO1204" s="1">
        <v>7.0</v>
      </c>
      <c r="BQ1204" s="1">
        <v>302.0</v>
      </c>
      <c r="BR1204" s="1">
        <v>302.0</v>
      </c>
      <c r="BS1204" s="1">
        <v>302.0</v>
      </c>
      <c r="BU1204" s="1" t="s">
        <v>1483</v>
      </c>
      <c r="BV1204" s="1" t="s">
        <v>206</v>
      </c>
      <c r="BY1204" s="1" t="s">
        <v>214</v>
      </c>
      <c r="BZ1204" s="1" t="s">
        <v>206</v>
      </c>
      <c r="CC1204" s="1" t="s">
        <v>393</v>
      </c>
      <c r="CD1204" s="1" t="s">
        <v>206</v>
      </c>
      <c r="CG1204" s="1" t="s">
        <v>393</v>
      </c>
      <c r="CH1204" s="1" t="s">
        <v>206</v>
      </c>
      <c r="CK1204" s="1" t="s">
        <v>362</v>
      </c>
      <c r="CL1204" s="1" t="s">
        <v>209</v>
      </c>
      <c r="CO1204" s="1" t="s">
        <v>393</v>
      </c>
      <c r="CP1204" s="1" t="s">
        <v>209</v>
      </c>
      <c r="CS1204" s="1" t="s">
        <v>363</v>
      </c>
      <c r="CT1204" s="1" t="s">
        <v>206</v>
      </c>
      <c r="CW1204" s="1" t="s">
        <v>362</v>
      </c>
      <c r="CX1204" s="1" t="s">
        <v>206</v>
      </c>
      <c r="DA1204" s="1" t="s">
        <v>200</v>
      </c>
      <c r="DC1204" s="1" t="s">
        <v>642</v>
      </c>
      <c r="DE1204" s="1" t="s">
        <v>6485</v>
      </c>
      <c r="DF1204" s="1" t="s">
        <v>219</v>
      </c>
      <c r="DH1204" s="1" t="s">
        <v>220</v>
      </c>
      <c r="DJ1204" s="1" t="s">
        <v>222</v>
      </c>
      <c r="DL1204" s="1" t="s">
        <v>223</v>
      </c>
      <c r="DM1204" s="1" t="s">
        <v>229</v>
      </c>
      <c r="DQ1204" s="1" t="s">
        <v>441</v>
      </c>
      <c r="DR1204" s="1" t="s">
        <v>229</v>
      </c>
      <c r="DV1204" s="1" t="s">
        <v>232</v>
      </c>
      <c r="DW1204" s="1" t="s">
        <v>2602</v>
      </c>
      <c r="DX1204" s="1" t="s">
        <v>234</v>
      </c>
      <c r="EC1204" s="1" t="s">
        <v>237</v>
      </c>
      <c r="EE1204" s="1" t="s">
        <v>1960</v>
      </c>
      <c r="EM1204" s="1" t="s">
        <v>238</v>
      </c>
      <c r="EQ1204" s="1" t="s">
        <v>238</v>
      </c>
      <c r="EU1204" s="1" t="s">
        <v>238</v>
      </c>
      <c r="EY1204" s="1" t="s">
        <v>238</v>
      </c>
      <c r="FC1204" s="1" t="s">
        <v>238</v>
      </c>
      <c r="FF1204" s="1" t="s">
        <v>239</v>
      </c>
      <c r="FG1204" s="1" t="s">
        <v>192</v>
      </c>
      <c r="FH1204" s="1" t="s">
        <v>192</v>
      </c>
      <c r="FJ1204" s="1" t="s">
        <v>347</v>
      </c>
      <c r="FK1204" s="1" t="s">
        <v>229</v>
      </c>
      <c r="FL1204" s="1" t="s">
        <v>3033</v>
      </c>
      <c r="FM1204" s="1">
        <v>1984.0</v>
      </c>
      <c r="FN1204" s="1" t="s">
        <v>3034</v>
      </c>
      <c r="FO1204" s="1" t="s">
        <v>3035</v>
      </c>
      <c r="FP1204" s="1">
        <v>922950.0</v>
      </c>
      <c r="FU1204" s="1" t="s">
        <v>3036</v>
      </c>
      <c r="FV1204" s="1" t="s">
        <v>200</v>
      </c>
      <c r="FW1204" s="1" t="s">
        <v>4959</v>
      </c>
      <c r="FZ1204" s="1" t="s">
        <v>229</v>
      </c>
      <c r="GA1204" s="1" t="s">
        <v>291</v>
      </c>
      <c r="GB1204" s="2">
        <v>42135.0</v>
      </c>
      <c r="GC1204" s="1" t="s">
        <v>7564</v>
      </c>
    </row>
    <row r="1205">
      <c r="A1205" s="1">
        <v>350000.0</v>
      </c>
      <c r="B1205" s="1" t="s">
        <v>185</v>
      </c>
      <c r="C1205" s="1" t="str">
        <f>"08846522"</f>
        <v>08846522</v>
      </c>
      <c r="D1205" s="1" t="s">
        <v>186</v>
      </c>
      <c r="F1205" s="1" t="str">
        <f>"8035"</f>
        <v>8035</v>
      </c>
      <c r="G1205" s="2">
        <v>42060.0</v>
      </c>
      <c r="H1205" s="1">
        <v>399900.0</v>
      </c>
      <c r="I1205" s="1">
        <v>14.0</v>
      </c>
      <c r="J1205" s="1">
        <v>399900.0</v>
      </c>
      <c r="K1205" s="2">
        <v>42072.0</v>
      </c>
      <c r="L1205" s="1">
        <v>14.0</v>
      </c>
      <c r="M1205" s="2">
        <v>42072.0</v>
      </c>
      <c r="N1205" s="1" t="s">
        <v>187</v>
      </c>
      <c r="O1205" s="2">
        <v>42125.0</v>
      </c>
      <c r="P1205" s="1">
        <v>867804.0</v>
      </c>
      <c r="Q1205" s="1">
        <v>10317.0</v>
      </c>
      <c r="R1205" s="1">
        <v>5000.0</v>
      </c>
      <c r="S1205" s="1">
        <v>3437.0</v>
      </c>
      <c r="T1205" s="1" t="s">
        <v>1326</v>
      </c>
      <c r="U1205" s="1" t="s">
        <v>189</v>
      </c>
      <c r="V1205" s="1" t="s">
        <v>190</v>
      </c>
      <c r="W1205" s="1">
        <v>60616.0</v>
      </c>
      <c r="Y1205" s="1" t="s">
        <v>12966</v>
      </c>
      <c r="Z1205" s="1" t="s">
        <v>296</v>
      </c>
      <c r="AA1205" s="1" t="s">
        <v>192</v>
      </c>
      <c r="AB1205" s="1" t="s">
        <v>193</v>
      </c>
      <c r="AD1205" s="1" t="s">
        <v>194</v>
      </c>
      <c r="AE1205" s="1" t="s">
        <v>195</v>
      </c>
      <c r="AF1205" s="1" t="s">
        <v>637</v>
      </c>
      <c r="AH1205" s="1" t="s">
        <v>12967</v>
      </c>
      <c r="AK1205" s="1">
        <v>9.0</v>
      </c>
      <c r="AL1205" s="1">
        <v>4.0</v>
      </c>
      <c r="AM1205" s="1">
        <v>2.0</v>
      </c>
      <c r="AN1205" s="1">
        <v>2.0</v>
      </c>
      <c r="AO1205" s="1" t="s">
        <v>198</v>
      </c>
      <c r="AQ1205" s="1" t="s">
        <v>198</v>
      </c>
      <c r="AR1205" s="1" t="s">
        <v>192</v>
      </c>
      <c r="AS1205" s="1" t="s">
        <v>199</v>
      </c>
      <c r="AT1205" s="1">
        <v>1.0</v>
      </c>
      <c r="AV1205" s="1" t="s">
        <v>200</v>
      </c>
      <c r="AW1205" s="1">
        <v>3449.0</v>
      </c>
      <c r="AX1205" s="1">
        <v>2013.0</v>
      </c>
      <c r="AZ1205" s="1" t="s">
        <v>200</v>
      </c>
      <c r="BA1205" s="1" t="str">
        <f>"17341210890000"</f>
        <v>17341210890000</v>
      </c>
      <c r="BC1205" s="1">
        <v>3000.0</v>
      </c>
      <c r="BD1205" s="1">
        <v>350000.0</v>
      </c>
      <c r="BE1205" s="2">
        <v>42059.0</v>
      </c>
      <c r="BF1205" s="2" t="s">
        <v>12968</v>
      </c>
      <c r="BH1205" s="1">
        <v>0.0</v>
      </c>
      <c r="BK1205" s="1" t="s">
        <v>204</v>
      </c>
      <c r="BL1205" s="1" t="str">
        <f>"0"</f>
        <v>0</v>
      </c>
      <c r="BM1205" s="1" t="str">
        <f>"300"</f>
        <v>300</v>
      </c>
      <c r="BN1205" s="1">
        <v>0.0</v>
      </c>
      <c r="BO1205" s="1">
        <v>3437.0</v>
      </c>
      <c r="BQ1205" s="1">
        <v>299.0</v>
      </c>
      <c r="BR1205" s="1">
        <v>299.0</v>
      </c>
      <c r="BS1205" s="1">
        <v>299.0</v>
      </c>
      <c r="BU1205" s="1" t="s">
        <v>758</v>
      </c>
      <c r="BV1205" s="1" t="s">
        <v>206</v>
      </c>
      <c r="BW1205" s="1" t="s">
        <v>207</v>
      </c>
      <c r="BY1205" s="1" t="s">
        <v>362</v>
      </c>
      <c r="BZ1205" s="1" t="s">
        <v>209</v>
      </c>
      <c r="CA1205" s="1" t="s">
        <v>207</v>
      </c>
      <c r="CC1205" s="1" t="s">
        <v>542</v>
      </c>
      <c r="CD1205" s="1" t="s">
        <v>206</v>
      </c>
      <c r="CE1205" s="1" t="s">
        <v>207</v>
      </c>
      <c r="CG1205" s="1" t="s">
        <v>699</v>
      </c>
      <c r="CH1205" s="1" t="s">
        <v>209</v>
      </c>
      <c r="CK1205" s="1" t="s">
        <v>497</v>
      </c>
      <c r="CL1205" s="1" t="s">
        <v>391</v>
      </c>
      <c r="CO1205" s="1" t="s">
        <v>433</v>
      </c>
      <c r="CP1205" s="1" t="s">
        <v>391</v>
      </c>
      <c r="CS1205" s="1" t="s">
        <v>433</v>
      </c>
      <c r="CT1205" s="1" t="s">
        <v>206</v>
      </c>
      <c r="CU1205" s="1" t="s">
        <v>207</v>
      </c>
      <c r="CW1205" s="1" t="s">
        <v>5655</v>
      </c>
      <c r="CX1205" s="1" t="s">
        <v>42</v>
      </c>
      <c r="CY1205" s="1" t="s">
        <v>268</v>
      </c>
      <c r="DA1205" s="1" t="s">
        <v>200</v>
      </c>
      <c r="DC1205" s="1" t="s">
        <v>216</v>
      </c>
      <c r="DD1205" s="1" t="s">
        <v>759</v>
      </c>
      <c r="DE1205" s="1" t="s">
        <v>273</v>
      </c>
      <c r="DF1205" s="1" t="s">
        <v>619</v>
      </c>
      <c r="DH1205" s="1" t="s">
        <v>365</v>
      </c>
      <c r="DI1205" s="1" t="s">
        <v>12969</v>
      </c>
      <c r="DJ1205" s="1" t="s">
        <v>222</v>
      </c>
      <c r="DL1205" s="1" t="s">
        <v>224</v>
      </c>
      <c r="DM1205" s="1" t="s">
        <v>225</v>
      </c>
      <c r="DN1205" s="1" t="s">
        <v>399</v>
      </c>
      <c r="DP1205" s="1" t="s">
        <v>276</v>
      </c>
      <c r="DQ1205" s="1" t="s">
        <v>228</v>
      </c>
      <c r="DR1205" s="1" t="s">
        <v>229</v>
      </c>
      <c r="DV1205" s="1" t="s">
        <v>12970</v>
      </c>
      <c r="DW1205" s="1" t="s">
        <v>279</v>
      </c>
      <c r="DX1205" s="1" t="s">
        <v>234</v>
      </c>
      <c r="DY1205" s="1" t="s">
        <v>12971</v>
      </c>
      <c r="EC1205" s="1" t="s">
        <v>406</v>
      </c>
      <c r="EG1205" s="1" t="s">
        <v>494</v>
      </c>
      <c r="EH1205" s="1" t="s">
        <v>720</v>
      </c>
      <c r="EI1205" s="1" t="s">
        <v>1270</v>
      </c>
      <c r="EL1205" s="1" t="s">
        <v>264</v>
      </c>
      <c r="EM1205" s="1" t="s">
        <v>206</v>
      </c>
      <c r="EP1205" s="1" t="s">
        <v>264</v>
      </c>
      <c r="EQ1205" s="1" t="s">
        <v>206</v>
      </c>
      <c r="ET1205" s="1" t="s">
        <v>269</v>
      </c>
      <c r="EU1205" s="1" t="s">
        <v>42</v>
      </c>
      <c r="EY1205" s="1" t="s">
        <v>238</v>
      </c>
      <c r="FC1205" s="1" t="s">
        <v>238</v>
      </c>
      <c r="FF1205" s="1" t="s">
        <v>239</v>
      </c>
      <c r="FG1205" s="1" t="s">
        <v>192</v>
      </c>
      <c r="FH1205" s="1" t="s">
        <v>192</v>
      </c>
      <c r="FJ1205" s="1" t="s">
        <v>686</v>
      </c>
      <c r="FK1205" s="1" t="s">
        <v>229</v>
      </c>
      <c r="FL1205" s="1" t="s">
        <v>2718</v>
      </c>
      <c r="FM1205" s="1">
        <v>61080.0</v>
      </c>
      <c r="FN1205" s="1" t="s">
        <v>2719</v>
      </c>
      <c r="FO1205" s="1" t="s">
        <v>2720</v>
      </c>
      <c r="FP1205" s="1">
        <v>506455.0</v>
      </c>
      <c r="FQ1205" s="1" t="s">
        <v>2721</v>
      </c>
      <c r="FU1205" s="1" t="s">
        <v>12972</v>
      </c>
      <c r="FV1205" s="1" t="s">
        <v>200</v>
      </c>
      <c r="FW1205" s="1" t="s">
        <v>290</v>
      </c>
      <c r="FX1205" s="1" t="s">
        <v>655</v>
      </c>
      <c r="FZ1205" s="1" t="s">
        <v>229</v>
      </c>
      <c r="GA1205" s="1" t="s">
        <v>291</v>
      </c>
      <c r="GB1205" s="2">
        <v>42128.0</v>
      </c>
      <c r="GC1205" s="1" t="s">
        <v>12973</v>
      </c>
    </row>
    <row r="1206">
      <c r="A1206" s="1">
        <v>1200000.0</v>
      </c>
      <c r="B1206" s="1" t="s">
        <v>185</v>
      </c>
      <c r="C1206" s="1" t="str">
        <f>"08845243"</f>
        <v>08845243</v>
      </c>
      <c r="D1206" s="1" t="s">
        <v>186</v>
      </c>
      <c r="F1206" s="1" t="str">
        <f>"8006"</f>
        <v>8006</v>
      </c>
      <c r="G1206" s="2">
        <v>42059.0</v>
      </c>
      <c r="H1206" s="1">
        <v>1249000.0</v>
      </c>
      <c r="I1206" s="1">
        <v>9.0</v>
      </c>
      <c r="J1206" s="1">
        <v>1249000.0</v>
      </c>
      <c r="K1206" s="2">
        <v>42067.0</v>
      </c>
      <c r="L1206" s="1">
        <v>9.0</v>
      </c>
      <c r="M1206" s="2">
        <v>42067.0</v>
      </c>
      <c r="N1206" s="1" t="s">
        <v>187</v>
      </c>
      <c r="O1206" s="2">
        <v>42123.0</v>
      </c>
      <c r="P1206" s="1">
        <v>169970.0</v>
      </c>
      <c r="Q1206" s="1">
        <v>14090.0</v>
      </c>
      <c r="S1206" s="1">
        <v>3826.0</v>
      </c>
      <c r="T1206" s="1" t="s">
        <v>12974</v>
      </c>
      <c r="U1206" s="1" t="s">
        <v>189</v>
      </c>
      <c r="V1206" s="1" t="s">
        <v>190</v>
      </c>
      <c r="W1206" s="1">
        <v>60613.0</v>
      </c>
      <c r="Y1206" s="1" t="s">
        <v>12975</v>
      </c>
      <c r="Z1206" s="1" t="s">
        <v>296</v>
      </c>
      <c r="AA1206" s="1" t="s">
        <v>192</v>
      </c>
      <c r="AB1206" s="1" t="s">
        <v>193</v>
      </c>
      <c r="AD1206" s="1" t="s">
        <v>194</v>
      </c>
      <c r="AE1206" s="1" t="s">
        <v>195</v>
      </c>
      <c r="AF1206" s="1" t="s">
        <v>534</v>
      </c>
      <c r="AH1206" s="1" t="s">
        <v>12976</v>
      </c>
      <c r="AK1206" s="1">
        <v>11.0</v>
      </c>
      <c r="AL1206" s="1">
        <v>4.0</v>
      </c>
      <c r="AM1206" s="1">
        <v>4.0</v>
      </c>
      <c r="AN1206" s="1">
        <v>1.0</v>
      </c>
      <c r="AO1206" s="1" t="s">
        <v>198</v>
      </c>
      <c r="AP1206" s="1">
        <v>1.0</v>
      </c>
      <c r="AQ1206" s="1" t="s">
        <v>198</v>
      </c>
      <c r="AR1206" s="1" t="s">
        <v>192</v>
      </c>
      <c r="AS1206" s="1" t="s">
        <v>199</v>
      </c>
      <c r="AT1206" s="1">
        <v>2.0</v>
      </c>
      <c r="AV1206" s="1" t="s">
        <v>200</v>
      </c>
      <c r="AW1206" s="1">
        <v>13693.0</v>
      </c>
      <c r="AX1206" s="1">
        <v>2013.0</v>
      </c>
      <c r="AZ1206" s="1" t="s">
        <v>200</v>
      </c>
      <c r="BA1206" s="1" t="str">
        <f>"14192150290000"</f>
        <v>14192150290000</v>
      </c>
      <c r="BB1206" s="1" t="s">
        <v>200</v>
      </c>
      <c r="BC1206" s="1">
        <v>4000.0</v>
      </c>
      <c r="BD1206" s="1">
        <v>1200000.0</v>
      </c>
      <c r="BE1206" s="2">
        <v>42059.0</v>
      </c>
      <c r="BF1206" s="2" t="s">
        <v>12977</v>
      </c>
      <c r="BG1206" s="1" t="s">
        <v>6556</v>
      </c>
      <c r="BH1206" s="1">
        <v>0.0</v>
      </c>
      <c r="BJ1206" s="1" t="s">
        <v>538</v>
      </c>
      <c r="BK1206" s="1" t="s">
        <v>204</v>
      </c>
      <c r="BL1206" s="1" t="str">
        <f>"3826"</f>
        <v>3826</v>
      </c>
      <c r="BM1206" s="1" t="str">
        <f>"0"</f>
        <v>0</v>
      </c>
      <c r="BN1206" s="1">
        <v>1650.0</v>
      </c>
      <c r="BO1206" s="1">
        <v>0.0</v>
      </c>
      <c r="BQ1206" s="1">
        <v>299.0</v>
      </c>
      <c r="BR1206" s="1">
        <v>299.0</v>
      </c>
      <c r="BS1206" s="1">
        <v>299.0</v>
      </c>
      <c r="BU1206" s="1" t="s">
        <v>454</v>
      </c>
      <c r="BV1206" s="1" t="s">
        <v>206</v>
      </c>
      <c r="BW1206" s="1" t="s">
        <v>207</v>
      </c>
      <c r="BY1206" s="1" t="s">
        <v>329</v>
      </c>
      <c r="BZ1206" s="1" t="s">
        <v>209</v>
      </c>
      <c r="CA1206" s="1" t="s">
        <v>207</v>
      </c>
      <c r="CC1206" s="1" t="s">
        <v>543</v>
      </c>
      <c r="CD1206" s="1" t="s">
        <v>206</v>
      </c>
      <c r="CE1206" s="1" t="s">
        <v>207</v>
      </c>
      <c r="CG1206" s="1" t="s">
        <v>454</v>
      </c>
      <c r="CH1206" s="1" t="s">
        <v>209</v>
      </c>
      <c r="CI1206" s="1" t="s">
        <v>207</v>
      </c>
      <c r="CK1206" s="1" t="s">
        <v>212</v>
      </c>
      <c r="CL1206" s="1" t="s">
        <v>209</v>
      </c>
      <c r="CM1206" s="1" t="s">
        <v>207</v>
      </c>
      <c r="CO1206" s="1" t="s">
        <v>215</v>
      </c>
      <c r="CP1206" s="1" t="s">
        <v>391</v>
      </c>
      <c r="CQ1206" s="1" t="s">
        <v>207</v>
      </c>
      <c r="CS1206" s="1" t="s">
        <v>904</v>
      </c>
      <c r="CT1206" s="1" t="s">
        <v>206</v>
      </c>
      <c r="CU1206" s="1" t="s">
        <v>207</v>
      </c>
      <c r="CW1206" s="1" t="s">
        <v>5223</v>
      </c>
      <c r="CX1206" s="1" t="s">
        <v>391</v>
      </c>
      <c r="CY1206" s="1" t="s">
        <v>207</v>
      </c>
      <c r="DA1206" s="1" t="s">
        <v>200</v>
      </c>
      <c r="DC1206" s="1" t="s">
        <v>545</v>
      </c>
      <c r="DD1206" s="1" t="s">
        <v>436</v>
      </c>
      <c r="DE1206" s="1" t="s">
        <v>218</v>
      </c>
      <c r="DF1206" s="1" t="s">
        <v>219</v>
      </c>
      <c r="DH1206" s="1" t="s">
        <v>365</v>
      </c>
      <c r="DI1206" s="1" t="s">
        <v>12978</v>
      </c>
      <c r="DJ1206" s="1" t="s">
        <v>222</v>
      </c>
      <c r="DK1206" s="1" t="s">
        <v>9115</v>
      </c>
      <c r="DL1206" s="1" t="s">
        <v>224</v>
      </c>
      <c r="DM1206" s="1" t="s">
        <v>229</v>
      </c>
      <c r="DP1206" s="1" t="s">
        <v>340</v>
      </c>
      <c r="DQ1206" s="1" t="s">
        <v>718</v>
      </c>
      <c r="DR1206" s="1" t="s">
        <v>229</v>
      </c>
      <c r="DS1206" s="1" t="s">
        <v>591</v>
      </c>
      <c r="DU1206" s="1" t="s">
        <v>8751</v>
      </c>
      <c r="DV1206" s="1" t="s">
        <v>12979</v>
      </c>
      <c r="DW1206" s="1" t="s">
        <v>832</v>
      </c>
      <c r="DX1206" s="1" t="s">
        <v>234</v>
      </c>
      <c r="DY1206" s="1" t="s">
        <v>11052</v>
      </c>
      <c r="EA1206" s="1" t="s">
        <v>344</v>
      </c>
      <c r="EB1206" s="1" t="s">
        <v>684</v>
      </c>
      <c r="EC1206" s="1" t="s">
        <v>406</v>
      </c>
      <c r="ED1206" s="1" t="s">
        <v>555</v>
      </c>
      <c r="EG1206" s="1" t="s">
        <v>449</v>
      </c>
      <c r="EH1206" s="1" t="s">
        <v>598</v>
      </c>
      <c r="EI1206" s="1" t="s">
        <v>450</v>
      </c>
      <c r="EJ1206" s="1" t="s">
        <v>720</v>
      </c>
      <c r="EK1206" s="1" t="s">
        <v>1103</v>
      </c>
      <c r="EL1206" s="1" t="s">
        <v>392</v>
      </c>
      <c r="EM1206" s="1" t="s">
        <v>206</v>
      </c>
      <c r="EN1206" s="1" t="s">
        <v>207</v>
      </c>
      <c r="EP1206" s="1" t="s">
        <v>329</v>
      </c>
      <c r="EQ1206" s="1" t="s">
        <v>391</v>
      </c>
      <c r="ER1206" s="1" t="s">
        <v>207</v>
      </c>
      <c r="ET1206" s="1" t="s">
        <v>1483</v>
      </c>
      <c r="EU1206" s="1" t="s">
        <v>42</v>
      </c>
      <c r="EV1206" s="1" t="s">
        <v>210</v>
      </c>
      <c r="EX1206" s="1" t="s">
        <v>1746</v>
      </c>
      <c r="EY1206" s="1" t="s">
        <v>42</v>
      </c>
      <c r="EZ1206" s="1" t="s">
        <v>268</v>
      </c>
      <c r="FB1206" s="1" t="s">
        <v>6055</v>
      </c>
      <c r="FC1206" s="1" t="s">
        <v>42</v>
      </c>
      <c r="FD1206" s="1" t="s">
        <v>210</v>
      </c>
      <c r="FF1206" s="1" t="s">
        <v>239</v>
      </c>
      <c r="FG1206" s="1" t="s">
        <v>192</v>
      </c>
      <c r="FH1206" s="1" t="s">
        <v>192</v>
      </c>
      <c r="FJ1206" s="1" t="s">
        <v>2285</v>
      </c>
      <c r="FK1206" s="1" t="s">
        <v>229</v>
      </c>
      <c r="FL1206" s="1" t="s">
        <v>974</v>
      </c>
      <c r="FM1206" s="1">
        <v>10988.0</v>
      </c>
      <c r="FN1206" s="1" t="s">
        <v>975</v>
      </c>
      <c r="FO1206" s="1" t="s">
        <v>12980</v>
      </c>
      <c r="FP1206" s="1">
        <v>127910.0</v>
      </c>
      <c r="FQ1206" s="1" t="s">
        <v>12981</v>
      </c>
      <c r="FU1206" s="1" t="s">
        <v>12982</v>
      </c>
      <c r="FV1206" s="1" t="s">
        <v>200</v>
      </c>
      <c r="FW1206" s="1" t="s">
        <v>567</v>
      </c>
      <c r="FX1206" s="1" t="s">
        <v>238</v>
      </c>
      <c r="FZ1206" s="1" t="s">
        <v>229</v>
      </c>
      <c r="GA1206" s="1" t="s">
        <v>291</v>
      </c>
      <c r="GB1206" s="2">
        <v>42125.0</v>
      </c>
      <c r="GC1206" s="1" t="s">
        <v>12983</v>
      </c>
    </row>
    <row r="1207">
      <c r="A1207" s="1">
        <v>485000.0</v>
      </c>
      <c r="B1207" s="1" t="s">
        <v>185</v>
      </c>
      <c r="C1207" s="1" t="str">
        <f>"08857283"</f>
        <v>08857283</v>
      </c>
      <c r="D1207" s="1" t="s">
        <v>186</v>
      </c>
      <c r="F1207" s="1" t="str">
        <f>"10"</f>
        <v>10</v>
      </c>
      <c r="G1207" s="2">
        <v>42073.0</v>
      </c>
      <c r="H1207" s="1">
        <v>515000.0</v>
      </c>
      <c r="I1207" s="1">
        <v>1.0</v>
      </c>
      <c r="J1207" s="1">
        <v>515000.0</v>
      </c>
      <c r="K1207" s="2">
        <v>42072.0</v>
      </c>
      <c r="L1207" s="1">
        <v>1.0</v>
      </c>
      <c r="M1207" s="2">
        <v>42072.0</v>
      </c>
      <c r="N1207" s="1" t="s">
        <v>187</v>
      </c>
      <c r="O1207" s="2">
        <v>42124.0</v>
      </c>
      <c r="P1207" s="1">
        <v>99999.0</v>
      </c>
      <c r="Q1207" s="1" t="s">
        <v>947</v>
      </c>
      <c r="S1207" s="1">
        <v>302.0</v>
      </c>
      <c r="T1207" s="1" t="s">
        <v>12984</v>
      </c>
      <c r="U1207" s="1" t="s">
        <v>569</v>
      </c>
      <c r="V1207" s="1" t="s">
        <v>11837</v>
      </c>
      <c r="W1207" s="1">
        <v>60010.0</v>
      </c>
      <c r="Y1207" s="1" t="s">
        <v>12985</v>
      </c>
      <c r="Z1207" s="1">
        <v>1934.0</v>
      </c>
      <c r="AA1207" s="1" t="s">
        <v>192</v>
      </c>
      <c r="AB1207" s="1" t="s">
        <v>467</v>
      </c>
      <c r="AC1207" s="1" t="s">
        <v>11839</v>
      </c>
      <c r="AD1207" s="1" t="s">
        <v>11839</v>
      </c>
      <c r="AE1207" s="1" t="s">
        <v>917</v>
      </c>
      <c r="AF1207" s="1" t="s">
        <v>2008</v>
      </c>
      <c r="AG1207" s="1" t="s">
        <v>752</v>
      </c>
      <c r="AH1207" s="1" t="s">
        <v>12986</v>
      </c>
      <c r="AK1207" s="1">
        <v>10.0</v>
      </c>
      <c r="AL1207" s="1">
        <v>4.0</v>
      </c>
      <c r="AM1207" s="1">
        <v>3.0</v>
      </c>
      <c r="AN1207" s="1">
        <v>1.0</v>
      </c>
      <c r="AO1207" s="1" t="s">
        <v>198</v>
      </c>
      <c r="AP1207" s="1">
        <v>2.0</v>
      </c>
      <c r="AQ1207" s="1" t="s">
        <v>472</v>
      </c>
      <c r="AR1207" s="1" t="s">
        <v>192</v>
      </c>
      <c r="AS1207" s="1" t="s">
        <v>199</v>
      </c>
      <c r="AT1207" s="1">
        <v>2.0</v>
      </c>
      <c r="AV1207" s="1" t="s">
        <v>200</v>
      </c>
      <c r="AW1207" s="6">
        <v>10307.0</v>
      </c>
      <c r="AX1207" s="1">
        <v>2013.0</v>
      </c>
      <c r="AY1207" s="1" t="s">
        <v>1179</v>
      </c>
      <c r="AZ1207" s="1" t="s">
        <v>192</v>
      </c>
      <c r="BA1207" s="1" t="str">
        <f>"13023090010000"</f>
        <v>13023090010000</v>
      </c>
      <c r="BB1207" s="1" t="s">
        <v>192</v>
      </c>
      <c r="BC1207" s="1">
        <v>3822.0</v>
      </c>
      <c r="BD1207" s="1">
        <v>485000.0</v>
      </c>
      <c r="BE1207" s="2">
        <v>42072.0</v>
      </c>
      <c r="BF1207" s="2" t="s">
        <v>12987</v>
      </c>
      <c r="BG1207" s="1" t="s">
        <v>2011</v>
      </c>
      <c r="BH1207" s="1">
        <v>450.0</v>
      </c>
      <c r="BI1207" s="1" t="s">
        <v>2012</v>
      </c>
      <c r="BJ1207" s="1" t="s">
        <v>1714</v>
      </c>
      <c r="BK1207" s="1" t="s">
        <v>580</v>
      </c>
      <c r="BL1207" s="1" t="str">
        <f>"25"</f>
        <v>25</v>
      </c>
      <c r="BM1207" s="1" t="str">
        <f>""</f>
        <v/>
      </c>
      <c r="BN1207" s="1">
        <v>26.0</v>
      </c>
      <c r="BQ1207" s="1">
        <v>220.0</v>
      </c>
      <c r="BR1207" s="1">
        <v>220.0</v>
      </c>
      <c r="BS1207" s="1">
        <v>220.0</v>
      </c>
      <c r="BU1207" s="1" t="s">
        <v>1892</v>
      </c>
      <c r="BV1207" s="1" t="s">
        <v>206</v>
      </c>
      <c r="BW1207" s="1" t="s">
        <v>207</v>
      </c>
      <c r="BX1207" s="1" t="s">
        <v>229</v>
      </c>
      <c r="BY1207" s="1" t="s">
        <v>390</v>
      </c>
      <c r="BZ1207" s="1" t="s">
        <v>209</v>
      </c>
      <c r="CA1207" s="1" t="s">
        <v>210</v>
      </c>
      <c r="CB1207" s="1" t="s">
        <v>1549</v>
      </c>
      <c r="CC1207" s="1" t="s">
        <v>215</v>
      </c>
      <c r="CD1207" s="1" t="s">
        <v>206</v>
      </c>
      <c r="CE1207" s="1" t="s">
        <v>207</v>
      </c>
      <c r="CF1207" s="1" t="s">
        <v>229</v>
      </c>
      <c r="CG1207" s="1" t="s">
        <v>616</v>
      </c>
      <c r="CH1207" s="1" t="s">
        <v>209</v>
      </c>
      <c r="CI1207" s="1" t="s">
        <v>210</v>
      </c>
      <c r="CJ1207" s="1" t="s">
        <v>1549</v>
      </c>
      <c r="CK1207" s="1" t="s">
        <v>390</v>
      </c>
      <c r="CL1207" s="1" t="s">
        <v>267</v>
      </c>
      <c r="CM1207" s="1" t="s">
        <v>207</v>
      </c>
      <c r="CN1207" s="1" t="s">
        <v>1549</v>
      </c>
      <c r="CO1207" s="1" t="s">
        <v>1426</v>
      </c>
      <c r="CP1207" s="1" t="s">
        <v>267</v>
      </c>
      <c r="CQ1207" s="1" t="s">
        <v>207</v>
      </c>
      <c r="CR1207" s="1" t="s">
        <v>431</v>
      </c>
      <c r="CS1207" s="1" t="s">
        <v>264</v>
      </c>
      <c r="CT1207" s="1" t="s">
        <v>206</v>
      </c>
      <c r="CU1207" s="1" t="s">
        <v>207</v>
      </c>
      <c r="CV1207" s="1" t="s">
        <v>1549</v>
      </c>
      <c r="CW1207" s="1" t="s">
        <v>214</v>
      </c>
      <c r="CX1207" s="1" t="s">
        <v>206</v>
      </c>
      <c r="CY1207" s="1" t="s">
        <v>210</v>
      </c>
      <c r="CZ1207" s="1" t="s">
        <v>229</v>
      </c>
      <c r="DA1207" s="1" t="s">
        <v>200</v>
      </c>
      <c r="DC1207" s="1" t="s">
        <v>785</v>
      </c>
      <c r="DD1207" s="1" t="s">
        <v>306</v>
      </c>
      <c r="DE1207" s="1" t="s">
        <v>273</v>
      </c>
      <c r="DF1207" s="1" t="s">
        <v>1656</v>
      </c>
      <c r="DG1207" s="1" t="s">
        <v>11842</v>
      </c>
      <c r="DH1207" s="1" t="s">
        <v>1603</v>
      </c>
      <c r="DI1207" s="1" t="s">
        <v>9769</v>
      </c>
      <c r="DJ1207" s="1" t="s">
        <v>857</v>
      </c>
      <c r="DL1207" s="1" t="s">
        <v>986</v>
      </c>
      <c r="DM1207" s="1" t="s">
        <v>338</v>
      </c>
      <c r="DN1207" s="1" t="s">
        <v>339</v>
      </c>
      <c r="DO1207" s="1" t="s">
        <v>12988</v>
      </c>
      <c r="DP1207" s="1" t="s">
        <v>340</v>
      </c>
      <c r="DQ1207" s="1" t="s">
        <v>1557</v>
      </c>
      <c r="DR1207" s="1" t="s">
        <v>12989</v>
      </c>
      <c r="DU1207" s="1" t="s">
        <v>2691</v>
      </c>
      <c r="DV1207" s="1" t="s">
        <v>12990</v>
      </c>
      <c r="DW1207" s="1" t="s">
        <v>233</v>
      </c>
      <c r="DX1207" s="1" t="s">
        <v>234</v>
      </c>
      <c r="DY1207" s="1" t="s">
        <v>704</v>
      </c>
      <c r="DZ1207" s="1" t="s">
        <v>6164</v>
      </c>
      <c r="EA1207" s="1" t="s">
        <v>2099</v>
      </c>
      <c r="EB1207" s="1" t="s">
        <v>345</v>
      </c>
      <c r="EC1207" s="1" t="s">
        <v>12991</v>
      </c>
      <c r="ED1207" s="1" t="s">
        <v>407</v>
      </c>
      <c r="EE1207" s="1" t="s">
        <v>187</v>
      </c>
      <c r="EG1207" s="1" t="s">
        <v>1102</v>
      </c>
      <c r="EH1207" s="1" t="s">
        <v>451</v>
      </c>
      <c r="EI1207" s="1" t="s">
        <v>1491</v>
      </c>
      <c r="EJ1207" s="1" t="s">
        <v>1103</v>
      </c>
      <c r="EL1207" s="1" t="s">
        <v>5311</v>
      </c>
      <c r="EM1207" s="1" t="s">
        <v>206</v>
      </c>
      <c r="EN1207" s="1" t="s">
        <v>588</v>
      </c>
      <c r="EO1207" s="1" t="s">
        <v>229</v>
      </c>
      <c r="EP1207" s="1" t="s">
        <v>2130</v>
      </c>
      <c r="EQ1207" s="1" t="s">
        <v>206</v>
      </c>
      <c r="ER1207" s="1" t="s">
        <v>207</v>
      </c>
      <c r="ES1207" s="1" t="s">
        <v>229</v>
      </c>
      <c r="ET1207" s="1" t="s">
        <v>3658</v>
      </c>
      <c r="EU1207" s="1" t="s">
        <v>267</v>
      </c>
      <c r="EV1207" s="1" t="s">
        <v>588</v>
      </c>
      <c r="EW1207" s="1" t="s">
        <v>229</v>
      </c>
      <c r="EX1207" s="1" t="s">
        <v>1483</v>
      </c>
      <c r="EY1207" s="1" t="s">
        <v>267</v>
      </c>
      <c r="EZ1207" s="1" t="s">
        <v>588</v>
      </c>
      <c r="FA1207" s="1" t="s">
        <v>229</v>
      </c>
      <c r="FC1207" s="1" t="s">
        <v>238</v>
      </c>
      <c r="FF1207" s="1" t="s">
        <v>239</v>
      </c>
      <c r="FG1207" s="1" t="s">
        <v>192</v>
      </c>
      <c r="FH1207" s="1" t="s">
        <v>192</v>
      </c>
      <c r="FJ1207" s="1" t="s">
        <v>12992</v>
      </c>
      <c r="FK1207" s="1" t="s">
        <v>229</v>
      </c>
      <c r="FL1207" s="1" t="s">
        <v>456</v>
      </c>
      <c r="FM1207" s="1">
        <v>6026.0</v>
      </c>
      <c r="FN1207" s="1" t="s">
        <v>3545</v>
      </c>
      <c r="FO1207" s="1" t="s">
        <v>12993</v>
      </c>
      <c r="FP1207" s="1">
        <v>62090.0</v>
      </c>
      <c r="FQ1207" s="1" t="s">
        <v>12994</v>
      </c>
      <c r="FU1207" s="1" t="s">
        <v>12995</v>
      </c>
      <c r="FV1207" s="1" t="s">
        <v>200</v>
      </c>
      <c r="FW1207" s="1" t="s">
        <v>530</v>
      </c>
      <c r="FZ1207" s="1" t="s">
        <v>2993</v>
      </c>
      <c r="GA1207" s="1" t="s">
        <v>291</v>
      </c>
      <c r="GB1207" s="2">
        <v>42124.0</v>
      </c>
      <c r="GC1207" s="1" t="s">
        <v>12996</v>
      </c>
    </row>
    <row r="1208">
      <c r="A1208" s="1">
        <v>250000.0</v>
      </c>
      <c r="B1208" s="1" t="s">
        <v>185</v>
      </c>
      <c r="C1208" s="1" t="str">
        <f>"08847014"</f>
        <v>08847014</v>
      </c>
      <c r="D1208" s="1" t="s">
        <v>186</v>
      </c>
      <c r="F1208" s="1" t="str">
        <f>"123"</f>
        <v>123</v>
      </c>
      <c r="G1208" s="2">
        <v>42061.0</v>
      </c>
      <c r="H1208" s="1">
        <v>264900.0</v>
      </c>
      <c r="I1208" s="1">
        <v>4.0</v>
      </c>
      <c r="J1208" s="1">
        <v>264900.0</v>
      </c>
      <c r="K1208" s="2">
        <v>42064.0</v>
      </c>
      <c r="L1208" s="1">
        <v>4.0</v>
      </c>
      <c r="M1208" s="2">
        <v>42064.0</v>
      </c>
      <c r="N1208" s="1" t="s">
        <v>187</v>
      </c>
      <c r="O1208" s="2">
        <v>42111.0</v>
      </c>
      <c r="P1208" s="1">
        <v>241277.0</v>
      </c>
      <c r="Q1208" s="1">
        <v>25003.0</v>
      </c>
      <c r="S1208" s="1">
        <v>916.0</v>
      </c>
      <c r="T1208" s="1" t="s">
        <v>2540</v>
      </c>
      <c r="U1208" s="1" t="s">
        <v>189</v>
      </c>
      <c r="V1208" s="1" t="s">
        <v>465</v>
      </c>
      <c r="W1208" s="1">
        <v>60120.0</v>
      </c>
      <c r="Y1208" s="1" t="s">
        <v>12997</v>
      </c>
      <c r="Z1208" s="1">
        <v>1914.0</v>
      </c>
      <c r="AA1208" s="1" t="s">
        <v>192</v>
      </c>
      <c r="AB1208" s="1" t="s">
        <v>193</v>
      </c>
      <c r="AD1208" s="1" t="s">
        <v>469</v>
      </c>
      <c r="AE1208" s="1" t="s">
        <v>325</v>
      </c>
      <c r="AF1208" s="1" t="s">
        <v>469</v>
      </c>
      <c r="AH1208" s="1" t="s">
        <v>12998</v>
      </c>
      <c r="AI1208" s="1">
        <v>0.25</v>
      </c>
      <c r="AK1208" s="1">
        <v>9.0</v>
      </c>
      <c r="AL1208" s="1">
        <v>4.0</v>
      </c>
      <c r="AM1208" s="1">
        <v>1.0</v>
      </c>
      <c r="AN1208" s="1">
        <v>2.0</v>
      </c>
      <c r="AO1208" s="1" t="s">
        <v>2068</v>
      </c>
      <c r="AP1208" s="1">
        <v>1.0</v>
      </c>
      <c r="AQ1208" s="1" t="s">
        <v>198</v>
      </c>
      <c r="AR1208" s="1" t="s">
        <v>200</v>
      </c>
      <c r="AS1208" s="1" t="s">
        <v>199</v>
      </c>
      <c r="AT1208" s="1">
        <v>3.0</v>
      </c>
      <c r="AV1208" s="1" t="s">
        <v>200</v>
      </c>
      <c r="AW1208" s="1">
        <v>5764.0</v>
      </c>
      <c r="AX1208" s="1">
        <v>2013.0</v>
      </c>
      <c r="AY1208" s="1" t="s">
        <v>1179</v>
      </c>
      <c r="AZ1208" s="1" t="s">
        <v>200</v>
      </c>
      <c r="BA1208" s="1" t="str">
        <f>"0611277010"</f>
        <v>0611277010</v>
      </c>
      <c r="BB1208" s="1" t="s">
        <v>200</v>
      </c>
      <c r="BC1208" s="1">
        <v>2334.0</v>
      </c>
      <c r="BD1208" s="1">
        <v>250000.0</v>
      </c>
      <c r="BE1208" s="2">
        <v>42061.0</v>
      </c>
      <c r="BF1208" s="2" t="s">
        <v>12999</v>
      </c>
      <c r="BH1208" s="1">
        <v>0.0</v>
      </c>
      <c r="BK1208" s="1" t="s">
        <v>204</v>
      </c>
      <c r="BL1208" s="1" t="str">
        <f t="shared" ref="BL1208:BM1208" si="803">""</f>
        <v/>
      </c>
      <c r="BM1208" s="1" t="str">
        <f t="shared" si="803"/>
        <v/>
      </c>
      <c r="BQ1208" s="1">
        <v>46.0</v>
      </c>
      <c r="BR1208" s="1">
        <v>46.0</v>
      </c>
      <c r="BS1208" s="1">
        <v>46.0</v>
      </c>
      <c r="BU1208" s="1" t="s">
        <v>6591</v>
      </c>
      <c r="BV1208" s="1" t="s">
        <v>206</v>
      </c>
      <c r="BW1208" s="1" t="s">
        <v>207</v>
      </c>
      <c r="BY1208" s="1" t="s">
        <v>211</v>
      </c>
      <c r="BZ1208" s="1" t="s">
        <v>209</v>
      </c>
      <c r="CA1208" s="1" t="s">
        <v>207</v>
      </c>
      <c r="CC1208" s="1" t="s">
        <v>213</v>
      </c>
      <c r="CD1208" s="1" t="s">
        <v>206</v>
      </c>
      <c r="CE1208" s="1" t="s">
        <v>207</v>
      </c>
      <c r="CG1208" s="1" t="s">
        <v>215</v>
      </c>
      <c r="CH1208" s="1" t="s">
        <v>209</v>
      </c>
      <c r="CI1208" s="1" t="s">
        <v>207</v>
      </c>
      <c r="CK1208" s="1" t="s">
        <v>363</v>
      </c>
      <c r="CL1208" s="1" t="s">
        <v>209</v>
      </c>
      <c r="CM1208" s="1" t="s">
        <v>207</v>
      </c>
      <c r="CO1208" s="1" t="s">
        <v>543</v>
      </c>
      <c r="CP1208" s="1" t="s">
        <v>209</v>
      </c>
      <c r="CQ1208" s="1" t="s">
        <v>207</v>
      </c>
      <c r="CS1208" s="1" t="s">
        <v>211</v>
      </c>
      <c r="CT1208" s="1" t="s">
        <v>206</v>
      </c>
      <c r="CU1208" s="1" t="s">
        <v>207</v>
      </c>
      <c r="CX1208" s="1" t="s">
        <v>204</v>
      </c>
      <c r="DA1208" s="1" t="s">
        <v>200</v>
      </c>
      <c r="DC1208" s="1" t="s">
        <v>642</v>
      </c>
      <c r="DD1208" s="1" t="s">
        <v>396</v>
      </c>
      <c r="DE1208" s="1" t="s">
        <v>1810</v>
      </c>
      <c r="DF1208" s="1" t="s">
        <v>1811</v>
      </c>
      <c r="DH1208" s="1" t="s">
        <v>220</v>
      </c>
      <c r="DI1208" s="1" t="s">
        <v>519</v>
      </c>
      <c r="DJ1208" s="1" t="s">
        <v>222</v>
      </c>
      <c r="DK1208" s="1" t="s">
        <v>2097</v>
      </c>
      <c r="DL1208" s="1" t="s">
        <v>223</v>
      </c>
      <c r="DM1208" s="1" t="s">
        <v>3575</v>
      </c>
      <c r="DO1208" s="1" t="s">
        <v>549</v>
      </c>
      <c r="DP1208" s="1" t="s">
        <v>340</v>
      </c>
      <c r="DQ1208" s="1" t="s">
        <v>441</v>
      </c>
      <c r="DR1208" s="1" t="s">
        <v>229</v>
      </c>
      <c r="DS1208" s="1" t="s">
        <v>368</v>
      </c>
      <c r="DV1208" s="1" t="s">
        <v>13000</v>
      </c>
      <c r="DW1208" s="1" t="s">
        <v>279</v>
      </c>
      <c r="DX1208" s="1" t="s">
        <v>234</v>
      </c>
      <c r="DY1208" s="1" t="s">
        <v>704</v>
      </c>
      <c r="DZ1208" s="1" t="s">
        <v>405</v>
      </c>
      <c r="EA1208" s="1" t="s">
        <v>447</v>
      </c>
      <c r="EC1208" s="1" t="s">
        <v>406</v>
      </c>
      <c r="ED1208" s="1" t="s">
        <v>407</v>
      </c>
      <c r="EG1208" s="1" t="s">
        <v>557</v>
      </c>
      <c r="EH1208" s="1" t="s">
        <v>1729</v>
      </c>
      <c r="EI1208" s="1" t="s">
        <v>408</v>
      </c>
      <c r="EL1208" s="1" t="s">
        <v>9761</v>
      </c>
      <c r="EM1208" s="1" t="s">
        <v>391</v>
      </c>
      <c r="EN1208" s="1" t="s">
        <v>588</v>
      </c>
      <c r="EP1208" s="1" t="s">
        <v>497</v>
      </c>
      <c r="EQ1208" s="1" t="s">
        <v>206</v>
      </c>
      <c r="ER1208" s="1" t="s">
        <v>207</v>
      </c>
      <c r="ET1208" s="1" t="s">
        <v>1746</v>
      </c>
      <c r="EU1208" s="1" t="s">
        <v>206</v>
      </c>
      <c r="EV1208" s="1" t="s">
        <v>207</v>
      </c>
      <c r="EY1208" s="1" t="s">
        <v>238</v>
      </c>
      <c r="FC1208" s="1" t="s">
        <v>238</v>
      </c>
      <c r="FF1208" s="1" t="s">
        <v>239</v>
      </c>
      <c r="FG1208" s="1" t="s">
        <v>192</v>
      </c>
      <c r="FH1208" s="1" t="s">
        <v>192</v>
      </c>
      <c r="FJ1208" s="1" t="s">
        <v>2552</v>
      </c>
      <c r="FK1208" s="1" t="s">
        <v>348</v>
      </c>
      <c r="FL1208" s="1" t="s">
        <v>7506</v>
      </c>
      <c r="FM1208" s="1">
        <v>122.0</v>
      </c>
      <c r="FN1208" s="1" t="s">
        <v>7507</v>
      </c>
      <c r="FO1208" s="1" t="s">
        <v>7508</v>
      </c>
      <c r="FP1208" s="1">
        <v>77797.0</v>
      </c>
      <c r="FU1208" s="1" t="s">
        <v>13001</v>
      </c>
      <c r="FV1208" s="1" t="s">
        <v>200</v>
      </c>
      <c r="FW1208" s="1" t="s">
        <v>631</v>
      </c>
      <c r="FZ1208" s="1" t="s">
        <v>229</v>
      </c>
      <c r="GA1208" s="1" t="s">
        <v>291</v>
      </c>
      <c r="GB1208" s="2">
        <v>42111.0</v>
      </c>
    </row>
    <row r="1209">
      <c r="A1209" s="1">
        <v>222000.0</v>
      </c>
      <c r="B1209" s="1" t="s">
        <v>185</v>
      </c>
      <c r="C1209" s="1" t="str">
        <f>"08850877"</f>
        <v>08850877</v>
      </c>
      <c r="D1209" s="1" t="s">
        <v>186</v>
      </c>
      <c r="F1209" s="1" t="str">
        <f>"107"</f>
        <v>107</v>
      </c>
      <c r="G1209" s="2">
        <v>42066.0</v>
      </c>
      <c r="H1209" s="1">
        <v>259900.0</v>
      </c>
      <c r="I1209" s="1">
        <v>52.0</v>
      </c>
      <c r="J1209" s="1">
        <v>249900.0</v>
      </c>
      <c r="K1209" s="2">
        <v>42117.0</v>
      </c>
      <c r="L1209" s="1">
        <v>52.0</v>
      </c>
      <c r="M1209" s="2">
        <v>42117.0</v>
      </c>
      <c r="N1209" s="1" t="s">
        <v>187</v>
      </c>
      <c r="O1209" s="2">
        <v>42129.0</v>
      </c>
      <c r="P1209" s="1">
        <v>89799.0</v>
      </c>
      <c r="Q1209" s="1">
        <v>8055.0</v>
      </c>
      <c r="S1209" s="1">
        <v>29.0</v>
      </c>
      <c r="T1209" s="1" t="s">
        <v>13002</v>
      </c>
      <c r="U1209" s="1" t="s">
        <v>1174</v>
      </c>
      <c r="V1209" s="1" t="s">
        <v>294</v>
      </c>
      <c r="W1209" s="1">
        <v>60107.0</v>
      </c>
      <c r="Y1209" s="1" t="s">
        <v>13003</v>
      </c>
      <c r="Z1209" s="1">
        <v>1988.0</v>
      </c>
      <c r="AA1209" s="1" t="s">
        <v>200</v>
      </c>
      <c r="AB1209" s="1" t="s">
        <v>467</v>
      </c>
      <c r="AC1209" s="1" t="s">
        <v>13004</v>
      </c>
      <c r="AD1209" s="1" t="s">
        <v>297</v>
      </c>
      <c r="AE1209" s="1" t="s">
        <v>195</v>
      </c>
      <c r="AF1209" s="1" t="s">
        <v>298</v>
      </c>
      <c r="AH1209" s="1" t="s">
        <v>13005</v>
      </c>
      <c r="AI1209" s="1">
        <v>0.25</v>
      </c>
      <c r="AK1209" s="1">
        <v>8.0</v>
      </c>
      <c r="AL1209" s="1">
        <v>4.0</v>
      </c>
      <c r="AM1209" s="1">
        <v>2.0</v>
      </c>
      <c r="AN1209" s="1">
        <v>1.0</v>
      </c>
      <c r="AO1209" s="1" t="s">
        <v>198</v>
      </c>
      <c r="AP1209" s="1">
        <v>1.0</v>
      </c>
      <c r="AQ1209" s="1" t="s">
        <v>198</v>
      </c>
      <c r="AR1209" s="1" t="s">
        <v>200</v>
      </c>
      <c r="AS1209" s="1" t="s">
        <v>199</v>
      </c>
      <c r="AT1209" s="1">
        <v>2.5</v>
      </c>
      <c r="AV1209" s="1" t="s">
        <v>200</v>
      </c>
      <c r="AW1209" s="1">
        <v>7286.87</v>
      </c>
      <c r="AX1209" s="1">
        <v>2013.0</v>
      </c>
      <c r="AY1209" s="1" t="s">
        <v>387</v>
      </c>
      <c r="AZ1209" s="1" t="s">
        <v>200</v>
      </c>
      <c r="BA1209" s="1" t="str">
        <f>"06212030070000"</f>
        <v>06212030070000</v>
      </c>
      <c r="BC1209" s="1">
        <v>2128.0</v>
      </c>
      <c r="BD1209" s="1">
        <v>222000.0</v>
      </c>
      <c r="BE1209" s="2">
        <v>42066.0</v>
      </c>
      <c r="BF1209" s="2" t="s">
        <v>13006</v>
      </c>
      <c r="BG1209" s="1" t="s">
        <v>3196</v>
      </c>
      <c r="BH1209" s="1">
        <v>0.0</v>
      </c>
      <c r="BI1209" s="1" t="s">
        <v>756</v>
      </c>
      <c r="BJ1209" s="1" t="s">
        <v>757</v>
      </c>
      <c r="BK1209" s="1" t="s">
        <v>204</v>
      </c>
      <c r="BL1209" s="1" t="str">
        <f>"10"</f>
        <v>10</v>
      </c>
      <c r="BM1209" s="1" t="str">
        <f>"0"</f>
        <v>0</v>
      </c>
      <c r="BN1209" s="1">
        <v>30.0</v>
      </c>
      <c r="BO1209" s="1">
        <v>0.0</v>
      </c>
      <c r="BQ1209" s="1">
        <v>46.0</v>
      </c>
      <c r="BR1209" s="1">
        <v>46.0</v>
      </c>
      <c r="BS1209" s="1">
        <v>46.0</v>
      </c>
      <c r="BU1209" s="1" t="s">
        <v>393</v>
      </c>
      <c r="BV1209" s="1" t="s">
        <v>206</v>
      </c>
      <c r="BW1209" s="1" t="s">
        <v>301</v>
      </c>
      <c r="BX1209" s="1" t="s">
        <v>239</v>
      </c>
      <c r="BY1209" s="1" t="s">
        <v>743</v>
      </c>
      <c r="BZ1209" s="1" t="s">
        <v>209</v>
      </c>
      <c r="CA1209" s="1" t="s">
        <v>210</v>
      </c>
      <c r="CB1209" s="1" t="s">
        <v>239</v>
      </c>
      <c r="CC1209" s="1" t="s">
        <v>215</v>
      </c>
      <c r="CD1209" s="1" t="s">
        <v>206</v>
      </c>
      <c r="CE1209" s="1" t="s">
        <v>301</v>
      </c>
      <c r="CF1209" s="1" t="s">
        <v>239</v>
      </c>
      <c r="CG1209" s="1" t="s">
        <v>363</v>
      </c>
      <c r="CH1209" s="1" t="s">
        <v>209</v>
      </c>
      <c r="CI1209" s="1" t="s">
        <v>210</v>
      </c>
      <c r="CJ1209" s="1" t="s">
        <v>239</v>
      </c>
      <c r="CK1209" s="1" t="s">
        <v>363</v>
      </c>
      <c r="CL1209" s="1" t="s">
        <v>209</v>
      </c>
      <c r="CM1209" s="1" t="s">
        <v>210</v>
      </c>
      <c r="CN1209" s="1" t="s">
        <v>239</v>
      </c>
      <c r="CO1209" s="1" t="s">
        <v>302</v>
      </c>
      <c r="CP1209" s="1" t="s">
        <v>209</v>
      </c>
      <c r="CQ1209" s="1" t="s">
        <v>210</v>
      </c>
      <c r="CR1209" s="1" t="s">
        <v>239</v>
      </c>
      <c r="CS1209" s="1" t="s">
        <v>1000</v>
      </c>
      <c r="CT1209" s="1" t="s">
        <v>206</v>
      </c>
      <c r="CU1209" s="1" t="s">
        <v>301</v>
      </c>
      <c r="CV1209" s="1" t="s">
        <v>239</v>
      </c>
      <c r="CW1209" s="1" t="s">
        <v>1892</v>
      </c>
      <c r="CX1209" s="1" t="s">
        <v>206</v>
      </c>
      <c r="CY1209" s="1" t="s">
        <v>301</v>
      </c>
      <c r="CZ1209" s="1" t="s">
        <v>239</v>
      </c>
      <c r="DA1209" s="1" t="s">
        <v>200</v>
      </c>
      <c r="DC1209" s="1" t="s">
        <v>305</v>
      </c>
      <c r="DD1209" s="1" t="s">
        <v>396</v>
      </c>
      <c r="DE1209" s="1" t="s">
        <v>273</v>
      </c>
      <c r="DF1209" s="1" t="s">
        <v>219</v>
      </c>
      <c r="DH1209" s="1" t="s">
        <v>365</v>
      </c>
      <c r="DI1209" s="1" t="s">
        <v>1223</v>
      </c>
      <c r="DJ1209" s="1" t="s">
        <v>222</v>
      </c>
      <c r="DK1209" s="1" t="s">
        <v>198</v>
      </c>
      <c r="DL1209" s="1" t="s">
        <v>223</v>
      </c>
      <c r="DM1209" s="1" t="s">
        <v>229</v>
      </c>
      <c r="DN1209" s="1" t="s">
        <v>339</v>
      </c>
      <c r="DO1209" s="1" t="s">
        <v>549</v>
      </c>
      <c r="DP1209" s="1" t="s">
        <v>340</v>
      </c>
      <c r="DQ1209" s="1" t="s">
        <v>441</v>
      </c>
      <c r="DR1209" s="1" t="s">
        <v>229</v>
      </c>
      <c r="DS1209" s="1" t="s">
        <v>230</v>
      </c>
      <c r="DV1209" s="1" t="s">
        <v>232</v>
      </c>
      <c r="DW1209" s="1" t="s">
        <v>370</v>
      </c>
      <c r="DX1209" s="1" t="s">
        <v>234</v>
      </c>
      <c r="DZ1209" s="1" t="s">
        <v>282</v>
      </c>
      <c r="EB1209" s="1" t="s">
        <v>937</v>
      </c>
      <c r="EC1209" s="1" t="s">
        <v>237</v>
      </c>
      <c r="ED1209" s="1" t="s">
        <v>407</v>
      </c>
      <c r="EM1209" s="1" t="s">
        <v>238</v>
      </c>
      <c r="EQ1209" s="1" t="s">
        <v>238</v>
      </c>
      <c r="EU1209" s="1" t="s">
        <v>238</v>
      </c>
      <c r="EY1209" s="1" t="s">
        <v>238</v>
      </c>
      <c r="FC1209" s="1" t="s">
        <v>238</v>
      </c>
      <c r="FF1209" s="1" t="s">
        <v>239</v>
      </c>
      <c r="FG1209" s="1" t="s">
        <v>192</v>
      </c>
      <c r="FH1209" s="1" t="s">
        <v>192</v>
      </c>
      <c r="FJ1209" s="1" t="s">
        <v>1450</v>
      </c>
      <c r="FK1209" s="1" t="s">
        <v>229</v>
      </c>
      <c r="FL1209" s="1" t="s">
        <v>13007</v>
      </c>
      <c r="FM1209" s="1">
        <v>8965.0</v>
      </c>
      <c r="FN1209" s="1" t="s">
        <v>13008</v>
      </c>
      <c r="FO1209" s="1" t="s">
        <v>13009</v>
      </c>
      <c r="FP1209" s="1">
        <v>85563.0</v>
      </c>
      <c r="FQ1209" s="1" t="s">
        <v>13010</v>
      </c>
      <c r="FU1209" s="1" t="s">
        <v>13011</v>
      </c>
      <c r="FV1209" s="1" t="s">
        <v>200</v>
      </c>
      <c r="FW1209" s="1" t="s">
        <v>290</v>
      </c>
      <c r="FZ1209" s="1" t="s">
        <v>229</v>
      </c>
      <c r="GA1209" s="1" t="s">
        <v>291</v>
      </c>
      <c r="GB1209" s="2">
        <v>42129.0</v>
      </c>
    </row>
    <row r="1210">
      <c r="A1210" s="1">
        <v>246000.0</v>
      </c>
      <c r="B1210" s="1" t="s">
        <v>185</v>
      </c>
      <c r="C1210" s="1" t="str">
        <f>"08845015"</f>
        <v>08845015</v>
      </c>
      <c r="D1210" s="1" t="s">
        <v>186</v>
      </c>
      <c r="F1210" s="1" t="str">
        <f>"110"</f>
        <v>110</v>
      </c>
      <c r="G1210" s="2">
        <v>42058.0</v>
      </c>
      <c r="H1210" s="1">
        <v>249900.0</v>
      </c>
      <c r="I1210" s="1">
        <v>42.0</v>
      </c>
      <c r="J1210" s="1">
        <v>249900.0</v>
      </c>
      <c r="K1210" s="2">
        <v>42099.0</v>
      </c>
      <c r="L1210" s="1">
        <v>42.0</v>
      </c>
      <c r="M1210" s="2">
        <v>42099.0</v>
      </c>
      <c r="N1210" s="1" t="s">
        <v>187</v>
      </c>
      <c r="O1210" s="2">
        <v>42146.0</v>
      </c>
      <c r="P1210" s="1">
        <v>215425.0</v>
      </c>
      <c r="Q1210" s="1">
        <v>23163.0</v>
      </c>
      <c r="R1210" s="1">
        <v>3500.0</v>
      </c>
      <c r="S1210" s="1">
        <v>5411.0</v>
      </c>
      <c r="T1210" s="1" t="s">
        <v>13012</v>
      </c>
      <c r="U1210" s="1" t="s">
        <v>1174</v>
      </c>
      <c r="V1210" s="1" t="s">
        <v>807</v>
      </c>
      <c r="W1210" s="1">
        <v>60110.0</v>
      </c>
      <c r="Y1210" s="1" t="s">
        <v>13013</v>
      </c>
      <c r="Z1210" s="1">
        <v>2001.0</v>
      </c>
      <c r="AA1210" s="1" t="s">
        <v>200</v>
      </c>
      <c r="AB1210" s="1" t="s">
        <v>193</v>
      </c>
      <c r="AC1210" s="1" t="s">
        <v>13014</v>
      </c>
      <c r="AD1210" s="1" t="s">
        <v>809</v>
      </c>
      <c r="AE1210" s="1" t="s">
        <v>325</v>
      </c>
      <c r="AF1210" s="1" t="s">
        <v>810</v>
      </c>
      <c r="AH1210" s="1" t="s">
        <v>13015</v>
      </c>
      <c r="AK1210" s="1">
        <v>8.0</v>
      </c>
      <c r="AL1210" s="1">
        <v>4.0</v>
      </c>
      <c r="AM1210" s="1">
        <v>2.0</v>
      </c>
      <c r="AN1210" s="1">
        <v>1.0</v>
      </c>
      <c r="AO1210" s="1" t="s">
        <v>198</v>
      </c>
      <c r="AQ1210" s="1" t="s">
        <v>198</v>
      </c>
      <c r="AR1210" s="1" t="s">
        <v>200</v>
      </c>
      <c r="AS1210" s="1" t="s">
        <v>199</v>
      </c>
      <c r="AT1210" s="1">
        <v>2.0</v>
      </c>
      <c r="AV1210" s="1" t="s">
        <v>200</v>
      </c>
      <c r="AW1210" s="1">
        <v>8324.52</v>
      </c>
      <c r="AX1210" s="1">
        <v>2013.0</v>
      </c>
      <c r="AY1210" s="1" t="s">
        <v>387</v>
      </c>
      <c r="AZ1210" s="1" t="s">
        <v>200</v>
      </c>
      <c r="BA1210" s="1" t="str">
        <f>"0317226004"</f>
        <v>0317226004</v>
      </c>
      <c r="BB1210" s="1" t="s">
        <v>200</v>
      </c>
      <c r="BC1210" s="1">
        <v>2500.0</v>
      </c>
      <c r="BD1210" s="1">
        <v>246000.0</v>
      </c>
      <c r="BE1210" s="2">
        <v>42058.0</v>
      </c>
      <c r="BF1210" s="2" t="s">
        <v>13016</v>
      </c>
      <c r="BG1210" s="1" t="s">
        <v>1181</v>
      </c>
      <c r="BH1210" s="1">
        <v>225.0</v>
      </c>
      <c r="BI1210" s="1" t="s">
        <v>1093</v>
      </c>
      <c r="BJ1210" s="1" t="s">
        <v>1759</v>
      </c>
      <c r="BK1210" s="1" t="s">
        <v>580</v>
      </c>
      <c r="BL1210" s="1" t="str">
        <f t="shared" ref="BL1210:BM1210" si="804">""</f>
        <v/>
      </c>
      <c r="BM1210" s="1" t="str">
        <f t="shared" si="804"/>
        <v/>
      </c>
      <c r="BQ1210" s="1">
        <v>300.0</v>
      </c>
      <c r="BR1210" s="1">
        <v>300.0</v>
      </c>
      <c r="BS1210" s="1">
        <v>300.0</v>
      </c>
      <c r="BU1210" s="1" t="s">
        <v>363</v>
      </c>
      <c r="BV1210" s="1" t="s">
        <v>206</v>
      </c>
      <c r="BW1210" s="1" t="s">
        <v>210</v>
      </c>
      <c r="BX1210" s="1" t="s">
        <v>431</v>
      </c>
      <c r="BY1210" s="1" t="s">
        <v>3475</v>
      </c>
      <c r="BZ1210" s="1" t="s">
        <v>209</v>
      </c>
      <c r="CA1210" s="1" t="s">
        <v>210</v>
      </c>
      <c r="CB1210" s="1" t="s">
        <v>261</v>
      </c>
      <c r="CC1210" s="1" t="s">
        <v>363</v>
      </c>
      <c r="CD1210" s="1" t="s">
        <v>206</v>
      </c>
      <c r="CE1210" s="1" t="s">
        <v>210</v>
      </c>
      <c r="CF1210" s="1" t="s">
        <v>431</v>
      </c>
      <c r="CG1210" s="1" t="s">
        <v>331</v>
      </c>
      <c r="CH1210" s="1" t="s">
        <v>209</v>
      </c>
      <c r="CI1210" s="1" t="s">
        <v>210</v>
      </c>
      <c r="CJ1210" s="1" t="s">
        <v>1549</v>
      </c>
      <c r="CK1210" s="1" t="s">
        <v>212</v>
      </c>
      <c r="CL1210" s="1" t="s">
        <v>209</v>
      </c>
      <c r="CM1210" s="1" t="s">
        <v>210</v>
      </c>
      <c r="CN1210" s="1" t="s">
        <v>261</v>
      </c>
      <c r="CO1210" s="1" t="s">
        <v>363</v>
      </c>
      <c r="CP1210" s="1" t="s">
        <v>209</v>
      </c>
      <c r="CQ1210" s="1" t="s">
        <v>210</v>
      </c>
      <c r="CR1210" s="1" t="s">
        <v>1549</v>
      </c>
      <c r="CS1210" s="1" t="s">
        <v>453</v>
      </c>
      <c r="CT1210" s="1" t="s">
        <v>206</v>
      </c>
      <c r="CU1210" s="1" t="s">
        <v>207</v>
      </c>
      <c r="CV1210" s="1" t="s">
        <v>431</v>
      </c>
      <c r="CW1210" s="1" t="s">
        <v>2800</v>
      </c>
      <c r="CX1210" s="1" t="s">
        <v>206</v>
      </c>
      <c r="CY1210" s="1" t="s">
        <v>210</v>
      </c>
      <c r="CZ1210" s="1" t="s">
        <v>431</v>
      </c>
      <c r="DA1210" s="1" t="s">
        <v>200</v>
      </c>
      <c r="DC1210" s="1" t="s">
        <v>335</v>
      </c>
      <c r="DD1210" s="1" t="s">
        <v>336</v>
      </c>
      <c r="DE1210" s="1" t="s">
        <v>273</v>
      </c>
      <c r="DF1210" s="1" t="s">
        <v>219</v>
      </c>
      <c r="DG1210" s="1" t="s">
        <v>482</v>
      </c>
      <c r="DH1210" s="1" t="s">
        <v>220</v>
      </c>
      <c r="DI1210" s="1" t="s">
        <v>8567</v>
      </c>
      <c r="DJ1210" s="1" t="s">
        <v>222</v>
      </c>
      <c r="DK1210" s="1" t="s">
        <v>223</v>
      </c>
      <c r="DL1210" s="1" t="s">
        <v>223</v>
      </c>
      <c r="DM1210" s="1" t="s">
        <v>338</v>
      </c>
      <c r="DN1210" s="1" t="s">
        <v>6882</v>
      </c>
      <c r="DO1210" s="1" t="s">
        <v>5346</v>
      </c>
      <c r="DP1210" s="1" t="s">
        <v>276</v>
      </c>
      <c r="DQ1210" s="1" t="s">
        <v>228</v>
      </c>
      <c r="DR1210" s="1" t="s">
        <v>588</v>
      </c>
      <c r="DS1210" s="1" t="s">
        <v>368</v>
      </c>
      <c r="DU1210" s="1" t="s">
        <v>13017</v>
      </c>
      <c r="DV1210" s="1" t="s">
        <v>408</v>
      </c>
      <c r="DW1210" s="1" t="s">
        <v>444</v>
      </c>
      <c r="DX1210" s="1" t="s">
        <v>234</v>
      </c>
      <c r="DY1210" s="1" t="s">
        <v>490</v>
      </c>
      <c r="DZ1210" s="1" t="s">
        <v>1959</v>
      </c>
      <c r="EA1210" s="1" t="s">
        <v>344</v>
      </c>
      <c r="EC1210" s="1" t="s">
        <v>237</v>
      </c>
      <c r="ED1210" s="1" t="s">
        <v>407</v>
      </c>
      <c r="EE1210" s="1" t="s">
        <v>493</v>
      </c>
      <c r="EG1210" s="1" t="s">
        <v>408</v>
      </c>
      <c r="EL1210" s="1" t="s">
        <v>3596</v>
      </c>
      <c r="EM1210" s="1" t="s">
        <v>206</v>
      </c>
      <c r="EN1210" s="1" t="s">
        <v>207</v>
      </c>
      <c r="EO1210" s="1" t="s">
        <v>229</v>
      </c>
      <c r="EQ1210" s="1" t="s">
        <v>238</v>
      </c>
      <c r="EU1210" s="1" t="s">
        <v>238</v>
      </c>
      <c r="EY1210" s="1" t="s">
        <v>238</v>
      </c>
      <c r="FC1210" s="1" t="s">
        <v>238</v>
      </c>
      <c r="FF1210" s="1" t="s">
        <v>239</v>
      </c>
      <c r="FG1210" s="1" t="s">
        <v>192</v>
      </c>
      <c r="FH1210" s="1" t="s">
        <v>192</v>
      </c>
      <c r="FJ1210" s="1" t="s">
        <v>770</v>
      </c>
      <c r="FK1210" s="1" t="s">
        <v>229</v>
      </c>
      <c r="FL1210" s="1" t="s">
        <v>13018</v>
      </c>
      <c r="FM1210" s="1">
        <v>23905.0</v>
      </c>
      <c r="FN1210" s="1" t="s">
        <v>13019</v>
      </c>
      <c r="FO1210" s="1" t="s">
        <v>13020</v>
      </c>
      <c r="FP1210" s="1">
        <v>235662.0</v>
      </c>
      <c r="FQ1210" s="1" t="s">
        <v>13021</v>
      </c>
      <c r="FU1210" s="1" t="s">
        <v>13022</v>
      </c>
      <c r="FV1210" s="1" t="s">
        <v>200</v>
      </c>
      <c r="FW1210" s="1" t="s">
        <v>530</v>
      </c>
      <c r="FZ1210" s="1" t="s">
        <v>229</v>
      </c>
      <c r="GA1210" s="1" t="s">
        <v>291</v>
      </c>
      <c r="GB1210" s="2">
        <v>42147.0</v>
      </c>
      <c r="GC1210" s="1" t="s">
        <v>13023</v>
      </c>
    </row>
    <row r="1211">
      <c r="A1211" s="1">
        <v>275000.0</v>
      </c>
      <c r="B1211" s="1" t="s">
        <v>185</v>
      </c>
      <c r="C1211" s="1" t="str">
        <f>"08853245"</f>
        <v>08853245</v>
      </c>
      <c r="D1211" s="1" t="s">
        <v>186</v>
      </c>
      <c r="F1211" s="1" t="str">
        <f>"123"</f>
        <v>123</v>
      </c>
      <c r="G1211" s="2">
        <v>42068.0</v>
      </c>
      <c r="H1211" s="1">
        <v>285000.0</v>
      </c>
      <c r="I1211" s="1">
        <v>16.0</v>
      </c>
      <c r="J1211" s="1">
        <v>285000.0</v>
      </c>
      <c r="K1211" s="2">
        <v>42083.0</v>
      </c>
      <c r="L1211" s="1">
        <v>16.0</v>
      </c>
      <c r="M1211" s="2">
        <v>42083.0</v>
      </c>
      <c r="N1211" s="1" t="s">
        <v>356</v>
      </c>
      <c r="O1211" s="2">
        <v>42118.0</v>
      </c>
      <c r="P1211" s="1">
        <v>239088.0</v>
      </c>
      <c r="Q1211" s="1">
        <v>26067.0</v>
      </c>
      <c r="R1211" s="1">
        <v>2000.0</v>
      </c>
      <c r="S1211" s="1">
        <v>946.0</v>
      </c>
      <c r="T1211" s="1" t="s">
        <v>13024</v>
      </c>
      <c r="U1211" s="1" t="s">
        <v>420</v>
      </c>
      <c r="V1211" s="1" t="s">
        <v>465</v>
      </c>
      <c r="W1211" s="1">
        <v>60124.0</v>
      </c>
      <c r="Y1211" s="1" t="s">
        <v>13025</v>
      </c>
      <c r="Z1211" s="1">
        <v>1995.0</v>
      </c>
      <c r="AA1211" s="1" t="s">
        <v>200</v>
      </c>
      <c r="AB1211" s="1" t="s">
        <v>193</v>
      </c>
      <c r="AC1211" s="1" t="s">
        <v>13026</v>
      </c>
      <c r="AD1211" s="1" t="s">
        <v>469</v>
      </c>
      <c r="AE1211" s="1" t="s">
        <v>325</v>
      </c>
      <c r="AF1211" s="1" t="s">
        <v>469</v>
      </c>
      <c r="AH1211" s="1" t="s">
        <v>13027</v>
      </c>
      <c r="AI1211" s="1">
        <v>0.3</v>
      </c>
      <c r="AK1211" s="1">
        <v>12.0</v>
      </c>
      <c r="AL1211" s="1">
        <v>4.0</v>
      </c>
      <c r="AM1211" s="1">
        <v>2.0</v>
      </c>
      <c r="AN1211" s="1">
        <v>1.0</v>
      </c>
      <c r="AO1211" s="1" t="s">
        <v>198</v>
      </c>
      <c r="AP1211" s="1">
        <v>1.0</v>
      </c>
      <c r="AQ1211" s="1" t="s">
        <v>198</v>
      </c>
      <c r="AR1211" s="1" t="s">
        <v>200</v>
      </c>
      <c r="AS1211" s="1" t="s">
        <v>199</v>
      </c>
      <c r="AT1211" s="1">
        <v>2.0</v>
      </c>
      <c r="AV1211" s="1" t="s">
        <v>200</v>
      </c>
      <c r="AW1211" s="1">
        <v>7686.52</v>
      </c>
      <c r="AX1211" s="1">
        <v>2013.0</v>
      </c>
      <c r="AY1211" s="1" t="s">
        <v>387</v>
      </c>
      <c r="AZ1211" s="1" t="s">
        <v>200</v>
      </c>
      <c r="BA1211" s="1" t="str">
        <f>"0608204020"</f>
        <v>0608204020</v>
      </c>
      <c r="BC1211" s="1">
        <v>2867.0</v>
      </c>
      <c r="BD1211" s="1">
        <v>275000.0</v>
      </c>
      <c r="BE1211" s="2">
        <v>42068.0</v>
      </c>
      <c r="BF1211" s="2" t="s">
        <v>13028</v>
      </c>
      <c r="BG1211" s="1" t="s">
        <v>13029</v>
      </c>
      <c r="BH1211" s="1">
        <v>0.0</v>
      </c>
      <c r="BI1211" s="1" t="s">
        <v>3197</v>
      </c>
      <c r="BJ1211" s="1" t="s">
        <v>675</v>
      </c>
      <c r="BK1211" s="1" t="s">
        <v>204</v>
      </c>
      <c r="BL1211" s="1" t="str">
        <f t="shared" ref="BL1211:BM1211" si="805">""</f>
        <v/>
      </c>
      <c r="BM1211" s="1" t="str">
        <f t="shared" si="805"/>
        <v/>
      </c>
      <c r="BQ1211" s="1">
        <v>46.0</v>
      </c>
      <c r="BR1211" s="1">
        <v>46.0</v>
      </c>
      <c r="BS1211" s="1">
        <v>46.0</v>
      </c>
      <c r="BU1211" s="1" t="s">
        <v>743</v>
      </c>
      <c r="BV1211" s="1" t="s">
        <v>206</v>
      </c>
      <c r="BW1211" s="1" t="s">
        <v>207</v>
      </c>
      <c r="BX1211" s="1" t="s">
        <v>229</v>
      </c>
      <c r="BY1211" s="1" t="s">
        <v>214</v>
      </c>
      <c r="BZ1211" s="1" t="s">
        <v>209</v>
      </c>
      <c r="CA1211" s="1" t="s">
        <v>210</v>
      </c>
      <c r="CB1211" s="1" t="s">
        <v>1549</v>
      </c>
      <c r="CC1211" s="1" t="s">
        <v>743</v>
      </c>
      <c r="CD1211" s="1" t="s">
        <v>206</v>
      </c>
      <c r="CE1211" s="1" t="s">
        <v>207</v>
      </c>
      <c r="CF1211" s="1" t="s">
        <v>1549</v>
      </c>
      <c r="CG1211" s="1" t="s">
        <v>262</v>
      </c>
      <c r="CH1211" s="1" t="s">
        <v>209</v>
      </c>
      <c r="CI1211" s="1" t="s">
        <v>210</v>
      </c>
      <c r="CJ1211" s="1" t="s">
        <v>431</v>
      </c>
      <c r="CK1211" s="1" t="s">
        <v>363</v>
      </c>
      <c r="CL1211" s="1" t="s">
        <v>209</v>
      </c>
      <c r="CM1211" s="1" t="s">
        <v>210</v>
      </c>
      <c r="CN1211" s="1" t="s">
        <v>1549</v>
      </c>
      <c r="CO1211" s="1" t="s">
        <v>332</v>
      </c>
      <c r="CP1211" s="1" t="s">
        <v>209</v>
      </c>
      <c r="CQ1211" s="1" t="s">
        <v>210</v>
      </c>
      <c r="CR1211" s="1" t="s">
        <v>1549</v>
      </c>
      <c r="CS1211" s="1" t="s">
        <v>364</v>
      </c>
      <c r="CT1211" s="1" t="s">
        <v>206</v>
      </c>
      <c r="CU1211" s="1" t="s">
        <v>207</v>
      </c>
      <c r="CV1211" s="1" t="s">
        <v>431</v>
      </c>
      <c r="CW1211" s="1" t="s">
        <v>364</v>
      </c>
      <c r="CX1211" s="1" t="s">
        <v>206</v>
      </c>
      <c r="CY1211" s="1" t="s">
        <v>210</v>
      </c>
      <c r="CZ1211" s="1" t="s">
        <v>431</v>
      </c>
      <c r="DA1211" s="1" t="s">
        <v>200</v>
      </c>
      <c r="DC1211" s="1" t="s">
        <v>678</v>
      </c>
      <c r="DD1211" s="1" t="s">
        <v>217</v>
      </c>
      <c r="DE1211" s="1" t="s">
        <v>273</v>
      </c>
      <c r="DF1211" s="1" t="s">
        <v>219</v>
      </c>
      <c r="DH1211" s="1" t="s">
        <v>220</v>
      </c>
      <c r="DI1211" s="1" t="s">
        <v>959</v>
      </c>
      <c r="DJ1211" s="1" t="s">
        <v>222</v>
      </c>
      <c r="DL1211" s="1" t="s">
        <v>224</v>
      </c>
      <c r="DM1211" s="1" t="s">
        <v>338</v>
      </c>
      <c r="DN1211" s="1" t="s">
        <v>439</v>
      </c>
      <c r="DO1211" s="1" t="s">
        <v>5000</v>
      </c>
      <c r="DP1211" s="1" t="s">
        <v>340</v>
      </c>
      <c r="DQ1211" s="1" t="s">
        <v>441</v>
      </c>
      <c r="DR1211" s="1" t="s">
        <v>229</v>
      </c>
      <c r="DS1211" s="1" t="s">
        <v>230</v>
      </c>
      <c r="DU1211" s="1" t="s">
        <v>746</v>
      </c>
      <c r="DV1211" s="1" t="s">
        <v>13030</v>
      </c>
      <c r="DW1211" s="1" t="s">
        <v>764</v>
      </c>
      <c r="DX1211" s="1" t="s">
        <v>234</v>
      </c>
      <c r="DY1211" s="1" t="s">
        <v>935</v>
      </c>
      <c r="DZ1211" s="1" t="s">
        <v>13031</v>
      </c>
      <c r="EB1211" s="1" t="s">
        <v>4251</v>
      </c>
      <c r="EC1211" s="1" t="s">
        <v>237</v>
      </c>
      <c r="ED1211" s="1" t="s">
        <v>407</v>
      </c>
      <c r="EE1211" s="1" t="s">
        <v>187</v>
      </c>
      <c r="EG1211" s="1" t="s">
        <v>494</v>
      </c>
      <c r="EH1211" s="1" t="s">
        <v>450</v>
      </c>
      <c r="EI1211" s="1" t="s">
        <v>451</v>
      </c>
      <c r="EJ1211" s="1" t="s">
        <v>2023</v>
      </c>
      <c r="EK1211" s="1" t="s">
        <v>408</v>
      </c>
      <c r="EL1211" s="1" t="s">
        <v>331</v>
      </c>
      <c r="EM1211" s="1" t="s">
        <v>206</v>
      </c>
      <c r="EN1211" s="1" t="s">
        <v>210</v>
      </c>
      <c r="EO1211" s="1" t="s">
        <v>229</v>
      </c>
      <c r="EP1211" s="1" t="s">
        <v>6591</v>
      </c>
      <c r="EQ1211" s="1" t="s">
        <v>42</v>
      </c>
      <c r="ER1211" s="1" t="s">
        <v>210</v>
      </c>
      <c r="ES1211" s="1" t="s">
        <v>229</v>
      </c>
      <c r="ET1211" s="1" t="s">
        <v>830</v>
      </c>
      <c r="EU1211" s="1" t="s">
        <v>42</v>
      </c>
      <c r="EV1211" s="1" t="s">
        <v>210</v>
      </c>
      <c r="EW1211" s="1" t="s">
        <v>229</v>
      </c>
      <c r="EX1211" s="1" t="s">
        <v>300</v>
      </c>
      <c r="EY1211" s="1" t="s">
        <v>42</v>
      </c>
      <c r="EZ1211" s="1" t="s">
        <v>210</v>
      </c>
      <c r="FA1211" s="1" t="s">
        <v>229</v>
      </c>
      <c r="FB1211" s="1" t="s">
        <v>392</v>
      </c>
      <c r="FC1211" s="1" t="s">
        <v>206</v>
      </c>
      <c r="FD1211" s="1" t="s">
        <v>268</v>
      </c>
      <c r="FE1211" s="1" t="s">
        <v>229</v>
      </c>
      <c r="FF1211" s="1" t="s">
        <v>239</v>
      </c>
      <c r="FG1211" s="1" t="s">
        <v>192</v>
      </c>
      <c r="FH1211" s="1" t="s">
        <v>192</v>
      </c>
      <c r="FJ1211" s="1" t="s">
        <v>1538</v>
      </c>
      <c r="FK1211" s="1" t="s">
        <v>229</v>
      </c>
      <c r="FL1211" s="1" t="s">
        <v>13032</v>
      </c>
      <c r="FM1211" s="1">
        <v>7545.0</v>
      </c>
      <c r="FN1211" s="1" t="s">
        <v>13033</v>
      </c>
      <c r="FO1211" s="1" t="s">
        <v>13034</v>
      </c>
      <c r="FP1211" s="1">
        <v>77258.0</v>
      </c>
      <c r="FQ1211" s="1" t="s">
        <v>13035</v>
      </c>
      <c r="FU1211" s="1" t="s">
        <v>13036</v>
      </c>
      <c r="FV1211" s="1" t="s">
        <v>200</v>
      </c>
      <c r="FW1211" s="1" t="s">
        <v>461</v>
      </c>
      <c r="FZ1211" s="1" t="s">
        <v>229</v>
      </c>
      <c r="GA1211" s="1" t="s">
        <v>291</v>
      </c>
      <c r="GB1211" s="2">
        <v>42118.0</v>
      </c>
      <c r="GC1211" s="1" t="s">
        <v>13037</v>
      </c>
    </row>
    <row r="1212">
      <c r="A1212" s="1">
        <v>165000.0</v>
      </c>
      <c r="B1212" s="1" t="s">
        <v>185</v>
      </c>
      <c r="C1212" s="1" t="str">
        <f>"08845368"</f>
        <v>08845368</v>
      </c>
      <c r="D1212" s="1" t="s">
        <v>186</v>
      </c>
      <c r="F1212" s="1" t="str">
        <f>"8075"</f>
        <v>8075</v>
      </c>
      <c r="G1212" s="2">
        <v>42059.0</v>
      </c>
      <c r="H1212" s="1">
        <v>169000.0</v>
      </c>
      <c r="I1212" s="1">
        <v>1.0</v>
      </c>
      <c r="J1212" s="1">
        <v>169000.0</v>
      </c>
      <c r="K1212" s="2">
        <v>42059.0</v>
      </c>
      <c r="L1212" s="1">
        <v>1.0</v>
      </c>
      <c r="M1212" s="2">
        <v>42059.0</v>
      </c>
      <c r="N1212" s="1" t="s">
        <v>634</v>
      </c>
      <c r="O1212" s="2">
        <v>42103.0</v>
      </c>
      <c r="P1212" s="1">
        <v>501194.0</v>
      </c>
      <c r="Q1212" s="1">
        <v>51720.0</v>
      </c>
      <c r="R1212" s="1">
        <v>4762.0</v>
      </c>
      <c r="S1212" s="1">
        <v>10936.0</v>
      </c>
      <c r="T1212" s="1" t="s">
        <v>3412</v>
      </c>
      <c r="U1212" s="1" t="s">
        <v>320</v>
      </c>
      <c r="V1212" s="1" t="s">
        <v>190</v>
      </c>
      <c r="W1212" s="1">
        <v>60643.0</v>
      </c>
      <c r="X1212" s="1">
        <v>3808.0</v>
      </c>
      <c r="Y1212" s="1" t="s">
        <v>13038</v>
      </c>
      <c r="Z1212" s="1">
        <v>1944.0</v>
      </c>
      <c r="AA1212" s="1" t="s">
        <v>192</v>
      </c>
      <c r="AB1212" s="1" t="s">
        <v>193</v>
      </c>
      <c r="AD1212" s="1" t="s">
        <v>194</v>
      </c>
      <c r="AE1212" s="1" t="s">
        <v>195</v>
      </c>
      <c r="AF1212" s="1" t="s">
        <v>659</v>
      </c>
      <c r="AH1212" s="1" t="s">
        <v>6636</v>
      </c>
      <c r="AI1212" s="1">
        <v>0.1148</v>
      </c>
      <c r="AK1212" s="1">
        <v>8.0</v>
      </c>
      <c r="AL1212" s="1">
        <v>3.0</v>
      </c>
      <c r="AM1212" s="1">
        <v>2.0</v>
      </c>
      <c r="AN1212" s="1">
        <v>1.0</v>
      </c>
      <c r="AO1212" s="1" t="s">
        <v>229</v>
      </c>
      <c r="AQ1212" s="1" t="s">
        <v>198</v>
      </c>
      <c r="AR1212" s="1" t="s">
        <v>192</v>
      </c>
      <c r="AS1212" s="1" t="s">
        <v>199</v>
      </c>
      <c r="AT1212" s="1">
        <v>2.0</v>
      </c>
      <c r="AV1212" s="1" t="s">
        <v>200</v>
      </c>
      <c r="AW1212" s="1">
        <v>2352.47</v>
      </c>
      <c r="AX1212" s="1">
        <v>2012.0</v>
      </c>
      <c r="AZ1212" s="1" t="s">
        <v>200</v>
      </c>
      <c r="BA1212" s="1" t="str">
        <f>"25174260100000"</f>
        <v>25174260100000</v>
      </c>
      <c r="BC1212" s="1">
        <v>1400.0</v>
      </c>
      <c r="BD1212" s="1">
        <v>165000.0</v>
      </c>
      <c r="BE1212" s="2">
        <v>42059.0</v>
      </c>
      <c r="BF1212" s="2" t="s">
        <v>13039</v>
      </c>
      <c r="BH1212" s="1">
        <v>0.0</v>
      </c>
      <c r="BK1212" s="1" t="s">
        <v>204</v>
      </c>
      <c r="BL1212" s="1" t="str">
        <f t="shared" ref="BL1212:BM1212" si="806">"0"</f>
        <v>0</v>
      </c>
      <c r="BM1212" s="1" t="str">
        <f t="shared" si="806"/>
        <v>0</v>
      </c>
      <c r="BN1212" s="1">
        <v>900.0</v>
      </c>
      <c r="BO1212" s="1">
        <v>10917.0</v>
      </c>
      <c r="BQ1212" s="1">
        <v>299.0</v>
      </c>
      <c r="BR1212" s="1">
        <v>299.0</v>
      </c>
      <c r="BS1212" s="1">
        <v>299.0</v>
      </c>
      <c r="BU1212" s="1" t="s">
        <v>1000</v>
      </c>
      <c r="BV1212" s="1" t="s">
        <v>206</v>
      </c>
      <c r="BW1212" s="1" t="s">
        <v>207</v>
      </c>
      <c r="BY1212" s="1" t="s">
        <v>729</v>
      </c>
      <c r="BZ1212" s="1" t="s">
        <v>209</v>
      </c>
      <c r="CA1212" s="1" t="s">
        <v>207</v>
      </c>
      <c r="CC1212" s="1" t="s">
        <v>497</v>
      </c>
      <c r="CD1212" s="1" t="s">
        <v>206</v>
      </c>
      <c r="CE1212" s="1" t="s">
        <v>207</v>
      </c>
      <c r="CG1212" s="1" t="s">
        <v>262</v>
      </c>
      <c r="CH1212" s="1" t="s">
        <v>209</v>
      </c>
      <c r="CI1212" s="1" t="s">
        <v>207</v>
      </c>
      <c r="CK1212" s="1" t="s">
        <v>497</v>
      </c>
      <c r="CL1212" s="1" t="s">
        <v>209</v>
      </c>
      <c r="CM1212" s="1" t="s">
        <v>207</v>
      </c>
      <c r="CO1212" s="1" t="s">
        <v>269</v>
      </c>
      <c r="CP1212" s="1" t="s">
        <v>42</v>
      </c>
      <c r="CQ1212" s="1" t="s">
        <v>268</v>
      </c>
      <c r="CS1212" s="1" t="s">
        <v>215</v>
      </c>
      <c r="CT1212" s="1" t="s">
        <v>206</v>
      </c>
      <c r="CU1212" s="1" t="s">
        <v>207</v>
      </c>
      <c r="CW1212" s="1" t="s">
        <v>1117</v>
      </c>
      <c r="CX1212" s="1" t="s">
        <v>42</v>
      </c>
      <c r="CY1212" s="1" t="s">
        <v>268</v>
      </c>
      <c r="DA1212" s="1" t="s">
        <v>200</v>
      </c>
      <c r="DC1212" s="1" t="s">
        <v>1399</v>
      </c>
      <c r="DE1212" s="1" t="s">
        <v>273</v>
      </c>
      <c r="DF1212" s="1" t="s">
        <v>219</v>
      </c>
      <c r="DH1212" s="1" t="s">
        <v>220</v>
      </c>
      <c r="DI1212" s="1" t="s">
        <v>366</v>
      </c>
      <c r="DJ1212" s="1" t="s">
        <v>222</v>
      </c>
      <c r="DL1212" s="1" t="s">
        <v>224</v>
      </c>
      <c r="DM1212" s="1" t="s">
        <v>229</v>
      </c>
      <c r="DQ1212" s="1" t="s">
        <v>228</v>
      </c>
      <c r="DR1212" s="1" t="s">
        <v>229</v>
      </c>
      <c r="DS1212" s="1" t="s">
        <v>230</v>
      </c>
      <c r="DV1212" s="1" t="s">
        <v>232</v>
      </c>
      <c r="DW1212" s="1" t="s">
        <v>279</v>
      </c>
      <c r="DX1212" s="1" t="s">
        <v>234</v>
      </c>
      <c r="DY1212" s="1" t="s">
        <v>553</v>
      </c>
      <c r="EC1212" s="1" t="s">
        <v>237</v>
      </c>
      <c r="EE1212" s="1" t="s">
        <v>493</v>
      </c>
      <c r="EM1212" s="1" t="s">
        <v>238</v>
      </c>
      <c r="EQ1212" s="1" t="s">
        <v>238</v>
      </c>
      <c r="EU1212" s="1" t="s">
        <v>238</v>
      </c>
      <c r="EY1212" s="1" t="s">
        <v>238</v>
      </c>
      <c r="FC1212" s="1" t="s">
        <v>238</v>
      </c>
      <c r="FF1212" s="1" t="s">
        <v>229</v>
      </c>
      <c r="FG1212" s="1" t="s">
        <v>200</v>
      </c>
      <c r="FH1212" s="1" t="s">
        <v>200</v>
      </c>
      <c r="FJ1212" s="1" t="s">
        <v>648</v>
      </c>
      <c r="FK1212" s="1" t="s">
        <v>229</v>
      </c>
      <c r="FL1212" s="1" t="s">
        <v>649</v>
      </c>
      <c r="FM1212" s="1">
        <v>60296.0</v>
      </c>
      <c r="FN1212" s="1" t="s">
        <v>650</v>
      </c>
      <c r="FO1212" s="1" t="s">
        <v>651</v>
      </c>
      <c r="FP1212" s="1">
        <v>602837.0</v>
      </c>
      <c r="FQ1212" s="1" t="s">
        <v>652</v>
      </c>
      <c r="FR1212" s="1">
        <v>602442.0</v>
      </c>
      <c r="FU1212" s="1" t="s">
        <v>653</v>
      </c>
      <c r="FV1212" s="1" t="s">
        <v>200</v>
      </c>
      <c r="FW1212" s="1" t="s">
        <v>654</v>
      </c>
      <c r="FX1212" s="1" t="s">
        <v>655</v>
      </c>
      <c r="FZ1212" s="1" t="s">
        <v>229</v>
      </c>
      <c r="GA1212" s="1" t="s">
        <v>291</v>
      </c>
      <c r="GB1212" s="2">
        <v>42103.0</v>
      </c>
      <c r="GC1212" s="1" t="s">
        <v>1372</v>
      </c>
    </row>
    <row r="1213">
      <c r="A1213" s="1">
        <v>849900.0</v>
      </c>
      <c r="B1213" s="1" t="s">
        <v>185</v>
      </c>
      <c r="C1213" s="1" t="str">
        <f>"08848382"</f>
        <v>08848382</v>
      </c>
      <c r="D1213" s="1" t="s">
        <v>186</v>
      </c>
      <c r="F1213" s="1" t="str">
        <f>"8022"</f>
        <v>8022</v>
      </c>
      <c r="G1213" s="2">
        <v>42062.0</v>
      </c>
      <c r="H1213" s="1">
        <v>849900.0</v>
      </c>
      <c r="I1213" s="1">
        <v>46.0</v>
      </c>
      <c r="J1213" s="1">
        <v>849900.0</v>
      </c>
      <c r="K1213" s="2">
        <v>42076.0</v>
      </c>
      <c r="L1213" s="1">
        <v>15.0</v>
      </c>
      <c r="M1213" s="2">
        <v>42076.0</v>
      </c>
      <c r="N1213" s="1" t="s">
        <v>187</v>
      </c>
      <c r="O1213" s="2">
        <v>42104.0</v>
      </c>
      <c r="P1213" s="1">
        <v>143857.0</v>
      </c>
      <c r="Q1213" s="1">
        <v>84025.0</v>
      </c>
      <c r="S1213" s="1">
        <v>2628.0</v>
      </c>
      <c r="T1213" s="1" t="s">
        <v>13040</v>
      </c>
      <c r="U1213" s="1" t="s">
        <v>189</v>
      </c>
      <c r="V1213" s="1" t="s">
        <v>190</v>
      </c>
      <c r="W1213" s="1">
        <v>60647.0</v>
      </c>
      <c r="Y1213" s="1" t="s">
        <v>6455</v>
      </c>
      <c r="Z1213" s="1">
        <v>2015.0</v>
      </c>
      <c r="AA1213" s="1" t="s">
        <v>200</v>
      </c>
      <c r="AB1213" s="1" t="s">
        <v>193</v>
      </c>
      <c r="AD1213" s="1" t="s">
        <v>194</v>
      </c>
      <c r="AE1213" s="1" t="s">
        <v>195</v>
      </c>
      <c r="AF1213" s="1" t="s">
        <v>827</v>
      </c>
      <c r="AG1213" s="1" t="s">
        <v>6456</v>
      </c>
      <c r="AH1213" s="1" t="s">
        <v>359</v>
      </c>
      <c r="AK1213" s="1">
        <v>9.0</v>
      </c>
      <c r="AL1213" s="1">
        <v>4.0</v>
      </c>
      <c r="AM1213" s="1">
        <v>3.0</v>
      </c>
      <c r="AN1213" s="1">
        <v>1.0</v>
      </c>
      <c r="AO1213" s="1" t="s">
        <v>198</v>
      </c>
      <c r="AP1213" s="1">
        <v>1.0</v>
      </c>
      <c r="AQ1213" s="1" t="s">
        <v>257</v>
      </c>
      <c r="AR1213" s="1" t="s">
        <v>192</v>
      </c>
      <c r="AS1213" s="1" t="s">
        <v>199</v>
      </c>
      <c r="AT1213" s="1">
        <v>2.0</v>
      </c>
      <c r="AV1213" s="1" t="s">
        <v>200</v>
      </c>
      <c r="AW1213" s="1" t="s">
        <v>575</v>
      </c>
      <c r="AX1213" s="1">
        <v>2013.0</v>
      </c>
      <c r="AZ1213" s="1" t="s">
        <v>545</v>
      </c>
      <c r="BA1213" s="1" t="str">
        <f>"13362070060000"</f>
        <v>13362070060000</v>
      </c>
      <c r="BC1213" s="1">
        <v>0.0</v>
      </c>
      <c r="BD1213" s="1">
        <v>849900.0</v>
      </c>
      <c r="BE1213" s="2">
        <v>42062.0</v>
      </c>
      <c r="BF1213" s="2" t="s">
        <v>13041</v>
      </c>
      <c r="BH1213" s="1">
        <v>0.0</v>
      </c>
      <c r="BK1213" s="1" t="s">
        <v>204</v>
      </c>
      <c r="BL1213" s="1" t="str">
        <f>"2300"</f>
        <v>2300</v>
      </c>
      <c r="BM1213" s="1" t="str">
        <f t="shared" ref="BM1213:BM1214" si="807">"0"</f>
        <v>0</v>
      </c>
      <c r="BN1213" s="1">
        <v>2628.0</v>
      </c>
      <c r="BO1213" s="1">
        <v>0.0</v>
      </c>
      <c r="BQ1213" s="1">
        <v>299.0</v>
      </c>
      <c r="BR1213" s="1">
        <v>299.0</v>
      </c>
      <c r="BS1213" s="1">
        <v>299.0</v>
      </c>
      <c r="BU1213" s="1" t="s">
        <v>5223</v>
      </c>
      <c r="BV1213" s="1" t="s">
        <v>206</v>
      </c>
      <c r="BW1213" s="1" t="s">
        <v>207</v>
      </c>
      <c r="BY1213" s="1" t="s">
        <v>208</v>
      </c>
      <c r="BZ1213" s="1" t="s">
        <v>209</v>
      </c>
      <c r="CA1213" s="1" t="s">
        <v>207</v>
      </c>
      <c r="CC1213" s="1" t="s">
        <v>542</v>
      </c>
      <c r="CD1213" s="1" t="s">
        <v>206</v>
      </c>
      <c r="CE1213" s="1" t="s">
        <v>207</v>
      </c>
      <c r="CG1213" s="1" t="s">
        <v>331</v>
      </c>
      <c r="CH1213" s="1" t="s">
        <v>209</v>
      </c>
      <c r="CI1213" s="1" t="s">
        <v>207</v>
      </c>
      <c r="CK1213" s="1" t="s">
        <v>663</v>
      </c>
      <c r="CL1213" s="1" t="s">
        <v>209</v>
      </c>
      <c r="CM1213" s="1" t="s">
        <v>207</v>
      </c>
      <c r="CO1213" s="1" t="s">
        <v>390</v>
      </c>
      <c r="CP1213" s="1" t="s">
        <v>267</v>
      </c>
      <c r="CQ1213" s="1" t="s">
        <v>210</v>
      </c>
      <c r="CS1213" s="1" t="s">
        <v>329</v>
      </c>
      <c r="CT1213" s="1" t="s">
        <v>206</v>
      </c>
      <c r="CU1213" s="1" t="s">
        <v>207</v>
      </c>
      <c r="CW1213" s="1" t="s">
        <v>2120</v>
      </c>
      <c r="CX1213" s="1" t="s">
        <v>206</v>
      </c>
      <c r="CY1213" s="1" t="s">
        <v>207</v>
      </c>
      <c r="DA1213" s="1" t="s">
        <v>192</v>
      </c>
      <c r="DB1213" s="2">
        <v>42124.0</v>
      </c>
      <c r="DC1213" s="1" t="s">
        <v>744</v>
      </c>
      <c r="DD1213" s="1" t="s">
        <v>731</v>
      </c>
      <c r="DE1213" s="1" t="s">
        <v>273</v>
      </c>
      <c r="DF1213" s="1" t="s">
        <v>619</v>
      </c>
      <c r="DH1213" s="1" t="s">
        <v>220</v>
      </c>
      <c r="DI1213" s="1" t="s">
        <v>6458</v>
      </c>
      <c r="DJ1213" s="1" t="s">
        <v>222</v>
      </c>
      <c r="DL1213" s="1" t="s">
        <v>224</v>
      </c>
      <c r="DM1213" s="1" t="s">
        <v>229</v>
      </c>
      <c r="DN1213" s="1" t="s">
        <v>2676</v>
      </c>
      <c r="DP1213" s="1" t="s">
        <v>276</v>
      </c>
      <c r="DQ1213" s="1" t="s">
        <v>441</v>
      </c>
      <c r="DR1213" s="1" t="s">
        <v>229</v>
      </c>
      <c r="DU1213" s="1" t="s">
        <v>6459</v>
      </c>
      <c r="DV1213" s="1" t="s">
        <v>2058</v>
      </c>
      <c r="DW1213" s="1" t="s">
        <v>279</v>
      </c>
      <c r="DX1213" s="1" t="s">
        <v>234</v>
      </c>
      <c r="DY1213" s="1" t="s">
        <v>704</v>
      </c>
      <c r="EB1213" s="1" t="s">
        <v>1639</v>
      </c>
      <c r="EC1213" s="1" t="s">
        <v>237</v>
      </c>
      <c r="EG1213" s="1" t="s">
        <v>450</v>
      </c>
      <c r="EH1213" s="1" t="s">
        <v>310</v>
      </c>
      <c r="EL1213" s="1" t="s">
        <v>2861</v>
      </c>
      <c r="EM1213" s="1" t="s">
        <v>267</v>
      </c>
      <c r="EN1213" s="1" t="s">
        <v>210</v>
      </c>
      <c r="EP1213" s="1" t="s">
        <v>4180</v>
      </c>
      <c r="EQ1213" s="1" t="s">
        <v>206</v>
      </c>
      <c r="EU1213" s="1" t="s">
        <v>238</v>
      </c>
      <c r="EY1213" s="1" t="s">
        <v>238</v>
      </c>
      <c r="FC1213" s="1" t="s">
        <v>238</v>
      </c>
      <c r="FF1213" s="1" t="s">
        <v>239</v>
      </c>
      <c r="FG1213" s="1" t="s">
        <v>192</v>
      </c>
      <c r="FH1213" s="1" t="s">
        <v>192</v>
      </c>
      <c r="FJ1213" s="1" t="s">
        <v>3755</v>
      </c>
      <c r="FK1213" s="1" t="s">
        <v>229</v>
      </c>
      <c r="FL1213" s="1" t="s">
        <v>6354</v>
      </c>
      <c r="FM1213" s="1">
        <v>15191.0</v>
      </c>
      <c r="FN1213" s="1" t="s">
        <v>6355</v>
      </c>
      <c r="FO1213" s="1" t="s">
        <v>6460</v>
      </c>
      <c r="FP1213" s="1">
        <v>137452.0</v>
      </c>
      <c r="FQ1213" s="1" t="s">
        <v>6461</v>
      </c>
      <c r="FR1213" s="1">
        <v>102294.0</v>
      </c>
      <c r="FU1213" s="1" t="s">
        <v>13042</v>
      </c>
      <c r="FV1213" s="1" t="s">
        <v>200</v>
      </c>
      <c r="FW1213" s="1" t="s">
        <v>567</v>
      </c>
      <c r="FX1213" s="1" t="s">
        <v>246</v>
      </c>
      <c r="FZ1213" s="1" t="s">
        <v>229</v>
      </c>
      <c r="GA1213" s="1" t="s">
        <v>291</v>
      </c>
      <c r="GB1213" s="2">
        <v>42104.0</v>
      </c>
      <c r="GC1213" s="1" t="s">
        <v>13043</v>
      </c>
    </row>
    <row r="1214">
      <c r="A1214" s="1">
        <v>445000.0</v>
      </c>
      <c r="B1214" s="1" t="s">
        <v>185</v>
      </c>
      <c r="C1214" s="1" t="str">
        <f>"08847910"</f>
        <v>08847910</v>
      </c>
      <c r="D1214" s="1" t="s">
        <v>186</v>
      </c>
      <c r="F1214" s="1" t="str">
        <f>"8001"</f>
        <v>8001</v>
      </c>
      <c r="G1214" s="2">
        <v>42062.0</v>
      </c>
      <c r="H1214" s="1">
        <v>399900.0</v>
      </c>
      <c r="I1214" s="1">
        <v>3.0</v>
      </c>
      <c r="J1214" s="1">
        <v>399900.0</v>
      </c>
      <c r="K1214" s="2">
        <v>42064.0</v>
      </c>
      <c r="L1214" s="1">
        <v>3.0</v>
      </c>
      <c r="M1214" s="2">
        <v>42064.0</v>
      </c>
      <c r="N1214" s="1" t="s">
        <v>187</v>
      </c>
      <c r="O1214" s="2">
        <v>42114.0</v>
      </c>
      <c r="P1214" s="1">
        <v>104948.0</v>
      </c>
      <c r="Q1214" s="1">
        <v>10274.0</v>
      </c>
      <c r="R1214" s="1">
        <v>150.0</v>
      </c>
      <c r="S1214" s="1">
        <v>6416.0</v>
      </c>
      <c r="T1214" s="1" t="s">
        <v>12294</v>
      </c>
      <c r="U1214" s="1" t="s">
        <v>189</v>
      </c>
      <c r="V1214" s="1" t="s">
        <v>190</v>
      </c>
      <c r="W1214" s="1">
        <v>60626.0</v>
      </c>
      <c r="Y1214" s="1" t="s">
        <v>13044</v>
      </c>
      <c r="Z1214" s="1">
        <v>1908.0</v>
      </c>
      <c r="AA1214" s="1" t="s">
        <v>192</v>
      </c>
      <c r="AB1214" s="1" t="s">
        <v>193</v>
      </c>
      <c r="AD1214" s="1" t="s">
        <v>194</v>
      </c>
      <c r="AE1214" s="1" t="s">
        <v>195</v>
      </c>
      <c r="AF1214" s="1" t="s">
        <v>2323</v>
      </c>
      <c r="AH1214" s="1" t="s">
        <v>12674</v>
      </c>
      <c r="AK1214" s="1">
        <v>8.0</v>
      </c>
      <c r="AL1214" s="1">
        <v>4.0</v>
      </c>
      <c r="AM1214" s="1">
        <v>2.0</v>
      </c>
      <c r="AN1214" s="1">
        <v>0.0</v>
      </c>
      <c r="AO1214" s="1" t="s">
        <v>229</v>
      </c>
      <c r="AP1214" s="1">
        <v>1.0</v>
      </c>
      <c r="AQ1214" s="1" t="s">
        <v>198</v>
      </c>
      <c r="AR1214" s="1" t="s">
        <v>200</v>
      </c>
      <c r="AS1214" s="1" t="s">
        <v>199</v>
      </c>
      <c r="AT1214" s="1">
        <v>3.0</v>
      </c>
      <c r="AV1214" s="1" t="s">
        <v>200</v>
      </c>
      <c r="AW1214" s="1">
        <v>6685.0</v>
      </c>
      <c r="AX1214" s="1">
        <v>2013.0</v>
      </c>
      <c r="AY1214" s="1" t="s">
        <v>387</v>
      </c>
      <c r="AZ1214" s="1" t="s">
        <v>200</v>
      </c>
      <c r="BA1214" s="1" t="str">
        <f>"11323270190000"</f>
        <v>11323270190000</v>
      </c>
      <c r="BB1214" s="1" t="s">
        <v>200</v>
      </c>
      <c r="BC1214" s="1">
        <v>0.0</v>
      </c>
      <c r="BD1214" s="1">
        <v>445000.0</v>
      </c>
      <c r="BE1214" s="2">
        <v>42062.0</v>
      </c>
      <c r="BF1214" s="2" t="s">
        <v>13045</v>
      </c>
      <c r="BH1214" s="1">
        <v>0.0</v>
      </c>
      <c r="BK1214" s="1" t="s">
        <v>204</v>
      </c>
      <c r="BL1214" s="1" t="str">
        <f>"6416"</f>
        <v>6416</v>
      </c>
      <c r="BM1214" s="1" t="str">
        <f t="shared" si="807"/>
        <v>0</v>
      </c>
      <c r="BN1214" s="1">
        <v>1400.0</v>
      </c>
      <c r="BO1214" s="1">
        <v>0.0</v>
      </c>
      <c r="BQ1214" s="1">
        <v>299.0</v>
      </c>
      <c r="BR1214" s="1">
        <v>299.0</v>
      </c>
      <c r="BS1214" s="1">
        <v>299.0</v>
      </c>
      <c r="BU1214" s="1" t="s">
        <v>743</v>
      </c>
      <c r="BV1214" s="1" t="s">
        <v>206</v>
      </c>
      <c r="BW1214" s="1" t="s">
        <v>207</v>
      </c>
      <c r="BX1214" s="1" t="s">
        <v>239</v>
      </c>
      <c r="BY1214" s="1" t="s">
        <v>758</v>
      </c>
      <c r="BZ1214" s="1" t="s">
        <v>209</v>
      </c>
      <c r="CA1214" s="1" t="s">
        <v>207</v>
      </c>
      <c r="CB1214" s="1" t="s">
        <v>239</v>
      </c>
      <c r="CC1214" s="1" t="s">
        <v>393</v>
      </c>
      <c r="CD1214" s="1" t="s">
        <v>206</v>
      </c>
      <c r="CE1214" s="1" t="s">
        <v>207</v>
      </c>
      <c r="CF1214" s="1" t="s">
        <v>239</v>
      </c>
      <c r="CG1214" s="1" t="s">
        <v>433</v>
      </c>
      <c r="CH1214" s="1" t="s">
        <v>209</v>
      </c>
      <c r="CI1214" s="1" t="s">
        <v>207</v>
      </c>
      <c r="CJ1214" s="1" t="s">
        <v>239</v>
      </c>
      <c r="CK1214" s="1" t="s">
        <v>495</v>
      </c>
      <c r="CL1214" s="1" t="s">
        <v>209</v>
      </c>
      <c r="CM1214" s="1" t="s">
        <v>207</v>
      </c>
      <c r="CN1214" s="1" t="s">
        <v>239</v>
      </c>
      <c r="CO1214" s="1" t="s">
        <v>269</v>
      </c>
      <c r="CP1214" s="1" t="s">
        <v>209</v>
      </c>
      <c r="CQ1214" s="1" t="s">
        <v>207</v>
      </c>
      <c r="CR1214" s="1" t="s">
        <v>239</v>
      </c>
      <c r="CS1214" s="1" t="s">
        <v>433</v>
      </c>
      <c r="CT1214" s="1" t="s">
        <v>206</v>
      </c>
      <c r="CU1214" s="1" t="s">
        <v>207</v>
      </c>
      <c r="CV1214" s="1" t="s">
        <v>239</v>
      </c>
      <c r="CW1214" s="1" t="s">
        <v>6055</v>
      </c>
      <c r="CX1214" s="1" t="s">
        <v>206</v>
      </c>
      <c r="CY1214" s="1" t="s">
        <v>207</v>
      </c>
      <c r="CZ1214" s="1" t="s">
        <v>239</v>
      </c>
      <c r="DA1214" s="1" t="s">
        <v>200</v>
      </c>
      <c r="DC1214" s="1" t="s">
        <v>642</v>
      </c>
      <c r="DD1214" s="1" t="s">
        <v>957</v>
      </c>
      <c r="DE1214" s="1" t="s">
        <v>273</v>
      </c>
      <c r="DF1214" s="1" t="s">
        <v>619</v>
      </c>
      <c r="DH1214" s="1" t="s">
        <v>365</v>
      </c>
      <c r="DI1214" s="1" t="s">
        <v>1401</v>
      </c>
      <c r="DJ1214" s="1" t="s">
        <v>222</v>
      </c>
      <c r="DL1214" s="1" t="s">
        <v>791</v>
      </c>
      <c r="DM1214" s="1" t="s">
        <v>229</v>
      </c>
      <c r="DP1214" s="1" t="s">
        <v>340</v>
      </c>
      <c r="DQ1214" s="1" t="s">
        <v>228</v>
      </c>
      <c r="DR1214" s="1" t="s">
        <v>229</v>
      </c>
      <c r="DS1214" s="1" t="s">
        <v>3008</v>
      </c>
      <c r="DV1214" s="1" t="s">
        <v>232</v>
      </c>
      <c r="DW1214" s="1" t="s">
        <v>667</v>
      </c>
      <c r="DX1214" s="1" t="s">
        <v>234</v>
      </c>
      <c r="DY1214" s="1" t="s">
        <v>704</v>
      </c>
      <c r="EA1214" s="1" t="s">
        <v>3577</v>
      </c>
      <c r="EC1214" s="1" t="s">
        <v>237</v>
      </c>
      <c r="EM1214" s="1" t="s">
        <v>238</v>
      </c>
      <c r="EQ1214" s="1" t="s">
        <v>238</v>
      </c>
      <c r="EU1214" s="1" t="s">
        <v>238</v>
      </c>
      <c r="EY1214" s="1" t="s">
        <v>238</v>
      </c>
      <c r="FC1214" s="1" t="s">
        <v>238</v>
      </c>
      <c r="FF1214" s="1" t="s">
        <v>239</v>
      </c>
      <c r="FG1214" s="1" t="s">
        <v>192</v>
      </c>
      <c r="FH1214" s="1" t="s">
        <v>192</v>
      </c>
      <c r="FJ1214" s="1" t="s">
        <v>1434</v>
      </c>
      <c r="FK1214" s="1" t="s">
        <v>229</v>
      </c>
      <c r="FL1214" s="1" t="s">
        <v>974</v>
      </c>
      <c r="FM1214" s="1">
        <v>10317.0</v>
      </c>
      <c r="FN1214" s="1" t="s">
        <v>10741</v>
      </c>
      <c r="FO1214" s="1" t="s">
        <v>13046</v>
      </c>
      <c r="FP1214" s="1">
        <v>115848.0</v>
      </c>
      <c r="FQ1214" s="1" t="s">
        <v>13047</v>
      </c>
      <c r="FU1214" s="1" t="s">
        <v>13048</v>
      </c>
      <c r="FV1214" s="1" t="s">
        <v>200</v>
      </c>
      <c r="FW1214" s="1" t="s">
        <v>530</v>
      </c>
      <c r="FX1214" s="1" t="s">
        <v>238</v>
      </c>
      <c r="FZ1214" s="1" t="s">
        <v>229</v>
      </c>
      <c r="GA1214" s="1" t="s">
        <v>291</v>
      </c>
      <c r="GB1214" s="2">
        <v>42116.0</v>
      </c>
    </row>
    <row r="1215">
      <c r="A1215" s="1">
        <v>155000.0</v>
      </c>
      <c r="B1215" s="1" t="s">
        <v>185</v>
      </c>
      <c r="C1215" s="1" t="str">
        <f>"08847603"</f>
        <v>08847603</v>
      </c>
      <c r="D1215" s="1" t="s">
        <v>186</v>
      </c>
      <c r="F1215" s="1" t="str">
        <f>"8063"</f>
        <v>8063</v>
      </c>
      <c r="G1215" s="2">
        <v>42061.0</v>
      </c>
      <c r="H1215" s="1">
        <v>149900.0</v>
      </c>
      <c r="I1215" s="1">
        <v>6.0</v>
      </c>
      <c r="J1215" s="1">
        <v>155000.0</v>
      </c>
      <c r="K1215" s="2">
        <v>42066.0</v>
      </c>
      <c r="L1215" s="1">
        <v>6.0</v>
      </c>
      <c r="M1215" s="2">
        <v>42066.0</v>
      </c>
      <c r="N1215" s="1" t="s">
        <v>356</v>
      </c>
      <c r="O1215" s="2">
        <v>42110.0</v>
      </c>
      <c r="P1215" s="1">
        <v>178800.0</v>
      </c>
      <c r="Q1215" s="1">
        <v>12555.0</v>
      </c>
      <c r="S1215" s="1">
        <v>5301.0</v>
      </c>
      <c r="T1215" s="1" t="s">
        <v>739</v>
      </c>
      <c r="U1215" s="1" t="s">
        <v>189</v>
      </c>
      <c r="V1215" s="1" t="s">
        <v>190</v>
      </c>
      <c r="W1215" s="1">
        <v>60632.0</v>
      </c>
      <c r="Y1215" s="1" t="s">
        <v>13049</v>
      </c>
      <c r="Z1215" s="1">
        <v>1922.0</v>
      </c>
      <c r="AA1215" s="1" t="s">
        <v>192</v>
      </c>
      <c r="AB1215" s="1" t="s">
        <v>193</v>
      </c>
      <c r="AD1215" s="1" t="s">
        <v>194</v>
      </c>
      <c r="AE1215" s="1" t="s">
        <v>195</v>
      </c>
      <c r="AF1215" s="1" t="s">
        <v>659</v>
      </c>
      <c r="AG1215" s="1" t="s">
        <v>778</v>
      </c>
      <c r="AH1215" s="1" t="s">
        <v>1501</v>
      </c>
      <c r="AI1215" s="1">
        <v>0.0866</v>
      </c>
      <c r="AK1215" s="1">
        <v>8.0</v>
      </c>
      <c r="AL1215" s="1">
        <v>4.0</v>
      </c>
      <c r="AM1215" s="1">
        <v>2.0</v>
      </c>
      <c r="AN1215" s="1">
        <v>0.0</v>
      </c>
      <c r="AO1215" s="1" t="s">
        <v>229</v>
      </c>
      <c r="AQ1215" s="1" t="s">
        <v>198</v>
      </c>
      <c r="AR1215" s="1" t="s">
        <v>200</v>
      </c>
      <c r="AS1215" s="1" t="s">
        <v>199</v>
      </c>
      <c r="AT1215" s="1">
        <v>2.0</v>
      </c>
      <c r="AV1215" s="1" t="s">
        <v>200</v>
      </c>
      <c r="AW1215" s="1">
        <v>1393.86</v>
      </c>
      <c r="AX1215" s="1">
        <v>2013.0</v>
      </c>
      <c r="AY1215" s="1" t="s">
        <v>387</v>
      </c>
      <c r="AZ1215" s="1" t="s">
        <v>200</v>
      </c>
      <c r="BA1215" s="1" t="str">
        <f>"19114160010000"</f>
        <v>19114160010000</v>
      </c>
      <c r="BB1215" s="1" t="s">
        <v>200</v>
      </c>
      <c r="BC1215" s="1">
        <v>1023.0</v>
      </c>
      <c r="BD1215" s="1">
        <v>155000.0</v>
      </c>
      <c r="BE1215" s="2">
        <v>42061.0</v>
      </c>
      <c r="BF1215" s="2" t="s">
        <v>13050</v>
      </c>
      <c r="BH1215" s="1">
        <v>0.0</v>
      </c>
      <c r="BK1215" s="1" t="s">
        <v>204</v>
      </c>
      <c r="BL1215" s="1" t="str">
        <f t="shared" ref="BL1215:BM1215" si="808">"0"</f>
        <v>0</v>
      </c>
      <c r="BM1215" s="1" t="str">
        <f t="shared" si="808"/>
        <v>0</v>
      </c>
      <c r="BN1215" s="1">
        <v>3332.0</v>
      </c>
      <c r="BO1215" s="1">
        <v>5301.0</v>
      </c>
      <c r="BQ1215" s="1">
        <v>299.0</v>
      </c>
      <c r="BR1215" s="1">
        <v>299.0</v>
      </c>
      <c r="BS1215" s="1">
        <v>299.0</v>
      </c>
      <c r="BU1215" s="1" t="s">
        <v>393</v>
      </c>
      <c r="BV1215" s="1" t="s">
        <v>206</v>
      </c>
      <c r="BW1215" s="1" t="s">
        <v>207</v>
      </c>
      <c r="BY1215" s="1" t="s">
        <v>1535</v>
      </c>
      <c r="BZ1215" s="1" t="s">
        <v>209</v>
      </c>
      <c r="CA1215" s="1" t="s">
        <v>210</v>
      </c>
      <c r="CC1215" s="1" t="s">
        <v>433</v>
      </c>
      <c r="CD1215" s="1" t="s">
        <v>206</v>
      </c>
      <c r="CE1215" s="1" t="s">
        <v>207</v>
      </c>
      <c r="CG1215" s="1" t="s">
        <v>2120</v>
      </c>
      <c r="CH1215" s="1" t="s">
        <v>209</v>
      </c>
      <c r="CI1215" s="1" t="s">
        <v>210</v>
      </c>
      <c r="CK1215" s="1" t="s">
        <v>264</v>
      </c>
      <c r="CL1215" s="1" t="s">
        <v>206</v>
      </c>
      <c r="CM1215" s="1" t="s">
        <v>207</v>
      </c>
      <c r="CO1215" s="1" t="s">
        <v>264</v>
      </c>
      <c r="CP1215" s="1" t="s">
        <v>206</v>
      </c>
      <c r="CQ1215" s="1" t="s">
        <v>207</v>
      </c>
      <c r="CS1215" s="1" t="s">
        <v>433</v>
      </c>
      <c r="CT1215" s="1" t="s">
        <v>206</v>
      </c>
      <c r="CU1215" s="1" t="s">
        <v>268</v>
      </c>
      <c r="CW1215" s="1" t="s">
        <v>13051</v>
      </c>
      <c r="CX1215" s="1" t="s">
        <v>42</v>
      </c>
      <c r="CY1215" s="1" t="s">
        <v>268</v>
      </c>
      <c r="DA1215" s="1" t="s">
        <v>200</v>
      </c>
      <c r="DC1215" s="1" t="s">
        <v>216</v>
      </c>
      <c r="DD1215" s="1" t="s">
        <v>518</v>
      </c>
      <c r="DE1215" s="1" t="s">
        <v>1905</v>
      </c>
      <c r="DF1215" s="1" t="s">
        <v>8745</v>
      </c>
      <c r="DH1215" s="1" t="s">
        <v>365</v>
      </c>
      <c r="DJ1215" s="1" t="s">
        <v>222</v>
      </c>
      <c r="DL1215" s="1" t="s">
        <v>224</v>
      </c>
      <c r="DM1215" s="1" t="s">
        <v>229</v>
      </c>
      <c r="DP1215" s="1" t="s">
        <v>340</v>
      </c>
      <c r="DQ1215" s="1" t="s">
        <v>228</v>
      </c>
      <c r="DR1215" s="1" t="s">
        <v>229</v>
      </c>
      <c r="DV1215" s="1" t="s">
        <v>2568</v>
      </c>
      <c r="DW1215" s="1" t="s">
        <v>279</v>
      </c>
      <c r="DX1215" s="1" t="s">
        <v>309</v>
      </c>
      <c r="EA1215" s="1" t="s">
        <v>644</v>
      </c>
      <c r="EC1215" s="1" t="s">
        <v>645</v>
      </c>
      <c r="EE1215" s="1" t="s">
        <v>493</v>
      </c>
      <c r="EG1215" s="1" t="s">
        <v>1103</v>
      </c>
      <c r="EH1215" s="1" t="s">
        <v>374</v>
      </c>
      <c r="EL1215" s="1" t="s">
        <v>1119</v>
      </c>
      <c r="EM1215" s="1" t="s">
        <v>42</v>
      </c>
      <c r="EN1215" s="1" t="s">
        <v>588</v>
      </c>
      <c r="EP1215" s="1" t="s">
        <v>969</v>
      </c>
      <c r="EQ1215" s="1" t="s">
        <v>206</v>
      </c>
      <c r="EU1215" s="1" t="s">
        <v>238</v>
      </c>
      <c r="EY1215" s="1" t="s">
        <v>238</v>
      </c>
      <c r="FC1215" s="1" t="s">
        <v>238</v>
      </c>
      <c r="FF1215" s="1" t="s">
        <v>239</v>
      </c>
      <c r="FG1215" s="1" t="s">
        <v>192</v>
      </c>
      <c r="FH1215" s="1" t="s">
        <v>192</v>
      </c>
      <c r="FJ1215" s="1" t="s">
        <v>624</v>
      </c>
      <c r="FK1215" s="1" t="s">
        <v>229</v>
      </c>
      <c r="FL1215" s="1" t="s">
        <v>2111</v>
      </c>
      <c r="FM1215" s="1">
        <v>12555.0</v>
      </c>
      <c r="FN1215" s="1" t="s">
        <v>2112</v>
      </c>
      <c r="FO1215" s="1" t="s">
        <v>8994</v>
      </c>
      <c r="FP1215" s="1">
        <v>154056.0</v>
      </c>
      <c r="FQ1215" s="1" t="s">
        <v>8995</v>
      </c>
      <c r="FS1215" s="1" t="s">
        <v>13052</v>
      </c>
      <c r="FT1215" s="1" t="s">
        <v>6367</v>
      </c>
      <c r="FU1215" s="1" t="s">
        <v>13053</v>
      </c>
      <c r="FV1215" s="1" t="s">
        <v>200</v>
      </c>
      <c r="FW1215" s="1" t="s">
        <v>6367</v>
      </c>
      <c r="FX1215" s="1" t="s">
        <v>655</v>
      </c>
      <c r="FZ1215" s="1" t="s">
        <v>229</v>
      </c>
      <c r="GA1215" s="1" t="s">
        <v>291</v>
      </c>
      <c r="GB1215" s="2">
        <v>42110.0</v>
      </c>
      <c r="GC1215" s="1" t="s">
        <v>13054</v>
      </c>
    </row>
    <row r="1216">
      <c r="A1216" s="1">
        <v>313500.0</v>
      </c>
      <c r="B1216" s="1" t="s">
        <v>185</v>
      </c>
      <c r="C1216" s="1" t="str">
        <f>"08846404"</f>
        <v>08846404</v>
      </c>
      <c r="D1216" s="1" t="s">
        <v>186</v>
      </c>
      <c r="F1216" s="1" t="str">
        <f>"543"</f>
        <v>543</v>
      </c>
      <c r="G1216" s="2">
        <v>42060.0</v>
      </c>
      <c r="H1216" s="1">
        <v>313500.0</v>
      </c>
      <c r="I1216" s="1">
        <v>184.0</v>
      </c>
      <c r="J1216" s="1">
        <v>313500.0</v>
      </c>
      <c r="K1216" s="2">
        <v>42072.0</v>
      </c>
      <c r="L1216" s="1">
        <v>15.0</v>
      </c>
      <c r="M1216" s="2">
        <v>42072.0</v>
      </c>
      <c r="N1216" s="1" t="s">
        <v>634</v>
      </c>
      <c r="O1216" s="2">
        <v>42115.0</v>
      </c>
      <c r="P1216" s="1">
        <v>88849.0</v>
      </c>
      <c r="Q1216" s="1">
        <v>8495.0</v>
      </c>
      <c r="R1216" s="1">
        <v>8500.0</v>
      </c>
      <c r="S1216" s="1">
        <v>100.0</v>
      </c>
      <c r="T1216" s="1" t="s">
        <v>13055</v>
      </c>
      <c r="U1216" s="1" t="s">
        <v>569</v>
      </c>
      <c r="V1216" s="1" t="s">
        <v>1527</v>
      </c>
      <c r="W1216" s="1">
        <v>60543.0</v>
      </c>
      <c r="Y1216" s="1" t="s">
        <v>13056</v>
      </c>
      <c r="Z1216" s="1">
        <v>2007.0</v>
      </c>
      <c r="AA1216" s="1" t="s">
        <v>200</v>
      </c>
      <c r="AB1216" s="1" t="s">
        <v>467</v>
      </c>
      <c r="AC1216" s="1" t="s">
        <v>5769</v>
      </c>
      <c r="AD1216" s="1" t="s">
        <v>1529</v>
      </c>
      <c r="AE1216" s="1" t="s">
        <v>849</v>
      </c>
      <c r="AF1216" s="1" t="s">
        <v>1529</v>
      </c>
      <c r="AG1216" s="1" t="s">
        <v>13057</v>
      </c>
      <c r="AH1216" s="1" t="s">
        <v>13058</v>
      </c>
      <c r="AI1216" s="1">
        <v>0.2325</v>
      </c>
      <c r="AK1216" s="1">
        <v>12.0</v>
      </c>
      <c r="AL1216" s="1">
        <v>4.0</v>
      </c>
      <c r="AM1216" s="1">
        <v>3.0</v>
      </c>
      <c r="AN1216" s="1">
        <v>1.0</v>
      </c>
      <c r="AO1216" s="1" t="s">
        <v>198</v>
      </c>
      <c r="AP1216" s="1">
        <v>0.0</v>
      </c>
      <c r="AQ1216" s="1" t="s">
        <v>198</v>
      </c>
      <c r="AR1216" s="1" t="s">
        <v>192</v>
      </c>
      <c r="AS1216" s="1" t="s">
        <v>199</v>
      </c>
      <c r="AT1216" s="1">
        <v>2.0</v>
      </c>
      <c r="AV1216" s="1" t="s">
        <v>200</v>
      </c>
      <c r="AW1216" s="1">
        <v>8832.0</v>
      </c>
      <c r="AX1216" s="1">
        <v>2013.0</v>
      </c>
      <c r="AY1216" s="1" t="s">
        <v>387</v>
      </c>
      <c r="AZ1216" s="1" t="s">
        <v>200</v>
      </c>
      <c r="BA1216" s="1" t="str">
        <f>"0311326003"</f>
        <v>0311326003</v>
      </c>
      <c r="BB1216" s="1" t="s">
        <v>200</v>
      </c>
      <c r="BC1216" s="1">
        <v>3213.0</v>
      </c>
      <c r="BD1216" s="1">
        <v>313500.0</v>
      </c>
      <c r="BE1216" s="2">
        <v>42058.0</v>
      </c>
      <c r="BF1216" s="2" t="s">
        <v>13059</v>
      </c>
      <c r="BG1216" s="1" t="s">
        <v>4271</v>
      </c>
      <c r="BH1216" s="1">
        <v>20.0</v>
      </c>
      <c r="BI1216" s="1" t="s">
        <v>3647</v>
      </c>
      <c r="BJ1216" s="1" t="s">
        <v>2546</v>
      </c>
      <c r="BK1216" s="1" t="s">
        <v>580</v>
      </c>
      <c r="BL1216" s="1" t="str">
        <f t="shared" ref="BL1216:BM1216" si="809">""</f>
        <v/>
      </c>
      <c r="BM1216" s="1" t="str">
        <f t="shared" si="809"/>
        <v/>
      </c>
      <c r="BQ1216" s="1">
        <v>308.0</v>
      </c>
      <c r="BR1216" s="1">
        <v>308.0</v>
      </c>
      <c r="BS1216" s="1">
        <v>308.0</v>
      </c>
      <c r="BU1216" s="1" t="s">
        <v>393</v>
      </c>
      <c r="BV1216" s="1" t="s">
        <v>206</v>
      </c>
      <c r="BW1216" s="1" t="s">
        <v>210</v>
      </c>
      <c r="BX1216" s="1" t="s">
        <v>431</v>
      </c>
      <c r="BY1216" s="1" t="s">
        <v>878</v>
      </c>
      <c r="BZ1216" s="1" t="s">
        <v>209</v>
      </c>
      <c r="CA1216" s="1" t="s">
        <v>210</v>
      </c>
      <c r="CB1216" s="1" t="s">
        <v>431</v>
      </c>
      <c r="CC1216" s="1" t="s">
        <v>300</v>
      </c>
      <c r="CD1216" s="1" t="s">
        <v>206</v>
      </c>
      <c r="CE1216" s="1" t="s">
        <v>210</v>
      </c>
      <c r="CF1216" s="1" t="s">
        <v>431</v>
      </c>
      <c r="CG1216" s="1" t="s">
        <v>300</v>
      </c>
      <c r="CH1216" s="1" t="s">
        <v>209</v>
      </c>
      <c r="CI1216" s="1" t="s">
        <v>210</v>
      </c>
      <c r="CJ1216" s="1" t="s">
        <v>431</v>
      </c>
      <c r="CK1216" s="1" t="s">
        <v>300</v>
      </c>
      <c r="CL1216" s="1" t="s">
        <v>209</v>
      </c>
      <c r="CM1216" s="1" t="s">
        <v>210</v>
      </c>
      <c r="CN1216" s="1" t="s">
        <v>431</v>
      </c>
      <c r="CO1216" s="1" t="s">
        <v>1417</v>
      </c>
      <c r="CP1216" s="1" t="s">
        <v>209</v>
      </c>
      <c r="CQ1216" s="1" t="s">
        <v>210</v>
      </c>
      <c r="CR1216" s="1" t="s">
        <v>431</v>
      </c>
      <c r="CS1216" s="1" t="s">
        <v>270</v>
      </c>
      <c r="CT1216" s="1" t="s">
        <v>206</v>
      </c>
      <c r="CU1216" s="1" t="s">
        <v>617</v>
      </c>
      <c r="CW1216" s="1" t="s">
        <v>2900</v>
      </c>
      <c r="CX1216" s="1" t="s">
        <v>206</v>
      </c>
      <c r="CY1216" s="1" t="s">
        <v>210</v>
      </c>
      <c r="CZ1216" s="1" t="s">
        <v>431</v>
      </c>
      <c r="DA1216" s="1" t="s">
        <v>200</v>
      </c>
      <c r="DC1216" s="1" t="s">
        <v>481</v>
      </c>
      <c r="DD1216" s="1" t="s">
        <v>5326</v>
      </c>
      <c r="DE1216" s="1" t="s">
        <v>273</v>
      </c>
      <c r="DF1216" s="1" t="s">
        <v>219</v>
      </c>
      <c r="DG1216" s="1" t="s">
        <v>1602</v>
      </c>
      <c r="DH1216" s="1" t="s">
        <v>220</v>
      </c>
      <c r="DI1216" s="1" t="s">
        <v>589</v>
      </c>
      <c r="DJ1216" s="1" t="s">
        <v>1048</v>
      </c>
      <c r="DK1216" s="1" t="s">
        <v>223</v>
      </c>
      <c r="DL1216" s="1" t="s">
        <v>224</v>
      </c>
      <c r="DM1216" s="1" t="s">
        <v>229</v>
      </c>
      <c r="DN1216" s="1" t="s">
        <v>548</v>
      </c>
      <c r="DO1216" s="1" t="s">
        <v>549</v>
      </c>
      <c r="DP1216" s="1" t="s">
        <v>340</v>
      </c>
      <c r="DQ1216" s="1" t="s">
        <v>228</v>
      </c>
      <c r="DR1216" s="1" t="s">
        <v>4273</v>
      </c>
      <c r="DS1216" s="1" t="s">
        <v>368</v>
      </c>
      <c r="DU1216" s="1" t="s">
        <v>1024</v>
      </c>
      <c r="DV1216" s="1" t="s">
        <v>13060</v>
      </c>
      <c r="DW1216" s="1" t="s">
        <v>12222</v>
      </c>
      <c r="DX1216" s="1" t="s">
        <v>234</v>
      </c>
      <c r="DY1216" s="1" t="s">
        <v>3846</v>
      </c>
      <c r="DZ1216" s="1" t="s">
        <v>11452</v>
      </c>
      <c r="EA1216" s="1" t="s">
        <v>344</v>
      </c>
      <c r="EC1216" s="1" t="s">
        <v>237</v>
      </c>
      <c r="ED1216" s="1" t="s">
        <v>1406</v>
      </c>
      <c r="EG1216" s="1" t="s">
        <v>556</v>
      </c>
      <c r="EH1216" s="1" t="s">
        <v>598</v>
      </c>
      <c r="EI1216" s="1" t="s">
        <v>450</v>
      </c>
      <c r="EJ1216" s="1" t="s">
        <v>1467</v>
      </c>
      <c r="EK1216" s="1" t="s">
        <v>2971</v>
      </c>
      <c r="EL1216" s="1" t="s">
        <v>2460</v>
      </c>
      <c r="EM1216" s="1" t="s">
        <v>206</v>
      </c>
      <c r="EN1216" s="1" t="s">
        <v>617</v>
      </c>
      <c r="EP1216" s="1" t="s">
        <v>478</v>
      </c>
      <c r="EQ1216" s="1" t="s">
        <v>206</v>
      </c>
      <c r="ER1216" s="1" t="s">
        <v>301</v>
      </c>
      <c r="ES1216" s="1" t="s">
        <v>431</v>
      </c>
      <c r="ET1216" s="1" t="s">
        <v>363</v>
      </c>
      <c r="EU1216" s="1" t="s">
        <v>42</v>
      </c>
      <c r="EV1216" s="1" t="s">
        <v>210</v>
      </c>
      <c r="EX1216" s="1" t="s">
        <v>2459</v>
      </c>
      <c r="EY1216" s="1" t="s">
        <v>42</v>
      </c>
      <c r="EZ1216" s="1" t="s">
        <v>210</v>
      </c>
      <c r="FB1216" s="1" t="s">
        <v>363</v>
      </c>
      <c r="FC1216" s="1" t="s">
        <v>42</v>
      </c>
      <c r="FD1216" s="1" t="s">
        <v>210</v>
      </c>
      <c r="FF1216" s="1" t="s">
        <v>239</v>
      </c>
      <c r="FG1216" s="1" t="s">
        <v>192</v>
      </c>
      <c r="FH1216" s="1" t="s">
        <v>192</v>
      </c>
      <c r="FJ1216" s="1" t="s">
        <v>770</v>
      </c>
      <c r="FK1216" s="1" t="s">
        <v>229</v>
      </c>
      <c r="FL1216" s="1" t="s">
        <v>12623</v>
      </c>
      <c r="FM1216" s="1">
        <v>22695.0</v>
      </c>
      <c r="FN1216" s="1" t="s">
        <v>12624</v>
      </c>
      <c r="FO1216" s="1" t="s">
        <v>12625</v>
      </c>
      <c r="FP1216" s="1">
        <v>225522.0</v>
      </c>
      <c r="FQ1216" s="1" t="s">
        <v>12624</v>
      </c>
      <c r="FS1216" s="1" t="s">
        <v>12626</v>
      </c>
      <c r="FU1216" s="1" t="s">
        <v>13061</v>
      </c>
      <c r="FV1216" s="1" t="s">
        <v>200</v>
      </c>
      <c r="FW1216" s="1" t="s">
        <v>290</v>
      </c>
      <c r="FZ1216" s="1" t="s">
        <v>229</v>
      </c>
      <c r="GA1216" s="1" t="s">
        <v>291</v>
      </c>
      <c r="GB1216" s="2">
        <v>42116.0</v>
      </c>
      <c r="GC1216" s="1" t="s">
        <v>13062</v>
      </c>
    </row>
    <row r="1217">
      <c r="A1217" s="1">
        <v>401000.0</v>
      </c>
      <c r="B1217" s="1" t="s">
        <v>185</v>
      </c>
      <c r="C1217" s="1" t="str">
        <f>"08846163"</f>
        <v>08846163</v>
      </c>
      <c r="D1217" s="1" t="s">
        <v>186</v>
      </c>
      <c r="F1217" s="1" t="str">
        <f>"510"</f>
        <v>510</v>
      </c>
      <c r="G1217" s="2">
        <v>42060.0</v>
      </c>
      <c r="H1217" s="1">
        <v>407500.0</v>
      </c>
      <c r="I1217" s="1">
        <v>14.0</v>
      </c>
      <c r="J1217" s="1">
        <v>407500.0</v>
      </c>
      <c r="K1217" s="2">
        <v>42073.0</v>
      </c>
      <c r="L1217" s="1">
        <v>14.0</v>
      </c>
      <c r="M1217" s="2">
        <v>42073.0</v>
      </c>
      <c r="N1217" s="1" t="s">
        <v>187</v>
      </c>
      <c r="O1217" s="2">
        <v>42111.0</v>
      </c>
      <c r="P1217" s="1">
        <v>313.0</v>
      </c>
      <c r="Q1217" s="1">
        <v>771.0</v>
      </c>
      <c r="S1217" s="1">
        <v>1209.0</v>
      </c>
      <c r="T1217" s="1" t="s">
        <v>13063</v>
      </c>
      <c r="U1217" s="1" t="s">
        <v>420</v>
      </c>
      <c r="V1217" s="1" t="s">
        <v>2700</v>
      </c>
      <c r="W1217" s="1">
        <v>60510.0</v>
      </c>
      <c r="Y1217" s="1" t="s">
        <v>13064</v>
      </c>
      <c r="Z1217" s="1">
        <v>2000.0</v>
      </c>
      <c r="AA1217" s="1" t="s">
        <v>200</v>
      </c>
      <c r="AB1217" s="1" t="s">
        <v>193</v>
      </c>
      <c r="AC1217" s="1" t="s">
        <v>8403</v>
      </c>
      <c r="AD1217" s="1" t="s">
        <v>2702</v>
      </c>
      <c r="AE1217" s="1" t="s">
        <v>325</v>
      </c>
      <c r="AF1217" s="1" t="s">
        <v>2702</v>
      </c>
      <c r="AH1217" s="1" t="s">
        <v>13065</v>
      </c>
      <c r="AI1217" s="1">
        <v>0.33</v>
      </c>
      <c r="AK1217" s="1">
        <v>10.0</v>
      </c>
      <c r="AL1217" s="1">
        <v>4.0</v>
      </c>
      <c r="AM1217" s="1">
        <v>2.0</v>
      </c>
      <c r="AN1217" s="1">
        <v>1.0</v>
      </c>
      <c r="AO1217" s="1" t="s">
        <v>198</v>
      </c>
      <c r="AP1217" s="1">
        <v>1.0</v>
      </c>
      <c r="AQ1217" s="1" t="s">
        <v>198</v>
      </c>
      <c r="AR1217" s="1" t="s">
        <v>200</v>
      </c>
      <c r="AS1217" s="1" t="s">
        <v>199</v>
      </c>
      <c r="AT1217" s="1">
        <v>3.0</v>
      </c>
      <c r="AV1217" s="1" t="s">
        <v>200</v>
      </c>
      <c r="AW1217" s="1">
        <v>10220.0</v>
      </c>
      <c r="AX1217" s="1">
        <v>2013.0</v>
      </c>
      <c r="AY1217" s="1" t="s">
        <v>387</v>
      </c>
      <c r="AZ1217" s="1" t="s">
        <v>200</v>
      </c>
      <c r="BA1217" s="1" t="str">
        <f>"1228177023"</f>
        <v>1228177023</v>
      </c>
      <c r="BB1217" s="1" t="s">
        <v>200</v>
      </c>
      <c r="BC1217" s="1">
        <v>2760.0</v>
      </c>
      <c r="BD1217" s="1">
        <v>401000.0</v>
      </c>
      <c r="BE1217" s="2">
        <v>42060.0</v>
      </c>
      <c r="BF1217" s="2" t="s">
        <v>13066</v>
      </c>
      <c r="BG1217" s="1" t="s">
        <v>5940</v>
      </c>
      <c r="BH1217" s="1">
        <v>0.0</v>
      </c>
      <c r="BI1217" s="1" t="s">
        <v>3090</v>
      </c>
      <c r="BJ1217" s="1" t="s">
        <v>3091</v>
      </c>
      <c r="BK1217" s="1" t="s">
        <v>204</v>
      </c>
      <c r="BL1217" s="1" t="str">
        <f t="shared" ref="BL1217:BM1217" si="810">""</f>
        <v/>
      </c>
      <c r="BM1217" s="1" t="str">
        <f t="shared" si="810"/>
        <v/>
      </c>
      <c r="BQ1217" s="1">
        <v>101.0</v>
      </c>
      <c r="BR1217" s="1">
        <v>101.0</v>
      </c>
      <c r="BS1217" s="1">
        <v>101.0</v>
      </c>
      <c r="BU1217" s="1" t="s">
        <v>3888</v>
      </c>
      <c r="BV1217" s="1" t="s">
        <v>206</v>
      </c>
      <c r="BW1217" s="1" t="s">
        <v>210</v>
      </c>
      <c r="BX1217" s="1" t="s">
        <v>239</v>
      </c>
      <c r="BY1217" s="1" t="s">
        <v>616</v>
      </c>
      <c r="BZ1217" s="1" t="s">
        <v>209</v>
      </c>
      <c r="CA1217" s="1" t="s">
        <v>210</v>
      </c>
      <c r="CB1217" s="1" t="s">
        <v>239</v>
      </c>
      <c r="CC1217" s="1" t="s">
        <v>478</v>
      </c>
      <c r="CD1217" s="1" t="s">
        <v>206</v>
      </c>
      <c r="CE1217" s="1" t="s">
        <v>210</v>
      </c>
      <c r="CF1217" s="1" t="s">
        <v>239</v>
      </c>
      <c r="CG1217" s="1" t="s">
        <v>478</v>
      </c>
      <c r="CH1217" s="1" t="s">
        <v>209</v>
      </c>
      <c r="CI1217" s="1" t="s">
        <v>210</v>
      </c>
      <c r="CJ1217" s="1" t="s">
        <v>239</v>
      </c>
      <c r="CK1217" s="1" t="s">
        <v>363</v>
      </c>
      <c r="CL1217" s="1" t="s">
        <v>209</v>
      </c>
      <c r="CM1217" s="1" t="s">
        <v>210</v>
      </c>
      <c r="CN1217" s="1" t="s">
        <v>239</v>
      </c>
      <c r="CO1217" s="1" t="s">
        <v>363</v>
      </c>
      <c r="CP1217" s="1" t="s">
        <v>209</v>
      </c>
      <c r="CQ1217" s="1" t="s">
        <v>210</v>
      </c>
      <c r="CR1217" s="1" t="s">
        <v>239</v>
      </c>
      <c r="CS1217" s="1" t="s">
        <v>1045</v>
      </c>
      <c r="CT1217" s="1" t="s">
        <v>206</v>
      </c>
      <c r="CU1217" s="1" t="s">
        <v>207</v>
      </c>
      <c r="CV1217" s="1" t="s">
        <v>239</v>
      </c>
      <c r="CW1217" s="1" t="s">
        <v>1069</v>
      </c>
      <c r="CX1217" s="1" t="s">
        <v>206</v>
      </c>
      <c r="CY1217" s="1" t="s">
        <v>210</v>
      </c>
      <c r="CZ1217" s="1" t="s">
        <v>239</v>
      </c>
      <c r="DA1217" s="1" t="s">
        <v>200</v>
      </c>
      <c r="DC1217" s="1" t="s">
        <v>335</v>
      </c>
      <c r="DD1217" s="1" t="s">
        <v>1838</v>
      </c>
      <c r="DE1217" s="1" t="s">
        <v>273</v>
      </c>
      <c r="DF1217" s="1" t="s">
        <v>6592</v>
      </c>
      <c r="DG1217" s="1" t="s">
        <v>482</v>
      </c>
      <c r="DH1217" s="1" t="s">
        <v>365</v>
      </c>
      <c r="DI1217" s="1" t="s">
        <v>13067</v>
      </c>
      <c r="DJ1217" s="1" t="s">
        <v>222</v>
      </c>
      <c r="DK1217" s="1" t="s">
        <v>223</v>
      </c>
      <c r="DL1217" s="1" t="s">
        <v>1267</v>
      </c>
      <c r="DM1217" s="1" t="s">
        <v>338</v>
      </c>
      <c r="DN1217" s="1" t="s">
        <v>399</v>
      </c>
      <c r="DO1217" s="1" t="s">
        <v>930</v>
      </c>
      <c r="DP1217" s="1" t="s">
        <v>340</v>
      </c>
      <c r="DQ1217" s="1" t="s">
        <v>441</v>
      </c>
      <c r="DR1217" s="1" t="s">
        <v>229</v>
      </c>
      <c r="DS1217" s="1" t="s">
        <v>368</v>
      </c>
      <c r="DU1217" s="1" t="s">
        <v>13068</v>
      </c>
      <c r="DV1217" s="1" t="s">
        <v>2840</v>
      </c>
      <c r="DW1217" s="1" t="s">
        <v>764</v>
      </c>
      <c r="DX1217" s="1" t="s">
        <v>234</v>
      </c>
      <c r="DY1217" s="1" t="s">
        <v>13069</v>
      </c>
      <c r="DZ1217" s="1" t="s">
        <v>13070</v>
      </c>
      <c r="EB1217" s="1" t="s">
        <v>767</v>
      </c>
      <c r="EC1217" s="1" t="s">
        <v>237</v>
      </c>
      <c r="ED1217" s="1" t="s">
        <v>407</v>
      </c>
      <c r="EE1217" s="1" t="s">
        <v>493</v>
      </c>
      <c r="EG1217" s="1" t="s">
        <v>494</v>
      </c>
      <c r="EH1217" s="1" t="s">
        <v>408</v>
      </c>
      <c r="EI1217" s="1" t="s">
        <v>450</v>
      </c>
      <c r="EL1217" s="1" t="s">
        <v>363</v>
      </c>
      <c r="EM1217" s="1" t="s">
        <v>206</v>
      </c>
      <c r="EN1217" s="1" t="s">
        <v>210</v>
      </c>
      <c r="EO1217" s="1" t="s">
        <v>239</v>
      </c>
      <c r="EP1217" s="1" t="s">
        <v>971</v>
      </c>
      <c r="EQ1217" s="1" t="s">
        <v>206</v>
      </c>
      <c r="ER1217" s="1" t="s">
        <v>207</v>
      </c>
      <c r="ET1217" s="1" t="s">
        <v>13071</v>
      </c>
      <c r="EU1217" s="1" t="s">
        <v>42</v>
      </c>
      <c r="EV1217" s="1" t="s">
        <v>210</v>
      </c>
      <c r="EY1217" s="1" t="s">
        <v>238</v>
      </c>
      <c r="FC1217" s="1" t="s">
        <v>238</v>
      </c>
      <c r="FF1217" s="1" t="s">
        <v>239</v>
      </c>
      <c r="FG1217" s="1" t="s">
        <v>192</v>
      </c>
      <c r="FH1217" s="1" t="s">
        <v>192</v>
      </c>
      <c r="FJ1217" s="1" t="s">
        <v>347</v>
      </c>
      <c r="FK1217" s="1" t="s">
        <v>229</v>
      </c>
      <c r="FL1217" s="1" t="s">
        <v>2263</v>
      </c>
      <c r="FM1217" s="1">
        <v>890.0</v>
      </c>
      <c r="FN1217" s="1" t="s">
        <v>5199</v>
      </c>
      <c r="FO1217" s="1" t="s">
        <v>13072</v>
      </c>
      <c r="FP1217" s="1">
        <v>7818.0</v>
      </c>
      <c r="FS1217" s="1" t="s">
        <v>13073</v>
      </c>
      <c r="FU1217" s="1" t="s">
        <v>13074</v>
      </c>
      <c r="FV1217" s="1" t="s">
        <v>200</v>
      </c>
      <c r="FW1217" s="1" t="s">
        <v>290</v>
      </c>
      <c r="FZ1217" s="1" t="s">
        <v>632</v>
      </c>
      <c r="GA1217" s="1" t="s">
        <v>291</v>
      </c>
      <c r="GB1217" s="2">
        <v>42111.0</v>
      </c>
      <c r="GC1217" s="1" t="s">
        <v>13075</v>
      </c>
    </row>
    <row r="1218">
      <c r="A1218" s="1">
        <v>589000.0</v>
      </c>
      <c r="B1218" s="1" t="s">
        <v>185</v>
      </c>
      <c r="C1218" s="1" t="str">
        <f>"08847959"</f>
        <v>08847959</v>
      </c>
      <c r="D1218" s="1" t="s">
        <v>186</v>
      </c>
      <c r="F1218" s="1" t="str">
        <f>"8024"</f>
        <v>8024</v>
      </c>
      <c r="G1218" s="2">
        <v>42062.0</v>
      </c>
      <c r="H1218" s="1">
        <v>589000.0</v>
      </c>
      <c r="I1218" s="1">
        <v>5.0</v>
      </c>
      <c r="J1218" s="1">
        <v>589000.0</v>
      </c>
      <c r="K1218" s="2">
        <v>42066.0</v>
      </c>
      <c r="L1218" s="1">
        <v>5.0</v>
      </c>
      <c r="M1218" s="2">
        <v>42066.0</v>
      </c>
      <c r="N1218" s="1" t="s">
        <v>187</v>
      </c>
      <c r="O1218" s="2">
        <v>42114.0</v>
      </c>
      <c r="P1218" s="1">
        <v>141867.0</v>
      </c>
      <c r="Q1218" s="1">
        <v>10274.0</v>
      </c>
      <c r="S1218" s="1">
        <v>802.0</v>
      </c>
      <c r="T1218" s="1" t="s">
        <v>8505</v>
      </c>
      <c r="U1218" s="1" t="s">
        <v>320</v>
      </c>
      <c r="V1218" s="1" t="s">
        <v>190</v>
      </c>
      <c r="W1218" s="1">
        <v>60622.0</v>
      </c>
      <c r="Y1218" s="1" t="s">
        <v>13076</v>
      </c>
      <c r="Z1218" s="1">
        <v>2015.0</v>
      </c>
      <c r="AA1218" s="1" t="s">
        <v>200</v>
      </c>
      <c r="AB1218" s="1" t="s">
        <v>193</v>
      </c>
      <c r="AD1218" s="1" t="s">
        <v>194</v>
      </c>
      <c r="AE1218" s="1" t="s">
        <v>195</v>
      </c>
      <c r="AF1218" s="1" t="s">
        <v>827</v>
      </c>
      <c r="AH1218" s="1" t="s">
        <v>13077</v>
      </c>
      <c r="AI1218" s="1">
        <v>0.04</v>
      </c>
      <c r="AK1218" s="1">
        <v>8.0</v>
      </c>
      <c r="AL1218" s="1">
        <v>4.0</v>
      </c>
      <c r="AM1218" s="1">
        <v>3.0</v>
      </c>
      <c r="AN1218" s="1">
        <v>1.0</v>
      </c>
      <c r="AO1218" s="1" t="s">
        <v>198</v>
      </c>
      <c r="AQ1218" s="1" t="s">
        <v>198</v>
      </c>
      <c r="AR1218" s="1" t="s">
        <v>192</v>
      </c>
      <c r="AS1218" s="1" t="s">
        <v>510</v>
      </c>
      <c r="AT1218" s="1">
        <v>2.0</v>
      </c>
      <c r="AU1218" s="1">
        <v>2.0</v>
      </c>
      <c r="AV1218" s="1" t="s">
        <v>200</v>
      </c>
      <c r="AW1218" s="1" t="s">
        <v>575</v>
      </c>
      <c r="AX1218" s="1">
        <v>2013.0</v>
      </c>
      <c r="AY1218" s="1" t="s">
        <v>229</v>
      </c>
      <c r="AZ1218" s="1" t="s">
        <v>200</v>
      </c>
      <c r="BA1218" s="1" t="str">
        <f>"13241310000000"</f>
        <v>13241310000000</v>
      </c>
      <c r="BC1218" s="1">
        <v>2400.0</v>
      </c>
      <c r="BD1218" s="1">
        <v>589000.0</v>
      </c>
      <c r="BE1218" s="2">
        <v>42062.0</v>
      </c>
      <c r="BF1218" s="2" t="s">
        <v>13078</v>
      </c>
      <c r="BH1218" s="1">
        <v>0.0</v>
      </c>
      <c r="BK1218" s="1" t="s">
        <v>204</v>
      </c>
      <c r="BL1218" s="1" t="str">
        <f>"826"</f>
        <v>826</v>
      </c>
      <c r="BM1218" s="1" t="str">
        <f t="shared" ref="BM1218:BM1219" si="811">"0"</f>
        <v>0</v>
      </c>
      <c r="BN1218" s="1">
        <v>2832.0</v>
      </c>
      <c r="BO1218" s="1">
        <v>0.0</v>
      </c>
      <c r="BQ1218" s="1">
        <v>299.0</v>
      </c>
      <c r="BR1218" s="1">
        <v>299.0</v>
      </c>
      <c r="BS1218" s="1">
        <v>299.0</v>
      </c>
      <c r="BU1218" s="1" t="s">
        <v>390</v>
      </c>
      <c r="BV1218" s="1" t="s">
        <v>206</v>
      </c>
      <c r="BW1218" s="1" t="s">
        <v>207</v>
      </c>
      <c r="BY1218" s="1" t="s">
        <v>758</v>
      </c>
      <c r="BZ1218" s="1" t="s">
        <v>209</v>
      </c>
      <c r="CA1218" s="1" t="s">
        <v>210</v>
      </c>
      <c r="CC1218" s="1" t="s">
        <v>331</v>
      </c>
      <c r="CD1218" s="1" t="s">
        <v>206</v>
      </c>
      <c r="CE1218" s="1" t="s">
        <v>207</v>
      </c>
      <c r="CG1218" s="1" t="s">
        <v>266</v>
      </c>
      <c r="CH1218" s="1" t="s">
        <v>209</v>
      </c>
      <c r="CI1218" s="1" t="s">
        <v>210</v>
      </c>
      <c r="CK1218" s="1" t="s">
        <v>516</v>
      </c>
      <c r="CL1218" s="1" t="s">
        <v>209</v>
      </c>
      <c r="CM1218" s="1" t="s">
        <v>210</v>
      </c>
      <c r="CO1218" s="1" t="s">
        <v>497</v>
      </c>
      <c r="CP1218" s="1" t="s">
        <v>267</v>
      </c>
      <c r="CQ1218" s="1" t="s">
        <v>210</v>
      </c>
      <c r="CS1218" s="1" t="s">
        <v>6175</v>
      </c>
      <c r="CT1218" s="1" t="s">
        <v>206</v>
      </c>
      <c r="CU1218" s="1" t="s">
        <v>207</v>
      </c>
      <c r="CW1218" s="1" t="s">
        <v>2155</v>
      </c>
      <c r="CX1218" s="1" t="s">
        <v>267</v>
      </c>
      <c r="CY1218" s="1" t="s">
        <v>210</v>
      </c>
      <c r="DA1218" s="1" t="s">
        <v>192</v>
      </c>
      <c r="DB1218" s="2">
        <v>42062.0</v>
      </c>
      <c r="DC1218" s="1" t="s">
        <v>1353</v>
      </c>
      <c r="DD1218" s="1" t="s">
        <v>759</v>
      </c>
      <c r="DE1218" s="1" t="s">
        <v>273</v>
      </c>
      <c r="DF1218" s="1" t="s">
        <v>219</v>
      </c>
      <c r="DH1218" s="1" t="s">
        <v>365</v>
      </c>
      <c r="DI1218" s="1" t="s">
        <v>732</v>
      </c>
      <c r="DJ1218" s="1" t="s">
        <v>222</v>
      </c>
      <c r="DL1218" s="1" t="s">
        <v>224</v>
      </c>
      <c r="DM1218" s="1" t="s">
        <v>1143</v>
      </c>
      <c r="DN1218" s="1" t="s">
        <v>13079</v>
      </c>
      <c r="DO1218" s="1" t="s">
        <v>549</v>
      </c>
      <c r="DP1218" s="1" t="s">
        <v>276</v>
      </c>
      <c r="DQ1218" s="1" t="s">
        <v>228</v>
      </c>
      <c r="DR1218" s="1" t="s">
        <v>229</v>
      </c>
      <c r="DS1218" s="1" t="s">
        <v>230</v>
      </c>
      <c r="DU1218" s="1" t="s">
        <v>13080</v>
      </c>
      <c r="DV1218" s="1" t="s">
        <v>232</v>
      </c>
      <c r="DW1218" s="1" t="s">
        <v>1026</v>
      </c>
      <c r="DX1218" s="1" t="s">
        <v>234</v>
      </c>
      <c r="DY1218" s="1" t="s">
        <v>879</v>
      </c>
      <c r="DZ1218" s="1" t="s">
        <v>310</v>
      </c>
      <c r="EA1218" s="1" t="s">
        <v>1027</v>
      </c>
      <c r="EC1218" s="1" t="s">
        <v>237</v>
      </c>
      <c r="ED1218" s="1" t="s">
        <v>407</v>
      </c>
      <c r="EF1218" s="1" t="s">
        <v>834</v>
      </c>
      <c r="EM1218" s="1" t="s">
        <v>238</v>
      </c>
      <c r="EQ1218" s="1" t="s">
        <v>238</v>
      </c>
      <c r="EU1218" s="1" t="s">
        <v>238</v>
      </c>
      <c r="EY1218" s="1" t="s">
        <v>238</v>
      </c>
      <c r="FC1218" s="1" t="s">
        <v>238</v>
      </c>
      <c r="FF1218" s="1" t="s">
        <v>239</v>
      </c>
      <c r="FG1218" s="1" t="s">
        <v>192</v>
      </c>
      <c r="FH1218" s="1" t="s">
        <v>192</v>
      </c>
      <c r="FJ1218" s="1" t="s">
        <v>2262</v>
      </c>
      <c r="FK1218" s="1" t="s">
        <v>229</v>
      </c>
      <c r="FL1218" s="1" t="s">
        <v>8713</v>
      </c>
      <c r="FM1218" s="1">
        <v>16645.0</v>
      </c>
      <c r="FN1218" s="1" t="s">
        <v>8714</v>
      </c>
      <c r="FO1218" s="1" t="s">
        <v>12895</v>
      </c>
      <c r="FP1218" s="1">
        <v>144516.0</v>
      </c>
      <c r="FQ1218" s="1" t="s">
        <v>12896</v>
      </c>
      <c r="FS1218" s="1">
        <v>144516.0</v>
      </c>
      <c r="FT1218" s="1" t="s">
        <v>12897</v>
      </c>
      <c r="FU1218" s="1" t="s">
        <v>13081</v>
      </c>
      <c r="FV1218" s="1" t="s">
        <v>200</v>
      </c>
      <c r="FW1218" s="1" t="s">
        <v>530</v>
      </c>
      <c r="FX1218" s="1" t="s">
        <v>238</v>
      </c>
      <c r="FZ1218" s="1" t="s">
        <v>229</v>
      </c>
      <c r="GA1218" s="1" t="s">
        <v>247</v>
      </c>
      <c r="GB1218" s="2">
        <v>42114.0</v>
      </c>
      <c r="GC1218" s="1" t="s">
        <v>13082</v>
      </c>
    </row>
    <row r="1219">
      <c r="A1219" s="1">
        <v>597000.0</v>
      </c>
      <c r="B1219" s="1" t="s">
        <v>185</v>
      </c>
      <c r="C1219" s="1" t="str">
        <f>"08845820"</f>
        <v>08845820</v>
      </c>
      <c r="D1219" s="1" t="s">
        <v>186</v>
      </c>
      <c r="F1219" s="1" t="str">
        <f>"8010"</f>
        <v>8010</v>
      </c>
      <c r="G1219" s="2">
        <v>42059.0</v>
      </c>
      <c r="H1219" s="1">
        <v>597000.0</v>
      </c>
      <c r="I1219" s="1">
        <v>1.0</v>
      </c>
      <c r="J1219" s="1">
        <v>597000.0</v>
      </c>
      <c r="K1219" s="2">
        <v>42059.0</v>
      </c>
      <c r="L1219" s="1">
        <v>1.0</v>
      </c>
      <c r="M1219" s="2">
        <v>42059.0</v>
      </c>
      <c r="N1219" s="1" t="s">
        <v>187</v>
      </c>
      <c r="O1219" s="2">
        <v>42065.0</v>
      </c>
      <c r="P1219" s="1">
        <v>923023.0</v>
      </c>
      <c r="Q1219" s="1">
        <v>8055.0</v>
      </c>
      <c r="S1219" s="1">
        <v>6060.0</v>
      </c>
      <c r="T1219" s="1" t="s">
        <v>13083</v>
      </c>
      <c r="U1219" s="1" t="s">
        <v>189</v>
      </c>
      <c r="V1219" s="1" t="s">
        <v>190</v>
      </c>
      <c r="W1219" s="1">
        <v>60631.0</v>
      </c>
      <c r="Y1219" s="1" t="s">
        <v>13084</v>
      </c>
      <c r="Z1219" s="1">
        <v>1906.0</v>
      </c>
      <c r="AA1219" s="1" t="s">
        <v>192</v>
      </c>
      <c r="AB1219" s="1" t="s">
        <v>193</v>
      </c>
      <c r="AD1219" s="1" t="s">
        <v>194</v>
      </c>
      <c r="AE1219" s="1" t="s">
        <v>195</v>
      </c>
      <c r="AF1219" s="1" t="s">
        <v>196</v>
      </c>
      <c r="AH1219" s="1" t="s">
        <v>13085</v>
      </c>
      <c r="AK1219" s="1">
        <v>9.0</v>
      </c>
      <c r="AL1219" s="1">
        <v>4.0</v>
      </c>
      <c r="AM1219" s="1">
        <v>3.0</v>
      </c>
      <c r="AN1219" s="1">
        <v>0.0</v>
      </c>
      <c r="AO1219" s="1" t="s">
        <v>198</v>
      </c>
      <c r="AP1219" s="1">
        <v>1.0</v>
      </c>
      <c r="AQ1219" s="1" t="s">
        <v>198</v>
      </c>
      <c r="AR1219" s="1" t="s">
        <v>200</v>
      </c>
      <c r="AS1219" s="1" t="s">
        <v>199</v>
      </c>
      <c r="AT1219" s="1">
        <v>2.5</v>
      </c>
      <c r="AV1219" s="1" t="s">
        <v>200</v>
      </c>
      <c r="AW1219" s="1">
        <v>6273.0</v>
      </c>
      <c r="AX1219" s="1">
        <v>2013.0</v>
      </c>
      <c r="AY1219" s="1" t="s">
        <v>387</v>
      </c>
      <c r="AZ1219" s="1" t="s">
        <v>200</v>
      </c>
      <c r="BA1219" s="1" t="str">
        <f>"13061140170000"</f>
        <v>13061140170000</v>
      </c>
      <c r="BC1219" s="1">
        <v>0.0</v>
      </c>
      <c r="BD1219" s="1">
        <v>597000.0</v>
      </c>
      <c r="BE1219" s="2">
        <v>42059.0</v>
      </c>
      <c r="BF1219" s="2" t="s">
        <v>13086</v>
      </c>
      <c r="BG1219" s="1" t="s">
        <v>4837</v>
      </c>
      <c r="BH1219" s="1">
        <v>0.0</v>
      </c>
      <c r="BJ1219" s="1" t="s">
        <v>1222</v>
      </c>
      <c r="BK1219" s="1" t="s">
        <v>204</v>
      </c>
      <c r="BL1219" s="1" t="str">
        <f>"6060"</f>
        <v>6060</v>
      </c>
      <c r="BM1219" s="1" t="str">
        <f t="shared" si="811"/>
        <v>0</v>
      </c>
      <c r="BN1219" s="1">
        <v>6900.0</v>
      </c>
      <c r="BO1219" s="1">
        <v>0.0</v>
      </c>
      <c r="BQ1219" s="1">
        <v>299.0</v>
      </c>
      <c r="BR1219" s="1">
        <v>299.0</v>
      </c>
      <c r="BS1219" s="1">
        <v>299.0</v>
      </c>
      <c r="BU1219" s="1" t="s">
        <v>215</v>
      </c>
      <c r="BV1219" s="1" t="s">
        <v>206</v>
      </c>
      <c r="BW1219" s="1" t="s">
        <v>207</v>
      </c>
      <c r="BY1219" s="1" t="s">
        <v>1875</v>
      </c>
      <c r="BZ1219" s="1" t="s">
        <v>209</v>
      </c>
      <c r="CA1219" s="1" t="s">
        <v>210</v>
      </c>
      <c r="CC1219" s="1" t="s">
        <v>363</v>
      </c>
      <c r="CD1219" s="1" t="s">
        <v>206</v>
      </c>
      <c r="CE1219" s="1" t="s">
        <v>207</v>
      </c>
      <c r="CG1219" s="1" t="s">
        <v>362</v>
      </c>
      <c r="CH1219" s="1" t="s">
        <v>209</v>
      </c>
      <c r="CI1219" s="1" t="s">
        <v>210</v>
      </c>
      <c r="CK1219" s="1" t="s">
        <v>13087</v>
      </c>
      <c r="CL1219" s="1" t="s">
        <v>209</v>
      </c>
      <c r="CM1219" s="1" t="s">
        <v>210</v>
      </c>
      <c r="CO1219" s="1" t="s">
        <v>433</v>
      </c>
      <c r="CP1219" s="1" t="s">
        <v>206</v>
      </c>
      <c r="CQ1219" s="1" t="s">
        <v>207</v>
      </c>
      <c r="CS1219" s="1" t="s">
        <v>3375</v>
      </c>
      <c r="CT1219" s="1" t="s">
        <v>206</v>
      </c>
      <c r="CU1219" s="1" t="s">
        <v>268</v>
      </c>
      <c r="CW1219" s="1" t="s">
        <v>3375</v>
      </c>
      <c r="CX1219" s="1" t="s">
        <v>206</v>
      </c>
      <c r="CY1219" s="1" t="s">
        <v>210</v>
      </c>
      <c r="DA1219" s="1" t="s">
        <v>200</v>
      </c>
      <c r="DC1219" s="1" t="s">
        <v>642</v>
      </c>
      <c r="DD1219" s="1" t="s">
        <v>396</v>
      </c>
      <c r="DE1219" s="1" t="s">
        <v>1810</v>
      </c>
      <c r="DF1219" s="1" t="s">
        <v>619</v>
      </c>
      <c r="DG1219" s="1" t="s">
        <v>1002</v>
      </c>
      <c r="DH1219" s="1" t="s">
        <v>365</v>
      </c>
      <c r="DI1219" s="1" t="s">
        <v>13088</v>
      </c>
      <c r="DJ1219" s="1" t="s">
        <v>222</v>
      </c>
      <c r="DK1219" s="1" t="s">
        <v>223</v>
      </c>
      <c r="DL1219" s="1" t="s">
        <v>858</v>
      </c>
      <c r="DM1219" s="1" t="s">
        <v>229</v>
      </c>
      <c r="DN1219" s="1" t="s">
        <v>2715</v>
      </c>
      <c r="DO1219" s="1" t="s">
        <v>549</v>
      </c>
      <c r="DP1219" s="1" t="s">
        <v>340</v>
      </c>
      <c r="DQ1219" s="1" t="s">
        <v>794</v>
      </c>
      <c r="DR1219" s="1" t="s">
        <v>229</v>
      </c>
      <c r="DS1219" s="1" t="s">
        <v>591</v>
      </c>
      <c r="DV1219" s="1" t="s">
        <v>13089</v>
      </c>
      <c r="DW1219" s="1" t="s">
        <v>13090</v>
      </c>
      <c r="DX1219" s="1" t="s">
        <v>234</v>
      </c>
      <c r="DY1219" s="1" t="s">
        <v>1006</v>
      </c>
      <c r="DZ1219" s="1" t="s">
        <v>13091</v>
      </c>
      <c r="EA1219" s="1" t="s">
        <v>3577</v>
      </c>
      <c r="EB1219" s="1" t="s">
        <v>372</v>
      </c>
      <c r="EC1219" s="1" t="s">
        <v>237</v>
      </c>
      <c r="EG1219" s="1" t="s">
        <v>341</v>
      </c>
      <c r="EH1219" s="1" t="s">
        <v>408</v>
      </c>
      <c r="EI1219" s="1" t="s">
        <v>1103</v>
      </c>
      <c r="EJ1219" s="1" t="s">
        <v>409</v>
      </c>
      <c r="EK1219" s="1" t="s">
        <v>588</v>
      </c>
      <c r="EL1219" s="1" t="s">
        <v>479</v>
      </c>
      <c r="EM1219" s="1" t="s">
        <v>391</v>
      </c>
      <c r="EP1219" s="1" t="s">
        <v>2337</v>
      </c>
      <c r="EQ1219" s="1" t="s">
        <v>206</v>
      </c>
      <c r="ER1219" s="1" t="s">
        <v>268</v>
      </c>
      <c r="ET1219" s="1" t="s">
        <v>2335</v>
      </c>
      <c r="EU1219" s="1" t="s">
        <v>42</v>
      </c>
      <c r="EV1219" s="1" t="s">
        <v>588</v>
      </c>
      <c r="EX1219" s="1" t="s">
        <v>768</v>
      </c>
      <c r="EY1219" s="1" t="s">
        <v>209</v>
      </c>
      <c r="EZ1219" s="1" t="s">
        <v>210</v>
      </c>
      <c r="FB1219" s="1" t="s">
        <v>560</v>
      </c>
      <c r="FC1219" s="1" t="s">
        <v>209</v>
      </c>
      <c r="FD1219" s="1" t="s">
        <v>210</v>
      </c>
      <c r="FF1219" s="1" t="s">
        <v>239</v>
      </c>
      <c r="FG1219" s="1" t="s">
        <v>192</v>
      </c>
      <c r="FH1219" s="1" t="s">
        <v>192</v>
      </c>
      <c r="FJ1219" s="1" t="s">
        <v>799</v>
      </c>
      <c r="FK1219" s="1" t="s">
        <v>229</v>
      </c>
      <c r="FL1219" s="1" t="s">
        <v>3156</v>
      </c>
      <c r="FM1219" s="1">
        <v>84729.0</v>
      </c>
      <c r="FN1219" s="1" t="s">
        <v>3157</v>
      </c>
      <c r="FO1219" s="1" t="s">
        <v>9327</v>
      </c>
      <c r="FP1219" s="1">
        <v>157318.0</v>
      </c>
      <c r="FQ1219" s="1" t="s">
        <v>9328</v>
      </c>
      <c r="FU1219" s="1" t="s">
        <v>12432</v>
      </c>
      <c r="FV1219" s="1" t="s">
        <v>200</v>
      </c>
      <c r="FW1219" s="1" t="s">
        <v>631</v>
      </c>
      <c r="FX1219" s="1" t="s">
        <v>238</v>
      </c>
      <c r="FZ1219" s="1" t="s">
        <v>229</v>
      </c>
      <c r="GA1219" s="1" t="s">
        <v>291</v>
      </c>
      <c r="GB1219" s="2">
        <v>42090.0</v>
      </c>
      <c r="GC1219" s="1" t="s">
        <v>13092</v>
      </c>
    </row>
    <row r="1220">
      <c r="A1220" s="1">
        <v>40500.0</v>
      </c>
      <c r="B1220" s="1" t="s">
        <v>185</v>
      </c>
      <c r="C1220" s="1" t="str">
        <f>"08848036"</f>
        <v>08848036</v>
      </c>
      <c r="D1220" s="1" t="s">
        <v>186</v>
      </c>
      <c r="F1220" s="1" t="str">
        <f>"8052"</f>
        <v>8052</v>
      </c>
      <c r="G1220" s="2">
        <v>42062.0</v>
      </c>
      <c r="H1220" s="1">
        <v>39900.0</v>
      </c>
      <c r="I1220" s="1">
        <v>33.0</v>
      </c>
      <c r="J1220" s="1">
        <v>39900.0</v>
      </c>
      <c r="K1220" s="2">
        <v>42093.0</v>
      </c>
      <c r="L1220" s="1">
        <v>33.0</v>
      </c>
      <c r="M1220" s="2">
        <v>42093.0</v>
      </c>
      <c r="N1220" s="1" t="s">
        <v>249</v>
      </c>
      <c r="O1220" s="2">
        <v>42118.0</v>
      </c>
      <c r="P1220" s="1">
        <v>189288.0</v>
      </c>
      <c r="Q1220" s="1">
        <v>12811.0</v>
      </c>
      <c r="S1220" s="1">
        <v>10653.0</v>
      </c>
      <c r="T1220" s="1" t="s">
        <v>10466</v>
      </c>
      <c r="V1220" s="1" t="s">
        <v>190</v>
      </c>
      <c r="W1220" s="1">
        <v>60617.0</v>
      </c>
      <c r="Y1220" s="1" t="s">
        <v>13093</v>
      </c>
      <c r="Z1220" s="1">
        <v>1895.0</v>
      </c>
      <c r="AA1220" s="1" t="s">
        <v>192</v>
      </c>
      <c r="AB1220" s="1" t="s">
        <v>193</v>
      </c>
      <c r="AD1220" s="1" t="s">
        <v>194</v>
      </c>
      <c r="AE1220" s="1" t="s">
        <v>195</v>
      </c>
      <c r="AF1220" s="1" t="s">
        <v>637</v>
      </c>
      <c r="AH1220" s="1">
        <v>3750.0</v>
      </c>
      <c r="AI1220" s="1">
        <v>0.0861</v>
      </c>
      <c r="AK1220" s="1">
        <v>7.0</v>
      </c>
      <c r="AL1220" s="1">
        <v>4.0</v>
      </c>
      <c r="AM1220" s="1">
        <v>1.0</v>
      </c>
      <c r="AN1220" s="1">
        <v>1.0</v>
      </c>
      <c r="AO1220" s="1" t="s">
        <v>229</v>
      </c>
      <c r="AQ1220" s="1" t="s">
        <v>198</v>
      </c>
      <c r="AR1220" s="1" t="s">
        <v>200</v>
      </c>
      <c r="AS1220" s="1" t="s">
        <v>199</v>
      </c>
      <c r="AT1220" s="1">
        <v>2.0</v>
      </c>
      <c r="AV1220" s="1" t="s">
        <v>200</v>
      </c>
      <c r="AW1220" s="1">
        <v>1227.0</v>
      </c>
      <c r="AX1220" s="1">
        <v>2013.0</v>
      </c>
      <c r="AY1220" s="1" t="s">
        <v>387</v>
      </c>
      <c r="AZ1220" s="1" t="s">
        <v>200</v>
      </c>
      <c r="BA1220" s="1" t="str">
        <f>"26171020240000"</f>
        <v>26171020240000</v>
      </c>
      <c r="BC1220" s="1">
        <v>1100.0</v>
      </c>
      <c r="BD1220" s="1">
        <v>40500.0</v>
      </c>
      <c r="BE1220" s="2">
        <v>42061.0</v>
      </c>
      <c r="BF1220" s="1" t="s">
        <v>13094</v>
      </c>
      <c r="BH1220" s="1">
        <v>0.0</v>
      </c>
      <c r="BK1220" s="1" t="s">
        <v>204</v>
      </c>
      <c r="BL1220" s="1" t="str">
        <f t="shared" ref="BL1220:BL1222" si="812">"0"</f>
        <v>0</v>
      </c>
      <c r="BM1220" s="1" t="str">
        <f>"3600"</f>
        <v>3600</v>
      </c>
      <c r="BN1220" s="1">
        <v>0.0</v>
      </c>
      <c r="BO1220" s="1">
        <v>10515.0</v>
      </c>
      <c r="BQ1220" s="1">
        <v>299.0</v>
      </c>
      <c r="BR1220" s="1">
        <v>299.0</v>
      </c>
      <c r="BS1220" s="1">
        <v>299.0</v>
      </c>
      <c r="BU1220" s="1" t="s">
        <v>1395</v>
      </c>
      <c r="BV1220" s="1" t="s">
        <v>206</v>
      </c>
      <c r="BW1220" s="1" t="s">
        <v>210</v>
      </c>
      <c r="BY1220" s="1" t="s">
        <v>303</v>
      </c>
      <c r="BZ1220" s="1" t="s">
        <v>206</v>
      </c>
      <c r="CA1220" s="1" t="s">
        <v>210</v>
      </c>
      <c r="CC1220" s="1" t="s">
        <v>363</v>
      </c>
      <c r="CD1220" s="1" t="s">
        <v>206</v>
      </c>
      <c r="CE1220" s="1" t="s">
        <v>588</v>
      </c>
      <c r="CG1220" s="1" t="s">
        <v>1852</v>
      </c>
      <c r="CH1220" s="1" t="s">
        <v>206</v>
      </c>
      <c r="CI1220" s="1" t="s">
        <v>210</v>
      </c>
      <c r="CK1220" s="1" t="s">
        <v>2047</v>
      </c>
      <c r="CL1220" s="1" t="s">
        <v>209</v>
      </c>
      <c r="CM1220" s="1" t="s">
        <v>617</v>
      </c>
      <c r="CO1220" s="1" t="s">
        <v>3182</v>
      </c>
      <c r="CP1220" s="1" t="s">
        <v>209</v>
      </c>
      <c r="CQ1220" s="1" t="s">
        <v>617</v>
      </c>
      <c r="CS1220" s="1" t="s">
        <v>212</v>
      </c>
      <c r="CT1220" s="1" t="s">
        <v>206</v>
      </c>
      <c r="CU1220" s="1" t="s">
        <v>617</v>
      </c>
      <c r="CX1220" s="1" t="s">
        <v>204</v>
      </c>
      <c r="DA1220" s="1" t="s">
        <v>200</v>
      </c>
      <c r="DC1220" s="1" t="s">
        <v>642</v>
      </c>
      <c r="DD1220" s="1" t="s">
        <v>518</v>
      </c>
      <c r="DE1220" s="1" t="s">
        <v>229</v>
      </c>
      <c r="DF1220" s="1" t="s">
        <v>219</v>
      </c>
      <c r="DH1220" s="1" t="s">
        <v>220</v>
      </c>
      <c r="DJ1220" s="1" t="s">
        <v>222</v>
      </c>
      <c r="DL1220" s="1" t="s">
        <v>6084</v>
      </c>
      <c r="DM1220" s="1" t="s">
        <v>229</v>
      </c>
      <c r="DP1220" s="1" t="s">
        <v>276</v>
      </c>
      <c r="DQ1220" s="1" t="s">
        <v>718</v>
      </c>
      <c r="DR1220" s="1" t="s">
        <v>229</v>
      </c>
      <c r="DS1220" s="1" t="s">
        <v>230</v>
      </c>
      <c r="DV1220" s="1" t="s">
        <v>232</v>
      </c>
      <c r="DW1220" s="1" t="s">
        <v>370</v>
      </c>
      <c r="DX1220" s="1" t="s">
        <v>234</v>
      </c>
      <c r="EC1220" s="1" t="s">
        <v>645</v>
      </c>
      <c r="EM1220" s="1" t="s">
        <v>238</v>
      </c>
      <c r="EQ1220" s="1" t="s">
        <v>238</v>
      </c>
      <c r="EU1220" s="1" t="s">
        <v>238</v>
      </c>
      <c r="EY1220" s="1" t="s">
        <v>238</v>
      </c>
      <c r="FC1220" s="1" t="s">
        <v>238</v>
      </c>
      <c r="FF1220" s="1" t="s">
        <v>239</v>
      </c>
      <c r="FG1220" s="1" t="s">
        <v>192</v>
      </c>
      <c r="FH1220" s="1" t="s">
        <v>192</v>
      </c>
      <c r="FJ1220" s="1" t="s">
        <v>3723</v>
      </c>
      <c r="FK1220" s="1" t="s">
        <v>229</v>
      </c>
      <c r="FL1220" s="1" t="s">
        <v>5025</v>
      </c>
      <c r="FM1220" s="1">
        <v>24945.0</v>
      </c>
      <c r="FN1220" s="1" t="s">
        <v>12873</v>
      </c>
      <c r="FO1220" s="1" t="s">
        <v>13095</v>
      </c>
      <c r="FP1220" s="1">
        <v>605691.0</v>
      </c>
      <c r="FQ1220" s="1" t="s">
        <v>13096</v>
      </c>
      <c r="FU1220" s="1" t="s">
        <v>13097</v>
      </c>
      <c r="FV1220" s="1" t="s">
        <v>200</v>
      </c>
      <c r="FW1220" s="1" t="s">
        <v>530</v>
      </c>
      <c r="FX1220" s="1" t="s">
        <v>655</v>
      </c>
      <c r="FZ1220" s="1" t="s">
        <v>229</v>
      </c>
      <c r="GA1220" s="1" t="s">
        <v>291</v>
      </c>
      <c r="GB1220" s="2">
        <v>42121.0</v>
      </c>
      <c r="GC1220" s="1" t="s">
        <v>13098</v>
      </c>
    </row>
    <row r="1221">
      <c r="A1221" s="1">
        <v>515000.0</v>
      </c>
      <c r="B1221" s="1" t="s">
        <v>185</v>
      </c>
      <c r="C1221" s="1" t="str">
        <f>"08852971"</f>
        <v>08852971</v>
      </c>
      <c r="D1221" s="1" t="s">
        <v>186</v>
      </c>
      <c r="F1221" s="1" t="str">
        <f>"10"</f>
        <v>10</v>
      </c>
      <c r="G1221" s="2">
        <v>42068.0</v>
      </c>
      <c r="H1221" s="1">
        <v>535000.0</v>
      </c>
      <c r="I1221" s="1">
        <v>8.0</v>
      </c>
      <c r="J1221" s="1">
        <v>535000.0</v>
      </c>
      <c r="K1221" s="2">
        <v>42075.0</v>
      </c>
      <c r="L1221" s="1">
        <v>8.0</v>
      </c>
      <c r="M1221" s="2">
        <v>42075.0</v>
      </c>
      <c r="N1221" s="1" t="s">
        <v>187</v>
      </c>
      <c r="O1221" s="2">
        <v>42124.0</v>
      </c>
      <c r="P1221" s="1">
        <v>1170.0</v>
      </c>
      <c r="Q1221" s="1">
        <v>49.0</v>
      </c>
      <c r="R1221" s="1">
        <v>1000.0</v>
      </c>
      <c r="S1221" s="1">
        <v>210.0</v>
      </c>
      <c r="T1221" s="1" t="s">
        <v>13099</v>
      </c>
      <c r="U1221" s="1" t="s">
        <v>569</v>
      </c>
      <c r="V1221" s="1" t="s">
        <v>1706</v>
      </c>
      <c r="W1221" s="1">
        <v>60010.0</v>
      </c>
      <c r="Y1221" s="1" t="s">
        <v>13100</v>
      </c>
      <c r="Z1221" s="1">
        <v>1987.0</v>
      </c>
      <c r="AA1221" s="1" t="s">
        <v>200</v>
      </c>
      <c r="AB1221" s="1" t="s">
        <v>467</v>
      </c>
      <c r="AC1221" s="1" t="s">
        <v>6387</v>
      </c>
      <c r="AD1221" s="1" t="s">
        <v>1948</v>
      </c>
      <c r="AE1221" s="1" t="s">
        <v>917</v>
      </c>
      <c r="AF1221" s="1" t="s">
        <v>2008</v>
      </c>
      <c r="AH1221" s="1" t="s">
        <v>13101</v>
      </c>
      <c r="AI1221" s="1">
        <v>0.2656</v>
      </c>
      <c r="AK1221" s="1">
        <v>10.0</v>
      </c>
      <c r="AL1221" s="1">
        <v>4.0</v>
      </c>
      <c r="AM1221" s="1">
        <v>2.0</v>
      </c>
      <c r="AN1221" s="1">
        <v>1.0</v>
      </c>
      <c r="AO1221" s="1" t="s">
        <v>198</v>
      </c>
      <c r="AP1221" s="1">
        <v>1.0</v>
      </c>
      <c r="AQ1221" s="1" t="s">
        <v>198</v>
      </c>
      <c r="AR1221" s="1" t="s">
        <v>200</v>
      </c>
      <c r="AS1221" s="1" t="s">
        <v>199</v>
      </c>
      <c r="AT1221" s="1">
        <v>2.0</v>
      </c>
      <c r="AV1221" s="1" t="s">
        <v>200</v>
      </c>
      <c r="AW1221" s="6">
        <v>8770.0</v>
      </c>
      <c r="AX1221" s="1">
        <v>2013.0</v>
      </c>
      <c r="AY1221" s="1" t="s">
        <v>387</v>
      </c>
      <c r="AZ1221" s="1" t="s">
        <v>200</v>
      </c>
      <c r="BA1221" s="1" t="str">
        <f>"13364080160000"</f>
        <v>13364080160000</v>
      </c>
      <c r="BB1221" s="1" t="s">
        <v>200</v>
      </c>
      <c r="BC1221" s="1">
        <v>2600.0</v>
      </c>
      <c r="BD1221" s="1">
        <v>515000.0</v>
      </c>
      <c r="BE1221" s="2">
        <v>42068.0</v>
      </c>
      <c r="BF1221" s="2" t="s">
        <v>13102</v>
      </c>
      <c r="BH1221" s="1">
        <v>300.0</v>
      </c>
      <c r="BK1221" s="1" t="s">
        <v>580</v>
      </c>
      <c r="BL1221" s="1" t="str">
        <f t="shared" si="812"/>
        <v>0</v>
      </c>
      <c r="BM1221" s="1" t="str">
        <f t="shared" ref="BM1221:BM1223" si="813">"0"</f>
        <v>0</v>
      </c>
      <c r="BN1221" s="1">
        <v>2.0</v>
      </c>
      <c r="BO1221" s="1">
        <v>2.0</v>
      </c>
      <c r="BQ1221" s="1">
        <v>220.0</v>
      </c>
      <c r="BR1221" s="1">
        <v>220.0</v>
      </c>
      <c r="BS1221" s="1">
        <v>220.0</v>
      </c>
      <c r="BU1221" s="1" t="s">
        <v>434</v>
      </c>
      <c r="BV1221" s="1" t="s">
        <v>206</v>
      </c>
      <c r="BW1221" s="1" t="s">
        <v>207</v>
      </c>
      <c r="BY1221" s="1" t="s">
        <v>924</v>
      </c>
      <c r="BZ1221" s="1" t="s">
        <v>209</v>
      </c>
      <c r="CA1221" s="1" t="s">
        <v>207</v>
      </c>
      <c r="CC1221" s="1" t="s">
        <v>584</v>
      </c>
      <c r="CD1221" s="1" t="s">
        <v>206</v>
      </c>
      <c r="CE1221" s="1" t="s">
        <v>207</v>
      </c>
      <c r="CG1221" s="1" t="s">
        <v>332</v>
      </c>
      <c r="CH1221" s="1" t="s">
        <v>209</v>
      </c>
      <c r="CI1221" s="1" t="s">
        <v>207</v>
      </c>
      <c r="CK1221" s="1" t="s">
        <v>332</v>
      </c>
      <c r="CL1221" s="1" t="s">
        <v>209</v>
      </c>
      <c r="CM1221" s="1" t="s">
        <v>207</v>
      </c>
      <c r="CO1221" s="1" t="s">
        <v>497</v>
      </c>
      <c r="CP1221" s="1" t="s">
        <v>209</v>
      </c>
      <c r="CQ1221" s="1" t="s">
        <v>207</v>
      </c>
      <c r="CS1221" s="1" t="s">
        <v>333</v>
      </c>
      <c r="CT1221" s="1" t="s">
        <v>206</v>
      </c>
      <c r="CU1221" s="1" t="s">
        <v>207</v>
      </c>
      <c r="CW1221" s="1" t="s">
        <v>208</v>
      </c>
      <c r="CX1221" s="1" t="s">
        <v>206</v>
      </c>
      <c r="CY1221" s="1" t="s">
        <v>207</v>
      </c>
      <c r="DA1221" s="1" t="s">
        <v>200</v>
      </c>
      <c r="DC1221" s="1" t="s">
        <v>305</v>
      </c>
      <c r="DD1221" s="1" t="s">
        <v>759</v>
      </c>
      <c r="DE1221" s="1" t="s">
        <v>273</v>
      </c>
      <c r="DF1221" s="1" t="s">
        <v>219</v>
      </c>
      <c r="DG1221" s="1" t="s">
        <v>2123</v>
      </c>
      <c r="DH1221" s="1" t="s">
        <v>1603</v>
      </c>
      <c r="DI1221" s="1" t="s">
        <v>13103</v>
      </c>
      <c r="DJ1221" s="1" t="s">
        <v>222</v>
      </c>
      <c r="DL1221" s="1" t="s">
        <v>858</v>
      </c>
      <c r="DM1221" s="1" t="s">
        <v>929</v>
      </c>
      <c r="DN1221" s="1" t="s">
        <v>439</v>
      </c>
      <c r="DO1221" s="1" t="s">
        <v>13104</v>
      </c>
      <c r="DP1221" s="1" t="s">
        <v>340</v>
      </c>
      <c r="DQ1221" s="1" t="s">
        <v>441</v>
      </c>
      <c r="DR1221" s="1" t="s">
        <v>108</v>
      </c>
      <c r="DV1221" s="1" t="s">
        <v>13105</v>
      </c>
      <c r="DW1221" s="1" t="s">
        <v>233</v>
      </c>
      <c r="DX1221" s="1" t="s">
        <v>234</v>
      </c>
      <c r="DY1221" s="1" t="s">
        <v>1051</v>
      </c>
      <c r="DZ1221" s="1" t="s">
        <v>1405</v>
      </c>
      <c r="EA1221" s="1" t="s">
        <v>447</v>
      </c>
      <c r="EB1221" s="1" t="s">
        <v>345</v>
      </c>
      <c r="EC1221" s="1" t="s">
        <v>237</v>
      </c>
      <c r="ED1221" s="1" t="s">
        <v>407</v>
      </c>
      <c r="EG1221" s="1" t="s">
        <v>598</v>
      </c>
      <c r="EH1221" s="1" t="s">
        <v>1103</v>
      </c>
      <c r="EI1221" s="1" t="s">
        <v>409</v>
      </c>
      <c r="EJ1221" s="1" t="s">
        <v>310</v>
      </c>
      <c r="EK1221" s="1" t="s">
        <v>450</v>
      </c>
      <c r="EL1221" s="1" t="s">
        <v>332</v>
      </c>
      <c r="EM1221" s="1" t="s">
        <v>206</v>
      </c>
      <c r="EN1221" s="1" t="s">
        <v>207</v>
      </c>
      <c r="EP1221" s="1" t="s">
        <v>10633</v>
      </c>
      <c r="EQ1221" s="1" t="s">
        <v>42</v>
      </c>
      <c r="ER1221" s="1" t="s">
        <v>588</v>
      </c>
      <c r="ET1221" s="1" t="s">
        <v>768</v>
      </c>
      <c r="EU1221" s="1" t="s">
        <v>209</v>
      </c>
      <c r="EV1221" s="1" t="s">
        <v>207</v>
      </c>
      <c r="EX1221" s="1" t="s">
        <v>3623</v>
      </c>
      <c r="EY1221" s="1" t="s">
        <v>206</v>
      </c>
      <c r="EZ1221" s="1" t="s">
        <v>588</v>
      </c>
      <c r="FB1221" s="1" t="s">
        <v>6672</v>
      </c>
      <c r="FC1221" s="1" t="s">
        <v>42</v>
      </c>
      <c r="FD1221" s="1" t="s">
        <v>210</v>
      </c>
      <c r="FF1221" s="1" t="s">
        <v>239</v>
      </c>
      <c r="FG1221" s="1" t="s">
        <v>192</v>
      </c>
      <c r="FH1221" s="1" t="s">
        <v>192</v>
      </c>
      <c r="FJ1221" s="1" t="s">
        <v>799</v>
      </c>
      <c r="FK1221" s="1" t="s">
        <v>229</v>
      </c>
      <c r="FL1221" s="1" t="s">
        <v>562</v>
      </c>
      <c r="FM1221" s="1">
        <v>15694.0</v>
      </c>
      <c r="FN1221" s="1" t="s">
        <v>3145</v>
      </c>
      <c r="FO1221" s="1" t="s">
        <v>13106</v>
      </c>
      <c r="FP1221" s="1">
        <v>137983.0</v>
      </c>
      <c r="FQ1221" s="1" t="s">
        <v>13107</v>
      </c>
      <c r="FS1221" s="1" t="s">
        <v>13108</v>
      </c>
      <c r="FU1221" s="1" t="s">
        <v>4733</v>
      </c>
      <c r="FV1221" s="1" t="s">
        <v>200</v>
      </c>
      <c r="FW1221" s="1" t="s">
        <v>290</v>
      </c>
      <c r="FZ1221" s="1" t="s">
        <v>229</v>
      </c>
      <c r="GA1221" s="1" t="s">
        <v>291</v>
      </c>
      <c r="GB1221" s="2">
        <v>42125.0</v>
      </c>
    </row>
    <row r="1222">
      <c r="A1222" s="1">
        <v>237500.0</v>
      </c>
      <c r="B1222" s="1" t="s">
        <v>185</v>
      </c>
      <c r="C1222" s="1" t="str">
        <f>"08848127"</f>
        <v>08848127</v>
      </c>
      <c r="D1222" s="1" t="s">
        <v>186</v>
      </c>
      <c r="F1222" s="1" t="str">
        <f>"543"</f>
        <v>543</v>
      </c>
      <c r="G1222" s="2">
        <v>42062.0</v>
      </c>
      <c r="H1222" s="1">
        <v>244900.0</v>
      </c>
      <c r="I1222" s="1">
        <v>176.0</v>
      </c>
      <c r="J1222" s="1">
        <v>244900.0</v>
      </c>
      <c r="K1222" s="2">
        <v>42079.0</v>
      </c>
      <c r="L1222" s="1">
        <v>18.0</v>
      </c>
      <c r="M1222" s="2">
        <v>42079.0</v>
      </c>
      <c r="N1222" s="1" t="s">
        <v>187</v>
      </c>
      <c r="O1222" s="2">
        <v>42128.0</v>
      </c>
      <c r="P1222" s="1">
        <v>243420.0</v>
      </c>
      <c r="Q1222" s="1">
        <v>24695.0</v>
      </c>
      <c r="S1222" s="1">
        <v>211.0</v>
      </c>
      <c r="T1222" s="1" t="s">
        <v>2054</v>
      </c>
      <c r="U1222" s="1" t="s">
        <v>1174</v>
      </c>
      <c r="V1222" s="1" t="s">
        <v>1527</v>
      </c>
      <c r="W1222" s="1">
        <v>60543.0</v>
      </c>
      <c r="Y1222" s="1" t="s">
        <v>13109</v>
      </c>
      <c r="Z1222" s="1">
        <v>1995.0</v>
      </c>
      <c r="AA1222" s="1" t="s">
        <v>200</v>
      </c>
      <c r="AB1222" s="1" t="s">
        <v>193</v>
      </c>
      <c r="AC1222" s="1" t="s">
        <v>13110</v>
      </c>
      <c r="AD1222" s="1" t="s">
        <v>1529</v>
      </c>
      <c r="AE1222" s="1" t="s">
        <v>849</v>
      </c>
      <c r="AF1222" s="1" t="s">
        <v>1529</v>
      </c>
      <c r="AG1222" s="1" t="s">
        <v>13111</v>
      </c>
      <c r="AH1222" s="1" t="s">
        <v>13112</v>
      </c>
      <c r="AK1222" s="1">
        <v>9.0</v>
      </c>
      <c r="AL1222" s="1">
        <v>4.0</v>
      </c>
      <c r="AM1222" s="1">
        <v>2.0</v>
      </c>
      <c r="AN1222" s="1">
        <v>1.0</v>
      </c>
      <c r="AO1222" s="1" t="s">
        <v>198</v>
      </c>
      <c r="AP1222" s="1">
        <v>0.0</v>
      </c>
      <c r="AQ1222" s="1" t="s">
        <v>198</v>
      </c>
      <c r="AR1222" s="1" t="s">
        <v>200</v>
      </c>
      <c r="AS1222" s="1" t="s">
        <v>199</v>
      </c>
      <c r="AT1222" s="1">
        <v>3.0</v>
      </c>
      <c r="AV1222" s="1" t="s">
        <v>200</v>
      </c>
      <c r="AW1222" s="1">
        <v>7710.0</v>
      </c>
      <c r="AX1222" s="1">
        <v>2013.0</v>
      </c>
      <c r="AY1222" s="1" t="s">
        <v>387</v>
      </c>
      <c r="AZ1222" s="1" t="s">
        <v>200</v>
      </c>
      <c r="BA1222" s="1" t="str">
        <f>"0320144011"</f>
        <v>0320144011</v>
      </c>
      <c r="BB1222" s="1" t="s">
        <v>200</v>
      </c>
      <c r="BC1222" s="1">
        <v>2670.0</v>
      </c>
      <c r="BD1222" s="1">
        <v>237500.0</v>
      </c>
      <c r="BE1222" s="2">
        <v>42062.0</v>
      </c>
      <c r="BF1222" s="2" t="s">
        <v>13113</v>
      </c>
      <c r="BH1222" s="1">
        <v>60.0</v>
      </c>
      <c r="BK1222" s="1" t="s">
        <v>580</v>
      </c>
      <c r="BL1222" s="1" t="str">
        <f t="shared" si="812"/>
        <v>0</v>
      </c>
      <c r="BM1222" s="1" t="str">
        <f t="shared" si="813"/>
        <v>0</v>
      </c>
      <c r="BN1222" s="1">
        <v>38.0</v>
      </c>
      <c r="BO1222" s="1">
        <v>13.0</v>
      </c>
      <c r="BQ1222" s="1">
        <v>308.0</v>
      </c>
      <c r="BR1222" s="1">
        <v>308.0</v>
      </c>
      <c r="BS1222" s="1">
        <v>308.0</v>
      </c>
      <c r="BU1222" s="1" t="s">
        <v>211</v>
      </c>
      <c r="BV1222" s="1" t="s">
        <v>206</v>
      </c>
      <c r="BW1222" s="1" t="s">
        <v>210</v>
      </c>
      <c r="BY1222" s="1" t="s">
        <v>434</v>
      </c>
      <c r="BZ1222" s="1" t="s">
        <v>209</v>
      </c>
      <c r="CA1222" s="1" t="s">
        <v>210</v>
      </c>
      <c r="CC1222" s="1" t="s">
        <v>264</v>
      </c>
      <c r="CD1222" s="1" t="s">
        <v>206</v>
      </c>
      <c r="CE1222" s="1" t="s">
        <v>207</v>
      </c>
      <c r="CG1222" s="1" t="s">
        <v>332</v>
      </c>
      <c r="CH1222" s="1" t="s">
        <v>209</v>
      </c>
      <c r="CI1222" s="1" t="s">
        <v>210</v>
      </c>
      <c r="CK1222" s="1" t="s">
        <v>495</v>
      </c>
      <c r="CL1222" s="1" t="s">
        <v>209</v>
      </c>
      <c r="CM1222" s="1" t="s">
        <v>210</v>
      </c>
      <c r="CO1222" s="1" t="s">
        <v>454</v>
      </c>
      <c r="CP1222" s="1" t="s">
        <v>209</v>
      </c>
      <c r="CQ1222" s="1" t="s">
        <v>210</v>
      </c>
      <c r="CS1222" s="1" t="s">
        <v>212</v>
      </c>
      <c r="CT1222" s="1" t="s">
        <v>206</v>
      </c>
      <c r="CU1222" s="1" t="s">
        <v>207</v>
      </c>
      <c r="CW1222" s="1" t="s">
        <v>664</v>
      </c>
      <c r="CX1222" s="1" t="s">
        <v>206</v>
      </c>
      <c r="CY1222" s="1" t="s">
        <v>210</v>
      </c>
      <c r="DA1222" s="1" t="s">
        <v>200</v>
      </c>
      <c r="DC1222" s="1" t="s">
        <v>678</v>
      </c>
      <c r="DD1222" s="1" t="s">
        <v>926</v>
      </c>
      <c r="DE1222" s="1" t="s">
        <v>273</v>
      </c>
      <c r="DF1222" s="1" t="s">
        <v>219</v>
      </c>
      <c r="DG1222" s="1" t="s">
        <v>1020</v>
      </c>
      <c r="DH1222" s="1" t="s">
        <v>220</v>
      </c>
      <c r="DI1222" s="1" t="s">
        <v>1692</v>
      </c>
      <c r="DJ1222" s="1" t="s">
        <v>222</v>
      </c>
      <c r="DK1222" s="1" t="s">
        <v>198</v>
      </c>
      <c r="DL1222" s="1" t="s">
        <v>1536</v>
      </c>
      <c r="DM1222" s="1" t="s">
        <v>338</v>
      </c>
      <c r="DN1222" s="1" t="s">
        <v>399</v>
      </c>
      <c r="DP1222" s="1" t="s">
        <v>340</v>
      </c>
      <c r="DQ1222" s="1" t="s">
        <v>441</v>
      </c>
      <c r="DR1222" s="1" t="s">
        <v>229</v>
      </c>
      <c r="DS1222" s="1" t="s">
        <v>230</v>
      </c>
      <c r="DU1222" s="1" t="s">
        <v>550</v>
      </c>
      <c r="DV1222" s="1" t="s">
        <v>13114</v>
      </c>
      <c r="DW1222" s="1" t="s">
        <v>279</v>
      </c>
      <c r="DX1222" s="1" t="s">
        <v>234</v>
      </c>
      <c r="DY1222" s="1" t="s">
        <v>13115</v>
      </c>
      <c r="DZ1222" s="1" t="s">
        <v>13116</v>
      </c>
      <c r="EA1222" s="1" t="s">
        <v>344</v>
      </c>
      <c r="EC1222" s="1" t="s">
        <v>237</v>
      </c>
      <c r="ED1222" s="1" t="s">
        <v>407</v>
      </c>
      <c r="EE1222" s="1" t="s">
        <v>493</v>
      </c>
      <c r="EG1222" s="1" t="s">
        <v>556</v>
      </c>
      <c r="EH1222" s="1" t="s">
        <v>1102</v>
      </c>
      <c r="EL1222" s="1" t="s">
        <v>392</v>
      </c>
      <c r="EM1222" s="1" t="s">
        <v>206</v>
      </c>
      <c r="EN1222" s="1" t="s">
        <v>207</v>
      </c>
      <c r="EP1222" s="1" t="s">
        <v>5955</v>
      </c>
      <c r="EQ1222" s="1" t="s">
        <v>206</v>
      </c>
      <c r="ER1222" s="1" t="s">
        <v>268</v>
      </c>
      <c r="ES1222" s="1" t="s">
        <v>229</v>
      </c>
      <c r="EU1222" s="1" t="s">
        <v>238</v>
      </c>
      <c r="EY1222" s="1" t="s">
        <v>238</v>
      </c>
      <c r="FC1222" s="1" t="s">
        <v>238</v>
      </c>
      <c r="FF1222" s="1" t="s">
        <v>239</v>
      </c>
      <c r="FG1222" s="1" t="s">
        <v>192</v>
      </c>
      <c r="FH1222" s="1" t="s">
        <v>192</v>
      </c>
      <c r="FJ1222" s="1" t="s">
        <v>13117</v>
      </c>
      <c r="FK1222" s="1" t="s">
        <v>229</v>
      </c>
      <c r="FL1222" s="1" t="s">
        <v>1877</v>
      </c>
      <c r="FM1222" s="1">
        <v>24695.0</v>
      </c>
      <c r="FN1222" s="1" t="s">
        <v>1878</v>
      </c>
      <c r="FO1222" s="1" t="s">
        <v>13118</v>
      </c>
      <c r="FP1222" s="1">
        <v>234459.0</v>
      </c>
      <c r="FQ1222" s="1" t="s">
        <v>13119</v>
      </c>
      <c r="FU1222" s="1" t="s">
        <v>13120</v>
      </c>
      <c r="FV1222" s="1" t="s">
        <v>200</v>
      </c>
      <c r="FW1222" s="1" t="s">
        <v>2754</v>
      </c>
      <c r="FZ1222" s="1" t="s">
        <v>229</v>
      </c>
      <c r="GA1222" s="1" t="s">
        <v>291</v>
      </c>
      <c r="GB1222" s="2">
        <v>42129.0</v>
      </c>
    </row>
    <row r="1223">
      <c r="A1223" s="1">
        <v>540000.0</v>
      </c>
      <c r="B1223" s="1" t="s">
        <v>185</v>
      </c>
      <c r="C1223" s="1" t="str">
        <f>"08847570"</f>
        <v>08847570</v>
      </c>
      <c r="D1223" s="1" t="s">
        <v>186</v>
      </c>
      <c r="F1223" s="1" t="str">
        <f>"8023"</f>
        <v>8023</v>
      </c>
      <c r="G1223" s="2">
        <v>42061.0</v>
      </c>
      <c r="H1223" s="1">
        <v>549900.0</v>
      </c>
      <c r="I1223" s="1">
        <v>320.0</v>
      </c>
      <c r="J1223" s="1">
        <v>549900.0</v>
      </c>
      <c r="K1223" s="2">
        <v>42063.0</v>
      </c>
      <c r="L1223" s="1">
        <v>3.0</v>
      </c>
      <c r="M1223" s="2">
        <v>42063.0</v>
      </c>
      <c r="N1223" s="1" t="s">
        <v>187</v>
      </c>
      <c r="O1223" s="2">
        <v>42111.0</v>
      </c>
      <c r="P1223" s="1">
        <v>106635.0</v>
      </c>
      <c r="Q1223" s="1">
        <v>84729.0</v>
      </c>
      <c r="R1223" s="1">
        <v>5000.0</v>
      </c>
      <c r="S1223" s="1">
        <v>1631.0</v>
      </c>
      <c r="T1223" s="1" t="s">
        <v>2162</v>
      </c>
      <c r="U1223" s="1" t="s">
        <v>189</v>
      </c>
      <c r="V1223" s="1" t="s">
        <v>190</v>
      </c>
      <c r="W1223" s="1">
        <v>60647.0</v>
      </c>
      <c r="Y1223" s="1" t="s">
        <v>13121</v>
      </c>
      <c r="Z1223" s="1">
        <v>2015.0</v>
      </c>
      <c r="AA1223" s="1" t="s">
        <v>200</v>
      </c>
      <c r="AB1223" s="1" t="s">
        <v>193</v>
      </c>
      <c r="AD1223" s="1" t="s">
        <v>194</v>
      </c>
      <c r="AE1223" s="1" t="s">
        <v>195</v>
      </c>
      <c r="AF1223" s="1" t="s">
        <v>827</v>
      </c>
      <c r="AH1223" s="1" t="s">
        <v>13122</v>
      </c>
      <c r="AI1223" s="1">
        <v>0.0688</v>
      </c>
      <c r="AK1223" s="1">
        <v>8.0</v>
      </c>
      <c r="AL1223" s="1">
        <v>3.0</v>
      </c>
      <c r="AM1223" s="1">
        <v>3.0</v>
      </c>
      <c r="AN1223" s="1">
        <v>1.0</v>
      </c>
      <c r="AO1223" s="1" t="s">
        <v>198</v>
      </c>
      <c r="AQ1223" s="1" t="s">
        <v>198</v>
      </c>
      <c r="AR1223" s="1" t="s">
        <v>192</v>
      </c>
      <c r="AS1223" s="1" t="s">
        <v>199</v>
      </c>
      <c r="AT1223" s="1">
        <v>2.0</v>
      </c>
      <c r="AV1223" s="1" t="s">
        <v>200</v>
      </c>
      <c r="AW1223" s="1">
        <v>1073.03</v>
      </c>
      <c r="AX1223" s="1">
        <v>2013.0</v>
      </c>
      <c r="AY1223" s="1" t="s">
        <v>229</v>
      </c>
      <c r="AZ1223" s="1" t="s">
        <v>200</v>
      </c>
      <c r="BA1223" s="1" t="str">
        <f>"13363260110000"</f>
        <v>13363260110000</v>
      </c>
      <c r="BC1223" s="1">
        <v>2400.0</v>
      </c>
      <c r="BD1223" s="1">
        <v>540000.0</v>
      </c>
      <c r="BE1223" s="2">
        <v>42061.0</v>
      </c>
      <c r="BF1223" s="1" t="s">
        <v>13123</v>
      </c>
      <c r="BH1223" s="1">
        <v>0.0</v>
      </c>
      <c r="BK1223" s="1" t="s">
        <v>204</v>
      </c>
      <c r="BL1223" s="1" t="str">
        <f>"1631"</f>
        <v>1631</v>
      </c>
      <c r="BM1223" s="1" t="str">
        <f t="shared" si="813"/>
        <v>0</v>
      </c>
      <c r="BN1223" s="1">
        <v>3000.0</v>
      </c>
      <c r="BO1223" s="1">
        <v>0.0</v>
      </c>
      <c r="BQ1223" s="1">
        <v>299.0</v>
      </c>
      <c r="BR1223" s="1">
        <v>299.0</v>
      </c>
      <c r="BS1223" s="1">
        <v>299.0</v>
      </c>
      <c r="BU1223" s="1" t="s">
        <v>13124</v>
      </c>
      <c r="BV1223" s="1" t="s">
        <v>206</v>
      </c>
      <c r="BW1223" s="1" t="s">
        <v>207</v>
      </c>
      <c r="BY1223" s="1" t="s">
        <v>1426</v>
      </c>
      <c r="BZ1223" s="1" t="s">
        <v>209</v>
      </c>
      <c r="CA1223" s="1" t="s">
        <v>210</v>
      </c>
      <c r="CC1223" s="1" t="s">
        <v>454</v>
      </c>
      <c r="CD1223" s="1" t="s">
        <v>206</v>
      </c>
      <c r="CE1223" s="1" t="s">
        <v>207</v>
      </c>
      <c r="CG1223" s="1" t="s">
        <v>700</v>
      </c>
      <c r="CH1223" s="1" t="s">
        <v>209</v>
      </c>
      <c r="CI1223" s="1" t="s">
        <v>210</v>
      </c>
      <c r="CK1223" s="1" t="s">
        <v>647</v>
      </c>
      <c r="CL1223" s="1" t="s">
        <v>209</v>
      </c>
      <c r="CM1223" s="1" t="s">
        <v>210</v>
      </c>
      <c r="CO1223" s="1" t="s">
        <v>212</v>
      </c>
      <c r="CP1223" s="1" t="s">
        <v>42</v>
      </c>
      <c r="CQ1223" s="1" t="s">
        <v>210</v>
      </c>
      <c r="CS1223" s="1" t="s">
        <v>784</v>
      </c>
      <c r="CT1223" s="1" t="s">
        <v>206</v>
      </c>
      <c r="CU1223" s="1" t="s">
        <v>207</v>
      </c>
      <c r="CW1223" s="1" t="s">
        <v>477</v>
      </c>
      <c r="CX1223" s="1" t="s">
        <v>42</v>
      </c>
      <c r="CY1223" s="1" t="s">
        <v>210</v>
      </c>
      <c r="DA1223" s="1" t="s">
        <v>192</v>
      </c>
      <c r="DB1223" s="2">
        <v>42061.0</v>
      </c>
      <c r="DC1223" s="1" t="s">
        <v>1353</v>
      </c>
      <c r="DE1223" s="1" t="s">
        <v>273</v>
      </c>
      <c r="DF1223" s="1" t="s">
        <v>219</v>
      </c>
      <c r="DH1223" s="1" t="s">
        <v>365</v>
      </c>
      <c r="DJ1223" s="1" t="s">
        <v>222</v>
      </c>
      <c r="DL1223" s="1" t="s">
        <v>224</v>
      </c>
      <c r="DM1223" s="1" t="s">
        <v>229</v>
      </c>
      <c r="DQ1223" s="1" t="s">
        <v>228</v>
      </c>
      <c r="DR1223" s="1" t="s">
        <v>229</v>
      </c>
      <c r="DS1223" s="1" t="s">
        <v>230</v>
      </c>
      <c r="DV1223" s="1" t="s">
        <v>232</v>
      </c>
      <c r="DW1223" s="1" t="s">
        <v>1026</v>
      </c>
      <c r="DX1223" s="1" t="s">
        <v>234</v>
      </c>
      <c r="DY1223" s="1" t="s">
        <v>235</v>
      </c>
      <c r="EA1223" s="1" t="s">
        <v>1027</v>
      </c>
      <c r="EC1223" s="1" t="s">
        <v>237</v>
      </c>
      <c r="ED1223" s="1" t="s">
        <v>555</v>
      </c>
      <c r="EM1223" s="1" t="s">
        <v>238</v>
      </c>
      <c r="EQ1223" s="1" t="s">
        <v>238</v>
      </c>
      <c r="EU1223" s="1" t="s">
        <v>238</v>
      </c>
      <c r="EY1223" s="1" t="s">
        <v>238</v>
      </c>
      <c r="FC1223" s="1" t="s">
        <v>238</v>
      </c>
      <c r="FF1223" s="1" t="s">
        <v>239</v>
      </c>
      <c r="FG1223" s="1" t="s">
        <v>192</v>
      </c>
      <c r="FH1223" s="1" t="s">
        <v>192</v>
      </c>
      <c r="FJ1223" s="1" t="s">
        <v>13125</v>
      </c>
      <c r="FK1223" s="1" t="s">
        <v>229</v>
      </c>
      <c r="FL1223" s="1" t="s">
        <v>13126</v>
      </c>
      <c r="FM1223" s="1">
        <v>37839.0</v>
      </c>
      <c r="FN1223" s="1" t="s">
        <v>13127</v>
      </c>
      <c r="FO1223" s="1" t="s">
        <v>13128</v>
      </c>
      <c r="FP1223" s="1">
        <v>370745.0</v>
      </c>
      <c r="FU1223" s="1" t="s">
        <v>7264</v>
      </c>
      <c r="FV1223" s="1" t="s">
        <v>192</v>
      </c>
      <c r="FW1223" s="1" t="s">
        <v>290</v>
      </c>
      <c r="FX1223" s="1" t="s">
        <v>238</v>
      </c>
      <c r="FZ1223" s="1" t="s">
        <v>229</v>
      </c>
      <c r="GA1223" s="1" t="s">
        <v>291</v>
      </c>
      <c r="GB1223" s="2">
        <v>42113.0</v>
      </c>
    </row>
    <row r="1224">
      <c r="A1224" s="1">
        <v>282000.0</v>
      </c>
      <c r="B1224" s="1" t="s">
        <v>185</v>
      </c>
      <c r="C1224" s="1" t="str">
        <f>"08847642"</f>
        <v>08847642</v>
      </c>
      <c r="D1224" s="1" t="s">
        <v>186</v>
      </c>
      <c r="F1224" s="1" t="str">
        <f>"543"</f>
        <v>543</v>
      </c>
      <c r="G1224" s="2">
        <v>42061.0</v>
      </c>
      <c r="H1224" s="1">
        <v>305000.0</v>
      </c>
      <c r="I1224" s="1">
        <v>203.0</v>
      </c>
      <c r="J1224" s="1">
        <v>284900.0</v>
      </c>
      <c r="K1224" s="2">
        <v>42115.0</v>
      </c>
      <c r="L1224" s="1">
        <v>55.0</v>
      </c>
      <c r="M1224" s="2">
        <v>42115.0</v>
      </c>
      <c r="N1224" s="1" t="s">
        <v>187</v>
      </c>
      <c r="O1224" s="2">
        <v>42146.0</v>
      </c>
      <c r="P1224" s="1">
        <v>625.0</v>
      </c>
      <c r="Q1224" s="1">
        <v>30.0</v>
      </c>
      <c r="R1224" s="1">
        <v>4000.0</v>
      </c>
      <c r="S1224" s="1">
        <v>391.0</v>
      </c>
      <c r="T1224" s="1" t="s">
        <v>7608</v>
      </c>
      <c r="U1224" s="1" t="s">
        <v>189</v>
      </c>
      <c r="V1224" s="1" t="s">
        <v>1527</v>
      </c>
      <c r="W1224" s="1">
        <v>60543.0</v>
      </c>
      <c r="Y1224" s="1" t="s">
        <v>13129</v>
      </c>
      <c r="Z1224" s="1">
        <v>2005.0</v>
      </c>
      <c r="AA1224" s="1" t="s">
        <v>200</v>
      </c>
      <c r="AB1224" s="1" t="s">
        <v>193</v>
      </c>
      <c r="AC1224" s="1" t="s">
        <v>13130</v>
      </c>
      <c r="AD1224" s="1" t="s">
        <v>1529</v>
      </c>
      <c r="AE1224" s="1" t="s">
        <v>849</v>
      </c>
      <c r="AF1224" s="1" t="s">
        <v>1529</v>
      </c>
      <c r="AG1224" s="1" t="s">
        <v>5899</v>
      </c>
      <c r="AH1224" s="1" t="s">
        <v>13131</v>
      </c>
      <c r="AI1224" s="1">
        <v>0.25</v>
      </c>
      <c r="AK1224" s="1">
        <v>11.0</v>
      </c>
      <c r="AL1224" s="1">
        <v>4.0</v>
      </c>
      <c r="AM1224" s="1">
        <v>3.0</v>
      </c>
      <c r="AN1224" s="1">
        <v>1.0</v>
      </c>
      <c r="AO1224" s="1" t="s">
        <v>198</v>
      </c>
      <c r="AP1224" s="1">
        <v>1.0</v>
      </c>
      <c r="AQ1224" s="1" t="s">
        <v>198</v>
      </c>
      <c r="AR1224" s="1" t="s">
        <v>192</v>
      </c>
      <c r="AS1224" s="1" t="s">
        <v>199</v>
      </c>
      <c r="AT1224" s="1">
        <v>2.5</v>
      </c>
      <c r="AV1224" s="1" t="s">
        <v>200</v>
      </c>
      <c r="AW1224" s="4">
        <v>8505.36</v>
      </c>
      <c r="AX1224" s="1">
        <v>2013.0</v>
      </c>
      <c r="AY1224" s="1" t="s">
        <v>387</v>
      </c>
      <c r="AZ1224" s="1" t="s">
        <v>200</v>
      </c>
      <c r="BA1224" s="1" t="str">
        <f>"0312101001"</f>
        <v>0312101001</v>
      </c>
      <c r="BB1224" s="1" t="s">
        <v>200</v>
      </c>
      <c r="BC1224" s="1">
        <v>2467.0</v>
      </c>
      <c r="BD1224" s="1">
        <v>282000.0</v>
      </c>
      <c r="BE1224" s="2">
        <v>42061.0</v>
      </c>
      <c r="BF1224" s="2" t="s">
        <v>13132</v>
      </c>
      <c r="BG1224" s="1" t="s">
        <v>4271</v>
      </c>
      <c r="BH1224" s="1">
        <v>295.0</v>
      </c>
      <c r="BI1224" s="1" t="s">
        <v>3647</v>
      </c>
      <c r="BJ1224" s="1" t="s">
        <v>2546</v>
      </c>
      <c r="BK1224" s="1" t="s">
        <v>580</v>
      </c>
      <c r="BL1224" s="1" t="str">
        <f t="shared" ref="BL1224:BM1224" si="814">"0"</f>
        <v>0</v>
      </c>
      <c r="BM1224" s="1" t="str">
        <f t="shared" si="814"/>
        <v>0</v>
      </c>
      <c r="BN1224" s="1">
        <v>34.0</v>
      </c>
      <c r="BO1224" s="1">
        <v>11.0</v>
      </c>
      <c r="BQ1224" s="1">
        <v>308.0</v>
      </c>
      <c r="BR1224" s="1">
        <v>308.0</v>
      </c>
      <c r="BS1224" s="1">
        <v>308.0</v>
      </c>
      <c r="BU1224" s="1" t="s">
        <v>925</v>
      </c>
      <c r="BV1224" s="1" t="s">
        <v>206</v>
      </c>
      <c r="BW1224" s="1" t="s">
        <v>207</v>
      </c>
      <c r="BX1224" s="1" t="s">
        <v>1118</v>
      </c>
      <c r="BY1224" s="1" t="s">
        <v>782</v>
      </c>
      <c r="BZ1224" s="1" t="s">
        <v>209</v>
      </c>
      <c r="CA1224" s="1" t="s">
        <v>210</v>
      </c>
      <c r="CB1224" s="1" t="s">
        <v>431</v>
      </c>
      <c r="CC1224" s="1" t="s">
        <v>392</v>
      </c>
      <c r="CD1224" s="1" t="s">
        <v>206</v>
      </c>
      <c r="CE1224" s="1" t="s">
        <v>207</v>
      </c>
      <c r="CF1224" s="1" t="s">
        <v>1118</v>
      </c>
      <c r="CG1224" s="1" t="s">
        <v>647</v>
      </c>
      <c r="CH1224" s="1" t="s">
        <v>209</v>
      </c>
      <c r="CI1224" s="1" t="s">
        <v>210</v>
      </c>
      <c r="CJ1224" s="1" t="s">
        <v>431</v>
      </c>
      <c r="CK1224" s="1" t="s">
        <v>332</v>
      </c>
      <c r="CL1224" s="1" t="s">
        <v>209</v>
      </c>
      <c r="CM1224" s="1" t="s">
        <v>210</v>
      </c>
      <c r="CN1224" s="1" t="s">
        <v>431</v>
      </c>
      <c r="CO1224" s="1" t="s">
        <v>264</v>
      </c>
      <c r="CP1224" s="1" t="s">
        <v>209</v>
      </c>
      <c r="CQ1224" s="1" t="s">
        <v>210</v>
      </c>
      <c r="CR1224" s="1" t="s">
        <v>431</v>
      </c>
      <c r="CS1224" s="1" t="s">
        <v>266</v>
      </c>
      <c r="CT1224" s="1" t="s">
        <v>206</v>
      </c>
      <c r="CU1224" s="1" t="s">
        <v>207</v>
      </c>
      <c r="CW1224" s="1" t="s">
        <v>1063</v>
      </c>
      <c r="CX1224" s="1" t="s">
        <v>206</v>
      </c>
      <c r="CY1224" s="1" t="s">
        <v>301</v>
      </c>
      <c r="CZ1224" s="1" t="s">
        <v>431</v>
      </c>
      <c r="DA1224" s="1" t="s">
        <v>200</v>
      </c>
      <c r="DC1224" s="1" t="s">
        <v>481</v>
      </c>
      <c r="DD1224" s="1" t="s">
        <v>336</v>
      </c>
      <c r="DE1224" s="1" t="s">
        <v>273</v>
      </c>
      <c r="DF1224" s="1" t="s">
        <v>219</v>
      </c>
      <c r="DG1224" s="1" t="s">
        <v>1002</v>
      </c>
      <c r="DH1224" s="1" t="s">
        <v>220</v>
      </c>
      <c r="DI1224" s="1" t="s">
        <v>275</v>
      </c>
      <c r="DJ1224" s="1" t="s">
        <v>222</v>
      </c>
      <c r="DK1224" s="1" t="s">
        <v>223</v>
      </c>
      <c r="DL1224" s="1" t="s">
        <v>224</v>
      </c>
      <c r="DM1224" s="1" t="s">
        <v>338</v>
      </c>
      <c r="DN1224" s="1" t="s">
        <v>485</v>
      </c>
      <c r="DO1224" s="1" t="s">
        <v>717</v>
      </c>
      <c r="DP1224" s="1" t="s">
        <v>340</v>
      </c>
      <c r="DQ1224" s="1" t="s">
        <v>228</v>
      </c>
      <c r="DR1224" s="1" t="s">
        <v>1487</v>
      </c>
      <c r="DS1224" s="1" t="s">
        <v>368</v>
      </c>
      <c r="DU1224" s="1" t="s">
        <v>3861</v>
      </c>
      <c r="DV1224" s="1" t="s">
        <v>13133</v>
      </c>
      <c r="DW1224" s="1" t="s">
        <v>444</v>
      </c>
      <c r="DX1224" s="1" t="s">
        <v>234</v>
      </c>
      <c r="DY1224" s="1" t="s">
        <v>13134</v>
      </c>
      <c r="DZ1224" s="1" t="s">
        <v>13135</v>
      </c>
      <c r="EA1224" s="1" t="s">
        <v>344</v>
      </c>
      <c r="EB1224" s="1" t="s">
        <v>345</v>
      </c>
      <c r="EC1224" s="1" t="s">
        <v>237</v>
      </c>
      <c r="ED1224" s="1" t="s">
        <v>407</v>
      </c>
      <c r="EE1224" s="1" t="s">
        <v>493</v>
      </c>
      <c r="EG1224" s="1" t="s">
        <v>556</v>
      </c>
      <c r="EH1224" s="1" t="s">
        <v>450</v>
      </c>
      <c r="EI1224" s="1" t="s">
        <v>2971</v>
      </c>
      <c r="EJ1224" s="1" t="s">
        <v>2023</v>
      </c>
      <c r="EL1224" s="1" t="s">
        <v>623</v>
      </c>
      <c r="EM1224" s="1" t="s">
        <v>206</v>
      </c>
      <c r="EN1224" s="1" t="s">
        <v>207</v>
      </c>
      <c r="EP1224" s="1" t="s">
        <v>13136</v>
      </c>
      <c r="EQ1224" s="1" t="s">
        <v>42</v>
      </c>
      <c r="ER1224" s="1" t="s">
        <v>210</v>
      </c>
      <c r="ET1224" s="1" t="s">
        <v>1352</v>
      </c>
      <c r="EU1224" s="1" t="s">
        <v>42</v>
      </c>
      <c r="EV1224" s="1" t="s">
        <v>207</v>
      </c>
      <c r="EX1224" s="1" t="s">
        <v>269</v>
      </c>
      <c r="EY1224" s="1" t="s">
        <v>42</v>
      </c>
      <c r="EZ1224" s="1" t="s">
        <v>210</v>
      </c>
      <c r="FC1224" s="1" t="s">
        <v>238</v>
      </c>
      <c r="FF1224" s="1" t="s">
        <v>239</v>
      </c>
      <c r="FG1224" s="1" t="s">
        <v>200</v>
      </c>
      <c r="FH1224" s="1" t="s">
        <v>192</v>
      </c>
      <c r="FJ1224" s="1" t="s">
        <v>11884</v>
      </c>
      <c r="FK1224" s="1" t="s">
        <v>229</v>
      </c>
      <c r="FL1224" s="1" t="s">
        <v>1289</v>
      </c>
      <c r="FM1224" s="1">
        <v>306.0</v>
      </c>
      <c r="FN1224" s="1" t="s">
        <v>6762</v>
      </c>
      <c r="FO1224" s="1" t="s">
        <v>13137</v>
      </c>
      <c r="FP1224" s="1">
        <v>310444.0</v>
      </c>
      <c r="FQ1224" s="1" t="s">
        <v>13138</v>
      </c>
      <c r="FS1224" s="1" t="s">
        <v>13139</v>
      </c>
      <c r="FU1224" s="1" t="s">
        <v>13140</v>
      </c>
      <c r="FV1224" s="1" t="s">
        <v>200</v>
      </c>
      <c r="FW1224" s="1" t="s">
        <v>290</v>
      </c>
      <c r="FZ1224" s="1" t="s">
        <v>229</v>
      </c>
      <c r="GA1224" s="1" t="s">
        <v>291</v>
      </c>
      <c r="GB1224" s="2">
        <v>42146.0</v>
      </c>
      <c r="GC1224" s="1" t="s">
        <v>13141</v>
      </c>
    </row>
    <row r="1225">
      <c r="A1225" s="1">
        <v>1325000.0</v>
      </c>
      <c r="B1225" s="1" t="s">
        <v>185</v>
      </c>
      <c r="C1225" s="1" t="str">
        <f>"08851050"</f>
        <v>08851050</v>
      </c>
      <c r="D1225" s="1" t="s">
        <v>186</v>
      </c>
      <c r="F1225" s="1" t="str">
        <f>"8024"</f>
        <v>8024</v>
      </c>
      <c r="G1225" s="2">
        <v>42066.0</v>
      </c>
      <c r="H1225" s="1">
        <v>1450000.0</v>
      </c>
      <c r="I1225" s="1">
        <v>37.0</v>
      </c>
      <c r="J1225" s="1">
        <v>1450000.0</v>
      </c>
      <c r="K1225" s="2">
        <v>42102.0</v>
      </c>
      <c r="L1225" s="1">
        <v>37.0</v>
      </c>
      <c r="M1225" s="2">
        <v>42102.0</v>
      </c>
      <c r="N1225" s="1" t="s">
        <v>187</v>
      </c>
      <c r="O1225" s="2">
        <v>42111.0</v>
      </c>
      <c r="P1225" s="1">
        <v>112102.0</v>
      </c>
      <c r="Q1225" s="1">
        <v>18705.0</v>
      </c>
      <c r="S1225" s="1">
        <v>1233.0</v>
      </c>
      <c r="T1225" s="1" t="s">
        <v>13142</v>
      </c>
      <c r="U1225" s="1" t="s">
        <v>420</v>
      </c>
      <c r="V1225" s="1" t="s">
        <v>190</v>
      </c>
      <c r="W1225" s="1">
        <v>60622.0</v>
      </c>
      <c r="Y1225" s="1" t="s">
        <v>13143</v>
      </c>
      <c r="Z1225" s="1">
        <v>2008.0</v>
      </c>
      <c r="AA1225" s="1" t="s">
        <v>200</v>
      </c>
      <c r="AB1225" s="1" t="s">
        <v>193</v>
      </c>
      <c r="AC1225" s="1" t="s">
        <v>4782</v>
      </c>
      <c r="AD1225" s="1" t="s">
        <v>194</v>
      </c>
      <c r="AE1225" s="1" t="s">
        <v>195</v>
      </c>
      <c r="AF1225" s="1" t="s">
        <v>2645</v>
      </c>
      <c r="AH1225" s="1" t="s">
        <v>13144</v>
      </c>
      <c r="AK1225" s="1">
        <v>10.0</v>
      </c>
      <c r="AL1225" s="1">
        <v>4.0</v>
      </c>
      <c r="AM1225" s="1">
        <v>3.0</v>
      </c>
      <c r="AN1225" s="1">
        <v>1.0</v>
      </c>
      <c r="AO1225" s="1" t="s">
        <v>198</v>
      </c>
      <c r="AP1225" s="1">
        <v>2.0</v>
      </c>
      <c r="AQ1225" s="1" t="s">
        <v>472</v>
      </c>
      <c r="AR1225" s="1" t="s">
        <v>192</v>
      </c>
      <c r="AS1225" s="1" t="s">
        <v>199</v>
      </c>
      <c r="AT1225" s="1">
        <v>2.0</v>
      </c>
      <c r="AV1225" s="1" t="s">
        <v>200</v>
      </c>
      <c r="AW1225" s="1">
        <v>11458.02</v>
      </c>
      <c r="AX1225" s="1">
        <v>2013.0</v>
      </c>
      <c r="AY1225" s="1" t="s">
        <v>387</v>
      </c>
      <c r="AZ1225" s="1" t="s">
        <v>200</v>
      </c>
      <c r="BA1225" s="1" t="str">
        <f>"17062280190000"</f>
        <v>17062280190000</v>
      </c>
      <c r="BC1225" s="1">
        <v>3800.0</v>
      </c>
      <c r="BD1225" s="1">
        <v>1325000.0</v>
      </c>
      <c r="BE1225" s="2">
        <v>42066.0</v>
      </c>
      <c r="BF1225" s="2" t="s">
        <v>13145</v>
      </c>
      <c r="BG1225" s="1" t="s">
        <v>13146</v>
      </c>
      <c r="BH1225" s="1">
        <v>0.0</v>
      </c>
      <c r="BK1225" s="1" t="s">
        <v>204</v>
      </c>
      <c r="BL1225" s="1" t="str">
        <f>"1233"</f>
        <v>1233</v>
      </c>
      <c r="BM1225" s="1" t="str">
        <f t="shared" ref="BM1225:BM1226" si="815">"0"</f>
        <v>0</v>
      </c>
      <c r="BN1225" s="1">
        <v>1850.0</v>
      </c>
      <c r="BO1225" s="1">
        <v>0.0</v>
      </c>
      <c r="BQ1225" s="1">
        <v>299.0</v>
      </c>
      <c r="BR1225" s="1">
        <v>299.0</v>
      </c>
      <c r="BS1225" s="1">
        <v>299.0</v>
      </c>
      <c r="BU1225" s="1" t="s">
        <v>616</v>
      </c>
      <c r="BV1225" s="1" t="s">
        <v>206</v>
      </c>
      <c r="BW1225" s="1" t="s">
        <v>207</v>
      </c>
      <c r="BY1225" s="1" t="s">
        <v>616</v>
      </c>
      <c r="BZ1225" s="1" t="s">
        <v>209</v>
      </c>
      <c r="CA1225" s="1" t="s">
        <v>207</v>
      </c>
      <c r="CC1225" s="1" t="s">
        <v>433</v>
      </c>
      <c r="CD1225" s="1" t="s">
        <v>206</v>
      </c>
      <c r="CE1225" s="1" t="s">
        <v>207</v>
      </c>
      <c r="CG1225" s="1" t="s">
        <v>495</v>
      </c>
      <c r="CH1225" s="1" t="s">
        <v>209</v>
      </c>
      <c r="CI1225" s="1" t="s">
        <v>207</v>
      </c>
      <c r="CK1225" s="1" t="s">
        <v>647</v>
      </c>
      <c r="CL1225" s="1" t="s">
        <v>209</v>
      </c>
      <c r="CM1225" s="1" t="s">
        <v>207</v>
      </c>
      <c r="CO1225" s="1" t="s">
        <v>1158</v>
      </c>
      <c r="CP1225" s="1" t="s">
        <v>267</v>
      </c>
      <c r="CQ1225" s="1" t="s">
        <v>268</v>
      </c>
      <c r="CS1225" s="1" t="s">
        <v>784</v>
      </c>
      <c r="CT1225" s="1" t="s">
        <v>206</v>
      </c>
      <c r="CU1225" s="1" t="s">
        <v>268</v>
      </c>
      <c r="CW1225" s="1" t="s">
        <v>11225</v>
      </c>
      <c r="CX1225" s="1" t="s">
        <v>267</v>
      </c>
      <c r="CY1225" s="1" t="s">
        <v>207</v>
      </c>
      <c r="DA1225" s="1" t="s">
        <v>200</v>
      </c>
      <c r="DC1225" s="1" t="s">
        <v>481</v>
      </c>
      <c r="DD1225" s="1" t="s">
        <v>436</v>
      </c>
      <c r="DE1225" s="1" t="s">
        <v>218</v>
      </c>
      <c r="DF1225" s="1" t="s">
        <v>745</v>
      </c>
      <c r="DH1225" s="1" t="s">
        <v>220</v>
      </c>
      <c r="DJ1225" s="1" t="s">
        <v>222</v>
      </c>
      <c r="DL1225" s="1" t="s">
        <v>224</v>
      </c>
      <c r="DM1225" s="1" t="s">
        <v>229</v>
      </c>
      <c r="DN1225" s="1" t="s">
        <v>2873</v>
      </c>
      <c r="DP1225" s="1" t="s">
        <v>340</v>
      </c>
      <c r="DQ1225" s="1" t="s">
        <v>718</v>
      </c>
      <c r="DR1225" s="1" t="s">
        <v>229</v>
      </c>
      <c r="DV1225" s="1" t="s">
        <v>13147</v>
      </c>
      <c r="DW1225" s="1" t="s">
        <v>588</v>
      </c>
      <c r="DX1225" s="1" t="s">
        <v>234</v>
      </c>
      <c r="DY1225" s="1" t="s">
        <v>2972</v>
      </c>
      <c r="DZ1225" s="1" t="s">
        <v>5293</v>
      </c>
      <c r="EA1225" s="1" t="s">
        <v>1027</v>
      </c>
      <c r="EB1225" s="1" t="s">
        <v>13148</v>
      </c>
      <c r="EC1225" s="1" t="s">
        <v>4792</v>
      </c>
      <c r="ED1225" s="1" t="s">
        <v>555</v>
      </c>
      <c r="EG1225" s="1" t="s">
        <v>451</v>
      </c>
      <c r="EH1225" s="1" t="s">
        <v>310</v>
      </c>
      <c r="EI1225" s="1" t="s">
        <v>310</v>
      </c>
      <c r="EJ1225" s="1" t="s">
        <v>556</v>
      </c>
      <c r="EL1225" s="1" t="s">
        <v>3538</v>
      </c>
      <c r="EM1225" s="1" t="s">
        <v>391</v>
      </c>
      <c r="EN1225" s="1" t="s">
        <v>207</v>
      </c>
      <c r="EP1225" s="1" t="s">
        <v>3123</v>
      </c>
      <c r="EQ1225" s="1" t="s">
        <v>391</v>
      </c>
      <c r="ET1225" s="1" t="s">
        <v>1426</v>
      </c>
      <c r="EU1225" s="1" t="s">
        <v>391</v>
      </c>
      <c r="EX1225" s="1" t="s">
        <v>2461</v>
      </c>
      <c r="EY1225" s="1" t="s">
        <v>206</v>
      </c>
      <c r="EZ1225" s="1" t="s">
        <v>207</v>
      </c>
      <c r="FC1225" s="1" t="s">
        <v>238</v>
      </c>
      <c r="FF1225" s="1" t="s">
        <v>239</v>
      </c>
      <c r="FG1225" s="1" t="s">
        <v>192</v>
      </c>
      <c r="FH1225" s="1" t="s">
        <v>192</v>
      </c>
      <c r="FJ1225" s="1" t="s">
        <v>733</v>
      </c>
      <c r="FK1225" s="1" t="s">
        <v>229</v>
      </c>
      <c r="FL1225" s="1" t="s">
        <v>974</v>
      </c>
      <c r="FM1225" s="1">
        <v>10900.0</v>
      </c>
      <c r="FN1225" s="1" t="s">
        <v>1435</v>
      </c>
      <c r="FO1225" s="1" t="s">
        <v>1436</v>
      </c>
      <c r="FP1225" s="1">
        <v>115606.0</v>
      </c>
      <c r="FQ1225" s="1" t="s">
        <v>1437</v>
      </c>
      <c r="FU1225" s="1" t="s">
        <v>1541</v>
      </c>
      <c r="FV1225" s="1" t="s">
        <v>200</v>
      </c>
      <c r="FW1225" s="1" t="s">
        <v>1411</v>
      </c>
      <c r="FX1225" s="1" t="s">
        <v>238</v>
      </c>
      <c r="FZ1225" s="1" t="s">
        <v>229</v>
      </c>
      <c r="GA1225" s="1" t="s">
        <v>291</v>
      </c>
      <c r="GB1225" s="2">
        <v>42115.0</v>
      </c>
      <c r="GC1225" s="1" t="s">
        <v>13149</v>
      </c>
    </row>
    <row r="1226">
      <c r="A1226" s="1">
        <v>453000.0</v>
      </c>
      <c r="B1226" s="1" t="s">
        <v>185</v>
      </c>
      <c r="C1226" s="1" t="str">
        <f>"08854302"</f>
        <v>08854302</v>
      </c>
      <c r="D1226" s="1" t="s">
        <v>186</v>
      </c>
      <c r="F1226" s="1" t="str">
        <f>"8022"</f>
        <v>8022</v>
      </c>
      <c r="G1226" s="2">
        <v>42069.0</v>
      </c>
      <c r="H1226" s="1">
        <v>399000.0</v>
      </c>
      <c r="I1226" s="1">
        <v>4.0</v>
      </c>
      <c r="J1226" s="1">
        <v>399000.0</v>
      </c>
      <c r="K1226" s="2">
        <v>42072.0</v>
      </c>
      <c r="L1226" s="1">
        <v>4.0</v>
      </c>
      <c r="M1226" s="2">
        <v>42072.0</v>
      </c>
      <c r="N1226" s="1" t="s">
        <v>187</v>
      </c>
      <c r="O1226" s="2">
        <v>42117.0</v>
      </c>
      <c r="P1226" s="1">
        <v>149059.0</v>
      </c>
      <c r="Q1226" s="1">
        <v>84404.0</v>
      </c>
      <c r="S1226" s="1">
        <v>2737.0</v>
      </c>
      <c r="T1226" s="1" t="s">
        <v>13150</v>
      </c>
      <c r="U1226" s="1" t="s">
        <v>420</v>
      </c>
      <c r="V1226" s="1" t="s">
        <v>190</v>
      </c>
      <c r="W1226" s="1">
        <v>60647.0</v>
      </c>
      <c r="X1226" s="1">
        <v>4030.0</v>
      </c>
      <c r="Y1226" s="1" t="s">
        <v>13151</v>
      </c>
      <c r="Z1226" s="1" t="s">
        <v>296</v>
      </c>
      <c r="AA1226" s="1" t="s">
        <v>192</v>
      </c>
      <c r="AB1226" s="1" t="s">
        <v>193</v>
      </c>
      <c r="AD1226" s="1" t="s">
        <v>194</v>
      </c>
      <c r="AE1226" s="1" t="s">
        <v>195</v>
      </c>
      <c r="AF1226" s="1" t="s">
        <v>827</v>
      </c>
      <c r="AH1226" s="1" t="s">
        <v>13152</v>
      </c>
      <c r="AK1226" s="1">
        <v>9.0</v>
      </c>
      <c r="AL1226" s="1">
        <v>4.0</v>
      </c>
      <c r="AM1226" s="1">
        <v>2.0</v>
      </c>
      <c r="AN1226" s="1">
        <v>1.0</v>
      </c>
      <c r="AO1226" s="1" t="s">
        <v>229</v>
      </c>
      <c r="AQ1226" s="1" t="s">
        <v>198</v>
      </c>
      <c r="AR1226" s="1" t="s">
        <v>192</v>
      </c>
      <c r="AS1226" s="1" t="s">
        <v>199</v>
      </c>
      <c r="AT1226" s="1">
        <v>2.0</v>
      </c>
      <c r="AV1226" s="1" t="s">
        <v>200</v>
      </c>
      <c r="AW1226" s="1">
        <v>4205.0</v>
      </c>
      <c r="AX1226" s="1">
        <v>2013.0</v>
      </c>
      <c r="AY1226" s="1" t="s">
        <v>387</v>
      </c>
      <c r="AZ1226" s="1" t="s">
        <v>200</v>
      </c>
      <c r="BA1226" s="1" t="str">
        <f>"13362180210000"</f>
        <v>13362180210000</v>
      </c>
      <c r="BC1226" s="1">
        <v>2000.0</v>
      </c>
      <c r="BD1226" s="1">
        <v>453000.0</v>
      </c>
      <c r="BE1226" s="2">
        <v>42069.0</v>
      </c>
      <c r="BF1226" s="2" t="s">
        <v>13153</v>
      </c>
      <c r="BH1226" s="1">
        <v>0.0</v>
      </c>
      <c r="BK1226" s="1" t="s">
        <v>204</v>
      </c>
      <c r="BL1226" s="1" t="str">
        <f>"2260"</f>
        <v>2260</v>
      </c>
      <c r="BM1226" s="1" t="str">
        <f t="shared" si="815"/>
        <v>0</v>
      </c>
      <c r="BN1226" s="1">
        <v>2737.0</v>
      </c>
      <c r="BO1226" s="1">
        <v>0.0</v>
      </c>
      <c r="BQ1226" s="1">
        <v>299.0</v>
      </c>
      <c r="BR1226" s="1">
        <v>299.0</v>
      </c>
      <c r="BS1226" s="1">
        <v>299.0</v>
      </c>
      <c r="BU1226" s="1" t="s">
        <v>211</v>
      </c>
      <c r="BV1226" s="1" t="s">
        <v>209</v>
      </c>
      <c r="BW1226" s="1" t="s">
        <v>207</v>
      </c>
      <c r="BY1226" s="1" t="s">
        <v>813</v>
      </c>
      <c r="BZ1226" s="1" t="s">
        <v>209</v>
      </c>
      <c r="CA1226" s="1" t="s">
        <v>207</v>
      </c>
      <c r="CC1226" s="1" t="s">
        <v>211</v>
      </c>
      <c r="CD1226" s="1" t="s">
        <v>206</v>
      </c>
      <c r="CE1226" s="1" t="s">
        <v>207</v>
      </c>
      <c r="CG1226" s="1" t="s">
        <v>3672</v>
      </c>
      <c r="CH1226" s="1" t="s">
        <v>209</v>
      </c>
      <c r="CI1226" s="1" t="s">
        <v>207</v>
      </c>
      <c r="CK1226" s="1" t="s">
        <v>3672</v>
      </c>
      <c r="CL1226" s="1" t="s">
        <v>209</v>
      </c>
      <c r="CM1226" s="1" t="s">
        <v>207</v>
      </c>
      <c r="CO1226" s="1" t="s">
        <v>813</v>
      </c>
      <c r="CP1226" s="1" t="s">
        <v>209</v>
      </c>
      <c r="CQ1226" s="1" t="s">
        <v>207</v>
      </c>
      <c r="CS1226" s="1" t="s">
        <v>454</v>
      </c>
      <c r="CT1226" s="1" t="s">
        <v>206</v>
      </c>
      <c r="CU1226" s="1" t="s">
        <v>207</v>
      </c>
      <c r="CW1226" s="1" t="s">
        <v>13154</v>
      </c>
      <c r="CX1226" s="1" t="s">
        <v>42</v>
      </c>
      <c r="CY1226" s="1" t="s">
        <v>617</v>
      </c>
      <c r="DA1226" s="1" t="s">
        <v>200</v>
      </c>
      <c r="DC1226" s="1" t="s">
        <v>545</v>
      </c>
      <c r="DD1226" s="1" t="s">
        <v>518</v>
      </c>
      <c r="DE1226" s="1" t="s">
        <v>273</v>
      </c>
      <c r="DF1226" s="1" t="s">
        <v>4891</v>
      </c>
      <c r="DH1226" s="1" t="s">
        <v>307</v>
      </c>
      <c r="DI1226" s="1" t="s">
        <v>1141</v>
      </c>
      <c r="DJ1226" s="1" t="s">
        <v>222</v>
      </c>
      <c r="DL1226" s="1" t="s">
        <v>1161</v>
      </c>
      <c r="DM1226" s="1" t="s">
        <v>229</v>
      </c>
      <c r="DP1226" s="1" t="s">
        <v>340</v>
      </c>
      <c r="DQ1226" s="1" t="s">
        <v>228</v>
      </c>
      <c r="DR1226" s="1" t="s">
        <v>229</v>
      </c>
      <c r="DS1226" s="1" t="s">
        <v>368</v>
      </c>
      <c r="DV1226" s="1" t="s">
        <v>598</v>
      </c>
      <c r="DW1226" s="1" t="s">
        <v>233</v>
      </c>
      <c r="DX1226" s="1" t="s">
        <v>234</v>
      </c>
      <c r="DY1226" s="1" t="s">
        <v>1122</v>
      </c>
      <c r="DZ1226" s="1" t="s">
        <v>13155</v>
      </c>
      <c r="EC1226" s="1" t="s">
        <v>645</v>
      </c>
      <c r="EE1226" s="1" t="s">
        <v>493</v>
      </c>
      <c r="EG1226" s="1" t="s">
        <v>598</v>
      </c>
      <c r="EL1226" s="1" t="s">
        <v>7804</v>
      </c>
      <c r="EM1226" s="1" t="s">
        <v>206</v>
      </c>
      <c r="EN1226" s="1" t="s">
        <v>207</v>
      </c>
      <c r="EQ1226" s="1" t="s">
        <v>238</v>
      </c>
      <c r="EU1226" s="1" t="s">
        <v>238</v>
      </c>
      <c r="EY1226" s="1" t="s">
        <v>238</v>
      </c>
      <c r="FC1226" s="1" t="s">
        <v>238</v>
      </c>
      <c r="FF1226" s="1" t="s">
        <v>239</v>
      </c>
      <c r="FG1226" s="1" t="s">
        <v>192</v>
      </c>
      <c r="FH1226" s="1" t="s">
        <v>192</v>
      </c>
      <c r="FJ1226" s="1" t="s">
        <v>561</v>
      </c>
      <c r="FK1226" s="1" t="s">
        <v>229</v>
      </c>
      <c r="FL1226" s="1" t="s">
        <v>7927</v>
      </c>
      <c r="FM1226" s="1">
        <v>84404.0</v>
      </c>
      <c r="FN1226" s="1" t="s">
        <v>7928</v>
      </c>
      <c r="FO1226" s="1" t="s">
        <v>13156</v>
      </c>
      <c r="FP1226" s="1">
        <v>103604.0</v>
      </c>
      <c r="FQ1226" s="1" t="s">
        <v>13157</v>
      </c>
      <c r="FU1226" s="1" t="s">
        <v>13158</v>
      </c>
      <c r="FV1226" s="1" t="s">
        <v>200</v>
      </c>
      <c r="FW1226" s="1" t="s">
        <v>290</v>
      </c>
      <c r="FX1226" s="1" t="s">
        <v>246</v>
      </c>
      <c r="FZ1226" s="1" t="s">
        <v>229</v>
      </c>
      <c r="GA1226" s="1" t="s">
        <v>291</v>
      </c>
      <c r="GB1226" s="2">
        <v>42118.0</v>
      </c>
      <c r="GC1226" s="1" t="s">
        <v>13159</v>
      </c>
    </row>
    <row r="1227">
      <c r="A1227" s="1">
        <v>295000.0</v>
      </c>
      <c r="B1227" s="1" t="s">
        <v>185</v>
      </c>
      <c r="C1227" s="1" t="str">
        <f>"08855302"</f>
        <v>08855302</v>
      </c>
      <c r="D1227" s="1" t="s">
        <v>186</v>
      </c>
      <c r="F1227" s="1" t="str">
        <f>"510"</f>
        <v>510</v>
      </c>
      <c r="G1227" s="2">
        <v>42070.0</v>
      </c>
      <c r="H1227" s="1">
        <v>299900.0</v>
      </c>
      <c r="I1227" s="1">
        <v>24.0</v>
      </c>
      <c r="J1227" s="1">
        <v>299900.0</v>
      </c>
      <c r="K1227" s="2">
        <v>42093.0</v>
      </c>
      <c r="L1227" s="1">
        <v>24.0</v>
      </c>
      <c r="M1227" s="2">
        <v>42093.0</v>
      </c>
      <c r="N1227" s="1" t="s">
        <v>634</v>
      </c>
      <c r="O1227" s="2">
        <v>42132.0</v>
      </c>
      <c r="P1227" s="1">
        <v>242868.0</v>
      </c>
      <c r="Q1227" s="1">
        <v>25965.0</v>
      </c>
      <c r="S1227" s="1">
        <v>1151.0</v>
      </c>
      <c r="T1227" s="1" t="s">
        <v>13160</v>
      </c>
      <c r="U1227" s="1" t="s">
        <v>4857</v>
      </c>
      <c r="V1227" s="1" t="s">
        <v>2700</v>
      </c>
      <c r="W1227" s="1">
        <v>60510.0</v>
      </c>
      <c r="Y1227" s="1" t="s">
        <v>13161</v>
      </c>
      <c r="Z1227" s="1">
        <v>1989.0</v>
      </c>
      <c r="AA1227" s="1" t="s">
        <v>200</v>
      </c>
      <c r="AB1227" s="1" t="s">
        <v>193</v>
      </c>
      <c r="AC1227" s="1" t="s">
        <v>13162</v>
      </c>
      <c r="AD1227" s="1" t="s">
        <v>2702</v>
      </c>
      <c r="AE1227" s="1" t="s">
        <v>325</v>
      </c>
      <c r="AF1227" s="1" t="s">
        <v>424</v>
      </c>
      <c r="AH1227" s="1" t="s">
        <v>13163</v>
      </c>
      <c r="AI1227" s="1">
        <v>0.28</v>
      </c>
      <c r="AK1227" s="1">
        <v>9.0</v>
      </c>
      <c r="AL1227" s="1">
        <v>4.0</v>
      </c>
      <c r="AM1227" s="1">
        <v>3.0</v>
      </c>
      <c r="AN1227" s="1">
        <v>1.0</v>
      </c>
      <c r="AO1227" s="1" t="s">
        <v>198</v>
      </c>
      <c r="AP1227" s="1">
        <v>1.0</v>
      </c>
      <c r="AQ1227" s="1" t="s">
        <v>198</v>
      </c>
      <c r="AR1227" s="1" t="s">
        <v>192</v>
      </c>
      <c r="AS1227" s="1" t="s">
        <v>199</v>
      </c>
      <c r="AT1227" s="1">
        <v>2.0</v>
      </c>
      <c r="AV1227" s="1" t="s">
        <v>200</v>
      </c>
      <c r="AW1227" s="1">
        <v>7836.0</v>
      </c>
      <c r="AX1227" s="1">
        <v>2013.0</v>
      </c>
      <c r="AY1227" s="1" t="s">
        <v>387</v>
      </c>
      <c r="AZ1227" s="1" t="s">
        <v>200</v>
      </c>
      <c r="BA1227" s="1" t="str">
        <f>"1216252017"</f>
        <v>1216252017</v>
      </c>
      <c r="BB1227" s="1" t="s">
        <v>200</v>
      </c>
      <c r="BC1227" s="1">
        <v>2297.0</v>
      </c>
      <c r="BD1227" s="1">
        <v>295000.0</v>
      </c>
      <c r="BE1227" s="2">
        <v>42070.0</v>
      </c>
      <c r="BF1227" s="2" t="s">
        <v>13164</v>
      </c>
      <c r="BG1227" s="1" t="s">
        <v>13165</v>
      </c>
      <c r="BH1227" s="1">
        <v>0.0</v>
      </c>
      <c r="BI1227" s="1" t="s">
        <v>3090</v>
      </c>
      <c r="BJ1227" s="1" t="s">
        <v>3091</v>
      </c>
      <c r="BK1227" s="1" t="s">
        <v>204</v>
      </c>
      <c r="BL1227" s="1" t="str">
        <f t="shared" ref="BL1227:BM1227" si="816">""</f>
        <v/>
      </c>
      <c r="BM1227" s="1" t="str">
        <f t="shared" si="816"/>
        <v/>
      </c>
      <c r="BQ1227" s="1">
        <v>101.0</v>
      </c>
      <c r="BR1227" s="1">
        <v>101.0</v>
      </c>
      <c r="BS1227" s="1">
        <v>101.0</v>
      </c>
      <c r="BU1227" s="1" t="s">
        <v>361</v>
      </c>
      <c r="BV1227" s="1" t="s">
        <v>206</v>
      </c>
      <c r="BW1227" s="1" t="s">
        <v>210</v>
      </c>
      <c r="BY1227" s="1" t="s">
        <v>432</v>
      </c>
      <c r="BZ1227" s="1" t="s">
        <v>209</v>
      </c>
      <c r="CA1227" s="1" t="s">
        <v>210</v>
      </c>
      <c r="CC1227" s="1" t="s">
        <v>215</v>
      </c>
      <c r="CD1227" s="1" t="s">
        <v>206</v>
      </c>
      <c r="CE1227" s="1" t="s">
        <v>207</v>
      </c>
      <c r="CG1227" s="1" t="s">
        <v>393</v>
      </c>
      <c r="CH1227" s="1" t="s">
        <v>209</v>
      </c>
      <c r="CI1227" s="1" t="s">
        <v>210</v>
      </c>
      <c r="CK1227" s="1" t="s">
        <v>392</v>
      </c>
      <c r="CL1227" s="1" t="s">
        <v>209</v>
      </c>
      <c r="CM1227" s="1" t="s">
        <v>210</v>
      </c>
      <c r="CO1227" s="1" t="s">
        <v>497</v>
      </c>
      <c r="CP1227" s="1" t="s">
        <v>209</v>
      </c>
      <c r="CQ1227" s="1" t="s">
        <v>210</v>
      </c>
      <c r="CS1227" s="1" t="s">
        <v>784</v>
      </c>
      <c r="CT1227" s="1" t="s">
        <v>206</v>
      </c>
      <c r="CU1227" s="1" t="s">
        <v>301</v>
      </c>
      <c r="CW1227" s="1" t="s">
        <v>2800</v>
      </c>
      <c r="CX1227" s="1" t="s">
        <v>206</v>
      </c>
      <c r="CY1227" s="1" t="s">
        <v>210</v>
      </c>
      <c r="DA1227" s="1" t="s">
        <v>200</v>
      </c>
      <c r="DC1227" s="1" t="s">
        <v>305</v>
      </c>
      <c r="DD1227" s="1" t="s">
        <v>957</v>
      </c>
      <c r="DE1227" s="1" t="s">
        <v>273</v>
      </c>
      <c r="DF1227" s="1" t="s">
        <v>219</v>
      </c>
      <c r="DG1227" s="1" t="s">
        <v>482</v>
      </c>
      <c r="DH1227" s="1" t="s">
        <v>220</v>
      </c>
      <c r="DI1227" s="1" t="s">
        <v>221</v>
      </c>
      <c r="DJ1227" s="1" t="s">
        <v>222</v>
      </c>
      <c r="DK1227" s="1" t="s">
        <v>223</v>
      </c>
      <c r="DL1227" s="1" t="s">
        <v>224</v>
      </c>
      <c r="DM1227" s="1" t="s">
        <v>338</v>
      </c>
      <c r="DN1227" s="1" t="s">
        <v>226</v>
      </c>
      <c r="DO1227" s="1" t="s">
        <v>717</v>
      </c>
      <c r="DP1227" s="1" t="s">
        <v>340</v>
      </c>
      <c r="DQ1227" s="1" t="s">
        <v>441</v>
      </c>
      <c r="DR1227" s="1" t="s">
        <v>229</v>
      </c>
      <c r="DS1227" s="1" t="s">
        <v>230</v>
      </c>
      <c r="DU1227" s="1" t="s">
        <v>8424</v>
      </c>
      <c r="DV1227" s="1" t="s">
        <v>450</v>
      </c>
      <c r="DW1227" s="1" t="s">
        <v>13166</v>
      </c>
      <c r="DX1227" s="1" t="s">
        <v>234</v>
      </c>
      <c r="DY1227" s="1" t="s">
        <v>13167</v>
      </c>
      <c r="DZ1227" s="1" t="s">
        <v>6413</v>
      </c>
      <c r="EA1227" s="1" t="s">
        <v>447</v>
      </c>
      <c r="EB1227" s="1" t="s">
        <v>492</v>
      </c>
      <c r="EC1227" s="1" t="s">
        <v>237</v>
      </c>
      <c r="ED1227" s="1" t="s">
        <v>407</v>
      </c>
      <c r="EG1227" s="1" t="s">
        <v>450</v>
      </c>
      <c r="EL1227" s="1" t="s">
        <v>813</v>
      </c>
      <c r="EM1227" s="1" t="s">
        <v>42</v>
      </c>
      <c r="EN1227" s="1" t="s">
        <v>210</v>
      </c>
      <c r="EQ1227" s="1" t="s">
        <v>238</v>
      </c>
      <c r="EU1227" s="1" t="s">
        <v>238</v>
      </c>
      <c r="EY1227" s="1" t="s">
        <v>238</v>
      </c>
      <c r="FC1227" s="1" t="s">
        <v>238</v>
      </c>
      <c r="FF1227" s="1" t="s">
        <v>239</v>
      </c>
      <c r="FG1227" s="1" t="s">
        <v>192</v>
      </c>
      <c r="FH1227" s="1" t="s">
        <v>192</v>
      </c>
      <c r="FJ1227" s="1" t="s">
        <v>498</v>
      </c>
      <c r="FK1227" s="1" t="s">
        <v>229</v>
      </c>
      <c r="FL1227" s="1" t="s">
        <v>893</v>
      </c>
      <c r="FM1227" s="1">
        <v>604.0</v>
      </c>
      <c r="FN1227" s="1" t="s">
        <v>894</v>
      </c>
      <c r="FO1227" s="1" t="s">
        <v>895</v>
      </c>
      <c r="FP1227" s="1">
        <v>381.0</v>
      </c>
      <c r="FQ1227" s="1" t="s">
        <v>896</v>
      </c>
      <c r="FU1227" s="1" t="s">
        <v>5997</v>
      </c>
      <c r="FV1227" s="1" t="s">
        <v>200</v>
      </c>
      <c r="FW1227" s="1" t="s">
        <v>290</v>
      </c>
      <c r="FZ1227" s="1" t="s">
        <v>229</v>
      </c>
      <c r="GA1227" s="1" t="s">
        <v>291</v>
      </c>
      <c r="GB1227" s="2">
        <v>42132.0</v>
      </c>
      <c r="GC1227" s="1" t="s">
        <v>13168</v>
      </c>
    </row>
    <row r="1228">
      <c r="A1228" s="1">
        <v>1100000.0</v>
      </c>
      <c r="B1228" s="1" t="s">
        <v>185</v>
      </c>
      <c r="C1228" s="1" t="str">
        <f>"08850211"</f>
        <v>08850211</v>
      </c>
      <c r="D1228" s="1" t="s">
        <v>186</v>
      </c>
      <c r="F1228" s="1" t="str">
        <f>"8004"</f>
        <v>8004</v>
      </c>
      <c r="G1228" s="2">
        <v>42065.0</v>
      </c>
      <c r="H1228" s="1">
        <v>1100000.0</v>
      </c>
      <c r="I1228" s="1">
        <v>5.0</v>
      </c>
      <c r="J1228" s="1">
        <v>1100000.0</v>
      </c>
      <c r="K1228" s="2">
        <v>42069.0</v>
      </c>
      <c r="L1228" s="1">
        <v>5.0</v>
      </c>
      <c r="M1228" s="2">
        <v>42069.0</v>
      </c>
      <c r="N1228" s="1" t="s">
        <v>187</v>
      </c>
      <c r="O1228" s="2">
        <v>42117.0</v>
      </c>
      <c r="P1228" s="1">
        <v>154287.0</v>
      </c>
      <c r="Q1228" s="1">
        <v>14703.0</v>
      </c>
      <c r="S1228" s="1">
        <v>2022.0</v>
      </c>
      <c r="T1228" s="1" t="s">
        <v>13169</v>
      </c>
      <c r="U1228" s="1" t="s">
        <v>320</v>
      </c>
      <c r="V1228" s="1" t="s">
        <v>190</v>
      </c>
      <c r="W1228" s="1">
        <v>60625.0</v>
      </c>
      <c r="Y1228" s="1" t="s">
        <v>13170</v>
      </c>
      <c r="Z1228" s="1">
        <v>2000.0</v>
      </c>
      <c r="AA1228" s="1" t="s">
        <v>200</v>
      </c>
      <c r="AB1228" s="1" t="s">
        <v>193</v>
      </c>
      <c r="AD1228" s="1" t="s">
        <v>194</v>
      </c>
      <c r="AE1228" s="1" t="s">
        <v>195</v>
      </c>
      <c r="AF1228" s="1" t="s">
        <v>534</v>
      </c>
      <c r="AH1228" s="1" t="s">
        <v>13171</v>
      </c>
      <c r="AK1228" s="1">
        <v>9.0</v>
      </c>
      <c r="AL1228" s="1">
        <v>3.0</v>
      </c>
      <c r="AM1228" s="1">
        <v>3.0</v>
      </c>
      <c r="AN1228" s="1">
        <v>1.0</v>
      </c>
      <c r="AO1228" s="1" t="s">
        <v>198</v>
      </c>
      <c r="AP1228" s="1">
        <v>2.0</v>
      </c>
      <c r="AQ1228" s="1" t="s">
        <v>198</v>
      </c>
      <c r="AR1228" s="1" t="s">
        <v>192</v>
      </c>
      <c r="AS1228" s="1" t="s">
        <v>199</v>
      </c>
      <c r="AT1228" s="1">
        <v>3.0</v>
      </c>
      <c r="AV1228" s="1" t="s">
        <v>200</v>
      </c>
      <c r="AW1228" s="1">
        <v>18771.0</v>
      </c>
      <c r="AX1228" s="1">
        <v>2013.0</v>
      </c>
      <c r="AY1228" s="1" t="s">
        <v>387</v>
      </c>
      <c r="AZ1228" s="1" t="s">
        <v>200</v>
      </c>
      <c r="BA1228" s="1" t="str">
        <f>"14181050140000"</f>
        <v>14181050140000</v>
      </c>
      <c r="BC1228" s="1">
        <v>0.0</v>
      </c>
      <c r="BD1228" s="1">
        <v>1100000.0</v>
      </c>
      <c r="BE1228" s="2">
        <v>42065.0</v>
      </c>
      <c r="BF1228" s="2" t="s">
        <v>13172</v>
      </c>
      <c r="BH1228" s="1">
        <v>0.0</v>
      </c>
      <c r="BK1228" s="1" t="s">
        <v>204</v>
      </c>
      <c r="BL1228" s="1" t="str">
        <f>"4750"</f>
        <v>4750</v>
      </c>
      <c r="BM1228" s="1" t="str">
        <f>"0"</f>
        <v>0</v>
      </c>
      <c r="BN1228" s="1">
        <v>2022.0</v>
      </c>
      <c r="BO1228" s="1">
        <v>0.0</v>
      </c>
      <c r="BQ1228" s="1">
        <v>299.0</v>
      </c>
      <c r="BR1228" s="1">
        <v>299.0</v>
      </c>
      <c r="BS1228" s="1">
        <v>299.0</v>
      </c>
      <c r="BU1228" s="1" t="s">
        <v>1534</v>
      </c>
      <c r="BV1228" s="1" t="s">
        <v>206</v>
      </c>
      <c r="BW1228" s="1" t="s">
        <v>207</v>
      </c>
      <c r="BX1228" s="1" t="s">
        <v>1549</v>
      </c>
      <c r="BY1228" s="1" t="s">
        <v>6858</v>
      </c>
      <c r="BZ1228" s="1" t="s">
        <v>209</v>
      </c>
      <c r="CA1228" s="1" t="s">
        <v>207</v>
      </c>
      <c r="CB1228" s="1" t="s">
        <v>1549</v>
      </c>
      <c r="CC1228" s="1" t="s">
        <v>1875</v>
      </c>
      <c r="CD1228" s="1" t="s">
        <v>206</v>
      </c>
      <c r="CE1228" s="1" t="s">
        <v>207</v>
      </c>
      <c r="CF1228" s="1" t="s">
        <v>1549</v>
      </c>
      <c r="CG1228" s="1" t="s">
        <v>1426</v>
      </c>
      <c r="CH1228" s="1" t="s">
        <v>209</v>
      </c>
      <c r="CI1228" s="1" t="s">
        <v>207</v>
      </c>
      <c r="CJ1228" s="1" t="s">
        <v>1549</v>
      </c>
      <c r="CK1228" s="1" t="s">
        <v>363</v>
      </c>
      <c r="CL1228" s="1" t="s">
        <v>209</v>
      </c>
      <c r="CM1228" s="1" t="s">
        <v>207</v>
      </c>
      <c r="CN1228" s="1" t="s">
        <v>431</v>
      </c>
      <c r="CO1228" s="1" t="s">
        <v>758</v>
      </c>
      <c r="CP1228" s="1" t="s">
        <v>42</v>
      </c>
      <c r="CQ1228" s="1" t="s">
        <v>210</v>
      </c>
      <c r="CR1228" s="1" t="s">
        <v>431</v>
      </c>
      <c r="CS1228" s="1" t="s">
        <v>1117</v>
      </c>
      <c r="CT1228" s="1" t="s">
        <v>206</v>
      </c>
      <c r="CU1228" s="1" t="s">
        <v>207</v>
      </c>
      <c r="CV1228" s="1" t="s">
        <v>431</v>
      </c>
      <c r="CW1228" s="1" t="s">
        <v>544</v>
      </c>
      <c r="CX1228" s="1" t="s">
        <v>206</v>
      </c>
      <c r="CY1228" s="1" t="s">
        <v>207</v>
      </c>
      <c r="CZ1228" s="1" t="s">
        <v>431</v>
      </c>
      <c r="DA1228" s="1" t="s">
        <v>200</v>
      </c>
      <c r="DC1228" s="1" t="s">
        <v>335</v>
      </c>
      <c r="DD1228" s="1" t="s">
        <v>306</v>
      </c>
      <c r="DE1228" s="1" t="s">
        <v>218</v>
      </c>
      <c r="DF1228" s="1" t="s">
        <v>1811</v>
      </c>
      <c r="DH1228" s="1" t="s">
        <v>365</v>
      </c>
      <c r="DI1228" s="1" t="s">
        <v>3590</v>
      </c>
      <c r="DJ1228" s="1" t="s">
        <v>222</v>
      </c>
      <c r="DL1228" s="1" t="s">
        <v>224</v>
      </c>
      <c r="DM1228" s="1" t="s">
        <v>229</v>
      </c>
      <c r="DN1228" s="1" t="s">
        <v>485</v>
      </c>
      <c r="DP1228" s="1" t="s">
        <v>276</v>
      </c>
      <c r="DQ1228" s="1" t="s">
        <v>794</v>
      </c>
      <c r="DR1228" s="1" t="s">
        <v>229</v>
      </c>
      <c r="DV1228" s="1" t="s">
        <v>13173</v>
      </c>
      <c r="DW1228" s="1" t="s">
        <v>233</v>
      </c>
      <c r="DX1228" s="1" t="s">
        <v>234</v>
      </c>
      <c r="DY1228" s="1" t="s">
        <v>6560</v>
      </c>
      <c r="EB1228" s="1" t="s">
        <v>937</v>
      </c>
      <c r="EC1228" s="1" t="s">
        <v>237</v>
      </c>
      <c r="EG1228" s="1" t="s">
        <v>450</v>
      </c>
      <c r="EH1228" s="1" t="s">
        <v>1270</v>
      </c>
      <c r="EI1228" s="1" t="s">
        <v>409</v>
      </c>
      <c r="EL1228" s="1" t="s">
        <v>13174</v>
      </c>
      <c r="EM1228" s="1" t="s">
        <v>42</v>
      </c>
      <c r="EN1228" s="1" t="s">
        <v>210</v>
      </c>
      <c r="EO1228" s="1" t="s">
        <v>431</v>
      </c>
      <c r="EP1228" s="1" t="s">
        <v>1382</v>
      </c>
      <c r="EQ1228" s="1" t="s">
        <v>42</v>
      </c>
      <c r="ET1228" s="1" t="s">
        <v>721</v>
      </c>
      <c r="EU1228" s="1" t="s">
        <v>209</v>
      </c>
      <c r="EV1228" s="1" t="s">
        <v>210</v>
      </c>
      <c r="EY1228" s="1" t="s">
        <v>238</v>
      </c>
      <c r="FC1228" s="1" t="s">
        <v>238</v>
      </c>
      <c r="FF1228" s="1" t="s">
        <v>239</v>
      </c>
      <c r="FG1228" s="1" t="s">
        <v>192</v>
      </c>
      <c r="FH1228" s="1" t="s">
        <v>192</v>
      </c>
      <c r="FJ1228" s="1" t="s">
        <v>799</v>
      </c>
      <c r="FK1228" s="1" t="s">
        <v>229</v>
      </c>
      <c r="FL1228" s="1" t="s">
        <v>3156</v>
      </c>
      <c r="FM1228" s="1">
        <v>84729.0</v>
      </c>
      <c r="FN1228" s="1" t="s">
        <v>3157</v>
      </c>
      <c r="FO1228" s="1" t="s">
        <v>13175</v>
      </c>
      <c r="FP1228" s="1">
        <v>153501.0</v>
      </c>
      <c r="FQ1228" s="1" t="s">
        <v>13176</v>
      </c>
      <c r="FU1228" s="1" t="s">
        <v>13177</v>
      </c>
      <c r="FV1228" s="1" t="s">
        <v>200</v>
      </c>
      <c r="FW1228" s="1" t="s">
        <v>290</v>
      </c>
      <c r="FX1228" s="1" t="s">
        <v>246</v>
      </c>
      <c r="FZ1228" s="1" t="s">
        <v>229</v>
      </c>
      <c r="GA1228" s="1" t="s">
        <v>291</v>
      </c>
      <c r="GB1228" s="2">
        <v>42117.0</v>
      </c>
    </row>
    <row r="1229">
      <c r="A1229" s="1">
        <v>265000.0</v>
      </c>
      <c r="B1229" s="1" t="s">
        <v>185</v>
      </c>
      <c r="C1229" s="1" t="str">
        <f>"08845913"</f>
        <v>08845913</v>
      </c>
      <c r="D1229" s="1" t="s">
        <v>186</v>
      </c>
      <c r="F1229" s="1" t="str">
        <f>"110"</f>
        <v>110</v>
      </c>
      <c r="G1229" s="2">
        <v>42059.0</v>
      </c>
      <c r="H1229" s="1">
        <v>269900.0</v>
      </c>
      <c r="I1229" s="1">
        <v>492.0</v>
      </c>
      <c r="J1229" s="1">
        <v>269900.0</v>
      </c>
      <c r="K1229" s="2">
        <v>42091.0</v>
      </c>
      <c r="L1229" s="1">
        <v>33.0</v>
      </c>
      <c r="M1229" s="2">
        <v>42091.0</v>
      </c>
      <c r="N1229" s="1" t="s">
        <v>356</v>
      </c>
      <c r="O1229" s="2">
        <v>42117.0</v>
      </c>
      <c r="P1229" s="1">
        <v>7968.0</v>
      </c>
      <c r="Q1229" s="1">
        <v>372.0</v>
      </c>
      <c r="R1229" s="1">
        <v>3000.0</v>
      </c>
      <c r="S1229" s="1">
        <v>180.0</v>
      </c>
      <c r="T1229" s="1" t="s">
        <v>13178</v>
      </c>
      <c r="U1229" s="1" t="s">
        <v>569</v>
      </c>
      <c r="V1229" s="1" t="s">
        <v>807</v>
      </c>
      <c r="W1229" s="1">
        <v>60110.0</v>
      </c>
      <c r="Y1229" s="1" t="s">
        <v>13179</v>
      </c>
      <c r="Z1229" s="1">
        <v>1990.0</v>
      </c>
      <c r="AA1229" s="1" t="s">
        <v>200</v>
      </c>
      <c r="AB1229" s="1" t="s">
        <v>193</v>
      </c>
      <c r="AC1229" s="1" t="s">
        <v>13180</v>
      </c>
      <c r="AD1229" s="1" t="s">
        <v>809</v>
      </c>
      <c r="AE1229" s="1" t="s">
        <v>325</v>
      </c>
      <c r="AF1229" s="1" t="s">
        <v>810</v>
      </c>
      <c r="AH1229" s="1" t="s">
        <v>13181</v>
      </c>
      <c r="AK1229" s="1">
        <v>9.0</v>
      </c>
      <c r="AL1229" s="1">
        <v>4.0</v>
      </c>
      <c r="AM1229" s="1">
        <v>3.0</v>
      </c>
      <c r="AN1229" s="1">
        <v>1.0</v>
      </c>
      <c r="AO1229" s="1" t="s">
        <v>198</v>
      </c>
      <c r="AP1229" s="1">
        <v>0.0</v>
      </c>
      <c r="AQ1229" s="1" t="s">
        <v>1314</v>
      </c>
      <c r="AR1229" s="1" t="s">
        <v>200</v>
      </c>
      <c r="AS1229" s="1" t="s">
        <v>199</v>
      </c>
      <c r="AT1229" s="1">
        <v>2.0</v>
      </c>
      <c r="AV1229" s="1" t="s">
        <v>200</v>
      </c>
      <c r="AW1229" s="1">
        <v>6369.0</v>
      </c>
      <c r="AX1229" s="1">
        <v>2013.0</v>
      </c>
      <c r="AY1229" s="1" t="s">
        <v>387</v>
      </c>
      <c r="AZ1229" s="1" t="s">
        <v>200</v>
      </c>
      <c r="BA1229" s="1" t="str">
        <f>"0316476002"</f>
        <v>0316476002</v>
      </c>
      <c r="BC1229" s="1">
        <v>2800.0</v>
      </c>
      <c r="BD1229" s="1">
        <v>265000.0</v>
      </c>
      <c r="BE1229" s="2">
        <v>42059.0</v>
      </c>
      <c r="BF1229" s="2" t="s">
        <v>13182</v>
      </c>
      <c r="BG1229" s="1" t="s">
        <v>3486</v>
      </c>
      <c r="BH1229" s="1">
        <v>0.0</v>
      </c>
      <c r="BI1229" s="1" t="s">
        <v>1093</v>
      </c>
      <c r="BJ1229" s="1" t="s">
        <v>1759</v>
      </c>
      <c r="BK1229" s="1" t="s">
        <v>204</v>
      </c>
      <c r="BL1229" s="1" t="str">
        <f>"17"</f>
        <v>17</v>
      </c>
      <c r="BM1229" s="1" t="str">
        <f>""</f>
        <v/>
      </c>
      <c r="BN1229" s="1">
        <v>35.0</v>
      </c>
      <c r="BQ1229" s="1">
        <v>300.0</v>
      </c>
      <c r="BR1229" s="1">
        <v>300.0</v>
      </c>
      <c r="BS1229" s="1">
        <v>300.0</v>
      </c>
      <c r="BU1229" s="1" t="s">
        <v>1426</v>
      </c>
      <c r="BV1229" s="1" t="s">
        <v>206</v>
      </c>
      <c r="BW1229" s="1" t="s">
        <v>207</v>
      </c>
      <c r="BX1229" s="1" t="s">
        <v>431</v>
      </c>
      <c r="BY1229" s="1" t="s">
        <v>664</v>
      </c>
      <c r="BZ1229" s="1" t="s">
        <v>209</v>
      </c>
      <c r="CA1229" s="1" t="s">
        <v>210</v>
      </c>
      <c r="CB1229" s="1" t="s">
        <v>431</v>
      </c>
      <c r="CC1229" s="1" t="s">
        <v>265</v>
      </c>
      <c r="CD1229" s="1" t="s">
        <v>206</v>
      </c>
      <c r="CE1229" s="1" t="s">
        <v>207</v>
      </c>
      <c r="CF1229" s="1" t="s">
        <v>431</v>
      </c>
      <c r="CG1229" s="1" t="s">
        <v>647</v>
      </c>
      <c r="CH1229" s="1" t="s">
        <v>209</v>
      </c>
      <c r="CI1229" s="1" t="s">
        <v>210</v>
      </c>
      <c r="CJ1229" s="1" t="s">
        <v>431</v>
      </c>
      <c r="CK1229" s="1" t="s">
        <v>332</v>
      </c>
      <c r="CL1229" s="1" t="s">
        <v>209</v>
      </c>
      <c r="CM1229" s="1" t="s">
        <v>210</v>
      </c>
      <c r="CN1229" s="1" t="s">
        <v>431</v>
      </c>
      <c r="CO1229" s="1" t="s">
        <v>647</v>
      </c>
      <c r="CP1229" s="1" t="s">
        <v>209</v>
      </c>
      <c r="CQ1229" s="1" t="s">
        <v>210</v>
      </c>
      <c r="CR1229" s="1" t="s">
        <v>431</v>
      </c>
      <c r="CS1229" s="1" t="s">
        <v>639</v>
      </c>
      <c r="CT1229" s="1" t="s">
        <v>206</v>
      </c>
      <c r="CU1229" s="1" t="s">
        <v>207</v>
      </c>
      <c r="CV1229" s="1" t="s">
        <v>431</v>
      </c>
      <c r="CW1229" s="1" t="s">
        <v>854</v>
      </c>
      <c r="CX1229" s="1" t="s">
        <v>206</v>
      </c>
      <c r="CY1229" s="1" t="s">
        <v>207</v>
      </c>
      <c r="CZ1229" s="1" t="s">
        <v>431</v>
      </c>
      <c r="DA1229" s="1" t="s">
        <v>200</v>
      </c>
      <c r="DC1229" s="1" t="s">
        <v>435</v>
      </c>
      <c r="DD1229" s="1" t="s">
        <v>1838</v>
      </c>
      <c r="DE1229" s="1" t="s">
        <v>218</v>
      </c>
      <c r="DF1229" s="1" t="s">
        <v>3258</v>
      </c>
      <c r="DH1229" s="1" t="s">
        <v>220</v>
      </c>
      <c r="DI1229" s="1" t="s">
        <v>221</v>
      </c>
      <c r="DJ1229" s="1" t="s">
        <v>222</v>
      </c>
      <c r="DK1229" s="1" t="s">
        <v>223</v>
      </c>
      <c r="DL1229" s="1" t="s">
        <v>3611</v>
      </c>
      <c r="DM1229" s="1" t="s">
        <v>4610</v>
      </c>
      <c r="DN1229" s="1" t="s">
        <v>439</v>
      </c>
      <c r="DO1229" s="1" t="s">
        <v>549</v>
      </c>
      <c r="DP1229" s="1" t="s">
        <v>276</v>
      </c>
      <c r="DQ1229" s="1" t="s">
        <v>228</v>
      </c>
      <c r="DR1229" s="1" t="s">
        <v>229</v>
      </c>
      <c r="DS1229" s="1" t="s">
        <v>368</v>
      </c>
      <c r="DU1229" s="1" t="s">
        <v>3487</v>
      </c>
      <c r="DV1229" s="1" t="s">
        <v>341</v>
      </c>
      <c r="DW1229" s="1" t="s">
        <v>233</v>
      </c>
      <c r="DX1229" s="1" t="s">
        <v>234</v>
      </c>
      <c r="DY1229" s="1" t="s">
        <v>3125</v>
      </c>
      <c r="EC1229" s="1" t="s">
        <v>237</v>
      </c>
      <c r="EG1229" s="1" t="s">
        <v>341</v>
      </c>
      <c r="EL1229" s="1" t="s">
        <v>715</v>
      </c>
      <c r="EM1229" s="1" t="s">
        <v>209</v>
      </c>
      <c r="EN1229" s="1" t="s">
        <v>210</v>
      </c>
      <c r="EO1229" s="1" t="s">
        <v>431</v>
      </c>
      <c r="EQ1229" s="1" t="s">
        <v>238</v>
      </c>
      <c r="EU1229" s="1" t="s">
        <v>238</v>
      </c>
      <c r="EY1229" s="1" t="s">
        <v>238</v>
      </c>
      <c r="FC1229" s="1" t="s">
        <v>238</v>
      </c>
      <c r="FF1229" s="1" t="s">
        <v>239</v>
      </c>
      <c r="FG1229" s="1" t="s">
        <v>192</v>
      </c>
      <c r="FH1229" s="1" t="s">
        <v>192</v>
      </c>
      <c r="FJ1229" s="1" t="s">
        <v>13183</v>
      </c>
      <c r="FK1229" s="1" t="s">
        <v>229</v>
      </c>
      <c r="FL1229" s="1" t="s">
        <v>9827</v>
      </c>
      <c r="FM1229" s="1">
        <v>7032.0</v>
      </c>
      <c r="FN1229" s="1" t="s">
        <v>9828</v>
      </c>
      <c r="FO1229" s="1" t="s">
        <v>13184</v>
      </c>
      <c r="FP1229" s="1">
        <v>8707.0</v>
      </c>
      <c r="FQ1229" s="1" t="s">
        <v>13185</v>
      </c>
      <c r="FU1229" s="1" t="s">
        <v>13186</v>
      </c>
      <c r="FV1229" s="1" t="s">
        <v>200</v>
      </c>
      <c r="FW1229" s="1" t="s">
        <v>290</v>
      </c>
      <c r="FZ1229" s="1" t="s">
        <v>229</v>
      </c>
      <c r="GA1229" s="1" t="s">
        <v>291</v>
      </c>
      <c r="GB1229" s="2">
        <v>42117.0</v>
      </c>
      <c r="GC1229" s="1" t="s">
        <v>13187</v>
      </c>
    </row>
    <row r="1230">
      <c r="A1230" s="1">
        <v>208000.0</v>
      </c>
      <c r="B1230" s="1" t="s">
        <v>185</v>
      </c>
      <c r="C1230" s="1" t="str">
        <f>"08848807"</f>
        <v>08848807</v>
      </c>
      <c r="D1230" s="1" t="s">
        <v>186</v>
      </c>
      <c r="F1230" s="1" t="str">
        <f>"119"</f>
        <v>119</v>
      </c>
      <c r="G1230" s="2">
        <v>42063.0</v>
      </c>
      <c r="H1230" s="1">
        <v>212890.0</v>
      </c>
      <c r="I1230" s="1">
        <v>7.0</v>
      </c>
      <c r="J1230" s="1">
        <v>212890.0</v>
      </c>
      <c r="K1230" s="2">
        <v>42069.0</v>
      </c>
      <c r="L1230" s="1">
        <v>7.0</v>
      </c>
      <c r="M1230" s="2">
        <v>42069.0</v>
      </c>
      <c r="N1230" s="1" t="s">
        <v>187</v>
      </c>
      <c r="O1230" s="2">
        <v>42107.0</v>
      </c>
      <c r="P1230" s="1">
        <v>1856.0</v>
      </c>
      <c r="Q1230" s="1">
        <v>173.0</v>
      </c>
      <c r="S1230" s="1">
        <v>813.0</v>
      </c>
      <c r="T1230" s="1" t="s">
        <v>13188</v>
      </c>
      <c r="U1230" s="1" t="s">
        <v>569</v>
      </c>
      <c r="V1230" s="1" t="s">
        <v>1476</v>
      </c>
      <c r="W1230" s="1">
        <v>60119.0</v>
      </c>
      <c r="Y1230" s="1" t="s">
        <v>13189</v>
      </c>
      <c r="Z1230" s="1">
        <v>1999.0</v>
      </c>
      <c r="AA1230" s="1" t="s">
        <v>200</v>
      </c>
      <c r="AB1230" s="1" t="s">
        <v>193</v>
      </c>
      <c r="AC1230" s="1" t="s">
        <v>9301</v>
      </c>
      <c r="AD1230" s="1" t="s">
        <v>1478</v>
      </c>
      <c r="AE1230" s="1" t="s">
        <v>325</v>
      </c>
      <c r="AF1230" s="1" t="s">
        <v>1632</v>
      </c>
      <c r="AH1230" s="1" t="s">
        <v>13190</v>
      </c>
      <c r="AI1230" s="1">
        <v>0.27</v>
      </c>
      <c r="AK1230" s="1">
        <v>12.0</v>
      </c>
      <c r="AL1230" s="1">
        <v>4.0</v>
      </c>
      <c r="AM1230" s="1">
        <v>2.0</v>
      </c>
      <c r="AN1230" s="1">
        <v>1.0</v>
      </c>
      <c r="AO1230" s="1" t="s">
        <v>198</v>
      </c>
      <c r="AQ1230" s="1" t="s">
        <v>198</v>
      </c>
      <c r="AR1230" s="1" t="s">
        <v>200</v>
      </c>
      <c r="AS1230" s="1" t="s">
        <v>199</v>
      </c>
      <c r="AT1230" s="1">
        <v>2.0</v>
      </c>
      <c r="AV1230" s="1" t="s">
        <v>200</v>
      </c>
      <c r="AW1230" s="1">
        <v>7666.02</v>
      </c>
      <c r="AX1230" s="1">
        <v>2013.0</v>
      </c>
      <c r="AY1230" s="1" t="s">
        <v>387</v>
      </c>
      <c r="AZ1230" s="1" t="s">
        <v>200</v>
      </c>
      <c r="BA1230" s="1" t="str">
        <f>"0832329012"</f>
        <v>0832329012</v>
      </c>
      <c r="BB1230" s="1" t="s">
        <v>200</v>
      </c>
      <c r="BC1230" s="1">
        <v>2090.0</v>
      </c>
      <c r="BD1230" s="1">
        <v>208000.0</v>
      </c>
      <c r="BE1230" s="2">
        <v>42063.0</v>
      </c>
      <c r="BF1230" s="2" t="s">
        <v>13191</v>
      </c>
      <c r="BH1230" s="1">
        <v>0.0</v>
      </c>
      <c r="BJ1230" s="1" t="s">
        <v>1636</v>
      </c>
      <c r="BK1230" s="1" t="s">
        <v>204</v>
      </c>
      <c r="BL1230" s="1" t="str">
        <f>"2"</f>
        <v>2</v>
      </c>
      <c r="BM1230" s="1" t="str">
        <f t="shared" ref="BM1230:BM1231" si="817">"0"</f>
        <v>0</v>
      </c>
      <c r="BN1230" s="1">
        <v>43.0</v>
      </c>
      <c r="BO1230" s="1">
        <v>0.0</v>
      </c>
      <c r="BQ1230" s="1">
        <v>302.0</v>
      </c>
      <c r="BR1230" s="1">
        <v>302.0</v>
      </c>
      <c r="BS1230" s="1">
        <v>302.0</v>
      </c>
      <c r="BU1230" s="1" t="s">
        <v>3092</v>
      </c>
      <c r="BV1230" s="1" t="s">
        <v>206</v>
      </c>
      <c r="BW1230" s="1" t="s">
        <v>207</v>
      </c>
      <c r="BY1230" s="1" t="s">
        <v>743</v>
      </c>
      <c r="BZ1230" s="1" t="s">
        <v>206</v>
      </c>
      <c r="CA1230" s="1" t="s">
        <v>268</v>
      </c>
      <c r="CB1230" s="1" t="s">
        <v>431</v>
      </c>
      <c r="CC1230" s="1" t="s">
        <v>542</v>
      </c>
      <c r="CD1230" s="1" t="s">
        <v>206</v>
      </c>
      <c r="CG1230" s="1" t="s">
        <v>215</v>
      </c>
      <c r="CH1230" s="1" t="s">
        <v>209</v>
      </c>
      <c r="CI1230" s="1" t="s">
        <v>210</v>
      </c>
      <c r="CJ1230" s="1" t="s">
        <v>431</v>
      </c>
      <c r="CK1230" s="1" t="s">
        <v>332</v>
      </c>
      <c r="CL1230" s="1" t="s">
        <v>209</v>
      </c>
      <c r="CM1230" s="1" t="s">
        <v>210</v>
      </c>
      <c r="CO1230" s="1" t="s">
        <v>212</v>
      </c>
      <c r="CP1230" s="1" t="s">
        <v>209</v>
      </c>
      <c r="CQ1230" s="1" t="s">
        <v>210</v>
      </c>
      <c r="CS1230" s="1" t="s">
        <v>2155</v>
      </c>
      <c r="CT1230" s="1" t="s">
        <v>206</v>
      </c>
      <c r="CU1230" s="1" t="s">
        <v>268</v>
      </c>
      <c r="CV1230" s="1" t="s">
        <v>431</v>
      </c>
      <c r="CX1230" s="1" t="s">
        <v>204</v>
      </c>
      <c r="DA1230" s="1" t="s">
        <v>200</v>
      </c>
      <c r="DC1230" s="1" t="s">
        <v>678</v>
      </c>
      <c r="DD1230" s="1" t="s">
        <v>518</v>
      </c>
      <c r="DE1230" s="1" t="s">
        <v>273</v>
      </c>
      <c r="DF1230" s="1" t="s">
        <v>219</v>
      </c>
      <c r="DG1230" s="1" t="s">
        <v>482</v>
      </c>
      <c r="DH1230" s="1" t="s">
        <v>220</v>
      </c>
      <c r="DI1230" s="1" t="s">
        <v>1223</v>
      </c>
      <c r="DJ1230" s="1" t="s">
        <v>222</v>
      </c>
      <c r="DK1230" s="1" t="s">
        <v>198</v>
      </c>
      <c r="DL1230" s="1" t="s">
        <v>1870</v>
      </c>
      <c r="DM1230" s="1" t="s">
        <v>929</v>
      </c>
      <c r="DN1230" s="1" t="s">
        <v>1023</v>
      </c>
      <c r="DO1230" s="1" t="s">
        <v>486</v>
      </c>
      <c r="DQ1230" s="1" t="s">
        <v>441</v>
      </c>
      <c r="DR1230" s="1" t="s">
        <v>229</v>
      </c>
      <c r="DS1230" s="1" t="s">
        <v>368</v>
      </c>
      <c r="DU1230" s="1" t="s">
        <v>1637</v>
      </c>
      <c r="DV1230" s="1" t="s">
        <v>13192</v>
      </c>
      <c r="DW1230" s="1" t="s">
        <v>444</v>
      </c>
      <c r="DX1230" s="1" t="s">
        <v>234</v>
      </c>
      <c r="DY1230" s="1" t="s">
        <v>1958</v>
      </c>
      <c r="DZ1230" s="1" t="s">
        <v>310</v>
      </c>
      <c r="EA1230" s="1" t="s">
        <v>344</v>
      </c>
      <c r="EC1230" s="1" t="s">
        <v>237</v>
      </c>
      <c r="ED1230" s="1" t="s">
        <v>407</v>
      </c>
      <c r="EH1230" s="1" t="s">
        <v>494</v>
      </c>
      <c r="EJ1230" s="1" t="s">
        <v>450</v>
      </c>
      <c r="EK1230" s="1" t="s">
        <v>598</v>
      </c>
      <c r="EM1230" s="1" t="s">
        <v>238</v>
      </c>
      <c r="EP1230" s="1" t="s">
        <v>264</v>
      </c>
      <c r="EQ1230" s="1" t="s">
        <v>206</v>
      </c>
      <c r="ER1230" s="1" t="s">
        <v>268</v>
      </c>
      <c r="EU1230" s="1" t="s">
        <v>238</v>
      </c>
      <c r="EX1230" s="1" t="s">
        <v>208</v>
      </c>
      <c r="EY1230" s="1" t="s">
        <v>42</v>
      </c>
      <c r="EZ1230" s="1" t="s">
        <v>268</v>
      </c>
      <c r="FB1230" s="1" t="s">
        <v>1298</v>
      </c>
      <c r="FC1230" s="1" t="s">
        <v>42</v>
      </c>
      <c r="FD1230" s="1" t="s">
        <v>268</v>
      </c>
      <c r="FF1230" s="1" t="s">
        <v>239</v>
      </c>
      <c r="FG1230" s="1" t="s">
        <v>192</v>
      </c>
      <c r="FH1230" s="1" t="s">
        <v>192</v>
      </c>
      <c r="FJ1230" s="1" t="s">
        <v>498</v>
      </c>
      <c r="FK1230" s="1" t="s">
        <v>229</v>
      </c>
      <c r="FL1230" s="1" t="s">
        <v>1358</v>
      </c>
      <c r="FM1230" s="1">
        <v>23591.0</v>
      </c>
      <c r="FN1230" s="1" t="s">
        <v>2134</v>
      </c>
      <c r="FO1230" s="1" t="s">
        <v>2843</v>
      </c>
      <c r="FP1230" s="1">
        <v>230482.0</v>
      </c>
      <c r="FQ1230" s="1" t="s">
        <v>2844</v>
      </c>
      <c r="FU1230" s="1" t="s">
        <v>13193</v>
      </c>
      <c r="FV1230" s="1" t="s">
        <v>200</v>
      </c>
      <c r="FW1230" s="1" t="s">
        <v>461</v>
      </c>
      <c r="FZ1230" s="1" t="s">
        <v>229</v>
      </c>
      <c r="GA1230" s="1" t="s">
        <v>291</v>
      </c>
      <c r="GB1230" s="2">
        <v>42107.0</v>
      </c>
    </row>
    <row r="1231">
      <c r="A1231" s="1">
        <v>895000.0</v>
      </c>
      <c r="B1231" s="1" t="s">
        <v>185</v>
      </c>
      <c r="C1231" s="1" t="str">
        <f>"08845690"</f>
        <v>08845690</v>
      </c>
      <c r="D1231" s="1" t="s">
        <v>186</v>
      </c>
      <c r="F1231" s="1" t="str">
        <f>"8022"</f>
        <v>8022</v>
      </c>
      <c r="G1231" s="2">
        <v>42059.0</v>
      </c>
      <c r="H1231" s="1">
        <v>899900.0</v>
      </c>
      <c r="I1231" s="1">
        <v>76.0</v>
      </c>
      <c r="J1231" s="1">
        <v>899900.0</v>
      </c>
      <c r="K1231" s="2">
        <v>42059.0</v>
      </c>
      <c r="L1231" s="1">
        <v>1.0</v>
      </c>
      <c r="M1231" s="2">
        <v>42059.0</v>
      </c>
      <c r="N1231" s="1" t="s">
        <v>187</v>
      </c>
      <c r="O1231" s="2">
        <v>42144.0</v>
      </c>
      <c r="P1231" s="1">
        <v>148273.0</v>
      </c>
      <c r="Q1231" s="1">
        <v>18026.0</v>
      </c>
      <c r="S1231" s="1">
        <v>2635.0</v>
      </c>
      <c r="T1231" s="1" t="s">
        <v>6454</v>
      </c>
      <c r="U1231" s="1" t="s">
        <v>189</v>
      </c>
      <c r="V1231" s="1" t="s">
        <v>190</v>
      </c>
      <c r="W1231" s="1">
        <v>60647.0</v>
      </c>
      <c r="Y1231" s="1" t="s">
        <v>6455</v>
      </c>
      <c r="Z1231" s="1">
        <v>2015.0</v>
      </c>
      <c r="AA1231" s="1" t="s">
        <v>200</v>
      </c>
      <c r="AB1231" s="1" t="s">
        <v>193</v>
      </c>
      <c r="AD1231" s="1" t="s">
        <v>194</v>
      </c>
      <c r="AE1231" s="1" t="s">
        <v>195</v>
      </c>
      <c r="AF1231" s="1" t="s">
        <v>827</v>
      </c>
      <c r="AG1231" s="1" t="s">
        <v>6456</v>
      </c>
      <c r="AH1231" s="1" t="s">
        <v>359</v>
      </c>
      <c r="AK1231" s="1">
        <v>9.0</v>
      </c>
      <c r="AL1231" s="1">
        <v>4.0</v>
      </c>
      <c r="AM1231" s="1">
        <v>3.0</v>
      </c>
      <c r="AN1231" s="1">
        <v>1.0</v>
      </c>
      <c r="AO1231" s="1" t="s">
        <v>198</v>
      </c>
      <c r="AP1231" s="1">
        <v>1.0</v>
      </c>
      <c r="AQ1231" s="1" t="s">
        <v>257</v>
      </c>
      <c r="AR1231" s="1" t="s">
        <v>192</v>
      </c>
      <c r="AS1231" s="1" t="s">
        <v>199</v>
      </c>
      <c r="AT1231" s="1">
        <v>2.0</v>
      </c>
      <c r="AV1231" s="1" t="s">
        <v>200</v>
      </c>
      <c r="AW1231" s="1" t="s">
        <v>575</v>
      </c>
      <c r="AX1231" s="1">
        <v>2013.0</v>
      </c>
      <c r="AZ1231" s="1" t="s">
        <v>545</v>
      </c>
      <c r="BA1231" s="1" t="str">
        <f>"13362070060000"</f>
        <v>13362070060000</v>
      </c>
      <c r="BC1231" s="1">
        <v>0.0</v>
      </c>
      <c r="BD1231" s="1">
        <v>895000.0</v>
      </c>
      <c r="BE1231" s="2">
        <v>42059.0</v>
      </c>
      <c r="BF1231" s="1" t="s">
        <v>13194</v>
      </c>
      <c r="BH1231" s="1">
        <v>0.0</v>
      </c>
      <c r="BK1231" s="1" t="s">
        <v>204</v>
      </c>
      <c r="BL1231" s="1" t="str">
        <f>"2300"</f>
        <v>2300</v>
      </c>
      <c r="BM1231" s="1" t="str">
        <f t="shared" si="817"/>
        <v>0</v>
      </c>
      <c r="BN1231" s="1">
        <v>2635.0</v>
      </c>
      <c r="BO1231" s="1">
        <v>0.0</v>
      </c>
      <c r="BQ1231" s="1">
        <v>299.0</v>
      </c>
      <c r="BR1231" s="1">
        <v>299.0</v>
      </c>
      <c r="BS1231" s="1">
        <v>299.0</v>
      </c>
      <c r="BU1231" s="1" t="s">
        <v>5223</v>
      </c>
      <c r="BV1231" s="1" t="s">
        <v>206</v>
      </c>
      <c r="BW1231" s="1" t="s">
        <v>207</v>
      </c>
      <c r="BY1231" s="1" t="s">
        <v>208</v>
      </c>
      <c r="BZ1231" s="1" t="s">
        <v>209</v>
      </c>
      <c r="CA1231" s="1" t="s">
        <v>210</v>
      </c>
      <c r="CC1231" s="1" t="s">
        <v>542</v>
      </c>
      <c r="CD1231" s="1" t="s">
        <v>206</v>
      </c>
      <c r="CE1231" s="1" t="s">
        <v>207</v>
      </c>
      <c r="CG1231" s="1" t="s">
        <v>331</v>
      </c>
      <c r="CH1231" s="1" t="s">
        <v>209</v>
      </c>
      <c r="CI1231" s="1" t="s">
        <v>210</v>
      </c>
      <c r="CK1231" s="1" t="s">
        <v>663</v>
      </c>
      <c r="CL1231" s="1" t="s">
        <v>209</v>
      </c>
      <c r="CM1231" s="1" t="s">
        <v>210</v>
      </c>
      <c r="CO1231" s="1" t="s">
        <v>390</v>
      </c>
      <c r="CP1231" s="1" t="s">
        <v>267</v>
      </c>
      <c r="CQ1231" s="1" t="s">
        <v>210</v>
      </c>
      <c r="CS1231" s="1" t="s">
        <v>329</v>
      </c>
      <c r="CT1231" s="1" t="s">
        <v>206</v>
      </c>
      <c r="CU1231" s="1" t="s">
        <v>207</v>
      </c>
      <c r="CW1231" s="1" t="s">
        <v>2120</v>
      </c>
      <c r="CX1231" s="1" t="s">
        <v>206</v>
      </c>
      <c r="CY1231" s="1" t="s">
        <v>207</v>
      </c>
      <c r="DA1231" s="1" t="s">
        <v>192</v>
      </c>
      <c r="DB1231" s="2">
        <v>42110.0</v>
      </c>
      <c r="DC1231" s="1" t="s">
        <v>744</v>
      </c>
      <c r="DD1231" s="1" t="s">
        <v>731</v>
      </c>
      <c r="DE1231" s="1" t="s">
        <v>273</v>
      </c>
      <c r="DF1231" s="1" t="s">
        <v>619</v>
      </c>
      <c r="DH1231" s="1" t="s">
        <v>220</v>
      </c>
      <c r="DI1231" s="1" t="s">
        <v>6458</v>
      </c>
      <c r="DJ1231" s="1" t="s">
        <v>222</v>
      </c>
      <c r="DL1231" s="1" t="s">
        <v>224</v>
      </c>
      <c r="DM1231" s="1" t="s">
        <v>229</v>
      </c>
      <c r="DN1231" s="1" t="s">
        <v>2676</v>
      </c>
      <c r="DP1231" s="1" t="s">
        <v>276</v>
      </c>
      <c r="DQ1231" s="1" t="s">
        <v>441</v>
      </c>
      <c r="DR1231" s="1" t="s">
        <v>229</v>
      </c>
      <c r="DU1231" s="1" t="s">
        <v>6459</v>
      </c>
      <c r="DV1231" s="1" t="s">
        <v>2058</v>
      </c>
      <c r="DW1231" s="1" t="s">
        <v>279</v>
      </c>
      <c r="DX1231" s="1" t="s">
        <v>234</v>
      </c>
      <c r="DY1231" s="1" t="s">
        <v>704</v>
      </c>
      <c r="EB1231" s="1" t="s">
        <v>1639</v>
      </c>
      <c r="EC1231" s="1" t="s">
        <v>237</v>
      </c>
      <c r="EG1231" s="1" t="s">
        <v>450</v>
      </c>
      <c r="EI1231" s="1" t="s">
        <v>310</v>
      </c>
      <c r="EL1231" s="1" t="s">
        <v>2861</v>
      </c>
      <c r="EM1231" s="1" t="s">
        <v>267</v>
      </c>
      <c r="EN1231" s="1" t="s">
        <v>210</v>
      </c>
      <c r="EQ1231" s="1" t="s">
        <v>238</v>
      </c>
      <c r="ET1231" s="1" t="s">
        <v>330</v>
      </c>
      <c r="EU1231" s="1" t="s">
        <v>391</v>
      </c>
      <c r="EY1231" s="1" t="s">
        <v>238</v>
      </c>
      <c r="FC1231" s="1" t="s">
        <v>238</v>
      </c>
      <c r="FF1231" s="1" t="s">
        <v>239</v>
      </c>
      <c r="FG1231" s="1" t="s">
        <v>192</v>
      </c>
      <c r="FH1231" s="1" t="s">
        <v>192</v>
      </c>
      <c r="FJ1231" s="1" t="s">
        <v>3755</v>
      </c>
      <c r="FK1231" s="1" t="s">
        <v>229</v>
      </c>
      <c r="FL1231" s="1" t="s">
        <v>6354</v>
      </c>
      <c r="FM1231" s="1">
        <v>15191.0</v>
      </c>
      <c r="FN1231" s="1" t="s">
        <v>6355</v>
      </c>
      <c r="FO1231" s="1" t="s">
        <v>6460</v>
      </c>
      <c r="FP1231" s="1">
        <v>137452.0</v>
      </c>
      <c r="FQ1231" s="1" t="s">
        <v>6461</v>
      </c>
      <c r="FR1231" s="1">
        <v>102294.0</v>
      </c>
      <c r="FU1231" s="1" t="s">
        <v>13195</v>
      </c>
      <c r="FV1231" s="1" t="s">
        <v>200</v>
      </c>
      <c r="FW1231" s="1" t="s">
        <v>567</v>
      </c>
      <c r="FX1231" s="1" t="s">
        <v>246</v>
      </c>
      <c r="FZ1231" s="1" t="s">
        <v>229</v>
      </c>
      <c r="GA1231" s="1" t="s">
        <v>291</v>
      </c>
      <c r="GB1231" s="2">
        <v>42144.0</v>
      </c>
      <c r="GC1231" s="1" t="s">
        <v>13196</v>
      </c>
    </row>
    <row r="1232">
      <c r="A1232" s="1">
        <v>210000.0</v>
      </c>
      <c r="B1232" s="1" t="s">
        <v>185</v>
      </c>
      <c r="C1232" s="1" t="str">
        <f>"08846205"</f>
        <v>08846205</v>
      </c>
      <c r="D1232" s="1" t="s">
        <v>186</v>
      </c>
      <c r="F1232" s="1" t="str">
        <f>"560"</f>
        <v>560</v>
      </c>
      <c r="G1232" s="2">
        <v>42060.0</v>
      </c>
      <c r="H1232" s="1">
        <v>225000.0</v>
      </c>
      <c r="I1232" s="1">
        <v>33.0</v>
      </c>
      <c r="J1232" s="1">
        <v>225000.0</v>
      </c>
      <c r="K1232" s="2">
        <v>42092.0</v>
      </c>
      <c r="L1232" s="1">
        <v>33.0</v>
      </c>
      <c r="M1232" s="2">
        <v>42092.0</v>
      </c>
      <c r="N1232" s="1" t="s">
        <v>249</v>
      </c>
      <c r="O1232" s="2">
        <v>42118.0</v>
      </c>
      <c r="P1232" s="1">
        <v>313851.0</v>
      </c>
      <c r="Q1232" s="1">
        <v>257.0</v>
      </c>
      <c r="S1232" s="1">
        <v>6575.0</v>
      </c>
      <c r="T1232" s="1" t="s">
        <v>13197</v>
      </c>
      <c r="U1232" s="1" t="s">
        <v>464</v>
      </c>
      <c r="V1232" s="1" t="s">
        <v>845</v>
      </c>
      <c r="W1232" s="1">
        <v>60560.0</v>
      </c>
      <c r="Y1232" s="1" t="s">
        <v>13198</v>
      </c>
      <c r="Z1232" s="1">
        <v>1978.0</v>
      </c>
      <c r="AA1232" s="1" t="s">
        <v>200</v>
      </c>
      <c r="AB1232" s="1" t="s">
        <v>193</v>
      </c>
      <c r="AD1232" s="1" t="s">
        <v>1089</v>
      </c>
      <c r="AE1232" s="1" t="s">
        <v>849</v>
      </c>
      <c r="AF1232" s="1" t="s">
        <v>2153</v>
      </c>
      <c r="AH1232" s="1" t="s">
        <v>13199</v>
      </c>
      <c r="AI1232" s="1">
        <v>3.0</v>
      </c>
      <c r="AK1232" s="1">
        <v>8.0</v>
      </c>
      <c r="AL1232" s="1">
        <v>4.0</v>
      </c>
      <c r="AM1232" s="1">
        <v>1.0</v>
      </c>
      <c r="AN1232" s="1">
        <v>1.0</v>
      </c>
      <c r="AO1232" s="1" t="s">
        <v>7502</v>
      </c>
      <c r="AP1232" s="1">
        <v>1.0</v>
      </c>
      <c r="AQ1232" s="1" t="s">
        <v>198</v>
      </c>
      <c r="AR1232" s="1" t="s">
        <v>200</v>
      </c>
      <c r="AS1232" s="1" t="s">
        <v>199</v>
      </c>
      <c r="AT1232" s="1">
        <v>10.0</v>
      </c>
      <c r="AV1232" s="1" t="s">
        <v>200</v>
      </c>
      <c r="AW1232" s="1">
        <v>7157.66</v>
      </c>
      <c r="AX1232" s="1">
        <v>2013.0</v>
      </c>
      <c r="AY1232" s="1" t="s">
        <v>1179</v>
      </c>
      <c r="AZ1232" s="1" t="s">
        <v>200</v>
      </c>
      <c r="BA1232" s="1" t="str">
        <f>"0502300003"</f>
        <v>0502300003</v>
      </c>
      <c r="BC1232" s="1">
        <v>1648.0</v>
      </c>
      <c r="BD1232" s="1">
        <v>210000.0</v>
      </c>
      <c r="BE1232" s="2">
        <v>42060.0</v>
      </c>
      <c r="BF1232" s="2" t="s">
        <v>13200</v>
      </c>
      <c r="BH1232" s="1">
        <v>0.0</v>
      </c>
      <c r="BK1232" s="1" t="s">
        <v>204</v>
      </c>
      <c r="BL1232" s="1" t="str">
        <f t="shared" ref="BL1232:BM1232" si="818">""</f>
        <v/>
      </c>
      <c r="BM1232" s="1" t="str">
        <f t="shared" si="818"/>
        <v/>
      </c>
      <c r="BQ1232" s="1">
        <v>115.0</v>
      </c>
      <c r="BR1232" s="1">
        <v>115.0</v>
      </c>
      <c r="BS1232" s="1">
        <v>115.0</v>
      </c>
      <c r="BU1232" s="1" t="s">
        <v>2219</v>
      </c>
      <c r="BV1232" s="1" t="s">
        <v>206</v>
      </c>
      <c r="BW1232" s="1" t="s">
        <v>210</v>
      </c>
      <c r="BX1232" s="1" t="s">
        <v>239</v>
      </c>
      <c r="BY1232" s="1" t="s">
        <v>478</v>
      </c>
      <c r="BZ1232" s="1" t="s">
        <v>206</v>
      </c>
      <c r="CA1232" s="1" t="s">
        <v>210</v>
      </c>
      <c r="CB1232" s="1" t="s">
        <v>239</v>
      </c>
      <c r="CC1232" s="1" t="s">
        <v>1417</v>
      </c>
      <c r="CD1232" s="1" t="s">
        <v>206</v>
      </c>
      <c r="CE1232" s="1" t="s">
        <v>210</v>
      </c>
      <c r="CF1232" s="1" t="s">
        <v>239</v>
      </c>
      <c r="CG1232" s="1" t="s">
        <v>1417</v>
      </c>
      <c r="CH1232" s="1" t="s">
        <v>206</v>
      </c>
      <c r="CI1232" s="1" t="s">
        <v>210</v>
      </c>
      <c r="CJ1232" s="1" t="s">
        <v>239</v>
      </c>
      <c r="CK1232" s="1" t="s">
        <v>663</v>
      </c>
      <c r="CL1232" s="1" t="s">
        <v>206</v>
      </c>
      <c r="CM1232" s="1" t="s">
        <v>210</v>
      </c>
      <c r="CN1232" s="1" t="s">
        <v>239</v>
      </c>
      <c r="CO1232" s="1" t="s">
        <v>3805</v>
      </c>
      <c r="CP1232" s="1" t="s">
        <v>206</v>
      </c>
      <c r="CQ1232" s="1" t="s">
        <v>210</v>
      </c>
      <c r="CR1232" s="1" t="s">
        <v>239</v>
      </c>
      <c r="CS1232" s="1" t="s">
        <v>1395</v>
      </c>
      <c r="CT1232" s="1" t="s">
        <v>206</v>
      </c>
      <c r="CU1232" s="1" t="s">
        <v>617</v>
      </c>
      <c r="CV1232" s="1" t="s">
        <v>239</v>
      </c>
      <c r="CX1232" s="1" t="s">
        <v>204</v>
      </c>
      <c r="DA1232" s="1" t="s">
        <v>200</v>
      </c>
      <c r="DC1232" s="1" t="s">
        <v>395</v>
      </c>
      <c r="DD1232" s="1" t="s">
        <v>679</v>
      </c>
      <c r="DE1232" s="1" t="s">
        <v>273</v>
      </c>
      <c r="DF1232" s="1" t="s">
        <v>372</v>
      </c>
      <c r="DH1232" s="1" t="s">
        <v>856</v>
      </c>
      <c r="DI1232" s="1" t="s">
        <v>308</v>
      </c>
      <c r="DJ1232" s="1" t="s">
        <v>857</v>
      </c>
      <c r="DK1232" s="1" t="s">
        <v>223</v>
      </c>
      <c r="DL1232" s="1" t="s">
        <v>223</v>
      </c>
      <c r="DM1232" s="1" t="s">
        <v>229</v>
      </c>
      <c r="DO1232" s="1" t="s">
        <v>3860</v>
      </c>
      <c r="DP1232" s="1" t="s">
        <v>340</v>
      </c>
      <c r="DQ1232" s="1" t="s">
        <v>4389</v>
      </c>
      <c r="DR1232" s="1" t="s">
        <v>229</v>
      </c>
      <c r="DS1232" s="1" t="s">
        <v>368</v>
      </c>
      <c r="DU1232" s="1" t="s">
        <v>487</v>
      </c>
      <c r="DV1232" s="1" t="s">
        <v>11969</v>
      </c>
      <c r="DW1232" s="1" t="s">
        <v>233</v>
      </c>
      <c r="DX1232" s="1" t="s">
        <v>234</v>
      </c>
      <c r="DY1232" s="1" t="s">
        <v>13201</v>
      </c>
      <c r="EA1232" s="1" t="s">
        <v>683</v>
      </c>
      <c r="EB1232" s="1" t="s">
        <v>863</v>
      </c>
      <c r="EC1232" s="1" t="s">
        <v>685</v>
      </c>
      <c r="ED1232" s="1" t="s">
        <v>13202</v>
      </c>
      <c r="EE1232" s="1" t="s">
        <v>1960</v>
      </c>
      <c r="EG1232" s="1" t="s">
        <v>556</v>
      </c>
      <c r="EH1232" s="1" t="s">
        <v>408</v>
      </c>
      <c r="EL1232" s="1" t="s">
        <v>663</v>
      </c>
      <c r="EM1232" s="1" t="s">
        <v>206</v>
      </c>
      <c r="EN1232" s="1" t="s">
        <v>617</v>
      </c>
      <c r="EO1232" s="1" t="s">
        <v>239</v>
      </c>
      <c r="EP1232" s="1" t="s">
        <v>6296</v>
      </c>
      <c r="EQ1232" s="1" t="s">
        <v>206</v>
      </c>
      <c r="ER1232" s="1" t="s">
        <v>617</v>
      </c>
      <c r="ES1232" s="1" t="s">
        <v>239</v>
      </c>
      <c r="EU1232" s="1" t="s">
        <v>238</v>
      </c>
      <c r="EY1232" s="1" t="s">
        <v>238</v>
      </c>
      <c r="FC1232" s="1" t="s">
        <v>238</v>
      </c>
      <c r="FF1232" s="1" t="s">
        <v>239</v>
      </c>
      <c r="FG1232" s="1" t="s">
        <v>200</v>
      </c>
      <c r="FH1232" s="1" t="s">
        <v>192</v>
      </c>
      <c r="FJ1232" s="1" t="s">
        <v>1280</v>
      </c>
      <c r="FK1232" s="1" t="s">
        <v>229</v>
      </c>
      <c r="FL1232" s="1" t="s">
        <v>4369</v>
      </c>
      <c r="FM1232" s="1">
        <v>23279.0</v>
      </c>
      <c r="FN1232" s="1" t="s">
        <v>6096</v>
      </c>
      <c r="FO1232" s="1" t="s">
        <v>8089</v>
      </c>
      <c r="FP1232" s="1">
        <v>240720.0</v>
      </c>
      <c r="FQ1232" s="1" t="s">
        <v>8090</v>
      </c>
      <c r="FU1232" s="1" t="s">
        <v>13203</v>
      </c>
      <c r="FV1232" s="1" t="s">
        <v>200</v>
      </c>
      <c r="FW1232" s="1" t="s">
        <v>13204</v>
      </c>
      <c r="FZ1232" s="1" t="s">
        <v>229</v>
      </c>
      <c r="GA1232" s="1" t="s">
        <v>291</v>
      </c>
      <c r="GB1232" s="2">
        <v>42119.0</v>
      </c>
      <c r="GC1232" s="1" t="s">
        <v>13205</v>
      </c>
    </row>
    <row r="1233">
      <c r="A1233" s="1">
        <v>165000.0</v>
      </c>
      <c r="B1233" s="1" t="s">
        <v>185</v>
      </c>
      <c r="C1233" s="1" t="str">
        <f>"08845412"</f>
        <v>08845412</v>
      </c>
      <c r="D1233" s="1" t="s">
        <v>186</v>
      </c>
      <c r="F1233" s="1" t="str">
        <f>"8056"</f>
        <v>8056</v>
      </c>
      <c r="G1233" s="2">
        <v>42059.0</v>
      </c>
      <c r="H1233" s="1">
        <v>173000.0</v>
      </c>
      <c r="I1233" s="1">
        <v>63.0</v>
      </c>
      <c r="J1233" s="1">
        <v>173000.0</v>
      </c>
      <c r="K1233" s="2">
        <v>42119.0</v>
      </c>
      <c r="L1233" s="1">
        <v>63.0</v>
      </c>
      <c r="M1233" s="2">
        <v>42119.0</v>
      </c>
      <c r="N1233" s="1" t="s">
        <v>249</v>
      </c>
      <c r="O1233" s="2">
        <v>42142.0</v>
      </c>
      <c r="P1233" s="1">
        <v>222405.0</v>
      </c>
      <c r="Q1233" s="1">
        <v>22616.0</v>
      </c>
      <c r="S1233" s="1">
        <v>5154.0</v>
      </c>
      <c r="T1233" s="1" t="s">
        <v>3330</v>
      </c>
      <c r="U1233" s="1" t="s">
        <v>189</v>
      </c>
      <c r="V1233" s="1" t="s">
        <v>190</v>
      </c>
      <c r="W1233" s="1">
        <v>60638.0</v>
      </c>
      <c r="Y1233" s="1" t="s">
        <v>13206</v>
      </c>
      <c r="Z1233" s="1">
        <v>1952.0</v>
      </c>
      <c r="AA1233" s="1" t="s">
        <v>192</v>
      </c>
      <c r="AB1233" s="1" t="s">
        <v>193</v>
      </c>
      <c r="AD1233" s="1" t="s">
        <v>194</v>
      </c>
      <c r="AE1233" s="1" t="s">
        <v>195</v>
      </c>
      <c r="AF1233" s="1" t="s">
        <v>659</v>
      </c>
      <c r="AH1233" s="1" t="s">
        <v>1501</v>
      </c>
      <c r="AK1233" s="1">
        <v>7.0</v>
      </c>
      <c r="AL1233" s="1">
        <v>3.0</v>
      </c>
      <c r="AM1233" s="1">
        <v>2.0</v>
      </c>
      <c r="AN1233" s="1">
        <v>0.0</v>
      </c>
      <c r="AO1233" s="1" t="s">
        <v>229</v>
      </c>
      <c r="AQ1233" s="1" t="s">
        <v>198</v>
      </c>
      <c r="AR1233" s="1" t="s">
        <v>192</v>
      </c>
      <c r="AS1233" s="1" t="s">
        <v>199</v>
      </c>
      <c r="AT1233" s="1">
        <v>2.0</v>
      </c>
      <c r="AV1233" s="1" t="s">
        <v>200</v>
      </c>
      <c r="AW1233" s="1">
        <v>1709.0</v>
      </c>
      <c r="AX1233" s="1">
        <v>2013.0</v>
      </c>
      <c r="AY1233" s="1" t="s">
        <v>13207</v>
      </c>
      <c r="AZ1233" s="1" t="s">
        <v>200</v>
      </c>
      <c r="BA1233" s="1" t="str">
        <f>"19073060520000"</f>
        <v>19073060520000</v>
      </c>
      <c r="BB1233" s="1" t="s">
        <v>200</v>
      </c>
      <c r="BC1233" s="1">
        <v>1073.0</v>
      </c>
      <c r="BD1233" s="1">
        <v>165000.0</v>
      </c>
      <c r="BE1233" s="2">
        <v>42057.0</v>
      </c>
      <c r="BF1233" s="1" t="s">
        <v>13208</v>
      </c>
      <c r="BH1233" s="1">
        <v>0.0</v>
      </c>
      <c r="BK1233" s="1" t="s">
        <v>204</v>
      </c>
      <c r="BL1233" s="1" t="str">
        <f t="shared" ref="BL1233:BM1233" si="819">"0"</f>
        <v>0</v>
      </c>
      <c r="BM1233" s="1" t="str">
        <f t="shared" si="819"/>
        <v>0</v>
      </c>
      <c r="BN1233" s="1">
        <v>6800.0</v>
      </c>
      <c r="BO1233" s="1">
        <v>5200.0</v>
      </c>
      <c r="BQ1233" s="1">
        <v>299.0</v>
      </c>
      <c r="BR1233" s="1">
        <v>299.0</v>
      </c>
      <c r="BS1233" s="1">
        <v>299.0</v>
      </c>
      <c r="BU1233" s="1" t="s">
        <v>2713</v>
      </c>
      <c r="BV1233" s="1" t="s">
        <v>206</v>
      </c>
      <c r="BW1233" s="1" t="s">
        <v>207</v>
      </c>
      <c r="BY1233" s="1" t="s">
        <v>332</v>
      </c>
      <c r="BZ1233" s="1" t="s">
        <v>206</v>
      </c>
      <c r="CA1233" s="1" t="s">
        <v>207</v>
      </c>
      <c r="CB1233" s="1" t="s">
        <v>229</v>
      </c>
      <c r="CD1233" s="1" t="s">
        <v>204</v>
      </c>
      <c r="CG1233" s="1" t="s">
        <v>303</v>
      </c>
      <c r="CH1233" s="1" t="s">
        <v>206</v>
      </c>
      <c r="CI1233" s="1" t="s">
        <v>207</v>
      </c>
      <c r="CJ1233" s="1" t="s">
        <v>239</v>
      </c>
      <c r="CK1233" s="1" t="s">
        <v>303</v>
      </c>
      <c r="CL1233" s="1" t="s">
        <v>206</v>
      </c>
      <c r="CM1233" s="1" t="s">
        <v>207</v>
      </c>
      <c r="CN1233" s="1" t="s">
        <v>229</v>
      </c>
      <c r="CO1233" s="1" t="s">
        <v>1397</v>
      </c>
      <c r="CP1233" s="1" t="s">
        <v>42</v>
      </c>
      <c r="CQ1233" s="1" t="s">
        <v>588</v>
      </c>
      <c r="CR1233" s="1" t="s">
        <v>229</v>
      </c>
      <c r="CS1233" s="1" t="s">
        <v>2647</v>
      </c>
      <c r="CT1233" s="1" t="s">
        <v>206</v>
      </c>
      <c r="CU1233" s="1" t="s">
        <v>301</v>
      </c>
      <c r="CV1233" s="1" t="s">
        <v>239</v>
      </c>
      <c r="CX1233" s="1" t="s">
        <v>204</v>
      </c>
      <c r="DA1233" s="1" t="s">
        <v>200</v>
      </c>
      <c r="DC1233" s="1" t="s">
        <v>702</v>
      </c>
      <c r="DD1233" s="1" t="s">
        <v>518</v>
      </c>
      <c r="DE1233" s="1" t="s">
        <v>273</v>
      </c>
      <c r="DF1233" s="1" t="s">
        <v>219</v>
      </c>
      <c r="DG1233" s="1" t="s">
        <v>337</v>
      </c>
      <c r="DH1233" s="1" t="s">
        <v>365</v>
      </c>
      <c r="DI1233" s="1" t="s">
        <v>13209</v>
      </c>
      <c r="DJ1233" s="1" t="s">
        <v>13210</v>
      </c>
      <c r="DL1233" s="1" t="s">
        <v>858</v>
      </c>
      <c r="DM1233" s="1" t="s">
        <v>229</v>
      </c>
      <c r="DO1233" s="1" t="s">
        <v>549</v>
      </c>
      <c r="DQ1233" s="1" t="s">
        <v>718</v>
      </c>
      <c r="DR1233" s="1" t="s">
        <v>229</v>
      </c>
      <c r="DS1233" s="1" t="s">
        <v>9464</v>
      </c>
      <c r="DV1233" s="1" t="s">
        <v>557</v>
      </c>
      <c r="DW1233" s="1" t="s">
        <v>279</v>
      </c>
      <c r="DX1233" s="1" t="s">
        <v>234</v>
      </c>
      <c r="DY1233" s="1" t="s">
        <v>704</v>
      </c>
      <c r="DZ1233" s="1" t="s">
        <v>1100</v>
      </c>
      <c r="EA1233" s="1" t="s">
        <v>644</v>
      </c>
      <c r="EC1233" s="1" t="s">
        <v>685</v>
      </c>
      <c r="EE1233" s="1" t="s">
        <v>1960</v>
      </c>
      <c r="EG1233" s="1" t="s">
        <v>557</v>
      </c>
      <c r="EL1233" s="1" t="s">
        <v>2459</v>
      </c>
      <c r="EM1233" s="1" t="s">
        <v>42</v>
      </c>
      <c r="EN1233" s="1" t="s">
        <v>588</v>
      </c>
      <c r="EO1233" s="1" t="s">
        <v>229</v>
      </c>
      <c r="EQ1233" s="1" t="s">
        <v>238</v>
      </c>
      <c r="EU1233" s="1" t="s">
        <v>238</v>
      </c>
      <c r="EY1233" s="1" t="s">
        <v>238</v>
      </c>
      <c r="FC1233" s="1" t="s">
        <v>238</v>
      </c>
      <c r="FF1233" s="1" t="s">
        <v>239</v>
      </c>
      <c r="FG1233" s="1" t="s">
        <v>192</v>
      </c>
      <c r="FH1233" s="1" t="s">
        <v>192</v>
      </c>
      <c r="FJ1233" s="1" t="s">
        <v>13211</v>
      </c>
      <c r="FK1233" s="1" t="s">
        <v>229</v>
      </c>
      <c r="FL1233" s="1" t="s">
        <v>13212</v>
      </c>
      <c r="FM1233" s="1">
        <v>60227.0</v>
      </c>
      <c r="FN1233" s="1" t="s">
        <v>13213</v>
      </c>
      <c r="FO1233" s="1" t="s">
        <v>13214</v>
      </c>
      <c r="FP1233" s="1">
        <v>600728.0</v>
      </c>
      <c r="FQ1233" s="1" t="s">
        <v>13213</v>
      </c>
      <c r="FS1233" s="1" t="s">
        <v>13215</v>
      </c>
      <c r="FU1233" s="1" t="s">
        <v>871</v>
      </c>
      <c r="FV1233" s="1" t="s">
        <v>200</v>
      </c>
      <c r="FW1233" s="1" t="s">
        <v>1293</v>
      </c>
      <c r="FX1233" s="1" t="s">
        <v>655</v>
      </c>
      <c r="FZ1233" s="1" t="s">
        <v>229</v>
      </c>
      <c r="GA1233" s="1" t="s">
        <v>291</v>
      </c>
      <c r="GB1233" s="2">
        <v>42142.0</v>
      </c>
      <c r="GC1233" s="1" t="s">
        <v>13216</v>
      </c>
    </row>
    <row r="1234">
      <c r="A1234" s="1">
        <v>897500.0</v>
      </c>
      <c r="B1234" s="1" t="s">
        <v>185</v>
      </c>
      <c r="C1234" s="1" t="str">
        <f>"08847508"</f>
        <v>08847508</v>
      </c>
      <c r="D1234" s="1" t="s">
        <v>186</v>
      </c>
      <c r="F1234" s="1" t="str">
        <f>"8022"</f>
        <v>8022</v>
      </c>
      <c r="G1234" s="2">
        <v>42061.0</v>
      </c>
      <c r="H1234" s="1">
        <v>899900.0</v>
      </c>
      <c r="I1234" s="1">
        <v>10.0</v>
      </c>
      <c r="J1234" s="1">
        <v>899900.0</v>
      </c>
      <c r="K1234" s="2">
        <v>42061.0</v>
      </c>
      <c r="L1234" s="1">
        <v>1.0</v>
      </c>
      <c r="M1234" s="2">
        <v>42061.0</v>
      </c>
      <c r="N1234" s="1" t="s">
        <v>187</v>
      </c>
      <c r="O1234" s="2">
        <v>42102.0</v>
      </c>
      <c r="P1234" s="1">
        <v>156809.0</v>
      </c>
      <c r="Q1234" s="1">
        <v>10317.0</v>
      </c>
      <c r="S1234" s="1">
        <v>2138.0</v>
      </c>
      <c r="T1234" s="1" t="s">
        <v>13217</v>
      </c>
      <c r="U1234" s="1" t="s">
        <v>189</v>
      </c>
      <c r="V1234" s="1" t="s">
        <v>190</v>
      </c>
      <c r="W1234" s="1">
        <v>60647.0</v>
      </c>
      <c r="Y1234" s="1" t="s">
        <v>13218</v>
      </c>
      <c r="Z1234" s="1" t="s">
        <v>296</v>
      </c>
      <c r="AA1234" s="1" t="s">
        <v>192</v>
      </c>
      <c r="AB1234" s="1" t="s">
        <v>193</v>
      </c>
      <c r="AD1234" s="1" t="s">
        <v>194</v>
      </c>
      <c r="AE1234" s="1" t="s">
        <v>195</v>
      </c>
      <c r="AF1234" s="1" t="s">
        <v>2645</v>
      </c>
      <c r="AH1234" s="1" t="s">
        <v>5462</v>
      </c>
      <c r="AK1234" s="1">
        <v>9.0</v>
      </c>
      <c r="AL1234" s="1">
        <v>3.0</v>
      </c>
      <c r="AM1234" s="1">
        <v>3.0</v>
      </c>
      <c r="AN1234" s="1">
        <v>1.0</v>
      </c>
      <c r="AO1234" s="1" t="s">
        <v>198</v>
      </c>
      <c r="AP1234" s="1">
        <v>2.0</v>
      </c>
      <c r="AQ1234" s="1" t="s">
        <v>198</v>
      </c>
      <c r="AR1234" s="1" t="s">
        <v>192</v>
      </c>
      <c r="AS1234" s="1" t="s">
        <v>199</v>
      </c>
      <c r="AT1234" s="1">
        <v>2.0</v>
      </c>
      <c r="AV1234" s="1" t="s">
        <v>200</v>
      </c>
      <c r="AW1234" s="1">
        <v>8387.17</v>
      </c>
      <c r="AX1234" s="1">
        <v>2013.0</v>
      </c>
      <c r="AZ1234" s="1" t="s">
        <v>200</v>
      </c>
      <c r="BA1234" s="1" t="str">
        <f>"14311300240000"</f>
        <v>14311300240000</v>
      </c>
      <c r="BC1234" s="1">
        <v>0.0</v>
      </c>
      <c r="BD1234" s="1">
        <v>897500.0</v>
      </c>
      <c r="BE1234" s="2">
        <v>42061.0</v>
      </c>
      <c r="BF1234" s="2" t="s">
        <v>13219</v>
      </c>
      <c r="BH1234" s="1">
        <v>0.0</v>
      </c>
      <c r="BK1234" s="1" t="s">
        <v>204</v>
      </c>
      <c r="BL1234" s="1" t="str">
        <f>"2200"</f>
        <v>2200</v>
      </c>
      <c r="BM1234" s="1" t="str">
        <f>"0"</f>
        <v>0</v>
      </c>
      <c r="BN1234" s="1">
        <v>2138.0</v>
      </c>
      <c r="BO1234" s="1">
        <v>0.0</v>
      </c>
      <c r="BQ1234" s="1">
        <v>299.0</v>
      </c>
      <c r="BR1234" s="1">
        <v>299.0</v>
      </c>
      <c r="BS1234" s="1">
        <v>299.0</v>
      </c>
      <c r="BU1234" s="1" t="s">
        <v>208</v>
      </c>
      <c r="BV1234" s="1" t="s">
        <v>206</v>
      </c>
      <c r="BW1234" s="1" t="s">
        <v>207</v>
      </c>
      <c r="BY1234" s="1" t="s">
        <v>208</v>
      </c>
      <c r="BZ1234" s="1" t="s">
        <v>209</v>
      </c>
      <c r="CA1234" s="1" t="s">
        <v>207</v>
      </c>
      <c r="CC1234" s="1" t="s">
        <v>393</v>
      </c>
      <c r="CD1234" s="1" t="s">
        <v>206</v>
      </c>
      <c r="CE1234" s="1" t="s">
        <v>207</v>
      </c>
      <c r="CG1234" s="1" t="s">
        <v>363</v>
      </c>
      <c r="CH1234" s="1" t="s">
        <v>209</v>
      </c>
      <c r="CI1234" s="1" t="s">
        <v>207</v>
      </c>
      <c r="CK1234" s="1" t="s">
        <v>205</v>
      </c>
      <c r="CL1234" s="1" t="s">
        <v>209</v>
      </c>
      <c r="CM1234" s="1" t="s">
        <v>207</v>
      </c>
      <c r="CO1234" s="1" t="s">
        <v>269</v>
      </c>
      <c r="CP1234" s="1" t="s">
        <v>42</v>
      </c>
      <c r="CQ1234" s="1" t="s">
        <v>210</v>
      </c>
      <c r="CS1234" s="1" t="s">
        <v>743</v>
      </c>
      <c r="CT1234" s="1" t="s">
        <v>206</v>
      </c>
      <c r="CU1234" s="1" t="s">
        <v>207</v>
      </c>
      <c r="CW1234" s="1" t="s">
        <v>208</v>
      </c>
      <c r="CX1234" s="1" t="s">
        <v>206</v>
      </c>
      <c r="CY1234" s="1" t="s">
        <v>207</v>
      </c>
      <c r="DA1234" s="1" t="s">
        <v>200</v>
      </c>
      <c r="DC1234" s="1" t="s">
        <v>335</v>
      </c>
      <c r="DD1234" s="1" t="s">
        <v>217</v>
      </c>
      <c r="DE1234" s="1" t="s">
        <v>273</v>
      </c>
      <c r="DF1234" s="1" t="s">
        <v>219</v>
      </c>
      <c r="DH1234" s="1" t="s">
        <v>365</v>
      </c>
      <c r="DI1234" s="1" t="s">
        <v>221</v>
      </c>
      <c r="DJ1234" s="1" t="s">
        <v>222</v>
      </c>
      <c r="DL1234" s="1" t="s">
        <v>224</v>
      </c>
      <c r="DM1234" s="1" t="s">
        <v>229</v>
      </c>
      <c r="DN1234" s="1" t="s">
        <v>548</v>
      </c>
      <c r="DP1234" s="1" t="s">
        <v>340</v>
      </c>
      <c r="DQ1234" s="1" t="s">
        <v>228</v>
      </c>
      <c r="DR1234" s="1" t="s">
        <v>229</v>
      </c>
      <c r="DS1234" s="1" t="s">
        <v>230</v>
      </c>
      <c r="DV1234" s="1" t="s">
        <v>450</v>
      </c>
      <c r="DW1234" s="1" t="s">
        <v>10739</v>
      </c>
      <c r="DX1234" s="1" t="s">
        <v>234</v>
      </c>
      <c r="DY1234" s="1" t="s">
        <v>12883</v>
      </c>
      <c r="EB1234" s="1" t="s">
        <v>937</v>
      </c>
      <c r="EC1234" s="1" t="s">
        <v>237</v>
      </c>
      <c r="EG1234" s="1" t="s">
        <v>450</v>
      </c>
      <c r="EL1234" s="1" t="s">
        <v>2013</v>
      </c>
      <c r="EM1234" s="1" t="s">
        <v>42</v>
      </c>
      <c r="EN1234" s="1" t="s">
        <v>210</v>
      </c>
      <c r="EQ1234" s="1" t="s">
        <v>238</v>
      </c>
      <c r="EU1234" s="1" t="s">
        <v>238</v>
      </c>
      <c r="EY1234" s="1" t="s">
        <v>238</v>
      </c>
      <c r="FC1234" s="1" t="s">
        <v>238</v>
      </c>
      <c r="FF1234" s="1" t="s">
        <v>239</v>
      </c>
      <c r="FG1234" s="1" t="s">
        <v>192</v>
      </c>
      <c r="FH1234" s="1" t="s">
        <v>192</v>
      </c>
      <c r="FJ1234" s="1" t="s">
        <v>561</v>
      </c>
      <c r="FK1234" s="1" t="s">
        <v>229</v>
      </c>
      <c r="FL1234" s="1" t="s">
        <v>562</v>
      </c>
      <c r="FM1234" s="1">
        <v>84025.0</v>
      </c>
      <c r="FN1234" s="1" t="s">
        <v>2509</v>
      </c>
      <c r="FO1234" s="1" t="s">
        <v>12696</v>
      </c>
      <c r="FP1234" s="1">
        <v>146501.0</v>
      </c>
      <c r="FQ1234" s="1" t="s">
        <v>12697</v>
      </c>
      <c r="FR1234" s="1">
        <v>166792.0</v>
      </c>
      <c r="FU1234" s="1" t="s">
        <v>1438</v>
      </c>
      <c r="FV1234" s="1" t="s">
        <v>192</v>
      </c>
      <c r="FW1234" s="1" t="s">
        <v>290</v>
      </c>
      <c r="FX1234" s="1" t="s">
        <v>246</v>
      </c>
      <c r="FZ1234" s="1" t="s">
        <v>229</v>
      </c>
      <c r="GA1234" s="1" t="s">
        <v>291</v>
      </c>
      <c r="GB1234" s="2">
        <v>42102.0</v>
      </c>
    </row>
    <row r="1235">
      <c r="A1235" s="1">
        <v>323000.0</v>
      </c>
      <c r="B1235" s="1" t="s">
        <v>185</v>
      </c>
      <c r="C1235" s="1" t="str">
        <f>"08852804"</f>
        <v>08852804</v>
      </c>
      <c r="D1235" s="1" t="s">
        <v>186</v>
      </c>
      <c r="F1235" s="1" t="str">
        <f>"174"</f>
        <v>174</v>
      </c>
      <c r="G1235" s="2">
        <v>42067.0</v>
      </c>
      <c r="H1235" s="1">
        <v>329900.0</v>
      </c>
      <c r="I1235" s="1">
        <v>2.0</v>
      </c>
      <c r="J1235" s="1">
        <v>329900.0</v>
      </c>
      <c r="K1235" s="2">
        <v>42068.0</v>
      </c>
      <c r="L1235" s="1">
        <v>2.0</v>
      </c>
      <c r="M1235" s="2">
        <v>42068.0</v>
      </c>
      <c r="N1235" s="1" t="s">
        <v>187</v>
      </c>
      <c r="O1235" s="2">
        <v>42138.0</v>
      </c>
      <c r="P1235" s="1">
        <v>7679.0</v>
      </c>
      <c r="Q1235" s="1">
        <v>30.0</v>
      </c>
      <c r="S1235" s="1">
        <v>16.0</v>
      </c>
      <c r="T1235" s="1" t="s">
        <v>13220</v>
      </c>
      <c r="V1235" s="1" t="s">
        <v>1200</v>
      </c>
      <c r="W1235" s="1">
        <v>60174.0</v>
      </c>
      <c r="Y1235" s="1" t="s">
        <v>13221</v>
      </c>
      <c r="Z1235" s="1">
        <v>1977.0</v>
      </c>
      <c r="AA1235" s="1" t="s">
        <v>192</v>
      </c>
      <c r="AB1235" s="1" t="s">
        <v>193</v>
      </c>
      <c r="AC1235" s="1" t="s">
        <v>13222</v>
      </c>
      <c r="AD1235" s="1" t="s">
        <v>1203</v>
      </c>
      <c r="AE1235" s="1" t="s">
        <v>325</v>
      </c>
      <c r="AF1235" s="1" t="s">
        <v>1203</v>
      </c>
      <c r="AH1235" s="1" t="s">
        <v>13223</v>
      </c>
      <c r="AI1235" s="1">
        <v>0.2045</v>
      </c>
      <c r="AK1235" s="1">
        <v>11.0</v>
      </c>
      <c r="AL1235" s="1">
        <v>4.0</v>
      </c>
      <c r="AM1235" s="1">
        <v>2.0</v>
      </c>
      <c r="AN1235" s="1">
        <v>1.0</v>
      </c>
      <c r="AO1235" s="1" t="s">
        <v>198</v>
      </c>
      <c r="AP1235" s="1">
        <v>1.0</v>
      </c>
      <c r="AQ1235" s="1" t="s">
        <v>198</v>
      </c>
      <c r="AR1235" s="1" t="s">
        <v>200</v>
      </c>
      <c r="AS1235" s="1" t="s">
        <v>199</v>
      </c>
      <c r="AT1235" s="1">
        <v>2.0</v>
      </c>
      <c r="AV1235" s="1" t="s">
        <v>200</v>
      </c>
      <c r="AW1235" s="1">
        <v>8121.8</v>
      </c>
      <c r="AX1235" s="1">
        <v>2013.0</v>
      </c>
      <c r="AY1235" s="1" t="s">
        <v>387</v>
      </c>
      <c r="AZ1235" s="1" t="s">
        <v>200</v>
      </c>
      <c r="BA1235" s="1" t="str">
        <f>"0923477002"</f>
        <v>0923477002</v>
      </c>
      <c r="BB1235" s="1" t="s">
        <v>200</v>
      </c>
      <c r="BC1235" s="1">
        <v>2191.0</v>
      </c>
      <c r="BD1235" s="1">
        <v>323000.0</v>
      </c>
      <c r="BE1235" s="2">
        <v>42067.0</v>
      </c>
      <c r="BF1235" s="2" t="s">
        <v>13224</v>
      </c>
      <c r="BG1235" s="1" t="s">
        <v>3610</v>
      </c>
      <c r="BH1235" s="1">
        <v>0.0</v>
      </c>
      <c r="BI1235" s="1" t="s">
        <v>2143</v>
      </c>
      <c r="BJ1235" s="1" t="s">
        <v>2144</v>
      </c>
      <c r="BK1235" s="1" t="s">
        <v>204</v>
      </c>
      <c r="BL1235" s="1" t="str">
        <f t="shared" ref="BL1235:BM1235" si="820">""</f>
        <v/>
      </c>
      <c r="BM1235" s="1" t="str">
        <f t="shared" si="820"/>
        <v/>
      </c>
      <c r="BQ1235" s="1">
        <v>303.0</v>
      </c>
      <c r="BR1235" s="1">
        <v>303.0</v>
      </c>
      <c r="BS1235" s="1">
        <v>303.0</v>
      </c>
      <c r="BU1235" s="1" t="s">
        <v>782</v>
      </c>
      <c r="BV1235" s="1" t="s">
        <v>206</v>
      </c>
      <c r="BW1235" s="1" t="s">
        <v>210</v>
      </c>
      <c r="BX1235" s="1" t="s">
        <v>239</v>
      </c>
      <c r="BY1235" s="1" t="s">
        <v>784</v>
      </c>
      <c r="BZ1235" s="1" t="s">
        <v>209</v>
      </c>
      <c r="CA1235" s="1" t="s">
        <v>210</v>
      </c>
      <c r="CB1235" s="1" t="s">
        <v>239</v>
      </c>
      <c r="CC1235" s="1" t="s">
        <v>542</v>
      </c>
      <c r="CD1235" s="1" t="s">
        <v>206</v>
      </c>
      <c r="CE1235" s="1" t="s">
        <v>210</v>
      </c>
      <c r="CF1235" s="1" t="s">
        <v>239</v>
      </c>
      <c r="CG1235" s="1" t="s">
        <v>212</v>
      </c>
      <c r="CH1235" s="1" t="s">
        <v>209</v>
      </c>
      <c r="CI1235" s="1" t="s">
        <v>210</v>
      </c>
      <c r="CJ1235" s="1" t="s">
        <v>239</v>
      </c>
      <c r="CK1235" s="1" t="s">
        <v>212</v>
      </c>
      <c r="CL1235" s="1" t="s">
        <v>209</v>
      </c>
      <c r="CM1235" s="1" t="s">
        <v>210</v>
      </c>
      <c r="CN1235" s="1" t="s">
        <v>239</v>
      </c>
      <c r="CO1235" s="1" t="s">
        <v>495</v>
      </c>
      <c r="CP1235" s="1" t="s">
        <v>209</v>
      </c>
      <c r="CQ1235" s="1" t="s">
        <v>210</v>
      </c>
      <c r="CR1235" s="1" t="s">
        <v>239</v>
      </c>
      <c r="CS1235" s="1" t="s">
        <v>541</v>
      </c>
      <c r="CT1235" s="1" t="s">
        <v>206</v>
      </c>
      <c r="CU1235" s="1" t="s">
        <v>207</v>
      </c>
      <c r="CV1235" s="1" t="s">
        <v>239</v>
      </c>
      <c r="CW1235" s="1" t="s">
        <v>361</v>
      </c>
      <c r="CX1235" s="1" t="s">
        <v>206</v>
      </c>
      <c r="CY1235" s="1" t="s">
        <v>207</v>
      </c>
      <c r="CZ1235" s="1" t="s">
        <v>239</v>
      </c>
      <c r="DA1235" s="1" t="s">
        <v>200</v>
      </c>
      <c r="DC1235" s="1" t="s">
        <v>395</v>
      </c>
      <c r="DD1235" s="1" t="s">
        <v>4137</v>
      </c>
      <c r="DE1235" s="1" t="s">
        <v>273</v>
      </c>
      <c r="DF1235" s="1" t="s">
        <v>219</v>
      </c>
      <c r="DG1235" s="1" t="s">
        <v>1020</v>
      </c>
      <c r="DH1235" s="1" t="s">
        <v>220</v>
      </c>
      <c r="DI1235" s="1" t="s">
        <v>959</v>
      </c>
      <c r="DJ1235" s="1" t="s">
        <v>222</v>
      </c>
      <c r="DK1235" s="1" t="s">
        <v>223</v>
      </c>
      <c r="DL1235" s="1" t="s">
        <v>858</v>
      </c>
      <c r="DM1235" s="1" t="s">
        <v>338</v>
      </c>
      <c r="DN1235" s="1" t="s">
        <v>339</v>
      </c>
      <c r="DP1235" s="1" t="s">
        <v>276</v>
      </c>
      <c r="DQ1235" s="1" t="s">
        <v>228</v>
      </c>
      <c r="DR1235" s="1" t="s">
        <v>229</v>
      </c>
      <c r="DS1235" s="1" t="s">
        <v>401</v>
      </c>
      <c r="DU1235" s="1" t="s">
        <v>3890</v>
      </c>
      <c r="DV1235" s="1" t="s">
        <v>13225</v>
      </c>
      <c r="DW1235" s="1" t="s">
        <v>444</v>
      </c>
      <c r="DX1235" s="1" t="s">
        <v>234</v>
      </c>
      <c r="DY1235" s="1" t="s">
        <v>13226</v>
      </c>
      <c r="DZ1235" s="1" t="s">
        <v>1100</v>
      </c>
      <c r="EB1235" s="1" t="s">
        <v>2183</v>
      </c>
      <c r="EC1235" s="1" t="s">
        <v>237</v>
      </c>
      <c r="ED1235" s="1" t="s">
        <v>407</v>
      </c>
      <c r="EE1235" s="1" t="s">
        <v>493</v>
      </c>
      <c r="EG1235" s="1" t="s">
        <v>408</v>
      </c>
      <c r="EH1235" s="1" t="s">
        <v>557</v>
      </c>
      <c r="EI1235" s="1" t="s">
        <v>450</v>
      </c>
      <c r="EJ1235" s="1" t="s">
        <v>1121</v>
      </c>
      <c r="EL1235" s="1" t="s">
        <v>971</v>
      </c>
      <c r="EM1235" s="1" t="s">
        <v>206</v>
      </c>
      <c r="EN1235" s="1" t="s">
        <v>207</v>
      </c>
      <c r="EP1235" s="1" t="s">
        <v>623</v>
      </c>
      <c r="EQ1235" s="1" t="s">
        <v>42</v>
      </c>
      <c r="ER1235" s="1" t="s">
        <v>617</v>
      </c>
      <c r="ET1235" s="1" t="s">
        <v>1426</v>
      </c>
      <c r="EU1235" s="1" t="s">
        <v>42</v>
      </c>
      <c r="EV1235" s="1" t="s">
        <v>617</v>
      </c>
      <c r="EX1235" s="1" t="s">
        <v>433</v>
      </c>
      <c r="EY1235" s="1" t="s">
        <v>42</v>
      </c>
      <c r="EZ1235" s="1" t="s">
        <v>210</v>
      </c>
      <c r="FC1235" s="1" t="s">
        <v>238</v>
      </c>
      <c r="FF1235" s="1" t="s">
        <v>239</v>
      </c>
      <c r="FG1235" s="1" t="s">
        <v>192</v>
      </c>
      <c r="FH1235" s="1" t="s">
        <v>192</v>
      </c>
      <c r="FJ1235" s="1" t="s">
        <v>770</v>
      </c>
      <c r="FK1235" s="1" t="s">
        <v>229</v>
      </c>
      <c r="FL1235" s="1" t="s">
        <v>13227</v>
      </c>
      <c r="FM1235" s="1">
        <v>23934.0</v>
      </c>
      <c r="FN1235" s="1" t="s">
        <v>13228</v>
      </c>
      <c r="FO1235" s="1" t="s">
        <v>13229</v>
      </c>
      <c r="FP1235" s="1">
        <v>221533.0</v>
      </c>
      <c r="FQ1235" s="1" t="s">
        <v>13230</v>
      </c>
      <c r="FU1235" s="1" t="s">
        <v>13231</v>
      </c>
      <c r="FV1235" s="1" t="s">
        <v>200</v>
      </c>
      <c r="FW1235" s="1" t="s">
        <v>290</v>
      </c>
      <c r="FZ1235" s="1" t="s">
        <v>229</v>
      </c>
      <c r="GA1235" s="1" t="s">
        <v>291</v>
      </c>
      <c r="GB1235" s="2">
        <v>42138.0</v>
      </c>
    </row>
    <row r="1236">
      <c r="A1236" s="1">
        <v>266000.0</v>
      </c>
      <c r="B1236" s="1" t="s">
        <v>185</v>
      </c>
      <c r="C1236" s="1" t="str">
        <f>"08845847"</f>
        <v>08845847</v>
      </c>
      <c r="D1236" s="1" t="s">
        <v>186</v>
      </c>
      <c r="F1236" s="1" t="str">
        <f t="shared" ref="F1236:F1237" si="821">"8017"</f>
        <v>8017</v>
      </c>
      <c r="G1236" s="2">
        <v>42059.0</v>
      </c>
      <c r="H1236" s="1">
        <v>264900.0</v>
      </c>
      <c r="I1236" s="1">
        <v>29.0</v>
      </c>
      <c r="J1236" s="1">
        <v>264900.0</v>
      </c>
      <c r="K1236" s="2">
        <v>42087.0</v>
      </c>
      <c r="L1236" s="1">
        <v>29.0</v>
      </c>
      <c r="M1236" s="2">
        <v>42087.0</v>
      </c>
      <c r="N1236" s="1" t="s">
        <v>356</v>
      </c>
      <c r="O1236" s="2">
        <v>42139.0</v>
      </c>
      <c r="P1236" s="1">
        <v>133219.0</v>
      </c>
      <c r="Q1236" s="1">
        <v>15904.0</v>
      </c>
      <c r="R1236" s="1">
        <v>5000.0</v>
      </c>
      <c r="S1236" s="1">
        <v>3907.0</v>
      </c>
      <c r="T1236" s="1" t="s">
        <v>13232</v>
      </c>
      <c r="U1236" s="1" t="s">
        <v>189</v>
      </c>
      <c r="V1236" s="1" t="s">
        <v>190</v>
      </c>
      <c r="W1236" s="1">
        <v>60634.0</v>
      </c>
      <c r="Y1236" s="1" t="s">
        <v>13233</v>
      </c>
      <c r="Z1236" s="1">
        <v>1929.0</v>
      </c>
      <c r="AA1236" s="1" t="s">
        <v>192</v>
      </c>
      <c r="AB1236" s="1" t="s">
        <v>193</v>
      </c>
      <c r="AD1236" s="1" t="s">
        <v>194</v>
      </c>
      <c r="AE1236" s="1" t="s">
        <v>195</v>
      </c>
      <c r="AF1236" s="1" t="s">
        <v>196</v>
      </c>
      <c r="AH1236" s="1" t="s">
        <v>13234</v>
      </c>
      <c r="AK1236" s="1">
        <v>7.0</v>
      </c>
      <c r="AL1236" s="1">
        <v>4.0</v>
      </c>
      <c r="AM1236" s="1">
        <v>2.0</v>
      </c>
      <c r="AN1236" s="1">
        <v>1.0</v>
      </c>
      <c r="AO1236" s="1" t="s">
        <v>229</v>
      </c>
      <c r="AQ1236" s="1" t="s">
        <v>198</v>
      </c>
      <c r="AR1236" s="1" t="s">
        <v>200</v>
      </c>
      <c r="AS1236" s="1" t="s">
        <v>199</v>
      </c>
      <c r="AT1236" s="1">
        <v>2.0</v>
      </c>
      <c r="AV1236" s="1" t="s">
        <v>200</v>
      </c>
      <c r="AW1236" s="1">
        <v>2750.0</v>
      </c>
      <c r="AX1236" s="1">
        <v>2013.0</v>
      </c>
      <c r="AZ1236" s="1" t="s">
        <v>545</v>
      </c>
      <c r="BA1236" s="1" t="str">
        <f>"12242050060000"</f>
        <v>12242050060000</v>
      </c>
      <c r="BC1236" s="1">
        <v>0.0</v>
      </c>
      <c r="BD1236" s="1">
        <v>266000.0</v>
      </c>
      <c r="BE1236" s="2">
        <v>42059.0</v>
      </c>
      <c r="BF1236" s="2" t="s">
        <v>13235</v>
      </c>
      <c r="BH1236" s="1">
        <v>0.0</v>
      </c>
      <c r="BK1236" s="1" t="s">
        <v>204</v>
      </c>
      <c r="BL1236" s="1" t="str">
        <f>"3907"</f>
        <v>3907</v>
      </c>
      <c r="BM1236" s="1" t="str">
        <f t="shared" ref="BM1236:BM1237" si="822">"0"</f>
        <v>0</v>
      </c>
      <c r="BN1236" s="1">
        <v>7400.0</v>
      </c>
      <c r="BO1236" s="1">
        <v>0.0</v>
      </c>
      <c r="BQ1236" s="1">
        <v>299.0</v>
      </c>
      <c r="BR1236" s="1">
        <v>299.0</v>
      </c>
      <c r="BS1236" s="1">
        <v>299.0</v>
      </c>
      <c r="BU1236" s="1" t="s">
        <v>758</v>
      </c>
      <c r="BV1236" s="1" t="s">
        <v>206</v>
      </c>
      <c r="BW1236" s="1" t="s">
        <v>210</v>
      </c>
      <c r="BY1236" s="1" t="s">
        <v>331</v>
      </c>
      <c r="BZ1236" s="1" t="s">
        <v>206</v>
      </c>
      <c r="CA1236" s="1" t="s">
        <v>210</v>
      </c>
      <c r="CC1236" s="1" t="s">
        <v>211</v>
      </c>
      <c r="CD1236" s="1" t="s">
        <v>206</v>
      </c>
      <c r="CE1236" s="1" t="s">
        <v>210</v>
      </c>
      <c r="CG1236" s="1" t="s">
        <v>699</v>
      </c>
      <c r="CH1236" s="1" t="s">
        <v>209</v>
      </c>
      <c r="CI1236" s="1" t="s">
        <v>207</v>
      </c>
      <c r="CK1236" s="1" t="s">
        <v>212</v>
      </c>
      <c r="CL1236" s="1" t="s">
        <v>209</v>
      </c>
      <c r="CM1236" s="1" t="s">
        <v>207</v>
      </c>
      <c r="CO1236" s="1" t="s">
        <v>264</v>
      </c>
      <c r="CP1236" s="1" t="s">
        <v>209</v>
      </c>
      <c r="CQ1236" s="1" t="s">
        <v>207</v>
      </c>
      <c r="CS1236" s="1" t="s">
        <v>363</v>
      </c>
      <c r="CT1236" s="1" t="s">
        <v>206</v>
      </c>
      <c r="CU1236" s="1" t="s">
        <v>268</v>
      </c>
      <c r="CX1236" s="1" t="s">
        <v>204</v>
      </c>
      <c r="DA1236" s="1" t="s">
        <v>200</v>
      </c>
      <c r="DC1236" s="1" t="s">
        <v>785</v>
      </c>
      <c r="DD1236" s="1" t="s">
        <v>518</v>
      </c>
      <c r="DE1236" s="1" t="s">
        <v>273</v>
      </c>
      <c r="DF1236" s="1" t="s">
        <v>619</v>
      </c>
      <c r="DH1236" s="1" t="s">
        <v>365</v>
      </c>
      <c r="DJ1236" s="1" t="s">
        <v>222</v>
      </c>
      <c r="DL1236" s="1" t="s">
        <v>223</v>
      </c>
      <c r="DM1236" s="1" t="s">
        <v>229</v>
      </c>
      <c r="DP1236" s="1" t="s">
        <v>340</v>
      </c>
      <c r="DQ1236" s="1" t="s">
        <v>228</v>
      </c>
      <c r="DR1236" s="1" t="s">
        <v>229</v>
      </c>
      <c r="DV1236" s="1" t="s">
        <v>232</v>
      </c>
      <c r="DW1236" s="1" t="s">
        <v>279</v>
      </c>
      <c r="DX1236" s="1" t="s">
        <v>234</v>
      </c>
      <c r="EA1236" s="1" t="s">
        <v>644</v>
      </c>
      <c r="EC1236" s="1" t="s">
        <v>645</v>
      </c>
      <c r="EM1236" s="1" t="s">
        <v>238</v>
      </c>
      <c r="EQ1236" s="1" t="s">
        <v>238</v>
      </c>
      <c r="EU1236" s="1" t="s">
        <v>238</v>
      </c>
      <c r="EY1236" s="1" t="s">
        <v>238</v>
      </c>
      <c r="FC1236" s="1" t="s">
        <v>238</v>
      </c>
      <c r="FF1236" s="1" t="s">
        <v>239</v>
      </c>
      <c r="FG1236" s="1" t="s">
        <v>192</v>
      </c>
      <c r="FH1236" s="1" t="s">
        <v>192</v>
      </c>
      <c r="FJ1236" s="1" t="s">
        <v>524</v>
      </c>
      <c r="FK1236" s="1" t="s">
        <v>229</v>
      </c>
      <c r="FL1236" s="1" t="s">
        <v>1520</v>
      </c>
      <c r="FM1236" s="1">
        <v>10841.0</v>
      </c>
      <c r="FN1236" s="1" t="s">
        <v>1521</v>
      </c>
      <c r="FO1236" s="1" t="s">
        <v>1522</v>
      </c>
      <c r="FP1236" s="1">
        <v>109860.0</v>
      </c>
      <c r="FQ1236" s="1" t="s">
        <v>1521</v>
      </c>
      <c r="FU1236" s="1" t="s">
        <v>1523</v>
      </c>
      <c r="FV1236" s="1" t="s">
        <v>200</v>
      </c>
      <c r="FW1236" s="1" t="s">
        <v>13236</v>
      </c>
      <c r="FX1236" s="1" t="s">
        <v>238</v>
      </c>
      <c r="FZ1236" s="1" t="s">
        <v>229</v>
      </c>
      <c r="GA1236" s="1" t="s">
        <v>291</v>
      </c>
      <c r="GB1236" s="2">
        <v>42139.0</v>
      </c>
      <c r="GC1236" s="1" t="s">
        <v>13237</v>
      </c>
    </row>
    <row r="1237">
      <c r="A1237" s="1">
        <v>306000.0</v>
      </c>
      <c r="B1237" s="1" t="s">
        <v>185</v>
      </c>
      <c r="C1237" s="1" t="str">
        <f>"08846927"</f>
        <v>08846927</v>
      </c>
      <c r="D1237" s="1" t="s">
        <v>186</v>
      </c>
      <c r="F1237" s="1" t="str">
        <f t="shared" si="821"/>
        <v>8017</v>
      </c>
      <c r="G1237" s="2">
        <v>42061.0</v>
      </c>
      <c r="H1237" s="1">
        <v>309000.0</v>
      </c>
      <c r="I1237" s="1">
        <v>50.0</v>
      </c>
      <c r="J1237" s="1">
        <v>309000.0</v>
      </c>
      <c r="K1237" s="2">
        <v>42082.0</v>
      </c>
      <c r="L1237" s="1">
        <v>22.0</v>
      </c>
      <c r="M1237" s="2">
        <v>42082.0</v>
      </c>
      <c r="N1237" s="1" t="s">
        <v>249</v>
      </c>
      <c r="O1237" s="2">
        <v>42132.0</v>
      </c>
      <c r="P1237" s="1">
        <v>168170.0</v>
      </c>
      <c r="Q1237" s="1">
        <v>10013.0</v>
      </c>
      <c r="S1237" s="1">
        <v>3217.0</v>
      </c>
      <c r="T1237" s="1" t="s">
        <v>13238</v>
      </c>
      <c r="U1237" s="1" t="s">
        <v>189</v>
      </c>
      <c r="V1237" s="1" t="s">
        <v>190</v>
      </c>
      <c r="W1237" s="1">
        <v>60634.0</v>
      </c>
      <c r="Y1237" s="1" t="s">
        <v>13239</v>
      </c>
      <c r="Z1237" s="1">
        <v>1947.0</v>
      </c>
      <c r="AA1237" s="1" t="s">
        <v>192</v>
      </c>
      <c r="AB1237" s="1" t="s">
        <v>193</v>
      </c>
      <c r="AD1237" s="1" t="s">
        <v>194</v>
      </c>
      <c r="AE1237" s="1" t="s">
        <v>195</v>
      </c>
      <c r="AF1237" s="1" t="s">
        <v>196</v>
      </c>
      <c r="AH1237" s="1" t="s">
        <v>359</v>
      </c>
      <c r="AI1237" s="1">
        <v>0.0861</v>
      </c>
      <c r="AK1237" s="1">
        <v>9.0</v>
      </c>
      <c r="AL1237" s="1">
        <v>4.0</v>
      </c>
      <c r="AM1237" s="1">
        <v>3.0</v>
      </c>
      <c r="AN1237" s="1">
        <v>0.0</v>
      </c>
      <c r="AO1237" s="1" t="s">
        <v>229</v>
      </c>
      <c r="AQ1237" s="1" t="s">
        <v>198</v>
      </c>
      <c r="AR1237" s="1" t="s">
        <v>192</v>
      </c>
      <c r="AS1237" s="1" t="s">
        <v>199</v>
      </c>
      <c r="AT1237" s="1">
        <v>2.0</v>
      </c>
      <c r="AV1237" s="1" t="s">
        <v>200</v>
      </c>
      <c r="AW1237" s="1">
        <v>7300.89</v>
      </c>
      <c r="AX1237" s="1">
        <v>2013.0</v>
      </c>
      <c r="AZ1237" s="1" t="s">
        <v>200</v>
      </c>
      <c r="BA1237" s="1" t="str">
        <f>"12243240120000"</f>
        <v>12243240120000</v>
      </c>
      <c r="BC1237" s="1">
        <v>2037.0</v>
      </c>
      <c r="BD1237" s="1">
        <v>306000.0</v>
      </c>
      <c r="BE1237" s="2">
        <v>42061.0</v>
      </c>
      <c r="BF1237" s="2" t="s">
        <v>13240</v>
      </c>
      <c r="BH1237" s="1">
        <v>0.0</v>
      </c>
      <c r="BK1237" s="1" t="s">
        <v>204</v>
      </c>
      <c r="BL1237" s="1" t="str">
        <f>"3200"</f>
        <v>3200</v>
      </c>
      <c r="BM1237" s="1" t="str">
        <f t="shared" si="822"/>
        <v>0</v>
      </c>
      <c r="BN1237" s="1">
        <v>8000.0</v>
      </c>
      <c r="BO1237" s="1">
        <v>0.0</v>
      </c>
      <c r="BQ1237" s="1">
        <v>299.0</v>
      </c>
      <c r="BR1237" s="1">
        <v>299.0</v>
      </c>
      <c r="BS1237" s="1">
        <v>299.0</v>
      </c>
      <c r="BU1237" s="1" t="s">
        <v>664</v>
      </c>
      <c r="BV1237" s="1" t="s">
        <v>206</v>
      </c>
      <c r="BW1237" s="1" t="s">
        <v>207</v>
      </c>
      <c r="BY1237" s="1" t="s">
        <v>363</v>
      </c>
      <c r="BZ1237" s="1" t="s">
        <v>206</v>
      </c>
      <c r="CA1237" s="1" t="s">
        <v>207</v>
      </c>
      <c r="CC1237" s="1" t="s">
        <v>363</v>
      </c>
      <c r="CD1237" s="1" t="s">
        <v>206</v>
      </c>
      <c r="CE1237" s="1" t="s">
        <v>207</v>
      </c>
      <c r="CG1237" s="1" t="s">
        <v>212</v>
      </c>
      <c r="CH1237" s="1" t="s">
        <v>206</v>
      </c>
      <c r="CI1237" s="1" t="s">
        <v>207</v>
      </c>
      <c r="CK1237" s="1" t="s">
        <v>332</v>
      </c>
      <c r="CL1237" s="1" t="s">
        <v>209</v>
      </c>
      <c r="CM1237" s="1" t="s">
        <v>207</v>
      </c>
      <c r="CO1237" s="1" t="s">
        <v>212</v>
      </c>
      <c r="CP1237" s="1" t="s">
        <v>209</v>
      </c>
      <c r="CQ1237" s="1" t="s">
        <v>207</v>
      </c>
      <c r="CS1237" s="1" t="s">
        <v>212</v>
      </c>
      <c r="CT1237" s="1" t="s">
        <v>206</v>
      </c>
      <c r="CU1237" s="1" t="s">
        <v>268</v>
      </c>
      <c r="CW1237" s="1" t="s">
        <v>211</v>
      </c>
      <c r="CX1237" s="1" t="s">
        <v>209</v>
      </c>
      <c r="CY1237" s="1" t="s">
        <v>207</v>
      </c>
      <c r="DA1237" s="1" t="s">
        <v>200</v>
      </c>
      <c r="DC1237" s="1" t="s">
        <v>702</v>
      </c>
      <c r="DE1237" s="1" t="s">
        <v>273</v>
      </c>
      <c r="DF1237" s="1" t="s">
        <v>619</v>
      </c>
      <c r="DH1237" s="1" t="s">
        <v>220</v>
      </c>
      <c r="DJ1237" s="1" t="s">
        <v>222</v>
      </c>
      <c r="DL1237" s="1" t="s">
        <v>858</v>
      </c>
      <c r="DM1237" s="1" t="s">
        <v>229</v>
      </c>
      <c r="DP1237" s="1" t="s">
        <v>340</v>
      </c>
      <c r="DQ1237" s="1" t="s">
        <v>228</v>
      </c>
      <c r="DR1237" s="1" t="s">
        <v>229</v>
      </c>
      <c r="DV1237" s="1" t="s">
        <v>13241</v>
      </c>
      <c r="DW1237" s="1" t="s">
        <v>279</v>
      </c>
      <c r="DX1237" s="1" t="s">
        <v>234</v>
      </c>
      <c r="DY1237" s="1" t="s">
        <v>879</v>
      </c>
      <c r="EA1237" s="1" t="s">
        <v>3308</v>
      </c>
      <c r="EC1237" s="1" t="s">
        <v>237</v>
      </c>
      <c r="EG1237" s="1" t="s">
        <v>1407</v>
      </c>
      <c r="EH1237" s="1" t="s">
        <v>588</v>
      </c>
      <c r="EL1237" s="1" t="s">
        <v>212</v>
      </c>
      <c r="EM1237" s="1" t="s">
        <v>209</v>
      </c>
      <c r="EN1237" s="1" t="s">
        <v>268</v>
      </c>
      <c r="EP1237" s="1" t="s">
        <v>215</v>
      </c>
      <c r="EQ1237" s="1" t="s">
        <v>209</v>
      </c>
      <c r="ER1237" s="1" t="s">
        <v>207</v>
      </c>
      <c r="EU1237" s="1" t="s">
        <v>238</v>
      </c>
      <c r="EY1237" s="1" t="s">
        <v>238</v>
      </c>
      <c r="FC1237" s="1" t="s">
        <v>238</v>
      </c>
      <c r="FF1237" s="1" t="s">
        <v>239</v>
      </c>
      <c r="FG1237" s="1" t="s">
        <v>192</v>
      </c>
      <c r="FH1237" s="1" t="s">
        <v>192</v>
      </c>
      <c r="FJ1237" s="1" t="s">
        <v>561</v>
      </c>
      <c r="FK1237" s="1" t="s">
        <v>229</v>
      </c>
      <c r="FL1237" s="1" t="s">
        <v>13242</v>
      </c>
      <c r="FM1237" s="1">
        <v>16548.0</v>
      </c>
      <c r="FN1237" s="1" t="s">
        <v>13243</v>
      </c>
      <c r="FO1237" s="1" t="s">
        <v>13244</v>
      </c>
      <c r="FP1237" s="1">
        <v>166968.0</v>
      </c>
      <c r="FQ1237" s="1" t="s">
        <v>13245</v>
      </c>
      <c r="FU1237" s="1" t="s">
        <v>710</v>
      </c>
      <c r="FV1237" s="1" t="s">
        <v>200</v>
      </c>
      <c r="FW1237" s="1" t="s">
        <v>290</v>
      </c>
      <c r="FX1237" s="1" t="s">
        <v>238</v>
      </c>
      <c r="FZ1237" s="1" t="s">
        <v>229</v>
      </c>
      <c r="GA1237" s="1" t="s">
        <v>291</v>
      </c>
      <c r="GB1237" s="2">
        <v>42132.0</v>
      </c>
      <c r="GC1237" s="1" t="s">
        <v>13246</v>
      </c>
    </row>
    <row r="1238">
      <c r="A1238" s="1">
        <v>240000.0</v>
      </c>
      <c r="B1238" s="1" t="s">
        <v>185</v>
      </c>
      <c r="C1238" s="1" t="str">
        <f>"08848901"</f>
        <v>08848901</v>
      </c>
      <c r="D1238" s="1" t="s">
        <v>186</v>
      </c>
      <c r="F1238" s="1" t="str">
        <f>"510"</f>
        <v>510</v>
      </c>
      <c r="G1238" s="2">
        <v>42063.0</v>
      </c>
      <c r="H1238" s="1">
        <v>244900.0</v>
      </c>
      <c r="I1238" s="1">
        <v>4.0</v>
      </c>
      <c r="J1238" s="1">
        <v>244900.0</v>
      </c>
      <c r="K1238" s="2">
        <v>42066.0</v>
      </c>
      <c r="L1238" s="1">
        <v>4.0</v>
      </c>
      <c r="M1238" s="2">
        <v>42066.0</v>
      </c>
      <c r="N1238" s="1" t="s">
        <v>634</v>
      </c>
      <c r="O1238" s="2">
        <v>42121.0</v>
      </c>
      <c r="P1238" s="1">
        <v>329.0</v>
      </c>
      <c r="Q1238" s="1">
        <v>30.0</v>
      </c>
      <c r="S1238" s="1">
        <v>310.0</v>
      </c>
      <c r="T1238" s="1" t="s">
        <v>12126</v>
      </c>
      <c r="U1238" s="1" t="s">
        <v>320</v>
      </c>
      <c r="V1238" s="1" t="s">
        <v>2700</v>
      </c>
      <c r="W1238" s="1">
        <v>60510.0</v>
      </c>
      <c r="Y1238" s="1" t="s">
        <v>13247</v>
      </c>
      <c r="Z1238" s="1">
        <v>1970.0</v>
      </c>
      <c r="AA1238" s="1" t="s">
        <v>192</v>
      </c>
      <c r="AB1238" s="1" t="s">
        <v>193</v>
      </c>
      <c r="AD1238" s="1" t="s">
        <v>2702</v>
      </c>
      <c r="AE1238" s="1" t="s">
        <v>325</v>
      </c>
      <c r="AF1238" s="1" t="s">
        <v>2702</v>
      </c>
      <c r="AG1238" s="1" t="s">
        <v>13248</v>
      </c>
      <c r="AH1238" s="1" t="s">
        <v>13249</v>
      </c>
      <c r="AK1238" s="1">
        <v>8.0</v>
      </c>
      <c r="AL1238" s="1">
        <v>4.0</v>
      </c>
      <c r="AM1238" s="1">
        <v>2.0</v>
      </c>
      <c r="AN1238" s="1">
        <v>1.0</v>
      </c>
      <c r="AO1238" s="1" t="s">
        <v>198</v>
      </c>
      <c r="AQ1238" s="1" t="s">
        <v>198</v>
      </c>
      <c r="AR1238" s="1" t="s">
        <v>192</v>
      </c>
      <c r="AS1238" s="1" t="s">
        <v>199</v>
      </c>
      <c r="AT1238" s="1">
        <v>4.0</v>
      </c>
      <c r="AV1238" s="1" t="s">
        <v>200</v>
      </c>
      <c r="AW1238" s="1">
        <v>5226.4</v>
      </c>
      <c r="AX1238" s="1">
        <v>2013.0</v>
      </c>
      <c r="AY1238" s="1" t="s">
        <v>387</v>
      </c>
      <c r="AZ1238" s="1" t="s">
        <v>200</v>
      </c>
      <c r="BA1238" s="1" t="str">
        <f>"1215479008"</f>
        <v>1215479008</v>
      </c>
      <c r="BC1238" s="1">
        <v>1148.0</v>
      </c>
      <c r="BD1238" s="1">
        <v>240000.0</v>
      </c>
      <c r="BE1238" s="2">
        <v>42063.0</v>
      </c>
      <c r="BF1238" s="2" t="s">
        <v>13250</v>
      </c>
      <c r="BG1238" s="1" t="s">
        <v>6796</v>
      </c>
      <c r="BH1238" s="1">
        <v>0.0</v>
      </c>
      <c r="BK1238" s="1" t="s">
        <v>204</v>
      </c>
      <c r="BL1238" s="1" t="str">
        <f t="shared" ref="BL1238:BM1238" si="823">"0"</f>
        <v>0</v>
      </c>
      <c r="BM1238" s="1" t="str">
        <f t="shared" si="823"/>
        <v>0</v>
      </c>
      <c r="BN1238" s="1">
        <v>34.0</v>
      </c>
      <c r="BO1238" s="1">
        <v>0.0</v>
      </c>
      <c r="BQ1238" s="1">
        <v>101.0</v>
      </c>
      <c r="BR1238" s="1">
        <v>101.0</v>
      </c>
      <c r="BS1238" s="1">
        <v>101.0</v>
      </c>
      <c r="BU1238" s="1" t="s">
        <v>515</v>
      </c>
      <c r="BV1238" s="1" t="s">
        <v>206</v>
      </c>
      <c r="BW1238" s="1" t="s">
        <v>207</v>
      </c>
      <c r="BX1238" s="1" t="s">
        <v>239</v>
      </c>
      <c r="BY1238" s="1" t="s">
        <v>700</v>
      </c>
      <c r="BZ1238" s="1" t="s">
        <v>267</v>
      </c>
      <c r="CA1238" s="1" t="s">
        <v>210</v>
      </c>
      <c r="CD1238" s="1" t="s">
        <v>204</v>
      </c>
      <c r="CG1238" s="1" t="s">
        <v>663</v>
      </c>
      <c r="CH1238" s="1" t="s">
        <v>206</v>
      </c>
      <c r="CI1238" s="1" t="s">
        <v>210</v>
      </c>
      <c r="CK1238" s="1" t="s">
        <v>265</v>
      </c>
      <c r="CL1238" s="1" t="s">
        <v>206</v>
      </c>
      <c r="CM1238" s="1" t="s">
        <v>210</v>
      </c>
      <c r="CO1238" s="1" t="s">
        <v>265</v>
      </c>
      <c r="CP1238" s="1" t="s">
        <v>206</v>
      </c>
      <c r="CQ1238" s="1" t="s">
        <v>210</v>
      </c>
      <c r="CS1238" s="1" t="s">
        <v>6055</v>
      </c>
      <c r="CT1238" s="1" t="s">
        <v>206</v>
      </c>
      <c r="CU1238" s="1" t="s">
        <v>268</v>
      </c>
      <c r="CV1238" s="1" t="s">
        <v>239</v>
      </c>
      <c r="CX1238" s="1" t="s">
        <v>204</v>
      </c>
      <c r="DA1238" s="1" t="s">
        <v>200</v>
      </c>
      <c r="DC1238" s="1" t="s">
        <v>517</v>
      </c>
      <c r="DD1238" s="1" t="s">
        <v>396</v>
      </c>
      <c r="DE1238" s="1" t="s">
        <v>273</v>
      </c>
      <c r="DF1238" s="1" t="s">
        <v>219</v>
      </c>
      <c r="DG1238" s="1" t="s">
        <v>337</v>
      </c>
      <c r="DH1238" s="1" t="s">
        <v>220</v>
      </c>
      <c r="DI1238" s="1" t="s">
        <v>275</v>
      </c>
      <c r="DJ1238" s="1" t="s">
        <v>222</v>
      </c>
      <c r="DL1238" s="1" t="s">
        <v>224</v>
      </c>
      <c r="DM1238" s="1" t="s">
        <v>338</v>
      </c>
      <c r="DN1238" s="1" t="s">
        <v>1486</v>
      </c>
      <c r="DO1238" s="1" t="s">
        <v>13251</v>
      </c>
      <c r="DQ1238" s="1" t="s">
        <v>228</v>
      </c>
      <c r="DR1238" s="1" t="s">
        <v>229</v>
      </c>
      <c r="DS1238" s="1" t="s">
        <v>3204</v>
      </c>
      <c r="DU1238" s="1" t="s">
        <v>13252</v>
      </c>
      <c r="DV1238" s="1" t="s">
        <v>2259</v>
      </c>
      <c r="DW1238" s="1" t="s">
        <v>233</v>
      </c>
      <c r="DX1238" s="1" t="s">
        <v>234</v>
      </c>
      <c r="DY1238" s="1" t="s">
        <v>2579</v>
      </c>
      <c r="DZ1238" s="1" t="s">
        <v>13253</v>
      </c>
      <c r="EA1238" s="1" t="s">
        <v>683</v>
      </c>
      <c r="EC1238" s="1" t="s">
        <v>685</v>
      </c>
      <c r="ED1238" s="1" t="s">
        <v>13254</v>
      </c>
      <c r="EE1238" s="1" t="s">
        <v>493</v>
      </c>
      <c r="EG1238" s="1" t="s">
        <v>449</v>
      </c>
      <c r="EH1238" s="1" t="s">
        <v>450</v>
      </c>
      <c r="EL1238" s="1" t="s">
        <v>1746</v>
      </c>
      <c r="EM1238" s="1" t="s">
        <v>206</v>
      </c>
      <c r="EN1238" s="1" t="s">
        <v>268</v>
      </c>
      <c r="EP1238" s="1" t="s">
        <v>1279</v>
      </c>
      <c r="EQ1238" s="1" t="s">
        <v>42</v>
      </c>
      <c r="ER1238" s="1" t="s">
        <v>210</v>
      </c>
      <c r="EU1238" s="1" t="s">
        <v>238</v>
      </c>
      <c r="EY1238" s="1" t="s">
        <v>238</v>
      </c>
      <c r="FC1238" s="1" t="s">
        <v>238</v>
      </c>
      <c r="FF1238" s="1" t="s">
        <v>239</v>
      </c>
      <c r="FG1238" s="1" t="s">
        <v>192</v>
      </c>
      <c r="FH1238" s="1" t="s">
        <v>192</v>
      </c>
      <c r="FJ1238" s="1" t="s">
        <v>2133</v>
      </c>
      <c r="FK1238" s="1" t="s">
        <v>229</v>
      </c>
      <c r="FL1238" s="1" t="s">
        <v>499</v>
      </c>
      <c r="FM1238" s="1">
        <v>358.0</v>
      </c>
      <c r="FN1238" s="1" t="s">
        <v>500</v>
      </c>
      <c r="FO1238" s="1" t="s">
        <v>501</v>
      </c>
      <c r="FP1238" s="1">
        <v>347.0</v>
      </c>
      <c r="FQ1238" s="1" t="s">
        <v>500</v>
      </c>
      <c r="FS1238" s="1" t="s">
        <v>13255</v>
      </c>
      <c r="FU1238" s="1" t="s">
        <v>13256</v>
      </c>
      <c r="FV1238" s="1" t="s">
        <v>200</v>
      </c>
      <c r="FW1238" s="1" t="s">
        <v>290</v>
      </c>
      <c r="FZ1238" s="1" t="s">
        <v>504</v>
      </c>
      <c r="GA1238" s="1" t="s">
        <v>291</v>
      </c>
      <c r="GB1238" s="2">
        <v>42121.0</v>
      </c>
      <c r="GC1238" s="1" t="s">
        <v>13257</v>
      </c>
    </row>
    <row r="1239">
      <c r="A1239" s="1">
        <v>165000.0</v>
      </c>
      <c r="B1239" s="1" t="s">
        <v>185</v>
      </c>
      <c r="C1239" s="1" t="str">
        <f>"08851458"</f>
        <v>08851458</v>
      </c>
      <c r="D1239" s="1" t="s">
        <v>186</v>
      </c>
      <c r="F1239" s="1" t="str">
        <f>"8074"</f>
        <v>8074</v>
      </c>
      <c r="G1239" s="2">
        <v>42066.0</v>
      </c>
      <c r="H1239" s="1">
        <v>199900.0</v>
      </c>
      <c r="I1239" s="1">
        <v>23.0</v>
      </c>
      <c r="J1239" s="1">
        <v>184900.0</v>
      </c>
      <c r="K1239" s="2">
        <v>42088.0</v>
      </c>
      <c r="L1239" s="1">
        <v>23.0</v>
      </c>
      <c r="M1239" s="2">
        <v>42088.0</v>
      </c>
      <c r="N1239" s="1" t="s">
        <v>249</v>
      </c>
      <c r="O1239" s="2">
        <v>42110.0</v>
      </c>
      <c r="P1239" s="1">
        <v>104896.0</v>
      </c>
      <c r="Q1239" s="1">
        <v>18202.0</v>
      </c>
      <c r="R1239" s="1">
        <v>5000.0</v>
      </c>
      <c r="S1239" s="1">
        <v>11154.0</v>
      </c>
      <c r="T1239" s="1" t="s">
        <v>12208</v>
      </c>
      <c r="U1239" s="1" t="s">
        <v>189</v>
      </c>
      <c r="V1239" s="1" t="s">
        <v>190</v>
      </c>
      <c r="W1239" s="1">
        <v>60655.0</v>
      </c>
      <c r="Y1239" s="1" t="s">
        <v>13258</v>
      </c>
      <c r="Z1239" s="1">
        <v>1965.0</v>
      </c>
      <c r="AA1239" s="1" t="s">
        <v>192</v>
      </c>
      <c r="AB1239" s="1" t="s">
        <v>193</v>
      </c>
      <c r="AD1239" s="1" t="s">
        <v>194</v>
      </c>
      <c r="AE1239" s="1" t="s">
        <v>195</v>
      </c>
      <c r="AF1239" s="1" t="s">
        <v>659</v>
      </c>
      <c r="AH1239" s="1" t="s">
        <v>1115</v>
      </c>
      <c r="AI1239" s="1">
        <v>0.0875</v>
      </c>
      <c r="AK1239" s="1">
        <v>7.0</v>
      </c>
      <c r="AL1239" s="1">
        <v>3.0</v>
      </c>
      <c r="AM1239" s="1">
        <v>1.0</v>
      </c>
      <c r="AN1239" s="1">
        <v>1.0</v>
      </c>
      <c r="AO1239" s="1" t="s">
        <v>229</v>
      </c>
      <c r="AQ1239" s="1" t="s">
        <v>198</v>
      </c>
      <c r="AR1239" s="1" t="s">
        <v>200</v>
      </c>
      <c r="AS1239" s="1" t="s">
        <v>199</v>
      </c>
      <c r="AT1239" s="1">
        <v>2.5</v>
      </c>
      <c r="AV1239" s="1" t="s">
        <v>200</v>
      </c>
      <c r="AW1239" s="1">
        <v>1338.0</v>
      </c>
      <c r="AX1239" s="1">
        <v>2013.0</v>
      </c>
      <c r="AY1239" s="1" t="s">
        <v>1917</v>
      </c>
      <c r="AZ1239" s="1" t="s">
        <v>200</v>
      </c>
      <c r="BA1239" s="1" t="str">
        <f>"24232020810000"</f>
        <v>24232020810000</v>
      </c>
      <c r="BB1239" s="1" t="s">
        <v>200</v>
      </c>
      <c r="BC1239" s="1">
        <v>1152.0</v>
      </c>
      <c r="BD1239" s="1">
        <v>165000.0</v>
      </c>
      <c r="BE1239" s="2">
        <v>42066.0</v>
      </c>
      <c r="BF1239" s="2" t="s">
        <v>13259</v>
      </c>
      <c r="BH1239" s="1">
        <v>0.0</v>
      </c>
      <c r="BK1239" s="1" t="s">
        <v>204</v>
      </c>
      <c r="BL1239" s="1" t="str">
        <f t="shared" ref="BL1239:BM1239" si="824">"0"</f>
        <v>0</v>
      </c>
      <c r="BM1239" s="1" t="str">
        <f t="shared" si="824"/>
        <v>0</v>
      </c>
      <c r="BN1239" s="1">
        <v>3500.0</v>
      </c>
      <c r="BO1239" s="1">
        <v>11100.0</v>
      </c>
      <c r="BQ1239" s="1">
        <v>299.0</v>
      </c>
      <c r="BR1239" s="1">
        <v>299.0</v>
      </c>
      <c r="BS1239" s="1">
        <v>299.0</v>
      </c>
      <c r="BU1239" s="1" t="s">
        <v>3888</v>
      </c>
      <c r="BV1239" s="1" t="s">
        <v>206</v>
      </c>
      <c r="BW1239" s="1" t="s">
        <v>210</v>
      </c>
      <c r="BX1239" s="1" t="s">
        <v>1549</v>
      </c>
      <c r="BY1239" s="1" t="s">
        <v>363</v>
      </c>
      <c r="BZ1239" s="1" t="s">
        <v>206</v>
      </c>
      <c r="CA1239" s="1" t="s">
        <v>210</v>
      </c>
      <c r="CB1239" s="1" t="s">
        <v>1118</v>
      </c>
      <c r="CD1239" s="1" t="s">
        <v>204</v>
      </c>
      <c r="CG1239" s="1" t="s">
        <v>212</v>
      </c>
      <c r="CH1239" s="1" t="s">
        <v>206</v>
      </c>
      <c r="CI1239" s="1" t="s">
        <v>210</v>
      </c>
      <c r="CJ1239" s="1" t="s">
        <v>1118</v>
      </c>
      <c r="CK1239" s="1" t="s">
        <v>212</v>
      </c>
      <c r="CL1239" s="1" t="s">
        <v>206</v>
      </c>
      <c r="CM1239" s="1" t="s">
        <v>210</v>
      </c>
      <c r="CN1239" s="1" t="s">
        <v>1118</v>
      </c>
      <c r="CO1239" s="1" t="s">
        <v>263</v>
      </c>
      <c r="CP1239" s="1" t="s">
        <v>42</v>
      </c>
      <c r="CQ1239" s="1" t="s">
        <v>210</v>
      </c>
      <c r="CS1239" s="1" t="s">
        <v>4045</v>
      </c>
      <c r="CT1239" s="1" t="s">
        <v>206</v>
      </c>
      <c r="CU1239" s="1" t="s">
        <v>617</v>
      </c>
      <c r="CV1239" s="1" t="s">
        <v>431</v>
      </c>
      <c r="CW1239" s="1" t="s">
        <v>2923</v>
      </c>
      <c r="CX1239" s="1" t="s">
        <v>42</v>
      </c>
      <c r="CY1239" s="1" t="s">
        <v>210</v>
      </c>
      <c r="DA1239" s="1" t="s">
        <v>200</v>
      </c>
      <c r="DC1239" s="1" t="s">
        <v>517</v>
      </c>
      <c r="DD1239" s="1" t="s">
        <v>518</v>
      </c>
      <c r="DE1239" s="1" t="s">
        <v>1139</v>
      </c>
      <c r="DF1239" s="1" t="s">
        <v>4891</v>
      </c>
      <c r="DH1239" s="1" t="s">
        <v>365</v>
      </c>
      <c r="DI1239" s="1" t="s">
        <v>1401</v>
      </c>
      <c r="DJ1239" s="1" t="s">
        <v>222</v>
      </c>
      <c r="DK1239" s="1" t="s">
        <v>223</v>
      </c>
      <c r="DL1239" s="1" t="s">
        <v>224</v>
      </c>
      <c r="DM1239" s="1" t="s">
        <v>1143</v>
      </c>
      <c r="DQ1239" s="1" t="s">
        <v>228</v>
      </c>
      <c r="DR1239" s="1" t="s">
        <v>229</v>
      </c>
      <c r="DV1239" s="1" t="s">
        <v>232</v>
      </c>
      <c r="DW1239" s="1" t="s">
        <v>279</v>
      </c>
      <c r="DX1239" s="1" t="s">
        <v>234</v>
      </c>
      <c r="DY1239" s="1" t="s">
        <v>553</v>
      </c>
      <c r="EA1239" s="1" t="s">
        <v>644</v>
      </c>
      <c r="EC1239" s="1" t="s">
        <v>685</v>
      </c>
      <c r="ED1239" s="1" t="s">
        <v>407</v>
      </c>
      <c r="EM1239" s="1" t="s">
        <v>238</v>
      </c>
      <c r="EQ1239" s="1" t="s">
        <v>238</v>
      </c>
      <c r="EU1239" s="1" t="s">
        <v>238</v>
      </c>
      <c r="EY1239" s="1" t="s">
        <v>238</v>
      </c>
      <c r="FC1239" s="1" t="s">
        <v>238</v>
      </c>
      <c r="FF1239" s="1" t="s">
        <v>239</v>
      </c>
      <c r="FG1239" s="1" t="s">
        <v>192</v>
      </c>
      <c r="FH1239" s="1" t="s">
        <v>192</v>
      </c>
      <c r="FJ1239" s="1" t="s">
        <v>313</v>
      </c>
      <c r="FK1239" s="1" t="s">
        <v>229</v>
      </c>
      <c r="FL1239" s="1" t="s">
        <v>1007</v>
      </c>
      <c r="FM1239" s="1">
        <v>60221.0</v>
      </c>
      <c r="FN1239" s="1" t="s">
        <v>13260</v>
      </c>
      <c r="FO1239" s="1" t="s">
        <v>13261</v>
      </c>
      <c r="FP1239" s="1">
        <v>223346.0</v>
      </c>
      <c r="FS1239" s="1" t="s">
        <v>13262</v>
      </c>
      <c r="FU1239" s="1" t="s">
        <v>13263</v>
      </c>
      <c r="FV1239" s="1" t="s">
        <v>200</v>
      </c>
      <c r="FW1239" s="1" t="s">
        <v>530</v>
      </c>
      <c r="FX1239" s="1" t="s">
        <v>655</v>
      </c>
      <c r="FZ1239" s="1" t="s">
        <v>229</v>
      </c>
      <c r="GA1239" s="1" t="s">
        <v>291</v>
      </c>
      <c r="GB1239" s="2">
        <v>42110.0</v>
      </c>
    </row>
    <row r="1240">
      <c r="A1240" s="1">
        <v>205000.0</v>
      </c>
      <c r="B1240" s="1" t="s">
        <v>185</v>
      </c>
      <c r="C1240" s="1" t="str">
        <f>"08848438"</f>
        <v>08848438</v>
      </c>
      <c r="D1240" s="1" t="s">
        <v>186</v>
      </c>
      <c r="F1240" s="1" t="str">
        <f>"107"</f>
        <v>107</v>
      </c>
      <c r="G1240" s="2">
        <v>42062.0</v>
      </c>
      <c r="H1240" s="1">
        <v>210000.0</v>
      </c>
      <c r="I1240" s="1">
        <v>4.0</v>
      </c>
      <c r="J1240" s="1">
        <v>210000.0</v>
      </c>
      <c r="K1240" s="2">
        <v>42065.0</v>
      </c>
      <c r="L1240" s="1">
        <v>4.0</v>
      </c>
      <c r="M1240" s="2">
        <v>42065.0</v>
      </c>
      <c r="N1240" s="1" t="s">
        <v>356</v>
      </c>
      <c r="O1240" s="2">
        <v>42111.0</v>
      </c>
      <c r="P1240" s="1">
        <v>237668.0</v>
      </c>
      <c r="Q1240" s="1">
        <v>25088.0</v>
      </c>
      <c r="S1240" s="1">
        <v>800.0</v>
      </c>
      <c r="T1240" s="1" t="s">
        <v>13264</v>
      </c>
      <c r="U1240" s="1" t="s">
        <v>189</v>
      </c>
      <c r="V1240" s="1" t="s">
        <v>294</v>
      </c>
      <c r="W1240" s="1">
        <v>60107.0</v>
      </c>
      <c r="Y1240" s="1" t="s">
        <v>13265</v>
      </c>
      <c r="Z1240" s="1">
        <v>1973.0</v>
      </c>
      <c r="AA1240" s="1" t="s">
        <v>192</v>
      </c>
      <c r="AB1240" s="1" t="s">
        <v>193</v>
      </c>
      <c r="AD1240" s="1" t="s">
        <v>297</v>
      </c>
      <c r="AE1240" s="1" t="s">
        <v>195</v>
      </c>
      <c r="AF1240" s="1" t="s">
        <v>298</v>
      </c>
      <c r="AH1240" s="1" t="s">
        <v>13266</v>
      </c>
      <c r="AI1240" s="1">
        <v>0.2582</v>
      </c>
      <c r="AK1240" s="1">
        <v>8.0</v>
      </c>
      <c r="AL1240" s="1">
        <v>4.0</v>
      </c>
      <c r="AM1240" s="1">
        <v>2.0</v>
      </c>
      <c r="AN1240" s="1">
        <v>1.0</v>
      </c>
      <c r="AO1240" s="1" t="s">
        <v>2068</v>
      </c>
      <c r="AP1240" s="1">
        <v>1.0</v>
      </c>
      <c r="AQ1240" s="1" t="s">
        <v>1314</v>
      </c>
      <c r="AR1240" s="1" t="s">
        <v>192</v>
      </c>
      <c r="AS1240" s="1" t="s">
        <v>199</v>
      </c>
      <c r="AT1240" s="1">
        <v>2.0</v>
      </c>
      <c r="AV1240" s="1" t="s">
        <v>200</v>
      </c>
      <c r="AW1240" s="1">
        <v>4895.79</v>
      </c>
      <c r="AX1240" s="1">
        <v>2013.0</v>
      </c>
      <c r="AY1240" s="1" t="s">
        <v>387</v>
      </c>
      <c r="AZ1240" s="1" t="s">
        <v>200</v>
      </c>
      <c r="BA1240" s="1" t="str">
        <f>"06361220190000"</f>
        <v>06361220190000</v>
      </c>
      <c r="BC1240" s="1">
        <v>2100.0</v>
      </c>
      <c r="BD1240" s="1">
        <v>205000.0</v>
      </c>
      <c r="BE1240" s="2">
        <v>42062.0</v>
      </c>
      <c r="BF1240" s="2" t="s">
        <v>13267</v>
      </c>
      <c r="BG1240" s="1" t="s">
        <v>13268</v>
      </c>
      <c r="BH1240" s="1">
        <v>0.0</v>
      </c>
      <c r="BI1240" s="1" t="s">
        <v>513</v>
      </c>
      <c r="BJ1240" s="1" t="s">
        <v>757</v>
      </c>
      <c r="BK1240" s="1" t="s">
        <v>204</v>
      </c>
      <c r="BL1240" s="1" t="str">
        <f t="shared" ref="BL1240:BM1240" si="825">""</f>
        <v/>
      </c>
      <c r="BM1240" s="1" t="str">
        <f t="shared" si="825"/>
        <v/>
      </c>
      <c r="BQ1240" s="1">
        <v>46.0</v>
      </c>
      <c r="BR1240" s="1">
        <v>46.0</v>
      </c>
      <c r="BS1240" s="1">
        <v>46.0</v>
      </c>
      <c r="BU1240" s="1" t="s">
        <v>208</v>
      </c>
      <c r="BV1240" s="1" t="s">
        <v>206</v>
      </c>
      <c r="BW1240" s="1" t="s">
        <v>210</v>
      </c>
      <c r="BY1240" s="1" t="s">
        <v>433</v>
      </c>
      <c r="BZ1240" s="1" t="s">
        <v>206</v>
      </c>
      <c r="CA1240" s="1" t="s">
        <v>210</v>
      </c>
      <c r="CC1240" s="1" t="s">
        <v>332</v>
      </c>
      <c r="CD1240" s="1" t="s">
        <v>206</v>
      </c>
      <c r="CE1240" s="1" t="s">
        <v>210</v>
      </c>
      <c r="CG1240" s="1" t="s">
        <v>392</v>
      </c>
      <c r="CH1240" s="1" t="s">
        <v>206</v>
      </c>
      <c r="CI1240" s="1" t="s">
        <v>210</v>
      </c>
      <c r="CK1240" s="1" t="s">
        <v>269</v>
      </c>
      <c r="CL1240" s="1" t="s">
        <v>206</v>
      </c>
      <c r="CM1240" s="1" t="s">
        <v>210</v>
      </c>
      <c r="CO1240" s="1" t="s">
        <v>205</v>
      </c>
      <c r="CP1240" s="1" t="s">
        <v>267</v>
      </c>
      <c r="CQ1240" s="1" t="s">
        <v>210</v>
      </c>
      <c r="CS1240" s="1" t="s">
        <v>363</v>
      </c>
      <c r="CT1240" s="1" t="s">
        <v>206</v>
      </c>
      <c r="CU1240" s="1" t="s">
        <v>301</v>
      </c>
      <c r="CW1240" s="1" t="s">
        <v>4469</v>
      </c>
      <c r="CX1240" s="1" t="s">
        <v>267</v>
      </c>
      <c r="CY1240" s="1" t="s">
        <v>210</v>
      </c>
      <c r="DA1240" s="1" t="s">
        <v>200</v>
      </c>
      <c r="DC1240" s="1" t="s">
        <v>517</v>
      </c>
      <c r="DD1240" s="1" t="s">
        <v>518</v>
      </c>
      <c r="DE1240" s="1" t="s">
        <v>273</v>
      </c>
      <c r="DF1240" s="1" t="s">
        <v>219</v>
      </c>
      <c r="DH1240" s="1" t="s">
        <v>220</v>
      </c>
      <c r="DI1240" s="1" t="s">
        <v>4695</v>
      </c>
      <c r="DJ1240" s="1" t="s">
        <v>222</v>
      </c>
      <c r="DL1240" s="1" t="s">
        <v>224</v>
      </c>
      <c r="DM1240" s="1" t="s">
        <v>1268</v>
      </c>
      <c r="DO1240" s="1" t="s">
        <v>549</v>
      </c>
      <c r="DP1240" s="1" t="s">
        <v>276</v>
      </c>
      <c r="DQ1240" s="1" t="s">
        <v>441</v>
      </c>
      <c r="DR1240" s="1" t="s">
        <v>229</v>
      </c>
      <c r="DU1240" s="1" t="s">
        <v>1049</v>
      </c>
      <c r="DV1240" s="1" t="s">
        <v>408</v>
      </c>
      <c r="DW1240" s="1" t="s">
        <v>444</v>
      </c>
      <c r="DX1240" s="1" t="s">
        <v>234</v>
      </c>
      <c r="DY1240" s="1" t="s">
        <v>13269</v>
      </c>
      <c r="DZ1240" s="1" t="s">
        <v>1074</v>
      </c>
      <c r="EB1240" s="1" t="s">
        <v>937</v>
      </c>
      <c r="EC1240" s="1" t="s">
        <v>284</v>
      </c>
      <c r="ED1240" s="1" t="s">
        <v>407</v>
      </c>
      <c r="EE1240" s="1" t="s">
        <v>493</v>
      </c>
      <c r="EG1240" s="1" t="s">
        <v>408</v>
      </c>
      <c r="EL1240" s="1" t="s">
        <v>1688</v>
      </c>
      <c r="EM1240" s="1" t="s">
        <v>206</v>
      </c>
      <c r="EN1240" s="1" t="s">
        <v>2615</v>
      </c>
      <c r="EQ1240" s="1" t="s">
        <v>238</v>
      </c>
      <c r="EU1240" s="1" t="s">
        <v>238</v>
      </c>
      <c r="EY1240" s="1" t="s">
        <v>238</v>
      </c>
      <c r="FC1240" s="1" t="s">
        <v>238</v>
      </c>
      <c r="FF1240" s="1" t="s">
        <v>239</v>
      </c>
      <c r="FG1240" s="1" t="s">
        <v>192</v>
      </c>
      <c r="FH1240" s="1" t="s">
        <v>192</v>
      </c>
      <c r="FJ1240" s="1" t="s">
        <v>13270</v>
      </c>
      <c r="FK1240" s="1" t="s">
        <v>229</v>
      </c>
      <c r="FL1240" s="1" t="s">
        <v>625</v>
      </c>
      <c r="FM1240" s="1">
        <v>37.0</v>
      </c>
      <c r="FN1240" s="1" t="s">
        <v>626</v>
      </c>
      <c r="FO1240" s="1" t="s">
        <v>1272</v>
      </c>
      <c r="FP1240" s="1">
        <v>7683.0</v>
      </c>
      <c r="FQ1240" s="1" t="s">
        <v>1273</v>
      </c>
      <c r="FR1240" s="1">
        <v>8360.0</v>
      </c>
      <c r="FU1240" s="1" t="s">
        <v>13271</v>
      </c>
      <c r="FV1240" s="1" t="s">
        <v>200</v>
      </c>
      <c r="FW1240" s="1" t="s">
        <v>290</v>
      </c>
      <c r="FZ1240" s="1" t="s">
        <v>229</v>
      </c>
      <c r="GA1240" s="1" t="s">
        <v>291</v>
      </c>
      <c r="GB1240" s="2">
        <v>42114.0</v>
      </c>
      <c r="GC1240" s="1" t="s">
        <v>13272</v>
      </c>
    </row>
    <row r="1241">
      <c r="A1241" s="1">
        <v>150000.0</v>
      </c>
      <c r="B1241" s="1" t="s">
        <v>185</v>
      </c>
      <c r="C1241" s="1" t="str">
        <f>"08851074"</f>
        <v>08851074</v>
      </c>
      <c r="D1241" s="1" t="s">
        <v>186</v>
      </c>
      <c r="F1241" s="1" t="str">
        <f>"8050"</f>
        <v>8050</v>
      </c>
      <c r="G1241" s="2">
        <v>42066.0</v>
      </c>
      <c r="H1241" s="1">
        <v>147500.0</v>
      </c>
      <c r="I1241" s="1">
        <v>4.0</v>
      </c>
      <c r="J1241" s="1">
        <v>147500.0</v>
      </c>
      <c r="K1241" s="2">
        <v>42068.0</v>
      </c>
      <c r="L1241" s="1">
        <v>4.0</v>
      </c>
      <c r="M1241" s="2">
        <v>42068.0</v>
      </c>
      <c r="N1241" s="1" t="s">
        <v>356</v>
      </c>
      <c r="O1241" s="2">
        <v>42117.0</v>
      </c>
      <c r="P1241" s="1">
        <v>116227.0</v>
      </c>
      <c r="Q1241" s="1">
        <v>12293.0</v>
      </c>
      <c r="R1241" s="1">
        <v>4500.0</v>
      </c>
      <c r="S1241" s="1">
        <v>9752.0</v>
      </c>
      <c r="T1241" s="1" t="s">
        <v>13273</v>
      </c>
      <c r="U1241" s="1" t="s">
        <v>189</v>
      </c>
      <c r="V1241" s="1" t="s">
        <v>190</v>
      </c>
      <c r="W1241" s="1">
        <v>60628.0</v>
      </c>
      <c r="Y1241" s="1" t="s">
        <v>13274</v>
      </c>
      <c r="Z1241" s="1">
        <v>1949.0</v>
      </c>
      <c r="AA1241" s="1" t="s">
        <v>192</v>
      </c>
      <c r="AB1241" s="1" t="s">
        <v>193</v>
      </c>
      <c r="AD1241" s="1" t="s">
        <v>194</v>
      </c>
      <c r="AE1241" s="1" t="s">
        <v>195</v>
      </c>
      <c r="AF1241" s="1" t="s">
        <v>637</v>
      </c>
      <c r="AH1241" s="1" t="s">
        <v>13275</v>
      </c>
      <c r="AI1241" s="1">
        <v>0.0854</v>
      </c>
      <c r="AK1241" s="1">
        <v>8.0</v>
      </c>
      <c r="AL1241" s="1">
        <v>3.0</v>
      </c>
      <c r="AM1241" s="1">
        <v>2.0</v>
      </c>
      <c r="AN1241" s="1">
        <v>0.0</v>
      </c>
      <c r="AO1241" s="1" t="s">
        <v>229</v>
      </c>
      <c r="AP1241" s="1">
        <v>1.0</v>
      </c>
      <c r="AQ1241" s="1" t="s">
        <v>198</v>
      </c>
      <c r="AR1241" s="1" t="s">
        <v>192</v>
      </c>
      <c r="AS1241" s="1" t="s">
        <v>199</v>
      </c>
      <c r="AT1241" s="1">
        <v>1.0</v>
      </c>
      <c r="AV1241" s="1" t="s">
        <v>200</v>
      </c>
      <c r="AW1241" s="1">
        <v>1937.3</v>
      </c>
      <c r="AX1241" s="1">
        <v>2013.0</v>
      </c>
      <c r="AY1241" s="1" t="s">
        <v>229</v>
      </c>
      <c r="AZ1241" s="1" t="s">
        <v>200</v>
      </c>
      <c r="BA1241" s="1" t="str">
        <f>"25111120330000"</f>
        <v>25111120330000</v>
      </c>
      <c r="BC1241" s="1">
        <v>1243.0</v>
      </c>
      <c r="BD1241" s="1">
        <v>150000.0</v>
      </c>
      <c r="BE1241" s="2">
        <v>42065.0</v>
      </c>
      <c r="BF1241" s="2" t="s">
        <v>13276</v>
      </c>
      <c r="BH1241" s="1">
        <v>0.0</v>
      </c>
      <c r="BK1241" s="1" t="s">
        <v>204</v>
      </c>
      <c r="BL1241" s="1" t="str">
        <f>"0"</f>
        <v>0</v>
      </c>
      <c r="BM1241" s="1" t="str">
        <f>"1200"</f>
        <v>1200</v>
      </c>
      <c r="BN1241" s="1">
        <v>0.0</v>
      </c>
      <c r="BO1241" s="1">
        <v>9500.0</v>
      </c>
      <c r="BQ1241" s="1">
        <v>299.0</v>
      </c>
      <c r="BR1241" s="1">
        <v>299.0</v>
      </c>
      <c r="BS1241" s="1">
        <v>299.0</v>
      </c>
      <c r="BU1241" s="1" t="s">
        <v>1468</v>
      </c>
      <c r="BV1241" s="1" t="s">
        <v>206</v>
      </c>
      <c r="BW1241" s="1" t="s">
        <v>207</v>
      </c>
      <c r="BY1241" s="1" t="s">
        <v>433</v>
      </c>
      <c r="BZ1241" s="1" t="s">
        <v>206</v>
      </c>
      <c r="CA1241" s="1" t="s">
        <v>207</v>
      </c>
      <c r="CC1241" s="1" t="s">
        <v>542</v>
      </c>
      <c r="CD1241" s="1" t="s">
        <v>206</v>
      </c>
      <c r="CG1241" s="1" t="s">
        <v>363</v>
      </c>
      <c r="CH1241" s="1" t="s">
        <v>206</v>
      </c>
      <c r="CI1241" s="1" t="s">
        <v>207</v>
      </c>
      <c r="CK1241" s="1" t="s">
        <v>264</v>
      </c>
      <c r="CL1241" s="1" t="s">
        <v>206</v>
      </c>
      <c r="CM1241" s="1" t="s">
        <v>207</v>
      </c>
      <c r="CO1241" s="1" t="s">
        <v>433</v>
      </c>
      <c r="CP1241" s="1" t="s">
        <v>42</v>
      </c>
      <c r="CQ1241" s="1" t="s">
        <v>210</v>
      </c>
      <c r="CS1241" s="1" t="s">
        <v>904</v>
      </c>
      <c r="CT1241" s="1" t="s">
        <v>206</v>
      </c>
      <c r="CU1241" s="1" t="s">
        <v>268</v>
      </c>
      <c r="CW1241" s="1" t="s">
        <v>1468</v>
      </c>
      <c r="CX1241" s="1" t="s">
        <v>42</v>
      </c>
      <c r="CY1241" s="1" t="s">
        <v>210</v>
      </c>
      <c r="DA1241" s="1" t="s">
        <v>200</v>
      </c>
      <c r="DC1241" s="1" t="s">
        <v>702</v>
      </c>
      <c r="DE1241" s="1" t="s">
        <v>273</v>
      </c>
      <c r="DF1241" s="1" t="s">
        <v>905</v>
      </c>
      <c r="DH1241" s="1" t="s">
        <v>220</v>
      </c>
      <c r="DJ1241" s="1" t="s">
        <v>222</v>
      </c>
      <c r="DL1241" s="1" t="s">
        <v>224</v>
      </c>
      <c r="DM1241" s="1" t="s">
        <v>229</v>
      </c>
      <c r="DQ1241" s="1" t="s">
        <v>228</v>
      </c>
      <c r="DR1241" s="1" t="s">
        <v>229</v>
      </c>
      <c r="DV1241" s="1" t="s">
        <v>2971</v>
      </c>
      <c r="DW1241" s="1" t="s">
        <v>279</v>
      </c>
      <c r="DX1241" s="1" t="s">
        <v>234</v>
      </c>
      <c r="EB1241" s="1" t="s">
        <v>597</v>
      </c>
      <c r="EC1241" s="1" t="s">
        <v>311</v>
      </c>
      <c r="EG1241" s="1" t="s">
        <v>2971</v>
      </c>
      <c r="EL1241" s="1" t="s">
        <v>1584</v>
      </c>
      <c r="EM1241" s="1" t="s">
        <v>42</v>
      </c>
      <c r="EQ1241" s="1" t="s">
        <v>238</v>
      </c>
      <c r="EU1241" s="1" t="s">
        <v>238</v>
      </c>
      <c r="EY1241" s="1" t="s">
        <v>238</v>
      </c>
      <c r="FC1241" s="1" t="s">
        <v>238</v>
      </c>
      <c r="FF1241" s="1" t="s">
        <v>239</v>
      </c>
      <c r="FG1241" s="1" t="s">
        <v>192</v>
      </c>
      <c r="FH1241" s="1" t="s">
        <v>192</v>
      </c>
      <c r="FJ1241" s="1" t="s">
        <v>2552</v>
      </c>
      <c r="FK1241" s="1" t="s">
        <v>229</v>
      </c>
      <c r="FL1241" s="1" t="s">
        <v>1289</v>
      </c>
      <c r="FM1241" s="1">
        <v>12174.0</v>
      </c>
      <c r="FN1241" s="1" t="s">
        <v>9040</v>
      </c>
      <c r="FO1241" s="1" t="s">
        <v>13277</v>
      </c>
      <c r="FP1241" s="1">
        <v>123557.0</v>
      </c>
      <c r="FU1241" s="1" t="s">
        <v>13278</v>
      </c>
      <c r="FV1241" s="1" t="s">
        <v>200</v>
      </c>
      <c r="FW1241" s="1" t="s">
        <v>530</v>
      </c>
      <c r="FX1241" s="1" t="s">
        <v>655</v>
      </c>
      <c r="FZ1241" s="1" t="s">
        <v>229</v>
      </c>
      <c r="GA1241" s="1" t="s">
        <v>291</v>
      </c>
      <c r="GB1241" s="2">
        <v>42118.0</v>
      </c>
      <c r="GC1241" s="1" t="s">
        <v>13279</v>
      </c>
    </row>
    <row r="1242">
      <c r="A1242" s="1">
        <v>235000.0</v>
      </c>
      <c r="B1242" s="1" t="s">
        <v>185</v>
      </c>
      <c r="C1242" s="1" t="str">
        <f>"08860253"</f>
        <v>08860253</v>
      </c>
      <c r="D1242" s="1" t="s">
        <v>186</v>
      </c>
      <c r="F1242" s="1" t="str">
        <f>"538"</f>
        <v>538</v>
      </c>
      <c r="G1242" s="2">
        <v>42075.0</v>
      </c>
      <c r="H1242" s="1">
        <v>240900.0</v>
      </c>
      <c r="I1242" s="1">
        <v>31.0</v>
      </c>
      <c r="J1242" s="1">
        <v>240900.0</v>
      </c>
      <c r="K1242" s="2">
        <v>42105.0</v>
      </c>
      <c r="L1242" s="1">
        <v>31.0</v>
      </c>
      <c r="M1242" s="2">
        <v>42105.0</v>
      </c>
      <c r="N1242" s="1" t="s">
        <v>634</v>
      </c>
      <c r="O1242" s="2">
        <v>42146.0</v>
      </c>
      <c r="P1242" s="1">
        <v>234306.0</v>
      </c>
      <c r="Q1242" s="1">
        <v>23290.0</v>
      </c>
      <c r="R1242" s="1">
        <v>5000.0</v>
      </c>
      <c r="S1242" s="1">
        <v>2025.0</v>
      </c>
      <c r="T1242" s="1" t="s">
        <v>13280</v>
      </c>
      <c r="U1242" s="1" t="s">
        <v>420</v>
      </c>
      <c r="V1242" s="1" t="s">
        <v>1340</v>
      </c>
      <c r="W1242" s="1">
        <v>60538.0</v>
      </c>
      <c r="Y1242" s="1" t="s">
        <v>13281</v>
      </c>
      <c r="Z1242" s="1">
        <v>2004.0</v>
      </c>
      <c r="AA1242" s="1" t="s">
        <v>200</v>
      </c>
      <c r="AB1242" s="1" t="s">
        <v>193</v>
      </c>
      <c r="AC1242" s="1" t="s">
        <v>1833</v>
      </c>
      <c r="AD1242" s="1" t="s">
        <v>1343</v>
      </c>
      <c r="AE1242" s="1" t="s">
        <v>849</v>
      </c>
      <c r="AF1242" s="1" t="s">
        <v>1312</v>
      </c>
      <c r="AH1242" s="1" t="s">
        <v>1743</v>
      </c>
      <c r="AK1242" s="1">
        <v>9.0</v>
      </c>
      <c r="AL1242" s="1">
        <v>4.0</v>
      </c>
      <c r="AM1242" s="1">
        <v>3.0</v>
      </c>
      <c r="AN1242" s="1">
        <v>1.0</v>
      </c>
      <c r="AO1242" s="1" t="s">
        <v>198</v>
      </c>
      <c r="AP1242" s="1">
        <v>1.0</v>
      </c>
      <c r="AQ1242" s="1" t="s">
        <v>198</v>
      </c>
      <c r="AR1242" s="1" t="s">
        <v>192</v>
      </c>
      <c r="AS1242" s="1" t="s">
        <v>199</v>
      </c>
      <c r="AT1242" s="1">
        <v>2.0</v>
      </c>
      <c r="AV1242" s="1" t="s">
        <v>200</v>
      </c>
      <c r="AW1242" s="1">
        <v>7341.0</v>
      </c>
      <c r="AX1242" s="1">
        <v>2013.0</v>
      </c>
      <c r="AZ1242" s="1" t="s">
        <v>200</v>
      </c>
      <c r="BA1242" s="1" t="str">
        <f>"0202125004"</f>
        <v>0202125004</v>
      </c>
      <c r="BC1242" s="1">
        <v>2443.0</v>
      </c>
      <c r="BD1242" s="1">
        <v>235000.0</v>
      </c>
      <c r="BE1242" s="2">
        <v>42075.0</v>
      </c>
      <c r="BF1242" s="2" t="s">
        <v>13282</v>
      </c>
      <c r="BH1242" s="1">
        <v>44.0</v>
      </c>
      <c r="BK1242" s="1" t="s">
        <v>474</v>
      </c>
      <c r="BL1242" s="1" t="str">
        <f t="shared" ref="BL1242:BM1242" si="826">""</f>
        <v/>
      </c>
      <c r="BM1242" s="1" t="str">
        <f t="shared" si="826"/>
        <v/>
      </c>
      <c r="BQ1242" s="1">
        <v>308.0</v>
      </c>
      <c r="BR1242" s="1">
        <v>308.0</v>
      </c>
      <c r="BS1242" s="1">
        <v>308.0</v>
      </c>
      <c r="BU1242" s="1" t="s">
        <v>584</v>
      </c>
      <c r="BV1242" s="1" t="s">
        <v>206</v>
      </c>
      <c r="BW1242" s="1" t="s">
        <v>210</v>
      </c>
      <c r="BY1242" s="1" t="s">
        <v>616</v>
      </c>
      <c r="BZ1242" s="1" t="s">
        <v>209</v>
      </c>
      <c r="CA1242" s="1" t="s">
        <v>210</v>
      </c>
      <c r="CC1242" s="1" t="s">
        <v>2459</v>
      </c>
      <c r="CD1242" s="1" t="s">
        <v>206</v>
      </c>
      <c r="CE1242" s="1" t="s">
        <v>210</v>
      </c>
      <c r="CG1242" s="1" t="s">
        <v>1417</v>
      </c>
      <c r="CH1242" s="1" t="s">
        <v>209</v>
      </c>
      <c r="CI1242" s="1" t="s">
        <v>210</v>
      </c>
      <c r="CK1242" s="1" t="s">
        <v>264</v>
      </c>
      <c r="CL1242" s="1" t="s">
        <v>209</v>
      </c>
      <c r="CM1242" s="1" t="s">
        <v>210</v>
      </c>
      <c r="CO1242" s="1" t="s">
        <v>302</v>
      </c>
      <c r="CP1242" s="1" t="s">
        <v>209</v>
      </c>
      <c r="CQ1242" s="1" t="s">
        <v>210</v>
      </c>
      <c r="CS1242" s="1" t="s">
        <v>1567</v>
      </c>
      <c r="CT1242" s="1" t="s">
        <v>206</v>
      </c>
      <c r="CU1242" s="1" t="s">
        <v>268</v>
      </c>
      <c r="CW1242" s="1" t="s">
        <v>784</v>
      </c>
      <c r="CX1242" s="1" t="s">
        <v>206</v>
      </c>
      <c r="CY1242" s="1" t="s">
        <v>210</v>
      </c>
      <c r="DA1242" s="1" t="s">
        <v>200</v>
      </c>
      <c r="DC1242" s="1" t="s">
        <v>335</v>
      </c>
      <c r="DD1242" s="1" t="s">
        <v>3633</v>
      </c>
      <c r="DE1242" s="1" t="s">
        <v>273</v>
      </c>
      <c r="DF1242" s="1" t="s">
        <v>619</v>
      </c>
      <c r="DG1242" s="1" t="s">
        <v>8467</v>
      </c>
      <c r="DH1242" s="1" t="s">
        <v>220</v>
      </c>
      <c r="DJ1242" s="1" t="s">
        <v>222</v>
      </c>
      <c r="DL1242" s="1" t="s">
        <v>858</v>
      </c>
      <c r="DM1242" s="1" t="s">
        <v>229</v>
      </c>
      <c r="DN1242" s="1" t="s">
        <v>439</v>
      </c>
      <c r="DO1242" s="1" t="s">
        <v>440</v>
      </c>
      <c r="DP1242" s="1" t="s">
        <v>340</v>
      </c>
      <c r="DQ1242" s="1" t="s">
        <v>228</v>
      </c>
      <c r="DR1242" s="1" t="s">
        <v>13283</v>
      </c>
      <c r="DV1242" s="1" t="s">
        <v>13284</v>
      </c>
      <c r="DW1242" s="1" t="s">
        <v>233</v>
      </c>
      <c r="DX1242" s="1" t="s">
        <v>234</v>
      </c>
      <c r="DY1242" s="1" t="s">
        <v>1006</v>
      </c>
      <c r="DZ1242" s="1" t="s">
        <v>343</v>
      </c>
      <c r="EB1242" s="1" t="s">
        <v>684</v>
      </c>
      <c r="EC1242" s="1" t="s">
        <v>237</v>
      </c>
      <c r="EG1242" s="1" t="s">
        <v>1729</v>
      </c>
      <c r="EH1242" s="1" t="s">
        <v>408</v>
      </c>
      <c r="EL1242" s="1" t="s">
        <v>1395</v>
      </c>
      <c r="EM1242" s="1" t="s">
        <v>206</v>
      </c>
      <c r="EN1242" s="1" t="s">
        <v>268</v>
      </c>
      <c r="EP1242" s="1" t="s">
        <v>1745</v>
      </c>
      <c r="EQ1242" s="1" t="s">
        <v>206</v>
      </c>
      <c r="ER1242" s="1" t="s">
        <v>268</v>
      </c>
      <c r="EU1242" s="1" t="s">
        <v>238</v>
      </c>
      <c r="EY1242" s="1" t="s">
        <v>238</v>
      </c>
      <c r="FC1242" s="1" t="s">
        <v>238</v>
      </c>
      <c r="FF1242" s="1" t="s">
        <v>239</v>
      </c>
      <c r="FG1242" s="1" t="s">
        <v>192</v>
      </c>
      <c r="FH1242" s="1" t="s">
        <v>192</v>
      </c>
      <c r="FJ1242" s="1" t="s">
        <v>1248</v>
      </c>
      <c r="FK1242" s="1" t="s">
        <v>229</v>
      </c>
      <c r="FL1242" s="1" t="s">
        <v>2382</v>
      </c>
      <c r="FM1242" s="1">
        <v>23842.0</v>
      </c>
      <c r="FN1242" s="1" t="s">
        <v>2383</v>
      </c>
      <c r="FO1242" s="1" t="s">
        <v>2384</v>
      </c>
      <c r="FP1242" s="1">
        <v>217273.0</v>
      </c>
      <c r="FQ1242" s="1" t="s">
        <v>2385</v>
      </c>
      <c r="FR1242" s="1">
        <v>235676.0</v>
      </c>
      <c r="FU1242" s="1" t="s">
        <v>13285</v>
      </c>
      <c r="FV1242" s="1" t="s">
        <v>200</v>
      </c>
      <c r="FW1242" s="1" t="s">
        <v>354</v>
      </c>
      <c r="FZ1242" s="1" t="s">
        <v>229</v>
      </c>
      <c r="GA1242" s="1" t="s">
        <v>291</v>
      </c>
      <c r="GB1242" s="2">
        <v>42146.0</v>
      </c>
      <c r="GC1242" s="1" t="s">
        <v>13286</v>
      </c>
    </row>
    <row r="1243">
      <c r="A1243" s="1">
        <v>220000.0</v>
      </c>
      <c r="B1243" s="1" t="s">
        <v>185</v>
      </c>
      <c r="C1243" s="1" t="str">
        <f>"08847723"</f>
        <v>08847723</v>
      </c>
      <c r="D1243" s="1" t="s">
        <v>186</v>
      </c>
      <c r="F1243" s="1" t="str">
        <f>"140"</f>
        <v>140</v>
      </c>
      <c r="G1243" s="2">
        <v>42062.0</v>
      </c>
      <c r="H1243" s="1">
        <v>224900.0</v>
      </c>
      <c r="I1243" s="1">
        <v>7.0</v>
      </c>
      <c r="J1243" s="1">
        <v>224900.0</v>
      </c>
      <c r="K1243" s="2">
        <v>42068.0</v>
      </c>
      <c r="L1243" s="1">
        <v>7.0</v>
      </c>
      <c r="M1243" s="2">
        <v>42068.0</v>
      </c>
      <c r="N1243" s="1" t="s">
        <v>187</v>
      </c>
      <c r="O1243" s="2">
        <v>42111.0</v>
      </c>
      <c r="P1243" s="1">
        <v>221783.0</v>
      </c>
      <c r="Q1243" s="1">
        <v>8059.0</v>
      </c>
      <c r="S1243" s="1">
        <v>943.0</v>
      </c>
      <c r="T1243" s="1" t="s">
        <v>5308</v>
      </c>
      <c r="U1243" s="1" t="s">
        <v>569</v>
      </c>
      <c r="V1243" s="1" t="s">
        <v>4858</v>
      </c>
      <c r="W1243" s="1">
        <v>60140.0</v>
      </c>
      <c r="Y1243" s="1" t="s">
        <v>13287</v>
      </c>
      <c r="Z1243" s="1">
        <v>2006.0</v>
      </c>
      <c r="AA1243" s="1" t="s">
        <v>200</v>
      </c>
      <c r="AB1243" s="1" t="s">
        <v>193</v>
      </c>
      <c r="AD1243" s="1" t="s">
        <v>4860</v>
      </c>
      <c r="AE1243" s="1" t="s">
        <v>325</v>
      </c>
      <c r="AF1243" s="1" t="s">
        <v>3429</v>
      </c>
      <c r="AH1243" s="1" t="s">
        <v>13288</v>
      </c>
      <c r="AI1243" s="1">
        <v>0.1902</v>
      </c>
      <c r="AK1243" s="1">
        <v>10.0</v>
      </c>
      <c r="AL1243" s="1">
        <v>4.0</v>
      </c>
      <c r="AM1243" s="1">
        <v>2.0</v>
      </c>
      <c r="AN1243" s="1">
        <v>1.0</v>
      </c>
      <c r="AO1243" s="1" t="s">
        <v>198</v>
      </c>
      <c r="AP1243" s="1">
        <v>1.0</v>
      </c>
      <c r="AQ1243" s="1" t="s">
        <v>198</v>
      </c>
      <c r="AR1243" s="1" t="s">
        <v>200</v>
      </c>
      <c r="AS1243" s="1" t="s">
        <v>199</v>
      </c>
      <c r="AT1243" s="1">
        <v>2.0</v>
      </c>
      <c r="AV1243" s="1" t="s">
        <v>200</v>
      </c>
      <c r="AW1243" s="1">
        <v>8002.0</v>
      </c>
      <c r="AX1243" s="1">
        <v>2013.0</v>
      </c>
      <c r="AY1243" s="1" t="s">
        <v>387</v>
      </c>
      <c r="AZ1243" s="1" t="s">
        <v>192</v>
      </c>
      <c r="BA1243" s="1" t="str">
        <f>"0233129006"</f>
        <v>0233129006</v>
      </c>
      <c r="BC1243" s="1">
        <v>3018.0</v>
      </c>
      <c r="BD1243" s="1">
        <v>220000.0</v>
      </c>
      <c r="BE1243" s="2">
        <v>42062.0</v>
      </c>
      <c r="BF1243" s="2" t="s">
        <v>13289</v>
      </c>
      <c r="BG1243" s="1" t="s">
        <v>6193</v>
      </c>
      <c r="BH1243" s="1">
        <v>0.0</v>
      </c>
      <c r="BI1243" s="1" t="s">
        <v>5040</v>
      </c>
      <c r="BJ1243" s="1" t="s">
        <v>1182</v>
      </c>
      <c r="BK1243" s="1" t="s">
        <v>204</v>
      </c>
      <c r="BL1243" s="1" t="str">
        <f t="shared" ref="BL1243:BM1243" si="827">""</f>
        <v/>
      </c>
      <c r="BM1243" s="1" t="str">
        <f t="shared" si="827"/>
        <v/>
      </c>
      <c r="BQ1243" s="1">
        <v>300.0</v>
      </c>
      <c r="BR1243" s="1">
        <v>300.0</v>
      </c>
      <c r="BS1243" s="1">
        <v>300.0</v>
      </c>
      <c r="BU1243" s="1" t="s">
        <v>1351</v>
      </c>
      <c r="BV1243" s="1" t="s">
        <v>206</v>
      </c>
      <c r="BW1243" s="1" t="s">
        <v>210</v>
      </c>
      <c r="BY1243" s="1" t="s">
        <v>346</v>
      </c>
      <c r="BZ1243" s="1" t="s">
        <v>209</v>
      </c>
      <c r="CA1243" s="1" t="s">
        <v>210</v>
      </c>
      <c r="CC1243" s="1" t="s">
        <v>1351</v>
      </c>
      <c r="CD1243" s="1" t="s">
        <v>206</v>
      </c>
      <c r="CE1243" s="1" t="s">
        <v>210</v>
      </c>
      <c r="CG1243" s="1" t="s">
        <v>211</v>
      </c>
      <c r="CH1243" s="1" t="s">
        <v>209</v>
      </c>
      <c r="CI1243" s="1" t="s">
        <v>210</v>
      </c>
      <c r="CK1243" s="1" t="s">
        <v>363</v>
      </c>
      <c r="CL1243" s="1" t="s">
        <v>209</v>
      </c>
      <c r="CM1243" s="1" t="s">
        <v>210</v>
      </c>
      <c r="CO1243" s="1" t="s">
        <v>363</v>
      </c>
      <c r="CP1243" s="1" t="s">
        <v>209</v>
      </c>
      <c r="CS1243" s="1" t="s">
        <v>1190</v>
      </c>
      <c r="CT1243" s="1" t="s">
        <v>206</v>
      </c>
      <c r="CU1243" s="1" t="s">
        <v>268</v>
      </c>
      <c r="CW1243" s="1" t="s">
        <v>211</v>
      </c>
      <c r="CX1243" s="1" t="s">
        <v>206</v>
      </c>
      <c r="CY1243" s="1" t="s">
        <v>210</v>
      </c>
      <c r="DA1243" s="1" t="s">
        <v>200</v>
      </c>
      <c r="DC1243" s="1" t="s">
        <v>481</v>
      </c>
      <c r="DD1243" s="1" t="s">
        <v>518</v>
      </c>
      <c r="DE1243" s="1" t="s">
        <v>273</v>
      </c>
      <c r="DF1243" s="1" t="s">
        <v>619</v>
      </c>
      <c r="DH1243" s="1" t="s">
        <v>220</v>
      </c>
      <c r="DI1243" s="1" t="s">
        <v>221</v>
      </c>
      <c r="DJ1243" s="1" t="s">
        <v>222</v>
      </c>
      <c r="DL1243" s="1" t="s">
        <v>223</v>
      </c>
      <c r="DM1243" s="1" t="s">
        <v>229</v>
      </c>
      <c r="DN1243" s="1" t="s">
        <v>485</v>
      </c>
      <c r="DP1243" s="1" t="s">
        <v>340</v>
      </c>
      <c r="DQ1243" s="1" t="s">
        <v>228</v>
      </c>
      <c r="DR1243" s="1" t="s">
        <v>229</v>
      </c>
      <c r="DV1243" s="1" t="s">
        <v>6535</v>
      </c>
      <c r="DW1243" s="1" t="s">
        <v>233</v>
      </c>
      <c r="DX1243" s="1" t="s">
        <v>234</v>
      </c>
      <c r="EB1243" s="1" t="s">
        <v>372</v>
      </c>
      <c r="EC1243" s="1" t="s">
        <v>237</v>
      </c>
      <c r="EG1243" s="1" t="s">
        <v>598</v>
      </c>
      <c r="EH1243" s="1" t="s">
        <v>341</v>
      </c>
      <c r="EL1243" s="1" t="s">
        <v>212</v>
      </c>
      <c r="EM1243" s="1" t="s">
        <v>206</v>
      </c>
      <c r="EN1243" s="1" t="s">
        <v>210</v>
      </c>
      <c r="EP1243" s="1" t="s">
        <v>300</v>
      </c>
      <c r="EQ1243" s="1" t="s">
        <v>209</v>
      </c>
      <c r="ER1243" s="1" t="s">
        <v>210</v>
      </c>
      <c r="EU1243" s="1" t="s">
        <v>238</v>
      </c>
      <c r="EY1243" s="1" t="s">
        <v>238</v>
      </c>
      <c r="FC1243" s="1" t="s">
        <v>238</v>
      </c>
      <c r="FF1243" s="1" t="s">
        <v>239</v>
      </c>
      <c r="FG1243" s="1" t="s">
        <v>192</v>
      </c>
      <c r="FH1243" s="1" t="s">
        <v>192</v>
      </c>
      <c r="FJ1243" s="1" t="s">
        <v>770</v>
      </c>
      <c r="FK1243" s="1" t="s">
        <v>229</v>
      </c>
      <c r="FL1243" s="1" t="s">
        <v>525</v>
      </c>
      <c r="FM1243" s="1">
        <v>22029.0</v>
      </c>
      <c r="FN1243" s="1" t="s">
        <v>526</v>
      </c>
      <c r="FO1243" s="1" t="s">
        <v>9172</v>
      </c>
      <c r="FP1243" s="1">
        <v>240200.0</v>
      </c>
      <c r="FQ1243" s="1" t="s">
        <v>9173</v>
      </c>
      <c r="FU1243" s="1" t="s">
        <v>13290</v>
      </c>
      <c r="FV1243" s="1" t="s">
        <v>192</v>
      </c>
      <c r="FW1243" s="1" t="s">
        <v>290</v>
      </c>
      <c r="FZ1243" s="1" t="s">
        <v>2993</v>
      </c>
      <c r="GA1243" s="1" t="s">
        <v>291</v>
      </c>
      <c r="GB1243" s="2">
        <v>42111.0</v>
      </c>
      <c r="GC1243" s="1" t="s">
        <v>13291</v>
      </c>
    </row>
    <row r="1244">
      <c r="A1244" s="1">
        <v>785000.0</v>
      </c>
      <c r="B1244" s="1" t="s">
        <v>185</v>
      </c>
      <c r="C1244" s="1" t="str">
        <f>"08852564"</f>
        <v>08852564</v>
      </c>
      <c r="D1244" s="1" t="s">
        <v>186</v>
      </c>
      <c r="F1244" s="1" t="str">
        <f>"8016"</f>
        <v>8016</v>
      </c>
      <c r="G1244" s="2">
        <v>42067.0</v>
      </c>
      <c r="H1244" s="1">
        <v>799000.0</v>
      </c>
      <c r="I1244" s="1">
        <v>111.0</v>
      </c>
      <c r="J1244" s="1">
        <v>799000.0</v>
      </c>
      <c r="K1244" s="2">
        <v>42072.0</v>
      </c>
      <c r="L1244" s="1">
        <v>6.0</v>
      </c>
      <c r="M1244" s="2">
        <v>42072.0</v>
      </c>
      <c r="N1244" s="1" t="s">
        <v>187</v>
      </c>
      <c r="O1244" s="2">
        <v>42137.0</v>
      </c>
      <c r="P1244" s="1">
        <v>116570.0</v>
      </c>
      <c r="Q1244" s="1">
        <v>16936.0</v>
      </c>
      <c r="S1244" s="1">
        <v>4219.0</v>
      </c>
      <c r="T1244" s="1" t="s">
        <v>2106</v>
      </c>
      <c r="U1244" s="1" t="s">
        <v>189</v>
      </c>
      <c r="V1244" s="1" t="s">
        <v>190</v>
      </c>
      <c r="W1244" s="1">
        <v>60618.0</v>
      </c>
      <c r="Y1244" s="1" t="s">
        <v>13292</v>
      </c>
      <c r="Z1244" s="1">
        <v>2014.0</v>
      </c>
      <c r="AA1244" s="1" t="s">
        <v>200</v>
      </c>
      <c r="AB1244" s="1" t="s">
        <v>193</v>
      </c>
      <c r="AD1244" s="1" t="s">
        <v>194</v>
      </c>
      <c r="AE1244" s="1" t="s">
        <v>195</v>
      </c>
      <c r="AF1244" s="1" t="s">
        <v>2645</v>
      </c>
      <c r="AH1244" s="1" t="s">
        <v>2164</v>
      </c>
      <c r="AK1244" s="1">
        <v>8.0</v>
      </c>
      <c r="AL1244" s="1">
        <v>3.0</v>
      </c>
      <c r="AM1244" s="1">
        <v>3.0</v>
      </c>
      <c r="AN1244" s="1">
        <v>1.0</v>
      </c>
      <c r="AO1244" s="1" t="s">
        <v>198</v>
      </c>
      <c r="AP1244" s="1">
        <v>2.0</v>
      </c>
      <c r="AQ1244" s="1" t="s">
        <v>198</v>
      </c>
      <c r="AR1244" s="1" t="s">
        <v>192</v>
      </c>
      <c r="AS1244" s="1" t="s">
        <v>510</v>
      </c>
      <c r="AT1244" s="1">
        <v>2.0</v>
      </c>
      <c r="AU1244" s="1">
        <v>2.0</v>
      </c>
      <c r="AV1244" s="1" t="s">
        <v>200</v>
      </c>
      <c r="AW1244" s="1">
        <v>7178.0</v>
      </c>
      <c r="AX1244" s="1">
        <v>2013.0</v>
      </c>
      <c r="AY1244" s="1" t="s">
        <v>229</v>
      </c>
      <c r="AZ1244" s="1" t="s">
        <v>200</v>
      </c>
      <c r="BA1244" s="1" t="str">
        <f>"13144150130000"</f>
        <v>13144150130000</v>
      </c>
      <c r="BB1244" s="1" t="s">
        <v>200</v>
      </c>
      <c r="BC1244" s="1">
        <v>0.0</v>
      </c>
      <c r="BD1244" s="1">
        <v>785000.0</v>
      </c>
      <c r="BE1244" s="2">
        <v>42067.0</v>
      </c>
      <c r="BF1244" s="2" t="s">
        <v>13293</v>
      </c>
      <c r="BH1244" s="1">
        <v>0.0</v>
      </c>
      <c r="BK1244" s="1" t="s">
        <v>204</v>
      </c>
      <c r="BL1244" s="1" t="str">
        <f>"4219"</f>
        <v>4219</v>
      </c>
      <c r="BM1244" s="1" t="str">
        <f>"0"</f>
        <v>0</v>
      </c>
      <c r="BN1244" s="1">
        <v>3300.0</v>
      </c>
      <c r="BO1244" s="1">
        <v>0.0</v>
      </c>
      <c r="BQ1244" s="1">
        <v>299.0</v>
      </c>
      <c r="BR1244" s="1">
        <v>299.0</v>
      </c>
      <c r="BS1244" s="1">
        <v>299.0</v>
      </c>
      <c r="BU1244" s="1" t="s">
        <v>716</v>
      </c>
      <c r="BV1244" s="1" t="s">
        <v>206</v>
      </c>
      <c r="BW1244" s="1" t="s">
        <v>207</v>
      </c>
      <c r="BY1244" s="1" t="s">
        <v>4403</v>
      </c>
      <c r="BZ1244" s="1" t="s">
        <v>209</v>
      </c>
      <c r="CA1244" s="1" t="s">
        <v>207</v>
      </c>
      <c r="CC1244" s="1" t="s">
        <v>1483</v>
      </c>
      <c r="CD1244" s="1" t="s">
        <v>206</v>
      </c>
      <c r="CE1244" s="1" t="s">
        <v>207</v>
      </c>
      <c r="CG1244" s="1" t="s">
        <v>303</v>
      </c>
      <c r="CH1244" s="1" t="s">
        <v>209</v>
      </c>
      <c r="CI1244" s="1" t="s">
        <v>207</v>
      </c>
      <c r="CK1244" s="1" t="s">
        <v>2713</v>
      </c>
      <c r="CL1244" s="1" t="s">
        <v>209</v>
      </c>
      <c r="CM1244" s="1" t="s">
        <v>207</v>
      </c>
      <c r="CO1244" s="1" t="s">
        <v>1352</v>
      </c>
      <c r="CP1244" s="1" t="s">
        <v>42</v>
      </c>
      <c r="CS1244" s="1" t="s">
        <v>3475</v>
      </c>
      <c r="CT1244" s="1" t="s">
        <v>206</v>
      </c>
      <c r="CU1244" s="1" t="s">
        <v>207</v>
      </c>
      <c r="CW1244" s="1" t="s">
        <v>10149</v>
      </c>
      <c r="CX1244" s="1" t="s">
        <v>42</v>
      </c>
      <c r="CY1244" s="1" t="s">
        <v>268</v>
      </c>
      <c r="DA1244" s="1" t="s">
        <v>192</v>
      </c>
      <c r="DB1244" s="2">
        <v>42067.0</v>
      </c>
      <c r="DC1244" s="1" t="s">
        <v>1353</v>
      </c>
      <c r="DD1244" s="1" t="s">
        <v>731</v>
      </c>
      <c r="DE1244" s="1" t="s">
        <v>3750</v>
      </c>
      <c r="DF1244" s="1" t="s">
        <v>619</v>
      </c>
      <c r="DG1244" s="1" t="s">
        <v>8104</v>
      </c>
      <c r="DH1244" s="1" t="s">
        <v>365</v>
      </c>
      <c r="DI1244" s="1" t="s">
        <v>7225</v>
      </c>
      <c r="DJ1244" s="1" t="s">
        <v>222</v>
      </c>
      <c r="DK1244" s="1" t="s">
        <v>224</v>
      </c>
      <c r="DL1244" s="1" t="s">
        <v>224</v>
      </c>
      <c r="DM1244" s="1" t="s">
        <v>229</v>
      </c>
      <c r="DN1244" s="1" t="s">
        <v>485</v>
      </c>
      <c r="DP1244" s="1" t="s">
        <v>276</v>
      </c>
      <c r="DQ1244" s="1" t="s">
        <v>441</v>
      </c>
      <c r="DR1244" s="1" t="s">
        <v>229</v>
      </c>
      <c r="DS1244" s="1" t="s">
        <v>591</v>
      </c>
      <c r="DU1244" s="1" t="s">
        <v>9153</v>
      </c>
      <c r="DV1244" s="1" t="s">
        <v>232</v>
      </c>
      <c r="DW1244" s="1" t="s">
        <v>13166</v>
      </c>
      <c r="DX1244" s="1" t="s">
        <v>234</v>
      </c>
      <c r="DY1244" s="1" t="s">
        <v>11052</v>
      </c>
      <c r="DZ1244" s="1" t="s">
        <v>766</v>
      </c>
      <c r="EA1244" s="1" t="s">
        <v>1027</v>
      </c>
      <c r="EC1244" s="1" t="s">
        <v>237</v>
      </c>
      <c r="ED1244" s="1" t="s">
        <v>555</v>
      </c>
      <c r="EM1244" s="1" t="s">
        <v>238</v>
      </c>
      <c r="EQ1244" s="1" t="s">
        <v>238</v>
      </c>
      <c r="EU1244" s="1" t="s">
        <v>238</v>
      </c>
      <c r="EY1244" s="1" t="s">
        <v>238</v>
      </c>
      <c r="FC1244" s="1" t="s">
        <v>238</v>
      </c>
      <c r="FF1244" s="1" t="s">
        <v>239</v>
      </c>
      <c r="FG1244" s="1" t="s">
        <v>192</v>
      </c>
      <c r="FH1244" s="1" t="s">
        <v>192</v>
      </c>
      <c r="FJ1244" s="1" t="s">
        <v>1450</v>
      </c>
      <c r="FK1244" s="1" t="s">
        <v>229</v>
      </c>
      <c r="FL1244" s="1" t="s">
        <v>13294</v>
      </c>
      <c r="FM1244" s="1">
        <v>85413.0</v>
      </c>
      <c r="FN1244" s="1" t="s">
        <v>13295</v>
      </c>
      <c r="FO1244" s="1" t="s">
        <v>13296</v>
      </c>
      <c r="FP1244" s="1">
        <v>151828.0</v>
      </c>
      <c r="FQ1244" s="1" t="s">
        <v>13297</v>
      </c>
      <c r="FR1244" s="1">
        <v>157955.0</v>
      </c>
      <c r="FU1244" s="1" t="s">
        <v>13298</v>
      </c>
      <c r="FV1244" s="1" t="s">
        <v>200</v>
      </c>
      <c r="FW1244" s="1" t="s">
        <v>290</v>
      </c>
      <c r="FX1244" s="1" t="s">
        <v>238</v>
      </c>
      <c r="FZ1244" s="1" t="s">
        <v>229</v>
      </c>
      <c r="GA1244" s="1" t="s">
        <v>291</v>
      </c>
      <c r="GB1244" s="2">
        <v>42138.0</v>
      </c>
      <c r="GC1244" s="1" t="s">
        <v>13299</v>
      </c>
    </row>
    <row r="1245">
      <c r="A1245" s="1">
        <v>430000.0</v>
      </c>
      <c r="B1245" s="1" t="s">
        <v>185</v>
      </c>
      <c r="C1245" s="1" t="str">
        <f>"08853661"</f>
        <v>08853661</v>
      </c>
      <c r="D1245" s="1" t="s">
        <v>186</v>
      </c>
      <c r="F1245" s="1" t="str">
        <f>"8028"</f>
        <v>8028</v>
      </c>
      <c r="G1245" s="2">
        <v>42068.0</v>
      </c>
      <c r="H1245" s="1">
        <v>429000.0</v>
      </c>
      <c r="I1245" s="1">
        <v>21.0</v>
      </c>
      <c r="J1245" s="1">
        <v>429000.0</v>
      </c>
      <c r="K1245" s="2">
        <v>42072.0</v>
      </c>
      <c r="L1245" s="1">
        <v>5.0</v>
      </c>
      <c r="M1245" s="2">
        <v>42072.0</v>
      </c>
      <c r="N1245" s="1" t="s">
        <v>187</v>
      </c>
      <c r="O1245" s="2">
        <v>42129.0</v>
      </c>
      <c r="P1245" s="1">
        <v>113690.0</v>
      </c>
      <c r="Q1245" s="1">
        <v>10900.0</v>
      </c>
      <c r="R1245" s="1">
        <v>5000.0</v>
      </c>
      <c r="S1245" s="1">
        <v>2512.0</v>
      </c>
      <c r="T1245" s="1" t="s">
        <v>8922</v>
      </c>
      <c r="U1245" s="1" t="s">
        <v>320</v>
      </c>
      <c r="V1245" s="1" t="s">
        <v>190</v>
      </c>
      <c r="W1245" s="1">
        <v>60612.0</v>
      </c>
      <c r="Y1245" s="1" t="s">
        <v>13300</v>
      </c>
      <c r="Z1245" s="1">
        <v>2015.0</v>
      </c>
      <c r="AA1245" s="1" t="s">
        <v>200</v>
      </c>
      <c r="AB1245" s="1" t="s">
        <v>193</v>
      </c>
      <c r="AD1245" s="1" t="s">
        <v>194</v>
      </c>
      <c r="AE1245" s="1" t="s">
        <v>195</v>
      </c>
      <c r="AF1245" s="1" t="s">
        <v>637</v>
      </c>
      <c r="AH1245" s="1" t="s">
        <v>6548</v>
      </c>
      <c r="AI1245" s="1">
        <v>0.07</v>
      </c>
      <c r="AK1245" s="1">
        <v>8.0</v>
      </c>
      <c r="AL1245" s="1">
        <v>4.0</v>
      </c>
      <c r="AM1245" s="1">
        <v>3.0</v>
      </c>
      <c r="AN1245" s="1">
        <v>1.0</v>
      </c>
      <c r="AO1245" s="1" t="s">
        <v>198</v>
      </c>
      <c r="AQ1245" s="1" t="s">
        <v>472</v>
      </c>
      <c r="AR1245" s="1" t="s">
        <v>192</v>
      </c>
      <c r="AS1245" s="1" t="s">
        <v>510</v>
      </c>
      <c r="AT1245" s="1">
        <v>2.0</v>
      </c>
      <c r="AU1245" s="1">
        <v>2.0</v>
      </c>
      <c r="AV1245" s="1" t="s">
        <v>200</v>
      </c>
      <c r="AW1245" s="1" t="s">
        <v>575</v>
      </c>
      <c r="AX1245" s="1">
        <v>2013.0</v>
      </c>
      <c r="AZ1245" s="1" t="s">
        <v>200</v>
      </c>
      <c r="BA1245" s="1" t="str">
        <f>"16134280310000"</f>
        <v>16134280310000</v>
      </c>
      <c r="BC1245" s="1">
        <v>2400.0</v>
      </c>
      <c r="BD1245" s="1">
        <v>430000.0</v>
      </c>
      <c r="BE1245" s="2">
        <v>42068.0</v>
      </c>
      <c r="BF1245" s="2" t="s">
        <v>13301</v>
      </c>
      <c r="BH1245" s="1">
        <v>0.0</v>
      </c>
      <c r="BK1245" s="1" t="s">
        <v>204</v>
      </c>
      <c r="BL1245" s="1" t="str">
        <f t="shared" ref="BL1245:BM1245" si="828">"0"</f>
        <v>0</v>
      </c>
      <c r="BM1245" s="1" t="str">
        <f t="shared" si="828"/>
        <v>0</v>
      </c>
      <c r="BN1245" s="1">
        <v>2512.0</v>
      </c>
      <c r="BO1245" s="1">
        <v>1150.0</v>
      </c>
      <c r="BQ1245" s="1">
        <v>299.0</v>
      </c>
      <c r="BR1245" s="1">
        <v>299.0</v>
      </c>
      <c r="BS1245" s="1">
        <v>299.0</v>
      </c>
      <c r="BU1245" s="1" t="s">
        <v>2900</v>
      </c>
      <c r="BV1245" s="1" t="s">
        <v>206</v>
      </c>
      <c r="BW1245" s="1" t="s">
        <v>207</v>
      </c>
      <c r="BX1245" s="1" t="s">
        <v>229</v>
      </c>
      <c r="BY1245" s="1" t="s">
        <v>2120</v>
      </c>
      <c r="BZ1245" s="1" t="s">
        <v>209</v>
      </c>
      <c r="CA1245" s="1" t="s">
        <v>210</v>
      </c>
      <c r="CB1245" s="1" t="s">
        <v>229</v>
      </c>
      <c r="CC1245" s="1" t="s">
        <v>329</v>
      </c>
      <c r="CD1245" s="1" t="s">
        <v>206</v>
      </c>
      <c r="CE1245" s="1" t="s">
        <v>207</v>
      </c>
      <c r="CF1245" s="1" t="s">
        <v>229</v>
      </c>
      <c r="CG1245" s="1" t="s">
        <v>262</v>
      </c>
      <c r="CH1245" s="1" t="s">
        <v>209</v>
      </c>
      <c r="CI1245" s="1" t="s">
        <v>210</v>
      </c>
      <c r="CJ1245" s="1" t="s">
        <v>229</v>
      </c>
      <c r="CK1245" s="1" t="s">
        <v>332</v>
      </c>
      <c r="CL1245" s="1" t="s">
        <v>209</v>
      </c>
      <c r="CM1245" s="1" t="s">
        <v>210</v>
      </c>
      <c r="CN1245" s="1" t="s">
        <v>229</v>
      </c>
      <c r="CO1245" s="1" t="s">
        <v>332</v>
      </c>
      <c r="CP1245" s="1" t="s">
        <v>267</v>
      </c>
      <c r="CQ1245" s="1" t="s">
        <v>210</v>
      </c>
      <c r="CR1245" s="1" t="s">
        <v>229</v>
      </c>
      <c r="CS1245" s="1" t="s">
        <v>208</v>
      </c>
      <c r="CT1245" s="1" t="s">
        <v>206</v>
      </c>
      <c r="CU1245" s="1" t="s">
        <v>207</v>
      </c>
      <c r="CV1245" s="1" t="s">
        <v>229</v>
      </c>
      <c r="CW1245" s="1" t="s">
        <v>2205</v>
      </c>
      <c r="CX1245" s="1" t="s">
        <v>267</v>
      </c>
      <c r="CY1245" s="1" t="s">
        <v>210</v>
      </c>
      <c r="CZ1245" s="1" t="s">
        <v>229</v>
      </c>
      <c r="DA1245" s="1" t="s">
        <v>192</v>
      </c>
      <c r="DB1245" s="2">
        <v>42067.0</v>
      </c>
      <c r="DC1245" s="1" t="s">
        <v>1353</v>
      </c>
      <c r="DD1245" s="1" t="s">
        <v>759</v>
      </c>
      <c r="DE1245" s="1" t="s">
        <v>273</v>
      </c>
      <c r="DF1245" s="1" t="s">
        <v>219</v>
      </c>
      <c r="DH1245" s="1" t="s">
        <v>307</v>
      </c>
      <c r="DI1245" s="1" t="s">
        <v>732</v>
      </c>
      <c r="DJ1245" s="1" t="s">
        <v>222</v>
      </c>
      <c r="DL1245" s="1" t="s">
        <v>224</v>
      </c>
      <c r="DM1245" s="1" t="s">
        <v>792</v>
      </c>
      <c r="DN1245" s="1" t="s">
        <v>12893</v>
      </c>
      <c r="DO1245" s="1" t="s">
        <v>549</v>
      </c>
      <c r="DP1245" s="1" t="s">
        <v>276</v>
      </c>
      <c r="DQ1245" s="1" t="s">
        <v>228</v>
      </c>
      <c r="DR1245" s="1" t="s">
        <v>229</v>
      </c>
      <c r="DS1245" s="1" t="s">
        <v>230</v>
      </c>
      <c r="DU1245" s="1" t="s">
        <v>13302</v>
      </c>
      <c r="DV1245" s="1" t="s">
        <v>232</v>
      </c>
      <c r="DW1245" s="1" t="s">
        <v>1026</v>
      </c>
      <c r="DX1245" s="1" t="s">
        <v>234</v>
      </c>
      <c r="DZ1245" s="1" t="s">
        <v>310</v>
      </c>
      <c r="EA1245" s="1" t="s">
        <v>1027</v>
      </c>
      <c r="EC1245" s="1" t="s">
        <v>237</v>
      </c>
      <c r="ED1245" s="1" t="s">
        <v>407</v>
      </c>
      <c r="EF1245" s="1" t="s">
        <v>834</v>
      </c>
      <c r="EM1245" s="1" t="s">
        <v>238</v>
      </c>
      <c r="EQ1245" s="1" t="s">
        <v>238</v>
      </c>
      <c r="EU1245" s="1" t="s">
        <v>238</v>
      </c>
      <c r="EY1245" s="1" t="s">
        <v>238</v>
      </c>
      <c r="FC1245" s="1" t="s">
        <v>238</v>
      </c>
      <c r="FF1245" s="1" t="s">
        <v>239</v>
      </c>
      <c r="FG1245" s="1" t="s">
        <v>192</v>
      </c>
      <c r="FH1245" s="1" t="s">
        <v>192</v>
      </c>
      <c r="FJ1245" s="1" t="s">
        <v>2262</v>
      </c>
      <c r="FK1245" s="1" t="s">
        <v>229</v>
      </c>
      <c r="FL1245" s="1" t="s">
        <v>8713</v>
      </c>
      <c r="FM1245" s="1">
        <v>16645.0</v>
      </c>
      <c r="FN1245" s="1" t="s">
        <v>8714</v>
      </c>
      <c r="FO1245" s="1" t="s">
        <v>8715</v>
      </c>
      <c r="FP1245" s="1">
        <v>144314.0</v>
      </c>
      <c r="FQ1245" s="1" t="s">
        <v>8714</v>
      </c>
      <c r="FS1245" s="1">
        <v>144314.0</v>
      </c>
      <c r="FU1245" s="1" t="s">
        <v>13081</v>
      </c>
      <c r="FV1245" s="1" t="s">
        <v>200</v>
      </c>
      <c r="FW1245" s="1" t="s">
        <v>530</v>
      </c>
      <c r="FX1245" s="1" t="s">
        <v>246</v>
      </c>
      <c r="FZ1245" s="1" t="s">
        <v>229</v>
      </c>
      <c r="GA1245" s="1" t="s">
        <v>247</v>
      </c>
      <c r="GB1245" s="2">
        <v>42129.0</v>
      </c>
      <c r="GC1245" s="1" t="s">
        <v>13082</v>
      </c>
    </row>
    <row r="1246">
      <c r="A1246" s="1">
        <v>589900.0</v>
      </c>
      <c r="B1246" s="1" t="s">
        <v>185</v>
      </c>
      <c r="C1246" s="1" t="str">
        <f>"08848468"</f>
        <v>08848468</v>
      </c>
      <c r="D1246" s="1" t="s">
        <v>186</v>
      </c>
      <c r="F1246" s="1" t="str">
        <f>"8024"</f>
        <v>8024</v>
      </c>
      <c r="G1246" s="2">
        <v>42062.0</v>
      </c>
      <c r="H1246" s="1">
        <v>589900.0</v>
      </c>
      <c r="I1246" s="1">
        <v>1.0</v>
      </c>
      <c r="J1246" s="1">
        <v>589900.0</v>
      </c>
      <c r="K1246" s="2">
        <v>42062.0</v>
      </c>
      <c r="L1246" s="1">
        <v>1.0</v>
      </c>
      <c r="M1246" s="2">
        <v>42062.0</v>
      </c>
      <c r="N1246" s="1" t="s">
        <v>187</v>
      </c>
      <c r="O1246" s="2">
        <v>42118.0</v>
      </c>
      <c r="P1246" s="1">
        <v>185442.0</v>
      </c>
      <c r="Q1246" s="1">
        <v>84180.0</v>
      </c>
      <c r="S1246" s="1">
        <v>1632.0</v>
      </c>
      <c r="T1246" s="1" t="s">
        <v>11751</v>
      </c>
      <c r="U1246" s="1" t="s">
        <v>320</v>
      </c>
      <c r="V1246" s="1" t="s">
        <v>190</v>
      </c>
      <c r="W1246" s="1">
        <v>60647.0</v>
      </c>
      <c r="Y1246" s="1" t="s">
        <v>12761</v>
      </c>
      <c r="Z1246" s="1">
        <v>2014.0</v>
      </c>
      <c r="AA1246" s="1" t="s">
        <v>200</v>
      </c>
      <c r="AB1246" s="1" t="s">
        <v>193</v>
      </c>
      <c r="AD1246" s="1" t="s">
        <v>194</v>
      </c>
      <c r="AE1246" s="1" t="s">
        <v>195</v>
      </c>
      <c r="AF1246" s="1" t="s">
        <v>2645</v>
      </c>
      <c r="AH1246" s="1" t="s">
        <v>10238</v>
      </c>
      <c r="AK1246" s="1">
        <v>10.0</v>
      </c>
      <c r="AL1246" s="1">
        <v>4.0</v>
      </c>
      <c r="AM1246" s="1">
        <v>3.0</v>
      </c>
      <c r="AN1246" s="1">
        <v>1.0</v>
      </c>
      <c r="AO1246" s="1" t="s">
        <v>198</v>
      </c>
      <c r="AP1246" s="1">
        <v>1.0</v>
      </c>
      <c r="AQ1246" s="1" t="s">
        <v>198</v>
      </c>
      <c r="AR1246" s="1" t="s">
        <v>192</v>
      </c>
      <c r="AS1246" s="1" t="s">
        <v>199</v>
      </c>
      <c r="AT1246" s="1">
        <v>2.0</v>
      </c>
      <c r="AV1246" s="1" t="s">
        <v>200</v>
      </c>
      <c r="AW1246" s="1" t="s">
        <v>575</v>
      </c>
      <c r="AX1246" s="1">
        <v>2013.0</v>
      </c>
      <c r="AZ1246" s="1" t="s">
        <v>200</v>
      </c>
      <c r="BA1246" s="1" t="str">
        <f>"13363280260000"</f>
        <v>13363280260000</v>
      </c>
      <c r="BC1246" s="1">
        <v>3000.0</v>
      </c>
      <c r="BD1246" s="1">
        <v>589900.0</v>
      </c>
      <c r="BE1246" s="2">
        <v>42062.0</v>
      </c>
      <c r="BF1246" s="2" t="s">
        <v>12762</v>
      </c>
      <c r="BH1246" s="1">
        <v>0.0</v>
      </c>
      <c r="BK1246" s="1" t="s">
        <v>204</v>
      </c>
      <c r="BL1246" s="1" t="str">
        <f>"1632"</f>
        <v>1632</v>
      </c>
      <c r="BM1246" s="1" t="str">
        <f t="shared" ref="BM1246:BM1250" si="829">"0"</f>
        <v>0</v>
      </c>
      <c r="BN1246" s="1">
        <v>3000.0</v>
      </c>
      <c r="BO1246" s="1">
        <v>0.0</v>
      </c>
      <c r="BQ1246" s="1">
        <v>299.0</v>
      </c>
      <c r="BR1246" s="1">
        <v>299.0</v>
      </c>
      <c r="BS1246" s="1">
        <v>299.0</v>
      </c>
      <c r="BU1246" s="1" t="s">
        <v>260</v>
      </c>
      <c r="BV1246" s="1" t="s">
        <v>206</v>
      </c>
      <c r="BW1246" s="1" t="s">
        <v>207</v>
      </c>
      <c r="BY1246" s="1" t="s">
        <v>213</v>
      </c>
      <c r="BZ1246" s="1" t="s">
        <v>209</v>
      </c>
      <c r="CA1246" s="1" t="s">
        <v>207</v>
      </c>
      <c r="CC1246" s="1" t="s">
        <v>542</v>
      </c>
      <c r="CD1246" s="1" t="s">
        <v>206</v>
      </c>
      <c r="CE1246" s="1" t="s">
        <v>207</v>
      </c>
      <c r="CG1246" s="1" t="s">
        <v>269</v>
      </c>
      <c r="CH1246" s="1" t="s">
        <v>209</v>
      </c>
      <c r="CI1246" s="1" t="s">
        <v>207</v>
      </c>
      <c r="CK1246" s="1" t="s">
        <v>212</v>
      </c>
      <c r="CL1246" s="1" t="s">
        <v>209</v>
      </c>
      <c r="CM1246" s="1" t="s">
        <v>207</v>
      </c>
      <c r="CO1246" s="1" t="s">
        <v>262</v>
      </c>
      <c r="CP1246" s="1" t="s">
        <v>267</v>
      </c>
      <c r="CQ1246" s="1" t="s">
        <v>210</v>
      </c>
      <c r="CS1246" s="1" t="s">
        <v>266</v>
      </c>
      <c r="CT1246" s="1" t="s">
        <v>206</v>
      </c>
      <c r="CU1246" s="1" t="s">
        <v>207</v>
      </c>
      <c r="CW1246" s="1" t="s">
        <v>479</v>
      </c>
      <c r="CX1246" s="1" t="s">
        <v>206</v>
      </c>
      <c r="CY1246" s="1" t="s">
        <v>207</v>
      </c>
      <c r="DA1246" s="1" t="s">
        <v>192</v>
      </c>
      <c r="DB1246" s="2">
        <v>42094.0</v>
      </c>
      <c r="DC1246" s="1" t="s">
        <v>1353</v>
      </c>
      <c r="DE1246" s="1" t="s">
        <v>273</v>
      </c>
      <c r="DF1246" s="1" t="s">
        <v>219</v>
      </c>
      <c r="DH1246" s="1" t="s">
        <v>220</v>
      </c>
      <c r="DI1246" s="1" t="s">
        <v>13303</v>
      </c>
      <c r="DJ1246" s="1" t="s">
        <v>222</v>
      </c>
      <c r="DL1246" s="1" t="s">
        <v>224</v>
      </c>
      <c r="DM1246" s="1" t="s">
        <v>229</v>
      </c>
      <c r="DN1246" s="1" t="s">
        <v>12763</v>
      </c>
      <c r="DO1246" s="1" t="s">
        <v>4234</v>
      </c>
      <c r="DP1246" s="1" t="s">
        <v>227</v>
      </c>
      <c r="DQ1246" s="1" t="s">
        <v>228</v>
      </c>
      <c r="DR1246" s="1" t="s">
        <v>229</v>
      </c>
      <c r="DS1246" s="1" t="s">
        <v>591</v>
      </c>
      <c r="DV1246" s="1" t="s">
        <v>12764</v>
      </c>
      <c r="DW1246" s="1" t="s">
        <v>444</v>
      </c>
      <c r="DX1246" s="1" t="s">
        <v>234</v>
      </c>
      <c r="DY1246" s="1" t="s">
        <v>596</v>
      </c>
      <c r="DZ1246" s="1" t="s">
        <v>310</v>
      </c>
      <c r="EA1246" s="1" t="s">
        <v>1027</v>
      </c>
      <c r="EB1246" s="1" t="s">
        <v>684</v>
      </c>
      <c r="EC1246" s="1" t="s">
        <v>237</v>
      </c>
      <c r="ED1246" s="1" t="s">
        <v>555</v>
      </c>
      <c r="EG1246" s="1" t="s">
        <v>450</v>
      </c>
      <c r="EH1246" s="1" t="s">
        <v>2023</v>
      </c>
      <c r="EL1246" s="1" t="s">
        <v>208</v>
      </c>
      <c r="EM1246" s="1" t="s">
        <v>267</v>
      </c>
      <c r="EN1246" s="1" t="s">
        <v>210</v>
      </c>
      <c r="EP1246" s="1" t="s">
        <v>454</v>
      </c>
      <c r="EQ1246" s="1" t="s">
        <v>267</v>
      </c>
      <c r="ER1246" s="1" t="s">
        <v>210</v>
      </c>
      <c r="EU1246" s="1" t="s">
        <v>238</v>
      </c>
      <c r="EY1246" s="1" t="s">
        <v>238</v>
      </c>
      <c r="FC1246" s="1" t="s">
        <v>238</v>
      </c>
      <c r="FF1246" s="1" t="s">
        <v>239</v>
      </c>
      <c r="FG1246" s="1" t="s">
        <v>192</v>
      </c>
      <c r="FH1246" s="1" t="s">
        <v>192</v>
      </c>
      <c r="FJ1246" s="1" t="s">
        <v>12765</v>
      </c>
      <c r="FK1246" s="1" t="s">
        <v>229</v>
      </c>
      <c r="FL1246" s="1" t="s">
        <v>1358</v>
      </c>
      <c r="FM1246" s="1">
        <v>12660.0</v>
      </c>
      <c r="FN1246" s="1" t="s">
        <v>12766</v>
      </c>
      <c r="FO1246" s="1" t="s">
        <v>12767</v>
      </c>
      <c r="FP1246" s="1">
        <v>174062.0</v>
      </c>
      <c r="FQ1246" s="1" t="s">
        <v>12768</v>
      </c>
      <c r="FS1246" s="1" t="s">
        <v>12769</v>
      </c>
      <c r="FU1246" s="1" t="s">
        <v>12770</v>
      </c>
      <c r="FV1246" s="1" t="s">
        <v>200</v>
      </c>
      <c r="FW1246" s="1" t="s">
        <v>1511</v>
      </c>
      <c r="FX1246" s="1" t="s">
        <v>238</v>
      </c>
      <c r="FZ1246" s="1" t="s">
        <v>229</v>
      </c>
      <c r="GA1246" s="1" t="s">
        <v>291</v>
      </c>
      <c r="GB1246" s="2">
        <v>42118.0</v>
      </c>
    </row>
    <row r="1247">
      <c r="A1247" s="1">
        <v>289500.0</v>
      </c>
      <c r="B1247" s="1" t="s">
        <v>185</v>
      </c>
      <c r="C1247" s="1" t="str">
        <f>"08851788"</f>
        <v>08851788</v>
      </c>
      <c r="D1247" s="1" t="s">
        <v>186</v>
      </c>
      <c r="F1247" s="1" t="str">
        <f>"8025"</f>
        <v>8025</v>
      </c>
      <c r="G1247" s="2">
        <v>42066.0</v>
      </c>
      <c r="H1247" s="1">
        <v>299900.0</v>
      </c>
      <c r="I1247" s="1">
        <v>21.0</v>
      </c>
      <c r="J1247" s="1">
        <v>299500.0</v>
      </c>
      <c r="K1247" s="2">
        <v>42086.0</v>
      </c>
      <c r="L1247" s="1">
        <v>21.0</v>
      </c>
      <c r="M1247" s="2">
        <v>42086.0</v>
      </c>
      <c r="N1247" s="1" t="s">
        <v>356</v>
      </c>
      <c r="O1247" s="2">
        <v>42129.0</v>
      </c>
      <c r="P1247" s="1">
        <v>236053.0</v>
      </c>
      <c r="Q1247" s="1">
        <v>23076.0</v>
      </c>
      <c r="R1247" s="1">
        <v>2.0</v>
      </c>
      <c r="S1247" s="1">
        <v>1747.0</v>
      </c>
      <c r="T1247" s="1" t="s">
        <v>8555</v>
      </c>
      <c r="U1247" s="1" t="s">
        <v>189</v>
      </c>
      <c r="V1247" s="1" t="s">
        <v>190</v>
      </c>
      <c r="W1247" s="1">
        <v>60639.0</v>
      </c>
      <c r="Y1247" s="1" t="s">
        <v>13304</v>
      </c>
      <c r="Z1247" s="1">
        <v>1922.0</v>
      </c>
      <c r="AA1247" s="1" t="s">
        <v>192</v>
      </c>
      <c r="AB1247" s="1" t="s">
        <v>193</v>
      </c>
      <c r="AD1247" s="1" t="s">
        <v>194</v>
      </c>
      <c r="AE1247" s="1" t="s">
        <v>195</v>
      </c>
      <c r="AF1247" s="1" t="s">
        <v>196</v>
      </c>
      <c r="AH1247" s="1" t="s">
        <v>3997</v>
      </c>
      <c r="AI1247" s="1">
        <v>0.0854</v>
      </c>
      <c r="AK1247" s="1">
        <v>7.0</v>
      </c>
      <c r="AL1247" s="1">
        <v>3.0</v>
      </c>
      <c r="AM1247" s="1">
        <v>3.0</v>
      </c>
      <c r="AN1247" s="1">
        <v>1.0</v>
      </c>
      <c r="AO1247" s="1" t="s">
        <v>198</v>
      </c>
      <c r="AQ1247" s="1" t="s">
        <v>198</v>
      </c>
      <c r="AR1247" s="1" t="s">
        <v>192</v>
      </c>
      <c r="AS1247" s="1" t="s">
        <v>199</v>
      </c>
      <c r="AT1247" s="1">
        <v>2.0</v>
      </c>
      <c r="AV1247" s="1" t="s">
        <v>200</v>
      </c>
      <c r="AW1247" s="1">
        <v>1999.35</v>
      </c>
      <c r="AX1247" s="1">
        <v>2012.0</v>
      </c>
      <c r="AZ1247" s="1" t="s">
        <v>200</v>
      </c>
      <c r="BA1247" s="1" t="str">
        <f>"13323120050000"</f>
        <v>13323120050000</v>
      </c>
      <c r="BC1247" s="1">
        <v>2400.0</v>
      </c>
      <c r="BD1247" s="1">
        <v>289500.0</v>
      </c>
      <c r="BE1247" s="2">
        <v>42066.0</v>
      </c>
      <c r="BF1247" s="2" t="s">
        <v>13305</v>
      </c>
      <c r="BH1247" s="1">
        <v>0.0</v>
      </c>
      <c r="BK1247" s="1" t="s">
        <v>204</v>
      </c>
      <c r="BL1247" s="1" t="str">
        <f>"1747"</f>
        <v>1747</v>
      </c>
      <c r="BM1247" s="1" t="str">
        <f t="shared" si="829"/>
        <v>0</v>
      </c>
      <c r="BN1247" s="1">
        <v>6200.0</v>
      </c>
      <c r="BO1247" s="1">
        <v>0.0</v>
      </c>
      <c r="BQ1247" s="1">
        <v>299.0</v>
      </c>
      <c r="BR1247" s="1">
        <v>299.0</v>
      </c>
      <c r="BS1247" s="1">
        <v>299.0</v>
      </c>
      <c r="BU1247" s="1" t="s">
        <v>2145</v>
      </c>
      <c r="BV1247" s="1" t="s">
        <v>206</v>
      </c>
      <c r="BW1247" s="1" t="s">
        <v>207</v>
      </c>
      <c r="BY1247" s="1" t="s">
        <v>208</v>
      </c>
      <c r="BZ1247" s="1" t="s">
        <v>209</v>
      </c>
      <c r="CA1247" s="1" t="s">
        <v>207</v>
      </c>
      <c r="CC1247" s="1" t="s">
        <v>542</v>
      </c>
      <c r="CD1247" s="1" t="s">
        <v>206</v>
      </c>
      <c r="CG1247" s="1" t="s">
        <v>392</v>
      </c>
      <c r="CH1247" s="1" t="s">
        <v>206</v>
      </c>
      <c r="CI1247" s="1" t="s">
        <v>207</v>
      </c>
      <c r="CK1247" s="1" t="s">
        <v>363</v>
      </c>
      <c r="CL1247" s="1" t="s">
        <v>209</v>
      </c>
      <c r="CM1247" s="1" t="s">
        <v>207</v>
      </c>
      <c r="CO1247" s="1" t="s">
        <v>264</v>
      </c>
      <c r="CP1247" s="1" t="s">
        <v>42</v>
      </c>
      <c r="CQ1247" s="1" t="s">
        <v>207</v>
      </c>
      <c r="CS1247" s="1" t="s">
        <v>208</v>
      </c>
      <c r="CT1247" s="1" t="s">
        <v>206</v>
      </c>
      <c r="CU1247" s="1" t="s">
        <v>207</v>
      </c>
      <c r="CX1247" s="1" t="s">
        <v>204</v>
      </c>
      <c r="DA1247" s="1" t="s">
        <v>200</v>
      </c>
      <c r="DC1247" s="1" t="s">
        <v>216</v>
      </c>
      <c r="DE1247" s="1" t="s">
        <v>273</v>
      </c>
      <c r="DF1247" s="1" t="s">
        <v>619</v>
      </c>
      <c r="DH1247" s="1" t="s">
        <v>220</v>
      </c>
      <c r="DJ1247" s="1" t="s">
        <v>222</v>
      </c>
      <c r="DL1247" s="1" t="s">
        <v>1161</v>
      </c>
      <c r="DM1247" s="1" t="s">
        <v>225</v>
      </c>
      <c r="DQ1247" s="1" t="s">
        <v>228</v>
      </c>
      <c r="DR1247" s="1" t="s">
        <v>229</v>
      </c>
      <c r="DS1247" s="1" t="s">
        <v>230</v>
      </c>
      <c r="DV1247" s="1" t="s">
        <v>2971</v>
      </c>
      <c r="DW1247" s="1" t="s">
        <v>279</v>
      </c>
      <c r="DX1247" s="1" t="s">
        <v>234</v>
      </c>
      <c r="EA1247" s="1" t="s">
        <v>644</v>
      </c>
      <c r="EC1247" s="1" t="s">
        <v>237</v>
      </c>
      <c r="EE1247" s="1" t="s">
        <v>493</v>
      </c>
      <c r="EG1247" s="1" t="s">
        <v>2971</v>
      </c>
      <c r="EL1247" s="1" t="s">
        <v>375</v>
      </c>
      <c r="EM1247" s="1" t="s">
        <v>206</v>
      </c>
      <c r="EN1247" s="1" t="s">
        <v>207</v>
      </c>
      <c r="EQ1247" s="1" t="s">
        <v>238</v>
      </c>
      <c r="EU1247" s="1" t="s">
        <v>238</v>
      </c>
      <c r="EY1247" s="1" t="s">
        <v>238</v>
      </c>
      <c r="FC1247" s="1" t="s">
        <v>238</v>
      </c>
      <c r="FF1247" s="1" t="s">
        <v>239</v>
      </c>
      <c r="FG1247" s="1" t="s">
        <v>192</v>
      </c>
      <c r="FH1247" s="1" t="s">
        <v>192</v>
      </c>
      <c r="FJ1247" s="1" t="s">
        <v>2206</v>
      </c>
      <c r="FK1247" s="1" t="s">
        <v>229</v>
      </c>
      <c r="FL1247" s="1" t="s">
        <v>1358</v>
      </c>
      <c r="FM1247" s="1">
        <v>23076.0</v>
      </c>
      <c r="FN1247" s="1" t="s">
        <v>1359</v>
      </c>
      <c r="FO1247" s="1" t="s">
        <v>13306</v>
      </c>
      <c r="FP1247" s="1">
        <v>236053.0</v>
      </c>
      <c r="FU1247" s="1" t="s">
        <v>13307</v>
      </c>
      <c r="FV1247" s="1" t="s">
        <v>200</v>
      </c>
      <c r="FW1247" s="1" t="s">
        <v>13308</v>
      </c>
      <c r="FX1247" s="1" t="s">
        <v>238</v>
      </c>
      <c r="FZ1247" s="1" t="s">
        <v>229</v>
      </c>
      <c r="GA1247" s="1" t="s">
        <v>291</v>
      </c>
      <c r="GB1247" s="2">
        <v>42131.0</v>
      </c>
      <c r="GC1247" s="1" t="s">
        <v>13309</v>
      </c>
    </row>
    <row r="1248">
      <c r="A1248" s="1">
        <v>484000.0</v>
      </c>
      <c r="B1248" s="1" t="s">
        <v>185</v>
      </c>
      <c r="C1248" s="1" t="str">
        <f>"08853762"</f>
        <v>08853762</v>
      </c>
      <c r="D1248" s="1" t="s">
        <v>186</v>
      </c>
      <c r="F1248" s="1" t="str">
        <f t="shared" ref="F1248:F1249" si="830">"177"</f>
        <v>177</v>
      </c>
      <c r="G1248" s="2">
        <v>42068.0</v>
      </c>
      <c r="H1248" s="1">
        <v>499800.0</v>
      </c>
      <c r="I1248" s="1">
        <v>7.0</v>
      </c>
      <c r="J1248" s="1">
        <v>499800.0</v>
      </c>
      <c r="K1248" s="2">
        <v>42074.0</v>
      </c>
      <c r="L1248" s="1">
        <v>7.0</v>
      </c>
      <c r="M1248" s="2">
        <v>42074.0</v>
      </c>
      <c r="N1248" s="1" t="s">
        <v>187</v>
      </c>
      <c r="O1248" s="2">
        <v>42123.0</v>
      </c>
      <c r="P1248" s="1">
        <v>29530.0</v>
      </c>
      <c r="Q1248" s="1">
        <v>25905.0</v>
      </c>
      <c r="S1248" s="1">
        <v>890.0</v>
      </c>
      <c r="T1248" s="1" t="s">
        <v>8385</v>
      </c>
      <c r="U1248" s="1" t="s">
        <v>420</v>
      </c>
      <c r="V1248" s="1" t="s">
        <v>2249</v>
      </c>
      <c r="W1248" s="1">
        <v>60177.0</v>
      </c>
      <c r="Y1248" s="1" t="s">
        <v>13310</v>
      </c>
      <c r="Z1248" s="1">
        <v>2005.0</v>
      </c>
      <c r="AA1248" s="1" t="s">
        <v>200</v>
      </c>
      <c r="AB1248" s="1" t="s">
        <v>467</v>
      </c>
      <c r="AC1248" s="1" t="s">
        <v>13311</v>
      </c>
      <c r="AD1248" s="1" t="s">
        <v>2252</v>
      </c>
      <c r="AE1248" s="1" t="s">
        <v>325</v>
      </c>
      <c r="AF1248" s="1" t="s">
        <v>1203</v>
      </c>
      <c r="AG1248" s="1" t="s">
        <v>752</v>
      </c>
      <c r="AH1248" s="1" t="s">
        <v>13312</v>
      </c>
      <c r="AI1248" s="1">
        <v>0.424</v>
      </c>
      <c r="AK1248" s="1">
        <v>9.0</v>
      </c>
      <c r="AL1248" s="1">
        <v>4.0</v>
      </c>
      <c r="AM1248" s="1">
        <v>3.0</v>
      </c>
      <c r="AN1248" s="1">
        <v>1.0</v>
      </c>
      <c r="AO1248" s="1" t="s">
        <v>198</v>
      </c>
      <c r="AP1248" s="1">
        <v>3.0</v>
      </c>
      <c r="AQ1248" s="1" t="s">
        <v>198</v>
      </c>
      <c r="AR1248" s="1" t="s">
        <v>200</v>
      </c>
      <c r="AS1248" s="1" t="s">
        <v>199</v>
      </c>
      <c r="AT1248" s="1">
        <v>3.0</v>
      </c>
      <c r="AV1248" s="1" t="s">
        <v>200</v>
      </c>
      <c r="AW1248" s="1">
        <v>16641.12</v>
      </c>
      <c r="AX1248" s="1">
        <v>2013.0</v>
      </c>
      <c r="AY1248" s="1" t="s">
        <v>387</v>
      </c>
      <c r="AZ1248" s="1" t="s">
        <v>200</v>
      </c>
      <c r="BA1248" s="1" t="str">
        <f>"0905351012"</f>
        <v>0905351012</v>
      </c>
      <c r="BB1248" s="1" t="s">
        <v>200</v>
      </c>
      <c r="BC1248" s="1">
        <v>3954.0</v>
      </c>
      <c r="BD1248" s="1">
        <v>484000.0</v>
      </c>
      <c r="BE1248" s="2">
        <v>42068.0</v>
      </c>
      <c r="BF1248" s="2" t="s">
        <v>13313</v>
      </c>
      <c r="BH1248" s="1">
        <v>115.0</v>
      </c>
      <c r="BK1248" s="1" t="s">
        <v>1952</v>
      </c>
      <c r="BL1248" s="1" t="str">
        <f t="shared" ref="BL1248:BL1249" si="831">"7"</f>
        <v>7</v>
      </c>
      <c r="BM1248" s="1" t="str">
        <f t="shared" si="829"/>
        <v>0</v>
      </c>
      <c r="BN1248" s="1">
        <v>37.0</v>
      </c>
      <c r="BO1248" s="1">
        <v>0.0</v>
      </c>
      <c r="BQ1248" s="1">
        <v>303.0</v>
      </c>
      <c r="BR1248" s="1">
        <v>303.0</v>
      </c>
      <c r="BS1248" s="1">
        <v>303.0</v>
      </c>
      <c r="BV1248" s="1" t="s">
        <v>204</v>
      </c>
      <c r="BY1248" s="1" t="s">
        <v>544</v>
      </c>
      <c r="BZ1248" s="1" t="s">
        <v>209</v>
      </c>
      <c r="CA1248" s="1" t="s">
        <v>210</v>
      </c>
      <c r="CC1248" s="1" t="s">
        <v>329</v>
      </c>
      <c r="CD1248" s="1" t="s">
        <v>206</v>
      </c>
      <c r="CE1248" s="1" t="s">
        <v>207</v>
      </c>
      <c r="CG1248" s="1" t="s">
        <v>331</v>
      </c>
      <c r="CH1248" s="1" t="s">
        <v>209</v>
      </c>
      <c r="CI1248" s="1" t="s">
        <v>210</v>
      </c>
      <c r="CK1248" s="1" t="s">
        <v>264</v>
      </c>
      <c r="CL1248" s="1" t="s">
        <v>209</v>
      </c>
      <c r="CM1248" s="1" t="s">
        <v>210</v>
      </c>
      <c r="CO1248" s="1" t="s">
        <v>758</v>
      </c>
      <c r="CP1248" s="1" t="s">
        <v>206</v>
      </c>
      <c r="CQ1248" s="1" t="s">
        <v>210</v>
      </c>
      <c r="CS1248" s="1" t="s">
        <v>3202</v>
      </c>
      <c r="CT1248" s="1" t="s">
        <v>206</v>
      </c>
      <c r="CU1248" s="1" t="s">
        <v>2615</v>
      </c>
      <c r="CW1248" s="1" t="s">
        <v>479</v>
      </c>
      <c r="CX1248" s="1" t="s">
        <v>206</v>
      </c>
      <c r="CY1248" s="1" t="s">
        <v>210</v>
      </c>
      <c r="DA1248" s="1" t="s">
        <v>200</v>
      </c>
      <c r="DC1248" s="1" t="s">
        <v>481</v>
      </c>
      <c r="DD1248" s="1" t="s">
        <v>3874</v>
      </c>
      <c r="DE1248" s="1" t="s">
        <v>218</v>
      </c>
      <c r="DF1248" s="1" t="s">
        <v>745</v>
      </c>
      <c r="DG1248" s="1" t="s">
        <v>13314</v>
      </c>
      <c r="DH1248" s="1" t="s">
        <v>220</v>
      </c>
      <c r="DI1248" s="1" t="s">
        <v>5345</v>
      </c>
      <c r="DJ1248" s="1" t="s">
        <v>222</v>
      </c>
      <c r="DL1248" s="1" t="s">
        <v>223</v>
      </c>
      <c r="DM1248" s="1" t="s">
        <v>338</v>
      </c>
      <c r="DN1248" s="1" t="s">
        <v>485</v>
      </c>
      <c r="DO1248" s="1" t="s">
        <v>1556</v>
      </c>
      <c r="DP1248" s="1" t="s">
        <v>340</v>
      </c>
      <c r="DQ1248" s="1" t="s">
        <v>441</v>
      </c>
      <c r="DR1248" s="1" t="s">
        <v>13283</v>
      </c>
      <c r="DS1248" s="1" t="s">
        <v>368</v>
      </c>
      <c r="DU1248" s="1" t="s">
        <v>13315</v>
      </c>
      <c r="DV1248" s="1" t="s">
        <v>7520</v>
      </c>
      <c r="DW1248" s="1" t="s">
        <v>764</v>
      </c>
      <c r="DX1248" s="1" t="s">
        <v>234</v>
      </c>
      <c r="DY1248" s="1" t="s">
        <v>2841</v>
      </c>
      <c r="DZ1248" s="1" t="s">
        <v>282</v>
      </c>
      <c r="EA1248" s="1" t="s">
        <v>13316</v>
      </c>
      <c r="EB1248" s="1" t="s">
        <v>767</v>
      </c>
      <c r="EC1248" s="1" t="s">
        <v>237</v>
      </c>
      <c r="ED1248" s="1" t="s">
        <v>407</v>
      </c>
      <c r="EE1248" s="1" t="s">
        <v>187</v>
      </c>
      <c r="EG1248" s="1" t="s">
        <v>556</v>
      </c>
      <c r="EH1248" s="1" t="s">
        <v>1121</v>
      </c>
      <c r="EL1248" s="1" t="s">
        <v>497</v>
      </c>
      <c r="EM1248" s="1" t="s">
        <v>206</v>
      </c>
      <c r="EN1248" s="1" t="s">
        <v>2615</v>
      </c>
      <c r="EP1248" s="1" t="s">
        <v>205</v>
      </c>
      <c r="EQ1248" s="1" t="s">
        <v>206</v>
      </c>
      <c r="ER1248" s="1" t="s">
        <v>2615</v>
      </c>
      <c r="EU1248" s="1" t="s">
        <v>238</v>
      </c>
      <c r="EY1248" s="1" t="s">
        <v>238</v>
      </c>
      <c r="FC1248" s="1" t="s">
        <v>238</v>
      </c>
      <c r="FF1248" s="1" t="s">
        <v>239</v>
      </c>
      <c r="FG1248" s="1" t="s">
        <v>192</v>
      </c>
      <c r="FH1248" s="1" t="s">
        <v>192</v>
      </c>
      <c r="FJ1248" s="1" t="s">
        <v>524</v>
      </c>
      <c r="FK1248" s="1" t="s">
        <v>229</v>
      </c>
      <c r="FL1248" s="1" t="s">
        <v>1212</v>
      </c>
      <c r="FM1248" s="1">
        <v>30.0</v>
      </c>
      <c r="FN1248" s="1" t="s">
        <v>1213</v>
      </c>
      <c r="FO1248" s="1" t="s">
        <v>1214</v>
      </c>
      <c r="FP1248" s="1">
        <v>329.0</v>
      </c>
      <c r="FQ1248" s="1" t="s">
        <v>1215</v>
      </c>
      <c r="FU1248" s="1" t="s">
        <v>13317</v>
      </c>
      <c r="FV1248" s="1" t="s">
        <v>200</v>
      </c>
      <c r="FW1248" s="1" t="s">
        <v>13318</v>
      </c>
      <c r="FZ1248" s="1" t="s">
        <v>229</v>
      </c>
      <c r="GA1248" s="1" t="s">
        <v>291</v>
      </c>
      <c r="GB1248" s="2">
        <v>42123.0</v>
      </c>
      <c r="GC1248" s="1" t="s">
        <v>13319</v>
      </c>
    </row>
    <row r="1249">
      <c r="A1249" s="1">
        <v>421500.0</v>
      </c>
      <c r="B1249" s="1" t="s">
        <v>185</v>
      </c>
      <c r="C1249" s="1" t="str">
        <f>"08852130"</f>
        <v>08852130</v>
      </c>
      <c r="D1249" s="1" t="s">
        <v>186</v>
      </c>
      <c r="F1249" s="1" t="str">
        <f t="shared" si="830"/>
        <v>177</v>
      </c>
      <c r="G1249" s="2">
        <v>42067.0</v>
      </c>
      <c r="H1249" s="1">
        <v>445000.0</v>
      </c>
      <c r="I1249" s="1">
        <v>146.0</v>
      </c>
      <c r="J1249" s="1">
        <v>439000.0</v>
      </c>
      <c r="K1249" s="2">
        <v>42094.0</v>
      </c>
      <c r="L1249" s="1">
        <v>28.0</v>
      </c>
      <c r="M1249" s="2">
        <v>42094.0</v>
      </c>
      <c r="N1249" s="1" t="s">
        <v>187</v>
      </c>
      <c r="O1249" s="2">
        <v>42132.0</v>
      </c>
      <c r="P1249" s="1">
        <v>7841.0</v>
      </c>
      <c r="Q1249" s="1">
        <v>49.0</v>
      </c>
      <c r="S1249" s="1">
        <v>819.0</v>
      </c>
      <c r="T1249" s="1" t="s">
        <v>5341</v>
      </c>
      <c r="U1249" s="1" t="s">
        <v>569</v>
      </c>
      <c r="V1249" s="1" t="s">
        <v>2249</v>
      </c>
      <c r="W1249" s="1">
        <v>60177.0</v>
      </c>
      <c r="Y1249" s="1" t="s">
        <v>13320</v>
      </c>
      <c r="Z1249" s="1">
        <v>2002.0</v>
      </c>
      <c r="AA1249" s="1" t="s">
        <v>200</v>
      </c>
      <c r="AB1249" s="1" t="s">
        <v>467</v>
      </c>
      <c r="AC1249" s="1" t="s">
        <v>4508</v>
      </c>
      <c r="AD1249" s="1" t="s">
        <v>2252</v>
      </c>
      <c r="AE1249" s="1" t="s">
        <v>325</v>
      </c>
      <c r="AF1249" s="1" t="s">
        <v>1203</v>
      </c>
      <c r="AH1249" s="1" t="s">
        <v>13321</v>
      </c>
      <c r="AI1249" s="1">
        <v>0.2382</v>
      </c>
      <c r="AK1249" s="1">
        <v>11.0</v>
      </c>
      <c r="AL1249" s="1">
        <v>4.0</v>
      </c>
      <c r="AM1249" s="1">
        <v>3.0</v>
      </c>
      <c r="AN1249" s="1">
        <v>1.0</v>
      </c>
      <c r="AO1249" s="1" t="s">
        <v>198</v>
      </c>
      <c r="AP1249" s="1">
        <v>1.0</v>
      </c>
      <c r="AQ1249" s="1" t="s">
        <v>198</v>
      </c>
      <c r="AR1249" s="1" t="s">
        <v>192</v>
      </c>
      <c r="AS1249" s="1" t="s">
        <v>199</v>
      </c>
      <c r="AT1249" s="1">
        <v>3.0</v>
      </c>
      <c r="AV1249" s="1" t="s">
        <v>200</v>
      </c>
      <c r="AW1249" s="1">
        <v>11999.24</v>
      </c>
      <c r="AX1249" s="1">
        <v>2013.0</v>
      </c>
      <c r="AZ1249" s="1" t="s">
        <v>200</v>
      </c>
      <c r="BA1249" s="1" t="str">
        <f>"0905407008"</f>
        <v>0905407008</v>
      </c>
      <c r="BC1249" s="1">
        <v>3300.0</v>
      </c>
      <c r="BD1249" s="1">
        <v>421500.0</v>
      </c>
      <c r="BE1249" s="2">
        <v>42067.0</v>
      </c>
      <c r="BF1249" s="2" t="s">
        <v>13322</v>
      </c>
      <c r="BG1249" s="1" t="s">
        <v>4510</v>
      </c>
      <c r="BH1249" s="1">
        <v>117.0</v>
      </c>
      <c r="BI1249" s="1" t="s">
        <v>4511</v>
      </c>
      <c r="BJ1249" s="1" t="s">
        <v>2200</v>
      </c>
      <c r="BK1249" s="1" t="s">
        <v>1952</v>
      </c>
      <c r="BL1249" s="1" t="str">
        <f t="shared" si="831"/>
        <v>7</v>
      </c>
      <c r="BM1249" s="1" t="str">
        <f t="shared" si="829"/>
        <v>0</v>
      </c>
      <c r="BN1249" s="1">
        <v>37.0</v>
      </c>
      <c r="BO1249" s="1">
        <v>0.0</v>
      </c>
      <c r="BQ1249" s="1">
        <v>303.0</v>
      </c>
      <c r="BR1249" s="1">
        <v>303.0</v>
      </c>
      <c r="BS1249" s="1">
        <v>303.0</v>
      </c>
      <c r="BU1249" s="1" t="s">
        <v>329</v>
      </c>
      <c r="BV1249" s="1" t="s">
        <v>206</v>
      </c>
      <c r="BW1249" s="1" t="s">
        <v>210</v>
      </c>
      <c r="BY1249" s="1" t="s">
        <v>434</v>
      </c>
      <c r="BZ1249" s="1" t="s">
        <v>209</v>
      </c>
      <c r="CA1249" s="1" t="s">
        <v>210</v>
      </c>
      <c r="CB1249" s="1" t="s">
        <v>431</v>
      </c>
      <c r="CC1249" s="1" t="s">
        <v>215</v>
      </c>
      <c r="CD1249" s="1" t="s">
        <v>206</v>
      </c>
      <c r="CE1249" s="1" t="s">
        <v>210</v>
      </c>
      <c r="CG1249" s="1" t="s">
        <v>212</v>
      </c>
      <c r="CH1249" s="1" t="s">
        <v>209</v>
      </c>
      <c r="CI1249" s="1" t="s">
        <v>210</v>
      </c>
      <c r="CJ1249" s="1" t="s">
        <v>431</v>
      </c>
      <c r="CK1249" s="1" t="s">
        <v>332</v>
      </c>
      <c r="CL1249" s="1" t="s">
        <v>209</v>
      </c>
      <c r="CM1249" s="1" t="s">
        <v>210</v>
      </c>
      <c r="CN1249" s="1" t="s">
        <v>431</v>
      </c>
      <c r="CO1249" s="1" t="s">
        <v>433</v>
      </c>
      <c r="CP1249" s="1" t="s">
        <v>209</v>
      </c>
      <c r="CQ1249" s="1" t="s">
        <v>210</v>
      </c>
      <c r="CS1249" s="1" t="s">
        <v>214</v>
      </c>
      <c r="CT1249" s="1" t="s">
        <v>206</v>
      </c>
      <c r="CU1249" s="1" t="s">
        <v>207</v>
      </c>
      <c r="CW1249" s="1" t="s">
        <v>544</v>
      </c>
      <c r="CX1249" s="1" t="s">
        <v>206</v>
      </c>
      <c r="CY1249" s="1" t="s">
        <v>210</v>
      </c>
      <c r="DA1249" s="1" t="s">
        <v>200</v>
      </c>
      <c r="DC1249" s="1" t="s">
        <v>335</v>
      </c>
      <c r="DD1249" s="1" t="s">
        <v>759</v>
      </c>
      <c r="DE1249" s="1" t="s">
        <v>273</v>
      </c>
      <c r="DF1249" s="1" t="s">
        <v>219</v>
      </c>
      <c r="DG1249" s="1" t="s">
        <v>6030</v>
      </c>
      <c r="DH1249" s="1" t="s">
        <v>220</v>
      </c>
      <c r="DI1249" s="1" t="s">
        <v>1604</v>
      </c>
      <c r="DJ1249" s="1" t="s">
        <v>222</v>
      </c>
      <c r="DL1249" s="1" t="s">
        <v>224</v>
      </c>
      <c r="DM1249" s="1" t="s">
        <v>338</v>
      </c>
      <c r="DN1249" s="1" t="s">
        <v>399</v>
      </c>
      <c r="DP1249" s="1" t="s">
        <v>276</v>
      </c>
      <c r="DQ1249" s="1" t="s">
        <v>228</v>
      </c>
      <c r="DR1249" s="1" t="s">
        <v>2593</v>
      </c>
      <c r="DU1249" s="1" t="s">
        <v>13323</v>
      </c>
      <c r="DV1249" s="1" t="s">
        <v>13324</v>
      </c>
      <c r="DW1249" s="1" t="s">
        <v>444</v>
      </c>
      <c r="DX1249" s="1" t="s">
        <v>234</v>
      </c>
      <c r="DY1249" s="1" t="s">
        <v>13325</v>
      </c>
      <c r="DZ1249" s="1" t="s">
        <v>2424</v>
      </c>
      <c r="EB1249" s="1" t="s">
        <v>937</v>
      </c>
      <c r="EC1249" s="1" t="s">
        <v>237</v>
      </c>
      <c r="ED1249" s="1" t="s">
        <v>407</v>
      </c>
      <c r="EG1249" s="1" t="s">
        <v>494</v>
      </c>
      <c r="EH1249" s="1" t="s">
        <v>449</v>
      </c>
      <c r="EI1249" s="1" t="s">
        <v>450</v>
      </c>
      <c r="EL1249" s="1" t="s">
        <v>363</v>
      </c>
      <c r="EM1249" s="1" t="s">
        <v>206</v>
      </c>
      <c r="EN1249" s="1" t="s">
        <v>617</v>
      </c>
      <c r="EO1249" s="1" t="s">
        <v>431</v>
      </c>
      <c r="EP1249" s="1" t="s">
        <v>2224</v>
      </c>
      <c r="EQ1249" s="1" t="s">
        <v>206</v>
      </c>
      <c r="ER1249" s="1" t="s">
        <v>207</v>
      </c>
      <c r="ET1249" s="1" t="s">
        <v>6425</v>
      </c>
      <c r="EU1249" s="1" t="s">
        <v>42</v>
      </c>
      <c r="EV1249" s="1" t="s">
        <v>210</v>
      </c>
      <c r="EY1249" s="1" t="s">
        <v>238</v>
      </c>
      <c r="FC1249" s="1" t="s">
        <v>238</v>
      </c>
      <c r="FF1249" s="1" t="s">
        <v>239</v>
      </c>
      <c r="FG1249" s="1" t="s">
        <v>192</v>
      </c>
      <c r="FH1249" s="1" t="s">
        <v>192</v>
      </c>
      <c r="FJ1249" s="1" t="s">
        <v>13326</v>
      </c>
      <c r="FK1249" s="1" t="s">
        <v>557</v>
      </c>
      <c r="FL1249" s="1" t="s">
        <v>456</v>
      </c>
      <c r="FM1249" s="1">
        <v>49.0</v>
      </c>
      <c r="FN1249" s="1" t="s">
        <v>457</v>
      </c>
      <c r="FO1249" s="1" t="s">
        <v>5232</v>
      </c>
      <c r="FP1249" s="1">
        <v>7841.0</v>
      </c>
      <c r="FU1249" s="1" t="s">
        <v>13327</v>
      </c>
      <c r="FV1249" s="1" t="s">
        <v>200</v>
      </c>
      <c r="FW1249" s="1" t="s">
        <v>290</v>
      </c>
      <c r="FX1249" s="1" t="s">
        <v>246</v>
      </c>
      <c r="FZ1249" s="1" t="s">
        <v>229</v>
      </c>
      <c r="GA1249" s="1" t="s">
        <v>291</v>
      </c>
      <c r="GB1249" s="2">
        <v>42133.0</v>
      </c>
      <c r="GC1249" s="1" t="s">
        <v>9014</v>
      </c>
    </row>
    <row r="1250">
      <c r="A1250" s="1">
        <v>1180000.0</v>
      </c>
      <c r="B1250" s="1" t="s">
        <v>185</v>
      </c>
      <c r="C1250" s="1" t="str">
        <f>"08853553"</f>
        <v>08853553</v>
      </c>
      <c r="D1250" s="1" t="s">
        <v>186</v>
      </c>
      <c r="F1250" s="1" t="str">
        <f>"8022"</f>
        <v>8022</v>
      </c>
      <c r="G1250" s="2">
        <v>42068.0</v>
      </c>
      <c r="H1250" s="1">
        <v>1175000.0</v>
      </c>
      <c r="I1250" s="1">
        <v>22.0</v>
      </c>
      <c r="J1250" s="1">
        <v>1175000.0</v>
      </c>
      <c r="K1250" s="2">
        <v>42071.0</v>
      </c>
      <c r="L1250" s="1">
        <v>4.0</v>
      </c>
      <c r="M1250" s="2">
        <v>42071.0</v>
      </c>
      <c r="N1250" s="1" t="s">
        <v>187</v>
      </c>
      <c r="O1250" s="2">
        <v>42122.0</v>
      </c>
      <c r="P1250" s="1">
        <v>139590.0</v>
      </c>
      <c r="Q1250" s="1">
        <v>84025.0</v>
      </c>
      <c r="S1250" s="1">
        <v>2027.0</v>
      </c>
      <c r="T1250" s="1" t="s">
        <v>13328</v>
      </c>
      <c r="U1250" s="1" t="s">
        <v>189</v>
      </c>
      <c r="V1250" s="1" t="s">
        <v>190</v>
      </c>
      <c r="W1250" s="1">
        <v>60647.0</v>
      </c>
      <c r="Y1250" s="1" t="s">
        <v>13329</v>
      </c>
      <c r="Z1250" s="1">
        <v>2009.0</v>
      </c>
      <c r="AA1250" s="1" t="s">
        <v>200</v>
      </c>
      <c r="AB1250" s="1" t="s">
        <v>193</v>
      </c>
      <c r="AC1250" s="1" t="s">
        <v>13330</v>
      </c>
      <c r="AD1250" s="1" t="s">
        <v>194</v>
      </c>
      <c r="AE1250" s="1" t="s">
        <v>195</v>
      </c>
      <c r="AF1250" s="1" t="s">
        <v>827</v>
      </c>
      <c r="AH1250" s="1" t="s">
        <v>13331</v>
      </c>
      <c r="AK1250" s="1">
        <v>10.0</v>
      </c>
      <c r="AL1250" s="1">
        <v>4.0</v>
      </c>
      <c r="AM1250" s="1">
        <v>3.0</v>
      </c>
      <c r="AN1250" s="1">
        <v>1.0</v>
      </c>
      <c r="AO1250" s="1" t="s">
        <v>198</v>
      </c>
      <c r="AP1250" s="1">
        <v>2.0</v>
      </c>
      <c r="AQ1250" s="1" t="s">
        <v>472</v>
      </c>
      <c r="AR1250" s="1" t="s">
        <v>192</v>
      </c>
      <c r="AS1250" s="1" t="s">
        <v>199</v>
      </c>
      <c r="AT1250" s="1">
        <v>2.0</v>
      </c>
      <c r="AV1250" s="1" t="s">
        <v>200</v>
      </c>
      <c r="AW1250" s="1">
        <v>11466.0</v>
      </c>
      <c r="AX1250" s="1">
        <v>2013.0</v>
      </c>
      <c r="AY1250" s="1" t="s">
        <v>387</v>
      </c>
      <c r="AZ1250" s="1" t="s">
        <v>200</v>
      </c>
      <c r="BA1250" s="1" t="str">
        <f>"14311390170000"</f>
        <v>14311390170000</v>
      </c>
      <c r="BB1250" s="1" t="s">
        <v>200</v>
      </c>
      <c r="BC1250" s="1">
        <v>3473.0</v>
      </c>
      <c r="BD1250" s="1">
        <v>1180000.0</v>
      </c>
      <c r="BE1250" s="2">
        <v>42068.0</v>
      </c>
      <c r="BF1250" s="2" t="s">
        <v>13332</v>
      </c>
      <c r="BH1250" s="1">
        <v>0.0</v>
      </c>
      <c r="BK1250" s="1" t="s">
        <v>204</v>
      </c>
      <c r="BL1250" s="1" t="str">
        <f>"2021"</f>
        <v>2021</v>
      </c>
      <c r="BM1250" s="1" t="str">
        <f t="shared" si="829"/>
        <v>0</v>
      </c>
      <c r="BN1250" s="1">
        <v>2027.0</v>
      </c>
      <c r="BO1250" s="1">
        <v>0.0</v>
      </c>
      <c r="BQ1250" s="1">
        <v>299.0</v>
      </c>
      <c r="BR1250" s="1">
        <v>299.0</v>
      </c>
      <c r="BS1250" s="1">
        <v>299.0</v>
      </c>
      <c r="BU1250" s="1" t="s">
        <v>1064</v>
      </c>
      <c r="BV1250" s="1" t="s">
        <v>206</v>
      </c>
      <c r="BW1250" s="1" t="s">
        <v>207</v>
      </c>
      <c r="BY1250" s="1" t="s">
        <v>390</v>
      </c>
      <c r="BZ1250" s="1" t="s">
        <v>209</v>
      </c>
      <c r="CA1250" s="1" t="s">
        <v>207</v>
      </c>
      <c r="CC1250" s="1" t="s">
        <v>1064</v>
      </c>
      <c r="CD1250" s="1" t="s">
        <v>206</v>
      </c>
      <c r="CE1250" s="1" t="s">
        <v>207</v>
      </c>
      <c r="CG1250" s="1" t="s">
        <v>925</v>
      </c>
      <c r="CH1250" s="1" t="s">
        <v>209</v>
      </c>
      <c r="CI1250" s="1" t="s">
        <v>207</v>
      </c>
      <c r="CK1250" s="1" t="s">
        <v>495</v>
      </c>
      <c r="CL1250" s="1" t="s">
        <v>209</v>
      </c>
      <c r="CM1250" s="1" t="s">
        <v>207</v>
      </c>
      <c r="CO1250" s="1" t="s">
        <v>392</v>
      </c>
      <c r="CP1250" s="1" t="s">
        <v>267</v>
      </c>
      <c r="CQ1250" s="1" t="s">
        <v>210</v>
      </c>
      <c r="CS1250" s="1" t="s">
        <v>329</v>
      </c>
      <c r="CT1250" s="1" t="s">
        <v>206</v>
      </c>
      <c r="CU1250" s="1" t="s">
        <v>207</v>
      </c>
      <c r="CW1250" s="1" t="s">
        <v>2014</v>
      </c>
      <c r="CX1250" s="1" t="s">
        <v>267</v>
      </c>
      <c r="CY1250" s="1" t="s">
        <v>210</v>
      </c>
      <c r="DA1250" s="1" t="s">
        <v>200</v>
      </c>
      <c r="DC1250" s="1" t="s">
        <v>481</v>
      </c>
      <c r="DD1250" s="1" t="s">
        <v>1838</v>
      </c>
      <c r="DE1250" s="1" t="s">
        <v>218</v>
      </c>
      <c r="DF1250" s="1" t="s">
        <v>13333</v>
      </c>
      <c r="DH1250" s="1" t="s">
        <v>365</v>
      </c>
      <c r="DI1250" s="1" t="s">
        <v>7925</v>
      </c>
      <c r="DJ1250" s="1" t="s">
        <v>222</v>
      </c>
      <c r="DL1250" s="1" t="s">
        <v>224</v>
      </c>
      <c r="DM1250" s="1" t="s">
        <v>229</v>
      </c>
      <c r="DN1250" s="1" t="s">
        <v>399</v>
      </c>
      <c r="DP1250" s="1" t="s">
        <v>276</v>
      </c>
      <c r="DQ1250" s="1" t="s">
        <v>718</v>
      </c>
      <c r="DR1250" s="1" t="s">
        <v>229</v>
      </c>
      <c r="DS1250" s="1" t="s">
        <v>368</v>
      </c>
      <c r="DU1250" s="1" t="s">
        <v>746</v>
      </c>
      <c r="DV1250" s="1" t="s">
        <v>13334</v>
      </c>
      <c r="DW1250" s="1" t="s">
        <v>3876</v>
      </c>
      <c r="DX1250" s="1" t="s">
        <v>234</v>
      </c>
      <c r="DY1250" s="1" t="s">
        <v>5292</v>
      </c>
      <c r="DZ1250" s="1" t="s">
        <v>5293</v>
      </c>
      <c r="EB1250" s="1" t="s">
        <v>492</v>
      </c>
      <c r="EC1250" s="1" t="s">
        <v>406</v>
      </c>
      <c r="EG1250" s="1" t="s">
        <v>1164</v>
      </c>
      <c r="EH1250" s="1" t="s">
        <v>450</v>
      </c>
      <c r="EL1250" s="1" t="s">
        <v>390</v>
      </c>
      <c r="EM1250" s="1" t="s">
        <v>206</v>
      </c>
      <c r="EN1250" s="1" t="s">
        <v>207</v>
      </c>
      <c r="EP1250" s="1" t="s">
        <v>1892</v>
      </c>
      <c r="EQ1250" s="1" t="s">
        <v>391</v>
      </c>
      <c r="ER1250" s="1" t="s">
        <v>207</v>
      </c>
      <c r="EU1250" s="1" t="s">
        <v>238</v>
      </c>
      <c r="EY1250" s="1" t="s">
        <v>238</v>
      </c>
      <c r="FC1250" s="1" t="s">
        <v>238</v>
      </c>
      <c r="FF1250" s="1" t="s">
        <v>239</v>
      </c>
      <c r="FG1250" s="1" t="s">
        <v>200</v>
      </c>
      <c r="FH1250" s="1" t="s">
        <v>192</v>
      </c>
      <c r="FJ1250" s="1" t="s">
        <v>799</v>
      </c>
      <c r="FK1250" s="1" t="s">
        <v>229</v>
      </c>
      <c r="FL1250" s="1" t="s">
        <v>562</v>
      </c>
      <c r="FM1250" s="1">
        <v>85774.0</v>
      </c>
      <c r="FN1250" s="1" t="s">
        <v>2369</v>
      </c>
      <c r="FO1250" s="1" t="s">
        <v>13335</v>
      </c>
      <c r="FP1250" s="1">
        <v>128632.0</v>
      </c>
      <c r="FQ1250" s="1" t="s">
        <v>13336</v>
      </c>
      <c r="FU1250" s="1" t="s">
        <v>13337</v>
      </c>
      <c r="FV1250" s="1" t="s">
        <v>200</v>
      </c>
      <c r="FW1250" s="1" t="s">
        <v>290</v>
      </c>
      <c r="FX1250" s="1" t="s">
        <v>246</v>
      </c>
      <c r="FZ1250" s="1" t="s">
        <v>229</v>
      </c>
      <c r="GA1250" s="1" t="s">
        <v>291</v>
      </c>
      <c r="GB1250" s="2">
        <v>42125.0</v>
      </c>
      <c r="GC1250" s="1" t="s">
        <v>13338</v>
      </c>
    </row>
    <row r="1251">
      <c r="A1251" s="1">
        <v>407500.0</v>
      </c>
      <c r="B1251" s="1" t="s">
        <v>185</v>
      </c>
      <c r="C1251" s="1" t="str">
        <f>"08855444"</f>
        <v>08855444</v>
      </c>
      <c r="D1251" s="1" t="s">
        <v>186</v>
      </c>
      <c r="F1251" s="1" t="str">
        <f>"123"</f>
        <v>123</v>
      </c>
      <c r="G1251" s="2">
        <v>42070.0</v>
      </c>
      <c r="H1251" s="1">
        <v>425000.0</v>
      </c>
      <c r="I1251" s="1">
        <v>1.0</v>
      </c>
      <c r="J1251" s="1">
        <v>425000.0</v>
      </c>
      <c r="K1251" s="2">
        <v>42070.0</v>
      </c>
      <c r="L1251" s="1">
        <v>1.0</v>
      </c>
      <c r="M1251" s="2">
        <v>42070.0</v>
      </c>
      <c r="N1251" s="1" t="s">
        <v>634</v>
      </c>
      <c r="O1251" s="2">
        <v>42124.0</v>
      </c>
      <c r="P1251" s="1">
        <v>28227.0</v>
      </c>
      <c r="Q1251" s="1">
        <v>1891.0</v>
      </c>
      <c r="S1251" s="1">
        <v>3033.0</v>
      </c>
      <c r="T1251" s="1" t="s">
        <v>13339</v>
      </c>
      <c r="U1251" s="1" t="s">
        <v>982</v>
      </c>
      <c r="V1251" s="1" t="s">
        <v>465</v>
      </c>
      <c r="W1251" s="1">
        <v>60124.0</v>
      </c>
      <c r="Y1251" s="1" t="s">
        <v>13340</v>
      </c>
      <c r="Z1251" s="1">
        <v>2005.0</v>
      </c>
      <c r="AA1251" s="1" t="s">
        <v>200</v>
      </c>
      <c r="AB1251" s="1" t="s">
        <v>193</v>
      </c>
      <c r="AC1251" s="1" t="s">
        <v>4586</v>
      </c>
      <c r="AD1251" s="1" t="s">
        <v>469</v>
      </c>
      <c r="AE1251" s="1" t="s">
        <v>325</v>
      </c>
      <c r="AF1251" s="1" t="s">
        <v>469</v>
      </c>
      <c r="AG1251" s="1" t="s">
        <v>13341</v>
      </c>
      <c r="AH1251" s="1" t="s">
        <v>13342</v>
      </c>
      <c r="AK1251" s="1">
        <v>11.0</v>
      </c>
      <c r="AL1251" s="1">
        <v>4.0</v>
      </c>
      <c r="AM1251" s="1">
        <v>2.0</v>
      </c>
      <c r="AN1251" s="1">
        <v>1.0</v>
      </c>
      <c r="AO1251" s="1" t="s">
        <v>198</v>
      </c>
      <c r="AP1251" s="1">
        <v>1.0</v>
      </c>
      <c r="AQ1251" s="1" t="s">
        <v>198</v>
      </c>
      <c r="AR1251" s="1" t="s">
        <v>200</v>
      </c>
      <c r="AS1251" s="1" t="s">
        <v>199</v>
      </c>
      <c r="AT1251" s="1">
        <v>3.0</v>
      </c>
      <c r="AV1251" s="1" t="s">
        <v>200</v>
      </c>
      <c r="AW1251" s="1">
        <v>11775.0</v>
      </c>
      <c r="AX1251" s="1">
        <v>2013.0</v>
      </c>
      <c r="AY1251" s="1" t="s">
        <v>387</v>
      </c>
      <c r="AZ1251" s="1" t="s">
        <v>200</v>
      </c>
      <c r="BA1251" s="1" t="str">
        <f>"0617383003"</f>
        <v>0617383003</v>
      </c>
      <c r="BC1251" s="1">
        <v>3852.0</v>
      </c>
      <c r="BD1251" s="1">
        <v>407500.0</v>
      </c>
      <c r="BE1251" s="2">
        <v>42070.0</v>
      </c>
      <c r="BF1251" s="2" t="s">
        <v>13343</v>
      </c>
      <c r="BG1251" s="1" t="s">
        <v>1974</v>
      </c>
      <c r="BH1251" s="1">
        <v>0.0</v>
      </c>
      <c r="BI1251" s="1" t="s">
        <v>578</v>
      </c>
      <c r="BJ1251" s="1" t="s">
        <v>579</v>
      </c>
      <c r="BK1251" s="1" t="s">
        <v>204</v>
      </c>
      <c r="BL1251" s="1" t="str">
        <f t="shared" ref="BL1251:BM1251" si="832">""</f>
        <v/>
      </c>
      <c r="BM1251" s="1" t="str">
        <f t="shared" si="832"/>
        <v/>
      </c>
      <c r="BQ1251" s="1">
        <v>301.0</v>
      </c>
      <c r="BR1251" s="1">
        <v>301.0</v>
      </c>
      <c r="BS1251" s="1">
        <v>301.0</v>
      </c>
      <c r="BU1251" s="1" t="s">
        <v>363</v>
      </c>
      <c r="BV1251" s="1" t="s">
        <v>206</v>
      </c>
      <c r="BW1251" s="1" t="s">
        <v>210</v>
      </c>
      <c r="BX1251" s="1" t="s">
        <v>239</v>
      </c>
      <c r="BY1251" s="1" t="s">
        <v>1623</v>
      </c>
      <c r="BZ1251" s="1" t="s">
        <v>209</v>
      </c>
      <c r="CA1251" s="1" t="s">
        <v>210</v>
      </c>
      <c r="CB1251" s="1" t="s">
        <v>239</v>
      </c>
      <c r="CC1251" s="1" t="s">
        <v>329</v>
      </c>
      <c r="CD1251" s="1" t="s">
        <v>206</v>
      </c>
      <c r="CE1251" s="1" t="s">
        <v>207</v>
      </c>
      <c r="CF1251" s="1" t="s">
        <v>239</v>
      </c>
      <c r="CG1251" s="1" t="s">
        <v>300</v>
      </c>
      <c r="CH1251" s="1" t="s">
        <v>209</v>
      </c>
      <c r="CI1251" s="1" t="s">
        <v>210</v>
      </c>
      <c r="CJ1251" s="1" t="s">
        <v>239</v>
      </c>
      <c r="CK1251" s="1" t="s">
        <v>363</v>
      </c>
      <c r="CL1251" s="1" t="s">
        <v>209</v>
      </c>
      <c r="CM1251" s="1" t="s">
        <v>210</v>
      </c>
      <c r="CN1251" s="1" t="s">
        <v>239</v>
      </c>
      <c r="CO1251" s="1" t="s">
        <v>363</v>
      </c>
      <c r="CP1251" s="1" t="s">
        <v>209</v>
      </c>
      <c r="CQ1251" s="1" t="s">
        <v>210</v>
      </c>
      <c r="CR1251" s="1" t="s">
        <v>239</v>
      </c>
      <c r="CS1251" s="1" t="s">
        <v>270</v>
      </c>
      <c r="CT1251" s="1" t="s">
        <v>206</v>
      </c>
      <c r="CU1251" s="1" t="s">
        <v>617</v>
      </c>
      <c r="CV1251" s="1" t="s">
        <v>239</v>
      </c>
      <c r="CW1251" s="1" t="s">
        <v>544</v>
      </c>
      <c r="CX1251" s="1" t="s">
        <v>206</v>
      </c>
      <c r="CY1251" s="1" t="s">
        <v>210</v>
      </c>
      <c r="CZ1251" s="1" t="s">
        <v>239</v>
      </c>
      <c r="DA1251" s="1" t="s">
        <v>200</v>
      </c>
      <c r="DC1251" s="1" t="s">
        <v>481</v>
      </c>
      <c r="DD1251" s="1" t="s">
        <v>518</v>
      </c>
      <c r="DE1251" s="1" t="s">
        <v>273</v>
      </c>
      <c r="DF1251" s="1" t="s">
        <v>219</v>
      </c>
      <c r="DG1251" s="1" t="s">
        <v>13344</v>
      </c>
      <c r="DH1251" s="1" t="s">
        <v>220</v>
      </c>
      <c r="DI1251" s="1" t="s">
        <v>1047</v>
      </c>
      <c r="DJ1251" s="1" t="s">
        <v>222</v>
      </c>
      <c r="DK1251" s="1" t="s">
        <v>198</v>
      </c>
      <c r="DL1251" s="1" t="s">
        <v>223</v>
      </c>
      <c r="DM1251" s="1" t="s">
        <v>338</v>
      </c>
      <c r="DN1251" s="1" t="s">
        <v>399</v>
      </c>
      <c r="DO1251" s="1" t="s">
        <v>486</v>
      </c>
      <c r="DP1251" s="1" t="s">
        <v>340</v>
      </c>
      <c r="DQ1251" s="1" t="s">
        <v>1557</v>
      </c>
      <c r="DR1251" s="1" t="s">
        <v>229</v>
      </c>
      <c r="DS1251" s="1" t="s">
        <v>368</v>
      </c>
      <c r="DU1251" s="1" t="s">
        <v>13345</v>
      </c>
      <c r="DV1251" s="1" t="s">
        <v>13346</v>
      </c>
      <c r="DW1251" s="1" t="s">
        <v>964</v>
      </c>
      <c r="DX1251" s="1" t="s">
        <v>234</v>
      </c>
      <c r="DY1251" s="1" t="s">
        <v>1051</v>
      </c>
      <c r="DZ1251" s="1" t="s">
        <v>8649</v>
      </c>
      <c r="EA1251" s="1" t="s">
        <v>447</v>
      </c>
      <c r="EC1251" s="1" t="s">
        <v>237</v>
      </c>
      <c r="ED1251" s="1" t="s">
        <v>407</v>
      </c>
      <c r="EG1251" s="1" t="s">
        <v>449</v>
      </c>
      <c r="EH1251" s="1" t="s">
        <v>598</v>
      </c>
      <c r="EI1251" s="1" t="s">
        <v>557</v>
      </c>
      <c r="EL1251" s="1" t="s">
        <v>212</v>
      </c>
      <c r="EM1251" s="1" t="s">
        <v>206</v>
      </c>
      <c r="EN1251" s="1" t="s">
        <v>617</v>
      </c>
      <c r="EO1251" s="1" t="s">
        <v>239</v>
      </c>
      <c r="EP1251" s="1" t="s">
        <v>1417</v>
      </c>
      <c r="EQ1251" s="1" t="s">
        <v>206</v>
      </c>
      <c r="ER1251" s="1" t="s">
        <v>207</v>
      </c>
      <c r="ES1251" s="1" t="s">
        <v>239</v>
      </c>
      <c r="ET1251" s="1" t="s">
        <v>1534</v>
      </c>
      <c r="EU1251" s="1" t="s">
        <v>209</v>
      </c>
      <c r="EV1251" s="1" t="s">
        <v>210</v>
      </c>
      <c r="EW1251" s="1" t="s">
        <v>239</v>
      </c>
      <c r="EY1251" s="1" t="s">
        <v>238</v>
      </c>
      <c r="FC1251" s="1" t="s">
        <v>238</v>
      </c>
      <c r="FF1251" s="1" t="s">
        <v>239</v>
      </c>
      <c r="FG1251" s="1" t="s">
        <v>192</v>
      </c>
      <c r="FH1251" s="1" t="s">
        <v>192</v>
      </c>
      <c r="FJ1251" s="1" t="s">
        <v>2427</v>
      </c>
      <c r="FK1251" s="1" t="s">
        <v>229</v>
      </c>
      <c r="FL1251" s="1" t="s">
        <v>1107</v>
      </c>
      <c r="FM1251" s="1">
        <v>1891.0</v>
      </c>
      <c r="FN1251" s="1" t="s">
        <v>1108</v>
      </c>
      <c r="FO1251" s="1" t="s">
        <v>10731</v>
      </c>
      <c r="FP1251" s="1">
        <v>28227.0</v>
      </c>
      <c r="FQ1251" s="1" t="s">
        <v>1108</v>
      </c>
      <c r="FS1251" s="1" t="s">
        <v>10732</v>
      </c>
      <c r="FU1251" s="1" t="s">
        <v>13347</v>
      </c>
      <c r="FV1251" s="1" t="s">
        <v>200</v>
      </c>
      <c r="FW1251" s="1" t="s">
        <v>290</v>
      </c>
      <c r="FZ1251" s="1" t="s">
        <v>229</v>
      </c>
      <c r="GA1251" s="1" t="s">
        <v>291</v>
      </c>
      <c r="GB1251" s="2">
        <v>42124.0</v>
      </c>
    </row>
    <row r="1252">
      <c r="A1252" s="1">
        <v>520000.0</v>
      </c>
      <c r="B1252" s="1" t="s">
        <v>185</v>
      </c>
      <c r="C1252" s="1" t="str">
        <f>"08856172"</f>
        <v>08856172</v>
      </c>
      <c r="D1252" s="1" t="s">
        <v>186</v>
      </c>
      <c r="F1252" s="1" t="str">
        <f>"8060"</f>
        <v>8060</v>
      </c>
      <c r="G1252" s="2">
        <v>42072.0</v>
      </c>
      <c r="H1252" s="1">
        <v>539900.0</v>
      </c>
      <c r="I1252" s="1">
        <v>42.0</v>
      </c>
      <c r="J1252" s="1">
        <v>529900.0</v>
      </c>
      <c r="K1252" s="2">
        <v>42113.0</v>
      </c>
      <c r="L1252" s="1">
        <v>42.0</v>
      </c>
      <c r="M1252" s="2">
        <v>42113.0</v>
      </c>
      <c r="N1252" s="1" t="s">
        <v>187</v>
      </c>
      <c r="O1252" s="2">
        <v>42142.0</v>
      </c>
      <c r="P1252" s="1">
        <v>875324.0</v>
      </c>
      <c r="Q1252" s="1">
        <v>18705.0</v>
      </c>
      <c r="S1252" s="1">
        <v>1319.0</v>
      </c>
      <c r="T1252" s="1" t="s">
        <v>13348</v>
      </c>
      <c r="U1252" s="1" t="s">
        <v>694</v>
      </c>
      <c r="V1252" s="1" t="s">
        <v>190</v>
      </c>
      <c r="W1252" s="1">
        <v>60608.0</v>
      </c>
      <c r="Y1252" s="1" t="s">
        <v>13349</v>
      </c>
      <c r="Z1252" s="1">
        <v>2005.0</v>
      </c>
      <c r="AA1252" s="1" t="s">
        <v>200</v>
      </c>
      <c r="AB1252" s="1" t="s">
        <v>467</v>
      </c>
      <c r="AD1252" s="1" t="s">
        <v>194</v>
      </c>
      <c r="AE1252" s="1" t="s">
        <v>195</v>
      </c>
      <c r="AF1252" s="1" t="s">
        <v>1154</v>
      </c>
      <c r="AH1252" s="1" t="s">
        <v>13350</v>
      </c>
      <c r="AK1252" s="1">
        <v>9.0</v>
      </c>
      <c r="AL1252" s="1">
        <v>4.0</v>
      </c>
      <c r="AM1252" s="1">
        <v>3.0</v>
      </c>
      <c r="AN1252" s="1">
        <v>1.0</v>
      </c>
      <c r="AO1252" s="1" t="s">
        <v>198</v>
      </c>
      <c r="AP1252" s="1">
        <v>1.0</v>
      </c>
      <c r="AQ1252" s="1" t="s">
        <v>257</v>
      </c>
      <c r="AR1252" s="1" t="s">
        <v>192</v>
      </c>
      <c r="AS1252" s="1" t="s">
        <v>199</v>
      </c>
      <c r="AT1252" s="1">
        <v>2.0</v>
      </c>
      <c r="AV1252" s="1" t="s">
        <v>192</v>
      </c>
      <c r="AW1252" s="1">
        <v>7809.0</v>
      </c>
      <c r="AX1252" s="1">
        <v>2013.0</v>
      </c>
      <c r="AY1252" s="1" t="s">
        <v>229</v>
      </c>
      <c r="AZ1252" s="1" t="s">
        <v>200</v>
      </c>
      <c r="BA1252" s="1" t="str">
        <f>"17321190690000"</f>
        <v>17321190690000</v>
      </c>
      <c r="BC1252" s="1">
        <v>3200.0</v>
      </c>
      <c r="BD1252" s="1">
        <v>520000.0</v>
      </c>
      <c r="BE1252" s="2">
        <v>42072.0</v>
      </c>
      <c r="BF1252" s="2" t="s">
        <v>13351</v>
      </c>
      <c r="BH1252" s="1">
        <v>148.0</v>
      </c>
      <c r="BK1252" s="1" t="s">
        <v>474</v>
      </c>
      <c r="BL1252" s="1" t="str">
        <f t="shared" ref="BL1252:BM1252" si="833">"0"</f>
        <v>0</v>
      </c>
      <c r="BM1252" s="1" t="str">
        <f t="shared" si="833"/>
        <v>0</v>
      </c>
      <c r="BN1252" s="1">
        <v>1319.0</v>
      </c>
      <c r="BO1252" s="1">
        <v>3250.0</v>
      </c>
      <c r="BQ1252" s="1">
        <v>299.0</v>
      </c>
      <c r="BR1252" s="1">
        <v>299.0</v>
      </c>
      <c r="BS1252" s="1">
        <v>299.0</v>
      </c>
      <c r="BU1252" s="1" t="s">
        <v>454</v>
      </c>
      <c r="BV1252" s="1" t="s">
        <v>206</v>
      </c>
      <c r="BW1252" s="1" t="s">
        <v>207</v>
      </c>
      <c r="BY1252" s="1" t="s">
        <v>1426</v>
      </c>
      <c r="BZ1252" s="1" t="s">
        <v>209</v>
      </c>
      <c r="CA1252" s="1" t="s">
        <v>210</v>
      </c>
      <c r="CC1252" s="1" t="s">
        <v>433</v>
      </c>
      <c r="CD1252" s="1" t="s">
        <v>206</v>
      </c>
      <c r="CE1252" s="1" t="s">
        <v>207</v>
      </c>
      <c r="CG1252" s="1" t="s">
        <v>392</v>
      </c>
      <c r="CH1252" s="1" t="s">
        <v>209</v>
      </c>
      <c r="CI1252" s="1" t="s">
        <v>210</v>
      </c>
      <c r="CK1252" s="1" t="s">
        <v>495</v>
      </c>
      <c r="CL1252" s="1" t="s">
        <v>209</v>
      </c>
      <c r="CM1252" s="1" t="s">
        <v>210</v>
      </c>
      <c r="CO1252" s="1" t="s">
        <v>433</v>
      </c>
      <c r="CP1252" s="1" t="s">
        <v>267</v>
      </c>
      <c r="CQ1252" s="1" t="s">
        <v>210</v>
      </c>
      <c r="CS1252" s="1" t="s">
        <v>433</v>
      </c>
      <c r="CT1252" s="1" t="s">
        <v>206</v>
      </c>
      <c r="CU1252" s="1" t="s">
        <v>207</v>
      </c>
      <c r="CW1252" s="1" t="s">
        <v>616</v>
      </c>
      <c r="CX1252" s="1" t="s">
        <v>206</v>
      </c>
      <c r="CY1252" s="1" t="s">
        <v>207</v>
      </c>
      <c r="DA1252" s="1" t="s">
        <v>200</v>
      </c>
      <c r="DC1252" s="1" t="s">
        <v>481</v>
      </c>
      <c r="DD1252" s="1" t="s">
        <v>306</v>
      </c>
      <c r="DE1252" s="1" t="s">
        <v>273</v>
      </c>
      <c r="DF1252" s="1" t="s">
        <v>219</v>
      </c>
      <c r="DG1252" s="1" t="s">
        <v>4488</v>
      </c>
      <c r="DH1252" s="1" t="s">
        <v>220</v>
      </c>
      <c r="DI1252" s="1" t="s">
        <v>13352</v>
      </c>
      <c r="DJ1252" s="1" t="s">
        <v>222</v>
      </c>
      <c r="DL1252" s="1" t="s">
        <v>224</v>
      </c>
      <c r="DM1252" s="1" t="s">
        <v>229</v>
      </c>
      <c r="DN1252" s="1" t="s">
        <v>339</v>
      </c>
      <c r="DO1252" s="1" t="s">
        <v>13353</v>
      </c>
      <c r="DP1252" s="1" t="s">
        <v>276</v>
      </c>
      <c r="DQ1252" s="1" t="s">
        <v>228</v>
      </c>
      <c r="DR1252" s="1" t="s">
        <v>4850</v>
      </c>
      <c r="DV1252" s="1" t="s">
        <v>2058</v>
      </c>
      <c r="DW1252" s="1" t="s">
        <v>279</v>
      </c>
      <c r="DX1252" s="1" t="s">
        <v>280</v>
      </c>
      <c r="DY1252" s="1" t="s">
        <v>1936</v>
      </c>
      <c r="DZ1252" s="1" t="s">
        <v>1100</v>
      </c>
      <c r="EB1252" s="1" t="s">
        <v>684</v>
      </c>
      <c r="EC1252" s="1" t="s">
        <v>237</v>
      </c>
      <c r="EG1252" s="1" t="s">
        <v>450</v>
      </c>
      <c r="EH1252" s="1" t="s">
        <v>310</v>
      </c>
      <c r="EL1252" s="1" t="s">
        <v>2130</v>
      </c>
      <c r="EM1252" s="1" t="s">
        <v>267</v>
      </c>
      <c r="EN1252" s="1" t="s">
        <v>210</v>
      </c>
      <c r="EP1252" s="1" t="s">
        <v>4153</v>
      </c>
      <c r="EQ1252" s="1" t="s">
        <v>206</v>
      </c>
      <c r="EU1252" s="1" t="s">
        <v>238</v>
      </c>
      <c r="EY1252" s="1" t="s">
        <v>238</v>
      </c>
      <c r="FC1252" s="1" t="s">
        <v>238</v>
      </c>
      <c r="FF1252" s="1" t="s">
        <v>239</v>
      </c>
      <c r="FG1252" s="1" t="s">
        <v>192</v>
      </c>
      <c r="FH1252" s="1" t="s">
        <v>192</v>
      </c>
      <c r="FJ1252" s="1" t="s">
        <v>561</v>
      </c>
      <c r="FK1252" s="1" t="s">
        <v>229</v>
      </c>
      <c r="FL1252" s="1" t="s">
        <v>562</v>
      </c>
      <c r="FM1252" s="1">
        <v>16379.0</v>
      </c>
      <c r="FN1252" s="1" t="s">
        <v>563</v>
      </c>
      <c r="FO1252" s="1" t="s">
        <v>13354</v>
      </c>
      <c r="FP1252" s="1">
        <v>145812.0</v>
      </c>
      <c r="FQ1252" s="1" t="s">
        <v>13355</v>
      </c>
      <c r="FS1252" s="1" t="s">
        <v>13356</v>
      </c>
      <c r="FU1252" s="1" t="s">
        <v>13357</v>
      </c>
      <c r="FV1252" s="1" t="s">
        <v>200</v>
      </c>
      <c r="FW1252" s="1" t="s">
        <v>290</v>
      </c>
      <c r="FX1252" s="1" t="s">
        <v>246</v>
      </c>
      <c r="FZ1252" s="1" t="s">
        <v>229</v>
      </c>
      <c r="GA1252" s="1" t="s">
        <v>291</v>
      </c>
      <c r="GB1252" s="2">
        <v>42142.0</v>
      </c>
      <c r="GC1252" s="1" t="s">
        <v>13358</v>
      </c>
    </row>
    <row r="1253">
      <c r="A1253" s="1">
        <v>250000.0</v>
      </c>
      <c r="B1253" s="1" t="s">
        <v>185</v>
      </c>
      <c r="C1253" s="1" t="str">
        <f>"08851086"</f>
        <v>08851086</v>
      </c>
      <c r="D1253" s="1" t="s">
        <v>186</v>
      </c>
      <c r="F1253" s="1" t="str">
        <f>"177"</f>
        <v>177</v>
      </c>
      <c r="G1253" s="2">
        <v>42066.0</v>
      </c>
      <c r="H1253" s="1">
        <v>259000.0</v>
      </c>
      <c r="I1253" s="1">
        <v>20.0</v>
      </c>
      <c r="J1253" s="1">
        <v>259000.0</v>
      </c>
      <c r="K1253" s="2">
        <v>42085.0</v>
      </c>
      <c r="L1253" s="1">
        <v>20.0</v>
      </c>
      <c r="M1253" s="2">
        <v>42085.0</v>
      </c>
      <c r="N1253" s="1" t="s">
        <v>356</v>
      </c>
      <c r="O1253" s="2">
        <v>42131.0</v>
      </c>
      <c r="P1253" s="1">
        <v>7206.0</v>
      </c>
      <c r="Q1253" s="1">
        <v>7661.0</v>
      </c>
      <c r="S1253" s="1">
        <v>742.0</v>
      </c>
      <c r="T1253" s="1" t="s">
        <v>12215</v>
      </c>
      <c r="U1253" s="1" t="s">
        <v>569</v>
      </c>
      <c r="V1253" s="1" t="s">
        <v>2249</v>
      </c>
      <c r="W1253" s="1">
        <v>60177.0</v>
      </c>
      <c r="X1253" s="1">
        <v>2559.0</v>
      </c>
      <c r="Y1253" s="1" t="s">
        <v>13359</v>
      </c>
      <c r="Z1253" s="1">
        <v>1996.0</v>
      </c>
      <c r="AA1253" s="1" t="s">
        <v>200</v>
      </c>
      <c r="AB1253" s="1" t="s">
        <v>193</v>
      </c>
      <c r="AC1253" s="1" t="s">
        <v>12217</v>
      </c>
      <c r="AD1253" s="1" t="s">
        <v>2252</v>
      </c>
      <c r="AE1253" s="1" t="s">
        <v>325</v>
      </c>
      <c r="AF1253" s="1" t="s">
        <v>469</v>
      </c>
      <c r="AH1253" s="1" t="s">
        <v>11437</v>
      </c>
      <c r="AK1253" s="1">
        <v>8.0</v>
      </c>
      <c r="AL1253" s="1">
        <v>4.0</v>
      </c>
      <c r="AM1253" s="1">
        <v>2.0</v>
      </c>
      <c r="AN1253" s="1">
        <v>1.0</v>
      </c>
      <c r="AO1253" s="1" t="s">
        <v>198</v>
      </c>
      <c r="AQ1253" s="1" t="s">
        <v>198</v>
      </c>
      <c r="AR1253" s="1" t="s">
        <v>200</v>
      </c>
      <c r="AS1253" s="1" t="s">
        <v>199</v>
      </c>
      <c r="AT1253" s="1">
        <v>3.0</v>
      </c>
      <c r="AV1253" s="1" t="s">
        <v>200</v>
      </c>
      <c r="AW1253" s="1">
        <v>5525.0</v>
      </c>
      <c r="AX1253" s="1">
        <v>2013.0</v>
      </c>
      <c r="AY1253" s="1" t="s">
        <v>387</v>
      </c>
      <c r="AZ1253" s="1" t="s">
        <v>200</v>
      </c>
      <c r="BA1253" s="1" t="str">
        <f>"0634427063"</f>
        <v>0634427063</v>
      </c>
      <c r="BB1253" s="1" t="s">
        <v>200</v>
      </c>
      <c r="BC1253" s="1">
        <v>2348.0</v>
      </c>
      <c r="BD1253" s="1">
        <v>250000.0</v>
      </c>
      <c r="BE1253" s="2">
        <v>42066.0</v>
      </c>
      <c r="BF1253" s="2" t="s">
        <v>13360</v>
      </c>
      <c r="BG1253" s="1" t="s">
        <v>12220</v>
      </c>
      <c r="BH1253" s="1">
        <v>0.0</v>
      </c>
      <c r="BI1253" s="1" t="s">
        <v>8076</v>
      </c>
      <c r="BJ1253" s="1" t="s">
        <v>2440</v>
      </c>
      <c r="BK1253" s="1" t="s">
        <v>204</v>
      </c>
      <c r="BL1253" s="1" t="str">
        <f>"8"</f>
        <v>8</v>
      </c>
      <c r="BM1253" s="1" t="str">
        <f>""</f>
        <v/>
      </c>
      <c r="BN1253" s="1">
        <v>35.0</v>
      </c>
      <c r="BQ1253" s="1">
        <v>46.0</v>
      </c>
      <c r="BR1253" s="1">
        <v>46.0</v>
      </c>
      <c r="BS1253" s="1">
        <v>46.0</v>
      </c>
      <c r="BU1253" s="1" t="s">
        <v>211</v>
      </c>
      <c r="BV1253" s="1" t="s">
        <v>206</v>
      </c>
      <c r="BW1253" s="1" t="s">
        <v>207</v>
      </c>
      <c r="BX1253" s="1" t="s">
        <v>1550</v>
      </c>
      <c r="BY1253" s="1" t="s">
        <v>925</v>
      </c>
      <c r="BZ1253" s="1" t="s">
        <v>209</v>
      </c>
      <c r="CA1253" s="1" t="s">
        <v>210</v>
      </c>
      <c r="CB1253" s="1" t="s">
        <v>1549</v>
      </c>
      <c r="CD1253" s="1" t="s">
        <v>204</v>
      </c>
      <c r="CG1253" s="1" t="s">
        <v>332</v>
      </c>
      <c r="CH1253" s="1" t="s">
        <v>209</v>
      </c>
      <c r="CI1253" s="1" t="s">
        <v>210</v>
      </c>
      <c r="CJ1253" s="1" t="s">
        <v>1549</v>
      </c>
      <c r="CK1253" s="1" t="s">
        <v>699</v>
      </c>
      <c r="CL1253" s="1" t="s">
        <v>209</v>
      </c>
      <c r="CM1253" s="1" t="s">
        <v>210</v>
      </c>
      <c r="CO1253" s="1" t="s">
        <v>363</v>
      </c>
      <c r="CP1253" s="1" t="s">
        <v>209</v>
      </c>
      <c r="CQ1253" s="1" t="s">
        <v>210</v>
      </c>
      <c r="CS1253" s="1" t="s">
        <v>3623</v>
      </c>
      <c r="CT1253" s="1" t="s">
        <v>206</v>
      </c>
      <c r="CU1253" s="1" t="s">
        <v>207</v>
      </c>
      <c r="CV1253" s="1" t="s">
        <v>229</v>
      </c>
      <c r="CW1253" s="1" t="s">
        <v>729</v>
      </c>
      <c r="CX1253" s="1" t="s">
        <v>206</v>
      </c>
      <c r="CY1253" s="1" t="s">
        <v>207</v>
      </c>
      <c r="CZ1253" s="1" t="s">
        <v>431</v>
      </c>
      <c r="DA1253" s="1" t="s">
        <v>200</v>
      </c>
      <c r="DC1253" s="1" t="s">
        <v>678</v>
      </c>
      <c r="DE1253" s="1" t="s">
        <v>273</v>
      </c>
      <c r="DF1253" s="1" t="s">
        <v>619</v>
      </c>
      <c r="DG1253" s="1" t="s">
        <v>13283</v>
      </c>
      <c r="DH1253" s="1" t="s">
        <v>1603</v>
      </c>
      <c r="DI1253" s="1" t="s">
        <v>959</v>
      </c>
      <c r="DJ1253" s="1" t="s">
        <v>222</v>
      </c>
      <c r="DK1253" s="1" t="s">
        <v>223</v>
      </c>
      <c r="DL1253" s="1" t="s">
        <v>223</v>
      </c>
      <c r="DM1253" s="1" t="s">
        <v>338</v>
      </c>
      <c r="DN1253" s="1" t="s">
        <v>548</v>
      </c>
      <c r="DO1253" s="1" t="s">
        <v>549</v>
      </c>
      <c r="DQ1253" s="1" t="s">
        <v>228</v>
      </c>
      <c r="DR1253" s="1" t="s">
        <v>229</v>
      </c>
      <c r="DS1253" s="1" t="s">
        <v>230</v>
      </c>
      <c r="DU1253" s="1" t="s">
        <v>1226</v>
      </c>
      <c r="DV1253" s="1" t="s">
        <v>5014</v>
      </c>
      <c r="DW1253" s="1" t="s">
        <v>233</v>
      </c>
      <c r="DX1253" s="1" t="s">
        <v>234</v>
      </c>
      <c r="DY1253" s="1" t="s">
        <v>490</v>
      </c>
      <c r="DZ1253" s="1" t="s">
        <v>13361</v>
      </c>
      <c r="EA1253" s="1" t="s">
        <v>1027</v>
      </c>
      <c r="EC1253" s="1" t="s">
        <v>237</v>
      </c>
      <c r="ED1253" s="1" t="s">
        <v>4163</v>
      </c>
      <c r="EE1253" s="1" t="s">
        <v>493</v>
      </c>
      <c r="EG1253" s="1" t="s">
        <v>494</v>
      </c>
      <c r="EH1253" s="1" t="s">
        <v>408</v>
      </c>
      <c r="EL1253" s="1" t="s">
        <v>264</v>
      </c>
      <c r="EM1253" s="1" t="s">
        <v>206</v>
      </c>
      <c r="EN1253" s="1" t="s">
        <v>207</v>
      </c>
      <c r="EO1253" s="1" t="s">
        <v>431</v>
      </c>
      <c r="EP1253" s="1" t="s">
        <v>2047</v>
      </c>
      <c r="EQ1253" s="1" t="s">
        <v>206</v>
      </c>
      <c r="ER1253" s="1" t="s">
        <v>207</v>
      </c>
      <c r="EU1253" s="1" t="s">
        <v>238</v>
      </c>
      <c r="EY1253" s="1" t="s">
        <v>238</v>
      </c>
      <c r="FC1253" s="1" t="s">
        <v>238</v>
      </c>
      <c r="FF1253" s="1" t="s">
        <v>239</v>
      </c>
      <c r="FG1253" s="1" t="s">
        <v>192</v>
      </c>
      <c r="FH1253" s="1" t="s">
        <v>192</v>
      </c>
      <c r="FJ1253" s="1" t="s">
        <v>2262</v>
      </c>
      <c r="FK1253" s="1" t="s">
        <v>229</v>
      </c>
      <c r="FL1253" s="1" t="s">
        <v>2263</v>
      </c>
      <c r="FM1253" s="1">
        <v>25005.0</v>
      </c>
      <c r="FN1253" s="1" t="s">
        <v>8538</v>
      </c>
      <c r="FO1253" s="1" t="s">
        <v>13362</v>
      </c>
      <c r="FP1253" s="1">
        <v>257039.0</v>
      </c>
      <c r="FQ1253" s="1" t="s">
        <v>13363</v>
      </c>
      <c r="FU1253" s="1" t="s">
        <v>13364</v>
      </c>
      <c r="FV1253" s="1" t="s">
        <v>200</v>
      </c>
      <c r="FW1253" s="1" t="s">
        <v>290</v>
      </c>
      <c r="FZ1253" s="1" t="s">
        <v>632</v>
      </c>
      <c r="GA1253" s="1" t="s">
        <v>291</v>
      </c>
      <c r="GB1253" s="2">
        <v>42132.0</v>
      </c>
      <c r="GC1253" s="1" t="s">
        <v>13365</v>
      </c>
    </row>
    <row r="1254">
      <c r="A1254" s="1">
        <v>229900.0</v>
      </c>
      <c r="B1254" s="1" t="s">
        <v>185</v>
      </c>
      <c r="C1254" s="1" t="str">
        <f>"08853034"</f>
        <v>08853034</v>
      </c>
      <c r="D1254" s="1" t="s">
        <v>186</v>
      </c>
      <c r="F1254" s="1" t="str">
        <f t="shared" ref="F1254:F1255" si="834">"123"</f>
        <v>123</v>
      </c>
      <c r="G1254" s="2">
        <v>42068.0</v>
      </c>
      <c r="H1254" s="1">
        <v>229900.0</v>
      </c>
      <c r="I1254" s="1">
        <v>4.0</v>
      </c>
      <c r="J1254" s="1">
        <v>229900.0</v>
      </c>
      <c r="K1254" s="2">
        <v>42071.0</v>
      </c>
      <c r="L1254" s="1">
        <v>4.0</v>
      </c>
      <c r="M1254" s="2">
        <v>42071.0</v>
      </c>
      <c r="N1254" s="1" t="s">
        <v>187</v>
      </c>
      <c r="O1254" s="2">
        <v>42128.0</v>
      </c>
      <c r="P1254" s="1">
        <v>27.0</v>
      </c>
      <c r="Q1254" s="1">
        <v>662.0</v>
      </c>
      <c r="S1254" s="1">
        <v>2055.0</v>
      </c>
      <c r="T1254" s="1" t="s">
        <v>1441</v>
      </c>
      <c r="U1254" s="1" t="s">
        <v>1442</v>
      </c>
      <c r="V1254" s="1" t="s">
        <v>465</v>
      </c>
      <c r="W1254" s="1">
        <v>60123.0</v>
      </c>
      <c r="Y1254" s="1" t="s">
        <v>13366</v>
      </c>
      <c r="Z1254" s="1">
        <v>1989.0</v>
      </c>
      <c r="AA1254" s="1" t="s">
        <v>200</v>
      </c>
      <c r="AB1254" s="1" t="s">
        <v>193</v>
      </c>
      <c r="AC1254" s="1" t="s">
        <v>5692</v>
      </c>
      <c r="AD1254" s="1" t="s">
        <v>469</v>
      </c>
      <c r="AE1254" s="1" t="s">
        <v>325</v>
      </c>
      <c r="AF1254" s="1" t="s">
        <v>469</v>
      </c>
      <c r="AH1254" s="1" t="s">
        <v>13367</v>
      </c>
      <c r="AK1254" s="1">
        <v>10.0</v>
      </c>
      <c r="AL1254" s="1">
        <v>4.0</v>
      </c>
      <c r="AM1254" s="1">
        <v>3.0</v>
      </c>
      <c r="AN1254" s="1">
        <v>1.0</v>
      </c>
      <c r="AO1254" s="1" t="s">
        <v>198</v>
      </c>
      <c r="AP1254" s="1">
        <v>1.0</v>
      </c>
      <c r="AQ1254" s="1" t="s">
        <v>198</v>
      </c>
      <c r="AR1254" s="1" t="s">
        <v>192</v>
      </c>
      <c r="AS1254" s="1" t="s">
        <v>199</v>
      </c>
      <c r="AT1254" s="1">
        <v>3.0</v>
      </c>
      <c r="AV1254" s="1" t="s">
        <v>200</v>
      </c>
      <c r="AW1254" s="1">
        <v>6317.64</v>
      </c>
      <c r="AX1254" s="1">
        <v>2013.0</v>
      </c>
      <c r="AY1254" s="1" t="s">
        <v>387</v>
      </c>
      <c r="AZ1254" s="1" t="s">
        <v>200</v>
      </c>
      <c r="BA1254" s="1" t="str">
        <f>"0609252027"</f>
        <v>0609252027</v>
      </c>
      <c r="BB1254" s="1" t="s">
        <v>200</v>
      </c>
      <c r="BC1254" s="1">
        <v>2472.0</v>
      </c>
      <c r="BD1254" s="1">
        <v>229900.0</v>
      </c>
      <c r="BE1254" s="2">
        <v>42068.0</v>
      </c>
      <c r="BF1254" s="2" t="s">
        <v>13368</v>
      </c>
      <c r="BG1254" s="1" t="s">
        <v>13029</v>
      </c>
      <c r="BH1254" s="1">
        <v>0.0</v>
      </c>
      <c r="BI1254" s="1" t="s">
        <v>3197</v>
      </c>
      <c r="BJ1254" s="1" t="s">
        <v>675</v>
      </c>
      <c r="BK1254" s="1" t="s">
        <v>204</v>
      </c>
      <c r="BL1254" s="1" t="str">
        <f>"12"</f>
        <v>12</v>
      </c>
      <c r="BM1254" s="1" t="str">
        <f>"0"</f>
        <v>0</v>
      </c>
      <c r="BN1254" s="1">
        <v>36.0</v>
      </c>
      <c r="BO1254" s="1">
        <v>0.0</v>
      </c>
      <c r="BQ1254" s="1">
        <v>46.0</v>
      </c>
      <c r="BR1254" s="1">
        <v>46.0</v>
      </c>
      <c r="BS1254" s="1">
        <v>46.0</v>
      </c>
      <c r="BU1254" s="1" t="s">
        <v>205</v>
      </c>
      <c r="BV1254" s="1" t="s">
        <v>206</v>
      </c>
      <c r="BW1254" s="1" t="s">
        <v>210</v>
      </c>
      <c r="BX1254" s="1" t="s">
        <v>1549</v>
      </c>
      <c r="BY1254" s="1" t="s">
        <v>260</v>
      </c>
      <c r="BZ1254" s="1" t="s">
        <v>209</v>
      </c>
      <c r="CA1254" s="1" t="s">
        <v>210</v>
      </c>
      <c r="CB1254" s="1" t="s">
        <v>431</v>
      </c>
      <c r="CC1254" s="1" t="s">
        <v>265</v>
      </c>
      <c r="CD1254" s="1" t="s">
        <v>206</v>
      </c>
      <c r="CE1254" s="1" t="s">
        <v>210</v>
      </c>
      <c r="CF1254" s="1" t="s">
        <v>1549</v>
      </c>
      <c r="CG1254" s="1" t="s">
        <v>213</v>
      </c>
      <c r="CH1254" s="1" t="s">
        <v>209</v>
      </c>
      <c r="CI1254" s="1" t="s">
        <v>210</v>
      </c>
      <c r="CJ1254" s="1" t="s">
        <v>431</v>
      </c>
      <c r="CK1254" s="1" t="s">
        <v>392</v>
      </c>
      <c r="CL1254" s="1" t="s">
        <v>209</v>
      </c>
      <c r="CM1254" s="1" t="s">
        <v>210</v>
      </c>
      <c r="CN1254" s="1" t="s">
        <v>431</v>
      </c>
      <c r="CO1254" s="1" t="s">
        <v>699</v>
      </c>
      <c r="CP1254" s="1" t="s">
        <v>209</v>
      </c>
      <c r="CQ1254" s="1" t="s">
        <v>210</v>
      </c>
      <c r="CR1254" s="1" t="s">
        <v>431</v>
      </c>
      <c r="CS1254" s="1" t="s">
        <v>1891</v>
      </c>
      <c r="CT1254" s="1" t="s">
        <v>206</v>
      </c>
      <c r="CU1254" s="1" t="s">
        <v>617</v>
      </c>
      <c r="CV1254" s="1" t="s">
        <v>239</v>
      </c>
      <c r="CW1254" s="1" t="s">
        <v>260</v>
      </c>
      <c r="CX1254" s="1" t="s">
        <v>206</v>
      </c>
      <c r="CY1254" s="1" t="s">
        <v>210</v>
      </c>
      <c r="CZ1254" s="1" t="s">
        <v>239</v>
      </c>
      <c r="DA1254" s="1" t="s">
        <v>200</v>
      </c>
      <c r="DC1254" s="1" t="s">
        <v>305</v>
      </c>
      <c r="DD1254" s="1" t="s">
        <v>518</v>
      </c>
      <c r="DE1254" s="1" t="s">
        <v>273</v>
      </c>
      <c r="DF1254" s="1" t="s">
        <v>219</v>
      </c>
      <c r="DG1254" s="1" t="s">
        <v>482</v>
      </c>
      <c r="DH1254" s="1" t="s">
        <v>220</v>
      </c>
      <c r="DI1254" s="1" t="s">
        <v>221</v>
      </c>
      <c r="DJ1254" s="1" t="s">
        <v>1048</v>
      </c>
      <c r="DK1254" s="1" t="s">
        <v>223</v>
      </c>
      <c r="DL1254" s="1" t="s">
        <v>224</v>
      </c>
      <c r="DM1254" s="1" t="s">
        <v>792</v>
      </c>
      <c r="DN1254" s="1" t="s">
        <v>399</v>
      </c>
      <c r="DO1254" s="1" t="s">
        <v>486</v>
      </c>
      <c r="DP1254" s="1" t="s">
        <v>340</v>
      </c>
      <c r="DQ1254" s="1" t="s">
        <v>228</v>
      </c>
      <c r="DR1254" s="1" t="s">
        <v>229</v>
      </c>
      <c r="DS1254" s="1" t="s">
        <v>401</v>
      </c>
      <c r="DU1254" s="1" t="s">
        <v>13369</v>
      </c>
      <c r="DV1254" s="1" t="s">
        <v>8315</v>
      </c>
      <c r="DW1254" s="1" t="s">
        <v>934</v>
      </c>
      <c r="DX1254" s="1" t="s">
        <v>234</v>
      </c>
      <c r="DY1254" s="1" t="s">
        <v>4102</v>
      </c>
      <c r="DZ1254" s="1" t="s">
        <v>13370</v>
      </c>
      <c r="EA1254" s="1" t="s">
        <v>344</v>
      </c>
      <c r="EB1254" s="1" t="s">
        <v>5230</v>
      </c>
      <c r="EC1254" s="1" t="s">
        <v>237</v>
      </c>
      <c r="ED1254" s="1" t="s">
        <v>407</v>
      </c>
      <c r="EE1254" s="1" t="s">
        <v>493</v>
      </c>
      <c r="EG1254" s="1" t="s">
        <v>450</v>
      </c>
      <c r="EH1254" s="1" t="s">
        <v>1491</v>
      </c>
      <c r="EL1254" s="1" t="s">
        <v>13371</v>
      </c>
      <c r="EM1254" s="1" t="s">
        <v>42</v>
      </c>
      <c r="EN1254" s="1" t="s">
        <v>210</v>
      </c>
      <c r="EO1254" s="1" t="s">
        <v>431</v>
      </c>
      <c r="EP1254" s="1" t="s">
        <v>1426</v>
      </c>
      <c r="EQ1254" s="1" t="s">
        <v>42</v>
      </c>
      <c r="ER1254" s="1" t="s">
        <v>588</v>
      </c>
      <c r="ES1254" s="1" t="s">
        <v>229</v>
      </c>
      <c r="EU1254" s="1" t="s">
        <v>238</v>
      </c>
      <c r="EY1254" s="1" t="s">
        <v>238</v>
      </c>
      <c r="FC1254" s="1" t="s">
        <v>238</v>
      </c>
      <c r="FF1254" s="1" t="s">
        <v>239</v>
      </c>
      <c r="FG1254" s="1" t="s">
        <v>192</v>
      </c>
      <c r="FH1254" s="1" t="s">
        <v>192</v>
      </c>
      <c r="FJ1254" s="1" t="s">
        <v>686</v>
      </c>
      <c r="FK1254" s="1" t="s">
        <v>229</v>
      </c>
      <c r="FL1254" s="1" t="s">
        <v>1451</v>
      </c>
      <c r="FM1254" s="1">
        <v>7450.0</v>
      </c>
      <c r="FN1254" s="1" t="s">
        <v>1452</v>
      </c>
      <c r="FO1254" s="1" t="s">
        <v>13372</v>
      </c>
      <c r="FP1254" s="1">
        <v>77092.0</v>
      </c>
      <c r="FQ1254" s="1" t="s">
        <v>13373</v>
      </c>
      <c r="FS1254" s="1" t="s">
        <v>13374</v>
      </c>
      <c r="FU1254" s="1" t="s">
        <v>13375</v>
      </c>
      <c r="FV1254" s="1" t="s">
        <v>192</v>
      </c>
      <c r="FW1254" s="1" t="s">
        <v>530</v>
      </c>
      <c r="FZ1254" s="1" t="s">
        <v>229</v>
      </c>
      <c r="GA1254" s="1" t="s">
        <v>291</v>
      </c>
      <c r="GB1254" s="2">
        <v>42131.0</v>
      </c>
    </row>
    <row r="1255">
      <c r="A1255" s="1">
        <v>349990.0</v>
      </c>
      <c r="B1255" s="1" t="s">
        <v>185</v>
      </c>
      <c r="C1255" s="1" t="str">
        <f>"08852132"</f>
        <v>08852132</v>
      </c>
      <c r="D1255" s="1" t="s">
        <v>186</v>
      </c>
      <c r="F1255" s="1" t="str">
        <f t="shared" si="834"/>
        <v>123</v>
      </c>
      <c r="G1255" s="2">
        <v>42067.0</v>
      </c>
      <c r="H1255" s="1">
        <v>357125.0</v>
      </c>
      <c r="I1255" s="1">
        <v>173.0</v>
      </c>
      <c r="J1255" s="1">
        <v>349990.0</v>
      </c>
      <c r="K1255" s="2">
        <v>42104.0</v>
      </c>
      <c r="L1255" s="1">
        <v>38.0</v>
      </c>
      <c r="M1255" s="2">
        <v>42104.0</v>
      </c>
      <c r="N1255" s="1" t="s">
        <v>187</v>
      </c>
      <c r="O1255" s="2">
        <v>42146.0</v>
      </c>
      <c r="P1255" s="1">
        <v>88359.0</v>
      </c>
      <c r="Q1255" s="1">
        <v>1384.0</v>
      </c>
      <c r="S1255" s="1">
        <v>265.0</v>
      </c>
      <c r="T1255" s="1" t="s">
        <v>13376</v>
      </c>
      <c r="U1255" s="1" t="s">
        <v>569</v>
      </c>
      <c r="V1255" s="1" t="s">
        <v>465</v>
      </c>
      <c r="W1255" s="1">
        <v>60124.0</v>
      </c>
      <c r="Y1255" s="1" t="s">
        <v>13377</v>
      </c>
      <c r="Z1255" s="1">
        <v>2014.0</v>
      </c>
      <c r="AA1255" s="1" t="s">
        <v>200</v>
      </c>
      <c r="AB1255" s="1" t="s">
        <v>467</v>
      </c>
      <c r="AC1255" s="1" t="s">
        <v>13378</v>
      </c>
      <c r="AD1255" s="1" t="s">
        <v>469</v>
      </c>
      <c r="AE1255" s="1" t="s">
        <v>325</v>
      </c>
      <c r="AF1255" s="1" t="s">
        <v>469</v>
      </c>
      <c r="AG1255" s="1" t="s">
        <v>13379</v>
      </c>
      <c r="AH1255" s="1" t="s">
        <v>13380</v>
      </c>
      <c r="AK1255" s="1">
        <v>11.0</v>
      </c>
      <c r="AL1255" s="1">
        <v>4.0</v>
      </c>
      <c r="AM1255" s="1">
        <v>2.0</v>
      </c>
      <c r="AN1255" s="1">
        <v>1.0</v>
      </c>
      <c r="AO1255" s="1" t="s">
        <v>198</v>
      </c>
      <c r="AP1255" s="1">
        <v>1.0</v>
      </c>
      <c r="AQ1255" s="1" t="s">
        <v>198</v>
      </c>
      <c r="AR1255" s="1" t="s">
        <v>200</v>
      </c>
      <c r="AS1255" s="1" t="s">
        <v>199</v>
      </c>
      <c r="AT1255" s="1">
        <v>3.0</v>
      </c>
      <c r="AV1255" s="1" t="s">
        <v>200</v>
      </c>
      <c r="AW1255" s="1" t="s">
        <v>575</v>
      </c>
      <c r="AX1255" s="1">
        <v>2013.0</v>
      </c>
      <c r="AZ1255" s="1" t="s">
        <v>200</v>
      </c>
      <c r="BA1255" s="1" t="str">
        <f>"0619177002"</f>
        <v>0619177002</v>
      </c>
      <c r="BC1255" s="1">
        <v>3127.0</v>
      </c>
      <c r="BD1255" s="1">
        <v>349990.0</v>
      </c>
      <c r="BE1255" s="2">
        <v>42067.0</v>
      </c>
      <c r="BF1255" s="2" t="s">
        <v>13381</v>
      </c>
      <c r="BG1255" s="1" t="s">
        <v>3686</v>
      </c>
      <c r="BH1255" s="1">
        <v>276.0</v>
      </c>
      <c r="BI1255" s="1" t="s">
        <v>578</v>
      </c>
      <c r="BJ1255" s="1" t="s">
        <v>579</v>
      </c>
      <c r="BK1255" s="1" t="s">
        <v>580</v>
      </c>
      <c r="BL1255" s="1" t="str">
        <f t="shared" ref="BL1255:BM1255" si="835">""</f>
        <v/>
      </c>
      <c r="BM1255" s="1" t="str">
        <f t="shared" si="835"/>
        <v/>
      </c>
      <c r="BQ1255" s="1">
        <v>301.0</v>
      </c>
      <c r="BR1255" s="1">
        <v>301.0</v>
      </c>
      <c r="BS1255" s="1">
        <v>301.0</v>
      </c>
      <c r="BV1255" s="1" t="s">
        <v>204</v>
      </c>
      <c r="BY1255" s="1" t="s">
        <v>1063</v>
      </c>
      <c r="BZ1255" s="1" t="s">
        <v>209</v>
      </c>
      <c r="CA1255" s="1" t="s">
        <v>210</v>
      </c>
      <c r="CB1255" s="1" t="s">
        <v>229</v>
      </c>
      <c r="CC1255" s="1" t="s">
        <v>2459</v>
      </c>
      <c r="CD1255" s="1" t="s">
        <v>206</v>
      </c>
      <c r="CE1255" s="1" t="s">
        <v>210</v>
      </c>
      <c r="CG1255" s="1" t="s">
        <v>332</v>
      </c>
      <c r="CH1255" s="1" t="s">
        <v>209</v>
      </c>
      <c r="CI1255" s="1" t="s">
        <v>210</v>
      </c>
      <c r="CJ1255" s="1" t="s">
        <v>229</v>
      </c>
      <c r="CK1255" s="1" t="s">
        <v>331</v>
      </c>
      <c r="CL1255" s="1" t="s">
        <v>209</v>
      </c>
      <c r="CM1255" s="1" t="s">
        <v>210</v>
      </c>
      <c r="CN1255" s="1" t="s">
        <v>229</v>
      </c>
      <c r="CO1255" s="1" t="s">
        <v>331</v>
      </c>
      <c r="CP1255" s="1" t="s">
        <v>209</v>
      </c>
      <c r="CQ1255" s="1" t="s">
        <v>210</v>
      </c>
      <c r="CR1255" s="1" t="s">
        <v>229</v>
      </c>
      <c r="CS1255" s="1" t="s">
        <v>647</v>
      </c>
      <c r="CT1255" s="1" t="s">
        <v>206</v>
      </c>
      <c r="CU1255" s="1" t="s">
        <v>617</v>
      </c>
      <c r="CV1255" s="1" t="s">
        <v>229</v>
      </c>
      <c r="CW1255" s="1" t="s">
        <v>6175</v>
      </c>
      <c r="CX1255" s="1" t="s">
        <v>206</v>
      </c>
      <c r="CY1255" s="1" t="s">
        <v>210</v>
      </c>
      <c r="CZ1255" s="1" t="s">
        <v>229</v>
      </c>
      <c r="DA1255" s="1" t="s">
        <v>192</v>
      </c>
      <c r="DB1255" s="2">
        <v>42093.0</v>
      </c>
      <c r="DC1255" s="1" t="s">
        <v>1353</v>
      </c>
      <c r="DD1255" s="1" t="s">
        <v>1930</v>
      </c>
      <c r="DE1255" s="1" t="s">
        <v>273</v>
      </c>
      <c r="DF1255" s="1" t="s">
        <v>619</v>
      </c>
      <c r="DH1255" s="1" t="s">
        <v>220</v>
      </c>
      <c r="DI1255" s="1" t="s">
        <v>275</v>
      </c>
      <c r="DJ1255" s="1" t="s">
        <v>222</v>
      </c>
      <c r="DL1255" s="1" t="s">
        <v>223</v>
      </c>
      <c r="DM1255" s="1" t="s">
        <v>338</v>
      </c>
      <c r="DN1255" s="1" t="s">
        <v>339</v>
      </c>
      <c r="DP1255" s="1" t="s">
        <v>227</v>
      </c>
      <c r="DQ1255" s="1" t="s">
        <v>228</v>
      </c>
      <c r="DR1255" s="1" t="s">
        <v>588</v>
      </c>
      <c r="DV1255" s="1" t="s">
        <v>13382</v>
      </c>
      <c r="DW1255" s="1" t="s">
        <v>5558</v>
      </c>
      <c r="DX1255" s="1" t="s">
        <v>234</v>
      </c>
      <c r="DY1255" s="1" t="s">
        <v>3075</v>
      </c>
      <c r="EC1255" s="1" t="s">
        <v>237</v>
      </c>
      <c r="ED1255" s="1" t="s">
        <v>6543</v>
      </c>
      <c r="EG1255" s="1" t="s">
        <v>1164</v>
      </c>
      <c r="EH1255" s="1" t="s">
        <v>341</v>
      </c>
      <c r="EI1255" s="1" t="s">
        <v>494</v>
      </c>
      <c r="EJ1255" s="1" t="s">
        <v>556</v>
      </c>
      <c r="EL1255" s="1" t="s">
        <v>924</v>
      </c>
      <c r="EM1255" s="1" t="s">
        <v>206</v>
      </c>
      <c r="EN1255" s="1" t="s">
        <v>210</v>
      </c>
      <c r="EO1255" s="1" t="s">
        <v>229</v>
      </c>
      <c r="EP1255" s="1" t="s">
        <v>262</v>
      </c>
      <c r="EQ1255" s="1" t="s">
        <v>209</v>
      </c>
      <c r="ER1255" s="1" t="s">
        <v>210</v>
      </c>
      <c r="ES1255" s="1" t="s">
        <v>229</v>
      </c>
      <c r="ET1255" s="1" t="s">
        <v>663</v>
      </c>
      <c r="EU1255" s="1" t="s">
        <v>206</v>
      </c>
      <c r="EV1255" s="1" t="s">
        <v>210</v>
      </c>
      <c r="EX1255" s="1" t="s">
        <v>475</v>
      </c>
      <c r="EY1255" s="1" t="s">
        <v>206</v>
      </c>
      <c r="EZ1255" s="1" t="s">
        <v>210</v>
      </c>
      <c r="FC1255" s="1" t="s">
        <v>238</v>
      </c>
      <c r="FF1255" s="1" t="s">
        <v>239</v>
      </c>
      <c r="FG1255" s="1" t="s">
        <v>192</v>
      </c>
      <c r="FH1255" s="1" t="s">
        <v>192</v>
      </c>
      <c r="FJ1255" s="1" t="s">
        <v>13383</v>
      </c>
      <c r="FK1255" s="1" t="s">
        <v>229</v>
      </c>
      <c r="FL1255" s="1" t="s">
        <v>1192</v>
      </c>
      <c r="FM1255" s="1">
        <v>8702.0</v>
      </c>
      <c r="FN1255" s="1" t="s">
        <v>1193</v>
      </c>
      <c r="FO1255" s="1" t="s">
        <v>1194</v>
      </c>
      <c r="FP1255" s="1">
        <v>21163.0</v>
      </c>
      <c r="FQ1255" s="1" t="s">
        <v>1195</v>
      </c>
      <c r="FU1255" s="1" t="s">
        <v>13384</v>
      </c>
      <c r="FV1255" s="1" t="s">
        <v>200</v>
      </c>
      <c r="FW1255" s="1" t="s">
        <v>1197</v>
      </c>
      <c r="FZ1255" s="1" t="s">
        <v>229</v>
      </c>
      <c r="GA1255" s="1" t="s">
        <v>291</v>
      </c>
      <c r="GB1255" s="2">
        <v>42150.0</v>
      </c>
      <c r="GC1255" s="1" t="s">
        <v>13385</v>
      </c>
    </row>
    <row r="1256">
      <c r="A1256" s="1">
        <v>330000.0</v>
      </c>
      <c r="B1256" s="1" t="s">
        <v>185</v>
      </c>
      <c r="C1256" s="1" t="str">
        <f>"08854125"</f>
        <v>08854125</v>
      </c>
      <c r="D1256" s="1" t="s">
        <v>186</v>
      </c>
      <c r="F1256" s="1" t="str">
        <f>"107"</f>
        <v>107</v>
      </c>
      <c r="G1256" s="2">
        <v>42069.0</v>
      </c>
      <c r="H1256" s="1">
        <v>338900.0</v>
      </c>
      <c r="I1256" s="1">
        <v>243.0</v>
      </c>
      <c r="J1256" s="1">
        <v>338900.0</v>
      </c>
      <c r="K1256" s="2">
        <v>42076.0</v>
      </c>
      <c r="L1256" s="1">
        <v>8.0</v>
      </c>
      <c r="M1256" s="2">
        <v>42076.0</v>
      </c>
      <c r="N1256" s="1" t="s">
        <v>187</v>
      </c>
      <c r="O1256" s="2">
        <v>42132.0</v>
      </c>
      <c r="P1256" s="1">
        <v>87063.0</v>
      </c>
      <c r="Q1256" s="1">
        <v>25806.0</v>
      </c>
      <c r="S1256" s="1">
        <v>5.0</v>
      </c>
      <c r="T1256" s="1" t="s">
        <v>13386</v>
      </c>
      <c r="U1256" s="1" t="s">
        <v>420</v>
      </c>
      <c r="V1256" s="1" t="s">
        <v>294</v>
      </c>
      <c r="W1256" s="1">
        <v>60107.0</v>
      </c>
      <c r="Y1256" s="1" t="s">
        <v>13387</v>
      </c>
      <c r="Z1256" s="1">
        <v>2001.0</v>
      </c>
      <c r="AA1256" s="1" t="s">
        <v>200</v>
      </c>
      <c r="AB1256" s="1" t="s">
        <v>467</v>
      </c>
      <c r="AC1256" s="1" t="s">
        <v>13388</v>
      </c>
      <c r="AD1256" s="1" t="s">
        <v>297</v>
      </c>
      <c r="AE1256" s="1" t="s">
        <v>195</v>
      </c>
      <c r="AF1256" s="1" t="s">
        <v>298</v>
      </c>
      <c r="AG1256" s="1" t="s">
        <v>13389</v>
      </c>
      <c r="AH1256" s="1" t="s">
        <v>13390</v>
      </c>
      <c r="AI1256" s="1">
        <v>0.33</v>
      </c>
      <c r="AK1256" s="1">
        <v>13.0</v>
      </c>
      <c r="AL1256" s="1">
        <v>4.0</v>
      </c>
      <c r="AM1256" s="1">
        <v>3.0</v>
      </c>
      <c r="AN1256" s="1">
        <v>1.0</v>
      </c>
      <c r="AO1256" s="1" t="s">
        <v>198</v>
      </c>
      <c r="AP1256" s="1">
        <v>2.0</v>
      </c>
      <c r="AQ1256" s="1" t="s">
        <v>198</v>
      </c>
      <c r="AR1256" s="1" t="s">
        <v>192</v>
      </c>
      <c r="AS1256" s="1" t="s">
        <v>199</v>
      </c>
      <c r="AT1256" s="1">
        <v>2.0</v>
      </c>
      <c r="AV1256" s="1" t="s">
        <v>200</v>
      </c>
      <c r="AW1256" s="1">
        <v>9347.05</v>
      </c>
      <c r="AX1256" s="1">
        <v>2013.0</v>
      </c>
      <c r="AY1256" s="1" t="s">
        <v>387</v>
      </c>
      <c r="AZ1256" s="1" t="s">
        <v>200</v>
      </c>
      <c r="BA1256" s="1" t="str">
        <f>"06272210090000"</f>
        <v>06272210090000</v>
      </c>
      <c r="BB1256" s="1" t="s">
        <v>200</v>
      </c>
      <c r="BC1256" s="1">
        <v>2691.0</v>
      </c>
      <c r="BD1256" s="1">
        <v>330000.0</v>
      </c>
      <c r="BE1256" s="2">
        <v>42069.0</v>
      </c>
      <c r="BF1256" s="2" t="s">
        <v>13391</v>
      </c>
      <c r="BH1256" s="1">
        <v>130.0</v>
      </c>
      <c r="BK1256" s="1" t="s">
        <v>580</v>
      </c>
      <c r="BL1256" s="1" t="str">
        <f t="shared" ref="BL1256:BM1256" si="836">""</f>
        <v/>
      </c>
      <c r="BM1256" s="1" t="str">
        <f t="shared" si="836"/>
        <v/>
      </c>
      <c r="BQ1256" s="1">
        <v>46.0</v>
      </c>
      <c r="BR1256" s="1">
        <v>46.0</v>
      </c>
      <c r="BS1256" s="1">
        <v>46.0</v>
      </c>
      <c r="BU1256" s="1" t="s">
        <v>329</v>
      </c>
      <c r="BV1256" s="1" t="s">
        <v>206</v>
      </c>
      <c r="BW1256" s="1" t="s">
        <v>207</v>
      </c>
      <c r="BX1256" s="1" t="s">
        <v>431</v>
      </c>
      <c r="BY1256" s="1" t="s">
        <v>390</v>
      </c>
      <c r="BZ1256" s="1" t="s">
        <v>209</v>
      </c>
      <c r="CA1256" s="1" t="s">
        <v>210</v>
      </c>
      <c r="CB1256" s="1" t="s">
        <v>261</v>
      </c>
      <c r="CC1256" s="1" t="s">
        <v>215</v>
      </c>
      <c r="CD1256" s="1" t="s">
        <v>206</v>
      </c>
      <c r="CE1256" s="1" t="s">
        <v>207</v>
      </c>
      <c r="CF1256" s="1" t="s">
        <v>431</v>
      </c>
      <c r="CG1256" s="1" t="s">
        <v>584</v>
      </c>
      <c r="CH1256" s="1" t="s">
        <v>209</v>
      </c>
      <c r="CI1256" s="1" t="s">
        <v>210</v>
      </c>
      <c r="CJ1256" s="1" t="s">
        <v>431</v>
      </c>
      <c r="CK1256" s="1" t="s">
        <v>212</v>
      </c>
      <c r="CL1256" s="1" t="s">
        <v>209</v>
      </c>
      <c r="CM1256" s="1" t="s">
        <v>210</v>
      </c>
      <c r="CN1256" s="1" t="s">
        <v>431</v>
      </c>
      <c r="CO1256" s="1" t="s">
        <v>212</v>
      </c>
      <c r="CP1256" s="1" t="s">
        <v>206</v>
      </c>
      <c r="CQ1256" s="1" t="s">
        <v>207</v>
      </c>
      <c r="CR1256" s="1" t="s">
        <v>431</v>
      </c>
      <c r="CS1256" s="1" t="s">
        <v>758</v>
      </c>
      <c r="CT1256" s="1" t="s">
        <v>206</v>
      </c>
      <c r="CU1256" s="1" t="s">
        <v>207</v>
      </c>
      <c r="CV1256" s="1" t="s">
        <v>431</v>
      </c>
      <c r="CW1256" s="1" t="s">
        <v>260</v>
      </c>
      <c r="CX1256" s="1" t="s">
        <v>206</v>
      </c>
      <c r="CY1256" s="1" t="s">
        <v>207</v>
      </c>
      <c r="CZ1256" s="1" t="s">
        <v>431</v>
      </c>
      <c r="DA1256" s="1" t="s">
        <v>200</v>
      </c>
      <c r="DC1256" s="1" t="s">
        <v>335</v>
      </c>
      <c r="DD1256" s="1" t="s">
        <v>436</v>
      </c>
      <c r="DE1256" s="1" t="s">
        <v>273</v>
      </c>
      <c r="DF1256" s="1" t="s">
        <v>219</v>
      </c>
      <c r="DG1256" s="1" t="s">
        <v>337</v>
      </c>
      <c r="DH1256" s="1" t="s">
        <v>307</v>
      </c>
      <c r="DI1256" s="1" t="s">
        <v>1003</v>
      </c>
      <c r="DJ1256" s="1" t="s">
        <v>222</v>
      </c>
      <c r="DK1256" s="1" t="s">
        <v>1555</v>
      </c>
      <c r="DL1256" s="1" t="s">
        <v>224</v>
      </c>
      <c r="DM1256" s="1" t="s">
        <v>229</v>
      </c>
      <c r="DN1256" s="1" t="s">
        <v>548</v>
      </c>
      <c r="DO1256" s="1" t="s">
        <v>440</v>
      </c>
      <c r="DP1256" s="1" t="s">
        <v>2380</v>
      </c>
      <c r="DQ1256" s="1" t="s">
        <v>441</v>
      </c>
      <c r="DR1256" s="1" t="s">
        <v>588</v>
      </c>
      <c r="DU1256" s="1" t="s">
        <v>9153</v>
      </c>
      <c r="DV1256" s="1" t="s">
        <v>13392</v>
      </c>
      <c r="DW1256" s="1" t="s">
        <v>444</v>
      </c>
      <c r="DX1256" s="1" t="s">
        <v>234</v>
      </c>
      <c r="DY1256" s="1" t="s">
        <v>7854</v>
      </c>
      <c r="DZ1256" s="1" t="s">
        <v>2204</v>
      </c>
      <c r="EB1256" s="1" t="s">
        <v>937</v>
      </c>
      <c r="EC1256" s="1" t="s">
        <v>237</v>
      </c>
      <c r="ED1256" s="1" t="s">
        <v>407</v>
      </c>
      <c r="EG1256" s="1" t="s">
        <v>341</v>
      </c>
      <c r="EH1256" s="1" t="s">
        <v>449</v>
      </c>
      <c r="EI1256" s="1" t="s">
        <v>450</v>
      </c>
      <c r="EJ1256" s="1" t="s">
        <v>557</v>
      </c>
      <c r="EK1256" s="1" t="s">
        <v>451</v>
      </c>
      <c r="EL1256" s="1" t="s">
        <v>433</v>
      </c>
      <c r="EM1256" s="1" t="s">
        <v>209</v>
      </c>
      <c r="EN1256" s="1" t="s">
        <v>210</v>
      </c>
      <c r="EO1256" s="1" t="s">
        <v>431</v>
      </c>
      <c r="EP1256" s="1" t="s">
        <v>375</v>
      </c>
      <c r="EQ1256" s="1" t="s">
        <v>206</v>
      </c>
      <c r="ER1256" s="1" t="s">
        <v>207</v>
      </c>
      <c r="ES1256" s="1" t="s">
        <v>239</v>
      </c>
      <c r="ET1256" s="1" t="s">
        <v>3658</v>
      </c>
      <c r="EU1256" s="1" t="s">
        <v>42</v>
      </c>
      <c r="EV1256" s="1" t="s">
        <v>210</v>
      </c>
      <c r="EW1256" s="1" t="s">
        <v>431</v>
      </c>
      <c r="EX1256" s="1" t="s">
        <v>264</v>
      </c>
      <c r="EY1256" s="1" t="s">
        <v>42</v>
      </c>
      <c r="EZ1256" s="1" t="s">
        <v>210</v>
      </c>
      <c r="FA1256" s="1" t="s">
        <v>431</v>
      </c>
      <c r="FB1256" s="1" t="s">
        <v>783</v>
      </c>
      <c r="FC1256" s="1" t="s">
        <v>42</v>
      </c>
      <c r="FD1256" s="1" t="s">
        <v>210</v>
      </c>
      <c r="FE1256" s="1" t="s">
        <v>431</v>
      </c>
      <c r="FF1256" s="1" t="s">
        <v>239</v>
      </c>
      <c r="FG1256" s="1" t="s">
        <v>192</v>
      </c>
      <c r="FH1256" s="1" t="s">
        <v>192</v>
      </c>
      <c r="FJ1256" s="1" t="s">
        <v>1123</v>
      </c>
      <c r="FK1256" s="1" t="s">
        <v>229</v>
      </c>
      <c r="FL1256" s="1" t="s">
        <v>456</v>
      </c>
      <c r="FM1256" s="1">
        <v>6485.0</v>
      </c>
      <c r="FN1256" s="1" t="s">
        <v>13393</v>
      </c>
      <c r="FO1256" s="1" t="s">
        <v>13394</v>
      </c>
      <c r="FP1256" s="1">
        <v>63204.0</v>
      </c>
      <c r="FQ1256" s="1" t="s">
        <v>13395</v>
      </c>
      <c r="FU1256" s="1" t="s">
        <v>13396</v>
      </c>
      <c r="FV1256" s="1" t="s">
        <v>200</v>
      </c>
      <c r="FW1256" s="1" t="s">
        <v>290</v>
      </c>
      <c r="FZ1256" s="1" t="s">
        <v>229</v>
      </c>
      <c r="GA1256" s="1" t="s">
        <v>291</v>
      </c>
      <c r="GB1256" s="2">
        <v>42132.0</v>
      </c>
      <c r="GC1256" s="1" t="s">
        <v>13397</v>
      </c>
    </row>
    <row r="1257">
      <c r="A1257" s="1">
        <v>243000.0</v>
      </c>
      <c r="B1257" s="1" t="s">
        <v>185</v>
      </c>
      <c r="C1257" s="1" t="str">
        <f>"08856572"</f>
        <v>08856572</v>
      </c>
      <c r="D1257" s="1" t="s">
        <v>186</v>
      </c>
      <c r="F1257" s="1" t="str">
        <f>"123"</f>
        <v>123</v>
      </c>
      <c r="G1257" s="2">
        <v>42072.0</v>
      </c>
      <c r="H1257" s="1">
        <v>249900.0</v>
      </c>
      <c r="I1257" s="1">
        <v>5.0</v>
      </c>
      <c r="J1257" s="1">
        <v>249900.0</v>
      </c>
      <c r="K1257" s="2">
        <v>42076.0</v>
      </c>
      <c r="L1257" s="1">
        <v>5.0</v>
      </c>
      <c r="M1257" s="2">
        <v>42076.0</v>
      </c>
      <c r="N1257" s="1" t="s">
        <v>187</v>
      </c>
      <c r="O1257" s="2">
        <v>42123.0</v>
      </c>
      <c r="P1257" s="1">
        <v>242191.0</v>
      </c>
      <c r="Q1257" s="1">
        <v>24185.0</v>
      </c>
      <c r="S1257" s="1">
        <v>800.0</v>
      </c>
      <c r="T1257" s="1" t="s">
        <v>13398</v>
      </c>
      <c r="U1257" s="1" t="s">
        <v>189</v>
      </c>
      <c r="V1257" s="1" t="s">
        <v>465</v>
      </c>
      <c r="W1257" s="1">
        <v>60123.0</v>
      </c>
      <c r="Y1257" s="1" t="s">
        <v>13399</v>
      </c>
      <c r="Z1257" s="1">
        <v>1991.0</v>
      </c>
      <c r="AA1257" s="1" t="s">
        <v>200</v>
      </c>
      <c r="AB1257" s="1" t="s">
        <v>193</v>
      </c>
      <c r="AC1257" s="1" t="s">
        <v>5692</v>
      </c>
      <c r="AD1257" s="1" t="s">
        <v>469</v>
      </c>
      <c r="AE1257" s="1" t="s">
        <v>325</v>
      </c>
      <c r="AF1257" s="1" t="s">
        <v>469</v>
      </c>
      <c r="AH1257" s="1" t="s">
        <v>13400</v>
      </c>
      <c r="AI1257" s="1">
        <v>0.19</v>
      </c>
      <c r="AK1257" s="1">
        <v>9.0</v>
      </c>
      <c r="AL1257" s="1">
        <v>4.0</v>
      </c>
      <c r="AM1257" s="1">
        <v>2.0</v>
      </c>
      <c r="AN1257" s="1">
        <v>1.0</v>
      </c>
      <c r="AO1257" s="1" t="s">
        <v>198</v>
      </c>
      <c r="AP1257" s="1">
        <v>1.0</v>
      </c>
      <c r="AQ1257" s="1" t="s">
        <v>1314</v>
      </c>
      <c r="AR1257" s="1" t="s">
        <v>200</v>
      </c>
      <c r="AS1257" s="1" t="s">
        <v>199</v>
      </c>
      <c r="AT1257" s="1">
        <v>2.0</v>
      </c>
      <c r="AV1257" s="1" t="s">
        <v>200</v>
      </c>
      <c r="AW1257" s="1">
        <v>5886.06</v>
      </c>
      <c r="AX1257" s="1">
        <v>2013.0</v>
      </c>
      <c r="AY1257" s="1" t="s">
        <v>387</v>
      </c>
      <c r="AZ1257" s="1" t="s">
        <v>200</v>
      </c>
      <c r="BA1257" s="1" t="str">
        <f>"0609203007"</f>
        <v>0609203007</v>
      </c>
      <c r="BC1257" s="1">
        <v>2232.0</v>
      </c>
      <c r="BD1257" s="1">
        <v>243000.0</v>
      </c>
      <c r="BE1257" s="2">
        <v>42072.0</v>
      </c>
      <c r="BF1257" s="2" t="s">
        <v>13401</v>
      </c>
      <c r="BH1257" s="1">
        <v>0.0</v>
      </c>
      <c r="BK1257" s="1" t="s">
        <v>204</v>
      </c>
      <c r="BL1257" s="1" t="str">
        <f>"12"</f>
        <v>12</v>
      </c>
      <c r="BM1257" s="1" t="str">
        <f t="shared" ref="BM1257:BM1258" si="837">"0"</f>
        <v>0</v>
      </c>
      <c r="BN1257" s="1">
        <v>36.0</v>
      </c>
      <c r="BO1257" s="1">
        <v>0.0</v>
      </c>
      <c r="BQ1257" s="1">
        <v>46.0</v>
      </c>
      <c r="BR1257" s="1">
        <v>46.0</v>
      </c>
      <c r="BS1257" s="1">
        <v>46.0</v>
      </c>
      <c r="BU1257" s="1" t="s">
        <v>333</v>
      </c>
      <c r="BV1257" s="1" t="s">
        <v>206</v>
      </c>
      <c r="BW1257" s="1" t="s">
        <v>207</v>
      </c>
      <c r="BY1257" s="1" t="s">
        <v>361</v>
      </c>
      <c r="BZ1257" s="1" t="s">
        <v>209</v>
      </c>
      <c r="CA1257" s="1" t="s">
        <v>210</v>
      </c>
      <c r="CC1257" s="1" t="s">
        <v>433</v>
      </c>
      <c r="CD1257" s="1" t="s">
        <v>206</v>
      </c>
      <c r="CE1257" s="1" t="s">
        <v>207</v>
      </c>
      <c r="CG1257" s="1" t="s">
        <v>1119</v>
      </c>
      <c r="CH1257" s="1" t="s">
        <v>209</v>
      </c>
      <c r="CI1257" s="1" t="s">
        <v>210</v>
      </c>
      <c r="CK1257" s="1" t="s">
        <v>215</v>
      </c>
      <c r="CL1257" s="1" t="s">
        <v>209</v>
      </c>
      <c r="CM1257" s="1" t="s">
        <v>210</v>
      </c>
      <c r="CO1257" s="1" t="s">
        <v>212</v>
      </c>
      <c r="CP1257" s="1" t="s">
        <v>209</v>
      </c>
      <c r="CQ1257" s="1" t="s">
        <v>207</v>
      </c>
      <c r="CS1257" s="1" t="s">
        <v>515</v>
      </c>
      <c r="CT1257" s="1" t="s">
        <v>206</v>
      </c>
      <c r="CU1257" s="1" t="s">
        <v>207</v>
      </c>
      <c r="CW1257" s="1" t="s">
        <v>333</v>
      </c>
      <c r="CX1257" s="1" t="s">
        <v>206</v>
      </c>
      <c r="CY1257" s="1" t="s">
        <v>207</v>
      </c>
      <c r="DA1257" s="1" t="s">
        <v>200</v>
      </c>
      <c r="DC1257" s="1" t="s">
        <v>435</v>
      </c>
      <c r="DD1257" s="1" t="s">
        <v>957</v>
      </c>
      <c r="DE1257" s="1" t="s">
        <v>273</v>
      </c>
      <c r="DF1257" s="1" t="s">
        <v>219</v>
      </c>
      <c r="DG1257" s="1" t="s">
        <v>337</v>
      </c>
      <c r="DH1257" s="1" t="s">
        <v>220</v>
      </c>
      <c r="DI1257" s="1" t="s">
        <v>221</v>
      </c>
      <c r="DJ1257" s="1" t="s">
        <v>222</v>
      </c>
      <c r="DL1257" s="1" t="s">
        <v>858</v>
      </c>
      <c r="DM1257" s="1" t="s">
        <v>338</v>
      </c>
      <c r="DN1257" s="1" t="s">
        <v>339</v>
      </c>
      <c r="DO1257" s="1" t="s">
        <v>549</v>
      </c>
      <c r="DP1257" s="1" t="s">
        <v>340</v>
      </c>
      <c r="DQ1257" s="1" t="s">
        <v>228</v>
      </c>
      <c r="DR1257" s="1" t="s">
        <v>229</v>
      </c>
      <c r="DS1257" s="1" t="s">
        <v>230</v>
      </c>
      <c r="DU1257" s="1" t="s">
        <v>13402</v>
      </c>
      <c r="DV1257" s="1" t="s">
        <v>450</v>
      </c>
      <c r="DW1257" s="1" t="s">
        <v>370</v>
      </c>
      <c r="DX1257" s="1" t="s">
        <v>234</v>
      </c>
      <c r="DY1257" s="1" t="s">
        <v>1051</v>
      </c>
      <c r="DZ1257" s="1" t="s">
        <v>7113</v>
      </c>
      <c r="EB1257" s="1" t="s">
        <v>937</v>
      </c>
      <c r="EC1257" s="1" t="s">
        <v>237</v>
      </c>
      <c r="ED1257" s="1" t="s">
        <v>407</v>
      </c>
      <c r="EE1257" s="1" t="s">
        <v>493</v>
      </c>
      <c r="EG1257" s="1" t="s">
        <v>450</v>
      </c>
      <c r="EL1257" s="1" t="s">
        <v>433</v>
      </c>
      <c r="EM1257" s="1" t="s">
        <v>42</v>
      </c>
      <c r="EN1257" s="1" t="s">
        <v>588</v>
      </c>
      <c r="EQ1257" s="1" t="s">
        <v>238</v>
      </c>
      <c r="EU1257" s="1" t="s">
        <v>238</v>
      </c>
      <c r="EY1257" s="1" t="s">
        <v>238</v>
      </c>
      <c r="FC1257" s="1" t="s">
        <v>238</v>
      </c>
      <c r="FF1257" s="1" t="s">
        <v>239</v>
      </c>
      <c r="FG1257" s="1" t="s">
        <v>192</v>
      </c>
      <c r="FH1257" s="1" t="s">
        <v>192</v>
      </c>
      <c r="FJ1257" s="1" t="s">
        <v>2552</v>
      </c>
      <c r="FK1257" s="1" t="s">
        <v>348</v>
      </c>
      <c r="FL1257" s="1" t="s">
        <v>1451</v>
      </c>
      <c r="FM1257" s="1">
        <v>7450.0</v>
      </c>
      <c r="FN1257" s="1" t="s">
        <v>1452</v>
      </c>
      <c r="FO1257" s="1" t="s">
        <v>5583</v>
      </c>
      <c r="FP1257" s="1">
        <v>70036.0</v>
      </c>
      <c r="FQ1257" s="1" t="s">
        <v>5584</v>
      </c>
      <c r="FR1257" s="1">
        <v>77640.0</v>
      </c>
      <c r="FU1257" s="1" t="s">
        <v>5585</v>
      </c>
      <c r="FV1257" s="1" t="s">
        <v>200</v>
      </c>
      <c r="FW1257" s="1" t="s">
        <v>290</v>
      </c>
      <c r="FX1257" s="1" t="s">
        <v>238</v>
      </c>
      <c r="FZ1257" s="1" t="s">
        <v>632</v>
      </c>
      <c r="GA1257" s="1" t="s">
        <v>291</v>
      </c>
      <c r="GB1257" s="2">
        <v>42124.0</v>
      </c>
      <c r="GC1257" s="1" t="s">
        <v>13403</v>
      </c>
    </row>
    <row r="1258">
      <c r="A1258" s="1">
        <v>344900.0</v>
      </c>
      <c r="B1258" s="1" t="s">
        <v>185</v>
      </c>
      <c r="C1258" s="1" t="str">
        <f>"08852582"</f>
        <v>08852582</v>
      </c>
      <c r="D1258" s="1" t="s">
        <v>186</v>
      </c>
      <c r="F1258" s="1" t="str">
        <f>"8015"</f>
        <v>8015</v>
      </c>
      <c r="G1258" s="2">
        <v>42067.0</v>
      </c>
      <c r="H1258" s="1">
        <v>347900.0</v>
      </c>
      <c r="I1258" s="1">
        <v>153.0</v>
      </c>
      <c r="J1258" s="1">
        <v>344900.0</v>
      </c>
      <c r="K1258" s="2">
        <v>42102.0</v>
      </c>
      <c r="L1258" s="1">
        <v>36.0</v>
      </c>
      <c r="M1258" s="2">
        <v>42102.0</v>
      </c>
      <c r="N1258" s="1" t="s">
        <v>356</v>
      </c>
      <c r="O1258" s="2">
        <v>42131.0</v>
      </c>
      <c r="P1258" s="1">
        <v>121667.0</v>
      </c>
      <c r="Q1258" s="1">
        <v>15391.0</v>
      </c>
      <c r="S1258" s="1">
        <v>5916.0</v>
      </c>
      <c r="T1258" s="1" t="s">
        <v>2501</v>
      </c>
      <c r="U1258" s="1" t="s">
        <v>320</v>
      </c>
      <c r="V1258" s="1" t="s">
        <v>190</v>
      </c>
      <c r="W1258" s="1">
        <v>60634.0</v>
      </c>
      <c r="Y1258" s="1" t="s">
        <v>13404</v>
      </c>
      <c r="Z1258" s="1" t="s">
        <v>296</v>
      </c>
      <c r="AA1258" s="1" t="s">
        <v>192</v>
      </c>
      <c r="AB1258" s="1" t="s">
        <v>193</v>
      </c>
      <c r="AD1258" s="1" t="s">
        <v>194</v>
      </c>
      <c r="AE1258" s="1" t="s">
        <v>195</v>
      </c>
      <c r="AF1258" s="1" t="s">
        <v>196</v>
      </c>
      <c r="AH1258" s="1" t="s">
        <v>1501</v>
      </c>
      <c r="AI1258" s="1">
        <v>0.0868</v>
      </c>
      <c r="AK1258" s="1">
        <v>8.0</v>
      </c>
      <c r="AL1258" s="1">
        <v>4.0</v>
      </c>
      <c r="AM1258" s="1">
        <v>2.0</v>
      </c>
      <c r="AN1258" s="1">
        <v>1.0</v>
      </c>
      <c r="AO1258" s="1" t="s">
        <v>198</v>
      </c>
      <c r="AQ1258" s="1" t="s">
        <v>198</v>
      </c>
      <c r="AR1258" s="1" t="s">
        <v>192</v>
      </c>
      <c r="AS1258" s="1" t="s">
        <v>199</v>
      </c>
      <c r="AT1258" s="1">
        <v>2.1</v>
      </c>
      <c r="AV1258" s="1" t="s">
        <v>200</v>
      </c>
      <c r="AW1258" s="6">
        <v>3828.0</v>
      </c>
      <c r="AX1258" s="1">
        <v>2013.0</v>
      </c>
      <c r="AZ1258" s="1" t="s">
        <v>200</v>
      </c>
      <c r="BA1258" s="1" t="str">
        <f>"13204000310000"</f>
        <v>13204000310000</v>
      </c>
      <c r="BC1258" s="1">
        <v>1900.0</v>
      </c>
      <c r="BD1258" s="1">
        <v>344900.0</v>
      </c>
      <c r="BE1258" s="2">
        <v>42067.0</v>
      </c>
      <c r="BF1258" s="2" t="s">
        <v>13405</v>
      </c>
      <c r="BH1258" s="1">
        <v>0.0</v>
      </c>
      <c r="BK1258" s="1" t="s">
        <v>204</v>
      </c>
      <c r="BL1258" s="1" t="str">
        <f>"3600"</f>
        <v>3600</v>
      </c>
      <c r="BM1258" s="1" t="str">
        <f t="shared" si="837"/>
        <v>0</v>
      </c>
      <c r="BN1258" s="1">
        <v>5916.0</v>
      </c>
      <c r="BO1258" s="1">
        <v>0.0</v>
      </c>
      <c r="BQ1258" s="1">
        <v>299.0</v>
      </c>
      <c r="BR1258" s="1">
        <v>299.0</v>
      </c>
      <c r="BS1258" s="1">
        <v>299.0</v>
      </c>
      <c r="BU1258" s="1" t="s">
        <v>208</v>
      </c>
      <c r="BV1258" s="1" t="s">
        <v>206</v>
      </c>
      <c r="BW1258" s="1" t="s">
        <v>207</v>
      </c>
      <c r="BY1258" s="1" t="s">
        <v>3375</v>
      </c>
      <c r="BZ1258" s="1" t="s">
        <v>209</v>
      </c>
      <c r="CA1258" s="1" t="s">
        <v>210</v>
      </c>
      <c r="CC1258" s="1" t="s">
        <v>331</v>
      </c>
      <c r="CD1258" s="1" t="s">
        <v>206</v>
      </c>
      <c r="CE1258" s="1" t="s">
        <v>207</v>
      </c>
      <c r="CG1258" s="1" t="s">
        <v>265</v>
      </c>
      <c r="CH1258" s="1" t="s">
        <v>209</v>
      </c>
      <c r="CI1258" s="1" t="s">
        <v>210</v>
      </c>
      <c r="CK1258" s="1" t="s">
        <v>495</v>
      </c>
      <c r="CL1258" s="1" t="s">
        <v>206</v>
      </c>
      <c r="CM1258" s="1" t="s">
        <v>207</v>
      </c>
      <c r="CO1258" s="1" t="s">
        <v>215</v>
      </c>
      <c r="CP1258" s="1" t="s">
        <v>206</v>
      </c>
      <c r="CQ1258" s="1" t="s">
        <v>268</v>
      </c>
      <c r="CS1258" s="1" t="s">
        <v>363</v>
      </c>
      <c r="CT1258" s="1" t="s">
        <v>206</v>
      </c>
      <c r="CU1258" s="1" t="s">
        <v>207</v>
      </c>
      <c r="CW1258" s="1" t="s">
        <v>12670</v>
      </c>
      <c r="CX1258" s="1" t="s">
        <v>206</v>
      </c>
      <c r="CY1258" s="1" t="s">
        <v>207</v>
      </c>
      <c r="DA1258" s="1" t="s">
        <v>200</v>
      </c>
      <c r="DC1258" s="1" t="s">
        <v>517</v>
      </c>
      <c r="DE1258" s="1" t="s">
        <v>273</v>
      </c>
      <c r="DF1258" s="1" t="s">
        <v>219</v>
      </c>
      <c r="DH1258" s="1" t="s">
        <v>220</v>
      </c>
      <c r="DJ1258" s="1" t="s">
        <v>222</v>
      </c>
      <c r="DL1258" s="1" t="s">
        <v>224</v>
      </c>
      <c r="DM1258" s="1" t="s">
        <v>229</v>
      </c>
      <c r="DP1258" s="1" t="s">
        <v>340</v>
      </c>
      <c r="DQ1258" s="1" t="s">
        <v>1557</v>
      </c>
      <c r="DR1258" s="1" t="s">
        <v>229</v>
      </c>
      <c r="DV1258" s="1" t="s">
        <v>232</v>
      </c>
      <c r="DW1258" s="1" t="s">
        <v>279</v>
      </c>
      <c r="DX1258" s="1" t="s">
        <v>234</v>
      </c>
      <c r="EC1258" s="1" t="s">
        <v>237</v>
      </c>
      <c r="EM1258" s="1" t="s">
        <v>238</v>
      </c>
      <c r="EQ1258" s="1" t="s">
        <v>238</v>
      </c>
      <c r="EU1258" s="1" t="s">
        <v>238</v>
      </c>
      <c r="EY1258" s="1" t="s">
        <v>238</v>
      </c>
      <c r="FC1258" s="1" t="s">
        <v>238</v>
      </c>
      <c r="FF1258" s="1" t="s">
        <v>239</v>
      </c>
      <c r="FG1258" s="1" t="s">
        <v>192</v>
      </c>
      <c r="FH1258" s="1" t="s">
        <v>192</v>
      </c>
      <c r="FJ1258" s="1" t="s">
        <v>13406</v>
      </c>
      <c r="FK1258" s="1" t="s">
        <v>229</v>
      </c>
      <c r="FL1258" s="1" t="s">
        <v>1663</v>
      </c>
      <c r="FM1258" s="1">
        <v>17299.0</v>
      </c>
      <c r="FN1258" s="1" t="s">
        <v>1664</v>
      </c>
      <c r="FO1258" s="1" t="s">
        <v>13407</v>
      </c>
      <c r="FP1258" s="1">
        <v>162968.0</v>
      </c>
      <c r="FQ1258" s="1" t="s">
        <v>13408</v>
      </c>
      <c r="FU1258" s="1" t="s">
        <v>13409</v>
      </c>
      <c r="FV1258" s="1" t="s">
        <v>200</v>
      </c>
      <c r="FW1258" s="1" t="s">
        <v>567</v>
      </c>
      <c r="FX1258" s="1" t="s">
        <v>246</v>
      </c>
      <c r="FZ1258" s="1" t="s">
        <v>229</v>
      </c>
      <c r="GA1258" s="1" t="s">
        <v>291</v>
      </c>
      <c r="GB1258" s="2">
        <v>42131.0</v>
      </c>
    </row>
    <row r="1259">
      <c r="A1259" s="1">
        <v>175100.0</v>
      </c>
      <c r="B1259" s="1" t="s">
        <v>185</v>
      </c>
      <c r="C1259" s="1" t="str">
        <f>"08852945"</f>
        <v>08852945</v>
      </c>
      <c r="D1259" s="1" t="s">
        <v>186</v>
      </c>
      <c r="F1259" s="1" t="str">
        <f>"510"</f>
        <v>510</v>
      </c>
      <c r="G1259" s="2">
        <v>42068.0</v>
      </c>
      <c r="H1259" s="1">
        <v>175000.0</v>
      </c>
      <c r="I1259" s="1">
        <v>4.0</v>
      </c>
      <c r="J1259" s="1">
        <v>175000.0</v>
      </c>
      <c r="K1259" s="2">
        <v>42071.0</v>
      </c>
      <c r="L1259" s="1">
        <v>4.0</v>
      </c>
      <c r="M1259" s="2">
        <v>42071.0</v>
      </c>
      <c r="N1259" s="1" t="s">
        <v>356</v>
      </c>
      <c r="O1259" s="2">
        <v>42123.0</v>
      </c>
      <c r="P1259" s="1">
        <v>922096.0</v>
      </c>
      <c r="Q1259" s="1">
        <v>24093.0</v>
      </c>
      <c r="S1259" s="1">
        <v>418.0</v>
      </c>
      <c r="T1259" s="1" t="s">
        <v>13410</v>
      </c>
      <c r="U1259" s="1" t="s">
        <v>464</v>
      </c>
      <c r="V1259" s="1" t="s">
        <v>2700</v>
      </c>
      <c r="W1259" s="1">
        <v>60510.0</v>
      </c>
      <c r="Y1259" s="1" t="s">
        <v>13411</v>
      </c>
      <c r="Z1259" s="1">
        <v>1957.0</v>
      </c>
      <c r="AA1259" s="1" t="s">
        <v>192</v>
      </c>
      <c r="AB1259" s="1" t="s">
        <v>193</v>
      </c>
      <c r="AD1259" s="1" t="s">
        <v>2702</v>
      </c>
      <c r="AE1259" s="1" t="s">
        <v>325</v>
      </c>
      <c r="AF1259" s="1" t="s">
        <v>2702</v>
      </c>
      <c r="AH1259" s="1">
        <v>13125.0</v>
      </c>
      <c r="AI1259" s="1">
        <v>0.314</v>
      </c>
      <c r="AK1259" s="1">
        <v>8.0</v>
      </c>
      <c r="AL1259" s="1">
        <v>3.0</v>
      </c>
      <c r="AM1259" s="1">
        <v>1.0</v>
      </c>
      <c r="AN1259" s="1">
        <v>0.0</v>
      </c>
      <c r="AO1259" s="1" t="s">
        <v>229</v>
      </c>
      <c r="AQ1259" s="1" t="s">
        <v>198</v>
      </c>
      <c r="AR1259" s="1" t="s">
        <v>200</v>
      </c>
      <c r="AS1259" s="1" t="s">
        <v>199</v>
      </c>
      <c r="AT1259" s="1">
        <v>2.0</v>
      </c>
      <c r="AV1259" s="1" t="s">
        <v>200</v>
      </c>
      <c r="AW1259" s="1">
        <v>4566.96</v>
      </c>
      <c r="AX1259" s="1">
        <v>2013.0</v>
      </c>
      <c r="AZ1259" s="1" t="s">
        <v>200</v>
      </c>
      <c r="BA1259" s="1" t="str">
        <f>"1214151003"</f>
        <v>1214151003</v>
      </c>
      <c r="BB1259" s="1" t="s">
        <v>200</v>
      </c>
      <c r="BC1259" s="1">
        <v>980.0</v>
      </c>
      <c r="BD1259" s="1">
        <v>175100.0</v>
      </c>
      <c r="BE1259" s="2">
        <v>42068.0</v>
      </c>
      <c r="BF1259" s="2" t="s">
        <v>13412</v>
      </c>
      <c r="BH1259" s="1">
        <v>0.0</v>
      </c>
      <c r="BK1259" s="1" t="s">
        <v>204</v>
      </c>
      <c r="BL1259" s="1" t="str">
        <f t="shared" ref="BL1259:BM1259" si="838">""</f>
        <v/>
      </c>
      <c r="BM1259" s="1" t="str">
        <f t="shared" si="838"/>
        <v/>
      </c>
      <c r="BQ1259" s="1">
        <v>304.0</v>
      </c>
      <c r="BR1259" s="1">
        <v>304.0</v>
      </c>
      <c r="BS1259" s="1">
        <v>304.0</v>
      </c>
      <c r="BU1259" s="1" t="s">
        <v>664</v>
      </c>
      <c r="BV1259" s="1" t="s">
        <v>206</v>
      </c>
      <c r="BW1259" s="1" t="s">
        <v>207</v>
      </c>
      <c r="BX1259" s="1" t="s">
        <v>1549</v>
      </c>
      <c r="BY1259" s="1" t="s">
        <v>363</v>
      </c>
      <c r="BZ1259" s="1" t="s">
        <v>206</v>
      </c>
      <c r="CA1259" s="1" t="s">
        <v>207</v>
      </c>
      <c r="CB1259" s="1" t="s">
        <v>431</v>
      </c>
      <c r="CD1259" s="1" t="s">
        <v>204</v>
      </c>
      <c r="CG1259" s="1" t="s">
        <v>543</v>
      </c>
      <c r="CH1259" s="1" t="s">
        <v>206</v>
      </c>
      <c r="CI1259" s="1" t="s">
        <v>207</v>
      </c>
      <c r="CJ1259" s="1" t="s">
        <v>431</v>
      </c>
      <c r="CK1259" s="1" t="s">
        <v>263</v>
      </c>
      <c r="CL1259" s="1" t="s">
        <v>206</v>
      </c>
      <c r="CM1259" s="1" t="s">
        <v>207</v>
      </c>
      <c r="CN1259" s="1" t="s">
        <v>431</v>
      </c>
      <c r="CO1259" s="1" t="s">
        <v>361</v>
      </c>
      <c r="CP1259" s="1" t="s">
        <v>42</v>
      </c>
      <c r="CQ1259" s="1" t="s">
        <v>210</v>
      </c>
      <c r="CS1259" s="1" t="s">
        <v>211</v>
      </c>
      <c r="CT1259" s="1" t="s">
        <v>206</v>
      </c>
      <c r="CU1259" s="1" t="s">
        <v>268</v>
      </c>
      <c r="CV1259" s="1" t="s">
        <v>431</v>
      </c>
      <c r="CW1259" s="1" t="s">
        <v>12823</v>
      </c>
      <c r="CX1259" s="1" t="s">
        <v>42</v>
      </c>
      <c r="CY1259" s="1" t="s">
        <v>268</v>
      </c>
      <c r="DA1259" s="1" t="s">
        <v>200</v>
      </c>
      <c r="DC1259" s="1" t="s">
        <v>271</v>
      </c>
      <c r="DD1259" s="1" t="s">
        <v>518</v>
      </c>
      <c r="DE1259" s="1" t="s">
        <v>273</v>
      </c>
      <c r="DF1259" s="1" t="s">
        <v>619</v>
      </c>
      <c r="DH1259" s="1" t="s">
        <v>220</v>
      </c>
      <c r="DI1259" s="1" t="s">
        <v>703</v>
      </c>
      <c r="DJ1259" s="1" t="s">
        <v>1048</v>
      </c>
      <c r="DK1259" s="1" t="s">
        <v>1555</v>
      </c>
      <c r="DL1259" s="1" t="s">
        <v>224</v>
      </c>
      <c r="DM1259" s="1" t="s">
        <v>229</v>
      </c>
      <c r="DQ1259" s="1" t="s">
        <v>441</v>
      </c>
      <c r="DR1259" s="1" t="s">
        <v>229</v>
      </c>
      <c r="DU1259" s="1" t="s">
        <v>681</v>
      </c>
      <c r="DV1259" s="1" t="s">
        <v>598</v>
      </c>
      <c r="DW1259" s="1" t="s">
        <v>370</v>
      </c>
      <c r="DX1259" s="1" t="s">
        <v>234</v>
      </c>
      <c r="DY1259" s="1" t="s">
        <v>553</v>
      </c>
      <c r="EA1259" s="1" t="s">
        <v>683</v>
      </c>
      <c r="EC1259" s="1" t="s">
        <v>685</v>
      </c>
      <c r="EE1259" s="1" t="s">
        <v>493</v>
      </c>
      <c r="EG1259" s="1" t="s">
        <v>598</v>
      </c>
      <c r="EL1259" s="1" t="s">
        <v>1746</v>
      </c>
      <c r="EM1259" s="1" t="s">
        <v>42</v>
      </c>
      <c r="EN1259" s="1" t="s">
        <v>210</v>
      </c>
      <c r="EQ1259" s="1" t="s">
        <v>238</v>
      </c>
      <c r="EU1259" s="1" t="s">
        <v>238</v>
      </c>
      <c r="EY1259" s="1" t="s">
        <v>238</v>
      </c>
      <c r="FC1259" s="1" t="s">
        <v>238</v>
      </c>
      <c r="FF1259" s="1" t="s">
        <v>239</v>
      </c>
      <c r="FG1259" s="1" t="s">
        <v>192</v>
      </c>
      <c r="FH1259" s="1" t="s">
        <v>192</v>
      </c>
      <c r="FJ1259" s="1" t="s">
        <v>1079</v>
      </c>
      <c r="FK1259" s="1" t="s">
        <v>229</v>
      </c>
      <c r="FL1259" s="1" t="s">
        <v>1358</v>
      </c>
      <c r="FM1259" s="1">
        <v>25088.0</v>
      </c>
      <c r="FN1259" s="1" t="s">
        <v>9413</v>
      </c>
      <c r="FO1259" s="1" t="s">
        <v>13413</v>
      </c>
      <c r="FP1259" s="1">
        <v>256514.0</v>
      </c>
      <c r="FQ1259" s="1" t="s">
        <v>13414</v>
      </c>
      <c r="FU1259" s="1" t="s">
        <v>13415</v>
      </c>
      <c r="FV1259" s="1" t="s">
        <v>200</v>
      </c>
      <c r="FW1259" s="1" t="s">
        <v>290</v>
      </c>
      <c r="FZ1259" s="1" t="s">
        <v>229</v>
      </c>
      <c r="GA1259" s="1" t="s">
        <v>291</v>
      </c>
      <c r="GB1259" s="2">
        <v>42123.0</v>
      </c>
      <c r="GC1259" s="1" t="s">
        <v>13416</v>
      </c>
    </row>
    <row r="1260">
      <c r="A1260" s="1">
        <v>71101.0</v>
      </c>
      <c r="B1260" s="1" t="s">
        <v>185</v>
      </c>
      <c r="C1260" s="1" t="str">
        <f>"08852760"</f>
        <v>08852760</v>
      </c>
      <c r="D1260" s="1" t="s">
        <v>186</v>
      </c>
      <c r="F1260" s="1" t="str">
        <f>"8066"</f>
        <v>8066</v>
      </c>
      <c r="G1260" s="2">
        <v>42067.0</v>
      </c>
      <c r="H1260" s="1">
        <v>69900.0</v>
      </c>
      <c r="I1260" s="1">
        <v>13.0</v>
      </c>
      <c r="J1260" s="1">
        <v>69900.0</v>
      </c>
      <c r="K1260" s="2">
        <v>42079.0</v>
      </c>
      <c r="L1260" s="1">
        <v>13.0</v>
      </c>
      <c r="M1260" s="2">
        <v>42079.0</v>
      </c>
      <c r="N1260" s="1" t="s">
        <v>249</v>
      </c>
      <c r="O1260" s="2">
        <v>42102.0</v>
      </c>
      <c r="P1260" s="1">
        <v>124637.0</v>
      </c>
      <c r="Q1260" s="1">
        <v>84624.0</v>
      </c>
      <c r="S1260" s="1">
        <v>3415.0</v>
      </c>
      <c r="T1260" s="1" t="s">
        <v>10719</v>
      </c>
      <c r="U1260" s="1" t="s">
        <v>694</v>
      </c>
      <c r="V1260" s="1" t="s">
        <v>190</v>
      </c>
      <c r="W1260" s="1">
        <v>60629.0</v>
      </c>
      <c r="Y1260" s="1" t="s">
        <v>13417</v>
      </c>
      <c r="Z1260" s="1" t="s">
        <v>296</v>
      </c>
      <c r="AA1260" s="1" t="s">
        <v>192</v>
      </c>
      <c r="AB1260" s="1" t="s">
        <v>193</v>
      </c>
      <c r="AD1260" s="1" t="s">
        <v>194</v>
      </c>
      <c r="AE1260" s="1" t="s">
        <v>195</v>
      </c>
      <c r="AF1260" s="1" t="s">
        <v>659</v>
      </c>
      <c r="AH1260" s="1" t="s">
        <v>2080</v>
      </c>
      <c r="AI1260" s="1">
        <v>0.1423</v>
      </c>
      <c r="AK1260" s="1">
        <v>8.0</v>
      </c>
      <c r="AL1260" s="1">
        <v>4.0</v>
      </c>
      <c r="AM1260" s="1">
        <v>2.0</v>
      </c>
      <c r="AN1260" s="1">
        <v>0.0</v>
      </c>
      <c r="AO1260" s="1" t="s">
        <v>229</v>
      </c>
      <c r="AQ1260" s="1" t="s">
        <v>198</v>
      </c>
      <c r="AR1260" s="1" t="s">
        <v>200</v>
      </c>
      <c r="AS1260" s="1" t="s">
        <v>199</v>
      </c>
      <c r="AT1260" s="1">
        <v>2.0</v>
      </c>
      <c r="AV1260" s="1" t="s">
        <v>200</v>
      </c>
      <c r="AW1260" s="1">
        <v>1866.24</v>
      </c>
      <c r="AX1260" s="1">
        <v>2012.0</v>
      </c>
      <c r="AZ1260" s="1" t="s">
        <v>200</v>
      </c>
      <c r="BA1260" s="1" t="str">
        <f>"19232050140000"</f>
        <v>19232050140000</v>
      </c>
      <c r="BB1260" s="1" t="s">
        <v>200</v>
      </c>
      <c r="BC1260" s="1">
        <v>1800.0</v>
      </c>
      <c r="BD1260" s="1">
        <v>71101.0</v>
      </c>
      <c r="BE1260" s="2">
        <v>42067.0</v>
      </c>
      <c r="BF1260" s="1" t="s">
        <v>13418</v>
      </c>
      <c r="BH1260" s="1">
        <v>0.0</v>
      </c>
      <c r="BK1260" s="1" t="s">
        <v>204</v>
      </c>
      <c r="BL1260" s="1" t="str">
        <f t="shared" ref="BL1260:BM1260" si="839">"0"</f>
        <v>0</v>
      </c>
      <c r="BM1260" s="1" t="str">
        <f t="shared" si="839"/>
        <v>0</v>
      </c>
      <c r="BN1260" s="1">
        <v>3415.0</v>
      </c>
      <c r="BO1260" s="1">
        <v>6350.0</v>
      </c>
      <c r="BQ1260" s="1">
        <v>299.0</v>
      </c>
      <c r="BR1260" s="1">
        <v>299.0</v>
      </c>
      <c r="BS1260" s="1">
        <v>299.0</v>
      </c>
      <c r="BU1260" s="1" t="s">
        <v>1068</v>
      </c>
      <c r="BV1260" s="1" t="s">
        <v>206</v>
      </c>
      <c r="BY1260" s="1" t="s">
        <v>1117</v>
      </c>
      <c r="BZ1260" s="1" t="s">
        <v>209</v>
      </c>
      <c r="CC1260" s="1" t="s">
        <v>302</v>
      </c>
      <c r="CD1260" s="1" t="s">
        <v>206</v>
      </c>
      <c r="CG1260" s="1" t="s">
        <v>497</v>
      </c>
      <c r="CH1260" s="1" t="s">
        <v>209</v>
      </c>
      <c r="CK1260" s="1" t="s">
        <v>664</v>
      </c>
      <c r="CL1260" s="1" t="s">
        <v>209</v>
      </c>
      <c r="CO1260" s="1" t="s">
        <v>211</v>
      </c>
      <c r="CP1260" s="1" t="s">
        <v>391</v>
      </c>
      <c r="CS1260" s="1" t="s">
        <v>699</v>
      </c>
      <c r="CT1260" s="1" t="s">
        <v>206</v>
      </c>
      <c r="CW1260" s="1" t="s">
        <v>478</v>
      </c>
      <c r="CX1260" s="1" t="s">
        <v>206</v>
      </c>
      <c r="DA1260" s="1" t="s">
        <v>200</v>
      </c>
      <c r="DC1260" s="1" t="s">
        <v>642</v>
      </c>
      <c r="DE1260" s="1" t="s">
        <v>273</v>
      </c>
      <c r="DF1260" s="1" t="s">
        <v>219</v>
      </c>
      <c r="DG1260" s="1" t="s">
        <v>337</v>
      </c>
      <c r="DH1260" s="1" t="s">
        <v>220</v>
      </c>
      <c r="DJ1260" s="1" t="s">
        <v>222</v>
      </c>
      <c r="DL1260" s="1" t="s">
        <v>223</v>
      </c>
      <c r="DM1260" s="1" t="s">
        <v>229</v>
      </c>
      <c r="DQ1260" s="1" t="s">
        <v>441</v>
      </c>
      <c r="DR1260" s="1" t="s">
        <v>229</v>
      </c>
      <c r="DS1260" s="1" t="s">
        <v>230</v>
      </c>
      <c r="DU1260" s="1" t="s">
        <v>2070</v>
      </c>
      <c r="DV1260" s="1" t="s">
        <v>232</v>
      </c>
      <c r="DW1260" s="1" t="s">
        <v>667</v>
      </c>
      <c r="DX1260" s="1" t="s">
        <v>234</v>
      </c>
      <c r="EA1260" s="1" t="s">
        <v>3577</v>
      </c>
      <c r="EC1260" s="1" t="s">
        <v>406</v>
      </c>
      <c r="EM1260" s="1" t="s">
        <v>238</v>
      </c>
      <c r="EQ1260" s="1" t="s">
        <v>238</v>
      </c>
      <c r="EU1260" s="1" t="s">
        <v>238</v>
      </c>
      <c r="EY1260" s="1" t="s">
        <v>238</v>
      </c>
      <c r="FC1260" s="1" t="s">
        <v>238</v>
      </c>
      <c r="FF1260" s="1" t="s">
        <v>239</v>
      </c>
      <c r="FG1260" s="1" t="s">
        <v>200</v>
      </c>
      <c r="FH1260" s="1" t="s">
        <v>192</v>
      </c>
      <c r="FJ1260" s="1" t="s">
        <v>10843</v>
      </c>
      <c r="FK1260" s="1" t="s">
        <v>229</v>
      </c>
      <c r="FL1260" s="1" t="s">
        <v>3565</v>
      </c>
      <c r="FM1260" s="1">
        <v>18426.0</v>
      </c>
      <c r="FN1260" s="1" t="s">
        <v>3566</v>
      </c>
      <c r="FO1260" s="1" t="s">
        <v>3567</v>
      </c>
      <c r="FP1260" s="1">
        <v>183771.0</v>
      </c>
      <c r="FQ1260" s="1" t="s">
        <v>3568</v>
      </c>
      <c r="FU1260" s="1" t="s">
        <v>13419</v>
      </c>
      <c r="FV1260" s="1" t="s">
        <v>200</v>
      </c>
      <c r="FW1260" s="1" t="s">
        <v>530</v>
      </c>
      <c r="FX1260" s="1" t="s">
        <v>246</v>
      </c>
      <c r="FZ1260" s="1" t="s">
        <v>504</v>
      </c>
      <c r="GA1260" s="1" t="s">
        <v>291</v>
      </c>
      <c r="GB1260" s="2">
        <v>42104.0</v>
      </c>
      <c r="GC1260" s="1" t="s">
        <v>13420</v>
      </c>
    </row>
    <row r="1261">
      <c r="A1261" s="1">
        <v>305000.0</v>
      </c>
      <c r="B1261" s="1" t="s">
        <v>185</v>
      </c>
      <c r="C1261" s="1" t="str">
        <f>"08857368"</f>
        <v>08857368</v>
      </c>
      <c r="D1261" s="1" t="s">
        <v>186</v>
      </c>
      <c r="F1261" s="1" t="str">
        <f>"177"</f>
        <v>177</v>
      </c>
      <c r="G1261" s="2">
        <v>42073.0</v>
      </c>
      <c r="H1261" s="1">
        <v>314900.0</v>
      </c>
      <c r="I1261" s="1">
        <v>17.0</v>
      </c>
      <c r="J1261" s="1">
        <v>314900.0</v>
      </c>
      <c r="K1261" s="2">
        <v>42088.0</v>
      </c>
      <c r="L1261" s="1">
        <v>17.0</v>
      </c>
      <c r="M1261" s="2">
        <v>42088.0</v>
      </c>
      <c r="N1261" s="1" t="s">
        <v>356</v>
      </c>
      <c r="O1261" s="2">
        <v>42136.0</v>
      </c>
      <c r="P1261" s="1">
        <v>27668.0</v>
      </c>
      <c r="Q1261" s="1">
        <v>1666.0</v>
      </c>
      <c r="S1261" s="1">
        <v>572.0</v>
      </c>
      <c r="T1261" s="1" t="s">
        <v>9373</v>
      </c>
      <c r="U1261" s="1" t="s">
        <v>1174</v>
      </c>
      <c r="V1261" s="1" t="s">
        <v>2249</v>
      </c>
      <c r="W1261" s="1">
        <v>60177.0</v>
      </c>
      <c r="Y1261" s="1" t="s">
        <v>13421</v>
      </c>
      <c r="Z1261" s="1">
        <v>1997.0</v>
      </c>
      <c r="AA1261" s="1" t="s">
        <v>200</v>
      </c>
      <c r="AB1261" s="1" t="s">
        <v>193</v>
      </c>
      <c r="AC1261" s="1" t="s">
        <v>13422</v>
      </c>
      <c r="AD1261" s="1" t="s">
        <v>2252</v>
      </c>
      <c r="AE1261" s="1" t="s">
        <v>325</v>
      </c>
      <c r="AF1261" s="1" t="s">
        <v>1203</v>
      </c>
      <c r="AG1261" s="1" t="s">
        <v>13423</v>
      </c>
      <c r="AH1261" s="1" t="s">
        <v>13424</v>
      </c>
      <c r="AI1261" s="1">
        <v>0.25</v>
      </c>
      <c r="AK1261" s="1">
        <v>11.0</v>
      </c>
      <c r="AL1261" s="1">
        <v>4.0</v>
      </c>
      <c r="AM1261" s="1">
        <v>3.0</v>
      </c>
      <c r="AN1261" s="1">
        <v>1.0</v>
      </c>
      <c r="AO1261" s="1" t="s">
        <v>198</v>
      </c>
      <c r="AP1261" s="1">
        <v>1.0</v>
      </c>
      <c r="AQ1261" s="1" t="s">
        <v>198</v>
      </c>
      <c r="AR1261" s="1" t="s">
        <v>192</v>
      </c>
      <c r="AS1261" s="1" t="s">
        <v>199</v>
      </c>
      <c r="AT1261" s="1">
        <v>2.0</v>
      </c>
      <c r="AV1261" s="1" t="s">
        <v>200</v>
      </c>
      <c r="AW1261" s="1">
        <v>8288.0</v>
      </c>
      <c r="AX1261" s="1">
        <v>2013.0</v>
      </c>
      <c r="AY1261" s="1" t="s">
        <v>387</v>
      </c>
      <c r="AZ1261" s="1" t="s">
        <v>200</v>
      </c>
      <c r="BA1261" s="1" t="str">
        <f>"0902152003"</f>
        <v>0902152003</v>
      </c>
      <c r="BC1261" s="1">
        <v>2908.0</v>
      </c>
      <c r="BD1261" s="1">
        <v>305000.0</v>
      </c>
      <c r="BE1261" s="2">
        <v>42072.0</v>
      </c>
      <c r="BF1261" s="2" t="s">
        <v>13425</v>
      </c>
      <c r="BH1261" s="1">
        <v>0.0</v>
      </c>
      <c r="BK1261" s="1" t="s">
        <v>204</v>
      </c>
      <c r="BL1261" s="1" t="str">
        <f>"7"</f>
        <v>7</v>
      </c>
      <c r="BM1261" s="1" t="str">
        <f>"0"</f>
        <v>0</v>
      </c>
      <c r="BN1261" s="1">
        <v>27.0</v>
      </c>
      <c r="BO1261" s="1">
        <v>0.0</v>
      </c>
      <c r="BQ1261" s="1">
        <v>303.0</v>
      </c>
      <c r="BR1261" s="1">
        <v>303.0</v>
      </c>
      <c r="BS1261" s="1">
        <v>303.0</v>
      </c>
      <c r="BU1261" s="1" t="s">
        <v>1064</v>
      </c>
      <c r="BV1261" s="1" t="s">
        <v>206</v>
      </c>
      <c r="BW1261" s="1" t="s">
        <v>210</v>
      </c>
      <c r="BX1261" s="1" t="s">
        <v>239</v>
      </c>
      <c r="BY1261" s="1" t="s">
        <v>616</v>
      </c>
      <c r="BZ1261" s="1" t="s">
        <v>209</v>
      </c>
      <c r="CA1261" s="1" t="s">
        <v>210</v>
      </c>
      <c r="CB1261" s="1" t="s">
        <v>239</v>
      </c>
      <c r="CC1261" s="1" t="s">
        <v>495</v>
      </c>
      <c r="CD1261" s="1" t="s">
        <v>206</v>
      </c>
      <c r="CE1261" s="1" t="s">
        <v>210</v>
      </c>
      <c r="CF1261" s="1" t="s">
        <v>239</v>
      </c>
      <c r="CG1261" s="1" t="s">
        <v>262</v>
      </c>
      <c r="CH1261" s="1" t="s">
        <v>209</v>
      </c>
      <c r="CI1261" s="1" t="s">
        <v>210</v>
      </c>
      <c r="CJ1261" s="1" t="s">
        <v>239</v>
      </c>
      <c r="CK1261" s="1" t="s">
        <v>478</v>
      </c>
      <c r="CL1261" s="1" t="s">
        <v>209</v>
      </c>
      <c r="CM1261" s="1" t="s">
        <v>210</v>
      </c>
      <c r="CN1261" s="1" t="s">
        <v>239</v>
      </c>
      <c r="CO1261" s="1" t="s">
        <v>495</v>
      </c>
      <c r="CP1261" s="1" t="s">
        <v>209</v>
      </c>
      <c r="CQ1261" s="1" t="s">
        <v>210</v>
      </c>
      <c r="CR1261" s="1" t="s">
        <v>239</v>
      </c>
      <c r="CS1261" s="1" t="s">
        <v>1417</v>
      </c>
      <c r="CT1261" s="1" t="s">
        <v>206</v>
      </c>
      <c r="CU1261" s="1" t="s">
        <v>207</v>
      </c>
      <c r="CV1261" s="1" t="s">
        <v>239</v>
      </c>
      <c r="CW1261" s="1" t="s">
        <v>1892</v>
      </c>
      <c r="CX1261" s="1" t="s">
        <v>206</v>
      </c>
      <c r="CY1261" s="1" t="s">
        <v>210</v>
      </c>
      <c r="CZ1261" s="1" t="s">
        <v>239</v>
      </c>
      <c r="DA1261" s="1" t="s">
        <v>200</v>
      </c>
      <c r="DC1261" s="1" t="s">
        <v>678</v>
      </c>
      <c r="DD1261" s="1" t="s">
        <v>3633</v>
      </c>
      <c r="DE1261" s="1" t="s">
        <v>273</v>
      </c>
      <c r="DF1261" s="1" t="s">
        <v>219</v>
      </c>
      <c r="DG1261" s="1" t="s">
        <v>1317</v>
      </c>
      <c r="DH1261" s="1" t="s">
        <v>220</v>
      </c>
      <c r="DI1261" s="1" t="s">
        <v>519</v>
      </c>
      <c r="DJ1261" s="1" t="s">
        <v>222</v>
      </c>
      <c r="DK1261" s="1" t="s">
        <v>223</v>
      </c>
      <c r="DL1261" s="1" t="s">
        <v>224</v>
      </c>
      <c r="DM1261" s="1" t="s">
        <v>338</v>
      </c>
      <c r="DN1261" s="1" t="s">
        <v>399</v>
      </c>
      <c r="DO1261" s="1" t="s">
        <v>549</v>
      </c>
      <c r="DP1261" s="1" t="s">
        <v>400</v>
      </c>
      <c r="DQ1261" s="1" t="s">
        <v>441</v>
      </c>
      <c r="DR1261" s="1" t="s">
        <v>229</v>
      </c>
      <c r="DS1261" s="1" t="s">
        <v>591</v>
      </c>
      <c r="DU1261" s="1" t="s">
        <v>1488</v>
      </c>
      <c r="DV1261" s="1" t="s">
        <v>13426</v>
      </c>
      <c r="DW1261" s="1" t="s">
        <v>370</v>
      </c>
      <c r="DX1261" s="1" t="s">
        <v>309</v>
      </c>
      <c r="DY1261" s="1" t="s">
        <v>1051</v>
      </c>
      <c r="DZ1261" s="1" t="s">
        <v>13427</v>
      </c>
      <c r="EA1261" s="1" t="s">
        <v>447</v>
      </c>
      <c r="EB1261" s="1" t="s">
        <v>937</v>
      </c>
      <c r="EC1261" s="1" t="s">
        <v>237</v>
      </c>
      <c r="ED1261" s="1" t="s">
        <v>407</v>
      </c>
      <c r="EE1261" s="1" t="s">
        <v>187</v>
      </c>
      <c r="EG1261" s="1" t="s">
        <v>341</v>
      </c>
      <c r="EH1261" s="1" t="s">
        <v>451</v>
      </c>
      <c r="EI1261" s="1" t="s">
        <v>450</v>
      </c>
      <c r="EJ1261" s="1" t="s">
        <v>408</v>
      </c>
      <c r="EL1261" s="1" t="s">
        <v>699</v>
      </c>
      <c r="EM1261" s="1" t="s">
        <v>209</v>
      </c>
      <c r="EN1261" s="1" t="s">
        <v>210</v>
      </c>
      <c r="EP1261" s="1" t="s">
        <v>13051</v>
      </c>
      <c r="EQ1261" s="1" t="s">
        <v>42</v>
      </c>
      <c r="ER1261" s="1" t="s">
        <v>210</v>
      </c>
      <c r="ET1261" s="1" t="s">
        <v>330</v>
      </c>
      <c r="EU1261" s="1" t="s">
        <v>42</v>
      </c>
      <c r="EV1261" s="1" t="s">
        <v>210</v>
      </c>
      <c r="EX1261" s="1" t="s">
        <v>1874</v>
      </c>
      <c r="EY1261" s="1" t="s">
        <v>206</v>
      </c>
      <c r="EZ1261" s="1" t="s">
        <v>268</v>
      </c>
      <c r="FC1261" s="1" t="s">
        <v>238</v>
      </c>
      <c r="FF1261" s="1" t="s">
        <v>239</v>
      </c>
      <c r="FG1261" s="1" t="s">
        <v>192</v>
      </c>
      <c r="FH1261" s="1" t="s">
        <v>192</v>
      </c>
      <c r="FJ1261" s="1" t="s">
        <v>1573</v>
      </c>
      <c r="FK1261" s="1" t="s">
        <v>229</v>
      </c>
      <c r="FL1261" s="1" t="s">
        <v>13428</v>
      </c>
      <c r="FM1261" s="1">
        <v>4534.0</v>
      </c>
      <c r="FN1261" s="1" t="s">
        <v>13429</v>
      </c>
      <c r="FO1261" s="1" t="s">
        <v>13430</v>
      </c>
      <c r="FP1261" s="1">
        <v>62070.0</v>
      </c>
      <c r="FQ1261" s="1" t="s">
        <v>13431</v>
      </c>
      <c r="FS1261" s="1" t="s">
        <v>13432</v>
      </c>
      <c r="FU1261" s="1" t="s">
        <v>6531</v>
      </c>
      <c r="FV1261" s="1" t="s">
        <v>200</v>
      </c>
      <c r="FW1261" s="1" t="s">
        <v>2754</v>
      </c>
      <c r="FX1261" s="1" t="s">
        <v>1739</v>
      </c>
      <c r="FZ1261" s="1" t="s">
        <v>632</v>
      </c>
      <c r="GA1261" s="1" t="s">
        <v>291</v>
      </c>
      <c r="GB1261" s="2">
        <v>42137.0</v>
      </c>
      <c r="GC1261" s="1" t="s">
        <v>13433</v>
      </c>
    </row>
    <row r="1262">
      <c r="A1262" s="1">
        <v>198000.0</v>
      </c>
      <c r="B1262" s="1" t="s">
        <v>185</v>
      </c>
      <c r="C1262" s="1" t="str">
        <f>"08863970"</f>
        <v>08863970</v>
      </c>
      <c r="D1262" s="1" t="s">
        <v>186</v>
      </c>
      <c r="F1262" s="1" t="str">
        <f>"110"</f>
        <v>110</v>
      </c>
      <c r="G1262" s="2">
        <v>42080.0</v>
      </c>
      <c r="H1262" s="1">
        <v>209900.0</v>
      </c>
      <c r="I1262" s="1">
        <v>35.0</v>
      </c>
      <c r="J1262" s="1">
        <v>209900.0</v>
      </c>
      <c r="K1262" s="2">
        <v>42114.0</v>
      </c>
      <c r="L1262" s="1">
        <v>35.0</v>
      </c>
      <c r="M1262" s="2">
        <v>42114.0</v>
      </c>
      <c r="N1262" s="1" t="s">
        <v>187</v>
      </c>
      <c r="O1262" s="2">
        <v>42139.0</v>
      </c>
      <c r="P1262" s="1">
        <v>62933.0</v>
      </c>
      <c r="Q1262" s="1">
        <v>6026.0</v>
      </c>
      <c r="S1262" s="1">
        <v>5412.0</v>
      </c>
      <c r="T1262" s="1" t="s">
        <v>13012</v>
      </c>
      <c r="U1262" s="1" t="s">
        <v>1174</v>
      </c>
      <c r="V1262" s="1" t="s">
        <v>807</v>
      </c>
      <c r="W1262" s="1">
        <v>60110.0</v>
      </c>
      <c r="Y1262" s="1" t="s">
        <v>13434</v>
      </c>
      <c r="Z1262" s="1">
        <v>2000.0</v>
      </c>
      <c r="AA1262" s="1" t="s">
        <v>200</v>
      </c>
      <c r="AB1262" s="1" t="s">
        <v>193</v>
      </c>
      <c r="AD1262" s="1" t="s">
        <v>809</v>
      </c>
      <c r="AE1262" s="1" t="s">
        <v>325</v>
      </c>
      <c r="AF1262" s="1" t="s">
        <v>810</v>
      </c>
      <c r="AH1262" s="6">
        <v>9148.0</v>
      </c>
      <c r="AI1262" s="1">
        <v>0.21</v>
      </c>
      <c r="AK1262" s="1">
        <v>8.0</v>
      </c>
      <c r="AL1262" s="1">
        <v>4.0</v>
      </c>
      <c r="AM1262" s="1">
        <v>2.0</v>
      </c>
      <c r="AN1262" s="1">
        <v>1.0</v>
      </c>
      <c r="AO1262" s="1" t="s">
        <v>198</v>
      </c>
      <c r="AQ1262" s="1" t="s">
        <v>198</v>
      </c>
      <c r="AR1262" s="1" t="s">
        <v>200</v>
      </c>
      <c r="AS1262" s="1" t="s">
        <v>199</v>
      </c>
      <c r="AT1262" s="1">
        <v>2.0</v>
      </c>
      <c r="AV1262" s="1" t="s">
        <v>200</v>
      </c>
      <c r="AW1262" s="1">
        <v>7630.94</v>
      </c>
      <c r="AX1262" s="1">
        <v>2013.0</v>
      </c>
      <c r="AY1262" s="1" t="s">
        <v>387</v>
      </c>
      <c r="AZ1262" s="1" t="s">
        <v>545</v>
      </c>
      <c r="BA1262" s="1" t="str">
        <f>"0308476009"</f>
        <v>0308476009</v>
      </c>
      <c r="BC1262" s="1">
        <v>2290.0</v>
      </c>
      <c r="BD1262" s="1">
        <v>198000.0</v>
      </c>
      <c r="BE1262" s="2">
        <v>42080.0</v>
      </c>
      <c r="BF1262" s="1" t="s">
        <v>12297</v>
      </c>
      <c r="BH1262" s="1">
        <v>0.0</v>
      </c>
      <c r="BK1262" s="1" t="s">
        <v>204</v>
      </c>
      <c r="BL1262" s="1" t="str">
        <f t="shared" ref="BL1262:BM1262" si="840">""</f>
        <v/>
      </c>
      <c r="BM1262" s="1" t="str">
        <f t="shared" si="840"/>
        <v/>
      </c>
      <c r="BQ1262" s="1">
        <v>300.0</v>
      </c>
      <c r="BR1262" s="1">
        <v>300.0</v>
      </c>
      <c r="BS1262" s="1">
        <v>300.0</v>
      </c>
      <c r="BU1262" s="1" t="s">
        <v>215</v>
      </c>
      <c r="BV1262" s="1" t="s">
        <v>206</v>
      </c>
      <c r="BY1262" s="1" t="s">
        <v>214</v>
      </c>
      <c r="BZ1262" s="1" t="s">
        <v>209</v>
      </c>
      <c r="CC1262" s="1" t="s">
        <v>433</v>
      </c>
      <c r="CD1262" s="1" t="s">
        <v>206</v>
      </c>
      <c r="CG1262" s="1" t="s">
        <v>331</v>
      </c>
      <c r="CH1262" s="1" t="s">
        <v>209</v>
      </c>
      <c r="CK1262" s="1" t="s">
        <v>264</v>
      </c>
      <c r="CL1262" s="1" t="s">
        <v>209</v>
      </c>
      <c r="CO1262" s="1" t="s">
        <v>495</v>
      </c>
      <c r="CP1262" s="1" t="s">
        <v>209</v>
      </c>
      <c r="CS1262" s="1" t="s">
        <v>784</v>
      </c>
      <c r="CT1262" s="1" t="s">
        <v>206</v>
      </c>
      <c r="CW1262" s="1" t="s">
        <v>2120</v>
      </c>
      <c r="CX1262" s="1" t="s">
        <v>206</v>
      </c>
      <c r="DA1262" s="1" t="s">
        <v>200</v>
      </c>
      <c r="DC1262" s="1" t="s">
        <v>335</v>
      </c>
      <c r="DE1262" s="1" t="s">
        <v>273</v>
      </c>
      <c r="DF1262" s="1" t="s">
        <v>619</v>
      </c>
      <c r="DH1262" s="1" t="s">
        <v>220</v>
      </c>
      <c r="DJ1262" s="1" t="s">
        <v>222</v>
      </c>
      <c r="DL1262" s="1" t="s">
        <v>223</v>
      </c>
      <c r="DM1262" s="1" t="s">
        <v>229</v>
      </c>
      <c r="DQ1262" s="1" t="s">
        <v>228</v>
      </c>
      <c r="DR1262" s="1" t="s">
        <v>229</v>
      </c>
      <c r="DV1262" s="1" t="s">
        <v>232</v>
      </c>
      <c r="DW1262" s="1" t="s">
        <v>370</v>
      </c>
      <c r="DX1262" s="1" t="s">
        <v>234</v>
      </c>
      <c r="EC1262" s="1" t="s">
        <v>237</v>
      </c>
      <c r="EM1262" s="1" t="s">
        <v>238</v>
      </c>
      <c r="EQ1262" s="1" t="s">
        <v>238</v>
      </c>
      <c r="EU1262" s="1" t="s">
        <v>238</v>
      </c>
      <c r="EY1262" s="1" t="s">
        <v>238</v>
      </c>
      <c r="FC1262" s="1" t="s">
        <v>238</v>
      </c>
      <c r="FF1262" s="1" t="s">
        <v>239</v>
      </c>
      <c r="FG1262" s="1" t="s">
        <v>192</v>
      </c>
      <c r="FH1262" s="1" t="s">
        <v>192</v>
      </c>
      <c r="FJ1262" s="1" t="s">
        <v>1469</v>
      </c>
      <c r="FK1262" s="1" t="s">
        <v>229</v>
      </c>
      <c r="FL1262" s="1" t="s">
        <v>893</v>
      </c>
      <c r="FM1262" s="1">
        <v>604.0</v>
      </c>
      <c r="FN1262" s="1" t="s">
        <v>894</v>
      </c>
      <c r="FO1262" s="1" t="s">
        <v>895</v>
      </c>
      <c r="FP1262" s="1">
        <v>381.0</v>
      </c>
      <c r="FQ1262" s="1" t="s">
        <v>896</v>
      </c>
      <c r="FR1262" s="1">
        <v>1954.0</v>
      </c>
      <c r="FU1262" s="1" t="s">
        <v>897</v>
      </c>
      <c r="FV1262" s="1" t="s">
        <v>200</v>
      </c>
      <c r="FW1262" s="1" t="s">
        <v>290</v>
      </c>
      <c r="FZ1262" s="1" t="s">
        <v>229</v>
      </c>
      <c r="GA1262" s="1" t="s">
        <v>291</v>
      </c>
      <c r="GB1262" s="2">
        <v>42139.0</v>
      </c>
      <c r="GC1262" s="1" t="s">
        <v>12298</v>
      </c>
    </row>
    <row r="1263">
      <c r="A1263" s="1">
        <v>197500.0</v>
      </c>
      <c r="B1263" s="1" t="s">
        <v>185</v>
      </c>
      <c r="C1263" s="1" t="str">
        <f>"08854580"</f>
        <v>08854580</v>
      </c>
      <c r="D1263" s="1" t="s">
        <v>186</v>
      </c>
      <c r="F1263" s="1" t="str">
        <f>"103"</f>
        <v>103</v>
      </c>
      <c r="G1263" s="2">
        <v>42069.0</v>
      </c>
      <c r="H1263" s="1">
        <v>189900.0</v>
      </c>
      <c r="I1263" s="1">
        <v>93.0</v>
      </c>
      <c r="J1263" s="1">
        <v>189900.0</v>
      </c>
      <c r="K1263" s="2">
        <v>42069.0</v>
      </c>
      <c r="L1263" s="1">
        <v>1.0</v>
      </c>
      <c r="M1263" s="2">
        <v>42069.0</v>
      </c>
      <c r="N1263" s="1" t="s">
        <v>187</v>
      </c>
      <c r="O1263" s="2">
        <v>42124.0</v>
      </c>
      <c r="P1263" s="1">
        <v>244051.0</v>
      </c>
      <c r="Q1263" s="1">
        <v>25649.0</v>
      </c>
      <c r="R1263" s="1">
        <v>3000.0</v>
      </c>
      <c r="S1263" s="1">
        <v>8086.0</v>
      </c>
      <c r="T1263" s="1" t="s">
        <v>13435</v>
      </c>
      <c r="U1263" s="1" t="s">
        <v>420</v>
      </c>
      <c r="V1263" s="1" t="s">
        <v>251</v>
      </c>
      <c r="W1263" s="1">
        <v>60133.0</v>
      </c>
      <c r="Y1263" s="1" t="s">
        <v>13436</v>
      </c>
      <c r="Z1263" s="1">
        <v>1974.0</v>
      </c>
      <c r="AA1263" s="1" t="s">
        <v>192</v>
      </c>
      <c r="AB1263" s="1" t="s">
        <v>193</v>
      </c>
      <c r="AC1263" s="1" t="s">
        <v>253</v>
      </c>
      <c r="AD1263" s="1" t="s">
        <v>254</v>
      </c>
      <c r="AE1263" s="1" t="s">
        <v>195</v>
      </c>
      <c r="AF1263" s="1" t="s">
        <v>298</v>
      </c>
      <c r="AH1263" s="1" t="s">
        <v>13437</v>
      </c>
      <c r="AI1263" s="1">
        <v>0.1871</v>
      </c>
      <c r="AK1263" s="1">
        <v>8.0</v>
      </c>
      <c r="AL1263" s="1">
        <v>4.0</v>
      </c>
      <c r="AM1263" s="1">
        <v>2.0</v>
      </c>
      <c r="AN1263" s="1">
        <v>1.0</v>
      </c>
      <c r="AO1263" s="1" t="s">
        <v>198</v>
      </c>
      <c r="AQ1263" s="1" t="s">
        <v>229</v>
      </c>
      <c r="AS1263" s="1" t="s">
        <v>510</v>
      </c>
      <c r="AT1263" s="1">
        <v>1.0</v>
      </c>
      <c r="AU1263" s="1">
        <v>2.0</v>
      </c>
      <c r="AV1263" s="1" t="s">
        <v>200</v>
      </c>
      <c r="AW1263" s="1">
        <v>6375.52</v>
      </c>
      <c r="AX1263" s="1">
        <v>2013.0</v>
      </c>
      <c r="AY1263" s="1" t="s">
        <v>387</v>
      </c>
      <c r="AZ1263" s="1" t="s">
        <v>200</v>
      </c>
      <c r="BA1263" s="1" t="str">
        <f>"07301130170000"</f>
        <v>07301130170000</v>
      </c>
      <c r="BB1263" s="1" t="s">
        <v>200</v>
      </c>
      <c r="BC1263" s="1">
        <v>2000.0</v>
      </c>
      <c r="BD1263" s="1">
        <v>197500.0</v>
      </c>
      <c r="BE1263" s="2">
        <v>42069.0</v>
      </c>
      <c r="BF1263" s="2" t="s">
        <v>13438</v>
      </c>
      <c r="BG1263" s="1" t="s">
        <v>8446</v>
      </c>
      <c r="BH1263" s="1">
        <v>0.0</v>
      </c>
      <c r="BI1263" s="1" t="s">
        <v>8447</v>
      </c>
      <c r="BJ1263" s="1" t="s">
        <v>8448</v>
      </c>
      <c r="BK1263" s="1" t="s">
        <v>204</v>
      </c>
      <c r="BL1263" s="1" t="str">
        <f>"9"</f>
        <v>9</v>
      </c>
      <c r="BM1263" s="1" t="str">
        <f>"0"</f>
        <v>0</v>
      </c>
      <c r="BN1263" s="1">
        <v>26.0</v>
      </c>
      <c r="BO1263" s="1">
        <v>0.0</v>
      </c>
      <c r="BQ1263" s="1">
        <v>54.0</v>
      </c>
      <c r="BR1263" s="1">
        <v>211.0</v>
      </c>
      <c r="BS1263" s="1">
        <v>54.0</v>
      </c>
      <c r="BU1263" s="1" t="s">
        <v>1158</v>
      </c>
      <c r="BV1263" s="1" t="s">
        <v>206</v>
      </c>
      <c r="BW1263" s="1" t="s">
        <v>210</v>
      </c>
      <c r="BY1263" s="1" t="s">
        <v>332</v>
      </c>
      <c r="BZ1263" s="1" t="s">
        <v>209</v>
      </c>
      <c r="CA1263" s="1" t="s">
        <v>210</v>
      </c>
      <c r="CD1263" s="1" t="s">
        <v>204</v>
      </c>
      <c r="CG1263" s="1" t="s">
        <v>264</v>
      </c>
      <c r="CH1263" s="1" t="s">
        <v>209</v>
      </c>
      <c r="CI1263" s="1" t="s">
        <v>210</v>
      </c>
      <c r="CK1263" s="1" t="s">
        <v>495</v>
      </c>
      <c r="CL1263" s="1" t="s">
        <v>209</v>
      </c>
      <c r="CM1263" s="1" t="s">
        <v>210</v>
      </c>
      <c r="CO1263" s="1" t="s">
        <v>269</v>
      </c>
      <c r="CP1263" s="1" t="s">
        <v>209</v>
      </c>
      <c r="CQ1263" s="1" t="s">
        <v>210</v>
      </c>
      <c r="CS1263" s="1" t="s">
        <v>331</v>
      </c>
      <c r="CT1263" s="1" t="s">
        <v>206</v>
      </c>
      <c r="CU1263" s="1" t="s">
        <v>301</v>
      </c>
      <c r="CW1263" s="1" t="s">
        <v>2749</v>
      </c>
      <c r="CX1263" s="1" t="s">
        <v>206</v>
      </c>
      <c r="CY1263" s="1" t="s">
        <v>301</v>
      </c>
      <c r="DA1263" s="1" t="s">
        <v>200</v>
      </c>
      <c r="DC1263" s="1" t="s">
        <v>517</v>
      </c>
      <c r="DD1263" s="1" t="s">
        <v>957</v>
      </c>
      <c r="DE1263" s="1" t="s">
        <v>6485</v>
      </c>
      <c r="DF1263" s="1" t="s">
        <v>219</v>
      </c>
      <c r="DG1263" s="1" t="s">
        <v>337</v>
      </c>
      <c r="DH1263" s="1" t="s">
        <v>220</v>
      </c>
      <c r="DI1263" s="1" t="s">
        <v>789</v>
      </c>
      <c r="DJ1263" s="1" t="s">
        <v>222</v>
      </c>
      <c r="DK1263" s="1" t="s">
        <v>223</v>
      </c>
      <c r="DL1263" s="1" t="s">
        <v>520</v>
      </c>
      <c r="DM1263" s="1" t="s">
        <v>229</v>
      </c>
      <c r="DO1263" s="1" t="s">
        <v>6305</v>
      </c>
      <c r="DQ1263" s="1" t="s">
        <v>228</v>
      </c>
      <c r="DR1263" s="1" t="s">
        <v>229</v>
      </c>
      <c r="DS1263" s="1" t="s">
        <v>230</v>
      </c>
      <c r="DU1263" s="1" t="s">
        <v>2070</v>
      </c>
      <c r="DV1263" s="1" t="s">
        <v>5094</v>
      </c>
      <c r="DW1263" s="1" t="s">
        <v>444</v>
      </c>
      <c r="DX1263" s="1" t="s">
        <v>280</v>
      </c>
      <c r="DY1263" s="1" t="s">
        <v>13439</v>
      </c>
      <c r="DZ1263" s="1" t="s">
        <v>13440</v>
      </c>
      <c r="EC1263" s="1" t="s">
        <v>237</v>
      </c>
      <c r="ED1263" s="1" t="s">
        <v>555</v>
      </c>
      <c r="EF1263" s="1" t="s">
        <v>5843</v>
      </c>
      <c r="EG1263" s="1" t="s">
        <v>449</v>
      </c>
      <c r="EH1263" s="1" t="s">
        <v>720</v>
      </c>
      <c r="EL1263" s="1" t="s">
        <v>516</v>
      </c>
      <c r="EM1263" s="1" t="s">
        <v>206</v>
      </c>
      <c r="EP1263" s="1" t="s">
        <v>2047</v>
      </c>
      <c r="EQ1263" s="1" t="s">
        <v>206</v>
      </c>
      <c r="EU1263" s="1" t="s">
        <v>238</v>
      </c>
      <c r="EY1263" s="1" t="s">
        <v>238</v>
      </c>
      <c r="FC1263" s="1" t="s">
        <v>238</v>
      </c>
      <c r="FF1263" s="1" t="s">
        <v>239</v>
      </c>
      <c r="FG1263" s="1" t="s">
        <v>192</v>
      </c>
      <c r="FH1263" s="1" t="s">
        <v>192</v>
      </c>
      <c r="FJ1263" s="1" t="s">
        <v>799</v>
      </c>
      <c r="FK1263" s="1" t="s">
        <v>229</v>
      </c>
      <c r="FL1263" s="1" t="s">
        <v>13441</v>
      </c>
      <c r="FM1263" s="1">
        <v>86072.0</v>
      </c>
      <c r="FN1263" s="1" t="s">
        <v>13442</v>
      </c>
      <c r="FO1263" s="1" t="s">
        <v>13443</v>
      </c>
      <c r="FP1263" s="1">
        <v>118234.0</v>
      </c>
      <c r="FQ1263" s="1" t="s">
        <v>13442</v>
      </c>
      <c r="FU1263" s="1" t="s">
        <v>13444</v>
      </c>
      <c r="FV1263" s="1" t="s">
        <v>200</v>
      </c>
      <c r="FW1263" s="1" t="s">
        <v>290</v>
      </c>
      <c r="FX1263" s="1" t="s">
        <v>655</v>
      </c>
      <c r="FZ1263" s="1" t="s">
        <v>229</v>
      </c>
      <c r="GA1263" s="1" t="s">
        <v>291</v>
      </c>
      <c r="GB1263" s="2">
        <v>42125.0</v>
      </c>
      <c r="GC1263" s="1" t="s">
        <v>13445</v>
      </c>
    </row>
    <row r="1264">
      <c r="A1264" s="1">
        <v>155000.0</v>
      </c>
      <c r="B1264" s="1" t="s">
        <v>185</v>
      </c>
      <c r="C1264" s="1" t="str">
        <f>"08855258"</f>
        <v>08855258</v>
      </c>
      <c r="D1264" s="1" t="s">
        <v>186</v>
      </c>
      <c r="F1264" s="1" t="str">
        <f>"8070"</f>
        <v>8070</v>
      </c>
      <c r="G1264" s="2">
        <v>42070.0</v>
      </c>
      <c r="H1264" s="1">
        <v>149900.0</v>
      </c>
      <c r="I1264" s="1">
        <v>27.0</v>
      </c>
      <c r="J1264" s="1">
        <v>159000.0</v>
      </c>
      <c r="K1264" s="2">
        <v>42081.0</v>
      </c>
      <c r="L1264" s="1">
        <v>12.0</v>
      </c>
      <c r="M1264" s="2">
        <v>42081.0</v>
      </c>
      <c r="N1264" s="1" t="s">
        <v>356</v>
      </c>
      <c r="O1264" s="2">
        <v>42132.0</v>
      </c>
      <c r="P1264" s="1">
        <v>117890.0</v>
      </c>
      <c r="Q1264" s="1">
        <v>12555.0</v>
      </c>
      <c r="R1264" s="1">
        <v>2.0</v>
      </c>
      <c r="S1264" s="1">
        <v>7920.0</v>
      </c>
      <c r="T1264" s="1" t="s">
        <v>11477</v>
      </c>
      <c r="U1264" s="1" t="s">
        <v>320</v>
      </c>
      <c r="V1264" s="1" t="s">
        <v>190</v>
      </c>
      <c r="W1264" s="1">
        <v>60652.0</v>
      </c>
      <c r="Y1264" s="1" t="s">
        <v>13446</v>
      </c>
      <c r="Z1264" s="1">
        <v>1946.0</v>
      </c>
      <c r="AA1264" s="1" t="s">
        <v>192</v>
      </c>
      <c r="AB1264" s="1" t="s">
        <v>193</v>
      </c>
      <c r="AD1264" s="1" t="s">
        <v>194</v>
      </c>
      <c r="AE1264" s="1" t="s">
        <v>195</v>
      </c>
      <c r="AF1264" s="1" t="s">
        <v>659</v>
      </c>
      <c r="AH1264" s="1">
        <v>3780.0</v>
      </c>
      <c r="AK1264" s="1">
        <v>7.0</v>
      </c>
      <c r="AL1264" s="1">
        <v>2.0</v>
      </c>
      <c r="AM1264" s="1">
        <v>2.0</v>
      </c>
      <c r="AN1264" s="1">
        <v>0.0</v>
      </c>
      <c r="AO1264" s="1" t="s">
        <v>229</v>
      </c>
      <c r="AQ1264" s="1" t="s">
        <v>198</v>
      </c>
      <c r="AR1264" s="1" t="s">
        <v>192</v>
      </c>
      <c r="AS1264" s="1" t="s">
        <v>199</v>
      </c>
      <c r="AT1264" s="1">
        <v>1.0</v>
      </c>
      <c r="AV1264" s="1" t="s">
        <v>200</v>
      </c>
      <c r="AW1264" s="1">
        <v>1594.0</v>
      </c>
      <c r="AX1264" s="1">
        <v>2012.0</v>
      </c>
      <c r="AZ1264" s="1" t="s">
        <v>200</v>
      </c>
      <c r="BA1264" s="1" t="str">
        <f>"19361040270000"</f>
        <v>19361040270000</v>
      </c>
      <c r="BC1264" s="1">
        <v>864.0</v>
      </c>
      <c r="BD1264" s="1">
        <v>155000.0</v>
      </c>
      <c r="BE1264" s="2">
        <v>42070.0</v>
      </c>
      <c r="BF1264" s="2" t="s">
        <v>13447</v>
      </c>
      <c r="BH1264" s="1">
        <v>0.0</v>
      </c>
      <c r="BK1264" s="1" t="s">
        <v>204</v>
      </c>
      <c r="BL1264" s="1" t="str">
        <f t="shared" ref="BL1264:BM1264" si="841">"0"</f>
        <v>0</v>
      </c>
      <c r="BM1264" s="1" t="str">
        <f t="shared" si="841"/>
        <v>0</v>
      </c>
      <c r="BN1264" s="1">
        <v>2932.0</v>
      </c>
      <c r="BO1264" s="1">
        <v>7920.0</v>
      </c>
      <c r="BQ1264" s="1">
        <v>299.0</v>
      </c>
      <c r="BR1264" s="1">
        <v>299.0</v>
      </c>
      <c r="BS1264" s="1">
        <v>299.0</v>
      </c>
      <c r="BU1264" s="1" t="s">
        <v>454</v>
      </c>
      <c r="BV1264" s="1" t="s">
        <v>206</v>
      </c>
      <c r="BY1264" s="1" t="s">
        <v>495</v>
      </c>
      <c r="BZ1264" s="1" t="s">
        <v>206</v>
      </c>
      <c r="CD1264" s="1" t="s">
        <v>204</v>
      </c>
      <c r="CG1264" s="1" t="s">
        <v>495</v>
      </c>
      <c r="CH1264" s="1" t="s">
        <v>206</v>
      </c>
      <c r="CK1264" s="1" t="s">
        <v>269</v>
      </c>
      <c r="CL1264" s="1" t="s">
        <v>42</v>
      </c>
      <c r="CO1264" s="1" t="s">
        <v>269</v>
      </c>
      <c r="CP1264" s="1" t="s">
        <v>42</v>
      </c>
      <c r="CS1264" s="1" t="s">
        <v>729</v>
      </c>
      <c r="CT1264" s="1" t="s">
        <v>206</v>
      </c>
      <c r="CW1264" s="1" t="s">
        <v>700</v>
      </c>
      <c r="CX1264" s="1" t="s">
        <v>42</v>
      </c>
      <c r="DA1264" s="1" t="s">
        <v>200</v>
      </c>
      <c r="DC1264" s="1" t="s">
        <v>702</v>
      </c>
      <c r="DE1264" s="1" t="s">
        <v>229</v>
      </c>
      <c r="DF1264" s="1" t="s">
        <v>619</v>
      </c>
      <c r="DH1264" s="1" t="s">
        <v>365</v>
      </c>
      <c r="DJ1264" s="1" t="s">
        <v>222</v>
      </c>
      <c r="DL1264" s="1" t="s">
        <v>224</v>
      </c>
      <c r="DM1264" s="1" t="s">
        <v>229</v>
      </c>
      <c r="DQ1264" s="1" t="s">
        <v>228</v>
      </c>
      <c r="DR1264" s="1" t="s">
        <v>229</v>
      </c>
      <c r="DV1264" s="1" t="s">
        <v>232</v>
      </c>
      <c r="DW1264" s="1" t="s">
        <v>279</v>
      </c>
      <c r="DX1264" s="1" t="s">
        <v>234</v>
      </c>
      <c r="EC1264" s="1" t="s">
        <v>685</v>
      </c>
      <c r="EM1264" s="1" t="s">
        <v>238</v>
      </c>
      <c r="EQ1264" s="1" t="s">
        <v>238</v>
      </c>
      <c r="EU1264" s="1" t="s">
        <v>238</v>
      </c>
      <c r="EY1264" s="1" t="s">
        <v>238</v>
      </c>
      <c r="FC1264" s="1" t="s">
        <v>238</v>
      </c>
      <c r="FF1264" s="1" t="s">
        <v>229</v>
      </c>
      <c r="FG1264" s="1" t="s">
        <v>200</v>
      </c>
      <c r="FH1264" s="1" t="s">
        <v>200</v>
      </c>
      <c r="FJ1264" s="1" t="s">
        <v>524</v>
      </c>
      <c r="FK1264" s="1" t="s">
        <v>229</v>
      </c>
      <c r="FL1264" s="1" t="s">
        <v>3207</v>
      </c>
      <c r="FM1264" s="1">
        <v>85486.0</v>
      </c>
      <c r="FN1264" s="1" t="s">
        <v>3208</v>
      </c>
      <c r="FO1264" s="1" t="s">
        <v>13448</v>
      </c>
      <c r="FP1264" s="1">
        <v>156576.0</v>
      </c>
      <c r="FQ1264" s="1" t="s">
        <v>13449</v>
      </c>
      <c r="FU1264" s="1" t="s">
        <v>13450</v>
      </c>
      <c r="FV1264" s="1" t="s">
        <v>192</v>
      </c>
      <c r="FW1264" s="1" t="s">
        <v>13451</v>
      </c>
      <c r="FX1264" s="1" t="s">
        <v>655</v>
      </c>
      <c r="FZ1264" s="1" t="s">
        <v>229</v>
      </c>
      <c r="GA1264" s="1" t="s">
        <v>291</v>
      </c>
      <c r="GB1264" s="2">
        <v>42133.0</v>
      </c>
    </row>
    <row r="1265">
      <c r="A1265" s="1">
        <v>880000.0</v>
      </c>
      <c r="B1265" s="1" t="s">
        <v>185</v>
      </c>
      <c r="C1265" s="1" t="str">
        <f>"08909106"</f>
        <v>08909106</v>
      </c>
      <c r="D1265" s="1" t="s">
        <v>186</v>
      </c>
      <c r="F1265" s="1" t="str">
        <f>"8022"</f>
        <v>8022</v>
      </c>
      <c r="G1265" s="2">
        <v>42125.0</v>
      </c>
      <c r="H1265" s="1">
        <v>880000.0</v>
      </c>
      <c r="I1265" s="1">
        <v>5.0</v>
      </c>
      <c r="J1265" s="1">
        <v>880000.0</v>
      </c>
      <c r="K1265" s="2">
        <v>42073.0</v>
      </c>
      <c r="L1265" s="1">
        <v>5.0</v>
      </c>
      <c r="M1265" s="2">
        <v>42073.0</v>
      </c>
      <c r="N1265" s="1" t="s">
        <v>187</v>
      </c>
      <c r="O1265" s="2">
        <v>42123.0</v>
      </c>
      <c r="P1265" s="1">
        <v>160761.0</v>
      </c>
      <c r="Q1265" s="1">
        <v>14703.0</v>
      </c>
      <c r="S1265" s="1">
        <v>2503.0</v>
      </c>
      <c r="T1265" s="1" t="s">
        <v>1422</v>
      </c>
      <c r="U1265" s="1" t="s">
        <v>189</v>
      </c>
      <c r="V1265" s="1" t="s">
        <v>190</v>
      </c>
      <c r="W1265" s="1">
        <v>60647.0</v>
      </c>
      <c r="Y1265" s="1" t="s">
        <v>13452</v>
      </c>
      <c r="Z1265" s="1">
        <v>2015.0</v>
      </c>
      <c r="AA1265" s="1" t="s">
        <v>200</v>
      </c>
      <c r="AB1265" s="1" t="s">
        <v>193</v>
      </c>
      <c r="AD1265" s="1" t="s">
        <v>194</v>
      </c>
      <c r="AE1265" s="1" t="s">
        <v>195</v>
      </c>
      <c r="AF1265" s="1" t="s">
        <v>827</v>
      </c>
      <c r="AH1265" s="1" t="s">
        <v>359</v>
      </c>
      <c r="AK1265" s="1">
        <v>8.0</v>
      </c>
      <c r="AL1265" s="1">
        <v>4.0</v>
      </c>
      <c r="AM1265" s="1">
        <v>3.0</v>
      </c>
      <c r="AN1265" s="1">
        <v>0.0</v>
      </c>
      <c r="AO1265" s="1" t="s">
        <v>198</v>
      </c>
      <c r="AQ1265" s="1" t="s">
        <v>1314</v>
      </c>
      <c r="AR1265" s="1" t="s">
        <v>200</v>
      </c>
      <c r="AS1265" s="1" t="s">
        <v>199</v>
      </c>
      <c r="AT1265" s="1">
        <v>2.0</v>
      </c>
      <c r="AV1265" s="1" t="s">
        <v>200</v>
      </c>
      <c r="AW1265" s="1">
        <v>0.0</v>
      </c>
      <c r="AX1265" s="1">
        <v>2013.0</v>
      </c>
      <c r="AY1265" s="1" t="s">
        <v>588</v>
      </c>
      <c r="AZ1265" s="1" t="s">
        <v>200</v>
      </c>
      <c r="BA1265" s="1" t="str">
        <f>"13254210130000"</f>
        <v>13254210130000</v>
      </c>
      <c r="BB1265" s="1" t="s">
        <v>200</v>
      </c>
      <c r="BC1265" s="1">
        <v>0.0</v>
      </c>
      <c r="BD1265" s="1">
        <v>880000.0</v>
      </c>
      <c r="BE1265" s="2">
        <v>42069.0</v>
      </c>
      <c r="BF1265" s="1" t="s">
        <v>13453</v>
      </c>
      <c r="BH1265" s="1">
        <v>0.0</v>
      </c>
      <c r="BK1265" s="1" t="s">
        <v>204</v>
      </c>
      <c r="BL1265" s="1" t="str">
        <f>"2503"</f>
        <v>2503</v>
      </c>
      <c r="BM1265" s="1" t="str">
        <f>"0"</f>
        <v>0</v>
      </c>
      <c r="BN1265" s="1">
        <v>2532.0</v>
      </c>
      <c r="BO1265" s="1">
        <v>0.0</v>
      </c>
      <c r="BQ1265" s="1">
        <v>299.0</v>
      </c>
      <c r="BR1265" s="1">
        <v>299.0</v>
      </c>
      <c r="BS1265" s="1">
        <v>299.0</v>
      </c>
      <c r="BU1265" s="1" t="s">
        <v>5955</v>
      </c>
      <c r="BV1265" s="1" t="s">
        <v>209</v>
      </c>
      <c r="BY1265" s="1" t="s">
        <v>260</v>
      </c>
      <c r="BZ1265" s="1" t="s">
        <v>391</v>
      </c>
      <c r="CC1265" s="1" t="s">
        <v>1158</v>
      </c>
      <c r="CD1265" s="1" t="s">
        <v>209</v>
      </c>
      <c r="CG1265" s="1" t="s">
        <v>478</v>
      </c>
      <c r="CH1265" s="1" t="s">
        <v>391</v>
      </c>
      <c r="CK1265" s="1" t="s">
        <v>262</v>
      </c>
      <c r="CL1265" s="1" t="s">
        <v>206</v>
      </c>
      <c r="CO1265" s="1" t="s">
        <v>331</v>
      </c>
      <c r="CP1265" s="1" t="s">
        <v>206</v>
      </c>
      <c r="CS1265" s="1" t="s">
        <v>1395</v>
      </c>
      <c r="CT1265" s="1" t="s">
        <v>209</v>
      </c>
      <c r="CW1265" s="1" t="s">
        <v>3307</v>
      </c>
      <c r="CX1265" s="1" t="s">
        <v>206</v>
      </c>
      <c r="DA1265" s="1" t="s">
        <v>192</v>
      </c>
      <c r="DB1265" s="2">
        <v>42124.0</v>
      </c>
      <c r="DC1265" s="1" t="s">
        <v>744</v>
      </c>
      <c r="DE1265" s="1" t="s">
        <v>273</v>
      </c>
      <c r="DF1265" s="1" t="s">
        <v>619</v>
      </c>
      <c r="DH1265" s="1" t="s">
        <v>307</v>
      </c>
      <c r="DJ1265" s="1" t="s">
        <v>1048</v>
      </c>
      <c r="DL1265" s="1" t="s">
        <v>224</v>
      </c>
      <c r="DM1265" s="1" t="s">
        <v>229</v>
      </c>
      <c r="DQ1265" s="1" t="s">
        <v>228</v>
      </c>
      <c r="DR1265" s="1" t="s">
        <v>229</v>
      </c>
      <c r="DV1265" s="1" t="s">
        <v>310</v>
      </c>
      <c r="DW1265" s="1" t="s">
        <v>13454</v>
      </c>
      <c r="DX1265" s="1" t="s">
        <v>234</v>
      </c>
      <c r="EC1265" s="1" t="s">
        <v>406</v>
      </c>
      <c r="EH1265" s="1" t="s">
        <v>310</v>
      </c>
      <c r="EM1265" s="1" t="s">
        <v>238</v>
      </c>
      <c r="EP1265" s="1" t="s">
        <v>208</v>
      </c>
      <c r="EQ1265" s="1" t="s">
        <v>209</v>
      </c>
      <c r="EU1265" s="1" t="s">
        <v>238</v>
      </c>
      <c r="EY1265" s="1" t="s">
        <v>238</v>
      </c>
      <c r="FC1265" s="1" t="s">
        <v>238</v>
      </c>
      <c r="FF1265" s="1" t="s">
        <v>239</v>
      </c>
      <c r="FG1265" s="1" t="s">
        <v>192</v>
      </c>
      <c r="FH1265" s="1" t="s">
        <v>192</v>
      </c>
      <c r="FJ1265" s="1" t="s">
        <v>13455</v>
      </c>
      <c r="FK1265" s="1" t="s">
        <v>229</v>
      </c>
      <c r="FL1265" s="1" t="s">
        <v>10276</v>
      </c>
      <c r="FM1265" s="1">
        <v>23737.0</v>
      </c>
      <c r="FN1265" s="1" t="s">
        <v>10277</v>
      </c>
      <c r="FO1265" s="1" t="s">
        <v>10278</v>
      </c>
      <c r="FP1265" s="1">
        <v>231568.0</v>
      </c>
      <c r="FQ1265" s="1" t="s">
        <v>10277</v>
      </c>
      <c r="FU1265" s="1" t="s">
        <v>13456</v>
      </c>
      <c r="FV1265" s="1" t="s">
        <v>192</v>
      </c>
      <c r="FW1265" s="1" t="s">
        <v>290</v>
      </c>
      <c r="FX1265" s="1" t="s">
        <v>238</v>
      </c>
      <c r="FZ1265" s="1" t="s">
        <v>229</v>
      </c>
      <c r="GA1265" s="1" t="s">
        <v>291</v>
      </c>
      <c r="GB1265" s="2">
        <v>42125.0</v>
      </c>
      <c r="GC1265" s="1" t="s">
        <v>13457</v>
      </c>
    </row>
    <row r="1266">
      <c r="A1266" s="1">
        <v>290000.0</v>
      </c>
      <c r="B1266" s="1" t="s">
        <v>185</v>
      </c>
      <c r="C1266" s="1" t="str">
        <f>"08858225"</f>
        <v>08858225</v>
      </c>
      <c r="D1266" s="1" t="s">
        <v>186</v>
      </c>
      <c r="F1266" s="1" t="str">
        <f>"542"</f>
        <v>542</v>
      </c>
      <c r="G1266" s="2">
        <v>42074.0</v>
      </c>
      <c r="H1266" s="1">
        <v>299900.0</v>
      </c>
      <c r="I1266" s="1">
        <v>7.0</v>
      </c>
      <c r="J1266" s="1">
        <v>299900.0</v>
      </c>
      <c r="K1266" s="2">
        <v>42080.0</v>
      </c>
      <c r="L1266" s="1">
        <v>7.0</v>
      </c>
      <c r="M1266" s="2">
        <v>42080.0</v>
      </c>
      <c r="N1266" s="1" t="s">
        <v>187</v>
      </c>
      <c r="O1266" s="2">
        <v>42111.0</v>
      </c>
      <c r="P1266" s="1">
        <v>225415.0</v>
      </c>
      <c r="Q1266" s="1">
        <v>60913.0</v>
      </c>
      <c r="R1266" s="1">
        <v>3000.0</v>
      </c>
      <c r="S1266" s="1">
        <v>2204.0</v>
      </c>
      <c r="T1266" s="1" t="s">
        <v>13458</v>
      </c>
      <c r="U1266" s="1" t="s">
        <v>464</v>
      </c>
      <c r="V1266" s="1" t="s">
        <v>3984</v>
      </c>
      <c r="W1266" s="1">
        <v>60542.0</v>
      </c>
      <c r="Y1266" s="1" t="s">
        <v>13459</v>
      </c>
      <c r="Z1266" s="1">
        <v>2006.0</v>
      </c>
      <c r="AA1266" s="1" t="s">
        <v>200</v>
      </c>
      <c r="AB1266" s="1" t="s">
        <v>467</v>
      </c>
      <c r="AC1266" s="1" t="s">
        <v>10447</v>
      </c>
      <c r="AD1266" s="1" t="s">
        <v>3986</v>
      </c>
      <c r="AE1266" s="1" t="s">
        <v>325</v>
      </c>
      <c r="AF1266" s="1" t="s">
        <v>1479</v>
      </c>
      <c r="AG1266" s="1" t="s">
        <v>13460</v>
      </c>
      <c r="AH1266" s="1">
        <v>15143.0</v>
      </c>
      <c r="AK1266" s="1">
        <v>9.0</v>
      </c>
      <c r="AL1266" s="1">
        <v>4.0</v>
      </c>
      <c r="AM1266" s="1">
        <v>3.0</v>
      </c>
      <c r="AN1266" s="1">
        <v>1.0</v>
      </c>
      <c r="AO1266" s="1" t="s">
        <v>198</v>
      </c>
      <c r="AP1266" s="1">
        <v>1.0</v>
      </c>
      <c r="AQ1266" s="1" t="s">
        <v>198</v>
      </c>
      <c r="AR1266" s="1" t="s">
        <v>192</v>
      </c>
      <c r="AS1266" s="1" t="s">
        <v>199</v>
      </c>
      <c r="AT1266" s="1">
        <v>2.0</v>
      </c>
      <c r="AV1266" s="1" t="s">
        <v>192</v>
      </c>
      <c r="AW1266" s="1">
        <v>7262.0</v>
      </c>
      <c r="AX1266" s="1">
        <v>2013.0</v>
      </c>
      <c r="AY1266" s="1" t="s">
        <v>387</v>
      </c>
      <c r="AZ1266" s="1" t="s">
        <v>200</v>
      </c>
      <c r="BA1266" s="1" t="str">
        <f>"1136226020"</f>
        <v>1136226020</v>
      </c>
      <c r="BB1266" s="1" t="s">
        <v>200</v>
      </c>
      <c r="BC1266" s="1">
        <v>2491.0</v>
      </c>
      <c r="BD1266" s="1">
        <v>290000.0</v>
      </c>
      <c r="BE1266" s="2">
        <v>42074.0</v>
      </c>
      <c r="BF1266" s="2" t="s">
        <v>13461</v>
      </c>
      <c r="BH1266" s="1">
        <v>180.0</v>
      </c>
      <c r="BJ1266" s="1" t="s">
        <v>1636</v>
      </c>
      <c r="BK1266" s="1" t="s">
        <v>580</v>
      </c>
      <c r="BL1266" s="1" t="str">
        <f t="shared" ref="BL1266:BM1266" si="842">"0"</f>
        <v>0</v>
      </c>
      <c r="BM1266" s="1" t="str">
        <f t="shared" si="842"/>
        <v>0</v>
      </c>
      <c r="BN1266" s="1">
        <v>39.0</v>
      </c>
      <c r="BO1266" s="1">
        <v>3.0</v>
      </c>
      <c r="BQ1266" s="1">
        <v>302.0</v>
      </c>
      <c r="BR1266" s="1">
        <v>302.0</v>
      </c>
      <c r="BS1266" s="1">
        <v>302.0</v>
      </c>
      <c r="BU1266" s="1" t="s">
        <v>743</v>
      </c>
      <c r="BV1266" s="1" t="s">
        <v>206</v>
      </c>
      <c r="BW1266" s="1" t="s">
        <v>207</v>
      </c>
      <c r="BX1266" s="1" t="s">
        <v>431</v>
      </c>
      <c r="BY1266" s="1" t="s">
        <v>208</v>
      </c>
      <c r="BZ1266" s="1" t="s">
        <v>209</v>
      </c>
      <c r="CA1266" s="1" t="s">
        <v>210</v>
      </c>
      <c r="CB1266" s="1" t="s">
        <v>431</v>
      </c>
      <c r="CC1266" s="1" t="s">
        <v>331</v>
      </c>
      <c r="CD1266" s="1" t="s">
        <v>206</v>
      </c>
      <c r="CE1266" s="1" t="s">
        <v>207</v>
      </c>
      <c r="CF1266" s="1" t="s">
        <v>431</v>
      </c>
      <c r="CG1266" s="1" t="s">
        <v>332</v>
      </c>
      <c r="CH1266" s="1" t="s">
        <v>209</v>
      </c>
      <c r="CI1266" s="1" t="s">
        <v>210</v>
      </c>
      <c r="CJ1266" s="1" t="s">
        <v>431</v>
      </c>
      <c r="CK1266" s="1" t="s">
        <v>212</v>
      </c>
      <c r="CL1266" s="1" t="s">
        <v>209</v>
      </c>
      <c r="CM1266" s="1" t="s">
        <v>210</v>
      </c>
      <c r="CN1266" s="1" t="s">
        <v>431</v>
      </c>
      <c r="CO1266" s="1" t="s">
        <v>212</v>
      </c>
      <c r="CP1266" s="1" t="s">
        <v>209</v>
      </c>
      <c r="CQ1266" s="1" t="s">
        <v>210</v>
      </c>
      <c r="CR1266" s="1" t="s">
        <v>431</v>
      </c>
      <c r="CS1266" s="1" t="s">
        <v>392</v>
      </c>
      <c r="CT1266" s="1" t="s">
        <v>206</v>
      </c>
      <c r="CU1266" s="1" t="s">
        <v>268</v>
      </c>
      <c r="CW1266" s="1" t="s">
        <v>213</v>
      </c>
      <c r="CX1266" s="1" t="s">
        <v>206</v>
      </c>
      <c r="CY1266" s="1" t="s">
        <v>210</v>
      </c>
      <c r="CZ1266" s="1" t="s">
        <v>431</v>
      </c>
      <c r="DA1266" s="1" t="s">
        <v>200</v>
      </c>
      <c r="DC1266" s="1" t="s">
        <v>481</v>
      </c>
      <c r="DD1266" s="1" t="s">
        <v>336</v>
      </c>
      <c r="DE1266" s="1" t="s">
        <v>273</v>
      </c>
      <c r="DF1266" s="1" t="s">
        <v>219</v>
      </c>
      <c r="DG1266" s="1" t="s">
        <v>10775</v>
      </c>
      <c r="DH1266" s="1" t="s">
        <v>220</v>
      </c>
      <c r="DI1266" s="1" t="s">
        <v>1003</v>
      </c>
      <c r="DJ1266" s="1" t="s">
        <v>222</v>
      </c>
      <c r="DL1266" s="1" t="s">
        <v>224</v>
      </c>
      <c r="DM1266" s="1" t="s">
        <v>338</v>
      </c>
      <c r="DN1266" s="1" t="s">
        <v>1659</v>
      </c>
      <c r="DO1266" s="1" t="s">
        <v>13462</v>
      </c>
      <c r="DP1266" s="1" t="s">
        <v>340</v>
      </c>
      <c r="DQ1266" s="1" t="s">
        <v>441</v>
      </c>
      <c r="DR1266" s="1" t="s">
        <v>229</v>
      </c>
      <c r="DS1266" s="1" t="s">
        <v>230</v>
      </c>
      <c r="DU1266" s="1" t="s">
        <v>4061</v>
      </c>
      <c r="DV1266" s="1" t="s">
        <v>450</v>
      </c>
      <c r="DW1266" s="1" t="s">
        <v>1072</v>
      </c>
      <c r="DX1266" s="1" t="s">
        <v>234</v>
      </c>
      <c r="DY1266" s="1" t="s">
        <v>490</v>
      </c>
      <c r="DZ1266" s="1" t="s">
        <v>13463</v>
      </c>
      <c r="EA1266" s="1" t="s">
        <v>1027</v>
      </c>
      <c r="EB1266" s="1" t="s">
        <v>937</v>
      </c>
      <c r="EC1266" s="1" t="s">
        <v>237</v>
      </c>
      <c r="ED1266" s="1" t="s">
        <v>407</v>
      </c>
      <c r="EG1266" s="1" t="s">
        <v>450</v>
      </c>
      <c r="EL1266" s="1" t="s">
        <v>3307</v>
      </c>
      <c r="EM1266" s="1" t="s">
        <v>42</v>
      </c>
      <c r="EN1266" s="1" t="s">
        <v>210</v>
      </c>
      <c r="EQ1266" s="1" t="s">
        <v>238</v>
      </c>
      <c r="EU1266" s="1" t="s">
        <v>238</v>
      </c>
      <c r="EY1266" s="1" t="s">
        <v>238</v>
      </c>
      <c r="FC1266" s="1" t="s">
        <v>238</v>
      </c>
      <c r="FF1266" s="1" t="s">
        <v>239</v>
      </c>
      <c r="FG1266" s="1" t="s">
        <v>192</v>
      </c>
      <c r="FH1266" s="1" t="s">
        <v>192</v>
      </c>
      <c r="FJ1266" s="1" t="s">
        <v>770</v>
      </c>
      <c r="FK1266" s="1" t="s">
        <v>229</v>
      </c>
      <c r="FL1266" s="1" t="s">
        <v>893</v>
      </c>
      <c r="FM1266" s="1">
        <v>604.0</v>
      </c>
      <c r="FN1266" s="1" t="s">
        <v>894</v>
      </c>
      <c r="FO1266" s="1" t="s">
        <v>13464</v>
      </c>
      <c r="FP1266" s="1">
        <v>7415.0</v>
      </c>
      <c r="FQ1266" s="1" t="s">
        <v>13465</v>
      </c>
      <c r="FS1266" s="1" t="s">
        <v>13466</v>
      </c>
      <c r="FU1266" s="1" t="s">
        <v>13467</v>
      </c>
      <c r="FV1266" s="1" t="s">
        <v>200</v>
      </c>
      <c r="FW1266" s="1" t="s">
        <v>290</v>
      </c>
      <c r="FZ1266" s="1" t="s">
        <v>2993</v>
      </c>
      <c r="GA1266" s="1" t="s">
        <v>291</v>
      </c>
      <c r="GB1266" s="2">
        <v>42112.0</v>
      </c>
      <c r="GC1266" s="1" t="s">
        <v>13468</v>
      </c>
    </row>
    <row r="1267">
      <c r="A1267" s="1">
        <v>785000.0</v>
      </c>
      <c r="B1267" s="1" t="s">
        <v>185</v>
      </c>
      <c r="C1267" s="1" t="str">
        <f>"08856711"</f>
        <v>08856711</v>
      </c>
      <c r="D1267" s="1" t="s">
        <v>186</v>
      </c>
      <c r="F1267" s="1" t="str">
        <f>"8022"</f>
        <v>8022</v>
      </c>
      <c r="G1267" s="2">
        <v>42072.0</v>
      </c>
      <c r="H1267" s="1">
        <v>799900.0</v>
      </c>
      <c r="I1267" s="1">
        <v>8.0</v>
      </c>
      <c r="J1267" s="1">
        <v>799900.0</v>
      </c>
      <c r="K1267" s="2">
        <v>42079.0</v>
      </c>
      <c r="L1267" s="1">
        <v>8.0</v>
      </c>
      <c r="M1267" s="2">
        <v>42079.0</v>
      </c>
      <c r="N1267" s="1" t="s">
        <v>187</v>
      </c>
      <c r="O1267" s="2">
        <v>42114.0</v>
      </c>
      <c r="P1267" s="1">
        <v>104188.0</v>
      </c>
      <c r="Q1267" s="1">
        <v>84404.0</v>
      </c>
      <c r="S1267" s="1">
        <v>2857.0</v>
      </c>
      <c r="T1267" s="1" t="s">
        <v>3135</v>
      </c>
      <c r="U1267" s="1" t="s">
        <v>189</v>
      </c>
      <c r="V1267" s="1" t="s">
        <v>190</v>
      </c>
      <c r="W1267" s="1">
        <v>60647.0</v>
      </c>
      <c r="Y1267" s="1" t="s">
        <v>13469</v>
      </c>
      <c r="Z1267" s="1">
        <v>2014.0</v>
      </c>
      <c r="AA1267" s="1" t="s">
        <v>200</v>
      </c>
      <c r="AB1267" s="1" t="s">
        <v>193</v>
      </c>
      <c r="AD1267" s="1" t="s">
        <v>194</v>
      </c>
      <c r="AE1267" s="1" t="s">
        <v>195</v>
      </c>
      <c r="AF1267" s="1" t="s">
        <v>827</v>
      </c>
      <c r="AH1267" s="1" t="s">
        <v>13470</v>
      </c>
      <c r="AK1267" s="1">
        <v>8.0</v>
      </c>
      <c r="AL1267" s="1">
        <v>4.0</v>
      </c>
      <c r="AM1267" s="1">
        <v>3.0</v>
      </c>
      <c r="AN1267" s="1">
        <v>1.0</v>
      </c>
      <c r="AO1267" s="1" t="s">
        <v>198</v>
      </c>
      <c r="AQ1267" s="1" t="s">
        <v>472</v>
      </c>
      <c r="AR1267" s="1" t="s">
        <v>192</v>
      </c>
      <c r="AS1267" s="1" t="s">
        <v>199</v>
      </c>
      <c r="AT1267" s="1">
        <v>2.0</v>
      </c>
      <c r="AV1267" s="1" t="s">
        <v>200</v>
      </c>
      <c r="AW1267" s="1" t="s">
        <v>575</v>
      </c>
      <c r="AX1267" s="1">
        <v>2013.0</v>
      </c>
      <c r="AY1267" s="1" t="s">
        <v>229</v>
      </c>
      <c r="AZ1267" s="1" t="s">
        <v>200</v>
      </c>
      <c r="BA1267" s="1" t="str">
        <f>"13361070260000"</f>
        <v>13361070260000</v>
      </c>
      <c r="BC1267" s="1">
        <v>0.0</v>
      </c>
      <c r="BD1267" s="1">
        <v>785000.0</v>
      </c>
      <c r="BE1267" s="2">
        <v>42072.0</v>
      </c>
      <c r="BF1267" s="2" t="s">
        <v>13471</v>
      </c>
      <c r="BH1267" s="1">
        <v>0.0</v>
      </c>
      <c r="BK1267" s="1" t="s">
        <v>204</v>
      </c>
      <c r="BL1267" s="1" t="str">
        <f>"2400"</f>
        <v>2400</v>
      </c>
      <c r="BM1267" s="1" t="str">
        <f t="shared" ref="BM1267:BM1269" si="843">"0"</f>
        <v>0</v>
      </c>
      <c r="BN1267" s="1">
        <v>2857.0</v>
      </c>
      <c r="BO1267" s="1">
        <v>0.0</v>
      </c>
      <c r="BQ1267" s="1">
        <v>299.0</v>
      </c>
      <c r="BR1267" s="1">
        <v>299.0</v>
      </c>
      <c r="BS1267" s="1">
        <v>299.0</v>
      </c>
      <c r="BU1267" s="1" t="s">
        <v>924</v>
      </c>
      <c r="BV1267" s="1" t="s">
        <v>206</v>
      </c>
      <c r="BW1267" s="1" t="s">
        <v>207</v>
      </c>
      <c r="BY1267" s="1" t="s">
        <v>1044</v>
      </c>
      <c r="BZ1267" s="1" t="s">
        <v>209</v>
      </c>
      <c r="CA1267" s="1" t="s">
        <v>207</v>
      </c>
      <c r="CC1267" s="1" t="s">
        <v>769</v>
      </c>
      <c r="CD1267" s="1" t="s">
        <v>206</v>
      </c>
      <c r="CE1267" s="1" t="s">
        <v>207</v>
      </c>
      <c r="CG1267" s="1" t="s">
        <v>392</v>
      </c>
      <c r="CH1267" s="1" t="s">
        <v>209</v>
      </c>
      <c r="CI1267" s="1" t="s">
        <v>207</v>
      </c>
      <c r="CK1267" s="1" t="s">
        <v>495</v>
      </c>
      <c r="CL1267" s="1" t="s">
        <v>209</v>
      </c>
      <c r="CM1267" s="1" t="s">
        <v>207</v>
      </c>
      <c r="CO1267" s="1" t="s">
        <v>433</v>
      </c>
      <c r="CP1267" s="1" t="s">
        <v>267</v>
      </c>
      <c r="CQ1267" s="1" t="s">
        <v>210</v>
      </c>
      <c r="CS1267" s="1" t="s">
        <v>213</v>
      </c>
      <c r="CT1267" s="1" t="s">
        <v>206</v>
      </c>
      <c r="CU1267" s="1" t="s">
        <v>207</v>
      </c>
      <c r="CW1267" s="1" t="s">
        <v>390</v>
      </c>
      <c r="CX1267" s="1" t="s">
        <v>267</v>
      </c>
      <c r="CY1267" s="1" t="s">
        <v>210</v>
      </c>
      <c r="DA1267" s="1" t="s">
        <v>192</v>
      </c>
      <c r="DB1267" s="2">
        <v>42095.0</v>
      </c>
      <c r="DC1267" s="1" t="s">
        <v>744</v>
      </c>
      <c r="DE1267" s="1" t="s">
        <v>273</v>
      </c>
      <c r="DF1267" s="1" t="s">
        <v>219</v>
      </c>
      <c r="DH1267" s="1" t="s">
        <v>307</v>
      </c>
      <c r="DJ1267" s="1" t="s">
        <v>222</v>
      </c>
      <c r="DL1267" s="1" t="s">
        <v>224</v>
      </c>
      <c r="DM1267" s="1" t="s">
        <v>229</v>
      </c>
      <c r="DQ1267" s="1" t="s">
        <v>228</v>
      </c>
      <c r="DR1267" s="1" t="s">
        <v>229</v>
      </c>
      <c r="DV1267" s="1" t="s">
        <v>232</v>
      </c>
      <c r="DW1267" s="1" t="s">
        <v>1026</v>
      </c>
      <c r="DX1267" s="1" t="s">
        <v>234</v>
      </c>
      <c r="DY1267" s="1" t="s">
        <v>704</v>
      </c>
      <c r="EA1267" s="1" t="s">
        <v>1027</v>
      </c>
      <c r="EC1267" s="1" t="s">
        <v>406</v>
      </c>
      <c r="EM1267" s="1" t="s">
        <v>238</v>
      </c>
      <c r="EQ1267" s="1" t="s">
        <v>238</v>
      </c>
      <c r="EU1267" s="1" t="s">
        <v>238</v>
      </c>
      <c r="EY1267" s="1" t="s">
        <v>238</v>
      </c>
      <c r="FC1267" s="1" t="s">
        <v>238</v>
      </c>
      <c r="FF1267" s="1" t="s">
        <v>239</v>
      </c>
      <c r="FG1267" s="1" t="s">
        <v>192</v>
      </c>
      <c r="FH1267" s="1" t="s">
        <v>192</v>
      </c>
      <c r="FJ1267" s="1" t="s">
        <v>561</v>
      </c>
      <c r="FK1267" s="1" t="s">
        <v>229</v>
      </c>
      <c r="FL1267" s="1" t="s">
        <v>7927</v>
      </c>
      <c r="FM1267" s="1">
        <v>85186.0</v>
      </c>
      <c r="FN1267" s="1" t="s">
        <v>7928</v>
      </c>
      <c r="FO1267" s="1" t="s">
        <v>13472</v>
      </c>
      <c r="FP1267" s="1">
        <v>149380.0</v>
      </c>
      <c r="FQ1267" s="1" t="s">
        <v>13473</v>
      </c>
      <c r="FR1267" s="1">
        <v>849804.0</v>
      </c>
      <c r="FU1267" s="1" t="s">
        <v>13474</v>
      </c>
      <c r="FV1267" s="1" t="s">
        <v>200</v>
      </c>
      <c r="FW1267" s="1" t="s">
        <v>290</v>
      </c>
      <c r="FX1267" s="1" t="s">
        <v>246</v>
      </c>
      <c r="FZ1267" s="1" t="s">
        <v>229</v>
      </c>
      <c r="GA1267" s="1" t="s">
        <v>291</v>
      </c>
      <c r="GB1267" s="2">
        <v>42115.0</v>
      </c>
      <c r="GC1267" s="1" t="s">
        <v>13475</v>
      </c>
    </row>
    <row r="1268">
      <c r="A1268" s="1">
        <v>785000.0</v>
      </c>
      <c r="B1268" s="1" t="s">
        <v>185</v>
      </c>
      <c r="C1268" s="1" t="str">
        <f>"08860998"</f>
        <v>08860998</v>
      </c>
      <c r="D1268" s="1" t="s">
        <v>186</v>
      </c>
      <c r="F1268" s="1" t="str">
        <f>"8005"</f>
        <v>8005</v>
      </c>
      <c r="G1268" s="2">
        <v>42076.0</v>
      </c>
      <c r="H1268" s="1">
        <v>750000.0</v>
      </c>
      <c r="I1268" s="1">
        <v>11.0</v>
      </c>
      <c r="J1268" s="1">
        <v>750000.0</v>
      </c>
      <c r="K1268" s="2">
        <v>42086.0</v>
      </c>
      <c r="L1268" s="1">
        <v>11.0</v>
      </c>
      <c r="M1268" s="2">
        <v>42086.0</v>
      </c>
      <c r="N1268" s="1" t="s">
        <v>187</v>
      </c>
      <c r="O1268" s="2">
        <v>42125.0</v>
      </c>
      <c r="P1268" s="1">
        <v>145336.0</v>
      </c>
      <c r="Q1268" s="1">
        <v>84404.0</v>
      </c>
      <c r="S1268" s="1">
        <v>3025.0</v>
      </c>
      <c r="T1268" s="1" t="s">
        <v>9112</v>
      </c>
      <c r="U1268" s="1" t="s">
        <v>320</v>
      </c>
      <c r="V1268" s="1" t="s">
        <v>190</v>
      </c>
      <c r="W1268" s="1">
        <v>60657.0</v>
      </c>
      <c r="Y1268" s="1" t="s">
        <v>13476</v>
      </c>
      <c r="Z1268" s="1" t="s">
        <v>296</v>
      </c>
      <c r="AA1268" s="1" t="s">
        <v>192</v>
      </c>
      <c r="AB1268" s="1" t="s">
        <v>193</v>
      </c>
      <c r="AD1268" s="1" t="s">
        <v>194</v>
      </c>
      <c r="AE1268" s="1" t="s">
        <v>195</v>
      </c>
      <c r="AF1268" s="1" t="s">
        <v>534</v>
      </c>
      <c r="AH1268" s="1" t="s">
        <v>13477</v>
      </c>
      <c r="AK1268" s="1">
        <v>8.0</v>
      </c>
      <c r="AL1268" s="1">
        <v>4.0</v>
      </c>
      <c r="AM1268" s="1">
        <v>3.0</v>
      </c>
      <c r="AN1268" s="1">
        <v>0.0</v>
      </c>
      <c r="AO1268" s="1" t="s">
        <v>198</v>
      </c>
      <c r="AP1268" s="1">
        <v>1.0</v>
      </c>
      <c r="AQ1268" s="1" t="s">
        <v>198</v>
      </c>
      <c r="AR1268" s="1" t="s">
        <v>200</v>
      </c>
      <c r="AS1268" s="1" t="s">
        <v>229</v>
      </c>
      <c r="AV1268" s="1" t="s">
        <v>200</v>
      </c>
      <c r="AW1268" s="1">
        <v>8837.0</v>
      </c>
      <c r="AX1268" s="1">
        <v>2013.0</v>
      </c>
      <c r="AZ1268" s="1" t="s">
        <v>200</v>
      </c>
      <c r="BA1268" s="1" t="str">
        <f>"14302100160000"</f>
        <v>14302100160000</v>
      </c>
      <c r="BC1268" s="1">
        <v>2000.0</v>
      </c>
      <c r="BD1268" s="1">
        <v>785000.0</v>
      </c>
      <c r="BE1268" s="2">
        <v>42076.0</v>
      </c>
      <c r="BF1268" s="2" t="s">
        <v>13478</v>
      </c>
      <c r="BG1268" s="1" t="s">
        <v>11774</v>
      </c>
      <c r="BH1268" s="1">
        <v>0.0</v>
      </c>
      <c r="BK1268" s="1" t="s">
        <v>204</v>
      </c>
      <c r="BL1268" s="1" t="str">
        <f>"3025"</f>
        <v>3025</v>
      </c>
      <c r="BM1268" s="1" t="str">
        <f t="shared" si="843"/>
        <v>0</v>
      </c>
      <c r="BN1268" s="1">
        <v>1832.0</v>
      </c>
      <c r="BO1268" s="1">
        <v>0.0</v>
      </c>
      <c r="BQ1268" s="1">
        <v>299.0</v>
      </c>
      <c r="BR1268" s="1">
        <v>299.0</v>
      </c>
      <c r="BS1268" s="1">
        <v>299.0</v>
      </c>
      <c r="BU1268" s="1" t="s">
        <v>729</v>
      </c>
      <c r="BV1268" s="1" t="s">
        <v>206</v>
      </c>
      <c r="BW1268" s="1" t="s">
        <v>207</v>
      </c>
      <c r="BY1268" s="1" t="s">
        <v>454</v>
      </c>
      <c r="BZ1268" s="1" t="s">
        <v>209</v>
      </c>
      <c r="CA1268" s="1" t="s">
        <v>207</v>
      </c>
      <c r="CC1268" s="1" t="s">
        <v>303</v>
      </c>
      <c r="CD1268" s="1" t="s">
        <v>206</v>
      </c>
      <c r="CE1268" s="1" t="s">
        <v>207</v>
      </c>
      <c r="CG1268" s="1" t="s">
        <v>1584</v>
      </c>
      <c r="CH1268" s="1" t="s">
        <v>209</v>
      </c>
      <c r="CI1268" s="1" t="s">
        <v>207</v>
      </c>
      <c r="CK1268" s="1" t="s">
        <v>3805</v>
      </c>
      <c r="CL1268" s="1" t="s">
        <v>209</v>
      </c>
      <c r="CM1268" s="1" t="s">
        <v>207</v>
      </c>
      <c r="CO1268" s="1" t="s">
        <v>2459</v>
      </c>
      <c r="CP1268" s="1" t="s">
        <v>206</v>
      </c>
      <c r="CQ1268" s="1" t="s">
        <v>207</v>
      </c>
      <c r="CS1268" s="1" t="s">
        <v>700</v>
      </c>
      <c r="CT1268" s="1" t="s">
        <v>206</v>
      </c>
      <c r="CU1268" s="1" t="s">
        <v>207</v>
      </c>
      <c r="CX1268" s="1" t="s">
        <v>204</v>
      </c>
      <c r="DA1268" s="1" t="s">
        <v>200</v>
      </c>
      <c r="DC1268" s="1" t="s">
        <v>545</v>
      </c>
      <c r="DD1268" s="1" t="s">
        <v>731</v>
      </c>
      <c r="DE1268" s="1" t="s">
        <v>273</v>
      </c>
      <c r="DF1268" s="1" t="s">
        <v>219</v>
      </c>
      <c r="DH1268" s="1" t="s">
        <v>307</v>
      </c>
      <c r="DI1268" s="1" t="s">
        <v>7570</v>
      </c>
      <c r="DJ1268" s="1" t="s">
        <v>222</v>
      </c>
      <c r="DK1268" s="1" t="s">
        <v>223</v>
      </c>
      <c r="DL1268" s="1" t="s">
        <v>223</v>
      </c>
      <c r="DM1268" s="1" t="s">
        <v>229</v>
      </c>
      <c r="DN1268" s="1" t="s">
        <v>13479</v>
      </c>
      <c r="DP1268" s="1" t="s">
        <v>340</v>
      </c>
      <c r="DQ1268" s="1" t="s">
        <v>228</v>
      </c>
      <c r="DR1268" s="1" t="s">
        <v>229</v>
      </c>
      <c r="DS1268" s="1" t="s">
        <v>368</v>
      </c>
      <c r="DU1268" s="1" t="s">
        <v>3625</v>
      </c>
      <c r="DV1268" s="1" t="s">
        <v>13480</v>
      </c>
      <c r="DW1268" s="1" t="s">
        <v>6494</v>
      </c>
      <c r="DX1268" s="1" t="s">
        <v>234</v>
      </c>
      <c r="DY1268" s="1" t="s">
        <v>13481</v>
      </c>
      <c r="DZ1268" s="1" t="s">
        <v>491</v>
      </c>
      <c r="EB1268" s="1" t="s">
        <v>492</v>
      </c>
      <c r="EC1268" s="1" t="s">
        <v>237</v>
      </c>
      <c r="EG1268" s="1" t="s">
        <v>557</v>
      </c>
      <c r="EH1268" s="1" t="s">
        <v>409</v>
      </c>
      <c r="EI1268" s="1" t="s">
        <v>2877</v>
      </c>
      <c r="EL1268" s="1" t="s">
        <v>13482</v>
      </c>
      <c r="EM1268" s="1" t="s">
        <v>42</v>
      </c>
      <c r="EP1268" s="1" t="s">
        <v>1795</v>
      </c>
      <c r="EQ1268" s="1" t="s">
        <v>206</v>
      </c>
      <c r="ER1268" s="1" t="s">
        <v>207</v>
      </c>
      <c r="ET1268" s="1" t="s">
        <v>5561</v>
      </c>
      <c r="EU1268" s="1" t="s">
        <v>206</v>
      </c>
      <c r="EY1268" s="1" t="s">
        <v>238</v>
      </c>
      <c r="FC1268" s="1" t="s">
        <v>238</v>
      </c>
      <c r="FF1268" s="1" t="s">
        <v>239</v>
      </c>
      <c r="FG1268" s="1" t="s">
        <v>192</v>
      </c>
      <c r="FH1268" s="1" t="s">
        <v>192</v>
      </c>
      <c r="FJ1268" s="1" t="s">
        <v>2805</v>
      </c>
      <c r="FK1268" s="1" t="s">
        <v>229</v>
      </c>
      <c r="FL1268" s="1" t="s">
        <v>7927</v>
      </c>
      <c r="FM1268" s="1">
        <v>84404.0</v>
      </c>
      <c r="FN1268" s="1" t="s">
        <v>7928</v>
      </c>
      <c r="FO1268" s="1" t="s">
        <v>13156</v>
      </c>
      <c r="FP1268" s="1">
        <v>103604.0</v>
      </c>
      <c r="FQ1268" s="1" t="s">
        <v>13157</v>
      </c>
      <c r="FU1268" s="1" t="s">
        <v>13483</v>
      </c>
      <c r="FV1268" s="1" t="s">
        <v>200</v>
      </c>
      <c r="FW1268" s="1" t="s">
        <v>290</v>
      </c>
      <c r="FX1268" s="1" t="s">
        <v>238</v>
      </c>
      <c r="FZ1268" s="1" t="s">
        <v>229</v>
      </c>
      <c r="GA1268" s="1" t="s">
        <v>291</v>
      </c>
      <c r="GB1268" s="2">
        <v>42128.0</v>
      </c>
      <c r="GC1268" s="1" t="s">
        <v>13484</v>
      </c>
    </row>
    <row r="1269">
      <c r="A1269" s="1">
        <v>356653.0</v>
      </c>
      <c r="B1269" s="1" t="s">
        <v>185</v>
      </c>
      <c r="C1269" s="1" t="str">
        <f>"08855235"</f>
        <v>08855235</v>
      </c>
      <c r="D1269" s="1" t="s">
        <v>186</v>
      </c>
      <c r="F1269" s="1" t="str">
        <f>"134"</f>
        <v>134</v>
      </c>
      <c r="G1269" s="2">
        <v>42070.0</v>
      </c>
      <c r="H1269" s="1">
        <v>364500.0</v>
      </c>
      <c r="I1269" s="1">
        <v>32.0</v>
      </c>
      <c r="J1269" s="1">
        <v>364500.0</v>
      </c>
      <c r="K1269" s="2">
        <v>42101.0</v>
      </c>
      <c r="L1269" s="1">
        <v>32.0</v>
      </c>
      <c r="M1269" s="2">
        <v>42101.0</v>
      </c>
      <c r="N1269" s="1" t="s">
        <v>187</v>
      </c>
      <c r="O1269" s="2">
        <v>42130.0</v>
      </c>
      <c r="P1269" s="1">
        <v>901.0</v>
      </c>
      <c r="Q1269" s="1">
        <v>41.0</v>
      </c>
      <c r="S1269" s="1">
        <v>601.0</v>
      </c>
      <c r="T1269" s="1" t="s">
        <v>3571</v>
      </c>
      <c r="U1269" s="1" t="s">
        <v>320</v>
      </c>
      <c r="V1269" s="1" t="s">
        <v>421</v>
      </c>
      <c r="W1269" s="1">
        <v>60134.0</v>
      </c>
      <c r="Y1269" s="1" t="s">
        <v>13485</v>
      </c>
      <c r="Z1269" s="1">
        <v>1983.0</v>
      </c>
      <c r="AA1269" s="1" t="s">
        <v>200</v>
      </c>
      <c r="AB1269" s="1" t="s">
        <v>193</v>
      </c>
      <c r="AD1269" s="1" t="s">
        <v>424</v>
      </c>
      <c r="AE1269" s="1" t="s">
        <v>325</v>
      </c>
      <c r="AF1269" s="1" t="s">
        <v>424</v>
      </c>
      <c r="AH1269" s="1" t="s">
        <v>13486</v>
      </c>
      <c r="AI1269" s="1">
        <v>0.3554</v>
      </c>
      <c r="AK1269" s="1">
        <v>9.0</v>
      </c>
      <c r="AL1269" s="1">
        <v>3.0</v>
      </c>
      <c r="AM1269" s="1">
        <v>3.0</v>
      </c>
      <c r="AN1269" s="1">
        <v>1.0</v>
      </c>
      <c r="AO1269" s="1" t="s">
        <v>198</v>
      </c>
      <c r="AP1269" s="1">
        <v>1.0</v>
      </c>
      <c r="AQ1269" s="1" t="s">
        <v>198</v>
      </c>
      <c r="AR1269" s="1" t="s">
        <v>192</v>
      </c>
      <c r="AS1269" s="1" t="s">
        <v>199</v>
      </c>
      <c r="AT1269" s="1">
        <v>2.0</v>
      </c>
      <c r="AV1269" s="1" t="s">
        <v>200</v>
      </c>
      <c r="AW1269" s="1">
        <v>8302.0</v>
      </c>
      <c r="AX1269" s="1">
        <v>2013.0</v>
      </c>
      <c r="AY1269" s="1" t="s">
        <v>387</v>
      </c>
      <c r="AZ1269" s="1" t="s">
        <v>200</v>
      </c>
      <c r="BA1269" s="1" t="str">
        <f>"1202380031"</f>
        <v>1202380031</v>
      </c>
      <c r="BC1269" s="1">
        <v>2400.0</v>
      </c>
      <c r="BD1269" s="1">
        <v>356653.0</v>
      </c>
      <c r="BE1269" s="2">
        <v>42070.0</v>
      </c>
      <c r="BF1269" s="2" t="s">
        <v>13487</v>
      </c>
      <c r="BG1269" s="1" t="s">
        <v>13488</v>
      </c>
      <c r="BH1269" s="1">
        <v>0.0</v>
      </c>
      <c r="BI1269" s="1" t="s">
        <v>429</v>
      </c>
      <c r="BJ1269" s="1" t="s">
        <v>430</v>
      </c>
      <c r="BK1269" s="1" t="s">
        <v>204</v>
      </c>
      <c r="BL1269" s="1" t="str">
        <f>"1"</f>
        <v>1</v>
      </c>
      <c r="BM1269" s="1" t="str">
        <f t="shared" si="843"/>
        <v>0</v>
      </c>
      <c r="BN1269" s="1">
        <v>34.0</v>
      </c>
      <c r="BO1269" s="1">
        <v>0.0</v>
      </c>
      <c r="BQ1269" s="1">
        <v>304.0</v>
      </c>
      <c r="BR1269" s="1">
        <v>304.0</v>
      </c>
      <c r="BS1269" s="1">
        <v>304.0</v>
      </c>
      <c r="BU1269" s="1" t="s">
        <v>205</v>
      </c>
      <c r="BV1269" s="1" t="s">
        <v>206</v>
      </c>
      <c r="BW1269" s="1" t="s">
        <v>207</v>
      </c>
      <c r="BY1269" s="1" t="s">
        <v>211</v>
      </c>
      <c r="BZ1269" s="1" t="s">
        <v>209</v>
      </c>
      <c r="CA1269" s="1" t="s">
        <v>210</v>
      </c>
      <c r="CC1269" s="1" t="s">
        <v>495</v>
      </c>
      <c r="CD1269" s="1" t="s">
        <v>206</v>
      </c>
      <c r="CE1269" s="1" t="s">
        <v>207</v>
      </c>
      <c r="CG1269" s="1" t="s">
        <v>331</v>
      </c>
      <c r="CH1269" s="1" t="s">
        <v>209</v>
      </c>
      <c r="CI1269" s="1" t="s">
        <v>210</v>
      </c>
      <c r="CK1269" s="1" t="s">
        <v>495</v>
      </c>
      <c r="CL1269" s="1" t="s">
        <v>209</v>
      </c>
      <c r="CM1269" s="1" t="s">
        <v>210</v>
      </c>
      <c r="CO1269" s="1" t="s">
        <v>8706</v>
      </c>
      <c r="CP1269" s="1" t="s">
        <v>42</v>
      </c>
      <c r="CQ1269" s="1" t="s">
        <v>210</v>
      </c>
      <c r="CS1269" s="1" t="s">
        <v>1397</v>
      </c>
      <c r="CT1269" s="1" t="s">
        <v>206</v>
      </c>
      <c r="CU1269" s="1" t="s">
        <v>207</v>
      </c>
      <c r="CW1269" s="1" t="s">
        <v>1045</v>
      </c>
      <c r="CX1269" s="1" t="s">
        <v>206</v>
      </c>
      <c r="CY1269" s="1" t="s">
        <v>207</v>
      </c>
      <c r="DA1269" s="1" t="s">
        <v>200</v>
      </c>
      <c r="DC1269" s="1" t="s">
        <v>395</v>
      </c>
      <c r="DD1269" s="1" t="s">
        <v>518</v>
      </c>
      <c r="DE1269" s="1" t="s">
        <v>273</v>
      </c>
      <c r="DF1269" s="1" t="s">
        <v>219</v>
      </c>
      <c r="DH1269" s="1" t="s">
        <v>220</v>
      </c>
      <c r="DI1269" s="1" t="s">
        <v>5873</v>
      </c>
      <c r="DJ1269" s="1" t="s">
        <v>222</v>
      </c>
      <c r="DL1269" s="1" t="s">
        <v>224</v>
      </c>
      <c r="DM1269" s="1" t="s">
        <v>929</v>
      </c>
      <c r="DN1269" s="1" t="s">
        <v>339</v>
      </c>
      <c r="DO1269" s="1" t="s">
        <v>549</v>
      </c>
      <c r="DP1269" s="1" t="s">
        <v>276</v>
      </c>
      <c r="DQ1269" s="1" t="s">
        <v>441</v>
      </c>
      <c r="DR1269" s="1" t="s">
        <v>229</v>
      </c>
      <c r="DV1269" s="1" t="s">
        <v>598</v>
      </c>
      <c r="DW1269" s="1" t="s">
        <v>370</v>
      </c>
      <c r="DX1269" s="1" t="s">
        <v>234</v>
      </c>
      <c r="DY1269" s="1" t="s">
        <v>935</v>
      </c>
      <c r="EA1269" s="1" t="s">
        <v>447</v>
      </c>
      <c r="EB1269" s="1" t="s">
        <v>937</v>
      </c>
      <c r="EC1269" s="1" t="s">
        <v>237</v>
      </c>
      <c r="EG1269" s="1" t="s">
        <v>598</v>
      </c>
      <c r="EL1269" s="1" t="s">
        <v>213</v>
      </c>
      <c r="EM1269" s="1" t="s">
        <v>42</v>
      </c>
      <c r="EN1269" s="1" t="s">
        <v>210</v>
      </c>
      <c r="EQ1269" s="1" t="s">
        <v>238</v>
      </c>
      <c r="EU1269" s="1" t="s">
        <v>238</v>
      </c>
      <c r="EY1269" s="1" t="s">
        <v>238</v>
      </c>
      <c r="FC1269" s="1" t="s">
        <v>238</v>
      </c>
      <c r="FF1269" s="1" t="s">
        <v>239</v>
      </c>
      <c r="FG1269" s="1" t="s">
        <v>192</v>
      </c>
      <c r="FH1269" s="1" t="s">
        <v>192</v>
      </c>
      <c r="FJ1269" s="1" t="s">
        <v>13489</v>
      </c>
      <c r="FK1269" s="1" t="s">
        <v>229</v>
      </c>
      <c r="FL1269" s="1" t="s">
        <v>1855</v>
      </c>
      <c r="FM1269" s="1">
        <v>41.0</v>
      </c>
      <c r="FN1269" s="1" t="s">
        <v>1856</v>
      </c>
      <c r="FO1269" s="1" t="s">
        <v>13490</v>
      </c>
      <c r="FP1269" s="1">
        <v>901.0</v>
      </c>
      <c r="FQ1269" s="1" t="s">
        <v>13491</v>
      </c>
      <c r="FU1269" s="1" t="s">
        <v>13492</v>
      </c>
      <c r="FV1269" s="1" t="s">
        <v>200</v>
      </c>
      <c r="FW1269" s="1" t="s">
        <v>631</v>
      </c>
      <c r="FZ1269" s="1" t="s">
        <v>229</v>
      </c>
      <c r="GA1269" s="1" t="s">
        <v>291</v>
      </c>
      <c r="GB1269" s="2">
        <v>42130.0</v>
      </c>
    </row>
    <row r="1270">
      <c r="A1270" s="1">
        <v>327000.0</v>
      </c>
      <c r="B1270" s="1" t="s">
        <v>185</v>
      </c>
      <c r="C1270" s="1" t="str">
        <f>"08849269"</f>
        <v>08849269</v>
      </c>
      <c r="D1270" s="1" t="s">
        <v>186</v>
      </c>
      <c r="F1270" s="1" t="str">
        <f>"177"</f>
        <v>177</v>
      </c>
      <c r="G1270" s="2">
        <v>42064.0</v>
      </c>
      <c r="H1270" s="1">
        <v>349900.0</v>
      </c>
      <c r="I1270" s="1">
        <v>32.0</v>
      </c>
      <c r="J1270" s="1">
        <v>349900.0</v>
      </c>
      <c r="K1270" s="2">
        <v>42093.0</v>
      </c>
      <c r="L1270" s="1">
        <v>32.0</v>
      </c>
      <c r="M1270" s="2">
        <v>42093.0</v>
      </c>
      <c r="N1270" s="1" t="s">
        <v>187</v>
      </c>
      <c r="O1270" s="2">
        <v>42125.0</v>
      </c>
      <c r="P1270" s="1">
        <v>7841.0</v>
      </c>
      <c r="Q1270" s="1">
        <v>49.0</v>
      </c>
      <c r="S1270" s="1">
        <v>2215.0</v>
      </c>
      <c r="T1270" s="1" t="s">
        <v>4444</v>
      </c>
      <c r="U1270" s="1" t="s">
        <v>569</v>
      </c>
      <c r="V1270" s="1" t="s">
        <v>2249</v>
      </c>
      <c r="W1270" s="1">
        <v>60177.0</v>
      </c>
      <c r="Y1270" s="1" t="s">
        <v>13493</v>
      </c>
      <c r="Z1270" s="1">
        <v>2000.0</v>
      </c>
      <c r="AA1270" s="1" t="s">
        <v>200</v>
      </c>
      <c r="AB1270" s="1" t="s">
        <v>193</v>
      </c>
      <c r="AC1270" s="1" t="s">
        <v>4508</v>
      </c>
      <c r="AD1270" s="1" t="s">
        <v>2252</v>
      </c>
      <c r="AE1270" s="1" t="s">
        <v>325</v>
      </c>
      <c r="AF1270" s="1" t="s">
        <v>1203</v>
      </c>
      <c r="AG1270" s="1" t="s">
        <v>13494</v>
      </c>
      <c r="AH1270" s="1" t="s">
        <v>13495</v>
      </c>
      <c r="AI1270" s="1">
        <v>0.3305</v>
      </c>
      <c r="AK1270" s="1">
        <v>10.0</v>
      </c>
      <c r="AL1270" s="1">
        <v>4.0</v>
      </c>
      <c r="AM1270" s="1">
        <v>3.0</v>
      </c>
      <c r="AN1270" s="1">
        <v>1.0</v>
      </c>
      <c r="AO1270" s="1" t="s">
        <v>198</v>
      </c>
      <c r="AP1270" s="1">
        <v>1.0</v>
      </c>
      <c r="AQ1270" s="1" t="s">
        <v>198</v>
      </c>
      <c r="AR1270" s="1" t="s">
        <v>192</v>
      </c>
      <c r="AS1270" s="1" t="s">
        <v>199</v>
      </c>
      <c r="AT1270" s="1">
        <v>2.0</v>
      </c>
      <c r="AV1270" s="1" t="s">
        <v>200</v>
      </c>
      <c r="AW1270" s="1">
        <v>9697.1</v>
      </c>
      <c r="AX1270" s="1">
        <v>2013.0</v>
      </c>
      <c r="AY1270" s="1" t="s">
        <v>387</v>
      </c>
      <c r="AZ1270" s="1" t="s">
        <v>545</v>
      </c>
      <c r="BA1270" s="1" t="str">
        <f>"0905381001"</f>
        <v>0905381001</v>
      </c>
      <c r="BC1270" s="1">
        <v>2413.0</v>
      </c>
      <c r="BD1270" s="1">
        <v>327000.0</v>
      </c>
      <c r="BE1270" s="2">
        <v>42062.0</v>
      </c>
      <c r="BF1270" s="2" t="s">
        <v>13496</v>
      </c>
      <c r="BG1270" s="1" t="s">
        <v>5221</v>
      </c>
      <c r="BH1270" s="1">
        <v>104.0</v>
      </c>
      <c r="BI1270" s="1" t="s">
        <v>4511</v>
      </c>
      <c r="BJ1270" s="1" t="s">
        <v>2200</v>
      </c>
      <c r="BK1270" s="1" t="s">
        <v>1952</v>
      </c>
      <c r="BL1270" s="1" t="str">
        <f>"7"</f>
        <v>7</v>
      </c>
      <c r="BM1270" s="1" t="str">
        <f>""</f>
        <v/>
      </c>
      <c r="BN1270" s="1">
        <v>37.0</v>
      </c>
      <c r="BQ1270" s="1">
        <v>303.0</v>
      </c>
      <c r="BR1270" s="1">
        <v>303.0</v>
      </c>
      <c r="BS1270" s="1">
        <v>303.0</v>
      </c>
      <c r="BV1270" s="1" t="s">
        <v>204</v>
      </c>
      <c r="BY1270" s="1" t="s">
        <v>213</v>
      </c>
      <c r="BZ1270" s="1" t="s">
        <v>209</v>
      </c>
      <c r="CA1270" s="1" t="s">
        <v>210</v>
      </c>
      <c r="CB1270" s="1" t="s">
        <v>1549</v>
      </c>
      <c r="CC1270" s="1" t="s">
        <v>332</v>
      </c>
      <c r="CD1270" s="1" t="s">
        <v>206</v>
      </c>
      <c r="CE1270" s="1" t="s">
        <v>207</v>
      </c>
      <c r="CF1270" s="1" t="s">
        <v>1549</v>
      </c>
      <c r="CG1270" s="1" t="s">
        <v>262</v>
      </c>
      <c r="CH1270" s="1" t="s">
        <v>209</v>
      </c>
      <c r="CI1270" s="1" t="s">
        <v>210</v>
      </c>
      <c r="CJ1270" s="1" t="s">
        <v>1549</v>
      </c>
      <c r="CK1270" s="1" t="s">
        <v>215</v>
      </c>
      <c r="CL1270" s="1" t="s">
        <v>209</v>
      </c>
      <c r="CM1270" s="1" t="s">
        <v>210</v>
      </c>
      <c r="CN1270" s="1" t="s">
        <v>239</v>
      </c>
      <c r="CO1270" s="1" t="s">
        <v>215</v>
      </c>
      <c r="CP1270" s="1" t="s">
        <v>209</v>
      </c>
      <c r="CQ1270" s="1" t="s">
        <v>210</v>
      </c>
      <c r="CR1270" s="1" t="s">
        <v>1118</v>
      </c>
      <c r="CS1270" s="1" t="s">
        <v>1000</v>
      </c>
      <c r="CT1270" s="1" t="s">
        <v>206</v>
      </c>
      <c r="CU1270" s="1" t="s">
        <v>207</v>
      </c>
      <c r="CV1270" s="1" t="s">
        <v>1549</v>
      </c>
      <c r="CW1270" s="1" t="s">
        <v>480</v>
      </c>
      <c r="CX1270" s="1" t="s">
        <v>206</v>
      </c>
      <c r="CY1270" s="1" t="s">
        <v>207</v>
      </c>
      <c r="CZ1270" s="1" t="s">
        <v>431</v>
      </c>
      <c r="DA1270" s="1" t="s">
        <v>200</v>
      </c>
      <c r="DC1270" s="1" t="s">
        <v>335</v>
      </c>
      <c r="DD1270" s="1" t="s">
        <v>396</v>
      </c>
      <c r="DE1270" s="1" t="s">
        <v>273</v>
      </c>
      <c r="DF1270" s="1" t="s">
        <v>219</v>
      </c>
      <c r="DG1270" s="1" t="s">
        <v>13497</v>
      </c>
      <c r="DH1270" s="1" t="s">
        <v>220</v>
      </c>
      <c r="DI1270" s="1" t="s">
        <v>13498</v>
      </c>
      <c r="DJ1270" s="1" t="s">
        <v>222</v>
      </c>
      <c r="DL1270" s="1" t="s">
        <v>858</v>
      </c>
      <c r="DM1270" s="1" t="s">
        <v>338</v>
      </c>
      <c r="DN1270" s="1" t="s">
        <v>399</v>
      </c>
      <c r="DO1270" s="1" t="s">
        <v>3095</v>
      </c>
      <c r="DP1270" s="1" t="s">
        <v>340</v>
      </c>
      <c r="DQ1270" s="1" t="s">
        <v>441</v>
      </c>
      <c r="DR1270" s="1" t="s">
        <v>1980</v>
      </c>
      <c r="DS1270" s="1" t="s">
        <v>230</v>
      </c>
      <c r="DU1270" s="1" t="s">
        <v>5750</v>
      </c>
      <c r="DV1270" s="1" t="s">
        <v>13499</v>
      </c>
      <c r="DW1270" s="1" t="s">
        <v>279</v>
      </c>
      <c r="DX1270" s="1" t="s">
        <v>234</v>
      </c>
      <c r="DY1270" s="1" t="s">
        <v>1051</v>
      </c>
      <c r="DZ1270" s="1" t="s">
        <v>1661</v>
      </c>
      <c r="EA1270" s="1" t="s">
        <v>3308</v>
      </c>
      <c r="EB1270" s="1" t="s">
        <v>5230</v>
      </c>
      <c r="EC1270" s="1" t="s">
        <v>237</v>
      </c>
      <c r="ED1270" s="1" t="s">
        <v>407</v>
      </c>
      <c r="EE1270" s="1" t="s">
        <v>493</v>
      </c>
      <c r="EG1270" s="1" t="s">
        <v>1961</v>
      </c>
      <c r="EH1270" s="1" t="s">
        <v>450</v>
      </c>
      <c r="EI1270" s="1" t="s">
        <v>451</v>
      </c>
      <c r="EJ1270" s="1" t="s">
        <v>1103</v>
      </c>
      <c r="EK1270" s="1" t="s">
        <v>2971</v>
      </c>
      <c r="EL1270" s="1" t="s">
        <v>212</v>
      </c>
      <c r="EM1270" s="1" t="s">
        <v>206</v>
      </c>
      <c r="EN1270" s="1" t="s">
        <v>210</v>
      </c>
      <c r="EO1270" s="1" t="s">
        <v>1549</v>
      </c>
      <c r="EP1270" s="1" t="s">
        <v>362</v>
      </c>
      <c r="EQ1270" s="1" t="s">
        <v>42</v>
      </c>
      <c r="ER1270" s="1" t="s">
        <v>210</v>
      </c>
      <c r="ES1270" s="1" t="s">
        <v>431</v>
      </c>
      <c r="ET1270" s="1" t="s">
        <v>215</v>
      </c>
      <c r="EU1270" s="1" t="s">
        <v>42</v>
      </c>
      <c r="EV1270" s="1" t="s">
        <v>301</v>
      </c>
      <c r="EW1270" s="1" t="s">
        <v>229</v>
      </c>
      <c r="EX1270" s="1" t="s">
        <v>3596</v>
      </c>
      <c r="EY1270" s="1" t="s">
        <v>42</v>
      </c>
      <c r="EZ1270" s="1" t="s">
        <v>588</v>
      </c>
      <c r="FA1270" s="1" t="s">
        <v>229</v>
      </c>
      <c r="FB1270" s="1" t="s">
        <v>392</v>
      </c>
      <c r="FC1270" s="1" t="s">
        <v>42</v>
      </c>
      <c r="FD1270" s="1" t="s">
        <v>301</v>
      </c>
      <c r="FE1270" s="1" t="s">
        <v>229</v>
      </c>
      <c r="FF1270" s="1" t="s">
        <v>239</v>
      </c>
      <c r="FG1270" s="1" t="s">
        <v>192</v>
      </c>
      <c r="FH1270" s="1" t="s">
        <v>192</v>
      </c>
      <c r="FJ1270" s="1" t="s">
        <v>524</v>
      </c>
      <c r="FK1270" s="1" t="s">
        <v>229</v>
      </c>
      <c r="FL1270" s="1" t="s">
        <v>1451</v>
      </c>
      <c r="FM1270" s="1">
        <v>7450.0</v>
      </c>
      <c r="FN1270" s="1" t="s">
        <v>1452</v>
      </c>
      <c r="FO1270" s="1" t="s">
        <v>13500</v>
      </c>
      <c r="FP1270" s="1">
        <v>77859.0</v>
      </c>
      <c r="FS1270" s="1" t="s">
        <v>13501</v>
      </c>
      <c r="FU1270" s="1" t="s">
        <v>13502</v>
      </c>
      <c r="FV1270" s="1" t="s">
        <v>200</v>
      </c>
      <c r="FW1270" s="1" t="s">
        <v>461</v>
      </c>
      <c r="FZ1270" s="1" t="s">
        <v>229</v>
      </c>
      <c r="GA1270" s="1" t="s">
        <v>291</v>
      </c>
      <c r="GB1270" s="2">
        <v>42125.0</v>
      </c>
      <c r="GC1270" s="1" t="s">
        <v>13503</v>
      </c>
    </row>
    <row r="1271">
      <c r="A1271" s="1">
        <v>278000.0</v>
      </c>
      <c r="B1271" s="1" t="s">
        <v>185</v>
      </c>
      <c r="C1271" s="1" t="str">
        <f>"08854473"</f>
        <v>08854473</v>
      </c>
      <c r="D1271" s="1" t="s">
        <v>186</v>
      </c>
      <c r="F1271" s="1" t="str">
        <f>"543"</f>
        <v>543</v>
      </c>
      <c r="G1271" s="2">
        <v>42069.0</v>
      </c>
      <c r="H1271" s="1">
        <v>285000.0</v>
      </c>
      <c r="I1271" s="1">
        <v>15.0</v>
      </c>
      <c r="J1271" s="1">
        <v>285000.0</v>
      </c>
      <c r="K1271" s="2">
        <v>42083.0</v>
      </c>
      <c r="L1271" s="1">
        <v>15.0</v>
      </c>
      <c r="M1271" s="2">
        <v>42083.0</v>
      </c>
      <c r="N1271" s="1" t="s">
        <v>634</v>
      </c>
      <c r="O1271" s="2">
        <v>42122.0</v>
      </c>
      <c r="P1271" s="1">
        <v>241401.0</v>
      </c>
      <c r="Q1271" s="1">
        <v>23279.0</v>
      </c>
      <c r="R1271" s="1">
        <v>3000.0</v>
      </c>
      <c r="S1271" s="1">
        <v>4625.0</v>
      </c>
      <c r="T1271" s="1" t="s">
        <v>13504</v>
      </c>
      <c r="U1271" s="1" t="s">
        <v>569</v>
      </c>
      <c r="V1271" s="1" t="s">
        <v>1527</v>
      </c>
      <c r="W1271" s="1">
        <v>60543.0</v>
      </c>
      <c r="Y1271" s="1" t="s">
        <v>13505</v>
      </c>
      <c r="Z1271" s="1">
        <v>2008.0</v>
      </c>
      <c r="AA1271" s="1" t="s">
        <v>200</v>
      </c>
      <c r="AB1271" s="1" t="s">
        <v>467</v>
      </c>
      <c r="AC1271" s="1" t="s">
        <v>8934</v>
      </c>
      <c r="AD1271" s="1" t="s">
        <v>1529</v>
      </c>
      <c r="AE1271" s="1" t="s">
        <v>849</v>
      </c>
      <c r="AF1271" s="1" t="s">
        <v>1529</v>
      </c>
      <c r="AG1271" s="1" t="s">
        <v>13506</v>
      </c>
      <c r="AH1271" s="1" t="s">
        <v>13507</v>
      </c>
      <c r="AI1271" s="1">
        <v>0.2777</v>
      </c>
      <c r="AK1271" s="1">
        <v>11.0</v>
      </c>
      <c r="AL1271" s="1">
        <v>4.0</v>
      </c>
      <c r="AM1271" s="1">
        <v>2.0</v>
      </c>
      <c r="AN1271" s="1">
        <v>1.0</v>
      </c>
      <c r="AO1271" s="1" t="s">
        <v>198</v>
      </c>
      <c r="AP1271" s="1">
        <v>1.0</v>
      </c>
      <c r="AQ1271" s="1" t="s">
        <v>1314</v>
      </c>
      <c r="AR1271" s="1" t="s">
        <v>200</v>
      </c>
      <c r="AS1271" s="1" t="s">
        <v>199</v>
      </c>
      <c r="AT1271" s="1">
        <v>3.0</v>
      </c>
      <c r="AV1271" s="1" t="s">
        <v>200</v>
      </c>
      <c r="AW1271" s="1">
        <v>9672.0</v>
      </c>
      <c r="AX1271" s="1">
        <v>2013.0</v>
      </c>
      <c r="AY1271" s="1" t="s">
        <v>387</v>
      </c>
      <c r="AZ1271" s="1" t="s">
        <v>200</v>
      </c>
      <c r="BA1271" s="1" t="str">
        <f>"0225452018"</f>
        <v>0225452018</v>
      </c>
      <c r="BC1271" s="1">
        <v>3465.0</v>
      </c>
      <c r="BD1271" s="1">
        <v>278000.0</v>
      </c>
      <c r="BE1271" s="2">
        <v>42069.0</v>
      </c>
      <c r="BF1271" s="2" t="s">
        <v>13508</v>
      </c>
      <c r="BG1271" s="1" t="s">
        <v>8939</v>
      </c>
      <c r="BH1271" s="1">
        <v>68.0</v>
      </c>
      <c r="BI1271" s="1" t="s">
        <v>1533</v>
      </c>
      <c r="BJ1271" s="1" t="s">
        <v>1349</v>
      </c>
      <c r="BK1271" s="1" t="s">
        <v>474</v>
      </c>
      <c r="BL1271" s="1" t="str">
        <f t="shared" ref="BL1271:BM1271" si="844">""</f>
        <v/>
      </c>
      <c r="BM1271" s="1" t="str">
        <f t="shared" si="844"/>
        <v/>
      </c>
      <c r="BQ1271" s="1">
        <v>308.0</v>
      </c>
      <c r="BR1271" s="1">
        <v>308.0</v>
      </c>
      <c r="BS1271" s="1">
        <v>308.0</v>
      </c>
      <c r="BU1271" s="1" t="s">
        <v>361</v>
      </c>
      <c r="BV1271" s="1" t="s">
        <v>206</v>
      </c>
      <c r="BW1271" s="1" t="s">
        <v>207</v>
      </c>
      <c r="BY1271" s="1" t="s">
        <v>2120</v>
      </c>
      <c r="BZ1271" s="1" t="s">
        <v>209</v>
      </c>
      <c r="CA1271" s="1" t="s">
        <v>210</v>
      </c>
      <c r="CC1271" s="1" t="s">
        <v>361</v>
      </c>
      <c r="CD1271" s="1" t="s">
        <v>206</v>
      </c>
      <c r="CE1271" s="1" t="s">
        <v>207</v>
      </c>
      <c r="CG1271" s="1" t="s">
        <v>329</v>
      </c>
      <c r="CH1271" s="1" t="s">
        <v>209</v>
      </c>
      <c r="CI1271" s="1" t="s">
        <v>210</v>
      </c>
      <c r="CK1271" s="1" t="s">
        <v>332</v>
      </c>
      <c r="CL1271" s="1" t="s">
        <v>209</v>
      </c>
      <c r="CM1271" s="1" t="s">
        <v>210</v>
      </c>
      <c r="CO1271" s="1" t="s">
        <v>433</v>
      </c>
      <c r="CP1271" s="1" t="s">
        <v>209</v>
      </c>
      <c r="CQ1271" s="1" t="s">
        <v>210</v>
      </c>
      <c r="CS1271" s="1" t="s">
        <v>329</v>
      </c>
      <c r="CT1271" s="1" t="s">
        <v>206</v>
      </c>
      <c r="CU1271" s="1" t="s">
        <v>207</v>
      </c>
      <c r="CW1271" s="1" t="s">
        <v>854</v>
      </c>
      <c r="CX1271" s="1" t="s">
        <v>206</v>
      </c>
      <c r="CY1271" s="1" t="s">
        <v>207</v>
      </c>
      <c r="DA1271" s="1" t="s">
        <v>200</v>
      </c>
      <c r="DC1271" s="1" t="s">
        <v>481</v>
      </c>
      <c r="DD1271" s="1" t="s">
        <v>1484</v>
      </c>
      <c r="DE1271" s="1" t="s">
        <v>218</v>
      </c>
      <c r="DF1271" s="1" t="s">
        <v>219</v>
      </c>
      <c r="DG1271" s="1" t="s">
        <v>10620</v>
      </c>
      <c r="DH1271" s="1" t="s">
        <v>220</v>
      </c>
      <c r="DI1271" s="1" t="s">
        <v>1047</v>
      </c>
      <c r="DJ1271" s="1" t="s">
        <v>222</v>
      </c>
      <c r="DL1271" s="1" t="s">
        <v>3611</v>
      </c>
      <c r="DM1271" s="1" t="s">
        <v>338</v>
      </c>
      <c r="DN1271" s="1" t="s">
        <v>548</v>
      </c>
      <c r="DP1271" s="1" t="s">
        <v>340</v>
      </c>
      <c r="DQ1271" s="1" t="s">
        <v>441</v>
      </c>
      <c r="DR1271" s="1" t="s">
        <v>1980</v>
      </c>
      <c r="DV1271" s="1" t="s">
        <v>3022</v>
      </c>
      <c r="DW1271" s="1" t="s">
        <v>233</v>
      </c>
      <c r="DX1271" s="1" t="s">
        <v>234</v>
      </c>
      <c r="DY1271" s="1" t="s">
        <v>1051</v>
      </c>
      <c r="DZ1271" s="1" t="s">
        <v>3044</v>
      </c>
      <c r="EC1271" s="1" t="s">
        <v>237</v>
      </c>
      <c r="ED1271" s="1" t="s">
        <v>10039</v>
      </c>
      <c r="EE1271" s="1" t="s">
        <v>11695</v>
      </c>
      <c r="EG1271" s="1" t="s">
        <v>494</v>
      </c>
      <c r="EH1271" s="1" t="s">
        <v>557</v>
      </c>
      <c r="EI1271" s="1" t="s">
        <v>556</v>
      </c>
      <c r="EL1271" s="1" t="s">
        <v>433</v>
      </c>
      <c r="EM1271" s="1" t="s">
        <v>206</v>
      </c>
      <c r="EN1271" s="1" t="s">
        <v>207</v>
      </c>
      <c r="EP1271" s="1" t="s">
        <v>2182</v>
      </c>
      <c r="EQ1271" s="1" t="s">
        <v>209</v>
      </c>
      <c r="ER1271" s="1" t="s">
        <v>210</v>
      </c>
      <c r="ET1271" s="1" t="s">
        <v>582</v>
      </c>
      <c r="EU1271" s="1" t="s">
        <v>206</v>
      </c>
      <c r="EV1271" s="1" t="s">
        <v>207</v>
      </c>
      <c r="EY1271" s="1" t="s">
        <v>238</v>
      </c>
      <c r="FC1271" s="1" t="s">
        <v>238</v>
      </c>
      <c r="FF1271" s="1" t="s">
        <v>239</v>
      </c>
      <c r="FG1271" s="1" t="s">
        <v>200</v>
      </c>
      <c r="FH1271" s="1" t="s">
        <v>192</v>
      </c>
      <c r="FJ1271" s="1" t="s">
        <v>2133</v>
      </c>
      <c r="FK1271" s="1" t="s">
        <v>229</v>
      </c>
      <c r="FL1271" s="1" t="s">
        <v>4369</v>
      </c>
      <c r="FM1271" s="1">
        <v>23279.0</v>
      </c>
      <c r="FN1271" s="1" t="s">
        <v>6096</v>
      </c>
      <c r="FO1271" s="1" t="s">
        <v>6097</v>
      </c>
      <c r="FP1271" s="1">
        <v>241401.0</v>
      </c>
      <c r="FS1271" s="1" t="s">
        <v>13509</v>
      </c>
      <c r="FU1271" s="1" t="s">
        <v>13510</v>
      </c>
      <c r="FV1271" s="1" t="s">
        <v>200</v>
      </c>
      <c r="FW1271" s="1" t="s">
        <v>290</v>
      </c>
      <c r="FZ1271" s="1" t="s">
        <v>504</v>
      </c>
      <c r="GA1271" s="1" t="s">
        <v>291</v>
      </c>
      <c r="GB1271" s="2">
        <v>42122.0</v>
      </c>
      <c r="GC1271" s="1" t="s">
        <v>13511</v>
      </c>
    </row>
    <row r="1272">
      <c r="A1272" s="1">
        <v>206000.0</v>
      </c>
      <c r="B1272" s="1" t="s">
        <v>185</v>
      </c>
      <c r="C1272" s="1" t="str">
        <f>"08847789"</f>
        <v>08847789</v>
      </c>
      <c r="D1272" s="1" t="s">
        <v>186</v>
      </c>
      <c r="F1272" s="1" t="str">
        <f>"8011"</f>
        <v>8011</v>
      </c>
      <c r="G1272" s="2">
        <v>42062.0</v>
      </c>
      <c r="H1272" s="1">
        <v>228000.0</v>
      </c>
      <c r="I1272" s="1">
        <v>47.0</v>
      </c>
      <c r="J1272" s="1">
        <v>228000.0</v>
      </c>
      <c r="K1272" s="2">
        <v>42068.0</v>
      </c>
      <c r="L1272" s="1">
        <v>7.0</v>
      </c>
      <c r="M1272" s="2">
        <v>42068.0</v>
      </c>
      <c r="N1272" s="1" t="s">
        <v>249</v>
      </c>
      <c r="O1272" s="2">
        <v>42089.0</v>
      </c>
      <c r="P1272" s="1">
        <v>171454.0</v>
      </c>
      <c r="Q1272" s="1">
        <v>14858.0</v>
      </c>
      <c r="S1272" s="1">
        <v>5534.0</v>
      </c>
      <c r="T1272" s="1" t="s">
        <v>5161</v>
      </c>
      <c r="U1272" s="1" t="s">
        <v>189</v>
      </c>
      <c r="V1272" s="1" t="s">
        <v>190</v>
      </c>
      <c r="W1272" s="1">
        <v>60630.0</v>
      </c>
      <c r="Y1272" s="1" t="s">
        <v>13512</v>
      </c>
      <c r="Z1272" s="1">
        <v>1923.0</v>
      </c>
      <c r="AA1272" s="1" t="s">
        <v>192</v>
      </c>
      <c r="AB1272" s="1" t="s">
        <v>193</v>
      </c>
      <c r="AD1272" s="1" t="s">
        <v>194</v>
      </c>
      <c r="AE1272" s="1" t="s">
        <v>195</v>
      </c>
      <c r="AF1272" s="1" t="s">
        <v>196</v>
      </c>
      <c r="AH1272" s="1" t="s">
        <v>1501</v>
      </c>
      <c r="AI1272" s="1">
        <v>0.0861</v>
      </c>
      <c r="AK1272" s="1">
        <v>9.0</v>
      </c>
      <c r="AL1272" s="1">
        <v>3.0</v>
      </c>
      <c r="AM1272" s="1">
        <v>3.0</v>
      </c>
      <c r="AN1272" s="1">
        <v>0.0</v>
      </c>
      <c r="AO1272" s="1" t="s">
        <v>229</v>
      </c>
      <c r="AQ1272" s="1" t="s">
        <v>198</v>
      </c>
      <c r="AR1272" s="1" t="s">
        <v>192</v>
      </c>
      <c r="AS1272" s="1" t="s">
        <v>199</v>
      </c>
      <c r="AT1272" s="1">
        <v>2.0</v>
      </c>
      <c r="AV1272" s="1" t="s">
        <v>200</v>
      </c>
      <c r="AW1272" s="1">
        <v>3839.58</v>
      </c>
      <c r="AX1272" s="1">
        <v>2012.0</v>
      </c>
      <c r="AY1272" s="1" t="s">
        <v>229</v>
      </c>
      <c r="AZ1272" s="1" t="s">
        <v>200</v>
      </c>
      <c r="BA1272" s="1" t="str">
        <f>"13091010290000"</f>
        <v>13091010290000</v>
      </c>
      <c r="BC1272" s="1">
        <v>1300.0</v>
      </c>
      <c r="BD1272" s="1">
        <v>206000.0</v>
      </c>
      <c r="BE1272" s="2">
        <v>42062.0</v>
      </c>
      <c r="BF1272" s="1" t="s">
        <v>13513</v>
      </c>
      <c r="BH1272" s="1">
        <v>0.0</v>
      </c>
      <c r="BK1272" s="1" t="s">
        <v>204</v>
      </c>
      <c r="BL1272" s="1" t="str">
        <f>"5534"</f>
        <v>5534</v>
      </c>
      <c r="BM1272" s="1" t="str">
        <f t="shared" ref="BM1272:BM1273" si="845">"0"</f>
        <v>0</v>
      </c>
      <c r="BN1272" s="1">
        <v>5400.0</v>
      </c>
      <c r="BO1272" s="1">
        <v>0.0</v>
      </c>
      <c r="BQ1272" s="1">
        <v>299.0</v>
      </c>
      <c r="BR1272" s="1">
        <v>299.0</v>
      </c>
      <c r="BS1272" s="1">
        <v>299.0</v>
      </c>
      <c r="BU1272" s="1" t="s">
        <v>664</v>
      </c>
      <c r="BV1272" s="1" t="s">
        <v>206</v>
      </c>
      <c r="BW1272" s="1" t="s">
        <v>207</v>
      </c>
      <c r="BX1272" s="1" t="s">
        <v>229</v>
      </c>
      <c r="BY1272" s="1" t="s">
        <v>433</v>
      </c>
      <c r="BZ1272" s="1" t="s">
        <v>209</v>
      </c>
      <c r="CA1272" s="1" t="s">
        <v>210</v>
      </c>
      <c r="CB1272" s="1" t="s">
        <v>229</v>
      </c>
      <c r="CC1272" s="1" t="s">
        <v>215</v>
      </c>
      <c r="CD1272" s="1" t="s">
        <v>206</v>
      </c>
      <c r="CE1272" s="1" t="s">
        <v>207</v>
      </c>
      <c r="CF1272" s="1" t="s">
        <v>229</v>
      </c>
      <c r="CG1272" s="1" t="s">
        <v>497</v>
      </c>
      <c r="CH1272" s="1" t="s">
        <v>206</v>
      </c>
      <c r="CI1272" s="1" t="s">
        <v>207</v>
      </c>
      <c r="CJ1272" s="1" t="s">
        <v>229</v>
      </c>
      <c r="CK1272" s="1" t="s">
        <v>264</v>
      </c>
      <c r="CL1272" s="1" t="s">
        <v>206</v>
      </c>
      <c r="CM1272" s="1" t="s">
        <v>207</v>
      </c>
      <c r="CN1272" s="1" t="s">
        <v>229</v>
      </c>
      <c r="CO1272" s="1" t="s">
        <v>495</v>
      </c>
      <c r="CP1272" s="1" t="s">
        <v>42</v>
      </c>
      <c r="CS1272" s="1" t="s">
        <v>497</v>
      </c>
      <c r="CT1272" s="1" t="s">
        <v>206</v>
      </c>
      <c r="CU1272" s="1" t="s">
        <v>207</v>
      </c>
      <c r="CV1272" s="1" t="s">
        <v>229</v>
      </c>
      <c r="CW1272" s="1" t="s">
        <v>925</v>
      </c>
      <c r="CX1272" s="1" t="s">
        <v>42</v>
      </c>
      <c r="DA1272" s="1" t="s">
        <v>200</v>
      </c>
      <c r="DC1272" s="1" t="s">
        <v>216</v>
      </c>
      <c r="DD1272" s="1" t="s">
        <v>2889</v>
      </c>
      <c r="DE1272" s="1" t="s">
        <v>229</v>
      </c>
      <c r="DF1272" s="1" t="s">
        <v>219</v>
      </c>
      <c r="DG1272" s="1" t="s">
        <v>8270</v>
      </c>
      <c r="DH1272" s="1" t="s">
        <v>365</v>
      </c>
      <c r="DI1272" s="1" t="s">
        <v>308</v>
      </c>
      <c r="DJ1272" s="1" t="s">
        <v>222</v>
      </c>
      <c r="DK1272" s="1" t="s">
        <v>224</v>
      </c>
      <c r="DL1272" s="1" t="s">
        <v>224</v>
      </c>
      <c r="DM1272" s="1" t="s">
        <v>229</v>
      </c>
      <c r="DP1272" s="1" t="s">
        <v>276</v>
      </c>
      <c r="DQ1272" s="1" t="s">
        <v>228</v>
      </c>
      <c r="DR1272" s="1" t="s">
        <v>229</v>
      </c>
      <c r="DS1272" s="1" t="s">
        <v>230</v>
      </c>
      <c r="DV1272" s="1" t="s">
        <v>13514</v>
      </c>
      <c r="DW1272" s="1" t="s">
        <v>279</v>
      </c>
      <c r="DX1272" s="1" t="s">
        <v>234</v>
      </c>
      <c r="DY1272" s="1" t="s">
        <v>987</v>
      </c>
      <c r="EA1272" s="1" t="s">
        <v>644</v>
      </c>
      <c r="EC1272" s="1" t="s">
        <v>645</v>
      </c>
      <c r="EG1272" s="1" t="s">
        <v>720</v>
      </c>
      <c r="EH1272" s="1" t="s">
        <v>1121</v>
      </c>
      <c r="EL1272" s="1" t="s">
        <v>4413</v>
      </c>
      <c r="EM1272" s="1" t="s">
        <v>206</v>
      </c>
      <c r="EP1272" s="1" t="s">
        <v>375</v>
      </c>
      <c r="EQ1272" s="1" t="s">
        <v>209</v>
      </c>
      <c r="ER1272" s="1" t="s">
        <v>210</v>
      </c>
      <c r="EU1272" s="1" t="s">
        <v>238</v>
      </c>
      <c r="EY1272" s="1" t="s">
        <v>238</v>
      </c>
      <c r="FC1272" s="1" t="s">
        <v>238</v>
      </c>
      <c r="FF1272" s="1" t="s">
        <v>239</v>
      </c>
      <c r="FG1272" s="1" t="s">
        <v>192</v>
      </c>
      <c r="FH1272" s="1" t="s">
        <v>192</v>
      </c>
      <c r="FJ1272" s="1" t="s">
        <v>7945</v>
      </c>
      <c r="FK1272" s="1" t="s">
        <v>229</v>
      </c>
      <c r="FL1272" s="1" t="s">
        <v>2037</v>
      </c>
      <c r="FM1272" s="1">
        <v>60321.0</v>
      </c>
      <c r="FN1272" s="1" t="s">
        <v>2038</v>
      </c>
      <c r="FO1272" s="1" t="s">
        <v>13515</v>
      </c>
      <c r="FP1272" s="1">
        <v>238256.0</v>
      </c>
      <c r="FQ1272" s="1" t="s">
        <v>13516</v>
      </c>
      <c r="FU1272" s="1" t="s">
        <v>13517</v>
      </c>
      <c r="FV1272" s="1" t="s">
        <v>192</v>
      </c>
      <c r="FW1272" s="1" t="s">
        <v>290</v>
      </c>
      <c r="FX1272" s="1" t="s">
        <v>238</v>
      </c>
      <c r="FZ1272" s="1" t="s">
        <v>632</v>
      </c>
      <c r="GA1272" s="1" t="s">
        <v>291</v>
      </c>
      <c r="GB1272" s="2">
        <v>42089.0</v>
      </c>
      <c r="GC1272" s="1" t="s">
        <v>13518</v>
      </c>
    </row>
    <row r="1273">
      <c r="A1273" s="1">
        <v>865000.0</v>
      </c>
      <c r="B1273" s="1" t="s">
        <v>185</v>
      </c>
      <c r="C1273" s="1" t="str">
        <f>"08852521"</f>
        <v>08852521</v>
      </c>
      <c r="D1273" s="1" t="s">
        <v>186</v>
      </c>
      <c r="F1273" s="1" t="str">
        <f>"8003"</f>
        <v>8003</v>
      </c>
      <c r="G1273" s="2">
        <v>42067.0</v>
      </c>
      <c r="H1273" s="1">
        <v>850000.0</v>
      </c>
      <c r="I1273" s="1">
        <v>8.0</v>
      </c>
      <c r="J1273" s="1">
        <v>850000.0</v>
      </c>
      <c r="K1273" s="2">
        <v>42074.0</v>
      </c>
      <c r="L1273" s="1">
        <v>8.0</v>
      </c>
      <c r="M1273" s="2">
        <v>42074.0</v>
      </c>
      <c r="N1273" s="1" t="s">
        <v>187</v>
      </c>
      <c r="O1273" s="2">
        <v>42130.0</v>
      </c>
      <c r="P1273" s="1">
        <v>875842.0</v>
      </c>
      <c r="Q1273" s="1">
        <v>10988.0</v>
      </c>
      <c r="S1273" s="1">
        <v>4424.0</v>
      </c>
      <c r="T1273" s="1" t="s">
        <v>11964</v>
      </c>
      <c r="U1273" s="1" t="s">
        <v>189</v>
      </c>
      <c r="V1273" s="1" t="s">
        <v>190</v>
      </c>
      <c r="W1273" s="1">
        <v>60640.0</v>
      </c>
      <c r="Y1273" s="1" t="s">
        <v>13519</v>
      </c>
      <c r="Z1273" s="1" t="s">
        <v>296</v>
      </c>
      <c r="AA1273" s="1" t="s">
        <v>192</v>
      </c>
      <c r="AB1273" s="1" t="s">
        <v>193</v>
      </c>
      <c r="AD1273" s="1" t="s">
        <v>194</v>
      </c>
      <c r="AE1273" s="1" t="s">
        <v>195</v>
      </c>
      <c r="AF1273" s="1" t="s">
        <v>2645</v>
      </c>
      <c r="AH1273" s="1" t="s">
        <v>10187</v>
      </c>
      <c r="AK1273" s="1">
        <v>8.0</v>
      </c>
      <c r="AL1273" s="1">
        <v>4.0</v>
      </c>
      <c r="AM1273" s="1">
        <v>2.0</v>
      </c>
      <c r="AN1273" s="1">
        <v>1.0</v>
      </c>
      <c r="AO1273" s="1" t="s">
        <v>198</v>
      </c>
      <c r="AP1273" s="1">
        <v>1.0</v>
      </c>
      <c r="AQ1273" s="1" t="s">
        <v>198</v>
      </c>
      <c r="AR1273" s="1" t="s">
        <v>200</v>
      </c>
      <c r="AS1273" s="1" t="s">
        <v>199</v>
      </c>
      <c r="AT1273" s="1">
        <v>2.0</v>
      </c>
      <c r="AV1273" s="1" t="s">
        <v>200</v>
      </c>
      <c r="AW1273" s="1">
        <v>8451.46</v>
      </c>
      <c r="AX1273" s="1">
        <v>2013.0</v>
      </c>
      <c r="AY1273" s="1" t="s">
        <v>387</v>
      </c>
      <c r="AZ1273" s="1" t="s">
        <v>200</v>
      </c>
      <c r="BA1273" s="1" t="str">
        <f>"14171190230000"</f>
        <v>14171190230000</v>
      </c>
      <c r="BB1273" s="1" t="s">
        <v>200</v>
      </c>
      <c r="BC1273" s="1">
        <v>0.0</v>
      </c>
      <c r="BD1273" s="1">
        <v>865000.0</v>
      </c>
      <c r="BE1273" s="2">
        <v>42067.0</v>
      </c>
      <c r="BF1273" s="2" t="s">
        <v>13520</v>
      </c>
      <c r="BG1273" s="1" t="s">
        <v>537</v>
      </c>
      <c r="BH1273" s="1">
        <v>0.0</v>
      </c>
      <c r="BI1273" s="1" t="s">
        <v>537</v>
      </c>
      <c r="BJ1273" s="1" t="s">
        <v>4740</v>
      </c>
      <c r="BK1273" s="1" t="s">
        <v>204</v>
      </c>
      <c r="BL1273" s="1" t="str">
        <f>"4400"</f>
        <v>4400</v>
      </c>
      <c r="BM1273" s="1" t="str">
        <f t="shared" si="845"/>
        <v>0</v>
      </c>
      <c r="BN1273" s="1">
        <v>1500.0</v>
      </c>
      <c r="BO1273" s="1">
        <v>0.0</v>
      </c>
      <c r="BQ1273" s="1">
        <v>299.0</v>
      </c>
      <c r="BR1273" s="1">
        <v>299.0</v>
      </c>
      <c r="BS1273" s="1">
        <v>299.0</v>
      </c>
      <c r="BU1273" s="1" t="s">
        <v>1138</v>
      </c>
      <c r="BV1273" s="1" t="s">
        <v>206</v>
      </c>
      <c r="BW1273" s="1" t="s">
        <v>207</v>
      </c>
      <c r="BY1273" s="1" t="s">
        <v>854</v>
      </c>
      <c r="BZ1273" s="1" t="s">
        <v>391</v>
      </c>
      <c r="CA1273" s="1" t="s">
        <v>210</v>
      </c>
      <c r="CC1273" s="1" t="s">
        <v>262</v>
      </c>
      <c r="CD1273" s="1" t="s">
        <v>206</v>
      </c>
      <c r="CE1273" s="1" t="s">
        <v>207</v>
      </c>
      <c r="CG1273" s="1" t="s">
        <v>260</v>
      </c>
      <c r="CH1273" s="1" t="s">
        <v>209</v>
      </c>
      <c r="CI1273" s="1" t="s">
        <v>210</v>
      </c>
      <c r="CK1273" s="1" t="s">
        <v>2281</v>
      </c>
      <c r="CL1273" s="1" t="s">
        <v>209</v>
      </c>
      <c r="CM1273" s="1" t="s">
        <v>210</v>
      </c>
      <c r="CO1273" s="1" t="s">
        <v>1119</v>
      </c>
      <c r="CP1273" s="1" t="s">
        <v>209</v>
      </c>
      <c r="CQ1273" s="1" t="s">
        <v>210</v>
      </c>
      <c r="CS1273" s="1" t="s">
        <v>363</v>
      </c>
      <c r="CT1273" s="1" t="s">
        <v>206</v>
      </c>
      <c r="CU1273" s="1" t="s">
        <v>207</v>
      </c>
      <c r="CW1273" s="1" t="s">
        <v>782</v>
      </c>
      <c r="CX1273" s="1" t="s">
        <v>42</v>
      </c>
      <c r="CY1273" s="1" t="s">
        <v>210</v>
      </c>
      <c r="DA1273" s="1" t="s">
        <v>200</v>
      </c>
      <c r="DC1273" s="1" t="s">
        <v>545</v>
      </c>
      <c r="DE1273" s="1" t="s">
        <v>273</v>
      </c>
      <c r="DF1273" s="1" t="s">
        <v>1811</v>
      </c>
      <c r="DH1273" s="1" t="s">
        <v>220</v>
      </c>
      <c r="DI1273" s="1" t="s">
        <v>12978</v>
      </c>
      <c r="DJ1273" s="1" t="s">
        <v>222</v>
      </c>
      <c r="DK1273" s="1" t="s">
        <v>4207</v>
      </c>
      <c r="DL1273" s="1" t="s">
        <v>224</v>
      </c>
      <c r="DM1273" s="1" t="s">
        <v>229</v>
      </c>
      <c r="DN1273" s="1" t="s">
        <v>439</v>
      </c>
      <c r="DO1273" s="1" t="s">
        <v>13521</v>
      </c>
      <c r="DP1273" s="1" t="s">
        <v>340</v>
      </c>
      <c r="DQ1273" s="1" t="s">
        <v>794</v>
      </c>
      <c r="DR1273" s="1" t="s">
        <v>229</v>
      </c>
      <c r="DV1273" s="1" t="s">
        <v>13522</v>
      </c>
      <c r="DW1273" s="1" t="s">
        <v>667</v>
      </c>
      <c r="DX1273" s="1" t="s">
        <v>234</v>
      </c>
      <c r="DY1273" s="1" t="s">
        <v>12643</v>
      </c>
      <c r="DZ1273" s="1" t="s">
        <v>1146</v>
      </c>
      <c r="EA1273" s="1" t="s">
        <v>3112</v>
      </c>
      <c r="EB1273" s="1" t="s">
        <v>684</v>
      </c>
      <c r="EC1273" s="1" t="s">
        <v>406</v>
      </c>
      <c r="ED1273" s="1" t="s">
        <v>555</v>
      </c>
      <c r="EG1273" s="1" t="s">
        <v>408</v>
      </c>
      <c r="EH1273" s="1" t="s">
        <v>310</v>
      </c>
      <c r="EL1273" s="1" t="s">
        <v>640</v>
      </c>
      <c r="EM1273" s="1" t="s">
        <v>206</v>
      </c>
      <c r="EN1273" s="1" t="s">
        <v>207</v>
      </c>
      <c r="EP1273" s="1" t="s">
        <v>743</v>
      </c>
      <c r="EQ1273" s="1" t="s">
        <v>206</v>
      </c>
      <c r="EU1273" s="1" t="s">
        <v>238</v>
      </c>
      <c r="EY1273" s="1" t="s">
        <v>238</v>
      </c>
      <c r="FC1273" s="1" t="s">
        <v>238</v>
      </c>
      <c r="FF1273" s="1" t="s">
        <v>239</v>
      </c>
      <c r="FG1273" s="1" t="s">
        <v>192</v>
      </c>
      <c r="FH1273" s="1" t="s">
        <v>192</v>
      </c>
      <c r="FJ1273" s="1" t="s">
        <v>799</v>
      </c>
      <c r="FK1273" s="1" t="s">
        <v>229</v>
      </c>
      <c r="FL1273" s="1" t="s">
        <v>562</v>
      </c>
      <c r="FM1273" s="1">
        <v>84025.0</v>
      </c>
      <c r="FN1273" s="1" t="s">
        <v>2509</v>
      </c>
      <c r="FO1273" s="1" t="s">
        <v>13523</v>
      </c>
      <c r="FP1273" s="1">
        <v>124510.0</v>
      </c>
      <c r="FQ1273" s="1" t="s">
        <v>13524</v>
      </c>
      <c r="FR1273" s="1">
        <v>164477.0</v>
      </c>
      <c r="FU1273" s="1" t="s">
        <v>13525</v>
      </c>
      <c r="FV1273" s="1" t="s">
        <v>200</v>
      </c>
      <c r="FW1273" s="1" t="s">
        <v>290</v>
      </c>
      <c r="FX1273" s="1" t="s">
        <v>238</v>
      </c>
      <c r="FZ1273" s="1" t="s">
        <v>229</v>
      </c>
      <c r="GA1273" s="1" t="s">
        <v>291</v>
      </c>
      <c r="GB1273" s="2">
        <v>42131.0</v>
      </c>
    </row>
    <row r="1274">
      <c r="A1274" s="1">
        <v>200000.0</v>
      </c>
      <c r="B1274" s="1" t="s">
        <v>185</v>
      </c>
      <c r="C1274" s="1" t="str">
        <f>"08850157"</f>
        <v>08850157</v>
      </c>
      <c r="D1274" s="1" t="s">
        <v>186</v>
      </c>
      <c r="F1274" s="1" t="str">
        <f>"538"</f>
        <v>538</v>
      </c>
      <c r="G1274" s="2">
        <v>42065.0</v>
      </c>
      <c r="H1274" s="1">
        <v>199000.0</v>
      </c>
      <c r="I1274" s="1">
        <v>20.0</v>
      </c>
      <c r="J1274" s="1">
        <v>199000.0</v>
      </c>
      <c r="K1274" s="2">
        <v>42083.0</v>
      </c>
      <c r="L1274" s="1">
        <v>20.0</v>
      </c>
      <c r="M1274" s="2">
        <v>42083.0</v>
      </c>
      <c r="N1274" s="1" t="s">
        <v>356</v>
      </c>
      <c r="O1274" s="2">
        <v>42124.0</v>
      </c>
      <c r="P1274" s="1">
        <v>523.0</v>
      </c>
      <c r="Q1274" s="1">
        <v>30.0</v>
      </c>
      <c r="S1274" s="1">
        <v>2522.0</v>
      </c>
      <c r="T1274" s="1" t="s">
        <v>13526</v>
      </c>
      <c r="U1274" s="1" t="s">
        <v>1015</v>
      </c>
      <c r="V1274" s="1" t="s">
        <v>1340</v>
      </c>
      <c r="W1274" s="1">
        <v>60538.0</v>
      </c>
      <c r="Y1274" s="1" t="s">
        <v>13527</v>
      </c>
      <c r="Z1274" s="1">
        <v>2002.0</v>
      </c>
      <c r="AA1274" s="1" t="s">
        <v>200</v>
      </c>
      <c r="AB1274" s="1" t="s">
        <v>467</v>
      </c>
      <c r="AD1274" s="1" t="s">
        <v>1343</v>
      </c>
      <c r="AE1274" s="1" t="s">
        <v>849</v>
      </c>
      <c r="AF1274" s="1" t="s">
        <v>1529</v>
      </c>
      <c r="AG1274" s="1" t="s">
        <v>10320</v>
      </c>
      <c r="AH1274" s="1" t="s">
        <v>13528</v>
      </c>
      <c r="AI1274" s="1">
        <v>0.0</v>
      </c>
      <c r="AK1274" s="1">
        <v>8.0</v>
      </c>
      <c r="AL1274" s="1">
        <v>4.0</v>
      </c>
      <c r="AM1274" s="1">
        <v>2.0</v>
      </c>
      <c r="AN1274" s="1">
        <v>1.0</v>
      </c>
      <c r="AO1274" s="1" t="s">
        <v>198</v>
      </c>
      <c r="AP1274" s="1">
        <v>0.0</v>
      </c>
      <c r="AQ1274" s="1" t="s">
        <v>1314</v>
      </c>
      <c r="AR1274" s="1" t="s">
        <v>200</v>
      </c>
      <c r="AS1274" s="1" t="s">
        <v>199</v>
      </c>
      <c r="AT1274" s="1">
        <v>2.0</v>
      </c>
      <c r="AV1274" s="1" t="s">
        <v>200</v>
      </c>
      <c r="AW1274" s="1">
        <v>5012.0</v>
      </c>
      <c r="AX1274" s="1">
        <v>2013.0</v>
      </c>
      <c r="AY1274" s="1" t="s">
        <v>387</v>
      </c>
      <c r="AZ1274" s="1" t="s">
        <v>192</v>
      </c>
      <c r="BA1274" s="1" t="str">
        <f>"0201153008"</f>
        <v>0201153008</v>
      </c>
      <c r="BB1274" s="1" t="s">
        <v>200</v>
      </c>
      <c r="BC1274" s="1">
        <v>2131.0</v>
      </c>
      <c r="BD1274" s="1">
        <v>200000.0</v>
      </c>
      <c r="BE1274" s="2">
        <v>42064.0</v>
      </c>
      <c r="BF1274" s="2" t="s">
        <v>13529</v>
      </c>
      <c r="BH1274" s="1">
        <v>340.0</v>
      </c>
      <c r="BK1274" s="1" t="s">
        <v>580</v>
      </c>
      <c r="BL1274" s="1" t="str">
        <f t="shared" ref="BL1274:BM1274" si="846">"0"</f>
        <v>0</v>
      </c>
      <c r="BM1274" s="1" t="str">
        <f t="shared" si="846"/>
        <v>0</v>
      </c>
      <c r="BN1274" s="1">
        <v>39.0</v>
      </c>
      <c r="BO1274" s="1">
        <v>10.0</v>
      </c>
      <c r="BQ1274" s="1">
        <v>308.0</v>
      </c>
      <c r="BR1274" s="1">
        <v>308.0</v>
      </c>
      <c r="BS1274" s="1">
        <v>308.0</v>
      </c>
      <c r="BU1274" s="1" t="s">
        <v>300</v>
      </c>
      <c r="BV1274" s="1" t="s">
        <v>206</v>
      </c>
      <c r="BW1274" s="1" t="s">
        <v>207</v>
      </c>
      <c r="BY1274" s="1" t="s">
        <v>3888</v>
      </c>
      <c r="BZ1274" s="1" t="s">
        <v>209</v>
      </c>
      <c r="CA1274" s="1" t="s">
        <v>210</v>
      </c>
      <c r="CC1274" s="1" t="s">
        <v>300</v>
      </c>
      <c r="CD1274" s="1" t="s">
        <v>206</v>
      </c>
      <c r="CE1274" s="1" t="s">
        <v>207</v>
      </c>
      <c r="CG1274" s="1" t="s">
        <v>699</v>
      </c>
      <c r="CH1274" s="1" t="s">
        <v>209</v>
      </c>
      <c r="CI1274" s="1" t="s">
        <v>210</v>
      </c>
      <c r="CK1274" s="1" t="s">
        <v>1351</v>
      </c>
      <c r="CL1274" s="1" t="s">
        <v>209</v>
      </c>
      <c r="CM1274" s="1" t="s">
        <v>210</v>
      </c>
      <c r="CO1274" s="1" t="s">
        <v>663</v>
      </c>
      <c r="CP1274" s="1" t="s">
        <v>209</v>
      </c>
      <c r="CQ1274" s="1" t="s">
        <v>210</v>
      </c>
      <c r="CS1274" s="1" t="s">
        <v>432</v>
      </c>
      <c r="CT1274" s="1" t="s">
        <v>206</v>
      </c>
      <c r="CU1274" s="1" t="s">
        <v>207</v>
      </c>
      <c r="CW1274" s="1" t="s">
        <v>390</v>
      </c>
      <c r="CX1274" s="1" t="s">
        <v>206</v>
      </c>
      <c r="CY1274" s="1" t="s">
        <v>207</v>
      </c>
      <c r="DA1274" s="1" t="s">
        <v>200</v>
      </c>
      <c r="DC1274" s="1" t="s">
        <v>335</v>
      </c>
      <c r="DD1274" s="1" t="s">
        <v>396</v>
      </c>
      <c r="DE1274" s="1" t="s">
        <v>273</v>
      </c>
      <c r="DF1274" s="1" t="s">
        <v>219</v>
      </c>
      <c r="DG1274" s="1" t="s">
        <v>1266</v>
      </c>
      <c r="DH1274" s="1" t="s">
        <v>220</v>
      </c>
      <c r="DI1274" s="1" t="s">
        <v>1003</v>
      </c>
      <c r="DJ1274" s="1" t="s">
        <v>222</v>
      </c>
      <c r="DL1274" s="1" t="s">
        <v>223</v>
      </c>
      <c r="DM1274" s="1" t="s">
        <v>229</v>
      </c>
      <c r="DN1274" s="1" t="s">
        <v>339</v>
      </c>
      <c r="DO1274" s="1" t="s">
        <v>549</v>
      </c>
      <c r="DP1274" s="1" t="s">
        <v>340</v>
      </c>
      <c r="DQ1274" s="1" t="s">
        <v>228</v>
      </c>
      <c r="DR1274" s="1" t="s">
        <v>3096</v>
      </c>
      <c r="DS1274" s="1" t="s">
        <v>230</v>
      </c>
      <c r="DU1274" s="1" t="s">
        <v>1840</v>
      </c>
      <c r="DV1274" s="1" t="s">
        <v>232</v>
      </c>
      <c r="DW1274" s="1" t="s">
        <v>279</v>
      </c>
      <c r="DX1274" s="1" t="s">
        <v>234</v>
      </c>
      <c r="DY1274" s="1" t="s">
        <v>596</v>
      </c>
      <c r="EA1274" s="1" t="s">
        <v>1027</v>
      </c>
      <c r="EC1274" s="1" t="s">
        <v>237</v>
      </c>
      <c r="ED1274" s="1" t="s">
        <v>407</v>
      </c>
      <c r="EM1274" s="1" t="s">
        <v>238</v>
      </c>
      <c r="EQ1274" s="1" t="s">
        <v>238</v>
      </c>
      <c r="EU1274" s="1" t="s">
        <v>238</v>
      </c>
      <c r="EY1274" s="1" t="s">
        <v>238</v>
      </c>
      <c r="FC1274" s="1" t="s">
        <v>238</v>
      </c>
      <c r="FF1274" s="1" t="s">
        <v>239</v>
      </c>
      <c r="FG1274" s="1" t="s">
        <v>192</v>
      </c>
      <c r="FH1274" s="1" t="s">
        <v>192</v>
      </c>
      <c r="FJ1274" s="1" t="s">
        <v>1469</v>
      </c>
      <c r="FK1274" s="1" t="s">
        <v>229</v>
      </c>
      <c r="FL1274" s="1" t="s">
        <v>1358</v>
      </c>
      <c r="FM1274" s="1">
        <v>23591.0</v>
      </c>
      <c r="FN1274" s="1" t="s">
        <v>2134</v>
      </c>
      <c r="FO1274" s="1" t="s">
        <v>11429</v>
      </c>
      <c r="FP1274" s="1">
        <v>238342.0</v>
      </c>
      <c r="FS1274" s="1" t="s">
        <v>11430</v>
      </c>
      <c r="FU1274" s="1" t="s">
        <v>13530</v>
      </c>
      <c r="FV1274" s="1" t="s">
        <v>200</v>
      </c>
      <c r="FW1274" s="1" t="s">
        <v>13531</v>
      </c>
      <c r="FZ1274" s="1" t="s">
        <v>229</v>
      </c>
      <c r="GA1274" s="1" t="s">
        <v>291</v>
      </c>
      <c r="GB1274" s="2">
        <v>42124.0</v>
      </c>
      <c r="GC1274" s="1" t="s">
        <v>13532</v>
      </c>
    </row>
    <row r="1275">
      <c r="A1275" s="1">
        <v>161000.0</v>
      </c>
      <c r="B1275" s="1" t="s">
        <v>185</v>
      </c>
      <c r="C1275" s="1" t="str">
        <f>"08854054"</f>
        <v>08854054</v>
      </c>
      <c r="D1275" s="1" t="s">
        <v>186</v>
      </c>
      <c r="F1275" s="1" t="str">
        <f>"123"</f>
        <v>123</v>
      </c>
      <c r="G1275" s="2">
        <v>42069.0</v>
      </c>
      <c r="H1275" s="1">
        <v>165000.0</v>
      </c>
      <c r="I1275" s="1">
        <v>11.0</v>
      </c>
      <c r="J1275" s="1">
        <v>165000.0</v>
      </c>
      <c r="K1275" s="2">
        <v>42079.0</v>
      </c>
      <c r="L1275" s="1">
        <v>11.0</v>
      </c>
      <c r="M1275" s="2">
        <v>42079.0</v>
      </c>
      <c r="N1275" s="1" t="s">
        <v>356</v>
      </c>
      <c r="O1275" s="2">
        <v>42130.0</v>
      </c>
      <c r="P1275" s="1">
        <v>77813.0</v>
      </c>
      <c r="Q1275" s="1">
        <v>143.0</v>
      </c>
      <c r="S1275" s="1">
        <v>870.0</v>
      </c>
      <c r="T1275" s="1" t="s">
        <v>13533</v>
      </c>
      <c r="U1275" s="1" t="s">
        <v>320</v>
      </c>
      <c r="V1275" s="1" t="s">
        <v>465</v>
      </c>
      <c r="W1275" s="1">
        <v>60123.0</v>
      </c>
      <c r="Y1275" s="1" t="s">
        <v>13534</v>
      </c>
      <c r="Z1275" s="1">
        <v>1960.0</v>
      </c>
      <c r="AA1275" s="1" t="s">
        <v>192</v>
      </c>
      <c r="AB1275" s="1" t="s">
        <v>193</v>
      </c>
      <c r="AD1275" s="1" t="s">
        <v>469</v>
      </c>
      <c r="AE1275" s="1" t="s">
        <v>325</v>
      </c>
      <c r="AF1275" s="1" t="s">
        <v>469</v>
      </c>
      <c r="AH1275" s="1" t="s">
        <v>13535</v>
      </c>
      <c r="AI1275" s="1">
        <v>0.1667</v>
      </c>
      <c r="AK1275" s="1">
        <v>9.0</v>
      </c>
      <c r="AL1275" s="1">
        <v>4.0</v>
      </c>
      <c r="AM1275" s="1">
        <v>2.0</v>
      </c>
      <c r="AN1275" s="1">
        <v>0.0</v>
      </c>
      <c r="AO1275" s="1" t="s">
        <v>229</v>
      </c>
      <c r="AQ1275" s="1" t="s">
        <v>198</v>
      </c>
      <c r="AR1275" s="1" t="s">
        <v>200</v>
      </c>
      <c r="AS1275" s="1" t="s">
        <v>199</v>
      </c>
      <c r="AT1275" s="1">
        <v>2.0</v>
      </c>
      <c r="AV1275" s="1" t="s">
        <v>200</v>
      </c>
      <c r="AW1275" s="1">
        <v>4316.7</v>
      </c>
      <c r="AX1275" s="1">
        <v>2013.0</v>
      </c>
      <c r="AY1275" s="1" t="s">
        <v>387</v>
      </c>
      <c r="AZ1275" s="1" t="s">
        <v>200</v>
      </c>
      <c r="BA1275" s="1" t="str">
        <f>"0623107008"</f>
        <v>0623107008</v>
      </c>
      <c r="BC1275" s="1">
        <v>1680.0</v>
      </c>
      <c r="BD1275" s="1">
        <v>161000.0</v>
      </c>
      <c r="BE1275" s="2">
        <v>42069.0</v>
      </c>
      <c r="BF1275" s="2" t="s">
        <v>13536</v>
      </c>
      <c r="BG1275" s="1" t="s">
        <v>13537</v>
      </c>
      <c r="BH1275" s="1">
        <v>0.0</v>
      </c>
      <c r="BI1275" s="1" t="s">
        <v>674</v>
      </c>
      <c r="BJ1275" s="1" t="s">
        <v>675</v>
      </c>
      <c r="BK1275" s="1" t="s">
        <v>204</v>
      </c>
      <c r="BL1275" s="1" t="str">
        <f t="shared" ref="BL1275:BM1275" si="847">""</f>
        <v/>
      </c>
      <c r="BM1275" s="1" t="str">
        <f t="shared" si="847"/>
        <v/>
      </c>
      <c r="BQ1275" s="1">
        <v>46.0</v>
      </c>
      <c r="BR1275" s="1">
        <v>46.0</v>
      </c>
      <c r="BS1275" s="1">
        <v>46.0</v>
      </c>
      <c r="BU1275" s="1" t="s">
        <v>211</v>
      </c>
      <c r="BV1275" s="1" t="s">
        <v>206</v>
      </c>
      <c r="BW1275" s="1" t="s">
        <v>207</v>
      </c>
      <c r="BX1275" s="1" t="s">
        <v>431</v>
      </c>
      <c r="BY1275" s="1" t="s">
        <v>433</v>
      </c>
      <c r="BZ1275" s="1" t="s">
        <v>209</v>
      </c>
      <c r="CA1275" s="1" t="s">
        <v>207</v>
      </c>
      <c r="CB1275" s="1" t="s">
        <v>431</v>
      </c>
      <c r="CC1275" s="1" t="s">
        <v>730</v>
      </c>
      <c r="CD1275" s="1" t="s">
        <v>206</v>
      </c>
      <c r="CE1275" s="1" t="s">
        <v>210</v>
      </c>
      <c r="CF1275" s="1" t="s">
        <v>431</v>
      </c>
      <c r="CG1275" s="1" t="s">
        <v>264</v>
      </c>
      <c r="CH1275" s="1" t="s">
        <v>209</v>
      </c>
      <c r="CI1275" s="1" t="s">
        <v>207</v>
      </c>
      <c r="CJ1275" s="1" t="s">
        <v>431</v>
      </c>
      <c r="CK1275" s="1" t="s">
        <v>265</v>
      </c>
      <c r="CL1275" s="1" t="s">
        <v>209</v>
      </c>
      <c r="CM1275" s="1" t="s">
        <v>207</v>
      </c>
      <c r="CN1275" s="1" t="s">
        <v>431</v>
      </c>
      <c r="CO1275" s="1" t="s">
        <v>363</v>
      </c>
      <c r="CP1275" s="1" t="s">
        <v>206</v>
      </c>
      <c r="CQ1275" s="1" t="s">
        <v>207</v>
      </c>
      <c r="CR1275" s="1" t="s">
        <v>431</v>
      </c>
      <c r="CS1275" s="1" t="s">
        <v>4180</v>
      </c>
      <c r="CT1275" s="1" t="s">
        <v>206</v>
      </c>
      <c r="CU1275" s="1" t="s">
        <v>268</v>
      </c>
      <c r="CV1275" s="1" t="s">
        <v>229</v>
      </c>
      <c r="CW1275" s="1" t="s">
        <v>3817</v>
      </c>
      <c r="CX1275" s="1" t="s">
        <v>42</v>
      </c>
      <c r="CY1275" s="1" t="s">
        <v>301</v>
      </c>
      <c r="DA1275" s="1" t="s">
        <v>200</v>
      </c>
      <c r="DC1275" s="1" t="s">
        <v>271</v>
      </c>
      <c r="DD1275" s="1" t="s">
        <v>396</v>
      </c>
      <c r="DE1275" s="1" t="s">
        <v>273</v>
      </c>
      <c r="DF1275" s="1" t="s">
        <v>219</v>
      </c>
      <c r="DG1275" s="1" t="s">
        <v>2747</v>
      </c>
      <c r="DH1275" s="1" t="s">
        <v>220</v>
      </c>
      <c r="DI1275" s="1" t="s">
        <v>221</v>
      </c>
      <c r="DJ1275" s="1" t="s">
        <v>222</v>
      </c>
      <c r="DK1275" s="1" t="s">
        <v>223</v>
      </c>
      <c r="DL1275" s="1" t="s">
        <v>224</v>
      </c>
      <c r="DM1275" s="1" t="s">
        <v>229</v>
      </c>
      <c r="DO1275" s="1" t="s">
        <v>549</v>
      </c>
      <c r="DP1275" s="1" t="s">
        <v>340</v>
      </c>
      <c r="DQ1275" s="1" t="s">
        <v>228</v>
      </c>
      <c r="DR1275" s="1" t="s">
        <v>229</v>
      </c>
      <c r="DU1275" s="1" t="s">
        <v>2070</v>
      </c>
      <c r="DV1275" s="1" t="s">
        <v>557</v>
      </c>
      <c r="DW1275" s="1" t="s">
        <v>934</v>
      </c>
      <c r="DX1275" s="1" t="s">
        <v>234</v>
      </c>
      <c r="DY1275" s="1" t="s">
        <v>553</v>
      </c>
      <c r="DZ1275" s="1" t="s">
        <v>2204</v>
      </c>
      <c r="EC1275" s="1" t="s">
        <v>237</v>
      </c>
      <c r="ED1275" s="1" t="s">
        <v>407</v>
      </c>
      <c r="EG1275" s="1" t="s">
        <v>557</v>
      </c>
      <c r="EL1275" s="1" t="s">
        <v>265</v>
      </c>
      <c r="EM1275" s="1" t="s">
        <v>42</v>
      </c>
      <c r="EN1275" s="1" t="s">
        <v>301</v>
      </c>
      <c r="EQ1275" s="1" t="s">
        <v>238</v>
      </c>
      <c r="EU1275" s="1" t="s">
        <v>238</v>
      </c>
      <c r="EY1275" s="1" t="s">
        <v>238</v>
      </c>
      <c r="FC1275" s="1" t="s">
        <v>238</v>
      </c>
      <c r="FF1275" s="1" t="s">
        <v>239</v>
      </c>
      <c r="FG1275" s="1" t="s">
        <v>192</v>
      </c>
      <c r="FH1275" s="1" t="s">
        <v>192</v>
      </c>
      <c r="FJ1275" s="1" t="s">
        <v>1123</v>
      </c>
      <c r="FK1275" s="1" t="s">
        <v>229</v>
      </c>
      <c r="FL1275" s="1" t="s">
        <v>1124</v>
      </c>
      <c r="FM1275" s="1">
        <v>8059.0</v>
      </c>
      <c r="FN1275" s="1" t="s">
        <v>7340</v>
      </c>
      <c r="FO1275" s="1" t="s">
        <v>13538</v>
      </c>
      <c r="FP1275" s="1">
        <v>89134.0</v>
      </c>
      <c r="FQ1275" s="1" t="s">
        <v>13539</v>
      </c>
      <c r="FU1275" s="1" t="s">
        <v>13540</v>
      </c>
      <c r="FV1275" s="1" t="s">
        <v>200</v>
      </c>
      <c r="FW1275" s="1" t="s">
        <v>290</v>
      </c>
      <c r="FZ1275" s="1" t="s">
        <v>229</v>
      </c>
      <c r="GA1275" s="1" t="s">
        <v>291</v>
      </c>
      <c r="GB1275" s="2">
        <v>42131.0</v>
      </c>
      <c r="GC1275" s="1" t="s">
        <v>13541</v>
      </c>
    </row>
    <row r="1276">
      <c r="A1276" s="1">
        <v>424000.0</v>
      </c>
      <c r="B1276" s="1" t="s">
        <v>185</v>
      </c>
      <c r="C1276" s="1" t="str">
        <f>"08848788"</f>
        <v>08848788</v>
      </c>
      <c r="D1276" s="1" t="s">
        <v>186</v>
      </c>
      <c r="F1276" s="1" t="str">
        <f>"10"</f>
        <v>10</v>
      </c>
      <c r="G1276" s="2">
        <v>42063.0</v>
      </c>
      <c r="H1276" s="1">
        <v>459000.0</v>
      </c>
      <c r="I1276" s="1">
        <v>38.0</v>
      </c>
      <c r="J1276" s="1">
        <v>459000.0</v>
      </c>
      <c r="K1276" s="2">
        <v>42067.0</v>
      </c>
      <c r="L1276" s="1">
        <v>5.0</v>
      </c>
      <c r="M1276" s="2">
        <v>42067.0</v>
      </c>
      <c r="N1276" s="1" t="s">
        <v>249</v>
      </c>
      <c r="O1276" s="2">
        <v>42076.0</v>
      </c>
      <c r="P1276" s="1">
        <v>99999.0</v>
      </c>
      <c r="Q1276" s="1" t="s">
        <v>947</v>
      </c>
      <c r="S1276" s="1">
        <v>288.0</v>
      </c>
      <c r="T1276" s="1" t="s">
        <v>13542</v>
      </c>
      <c r="U1276" s="1" t="s">
        <v>569</v>
      </c>
      <c r="V1276" s="1" t="s">
        <v>1706</v>
      </c>
      <c r="W1276" s="1">
        <v>60010.0</v>
      </c>
      <c r="Y1276" s="1" t="s">
        <v>13543</v>
      </c>
      <c r="Z1276" s="1">
        <v>1959.0</v>
      </c>
      <c r="AA1276" s="1" t="s">
        <v>192</v>
      </c>
      <c r="AB1276" s="1" t="s">
        <v>193</v>
      </c>
      <c r="AD1276" s="1" t="s">
        <v>1948</v>
      </c>
      <c r="AE1276" s="1" t="s">
        <v>917</v>
      </c>
      <c r="AF1276" s="1" t="s">
        <v>2008</v>
      </c>
      <c r="AH1276" s="1" t="s">
        <v>13544</v>
      </c>
      <c r="AI1276" s="1">
        <v>0.285</v>
      </c>
      <c r="AK1276" s="1">
        <v>8.0</v>
      </c>
      <c r="AL1276" s="1">
        <v>4.0</v>
      </c>
      <c r="AM1276" s="1">
        <v>3.0</v>
      </c>
      <c r="AN1276" s="1">
        <v>1.0</v>
      </c>
      <c r="AO1276" s="1" t="s">
        <v>198</v>
      </c>
      <c r="AP1276" s="1">
        <v>2.0</v>
      </c>
      <c r="AQ1276" s="1" t="s">
        <v>5726</v>
      </c>
      <c r="AR1276" s="1" t="s">
        <v>192</v>
      </c>
      <c r="AS1276" s="1" t="s">
        <v>199</v>
      </c>
      <c r="AT1276" s="1">
        <v>2.0</v>
      </c>
      <c r="AV1276" s="1" t="s">
        <v>200</v>
      </c>
      <c r="AW1276" s="1">
        <v>8602.75</v>
      </c>
      <c r="AX1276" s="1">
        <v>2013.0</v>
      </c>
      <c r="AZ1276" s="1" t="s">
        <v>545</v>
      </c>
      <c r="BA1276" s="1" t="str">
        <f>"14313010140000"</f>
        <v>14313010140000</v>
      </c>
      <c r="BC1276" s="1">
        <v>2308.0</v>
      </c>
      <c r="BD1276" s="1">
        <v>424000.0</v>
      </c>
      <c r="BE1276" s="2">
        <v>42063.0</v>
      </c>
      <c r="BH1276" s="1">
        <v>0.0</v>
      </c>
      <c r="BK1276" s="1" t="s">
        <v>204</v>
      </c>
      <c r="BL1276" s="1" t="str">
        <f t="shared" ref="BL1276:BM1276" si="848">""</f>
        <v/>
      </c>
      <c r="BM1276" s="1" t="str">
        <f t="shared" si="848"/>
        <v/>
      </c>
      <c r="BQ1276" s="1">
        <v>220.0</v>
      </c>
      <c r="BR1276" s="1">
        <v>220.0</v>
      </c>
      <c r="BS1276" s="1">
        <v>220.0</v>
      </c>
      <c r="BU1276" s="1" t="s">
        <v>205</v>
      </c>
      <c r="BV1276" s="1" t="s">
        <v>206</v>
      </c>
      <c r="BW1276" s="1" t="s">
        <v>207</v>
      </c>
      <c r="BY1276" s="1" t="s">
        <v>4403</v>
      </c>
      <c r="BZ1276" s="1" t="s">
        <v>209</v>
      </c>
      <c r="CA1276" s="1" t="s">
        <v>210</v>
      </c>
      <c r="CC1276" s="1" t="s">
        <v>264</v>
      </c>
      <c r="CD1276" s="1" t="s">
        <v>206</v>
      </c>
      <c r="CE1276" s="1" t="s">
        <v>207</v>
      </c>
      <c r="CG1276" s="1" t="s">
        <v>332</v>
      </c>
      <c r="CH1276" s="1" t="s">
        <v>209</v>
      </c>
      <c r="CI1276" s="1" t="s">
        <v>210</v>
      </c>
      <c r="CK1276" s="1" t="s">
        <v>212</v>
      </c>
      <c r="CL1276" s="1" t="s">
        <v>209</v>
      </c>
      <c r="CO1276" s="1" t="s">
        <v>433</v>
      </c>
      <c r="CP1276" s="1" t="s">
        <v>267</v>
      </c>
      <c r="CQ1276" s="1" t="s">
        <v>210</v>
      </c>
      <c r="CS1276" s="1" t="s">
        <v>1397</v>
      </c>
      <c r="CT1276" s="1" t="s">
        <v>206</v>
      </c>
      <c r="CU1276" s="1" t="s">
        <v>207</v>
      </c>
      <c r="CW1276" s="1" t="s">
        <v>260</v>
      </c>
      <c r="CX1276" s="1" t="s">
        <v>206</v>
      </c>
      <c r="CY1276" s="1" t="s">
        <v>210</v>
      </c>
      <c r="DA1276" s="1" t="s">
        <v>200</v>
      </c>
      <c r="DC1276" s="1" t="s">
        <v>271</v>
      </c>
      <c r="DD1276" s="1" t="s">
        <v>957</v>
      </c>
      <c r="DE1276" s="1" t="s">
        <v>1810</v>
      </c>
      <c r="DF1276" s="1" t="s">
        <v>1811</v>
      </c>
      <c r="DH1276" s="1" t="s">
        <v>220</v>
      </c>
      <c r="DI1276" s="1" t="s">
        <v>13545</v>
      </c>
      <c r="DJ1276" s="1" t="s">
        <v>222</v>
      </c>
      <c r="DL1276" s="1" t="s">
        <v>858</v>
      </c>
      <c r="DM1276" s="1" t="s">
        <v>229</v>
      </c>
      <c r="DP1276" s="1" t="s">
        <v>276</v>
      </c>
      <c r="DQ1276" s="1" t="s">
        <v>441</v>
      </c>
      <c r="DR1276" s="1" t="s">
        <v>229</v>
      </c>
      <c r="DV1276" s="1" t="s">
        <v>1270</v>
      </c>
      <c r="DW1276" s="1" t="s">
        <v>764</v>
      </c>
      <c r="DX1276" s="1" t="s">
        <v>234</v>
      </c>
      <c r="EB1276" s="1" t="s">
        <v>345</v>
      </c>
      <c r="EC1276" s="1" t="s">
        <v>284</v>
      </c>
      <c r="EG1276" s="1" t="s">
        <v>1270</v>
      </c>
      <c r="EL1276" s="1" t="s">
        <v>2902</v>
      </c>
      <c r="EM1276" s="1" t="s">
        <v>267</v>
      </c>
      <c r="EQ1276" s="1" t="s">
        <v>238</v>
      </c>
      <c r="EU1276" s="1" t="s">
        <v>238</v>
      </c>
      <c r="EY1276" s="1" t="s">
        <v>238</v>
      </c>
      <c r="FC1276" s="1" t="s">
        <v>238</v>
      </c>
      <c r="FF1276" s="1" t="s">
        <v>229</v>
      </c>
      <c r="FG1276" s="1" t="s">
        <v>200</v>
      </c>
      <c r="FH1276" s="1" t="s">
        <v>200</v>
      </c>
      <c r="FJ1276" s="1" t="s">
        <v>524</v>
      </c>
      <c r="FK1276" s="1" t="s">
        <v>229</v>
      </c>
      <c r="FL1276" s="1" t="s">
        <v>3990</v>
      </c>
      <c r="FM1276" s="1">
        <v>8698.0</v>
      </c>
      <c r="FN1276" s="1" t="s">
        <v>3991</v>
      </c>
      <c r="FO1276" s="1" t="s">
        <v>13546</v>
      </c>
      <c r="FP1276" s="1">
        <v>81009.0</v>
      </c>
      <c r="FQ1276" s="1" t="s">
        <v>3991</v>
      </c>
      <c r="FU1276" s="1" t="s">
        <v>9708</v>
      </c>
      <c r="FV1276" s="1" t="s">
        <v>192</v>
      </c>
      <c r="FW1276" s="1" t="s">
        <v>13547</v>
      </c>
      <c r="FZ1276" s="1" t="s">
        <v>632</v>
      </c>
      <c r="GA1276" s="1" t="s">
        <v>291</v>
      </c>
      <c r="GB1276" s="2">
        <v>42076.0</v>
      </c>
    </row>
    <row r="1277">
      <c r="A1277" s="1">
        <v>1385000.0</v>
      </c>
      <c r="B1277" s="1" t="s">
        <v>185</v>
      </c>
      <c r="C1277" s="1" t="str">
        <f>"08852078"</f>
        <v>08852078</v>
      </c>
      <c r="D1277" s="1" t="s">
        <v>186</v>
      </c>
      <c r="F1277" s="1" t="str">
        <f>"8022"</f>
        <v>8022</v>
      </c>
      <c r="G1277" s="2">
        <v>42067.0</v>
      </c>
      <c r="H1277" s="1">
        <v>1549000.0</v>
      </c>
      <c r="I1277" s="1">
        <v>246.0</v>
      </c>
      <c r="J1277" s="1">
        <v>1430000.0</v>
      </c>
      <c r="K1277" s="2">
        <v>42111.0</v>
      </c>
      <c r="L1277" s="1">
        <v>45.0</v>
      </c>
      <c r="M1277" s="2">
        <v>42111.0</v>
      </c>
      <c r="N1277" s="1" t="s">
        <v>187</v>
      </c>
      <c r="O1277" s="2">
        <v>42139.0</v>
      </c>
      <c r="P1277" s="1">
        <v>122586.0</v>
      </c>
      <c r="Q1277" s="1">
        <v>14470.0</v>
      </c>
      <c r="S1277" s="1">
        <v>1906.0</v>
      </c>
      <c r="T1277" s="1" t="s">
        <v>7911</v>
      </c>
      <c r="U1277" s="1" t="s">
        <v>320</v>
      </c>
      <c r="V1277" s="1" t="s">
        <v>190</v>
      </c>
      <c r="W1277" s="1">
        <v>60622.0</v>
      </c>
      <c r="Y1277" s="1" t="s">
        <v>13548</v>
      </c>
      <c r="Z1277" s="1">
        <v>2004.0</v>
      </c>
      <c r="AA1277" s="1" t="s">
        <v>200</v>
      </c>
      <c r="AB1277" s="1" t="s">
        <v>193</v>
      </c>
      <c r="AD1277" s="1" t="s">
        <v>194</v>
      </c>
      <c r="AE1277" s="1" t="s">
        <v>195</v>
      </c>
      <c r="AF1277" s="1" t="s">
        <v>2645</v>
      </c>
      <c r="AH1277" s="1" t="s">
        <v>13549</v>
      </c>
      <c r="AK1277" s="1">
        <v>10.0</v>
      </c>
      <c r="AL1277" s="1">
        <v>4.0</v>
      </c>
      <c r="AM1277" s="1">
        <v>4.0</v>
      </c>
      <c r="AN1277" s="1">
        <v>1.0</v>
      </c>
      <c r="AO1277" s="1" t="s">
        <v>198</v>
      </c>
      <c r="AP1277" s="1">
        <v>4.0</v>
      </c>
      <c r="AQ1277" s="1" t="s">
        <v>472</v>
      </c>
      <c r="AR1277" s="1" t="s">
        <v>192</v>
      </c>
      <c r="AS1277" s="1" t="s">
        <v>199</v>
      </c>
      <c r="AT1277" s="1">
        <v>2.5</v>
      </c>
      <c r="AV1277" s="1" t="s">
        <v>200</v>
      </c>
      <c r="AW1277" s="1">
        <v>16782.12</v>
      </c>
      <c r="AX1277" s="1">
        <v>2013.0</v>
      </c>
      <c r="AZ1277" s="1" t="s">
        <v>200</v>
      </c>
      <c r="BA1277" s="1" t="str">
        <f>"14314010450000"</f>
        <v>14314010450000</v>
      </c>
      <c r="BC1277" s="1">
        <v>4200.0</v>
      </c>
      <c r="BD1277" s="1">
        <v>1385000.0</v>
      </c>
      <c r="BE1277" s="2">
        <v>42067.0</v>
      </c>
      <c r="BF1277" s="2" t="s">
        <v>13550</v>
      </c>
      <c r="BH1277" s="1">
        <v>0.0</v>
      </c>
      <c r="BK1277" s="1" t="s">
        <v>204</v>
      </c>
      <c r="BL1277" s="1" t="str">
        <f>"1900"</f>
        <v>1900</v>
      </c>
      <c r="BM1277" s="1" t="str">
        <f t="shared" ref="BM1277:BM1280" si="849">"0"</f>
        <v>0</v>
      </c>
      <c r="BN1277" s="1">
        <v>1906.0</v>
      </c>
      <c r="BO1277" s="1">
        <v>0.0</v>
      </c>
      <c r="BQ1277" s="1">
        <v>299.0</v>
      </c>
      <c r="BR1277" s="1">
        <v>299.0</v>
      </c>
      <c r="BS1277" s="1">
        <v>299.0</v>
      </c>
      <c r="BU1277" s="1" t="s">
        <v>1206</v>
      </c>
      <c r="BV1277" s="1" t="s">
        <v>206</v>
      </c>
      <c r="BW1277" s="1" t="s">
        <v>207</v>
      </c>
      <c r="BY1277" s="1" t="s">
        <v>544</v>
      </c>
      <c r="BZ1277" s="1" t="s">
        <v>209</v>
      </c>
      <c r="CA1277" s="1" t="s">
        <v>210</v>
      </c>
      <c r="CC1277" s="1" t="s">
        <v>542</v>
      </c>
      <c r="CD1277" s="1" t="s">
        <v>206</v>
      </c>
      <c r="CE1277" s="1" t="s">
        <v>207</v>
      </c>
      <c r="CG1277" s="1" t="s">
        <v>497</v>
      </c>
      <c r="CH1277" s="1" t="s">
        <v>209</v>
      </c>
      <c r="CI1277" s="1" t="s">
        <v>210</v>
      </c>
      <c r="CK1277" s="1" t="s">
        <v>497</v>
      </c>
      <c r="CL1277" s="1" t="s">
        <v>209</v>
      </c>
      <c r="CM1277" s="1" t="s">
        <v>210</v>
      </c>
      <c r="CO1277" s="1" t="s">
        <v>269</v>
      </c>
      <c r="CP1277" s="1" t="s">
        <v>267</v>
      </c>
      <c r="CQ1277" s="1" t="s">
        <v>210</v>
      </c>
      <c r="CS1277" s="1" t="s">
        <v>2120</v>
      </c>
      <c r="CT1277" s="1" t="s">
        <v>206</v>
      </c>
      <c r="CU1277" s="1" t="s">
        <v>1136</v>
      </c>
      <c r="CW1277" s="1" t="s">
        <v>583</v>
      </c>
      <c r="CX1277" s="1" t="s">
        <v>206</v>
      </c>
      <c r="CY1277" s="1" t="s">
        <v>207</v>
      </c>
      <c r="DA1277" s="1" t="s">
        <v>200</v>
      </c>
      <c r="DC1277" s="1" t="s">
        <v>335</v>
      </c>
      <c r="DD1277" s="1" t="s">
        <v>272</v>
      </c>
      <c r="DE1277" s="1" t="s">
        <v>273</v>
      </c>
      <c r="DF1277" s="1" t="s">
        <v>219</v>
      </c>
      <c r="DG1277" s="1" t="s">
        <v>4682</v>
      </c>
      <c r="DH1277" s="1" t="s">
        <v>365</v>
      </c>
      <c r="DI1277" s="1" t="s">
        <v>13551</v>
      </c>
      <c r="DJ1277" s="1" t="s">
        <v>222</v>
      </c>
      <c r="DL1277" s="1" t="s">
        <v>224</v>
      </c>
      <c r="DM1277" s="1" t="s">
        <v>229</v>
      </c>
      <c r="DP1277" s="1" t="s">
        <v>276</v>
      </c>
      <c r="DQ1277" s="1" t="s">
        <v>718</v>
      </c>
      <c r="DR1277" s="1" t="s">
        <v>229</v>
      </c>
      <c r="DV1277" s="1" t="s">
        <v>13552</v>
      </c>
      <c r="DW1277" s="1" t="s">
        <v>13553</v>
      </c>
      <c r="DX1277" s="1" t="s">
        <v>234</v>
      </c>
      <c r="EC1277" s="1" t="s">
        <v>406</v>
      </c>
      <c r="EG1277" s="1" t="s">
        <v>450</v>
      </c>
      <c r="EH1277" s="1" t="s">
        <v>2023</v>
      </c>
      <c r="EI1277" s="1" t="s">
        <v>310</v>
      </c>
      <c r="EJ1277" s="1" t="s">
        <v>310</v>
      </c>
      <c r="EL1277" s="1" t="s">
        <v>2120</v>
      </c>
      <c r="EM1277" s="1" t="s">
        <v>267</v>
      </c>
      <c r="EN1277" s="1" t="s">
        <v>210</v>
      </c>
      <c r="EP1277" s="1" t="s">
        <v>3262</v>
      </c>
      <c r="EQ1277" s="1" t="s">
        <v>267</v>
      </c>
      <c r="ER1277" s="1" t="s">
        <v>210</v>
      </c>
      <c r="ET1277" s="1" t="s">
        <v>623</v>
      </c>
      <c r="EU1277" s="1" t="s">
        <v>206</v>
      </c>
      <c r="EX1277" s="1" t="s">
        <v>623</v>
      </c>
      <c r="EY1277" s="1" t="s">
        <v>209</v>
      </c>
      <c r="FC1277" s="1" t="s">
        <v>238</v>
      </c>
      <c r="FF1277" s="1" t="s">
        <v>239</v>
      </c>
      <c r="FG1277" s="1" t="s">
        <v>192</v>
      </c>
      <c r="FH1277" s="1" t="s">
        <v>192</v>
      </c>
      <c r="FJ1277" s="1" t="s">
        <v>561</v>
      </c>
      <c r="FK1277" s="1" t="s">
        <v>229</v>
      </c>
      <c r="FL1277" s="1" t="s">
        <v>562</v>
      </c>
      <c r="FM1277" s="1">
        <v>16379.0</v>
      </c>
      <c r="FN1277" s="1" t="s">
        <v>563</v>
      </c>
      <c r="FO1277" s="1" t="s">
        <v>13554</v>
      </c>
      <c r="FP1277" s="1">
        <v>112545.0</v>
      </c>
      <c r="FQ1277" s="1" t="s">
        <v>13555</v>
      </c>
      <c r="FU1277" s="1" t="s">
        <v>13556</v>
      </c>
      <c r="FV1277" s="1" t="s">
        <v>200</v>
      </c>
      <c r="FW1277" s="1" t="s">
        <v>530</v>
      </c>
      <c r="FX1277" s="1" t="s">
        <v>246</v>
      </c>
      <c r="FZ1277" s="1" t="s">
        <v>229</v>
      </c>
      <c r="GA1277" s="1" t="s">
        <v>291</v>
      </c>
      <c r="GB1277" s="2">
        <v>42139.0</v>
      </c>
      <c r="GC1277" s="1" t="s">
        <v>13557</v>
      </c>
    </row>
    <row r="1278">
      <c r="A1278" s="1">
        <v>905000.0</v>
      </c>
      <c r="B1278" s="1" t="s">
        <v>185</v>
      </c>
      <c r="C1278" s="1" t="str">
        <f>"08851187"</f>
        <v>08851187</v>
      </c>
      <c r="D1278" s="1" t="s">
        <v>186</v>
      </c>
      <c r="F1278" s="1" t="str">
        <f>"8005"</f>
        <v>8005</v>
      </c>
      <c r="G1278" s="2">
        <v>42066.0</v>
      </c>
      <c r="H1278" s="1">
        <v>879000.0</v>
      </c>
      <c r="I1278" s="1">
        <v>116.0</v>
      </c>
      <c r="J1278" s="1">
        <v>879000.0</v>
      </c>
      <c r="K1278" s="2">
        <v>42067.0</v>
      </c>
      <c r="L1278" s="1">
        <v>2.0</v>
      </c>
      <c r="M1278" s="2">
        <v>42067.0</v>
      </c>
      <c r="N1278" s="1" t="s">
        <v>187</v>
      </c>
      <c r="O1278" s="2">
        <v>42123.0</v>
      </c>
      <c r="P1278" s="1">
        <v>166742.0</v>
      </c>
      <c r="Q1278" s="1">
        <v>10317.0</v>
      </c>
      <c r="S1278" s="1">
        <v>1834.0</v>
      </c>
      <c r="T1278" s="1" t="s">
        <v>13558</v>
      </c>
      <c r="U1278" s="1" t="s">
        <v>189</v>
      </c>
      <c r="V1278" s="1" t="s">
        <v>190</v>
      </c>
      <c r="W1278" s="1">
        <v>60613.0</v>
      </c>
      <c r="Y1278" s="1" t="s">
        <v>13559</v>
      </c>
      <c r="Z1278" s="1" t="s">
        <v>296</v>
      </c>
      <c r="AA1278" s="1" t="s">
        <v>192</v>
      </c>
      <c r="AB1278" s="1" t="s">
        <v>193</v>
      </c>
      <c r="AD1278" s="1" t="s">
        <v>194</v>
      </c>
      <c r="AE1278" s="1" t="s">
        <v>195</v>
      </c>
      <c r="AF1278" s="1" t="s">
        <v>534</v>
      </c>
      <c r="AH1278" s="1" t="s">
        <v>741</v>
      </c>
      <c r="AK1278" s="1">
        <v>9.0</v>
      </c>
      <c r="AL1278" s="1">
        <v>4.0</v>
      </c>
      <c r="AM1278" s="1">
        <v>3.0</v>
      </c>
      <c r="AN1278" s="1">
        <v>1.0</v>
      </c>
      <c r="AO1278" s="1" t="s">
        <v>198</v>
      </c>
      <c r="AP1278" s="1">
        <v>1.0</v>
      </c>
      <c r="AQ1278" s="1" t="s">
        <v>198</v>
      </c>
      <c r="AR1278" s="1" t="s">
        <v>200</v>
      </c>
      <c r="AS1278" s="1" t="s">
        <v>199</v>
      </c>
      <c r="AT1278" s="1">
        <v>2.0</v>
      </c>
      <c r="AV1278" s="1" t="s">
        <v>200</v>
      </c>
      <c r="AW1278" s="1">
        <v>12249.98</v>
      </c>
      <c r="AX1278" s="1">
        <v>2013.0</v>
      </c>
      <c r="AY1278" s="1" t="s">
        <v>229</v>
      </c>
      <c r="AZ1278" s="1" t="s">
        <v>200</v>
      </c>
      <c r="BA1278" s="1" t="str">
        <f>"14192260070000"</f>
        <v>14192260070000</v>
      </c>
      <c r="BC1278" s="1">
        <v>0.0</v>
      </c>
      <c r="BD1278" s="1">
        <v>905000.0</v>
      </c>
      <c r="BE1278" s="2">
        <v>42066.0</v>
      </c>
      <c r="BF1278" s="2" t="s">
        <v>13560</v>
      </c>
      <c r="BH1278" s="1">
        <v>0.0</v>
      </c>
      <c r="BK1278" s="1" t="s">
        <v>204</v>
      </c>
      <c r="BL1278" s="1" t="str">
        <f>"3650"</f>
        <v>3650</v>
      </c>
      <c r="BM1278" s="1" t="str">
        <f t="shared" si="849"/>
        <v>0</v>
      </c>
      <c r="BN1278" s="1">
        <v>1834.0</v>
      </c>
      <c r="BO1278" s="1">
        <v>0.0</v>
      </c>
      <c r="BQ1278" s="1">
        <v>299.0</v>
      </c>
      <c r="BR1278" s="1">
        <v>299.0</v>
      </c>
      <c r="BS1278" s="1">
        <v>299.0</v>
      </c>
      <c r="BU1278" s="1" t="s">
        <v>1395</v>
      </c>
      <c r="BV1278" s="1" t="s">
        <v>206</v>
      </c>
      <c r="BW1278" s="1" t="s">
        <v>207</v>
      </c>
      <c r="BY1278" s="1" t="s">
        <v>830</v>
      </c>
      <c r="BZ1278" s="1" t="s">
        <v>209</v>
      </c>
      <c r="CA1278" s="1" t="s">
        <v>207</v>
      </c>
      <c r="CC1278" s="1" t="s">
        <v>478</v>
      </c>
      <c r="CD1278" s="1" t="s">
        <v>206</v>
      </c>
      <c r="CE1278" s="1" t="s">
        <v>207</v>
      </c>
      <c r="CG1278" s="1" t="s">
        <v>1068</v>
      </c>
      <c r="CH1278" s="1" t="s">
        <v>209</v>
      </c>
      <c r="CI1278" s="1" t="s">
        <v>207</v>
      </c>
      <c r="CK1278" s="1" t="s">
        <v>2082</v>
      </c>
      <c r="CL1278" s="1" t="s">
        <v>209</v>
      </c>
      <c r="CM1278" s="1" t="s">
        <v>207</v>
      </c>
      <c r="CO1278" s="1" t="s">
        <v>8887</v>
      </c>
      <c r="CP1278" s="1" t="s">
        <v>391</v>
      </c>
      <c r="CQ1278" s="1" t="s">
        <v>210</v>
      </c>
      <c r="CS1278" s="1" t="s">
        <v>1567</v>
      </c>
      <c r="CT1278" s="1" t="s">
        <v>206</v>
      </c>
      <c r="CU1278" s="1" t="s">
        <v>207</v>
      </c>
      <c r="CW1278" s="1" t="s">
        <v>584</v>
      </c>
      <c r="CX1278" s="1" t="s">
        <v>206</v>
      </c>
      <c r="CY1278" s="1" t="s">
        <v>207</v>
      </c>
      <c r="DA1278" s="1" t="s">
        <v>200</v>
      </c>
      <c r="DC1278" s="1" t="s">
        <v>545</v>
      </c>
      <c r="DD1278" s="1" t="s">
        <v>217</v>
      </c>
      <c r="DE1278" s="1" t="s">
        <v>218</v>
      </c>
      <c r="DF1278" s="1" t="s">
        <v>745</v>
      </c>
      <c r="DG1278" s="1" t="s">
        <v>337</v>
      </c>
      <c r="DH1278" s="1" t="s">
        <v>365</v>
      </c>
      <c r="DI1278" s="1" t="s">
        <v>221</v>
      </c>
      <c r="DJ1278" s="1" t="s">
        <v>222</v>
      </c>
      <c r="DL1278" s="1" t="s">
        <v>858</v>
      </c>
      <c r="DM1278" s="1" t="s">
        <v>1464</v>
      </c>
      <c r="DN1278" s="1" t="s">
        <v>367</v>
      </c>
      <c r="DO1278" s="1" t="s">
        <v>549</v>
      </c>
      <c r="DP1278" s="1" t="s">
        <v>340</v>
      </c>
      <c r="DQ1278" s="1" t="s">
        <v>228</v>
      </c>
      <c r="DR1278" s="1" t="s">
        <v>229</v>
      </c>
      <c r="DS1278" s="1" t="s">
        <v>230</v>
      </c>
      <c r="DU1278" s="1" t="s">
        <v>13561</v>
      </c>
      <c r="DV1278" s="1" t="s">
        <v>13562</v>
      </c>
      <c r="DW1278" s="1" t="s">
        <v>667</v>
      </c>
      <c r="DX1278" s="1" t="s">
        <v>234</v>
      </c>
      <c r="DY1278" s="1" t="s">
        <v>2972</v>
      </c>
      <c r="DZ1278" s="1" t="s">
        <v>4077</v>
      </c>
      <c r="EA1278" s="1" t="s">
        <v>3112</v>
      </c>
      <c r="EC1278" s="1" t="s">
        <v>406</v>
      </c>
      <c r="ED1278" s="1" t="s">
        <v>407</v>
      </c>
      <c r="EG1278" s="1" t="s">
        <v>310</v>
      </c>
      <c r="EH1278" s="1" t="s">
        <v>450</v>
      </c>
      <c r="EI1278" s="1" t="s">
        <v>409</v>
      </c>
      <c r="EJ1278" s="1" t="s">
        <v>1103</v>
      </c>
      <c r="EL1278" s="1" t="s">
        <v>1395</v>
      </c>
      <c r="EM1278" s="1" t="s">
        <v>391</v>
      </c>
      <c r="EP1278" s="1" t="s">
        <v>334</v>
      </c>
      <c r="EQ1278" s="1" t="s">
        <v>42</v>
      </c>
      <c r="ER1278" s="1" t="s">
        <v>210</v>
      </c>
      <c r="ET1278" s="1" t="s">
        <v>8276</v>
      </c>
      <c r="EU1278" s="1" t="s">
        <v>209</v>
      </c>
      <c r="EX1278" s="1" t="s">
        <v>830</v>
      </c>
      <c r="EY1278" s="1" t="s">
        <v>42</v>
      </c>
      <c r="FC1278" s="1" t="s">
        <v>238</v>
      </c>
      <c r="FF1278" s="1" t="s">
        <v>239</v>
      </c>
      <c r="FG1278" s="1" t="s">
        <v>192</v>
      </c>
      <c r="FH1278" s="1" t="s">
        <v>192</v>
      </c>
      <c r="FJ1278" s="1" t="s">
        <v>799</v>
      </c>
      <c r="FK1278" s="1" t="s">
        <v>229</v>
      </c>
      <c r="FL1278" s="1" t="s">
        <v>562</v>
      </c>
      <c r="FM1278" s="1">
        <v>85774.0</v>
      </c>
      <c r="FN1278" s="1" t="s">
        <v>2369</v>
      </c>
      <c r="FO1278" s="1" t="s">
        <v>13563</v>
      </c>
      <c r="FP1278" s="1">
        <v>121068.0</v>
      </c>
      <c r="FQ1278" s="1" t="s">
        <v>13564</v>
      </c>
      <c r="FS1278" s="1" t="s">
        <v>13565</v>
      </c>
      <c r="FU1278" s="1" t="s">
        <v>13566</v>
      </c>
      <c r="FV1278" s="1" t="s">
        <v>200</v>
      </c>
      <c r="FW1278" s="1" t="s">
        <v>1511</v>
      </c>
      <c r="FX1278" s="1" t="s">
        <v>246</v>
      </c>
      <c r="FZ1278" s="1" t="s">
        <v>229</v>
      </c>
      <c r="GA1278" s="1" t="s">
        <v>291</v>
      </c>
      <c r="GB1278" s="2">
        <v>42124.0</v>
      </c>
    </row>
    <row r="1279">
      <c r="A1279" s="1">
        <v>265000.0</v>
      </c>
      <c r="B1279" s="1" t="s">
        <v>185</v>
      </c>
      <c r="C1279" s="1" t="str">
        <f>"08852778"</f>
        <v>08852778</v>
      </c>
      <c r="D1279" s="1" t="s">
        <v>186</v>
      </c>
      <c r="F1279" s="1" t="str">
        <f>"134"</f>
        <v>134</v>
      </c>
      <c r="G1279" s="2">
        <v>42067.0</v>
      </c>
      <c r="H1279" s="1">
        <v>265000.0</v>
      </c>
      <c r="I1279" s="1">
        <v>7.0</v>
      </c>
      <c r="J1279" s="1">
        <v>265000.0</v>
      </c>
      <c r="K1279" s="2">
        <v>42073.0</v>
      </c>
      <c r="L1279" s="1">
        <v>7.0</v>
      </c>
      <c r="M1279" s="2">
        <v>42073.0</v>
      </c>
      <c r="N1279" s="1" t="s">
        <v>187</v>
      </c>
      <c r="O1279" s="2">
        <v>42132.0</v>
      </c>
      <c r="P1279" s="1">
        <v>231049.0</v>
      </c>
      <c r="Q1279" s="1">
        <v>25266.0</v>
      </c>
      <c r="S1279" s="1">
        <v>550.0</v>
      </c>
      <c r="T1279" s="1" t="s">
        <v>1782</v>
      </c>
      <c r="U1279" s="1" t="s">
        <v>569</v>
      </c>
      <c r="V1279" s="1" t="s">
        <v>421</v>
      </c>
      <c r="W1279" s="1">
        <v>60134.0</v>
      </c>
      <c r="Y1279" s="1" t="s">
        <v>13567</v>
      </c>
      <c r="Z1279" s="1">
        <v>1991.0</v>
      </c>
      <c r="AA1279" s="1" t="s">
        <v>200</v>
      </c>
      <c r="AB1279" s="1" t="s">
        <v>193</v>
      </c>
      <c r="AC1279" s="1" t="s">
        <v>13568</v>
      </c>
      <c r="AD1279" s="1" t="s">
        <v>424</v>
      </c>
      <c r="AE1279" s="1" t="s">
        <v>325</v>
      </c>
      <c r="AF1279" s="1" t="s">
        <v>424</v>
      </c>
      <c r="AG1279" s="1" t="s">
        <v>13569</v>
      </c>
      <c r="AH1279" s="1" t="s">
        <v>13570</v>
      </c>
      <c r="AI1279" s="1">
        <v>0.1916</v>
      </c>
      <c r="AK1279" s="1">
        <v>9.0</v>
      </c>
      <c r="AL1279" s="1">
        <v>4.0</v>
      </c>
      <c r="AM1279" s="1">
        <v>2.0</v>
      </c>
      <c r="AN1279" s="1">
        <v>1.0</v>
      </c>
      <c r="AO1279" s="1" t="s">
        <v>198</v>
      </c>
      <c r="AP1279" s="1">
        <v>1.0</v>
      </c>
      <c r="AQ1279" s="1" t="s">
        <v>1314</v>
      </c>
      <c r="AR1279" s="1" t="s">
        <v>200</v>
      </c>
      <c r="AS1279" s="1" t="s">
        <v>199</v>
      </c>
      <c r="AT1279" s="1">
        <v>2.0</v>
      </c>
      <c r="AV1279" s="1" t="s">
        <v>200</v>
      </c>
      <c r="AW1279" s="1">
        <v>7755.5</v>
      </c>
      <c r="AX1279" s="1">
        <v>2013.0</v>
      </c>
      <c r="AY1279" s="1" t="s">
        <v>387</v>
      </c>
      <c r="AZ1279" s="1" t="s">
        <v>200</v>
      </c>
      <c r="BA1279" s="1" t="str">
        <f>"1202203004"</f>
        <v>1202203004</v>
      </c>
      <c r="BB1279" s="1" t="s">
        <v>200</v>
      </c>
      <c r="BC1279" s="1">
        <v>2127.0</v>
      </c>
      <c r="BD1279" s="1">
        <v>265000.0</v>
      </c>
      <c r="BE1279" s="2">
        <v>42067.0</v>
      </c>
      <c r="BF1279" s="2" t="s">
        <v>13571</v>
      </c>
      <c r="BG1279" s="1" t="s">
        <v>13488</v>
      </c>
      <c r="BH1279" s="1">
        <v>0.0</v>
      </c>
      <c r="BI1279" s="1" t="s">
        <v>429</v>
      </c>
      <c r="BJ1279" s="1" t="s">
        <v>430</v>
      </c>
      <c r="BK1279" s="1" t="s">
        <v>204</v>
      </c>
      <c r="BL1279" s="1" t="str">
        <f>"1"</f>
        <v>1</v>
      </c>
      <c r="BM1279" s="1" t="str">
        <f t="shared" si="849"/>
        <v>0</v>
      </c>
      <c r="BN1279" s="1">
        <v>34.0</v>
      </c>
      <c r="BO1279" s="1">
        <v>0.0</v>
      </c>
      <c r="BQ1279" s="1">
        <v>304.0</v>
      </c>
      <c r="BR1279" s="1">
        <v>304.0</v>
      </c>
      <c r="BS1279" s="1">
        <v>304.0</v>
      </c>
      <c r="BU1279" s="1" t="s">
        <v>1044</v>
      </c>
      <c r="BV1279" s="1" t="s">
        <v>206</v>
      </c>
      <c r="BW1279" s="1" t="s">
        <v>210</v>
      </c>
      <c r="BY1279" s="1" t="s">
        <v>454</v>
      </c>
      <c r="BZ1279" s="1" t="s">
        <v>209</v>
      </c>
      <c r="CA1279" s="1" t="s">
        <v>210</v>
      </c>
      <c r="CC1279" s="1" t="s">
        <v>264</v>
      </c>
      <c r="CD1279" s="1" t="s">
        <v>206</v>
      </c>
      <c r="CE1279" s="1" t="s">
        <v>301</v>
      </c>
      <c r="CG1279" s="1" t="s">
        <v>582</v>
      </c>
      <c r="CH1279" s="1" t="s">
        <v>209</v>
      </c>
      <c r="CI1279" s="1" t="s">
        <v>210</v>
      </c>
      <c r="CK1279" s="1" t="s">
        <v>699</v>
      </c>
      <c r="CL1279" s="1" t="s">
        <v>209</v>
      </c>
      <c r="CM1279" s="1" t="s">
        <v>210</v>
      </c>
      <c r="CO1279" s="1" t="s">
        <v>924</v>
      </c>
      <c r="CP1279" s="1" t="s">
        <v>209</v>
      </c>
      <c r="CQ1279" s="1" t="s">
        <v>210</v>
      </c>
      <c r="CS1279" s="1" t="s">
        <v>264</v>
      </c>
      <c r="CT1279" s="1" t="s">
        <v>206</v>
      </c>
      <c r="CU1279" s="1" t="s">
        <v>301</v>
      </c>
      <c r="CW1279" s="1" t="s">
        <v>205</v>
      </c>
      <c r="CX1279" s="1" t="s">
        <v>206</v>
      </c>
      <c r="CY1279" s="1" t="s">
        <v>210</v>
      </c>
      <c r="DA1279" s="1" t="s">
        <v>200</v>
      </c>
      <c r="DC1279" s="1" t="s">
        <v>435</v>
      </c>
      <c r="DD1279" s="1" t="s">
        <v>396</v>
      </c>
      <c r="DE1279" s="1" t="s">
        <v>273</v>
      </c>
      <c r="DF1279" s="1" t="s">
        <v>219</v>
      </c>
      <c r="DG1279" s="1" t="s">
        <v>1400</v>
      </c>
      <c r="DH1279" s="1" t="s">
        <v>220</v>
      </c>
      <c r="DI1279" s="1" t="s">
        <v>221</v>
      </c>
      <c r="DJ1279" s="1" t="s">
        <v>222</v>
      </c>
      <c r="DK1279" s="1" t="s">
        <v>223</v>
      </c>
      <c r="DL1279" s="1" t="s">
        <v>3611</v>
      </c>
      <c r="DM1279" s="1" t="s">
        <v>338</v>
      </c>
      <c r="DO1279" s="1" t="s">
        <v>549</v>
      </c>
      <c r="DP1279" s="1" t="s">
        <v>340</v>
      </c>
      <c r="DQ1279" s="1" t="s">
        <v>228</v>
      </c>
      <c r="DR1279" s="1" t="s">
        <v>229</v>
      </c>
      <c r="DS1279" s="1" t="s">
        <v>13572</v>
      </c>
      <c r="DU1279" s="1" t="s">
        <v>13573</v>
      </c>
      <c r="DV1279" s="1" t="s">
        <v>449</v>
      </c>
      <c r="DW1279" s="1" t="s">
        <v>233</v>
      </c>
      <c r="DX1279" s="1" t="s">
        <v>234</v>
      </c>
      <c r="DY1279" s="1" t="s">
        <v>861</v>
      </c>
      <c r="DZ1279" s="1" t="s">
        <v>1074</v>
      </c>
      <c r="EA1279" s="1" t="s">
        <v>447</v>
      </c>
      <c r="EB1279" s="1" t="s">
        <v>492</v>
      </c>
      <c r="EC1279" s="1" t="s">
        <v>237</v>
      </c>
      <c r="ED1279" s="1" t="s">
        <v>407</v>
      </c>
      <c r="EG1279" s="1" t="s">
        <v>449</v>
      </c>
      <c r="EL1279" s="1" t="s">
        <v>2072</v>
      </c>
      <c r="EM1279" s="1" t="s">
        <v>206</v>
      </c>
      <c r="EN1279" s="1" t="s">
        <v>301</v>
      </c>
      <c r="EQ1279" s="1" t="s">
        <v>238</v>
      </c>
      <c r="EU1279" s="1" t="s">
        <v>238</v>
      </c>
      <c r="EY1279" s="1" t="s">
        <v>238</v>
      </c>
      <c r="FC1279" s="1" t="s">
        <v>238</v>
      </c>
      <c r="FF1279" s="1" t="s">
        <v>239</v>
      </c>
      <c r="FG1279" s="1" t="s">
        <v>192</v>
      </c>
      <c r="FH1279" s="1" t="s">
        <v>192</v>
      </c>
      <c r="FJ1279" s="1" t="s">
        <v>498</v>
      </c>
      <c r="FK1279" s="1" t="s">
        <v>229</v>
      </c>
      <c r="FL1279" s="1" t="s">
        <v>1358</v>
      </c>
      <c r="FM1279" s="1">
        <v>23591.0</v>
      </c>
      <c r="FN1279" s="1" t="s">
        <v>2134</v>
      </c>
      <c r="FO1279" s="1" t="s">
        <v>13574</v>
      </c>
      <c r="FP1279" s="1">
        <v>230524.0</v>
      </c>
      <c r="FQ1279" s="1" t="s">
        <v>13575</v>
      </c>
      <c r="FR1279" s="1">
        <v>234121.0</v>
      </c>
      <c r="FU1279" s="1" t="s">
        <v>13576</v>
      </c>
      <c r="FV1279" s="1" t="s">
        <v>200</v>
      </c>
      <c r="FW1279" s="1" t="s">
        <v>13577</v>
      </c>
      <c r="FZ1279" s="1" t="s">
        <v>229</v>
      </c>
      <c r="GA1279" s="1" t="s">
        <v>291</v>
      </c>
      <c r="GB1279" s="2">
        <v>42132.0</v>
      </c>
    </row>
    <row r="1280">
      <c r="A1280" s="1">
        <v>277000.0</v>
      </c>
      <c r="B1280" s="1" t="s">
        <v>185</v>
      </c>
      <c r="C1280" s="1" t="str">
        <f>"08852841"</f>
        <v>08852841</v>
      </c>
      <c r="D1280" s="1" t="s">
        <v>186</v>
      </c>
      <c r="F1280" s="1" t="str">
        <f>"8010"</f>
        <v>8010</v>
      </c>
      <c r="G1280" s="2">
        <v>42067.0</v>
      </c>
      <c r="H1280" s="1">
        <v>284900.0</v>
      </c>
      <c r="I1280" s="1">
        <v>208.0</v>
      </c>
      <c r="J1280" s="1">
        <v>284900.0</v>
      </c>
      <c r="K1280" s="2">
        <v>42093.0</v>
      </c>
      <c r="L1280" s="1">
        <v>27.0</v>
      </c>
      <c r="M1280" s="2">
        <v>42093.0</v>
      </c>
      <c r="N1280" s="1" t="s">
        <v>187</v>
      </c>
      <c r="O1280" s="2">
        <v>42142.0</v>
      </c>
      <c r="P1280" s="1">
        <v>86597.0</v>
      </c>
      <c r="Q1280" s="1">
        <v>8248.0</v>
      </c>
      <c r="S1280" s="1">
        <v>5303.0</v>
      </c>
      <c r="T1280" s="1" t="s">
        <v>13578</v>
      </c>
      <c r="U1280" s="1" t="s">
        <v>189</v>
      </c>
      <c r="V1280" s="1" t="s">
        <v>190</v>
      </c>
      <c r="W1280" s="1">
        <v>60656.0</v>
      </c>
      <c r="Y1280" s="1" t="s">
        <v>13579</v>
      </c>
      <c r="Z1280" s="1">
        <v>1954.0</v>
      </c>
      <c r="AA1280" s="1" t="s">
        <v>192</v>
      </c>
      <c r="AB1280" s="1" t="s">
        <v>193</v>
      </c>
      <c r="AD1280" s="1" t="s">
        <v>194</v>
      </c>
      <c r="AE1280" s="1" t="s">
        <v>195</v>
      </c>
      <c r="AF1280" s="1" t="s">
        <v>196</v>
      </c>
      <c r="AG1280" s="1" t="s">
        <v>11691</v>
      </c>
      <c r="AH1280" s="1" t="s">
        <v>13580</v>
      </c>
      <c r="AI1280" s="1">
        <v>0.0854</v>
      </c>
      <c r="AK1280" s="1">
        <v>7.0</v>
      </c>
      <c r="AL1280" s="1">
        <v>4.0</v>
      </c>
      <c r="AM1280" s="1">
        <v>1.0</v>
      </c>
      <c r="AN1280" s="1">
        <v>0.0</v>
      </c>
      <c r="AO1280" s="1" t="s">
        <v>229</v>
      </c>
      <c r="AQ1280" s="1" t="s">
        <v>198</v>
      </c>
      <c r="AR1280" s="1" t="s">
        <v>200</v>
      </c>
      <c r="AS1280" s="1" t="s">
        <v>199</v>
      </c>
      <c r="AT1280" s="1">
        <v>2.5</v>
      </c>
      <c r="AV1280" s="1" t="s">
        <v>200</v>
      </c>
      <c r="AW1280" s="1">
        <v>3305.66</v>
      </c>
      <c r="AX1280" s="1">
        <v>2013.0</v>
      </c>
      <c r="AY1280" s="1" t="s">
        <v>387</v>
      </c>
      <c r="AZ1280" s="1" t="s">
        <v>200</v>
      </c>
      <c r="BA1280" s="1" t="str">
        <f>"13072200190000"</f>
        <v>13072200190000</v>
      </c>
      <c r="BB1280" s="1" t="s">
        <v>200</v>
      </c>
      <c r="BC1280" s="1">
        <v>1260.0</v>
      </c>
      <c r="BD1280" s="1">
        <v>277000.0</v>
      </c>
      <c r="BE1280" s="2">
        <v>42067.0</v>
      </c>
      <c r="BF1280" s="2" t="s">
        <v>13581</v>
      </c>
      <c r="BG1280" s="1" t="s">
        <v>13582</v>
      </c>
      <c r="BH1280" s="1">
        <v>0.0</v>
      </c>
      <c r="BI1280" s="1" t="s">
        <v>13582</v>
      </c>
      <c r="BJ1280" s="1" t="s">
        <v>1222</v>
      </c>
      <c r="BK1280" s="1" t="s">
        <v>204</v>
      </c>
      <c r="BL1280" s="1" t="str">
        <f>"5303"</f>
        <v>5303</v>
      </c>
      <c r="BM1280" s="1" t="str">
        <f t="shared" si="849"/>
        <v>0</v>
      </c>
      <c r="BN1280" s="1">
        <v>6532.0</v>
      </c>
      <c r="BO1280" s="1">
        <v>0.0</v>
      </c>
      <c r="BQ1280" s="1">
        <v>299.0</v>
      </c>
      <c r="BR1280" s="1">
        <v>299.0</v>
      </c>
      <c r="BS1280" s="1">
        <v>299.0</v>
      </c>
      <c r="BU1280" s="1" t="s">
        <v>664</v>
      </c>
      <c r="BV1280" s="1" t="s">
        <v>206</v>
      </c>
      <c r="BW1280" s="1" t="s">
        <v>207</v>
      </c>
      <c r="BX1280" s="1" t="s">
        <v>229</v>
      </c>
      <c r="BY1280" s="1" t="s">
        <v>582</v>
      </c>
      <c r="BZ1280" s="1" t="s">
        <v>209</v>
      </c>
      <c r="CA1280" s="1" t="s">
        <v>588</v>
      </c>
      <c r="CB1280" s="1" t="s">
        <v>229</v>
      </c>
      <c r="CC1280" s="1" t="s">
        <v>542</v>
      </c>
      <c r="CD1280" s="1" t="s">
        <v>206</v>
      </c>
      <c r="CE1280" s="1" t="s">
        <v>207</v>
      </c>
      <c r="CG1280" s="1" t="s">
        <v>262</v>
      </c>
      <c r="CH1280" s="1" t="s">
        <v>209</v>
      </c>
      <c r="CI1280" s="1" t="s">
        <v>588</v>
      </c>
      <c r="CJ1280" s="1" t="s">
        <v>229</v>
      </c>
      <c r="CK1280" s="1" t="s">
        <v>264</v>
      </c>
      <c r="CL1280" s="1" t="s">
        <v>206</v>
      </c>
      <c r="CM1280" s="1" t="s">
        <v>207</v>
      </c>
      <c r="CN1280" s="1" t="s">
        <v>229</v>
      </c>
      <c r="CO1280" s="1" t="s">
        <v>264</v>
      </c>
      <c r="CP1280" s="1" t="s">
        <v>206</v>
      </c>
      <c r="CQ1280" s="1" t="s">
        <v>207</v>
      </c>
      <c r="CR1280" s="1" t="s">
        <v>229</v>
      </c>
      <c r="CS1280" s="1" t="s">
        <v>729</v>
      </c>
      <c r="CT1280" s="1" t="s">
        <v>206</v>
      </c>
      <c r="CV1280" s="1" t="s">
        <v>431</v>
      </c>
      <c r="CX1280" s="1" t="s">
        <v>204</v>
      </c>
      <c r="DA1280" s="1" t="s">
        <v>200</v>
      </c>
      <c r="DC1280" s="1" t="s">
        <v>702</v>
      </c>
      <c r="DD1280" s="1" t="s">
        <v>518</v>
      </c>
      <c r="DE1280" s="1" t="s">
        <v>273</v>
      </c>
      <c r="DF1280" s="1" t="s">
        <v>219</v>
      </c>
      <c r="DG1280" s="1" t="s">
        <v>337</v>
      </c>
      <c r="DH1280" s="1" t="s">
        <v>307</v>
      </c>
      <c r="DI1280" s="1" t="s">
        <v>1223</v>
      </c>
      <c r="DJ1280" s="1" t="s">
        <v>222</v>
      </c>
      <c r="DK1280" s="1" t="s">
        <v>224</v>
      </c>
      <c r="DL1280" s="1" t="s">
        <v>223</v>
      </c>
      <c r="DM1280" s="1" t="s">
        <v>229</v>
      </c>
      <c r="DN1280" s="1" t="s">
        <v>793</v>
      </c>
      <c r="DO1280" s="1" t="s">
        <v>549</v>
      </c>
      <c r="DP1280" s="1" t="s">
        <v>276</v>
      </c>
      <c r="DQ1280" s="1" t="s">
        <v>441</v>
      </c>
      <c r="DR1280" s="1" t="s">
        <v>229</v>
      </c>
      <c r="DV1280" s="1" t="s">
        <v>232</v>
      </c>
      <c r="DW1280" s="1" t="s">
        <v>279</v>
      </c>
      <c r="DX1280" s="1" t="s">
        <v>234</v>
      </c>
      <c r="DY1280" s="1" t="s">
        <v>704</v>
      </c>
      <c r="EA1280" s="1" t="s">
        <v>257</v>
      </c>
      <c r="EC1280" s="1" t="s">
        <v>237</v>
      </c>
      <c r="ED1280" s="1" t="s">
        <v>555</v>
      </c>
      <c r="EE1280" s="1" t="s">
        <v>522</v>
      </c>
      <c r="EM1280" s="1" t="s">
        <v>238</v>
      </c>
      <c r="EQ1280" s="1" t="s">
        <v>238</v>
      </c>
      <c r="EU1280" s="1" t="s">
        <v>238</v>
      </c>
      <c r="EY1280" s="1" t="s">
        <v>238</v>
      </c>
      <c r="FC1280" s="1" t="s">
        <v>238</v>
      </c>
      <c r="FF1280" s="1" t="s">
        <v>239</v>
      </c>
      <c r="FG1280" s="1" t="s">
        <v>192</v>
      </c>
      <c r="FH1280" s="1" t="s">
        <v>192</v>
      </c>
      <c r="FJ1280" s="1" t="s">
        <v>799</v>
      </c>
      <c r="FK1280" s="1" t="s">
        <v>229</v>
      </c>
      <c r="FL1280" s="1" t="s">
        <v>6261</v>
      </c>
      <c r="FM1280" s="1">
        <v>18505.0</v>
      </c>
      <c r="FN1280" s="1" t="s">
        <v>6262</v>
      </c>
      <c r="FO1280" s="1" t="s">
        <v>13583</v>
      </c>
      <c r="FP1280" s="1">
        <v>113286.0</v>
      </c>
      <c r="FQ1280" s="1" t="s">
        <v>13584</v>
      </c>
      <c r="FS1280" s="1">
        <v>8.473610516E9</v>
      </c>
      <c r="FU1280" s="1" t="s">
        <v>13585</v>
      </c>
      <c r="FV1280" s="1" t="s">
        <v>200</v>
      </c>
      <c r="FW1280" s="1" t="s">
        <v>567</v>
      </c>
      <c r="FX1280" s="1" t="s">
        <v>238</v>
      </c>
      <c r="FZ1280" s="1" t="s">
        <v>229</v>
      </c>
      <c r="GA1280" s="1" t="s">
        <v>291</v>
      </c>
      <c r="GB1280" s="2">
        <v>42150.0</v>
      </c>
      <c r="GC1280" s="1" t="s">
        <v>13586</v>
      </c>
    </row>
    <row r="1281">
      <c r="A1281" s="1">
        <v>202000.0</v>
      </c>
      <c r="B1281" s="1" t="s">
        <v>185</v>
      </c>
      <c r="C1281" s="1" t="str">
        <f>"08853726"</f>
        <v>08853726</v>
      </c>
      <c r="D1281" s="1" t="s">
        <v>186</v>
      </c>
      <c r="F1281" s="1" t="str">
        <f>"123"</f>
        <v>123</v>
      </c>
      <c r="G1281" s="2">
        <v>42068.0</v>
      </c>
      <c r="H1281" s="1">
        <v>199900.0</v>
      </c>
      <c r="I1281" s="1">
        <v>6.0</v>
      </c>
      <c r="J1281" s="1">
        <v>199900.0</v>
      </c>
      <c r="K1281" s="2">
        <v>42073.0</v>
      </c>
      <c r="L1281" s="1">
        <v>6.0</v>
      </c>
      <c r="M1281" s="2">
        <v>42073.0</v>
      </c>
      <c r="N1281" s="1" t="s">
        <v>187</v>
      </c>
      <c r="O1281" s="2">
        <v>42111.0</v>
      </c>
      <c r="P1281" s="1">
        <v>7968.0</v>
      </c>
      <c r="Q1281" s="1">
        <v>372.0</v>
      </c>
      <c r="S1281" s="1">
        <v>1905.0</v>
      </c>
      <c r="T1281" s="1" t="s">
        <v>13587</v>
      </c>
      <c r="U1281" s="1" t="s">
        <v>1174</v>
      </c>
      <c r="V1281" s="1" t="s">
        <v>465</v>
      </c>
      <c r="W1281" s="1">
        <v>60123.0</v>
      </c>
      <c r="Y1281" s="1" t="s">
        <v>13588</v>
      </c>
      <c r="Z1281" s="1">
        <v>1979.0</v>
      </c>
      <c r="AA1281" s="1" t="s">
        <v>200</v>
      </c>
      <c r="AB1281" s="1" t="s">
        <v>193</v>
      </c>
      <c r="AC1281" s="1" t="s">
        <v>13589</v>
      </c>
      <c r="AD1281" s="1" t="s">
        <v>469</v>
      </c>
      <c r="AE1281" s="1" t="s">
        <v>325</v>
      </c>
      <c r="AF1281" s="1" t="s">
        <v>469</v>
      </c>
      <c r="AG1281" s="1" t="s">
        <v>752</v>
      </c>
      <c r="AH1281" s="1" t="s">
        <v>13590</v>
      </c>
      <c r="AI1281" s="1">
        <v>0.217</v>
      </c>
      <c r="AK1281" s="1">
        <v>11.0</v>
      </c>
      <c r="AL1281" s="1">
        <v>4.0</v>
      </c>
      <c r="AM1281" s="1">
        <v>3.0</v>
      </c>
      <c r="AN1281" s="1">
        <v>0.0</v>
      </c>
      <c r="AO1281" s="1" t="s">
        <v>198</v>
      </c>
      <c r="AP1281" s="1">
        <v>1.0</v>
      </c>
      <c r="AQ1281" s="1" t="s">
        <v>198</v>
      </c>
      <c r="AR1281" s="1" t="s">
        <v>192</v>
      </c>
      <c r="AS1281" s="1" t="s">
        <v>199</v>
      </c>
      <c r="AT1281" s="1">
        <v>2.0</v>
      </c>
      <c r="AV1281" s="1" t="s">
        <v>200</v>
      </c>
      <c r="AW1281" s="1">
        <v>4511.0</v>
      </c>
      <c r="AX1281" s="1">
        <v>2013.0</v>
      </c>
      <c r="AY1281" s="1" t="s">
        <v>387</v>
      </c>
      <c r="AZ1281" s="1" t="s">
        <v>200</v>
      </c>
      <c r="BA1281" s="1" t="str">
        <f>"0604429001"</f>
        <v>0604429001</v>
      </c>
      <c r="BB1281" s="1" t="s">
        <v>200</v>
      </c>
      <c r="BC1281" s="1">
        <v>0.0</v>
      </c>
      <c r="BD1281" s="1">
        <v>202000.0</v>
      </c>
      <c r="BE1281" s="2">
        <v>42068.0</v>
      </c>
      <c r="BF1281" s="2" t="s">
        <v>13591</v>
      </c>
      <c r="BG1281" s="1" t="s">
        <v>5600</v>
      </c>
      <c r="BH1281" s="1">
        <v>0.0</v>
      </c>
      <c r="BI1281" s="1" t="s">
        <v>3197</v>
      </c>
      <c r="BJ1281" s="1" t="s">
        <v>675</v>
      </c>
      <c r="BK1281" s="1" t="s">
        <v>204</v>
      </c>
      <c r="BL1281" s="1" t="str">
        <f t="shared" ref="BL1281:BM1281" si="850">""</f>
        <v/>
      </c>
      <c r="BM1281" s="1" t="str">
        <f t="shared" si="850"/>
        <v/>
      </c>
      <c r="BQ1281" s="1">
        <v>46.0</v>
      </c>
      <c r="BR1281" s="1">
        <v>46.0</v>
      </c>
      <c r="BS1281" s="1">
        <v>46.0</v>
      </c>
      <c r="BU1281" s="1" t="s">
        <v>1483</v>
      </c>
      <c r="BV1281" s="1" t="s">
        <v>206</v>
      </c>
      <c r="BW1281" s="1" t="s">
        <v>207</v>
      </c>
      <c r="BX1281" s="1" t="s">
        <v>239</v>
      </c>
      <c r="BY1281" s="1" t="s">
        <v>262</v>
      </c>
      <c r="BZ1281" s="1" t="s">
        <v>206</v>
      </c>
      <c r="CA1281" s="1" t="s">
        <v>210</v>
      </c>
      <c r="CB1281" s="1" t="s">
        <v>239</v>
      </c>
      <c r="CD1281" s="1" t="s">
        <v>204</v>
      </c>
      <c r="CG1281" s="1" t="s">
        <v>433</v>
      </c>
      <c r="CH1281" s="1" t="s">
        <v>206</v>
      </c>
      <c r="CI1281" s="1" t="s">
        <v>210</v>
      </c>
      <c r="CJ1281" s="1" t="s">
        <v>239</v>
      </c>
      <c r="CK1281" s="1" t="s">
        <v>264</v>
      </c>
      <c r="CL1281" s="1" t="s">
        <v>206</v>
      </c>
      <c r="CM1281" s="1" t="s">
        <v>210</v>
      </c>
      <c r="CN1281" s="1" t="s">
        <v>239</v>
      </c>
      <c r="CO1281" s="1" t="s">
        <v>264</v>
      </c>
      <c r="CP1281" s="1" t="s">
        <v>267</v>
      </c>
      <c r="CQ1281" s="1" t="s">
        <v>210</v>
      </c>
      <c r="CS1281" s="1" t="s">
        <v>205</v>
      </c>
      <c r="CT1281" s="1" t="s">
        <v>206</v>
      </c>
      <c r="CU1281" s="1" t="s">
        <v>617</v>
      </c>
      <c r="CW1281" s="1" t="s">
        <v>333</v>
      </c>
      <c r="CX1281" s="1" t="s">
        <v>267</v>
      </c>
      <c r="CY1281" s="1" t="s">
        <v>210</v>
      </c>
      <c r="DA1281" s="1" t="s">
        <v>200</v>
      </c>
      <c r="DC1281" s="1" t="s">
        <v>395</v>
      </c>
      <c r="DD1281" s="1" t="s">
        <v>518</v>
      </c>
      <c r="DE1281" s="1" t="s">
        <v>273</v>
      </c>
      <c r="DF1281" s="1" t="s">
        <v>13592</v>
      </c>
      <c r="DG1281" s="1" t="s">
        <v>3110</v>
      </c>
      <c r="DH1281" s="1" t="s">
        <v>220</v>
      </c>
      <c r="DI1281" s="1" t="s">
        <v>366</v>
      </c>
      <c r="DJ1281" s="1" t="s">
        <v>222</v>
      </c>
      <c r="DL1281" s="1" t="s">
        <v>224</v>
      </c>
      <c r="DM1281" s="1" t="s">
        <v>338</v>
      </c>
      <c r="DO1281" s="1" t="s">
        <v>717</v>
      </c>
      <c r="DQ1281" s="1" t="s">
        <v>228</v>
      </c>
      <c r="DR1281" s="1" t="s">
        <v>229</v>
      </c>
      <c r="DU1281" s="1" t="s">
        <v>3073</v>
      </c>
      <c r="DV1281" s="1" t="s">
        <v>13593</v>
      </c>
      <c r="DW1281" s="1" t="s">
        <v>444</v>
      </c>
      <c r="DX1281" s="1" t="s">
        <v>1287</v>
      </c>
      <c r="DY1281" s="1" t="s">
        <v>1073</v>
      </c>
      <c r="DZ1281" s="1" t="s">
        <v>2693</v>
      </c>
      <c r="EA1281" s="1" t="s">
        <v>683</v>
      </c>
      <c r="EB1281" s="1" t="s">
        <v>4251</v>
      </c>
      <c r="EC1281" s="1" t="s">
        <v>685</v>
      </c>
      <c r="ED1281" s="1" t="s">
        <v>864</v>
      </c>
      <c r="EG1281" s="1" t="s">
        <v>557</v>
      </c>
      <c r="EI1281" s="1" t="s">
        <v>1407</v>
      </c>
      <c r="EJ1281" s="1" t="s">
        <v>1491</v>
      </c>
      <c r="EK1281" s="1" t="s">
        <v>1824</v>
      </c>
      <c r="EL1281" s="1" t="s">
        <v>582</v>
      </c>
      <c r="EM1281" s="1" t="s">
        <v>206</v>
      </c>
      <c r="EQ1281" s="1" t="s">
        <v>238</v>
      </c>
      <c r="ET1281" s="1" t="s">
        <v>2047</v>
      </c>
      <c r="EU1281" s="1" t="s">
        <v>267</v>
      </c>
      <c r="EV1281" s="1" t="s">
        <v>617</v>
      </c>
      <c r="EX1281" s="1" t="s">
        <v>265</v>
      </c>
      <c r="EY1281" s="1" t="s">
        <v>267</v>
      </c>
      <c r="FB1281" s="1" t="s">
        <v>264</v>
      </c>
      <c r="FC1281" s="1" t="s">
        <v>267</v>
      </c>
      <c r="FF1281" s="1" t="s">
        <v>239</v>
      </c>
      <c r="FG1281" s="1" t="s">
        <v>192</v>
      </c>
      <c r="FH1281" s="1" t="s">
        <v>192</v>
      </c>
      <c r="FJ1281" s="1" t="s">
        <v>7339</v>
      </c>
      <c r="FK1281" s="1" t="s">
        <v>229</v>
      </c>
      <c r="FL1281" s="1" t="s">
        <v>5530</v>
      </c>
      <c r="FM1281" s="1">
        <v>8079.0</v>
      </c>
      <c r="FN1281" s="1" t="s">
        <v>5531</v>
      </c>
      <c r="FO1281" s="1" t="s">
        <v>13594</v>
      </c>
      <c r="FP1281" s="1">
        <v>920858.0</v>
      </c>
      <c r="FQ1281" s="1" t="s">
        <v>13595</v>
      </c>
      <c r="FU1281" s="1" t="s">
        <v>13596</v>
      </c>
      <c r="FV1281" s="1" t="s">
        <v>200</v>
      </c>
      <c r="FW1281" s="1" t="s">
        <v>290</v>
      </c>
      <c r="FZ1281" s="1" t="s">
        <v>229</v>
      </c>
      <c r="GA1281" s="1" t="s">
        <v>291</v>
      </c>
      <c r="GB1281" s="2">
        <v>42114.0</v>
      </c>
    </row>
    <row r="1282">
      <c r="A1282" s="1">
        <v>370000.0</v>
      </c>
      <c r="B1282" s="1" t="s">
        <v>185</v>
      </c>
      <c r="C1282" s="1" t="str">
        <f>"08853071"</f>
        <v>08853071</v>
      </c>
      <c r="D1282" s="1" t="s">
        <v>186</v>
      </c>
      <c r="F1282" s="1" t="str">
        <f>"8010"</f>
        <v>8010</v>
      </c>
      <c r="G1282" s="2">
        <v>42068.0</v>
      </c>
      <c r="H1282" s="1">
        <v>389700.0</v>
      </c>
      <c r="I1282" s="1">
        <v>22.0</v>
      </c>
      <c r="J1282" s="1">
        <v>389700.0</v>
      </c>
      <c r="K1282" s="2">
        <v>42089.0</v>
      </c>
      <c r="L1282" s="1">
        <v>22.0</v>
      </c>
      <c r="M1282" s="2">
        <v>42089.0</v>
      </c>
      <c r="N1282" s="1" t="s">
        <v>187</v>
      </c>
      <c r="O1282" s="2">
        <v>42130.0</v>
      </c>
      <c r="P1282" s="1">
        <v>133045.0</v>
      </c>
      <c r="Q1282" s="1">
        <v>84404.0</v>
      </c>
      <c r="S1282" s="1">
        <v>4851.0</v>
      </c>
      <c r="T1282" s="1" t="s">
        <v>8742</v>
      </c>
      <c r="U1282" s="1" t="s">
        <v>189</v>
      </c>
      <c r="V1282" s="1" t="s">
        <v>190</v>
      </c>
      <c r="W1282" s="1">
        <v>60656.0</v>
      </c>
      <c r="Y1282" s="1" t="s">
        <v>13597</v>
      </c>
      <c r="Z1282" s="1" t="s">
        <v>296</v>
      </c>
      <c r="AA1282" s="1" t="s">
        <v>192</v>
      </c>
      <c r="AB1282" s="1" t="s">
        <v>193</v>
      </c>
      <c r="AD1282" s="1" t="s">
        <v>194</v>
      </c>
      <c r="AE1282" s="1" t="s">
        <v>195</v>
      </c>
      <c r="AF1282" s="1" t="s">
        <v>196</v>
      </c>
      <c r="AH1282" s="1" t="s">
        <v>2164</v>
      </c>
      <c r="AK1282" s="1">
        <v>10.0</v>
      </c>
      <c r="AL1282" s="1">
        <v>3.0</v>
      </c>
      <c r="AM1282" s="1">
        <v>2.0</v>
      </c>
      <c r="AN1282" s="1">
        <v>0.0</v>
      </c>
      <c r="AO1282" s="1" t="s">
        <v>229</v>
      </c>
      <c r="AQ1282" s="1" t="s">
        <v>198</v>
      </c>
      <c r="AR1282" s="1" t="s">
        <v>192</v>
      </c>
      <c r="AS1282" s="1" t="s">
        <v>199</v>
      </c>
      <c r="AT1282" s="1">
        <v>2.5</v>
      </c>
      <c r="AV1282" s="1" t="s">
        <v>200</v>
      </c>
      <c r="AW1282" s="1">
        <v>4551.0</v>
      </c>
      <c r="AX1282" s="1">
        <v>2013.0</v>
      </c>
      <c r="AY1282" s="1" t="s">
        <v>229</v>
      </c>
      <c r="AZ1282" s="1" t="s">
        <v>200</v>
      </c>
      <c r="BA1282" s="1" t="str">
        <f>"13074210300000"</f>
        <v>13074210300000</v>
      </c>
      <c r="BC1282" s="1">
        <v>1340.0</v>
      </c>
      <c r="BD1282" s="1">
        <v>370000.0</v>
      </c>
      <c r="BE1282" s="2">
        <v>42068.0</v>
      </c>
      <c r="BF1282" s="2" t="s">
        <v>13598</v>
      </c>
      <c r="BG1282" s="1" t="s">
        <v>10629</v>
      </c>
      <c r="BH1282" s="1">
        <v>0.0</v>
      </c>
      <c r="BI1282" s="1" t="s">
        <v>10629</v>
      </c>
      <c r="BJ1282" s="1" t="s">
        <v>1222</v>
      </c>
      <c r="BK1282" s="1" t="s">
        <v>204</v>
      </c>
      <c r="BL1282" s="1" t="str">
        <f>"4851"</f>
        <v>4851</v>
      </c>
      <c r="BM1282" s="1" t="str">
        <f>"0"</f>
        <v>0</v>
      </c>
      <c r="BN1282" s="1">
        <v>6600.0</v>
      </c>
      <c r="BO1282" s="1">
        <v>0.0</v>
      </c>
      <c r="BQ1282" s="1">
        <v>299.0</v>
      </c>
      <c r="BR1282" s="1">
        <v>299.0</v>
      </c>
      <c r="BS1282" s="1">
        <v>299.0</v>
      </c>
      <c r="BU1282" s="1" t="s">
        <v>453</v>
      </c>
      <c r="BV1282" s="1" t="s">
        <v>206</v>
      </c>
      <c r="BW1282" s="1" t="s">
        <v>207</v>
      </c>
      <c r="BY1282" s="1" t="s">
        <v>433</v>
      </c>
      <c r="BZ1282" s="1" t="s">
        <v>206</v>
      </c>
      <c r="CA1282" s="1" t="s">
        <v>207</v>
      </c>
      <c r="CC1282" s="1" t="s">
        <v>1351</v>
      </c>
      <c r="CD1282" s="1" t="s">
        <v>206</v>
      </c>
      <c r="CE1282" s="1" t="s">
        <v>207</v>
      </c>
      <c r="CG1282" s="1" t="s">
        <v>363</v>
      </c>
      <c r="CH1282" s="1" t="s">
        <v>206</v>
      </c>
      <c r="CI1282" s="1" t="s">
        <v>207</v>
      </c>
      <c r="CK1282" s="1" t="s">
        <v>363</v>
      </c>
      <c r="CL1282" s="1" t="s">
        <v>206</v>
      </c>
      <c r="CM1282" s="1" t="s">
        <v>207</v>
      </c>
      <c r="CO1282" s="1" t="s">
        <v>331</v>
      </c>
      <c r="CP1282" s="1" t="s">
        <v>42</v>
      </c>
      <c r="CQ1282" s="1" t="s">
        <v>268</v>
      </c>
      <c r="CS1282" s="1" t="s">
        <v>329</v>
      </c>
      <c r="CT1282" s="1" t="s">
        <v>206</v>
      </c>
      <c r="CU1282" s="1" t="s">
        <v>207</v>
      </c>
      <c r="CX1282" s="1" t="s">
        <v>204</v>
      </c>
      <c r="DA1282" s="1" t="s">
        <v>200</v>
      </c>
      <c r="DC1282" s="1" t="s">
        <v>545</v>
      </c>
      <c r="DD1282" s="1" t="s">
        <v>731</v>
      </c>
      <c r="DE1282" s="1" t="s">
        <v>273</v>
      </c>
      <c r="DF1282" s="1" t="s">
        <v>4086</v>
      </c>
      <c r="DG1282" s="1" t="s">
        <v>13599</v>
      </c>
      <c r="DH1282" s="1" t="s">
        <v>365</v>
      </c>
      <c r="DI1282" s="1" t="s">
        <v>732</v>
      </c>
      <c r="DJ1282" s="1" t="s">
        <v>222</v>
      </c>
      <c r="DK1282" s="1" t="s">
        <v>223</v>
      </c>
      <c r="DL1282" s="1" t="s">
        <v>1161</v>
      </c>
      <c r="DM1282" s="1" t="s">
        <v>229</v>
      </c>
      <c r="DN1282" s="1" t="s">
        <v>548</v>
      </c>
      <c r="DQ1282" s="1" t="s">
        <v>441</v>
      </c>
      <c r="DR1282" s="1" t="s">
        <v>229</v>
      </c>
      <c r="DS1282" s="1" t="s">
        <v>401</v>
      </c>
      <c r="DU1282" s="1" t="s">
        <v>681</v>
      </c>
      <c r="DV1282" s="1" t="s">
        <v>13600</v>
      </c>
      <c r="DW1282" s="1" t="s">
        <v>279</v>
      </c>
      <c r="DX1282" s="1" t="s">
        <v>234</v>
      </c>
      <c r="DY1282" s="1" t="s">
        <v>371</v>
      </c>
      <c r="EA1282" s="1" t="s">
        <v>1302</v>
      </c>
      <c r="EC1282" s="1" t="s">
        <v>685</v>
      </c>
      <c r="ED1282" s="1" t="s">
        <v>1794</v>
      </c>
      <c r="EE1282" s="1" t="s">
        <v>1077</v>
      </c>
      <c r="EG1282" s="1" t="s">
        <v>494</v>
      </c>
      <c r="EH1282" s="1" t="s">
        <v>1164</v>
      </c>
      <c r="EI1282" s="1" t="s">
        <v>1491</v>
      </c>
      <c r="EJ1282" s="1" t="s">
        <v>1103</v>
      </c>
      <c r="EK1282" s="1" t="s">
        <v>588</v>
      </c>
      <c r="EL1282" s="1" t="s">
        <v>1137</v>
      </c>
      <c r="EM1282" s="1" t="s">
        <v>206</v>
      </c>
      <c r="EN1282" s="1" t="s">
        <v>207</v>
      </c>
      <c r="EP1282" s="1" t="s">
        <v>2365</v>
      </c>
      <c r="EQ1282" s="1" t="s">
        <v>42</v>
      </c>
      <c r="ER1282" s="1" t="s">
        <v>268</v>
      </c>
      <c r="ET1282" s="1" t="s">
        <v>4787</v>
      </c>
      <c r="EU1282" s="1" t="s">
        <v>42</v>
      </c>
      <c r="EV1282" s="1" t="s">
        <v>268</v>
      </c>
      <c r="EX1282" s="1" t="s">
        <v>940</v>
      </c>
      <c r="EY1282" s="1" t="s">
        <v>42</v>
      </c>
      <c r="EZ1282" s="1" t="s">
        <v>588</v>
      </c>
      <c r="FB1282" s="1" t="s">
        <v>3467</v>
      </c>
      <c r="FC1282" s="1" t="s">
        <v>42</v>
      </c>
      <c r="FD1282" s="1" t="s">
        <v>268</v>
      </c>
      <c r="FF1282" s="1" t="s">
        <v>239</v>
      </c>
      <c r="FG1282" s="1" t="s">
        <v>192</v>
      </c>
      <c r="FH1282" s="1" t="s">
        <v>192</v>
      </c>
      <c r="FJ1282" s="1" t="s">
        <v>1450</v>
      </c>
      <c r="FK1282" s="1" t="s">
        <v>229</v>
      </c>
      <c r="FL1282" s="1" t="s">
        <v>5108</v>
      </c>
      <c r="FM1282" s="1">
        <v>14316.0</v>
      </c>
      <c r="FN1282" s="1" t="s">
        <v>5109</v>
      </c>
      <c r="FO1282" s="1" t="s">
        <v>13601</v>
      </c>
      <c r="FP1282" s="1">
        <v>139951.0</v>
      </c>
      <c r="FQ1282" s="1" t="s">
        <v>13602</v>
      </c>
      <c r="FU1282" s="1" t="s">
        <v>13603</v>
      </c>
      <c r="FV1282" s="1" t="s">
        <v>200</v>
      </c>
      <c r="FW1282" s="1" t="s">
        <v>654</v>
      </c>
      <c r="FX1282" s="1" t="s">
        <v>238</v>
      </c>
      <c r="FZ1282" s="1" t="s">
        <v>229</v>
      </c>
      <c r="GA1282" s="1" t="s">
        <v>291</v>
      </c>
      <c r="GB1282" s="2">
        <v>42130.0</v>
      </c>
      <c r="GC1282" s="1" t="s">
        <v>13604</v>
      </c>
    </row>
    <row r="1283">
      <c r="A1283" s="1">
        <v>30000.0</v>
      </c>
      <c r="B1283" s="1" t="s">
        <v>185</v>
      </c>
      <c r="C1283" s="1" t="str">
        <f>"08853149"</f>
        <v>08853149</v>
      </c>
      <c r="D1283" s="1" t="s">
        <v>186</v>
      </c>
      <c r="F1283" s="1" t="str">
        <f>"8046"</f>
        <v>8046</v>
      </c>
      <c r="G1283" s="2">
        <v>42068.0</v>
      </c>
      <c r="H1283" s="1">
        <v>35000.0</v>
      </c>
      <c r="I1283" s="1">
        <v>22.0</v>
      </c>
      <c r="J1283" s="1">
        <v>35000.0</v>
      </c>
      <c r="K1283" s="2">
        <v>42089.0</v>
      </c>
      <c r="L1283" s="1">
        <v>22.0</v>
      </c>
      <c r="M1283" s="2">
        <v>42089.0</v>
      </c>
      <c r="N1283" s="1" t="s">
        <v>249</v>
      </c>
      <c r="O1283" s="2">
        <v>42097.0</v>
      </c>
      <c r="P1283" s="1">
        <v>117359.0</v>
      </c>
      <c r="Q1283" s="1">
        <v>18847.0</v>
      </c>
      <c r="S1283" s="1">
        <v>8533.0</v>
      </c>
      <c r="T1283" s="1" t="s">
        <v>13605</v>
      </c>
      <c r="U1283" s="1" t="s">
        <v>189</v>
      </c>
      <c r="V1283" s="1" t="s">
        <v>190</v>
      </c>
      <c r="W1283" s="1">
        <v>60617.0</v>
      </c>
      <c r="Y1283" s="1" t="s">
        <v>13606</v>
      </c>
      <c r="Z1283" s="1">
        <v>1903.0</v>
      </c>
      <c r="AA1283" s="1" t="s">
        <v>192</v>
      </c>
      <c r="AB1283" s="1" t="s">
        <v>193</v>
      </c>
      <c r="AD1283" s="1" t="s">
        <v>194</v>
      </c>
      <c r="AE1283" s="1" t="s">
        <v>195</v>
      </c>
      <c r="AF1283" s="1" t="s">
        <v>637</v>
      </c>
      <c r="AH1283" s="1" t="s">
        <v>359</v>
      </c>
      <c r="AI1283" s="1">
        <v>0.0717</v>
      </c>
      <c r="AK1283" s="1">
        <v>7.0</v>
      </c>
      <c r="AL1283" s="1">
        <v>2.0</v>
      </c>
      <c r="AM1283" s="1">
        <v>2.0</v>
      </c>
      <c r="AN1283" s="1">
        <v>0.0</v>
      </c>
      <c r="AO1283" s="1" t="s">
        <v>229</v>
      </c>
      <c r="AQ1283" s="1" t="s">
        <v>198</v>
      </c>
      <c r="AR1283" s="1" t="s">
        <v>192</v>
      </c>
      <c r="AS1283" s="1" t="s">
        <v>229</v>
      </c>
      <c r="AV1283" s="1" t="s">
        <v>200</v>
      </c>
      <c r="AW1283" s="1">
        <v>1611.0</v>
      </c>
      <c r="AX1283" s="1">
        <v>2013.0</v>
      </c>
      <c r="AY1283" s="1" t="s">
        <v>229</v>
      </c>
      <c r="AZ1283" s="1" t="s">
        <v>200</v>
      </c>
      <c r="BA1283" s="1" t="str">
        <f>"21314180130000"</f>
        <v>21314180130000</v>
      </c>
      <c r="BC1283" s="1">
        <v>1158.0</v>
      </c>
      <c r="BD1283" s="1">
        <v>30000.0</v>
      </c>
      <c r="BE1283" s="2">
        <v>42068.0</v>
      </c>
      <c r="BF1283" s="1" t="s">
        <v>13607</v>
      </c>
      <c r="BH1283" s="1">
        <v>0.0</v>
      </c>
      <c r="BK1283" s="1" t="s">
        <v>204</v>
      </c>
      <c r="BL1283" s="1" t="str">
        <f>"0"</f>
        <v>0</v>
      </c>
      <c r="BM1283" s="1" t="str">
        <f>"2900"</f>
        <v>2900</v>
      </c>
      <c r="BN1283" s="1">
        <v>0.0</v>
      </c>
      <c r="BO1283" s="1">
        <v>8500.0</v>
      </c>
      <c r="BQ1283" s="1">
        <v>299.0</v>
      </c>
      <c r="BR1283" s="1">
        <v>299.0</v>
      </c>
      <c r="BS1283" s="1">
        <v>299.0</v>
      </c>
      <c r="BU1283" s="1" t="s">
        <v>264</v>
      </c>
      <c r="BV1283" s="1" t="s">
        <v>206</v>
      </c>
      <c r="BW1283" s="1" t="s">
        <v>207</v>
      </c>
      <c r="BX1283" s="1" t="s">
        <v>229</v>
      </c>
      <c r="BY1283" s="1" t="s">
        <v>3888</v>
      </c>
      <c r="BZ1283" s="1" t="s">
        <v>206</v>
      </c>
      <c r="CA1283" s="1" t="s">
        <v>207</v>
      </c>
      <c r="CB1283" s="1" t="s">
        <v>229</v>
      </c>
      <c r="CC1283" s="1" t="s">
        <v>264</v>
      </c>
      <c r="CD1283" s="1" t="s">
        <v>206</v>
      </c>
      <c r="CE1283" s="1" t="s">
        <v>207</v>
      </c>
      <c r="CF1283" s="1" t="s">
        <v>229</v>
      </c>
      <c r="CG1283" s="1" t="s">
        <v>263</v>
      </c>
      <c r="CH1283" s="1" t="s">
        <v>206</v>
      </c>
      <c r="CI1283" s="1" t="s">
        <v>617</v>
      </c>
      <c r="CJ1283" s="1" t="s">
        <v>229</v>
      </c>
      <c r="CK1283" s="1" t="s">
        <v>263</v>
      </c>
      <c r="CL1283" s="1" t="s">
        <v>42</v>
      </c>
      <c r="CM1283" s="1" t="s">
        <v>617</v>
      </c>
      <c r="CN1283" s="1" t="s">
        <v>229</v>
      </c>
      <c r="CO1283" s="1" t="s">
        <v>516</v>
      </c>
      <c r="CP1283" s="1" t="s">
        <v>42</v>
      </c>
      <c r="CQ1283" s="1" t="s">
        <v>617</v>
      </c>
      <c r="CR1283" s="1" t="s">
        <v>229</v>
      </c>
      <c r="CS1283" s="1" t="s">
        <v>212</v>
      </c>
      <c r="CT1283" s="1" t="s">
        <v>206</v>
      </c>
      <c r="CU1283" s="1" t="s">
        <v>617</v>
      </c>
      <c r="CV1283" s="1" t="s">
        <v>229</v>
      </c>
      <c r="CX1283" s="1" t="s">
        <v>204</v>
      </c>
      <c r="DA1283" s="1" t="s">
        <v>200</v>
      </c>
      <c r="DC1283" s="1" t="s">
        <v>642</v>
      </c>
      <c r="DD1283" s="1" t="s">
        <v>518</v>
      </c>
      <c r="DE1283" s="1" t="s">
        <v>229</v>
      </c>
      <c r="DF1283" s="1" t="s">
        <v>905</v>
      </c>
      <c r="DH1283" s="1" t="s">
        <v>307</v>
      </c>
      <c r="DJ1283" s="1" t="s">
        <v>222</v>
      </c>
      <c r="DL1283" s="1" t="s">
        <v>224</v>
      </c>
      <c r="DM1283" s="1" t="s">
        <v>1402</v>
      </c>
      <c r="DP1283" s="1" t="s">
        <v>340</v>
      </c>
      <c r="DQ1283" s="1" t="s">
        <v>228</v>
      </c>
      <c r="DR1283" s="1" t="s">
        <v>229</v>
      </c>
      <c r="DS1283" s="1" t="s">
        <v>230</v>
      </c>
      <c r="DV1283" s="1" t="s">
        <v>232</v>
      </c>
      <c r="DW1283" s="1" t="s">
        <v>370</v>
      </c>
      <c r="DX1283" s="1" t="s">
        <v>234</v>
      </c>
      <c r="EA1283" s="1" t="s">
        <v>644</v>
      </c>
      <c r="EC1283" s="1" t="s">
        <v>685</v>
      </c>
      <c r="EM1283" s="1" t="s">
        <v>238</v>
      </c>
      <c r="EQ1283" s="1" t="s">
        <v>238</v>
      </c>
      <c r="EU1283" s="1" t="s">
        <v>238</v>
      </c>
      <c r="EY1283" s="1" t="s">
        <v>238</v>
      </c>
      <c r="FC1283" s="1" t="s">
        <v>238</v>
      </c>
      <c r="FF1283" s="1" t="s">
        <v>239</v>
      </c>
      <c r="FG1283" s="1" t="s">
        <v>192</v>
      </c>
      <c r="FH1283" s="1" t="s">
        <v>192</v>
      </c>
      <c r="FJ1283" s="1" t="s">
        <v>13608</v>
      </c>
      <c r="FK1283" s="1" t="s">
        <v>229</v>
      </c>
      <c r="FL1283" s="1" t="s">
        <v>13609</v>
      </c>
      <c r="FM1283" s="1">
        <v>18847.0</v>
      </c>
      <c r="FN1283" s="1" t="s">
        <v>13610</v>
      </c>
      <c r="FO1283" s="1" t="s">
        <v>13611</v>
      </c>
      <c r="FP1283" s="1">
        <v>117359.0</v>
      </c>
      <c r="FQ1283" s="1" t="s">
        <v>13612</v>
      </c>
      <c r="FU1283" s="1" t="s">
        <v>13613</v>
      </c>
      <c r="FV1283" s="1" t="s">
        <v>200</v>
      </c>
      <c r="FW1283" s="1" t="s">
        <v>654</v>
      </c>
      <c r="FX1283" s="1" t="s">
        <v>655</v>
      </c>
      <c r="FZ1283" s="1" t="s">
        <v>229</v>
      </c>
      <c r="GA1283" s="1" t="s">
        <v>247</v>
      </c>
      <c r="GB1283" s="2">
        <v>42097.0</v>
      </c>
      <c r="GC1283" s="1" t="s">
        <v>13614</v>
      </c>
    </row>
    <row r="1284">
      <c r="A1284" s="1">
        <v>355000.0</v>
      </c>
      <c r="B1284" s="1" t="s">
        <v>185</v>
      </c>
      <c r="C1284" s="1" t="str">
        <f>"08855002"</f>
        <v>08855002</v>
      </c>
      <c r="D1284" s="1" t="s">
        <v>186</v>
      </c>
      <c r="F1284" s="1" t="str">
        <f>"8009"</f>
        <v>8009</v>
      </c>
      <c r="G1284" s="2">
        <v>42069.0</v>
      </c>
      <c r="H1284" s="1">
        <v>315000.0</v>
      </c>
      <c r="I1284" s="1">
        <v>8.0</v>
      </c>
      <c r="J1284" s="1">
        <v>315000.0</v>
      </c>
      <c r="K1284" s="2">
        <v>42076.0</v>
      </c>
      <c r="L1284" s="1">
        <v>8.0</v>
      </c>
      <c r="M1284" s="2">
        <v>42076.0</v>
      </c>
      <c r="N1284" s="1" t="s">
        <v>187</v>
      </c>
      <c r="O1284" s="2">
        <v>42125.0</v>
      </c>
      <c r="P1284" s="1">
        <v>157950.0</v>
      </c>
      <c r="Q1284" s="1">
        <v>18426.0</v>
      </c>
      <c r="S1284" s="1">
        <v>7429.0</v>
      </c>
      <c r="T1284" s="1" t="s">
        <v>13615</v>
      </c>
      <c r="U1284" s="1" t="s">
        <v>189</v>
      </c>
      <c r="V1284" s="1" t="s">
        <v>190</v>
      </c>
      <c r="W1284" s="1">
        <v>60631.0</v>
      </c>
      <c r="Y1284" s="1" t="s">
        <v>13616</v>
      </c>
      <c r="Z1284" s="1">
        <v>1948.0</v>
      </c>
      <c r="AA1284" s="1" t="s">
        <v>192</v>
      </c>
      <c r="AB1284" s="1" t="s">
        <v>193</v>
      </c>
      <c r="AD1284" s="1" t="s">
        <v>194</v>
      </c>
      <c r="AE1284" s="1" t="s">
        <v>195</v>
      </c>
      <c r="AF1284" s="1" t="s">
        <v>196</v>
      </c>
      <c r="AH1284" s="1" t="s">
        <v>13617</v>
      </c>
      <c r="AI1284" s="1">
        <v>0.1291</v>
      </c>
      <c r="AK1284" s="1">
        <v>8.0</v>
      </c>
      <c r="AL1284" s="1">
        <v>4.0</v>
      </c>
      <c r="AM1284" s="1">
        <v>2.0</v>
      </c>
      <c r="AN1284" s="1">
        <v>1.0</v>
      </c>
      <c r="AO1284" s="1" t="s">
        <v>229</v>
      </c>
      <c r="AQ1284" s="1" t="s">
        <v>198</v>
      </c>
      <c r="AR1284" s="1" t="s">
        <v>192</v>
      </c>
      <c r="AS1284" s="1" t="s">
        <v>199</v>
      </c>
      <c r="AT1284" s="1">
        <v>2.0</v>
      </c>
      <c r="AV1284" s="1" t="s">
        <v>200</v>
      </c>
      <c r="AW1284" s="1">
        <v>3220.54</v>
      </c>
      <c r="AX1284" s="1">
        <v>2013.0</v>
      </c>
      <c r="AZ1284" s="1" t="s">
        <v>545</v>
      </c>
      <c r="BA1284" s="1" t="str">
        <f>"09253150390000"</f>
        <v>09253150390000</v>
      </c>
      <c r="BC1284" s="1">
        <v>1033.0</v>
      </c>
      <c r="BD1284" s="1">
        <v>355000.0</v>
      </c>
      <c r="BE1284" s="2">
        <v>42069.0</v>
      </c>
      <c r="BF1284" s="1" t="s">
        <v>13618</v>
      </c>
      <c r="BH1284" s="1">
        <v>0.0</v>
      </c>
      <c r="BK1284" s="1" t="s">
        <v>204</v>
      </c>
      <c r="BL1284" s="1" t="str">
        <f>"7429"</f>
        <v>7429</v>
      </c>
      <c r="BM1284" s="1" t="str">
        <f>"0"</f>
        <v>0</v>
      </c>
      <c r="BN1284" s="1">
        <v>7632.0</v>
      </c>
      <c r="BO1284" s="1">
        <v>0.0</v>
      </c>
      <c r="BQ1284" s="1">
        <v>299.0</v>
      </c>
      <c r="BR1284" s="1">
        <v>299.0</v>
      </c>
      <c r="BS1284" s="1">
        <v>299.0</v>
      </c>
      <c r="BU1284" s="1" t="s">
        <v>6797</v>
      </c>
      <c r="BV1284" s="1" t="s">
        <v>206</v>
      </c>
      <c r="BW1284" s="1" t="s">
        <v>207</v>
      </c>
      <c r="BY1284" s="1" t="s">
        <v>647</v>
      </c>
      <c r="BZ1284" s="1" t="s">
        <v>206</v>
      </c>
      <c r="CA1284" s="1" t="s">
        <v>207</v>
      </c>
      <c r="CC1284" s="1" t="s">
        <v>542</v>
      </c>
      <c r="CD1284" s="1" t="s">
        <v>206</v>
      </c>
      <c r="CE1284" s="1" t="s">
        <v>207</v>
      </c>
      <c r="CG1284" s="1" t="s">
        <v>497</v>
      </c>
      <c r="CH1284" s="1" t="s">
        <v>206</v>
      </c>
      <c r="CI1284" s="1" t="s">
        <v>207</v>
      </c>
      <c r="CK1284" s="1" t="s">
        <v>215</v>
      </c>
      <c r="CL1284" s="1" t="s">
        <v>209</v>
      </c>
      <c r="CM1284" s="1" t="s">
        <v>210</v>
      </c>
      <c r="CO1284" s="1" t="s">
        <v>924</v>
      </c>
      <c r="CP1284" s="1" t="s">
        <v>209</v>
      </c>
      <c r="CQ1284" s="1" t="s">
        <v>210</v>
      </c>
      <c r="CS1284" s="1" t="s">
        <v>264</v>
      </c>
      <c r="CT1284" s="1" t="s">
        <v>206</v>
      </c>
      <c r="CU1284" s="1" t="s">
        <v>1136</v>
      </c>
      <c r="CW1284" s="1" t="s">
        <v>8706</v>
      </c>
      <c r="CX1284" s="1" t="s">
        <v>42</v>
      </c>
      <c r="CY1284" s="1" t="s">
        <v>210</v>
      </c>
      <c r="DA1284" s="1" t="s">
        <v>200</v>
      </c>
      <c r="DC1284" s="1" t="s">
        <v>702</v>
      </c>
      <c r="DD1284" s="1" t="s">
        <v>518</v>
      </c>
      <c r="DE1284" s="1" t="s">
        <v>273</v>
      </c>
      <c r="DF1284" s="1" t="s">
        <v>219</v>
      </c>
      <c r="DH1284" s="1" t="s">
        <v>220</v>
      </c>
      <c r="DI1284" s="1" t="s">
        <v>3203</v>
      </c>
      <c r="DJ1284" s="1" t="s">
        <v>222</v>
      </c>
      <c r="DL1284" s="1" t="s">
        <v>224</v>
      </c>
      <c r="DM1284" s="1" t="s">
        <v>229</v>
      </c>
      <c r="DP1284" s="1" t="s">
        <v>276</v>
      </c>
      <c r="DQ1284" s="1" t="s">
        <v>228</v>
      </c>
      <c r="DR1284" s="1" t="s">
        <v>229</v>
      </c>
      <c r="DV1284" s="1" t="s">
        <v>232</v>
      </c>
      <c r="DW1284" s="1" t="s">
        <v>279</v>
      </c>
      <c r="DX1284" s="1" t="s">
        <v>234</v>
      </c>
      <c r="EC1284" s="1" t="s">
        <v>237</v>
      </c>
      <c r="EM1284" s="1" t="s">
        <v>238</v>
      </c>
      <c r="EQ1284" s="1" t="s">
        <v>238</v>
      </c>
      <c r="EU1284" s="1" t="s">
        <v>238</v>
      </c>
      <c r="EY1284" s="1" t="s">
        <v>238</v>
      </c>
      <c r="FC1284" s="1" t="s">
        <v>238</v>
      </c>
      <c r="FF1284" s="1" t="s">
        <v>239</v>
      </c>
      <c r="FG1284" s="1" t="s">
        <v>192</v>
      </c>
      <c r="FH1284" s="1" t="s">
        <v>192</v>
      </c>
      <c r="FJ1284" s="1" t="s">
        <v>4892</v>
      </c>
      <c r="FK1284" s="1" t="s">
        <v>229</v>
      </c>
      <c r="FL1284" s="1" t="s">
        <v>13619</v>
      </c>
      <c r="FM1284" s="1">
        <v>1089.0</v>
      </c>
      <c r="FN1284" s="1" t="s">
        <v>13620</v>
      </c>
      <c r="FO1284" s="1" t="s">
        <v>13619</v>
      </c>
      <c r="FP1284" s="1">
        <v>83329.0</v>
      </c>
      <c r="FQ1284" s="1" t="s">
        <v>13620</v>
      </c>
      <c r="FU1284" s="1" t="s">
        <v>1438</v>
      </c>
      <c r="FV1284" s="1" t="s">
        <v>200</v>
      </c>
      <c r="FW1284" s="1" t="s">
        <v>290</v>
      </c>
      <c r="FX1284" s="1" t="s">
        <v>238</v>
      </c>
      <c r="FZ1284" s="1" t="s">
        <v>229</v>
      </c>
      <c r="GA1284" s="1" t="s">
        <v>291</v>
      </c>
      <c r="GB1284" s="2">
        <v>42129.0</v>
      </c>
    </row>
    <row r="1285">
      <c r="A1285" s="1">
        <v>310000.0</v>
      </c>
      <c r="B1285" s="1" t="s">
        <v>185</v>
      </c>
      <c r="C1285" s="1" t="str">
        <f>"08854914"</f>
        <v>08854914</v>
      </c>
      <c r="D1285" s="1" t="s">
        <v>186</v>
      </c>
      <c r="F1285" s="1" t="str">
        <f>"184"</f>
        <v>184</v>
      </c>
      <c r="G1285" s="2">
        <v>42069.0</v>
      </c>
      <c r="H1285" s="1">
        <v>320000.0</v>
      </c>
      <c r="I1285" s="1">
        <v>125.0</v>
      </c>
      <c r="J1285" s="1">
        <v>320000.0</v>
      </c>
      <c r="K1285" s="2">
        <v>42074.0</v>
      </c>
      <c r="L1285" s="1">
        <v>6.0</v>
      </c>
      <c r="M1285" s="2">
        <v>42074.0</v>
      </c>
      <c r="N1285" s="1" t="s">
        <v>187</v>
      </c>
      <c r="O1285" s="2">
        <v>42115.0</v>
      </c>
      <c r="P1285" s="1">
        <v>497.0</v>
      </c>
      <c r="Q1285" s="1">
        <v>30.0</v>
      </c>
      <c r="S1285" s="1" t="s">
        <v>13621</v>
      </c>
      <c r="T1285" s="1" t="s">
        <v>13622</v>
      </c>
      <c r="U1285" s="1" t="s">
        <v>464</v>
      </c>
      <c r="V1285" s="1" t="s">
        <v>3870</v>
      </c>
      <c r="W1285" s="1">
        <v>60184.0</v>
      </c>
      <c r="Y1285" s="1" t="s">
        <v>13623</v>
      </c>
      <c r="Z1285" s="1">
        <v>1892.0</v>
      </c>
      <c r="AA1285" s="1" t="s">
        <v>192</v>
      </c>
      <c r="AB1285" s="1" t="s">
        <v>193</v>
      </c>
      <c r="AD1285" s="1" t="s">
        <v>3935</v>
      </c>
      <c r="AE1285" s="1" t="s">
        <v>1258</v>
      </c>
      <c r="AF1285" s="1" t="s">
        <v>3935</v>
      </c>
      <c r="AH1285" s="1" t="s">
        <v>13624</v>
      </c>
      <c r="AI1285" s="1">
        <v>1.46</v>
      </c>
      <c r="AK1285" s="1">
        <v>9.0</v>
      </c>
      <c r="AL1285" s="1">
        <v>4.0</v>
      </c>
      <c r="AM1285" s="1">
        <v>1.0</v>
      </c>
      <c r="AN1285" s="1">
        <v>1.0</v>
      </c>
      <c r="AO1285" s="1" t="s">
        <v>229</v>
      </c>
      <c r="AQ1285" s="1" t="s">
        <v>198</v>
      </c>
      <c r="AR1285" s="1" t="s">
        <v>200</v>
      </c>
      <c r="AS1285" s="1" t="s">
        <v>199</v>
      </c>
      <c r="AT1285" s="1">
        <v>2.0</v>
      </c>
      <c r="AV1285" s="1" t="s">
        <v>200</v>
      </c>
      <c r="AW1285" s="1">
        <v>7494.0</v>
      </c>
      <c r="AX1285" s="1">
        <v>2013.0</v>
      </c>
      <c r="AY1285" s="1" t="s">
        <v>1179</v>
      </c>
      <c r="AZ1285" s="1" t="s">
        <v>200</v>
      </c>
      <c r="BA1285" s="1" t="str">
        <f>"0118211009"</f>
        <v>0118211009</v>
      </c>
      <c r="BC1285" s="1">
        <v>2196.0</v>
      </c>
      <c r="BD1285" s="1">
        <v>310000.0</v>
      </c>
      <c r="BE1285" s="2">
        <v>42069.0</v>
      </c>
      <c r="BF1285" s="2" t="s">
        <v>13625</v>
      </c>
      <c r="BG1285" s="1" t="s">
        <v>3938</v>
      </c>
      <c r="BH1285" s="1">
        <v>0.0</v>
      </c>
      <c r="BI1285" s="1" t="s">
        <v>8076</v>
      </c>
      <c r="BJ1285" s="1" t="s">
        <v>2440</v>
      </c>
      <c r="BK1285" s="1" t="s">
        <v>204</v>
      </c>
      <c r="BL1285" s="1" t="str">
        <f t="shared" ref="BL1285:BM1285" si="851">""</f>
        <v/>
      </c>
      <c r="BM1285" s="1" t="str">
        <f t="shared" si="851"/>
        <v/>
      </c>
      <c r="BQ1285" s="1">
        <v>46.0</v>
      </c>
      <c r="BR1285" s="1">
        <v>46.0</v>
      </c>
      <c r="BS1285" s="1">
        <v>46.0</v>
      </c>
      <c r="BU1285" s="1" t="s">
        <v>2365</v>
      </c>
      <c r="BV1285" s="1" t="s">
        <v>206</v>
      </c>
      <c r="BW1285" s="1" t="s">
        <v>207</v>
      </c>
      <c r="BY1285" s="1" t="s">
        <v>215</v>
      </c>
      <c r="BZ1285" s="1" t="s">
        <v>209</v>
      </c>
      <c r="CA1285" s="1" t="s">
        <v>210</v>
      </c>
      <c r="CC1285" s="1" t="s">
        <v>584</v>
      </c>
      <c r="CD1285" s="1" t="s">
        <v>206</v>
      </c>
      <c r="CE1285" s="1" t="s">
        <v>207</v>
      </c>
      <c r="CG1285" s="1" t="s">
        <v>497</v>
      </c>
      <c r="CH1285" s="1" t="s">
        <v>209</v>
      </c>
      <c r="CI1285" s="1" t="s">
        <v>210</v>
      </c>
      <c r="CK1285" s="1" t="s">
        <v>497</v>
      </c>
      <c r="CL1285" s="1" t="s">
        <v>209</v>
      </c>
      <c r="CM1285" s="1" t="s">
        <v>210</v>
      </c>
      <c r="CO1285" s="1" t="s">
        <v>516</v>
      </c>
      <c r="CP1285" s="1" t="s">
        <v>209</v>
      </c>
      <c r="CQ1285" s="1" t="s">
        <v>210</v>
      </c>
      <c r="CS1285" s="1" t="s">
        <v>3375</v>
      </c>
      <c r="CT1285" s="1" t="s">
        <v>206</v>
      </c>
      <c r="CU1285" s="1" t="s">
        <v>617</v>
      </c>
      <c r="CX1285" s="1" t="s">
        <v>204</v>
      </c>
      <c r="DA1285" s="1" t="s">
        <v>200</v>
      </c>
      <c r="DC1285" s="1" t="s">
        <v>642</v>
      </c>
      <c r="DD1285" s="1" t="s">
        <v>518</v>
      </c>
      <c r="DE1285" s="1" t="s">
        <v>1300</v>
      </c>
      <c r="DF1285" s="1" t="s">
        <v>6818</v>
      </c>
      <c r="DH1285" s="1" t="s">
        <v>856</v>
      </c>
      <c r="DI1285" s="1" t="s">
        <v>789</v>
      </c>
      <c r="DJ1285" s="1" t="s">
        <v>857</v>
      </c>
      <c r="DK1285" s="1" t="s">
        <v>1380</v>
      </c>
      <c r="DL1285" s="1" t="s">
        <v>13626</v>
      </c>
      <c r="DM1285" s="1" t="s">
        <v>6747</v>
      </c>
      <c r="DN1285" s="1" t="s">
        <v>339</v>
      </c>
      <c r="DP1285" s="1" t="s">
        <v>340</v>
      </c>
      <c r="DQ1285" s="1" t="s">
        <v>931</v>
      </c>
      <c r="DR1285" s="1" t="s">
        <v>229</v>
      </c>
      <c r="DV1285" s="1" t="s">
        <v>13627</v>
      </c>
      <c r="DW1285" s="1" t="s">
        <v>964</v>
      </c>
      <c r="DX1285" s="1" t="s">
        <v>234</v>
      </c>
      <c r="DZ1285" s="1" t="s">
        <v>13628</v>
      </c>
      <c r="EC1285" s="1" t="s">
        <v>237</v>
      </c>
      <c r="EG1285" s="1" t="s">
        <v>494</v>
      </c>
      <c r="EH1285" s="1" t="s">
        <v>598</v>
      </c>
      <c r="EI1285" s="1" t="s">
        <v>408</v>
      </c>
      <c r="EL1285" s="1" t="s">
        <v>269</v>
      </c>
      <c r="EM1285" s="1" t="s">
        <v>206</v>
      </c>
      <c r="EN1285" s="1" t="s">
        <v>207</v>
      </c>
      <c r="EP1285" s="1" t="s">
        <v>3182</v>
      </c>
      <c r="EQ1285" s="1" t="s">
        <v>209</v>
      </c>
      <c r="ER1285" s="1" t="s">
        <v>210</v>
      </c>
      <c r="ET1285" s="1" t="s">
        <v>13629</v>
      </c>
      <c r="EU1285" s="1" t="s">
        <v>206</v>
      </c>
      <c r="EV1285" s="1" t="s">
        <v>207</v>
      </c>
      <c r="EY1285" s="1" t="s">
        <v>238</v>
      </c>
      <c r="FC1285" s="1" t="s">
        <v>238</v>
      </c>
      <c r="FF1285" s="1" t="s">
        <v>239</v>
      </c>
      <c r="FG1285" s="1" t="s">
        <v>192</v>
      </c>
      <c r="FH1285" s="1" t="s">
        <v>192</v>
      </c>
      <c r="FJ1285" s="1" t="s">
        <v>624</v>
      </c>
      <c r="FK1285" s="1" t="s">
        <v>229</v>
      </c>
      <c r="FL1285" s="1" t="s">
        <v>1212</v>
      </c>
      <c r="FM1285" s="1">
        <v>30.0</v>
      </c>
      <c r="FN1285" s="1" t="s">
        <v>1213</v>
      </c>
      <c r="FO1285" s="1" t="s">
        <v>2407</v>
      </c>
      <c r="FP1285" s="1">
        <v>736.0</v>
      </c>
      <c r="FQ1285" s="1" t="s">
        <v>2408</v>
      </c>
      <c r="FU1285" s="1" t="s">
        <v>2409</v>
      </c>
      <c r="FV1285" s="1" t="s">
        <v>200</v>
      </c>
      <c r="FW1285" s="1" t="s">
        <v>290</v>
      </c>
      <c r="FZ1285" s="1" t="s">
        <v>229</v>
      </c>
      <c r="GA1285" s="1" t="s">
        <v>291</v>
      </c>
      <c r="GB1285" s="2">
        <v>42116.0</v>
      </c>
    </row>
    <row r="1286">
      <c r="A1286" s="1">
        <v>740000.0</v>
      </c>
      <c r="B1286" s="1" t="s">
        <v>185</v>
      </c>
      <c r="C1286" s="1" t="str">
        <f>"08873360"</f>
        <v>08873360</v>
      </c>
      <c r="D1286" s="1" t="s">
        <v>186</v>
      </c>
      <c r="F1286" s="1" t="str">
        <f>"10"</f>
        <v>10</v>
      </c>
      <c r="G1286" s="2">
        <v>42090.0</v>
      </c>
      <c r="H1286" s="1">
        <v>775000.0</v>
      </c>
      <c r="I1286" s="1">
        <v>25.0</v>
      </c>
      <c r="J1286" s="1">
        <v>775000.0</v>
      </c>
      <c r="K1286" s="2">
        <v>42114.0</v>
      </c>
      <c r="L1286" s="1">
        <v>25.0</v>
      </c>
      <c r="M1286" s="2">
        <v>42114.0</v>
      </c>
      <c r="N1286" s="1" t="s">
        <v>187</v>
      </c>
      <c r="O1286" s="2">
        <v>42136.0</v>
      </c>
      <c r="P1286" s="1">
        <v>62944.0</v>
      </c>
      <c r="Q1286" s="1">
        <v>6267.0</v>
      </c>
      <c r="S1286" s="1">
        <v>27068.0</v>
      </c>
      <c r="T1286" s="1" t="s">
        <v>13630</v>
      </c>
      <c r="U1286" s="1" t="s">
        <v>420</v>
      </c>
      <c r="V1286" s="1" t="s">
        <v>2004</v>
      </c>
      <c r="W1286" s="1">
        <v>60010.0</v>
      </c>
      <c r="X1286" s="1">
        <v>5948.0</v>
      </c>
      <c r="Y1286" s="1" t="s">
        <v>13631</v>
      </c>
      <c r="Z1286" s="1">
        <v>1992.0</v>
      </c>
      <c r="AA1286" s="1" t="s">
        <v>200</v>
      </c>
      <c r="AB1286" s="1" t="s">
        <v>193</v>
      </c>
      <c r="AD1286" s="1" t="s">
        <v>2007</v>
      </c>
      <c r="AE1286" s="1" t="s">
        <v>917</v>
      </c>
      <c r="AF1286" s="1" t="s">
        <v>2008</v>
      </c>
      <c r="AG1286" s="1" t="s">
        <v>752</v>
      </c>
      <c r="AH1286" s="1" t="s">
        <v>13632</v>
      </c>
      <c r="AI1286" s="1">
        <v>1.1174</v>
      </c>
      <c r="AK1286" s="1">
        <v>11.0</v>
      </c>
      <c r="AL1286" s="1">
        <v>4.0</v>
      </c>
      <c r="AM1286" s="1">
        <v>4.0</v>
      </c>
      <c r="AN1286" s="1">
        <v>0.0</v>
      </c>
      <c r="AO1286" s="1" t="s">
        <v>198</v>
      </c>
      <c r="AP1286" s="1">
        <v>1.0</v>
      </c>
      <c r="AQ1286" s="1" t="s">
        <v>198</v>
      </c>
      <c r="AR1286" s="1" t="s">
        <v>192</v>
      </c>
      <c r="AS1286" s="1" t="s">
        <v>199</v>
      </c>
      <c r="AT1286" s="1">
        <v>3.0</v>
      </c>
      <c r="AV1286" s="1" t="s">
        <v>200</v>
      </c>
      <c r="AW1286" s="1">
        <v>13962.99</v>
      </c>
      <c r="AX1286" s="1">
        <v>2013.0</v>
      </c>
      <c r="AY1286" s="1" t="s">
        <v>387</v>
      </c>
      <c r="AZ1286" s="1" t="s">
        <v>200</v>
      </c>
      <c r="BA1286" s="1" t="str">
        <f>"13224010220000"</f>
        <v>13224010220000</v>
      </c>
      <c r="BB1286" s="1" t="s">
        <v>200</v>
      </c>
      <c r="BC1286" s="1">
        <v>3662.0</v>
      </c>
      <c r="BD1286" s="1">
        <v>740000.0</v>
      </c>
      <c r="BE1286" s="2">
        <v>42090.0</v>
      </c>
      <c r="BF1286" s="2" t="s">
        <v>13633</v>
      </c>
      <c r="BG1286" s="1" t="s">
        <v>10354</v>
      </c>
      <c r="BH1286" s="1">
        <v>0.0</v>
      </c>
      <c r="BI1286" s="1" t="s">
        <v>2012</v>
      </c>
      <c r="BJ1286" s="1" t="s">
        <v>1714</v>
      </c>
      <c r="BK1286" s="1" t="s">
        <v>204</v>
      </c>
      <c r="BL1286" s="1" t="str">
        <f>"22"</f>
        <v>22</v>
      </c>
      <c r="BM1286" s="1" t="str">
        <f>"0"</f>
        <v>0</v>
      </c>
      <c r="BN1286" s="1">
        <v>27.0</v>
      </c>
      <c r="BO1286" s="1">
        <v>0.0</v>
      </c>
      <c r="BQ1286" s="1">
        <v>220.0</v>
      </c>
      <c r="BR1286" s="1">
        <v>220.0</v>
      </c>
      <c r="BS1286" s="1">
        <v>220.0</v>
      </c>
      <c r="BU1286" s="1" t="s">
        <v>211</v>
      </c>
      <c r="BV1286" s="1" t="s">
        <v>206</v>
      </c>
      <c r="BW1286" s="1" t="s">
        <v>207</v>
      </c>
      <c r="BX1286" s="1" t="s">
        <v>239</v>
      </c>
      <c r="BY1286" s="1" t="s">
        <v>1534</v>
      </c>
      <c r="BZ1286" s="1" t="s">
        <v>209</v>
      </c>
      <c r="CA1286" s="1" t="s">
        <v>210</v>
      </c>
      <c r="CB1286" s="1" t="s">
        <v>239</v>
      </c>
      <c r="CC1286" s="1" t="s">
        <v>214</v>
      </c>
      <c r="CD1286" s="1" t="s">
        <v>206</v>
      </c>
      <c r="CE1286" s="1" t="s">
        <v>207</v>
      </c>
      <c r="CF1286" s="1" t="s">
        <v>239</v>
      </c>
      <c r="CG1286" s="1" t="s">
        <v>454</v>
      </c>
      <c r="CH1286" s="1" t="s">
        <v>209</v>
      </c>
      <c r="CI1286" s="1" t="s">
        <v>210</v>
      </c>
      <c r="CJ1286" s="1" t="s">
        <v>239</v>
      </c>
      <c r="CK1286" s="1" t="s">
        <v>332</v>
      </c>
      <c r="CL1286" s="1" t="s">
        <v>209</v>
      </c>
      <c r="CM1286" s="1" t="s">
        <v>210</v>
      </c>
      <c r="CN1286" s="1" t="s">
        <v>239</v>
      </c>
      <c r="CO1286" s="1" t="s">
        <v>212</v>
      </c>
      <c r="CP1286" s="1" t="s">
        <v>209</v>
      </c>
      <c r="CQ1286" s="1" t="s">
        <v>210</v>
      </c>
      <c r="CR1286" s="1" t="s">
        <v>239</v>
      </c>
      <c r="CS1286" s="1" t="s">
        <v>361</v>
      </c>
      <c r="CT1286" s="1" t="s">
        <v>206</v>
      </c>
      <c r="CU1286" s="1" t="s">
        <v>207</v>
      </c>
      <c r="CV1286" s="1" t="s">
        <v>239</v>
      </c>
      <c r="CW1286" s="1" t="s">
        <v>1377</v>
      </c>
      <c r="CX1286" s="1" t="s">
        <v>206</v>
      </c>
      <c r="CY1286" s="1" t="s">
        <v>207</v>
      </c>
      <c r="CZ1286" s="1" t="s">
        <v>239</v>
      </c>
      <c r="DA1286" s="1" t="s">
        <v>200</v>
      </c>
      <c r="DC1286" s="1" t="s">
        <v>435</v>
      </c>
      <c r="DD1286" s="1" t="s">
        <v>586</v>
      </c>
      <c r="DE1286" s="1" t="s">
        <v>218</v>
      </c>
      <c r="DF1286" s="1" t="s">
        <v>1811</v>
      </c>
      <c r="DG1286" s="1" t="s">
        <v>1553</v>
      </c>
      <c r="DH1286" s="1" t="s">
        <v>856</v>
      </c>
      <c r="DI1286" s="1" t="s">
        <v>221</v>
      </c>
      <c r="DJ1286" s="1" t="s">
        <v>857</v>
      </c>
      <c r="DK1286" s="1" t="s">
        <v>223</v>
      </c>
      <c r="DL1286" s="1" t="s">
        <v>224</v>
      </c>
      <c r="DM1286" s="1" t="s">
        <v>338</v>
      </c>
      <c r="DN1286" s="1" t="s">
        <v>13634</v>
      </c>
      <c r="DO1286" s="1" t="s">
        <v>2838</v>
      </c>
      <c r="DP1286" s="1" t="s">
        <v>340</v>
      </c>
      <c r="DQ1286" s="1" t="s">
        <v>931</v>
      </c>
      <c r="DR1286" s="1" t="s">
        <v>229</v>
      </c>
      <c r="DS1286" s="1" t="s">
        <v>11426</v>
      </c>
      <c r="DU1286" s="1" t="s">
        <v>13635</v>
      </c>
      <c r="DV1286" s="1" t="s">
        <v>13636</v>
      </c>
      <c r="DW1286" s="1" t="s">
        <v>764</v>
      </c>
      <c r="DX1286" s="1" t="s">
        <v>309</v>
      </c>
      <c r="DY1286" s="1" t="s">
        <v>13637</v>
      </c>
      <c r="DZ1286" s="1" t="s">
        <v>13370</v>
      </c>
      <c r="EA1286" s="1" t="s">
        <v>344</v>
      </c>
      <c r="EB1286" s="1" t="s">
        <v>767</v>
      </c>
      <c r="EC1286" s="1" t="s">
        <v>237</v>
      </c>
      <c r="ED1286" s="1" t="s">
        <v>407</v>
      </c>
      <c r="EE1286" s="1" t="s">
        <v>187</v>
      </c>
      <c r="EG1286" s="1" t="s">
        <v>449</v>
      </c>
      <c r="EH1286" s="1" t="s">
        <v>598</v>
      </c>
      <c r="EI1286" s="1" t="s">
        <v>450</v>
      </c>
      <c r="EJ1286" s="1" t="s">
        <v>408</v>
      </c>
      <c r="EK1286" s="1" t="s">
        <v>2877</v>
      </c>
      <c r="EL1286" s="1" t="s">
        <v>516</v>
      </c>
      <c r="EM1286" s="1" t="s">
        <v>206</v>
      </c>
      <c r="EN1286" s="1" t="s">
        <v>207</v>
      </c>
      <c r="EO1286" s="1" t="s">
        <v>239</v>
      </c>
      <c r="EP1286" s="1" t="s">
        <v>363</v>
      </c>
      <c r="EQ1286" s="1" t="s">
        <v>206</v>
      </c>
      <c r="ER1286" s="1" t="s">
        <v>210</v>
      </c>
      <c r="ES1286" s="1" t="s">
        <v>239</v>
      </c>
      <c r="ET1286" s="1" t="s">
        <v>13638</v>
      </c>
      <c r="EU1286" s="1" t="s">
        <v>267</v>
      </c>
      <c r="EV1286" s="1" t="s">
        <v>268</v>
      </c>
      <c r="EW1286" s="1" t="s">
        <v>229</v>
      </c>
      <c r="EX1286" s="1" t="s">
        <v>1229</v>
      </c>
      <c r="EY1286" s="1" t="s">
        <v>206</v>
      </c>
      <c r="EZ1286" s="1" t="s">
        <v>207</v>
      </c>
      <c r="FB1286" s="1" t="s">
        <v>2335</v>
      </c>
      <c r="FC1286" s="1" t="s">
        <v>206</v>
      </c>
      <c r="FD1286" s="1" t="s">
        <v>268</v>
      </c>
      <c r="FE1286" s="1" t="s">
        <v>229</v>
      </c>
      <c r="FF1286" s="1" t="s">
        <v>239</v>
      </c>
      <c r="FG1286" s="1" t="s">
        <v>192</v>
      </c>
      <c r="FH1286" s="1" t="s">
        <v>192</v>
      </c>
      <c r="FJ1286" s="1" t="s">
        <v>13639</v>
      </c>
      <c r="FK1286" s="1" t="s">
        <v>229</v>
      </c>
      <c r="FL1286" s="1" t="s">
        <v>1358</v>
      </c>
      <c r="FM1286" s="1">
        <v>3755.0</v>
      </c>
      <c r="FN1286" s="1" t="s">
        <v>9509</v>
      </c>
      <c r="FO1286" s="1" t="s">
        <v>13640</v>
      </c>
      <c r="FP1286" s="1">
        <v>61653.0</v>
      </c>
      <c r="FQ1286" s="1" t="s">
        <v>13641</v>
      </c>
      <c r="FT1286" s="1" t="s">
        <v>13642</v>
      </c>
      <c r="FU1286" s="1" t="s">
        <v>13643</v>
      </c>
      <c r="FV1286" s="1" t="s">
        <v>200</v>
      </c>
      <c r="FW1286" s="1" t="s">
        <v>290</v>
      </c>
      <c r="FX1286" s="1" t="s">
        <v>246</v>
      </c>
      <c r="FZ1286" s="1" t="s">
        <v>229</v>
      </c>
      <c r="GA1286" s="1" t="s">
        <v>291</v>
      </c>
      <c r="GB1286" s="2">
        <v>42136.0</v>
      </c>
      <c r="GC1286" s="1" t="s">
        <v>13644</v>
      </c>
    </row>
    <row r="1287">
      <c r="A1287" s="1">
        <v>52000.0</v>
      </c>
      <c r="B1287" s="1" t="s">
        <v>185</v>
      </c>
      <c r="C1287" s="1" t="str">
        <f>"08857469"</f>
        <v>08857469</v>
      </c>
      <c r="D1287" s="1" t="s">
        <v>186</v>
      </c>
      <c r="F1287" s="1" t="str">
        <f>"8066"</f>
        <v>8066</v>
      </c>
      <c r="G1287" s="2">
        <v>42073.0</v>
      </c>
      <c r="H1287" s="1">
        <v>54900.0</v>
      </c>
      <c r="I1287" s="1">
        <v>15.0</v>
      </c>
      <c r="J1287" s="1">
        <v>54900.0</v>
      </c>
      <c r="K1287" s="2">
        <v>42087.0</v>
      </c>
      <c r="L1287" s="1">
        <v>15.0</v>
      </c>
      <c r="M1287" s="2">
        <v>42087.0</v>
      </c>
      <c r="N1287" s="1" t="s">
        <v>249</v>
      </c>
      <c r="O1287" s="2">
        <v>42107.0</v>
      </c>
      <c r="P1287" s="1">
        <v>225233.0</v>
      </c>
      <c r="Q1287" s="1">
        <v>24868.0</v>
      </c>
      <c r="S1287" s="1">
        <v>3318.0</v>
      </c>
      <c r="T1287" s="1" t="s">
        <v>3162</v>
      </c>
      <c r="U1287" s="1" t="s">
        <v>320</v>
      </c>
      <c r="V1287" s="1" t="s">
        <v>190</v>
      </c>
      <c r="W1287" s="1">
        <v>60629.0</v>
      </c>
      <c r="Y1287" s="1" t="s">
        <v>13645</v>
      </c>
      <c r="Z1287" s="1">
        <v>1875.0</v>
      </c>
      <c r="AA1287" s="1" t="s">
        <v>192</v>
      </c>
      <c r="AB1287" s="1" t="s">
        <v>193</v>
      </c>
      <c r="AD1287" s="1" t="s">
        <v>194</v>
      </c>
      <c r="AE1287" s="1" t="s">
        <v>195</v>
      </c>
      <c r="AF1287" s="1" t="s">
        <v>659</v>
      </c>
      <c r="AH1287" s="1">
        <v>3125.0</v>
      </c>
      <c r="AK1287" s="1">
        <v>7.0</v>
      </c>
      <c r="AL1287" s="1">
        <v>4.0</v>
      </c>
      <c r="AM1287" s="1">
        <v>1.0</v>
      </c>
      <c r="AN1287" s="1">
        <v>0.0</v>
      </c>
      <c r="AO1287" s="1" t="s">
        <v>229</v>
      </c>
      <c r="AQ1287" s="1" t="s">
        <v>198</v>
      </c>
      <c r="AR1287" s="1" t="s">
        <v>200</v>
      </c>
      <c r="AS1287" s="1" t="s">
        <v>229</v>
      </c>
      <c r="AV1287" s="1" t="s">
        <v>200</v>
      </c>
      <c r="AW1287" s="1">
        <v>1351.0</v>
      </c>
      <c r="AX1287" s="1">
        <v>2013.0</v>
      </c>
      <c r="AZ1287" s="1" t="s">
        <v>545</v>
      </c>
      <c r="BA1287" s="1" t="str">
        <f>"19144070360000"</f>
        <v>19144070360000</v>
      </c>
      <c r="BC1287" s="1">
        <v>1217.0</v>
      </c>
      <c r="BD1287" s="1">
        <v>52000.0</v>
      </c>
      <c r="BE1287" s="2">
        <v>42073.0</v>
      </c>
      <c r="BF1287" s="1" t="s">
        <v>13646</v>
      </c>
      <c r="BH1287" s="1">
        <v>0.0</v>
      </c>
      <c r="BK1287" s="1" t="s">
        <v>204</v>
      </c>
      <c r="BL1287" s="1" t="str">
        <f t="shared" ref="BL1287:BM1287" si="852">"0"</f>
        <v>0</v>
      </c>
      <c r="BM1287" s="1" t="str">
        <f t="shared" si="852"/>
        <v>0</v>
      </c>
      <c r="BN1287" s="1">
        <v>3300.0</v>
      </c>
      <c r="BO1287" s="1">
        <v>6000.0</v>
      </c>
      <c r="BQ1287" s="1">
        <v>299.0</v>
      </c>
      <c r="BR1287" s="1">
        <v>299.0</v>
      </c>
      <c r="BS1287" s="1">
        <v>299.0</v>
      </c>
      <c r="BU1287" s="1" t="s">
        <v>1352</v>
      </c>
      <c r="BV1287" s="1" t="s">
        <v>206</v>
      </c>
      <c r="BY1287" s="1" t="s">
        <v>263</v>
      </c>
      <c r="BZ1287" s="1" t="s">
        <v>206</v>
      </c>
      <c r="CC1287" s="1" t="s">
        <v>663</v>
      </c>
      <c r="CD1287" s="1" t="s">
        <v>206</v>
      </c>
      <c r="CG1287" s="1" t="s">
        <v>269</v>
      </c>
      <c r="CH1287" s="1" t="s">
        <v>209</v>
      </c>
      <c r="CK1287" s="1" t="s">
        <v>263</v>
      </c>
      <c r="CL1287" s="1" t="s">
        <v>209</v>
      </c>
      <c r="CO1287" s="1" t="s">
        <v>1852</v>
      </c>
      <c r="CP1287" s="1" t="s">
        <v>209</v>
      </c>
      <c r="CS1287" s="1" t="s">
        <v>1852</v>
      </c>
      <c r="CT1287" s="1" t="s">
        <v>206</v>
      </c>
      <c r="CX1287" s="1" t="s">
        <v>204</v>
      </c>
      <c r="DA1287" s="1" t="s">
        <v>200</v>
      </c>
      <c r="DC1287" s="1" t="s">
        <v>642</v>
      </c>
      <c r="DE1287" s="1" t="s">
        <v>229</v>
      </c>
      <c r="DF1287" s="1" t="s">
        <v>619</v>
      </c>
      <c r="DH1287" s="1" t="s">
        <v>365</v>
      </c>
      <c r="DJ1287" s="1" t="s">
        <v>222</v>
      </c>
      <c r="DL1287" s="1" t="s">
        <v>223</v>
      </c>
      <c r="DM1287" s="1" t="s">
        <v>229</v>
      </c>
      <c r="DQ1287" s="1" t="s">
        <v>228</v>
      </c>
      <c r="DR1287" s="1" t="s">
        <v>229</v>
      </c>
      <c r="DV1287" s="1" t="s">
        <v>232</v>
      </c>
      <c r="DW1287" s="1" t="s">
        <v>891</v>
      </c>
      <c r="DX1287" s="1" t="s">
        <v>234</v>
      </c>
      <c r="EC1287" s="1" t="s">
        <v>237</v>
      </c>
      <c r="EM1287" s="1" t="s">
        <v>238</v>
      </c>
      <c r="EQ1287" s="1" t="s">
        <v>238</v>
      </c>
      <c r="EU1287" s="1" t="s">
        <v>238</v>
      </c>
      <c r="EY1287" s="1" t="s">
        <v>238</v>
      </c>
      <c r="FC1287" s="1" t="s">
        <v>238</v>
      </c>
      <c r="FF1287" s="1" t="s">
        <v>239</v>
      </c>
      <c r="FG1287" s="1" t="s">
        <v>192</v>
      </c>
      <c r="FH1287" s="1" t="s">
        <v>192</v>
      </c>
      <c r="FJ1287" s="1" t="s">
        <v>13647</v>
      </c>
      <c r="FK1287" s="1" t="s">
        <v>229</v>
      </c>
      <c r="FL1287" s="1" t="s">
        <v>2049</v>
      </c>
      <c r="FM1287" s="1">
        <v>14858.0</v>
      </c>
      <c r="FN1287" s="1" t="s">
        <v>2050</v>
      </c>
      <c r="FO1287" s="1" t="s">
        <v>2051</v>
      </c>
      <c r="FP1287" s="1">
        <v>171454.0</v>
      </c>
      <c r="FQ1287" s="1" t="s">
        <v>2050</v>
      </c>
      <c r="FU1287" s="1" t="s">
        <v>1882</v>
      </c>
      <c r="FV1287" s="1" t="s">
        <v>200</v>
      </c>
      <c r="FW1287" s="1" t="s">
        <v>3082</v>
      </c>
      <c r="FX1287" s="1" t="s">
        <v>246</v>
      </c>
      <c r="FZ1287" s="1" t="s">
        <v>229</v>
      </c>
      <c r="GA1287" s="1" t="s">
        <v>291</v>
      </c>
      <c r="GB1287" s="2">
        <v>42107.0</v>
      </c>
      <c r="GC1287" s="1" t="s">
        <v>13648</v>
      </c>
    </row>
    <row r="1288">
      <c r="A1288" s="1">
        <v>545000.0</v>
      </c>
      <c r="B1288" s="1" t="s">
        <v>185</v>
      </c>
      <c r="C1288" s="1" t="str">
        <f>"08855850"</f>
        <v>08855850</v>
      </c>
      <c r="D1288" s="1" t="s">
        <v>186</v>
      </c>
      <c r="F1288" s="1" t="str">
        <f>"8015"</f>
        <v>8015</v>
      </c>
      <c r="G1288" s="2">
        <v>42072.0</v>
      </c>
      <c r="H1288" s="1">
        <v>549900.0</v>
      </c>
      <c r="I1288" s="1">
        <v>23.0</v>
      </c>
      <c r="J1288" s="1">
        <v>549900.0</v>
      </c>
      <c r="K1288" s="2">
        <v>42079.0</v>
      </c>
      <c r="L1288" s="1">
        <v>8.0</v>
      </c>
      <c r="M1288" s="2">
        <v>42079.0</v>
      </c>
      <c r="N1288" s="1" t="s">
        <v>187</v>
      </c>
      <c r="O1288" s="2">
        <v>42128.0</v>
      </c>
      <c r="P1288" s="1">
        <v>161070.0</v>
      </c>
      <c r="Q1288" s="1">
        <v>84130.0</v>
      </c>
      <c r="R1288" s="1">
        <v>7500.0</v>
      </c>
      <c r="S1288" s="1">
        <v>4614.0</v>
      </c>
      <c r="T1288" s="1" t="s">
        <v>11689</v>
      </c>
      <c r="U1288" s="1" t="s">
        <v>189</v>
      </c>
      <c r="V1288" s="1" t="s">
        <v>190</v>
      </c>
      <c r="W1288" s="1">
        <v>60641.0</v>
      </c>
      <c r="Y1288" s="1" t="s">
        <v>13649</v>
      </c>
      <c r="Z1288" s="1">
        <v>2015.0</v>
      </c>
      <c r="AA1288" s="1" t="s">
        <v>200</v>
      </c>
      <c r="AB1288" s="1" t="s">
        <v>193</v>
      </c>
      <c r="AD1288" s="1" t="s">
        <v>194</v>
      </c>
      <c r="AE1288" s="1" t="s">
        <v>195</v>
      </c>
      <c r="AF1288" s="1" t="s">
        <v>196</v>
      </c>
      <c r="AH1288" s="1" t="s">
        <v>6502</v>
      </c>
      <c r="AK1288" s="1">
        <v>9.0</v>
      </c>
      <c r="AL1288" s="1">
        <v>4.0</v>
      </c>
      <c r="AM1288" s="1">
        <v>3.0</v>
      </c>
      <c r="AN1288" s="1">
        <v>1.0</v>
      </c>
      <c r="AO1288" s="1" t="s">
        <v>198</v>
      </c>
      <c r="AP1288" s="1">
        <v>1.0</v>
      </c>
      <c r="AQ1288" s="1" t="s">
        <v>472</v>
      </c>
      <c r="AR1288" s="1" t="s">
        <v>192</v>
      </c>
      <c r="AS1288" s="1" t="s">
        <v>199</v>
      </c>
      <c r="AT1288" s="1">
        <v>2.0</v>
      </c>
      <c r="AV1288" s="1" t="s">
        <v>200</v>
      </c>
      <c r="AW1288" s="1" t="s">
        <v>575</v>
      </c>
      <c r="AX1288" s="1">
        <v>2013.0</v>
      </c>
      <c r="AY1288" s="1" t="s">
        <v>229</v>
      </c>
      <c r="AZ1288" s="1" t="s">
        <v>545</v>
      </c>
      <c r="BA1288" s="1" t="str">
        <f>"13221150360000"</f>
        <v>13221150360000</v>
      </c>
      <c r="BC1288" s="1">
        <v>0.0</v>
      </c>
      <c r="BD1288" s="1">
        <v>545000.0</v>
      </c>
      <c r="BE1288" s="2">
        <v>42072.0</v>
      </c>
      <c r="BF1288" s="2" t="s">
        <v>13650</v>
      </c>
      <c r="BH1288" s="1">
        <v>0.0</v>
      </c>
      <c r="BK1288" s="1" t="s">
        <v>204</v>
      </c>
      <c r="BL1288" s="1" t="str">
        <f>"3700"</f>
        <v>3700</v>
      </c>
      <c r="BM1288" s="1" t="str">
        <f>"0"</f>
        <v>0</v>
      </c>
      <c r="BN1288" s="1">
        <v>4614.0</v>
      </c>
      <c r="BO1288" s="1">
        <v>0.0</v>
      </c>
      <c r="BQ1288" s="1">
        <v>299.0</v>
      </c>
      <c r="BR1288" s="1">
        <v>299.0</v>
      </c>
      <c r="BS1288" s="1">
        <v>299.0</v>
      </c>
      <c r="BU1288" s="1" t="s">
        <v>3595</v>
      </c>
      <c r="BV1288" s="1" t="s">
        <v>206</v>
      </c>
      <c r="BW1288" s="1" t="s">
        <v>207</v>
      </c>
      <c r="BY1288" s="1" t="s">
        <v>211</v>
      </c>
      <c r="BZ1288" s="1" t="s">
        <v>209</v>
      </c>
      <c r="CA1288" s="1" t="s">
        <v>210</v>
      </c>
      <c r="CC1288" s="1" t="s">
        <v>542</v>
      </c>
      <c r="CD1288" s="1" t="s">
        <v>206</v>
      </c>
      <c r="CE1288" s="1" t="s">
        <v>207</v>
      </c>
      <c r="CG1288" s="1" t="s">
        <v>743</v>
      </c>
      <c r="CH1288" s="1" t="s">
        <v>209</v>
      </c>
      <c r="CI1288" s="1" t="s">
        <v>210</v>
      </c>
      <c r="CK1288" s="1" t="s">
        <v>699</v>
      </c>
      <c r="CL1288" s="1" t="s">
        <v>209</v>
      </c>
      <c r="CM1288" s="1" t="s">
        <v>210</v>
      </c>
      <c r="CO1288" s="1" t="s">
        <v>211</v>
      </c>
      <c r="CP1288" s="1" t="s">
        <v>267</v>
      </c>
      <c r="CQ1288" s="1" t="s">
        <v>210</v>
      </c>
      <c r="CS1288" s="1" t="s">
        <v>743</v>
      </c>
      <c r="CT1288" s="1" t="s">
        <v>206</v>
      </c>
      <c r="CU1288" s="1" t="s">
        <v>207</v>
      </c>
      <c r="CW1288" s="1" t="s">
        <v>1426</v>
      </c>
      <c r="CX1288" s="1" t="s">
        <v>206</v>
      </c>
      <c r="CY1288" s="1" t="s">
        <v>207</v>
      </c>
      <c r="DA1288" s="1" t="s">
        <v>192</v>
      </c>
      <c r="DB1288" s="2">
        <v>42124.0</v>
      </c>
      <c r="DC1288" s="1" t="s">
        <v>744</v>
      </c>
      <c r="DD1288" s="1" t="s">
        <v>731</v>
      </c>
      <c r="DE1288" s="1" t="s">
        <v>273</v>
      </c>
      <c r="DF1288" s="1" t="s">
        <v>219</v>
      </c>
      <c r="DG1288" s="1" t="s">
        <v>1657</v>
      </c>
      <c r="DH1288" s="1" t="s">
        <v>365</v>
      </c>
      <c r="DI1288" s="1" t="s">
        <v>732</v>
      </c>
      <c r="DJ1288" s="1" t="s">
        <v>222</v>
      </c>
      <c r="DL1288" s="1" t="s">
        <v>224</v>
      </c>
      <c r="DM1288" s="1" t="s">
        <v>229</v>
      </c>
      <c r="DN1288" s="1" t="s">
        <v>399</v>
      </c>
      <c r="DP1288" s="1" t="s">
        <v>276</v>
      </c>
      <c r="DQ1288" s="1" t="s">
        <v>228</v>
      </c>
      <c r="DR1288" s="1" t="s">
        <v>229</v>
      </c>
      <c r="DS1288" s="1" t="s">
        <v>230</v>
      </c>
      <c r="DV1288" s="1" t="s">
        <v>450</v>
      </c>
      <c r="DW1288" s="1" t="s">
        <v>1026</v>
      </c>
      <c r="DX1288" s="1" t="s">
        <v>234</v>
      </c>
      <c r="DY1288" s="1" t="s">
        <v>704</v>
      </c>
      <c r="DZ1288" s="1" t="s">
        <v>310</v>
      </c>
      <c r="EB1288" s="1" t="s">
        <v>492</v>
      </c>
      <c r="EC1288" s="1" t="s">
        <v>237</v>
      </c>
      <c r="ED1288" s="1" t="s">
        <v>555</v>
      </c>
      <c r="EG1288" s="1" t="s">
        <v>450</v>
      </c>
      <c r="EL1288" s="1" t="s">
        <v>1377</v>
      </c>
      <c r="EM1288" s="1" t="s">
        <v>267</v>
      </c>
      <c r="EN1288" s="1" t="s">
        <v>210</v>
      </c>
      <c r="EQ1288" s="1" t="s">
        <v>238</v>
      </c>
      <c r="EU1288" s="1" t="s">
        <v>238</v>
      </c>
      <c r="EY1288" s="1" t="s">
        <v>238</v>
      </c>
      <c r="FC1288" s="1" t="s">
        <v>238</v>
      </c>
      <c r="FF1288" s="1" t="s">
        <v>239</v>
      </c>
      <c r="FG1288" s="1" t="s">
        <v>192</v>
      </c>
      <c r="FH1288" s="1" t="s">
        <v>192</v>
      </c>
      <c r="FJ1288" s="1" t="s">
        <v>7024</v>
      </c>
      <c r="FK1288" s="1" t="s">
        <v>229</v>
      </c>
      <c r="FL1288" s="1" t="s">
        <v>6354</v>
      </c>
      <c r="FM1288" s="1">
        <v>15191.0</v>
      </c>
      <c r="FN1288" s="1" t="s">
        <v>6355</v>
      </c>
      <c r="FO1288" s="1" t="s">
        <v>6356</v>
      </c>
      <c r="FP1288" s="1">
        <v>161581.0</v>
      </c>
      <c r="FQ1288" s="1" t="s">
        <v>6357</v>
      </c>
      <c r="FU1288" s="1" t="s">
        <v>13651</v>
      </c>
      <c r="FV1288" s="1" t="s">
        <v>200</v>
      </c>
      <c r="FW1288" s="1" t="s">
        <v>567</v>
      </c>
      <c r="FX1288" s="1" t="s">
        <v>246</v>
      </c>
      <c r="FZ1288" s="1" t="s">
        <v>229</v>
      </c>
      <c r="GA1288" s="1" t="s">
        <v>291</v>
      </c>
      <c r="GB1288" s="2">
        <v>42128.0</v>
      </c>
      <c r="GC1288" s="1" t="s">
        <v>13652</v>
      </c>
    </row>
    <row r="1289">
      <c r="A1289" s="1">
        <v>245000.0</v>
      </c>
      <c r="B1289" s="1" t="s">
        <v>185</v>
      </c>
      <c r="C1289" s="1" t="str">
        <f>"08860933"</f>
        <v>08860933</v>
      </c>
      <c r="D1289" s="1" t="s">
        <v>186</v>
      </c>
      <c r="F1289" s="1" t="str">
        <f>"140"</f>
        <v>140</v>
      </c>
      <c r="G1289" s="2">
        <v>42076.0</v>
      </c>
      <c r="H1289" s="1">
        <v>264900.0</v>
      </c>
      <c r="I1289" s="1">
        <v>9.0</v>
      </c>
      <c r="J1289" s="1">
        <v>250000.0</v>
      </c>
      <c r="K1289" s="2">
        <v>42084.0</v>
      </c>
      <c r="L1289" s="1">
        <v>9.0</v>
      </c>
      <c r="M1289" s="2">
        <v>42084.0</v>
      </c>
      <c r="N1289" s="1" t="s">
        <v>187</v>
      </c>
      <c r="O1289" s="2">
        <v>42124.0</v>
      </c>
      <c r="P1289" s="1">
        <v>27.0</v>
      </c>
      <c r="Q1289" s="1">
        <v>662.0</v>
      </c>
      <c r="S1289" s="1">
        <v>1006.0</v>
      </c>
      <c r="T1289" s="1" t="s">
        <v>8116</v>
      </c>
      <c r="U1289" s="1" t="s">
        <v>4857</v>
      </c>
      <c r="V1289" s="1" t="s">
        <v>4858</v>
      </c>
      <c r="W1289" s="1">
        <v>60140.0</v>
      </c>
      <c r="Y1289" s="1" t="s">
        <v>13653</v>
      </c>
      <c r="Z1289" s="1">
        <v>2005.0</v>
      </c>
      <c r="AA1289" s="1" t="s">
        <v>200</v>
      </c>
      <c r="AB1289" s="1" t="s">
        <v>193</v>
      </c>
      <c r="AC1289" s="1" t="s">
        <v>8130</v>
      </c>
      <c r="AD1289" s="1" t="s">
        <v>4860</v>
      </c>
      <c r="AE1289" s="1" t="s">
        <v>325</v>
      </c>
      <c r="AF1289" s="1" t="s">
        <v>3429</v>
      </c>
      <c r="AH1289" s="1" t="s">
        <v>13654</v>
      </c>
      <c r="AI1289" s="1">
        <v>0.22</v>
      </c>
      <c r="AK1289" s="1">
        <v>9.0</v>
      </c>
      <c r="AL1289" s="1">
        <v>4.0</v>
      </c>
      <c r="AM1289" s="1">
        <v>2.0</v>
      </c>
      <c r="AN1289" s="1">
        <v>1.0</v>
      </c>
      <c r="AO1289" s="1" t="s">
        <v>198</v>
      </c>
      <c r="AP1289" s="1">
        <v>1.0</v>
      </c>
      <c r="AQ1289" s="1" t="s">
        <v>198</v>
      </c>
      <c r="AR1289" s="1" t="s">
        <v>200</v>
      </c>
      <c r="AS1289" s="1" t="s">
        <v>199</v>
      </c>
      <c r="AT1289" s="1">
        <v>2.0</v>
      </c>
      <c r="AV1289" s="1" t="s">
        <v>200</v>
      </c>
      <c r="AW1289" s="1">
        <v>8423.0</v>
      </c>
      <c r="AX1289" s="1">
        <v>2013.0</v>
      </c>
      <c r="AY1289" s="1" t="s">
        <v>387</v>
      </c>
      <c r="AZ1289" s="1" t="s">
        <v>200</v>
      </c>
      <c r="BA1289" s="1" t="str">
        <f>"0228304003"</f>
        <v>0228304003</v>
      </c>
      <c r="BC1289" s="1">
        <v>2880.0</v>
      </c>
      <c r="BD1289" s="1">
        <v>245000.0</v>
      </c>
      <c r="BE1289" s="2">
        <v>42076.0</v>
      </c>
      <c r="BF1289" s="2" t="s">
        <v>13655</v>
      </c>
      <c r="BG1289" s="1" t="s">
        <v>6193</v>
      </c>
      <c r="BH1289" s="1">
        <v>64.0</v>
      </c>
      <c r="BI1289" s="1" t="s">
        <v>5040</v>
      </c>
      <c r="BJ1289" s="1" t="s">
        <v>1182</v>
      </c>
      <c r="BK1289" s="1" t="s">
        <v>474</v>
      </c>
      <c r="BL1289" s="1" t="str">
        <f>"13"</f>
        <v>13</v>
      </c>
      <c r="BM1289" s="1" t="str">
        <f>""</f>
        <v/>
      </c>
      <c r="BN1289" s="1">
        <v>41.0</v>
      </c>
      <c r="BQ1289" s="1">
        <v>300.0</v>
      </c>
      <c r="BR1289" s="1">
        <v>300.0</v>
      </c>
      <c r="BS1289" s="1">
        <v>300.0</v>
      </c>
      <c r="BU1289" s="1" t="s">
        <v>215</v>
      </c>
      <c r="BV1289" s="1" t="s">
        <v>206</v>
      </c>
      <c r="BW1289" s="1" t="s">
        <v>207</v>
      </c>
      <c r="BY1289" s="1" t="s">
        <v>782</v>
      </c>
      <c r="BZ1289" s="1" t="s">
        <v>209</v>
      </c>
      <c r="CA1289" s="1" t="s">
        <v>210</v>
      </c>
      <c r="CC1289" s="1" t="s">
        <v>269</v>
      </c>
      <c r="CD1289" s="1" t="s">
        <v>206</v>
      </c>
      <c r="CE1289" s="1" t="s">
        <v>207</v>
      </c>
      <c r="CG1289" s="1" t="s">
        <v>363</v>
      </c>
      <c r="CH1289" s="1" t="s">
        <v>209</v>
      </c>
      <c r="CI1289" s="1" t="s">
        <v>210</v>
      </c>
      <c r="CK1289" s="1" t="s">
        <v>495</v>
      </c>
      <c r="CL1289" s="1" t="s">
        <v>209</v>
      </c>
      <c r="CM1289" s="1" t="s">
        <v>210</v>
      </c>
      <c r="CO1289" s="1" t="s">
        <v>433</v>
      </c>
      <c r="CP1289" s="1" t="s">
        <v>209</v>
      </c>
      <c r="CQ1289" s="1" t="s">
        <v>210</v>
      </c>
      <c r="CS1289" s="1" t="s">
        <v>6146</v>
      </c>
      <c r="CT1289" s="1" t="s">
        <v>206</v>
      </c>
      <c r="CU1289" s="1" t="s">
        <v>207</v>
      </c>
      <c r="CW1289" s="1" t="s">
        <v>1892</v>
      </c>
      <c r="CX1289" s="1" t="s">
        <v>206</v>
      </c>
      <c r="CY1289" s="1" t="s">
        <v>210</v>
      </c>
      <c r="DA1289" s="1" t="s">
        <v>200</v>
      </c>
      <c r="DC1289" s="1" t="s">
        <v>481</v>
      </c>
      <c r="DD1289" s="1" t="s">
        <v>3633</v>
      </c>
      <c r="DE1289" s="1" t="s">
        <v>273</v>
      </c>
      <c r="DF1289" s="1" t="s">
        <v>219</v>
      </c>
      <c r="DG1289" s="1" t="s">
        <v>1602</v>
      </c>
      <c r="DH1289" s="1" t="s">
        <v>220</v>
      </c>
      <c r="DI1289" s="1" t="s">
        <v>221</v>
      </c>
      <c r="DJ1289" s="1" t="s">
        <v>222</v>
      </c>
      <c r="DL1289" s="1" t="s">
        <v>223</v>
      </c>
      <c r="DM1289" s="1" t="s">
        <v>338</v>
      </c>
      <c r="DN1289" s="1" t="s">
        <v>485</v>
      </c>
      <c r="DO1289" s="1" t="s">
        <v>549</v>
      </c>
      <c r="DP1289" s="1" t="s">
        <v>276</v>
      </c>
      <c r="DQ1289" s="1" t="s">
        <v>228</v>
      </c>
      <c r="DR1289" s="1" t="s">
        <v>4273</v>
      </c>
      <c r="DU1289" s="1" t="s">
        <v>278</v>
      </c>
      <c r="DV1289" s="1" t="s">
        <v>341</v>
      </c>
      <c r="DW1289" s="1" t="s">
        <v>444</v>
      </c>
      <c r="DX1289" s="1" t="s">
        <v>234</v>
      </c>
      <c r="DY1289" s="1" t="s">
        <v>490</v>
      </c>
      <c r="DZ1289" s="1" t="s">
        <v>343</v>
      </c>
      <c r="EB1289" s="1" t="s">
        <v>937</v>
      </c>
      <c r="EC1289" s="1" t="s">
        <v>237</v>
      </c>
      <c r="ED1289" s="1" t="s">
        <v>407</v>
      </c>
      <c r="EG1289" s="1" t="s">
        <v>341</v>
      </c>
      <c r="EL1289" s="1" t="s">
        <v>2224</v>
      </c>
      <c r="EM1289" s="1" t="s">
        <v>209</v>
      </c>
      <c r="EN1289" s="1" t="s">
        <v>210</v>
      </c>
      <c r="EQ1289" s="1" t="s">
        <v>238</v>
      </c>
      <c r="EU1289" s="1" t="s">
        <v>238</v>
      </c>
      <c r="EY1289" s="1" t="s">
        <v>238</v>
      </c>
      <c r="FC1289" s="1" t="s">
        <v>238</v>
      </c>
      <c r="FF1289" s="1" t="s">
        <v>239</v>
      </c>
      <c r="FG1289" s="1" t="s">
        <v>192</v>
      </c>
      <c r="FH1289" s="1" t="s">
        <v>192</v>
      </c>
      <c r="FJ1289" s="1" t="s">
        <v>4721</v>
      </c>
      <c r="FK1289" s="1" t="s">
        <v>229</v>
      </c>
      <c r="FL1289" s="1" t="s">
        <v>1732</v>
      </c>
      <c r="FM1289" s="1">
        <v>8390.0</v>
      </c>
      <c r="FN1289" s="1" t="s">
        <v>1733</v>
      </c>
      <c r="FO1289" s="1" t="s">
        <v>13656</v>
      </c>
      <c r="FP1289" s="1">
        <v>88139.0</v>
      </c>
      <c r="FR1289" s="1">
        <v>238508.0</v>
      </c>
      <c r="FS1289" s="1" t="s">
        <v>13657</v>
      </c>
      <c r="FU1289" s="1" t="s">
        <v>13658</v>
      </c>
      <c r="FV1289" s="1" t="s">
        <v>200</v>
      </c>
      <c r="FW1289" s="1" t="s">
        <v>290</v>
      </c>
      <c r="FZ1289" s="1" t="s">
        <v>229</v>
      </c>
      <c r="GA1289" s="1" t="s">
        <v>291</v>
      </c>
      <c r="GB1289" s="2">
        <v>42125.0</v>
      </c>
    </row>
    <row r="1290">
      <c r="A1290" s="1">
        <v>32600.0</v>
      </c>
      <c r="B1290" s="1" t="s">
        <v>185</v>
      </c>
      <c r="C1290" s="1" t="str">
        <f>"08858333"</f>
        <v>08858333</v>
      </c>
      <c r="D1290" s="1" t="s">
        <v>186</v>
      </c>
      <c r="F1290" s="1" t="str">
        <f>"8026"</f>
        <v>8026</v>
      </c>
      <c r="G1290" s="2">
        <v>42074.0</v>
      </c>
      <c r="H1290" s="1">
        <v>29450.0</v>
      </c>
      <c r="I1290" s="1">
        <v>24.0</v>
      </c>
      <c r="J1290" s="1">
        <v>29450.0</v>
      </c>
      <c r="K1290" s="2">
        <v>42097.0</v>
      </c>
      <c r="L1290" s="1">
        <v>24.0</v>
      </c>
      <c r="M1290" s="2">
        <v>42097.0</v>
      </c>
      <c r="N1290" s="1" t="s">
        <v>249</v>
      </c>
      <c r="O1290" s="2">
        <v>42114.0</v>
      </c>
      <c r="P1290" s="1">
        <v>125145.0</v>
      </c>
      <c r="Q1290" s="1">
        <v>84301.0</v>
      </c>
      <c r="S1290" s="1">
        <v>822.0</v>
      </c>
      <c r="T1290" s="1" t="s">
        <v>3654</v>
      </c>
      <c r="U1290" s="1" t="s">
        <v>189</v>
      </c>
      <c r="V1290" s="1" t="s">
        <v>190</v>
      </c>
      <c r="W1290" s="1">
        <v>60624.0</v>
      </c>
      <c r="Y1290" s="1" t="s">
        <v>13659</v>
      </c>
      <c r="Z1290" s="1">
        <v>1890.0</v>
      </c>
      <c r="AA1290" s="1" t="s">
        <v>192</v>
      </c>
      <c r="AB1290" s="1" t="s">
        <v>193</v>
      </c>
      <c r="AD1290" s="1" t="s">
        <v>194</v>
      </c>
      <c r="AE1290" s="1" t="s">
        <v>195</v>
      </c>
      <c r="AF1290" s="1" t="s">
        <v>827</v>
      </c>
      <c r="AH1290" s="1" t="s">
        <v>13660</v>
      </c>
      <c r="AI1290" s="1">
        <v>0.0717</v>
      </c>
      <c r="AK1290" s="1">
        <v>7.0</v>
      </c>
      <c r="AL1290" s="1">
        <v>4.0</v>
      </c>
      <c r="AM1290" s="1">
        <v>1.0</v>
      </c>
      <c r="AN1290" s="1">
        <v>0.0</v>
      </c>
      <c r="AO1290" s="1" t="s">
        <v>229</v>
      </c>
      <c r="AQ1290" s="1" t="s">
        <v>198</v>
      </c>
      <c r="AR1290" s="1" t="s">
        <v>200</v>
      </c>
      <c r="AS1290" s="1" t="s">
        <v>229</v>
      </c>
      <c r="AV1290" s="1" t="s">
        <v>200</v>
      </c>
      <c r="AW1290" s="1">
        <v>1749.27</v>
      </c>
      <c r="AX1290" s="1">
        <v>2013.0</v>
      </c>
      <c r="AZ1290" s="1" t="s">
        <v>200</v>
      </c>
      <c r="BA1290" s="1" t="str">
        <f>"16154100420000"</f>
        <v>16154100420000</v>
      </c>
      <c r="BC1290" s="1">
        <v>960.0</v>
      </c>
      <c r="BD1290" s="1">
        <v>32600.0</v>
      </c>
      <c r="BE1290" s="2">
        <v>42074.0</v>
      </c>
      <c r="BF1290" s="2" t="s">
        <v>13661</v>
      </c>
      <c r="BH1290" s="1">
        <v>0.0</v>
      </c>
      <c r="BK1290" s="1" t="s">
        <v>204</v>
      </c>
      <c r="BL1290" s="1" t="str">
        <f t="shared" ref="BL1290:BM1290" si="853">"0"</f>
        <v>0</v>
      </c>
      <c r="BM1290" s="1" t="str">
        <f t="shared" si="853"/>
        <v>0</v>
      </c>
      <c r="BN1290" s="1">
        <v>4130.0</v>
      </c>
      <c r="BO1290" s="1">
        <v>822.0</v>
      </c>
      <c r="BQ1290" s="1">
        <v>299.0</v>
      </c>
      <c r="BR1290" s="1">
        <v>299.0</v>
      </c>
      <c r="BS1290" s="1">
        <v>299.0</v>
      </c>
      <c r="BU1290" s="1" t="s">
        <v>363</v>
      </c>
      <c r="BV1290" s="1" t="s">
        <v>206</v>
      </c>
      <c r="BY1290" s="1" t="s">
        <v>925</v>
      </c>
      <c r="BZ1290" s="1" t="s">
        <v>209</v>
      </c>
      <c r="CC1290" s="1" t="s">
        <v>363</v>
      </c>
      <c r="CD1290" s="1" t="s">
        <v>206</v>
      </c>
      <c r="CG1290" s="1" t="s">
        <v>478</v>
      </c>
      <c r="CH1290" s="1" t="s">
        <v>209</v>
      </c>
      <c r="CK1290" s="1" t="s">
        <v>266</v>
      </c>
      <c r="CL1290" s="1" t="s">
        <v>206</v>
      </c>
      <c r="CO1290" s="1" t="s">
        <v>1745</v>
      </c>
      <c r="CP1290" s="1" t="s">
        <v>206</v>
      </c>
      <c r="CS1290" s="1" t="s">
        <v>699</v>
      </c>
      <c r="CT1290" s="1" t="s">
        <v>206</v>
      </c>
      <c r="CX1290" s="1" t="s">
        <v>204</v>
      </c>
      <c r="DA1290" s="1" t="s">
        <v>200</v>
      </c>
      <c r="DC1290" s="1" t="s">
        <v>642</v>
      </c>
      <c r="DE1290" s="1" t="s">
        <v>273</v>
      </c>
      <c r="DF1290" s="1" t="s">
        <v>219</v>
      </c>
      <c r="DH1290" s="1" t="s">
        <v>365</v>
      </c>
      <c r="DJ1290" s="1" t="s">
        <v>222</v>
      </c>
      <c r="DL1290" s="1" t="s">
        <v>223</v>
      </c>
      <c r="DM1290" s="1" t="s">
        <v>229</v>
      </c>
      <c r="DQ1290" s="1" t="s">
        <v>228</v>
      </c>
      <c r="DR1290" s="1" t="s">
        <v>229</v>
      </c>
      <c r="DV1290" s="1" t="s">
        <v>232</v>
      </c>
      <c r="DW1290" s="1" t="s">
        <v>279</v>
      </c>
      <c r="DX1290" s="1" t="s">
        <v>234</v>
      </c>
      <c r="EC1290" s="1" t="s">
        <v>645</v>
      </c>
      <c r="EM1290" s="1" t="s">
        <v>238</v>
      </c>
      <c r="EQ1290" s="1" t="s">
        <v>238</v>
      </c>
      <c r="EU1290" s="1" t="s">
        <v>238</v>
      </c>
      <c r="EY1290" s="1" t="s">
        <v>238</v>
      </c>
      <c r="FC1290" s="1" t="s">
        <v>238</v>
      </c>
      <c r="FF1290" s="1" t="s">
        <v>239</v>
      </c>
      <c r="FG1290" s="1" t="s">
        <v>192</v>
      </c>
      <c r="FH1290" s="1" t="s">
        <v>192</v>
      </c>
      <c r="FJ1290" s="1" t="s">
        <v>4092</v>
      </c>
      <c r="FK1290" s="1" t="s">
        <v>229</v>
      </c>
      <c r="FL1290" s="1" t="s">
        <v>3818</v>
      </c>
      <c r="FM1290" s="1">
        <v>23959.0</v>
      </c>
      <c r="FN1290" s="1" t="s">
        <v>3819</v>
      </c>
      <c r="FO1290" s="1" t="s">
        <v>13662</v>
      </c>
      <c r="FP1290" s="1">
        <v>238419.0</v>
      </c>
      <c r="FR1290" s="1">
        <v>220868.0</v>
      </c>
      <c r="FU1290" s="1" t="s">
        <v>3821</v>
      </c>
      <c r="FV1290" s="1" t="s">
        <v>200</v>
      </c>
      <c r="FW1290" s="1" t="s">
        <v>634</v>
      </c>
      <c r="FX1290" s="1" t="s">
        <v>655</v>
      </c>
      <c r="FZ1290" s="1" t="s">
        <v>229</v>
      </c>
      <c r="GA1290" s="1" t="s">
        <v>291</v>
      </c>
      <c r="GB1290" s="2">
        <v>42121.0</v>
      </c>
      <c r="GC1290" s="1" t="s">
        <v>13663</v>
      </c>
    </row>
    <row r="1291">
      <c r="A1291" s="1">
        <v>128500.0</v>
      </c>
      <c r="B1291" s="1" t="s">
        <v>185</v>
      </c>
      <c r="C1291" s="1" t="str">
        <f>"08853796"</f>
        <v>08853796</v>
      </c>
      <c r="D1291" s="1" t="s">
        <v>186</v>
      </c>
      <c r="F1291" s="1" t="str">
        <f>"8017"</f>
        <v>8017</v>
      </c>
      <c r="G1291" s="2">
        <v>42068.0</v>
      </c>
      <c r="H1291" s="1">
        <v>139000.0</v>
      </c>
      <c r="I1291" s="1">
        <v>3.0</v>
      </c>
      <c r="J1291" s="1">
        <v>139000.0</v>
      </c>
      <c r="K1291" s="2">
        <v>42070.0</v>
      </c>
      <c r="L1291" s="1">
        <v>3.0</v>
      </c>
      <c r="M1291" s="2">
        <v>42070.0</v>
      </c>
      <c r="N1291" s="1" t="s">
        <v>249</v>
      </c>
      <c r="O1291" s="2">
        <v>42123.0</v>
      </c>
      <c r="P1291" s="1">
        <v>26350.0</v>
      </c>
      <c r="Q1291" s="1">
        <v>8411.0</v>
      </c>
      <c r="S1291" s="1">
        <v>3742.0</v>
      </c>
      <c r="T1291" s="1" t="s">
        <v>7039</v>
      </c>
      <c r="U1291" s="1" t="s">
        <v>189</v>
      </c>
      <c r="V1291" s="1" t="s">
        <v>190</v>
      </c>
      <c r="W1291" s="1">
        <v>60634.0</v>
      </c>
      <c r="Y1291" s="1" t="s">
        <v>13664</v>
      </c>
      <c r="Z1291" s="1">
        <v>1922.0</v>
      </c>
      <c r="AA1291" s="1" t="s">
        <v>192</v>
      </c>
      <c r="AB1291" s="1" t="s">
        <v>193</v>
      </c>
      <c r="AD1291" s="1" t="s">
        <v>194</v>
      </c>
      <c r="AE1291" s="1" t="s">
        <v>195</v>
      </c>
      <c r="AF1291" s="1" t="s">
        <v>196</v>
      </c>
      <c r="AH1291" s="1" t="s">
        <v>741</v>
      </c>
      <c r="AI1291" s="1">
        <v>0.0861</v>
      </c>
      <c r="AK1291" s="1">
        <v>7.0</v>
      </c>
      <c r="AL1291" s="1">
        <v>4.0</v>
      </c>
      <c r="AM1291" s="1">
        <v>1.0</v>
      </c>
      <c r="AN1291" s="1">
        <v>0.0</v>
      </c>
      <c r="AO1291" s="1" t="s">
        <v>229</v>
      </c>
      <c r="AQ1291" s="1" t="s">
        <v>198</v>
      </c>
      <c r="AR1291" s="1" t="s">
        <v>200</v>
      </c>
      <c r="AS1291" s="1" t="s">
        <v>229</v>
      </c>
      <c r="AV1291" s="1" t="s">
        <v>200</v>
      </c>
      <c r="AW1291" s="1">
        <v>2812.34</v>
      </c>
      <c r="AX1291" s="1">
        <v>2012.0</v>
      </c>
      <c r="AZ1291" s="1" t="s">
        <v>200</v>
      </c>
      <c r="BA1291" s="1" t="str">
        <f>"12242190330000"</f>
        <v>12242190330000</v>
      </c>
      <c r="BC1291" s="1">
        <v>1500.0</v>
      </c>
      <c r="BD1291" s="1">
        <v>128500.0</v>
      </c>
      <c r="BE1291" s="2">
        <v>42068.0</v>
      </c>
      <c r="BF1291" s="2" t="s">
        <v>13665</v>
      </c>
      <c r="BH1291" s="1">
        <v>0.0</v>
      </c>
      <c r="BK1291" s="1" t="s">
        <v>204</v>
      </c>
      <c r="BL1291" s="1" t="str">
        <f>"3742"</f>
        <v>3742</v>
      </c>
      <c r="BM1291" s="1" t="str">
        <f>"0"</f>
        <v>0</v>
      </c>
      <c r="BN1291" s="1">
        <v>7200.0</v>
      </c>
      <c r="BO1291" s="1">
        <v>0.0</v>
      </c>
      <c r="BQ1291" s="1">
        <v>299.0</v>
      </c>
      <c r="BR1291" s="1">
        <v>299.0</v>
      </c>
      <c r="BS1291" s="1">
        <v>299.0</v>
      </c>
      <c r="BU1291" s="1" t="s">
        <v>270</v>
      </c>
      <c r="BV1291" s="1" t="s">
        <v>206</v>
      </c>
      <c r="BY1291" s="1" t="s">
        <v>2425</v>
      </c>
      <c r="BZ1291" s="1" t="s">
        <v>206</v>
      </c>
      <c r="CD1291" s="1" t="s">
        <v>204</v>
      </c>
      <c r="CG1291" s="1" t="s">
        <v>1852</v>
      </c>
      <c r="CH1291" s="1" t="s">
        <v>206</v>
      </c>
      <c r="CK1291" s="1" t="s">
        <v>3453</v>
      </c>
      <c r="CL1291" s="1" t="s">
        <v>206</v>
      </c>
      <c r="CO1291" s="1" t="s">
        <v>3453</v>
      </c>
      <c r="CP1291" s="1" t="s">
        <v>206</v>
      </c>
      <c r="CS1291" s="1" t="s">
        <v>1852</v>
      </c>
      <c r="CT1291" s="1" t="s">
        <v>206</v>
      </c>
      <c r="CW1291" s="1" t="s">
        <v>2425</v>
      </c>
      <c r="CX1291" s="1" t="s">
        <v>206</v>
      </c>
      <c r="DA1291" s="1" t="s">
        <v>200</v>
      </c>
      <c r="DC1291" s="1" t="s">
        <v>216</v>
      </c>
      <c r="DE1291" s="1" t="s">
        <v>229</v>
      </c>
      <c r="DF1291" s="1" t="s">
        <v>219</v>
      </c>
      <c r="DH1291" s="1" t="s">
        <v>365</v>
      </c>
      <c r="DJ1291" s="1" t="s">
        <v>1379</v>
      </c>
      <c r="DL1291" s="1" t="s">
        <v>223</v>
      </c>
      <c r="DM1291" s="1" t="s">
        <v>229</v>
      </c>
      <c r="DQ1291" s="1" t="s">
        <v>228</v>
      </c>
      <c r="DR1291" s="1" t="s">
        <v>229</v>
      </c>
      <c r="DV1291" s="1" t="s">
        <v>232</v>
      </c>
      <c r="DW1291" s="1" t="s">
        <v>667</v>
      </c>
      <c r="DX1291" s="1" t="s">
        <v>234</v>
      </c>
      <c r="EC1291" s="1" t="s">
        <v>645</v>
      </c>
      <c r="EM1291" s="1" t="s">
        <v>238</v>
      </c>
      <c r="EQ1291" s="1" t="s">
        <v>238</v>
      </c>
      <c r="EU1291" s="1" t="s">
        <v>238</v>
      </c>
      <c r="EY1291" s="1" t="s">
        <v>238</v>
      </c>
      <c r="FC1291" s="1" t="s">
        <v>238</v>
      </c>
      <c r="FF1291" s="1" t="s">
        <v>239</v>
      </c>
      <c r="FG1291" s="1" t="s">
        <v>192</v>
      </c>
      <c r="FH1291" s="1" t="s">
        <v>192</v>
      </c>
      <c r="FJ1291" s="1" t="s">
        <v>13666</v>
      </c>
      <c r="FK1291" s="1" t="s">
        <v>229</v>
      </c>
      <c r="FL1291" s="1" t="s">
        <v>13667</v>
      </c>
      <c r="FM1291" s="1">
        <v>85976.0</v>
      </c>
      <c r="FN1291" s="1" t="s">
        <v>13668</v>
      </c>
      <c r="FO1291" s="1" t="s">
        <v>13669</v>
      </c>
      <c r="FP1291" s="1">
        <v>113171.0</v>
      </c>
      <c r="FQ1291" s="1" t="s">
        <v>13670</v>
      </c>
      <c r="FU1291" s="1" t="s">
        <v>13671</v>
      </c>
      <c r="FV1291" s="1" t="s">
        <v>200</v>
      </c>
      <c r="FW1291" s="1" t="s">
        <v>631</v>
      </c>
      <c r="FX1291" s="1" t="s">
        <v>238</v>
      </c>
      <c r="FZ1291" s="1" t="s">
        <v>229</v>
      </c>
      <c r="GA1291" s="1" t="s">
        <v>291</v>
      </c>
      <c r="GB1291" s="2">
        <v>42124.0</v>
      </c>
      <c r="GC1291" s="1" t="s">
        <v>13672</v>
      </c>
    </row>
    <row r="1292">
      <c r="A1292" s="1">
        <v>295000.0</v>
      </c>
      <c r="B1292" s="1" t="s">
        <v>185</v>
      </c>
      <c r="C1292" s="1" t="str">
        <f>"08860304"</f>
        <v>08860304</v>
      </c>
      <c r="D1292" s="1" t="s">
        <v>186</v>
      </c>
      <c r="F1292" s="1" t="str">
        <f>"174"</f>
        <v>174</v>
      </c>
      <c r="G1292" s="2">
        <v>42075.0</v>
      </c>
      <c r="H1292" s="1">
        <v>304900.0</v>
      </c>
      <c r="I1292" s="1">
        <v>32.0</v>
      </c>
      <c r="J1292" s="1">
        <v>299900.0</v>
      </c>
      <c r="K1292" s="2">
        <v>42106.0</v>
      </c>
      <c r="L1292" s="1">
        <v>32.0</v>
      </c>
      <c r="M1292" s="2">
        <v>42106.0</v>
      </c>
      <c r="N1292" s="1" t="s">
        <v>356</v>
      </c>
      <c r="O1292" s="2">
        <v>42139.0</v>
      </c>
      <c r="P1292" s="1">
        <v>335.0</v>
      </c>
      <c r="Q1292" s="1">
        <v>383.0</v>
      </c>
      <c r="S1292" s="1">
        <v>1130.0</v>
      </c>
      <c r="T1292" s="1" t="s">
        <v>13673</v>
      </c>
      <c r="U1292" s="1" t="s">
        <v>320</v>
      </c>
      <c r="V1292" s="1" t="s">
        <v>1200</v>
      </c>
      <c r="W1292" s="1">
        <v>60174.0</v>
      </c>
      <c r="Y1292" s="1" t="s">
        <v>13674</v>
      </c>
      <c r="Z1292" s="1">
        <v>1973.0</v>
      </c>
      <c r="AA1292" s="1" t="s">
        <v>192</v>
      </c>
      <c r="AB1292" s="1" t="s">
        <v>193</v>
      </c>
      <c r="AD1292" s="1" t="s">
        <v>1203</v>
      </c>
      <c r="AE1292" s="1" t="s">
        <v>325</v>
      </c>
      <c r="AF1292" s="1" t="s">
        <v>1203</v>
      </c>
      <c r="AH1292" s="1" t="s">
        <v>13675</v>
      </c>
      <c r="AI1292" s="1">
        <v>0.25</v>
      </c>
      <c r="AK1292" s="1">
        <v>10.0</v>
      </c>
      <c r="AL1292" s="1">
        <v>4.0</v>
      </c>
      <c r="AM1292" s="1">
        <v>3.0</v>
      </c>
      <c r="AN1292" s="1">
        <v>0.0</v>
      </c>
      <c r="AO1292" s="1" t="s">
        <v>198</v>
      </c>
      <c r="AQ1292" s="1" t="s">
        <v>1314</v>
      </c>
      <c r="AR1292" s="1" t="s">
        <v>200</v>
      </c>
      <c r="AS1292" s="1" t="s">
        <v>199</v>
      </c>
      <c r="AT1292" s="1">
        <v>2.0</v>
      </c>
      <c r="AV1292" s="1" t="s">
        <v>200</v>
      </c>
      <c r="AW1292" s="1">
        <v>6068.02</v>
      </c>
      <c r="AX1292" s="1">
        <v>2013.0</v>
      </c>
      <c r="AY1292" s="1" t="s">
        <v>387</v>
      </c>
      <c r="AZ1292" s="1" t="s">
        <v>200</v>
      </c>
      <c r="BA1292" s="1" t="str">
        <f>"0933252005"</f>
        <v>0933252005</v>
      </c>
      <c r="BC1292" s="1">
        <v>0.0</v>
      </c>
      <c r="BD1292" s="1">
        <v>295000.0</v>
      </c>
      <c r="BE1292" s="2">
        <v>42075.0</v>
      </c>
      <c r="BF1292" s="2" t="s">
        <v>13676</v>
      </c>
      <c r="BH1292" s="1">
        <v>0.0</v>
      </c>
      <c r="BJ1292" s="1" t="s">
        <v>2144</v>
      </c>
      <c r="BK1292" s="1" t="s">
        <v>204</v>
      </c>
      <c r="BL1292" s="1" t="str">
        <f t="shared" ref="BL1292:BM1292" si="854">""</f>
        <v/>
      </c>
      <c r="BM1292" s="1" t="str">
        <f t="shared" si="854"/>
        <v/>
      </c>
      <c r="BQ1292" s="1">
        <v>303.0</v>
      </c>
      <c r="BR1292" s="1">
        <v>303.0</v>
      </c>
      <c r="BS1292" s="1">
        <v>303.0</v>
      </c>
      <c r="BU1292" s="1" t="s">
        <v>260</v>
      </c>
      <c r="BV1292" s="1" t="s">
        <v>206</v>
      </c>
      <c r="BW1292" s="1" t="s">
        <v>210</v>
      </c>
      <c r="BX1292" s="1" t="s">
        <v>476</v>
      </c>
      <c r="BY1292" s="1" t="s">
        <v>925</v>
      </c>
      <c r="BZ1292" s="1" t="s">
        <v>209</v>
      </c>
      <c r="CA1292" s="1" t="s">
        <v>210</v>
      </c>
      <c r="CB1292" s="1" t="s">
        <v>476</v>
      </c>
      <c r="CC1292" s="1" t="s">
        <v>497</v>
      </c>
      <c r="CD1292" s="1" t="s">
        <v>206</v>
      </c>
      <c r="CE1292" s="1" t="s">
        <v>210</v>
      </c>
      <c r="CF1292" s="1" t="s">
        <v>476</v>
      </c>
      <c r="CG1292" s="1" t="s">
        <v>264</v>
      </c>
      <c r="CH1292" s="1" t="s">
        <v>209</v>
      </c>
      <c r="CI1292" s="1" t="s">
        <v>210</v>
      </c>
      <c r="CJ1292" s="1" t="s">
        <v>431</v>
      </c>
      <c r="CK1292" s="1" t="s">
        <v>332</v>
      </c>
      <c r="CL1292" s="1" t="s">
        <v>209</v>
      </c>
      <c r="CM1292" s="1" t="s">
        <v>210</v>
      </c>
      <c r="CN1292" s="1" t="s">
        <v>431</v>
      </c>
      <c r="CO1292" s="1" t="s">
        <v>433</v>
      </c>
      <c r="CP1292" s="1" t="s">
        <v>267</v>
      </c>
      <c r="CQ1292" s="1" t="s">
        <v>210</v>
      </c>
      <c r="CR1292" s="1" t="s">
        <v>431</v>
      </c>
      <c r="CS1292" s="1" t="s">
        <v>215</v>
      </c>
      <c r="CT1292" s="1" t="s">
        <v>206</v>
      </c>
      <c r="CU1292" s="1" t="s">
        <v>268</v>
      </c>
      <c r="CV1292" s="1" t="s">
        <v>1549</v>
      </c>
      <c r="CW1292" s="1" t="s">
        <v>515</v>
      </c>
      <c r="CX1292" s="1" t="s">
        <v>267</v>
      </c>
      <c r="CY1292" s="1" t="s">
        <v>210</v>
      </c>
      <c r="CZ1292" s="1" t="s">
        <v>431</v>
      </c>
      <c r="DA1292" s="1" t="s">
        <v>200</v>
      </c>
      <c r="DC1292" s="1" t="s">
        <v>517</v>
      </c>
      <c r="DE1292" s="1" t="s">
        <v>273</v>
      </c>
      <c r="DF1292" s="1" t="s">
        <v>219</v>
      </c>
      <c r="DH1292" s="1" t="s">
        <v>220</v>
      </c>
      <c r="DJ1292" s="1" t="s">
        <v>222</v>
      </c>
      <c r="DL1292" s="1" t="s">
        <v>13677</v>
      </c>
      <c r="DM1292" s="1" t="s">
        <v>338</v>
      </c>
      <c r="DQ1292" s="1" t="s">
        <v>441</v>
      </c>
      <c r="DR1292" s="1" t="s">
        <v>229</v>
      </c>
      <c r="DV1292" s="1" t="s">
        <v>1465</v>
      </c>
      <c r="DW1292" s="1" t="s">
        <v>764</v>
      </c>
      <c r="DX1292" s="1" t="s">
        <v>234</v>
      </c>
      <c r="EC1292" s="1" t="s">
        <v>4613</v>
      </c>
      <c r="EG1292" s="1" t="s">
        <v>450</v>
      </c>
      <c r="EH1292" s="1" t="s">
        <v>1467</v>
      </c>
      <c r="EL1292" s="1" t="s">
        <v>3539</v>
      </c>
      <c r="EM1292" s="1" t="s">
        <v>267</v>
      </c>
      <c r="EN1292" s="1" t="s">
        <v>210</v>
      </c>
      <c r="EO1292" s="1" t="s">
        <v>229</v>
      </c>
      <c r="EP1292" s="1" t="s">
        <v>269</v>
      </c>
      <c r="EQ1292" s="1" t="s">
        <v>42</v>
      </c>
      <c r="EU1292" s="1" t="s">
        <v>238</v>
      </c>
      <c r="EY1292" s="1" t="s">
        <v>238</v>
      </c>
      <c r="FC1292" s="1" t="s">
        <v>238</v>
      </c>
      <c r="FF1292" s="1" t="s">
        <v>239</v>
      </c>
      <c r="FG1292" s="1" t="s">
        <v>192</v>
      </c>
      <c r="FH1292" s="1" t="s">
        <v>192</v>
      </c>
      <c r="FJ1292" s="1" t="s">
        <v>13678</v>
      </c>
      <c r="FK1292" s="1" t="s">
        <v>229</v>
      </c>
      <c r="FL1292" s="1" t="s">
        <v>13679</v>
      </c>
      <c r="FM1292" s="1">
        <v>23830.0</v>
      </c>
      <c r="FN1292" s="1" t="s">
        <v>13680</v>
      </c>
      <c r="FO1292" s="1" t="s">
        <v>13681</v>
      </c>
      <c r="FP1292" s="1">
        <v>224960.0</v>
      </c>
      <c r="FQ1292" s="1" t="s">
        <v>13682</v>
      </c>
      <c r="FU1292" s="1" t="s">
        <v>13683</v>
      </c>
      <c r="FV1292" s="1" t="s">
        <v>200</v>
      </c>
      <c r="FW1292" s="1" t="s">
        <v>530</v>
      </c>
      <c r="FZ1292" s="1" t="s">
        <v>229</v>
      </c>
      <c r="GA1292" s="1" t="s">
        <v>291</v>
      </c>
      <c r="GB1292" s="2">
        <v>42142.0</v>
      </c>
      <c r="GC1292" s="1" t="s">
        <v>13684</v>
      </c>
    </row>
    <row r="1293">
      <c r="A1293" s="1">
        <v>620000.0</v>
      </c>
      <c r="B1293" s="1" t="s">
        <v>185</v>
      </c>
      <c r="C1293" s="1" t="str">
        <f>"08857470"</f>
        <v>08857470</v>
      </c>
      <c r="D1293" s="1" t="s">
        <v>186</v>
      </c>
      <c r="F1293" s="1" t="str">
        <f>"177"</f>
        <v>177</v>
      </c>
      <c r="G1293" s="2">
        <v>42073.0</v>
      </c>
      <c r="H1293" s="1">
        <v>625000.0</v>
      </c>
      <c r="I1293" s="1">
        <v>8.0</v>
      </c>
      <c r="J1293" s="1">
        <v>625000.0</v>
      </c>
      <c r="K1293" s="2">
        <v>42079.0</v>
      </c>
      <c r="L1293" s="1">
        <v>8.0</v>
      </c>
      <c r="M1293" s="2">
        <v>42079.0</v>
      </c>
      <c r="N1293" s="1" t="s">
        <v>187</v>
      </c>
      <c r="O1293" s="2">
        <v>42118.0</v>
      </c>
      <c r="P1293" s="1">
        <v>214964.0</v>
      </c>
      <c r="Q1293" s="1">
        <v>25792.0</v>
      </c>
      <c r="S1293" s="1">
        <v>851.0</v>
      </c>
      <c r="T1293" s="1" t="s">
        <v>8385</v>
      </c>
      <c r="U1293" s="1" t="s">
        <v>420</v>
      </c>
      <c r="V1293" s="1" t="s">
        <v>2249</v>
      </c>
      <c r="W1293" s="1">
        <v>60177.0</v>
      </c>
      <c r="Y1293" s="1" t="s">
        <v>13685</v>
      </c>
      <c r="Z1293" s="1">
        <v>2003.0</v>
      </c>
      <c r="AA1293" s="1" t="s">
        <v>200</v>
      </c>
      <c r="AB1293" s="1" t="s">
        <v>193</v>
      </c>
      <c r="AC1293" s="1" t="s">
        <v>13686</v>
      </c>
      <c r="AD1293" s="1" t="s">
        <v>2252</v>
      </c>
      <c r="AE1293" s="1" t="s">
        <v>325</v>
      </c>
      <c r="AF1293" s="1" t="s">
        <v>1203</v>
      </c>
      <c r="AG1293" s="1" t="s">
        <v>752</v>
      </c>
      <c r="AH1293" s="1" t="s">
        <v>13687</v>
      </c>
      <c r="AI1293" s="1">
        <v>0.413</v>
      </c>
      <c r="AK1293" s="1">
        <v>10.0</v>
      </c>
      <c r="AL1293" s="1">
        <v>4.0</v>
      </c>
      <c r="AM1293" s="1">
        <v>3.0</v>
      </c>
      <c r="AN1293" s="1">
        <v>1.0</v>
      </c>
      <c r="AO1293" s="1" t="s">
        <v>198</v>
      </c>
      <c r="AP1293" s="1">
        <v>2.0</v>
      </c>
      <c r="AQ1293" s="1" t="s">
        <v>327</v>
      </c>
      <c r="AR1293" s="1" t="s">
        <v>192</v>
      </c>
      <c r="AS1293" s="1" t="s">
        <v>199</v>
      </c>
      <c r="AT1293" s="1">
        <v>3.0</v>
      </c>
      <c r="AV1293" s="1" t="s">
        <v>200</v>
      </c>
      <c r="AW1293" s="1">
        <v>15574.9</v>
      </c>
      <c r="AX1293" s="1">
        <v>2013.0</v>
      </c>
      <c r="AY1293" s="1" t="s">
        <v>387</v>
      </c>
      <c r="AZ1293" s="1" t="s">
        <v>200</v>
      </c>
      <c r="BA1293" s="1" t="str">
        <f>"0905352008"</f>
        <v>0905352008</v>
      </c>
      <c r="BC1293" s="1">
        <v>4849.0</v>
      </c>
      <c r="BD1293" s="1">
        <v>620000.0</v>
      </c>
      <c r="BE1293" s="2">
        <v>42072.0</v>
      </c>
      <c r="BF1293" s="2" t="s">
        <v>13688</v>
      </c>
      <c r="BG1293" s="1" t="s">
        <v>4510</v>
      </c>
      <c r="BH1293" s="1">
        <v>115.0</v>
      </c>
      <c r="BI1293" s="1" t="s">
        <v>4511</v>
      </c>
      <c r="BJ1293" s="1" t="s">
        <v>2200</v>
      </c>
      <c r="BK1293" s="1" t="s">
        <v>1952</v>
      </c>
      <c r="BL1293" s="1" t="str">
        <f t="shared" ref="BL1293:BM1293" si="855">""</f>
        <v/>
      </c>
      <c r="BM1293" s="1" t="str">
        <f t="shared" si="855"/>
        <v/>
      </c>
      <c r="BQ1293" s="1">
        <v>303.0</v>
      </c>
      <c r="BR1293" s="1">
        <v>303.0</v>
      </c>
      <c r="BS1293" s="1">
        <v>303.0</v>
      </c>
      <c r="BU1293" s="1" t="s">
        <v>215</v>
      </c>
      <c r="BV1293" s="1" t="s">
        <v>206</v>
      </c>
      <c r="BW1293" s="1" t="s">
        <v>207</v>
      </c>
      <c r="BY1293" s="1" t="s">
        <v>544</v>
      </c>
      <c r="BZ1293" s="1" t="s">
        <v>206</v>
      </c>
      <c r="CA1293" s="1" t="s">
        <v>210</v>
      </c>
      <c r="CC1293" s="1" t="s">
        <v>363</v>
      </c>
      <c r="CD1293" s="1" t="s">
        <v>206</v>
      </c>
      <c r="CE1293" s="1" t="s">
        <v>207</v>
      </c>
      <c r="CG1293" s="1" t="s">
        <v>208</v>
      </c>
      <c r="CH1293" s="1" t="s">
        <v>206</v>
      </c>
      <c r="CI1293" s="1" t="s">
        <v>210</v>
      </c>
      <c r="CK1293" s="1" t="s">
        <v>329</v>
      </c>
      <c r="CL1293" s="1" t="s">
        <v>206</v>
      </c>
      <c r="CM1293" s="1" t="s">
        <v>210</v>
      </c>
      <c r="CO1293" s="1" t="s">
        <v>432</v>
      </c>
      <c r="CP1293" s="1" t="s">
        <v>267</v>
      </c>
      <c r="CQ1293" s="1" t="s">
        <v>210</v>
      </c>
      <c r="CS1293" s="1" t="s">
        <v>2861</v>
      </c>
      <c r="CT1293" s="1" t="s">
        <v>206</v>
      </c>
      <c r="CU1293" s="1" t="s">
        <v>207</v>
      </c>
      <c r="CW1293" s="1" t="s">
        <v>6591</v>
      </c>
      <c r="CX1293" s="1" t="s">
        <v>206</v>
      </c>
      <c r="CY1293" s="1" t="s">
        <v>207</v>
      </c>
      <c r="DA1293" s="1" t="s">
        <v>200</v>
      </c>
      <c r="DC1293" s="1" t="s">
        <v>335</v>
      </c>
      <c r="DD1293" s="1" t="s">
        <v>957</v>
      </c>
      <c r="DE1293" s="1" t="s">
        <v>273</v>
      </c>
      <c r="DF1293" s="1" t="s">
        <v>219</v>
      </c>
      <c r="DG1293" s="1" t="s">
        <v>13689</v>
      </c>
      <c r="DH1293" s="1" t="s">
        <v>220</v>
      </c>
      <c r="DI1293" s="1" t="s">
        <v>2837</v>
      </c>
      <c r="DJ1293" s="1" t="s">
        <v>222</v>
      </c>
      <c r="DL1293" s="1" t="s">
        <v>224</v>
      </c>
      <c r="DM1293" s="1" t="s">
        <v>338</v>
      </c>
      <c r="DN1293" s="1" t="s">
        <v>399</v>
      </c>
      <c r="DO1293" s="1" t="s">
        <v>6032</v>
      </c>
      <c r="DP1293" s="1" t="s">
        <v>340</v>
      </c>
      <c r="DQ1293" s="1" t="s">
        <v>441</v>
      </c>
      <c r="DR1293" s="1" t="s">
        <v>588</v>
      </c>
      <c r="DU1293" s="1" t="s">
        <v>13690</v>
      </c>
      <c r="DV1293" s="1" t="s">
        <v>13691</v>
      </c>
      <c r="DW1293" s="1" t="s">
        <v>1820</v>
      </c>
      <c r="DX1293" s="1" t="s">
        <v>280</v>
      </c>
      <c r="DY1293" s="1" t="s">
        <v>2841</v>
      </c>
      <c r="DZ1293" s="1" t="s">
        <v>766</v>
      </c>
      <c r="EA1293" s="1" t="s">
        <v>683</v>
      </c>
      <c r="EB1293" s="1" t="s">
        <v>492</v>
      </c>
      <c r="EC1293" s="1" t="s">
        <v>685</v>
      </c>
      <c r="EG1293" s="1" t="s">
        <v>598</v>
      </c>
      <c r="EH1293" s="1" t="s">
        <v>450</v>
      </c>
      <c r="EI1293" s="1" t="s">
        <v>588</v>
      </c>
      <c r="EJ1293" s="1" t="s">
        <v>1102</v>
      </c>
      <c r="EK1293" s="1" t="s">
        <v>1270</v>
      </c>
      <c r="EL1293" s="1" t="s">
        <v>1426</v>
      </c>
      <c r="EM1293" s="1" t="s">
        <v>1697</v>
      </c>
      <c r="EN1293" s="1" t="s">
        <v>210</v>
      </c>
      <c r="EP1293" s="1" t="s">
        <v>6591</v>
      </c>
      <c r="EQ1293" s="1" t="s">
        <v>1697</v>
      </c>
      <c r="ER1293" s="1" t="s">
        <v>210</v>
      </c>
      <c r="ET1293" s="1" t="s">
        <v>214</v>
      </c>
      <c r="EU1293" s="1" t="s">
        <v>1697</v>
      </c>
      <c r="EV1293" s="1" t="s">
        <v>210</v>
      </c>
      <c r="EX1293" s="1" t="s">
        <v>213</v>
      </c>
      <c r="EY1293" s="1" t="s">
        <v>206</v>
      </c>
      <c r="EZ1293" s="1" t="s">
        <v>588</v>
      </c>
      <c r="FB1293" s="1" t="s">
        <v>375</v>
      </c>
      <c r="FC1293" s="1" t="s">
        <v>1697</v>
      </c>
      <c r="FD1293" s="1" t="s">
        <v>588</v>
      </c>
      <c r="FF1293" s="1" t="s">
        <v>239</v>
      </c>
      <c r="FG1293" s="1" t="s">
        <v>192</v>
      </c>
      <c r="FH1293" s="1" t="s">
        <v>192</v>
      </c>
      <c r="FJ1293" s="1" t="s">
        <v>498</v>
      </c>
      <c r="FK1293" s="1" t="s">
        <v>229</v>
      </c>
      <c r="FL1293" s="1" t="s">
        <v>1358</v>
      </c>
      <c r="FM1293" s="1">
        <v>23591.0</v>
      </c>
      <c r="FN1293" s="1" t="s">
        <v>2134</v>
      </c>
      <c r="FO1293" s="1" t="s">
        <v>2135</v>
      </c>
      <c r="FP1293" s="1">
        <v>230500.0</v>
      </c>
      <c r="FQ1293" s="1" t="s">
        <v>2136</v>
      </c>
      <c r="FR1293" s="1">
        <v>239565.0</v>
      </c>
      <c r="FU1293" s="1" t="s">
        <v>12671</v>
      </c>
      <c r="FV1293" s="1" t="s">
        <v>200</v>
      </c>
      <c r="FW1293" s="1" t="s">
        <v>290</v>
      </c>
      <c r="FZ1293" s="1" t="s">
        <v>229</v>
      </c>
      <c r="GA1293" s="1" t="s">
        <v>291</v>
      </c>
      <c r="GB1293" s="2">
        <v>42119.0</v>
      </c>
    </row>
    <row r="1294">
      <c r="A1294" s="1">
        <v>160500.0</v>
      </c>
      <c r="B1294" s="1" t="s">
        <v>185</v>
      </c>
      <c r="C1294" s="1" t="str">
        <f>"08862353"</f>
        <v>08862353</v>
      </c>
      <c r="D1294" s="1" t="s">
        <v>186</v>
      </c>
      <c r="F1294" s="1" t="str">
        <f>"103"</f>
        <v>103</v>
      </c>
      <c r="G1294" s="2">
        <v>42079.0</v>
      </c>
      <c r="H1294" s="1">
        <v>150000.0</v>
      </c>
      <c r="I1294" s="1">
        <v>14.0</v>
      </c>
      <c r="J1294" s="1">
        <v>150000.0</v>
      </c>
      <c r="K1294" s="2">
        <v>42090.0</v>
      </c>
      <c r="L1294" s="1">
        <v>14.0</v>
      </c>
      <c r="M1294" s="2">
        <v>42090.0</v>
      </c>
      <c r="N1294" s="1" t="s">
        <v>249</v>
      </c>
      <c r="O1294" s="2">
        <v>42135.0</v>
      </c>
      <c r="P1294" s="1">
        <v>350437.0</v>
      </c>
      <c r="Q1294" s="1">
        <v>35098.0</v>
      </c>
      <c r="S1294" s="1">
        <v>1530.0</v>
      </c>
      <c r="T1294" s="1" t="s">
        <v>13692</v>
      </c>
      <c r="U1294" s="1" t="s">
        <v>569</v>
      </c>
      <c r="V1294" s="1" t="s">
        <v>251</v>
      </c>
      <c r="W1294" s="1">
        <v>60133.0</v>
      </c>
      <c r="Y1294" s="1" t="s">
        <v>13693</v>
      </c>
      <c r="Z1294" s="1">
        <v>1971.0</v>
      </c>
      <c r="AA1294" s="1" t="s">
        <v>192</v>
      </c>
      <c r="AB1294" s="1" t="s">
        <v>193</v>
      </c>
      <c r="AD1294" s="1" t="s">
        <v>254</v>
      </c>
      <c r="AE1294" s="1" t="s">
        <v>195</v>
      </c>
      <c r="AF1294" s="1" t="s">
        <v>255</v>
      </c>
      <c r="AH1294" s="1" t="s">
        <v>13694</v>
      </c>
      <c r="AI1294" s="1">
        <v>0.2255</v>
      </c>
      <c r="AK1294" s="1">
        <v>7.0</v>
      </c>
      <c r="AL1294" s="1">
        <v>4.0</v>
      </c>
      <c r="AM1294" s="1">
        <v>2.0</v>
      </c>
      <c r="AN1294" s="1">
        <v>0.0</v>
      </c>
      <c r="AO1294" s="1" t="s">
        <v>198</v>
      </c>
      <c r="AQ1294" s="1" t="s">
        <v>229</v>
      </c>
      <c r="AR1294" s="1" t="s">
        <v>200</v>
      </c>
      <c r="AS1294" s="1" t="s">
        <v>199</v>
      </c>
      <c r="AT1294" s="1">
        <v>2.0</v>
      </c>
      <c r="AV1294" s="1" t="s">
        <v>200</v>
      </c>
      <c r="AW1294" s="1">
        <v>4745.25</v>
      </c>
      <c r="AX1294" s="1">
        <v>2012.0</v>
      </c>
      <c r="AZ1294" s="1" t="s">
        <v>200</v>
      </c>
      <c r="BA1294" s="1" t="str">
        <f>"07301030170000"</f>
        <v>07301030170000</v>
      </c>
      <c r="BC1294" s="1">
        <v>1601.0</v>
      </c>
      <c r="BD1294" s="1">
        <v>160500.0</v>
      </c>
      <c r="BE1294" s="2">
        <v>42077.0</v>
      </c>
      <c r="BF1294" s="1" t="s">
        <v>13695</v>
      </c>
      <c r="BH1294" s="1">
        <v>0.0</v>
      </c>
      <c r="BK1294" s="1" t="s">
        <v>204</v>
      </c>
      <c r="BL1294" s="1" t="str">
        <f t="shared" ref="BL1294:BM1294" si="856">""</f>
        <v/>
      </c>
      <c r="BM1294" s="1" t="str">
        <f t="shared" si="856"/>
        <v/>
      </c>
      <c r="BQ1294" s="1">
        <v>54.0</v>
      </c>
      <c r="BR1294" s="1">
        <v>211.0</v>
      </c>
      <c r="BS1294" s="1">
        <v>54.0</v>
      </c>
      <c r="BU1294" s="1" t="s">
        <v>2481</v>
      </c>
      <c r="BV1294" s="1" t="s">
        <v>206</v>
      </c>
      <c r="BY1294" s="1" t="s">
        <v>830</v>
      </c>
      <c r="BZ1294" s="1" t="s">
        <v>206</v>
      </c>
      <c r="CD1294" s="1" t="s">
        <v>204</v>
      </c>
      <c r="CG1294" s="1" t="s">
        <v>269</v>
      </c>
      <c r="CH1294" s="1" t="s">
        <v>206</v>
      </c>
      <c r="CK1294" s="1" t="s">
        <v>663</v>
      </c>
      <c r="CL1294" s="1" t="s">
        <v>206</v>
      </c>
      <c r="CO1294" s="1" t="s">
        <v>303</v>
      </c>
      <c r="CP1294" s="1" t="s">
        <v>206</v>
      </c>
      <c r="CS1294" s="1" t="s">
        <v>584</v>
      </c>
      <c r="CT1294" s="1" t="s">
        <v>206</v>
      </c>
      <c r="CW1294" s="1" t="s">
        <v>1517</v>
      </c>
      <c r="CX1294" s="1" t="s">
        <v>206</v>
      </c>
      <c r="DA1294" s="1" t="s">
        <v>200</v>
      </c>
      <c r="DC1294" s="1" t="s">
        <v>517</v>
      </c>
      <c r="DE1294" s="1" t="s">
        <v>229</v>
      </c>
      <c r="DF1294" s="1" t="s">
        <v>619</v>
      </c>
      <c r="DH1294" s="1" t="s">
        <v>220</v>
      </c>
      <c r="DJ1294" s="1" t="s">
        <v>222</v>
      </c>
      <c r="DL1294" s="1" t="s">
        <v>229</v>
      </c>
      <c r="DM1294" s="1" t="s">
        <v>229</v>
      </c>
      <c r="DQ1294" s="1" t="s">
        <v>228</v>
      </c>
      <c r="DR1294" s="1" t="s">
        <v>229</v>
      </c>
      <c r="DV1294" s="1" t="s">
        <v>232</v>
      </c>
      <c r="DW1294" s="1" t="s">
        <v>489</v>
      </c>
      <c r="DX1294" s="1" t="s">
        <v>234</v>
      </c>
      <c r="EC1294" s="1" t="s">
        <v>685</v>
      </c>
      <c r="EM1294" s="1" t="s">
        <v>238</v>
      </c>
      <c r="EQ1294" s="1" t="s">
        <v>238</v>
      </c>
      <c r="EU1294" s="1" t="s">
        <v>238</v>
      </c>
      <c r="EY1294" s="1" t="s">
        <v>238</v>
      </c>
      <c r="FC1294" s="1" t="s">
        <v>238</v>
      </c>
      <c r="FF1294" s="1" t="s">
        <v>239</v>
      </c>
      <c r="FG1294" s="1" t="s">
        <v>192</v>
      </c>
      <c r="FH1294" s="1" t="s">
        <v>192</v>
      </c>
      <c r="FJ1294" s="1" t="s">
        <v>1248</v>
      </c>
      <c r="FK1294" s="1" t="s">
        <v>229</v>
      </c>
      <c r="FL1294" s="1" t="s">
        <v>13696</v>
      </c>
      <c r="FM1294" s="1">
        <v>25196.0</v>
      </c>
      <c r="FN1294" s="1" t="s">
        <v>13697</v>
      </c>
      <c r="FO1294" s="1" t="s">
        <v>13698</v>
      </c>
      <c r="FP1294" s="1">
        <v>214545.0</v>
      </c>
      <c r="FQ1294" s="1" t="s">
        <v>13697</v>
      </c>
      <c r="FR1294" s="1">
        <v>239627.0</v>
      </c>
      <c r="FU1294" s="1" t="s">
        <v>13699</v>
      </c>
      <c r="FV1294" s="1" t="s">
        <v>200</v>
      </c>
      <c r="FW1294" s="1" t="s">
        <v>1524</v>
      </c>
      <c r="FZ1294" s="1" t="s">
        <v>229</v>
      </c>
      <c r="GA1294" s="1" t="s">
        <v>291</v>
      </c>
      <c r="GB1294" s="2">
        <v>42136.0</v>
      </c>
      <c r="GC1294" s="1" t="s">
        <v>13700</v>
      </c>
    </row>
    <row r="1295">
      <c r="A1295" s="1">
        <v>225250.0</v>
      </c>
      <c r="B1295" s="1" t="s">
        <v>185</v>
      </c>
      <c r="C1295" s="1" t="str">
        <f>"08851610"</f>
        <v>08851610</v>
      </c>
      <c r="D1295" s="1" t="s">
        <v>186</v>
      </c>
      <c r="F1295" s="1" t="str">
        <f>"174"</f>
        <v>174</v>
      </c>
      <c r="G1295" s="2">
        <v>42066.0</v>
      </c>
      <c r="H1295" s="1">
        <v>210000.0</v>
      </c>
      <c r="I1295" s="1">
        <v>9.0</v>
      </c>
      <c r="J1295" s="1">
        <v>210000.0</v>
      </c>
      <c r="K1295" s="2">
        <v>42074.0</v>
      </c>
      <c r="L1295" s="1">
        <v>9.0</v>
      </c>
      <c r="M1295" s="2">
        <v>42074.0</v>
      </c>
      <c r="N1295" s="1" t="s">
        <v>187</v>
      </c>
      <c r="O1295" s="2">
        <v>42130.0</v>
      </c>
      <c r="P1295" s="1">
        <v>221930.0</v>
      </c>
      <c r="Q1295" s="1">
        <v>25718.0</v>
      </c>
      <c r="R1295" s="1">
        <v>7045.0</v>
      </c>
      <c r="S1295" s="1">
        <v>1527.0</v>
      </c>
      <c r="T1295" s="1" t="s">
        <v>5710</v>
      </c>
      <c r="U1295" s="1" t="s">
        <v>189</v>
      </c>
      <c r="V1295" s="1" t="s">
        <v>1200</v>
      </c>
      <c r="W1295" s="1">
        <v>60174.0</v>
      </c>
      <c r="Y1295" s="1" t="s">
        <v>13701</v>
      </c>
      <c r="Z1295" s="1">
        <v>1987.0</v>
      </c>
      <c r="AA1295" s="1" t="s">
        <v>200</v>
      </c>
      <c r="AB1295" s="1" t="s">
        <v>193</v>
      </c>
      <c r="AC1295" s="1" t="s">
        <v>8686</v>
      </c>
      <c r="AD1295" s="1" t="s">
        <v>1203</v>
      </c>
      <c r="AE1295" s="1" t="s">
        <v>325</v>
      </c>
      <c r="AF1295" s="1" t="s">
        <v>1203</v>
      </c>
      <c r="AH1295" s="1" t="s">
        <v>13702</v>
      </c>
      <c r="AI1295" s="1">
        <v>0.1671</v>
      </c>
      <c r="AK1295" s="1">
        <v>8.0</v>
      </c>
      <c r="AL1295" s="1">
        <v>3.0</v>
      </c>
      <c r="AM1295" s="1">
        <v>2.0</v>
      </c>
      <c r="AN1295" s="1">
        <v>1.0</v>
      </c>
      <c r="AO1295" s="1" t="s">
        <v>198</v>
      </c>
      <c r="AP1295" s="1">
        <v>1.0</v>
      </c>
      <c r="AQ1295" s="1" t="s">
        <v>198</v>
      </c>
      <c r="AR1295" s="1" t="s">
        <v>200</v>
      </c>
      <c r="AS1295" s="1" t="s">
        <v>199</v>
      </c>
      <c r="AT1295" s="1">
        <v>2.0</v>
      </c>
      <c r="AV1295" s="1" t="s">
        <v>200</v>
      </c>
      <c r="AW1295" s="1">
        <v>6645.06</v>
      </c>
      <c r="AX1295" s="1">
        <v>2013.0</v>
      </c>
      <c r="AY1295" s="1" t="s">
        <v>387</v>
      </c>
      <c r="AZ1295" s="1" t="s">
        <v>200</v>
      </c>
      <c r="BA1295" s="1" t="str">
        <f>"0935255024"</f>
        <v>0935255024</v>
      </c>
      <c r="BC1295" s="1">
        <v>1485.0</v>
      </c>
      <c r="BD1295" s="1">
        <v>225250.0</v>
      </c>
      <c r="BE1295" s="2">
        <v>42066.0</v>
      </c>
      <c r="BF1295" s="1" t="s">
        <v>13703</v>
      </c>
      <c r="BH1295" s="1">
        <v>0.0</v>
      </c>
      <c r="BK1295" s="1" t="s">
        <v>204</v>
      </c>
      <c r="BL1295" s="1" t="str">
        <f t="shared" ref="BL1295:BM1295" si="857">""</f>
        <v/>
      </c>
      <c r="BM1295" s="1" t="str">
        <f t="shared" si="857"/>
        <v/>
      </c>
      <c r="BQ1295" s="1">
        <v>303.0</v>
      </c>
      <c r="BR1295" s="1">
        <v>303.0</v>
      </c>
      <c r="BS1295" s="1">
        <v>303.0</v>
      </c>
      <c r="BU1295" s="1" t="s">
        <v>1426</v>
      </c>
      <c r="BV1295" s="1" t="s">
        <v>206</v>
      </c>
      <c r="BY1295" s="1" t="s">
        <v>582</v>
      </c>
      <c r="BZ1295" s="1" t="s">
        <v>209</v>
      </c>
      <c r="CC1295" s="1" t="s">
        <v>699</v>
      </c>
      <c r="CD1295" s="1" t="s">
        <v>206</v>
      </c>
      <c r="CG1295" s="1" t="s">
        <v>331</v>
      </c>
      <c r="CH1295" s="1" t="s">
        <v>209</v>
      </c>
      <c r="CK1295" s="1" t="s">
        <v>332</v>
      </c>
      <c r="CL1295" s="1" t="s">
        <v>209</v>
      </c>
      <c r="CO1295" s="1" t="s">
        <v>212</v>
      </c>
      <c r="CP1295" s="1" t="s">
        <v>42</v>
      </c>
      <c r="CS1295" s="1" t="s">
        <v>1158</v>
      </c>
      <c r="CT1295" s="1" t="s">
        <v>206</v>
      </c>
      <c r="CW1295" s="1" t="s">
        <v>8771</v>
      </c>
      <c r="CX1295" s="1" t="s">
        <v>206</v>
      </c>
      <c r="DA1295" s="1" t="s">
        <v>200</v>
      </c>
      <c r="DC1295" s="1" t="s">
        <v>305</v>
      </c>
      <c r="DE1295" s="1" t="s">
        <v>273</v>
      </c>
      <c r="DF1295" s="1" t="s">
        <v>219</v>
      </c>
      <c r="DG1295" s="1" t="s">
        <v>4976</v>
      </c>
      <c r="DH1295" s="1" t="s">
        <v>220</v>
      </c>
      <c r="DI1295" s="1" t="s">
        <v>2547</v>
      </c>
      <c r="DJ1295" s="1" t="s">
        <v>222</v>
      </c>
      <c r="DK1295" s="1" t="s">
        <v>223</v>
      </c>
      <c r="DL1295" s="1" t="s">
        <v>224</v>
      </c>
      <c r="DM1295" s="1" t="s">
        <v>338</v>
      </c>
      <c r="DO1295" s="1" t="s">
        <v>549</v>
      </c>
      <c r="DP1295" s="1" t="s">
        <v>276</v>
      </c>
      <c r="DQ1295" s="1" t="s">
        <v>228</v>
      </c>
      <c r="DR1295" s="1" t="s">
        <v>229</v>
      </c>
      <c r="DS1295" s="1" t="s">
        <v>277</v>
      </c>
      <c r="DV1295" s="1" t="s">
        <v>232</v>
      </c>
      <c r="DW1295" s="1" t="s">
        <v>2602</v>
      </c>
      <c r="DX1295" s="1" t="s">
        <v>234</v>
      </c>
      <c r="DZ1295" s="1" t="s">
        <v>310</v>
      </c>
      <c r="EA1295" s="1" t="s">
        <v>447</v>
      </c>
      <c r="EC1295" s="1" t="s">
        <v>237</v>
      </c>
      <c r="EE1295" s="1" t="s">
        <v>493</v>
      </c>
      <c r="EM1295" s="1" t="s">
        <v>238</v>
      </c>
      <c r="EQ1295" s="1" t="s">
        <v>238</v>
      </c>
      <c r="EU1295" s="1" t="s">
        <v>238</v>
      </c>
      <c r="EY1295" s="1" t="s">
        <v>238</v>
      </c>
      <c r="FC1295" s="1" t="s">
        <v>238</v>
      </c>
      <c r="FF1295" s="1" t="s">
        <v>239</v>
      </c>
      <c r="FG1295" s="1" t="s">
        <v>192</v>
      </c>
      <c r="FH1295" s="1" t="s">
        <v>192</v>
      </c>
      <c r="FJ1295" s="1" t="s">
        <v>347</v>
      </c>
      <c r="FK1295" s="1" t="s">
        <v>229</v>
      </c>
      <c r="FL1295" s="1" t="s">
        <v>2184</v>
      </c>
      <c r="FM1295" s="1">
        <v>605.0</v>
      </c>
      <c r="FN1295" s="1" t="s">
        <v>2185</v>
      </c>
      <c r="FO1295" s="1" t="s">
        <v>1738</v>
      </c>
      <c r="FP1295" s="1">
        <v>170.0</v>
      </c>
      <c r="FQ1295" s="1" t="s">
        <v>2185</v>
      </c>
      <c r="FS1295" s="1" t="s">
        <v>3468</v>
      </c>
      <c r="FU1295" s="1" t="s">
        <v>4920</v>
      </c>
      <c r="FV1295" s="1" t="s">
        <v>200</v>
      </c>
      <c r="FW1295" s="1" t="s">
        <v>567</v>
      </c>
      <c r="FZ1295" s="1" t="s">
        <v>229</v>
      </c>
      <c r="GA1295" s="1" t="s">
        <v>291</v>
      </c>
      <c r="GB1295" s="2">
        <v>42130.0</v>
      </c>
      <c r="GC1295" s="1" t="s">
        <v>13704</v>
      </c>
    </row>
    <row r="1296">
      <c r="A1296" s="1">
        <v>264000.0</v>
      </c>
      <c r="B1296" s="1" t="s">
        <v>185</v>
      </c>
      <c r="C1296" s="1" t="str">
        <f>"08853475"</f>
        <v>08853475</v>
      </c>
      <c r="D1296" s="1" t="s">
        <v>186</v>
      </c>
      <c r="F1296" s="1" t="str">
        <f>"8010"</f>
        <v>8010</v>
      </c>
      <c r="G1296" s="2">
        <v>42068.0</v>
      </c>
      <c r="H1296" s="1">
        <v>264000.0</v>
      </c>
      <c r="I1296" s="1">
        <v>12.0</v>
      </c>
      <c r="J1296" s="1">
        <v>264000.0</v>
      </c>
      <c r="K1296" s="2">
        <v>42079.0</v>
      </c>
      <c r="L1296" s="1">
        <v>12.0</v>
      </c>
      <c r="M1296" s="2">
        <v>42079.0</v>
      </c>
      <c r="N1296" s="1" t="s">
        <v>187</v>
      </c>
      <c r="O1296" s="2">
        <v>42135.0</v>
      </c>
      <c r="P1296" s="1">
        <v>41999.0</v>
      </c>
      <c r="Q1296" s="1">
        <v>4796.0</v>
      </c>
      <c r="R1296" s="1">
        <v>10560.0</v>
      </c>
      <c r="S1296" s="1">
        <v>6724.0</v>
      </c>
      <c r="T1296" s="1" t="s">
        <v>13705</v>
      </c>
      <c r="U1296" s="1" t="s">
        <v>189</v>
      </c>
      <c r="V1296" s="1" t="s">
        <v>190</v>
      </c>
      <c r="W1296" s="1">
        <v>60631.0</v>
      </c>
      <c r="Y1296" s="1" t="s">
        <v>13706</v>
      </c>
      <c r="Z1296" s="1">
        <v>1955.0</v>
      </c>
      <c r="AA1296" s="1" t="s">
        <v>192</v>
      </c>
      <c r="AB1296" s="1" t="s">
        <v>193</v>
      </c>
      <c r="AD1296" s="1" t="s">
        <v>194</v>
      </c>
      <c r="AE1296" s="1" t="s">
        <v>195</v>
      </c>
      <c r="AF1296" s="1" t="s">
        <v>196</v>
      </c>
      <c r="AH1296" s="1" t="s">
        <v>359</v>
      </c>
      <c r="AK1296" s="1">
        <v>7.0</v>
      </c>
      <c r="AL1296" s="1">
        <v>4.0</v>
      </c>
      <c r="AM1296" s="1">
        <v>1.0</v>
      </c>
      <c r="AN1296" s="1">
        <v>1.0</v>
      </c>
      <c r="AO1296" s="1" t="s">
        <v>229</v>
      </c>
      <c r="AQ1296" s="1" t="s">
        <v>198</v>
      </c>
      <c r="AR1296" s="1" t="s">
        <v>200</v>
      </c>
      <c r="AS1296" s="1" t="s">
        <v>199</v>
      </c>
      <c r="AT1296" s="1">
        <v>1.0</v>
      </c>
      <c r="AV1296" s="1" t="s">
        <v>200</v>
      </c>
      <c r="AW1296" s="1">
        <v>4506.6</v>
      </c>
      <c r="AX1296" s="1">
        <v>2013.0</v>
      </c>
      <c r="AY1296" s="1" t="s">
        <v>229</v>
      </c>
      <c r="AZ1296" s="1" t="s">
        <v>200</v>
      </c>
      <c r="BA1296" s="1" t="str">
        <f>"10314130180000"</f>
        <v>10314130180000</v>
      </c>
      <c r="BC1296" s="1">
        <v>0.0</v>
      </c>
      <c r="BD1296" s="1">
        <v>264000.0</v>
      </c>
      <c r="BE1296" s="2">
        <v>42068.0</v>
      </c>
      <c r="BF1296" s="2" t="s">
        <v>13707</v>
      </c>
      <c r="BH1296" s="1">
        <v>0.0</v>
      </c>
      <c r="BK1296" s="1" t="s">
        <v>204</v>
      </c>
      <c r="BL1296" s="1" t="str">
        <f>"6400"</f>
        <v>6400</v>
      </c>
      <c r="BM1296" s="1" t="str">
        <f t="shared" ref="BM1296:BM1299" si="858">"0"</f>
        <v>0</v>
      </c>
      <c r="BN1296" s="1">
        <v>6724.0</v>
      </c>
      <c r="BO1296" s="1">
        <v>0.0</v>
      </c>
      <c r="BQ1296" s="1">
        <v>299.0</v>
      </c>
      <c r="BR1296" s="1">
        <v>299.0</v>
      </c>
      <c r="BS1296" s="1">
        <v>299.0</v>
      </c>
      <c r="BU1296" s="1" t="s">
        <v>1329</v>
      </c>
      <c r="BV1296" s="1" t="s">
        <v>206</v>
      </c>
      <c r="BW1296" s="1" t="s">
        <v>207</v>
      </c>
      <c r="BY1296" s="1" t="s">
        <v>303</v>
      </c>
      <c r="BZ1296" s="1" t="s">
        <v>206</v>
      </c>
      <c r="CA1296" s="1" t="s">
        <v>207</v>
      </c>
      <c r="CC1296" s="1" t="s">
        <v>542</v>
      </c>
      <c r="CD1296" s="1" t="s">
        <v>206</v>
      </c>
      <c r="CG1296" s="1" t="s">
        <v>3805</v>
      </c>
      <c r="CH1296" s="1" t="s">
        <v>206</v>
      </c>
      <c r="CI1296" s="1" t="s">
        <v>207</v>
      </c>
      <c r="CK1296" s="1" t="s">
        <v>1760</v>
      </c>
      <c r="CL1296" s="1" t="s">
        <v>209</v>
      </c>
      <c r="CM1296" s="1" t="s">
        <v>210</v>
      </c>
      <c r="CO1296" s="1" t="s">
        <v>1760</v>
      </c>
      <c r="CP1296" s="1" t="s">
        <v>209</v>
      </c>
      <c r="CQ1296" s="1" t="s">
        <v>210</v>
      </c>
      <c r="CS1296" s="1" t="s">
        <v>1352</v>
      </c>
      <c r="CT1296" s="1" t="s">
        <v>206</v>
      </c>
      <c r="CU1296" s="1" t="s">
        <v>207</v>
      </c>
      <c r="CX1296" s="1" t="s">
        <v>204</v>
      </c>
      <c r="DA1296" s="1" t="s">
        <v>200</v>
      </c>
      <c r="DC1296" s="1" t="s">
        <v>271</v>
      </c>
      <c r="DD1296" s="1" t="s">
        <v>957</v>
      </c>
      <c r="DE1296" s="1" t="s">
        <v>273</v>
      </c>
      <c r="DF1296" s="1" t="s">
        <v>619</v>
      </c>
      <c r="DH1296" s="1" t="s">
        <v>365</v>
      </c>
      <c r="DI1296" s="1" t="s">
        <v>13708</v>
      </c>
      <c r="DJ1296" s="1" t="s">
        <v>222</v>
      </c>
      <c r="DK1296" s="1" t="s">
        <v>13709</v>
      </c>
      <c r="DL1296" s="1" t="s">
        <v>223</v>
      </c>
      <c r="DM1296" s="1" t="s">
        <v>229</v>
      </c>
      <c r="DP1296" s="1" t="s">
        <v>276</v>
      </c>
      <c r="DQ1296" s="1" t="s">
        <v>718</v>
      </c>
      <c r="DR1296" s="1" t="s">
        <v>229</v>
      </c>
      <c r="DS1296" s="1" t="s">
        <v>277</v>
      </c>
      <c r="DV1296" s="1" t="s">
        <v>232</v>
      </c>
      <c r="DW1296" s="1" t="s">
        <v>279</v>
      </c>
      <c r="DX1296" s="1" t="s">
        <v>234</v>
      </c>
      <c r="DY1296" s="1" t="s">
        <v>704</v>
      </c>
      <c r="EC1296" s="1" t="s">
        <v>645</v>
      </c>
      <c r="EE1296" s="1" t="s">
        <v>187</v>
      </c>
      <c r="EM1296" s="1" t="s">
        <v>238</v>
      </c>
      <c r="EQ1296" s="1" t="s">
        <v>238</v>
      </c>
      <c r="EU1296" s="1" t="s">
        <v>238</v>
      </c>
      <c r="EY1296" s="1" t="s">
        <v>238</v>
      </c>
      <c r="FC1296" s="1" t="s">
        <v>238</v>
      </c>
      <c r="FF1296" s="1" t="s">
        <v>239</v>
      </c>
      <c r="FG1296" s="1" t="s">
        <v>192</v>
      </c>
      <c r="FH1296" s="1" t="s">
        <v>192</v>
      </c>
      <c r="FJ1296" s="1" t="s">
        <v>561</v>
      </c>
      <c r="FK1296" s="1" t="s">
        <v>229</v>
      </c>
      <c r="FL1296" s="1" t="s">
        <v>7927</v>
      </c>
      <c r="FM1296" s="1">
        <v>84404.0</v>
      </c>
      <c r="FN1296" s="1" t="s">
        <v>7928</v>
      </c>
      <c r="FO1296" s="1" t="s">
        <v>13710</v>
      </c>
      <c r="FP1296" s="1">
        <v>170262.0</v>
      </c>
      <c r="FQ1296" s="1" t="s">
        <v>13711</v>
      </c>
      <c r="FU1296" s="1" t="s">
        <v>13712</v>
      </c>
      <c r="FV1296" s="1" t="s">
        <v>200</v>
      </c>
      <c r="FW1296" s="1" t="s">
        <v>290</v>
      </c>
      <c r="FX1296" s="1" t="s">
        <v>246</v>
      </c>
      <c r="FZ1296" s="1" t="s">
        <v>229</v>
      </c>
      <c r="GA1296" s="1" t="s">
        <v>291</v>
      </c>
      <c r="GB1296" s="2">
        <v>42136.0</v>
      </c>
      <c r="GC1296" s="1" t="s">
        <v>6367</v>
      </c>
    </row>
    <row r="1297">
      <c r="A1297" s="1">
        <v>287500.0</v>
      </c>
      <c r="B1297" s="1" t="s">
        <v>185</v>
      </c>
      <c r="C1297" s="1" t="str">
        <f>"08852567"</f>
        <v>08852567</v>
      </c>
      <c r="D1297" s="1" t="s">
        <v>186</v>
      </c>
      <c r="F1297" s="1" t="str">
        <f>"634"</f>
        <v>634</v>
      </c>
      <c r="G1297" s="2">
        <v>42067.0</v>
      </c>
      <c r="H1297" s="1">
        <v>297500.0</v>
      </c>
      <c r="I1297" s="1">
        <v>9.0</v>
      </c>
      <c r="J1297" s="1">
        <v>297500.0</v>
      </c>
      <c r="K1297" s="2">
        <v>42075.0</v>
      </c>
      <c r="L1297" s="1">
        <v>9.0</v>
      </c>
      <c r="M1297" s="2">
        <v>42075.0</v>
      </c>
      <c r="N1297" s="1" t="s">
        <v>187</v>
      </c>
      <c r="O1297" s="2">
        <v>42145.0</v>
      </c>
      <c r="P1297" s="1">
        <v>231325.0</v>
      </c>
      <c r="Q1297" s="1">
        <v>24946.0</v>
      </c>
      <c r="S1297" s="1">
        <v>8028.0</v>
      </c>
      <c r="T1297" s="1" t="s">
        <v>724</v>
      </c>
      <c r="U1297" s="1" t="s">
        <v>189</v>
      </c>
      <c r="V1297" s="1" t="s">
        <v>6388</v>
      </c>
      <c r="W1297" s="1">
        <v>60706.0</v>
      </c>
      <c r="Y1297" s="1" t="s">
        <v>13713</v>
      </c>
      <c r="Z1297" s="1">
        <v>1949.0</v>
      </c>
      <c r="AA1297" s="1" t="s">
        <v>192</v>
      </c>
      <c r="AB1297" s="1" t="s">
        <v>193</v>
      </c>
      <c r="AD1297" s="1" t="s">
        <v>6390</v>
      </c>
      <c r="AE1297" s="1" t="s">
        <v>195</v>
      </c>
      <c r="AF1297" s="1" t="s">
        <v>2347</v>
      </c>
      <c r="AH1297" s="1" t="s">
        <v>13714</v>
      </c>
      <c r="AI1297" s="1">
        <v>0.2313</v>
      </c>
      <c r="AK1297" s="1">
        <v>7.0</v>
      </c>
      <c r="AL1297" s="1">
        <v>4.0</v>
      </c>
      <c r="AM1297" s="1">
        <v>2.0</v>
      </c>
      <c r="AN1297" s="1">
        <v>0.0</v>
      </c>
      <c r="AO1297" s="1" t="s">
        <v>229</v>
      </c>
      <c r="AP1297" s="1">
        <v>1.0</v>
      </c>
      <c r="AQ1297" s="1" t="s">
        <v>229</v>
      </c>
      <c r="AR1297" s="1" t="s">
        <v>200</v>
      </c>
      <c r="AS1297" s="1" t="s">
        <v>199</v>
      </c>
      <c r="AT1297" s="1">
        <v>2.0</v>
      </c>
      <c r="AV1297" s="1" t="s">
        <v>200</v>
      </c>
      <c r="AW1297" s="1">
        <v>6694.0</v>
      </c>
      <c r="AX1297" s="1">
        <v>2013.0</v>
      </c>
      <c r="AZ1297" s="1" t="s">
        <v>200</v>
      </c>
      <c r="BA1297" s="1" t="str">
        <f>"12114030320000"</f>
        <v>12114030320000</v>
      </c>
      <c r="BC1297" s="1">
        <v>1723.0</v>
      </c>
      <c r="BD1297" s="1">
        <v>287500.0</v>
      </c>
      <c r="BE1297" s="2">
        <v>42067.0</v>
      </c>
      <c r="BF1297" s="1" t="s">
        <v>13715</v>
      </c>
      <c r="BH1297" s="1">
        <v>0.0</v>
      </c>
      <c r="BK1297" s="1" t="s">
        <v>204</v>
      </c>
      <c r="BL1297" s="1" t="str">
        <f>"5032"</f>
        <v>5032</v>
      </c>
      <c r="BM1297" s="1" t="str">
        <f t="shared" si="858"/>
        <v>0</v>
      </c>
      <c r="BN1297" s="1">
        <v>8028.0</v>
      </c>
      <c r="BO1297" s="1">
        <v>0.0</v>
      </c>
      <c r="BQ1297" s="1">
        <v>80.0</v>
      </c>
      <c r="BR1297" s="1">
        <v>234.0</v>
      </c>
      <c r="BS1297" s="1">
        <v>80.0</v>
      </c>
      <c r="BU1297" s="1" t="s">
        <v>213</v>
      </c>
      <c r="BV1297" s="1" t="s">
        <v>206</v>
      </c>
      <c r="BW1297" s="1" t="s">
        <v>207</v>
      </c>
      <c r="BY1297" s="1" t="s">
        <v>205</v>
      </c>
      <c r="BZ1297" s="1" t="s">
        <v>206</v>
      </c>
      <c r="CA1297" s="1" t="s">
        <v>207</v>
      </c>
      <c r="CD1297" s="1" t="s">
        <v>204</v>
      </c>
      <c r="CG1297" s="1" t="s">
        <v>663</v>
      </c>
      <c r="CH1297" s="1" t="s">
        <v>206</v>
      </c>
      <c r="CI1297" s="1" t="s">
        <v>207</v>
      </c>
      <c r="CK1297" s="1" t="s">
        <v>699</v>
      </c>
      <c r="CL1297" s="1" t="s">
        <v>206</v>
      </c>
      <c r="CM1297" s="1" t="s">
        <v>207</v>
      </c>
      <c r="CO1297" s="1" t="s">
        <v>303</v>
      </c>
      <c r="CP1297" s="1" t="s">
        <v>206</v>
      </c>
      <c r="CQ1297" s="1" t="s">
        <v>207</v>
      </c>
      <c r="CS1297" s="1" t="s">
        <v>782</v>
      </c>
      <c r="CT1297" s="1" t="s">
        <v>206</v>
      </c>
      <c r="CU1297" s="1" t="s">
        <v>207</v>
      </c>
      <c r="CW1297" s="1" t="s">
        <v>1158</v>
      </c>
      <c r="CX1297" s="1" t="s">
        <v>206</v>
      </c>
      <c r="CY1297" s="1" t="s">
        <v>210</v>
      </c>
      <c r="DA1297" s="1" t="s">
        <v>200</v>
      </c>
      <c r="DC1297" s="1" t="s">
        <v>702</v>
      </c>
      <c r="DE1297" s="1" t="s">
        <v>273</v>
      </c>
      <c r="DF1297" s="1" t="s">
        <v>219</v>
      </c>
      <c r="DH1297" s="1" t="s">
        <v>365</v>
      </c>
      <c r="DI1297" s="1" t="s">
        <v>732</v>
      </c>
      <c r="DJ1297" s="1" t="s">
        <v>222</v>
      </c>
      <c r="DK1297" s="1" t="s">
        <v>198</v>
      </c>
      <c r="DL1297" s="1" t="s">
        <v>229</v>
      </c>
      <c r="DM1297" s="1" t="s">
        <v>229</v>
      </c>
      <c r="DQ1297" s="1" t="s">
        <v>228</v>
      </c>
      <c r="DR1297" s="1" t="s">
        <v>229</v>
      </c>
      <c r="DS1297" s="1" t="s">
        <v>230</v>
      </c>
      <c r="DV1297" s="1" t="s">
        <v>2313</v>
      </c>
      <c r="DW1297" s="1" t="s">
        <v>891</v>
      </c>
      <c r="DX1297" s="1" t="s">
        <v>234</v>
      </c>
      <c r="EA1297" s="1" t="s">
        <v>683</v>
      </c>
      <c r="EC1297" s="1" t="s">
        <v>685</v>
      </c>
      <c r="EG1297" s="1" t="s">
        <v>2313</v>
      </c>
      <c r="EL1297" s="1" t="s">
        <v>3182</v>
      </c>
      <c r="EM1297" s="1" t="s">
        <v>206</v>
      </c>
      <c r="EQ1297" s="1" t="s">
        <v>238</v>
      </c>
      <c r="EU1297" s="1" t="s">
        <v>238</v>
      </c>
      <c r="EY1297" s="1" t="s">
        <v>238</v>
      </c>
      <c r="FC1297" s="1" t="s">
        <v>238</v>
      </c>
      <c r="FF1297" s="1" t="s">
        <v>239</v>
      </c>
      <c r="FG1297" s="1" t="s">
        <v>192</v>
      </c>
      <c r="FH1297" s="1" t="s">
        <v>192</v>
      </c>
      <c r="FJ1297" s="1" t="s">
        <v>13716</v>
      </c>
      <c r="FK1297" s="1" t="s">
        <v>229</v>
      </c>
      <c r="FL1297" s="1" t="s">
        <v>13717</v>
      </c>
      <c r="FM1297" s="1">
        <v>4697.0</v>
      </c>
      <c r="FN1297" s="1" t="s">
        <v>13718</v>
      </c>
      <c r="FO1297" s="1" t="s">
        <v>13719</v>
      </c>
      <c r="FP1297" s="1">
        <v>145956.0</v>
      </c>
      <c r="FQ1297" s="1" t="s">
        <v>13720</v>
      </c>
      <c r="FU1297" s="1" t="s">
        <v>13721</v>
      </c>
      <c r="FV1297" s="1" t="s">
        <v>192</v>
      </c>
      <c r="FW1297" s="1" t="s">
        <v>654</v>
      </c>
      <c r="FX1297" s="1" t="s">
        <v>246</v>
      </c>
      <c r="FZ1297" s="1" t="s">
        <v>229</v>
      </c>
      <c r="GA1297" s="1" t="s">
        <v>291</v>
      </c>
      <c r="GB1297" s="2">
        <v>42145.0</v>
      </c>
      <c r="GC1297" s="1" t="s">
        <v>13722</v>
      </c>
    </row>
    <row r="1298">
      <c r="A1298" s="1">
        <v>340000.0</v>
      </c>
      <c r="B1298" s="1" t="s">
        <v>185</v>
      </c>
      <c r="C1298" s="1" t="str">
        <f>"08852663"</f>
        <v>08852663</v>
      </c>
      <c r="D1298" s="1" t="s">
        <v>186</v>
      </c>
      <c r="F1298" s="1" t="str">
        <f>"8002"</f>
        <v>8002</v>
      </c>
      <c r="G1298" s="2">
        <v>42067.0</v>
      </c>
      <c r="H1298" s="1">
        <v>350000.0</v>
      </c>
      <c r="I1298" s="1">
        <v>12.0</v>
      </c>
      <c r="J1298" s="1">
        <v>350000.0</v>
      </c>
      <c r="K1298" s="2">
        <v>42078.0</v>
      </c>
      <c r="L1298" s="1">
        <v>12.0</v>
      </c>
      <c r="M1298" s="2">
        <v>42078.0</v>
      </c>
      <c r="N1298" s="1" t="s">
        <v>187</v>
      </c>
      <c r="O1298" s="2">
        <v>42132.0</v>
      </c>
      <c r="P1298" s="1">
        <v>842022.0</v>
      </c>
      <c r="Q1298" s="1">
        <v>16240.0</v>
      </c>
      <c r="R1298" s="1">
        <v>1.4</v>
      </c>
      <c r="S1298" s="1">
        <v>5942.0</v>
      </c>
      <c r="T1298" s="1" t="s">
        <v>10820</v>
      </c>
      <c r="U1298" s="1" t="s">
        <v>189</v>
      </c>
      <c r="V1298" s="1" t="s">
        <v>190</v>
      </c>
      <c r="W1298" s="1">
        <v>60659.0</v>
      </c>
      <c r="Y1298" s="1" t="s">
        <v>13723</v>
      </c>
      <c r="Z1298" s="1">
        <v>1926.0</v>
      </c>
      <c r="AA1298" s="1" t="s">
        <v>192</v>
      </c>
      <c r="AB1298" s="1" t="s">
        <v>193</v>
      </c>
      <c r="AD1298" s="1" t="s">
        <v>194</v>
      </c>
      <c r="AE1298" s="1" t="s">
        <v>195</v>
      </c>
      <c r="AF1298" s="1" t="s">
        <v>196</v>
      </c>
      <c r="AG1298" s="1" t="s">
        <v>778</v>
      </c>
      <c r="AH1298" s="1" t="s">
        <v>4084</v>
      </c>
      <c r="AK1298" s="1">
        <v>9.0</v>
      </c>
      <c r="AL1298" s="1">
        <v>4.0</v>
      </c>
      <c r="AM1298" s="1">
        <v>1.0</v>
      </c>
      <c r="AN1298" s="1">
        <v>1.0</v>
      </c>
      <c r="AO1298" s="1" t="s">
        <v>229</v>
      </c>
      <c r="AP1298" s="1">
        <v>0.0</v>
      </c>
      <c r="AQ1298" s="1" t="s">
        <v>198</v>
      </c>
      <c r="AR1298" s="1" t="s">
        <v>200</v>
      </c>
      <c r="AS1298" s="1" t="s">
        <v>199</v>
      </c>
      <c r="AT1298" s="1">
        <v>2.0</v>
      </c>
      <c r="AV1298" s="1" t="s">
        <v>200</v>
      </c>
      <c r="AW1298" s="1">
        <v>4528.0</v>
      </c>
      <c r="AX1298" s="1">
        <v>2013.0</v>
      </c>
      <c r="AY1298" s="1" t="s">
        <v>387</v>
      </c>
      <c r="AZ1298" s="1" t="s">
        <v>200</v>
      </c>
      <c r="BA1298" s="1" t="str">
        <f>"13014000240000"</f>
        <v>13014000240000</v>
      </c>
      <c r="BC1298" s="1">
        <v>2400.0</v>
      </c>
      <c r="BD1298" s="1">
        <v>340000.0</v>
      </c>
      <c r="BE1298" s="2">
        <v>42067.0</v>
      </c>
      <c r="BF1298" s="2" t="s">
        <v>13724</v>
      </c>
      <c r="BH1298" s="1">
        <v>0.0</v>
      </c>
      <c r="BK1298" s="1" t="s">
        <v>204</v>
      </c>
      <c r="BL1298" s="1" t="str">
        <f>"5942"</f>
        <v>5942</v>
      </c>
      <c r="BM1298" s="1" t="str">
        <f t="shared" si="858"/>
        <v>0</v>
      </c>
      <c r="BN1298" s="1">
        <v>2733.0</v>
      </c>
      <c r="BO1298" s="1">
        <v>0.0</v>
      </c>
      <c r="BQ1298" s="1">
        <v>299.0</v>
      </c>
      <c r="BR1298" s="1">
        <v>299.0</v>
      </c>
      <c r="BS1298" s="1">
        <v>299.0</v>
      </c>
      <c r="BU1298" s="1" t="s">
        <v>676</v>
      </c>
      <c r="BV1298" s="1" t="s">
        <v>206</v>
      </c>
      <c r="BW1298" s="1" t="s">
        <v>207</v>
      </c>
      <c r="BY1298" s="1" t="s">
        <v>1183</v>
      </c>
      <c r="BZ1298" s="1" t="s">
        <v>206</v>
      </c>
      <c r="CA1298" s="1" t="s">
        <v>207</v>
      </c>
      <c r="CC1298" s="1" t="s">
        <v>2082</v>
      </c>
      <c r="CD1298" s="1" t="s">
        <v>206</v>
      </c>
      <c r="CE1298" s="1" t="s">
        <v>207</v>
      </c>
      <c r="CG1298" s="1" t="s">
        <v>815</v>
      </c>
      <c r="CH1298" s="1" t="s">
        <v>206</v>
      </c>
      <c r="CI1298" s="1" t="s">
        <v>207</v>
      </c>
      <c r="CK1298" s="1" t="s">
        <v>2492</v>
      </c>
      <c r="CL1298" s="1" t="s">
        <v>209</v>
      </c>
      <c r="CM1298" s="1" t="s">
        <v>210</v>
      </c>
      <c r="CO1298" s="1" t="s">
        <v>1329</v>
      </c>
      <c r="CP1298" s="1" t="s">
        <v>209</v>
      </c>
      <c r="CQ1298" s="1" t="s">
        <v>210</v>
      </c>
      <c r="CS1298" s="1" t="s">
        <v>1329</v>
      </c>
      <c r="CT1298" s="1" t="s">
        <v>206</v>
      </c>
      <c r="CU1298" s="1" t="s">
        <v>268</v>
      </c>
      <c r="CW1298" s="1" t="s">
        <v>5266</v>
      </c>
      <c r="CX1298" s="1" t="s">
        <v>206</v>
      </c>
      <c r="CY1298" s="1" t="s">
        <v>210</v>
      </c>
      <c r="DA1298" s="1" t="s">
        <v>200</v>
      </c>
      <c r="DC1298" s="1" t="s">
        <v>785</v>
      </c>
      <c r="DD1298" s="1" t="s">
        <v>306</v>
      </c>
      <c r="DE1298" s="1" t="s">
        <v>1139</v>
      </c>
      <c r="DF1298" s="1" t="s">
        <v>10756</v>
      </c>
      <c r="DG1298" s="1" t="s">
        <v>2747</v>
      </c>
      <c r="DH1298" s="1" t="s">
        <v>365</v>
      </c>
      <c r="DI1298" s="1" t="s">
        <v>519</v>
      </c>
      <c r="DJ1298" s="1" t="s">
        <v>222</v>
      </c>
      <c r="DL1298" s="1" t="s">
        <v>1870</v>
      </c>
      <c r="DM1298" s="1" t="s">
        <v>229</v>
      </c>
      <c r="DP1298" s="1" t="s">
        <v>340</v>
      </c>
      <c r="DQ1298" s="1" t="s">
        <v>228</v>
      </c>
      <c r="DR1298" s="1" t="s">
        <v>229</v>
      </c>
      <c r="DS1298" s="1" t="s">
        <v>230</v>
      </c>
      <c r="DV1298" s="1" t="s">
        <v>1729</v>
      </c>
      <c r="DW1298" s="1" t="s">
        <v>279</v>
      </c>
      <c r="DX1298" s="1" t="s">
        <v>234</v>
      </c>
      <c r="DY1298" s="1" t="s">
        <v>704</v>
      </c>
      <c r="DZ1298" s="1" t="s">
        <v>310</v>
      </c>
      <c r="EA1298" s="1" t="s">
        <v>644</v>
      </c>
      <c r="EC1298" s="1" t="s">
        <v>645</v>
      </c>
      <c r="EG1298" s="1" t="s">
        <v>1729</v>
      </c>
      <c r="EL1298" s="1" t="s">
        <v>4205</v>
      </c>
      <c r="EM1298" s="1" t="s">
        <v>206</v>
      </c>
      <c r="EN1298" s="1" t="s">
        <v>588</v>
      </c>
      <c r="EQ1298" s="1" t="s">
        <v>238</v>
      </c>
      <c r="EU1298" s="1" t="s">
        <v>238</v>
      </c>
      <c r="EY1298" s="1" t="s">
        <v>238</v>
      </c>
      <c r="FC1298" s="1" t="s">
        <v>238</v>
      </c>
      <c r="FF1298" s="1" t="s">
        <v>239</v>
      </c>
      <c r="FG1298" s="1" t="s">
        <v>192</v>
      </c>
      <c r="FH1298" s="1" t="s">
        <v>192</v>
      </c>
      <c r="FJ1298" s="1" t="s">
        <v>799</v>
      </c>
      <c r="FK1298" s="1" t="s">
        <v>229</v>
      </c>
      <c r="FL1298" s="1" t="s">
        <v>562</v>
      </c>
      <c r="FM1298" s="1">
        <v>17665.0</v>
      </c>
      <c r="FN1298" s="1" t="s">
        <v>2998</v>
      </c>
      <c r="FO1298" s="1" t="s">
        <v>13725</v>
      </c>
      <c r="FP1298" s="1">
        <v>112813.0</v>
      </c>
      <c r="FQ1298" s="1" t="s">
        <v>13726</v>
      </c>
      <c r="FU1298" s="1" t="s">
        <v>13727</v>
      </c>
      <c r="FV1298" s="1" t="s">
        <v>200</v>
      </c>
      <c r="FW1298" s="1" t="s">
        <v>290</v>
      </c>
      <c r="FX1298" s="1" t="s">
        <v>238</v>
      </c>
      <c r="FZ1298" s="1" t="s">
        <v>229</v>
      </c>
      <c r="GA1298" s="1" t="s">
        <v>291</v>
      </c>
      <c r="GB1298" s="2">
        <v>42132.0</v>
      </c>
      <c r="GC1298" s="1" t="s">
        <v>13728</v>
      </c>
    </row>
    <row r="1299">
      <c r="A1299" s="1">
        <v>215000.0</v>
      </c>
      <c r="B1299" s="1" t="s">
        <v>185</v>
      </c>
      <c r="C1299" s="1" t="str">
        <f>"08853722"</f>
        <v>08853722</v>
      </c>
      <c r="D1299" s="1" t="s">
        <v>186</v>
      </c>
      <c r="F1299" s="1" t="str">
        <f>"8025"</f>
        <v>8025</v>
      </c>
      <c r="G1299" s="2">
        <v>42068.0</v>
      </c>
      <c r="H1299" s="1">
        <v>229000.0</v>
      </c>
      <c r="I1299" s="1">
        <v>7.0</v>
      </c>
      <c r="J1299" s="1">
        <v>229000.0</v>
      </c>
      <c r="K1299" s="2">
        <v>42073.0</v>
      </c>
      <c r="L1299" s="1">
        <v>7.0</v>
      </c>
      <c r="M1299" s="2">
        <v>42073.0</v>
      </c>
      <c r="N1299" s="1" t="s">
        <v>356</v>
      </c>
      <c r="O1299" s="2">
        <v>42115.0</v>
      </c>
      <c r="P1299" s="1">
        <v>900686.0</v>
      </c>
      <c r="Q1299" s="1">
        <v>90330.0</v>
      </c>
      <c r="S1299" s="1">
        <v>1704.0</v>
      </c>
      <c r="T1299" s="1" t="s">
        <v>12384</v>
      </c>
      <c r="U1299" s="1" t="s">
        <v>189</v>
      </c>
      <c r="V1299" s="1" t="s">
        <v>190</v>
      </c>
      <c r="W1299" s="1">
        <v>60707.0</v>
      </c>
      <c r="Y1299" s="1" t="s">
        <v>13729</v>
      </c>
      <c r="Z1299" s="1">
        <v>1928.0</v>
      </c>
      <c r="AA1299" s="1" t="s">
        <v>192</v>
      </c>
      <c r="AB1299" s="1" t="s">
        <v>193</v>
      </c>
      <c r="AD1299" s="1" t="s">
        <v>194</v>
      </c>
      <c r="AE1299" s="1" t="s">
        <v>195</v>
      </c>
      <c r="AF1299" s="1" t="s">
        <v>196</v>
      </c>
      <c r="AH1299" s="1" t="s">
        <v>779</v>
      </c>
      <c r="AI1299" s="1">
        <v>0.0861</v>
      </c>
      <c r="AK1299" s="1">
        <v>10.0</v>
      </c>
      <c r="AL1299" s="1">
        <v>4.0</v>
      </c>
      <c r="AM1299" s="1">
        <v>1.0</v>
      </c>
      <c r="AN1299" s="1">
        <v>2.0</v>
      </c>
      <c r="AO1299" s="1" t="s">
        <v>229</v>
      </c>
      <c r="AP1299" s="1">
        <v>2.0</v>
      </c>
      <c r="AQ1299" s="1" t="s">
        <v>198</v>
      </c>
      <c r="AR1299" s="1" t="s">
        <v>192</v>
      </c>
      <c r="AS1299" s="1" t="s">
        <v>199</v>
      </c>
      <c r="AT1299" s="1">
        <v>2.0</v>
      </c>
      <c r="AV1299" s="1" t="s">
        <v>200</v>
      </c>
      <c r="AW1299" s="1">
        <v>4073.0</v>
      </c>
      <c r="AX1299" s="1">
        <v>2013.0</v>
      </c>
      <c r="AZ1299" s="1" t="s">
        <v>200</v>
      </c>
      <c r="BA1299" s="1" t="str">
        <f>"13313180370000"</f>
        <v>13313180370000</v>
      </c>
      <c r="BC1299" s="1">
        <v>1800.0</v>
      </c>
      <c r="BD1299" s="1">
        <v>215000.0</v>
      </c>
      <c r="BE1299" s="2">
        <v>42067.0</v>
      </c>
      <c r="BF1299" s="2" t="s">
        <v>13730</v>
      </c>
      <c r="BH1299" s="1">
        <v>0.0</v>
      </c>
      <c r="BK1299" s="1" t="s">
        <v>204</v>
      </c>
      <c r="BL1299" s="1" t="str">
        <f>"1704"</f>
        <v>1704</v>
      </c>
      <c r="BM1299" s="1" t="str">
        <f t="shared" si="858"/>
        <v>0</v>
      </c>
      <c r="BN1299" s="1">
        <v>6800.0</v>
      </c>
      <c r="BO1299" s="1">
        <v>0.0</v>
      </c>
      <c r="BQ1299" s="1">
        <v>299.0</v>
      </c>
      <c r="BR1299" s="1">
        <v>299.0</v>
      </c>
      <c r="BS1299" s="1">
        <v>299.0</v>
      </c>
      <c r="BU1299" s="1" t="s">
        <v>2800</v>
      </c>
      <c r="BV1299" s="1" t="s">
        <v>206</v>
      </c>
      <c r="BW1299" s="1" t="s">
        <v>207</v>
      </c>
      <c r="BX1299" s="1" t="s">
        <v>261</v>
      </c>
      <c r="BY1299" s="1" t="s">
        <v>1190</v>
      </c>
      <c r="BZ1299" s="1" t="s">
        <v>206</v>
      </c>
      <c r="CA1299" s="1" t="s">
        <v>210</v>
      </c>
      <c r="CC1299" s="1" t="s">
        <v>2082</v>
      </c>
      <c r="CD1299" s="1" t="s">
        <v>206</v>
      </c>
      <c r="CE1299" s="1" t="s">
        <v>207</v>
      </c>
      <c r="CF1299" s="1" t="s">
        <v>261</v>
      </c>
      <c r="CG1299" s="1" t="s">
        <v>1417</v>
      </c>
      <c r="CH1299" s="1" t="s">
        <v>206</v>
      </c>
      <c r="CI1299" s="1" t="s">
        <v>210</v>
      </c>
      <c r="CJ1299" s="1" t="s">
        <v>431</v>
      </c>
      <c r="CK1299" s="1" t="s">
        <v>663</v>
      </c>
      <c r="CL1299" s="1" t="s">
        <v>206</v>
      </c>
      <c r="CM1299" s="1" t="s">
        <v>210</v>
      </c>
      <c r="CN1299" s="1" t="s">
        <v>431</v>
      </c>
      <c r="CO1299" s="1" t="s">
        <v>4403</v>
      </c>
      <c r="CP1299" s="1" t="s">
        <v>209</v>
      </c>
      <c r="CQ1299" s="1" t="s">
        <v>207</v>
      </c>
      <c r="CS1299" s="1" t="s">
        <v>212</v>
      </c>
      <c r="CT1299" s="1" t="s">
        <v>206</v>
      </c>
      <c r="CU1299" s="1" t="s">
        <v>617</v>
      </c>
      <c r="CV1299" s="1" t="s">
        <v>1549</v>
      </c>
      <c r="CW1299" s="1" t="s">
        <v>1518</v>
      </c>
      <c r="CX1299" s="1" t="s">
        <v>42</v>
      </c>
      <c r="CY1299" s="1" t="s">
        <v>617</v>
      </c>
      <c r="DA1299" s="1" t="s">
        <v>200</v>
      </c>
      <c r="DC1299" s="1" t="s">
        <v>785</v>
      </c>
      <c r="DD1299" s="1" t="s">
        <v>786</v>
      </c>
      <c r="DE1299" s="1" t="s">
        <v>1905</v>
      </c>
      <c r="DF1299" s="1" t="s">
        <v>13731</v>
      </c>
      <c r="DH1299" s="1" t="s">
        <v>365</v>
      </c>
      <c r="DJ1299" s="1" t="s">
        <v>222</v>
      </c>
      <c r="DL1299" s="1" t="s">
        <v>858</v>
      </c>
      <c r="DM1299" s="1" t="s">
        <v>229</v>
      </c>
      <c r="DP1299" s="1" t="s">
        <v>340</v>
      </c>
      <c r="DQ1299" s="1" t="s">
        <v>228</v>
      </c>
      <c r="DR1299" s="1" t="s">
        <v>229</v>
      </c>
      <c r="DV1299" s="1" t="s">
        <v>13732</v>
      </c>
      <c r="DW1299" s="1" t="s">
        <v>279</v>
      </c>
      <c r="DX1299" s="1" t="s">
        <v>234</v>
      </c>
      <c r="EA1299" s="1" t="s">
        <v>644</v>
      </c>
      <c r="EB1299" s="1" t="s">
        <v>372</v>
      </c>
      <c r="EC1299" s="1" t="s">
        <v>645</v>
      </c>
      <c r="EG1299" s="1" t="s">
        <v>598</v>
      </c>
      <c r="EH1299" s="1" t="s">
        <v>1103</v>
      </c>
      <c r="EI1299" s="1" t="s">
        <v>1467</v>
      </c>
      <c r="EJ1299" s="1" t="s">
        <v>374</v>
      </c>
      <c r="EL1299" s="1" t="s">
        <v>4403</v>
      </c>
      <c r="EM1299" s="1" t="s">
        <v>209</v>
      </c>
      <c r="EN1299" s="1" t="s">
        <v>617</v>
      </c>
      <c r="EP1299" s="1" t="s">
        <v>3805</v>
      </c>
      <c r="EQ1299" s="1" t="s">
        <v>42</v>
      </c>
      <c r="ET1299" s="1" t="s">
        <v>9889</v>
      </c>
      <c r="EU1299" s="1" t="s">
        <v>42</v>
      </c>
      <c r="EX1299" s="1" t="s">
        <v>3182</v>
      </c>
      <c r="EY1299" s="1" t="s">
        <v>206</v>
      </c>
      <c r="FC1299" s="1" t="s">
        <v>238</v>
      </c>
      <c r="FF1299" s="1" t="s">
        <v>239</v>
      </c>
      <c r="FG1299" s="1" t="s">
        <v>192</v>
      </c>
      <c r="FH1299" s="1" t="s">
        <v>192</v>
      </c>
      <c r="FJ1299" s="1" t="s">
        <v>13733</v>
      </c>
      <c r="FK1299" s="1" t="s">
        <v>229</v>
      </c>
      <c r="FL1299" s="1" t="s">
        <v>13734</v>
      </c>
      <c r="FM1299" s="1">
        <v>90330.0</v>
      </c>
      <c r="FN1299" s="1" t="s">
        <v>13735</v>
      </c>
      <c r="FO1299" s="1" t="s">
        <v>13736</v>
      </c>
      <c r="FP1299" s="1">
        <v>900686.0</v>
      </c>
      <c r="FU1299" s="1" t="s">
        <v>13737</v>
      </c>
      <c r="FV1299" s="1" t="s">
        <v>200</v>
      </c>
      <c r="FW1299" s="1" t="s">
        <v>530</v>
      </c>
      <c r="FX1299" s="1" t="s">
        <v>238</v>
      </c>
      <c r="FZ1299" s="1" t="s">
        <v>632</v>
      </c>
      <c r="GA1299" s="1" t="s">
        <v>247</v>
      </c>
      <c r="GB1299" s="2">
        <v>42115.0</v>
      </c>
      <c r="GC1299" s="1" t="s">
        <v>13738</v>
      </c>
    </row>
    <row r="1300">
      <c r="A1300" s="1">
        <v>358000.0</v>
      </c>
      <c r="B1300" s="1" t="s">
        <v>185</v>
      </c>
      <c r="C1300" s="1" t="str">
        <f>"08858330"</f>
        <v>08858330</v>
      </c>
      <c r="D1300" s="1" t="s">
        <v>186</v>
      </c>
      <c r="F1300" s="1" t="str">
        <f>"542"</f>
        <v>542</v>
      </c>
      <c r="G1300" s="2">
        <v>42074.0</v>
      </c>
      <c r="H1300" s="1">
        <v>369995.0</v>
      </c>
      <c r="I1300" s="1">
        <v>14.0</v>
      </c>
      <c r="J1300" s="1">
        <v>369995.0</v>
      </c>
      <c r="K1300" s="2">
        <v>42087.0</v>
      </c>
      <c r="L1300" s="1">
        <v>14.0</v>
      </c>
      <c r="M1300" s="2">
        <v>42087.0</v>
      </c>
      <c r="N1300" s="1" t="s">
        <v>187</v>
      </c>
      <c r="O1300" s="2">
        <v>42135.0</v>
      </c>
      <c r="P1300" s="1">
        <v>99999.0</v>
      </c>
      <c r="Q1300" s="1" t="s">
        <v>947</v>
      </c>
      <c r="S1300" s="1">
        <v>2084.0</v>
      </c>
      <c r="T1300" s="1" t="s">
        <v>11408</v>
      </c>
      <c r="U1300" s="1" t="s">
        <v>464</v>
      </c>
      <c r="V1300" s="1" t="s">
        <v>3984</v>
      </c>
      <c r="W1300" s="1">
        <v>60542.0</v>
      </c>
      <c r="Y1300" s="1" t="s">
        <v>13739</v>
      </c>
      <c r="Z1300" s="1">
        <v>2013.0</v>
      </c>
      <c r="AA1300" s="1" t="s">
        <v>200</v>
      </c>
      <c r="AB1300" s="1" t="s">
        <v>467</v>
      </c>
      <c r="AC1300" s="1" t="s">
        <v>11410</v>
      </c>
      <c r="AD1300" s="1" t="s">
        <v>3986</v>
      </c>
      <c r="AE1300" s="1" t="s">
        <v>325</v>
      </c>
      <c r="AF1300" s="1" t="s">
        <v>2702</v>
      </c>
      <c r="AG1300" s="1" t="s">
        <v>11915</v>
      </c>
      <c r="AH1300" s="1" t="s">
        <v>13740</v>
      </c>
      <c r="AI1300" s="1">
        <v>0.2879</v>
      </c>
      <c r="AK1300" s="1">
        <v>9.0</v>
      </c>
      <c r="AL1300" s="1">
        <v>4.0</v>
      </c>
      <c r="AM1300" s="1">
        <v>2.0</v>
      </c>
      <c r="AN1300" s="1">
        <v>1.0</v>
      </c>
      <c r="AO1300" s="1" t="s">
        <v>198</v>
      </c>
      <c r="AP1300" s="1">
        <v>1.0</v>
      </c>
      <c r="AQ1300" s="1" t="s">
        <v>198</v>
      </c>
      <c r="AR1300" s="1" t="s">
        <v>200</v>
      </c>
      <c r="AS1300" s="1" t="s">
        <v>199</v>
      </c>
      <c r="AT1300" s="1">
        <v>3.0</v>
      </c>
      <c r="AV1300" s="1" t="s">
        <v>200</v>
      </c>
      <c r="AW1300" s="1">
        <v>923.58</v>
      </c>
      <c r="AX1300" s="1">
        <v>2013.0</v>
      </c>
      <c r="AY1300" s="1" t="s">
        <v>387</v>
      </c>
      <c r="AZ1300" s="1" t="s">
        <v>200</v>
      </c>
      <c r="BA1300" s="1" t="str">
        <f>"1231152005"</f>
        <v>1231152005</v>
      </c>
      <c r="BC1300" s="1">
        <v>3211.0</v>
      </c>
      <c r="BD1300" s="1">
        <v>358000.0</v>
      </c>
      <c r="BE1300" s="2">
        <v>42074.0</v>
      </c>
      <c r="BF1300" s="2" t="s">
        <v>13741</v>
      </c>
      <c r="BH1300" s="1">
        <v>300.0</v>
      </c>
      <c r="BK1300" s="1" t="s">
        <v>580</v>
      </c>
      <c r="BL1300" s="1" t="str">
        <f t="shared" ref="BL1300:BM1300" si="859">""</f>
        <v/>
      </c>
      <c r="BM1300" s="1" t="str">
        <f t="shared" si="859"/>
        <v/>
      </c>
      <c r="BQ1300" s="1">
        <v>129.0</v>
      </c>
      <c r="BR1300" s="1">
        <v>129.0</v>
      </c>
      <c r="BS1300" s="1">
        <v>129.0</v>
      </c>
      <c r="BV1300" s="1" t="s">
        <v>204</v>
      </c>
      <c r="BY1300" s="1" t="s">
        <v>676</v>
      </c>
      <c r="BZ1300" s="1" t="s">
        <v>209</v>
      </c>
      <c r="CA1300" s="1" t="s">
        <v>210</v>
      </c>
      <c r="CB1300" s="1" t="s">
        <v>431</v>
      </c>
      <c r="CC1300" s="1" t="s">
        <v>1064</v>
      </c>
      <c r="CD1300" s="1" t="s">
        <v>206</v>
      </c>
      <c r="CE1300" s="1" t="s">
        <v>207</v>
      </c>
      <c r="CF1300" s="1" t="s">
        <v>431</v>
      </c>
      <c r="CG1300" s="1" t="s">
        <v>647</v>
      </c>
      <c r="CH1300" s="1" t="s">
        <v>209</v>
      </c>
      <c r="CI1300" s="1" t="s">
        <v>210</v>
      </c>
      <c r="CJ1300" s="1" t="s">
        <v>431</v>
      </c>
      <c r="CK1300" s="1" t="s">
        <v>478</v>
      </c>
      <c r="CL1300" s="1" t="s">
        <v>209</v>
      </c>
      <c r="CM1300" s="1" t="s">
        <v>210</v>
      </c>
      <c r="CN1300" s="1" t="s">
        <v>431</v>
      </c>
      <c r="CO1300" s="1" t="s">
        <v>478</v>
      </c>
      <c r="CP1300" s="1" t="s">
        <v>209</v>
      </c>
      <c r="CQ1300" s="1" t="s">
        <v>210</v>
      </c>
      <c r="CR1300" s="1" t="s">
        <v>431</v>
      </c>
      <c r="CS1300" s="1" t="s">
        <v>830</v>
      </c>
      <c r="CT1300" s="1" t="s">
        <v>206</v>
      </c>
      <c r="CU1300" s="1" t="s">
        <v>207</v>
      </c>
      <c r="CV1300" s="1" t="s">
        <v>431</v>
      </c>
      <c r="CW1300" s="1" t="s">
        <v>260</v>
      </c>
      <c r="CX1300" s="1" t="s">
        <v>206</v>
      </c>
      <c r="CY1300" s="1" t="s">
        <v>207</v>
      </c>
      <c r="CZ1300" s="1" t="s">
        <v>261</v>
      </c>
      <c r="DA1300" s="1" t="s">
        <v>200</v>
      </c>
      <c r="DC1300" s="1" t="s">
        <v>1046</v>
      </c>
      <c r="DD1300" s="1" t="s">
        <v>7914</v>
      </c>
      <c r="DE1300" s="1" t="s">
        <v>273</v>
      </c>
      <c r="DF1300" s="1" t="s">
        <v>619</v>
      </c>
      <c r="DG1300" s="1" t="s">
        <v>337</v>
      </c>
      <c r="DH1300" s="1" t="s">
        <v>365</v>
      </c>
      <c r="DI1300" s="1" t="s">
        <v>1047</v>
      </c>
      <c r="DJ1300" s="1" t="s">
        <v>222</v>
      </c>
      <c r="DL1300" s="1" t="s">
        <v>223</v>
      </c>
      <c r="DM1300" s="1" t="s">
        <v>1247</v>
      </c>
      <c r="DP1300" s="1" t="s">
        <v>340</v>
      </c>
      <c r="DQ1300" s="1" t="s">
        <v>441</v>
      </c>
      <c r="DR1300" s="1" t="s">
        <v>1487</v>
      </c>
      <c r="DU1300" s="1" t="s">
        <v>13742</v>
      </c>
      <c r="DV1300" s="1" t="s">
        <v>13743</v>
      </c>
      <c r="DW1300" s="1" t="s">
        <v>1072</v>
      </c>
      <c r="DX1300" s="1" t="s">
        <v>234</v>
      </c>
      <c r="DY1300" s="1" t="s">
        <v>596</v>
      </c>
      <c r="DZ1300" s="1" t="s">
        <v>343</v>
      </c>
      <c r="EB1300" s="1" t="s">
        <v>684</v>
      </c>
      <c r="EC1300" s="1" t="s">
        <v>237</v>
      </c>
      <c r="ED1300" s="1" t="s">
        <v>13744</v>
      </c>
      <c r="EG1300" s="1" t="s">
        <v>556</v>
      </c>
      <c r="EH1300" s="1" t="s">
        <v>341</v>
      </c>
      <c r="EI1300" s="1" t="s">
        <v>720</v>
      </c>
      <c r="EL1300" s="1" t="s">
        <v>215</v>
      </c>
      <c r="EM1300" s="1" t="s">
        <v>206</v>
      </c>
      <c r="EN1300" s="1" t="s">
        <v>207</v>
      </c>
      <c r="EO1300" s="1" t="s">
        <v>1549</v>
      </c>
      <c r="EP1300" s="1" t="s">
        <v>2014</v>
      </c>
      <c r="EQ1300" s="1" t="s">
        <v>209</v>
      </c>
      <c r="ER1300" s="1" t="s">
        <v>210</v>
      </c>
      <c r="ES1300" s="1" t="s">
        <v>431</v>
      </c>
      <c r="ET1300" s="1" t="s">
        <v>1613</v>
      </c>
      <c r="EU1300" s="1" t="s">
        <v>206</v>
      </c>
      <c r="EV1300" s="1" t="s">
        <v>207</v>
      </c>
      <c r="EY1300" s="1" t="s">
        <v>238</v>
      </c>
      <c r="FC1300" s="1" t="s">
        <v>238</v>
      </c>
      <c r="FF1300" s="1" t="s">
        <v>239</v>
      </c>
      <c r="FG1300" s="1" t="s">
        <v>192</v>
      </c>
      <c r="FH1300" s="1" t="s">
        <v>192</v>
      </c>
      <c r="FJ1300" s="1" t="s">
        <v>13745</v>
      </c>
      <c r="FK1300" s="1" t="s">
        <v>229</v>
      </c>
      <c r="FL1300" s="1" t="s">
        <v>456</v>
      </c>
      <c r="FM1300" s="1">
        <v>23156.0</v>
      </c>
      <c r="FN1300" s="1" t="s">
        <v>2553</v>
      </c>
      <c r="FO1300" s="1" t="s">
        <v>13746</v>
      </c>
      <c r="FP1300" s="1">
        <v>243042.0</v>
      </c>
      <c r="FR1300" s="1">
        <v>243041.0</v>
      </c>
      <c r="FS1300" s="1" t="s">
        <v>13747</v>
      </c>
      <c r="FU1300" s="1" t="s">
        <v>13748</v>
      </c>
      <c r="FV1300" s="1" t="s">
        <v>200</v>
      </c>
      <c r="FW1300" s="1" t="s">
        <v>654</v>
      </c>
      <c r="FZ1300" s="1" t="s">
        <v>2993</v>
      </c>
      <c r="GA1300" s="1" t="s">
        <v>291</v>
      </c>
      <c r="GB1300" s="2">
        <v>42135.0</v>
      </c>
      <c r="GC1300" s="1" t="s">
        <v>13749</v>
      </c>
    </row>
    <row r="1301">
      <c r="A1301" s="1">
        <v>387000.0</v>
      </c>
      <c r="B1301" s="1" t="s">
        <v>185</v>
      </c>
      <c r="C1301" s="1" t="str">
        <f>"08854451"</f>
        <v>08854451</v>
      </c>
      <c r="D1301" s="1" t="s">
        <v>186</v>
      </c>
      <c r="F1301" s="1" t="str">
        <f>"8016"</f>
        <v>8016</v>
      </c>
      <c r="G1301" s="2">
        <v>42069.0</v>
      </c>
      <c r="H1301" s="1">
        <v>399900.0</v>
      </c>
      <c r="I1301" s="1">
        <v>6.0</v>
      </c>
      <c r="J1301" s="1">
        <v>399900.0</v>
      </c>
      <c r="K1301" s="2">
        <v>42074.0</v>
      </c>
      <c r="L1301" s="1">
        <v>6.0</v>
      </c>
      <c r="M1301" s="2">
        <v>42074.0</v>
      </c>
      <c r="N1301" s="1" t="s">
        <v>187</v>
      </c>
      <c r="O1301" s="2">
        <v>42111.0</v>
      </c>
      <c r="P1301" s="1">
        <v>121667.0</v>
      </c>
      <c r="Q1301" s="1">
        <v>15391.0</v>
      </c>
      <c r="S1301" s="1">
        <v>3855.0</v>
      </c>
      <c r="T1301" s="1" t="s">
        <v>3239</v>
      </c>
      <c r="U1301" s="1" t="s">
        <v>189</v>
      </c>
      <c r="V1301" s="1" t="s">
        <v>190</v>
      </c>
      <c r="W1301" s="1">
        <v>60618.0</v>
      </c>
      <c r="Y1301" s="1" t="s">
        <v>13750</v>
      </c>
      <c r="Z1301" s="1" t="s">
        <v>296</v>
      </c>
      <c r="AA1301" s="1" t="s">
        <v>192</v>
      </c>
      <c r="AB1301" s="1" t="s">
        <v>193</v>
      </c>
      <c r="AD1301" s="1" t="s">
        <v>194</v>
      </c>
      <c r="AE1301" s="1" t="s">
        <v>195</v>
      </c>
      <c r="AF1301" s="1" t="s">
        <v>196</v>
      </c>
      <c r="AH1301" s="1" t="s">
        <v>13751</v>
      </c>
      <c r="AK1301" s="1">
        <v>8.0</v>
      </c>
      <c r="AL1301" s="1">
        <v>4.0</v>
      </c>
      <c r="AM1301" s="1">
        <v>2.0</v>
      </c>
      <c r="AN1301" s="1">
        <v>1.0</v>
      </c>
      <c r="AO1301" s="1" t="s">
        <v>198</v>
      </c>
      <c r="AQ1301" s="1" t="s">
        <v>198</v>
      </c>
      <c r="AR1301" s="1" t="s">
        <v>192</v>
      </c>
      <c r="AS1301" s="1" t="s">
        <v>199</v>
      </c>
      <c r="AT1301" s="1">
        <v>2.0</v>
      </c>
      <c r="AV1301" s="1" t="s">
        <v>200</v>
      </c>
      <c r="AW1301" s="1">
        <v>6300.0</v>
      </c>
      <c r="AX1301" s="1">
        <v>2013.0</v>
      </c>
      <c r="AY1301" s="1" t="s">
        <v>387</v>
      </c>
      <c r="AZ1301" s="1" t="s">
        <v>200</v>
      </c>
      <c r="BA1301" s="1" t="str">
        <f>"13231100030000"</f>
        <v>13231100030000</v>
      </c>
      <c r="BC1301" s="1">
        <v>2000.0</v>
      </c>
      <c r="BD1301" s="1">
        <v>387000.0</v>
      </c>
      <c r="BE1301" s="2">
        <v>42069.0</v>
      </c>
      <c r="BF1301" s="2" t="s">
        <v>13752</v>
      </c>
      <c r="BH1301" s="1">
        <v>0.0</v>
      </c>
      <c r="BK1301" s="1" t="s">
        <v>204</v>
      </c>
      <c r="BL1301" s="1" t="str">
        <f>"3855"</f>
        <v>3855</v>
      </c>
      <c r="BM1301" s="1" t="str">
        <f t="shared" ref="BM1301:BM1302" si="860">"0"</f>
        <v>0</v>
      </c>
      <c r="BN1301" s="1">
        <v>3800.0</v>
      </c>
      <c r="BO1301" s="1">
        <v>0.0</v>
      </c>
      <c r="BQ1301" s="1">
        <v>299.0</v>
      </c>
      <c r="BR1301" s="1">
        <v>299.0</v>
      </c>
      <c r="BS1301" s="1">
        <v>299.0</v>
      </c>
      <c r="BU1301" s="1" t="s">
        <v>262</v>
      </c>
      <c r="BV1301" s="1" t="s">
        <v>206</v>
      </c>
      <c r="BW1301" s="1" t="s">
        <v>207</v>
      </c>
      <c r="BX1301" s="1" t="s">
        <v>431</v>
      </c>
      <c r="BY1301" s="1" t="s">
        <v>4180</v>
      </c>
      <c r="BZ1301" s="1" t="s">
        <v>206</v>
      </c>
      <c r="CA1301" s="1" t="s">
        <v>207</v>
      </c>
      <c r="CB1301" s="1" t="s">
        <v>431</v>
      </c>
      <c r="CC1301" s="1" t="s">
        <v>582</v>
      </c>
      <c r="CD1301" s="1" t="s">
        <v>206</v>
      </c>
      <c r="CE1301" s="1" t="s">
        <v>207</v>
      </c>
      <c r="CF1301" s="1" t="s">
        <v>431</v>
      </c>
      <c r="CG1301" s="1" t="s">
        <v>729</v>
      </c>
      <c r="CH1301" s="1" t="s">
        <v>209</v>
      </c>
      <c r="CI1301" s="1" t="s">
        <v>210</v>
      </c>
      <c r="CJ1301" s="1" t="s">
        <v>229</v>
      </c>
      <c r="CK1301" s="1" t="s">
        <v>269</v>
      </c>
      <c r="CL1301" s="1" t="s">
        <v>209</v>
      </c>
      <c r="CM1301" s="1" t="s">
        <v>210</v>
      </c>
      <c r="CN1301" s="1" t="s">
        <v>229</v>
      </c>
      <c r="CO1301" s="1" t="s">
        <v>497</v>
      </c>
      <c r="CP1301" s="1" t="s">
        <v>209</v>
      </c>
      <c r="CQ1301" s="1" t="s">
        <v>210</v>
      </c>
      <c r="CS1301" s="1" t="s">
        <v>4180</v>
      </c>
      <c r="CT1301" s="1" t="s">
        <v>206</v>
      </c>
      <c r="CU1301" s="1" t="s">
        <v>588</v>
      </c>
      <c r="CV1301" s="1" t="s">
        <v>229</v>
      </c>
      <c r="CX1301" s="1" t="s">
        <v>204</v>
      </c>
      <c r="DA1301" s="1" t="s">
        <v>200</v>
      </c>
      <c r="DC1301" s="1" t="s">
        <v>216</v>
      </c>
      <c r="DD1301" s="1" t="s">
        <v>518</v>
      </c>
      <c r="DE1301" s="1" t="s">
        <v>273</v>
      </c>
      <c r="DF1301" s="1" t="s">
        <v>619</v>
      </c>
      <c r="DG1301" s="1" t="s">
        <v>1400</v>
      </c>
      <c r="DH1301" s="1" t="s">
        <v>365</v>
      </c>
      <c r="DI1301" s="1" t="s">
        <v>959</v>
      </c>
      <c r="DJ1301" s="1" t="s">
        <v>222</v>
      </c>
      <c r="DK1301" s="1" t="s">
        <v>4741</v>
      </c>
      <c r="DL1301" s="1" t="s">
        <v>7723</v>
      </c>
      <c r="DM1301" s="1" t="s">
        <v>1658</v>
      </c>
      <c r="DN1301" s="1" t="s">
        <v>13753</v>
      </c>
      <c r="DO1301" s="1" t="s">
        <v>549</v>
      </c>
      <c r="DP1301" s="1" t="s">
        <v>340</v>
      </c>
      <c r="DQ1301" s="1" t="s">
        <v>794</v>
      </c>
      <c r="DR1301" s="1" t="s">
        <v>229</v>
      </c>
      <c r="DS1301" s="1" t="s">
        <v>368</v>
      </c>
      <c r="DV1301" s="1" t="s">
        <v>13754</v>
      </c>
      <c r="DW1301" s="1" t="s">
        <v>891</v>
      </c>
      <c r="DX1301" s="1" t="s">
        <v>234</v>
      </c>
      <c r="DY1301" s="1" t="s">
        <v>3183</v>
      </c>
      <c r="DZ1301" s="1" t="s">
        <v>1333</v>
      </c>
      <c r="EC1301" s="1" t="s">
        <v>237</v>
      </c>
      <c r="ED1301" s="1" t="s">
        <v>1761</v>
      </c>
      <c r="EE1301" s="1" t="s">
        <v>187</v>
      </c>
      <c r="EG1301" s="1" t="s">
        <v>114</v>
      </c>
      <c r="EH1301" s="1" t="s">
        <v>408</v>
      </c>
      <c r="EI1301" s="1" t="s">
        <v>409</v>
      </c>
      <c r="EL1301" s="1" t="s">
        <v>330</v>
      </c>
      <c r="EM1301" s="1" t="s">
        <v>391</v>
      </c>
      <c r="EP1301" s="1" t="s">
        <v>263</v>
      </c>
      <c r="EQ1301" s="1" t="s">
        <v>206</v>
      </c>
      <c r="ER1301" s="1" t="s">
        <v>207</v>
      </c>
      <c r="ET1301" s="1" t="s">
        <v>1796</v>
      </c>
      <c r="EU1301" s="1" t="s">
        <v>206</v>
      </c>
      <c r="EV1301" s="1" t="s">
        <v>207</v>
      </c>
      <c r="EW1301" s="1" t="s">
        <v>229</v>
      </c>
      <c r="EY1301" s="1" t="s">
        <v>238</v>
      </c>
      <c r="FC1301" s="1" t="s">
        <v>238</v>
      </c>
      <c r="FF1301" s="1" t="s">
        <v>239</v>
      </c>
      <c r="FG1301" s="1" t="s">
        <v>192</v>
      </c>
      <c r="FH1301" s="1" t="s">
        <v>192</v>
      </c>
      <c r="FJ1301" s="1" t="s">
        <v>13755</v>
      </c>
      <c r="FK1301" s="1" t="s">
        <v>229</v>
      </c>
      <c r="FL1301" s="1" t="s">
        <v>5642</v>
      </c>
      <c r="FM1301" s="1">
        <v>15391.0</v>
      </c>
      <c r="FN1301" s="1" t="s">
        <v>5643</v>
      </c>
      <c r="FO1301" s="1" t="s">
        <v>13756</v>
      </c>
      <c r="FP1301" s="1">
        <v>121667.0</v>
      </c>
      <c r="FQ1301" s="1" t="s">
        <v>13757</v>
      </c>
      <c r="FU1301" s="1" t="s">
        <v>13758</v>
      </c>
      <c r="FV1301" s="1" t="s">
        <v>200</v>
      </c>
      <c r="FW1301" s="1" t="s">
        <v>290</v>
      </c>
      <c r="FX1301" s="1" t="s">
        <v>238</v>
      </c>
      <c r="FZ1301" s="1" t="s">
        <v>229</v>
      </c>
      <c r="GA1301" s="1" t="s">
        <v>291</v>
      </c>
      <c r="GB1301" s="2">
        <v>42111.0</v>
      </c>
      <c r="GC1301" s="1" t="s">
        <v>13759</v>
      </c>
    </row>
    <row r="1302">
      <c r="A1302" s="1">
        <v>370000.0</v>
      </c>
      <c r="B1302" s="1" t="s">
        <v>185</v>
      </c>
      <c r="C1302" s="1" t="str">
        <f>"08857153"</f>
        <v>08857153</v>
      </c>
      <c r="D1302" s="1" t="s">
        <v>186</v>
      </c>
      <c r="F1302" s="1" t="str">
        <f>"134"</f>
        <v>134</v>
      </c>
      <c r="G1302" s="2">
        <v>42073.0</v>
      </c>
      <c r="H1302" s="1">
        <v>379000.0</v>
      </c>
      <c r="I1302" s="1">
        <v>42.0</v>
      </c>
      <c r="J1302" s="1">
        <v>379000.0</v>
      </c>
      <c r="K1302" s="2">
        <v>42076.0</v>
      </c>
      <c r="L1302" s="1">
        <v>5.0</v>
      </c>
      <c r="M1302" s="2">
        <v>42076.0</v>
      </c>
      <c r="N1302" s="1" t="s">
        <v>634</v>
      </c>
      <c r="O1302" s="2">
        <v>42119.0</v>
      </c>
      <c r="P1302" s="1">
        <v>624.0</v>
      </c>
      <c r="Q1302" s="1">
        <v>464.0</v>
      </c>
      <c r="S1302" s="1">
        <v>743.0</v>
      </c>
      <c r="T1302" s="1" t="s">
        <v>13760</v>
      </c>
      <c r="U1302" s="1" t="s">
        <v>189</v>
      </c>
      <c r="V1302" s="1" t="s">
        <v>421</v>
      </c>
      <c r="W1302" s="1">
        <v>60134.0</v>
      </c>
      <c r="Y1302" s="1" t="s">
        <v>13761</v>
      </c>
      <c r="Z1302" s="1">
        <v>1940.0</v>
      </c>
      <c r="AA1302" s="1" t="s">
        <v>192</v>
      </c>
      <c r="AB1302" s="1" t="s">
        <v>193</v>
      </c>
      <c r="AD1302" s="1" t="s">
        <v>424</v>
      </c>
      <c r="AE1302" s="1" t="s">
        <v>325</v>
      </c>
      <c r="AF1302" s="1" t="s">
        <v>424</v>
      </c>
      <c r="AH1302" s="1" t="s">
        <v>13762</v>
      </c>
      <c r="AI1302" s="1">
        <v>0.1765</v>
      </c>
      <c r="AK1302" s="1">
        <v>9.0</v>
      </c>
      <c r="AL1302" s="1">
        <v>4.0</v>
      </c>
      <c r="AM1302" s="1">
        <v>2.0</v>
      </c>
      <c r="AN1302" s="1">
        <v>0.0</v>
      </c>
      <c r="AO1302" s="1" t="s">
        <v>198</v>
      </c>
      <c r="AP1302" s="1">
        <v>1.0</v>
      </c>
      <c r="AQ1302" s="1" t="s">
        <v>198</v>
      </c>
      <c r="AR1302" s="1" t="s">
        <v>200</v>
      </c>
      <c r="AS1302" s="1" t="s">
        <v>199</v>
      </c>
      <c r="AT1302" s="1">
        <v>1.0</v>
      </c>
      <c r="AV1302" s="1" t="s">
        <v>200</v>
      </c>
      <c r="AW1302" s="1">
        <v>9031.08</v>
      </c>
      <c r="AX1302" s="1">
        <v>2013.0</v>
      </c>
      <c r="AY1302" s="1" t="s">
        <v>387</v>
      </c>
      <c r="AZ1302" s="1" t="s">
        <v>200</v>
      </c>
      <c r="BA1302" s="1" t="str">
        <f>"1203103005"</f>
        <v>1203103005</v>
      </c>
      <c r="BC1302" s="1">
        <v>2545.0</v>
      </c>
      <c r="BD1302" s="1">
        <v>370000.0</v>
      </c>
      <c r="BE1302" s="2">
        <v>42072.0</v>
      </c>
      <c r="BF1302" s="2" t="s">
        <v>13763</v>
      </c>
      <c r="BH1302" s="1">
        <v>0.0</v>
      </c>
      <c r="BK1302" s="1" t="s">
        <v>204</v>
      </c>
      <c r="BL1302" s="1" t="str">
        <f>"1"</f>
        <v>1</v>
      </c>
      <c r="BM1302" s="1" t="str">
        <f t="shared" si="860"/>
        <v>0</v>
      </c>
      <c r="BN1302" s="1">
        <v>35.0</v>
      </c>
      <c r="BO1302" s="1">
        <v>0.0</v>
      </c>
      <c r="BQ1302" s="1">
        <v>304.0</v>
      </c>
      <c r="BR1302" s="1">
        <v>304.0</v>
      </c>
      <c r="BS1302" s="1">
        <v>304.0</v>
      </c>
      <c r="BU1302" s="1" t="s">
        <v>454</v>
      </c>
      <c r="BV1302" s="1" t="s">
        <v>206</v>
      </c>
      <c r="BW1302" s="1" t="s">
        <v>207</v>
      </c>
      <c r="BX1302" s="1" t="s">
        <v>239</v>
      </c>
      <c r="BY1302" s="1" t="s">
        <v>715</v>
      </c>
      <c r="BZ1302" s="1" t="s">
        <v>209</v>
      </c>
      <c r="CA1302" s="1" t="s">
        <v>210</v>
      </c>
      <c r="CB1302" s="1" t="s">
        <v>239</v>
      </c>
      <c r="CC1302" s="1" t="s">
        <v>302</v>
      </c>
      <c r="CD1302" s="1" t="s">
        <v>206</v>
      </c>
      <c r="CE1302" s="1" t="s">
        <v>207</v>
      </c>
      <c r="CF1302" s="1" t="s">
        <v>239</v>
      </c>
      <c r="CG1302" s="1" t="s">
        <v>454</v>
      </c>
      <c r="CH1302" s="1" t="s">
        <v>209</v>
      </c>
      <c r="CI1302" s="1" t="s">
        <v>207</v>
      </c>
      <c r="CJ1302" s="1" t="s">
        <v>239</v>
      </c>
      <c r="CK1302" s="1" t="s">
        <v>1329</v>
      </c>
      <c r="CL1302" s="1" t="s">
        <v>209</v>
      </c>
      <c r="CM1302" s="1" t="s">
        <v>207</v>
      </c>
      <c r="CN1302" s="1" t="s">
        <v>239</v>
      </c>
      <c r="CO1302" s="1" t="s">
        <v>264</v>
      </c>
      <c r="CP1302" s="1" t="s">
        <v>206</v>
      </c>
      <c r="CQ1302" s="1" t="s">
        <v>207</v>
      </c>
      <c r="CR1302" s="1" t="s">
        <v>239</v>
      </c>
      <c r="CS1302" s="1" t="s">
        <v>2224</v>
      </c>
      <c r="CT1302" s="1" t="s">
        <v>206</v>
      </c>
      <c r="CU1302" s="1" t="s">
        <v>207</v>
      </c>
      <c r="CV1302" s="1" t="s">
        <v>239</v>
      </c>
      <c r="CW1302" s="1" t="s">
        <v>1891</v>
      </c>
      <c r="CX1302" s="1" t="s">
        <v>42</v>
      </c>
      <c r="CY1302" s="1" t="s">
        <v>207</v>
      </c>
      <c r="DA1302" s="1" t="s">
        <v>200</v>
      </c>
      <c r="DC1302" s="1" t="s">
        <v>1399</v>
      </c>
      <c r="DD1302" s="1" t="s">
        <v>855</v>
      </c>
      <c r="DE1302" s="1" t="s">
        <v>218</v>
      </c>
      <c r="DF1302" s="1" t="s">
        <v>219</v>
      </c>
      <c r="DG1302" s="1" t="s">
        <v>3175</v>
      </c>
      <c r="DH1302" s="1" t="s">
        <v>220</v>
      </c>
      <c r="DI1302" s="1" t="s">
        <v>13764</v>
      </c>
      <c r="DJ1302" s="1" t="s">
        <v>222</v>
      </c>
      <c r="DK1302" s="1" t="s">
        <v>1301</v>
      </c>
      <c r="DL1302" s="1" t="s">
        <v>224</v>
      </c>
      <c r="DM1302" s="1" t="s">
        <v>1402</v>
      </c>
      <c r="DN1302" s="1" t="s">
        <v>1023</v>
      </c>
      <c r="DO1302" s="1" t="s">
        <v>549</v>
      </c>
      <c r="DP1302" s="1" t="s">
        <v>276</v>
      </c>
      <c r="DQ1302" s="1" t="s">
        <v>228</v>
      </c>
      <c r="DR1302" s="1" t="s">
        <v>229</v>
      </c>
      <c r="DS1302" s="1" t="s">
        <v>368</v>
      </c>
      <c r="DV1302" s="1" t="s">
        <v>13765</v>
      </c>
      <c r="DW1302" s="1" t="s">
        <v>444</v>
      </c>
      <c r="DX1302" s="1" t="s">
        <v>234</v>
      </c>
      <c r="DY1302" s="1" t="s">
        <v>3346</v>
      </c>
      <c r="DZ1302" s="1" t="s">
        <v>13766</v>
      </c>
      <c r="EA1302" s="1" t="s">
        <v>1075</v>
      </c>
      <c r="EB1302" s="1" t="s">
        <v>345</v>
      </c>
      <c r="EC1302" s="1" t="s">
        <v>237</v>
      </c>
      <c r="ED1302" s="1" t="s">
        <v>4163</v>
      </c>
      <c r="EE1302" s="1" t="s">
        <v>493</v>
      </c>
      <c r="EG1302" s="1" t="s">
        <v>2971</v>
      </c>
      <c r="EH1302" s="1" t="s">
        <v>1164</v>
      </c>
      <c r="EI1302" s="1" t="s">
        <v>720</v>
      </c>
      <c r="EL1302" s="1" t="s">
        <v>2461</v>
      </c>
      <c r="EM1302" s="1" t="s">
        <v>42</v>
      </c>
      <c r="EN1302" s="1" t="s">
        <v>207</v>
      </c>
      <c r="EP1302" s="1" t="s">
        <v>346</v>
      </c>
      <c r="EQ1302" s="1" t="s">
        <v>206</v>
      </c>
      <c r="ER1302" s="1" t="s">
        <v>207</v>
      </c>
      <c r="ES1302" s="1" t="s">
        <v>239</v>
      </c>
      <c r="ET1302" s="1" t="s">
        <v>13767</v>
      </c>
      <c r="EU1302" s="1" t="s">
        <v>206</v>
      </c>
      <c r="EV1302" s="1" t="s">
        <v>268</v>
      </c>
      <c r="EY1302" s="1" t="s">
        <v>238</v>
      </c>
      <c r="FC1302" s="1" t="s">
        <v>238</v>
      </c>
      <c r="FF1302" s="1" t="s">
        <v>239</v>
      </c>
      <c r="FG1302" s="1" t="s">
        <v>192</v>
      </c>
      <c r="FH1302" s="1" t="s">
        <v>192</v>
      </c>
      <c r="FJ1302" s="1" t="s">
        <v>2133</v>
      </c>
      <c r="FK1302" s="1" t="s">
        <v>229</v>
      </c>
      <c r="FL1302" s="1" t="s">
        <v>499</v>
      </c>
      <c r="FM1302" s="1">
        <v>358.0</v>
      </c>
      <c r="FN1302" s="1" t="s">
        <v>500</v>
      </c>
      <c r="FO1302" s="1" t="s">
        <v>501</v>
      </c>
      <c r="FP1302" s="1">
        <v>347.0</v>
      </c>
      <c r="FQ1302" s="1" t="s">
        <v>500</v>
      </c>
      <c r="FS1302" s="1" t="s">
        <v>13255</v>
      </c>
      <c r="FU1302" s="1" t="s">
        <v>13768</v>
      </c>
      <c r="FV1302" s="1" t="s">
        <v>200</v>
      </c>
      <c r="FW1302" s="1" t="s">
        <v>290</v>
      </c>
      <c r="FX1302" s="1" t="s">
        <v>238</v>
      </c>
      <c r="FZ1302" s="1" t="s">
        <v>504</v>
      </c>
      <c r="GA1302" s="1" t="s">
        <v>291</v>
      </c>
      <c r="GB1302" s="2">
        <v>42121.0</v>
      </c>
      <c r="GC1302" s="1" t="s">
        <v>13769</v>
      </c>
    </row>
    <row r="1303">
      <c r="A1303" s="1">
        <v>275000.0</v>
      </c>
      <c r="B1303" s="1" t="s">
        <v>185</v>
      </c>
      <c r="C1303" s="1" t="str">
        <f>"08855870"</f>
        <v>08855870</v>
      </c>
      <c r="D1303" s="1" t="s">
        <v>186</v>
      </c>
      <c r="F1303" s="1" t="str">
        <f>"8075"</f>
        <v>8075</v>
      </c>
      <c r="G1303" s="2">
        <v>42072.0</v>
      </c>
      <c r="H1303" s="1">
        <v>279900.0</v>
      </c>
      <c r="I1303" s="1">
        <v>118.0</v>
      </c>
      <c r="J1303" s="1">
        <v>279900.0</v>
      </c>
      <c r="K1303" s="2">
        <v>42090.0</v>
      </c>
      <c r="L1303" s="1">
        <v>19.0</v>
      </c>
      <c r="M1303" s="2">
        <v>42090.0</v>
      </c>
      <c r="N1303" s="1" t="s">
        <v>187</v>
      </c>
      <c r="O1303" s="2">
        <v>42143.0</v>
      </c>
      <c r="P1303" s="1">
        <v>601714.0</v>
      </c>
      <c r="Q1303" s="1">
        <v>61153.0</v>
      </c>
      <c r="S1303" s="1">
        <v>10951.0</v>
      </c>
      <c r="T1303" s="1" t="s">
        <v>7979</v>
      </c>
      <c r="U1303" s="1" t="s">
        <v>189</v>
      </c>
      <c r="V1303" s="1" t="s">
        <v>190</v>
      </c>
      <c r="W1303" s="1">
        <v>60643.0</v>
      </c>
      <c r="X1303" s="1">
        <v>3450.0</v>
      </c>
      <c r="Y1303" s="1" t="s">
        <v>13770</v>
      </c>
      <c r="Z1303" s="1">
        <v>1900.0</v>
      </c>
      <c r="AA1303" s="1" t="s">
        <v>192</v>
      </c>
      <c r="AB1303" s="1" t="s">
        <v>193</v>
      </c>
      <c r="AD1303" s="1" t="s">
        <v>194</v>
      </c>
      <c r="AE1303" s="1" t="s">
        <v>195</v>
      </c>
      <c r="AF1303" s="1" t="s">
        <v>659</v>
      </c>
      <c r="AH1303" s="1" t="s">
        <v>13771</v>
      </c>
      <c r="AI1303" s="1">
        <v>0.1722</v>
      </c>
      <c r="AK1303" s="1">
        <v>9.0</v>
      </c>
      <c r="AL1303" s="1">
        <v>3.0</v>
      </c>
      <c r="AM1303" s="1">
        <v>2.0</v>
      </c>
      <c r="AN1303" s="1">
        <v>1.0</v>
      </c>
      <c r="AO1303" s="1" t="s">
        <v>198</v>
      </c>
      <c r="AQ1303" s="1" t="s">
        <v>198</v>
      </c>
      <c r="AR1303" s="1" t="s">
        <v>200</v>
      </c>
      <c r="AS1303" s="1" t="s">
        <v>199</v>
      </c>
      <c r="AT1303" s="1">
        <v>2.0</v>
      </c>
      <c r="AV1303" s="1" t="s">
        <v>200</v>
      </c>
      <c r="AW1303" s="1">
        <v>2653.87</v>
      </c>
      <c r="AX1303" s="1">
        <v>2013.0</v>
      </c>
      <c r="AY1303" s="1" t="s">
        <v>387</v>
      </c>
      <c r="AZ1303" s="1" t="s">
        <v>200</v>
      </c>
      <c r="BA1303" s="1" t="str">
        <f>"25184140110000"</f>
        <v>25184140110000</v>
      </c>
      <c r="BC1303" s="1">
        <v>2068.0</v>
      </c>
      <c r="BD1303" s="1">
        <v>275000.0</v>
      </c>
      <c r="BE1303" s="2">
        <v>42072.0</v>
      </c>
      <c r="BF1303" s="2" t="s">
        <v>13772</v>
      </c>
      <c r="BH1303" s="1">
        <v>0.0</v>
      </c>
      <c r="BK1303" s="1" t="s">
        <v>204</v>
      </c>
      <c r="BL1303" s="1" t="str">
        <f t="shared" ref="BL1303:BM1303" si="861">"0"</f>
        <v>0</v>
      </c>
      <c r="BM1303" s="1" t="str">
        <f t="shared" si="861"/>
        <v>0</v>
      </c>
      <c r="BN1303" s="1">
        <v>1650.0</v>
      </c>
      <c r="BO1303" s="1">
        <v>10951.0</v>
      </c>
      <c r="BQ1303" s="1">
        <v>299.0</v>
      </c>
      <c r="BR1303" s="1">
        <v>299.0</v>
      </c>
      <c r="BS1303" s="1">
        <v>299.0</v>
      </c>
      <c r="BU1303" s="1" t="s">
        <v>730</v>
      </c>
      <c r="BV1303" s="1" t="s">
        <v>206</v>
      </c>
      <c r="BW1303" s="1" t="s">
        <v>207</v>
      </c>
      <c r="BY1303" s="1" t="s">
        <v>616</v>
      </c>
      <c r="BZ1303" s="1" t="s">
        <v>209</v>
      </c>
      <c r="CA1303" s="1" t="s">
        <v>210</v>
      </c>
      <c r="CD1303" s="1" t="s">
        <v>204</v>
      </c>
      <c r="CG1303" s="1" t="s">
        <v>264</v>
      </c>
      <c r="CH1303" s="1" t="s">
        <v>209</v>
      </c>
      <c r="CI1303" s="1" t="s">
        <v>210</v>
      </c>
      <c r="CK1303" s="1" t="s">
        <v>333</v>
      </c>
      <c r="CL1303" s="1" t="s">
        <v>391</v>
      </c>
      <c r="CM1303" s="1" t="s">
        <v>210</v>
      </c>
      <c r="CO1303" s="1" t="s">
        <v>269</v>
      </c>
      <c r="CP1303" s="1" t="s">
        <v>42</v>
      </c>
      <c r="CQ1303" s="1" t="s">
        <v>210</v>
      </c>
      <c r="CS1303" s="1" t="s">
        <v>361</v>
      </c>
      <c r="CT1303" s="1" t="s">
        <v>206</v>
      </c>
      <c r="CU1303" s="1" t="s">
        <v>207</v>
      </c>
      <c r="CW1303" s="1" t="s">
        <v>2155</v>
      </c>
      <c r="CX1303" s="1" t="s">
        <v>42</v>
      </c>
      <c r="CY1303" s="1" t="s">
        <v>210</v>
      </c>
      <c r="DA1303" s="1" t="s">
        <v>200</v>
      </c>
      <c r="DC1303" s="1" t="s">
        <v>642</v>
      </c>
      <c r="DD1303" s="1" t="s">
        <v>518</v>
      </c>
      <c r="DE1303" s="1" t="s">
        <v>273</v>
      </c>
      <c r="DF1303" s="1" t="s">
        <v>219</v>
      </c>
      <c r="DG1303" s="1" t="s">
        <v>482</v>
      </c>
      <c r="DH1303" s="1" t="s">
        <v>365</v>
      </c>
      <c r="DI1303" s="1" t="s">
        <v>1141</v>
      </c>
      <c r="DJ1303" s="1" t="s">
        <v>222</v>
      </c>
      <c r="DK1303" s="1" t="s">
        <v>790</v>
      </c>
      <c r="DL1303" s="1" t="s">
        <v>224</v>
      </c>
      <c r="DM1303" s="1" t="s">
        <v>1143</v>
      </c>
      <c r="DN1303" s="1" t="s">
        <v>485</v>
      </c>
      <c r="DO1303" s="1" t="s">
        <v>549</v>
      </c>
      <c r="DQ1303" s="1" t="s">
        <v>794</v>
      </c>
      <c r="DR1303" s="1" t="s">
        <v>229</v>
      </c>
      <c r="DS1303" s="1" t="s">
        <v>401</v>
      </c>
      <c r="DU1303" s="1" t="s">
        <v>2070</v>
      </c>
      <c r="DV1303" s="1" t="s">
        <v>13773</v>
      </c>
      <c r="DW1303" s="1" t="s">
        <v>233</v>
      </c>
      <c r="DX1303" s="1" t="s">
        <v>234</v>
      </c>
      <c r="DY1303" s="1" t="s">
        <v>1122</v>
      </c>
      <c r="DZ1303" s="1" t="s">
        <v>236</v>
      </c>
      <c r="EC1303" s="1" t="s">
        <v>406</v>
      </c>
      <c r="ED1303" s="1" t="s">
        <v>407</v>
      </c>
      <c r="EG1303" s="1" t="s">
        <v>449</v>
      </c>
      <c r="EH1303" s="1" t="s">
        <v>1121</v>
      </c>
      <c r="EI1303" s="1" t="s">
        <v>720</v>
      </c>
      <c r="EJ1303" s="1" t="s">
        <v>1270</v>
      </c>
      <c r="EK1303" s="1" t="s">
        <v>409</v>
      </c>
      <c r="EL1303" s="1" t="s">
        <v>2047</v>
      </c>
      <c r="EM1303" s="1" t="s">
        <v>206</v>
      </c>
      <c r="EN1303" s="1" t="s">
        <v>207</v>
      </c>
      <c r="EP1303" s="1" t="s">
        <v>1688</v>
      </c>
      <c r="EQ1303" s="1" t="s">
        <v>209</v>
      </c>
      <c r="ER1303" s="1" t="s">
        <v>210</v>
      </c>
      <c r="ET1303" s="1" t="s">
        <v>1688</v>
      </c>
      <c r="EU1303" s="1" t="s">
        <v>206</v>
      </c>
      <c r="EV1303" s="1" t="s">
        <v>207</v>
      </c>
      <c r="EX1303" s="1" t="s">
        <v>1796</v>
      </c>
      <c r="EY1303" s="1" t="s">
        <v>42</v>
      </c>
      <c r="EZ1303" s="1" t="s">
        <v>268</v>
      </c>
      <c r="FB1303" s="1" t="s">
        <v>3296</v>
      </c>
      <c r="FC1303" s="1" t="s">
        <v>209</v>
      </c>
      <c r="FD1303" s="1" t="s">
        <v>210</v>
      </c>
      <c r="FF1303" s="1" t="s">
        <v>239</v>
      </c>
      <c r="FG1303" s="1" t="s">
        <v>192</v>
      </c>
      <c r="FH1303" s="1" t="s">
        <v>192</v>
      </c>
      <c r="FJ1303" s="1" t="s">
        <v>648</v>
      </c>
      <c r="FK1303" s="1" t="s">
        <v>229</v>
      </c>
      <c r="FL1303" s="1" t="s">
        <v>649</v>
      </c>
      <c r="FM1303" s="1">
        <v>60296.0</v>
      </c>
      <c r="FN1303" s="1" t="s">
        <v>650</v>
      </c>
      <c r="FO1303" s="1" t="s">
        <v>651</v>
      </c>
      <c r="FP1303" s="1">
        <v>602837.0</v>
      </c>
      <c r="FQ1303" s="1" t="s">
        <v>652</v>
      </c>
      <c r="FR1303" s="1">
        <v>602442.0</v>
      </c>
      <c r="FU1303" s="1" t="s">
        <v>1438</v>
      </c>
      <c r="FV1303" s="1" t="s">
        <v>200</v>
      </c>
      <c r="FW1303" s="1" t="s">
        <v>530</v>
      </c>
      <c r="FX1303" s="1" t="s">
        <v>655</v>
      </c>
      <c r="FZ1303" s="1" t="s">
        <v>229</v>
      </c>
      <c r="GA1303" s="1" t="s">
        <v>291</v>
      </c>
      <c r="GB1303" s="2">
        <v>42143.0</v>
      </c>
      <c r="GC1303" s="1" t="s">
        <v>1372</v>
      </c>
    </row>
    <row r="1304">
      <c r="A1304" s="1">
        <v>241000.0</v>
      </c>
      <c r="B1304" s="1" t="s">
        <v>185</v>
      </c>
      <c r="C1304" s="1" t="str">
        <f>"08857902"</f>
        <v>08857902</v>
      </c>
      <c r="D1304" s="1" t="s">
        <v>186</v>
      </c>
      <c r="F1304" s="1" t="str">
        <f>"119"</f>
        <v>119</v>
      </c>
      <c r="G1304" s="2">
        <v>42073.0</v>
      </c>
      <c r="H1304" s="1">
        <v>237500.0</v>
      </c>
      <c r="I1304" s="1">
        <v>5.0</v>
      </c>
      <c r="J1304" s="1">
        <v>237500.0</v>
      </c>
      <c r="K1304" s="2">
        <v>42076.0</v>
      </c>
      <c r="L1304" s="1">
        <v>5.0</v>
      </c>
      <c r="M1304" s="2">
        <v>42076.0</v>
      </c>
      <c r="N1304" s="1" t="s">
        <v>187</v>
      </c>
      <c r="O1304" s="2">
        <v>42124.0</v>
      </c>
      <c r="P1304" s="1">
        <v>1103.0</v>
      </c>
      <c r="Q1304" s="1">
        <v>383.0</v>
      </c>
      <c r="S1304" s="1" t="s">
        <v>13774</v>
      </c>
      <c r="T1304" s="1" t="s">
        <v>6641</v>
      </c>
      <c r="U1304" s="1" t="s">
        <v>1754</v>
      </c>
      <c r="V1304" s="1" t="s">
        <v>1476</v>
      </c>
      <c r="W1304" s="1">
        <v>60119.0</v>
      </c>
      <c r="Y1304" s="1" t="s">
        <v>13775</v>
      </c>
      <c r="Z1304" s="1">
        <v>1972.0</v>
      </c>
      <c r="AA1304" s="1" t="s">
        <v>192</v>
      </c>
      <c r="AB1304" s="1" t="s">
        <v>193</v>
      </c>
      <c r="AC1304" s="1" t="s">
        <v>13776</v>
      </c>
      <c r="AD1304" s="1" t="s">
        <v>1089</v>
      </c>
      <c r="AE1304" s="1" t="s">
        <v>325</v>
      </c>
      <c r="AF1304" s="1" t="s">
        <v>1479</v>
      </c>
      <c r="AG1304" s="1" t="s">
        <v>752</v>
      </c>
      <c r="AH1304" s="1" t="s">
        <v>13777</v>
      </c>
      <c r="AI1304" s="1">
        <v>0.63</v>
      </c>
      <c r="AK1304" s="1">
        <v>10.0</v>
      </c>
      <c r="AL1304" s="1">
        <v>3.0</v>
      </c>
      <c r="AM1304" s="1">
        <v>3.0</v>
      </c>
      <c r="AN1304" s="1">
        <v>1.0</v>
      </c>
      <c r="AO1304" s="1" t="s">
        <v>198</v>
      </c>
      <c r="AP1304" s="1">
        <v>1.0</v>
      </c>
      <c r="AQ1304" s="1" t="s">
        <v>198</v>
      </c>
      <c r="AR1304" s="1" t="s">
        <v>192</v>
      </c>
      <c r="AS1304" s="1" t="s">
        <v>199</v>
      </c>
      <c r="AT1304" s="1">
        <v>2.0</v>
      </c>
      <c r="AV1304" s="1" t="s">
        <v>200</v>
      </c>
      <c r="AW1304" s="1">
        <v>6923.06</v>
      </c>
      <c r="AX1304" s="1">
        <v>2013.0</v>
      </c>
      <c r="AY1304" s="1" t="s">
        <v>1179</v>
      </c>
      <c r="AZ1304" s="1" t="s">
        <v>200</v>
      </c>
      <c r="BA1304" s="1" t="str">
        <f>"1129305009"</f>
        <v>1129305009</v>
      </c>
      <c r="BC1304" s="1">
        <v>1800.0</v>
      </c>
      <c r="BD1304" s="1">
        <v>241000.0</v>
      </c>
      <c r="BE1304" s="2">
        <v>42072.0</v>
      </c>
      <c r="BF1304" s="2" t="s">
        <v>13778</v>
      </c>
      <c r="BG1304" s="1" t="s">
        <v>4351</v>
      </c>
      <c r="BH1304" s="1">
        <v>0.0</v>
      </c>
      <c r="BI1304" s="1" t="s">
        <v>1635</v>
      </c>
      <c r="BJ1304" s="1" t="s">
        <v>1636</v>
      </c>
      <c r="BK1304" s="1" t="s">
        <v>204</v>
      </c>
      <c r="BL1304" s="1" t="str">
        <f t="shared" ref="BL1304:BM1304" si="862">""</f>
        <v/>
      </c>
      <c r="BM1304" s="1" t="str">
        <f t="shared" si="862"/>
        <v/>
      </c>
      <c r="BQ1304" s="1">
        <v>302.0</v>
      </c>
      <c r="BR1304" s="1">
        <v>302.0</v>
      </c>
      <c r="BS1304" s="1">
        <v>302.0</v>
      </c>
      <c r="BU1304" s="1" t="s">
        <v>3989</v>
      </c>
      <c r="BV1304" s="1" t="s">
        <v>206</v>
      </c>
      <c r="BW1304" s="1" t="s">
        <v>207</v>
      </c>
      <c r="BX1304" s="1" t="s">
        <v>229</v>
      </c>
      <c r="BY1304" s="1" t="s">
        <v>1395</v>
      </c>
      <c r="BZ1304" s="1" t="s">
        <v>206</v>
      </c>
      <c r="CA1304" s="1" t="s">
        <v>207</v>
      </c>
      <c r="CB1304" s="1" t="s">
        <v>431</v>
      </c>
      <c r="CC1304" s="1" t="s">
        <v>392</v>
      </c>
      <c r="CD1304" s="1" t="s">
        <v>206</v>
      </c>
      <c r="CE1304" s="1" t="s">
        <v>207</v>
      </c>
      <c r="CF1304" s="1" t="s">
        <v>229</v>
      </c>
      <c r="CG1304" s="1" t="s">
        <v>212</v>
      </c>
      <c r="CH1304" s="1" t="s">
        <v>206</v>
      </c>
      <c r="CI1304" s="1" t="s">
        <v>207</v>
      </c>
      <c r="CJ1304" s="1" t="s">
        <v>431</v>
      </c>
      <c r="CK1304" s="1" t="s">
        <v>212</v>
      </c>
      <c r="CL1304" s="1" t="s">
        <v>206</v>
      </c>
      <c r="CM1304" s="1" t="s">
        <v>207</v>
      </c>
      <c r="CN1304" s="1" t="s">
        <v>431</v>
      </c>
      <c r="CO1304" s="1" t="s">
        <v>497</v>
      </c>
      <c r="CP1304" s="1" t="s">
        <v>42</v>
      </c>
      <c r="CQ1304" s="1" t="s">
        <v>210</v>
      </c>
      <c r="CR1304" s="1" t="s">
        <v>229</v>
      </c>
      <c r="CS1304" s="1" t="s">
        <v>1064</v>
      </c>
      <c r="CT1304" s="1" t="s">
        <v>206</v>
      </c>
      <c r="CU1304" s="1" t="s">
        <v>268</v>
      </c>
      <c r="CV1304" s="1" t="s">
        <v>229</v>
      </c>
      <c r="CW1304" s="1" t="s">
        <v>1299</v>
      </c>
      <c r="CX1304" s="1" t="s">
        <v>206</v>
      </c>
      <c r="CY1304" s="1" t="s">
        <v>207</v>
      </c>
      <c r="CZ1304" s="1" t="s">
        <v>229</v>
      </c>
      <c r="DA1304" s="1" t="s">
        <v>200</v>
      </c>
      <c r="DC1304" s="1" t="s">
        <v>517</v>
      </c>
      <c r="DD1304" s="1" t="s">
        <v>518</v>
      </c>
      <c r="DE1304" s="1" t="s">
        <v>273</v>
      </c>
      <c r="DF1304" s="1" t="s">
        <v>219</v>
      </c>
      <c r="DG1304" s="1" t="s">
        <v>1553</v>
      </c>
      <c r="DH1304" s="1" t="s">
        <v>856</v>
      </c>
      <c r="DI1304" s="1" t="s">
        <v>397</v>
      </c>
      <c r="DJ1304" s="1" t="s">
        <v>857</v>
      </c>
      <c r="DK1304" s="1" t="s">
        <v>223</v>
      </c>
      <c r="DL1304" s="1" t="s">
        <v>224</v>
      </c>
      <c r="DM1304" s="1" t="s">
        <v>929</v>
      </c>
      <c r="DO1304" s="1" t="s">
        <v>2297</v>
      </c>
      <c r="DP1304" s="1" t="s">
        <v>340</v>
      </c>
      <c r="DQ1304" s="1" t="s">
        <v>1557</v>
      </c>
      <c r="DR1304" s="1" t="s">
        <v>229</v>
      </c>
      <c r="DS1304" s="1" t="s">
        <v>230</v>
      </c>
      <c r="DU1304" s="1" t="s">
        <v>13779</v>
      </c>
      <c r="DV1304" s="1" t="s">
        <v>13780</v>
      </c>
      <c r="DW1304" s="1" t="s">
        <v>764</v>
      </c>
      <c r="DX1304" s="1" t="s">
        <v>234</v>
      </c>
      <c r="DY1304" s="1" t="s">
        <v>553</v>
      </c>
      <c r="DZ1304" s="1" t="s">
        <v>13463</v>
      </c>
      <c r="EA1304" s="1" t="s">
        <v>683</v>
      </c>
      <c r="EB1304" s="1" t="s">
        <v>5995</v>
      </c>
      <c r="EC1304" s="1" t="s">
        <v>685</v>
      </c>
      <c r="ED1304" s="1" t="s">
        <v>864</v>
      </c>
      <c r="EG1304" s="1" t="s">
        <v>450</v>
      </c>
      <c r="EH1304" s="1" t="s">
        <v>1729</v>
      </c>
      <c r="EL1304" s="1" t="s">
        <v>13781</v>
      </c>
      <c r="EM1304" s="1" t="s">
        <v>42</v>
      </c>
      <c r="EN1304" s="1" t="s">
        <v>210</v>
      </c>
      <c r="EO1304" s="1" t="s">
        <v>229</v>
      </c>
      <c r="EP1304" s="1" t="s">
        <v>1396</v>
      </c>
      <c r="EQ1304" s="1" t="s">
        <v>206</v>
      </c>
      <c r="ER1304" s="1" t="s">
        <v>268</v>
      </c>
      <c r="ES1304" s="1" t="s">
        <v>1118</v>
      </c>
      <c r="EU1304" s="1" t="s">
        <v>238</v>
      </c>
      <c r="EY1304" s="1" t="s">
        <v>238</v>
      </c>
      <c r="FC1304" s="1" t="s">
        <v>238</v>
      </c>
      <c r="FF1304" s="1" t="s">
        <v>239</v>
      </c>
      <c r="FG1304" s="1" t="s">
        <v>192</v>
      </c>
      <c r="FH1304" s="1" t="s">
        <v>192</v>
      </c>
      <c r="FJ1304" s="1" t="s">
        <v>2225</v>
      </c>
      <c r="FK1304" s="1" t="s">
        <v>229</v>
      </c>
      <c r="FL1304" s="1" t="s">
        <v>2226</v>
      </c>
      <c r="FM1304" s="1">
        <v>300.0</v>
      </c>
      <c r="FN1304" s="1" t="s">
        <v>2227</v>
      </c>
      <c r="FO1304" s="1" t="s">
        <v>2228</v>
      </c>
      <c r="FP1304" s="1">
        <v>313816.0</v>
      </c>
      <c r="FQ1304" s="1" t="s">
        <v>2229</v>
      </c>
      <c r="FR1304" s="1">
        <v>8490.0</v>
      </c>
      <c r="FS1304" s="1" t="s">
        <v>2230</v>
      </c>
      <c r="FU1304" s="1" t="s">
        <v>13782</v>
      </c>
      <c r="FV1304" s="1" t="s">
        <v>200</v>
      </c>
      <c r="FW1304" s="1" t="s">
        <v>530</v>
      </c>
      <c r="FZ1304" s="1" t="s">
        <v>229</v>
      </c>
      <c r="GA1304" s="1" t="s">
        <v>291</v>
      </c>
      <c r="GB1304" s="2">
        <v>42124.0</v>
      </c>
      <c r="GC1304" s="1" t="s">
        <v>13783</v>
      </c>
    </row>
    <row r="1305">
      <c r="A1305" s="1">
        <v>854900.0</v>
      </c>
      <c r="B1305" s="1" t="s">
        <v>185</v>
      </c>
      <c r="C1305" s="1" t="str">
        <f>"08861490"</f>
        <v>08861490</v>
      </c>
      <c r="D1305" s="1" t="s">
        <v>186</v>
      </c>
      <c r="F1305" s="1" t="str">
        <f>"8022"</f>
        <v>8022</v>
      </c>
      <c r="G1305" s="2">
        <v>42077.0</v>
      </c>
      <c r="H1305" s="1">
        <v>849900.0</v>
      </c>
      <c r="I1305" s="1">
        <v>1.0</v>
      </c>
      <c r="J1305" s="1">
        <v>849900.0</v>
      </c>
      <c r="K1305" s="2">
        <v>42077.0</v>
      </c>
      <c r="L1305" s="1">
        <v>1.0</v>
      </c>
      <c r="M1305" s="2">
        <v>42077.0</v>
      </c>
      <c r="N1305" s="1" t="s">
        <v>187</v>
      </c>
      <c r="O1305" s="2">
        <v>42139.0</v>
      </c>
      <c r="P1305" s="1">
        <v>114479.0</v>
      </c>
      <c r="Q1305" s="1">
        <v>15358.0</v>
      </c>
      <c r="S1305" s="1">
        <v>2643.0</v>
      </c>
      <c r="T1305" s="1" t="s">
        <v>6454</v>
      </c>
      <c r="U1305" s="1" t="s">
        <v>189</v>
      </c>
      <c r="V1305" s="1" t="s">
        <v>190</v>
      </c>
      <c r="W1305" s="1">
        <v>60647.0</v>
      </c>
      <c r="Y1305" s="1" t="s">
        <v>6455</v>
      </c>
      <c r="Z1305" s="1">
        <v>2015.0</v>
      </c>
      <c r="AA1305" s="1" t="s">
        <v>200</v>
      </c>
      <c r="AB1305" s="1" t="s">
        <v>193</v>
      </c>
      <c r="AD1305" s="1" t="s">
        <v>194</v>
      </c>
      <c r="AE1305" s="1" t="s">
        <v>195</v>
      </c>
      <c r="AF1305" s="1" t="s">
        <v>827</v>
      </c>
      <c r="AG1305" s="1" t="s">
        <v>6456</v>
      </c>
      <c r="AH1305" s="1" t="s">
        <v>359</v>
      </c>
      <c r="AK1305" s="1">
        <v>9.0</v>
      </c>
      <c r="AL1305" s="1">
        <v>4.0</v>
      </c>
      <c r="AM1305" s="1">
        <v>3.0</v>
      </c>
      <c r="AN1305" s="1">
        <v>1.0</v>
      </c>
      <c r="AO1305" s="1" t="s">
        <v>198</v>
      </c>
      <c r="AP1305" s="1">
        <v>1.0</v>
      </c>
      <c r="AQ1305" s="1" t="s">
        <v>257</v>
      </c>
      <c r="AR1305" s="1" t="s">
        <v>192</v>
      </c>
      <c r="AS1305" s="1" t="s">
        <v>199</v>
      </c>
      <c r="AT1305" s="1">
        <v>2.0</v>
      </c>
      <c r="AV1305" s="1" t="s">
        <v>200</v>
      </c>
      <c r="AW1305" s="1" t="s">
        <v>575</v>
      </c>
      <c r="AX1305" s="1">
        <v>2013.0</v>
      </c>
      <c r="AZ1305" s="1" t="s">
        <v>545</v>
      </c>
      <c r="BA1305" s="1" t="str">
        <f>"13362070060000"</f>
        <v>13362070060000</v>
      </c>
      <c r="BC1305" s="1">
        <v>0.0</v>
      </c>
      <c r="BD1305" s="1">
        <v>854900.0</v>
      </c>
      <c r="BE1305" s="2">
        <v>42077.0</v>
      </c>
      <c r="BF1305" s="2" t="s">
        <v>13784</v>
      </c>
      <c r="BH1305" s="1">
        <v>0.0</v>
      </c>
      <c r="BK1305" s="1" t="s">
        <v>204</v>
      </c>
      <c r="BL1305" s="1" t="str">
        <f>"2300"</f>
        <v>2300</v>
      </c>
      <c r="BM1305" s="1" t="str">
        <f t="shared" ref="BM1305:BM1306" si="863">"0"</f>
        <v>0</v>
      </c>
      <c r="BN1305" s="1">
        <v>2643.0</v>
      </c>
      <c r="BO1305" s="1">
        <v>0.0</v>
      </c>
      <c r="BQ1305" s="1">
        <v>299.0</v>
      </c>
      <c r="BR1305" s="1">
        <v>299.0</v>
      </c>
      <c r="BS1305" s="1">
        <v>299.0</v>
      </c>
      <c r="BU1305" s="1" t="s">
        <v>5223</v>
      </c>
      <c r="BV1305" s="1" t="s">
        <v>206</v>
      </c>
      <c r="BW1305" s="1" t="s">
        <v>207</v>
      </c>
      <c r="BY1305" s="1" t="s">
        <v>208</v>
      </c>
      <c r="BZ1305" s="1" t="s">
        <v>209</v>
      </c>
      <c r="CA1305" s="1" t="s">
        <v>207</v>
      </c>
      <c r="CC1305" s="1" t="s">
        <v>542</v>
      </c>
      <c r="CD1305" s="1" t="s">
        <v>206</v>
      </c>
      <c r="CE1305" s="1" t="s">
        <v>207</v>
      </c>
      <c r="CG1305" s="1" t="s">
        <v>331</v>
      </c>
      <c r="CH1305" s="1" t="s">
        <v>209</v>
      </c>
      <c r="CI1305" s="1" t="s">
        <v>207</v>
      </c>
      <c r="CK1305" s="1" t="s">
        <v>663</v>
      </c>
      <c r="CL1305" s="1" t="s">
        <v>209</v>
      </c>
      <c r="CM1305" s="1" t="s">
        <v>207</v>
      </c>
      <c r="CO1305" s="1" t="s">
        <v>390</v>
      </c>
      <c r="CP1305" s="1" t="s">
        <v>267</v>
      </c>
      <c r="CQ1305" s="1" t="s">
        <v>210</v>
      </c>
      <c r="CS1305" s="1" t="s">
        <v>329</v>
      </c>
      <c r="CT1305" s="1" t="s">
        <v>206</v>
      </c>
      <c r="CU1305" s="1" t="s">
        <v>207</v>
      </c>
      <c r="CW1305" s="1" t="s">
        <v>2120</v>
      </c>
      <c r="CX1305" s="1" t="s">
        <v>206</v>
      </c>
      <c r="CY1305" s="1" t="s">
        <v>207</v>
      </c>
      <c r="DA1305" s="1" t="s">
        <v>192</v>
      </c>
      <c r="DB1305" s="2">
        <v>42124.0</v>
      </c>
      <c r="DC1305" s="1" t="s">
        <v>744</v>
      </c>
      <c r="DD1305" s="1" t="s">
        <v>731</v>
      </c>
      <c r="DE1305" s="1" t="s">
        <v>273</v>
      </c>
      <c r="DF1305" s="1" t="s">
        <v>619</v>
      </c>
      <c r="DH1305" s="1" t="s">
        <v>220</v>
      </c>
      <c r="DI1305" s="1" t="s">
        <v>6458</v>
      </c>
      <c r="DJ1305" s="1" t="s">
        <v>222</v>
      </c>
      <c r="DL1305" s="1" t="s">
        <v>224</v>
      </c>
      <c r="DM1305" s="1" t="s">
        <v>229</v>
      </c>
      <c r="DN1305" s="1" t="s">
        <v>2676</v>
      </c>
      <c r="DP1305" s="1" t="s">
        <v>276</v>
      </c>
      <c r="DQ1305" s="1" t="s">
        <v>441</v>
      </c>
      <c r="DR1305" s="1" t="s">
        <v>229</v>
      </c>
      <c r="DU1305" s="1" t="s">
        <v>6459</v>
      </c>
      <c r="DV1305" s="1" t="s">
        <v>2058</v>
      </c>
      <c r="DW1305" s="1" t="s">
        <v>279</v>
      </c>
      <c r="DX1305" s="1" t="s">
        <v>234</v>
      </c>
      <c r="DY1305" s="1" t="s">
        <v>704</v>
      </c>
      <c r="EB1305" s="1" t="s">
        <v>1639</v>
      </c>
      <c r="EC1305" s="1" t="s">
        <v>237</v>
      </c>
      <c r="EG1305" s="1" t="s">
        <v>450</v>
      </c>
      <c r="EH1305" s="1" t="s">
        <v>310</v>
      </c>
      <c r="EL1305" s="1" t="s">
        <v>2861</v>
      </c>
      <c r="EM1305" s="1" t="s">
        <v>267</v>
      </c>
      <c r="EN1305" s="1" t="s">
        <v>210</v>
      </c>
      <c r="EP1305" s="1" t="s">
        <v>4180</v>
      </c>
      <c r="EQ1305" s="1" t="s">
        <v>206</v>
      </c>
      <c r="EU1305" s="1" t="s">
        <v>238</v>
      </c>
      <c r="EY1305" s="1" t="s">
        <v>238</v>
      </c>
      <c r="FC1305" s="1" t="s">
        <v>238</v>
      </c>
      <c r="FF1305" s="1" t="s">
        <v>239</v>
      </c>
      <c r="FG1305" s="1" t="s">
        <v>192</v>
      </c>
      <c r="FH1305" s="1" t="s">
        <v>192</v>
      </c>
      <c r="FJ1305" s="1" t="s">
        <v>3755</v>
      </c>
      <c r="FK1305" s="1" t="s">
        <v>229</v>
      </c>
      <c r="FL1305" s="1" t="s">
        <v>6354</v>
      </c>
      <c r="FM1305" s="1">
        <v>15191.0</v>
      </c>
      <c r="FN1305" s="1" t="s">
        <v>6355</v>
      </c>
      <c r="FO1305" s="1" t="s">
        <v>6460</v>
      </c>
      <c r="FP1305" s="1">
        <v>137452.0</v>
      </c>
      <c r="FQ1305" s="1" t="s">
        <v>6461</v>
      </c>
      <c r="FR1305" s="1">
        <v>102294.0</v>
      </c>
      <c r="FU1305" s="1" t="s">
        <v>6462</v>
      </c>
      <c r="FV1305" s="1" t="s">
        <v>200</v>
      </c>
      <c r="FW1305" s="1" t="s">
        <v>567</v>
      </c>
      <c r="FX1305" s="1" t="s">
        <v>246</v>
      </c>
      <c r="FZ1305" s="1" t="s">
        <v>229</v>
      </c>
      <c r="GA1305" s="1" t="s">
        <v>291</v>
      </c>
      <c r="GB1305" s="2">
        <v>42139.0</v>
      </c>
      <c r="GC1305" s="1" t="s">
        <v>13785</v>
      </c>
    </row>
    <row r="1306">
      <c r="A1306" s="1">
        <v>125000.0</v>
      </c>
      <c r="B1306" s="1" t="s">
        <v>185</v>
      </c>
      <c r="C1306" s="1" t="str">
        <f>"08861640"</f>
        <v>08861640</v>
      </c>
      <c r="D1306" s="1" t="s">
        <v>186</v>
      </c>
      <c r="F1306" s="1" t="str">
        <f>"110"</f>
        <v>110</v>
      </c>
      <c r="G1306" s="2">
        <v>42077.0</v>
      </c>
      <c r="H1306" s="1">
        <v>125000.0</v>
      </c>
      <c r="I1306" s="1">
        <v>6.0</v>
      </c>
      <c r="J1306" s="1">
        <v>125000.0</v>
      </c>
      <c r="K1306" s="2">
        <v>42082.0</v>
      </c>
      <c r="L1306" s="1">
        <v>6.0</v>
      </c>
      <c r="M1306" s="2">
        <v>42082.0</v>
      </c>
      <c r="N1306" s="1" t="s">
        <v>356</v>
      </c>
      <c r="O1306" s="2">
        <v>42132.0</v>
      </c>
      <c r="P1306" s="1">
        <v>63167.0</v>
      </c>
      <c r="Q1306" s="1">
        <v>6026.0</v>
      </c>
      <c r="R1306" s="1">
        <v>2500.0</v>
      </c>
      <c r="S1306" s="1">
        <v>99.0</v>
      </c>
      <c r="T1306" s="1" t="s">
        <v>13786</v>
      </c>
      <c r="U1306" s="1" t="s">
        <v>464</v>
      </c>
      <c r="V1306" s="1" t="s">
        <v>807</v>
      </c>
      <c r="W1306" s="1">
        <v>60110.0</v>
      </c>
      <c r="Y1306" s="1" t="s">
        <v>13787</v>
      </c>
      <c r="Z1306" s="1">
        <v>1955.0</v>
      </c>
      <c r="AA1306" s="1" t="s">
        <v>192</v>
      </c>
      <c r="AB1306" s="1" t="s">
        <v>193</v>
      </c>
      <c r="AC1306" s="1" t="s">
        <v>13788</v>
      </c>
      <c r="AD1306" s="1" t="s">
        <v>809</v>
      </c>
      <c r="AE1306" s="1" t="s">
        <v>325</v>
      </c>
      <c r="AF1306" s="1" t="s">
        <v>810</v>
      </c>
      <c r="AH1306" s="1" t="s">
        <v>1345</v>
      </c>
      <c r="AK1306" s="1">
        <v>7.0</v>
      </c>
      <c r="AL1306" s="1">
        <v>4.0</v>
      </c>
      <c r="AM1306" s="1">
        <v>1.0</v>
      </c>
      <c r="AN1306" s="1">
        <v>0.0</v>
      </c>
      <c r="AO1306" s="1" t="s">
        <v>229</v>
      </c>
      <c r="AQ1306" s="1" t="s">
        <v>229</v>
      </c>
      <c r="AS1306" s="1" t="s">
        <v>199</v>
      </c>
      <c r="AT1306" s="1">
        <v>1.5</v>
      </c>
      <c r="AV1306" s="1" t="s">
        <v>200</v>
      </c>
      <c r="AW1306" s="1">
        <v>1872.5</v>
      </c>
      <c r="AX1306" s="1">
        <v>2013.0</v>
      </c>
      <c r="AY1306" s="1" t="s">
        <v>387</v>
      </c>
      <c r="AZ1306" s="1" t="s">
        <v>200</v>
      </c>
      <c r="BA1306" s="1" t="str">
        <f>"0313132005"</f>
        <v>0313132005</v>
      </c>
      <c r="BB1306" s="1" t="s">
        <v>200</v>
      </c>
      <c r="BC1306" s="1">
        <v>1002.0</v>
      </c>
      <c r="BD1306" s="1">
        <v>125000.0</v>
      </c>
      <c r="BE1306" s="2">
        <v>42077.0</v>
      </c>
      <c r="BF1306" s="2" t="s">
        <v>13789</v>
      </c>
      <c r="BG1306" s="1" t="s">
        <v>13790</v>
      </c>
      <c r="BH1306" s="1">
        <v>0.0</v>
      </c>
      <c r="BI1306" s="1" t="s">
        <v>7665</v>
      </c>
      <c r="BJ1306" s="1" t="s">
        <v>1094</v>
      </c>
      <c r="BK1306" s="1" t="s">
        <v>204</v>
      </c>
      <c r="BL1306" s="1" t="str">
        <f>"17"</f>
        <v>17</v>
      </c>
      <c r="BM1306" s="1" t="str">
        <f t="shared" si="863"/>
        <v>0</v>
      </c>
      <c r="BN1306" s="1">
        <v>32.0</v>
      </c>
      <c r="BO1306" s="1">
        <v>0.0</v>
      </c>
      <c r="BQ1306" s="1">
        <v>300.0</v>
      </c>
      <c r="BR1306" s="1">
        <v>300.0</v>
      </c>
      <c r="BS1306" s="1">
        <v>300.0</v>
      </c>
      <c r="BU1306" s="1" t="s">
        <v>262</v>
      </c>
      <c r="BV1306" s="1" t="s">
        <v>206</v>
      </c>
      <c r="BW1306" s="1" t="s">
        <v>207</v>
      </c>
      <c r="BX1306" s="1" t="s">
        <v>239</v>
      </c>
      <c r="BY1306" s="1" t="s">
        <v>2505</v>
      </c>
      <c r="BZ1306" s="1" t="s">
        <v>206</v>
      </c>
      <c r="CA1306" s="1" t="s">
        <v>207</v>
      </c>
      <c r="CB1306" s="1" t="s">
        <v>239</v>
      </c>
      <c r="CC1306" s="1" t="s">
        <v>303</v>
      </c>
      <c r="CD1306" s="1" t="s">
        <v>206</v>
      </c>
      <c r="CE1306" s="1" t="s">
        <v>207</v>
      </c>
      <c r="CF1306" s="1" t="s">
        <v>239</v>
      </c>
      <c r="CG1306" s="1" t="s">
        <v>8981</v>
      </c>
      <c r="CH1306" s="1" t="s">
        <v>206</v>
      </c>
      <c r="CI1306" s="1" t="s">
        <v>207</v>
      </c>
      <c r="CK1306" s="1" t="s">
        <v>814</v>
      </c>
      <c r="CL1306" s="1" t="s">
        <v>206</v>
      </c>
      <c r="CM1306" s="1" t="s">
        <v>207</v>
      </c>
      <c r="CN1306" s="1" t="s">
        <v>239</v>
      </c>
      <c r="CO1306" s="1" t="s">
        <v>264</v>
      </c>
      <c r="CP1306" s="1" t="s">
        <v>206</v>
      </c>
      <c r="CQ1306" s="1" t="s">
        <v>210</v>
      </c>
      <c r="CR1306" s="1" t="s">
        <v>239</v>
      </c>
      <c r="CS1306" s="1" t="s">
        <v>2508</v>
      </c>
      <c r="CT1306" s="1" t="s">
        <v>206</v>
      </c>
      <c r="CU1306" s="1" t="s">
        <v>617</v>
      </c>
      <c r="CV1306" s="1" t="s">
        <v>239</v>
      </c>
      <c r="CX1306" s="1" t="s">
        <v>204</v>
      </c>
      <c r="DA1306" s="1" t="s">
        <v>200</v>
      </c>
      <c r="DC1306" s="1" t="s">
        <v>271</v>
      </c>
      <c r="DD1306" s="1" t="s">
        <v>618</v>
      </c>
      <c r="DE1306" s="1" t="s">
        <v>13791</v>
      </c>
      <c r="DF1306" s="1" t="s">
        <v>219</v>
      </c>
      <c r="DH1306" s="1" t="s">
        <v>220</v>
      </c>
      <c r="DI1306" s="1" t="s">
        <v>703</v>
      </c>
      <c r="DJ1306" s="1" t="s">
        <v>222</v>
      </c>
      <c r="DL1306" s="1" t="s">
        <v>229</v>
      </c>
      <c r="DM1306" s="1" t="s">
        <v>229</v>
      </c>
      <c r="DP1306" s="1" t="s">
        <v>340</v>
      </c>
      <c r="DQ1306" s="1" t="s">
        <v>228</v>
      </c>
      <c r="DR1306" s="1" t="s">
        <v>229</v>
      </c>
      <c r="DS1306" s="1" t="s">
        <v>230</v>
      </c>
      <c r="DU1306" s="1" t="s">
        <v>2070</v>
      </c>
      <c r="DV1306" s="1" t="s">
        <v>232</v>
      </c>
      <c r="DW1306" s="1" t="s">
        <v>233</v>
      </c>
      <c r="DX1306" s="1" t="s">
        <v>234</v>
      </c>
      <c r="DZ1306" s="1" t="s">
        <v>405</v>
      </c>
      <c r="EA1306" s="1" t="s">
        <v>683</v>
      </c>
      <c r="EC1306" s="1" t="s">
        <v>685</v>
      </c>
      <c r="EE1306" s="1" t="s">
        <v>493</v>
      </c>
      <c r="EM1306" s="1" t="s">
        <v>238</v>
      </c>
      <c r="EQ1306" s="1" t="s">
        <v>238</v>
      </c>
      <c r="EU1306" s="1" t="s">
        <v>238</v>
      </c>
      <c r="EY1306" s="1" t="s">
        <v>238</v>
      </c>
      <c r="FC1306" s="1" t="s">
        <v>238</v>
      </c>
      <c r="FF1306" s="1" t="s">
        <v>239</v>
      </c>
      <c r="FG1306" s="1" t="s">
        <v>192</v>
      </c>
      <c r="FH1306" s="1" t="s">
        <v>192</v>
      </c>
      <c r="FJ1306" s="1" t="s">
        <v>3357</v>
      </c>
      <c r="FK1306" s="1" t="s">
        <v>229</v>
      </c>
      <c r="FL1306" s="1" t="s">
        <v>3218</v>
      </c>
      <c r="FM1306" s="1">
        <v>5040.0</v>
      </c>
      <c r="FN1306" s="1" t="s">
        <v>4893</v>
      </c>
      <c r="FO1306" s="1" t="s">
        <v>13792</v>
      </c>
      <c r="FP1306" s="1">
        <v>54311.0</v>
      </c>
      <c r="FQ1306" s="1" t="s">
        <v>13793</v>
      </c>
      <c r="FS1306" s="1" t="s">
        <v>13794</v>
      </c>
      <c r="FU1306" s="1" t="s">
        <v>1751</v>
      </c>
      <c r="FV1306" s="1" t="s">
        <v>200</v>
      </c>
      <c r="FW1306" s="1" t="s">
        <v>13795</v>
      </c>
      <c r="FZ1306" s="1" t="s">
        <v>229</v>
      </c>
      <c r="GA1306" s="1" t="s">
        <v>291</v>
      </c>
      <c r="GB1306" s="2">
        <v>42144.0</v>
      </c>
      <c r="GC1306" s="1" t="s">
        <v>13796</v>
      </c>
    </row>
    <row r="1307">
      <c r="A1307" s="1">
        <v>275000.0</v>
      </c>
      <c r="B1307" s="1" t="s">
        <v>185</v>
      </c>
      <c r="C1307" s="1" t="str">
        <f>"08858965"</f>
        <v>08858965</v>
      </c>
      <c r="D1307" s="1" t="s">
        <v>186</v>
      </c>
      <c r="F1307" s="1" t="str">
        <f>"554"</f>
        <v>554</v>
      </c>
      <c r="G1307" s="2">
        <v>42074.0</v>
      </c>
      <c r="H1307" s="1">
        <v>285000.0</v>
      </c>
      <c r="I1307" s="1">
        <v>180.0</v>
      </c>
      <c r="J1307" s="1">
        <v>274000.0</v>
      </c>
      <c r="K1307" s="2">
        <v>42102.0</v>
      </c>
      <c r="L1307" s="1">
        <v>29.0</v>
      </c>
      <c r="M1307" s="2">
        <v>42102.0</v>
      </c>
      <c r="N1307" s="1" t="s">
        <v>187</v>
      </c>
      <c r="O1307" s="2">
        <v>42146.0</v>
      </c>
      <c r="P1307" s="1">
        <v>313816.0</v>
      </c>
      <c r="Q1307" s="1">
        <v>300.0</v>
      </c>
      <c r="S1307" s="1">
        <v>1149.0</v>
      </c>
      <c r="T1307" s="1" t="s">
        <v>13797</v>
      </c>
      <c r="U1307" s="1" t="s">
        <v>569</v>
      </c>
      <c r="V1307" s="1" t="s">
        <v>2212</v>
      </c>
      <c r="W1307" s="1">
        <v>60554.0</v>
      </c>
      <c r="Y1307" s="1" t="s">
        <v>13798</v>
      </c>
      <c r="Z1307" s="1">
        <v>2006.0</v>
      </c>
      <c r="AA1307" s="1" t="s">
        <v>200</v>
      </c>
      <c r="AB1307" s="1" t="s">
        <v>467</v>
      </c>
      <c r="AD1307" s="1" t="s">
        <v>1887</v>
      </c>
      <c r="AE1307" s="1" t="s">
        <v>325</v>
      </c>
      <c r="AF1307" s="1" t="s">
        <v>1887</v>
      </c>
      <c r="AH1307" s="1">
        <v>10019.0</v>
      </c>
      <c r="AI1307" s="1">
        <v>0.2197</v>
      </c>
      <c r="AK1307" s="1">
        <v>9.0</v>
      </c>
      <c r="AL1307" s="1">
        <v>4.0</v>
      </c>
      <c r="AM1307" s="1">
        <v>4.0</v>
      </c>
      <c r="AN1307" s="1">
        <v>0.0</v>
      </c>
      <c r="AO1307" s="1" t="s">
        <v>198</v>
      </c>
      <c r="AP1307" s="1">
        <v>1.0</v>
      </c>
      <c r="AQ1307" s="1" t="s">
        <v>327</v>
      </c>
      <c r="AR1307" s="1" t="s">
        <v>200</v>
      </c>
      <c r="AS1307" s="1" t="s">
        <v>199</v>
      </c>
      <c r="AT1307" s="1">
        <v>3.0</v>
      </c>
      <c r="AV1307" s="1" t="s">
        <v>200</v>
      </c>
      <c r="AW1307" s="1">
        <v>11808.0</v>
      </c>
      <c r="AX1307" s="1">
        <v>2013.0</v>
      </c>
      <c r="AZ1307" s="1" t="s">
        <v>545</v>
      </c>
      <c r="BA1307" s="1" t="str">
        <f>"1411177007"</f>
        <v>1411177007</v>
      </c>
      <c r="BC1307" s="1">
        <v>3916.0</v>
      </c>
      <c r="BD1307" s="1">
        <v>275000.0</v>
      </c>
      <c r="BE1307" s="2">
        <v>42074.0</v>
      </c>
      <c r="BF1307" s="2" t="s">
        <v>13799</v>
      </c>
      <c r="BH1307" s="1">
        <v>250.0</v>
      </c>
      <c r="BK1307" s="1" t="s">
        <v>580</v>
      </c>
      <c r="BL1307" s="1" t="str">
        <f t="shared" ref="BL1307:BM1307" si="864">""</f>
        <v/>
      </c>
      <c r="BM1307" s="1" t="str">
        <f t="shared" si="864"/>
        <v/>
      </c>
      <c r="BQ1307" s="1">
        <v>302.0</v>
      </c>
      <c r="BR1307" s="1">
        <v>302.0</v>
      </c>
      <c r="BS1307" s="1">
        <v>302.0</v>
      </c>
      <c r="BU1307" s="1" t="s">
        <v>903</v>
      </c>
      <c r="BV1307" s="1" t="s">
        <v>206</v>
      </c>
      <c r="BW1307" s="1" t="s">
        <v>210</v>
      </c>
      <c r="BY1307" s="1" t="s">
        <v>9077</v>
      </c>
      <c r="BZ1307" s="1" t="s">
        <v>209</v>
      </c>
      <c r="CA1307" s="1" t="s">
        <v>210</v>
      </c>
      <c r="CC1307" s="1" t="s">
        <v>542</v>
      </c>
      <c r="CD1307" s="1" t="s">
        <v>206</v>
      </c>
      <c r="CG1307" s="1" t="s">
        <v>214</v>
      </c>
      <c r="CH1307" s="1" t="s">
        <v>209</v>
      </c>
      <c r="CI1307" s="1" t="s">
        <v>210</v>
      </c>
      <c r="CK1307" s="1" t="s">
        <v>393</v>
      </c>
      <c r="CL1307" s="1" t="s">
        <v>209</v>
      </c>
      <c r="CM1307" s="1" t="s">
        <v>210</v>
      </c>
      <c r="CO1307" s="1" t="s">
        <v>363</v>
      </c>
      <c r="CP1307" s="1" t="s">
        <v>209</v>
      </c>
      <c r="CQ1307" s="1" t="s">
        <v>210</v>
      </c>
      <c r="CS1307" s="1" t="s">
        <v>2861</v>
      </c>
      <c r="CT1307" s="1" t="s">
        <v>206</v>
      </c>
      <c r="CU1307" s="1" t="s">
        <v>207</v>
      </c>
      <c r="CW1307" s="1" t="s">
        <v>6591</v>
      </c>
      <c r="CX1307" s="1" t="s">
        <v>206</v>
      </c>
      <c r="CY1307" s="1" t="s">
        <v>210</v>
      </c>
      <c r="DA1307" s="1" t="s">
        <v>200</v>
      </c>
      <c r="DC1307" s="1" t="s">
        <v>481</v>
      </c>
      <c r="DD1307" s="1" t="s">
        <v>336</v>
      </c>
      <c r="DE1307" s="1" t="s">
        <v>229</v>
      </c>
      <c r="DF1307" s="1" t="s">
        <v>619</v>
      </c>
      <c r="DH1307" s="1" t="s">
        <v>220</v>
      </c>
      <c r="DJ1307" s="1" t="s">
        <v>222</v>
      </c>
      <c r="DL1307" s="1" t="s">
        <v>2220</v>
      </c>
      <c r="DM1307" s="1" t="s">
        <v>229</v>
      </c>
      <c r="DP1307" s="1" t="s">
        <v>276</v>
      </c>
      <c r="DQ1307" s="1" t="s">
        <v>228</v>
      </c>
      <c r="DR1307" s="1" t="s">
        <v>588</v>
      </c>
      <c r="DV1307" s="1" t="s">
        <v>494</v>
      </c>
      <c r="DW1307" s="1" t="s">
        <v>667</v>
      </c>
      <c r="DX1307" s="1" t="s">
        <v>234</v>
      </c>
      <c r="EC1307" s="1" t="s">
        <v>237</v>
      </c>
      <c r="EG1307" s="1" t="s">
        <v>494</v>
      </c>
      <c r="EL1307" s="1" t="s">
        <v>329</v>
      </c>
      <c r="EM1307" s="1" t="s">
        <v>209</v>
      </c>
      <c r="EN1307" s="1" t="s">
        <v>210</v>
      </c>
      <c r="EQ1307" s="1" t="s">
        <v>238</v>
      </c>
      <c r="EU1307" s="1" t="s">
        <v>238</v>
      </c>
      <c r="EY1307" s="1" t="s">
        <v>238</v>
      </c>
      <c r="FC1307" s="1" t="s">
        <v>238</v>
      </c>
      <c r="FF1307" s="1" t="s">
        <v>239</v>
      </c>
      <c r="FG1307" s="1" t="s">
        <v>192</v>
      </c>
      <c r="FH1307" s="1" t="s">
        <v>192</v>
      </c>
      <c r="FJ1307" s="1" t="s">
        <v>1248</v>
      </c>
      <c r="FK1307" s="1" t="s">
        <v>557</v>
      </c>
      <c r="FL1307" s="1" t="s">
        <v>2382</v>
      </c>
      <c r="FM1307" s="1">
        <v>23842.0</v>
      </c>
      <c r="FN1307" s="1" t="s">
        <v>2383</v>
      </c>
      <c r="FO1307" s="1" t="s">
        <v>2384</v>
      </c>
      <c r="FP1307" s="1">
        <v>217273.0</v>
      </c>
      <c r="FQ1307" s="1" t="s">
        <v>2385</v>
      </c>
      <c r="FR1307" s="1">
        <v>235676.0</v>
      </c>
      <c r="FU1307" s="1" t="s">
        <v>13800</v>
      </c>
      <c r="FV1307" s="1" t="s">
        <v>200</v>
      </c>
      <c r="FW1307" s="1" t="s">
        <v>354</v>
      </c>
      <c r="FZ1307" s="1" t="s">
        <v>229</v>
      </c>
      <c r="GA1307" s="1" t="s">
        <v>291</v>
      </c>
      <c r="GB1307" s="2">
        <v>42146.0</v>
      </c>
      <c r="GC1307" s="1" t="s">
        <v>13801</v>
      </c>
    </row>
    <row r="1308">
      <c r="A1308" s="1">
        <v>342500.0</v>
      </c>
      <c r="B1308" s="1" t="s">
        <v>185</v>
      </c>
      <c r="C1308" s="1" t="str">
        <f>"08860271"</f>
        <v>08860271</v>
      </c>
      <c r="D1308" s="1" t="s">
        <v>186</v>
      </c>
      <c r="F1308" s="1" t="str">
        <f>"134"</f>
        <v>134</v>
      </c>
      <c r="G1308" s="2">
        <v>42075.0</v>
      </c>
      <c r="H1308" s="1">
        <v>350000.0</v>
      </c>
      <c r="I1308" s="1">
        <v>8.0</v>
      </c>
      <c r="J1308" s="1">
        <v>350000.0</v>
      </c>
      <c r="K1308" s="2">
        <v>42082.0</v>
      </c>
      <c r="L1308" s="1">
        <v>8.0</v>
      </c>
      <c r="M1308" s="2">
        <v>42082.0</v>
      </c>
      <c r="N1308" s="1" t="s">
        <v>187</v>
      </c>
      <c r="O1308" s="2">
        <v>42110.0</v>
      </c>
      <c r="P1308" s="1">
        <v>242768.0</v>
      </c>
      <c r="Q1308" s="1">
        <v>25769.0</v>
      </c>
      <c r="S1308" s="1">
        <v>542.0</v>
      </c>
      <c r="T1308" s="1" t="s">
        <v>13802</v>
      </c>
      <c r="U1308" s="1" t="s">
        <v>1174</v>
      </c>
      <c r="V1308" s="1" t="s">
        <v>421</v>
      </c>
      <c r="W1308" s="1">
        <v>60134.0</v>
      </c>
      <c r="Y1308" s="1" t="s">
        <v>13803</v>
      </c>
      <c r="Z1308" s="1">
        <v>2001.0</v>
      </c>
      <c r="AA1308" s="1" t="s">
        <v>200</v>
      </c>
      <c r="AB1308" s="1" t="s">
        <v>193</v>
      </c>
      <c r="AC1308" s="1" t="s">
        <v>12799</v>
      </c>
      <c r="AD1308" s="1" t="s">
        <v>424</v>
      </c>
      <c r="AE1308" s="1" t="s">
        <v>325</v>
      </c>
      <c r="AF1308" s="1" t="s">
        <v>424</v>
      </c>
      <c r="AG1308" s="1" t="s">
        <v>13804</v>
      </c>
      <c r="AH1308" s="1" t="s">
        <v>13805</v>
      </c>
      <c r="AI1308" s="1">
        <v>0.1818</v>
      </c>
      <c r="AK1308" s="1">
        <v>10.0</v>
      </c>
      <c r="AL1308" s="1">
        <v>4.0</v>
      </c>
      <c r="AM1308" s="1">
        <v>2.0</v>
      </c>
      <c r="AN1308" s="1">
        <v>1.0</v>
      </c>
      <c r="AO1308" s="1" t="s">
        <v>198</v>
      </c>
      <c r="AP1308" s="1">
        <v>0.0</v>
      </c>
      <c r="AQ1308" s="1" t="s">
        <v>198</v>
      </c>
      <c r="AR1308" s="1" t="s">
        <v>200</v>
      </c>
      <c r="AS1308" s="1" t="s">
        <v>199</v>
      </c>
      <c r="AT1308" s="1">
        <v>2.0</v>
      </c>
      <c r="AV1308" s="1" t="s">
        <v>200</v>
      </c>
      <c r="AW1308" s="1">
        <v>9230.44</v>
      </c>
      <c r="AX1308" s="1">
        <v>2013.0</v>
      </c>
      <c r="AY1308" s="1" t="s">
        <v>387</v>
      </c>
      <c r="AZ1308" s="1" t="s">
        <v>200</v>
      </c>
      <c r="BA1308" s="1" t="str">
        <f>"1205134007"</f>
        <v>1205134007</v>
      </c>
      <c r="BB1308" s="1" t="s">
        <v>200</v>
      </c>
      <c r="BC1308" s="1">
        <v>2780.0</v>
      </c>
      <c r="BD1308" s="1">
        <v>342500.0</v>
      </c>
      <c r="BE1308" s="2">
        <v>42075.0</v>
      </c>
      <c r="BF1308" s="2" t="s">
        <v>13806</v>
      </c>
      <c r="BG1308" s="1" t="s">
        <v>7493</v>
      </c>
      <c r="BH1308" s="1">
        <v>75.0</v>
      </c>
      <c r="BI1308" s="1" t="s">
        <v>429</v>
      </c>
      <c r="BJ1308" s="1" t="s">
        <v>430</v>
      </c>
      <c r="BK1308" s="1" t="s">
        <v>580</v>
      </c>
      <c r="BL1308" s="1" t="str">
        <f t="shared" ref="BL1308:BM1308" si="865">""</f>
        <v/>
      </c>
      <c r="BM1308" s="1" t="str">
        <f t="shared" si="865"/>
        <v/>
      </c>
      <c r="BQ1308" s="1">
        <v>304.0</v>
      </c>
      <c r="BR1308" s="1">
        <v>304.0</v>
      </c>
      <c r="BS1308" s="1">
        <v>304.0</v>
      </c>
      <c r="BU1308" s="1" t="s">
        <v>677</v>
      </c>
      <c r="BV1308" s="1" t="s">
        <v>206</v>
      </c>
      <c r="BW1308" s="1" t="s">
        <v>210</v>
      </c>
      <c r="BY1308" s="1" t="s">
        <v>7202</v>
      </c>
      <c r="BZ1308" s="1" t="s">
        <v>209</v>
      </c>
      <c r="CA1308" s="1" t="s">
        <v>210</v>
      </c>
      <c r="CC1308" s="1" t="s">
        <v>329</v>
      </c>
      <c r="CD1308" s="1" t="s">
        <v>206</v>
      </c>
      <c r="CE1308" s="1" t="s">
        <v>207</v>
      </c>
      <c r="CG1308" s="1" t="s">
        <v>454</v>
      </c>
      <c r="CH1308" s="1" t="s">
        <v>209</v>
      </c>
      <c r="CI1308" s="1" t="s">
        <v>210</v>
      </c>
      <c r="CK1308" s="1" t="s">
        <v>332</v>
      </c>
      <c r="CL1308" s="1" t="s">
        <v>209</v>
      </c>
      <c r="CM1308" s="1" t="s">
        <v>210</v>
      </c>
      <c r="CO1308" s="1" t="s">
        <v>264</v>
      </c>
      <c r="CP1308" s="1" t="s">
        <v>209</v>
      </c>
      <c r="CQ1308" s="1" t="s">
        <v>210</v>
      </c>
      <c r="CS1308" s="1" t="s">
        <v>813</v>
      </c>
      <c r="CT1308" s="1" t="s">
        <v>206</v>
      </c>
      <c r="CU1308" s="1" t="s">
        <v>207</v>
      </c>
      <c r="CW1308" s="1" t="s">
        <v>3595</v>
      </c>
      <c r="CX1308" s="1" t="s">
        <v>206</v>
      </c>
      <c r="CY1308" s="1" t="s">
        <v>210</v>
      </c>
      <c r="DA1308" s="1" t="s">
        <v>200</v>
      </c>
      <c r="DC1308" s="1" t="s">
        <v>335</v>
      </c>
      <c r="DD1308" s="1" t="s">
        <v>855</v>
      </c>
      <c r="DE1308" s="1" t="s">
        <v>273</v>
      </c>
      <c r="DF1308" s="1" t="s">
        <v>619</v>
      </c>
      <c r="DG1308" s="1" t="s">
        <v>1020</v>
      </c>
      <c r="DH1308" s="1" t="s">
        <v>220</v>
      </c>
      <c r="DI1308" s="1" t="s">
        <v>366</v>
      </c>
      <c r="DJ1308" s="1" t="s">
        <v>222</v>
      </c>
      <c r="DK1308" s="1" t="s">
        <v>223</v>
      </c>
      <c r="DL1308" s="1" t="s">
        <v>1267</v>
      </c>
      <c r="DM1308" s="1" t="s">
        <v>1022</v>
      </c>
      <c r="DN1308" s="1" t="s">
        <v>485</v>
      </c>
      <c r="DO1308" s="1" t="s">
        <v>1004</v>
      </c>
      <c r="DP1308" s="1" t="s">
        <v>340</v>
      </c>
      <c r="DQ1308" s="1" t="s">
        <v>228</v>
      </c>
      <c r="DR1308" s="1" t="s">
        <v>588</v>
      </c>
      <c r="DS1308" s="1" t="s">
        <v>591</v>
      </c>
      <c r="DV1308" s="1" t="s">
        <v>13807</v>
      </c>
      <c r="DW1308" s="1" t="s">
        <v>934</v>
      </c>
      <c r="DX1308" s="1" t="s">
        <v>234</v>
      </c>
      <c r="DY1308" s="1" t="s">
        <v>3125</v>
      </c>
      <c r="DZ1308" s="1" t="s">
        <v>1466</v>
      </c>
      <c r="EA1308" s="1" t="s">
        <v>447</v>
      </c>
      <c r="EC1308" s="1" t="s">
        <v>237</v>
      </c>
      <c r="ED1308" s="1" t="s">
        <v>555</v>
      </c>
      <c r="EG1308" s="1" t="s">
        <v>598</v>
      </c>
      <c r="EJ1308" s="1" t="s">
        <v>450</v>
      </c>
      <c r="EK1308" s="1" t="s">
        <v>2971</v>
      </c>
      <c r="EL1308" s="1" t="s">
        <v>363</v>
      </c>
      <c r="EM1308" s="1" t="s">
        <v>206</v>
      </c>
      <c r="EN1308" s="1" t="s">
        <v>210</v>
      </c>
      <c r="EQ1308" s="1" t="s">
        <v>238</v>
      </c>
      <c r="EU1308" s="1" t="s">
        <v>238</v>
      </c>
      <c r="EX1308" s="1" t="s">
        <v>4752</v>
      </c>
      <c r="EY1308" s="1" t="s">
        <v>42</v>
      </c>
      <c r="EZ1308" s="1" t="s">
        <v>210</v>
      </c>
      <c r="FB1308" s="1" t="s">
        <v>7715</v>
      </c>
      <c r="FC1308" s="1" t="s">
        <v>42</v>
      </c>
      <c r="FD1308" s="1" t="s">
        <v>210</v>
      </c>
      <c r="FF1308" s="1" t="s">
        <v>239</v>
      </c>
      <c r="FG1308" s="1" t="s">
        <v>192</v>
      </c>
      <c r="FH1308" s="1" t="s">
        <v>192</v>
      </c>
      <c r="FJ1308" s="1" t="s">
        <v>7945</v>
      </c>
      <c r="FK1308" s="1" t="s">
        <v>229</v>
      </c>
      <c r="FL1308" s="1" t="s">
        <v>6689</v>
      </c>
      <c r="FM1308" s="1">
        <v>74002.0</v>
      </c>
      <c r="FN1308" s="1" t="s">
        <v>6690</v>
      </c>
      <c r="FO1308" s="1" t="s">
        <v>6691</v>
      </c>
      <c r="FP1308" s="1">
        <v>702404.0</v>
      </c>
      <c r="FQ1308" s="1" t="s">
        <v>6690</v>
      </c>
      <c r="FR1308" s="1">
        <v>701227.0</v>
      </c>
      <c r="FU1308" s="1" t="s">
        <v>6692</v>
      </c>
      <c r="FV1308" s="1" t="s">
        <v>192</v>
      </c>
      <c r="FW1308" s="1" t="s">
        <v>461</v>
      </c>
      <c r="FZ1308" s="1" t="s">
        <v>229</v>
      </c>
      <c r="GA1308" s="1" t="s">
        <v>291</v>
      </c>
      <c r="GB1308" s="2">
        <v>42111.0</v>
      </c>
      <c r="GC1308" s="1" t="s">
        <v>13808</v>
      </c>
    </row>
    <row r="1309">
      <c r="A1309" s="1">
        <v>454900.0</v>
      </c>
      <c r="B1309" s="1" t="s">
        <v>185</v>
      </c>
      <c r="C1309" s="1" t="str">
        <f>"08863405"</f>
        <v>08863405</v>
      </c>
      <c r="D1309" s="1" t="s">
        <v>186</v>
      </c>
      <c r="F1309" s="1" t="str">
        <f>"8010"</f>
        <v>8010</v>
      </c>
      <c r="G1309" s="2">
        <v>42079.0</v>
      </c>
      <c r="H1309" s="1">
        <v>464900.0</v>
      </c>
      <c r="I1309" s="1">
        <v>6.0</v>
      </c>
      <c r="J1309" s="1">
        <v>464900.0</v>
      </c>
      <c r="K1309" s="2">
        <v>42084.0</v>
      </c>
      <c r="L1309" s="1">
        <v>6.0</v>
      </c>
      <c r="M1309" s="2">
        <v>42084.0</v>
      </c>
      <c r="N1309" s="1" t="s">
        <v>249</v>
      </c>
      <c r="O1309" s="2">
        <v>42123.0</v>
      </c>
      <c r="P1309" s="1">
        <v>110955.0</v>
      </c>
      <c r="Q1309" s="1">
        <v>13691.0</v>
      </c>
      <c r="S1309" s="1">
        <v>6808.0</v>
      </c>
      <c r="T1309" s="1" t="s">
        <v>13809</v>
      </c>
      <c r="U1309" s="1" t="s">
        <v>189</v>
      </c>
      <c r="V1309" s="1" t="s">
        <v>190</v>
      </c>
      <c r="W1309" s="1">
        <v>60631.0</v>
      </c>
      <c r="Y1309" s="1" t="s">
        <v>13810</v>
      </c>
      <c r="Z1309" s="1">
        <v>1921.0</v>
      </c>
      <c r="AA1309" s="1" t="s">
        <v>192</v>
      </c>
      <c r="AB1309" s="1" t="s">
        <v>193</v>
      </c>
      <c r="AD1309" s="1" t="s">
        <v>194</v>
      </c>
      <c r="AE1309" s="1" t="s">
        <v>195</v>
      </c>
      <c r="AF1309" s="1" t="s">
        <v>196</v>
      </c>
      <c r="AG1309" s="1" t="s">
        <v>778</v>
      </c>
      <c r="AH1309" s="1" t="s">
        <v>13811</v>
      </c>
      <c r="AI1309" s="1">
        <v>0.1345</v>
      </c>
      <c r="AK1309" s="1">
        <v>9.0</v>
      </c>
      <c r="AL1309" s="1">
        <v>4.0</v>
      </c>
      <c r="AM1309" s="1">
        <v>2.0</v>
      </c>
      <c r="AN1309" s="1">
        <v>0.0</v>
      </c>
      <c r="AO1309" s="1" t="s">
        <v>229</v>
      </c>
      <c r="AQ1309" s="1" t="s">
        <v>198</v>
      </c>
      <c r="AR1309" s="1" t="s">
        <v>200</v>
      </c>
      <c r="AS1309" s="1" t="s">
        <v>510</v>
      </c>
      <c r="AT1309" s="1">
        <v>2.0</v>
      </c>
      <c r="AU1309" s="1">
        <v>2.0</v>
      </c>
      <c r="AV1309" s="1" t="s">
        <v>200</v>
      </c>
      <c r="AW1309" s="1">
        <v>4935.0</v>
      </c>
      <c r="AX1309" s="1">
        <v>2014.0</v>
      </c>
      <c r="AY1309" s="1" t="s">
        <v>1179</v>
      </c>
      <c r="AZ1309" s="1" t="s">
        <v>200</v>
      </c>
      <c r="BA1309" s="1" t="str">
        <f>"13063150200000"</f>
        <v>13063150200000</v>
      </c>
      <c r="BC1309" s="1">
        <v>0.0</v>
      </c>
      <c r="BD1309" s="1">
        <v>454900.0</v>
      </c>
      <c r="BE1309" s="2">
        <v>42079.0</v>
      </c>
      <c r="BF1309" s="2" t="s">
        <v>13812</v>
      </c>
      <c r="BG1309" s="1" t="s">
        <v>4837</v>
      </c>
      <c r="BH1309" s="1">
        <v>0.0</v>
      </c>
      <c r="BI1309" s="1" t="s">
        <v>4837</v>
      </c>
      <c r="BJ1309" s="1" t="s">
        <v>1222</v>
      </c>
      <c r="BK1309" s="1" t="s">
        <v>204</v>
      </c>
      <c r="BL1309" s="1" t="str">
        <f>"5750"</f>
        <v>5750</v>
      </c>
      <c r="BM1309" s="1" t="str">
        <f t="shared" ref="BM1309:BM1311" si="866">"0"</f>
        <v>0</v>
      </c>
      <c r="BN1309" s="1">
        <v>6808.0</v>
      </c>
      <c r="BO1309" s="1">
        <v>0.0</v>
      </c>
      <c r="BQ1309" s="1">
        <v>299.0</v>
      </c>
      <c r="BR1309" s="1">
        <v>299.0</v>
      </c>
      <c r="BS1309" s="1">
        <v>299.0</v>
      </c>
      <c r="BU1309" s="1" t="s">
        <v>2219</v>
      </c>
      <c r="BV1309" s="1" t="s">
        <v>206</v>
      </c>
      <c r="BW1309" s="1" t="s">
        <v>207</v>
      </c>
      <c r="BY1309" s="1" t="s">
        <v>4786</v>
      </c>
      <c r="BZ1309" s="1" t="s">
        <v>209</v>
      </c>
      <c r="CA1309" s="1" t="s">
        <v>210</v>
      </c>
      <c r="CC1309" s="1" t="s">
        <v>1395</v>
      </c>
      <c r="CD1309" s="1" t="s">
        <v>206</v>
      </c>
      <c r="CE1309" s="1" t="s">
        <v>207</v>
      </c>
      <c r="CG1309" s="1" t="s">
        <v>1567</v>
      </c>
      <c r="CH1309" s="1" t="s">
        <v>209</v>
      </c>
      <c r="CI1309" s="1" t="s">
        <v>210</v>
      </c>
      <c r="CK1309" s="1" t="s">
        <v>699</v>
      </c>
      <c r="CL1309" s="1" t="s">
        <v>206</v>
      </c>
      <c r="CM1309" s="1" t="s">
        <v>207</v>
      </c>
      <c r="CO1309" s="1" t="s">
        <v>1352</v>
      </c>
      <c r="CP1309" s="1" t="s">
        <v>206</v>
      </c>
      <c r="CQ1309" s="1" t="s">
        <v>207</v>
      </c>
      <c r="CS1309" s="1" t="s">
        <v>2852</v>
      </c>
      <c r="CT1309" s="1" t="s">
        <v>206</v>
      </c>
      <c r="CU1309" s="1" t="s">
        <v>207</v>
      </c>
      <c r="CW1309" s="1" t="s">
        <v>4403</v>
      </c>
      <c r="CX1309" s="1" t="s">
        <v>206</v>
      </c>
      <c r="CY1309" s="1" t="s">
        <v>207</v>
      </c>
      <c r="DA1309" s="1" t="s">
        <v>200</v>
      </c>
      <c r="DC1309" s="1" t="s">
        <v>216</v>
      </c>
      <c r="DD1309" s="1" t="s">
        <v>518</v>
      </c>
      <c r="DE1309" s="1" t="s">
        <v>1905</v>
      </c>
      <c r="DF1309" s="1" t="s">
        <v>13813</v>
      </c>
      <c r="DG1309" s="1" t="s">
        <v>9126</v>
      </c>
      <c r="DH1309" s="1" t="s">
        <v>365</v>
      </c>
      <c r="DJ1309" s="1" t="s">
        <v>222</v>
      </c>
      <c r="DL1309" s="1" t="s">
        <v>223</v>
      </c>
      <c r="DM1309" s="1" t="s">
        <v>1919</v>
      </c>
      <c r="DO1309" s="1" t="s">
        <v>549</v>
      </c>
      <c r="DP1309" s="1" t="s">
        <v>340</v>
      </c>
      <c r="DQ1309" s="1" t="s">
        <v>228</v>
      </c>
      <c r="DR1309" s="1" t="s">
        <v>229</v>
      </c>
      <c r="DS1309" s="1" t="s">
        <v>401</v>
      </c>
      <c r="DV1309" s="1" t="s">
        <v>1491</v>
      </c>
      <c r="DW1309" s="1" t="s">
        <v>279</v>
      </c>
      <c r="DX1309" s="1" t="s">
        <v>234</v>
      </c>
      <c r="DY1309" s="1" t="s">
        <v>5703</v>
      </c>
      <c r="DZ1309" s="1" t="s">
        <v>766</v>
      </c>
      <c r="EA1309" s="1" t="s">
        <v>644</v>
      </c>
      <c r="EC1309" s="1" t="s">
        <v>237</v>
      </c>
      <c r="ED1309" s="1" t="s">
        <v>407</v>
      </c>
      <c r="EF1309" s="1" t="s">
        <v>834</v>
      </c>
      <c r="EG1309" s="1" t="s">
        <v>1491</v>
      </c>
      <c r="EL1309" s="1" t="s">
        <v>1672</v>
      </c>
      <c r="EM1309" s="1" t="s">
        <v>42</v>
      </c>
      <c r="EQ1309" s="1" t="s">
        <v>238</v>
      </c>
      <c r="EU1309" s="1" t="s">
        <v>238</v>
      </c>
      <c r="EY1309" s="1" t="s">
        <v>238</v>
      </c>
      <c r="FC1309" s="1" t="s">
        <v>238</v>
      </c>
      <c r="FF1309" s="1" t="s">
        <v>239</v>
      </c>
      <c r="FG1309" s="1" t="s">
        <v>192</v>
      </c>
      <c r="FH1309" s="1" t="s">
        <v>192</v>
      </c>
      <c r="FJ1309" s="1" t="s">
        <v>2427</v>
      </c>
      <c r="FK1309" s="1" t="s">
        <v>229</v>
      </c>
      <c r="FL1309" s="1" t="s">
        <v>1107</v>
      </c>
      <c r="FM1309" s="1">
        <v>1891.0</v>
      </c>
      <c r="FN1309" s="1" t="s">
        <v>1108</v>
      </c>
      <c r="FO1309" s="1" t="s">
        <v>10731</v>
      </c>
      <c r="FP1309" s="1">
        <v>28227.0</v>
      </c>
      <c r="FQ1309" s="1" t="s">
        <v>1108</v>
      </c>
      <c r="FS1309" s="1" t="s">
        <v>10732</v>
      </c>
      <c r="FU1309" s="1" t="s">
        <v>5430</v>
      </c>
      <c r="FV1309" s="1" t="s">
        <v>200</v>
      </c>
      <c r="FW1309" s="1" t="s">
        <v>290</v>
      </c>
      <c r="FX1309" s="1" t="s">
        <v>246</v>
      </c>
      <c r="FZ1309" s="1" t="s">
        <v>229</v>
      </c>
      <c r="GA1309" s="1" t="s">
        <v>291</v>
      </c>
      <c r="GB1309" s="2">
        <v>42124.0</v>
      </c>
      <c r="GC1309" s="1" t="s">
        <v>13814</v>
      </c>
    </row>
    <row r="1310">
      <c r="A1310" s="1">
        <v>120000.0</v>
      </c>
      <c r="B1310" s="1" t="s">
        <v>185</v>
      </c>
      <c r="C1310" s="1" t="str">
        <f>"08863367"</f>
        <v>08863367</v>
      </c>
      <c r="D1310" s="1" t="s">
        <v>186</v>
      </c>
      <c r="F1310" s="1" t="str">
        <f>"8023"</f>
        <v>8023</v>
      </c>
      <c r="G1310" s="2">
        <v>42079.0</v>
      </c>
      <c r="H1310" s="1">
        <v>116900.0</v>
      </c>
      <c r="I1310" s="1">
        <v>17.0</v>
      </c>
      <c r="J1310" s="1">
        <v>116900.0</v>
      </c>
      <c r="K1310" s="2">
        <v>42093.0</v>
      </c>
      <c r="L1310" s="1">
        <v>17.0</v>
      </c>
      <c r="M1310" s="2">
        <v>42093.0</v>
      </c>
      <c r="N1310" s="1" t="s">
        <v>249</v>
      </c>
      <c r="O1310" s="2">
        <v>42132.0</v>
      </c>
      <c r="P1310" s="1">
        <v>111289.0</v>
      </c>
      <c r="Q1310" s="1">
        <v>13691.0</v>
      </c>
      <c r="S1310" s="1">
        <v>1736.0</v>
      </c>
      <c r="T1310" s="1" t="s">
        <v>3314</v>
      </c>
      <c r="U1310" s="1" t="s">
        <v>189</v>
      </c>
      <c r="V1310" s="1" t="s">
        <v>190</v>
      </c>
      <c r="W1310" s="1">
        <v>60639.0</v>
      </c>
      <c r="Y1310" s="1" t="s">
        <v>13815</v>
      </c>
      <c r="Z1310" s="1">
        <v>1886.0</v>
      </c>
      <c r="AA1310" s="1" t="s">
        <v>192</v>
      </c>
      <c r="AB1310" s="1" t="s">
        <v>193</v>
      </c>
      <c r="AD1310" s="1" t="s">
        <v>194</v>
      </c>
      <c r="AE1310" s="1" t="s">
        <v>195</v>
      </c>
      <c r="AF1310" s="1" t="s">
        <v>196</v>
      </c>
      <c r="AH1310" s="1" t="s">
        <v>359</v>
      </c>
      <c r="AI1310" s="1">
        <v>0.1076</v>
      </c>
      <c r="AK1310" s="1">
        <v>7.0</v>
      </c>
      <c r="AL1310" s="1">
        <v>4.0</v>
      </c>
      <c r="AM1310" s="1">
        <v>2.0</v>
      </c>
      <c r="AN1310" s="1">
        <v>0.0</v>
      </c>
      <c r="AO1310" s="1" t="s">
        <v>229</v>
      </c>
      <c r="AQ1310" s="1" t="s">
        <v>198</v>
      </c>
      <c r="AR1310" s="1" t="s">
        <v>200</v>
      </c>
      <c r="AS1310" s="1" t="s">
        <v>199</v>
      </c>
      <c r="AT1310" s="1">
        <v>2.0</v>
      </c>
      <c r="AV1310" s="1" t="s">
        <v>200</v>
      </c>
      <c r="AW1310" s="1">
        <v>3264.84</v>
      </c>
      <c r="AX1310" s="1">
        <v>2012.0</v>
      </c>
      <c r="AZ1310" s="1" t="s">
        <v>545</v>
      </c>
      <c r="BA1310" s="1" t="str">
        <f>"13344180260000"</f>
        <v>13344180260000</v>
      </c>
      <c r="BC1310" s="1">
        <v>1200.0</v>
      </c>
      <c r="BD1310" s="1">
        <v>120000.0</v>
      </c>
      <c r="BE1310" s="2">
        <v>42077.0</v>
      </c>
      <c r="BF1310" s="2" t="s">
        <v>13816</v>
      </c>
      <c r="BH1310" s="1">
        <v>0.0</v>
      </c>
      <c r="BK1310" s="1" t="s">
        <v>204</v>
      </c>
      <c r="BL1310" s="1" t="str">
        <f>"1736"</f>
        <v>1736</v>
      </c>
      <c r="BM1310" s="1" t="str">
        <f t="shared" si="866"/>
        <v>0</v>
      </c>
      <c r="BN1310" s="1">
        <v>4200.0</v>
      </c>
      <c r="BO1310" s="1">
        <v>0.0</v>
      </c>
      <c r="BQ1310" s="1">
        <v>299.0</v>
      </c>
      <c r="BR1310" s="1">
        <v>299.0</v>
      </c>
      <c r="BS1310" s="1">
        <v>299.0</v>
      </c>
      <c r="BU1310" s="1" t="s">
        <v>300</v>
      </c>
      <c r="BV1310" s="1" t="s">
        <v>206</v>
      </c>
      <c r="BY1310" s="1" t="s">
        <v>495</v>
      </c>
      <c r="BZ1310" s="1" t="s">
        <v>206</v>
      </c>
      <c r="CC1310" s="1" t="s">
        <v>542</v>
      </c>
      <c r="CD1310" s="1" t="s">
        <v>206</v>
      </c>
      <c r="CG1310" s="1" t="s">
        <v>269</v>
      </c>
      <c r="CH1310" s="1" t="s">
        <v>206</v>
      </c>
      <c r="CK1310" s="1" t="s">
        <v>699</v>
      </c>
      <c r="CL1310" s="1" t="s">
        <v>209</v>
      </c>
      <c r="CO1310" s="1" t="s">
        <v>699</v>
      </c>
      <c r="CP1310" s="1" t="s">
        <v>209</v>
      </c>
      <c r="CS1310" s="1" t="s">
        <v>1852</v>
      </c>
      <c r="CT1310" s="1" t="s">
        <v>206</v>
      </c>
      <c r="CX1310" s="1" t="s">
        <v>204</v>
      </c>
      <c r="DA1310" s="1" t="s">
        <v>200</v>
      </c>
      <c r="DC1310" s="1" t="s">
        <v>642</v>
      </c>
      <c r="DE1310" s="1" t="s">
        <v>229</v>
      </c>
      <c r="DF1310" s="1" t="s">
        <v>619</v>
      </c>
      <c r="DH1310" s="1" t="s">
        <v>220</v>
      </c>
      <c r="DJ1310" s="1" t="s">
        <v>222</v>
      </c>
      <c r="DK1310" s="1" t="s">
        <v>224</v>
      </c>
      <c r="DL1310" s="1" t="s">
        <v>223</v>
      </c>
      <c r="DM1310" s="1" t="s">
        <v>229</v>
      </c>
      <c r="DQ1310" s="1" t="s">
        <v>228</v>
      </c>
      <c r="DR1310" s="1" t="s">
        <v>229</v>
      </c>
      <c r="DV1310" s="1" t="s">
        <v>232</v>
      </c>
      <c r="DW1310" s="1" t="s">
        <v>233</v>
      </c>
      <c r="DX1310" s="1" t="s">
        <v>234</v>
      </c>
      <c r="EC1310" s="1" t="s">
        <v>645</v>
      </c>
      <c r="EE1310" s="1" t="s">
        <v>1673</v>
      </c>
      <c r="EM1310" s="1" t="s">
        <v>238</v>
      </c>
      <c r="EQ1310" s="1" t="s">
        <v>238</v>
      </c>
      <c r="EU1310" s="1" t="s">
        <v>238</v>
      </c>
      <c r="EY1310" s="1" t="s">
        <v>238</v>
      </c>
      <c r="FC1310" s="1" t="s">
        <v>238</v>
      </c>
      <c r="FF1310" s="1" t="s">
        <v>239</v>
      </c>
      <c r="FG1310" s="1" t="s">
        <v>192</v>
      </c>
      <c r="FH1310" s="1" t="s">
        <v>192</v>
      </c>
      <c r="FJ1310" s="1" t="s">
        <v>347</v>
      </c>
      <c r="FK1310" s="1" t="s">
        <v>229</v>
      </c>
      <c r="FL1310" s="1" t="s">
        <v>974</v>
      </c>
      <c r="FM1310" s="1">
        <v>10900.0</v>
      </c>
      <c r="FN1310" s="1" t="s">
        <v>1435</v>
      </c>
      <c r="FO1310" s="1" t="s">
        <v>9096</v>
      </c>
      <c r="FP1310" s="1">
        <v>116022.0</v>
      </c>
      <c r="FQ1310" s="1" t="s">
        <v>9097</v>
      </c>
      <c r="FU1310" s="1" t="s">
        <v>13817</v>
      </c>
      <c r="FV1310" s="1" t="s">
        <v>200</v>
      </c>
      <c r="FW1310" s="1" t="s">
        <v>9100</v>
      </c>
      <c r="FX1310" s="1" t="s">
        <v>238</v>
      </c>
      <c r="FZ1310" s="1" t="s">
        <v>229</v>
      </c>
      <c r="GA1310" s="1" t="s">
        <v>291</v>
      </c>
      <c r="GB1310" s="2">
        <v>42135.0</v>
      </c>
      <c r="GC1310" s="1" t="s">
        <v>13818</v>
      </c>
    </row>
    <row r="1311">
      <c r="A1311" s="1">
        <v>937000.0</v>
      </c>
      <c r="B1311" s="1" t="s">
        <v>185</v>
      </c>
      <c r="C1311" s="1" t="str">
        <f>"08866855"</f>
        <v>08866855</v>
      </c>
      <c r="D1311" s="1" t="s">
        <v>186</v>
      </c>
      <c r="F1311" s="1" t="str">
        <f>"8006"</f>
        <v>8006</v>
      </c>
      <c r="G1311" s="2">
        <v>42082.0</v>
      </c>
      <c r="H1311" s="1">
        <v>949000.0</v>
      </c>
      <c r="I1311" s="1">
        <v>1.0</v>
      </c>
      <c r="J1311" s="1">
        <v>949000.0</v>
      </c>
      <c r="K1311" s="2">
        <v>42082.0</v>
      </c>
      <c r="L1311" s="1">
        <v>1.0</v>
      </c>
      <c r="M1311" s="2">
        <v>42082.0</v>
      </c>
      <c r="N1311" s="1" t="s">
        <v>187</v>
      </c>
      <c r="O1311" s="2">
        <v>42129.0</v>
      </c>
      <c r="P1311" s="1">
        <v>146096.0</v>
      </c>
      <c r="Q1311" s="1">
        <v>17674.0</v>
      </c>
      <c r="S1311" s="1">
        <v>3823.0</v>
      </c>
      <c r="T1311" s="1" t="s">
        <v>13819</v>
      </c>
      <c r="U1311" s="1" t="s">
        <v>1754</v>
      </c>
      <c r="V1311" s="1" t="s">
        <v>190</v>
      </c>
      <c r="W1311" s="1">
        <v>60613.0</v>
      </c>
      <c r="Y1311" s="1" t="s">
        <v>13820</v>
      </c>
      <c r="Z1311" s="1">
        <v>1904.0</v>
      </c>
      <c r="AA1311" s="1" t="s">
        <v>192</v>
      </c>
      <c r="AB1311" s="1" t="s">
        <v>193</v>
      </c>
      <c r="AD1311" s="1" t="s">
        <v>194</v>
      </c>
      <c r="AE1311" s="1" t="s">
        <v>195</v>
      </c>
      <c r="AF1311" s="1" t="s">
        <v>534</v>
      </c>
      <c r="AH1311" s="1" t="s">
        <v>13821</v>
      </c>
      <c r="AI1311" s="1">
        <v>0.022</v>
      </c>
      <c r="AK1311" s="1">
        <v>12.0</v>
      </c>
      <c r="AL1311" s="1">
        <v>4.0</v>
      </c>
      <c r="AM1311" s="1">
        <v>2.0</v>
      </c>
      <c r="AN1311" s="1">
        <v>2.0</v>
      </c>
      <c r="AO1311" s="1" t="s">
        <v>198</v>
      </c>
      <c r="AP1311" s="1">
        <v>2.0</v>
      </c>
      <c r="AQ1311" s="1" t="s">
        <v>198</v>
      </c>
      <c r="AR1311" s="1" t="s">
        <v>192</v>
      </c>
      <c r="AS1311" s="1" t="s">
        <v>199</v>
      </c>
      <c r="AT1311" s="1">
        <v>1.0</v>
      </c>
      <c r="AV1311" s="1" t="s">
        <v>200</v>
      </c>
      <c r="AW1311" s="1">
        <v>10870.51</v>
      </c>
      <c r="AX1311" s="1">
        <v>2013.0</v>
      </c>
      <c r="AY1311" s="1" t="s">
        <v>387</v>
      </c>
      <c r="AZ1311" s="1" t="s">
        <v>200</v>
      </c>
      <c r="BA1311" s="1" t="str">
        <f>"14202100110000"</f>
        <v>14202100110000</v>
      </c>
      <c r="BC1311" s="1">
        <v>3377.0</v>
      </c>
      <c r="BD1311" s="1">
        <v>937000.0</v>
      </c>
      <c r="BE1311" s="2">
        <v>42082.0</v>
      </c>
      <c r="BF1311" s="2" t="s">
        <v>13822</v>
      </c>
      <c r="BG1311" s="1" t="s">
        <v>13823</v>
      </c>
      <c r="BH1311" s="1">
        <v>0.0</v>
      </c>
      <c r="BJ1311" s="1" t="s">
        <v>538</v>
      </c>
      <c r="BK1311" s="1" t="s">
        <v>204</v>
      </c>
      <c r="BL1311" s="1" t="str">
        <f>"3823"</f>
        <v>3823</v>
      </c>
      <c r="BM1311" s="1" t="str">
        <f t="shared" si="866"/>
        <v>0</v>
      </c>
      <c r="BN1311" s="1">
        <v>1050.0</v>
      </c>
      <c r="BO1311" s="1">
        <v>0.0</v>
      </c>
      <c r="BQ1311" s="1">
        <v>299.0</v>
      </c>
      <c r="BR1311" s="1">
        <v>299.0</v>
      </c>
      <c r="BS1311" s="1">
        <v>299.0</v>
      </c>
      <c r="BU1311" s="1" t="s">
        <v>743</v>
      </c>
      <c r="BV1311" s="1" t="s">
        <v>206</v>
      </c>
      <c r="BW1311" s="1" t="s">
        <v>207</v>
      </c>
      <c r="BX1311" s="1" t="s">
        <v>1118</v>
      </c>
      <c r="BY1311" s="1" t="s">
        <v>1000</v>
      </c>
      <c r="BZ1311" s="1" t="s">
        <v>391</v>
      </c>
      <c r="CA1311" s="1" t="s">
        <v>207</v>
      </c>
      <c r="CB1311" s="1" t="s">
        <v>1118</v>
      </c>
      <c r="CC1311" s="1" t="s">
        <v>925</v>
      </c>
      <c r="CD1311" s="1" t="s">
        <v>206</v>
      </c>
      <c r="CE1311" s="1" t="s">
        <v>207</v>
      </c>
      <c r="CG1311" s="1" t="s">
        <v>699</v>
      </c>
      <c r="CH1311" s="1" t="s">
        <v>209</v>
      </c>
      <c r="CI1311" s="1" t="s">
        <v>210</v>
      </c>
      <c r="CJ1311" s="1" t="s">
        <v>476</v>
      </c>
      <c r="CK1311" s="1" t="s">
        <v>215</v>
      </c>
      <c r="CL1311" s="1" t="s">
        <v>209</v>
      </c>
      <c r="CM1311" s="1" t="s">
        <v>210</v>
      </c>
      <c r="CN1311" s="1" t="s">
        <v>476</v>
      </c>
      <c r="CO1311" s="1" t="s">
        <v>543</v>
      </c>
      <c r="CP1311" s="1" t="s">
        <v>209</v>
      </c>
      <c r="CQ1311" s="1" t="s">
        <v>207</v>
      </c>
      <c r="CS1311" s="1" t="s">
        <v>264</v>
      </c>
      <c r="CT1311" s="1" t="s">
        <v>206</v>
      </c>
      <c r="CU1311" s="1" t="s">
        <v>207</v>
      </c>
      <c r="CV1311" s="1" t="s">
        <v>1118</v>
      </c>
      <c r="CW1311" s="1" t="s">
        <v>3817</v>
      </c>
      <c r="CX1311" s="1" t="s">
        <v>267</v>
      </c>
      <c r="CY1311" s="1" t="s">
        <v>207</v>
      </c>
      <c r="DA1311" s="1" t="s">
        <v>200</v>
      </c>
      <c r="DC1311" s="1" t="s">
        <v>642</v>
      </c>
      <c r="DD1311" s="1" t="s">
        <v>957</v>
      </c>
      <c r="DE1311" s="1" t="s">
        <v>3907</v>
      </c>
      <c r="DF1311" s="1" t="s">
        <v>219</v>
      </c>
      <c r="DG1311" s="1" t="s">
        <v>482</v>
      </c>
      <c r="DH1311" s="1" t="s">
        <v>365</v>
      </c>
      <c r="DI1311" s="1" t="s">
        <v>4683</v>
      </c>
      <c r="DJ1311" s="1" t="s">
        <v>222</v>
      </c>
      <c r="DL1311" s="1" t="s">
        <v>1161</v>
      </c>
      <c r="DM1311" s="1" t="s">
        <v>1464</v>
      </c>
      <c r="DN1311" s="1" t="s">
        <v>666</v>
      </c>
      <c r="DO1311" s="1" t="s">
        <v>12267</v>
      </c>
      <c r="DP1311" s="1" t="s">
        <v>340</v>
      </c>
      <c r="DQ1311" s="1" t="s">
        <v>228</v>
      </c>
      <c r="DR1311" s="1" t="s">
        <v>229</v>
      </c>
      <c r="DS1311" s="1" t="s">
        <v>230</v>
      </c>
      <c r="DU1311" s="1" t="s">
        <v>2728</v>
      </c>
      <c r="DV1311" s="1" t="s">
        <v>13824</v>
      </c>
      <c r="DW1311" s="1" t="s">
        <v>13825</v>
      </c>
      <c r="DX1311" s="1" t="s">
        <v>234</v>
      </c>
      <c r="DY1311" s="1" t="s">
        <v>13826</v>
      </c>
      <c r="DZ1311" s="1" t="s">
        <v>1661</v>
      </c>
      <c r="EA1311" s="1" t="s">
        <v>2466</v>
      </c>
      <c r="EB1311" s="1" t="s">
        <v>2915</v>
      </c>
      <c r="EC1311" s="1" t="s">
        <v>406</v>
      </c>
      <c r="ED1311" s="1" t="s">
        <v>407</v>
      </c>
      <c r="EG1311" s="1" t="s">
        <v>494</v>
      </c>
      <c r="EH1311" s="1" t="s">
        <v>598</v>
      </c>
      <c r="EI1311" s="1" t="s">
        <v>1121</v>
      </c>
      <c r="EJ1311" s="1" t="s">
        <v>408</v>
      </c>
      <c r="EK1311" s="1" t="s">
        <v>1103</v>
      </c>
      <c r="EL1311" s="1" t="s">
        <v>623</v>
      </c>
      <c r="EM1311" s="1" t="s">
        <v>209</v>
      </c>
      <c r="EN1311" s="1" t="s">
        <v>207</v>
      </c>
      <c r="EP1311" s="1" t="s">
        <v>332</v>
      </c>
      <c r="EQ1311" s="1" t="s">
        <v>267</v>
      </c>
      <c r="ER1311" s="1" t="s">
        <v>210</v>
      </c>
      <c r="ES1311" s="1" t="s">
        <v>229</v>
      </c>
      <c r="ET1311" s="1" t="s">
        <v>269</v>
      </c>
      <c r="EU1311" s="1" t="s">
        <v>391</v>
      </c>
      <c r="EV1311" s="1" t="s">
        <v>207</v>
      </c>
      <c r="EW1311" s="1" t="s">
        <v>1118</v>
      </c>
      <c r="EX1311" s="1" t="s">
        <v>495</v>
      </c>
      <c r="EY1311" s="1" t="s">
        <v>206</v>
      </c>
      <c r="EZ1311" s="1" t="s">
        <v>207</v>
      </c>
      <c r="FA1311" s="1" t="s">
        <v>229</v>
      </c>
      <c r="FB1311" s="1" t="s">
        <v>13827</v>
      </c>
      <c r="FC1311" s="1" t="s">
        <v>267</v>
      </c>
      <c r="FD1311" s="1" t="s">
        <v>588</v>
      </c>
      <c r="FE1311" s="1" t="s">
        <v>229</v>
      </c>
      <c r="FF1311" s="1" t="s">
        <v>239</v>
      </c>
      <c r="FG1311" s="1" t="s">
        <v>192</v>
      </c>
      <c r="FH1311" s="1" t="s">
        <v>192</v>
      </c>
      <c r="FJ1311" s="1" t="s">
        <v>561</v>
      </c>
      <c r="FK1311" s="1" t="s">
        <v>229</v>
      </c>
      <c r="FL1311" s="1" t="s">
        <v>456</v>
      </c>
      <c r="FM1311" s="1">
        <v>11000.0</v>
      </c>
      <c r="FN1311" s="1" t="s">
        <v>4123</v>
      </c>
      <c r="FO1311" s="1" t="s">
        <v>13828</v>
      </c>
      <c r="FP1311" s="1">
        <v>124303.0</v>
      </c>
      <c r="FQ1311" s="1" t="s">
        <v>13829</v>
      </c>
      <c r="FU1311" s="1" t="s">
        <v>13830</v>
      </c>
      <c r="FV1311" s="1" t="s">
        <v>200</v>
      </c>
      <c r="FW1311" s="1" t="s">
        <v>530</v>
      </c>
      <c r="FX1311" s="1" t="s">
        <v>238</v>
      </c>
      <c r="FZ1311" s="1" t="s">
        <v>229</v>
      </c>
      <c r="GA1311" s="1" t="s">
        <v>291</v>
      </c>
      <c r="GB1311" s="2">
        <v>42129.0</v>
      </c>
      <c r="GC1311" s="1" t="s">
        <v>13831</v>
      </c>
    </row>
    <row r="1312">
      <c r="A1312" s="1">
        <v>400000.0</v>
      </c>
      <c r="B1312" s="1" t="s">
        <v>185</v>
      </c>
      <c r="C1312" s="1" t="str">
        <f>"08865975"</f>
        <v>08865975</v>
      </c>
      <c r="D1312" s="1" t="s">
        <v>186</v>
      </c>
      <c r="F1312" s="1" t="str">
        <f>"134"</f>
        <v>134</v>
      </c>
      <c r="G1312" s="2">
        <v>42082.0</v>
      </c>
      <c r="H1312" s="1">
        <v>424900.0</v>
      </c>
      <c r="I1312" s="1">
        <v>11.0</v>
      </c>
      <c r="J1312" s="1">
        <v>424900.0</v>
      </c>
      <c r="K1312" s="2">
        <v>42092.0</v>
      </c>
      <c r="L1312" s="1">
        <v>11.0</v>
      </c>
      <c r="M1312" s="2">
        <v>42092.0</v>
      </c>
      <c r="N1312" s="1" t="s">
        <v>187</v>
      </c>
      <c r="O1312" s="2">
        <v>42143.0</v>
      </c>
      <c r="P1312" s="1">
        <v>329.0</v>
      </c>
      <c r="Q1312" s="1">
        <v>30.0</v>
      </c>
      <c r="S1312" s="1" t="s">
        <v>13832</v>
      </c>
      <c r="T1312" s="1" t="s">
        <v>6387</v>
      </c>
      <c r="U1312" s="1" t="s">
        <v>420</v>
      </c>
      <c r="V1312" s="1" t="s">
        <v>421</v>
      </c>
      <c r="W1312" s="1">
        <v>60134.0</v>
      </c>
      <c r="Y1312" s="1" t="s">
        <v>13833</v>
      </c>
      <c r="Z1312" s="1">
        <v>2008.0</v>
      </c>
      <c r="AA1312" s="1" t="s">
        <v>200</v>
      </c>
      <c r="AB1312" s="1" t="s">
        <v>193</v>
      </c>
      <c r="AC1312" s="1" t="s">
        <v>2935</v>
      </c>
      <c r="AD1312" s="1" t="s">
        <v>1089</v>
      </c>
      <c r="AE1312" s="1" t="s">
        <v>325</v>
      </c>
      <c r="AF1312" s="1" t="s">
        <v>1479</v>
      </c>
      <c r="AG1312" s="1" t="s">
        <v>13834</v>
      </c>
      <c r="AH1312" s="1" t="s">
        <v>13835</v>
      </c>
      <c r="AI1312" s="1">
        <v>0.1891</v>
      </c>
      <c r="AK1312" s="1">
        <v>11.0</v>
      </c>
      <c r="AL1312" s="1">
        <v>4.0</v>
      </c>
      <c r="AM1312" s="1">
        <v>3.0</v>
      </c>
      <c r="AN1312" s="1">
        <v>1.0</v>
      </c>
      <c r="AO1312" s="1" t="s">
        <v>198</v>
      </c>
      <c r="AP1312" s="1">
        <v>1.0</v>
      </c>
      <c r="AQ1312" s="1" t="s">
        <v>198</v>
      </c>
      <c r="AR1312" s="1" t="s">
        <v>192</v>
      </c>
      <c r="AS1312" s="1" t="s">
        <v>199</v>
      </c>
      <c r="AT1312" s="1">
        <v>3.0</v>
      </c>
      <c r="AV1312" s="1" t="s">
        <v>200</v>
      </c>
      <c r="AW1312" s="1">
        <v>10570.78</v>
      </c>
      <c r="AX1312" s="1">
        <v>2013.0</v>
      </c>
      <c r="AY1312" s="1" t="s">
        <v>387</v>
      </c>
      <c r="AZ1312" s="1" t="s">
        <v>200</v>
      </c>
      <c r="BA1312" s="1" t="str">
        <f>"1111426012"</f>
        <v>1111426012</v>
      </c>
      <c r="BB1312" s="1" t="s">
        <v>200</v>
      </c>
      <c r="BC1312" s="1">
        <v>2718.0</v>
      </c>
      <c r="BD1312" s="1">
        <v>400000.0</v>
      </c>
      <c r="BE1312" s="2">
        <v>42082.0</v>
      </c>
      <c r="BF1312" s="2" t="s">
        <v>13836</v>
      </c>
      <c r="BG1312" s="1" t="s">
        <v>6713</v>
      </c>
      <c r="BH1312" s="1">
        <v>0.0</v>
      </c>
      <c r="BI1312" s="1" t="s">
        <v>429</v>
      </c>
      <c r="BJ1312" s="1" t="s">
        <v>430</v>
      </c>
      <c r="BK1312" s="1" t="s">
        <v>204</v>
      </c>
      <c r="BL1312" s="1" t="str">
        <f t="shared" ref="BL1312:BM1312" si="867">""</f>
        <v/>
      </c>
      <c r="BM1312" s="1" t="str">
        <f t="shared" si="867"/>
        <v/>
      </c>
      <c r="BQ1312" s="1">
        <v>304.0</v>
      </c>
      <c r="BR1312" s="1">
        <v>304.0</v>
      </c>
      <c r="BS1312" s="1">
        <v>304.0</v>
      </c>
      <c r="BU1312" s="1" t="s">
        <v>729</v>
      </c>
      <c r="BV1312" s="1" t="s">
        <v>206</v>
      </c>
      <c r="BW1312" s="1" t="s">
        <v>210</v>
      </c>
      <c r="BX1312" s="1" t="s">
        <v>239</v>
      </c>
      <c r="BY1312" s="1" t="s">
        <v>1117</v>
      </c>
      <c r="BZ1312" s="1" t="s">
        <v>209</v>
      </c>
      <c r="CA1312" s="1" t="s">
        <v>210</v>
      </c>
      <c r="CB1312" s="1" t="s">
        <v>239</v>
      </c>
      <c r="CC1312" s="1" t="s">
        <v>729</v>
      </c>
      <c r="CD1312" s="1" t="s">
        <v>206</v>
      </c>
      <c r="CE1312" s="1" t="s">
        <v>207</v>
      </c>
      <c r="CF1312" s="1" t="s">
        <v>239</v>
      </c>
      <c r="CG1312" s="1" t="s">
        <v>363</v>
      </c>
      <c r="CH1312" s="1" t="s">
        <v>209</v>
      </c>
      <c r="CI1312" s="1" t="s">
        <v>210</v>
      </c>
      <c r="CJ1312" s="1" t="s">
        <v>239</v>
      </c>
      <c r="CK1312" s="1" t="s">
        <v>1351</v>
      </c>
      <c r="CL1312" s="1" t="s">
        <v>209</v>
      </c>
      <c r="CM1312" s="1" t="s">
        <v>210</v>
      </c>
      <c r="CN1312" s="1" t="s">
        <v>239</v>
      </c>
      <c r="CO1312" s="1" t="s">
        <v>302</v>
      </c>
      <c r="CP1312" s="1" t="s">
        <v>209</v>
      </c>
      <c r="CQ1312" s="1" t="s">
        <v>210</v>
      </c>
      <c r="CR1312" s="1" t="s">
        <v>239</v>
      </c>
      <c r="CS1312" s="1" t="s">
        <v>480</v>
      </c>
      <c r="CT1312" s="1" t="s">
        <v>206</v>
      </c>
      <c r="CU1312" s="1" t="s">
        <v>207</v>
      </c>
      <c r="CV1312" s="1" t="s">
        <v>239</v>
      </c>
      <c r="CW1312" s="1" t="s">
        <v>1299</v>
      </c>
      <c r="CX1312" s="1" t="s">
        <v>206</v>
      </c>
      <c r="CY1312" s="1" t="s">
        <v>207</v>
      </c>
      <c r="CZ1312" s="1" t="s">
        <v>239</v>
      </c>
      <c r="DA1312" s="1" t="s">
        <v>200</v>
      </c>
      <c r="DC1312" s="1" t="s">
        <v>481</v>
      </c>
      <c r="DD1312" s="1" t="s">
        <v>336</v>
      </c>
      <c r="DE1312" s="1" t="s">
        <v>273</v>
      </c>
      <c r="DF1312" s="1" t="s">
        <v>219</v>
      </c>
      <c r="DG1312" s="1" t="s">
        <v>482</v>
      </c>
      <c r="DH1312" s="1" t="s">
        <v>220</v>
      </c>
      <c r="DI1312" s="1" t="s">
        <v>519</v>
      </c>
      <c r="DJ1312" s="1" t="s">
        <v>222</v>
      </c>
      <c r="DK1312" s="1" t="s">
        <v>3740</v>
      </c>
      <c r="DL1312" s="1" t="s">
        <v>224</v>
      </c>
      <c r="DM1312" s="1" t="s">
        <v>929</v>
      </c>
      <c r="DN1312" s="1" t="s">
        <v>485</v>
      </c>
      <c r="DO1312" s="1" t="s">
        <v>6305</v>
      </c>
      <c r="DP1312" s="1" t="s">
        <v>340</v>
      </c>
      <c r="DQ1312" s="1" t="s">
        <v>228</v>
      </c>
      <c r="DR1312" s="1" t="s">
        <v>229</v>
      </c>
      <c r="DU1312" s="1" t="s">
        <v>13837</v>
      </c>
      <c r="DV1312" s="1" t="s">
        <v>13838</v>
      </c>
      <c r="DW1312" s="1" t="s">
        <v>444</v>
      </c>
      <c r="DX1312" s="1" t="s">
        <v>234</v>
      </c>
      <c r="DY1312" s="1" t="s">
        <v>235</v>
      </c>
      <c r="DZ1312" s="1" t="s">
        <v>5348</v>
      </c>
      <c r="EA1312" s="1" t="s">
        <v>447</v>
      </c>
      <c r="EB1312" s="1" t="s">
        <v>2915</v>
      </c>
      <c r="EC1312" s="1" t="s">
        <v>237</v>
      </c>
      <c r="ED1312" s="1" t="s">
        <v>407</v>
      </c>
      <c r="EG1312" s="1" t="s">
        <v>494</v>
      </c>
      <c r="EH1312" s="1" t="s">
        <v>450</v>
      </c>
      <c r="EI1312" s="1" t="s">
        <v>1467</v>
      </c>
      <c r="EJ1312" s="1" t="s">
        <v>588</v>
      </c>
      <c r="EL1312" s="1" t="s">
        <v>363</v>
      </c>
      <c r="EM1312" s="1" t="s">
        <v>206</v>
      </c>
      <c r="EN1312" s="1" t="s">
        <v>210</v>
      </c>
      <c r="EO1312" s="1" t="s">
        <v>239</v>
      </c>
      <c r="EP1312" s="1" t="s">
        <v>10189</v>
      </c>
      <c r="EQ1312" s="1" t="s">
        <v>42</v>
      </c>
      <c r="ER1312" s="1" t="s">
        <v>210</v>
      </c>
      <c r="ES1312" s="1" t="s">
        <v>229</v>
      </c>
      <c r="ET1312" s="1" t="s">
        <v>5266</v>
      </c>
      <c r="EU1312" s="1" t="s">
        <v>42</v>
      </c>
      <c r="EV1312" s="1" t="s">
        <v>210</v>
      </c>
      <c r="EW1312" s="1" t="s">
        <v>229</v>
      </c>
      <c r="EX1312" s="1" t="s">
        <v>830</v>
      </c>
      <c r="EY1312" s="1" t="s">
        <v>42</v>
      </c>
      <c r="EZ1312" s="1" t="s">
        <v>210</v>
      </c>
      <c r="FA1312" s="1" t="s">
        <v>229</v>
      </c>
      <c r="FC1312" s="1" t="s">
        <v>238</v>
      </c>
      <c r="FF1312" s="1" t="s">
        <v>239</v>
      </c>
      <c r="FG1312" s="1" t="s">
        <v>192</v>
      </c>
      <c r="FH1312" s="1" t="s">
        <v>192</v>
      </c>
      <c r="FJ1312" s="1" t="s">
        <v>686</v>
      </c>
      <c r="FK1312" s="1" t="s">
        <v>229</v>
      </c>
      <c r="FL1312" s="1" t="s">
        <v>1641</v>
      </c>
      <c r="FM1312" s="1">
        <v>280.0</v>
      </c>
      <c r="FN1312" s="1" t="s">
        <v>1642</v>
      </c>
      <c r="FO1312" s="1" t="s">
        <v>1643</v>
      </c>
      <c r="FP1312" s="1">
        <v>1127.0</v>
      </c>
      <c r="FQ1312" s="1" t="s">
        <v>1644</v>
      </c>
      <c r="FR1312" s="1">
        <v>2089.0</v>
      </c>
      <c r="FS1312" s="1" t="s">
        <v>1645</v>
      </c>
      <c r="FU1312" s="1" t="s">
        <v>13839</v>
      </c>
      <c r="FV1312" s="1" t="s">
        <v>200</v>
      </c>
      <c r="FW1312" s="1" t="s">
        <v>290</v>
      </c>
      <c r="FZ1312" s="1" t="s">
        <v>229</v>
      </c>
      <c r="GA1312" s="1" t="s">
        <v>291</v>
      </c>
      <c r="GB1312" s="2">
        <v>42143.0</v>
      </c>
    </row>
    <row r="1313">
      <c r="A1313" s="1">
        <v>390000.0</v>
      </c>
      <c r="B1313" s="1" t="s">
        <v>185</v>
      </c>
      <c r="C1313" s="1" t="str">
        <f>"08865080"</f>
        <v>08865080</v>
      </c>
      <c r="D1313" s="1" t="s">
        <v>186</v>
      </c>
      <c r="F1313" s="1" t="str">
        <f>"110"</f>
        <v>110</v>
      </c>
      <c r="G1313" s="2">
        <v>42081.0</v>
      </c>
      <c r="H1313" s="1">
        <v>409990.0</v>
      </c>
      <c r="I1313" s="1">
        <v>211.0</v>
      </c>
      <c r="J1313" s="1">
        <v>399990.0</v>
      </c>
      <c r="K1313" s="2">
        <v>42094.0</v>
      </c>
      <c r="L1313" s="1">
        <v>14.0</v>
      </c>
      <c r="M1313" s="2">
        <v>42094.0</v>
      </c>
      <c r="N1313" s="1" t="s">
        <v>187</v>
      </c>
      <c r="O1313" s="2">
        <v>42142.0</v>
      </c>
      <c r="P1313" s="1">
        <v>8925.0</v>
      </c>
      <c r="Q1313" s="1">
        <v>432.0</v>
      </c>
      <c r="S1313" s="1">
        <v>4001.0</v>
      </c>
      <c r="T1313" s="1" t="s">
        <v>13840</v>
      </c>
      <c r="U1313" s="1" t="s">
        <v>1174</v>
      </c>
      <c r="V1313" s="1" t="s">
        <v>807</v>
      </c>
      <c r="W1313" s="1">
        <v>60110.0</v>
      </c>
      <c r="Y1313" s="1" t="s">
        <v>13841</v>
      </c>
      <c r="Z1313" s="1">
        <v>2013.0</v>
      </c>
      <c r="AA1313" s="1" t="s">
        <v>200</v>
      </c>
      <c r="AB1313" s="1" t="s">
        <v>467</v>
      </c>
      <c r="AC1313" s="1" t="s">
        <v>1176</v>
      </c>
      <c r="AD1313" s="1" t="s">
        <v>809</v>
      </c>
      <c r="AE1313" s="1" t="s">
        <v>325</v>
      </c>
      <c r="AF1313" s="1" t="s">
        <v>810</v>
      </c>
      <c r="AG1313" s="1" t="s">
        <v>13842</v>
      </c>
      <c r="AH1313" s="1" t="s">
        <v>13843</v>
      </c>
      <c r="AI1313" s="1">
        <v>0.25</v>
      </c>
      <c r="AK1313" s="1">
        <v>10.0</v>
      </c>
      <c r="AL1313" s="1">
        <v>4.0</v>
      </c>
      <c r="AM1313" s="1">
        <v>2.0</v>
      </c>
      <c r="AN1313" s="1">
        <v>1.0</v>
      </c>
      <c r="AO1313" s="1" t="s">
        <v>198</v>
      </c>
      <c r="AP1313" s="1">
        <v>1.0</v>
      </c>
      <c r="AQ1313" s="1" t="s">
        <v>198</v>
      </c>
      <c r="AR1313" s="1" t="s">
        <v>200</v>
      </c>
      <c r="AS1313" s="1" t="s">
        <v>199</v>
      </c>
      <c r="AT1313" s="1">
        <v>3.0</v>
      </c>
      <c r="AV1313" s="1" t="s">
        <v>200</v>
      </c>
      <c r="AW1313" s="1" t="s">
        <v>575</v>
      </c>
      <c r="AX1313" s="1">
        <v>2013.0</v>
      </c>
      <c r="AY1313" s="1" t="s">
        <v>387</v>
      </c>
      <c r="AZ1313" s="1" t="s">
        <v>200</v>
      </c>
      <c r="BA1313" s="1" t="str">
        <f>"0307127009"</f>
        <v>0307127009</v>
      </c>
      <c r="BB1313" s="1" t="s">
        <v>200</v>
      </c>
      <c r="BC1313" s="1">
        <v>3416.0</v>
      </c>
      <c r="BD1313" s="1">
        <v>390000.0</v>
      </c>
      <c r="BE1313" s="2">
        <v>42081.0</v>
      </c>
      <c r="BF1313" s="2" t="s">
        <v>13844</v>
      </c>
      <c r="BG1313" s="1" t="s">
        <v>1181</v>
      </c>
      <c r="BH1313" s="1">
        <v>37.0</v>
      </c>
      <c r="BI1313" s="1" t="s">
        <v>1093</v>
      </c>
      <c r="BJ1313" s="1" t="s">
        <v>1182</v>
      </c>
      <c r="BK1313" s="1" t="s">
        <v>474</v>
      </c>
      <c r="BL1313" s="1" t="str">
        <f>"18"</f>
        <v>18</v>
      </c>
      <c r="BM1313" s="1" t="str">
        <f t="shared" ref="BM1313:BM1315" si="868">"0"</f>
        <v>0</v>
      </c>
      <c r="BN1313" s="1">
        <v>37.0</v>
      </c>
      <c r="BO1313" s="1">
        <v>0.0</v>
      </c>
      <c r="BQ1313" s="1">
        <v>300.0</v>
      </c>
      <c r="BR1313" s="1">
        <v>300.0</v>
      </c>
      <c r="BS1313" s="1">
        <v>300.0</v>
      </c>
      <c r="BV1313" s="1" t="s">
        <v>204</v>
      </c>
      <c r="BY1313" s="1" t="s">
        <v>677</v>
      </c>
      <c r="BZ1313" s="1" t="s">
        <v>209</v>
      </c>
      <c r="CA1313" s="1" t="s">
        <v>210</v>
      </c>
      <c r="CB1313" s="1" t="s">
        <v>229</v>
      </c>
      <c r="CC1313" s="1" t="s">
        <v>9108</v>
      </c>
      <c r="CD1313" s="1" t="s">
        <v>206</v>
      </c>
      <c r="CE1313" s="1" t="s">
        <v>207</v>
      </c>
      <c r="CF1313" s="1" t="s">
        <v>229</v>
      </c>
      <c r="CG1313" s="1" t="s">
        <v>1417</v>
      </c>
      <c r="CH1313" s="1" t="s">
        <v>209</v>
      </c>
      <c r="CI1313" s="1" t="s">
        <v>210</v>
      </c>
      <c r="CJ1313" s="1" t="s">
        <v>229</v>
      </c>
      <c r="CK1313" s="1" t="s">
        <v>1417</v>
      </c>
      <c r="CL1313" s="1" t="s">
        <v>209</v>
      </c>
      <c r="CM1313" s="1" t="s">
        <v>210</v>
      </c>
      <c r="CN1313" s="1" t="s">
        <v>229</v>
      </c>
      <c r="CO1313" s="1" t="s">
        <v>2459</v>
      </c>
      <c r="CP1313" s="1" t="s">
        <v>209</v>
      </c>
      <c r="CQ1313" s="1" t="s">
        <v>210</v>
      </c>
      <c r="CS1313" s="1" t="s">
        <v>475</v>
      </c>
      <c r="CT1313" s="1" t="s">
        <v>206</v>
      </c>
      <c r="CU1313" s="1" t="s">
        <v>207</v>
      </c>
      <c r="CV1313" s="1" t="s">
        <v>229</v>
      </c>
      <c r="CW1313" s="1" t="s">
        <v>3989</v>
      </c>
      <c r="CX1313" s="1" t="s">
        <v>206</v>
      </c>
      <c r="CY1313" s="1" t="s">
        <v>207</v>
      </c>
      <c r="CZ1313" s="1" t="s">
        <v>229</v>
      </c>
      <c r="DA1313" s="1" t="s">
        <v>200</v>
      </c>
      <c r="DC1313" s="1" t="s">
        <v>1046</v>
      </c>
      <c r="DD1313" s="1" t="s">
        <v>1484</v>
      </c>
      <c r="DE1313" s="1" t="s">
        <v>273</v>
      </c>
      <c r="DF1313" s="1" t="s">
        <v>619</v>
      </c>
      <c r="DG1313" s="1" t="s">
        <v>482</v>
      </c>
      <c r="DH1313" s="1" t="s">
        <v>220</v>
      </c>
      <c r="DI1313" s="1" t="s">
        <v>275</v>
      </c>
      <c r="DJ1313" s="1" t="s">
        <v>1048</v>
      </c>
      <c r="DK1313" s="1" t="s">
        <v>223</v>
      </c>
      <c r="DL1313" s="1" t="s">
        <v>223</v>
      </c>
      <c r="DM1313" s="1" t="s">
        <v>338</v>
      </c>
      <c r="DN1313" s="1" t="s">
        <v>548</v>
      </c>
      <c r="DP1313" s="1" t="s">
        <v>340</v>
      </c>
      <c r="DQ1313" s="1" t="s">
        <v>228</v>
      </c>
      <c r="DR1313" s="1" t="s">
        <v>588</v>
      </c>
      <c r="DS1313" s="1" t="s">
        <v>368</v>
      </c>
      <c r="DV1313" s="1" t="s">
        <v>13845</v>
      </c>
      <c r="DW1313" s="1" t="s">
        <v>279</v>
      </c>
      <c r="DX1313" s="1" t="s">
        <v>234</v>
      </c>
      <c r="DY1313" s="1" t="s">
        <v>596</v>
      </c>
      <c r="EA1313" s="1" t="s">
        <v>344</v>
      </c>
      <c r="EB1313" s="1" t="s">
        <v>684</v>
      </c>
      <c r="EC1313" s="1" t="s">
        <v>237</v>
      </c>
      <c r="EG1313" s="1" t="s">
        <v>341</v>
      </c>
      <c r="EH1313" s="1" t="s">
        <v>494</v>
      </c>
      <c r="EI1313" s="1" t="s">
        <v>1729</v>
      </c>
      <c r="EL1313" s="1" t="s">
        <v>3888</v>
      </c>
      <c r="EM1313" s="1" t="s">
        <v>209</v>
      </c>
      <c r="EN1313" s="1" t="s">
        <v>210</v>
      </c>
      <c r="EO1313" s="1" t="s">
        <v>229</v>
      </c>
      <c r="EP1313" s="1" t="s">
        <v>1183</v>
      </c>
      <c r="EQ1313" s="1" t="s">
        <v>206</v>
      </c>
      <c r="ER1313" s="1" t="s">
        <v>207</v>
      </c>
      <c r="ET1313" s="1" t="s">
        <v>699</v>
      </c>
      <c r="EU1313" s="1" t="s">
        <v>206</v>
      </c>
      <c r="EV1313" s="1" t="s">
        <v>207</v>
      </c>
      <c r="EY1313" s="1" t="s">
        <v>238</v>
      </c>
      <c r="FC1313" s="1" t="s">
        <v>238</v>
      </c>
      <c r="FF1313" s="1" t="s">
        <v>239</v>
      </c>
      <c r="FG1313" s="1" t="s">
        <v>192</v>
      </c>
      <c r="FH1313" s="1" t="s">
        <v>192</v>
      </c>
      <c r="FJ1313" s="1" t="s">
        <v>498</v>
      </c>
      <c r="FK1313" s="1" t="s">
        <v>229</v>
      </c>
      <c r="FL1313" s="1" t="s">
        <v>3848</v>
      </c>
      <c r="FM1313" s="1">
        <v>432.0</v>
      </c>
      <c r="FN1313" s="1" t="s">
        <v>3849</v>
      </c>
      <c r="FO1313" s="1" t="s">
        <v>13846</v>
      </c>
      <c r="FP1313" s="1">
        <v>8925.0</v>
      </c>
      <c r="FQ1313" s="1" t="s">
        <v>13847</v>
      </c>
      <c r="FU1313" s="1" t="s">
        <v>6968</v>
      </c>
      <c r="FV1313" s="1" t="s">
        <v>200</v>
      </c>
      <c r="FW1313" s="1" t="s">
        <v>290</v>
      </c>
      <c r="FZ1313" s="1" t="s">
        <v>229</v>
      </c>
      <c r="GA1313" s="1" t="s">
        <v>291</v>
      </c>
      <c r="GB1313" s="2">
        <v>42143.0</v>
      </c>
    </row>
    <row r="1314">
      <c r="A1314" s="1">
        <v>882400.0</v>
      </c>
      <c r="B1314" s="1" t="s">
        <v>185</v>
      </c>
      <c r="C1314" s="1" t="str">
        <f>"08861493"</f>
        <v>08861493</v>
      </c>
      <c r="D1314" s="1" t="s">
        <v>186</v>
      </c>
      <c r="F1314" s="1" t="str">
        <f>"8022"</f>
        <v>8022</v>
      </c>
      <c r="G1314" s="2">
        <v>42077.0</v>
      </c>
      <c r="H1314" s="1">
        <v>849900.0</v>
      </c>
      <c r="I1314" s="1">
        <v>134.0</v>
      </c>
      <c r="J1314" s="1">
        <v>849900.0</v>
      </c>
      <c r="K1314" s="2">
        <v>42077.0</v>
      </c>
      <c r="L1314" s="1">
        <v>1.0</v>
      </c>
      <c r="M1314" s="2">
        <v>42077.0</v>
      </c>
      <c r="N1314" s="1" t="s">
        <v>187</v>
      </c>
      <c r="O1314" s="2">
        <v>42143.0</v>
      </c>
      <c r="P1314" s="1">
        <v>160487.0</v>
      </c>
      <c r="Q1314" s="1">
        <v>16379.0</v>
      </c>
      <c r="S1314" s="1">
        <v>2647.0</v>
      </c>
      <c r="T1314" s="1" t="s">
        <v>6454</v>
      </c>
      <c r="U1314" s="1" t="s">
        <v>189</v>
      </c>
      <c r="V1314" s="1" t="s">
        <v>190</v>
      </c>
      <c r="W1314" s="1">
        <v>60647.0</v>
      </c>
      <c r="Y1314" s="1" t="s">
        <v>6455</v>
      </c>
      <c r="Z1314" s="1">
        <v>2015.0</v>
      </c>
      <c r="AA1314" s="1" t="s">
        <v>200</v>
      </c>
      <c r="AB1314" s="1" t="s">
        <v>193</v>
      </c>
      <c r="AD1314" s="1" t="s">
        <v>194</v>
      </c>
      <c r="AE1314" s="1" t="s">
        <v>195</v>
      </c>
      <c r="AF1314" s="1" t="s">
        <v>827</v>
      </c>
      <c r="AG1314" s="1" t="s">
        <v>6456</v>
      </c>
      <c r="AH1314" s="1" t="s">
        <v>359</v>
      </c>
      <c r="AK1314" s="1">
        <v>9.0</v>
      </c>
      <c r="AL1314" s="1">
        <v>4.0</v>
      </c>
      <c r="AM1314" s="1">
        <v>3.0</v>
      </c>
      <c r="AN1314" s="1">
        <v>1.0</v>
      </c>
      <c r="AO1314" s="1" t="s">
        <v>198</v>
      </c>
      <c r="AP1314" s="1">
        <v>1.0</v>
      </c>
      <c r="AQ1314" s="1" t="s">
        <v>257</v>
      </c>
      <c r="AR1314" s="1" t="s">
        <v>192</v>
      </c>
      <c r="AS1314" s="1" t="s">
        <v>199</v>
      </c>
      <c r="AT1314" s="1">
        <v>2.0</v>
      </c>
      <c r="AV1314" s="1" t="s">
        <v>200</v>
      </c>
      <c r="AW1314" s="1" t="s">
        <v>575</v>
      </c>
      <c r="AX1314" s="1">
        <v>2013.0</v>
      </c>
      <c r="AZ1314" s="1" t="s">
        <v>545</v>
      </c>
      <c r="BA1314" s="1" t="str">
        <f>"13362070060000"</f>
        <v>13362070060000</v>
      </c>
      <c r="BC1314" s="1">
        <v>0.0</v>
      </c>
      <c r="BD1314" s="1">
        <v>882400.0</v>
      </c>
      <c r="BE1314" s="2">
        <v>42077.0</v>
      </c>
      <c r="BF1314" s="2" t="s">
        <v>13848</v>
      </c>
      <c r="BH1314" s="1">
        <v>0.0</v>
      </c>
      <c r="BK1314" s="1" t="s">
        <v>204</v>
      </c>
      <c r="BL1314" s="1" t="str">
        <f>"2300"</f>
        <v>2300</v>
      </c>
      <c r="BM1314" s="1" t="str">
        <f t="shared" si="868"/>
        <v>0</v>
      </c>
      <c r="BN1314" s="1">
        <v>2647.0</v>
      </c>
      <c r="BO1314" s="1">
        <v>0.0</v>
      </c>
      <c r="BQ1314" s="1">
        <v>299.0</v>
      </c>
      <c r="BR1314" s="1">
        <v>299.0</v>
      </c>
      <c r="BS1314" s="1">
        <v>299.0</v>
      </c>
      <c r="BU1314" s="1" t="s">
        <v>5223</v>
      </c>
      <c r="BV1314" s="1" t="s">
        <v>206</v>
      </c>
      <c r="BW1314" s="1" t="s">
        <v>207</v>
      </c>
      <c r="BY1314" s="1" t="s">
        <v>208</v>
      </c>
      <c r="BZ1314" s="1" t="s">
        <v>209</v>
      </c>
      <c r="CA1314" s="1" t="s">
        <v>207</v>
      </c>
      <c r="CC1314" s="1" t="s">
        <v>542</v>
      </c>
      <c r="CD1314" s="1" t="s">
        <v>206</v>
      </c>
      <c r="CE1314" s="1" t="s">
        <v>207</v>
      </c>
      <c r="CG1314" s="1" t="s">
        <v>331</v>
      </c>
      <c r="CH1314" s="1" t="s">
        <v>209</v>
      </c>
      <c r="CI1314" s="1" t="s">
        <v>207</v>
      </c>
      <c r="CK1314" s="1" t="s">
        <v>663</v>
      </c>
      <c r="CL1314" s="1" t="s">
        <v>209</v>
      </c>
      <c r="CM1314" s="1" t="s">
        <v>207</v>
      </c>
      <c r="CO1314" s="1" t="s">
        <v>390</v>
      </c>
      <c r="CP1314" s="1" t="s">
        <v>267</v>
      </c>
      <c r="CQ1314" s="1" t="s">
        <v>210</v>
      </c>
      <c r="CS1314" s="1" t="s">
        <v>329</v>
      </c>
      <c r="CT1314" s="1" t="s">
        <v>206</v>
      </c>
      <c r="CU1314" s="1" t="s">
        <v>207</v>
      </c>
      <c r="CW1314" s="1" t="s">
        <v>2120</v>
      </c>
      <c r="CX1314" s="1" t="s">
        <v>206</v>
      </c>
      <c r="CY1314" s="1" t="s">
        <v>207</v>
      </c>
      <c r="DA1314" s="1" t="s">
        <v>192</v>
      </c>
      <c r="DB1314" s="2">
        <v>42124.0</v>
      </c>
      <c r="DC1314" s="1" t="s">
        <v>744</v>
      </c>
      <c r="DD1314" s="1" t="s">
        <v>731</v>
      </c>
      <c r="DE1314" s="1" t="s">
        <v>273</v>
      </c>
      <c r="DF1314" s="1" t="s">
        <v>619</v>
      </c>
      <c r="DH1314" s="1" t="s">
        <v>220</v>
      </c>
      <c r="DI1314" s="1" t="s">
        <v>6458</v>
      </c>
      <c r="DJ1314" s="1" t="s">
        <v>222</v>
      </c>
      <c r="DL1314" s="1" t="s">
        <v>224</v>
      </c>
      <c r="DM1314" s="1" t="s">
        <v>229</v>
      </c>
      <c r="DN1314" s="1" t="s">
        <v>2676</v>
      </c>
      <c r="DP1314" s="1" t="s">
        <v>276</v>
      </c>
      <c r="DQ1314" s="1" t="s">
        <v>441</v>
      </c>
      <c r="DR1314" s="1" t="s">
        <v>229</v>
      </c>
      <c r="DU1314" s="1" t="s">
        <v>6459</v>
      </c>
      <c r="DV1314" s="1" t="s">
        <v>2058</v>
      </c>
      <c r="DW1314" s="1" t="s">
        <v>279</v>
      </c>
      <c r="DX1314" s="1" t="s">
        <v>234</v>
      </c>
      <c r="DY1314" s="1" t="s">
        <v>704</v>
      </c>
      <c r="EB1314" s="1" t="s">
        <v>1639</v>
      </c>
      <c r="EC1314" s="1" t="s">
        <v>237</v>
      </c>
      <c r="EG1314" s="1" t="s">
        <v>450</v>
      </c>
      <c r="EH1314" s="1" t="s">
        <v>310</v>
      </c>
      <c r="EL1314" s="1" t="s">
        <v>2861</v>
      </c>
      <c r="EM1314" s="1" t="s">
        <v>267</v>
      </c>
      <c r="EN1314" s="1" t="s">
        <v>210</v>
      </c>
      <c r="EP1314" s="1" t="s">
        <v>4180</v>
      </c>
      <c r="EQ1314" s="1" t="s">
        <v>206</v>
      </c>
      <c r="EU1314" s="1" t="s">
        <v>238</v>
      </c>
      <c r="EY1314" s="1" t="s">
        <v>238</v>
      </c>
      <c r="FC1314" s="1" t="s">
        <v>238</v>
      </c>
      <c r="FF1314" s="1" t="s">
        <v>239</v>
      </c>
      <c r="FG1314" s="1" t="s">
        <v>192</v>
      </c>
      <c r="FH1314" s="1" t="s">
        <v>192</v>
      </c>
      <c r="FJ1314" s="1" t="s">
        <v>3755</v>
      </c>
      <c r="FK1314" s="1" t="s">
        <v>229</v>
      </c>
      <c r="FL1314" s="1" t="s">
        <v>6354</v>
      </c>
      <c r="FM1314" s="1">
        <v>15191.0</v>
      </c>
      <c r="FN1314" s="1" t="s">
        <v>6355</v>
      </c>
      <c r="FO1314" s="1" t="s">
        <v>6460</v>
      </c>
      <c r="FP1314" s="1">
        <v>137452.0</v>
      </c>
      <c r="FQ1314" s="1" t="s">
        <v>6461</v>
      </c>
      <c r="FR1314" s="1">
        <v>102294.0</v>
      </c>
      <c r="FU1314" s="1" t="s">
        <v>6462</v>
      </c>
      <c r="FV1314" s="1" t="s">
        <v>200</v>
      </c>
      <c r="FW1314" s="1" t="s">
        <v>567</v>
      </c>
      <c r="FX1314" s="1" t="s">
        <v>246</v>
      </c>
      <c r="FZ1314" s="1" t="s">
        <v>229</v>
      </c>
      <c r="GA1314" s="1" t="s">
        <v>291</v>
      </c>
      <c r="GB1314" s="2">
        <v>42143.0</v>
      </c>
      <c r="GC1314" s="1" t="s">
        <v>13849</v>
      </c>
    </row>
    <row r="1315">
      <c r="A1315" s="1">
        <v>425000.0</v>
      </c>
      <c r="B1315" s="1" t="s">
        <v>185</v>
      </c>
      <c r="C1315" s="1" t="str">
        <f>"08853257"</f>
        <v>08853257</v>
      </c>
      <c r="D1315" s="1" t="s">
        <v>186</v>
      </c>
      <c r="F1315" s="1" t="str">
        <f>"8010"</f>
        <v>8010</v>
      </c>
      <c r="G1315" s="2">
        <v>42068.0</v>
      </c>
      <c r="H1315" s="1">
        <v>389000.0</v>
      </c>
      <c r="I1315" s="1">
        <v>4.0</v>
      </c>
      <c r="J1315" s="1">
        <v>389000.0</v>
      </c>
      <c r="K1315" s="2">
        <v>42071.0</v>
      </c>
      <c r="L1315" s="1">
        <v>4.0</v>
      </c>
      <c r="M1315" s="2">
        <v>42071.0</v>
      </c>
      <c r="N1315" s="1" t="s">
        <v>187</v>
      </c>
      <c r="O1315" s="2">
        <v>42122.0</v>
      </c>
      <c r="P1315" s="1">
        <v>161565.0</v>
      </c>
      <c r="Q1315" s="1">
        <v>16997.0</v>
      </c>
      <c r="S1315" s="1">
        <v>6037.0</v>
      </c>
      <c r="T1315" s="1" t="s">
        <v>13850</v>
      </c>
      <c r="U1315" s="1" t="s">
        <v>189</v>
      </c>
      <c r="V1315" s="1" t="s">
        <v>190</v>
      </c>
      <c r="W1315" s="1">
        <v>60631.0</v>
      </c>
      <c r="Y1315" s="1" t="s">
        <v>13851</v>
      </c>
      <c r="Z1315" s="1" t="s">
        <v>296</v>
      </c>
      <c r="AA1315" s="1" t="s">
        <v>192</v>
      </c>
      <c r="AB1315" s="1" t="s">
        <v>193</v>
      </c>
      <c r="AD1315" s="1" t="s">
        <v>194</v>
      </c>
      <c r="AE1315" s="1" t="s">
        <v>195</v>
      </c>
      <c r="AF1315" s="1" t="s">
        <v>196</v>
      </c>
      <c r="AH1315" s="1" t="s">
        <v>13852</v>
      </c>
      <c r="AK1315" s="1">
        <v>10.0</v>
      </c>
      <c r="AL1315" s="1">
        <v>3.0</v>
      </c>
      <c r="AM1315" s="1">
        <v>2.0</v>
      </c>
      <c r="AN1315" s="1">
        <v>0.0</v>
      </c>
      <c r="AO1315" s="1" t="s">
        <v>1261</v>
      </c>
      <c r="AP1315" s="1">
        <v>1.0</v>
      </c>
      <c r="AQ1315" s="1" t="s">
        <v>198</v>
      </c>
      <c r="AR1315" s="1" t="s">
        <v>200</v>
      </c>
      <c r="AS1315" s="1" t="s">
        <v>199</v>
      </c>
      <c r="AT1315" s="1">
        <v>2.5</v>
      </c>
      <c r="AV1315" s="1" t="s">
        <v>200</v>
      </c>
      <c r="AW1315" s="1">
        <v>4468.0</v>
      </c>
      <c r="AX1315" s="1">
        <v>2013.0</v>
      </c>
      <c r="AY1315" s="1" t="s">
        <v>387</v>
      </c>
      <c r="AZ1315" s="1" t="s">
        <v>200</v>
      </c>
      <c r="BA1315" s="1" t="str">
        <f>"13062220030000"</f>
        <v>13062220030000</v>
      </c>
      <c r="BC1315" s="1">
        <v>0.0</v>
      </c>
      <c r="BD1315" s="1">
        <v>425000.0</v>
      </c>
      <c r="BE1315" s="2">
        <v>42068.0</v>
      </c>
      <c r="BF1315" s="2" t="s">
        <v>13853</v>
      </c>
      <c r="BG1315" s="1" t="s">
        <v>13854</v>
      </c>
      <c r="BH1315" s="1">
        <v>0.0</v>
      </c>
      <c r="BJ1315" s="1" t="s">
        <v>1222</v>
      </c>
      <c r="BK1315" s="1" t="s">
        <v>204</v>
      </c>
      <c r="BL1315" s="1" t="str">
        <f>"6037"</f>
        <v>6037</v>
      </c>
      <c r="BM1315" s="1" t="str">
        <f t="shared" si="868"/>
        <v>0</v>
      </c>
      <c r="BN1315" s="1">
        <v>6420.0</v>
      </c>
      <c r="BO1315" s="1">
        <v>0.0</v>
      </c>
      <c r="BQ1315" s="1">
        <v>299.0</v>
      </c>
      <c r="BR1315" s="1">
        <v>299.0</v>
      </c>
      <c r="BS1315" s="1">
        <v>299.0</v>
      </c>
      <c r="BU1315" s="1" t="s">
        <v>515</v>
      </c>
      <c r="BV1315" s="1" t="s">
        <v>206</v>
      </c>
      <c r="BW1315" s="1" t="s">
        <v>207</v>
      </c>
      <c r="BY1315" s="1" t="s">
        <v>213</v>
      </c>
      <c r="BZ1315" s="1" t="s">
        <v>209</v>
      </c>
      <c r="CA1315" s="1" t="s">
        <v>210</v>
      </c>
      <c r="CC1315" s="1" t="s">
        <v>375</v>
      </c>
      <c r="CD1315" s="1" t="s">
        <v>206</v>
      </c>
      <c r="CE1315" s="1" t="s">
        <v>207</v>
      </c>
      <c r="CG1315" s="1" t="s">
        <v>363</v>
      </c>
      <c r="CH1315" s="1" t="s">
        <v>209</v>
      </c>
      <c r="CI1315" s="1" t="s">
        <v>210</v>
      </c>
      <c r="CK1315" s="1" t="s">
        <v>264</v>
      </c>
      <c r="CL1315" s="1" t="s">
        <v>206</v>
      </c>
      <c r="CM1315" s="1" t="s">
        <v>207</v>
      </c>
      <c r="CO1315" s="1" t="s">
        <v>1138</v>
      </c>
      <c r="CP1315" s="1" t="s">
        <v>42</v>
      </c>
      <c r="CQ1315" s="1" t="s">
        <v>588</v>
      </c>
      <c r="CS1315" s="1" t="s">
        <v>212</v>
      </c>
      <c r="CT1315" s="1" t="s">
        <v>206</v>
      </c>
      <c r="CU1315" s="1" t="s">
        <v>207</v>
      </c>
      <c r="CW1315" s="1" t="s">
        <v>647</v>
      </c>
      <c r="CX1315" s="1" t="s">
        <v>206</v>
      </c>
      <c r="CY1315" s="1" t="s">
        <v>207</v>
      </c>
      <c r="DA1315" s="1" t="s">
        <v>200</v>
      </c>
      <c r="DC1315" s="1" t="s">
        <v>545</v>
      </c>
      <c r="DD1315" s="1" t="s">
        <v>731</v>
      </c>
      <c r="DE1315" s="1" t="s">
        <v>273</v>
      </c>
      <c r="DF1315" s="1" t="s">
        <v>619</v>
      </c>
      <c r="DG1315" s="1" t="s">
        <v>482</v>
      </c>
      <c r="DH1315" s="1" t="s">
        <v>365</v>
      </c>
      <c r="DI1315" s="1" t="s">
        <v>1141</v>
      </c>
      <c r="DJ1315" s="1" t="s">
        <v>222</v>
      </c>
      <c r="DK1315" s="1" t="s">
        <v>1301</v>
      </c>
      <c r="DL1315" s="1" t="s">
        <v>224</v>
      </c>
      <c r="DM1315" s="1" t="s">
        <v>1247</v>
      </c>
      <c r="DN1315" s="1" t="s">
        <v>793</v>
      </c>
      <c r="DO1315" s="1" t="s">
        <v>549</v>
      </c>
      <c r="DP1315" s="1" t="s">
        <v>340</v>
      </c>
      <c r="DQ1315" s="1" t="s">
        <v>794</v>
      </c>
      <c r="DR1315" s="1" t="s">
        <v>229</v>
      </c>
      <c r="DS1315" s="1" t="s">
        <v>591</v>
      </c>
      <c r="DV1315" s="1" t="s">
        <v>2692</v>
      </c>
      <c r="DW1315" s="1" t="s">
        <v>891</v>
      </c>
      <c r="DX1315" s="1" t="s">
        <v>234</v>
      </c>
      <c r="DY1315" s="1" t="s">
        <v>765</v>
      </c>
      <c r="DZ1315" s="1" t="s">
        <v>310</v>
      </c>
      <c r="EA1315" s="1" t="s">
        <v>257</v>
      </c>
      <c r="EB1315" s="1" t="s">
        <v>937</v>
      </c>
      <c r="EC1315" s="1" t="s">
        <v>237</v>
      </c>
      <c r="ED1315" s="1" t="s">
        <v>5333</v>
      </c>
      <c r="EG1315" s="1" t="s">
        <v>598</v>
      </c>
      <c r="EH1315" s="1" t="s">
        <v>450</v>
      </c>
      <c r="EL1315" s="1" t="s">
        <v>516</v>
      </c>
      <c r="EM1315" s="1" t="s">
        <v>42</v>
      </c>
      <c r="EN1315" s="1" t="s">
        <v>588</v>
      </c>
      <c r="EP1315" s="1" t="s">
        <v>215</v>
      </c>
      <c r="EQ1315" s="1" t="s">
        <v>42</v>
      </c>
      <c r="ER1315" s="1" t="s">
        <v>588</v>
      </c>
      <c r="EU1315" s="1" t="s">
        <v>238</v>
      </c>
      <c r="EY1315" s="1" t="s">
        <v>238</v>
      </c>
      <c r="FC1315" s="1" t="s">
        <v>238</v>
      </c>
      <c r="FF1315" s="1" t="s">
        <v>239</v>
      </c>
      <c r="FG1315" s="1" t="s">
        <v>192</v>
      </c>
      <c r="FH1315" s="1" t="s">
        <v>192</v>
      </c>
      <c r="FJ1315" s="1" t="s">
        <v>799</v>
      </c>
      <c r="FK1315" s="1" t="s">
        <v>229</v>
      </c>
      <c r="FL1315" s="1" t="s">
        <v>3156</v>
      </c>
      <c r="FM1315" s="1">
        <v>84729.0</v>
      </c>
      <c r="FN1315" s="1" t="s">
        <v>3157</v>
      </c>
      <c r="FO1315" s="1" t="s">
        <v>9327</v>
      </c>
      <c r="FP1315" s="1">
        <v>157318.0</v>
      </c>
      <c r="FQ1315" s="1" t="s">
        <v>9328</v>
      </c>
      <c r="FU1315" s="1" t="s">
        <v>9329</v>
      </c>
      <c r="FV1315" s="1" t="s">
        <v>200</v>
      </c>
      <c r="FW1315" s="1" t="s">
        <v>290</v>
      </c>
      <c r="FX1315" s="1" t="s">
        <v>238</v>
      </c>
      <c r="FZ1315" s="1" t="s">
        <v>229</v>
      </c>
      <c r="GA1315" s="1" t="s">
        <v>291</v>
      </c>
      <c r="GB1315" s="2">
        <v>42125.0</v>
      </c>
      <c r="GC1315" s="1" t="s">
        <v>13855</v>
      </c>
    </row>
    <row r="1316">
      <c r="A1316" s="1">
        <v>239500.0</v>
      </c>
      <c r="B1316" s="1" t="s">
        <v>185</v>
      </c>
      <c r="C1316" s="1" t="str">
        <f>"08856860"</f>
        <v>08856860</v>
      </c>
      <c r="D1316" s="1" t="s">
        <v>186</v>
      </c>
      <c r="F1316" s="1" t="str">
        <f>"542"</f>
        <v>542</v>
      </c>
      <c r="G1316" s="2">
        <v>42072.0</v>
      </c>
      <c r="H1316" s="1">
        <v>245000.0</v>
      </c>
      <c r="I1316" s="1">
        <v>20.0</v>
      </c>
      <c r="J1316" s="1">
        <v>245000.0</v>
      </c>
      <c r="K1316" s="2">
        <v>42091.0</v>
      </c>
      <c r="L1316" s="1">
        <v>20.0</v>
      </c>
      <c r="M1316" s="2">
        <v>42091.0</v>
      </c>
      <c r="N1316" s="1" t="s">
        <v>356</v>
      </c>
      <c r="O1316" s="2">
        <v>42135.0</v>
      </c>
      <c r="P1316" s="1">
        <v>233070.0</v>
      </c>
      <c r="Q1316" s="1">
        <v>23265.0</v>
      </c>
      <c r="S1316" s="1">
        <v>618.0</v>
      </c>
      <c r="T1316" s="1" t="s">
        <v>13856</v>
      </c>
      <c r="U1316" s="1" t="s">
        <v>569</v>
      </c>
      <c r="V1316" s="1" t="s">
        <v>3984</v>
      </c>
      <c r="W1316" s="1">
        <v>60542.0</v>
      </c>
      <c r="Y1316" s="1" t="s">
        <v>13857</v>
      </c>
      <c r="Z1316" s="1">
        <v>1993.0</v>
      </c>
      <c r="AA1316" s="1" t="s">
        <v>200</v>
      </c>
      <c r="AB1316" s="1" t="s">
        <v>193</v>
      </c>
      <c r="AC1316" s="1" t="s">
        <v>4811</v>
      </c>
      <c r="AD1316" s="1" t="s">
        <v>3986</v>
      </c>
      <c r="AE1316" s="1" t="s">
        <v>325</v>
      </c>
      <c r="AF1316" s="1" t="s">
        <v>2702</v>
      </c>
      <c r="AH1316" s="1" t="s">
        <v>13858</v>
      </c>
      <c r="AK1316" s="1">
        <v>9.0</v>
      </c>
      <c r="AL1316" s="1">
        <v>4.0</v>
      </c>
      <c r="AM1316" s="1">
        <v>2.0</v>
      </c>
      <c r="AN1316" s="1">
        <v>1.0</v>
      </c>
      <c r="AO1316" s="1" t="s">
        <v>198</v>
      </c>
      <c r="AQ1316" s="1" t="s">
        <v>1314</v>
      </c>
      <c r="AR1316" s="1" t="s">
        <v>200</v>
      </c>
      <c r="AS1316" s="1" t="s">
        <v>199</v>
      </c>
      <c r="AT1316" s="1">
        <v>2.0</v>
      </c>
      <c r="AV1316" s="1" t="s">
        <v>200</v>
      </c>
      <c r="AW1316" s="1">
        <v>7460.82</v>
      </c>
      <c r="AX1316" s="1">
        <v>2013.0</v>
      </c>
      <c r="AY1316" s="1" t="s">
        <v>387</v>
      </c>
      <c r="AZ1316" s="1" t="s">
        <v>200</v>
      </c>
      <c r="BA1316" s="1" t="str">
        <f>"1234278004"</f>
        <v>1234278004</v>
      </c>
      <c r="BC1316" s="1">
        <v>2054.0</v>
      </c>
      <c r="BD1316" s="1">
        <v>239500.0</v>
      </c>
      <c r="BE1316" s="2">
        <v>42072.0</v>
      </c>
      <c r="BF1316" s="2" t="s">
        <v>13859</v>
      </c>
      <c r="BH1316" s="1">
        <v>0.0</v>
      </c>
      <c r="BK1316" s="1" t="s">
        <v>204</v>
      </c>
      <c r="BL1316" s="1" t="str">
        <f t="shared" ref="BL1316:BM1316" si="869">""</f>
        <v/>
      </c>
      <c r="BM1316" s="1" t="str">
        <f t="shared" si="869"/>
        <v/>
      </c>
      <c r="BQ1316" s="1">
        <v>129.0</v>
      </c>
      <c r="BR1316" s="1">
        <v>129.0</v>
      </c>
      <c r="BS1316" s="1">
        <v>129.0</v>
      </c>
      <c r="BU1316" s="1" t="s">
        <v>496</v>
      </c>
      <c r="BV1316" s="1" t="s">
        <v>206</v>
      </c>
      <c r="BW1316" s="1" t="s">
        <v>210</v>
      </c>
      <c r="BX1316" s="1" t="s">
        <v>239</v>
      </c>
      <c r="BY1316" s="1" t="s">
        <v>1064</v>
      </c>
      <c r="BZ1316" s="1" t="s">
        <v>209</v>
      </c>
      <c r="CA1316" s="1" t="s">
        <v>210</v>
      </c>
      <c r="CB1316" s="1" t="s">
        <v>239</v>
      </c>
      <c r="CC1316" s="1" t="s">
        <v>269</v>
      </c>
      <c r="CD1316" s="1" t="s">
        <v>206</v>
      </c>
      <c r="CE1316" s="1" t="s">
        <v>210</v>
      </c>
      <c r="CF1316" s="1" t="s">
        <v>239</v>
      </c>
      <c r="CG1316" s="1" t="s">
        <v>1117</v>
      </c>
      <c r="CH1316" s="1" t="s">
        <v>209</v>
      </c>
      <c r="CI1316" s="1" t="s">
        <v>210</v>
      </c>
      <c r="CJ1316" s="1" t="s">
        <v>239</v>
      </c>
      <c r="CK1316" s="1" t="s">
        <v>495</v>
      </c>
      <c r="CL1316" s="1" t="s">
        <v>209</v>
      </c>
      <c r="CM1316" s="1" t="s">
        <v>210</v>
      </c>
      <c r="CN1316" s="1" t="s">
        <v>239</v>
      </c>
      <c r="CO1316" s="1" t="s">
        <v>269</v>
      </c>
      <c r="CP1316" s="1" t="s">
        <v>209</v>
      </c>
      <c r="CQ1316" s="1" t="s">
        <v>210</v>
      </c>
      <c r="CR1316" s="1" t="s">
        <v>239</v>
      </c>
      <c r="CS1316" s="1" t="s">
        <v>1029</v>
      </c>
      <c r="CT1316" s="1" t="s">
        <v>206</v>
      </c>
      <c r="CU1316" s="1" t="s">
        <v>268</v>
      </c>
      <c r="CV1316" s="1" t="s">
        <v>239</v>
      </c>
      <c r="CW1316" s="1" t="s">
        <v>3989</v>
      </c>
      <c r="CX1316" s="1" t="s">
        <v>206</v>
      </c>
      <c r="CY1316" s="1" t="s">
        <v>207</v>
      </c>
      <c r="CZ1316" s="1" t="s">
        <v>239</v>
      </c>
      <c r="DA1316" s="1" t="s">
        <v>200</v>
      </c>
      <c r="DC1316" s="1" t="s">
        <v>435</v>
      </c>
      <c r="DD1316" s="1" t="s">
        <v>855</v>
      </c>
      <c r="DE1316" s="1" t="s">
        <v>273</v>
      </c>
      <c r="DF1316" s="1" t="s">
        <v>219</v>
      </c>
      <c r="DG1316" s="1" t="s">
        <v>1317</v>
      </c>
      <c r="DH1316" s="1" t="s">
        <v>220</v>
      </c>
      <c r="DI1316" s="1" t="s">
        <v>519</v>
      </c>
      <c r="DJ1316" s="1" t="s">
        <v>222</v>
      </c>
      <c r="DL1316" s="1" t="s">
        <v>438</v>
      </c>
      <c r="DM1316" s="1" t="s">
        <v>229</v>
      </c>
      <c r="DN1316" s="1" t="s">
        <v>548</v>
      </c>
      <c r="DO1316" s="1" t="s">
        <v>549</v>
      </c>
      <c r="DP1316" s="1" t="s">
        <v>400</v>
      </c>
      <c r="DQ1316" s="1" t="s">
        <v>228</v>
      </c>
      <c r="DR1316" s="1" t="s">
        <v>229</v>
      </c>
      <c r="DS1316" s="1" t="s">
        <v>368</v>
      </c>
      <c r="DU1316" s="1" t="s">
        <v>5750</v>
      </c>
      <c r="DV1316" s="1" t="s">
        <v>449</v>
      </c>
      <c r="DW1316" s="1" t="s">
        <v>233</v>
      </c>
      <c r="DX1316" s="1" t="s">
        <v>234</v>
      </c>
      <c r="DY1316" s="1" t="s">
        <v>490</v>
      </c>
      <c r="DZ1316" s="1" t="s">
        <v>13361</v>
      </c>
      <c r="EA1316" s="1" t="s">
        <v>344</v>
      </c>
      <c r="EC1316" s="1" t="s">
        <v>237</v>
      </c>
      <c r="ED1316" s="1" t="s">
        <v>407</v>
      </c>
      <c r="EG1316" s="1" t="s">
        <v>449</v>
      </c>
      <c r="EL1316" s="1" t="s">
        <v>1746</v>
      </c>
      <c r="EM1316" s="1" t="s">
        <v>206</v>
      </c>
      <c r="EN1316" s="1" t="s">
        <v>268</v>
      </c>
      <c r="EQ1316" s="1" t="s">
        <v>238</v>
      </c>
      <c r="EU1316" s="1" t="s">
        <v>238</v>
      </c>
      <c r="EY1316" s="1" t="s">
        <v>238</v>
      </c>
      <c r="FC1316" s="1" t="s">
        <v>238</v>
      </c>
      <c r="FF1316" s="1" t="s">
        <v>239</v>
      </c>
      <c r="FG1316" s="1" t="s">
        <v>192</v>
      </c>
      <c r="FH1316" s="1" t="s">
        <v>192</v>
      </c>
      <c r="FJ1316" s="1" t="s">
        <v>13860</v>
      </c>
      <c r="FK1316" s="1" t="s">
        <v>229</v>
      </c>
      <c r="FL1316" s="1" t="s">
        <v>2580</v>
      </c>
      <c r="FM1316" s="1">
        <v>23265.0</v>
      </c>
      <c r="FN1316" s="1" t="s">
        <v>2581</v>
      </c>
      <c r="FO1316" s="1" t="s">
        <v>13861</v>
      </c>
      <c r="FP1316" s="1">
        <v>229434.0</v>
      </c>
      <c r="FQ1316" s="1" t="s">
        <v>13862</v>
      </c>
      <c r="FU1316" s="1" t="s">
        <v>1882</v>
      </c>
      <c r="FV1316" s="1" t="s">
        <v>200</v>
      </c>
      <c r="FW1316" s="1" t="s">
        <v>290</v>
      </c>
      <c r="FZ1316" s="1" t="s">
        <v>229</v>
      </c>
      <c r="GA1316" s="1" t="s">
        <v>291</v>
      </c>
      <c r="GB1316" s="2">
        <v>42138.0</v>
      </c>
      <c r="GC1316" s="1" t="s">
        <v>13863</v>
      </c>
    </row>
    <row r="1317">
      <c r="A1317" s="1">
        <v>190000.0</v>
      </c>
      <c r="B1317" s="1" t="s">
        <v>185</v>
      </c>
      <c r="C1317" s="1" t="str">
        <f>"08854537"</f>
        <v>08854537</v>
      </c>
      <c r="D1317" s="1" t="s">
        <v>186</v>
      </c>
      <c r="F1317" s="1" t="str">
        <f>"8069"</f>
        <v>8069</v>
      </c>
      <c r="G1317" s="2">
        <v>42069.0</v>
      </c>
      <c r="H1317" s="1">
        <v>180900.0</v>
      </c>
      <c r="I1317" s="1">
        <v>77.0</v>
      </c>
      <c r="J1317" s="1">
        <v>180900.0</v>
      </c>
      <c r="K1317" s="2">
        <v>42093.0</v>
      </c>
      <c r="L1317" s="1">
        <v>25.0</v>
      </c>
      <c r="M1317" s="2">
        <v>42093.0</v>
      </c>
      <c r="N1317" s="1" t="s">
        <v>356</v>
      </c>
      <c r="O1317" s="2">
        <v>42142.0</v>
      </c>
      <c r="P1317" s="1">
        <v>874479.0</v>
      </c>
      <c r="Q1317" s="1">
        <v>84180.0</v>
      </c>
      <c r="R1317" s="1">
        <v>9100.0</v>
      </c>
      <c r="S1317" s="1">
        <v>7611.0</v>
      </c>
      <c r="T1317" s="1" t="s">
        <v>3384</v>
      </c>
      <c r="U1317" s="1" t="s">
        <v>189</v>
      </c>
      <c r="V1317" s="1" t="s">
        <v>190</v>
      </c>
      <c r="W1317" s="1">
        <v>60620.0</v>
      </c>
      <c r="Y1317" s="1" t="s">
        <v>13864</v>
      </c>
      <c r="Z1317" s="1">
        <v>1921.0</v>
      </c>
      <c r="AA1317" s="1" t="s">
        <v>192</v>
      </c>
      <c r="AB1317" s="1" t="s">
        <v>193</v>
      </c>
      <c r="AD1317" s="1" t="s">
        <v>194</v>
      </c>
      <c r="AE1317" s="1" t="s">
        <v>195</v>
      </c>
      <c r="AF1317" s="1" t="s">
        <v>1154</v>
      </c>
      <c r="AH1317" s="1" t="s">
        <v>359</v>
      </c>
      <c r="AI1317" s="1">
        <v>0.1232</v>
      </c>
      <c r="AK1317" s="1">
        <v>8.0</v>
      </c>
      <c r="AL1317" s="1">
        <v>3.0</v>
      </c>
      <c r="AM1317" s="1">
        <v>3.0</v>
      </c>
      <c r="AN1317" s="1">
        <v>0.0</v>
      </c>
      <c r="AO1317" s="1" t="s">
        <v>198</v>
      </c>
      <c r="AQ1317" s="1" t="s">
        <v>198</v>
      </c>
      <c r="AR1317" s="1" t="s">
        <v>192</v>
      </c>
      <c r="AS1317" s="1" t="s">
        <v>199</v>
      </c>
      <c r="AT1317" s="1">
        <v>2.0</v>
      </c>
      <c r="AV1317" s="1" t="s">
        <v>200</v>
      </c>
      <c r="AW1317" s="1">
        <v>1453.1</v>
      </c>
      <c r="AX1317" s="1">
        <v>2013.0</v>
      </c>
      <c r="AY1317" s="1" t="s">
        <v>387</v>
      </c>
      <c r="AZ1317" s="1" t="s">
        <v>200</v>
      </c>
      <c r="BA1317" s="1" t="str">
        <f>"20284120040000"</f>
        <v>20284120040000</v>
      </c>
      <c r="BB1317" s="1" t="s">
        <v>200</v>
      </c>
      <c r="BC1317" s="1">
        <v>1400.0</v>
      </c>
      <c r="BD1317" s="1">
        <v>190000.0</v>
      </c>
      <c r="BE1317" s="2">
        <v>42069.0</v>
      </c>
      <c r="BF1317" s="2" t="s">
        <v>13865</v>
      </c>
      <c r="BH1317" s="1">
        <v>0.0</v>
      </c>
      <c r="BK1317" s="1" t="s">
        <v>204</v>
      </c>
      <c r="BL1317" s="1" t="str">
        <f t="shared" ref="BL1317:BM1317" si="870">"0"</f>
        <v>0</v>
      </c>
      <c r="BM1317" s="1" t="str">
        <f t="shared" si="870"/>
        <v>0</v>
      </c>
      <c r="BN1317" s="1">
        <v>400.0</v>
      </c>
      <c r="BO1317" s="1">
        <v>7600.0</v>
      </c>
      <c r="BQ1317" s="1">
        <v>299.0</v>
      </c>
      <c r="BR1317" s="1">
        <v>299.0</v>
      </c>
      <c r="BS1317" s="1">
        <v>299.0</v>
      </c>
      <c r="BU1317" s="1" t="s">
        <v>4399</v>
      </c>
      <c r="BV1317" s="1" t="s">
        <v>206</v>
      </c>
      <c r="BW1317" s="1" t="s">
        <v>207</v>
      </c>
      <c r="BY1317" s="1" t="s">
        <v>877</v>
      </c>
      <c r="BZ1317" s="1" t="s">
        <v>209</v>
      </c>
      <c r="CA1317" s="1" t="s">
        <v>210</v>
      </c>
      <c r="CC1317" s="1" t="s">
        <v>212</v>
      </c>
      <c r="CD1317" s="1" t="s">
        <v>206</v>
      </c>
      <c r="CE1317" s="1" t="s">
        <v>207</v>
      </c>
      <c r="CG1317" s="1" t="s">
        <v>1352</v>
      </c>
      <c r="CH1317" s="1" t="s">
        <v>206</v>
      </c>
      <c r="CI1317" s="1" t="s">
        <v>210</v>
      </c>
      <c r="CK1317" s="1" t="s">
        <v>392</v>
      </c>
      <c r="CL1317" s="1" t="s">
        <v>206</v>
      </c>
      <c r="CM1317" s="1" t="s">
        <v>210</v>
      </c>
      <c r="CO1317" s="1" t="s">
        <v>212</v>
      </c>
      <c r="CP1317" s="1" t="s">
        <v>42</v>
      </c>
      <c r="CQ1317" s="1" t="s">
        <v>210</v>
      </c>
      <c r="CS1317" s="1" t="s">
        <v>264</v>
      </c>
      <c r="CT1317" s="1" t="s">
        <v>206</v>
      </c>
      <c r="CU1317" s="1" t="s">
        <v>1136</v>
      </c>
      <c r="CW1317" s="1" t="s">
        <v>13866</v>
      </c>
      <c r="CX1317" s="1" t="s">
        <v>42</v>
      </c>
      <c r="CY1317" s="1" t="s">
        <v>268</v>
      </c>
      <c r="DA1317" s="1" t="s">
        <v>200</v>
      </c>
      <c r="DC1317" s="1" t="s">
        <v>216</v>
      </c>
      <c r="DD1317" s="1" t="s">
        <v>957</v>
      </c>
      <c r="DE1317" s="1" t="s">
        <v>273</v>
      </c>
      <c r="DF1317" s="1" t="s">
        <v>619</v>
      </c>
      <c r="DH1317" s="1" t="s">
        <v>307</v>
      </c>
      <c r="DI1317" s="1" t="s">
        <v>366</v>
      </c>
      <c r="DJ1317" s="1" t="s">
        <v>222</v>
      </c>
      <c r="DK1317" s="1" t="s">
        <v>4233</v>
      </c>
      <c r="DL1317" s="1" t="s">
        <v>224</v>
      </c>
      <c r="DM1317" s="1" t="s">
        <v>229</v>
      </c>
      <c r="DN1317" s="1" t="s">
        <v>548</v>
      </c>
      <c r="DP1317" s="1" t="s">
        <v>340</v>
      </c>
      <c r="DQ1317" s="1" t="s">
        <v>228</v>
      </c>
      <c r="DR1317" s="1" t="s">
        <v>229</v>
      </c>
      <c r="DS1317" s="1" t="s">
        <v>591</v>
      </c>
      <c r="DV1317" s="1" t="s">
        <v>232</v>
      </c>
      <c r="DW1317" s="1" t="s">
        <v>279</v>
      </c>
      <c r="DX1317" s="1" t="s">
        <v>234</v>
      </c>
      <c r="DY1317" s="1" t="s">
        <v>5703</v>
      </c>
      <c r="DZ1317" s="1" t="s">
        <v>310</v>
      </c>
      <c r="EA1317" s="1" t="s">
        <v>644</v>
      </c>
      <c r="EC1317" s="1" t="s">
        <v>237</v>
      </c>
      <c r="EM1317" s="1" t="s">
        <v>238</v>
      </c>
      <c r="EQ1317" s="1" t="s">
        <v>238</v>
      </c>
      <c r="EU1317" s="1" t="s">
        <v>238</v>
      </c>
      <c r="EY1317" s="1" t="s">
        <v>238</v>
      </c>
      <c r="FC1317" s="1" t="s">
        <v>238</v>
      </c>
      <c r="FF1317" s="1" t="s">
        <v>239</v>
      </c>
      <c r="FG1317" s="1" t="s">
        <v>192</v>
      </c>
      <c r="FH1317" s="1" t="s">
        <v>192</v>
      </c>
      <c r="FJ1317" s="1" t="s">
        <v>648</v>
      </c>
      <c r="FK1317" s="1" t="s">
        <v>229</v>
      </c>
      <c r="FL1317" s="1" t="s">
        <v>649</v>
      </c>
      <c r="FM1317" s="1">
        <v>60296.0</v>
      </c>
      <c r="FN1317" s="1" t="s">
        <v>650</v>
      </c>
      <c r="FO1317" s="1" t="s">
        <v>651</v>
      </c>
      <c r="FP1317" s="1">
        <v>602837.0</v>
      </c>
      <c r="FQ1317" s="1" t="s">
        <v>652</v>
      </c>
      <c r="FR1317" s="1">
        <v>602442.0</v>
      </c>
      <c r="FU1317" s="1" t="s">
        <v>1438</v>
      </c>
      <c r="FV1317" s="1" t="s">
        <v>200</v>
      </c>
      <c r="FW1317" s="1" t="s">
        <v>530</v>
      </c>
      <c r="FX1317" s="1" t="s">
        <v>655</v>
      </c>
      <c r="FZ1317" s="1" t="s">
        <v>229</v>
      </c>
      <c r="GA1317" s="1" t="s">
        <v>291</v>
      </c>
      <c r="GB1317" s="2">
        <v>42143.0</v>
      </c>
      <c r="GC1317" s="1" t="s">
        <v>723</v>
      </c>
    </row>
    <row r="1318">
      <c r="A1318" s="1">
        <v>188000.0</v>
      </c>
      <c r="B1318" s="1" t="s">
        <v>185</v>
      </c>
      <c r="C1318" s="1" t="str">
        <f>"08853357"</f>
        <v>08853357</v>
      </c>
      <c r="D1318" s="1" t="s">
        <v>186</v>
      </c>
      <c r="F1318" s="1" t="str">
        <f>"545"</f>
        <v>545</v>
      </c>
      <c r="G1318" s="2">
        <v>42068.0</v>
      </c>
      <c r="H1318" s="1">
        <v>189900.0</v>
      </c>
      <c r="I1318" s="1">
        <v>5.0</v>
      </c>
      <c r="J1318" s="1">
        <v>189900.0</v>
      </c>
      <c r="K1318" s="2">
        <v>42072.0</v>
      </c>
      <c r="L1318" s="1">
        <v>5.0</v>
      </c>
      <c r="M1318" s="2">
        <v>42072.0</v>
      </c>
      <c r="N1318" s="1" t="s">
        <v>187</v>
      </c>
      <c r="O1318" s="2">
        <v>42104.0</v>
      </c>
      <c r="P1318" s="1">
        <v>231373.0</v>
      </c>
      <c r="Q1318" s="1">
        <v>22588.0</v>
      </c>
      <c r="S1318" s="1">
        <v>426.0</v>
      </c>
      <c r="T1318" s="1" t="s">
        <v>13867</v>
      </c>
      <c r="U1318" s="1" t="s">
        <v>320</v>
      </c>
      <c r="V1318" s="1" t="s">
        <v>3364</v>
      </c>
      <c r="W1318" s="1">
        <v>60545.0</v>
      </c>
      <c r="Y1318" s="1" t="s">
        <v>13868</v>
      </c>
      <c r="Z1318" s="1">
        <v>2006.0</v>
      </c>
      <c r="AA1318" s="1" t="s">
        <v>200</v>
      </c>
      <c r="AB1318" s="1" t="s">
        <v>193</v>
      </c>
      <c r="AC1318" s="1" t="s">
        <v>6092</v>
      </c>
      <c r="AD1318" s="1" t="s">
        <v>3366</v>
      </c>
      <c r="AE1318" s="1" t="s">
        <v>849</v>
      </c>
      <c r="AF1318" s="1" t="s">
        <v>3367</v>
      </c>
      <c r="AH1318" s="1" t="s">
        <v>13869</v>
      </c>
      <c r="AK1318" s="1">
        <v>10.0</v>
      </c>
      <c r="AL1318" s="1">
        <v>4.0</v>
      </c>
      <c r="AM1318" s="1">
        <v>2.0</v>
      </c>
      <c r="AN1318" s="1">
        <v>1.0</v>
      </c>
      <c r="AO1318" s="1" t="s">
        <v>198</v>
      </c>
      <c r="AP1318" s="1">
        <v>1.0</v>
      </c>
      <c r="AQ1318" s="1" t="s">
        <v>1314</v>
      </c>
      <c r="AR1318" s="1" t="s">
        <v>200</v>
      </c>
      <c r="AS1318" s="1" t="s">
        <v>199</v>
      </c>
      <c r="AT1318" s="1">
        <v>2.0</v>
      </c>
      <c r="AV1318" s="1" t="s">
        <v>192</v>
      </c>
      <c r="AW1318" s="1">
        <v>6710.96</v>
      </c>
      <c r="AX1318" s="1">
        <v>2013.0</v>
      </c>
      <c r="AY1318" s="1" t="s">
        <v>387</v>
      </c>
      <c r="AZ1318" s="1" t="s">
        <v>200</v>
      </c>
      <c r="BA1318" s="1" t="str">
        <f>"0124254005"</f>
        <v>0124254005</v>
      </c>
      <c r="BC1318" s="1">
        <v>2364.0</v>
      </c>
      <c r="BD1318" s="1">
        <v>188000.0</v>
      </c>
      <c r="BE1318" s="2">
        <v>42068.0</v>
      </c>
      <c r="BF1318" s="2" t="s">
        <v>13870</v>
      </c>
      <c r="BH1318" s="1">
        <v>35.0</v>
      </c>
      <c r="BK1318" s="1" t="s">
        <v>474</v>
      </c>
      <c r="BL1318" s="1" t="str">
        <f t="shared" ref="BL1318:BM1318" si="871">""</f>
        <v/>
      </c>
      <c r="BM1318" s="1" t="str">
        <f t="shared" si="871"/>
        <v/>
      </c>
      <c r="BQ1318" s="1">
        <v>88.0</v>
      </c>
      <c r="BR1318" s="1">
        <v>88.0</v>
      </c>
      <c r="BS1318" s="1">
        <v>88.0</v>
      </c>
      <c r="BU1318" s="1" t="s">
        <v>758</v>
      </c>
      <c r="BV1318" s="1" t="s">
        <v>206</v>
      </c>
      <c r="BW1318" s="1" t="s">
        <v>210</v>
      </c>
      <c r="BX1318" s="1" t="s">
        <v>1549</v>
      </c>
      <c r="BY1318" s="1" t="s">
        <v>784</v>
      </c>
      <c r="BZ1318" s="1" t="s">
        <v>209</v>
      </c>
      <c r="CA1318" s="1" t="s">
        <v>210</v>
      </c>
      <c r="CB1318" s="1" t="s">
        <v>1549</v>
      </c>
      <c r="CC1318" s="1" t="s">
        <v>582</v>
      </c>
      <c r="CD1318" s="1" t="s">
        <v>206</v>
      </c>
      <c r="CE1318" s="1" t="s">
        <v>210</v>
      </c>
      <c r="CG1318" s="1" t="s">
        <v>495</v>
      </c>
      <c r="CH1318" s="1" t="s">
        <v>209</v>
      </c>
      <c r="CI1318" s="1" t="s">
        <v>210</v>
      </c>
      <c r="CJ1318" s="1" t="s">
        <v>1549</v>
      </c>
      <c r="CK1318" s="1" t="s">
        <v>332</v>
      </c>
      <c r="CL1318" s="1" t="s">
        <v>209</v>
      </c>
      <c r="CM1318" s="1" t="s">
        <v>210</v>
      </c>
      <c r="CN1318" s="1" t="s">
        <v>1549</v>
      </c>
      <c r="CO1318" s="1" t="s">
        <v>497</v>
      </c>
      <c r="CP1318" s="1" t="s">
        <v>209</v>
      </c>
      <c r="CQ1318" s="1" t="s">
        <v>210</v>
      </c>
      <c r="CR1318" s="1" t="s">
        <v>1549</v>
      </c>
      <c r="CS1318" s="1" t="s">
        <v>215</v>
      </c>
      <c r="CT1318" s="1" t="s">
        <v>206</v>
      </c>
      <c r="CU1318" s="1" t="s">
        <v>268</v>
      </c>
      <c r="CW1318" s="1" t="s">
        <v>208</v>
      </c>
      <c r="CX1318" s="1" t="s">
        <v>206</v>
      </c>
      <c r="CY1318" s="1" t="s">
        <v>210</v>
      </c>
      <c r="CZ1318" s="1" t="s">
        <v>1549</v>
      </c>
      <c r="DA1318" s="1" t="s">
        <v>200</v>
      </c>
      <c r="DC1318" s="1" t="s">
        <v>481</v>
      </c>
      <c r="DD1318" s="1" t="s">
        <v>336</v>
      </c>
      <c r="DE1318" s="1" t="s">
        <v>273</v>
      </c>
      <c r="DF1318" s="1" t="s">
        <v>219</v>
      </c>
      <c r="DG1318" s="1" t="s">
        <v>4561</v>
      </c>
      <c r="DH1318" s="1" t="s">
        <v>220</v>
      </c>
      <c r="DI1318" s="1" t="s">
        <v>519</v>
      </c>
      <c r="DJ1318" s="1" t="s">
        <v>222</v>
      </c>
      <c r="DL1318" s="1" t="s">
        <v>223</v>
      </c>
      <c r="DM1318" s="1" t="s">
        <v>229</v>
      </c>
      <c r="DN1318" s="1" t="s">
        <v>1023</v>
      </c>
      <c r="DO1318" s="1" t="s">
        <v>6843</v>
      </c>
      <c r="DP1318" s="1" t="s">
        <v>340</v>
      </c>
      <c r="DQ1318" s="1" t="s">
        <v>228</v>
      </c>
      <c r="DR1318" s="1" t="s">
        <v>4273</v>
      </c>
      <c r="DS1318" s="1" t="s">
        <v>230</v>
      </c>
      <c r="DU1318" s="1" t="s">
        <v>13871</v>
      </c>
      <c r="DV1318" s="1" t="s">
        <v>11895</v>
      </c>
      <c r="DW1318" s="1" t="s">
        <v>233</v>
      </c>
      <c r="DX1318" s="1" t="s">
        <v>234</v>
      </c>
      <c r="DY1318" s="1" t="s">
        <v>3846</v>
      </c>
      <c r="DZ1318" s="1" t="s">
        <v>343</v>
      </c>
      <c r="EA1318" s="1" t="s">
        <v>344</v>
      </c>
      <c r="EB1318" s="1" t="s">
        <v>937</v>
      </c>
      <c r="EC1318" s="1" t="s">
        <v>237</v>
      </c>
      <c r="ED1318" s="1" t="s">
        <v>407</v>
      </c>
      <c r="EG1318" s="1" t="s">
        <v>598</v>
      </c>
      <c r="EH1318" s="1" t="s">
        <v>408</v>
      </c>
      <c r="EI1318" s="1" t="s">
        <v>449</v>
      </c>
      <c r="EL1318" s="1" t="s">
        <v>269</v>
      </c>
      <c r="EM1318" s="1" t="s">
        <v>206</v>
      </c>
      <c r="EN1318" s="1" t="s">
        <v>210</v>
      </c>
      <c r="EO1318" s="1" t="s">
        <v>11065</v>
      </c>
      <c r="EP1318" s="1" t="s">
        <v>768</v>
      </c>
      <c r="EQ1318" s="1" t="s">
        <v>206</v>
      </c>
      <c r="ER1318" s="1" t="s">
        <v>268</v>
      </c>
      <c r="ET1318" s="1" t="s">
        <v>640</v>
      </c>
      <c r="EU1318" s="1" t="s">
        <v>206</v>
      </c>
      <c r="EV1318" s="1" t="s">
        <v>268</v>
      </c>
      <c r="EW1318" s="1" t="s">
        <v>1549</v>
      </c>
      <c r="EY1318" s="1" t="s">
        <v>238</v>
      </c>
      <c r="FC1318" s="1" t="s">
        <v>238</v>
      </c>
      <c r="FF1318" s="1" t="s">
        <v>239</v>
      </c>
      <c r="FG1318" s="1" t="s">
        <v>192</v>
      </c>
      <c r="FH1318" s="1" t="s">
        <v>192</v>
      </c>
      <c r="FJ1318" s="1" t="s">
        <v>3514</v>
      </c>
      <c r="FK1318" s="1" t="s">
        <v>229</v>
      </c>
      <c r="FL1318" s="1" t="s">
        <v>1007</v>
      </c>
      <c r="FM1318" s="1">
        <v>23286.0</v>
      </c>
      <c r="FN1318" s="1" t="s">
        <v>4221</v>
      </c>
      <c r="FO1318" s="1" t="s">
        <v>4222</v>
      </c>
      <c r="FP1318" s="1">
        <v>259181.0</v>
      </c>
      <c r="FQ1318" s="1" t="s">
        <v>4223</v>
      </c>
      <c r="FR1318" s="1">
        <v>259314.0</v>
      </c>
      <c r="FS1318" s="1" t="s">
        <v>4224</v>
      </c>
      <c r="FU1318" s="1" t="s">
        <v>13872</v>
      </c>
      <c r="FV1318" s="1" t="s">
        <v>200</v>
      </c>
      <c r="FW1318" s="1" t="s">
        <v>1511</v>
      </c>
      <c r="FZ1318" s="1" t="s">
        <v>229</v>
      </c>
      <c r="GA1318" s="1" t="s">
        <v>291</v>
      </c>
      <c r="GB1318" s="2">
        <v>42104.0</v>
      </c>
      <c r="GC1318" s="1" t="s">
        <v>13873</v>
      </c>
    </row>
    <row r="1319">
      <c r="A1319" s="1">
        <v>139900.0</v>
      </c>
      <c r="B1319" s="1" t="s">
        <v>185</v>
      </c>
      <c r="C1319" s="1" t="str">
        <f>"08856997"</f>
        <v>08856997</v>
      </c>
      <c r="D1319" s="1" t="s">
        <v>186</v>
      </c>
      <c r="F1319" s="1" t="str">
        <f>"8044"</f>
        <v>8044</v>
      </c>
      <c r="G1319" s="2">
        <v>42073.0</v>
      </c>
      <c r="H1319" s="1">
        <v>139900.0</v>
      </c>
      <c r="I1319" s="1">
        <v>37.0</v>
      </c>
      <c r="J1319" s="1">
        <v>139900.0</v>
      </c>
      <c r="K1319" s="2">
        <v>42109.0</v>
      </c>
      <c r="L1319" s="1">
        <v>37.0</v>
      </c>
      <c r="M1319" s="2">
        <v>42109.0</v>
      </c>
      <c r="N1319" s="1" t="s">
        <v>187</v>
      </c>
      <c r="O1319" s="2">
        <v>42146.0</v>
      </c>
      <c r="P1319" s="1">
        <v>173872.0</v>
      </c>
      <c r="Q1319" s="1">
        <v>85131.0</v>
      </c>
      <c r="R1319" s="1">
        <v>5596.0</v>
      </c>
      <c r="S1319" s="1">
        <v>628.0</v>
      </c>
      <c r="T1319" s="1" t="s">
        <v>13874</v>
      </c>
      <c r="U1319" s="1" t="s">
        <v>320</v>
      </c>
      <c r="V1319" s="1" t="s">
        <v>190</v>
      </c>
      <c r="W1319" s="1">
        <v>60619.0</v>
      </c>
      <c r="Y1319" s="1" t="s">
        <v>13875</v>
      </c>
      <c r="Z1319" s="1">
        <v>1926.0</v>
      </c>
      <c r="AA1319" s="1" t="s">
        <v>192</v>
      </c>
      <c r="AB1319" s="1" t="s">
        <v>193</v>
      </c>
      <c r="AD1319" s="1" t="s">
        <v>194</v>
      </c>
      <c r="AE1319" s="1" t="s">
        <v>195</v>
      </c>
      <c r="AF1319" s="1" t="s">
        <v>637</v>
      </c>
      <c r="AH1319" s="1" t="s">
        <v>13876</v>
      </c>
      <c r="AK1319" s="1">
        <v>9.0</v>
      </c>
      <c r="AL1319" s="1">
        <v>2.0</v>
      </c>
      <c r="AM1319" s="1">
        <v>2.0</v>
      </c>
      <c r="AN1319" s="1">
        <v>0.0</v>
      </c>
      <c r="AO1319" s="1" t="s">
        <v>229</v>
      </c>
      <c r="AQ1319" s="1" t="s">
        <v>198</v>
      </c>
      <c r="AR1319" s="1" t="s">
        <v>192</v>
      </c>
      <c r="AS1319" s="1" t="s">
        <v>199</v>
      </c>
      <c r="AT1319" s="1">
        <v>2.0</v>
      </c>
      <c r="AV1319" s="1" t="s">
        <v>200</v>
      </c>
      <c r="AW1319" s="4">
        <v>1884.2</v>
      </c>
      <c r="AX1319" s="1">
        <v>2013.0</v>
      </c>
      <c r="AY1319" s="1" t="s">
        <v>229</v>
      </c>
      <c r="AZ1319" s="1" t="s">
        <v>200</v>
      </c>
      <c r="BA1319" s="1" t="str">
        <f>"25032140320000"</f>
        <v>25032140320000</v>
      </c>
      <c r="BB1319" s="1" t="s">
        <v>200</v>
      </c>
      <c r="BC1319" s="1">
        <v>1194.0</v>
      </c>
      <c r="BD1319" s="1">
        <v>139900.0</v>
      </c>
      <c r="BE1319" s="2">
        <v>42073.0</v>
      </c>
      <c r="BF1319" s="2" t="s">
        <v>13877</v>
      </c>
      <c r="BH1319" s="1">
        <v>0.0</v>
      </c>
      <c r="BK1319" s="1" t="s">
        <v>204</v>
      </c>
      <c r="BL1319" s="1" t="str">
        <f>"0"</f>
        <v>0</v>
      </c>
      <c r="BM1319" s="1" t="str">
        <f>"628"</f>
        <v>628</v>
      </c>
      <c r="BN1319" s="1">
        <v>0.0</v>
      </c>
      <c r="BO1319" s="1">
        <v>8900.0</v>
      </c>
      <c r="BQ1319" s="1">
        <v>299.0</v>
      </c>
      <c r="BR1319" s="1">
        <v>299.0</v>
      </c>
      <c r="BS1319" s="1">
        <v>299.0</v>
      </c>
      <c r="BU1319" s="1" t="s">
        <v>2219</v>
      </c>
      <c r="BV1319" s="1" t="s">
        <v>206</v>
      </c>
      <c r="BW1319" s="1" t="s">
        <v>207</v>
      </c>
      <c r="BY1319" s="1" t="s">
        <v>303</v>
      </c>
      <c r="BZ1319" s="1" t="s">
        <v>206</v>
      </c>
      <c r="CA1319" s="1" t="s">
        <v>207</v>
      </c>
      <c r="CC1319" s="1" t="s">
        <v>2459</v>
      </c>
      <c r="CD1319" s="1" t="s">
        <v>206</v>
      </c>
      <c r="CE1319" s="1" t="s">
        <v>207</v>
      </c>
      <c r="CG1319" s="1" t="s">
        <v>269</v>
      </c>
      <c r="CH1319" s="1" t="s">
        <v>206</v>
      </c>
      <c r="CI1319" s="1" t="s">
        <v>207</v>
      </c>
      <c r="CK1319" s="1" t="s">
        <v>1904</v>
      </c>
      <c r="CL1319" s="1" t="s">
        <v>42</v>
      </c>
      <c r="CM1319" s="1" t="s">
        <v>210</v>
      </c>
      <c r="CO1319" s="1" t="s">
        <v>2459</v>
      </c>
      <c r="CP1319" s="1" t="s">
        <v>42</v>
      </c>
      <c r="CQ1319" s="1" t="s">
        <v>210</v>
      </c>
      <c r="CS1319" s="1" t="s">
        <v>2425</v>
      </c>
      <c r="CT1319" s="1" t="s">
        <v>206</v>
      </c>
      <c r="CW1319" s="1" t="s">
        <v>3244</v>
      </c>
      <c r="CX1319" s="1" t="s">
        <v>42</v>
      </c>
      <c r="DA1319" s="1" t="s">
        <v>200</v>
      </c>
      <c r="DC1319" s="1" t="s">
        <v>785</v>
      </c>
      <c r="DE1319" s="1" t="s">
        <v>273</v>
      </c>
      <c r="DF1319" s="1" t="s">
        <v>219</v>
      </c>
      <c r="DH1319" s="1" t="s">
        <v>365</v>
      </c>
      <c r="DI1319" s="1" t="s">
        <v>308</v>
      </c>
      <c r="DJ1319" s="1" t="s">
        <v>222</v>
      </c>
      <c r="DL1319" s="1" t="s">
        <v>224</v>
      </c>
      <c r="DM1319" s="1" t="s">
        <v>229</v>
      </c>
      <c r="DQ1319" s="1" t="s">
        <v>718</v>
      </c>
      <c r="DR1319" s="1" t="s">
        <v>229</v>
      </c>
      <c r="DV1319" s="1" t="s">
        <v>598</v>
      </c>
      <c r="DW1319" s="1" t="s">
        <v>279</v>
      </c>
      <c r="DX1319" s="1" t="s">
        <v>234</v>
      </c>
      <c r="EC1319" s="1" t="s">
        <v>685</v>
      </c>
      <c r="EG1319" s="1" t="s">
        <v>598</v>
      </c>
      <c r="EL1319" s="1" t="s">
        <v>392</v>
      </c>
      <c r="EM1319" s="1" t="s">
        <v>42</v>
      </c>
      <c r="EQ1319" s="1" t="s">
        <v>238</v>
      </c>
      <c r="EU1319" s="1" t="s">
        <v>238</v>
      </c>
      <c r="EY1319" s="1" t="s">
        <v>238</v>
      </c>
      <c r="FC1319" s="1" t="s">
        <v>238</v>
      </c>
      <c r="FF1319" s="1" t="s">
        <v>239</v>
      </c>
      <c r="FG1319" s="1" t="s">
        <v>192</v>
      </c>
      <c r="FH1319" s="1" t="s">
        <v>192</v>
      </c>
      <c r="FJ1319" s="1" t="s">
        <v>7646</v>
      </c>
      <c r="FK1319" s="1" t="s">
        <v>229</v>
      </c>
      <c r="FL1319" s="1" t="s">
        <v>10232</v>
      </c>
      <c r="FM1319" s="1">
        <v>11009.0</v>
      </c>
      <c r="FN1319" s="1" t="s">
        <v>10233</v>
      </c>
      <c r="FO1319" s="1" t="s">
        <v>13878</v>
      </c>
      <c r="FP1319" s="1">
        <v>155894.0</v>
      </c>
      <c r="FQ1319" s="1" t="s">
        <v>13879</v>
      </c>
      <c r="FU1319" s="1" t="s">
        <v>13880</v>
      </c>
      <c r="FV1319" s="1" t="s">
        <v>192</v>
      </c>
      <c r="FW1319" s="1" t="s">
        <v>290</v>
      </c>
      <c r="FX1319" s="1" t="s">
        <v>1739</v>
      </c>
      <c r="FZ1319" s="1" t="s">
        <v>229</v>
      </c>
      <c r="GA1319" s="1" t="s">
        <v>291</v>
      </c>
      <c r="GB1319" s="2">
        <v>42148.0</v>
      </c>
      <c r="GC1319" s="1" t="s">
        <v>13881</v>
      </c>
    </row>
    <row r="1320">
      <c r="A1320" s="1">
        <v>342500.0</v>
      </c>
      <c r="B1320" s="1" t="s">
        <v>185</v>
      </c>
      <c r="C1320" s="1" t="str">
        <f>"08870666"</f>
        <v>08870666</v>
      </c>
      <c r="D1320" s="1" t="s">
        <v>186</v>
      </c>
      <c r="F1320" s="1" t="str">
        <f>"8015"</f>
        <v>8015</v>
      </c>
      <c r="G1320" s="2">
        <v>42087.0</v>
      </c>
      <c r="H1320" s="1">
        <v>339900.0</v>
      </c>
      <c r="I1320" s="1">
        <v>6.0</v>
      </c>
      <c r="J1320" s="1">
        <v>339900.0</v>
      </c>
      <c r="K1320" s="2">
        <v>42092.0</v>
      </c>
      <c r="L1320" s="1">
        <v>6.0</v>
      </c>
      <c r="M1320" s="2">
        <v>42092.0</v>
      </c>
      <c r="N1320" s="1" t="s">
        <v>187</v>
      </c>
      <c r="O1320" s="2">
        <v>42135.0</v>
      </c>
      <c r="P1320" s="1">
        <v>185348.0</v>
      </c>
      <c r="Q1320" s="1">
        <v>15904.0</v>
      </c>
      <c r="S1320" s="1">
        <v>5339.0</v>
      </c>
      <c r="T1320" s="1" t="s">
        <v>6337</v>
      </c>
      <c r="U1320" s="1" t="s">
        <v>320</v>
      </c>
      <c r="V1320" s="1" t="s">
        <v>190</v>
      </c>
      <c r="W1320" s="1">
        <v>60641.0</v>
      </c>
      <c r="Y1320" s="1" t="s">
        <v>13882</v>
      </c>
      <c r="Z1320" s="1">
        <v>1913.0</v>
      </c>
      <c r="AA1320" s="1" t="s">
        <v>192</v>
      </c>
      <c r="AB1320" s="1" t="s">
        <v>193</v>
      </c>
      <c r="AD1320" s="1" t="s">
        <v>194</v>
      </c>
      <c r="AE1320" s="1" t="s">
        <v>195</v>
      </c>
      <c r="AF1320" s="1" t="s">
        <v>196</v>
      </c>
      <c r="AH1320" s="1" t="s">
        <v>13883</v>
      </c>
      <c r="AK1320" s="1">
        <v>10.0</v>
      </c>
      <c r="AL1320" s="1">
        <v>4.0</v>
      </c>
      <c r="AM1320" s="1">
        <v>2.0</v>
      </c>
      <c r="AN1320" s="1">
        <v>1.0</v>
      </c>
      <c r="AO1320" s="1" t="s">
        <v>229</v>
      </c>
      <c r="AQ1320" s="1" t="s">
        <v>198</v>
      </c>
      <c r="AR1320" s="1" t="s">
        <v>192</v>
      </c>
      <c r="AS1320" s="1" t="s">
        <v>199</v>
      </c>
      <c r="AT1320" s="1">
        <v>2.5</v>
      </c>
      <c r="AV1320" s="1" t="s">
        <v>200</v>
      </c>
      <c r="AW1320" s="1">
        <v>3721.24</v>
      </c>
      <c r="AX1320" s="1">
        <v>2013.0</v>
      </c>
      <c r="AY1320" s="1" t="s">
        <v>387</v>
      </c>
      <c r="AZ1320" s="1" t="s">
        <v>200</v>
      </c>
      <c r="BA1320" s="1" t="str">
        <f>"13211180070000"</f>
        <v>13211180070000</v>
      </c>
      <c r="BC1320" s="1">
        <v>1573.0</v>
      </c>
      <c r="BD1320" s="1">
        <v>342500.0</v>
      </c>
      <c r="BE1320" s="2">
        <v>42087.0</v>
      </c>
      <c r="BF1320" s="2" t="s">
        <v>13884</v>
      </c>
      <c r="BG1320" s="1" t="s">
        <v>3713</v>
      </c>
      <c r="BH1320" s="1">
        <v>0.0</v>
      </c>
      <c r="BJ1320" s="1" t="s">
        <v>203</v>
      </c>
      <c r="BK1320" s="1" t="s">
        <v>204</v>
      </c>
      <c r="BL1320" s="1" t="str">
        <f>"3800"</f>
        <v>3800</v>
      </c>
      <c r="BM1320" s="1" t="str">
        <f>"0"</f>
        <v>0</v>
      </c>
      <c r="BN1320" s="1">
        <v>5400.0</v>
      </c>
      <c r="BO1320" s="1">
        <v>0.0</v>
      </c>
      <c r="BQ1320" s="1">
        <v>299.0</v>
      </c>
      <c r="BR1320" s="1">
        <v>299.0</v>
      </c>
      <c r="BS1320" s="1">
        <v>299.0</v>
      </c>
      <c r="BU1320" s="1" t="s">
        <v>215</v>
      </c>
      <c r="BV1320" s="1" t="s">
        <v>206</v>
      </c>
      <c r="BW1320" s="1" t="s">
        <v>207</v>
      </c>
      <c r="BY1320" s="1" t="s">
        <v>783</v>
      </c>
      <c r="BZ1320" s="1" t="s">
        <v>209</v>
      </c>
      <c r="CA1320" s="1" t="s">
        <v>301</v>
      </c>
      <c r="CC1320" s="1" t="s">
        <v>215</v>
      </c>
      <c r="CD1320" s="1" t="s">
        <v>206</v>
      </c>
      <c r="CE1320" s="1" t="s">
        <v>207</v>
      </c>
      <c r="CG1320" s="1" t="s">
        <v>329</v>
      </c>
      <c r="CH1320" s="1" t="s">
        <v>209</v>
      </c>
      <c r="CI1320" s="1" t="s">
        <v>301</v>
      </c>
      <c r="CK1320" s="1" t="s">
        <v>264</v>
      </c>
      <c r="CL1320" s="1" t="s">
        <v>206</v>
      </c>
      <c r="CM1320" s="1" t="s">
        <v>207</v>
      </c>
      <c r="CO1320" s="1" t="s">
        <v>392</v>
      </c>
      <c r="CP1320" s="1" t="s">
        <v>206</v>
      </c>
      <c r="CQ1320" s="1" t="s">
        <v>207</v>
      </c>
      <c r="CS1320" s="1" t="s">
        <v>392</v>
      </c>
      <c r="CT1320" s="1" t="s">
        <v>206</v>
      </c>
      <c r="CU1320" s="1" t="s">
        <v>207</v>
      </c>
      <c r="CW1320" s="1" t="s">
        <v>9052</v>
      </c>
      <c r="CX1320" s="1" t="s">
        <v>42</v>
      </c>
      <c r="CY1320" s="1" t="s">
        <v>268</v>
      </c>
      <c r="DA1320" s="1" t="s">
        <v>200</v>
      </c>
      <c r="DC1320" s="1" t="s">
        <v>642</v>
      </c>
      <c r="DD1320" s="1" t="s">
        <v>731</v>
      </c>
      <c r="DE1320" s="1" t="s">
        <v>273</v>
      </c>
      <c r="DF1320" s="1" t="s">
        <v>4878</v>
      </c>
      <c r="DG1320" s="1" t="s">
        <v>337</v>
      </c>
      <c r="DH1320" s="1" t="s">
        <v>220</v>
      </c>
      <c r="DI1320" s="1" t="s">
        <v>308</v>
      </c>
      <c r="DJ1320" s="1" t="s">
        <v>222</v>
      </c>
      <c r="DK1320" s="1" t="s">
        <v>198</v>
      </c>
      <c r="DL1320" s="1" t="s">
        <v>224</v>
      </c>
      <c r="DM1320" s="1" t="s">
        <v>229</v>
      </c>
      <c r="DN1320" s="1" t="s">
        <v>6652</v>
      </c>
      <c r="DO1320" s="1" t="s">
        <v>549</v>
      </c>
      <c r="DP1320" s="1" t="s">
        <v>340</v>
      </c>
      <c r="DQ1320" s="1" t="s">
        <v>228</v>
      </c>
      <c r="DR1320" s="1" t="s">
        <v>229</v>
      </c>
      <c r="DV1320" s="1" t="s">
        <v>13885</v>
      </c>
      <c r="DW1320" s="1" t="s">
        <v>3576</v>
      </c>
      <c r="DX1320" s="1" t="s">
        <v>234</v>
      </c>
      <c r="DY1320" s="1" t="s">
        <v>553</v>
      </c>
      <c r="DZ1320" s="1" t="s">
        <v>10983</v>
      </c>
      <c r="EA1320" s="1" t="s">
        <v>644</v>
      </c>
      <c r="EC1320" s="1" t="s">
        <v>645</v>
      </c>
      <c r="ED1320" s="1" t="s">
        <v>407</v>
      </c>
      <c r="EG1320" s="1" t="s">
        <v>374</v>
      </c>
      <c r="EI1320" s="1" t="s">
        <v>1491</v>
      </c>
      <c r="EJ1320" s="1" t="s">
        <v>1729</v>
      </c>
      <c r="EK1320" s="1" t="s">
        <v>408</v>
      </c>
      <c r="EL1320" s="1" t="s">
        <v>2072</v>
      </c>
      <c r="EM1320" s="1" t="s">
        <v>206</v>
      </c>
      <c r="EN1320" s="1" t="s">
        <v>301</v>
      </c>
      <c r="EQ1320" s="1" t="s">
        <v>238</v>
      </c>
      <c r="ET1320" s="1" t="s">
        <v>2047</v>
      </c>
      <c r="EU1320" s="1" t="s">
        <v>42</v>
      </c>
      <c r="EX1320" s="1" t="s">
        <v>1939</v>
      </c>
      <c r="EY1320" s="1" t="s">
        <v>206</v>
      </c>
      <c r="EZ1320" s="1" t="s">
        <v>210</v>
      </c>
      <c r="FB1320" s="1" t="s">
        <v>3296</v>
      </c>
      <c r="FC1320" s="1" t="s">
        <v>206</v>
      </c>
      <c r="FD1320" s="1" t="s">
        <v>268</v>
      </c>
      <c r="FF1320" s="1" t="s">
        <v>239</v>
      </c>
      <c r="FG1320" s="1" t="s">
        <v>192</v>
      </c>
      <c r="FH1320" s="1" t="s">
        <v>192</v>
      </c>
      <c r="FJ1320" s="1" t="s">
        <v>4578</v>
      </c>
      <c r="FK1320" s="1" t="s">
        <v>229</v>
      </c>
      <c r="FL1320" s="1" t="s">
        <v>8240</v>
      </c>
      <c r="FM1320" s="1">
        <v>8340.0</v>
      </c>
      <c r="FN1320" s="1" t="s">
        <v>8241</v>
      </c>
      <c r="FO1320" s="1" t="s">
        <v>8242</v>
      </c>
      <c r="FP1320" s="1">
        <v>921212.0</v>
      </c>
      <c r="FQ1320" s="1" t="s">
        <v>8243</v>
      </c>
      <c r="FU1320" s="1" t="s">
        <v>13886</v>
      </c>
      <c r="FV1320" s="1" t="s">
        <v>200</v>
      </c>
      <c r="FW1320" s="1" t="s">
        <v>290</v>
      </c>
      <c r="FX1320" s="1" t="s">
        <v>246</v>
      </c>
      <c r="FZ1320" s="1" t="s">
        <v>229</v>
      </c>
      <c r="GA1320" s="1" t="s">
        <v>291</v>
      </c>
      <c r="GB1320" s="2">
        <v>42137.0</v>
      </c>
      <c r="GC1320" s="1" t="s">
        <v>13887</v>
      </c>
    </row>
    <row r="1321">
      <c r="A1321" s="1">
        <v>273000.0</v>
      </c>
      <c r="B1321" s="1" t="s">
        <v>185</v>
      </c>
      <c r="C1321" s="1" t="str">
        <f>"08855324"</f>
        <v>08855324</v>
      </c>
      <c r="D1321" s="1" t="s">
        <v>186</v>
      </c>
      <c r="F1321" s="1" t="str">
        <f>"554"</f>
        <v>554</v>
      </c>
      <c r="G1321" s="2">
        <v>42070.0</v>
      </c>
      <c r="H1321" s="1">
        <v>275000.0</v>
      </c>
      <c r="I1321" s="1">
        <v>11.0</v>
      </c>
      <c r="J1321" s="1">
        <v>275000.0</v>
      </c>
      <c r="K1321" s="2">
        <v>42080.0</v>
      </c>
      <c r="L1321" s="1">
        <v>11.0</v>
      </c>
      <c r="M1321" s="2">
        <v>42080.0</v>
      </c>
      <c r="N1321" s="1" t="s">
        <v>187</v>
      </c>
      <c r="O1321" s="2">
        <v>42124.0</v>
      </c>
      <c r="P1321" s="1">
        <v>310405.0</v>
      </c>
      <c r="Q1321" s="1">
        <v>306.0</v>
      </c>
      <c r="R1321" s="1">
        <v>5000.0</v>
      </c>
      <c r="S1321" s="1">
        <v>1219.0</v>
      </c>
      <c r="T1321" s="1" t="s">
        <v>13888</v>
      </c>
      <c r="U1321" s="1" t="s">
        <v>464</v>
      </c>
      <c r="V1321" s="1" t="s">
        <v>2212</v>
      </c>
      <c r="W1321" s="1">
        <v>60554.0</v>
      </c>
      <c r="Y1321" s="1" t="s">
        <v>13889</v>
      </c>
      <c r="Z1321" s="1">
        <v>2007.0</v>
      </c>
      <c r="AA1321" s="1" t="s">
        <v>200</v>
      </c>
      <c r="AB1321" s="1" t="s">
        <v>467</v>
      </c>
      <c r="AC1321" s="1" t="s">
        <v>13890</v>
      </c>
      <c r="AD1321" s="1" t="s">
        <v>1887</v>
      </c>
      <c r="AE1321" s="1" t="s">
        <v>325</v>
      </c>
      <c r="AF1321" s="1" t="s">
        <v>1887</v>
      </c>
      <c r="AH1321" s="1" t="s">
        <v>13891</v>
      </c>
      <c r="AK1321" s="1">
        <v>11.0</v>
      </c>
      <c r="AL1321" s="1">
        <v>4.0</v>
      </c>
      <c r="AM1321" s="1">
        <v>2.0</v>
      </c>
      <c r="AN1321" s="1">
        <v>1.0</v>
      </c>
      <c r="AO1321" s="1" t="s">
        <v>198</v>
      </c>
      <c r="AP1321" s="1">
        <v>1.0</v>
      </c>
      <c r="AQ1321" s="1" t="s">
        <v>472</v>
      </c>
      <c r="AR1321" s="1" t="s">
        <v>200</v>
      </c>
      <c r="AS1321" s="1" t="s">
        <v>199</v>
      </c>
      <c r="AT1321" s="1">
        <v>2.0</v>
      </c>
      <c r="AV1321" s="1" t="s">
        <v>200</v>
      </c>
      <c r="AW1321" s="1">
        <v>7442.12</v>
      </c>
      <c r="AX1321" s="1">
        <v>2013.0</v>
      </c>
      <c r="AY1321" s="1" t="s">
        <v>387</v>
      </c>
      <c r="AZ1321" s="1" t="s">
        <v>200</v>
      </c>
      <c r="BA1321" s="1" t="str">
        <f>"1423154002"</f>
        <v>1423154002</v>
      </c>
      <c r="BB1321" s="1" t="s">
        <v>200</v>
      </c>
      <c r="BC1321" s="1">
        <v>2546.0</v>
      </c>
      <c r="BD1321" s="1">
        <v>273000.0</v>
      </c>
      <c r="BE1321" s="2">
        <v>42070.0</v>
      </c>
      <c r="BF1321" s="2" t="s">
        <v>13892</v>
      </c>
      <c r="BH1321" s="1">
        <v>535.0</v>
      </c>
      <c r="BI1321" s="1" t="s">
        <v>1635</v>
      </c>
      <c r="BJ1321" s="1" t="s">
        <v>1636</v>
      </c>
      <c r="BK1321" s="1" t="s">
        <v>580</v>
      </c>
      <c r="BL1321" s="1" t="str">
        <f t="shared" ref="BL1321:BM1321" si="872">""</f>
        <v/>
      </c>
      <c r="BM1321" s="1" t="str">
        <f t="shared" si="872"/>
        <v/>
      </c>
      <c r="BQ1321" s="1">
        <v>302.0</v>
      </c>
      <c r="BR1321" s="1">
        <v>302.0</v>
      </c>
      <c r="BS1321" s="1">
        <v>302.0</v>
      </c>
      <c r="BU1321" s="1" t="s">
        <v>1395</v>
      </c>
      <c r="BV1321" s="1" t="s">
        <v>206</v>
      </c>
      <c r="BW1321" s="1" t="s">
        <v>207</v>
      </c>
      <c r="BX1321" s="1" t="s">
        <v>1549</v>
      </c>
      <c r="BY1321" s="1" t="s">
        <v>830</v>
      </c>
      <c r="BZ1321" s="1" t="s">
        <v>209</v>
      </c>
      <c r="CA1321" s="1" t="s">
        <v>210</v>
      </c>
      <c r="CB1321" s="1" t="s">
        <v>261</v>
      </c>
      <c r="CC1321" s="1" t="s">
        <v>1190</v>
      </c>
      <c r="CD1321" s="1" t="s">
        <v>206</v>
      </c>
      <c r="CE1321" s="1" t="s">
        <v>207</v>
      </c>
      <c r="CF1321" s="1" t="s">
        <v>1549</v>
      </c>
      <c r="CG1321" s="1" t="s">
        <v>2459</v>
      </c>
      <c r="CH1321" s="1" t="s">
        <v>209</v>
      </c>
      <c r="CI1321" s="1" t="s">
        <v>210</v>
      </c>
      <c r="CJ1321" s="1" t="s">
        <v>431</v>
      </c>
      <c r="CK1321" s="1" t="s">
        <v>300</v>
      </c>
      <c r="CL1321" s="1" t="s">
        <v>209</v>
      </c>
      <c r="CM1321" s="1" t="s">
        <v>210</v>
      </c>
      <c r="CN1321" s="1" t="s">
        <v>261</v>
      </c>
      <c r="CO1321" s="1" t="s">
        <v>363</v>
      </c>
      <c r="CP1321" s="1" t="s">
        <v>206</v>
      </c>
      <c r="CQ1321" s="1" t="s">
        <v>210</v>
      </c>
      <c r="CR1321" s="1" t="s">
        <v>261</v>
      </c>
      <c r="CS1321" s="1" t="s">
        <v>2459</v>
      </c>
      <c r="CT1321" s="1" t="s">
        <v>206</v>
      </c>
      <c r="CU1321" s="1" t="s">
        <v>207</v>
      </c>
      <c r="CV1321" s="1" t="s">
        <v>229</v>
      </c>
      <c r="CW1321" s="1" t="s">
        <v>1567</v>
      </c>
      <c r="CX1321" s="1" t="s">
        <v>206</v>
      </c>
      <c r="CY1321" s="1" t="s">
        <v>207</v>
      </c>
      <c r="CZ1321" s="1" t="s">
        <v>261</v>
      </c>
      <c r="DA1321" s="1" t="s">
        <v>200</v>
      </c>
      <c r="DC1321" s="1" t="s">
        <v>481</v>
      </c>
      <c r="DD1321" s="1" t="s">
        <v>396</v>
      </c>
      <c r="DE1321" s="1" t="s">
        <v>273</v>
      </c>
      <c r="DF1321" s="1" t="s">
        <v>219</v>
      </c>
      <c r="DG1321" s="1" t="s">
        <v>13893</v>
      </c>
      <c r="DH1321" s="1" t="s">
        <v>220</v>
      </c>
      <c r="DI1321" s="1" t="s">
        <v>732</v>
      </c>
      <c r="DJ1321" s="1" t="s">
        <v>222</v>
      </c>
      <c r="DK1321" s="1" t="s">
        <v>223</v>
      </c>
      <c r="DL1321" s="1" t="s">
        <v>223</v>
      </c>
      <c r="DM1321" s="1" t="s">
        <v>1268</v>
      </c>
      <c r="DN1321" s="1" t="s">
        <v>485</v>
      </c>
      <c r="DP1321" s="1" t="s">
        <v>276</v>
      </c>
      <c r="DQ1321" s="1" t="s">
        <v>228</v>
      </c>
      <c r="DR1321" s="1" t="s">
        <v>588</v>
      </c>
      <c r="DS1321" s="1" t="s">
        <v>230</v>
      </c>
      <c r="DU1321" s="1" t="s">
        <v>487</v>
      </c>
      <c r="DV1321" s="1" t="s">
        <v>13894</v>
      </c>
      <c r="DW1321" s="1" t="s">
        <v>588</v>
      </c>
      <c r="DX1321" s="1" t="s">
        <v>234</v>
      </c>
      <c r="DY1321" s="1" t="s">
        <v>7854</v>
      </c>
      <c r="DZ1321" s="1" t="s">
        <v>236</v>
      </c>
      <c r="EB1321" s="1" t="s">
        <v>937</v>
      </c>
      <c r="EC1321" s="1" t="s">
        <v>237</v>
      </c>
      <c r="ED1321" s="1" t="s">
        <v>407</v>
      </c>
      <c r="EG1321" s="1" t="s">
        <v>449</v>
      </c>
      <c r="EH1321" s="1" t="s">
        <v>341</v>
      </c>
      <c r="EI1321" s="1" t="s">
        <v>1121</v>
      </c>
      <c r="EL1321" s="1" t="s">
        <v>303</v>
      </c>
      <c r="EM1321" s="1" t="s">
        <v>206</v>
      </c>
      <c r="EN1321" s="1" t="s">
        <v>207</v>
      </c>
      <c r="EO1321" s="1" t="s">
        <v>431</v>
      </c>
      <c r="EP1321" s="1" t="s">
        <v>332</v>
      </c>
      <c r="EQ1321" s="1" t="s">
        <v>209</v>
      </c>
      <c r="ER1321" s="1" t="s">
        <v>207</v>
      </c>
      <c r="ES1321" s="1" t="s">
        <v>229</v>
      </c>
      <c r="ET1321" s="1" t="s">
        <v>1852</v>
      </c>
      <c r="EU1321" s="1" t="s">
        <v>209</v>
      </c>
      <c r="EV1321" s="1" t="s">
        <v>210</v>
      </c>
      <c r="EW1321" s="1" t="s">
        <v>261</v>
      </c>
      <c r="EY1321" s="1" t="s">
        <v>238</v>
      </c>
      <c r="FC1321" s="1" t="s">
        <v>238</v>
      </c>
      <c r="FF1321" s="1" t="s">
        <v>239</v>
      </c>
      <c r="FG1321" s="1" t="s">
        <v>192</v>
      </c>
      <c r="FH1321" s="1" t="s">
        <v>192</v>
      </c>
      <c r="FJ1321" s="1" t="s">
        <v>2225</v>
      </c>
      <c r="FK1321" s="1" t="s">
        <v>229</v>
      </c>
      <c r="FL1321" s="1" t="s">
        <v>2226</v>
      </c>
      <c r="FM1321" s="1">
        <v>300.0</v>
      </c>
      <c r="FN1321" s="1" t="s">
        <v>2227</v>
      </c>
      <c r="FO1321" s="1" t="s">
        <v>2228</v>
      </c>
      <c r="FP1321" s="1">
        <v>313816.0</v>
      </c>
      <c r="FQ1321" s="1" t="s">
        <v>2229</v>
      </c>
      <c r="FR1321" s="1">
        <v>8490.0</v>
      </c>
      <c r="FS1321" s="1" t="s">
        <v>2230</v>
      </c>
      <c r="FU1321" s="1" t="s">
        <v>13895</v>
      </c>
      <c r="FV1321" s="1" t="s">
        <v>200</v>
      </c>
      <c r="FW1321" s="1" t="s">
        <v>530</v>
      </c>
      <c r="FZ1321" s="1" t="s">
        <v>229</v>
      </c>
      <c r="GA1321" s="1" t="s">
        <v>291</v>
      </c>
      <c r="GB1321" s="2">
        <v>42124.0</v>
      </c>
      <c r="GC1321" s="1" t="s">
        <v>13896</v>
      </c>
    </row>
    <row r="1322">
      <c r="A1322" s="1">
        <v>193500.0</v>
      </c>
      <c r="B1322" s="1" t="s">
        <v>185</v>
      </c>
      <c r="C1322" s="1" t="str">
        <f>"08855330"</f>
        <v>08855330</v>
      </c>
      <c r="D1322" s="1" t="s">
        <v>186</v>
      </c>
      <c r="F1322" s="1" t="str">
        <f>"177"</f>
        <v>177</v>
      </c>
      <c r="G1322" s="2">
        <v>42070.0</v>
      </c>
      <c r="H1322" s="1">
        <v>199900.0</v>
      </c>
      <c r="I1322" s="1">
        <v>6.0</v>
      </c>
      <c r="J1322" s="1">
        <v>199900.0</v>
      </c>
      <c r="K1322" s="2">
        <v>42075.0</v>
      </c>
      <c r="L1322" s="1">
        <v>6.0</v>
      </c>
      <c r="M1322" s="2">
        <v>42075.0</v>
      </c>
      <c r="N1322" s="1" t="s">
        <v>634</v>
      </c>
      <c r="O1322" s="2">
        <v>42132.0</v>
      </c>
      <c r="P1322" s="1">
        <v>237202.0</v>
      </c>
      <c r="Q1322" s="1">
        <v>23099.0</v>
      </c>
      <c r="S1322" s="1">
        <v>546.0</v>
      </c>
      <c r="T1322" s="1" t="s">
        <v>5459</v>
      </c>
      <c r="U1322" s="1" t="s">
        <v>189</v>
      </c>
      <c r="V1322" s="1" t="s">
        <v>2249</v>
      </c>
      <c r="W1322" s="1">
        <v>60177.0</v>
      </c>
      <c r="Y1322" s="1" t="s">
        <v>13897</v>
      </c>
      <c r="Z1322" s="1">
        <v>1969.0</v>
      </c>
      <c r="AA1322" s="1" t="s">
        <v>192</v>
      </c>
      <c r="AB1322" s="1" t="s">
        <v>193</v>
      </c>
      <c r="AC1322" s="1" t="s">
        <v>13898</v>
      </c>
      <c r="AD1322" s="1" t="s">
        <v>2252</v>
      </c>
      <c r="AE1322" s="1" t="s">
        <v>325</v>
      </c>
      <c r="AF1322" s="1" t="s">
        <v>469</v>
      </c>
      <c r="AG1322" s="1" t="s">
        <v>13899</v>
      </c>
      <c r="AH1322" s="1" t="s">
        <v>13900</v>
      </c>
      <c r="AI1322" s="1">
        <v>0.2076</v>
      </c>
      <c r="AK1322" s="1">
        <v>8.0</v>
      </c>
      <c r="AL1322" s="1">
        <v>4.0</v>
      </c>
      <c r="AM1322" s="1">
        <v>3.0</v>
      </c>
      <c r="AN1322" s="1">
        <v>0.0</v>
      </c>
      <c r="AO1322" s="1" t="s">
        <v>198</v>
      </c>
      <c r="AQ1322" s="1" t="s">
        <v>257</v>
      </c>
      <c r="AR1322" s="1" t="s">
        <v>192</v>
      </c>
      <c r="AS1322" s="1" t="s">
        <v>199</v>
      </c>
      <c r="AT1322" s="1">
        <v>2.5</v>
      </c>
      <c r="AV1322" s="1" t="s">
        <v>200</v>
      </c>
      <c r="AW1322" s="1">
        <v>4547.58</v>
      </c>
      <c r="AX1322" s="1">
        <v>2013.0</v>
      </c>
      <c r="AY1322" s="1" t="s">
        <v>387</v>
      </c>
      <c r="AZ1322" s="1" t="s">
        <v>200</v>
      </c>
      <c r="BA1322" s="1" t="str">
        <f>"0634476006"</f>
        <v>0634476006</v>
      </c>
      <c r="BB1322" s="1" t="s">
        <v>200</v>
      </c>
      <c r="BC1322" s="1">
        <v>2723.0</v>
      </c>
      <c r="BD1322" s="1">
        <v>193500.0</v>
      </c>
      <c r="BE1322" s="2">
        <v>42070.0</v>
      </c>
      <c r="BF1322" s="2" t="s">
        <v>13901</v>
      </c>
      <c r="BG1322" s="1" t="s">
        <v>12220</v>
      </c>
      <c r="BH1322" s="1">
        <v>0.0</v>
      </c>
      <c r="BI1322" s="1" t="s">
        <v>8076</v>
      </c>
      <c r="BJ1322" s="1" t="s">
        <v>2440</v>
      </c>
      <c r="BK1322" s="1" t="s">
        <v>204</v>
      </c>
      <c r="BL1322" s="1" t="str">
        <f t="shared" ref="BL1322:BM1322" si="873">""</f>
        <v/>
      </c>
      <c r="BM1322" s="1" t="str">
        <f t="shared" si="873"/>
        <v/>
      </c>
      <c r="BQ1322" s="1">
        <v>46.0</v>
      </c>
      <c r="BR1322" s="1">
        <v>46.0</v>
      </c>
      <c r="BS1322" s="1">
        <v>46.0</v>
      </c>
      <c r="BU1322" s="1" t="s">
        <v>2749</v>
      </c>
      <c r="BV1322" s="1" t="s">
        <v>206</v>
      </c>
      <c r="BW1322" s="1" t="s">
        <v>210</v>
      </c>
      <c r="BX1322" s="1" t="s">
        <v>239</v>
      </c>
      <c r="BY1322" s="1" t="s">
        <v>758</v>
      </c>
      <c r="BZ1322" s="1" t="s">
        <v>206</v>
      </c>
      <c r="CA1322" s="1" t="s">
        <v>210</v>
      </c>
      <c r="CB1322" s="1" t="s">
        <v>239</v>
      </c>
      <c r="CC1322" s="1" t="s">
        <v>262</v>
      </c>
      <c r="CD1322" s="1" t="s">
        <v>206</v>
      </c>
      <c r="CE1322" s="1" t="s">
        <v>210</v>
      </c>
      <c r="CF1322" s="1" t="s">
        <v>239</v>
      </c>
      <c r="CG1322" s="1" t="s">
        <v>363</v>
      </c>
      <c r="CH1322" s="1" t="s">
        <v>206</v>
      </c>
      <c r="CI1322" s="1" t="s">
        <v>210</v>
      </c>
      <c r="CJ1322" s="1" t="s">
        <v>239</v>
      </c>
      <c r="CK1322" s="1" t="s">
        <v>699</v>
      </c>
      <c r="CL1322" s="1" t="s">
        <v>206</v>
      </c>
      <c r="CM1322" s="1" t="s">
        <v>210</v>
      </c>
      <c r="CN1322" s="1" t="s">
        <v>239</v>
      </c>
      <c r="CO1322" s="1" t="s">
        <v>699</v>
      </c>
      <c r="CP1322" s="1" t="s">
        <v>267</v>
      </c>
      <c r="CQ1322" s="1" t="s">
        <v>617</v>
      </c>
      <c r="CR1322" s="1" t="s">
        <v>239</v>
      </c>
      <c r="CS1322" s="1" t="s">
        <v>329</v>
      </c>
      <c r="CT1322" s="1" t="s">
        <v>206</v>
      </c>
      <c r="CU1322" s="1" t="s">
        <v>617</v>
      </c>
      <c r="CW1322" s="1" t="s">
        <v>540</v>
      </c>
      <c r="CX1322" s="1" t="s">
        <v>267</v>
      </c>
      <c r="CY1322" s="1" t="s">
        <v>210</v>
      </c>
      <c r="CZ1322" s="1" t="s">
        <v>239</v>
      </c>
      <c r="DA1322" s="1" t="s">
        <v>200</v>
      </c>
      <c r="DC1322" s="1" t="s">
        <v>517</v>
      </c>
      <c r="DD1322" s="1" t="s">
        <v>518</v>
      </c>
      <c r="DE1322" s="1" t="s">
        <v>273</v>
      </c>
      <c r="DF1322" s="1" t="s">
        <v>219</v>
      </c>
      <c r="DH1322" s="1" t="s">
        <v>220</v>
      </c>
      <c r="DI1322" s="1" t="s">
        <v>1463</v>
      </c>
      <c r="DJ1322" s="1" t="s">
        <v>222</v>
      </c>
      <c r="DL1322" s="1" t="s">
        <v>224</v>
      </c>
      <c r="DM1322" s="1" t="s">
        <v>338</v>
      </c>
      <c r="DO1322" s="1" t="s">
        <v>549</v>
      </c>
      <c r="DP1322" s="1" t="s">
        <v>340</v>
      </c>
      <c r="DQ1322" s="1" t="s">
        <v>228</v>
      </c>
      <c r="DR1322" s="1" t="s">
        <v>229</v>
      </c>
      <c r="DS1322" s="1" t="s">
        <v>230</v>
      </c>
      <c r="DV1322" s="1" t="s">
        <v>408</v>
      </c>
      <c r="DW1322" s="1" t="s">
        <v>934</v>
      </c>
      <c r="DX1322" s="1" t="s">
        <v>309</v>
      </c>
      <c r="DY1322" s="1" t="s">
        <v>1371</v>
      </c>
      <c r="DZ1322" s="1" t="s">
        <v>3076</v>
      </c>
      <c r="EA1322" s="1" t="s">
        <v>554</v>
      </c>
      <c r="EC1322" s="1" t="s">
        <v>284</v>
      </c>
      <c r="ED1322" s="1" t="s">
        <v>407</v>
      </c>
      <c r="EE1322" s="1" t="s">
        <v>493</v>
      </c>
      <c r="EG1322" s="1" t="s">
        <v>408</v>
      </c>
      <c r="EL1322" s="1" t="s">
        <v>2394</v>
      </c>
      <c r="EM1322" s="1" t="s">
        <v>206</v>
      </c>
      <c r="EN1322" s="1" t="s">
        <v>617</v>
      </c>
      <c r="EQ1322" s="1" t="s">
        <v>238</v>
      </c>
      <c r="EU1322" s="1" t="s">
        <v>238</v>
      </c>
      <c r="EY1322" s="1" t="s">
        <v>238</v>
      </c>
      <c r="FC1322" s="1" t="s">
        <v>238</v>
      </c>
      <c r="FF1322" s="1" t="s">
        <v>239</v>
      </c>
      <c r="FG1322" s="1" t="s">
        <v>192</v>
      </c>
      <c r="FH1322" s="1" t="s">
        <v>192</v>
      </c>
      <c r="FJ1322" s="1" t="s">
        <v>624</v>
      </c>
      <c r="FK1322" s="1" t="s">
        <v>229</v>
      </c>
      <c r="FL1322" s="1" t="s">
        <v>625</v>
      </c>
      <c r="FM1322" s="1">
        <v>37.0</v>
      </c>
      <c r="FN1322" s="1" t="s">
        <v>626</v>
      </c>
      <c r="FO1322" s="1" t="s">
        <v>627</v>
      </c>
      <c r="FP1322" s="1">
        <v>77100.0</v>
      </c>
      <c r="FQ1322" s="1" t="s">
        <v>628</v>
      </c>
      <c r="FR1322" s="1">
        <v>164.0</v>
      </c>
      <c r="FS1322" s="1" t="s">
        <v>629</v>
      </c>
      <c r="FU1322" s="1" t="s">
        <v>13902</v>
      </c>
      <c r="FV1322" s="1" t="s">
        <v>200</v>
      </c>
      <c r="FW1322" s="1" t="s">
        <v>290</v>
      </c>
      <c r="FZ1322" s="1" t="s">
        <v>632</v>
      </c>
      <c r="GA1322" s="1" t="s">
        <v>291</v>
      </c>
      <c r="GB1322" s="2">
        <v>42139.0</v>
      </c>
    </row>
    <row r="1323">
      <c r="A1323" s="1">
        <v>849900.0</v>
      </c>
      <c r="B1323" s="1" t="s">
        <v>185</v>
      </c>
      <c r="C1323" s="1" t="str">
        <f>"08855418"</f>
        <v>08855418</v>
      </c>
      <c r="D1323" s="1" t="s">
        <v>186</v>
      </c>
      <c r="F1323" s="1" t="str">
        <f>"8022"</f>
        <v>8022</v>
      </c>
      <c r="G1323" s="2">
        <v>42070.0</v>
      </c>
      <c r="H1323" s="1">
        <v>849900.0</v>
      </c>
      <c r="I1323" s="1">
        <v>1.0</v>
      </c>
      <c r="J1323" s="1">
        <v>849900.0</v>
      </c>
      <c r="K1323" s="2">
        <v>42070.0</v>
      </c>
      <c r="L1323" s="1">
        <v>1.0</v>
      </c>
      <c r="M1323" s="2">
        <v>42070.0</v>
      </c>
      <c r="N1323" s="1" t="s">
        <v>187</v>
      </c>
      <c r="O1323" s="2">
        <v>42145.0</v>
      </c>
      <c r="P1323" s="1">
        <v>177300.0</v>
      </c>
      <c r="Q1323" s="1">
        <v>84025.0</v>
      </c>
      <c r="S1323" s="1">
        <v>2645.0</v>
      </c>
      <c r="T1323" s="1" t="s">
        <v>6454</v>
      </c>
      <c r="U1323" s="1" t="s">
        <v>189</v>
      </c>
      <c r="V1323" s="1" t="s">
        <v>190</v>
      </c>
      <c r="W1323" s="1">
        <v>60647.0</v>
      </c>
      <c r="Y1323" s="1" t="s">
        <v>6455</v>
      </c>
      <c r="Z1323" s="1">
        <v>2015.0</v>
      </c>
      <c r="AA1323" s="1" t="s">
        <v>200</v>
      </c>
      <c r="AB1323" s="1" t="s">
        <v>193</v>
      </c>
      <c r="AD1323" s="1" t="s">
        <v>194</v>
      </c>
      <c r="AE1323" s="1" t="s">
        <v>195</v>
      </c>
      <c r="AF1323" s="1" t="s">
        <v>827</v>
      </c>
      <c r="AG1323" s="1" t="s">
        <v>6456</v>
      </c>
      <c r="AH1323" s="1" t="s">
        <v>359</v>
      </c>
      <c r="AK1323" s="1">
        <v>9.0</v>
      </c>
      <c r="AL1323" s="1">
        <v>4.0</v>
      </c>
      <c r="AM1323" s="1">
        <v>3.0</v>
      </c>
      <c r="AN1323" s="1">
        <v>1.0</v>
      </c>
      <c r="AO1323" s="1" t="s">
        <v>198</v>
      </c>
      <c r="AP1323" s="1">
        <v>1.0</v>
      </c>
      <c r="AQ1323" s="1" t="s">
        <v>257</v>
      </c>
      <c r="AR1323" s="1" t="s">
        <v>192</v>
      </c>
      <c r="AS1323" s="1" t="s">
        <v>199</v>
      </c>
      <c r="AT1323" s="1">
        <v>2.0</v>
      </c>
      <c r="AV1323" s="1" t="s">
        <v>200</v>
      </c>
      <c r="AW1323" s="1" t="s">
        <v>575</v>
      </c>
      <c r="AX1323" s="1">
        <v>2013.0</v>
      </c>
      <c r="AZ1323" s="1" t="s">
        <v>545</v>
      </c>
      <c r="BA1323" s="1" t="str">
        <f>"13362070060000"</f>
        <v>13362070060000</v>
      </c>
      <c r="BC1323" s="1">
        <v>0.0</v>
      </c>
      <c r="BD1323" s="1">
        <v>849900.0</v>
      </c>
      <c r="BE1323" s="2">
        <v>42070.0</v>
      </c>
      <c r="BF1323" s="2" t="s">
        <v>13903</v>
      </c>
      <c r="BH1323" s="1">
        <v>0.0</v>
      </c>
      <c r="BK1323" s="1" t="s">
        <v>204</v>
      </c>
      <c r="BL1323" s="1" t="str">
        <f>"2300"</f>
        <v>2300</v>
      </c>
      <c r="BM1323" s="1" t="str">
        <f t="shared" ref="BM1323:BM1324" si="874">"0"</f>
        <v>0</v>
      </c>
      <c r="BN1323" s="1">
        <v>2645.0</v>
      </c>
      <c r="BO1323" s="1">
        <v>0.0</v>
      </c>
      <c r="BQ1323" s="1">
        <v>299.0</v>
      </c>
      <c r="BR1323" s="1">
        <v>299.0</v>
      </c>
      <c r="BS1323" s="1">
        <v>299.0</v>
      </c>
      <c r="BU1323" s="1" t="s">
        <v>5223</v>
      </c>
      <c r="BV1323" s="1" t="s">
        <v>206</v>
      </c>
      <c r="BW1323" s="1" t="s">
        <v>207</v>
      </c>
      <c r="BY1323" s="1" t="s">
        <v>208</v>
      </c>
      <c r="BZ1323" s="1" t="s">
        <v>209</v>
      </c>
      <c r="CA1323" s="1" t="s">
        <v>207</v>
      </c>
      <c r="CC1323" s="1" t="s">
        <v>542</v>
      </c>
      <c r="CD1323" s="1" t="s">
        <v>206</v>
      </c>
      <c r="CE1323" s="1" t="s">
        <v>207</v>
      </c>
      <c r="CG1323" s="1" t="s">
        <v>331</v>
      </c>
      <c r="CH1323" s="1" t="s">
        <v>209</v>
      </c>
      <c r="CI1323" s="1" t="s">
        <v>207</v>
      </c>
      <c r="CK1323" s="1" t="s">
        <v>663</v>
      </c>
      <c r="CL1323" s="1" t="s">
        <v>209</v>
      </c>
      <c r="CM1323" s="1" t="s">
        <v>207</v>
      </c>
      <c r="CO1323" s="1" t="s">
        <v>390</v>
      </c>
      <c r="CP1323" s="1" t="s">
        <v>267</v>
      </c>
      <c r="CQ1323" s="1" t="s">
        <v>210</v>
      </c>
      <c r="CS1323" s="1" t="s">
        <v>329</v>
      </c>
      <c r="CT1323" s="1" t="s">
        <v>206</v>
      </c>
      <c r="CU1323" s="1" t="s">
        <v>207</v>
      </c>
      <c r="CW1323" s="1" t="s">
        <v>2120</v>
      </c>
      <c r="CX1323" s="1" t="s">
        <v>206</v>
      </c>
      <c r="CY1323" s="1" t="s">
        <v>207</v>
      </c>
      <c r="DA1323" s="1" t="s">
        <v>192</v>
      </c>
      <c r="DB1323" s="2">
        <v>42116.0</v>
      </c>
      <c r="DC1323" s="1" t="s">
        <v>744</v>
      </c>
      <c r="DD1323" s="1" t="s">
        <v>731</v>
      </c>
      <c r="DE1323" s="1" t="s">
        <v>273</v>
      </c>
      <c r="DF1323" s="1" t="s">
        <v>619</v>
      </c>
      <c r="DH1323" s="1" t="s">
        <v>220</v>
      </c>
      <c r="DI1323" s="1" t="s">
        <v>6458</v>
      </c>
      <c r="DJ1323" s="1" t="s">
        <v>222</v>
      </c>
      <c r="DL1323" s="1" t="s">
        <v>224</v>
      </c>
      <c r="DM1323" s="1" t="s">
        <v>229</v>
      </c>
      <c r="DN1323" s="1" t="s">
        <v>2676</v>
      </c>
      <c r="DP1323" s="1" t="s">
        <v>276</v>
      </c>
      <c r="DQ1323" s="1" t="s">
        <v>441</v>
      </c>
      <c r="DR1323" s="1" t="s">
        <v>229</v>
      </c>
      <c r="DU1323" s="1" t="s">
        <v>6459</v>
      </c>
      <c r="DV1323" s="1" t="s">
        <v>2058</v>
      </c>
      <c r="DW1323" s="1" t="s">
        <v>279</v>
      </c>
      <c r="DX1323" s="1" t="s">
        <v>234</v>
      </c>
      <c r="DY1323" s="1" t="s">
        <v>704</v>
      </c>
      <c r="EB1323" s="1" t="s">
        <v>1639</v>
      </c>
      <c r="EC1323" s="1" t="s">
        <v>237</v>
      </c>
      <c r="EG1323" s="1" t="s">
        <v>450</v>
      </c>
      <c r="EH1323" s="1" t="s">
        <v>310</v>
      </c>
      <c r="EL1323" s="1" t="s">
        <v>2861</v>
      </c>
      <c r="EM1323" s="1" t="s">
        <v>267</v>
      </c>
      <c r="EN1323" s="1" t="s">
        <v>210</v>
      </c>
      <c r="EP1323" s="1" t="s">
        <v>4180</v>
      </c>
      <c r="EQ1323" s="1" t="s">
        <v>206</v>
      </c>
      <c r="EU1323" s="1" t="s">
        <v>238</v>
      </c>
      <c r="EY1323" s="1" t="s">
        <v>238</v>
      </c>
      <c r="FC1323" s="1" t="s">
        <v>238</v>
      </c>
      <c r="FF1323" s="1" t="s">
        <v>239</v>
      </c>
      <c r="FG1323" s="1" t="s">
        <v>192</v>
      </c>
      <c r="FH1323" s="1" t="s">
        <v>192</v>
      </c>
      <c r="FJ1323" s="1" t="s">
        <v>13904</v>
      </c>
      <c r="FK1323" s="1" t="s">
        <v>229</v>
      </c>
      <c r="FL1323" s="1" t="s">
        <v>6354</v>
      </c>
      <c r="FM1323" s="1">
        <v>15191.0</v>
      </c>
      <c r="FN1323" s="1" t="s">
        <v>6355</v>
      </c>
      <c r="FO1323" s="1" t="s">
        <v>6460</v>
      </c>
      <c r="FP1323" s="1">
        <v>137452.0</v>
      </c>
      <c r="FQ1323" s="1" t="s">
        <v>6461</v>
      </c>
      <c r="FR1323" s="1">
        <v>102294.0</v>
      </c>
      <c r="FU1323" s="1" t="s">
        <v>6462</v>
      </c>
      <c r="FV1323" s="1" t="s">
        <v>200</v>
      </c>
      <c r="FW1323" s="1" t="s">
        <v>567</v>
      </c>
      <c r="FX1323" s="1" t="s">
        <v>246</v>
      </c>
      <c r="FZ1323" s="1" t="s">
        <v>229</v>
      </c>
      <c r="GA1323" s="1" t="s">
        <v>291</v>
      </c>
      <c r="GB1323" s="2">
        <v>42145.0</v>
      </c>
      <c r="GC1323" s="1" t="s">
        <v>13905</v>
      </c>
    </row>
    <row r="1324">
      <c r="A1324" s="1">
        <v>753000.0</v>
      </c>
      <c r="B1324" s="1" t="s">
        <v>185</v>
      </c>
      <c r="C1324" s="1" t="str">
        <f>"08857341"</f>
        <v>08857341</v>
      </c>
      <c r="D1324" s="1" t="s">
        <v>186</v>
      </c>
      <c r="F1324" s="1" t="str">
        <f>"8024"</f>
        <v>8024</v>
      </c>
      <c r="G1324" s="2">
        <v>42073.0</v>
      </c>
      <c r="H1324" s="1">
        <v>750000.0</v>
      </c>
      <c r="I1324" s="1">
        <v>19.0</v>
      </c>
      <c r="J1324" s="1">
        <v>750000.0</v>
      </c>
      <c r="K1324" s="2">
        <v>42091.0</v>
      </c>
      <c r="L1324" s="1">
        <v>19.0</v>
      </c>
      <c r="M1324" s="2">
        <v>42091.0</v>
      </c>
      <c r="N1324" s="1" t="s">
        <v>187</v>
      </c>
      <c r="O1324" s="2">
        <v>42125.0</v>
      </c>
      <c r="P1324" s="1">
        <v>153674.0</v>
      </c>
      <c r="Q1324" s="1">
        <v>18080.0</v>
      </c>
      <c r="R1324" s="1">
        <v>17000.0</v>
      </c>
      <c r="S1324" s="1">
        <v>1626.0</v>
      </c>
      <c r="T1324" s="1" t="s">
        <v>13906</v>
      </c>
      <c r="U1324" s="1" t="s">
        <v>189</v>
      </c>
      <c r="V1324" s="1" t="s">
        <v>190</v>
      </c>
      <c r="W1324" s="1">
        <v>60647.0</v>
      </c>
      <c r="Y1324" s="1" t="s">
        <v>13907</v>
      </c>
      <c r="Z1324" s="1">
        <v>1900.0</v>
      </c>
      <c r="AA1324" s="1" t="s">
        <v>192</v>
      </c>
      <c r="AB1324" s="1" t="s">
        <v>193</v>
      </c>
      <c r="AD1324" s="1" t="s">
        <v>194</v>
      </c>
      <c r="AE1324" s="1" t="s">
        <v>195</v>
      </c>
      <c r="AF1324" s="1" t="s">
        <v>827</v>
      </c>
      <c r="AH1324" s="1" t="s">
        <v>741</v>
      </c>
      <c r="AK1324" s="1">
        <v>9.0</v>
      </c>
      <c r="AL1324" s="1">
        <v>4.0</v>
      </c>
      <c r="AM1324" s="1">
        <v>3.0</v>
      </c>
      <c r="AN1324" s="1">
        <v>0.0</v>
      </c>
      <c r="AO1324" s="1" t="s">
        <v>198</v>
      </c>
      <c r="AP1324" s="1">
        <v>1.0</v>
      </c>
      <c r="AQ1324" s="1" t="s">
        <v>198</v>
      </c>
      <c r="AR1324" s="1" t="s">
        <v>200</v>
      </c>
      <c r="AS1324" s="1" t="s">
        <v>199</v>
      </c>
      <c r="AT1324" s="1">
        <v>2.0</v>
      </c>
      <c r="AV1324" s="1" t="s">
        <v>200</v>
      </c>
      <c r="AW1324" s="1">
        <v>9345.9</v>
      </c>
      <c r="AX1324" s="1">
        <v>2013.0</v>
      </c>
      <c r="AY1324" s="1" t="s">
        <v>387</v>
      </c>
      <c r="AZ1324" s="1" t="s">
        <v>200</v>
      </c>
      <c r="BA1324" s="1" t="str">
        <f>"14313281020000"</f>
        <v>14313281020000</v>
      </c>
      <c r="BB1324" s="1" t="s">
        <v>200</v>
      </c>
      <c r="BC1324" s="1">
        <v>2498.0</v>
      </c>
      <c r="BD1324" s="1">
        <v>753000.0</v>
      </c>
      <c r="BE1324" s="2">
        <v>42073.0</v>
      </c>
      <c r="BF1324" s="2" t="s">
        <v>13908</v>
      </c>
      <c r="BG1324" s="1" t="s">
        <v>6994</v>
      </c>
      <c r="BH1324" s="1">
        <v>0.0</v>
      </c>
      <c r="BI1324" s="1" t="s">
        <v>6994</v>
      </c>
      <c r="BJ1324" s="1" t="s">
        <v>13909</v>
      </c>
      <c r="BK1324" s="1" t="s">
        <v>204</v>
      </c>
      <c r="BL1324" s="1" t="str">
        <f>"1626"</f>
        <v>1626</v>
      </c>
      <c r="BM1324" s="1" t="str">
        <f t="shared" si="874"/>
        <v>0</v>
      </c>
      <c r="BN1324" s="1">
        <v>2200.0</v>
      </c>
      <c r="BO1324" s="1">
        <v>0.0</v>
      </c>
      <c r="BQ1324" s="1">
        <v>299.0</v>
      </c>
      <c r="BR1324" s="1">
        <v>299.0</v>
      </c>
      <c r="BS1324" s="1">
        <v>299.0</v>
      </c>
      <c r="BU1324" s="1" t="s">
        <v>1206</v>
      </c>
      <c r="BV1324" s="1" t="s">
        <v>206</v>
      </c>
      <c r="BW1324" s="1" t="s">
        <v>207</v>
      </c>
      <c r="BX1324" s="1" t="s">
        <v>229</v>
      </c>
      <c r="BY1324" s="1" t="s">
        <v>208</v>
      </c>
      <c r="BZ1324" s="1" t="s">
        <v>209</v>
      </c>
      <c r="CA1324" s="1" t="s">
        <v>210</v>
      </c>
      <c r="CB1324" s="1" t="s">
        <v>1549</v>
      </c>
      <c r="CC1324" s="1" t="s">
        <v>329</v>
      </c>
      <c r="CD1324" s="1" t="s">
        <v>206</v>
      </c>
      <c r="CE1324" s="1" t="s">
        <v>207</v>
      </c>
      <c r="CF1324" s="1" t="s">
        <v>261</v>
      </c>
      <c r="CG1324" s="1" t="s">
        <v>215</v>
      </c>
      <c r="CH1324" s="1" t="s">
        <v>209</v>
      </c>
      <c r="CI1324" s="1" t="s">
        <v>210</v>
      </c>
      <c r="CJ1324" s="1" t="s">
        <v>431</v>
      </c>
      <c r="CK1324" s="1" t="s">
        <v>265</v>
      </c>
      <c r="CL1324" s="1" t="s">
        <v>209</v>
      </c>
      <c r="CM1324" s="1" t="s">
        <v>210</v>
      </c>
      <c r="CN1324" s="1" t="s">
        <v>431</v>
      </c>
      <c r="CO1324" s="1" t="s">
        <v>516</v>
      </c>
      <c r="CP1324" s="1" t="s">
        <v>206</v>
      </c>
      <c r="CQ1324" s="1" t="s">
        <v>210</v>
      </c>
      <c r="CR1324" s="1" t="s">
        <v>431</v>
      </c>
      <c r="CS1324" s="1" t="s">
        <v>208</v>
      </c>
      <c r="CT1324" s="1" t="s">
        <v>206</v>
      </c>
      <c r="CU1324" s="1" t="s">
        <v>268</v>
      </c>
      <c r="CV1324" s="1" t="s">
        <v>431</v>
      </c>
      <c r="CW1324" s="1" t="s">
        <v>264</v>
      </c>
      <c r="CX1324" s="1" t="s">
        <v>206</v>
      </c>
      <c r="CY1324" s="1" t="s">
        <v>207</v>
      </c>
      <c r="CZ1324" s="1" t="s">
        <v>431</v>
      </c>
      <c r="DA1324" s="1" t="s">
        <v>200</v>
      </c>
      <c r="DC1324" s="1" t="s">
        <v>642</v>
      </c>
      <c r="DD1324" s="1" t="s">
        <v>217</v>
      </c>
      <c r="DE1324" s="1" t="s">
        <v>218</v>
      </c>
      <c r="DF1324" s="1" t="s">
        <v>1656</v>
      </c>
      <c r="DG1324" s="1" t="s">
        <v>1657</v>
      </c>
      <c r="DH1324" s="1" t="s">
        <v>307</v>
      </c>
      <c r="DI1324" s="1" t="s">
        <v>13910</v>
      </c>
      <c r="DJ1324" s="1" t="s">
        <v>222</v>
      </c>
      <c r="DL1324" s="1" t="s">
        <v>791</v>
      </c>
      <c r="DM1324" s="1" t="s">
        <v>398</v>
      </c>
      <c r="DN1324" s="1" t="s">
        <v>339</v>
      </c>
      <c r="DO1324" s="1" t="s">
        <v>549</v>
      </c>
      <c r="DP1324" s="1" t="s">
        <v>276</v>
      </c>
      <c r="DQ1324" s="1" t="s">
        <v>228</v>
      </c>
      <c r="DR1324" s="1" t="s">
        <v>229</v>
      </c>
      <c r="DS1324" s="1" t="s">
        <v>230</v>
      </c>
      <c r="DV1324" s="1" t="s">
        <v>13911</v>
      </c>
      <c r="DW1324" s="1" t="s">
        <v>233</v>
      </c>
      <c r="DX1324" s="1" t="s">
        <v>234</v>
      </c>
      <c r="DY1324" s="1" t="s">
        <v>7385</v>
      </c>
      <c r="DZ1324" s="1" t="s">
        <v>13912</v>
      </c>
      <c r="EB1324" s="1" t="s">
        <v>9729</v>
      </c>
      <c r="EC1324" s="1" t="s">
        <v>237</v>
      </c>
      <c r="ED1324" s="1" t="s">
        <v>555</v>
      </c>
      <c r="EE1324" s="1" t="s">
        <v>493</v>
      </c>
      <c r="EG1324" s="1" t="s">
        <v>13911</v>
      </c>
      <c r="EL1324" s="1" t="s">
        <v>2083</v>
      </c>
      <c r="EM1324" s="1" t="s">
        <v>209</v>
      </c>
      <c r="EN1324" s="1" t="s">
        <v>210</v>
      </c>
      <c r="EO1324" s="1" t="s">
        <v>229</v>
      </c>
      <c r="EQ1324" s="1" t="s">
        <v>238</v>
      </c>
      <c r="EU1324" s="1" t="s">
        <v>238</v>
      </c>
      <c r="EY1324" s="1" t="s">
        <v>238</v>
      </c>
      <c r="FC1324" s="1" t="s">
        <v>238</v>
      </c>
      <c r="FF1324" s="1" t="s">
        <v>239</v>
      </c>
      <c r="FG1324" s="1" t="s">
        <v>192</v>
      </c>
      <c r="FH1324" s="1" t="s">
        <v>192</v>
      </c>
      <c r="FJ1324" s="1" t="s">
        <v>799</v>
      </c>
      <c r="FK1324" s="1" t="s">
        <v>229</v>
      </c>
      <c r="FL1324" s="1" t="s">
        <v>562</v>
      </c>
      <c r="FM1324" s="1">
        <v>16379.0</v>
      </c>
      <c r="FN1324" s="1" t="s">
        <v>563</v>
      </c>
      <c r="FO1324" s="1" t="s">
        <v>13913</v>
      </c>
      <c r="FP1324" s="1">
        <v>183513.0</v>
      </c>
      <c r="FQ1324" s="1" t="s">
        <v>13914</v>
      </c>
      <c r="FU1324" s="1" t="s">
        <v>13915</v>
      </c>
      <c r="FV1324" s="1" t="s">
        <v>200</v>
      </c>
      <c r="FW1324" s="1" t="s">
        <v>290</v>
      </c>
      <c r="FX1324" s="1" t="s">
        <v>238</v>
      </c>
      <c r="FZ1324" s="1" t="s">
        <v>229</v>
      </c>
      <c r="GA1324" s="1" t="s">
        <v>291</v>
      </c>
      <c r="GB1324" s="2">
        <v>42128.0</v>
      </c>
      <c r="GC1324" s="1" t="s">
        <v>13916</v>
      </c>
    </row>
    <row r="1325">
      <c r="A1325" s="1">
        <v>160000.0</v>
      </c>
      <c r="B1325" s="1" t="s">
        <v>185</v>
      </c>
      <c r="C1325" s="1" t="str">
        <f>"08853889"</f>
        <v>08853889</v>
      </c>
      <c r="D1325" s="1" t="s">
        <v>186</v>
      </c>
      <c r="F1325" s="1" t="str">
        <f>"8065"</f>
        <v>8065</v>
      </c>
      <c r="G1325" s="2">
        <v>42068.0</v>
      </c>
      <c r="H1325" s="1">
        <v>154900.0</v>
      </c>
      <c r="I1325" s="1">
        <v>12.0</v>
      </c>
      <c r="J1325" s="1">
        <v>154900.0</v>
      </c>
      <c r="K1325" s="2">
        <v>42079.0</v>
      </c>
      <c r="L1325" s="1">
        <v>12.0</v>
      </c>
      <c r="M1325" s="2">
        <v>42079.0</v>
      </c>
      <c r="N1325" s="1" t="s">
        <v>356</v>
      </c>
      <c r="O1325" s="2">
        <v>42136.0</v>
      </c>
      <c r="P1325" s="1">
        <v>901250.0</v>
      </c>
      <c r="Q1325" s="1">
        <v>90871.0</v>
      </c>
      <c r="S1325" s="1">
        <v>4419.0</v>
      </c>
      <c r="T1325" s="1" t="s">
        <v>4280</v>
      </c>
      <c r="U1325" s="1" t="s">
        <v>464</v>
      </c>
      <c r="V1325" s="1" t="s">
        <v>190</v>
      </c>
      <c r="W1325" s="1">
        <v>60629.0</v>
      </c>
      <c r="Y1325" s="1" t="s">
        <v>13917</v>
      </c>
      <c r="Z1325" s="1" t="s">
        <v>296</v>
      </c>
      <c r="AA1325" s="1" t="s">
        <v>192</v>
      </c>
      <c r="AB1325" s="1" t="s">
        <v>193</v>
      </c>
      <c r="AD1325" s="1" t="s">
        <v>194</v>
      </c>
      <c r="AE1325" s="1" t="s">
        <v>195</v>
      </c>
      <c r="AF1325" s="1" t="s">
        <v>659</v>
      </c>
      <c r="AH1325" s="1" t="s">
        <v>1501</v>
      </c>
      <c r="AK1325" s="1">
        <v>6.0</v>
      </c>
      <c r="AL1325" s="1">
        <v>4.0</v>
      </c>
      <c r="AM1325" s="1">
        <v>1.0</v>
      </c>
      <c r="AN1325" s="1">
        <v>0.0</v>
      </c>
      <c r="AO1325" s="1" t="s">
        <v>229</v>
      </c>
      <c r="AQ1325" s="1" t="s">
        <v>198</v>
      </c>
      <c r="AR1325" s="1" t="s">
        <v>200</v>
      </c>
      <c r="AS1325" s="1" t="s">
        <v>199</v>
      </c>
      <c r="AT1325" s="1">
        <v>2.0</v>
      </c>
      <c r="AV1325" s="1" t="s">
        <v>200</v>
      </c>
      <c r="AW1325" s="1">
        <v>2319.27</v>
      </c>
      <c r="AX1325" s="1">
        <v>2013.0</v>
      </c>
      <c r="AY1325" s="1" t="s">
        <v>1179</v>
      </c>
      <c r="AZ1325" s="1" t="s">
        <v>200</v>
      </c>
      <c r="BA1325" s="1" t="str">
        <f>"19223040470000"</f>
        <v>19223040470000</v>
      </c>
      <c r="BB1325" s="1" t="s">
        <v>200</v>
      </c>
      <c r="BC1325" s="1">
        <v>1500.0</v>
      </c>
      <c r="BD1325" s="1">
        <v>160000.0</v>
      </c>
      <c r="BE1325" s="2">
        <v>42068.0</v>
      </c>
      <c r="BF1325" s="1" t="s">
        <v>13918</v>
      </c>
      <c r="BH1325" s="1">
        <v>0.0</v>
      </c>
      <c r="BK1325" s="1" t="s">
        <v>204</v>
      </c>
      <c r="BL1325" s="1" t="str">
        <f t="shared" ref="BL1325:BM1325" si="875">"0"</f>
        <v>0</v>
      </c>
      <c r="BM1325" s="1" t="str">
        <f t="shared" si="875"/>
        <v>0</v>
      </c>
      <c r="BN1325" s="1">
        <v>4419.0</v>
      </c>
      <c r="BO1325" s="1">
        <v>6700.0</v>
      </c>
      <c r="BQ1325" s="1">
        <v>299.0</v>
      </c>
      <c r="BR1325" s="1">
        <v>299.0</v>
      </c>
      <c r="BS1325" s="1">
        <v>299.0</v>
      </c>
      <c r="BU1325" s="1" t="s">
        <v>3989</v>
      </c>
      <c r="BV1325" s="1" t="s">
        <v>206</v>
      </c>
      <c r="BW1325" s="1" t="s">
        <v>588</v>
      </c>
      <c r="BY1325" s="1" t="s">
        <v>363</v>
      </c>
      <c r="BZ1325" s="1" t="s">
        <v>206</v>
      </c>
      <c r="CD1325" s="1" t="s">
        <v>204</v>
      </c>
      <c r="CG1325" s="1" t="s">
        <v>302</v>
      </c>
      <c r="CH1325" s="1" t="s">
        <v>206</v>
      </c>
      <c r="CK1325" s="1" t="s">
        <v>478</v>
      </c>
      <c r="CL1325" s="1" t="s">
        <v>209</v>
      </c>
      <c r="CO1325" s="1" t="s">
        <v>2713</v>
      </c>
      <c r="CP1325" s="1" t="s">
        <v>209</v>
      </c>
      <c r="CS1325" s="1" t="s">
        <v>2713</v>
      </c>
      <c r="CT1325" s="1" t="s">
        <v>206</v>
      </c>
      <c r="CX1325" s="1" t="s">
        <v>204</v>
      </c>
      <c r="DA1325" s="1" t="s">
        <v>200</v>
      </c>
      <c r="DC1325" s="1" t="s">
        <v>702</v>
      </c>
      <c r="DE1325" s="1" t="s">
        <v>273</v>
      </c>
      <c r="DF1325" s="1" t="s">
        <v>619</v>
      </c>
      <c r="DH1325" s="1" t="s">
        <v>365</v>
      </c>
      <c r="DJ1325" s="1" t="s">
        <v>222</v>
      </c>
      <c r="DL1325" s="1" t="s">
        <v>223</v>
      </c>
      <c r="DM1325" s="1" t="s">
        <v>229</v>
      </c>
      <c r="DQ1325" s="1" t="s">
        <v>718</v>
      </c>
      <c r="DR1325" s="1" t="s">
        <v>229</v>
      </c>
      <c r="DV1325" s="1" t="s">
        <v>232</v>
      </c>
      <c r="DW1325" s="1" t="s">
        <v>279</v>
      </c>
      <c r="DX1325" s="1" t="s">
        <v>234</v>
      </c>
      <c r="EC1325" s="1" t="s">
        <v>645</v>
      </c>
      <c r="EM1325" s="1" t="s">
        <v>238</v>
      </c>
      <c r="EQ1325" s="1" t="s">
        <v>238</v>
      </c>
      <c r="EU1325" s="1" t="s">
        <v>238</v>
      </c>
      <c r="EY1325" s="1" t="s">
        <v>238</v>
      </c>
      <c r="FC1325" s="1" t="s">
        <v>238</v>
      </c>
      <c r="FF1325" s="1" t="s">
        <v>239</v>
      </c>
      <c r="FG1325" s="1" t="s">
        <v>192</v>
      </c>
      <c r="FH1325" s="1" t="s">
        <v>192</v>
      </c>
      <c r="FJ1325" s="1" t="s">
        <v>524</v>
      </c>
      <c r="FK1325" s="1" t="s">
        <v>229</v>
      </c>
      <c r="FL1325" s="1" t="s">
        <v>13919</v>
      </c>
      <c r="FM1325" s="1">
        <v>61106.0</v>
      </c>
      <c r="FN1325" s="1" t="s">
        <v>13920</v>
      </c>
      <c r="FO1325" s="1" t="s">
        <v>13921</v>
      </c>
      <c r="FP1325" s="1">
        <v>606573.0</v>
      </c>
      <c r="FQ1325" s="1" t="s">
        <v>13920</v>
      </c>
      <c r="FU1325" s="1" t="s">
        <v>13922</v>
      </c>
      <c r="FV1325" s="1" t="s">
        <v>200</v>
      </c>
      <c r="FW1325" s="1" t="s">
        <v>1293</v>
      </c>
      <c r="FX1325" s="1" t="s">
        <v>246</v>
      </c>
      <c r="FZ1325" s="1" t="s">
        <v>2993</v>
      </c>
      <c r="GA1325" s="1" t="s">
        <v>247</v>
      </c>
      <c r="GB1325" s="2">
        <v>42136.0</v>
      </c>
    </row>
    <row r="1326">
      <c r="A1326" s="1">
        <v>132000.0</v>
      </c>
      <c r="B1326" s="1" t="s">
        <v>185</v>
      </c>
      <c r="C1326" s="1" t="str">
        <f>"08855669"</f>
        <v>08855669</v>
      </c>
      <c r="D1326" s="1" t="s">
        <v>186</v>
      </c>
      <c r="F1326" s="1" t="str">
        <f>"110"</f>
        <v>110</v>
      </c>
      <c r="G1326" s="2">
        <v>42071.0</v>
      </c>
      <c r="H1326" s="1">
        <v>132900.0</v>
      </c>
      <c r="I1326" s="1">
        <v>4.0</v>
      </c>
      <c r="J1326" s="1">
        <v>132900.0</v>
      </c>
      <c r="K1326" s="2">
        <v>42074.0</v>
      </c>
      <c r="L1326" s="1">
        <v>4.0</v>
      </c>
      <c r="M1326" s="2">
        <v>42074.0</v>
      </c>
      <c r="N1326" s="1" t="s">
        <v>356</v>
      </c>
      <c r="O1326" s="2">
        <v>42109.0</v>
      </c>
      <c r="P1326" s="1">
        <v>70319.0</v>
      </c>
      <c r="Q1326" s="1">
        <v>267.0</v>
      </c>
      <c r="R1326" s="1">
        <v>3000.0</v>
      </c>
      <c r="S1326" s="1">
        <v>15.0</v>
      </c>
      <c r="T1326" s="1" t="s">
        <v>13923</v>
      </c>
      <c r="U1326" s="1" t="s">
        <v>1174</v>
      </c>
      <c r="V1326" s="1" t="s">
        <v>807</v>
      </c>
      <c r="W1326" s="1">
        <v>60110.0</v>
      </c>
      <c r="Y1326" s="1" t="s">
        <v>13924</v>
      </c>
      <c r="Z1326" s="1" t="s">
        <v>296</v>
      </c>
      <c r="AA1326" s="1" t="s">
        <v>192</v>
      </c>
      <c r="AB1326" s="1" t="s">
        <v>193</v>
      </c>
      <c r="AD1326" s="1" t="s">
        <v>809</v>
      </c>
      <c r="AE1326" s="1" t="s">
        <v>325</v>
      </c>
      <c r="AF1326" s="1" t="s">
        <v>810</v>
      </c>
      <c r="AH1326" s="1" t="s">
        <v>1757</v>
      </c>
      <c r="AK1326" s="1">
        <v>6.0</v>
      </c>
      <c r="AL1326" s="1">
        <v>4.0</v>
      </c>
      <c r="AM1326" s="1">
        <v>1.0</v>
      </c>
      <c r="AN1326" s="1">
        <v>0.0</v>
      </c>
      <c r="AO1326" s="1" t="s">
        <v>229</v>
      </c>
      <c r="AQ1326" s="1" t="s">
        <v>229</v>
      </c>
      <c r="AR1326" s="1" t="s">
        <v>200</v>
      </c>
      <c r="AS1326" s="1" t="s">
        <v>199</v>
      </c>
      <c r="AT1326" s="1">
        <v>2.0</v>
      </c>
      <c r="AV1326" s="1" t="s">
        <v>200</v>
      </c>
      <c r="AW1326" s="1">
        <v>1983.0</v>
      </c>
      <c r="AX1326" s="1">
        <v>2013.0</v>
      </c>
      <c r="AY1326" s="1" t="s">
        <v>387</v>
      </c>
      <c r="AZ1326" s="1" t="s">
        <v>200</v>
      </c>
      <c r="BA1326" s="1" t="str">
        <f>"0312352015"</f>
        <v>0312352015</v>
      </c>
      <c r="BC1326" s="1">
        <v>1000.0</v>
      </c>
      <c r="BD1326" s="1">
        <v>132000.0</v>
      </c>
      <c r="BE1326" s="2">
        <v>42071.0</v>
      </c>
      <c r="BF1326" s="2" t="s">
        <v>13925</v>
      </c>
      <c r="BH1326" s="1">
        <v>0.0</v>
      </c>
      <c r="BK1326" s="1" t="s">
        <v>204</v>
      </c>
      <c r="BL1326" s="1" t="str">
        <f t="shared" ref="BL1326:BM1326" si="876">""</f>
        <v/>
      </c>
      <c r="BM1326" s="1" t="str">
        <f t="shared" si="876"/>
        <v/>
      </c>
      <c r="BQ1326" s="1">
        <v>300.0</v>
      </c>
      <c r="BR1326" s="1">
        <v>300.0</v>
      </c>
      <c r="BS1326" s="1">
        <v>300.0</v>
      </c>
      <c r="BU1326" s="1" t="s">
        <v>213</v>
      </c>
      <c r="BV1326" s="1" t="s">
        <v>206</v>
      </c>
      <c r="BW1326" s="1" t="s">
        <v>207</v>
      </c>
      <c r="BX1326" s="1" t="s">
        <v>1549</v>
      </c>
      <c r="BY1326" s="1" t="s">
        <v>497</v>
      </c>
      <c r="BZ1326" s="1" t="s">
        <v>206</v>
      </c>
      <c r="CA1326" s="1" t="s">
        <v>207</v>
      </c>
      <c r="CB1326" s="1" t="s">
        <v>431</v>
      </c>
      <c r="CD1326" s="1" t="s">
        <v>204</v>
      </c>
      <c r="CG1326" s="1" t="s">
        <v>5311</v>
      </c>
      <c r="CH1326" s="1" t="s">
        <v>206</v>
      </c>
      <c r="CI1326" s="1" t="s">
        <v>207</v>
      </c>
      <c r="CK1326" s="1" t="s">
        <v>814</v>
      </c>
      <c r="CL1326" s="1" t="s">
        <v>206</v>
      </c>
      <c r="CM1326" s="1" t="s">
        <v>207</v>
      </c>
      <c r="CN1326" s="1" t="s">
        <v>431</v>
      </c>
      <c r="CO1326" s="1" t="s">
        <v>411</v>
      </c>
      <c r="CP1326" s="1" t="s">
        <v>206</v>
      </c>
      <c r="CQ1326" s="1" t="s">
        <v>207</v>
      </c>
      <c r="CR1326" s="1" t="s">
        <v>431</v>
      </c>
      <c r="CS1326" s="1" t="s">
        <v>332</v>
      </c>
      <c r="CT1326" s="1" t="s">
        <v>206</v>
      </c>
      <c r="CU1326" s="1" t="s">
        <v>207</v>
      </c>
      <c r="CV1326" s="1" t="s">
        <v>431</v>
      </c>
      <c r="CX1326" s="1" t="s">
        <v>204</v>
      </c>
      <c r="DA1326" s="1" t="s">
        <v>200</v>
      </c>
      <c r="DC1326" s="1" t="s">
        <v>271</v>
      </c>
      <c r="DE1326" s="1" t="s">
        <v>273</v>
      </c>
      <c r="DF1326" s="1" t="s">
        <v>219</v>
      </c>
      <c r="DH1326" s="1" t="s">
        <v>220</v>
      </c>
      <c r="DJ1326" s="1" t="s">
        <v>222</v>
      </c>
      <c r="DL1326" s="1" t="s">
        <v>1853</v>
      </c>
      <c r="DM1326" s="1" t="s">
        <v>338</v>
      </c>
      <c r="DQ1326" s="1" t="s">
        <v>228</v>
      </c>
      <c r="DR1326" s="1" t="s">
        <v>229</v>
      </c>
      <c r="DV1326" s="1" t="s">
        <v>310</v>
      </c>
      <c r="DW1326" s="1" t="s">
        <v>233</v>
      </c>
      <c r="DX1326" s="1" t="s">
        <v>234</v>
      </c>
      <c r="DY1326" s="1" t="s">
        <v>704</v>
      </c>
      <c r="EC1326" s="1" t="s">
        <v>685</v>
      </c>
      <c r="EE1326" s="1" t="s">
        <v>493</v>
      </c>
      <c r="EG1326" s="1" t="s">
        <v>310</v>
      </c>
      <c r="EL1326" s="1" t="s">
        <v>3387</v>
      </c>
      <c r="EM1326" s="1" t="s">
        <v>206</v>
      </c>
      <c r="EQ1326" s="1" t="s">
        <v>238</v>
      </c>
      <c r="EU1326" s="1" t="s">
        <v>238</v>
      </c>
      <c r="EY1326" s="1" t="s">
        <v>238</v>
      </c>
      <c r="FC1326" s="1" t="s">
        <v>238</v>
      </c>
      <c r="FF1326" s="1" t="s">
        <v>239</v>
      </c>
      <c r="FG1326" s="1" t="s">
        <v>192</v>
      </c>
      <c r="FH1326" s="1" t="s">
        <v>192</v>
      </c>
      <c r="FJ1326" s="1" t="s">
        <v>13926</v>
      </c>
      <c r="FK1326" s="1" t="s">
        <v>229</v>
      </c>
      <c r="FL1326" s="1" t="s">
        <v>12579</v>
      </c>
      <c r="FM1326" s="1">
        <v>7470.0</v>
      </c>
      <c r="FN1326" s="1" t="s">
        <v>12580</v>
      </c>
      <c r="FO1326" s="1" t="s">
        <v>12581</v>
      </c>
      <c r="FP1326" s="1">
        <v>77577.0</v>
      </c>
      <c r="FQ1326" s="1" t="s">
        <v>12582</v>
      </c>
      <c r="FU1326" s="1" t="s">
        <v>6042</v>
      </c>
      <c r="FV1326" s="1" t="s">
        <v>192</v>
      </c>
      <c r="FW1326" s="1" t="s">
        <v>12584</v>
      </c>
      <c r="FZ1326" s="1" t="s">
        <v>229</v>
      </c>
      <c r="GA1326" s="1" t="s">
        <v>291</v>
      </c>
      <c r="GB1326" s="2">
        <v>42109.0</v>
      </c>
      <c r="GC1326" s="1" t="s">
        <v>13927</v>
      </c>
    </row>
    <row r="1327">
      <c r="A1327" s="1">
        <v>220000.0</v>
      </c>
      <c r="B1327" s="1" t="s">
        <v>185</v>
      </c>
      <c r="C1327" s="1" t="str">
        <f>"08865725"</f>
        <v>08865725</v>
      </c>
      <c r="D1327" s="1" t="s">
        <v>186</v>
      </c>
      <c r="F1327" s="1" t="str">
        <f>"560"</f>
        <v>560</v>
      </c>
      <c r="G1327" s="2">
        <v>42081.0</v>
      </c>
      <c r="H1327" s="1">
        <v>233000.0</v>
      </c>
      <c r="I1327" s="1">
        <v>23.0</v>
      </c>
      <c r="J1327" s="1">
        <v>233000.0</v>
      </c>
      <c r="K1327" s="2">
        <v>42103.0</v>
      </c>
      <c r="L1327" s="1">
        <v>23.0</v>
      </c>
      <c r="M1327" s="2">
        <v>42103.0</v>
      </c>
      <c r="N1327" s="1" t="s">
        <v>356</v>
      </c>
      <c r="O1327" s="2">
        <v>42144.0</v>
      </c>
      <c r="P1327" s="1">
        <v>242846.0</v>
      </c>
      <c r="Q1327" s="1">
        <v>25042.0</v>
      </c>
      <c r="S1327" s="1">
        <v>1401.0</v>
      </c>
      <c r="T1327" s="1" t="s">
        <v>9669</v>
      </c>
      <c r="U1327" s="1" t="s">
        <v>1174</v>
      </c>
      <c r="V1327" s="1" t="s">
        <v>845</v>
      </c>
      <c r="W1327" s="1">
        <v>60560.0</v>
      </c>
      <c r="Y1327" s="1" t="s">
        <v>13928</v>
      </c>
      <c r="Z1327" s="1">
        <v>1999.0</v>
      </c>
      <c r="AA1327" s="1" t="s">
        <v>200</v>
      </c>
      <c r="AB1327" s="1" t="s">
        <v>193</v>
      </c>
      <c r="AC1327" s="1" t="s">
        <v>13929</v>
      </c>
      <c r="AD1327" s="1" t="s">
        <v>848</v>
      </c>
      <c r="AE1327" s="1" t="s">
        <v>849</v>
      </c>
      <c r="AF1327" s="1" t="s">
        <v>2153</v>
      </c>
      <c r="AH1327" s="1" t="s">
        <v>13930</v>
      </c>
      <c r="AI1327" s="1">
        <v>0.3233</v>
      </c>
      <c r="AK1327" s="1">
        <v>8.0</v>
      </c>
      <c r="AL1327" s="1">
        <v>4.0</v>
      </c>
      <c r="AM1327" s="1">
        <v>2.0</v>
      </c>
      <c r="AN1327" s="1">
        <v>1.0</v>
      </c>
      <c r="AO1327" s="1" t="s">
        <v>198</v>
      </c>
      <c r="AP1327" s="1">
        <v>1.0</v>
      </c>
      <c r="AQ1327" s="1" t="s">
        <v>198</v>
      </c>
      <c r="AR1327" s="1" t="s">
        <v>200</v>
      </c>
      <c r="AS1327" s="1" t="s">
        <v>199</v>
      </c>
      <c r="AT1327" s="1">
        <v>2.0</v>
      </c>
      <c r="AV1327" s="1" t="s">
        <v>200</v>
      </c>
      <c r="AW1327" s="1">
        <v>5828.3</v>
      </c>
      <c r="AX1327" s="1">
        <v>2013.0</v>
      </c>
      <c r="AY1327" s="1" t="s">
        <v>387</v>
      </c>
      <c r="AZ1327" s="1" t="s">
        <v>200</v>
      </c>
      <c r="BA1327" s="1" t="str">
        <f>"0230213008"</f>
        <v>0230213008</v>
      </c>
      <c r="BB1327" s="1" t="s">
        <v>200</v>
      </c>
      <c r="BC1327" s="1">
        <v>1830.0</v>
      </c>
      <c r="BD1327" s="1">
        <v>220000.0</v>
      </c>
      <c r="BE1327" s="2">
        <v>42081.0</v>
      </c>
      <c r="BF1327" s="2" t="s">
        <v>13931</v>
      </c>
      <c r="BH1327" s="1">
        <v>0.0</v>
      </c>
      <c r="BK1327" s="1" t="s">
        <v>204</v>
      </c>
      <c r="BL1327" s="1" t="str">
        <f t="shared" ref="BL1327:BM1327" si="877">""</f>
        <v/>
      </c>
      <c r="BM1327" s="1" t="str">
        <f t="shared" si="877"/>
        <v/>
      </c>
      <c r="BQ1327" s="1">
        <v>115.0</v>
      </c>
      <c r="BR1327" s="1">
        <v>115.0</v>
      </c>
      <c r="BS1327" s="1">
        <v>115.0</v>
      </c>
      <c r="BU1327" s="1" t="s">
        <v>1939</v>
      </c>
      <c r="BV1327" s="1" t="s">
        <v>206</v>
      </c>
      <c r="BW1327" s="1" t="s">
        <v>210</v>
      </c>
      <c r="BX1327" s="1" t="s">
        <v>261</v>
      </c>
      <c r="BY1327" s="1" t="s">
        <v>329</v>
      </c>
      <c r="BZ1327" s="1" t="s">
        <v>209</v>
      </c>
      <c r="CA1327" s="1" t="s">
        <v>210</v>
      </c>
      <c r="CB1327" s="1" t="s">
        <v>1550</v>
      </c>
      <c r="CC1327" s="1" t="s">
        <v>495</v>
      </c>
      <c r="CD1327" s="1" t="s">
        <v>206</v>
      </c>
      <c r="CE1327" s="1" t="s">
        <v>210</v>
      </c>
      <c r="CF1327" s="1" t="s">
        <v>261</v>
      </c>
      <c r="CG1327" s="1" t="s">
        <v>265</v>
      </c>
      <c r="CH1327" s="1" t="s">
        <v>209</v>
      </c>
      <c r="CI1327" s="1" t="s">
        <v>210</v>
      </c>
      <c r="CJ1327" s="1" t="s">
        <v>261</v>
      </c>
      <c r="CK1327" s="1" t="s">
        <v>495</v>
      </c>
      <c r="CL1327" s="1" t="s">
        <v>209</v>
      </c>
      <c r="CM1327" s="1" t="s">
        <v>210</v>
      </c>
      <c r="CN1327" s="1" t="s">
        <v>431</v>
      </c>
      <c r="CO1327" s="1" t="s">
        <v>264</v>
      </c>
      <c r="CP1327" s="1" t="s">
        <v>209</v>
      </c>
      <c r="CQ1327" s="1" t="s">
        <v>210</v>
      </c>
      <c r="CR1327" s="1" t="s">
        <v>431</v>
      </c>
      <c r="CS1327" s="1" t="s">
        <v>453</v>
      </c>
      <c r="CT1327" s="1" t="s">
        <v>206</v>
      </c>
      <c r="CU1327" s="1" t="s">
        <v>301</v>
      </c>
      <c r="CV1327" s="1" t="s">
        <v>1549</v>
      </c>
      <c r="CW1327" s="1" t="s">
        <v>260</v>
      </c>
      <c r="CX1327" s="1" t="s">
        <v>206</v>
      </c>
      <c r="CY1327" s="1" t="s">
        <v>210</v>
      </c>
      <c r="CZ1327" s="1" t="s">
        <v>1118</v>
      </c>
      <c r="DA1327" s="1" t="s">
        <v>200</v>
      </c>
      <c r="DC1327" s="1" t="s">
        <v>678</v>
      </c>
      <c r="DD1327" s="1" t="s">
        <v>396</v>
      </c>
      <c r="DE1327" s="1" t="s">
        <v>273</v>
      </c>
      <c r="DF1327" s="1" t="s">
        <v>219</v>
      </c>
      <c r="DG1327" s="1" t="s">
        <v>1160</v>
      </c>
      <c r="DH1327" s="1" t="s">
        <v>220</v>
      </c>
      <c r="DI1327" s="1" t="s">
        <v>1003</v>
      </c>
      <c r="DJ1327" s="1" t="s">
        <v>222</v>
      </c>
      <c r="DL1327" s="1" t="s">
        <v>223</v>
      </c>
      <c r="DM1327" s="1" t="s">
        <v>338</v>
      </c>
      <c r="DN1327" s="1" t="s">
        <v>1486</v>
      </c>
      <c r="DO1327" s="1" t="s">
        <v>12169</v>
      </c>
      <c r="DP1327" s="1" t="s">
        <v>340</v>
      </c>
      <c r="DQ1327" s="1" t="s">
        <v>441</v>
      </c>
      <c r="DR1327" s="1" t="s">
        <v>229</v>
      </c>
      <c r="DU1327" s="1" t="s">
        <v>3861</v>
      </c>
      <c r="DV1327" s="1" t="s">
        <v>232</v>
      </c>
      <c r="DW1327" s="1" t="s">
        <v>444</v>
      </c>
      <c r="DX1327" s="1" t="s">
        <v>234</v>
      </c>
      <c r="DY1327" s="1" t="s">
        <v>342</v>
      </c>
      <c r="DZ1327" s="1" t="s">
        <v>7055</v>
      </c>
      <c r="EB1327" s="1" t="s">
        <v>937</v>
      </c>
      <c r="EC1327" s="1" t="s">
        <v>237</v>
      </c>
      <c r="ED1327" s="1" t="s">
        <v>407</v>
      </c>
      <c r="EM1327" s="1" t="s">
        <v>238</v>
      </c>
      <c r="EQ1327" s="1" t="s">
        <v>238</v>
      </c>
      <c r="EU1327" s="1" t="s">
        <v>238</v>
      </c>
      <c r="EY1327" s="1" t="s">
        <v>238</v>
      </c>
      <c r="FC1327" s="1" t="s">
        <v>238</v>
      </c>
      <c r="FF1327" s="1" t="s">
        <v>239</v>
      </c>
      <c r="FG1327" s="1" t="s">
        <v>192</v>
      </c>
      <c r="FH1327" s="1" t="s">
        <v>192</v>
      </c>
      <c r="FJ1327" s="1" t="s">
        <v>9306</v>
      </c>
      <c r="FK1327" s="1" t="s">
        <v>229</v>
      </c>
      <c r="FL1327" s="1" t="s">
        <v>456</v>
      </c>
      <c r="FM1327" s="1">
        <v>49.0</v>
      </c>
      <c r="FN1327" s="1" t="s">
        <v>457</v>
      </c>
      <c r="FO1327" s="1" t="s">
        <v>9307</v>
      </c>
      <c r="FP1327" s="1">
        <v>8384.0</v>
      </c>
      <c r="FS1327" s="1" t="s">
        <v>9308</v>
      </c>
      <c r="FU1327" s="1" t="s">
        <v>12519</v>
      </c>
      <c r="FV1327" s="1" t="s">
        <v>200</v>
      </c>
      <c r="FW1327" s="1" t="s">
        <v>290</v>
      </c>
      <c r="FZ1327" s="1" t="s">
        <v>229</v>
      </c>
      <c r="GA1327" s="1" t="s">
        <v>291</v>
      </c>
      <c r="GB1327" s="2">
        <v>42144.0</v>
      </c>
      <c r="GC1327" s="1" t="s">
        <v>13932</v>
      </c>
    </row>
    <row r="1328">
      <c r="A1328" s="1">
        <v>510000.0</v>
      </c>
      <c r="B1328" s="1" t="s">
        <v>185</v>
      </c>
      <c r="C1328" s="1" t="str">
        <f>"08857757"</f>
        <v>08857757</v>
      </c>
      <c r="D1328" s="1" t="s">
        <v>186</v>
      </c>
      <c r="F1328" s="1" t="str">
        <f>"8023"</f>
        <v>8023</v>
      </c>
      <c r="G1328" s="2">
        <v>42073.0</v>
      </c>
      <c r="H1328" s="1">
        <v>525000.0</v>
      </c>
      <c r="I1328" s="1">
        <v>68.0</v>
      </c>
      <c r="J1328" s="1">
        <v>525000.0</v>
      </c>
      <c r="K1328" s="2">
        <v>42073.0</v>
      </c>
      <c r="L1328" s="1">
        <v>1.0</v>
      </c>
      <c r="M1328" s="2">
        <v>42073.0</v>
      </c>
      <c r="N1328" s="1" t="s">
        <v>187</v>
      </c>
      <c r="O1328" s="2">
        <v>42090.0</v>
      </c>
      <c r="P1328" s="1">
        <v>877625.0</v>
      </c>
      <c r="Q1328" s="1">
        <v>16734.0</v>
      </c>
      <c r="S1328" s="1">
        <v>3256.0</v>
      </c>
      <c r="T1328" s="1" t="s">
        <v>13933</v>
      </c>
      <c r="U1328" s="1" t="s">
        <v>189</v>
      </c>
      <c r="V1328" s="1" t="s">
        <v>190</v>
      </c>
      <c r="W1328" s="1">
        <v>60651.0</v>
      </c>
      <c r="Y1328" s="1" t="s">
        <v>13934</v>
      </c>
      <c r="Z1328" s="1">
        <v>1905.0</v>
      </c>
      <c r="AA1328" s="1" t="s">
        <v>192</v>
      </c>
      <c r="AB1328" s="1" t="s">
        <v>193</v>
      </c>
      <c r="AD1328" s="1" t="s">
        <v>194</v>
      </c>
      <c r="AE1328" s="1" t="s">
        <v>195</v>
      </c>
      <c r="AF1328" s="1" t="s">
        <v>827</v>
      </c>
      <c r="AH1328" s="1">
        <v>3100.0</v>
      </c>
      <c r="AI1328" s="1">
        <v>0.0712</v>
      </c>
      <c r="AK1328" s="1">
        <v>11.0</v>
      </c>
      <c r="AL1328" s="1">
        <v>3.0</v>
      </c>
      <c r="AM1328" s="1">
        <v>3.0</v>
      </c>
      <c r="AN1328" s="1">
        <v>1.0</v>
      </c>
      <c r="AO1328" s="1" t="s">
        <v>198</v>
      </c>
      <c r="AQ1328" s="1" t="s">
        <v>198</v>
      </c>
      <c r="AR1328" s="1" t="s">
        <v>192</v>
      </c>
      <c r="AS1328" s="1" t="s">
        <v>199</v>
      </c>
      <c r="AT1328" s="1">
        <v>2.0</v>
      </c>
      <c r="AV1328" s="1" t="s">
        <v>200</v>
      </c>
      <c r="AW1328" s="1">
        <v>3472.5</v>
      </c>
      <c r="AX1328" s="1">
        <v>2013.0</v>
      </c>
      <c r="AY1328" s="1" t="s">
        <v>229</v>
      </c>
      <c r="AZ1328" s="1" t="s">
        <v>200</v>
      </c>
      <c r="BA1328" s="1" t="str">
        <f>"16022230140000"</f>
        <v>16022230140000</v>
      </c>
      <c r="BC1328" s="1">
        <v>3546.0</v>
      </c>
      <c r="BD1328" s="1">
        <v>510000.0</v>
      </c>
      <c r="BE1328" s="2">
        <v>42073.0</v>
      </c>
      <c r="BF1328" s="2" t="s">
        <v>13935</v>
      </c>
      <c r="BH1328" s="1">
        <v>0.0</v>
      </c>
      <c r="BK1328" s="1" t="s">
        <v>204</v>
      </c>
      <c r="BL1328" s="1" t="str">
        <f>"1300"</f>
        <v>1300</v>
      </c>
      <c r="BM1328" s="1" t="str">
        <f t="shared" ref="BM1328:BM1330" si="878">"0"</f>
        <v>0</v>
      </c>
      <c r="BN1328" s="1">
        <v>3256.0</v>
      </c>
      <c r="BO1328" s="1">
        <v>0.0</v>
      </c>
      <c r="BQ1328" s="1">
        <v>299.0</v>
      </c>
      <c r="BR1328" s="1">
        <v>299.0</v>
      </c>
      <c r="BS1328" s="1">
        <v>299.0</v>
      </c>
      <c r="BU1328" s="1" t="s">
        <v>1352</v>
      </c>
      <c r="BV1328" s="1" t="s">
        <v>206</v>
      </c>
      <c r="BW1328" s="1" t="s">
        <v>207</v>
      </c>
      <c r="BY1328" s="1" t="s">
        <v>743</v>
      </c>
      <c r="BZ1328" s="1" t="s">
        <v>209</v>
      </c>
      <c r="CA1328" s="1" t="s">
        <v>210</v>
      </c>
      <c r="CC1328" s="1" t="s">
        <v>1396</v>
      </c>
      <c r="CD1328" s="1" t="s">
        <v>206</v>
      </c>
      <c r="CE1328" s="1" t="s">
        <v>207</v>
      </c>
      <c r="CG1328" s="1" t="s">
        <v>584</v>
      </c>
      <c r="CH1328" s="1" t="s">
        <v>209</v>
      </c>
      <c r="CI1328" s="1" t="s">
        <v>210</v>
      </c>
      <c r="CK1328" s="1" t="s">
        <v>1418</v>
      </c>
      <c r="CL1328" s="1" t="s">
        <v>209</v>
      </c>
      <c r="CM1328" s="1" t="s">
        <v>210</v>
      </c>
      <c r="CO1328" s="1" t="s">
        <v>4045</v>
      </c>
      <c r="CP1328" s="1" t="s">
        <v>42</v>
      </c>
      <c r="CQ1328" s="1" t="s">
        <v>210</v>
      </c>
      <c r="CS1328" s="1" t="s">
        <v>1352</v>
      </c>
      <c r="CT1328" s="1" t="s">
        <v>206</v>
      </c>
      <c r="CU1328" s="1" t="s">
        <v>207</v>
      </c>
      <c r="CW1328" s="1" t="s">
        <v>1117</v>
      </c>
      <c r="CX1328" s="1" t="s">
        <v>206</v>
      </c>
      <c r="CY1328" s="1" t="s">
        <v>207</v>
      </c>
      <c r="DA1328" s="1" t="s">
        <v>200</v>
      </c>
      <c r="DC1328" s="1" t="s">
        <v>642</v>
      </c>
      <c r="DD1328" s="1" t="s">
        <v>759</v>
      </c>
      <c r="DE1328" s="1" t="s">
        <v>3750</v>
      </c>
      <c r="DF1328" s="1" t="s">
        <v>2328</v>
      </c>
      <c r="DG1328" s="1" t="s">
        <v>5395</v>
      </c>
      <c r="DH1328" s="1" t="s">
        <v>365</v>
      </c>
      <c r="DI1328" s="1" t="s">
        <v>519</v>
      </c>
      <c r="DJ1328" s="1" t="s">
        <v>222</v>
      </c>
      <c r="DL1328" s="1" t="s">
        <v>224</v>
      </c>
      <c r="DM1328" s="1" t="s">
        <v>225</v>
      </c>
      <c r="DN1328" s="1" t="s">
        <v>339</v>
      </c>
      <c r="DO1328" s="1" t="s">
        <v>549</v>
      </c>
      <c r="DP1328" s="1" t="s">
        <v>340</v>
      </c>
      <c r="DQ1328" s="1" t="s">
        <v>228</v>
      </c>
      <c r="DR1328" s="1" t="s">
        <v>229</v>
      </c>
      <c r="DS1328" s="1" t="s">
        <v>368</v>
      </c>
      <c r="DU1328" s="1" t="s">
        <v>550</v>
      </c>
      <c r="DV1328" s="1" t="s">
        <v>13936</v>
      </c>
      <c r="DW1328" s="1" t="s">
        <v>279</v>
      </c>
      <c r="DX1328" s="1" t="s">
        <v>234</v>
      </c>
      <c r="DY1328" s="1" t="s">
        <v>13937</v>
      </c>
      <c r="DZ1328" s="1" t="s">
        <v>5974</v>
      </c>
      <c r="EC1328" s="1" t="s">
        <v>237</v>
      </c>
      <c r="ED1328" s="1" t="s">
        <v>407</v>
      </c>
      <c r="EG1328" s="1" t="s">
        <v>450</v>
      </c>
      <c r="EH1328" s="1" t="s">
        <v>1270</v>
      </c>
      <c r="EI1328" s="1" t="s">
        <v>556</v>
      </c>
      <c r="EJ1328" s="1" t="s">
        <v>494</v>
      </c>
      <c r="EL1328" s="1" t="s">
        <v>1534</v>
      </c>
      <c r="EM1328" s="1" t="s">
        <v>42</v>
      </c>
      <c r="EP1328" s="1" t="s">
        <v>516</v>
      </c>
      <c r="EQ1328" s="1" t="s">
        <v>42</v>
      </c>
      <c r="ER1328" s="1" t="s">
        <v>268</v>
      </c>
      <c r="ET1328" s="1" t="s">
        <v>2047</v>
      </c>
      <c r="EU1328" s="1" t="s">
        <v>206</v>
      </c>
      <c r="EV1328" s="1" t="s">
        <v>207</v>
      </c>
      <c r="EX1328" s="1" t="s">
        <v>497</v>
      </c>
      <c r="EY1328" s="1" t="s">
        <v>209</v>
      </c>
      <c r="EZ1328" s="1" t="s">
        <v>207</v>
      </c>
      <c r="FC1328" s="1" t="s">
        <v>238</v>
      </c>
      <c r="FF1328" s="1" t="s">
        <v>239</v>
      </c>
      <c r="FG1328" s="1" t="s">
        <v>192</v>
      </c>
      <c r="FH1328" s="1" t="s">
        <v>192</v>
      </c>
      <c r="FJ1328" s="1" t="s">
        <v>1573</v>
      </c>
      <c r="FK1328" s="1" t="s">
        <v>229</v>
      </c>
      <c r="FL1328" s="1" t="s">
        <v>2060</v>
      </c>
      <c r="FM1328" s="1">
        <v>85403.0</v>
      </c>
      <c r="FN1328" s="1" t="s">
        <v>2061</v>
      </c>
      <c r="FO1328" s="1" t="s">
        <v>13938</v>
      </c>
      <c r="FP1328" s="1">
        <v>874854.0</v>
      </c>
      <c r="FQ1328" s="1" t="s">
        <v>13939</v>
      </c>
      <c r="FU1328" s="1" t="s">
        <v>13940</v>
      </c>
      <c r="FV1328" s="1" t="s">
        <v>192</v>
      </c>
      <c r="FW1328" s="1" t="s">
        <v>290</v>
      </c>
      <c r="FX1328" s="1" t="s">
        <v>246</v>
      </c>
      <c r="FZ1328" s="1" t="s">
        <v>229</v>
      </c>
      <c r="GA1328" s="1" t="s">
        <v>291</v>
      </c>
      <c r="GB1328" s="2">
        <v>42090.0</v>
      </c>
    </row>
    <row r="1329">
      <c r="A1329" s="1">
        <v>385000.0</v>
      </c>
      <c r="B1329" s="1" t="s">
        <v>185</v>
      </c>
      <c r="C1329" s="1" t="str">
        <f>"08858895"</f>
        <v>08858895</v>
      </c>
      <c r="D1329" s="1" t="s">
        <v>186</v>
      </c>
      <c r="F1329" s="1" t="str">
        <f>"8015"</f>
        <v>8015</v>
      </c>
      <c r="G1329" s="2">
        <v>42074.0</v>
      </c>
      <c r="H1329" s="1">
        <v>399900.0</v>
      </c>
      <c r="I1329" s="1">
        <v>11.0</v>
      </c>
      <c r="J1329" s="1">
        <v>399900.0</v>
      </c>
      <c r="K1329" s="2">
        <v>42084.0</v>
      </c>
      <c r="L1329" s="1">
        <v>11.0</v>
      </c>
      <c r="M1329" s="2">
        <v>42084.0</v>
      </c>
      <c r="N1329" s="1" t="s">
        <v>187</v>
      </c>
      <c r="O1329" s="2">
        <v>42118.0</v>
      </c>
      <c r="P1329" s="1">
        <v>120274.0</v>
      </c>
      <c r="Q1329" s="1">
        <v>10013.0</v>
      </c>
      <c r="S1329" s="1">
        <v>3427.0</v>
      </c>
      <c r="T1329" s="1" t="s">
        <v>384</v>
      </c>
      <c r="U1329" s="1" t="s">
        <v>189</v>
      </c>
      <c r="V1329" s="1" t="s">
        <v>190</v>
      </c>
      <c r="W1329" s="1">
        <v>60641.0</v>
      </c>
      <c r="Y1329" s="1" t="s">
        <v>13941</v>
      </c>
      <c r="Z1329" s="1">
        <v>1911.0</v>
      </c>
      <c r="AA1329" s="1" t="s">
        <v>192</v>
      </c>
      <c r="AB1329" s="1" t="s">
        <v>193</v>
      </c>
      <c r="AD1329" s="1" t="s">
        <v>194</v>
      </c>
      <c r="AE1329" s="1" t="s">
        <v>195</v>
      </c>
      <c r="AF1329" s="1" t="s">
        <v>196</v>
      </c>
      <c r="AH1329" s="1" t="s">
        <v>13942</v>
      </c>
      <c r="AI1329" s="1">
        <v>0.1584</v>
      </c>
      <c r="AK1329" s="1">
        <v>9.0</v>
      </c>
      <c r="AL1329" s="1">
        <v>4.0</v>
      </c>
      <c r="AM1329" s="1">
        <v>2.0</v>
      </c>
      <c r="AN1329" s="1">
        <v>0.0</v>
      </c>
      <c r="AO1329" s="1" t="s">
        <v>1261</v>
      </c>
      <c r="AQ1329" s="1" t="s">
        <v>198</v>
      </c>
      <c r="AR1329" s="1" t="s">
        <v>200</v>
      </c>
      <c r="AS1329" s="1" t="s">
        <v>199</v>
      </c>
      <c r="AT1329" s="1">
        <v>3.0</v>
      </c>
      <c r="AV1329" s="1" t="s">
        <v>200</v>
      </c>
      <c r="AW1329" s="1">
        <v>3550.0</v>
      </c>
      <c r="AX1329" s="1">
        <v>2013.0</v>
      </c>
      <c r="AY1329" s="1" t="s">
        <v>387</v>
      </c>
      <c r="AZ1329" s="1" t="s">
        <v>200</v>
      </c>
      <c r="BA1329" s="1" t="str">
        <f>"13223080140000"</f>
        <v>13223080140000</v>
      </c>
      <c r="BC1329" s="1">
        <v>0.0</v>
      </c>
      <c r="BD1329" s="1">
        <v>385000.0</v>
      </c>
      <c r="BE1329" s="2">
        <v>42074.0</v>
      </c>
      <c r="BF1329" s="2" t="s">
        <v>13943</v>
      </c>
      <c r="BH1329" s="1">
        <v>0.0</v>
      </c>
      <c r="BK1329" s="1" t="s">
        <v>204</v>
      </c>
      <c r="BL1329" s="1" t="str">
        <f>"3427"</f>
        <v>3427</v>
      </c>
      <c r="BM1329" s="1" t="str">
        <f t="shared" si="878"/>
        <v>0</v>
      </c>
      <c r="BN1329" s="1">
        <v>4700.0</v>
      </c>
      <c r="BO1329" s="1">
        <v>0.0</v>
      </c>
      <c r="BQ1329" s="1">
        <v>299.0</v>
      </c>
      <c r="BR1329" s="1">
        <v>299.0</v>
      </c>
      <c r="BS1329" s="1">
        <v>299.0</v>
      </c>
      <c r="BU1329" s="1" t="s">
        <v>433</v>
      </c>
      <c r="BV1329" s="1" t="s">
        <v>206</v>
      </c>
      <c r="BW1329" s="1" t="s">
        <v>207</v>
      </c>
      <c r="BY1329" s="1" t="s">
        <v>743</v>
      </c>
      <c r="BZ1329" s="1" t="s">
        <v>209</v>
      </c>
      <c r="CA1329" s="1" t="s">
        <v>207</v>
      </c>
      <c r="CC1329" s="1" t="s">
        <v>329</v>
      </c>
      <c r="CD1329" s="1" t="s">
        <v>206</v>
      </c>
      <c r="CE1329" s="1" t="s">
        <v>207</v>
      </c>
      <c r="CG1329" s="1" t="s">
        <v>729</v>
      </c>
      <c r="CH1329" s="1" t="s">
        <v>209</v>
      </c>
      <c r="CI1329" s="1" t="s">
        <v>207</v>
      </c>
      <c r="CK1329" s="1" t="s">
        <v>265</v>
      </c>
      <c r="CL1329" s="1" t="s">
        <v>206</v>
      </c>
      <c r="CM1329" s="1" t="s">
        <v>207</v>
      </c>
      <c r="CO1329" s="1" t="s">
        <v>265</v>
      </c>
      <c r="CP1329" s="1" t="s">
        <v>206</v>
      </c>
      <c r="CQ1329" s="1" t="s">
        <v>207</v>
      </c>
      <c r="CS1329" s="1" t="s">
        <v>264</v>
      </c>
      <c r="CT1329" s="1" t="s">
        <v>206</v>
      </c>
      <c r="CU1329" s="1" t="s">
        <v>207</v>
      </c>
      <c r="CW1329" s="1" t="s">
        <v>393</v>
      </c>
      <c r="CX1329" s="1" t="s">
        <v>206</v>
      </c>
      <c r="CY1329" s="1" t="s">
        <v>207</v>
      </c>
      <c r="DA1329" s="1" t="s">
        <v>200</v>
      </c>
      <c r="DC1329" s="1" t="s">
        <v>642</v>
      </c>
      <c r="DD1329" s="1" t="s">
        <v>306</v>
      </c>
      <c r="DE1329" s="1" t="s">
        <v>273</v>
      </c>
      <c r="DF1329" s="1" t="s">
        <v>619</v>
      </c>
      <c r="DG1329" s="1" t="s">
        <v>337</v>
      </c>
      <c r="DH1329" s="1" t="s">
        <v>365</v>
      </c>
      <c r="DI1329" s="1" t="s">
        <v>221</v>
      </c>
      <c r="DJ1329" s="1" t="s">
        <v>222</v>
      </c>
      <c r="DL1329" s="1" t="s">
        <v>791</v>
      </c>
      <c r="DM1329" s="1" t="s">
        <v>229</v>
      </c>
      <c r="DP1329" s="1" t="s">
        <v>340</v>
      </c>
      <c r="DQ1329" s="1" t="s">
        <v>794</v>
      </c>
      <c r="DR1329" s="1" t="s">
        <v>229</v>
      </c>
      <c r="DV1329" s="1" t="s">
        <v>13944</v>
      </c>
      <c r="DW1329" s="1" t="s">
        <v>891</v>
      </c>
      <c r="DX1329" s="1" t="s">
        <v>234</v>
      </c>
      <c r="DY1329" s="1" t="s">
        <v>3231</v>
      </c>
      <c r="DZ1329" s="1" t="s">
        <v>343</v>
      </c>
      <c r="EC1329" s="1" t="s">
        <v>237</v>
      </c>
      <c r="ED1329" s="1" t="s">
        <v>407</v>
      </c>
      <c r="EG1329" s="1" t="s">
        <v>494</v>
      </c>
      <c r="EH1329" s="1" t="s">
        <v>1270</v>
      </c>
      <c r="EI1329" s="1" t="s">
        <v>310</v>
      </c>
      <c r="EL1329" s="1" t="s">
        <v>1417</v>
      </c>
      <c r="EM1329" s="1" t="s">
        <v>209</v>
      </c>
      <c r="EP1329" s="1" t="s">
        <v>699</v>
      </c>
      <c r="EQ1329" s="1" t="s">
        <v>42</v>
      </c>
      <c r="ET1329" s="1" t="s">
        <v>971</v>
      </c>
      <c r="EU1329" s="1" t="s">
        <v>206</v>
      </c>
      <c r="EY1329" s="1" t="s">
        <v>238</v>
      </c>
      <c r="FC1329" s="1" t="s">
        <v>238</v>
      </c>
      <c r="FF1329" s="1" t="s">
        <v>239</v>
      </c>
      <c r="FG1329" s="1" t="s">
        <v>192</v>
      </c>
      <c r="FH1329" s="1" t="s">
        <v>192</v>
      </c>
      <c r="FJ1329" s="1" t="s">
        <v>799</v>
      </c>
      <c r="FK1329" s="1" t="s">
        <v>229</v>
      </c>
      <c r="FL1329" s="1" t="s">
        <v>562</v>
      </c>
      <c r="FM1329" s="1">
        <v>84307.0</v>
      </c>
      <c r="FN1329" s="1" t="s">
        <v>7195</v>
      </c>
      <c r="FO1329" s="1" t="s">
        <v>13945</v>
      </c>
      <c r="FP1329" s="1">
        <v>144760.0</v>
      </c>
      <c r="FQ1329" s="1" t="s">
        <v>13946</v>
      </c>
      <c r="FR1329" s="1">
        <v>877815.0</v>
      </c>
      <c r="FU1329" s="1" t="s">
        <v>13947</v>
      </c>
      <c r="FV1329" s="1" t="s">
        <v>200</v>
      </c>
      <c r="FW1329" s="1" t="s">
        <v>290</v>
      </c>
      <c r="FX1329" s="1" t="s">
        <v>238</v>
      </c>
      <c r="FZ1329" s="1" t="s">
        <v>229</v>
      </c>
      <c r="GA1329" s="1" t="s">
        <v>291</v>
      </c>
      <c r="GB1329" s="2">
        <v>42121.0</v>
      </c>
    </row>
    <row r="1330">
      <c r="A1330" s="1">
        <v>430000.0</v>
      </c>
      <c r="B1330" s="1" t="s">
        <v>185</v>
      </c>
      <c r="C1330" s="1" t="str">
        <f>"08858344"</f>
        <v>08858344</v>
      </c>
      <c r="D1330" s="1" t="s">
        <v>186</v>
      </c>
      <c r="F1330" s="1" t="str">
        <f>"8017"</f>
        <v>8017</v>
      </c>
      <c r="G1330" s="2">
        <v>42074.0</v>
      </c>
      <c r="H1330" s="1">
        <v>449900.0</v>
      </c>
      <c r="I1330" s="1">
        <v>32.0</v>
      </c>
      <c r="J1330" s="1">
        <v>444900.0</v>
      </c>
      <c r="K1330" s="2">
        <v>42105.0</v>
      </c>
      <c r="L1330" s="1">
        <v>32.0</v>
      </c>
      <c r="M1330" s="2">
        <v>42105.0</v>
      </c>
      <c r="N1330" s="1" t="s">
        <v>187</v>
      </c>
      <c r="O1330" s="2">
        <v>42137.0</v>
      </c>
      <c r="P1330" s="1">
        <v>922822.0</v>
      </c>
      <c r="Q1330" s="1">
        <v>25752.0</v>
      </c>
      <c r="S1330" s="1">
        <v>3706.0</v>
      </c>
      <c r="T1330" s="1" t="s">
        <v>4176</v>
      </c>
      <c r="U1330" s="1" t="s">
        <v>189</v>
      </c>
      <c r="V1330" s="1" t="s">
        <v>190</v>
      </c>
      <c r="W1330" s="1">
        <v>60634.0</v>
      </c>
      <c r="Y1330" s="1" t="s">
        <v>13948</v>
      </c>
      <c r="Z1330" s="1">
        <v>1965.0</v>
      </c>
      <c r="AA1330" s="1" t="s">
        <v>192</v>
      </c>
      <c r="AB1330" s="1" t="s">
        <v>193</v>
      </c>
      <c r="AD1330" s="1" t="s">
        <v>194</v>
      </c>
      <c r="AE1330" s="1" t="s">
        <v>195</v>
      </c>
      <c r="AF1330" s="1" t="s">
        <v>196</v>
      </c>
      <c r="AH1330" s="1" t="s">
        <v>2164</v>
      </c>
      <c r="AI1330" s="1">
        <v>0.0854</v>
      </c>
      <c r="AK1330" s="1">
        <v>9.0</v>
      </c>
      <c r="AL1330" s="1">
        <v>4.0</v>
      </c>
      <c r="AM1330" s="1">
        <v>3.0</v>
      </c>
      <c r="AN1330" s="1">
        <v>1.0</v>
      </c>
      <c r="AO1330" s="1" t="s">
        <v>198</v>
      </c>
      <c r="AP1330" s="1">
        <v>1.0</v>
      </c>
      <c r="AQ1330" s="1" t="s">
        <v>198</v>
      </c>
      <c r="AR1330" s="1" t="s">
        <v>192</v>
      </c>
      <c r="AS1330" s="1" t="s">
        <v>199</v>
      </c>
      <c r="AT1330" s="1">
        <v>2.0</v>
      </c>
      <c r="AV1330" s="1" t="s">
        <v>200</v>
      </c>
      <c r="AW1330" s="1">
        <v>5336.76</v>
      </c>
      <c r="AX1330" s="1">
        <v>2013.0</v>
      </c>
      <c r="AY1330" s="1" t="s">
        <v>229</v>
      </c>
      <c r="AZ1330" s="1" t="s">
        <v>200</v>
      </c>
      <c r="BA1330" s="1" t="str">
        <f>"12232170360000"</f>
        <v>12232170360000</v>
      </c>
      <c r="BC1330" s="1">
        <v>2800.0</v>
      </c>
      <c r="BD1330" s="1">
        <v>430000.0</v>
      </c>
      <c r="BE1330" s="2">
        <v>42074.0</v>
      </c>
      <c r="BF1330" s="2" t="s">
        <v>13949</v>
      </c>
      <c r="BH1330" s="1">
        <v>0.0</v>
      </c>
      <c r="BK1330" s="1" t="s">
        <v>204</v>
      </c>
      <c r="BL1330" s="1" t="str">
        <f>"3700"</f>
        <v>3700</v>
      </c>
      <c r="BM1330" s="1" t="str">
        <f t="shared" si="878"/>
        <v>0</v>
      </c>
      <c r="BN1330" s="1">
        <v>7200.0</v>
      </c>
      <c r="BO1330" s="1">
        <v>0.0</v>
      </c>
      <c r="BQ1330" s="1">
        <v>299.0</v>
      </c>
      <c r="BR1330" s="1">
        <v>299.0</v>
      </c>
      <c r="BS1330" s="1">
        <v>299.0</v>
      </c>
      <c r="BU1330" s="1" t="s">
        <v>3817</v>
      </c>
      <c r="BV1330" s="1" t="s">
        <v>206</v>
      </c>
      <c r="BW1330" s="1" t="s">
        <v>207</v>
      </c>
      <c r="BY1330" s="1" t="s">
        <v>1825</v>
      </c>
      <c r="BZ1330" s="1" t="s">
        <v>209</v>
      </c>
      <c r="CA1330" s="1" t="s">
        <v>207</v>
      </c>
      <c r="CC1330" s="1" t="s">
        <v>8771</v>
      </c>
      <c r="CD1330" s="1" t="s">
        <v>206</v>
      </c>
      <c r="CE1330" s="1" t="s">
        <v>207</v>
      </c>
      <c r="CG1330" s="1" t="s">
        <v>215</v>
      </c>
      <c r="CH1330" s="1" t="s">
        <v>209</v>
      </c>
      <c r="CI1330" s="1" t="s">
        <v>207</v>
      </c>
      <c r="CK1330" s="1" t="s">
        <v>215</v>
      </c>
      <c r="CL1330" s="1" t="s">
        <v>209</v>
      </c>
      <c r="CM1330" s="1" t="s">
        <v>207</v>
      </c>
      <c r="CO1330" s="1" t="s">
        <v>363</v>
      </c>
      <c r="CP1330" s="1" t="s">
        <v>206</v>
      </c>
      <c r="CQ1330" s="1" t="s">
        <v>207</v>
      </c>
      <c r="CS1330" s="1" t="s">
        <v>955</v>
      </c>
      <c r="CT1330" s="1" t="s">
        <v>206</v>
      </c>
      <c r="CU1330" s="1" t="s">
        <v>207</v>
      </c>
      <c r="CW1330" s="1" t="s">
        <v>2205</v>
      </c>
      <c r="CX1330" s="1" t="s">
        <v>42</v>
      </c>
      <c r="CY1330" s="1" t="s">
        <v>268</v>
      </c>
      <c r="DA1330" s="1" t="s">
        <v>200</v>
      </c>
      <c r="DC1330" s="1" t="s">
        <v>517</v>
      </c>
      <c r="DD1330" s="1" t="s">
        <v>957</v>
      </c>
      <c r="DE1330" s="1" t="s">
        <v>273</v>
      </c>
      <c r="DF1330" s="1" t="s">
        <v>905</v>
      </c>
      <c r="DH1330" s="1" t="s">
        <v>220</v>
      </c>
      <c r="DI1330" s="1" t="s">
        <v>13950</v>
      </c>
      <c r="DJ1330" s="1" t="s">
        <v>222</v>
      </c>
      <c r="DL1330" s="1" t="s">
        <v>224</v>
      </c>
      <c r="DM1330" s="1" t="s">
        <v>4610</v>
      </c>
      <c r="DN1330" s="1" t="s">
        <v>13634</v>
      </c>
      <c r="DP1330" s="1" t="s">
        <v>340</v>
      </c>
      <c r="DQ1330" s="1" t="s">
        <v>228</v>
      </c>
      <c r="DR1330" s="1" t="s">
        <v>229</v>
      </c>
      <c r="DU1330" s="1" t="s">
        <v>1049</v>
      </c>
      <c r="DV1330" s="1" t="s">
        <v>13951</v>
      </c>
      <c r="DW1330" s="1" t="s">
        <v>9695</v>
      </c>
      <c r="DX1330" s="1" t="s">
        <v>234</v>
      </c>
      <c r="DY1330" s="1" t="s">
        <v>13952</v>
      </c>
      <c r="DZ1330" s="1" t="s">
        <v>4827</v>
      </c>
      <c r="EB1330" s="1" t="s">
        <v>372</v>
      </c>
      <c r="EC1330" s="1" t="s">
        <v>237</v>
      </c>
      <c r="EG1330" s="1" t="s">
        <v>968</v>
      </c>
      <c r="EH1330" s="1" t="s">
        <v>598</v>
      </c>
      <c r="EI1330" s="1" t="s">
        <v>408</v>
      </c>
      <c r="EJ1330" s="1" t="s">
        <v>409</v>
      </c>
      <c r="EL1330" s="1" t="s">
        <v>1875</v>
      </c>
      <c r="EM1330" s="1" t="s">
        <v>209</v>
      </c>
      <c r="EP1330" s="1" t="s">
        <v>363</v>
      </c>
      <c r="EQ1330" s="1" t="s">
        <v>206</v>
      </c>
      <c r="ER1330" s="1" t="s">
        <v>207</v>
      </c>
      <c r="ET1330" s="1" t="s">
        <v>332</v>
      </c>
      <c r="EU1330" s="1" t="s">
        <v>206</v>
      </c>
      <c r="EV1330" s="1" t="s">
        <v>207</v>
      </c>
      <c r="EX1330" s="1" t="s">
        <v>4153</v>
      </c>
      <c r="EY1330" s="1" t="s">
        <v>209</v>
      </c>
      <c r="EZ1330" s="1" t="s">
        <v>207</v>
      </c>
      <c r="FC1330" s="1" t="s">
        <v>238</v>
      </c>
      <c r="FF1330" s="1" t="s">
        <v>239</v>
      </c>
      <c r="FG1330" s="1" t="s">
        <v>192</v>
      </c>
      <c r="FH1330" s="1" t="s">
        <v>192</v>
      </c>
      <c r="FJ1330" s="1" t="s">
        <v>1450</v>
      </c>
      <c r="FK1330" s="1" t="s">
        <v>229</v>
      </c>
      <c r="FL1330" s="1" t="s">
        <v>5642</v>
      </c>
      <c r="FM1330" s="1">
        <v>15391.0</v>
      </c>
      <c r="FN1330" s="1" t="s">
        <v>5643</v>
      </c>
      <c r="FO1330" s="1" t="s">
        <v>13953</v>
      </c>
      <c r="FP1330" s="1">
        <v>182443.0</v>
      </c>
      <c r="FU1330" s="1" t="s">
        <v>13954</v>
      </c>
      <c r="FV1330" s="1" t="s">
        <v>200</v>
      </c>
      <c r="FW1330" s="1" t="s">
        <v>290</v>
      </c>
      <c r="FX1330" s="1" t="s">
        <v>238</v>
      </c>
      <c r="FZ1330" s="1" t="s">
        <v>229</v>
      </c>
      <c r="GA1330" s="1" t="s">
        <v>291</v>
      </c>
      <c r="GB1330" s="2">
        <v>42138.0</v>
      </c>
      <c r="GC1330" s="1" t="s">
        <v>13955</v>
      </c>
    </row>
    <row r="1331">
      <c r="A1331" s="1">
        <v>65000.0</v>
      </c>
      <c r="B1331" s="1" t="s">
        <v>185</v>
      </c>
      <c r="C1331" s="1" t="str">
        <f>"08864998"</f>
        <v>08864998</v>
      </c>
      <c r="D1331" s="1" t="s">
        <v>186</v>
      </c>
      <c r="F1331" s="1" t="str">
        <f>"8066"</f>
        <v>8066</v>
      </c>
      <c r="G1331" s="2">
        <v>42081.0</v>
      </c>
      <c r="H1331" s="1">
        <v>46800.0</v>
      </c>
      <c r="I1331" s="1">
        <v>22.0</v>
      </c>
      <c r="J1331" s="1">
        <v>46800.0</v>
      </c>
      <c r="K1331" s="2">
        <v>42102.0</v>
      </c>
      <c r="L1331" s="1">
        <v>22.0</v>
      </c>
      <c r="M1331" s="2">
        <v>42102.0</v>
      </c>
      <c r="N1331" s="1" t="s">
        <v>249</v>
      </c>
      <c r="O1331" s="2">
        <v>42118.0</v>
      </c>
      <c r="P1331" s="1">
        <v>130521.0</v>
      </c>
      <c r="Q1331" s="1">
        <v>14442.0</v>
      </c>
      <c r="S1331" s="1">
        <v>6122.0</v>
      </c>
      <c r="T1331" s="1" t="s">
        <v>13956</v>
      </c>
      <c r="U1331" s="1" t="s">
        <v>189</v>
      </c>
      <c r="V1331" s="1" t="s">
        <v>190</v>
      </c>
      <c r="W1331" s="1">
        <v>60629.0</v>
      </c>
      <c r="Y1331" s="1" t="s">
        <v>13957</v>
      </c>
      <c r="Z1331" s="1">
        <v>1921.0</v>
      </c>
      <c r="AA1331" s="1" t="s">
        <v>192</v>
      </c>
      <c r="AB1331" s="1" t="s">
        <v>193</v>
      </c>
      <c r="AD1331" s="1" t="s">
        <v>194</v>
      </c>
      <c r="AE1331" s="1" t="s">
        <v>195</v>
      </c>
      <c r="AF1331" s="1" t="s">
        <v>659</v>
      </c>
      <c r="AH1331" s="1" t="s">
        <v>12756</v>
      </c>
      <c r="AI1331" s="1">
        <v>0.0861</v>
      </c>
      <c r="AK1331" s="1">
        <v>8.0</v>
      </c>
      <c r="AL1331" s="1">
        <v>4.0</v>
      </c>
      <c r="AM1331" s="1">
        <v>2.0</v>
      </c>
      <c r="AN1331" s="1">
        <v>0.0</v>
      </c>
      <c r="AO1331" s="1" t="s">
        <v>229</v>
      </c>
      <c r="AQ1331" s="1" t="s">
        <v>198</v>
      </c>
      <c r="AR1331" s="1" t="s">
        <v>192</v>
      </c>
      <c r="AS1331" s="1" t="s">
        <v>828</v>
      </c>
      <c r="AU1331" s="1">
        <v>3.0</v>
      </c>
      <c r="AV1331" s="1" t="s">
        <v>200</v>
      </c>
      <c r="AW1331" s="1">
        <v>1778.64</v>
      </c>
      <c r="AX1331" s="1">
        <v>2013.0</v>
      </c>
      <c r="AY1331" s="1" t="s">
        <v>387</v>
      </c>
      <c r="AZ1331" s="1" t="s">
        <v>200</v>
      </c>
      <c r="BA1331" s="1" t="str">
        <f>"19133190260000"</f>
        <v>19133190260000</v>
      </c>
      <c r="BB1331" s="1" t="s">
        <v>200</v>
      </c>
      <c r="BC1331" s="1">
        <v>0.0</v>
      </c>
      <c r="BD1331" s="1">
        <v>65000.0</v>
      </c>
      <c r="BE1331" s="2">
        <v>42081.0</v>
      </c>
      <c r="BF1331" s="1" t="s">
        <v>13958</v>
      </c>
      <c r="BH1331" s="1">
        <v>0.0</v>
      </c>
      <c r="BK1331" s="1" t="s">
        <v>204</v>
      </c>
      <c r="BL1331" s="1" t="str">
        <f t="shared" ref="BL1331:BM1331" si="879">"0"</f>
        <v>0</v>
      </c>
      <c r="BM1331" s="1" t="str">
        <f t="shared" si="879"/>
        <v>0</v>
      </c>
      <c r="BN1331" s="1">
        <v>3100.0</v>
      </c>
      <c r="BO1331" s="1">
        <v>6122.0</v>
      </c>
      <c r="BQ1331" s="1">
        <v>299.0</v>
      </c>
      <c r="BR1331" s="1">
        <v>299.0</v>
      </c>
      <c r="BS1331" s="1">
        <v>299.0</v>
      </c>
      <c r="BU1331" s="1" t="s">
        <v>1426</v>
      </c>
      <c r="BV1331" s="1" t="s">
        <v>206</v>
      </c>
      <c r="BY1331" s="1" t="s">
        <v>3271</v>
      </c>
      <c r="BZ1331" s="1" t="s">
        <v>209</v>
      </c>
      <c r="CC1331" s="1" t="s">
        <v>454</v>
      </c>
      <c r="CD1331" s="1" t="s">
        <v>206</v>
      </c>
      <c r="CG1331" s="1" t="s">
        <v>1119</v>
      </c>
      <c r="CH1331" s="1" t="s">
        <v>206</v>
      </c>
      <c r="CK1331" s="1" t="s">
        <v>816</v>
      </c>
      <c r="CL1331" s="1" t="s">
        <v>206</v>
      </c>
      <c r="CO1331" s="1" t="s">
        <v>495</v>
      </c>
      <c r="CP1331" s="1" t="s">
        <v>206</v>
      </c>
      <c r="CS1331" s="1" t="s">
        <v>212</v>
      </c>
      <c r="CT1331" s="1" t="s">
        <v>206</v>
      </c>
      <c r="CW1331" s="1" t="s">
        <v>6672</v>
      </c>
      <c r="CX1331" s="1" t="s">
        <v>209</v>
      </c>
      <c r="DA1331" s="1" t="s">
        <v>200</v>
      </c>
      <c r="DC1331" s="1" t="s">
        <v>216</v>
      </c>
      <c r="DE1331" s="1" t="s">
        <v>273</v>
      </c>
      <c r="DF1331" s="1" t="s">
        <v>905</v>
      </c>
      <c r="DH1331" s="1" t="s">
        <v>365</v>
      </c>
      <c r="DJ1331" s="1" t="s">
        <v>222</v>
      </c>
      <c r="DL1331" s="1" t="s">
        <v>224</v>
      </c>
      <c r="DM1331" s="1" t="s">
        <v>229</v>
      </c>
      <c r="DQ1331" s="1" t="s">
        <v>718</v>
      </c>
      <c r="DR1331" s="1" t="s">
        <v>229</v>
      </c>
      <c r="DV1331" s="1" t="s">
        <v>232</v>
      </c>
      <c r="DW1331" s="1" t="s">
        <v>279</v>
      </c>
      <c r="DX1331" s="1" t="s">
        <v>234</v>
      </c>
      <c r="EA1331" s="1" t="s">
        <v>644</v>
      </c>
      <c r="EC1331" s="1" t="s">
        <v>645</v>
      </c>
      <c r="EF1331" s="1" t="s">
        <v>834</v>
      </c>
      <c r="EM1331" s="1" t="s">
        <v>238</v>
      </c>
      <c r="EQ1331" s="1" t="s">
        <v>238</v>
      </c>
      <c r="EU1331" s="1" t="s">
        <v>238</v>
      </c>
      <c r="EY1331" s="1" t="s">
        <v>238</v>
      </c>
      <c r="FC1331" s="1" t="s">
        <v>238</v>
      </c>
      <c r="FF1331" s="1" t="s">
        <v>239</v>
      </c>
      <c r="FG1331" s="1" t="s">
        <v>192</v>
      </c>
      <c r="FH1331" s="1" t="s">
        <v>192</v>
      </c>
      <c r="FJ1331" s="1" t="s">
        <v>1248</v>
      </c>
      <c r="FK1331" s="1" t="s">
        <v>229</v>
      </c>
      <c r="FL1331" s="1" t="s">
        <v>3272</v>
      </c>
      <c r="FM1331" s="1">
        <v>12511.0</v>
      </c>
      <c r="FN1331" s="1" t="s">
        <v>3273</v>
      </c>
      <c r="FO1331" s="1" t="s">
        <v>3274</v>
      </c>
      <c r="FP1331" s="1">
        <v>121408.0</v>
      </c>
      <c r="FQ1331" s="1" t="s">
        <v>3275</v>
      </c>
      <c r="FU1331" s="1" t="s">
        <v>3276</v>
      </c>
      <c r="FV1331" s="1" t="s">
        <v>200</v>
      </c>
      <c r="FW1331" s="1" t="s">
        <v>1411</v>
      </c>
      <c r="FX1331" s="1" t="s">
        <v>655</v>
      </c>
      <c r="FZ1331" s="1" t="s">
        <v>229</v>
      </c>
      <c r="GA1331" s="1" t="s">
        <v>291</v>
      </c>
      <c r="GB1331" s="2">
        <v>42121.0</v>
      </c>
      <c r="GC1331" s="1" t="s">
        <v>13959</v>
      </c>
    </row>
    <row r="1332">
      <c r="A1332" s="1">
        <v>365000.0</v>
      </c>
      <c r="B1332" s="1" t="s">
        <v>185</v>
      </c>
      <c r="C1332" s="1" t="str">
        <f>"08861833"</f>
        <v>08861833</v>
      </c>
      <c r="D1332" s="1" t="s">
        <v>186</v>
      </c>
      <c r="F1332" s="1" t="str">
        <f>"8015"</f>
        <v>8015</v>
      </c>
      <c r="G1332" s="2">
        <v>42077.0</v>
      </c>
      <c r="H1332" s="1">
        <v>349000.0</v>
      </c>
      <c r="I1332" s="1">
        <v>3.0</v>
      </c>
      <c r="J1332" s="1">
        <v>349000.0</v>
      </c>
      <c r="K1332" s="2">
        <v>42079.0</v>
      </c>
      <c r="L1332" s="1">
        <v>3.0</v>
      </c>
      <c r="M1332" s="2">
        <v>42079.0</v>
      </c>
      <c r="N1332" s="1" t="s">
        <v>187</v>
      </c>
      <c r="O1332" s="2">
        <v>42111.0</v>
      </c>
      <c r="P1332" s="1">
        <v>113059.0</v>
      </c>
      <c r="Q1332" s="1">
        <v>12026.0</v>
      </c>
      <c r="S1332" s="1">
        <v>5633.0</v>
      </c>
      <c r="T1332" s="1" t="s">
        <v>13960</v>
      </c>
      <c r="U1332" s="1" t="s">
        <v>189</v>
      </c>
      <c r="V1332" s="1" t="s">
        <v>190</v>
      </c>
      <c r="W1332" s="1">
        <v>60630.0</v>
      </c>
      <c r="Y1332" s="1" t="s">
        <v>13961</v>
      </c>
      <c r="Z1332" s="1">
        <v>1910.0</v>
      </c>
      <c r="AA1332" s="1" t="s">
        <v>192</v>
      </c>
      <c r="AB1332" s="1" t="s">
        <v>193</v>
      </c>
      <c r="AD1332" s="1" t="s">
        <v>194</v>
      </c>
      <c r="AE1332" s="1" t="s">
        <v>195</v>
      </c>
      <c r="AF1332" s="1" t="s">
        <v>196</v>
      </c>
      <c r="AH1332" s="1" t="s">
        <v>7233</v>
      </c>
      <c r="AI1332" s="1">
        <v>0.1004</v>
      </c>
      <c r="AK1332" s="1">
        <v>8.0</v>
      </c>
      <c r="AL1332" s="1">
        <v>3.0</v>
      </c>
      <c r="AM1332" s="1">
        <v>2.0</v>
      </c>
      <c r="AN1332" s="1">
        <v>1.0</v>
      </c>
      <c r="AO1332" s="1" t="s">
        <v>229</v>
      </c>
      <c r="AQ1332" s="1" t="s">
        <v>198</v>
      </c>
      <c r="AR1332" s="1" t="s">
        <v>192</v>
      </c>
      <c r="AS1332" s="1" t="s">
        <v>510</v>
      </c>
      <c r="AT1332" s="1">
        <v>1.0</v>
      </c>
      <c r="AU1332" s="1">
        <v>1.0</v>
      </c>
      <c r="AV1332" s="1" t="s">
        <v>200</v>
      </c>
      <c r="AW1332" s="1">
        <v>4514.06</v>
      </c>
      <c r="AX1332" s="1">
        <v>2013.0</v>
      </c>
      <c r="AY1332" s="1" t="s">
        <v>387</v>
      </c>
      <c r="AZ1332" s="1" t="s">
        <v>200</v>
      </c>
      <c r="BA1332" s="1" t="str">
        <f>"13172120080000"</f>
        <v>13172120080000</v>
      </c>
      <c r="BB1332" s="1" t="s">
        <v>200</v>
      </c>
      <c r="BC1332" s="1">
        <v>2500.0</v>
      </c>
      <c r="BD1332" s="1">
        <v>365000.0</v>
      </c>
      <c r="BE1332" s="2">
        <v>42077.0</v>
      </c>
      <c r="BF1332" s="2" t="s">
        <v>13962</v>
      </c>
      <c r="BG1332" s="1" t="s">
        <v>2531</v>
      </c>
      <c r="BH1332" s="1">
        <v>0.0</v>
      </c>
      <c r="BJ1332" s="1" t="s">
        <v>13963</v>
      </c>
      <c r="BK1332" s="1" t="s">
        <v>204</v>
      </c>
      <c r="BL1332" s="1" t="str">
        <f>"4700"</f>
        <v>4700</v>
      </c>
      <c r="BM1332" s="1" t="str">
        <f t="shared" ref="BM1332:BM1334" si="880">"0"</f>
        <v>0</v>
      </c>
      <c r="BN1332" s="1">
        <v>5600.0</v>
      </c>
      <c r="BO1332" s="1">
        <v>0.0</v>
      </c>
      <c r="BQ1332" s="1">
        <v>299.0</v>
      </c>
      <c r="BR1332" s="1">
        <v>299.0</v>
      </c>
      <c r="BS1332" s="1">
        <v>299.0</v>
      </c>
      <c r="BU1332" s="1" t="s">
        <v>743</v>
      </c>
      <c r="BV1332" s="1" t="s">
        <v>206</v>
      </c>
      <c r="BW1332" s="1" t="s">
        <v>207</v>
      </c>
      <c r="BY1332" s="1" t="s">
        <v>729</v>
      </c>
      <c r="BZ1332" s="1" t="s">
        <v>209</v>
      </c>
      <c r="CA1332" s="1" t="s">
        <v>207</v>
      </c>
      <c r="CC1332" s="1" t="s">
        <v>329</v>
      </c>
      <c r="CD1332" s="1" t="s">
        <v>206</v>
      </c>
      <c r="CE1332" s="1" t="s">
        <v>207</v>
      </c>
      <c r="CG1332" s="1" t="s">
        <v>264</v>
      </c>
      <c r="CH1332" s="1" t="s">
        <v>209</v>
      </c>
      <c r="CI1332" s="1" t="s">
        <v>207</v>
      </c>
      <c r="CK1332" s="1" t="s">
        <v>699</v>
      </c>
      <c r="CL1332" s="1" t="s">
        <v>209</v>
      </c>
      <c r="CM1332" s="1" t="s">
        <v>207</v>
      </c>
      <c r="CO1332" s="1" t="s">
        <v>497</v>
      </c>
      <c r="CP1332" s="1" t="s">
        <v>42</v>
      </c>
      <c r="CQ1332" s="1" t="s">
        <v>268</v>
      </c>
      <c r="CS1332" s="1" t="s">
        <v>302</v>
      </c>
      <c r="CT1332" s="1" t="s">
        <v>206</v>
      </c>
      <c r="CU1332" s="1" t="s">
        <v>207</v>
      </c>
      <c r="CW1332" s="1" t="s">
        <v>1117</v>
      </c>
      <c r="CX1332" s="1" t="s">
        <v>42</v>
      </c>
      <c r="CY1332" s="1" t="s">
        <v>268</v>
      </c>
      <c r="DA1332" s="1" t="s">
        <v>200</v>
      </c>
      <c r="DC1332" s="1" t="s">
        <v>642</v>
      </c>
      <c r="DD1332" s="1" t="s">
        <v>518</v>
      </c>
      <c r="DE1332" s="1" t="s">
        <v>273</v>
      </c>
      <c r="DF1332" s="1" t="s">
        <v>219</v>
      </c>
      <c r="DH1332" s="1" t="s">
        <v>365</v>
      </c>
      <c r="DI1332" s="1" t="s">
        <v>703</v>
      </c>
      <c r="DJ1332" s="1" t="s">
        <v>222</v>
      </c>
      <c r="DL1332" s="1" t="s">
        <v>1161</v>
      </c>
      <c r="DM1332" s="1" t="s">
        <v>229</v>
      </c>
      <c r="DN1332" s="1" t="s">
        <v>399</v>
      </c>
      <c r="DO1332" s="1" t="s">
        <v>549</v>
      </c>
      <c r="DP1332" s="1" t="s">
        <v>340</v>
      </c>
      <c r="DQ1332" s="1" t="s">
        <v>228</v>
      </c>
      <c r="DR1332" s="1" t="s">
        <v>229</v>
      </c>
      <c r="DS1332" s="1" t="s">
        <v>230</v>
      </c>
      <c r="DV1332" s="1" t="s">
        <v>13964</v>
      </c>
      <c r="DW1332" s="1" t="s">
        <v>588</v>
      </c>
      <c r="DX1332" s="1" t="s">
        <v>234</v>
      </c>
      <c r="DY1332" s="1" t="s">
        <v>704</v>
      </c>
      <c r="EA1332" s="1" t="s">
        <v>1695</v>
      </c>
      <c r="EC1332" s="1" t="s">
        <v>237</v>
      </c>
      <c r="ED1332" s="1" t="s">
        <v>407</v>
      </c>
      <c r="EF1332" s="1" t="s">
        <v>13965</v>
      </c>
      <c r="EG1332" s="1" t="s">
        <v>374</v>
      </c>
      <c r="EH1332" s="1" t="s">
        <v>13966</v>
      </c>
      <c r="EI1332" s="1" t="s">
        <v>408</v>
      </c>
      <c r="EL1332" s="1" t="s">
        <v>4153</v>
      </c>
      <c r="EM1332" s="1" t="s">
        <v>206</v>
      </c>
      <c r="EN1332" s="1" t="s">
        <v>207</v>
      </c>
      <c r="EP1332" s="1" t="s">
        <v>4153</v>
      </c>
      <c r="EQ1332" s="1" t="s">
        <v>209</v>
      </c>
      <c r="ER1332" s="1" t="s">
        <v>207</v>
      </c>
      <c r="ET1332" s="1" t="s">
        <v>269</v>
      </c>
      <c r="EU1332" s="1" t="s">
        <v>206</v>
      </c>
      <c r="EV1332" s="1" t="s">
        <v>207</v>
      </c>
      <c r="EY1332" s="1" t="s">
        <v>238</v>
      </c>
      <c r="FC1332" s="1" t="s">
        <v>238</v>
      </c>
      <c r="FF1332" s="1" t="s">
        <v>239</v>
      </c>
      <c r="FG1332" s="1" t="s">
        <v>192</v>
      </c>
      <c r="FH1332" s="1" t="s">
        <v>192</v>
      </c>
      <c r="FJ1332" s="1" t="s">
        <v>2206</v>
      </c>
      <c r="FK1332" s="1" t="s">
        <v>348</v>
      </c>
      <c r="FL1332" s="1" t="s">
        <v>3597</v>
      </c>
      <c r="FM1332" s="1">
        <v>24451.0</v>
      </c>
      <c r="FN1332" s="1" t="s">
        <v>3598</v>
      </c>
      <c r="FO1332" s="1" t="s">
        <v>13967</v>
      </c>
      <c r="FP1332" s="1">
        <v>234974.0</v>
      </c>
      <c r="FQ1332" s="1" t="s">
        <v>13968</v>
      </c>
      <c r="FS1332" s="1" t="s">
        <v>13969</v>
      </c>
      <c r="FU1332" s="1" t="s">
        <v>13970</v>
      </c>
      <c r="FV1332" s="1" t="s">
        <v>200</v>
      </c>
      <c r="FW1332" s="1" t="s">
        <v>13971</v>
      </c>
      <c r="FX1332" s="1" t="s">
        <v>246</v>
      </c>
      <c r="FZ1332" s="1" t="s">
        <v>229</v>
      </c>
      <c r="GA1332" s="1" t="s">
        <v>247</v>
      </c>
      <c r="GB1332" s="2">
        <v>42112.0</v>
      </c>
      <c r="GC1332" s="1" t="s">
        <v>13972</v>
      </c>
    </row>
    <row r="1333">
      <c r="A1333" s="1">
        <v>620000.0</v>
      </c>
      <c r="B1333" s="1" t="s">
        <v>185</v>
      </c>
      <c r="C1333" s="1" t="str">
        <f>"08865310"</f>
        <v>08865310</v>
      </c>
      <c r="D1333" s="1" t="s">
        <v>186</v>
      </c>
      <c r="F1333" s="1" t="str">
        <f>"8002"</f>
        <v>8002</v>
      </c>
      <c r="G1333" s="2">
        <v>42081.0</v>
      </c>
      <c r="H1333" s="1">
        <v>620000.0</v>
      </c>
      <c r="I1333" s="1">
        <v>1.0</v>
      </c>
      <c r="J1333" s="1">
        <v>620000.0</v>
      </c>
      <c r="K1333" s="2">
        <v>42081.0</v>
      </c>
      <c r="L1333" s="1">
        <v>1.0</v>
      </c>
      <c r="M1333" s="2">
        <v>42081.0</v>
      </c>
      <c r="N1333" s="1" t="s">
        <v>249</v>
      </c>
      <c r="O1333" s="2">
        <v>42081.0</v>
      </c>
      <c r="P1333" s="1">
        <v>137860.0</v>
      </c>
      <c r="Q1333" s="1">
        <v>18595.0</v>
      </c>
      <c r="S1333" s="1">
        <v>7421.0</v>
      </c>
      <c r="T1333" s="1" t="s">
        <v>2032</v>
      </c>
      <c r="U1333" s="1" t="s">
        <v>189</v>
      </c>
      <c r="V1333" s="1" t="s">
        <v>190</v>
      </c>
      <c r="W1333" s="1">
        <v>60645.0</v>
      </c>
      <c r="Y1333" s="1" t="s">
        <v>13973</v>
      </c>
      <c r="Z1333" s="1">
        <v>1949.0</v>
      </c>
      <c r="AA1333" s="1" t="s">
        <v>192</v>
      </c>
      <c r="AB1333" s="1" t="s">
        <v>193</v>
      </c>
      <c r="AD1333" s="1" t="s">
        <v>194</v>
      </c>
      <c r="AE1333" s="1" t="s">
        <v>195</v>
      </c>
      <c r="AF1333" s="1" t="s">
        <v>2323</v>
      </c>
      <c r="AG1333" s="1" t="s">
        <v>874</v>
      </c>
      <c r="AH1333" s="1">
        <v>9300.0</v>
      </c>
      <c r="AI1333" s="1">
        <v>0.1273</v>
      </c>
      <c r="AK1333" s="1">
        <v>8.0</v>
      </c>
      <c r="AL1333" s="1">
        <v>4.0</v>
      </c>
      <c r="AM1333" s="1">
        <v>3.0</v>
      </c>
      <c r="AN1333" s="1">
        <v>1.0</v>
      </c>
      <c r="AO1333" s="1" t="s">
        <v>198</v>
      </c>
      <c r="AQ1333" s="1" t="s">
        <v>198</v>
      </c>
      <c r="AR1333" s="1" t="s">
        <v>200</v>
      </c>
      <c r="AS1333" s="1" t="s">
        <v>199</v>
      </c>
      <c r="AT1333" s="1">
        <v>2.0</v>
      </c>
      <c r="AV1333" s="1" t="s">
        <v>200</v>
      </c>
      <c r="AW1333" s="1">
        <v>3125.85</v>
      </c>
      <c r="AX1333" s="1">
        <v>2012.0</v>
      </c>
      <c r="AZ1333" s="1" t="s">
        <v>200</v>
      </c>
      <c r="BA1333" s="1" t="str">
        <f>"10253150010000"</f>
        <v>10253150010000</v>
      </c>
      <c r="BB1333" s="1" t="s">
        <v>192</v>
      </c>
      <c r="BC1333" s="1">
        <v>2163.0</v>
      </c>
      <c r="BD1333" s="1">
        <v>620000.0</v>
      </c>
      <c r="BE1333" s="2">
        <v>42081.0</v>
      </c>
      <c r="BF1333" s="1" t="s">
        <v>6552</v>
      </c>
      <c r="BH1333" s="1">
        <v>0.0</v>
      </c>
      <c r="BK1333" s="1" t="s">
        <v>204</v>
      </c>
      <c r="BL1333" s="1" t="str">
        <f>"7421"</f>
        <v>7421</v>
      </c>
      <c r="BM1333" s="1" t="str">
        <f t="shared" si="880"/>
        <v>0</v>
      </c>
      <c r="BN1333" s="1">
        <v>2900.0</v>
      </c>
      <c r="BO1333" s="1">
        <v>0.0</v>
      </c>
      <c r="BQ1333" s="1">
        <v>299.0</v>
      </c>
      <c r="BR1333" s="1">
        <v>299.0</v>
      </c>
      <c r="BS1333" s="1">
        <v>299.0</v>
      </c>
      <c r="BU1333" s="1" t="s">
        <v>784</v>
      </c>
      <c r="BV1333" s="1" t="s">
        <v>206</v>
      </c>
      <c r="BY1333" s="1" t="s">
        <v>433</v>
      </c>
      <c r="BZ1333" s="1" t="s">
        <v>206</v>
      </c>
      <c r="CC1333" s="1" t="s">
        <v>363</v>
      </c>
      <c r="CD1333" s="1" t="s">
        <v>206</v>
      </c>
      <c r="CG1333" s="1" t="s">
        <v>363</v>
      </c>
      <c r="CH1333" s="1" t="s">
        <v>206</v>
      </c>
      <c r="CK1333" s="1" t="s">
        <v>300</v>
      </c>
      <c r="CL1333" s="1" t="s">
        <v>206</v>
      </c>
      <c r="CO1333" s="1" t="s">
        <v>300</v>
      </c>
      <c r="CP1333" s="1" t="s">
        <v>206</v>
      </c>
      <c r="CS1333" s="1" t="s">
        <v>1352</v>
      </c>
      <c r="CT1333" s="1" t="s">
        <v>206</v>
      </c>
      <c r="CW1333" s="1" t="s">
        <v>454</v>
      </c>
      <c r="CX1333" s="1" t="s">
        <v>206</v>
      </c>
      <c r="DA1333" s="1" t="s">
        <v>200</v>
      </c>
      <c r="DC1333" s="1" t="s">
        <v>702</v>
      </c>
      <c r="DE1333" s="1" t="s">
        <v>273</v>
      </c>
      <c r="DF1333" s="1" t="s">
        <v>905</v>
      </c>
      <c r="DH1333" s="1" t="s">
        <v>307</v>
      </c>
      <c r="DJ1333" s="1" t="s">
        <v>222</v>
      </c>
      <c r="DL1333" s="1" t="s">
        <v>223</v>
      </c>
      <c r="DM1333" s="1" t="s">
        <v>229</v>
      </c>
      <c r="DO1333" s="1" t="s">
        <v>590</v>
      </c>
      <c r="DQ1333" s="1" t="s">
        <v>228</v>
      </c>
      <c r="DR1333" s="1" t="s">
        <v>229</v>
      </c>
      <c r="DV1333" s="1" t="s">
        <v>232</v>
      </c>
      <c r="DW1333" s="1" t="s">
        <v>279</v>
      </c>
      <c r="DX1333" s="1" t="s">
        <v>1287</v>
      </c>
      <c r="EC1333" s="1" t="s">
        <v>284</v>
      </c>
      <c r="ED1333" s="1" t="s">
        <v>555</v>
      </c>
      <c r="EM1333" s="1" t="s">
        <v>238</v>
      </c>
      <c r="EQ1333" s="1" t="s">
        <v>238</v>
      </c>
      <c r="EU1333" s="1" t="s">
        <v>238</v>
      </c>
      <c r="EY1333" s="1" t="s">
        <v>238</v>
      </c>
      <c r="FC1333" s="1" t="s">
        <v>238</v>
      </c>
      <c r="FF1333" s="1" t="s">
        <v>229</v>
      </c>
      <c r="FG1333" s="1" t="s">
        <v>200</v>
      </c>
      <c r="FH1333" s="1" t="s">
        <v>200</v>
      </c>
      <c r="FJ1333" s="1" t="s">
        <v>524</v>
      </c>
      <c r="FK1333" s="1" t="s">
        <v>229</v>
      </c>
      <c r="FL1333" s="1" t="s">
        <v>13974</v>
      </c>
      <c r="FM1333" s="1">
        <v>18595.0</v>
      </c>
      <c r="FN1333" s="1" t="s">
        <v>13975</v>
      </c>
      <c r="FO1333" s="1" t="s">
        <v>13976</v>
      </c>
      <c r="FP1333" s="1">
        <v>137860.0</v>
      </c>
      <c r="FQ1333" s="1" t="s">
        <v>13977</v>
      </c>
      <c r="FU1333" s="1" t="s">
        <v>12353</v>
      </c>
      <c r="FV1333" s="1" t="s">
        <v>200</v>
      </c>
      <c r="FW1333" s="1" t="s">
        <v>290</v>
      </c>
      <c r="FX1333" s="1" t="s">
        <v>238</v>
      </c>
      <c r="FZ1333" s="1" t="s">
        <v>229</v>
      </c>
      <c r="GA1333" s="1" t="s">
        <v>291</v>
      </c>
      <c r="GB1333" s="2">
        <v>42081.0</v>
      </c>
    </row>
    <row r="1334">
      <c r="A1334" s="1">
        <v>412000.0</v>
      </c>
      <c r="B1334" s="1" t="s">
        <v>185</v>
      </c>
      <c r="C1334" s="1" t="str">
        <f>"08865290"</f>
        <v>08865290</v>
      </c>
      <c r="D1334" s="1" t="s">
        <v>186</v>
      </c>
      <c r="F1334" s="1" t="str">
        <f>"8005"</f>
        <v>8005</v>
      </c>
      <c r="G1334" s="2">
        <v>42081.0</v>
      </c>
      <c r="H1334" s="1">
        <v>435000.0</v>
      </c>
      <c r="I1334" s="1">
        <v>13.0</v>
      </c>
      <c r="J1334" s="1">
        <v>435000.0</v>
      </c>
      <c r="K1334" s="2">
        <v>42091.0</v>
      </c>
      <c r="L1334" s="1">
        <v>13.0</v>
      </c>
      <c r="M1334" s="2">
        <v>42091.0</v>
      </c>
      <c r="N1334" s="1" t="s">
        <v>249</v>
      </c>
      <c r="O1334" s="2">
        <v>42124.0</v>
      </c>
      <c r="P1334" s="1">
        <v>99999.0</v>
      </c>
      <c r="Q1334" s="1" t="s">
        <v>947</v>
      </c>
      <c r="S1334" s="1">
        <v>3622.0</v>
      </c>
      <c r="T1334" s="1" t="s">
        <v>3914</v>
      </c>
      <c r="U1334" s="1" t="s">
        <v>189</v>
      </c>
      <c r="V1334" s="1" t="s">
        <v>190</v>
      </c>
      <c r="W1334" s="1">
        <v>60618.0</v>
      </c>
      <c r="Y1334" s="1" t="s">
        <v>13978</v>
      </c>
      <c r="Z1334" s="1">
        <v>1917.0</v>
      </c>
      <c r="AA1334" s="1" t="s">
        <v>192</v>
      </c>
      <c r="AB1334" s="1" t="s">
        <v>193</v>
      </c>
      <c r="AD1334" s="1" t="s">
        <v>194</v>
      </c>
      <c r="AE1334" s="1" t="s">
        <v>195</v>
      </c>
      <c r="AF1334" s="1" t="s">
        <v>2645</v>
      </c>
      <c r="AH1334" s="1" t="s">
        <v>1501</v>
      </c>
      <c r="AK1334" s="1">
        <v>9.0</v>
      </c>
      <c r="AL1334" s="1">
        <v>3.0</v>
      </c>
      <c r="AM1334" s="1">
        <v>2.0</v>
      </c>
      <c r="AN1334" s="1">
        <v>0.0</v>
      </c>
      <c r="AO1334" s="1" t="s">
        <v>229</v>
      </c>
      <c r="AQ1334" s="1" t="s">
        <v>198</v>
      </c>
      <c r="AR1334" s="1" t="s">
        <v>192</v>
      </c>
      <c r="AS1334" s="1" t="s">
        <v>199</v>
      </c>
      <c r="AT1334" s="1">
        <v>2.0</v>
      </c>
      <c r="AV1334" s="1" t="s">
        <v>200</v>
      </c>
      <c r="AW1334" s="1">
        <v>4453.0</v>
      </c>
      <c r="AX1334" s="1">
        <v>2013.0</v>
      </c>
      <c r="AY1334" s="1" t="s">
        <v>387</v>
      </c>
      <c r="AZ1334" s="1" t="s">
        <v>200</v>
      </c>
      <c r="BA1334" s="1" t="str">
        <f>"13242080270000"</f>
        <v>13242080270000</v>
      </c>
      <c r="BC1334" s="1">
        <v>0.0</v>
      </c>
      <c r="BD1334" s="1">
        <v>412000.0</v>
      </c>
      <c r="BE1334" s="2">
        <v>42079.0</v>
      </c>
      <c r="BF1334" s="2" t="s">
        <v>13979</v>
      </c>
      <c r="BG1334" s="1" t="s">
        <v>6973</v>
      </c>
      <c r="BH1334" s="1">
        <v>0.0</v>
      </c>
      <c r="BK1334" s="1" t="s">
        <v>204</v>
      </c>
      <c r="BL1334" s="1" t="str">
        <f>"3622"</f>
        <v>3622</v>
      </c>
      <c r="BM1334" s="1" t="str">
        <f t="shared" si="880"/>
        <v>0</v>
      </c>
      <c r="BN1334" s="1">
        <v>2432.0</v>
      </c>
      <c r="BO1334" s="1">
        <v>0.0</v>
      </c>
      <c r="BQ1334" s="1">
        <v>299.0</v>
      </c>
      <c r="BR1334" s="1">
        <v>299.0</v>
      </c>
      <c r="BS1334" s="1">
        <v>299.0</v>
      </c>
      <c r="BU1334" s="1" t="s">
        <v>1426</v>
      </c>
      <c r="BV1334" s="1" t="s">
        <v>206</v>
      </c>
      <c r="BW1334" s="1" t="s">
        <v>207</v>
      </c>
      <c r="BY1334" s="1" t="s">
        <v>8988</v>
      </c>
      <c r="BZ1334" s="1" t="s">
        <v>209</v>
      </c>
      <c r="CC1334" s="1" t="s">
        <v>363</v>
      </c>
      <c r="CD1334" s="1" t="s">
        <v>206</v>
      </c>
      <c r="CE1334" s="1" t="s">
        <v>207</v>
      </c>
      <c r="CG1334" s="1" t="s">
        <v>699</v>
      </c>
      <c r="CH1334" s="1" t="s">
        <v>206</v>
      </c>
      <c r="CK1334" s="1" t="s">
        <v>816</v>
      </c>
      <c r="CL1334" s="1" t="s">
        <v>206</v>
      </c>
      <c r="CO1334" s="1" t="s">
        <v>302</v>
      </c>
      <c r="CP1334" s="1" t="s">
        <v>42</v>
      </c>
      <c r="CS1334" s="1" t="s">
        <v>1119</v>
      </c>
      <c r="CT1334" s="1" t="s">
        <v>206</v>
      </c>
      <c r="CX1334" s="1" t="s">
        <v>204</v>
      </c>
      <c r="DA1334" s="1" t="s">
        <v>200</v>
      </c>
      <c r="DC1334" s="1" t="s">
        <v>216</v>
      </c>
      <c r="DE1334" s="1" t="s">
        <v>273</v>
      </c>
      <c r="DF1334" s="1" t="s">
        <v>905</v>
      </c>
      <c r="DH1334" s="1" t="s">
        <v>365</v>
      </c>
      <c r="DI1334" s="1" t="s">
        <v>1223</v>
      </c>
      <c r="DJ1334" s="1" t="s">
        <v>222</v>
      </c>
      <c r="DK1334" s="1" t="s">
        <v>224</v>
      </c>
      <c r="DL1334" s="1" t="s">
        <v>858</v>
      </c>
      <c r="DM1334" s="1" t="s">
        <v>229</v>
      </c>
      <c r="DP1334" s="1" t="s">
        <v>340</v>
      </c>
      <c r="DQ1334" s="1" t="s">
        <v>794</v>
      </c>
      <c r="DR1334" s="1" t="s">
        <v>229</v>
      </c>
      <c r="DV1334" s="1" t="s">
        <v>13980</v>
      </c>
      <c r="DW1334" s="1" t="s">
        <v>3576</v>
      </c>
      <c r="DX1334" s="1" t="s">
        <v>234</v>
      </c>
      <c r="DZ1334" s="1" t="s">
        <v>310</v>
      </c>
      <c r="EA1334" s="1" t="s">
        <v>644</v>
      </c>
      <c r="EC1334" s="1" t="s">
        <v>645</v>
      </c>
      <c r="EG1334" s="1" t="s">
        <v>449</v>
      </c>
      <c r="EH1334" s="1" t="s">
        <v>598</v>
      </c>
      <c r="EI1334" s="1" t="s">
        <v>408</v>
      </c>
      <c r="EJ1334" s="1" t="s">
        <v>310</v>
      </c>
      <c r="EL1334" s="1" t="s">
        <v>940</v>
      </c>
      <c r="EM1334" s="1" t="s">
        <v>206</v>
      </c>
      <c r="EP1334" s="1" t="s">
        <v>5311</v>
      </c>
      <c r="EQ1334" s="1" t="s">
        <v>42</v>
      </c>
      <c r="ET1334" s="1" t="s">
        <v>13981</v>
      </c>
      <c r="EU1334" s="1" t="s">
        <v>206</v>
      </c>
      <c r="EX1334" s="1" t="s">
        <v>1119</v>
      </c>
      <c r="EY1334" s="1" t="s">
        <v>206</v>
      </c>
      <c r="FC1334" s="1" t="s">
        <v>238</v>
      </c>
      <c r="FF1334" s="1" t="s">
        <v>239</v>
      </c>
      <c r="FG1334" s="1" t="s">
        <v>192</v>
      </c>
      <c r="FH1334" s="1" t="s">
        <v>192</v>
      </c>
      <c r="FJ1334" s="1" t="s">
        <v>799</v>
      </c>
      <c r="FK1334" s="1" t="s">
        <v>229</v>
      </c>
      <c r="FL1334" s="1" t="s">
        <v>13982</v>
      </c>
      <c r="FM1334" s="1">
        <v>18064.0</v>
      </c>
      <c r="FN1334" s="1" t="s">
        <v>13983</v>
      </c>
      <c r="FO1334" s="1" t="s">
        <v>13984</v>
      </c>
      <c r="FP1334" s="1">
        <v>129783.0</v>
      </c>
      <c r="FQ1334" s="1" t="s">
        <v>13985</v>
      </c>
      <c r="FU1334" s="1" t="s">
        <v>13986</v>
      </c>
      <c r="FV1334" s="1" t="s">
        <v>200</v>
      </c>
      <c r="FW1334" s="1" t="s">
        <v>461</v>
      </c>
      <c r="FX1334" s="1" t="s">
        <v>238</v>
      </c>
      <c r="FZ1334" s="1" t="s">
        <v>229</v>
      </c>
      <c r="GA1334" s="1" t="s">
        <v>291</v>
      </c>
      <c r="GB1334" s="2">
        <v>42125.0</v>
      </c>
    </row>
    <row r="1335">
      <c r="A1335" s="1">
        <v>399500.0</v>
      </c>
      <c r="B1335" s="1" t="s">
        <v>185</v>
      </c>
      <c r="C1335" s="1" t="str">
        <f>"08864485"</f>
        <v>08864485</v>
      </c>
      <c r="D1335" s="1" t="s">
        <v>186</v>
      </c>
      <c r="F1335" s="1" t="str">
        <f>"510"</f>
        <v>510</v>
      </c>
      <c r="G1335" s="2">
        <v>42080.0</v>
      </c>
      <c r="H1335" s="1">
        <v>409900.0</v>
      </c>
      <c r="I1335" s="1">
        <v>97.0</v>
      </c>
      <c r="J1335" s="1">
        <v>409900.0</v>
      </c>
      <c r="K1335" s="2">
        <v>42083.0</v>
      </c>
      <c r="L1335" s="1">
        <v>4.0</v>
      </c>
      <c r="M1335" s="2">
        <v>42083.0</v>
      </c>
      <c r="N1335" s="1" t="s">
        <v>187</v>
      </c>
      <c r="O1335" s="2">
        <v>42128.0</v>
      </c>
      <c r="P1335" s="1">
        <v>8546.0</v>
      </c>
      <c r="Q1335" s="1">
        <v>37.0</v>
      </c>
      <c r="R1335" s="1">
        <v>3995.0</v>
      </c>
      <c r="S1335" s="1">
        <v>92.0</v>
      </c>
      <c r="T1335" s="1" t="s">
        <v>13987</v>
      </c>
      <c r="U1335" s="1" t="s">
        <v>569</v>
      </c>
      <c r="V1335" s="1" t="s">
        <v>2700</v>
      </c>
      <c r="W1335" s="1">
        <v>60510.0</v>
      </c>
      <c r="Y1335" s="1" t="s">
        <v>13988</v>
      </c>
      <c r="Z1335" s="1">
        <v>2005.0</v>
      </c>
      <c r="AA1335" s="1" t="s">
        <v>200</v>
      </c>
      <c r="AB1335" s="1" t="s">
        <v>193</v>
      </c>
      <c r="AD1335" s="1" t="s">
        <v>2702</v>
      </c>
      <c r="AE1335" s="1" t="s">
        <v>325</v>
      </c>
      <c r="AF1335" s="1" t="s">
        <v>2702</v>
      </c>
      <c r="AH1335" s="1" t="s">
        <v>13989</v>
      </c>
      <c r="AK1335" s="1">
        <v>9.0</v>
      </c>
      <c r="AL1335" s="1">
        <v>4.0</v>
      </c>
      <c r="AM1335" s="1">
        <v>4.0</v>
      </c>
      <c r="AN1335" s="1">
        <v>1.0</v>
      </c>
      <c r="AO1335" s="1" t="s">
        <v>198</v>
      </c>
      <c r="AP1335" s="1">
        <v>1.0</v>
      </c>
      <c r="AQ1335" s="1" t="s">
        <v>198</v>
      </c>
      <c r="AR1335" s="1" t="s">
        <v>200</v>
      </c>
      <c r="AS1335" s="1" t="s">
        <v>199</v>
      </c>
      <c r="AT1335" s="1">
        <v>3.0</v>
      </c>
      <c r="AV1335" s="1" t="s">
        <v>200</v>
      </c>
      <c r="AW1335" s="1">
        <v>14519.0</v>
      </c>
      <c r="AX1335" s="1">
        <v>2013.0</v>
      </c>
      <c r="AY1335" s="1" t="s">
        <v>229</v>
      </c>
      <c r="AZ1335" s="1" t="s">
        <v>200</v>
      </c>
      <c r="BA1335" s="1" t="str">
        <f>"1223228017"</f>
        <v>1223228017</v>
      </c>
      <c r="BB1335" s="1" t="s">
        <v>200</v>
      </c>
      <c r="BC1335" s="1">
        <v>3400.0</v>
      </c>
      <c r="BD1335" s="1">
        <v>399500.0</v>
      </c>
      <c r="BE1335" s="2">
        <v>42080.0</v>
      </c>
      <c r="BF1335" s="2" t="s">
        <v>13990</v>
      </c>
      <c r="BH1335" s="1">
        <v>200.0</v>
      </c>
      <c r="BK1335" s="1" t="s">
        <v>580</v>
      </c>
      <c r="BL1335" s="1" t="str">
        <f t="shared" ref="BL1335:BM1335" si="881">""</f>
        <v/>
      </c>
      <c r="BM1335" s="1" t="str">
        <f t="shared" si="881"/>
        <v/>
      </c>
      <c r="BQ1335" s="1">
        <v>101.0</v>
      </c>
      <c r="BR1335" s="1">
        <v>101.0</v>
      </c>
      <c r="BS1335" s="1">
        <v>101.0</v>
      </c>
      <c r="BU1335" s="1" t="s">
        <v>433</v>
      </c>
      <c r="BV1335" s="1" t="s">
        <v>206</v>
      </c>
      <c r="BW1335" s="1" t="s">
        <v>210</v>
      </c>
      <c r="BY1335" s="1" t="s">
        <v>1244</v>
      </c>
      <c r="BZ1335" s="1" t="s">
        <v>209</v>
      </c>
      <c r="CA1335" s="1" t="s">
        <v>210</v>
      </c>
      <c r="CC1335" s="1" t="s">
        <v>205</v>
      </c>
      <c r="CD1335" s="1" t="s">
        <v>206</v>
      </c>
      <c r="CE1335" s="1" t="s">
        <v>210</v>
      </c>
      <c r="CG1335" s="1" t="s">
        <v>205</v>
      </c>
      <c r="CH1335" s="1" t="s">
        <v>209</v>
      </c>
      <c r="CI1335" s="1" t="s">
        <v>210</v>
      </c>
      <c r="CK1335" s="1" t="s">
        <v>363</v>
      </c>
      <c r="CL1335" s="1" t="s">
        <v>209</v>
      </c>
      <c r="CM1335" s="1" t="s">
        <v>210</v>
      </c>
      <c r="CO1335" s="1" t="s">
        <v>212</v>
      </c>
      <c r="CP1335" s="1" t="s">
        <v>209</v>
      </c>
      <c r="CQ1335" s="1" t="s">
        <v>210</v>
      </c>
      <c r="CS1335" s="1" t="s">
        <v>1244</v>
      </c>
      <c r="CT1335" s="1" t="s">
        <v>206</v>
      </c>
      <c r="CU1335" s="1" t="s">
        <v>207</v>
      </c>
      <c r="CW1335" s="1" t="s">
        <v>3538</v>
      </c>
      <c r="CX1335" s="1" t="s">
        <v>206</v>
      </c>
      <c r="CY1335" s="1" t="s">
        <v>210</v>
      </c>
      <c r="DA1335" s="1" t="s">
        <v>200</v>
      </c>
      <c r="DC1335" s="1" t="s">
        <v>481</v>
      </c>
      <c r="DD1335" s="1" t="s">
        <v>1552</v>
      </c>
      <c r="DE1335" s="1" t="s">
        <v>273</v>
      </c>
      <c r="DF1335" s="1" t="s">
        <v>219</v>
      </c>
      <c r="DG1335" s="1" t="s">
        <v>588</v>
      </c>
      <c r="DH1335" s="1" t="s">
        <v>220</v>
      </c>
      <c r="DI1335" s="1" t="s">
        <v>6031</v>
      </c>
      <c r="DJ1335" s="1" t="s">
        <v>222</v>
      </c>
      <c r="DK1335" s="1" t="s">
        <v>1555</v>
      </c>
      <c r="DL1335" s="1" t="s">
        <v>224</v>
      </c>
      <c r="DM1335" s="1" t="s">
        <v>1658</v>
      </c>
      <c r="DN1335" s="1" t="s">
        <v>399</v>
      </c>
      <c r="DO1335" s="1" t="s">
        <v>590</v>
      </c>
      <c r="DP1335" s="1" t="s">
        <v>340</v>
      </c>
      <c r="DQ1335" s="1" t="s">
        <v>441</v>
      </c>
      <c r="DR1335" s="1" t="s">
        <v>229</v>
      </c>
      <c r="DS1335" s="1" t="s">
        <v>277</v>
      </c>
      <c r="DV1335" s="1" t="s">
        <v>1028</v>
      </c>
      <c r="DW1335" s="1" t="s">
        <v>444</v>
      </c>
      <c r="DX1335" s="1" t="s">
        <v>234</v>
      </c>
      <c r="DY1335" s="1" t="s">
        <v>490</v>
      </c>
      <c r="DZ1335" s="1" t="s">
        <v>282</v>
      </c>
      <c r="EA1335" s="1" t="s">
        <v>344</v>
      </c>
      <c r="EB1335" s="1" t="s">
        <v>1639</v>
      </c>
      <c r="EC1335" s="1" t="s">
        <v>237</v>
      </c>
      <c r="ED1335" s="1" t="s">
        <v>407</v>
      </c>
      <c r="EE1335" s="1" t="s">
        <v>1077</v>
      </c>
      <c r="EG1335" s="1" t="s">
        <v>1028</v>
      </c>
      <c r="EL1335" s="1" t="s">
        <v>454</v>
      </c>
      <c r="EM1335" s="1" t="s">
        <v>206</v>
      </c>
      <c r="EN1335" s="1" t="s">
        <v>210</v>
      </c>
      <c r="EQ1335" s="1" t="s">
        <v>238</v>
      </c>
      <c r="EU1335" s="1" t="s">
        <v>238</v>
      </c>
      <c r="EY1335" s="1" t="s">
        <v>238</v>
      </c>
      <c r="FC1335" s="1" t="s">
        <v>238</v>
      </c>
      <c r="FF1335" s="1" t="s">
        <v>239</v>
      </c>
      <c r="FG1335" s="1" t="s">
        <v>192</v>
      </c>
      <c r="FH1335" s="1" t="s">
        <v>192</v>
      </c>
      <c r="FJ1335" s="1" t="s">
        <v>770</v>
      </c>
      <c r="FK1335" s="1" t="s">
        <v>229</v>
      </c>
      <c r="FL1335" s="1" t="s">
        <v>4954</v>
      </c>
      <c r="FM1335" s="1">
        <v>25558.0</v>
      </c>
      <c r="FN1335" s="1" t="s">
        <v>1998</v>
      </c>
      <c r="FO1335" s="1" t="s">
        <v>13991</v>
      </c>
      <c r="FP1335" s="1">
        <v>238472.0</v>
      </c>
      <c r="FQ1335" s="1" t="s">
        <v>13992</v>
      </c>
      <c r="FU1335" s="1" t="s">
        <v>13993</v>
      </c>
      <c r="FV1335" s="1" t="s">
        <v>200</v>
      </c>
      <c r="FW1335" s="1" t="s">
        <v>1457</v>
      </c>
      <c r="FZ1335" s="1" t="s">
        <v>229</v>
      </c>
      <c r="GA1335" s="1" t="s">
        <v>291</v>
      </c>
      <c r="GB1335" s="2">
        <v>42131.0</v>
      </c>
      <c r="GC1335" s="1" t="s">
        <v>13994</v>
      </c>
    </row>
    <row r="1336">
      <c r="A1336" s="1">
        <v>120000.0</v>
      </c>
      <c r="B1336" s="1" t="s">
        <v>185</v>
      </c>
      <c r="C1336" s="1" t="str">
        <f>"08862669"</f>
        <v>08862669</v>
      </c>
      <c r="D1336" s="1" t="s">
        <v>186</v>
      </c>
      <c r="F1336" s="1" t="str">
        <f>"178"</f>
        <v>178</v>
      </c>
      <c r="G1336" s="2">
        <v>42079.0</v>
      </c>
      <c r="H1336" s="1">
        <v>128500.0</v>
      </c>
      <c r="I1336" s="1">
        <v>44.0</v>
      </c>
      <c r="J1336" s="1">
        <v>128500.0</v>
      </c>
      <c r="K1336" s="2">
        <v>42083.0</v>
      </c>
      <c r="L1336" s="1">
        <v>5.0</v>
      </c>
      <c r="M1336" s="2">
        <v>42083.0</v>
      </c>
      <c r="N1336" s="1" t="s">
        <v>187</v>
      </c>
      <c r="O1336" s="2">
        <v>42139.0</v>
      </c>
      <c r="P1336" s="1">
        <v>930261.0</v>
      </c>
      <c r="Q1336" s="1">
        <v>93099.0</v>
      </c>
      <c r="S1336" s="1">
        <v>1124.0</v>
      </c>
      <c r="T1336" s="1" t="s">
        <v>13995</v>
      </c>
      <c r="U1336" s="1" t="s">
        <v>320</v>
      </c>
      <c r="V1336" s="1" t="s">
        <v>994</v>
      </c>
      <c r="W1336" s="1">
        <v>60178.0</v>
      </c>
      <c r="Y1336" s="1" t="s">
        <v>13996</v>
      </c>
      <c r="Z1336" s="1">
        <v>1970.0</v>
      </c>
      <c r="AA1336" s="1" t="s">
        <v>192</v>
      </c>
      <c r="AB1336" s="1" t="s">
        <v>193</v>
      </c>
      <c r="AD1336" s="1" t="s">
        <v>997</v>
      </c>
      <c r="AE1336" s="1" t="s">
        <v>613</v>
      </c>
      <c r="AF1336" s="1" t="s">
        <v>997</v>
      </c>
      <c r="AH1336" s="1" t="s">
        <v>13997</v>
      </c>
      <c r="AI1336" s="1">
        <v>0.0</v>
      </c>
      <c r="AK1336" s="1">
        <v>7.0</v>
      </c>
      <c r="AL1336" s="1">
        <v>3.0</v>
      </c>
      <c r="AM1336" s="1">
        <v>1.0</v>
      </c>
      <c r="AN1336" s="1">
        <v>0.0</v>
      </c>
      <c r="AO1336" s="1" t="s">
        <v>229</v>
      </c>
      <c r="AQ1336" s="1" t="s">
        <v>198</v>
      </c>
      <c r="AR1336" s="1" t="s">
        <v>200</v>
      </c>
      <c r="AS1336" s="1" t="s">
        <v>199</v>
      </c>
      <c r="AT1336" s="1">
        <v>2.0</v>
      </c>
      <c r="AV1336" s="1" t="s">
        <v>200</v>
      </c>
      <c r="AW1336" s="1">
        <v>3359.0</v>
      </c>
      <c r="AX1336" s="1">
        <v>2013.0</v>
      </c>
      <c r="AZ1336" s="1" t="s">
        <v>200</v>
      </c>
      <c r="BA1336" s="1" t="str">
        <f>"0905252005"</f>
        <v>0905252005</v>
      </c>
      <c r="BC1336" s="1">
        <v>1000.0</v>
      </c>
      <c r="BD1336" s="1">
        <v>120000.0</v>
      </c>
      <c r="BE1336" s="2">
        <v>42079.0</v>
      </c>
      <c r="BF1336" s="2" t="s">
        <v>13998</v>
      </c>
      <c r="BH1336" s="1">
        <v>0.0</v>
      </c>
      <c r="BK1336" s="1" t="s">
        <v>204</v>
      </c>
      <c r="BL1336" s="1" t="str">
        <f t="shared" ref="BL1336:BM1336" si="882">"0"</f>
        <v>0</v>
      </c>
      <c r="BM1336" s="1" t="str">
        <f t="shared" si="882"/>
        <v>0</v>
      </c>
      <c r="BN1336" s="1">
        <v>0.0</v>
      </c>
      <c r="BO1336" s="1">
        <v>0.0</v>
      </c>
      <c r="BQ1336" s="1">
        <v>427.0</v>
      </c>
      <c r="BR1336" s="1">
        <v>427.0</v>
      </c>
      <c r="BS1336" s="1">
        <v>427.0</v>
      </c>
      <c r="BU1336" s="1" t="s">
        <v>1397</v>
      </c>
      <c r="BV1336" s="1" t="s">
        <v>206</v>
      </c>
      <c r="BW1336" s="1" t="s">
        <v>301</v>
      </c>
      <c r="BY1336" s="1" t="s">
        <v>2459</v>
      </c>
      <c r="BZ1336" s="1" t="s">
        <v>206</v>
      </c>
      <c r="CA1336" s="1" t="s">
        <v>301</v>
      </c>
      <c r="CD1336" s="1" t="s">
        <v>204</v>
      </c>
      <c r="CG1336" s="1" t="s">
        <v>1760</v>
      </c>
      <c r="CH1336" s="1" t="s">
        <v>206</v>
      </c>
      <c r="CI1336" s="1" t="s">
        <v>301</v>
      </c>
      <c r="CK1336" s="1" t="s">
        <v>269</v>
      </c>
      <c r="CL1336" s="1" t="s">
        <v>206</v>
      </c>
      <c r="CM1336" s="1" t="s">
        <v>301</v>
      </c>
      <c r="CO1336" s="1" t="s">
        <v>1672</v>
      </c>
      <c r="CP1336" s="1" t="s">
        <v>42</v>
      </c>
      <c r="CS1336" s="1" t="s">
        <v>5640</v>
      </c>
      <c r="CT1336" s="1" t="s">
        <v>206</v>
      </c>
      <c r="CU1336" s="1" t="s">
        <v>1136</v>
      </c>
      <c r="CX1336" s="1" t="s">
        <v>204</v>
      </c>
      <c r="DA1336" s="1" t="s">
        <v>200</v>
      </c>
      <c r="DC1336" s="1" t="s">
        <v>517</v>
      </c>
      <c r="DD1336" s="1" t="s">
        <v>518</v>
      </c>
      <c r="DE1336" s="1" t="s">
        <v>273</v>
      </c>
      <c r="DF1336" s="1" t="s">
        <v>219</v>
      </c>
      <c r="DH1336" s="1" t="s">
        <v>220</v>
      </c>
      <c r="DJ1336" s="1" t="s">
        <v>222</v>
      </c>
      <c r="DL1336" s="1" t="s">
        <v>224</v>
      </c>
      <c r="DM1336" s="1" t="s">
        <v>338</v>
      </c>
      <c r="DQ1336" s="1" t="s">
        <v>228</v>
      </c>
      <c r="DR1336" s="1" t="s">
        <v>229</v>
      </c>
      <c r="DS1336" s="1" t="s">
        <v>230</v>
      </c>
      <c r="DV1336" s="1" t="s">
        <v>450</v>
      </c>
      <c r="DW1336" s="1" t="s">
        <v>370</v>
      </c>
      <c r="DX1336" s="1" t="s">
        <v>234</v>
      </c>
      <c r="EA1336" s="1" t="s">
        <v>683</v>
      </c>
      <c r="EC1336" s="1" t="s">
        <v>685</v>
      </c>
      <c r="EG1336" s="1" t="s">
        <v>450</v>
      </c>
      <c r="EL1336" s="1" t="s">
        <v>2872</v>
      </c>
      <c r="EM1336" s="1" t="s">
        <v>42</v>
      </c>
      <c r="EQ1336" s="1" t="s">
        <v>238</v>
      </c>
      <c r="EU1336" s="1" t="s">
        <v>238</v>
      </c>
      <c r="EY1336" s="1" t="s">
        <v>238</v>
      </c>
      <c r="FC1336" s="1" t="s">
        <v>238</v>
      </c>
      <c r="FF1336" s="1" t="s">
        <v>239</v>
      </c>
      <c r="FG1336" s="1" t="s">
        <v>200</v>
      </c>
      <c r="FH1336" s="1" t="s">
        <v>192</v>
      </c>
      <c r="FJ1336" s="1" t="s">
        <v>11884</v>
      </c>
      <c r="FK1336" s="1" t="s">
        <v>229</v>
      </c>
      <c r="FL1336" s="1" t="s">
        <v>13999</v>
      </c>
      <c r="FM1336" s="1">
        <v>93057.0</v>
      </c>
      <c r="FN1336" s="1" t="s">
        <v>14000</v>
      </c>
      <c r="FO1336" s="1" t="s">
        <v>14001</v>
      </c>
      <c r="FP1336" s="1">
        <v>930178.0</v>
      </c>
      <c r="FQ1336" s="1" t="s">
        <v>14000</v>
      </c>
      <c r="FU1336" s="1" t="s">
        <v>14002</v>
      </c>
      <c r="FV1336" s="1" t="s">
        <v>192</v>
      </c>
      <c r="FW1336" s="1" t="s">
        <v>14003</v>
      </c>
      <c r="FZ1336" s="1" t="s">
        <v>229</v>
      </c>
      <c r="GA1336" s="1" t="s">
        <v>247</v>
      </c>
      <c r="GB1336" s="2">
        <v>42139.0</v>
      </c>
      <c r="GC1336" s="1" t="s">
        <v>14004</v>
      </c>
    </row>
    <row r="1337">
      <c r="A1337" s="1">
        <v>920000.0</v>
      </c>
      <c r="B1337" s="1" t="s">
        <v>185</v>
      </c>
      <c r="C1337" s="1" t="str">
        <f>"08866539"</f>
        <v>08866539</v>
      </c>
      <c r="D1337" s="1" t="s">
        <v>186</v>
      </c>
      <c r="F1337" s="1" t="str">
        <f>"8006"</f>
        <v>8006</v>
      </c>
      <c r="G1337" s="2">
        <v>42082.0</v>
      </c>
      <c r="H1337" s="1">
        <v>899000.0</v>
      </c>
      <c r="I1337" s="1">
        <v>3.0</v>
      </c>
      <c r="J1337" s="1">
        <v>899000.0</v>
      </c>
      <c r="K1337" s="2">
        <v>42084.0</v>
      </c>
      <c r="L1337" s="1">
        <v>3.0</v>
      </c>
      <c r="M1337" s="2">
        <v>42084.0</v>
      </c>
      <c r="N1337" s="1" t="s">
        <v>187</v>
      </c>
      <c r="O1337" s="2">
        <v>42142.0</v>
      </c>
      <c r="P1337" s="1">
        <v>112652.0</v>
      </c>
      <c r="Q1337" s="1">
        <v>16898.0</v>
      </c>
      <c r="S1337" s="1">
        <v>3450.0</v>
      </c>
      <c r="T1337" s="1" t="s">
        <v>6648</v>
      </c>
      <c r="U1337" s="1" t="s">
        <v>189</v>
      </c>
      <c r="V1337" s="1" t="s">
        <v>190</v>
      </c>
      <c r="W1337" s="1">
        <v>60657.0</v>
      </c>
      <c r="Y1337" s="1" t="s">
        <v>14005</v>
      </c>
      <c r="Z1337" s="1" t="s">
        <v>296</v>
      </c>
      <c r="AA1337" s="1" t="s">
        <v>192</v>
      </c>
      <c r="AB1337" s="1" t="s">
        <v>193</v>
      </c>
      <c r="AD1337" s="1" t="s">
        <v>194</v>
      </c>
      <c r="AE1337" s="1" t="s">
        <v>195</v>
      </c>
      <c r="AF1337" s="1" t="s">
        <v>534</v>
      </c>
      <c r="AH1337" s="1" t="s">
        <v>741</v>
      </c>
      <c r="AK1337" s="1">
        <v>10.0</v>
      </c>
      <c r="AL1337" s="1">
        <v>4.0</v>
      </c>
      <c r="AM1337" s="1">
        <v>2.0</v>
      </c>
      <c r="AN1337" s="1">
        <v>1.0</v>
      </c>
      <c r="AO1337" s="1" t="s">
        <v>198</v>
      </c>
      <c r="AP1337" s="1">
        <v>1.0</v>
      </c>
      <c r="AQ1337" s="1" t="s">
        <v>472</v>
      </c>
      <c r="AR1337" s="1" t="s">
        <v>200</v>
      </c>
      <c r="AS1337" s="1" t="s">
        <v>199</v>
      </c>
      <c r="AT1337" s="1">
        <v>2.0</v>
      </c>
      <c r="AV1337" s="1" t="s">
        <v>200</v>
      </c>
      <c r="AW1337" s="1">
        <v>9442.1</v>
      </c>
      <c r="AX1337" s="1">
        <v>2013.0</v>
      </c>
      <c r="AY1337" s="1" t="s">
        <v>387</v>
      </c>
      <c r="AZ1337" s="1" t="s">
        <v>200</v>
      </c>
      <c r="BA1337" s="1" t="str">
        <f>"14194160260000"</f>
        <v>14194160260000</v>
      </c>
      <c r="BC1337" s="1">
        <v>0.0</v>
      </c>
      <c r="BD1337" s="1">
        <v>920000.0</v>
      </c>
      <c r="BE1337" s="2">
        <v>42082.0</v>
      </c>
      <c r="BG1337" s="1" t="s">
        <v>3227</v>
      </c>
      <c r="BH1337" s="1">
        <v>0.0</v>
      </c>
      <c r="BK1337" s="1" t="s">
        <v>204</v>
      </c>
      <c r="BL1337" s="1" t="str">
        <f>"3400"</f>
        <v>3400</v>
      </c>
      <c r="BM1337" s="1" t="str">
        <f>"0"</f>
        <v>0</v>
      </c>
      <c r="BN1337" s="1">
        <v>1650.0</v>
      </c>
      <c r="BO1337" s="1">
        <v>0.0</v>
      </c>
      <c r="BQ1337" s="1">
        <v>299.0</v>
      </c>
      <c r="BR1337" s="1">
        <v>299.0</v>
      </c>
      <c r="BS1337" s="1">
        <v>299.0</v>
      </c>
      <c r="BU1337" s="1" t="s">
        <v>215</v>
      </c>
      <c r="BV1337" s="1" t="s">
        <v>206</v>
      </c>
      <c r="BW1337" s="1" t="s">
        <v>207</v>
      </c>
      <c r="BY1337" s="1" t="s">
        <v>1483</v>
      </c>
      <c r="BZ1337" s="1" t="s">
        <v>209</v>
      </c>
      <c r="CA1337" s="1" t="s">
        <v>1790</v>
      </c>
      <c r="CC1337" s="1" t="s">
        <v>212</v>
      </c>
      <c r="CD1337" s="1" t="s">
        <v>206</v>
      </c>
      <c r="CE1337" s="1" t="s">
        <v>207</v>
      </c>
      <c r="CG1337" s="1" t="s">
        <v>495</v>
      </c>
      <c r="CH1337" s="1" t="s">
        <v>209</v>
      </c>
      <c r="CI1337" s="1" t="s">
        <v>210</v>
      </c>
      <c r="CK1337" s="1" t="s">
        <v>495</v>
      </c>
      <c r="CL1337" s="1" t="s">
        <v>209</v>
      </c>
      <c r="CM1337" s="1" t="s">
        <v>210</v>
      </c>
      <c r="CO1337" s="1" t="s">
        <v>495</v>
      </c>
      <c r="CP1337" s="1" t="s">
        <v>267</v>
      </c>
      <c r="CQ1337" s="1" t="s">
        <v>210</v>
      </c>
      <c r="CS1337" s="1" t="s">
        <v>1117</v>
      </c>
      <c r="CT1337" s="1" t="s">
        <v>206</v>
      </c>
      <c r="CU1337" s="1" t="s">
        <v>207</v>
      </c>
      <c r="CW1337" s="1" t="s">
        <v>264</v>
      </c>
      <c r="CX1337" s="1" t="s">
        <v>206</v>
      </c>
      <c r="CY1337" s="1" t="s">
        <v>207</v>
      </c>
      <c r="DA1337" s="1" t="s">
        <v>200</v>
      </c>
      <c r="DC1337" s="1" t="s">
        <v>642</v>
      </c>
      <c r="DD1337" s="1" t="s">
        <v>759</v>
      </c>
      <c r="DE1337" s="1" t="s">
        <v>3750</v>
      </c>
      <c r="DF1337" s="1" t="s">
        <v>2328</v>
      </c>
      <c r="DH1337" s="1" t="s">
        <v>307</v>
      </c>
      <c r="DI1337" s="1" t="s">
        <v>2257</v>
      </c>
      <c r="DJ1337" s="1" t="s">
        <v>222</v>
      </c>
      <c r="DK1337" s="1" t="s">
        <v>2312</v>
      </c>
      <c r="DL1337" s="1" t="s">
        <v>224</v>
      </c>
      <c r="DM1337" s="1" t="s">
        <v>1464</v>
      </c>
      <c r="DN1337" s="1" t="s">
        <v>2873</v>
      </c>
      <c r="DP1337" s="1" t="s">
        <v>340</v>
      </c>
      <c r="DQ1337" s="1" t="s">
        <v>718</v>
      </c>
      <c r="DR1337" s="1" t="s">
        <v>229</v>
      </c>
      <c r="DV1337" s="1" t="s">
        <v>14006</v>
      </c>
      <c r="DW1337" s="1" t="s">
        <v>233</v>
      </c>
      <c r="DX1337" s="1" t="s">
        <v>234</v>
      </c>
      <c r="DY1337" s="1" t="s">
        <v>704</v>
      </c>
      <c r="EC1337" s="1" t="s">
        <v>406</v>
      </c>
      <c r="EG1337" s="1" t="s">
        <v>598</v>
      </c>
      <c r="EH1337" s="1" t="s">
        <v>450</v>
      </c>
      <c r="EI1337" s="1" t="s">
        <v>408</v>
      </c>
      <c r="EJ1337" s="1" t="s">
        <v>310</v>
      </c>
      <c r="EL1337" s="1" t="s">
        <v>699</v>
      </c>
      <c r="EM1337" s="1" t="s">
        <v>209</v>
      </c>
      <c r="EN1337" s="1" t="s">
        <v>207</v>
      </c>
      <c r="EP1337" s="1" t="s">
        <v>361</v>
      </c>
      <c r="EQ1337" s="1" t="s">
        <v>267</v>
      </c>
      <c r="ER1337" s="1" t="s">
        <v>210</v>
      </c>
      <c r="ET1337" s="1" t="s">
        <v>4153</v>
      </c>
      <c r="EU1337" s="1" t="s">
        <v>206</v>
      </c>
      <c r="EV1337" s="1" t="s">
        <v>207</v>
      </c>
      <c r="EX1337" s="1" t="s">
        <v>1874</v>
      </c>
      <c r="EY1337" s="1" t="s">
        <v>206</v>
      </c>
      <c r="FC1337" s="1" t="s">
        <v>238</v>
      </c>
      <c r="FF1337" s="1" t="s">
        <v>239</v>
      </c>
      <c r="FG1337" s="1" t="s">
        <v>192</v>
      </c>
      <c r="FH1337" s="1" t="s">
        <v>192</v>
      </c>
      <c r="FJ1337" s="1" t="s">
        <v>733</v>
      </c>
      <c r="FK1337" s="1" t="s">
        <v>348</v>
      </c>
      <c r="FL1337" s="1" t="s">
        <v>800</v>
      </c>
      <c r="FM1337" s="1">
        <v>16898.0</v>
      </c>
      <c r="FN1337" s="1" t="s">
        <v>801</v>
      </c>
      <c r="FO1337" s="1" t="s">
        <v>8919</v>
      </c>
      <c r="FP1337" s="1">
        <v>112652.0</v>
      </c>
      <c r="FQ1337" s="1" t="s">
        <v>8920</v>
      </c>
      <c r="FU1337" s="1" t="s">
        <v>14007</v>
      </c>
      <c r="FV1337" s="1" t="s">
        <v>200</v>
      </c>
      <c r="FW1337" s="1" t="s">
        <v>290</v>
      </c>
      <c r="FX1337" s="1" t="s">
        <v>238</v>
      </c>
      <c r="FZ1337" s="1" t="s">
        <v>229</v>
      </c>
      <c r="GA1337" s="1" t="s">
        <v>291</v>
      </c>
      <c r="GB1337" s="2">
        <v>42145.0</v>
      </c>
    </row>
    <row r="1338">
      <c r="A1338" s="1">
        <v>235000.0</v>
      </c>
      <c r="B1338" s="1" t="s">
        <v>185</v>
      </c>
      <c r="C1338" s="1" t="str">
        <f>"08864961"</f>
        <v>08864961</v>
      </c>
      <c r="D1338" s="1" t="s">
        <v>186</v>
      </c>
      <c r="F1338" s="1" t="str">
        <f>"123"</f>
        <v>123</v>
      </c>
      <c r="G1338" s="2">
        <v>42081.0</v>
      </c>
      <c r="H1338" s="1">
        <v>235000.0</v>
      </c>
      <c r="I1338" s="1">
        <v>4.0</v>
      </c>
      <c r="J1338" s="1">
        <v>235000.0</v>
      </c>
      <c r="K1338" s="2">
        <v>42084.0</v>
      </c>
      <c r="L1338" s="1">
        <v>4.0</v>
      </c>
      <c r="M1338" s="2">
        <v>42084.0</v>
      </c>
      <c r="N1338" s="1" t="s">
        <v>356</v>
      </c>
      <c r="O1338" s="2">
        <v>42137.0</v>
      </c>
      <c r="P1338" s="1">
        <v>8423.0</v>
      </c>
      <c r="Q1338" s="1">
        <v>7450.0</v>
      </c>
      <c r="R1338" s="1">
        <v>3500.0</v>
      </c>
      <c r="S1338" s="1">
        <v>820.0</v>
      </c>
      <c r="T1338" s="1" t="s">
        <v>14008</v>
      </c>
      <c r="U1338" s="1" t="s">
        <v>1174</v>
      </c>
      <c r="V1338" s="1" t="s">
        <v>465</v>
      </c>
      <c r="W1338" s="1">
        <v>60124.0</v>
      </c>
      <c r="Y1338" s="1" t="s">
        <v>14009</v>
      </c>
      <c r="Z1338" s="1">
        <v>1998.0</v>
      </c>
      <c r="AA1338" s="1" t="s">
        <v>200</v>
      </c>
      <c r="AB1338" s="1" t="s">
        <v>193</v>
      </c>
      <c r="AC1338" s="1" t="s">
        <v>2271</v>
      </c>
      <c r="AD1338" s="1" t="s">
        <v>469</v>
      </c>
      <c r="AE1338" s="1" t="s">
        <v>325</v>
      </c>
      <c r="AF1338" s="1" t="s">
        <v>469</v>
      </c>
      <c r="AG1338" s="1" t="s">
        <v>14010</v>
      </c>
      <c r="AH1338" s="1" t="s">
        <v>14011</v>
      </c>
      <c r="AK1338" s="1">
        <v>10.0</v>
      </c>
      <c r="AL1338" s="1">
        <v>4.0</v>
      </c>
      <c r="AM1338" s="1">
        <v>3.0</v>
      </c>
      <c r="AN1338" s="1">
        <v>1.0</v>
      </c>
      <c r="AO1338" s="1" t="s">
        <v>198</v>
      </c>
      <c r="AP1338" s="1">
        <v>1.0</v>
      </c>
      <c r="AQ1338" s="1" t="s">
        <v>198</v>
      </c>
      <c r="AR1338" s="1" t="s">
        <v>192</v>
      </c>
      <c r="AS1338" s="1" t="s">
        <v>199</v>
      </c>
      <c r="AT1338" s="1">
        <v>2.0</v>
      </c>
      <c r="AV1338" s="1" t="s">
        <v>200</v>
      </c>
      <c r="AW1338" s="1">
        <v>5248.0</v>
      </c>
      <c r="AX1338" s="1">
        <v>2013.0</v>
      </c>
      <c r="AY1338" s="1" t="s">
        <v>387</v>
      </c>
      <c r="AZ1338" s="1" t="s">
        <v>200</v>
      </c>
      <c r="BA1338" s="1" t="str">
        <f>"0628152009"</f>
        <v>0628152009</v>
      </c>
      <c r="BC1338" s="1">
        <v>1736.0</v>
      </c>
      <c r="BD1338" s="1">
        <v>235000.0</v>
      </c>
      <c r="BE1338" s="2">
        <v>42081.0</v>
      </c>
      <c r="BF1338" s="2" t="s">
        <v>14012</v>
      </c>
      <c r="BH1338" s="1">
        <v>118.0</v>
      </c>
      <c r="BK1338" s="1" t="s">
        <v>580</v>
      </c>
      <c r="BL1338" s="1" t="str">
        <f>"9"</f>
        <v>9</v>
      </c>
      <c r="BM1338" s="1" t="str">
        <f>""</f>
        <v/>
      </c>
      <c r="BN1338" s="1">
        <v>36.0</v>
      </c>
      <c r="BQ1338" s="1">
        <v>46.0</v>
      </c>
      <c r="BR1338" s="1">
        <v>46.0</v>
      </c>
      <c r="BS1338" s="1">
        <v>46.0</v>
      </c>
      <c r="BU1338" s="1" t="s">
        <v>1043</v>
      </c>
      <c r="BV1338" s="1" t="s">
        <v>206</v>
      </c>
      <c r="BW1338" s="1" t="s">
        <v>210</v>
      </c>
      <c r="BX1338" s="1" t="s">
        <v>229</v>
      </c>
      <c r="BY1338" s="1" t="s">
        <v>393</v>
      </c>
      <c r="BZ1338" s="1" t="s">
        <v>209</v>
      </c>
      <c r="CA1338" s="1" t="s">
        <v>210</v>
      </c>
      <c r="CB1338" s="1" t="s">
        <v>229</v>
      </c>
      <c r="CD1338" s="1" t="s">
        <v>204</v>
      </c>
      <c r="CG1338" s="1" t="s">
        <v>363</v>
      </c>
      <c r="CH1338" s="1" t="s">
        <v>209</v>
      </c>
      <c r="CI1338" s="1" t="s">
        <v>210</v>
      </c>
      <c r="CJ1338" s="1" t="s">
        <v>229</v>
      </c>
      <c r="CK1338" s="1" t="s">
        <v>303</v>
      </c>
      <c r="CL1338" s="1" t="s">
        <v>209</v>
      </c>
      <c r="CM1338" s="1" t="s">
        <v>210</v>
      </c>
      <c r="CN1338" s="1" t="s">
        <v>229</v>
      </c>
      <c r="CO1338" s="1" t="s">
        <v>2082</v>
      </c>
      <c r="CP1338" s="1" t="s">
        <v>1697</v>
      </c>
      <c r="CQ1338" s="1" t="s">
        <v>210</v>
      </c>
      <c r="CR1338" s="1" t="s">
        <v>229</v>
      </c>
      <c r="CS1338" s="1" t="s">
        <v>1396</v>
      </c>
      <c r="CT1338" s="1" t="s">
        <v>206</v>
      </c>
      <c r="CU1338" s="1" t="s">
        <v>301</v>
      </c>
      <c r="CV1338" s="1" t="s">
        <v>229</v>
      </c>
      <c r="CW1338" s="1" t="s">
        <v>2713</v>
      </c>
      <c r="CX1338" s="1" t="s">
        <v>206</v>
      </c>
      <c r="CY1338" s="1" t="s">
        <v>210</v>
      </c>
      <c r="CZ1338" s="1" t="s">
        <v>229</v>
      </c>
      <c r="DA1338" s="1" t="s">
        <v>200</v>
      </c>
      <c r="DC1338" s="1" t="s">
        <v>678</v>
      </c>
      <c r="DD1338" s="1" t="s">
        <v>518</v>
      </c>
      <c r="DE1338" s="1" t="s">
        <v>273</v>
      </c>
      <c r="DF1338" s="1" t="s">
        <v>219</v>
      </c>
      <c r="DG1338" s="1" t="s">
        <v>337</v>
      </c>
      <c r="DH1338" s="1" t="s">
        <v>220</v>
      </c>
      <c r="DI1338" s="1" t="s">
        <v>519</v>
      </c>
      <c r="DJ1338" s="1" t="s">
        <v>222</v>
      </c>
      <c r="DL1338" s="1" t="s">
        <v>1161</v>
      </c>
      <c r="DM1338" s="1" t="s">
        <v>1022</v>
      </c>
      <c r="DN1338" s="1" t="s">
        <v>226</v>
      </c>
      <c r="DO1338" s="1" t="s">
        <v>549</v>
      </c>
      <c r="DP1338" s="1" t="s">
        <v>276</v>
      </c>
      <c r="DQ1338" s="1" t="s">
        <v>228</v>
      </c>
      <c r="DR1338" s="1" t="s">
        <v>229</v>
      </c>
      <c r="DS1338" s="1" t="s">
        <v>230</v>
      </c>
      <c r="DV1338" s="1" t="s">
        <v>14013</v>
      </c>
      <c r="DW1338" s="1" t="s">
        <v>2602</v>
      </c>
      <c r="DX1338" s="1" t="s">
        <v>234</v>
      </c>
      <c r="DY1338" s="1" t="s">
        <v>14014</v>
      </c>
      <c r="DZ1338" s="1" t="s">
        <v>3076</v>
      </c>
      <c r="EA1338" s="1" t="s">
        <v>344</v>
      </c>
      <c r="EB1338" s="1" t="s">
        <v>2183</v>
      </c>
      <c r="EC1338" s="1" t="s">
        <v>237</v>
      </c>
      <c r="ED1338" s="1" t="s">
        <v>407</v>
      </c>
      <c r="EG1338" s="1" t="s">
        <v>449</v>
      </c>
      <c r="EH1338" s="1" t="s">
        <v>341</v>
      </c>
      <c r="EI1338" s="1" t="s">
        <v>450</v>
      </c>
      <c r="EL1338" s="1" t="s">
        <v>269</v>
      </c>
      <c r="EM1338" s="1" t="s">
        <v>206</v>
      </c>
      <c r="EN1338" s="1" t="s">
        <v>301</v>
      </c>
      <c r="EO1338" s="1" t="s">
        <v>229</v>
      </c>
      <c r="EP1338" s="1" t="s">
        <v>1584</v>
      </c>
      <c r="EQ1338" s="1" t="s">
        <v>209</v>
      </c>
      <c r="ER1338" s="1" t="s">
        <v>210</v>
      </c>
      <c r="ES1338" s="1" t="s">
        <v>229</v>
      </c>
      <c r="ET1338" s="1" t="s">
        <v>14015</v>
      </c>
      <c r="EU1338" s="1" t="s">
        <v>1697</v>
      </c>
      <c r="EV1338" s="1" t="s">
        <v>210</v>
      </c>
      <c r="EW1338" s="1" t="s">
        <v>229</v>
      </c>
      <c r="EY1338" s="1" t="s">
        <v>238</v>
      </c>
      <c r="FC1338" s="1" t="s">
        <v>238</v>
      </c>
      <c r="FF1338" s="1" t="s">
        <v>239</v>
      </c>
      <c r="FG1338" s="1" t="s">
        <v>192</v>
      </c>
      <c r="FH1338" s="1" t="s">
        <v>192</v>
      </c>
      <c r="FJ1338" s="1" t="s">
        <v>14016</v>
      </c>
      <c r="FK1338" s="1" t="s">
        <v>229</v>
      </c>
      <c r="FL1338" s="1" t="s">
        <v>2263</v>
      </c>
      <c r="FM1338" s="1">
        <v>7661.0</v>
      </c>
      <c r="FN1338" s="1" t="s">
        <v>4356</v>
      </c>
      <c r="FO1338" s="1" t="s">
        <v>14017</v>
      </c>
      <c r="FP1338" s="1">
        <v>77439.0</v>
      </c>
      <c r="FQ1338" s="1" t="s">
        <v>14018</v>
      </c>
      <c r="FU1338" s="1" t="s">
        <v>4359</v>
      </c>
      <c r="FV1338" s="1" t="s">
        <v>200</v>
      </c>
      <c r="FW1338" s="1" t="s">
        <v>290</v>
      </c>
      <c r="FZ1338" s="1" t="s">
        <v>229</v>
      </c>
      <c r="GA1338" s="1" t="s">
        <v>291</v>
      </c>
      <c r="GB1338" s="2">
        <v>42138.0</v>
      </c>
      <c r="GC1338" s="1" t="s">
        <v>14019</v>
      </c>
    </row>
    <row r="1339">
      <c r="A1339" s="1">
        <v>186000.0</v>
      </c>
      <c r="B1339" s="1" t="s">
        <v>185</v>
      </c>
      <c r="C1339" s="1" t="str">
        <f>"08870371"</f>
        <v>08870371</v>
      </c>
      <c r="D1339" s="1" t="s">
        <v>186</v>
      </c>
      <c r="F1339" s="1" t="str">
        <f>"543"</f>
        <v>543</v>
      </c>
      <c r="G1339" s="2">
        <v>42087.0</v>
      </c>
      <c r="H1339" s="1">
        <v>192900.0</v>
      </c>
      <c r="I1339" s="1">
        <v>13.0</v>
      </c>
      <c r="J1339" s="1">
        <v>192900.0</v>
      </c>
      <c r="K1339" s="2">
        <v>42099.0</v>
      </c>
      <c r="L1339" s="1">
        <v>13.0</v>
      </c>
      <c r="M1339" s="2">
        <v>42099.0</v>
      </c>
      <c r="N1339" s="1" t="s">
        <v>187</v>
      </c>
      <c r="O1339" s="2">
        <v>42139.0</v>
      </c>
      <c r="P1339" s="1">
        <v>231054.0</v>
      </c>
      <c r="Q1339" s="1">
        <v>23196.0</v>
      </c>
      <c r="S1339" s="1">
        <v>84.0</v>
      </c>
      <c r="T1339" s="1" t="s">
        <v>3746</v>
      </c>
      <c r="U1339" s="1" t="s">
        <v>320</v>
      </c>
      <c r="V1339" s="1" t="s">
        <v>1527</v>
      </c>
      <c r="W1339" s="1">
        <v>60543.0</v>
      </c>
      <c r="Y1339" s="1" t="s">
        <v>14020</v>
      </c>
      <c r="Z1339" s="1">
        <v>1987.0</v>
      </c>
      <c r="AA1339" s="1" t="s">
        <v>200</v>
      </c>
      <c r="AB1339" s="1" t="s">
        <v>193</v>
      </c>
      <c r="AD1339" s="1" t="s">
        <v>1529</v>
      </c>
      <c r="AE1339" s="1" t="s">
        <v>849</v>
      </c>
      <c r="AF1339" s="1" t="s">
        <v>1529</v>
      </c>
      <c r="AH1339" s="1" t="s">
        <v>14021</v>
      </c>
      <c r="AI1339" s="1">
        <v>0.2</v>
      </c>
      <c r="AK1339" s="1">
        <v>9.0</v>
      </c>
      <c r="AL1339" s="1">
        <v>3.0</v>
      </c>
      <c r="AM1339" s="1">
        <v>2.0</v>
      </c>
      <c r="AN1339" s="1">
        <v>1.0</v>
      </c>
      <c r="AO1339" s="1" t="s">
        <v>198</v>
      </c>
      <c r="AP1339" s="1">
        <v>1.0</v>
      </c>
      <c r="AQ1339" s="1" t="s">
        <v>198</v>
      </c>
      <c r="AR1339" s="1" t="s">
        <v>200</v>
      </c>
      <c r="AS1339" s="1" t="s">
        <v>199</v>
      </c>
      <c r="AT1339" s="1">
        <v>2.0</v>
      </c>
      <c r="AV1339" s="1" t="s">
        <v>200</v>
      </c>
      <c r="AW1339" s="1">
        <v>6440.27</v>
      </c>
      <c r="AX1339" s="1">
        <v>2013.0</v>
      </c>
      <c r="AY1339" s="1" t="s">
        <v>387</v>
      </c>
      <c r="AZ1339" s="1" t="s">
        <v>200</v>
      </c>
      <c r="BA1339" s="1" t="str">
        <f>"0317379003"</f>
        <v>0317379003</v>
      </c>
      <c r="BC1339" s="1">
        <v>2222.0</v>
      </c>
      <c r="BD1339" s="1">
        <v>186000.0</v>
      </c>
      <c r="BE1339" s="2">
        <v>42087.0</v>
      </c>
      <c r="BF1339" s="2" t="s">
        <v>14022</v>
      </c>
      <c r="BG1339" s="1" t="s">
        <v>8200</v>
      </c>
      <c r="BH1339" s="1">
        <v>0.0</v>
      </c>
      <c r="BI1339" s="1" t="s">
        <v>1348</v>
      </c>
      <c r="BJ1339" s="1" t="s">
        <v>1349</v>
      </c>
      <c r="BK1339" s="1" t="s">
        <v>204</v>
      </c>
      <c r="BL1339" s="1" t="str">
        <f t="shared" ref="BL1339:BM1339" si="883">""</f>
        <v/>
      </c>
      <c r="BM1339" s="1" t="str">
        <f t="shared" si="883"/>
        <v/>
      </c>
      <c r="BN1339" s="1">
        <v>37.0</v>
      </c>
      <c r="BO1339" s="1">
        <v>12.0</v>
      </c>
      <c r="BQ1339" s="1">
        <v>308.0</v>
      </c>
      <c r="BR1339" s="1">
        <v>308.0</v>
      </c>
      <c r="BS1339" s="1">
        <v>308.0</v>
      </c>
      <c r="BU1339" s="1" t="s">
        <v>390</v>
      </c>
      <c r="BV1339" s="1" t="s">
        <v>206</v>
      </c>
      <c r="BW1339" s="1" t="s">
        <v>210</v>
      </c>
      <c r="BX1339" s="1" t="s">
        <v>1549</v>
      </c>
      <c r="BY1339" s="1" t="s">
        <v>393</v>
      </c>
      <c r="BZ1339" s="1" t="s">
        <v>209</v>
      </c>
      <c r="CA1339" s="1" t="s">
        <v>210</v>
      </c>
      <c r="CB1339" s="1" t="s">
        <v>431</v>
      </c>
      <c r="CC1339" s="1" t="s">
        <v>497</v>
      </c>
      <c r="CD1339" s="1" t="s">
        <v>206</v>
      </c>
      <c r="CE1339" s="1" t="s">
        <v>210</v>
      </c>
      <c r="CF1339" s="1" t="s">
        <v>1549</v>
      </c>
      <c r="CG1339" s="1" t="s">
        <v>269</v>
      </c>
      <c r="CH1339" s="1" t="s">
        <v>209</v>
      </c>
      <c r="CI1339" s="1" t="s">
        <v>210</v>
      </c>
      <c r="CJ1339" s="1" t="s">
        <v>431</v>
      </c>
      <c r="CK1339" s="1" t="s">
        <v>1229</v>
      </c>
      <c r="CL1339" s="1" t="s">
        <v>209</v>
      </c>
      <c r="CM1339" s="1" t="s">
        <v>210</v>
      </c>
      <c r="CN1339" s="1" t="s">
        <v>431</v>
      </c>
      <c r="CO1339" s="1" t="s">
        <v>433</v>
      </c>
      <c r="CP1339" s="1" t="s">
        <v>42</v>
      </c>
      <c r="CQ1339" s="1" t="s">
        <v>210</v>
      </c>
      <c r="CR1339" s="1" t="s">
        <v>1549</v>
      </c>
      <c r="CS1339" s="1" t="s">
        <v>332</v>
      </c>
      <c r="CT1339" s="1" t="s">
        <v>206</v>
      </c>
      <c r="CW1339" s="1" t="s">
        <v>333</v>
      </c>
      <c r="CX1339" s="1" t="s">
        <v>267</v>
      </c>
      <c r="CY1339" s="1" t="s">
        <v>210</v>
      </c>
      <c r="DA1339" s="1" t="s">
        <v>200</v>
      </c>
      <c r="DC1339" s="1" t="s">
        <v>305</v>
      </c>
      <c r="DD1339" s="1" t="s">
        <v>518</v>
      </c>
      <c r="DE1339" s="1" t="s">
        <v>273</v>
      </c>
      <c r="DF1339" s="1" t="s">
        <v>219</v>
      </c>
      <c r="DG1339" s="1" t="s">
        <v>4976</v>
      </c>
      <c r="DH1339" s="1" t="s">
        <v>220</v>
      </c>
      <c r="DI1339" s="1" t="s">
        <v>221</v>
      </c>
      <c r="DJ1339" s="1" t="s">
        <v>222</v>
      </c>
      <c r="DL1339" s="1" t="s">
        <v>224</v>
      </c>
      <c r="DM1339" s="1" t="s">
        <v>338</v>
      </c>
      <c r="DP1339" s="1" t="s">
        <v>400</v>
      </c>
      <c r="DQ1339" s="1" t="s">
        <v>228</v>
      </c>
      <c r="DR1339" s="1" t="s">
        <v>229</v>
      </c>
      <c r="DS1339" s="1" t="s">
        <v>230</v>
      </c>
      <c r="DU1339" s="1" t="s">
        <v>14023</v>
      </c>
      <c r="DV1339" s="1" t="s">
        <v>1824</v>
      </c>
      <c r="DW1339" s="1" t="s">
        <v>233</v>
      </c>
      <c r="DX1339" s="1" t="s">
        <v>234</v>
      </c>
      <c r="DY1339" s="1" t="s">
        <v>765</v>
      </c>
      <c r="DZ1339" s="1" t="s">
        <v>6413</v>
      </c>
      <c r="EA1339" s="1" t="s">
        <v>344</v>
      </c>
      <c r="EB1339" s="1" t="s">
        <v>492</v>
      </c>
      <c r="EC1339" s="1" t="s">
        <v>4613</v>
      </c>
      <c r="ED1339" s="1" t="s">
        <v>407</v>
      </c>
      <c r="EG1339" s="1" t="s">
        <v>1824</v>
      </c>
      <c r="EL1339" s="1" t="s">
        <v>1939</v>
      </c>
      <c r="EM1339" s="1" t="s">
        <v>42</v>
      </c>
      <c r="EN1339" s="1" t="s">
        <v>210</v>
      </c>
      <c r="EO1339" s="1" t="s">
        <v>1549</v>
      </c>
      <c r="EQ1339" s="1" t="s">
        <v>238</v>
      </c>
      <c r="EU1339" s="1" t="s">
        <v>238</v>
      </c>
      <c r="EY1339" s="1" t="s">
        <v>238</v>
      </c>
      <c r="FC1339" s="1" t="s">
        <v>238</v>
      </c>
      <c r="FF1339" s="1" t="s">
        <v>239</v>
      </c>
      <c r="FG1339" s="1" t="s">
        <v>192</v>
      </c>
      <c r="FH1339" s="1" t="s">
        <v>192</v>
      </c>
      <c r="FJ1339" s="1" t="s">
        <v>561</v>
      </c>
      <c r="FK1339" s="1" t="s">
        <v>229</v>
      </c>
      <c r="FL1339" s="1" t="s">
        <v>456</v>
      </c>
      <c r="FM1339" s="1">
        <v>23156.0</v>
      </c>
      <c r="FN1339" s="1" t="s">
        <v>2553</v>
      </c>
      <c r="FO1339" s="1" t="s">
        <v>14024</v>
      </c>
      <c r="FP1339" s="1">
        <v>233258.0</v>
      </c>
      <c r="FQ1339" s="1" t="s">
        <v>14025</v>
      </c>
      <c r="FR1339" s="1">
        <v>227656.0</v>
      </c>
      <c r="FS1339" s="1" t="s">
        <v>14026</v>
      </c>
      <c r="FU1339" s="1" t="s">
        <v>14027</v>
      </c>
      <c r="FV1339" s="1" t="s">
        <v>200</v>
      </c>
      <c r="FW1339" s="1" t="s">
        <v>1411</v>
      </c>
      <c r="FZ1339" s="1" t="s">
        <v>229</v>
      </c>
      <c r="GA1339" s="1" t="s">
        <v>291</v>
      </c>
      <c r="GB1339" s="2">
        <v>42139.0</v>
      </c>
      <c r="GC1339" s="1" t="s">
        <v>14028</v>
      </c>
    </row>
    <row r="1340">
      <c r="A1340" s="1">
        <v>175000.0</v>
      </c>
      <c r="B1340" s="1" t="s">
        <v>185</v>
      </c>
      <c r="C1340" s="1" t="str">
        <f>"08865439"</f>
        <v>08865439</v>
      </c>
      <c r="D1340" s="1" t="s">
        <v>186</v>
      </c>
      <c r="F1340" s="1" t="str">
        <f>"8070"</f>
        <v>8070</v>
      </c>
      <c r="G1340" s="2">
        <v>42081.0</v>
      </c>
      <c r="H1340" s="1">
        <v>143900.0</v>
      </c>
      <c r="I1340" s="1">
        <v>6.0</v>
      </c>
      <c r="J1340" s="1">
        <v>143900.0</v>
      </c>
      <c r="K1340" s="2">
        <v>42086.0</v>
      </c>
      <c r="L1340" s="1">
        <v>6.0</v>
      </c>
      <c r="M1340" s="2">
        <v>42086.0</v>
      </c>
      <c r="N1340" s="1" t="s">
        <v>356</v>
      </c>
      <c r="O1340" s="2">
        <v>42144.0</v>
      </c>
      <c r="P1340" s="1">
        <v>606542.0</v>
      </c>
      <c r="Q1340" s="1">
        <v>60120.0</v>
      </c>
      <c r="S1340" s="1">
        <v>7938.0</v>
      </c>
      <c r="T1340" s="1" t="s">
        <v>3654</v>
      </c>
      <c r="U1340" s="1" t="s">
        <v>189</v>
      </c>
      <c r="V1340" s="1" t="s">
        <v>190</v>
      </c>
      <c r="W1340" s="1">
        <v>60652.0</v>
      </c>
      <c r="Y1340" s="1" t="s">
        <v>14029</v>
      </c>
      <c r="Z1340" s="1" t="s">
        <v>296</v>
      </c>
      <c r="AA1340" s="1" t="s">
        <v>192</v>
      </c>
      <c r="AB1340" s="1" t="s">
        <v>193</v>
      </c>
      <c r="AC1340" s="1" t="s">
        <v>14030</v>
      </c>
      <c r="AD1340" s="1" t="s">
        <v>194</v>
      </c>
      <c r="AE1340" s="1" t="s">
        <v>195</v>
      </c>
      <c r="AF1340" s="1" t="s">
        <v>659</v>
      </c>
      <c r="AG1340" s="1" t="s">
        <v>4963</v>
      </c>
      <c r="AH1340" s="1" t="s">
        <v>14031</v>
      </c>
      <c r="AI1340" s="1">
        <v>0.123</v>
      </c>
      <c r="AK1340" s="1">
        <v>9.0</v>
      </c>
      <c r="AL1340" s="1">
        <v>4.0</v>
      </c>
      <c r="AM1340" s="1">
        <v>1.0</v>
      </c>
      <c r="AN1340" s="1">
        <v>1.0</v>
      </c>
      <c r="AO1340" s="1" t="s">
        <v>229</v>
      </c>
      <c r="AP1340" s="1">
        <v>0.0</v>
      </c>
      <c r="AQ1340" s="1" t="s">
        <v>198</v>
      </c>
      <c r="AR1340" s="1" t="s">
        <v>200</v>
      </c>
      <c r="AS1340" s="1" t="s">
        <v>199</v>
      </c>
      <c r="AT1340" s="1">
        <v>1.0</v>
      </c>
      <c r="AV1340" s="1" t="s">
        <v>200</v>
      </c>
      <c r="AW1340" s="1">
        <v>2804.28</v>
      </c>
      <c r="AX1340" s="1">
        <v>2013.0</v>
      </c>
      <c r="AY1340" s="1" t="s">
        <v>229</v>
      </c>
      <c r="AZ1340" s="1" t="s">
        <v>200</v>
      </c>
      <c r="BA1340" s="1" t="str">
        <f>"19342000390000"</f>
        <v>19342000390000</v>
      </c>
      <c r="BB1340" s="1" t="s">
        <v>200</v>
      </c>
      <c r="BC1340" s="1">
        <v>1800.0</v>
      </c>
      <c r="BD1340" s="1">
        <v>175000.0</v>
      </c>
      <c r="BE1340" s="2">
        <v>42081.0</v>
      </c>
      <c r="BF1340" s="2" t="s">
        <v>14032</v>
      </c>
      <c r="BH1340" s="1">
        <v>0.0</v>
      </c>
      <c r="BK1340" s="1" t="s">
        <v>204</v>
      </c>
      <c r="BL1340" s="1" t="str">
        <f t="shared" ref="BL1340:BM1340" si="884">"0"</f>
        <v>0</v>
      </c>
      <c r="BM1340" s="1" t="str">
        <f t="shared" si="884"/>
        <v>0</v>
      </c>
      <c r="BN1340" s="1">
        <v>4100.0</v>
      </c>
      <c r="BO1340" s="1">
        <v>7938.0</v>
      </c>
      <c r="BQ1340" s="1">
        <v>299.0</v>
      </c>
      <c r="BR1340" s="1">
        <v>299.0</v>
      </c>
      <c r="BS1340" s="1">
        <v>299.0</v>
      </c>
      <c r="BU1340" s="1" t="s">
        <v>270</v>
      </c>
      <c r="BV1340" s="1" t="s">
        <v>206</v>
      </c>
      <c r="BW1340" s="1" t="s">
        <v>207</v>
      </c>
      <c r="BY1340" s="1" t="s">
        <v>363</v>
      </c>
      <c r="BZ1340" s="1" t="s">
        <v>206</v>
      </c>
      <c r="CA1340" s="1" t="s">
        <v>207</v>
      </c>
      <c r="CC1340" s="1" t="s">
        <v>264</v>
      </c>
      <c r="CD1340" s="1" t="s">
        <v>206</v>
      </c>
      <c r="CE1340" s="1" t="s">
        <v>207</v>
      </c>
      <c r="CF1340" s="1" t="s">
        <v>229</v>
      </c>
      <c r="CG1340" s="1" t="s">
        <v>1352</v>
      </c>
      <c r="CH1340" s="1" t="s">
        <v>209</v>
      </c>
      <c r="CI1340" s="1" t="s">
        <v>207</v>
      </c>
      <c r="CK1340" s="1" t="s">
        <v>1352</v>
      </c>
      <c r="CL1340" s="1" t="s">
        <v>209</v>
      </c>
      <c r="CM1340" s="1" t="s">
        <v>207</v>
      </c>
      <c r="CO1340" s="1" t="s">
        <v>269</v>
      </c>
      <c r="CP1340" s="1" t="s">
        <v>209</v>
      </c>
      <c r="CQ1340" s="1" t="s">
        <v>207</v>
      </c>
      <c r="CS1340" s="1" t="s">
        <v>1519</v>
      </c>
      <c r="CT1340" s="1" t="s">
        <v>206</v>
      </c>
      <c r="CU1340" s="1" t="s">
        <v>268</v>
      </c>
      <c r="CW1340" s="1" t="s">
        <v>1398</v>
      </c>
      <c r="CX1340" s="1" t="s">
        <v>42</v>
      </c>
      <c r="CY1340" s="1" t="s">
        <v>588</v>
      </c>
      <c r="CZ1340" s="1" t="s">
        <v>229</v>
      </c>
      <c r="DA1340" s="1" t="s">
        <v>200</v>
      </c>
      <c r="DC1340" s="1" t="s">
        <v>545</v>
      </c>
      <c r="DD1340" s="1" t="s">
        <v>518</v>
      </c>
      <c r="DE1340" s="1" t="s">
        <v>273</v>
      </c>
      <c r="DF1340" s="1" t="s">
        <v>219</v>
      </c>
      <c r="DG1340" s="1" t="s">
        <v>337</v>
      </c>
      <c r="DH1340" s="1" t="s">
        <v>365</v>
      </c>
      <c r="DI1340" s="1" t="s">
        <v>831</v>
      </c>
      <c r="DJ1340" s="1" t="s">
        <v>222</v>
      </c>
      <c r="DK1340" s="1" t="s">
        <v>3740</v>
      </c>
      <c r="DL1340" s="1" t="s">
        <v>224</v>
      </c>
      <c r="DM1340" s="1" t="s">
        <v>1402</v>
      </c>
      <c r="DO1340" s="1" t="s">
        <v>549</v>
      </c>
      <c r="DQ1340" s="1" t="s">
        <v>718</v>
      </c>
      <c r="DR1340" s="1" t="s">
        <v>229</v>
      </c>
      <c r="DS1340" s="1" t="s">
        <v>230</v>
      </c>
      <c r="DU1340" s="1" t="s">
        <v>1331</v>
      </c>
      <c r="DV1340" s="1" t="s">
        <v>598</v>
      </c>
      <c r="DW1340" s="1" t="s">
        <v>279</v>
      </c>
      <c r="DX1340" s="1" t="s">
        <v>234</v>
      </c>
      <c r="DY1340" s="1" t="s">
        <v>987</v>
      </c>
      <c r="DZ1340" s="1" t="s">
        <v>282</v>
      </c>
      <c r="EA1340" s="1" t="s">
        <v>283</v>
      </c>
      <c r="EC1340" s="1" t="s">
        <v>284</v>
      </c>
      <c r="EG1340" s="1" t="s">
        <v>598</v>
      </c>
      <c r="EL1340" s="1" t="s">
        <v>663</v>
      </c>
      <c r="EM1340" s="1" t="s">
        <v>42</v>
      </c>
      <c r="EN1340" s="1" t="s">
        <v>617</v>
      </c>
      <c r="EO1340" s="1" t="s">
        <v>229</v>
      </c>
      <c r="EQ1340" s="1" t="s">
        <v>238</v>
      </c>
      <c r="EU1340" s="1" t="s">
        <v>238</v>
      </c>
      <c r="EY1340" s="1" t="s">
        <v>238</v>
      </c>
      <c r="FC1340" s="1" t="s">
        <v>238</v>
      </c>
      <c r="FF1340" s="1" t="s">
        <v>239</v>
      </c>
      <c r="FG1340" s="1" t="s">
        <v>200</v>
      </c>
      <c r="FH1340" s="1" t="s">
        <v>192</v>
      </c>
      <c r="FJ1340" s="1" t="s">
        <v>2262</v>
      </c>
      <c r="FK1340" s="1" t="s">
        <v>229</v>
      </c>
      <c r="FL1340" s="1" t="s">
        <v>14033</v>
      </c>
      <c r="FM1340" s="1">
        <v>14039.0</v>
      </c>
      <c r="FN1340" s="1" t="s">
        <v>14034</v>
      </c>
      <c r="FO1340" s="1" t="s">
        <v>3567</v>
      </c>
      <c r="FP1340" s="1">
        <v>183771.0</v>
      </c>
      <c r="FQ1340" s="1" t="s">
        <v>3568</v>
      </c>
      <c r="FU1340" s="1" t="s">
        <v>14035</v>
      </c>
      <c r="FV1340" s="1" t="s">
        <v>200</v>
      </c>
      <c r="FW1340" s="1" t="s">
        <v>530</v>
      </c>
      <c r="FX1340" s="1" t="s">
        <v>655</v>
      </c>
      <c r="FZ1340" s="1" t="s">
        <v>504</v>
      </c>
      <c r="GA1340" s="1" t="s">
        <v>291</v>
      </c>
      <c r="GB1340" s="2">
        <v>42150.0</v>
      </c>
      <c r="GC1340" s="1" t="s">
        <v>14036</v>
      </c>
    </row>
    <row r="1341">
      <c r="A1341" s="1">
        <v>178000.0</v>
      </c>
      <c r="B1341" s="1" t="s">
        <v>185</v>
      </c>
      <c r="C1341" s="1" t="str">
        <f>"08867987"</f>
        <v>08867987</v>
      </c>
      <c r="D1341" s="1" t="s">
        <v>186</v>
      </c>
      <c r="F1341" s="1" t="str">
        <f>"123"</f>
        <v>123</v>
      </c>
      <c r="G1341" s="2">
        <v>42083.0</v>
      </c>
      <c r="H1341" s="1">
        <v>179900.0</v>
      </c>
      <c r="I1341" s="1">
        <v>4.0</v>
      </c>
      <c r="J1341" s="1">
        <v>179900.0</v>
      </c>
      <c r="K1341" s="2">
        <v>42086.0</v>
      </c>
      <c r="L1341" s="1">
        <v>4.0</v>
      </c>
      <c r="M1341" s="2">
        <v>42086.0</v>
      </c>
      <c r="N1341" s="1" t="s">
        <v>187</v>
      </c>
      <c r="O1341" s="2">
        <v>42121.0</v>
      </c>
      <c r="P1341" s="1">
        <v>2161.0</v>
      </c>
      <c r="Q1341" s="1">
        <v>7450.0</v>
      </c>
      <c r="S1341" s="1">
        <v>761.0</v>
      </c>
      <c r="T1341" s="1" t="s">
        <v>14037</v>
      </c>
      <c r="U1341" s="1" t="s">
        <v>189</v>
      </c>
      <c r="V1341" s="1" t="s">
        <v>465</v>
      </c>
      <c r="W1341" s="1">
        <v>60123.0</v>
      </c>
      <c r="Y1341" s="1" t="s">
        <v>14038</v>
      </c>
      <c r="Z1341" s="1">
        <v>1963.0</v>
      </c>
      <c r="AA1341" s="1" t="s">
        <v>192</v>
      </c>
      <c r="AB1341" s="1" t="s">
        <v>193</v>
      </c>
      <c r="AC1341" s="1" t="s">
        <v>14039</v>
      </c>
      <c r="AD1341" s="1" t="s">
        <v>469</v>
      </c>
      <c r="AE1341" s="1" t="s">
        <v>325</v>
      </c>
      <c r="AF1341" s="1" t="s">
        <v>469</v>
      </c>
      <c r="AG1341" s="1" t="s">
        <v>874</v>
      </c>
      <c r="AH1341" s="1" t="s">
        <v>14040</v>
      </c>
      <c r="AI1341" s="1">
        <v>0.253</v>
      </c>
      <c r="AK1341" s="1">
        <v>9.0</v>
      </c>
      <c r="AL1341" s="1">
        <v>3.0</v>
      </c>
      <c r="AM1341" s="1">
        <v>2.0</v>
      </c>
      <c r="AN1341" s="1">
        <v>1.0</v>
      </c>
      <c r="AO1341" s="1" t="s">
        <v>2068</v>
      </c>
      <c r="AP1341" s="1">
        <v>1.0</v>
      </c>
      <c r="AQ1341" s="1" t="s">
        <v>198</v>
      </c>
      <c r="AR1341" s="1" t="s">
        <v>192</v>
      </c>
      <c r="AS1341" s="1" t="s">
        <v>199</v>
      </c>
      <c r="AT1341" s="1">
        <v>2.5</v>
      </c>
      <c r="AV1341" s="1" t="s">
        <v>200</v>
      </c>
      <c r="AW1341" s="1">
        <v>3494.3</v>
      </c>
      <c r="AX1341" s="1">
        <v>2013.0</v>
      </c>
      <c r="AY1341" s="1" t="s">
        <v>1917</v>
      </c>
      <c r="AZ1341" s="1" t="s">
        <v>200</v>
      </c>
      <c r="BA1341" s="1" t="str">
        <f>"0610302002"</f>
        <v>0610302002</v>
      </c>
      <c r="BB1341" s="1" t="s">
        <v>200</v>
      </c>
      <c r="BC1341" s="1">
        <v>1550.0</v>
      </c>
      <c r="BD1341" s="1">
        <v>178000.0</v>
      </c>
      <c r="BE1341" s="2">
        <v>42083.0</v>
      </c>
      <c r="BF1341" s="2" t="s">
        <v>14041</v>
      </c>
      <c r="BH1341" s="1">
        <v>0.0</v>
      </c>
      <c r="BJ1341" s="1" t="s">
        <v>675</v>
      </c>
      <c r="BK1341" s="1" t="s">
        <v>204</v>
      </c>
      <c r="BL1341" s="1" t="str">
        <f t="shared" ref="BL1341:BM1341" si="885">""</f>
        <v/>
      </c>
      <c r="BM1341" s="1" t="str">
        <f t="shared" si="885"/>
        <v/>
      </c>
      <c r="BQ1341" s="1">
        <v>46.0</v>
      </c>
      <c r="BR1341" s="1">
        <v>46.0</v>
      </c>
      <c r="BS1341" s="1">
        <v>46.0</v>
      </c>
      <c r="BU1341" s="1" t="s">
        <v>208</v>
      </c>
      <c r="BV1341" s="1" t="s">
        <v>206</v>
      </c>
      <c r="BW1341" s="1" t="s">
        <v>210</v>
      </c>
      <c r="BX1341" s="1" t="s">
        <v>239</v>
      </c>
      <c r="BY1341" s="1" t="s">
        <v>454</v>
      </c>
      <c r="BZ1341" s="1" t="s">
        <v>206</v>
      </c>
      <c r="CA1341" s="1" t="s">
        <v>210</v>
      </c>
      <c r="CB1341" s="1" t="s">
        <v>239</v>
      </c>
      <c r="CC1341" s="1" t="s">
        <v>375</v>
      </c>
      <c r="CD1341" s="1" t="s">
        <v>206</v>
      </c>
      <c r="CE1341" s="1" t="s">
        <v>210</v>
      </c>
      <c r="CF1341" s="1" t="s">
        <v>239</v>
      </c>
      <c r="CG1341" s="1" t="s">
        <v>212</v>
      </c>
      <c r="CH1341" s="1" t="s">
        <v>206</v>
      </c>
      <c r="CI1341" s="1" t="s">
        <v>210</v>
      </c>
      <c r="CJ1341" s="1" t="s">
        <v>239</v>
      </c>
      <c r="CK1341" s="1" t="s">
        <v>264</v>
      </c>
      <c r="CL1341" s="1" t="s">
        <v>206</v>
      </c>
      <c r="CM1341" s="1" t="s">
        <v>210</v>
      </c>
      <c r="CN1341" s="1" t="s">
        <v>239</v>
      </c>
      <c r="CO1341" s="1" t="s">
        <v>264</v>
      </c>
      <c r="CP1341" s="1" t="s">
        <v>42</v>
      </c>
      <c r="CQ1341" s="1" t="s">
        <v>210</v>
      </c>
      <c r="CS1341" s="1" t="s">
        <v>265</v>
      </c>
      <c r="CT1341" s="1" t="s">
        <v>206</v>
      </c>
      <c r="CU1341" s="1" t="s">
        <v>617</v>
      </c>
      <c r="CV1341" s="1" t="s">
        <v>239</v>
      </c>
      <c r="CW1341" s="1" t="s">
        <v>784</v>
      </c>
      <c r="CX1341" s="1" t="s">
        <v>42</v>
      </c>
      <c r="CY1341" s="1" t="s">
        <v>210</v>
      </c>
      <c r="DA1341" s="1" t="s">
        <v>200</v>
      </c>
      <c r="DC1341" s="1" t="s">
        <v>271</v>
      </c>
      <c r="DD1341" s="1" t="s">
        <v>306</v>
      </c>
      <c r="DE1341" s="1" t="s">
        <v>273</v>
      </c>
      <c r="DF1341" s="1" t="s">
        <v>219</v>
      </c>
      <c r="DH1341" s="1" t="s">
        <v>220</v>
      </c>
      <c r="DI1341" s="1" t="s">
        <v>1223</v>
      </c>
      <c r="DJ1341" s="1" t="s">
        <v>222</v>
      </c>
      <c r="DK1341" s="1" t="s">
        <v>223</v>
      </c>
      <c r="DL1341" s="1" t="s">
        <v>224</v>
      </c>
      <c r="DM1341" s="1" t="s">
        <v>338</v>
      </c>
      <c r="DO1341" s="1" t="s">
        <v>486</v>
      </c>
      <c r="DP1341" s="1" t="s">
        <v>340</v>
      </c>
      <c r="DQ1341" s="1" t="s">
        <v>441</v>
      </c>
      <c r="DR1341" s="1" t="s">
        <v>229</v>
      </c>
      <c r="DV1341" s="1" t="s">
        <v>14042</v>
      </c>
      <c r="DW1341" s="1" t="s">
        <v>934</v>
      </c>
      <c r="DX1341" s="1" t="s">
        <v>309</v>
      </c>
      <c r="DY1341" s="1" t="s">
        <v>553</v>
      </c>
      <c r="DZ1341" s="1" t="s">
        <v>7055</v>
      </c>
      <c r="EA1341" s="1" t="s">
        <v>683</v>
      </c>
      <c r="EB1341" s="1" t="s">
        <v>345</v>
      </c>
      <c r="EC1341" s="1" t="s">
        <v>685</v>
      </c>
      <c r="ED1341" s="1" t="s">
        <v>407</v>
      </c>
      <c r="EE1341" s="1" t="s">
        <v>493</v>
      </c>
      <c r="EG1341" s="1" t="s">
        <v>451</v>
      </c>
      <c r="EH1341" s="1" t="s">
        <v>408</v>
      </c>
      <c r="EJ1341" s="1" t="s">
        <v>1102</v>
      </c>
      <c r="EL1341" s="1" t="s">
        <v>700</v>
      </c>
      <c r="EM1341" s="1" t="s">
        <v>42</v>
      </c>
      <c r="EN1341" s="1" t="s">
        <v>210</v>
      </c>
      <c r="EP1341" s="1" t="s">
        <v>6563</v>
      </c>
      <c r="EQ1341" s="1" t="s">
        <v>206</v>
      </c>
      <c r="ER1341" s="1" t="s">
        <v>210</v>
      </c>
      <c r="EU1341" s="1" t="s">
        <v>238</v>
      </c>
      <c r="EX1341" s="1" t="s">
        <v>1158</v>
      </c>
      <c r="EY1341" s="1" t="s">
        <v>206</v>
      </c>
      <c r="EZ1341" s="1" t="s">
        <v>210</v>
      </c>
      <c r="FC1341" s="1" t="s">
        <v>238</v>
      </c>
      <c r="FF1341" s="1" t="s">
        <v>239</v>
      </c>
      <c r="FG1341" s="1" t="s">
        <v>192</v>
      </c>
      <c r="FH1341" s="1" t="s">
        <v>192</v>
      </c>
      <c r="FJ1341" s="1" t="s">
        <v>498</v>
      </c>
      <c r="FK1341" s="1" t="s">
        <v>229</v>
      </c>
      <c r="FL1341" s="1" t="s">
        <v>625</v>
      </c>
      <c r="FM1341" s="1">
        <v>37.0</v>
      </c>
      <c r="FN1341" s="1" t="s">
        <v>626</v>
      </c>
      <c r="FO1341" s="1" t="s">
        <v>627</v>
      </c>
      <c r="FP1341" s="1">
        <v>77100.0</v>
      </c>
      <c r="FQ1341" s="1" t="s">
        <v>628</v>
      </c>
      <c r="FR1341" s="1">
        <v>164.0</v>
      </c>
      <c r="FS1341" s="1" t="s">
        <v>629</v>
      </c>
      <c r="FU1341" s="1" t="s">
        <v>14043</v>
      </c>
      <c r="FV1341" s="1" t="s">
        <v>200</v>
      </c>
      <c r="FW1341" s="1" t="s">
        <v>290</v>
      </c>
      <c r="FZ1341" s="1" t="s">
        <v>632</v>
      </c>
      <c r="GA1341" s="1" t="s">
        <v>291</v>
      </c>
      <c r="GB1341" s="2">
        <v>42122.0</v>
      </c>
      <c r="GC1341" s="1" t="s">
        <v>14044</v>
      </c>
    </row>
    <row r="1342">
      <c r="A1342" s="1">
        <v>93200.0</v>
      </c>
      <c r="B1342" s="1" t="s">
        <v>185</v>
      </c>
      <c r="C1342" s="1" t="str">
        <f>"08858716"</f>
        <v>08858716</v>
      </c>
      <c r="D1342" s="1" t="s">
        <v>186</v>
      </c>
      <c r="F1342" s="1" t="str">
        <f>"8048"</f>
        <v>8048</v>
      </c>
      <c r="G1342" s="2">
        <v>42074.0</v>
      </c>
      <c r="H1342" s="1">
        <v>89400.0</v>
      </c>
      <c r="I1342" s="1">
        <v>291.0</v>
      </c>
      <c r="J1342" s="1">
        <v>89400.0</v>
      </c>
      <c r="K1342" s="2">
        <v>42097.0</v>
      </c>
      <c r="L1342" s="1">
        <v>24.0</v>
      </c>
      <c r="M1342" s="2">
        <v>42097.0</v>
      </c>
      <c r="N1342" s="1" t="s">
        <v>187</v>
      </c>
      <c r="O1342" s="2">
        <v>42139.0</v>
      </c>
      <c r="P1342" s="1">
        <v>501194.0</v>
      </c>
      <c r="Q1342" s="1">
        <v>51720.0</v>
      </c>
      <c r="S1342" s="1">
        <v>9132.0</v>
      </c>
      <c r="T1342" s="1" t="s">
        <v>635</v>
      </c>
      <c r="U1342" s="1" t="s">
        <v>189</v>
      </c>
      <c r="V1342" s="1" t="s">
        <v>190</v>
      </c>
      <c r="W1342" s="1">
        <v>60617.0</v>
      </c>
      <c r="Y1342" s="1" t="s">
        <v>14045</v>
      </c>
      <c r="Z1342" s="1">
        <v>1951.0</v>
      </c>
      <c r="AA1342" s="1" t="s">
        <v>192</v>
      </c>
      <c r="AB1342" s="1" t="s">
        <v>193</v>
      </c>
      <c r="AD1342" s="1" t="s">
        <v>194</v>
      </c>
      <c r="AE1342" s="1" t="s">
        <v>195</v>
      </c>
      <c r="AF1342" s="1" t="s">
        <v>637</v>
      </c>
      <c r="AH1342" s="1" t="s">
        <v>359</v>
      </c>
      <c r="AI1342" s="1">
        <v>0.089</v>
      </c>
      <c r="AK1342" s="1">
        <v>8.0</v>
      </c>
      <c r="AL1342" s="1">
        <v>3.0</v>
      </c>
      <c r="AM1342" s="1">
        <v>2.0</v>
      </c>
      <c r="AN1342" s="1">
        <v>0.0</v>
      </c>
      <c r="AO1342" s="1" t="s">
        <v>229</v>
      </c>
      <c r="AQ1342" s="1" t="s">
        <v>198</v>
      </c>
      <c r="AR1342" s="1" t="s">
        <v>192</v>
      </c>
      <c r="AS1342" s="1" t="s">
        <v>229</v>
      </c>
      <c r="AV1342" s="1" t="s">
        <v>200</v>
      </c>
      <c r="AW1342" s="1">
        <v>1728.0</v>
      </c>
      <c r="AX1342" s="1">
        <v>2013.0</v>
      </c>
      <c r="AZ1342" s="1" t="s">
        <v>200</v>
      </c>
      <c r="BA1342" s="1" t="str">
        <f>"25014000620000"</f>
        <v>25014000620000</v>
      </c>
      <c r="BC1342" s="1">
        <v>0.0</v>
      </c>
      <c r="BD1342" s="1">
        <v>93200.0</v>
      </c>
      <c r="BE1342" s="2">
        <v>42074.0</v>
      </c>
      <c r="BF1342" s="2" t="s">
        <v>14046</v>
      </c>
      <c r="BH1342" s="1">
        <v>0.0</v>
      </c>
      <c r="BK1342" s="1" t="s">
        <v>204</v>
      </c>
      <c r="BL1342" s="1" t="str">
        <f>"0"</f>
        <v>0</v>
      </c>
      <c r="BM1342" s="1" t="str">
        <f>"2100"</f>
        <v>2100</v>
      </c>
      <c r="BN1342" s="1">
        <v>0.0</v>
      </c>
      <c r="BO1342" s="1">
        <v>9132.0</v>
      </c>
      <c r="BQ1342" s="1">
        <v>299.0</v>
      </c>
      <c r="BR1342" s="1">
        <v>299.0</v>
      </c>
      <c r="BS1342" s="1">
        <v>299.0</v>
      </c>
      <c r="BU1342" s="1" t="s">
        <v>541</v>
      </c>
      <c r="BV1342" s="1" t="s">
        <v>206</v>
      </c>
      <c r="BW1342" s="1" t="s">
        <v>210</v>
      </c>
      <c r="BX1342" s="1" t="s">
        <v>431</v>
      </c>
      <c r="BY1342" s="1" t="s">
        <v>363</v>
      </c>
      <c r="BZ1342" s="1" t="s">
        <v>206</v>
      </c>
      <c r="CA1342" s="1" t="s">
        <v>207</v>
      </c>
      <c r="CB1342" s="1" t="s">
        <v>431</v>
      </c>
      <c r="CD1342" s="1" t="s">
        <v>204</v>
      </c>
      <c r="CG1342" s="1" t="s">
        <v>699</v>
      </c>
      <c r="CH1342" s="1" t="s">
        <v>206</v>
      </c>
      <c r="CI1342" s="1" t="s">
        <v>207</v>
      </c>
      <c r="CJ1342" s="1" t="s">
        <v>431</v>
      </c>
      <c r="CK1342" s="1" t="s">
        <v>363</v>
      </c>
      <c r="CL1342" s="1" t="s">
        <v>206</v>
      </c>
      <c r="CM1342" s="1" t="s">
        <v>210</v>
      </c>
      <c r="CN1342" s="1" t="s">
        <v>431</v>
      </c>
      <c r="CO1342" s="1" t="s">
        <v>393</v>
      </c>
      <c r="CP1342" s="1" t="s">
        <v>42</v>
      </c>
      <c r="CS1342" s="1" t="s">
        <v>700</v>
      </c>
      <c r="CT1342" s="1" t="s">
        <v>206</v>
      </c>
      <c r="CU1342" s="1" t="s">
        <v>301</v>
      </c>
      <c r="CV1342" s="1" t="s">
        <v>431</v>
      </c>
      <c r="CW1342" s="1" t="s">
        <v>14047</v>
      </c>
      <c r="CX1342" s="1" t="s">
        <v>42</v>
      </c>
      <c r="DA1342" s="1" t="s">
        <v>200</v>
      </c>
      <c r="DC1342" s="1" t="s">
        <v>702</v>
      </c>
      <c r="DD1342" s="1" t="s">
        <v>306</v>
      </c>
      <c r="DE1342" s="1" t="s">
        <v>273</v>
      </c>
      <c r="DF1342" s="1" t="s">
        <v>905</v>
      </c>
      <c r="DH1342" s="1" t="s">
        <v>365</v>
      </c>
      <c r="DJ1342" s="1" t="s">
        <v>222</v>
      </c>
      <c r="DL1342" s="1" t="s">
        <v>224</v>
      </c>
      <c r="DM1342" s="1" t="s">
        <v>398</v>
      </c>
      <c r="DQ1342" s="1" t="s">
        <v>228</v>
      </c>
      <c r="DR1342" s="1" t="s">
        <v>229</v>
      </c>
      <c r="DV1342" s="1" t="s">
        <v>1407</v>
      </c>
      <c r="DW1342" s="1" t="s">
        <v>279</v>
      </c>
      <c r="DX1342" s="1" t="s">
        <v>234</v>
      </c>
      <c r="DY1342" s="1" t="s">
        <v>14048</v>
      </c>
      <c r="EC1342" s="1" t="s">
        <v>685</v>
      </c>
      <c r="EG1342" s="1" t="s">
        <v>1407</v>
      </c>
      <c r="EL1342" s="1" t="s">
        <v>4046</v>
      </c>
      <c r="EM1342" s="1" t="s">
        <v>42</v>
      </c>
      <c r="EN1342" s="1" t="s">
        <v>268</v>
      </c>
      <c r="EQ1342" s="1" t="s">
        <v>238</v>
      </c>
      <c r="EU1342" s="1" t="s">
        <v>238</v>
      </c>
      <c r="EY1342" s="1" t="s">
        <v>238</v>
      </c>
      <c r="FC1342" s="1" t="s">
        <v>238</v>
      </c>
      <c r="FF1342" s="1" t="s">
        <v>239</v>
      </c>
      <c r="FG1342" s="1" t="s">
        <v>192</v>
      </c>
      <c r="FH1342" s="1" t="s">
        <v>192</v>
      </c>
      <c r="FJ1342" s="1" t="s">
        <v>1248</v>
      </c>
      <c r="FK1342" s="1" t="s">
        <v>229</v>
      </c>
      <c r="FL1342" s="1" t="s">
        <v>734</v>
      </c>
      <c r="FM1342" s="1">
        <v>10646.0</v>
      </c>
      <c r="FN1342" s="1" t="s">
        <v>735</v>
      </c>
      <c r="FO1342" s="1" t="s">
        <v>5446</v>
      </c>
      <c r="FP1342" s="1">
        <v>166674.0</v>
      </c>
      <c r="FQ1342" s="1" t="s">
        <v>5447</v>
      </c>
      <c r="FR1342" s="1">
        <v>130124.0</v>
      </c>
      <c r="FU1342" s="1" t="s">
        <v>1438</v>
      </c>
      <c r="FV1342" s="1" t="s">
        <v>200</v>
      </c>
      <c r="FW1342" s="1" t="s">
        <v>1307</v>
      </c>
      <c r="FX1342" s="1" t="s">
        <v>655</v>
      </c>
      <c r="FZ1342" s="1" t="s">
        <v>229</v>
      </c>
      <c r="GA1342" s="1" t="s">
        <v>291</v>
      </c>
      <c r="GB1342" s="2">
        <v>42142.0</v>
      </c>
      <c r="GC1342" s="1" t="s">
        <v>14049</v>
      </c>
    </row>
    <row r="1343">
      <c r="A1343" s="1">
        <v>162000.0</v>
      </c>
      <c r="B1343" s="1" t="s">
        <v>185</v>
      </c>
      <c r="C1343" s="1" t="str">
        <f>"08859384"</f>
        <v>08859384</v>
      </c>
      <c r="D1343" s="1" t="s">
        <v>186</v>
      </c>
      <c r="F1343" s="1" t="str">
        <f>"545"</f>
        <v>545</v>
      </c>
      <c r="G1343" s="2">
        <v>42075.0</v>
      </c>
      <c r="H1343" s="1">
        <v>164900.0</v>
      </c>
      <c r="I1343" s="1">
        <v>3.0</v>
      </c>
      <c r="J1343" s="1">
        <v>164900.0</v>
      </c>
      <c r="K1343" s="2">
        <v>42077.0</v>
      </c>
      <c r="L1343" s="1">
        <v>3.0</v>
      </c>
      <c r="M1343" s="2">
        <v>42077.0</v>
      </c>
      <c r="N1343" s="1" t="s">
        <v>187</v>
      </c>
      <c r="O1343" s="2">
        <v>42109.0</v>
      </c>
      <c r="P1343" s="1">
        <v>222327.0</v>
      </c>
      <c r="Q1343" s="1">
        <v>24695.0</v>
      </c>
      <c r="S1343" s="1">
        <v>3616.0</v>
      </c>
      <c r="T1343" s="1" t="s">
        <v>14050</v>
      </c>
      <c r="U1343" s="1" t="s">
        <v>420</v>
      </c>
      <c r="V1343" s="1" t="s">
        <v>3364</v>
      </c>
      <c r="W1343" s="1">
        <v>60545.0</v>
      </c>
      <c r="Y1343" s="1" t="s">
        <v>14051</v>
      </c>
      <c r="Z1343" s="1">
        <v>2004.0</v>
      </c>
      <c r="AA1343" s="1" t="s">
        <v>200</v>
      </c>
      <c r="AB1343" s="1" t="s">
        <v>193</v>
      </c>
      <c r="AC1343" s="1" t="s">
        <v>14052</v>
      </c>
      <c r="AD1343" s="1" t="s">
        <v>3366</v>
      </c>
      <c r="AE1343" s="1" t="s">
        <v>849</v>
      </c>
      <c r="AF1343" s="1" t="s">
        <v>3367</v>
      </c>
      <c r="AG1343" s="1" t="s">
        <v>10320</v>
      </c>
      <c r="AH1343" s="1" t="s">
        <v>14053</v>
      </c>
      <c r="AI1343" s="1">
        <v>0.3196</v>
      </c>
      <c r="AK1343" s="1">
        <v>9.0</v>
      </c>
      <c r="AL1343" s="1">
        <v>4.0</v>
      </c>
      <c r="AM1343" s="1">
        <v>3.0</v>
      </c>
      <c r="AN1343" s="1">
        <v>1.0</v>
      </c>
      <c r="AO1343" s="1" t="s">
        <v>198</v>
      </c>
      <c r="AQ1343" s="1" t="s">
        <v>198</v>
      </c>
      <c r="AR1343" s="1" t="s">
        <v>192</v>
      </c>
      <c r="AS1343" s="1" t="s">
        <v>199</v>
      </c>
      <c r="AT1343" s="1">
        <v>2.0</v>
      </c>
      <c r="AV1343" s="1" t="s">
        <v>200</v>
      </c>
      <c r="AW1343" s="1">
        <v>6151.02</v>
      </c>
      <c r="AX1343" s="1">
        <v>2013.0</v>
      </c>
      <c r="AZ1343" s="1" t="s">
        <v>192</v>
      </c>
      <c r="BA1343" s="1" t="str">
        <f>"0125141001"</f>
        <v>0125141001</v>
      </c>
      <c r="BC1343" s="1">
        <v>2072.0</v>
      </c>
      <c r="BD1343" s="1">
        <v>162000.0</v>
      </c>
      <c r="BE1343" s="2">
        <v>42075.0</v>
      </c>
      <c r="BF1343" s="2" t="s">
        <v>14054</v>
      </c>
      <c r="BH1343" s="1">
        <v>35.0</v>
      </c>
      <c r="BK1343" s="1" t="s">
        <v>474</v>
      </c>
      <c r="BL1343" s="1" t="str">
        <f t="shared" ref="BL1343:BM1343" si="886">""</f>
        <v/>
      </c>
      <c r="BM1343" s="1" t="str">
        <f t="shared" si="886"/>
        <v/>
      </c>
      <c r="BQ1343" s="1">
        <v>88.0</v>
      </c>
      <c r="BR1343" s="1">
        <v>88.0</v>
      </c>
      <c r="BS1343" s="1">
        <v>88.0</v>
      </c>
      <c r="BU1343" s="1" t="s">
        <v>454</v>
      </c>
      <c r="BV1343" s="1" t="s">
        <v>206</v>
      </c>
      <c r="BW1343" s="1" t="s">
        <v>210</v>
      </c>
      <c r="BY1343" s="1" t="s">
        <v>664</v>
      </c>
      <c r="BZ1343" s="1" t="s">
        <v>209</v>
      </c>
      <c r="CA1343" s="1" t="s">
        <v>210</v>
      </c>
      <c r="CC1343" s="1" t="s">
        <v>758</v>
      </c>
      <c r="CD1343" s="1" t="s">
        <v>206</v>
      </c>
      <c r="CE1343" s="1" t="s">
        <v>207</v>
      </c>
      <c r="CG1343" s="1" t="s">
        <v>264</v>
      </c>
      <c r="CH1343" s="1" t="s">
        <v>209</v>
      </c>
      <c r="CI1343" s="1" t="s">
        <v>210</v>
      </c>
      <c r="CK1343" s="1" t="s">
        <v>264</v>
      </c>
      <c r="CL1343" s="1" t="s">
        <v>209</v>
      </c>
      <c r="CM1343" s="1" t="s">
        <v>210</v>
      </c>
      <c r="CO1343" s="1" t="s">
        <v>392</v>
      </c>
      <c r="CP1343" s="1" t="s">
        <v>209</v>
      </c>
      <c r="CQ1343" s="1" t="s">
        <v>210</v>
      </c>
      <c r="CS1343" s="1" t="s">
        <v>4180</v>
      </c>
      <c r="CT1343" s="1" t="s">
        <v>206</v>
      </c>
      <c r="CU1343" s="1" t="s">
        <v>617</v>
      </c>
      <c r="CW1343" s="1" t="s">
        <v>616</v>
      </c>
      <c r="CX1343" s="1" t="s">
        <v>206</v>
      </c>
      <c r="CY1343" s="1" t="s">
        <v>210</v>
      </c>
      <c r="DA1343" s="1" t="s">
        <v>200</v>
      </c>
      <c r="DC1343" s="1" t="s">
        <v>335</v>
      </c>
      <c r="DD1343" s="1" t="s">
        <v>436</v>
      </c>
      <c r="DE1343" s="1" t="s">
        <v>273</v>
      </c>
      <c r="DF1343" s="1" t="s">
        <v>219</v>
      </c>
      <c r="DH1343" s="1" t="s">
        <v>220</v>
      </c>
      <c r="DI1343" s="1" t="s">
        <v>14055</v>
      </c>
      <c r="DJ1343" s="1" t="s">
        <v>222</v>
      </c>
      <c r="DL1343" s="1" t="s">
        <v>858</v>
      </c>
      <c r="DM1343" s="1" t="s">
        <v>338</v>
      </c>
      <c r="DO1343" s="1" t="s">
        <v>1979</v>
      </c>
      <c r="DP1343" s="1" t="s">
        <v>340</v>
      </c>
      <c r="DQ1343" s="1" t="s">
        <v>441</v>
      </c>
      <c r="DR1343" s="1" t="s">
        <v>2593</v>
      </c>
      <c r="DV1343" s="1" t="s">
        <v>450</v>
      </c>
      <c r="DW1343" s="1" t="s">
        <v>233</v>
      </c>
      <c r="DX1343" s="1" t="s">
        <v>234</v>
      </c>
      <c r="DY1343" s="1" t="s">
        <v>3075</v>
      </c>
      <c r="EC1343" s="1" t="s">
        <v>237</v>
      </c>
      <c r="EG1343" s="1" t="s">
        <v>450</v>
      </c>
      <c r="EL1343" s="1" t="s">
        <v>877</v>
      </c>
      <c r="EM1343" s="1" t="s">
        <v>42</v>
      </c>
      <c r="EQ1343" s="1" t="s">
        <v>238</v>
      </c>
      <c r="EU1343" s="1" t="s">
        <v>238</v>
      </c>
      <c r="EY1343" s="1" t="s">
        <v>238</v>
      </c>
      <c r="FC1343" s="1" t="s">
        <v>238</v>
      </c>
      <c r="FF1343" s="1" t="s">
        <v>239</v>
      </c>
      <c r="FG1343" s="1" t="s">
        <v>192</v>
      </c>
      <c r="FH1343" s="1" t="s">
        <v>192</v>
      </c>
      <c r="FJ1343" s="1" t="s">
        <v>3062</v>
      </c>
      <c r="FK1343" s="1" t="s">
        <v>229</v>
      </c>
      <c r="FL1343" s="1" t="s">
        <v>1007</v>
      </c>
      <c r="FM1343" s="1">
        <v>22588.0</v>
      </c>
      <c r="FN1343" s="1" t="s">
        <v>1321</v>
      </c>
      <c r="FO1343" s="1" t="s">
        <v>14056</v>
      </c>
      <c r="FP1343" s="1">
        <v>233740.0</v>
      </c>
      <c r="FQ1343" s="1" t="s">
        <v>14057</v>
      </c>
      <c r="FU1343" s="1" t="s">
        <v>9618</v>
      </c>
      <c r="FV1343" s="1" t="s">
        <v>200</v>
      </c>
      <c r="FW1343" s="1" t="s">
        <v>2754</v>
      </c>
      <c r="FZ1343" s="1" t="s">
        <v>229</v>
      </c>
      <c r="GA1343" s="1" t="s">
        <v>291</v>
      </c>
      <c r="GB1343" s="2">
        <v>42109.0</v>
      </c>
    </row>
    <row r="1344">
      <c r="A1344" s="1">
        <v>225000.0</v>
      </c>
      <c r="B1344" s="1" t="s">
        <v>185</v>
      </c>
      <c r="C1344" s="1" t="str">
        <f>"08859167"</f>
        <v>08859167</v>
      </c>
      <c r="D1344" s="1" t="s">
        <v>186</v>
      </c>
      <c r="F1344" s="1" t="str">
        <f>"8043"</f>
        <v>8043</v>
      </c>
      <c r="G1344" s="2">
        <v>42075.0</v>
      </c>
      <c r="H1344" s="1">
        <v>234900.0</v>
      </c>
      <c r="I1344" s="1">
        <v>1.0</v>
      </c>
      <c r="J1344" s="1">
        <v>234900.0</v>
      </c>
      <c r="K1344" s="2">
        <v>42075.0</v>
      </c>
      <c r="L1344" s="1">
        <v>1.0</v>
      </c>
      <c r="M1344" s="2">
        <v>42075.0</v>
      </c>
      <c r="N1344" s="1" t="s">
        <v>356</v>
      </c>
      <c r="O1344" s="2">
        <v>42137.0</v>
      </c>
      <c r="P1344" s="1">
        <v>183399.0</v>
      </c>
      <c r="Q1344" s="1">
        <v>85134.0</v>
      </c>
      <c r="S1344" s="1">
        <v>7723.0</v>
      </c>
      <c r="T1344" s="1" t="s">
        <v>2411</v>
      </c>
      <c r="U1344" s="1" t="s">
        <v>189</v>
      </c>
      <c r="V1344" s="1" t="s">
        <v>190</v>
      </c>
      <c r="W1344" s="1">
        <v>60649.0</v>
      </c>
      <c r="X1344" s="1">
        <v>4113.0</v>
      </c>
      <c r="Y1344" s="1" t="s">
        <v>14058</v>
      </c>
      <c r="Z1344" s="1">
        <v>1937.0</v>
      </c>
      <c r="AA1344" s="1" t="s">
        <v>192</v>
      </c>
      <c r="AB1344" s="1" t="s">
        <v>193</v>
      </c>
      <c r="AD1344" s="1" t="s">
        <v>194</v>
      </c>
      <c r="AE1344" s="1" t="s">
        <v>195</v>
      </c>
      <c r="AF1344" s="1" t="s">
        <v>637</v>
      </c>
      <c r="AH1344" s="1" t="s">
        <v>14059</v>
      </c>
      <c r="AI1344" s="1">
        <v>0.1012</v>
      </c>
      <c r="AK1344" s="1">
        <v>8.0</v>
      </c>
      <c r="AL1344" s="1">
        <v>4.0</v>
      </c>
      <c r="AM1344" s="1">
        <v>2.0</v>
      </c>
      <c r="AN1344" s="1">
        <v>2.0</v>
      </c>
      <c r="AO1344" s="1" t="s">
        <v>198</v>
      </c>
      <c r="AP1344" s="1">
        <v>1.0</v>
      </c>
      <c r="AQ1344" s="1" t="s">
        <v>198</v>
      </c>
      <c r="AR1344" s="1" t="s">
        <v>192</v>
      </c>
      <c r="AS1344" s="1" t="s">
        <v>199</v>
      </c>
      <c r="AT1344" s="1">
        <v>1.0</v>
      </c>
      <c r="AV1344" s="1" t="s">
        <v>200</v>
      </c>
      <c r="AW1344" s="1">
        <v>2380.13</v>
      </c>
      <c r="AX1344" s="1">
        <v>2013.0</v>
      </c>
      <c r="AY1344" s="1" t="s">
        <v>387</v>
      </c>
      <c r="AZ1344" s="1" t="s">
        <v>200</v>
      </c>
      <c r="BA1344" s="1" t="str">
        <f>"20254200070000"</f>
        <v>20254200070000</v>
      </c>
      <c r="BC1344" s="1">
        <v>1488.0</v>
      </c>
      <c r="BD1344" s="1">
        <v>225000.0</v>
      </c>
      <c r="BE1344" s="2">
        <v>42075.0</v>
      </c>
      <c r="BF1344" s="2" t="s">
        <v>14060</v>
      </c>
      <c r="BH1344" s="1">
        <v>0.0</v>
      </c>
      <c r="BK1344" s="1" t="s">
        <v>204</v>
      </c>
      <c r="BL1344" s="1" t="str">
        <f t="shared" ref="BL1344:BL1345" si="887">"0"</f>
        <v>0</v>
      </c>
      <c r="BM1344" s="1" t="str">
        <f>"2200"</f>
        <v>2200</v>
      </c>
      <c r="BN1344" s="1">
        <v>0.0</v>
      </c>
      <c r="BO1344" s="1">
        <v>7723.0</v>
      </c>
      <c r="BQ1344" s="1">
        <v>299.0</v>
      </c>
      <c r="BR1344" s="1">
        <v>299.0</v>
      </c>
      <c r="BS1344" s="1">
        <v>299.0</v>
      </c>
      <c r="BU1344" s="1" t="s">
        <v>434</v>
      </c>
      <c r="BV1344" s="1" t="s">
        <v>206</v>
      </c>
      <c r="BW1344" s="1" t="s">
        <v>207</v>
      </c>
      <c r="BY1344" s="1" t="s">
        <v>783</v>
      </c>
      <c r="BZ1344" s="1" t="s">
        <v>209</v>
      </c>
      <c r="CA1344" s="1" t="s">
        <v>210</v>
      </c>
      <c r="CC1344" s="1" t="s">
        <v>215</v>
      </c>
      <c r="CD1344" s="1" t="s">
        <v>206</v>
      </c>
      <c r="CE1344" s="1" t="s">
        <v>207</v>
      </c>
      <c r="CG1344" s="1" t="s">
        <v>262</v>
      </c>
      <c r="CH1344" s="1" t="s">
        <v>209</v>
      </c>
      <c r="CI1344" s="1" t="s">
        <v>210</v>
      </c>
      <c r="CK1344" s="1" t="s">
        <v>392</v>
      </c>
      <c r="CL1344" s="1" t="s">
        <v>209</v>
      </c>
      <c r="CM1344" s="1" t="s">
        <v>210</v>
      </c>
      <c r="CO1344" s="1" t="s">
        <v>264</v>
      </c>
      <c r="CP1344" s="1" t="s">
        <v>206</v>
      </c>
      <c r="CQ1344" s="1" t="s">
        <v>207</v>
      </c>
      <c r="CS1344" s="1" t="s">
        <v>433</v>
      </c>
      <c r="CT1344" s="1" t="s">
        <v>206</v>
      </c>
      <c r="CU1344" s="1" t="s">
        <v>207</v>
      </c>
      <c r="CW1344" s="1" t="s">
        <v>2861</v>
      </c>
      <c r="CX1344" s="1" t="s">
        <v>42</v>
      </c>
      <c r="CY1344" s="1" t="s">
        <v>268</v>
      </c>
      <c r="DA1344" s="1" t="s">
        <v>200</v>
      </c>
      <c r="DC1344" s="1" t="s">
        <v>1399</v>
      </c>
      <c r="DE1344" s="1" t="s">
        <v>273</v>
      </c>
      <c r="DF1344" s="1" t="s">
        <v>219</v>
      </c>
      <c r="DG1344" s="1" t="s">
        <v>337</v>
      </c>
      <c r="DH1344" s="1" t="s">
        <v>365</v>
      </c>
      <c r="DI1344" s="1" t="s">
        <v>366</v>
      </c>
      <c r="DJ1344" s="1" t="s">
        <v>222</v>
      </c>
      <c r="DL1344" s="1" t="s">
        <v>1161</v>
      </c>
      <c r="DM1344" s="1" t="s">
        <v>1464</v>
      </c>
      <c r="DN1344" s="1" t="s">
        <v>399</v>
      </c>
      <c r="DO1344" s="1" t="s">
        <v>549</v>
      </c>
      <c r="DP1344" s="1" t="s">
        <v>340</v>
      </c>
      <c r="DQ1344" s="1" t="s">
        <v>794</v>
      </c>
      <c r="DR1344" s="1" t="s">
        <v>229</v>
      </c>
      <c r="DS1344" s="1" t="s">
        <v>401</v>
      </c>
      <c r="DU1344" s="1" t="s">
        <v>487</v>
      </c>
      <c r="DV1344" s="1" t="s">
        <v>10630</v>
      </c>
      <c r="DW1344" s="1" t="s">
        <v>279</v>
      </c>
      <c r="DX1344" s="1" t="s">
        <v>234</v>
      </c>
      <c r="DY1344" s="1" t="s">
        <v>553</v>
      </c>
      <c r="DZ1344" s="1" t="s">
        <v>282</v>
      </c>
      <c r="EB1344" s="1" t="s">
        <v>345</v>
      </c>
      <c r="EC1344" s="1" t="s">
        <v>237</v>
      </c>
      <c r="ED1344" s="1" t="s">
        <v>407</v>
      </c>
      <c r="EE1344" s="1" t="s">
        <v>493</v>
      </c>
      <c r="EG1344" s="1" t="s">
        <v>408</v>
      </c>
      <c r="EH1344" s="1" t="s">
        <v>1103</v>
      </c>
      <c r="EL1344" s="1" t="s">
        <v>558</v>
      </c>
      <c r="EM1344" s="1" t="s">
        <v>206</v>
      </c>
      <c r="EN1344" s="1" t="s">
        <v>207</v>
      </c>
      <c r="EP1344" s="1" t="s">
        <v>12606</v>
      </c>
      <c r="EQ1344" s="1" t="s">
        <v>42</v>
      </c>
      <c r="EU1344" s="1" t="s">
        <v>238</v>
      </c>
      <c r="EY1344" s="1" t="s">
        <v>238</v>
      </c>
      <c r="FC1344" s="1" t="s">
        <v>238</v>
      </c>
      <c r="FF1344" s="1" t="s">
        <v>239</v>
      </c>
      <c r="FG1344" s="1" t="s">
        <v>192</v>
      </c>
      <c r="FH1344" s="1" t="s">
        <v>192</v>
      </c>
      <c r="FJ1344" s="1" t="s">
        <v>770</v>
      </c>
      <c r="FK1344" s="1" t="s">
        <v>229</v>
      </c>
      <c r="FL1344" s="1" t="s">
        <v>3358</v>
      </c>
      <c r="FM1344" s="1">
        <v>84818.0</v>
      </c>
      <c r="FN1344" s="1" t="s">
        <v>3359</v>
      </c>
      <c r="FO1344" s="1" t="s">
        <v>5619</v>
      </c>
      <c r="FP1344" s="1">
        <v>162070.0</v>
      </c>
      <c r="FQ1344" s="1" t="s">
        <v>5620</v>
      </c>
      <c r="FR1344" s="1">
        <v>841730.0</v>
      </c>
      <c r="FU1344" s="1" t="s">
        <v>5621</v>
      </c>
      <c r="FV1344" s="1" t="s">
        <v>192</v>
      </c>
      <c r="FW1344" s="1" t="s">
        <v>530</v>
      </c>
      <c r="FX1344" s="1" t="s">
        <v>655</v>
      </c>
      <c r="FZ1344" s="1" t="s">
        <v>229</v>
      </c>
      <c r="GA1344" s="1" t="s">
        <v>291</v>
      </c>
      <c r="GB1344" s="2">
        <v>42137.0</v>
      </c>
      <c r="GC1344" s="1" t="s">
        <v>5622</v>
      </c>
    </row>
    <row r="1345">
      <c r="A1345" s="1">
        <v>390000.0</v>
      </c>
      <c r="B1345" s="1" t="s">
        <v>185</v>
      </c>
      <c r="C1345" s="1" t="str">
        <f>"08859716"</f>
        <v>08859716</v>
      </c>
      <c r="D1345" s="1" t="s">
        <v>186</v>
      </c>
      <c r="F1345" s="1" t="str">
        <f>"554"</f>
        <v>554</v>
      </c>
      <c r="G1345" s="2">
        <v>42075.0</v>
      </c>
      <c r="H1345" s="1">
        <v>409900.0</v>
      </c>
      <c r="I1345" s="1">
        <v>22.0</v>
      </c>
      <c r="J1345" s="1">
        <v>409900.0</v>
      </c>
      <c r="K1345" s="2">
        <v>42095.0</v>
      </c>
      <c r="L1345" s="1">
        <v>22.0</v>
      </c>
      <c r="M1345" s="2">
        <v>42095.0</v>
      </c>
      <c r="N1345" s="1" t="s">
        <v>187</v>
      </c>
      <c r="O1345" s="2">
        <v>42144.0</v>
      </c>
      <c r="P1345" s="1">
        <v>233740.0</v>
      </c>
      <c r="Q1345" s="1">
        <v>22588.0</v>
      </c>
      <c r="S1345" s="1">
        <v>711.0</v>
      </c>
      <c r="T1345" s="1" t="s">
        <v>14061</v>
      </c>
      <c r="U1345" s="1" t="s">
        <v>464</v>
      </c>
      <c r="V1345" s="1" t="s">
        <v>2212</v>
      </c>
      <c r="W1345" s="1">
        <v>60554.0</v>
      </c>
      <c r="Y1345" s="1" t="s">
        <v>14062</v>
      </c>
      <c r="Z1345" s="1">
        <v>2005.0</v>
      </c>
      <c r="AA1345" s="1" t="s">
        <v>200</v>
      </c>
      <c r="AB1345" s="1" t="s">
        <v>467</v>
      </c>
      <c r="AC1345" s="1" t="s">
        <v>10791</v>
      </c>
      <c r="AD1345" s="1" t="s">
        <v>1887</v>
      </c>
      <c r="AE1345" s="1" t="s">
        <v>325</v>
      </c>
      <c r="AF1345" s="1" t="s">
        <v>1887</v>
      </c>
      <c r="AH1345" s="1" t="s">
        <v>14063</v>
      </c>
      <c r="AK1345" s="1">
        <v>9.0</v>
      </c>
      <c r="AL1345" s="1">
        <v>4.0</v>
      </c>
      <c r="AM1345" s="1">
        <v>2.0</v>
      </c>
      <c r="AN1345" s="1">
        <v>1.0</v>
      </c>
      <c r="AO1345" s="1" t="s">
        <v>198</v>
      </c>
      <c r="AP1345" s="1">
        <v>1.0</v>
      </c>
      <c r="AQ1345" s="1" t="s">
        <v>951</v>
      </c>
      <c r="AR1345" s="1" t="s">
        <v>200</v>
      </c>
      <c r="AS1345" s="1" t="s">
        <v>199</v>
      </c>
      <c r="AT1345" s="1">
        <v>3.0</v>
      </c>
      <c r="AV1345" s="1" t="s">
        <v>200</v>
      </c>
      <c r="AW1345" s="6">
        <v>11814.0</v>
      </c>
      <c r="AX1345" s="1">
        <v>2013.0</v>
      </c>
      <c r="AY1345" s="1" t="s">
        <v>387</v>
      </c>
      <c r="AZ1345" s="1" t="s">
        <v>200</v>
      </c>
      <c r="BA1345" s="1" t="str">
        <f>"1410127015"</f>
        <v>1410127015</v>
      </c>
      <c r="BC1345" s="1">
        <v>3200.0</v>
      </c>
      <c r="BD1345" s="1">
        <v>390000.0</v>
      </c>
      <c r="BE1345" s="2">
        <v>42074.0</v>
      </c>
      <c r="BF1345" s="2" t="s">
        <v>14064</v>
      </c>
      <c r="BH1345" s="1">
        <v>400.0</v>
      </c>
      <c r="BK1345" s="1" t="s">
        <v>580</v>
      </c>
      <c r="BL1345" s="1" t="str">
        <f t="shared" si="887"/>
        <v>0</v>
      </c>
      <c r="BM1345" s="1" t="str">
        <f t="shared" ref="BM1345:BM1347" si="888">"0"</f>
        <v>0</v>
      </c>
      <c r="BN1345" s="1">
        <v>41.0</v>
      </c>
      <c r="BO1345" s="1">
        <v>5.0</v>
      </c>
      <c r="BQ1345" s="1">
        <v>302.0</v>
      </c>
      <c r="BR1345" s="1">
        <v>302.0</v>
      </c>
      <c r="BS1345" s="1">
        <v>302.0</v>
      </c>
      <c r="BU1345" s="1" t="s">
        <v>433</v>
      </c>
      <c r="BV1345" s="1" t="s">
        <v>206</v>
      </c>
      <c r="BW1345" s="1" t="s">
        <v>207</v>
      </c>
      <c r="BX1345" s="1" t="s">
        <v>261</v>
      </c>
      <c r="BY1345" s="1" t="s">
        <v>1600</v>
      </c>
      <c r="BZ1345" s="1" t="s">
        <v>209</v>
      </c>
      <c r="CA1345" s="1" t="s">
        <v>210</v>
      </c>
      <c r="CB1345" s="1" t="s">
        <v>431</v>
      </c>
      <c r="CC1345" s="1" t="s">
        <v>329</v>
      </c>
      <c r="CD1345" s="1" t="s">
        <v>206</v>
      </c>
      <c r="CE1345" s="1" t="s">
        <v>207</v>
      </c>
      <c r="CF1345" s="1" t="s">
        <v>261</v>
      </c>
      <c r="CG1345" s="1" t="s">
        <v>331</v>
      </c>
      <c r="CH1345" s="1" t="s">
        <v>209</v>
      </c>
      <c r="CI1345" s="1" t="s">
        <v>210</v>
      </c>
      <c r="CJ1345" s="1" t="s">
        <v>261</v>
      </c>
      <c r="CK1345" s="1" t="s">
        <v>331</v>
      </c>
      <c r="CL1345" s="1" t="s">
        <v>209</v>
      </c>
      <c r="CM1345" s="1" t="s">
        <v>210</v>
      </c>
      <c r="CN1345" s="1" t="s">
        <v>261</v>
      </c>
      <c r="CO1345" s="1" t="s">
        <v>212</v>
      </c>
      <c r="CP1345" s="1" t="s">
        <v>209</v>
      </c>
      <c r="CQ1345" s="1" t="s">
        <v>210</v>
      </c>
      <c r="CR1345" s="1" t="s">
        <v>261</v>
      </c>
      <c r="CS1345" s="1" t="s">
        <v>2442</v>
      </c>
      <c r="CT1345" s="1" t="s">
        <v>206</v>
      </c>
      <c r="CU1345" s="1" t="s">
        <v>268</v>
      </c>
      <c r="CV1345" s="1" t="s">
        <v>431</v>
      </c>
      <c r="CW1345" s="1" t="s">
        <v>477</v>
      </c>
      <c r="CX1345" s="1" t="s">
        <v>206</v>
      </c>
      <c r="CY1345" s="1" t="s">
        <v>207</v>
      </c>
      <c r="CZ1345" s="1" t="s">
        <v>261</v>
      </c>
      <c r="DA1345" s="1" t="s">
        <v>200</v>
      </c>
      <c r="DC1345" s="1" t="s">
        <v>481</v>
      </c>
      <c r="DD1345" s="1" t="s">
        <v>272</v>
      </c>
      <c r="DE1345" s="1" t="s">
        <v>273</v>
      </c>
      <c r="DF1345" s="1" t="s">
        <v>219</v>
      </c>
      <c r="DG1345" s="1" t="s">
        <v>14065</v>
      </c>
      <c r="DH1345" s="1" t="s">
        <v>220</v>
      </c>
      <c r="DI1345" s="1" t="s">
        <v>732</v>
      </c>
      <c r="DJ1345" s="1" t="s">
        <v>222</v>
      </c>
      <c r="DK1345" s="1" t="s">
        <v>223</v>
      </c>
      <c r="DL1345" s="1" t="s">
        <v>2220</v>
      </c>
      <c r="DM1345" s="1" t="s">
        <v>338</v>
      </c>
      <c r="DN1345" s="1" t="s">
        <v>399</v>
      </c>
      <c r="DP1345" s="1" t="s">
        <v>340</v>
      </c>
      <c r="DQ1345" s="1" t="s">
        <v>228</v>
      </c>
      <c r="DR1345" s="1" t="s">
        <v>588</v>
      </c>
      <c r="DS1345" s="1" t="s">
        <v>591</v>
      </c>
      <c r="DU1345" s="1" t="s">
        <v>13573</v>
      </c>
      <c r="DV1345" s="1" t="s">
        <v>494</v>
      </c>
      <c r="DW1345" s="1" t="s">
        <v>764</v>
      </c>
      <c r="DX1345" s="1" t="s">
        <v>234</v>
      </c>
      <c r="DY1345" s="1" t="s">
        <v>490</v>
      </c>
      <c r="DZ1345" s="1" t="s">
        <v>1490</v>
      </c>
      <c r="EA1345" s="1" t="s">
        <v>344</v>
      </c>
      <c r="EB1345" s="1" t="s">
        <v>492</v>
      </c>
      <c r="EC1345" s="1" t="s">
        <v>237</v>
      </c>
      <c r="ED1345" s="1" t="s">
        <v>407</v>
      </c>
      <c r="EE1345" s="1" t="s">
        <v>493</v>
      </c>
      <c r="EG1345" s="1" t="s">
        <v>494</v>
      </c>
      <c r="EL1345" s="1" t="s">
        <v>433</v>
      </c>
      <c r="EM1345" s="1" t="s">
        <v>206</v>
      </c>
      <c r="EN1345" s="1" t="s">
        <v>210</v>
      </c>
      <c r="EO1345" s="1" t="s">
        <v>431</v>
      </c>
      <c r="EQ1345" s="1" t="s">
        <v>238</v>
      </c>
      <c r="EU1345" s="1" t="s">
        <v>238</v>
      </c>
      <c r="EY1345" s="1" t="s">
        <v>238</v>
      </c>
      <c r="FC1345" s="1" t="s">
        <v>238</v>
      </c>
      <c r="FF1345" s="1" t="s">
        <v>239</v>
      </c>
      <c r="FG1345" s="1" t="s">
        <v>192</v>
      </c>
      <c r="FH1345" s="1" t="s">
        <v>192</v>
      </c>
      <c r="FJ1345" s="1" t="s">
        <v>9424</v>
      </c>
      <c r="FK1345" s="1" t="s">
        <v>229</v>
      </c>
      <c r="FL1345" s="1" t="s">
        <v>14066</v>
      </c>
      <c r="FM1345" s="1">
        <v>23290.0</v>
      </c>
      <c r="FN1345" s="1" t="s">
        <v>14067</v>
      </c>
      <c r="FO1345" s="1" t="s">
        <v>14068</v>
      </c>
      <c r="FP1345" s="1">
        <v>231081.0</v>
      </c>
      <c r="FQ1345" s="1" t="s">
        <v>14069</v>
      </c>
      <c r="FU1345" s="1" t="s">
        <v>14070</v>
      </c>
      <c r="FV1345" s="1" t="s">
        <v>200</v>
      </c>
      <c r="FW1345" s="1" t="s">
        <v>530</v>
      </c>
      <c r="FZ1345" s="1" t="s">
        <v>229</v>
      </c>
      <c r="GA1345" s="1" t="s">
        <v>291</v>
      </c>
      <c r="GB1345" s="2">
        <v>42144.0</v>
      </c>
      <c r="GC1345" s="1" t="s">
        <v>14071</v>
      </c>
    </row>
    <row r="1346">
      <c r="A1346" s="1">
        <v>295000.0</v>
      </c>
      <c r="B1346" s="1" t="s">
        <v>185</v>
      </c>
      <c r="C1346" s="1" t="str">
        <f>"08858970"</f>
        <v>08858970</v>
      </c>
      <c r="D1346" s="1" t="s">
        <v>186</v>
      </c>
      <c r="F1346" s="1" t="str">
        <f>"8011"</f>
        <v>8011</v>
      </c>
      <c r="G1346" s="2">
        <v>42074.0</v>
      </c>
      <c r="H1346" s="1">
        <v>289000.0</v>
      </c>
      <c r="I1346" s="1">
        <v>65.0</v>
      </c>
      <c r="J1346" s="1">
        <v>289000.0</v>
      </c>
      <c r="K1346" s="2">
        <v>42080.0</v>
      </c>
      <c r="L1346" s="1">
        <v>7.0</v>
      </c>
      <c r="M1346" s="2">
        <v>42080.0</v>
      </c>
      <c r="N1346" s="1" t="s">
        <v>356</v>
      </c>
      <c r="O1346" s="2">
        <v>42123.0</v>
      </c>
      <c r="P1346" s="1">
        <v>846704.0</v>
      </c>
      <c r="Q1346" s="1">
        <v>14470.0</v>
      </c>
      <c r="S1346" s="1">
        <v>5249.0</v>
      </c>
      <c r="T1346" s="1" t="s">
        <v>12779</v>
      </c>
      <c r="U1346" s="1" t="s">
        <v>189</v>
      </c>
      <c r="V1346" s="1" t="s">
        <v>190</v>
      </c>
      <c r="W1346" s="1">
        <v>60630.0</v>
      </c>
      <c r="Y1346" s="1" t="s">
        <v>14072</v>
      </c>
      <c r="Z1346" s="1">
        <v>1925.0</v>
      </c>
      <c r="AA1346" s="1" t="s">
        <v>192</v>
      </c>
      <c r="AB1346" s="1" t="s">
        <v>193</v>
      </c>
      <c r="AD1346" s="1" t="s">
        <v>194</v>
      </c>
      <c r="AE1346" s="1" t="s">
        <v>195</v>
      </c>
      <c r="AF1346" s="1" t="s">
        <v>196</v>
      </c>
      <c r="AH1346" s="1" t="s">
        <v>779</v>
      </c>
      <c r="AI1346" s="1">
        <v>0.0854</v>
      </c>
      <c r="AK1346" s="1">
        <v>8.0</v>
      </c>
      <c r="AL1346" s="1">
        <v>4.0</v>
      </c>
      <c r="AM1346" s="1">
        <v>1.0</v>
      </c>
      <c r="AN1346" s="1">
        <v>1.0</v>
      </c>
      <c r="AO1346" s="1" t="s">
        <v>229</v>
      </c>
      <c r="AQ1346" s="1" t="s">
        <v>198</v>
      </c>
      <c r="AR1346" s="1" t="s">
        <v>192</v>
      </c>
      <c r="AS1346" s="1" t="s">
        <v>199</v>
      </c>
      <c r="AT1346" s="1">
        <v>2.0</v>
      </c>
      <c r="AV1346" s="1" t="s">
        <v>200</v>
      </c>
      <c r="AW1346" s="1">
        <v>1257.73</v>
      </c>
      <c r="AX1346" s="1">
        <v>2013.0</v>
      </c>
      <c r="AY1346" s="1" t="s">
        <v>3108</v>
      </c>
      <c r="AZ1346" s="1" t="s">
        <v>200</v>
      </c>
      <c r="BA1346" s="1" t="str">
        <f>"13091160040000"</f>
        <v>13091160040000</v>
      </c>
      <c r="BC1346" s="1">
        <v>1630.0</v>
      </c>
      <c r="BD1346" s="1">
        <v>295000.0</v>
      </c>
      <c r="BE1346" s="2">
        <v>42074.0</v>
      </c>
      <c r="BF1346" s="1" t="s">
        <v>14073</v>
      </c>
      <c r="BH1346" s="1">
        <v>0.0</v>
      </c>
      <c r="BK1346" s="1" t="s">
        <v>204</v>
      </c>
      <c r="BL1346" s="1" t="str">
        <f>"5249"</f>
        <v>5249</v>
      </c>
      <c r="BM1346" s="1" t="str">
        <f t="shared" si="888"/>
        <v>0</v>
      </c>
      <c r="BN1346" s="1">
        <v>5300.0</v>
      </c>
      <c r="BO1346" s="1">
        <v>0.0</v>
      </c>
      <c r="BQ1346" s="1">
        <v>299.0</v>
      </c>
      <c r="BR1346" s="1">
        <v>299.0</v>
      </c>
      <c r="BS1346" s="1">
        <v>299.0</v>
      </c>
      <c r="BU1346" s="1" t="s">
        <v>616</v>
      </c>
      <c r="BV1346" s="1" t="s">
        <v>206</v>
      </c>
      <c r="BW1346" s="1" t="s">
        <v>210</v>
      </c>
      <c r="BY1346" s="1" t="s">
        <v>2166</v>
      </c>
      <c r="BZ1346" s="1" t="s">
        <v>206</v>
      </c>
      <c r="CA1346" s="1" t="s">
        <v>207</v>
      </c>
      <c r="CC1346" s="1" t="s">
        <v>478</v>
      </c>
      <c r="CD1346" s="1" t="s">
        <v>206</v>
      </c>
      <c r="CE1346" s="1" t="s">
        <v>210</v>
      </c>
      <c r="CG1346" s="1" t="s">
        <v>1426</v>
      </c>
      <c r="CH1346" s="1" t="s">
        <v>209</v>
      </c>
      <c r="CI1346" s="1" t="s">
        <v>210</v>
      </c>
      <c r="CK1346" s="1" t="s">
        <v>211</v>
      </c>
      <c r="CL1346" s="1" t="s">
        <v>209</v>
      </c>
      <c r="CM1346" s="1" t="s">
        <v>210</v>
      </c>
      <c r="CO1346" s="1" t="s">
        <v>269</v>
      </c>
      <c r="CP1346" s="1" t="s">
        <v>209</v>
      </c>
      <c r="CQ1346" s="1" t="s">
        <v>207</v>
      </c>
      <c r="CS1346" s="1" t="s">
        <v>2505</v>
      </c>
      <c r="CT1346" s="1" t="s">
        <v>206</v>
      </c>
      <c r="CU1346" s="1" t="s">
        <v>617</v>
      </c>
      <c r="CW1346" s="1" t="s">
        <v>475</v>
      </c>
      <c r="CX1346" s="1" t="s">
        <v>206</v>
      </c>
      <c r="CY1346" s="1" t="s">
        <v>207</v>
      </c>
      <c r="DA1346" s="1" t="s">
        <v>200</v>
      </c>
      <c r="DC1346" s="1" t="s">
        <v>785</v>
      </c>
      <c r="DD1346" s="1" t="s">
        <v>518</v>
      </c>
      <c r="DE1346" s="1" t="s">
        <v>273</v>
      </c>
      <c r="DF1346" s="1" t="s">
        <v>219</v>
      </c>
      <c r="DH1346" s="1" t="s">
        <v>365</v>
      </c>
      <c r="DI1346" s="1" t="s">
        <v>1401</v>
      </c>
      <c r="DJ1346" s="1" t="s">
        <v>222</v>
      </c>
      <c r="DL1346" s="1" t="s">
        <v>224</v>
      </c>
      <c r="DM1346" s="1" t="s">
        <v>229</v>
      </c>
      <c r="DP1346" s="1" t="s">
        <v>340</v>
      </c>
      <c r="DQ1346" s="1" t="s">
        <v>794</v>
      </c>
      <c r="DR1346" s="1" t="s">
        <v>229</v>
      </c>
      <c r="DS1346" s="1" t="s">
        <v>277</v>
      </c>
      <c r="DV1346" s="1" t="s">
        <v>232</v>
      </c>
      <c r="DW1346" s="1" t="s">
        <v>279</v>
      </c>
      <c r="DX1346" s="1" t="s">
        <v>234</v>
      </c>
      <c r="EA1346" s="1" t="s">
        <v>644</v>
      </c>
      <c r="EC1346" s="1" t="s">
        <v>645</v>
      </c>
      <c r="EM1346" s="1" t="s">
        <v>238</v>
      </c>
      <c r="EQ1346" s="1" t="s">
        <v>238</v>
      </c>
      <c r="EU1346" s="1" t="s">
        <v>238</v>
      </c>
      <c r="EY1346" s="1" t="s">
        <v>238</v>
      </c>
      <c r="FC1346" s="1" t="s">
        <v>238</v>
      </c>
      <c r="FF1346" s="1" t="s">
        <v>239</v>
      </c>
      <c r="FG1346" s="1" t="s">
        <v>192</v>
      </c>
      <c r="FH1346" s="1" t="s">
        <v>192</v>
      </c>
      <c r="FJ1346" s="1" t="s">
        <v>561</v>
      </c>
      <c r="FK1346" s="1" t="s">
        <v>229</v>
      </c>
      <c r="FL1346" s="1" t="s">
        <v>1124</v>
      </c>
      <c r="FM1346" s="1">
        <v>10267.0</v>
      </c>
      <c r="FN1346" s="1" t="s">
        <v>3908</v>
      </c>
      <c r="FO1346" s="1" t="s">
        <v>14074</v>
      </c>
      <c r="FP1346" s="1">
        <v>121472.0</v>
      </c>
      <c r="FQ1346" s="1" t="s">
        <v>14075</v>
      </c>
      <c r="FU1346" s="1" t="s">
        <v>14076</v>
      </c>
      <c r="FV1346" s="1" t="s">
        <v>200</v>
      </c>
      <c r="FW1346" s="1" t="s">
        <v>567</v>
      </c>
      <c r="FX1346" s="1" t="s">
        <v>238</v>
      </c>
      <c r="FZ1346" s="1" t="s">
        <v>229</v>
      </c>
      <c r="GA1346" s="1" t="s">
        <v>291</v>
      </c>
      <c r="GB1346" s="2">
        <v>42129.0</v>
      </c>
    </row>
    <row r="1347">
      <c r="A1347" s="1">
        <v>1189000.0</v>
      </c>
      <c r="B1347" s="1" t="s">
        <v>185</v>
      </c>
      <c r="C1347" s="1" t="str">
        <f>"08866573"</f>
        <v>08866573</v>
      </c>
      <c r="D1347" s="1" t="s">
        <v>186</v>
      </c>
      <c r="F1347" s="1" t="str">
        <f>"8024"</f>
        <v>8024</v>
      </c>
      <c r="G1347" s="2">
        <v>42082.0</v>
      </c>
      <c r="H1347" s="1">
        <v>1199000.0</v>
      </c>
      <c r="I1347" s="1">
        <v>4.0</v>
      </c>
      <c r="J1347" s="1">
        <v>1199000.0</v>
      </c>
      <c r="K1347" s="2">
        <v>42085.0</v>
      </c>
      <c r="L1347" s="1">
        <v>4.0</v>
      </c>
      <c r="M1347" s="2">
        <v>42085.0</v>
      </c>
      <c r="N1347" s="1" t="s">
        <v>187</v>
      </c>
      <c r="O1347" s="2">
        <v>42136.0</v>
      </c>
      <c r="P1347" s="1">
        <v>239461.0</v>
      </c>
      <c r="Q1347" s="1">
        <v>1855.0</v>
      </c>
      <c r="S1347" s="1">
        <v>2041.0</v>
      </c>
      <c r="T1347" s="1" t="s">
        <v>14077</v>
      </c>
      <c r="U1347" s="1" t="s">
        <v>320</v>
      </c>
      <c r="V1347" s="1" t="s">
        <v>190</v>
      </c>
      <c r="W1347" s="1">
        <v>60647.0</v>
      </c>
      <c r="Y1347" s="1" t="s">
        <v>14078</v>
      </c>
      <c r="Z1347" s="1">
        <v>2001.0</v>
      </c>
      <c r="AA1347" s="1" t="s">
        <v>200</v>
      </c>
      <c r="AB1347" s="1" t="s">
        <v>193</v>
      </c>
      <c r="AD1347" s="1" t="s">
        <v>194</v>
      </c>
      <c r="AE1347" s="1" t="s">
        <v>195</v>
      </c>
      <c r="AF1347" s="1" t="s">
        <v>827</v>
      </c>
      <c r="AH1347" s="1" t="s">
        <v>14079</v>
      </c>
      <c r="AK1347" s="1">
        <v>9.0</v>
      </c>
      <c r="AL1347" s="1">
        <v>4.0</v>
      </c>
      <c r="AM1347" s="1">
        <v>3.0</v>
      </c>
      <c r="AN1347" s="1">
        <v>1.0</v>
      </c>
      <c r="AO1347" s="1" t="s">
        <v>198</v>
      </c>
      <c r="AP1347" s="1">
        <v>1.0</v>
      </c>
      <c r="AQ1347" s="1" t="s">
        <v>198</v>
      </c>
      <c r="AR1347" s="1" t="s">
        <v>192</v>
      </c>
      <c r="AS1347" s="1" t="s">
        <v>199</v>
      </c>
      <c r="AT1347" s="1">
        <v>2.0</v>
      </c>
      <c r="AV1347" s="1" t="s">
        <v>200</v>
      </c>
      <c r="AW1347" s="1">
        <v>15743.05</v>
      </c>
      <c r="AX1347" s="1">
        <v>2013.0</v>
      </c>
      <c r="AY1347" s="1" t="s">
        <v>229</v>
      </c>
      <c r="AZ1347" s="1" t="s">
        <v>200</v>
      </c>
      <c r="BA1347" s="1" t="str">
        <f>"14313230840000"</f>
        <v>14313230840000</v>
      </c>
      <c r="BB1347" s="1" t="s">
        <v>200</v>
      </c>
      <c r="BC1347" s="1">
        <v>3600.0</v>
      </c>
      <c r="BD1347" s="1">
        <v>1189000.0</v>
      </c>
      <c r="BE1347" s="2">
        <v>42082.0</v>
      </c>
      <c r="BF1347" s="2" t="s">
        <v>14080</v>
      </c>
      <c r="BG1347" s="1" t="s">
        <v>6994</v>
      </c>
      <c r="BH1347" s="1">
        <v>0.0</v>
      </c>
      <c r="BK1347" s="1" t="s">
        <v>204</v>
      </c>
      <c r="BL1347" s="1" t="str">
        <f>"1830"</f>
        <v>1830</v>
      </c>
      <c r="BM1347" s="1" t="str">
        <f t="shared" si="888"/>
        <v>0</v>
      </c>
      <c r="BN1347" s="1">
        <v>2041.0</v>
      </c>
      <c r="BO1347" s="1">
        <v>0.0</v>
      </c>
      <c r="BQ1347" s="1">
        <v>299.0</v>
      </c>
      <c r="BR1347" s="1">
        <v>299.0</v>
      </c>
      <c r="BS1347" s="1">
        <v>299.0</v>
      </c>
      <c r="BU1347" s="1" t="s">
        <v>213</v>
      </c>
      <c r="BV1347" s="1" t="s">
        <v>206</v>
      </c>
      <c r="BW1347" s="1" t="s">
        <v>207</v>
      </c>
      <c r="BX1347" s="1" t="s">
        <v>1549</v>
      </c>
      <c r="BY1347" s="1" t="s">
        <v>616</v>
      </c>
      <c r="BZ1347" s="1" t="s">
        <v>391</v>
      </c>
      <c r="CA1347" s="1" t="s">
        <v>207</v>
      </c>
      <c r="CB1347" s="1" t="s">
        <v>261</v>
      </c>
      <c r="CC1347" s="1" t="s">
        <v>213</v>
      </c>
      <c r="CD1347" s="1" t="s">
        <v>206</v>
      </c>
      <c r="CE1347" s="1" t="s">
        <v>207</v>
      </c>
      <c r="CF1347" s="1" t="s">
        <v>1549</v>
      </c>
      <c r="CG1347" s="1" t="s">
        <v>955</v>
      </c>
      <c r="CH1347" s="1" t="s">
        <v>209</v>
      </c>
      <c r="CI1347" s="1" t="s">
        <v>207</v>
      </c>
      <c r="CJ1347" s="1" t="s">
        <v>8870</v>
      </c>
      <c r="CK1347" s="1" t="s">
        <v>647</v>
      </c>
      <c r="CL1347" s="1" t="s">
        <v>209</v>
      </c>
      <c r="CM1347" s="1" t="s">
        <v>207</v>
      </c>
      <c r="CN1347" s="1" t="s">
        <v>8870</v>
      </c>
      <c r="CO1347" s="1" t="s">
        <v>332</v>
      </c>
      <c r="CP1347" s="1" t="s">
        <v>209</v>
      </c>
      <c r="CQ1347" s="1" t="s">
        <v>207</v>
      </c>
      <c r="CR1347" s="1" t="s">
        <v>1118</v>
      </c>
      <c r="CS1347" s="1" t="s">
        <v>1774</v>
      </c>
      <c r="CT1347" s="1" t="s">
        <v>206</v>
      </c>
      <c r="CU1347" s="1" t="s">
        <v>207</v>
      </c>
      <c r="CV1347" s="1" t="s">
        <v>431</v>
      </c>
      <c r="CW1347" s="1" t="s">
        <v>813</v>
      </c>
      <c r="CX1347" s="1" t="s">
        <v>42</v>
      </c>
      <c r="CY1347" s="1" t="s">
        <v>588</v>
      </c>
      <c r="CZ1347" s="1" t="s">
        <v>476</v>
      </c>
      <c r="DA1347" s="1" t="s">
        <v>200</v>
      </c>
      <c r="DC1347" s="1" t="s">
        <v>335</v>
      </c>
      <c r="DD1347" s="1" t="s">
        <v>731</v>
      </c>
      <c r="DE1347" s="1" t="s">
        <v>218</v>
      </c>
      <c r="DF1347" s="1" t="s">
        <v>219</v>
      </c>
      <c r="DH1347" s="1" t="s">
        <v>220</v>
      </c>
      <c r="DI1347" s="1" t="s">
        <v>2329</v>
      </c>
      <c r="DJ1347" s="1" t="s">
        <v>222</v>
      </c>
      <c r="DL1347" s="1" t="s">
        <v>224</v>
      </c>
      <c r="DM1347" s="1" t="s">
        <v>229</v>
      </c>
      <c r="DN1347" s="1" t="s">
        <v>2463</v>
      </c>
      <c r="DP1347" s="1" t="s">
        <v>276</v>
      </c>
      <c r="DQ1347" s="1" t="s">
        <v>794</v>
      </c>
      <c r="DR1347" s="1" t="s">
        <v>229</v>
      </c>
      <c r="DV1347" s="1" t="s">
        <v>14081</v>
      </c>
      <c r="DW1347" s="1" t="s">
        <v>2284</v>
      </c>
      <c r="DX1347" s="1" t="s">
        <v>234</v>
      </c>
      <c r="DY1347" s="1" t="s">
        <v>14082</v>
      </c>
      <c r="DZ1347" s="1" t="s">
        <v>6596</v>
      </c>
      <c r="EB1347" s="1" t="s">
        <v>937</v>
      </c>
      <c r="EC1347" s="1" t="s">
        <v>4792</v>
      </c>
      <c r="EG1347" s="1" t="s">
        <v>494</v>
      </c>
      <c r="EH1347" s="1" t="s">
        <v>409</v>
      </c>
      <c r="EJ1347" s="1" t="s">
        <v>408</v>
      </c>
      <c r="EK1347" s="1" t="s">
        <v>1270</v>
      </c>
      <c r="EL1347" s="1" t="s">
        <v>329</v>
      </c>
      <c r="EM1347" s="1" t="s">
        <v>391</v>
      </c>
      <c r="EN1347" s="1" t="s">
        <v>207</v>
      </c>
      <c r="EO1347" s="1" t="s">
        <v>1118</v>
      </c>
      <c r="EP1347" s="1" t="s">
        <v>940</v>
      </c>
      <c r="EQ1347" s="1" t="s">
        <v>391</v>
      </c>
      <c r="ER1347" s="1" t="s">
        <v>207</v>
      </c>
      <c r="ES1347" s="1" t="s">
        <v>431</v>
      </c>
      <c r="EU1347" s="1" t="s">
        <v>238</v>
      </c>
      <c r="EX1347" s="1" t="s">
        <v>1746</v>
      </c>
      <c r="EY1347" s="1" t="s">
        <v>206</v>
      </c>
      <c r="EZ1347" s="1" t="s">
        <v>5126</v>
      </c>
      <c r="FB1347" s="1" t="s">
        <v>1796</v>
      </c>
      <c r="FC1347" s="1" t="s">
        <v>42</v>
      </c>
      <c r="FF1347" s="1" t="s">
        <v>239</v>
      </c>
      <c r="FG1347" s="1" t="s">
        <v>192</v>
      </c>
      <c r="FH1347" s="1" t="s">
        <v>192</v>
      </c>
      <c r="FJ1347" s="1" t="s">
        <v>561</v>
      </c>
      <c r="FK1347" s="1" t="s">
        <v>229</v>
      </c>
      <c r="FL1347" s="1" t="s">
        <v>562</v>
      </c>
      <c r="FM1347" s="1">
        <v>16379.0</v>
      </c>
      <c r="FN1347" s="1" t="s">
        <v>563</v>
      </c>
      <c r="FO1347" s="1" t="s">
        <v>14083</v>
      </c>
      <c r="FP1347" s="1">
        <v>111964.0</v>
      </c>
      <c r="FQ1347" s="1" t="s">
        <v>14084</v>
      </c>
      <c r="FU1347" s="1" t="s">
        <v>14085</v>
      </c>
      <c r="FV1347" s="1" t="s">
        <v>200</v>
      </c>
      <c r="FW1347" s="1" t="s">
        <v>1293</v>
      </c>
      <c r="FX1347" s="1" t="s">
        <v>246</v>
      </c>
      <c r="FZ1347" s="1" t="s">
        <v>229</v>
      </c>
      <c r="GA1347" s="1" t="s">
        <v>247</v>
      </c>
      <c r="GB1347" s="2">
        <v>42138.0</v>
      </c>
      <c r="GC1347" s="1" t="s">
        <v>14086</v>
      </c>
    </row>
    <row r="1348">
      <c r="A1348" s="1">
        <v>215000.0</v>
      </c>
      <c r="B1348" s="1" t="s">
        <v>185</v>
      </c>
      <c r="C1348" s="1" t="str">
        <f>"08861500"</f>
        <v>08861500</v>
      </c>
      <c r="D1348" s="1" t="s">
        <v>186</v>
      </c>
      <c r="F1348" s="1" t="str">
        <f>"103"</f>
        <v>103</v>
      </c>
      <c r="G1348" s="2">
        <v>42077.0</v>
      </c>
      <c r="H1348" s="1">
        <v>214900.0</v>
      </c>
      <c r="I1348" s="1">
        <v>12.0</v>
      </c>
      <c r="J1348" s="1">
        <v>214900.0</v>
      </c>
      <c r="K1348" s="2">
        <v>42087.0</v>
      </c>
      <c r="L1348" s="1">
        <v>12.0</v>
      </c>
      <c r="M1348" s="2">
        <v>42087.0</v>
      </c>
      <c r="N1348" s="1" t="s">
        <v>187</v>
      </c>
      <c r="O1348" s="2">
        <v>42125.0</v>
      </c>
      <c r="P1348" s="1">
        <v>189116.0</v>
      </c>
      <c r="Q1348" s="1">
        <v>85259.0</v>
      </c>
      <c r="R1348" s="1">
        <v>4000.0</v>
      </c>
      <c r="S1348" s="1">
        <v>5731.0</v>
      </c>
      <c r="T1348" s="1" t="s">
        <v>14087</v>
      </c>
      <c r="U1348" s="1" t="s">
        <v>420</v>
      </c>
      <c r="V1348" s="1" t="s">
        <v>251</v>
      </c>
      <c r="W1348" s="1">
        <v>60133.0</v>
      </c>
      <c r="Y1348" s="1" t="s">
        <v>14088</v>
      </c>
      <c r="Z1348" s="1">
        <v>1977.0</v>
      </c>
      <c r="AA1348" s="1" t="s">
        <v>192</v>
      </c>
      <c r="AB1348" s="1" t="s">
        <v>467</v>
      </c>
      <c r="AC1348" s="1" t="s">
        <v>2780</v>
      </c>
      <c r="AD1348" s="1" t="s">
        <v>254</v>
      </c>
      <c r="AE1348" s="1" t="s">
        <v>1258</v>
      </c>
      <c r="AF1348" s="1" t="s">
        <v>1259</v>
      </c>
      <c r="AG1348" s="1" t="s">
        <v>2781</v>
      </c>
      <c r="AH1348" s="1" t="s">
        <v>14089</v>
      </c>
      <c r="AI1348" s="1">
        <v>0.1879</v>
      </c>
      <c r="AK1348" s="1">
        <v>8.0</v>
      </c>
      <c r="AL1348" s="1">
        <v>4.0</v>
      </c>
      <c r="AM1348" s="1">
        <v>2.0</v>
      </c>
      <c r="AN1348" s="1">
        <v>1.0</v>
      </c>
      <c r="AO1348" s="1" t="s">
        <v>198</v>
      </c>
      <c r="AQ1348" s="1" t="s">
        <v>229</v>
      </c>
      <c r="AR1348" s="1" t="s">
        <v>200</v>
      </c>
      <c r="AS1348" s="1" t="s">
        <v>199</v>
      </c>
      <c r="AT1348" s="1">
        <v>2.0</v>
      </c>
      <c r="AV1348" s="1" t="s">
        <v>200</v>
      </c>
      <c r="AW1348" s="1">
        <v>6946.0</v>
      </c>
      <c r="AX1348" s="1">
        <v>2013.0</v>
      </c>
      <c r="AY1348" s="1" t="s">
        <v>387</v>
      </c>
      <c r="AZ1348" s="1" t="s">
        <v>200</v>
      </c>
      <c r="BA1348" s="1" t="str">
        <f>"0206307024"</f>
        <v>0206307024</v>
      </c>
      <c r="BC1348" s="1">
        <v>2200.0</v>
      </c>
      <c r="BD1348" s="1">
        <v>215000.0</v>
      </c>
      <c r="BE1348" s="2">
        <v>42076.0</v>
      </c>
      <c r="BF1348" s="2" t="s">
        <v>14090</v>
      </c>
      <c r="BG1348" s="1" t="s">
        <v>1263</v>
      </c>
      <c r="BH1348" s="1">
        <v>31.0</v>
      </c>
      <c r="BI1348" s="1" t="s">
        <v>1264</v>
      </c>
      <c r="BJ1348" s="1" t="s">
        <v>1265</v>
      </c>
      <c r="BK1348" s="1" t="s">
        <v>474</v>
      </c>
      <c r="BL1348" s="1" t="str">
        <f t="shared" ref="BL1348:BM1348" si="889">""</f>
        <v/>
      </c>
      <c r="BM1348" s="1" t="str">
        <f t="shared" si="889"/>
        <v/>
      </c>
      <c r="BQ1348" s="1">
        <v>20.0</v>
      </c>
      <c r="BR1348" s="1">
        <v>108.0</v>
      </c>
      <c r="BS1348" s="1">
        <v>20.0</v>
      </c>
      <c r="BU1348" s="1" t="s">
        <v>333</v>
      </c>
      <c r="BV1348" s="1" t="s">
        <v>206</v>
      </c>
      <c r="BW1348" s="1" t="s">
        <v>210</v>
      </c>
      <c r="BY1348" s="1" t="s">
        <v>333</v>
      </c>
      <c r="BZ1348" s="1" t="s">
        <v>209</v>
      </c>
      <c r="CA1348" s="1" t="s">
        <v>210</v>
      </c>
      <c r="CC1348" s="1" t="s">
        <v>495</v>
      </c>
      <c r="CD1348" s="1" t="s">
        <v>206</v>
      </c>
      <c r="CE1348" s="1" t="s">
        <v>210</v>
      </c>
      <c r="CG1348" s="1" t="s">
        <v>495</v>
      </c>
      <c r="CH1348" s="1" t="s">
        <v>209</v>
      </c>
      <c r="CI1348" s="1" t="s">
        <v>210</v>
      </c>
      <c r="CK1348" s="1" t="s">
        <v>495</v>
      </c>
      <c r="CL1348" s="1" t="s">
        <v>209</v>
      </c>
      <c r="CM1348" s="1" t="s">
        <v>210</v>
      </c>
      <c r="CO1348" s="1" t="s">
        <v>8706</v>
      </c>
      <c r="CP1348" s="1" t="s">
        <v>209</v>
      </c>
      <c r="CQ1348" s="1" t="s">
        <v>210</v>
      </c>
      <c r="CS1348" s="1" t="s">
        <v>332</v>
      </c>
      <c r="CT1348" s="1" t="s">
        <v>206</v>
      </c>
      <c r="CU1348" s="1" t="s">
        <v>268</v>
      </c>
      <c r="CW1348" s="1" t="s">
        <v>1001</v>
      </c>
      <c r="CX1348" s="1" t="s">
        <v>206</v>
      </c>
      <c r="CY1348" s="1" t="s">
        <v>210</v>
      </c>
      <c r="DA1348" s="1" t="s">
        <v>200</v>
      </c>
      <c r="DC1348" s="1" t="s">
        <v>395</v>
      </c>
      <c r="DD1348" s="1" t="s">
        <v>731</v>
      </c>
      <c r="DE1348" s="1" t="s">
        <v>273</v>
      </c>
      <c r="DF1348" s="1" t="s">
        <v>219</v>
      </c>
      <c r="DG1348" s="1" t="s">
        <v>2593</v>
      </c>
      <c r="DH1348" s="1" t="s">
        <v>220</v>
      </c>
      <c r="DI1348" s="1" t="s">
        <v>221</v>
      </c>
      <c r="DJ1348" s="1" t="s">
        <v>222</v>
      </c>
      <c r="DL1348" s="1" t="s">
        <v>229</v>
      </c>
      <c r="DM1348" s="1" t="s">
        <v>338</v>
      </c>
      <c r="DP1348" s="1" t="s">
        <v>340</v>
      </c>
      <c r="DQ1348" s="1" t="s">
        <v>228</v>
      </c>
      <c r="DR1348" s="1" t="s">
        <v>2593</v>
      </c>
      <c r="DV1348" s="1" t="s">
        <v>232</v>
      </c>
      <c r="DW1348" s="1" t="s">
        <v>233</v>
      </c>
      <c r="DX1348" s="1" t="s">
        <v>234</v>
      </c>
      <c r="DY1348" s="1" t="s">
        <v>1006</v>
      </c>
      <c r="DZ1348" s="1" t="s">
        <v>282</v>
      </c>
      <c r="EC1348" s="1" t="s">
        <v>237</v>
      </c>
      <c r="ED1348" s="1" t="s">
        <v>407</v>
      </c>
      <c r="EM1348" s="1" t="s">
        <v>238</v>
      </c>
      <c r="EQ1348" s="1" t="s">
        <v>238</v>
      </c>
      <c r="EU1348" s="1" t="s">
        <v>238</v>
      </c>
      <c r="EY1348" s="1" t="s">
        <v>238</v>
      </c>
      <c r="FC1348" s="1" t="s">
        <v>238</v>
      </c>
      <c r="FF1348" s="1" t="s">
        <v>239</v>
      </c>
      <c r="FG1348" s="1" t="s">
        <v>192</v>
      </c>
      <c r="FH1348" s="1" t="s">
        <v>192</v>
      </c>
      <c r="FJ1348" s="1" t="s">
        <v>2133</v>
      </c>
      <c r="FK1348" s="1" t="s">
        <v>229</v>
      </c>
      <c r="FL1348" s="1" t="s">
        <v>14091</v>
      </c>
      <c r="FM1348" s="1">
        <v>8064.0</v>
      </c>
      <c r="FN1348" s="1" t="s">
        <v>14092</v>
      </c>
      <c r="FO1348" s="1" t="s">
        <v>14093</v>
      </c>
      <c r="FP1348" s="1">
        <v>83883.0</v>
      </c>
      <c r="FQ1348" s="1" t="s">
        <v>14094</v>
      </c>
      <c r="FS1348" s="1" t="s">
        <v>14095</v>
      </c>
      <c r="FU1348" s="1" t="s">
        <v>14096</v>
      </c>
      <c r="FV1348" s="1" t="s">
        <v>200</v>
      </c>
      <c r="FW1348" s="1" t="s">
        <v>290</v>
      </c>
      <c r="FZ1348" s="1" t="s">
        <v>632</v>
      </c>
      <c r="GA1348" s="1" t="s">
        <v>291</v>
      </c>
      <c r="GB1348" s="2">
        <v>42131.0</v>
      </c>
      <c r="GC1348" s="1" t="s">
        <v>14097</v>
      </c>
    </row>
    <row r="1349">
      <c r="A1349" s="1">
        <v>172000.0</v>
      </c>
      <c r="B1349" s="1" t="s">
        <v>185</v>
      </c>
      <c r="C1349" s="1" t="str">
        <f>"08861507"</f>
        <v>08861507</v>
      </c>
      <c r="D1349" s="1" t="s">
        <v>186</v>
      </c>
      <c r="F1349" s="1" t="str">
        <f>"174"</f>
        <v>174</v>
      </c>
      <c r="G1349" s="2">
        <v>42077.0</v>
      </c>
      <c r="H1349" s="1">
        <v>169900.0</v>
      </c>
      <c r="I1349" s="1">
        <v>2.0</v>
      </c>
      <c r="J1349" s="1">
        <v>169900.0</v>
      </c>
      <c r="K1349" s="2">
        <v>42078.0</v>
      </c>
      <c r="L1349" s="1">
        <v>2.0</v>
      </c>
      <c r="M1349" s="2">
        <v>42078.0</v>
      </c>
      <c r="N1349" s="1" t="s">
        <v>187</v>
      </c>
      <c r="O1349" s="2">
        <v>42139.0</v>
      </c>
      <c r="P1349" s="1">
        <v>7842.0</v>
      </c>
      <c r="Q1349" s="1">
        <v>41.0</v>
      </c>
      <c r="S1349" s="1" t="s">
        <v>14098</v>
      </c>
      <c r="T1349" s="1" t="s">
        <v>7562</v>
      </c>
      <c r="U1349" s="1" t="s">
        <v>982</v>
      </c>
      <c r="V1349" s="1" t="s">
        <v>1200</v>
      </c>
      <c r="W1349" s="1">
        <v>60174.0</v>
      </c>
      <c r="Y1349" s="1" t="s">
        <v>14099</v>
      </c>
      <c r="Z1349" s="1" t="s">
        <v>296</v>
      </c>
      <c r="AA1349" s="1" t="s">
        <v>192</v>
      </c>
      <c r="AB1349" s="1" t="s">
        <v>193</v>
      </c>
      <c r="AC1349" s="1" t="s">
        <v>14100</v>
      </c>
      <c r="AD1349" s="1" t="s">
        <v>1089</v>
      </c>
      <c r="AE1349" s="1" t="s">
        <v>325</v>
      </c>
      <c r="AF1349" s="1" t="s">
        <v>1203</v>
      </c>
      <c r="AH1349" s="1" t="s">
        <v>14101</v>
      </c>
      <c r="AK1349" s="1">
        <v>8.0</v>
      </c>
      <c r="AL1349" s="1">
        <v>4.0</v>
      </c>
      <c r="AM1349" s="1">
        <v>1.0</v>
      </c>
      <c r="AN1349" s="1">
        <v>0.0</v>
      </c>
      <c r="AO1349" s="1" t="s">
        <v>229</v>
      </c>
      <c r="AP1349" s="1">
        <v>1.0</v>
      </c>
      <c r="AQ1349" s="1" t="s">
        <v>229</v>
      </c>
      <c r="AS1349" s="1" t="s">
        <v>199</v>
      </c>
      <c r="AT1349" s="1">
        <v>2.0</v>
      </c>
      <c r="AV1349" s="1" t="s">
        <v>200</v>
      </c>
      <c r="AW1349" s="1">
        <v>3101.0</v>
      </c>
      <c r="AX1349" s="1">
        <v>2013.0</v>
      </c>
      <c r="AY1349" s="1" t="s">
        <v>229</v>
      </c>
      <c r="AZ1349" s="1" t="s">
        <v>200</v>
      </c>
      <c r="BA1349" s="1" t="str">
        <f>"0911351037"</f>
        <v>0911351037</v>
      </c>
      <c r="BC1349" s="1">
        <v>1660.0</v>
      </c>
      <c r="BD1349" s="1">
        <v>172000.0</v>
      </c>
      <c r="BE1349" s="2">
        <v>42077.0</v>
      </c>
      <c r="BF1349" s="2" t="s">
        <v>14102</v>
      </c>
      <c r="BG1349" s="1" t="s">
        <v>11064</v>
      </c>
      <c r="BH1349" s="1">
        <v>0.0</v>
      </c>
      <c r="BI1349" s="1" t="s">
        <v>2143</v>
      </c>
      <c r="BJ1349" s="1" t="s">
        <v>2144</v>
      </c>
      <c r="BK1349" s="1" t="s">
        <v>204</v>
      </c>
      <c r="BL1349" s="1" t="str">
        <f>"6"</f>
        <v>6</v>
      </c>
      <c r="BM1349" s="1" t="str">
        <f>""</f>
        <v/>
      </c>
      <c r="BN1349" s="1">
        <v>34.0</v>
      </c>
      <c r="BQ1349" s="1">
        <v>303.0</v>
      </c>
      <c r="BR1349" s="1">
        <v>303.0</v>
      </c>
      <c r="BS1349" s="1">
        <v>303.0</v>
      </c>
      <c r="BU1349" s="1" t="s">
        <v>390</v>
      </c>
      <c r="BV1349" s="1" t="s">
        <v>206</v>
      </c>
      <c r="BW1349" s="1" t="s">
        <v>207</v>
      </c>
      <c r="BX1349" s="1" t="s">
        <v>229</v>
      </c>
      <c r="BY1349" s="1" t="s">
        <v>783</v>
      </c>
      <c r="BZ1349" s="1" t="s">
        <v>206</v>
      </c>
      <c r="CA1349" s="1" t="s">
        <v>210</v>
      </c>
      <c r="CB1349" s="1" t="s">
        <v>229</v>
      </c>
      <c r="CC1349" s="1" t="s">
        <v>623</v>
      </c>
      <c r="CD1349" s="1" t="s">
        <v>206</v>
      </c>
      <c r="CE1349" s="1" t="s">
        <v>207</v>
      </c>
      <c r="CF1349" s="1" t="s">
        <v>229</v>
      </c>
      <c r="CG1349" s="1" t="s">
        <v>212</v>
      </c>
      <c r="CH1349" s="1" t="s">
        <v>206</v>
      </c>
      <c r="CI1349" s="1" t="s">
        <v>210</v>
      </c>
      <c r="CJ1349" s="1" t="s">
        <v>229</v>
      </c>
      <c r="CK1349" s="1" t="s">
        <v>269</v>
      </c>
      <c r="CL1349" s="1" t="s">
        <v>206</v>
      </c>
      <c r="CM1349" s="1" t="s">
        <v>210</v>
      </c>
      <c r="CN1349" s="1" t="s">
        <v>229</v>
      </c>
      <c r="CO1349" s="1" t="s">
        <v>2047</v>
      </c>
      <c r="CP1349" s="1" t="s">
        <v>206</v>
      </c>
      <c r="CQ1349" s="1" t="s">
        <v>210</v>
      </c>
      <c r="CR1349" s="1" t="s">
        <v>229</v>
      </c>
      <c r="CS1349" s="1" t="s">
        <v>265</v>
      </c>
      <c r="CT1349" s="1" t="s">
        <v>206</v>
      </c>
      <c r="CU1349" s="1" t="s">
        <v>268</v>
      </c>
      <c r="CV1349" s="1" t="s">
        <v>229</v>
      </c>
      <c r="CW1349" s="1" t="s">
        <v>783</v>
      </c>
      <c r="CX1349" s="1" t="s">
        <v>206</v>
      </c>
      <c r="CY1349" s="1" t="s">
        <v>210</v>
      </c>
      <c r="CZ1349" s="1" t="s">
        <v>229</v>
      </c>
      <c r="DA1349" s="1" t="s">
        <v>200</v>
      </c>
      <c r="DC1349" s="1" t="s">
        <v>271</v>
      </c>
      <c r="DD1349" s="1" t="s">
        <v>2094</v>
      </c>
      <c r="DE1349" s="1" t="s">
        <v>273</v>
      </c>
      <c r="DF1349" s="1" t="s">
        <v>219</v>
      </c>
      <c r="DG1349" s="1" t="s">
        <v>1553</v>
      </c>
      <c r="DH1349" s="1" t="s">
        <v>220</v>
      </c>
      <c r="DI1349" s="1" t="s">
        <v>519</v>
      </c>
      <c r="DJ1349" s="1" t="s">
        <v>222</v>
      </c>
      <c r="DK1349" s="1" t="s">
        <v>223</v>
      </c>
      <c r="DL1349" s="1" t="s">
        <v>229</v>
      </c>
      <c r="DM1349" s="1" t="s">
        <v>338</v>
      </c>
      <c r="DP1349" s="1" t="s">
        <v>340</v>
      </c>
      <c r="DQ1349" s="1" t="s">
        <v>228</v>
      </c>
      <c r="DR1349" s="1" t="s">
        <v>229</v>
      </c>
      <c r="DS1349" s="1" t="s">
        <v>368</v>
      </c>
      <c r="DU1349" s="1" t="s">
        <v>681</v>
      </c>
      <c r="DV1349" s="1" t="s">
        <v>2877</v>
      </c>
      <c r="DW1349" s="1" t="s">
        <v>233</v>
      </c>
      <c r="DX1349" s="1" t="s">
        <v>280</v>
      </c>
      <c r="DY1349" s="1" t="s">
        <v>1958</v>
      </c>
      <c r="DZ1349" s="1" t="s">
        <v>1466</v>
      </c>
      <c r="EA1349" s="1" t="s">
        <v>683</v>
      </c>
      <c r="EC1349" s="1" t="s">
        <v>685</v>
      </c>
      <c r="ED1349" s="1" t="s">
        <v>407</v>
      </c>
      <c r="EE1349" s="1" t="s">
        <v>493</v>
      </c>
      <c r="EG1349" s="1" t="s">
        <v>2877</v>
      </c>
      <c r="EL1349" s="1" t="s">
        <v>1795</v>
      </c>
      <c r="EM1349" s="1" t="s">
        <v>206</v>
      </c>
      <c r="EN1349" s="1" t="s">
        <v>268</v>
      </c>
      <c r="EQ1349" s="1" t="s">
        <v>238</v>
      </c>
      <c r="EU1349" s="1" t="s">
        <v>238</v>
      </c>
      <c r="EY1349" s="1" t="s">
        <v>238</v>
      </c>
      <c r="FC1349" s="1" t="s">
        <v>238</v>
      </c>
      <c r="FF1349" s="1" t="s">
        <v>239</v>
      </c>
      <c r="FG1349" s="1" t="s">
        <v>192</v>
      </c>
      <c r="FH1349" s="1" t="s">
        <v>192</v>
      </c>
      <c r="FJ1349" s="1" t="s">
        <v>1450</v>
      </c>
      <c r="FK1349" s="1" t="s">
        <v>229</v>
      </c>
      <c r="FL1349" s="1" t="s">
        <v>2786</v>
      </c>
      <c r="FM1349" s="1">
        <v>25266.0</v>
      </c>
      <c r="FN1349" s="1" t="s">
        <v>2787</v>
      </c>
      <c r="FO1349" s="1" t="s">
        <v>2788</v>
      </c>
      <c r="FP1349" s="1">
        <v>231049.0</v>
      </c>
      <c r="FQ1349" s="1" t="s">
        <v>2789</v>
      </c>
      <c r="FR1349" s="1">
        <v>259155.0</v>
      </c>
      <c r="FT1349" s="1" t="s">
        <v>14103</v>
      </c>
      <c r="FU1349" s="1" t="s">
        <v>14104</v>
      </c>
      <c r="FV1349" s="1" t="s">
        <v>200</v>
      </c>
      <c r="FW1349" s="1" t="s">
        <v>631</v>
      </c>
      <c r="FZ1349" s="1" t="s">
        <v>229</v>
      </c>
      <c r="GA1349" s="1" t="s">
        <v>291</v>
      </c>
      <c r="GB1349" s="2">
        <v>42139.0</v>
      </c>
      <c r="GC1349" s="1" t="s">
        <v>14105</v>
      </c>
    </row>
    <row r="1350">
      <c r="A1350" s="1">
        <v>485100.0</v>
      </c>
      <c r="B1350" s="1" t="s">
        <v>185</v>
      </c>
      <c r="C1350" s="1" t="str">
        <f>"08863560"</f>
        <v>08863560</v>
      </c>
      <c r="D1350" s="1" t="s">
        <v>186</v>
      </c>
      <c r="F1350" s="1" t="str">
        <f>"134"</f>
        <v>134</v>
      </c>
      <c r="G1350" s="2">
        <v>42080.0</v>
      </c>
      <c r="H1350" s="1">
        <v>474500.0</v>
      </c>
      <c r="I1350" s="1">
        <v>6.0</v>
      </c>
      <c r="J1350" s="1">
        <v>474500.0</v>
      </c>
      <c r="K1350" s="2">
        <v>42085.0</v>
      </c>
      <c r="L1350" s="1">
        <v>6.0</v>
      </c>
      <c r="M1350" s="2">
        <v>42085.0</v>
      </c>
      <c r="N1350" s="1" t="s">
        <v>187</v>
      </c>
      <c r="O1350" s="2">
        <v>42131.0</v>
      </c>
      <c r="P1350" s="1">
        <v>227960.0</v>
      </c>
      <c r="Q1350" s="1">
        <v>23076.0</v>
      </c>
      <c r="S1350" s="1" t="s">
        <v>14106</v>
      </c>
      <c r="T1350" s="1" t="s">
        <v>14107</v>
      </c>
      <c r="U1350" s="1" t="s">
        <v>1174</v>
      </c>
      <c r="V1350" s="1" t="s">
        <v>421</v>
      </c>
      <c r="W1350" s="1">
        <v>60134.0</v>
      </c>
      <c r="Y1350" s="1" t="s">
        <v>14108</v>
      </c>
      <c r="Z1350" s="1">
        <v>2002.0</v>
      </c>
      <c r="AA1350" s="1" t="s">
        <v>200</v>
      </c>
      <c r="AB1350" s="1" t="s">
        <v>193</v>
      </c>
      <c r="AC1350" s="1" t="s">
        <v>7406</v>
      </c>
      <c r="AD1350" s="1" t="s">
        <v>424</v>
      </c>
      <c r="AE1350" s="1" t="s">
        <v>325</v>
      </c>
      <c r="AF1350" s="1" t="s">
        <v>1479</v>
      </c>
      <c r="AH1350" s="1" t="s">
        <v>14109</v>
      </c>
      <c r="AI1350" s="1">
        <v>0.3</v>
      </c>
      <c r="AK1350" s="1">
        <v>12.0</v>
      </c>
      <c r="AL1350" s="1">
        <v>4.0</v>
      </c>
      <c r="AM1350" s="1">
        <v>3.0</v>
      </c>
      <c r="AN1350" s="1">
        <v>1.0</v>
      </c>
      <c r="AO1350" s="1" t="s">
        <v>198</v>
      </c>
      <c r="AP1350" s="1">
        <v>1.0</v>
      </c>
      <c r="AQ1350" s="1" t="s">
        <v>198</v>
      </c>
      <c r="AR1350" s="1" t="s">
        <v>192</v>
      </c>
      <c r="AS1350" s="1" t="s">
        <v>199</v>
      </c>
      <c r="AT1350" s="1">
        <v>3.0</v>
      </c>
      <c r="AV1350" s="1" t="s">
        <v>200</v>
      </c>
      <c r="AW1350" s="1">
        <v>12358.0</v>
      </c>
      <c r="AX1350" s="1">
        <v>2013.0</v>
      </c>
      <c r="AY1350" s="1" t="s">
        <v>387</v>
      </c>
      <c r="AZ1350" s="1" t="s">
        <v>200</v>
      </c>
      <c r="BA1350" s="1" t="str">
        <f>"1112379003"</f>
        <v>1112379003</v>
      </c>
      <c r="BC1350" s="1">
        <v>3000.0</v>
      </c>
      <c r="BD1350" s="1">
        <v>485100.0</v>
      </c>
      <c r="BE1350" s="2">
        <v>42080.0</v>
      </c>
      <c r="BF1350" s="2" t="s">
        <v>14110</v>
      </c>
      <c r="BG1350" s="1" t="s">
        <v>6713</v>
      </c>
      <c r="BH1350" s="1">
        <v>0.0</v>
      </c>
      <c r="BI1350" s="1" t="s">
        <v>429</v>
      </c>
      <c r="BJ1350" s="1" t="s">
        <v>430</v>
      </c>
      <c r="BK1350" s="1" t="s">
        <v>204</v>
      </c>
      <c r="BL1350" s="1" t="str">
        <f t="shared" ref="BL1350:BM1350" si="890">""</f>
        <v/>
      </c>
      <c r="BM1350" s="1" t="str">
        <f t="shared" si="890"/>
        <v/>
      </c>
      <c r="BQ1350" s="1">
        <v>304.0</v>
      </c>
      <c r="BR1350" s="1">
        <v>304.0</v>
      </c>
      <c r="BS1350" s="1">
        <v>304.0</v>
      </c>
      <c r="BU1350" s="1" t="s">
        <v>758</v>
      </c>
      <c r="BV1350" s="1" t="s">
        <v>206</v>
      </c>
      <c r="BW1350" s="1" t="s">
        <v>210</v>
      </c>
      <c r="BY1350" s="1" t="s">
        <v>1117</v>
      </c>
      <c r="BZ1350" s="1" t="s">
        <v>209</v>
      </c>
      <c r="CA1350" s="1" t="s">
        <v>210</v>
      </c>
      <c r="CC1350" s="1" t="s">
        <v>215</v>
      </c>
      <c r="CD1350" s="1" t="s">
        <v>206</v>
      </c>
      <c r="CE1350" s="1" t="s">
        <v>207</v>
      </c>
      <c r="CG1350" s="1" t="s">
        <v>363</v>
      </c>
      <c r="CH1350" s="1" t="s">
        <v>209</v>
      </c>
      <c r="CI1350" s="1" t="s">
        <v>210</v>
      </c>
      <c r="CK1350" s="1" t="s">
        <v>363</v>
      </c>
      <c r="CL1350" s="1" t="s">
        <v>209</v>
      </c>
      <c r="CM1350" s="1" t="s">
        <v>210</v>
      </c>
      <c r="CO1350" s="1" t="s">
        <v>211</v>
      </c>
      <c r="CP1350" s="1" t="s">
        <v>209</v>
      </c>
      <c r="CQ1350" s="1" t="s">
        <v>210</v>
      </c>
      <c r="CS1350" s="1" t="s">
        <v>3595</v>
      </c>
      <c r="CT1350" s="1" t="s">
        <v>206</v>
      </c>
      <c r="CU1350" s="1" t="s">
        <v>207</v>
      </c>
      <c r="CW1350" s="1" t="s">
        <v>1623</v>
      </c>
      <c r="CX1350" s="1" t="s">
        <v>206</v>
      </c>
      <c r="CY1350" s="1" t="s">
        <v>210</v>
      </c>
      <c r="DA1350" s="1" t="s">
        <v>200</v>
      </c>
      <c r="DC1350" s="1" t="s">
        <v>335</v>
      </c>
      <c r="DD1350" s="1" t="s">
        <v>272</v>
      </c>
      <c r="DE1350" s="1" t="s">
        <v>273</v>
      </c>
      <c r="DF1350" s="1" t="s">
        <v>219</v>
      </c>
      <c r="DG1350" s="1" t="s">
        <v>1002</v>
      </c>
      <c r="DH1350" s="1" t="s">
        <v>220</v>
      </c>
      <c r="DI1350" s="1" t="s">
        <v>437</v>
      </c>
      <c r="DJ1350" s="1" t="s">
        <v>222</v>
      </c>
      <c r="DL1350" s="1" t="s">
        <v>224</v>
      </c>
      <c r="DM1350" s="1" t="s">
        <v>338</v>
      </c>
      <c r="DN1350" s="1" t="s">
        <v>399</v>
      </c>
      <c r="DO1350" s="1" t="s">
        <v>14111</v>
      </c>
      <c r="DP1350" s="1" t="s">
        <v>340</v>
      </c>
      <c r="DQ1350" s="1" t="s">
        <v>441</v>
      </c>
      <c r="DR1350" s="1" t="s">
        <v>229</v>
      </c>
      <c r="DS1350" s="1" t="s">
        <v>368</v>
      </c>
      <c r="DU1350" s="1" t="s">
        <v>14112</v>
      </c>
      <c r="DV1350" s="1" t="s">
        <v>14113</v>
      </c>
      <c r="DW1350" s="1" t="s">
        <v>934</v>
      </c>
      <c r="DX1350" s="1" t="s">
        <v>234</v>
      </c>
      <c r="DY1350" s="1" t="s">
        <v>3772</v>
      </c>
      <c r="DZ1350" s="1" t="s">
        <v>14114</v>
      </c>
      <c r="EA1350" s="1" t="s">
        <v>344</v>
      </c>
      <c r="EB1350" s="1" t="s">
        <v>684</v>
      </c>
      <c r="EC1350" s="1" t="s">
        <v>237</v>
      </c>
      <c r="ED1350" s="1" t="s">
        <v>407</v>
      </c>
      <c r="EG1350" s="1" t="s">
        <v>494</v>
      </c>
      <c r="EH1350" s="1" t="s">
        <v>450</v>
      </c>
      <c r="EI1350" s="1" t="s">
        <v>451</v>
      </c>
      <c r="EJ1350" s="1" t="s">
        <v>1824</v>
      </c>
      <c r="EK1350" s="1" t="s">
        <v>408</v>
      </c>
      <c r="EL1350" s="1" t="s">
        <v>497</v>
      </c>
      <c r="EM1350" s="1" t="s">
        <v>206</v>
      </c>
      <c r="EN1350" s="1" t="s">
        <v>210</v>
      </c>
      <c r="EP1350" s="1" t="s">
        <v>1426</v>
      </c>
      <c r="EQ1350" s="1" t="s">
        <v>42</v>
      </c>
      <c r="ER1350" s="1" t="s">
        <v>210</v>
      </c>
      <c r="ET1350" s="1" t="s">
        <v>8872</v>
      </c>
      <c r="EU1350" s="1" t="s">
        <v>42</v>
      </c>
      <c r="EV1350" s="1" t="s">
        <v>301</v>
      </c>
      <c r="EX1350" s="1" t="s">
        <v>454</v>
      </c>
      <c r="EY1350" s="1" t="s">
        <v>42</v>
      </c>
      <c r="EZ1350" s="1" t="s">
        <v>210</v>
      </c>
      <c r="FB1350" s="1" t="s">
        <v>266</v>
      </c>
      <c r="FC1350" s="1" t="s">
        <v>206</v>
      </c>
      <c r="FD1350" s="1" t="s">
        <v>207</v>
      </c>
      <c r="FF1350" s="1" t="s">
        <v>239</v>
      </c>
      <c r="FG1350" s="1" t="s">
        <v>192</v>
      </c>
      <c r="FH1350" s="1" t="s">
        <v>192</v>
      </c>
      <c r="FJ1350" s="1" t="s">
        <v>2206</v>
      </c>
      <c r="FK1350" s="1" t="s">
        <v>229</v>
      </c>
      <c r="FL1350" s="1" t="s">
        <v>893</v>
      </c>
      <c r="FM1350" s="1">
        <v>604.0</v>
      </c>
      <c r="FN1350" s="1" t="s">
        <v>894</v>
      </c>
      <c r="FO1350" s="1" t="s">
        <v>2207</v>
      </c>
      <c r="FP1350" s="1">
        <v>681.0</v>
      </c>
      <c r="FQ1350" s="1" t="s">
        <v>2208</v>
      </c>
      <c r="FR1350" s="1">
        <v>824.0</v>
      </c>
      <c r="FS1350" s="1" t="s">
        <v>2209</v>
      </c>
      <c r="FU1350" s="1" t="s">
        <v>2210</v>
      </c>
      <c r="FV1350" s="1" t="s">
        <v>200</v>
      </c>
      <c r="FW1350" s="1" t="s">
        <v>530</v>
      </c>
      <c r="FZ1350" s="1" t="s">
        <v>229</v>
      </c>
      <c r="GA1350" s="1" t="s">
        <v>291</v>
      </c>
      <c r="GB1350" s="2">
        <v>42131.0</v>
      </c>
    </row>
    <row r="1351">
      <c r="A1351" s="1">
        <v>180000.0</v>
      </c>
      <c r="B1351" s="1" t="s">
        <v>185</v>
      </c>
      <c r="C1351" s="1" t="str">
        <f>"08860250"</f>
        <v>08860250</v>
      </c>
      <c r="D1351" s="1" t="s">
        <v>186</v>
      </c>
      <c r="F1351" s="1" t="str">
        <f>"8025"</f>
        <v>8025</v>
      </c>
      <c r="G1351" s="2">
        <v>42075.0</v>
      </c>
      <c r="H1351" s="1">
        <v>182900.0</v>
      </c>
      <c r="I1351" s="1">
        <v>13.0</v>
      </c>
      <c r="J1351" s="1">
        <v>182900.0</v>
      </c>
      <c r="K1351" s="2">
        <v>42087.0</v>
      </c>
      <c r="L1351" s="1">
        <v>13.0</v>
      </c>
      <c r="M1351" s="2">
        <v>42087.0</v>
      </c>
      <c r="N1351" s="1" t="s">
        <v>356</v>
      </c>
      <c r="O1351" s="2">
        <v>42132.0</v>
      </c>
      <c r="P1351" s="1">
        <v>901250.0</v>
      </c>
      <c r="Q1351" s="1">
        <v>90871.0</v>
      </c>
      <c r="S1351" s="1">
        <v>1622.0</v>
      </c>
      <c r="T1351" s="1" t="s">
        <v>8352</v>
      </c>
      <c r="U1351" s="1" t="s">
        <v>189</v>
      </c>
      <c r="V1351" s="1" t="s">
        <v>190</v>
      </c>
      <c r="W1351" s="1">
        <v>60639.0</v>
      </c>
      <c r="Y1351" s="1" t="s">
        <v>14115</v>
      </c>
      <c r="Z1351" s="1">
        <v>1921.0</v>
      </c>
      <c r="AA1351" s="1" t="s">
        <v>192</v>
      </c>
      <c r="AB1351" s="1" t="s">
        <v>193</v>
      </c>
      <c r="AD1351" s="1" t="s">
        <v>194</v>
      </c>
      <c r="AE1351" s="1" t="s">
        <v>195</v>
      </c>
      <c r="AF1351" s="1" t="s">
        <v>827</v>
      </c>
      <c r="AH1351" s="1" t="s">
        <v>779</v>
      </c>
      <c r="AI1351" s="1">
        <v>0.0861</v>
      </c>
      <c r="AK1351" s="1">
        <v>8.0</v>
      </c>
      <c r="AL1351" s="1">
        <v>4.0</v>
      </c>
      <c r="AM1351" s="1">
        <v>2.0</v>
      </c>
      <c r="AN1351" s="1">
        <v>1.0</v>
      </c>
      <c r="AO1351" s="1" t="s">
        <v>229</v>
      </c>
      <c r="AQ1351" s="1" t="s">
        <v>198</v>
      </c>
      <c r="AR1351" s="1" t="s">
        <v>192</v>
      </c>
      <c r="AS1351" s="1" t="s">
        <v>199</v>
      </c>
      <c r="AT1351" s="1">
        <v>2.0</v>
      </c>
      <c r="AV1351" s="1" t="s">
        <v>200</v>
      </c>
      <c r="AW1351" s="1">
        <v>2752.61</v>
      </c>
      <c r="AX1351" s="1">
        <v>2013.0</v>
      </c>
      <c r="AZ1351" s="1" t="s">
        <v>200</v>
      </c>
      <c r="BA1351" s="1" t="str">
        <f>"13333240270000"</f>
        <v>13333240270000</v>
      </c>
      <c r="BC1351" s="1">
        <v>1600.0</v>
      </c>
      <c r="BD1351" s="1">
        <v>180000.0</v>
      </c>
      <c r="BE1351" s="2">
        <v>42075.0</v>
      </c>
      <c r="BF1351" s="2" t="s">
        <v>14116</v>
      </c>
      <c r="BH1351" s="1">
        <v>0.0</v>
      </c>
      <c r="BK1351" s="1" t="s">
        <v>204</v>
      </c>
      <c r="BL1351" s="1" t="str">
        <f>"1622"</f>
        <v>1622</v>
      </c>
      <c r="BM1351" s="1" t="str">
        <f>"0"</f>
        <v>0</v>
      </c>
      <c r="BN1351" s="1">
        <v>5200.0</v>
      </c>
      <c r="BO1351" s="1">
        <v>0.0</v>
      </c>
      <c r="BQ1351" s="1">
        <v>299.0</v>
      </c>
      <c r="BR1351" s="1">
        <v>299.0</v>
      </c>
      <c r="BS1351" s="1">
        <v>299.0</v>
      </c>
      <c r="BU1351" s="1" t="s">
        <v>758</v>
      </c>
      <c r="BV1351" s="1" t="s">
        <v>206</v>
      </c>
      <c r="BW1351" s="1" t="s">
        <v>207</v>
      </c>
      <c r="BY1351" s="1" t="s">
        <v>1043</v>
      </c>
      <c r="BZ1351" s="1" t="s">
        <v>209</v>
      </c>
      <c r="CA1351" s="1" t="s">
        <v>210</v>
      </c>
      <c r="CC1351" s="1" t="s">
        <v>584</v>
      </c>
      <c r="CD1351" s="1" t="s">
        <v>206</v>
      </c>
      <c r="CE1351" s="1" t="s">
        <v>207</v>
      </c>
      <c r="CG1351" s="1" t="s">
        <v>303</v>
      </c>
      <c r="CH1351" s="1" t="s">
        <v>209</v>
      </c>
      <c r="CI1351" s="1" t="s">
        <v>210</v>
      </c>
      <c r="CK1351" s="1" t="s">
        <v>1584</v>
      </c>
      <c r="CL1351" s="1" t="s">
        <v>206</v>
      </c>
      <c r="CM1351" s="1" t="s">
        <v>207</v>
      </c>
      <c r="CO1351" s="1" t="s">
        <v>1760</v>
      </c>
      <c r="CP1351" s="1" t="s">
        <v>206</v>
      </c>
      <c r="CQ1351" s="1" t="s">
        <v>207</v>
      </c>
      <c r="CS1351" s="1" t="s">
        <v>303</v>
      </c>
      <c r="CT1351" s="1" t="s">
        <v>206</v>
      </c>
      <c r="CU1351" s="1" t="s">
        <v>207</v>
      </c>
      <c r="CW1351" s="1" t="s">
        <v>3508</v>
      </c>
      <c r="CX1351" s="1" t="s">
        <v>206</v>
      </c>
      <c r="CY1351" s="1" t="s">
        <v>210</v>
      </c>
      <c r="DA1351" s="1" t="s">
        <v>200</v>
      </c>
      <c r="DC1351" s="1" t="s">
        <v>216</v>
      </c>
      <c r="DE1351" s="1" t="s">
        <v>273</v>
      </c>
      <c r="DF1351" s="1" t="s">
        <v>619</v>
      </c>
      <c r="DG1351" s="1" t="s">
        <v>337</v>
      </c>
      <c r="DH1351" s="1" t="s">
        <v>365</v>
      </c>
      <c r="DI1351" s="1" t="s">
        <v>1141</v>
      </c>
      <c r="DJ1351" s="1" t="s">
        <v>222</v>
      </c>
      <c r="DL1351" s="1" t="s">
        <v>223</v>
      </c>
      <c r="DM1351" s="1" t="s">
        <v>229</v>
      </c>
      <c r="DO1351" s="1" t="s">
        <v>549</v>
      </c>
      <c r="DP1351" s="1" t="s">
        <v>340</v>
      </c>
      <c r="DQ1351" s="1" t="s">
        <v>228</v>
      </c>
      <c r="DR1351" s="1" t="s">
        <v>229</v>
      </c>
      <c r="DS1351" s="1" t="s">
        <v>230</v>
      </c>
      <c r="DU1351" s="1" t="s">
        <v>2070</v>
      </c>
      <c r="DV1351" s="1" t="s">
        <v>232</v>
      </c>
      <c r="DW1351" s="1" t="s">
        <v>279</v>
      </c>
      <c r="DX1351" s="1" t="s">
        <v>234</v>
      </c>
      <c r="DY1351" s="1" t="s">
        <v>553</v>
      </c>
      <c r="DZ1351" s="1" t="s">
        <v>405</v>
      </c>
      <c r="EA1351" s="1" t="s">
        <v>644</v>
      </c>
      <c r="EC1351" s="1" t="s">
        <v>237</v>
      </c>
      <c r="ED1351" s="1" t="s">
        <v>555</v>
      </c>
      <c r="EM1351" s="1" t="s">
        <v>238</v>
      </c>
      <c r="EQ1351" s="1" t="s">
        <v>238</v>
      </c>
      <c r="EU1351" s="1" t="s">
        <v>238</v>
      </c>
      <c r="EY1351" s="1" t="s">
        <v>238</v>
      </c>
      <c r="FC1351" s="1" t="s">
        <v>238</v>
      </c>
      <c r="FF1351" s="1" t="s">
        <v>239</v>
      </c>
      <c r="FG1351" s="1" t="s">
        <v>192</v>
      </c>
      <c r="FH1351" s="1" t="s">
        <v>192</v>
      </c>
      <c r="FJ1351" s="1" t="s">
        <v>1288</v>
      </c>
      <c r="FK1351" s="1" t="s">
        <v>229</v>
      </c>
      <c r="FL1351" s="1" t="s">
        <v>14117</v>
      </c>
      <c r="FM1351" s="1">
        <v>16121.0</v>
      </c>
      <c r="FN1351" s="1" t="s">
        <v>14118</v>
      </c>
      <c r="FO1351" s="1" t="s">
        <v>14119</v>
      </c>
      <c r="FP1351" s="1">
        <v>153577.0</v>
      </c>
      <c r="FQ1351" s="1" t="s">
        <v>14118</v>
      </c>
      <c r="FR1351" s="1">
        <v>145932.0</v>
      </c>
      <c r="FU1351" s="1" t="s">
        <v>14120</v>
      </c>
      <c r="FV1351" s="1" t="s">
        <v>200</v>
      </c>
      <c r="FW1351" s="1" t="s">
        <v>290</v>
      </c>
      <c r="FX1351" s="1" t="s">
        <v>238</v>
      </c>
      <c r="FZ1351" s="1" t="s">
        <v>229</v>
      </c>
      <c r="GA1351" s="1" t="s">
        <v>291</v>
      </c>
      <c r="GB1351" s="2">
        <v>42136.0</v>
      </c>
      <c r="GC1351" s="1" t="s">
        <v>14121</v>
      </c>
    </row>
    <row r="1352">
      <c r="A1352" s="1">
        <v>195000.0</v>
      </c>
      <c r="B1352" s="1" t="s">
        <v>185</v>
      </c>
      <c r="C1352" s="1" t="str">
        <f>"08859687"</f>
        <v>08859687</v>
      </c>
      <c r="D1352" s="1" t="s">
        <v>186</v>
      </c>
      <c r="F1352" s="1" t="str">
        <f>"8056"</f>
        <v>8056</v>
      </c>
      <c r="G1352" s="2">
        <v>42075.0</v>
      </c>
      <c r="H1352" s="1">
        <v>184900.0</v>
      </c>
      <c r="I1352" s="1">
        <v>14.0</v>
      </c>
      <c r="J1352" s="1">
        <v>184900.0</v>
      </c>
      <c r="K1352" s="2">
        <v>42088.0</v>
      </c>
      <c r="L1352" s="1">
        <v>14.0</v>
      </c>
      <c r="M1352" s="2">
        <v>42088.0</v>
      </c>
      <c r="N1352" s="1" t="s">
        <v>356</v>
      </c>
      <c r="O1352" s="2">
        <v>42150.0</v>
      </c>
      <c r="P1352" s="1">
        <v>877398.0</v>
      </c>
      <c r="Q1352" s="1">
        <v>10988.0</v>
      </c>
      <c r="R1352" s="1">
        <v>5000.0</v>
      </c>
      <c r="S1352" s="1">
        <v>5534.0</v>
      </c>
      <c r="T1352" s="1" t="s">
        <v>9321</v>
      </c>
      <c r="U1352" s="1" t="s">
        <v>189</v>
      </c>
      <c r="V1352" s="1" t="s">
        <v>190</v>
      </c>
      <c r="W1352" s="1">
        <v>60638.0</v>
      </c>
      <c r="Y1352" s="1" t="s">
        <v>14122</v>
      </c>
      <c r="Z1352" s="1">
        <v>1949.0</v>
      </c>
      <c r="AA1352" s="1" t="s">
        <v>192</v>
      </c>
      <c r="AB1352" s="1" t="s">
        <v>193</v>
      </c>
      <c r="AD1352" s="1" t="s">
        <v>194</v>
      </c>
      <c r="AE1352" s="1" t="s">
        <v>195</v>
      </c>
      <c r="AF1352" s="1" t="s">
        <v>659</v>
      </c>
      <c r="AH1352" s="1" t="s">
        <v>1501</v>
      </c>
      <c r="AI1352" s="1">
        <v>0.0861</v>
      </c>
      <c r="AK1352" s="1">
        <v>6.0</v>
      </c>
      <c r="AL1352" s="1">
        <v>4.0</v>
      </c>
      <c r="AM1352" s="1">
        <v>2.0</v>
      </c>
      <c r="AN1352" s="1">
        <v>0.0</v>
      </c>
      <c r="AO1352" s="1" t="s">
        <v>229</v>
      </c>
      <c r="AQ1352" s="1" t="s">
        <v>198</v>
      </c>
      <c r="AR1352" s="1" t="s">
        <v>200</v>
      </c>
      <c r="AS1352" s="1" t="s">
        <v>199</v>
      </c>
      <c r="AT1352" s="1">
        <v>2.0</v>
      </c>
      <c r="AV1352" s="1" t="s">
        <v>200</v>
      </c>
      <c r="AW1352" s="1">
        <v>2494.4</v>
      </c>
      <c r="AX1352" s="1">
        <v>2013.0</v>
      </c>
      <c r="AY1352" s="1" t="s">
        <v>387</v>
      </c>
      <c r="AZ1352" s="1" t="s">
        <v>200</v>
      </c>
      <c r="BA1352" s="1" t="str">
        <f>"19171050370000"</f>
        <v>19171050370000</v>
      </c>
      <c r="BC1352" s="1">
        <v>1250.0</v>
      </c>
      <c r="BD1352" s="1">
        <v>195000.0</v>
      </c>
      <c r="BE1352" s="2">
        <v>42075.0</v>
      </c>
      <c r="BF1352" s="1" t="s">
        <v>14123</v>
      </c>
      <c r="BH1352" s="1">
        <v>0.0</v>
      </c>
      <c r="BK1352" s="1" t="s">
        <v>204</v>
      </c>
      <c r="BL1352" s="1" t="str">
        <f t="shared" ref="BL1352:BM1352" si="891">"0"</f>
        <v>0</v>
      </c>
      <c r="BM1352" s="1" t="str">
        <f t="shared" si="891"/>
        <v>0</v>
      </c>
      <c r="BN1352" s="1">
        <v>6100.0</v>
      </c>
      <c r="BO1352" s="1">
        <v>5500.0</v>
      </c>
      <c r="BQ1352" s="1">
        <v>299.0</v>
      </c>
      <c r="BR1352" s="1">
        <v>299.0</v>
      </c>
      <c r="BS1352" s="1">
        <v>299.0</v>
      </c>
      <c r="BU1352" s="1" t="s">
        <v>4403</v>
      </c>
      <c r="BV1352" s="1" t="s">
        <v>206</v>
      </c>
      <c r="BY1352" s="1" t="s">
        <v>302</v>
      </c>
      <c r="BZ1352" s="1" t="s">
        <v>206</v>
      </c>
      <c r="CD1352" s="1" t="s">
        <v>204</v>
      </c>
      <c r="CG1352" s="1" t="s">
        <v>495</v>
      </c>
      <c r="CH1352" s="1" t="s">
        <v>206</v>
      </c>
      <c r="CK1352" s="1" t="s">
        <v>303</v>
      </c>
      <c r="CL1352" s="1" t="s">
        <v>209</v>
      </c>
      <c r="CO1352" s="1" t="s">
        <v>663</v>
      </c>
      <c r="CP1352" s="1" t="s">
        <v>209</v>
      </c>
      <c r="CS1352" s="1" t="s">
        <v>1190</v>
      </c>
      <c r="CT1352" s="1" t="s">
        <v>206</v>
      </c>
      <c r="CX1352" s="1" t="s">
        <v>204</v>
      </c>
      <c r="DA1352" s="1" t="s">
        <v>200</v>
      </c>
      <c r="DC1352" s="1" t="s">
        <v>702</v>
      </c>
      <c r="DE1352" s="1" t="s">
        <v>229</v>
      </c>
      <c r="DF1352" s="1" t="s">
        <v>219</v>
      </c>
      <c r="DH1352" s="1" t="s">
        <v>365</v>
      </c>
      <c r="DJ1352" s="1" t="s">
        <v>222</v>
      </c>
      <c r="DL1352" s="1" t="s">
        <v>223</v>
      </c>
      <c r="DM1352" s="1" t="s">
        <v>229</v>
      </c>
      <c r="DQ1352" s="1" t="s">
        <v>228</v>
      </c>
      <c r="DR1352" s="1" t="s">
        <v>229</v>
      </c>
      <c r="DV1352" s="1" t="s">
        <v>232</v>
      </c>
      <c r="DW1352" s="1" t="s">
        <v>279</v>
      </c>
      <c r="DX1352" s="1" t="s">
        <v>234</v>
      </c>
      <c r="EA1352" s="1" t="s">
        <v>1075</v>
      </c>
      <c r="EC1352" s="1" t="s">
        <v>645</v>
      </c>
      <c r="EM1352" s="1" t="s">
        <v>238</v>
      </c>
      <c r="EQ1352" s="1" t="s">
        <v>238</v>
      </c>
      <c r="EU1352" s="1" t="s">
        <v>238</v>
      </c>
      <c r="EY1352" s="1" t="s">
        <v>238</v>
      </c>
      <c r="FC1352" s="1" t="s">
        <v>238</v>
      </c>
      <c r="FF1352" s="1" t="s">
        <v>239</v>
      </c>
      <c r="FG1352" s="1" t="s">
        <v>192</v>
      </c>
      <c r="FH1352" s="1" t="s">
        <v>192</v>
      </c>
      <c r="FJ1352" s="1" t="s">
        <v>524</v>
      </c>
      <c r="FK1352" s="1" t="s">
        <v>229</v>
      </c>
      <c r="FL1352" s="1" t="s">
        <v>14124</v>
      </c>
      <c r="FM1352" s="1">
        <v>85118.0</v>
      </c>
      <c r="FN1352" s="1" t="s">
        <v>14125</v>
      </c>
      <c r="FO1352" s="1" t="s">
        <v>14126</v>
      </c>
      <c r="FP1352" s="1">
        <v>125393.0</v>
      </c>
      <c r="FQ1352" s="1" t="s">
        <v>14127</v>
      </c>
      <c r="FU1352" s="1" t="s">
        <v>14128</v>
      </c>
      <c r="FV1352" s="1" t="s">
        <v>200</v>
      </c>
      <c r="FW1352" s="1" t="s">
        <v>530</v>
      </c>
      <c r="FX1352" s="1" t="s">
        <v>655</v>
      </c>
      <c r="FZ1352" s="1" t="s">
        <v>229</v>
      </c>
      <c r="GA1352" s="1" t="s">
        <v>291</v>
      </c>
      <c r="GB1352" s="2">
        <v>42150.0</v>
      </c>
      <c r="GC1352" s="1" t="s">
        <v>14129</v>
      </c>
    </row>
    <row r="1353">
      <c r="A1353" s="1">
        <v>351000.0</v>
      </c>
      <c r="B1353" s="1" t="s">
        <v>185</v>
      </c>
      <c r="C1353" s="1" t="str">
        <f>"08864818"</f>
        <v>08864818</v>
      </c>
      <c r="D1353" s="1" t="s">
        <v>186</v>
      </c>
      <c r="F1353" s="1" t="str">
        <f>"177"</f>
        <v>177</v>
      </c>
      <c r="G1353" s="2">
        <v>42081.0</v>
      </c>
      <c r="H1353" s="1">
        <v>350000.0</v>
      </c>
      <c r="I1353" s="1">
        <v>4.0</v>
      </c>
      <c r="J1353" s="1">
        <v>350000.0</v>
      </c>
      <c r="K1353" s="2">
        <v>42084.0</v>
      </c>
      <c r="L1353" s="1">
        <v>4.0</v>
      </c>
      <c r="M1353" s="2">
        <v>42084.0</v>
      </c>
      <c r="N1353" s="1" t="s">
        <v>187</v>
      </c>
      <c r="O1353" s="2">
        <v>42135.0</v>
      </c>
      <c r="P1353" s="1">
        <v>82623.0</v>
      </c>
      <c r="Q1353" s="1">
        <v>8089.0</v>
      </c>
      <c r="S1353" s="1">
        <v>817.0</v>
      </c>
      <c r="T1353" s="1" t="s">
        <v>14130</v>
      </c>
      <c r="U1353" s="1" t="s">
        <v>569</v>
      </c>
      <c r="V1353" s="1" t="s">
        <v>2249</v>
      </c>
      <c r="W1353" s="1">
        <v>60177.0</v>
      </c>
      <c r="Y1353" s="1" t="s">
        <v>14131</v>
      </c>
      <c r="Z1353" s="1">
        <v>1999.0</v>
      </c>
      <c r="AA1353" s="1" t="s">
        <v>200</v>
      </c>
      <c r="AB1353" s="1" t="s">
        <v>467</v>
      </c>
      <c r="AC1353" s="1" t="s">
        <v>5341</v>
      </c>
      <c r="AD1353" s="1" t="s">
        <v>2252</v>
      </c>
      <c r="AE1353" s="1" t="s">
        <v>325</v>
      </c>
      <c r="AF1353" s="1" t="s">
        <v>1203</v>
      </c>
      <c r="AH1353" s="1" t="s">
        <v>6603</v>
      </c>
      <c r="AI1353" s="1">
        <v>0.22</v>
      </c>
      <c r="AK1353" s="1">
        <v>10.0</v>
      </c>
      <c r="AL1353" s="1">
        <v>4.0</v>
      </c>
      <c r="AM1353" s="1">
        <v>2.0</v>
      </c>
      <c r="AN1353" s="1">
        <v>1.0</v>
      </c>
      <c r="AO1353" s="1" t="s">
        <v>198</v>
      </c>
      <c r="AP1353" s="1">
        <v>1.0</v>
      </c>
      <c r="AQ1353" s="1" t="s">
        <v>198</v>
      </c>
      <c r="AR1353" s="1" t="s">
        <v>200</v>
      </c>
      <c r="AS1353" s="1" t="s">
        <v>199</v>
      </c>
      <c r="AT1353" s="1">
        <v>2.0</v>
      </c>
      <c r="AV1353" s="1" t="s">
        <v>200</v>
      </c>
      <c r="AW1353" s="1">
        <v>9088.0</v>
      </c>
      <c r="AX1353" s="1">
        <v>2014.0</v>
      </c>
      <c r="AY1353" s="1" t="s">
        <v>387</v>
      </c>
      <c r="AZ1353" s="1" t="s">
        <v>200</v>
      </c>
      <c r="BA1353" s="1" t="str">
        <f>"0905476005"</f>
        <v>0905476005</v>
      </c>
      <c r="BC1353" s="1">
        <v>2475.0</v>
      </c>
      <c r="BD1353" s="1">
        <v>351000.0</v>
      </c>
      <c r="BE1353" s="2">
        <v>42081.0</v>
      </c>
      <c r="BF1353" s="2" t="s">
        <v>14132</v>
      </c>
      <c r="BG1353" s="1" t="s">
        <v>4510</v>
      </c>
      <c r="BH1353" s="1">
        <v>117.0</v>
      </c>
      <c r="BI1353" s="1" t="s">
        <v>4511</v>
      </c>
      <c r="BJ1353" s="1" t="s">
        <v>2200</v>
      </c>
      <c r="BK1353" s="1" t="s">
        <v>1952</v>
      </c>
      <c r="BL1353" s="1" t="str">
        <f>"7"</f>
        <v>7</v>
      </c>
      <c r="BM1353" s="1" t="str">
        <f>"0"</f>
        <v>0</v>
      </c>
      <c r="BN1353" s="1">
        <v>37.0</v>
      </c>
      <c r="BO1353" s="1">
        <v>0.0</v>
      </c>
      <c r="BQ1353" s="1">
        <v>303.0</v>
      </c>
      <c r="BR1353" s="1">
        <v>303.0</v>
      </c>
      <c r="BS1353" s="1">
        <v>303.0</v>
      </c>
      <c r="BU1353" s="1" t="s">
        <v>1395</v>
      </c>
      <c r="BV1353" s="1" t="s">
        <v>206</v>
      </c>
      <c r="BW1353" s="1" t="s">
        <v>210</v>
      </c>
      <c r="BY1353" s="1" t="s">
        <v>2442</v>
      </c>
      <c r="BZ1353" s="1" t="s">
        <v>209</v>
      </c>
      <c r="CA1353" s="1" t="s">
        <v>210</v>
      </c>
      <c r="CC1353" s="1" t="s">
        <v>495</v>
      </c>
      <c r="CD1353" s="1" t="s">
        <v>206</v>
      </c>
      <c r="CE1353" s="1" t="s">
        <v>210</v>
      </c>
      <c r="CG1353" s="1" t="s">
        <v>699</v>
      </c>
      <c r="CH1353" s="1" t="s">
        <v>209</v>
      </c>
      <c r="CI1353" s="1" t="s">
        <v>210</v>
      </c>
      <c r="CK1353" s="1" t="s">
        <v>495</v>
      </c>
      <c r="CL1353" s="1" t="s">
        <v>209</v>
      </c>
      <c r="CM1353" s="1" t="s">
        <v>210</v>
      </c>
      <c r="CO1353" s="1" t="s">
        <v>495</v>
      </c>
      <c r="CP1353" s="1" t="s">
        <v>209</v>
      </c>
      <c r="CQ1353" s="1" t="s">
        <v>210</v>
      </c>
      <c r="CS1353" s="1" t="s">
        <v>332</v>
      </c>
      <c r="CT1353" s="1" t="s">
        <v>206</v>
      </c>
      <c r="CU1353" s="1" t="s">
        <v>207</v>
      </c>
      <c r="CW1353" s="1" t="s">
        <v>2219</v>
      </c>
      <c r="CX1353" s="1" t="s">
        <v>206</v>
      </c>
      <c r="CY1353" s="1" t="s">
        <v>210</v>
      </c>
      <c r="DA1353" s="1" t="s">
        <v>200</v>
      </c>
      <c r="DC1353" s="1" t="s">
        <v>678</v>
      </c>
      <c r="DD1353" s="1" t="s">
        <v>679</v>
      </c>
      <c r="DE1353" s="1" t="s">
        <v>273</v>
      </c>
      <c r="DF1353" s="1" t="s">
        <v>219</v>
      </c>
      <c r="DG1353" s="1" t="s">
        <v>8201</v>
      </c>
      <c r="DH1353" s="1" t="s">
        <v>220</v>
      </c>
      <c r="DI1353" s="1" t="s">
        <v>275</v>
      </c>
      <c r="DJ1353" s="1" t="s">
        <v>222</v>
      </c>
      <c r="DL1353" s="1" t="s">
        <v>223</v>
      </c>
      <c r="DM1353" s="1" t="s">
        <v>338</v>
      </c>
      <c r="DN1353" s="1" t="s">
        <v>548</v>
      </c>
      <c r="DP1353" s="1" t="s">
        <v>340</v>
      </c>
      <c r="DQ1353" s="1" t="s">
        <v>228</v>
      </c>
      <c r="DR1353" s="1" t="s">
        <v>2593</v>
      </c>
      <c r="DS1353" s="1" t="s">
        <v>230</v>
      </c>
      <c r="DU1353" s="1" t="s">
        <v>14133</v>
      </c>
      <c r="DV1353" s="1" t="s">
        <v>7010</v>
      </c>
      <c r="DW1353" s="1" t="s">
        <v>279</v>
      </c>
      <c r="DX1353" s="1" t="s">
        <v>234</v>
      </c>
      <c r="DY1353" s="1" t="s">
        <v>490</v>
      </c>
      <c r="DZ1353" s="1" t="s">
        <v>310</v>
      </c>
      <c r="EB1353" s="1" t="s">
        <v>5230</v>
      </c>
      <c r="EC1353" s="1" t="s">
        <v>237</v>
      </c>
      <c r="EG1353" s="1" t="s">
        <v>449</v>
      </c>
      <c r="EH1353" s="1" t="s">
        <v>598</v>
      </c>
      <c r="EL1353" s="1" t="s">
        <v>2460</v>
      </c>
      <c r="EM1353" s="1" t="s">
        <v>206</v>
      </c>
      <c r="EN1353" s="1" t="s">
        <v>207</v>
      </c>
      <c r="EP1353" s="1" t="s">
        <v>495</v>
      </c>
      <c r="EQ1353" s="1" t="s">
        <v>206</v>
      </c>
      <c r="ER1353" s="1" t="s">
        <v>301</v>
      </c>
      <c r="EU1353" s="1" t="s">
        <v>238</v>
      </c>
      <c r="EY1353" s="1" t="s">
        <v>238</v>
      </c>
      <c r="FC1353" s="1" t="s">
        <v>238</v>
      </c>
      <c r="FF1353" s="1" t="s">
        <v>239</v>
      </c>
      <c r="FG1353" s="1" t="s">
        <v>192</v>
      </c>
      <c r="FH1353" s="1" t="s">
        <v>192</v>
      </c>
      <c r="FJ1353" s="1" t="s">
        <v>285</v>
      </c>
      <c r="FK1353" s="1" t="s">
        <v>229</v>
      </c>
      <c r="FL1353" s="1" t="s">
        <v>456</v>
      </c>
      <c r="FM1353" s="1">
        <v>49.0</v>
      </c>
      <c r="FN1353" s="1" t="s">
        <v>457</v>
      </c>
      <c r="FO1353" s="1" t="s">
        <v>5232</v>
      </c>
      <c r="FP1353" s="1">
        <v>7841.0</v>
      </c>
      <c r="FU1353" s="1" t="s">
        <v>9013</v>
      </c>
      <c r="FV1353" s="1" t="s">
        <v>200</v>
      </c>
      <c r="FW1353" s="1" t="s">
        <v>290</v>
      </c>
      <c r="FZ1353" s="1" t="s">
        <v>229</v>
      </c>
      <c r="GA1353" s="1" t="s">
        <v>247</v>
      </c>
      <c r="GB1353" s="2">
        <v>42136.0</v>
      </c>
      <c r="GC1353" s="1" t="s">
        <v>14134</v>
      </c>
    </row>
    <row r="1354">
      <c r="A1354" s="1">
        <v>162000.0</v>
      </c>
      <c r="B1354" s="1" t="s">
        <v>185</v>
      </c>
      <c r="C1354" s="1" t="str">
        <f>"08861631"</f>
        <v>08861631</v>
      </c>
      <c r="D1354" s="1" t="s">
        <v>186</v>
      </c>
      <c r="F1354" s="1" t="str">
        <f>"8066"</f>
        <v>8066</v>
      </c>
      <c r="G1354" s="2">
        <v>42077.0</v>
      </c>
      <c r="H1354" s="1">
        <v>169900.0</v>
      </c>
      <c r="I1354" s="1">
        <v>51.0</v>
      </c>
      <c r="J1354" s="1">
        <v>169900.0</v>
      </c>
      <c r="K1354" s="2">
        <v>42094.0</v>
      </c>
      <c r="L1354" s="1">
        <v>18.0</v>
      </c>
      <c r="M1354" s="2">
        <v>42094.0</v>
      </c>
      <c r="N1354" s="1" t="s">
        <v>356</v>
      </c>
      <c r="O1354" s="2">
        <v>42135.0</v>
      </c>
      <c r="P1354" s="1">
        <v>111087.0</v>
      </c>
      <c r="Q1354" s="1">
        <v>12551.0</v>
      </c>
      <c r="R1354" s="1">
        <v>5000.0</v>
      </c>
      <c r="S1354" s="1">
        <v>3447.0</v>
      </c>
      <c r="T1354" s="1" t="s">
        <v>14135</v>
      </c>
      <c r="U1354" s="1" t="s">
        <v>694</v>
      </c>
      <c r="V1354" s="1" t="s">
        <v>190</v>
      </c>
      <c r="W1354" s="1">
        <v>60629.0</v>
      </c>
      <c r="Y1354" s="1" t="s">
        <v>14136</v>
      </c>
      <c r="Z1354" s="1">
        <v>1949.0</v>
      </c>
      <c r="AA1354" s="1" t="s">
        <v>192</v>
      </c>
      <c r="AB1354" s="1" t="s">
        <v>193</v>
      </c>
      <c r="AD1354" s="1" t="s">
        <v>194</v>
      </c>
      <c r="AE1354" s="1" t="s">
        <v>195</v>
      </c>
      <c r="AF1354" s="1" t="s">
        <v>659</v>
      </c>
      <c r="AH1354" s="1" t="s">
        <v>779</v>
      </c>
      <c r="AI1354" s="1">
        <v>0.0861</v>
      </c>
      <c r="AK1354" s="1">
        <v>7.0</v>
      </c>
      <c r="AL1354" s="1">
        <v>4.0</v>
      </c>
      <c r="AM1354" s="1">
        <v>1.0</v>
      </c>
      <c r="AN1354" s="1">
        <v>0.0</v>
      </c>
      <c r="AO1354" s="1" t="s">
        <v>229</v>
      </c>
      <c r="AQ1354" s="1" t="s">
        <v>198</v>
      </c>
      <c r="AR1354" s="1" t="s">
        <v>200</v>
      </c>
      <c r="AS1354" s="1" t="s">
        <v>199</v>
      </c>
      <c r="AT1354" s="1">
        <v>2.0</v>
      </c>
      <c r="AV1354" s="1" t="s">
        <v>200</v>
      </c>
      <c r="AW1354" s="1">
        <v>2166.0</v>
      </c>
      <c r="AX1354" s="1">
        <v>2013.0</v>
      </c>
      <c r="AZ1354" s="1" t="s">
        <v>200</v>
      </c>
      <c r="BA1354" s="1" t="str">
        <f>"19262030040000"</f>
        <v>19262030040000</v>
      </c>
      <c r="BB1354" s="1" t="s">
        <v>200</v>
      </c>
      <c r="BC1354" s="1">
        <v>1417.0</v>
      </c>
      <c r="BD1354" s="1">
        <v>162000.0</v>
      </c>
      <c r="BE1354" s="2">
        <v>42077.0</v>
      </c>
      <c r="BF1354" s="2" t="s">
        <v>14137</v>
      </c>
      <c r="BH1354" s="1">
        <v>0.0</v>
      </c>
      <c r="BK1354" s="1" t="s">
        <v>204</v>
      </c>
      <c r="BL1354" s="1" t="str">
        <f t="shared" ref="BL1354:BM1354" si="892">"0"</f>
        <v>0</v>
      </c>
      <c r="BM1354" s="1" t="str">
        <f t="shared" si="892"/>
        <v>0</v>
      </c>
      <c r="BN1354" s="1">
        <v>3447.0</v>
      </c>
      <c r="BO1354" s="1">
        <v>7100.0</v>
      </c>
      <c r="BQ1354" s="1">
        <v>299.0</v>
      </c>
      <c r="BR1354" s="1">
        <v>299.0</v>
      </c>
      <c r="BS1354" s="1">
        <v>299.0</v>
      </c>
      <c r="BU1354" s="1" t="s">
        <v>4403</v>
      </c>
      <c r="BV1354" s="1" t="s">
        <v>206</v>
      </c>
      <c r="BY1354" s="1" t="s">
        <v>302</v>
      </c>
      <c r="BZ1354" s="1" t="s">
        <v>206</v>
      </c>
      <c r="CC1354" s="1" t="s">
        <v>542</v>
      </c>
      <c r="CD1354" s="1" t="s">
        <v>206</v>
      </c>
      <c r="CG1354" s="1" t="s">
        <v>302</v>
      </c>
      <c r="CH1354" s="1" t="s">
        <v>206</v>
      </c>
      <c r="CK1354" s="1" t="s">
        <v>1044</v>
      </c>
      <c r="CL1354" s="1" t="s">
        <v>209</v>
      </c>
      <c r="CO1354" s="1" t="s">
        <v>1044</v>
      </c>
      <c r="CP1354" s="1" t="s">
        <v>209</v>
      </c>
      <c r="CS1354" s="1" t="s">
        <v>663</v>
      </c>
      <c r="CT1354" s="1" t="s">
        <v>206</v>
      </c>
      <c r="CX1354" s="1" t="s">
        <v>204</v>
      </c>
      <c r="DA1354" s="1" t="s">
        <v>200</v>
      </c>
      <c r="DC1354" s="1" t="s">
        <v>702</v>
      </c>
      <c r="DE1354" s="1" t="s">
        <v>229</v>
      </c>
      <c r="DF1354" s="1" t="s">
        <v>229</v>
      </c>
      <c r="DH1354" s="1" t="s">
        <v>220</v>
      </c>
      <c r="DJ1354" s="1" t="s">
        <v>222</v>
      </c>
      <c r="DL1354" s="1" t="s">
        <v>223</v>
      </c>
      <c r="DM1354" s="1" t="s">
        <v>229</v>
      </c>
      <c r="DQ1354" s="1" t="s">
        <v>228</v>
      </c>
      <c r="DR1354" s="1" t="s">
        <v>229</v>
      </c>
      <c r="DV1354" s="1" t="s">
        <v>232</v>
      </c>
      <c r="DW1354" s="1" t="s">
        <v>279</v>
      </c>
      <c r="DX1354" s="1" t="s">
        <v>3205</v>
      </c>
      <c r="EC1354" s="1" t="s">
        <v>645</v>
      </c>
      <c r="EE1354" s="1" t="s">
        <v>493</v>
      </c>
      <c r="EM1354" s="1" t="s">
        <v>238</v>
      </c>
      <c r="EQ1354" s="1" t="s">
        <v>238</v>
      </c>
      <c r="EU1354" s="1" t="s">
        <v>238</v>
      </c>
      <c r="EY1354" s="1" t="s">
        <v>238</v>
      </c>
      <c r="FC1354" s="1" t="s">
        <v>238</v>
      </c>
      <c r="FF1354" s="1" t="s">
        <v>239</v>
      </c>
      <c r="FG1354" s="1" t="s">
        <v>192</v>
      </c>
      <c r="FH1354" s="1" t="s">
        <v>192</v>
      </c>
      <c r="FJ1354" s="1" t="s">
        <v>14138</v>
      </c>
      <c r="FK1354" s="1" t="s">
        <v>557</v>
      </c>
      <c r="FL1354" s="1" t="s">
        <v>2037</v>
      </c>
      <c r="FM1354" s="1">
        <v>84624.0</v>
      </c>
      <c r="FN1354" s="1" t="s">
        <v>4240</v>
      </c>
      <c r="FO1354" s="1" t="s">
        <v>14139</v>
      </c>
      <c r="FP1354" s="1">
        <v>130860.0</v>
      </c>
      <c r="FQ1354" s="1" t="s">
        <v>14140</v>
      </c>
      <c r="FU1354" s="1" t="s">
        <v>14141</v>
      </c>
      <c r="FV1354" s="1" t="s">
        <v>200</v>
      </c>
      <c r="FW1354" s="1" t="s">
        <v>290</v>
      </c>
      <c r="FX1354" s="1" t="s">
        <v>246</v>
      </c>
      <c r="FZ1354" s="1" t="s">
        <v>2993</v>
      </c>
      <c r="GA1354" s="1" t="s">
        <v>291</v>
      </c>
      <c r="GB1354" s="2">
        <v>42135.0</v>
      </c>
      <c r="GC1354" s="1" t="s">
        <v>14142</v>
      </c>
    </row>
    <row r="1355">
      <c r="A1355" s="1">
        <v>415000.0</v>
      </c>
      <c r="B1355" s="1" t="s">
        <v>185</v>
      </c>
      <c r="C1355" s="1" t="str">
        <f>"08861947"</f>
        <v>08861947</v>
      </c>
      <c r="D1355" s="1" t="s">
        <v>186</v>
      </c>
      <c r="F1355" s="1" t="str">
        <f>"134"</f>
        <v>134</v>
      </c>
      <c r="G1355" s="2">
        <v>42078.0</v>
      </c>
      <c r="H1355" s="1">
        <v>439900.0</v>
      </c>
      <c r="I1355" s="1">
        <v>48.0</v>
      </c>
      <c r="J1355" s="1">
        <v>439900.0</v>
      </c>
      <c r="K1355" s="2">
        <v>42107.0</v>
      </c>
      <c r="L1355" s="1">
        <v>30.0</v>
      </c>
      <c r="M1355" s="2">
        <v>42107.0</v>
      </c>
      <c r="N1355" s="1" t="s">
        <v>187</v>
      </c>
      <c r="O1355" s="2">
        <v>42139.0</v>
      </c>
      <c r="P1355" s="1">
        <v>236297.0</v>
      </c>
      <c r="Q1355" s="1">
        <v>25718.0</v>
      </c>
      <c r="S1355" s="1">
        <v>210.0</v>
      </c>
      <c r="T1355" s="1" t="s">
        <v>14143</v>
      </c>
      <c r="U1355" s="1" t="s">
        <v>844</v>
      </c>
      <c r="V1355" s="1" t="s">
        <v>421</v>
      </c>
      <c r="W1355" s="1">
        <v>60134.0</v>
      </c>
      <c r="Y1355" s="1" t="s">
        <v>14144</v>
      </c>
      <c r="Z1355" s="1">
        <v>2001.0</v>
      </c>
      <c r="AA1355" s="1" t="s">
        <v>200</v>
      </c>
      <c r="AB1355" s="1" t="s">
        <v>193</v>
      </c>
      <c r="AC1355" s="1" t="s">
        <v>14145</v>
      </c>
      <c r="AD1355" s="1" t="s">
        <v>424</v>
      </c>
      <c r="AE1355" s="1" t="s">
        <v>325</v>
      </c>
      <c r="AF1355" s="1" t="s">
        <v>424</v>
      </c>
      <c r="AG1355" s="1" t="s">
        <v>10165</v>
      </c>
      <c r="AH1355" s="1" t="s">
        <v>14146</v>
      </c>
      <c r="AI1355" s="1">
        <v>0.46</v>
      </c>
      <c r="AK1355" s="1">
        <v>10.0</v>
      </c>
      <c r="AL1355" s="1">
        <v>4.0</v>
      </c>
      <c r="AM1355" s="1">
        <v>3.0</v>
      </c>
      <c r="AN1355" s="1">
        <v>1.0</v>
      </c>
      <c r="AO1355" s="1" t="s">
        <v>198</v>
      </c>
      <c r="AP1355" s="1">
        <v>1.0</v>
      </c>
      <c r="AQ1355" s="1" t="s">
        <v>327</v>
      </c>
      <c r="AR1355" s="1" t="s">
        <v>200</v>
      </c>
      <c r="AS1355" s="1" t="s">
        <v>199</v>
      </c>
      <c r="AT1355" s="1">
        <v>2.0</v>
      </c>
      <c r="AV1355" s="1" t="s">
        <v>200</v>
      </c>
      <c r="AW1355" s="1">
        <v>11481.24</v>
      </c>
      <c r="AX1355" s="1">
        <v>2013.0</v>
      </c>
      <c r="AY1355" s="1" t="s">
        <v>387</v>
      </c>
      <c r="AZ1355" s="1" t="s">
        <v>200</v>
      </c>
      <c r="BA1355" s="1" t="str">
        <f>"1205152014"</f>
        <v>1205152014</v>
      </c>
      <c r="BB1355" s="1" t="s">
        <v>200</v>
      </c>
      <c r="BC1355" s="1">
        <v>3387.0</v>
      </c>
      <c r="BD1355" s="1">
        <v>415000.0</v>
      </c>
      <c r="BE1355" s="2">
        <v>42078.0</v>
      </c>
      <c r="BF1355" s="2" t="s">
        <v>14147</v>
      </c>
      <c r="BG1355" s="1" t="s">
        <v>7493</v>
      </c>
      <c r="BH1355" s="1">
        <v>78.0</v>
      </c>
      <c r="BI1355" s="1" t="s">
        <v>429</v>
      </c>
      <c r="BJ1355" s="1" t="s">
        <v>430</v>
      </c>
      <c r="BK1355" s="1" t="s">
        <v>580</v>
      </c>
      <c r="BL1355" s="1" t="str">
        <f>"1"</f>
        <v>1</v>
      </c>
      <c r="BM1355" s="1" t="str">
        <f t="shared" ref="BM1355:BM1356" si="893">"0"</f>
        <v>0</v>
      </c>
      <c r="BN1355" s="1">
        <v>37.0</v>
      </c>
      <c r="BO1355" s="1">
        <v>0.0</v>
      </c>
      <c r="BQ1355" s="1">
        <v>304.0</v>
      </c>
      <c r="BR1355" s="1">
        <v>304.0</v>
      </c>
      <c r="BS1355" s="1">
        <v>304.0</v>
      </c>
      <c r="BU1355" s="1" t="s">
        <v>758</v>
      </c>
      <c r="BV1355" s="1" t="s">
        <v>206</v>
      </c>
      <c r="BW1355" s="1" t="s">
        <v>210</v>
      </c>
      <c r="BX1355" s="1" t="s">
        <v>239</v>
      </c>
      <c r="BY1355" s="1" t="s">
        <v>3595</v>
      </c>
      <c r="BZ1355" s="1" t="s">
        <v>209</v>
      </c>
      <c r="CA1355" s="1" t="s">
        <v>210</v>
      </c>
      <c r="CB1355" s="1" t="s">
        <v>239</v>
      </c>
      <c r="CC1355" s="1" t="s">
        <v>392</v>
      </c>
      <c r="CD1355" s="1" t="s">
        <v>206</v>
      </c>
      <c r="CE1355" s="1" t="s">
        <v>210</v>
      </c>
      <c r="CF1355" s="1" t="s">
        <v>239</v>
      </c>
      <c r="CG1355" s="1" t="s">
        <v>1426</v>
      </c>
      <c r="CH1355" s="1" t="s">
        <v>209</v>
      </c>
      <c r="CI1355" s="1" t="s">
        <v>210</v>
      </c>
      <c r="CJ1355" s="1" t="s">
        <v>239</v>
      </c>
      <c r="CK1355" s="1" t="s">
        <v>758</v>
      </c>
      <c r="CL1355" s="1" t="s">
        <v>209</v>
      </c>
      <c r="CM1355" s="1" t="s">
        <v>210</v>
      </c>
      <c r="CN1355" s="1" t="s">
        <v>239</v>
      </c>
      <c r="CO1355" s="1" t="s">
        <v>205</v>
      </c>
      <c r="CP1355" s="1" t="s">
        <v>206</v>
      </c>
      <c r="CQ1355" s="1" t="s">
        <v>210</v>
      </c>
      <c r="CR1355" s="1" t="s">
        <v>239</v>
      </c>
      <c r="CS1355" s="1" t="s">
        <v>477</v>
      </c>
      <c r="CT1355" s="1" t="s">
        <v>206</v>
      </c>
      <c r="CU1355" s="1" t="s">
        <v>268</v>
      </c>
      <c r="CV1355" s="1" t="s">
        <v>239</v>
      </c>
      <c r="CW1355" s="1" t="s">
        <v>715</v>
      </c>
      <c r="CX1355" s="1" t="s">
        <v>206</v>
      </c>
      <c r="CY1355" s="1" t="s">
        <v>210</v>
      </c>
      <c r="CZ1355" s="1" t="s">
        <v>239</v>
      </c>
      <c r="DA1355" s="1" t="s">
        <v>200</v>
      </c>
      <c r="DC1355" s="1" t="s">
        <v>335</v>
      </c>
      <c r="DD1355" s="1" t="s">
        <v>436</v>
      </c>
      <c r="DE1355" s="1" t="s">
        <v>1810</v>
      </c>
      <c r="DF1355" s="1" t="s">
        <v>619</v>
      </c>
      <c r="DG1355" s="1" t="s">
        <v>5528</v>
      </c>
      <c r="DH1355" s="1" t="s">
        <v>220</v>
      </c>
      <c r="DI1355" s="1" t="s">
        <v>5225</v>
      </c>
      <c r="DJ1355" s="1" t="s">
        <v>222</v>
      </c>
      <c r="DL1355" s="1" t="s">
        <v>484</v>
      </c>
      <c r="DM1355" s="1" t="s">
        <v>929</v>
      </c>
      <c r="DN1355" s="1" t="s">
        <v>399</v>
      </c>
      <c r="DO1355" s="1" t="s">
        <v>2838</v>
      </c>
      <c r="DP1355" s="1" t="s">
        <v>340</v>
      </c>
      <c r="DQ1355" s="1" t="s">
        <v>441</v>
      </c>
      <c r="DR1355" s="1" t="s">
        <v>1185</v>
      </c>
      <c r="DS1355" s="1" t="s">
        <v>591</v>
      </c>
      <c r="DU1355" s="1" t="s">
        <v>10606</v>
      </c>
      <c r="DV1355" s="1" t="s">
        <v>1188</v>
      </c>
      <c r="DW1355" s="1" t="s">
        <v>444</v>
      </c>
      <c r="DX1355" s="1" t="s">
        <v>234</v>
      </c>
      <c r="DY1355" s="1" t="s">
        <v>14148</v>
      </c>
      <c r="DZ1355" s="1" t="s">
        <v>1100</v>
      </c>
      <c r="EA1355" s="1" t="s">
        <v>344</v>
      </c>
      <c r="EB1355" s="1" t="s">
        <v>2183</v>
      </c>
      <c r="EC1355" s="1" t="s">
        <v>237</v>
      </c>
      <c r="ED1355" s="1" t="s">
        <v>407</v>
      </c>
      <c r="EE1355" s="1" t="s">
        <v>493</v>
      </c>
      <c r="EG1355" s="1" t="s">
        <v>494</v>
      </c>
      <c r="EH1355" s="1" t="s">
        <v>341</v>
      </c>
      <c r="EL1355" s="1" t="s">
        <v>212</v>
      </c>
      <c r="EM1355" s="1" t="s">
        <v>206</v>
      </c>
      <c r="EN1355" s="1" t="s">
        <v>210</v>
      </c>
      <c r="EO1355" s="1" t="s">
        <v>239</v>
      </c>
      <c r="EP1355" s="1" t="s">
        <v>205</v>
      </c>
      <c r="EQ1355" s="1" t="s">
        <v>209</v>
      </c>
      <c r="ER1355" s="1" t="s">
        <v>210</v>
      </c>
      <c r="ES1355" s="1" t="s">
        <v>239</v>
      </c>
      <c r="EU1355" s="1" t="s">
        <v>238</v>
      </c>
      <c r="EY1355" s="1" t="s">
        <v>238</v>
      </c>
      <c r="FC1355" s="1" t="s">
        <v>238</v>
      </c>
      <c r="FF1355" s="1" t="s">
        <v>239</v>
      </c>
      <c r="FG1355" s="1" t="s">
        <v>192</v>
      </c>
      <c r="FH1355" s="1" t="s">
        <v>192</v>
      </c>
      <c r="FJ1355" s="1" t="s">
        <v>624</v>
      </c>
      <c r="FK1355" s="1" t="s">
        <v>229</v>
      </c>
      <c r="FL1355" s="1" t="s">
        <v>1212</v>
      </c>
      <c r="FM1355" s="1">
        <v>30.0</v>
      </c>
      <c r="FN1355" s="1" t="s">
        <v>1213</v>
      </c>
      <c r="FO1355" s="1" t="s">
        <v>3614</v>
      </c>
      <c r="FP1355" s="1">
        <v>1405.0</v>
      </c>
      <c r="FQ1355" s="1" t="s">
        <v>3615</v>
      </c>
      <c r="FS1355" s="1" t="s">
        <v>3616</v>
      </c>
      <c r="FU1355" s="1" t="s">
        <v>14149</v>
      </c>
      <c r="FV1355" s="1" t="s">
        <v>200</v>
      </c>
      <c r="FW1355" s="1" t="s">
        <v>4843</v>
      </c>
      <c r="FZ1355" s="1" t="s">
        <v>229</v>
      </c>
      <c r="GA1355" s="1" t="s">
        <v>291</v>
      </c>
      <c r="GB1355" s="2">
        <v>42140.0</v>
      </c>
      <c r="GC1355" s="1" t="s">
        <v>14150</v>
      </c>
    </row>
    <row r="1356">
      <c r="A1356" s="1">
        <v>99000.0</v>
      </c>
      <c r="B1356" s="1" t="s">
        <v>185</v>
      </c>
      <c r="C1356" s="1" t="str">
        <f>"08865943"</f>
        <v>08865943</v>
      </c>
      <c r="D1356" s="1" t="s">
        <v>186</v>
      </c>
      <c r="F1356" s="1" t="str">
        <f>"8025"</f>
        <v>8025</v>
      </c>
      <c r="G1356" s="2">
        <v>42082.0</v>
      </c>
      <c r="H1356" s="1">
        <v>99000.0</v>
      </c>
      <c r="I1356" s="1">
        <v>14.0</v>
      </c>
      <c r="J1356" s="1">
        <v>99000.0</v>
      </c>
      <c r="K1356" s="2">
        <v>42095.0</v>
      </c>
      <c r="L1356" s="1">
        <v>14.0</v>
      </c>
      <c r="M1356" s="2">
        <v>42095.0</v>
      </c>
      <c r="N1356" s="1" t="s">
        <v>187</v>
      </c>
      <c r="O1356" s="2">
        <v>42145.0</v>
      </c>
      <c r="P1356" s="1">
        <v>121658.0</v>
      </c>
      <c r="Q1356" s="1">
        <v>84124.0</v>
      </c>
      <c r="S1356" s="1">
        <v>5958.0</v>
      </c>
      <c r="T1356" s="1" t="s">
        <v>12439</v>
      </c>
      <c r="U1356" s="1" t="s">
        <v>320</v>
      </c>
      <c r="V1356" s="1" t="s">
        <v>190</v>
      </c>
      <c r="W1356" s="1">
        <v>60644.0</v>
      </c>
      <c r="Y1356" s="1" t="s">
        <v>14151</v>
      </c>
      <c r="Z1356" s="1" t="s">
        <v>296</v>
      </c>
      <c r="AA1356" s="1" t="s">
        <v>192</v>
      </c>
      <c r="AB1356" s="1" t="s">
        <v>193</v>
      </c>
      <c r="AD1356" s="1" t="s">
        <v>194</v>
      </c>
      <c r="AE1356" s="1" t="s">
        <v>195</v>
      </c>
      <c r="AF1356" s="1" t="s">
        <v>827</v>
      </c>
      <c r="AH1356" s="1" t="s">
        <v>359</v>
      </c>
      <c r="AK1356" s="1">
        <v>7.0</v>
      </c>
      <c r="AL1356" s="1">
        <v>4.0</v>
      </c>
      <c r="AM1356" s="1">
        <v>2.0</v>
      </c>
      <c r="AN1356" s="1">
        <v>0.0</v>
      </c>
      <c r="AO1356" s="1" t="s">
        <v>229</v>
      </c>
      <c r="AQ1356" s="1" t="s">
        <v>198</v>
      </c>
      <c r="AR1356" s="1" t="s">
        <v>192</v>
      </c>
      <c r="AS1356" s="1" t="s">
        <v>828</v>
      </c>
      <c r="AU1356" s="1">
        <v>2.0</v>
      </c>
      <c r="AV1356" s="1" t="s">
        <v>200</v>
      </c>
      <c r="AW1356" s="1">
        <v>2600.0</v>
      </c>
      <c r="AX1356" s="1">
        <v>2014.0</v>
      </c>
      <c r="AY1356" s="1" t="s">
        <v>14152</v>
      </c>
      <c r="AZ1356" s="1" t="s">
        <v>200</v>
      </c>
      <c r="BA1356" s="1" t="str">
        <f>"16082030210000"</f>
        <v>16082030210000</v>
      </c>
      <c r="BB1356" s="1" t="s">
        <v>200</v>
      </c>
      <c r="BC1356" s="1">
        <v>2000.0</v>
      </c>
      <c r="BD1356" s="1">
        <v>99000.0</v>
      </c>
      <c r="BE1356" s="2">
        <v>42082.0</v>
      </c>
      <c r="BF1356" s="2" t="s">
        <v>14153</v>
      </c>
      <c r="BH1356" s="1">
        <v>0.0</v>
      </c>
      <c r="BK1356" s="1" t="s">
        <v>204</v>
      </c>
      <c r="BL1356" s="1" t="str">
        <f>"700"</f>
        <v>700</v>
      </c>
      <c r="BM1356" s="1" t="str">
        <f t="shared" si="893"/>
        <v>0</v>
      </c>
      <c r="BN1356" s="1">
        <v>5958.0</v>
      </c>
      <c r="BO1356" s="1">
        <v>0.0</v>
      </c>
      <c r="BQ1356" s="1">
        <v>299.0</v>
      </c>
      <c r="BR1356" s="1">
        <v>299.0</v>
      </c>
      <c r="BS1356" s="1">
        <v>299.0</v>
      </c>
      <c r="BU1356" s="1" t="s">
        <v>758</v>
      </c>
      <c r="BV1356" s="1" t="s">
        <v>206</v>
      </c>
      <c r="BW1356" s="1" t="s">
        <v>207</v>
      </c>
      <c r="BY1356" s="1" t="s">
        <v>331</v>
      </c>
      <c r="BZ1356" s="1" t="s">
        <v>209</v>
      </c>
      <c r="CA1356" s="1" t="s">
        <v>210</v>
      </c>
      <c r="CC1356" s="1" t="s">
        <v>1045</v>
      </c>
      <c r="CD1356" s="1" t="s">
        <v>206</v>
      </c>
      <c r="CE1356" s="1" t="s">
        <v>207</v>
      </c>
      <c r="CG1356" s="1" t="s">
        <v>265</v>
      </c>
      <c r="CH1356" s="1" t="s">
        <v>209</v>
      </c>
      <c r="CK1356" s="1" t="s">
        <v>478</v>
      </c>
      <c r="CL1356" s="1" t="s">
        <v>209</v>
      </c>
      <c r="CO1356" s="1" t="s">
        <v>302</v>
      </c>
      <c r="CP1356" s="1" t="s">
        <v>209</v>
      </c>
      <c r="CQ1356" s="1" t="s">
        <v>210</v>
      </c>
      <c r="CR1356" s="1" t="s">
        <v>229</v>
      </c>
      <c r="CS1356" s="1" t="s">
        <v>584</v>
      </c>
      <c r="CT1356" s="1" t="s">
        <v>206</v>
      </c>
      <c r="CX1356" s="1" t="s">
        <v>204</v>
      </c>
      <c r="DA1356" s="1" t="s">
        <v>200</v>
      </c>
      <c r="DC1356" s="1" t="s">
        <v>702</v>
      </c>
      <c r="DD1356" s="1" t="s">
        <v>518</v>
      </c>
      <c r="DE1356" s="1" t="s">
        <v>229</v>
      </c>
      <c r="DF1356" s="1" t="s">
        <v>619</v>
      </c>
      <c r="DH1356" s="1" t="s">
        <v>365</v>
      </c>
      <c r="DJ1356" s="1" t="s">
        <v>222</v>
      </c>
      <c r="DL1356" s="1" t="s">
        <v>224</v>
      </c>
      <c r="DM1356" s="1" t="s">
        <v>229</v>
      </c>
      <c r="DP1356" s="1" t="s">
        <v>340</v>
      </c>
      <c r="DQ1356" s="1" t="s">
        <v>228</v>
      </c>
      <c r="DR1356" s="1" t="s">
        <v>229</v>
      </c>
      <c r="DV1356" s="1" t="s">
        <v>374</v>
      </c>
      <c r="DW1356" s="1" t="s">
        <v>667</v>
      </c>
      <c r="DX1356" s="1" t="s">
        <v>234</v>
      </c>
      <c r="EC1356" s="1" t="s">
        <v>237</v>
      </c>
      <c r="EF1356" s="1" t="s">
        <v>14154</v>
      </c>
      <c r="EG1356" s="1" t="s">
        <v>374</v>
      </c>
      <c r="EL1356" s="1" t="s">
        <v>14155</v>
      </c>
      <c r="EM1356" s="1" t="s">
        <v>206</v>
      </c>
      <c r="EN1356" s="1" t="s">
        <v>210</v>
      </c>
      <c r="EQ1356" s="1" t="s">
        <v>238</v>
      </c>
      <c r="EU1356" s="1" t="s">
        <v>238</v>
      </c>
      <c r="EY1356" s="1" t="s">
        <v>238</v>
      </c>
      <c r="FC1356" s="1" t="s">
        <v>238</v>
      </c>
      <c r="FF1356" s="1" t="s">
        <v>239</v>
      </c>
      <c r="FG1356" s="1" t="s">
        <v>192</v>
      </c>
      <c r="FH1356" s="1" t="s">
        <v>192</v>
      </c>
      <c r="FJ1356" s="1" t="s">
        <v>1450</v>
      </c>
      <c r="FK1356" s="1" t="s">
        <v>229</v>
      </c>
      <c r="FL1356" s="1" t="s">
        <v>562</v>
      </c>
      <c r="FM1356" s="1">
        <v>17665.0</v>
      </c>
      <c r="FN1356" s="1" t="s">
        <v>2998</v>
      </c>
      <c r="FO1356" s="1" t="s">
        <v>14156</v>
      </c>
      <c r="FP1356" s="1">
        <v>136353.0</v>
      </c>
      <c r="FQ1356" s="1" t="s">
        <v>14157</v>
      </c>
      <c r="FU1356" s="1" t="s">
        <v>14158</v>
      </c>
      <c r="FV1356" s="1" t="s">
        <v>200</v>
      </c>
      <c r="FW1356" s="1" t="s">
        <v>530</v>
      </c>
      <c r="FX1356" s="1" t="s">
        <v>246</v>
      </c>
      <c r="FZ1356" s="1" t="s">
        <v>229</v>
      </c>
      <c r="GA1356" s="1" t="s">
        <v>291</v>
      </c>
      <c r="GB1356" s="2">
        <v>42145.0</v>
      </c>
      <c r="GC1356" s="1" t="s">
        <v>14159</v>
      </c>
    </row>
    <row r="1357">
      <c r="A1357" s="1">
        <v>530000.0</v>
      </c>
      <c r="B1357" s="1" t="s">
        <v>185</v>
      </c>
      <c r="C1357" s="1" t="str">
        <f>"08863693"</f>
        <v>08863693</v>
      </c>
      <c r="D1357" s="1" t="s">
        <v>186</v>
      </c>
      <c r="F1357" s="1" t="str">
        <f>"134"</f>
        <v>134</v>
      </c>
      <c r="G1357" s="2">
        <v>42080.0</v>
      </c>
      <c r="H1357" s="1">
        <v>559900.0</v>
      </c>
      <c r="I1357" s="1">
        <v>36.0</v>
      </c>
      <c r="J1357" s="1">
        <v>559900.0</v>
      </c>
      <c r="K1357" s="2">
        <v>42115.0</v>
      </c>
      <c r="L1357" s="1">
        <v>36.0</v>
      </c>
      <c r="M1357" s="2">
        <v>42115.0</v>
      </c>
      <c r="N1357" s="1" t="s">
        <v>187</v>
      </c>
      <c r="O1357" s="2">
        <v>42139.0</v>
      </c>
      <c r="P1357" s="1">
        <v>1455.0</v>
      </c>
      <c r="Q1357" s="1">
        <v>357.0</v>
      </c>
      <c r="S1357" s="1">
        <v>703.0</v>
      </c>
      <c r="T1357" s="1" t="s">
        <v>1039</v>
      </c>
      <c r="U1357" s="1" t="s">
        <v>569</v>
      </c>
      <c r="V1357" s="1" t="s">
        <v>421</v>
      </c>
      <c r="W1357" s="1">
        <v>60134.0</v>
      </c>
      <c r="Y1357" s="1" t="s">
        <v>14160</v>
      </c>
      <c r="Z1357" s="1">
        <v>2003.0</v>
      </c>
      <c r="AA1357" s="1" t="s">
        <v>200</v>
      </c>
      <c r="AB1357" s="1" t="s">
        <v>467</v>
      </c>
      <c r="AC1357" s="1" t="s">
        <v>1039</v>
      </c>
      <c r="AD1357" s="1" t="s">
        <v>424</v>
      </c>
      <c r="AE1357" s="1" t="s">
        <v>325</v>
      </c>
      <c r="AF1357" s="1" t="s">
        <v>424</v>
      </c>
      <c r="AH1357" s="1">
        <v>16331.0</v>
      </c>
      <c r="AI1357" s="1">
        <v>0.3</v>
      </c>
      <c r="AK1357" s="1">
        <v>10.0</v>
      </c>
      <c r="AL1357" s="1">
        <v>4.0</v>
      </c>
      <c r="AM1357" s="1">
        <v>3.0</v>
      </c>
      <c r="AN1357" s="1">
        <v>1.0</v>
      </c>
      <c r="AO1357" s="1" t="s">
        <v>198</v>
      </c>
      <c r="AP1357" s="1">
        <v>1.0</v>
      </c>
      <c r="AQ1357" s="1" t="s">
        <v>198</v>
      </c>
      <c r="AR1357" s="1" t="s">
        <v>200</v>
      </c>
      <c r="AS1357" s="1" t="s">
        <v>199</v>
      </c>
      <c r="AT1357" s="1">
        <v>3.0</v>
      </c>
      <c r="AV1357" s="1" t="s">
        <v>200</v>
      </c>
      <c r="AW1357" s="1">
        <v>14029.52</v>
      </c>
      <c r="AX1357" s="1">
        <v>2013.0</v>
      </c>
      <c r="AZ1357" s="1" t="s">
        <v>200</v>
      </c>
      <c r="BA1357" s="1" t="str">
        <f>"1211153008"</f>
        <v>1211153008</v>
      </c>
      <c r="BC1357" s="1">
        <v>2962.0</v>
      </c>
      <c r="BD1357" s="1">
        <v>530000.0</v>
      </c>
      <c r="BE1357" s="2">
        <v>42080.0</v>
      </c>
      <c r="BF1357" s="2" t="s">
        <v>14161</v>
      </c>
      <c r="BH1357" s="1">
        <v>400.0</v>
      </c>
      <c r="BK1357" s="1" t="s">
        <v>580</v>
      </c>
      <c r="BL1357" s="1" t="str">
        <f t="shared" ref="BL1357:BM1357" si="894">""</f>
        <v/>
      </c>
      <c r="BM1357" s="1" t="str">
        <f t="shared" si="894"/>
        <v/>
      </c>
      <c r="BQ1357" s="1">
        <v>304.0</v>
      </c>
      <c r="BR1357" s="1">
        <v>304.0</v>
      </c>
      <c r="BS1357" s="1">
        <v>304.0</v>
      </c>
      <c r="BU1357" s="1" t="s">
        <v>433</v>
      </c>
      <c r="BV1357" s="1" t="s">
        <v>206</v>
      </c>
      <c r="BW1357" s="1" t="s">
        <v>210</v>
      </c>
      <c r="BY1357" s="1" t="s">
        <v>1892</v>
      </c>
      <c r="BZ1357" s="1" t="s">
        <v>209</v>
      </c>
      <c r="CA1357" s="1" t="s">
        <v>210</v>
      </c>
      <c r="CC1357" s="1" t="s">
        <v>262</v>
      </c>
      <c r="CD1357" s="1" t="s">
        <v>206</v>
      </c>
      <c r="CE1357" s="1" t="s">
        <v>210</v>
      </c>
      <c r="CG1357" s="1" t="s">
        <v>262</v>
      </c>
      <c r="CH1357" s="1" t="s">
        <v>209</v>
      </c>
      <c r="CI1357" s="1" t="s">
        <v>210</v>
      </c>
      <c r="CK1357" s="1" t="s">
        <v>331</v>
      </c>
      <c r="CL1357" s="1" t="s">
        <v>209</v>
      </c>
      <c r="CM1357" s="1" t="s">
        <v>210</v>
      </c>
      <c r="CO1357" s="1" t="s">
        <v>332</v>
      </c>
      <c r="CP1357" s="1" t="s">
        <v>209</v>
      </c>
      <c r="CQ1357" s="1" t="s">
        <v>210</v>
      </c>
      <c r="CS1357" s="1" t="s">
        <v>215</v>
      </c>
      <c r="CT1357" s="1" t="s">
        <v>206</v>
      </c>
      <c r="CU1357" s="1" t="s">
        <v>207</v>
      </c>
      <c r="CW1357" s="1" t="s">
        <v>639</v>
      </c>
      <c r="CX1357" s="1" t="s">
        <v>206</v>
      </c>
      <c r="CY1357" s="1" t="s">
        <v>207</v>
      </c>
      <c r="DA1357" s="1" t="s">
        <v>200</v>
      </c>
      <c r="DC1357" s="1" t="s">
        <v>335</v>
      </c>
      <c r="DD1357" s="1" t="s">
        <v>4023</v>
      </c>
      <c r="DE1357" s="1" t="s">
        <v>273</v>
      </c>
      <c r="DF1357" s="1" t="s">
        <v>219</v>
      </c>
      <c r="DG1357" s="1" t="s">
        <v>482</v>
      </c>
      <c r="DH1357" s="1" t="s">
        <v>220</v>
      </c>
      <c r="DI1357" s="1" t="s">
        <v>1978</v>
      </c>
      <c r="DJ1357" s="1" t="s">
        <v>222</v>
      </c>
      <c r="DK1357" s="1" t="s">
        <v>223</v>
      </c>
      <c r="DL1357" s="1" t="s">
        <v>223</v>
      </c>
      <c r="DM1357" s="1" t="s">
        <v>929</v>
      </c>
      <c r="DP1357" s="1" t="s">
        <v>340</v>
      </c>
      <c r="DQ1357" s="1" t="s">
        <v>441</v>
      </c>
      <c r="DR1357" s="1" t="s">
        <v>1487</v>
      </c>
      <c r="DS1357" s="1" t="s">
        <v>591</v>
      </c>
      <c r="DU1357" s="1" t="s">
        <v>14162</v>
      </c>
      <c r="DV1357" s="1" t="s">
        <v>4513</v>
      </c>
      <c r="DW1357" s="1" t="s">
        <v>1820</v>
      </c>
      <c r="DX1357" s="1" t="s">
        <v>234</v>
      </c>
      <c r="DY1357" s="1" t="s">
        <v>2841</v>
      </c>
      <c r="EB1357" s="1" t="s">
        <v>937</v>
      </c>
      <c r="EC1357" s="1" t="s">
        <v>237</v>
      </c>
      <c r="EG1357" s="1" t="s">
        <v>449</v>
      </c>
      <c r="EH1357" s="1" t="s">
        <v>494</v>
      </c>
      <c r="EL1357" s="1" t="s">
        <v>332</v>
      </c>
      <c r="EM1357" s="1" t="s">
        <v>206</v>
      </c>
      <c r="EN1357" s="1" t="s">
        <v>207</v>
      </c>
      <c r="EP1357" s="1" t="s">
        <v>212</v>
      </c>
      <c r="EQ1357" s="1" t="s">
        <v>206</v>
      </c>
      <c r="ER1357" s="1" t="s">
        <v>207</v>
      </c>
      <c r="EU1357" s="1" t="s">
        <v>238</v>
      </c>
      <c r="EY1357" s="1" t="s">
        <v>238</v>
      </c>
      <c r="FC1357" s="1" t="s">
        <v>238</v>
      </c>
      <c r="FF1357" s="1" t="s">
        <v>239</v>
      </c>
      <c r="FG1357" s="1" t="s">
        <v>192</v>
      </c>
      <c r="FH1357" s="1" t="s">
        <v>192</v>
      </c>
      <c r="FJ1357" s="1" t="s">
        <v>4181</v>
      </c>
      <c r="FK1357" s="1" t="s">
        <v>348</v>
      </c>
      <c r="FL1357" s="1" t="s">
        <v>1358</v>
      </c>
      <c r="FM1357" s="1">
        <v>23591.0</v>
      </c>
      <c r="FN1357" s="1" t="s">
        <v>2134</v>
      </c>
      <c r="FO1357" s="1" t="s">
        <v>13574</v>
      </c>
      <c r="FP1357" s="1">
        <v>230524.0</v>
      </c>
      <c r="FQ1357" s="1" t="s">
        <v>13575</v>
      </c>
      <c r="FR1357" s="1">
        <v>234121.0</v>
      </c>
      <c r="FU1357" s="1" t="s">
        <v>14163</v>
      </c>
      <c r="FV1357" s="1" t="s">
        <v>200</v>
      </c>
      <c r="FW1357" s="1" t="s">
        <v>14164</v>
      </c>
      <c r="FZ1357" s="1" t="s">
        <v>229</v>
      </c>
      <c r="GA1357" s="1" t="s">
        <v>291</v>
      </c>
      <c r="GB1357" s="2">
        <v>42139.0</v>
      </c>
    </row>
    <row r="1358">
      <c r="A1358" s="1">
        <v>41054.0</v>
      </c>
      <c r="B1358" s="1" t="s">
        <v>185</v>
      </c>
      <c r="C1358" s="1" t="str">
        <f>"08868887"</f>
        <v>08868887</v>
      </c>
      <c r="D1358" s="1" t="s">
        <v>186</v>
      </c>
      <c r="F1358" s="1" t="str">
        <f>"8066"</f>
        <v>8066</v>
      </c>
      <c r="G1358" s="2">
        <v>42086.0</v>
      </c>
      <c r="H1358" s="1">
        <v>43000.0</v>
      </c>
      <c r="I1358" s="1">
        <v>40.0</v>
      </c>
      <c r="J1358" s="1">
        <v>0.0</v>
      </c>
      <c r="K1358" s="2">
        <v>42125.0</v>
      </c>
      <c r="L1358" s="1">
        <v>40.0</v>
      </c>
      <c r="M1358" s="2">
        <v>42125.0</v>
      </c>
      <c r="N1358" s="1" t="s">
        <v>249</v>
      </c>
      <c r="O1358" s="2">
        <v>42142.0</v>
      </c>
      <c r="P1358" s="1">
        <v>148914.0</v>
      </c>
      <c r="Q1358" s="1">
        <v>18373.0</v>
      </c>
      <c r="S1358" s="1">
        <v>6534.0</v>
      </c>
      <c r="T1358" s="1" t="s">
        <v>1422</v>
      </c>
      <c r="U1358" s="1" t="s">
        <v>189</v>
      </c>
      <c r="V1358" s="1" t="s">
        <v>190</v>
      </c>
      <c r="W1358" s="1">
        <v>60629.0</v>
      </c>
      <c r="Y1358" s="1" t="s">
        <v>14165</v>
      </c>
      <c r="Z1358" s="1">
        <v>1914.0</v>
      </c>
      <c r="AA1358" s="1" t="s">
        <v>192</v>
      </c>
      <c r="AB1358" s="1" t="s">
        <v>193</v>
      </c>
      <c r="AD1358" s="1" t="s">
        <v>194</v>
      </c>
      <c r="AE1358" s="1" t="s">
        <v>195</v>
      </c>
      <c r="AF1358" s="1" t="s">
        <v>1154</v>
      </c>
      <c r="AH1358" s="1">
        <v>3750.0</v>
      </c>
      <c r="AI1358" s="1">
        <v>0.0861</v>
      </c>
      <c r="AK1358" s="1">
        <v>7.0</v>
      </c>
      <c r="AL1358" s="1">
        <v>4.0</v>
      </c>
      <c r="AM1358" s="1">
        <v>1.0</v>
      </c>
      <c r="AN1358" s="1">
        <v>0.0</v>
      </c>
      <c r="AO1358" s="1" t="s">
        <v>229</v>
      </c>
      <c r="AP1358" s="1">
        <v>1.0</v>
      </c>
      <c r="AQ1358" s="1" t="s">
        <v>198</v>
      </c>
      <c r="AR1358" s="1" t="s">
        <v>200</v>
      </c>
      <c r="AS1358" s="1" t="s">
        <v>229</v>
      </c>
      <c r="AV1358" s="1" t="s">
        <v>200</v>
      </c>
      <c r="AW1358" s="1">
        <v>1291.86</v>
      </c>
      <c r="AX1358" s="1">
        <v>2013.0</v>
      </c>
      <c r="AZ1358" s="1" t="s">
        <v>545</v>
      </c>
      <c r="BA1358" s="1" t="str">
        <f>"19242200310000"</f>
        <v>19242200310000</v>
      </c>
      <c r="BC1358" s="1">
        <v>1350.0</v>
      </c>
      <c r="BD1358" s="1">
        <v>41054.0</v>
      </c>
      <c r="BE1358" s="2">
        <v>42086.0</v>
      </c>
      <c r="BF1358" s="2" t="s">
        <v>3507</v>
      </c>
      <c r="BH1358" s="1">
        <v>0.0</v>
      </c>
      <c r="BK1358" s="1" t="s">
        <v>204</v>
      </c>
      <c r="BL1358" s="1" t="str">
        <f t="shared" ref="BL1358:BM1358" si="895">"0"</f>
        <v>0</v>
      </c>
      <c r="BM1358" s="1" t="str">
        <f t="shared" si="895"/>
        <v>0</v>
      </c>
      <c r="BN1358" s="1">
        <v>2550.0</v>
      </c>
      <c r="BO1358" s="1">
        <v>6534.0</v>
      </c>
      <c r="BQ1358" s="1">
        <v>299.0</v>
      </c>
      <c r="BR1358" s="1">
        <v>299.0</v>
      </c>
      <c r="BS1358" s="1">
        <v>299.0</v>
      </c>
      <c r="BU1358" s="1" t="s">
        <v>2713</v>
      </c>
      <c r="BV1358" s="1" t="s">
        <v>206</v>
      </c>
      <c r="BY1358" s="1" t="s">
        <v>331</v>
      </c>
      <c r="BZ1358" s="1" t="s">
        <v>206</v>
      </c>
      <c r="CC1358" s="1" t="s">
        <v>1395</v>
      </c>
      <c r="CD1358" s="1" t="s">
        <v>206</v>
      </c>
      <c r="CG1358" s="1" t="s">
        <v>495</v>
      </c>
      <c r="CH1358" s="1" t="s">
        <v>206</v>
      </c>
      <c r="CK1358" s="1" t="s">
        <v>269</v>
      </c>
      <c r="CL1358" s="1" t="s">
        <v>206</v>
      </c>
      <c r="CO1358" s="1" t="s">
        <v>1395</v>
      </c>
      <c r="CP1358" s="1" t="s">
        <v>206</v>
      </c>
      <c r="CS1358" s="1" t="s">
        <v>2459</v>
      </c>
      <c r="CT1358" s="1" t="s">
        <v>206</v>
      </c>
      <c r="CX1358" s="1" t="s">
        <v>204</v>
      </c>
      <c r="DA1358" s="1" t="s">
        <v>200</v>
      </c>
      <c r="DC1358" s="1" t="s">
        <v>642</v>
      </c>
      <c r="DE1358" s="1" t="s">
        <v>14166</v>
      </c>
      <c r="DF1358" s="1" t="s">
        <v>619</v>
      </c>
      <c r="DH1358" s="1" t="s">
        <v>365</v>
      </c>
      <c r="DJ1358" s="1" t="s">
        <v>222</v>
      </c>
      <c r="DK1358" s="1" t="s">
        <v>224</v>
      </c>
      <c r="DL1358" s="1" t="s">
        <v>858</v>
      </c>
      <c r="DM1358" s="1" t="s">
        <v>229</v>
      </c>
      <c r="DQ1358" s="1" t="s">
        <v>228</v>
      </c>
      <c r="DR1358" s="1" t="s">
        <v>229</v>
      </c>
      <c r="DV1358" s="1" t="s">
        <v>232</v>
      </c>
      <c r="DW1358" s="1" t="s">
        <v>279</v>
      </c>
      <c r="DX1358" s="1" t="s">
        <v>234</v>
      </c>
      <c r="EC1358" s="1" t="s">
        <v>645</v>
      </c>
      <c r="EE1358" s="1" t="s">
        <v>1960</v>
      </c>
      <c r="EM1358" s="1" t="s">
        <v>238</v>
      </c>
      <c r="EQ1358" s="1" t="s">
        <v>238</v>
      </c>
      <c r="EU1358" s="1" t="s">
        <v>238</v>
      </c>
      <c r="EY1358" s="1" t="s">
        <v>238</v>
      </c>
      <c r="FC1358" s="1" t="s">
        <v>238</v>
      </c>
      <c r="FF1358" s="1" t="s">
        <v>239</v>
      </c>
      <c r="FG1358" s="1" t="s">
        <v>192</v>
      </c>
      <c r="FH1358" s="1" t="s">
        <v>192</v>
      </c>
      <c r="FJ1358" s="1" t="s">
        <v>524</v>
      </c>
      <c r="FK1358" s="1" t="s">
        <v>229</v>
      </c>
      <c r="FL1358" s="1" t="s">
        <v>3033</v>
      </c>
      <c r="FM1358" s="1">
        <v>1984.0</v>
      </c>
      <c r="FN1358" s="1" t="s">
        <v>3034</v>
      </c>
      <c r="FO1358" s="1" t="s">
        <v>14167</v>
      </c>
      <c r="FP1358" s="1">
        <v>242897.0</v>
      </c>
      <c r="FU1358" s="1" t="s">
        <v>3036</v>
      </c>
      <c r="FV1358" s="1" t="s">
        <v>200</v>
      </c>
      <c r="FW1358" s="1" t="s">
        <v>14168</v>
      </c>
      <c r="FX1358" s="1" t="s">
        <v>655</v>
      </c>
      <c r="FZ1358" s="1" t="s">
        <v>229</v>
      </c>
      <c r="GA1358" s="1" t="s">
        <v>291</v>
      </c>
      <c r="GB1358" s="2">
        <v>42144.0</v>
      </c>
      <c r="GC1358" s="1" t="s">
        <v>7564</v>
      </c>
    </row>
    <row r="1359">
      <c r="A1359" s="1">
        <v>235000.0</v>
      </c>
      <c r="B1359" s="1" t="s">
        <v>185</v>
      </c>
      <c r="C1359" s="1" t="str">
        <f>"08866761"</f>
        <v>08866761</v>
      </c>
      <c r="D1359" s="1" t="s">
        <v>186</v>
      </c>
      <c r="F1359" s="1" t="str">
        <f>"8011"</f>
        <v>8011</v>
      </c>
      <c r="G1359" s="2">
        <v>42082.0</v>
      </c>
      <c r="H1359" s="1">
        <v>239000.0</v>
      </c>
      <c r="I1359" s="1">
        <v>60.0</v>
      </c>
      <c r="J1359" s="1">
        <v>239000.0</v>
      </c>
      <c r="K1359" s="2">
        <v>42086.0</v>
      </c>
      <c r="L1359" s="1">
        <v>5.0</v>
      </c>
      <c r="M1359" s="2">
        <v>42086.0</v>
      </c>
      <c r="N1359" s="1" t="s">
        <v>356</v>
      </c>
      <c r="O1359" s="2">
        <v>42122.0</v>
      </c>
      <c r="P1359" s="1">
        <v>84103.0</v>
      </c>
      <c r="Q1359" s="1">
        <v>8414.0</v>
      </c>
      <c r="S1359" s="1">
        <v>5718.0</v>
      </c>
      <c r="T1359" s="1" t="s">
        <v>14169</v>
      </c>
      <c r="U1359" s="1" t="s">
        <v>189</v>
      </c>
      <c r="V1359" s="1" t="s">
        <v>190</v>
      </c>
      <c r="W1359" s="1">
        <v>60646.0</v>
      </c>
      <c r="Y1359" s="1" t="s">
        <v>14170</v>
      </c>
      <c r="Z1359" s="1">
        <v>1923.0</v>
      </c>
      <c r="AA1359" s="1" t="s">
        <v>192</v>
      </c>
      <c r="AB1359" s="1" t="s">
        <v>193</v>
      </c>
      <c r="AD1359" s="1" t="s">
        <v>194</v>
      </c>
      <c r="AE1359" s="1" t="s">
        <v>195</v>
      </c>
      <c r="AF1359" s="1" t="s">
        <v>196</v>
      </c>
      <c r="AH1359" s="1" t="s">
        <v>14171</v>
      </c>
      <c r="AK1359" s="1">
        <v>8.0</v>
      </c>
      <c r="AL1359" s="1">
        <v>4.0</v>
      </c>
      <c r="AM1359" s="1">
        <v>2.0</v>
      </c>
      <c r="AN1359" s="1">
        <v>0.0</v>
      </c>
      <c r="AO1359" s="1" t="s">
        <v>229</v>
      </c>
      <c r="AQ1359" s="1" t="s">
        <v>198</v>
      </c>
      <c r="AR1359" s="1" t="s">
        <v>200</v>
      </c>
      <c r="AS1359" s="1" t="s">
        <v>229</v>
      </c>
      <c r="AV1359" s="1" t="s">
        <v>200</v>
      </c>
      <c r="AW1359" s="1">
        <v>4158.26</v>
      </c>
      <c r="AX1359" s="1">
        <v>2013.0</v>
      </c>
      <c r="AY1359" s="1" t="s">
        <v>387</v>
      </c>
      <c r="AZ1359" s="1" t="s">
        <v>200</v>
      </c>
      <c r="BA1359" s="1" t="str">
        <f>"13054150100000"</f>
        <v>13054150100000</v>
      </c>
      <c r="BB1359" s="1" t="s">
        <v>200</v>
      </c>
      <c r="BC1359" s="1">
        <v>1510.0</v>
      </c>
      <c r="BD1359" s="1">
        <v>235000.0</v>
      </c>
      <c r="BE1359" s="2">
        <v>42082.0</v>
      </c>
      <c r="BF1359" s="2" t="s">
        <v>14172</v>
      </c>
      <c r="BH1359" s="1">
        <v>0.0</v>
      </c>
      <c r="BK1359" s="1" t="s">
        <v>204</v>
      </c>
      <c r="BL1359" s="1" t="str">
        <f>"5718"</f>
        <v>5718</v>
      </c>
      <c r="BM1359" s="1" t="str">
        <f t="shared" ref="BM1359:BM1360" si="896">"0"</f>
        <v>0</v>
      </c>
      <c r="BN1359" s="1">
        <v>5561.0</v>
      </c>
      <c r="BO1359" s="1">
        <v>0.0</v>
      </c>
      <c r="BQ1359" s="1">
        <v>299.0</v>
      </c>
      <c r="BR1359" s="1">
        <v>299.0</v>
      </c>
      <c r="BS1359" s="1">
        <v>299.0</v>
      </c>
      <c r="BU1359" s="1" t="s">
        <v>758</v>
      </c>
      <c r="BV1359" s="1" t="s">
        <v>206</v>
      </c>
      <c r="BW1359" s="1" t="s">
        <v>207</v>
      </c>
      <c r="BX1359" s="1" t="s">
        <v>239</v>
      </c>
      <c r="BY1359" s="1" t="s">
        <v>264</v>
      </c>
      <c r="BZ1359" s="1" t="s">
        <v>206</v>
      </c>
      <c r="CA1359" s="1" t="s">
        <v>207</v>
      </c>
      <c r="CB1359" s="1" t="s">
        <v>239</v>
      </c>
      <c r="CC1359" s="1" t="s">
        <v>332</v>
      </c>
      <c r="CD1359" s="1" t="s">
        <v>206</v>
      </c>
      <c r="CE1359" s="1" t="s">
        <v>207</v>
      </c>
      <c r="CF1359" s="1" t="s">
        <v>239</v>
      </c>
      <c r="CG1359" s="1" t="s">
        <v>516</v>
      </c>
      <c r="CH1359" s="1" t="s">
        <v>206</v>
      </c>
      <c r="CI1359" s="1" t="s">
        <v>207</v>
      </c>
      <c r="CJ1359" s="1" t="s">
        <v>239</v>
      </c>
      <c r="CK1359" s="1" t="s">
        <v>363</v>
      </c>
      <c r="CL1359" s="1" t="s">
        <v>209</v>
      </c>
      <c r="CM1359" s="1" t="s">
        <v>210</v>
      </c>
      <c r="CN1359" s="1" t="s">
        <v>239</v>
      </c>
      <c r="CO1359" s="1" t="s">
        <v>454</v>
      </c>
      <c r="CP1359" s="1" t="s">
        <v>209</v>
      </c>
      <c r="CQ1359" s="1" t="s">
        <v>207</v>
      </c>
      <c r="CR1359" s="1" t="s">
        <v>239</v>
      </c>
      <c r="CS1359" s="1" t="s">
        <v>212</v>
      </c>
      <c r="CT1359" s="1" t="s">
        <v>206</v>
      </c>
      <c r="CU1359" s="1" t="s">
        <v>617</v>
      </c>
      <c r="CV1359" s="1" t="s">
        <v>239</v>
      </c>
      <c r="CW1359" s="1" t="s">
        <v>1745</v>
      </c>
      <c r="CX1359" s="1" t="s">
        <v>206</v>
      </c>
      <c r="CY1359" s="1" t="s">
        <v>617</v>
      </c>
      <c r="CZ1359" s="1" t="s">
        <v>239</v>
      </c>
      <c r="DA1359" s="1" t="s">
        <v>200</v>
      </c>
      <c r="DC1359" s="1" t="s">
        <v>216</v>
      </c>
      <c r="DD1359" s="1" t="s">
        <v>855</v>
      </c>
      <c r="DE1359" s="1" t="s">
        <v>1139</v>
      </c>
      <c r="DF1359" s="1" t="s">
        <v>219</v>
      </c>
      <c r="DG1359" s="1" t="s">
        <v>337</v>
      </c>
      <c r="DH1359" s="1" t="s">
        <v>307</v>
      </c>
      <c r="DI1359" s="1" t="s">
        <v>1401</v>
      </c>
      <c r="DJ1359" s="1" t="s">
        <v>1048</v>
      </c>
      <c r="DK1359" s="1" t="s">
        <v>9115</v>
      </c>
      <c r="DL1359" s="1" t="s">
        <v>223</v>
      </c>
      <c r="DM1359" s="1" t="s">
        <v>338</v>
      </c>
      <c r="DO1359" s="1" t="s">
        <v>549</v>
      </c>
      <c r="DP1359" s="1" t="s">
        <v>276</v>
      </c>
      <c r="DQ1359" s="1" t="s">
        <v>441</v>
      </c>
      <c r="DR1359" s="1" t="s">
        <v>229</v>
      </c>
      <c r="DS1359" s="1" t="s">
        <v>230</v>
      </c>
      <c r="DU1359" s="1" t="s">
        <v>681</v>
      </c>
      <c r="DV1359" s="1" t="s">
        <v>232</v>
      </c>
      <c r="DW1359" s="1" t="s">
        <v>13090</v>
      </c>
      <c r="DX1359" s="1" t="s">
        <v>234</v>
      </c>
      <c r="DY1359" s="1" t="s">
        <v>553</v>
      </c>
      <c r="DZ1359" s="1" t="s">
        <v>1100</v>
      </c>
      <c r="EA1359" s="1" t="s">
        <v>644</v>
      </c>
      <c r="EC1359" s="1" t="s">
        <v>645</v>
      </c>
      <c r="EM1359" s="1" t="s">
        <v>238</v>
      </c>
      <c r="EQ1359" s="1" t="s">
        <v>238</v>
      </c>
      <c r="EU1359" s="1" t="s">
        <v>238</v>
      </c>
      <c r="EY1359" s="1" t="s">
        <v>238</v>
      </c>
      <c r="FC1359" s="1" t="s">
        <v>238</v>
      </c>
      <c r="FF1359" s="1" t="s">
        <v>239</v>
      </c>
      <c r="FG1359" s="1" t="s">
        <v>192</v>
      </c>
      <c r="FH1359" s="1" t="s">
        <v>192</v>
      </c>
      <c r="FJ1359" s="1" t="s">
        <v>14173</v>
      </c>
      <c r="FK1359" s="1" t="s">
        <v>229</v>
      </c>
      <c r="FL1359" s="1" t="s">
        <v>1663</v>
      </c>
      <c r="FM1359" s="1">
        <v>17299.0</v>
      </c>
      <c r="FN1359" s="1" t="s">
        <v>1664</v>
      </c>
      <c r="FO1359" s="1" t="s">
        <v>4472</v>
      </c>
      <c r="FP1359" s="1">
        <v>160713.0</v>
      </c>
      <c r="FQ1359" s="1" t="s">
        <v>4473</v>
      </c>
      <c r="FU1359" s="1" t="s">
        <v>871</v>
      </c>
      <c r="FV1359" s="1" t="s">
        <v>192</v>
      </c>
      <c r="FW1359" s="1" t="s">
        <v>1511</v>
      </c>
      <c r="FX1359" s="1" t="s">
        <v>238</v>
      </c>
      <c r="FZ1359" s="1" t="s">
        <v>632</v>
      </c>
      <c r="GA1359" s="1" t="s">
        <v>291</v>
      </c>
      <c r="GB1359" s="2">
        <v>42122.0</v>
      </c>
      <c r="GC1359" s="1" t="s">
        <v>871</v>
      </c>
    </row>
    <row r="1360">
      <c r="A1360" s="1">
        <v>474500.0</v>
      </c>
      <c r="B1360" s="1" t="s">
        <v>185</v>
      </c>
      <c r="C1360" s="1" t="str">
        <f>"08862167"</f>
        <v>08862167</v>
      </c>
      <c r="D1360" s="1" t="s">
        <v>186</v>
      </c>
      <c r="F1360" s="1" t="str">
        <f>"8014"</f>
        <v>8014</v>
      </c>
      <c r="G1360" s="2">
        <v>42078.0</v>
      </c>
      <c r="H1360" s="1">
        <v>474500.0</v>
      </c>
      <c r="I1360" s="1">
        <v>130.0</v>
      </c>
      <c r="J1360" s="1">
        <v>474500.0</v>
      </c>
      <c r="K1360" s="2">
        <v>42087.0</v>
      </c>
      <c r="L1360" s="1">
        <v>10.0</v>
      </c>
      <c r="M1360" s="2">
        <v>42087.0</v>
      </c>
      <c r="N1360" s="1" t="s">
        <v>187</v>
      </c>
      <c r="O1360" s="2">
        <v>42117.0</v>
      </c>
      <c r="P1360" s="1">
        <v>124518.0</v>
      </c>
      <c r="Q1360" s="1">
        <v>10272.0</v>
      </c>
      <c r="S1360" s="1">
        <v>4629.0</v>
      </c>
      <c r="T1360" s="1" t="s">
        <v>12311</v>
      </c>
      <c r="U1360" s="1" t="s">
        <v>189</v>
      </c>
      <c r="V1360" s="1" t="s">
        <v>190</v>
      </c>
      <c r="W1360" s="1">
        <v>60630.0</v>
      </c>
      <c r="Y1360" s="1" t="s">
        <v>12312</v>
      </c>
      <c r="Z1360" s="1">
        <v>2015.0</v>
      </c>
      <c r="AA1360" s="1" t="s">
        <v>200</v>
      </c>
      <c r="AB1360" s="1" t="s">
        <v>193</v>
      </c>
      <c r="AD1360" s="1" t="s">
        <v>194</v>
      </c>
      <c r="AE1360" s="1" t="s">
        <v>195</v>
      </c>
      <c r="AF1360" s="1" t="s">
        <v>196</v>
      </c>
      <c r="AH1360" s="1" t="s">
        <v>12313</v>
      </c>
      <c r="AK1360" s="1">
        <v>10.0</v>
      </c>
      <c r="AL1360" s="1">
        <v>4.0</v>
      </c>
      <c r="AM1360" s="1">
        <v>3.0</v>
      </c>
      <c r="AN1360" s="1">
        <v>1.0</v>
      </c>
      <c r="AO1360" s="1" t="s">
        <v>198</v>
      </c>
      <c r="AP1360" s="1">
        <v>0.0</v>
      </c>
      <c r="AQ1360" s="1" t="s">
        <v>472</v>
      </c>
      <c r="AR1360" s="1" t="s">
        <v>192</v>
      </c>
      <c r="AS1360" s="1" t="s">
        <v>199</v>
      </c>
      <c r="AT1360" s="1">
        <v>2.0</v>
      </c>
      <c r="AV1360" s="1" t="s">
        <v>200</v>
      </c>
      <c r="AW1360" s="1" t="s">
        <v>575</v>
      </c>
      <c r="AX1360" s="1">
        <v>2013.0</v>
      </c>
      <c r="AY1360" s="1" t="s">
        <v>229</v>
      </c>
      <c r="AZ1360" s="1" t="s">
        <v>200</v>
      </c>
      <c r="BA1360" s="1" t="str">
        <f>"13152220090000"</f>
        <v>13152220090000</v>
      </c>
      <c r="BB1360" s="1" t="s">
        <v>200</v>
      </c>
      <c r="BC1360" s="1">
        <v>0.0</v>
      </c>
      <c r="BD1360" s="1">
        <v>474500.0</v>
      </c>
      <c r="BE1360" s="2">
        <v>42078.0</v>
      </c>
      <c r="BF1360" s="2" t="s">
        <v>14174</v>
      </c>
      <c r="BG1360" s="1" t="s">
        <v>12315</v>
      </c>
      <c r="BH1360" s="1">
        <v>0.0</v>
      </c>
      <c r="BJ1360" s="1" t="s">
        <v>12316</v>
      </c>
      <c r="BK1360" s="1" t="s">
        <v>204</v>
      </c>
      <c r="BL1360" s="1" t="str">
        <f>"4629"</f>
        <v>4629</v>
      </c>
      <c r="BM1360" s="1" t="str">
        <f t="shared" si="896"/>
        <v>0</v>
      </c>
      <c r="BN1360" s="1">
        <v>4032.0</v>
      </c>
      <c r="BO1360" s="1">
        <v>0.0</v>
      </c>
      <c r="BQ1360" s="1">
        <v>299.0</v>
      </c>
      <c r="BR1360" s="1">
        <v>299.0</v>
      </c>
      <c r="BS1360" s="1">
        <v>299.0</v>
      </c>
      <c r="BU1360" s="1" t="s">
        <v>329</v>
      </c>
      <c r="BV1360" s="1" t="s">
        <v>206</v>
      </c>
      <c r="BW1360" s="1" t="s">
        <v>207</v>
      </c>
      <c r="BY1360" s="1" t="s">
        <v>434</v>
      </c>
      <c r="BZ1360" s="1" t="s">
        <v>209</v>
      </c>
      <c r="CA1360" s="1" t="s">
        <v>210</v>
      </c>
      <c r="CC1360" s="1" t="s">
        <v>758</v>
      </c>
      <c r="CD1360" s="1" t="s">
        <v>206</v>
      </c>
      <c r="CE1360" s="1" t="s">
        <v>207</v>
      </c>
      <c r="CG1360" s="1" t="s">
        <v>332</v>
      </c>
      <c r="CH1360" s="1" t="s">
        <v>209</v>
      </c>
      <c r="CI1360" s="1" t="s">
        <v>210</v>
      </c>
      <c r="CK1360" s="1" t="s">
        <v>332</v>
      </c>
      <c r="CL1360" s="1" t="s">
        <v>209</v>
      </c>
      <c r="CM1360" s="1" t="s">
        <v>210</v>
      </c>
      <c r="CO1360" s="1" t="s">
        <v>215</v>
      </c>
      <c r="CP1360" s="1" t="s">
        <v>267</v>
      </c>
      <c r="CQ1360" s="1" t="s">
        <v>210</v>
      </c>
      <c r="CS1360" s="1" t="s">
        <v>432</v>
      </c>
      <c r="CT1360" s="1" t="s">
        <v>206</v>
      </c>
      <c r="CU1360" s="1" t="s">
        <v>207</v>
      </c>
      <c r="CW1360" s="1" t="s">
        <v>432</v>
      </c>
      <c r="CX1360" s="1" t="s">
        <v>206</v>
      </c>
      <c r="CY1360" s="1" t="s">
        <v>207</v>
      </c>
      <c r="DA1360" s="1" t="s">
        <v>192</v>
      </c>
      <c r="DB1360" s="2">
        <v>42094.0</v>
      </c>
      <c r="DC1360" s="1" t="s">
        <v>1353</v>
      </c>
      <c r="DD1360" s="1" t="s">
        <v>272</v>
      </c>
      <c r="DE1360" s="1" t="s">
        <v>218</v>
      </c>
      <c r="DF1360" s="1" t="s">
        <v>12317</v>
      </c>
      <c r="DG1360" s="1" t="s">
        <v>8467</v>
      </c>
      <c r="DH1360" s="1" t="s">
        <v>365</v>
      </c>
      <c r="DI1360" s="1" t="s">
        <v>519</v>
      </c>
      <c r="DJ1360" s="1" t="s">
        <v>222</v>
      </c>
      <c r="DL1360" s="1" t="s">
        <v>224</v>
      </c>
      <c r="DM1360" s="1" t="s">
        <v>1464</v>
      </c>
      <c r="DN1360" s="1" t="s">
        <v>399</v>
      </c>
      <c r="DO1360" s="1" t="s">
        <v>717</v>
      </c>
      <c r="DP1360" s="1" t="s">
        <v>276</v>
      </c>
      <c r="DQ1360" s="1" t="s">
        <v>718</v>
      </c>
      <c r="DR1360" s="1" t="s">
        <v>229</v>
      </c>
      <c r="DS1360" s="1" t="s">
        <v>230</v>
      </c>
      <c r="DT1360" s="1" t="s">
        <v>12318</v>
      </c>
      <c r="DU1360" s="1" t="s">
        <v>5750</v>
      </c>
      <c r="DV1360" s="1" t="s">
        <v>12319</v>
      </c>
      <c r="DW1360" s="1" t="s">
        <v>667</v>
      </c>
      <c r="DX1360" s="1" t="s">
        <v>234</v>
      </c>
      <c r="DY1360" s="1" t="s">
        <v>596</v>
      </c>
      <c r="DZ1360" s="1" t="s">
        <v>1100</v>
      </c>
      <c r="EA1360" s="1" t="s">
        <v>344</v>
      </c>
      <c r="EC1360" s="1" t="s">
        <v>237</v>
      </c>
      <c r="ED1360" s="1" t="s">
        <v>555</v>
      </c>
      <c r="EE1360" s="1" t="s">
        <v>187</v>
      </c>
      <c r="EG1360" s="1" t="s">
        <v>310</v>
      </c>
      <c r="EH1360" s="1" t="s">
        <v>409</v>
      </c>
      <c r="EI1360" s="1" t="s">
        <v>450</v>
      </c>
      <c r="EJ1360" s="1" t="s">
        <v>408</v>
      </c>
      <c r="EK1360" s="1" t="s">
        <v>5618</v>
      </c>
      <c r="EL1360" s="1" t="s">
        <v>647</v>
      </c>
      <c r="EM1360" s="1" t="s">
        <v>206</v>
      </c>
      <c r="EN1360" s="1" t="s">
        <v>588</v>
      </c>
      <c r="EP1360" s="1" t="s">
        <v>4904</v>
      </c>
      <c r="EQ1360" s="1" t="s">
        <v>209</v>
      </c>
      <c r="ER1360" s="1" t="s">
        <v>210</v>
      </c>
      <c r="ET1360" s="1" t="s">
        <v>9077</v>
      </c>
      <c r="EU1360" s="1" t="s">
        <v>267</v>
      </c>
      <c r="EV1360" s="1" t="s">
        <v>210</v>
      </c>
      <c r="EX1360" s="1" t="s">
        <v>12320</v>
      </c>
      <c r="EY1360" s="1" t="s">
        <v>206</v>
      </c>
      <c r="EZ1360" s="1" t="s">
        <v>207</v>
      </c>
      <c r="FB1360" s="1" t="s">
        <v>12321</v>
      </c>
      <c r="FC1360" s="1" t="s">
        <v>206</v>
      </c>
      <c r="FD1360" s="1" t="s">
        <v>588</v>
      </c>
      <c r="FF1360" s="1" t="s">
        <v>239</v>
      </c>
      <c r="FG1360" s="1" t="s">
        <v>192</v>
      </c>
      <c r="FH1360" s="1" t="s">
        <v>192</v>
      </c>
      <c r="FJ1360" s="1" t="s">
        <v>2285</v>
      </c>
      <c r="FK1360" s="1" t="s">
        <v>229</v>
      </c>
      <c r="FL1360" s="1" t="s">
        <v>974</v>
      </c>
      <c r="FM1360" s="1">
        <v>10900.0</v>
      </c>
      <c r="FN1360" s="1" t="s">
        <v>1435</v>
      </c>
      <c r="FO1360" s="1" t="s">
        <v>6288</v>
      </c>
      <c r="FP1360" s="1">
        <v>113690.0</v>
      </c>
      <c r="FQ1360" s="1" t="s">
        <v>6289</v>
      </c>
      <c r="FU1360" s="1" t="s">
        <v>6290</v>
      </c>
      <c r="FV1360" s="1" t="s">
        <v>200</v>
      </c>
      <c r="FW1360" s="1" t="s">
        <v>290</v>
      </c>
      <c r="FX1360" s="1" t="s">
        <v>238</v>
      </c>
      <c r="FZ1360" s="1" t="s">
        <v>229</v>
      </c>
      <c r="GA1360" s="1" t="s">
        <v>291</v>
      </c>
      <c r="GB1360" s="2">
        <v>42118.0</v>
      </c>
      <c r="GC1360" s="1" t="s">
        <v>12322</v>
      </c>
    </row>
    <row r="1361">
      <c r="A1361" s="1">
        <v>360000.0</v>
      </c>
      <c r="B1361" s="1" t="s">
        <v>185</v>
      </c>
      <c r="C1361" s="1" t="str">
        <f>"08870672"</f>
        <v>08870672</v>
      </c>
      <c r="D1361" s="1" t="s">
        <v>186</v>
      </c>
      <c r="F1361" s="1" t="str">
        <f>"510"</f>
        <v>510</v>
      </c>
      <c r="G1361" s="2">
        <v>42087.0</v>
      </c>
      <c r="H1361" s="1">
        <v>374900.0</v>
      </c>
      <c r="I1361" s="1">
        <v>1.0</v>
      </c>
      <c r="J1361" s="1">
        <v>374900.0</v>
      </c>
      <c r="K1361" s="2">
        <v>42087.0</v>
      </c>
      <c r="L1361" s="1">
        <v>1.0</v>
      </c>
      <c r="M1361" s="2">
        <v>42087.0</v>
      </c>
      <c r="N1361" s="1" t="s">
        <v>187</v>
      </c>
      <c r="O1361" s="2">
        <v>42115.0</v>
      </c>
      <c r="P1361" s="1">
        <v>8861.0</v>
      </c>
      <c r="Q1361" s="1">
        <v>49.0</v>
      </c>
      <c r="S1361" s="1">
        <v>1604.0</v>
      </c>
      <c r="T1361" s="1" t="s">
        <v>3933</v>
      </c>
      <c r="U1361" s="1" t="s">
        <v>569</v>
      </c>
      <c r="V1361" s="1" t="s">
        <v>2700</v>
      </c>
      <c r="W1361" s="1">
        <v>60510.0</v>
      </c>
      <c r="Y1361" s="1" t="s">
        <v>14175</v>
      </c>
      <c r="Z1361" s="1">
        <v>1994.0</v>
      </c>
      <c r="AA1361" s="1" t="s">
        <v>200</v>
      </c>
      <c r="AB1361" s="1" t="s">
        <v>193</v>
      </c>
      <c r="AC1361" s="1" t="s">
        <v>14176</v>
      </c>
      <c r="AD1361" s="1" t="s">
        <v>2702</v>
      </c>
      <c r="AE1361" s="1" t="s">
        <v>325</v>
      </c>
      <c r="AF1361" s="1" t="s">
        <v>2702</v>
      </c>
      <c r="AH1361" s="1">
        <v>13026.0</v>
      </c>
      <c r="AI1361" s="1">
        <v>0.299</v>
      </c>
      <c r="AK1361" s="1">
        <v>11.0</v>
      </c>
      <c r="AL1361" s="1">
        <v>4.0</v>
      </c>
      <c r="AM1361" s="1">
        <v>2.0</v>
      </c>
      <c r="AN1361" s="1">
        <v>1.0</v>
      </c>
      <c r="AO1361" s="1" t="s">
        <v>198</v>
      </c>
      <c r="AP1361" s="1">
        <v>1.0</v>
      </c>
      <c r="AQ1361" s="1" t="s">
        <v>198</v>
      </c>
      <c r="AR1361" s="1" t="s">
        <v>200</v>
      </c>
      <c r="AS1361" s="1" t="s">
        <v>199</v>
      </c>
      <c r="AT1361" s="1">
        <v>2.0</v>
      </c>
      <c r="AV1361" s="1" t="s">
        <v>200</v>
      </c>
      <c r="AW1361" s="1">
        <v>8614.0</v>
      </c>
      <c r="AX1361" s="1">
        <v>2012.0</v>
      </c>
      <c r="AZ1361" s="1" t="s">
        <v>200</v>
      </c>
      <c r="BA1361" s="1" t="str">
        <f>"1227478005"</f>
        <v>1227478005</v>
      </c>
      <c r="BC1361" s="1">
        <v>2410.0</v>
      </c>
      <c r="BD1361" s="1">
        <v>360000.0</v>
      </c>
      <c r="BE1361" s="2">
        <v>42087.0</v>
      </c>
      <c r="BF1361" s="2" t="s">
        <v>14177</v>
      </c>
      <c r="BG1361" s="1" t="s">
        <v>6796</v>
      </c>
      <c r="BH1361" s="1">
        <v>0.0</v>
      </c>
      <c r="BI1361" s="1" t="s">
        <v>3090</v>
      </c>
      <c r="BJ1361" s="1" t="s">
        <v>3091</v>
      </c>
      <c r="BK1361" s="1" t="s">
        <v>204</v>
      </c>
      <c r="BL1361" s="1" t="str">
        <f t="shared" ref="BL1361:BM1361" si="897">""</f>
        <v/>
      </c>
      <c r="BM1361" s="1" t="str">
        <f t="shared" si="897"/>
        <v/>
      </c>
      <c r="BQ1361" s="1">
        <v>101.0</v>
      </c>
      <c r="BR1361" s="1">
        <v>101.0</v>
      </c>
      <c r="BS1361" s="1">
        <v>101.0</v>
      </c>
      <c r="BU1361" s="1" t="s">
        <v>208</v>
      </c>
      <c r="BV1361" s="1" t="s">
        <v>206</v>
      </c>
      <c r="BW1361" s="1" t="s">
        <v>210</v>
      </c>
      <c r="BX1361" s="1" t="s">
        <v>1549</v>
      </c>
      <c r="BY1361" s="1" t="s">
        <v>515</v>
      </c>
      <c r="BZ1361" s="1" t="s">
        <v>209</v>
      </c>
      <c r="CA1361" s="1" t="s">
        <v>210</v>
      </c>
      <c r="CB1361" s="1" t="s">
        <v>1549</v>
      </c>
      <c r="CC1361" s="1" t="s">
        <v>331</v>
      </c>
      <c r="CD1361" s="1" t="s">
        <v>206</v>
      </c>
      <c r="CE1361" s="1" t="s">
        <v>210</v>
      </c>
      <c r="CF1361" s="1" t="s">
        <v>1549</v>
      </c>
      <c r="CG1361" s="1" t="s">
        <v>264</v>
      </c>
      <c r="CH1361" s="1" t="s">
        <v>209</v>
      </c>
      <c r="CI1361" s="1" t="s">
        <v>210</v>
      </c>
      <c r="CJ1361" s="1" t="s">
        <v>1549</v>
      </c>
      <c r="CK1361" s="1" t="s">
        <v>497</v>
      </c>
      <c r="CL1361" s="1" t="s">
        <v>209</v>
      </c>
      <c r="CM1361" s="1" t="s">
        <v>210</v>
      </c>
      <c r="CN1361" s="1" t="s">
        <v>229</v>
      </c>
      <c r="CO1361" s="1" t="s">
        <v>331</v>
      </c>
      <c r="CP1361" s="1" t="s">
        <v>209</v>
      </c>
      <c r="CQ1361" s="1" t="s">
        <v>210</v>
      </c>
      <c r="CR1361" s="1" t="s">
        <v>229</v>
      </c>
      <c r="CS1361" s="1" t="s">
        <v>332</v>
      </c>
      <c r="CT1361" s="1" t="s">
        <v>206</v>
      </c>
      <c r="CU1361" s="1" t="s">
        <v>207</v>
      </c>
      <c r="CV1361" s="1" t="s">
        <v>229</v>
      </c>
      <c r="CX1361" s="1" t="s">
        <v>204</v>
      </c>
      <c r="DA1361" s="1" t="s">
        <v>200</v>
      </c>
      <c r="DC1361" s="1" t="s">
        <v>435</v>
      </c>
      <c r="DD1361" s="1" t="s">
        <v>336</v>
      </c>
      <c r="DE1361" s="1" t="s">
        <v>273</v>
      </c>
      <c r="DF1361" s="1" t="s">
        <v>219</v>
      </c>
      <c r="DG1361" s="1" t="s">
        <v>482</v>
      </c>
      <c r="DH1361" s="1" t="s">
        <v>220</v>
      </c>
      <c r="DI1361" s="1" t="s">
        <v>11744</v>
      </c>
      <c r="DJ1361" s="1" t="s">
        <v>222</v>
      </c>
      <c r="DL1361" s="1" t="s">
        <v>224</v>
      </c>
      <c r="DM1361" s="1" t="s">
        <v>338</v>
      </c>
      <c r="DN1361" s="1" t="s">
        <v>485</v>
      </c>
      <c r="DO1361" s="1" t="s">
        <v>590</v>
      </c>
      <c r="DP1361" s="1" t="s">
        <v>340</v>
      </c>
      <c r="DQ1361" s="1" t="s">
        <v>441</v>
      </c>
      <c r="DR1361" s="1" t="s">
        <v>229</v>
      </c>
      <c r="DU1361" s="1" t="s">
        <v>12467</v>
      </c>
      <c r="DV1361" s="1" t="s">
        <v>14178</v>
      </c>
      <c r="DW1361" s="1" t="s">
        <v>444</v>
      </c>
      <c r="DX1361" s="1" t="s">
        <v>234</v>
      </c>
      <c r="DY1361" s="1" t="s">
        <v>1559</v>
      </c>
      <c r="DZ1361" s="1" t="s">
        <v>14179</v>
      </c>
      <c r="EB1361" s="1" t="s">
        <v>937</v>
      </c>
      <c r="EC1361" s="1" t="s">
        <v>237</v>
      </c>
      <c r="ED1361" s="1" t="s">
        <v>407</v>
      </c>
      <c r="EG1361" s="1" t="s">
        <v>449</v>
      </c>
      <c r="EH1361" s="1" t="s">
        <v>557</v>
      </c>
      <c r="EI1361" s="1" t="s">
        <v>450</v>
      </c>
      <c r="EJ1361" s="1" t="s">
        <v>451</v>
      </c>
      <c r="EK1361" s="1" t="s">
        <v>408</v>
      </c>
      <c r="EL1361" s="1" t="s">
        <v>266</v>
      </c>
      <c r="EM1361" s="1" t="s">
        <v>206</v>
      </c>
      <c r="EN1361" s="1" t="s">
        <v>207</v>
      </c>
      <c r="EP1361" s="1" t="s">
        <v>329</v>
      </c>
      <c r="EQ1361" s="1" t="s">
        <v>42</v>
      </c>
      <c r="ER1361" s="1" t="s">
        <v>210</v>
      </c>
      <c r="ET1361" s="1" t="s">
        <v>7202</v>
      </c>
      <c r="EU1361" s="1" t="s">
        <v>42</v>
      </c>
      <c r="EV1361" s="1" t="s">
        <v>210</v>
      </c>
      <c r="EX1361" s="1" t="s">
        <v>454</v>
      </c>
      <c r="EY1361" s="1" t="s">
        <v>42</v>
      </c>
      <c r="EZ1361" s="1" t="s">
        <v>210</v>
      </c>
      <c r="FB1361" s="1" t="s">
        <v>331</v>
      </c>
      <c r="FC1361" s="1" t="s">
        <v>206</v>
      </c>
      <c r="FD1361" s="1" t="s">
        <v>207</v>
      </c>
      <c r="FF1361" s="1" t="s">
        <v>239</v>
      </c>
      <c r="FG1361" s="1" t="s">
        <v>192</v>
      </c>
      <c r="FH1361" s="1" t="s">
        <v>192</v>
      </c>
      <c r="FJ1361" s="1" t="s">
        <v>2262</v>
      </c>
      <c r="FK1361" s="1" t="s">
        <v>229</v>
      </c>
      <c r="FL1361" s="1" t="s">
        <v>1877</v>
      </c>
      <c r="FM1361" s="1">
        <v>24695.0</v>
      </c>
      <c r="FN1361" s="1" t="s">
        <v>1878</v>
      </c>
      <c r="FO1361" s="1" t="s">
        <v>14180</v>
      </c>
      <c r="FP1361" s="1">
        <v>234023.0</v>
      </c>
      <c r="FQ1361" s="1" t="s">
        <v>1878</v>
      </c>
      <c r="FU1361" s="1" t="s">
        <v>2830</v>
      </c>
      <c r="FV1361" s="1" t="s">
        <v>200</v>
      </c>
      <c r="FW1361" s="1" t="s">
        <v>1511</v>
      </c>
      <c r="FZ1361" s="1" t="s">
        <v>229</v>
      </c>
      <c r="GA1361" s="1" t="s">
        <v>291</v>
      </c>
      <c r="GB1361" s="2">
        <v>42116.0</v>
      </c>
      <c r="GC1361" s="1" t="s">
        <v>14181</v>
      </c>
    </row>
    <row r="1362">
      <c r="A1362" s="1">
        <v>1089000.0</v>
      </c>
      <c r="B1362" s="1" t="s">
        <v>185</v>
      </c>
      <c r="C1362" s="1" t="str">
        <f>"08871454"</f>
        <v>08871454</v>
      </c>
      <c r="D1362" s="1" t="s">
        <v>186</v>
      </c>
      <c r="F1362" s="1" t="str">
        <f>"8007"</f>
        <v>8007</v>
      </c>
      <c r="G1362" s="2">
        <v>42088.0</v>
      </c>
      <c r="H1362" s="1">
        <v>1089000.0</v>
      </c>
      <c r="I1362" s="1">
        <v>5.0</v>
      </c>
      <c r="J1362" s="1">
        <v>1089000.0</v>
      </c>
      <c r="K1362" s="2">
        <v>42092.0</v>
      </c>
      <c r="L1362" s="1">
        <v>5.0</v>
      </c>
      <c r="M1362" s="2">
        <v>42092.0</v>
      </c>
      <c r="N1362" s="1" t="s">
        <v>187</v>
      </c>
      <c r="O1362" s="2">
        <v>42122.0</v>
      </c>
      <c r="P1362" s="1">
        <v>901726.0</v>
      </c>
      <c r="Q1362" s="1">
        <v>90330.0</v>
      </c>
      <c r="S1362" s="1">
        <v>2720.0</v>
      </c>
      <c r="T1362" s="1" t="s">
        <v>14182</v>
      </c>
      <c r="U1362" s="1" t="s">
        <v>189</v>
      </c>
      <c r="V1362" s="1" t="s">
        <v>190</v>
      </c>
      <c r="W1362" s="1">
        <v>60614.0</v>
      </c>
      <c r="Y1362" s="1" t="s">
        <v>14183</v>
      </c>
      <c r="Z1362" s="1">
        <v>1993.0</v>
      </c>
      <c r="AA1362" s="1" t="s">
        <v>200</v>
      </c>
      <c r="AB1362" s="1" t="s">
        <v>193</v>
      </c>
      <c r="AD1362" s="1" t="s">
        <v>194</v>
      </c>
      <c r="AE1362" s="1" t="s">
        <v>195</v>
      </c>
      <c r="AF1362" s="1" t="s">
        <v>534</v>
      </c>
      <c r="AH1362" s="1" t="s">
        <v>359</v>
      </c>
      <c r="AI1362" s="1">
        <v>0.0712</v>
      </c>
      <c r="AK1362" s="1">
        <v>8.0</v>
      </c>
      <c r="AL1362" s="1">
        <v>4.0</v>
      </c>
      <c r="AM1362" s="1">
        <v>3.0</v>
      </c>
      <c r="AN1362" s="1">
        <v>1.0</v>
      </c>
      <c r="AO1362" s="1" t="s">
        <v>198</v>
      </c>
      <c r="AP1362" s="1">
        <v>3.0</v>
      </c>
      <c r="AQ1362" s="1" t="s">
        <v>472</v>
      </c>
      <c r="AR1362" s="1" t="s">
        <v>192</v>
      </c>
      <c r="AS1362" s="1" t="s">
        <v>199</v>
      </c>
      <c r="AT1362" s="1">
        <v>2.0</v>
      </c>
      <c r="AV1362" s="1" t="s">
        <v>200</v>
      </c>
      <c r="AW1362" s="1">
        <v>19707.45</v>
      </c>
      <c r="AX1362" s="1">
        <v>2013.0</v>
      </c>
      <c r="AZ1362" s="1" t="s">
        <v>200</v>
      </c>
      <c r="BA1362" s="1" t="str">
        <f>"14293050370000"</f>
        <v>14293050370000</v>
      </c>
      <c r="BC1362" s="1">
        <v>3500.0</v>
      </c>
      <c r="BD1362" s="1">
        <v>1089000.0</v>
      </c>
      <c r="BE1362" s="2">
        <v>42088.0</v>
      </c>
      <c r="BF1362" s="2" t="s">
        <v>14184</v>
      </c>
      <c r="BG1362" s="1" t="s">
        <v>9076</v>
      </c>
      <c r="BH1362" s="1">
        <v>0.0</v>
      </c>
      <c r="BK1362" s="1" t="s">
        <v>204</v>
      </c>
      <c r="BL1362" s="1" t="str">
        <f>"2720"</f>
        <v>2720</v>
      </c>
      <c r="BM1362" s="1" t="str">
        <f>"0"</f>
        <v>0</v>
      </c>
      <c r="BN1362" s="1">
        <v>1232.0</v>
      </c>
      <c r="BO1362" s="1">
        <v>0.0</v>
      </c>
      <c r="BQ1362" s="1">
        <v>299.0</v>
      </c>
      <c r="BR1362" s="1">
        <v>299.0</v>
      </c>
      <c r="BS1362" s="1">
        <v>299.0</v>
      </c>
      <c r="BU1362" s="1" t="s">
        <v>1043</v>
      </c>
      <c r="BV1362" s="1" t="s">
        <v>206</v>
      </c>
      <c r="BW1362" s="1" t="s">
        <v>207</v>
      </c>
      <c r="BX1362" s="1" t="s">
        <v>431</v>
      </c>
      <c r="BY1362" s="1" t="s">
        <v>496</v>
      </c>
      <c r="BZ1362" s="1" t="s">
        <v>209</v>
      </c>
      <c r="CA1362" s="1" t="s">
        <v>210</v>
      </c>
      <c r="CC1362" s="1" t="s">
        <v>1043</v>
      </c>
      <c r="CD1362" s="1" t="s">
        <v>206</v>
      </c>
      <c r="CE1362" s="1" t="s">
        <v>207</v>
      </c>
      <c r="CF1362" s="1" t="s">
        <v>431</v>
      </c>
      <c r="CG1362" s="1" t="s">
        <v>1584</v>
      </c>
      <c r="CH1362" s="1" t="s">
        <v>209</v>
      </c>
      <c r="CI1362" s="1" t="s">
        <v>210</v>
      </c>
      <c r="CK1362" s="1" t="s">
        <v>475</v>
      </c>
      <c r="CL1362" s="1" t="s">
        <v>209</v>
      </c>
      <c r="CM1362" s="1" t="s">
        <v>210</v>
      </c>
      <c r="CO1362" s="1" t="s">
        <v>2082</v>
      </c>
      <c r="CP1362" s="1" t="s">
        <v>267</v>
      </c>
      <c r="CQ1362" s="1" t="s">
        <v>210</v>
      </c>
      <c r="CS1362" s="1" t="s">
        <v>5291</v>
      </c>
      <c r="CT1362" s="1" t="s">
        <v>206</v>
      </c>
      <c r="CU1362" s="1" t="s">
        <v>207</v>
      </c>
      <c r="CW1362" s="1" t="s">
        <v>8854</v>
      </c>
      <c r="CX1362" s="1" t="s">
        <v>267</v>
      </c>
      <c r="CY1362" s="1" t="s">
        <v>210</v>
      </c>
      <c r="DA1362" s="1" t="s">
        <v>200</v>
      </c>
      <c r="DC1362" s="1" t="s">
        <v>435</v>
      </c>
      <c r="DD1362" s="1" t="s">
        <v>518</v>
      </c>
      <c r="DE1362" s="1" t="s">
        <v>273</v>
      </c>
      <c r="DF1362" s="1" t="s">
        <v>619</v>
      </c>
      <c r="DH1362" s="1" t="s">
        <v>220</v>
      </c>
      <c r="DI1362" s="1" t="s">
        <v>2057</v>
      </c>
      <c r="DJ1362" s="1" t="s">
        <v>222</v>
      </c>
      <c r="DK1362" s="1" t="s">
        <v>223</v>
      </c>
      <c r="DL1362" s="1" t="s">
        <v>224</v>
      </c>
      <c r="DM1362" s="1" t="s">
        <v>229</v>
      </c>
      <c r="DN1362" s="1" t="s">
        <v>548</v>
      </c>
      <c r="DP1362" s="1" t="s">
        <v>276</v>
      </c>
      <c r="DQ1362" s="1" t="s">
        <v>718</v>
      </c>
      <c r="DR1362" s="1" t="s">
        <v>229</v>
      </c>
      <c r="DV1362" s="1" t="s">
        <v>14185</v>
      </c>
      <c r="DW1362" s="1" t="s">
        <v>233</v>
      </c>
      <c r="DX1362" s="1" t="s">
        <v>234</v>
      </c>
      <c r="DY1362" s="1" t="s">
        <v>235</v>
      </c>
      <c r="EA1362" s="1" t="s">
        <v>12644</v>
      </c>
      <c r="EC1362" s="1" t="s">
        <v>237</v>
      </c>
      <c r="EG1362" s="1" t="s">
        <v>1270</v>
      </c>
      <c r="EH1362" s="1" t="s">
        <v>409</v>
      </c>
      <c r="EL1362" s="1" t="s">
        <v>4470</v>
      </c>
      <c r="EM1362" s="1" t="s">
        <v>267</v>
      </c>
      <c r="EP1362" s="1" t="s">
        <v>1418</v>
      </c>
      <c r="EQ1362" s="1" t="s">
        <v>209</v>
      </c>
      <c r="EU1362" s="1" t="s">
        <v>238</v>
      </c>
      <c r="EY1362" s="1" t="s">
        <v>238</v>
      </c>
      <c r="FC1362" s="1" t="s">
        <v>238</v>
      </c>
      <c r="FF1362" s="1" t="s">
        <v>239</v>
      </c>
      <c r="FG1362" s="1" t="s">
        <v>192</v>
      </c>
      <c r="FH1362" s="1" t="s">
        <v>192</v>
      </c>
      <c r="FJ1362" s="1" t="s">
        <v>4684</v>
      </c>
      <c r="FK1362" s="1" t="s">
        <v>229</v>
      </c>
      <c r="FL1362" s="1" t="s">
        <v>4685</v>
      </c>
      <c r="FM1362" s="1">
        <v>14242.0</v>
      </c>
      <c r="FN1362" s="1" t="s">
        <v>4686</v>
      </c>
      <c r="FO1362" s="1" t="s">
        <v>4687</v>
      </c>
      <c r="FP1362" s="1">
        <v>123111.0</v>
      </c>
      <c r="FQ1362" s="1" t="s">
        <v>4688</v>
      </c>
      <c r="FR1362" s="1">
        <v>874942.0</v>
      </c>
      <c r="FU1362" s="1" t="s">
        <v>14186</v>
      </c>
      <c r="FV1362" s="1" t="s">
        <v>200</v>
      </c>
      <c r="FW1362" s="1" t="s">
        <v>567</v>
      </c>
      <c r="FX1362" s="1" t="s">
        <v>238</v>
      </c>
      <c r="FZ1362" s="1" t="s">
        <v>229</v>
      </c>
      <c r="GA1362" s="1" t="s">
        <v>291</v>
      </c>
      <c r="GB1362" s="2">
        <v>42122.0</v>
      </c>
      <c r="GC1362" s="1" t="s">
        <v>14187</v>
      </c>
    </row>
    <row r="1363">
      <c r="A1363" s="1">
        <v>134900.0</v>
      </c>
      <c r="B1363" s="1" t="s">
        <v>185</v>
      </c>
      <c r="C1363" s="1" t="str">
        <f>"08867513"</f>
        <v>08867513</v>
      </c>
      <c r="D1363" s="1" t="s">
        <v>186</v>
      </c>
      <c r="F1363" s="1" t="str">
        <f>"510"</f>
        <v>510</v>
      </c>
      <c r="G1363" s="2">
        <v>42083.0</v>
      </c>
      <c r="H1363" s="1">
        <v>134900.0</v>
      </c>
      <c r="I1363" s="1">
        <v>7.0</v>
      </c>
      <c r="J1363" s="1">
        <v>134900.0</v>
      </c>
      <c r="K1363" s="2">
        <v>42089.0</v>
      </c>
      <c r="L1363" s="1">
        <v>7.0</v>
      </c>
      <c r="M1363" s="2">
        <v>42089.0</v>
      </c>
      <c r="N1363" s="1" t="s">
        <v>187</v>
      </c>
      <c r="O1363" s="2">
        <v>42125.0</v>
      </c>
      <c r="P1363" s="1">
        <v>241401.0</v>
      </c>
      <c r="Q1363" s="1">
        <v>23279.0</v>
      </c>
      <c r="R1363" s="1">
        <v>2000.0</v>
      </c>
      <c r="S1363" s="1">
        <v>1353.0</v>
      </c>
      <c r="T1363" s="1" t="s">
        <v>14188</v>
      </c>
      <c r="U1363" s="1" t="s">
        <v>1015</v>
      </c>
      <c r="V1363" s="1" t="s">
        <v>2700</v>
      </c>
      <c r="W1363" s="1">
        <v>60510.0</v>
      </c>
      <c r="Y1363" s="1" t="s">
        <v>14189</v>
      </c>
      <c r="Z1363" s="1">
        <v>1960.0</v>
      </c>
      <c r="AA1363" s="1" t="s">
        <v>192</v>
      </c>
      <c r="AB1363" s="1" t="s">
        <v>193</v>
      </c>
      <c r="AD1363" s="1" t="s">
        <v>2702</v>
      </c>
      <c r="AE1363" s="1" t="s">
        <v>325</v>
      </c>
      <c r="AF1363" s="1" t="s">
        <v>2702</v>
      </c>
      <c r="AH1363" s="1" t="s">
        <v>2254</v>
      </c>
      <c r="AI1363" s="1">
        <v>0.2215</v>
      </c>
      <c r="AK1363" s="1">
        <v>7.0</v>
      </c>
      <c r="AL1363" s="1">
        <v>4.0</v>
      </c>
      <c r="AM1363" s="1">
        <v>2.0</v>
      </c>
      <c r="AN1363" s="1">
        <v>0.0</v>
      </c>
      <c r="AO1363" s="1" t="s">
        <v>229</v>
      </c>
      <c r="AQ1363" s="1" t="s">
        <v>229</v>
      </c>
      <c r="AR1363" s="1" t="s">
        <v>200</v>
      </c>
      <c r="AS1363" s="1" t="s">
        <v>199</v>
      </c>
      <c r="AT1363" s="1">
        <v>2.0</v>
      </c>
      <c r="AV1363" s="1" t="s">
        <v>200</v>
      </c>
      <c r="AW1363" s="1">
        <v>5606.56</v>
      </c>
      <c r="AX1363" s="1">
        <v>2013.0</v>
      </c>
      <c r="AY1363" s="1" t="s">
        <v>229</v>
      </c>
      <c r="AZ1363" s="1" t="s">
        <v>200</v>
      </c>
      <c r="BA1363" s="1" t="str">
        <f>"1228276016"</f>
        <v>1228276016</v>
      </c>
      <c r="BB1363" s="1" t="s">
        <v>200</v>
      </c>
      <c r="BC1363" s="1">
        <v>1553.0</v>
      </c>
      <c r="BD1363" s="1">
        <v>134900.0</v>
      </c>
      <c r="BE1363" s="2">
        <v>42083.0</v>
      </c>
      <c r="BF1363" s="1" t="s">
        <v>14190</v>
      </c>
      <c r="BH1363" s="1">
        <v>0.0</v>
      </c>
      <c r="BK1363" s="1" t="s">
        <v>204</v>
      </c>
      <c r="BL1363" s="1" t="str">
        <f t="shared" ref="BL1363:BM1363" si="898">""</f>
        <v/>
      </c>
      <c r="BM1363" s="1" t="str">
        <f t="shared" si="898"/>
        <v/>
      </c>
      <c r="BQ1363" s="1">
        <v>101.0</v>
      </c>
      <c r="BR1363" s="1">
        <v>101.0</v>
      </c>
      <c r="BS1363" s="1">
        <v>101.0</v>
      </c>
      <c r="BU1363" s="1" t="s">
        <v>205</v>
      </c>
      <c r="BV1363" s="1" t="s">
        <v>206</v>
      </c>
      <c r="BW1363" s="1" t="s">
        <v>207</v>
      </c>
      <c r="BY1363" s="1" t="s">
        <v>363</v>
      </c>
      <c r="BZ1363" s="1" t="s">
        <v>206</v>
      </c>
      <c r="CA1363" s="1" t="s">
        <v>207</v>
      </c>
      <c r="CD1363" s="1" t="s">
        <v>204</v>
      </c>
      <c r="CG1363" s="1" t="s">
        <v>212</v>
      </c>
      <c r="CH1363" s="1" t="s">
        <v>206</v>
      </c>
      <c r="CK1363" s="1" t="s">
        <v>543</v>
      </c>
      <c r="CL1363" s="1" t="s">
        <v>206</v>
      </c>
      <c r="CO1363" s="1" t="s">
        <v>543</v>
      </c>
      <c r="CP1363" s="1" t="s">
        <v>206</v>
      </c>
      <c r="CS1363" s="1" t="s">
        <v>1939</v>
      </c>
      <c r="CT1363" s="1" t="s">
        <v>206</v>
      </c>
      <c r="CW1363" s="1" t="s">
        <v>1891</v>
      </c>
      <c r="CX1363" s="1" t="s">
        <v>206</v>
      </c>
      <c r="CY1363" s="1" t="s">
        <v>210</v>
      </c>
      <c r="DA1363" s="1" t="s">
        <v>200</v>
      </c>
      <c r="DC1363" s="1" t="s">
        <v>271</v>
      </c>
      <c r="DD1363" s="1" t="s">
        <v>518</v>
      </c>
      <c r="DE1363" s="1" t="s">
        <v>1139</v>
      </c>
      <c r="DF1363" s="1" t="s">
        <v>619</v>
      </c>
      <c r="DG1363" s="1" t="s">
        <v>1553</v>
      </c>
      <c r="DH1363" s="1" t="s">
        <v>220</v>
      </c>
      <c r="DI1363" s="1" t="s">
        <v>1401</v>
      </c>
      <c r="DJ1363" s="1" t="s">
        <v>222</v>
      </c>
      <c r="DL1363" s="1" t="s">
        <v>1853</v>
      </c>
      <c r="DM1363" s="1" t="s">
        <v>229</v>
      </c>
      <c r="DQ1363" s="1" t="s">
        <v>228</v>
      </c>
      <c r="DR1363" s="1" t="s">
        <v>229</v>
      </c>
      <c r="DS1363" s="1" t="s">
        <v>230</v>
      </c>
      <c r="DU1363" s="1" t="s">
        <v>2070</v>
      </c>
      <c r="DV1363" s="1" t="s">
        <v>232</v>
      </c>
      <c r="DW1363" s="1" t="s">
        <v>832</v>
      </c>
      <c r="DX1363" s="1" t="s">
        <v>234</v>
      </c>
      <c r="DY1363" s="1" t="s">
        <v>3183</v>
      </c>
      <c r="EA1363" s="1" t="s">
        <v>683</v>
      </c>
      <c r="EC1363" s="1" t="s">
        <v>685</v>
      </c>
      <c r="ED1363" s="1" t="s">
        <v>555</v>
      </c>
      <c r="EM1363" s="1" t="s">
        <v>238</v>
      </c>
      <c r="EQ1363" s="1" t="s">
        <v>238</v>
      </c>
      <c r="EU1363" s="1" t="s">
        <v>238</v>
      </c>
      <c r="EY1363" s="1" t="s">
        <v>238</v>
      </c>
      <c r="FC1363" s="1" t="s">
        <v>238</v>
      </c>
      <c r="FF1363" s="1" t="s">
        <v>239</v>
      </c>
      <c r="FG1363" s="1" t="s">
        <v>192</v>
      </c>
      <c r="FH1363" s="1" t="s">
        <v>192</v>
      </c>
      <c r="FJ1363" s="1" t="s">
        <v>2225</v>
      </c>
      <c r="FK1363" s="1" t="s">
        <v>229</v>
      </c>
      <c r="FL1363" s="1" t="s">
        <v>4309</v>
      </c>
      <c r="FM1363" s="1">
        <v>973.0</v>
      </c>
      <c r="FN1363" s="1" t="s">
        <v>6749</v>
      </c>
      <c r="FO1363" s="1" t="s">
        <v>14191</v>
      </c>
      <c r="FP1363" s="1">
        <v>1496.0</v>
      </c>
      <c r="FQ1363" s="1" t="s">
        <v>14192</v>
      </c>
      <c r="FU1363" s="1" t="s">
        <v>14193</v>
      </c>
      <c r="FV1363" s="1" t="s">
        <v>200</v>
      </c>
      <c r="FW1363" s="1" t="s">
        <v>290</v>
      </c>
      <c r="FZ1363" s="1" t="s">
        <v>229</v>
      </c>
      <c r="GA1363" s="1" t="s">
        <v>291</v>
      </c>
      <c r="GB1363" s="2">
        <v>42125.0</v>
      </c>
    </row>
    <row r="1364">
      <c r="A1364" s="1">
        <v>150000.0</v>
      </c>
      <c r="B1364" s="1" t="s">
        <v>185</v>
      </c>
      <c r="C1364" s="1" t="str">
        <f>"08654120"</f>
        <v>08654120</v>
      </c>
      <c r="D1364" s="1" t="s">
        <v>186</v>
      </c>
      <c r="F1364" s="1" t="str">
        <f>"8071"</f>
        <v>8071</v>
      </c>
      <c r="G1364" s="2">
        <v>41814.0</v>
      </c>
      <c r="H1364" s="1">
        <v>159947.0</v>
      </c>
      <c r="I1364" s="1">
        <v>213.0</v>
      </c>
      <c r="J1364" s="1">
        <v>149900.0</v>
      </c>
      <c r="K1364" s="2">
        <v>41975.0</v>
      </c>
      <c r="L1364" s="1">
        <v>162.0</v>
      </c>
      <c r="M1364" s="2">
        <v>41975.0</v>
      </c>
      <c r="N1364" s="1" t="s">
        <v>356</v>
      </c>
      <c r="O1364" s="2">
        <v>42002.0</v>
      </c>
      <c r="P1364" s="1">
        <v>242990.0</v>
      </c>
      <c r="Q1364" s="1">
        <v>60120.0</v>
      </c>
      <c r="R1364" s="1">
        <v>3838.0</v>
      </c>
      <c r="S1364" s="1">
        <v>8817.0</v>
      </c>
      <c r="T1364" s="1" t="s">
        <v>14194</v>
      </c>
      <c r="U1364" s="1" t="s">
        <v>320</v>
      </c>
      <c r="V1364" s="1" t="s">
        <v>190</v>
      </c>
      <c r="W1364" s="1">
        <v>60620.0</v>
      </c>
      <c r="X1364" s="1">
        <v>4406.0</v>
      </c>
      <c r="Y1364" s="1" t="s">
        <v>14195</v>
      </c>
      <c r="Z1364" s="1">
        <v>1950.0</v>
      </c>
      <c r="AA1364" s="1" t="s">
        <v>192</v>
      </c>
      <c r="AB1364" s="1" t="s">
        <v>193</v>
      </c>
      <c r="AD1364" s="1" t="s">
        <v>194</v>
      </c>
      <c r="AE1364" s="1" t="s">
        <v>195</v>
      </c>
      <c r="AF1364" s="1" t="s">
        <v>659</v>
      </c>
      <c r="AG1364" s="1" t="s">
        <v>14196</v>
      </c>
      <c r="AH1364" s="1" t="s">
        <v>779</v>
      </c>
      <c r="AK1364" s="1">
        <v>7.0</v>
      </c>
      <c r="AL1364" s="1">
        <v>3.0</v>
      </c>
      <c r="AM1364" s="1">
        <v>2.0</v>
      </c>
      <c r="AN1364" s="1">
        <v>0.0</v>
      </c>
      <c r="AO1364" s="1" t="s">
        <v>229</v>
      </c>
      <c r="AQ1364" s="1" t="s">
        <v>198</v>
      </c>
      <c r="AR1364" s="1" t="s">
        <v>192</v>
      </c>
      <c r="AS1364" s="1" t="s">
        <v>199</v>
      </c>
      <c r="AT1364" s="1">
        <v>2.0</v>
      </c>
      <c r="AV1364" s="1" t="s">
        <v>200</v>
      </c>
      <c r="AW1364" s="1">
        <v>2048.0</v>
      </c>
      <c r="AX1364" s="1">
        <v>2012.0</v>
      </c>
      <c r="AY1364" s="1" t="s">
        <v>229</v>
      </c>
      <c r="AZ1364" s="1" t="s">
        <v>200</v>
      </c>
      <c r="BA1364" s="1" t="str">
        <f>"25051130300000"</f>
        <v>25051130300000</v>
      </c>
      <c r="BB1364" s="1" t="s">
        <v>200</v>
      </c>
      <c r="BC1364" s="1">
        <v>0.0</v>
      </c>
      <c r="BD1364" s="1">
        <v>150000.0</v>
      </c>
      <c r="BE1364" s="2">
        <v>41814.0</v>
      </c>
      <c r="BF1364" s="2" t="s">
        <v>14197</v>
      </c>
      <c r="BH1364" s="1">
        <v>0.0</v>
      </c>
      <c r="BK1364" s="1" t="s">
        <v>204</v>
      </c>
      <c r="BL1364" s="1" t="str">
        <f t="shared" ref="BL1364:BM1364" si="899">"0"</f>
        <v>0</v>
      </c>
      <c r="BM1364" s="1" t="str">
        <f t="shared" si="899"/>
        <v>0</v>
      </c>
      <c r="BN1364" s="1">
        <v>1350.0</v>
      </c>
      <c r="BO1364" s="1">
        <v>8817.0</v>
      </c>
      <c r="BQ1364" s="1">
        <v>299.0</v>
      </c>
      <c r="BR1364" s="1">
        <v>299.0</v>
      </c>
      <c r="BS1364" s="1">
        <v>299.0</v>
      </c>
      <c r="BU1364" s="1" t="s">
        <v>925</v>
      </c>
      <c r="BV1364" s="1" t="s">
        <v>206</v>
      </c>
      <c r="BW1364" s="1" t="s">
        <v>207</v>
      </c>
      <c r="BX1364" s="1" t="s">
        <v>239</v>
      </c>
      <c r="BY1364" s="1" t="s">
        <v>264</v>
      </c>
      <c r="BZ1364" s="1" t="s">
        <v>206</v>
      </c>
      <c r="CA1364" s="1" t="s">
        <v>210</v>
      </c>
      <c r="CB1364" s="1" t="s">
        <v>239</v>
      </c>
      <c r="CD1364" s="1" t="s">
        <v>204</v>
      </c>
      <c r="CG1364" s="1" t="s">
        <v>495</v>
      </c>
      <c r="CH1364" s="1" t="s">
        <v>206</v>
      </c>
      <c r="CI1364" s="1" t="s">
        <v>210</v>
      </c>
      <c r="CJ1364" s="1" t="s">
        <v>239</v>
      </c>
      <c r="CK1364" s="1" t="s">
        <v>495</v>
      </c>
      <c r="CL1364" s="1" t="s">
        <v>206</v>
      </c>
      <c r="CM1364" s="1" t="s">
        <v>210</v>
      </c>
      <c r="CN1364" s="1" t="s">
        <v>239</v>
      </c>
      <c r="CO1364" s="1" t="s">
        <v>332</v>
      </c>
      <c r="CP1364" s="1" t="s">
        <v>42</v>
      </c>
      <c r="CQ1364" s="1" t="s">
        <v>268</v>
      </c>
      <c r="CS1364" s="1" t="s">
        <v>700</v>
      </c>
      <c r="CT1364" s="1" t="s">
        <v>206</v>
      </c>
      <c r="CU1364" s="1" t="s">
        <v>207</v>
      </c>
      <c r="CV1364" s="1" t="s">
        <v>239</v>
      </c>
      <c r="CW1364" s="1" t="s">
        <v>5223</v>
      </c>
      <c r="CX1364" s="1" t="s">
        <v>42</v>
      </c>
      <c r="CY1364" s="1" t="s">
        <v>268</v>
      </c>
      <c r="CZ1364" s="1" t="s">
        <v>229</v>
      </c>
      <c r="DA1364" s="1" t="s">
        <v>200</v>
      </c>
      <c r="DC1364" s="1" t="s">
        <v>702</v>
      </c>
      <c r="DD1364" s="1" t="s">
        <v>396</v>
      </c>
      <c r="DE1364" s="1" t="s">
        <v>273</v>
      </c>
      <c r="DF1364" s="1" t="s">
        <v>219</v>
      </c>
      <c r="DG1364" s="1" t="s">
        <v>337</v>
      </c>
      <c r="DH1364" s="1" t="s">
        <v>365</v>
      </c>
      <c r="DI1364" s="1" t="s">
        <v>366</v>
      </c>
      <c r="DJ1364" s="1" t="s">
        <v>222</v>
      </c>
      <c r="DL1364" s="1" t="s">
        <v>224</v>
      </c>
      <c r="DM1364" s="1" t="s">
        <v>229</v>
      </c>
      <c r="DO1364" s="1" t="s">
        <v>549</v>
      </c>
      <c r="DQ1364" s="1" t="s">
        <v>718</v>
      </c>
      <c r="DR1364" s="1" t="s">
        <v>229</v>
      </c>
      <c r="DS1364" s="1" t="s">
        <v>230</v>
      </c>
      <c r="DV1364" s="1" t="s">
        <v>232</v>
      </c>
      <c r="DW1364" s="1" t="s">
        <v>279</v>
      </c>
      <c r="DX1364" s="1" t="s">
        <v>1287</v>
      </c>
      <c r="DY1364" s="1" t="s">
        <v>553</v>
      </c>
      <c r="DZ1364" s="1" t="s">
        <v>343</v>
      </c>
      <c r="EA1364" s="1" t="s">
        <v>683</v>
      </c>
      <c r="EC1364" s="1" t="s">
        <v>311</v>
      </c>
      <c r="ED1364" s="1" t="s">
        <v>1761</v>
      </c>
      <c r="EE1364" s="1" t="s">
        <v>1077</v>
      </c>
      <c r="EM1364" s="1" t="s">
        <v>238</v>
      </c>
      <c r="EQ1364" s="1" t="s">
        <v>238</v>
      </c>
      <c r="EU1364" s="1" t="s">
        <v>238</v>
      </c>
      <c r="EY1364" s="1" t="s">
        <v>238</v>
      </c>
      <c r="FC1364" s="1" t="s">
        <v>238</v>
      </c>
      <c r="FF1364" s="1" t="s">
        <v>239</v>
      </c>
      <c r="FG1364" s="1" t="s">
        <v>200</v>
      </c>
      <c r="FH1364" s="1" t="s">
        <v>192</v>
      </c>
      <c r="FJ1364" s="1" t="s">
        <v>14198</v>
      </c>
      <c r="FK1364" s="1" t="s">
        <v>229</v>
      </c>
      <c r="FL1364" s="1" t="s">
        <v>2484</v>
      </c>
      <c r="FM1364" s="1">
        <v>24852.0</v>
      </c>
      <c r="FN1364" s="1" t="s">
        <v>14199</v>
      </c>
      <c r="FO1364" s="1" t="s">
        <v>14200</v>
      </c>
      <c r="FP1364" s="1">
        <v>601435.0</v>
      </c>
      <c r="FQ1364" s="1" t="s">
        <v>14201</v>
      </c>
      <c r="FS1364" s="1" t="s">
        <v>14202</v>
      </c>
      <c r="FT1364" s="1" t="s">
        <v>14203</v>
      </c>
      <c r="FU1364" s="1" t="s">
        <v>14204</v>
      </c>
      <c r="FV1364" s="1" t="s">
        <v>200</v>
      </c>
      <c r="FW1364" s="1" t="s">
        <v>14205</v>
      </c>
      <c r="FX1364" s="1" t="s">
        <v>655</v>
      </c>
      <c r="FZ1364" s="1" t="s">
        <v>229</v>
      </c>
      <c r="GA1364" s="1" t="s">
        <v>291</v>
      </c>
      <c r="GB1364" s="2">
        <v>42002.0</v>
      </c>
      <c r="GC1364" s="1" t="s">
        <v>14206</v>
      </c>
    </row>
    <row r="1365">
      <c r="A1365" s="1">
        <v>297000.0</v>
      </c>
      <c r="B1365" s="1" t="s">
        <v>185</v>
      </c>
      <c r="C1365" s="1" t="str">
        <f>"08659884"</f>
        <v>08659884</v>
      </c>
      <c r="D1365" s="1" t="s">
        <v>186</v>
      </c>
      <c r="F1365" s="1" t="str">
        <f t="shared" ref="F1365:F1367" si="901">"560"</f>
        <v>560</v>
      </c>
      <c r="G1365" s="2">
        <v>41820.0</v>
      </c>
      <c r="H1365" s="1">
        <v>329900.0</v>
      </c>
      <c r="I1365" s="1">
        <v>204.0</v>
      </c>
      <c r="J1365" s="1">
        <v>299900.0</v>
      </c>
      <c r="K1365" s="2">
        <v>42023.0</v>
      </c>
      <c r="L1365" s="1">
        <v>204.0</v>
      </c>
      <c r="M1365" s="2">
        <v>42023.0</v>
      </c>
      <c r="N1365" s="1" t="s">
        <v>356</v>
      </c>
      <c r="O1365" s="2">
        <v>42115.0</v>
      </c>
      <c r="P1365" s="1">
        <v>225759.0</v>
      </c>
      <c r="Q1365" s="1">
        <v>23196.0</v>
      </c>
      <c r="S1365" s="1">
        <v>43.0</v>
      </c>
      <c r="T1365" s="1" t="s">
        <v>14207</v>
      </c>
      <c r="U1365" s="1" t="s">
        <v>1174</v>
      </c>
      <c r="V1365" s="1" t="s">
        <v>845</v>
      </c>
      <c r="W1365" s="1">
        <v>60560.0</v>
      </c>
      <c r="Y1365" s="1" t="s">
        <v>14208</v>
      </c>
      <c r="Z1365" s="1">
        <v>1987.0</v>
      </c>
      <c r="AA1365" s="1" t="s">
        <v>200</v>
      </c>
      <c r="AB1365" s="1" t="s">
        <v>467</v>
      </c>
      <c r="AC1365" s="1" t="s">
        <v>1770</v>
      </c>
      <c r="AD1365" s="1" t="s">
        <v>1089</v>
      </c>
      <c r="AE1365" s="1" t="s">
        <v>849</v>
      </c>
      <c r="AF1365" s="1" t="s">
        <v>1529</v>
      </c>
      <c r="AH1365" s="1" t="s">
        <v>14209</v>
      </c>
      <c r="AI1365" s="1">
        <v>1.245</v>
      </c>
      <c r="AK1365" s="1">
        <v>10.0</v>
      </c>
      <c r="AL1365" s="1">
        <v>4.0</v>
      </c>
      <c r="AM1365" s="1">
        <v>2.0</v>
      </c>
      <c r="AN1365" s="1">
        <v>1.0</v>
      </c>
      <c r="AO1365" s="1" t="s">
        <v>198</v>
      </c>
      <c r="AP1365" s="1">
        <v>1.0</v>
      </c>
      <c r="AQ1365" s="1" t="s">
        <v>198</v>
      </c>
      <c r="AR1365" s="1" t="s">
        <v>200</v>
      </c>
      <c r="AS1365" s="1" t="s">
        <v>199</v>
      </c>
      <c r="AT1365" s="1">
        <v>2.5</v>
      </c>
      <c r="AV1365" s="1" t="s">
        <v>200</v>
      </c>
      <c r="AW1365" s="1">
        <v>9035.54</v>
      </c>
      <c r="AX1365" s="1">
        <v>2012.0</v>
      </c>
      <c r="AY1365" s="1" t="s">
        <v>387</v>
      </c>
      <c r="AZ1365" s="1" t="s">
        <v>200</v>
      </c>
      <c r="BA1365" s="1" t="str">
        <f>"0235128009"</f>
        <v>0235128009</v>
      </c>
      <c r="BC1365" s="1">
        <v>2660.0</v>
      </c>
      <c r="BD1365" s="1">
        <v>297000.0</v>
      </c>
      <c r="BE1365" s="2">
        <v>41820.0</v>
      </c>
      <c r="BF1365" s="2" t="s">
        <v>14210</v>
      </c>
      <c r="BH1365" s="1">
        <v>150.0</v>
      </c>
      <c r="BK1365" s="1" t="s">
        <v>1952</v>
      </c>
      <c r="BL1365" s="1" t="str">
        <f t="shared" ref="BL1365:BM1365" si="900">""</f>
        <v/>
      </c>
      <c r="BM1365" s="1" t="str">
        <f t="shared" si="900"/>
        <v/>
      </c>
      <c r="BQ1365" s="1">
        <v>115.0</v>
      </c>
      <c r="BR1365" s="1">
        <v>115.0</v>
      </c>
      <c r="BS1365" s="1">
        <v>115.0</v>
      </c>
      <c r="BU1365" s="1" t="s">
        <v>329</v>
      </c>
      <c r="BV1365" s="1" t="s">
        <v>206</v>
      </c>
      <c r="BW1365" s="1" t="s">
        <v>210</v>
      </c>
      <c r="BX1365" s="1" t="s">
        <v>1118</v>
      </c>
      <c r="BY1365" s="1" t="s">
        <v>432</v>
      </c>
      <c r="BZ1365" s="1" t="s">
        <v>209</v>
      </c>
      <c r="CA1365" s="1" t="s">
        <v>210</v>
      </c>
      <c r="CC1365" s="1" t="s">
        <v>1417</v>
      </c>
      <c r="CD1365" s="1" t="s">
        <v>206</v>
      </c>
      <c r="CE1365" s="1" t="s">
        <v>210</v>
      </c>
      <c r="CF1365" s="1" t="s">
        <v>1118</v>
      </c>
      <c r="CG1365" s="1" t="s">
        <v>215</v>
      </c>
      <c r="CH1365" s="1" t="s">
        <v>209</v>
      </c>
      <c r="CI1365" s="1" t="s">
        <v>210</v>
      </c>
      <c r="CJ1365" s="1" t="s">
        <v>1118</v>
      </c>
      <c r="CK1365" s="1" t="s">
        <v>331</v>
      </c>
      <c r="CL1365" s="1" t="s">
        <v>209</v>
      </c>
      <c r="CM1365" s="1" t="s">
        <v>210</v>
      </c>
      <c r="CN1365" s="1" t="s">
        <v>1118</v>
      </c>
      <c r="CO1365" s="1" t="s">
        <v>543</v>
      </c>
      <c r="CP1365" s="1" t="s">
        <v>209</v>
      </c>
      <c r="CQ1365" s="1" t="s">
        <v>210</v>
      </c>
      <c r="CR1365" s="1" t="s">
        <v>1118</v>
      </c>
      <c r="CS1365" s="1" t="s">
        <v>453</v>
      </c>
      <c r="CT1365" s="1" t="s">
        <v>206</v>
      </c>
      <c r="CU1365" s="1" t="s">
        <v>207</v>
      </c>
      <c r="CV1365" s="1" t="s">
        <v>1118</v>
      </c>
      <c r="CW1365" s="1" t="s">
        <v>6591</v>
      </c>
      <c r="CX1365" s="1" t="s">
        <v>206</v>
      </c>
      <c r="CY1365" s="1" t="s">
        <v>210</v>
      </c>
      <c r="CZ1365" s="1" t="s">
        <v>1118</v>
      </c>
      <c r="DA1365" s="1" t="s">
        <v>200</v>
      </c>
      <c r="DC1365" s="1" t="s">
        <v>305</v>
      </c>
      <c r="DD1365" s="1" t="s">
        <v>4137</v>
      </c>
      <c r="DE1365" s="1" t="s">
        <v>273</v>
      </c>
      <c r="DF1365" s="1" t="s">
        <v>219</v>
      </c>
      <c r="DG1365" s="1" t="s">
        <v>1553</v>
      </c>
      <c r="DH1365" s="1" t="s">
        <v>1603</v>
      </c>
      <c r="DI1365" s="1" t="s">
        <v>9565</v>
      </c>
      <c r="DJ1365" s="1" t="s">
        <v>857</v>
      </c>
      <c r="DK1365" s="1" t="s">
        <v>223</v>
      </c>
      <c r="DL1365" s="1" t="s">
        <v>858</v>
      </c>
      <c r="DM1365" s="1" t="s">
        <v>338</v>
      </c>
      <c r="DN1365" s="1" t="s">
        <v>548</v>
      </c>
      <c r="DO1365" s="1" t="s">
        <v>14211</v>
      </c>
      <c r="DP1365" s="1" t="s">
        <v>340</v>
      </c>
      <c r="DQ1365" s="1" t="s">
        <v>931</v>
      </c>
      <c r="DR1365" s="1" t="s">
        <v>14212</v>
      </c>
      <c r="DS1365" s="1" t="s">
        <v>368</v>
      </c>
      <c r="DU1365" s="1" t="s">
        <v>14213</v>
      </c>
      <c r="DV1365" s="1" t="s">
        <v>7291</v>
      </c>
      <c r="DW1365" s="1" t="s">
        <v>370</v>
      </c>
      <c r="DX1365" s="1" t="s">
        <v>1287</v>
      </c>
      <c r="DY1365" s="1" t="s">
        <v>404</v>
      </c>
      <c r="DZ1365" s="1" t="s">
        <v>14214</v>
      </c>
      <c r="EA1365" s="1" t="s">
        <v>344</v>
      </c>
      <c r="EB1365" s="1" t="s">
        <v>2915</v>
      </c>
      <c r="EC1365" s="1" t="s">
        <v>237</v>
      </c>
      <c r="ED1365" s="1" t="s">
        <v>407</v>
      </c>
      <c r="EG1365" s="1" t="s">
        <v>494</v>
      </c>
      <c r="EH1365" s="1" t="s">
        <v>450</v>
      </c>
      <c r="EL1365" s="1" t="s">
        <v>332</v>
      </c>
      <c r="EM1365" s="1" t="s">
        <v>206</v>
      </c>
      <c r="EN1365" s="1" t="s">
        <v>210</v>
      </c>
      <c r="EO1365" s="1" t="s">
        <v>1118</v>
      </c>
      <c r="EP1365" s="1" t="s">
        <v>6591</v>
      </c>
      <c r="EQ1365" s="1" t="s">
        <v>42</v>
      </c>
      <c r="ER1365" s="1" t="s">
        <v>210</v>
      </c>
      <c r="ES1365" s="1" t="s">
        <v>1118</v>
      </c>
      <c r="EU1365" s="1" t="s">
        <v>238</v>
      </c>
      <c r="EY1365" s="1" t="s">
        <v>238</v>
      </c>
      <c r="FC1365" s="1" t="s">
        <v>238</v>
      </c>
      <c r="FF1365" s="1" t="s">
        <v>239</v>
      </c>
      <c r="FG1365" s="1" t="s">
        <v>192</v>
      </c>
      <c r="FH1365" s="1" t="s">
        <v>192</v>
      </c>
      <c r="FJ1365" s="1" t="s">
        <v>14215</v>
      </c>
      <c r="FK1365" s="1" t="s">
        <v>229</v>
      </c>
      <c r="FL1365" s="1" t="s">
        <v>1007</v>
      </c>
      <c r="FM1365" s="1">
        <v>23196.0</v>
      </c>
      <c r="FN1365" s="1" t="s">
        <v>3741</v>
      </c>
      <c r="FO1365" s="1" t="s">
        <v>6775</v>
      </c>
      <c r="FP1365" s="1">
        <v>233155.0</v>
      </c>
      <c r="FQ1365" s="1" t="s">
        <v>6776</v>
      </c>
      <c r="FR1365" s="1">
        <v>221629.0</v>
      </c>
      <c r="FS1365" s="1" t="s">
        <v>14216</v>
      </c>
      <c r="FU1365" s="1" t="s">
        <v>14217</v>
      </c>
      <c r="FV1365" s="1" t="s">
        <v>200</v>
      </c>
      <c r="FW1365" s="1" t="s">
        <v>2754</v>
      </c>
      <c r="FZ1365" s="1" t="s">
        <v>504</v>
      </c>
      <c r="GA1365" s="1" t="s">
        <v>291</v>
      </c>
      <c r="GB1365" s="2">
        <v>42117.0</v>
      </c>
      <c r="GC1365" s="1" t="s">
        <v>14218</v>
      </c>
    </row>
    <row r="1366">
      <c r="A1366" s="1">
        <v>179900.0</v>
      </c>
      <c r="B1366" s="1" t="s">
        <v>185</v>
      </c>
      <c r="C1366" s="1" t="str">
        <f>"08658986"</f>
        <v>08658986</v>
      </c>
      <c r="D1366" s="1" t="s">
        <v>186</v>
      </c>
      <c r="F1366" s="1" t="str">
        <f t="shared" si="901"/>
        <v>560</v>
      </c>
      <c r="G1366" s="2">
        <v>41819.0</v>
      </c>
      <c r="H1366" s="1">
        <v>207900.0</v>
      </c>
      <c r="I1366" s="1">
        <v>110.0</v>
      </c>
      <c r="J1366" s="1">
        <v>187900.0</v>
      </c>
      <c r="K1366" s="2">
        <v>41928.0</v>
      </c>
      <c r="L1366" s="1">
        <v>110.0</v>
      </c>
      <c r="M1366" s="2">
        <v>41928.0</v>
      </c>
      <c r="N1366" s="1" t="s">
        <v>187</v>
      </c>
      <c r="O1366" s="2">
        <v>41976.0</v>
      </c>
      <c r="P1366" s="1">
        <v>220990.0</v>
      </c>
      <c r="Q1366" s="1">
        <v>23265.0</v>
      </c>
      <c r="S1366" s="1">
        <v>306.0</v>
      </c>
      <c r="T1366" s="1" t="s">
        <v>14219</v>
      </c>
      <c r="U1366" s="1" t="s">
        <v>1174</v>
      </c>
      <c r="V1366" s="1" t="s">
        <v>845</v>
      </c>
      <c r="W1366" s="1">
        <v>60560.0</v>
      </c>
      <c r="Y1366" s="1" t="s">
        <v>14220</v>
      </c>
      <c r="Z1366" s="1">
        <v>2007.0</v>
      </c>
      <c r="AA1366" s="1" t="s">
        <v>200</v>
      </c>
      <c r="AB1366" s="1" t="s">
        <v>467</v>
      </c>
      <c r="AD1366" s="1" t="s">
        <v>848</v>
      </c>
      <c r="AE1366" s="1" t="s">
        <v>849</v>
      </c>
      <c r="AF1366" s="1" t="s">
        <v>1312</v>
      </c>
      <c r="AH1366" s="1" t="s">
        <v>14221</v>
      </c>
      <c r="AI1366" s="1">
        <v>0.23</v>
      </c>
      <c r="AK1366" s="1">
        <v>9.0</v>
      </c>
      <c r="AL1366" s="1">
        <v>4.0</v>
      </c>
      <c r="AM1366" s="1">
        <v>2.0</v>
      </c>
      <c r="AN1366" s="1">
        <v>1.0</v>
      </c>
      <c r="AO1366" s="1" t="s">
        <v>198</v>
      </c>
      <c r="AQ1366" s="1" t="s">
        <v>198</v>
      </c>
      <c r="AR1366" s="1" t="s">
        <v>200</v>
      </c>
      <c r="AS1366" s="1" t="s">
        <v>199</v>
      </c>
      <c r="AT1366" s="1">
        <v>2.0</v>
      </c>
      <c r="AV1366" s="1" t="s">
        <v>200</v>
      </c>
      <c r="AW1366" s="1">
        <v>8110.0</v>
      </c>
      <c r="AX1366" s="1">
        <v>2013.0</v>
      </c>
      <c r="AZ1366" s="1" t="s">
        <v>200</v>
      </c>
      <c r="BA1366" s="1" t="str">
        <f>"0204407002"</f>
        <v>0204407002</v>
      </c>
      <c r="BB1366" s="1" t="s">
        <v>200</v>
      </c>
      <c r="BC1366" s="1">
        <v>2253.0</v>
      </c>
      <c r="BD1366" s="1">
        <v>179900.0</v>
      </c>
      <c r="BE1366" s="2">
        <v>41819.0</v>
      </c>
      <c r="BF1366" s="2" t="s">
        <v>14222</v>
      </c>
      <c r="BG1366" s="1" t="s">
        <v>4759</v>
      </c>
      <c r="BH1366" s="1">
        <v>300.0</v>
      </c>
      <c r="BI1366" s="1" t="s">
        <v>3052</v>
      </c>
      <c r="BJ1366" s="1" t="s">
        <v>3053</v>
      </c>
      <c r="BK1366" s="1" t="s">
        <v>580</v>
      </c>
      <c r="BL1366" s="1" t="str">
        <f t="shared" ref="BL1366:BM1366" si="902">""</f>
        <v/>
      </c>
      <c r="BM1366" s="1" t="str">
        <f t="shared" si="902"/>
        <v/>
      </c>
      <c r="BQ1366" s="1">
        <v>115.0</v>
      </c>
      <c r="BR1366" s="1">
        <v>115.0</v>
      </c>
      <c r="BS1366" s="1">
        <v>115.0</v>
      </c>
      <c r="BU1366" s="1" t="s">
        <v>433</v>
      </c>
      <c r="BV1366" s="1" t="s">
        <v>206</v>
      </c>
      <c r="BY1366" s="1" t="s">
        <v>454</v>
      </c>
      <c r="BZ1366" s="1" t="s">
        <v>209</v>
      </c>
      <c r="CC1366" s="1" t="s">
        <v>264</v>
      </c>
      <c r="CD1366" s="1" t="s">
        <v>206</v>
      </c>
      <c r="CG1366" s="1" t="s">
        <v>495</v>
      </c>
      <c r="CH1366" s="1" t="s">
        <v>209</v>
      </c>
      <c r="CK1366" s="1" t="s">
        <v>212</v>
      </c>
      <c r="CL1366" s="1" t="s">
        <v>209</v>
      </c>
      <c r="CO1366" s="1" t="s">
        <v>212</v>
      </c>
      <c r="CP1366" s="1" t="s">
        <v>209</v>
      </c>
      <c r="CS1366" s="1" t="s">
        <v>215</v>
      </c>
      <c r="CT1366" s="1" t="s">
        <v>206</v>
      </c>
      <c r="CW1366" s="1" t="s">
        <v>453</v>
      </c>
      <c r="CX1366" s="1" t="s">
        <v>206</v>
      </c>
      <c r="DA1366" s="1" t="s">
        <v>200</v>
      </c>
      <c r="DC1366" s="1" t="s">
        <v>481</v>
      </c>
      <c r="DD1366" s="1" t="s">
        <v>336</v>
      </c>
      <c r="DE1366" s="1" t="s">
        <v>273</v>
      </c>
      <c r="DF1366" s="1" t="s">
        <v>219</v>
      </c>
      <c r="DG1366" s="1" t="s">
        <v>14223</v>
      </c>
      <c r="DH1366" s="1" t="s">
        <v>220</v>
      </c>
      <c r="DJ1366" s="1" t="s">
        <v>222</v>
      </c>
      <c r="DL1366" s="1" t="s">
        <v>223</v>
      </c>
      <c r="DM1366" s="1" t="s">
        <v>1247</v>
      </c>
      <c r="DN1366" s="1" t="s">
        <v>485</v>
      </c>
      <c r="DP1366" s="1" t="s">
        <v>340</v>
      </c>
      <c r="DQ1366" s="1" t="s">
        <v>228</v>
      </c>
      <c r="DR1366" s="1" t="s">
        <v>2593</v>
      </c>
      <c r="DV1366" s="1" t="s">
        <v>556</v>
      </c>
      <c r="DW1366" s="1" t="s">
        <v>444</v>
      </c>
      <c r="DX1366" s="1" t="s">
        <v>234</v>
      </c>
      <c r="DZ1366" s="1" t="s">
        <v>343</v>
      </c>
      <c r="EC1366" s="1" t="s">
        <v>237</v>
      </c>
      <c r="EG1366" s="1" t="s">
        <v>556</v>
      </c>
      <c r="EL1366" s="1" t="s">
        <v>332</v>
      </c>
      <c r="EM1366" s="1" t="s">
        <v>206</v>
      </c>
      <c r="EQ1366" s="1" t="s">
        <v>238</v>
      </c>
      <c r="EU1366" s="1" t="s">
        <v>238</v>
      </c>
      <c r="EY1366" s="1" t="s">
        <v>238</v>
      </c>
      <c r="FC1366" s="1" t="s">
        <v>238</v>
      </c>
      <c r="FF1366" s="1" t="s">
        <v>239</v>
      </c>
      <c r="FG1366" s="1" t="s">
        <v>192</v>
      </c>
      <c r="FH1366" s="1" t="s">
        <v>192</v>
      </c>
      <c r="FJ1366" s="1" t="s">
        <v>14224</v>
      </c>
      <c r="FK1366" s="1" t="s">
        <v>229</v>
      </c>
      <c r="FL1366" s="1" t="s">
        <v>14066</v>
      </c>
      <c r="FM1366" s="1">
        <v>23290.0</v>
      </c>
      <c r="FN1366" s="1" t="s">
        <v>14067</v>
      </c>
      <c r="FO1366" s="1" t="s">
        <v>14225</v>
      </c>
      <c r="FP1366" s="1">
        <v>233019.0</v>
      </c>
      <c r="FQ1366" s="1" t="s">
        <v>14226</v>
      </c>
      <c r="FU1366" s="1" t="s">
        <v>14227</v>
      </c>
      <c r="FV1366" s="1" t="s">
        <v>192</v>
      </c>
      <c r="FW1366" s="1" t="s">
        <v>290</v>
      </c>
      <c r="FZ1366" s="1" t="s">
        <v>229</v>
      </c>
      <c r="GA1366" s="1" t="s">
        <v>291</v>
      </c>
      <c r="GB1366" s="2">
        <v>41976.0</v>
      </c>
      <c r="GC1366" s="1" t="s">
        <v>14228</v>
      </c>
    </row>
    <row r="1367">
      <c r="A1367" s="1">
        <v>253900.0</v>
      </c>
      <c r="B1367" s="1" t="s">
        <v>185</v>
      </c>
      <c r="C1367" s="1" t="str">
        <f>"08655925"</f>
        <v>08655925</v>
      </c>
      <c r="D1367" s="1" t="s">
        <v>186</v>
      </c>
      <c r="F1367" s="1" t="str">
        <f t="shared" si="901"/>
        <v>560</v>
      </c>
      <c r="G1367" s="2">
        <v>41816.0</v>
      </c>
      <c r="H1367" s="1">
        <v>257900.0</v>
      </c>
      <c r="I1367" s="1">
        <v>109.0</v>
      </c>
      <c r="J1367" s="1">
        <v>257900.0</v>
      </c>
      <c r="K1367" s="2">
        <v>41876.0</v>
      </c>
      <c r="L1367" s="1">
        <v>62.0</v>
      </c>
      <c r="M1367" s="2">
        <v>41876.0</v>
      </c>
      <c r="N1367" s="1" t="s">
        <v>187</v>
      </c>
      <c r="O1367" s="2">
        <v>41977.0</v>
      </c>
      <c r="P1367" s="1">
        <v>234937.0</v>
      </c>
      <c r="Q1367" s="1">
        <v>23742.0</v>
      </c>
      <c r="S1367" s="1">
        <v>2312.0</v>
      </c>
      <c r="T1367" s="1" t="s">
        <v>14229</v>
      </c>
      <c r="V1367" s="1" t="s">
        <v>845</v>
      </c>
      <c r="W1367" s="1">
        <v>60560.0</v>
      </c>
      <c r="Y1367" s="1" t="s">
        <v>2389</v>
      </c>
      <c r="Z1367" s="1">
        <v>2014.0</v>
      </c>
      <c r="AA1367" s="1" t="s">
        <v>200</v>
      </c>
      <c r="AB1367" s="1" t="s">
        <v>467</v>
      </c>
      <c r="AC1367" s="1" t="s">
        <v>1311</v>
      </c>
      <c r="AD1367" s="1" t="s">
        <v>848</v>
      </c>
      <c r="AE1367" s="1" t="s">
        <v>849</v>
      </c>
      <c r="AF1367" s="1" t="s">
        <v>1312</v>
      </c>
      <c r="AG1367" s="1" t="s">
        <v>14230</v>
      </c>
      <c r="AH1367" s="1">
        <v>13308.0</v>
      </c>
      <c r="AK1367" s="1">
        <v>10.0</v>
      </c>
      <c r="AL1367" s="1">
        <v>4.0</v>
      </c>
      <c r="AM1367" s="1">
        <v>2.0</v>
      </c>
      <c r="AN1367" s="1">
        <v>1.0</v>
      </c>
      <c r="AO1367" s="1" t="s">
        <v>198</v>
      </c>
      <c r="AQ1367" s="1" t="s">
        <v>198</v>
      </c>
      <c r="AR1367" s="1" t="s">
        <v>200</v>
      </c>
      <c r="AS1367" s="1" t="s">
        <v>199</v>
      </c>
      <c r="AT1367" s="1">
        <v>3.0</v>
      </c>
      <c r="AV1367" s="1" t="s">
        <v>200</v>
      </c>
      <c r="AW1367" s="1" t="s">
        <v>575</v>
      </c>
      <c r="AX1367" s="1">
        <v>2013.0</v>
      </c>
      <c r="AY1367" s="1" t="s">
        <v>229</v>
      </c>
      <c r="AZ1367" s="1" t="s">
        <v>200</v>
      </c>
      <c r="BA1367" s="1" t="str">
        <f>"0509179001"</f>
        <v>0509179001</v>
      </c>
      <c r="BB1367" s="1" t="s">
        <v>200</v>
      </c>
      <c r="BC1367" s="1">
        <v>2907.0</v>
      </c>
      <c r="BD1367" s="1">
        <v>253900.0</v>
      </c>
      <c r="BE1367" s="2">
        <v>41815.0</v>
      </c>
      <c r="BF1367" s="2" t="s">
        <v>14231</v>
      </c>
      <c r="BH1367" s="1">
        <v>375.0</v>
      </c>
      <c r="BK1367" s="1" t="s">
        <v>580</v>
      </c>
      <c r="BL1367" s="1" t="str">
        <f t="shared" ref="BL1367:BM1367" si="903">""</f>
        <v/>
      </c>
      <c r="BM1367" s="1" t="str">
        <f t="shared" si="903"/>
        <v/>
      </c>
      <c r="BQ1367" s="1">
        <v>115.0</v>
      </c>
      <c r="BR1367" s="1">
        <v>115.0</v>
      </c>
      <c r="BS1367" s="1">
        <v>115.0</v>
      </c>
      <c r="BU1367" s="1" t="s">
        <v>699</v>
      </c>
      <c r="BV1367" s="1" t="s">
        <v>206</v>
      </c>
      <c r="BW1367" s="1" t="s">
        <v>207</v>
      </c>
      <c r="BX1367" s="1" t="s">
        <v>229</v>
      </c>
      <c r="BY1367" s="1" t="s">
        <v>583</v>
      </c>
      <c r="BZ1367" s="1" t="s">
        <v>209</v>
      </c>
      <c r="CA1367" s="1" t="s">
        <v>210</v>
      </c>
      <c r="CB1367" s="1" t="s">
        <v>431</v>
      </c>
      <c r="CC1367" s="1" t="s">
        <v>363</v>
      </c>
      <c r="CD1367" s="1" t="s">
        <v>206</v>
      </c>
      <c r="CE1367" s="1" t="s">
        <v>207</v>
      </c>
      <c r="CF1367" s="1" t="s">
        <v>431</v>
      </c>
      <c r="CG1367" s="1" t="s">
        <v>363</v>
      </c>
      <c r="CH1367" s="1" t="s">
        <v>209</v>
      </c>
      <c r="CI1367" s="1" t="s">
        <v>210</v>
      </c>
      <c r="CJ1367" s="1" t="s">
        <v>431</v>
      </c>
      <c r="CK1367" s="1" t="s">
        <v>582</v>
      </c>
      <c r="CL1367" s="1" t="s">
        <v>209</v>
      </c>
      <c r="CM1367" s="1" t="s">
        <v>210</v>
      </c>
      <c r="CN1367" s="1" t="s">
        <v>431</v>
      </c>
      <c r="CO1367" s="1" t="s">
        <v>212</v>
      </c>
      <c r="CP1367" s="1" t="s">
        <v>209</v>
      </c>
      <c r="CQ1367" s="1" t="s">
        <v>210</v>
      </c>
      <c r="CR1367" s="1" t="s">
        <v>431</v>
      </c>
      <c r="CS1367" s="1" t="s">
        <v>361</v>
      </c>
      <c r="CT1367" s="1" t="s">
        <v>206</v>
      </c>
      <c r="CU1367" s="1" t="s">
        <v>207</v>
      </c>
      <c r="CV1367" s="1" t="s">
        <v>229</v>
      </c>
      <c r="CW1367" s="1" t="s">
        <v>854</v>
      </c>
      <c r="CX1367" s="1" t="s">
        <v>206</v>
      </c>
      <c r="CY1367" s="1" t="s">
        <v>207</v>
      </c>
      <c r="CZ1367" s="1" t="s">
        <v>431</v>
      </c>
      <c r="DA1367" s="1" t="s">
        <v>192</v>
      </c>
      <c r="DB1367" s="2">
        <v>41850.0</v>
      </c>
      <c r="DC1367" s="1" t="s">
        <v>744</v>
      </c>
      <c r="DD1367" s="1" t="s">
        <v>1838</v>
      </c>
      <c r="DE1367" s="1" t="s">
        <v>273</v>
      </c>
      <c r="DF1367" s="1" t="s">
        <v>219</v>
      </c>
      <c r="DG1367" s="1" t="s">
        <v>482</v>
      </c>
      <c r="DH1367" s="1" t="s">
        <v>220</v>
      </c>
      <c r="DI1367" s="1" t="s">
        <v>1021</v>
      </c>
      <c r="DJ1367" s="1" t="s">
        <v>222</v>
      </c>
      <c r="DK1367" s="1" t="s">
        <v>223</v>
      </c>
      <c r="DL1367" s="1" t="s">
        <v>223</v>
      </c>
      <c r="DM1367" s="1" t="s">
        <v>338</v>
      </c>
      <c r="DN1367" s="1" t="s">
        <v>1023</v>
      </c>
      <c r="DO1367" s="1" t="s">
        <v>590</v>
      </c>
      <c r="DQ1367" s="1" t="s">
        <v>441</v>
      </c>
      <c r="DR1367" s="1" t="s">
        <v>588</v>
      </c>
      <c r="DS1367" s="1" t="s">
        <v>368</v>
      </c>
      <c r="DV1367" s="1" t="s">
        <v>1356</v>
      </c>
      <c r="DW1367" s="1" t="s">
        <v>233</v>
      </c>
      <c r="DX1367" s="1" t="s">
        <v>234</v>
      </c>
      <c r="DZ1367" s="1" t="s">
        <v>310</v>
      </c>
      <c r="EC1367" s="1" t="s">
        <v>237</v>
      </c>
      <c r="ED1367" s="1" t="s">
        <v>555</v>
      </c>
      <c r="EG1367" s="1" t="s">
        <v>1028</v>
      </c>
      <c r="EI1367" s="1" t="s">
        <v>556</v>
      </c>
      <c r="EL1367" s="1" t="s">
        <v>264</v>
      </c>
      <c r="EM1367" s="1" t="s">
        <v>206</v>
      </c>
      <c r="EN1367" s="1" t="s">
        <v>210</v>
      </c>
      <c r="EO1367" s="1" t="s">
        <v>431</v>
      </c>
      <c r="EQ1367" s="1" t="s">
        <v>238</v>
      </c>
      <c r="ET1367" s="1" t="s">
        <v>516</v>
      </c>
      <c r="EU1367" s="1" t="s">
        <v>206</v>
      </c>
      <c r="EV1367" s="1" t="s">
        <v>207</v>
      </c>
      <c r="EW1367" s="1" t="s">
        <v>431</v>
      </c>
      <c r="EY1367" s="1" t="s">
        <v>238</v>
      </c>
      <c r="FC1367" s="1" t="s">
        <v>238</v>
      </c>
      <c r="FF1367" s="1" t="s">
        <v>239</v>
      </c>
      <c r="FG1367" s="1" t="s">
        <v>192</v>
      </c>
      <c r="FH1367" s="1" t="s">
        <v>192</v>
      </c>
      <c r="FJ1367" s="1" t="s">
        <v>14232</v>
      </c>
      <c r="FK1367" s="1" t="s">
        <v>229</v>
      </c>
      <c r="FL1367" s="1" t="s">
        <v>14066</v>
      </c>
      <c r="FM1367" s="1">
        <v>23290.0</v>
      </c>
      <c r="FN1367" s="1" t="s">
        <v>14067</v>
      </c>
      <c r="FO1367" s="1" t="s">
        <v>14225</v>
      </c>
      <c r="FP1367" s="1">
        <v>233019.0</v>
      </c>
      <c r="FQ1367" s="1" t="s">
        <v>14226</v>
      </c>
      <c r="FU1367" s="1" t="s">
        <v>14233</v>
      </c>
      <c r="FV1367" s="1" t="s">
        <v>200</v>
      </c>
      <c r="FW1367" s="1" t="s">
        <v>1037</v>
      </c>
      <c r="FZ1367" s="1" t="s">
        <v>229</v>
      </c>
      <c r="GA1367" s="1" t="s">
        <v>247</v>
      </c>
      <c r="GB1367" s="2">
        <v>41977.0</v>
      </c>
      <c r="GC1367" s="1" t="s">
        <v>14234</v>
      </c>
    </row>
    <row r="1368">
      <c r="A1368" s="1">
        <v>336250.0</v>
      </c>
      <c r="B1368" s="1" t="s">
        <v>185</v>
      </c>
      <c r="C1368" s="1" t="str">
        <f>"08704974"</f>
        <v>08704974</v>
      </c>
      <c r="D1368" s="1" t="s">
        <v>186</v>
      </c>
      <c r="F1368" s="1" t="str">
        <f>"118"</f>
        <v>118</v>
      </c>
      <c r="G1368" s="2">
        <v>41869.0</v>
      </c>
      <c r="H1368" s="1">
        <v>369900.0</v>
      </c>
      <c r="I1368" s="1">
        <v>66.0</v>
      </c>
      <c r="J1368" s="1">
        <v>369900.0</v>
      </c>
      <c r="K1368" s="2">
        <v>41933.0</v>
      </c>
      <c r="L1368" s="1">
        <v>66.0</v>
      </c>
      <c r="M1368" s="2">
        <v>41933.0</v>
      </c>
      <c r="N1368" s="1" t="s">
        <v>187</v>
      </c>
      <c r="O1368" s="2">
        <v>42009.0</v>
      </c>
      <c r="P1368" s="1">
        <v>239196.0</v>
      </c>
      <c r="Q1368" s="1">
        <v>25718.0</v>
      </c>
      <c r="S1368" s="1" t="s">
        <v>14235</v>
      </c>
      <c r="T1368" s="1" t="s">
        <v>14236</v>
      </c>
      <c r="U1368" s="1" t="s">
        <v>464</v>
      </c>
      <c r="V1368" s="1" t="s">
        <v>1086</v>
      </c>
      <c r="W1368" s="1">
        <v>60118.0</v>
      </c>
      <c r="Y1368" s="1" t="s">
        <v>14237</v>
      </c>
      <c r="Z1368" s="1">
        <v>1959.0</v>
      </c>
      <c r="AA1368" s="1" t="s">
        <v>192</v>
      </c>
      <c r="AB1368" s="1" t="s">
        <v>193</v>
      </c>
      <c r="AD1368" s="1" t="s">
        <v>1089</v>
      </c>
      <c r="AE1368" s="1" t="s">
        <v>325</v>
      </c>
      <c r="AF1368" s="1" t="s">
        <v>810</v>
      </c>
      <c r="AG1368" s="1" t="s">
        <v>752</v>
      </c>
      <c r="AH1368" s="1" t="s">
        <v>14238</v>
      </c>
      <c r="AI1368" s="1">
        <v>1.52</v>
      </c>
      <c r="AK1368" s="1">
        <v>9.0</v>
      </c>
      <c r="AL1368" s="1">
        <v>4.0</v>
      </c>
      <c r="AM1368" s="1">
        <v>2.0</v>
      </c>
      <c r="AN1368" s="1">
        <v>0.0</v>
      </c>
      <c r="AO1368" s="1" t="s">
        <v>229</v>
      </c>
      <c r="AP1368" s="1">
        <v>2.0</v>
      </c>
      <c r="AQ1368" s="1" t="s">
        <v>472</v>
      </c>
      <c r="AR1368" s="1" t="s">
        <v>200</v>
      </c>
      <c r="AS1368" s="1" t="s">
        <v>199</v>
      </c>
      <c r="AT1368" s="1">
        <v>2.0</v>
      </c>
      <c r="AV1368" s="1" t="s">
        <v>200</v>
      </c>
      <c r="AW1368" s="1">
        <v>8691.02</v>
      </c>
      <c r="AX1368" s="1">
        <v>2013.0</v>
      </c>
      <c r="AY1368" s="1" t="s">
        <v>387</v>
      </c>
      <c r="AZ1368" s="1" t="s">
        <v>200</v>
      </c>
      <c r="BA1368" s="1" t="str">
        <f>"0309400009"</f>
        <v>0309400009</v>
      </c>
      <c r="BC1368" s="1">
        <v>2734.0</v>
      </c>
      <c r="BD1368" s="1">
        <v>336250.0</v>
      </c>
      <c r="BE1368" s="2">
        <v>41868.0</v>
      </c>
      <c r="BF1368" s="2" t="s">
        <v>14239</v>
      </c>
      <c r="BG1368" s="1" t="s">
        <v>1181</v>
      </c>
      <c r="BH1368" s="1">
        <v>0.0</v>
      </c>
      <c r="BI1368" s="1" t="s">
        <v>1093</v>
      </c>
      <c r="BJ1368" s="1" t="s">
        <v>1759</v>
      </c>
      <c r="BK1368" s="1" t="s">
        <v>204</v>
      </c>
      <c r="BL1368" s="1" t="str">
        <f>"18"</f>
        <v>18</v>
      </c>
      <c r="BM1368" s="1" t="str">
        <f t="shared" ref="BM1368:BM1370" si="904">"0"</f>
        <v>0</v>
      </c>
      <c r="BN1368" s="1">
        <v>35.0</v>
      </c>
      <c r="BO1368" s="1">
        <v>0.0</v>
      </c>
      <c r="BQ1368" s="1">
        <v>300.0</v>
      </c>
      <c r="BR1368" s="1">
        <v>300.0</v>
      </c>
      <c r="BS1368" s="1">
        <v>300.0</v>
      </c>
      <c r="BU1368" s="1" t="s">
        <v>4063</v>
      </c>
      <c r="BV1368" s="1" t="s">
        <v>206</v>
      </c>
      <c r="BW1368" s="1" t="s">
        <v>588</v>
      </c>
      <c r="BX1368" s="1" t="s">
        <v>1549</v>
      </c>
      <c r="BY1368" s="1" t="s">
        <v>1809</v>
      </c>
      <c r="BZ1368" s="1" t="s">
        <v>209</v>
      </c>
      <c r="CA1368" s="1" t="s">
        <v>207</v>
      </c>
      <c r="CB1368" s="1" t="s">
        <v>229</v>
      </c>
      <c r="CC1368" s="1" t="s">
        <v>542</v>
      </c>
      <c r="CD1368" s="1" t="s">
        <v>206</v>
      </c>
      <c r="CG1368" s="1" t="s">
        <v>264</v>
      </c>
      <c r="CH1368" s="1" t="s">
        <v>209</v>
      </c>
      <c r="CI1368" s="1" t="s">
        <v>207</v>
      </c>
      <c r="CJ1368" s="1" t="s">
        <v>229</v>
      </c>
      <c r="CK1368" s="1" t="s">
        <v>264</v>
      </c>
      <c r="CL1368" s="1" t="s">
        <v>209</v>
      </c>
      <c r="CM1368" s="1" t="s">
        <v>207</v>
      </c>
      <c r="CN1368" s="1" t="s">
        <v>229</v>
      </c>
      <c r="CO1368" s="1" t="s">
        <v>495</v>
      </c>
      <c r="CP1368" s="1" t="s">
        <v>267</v>
      </c>
      <c r="CQ1368" s="1" t="s">
        <v>588</v>
      </c>
      <c r="CR1368" s="1" t="s">
        <v>229</v>
      </c>
      <c r="CS1368" s="1" t="s">
        <v>543</v>
      </c>
      <c r="CT1368" s="1" t="s">
        <v>206</v>
      </c>
      <c r="CU1368" s="1" t="s">
        <v>588</v>
      </c>
      <c r="CV1368" s="1" t="s">
        <v>229</v>
      </c>
      <c r="CW1368" s="1" t="s">
        <v>6890</v>
      </c>
      <c r="CX1368" s="1" t="s">
        <v>267</v>
      </c>
      <c r="CY1368" s="1" t="s">
        <v>588</v>
      </c>
      <c r="CZ1368" s="1" t="s">
        <v>229</v>
      </c>
      <c r="DA1368" s="1" t="s">
        <v>200</v>
      </c>
      <c r="DC1368" s="1" t="s">
        <v>271</v>
      </c>
      <c r="DD1368" s="1" t="s">
        <v>518</v>
      </c>
      <c r="DE1368" s="1" t="s">
        <v>273</v>
      </c>
      <c r="DF1368" s="1" t="s">
        <v>14240</v>
      </c>
      <c r="DG1368" s="1" t="s">
        <v>4976</v>
      </c>
      <c r="DH1368" s="1" t="s">
        <v>856</v>
      </c>
      <c r="DI1368" s="1" t="s">
        <v>1223</v>
      </c>
      <c r="DJ1368" s="1" t="s">
        <v>857</v>
      </c>
      <c r="DL1368" s="1" t="s">
        <v>224</v>
      </c>
      <c r="DM1368" s="1" t="s">
        <v>338</v>
      </c>
      <c r="DN1368" s="1" t="s">
        <v>548</v>
      </c>
      <c r="DO1368" s="1" t="s">
        <v>14241</v>
      </c>
      <c r="DQ1368" s="1" t="s">
        <v>931</v>
      </c>
      <c r="DR1368" s="1" t="s">
        <v>229</v>
      </c>
      <c r="DS1368" s="1" t="s">
        <v>230</v>
      </c>
      <c r="DU1368" s="1" t="s">
        <v>3861</v>
      </c>
      <c r="DV1368" s="1" t="s">
        <v>14242</v>
      </c>
      <c r="DW1368" s="1" t="s">
        <v>764</v>
      </c>
      <c r="DX1368" s="1" t="s">
        <v>234</v>
      </c>
      <c r="DY1368" s="1" t="s">
        <v>6654</v>
      </c>
      <c r="DZ1368" s="1" t="s">
        <v>14243</v>
      </c>
      <c r="EA1368" s="1" t="s">
        <v>588</v>
      </c>
      <c r="EB1368" s="1" t="s">
        <v>14244</v>
      </c>
      <c r="EC1368" s="1" t="s">
        <v>588</v>
      </c>
      <c r="ED1368" s="1" t="s">
        <v>407</v>
      </c>
      <c r="EE1368" s="1" t="s">
        <v>493</v>
      </c>
      <c r="EH1368" s="1" t="s">
        <v>449</v>
      </c>
      <c r="EJ1368" s="1" t="s">
        <v>2129</v>
      </c>
      <c r="EM1368" s="1" t="s">
        <v>238</v>
      </c>
      <c r="EP1368" s="1" t="s">
        <v>798</v>
      </c>
      <c r="EQ1368" s="1" t="s">
        <v>206</v>
      </c>
      <c r="ER1368" s="1" t="s">
        <v>588</v>
      </c>
      <c r="EU1368" s="1" t="s">
        <v>238</v>
      </c>
      <c r="EX1368" s="1" t="s">
        <v>1138</v>
      </c>
      <c r="EY1368" s="1" t="s">
        <v>206</v>
      </c>
      <c r="EZ1368" s="1" t="s">
        <v>268</v>
      </c>
      <c r="FA1368" s="1" t="s">
        <v>229</v>
      </c>
      <c r="FC1368" s="1" t="s">
        <v>238</v>
      </c>
      <c r="FF1368" s="1" t="s">
        <v>239</v>
      </c>
      <c r="FG1368" s="1" t="s">
        <v>192</v>
      </c>
      <c r="FH1368" s="1" t="s">
        <v>192</v>
      </c>
      <c r="FJ1368" s="1" t="s">
        <v>686</v>
      </c>
      <c r="FK1368" s="1" t="s">
        <v>348</v>
      </c>
      <c r="FL1368" s="1" t="s">
        <v>14245</v>
      </c>
      <c r="FM1368" s="1">
        <v>1515.0</v>
      </c>
      <c r="FN1368" s="1" t="s">
        <v>14246</v>
      </c>
      <c r="FO1368" s="1" t="s">
        <v>14247</v>
      </c>
      <c r="FP1368" s="1">
        <v>88761.0</v>
      </c>
      <c r="FQ1368" s="1" t="s">
        <v>14248</v>
      </c>
      <c r="FS1368" s="1" t="s">
        <v>14249</v>
      </c>
      <c r="FU1368" s="1" t="s">
        <v>14250</v>
      </c>
      <c r="FV1368" s="1" t="s">
        <v>200</v>
      </c>
      <c r="FW1368" s="1" t="s">
        <v>14251</v>
      </c>
      <c r="FX1368" s="1" t="s">
        <v>246</v>
      </c>
      <c r="FZ1368" s="1" t="s">
        <v>229</v>
      </c>
      <c r="GA1368" s="1" t="s">
        <v>291</v>
      </c>
      <c r="GB1368" s="2">
        <v>42010.0</v>
      </c>
      <c r="GC1368" s="1" t="s">
        <v>14252</v>
      </c>
    </row>
    <row r="1369">
      <c r="A1369" s="1">
        <v>70000.0</v>
      </c>
      <c r="B1369" s="1" t="s">
        <v>185</v>
      </c>
      <c r="C1369" s="1" t="str">
        <f>"08666061"</f>
        <v>08666061</v>
      </c>
      <c r="D1369" s="1" t="s">
        <v>186</v>
      </c>
      <c r="F1369" s="1" t="str">
        <f>"8025"</f>
        <v>8025</v>
      </c>
      <c r="G1369" s="2">
        <v>41828.0</v>
      </c>
      <c r="H1369" s="1">
        <v>69900.0</v>
      </c>
      <c r="I1369" s="1">
        <v>84.0</v>
      </c>
      <c r="J1369" s="1">
        <v>69900.0</v>
      </c>
      <c r="K1369" s="2">
        <v>41911.0</v>
      </c>
      <c r="L1369" s="1">
        <v>84.0</v>
      </c>
      <c r="M1369" s="2">
        <v>41911.0</v>
      </c>
      <c r="N1369" s="1" t="s">
        <v>187</v>
      </c>
      <c r="O1369" s="2">
        <v>42052.0</v>
      </c>
      <c r="P1369" s="1">
        <v>115616.0</v>
      </c>
      <c r="Q1369" s="1">
        <v>10272.0</v>
      </c>
      <c r="S1369" s="1">
        <v>5023.0</v>
      </c>
      <c r="T1369" s="1" t="s">
        <v>14253</v>
      </c>
      <c r="U1369" s="1" t="s">
        <v>189</v>
      </c>
      <c r="V1369" s="1" t="s">
        <v>190</v>
      </c>
      <c r="W1369" s="1">
        <v>60639.0</v>
      </c>
      <c r="Y1369" s="1" t="s">
        <v>14254</v>
      </c>
      <c r="Z1369" s="1">
        <v>1915.0</v>
      </c>
      <c r="AA1369" s="1" t="s">
        <v>192</v>
      </c>
      <c r="AB1369" s="1" t="s">
        <v>193</v>
      </c>
      <c r="AD1369" s="1" t="s">
        <v>194</v>
      </c>
      <c r="AE1369" s="1" t="s">
        <v>195</v>
      </c>
      <c r="AF1369" s="1" t="s">
        <v>196</v>
      </c>
      <c r="AH1369" s="1" t="s">
        <v>14255</v>
      </c>
      <c r="AK1369" s="1">
        <v>7.0</v>
      </c>
      <c r="AL1369" s="1">
        <v>4.0</v>
      </c>
      <c r="AM1369" s="1">
        <v>3.0</v>
      </c>
      <c r="AN1369" s="1">
        <v>0.0</v>
      </c>
      <c r="AO1369" s="1" t="s">
        <v>229</v>
      </c>
      <c r="AQ1369" s="1" t="s">
        <v>327</v>
      </c>
      <c r="AR1369" s="1" t="s">
        <v>192</v>
      </c>
      <c r="AS1369" s="1" t="s">
        <v>828</v>
      </c>
      <c r="AU1369" s="1">
        <v>2.0</v>
      </c>
      <c r="AV1369" s="1" t="s">
        <v>200</v>
      </c>
      <c r="AW1369" s="1">
        <v>3041.81</v>
      </c>
      <c r="AX1369" s="1">
        <v>2012.0</v>
      </c>
      <c r="AY1369" s="1" t="s">
        <v>229</v>
      </c>
      <c r="AZ1369" s="1" t="s">
        <v>200</v>
      </c>
      <c r="BA1369" s="1" t="str">
        <f>"13334190110000"</f>
        <v>13334190110000</v>
      </c>
      <c r="BC1369" s="1">
        <v>1781.0</v>
      </c>
      <c r="BD1369" s="1">
        <v>70000.0</v>
      </c>
      <c r="BE1369" s="2">
        <v>41828.0</v>
      </c>
      <c r="BF1369" s="2" t="s">
        <v>14256</v>
      </c>
      <c r="BH1369" s="1">
        <v>0.0</v>
      </c>
      <c r="BK1369" s="1" t="s">
        <v>204</v>
      </c>
      <c r="BL1369" s="1" t="str">
        <f>"1700"</f>
        <v>1700</v>
      </c>
      <c r="BM1369" s="1" t="str">
        <f t="shared" si="904"/>
        <v>0</v>
      </c>
      <c r="BN1369" s="1">
        <v>5023.0</v>
      </c>
      <c r="BO1369" s="1">
        <v>0.0</v>
      </c>
      <c r="BQ1369" s="1">
        <v>299.0</v>
      </c>
      <c r="BR1369" s="1">
        <v>299.0</v>
      </c>
      <c r="BS1369" s="1">
        <v>299.0</v>
      </c>
      <c r="BU1369" s="1" t="s">
        <v>433</v>
      </c>
      <c r="BV1369" s="1" t="s">
        <v>206</v>
      </c>
      <c r="BY1369" s="1" t="s">
        <v>663</v>
      </c>
      <c r="BZ1369" s="1" t="s">
        <v>206</v>
      </c>
      <c r="CC1369" s="1" t="s">
        <v>433</v>
      </c>
      <c r="CD1369" s="1" t="s">
        <v>206</v>
      </c>
      <c r="CG1369" s="1" t="s">
        <v>663</v>
      </c>
      <c r="CH1369" s="1" t="s">
        <v>206</v>
      </c>
      <c r="CK1369" s="1" t="s">
        <v>303</v>
      </c>
      <c r="CL1369" s="1" t="s">
        <v>206</v>
      </c>
      <c r="CO1369" s="1" t="s">
        <v>303</v>
      </c>
      <c r="CP1369" s="1" t="s">
        <v>209</v>
      </c>
      <c r="CR1369" s="1" t="s">
        <v>229</v>
      </c>
      <c r="CS1369" s="1" t="s">
        <v>363</v>
      </c>
      <c r="CT1369" s="1" t="s">
        <v>206</v>
      </c>
      <c r="CX1369" s="1" t="s">
        <v>204</v>
      </c>
      <c r="DA1369" s="1" t="s">
        <v>200</v>
      </c>
      <c r="DC1369" s="1" t="s">
        <v>216</v>
      </c>
      <c r="DE1369" s="1" t="s">
        <v>229</v>
      </c>
      <c r="DF1369" s="1" t="s">
        <v>905</v>
      </c>
      <c r="DH1369" s="1" t="s">
        <v>365</v>
      </c>
      <c r="DJ1369" s="1" t="s">
        <v>588</v>
      </c>
      <c r="DL1369" s="1" t="s">
        <v>224</v>
      </c>
      <c r="DM1369" s="1" t="s">
        <v>229</v>
      </c>
      <c r="DQ1369" s="1" t="s">
        <v>718</v>
      </c>
      <c r="DR1369" s="1" t="s">
        <v>229</v>
      </c>
      <c r="DV1369" s="1" t="s">
        <v>232</v>
      </c>
      <c r="DW1369" s="1" t="s">
        <v>279</v>
      </c>
      <c r="DX1369" s="1" t="s">
        <v>234</v>
      </c>
      <c r="EC1369" s="1" t="s">
        <v>237</v>
      </c>
      <c r="EF1369" s="1" t="s">
        <v>9622</v>
      </c>
      <c r="EM1369" s="1" t="s">
        <v>238</v>
      </c>
      <c r="EQ1369" s="1" t="s">
        <v>238</v>
      </c>
      <c r="EU1369" s="1" t="s">
        <v>238</v>
      </c>
      <c r="EY1369" s="1" t="s">
        <v>238</v>
      </c>
      <c r="FC1369" s="1" t="s">
        <v>238</v>
      </c>
      <c r="FF1369" s="1" t="s">
        <v>239</v>
      </c>
      <c r="FG1369" s="1" t="s">
        <v>192</v>
      </c>
      <c r="FH1369" s="1" t="s">
        <v>192</v>
      </c>
      <c r="FJ1369" s="1" t="s">
        <v>7646</v>
      </c>
      <c r="FK1369" s="1" t="s">
        <v>229</v>
      </c>
      <c r="FL1369" s="1" t="s">
        <v>10232</v>
      </c>
      <c r="FM1369" s="1">
        <v>11009.0</v>
      </c>
      <c r="FN1369" s="1" t="s">
        <v>10233</v>
      </c>
      <c r="FO1369" s="1" t="s">
        <v>13878</v>
      </c>
      <c r="FP1369" s="1">
        <v>155894.0</v>
      </c>
      <c r="FQ1369" s="1" t="s">
        <v>13879</v>
      </c>
      <c r="FU1369" s="1" t="s">
        <v>13880</v>
      </c>
      <c r="FV1369" s="1" t="s">
        <v>192</v>
      </c>
      <c r="FW1369" s="1" t="s">
        <v>290</v>
      </c>
      <c r="FX1369" s="1" t="s">
        <v>246</v>
      </c>
      <c r="FZ1369" s="1" t="s">
        <v>229</v>
      </c>
      <c r="GA1369" s="1" t="s">
        <v>291</v>
      </c>
      <c r="GB1369" s="2">
        <v>42052.0</v>
      </c>
      <c r="GC1369" s="1" t="s">
        <v>14257</v>
      </c>
    </row>
    <row r="1370">
      <c r="A1370" s="1">
        <v>235000.0</v>
      </c>
      <c r="B1370" s="1" t="s">
        <v>185</v>
      </c>
      <c r="C1370" s="1" t="str">
        <f>"08657048"</f>
        <v>08657048</v>
      </c>
      <c r="D1370" s="1" t="s">
        <v>186</v>
      </c>
      <c r="F1370" s="1" t="str">
        <f>"8015"</f>
        <v>8015</v>
      </c>
      <c r="G1370" s="2">
        <v>41816.0</v>
      </c>
      <c r="H1370" s="1">
        <v>279900.0</v>
      </c>
      <c r="I1370" s="1">
        <v>124.0</v>
      </c>
      <c r="J1370" s="1">
        <v>249900.0</v>
      </c>
      <c r="K1370" s="2">
        <v>41939.0</v>
      </c>
      <c r="L1370" s="1">
        <v>124.0</v>
      </c>
      <c r="M1370" s="2">
        <v>41939.0</v>
      </c>
      <c r="N1370" s="1" t="s">
        <v>356</v>
      </c>
      <c r="O1370" s="2">
        <v>41969.0</v>
      </c>
      <c r="P1370" s="1">
        <v>922101.0</v>
      </c>
      <c r="Q1370" s="1">
        <v>25739.0</v>
      </c>
      <c r="S1370" s="1">
        <v>5145.0</v>
      </c>
      <c r="T1370" s="1" t="s">
        <v>5164</v>
      </c>
      <c r="U1370" s="1" t="s">
        <v>189</v>
      </c>
      <c r="V1370" s="1" t="s">
        <v>190</v>
      </c>
      <c r="W1370" s="1">
        <v>60641.0</v>
      </c>
      <c r="X1370" s="1">
        <v>3444.0</v>
      </c>
      <c r="Y1370" s="1" t="s">
        <v>14258</v>
      </c>
      <c r="Z1370" s="1">
        <v>1922.0</v>
      </c>
      <c r="AA1370" s="1" t="s">
        <v>192</v>
      </c>
      <c r="AB1370" s="1" t="s">
        <v>193</v>
      </c>
      <c r="AD1370" s="1" t="s">
        <v>194</v>
      </c>
      <c r="AE1370" s="1" t="s">
        <v>195</v>
      </c>
      <c r="AF1370" s="1" t="s">
        <v>196</v>
      </c>
      <c r="AG1370" s="1" t="s">
        <v>778</v>
      </c>
      <c r="AH1370" s="1" t="s">
        <v>1460</v>
      </c>
      <c r="AK1370" s="1">
        <v>8.0</v>
      </c>
      <c r="AL1370" s="1">
        <v>4.0</v>
      </c>
      <c r="AM1370" s="1">
        <v>2.0</v>
      </c>
      <c r="AN1370" s="1">
        <v>0.0</v>
      </c>
      <c r="AO1370" s="1" t="s">
        <v>229</v>
      </c>
      <c r="AQ1370" s="1" t="s">
        <v>198</v>
      </c>
      <c r="AR1370" s="1" t="s">
        <v>192</v>
      </c>
      <c r="AS1370" s="1" t="s">
        <v>199</v>
      </c>
      <c r="AT1370" s="1">
        <v>2.0</v>
      </c>
      <c r="AV1370" s="1" t="s">
        <v>200</v>
      </c>
      <c r="AW1370" s="1">
        <v>2884.0</v>
      </c>
      <c r="AX1370" s="1">
        <v>2012.0</v>
      </c>
      <c r="AY1370" s="1" t="s">
        <v>229</v>
      </c>
      <c r="AZ1370" s="1" t="s">
        <v>200</v>
      </c>
      <c r="BA1370" s="1" t="str">
        <f>"13214060050000"</f>
        <v>13214060050000</v>
      </c>
      <c r="BB1370" s="1" t="s">
        <v>200</v>
      </c>
      <c r="BC1370" s="1">
        <v>1650.0</v>
      </c>
      <c r="BD1370" s="1">
        <v>235000.0</v>
      </c>
      <c r="BE1370" s="2">
        <v>41816.0</v>
      </c>
      <c r="BF1370" s="2" t="s">
        <v>14259</v>
      </c>
      <c r="BH1370" s="1">
        <v>0.0</v>
      </c>
      <c r="BK1370" s="1" t="s">
        <v>204</v>
      </c>
      <c r="BL1370" s="1" t="str">
        <f>"3500"</f>
        <v>3500</v>
      </c>
      <c r="BM1370" s="1" t="str">
        <f t="shared" si="904"/>
        <v>0</v>
      </c>
      <c r="BN1370" s="1">
        <v>5145.0</v>
      </c>
      <c r="BO1370" s="1">
        <v>0.0</v>
      </c>
      <c r="BQ1370" s="1">
        <v>299.0</v>
      </c>
      <c r="BR1370" s="1">
        <v>299.0</v>
      </c>
      <c r="BS1370" s="1">
        <v>299.0</v>
      </c>
      <c r="BU1370" s="1" t="s">
        <v>211</v>
      </c>
      <c r="BV1370" s="1" t="s">
        <v>206</v>
      </c>
      <c r="BW1370" s="1" t="s">
        <v>207</v>
      </c>
      <c r="BX1370" s="1" t="s">
        <v>229</v>
      </c>
      <c r="BY1370" s="1" t="s">
        <v>1138</v>
      </c>
      <c r="BZ1370" s="1" t="s">
        <v>209</v>
      </c>
      <c r="CA1370" s="1" t="s">
        <v>301</v>
      </c>
      <c r="CB1370" s="1" t="s">
        <v>229</v>
      </c>
      <c r="CC1370" s="1" t="s">
        <v>215</v>
      </c>
      <c r="CD1370" s="1" t="s">
        <v>206</v>
      </c>
      <c r="CE1370" s="1" t="s">
        <v>207</v>
      </c>
      <c r="CF1370" s="1" t="s">
        <v>229</v>
      </c>
      <c r="CG1370" s="1" t="s">
        <v>363</v>
      </c>
      <c r="CH1370" s="1" t="s">
        <v>209</v>
      </c>
      <c r="CI1370" s="1" t="s">
        <v>301</v>
      </c>
      <c r="CJ1370" s="1" t="s">
        <v>229</v>
      </c>
      <c r="CK1370" s="1" t="s">
        <v>264</v>
      </c>
      <c r="CL1370" s="1" t="s">
        <v>206</v>
      </c>
      <c r="CM1370" s="1" t="s">
        <v>207</v>
      </c>
      <c r="CN1370" s="1" t="s">
        <v>229</v>
      </c>
      <c r="CO1370" s="1" t="s">
        <v>264</v>
      </c>
      <c r="CP1370" s="1" t="s">
        <v>206</v>
      </c>
      <c r="CQ1370" s="1" t="s">
        <v>207</v>
      </c>
      <c r="CR1370" s="1" t="s">
        <v>229</v>
      </c>
      <c r="CS1370" s="1" t="s">
        <v>215</v>
      </c>
      <c r="CT1370" s="1" t="s">
        <v>206</v>
      </c>
      <c r="CU1370" s="1" t="s">
        <v>301</v>
      </c>
      <c r="CV1370" s="1" t="s">
        <v>229</v>
      </c>
      <c r="CX1370" s="1" t="s">
        <v>204</v>
      </c>
      <c r="DA1370" s="1" t="s">
        <v>200</v>
      </c>
      <c r="DC1370" s="1" t="s">
        <v>216</v>
      </c>
      <c r="DD1370" s="1" t="s">
        <v>518</v>
      </c>
      <c r="DE1370" s="1" t="s">
        <v>273</v>
      </c>
      <c r="DF1370" s="1" t="s">
        <v>219</v>
      </c>
      <c r="DH1370" s="1" t="s">
        <v>307</v>
      </c>
      <c r="DI1370" s="1" t="s">
        <v>5901</v>
      </c>
      <c r="DJ1370" s="1" t="s">
        <v>222</v>
      </c>
      <c r="DK1370" s="1" t="s">
        <v>224</v>
      </c>
      <c r="DL1370" s="1" t="s">
        <v>11580</v>
      </c>
      <c r="DM1370" s="1" t="s">
        <v>229</v>
      </c>
      <c r="DN1370" s="1" t="s">
        <v>666</v>
      </c>
      <c r="DP1370" s="1" t="s">
        <v>276</v>
      </c>
      <c r="DQ1370" s="1" t="s">
        <v>794</v>
      </c>
      <c r="DR1370" s="1" t="s">
        <v>229</v>
      </c>
      <c r="DS1370" s="1" t="s">
        <v>230</v>
      </c>
      <c r="DU1370" s="1" t="s">
        <v>2070</v>
      </c>
      <c r="DV1370" s="1" t="s">
        <v>450</v>
      </c>
      <c r="DW1370" s="1" t="s">
        <v>279</v>
      </c>
      <c r="DX1370" s="1" t="s">
        <v>280</v>
      </c>
      <c r="DY1370" s="1" t="s">
        <v>11169</v>
      </c>
      <c r="EA1370" s="1" t="s">
        <v>644</v>
      </c>
      <c r="EC1370" s="1" t="s">
        <v>645</v>
      </c>
      <c r="ED1370" s="1" t="s">
        <v>555</v>
      </c>
      <c r="EE1370" s="1" t="s">
        <v>493</v>
      </c>
      <c r="EG1370" s="1" t="s">
        <v>450</v>
      </c>
      <c r="EL1370" s="1" t="s">
        <v>14047</v>
      </c>
      <c r="EM1370" s="1" t="s">
        <v>42</v>
      </c>
      <c r="EQ1370" s="1" t="s">
        <v>238</v>
      </c>
      <c r="EU1370" s="1" t="s">
        <v>238</v>
      </c>
      <c r="EY1370" s="1" t="s">
        <v>238</v>
      </c>
      <c r="FC1370" s="1" t="s">
        <v>238</v>
      </c>
      <c r="FF1370" s="1" t="s">
        <v>239</v>
      </c>
      <c r="FG1370" s="1" t="s">
        <v>192</v>
      </c>
      <c r="FH1370" s="1" t="s">
        <v>192</v>
      </c>
      <c r="FJ1370" s="1" t="s">
        <v>14260</v>
      </c>
      <c r="FK1370" s="1" t="s">
        <v>557</v>
      </c>
      <c r="FL1370" s="1" t="s">
        <v>14261</v>
      </c>
      <c r="FM1370" s="1">
        <v>84676.0</v>
      </c>
      <c r="FN1370" s="1" t="s">
        <v>14262</v>
      </c>
      <c r="FO1370" s="1" t="s">
        <v>14263</v>
      </c>
      <c r="FP1370" s="1">
        <v>130097.0</v>
      </c>
      <c r="FQ1370" s="1" t="s">
        <v>14262</v>
      </c>
      <c r="FR1370" s="1">
        <v>144332.0</v>
      </c>
      <c r="FS1370" s="1" t="s">
        <v>14264</v>
      </c>
      <c r="FU1370" s="1" t="s">
        <v>14265</v>
      </c>
      <c r="FV1370" s="1" t="s">
        <v>200</v>
      </c>
      <c r="FW1370" s="1" t="s">
        <v>290</v>
      </c>
      <c r="FX1370" s="1" t="s">
        <v>246</v>
      </c>
      <c r="FZ1370" s="1" t="s">
        <v>229</v>
      </c>
      <c r="GA1370" s="1" t="s">
        <v>291</v>
      </c>
      <c r="GB1370" s="2">
        <v>41969.0</v>
      </c>
      <c r="GC1370" s="1" t="s">
        <v>14266</v>
      </c>
    </row>
    <row r="1371">
      <c r="A1371" s="1">
        <v>85000.0</v>
      </c>
      <c r="B1371" s="1" t="s">
        <v>185</v>
      </c>
      <c r="C1371" s="1" t="str">
        <f>"08662898"</f>
        <v>08662898</v>
      </c>
      <c r="D1371" s="1" t="s">
        <v>186</v>
      </c>
      <c r="F1371" s="1" t="str">
        <f>"538"</f>
        <v>538</v>
      </c>
      <c r="G1371" s="2">
        <v>41823.0</v>
      </c>
      <c r="H1371" s="1">
        <v>109900.0</v>
      </c>
      <c r="I1371" s="1">
        <v>140.0</v>
      </c>
      <c r="J1371" s="1">
        <v>0.0</v>
      </c>
      <c r="K1371" s="2">
        <v>41961.0</v>
      </c>
      <c r="L1371" s="1">
        <v>140.0</v>
      </c>
      <c r="M1371" s="2">
        <v>41961.0</v>
      </c>
      <c r="N1371" s="1" t="s">
        <v>249</v>
      </c>
      <c r="O1371" s="2">
        <v>41982.0</v>
      </c>
      <c r="P1371" s="1">
        <v>233015.0</v>
      </c>
      <c r="Q1371" s="1">
        <v>23196.0</v>
      </c>
      <c r="S1371" s="1">
        <v>39.0</v>
      </c>
      <c r="T1371" s="1" t="s">
        <v>14267</v>
      </c>
      <c r="U1371" s="1" t="s">
        <v>569</v>
      </c>
      <c r="V1371" s="1" t="s">
        <v>1340</v>
      </c>
      <c r="W1371" s="1">
        <v>60538.0</v>
      </c>
      <c r="Y1371" s="1" t="s">
        <v>14268</v>
      </c>
      <c r="Z1371" s="1">
        <v>1960.0</v>
      </c>
      <c r="AA1371" s="1" t="s">
        <v>192</v>
      </c>
      <c r="AB1371" s="1" t="s">
        <v>193</v>
      </c>
      <c r="AD1371" s="1" t="s">
        <v>1089</v>
      </c>
      <c r="AE1371" s="1" t="s">
        <v>849</v>
      </c>
      <c r="AF1371" s="1" t="s">
        <v>1529</v>
      </c>
      <c r="AH1371" s="1" t="s">
        <v>14269</v>
      </c>
      <c r="AI1371" s="1">
        <v>0.277</v>
      </c>
      <c r="AK1371" s="1">
        <v>7.0</v>
      </c>
      <c r="AL1371" s="1">
        <v>4.0</v>
      </c>
      <c r="AM1371" s="1">
        <v>1.0</v>
      </c>
      <c r="AN1371" s="1">
        <v>1.0</v>
      </c>
      <c r="AO1371" s="1" t="s">
        <v>229</v>
      </c>
      <c r="AQ1371" s="1" t="s">
        <v>229</v>
      </c>
      <c r="AR1371" s="1" t="s">
        <v>200</v>
      </c>
      <c r="AS1371" s="1" t="s">
        <v>199</v>
      </c>
      <c r="AT1371" s="1">
        <v>1.0</v>
      </c>
      <c r="AV1371" s="1" t="s">
        <v>200</v>
      </c>
      <c r="AW1371" s="1">
        <v>3814.02</v>
      </c>
      <c r="AX1371" s="1">
        <v>2012.0</v>
      </c>
      <c r="AY1371" s="1" t="s">
        <v>1179</v>
      </c>
      <c r="AZ1371" s="1" t="s">
        <v>200</v>
      </c>
      <c r="BA1371" s="1" t="str">
        <f>"0305430046"</f>
        <v>0305430046</v>
      </c>
      <c r="BB1371" s="1" t="s">
        <v>200</v>
      </c>
      <c r="BC1371" s="1">
        <v>1600.0</v>
      </c>
      <c r="BD1371" s="1">
        <v>85000.0</v>
      </c>
      <c r="BE1371" s="2">
        <v>41822.0</v>
      </c>
      <c r="BF1371" s="2" t="s">
        <v>14270</v>
      </c>
      <c r="BH1371" s="1">
        <v>0.0</v>
      </c>
      <c r="BK1371" s="1" t="s">
        <v>204</v>
      </c>
      <c r="BL1371" s="1" t="str">
        <f t="shared" ref="BL1371:BM1371" si="905">"0"</f>
        <v>0</v>
      </c>
      <c r="BM1371" s="1" t="str">
        <f t="shared" si="905"/>
        <v>0</v>
      </c>
      <c r="BN1371" s="1">
        <v>37.0</v>
      </c>
      <c r="BO1371" s="1">
        <v>10.0</v>
      </c>
      <c r="BQ1371" s="1">
        <v>308.0</v>
      </c>
      <c r="BR1371" s="1">
        <v>308.0</v>
      </c>
      <c r="BS1371" s="1">
        <v>308.0</v>
      </c>
      <c r="BU1371" s="1" t="s">
        <v>2800</v>
      </c>
      <c r="BV1371" s="1" t="s">
        <v>206</v>
      </c>
      <c r="BW1371" s="1" t="s">
        <v>210</v>
      </c>
      <c r="BY1371" s="1" t="s">
        <v>392</v>
      </c>
      <c r="BZ1371" s="1" t="s">
        <v>206</v>
      </c>
      <c r="CA1371" s="1" t="s">
        <v>210</v>
      </c>
      <c r="CD1371" s="1" t="s">
        <v>204</v>
      </c>
      <c r="CG1371" s="1" t="s">
        <v>699</v>
      </c>
      <c r="CH1371" s="1" t="s">
        <v>206</v>
      </c>
      <c r="CI1371" s="1" t="s">
        <v>210</v>
      </c>
      <c r="CK1371" s="1" t="s">
        <v>495</v>
      </c>
      <c r="CL1371" s="1" t="s">
        <v>206</v>
      </c>
      <c r="CM1371" s="1" t="s">
        <v>210</v>
      </c>
      <c r="CO1371" s="1" t="s">
        <v>495</v>
      </c>
      <c r="CP1371" s="1" t="s">
        <v>206</v>
      </c>
      <c r="CQ1371" s="1" t="s">
        <v>210</v>
      </c>
      <c r="CS1371" s="1" t="s">
        <v>1875</v>
      </c>
      <c r="CT1371" s="1" t="s">
        <v>206</v>
      </c>
      <c r="CU1371" s="1" t="s">
        <v>210</v>
      </c>
      <c r="CW1371" s="1" t="s">
        <v>433</v>
      </c>
      <c r="CX1371" s="1" t="s">
        <v>206</v>
      </c>
      <c r="CY1371" s="1" t="s">
        <v>210</v>
      </c>
      <c r="DA1371" s="1" t="s">
        <v>200</v>
      </c>
      <c r="DC1371" s="1" t="s">
        <v>271</v>
      </c>
      <c r="DD1371" s="1" t="s">
        <v>518</v>
      </c>
      <c r="DE1371" s="1" t="s">
        <v>273</v>
      </c>
      <c r="DF1371" s="1" t="s">
        <v>219</v>
      </c>
      <c r="DH1371" s="1" t="s">
        <v>220</v>
      </c>
      <c r="DJ1371" s="1" t="s">
        <v>222</v>
      </c>
      <c r="DL1371" s="1" t="s">
        <v>229</v>
      </c>
      <c r="DM1371" s="1" t="s">
        <v>229</v>
      </c>
      <c r="DQ1371" s="1" t="s">
        <v>228</v>
      </c>
      <c r="DR1371" s="1" t="s">
        <v>229</v>
      </c>
      <c r="DV1371" s="1" t="s">
        <v>232</v>
      </c>
      <c r="DW1371" s="1" t="s">
        <v>891</v>
      </c>
      <c r="DX1371" s="1" t="s">
        <v>234</v>
      </c>
      <c r="EA1371" s="1" t="s">
        <v>683</v>
      </c>
      <c r="EC1371" s="1" t="s">
        <v>685</v>
      </c>
      <c r="ED1371" s="1" t="s">
        <v>407</v>
      </c>
      <c r="EM1371" s="1" t="s">
        <v>238</v>
      </c>
      <c r="EQ1371" s="1" t="s">
        <v>238</v>
      </c>
      <c r="EU1371" s="1" t="s">
        <v>238</v>
      </c>
      <c r="EY1371" s="1" t="s">
        <v>238</v>
      </c>
      <c r="FC1371" s="1" t="s">
        <v>238</v>
      </c>
      <c r="FF1371" s="1" t="s">
        <v>239</v>
      </c>
      <c r="FG1371" s="1" t="s">
        <v>192</v>
      </c>
      <c r="FH1371" s="1" t="s">
        <v>192</v>
      </c>
      <c r="FJ1371" s="1" t="s">
        <v>14271</v>
      </c>
      <c r="FK1371" s="1" t="s">
        <v>348</v>
      </c>
      <c r="FL1371" s="1" t="s">
        <v>1289</v>
      </c>
      <c r="FM1371" s="1">
        <v>306.0</v>
      </c>
      <c r="FN1371" s="1" t="s">
        <v>6762</v>
      </c>
      <c r="FO1371" s="1" t="s">
        <v>14272</v>
      </c>
      <c r="FP1371" s="1">
        <v>313447.0</v>
      </c>
      <c r="FQ1371" s="1" t="s">
        <v>14273</v>
      </c>
      <c r="FU1371" s="1" t="s">
        <v>14274</v>
      </c>
      <c r="FV1371" s="1" t="s">
        <v>200</v>
      </c>
      <c r="FW1371" s="1" t="s">
        <v>290</v>
      </c>
      <c r="FZ1371" s="1" t="s">
        <v>632</v>
      </c>
      <c r="GA1371" s="1" t="s">
        <v>291</v>
      </c>
      <c r="GB1371" s="2">
        <v>41986.0</v>
      </c>
      <c r="GC1371" s="1" t="s">
        <v>14275</v>
      </c>
    </row>
    <row r="1372">
      <c r="A1372" s="1">
        <v>363500.0</v>
      </c>
      <c r="B1372" s="1" t="s">
        <v>185</v>
      </c>
      <c r="C1372" s="1" t="str">
        <f>"08658535"</f>
        <v>08658535</v>
      </c>
      <c r="D1372" s="1" t="s">
        <v>186</v>
      </c>
      <c r="F1372" s="1" t="str">
        <f>"510"</f>
        <v>510</v>
      </c>
      <c r="G1372" s="2">
        <v>41818.0</v>
      </c>
      <c r="H1372" s="1">
        <v>394900.0</v>
      </c>
      <c r="I1372" s="1">
        <v>264.0</v>
      </c>
      <c r="J1372" s="1">
        <v>379999.0</v>
      </c>
      <c r="K1372" s="2">
        <v>42013.0</v>
      </c>
      <c r="L1372" s="1">
        <v>196.0</v>
      </c>
      <c r="M1372" s="2">
        <v>42013.0</v>
      </c>
      <c r="N1372" s="1" t="s">
        <v>187</v>
      </c>
      <c r="O1372" s="2">
        <v>42076.0</v>
      </c>
      <c r="P1372" s="1">
        <v>720.0</v>
      </c>
      <c r="Q1372" s="1">
        <v>49.0</v>
      </c>
      <c r="S1372" s="1">
        <v>217.0</v>
      </c>
      <c r="T1372" s="1" t="s">
        <v>14276</v>
      </c>
      <c r="U1372" s="1" t="s">
        <v>420</v>
      </c>
      <c r="V1372" s="1" t="s">
        <v>2700</v>
      </c>
      <c r="W1372" s="1">
        <v>60510.0</v>
      </c>
      <c r="Y1372" s="1" t="s">
        <v>14277</v>
      </c>
      <c r="Z1372" s="1">
        <v>1993.0</v>
      </c>
      <c r="AA1372" s="1" t="s">
        <v>200</v>
      </c>
      <c r="AB1372" s="1" t="s">
        <v>193</v>
      </c>
      <c r="AC1372" s="1" t="s">
        <v>14278</v>
      </c>
      <c r="AD1372" s="1" t="s">
        <v>2702</v>
      </c>
      <c r="AE1372" s="1" t="s">
        <v>325</v>
      </c>
      <c r="AF1372" s="1" t="s">
        <v>2702</v>
      </c>
      <c r="AH1372" s="6">
        <v>12530.0</v>
      </c>
      <c r="AK1372" s="1">
        <v>8.0</v>
      </c>
      <c r="AL1372" s="1">
        <v>4.0</v>
      </c>
      <c r="AM1372" s="1">
        <v>3.0</v>
      </c>
      <c r="AN1372" s="1">
        <v>1.0</v>
      </c>
      <c r="AO1372" s="1" t="s">
        <v>198</v>
      </c>
      <c r="AP1372" s="1">
        <v>1.0</v>
      </c>
      <c r="AQ1372" s="1" t="s">
        <v>198</v>
      </c>
      <c r="AR1372" s="1" t="s">
        <v>192</v>
      </c>
      <c r="AS1372" s="1" t="s">
        <v>199</v>
      </c>
      <c r="AT1372" s="1">
        <v>2.5</v>
      </c>
      <c r="AV1372" s="1" t="s">
        <v>200</v>
      </c>
      <c r="AW1372" s="1">
        <v>3592.74</v>
      </c>
      <c r="AX1372" s="1">
        <v>2013.0</v>
      </c>
      <c r="AY1372" s="1" t="s">
        <v>852</v>
      </c>
      <c r="AZ1372" s="1" t="s">
        <v>200</v>
      </c>
      <c r="BA1372" s="1" t="str">
        <f>"1227455019"</f>
        <v>1227455019</v>
      </c>
      <c r="BB1372" s="1" t="s">
        <v>200</v>
      </c>
      <c r="BC1372" s="1">
        <v>2497.0</v>
      </c>
      <c r="BD1372" s="1">
        <v>363500.0</v>
      </c>
      <c r="BE1372" s="2">
        <v>41818.0</v>
      </c>
      <c r="BF1372" s="2" t="s">
        <v>14279</v>
      </c>
      <c r="BG1372" s="1" t="s">
        <v>6796</v>
      </c>
      <c r="BH1372" s="1">
        <v>0.0</v>
      </c>
      <c r="BI1372" s="1" t="s">
        <v>3090</v>
      </c>
      <c r="BJ1372" s="1" t="s">
        <v>3091</v>
      </c>
      <c r="BK1372" s="1" t="s">
        <v>204</v>
      </c>
      <c r="BL1372" s="1" t="str">
        <f t="shared" ref="BL1372:BM1372" si="906">""</f>
        <v/>
      </c>
      <c r="BM1372" s="1" t="str">
        <f t="shared" si="906"/>
        <v/>
      </c>
      <c r="BQ1372" s="1">
        <v>101.0</v>
      </c>
      <c r="BR1372" s="1">
        <v>101.0</v>
      </c>
      <c r="BS1372" s="1">
        <v>101.0</v>
      </c>
      <c r="BU1372" s="1" t="s">
        <v>584</v>
      </c>
      <c r="BV1372" s="1" t="s">
        <v>206</v>
      </c>
      <c r="BW1372" s="1" t="s">
        <v>207</v>
      </c>
      <c r="BX1372" s="1" t="s">
        <v>229</v>
      </c>
      <c r="BY1372" s="1" t="s">
        <v>1068</v>
      </c>
      <c r="BZ1372" s="1" t="s">
        <v>209</v>
      </c>
      <c r="CA1372" s="1" t="s">
        <v>210</v>
      </c>
      <c r="CB1372" s="1" t="s">
        <v>229</v>
      </c>
      <c r="CC1372" s="1" t="s">
        <v>584</v>
      </c>
      <c r="CD1372" s="1" t="s">
        <v>206</v>
      </c>
      <c r="CE1372" s="1" t="s">
        <v>207</v>
      </c>
      <c r="CF1372" s="1" t="s">
        <v>229</v>
      </c>
      <c r="CG1372" s="1" t="s">
        <v>363</v>
      </c>
      <c r="CH1372" s="1" t="s">
        <v>209</v>
      </c>
      <c r="CI1372" s="1" t="s">
        <v>210</v>
      </c>
      <c r="CJ1372" s="1" t="s">
        <v>229</v>
      </c>
      <c r="CK1372" s="1" t="s">
        <v>699</v>
      </c>
      <c r="CL1372" s="1" t="s">
        <v>209</v>
      </c>
      <c r="CM1372" s="1" t="s">
        <v>210</v>
      </c>
      <c r="CN1372" s="1" t="s">
        <v>431</v>
      </c>
      <c r="CO1372" s="1" t="s">
        <v>332</v>
      </c>
      <c r="CP1372" s="1" t="s">
        <v>209</v>
      </c>
      <c r="CQ1372" s="1" t="s">
        <v>210</v>
      </c>
      <c r="CR1372" s="1" t="s">
        <v>431</v>
      </c>
      <c r="CS1372" s="1" t="s">
        <v>3784</v>
      </c>
      <c r="CT1372" s="1" t="s">
        <v>206</v>
      </c>
      <c r="CU1372" s="1" t="s">
        <v>207</v>
      </c>
      <c r="CV1372" s="1" t="s">
        <v>229</v>
      </c>
      <c r="CW1372" s="1" t="s">
        <v>6316</v>
      </c>
      <c r="CX1372" s="1" t="s">
        <v>206</v>
      </c>
      <c r="CY1372" s="1" t="s">
        <v>207</v>
      </c>
      <c r="CZ1372" s="1" t="s">
        <v>229</v>
      </c>
      <c r="DA1372" s="1" t="s">
        <v>200</v>
      </c>
      <c r="DC1372" s="1" t="s">
        <v>435</v>
      </c>
      <c r="DD1372" s="1" t="s">
        <v>336</v>
      </c>
      <c r="DE1372" s="1" t="s">
        <v>273</v>
      </c>
      <c r="DF1372" s="1" t="s">
        <v>219</v>
      </c>
      <c r="DG1372" s="1" t="s">
        <v>1317</v>
      </c>
      <c r="DH1372" s="1" t="s">
        <v>220</v>
      </c>
      <c r="DI1372" s="1" t="s">
        <v>519</v>
      </c>
      <c r="DJ1372" s="1" t="s">
        <v>222</v>
      </c>
      <c r="DL1372" s="1" t="s">
        <v>223</v>
      </c>
      <c r="DM1372" s="1" t="s">
        <v>1022</v>
      </c>
      <c r="DN1372" s="1" t="s">
        <v>548</v>
      </c>
      <c r="DP1372" s="1" t="s">
        <v>340</v>
      </c>
      <c r="DQ1372" s="1" t="s">
        <v>441</v>
      </c>
      <c r="DR1372" s="1" t="s">
        <v>229</v>
      </c>
      <c r="DU1372" s="1" t="s">
        <v>14280</v>
      </c>
      <c r="DV1372" s="1" t="s">
        <v>232</v>
      </c>
      <c r="DW1372" s="1" t="s">
        <v>370</v>
      </c>
      <c r="DX1372" s="1" t="s">
        <v>234</v>
      </c>
      <c r="DY1372" s="1" t="s">
        <v>1559</v>
      </c>
      <c r="DZ1372" s="1" t="s">
        <v>491</v>
      </c>
      <c r="EB1372" s="1" t="s">
        <v>14281</v>
      </c>
      <c r="EC1372" s="1" t="s">
        <v>237</v>
      </c>
      <c r="ED1372" s="1" t="s">
        <v>407</v>
      </c>
      <c r="EM1372" s="1" t="s">
        <v>238</v>
      </c>
      <c r="EQ1372" s="1" t="s">
        <v>238</v>
      </c>
      <c r="EU1372" s="1" t="s">
        <v>238</v>
      </c>
      <c r="EY1372" s="1" t="s">
        <v>238</v>
      </c>
      <c r="FC1372" s="1" t="s">
        <v>238</v>
      </c>
      <c r="FF1372" s="1" t="s">
        <v>239</v>
      </c>
      <c r="FG1372" s="1" t="s">
        <v>192</v>
      </c>
      <c r="FH1372" s="1" t="s">
        <v>192</v>
      </c>
      <c r="FJ1372" s="1" t="s">
        <v>3613</v>
      </c>
      <c r="FK1372" s="1" t="s">
        <v>229</v>
      </c>
      <c r="FL1372" s="1" t="s">
        <v>456</v>
      </c>
      <c r="FM1372" s="1">
        <v>49.0</v>
      </c>
      <c r="FN1372" s="1" t="s">
        <v>457</v>
      </c>
      <c r="FO1372" s="1" t="s">
        <v>10954</v>
      </c>
      <c r="FP1372" s="1">
        <v>932.0</v>
      </c>
      <c r="FQ1372" s="1" t="s">
        <v>457</v>
      </c>
      <c r="FU1372" s="1" t="s">
        <v>14282</v>
      </c>
      <c r="FV1372" s="1" t="s">
        <v>200</v>
      </c>
      <c r="FW1372" s="1" t="s">
        <v>290</v>
      </c>
      <c r="FZ1372" s="1" t="s">
        <v>229</v>
      </c>
      <c r="GA1372" s="1" t="s">
        <v>291</v>
      </c>
      <c r="GB1372" s="2">
        <v>42076.0</v>
      </c>
      <c r="GC1372" s="1" t="s">
        <v>14283</v>
      </c>
    </row>
    <row r="1373">
      <c r="A1373" s="1">
        <v>313000.0</v>
      </c>
      <c r="B1373" s="1" t="s">
        <v>185</v>
      </c>
      <c r="C1373" s="1" t="str">
        <f>"08660770"</f>
        <v>08660770</v>
      </c>
      <c r="D1373" s="1" t="s">
        <v>186</v>
      </c>
      <c r="F1373" s="1" t="str">
        <f>"123"</f>
        <v>123</v>
      </c>
      <c r="G1373" s="2">
        <v>41821.0</v>
      </c>
      <c r="H1373" s="1">
        <v>389900.0</v>
      </c>
      <c r="I1373" s="1">
        <v>72.0</v>
      </c>
      <c r="J1373" s="1">
        <v>329900.0</v>
      </c>
      <c r="K1373" s="2">
        <v>41891.0</v>
      </c>
      <c r="L1373" s="1">
        <v>72.0</v>
      </c>
      <c r="M1373" s="2">
        <v>41891.0</v>
      </c>
      <c r="N1373" s="1" t="s">
        <v>187</v>
      </c>
      <c r="O1373" s="2">
        <v>42002.0</v>
      </c>
      <c r="P1373" s="1">
        <v>226253.0</v>
      </c>
      <c r="Q1373" s="1">
        <v>61153.0</v>
      </c>
      <c r="R1373" s="1">
        <v>2992.0</v>
      </c>
      <c r="S1373" s="1">
        <v>1009.0</v>
      </c>
      <c r="T1373" s="1" t="s">
        <v>14284</v>
      </c>
      <c r="U1373" s="1" t="s">
        <v>569</v>
      </c>
      <c r="V1373" s="1" t="s">
        <v>465</v>
      </c>
      <c r="W1373" s="1">
        <v>60120.0</v>
      </c>
      <c r="Y1373" s="1" t="s">
        <v>14285</v>
      </c>
      <c r="Z1373" s="1">
        <v>2008.0</v>
      </c>
      <c r="AA1373" s="1" t="s">
        <v>200</v>
      </c>
      <c r="AB1373" s="1" t="s">
        <v>193</v>
      </c>
      <c r="AC1373" s="1" t="s">
        <v>14286</v>
      </c>
      <c r="AD1373" s="1" t="s">
        <v>469</v>
      </c>
      <c r="AE1373" s="1" t="s">
        <v>195</v>
      </c>
      <c r="AF1373" s="1" t="s">
        <v>298</v>
      </c>
      <c r="AH1373" s="1" t="s">
        <v>14287</v>
      </c>
      <c r="AI1373" s="1">
        <v>0.2856</v>
      </c>
      <c r="AK1373" s="1">
        <v>9.0</v>
      </c>
      <c r="AL1373" s="1">
        <v>4.0</v>
      </c>
      <c r="AM1373" s="1">
        <v>2.0</v>
      </c>
      <c r="AN1373" s="1">
        <v>1.0</v>
      </c>
      <c r="AO1373" s="1" t="s">
        <v>198</v>
      </c>
      <c r="AP1373" s="1">
        <v>1.0</v>
      </c>
      <c r="AQ1373" s="1" t="s">
        <v>1314</v>
      </c>
      <c r="AR1373" s="1" t="s">
        <v>200</v>
      </c>
      <c r="AS1373" s="1" t="s">
        <v>199</v>
      </c>
      <c r="AT1373" s="1">
        <v>2.0</v>
      </c>
      <c r="AV1373" s="1" t="s">
        <v>200</v>
      </c>
      <c r="AW1373" s="1">
        <v>10793.58</v>
      </c>
      <c r="AX1373" s="1">
        <v>2012.0</v>
      </c>
      <c r="AZ1373" s="1" t="s">
        <v>545</v>
      </c>
      <c r="BA1373" s="1" t="str">
        <f>"06292120040000"</f>
        <v>06292120040000</v>
      </c>
      <c r="BC1373" s="1">
        <v>3100.0</v>
      </c>
      <c r="BD1373" s="1">
        <v>313000.0</v>
      </c>
      <c r="BE1373" s="2">
        <v>41820.0</v>
      </c>
      <c r="BF1373" s="2" t="s">
        <v>14288</v>
      </c>
      <c r="BH1373" s="1">
        <v>395.0</v>
      </c>
      <c r="BK1373" s="1" t="s">
        <v>580</v>
      </c>
      <c r="BL1373" s="1" t="str">
        <f t="shared" ref="BL1373:BM1373" si="907">""</f>
        <v/>
      </c>
      <c r="BM1373" s="1" t="str">
        <f t="shared" si="907"/>
        <v/>
      </c>
      <c r="BQ1373" s="1">
        <v>46.0</v>
      </c>
      <c r="BR1373" s="1">
        <v>46.0</v>
      </c>
      <c r="BS1373" s="1">
        <v>46.0</v>
      </c>
      <c r="BU1373" s="1" t="s">
        <v>743</v>
      </c>
      <c r="BV1373" s="1" t="s">
        <v>206</v>
      </c>
      <c r="BY1373" s="1" t="s">
        <v>854</v>
      </c>
      <c r="BZ1373" s="1" t="s">
        <v>209</v>
      </c>
      <c r="CC1373" s="1" t="s">
        <v>584</v>
      </c>
      <c r="CD1373" s="1" t="s">
        <v>206</v>
      </c>
      <c r="CG1373" s="1" t="s">
        <v>433</v>
      </c>
      <c r="CH1373" s="1" t="s">
        <v>209</v>
      </c>
      <c r="CK1373" s="1" t="s">
        <v>331</v>
      </c>
      <c r="CL1373" s="1" t="s">
        <v>209</v>
      </c>
      <c r="CO1373" s="1" t="s">
        <v>212</v>
      </c>
      <c r="CP1373" s="1" t="s">
        <v>209</v>
      </c>
      <c r="CS1373" s="1" t="s">
        <v>1534</v>
      </c>
      <c r="CT1373" s="1" t="s">
        <v>206</v>
      </c>
      <c r="CW1373" s="1" t="s">
        <v>3475</v>
      </c>
      <c r="CX1373" s="1" t="s">
        <v>206</v>
      </c>
      <c r="DA1373" s="1" t="s">
        <v>200</v>
      </c>
      <c r="DC1373" s="1" t="s">
        <v>481</v>
      </c>
      <c r="DD1373" s="1" t="s">
        <v>518</v>
      </c>
      <c r="DE1373" s="1" t="s">
        <v>273</v>
      </c>
      <c r="DF1373" s="1" t="s">
        <v>219</v>
      </c>
      <c r="DH1373" s="1" t="s">
        <v>220</v>
      </c>
      <c r="DJ1373" s="1" t="s">
        <v>4047</v>
      </c>
      <c r="DL1373" s="1" t="s">
        <v>223</v>
      </c>
      <c r="DM1373" s="1" t="s">
        <v>229</v>
      </c>
      <c r="DP1373" s="1" t="s">
        <v>340</v>
      </c>
      <c r="DQ1373" s="1" t="s">
        <v>228</v>
      </c>
      <c r="DR1373" s="1" t="s">
        <v>588</v>
      </c>
      <c r="DU1373" s="1" t="s">
        <v>1355</v>
      </c>
      <c r="DV1373" s="1" t="s">
        <v>494</v>
      </c>
      <c r="DW1373" s="1" t="s">
        <v>444</v>
      </c>
      <c r="DX1373" s="1" t="s">
        <v>234</v>
      </c>
      <c r="DY1373" s="1" t="s">
        <v>704</v>
      </c>
      <c r="DZ1373" s="1" t="s">
        <v>1959</v>
      </c>
      <c r="EA1373" s="1" t="s">
        <v>1027</v>
      </c>
      <c r="EC1373" s="1" t="s">
        <v>237</v>
      </c>
      <c r="EG1373" s="1" t="s">
        <v>494</v>
      </c>
      <c r="EL1373" s="1" t="s">
        <v>329</v>
      </c>
      <c r="EM1373" s="1" t="s">
        <v>206</v>
      </c>
      <c r="EQ1373" s="1" t="s">
        <v>238</v>
      </c>
      <c r="EU1373" s="1" t="s">
        <v>238</v>
      </c>
      <c r="EY1373" s="1" t="s">
        <v>238</v>
      </c>
      <c r="FC1373" s="1" t="s">
        <v>238</v>
      </c>
      <c r="FF1373" s="1" t="s">
        <v>239</v>
      </c>
      <c r="FG1373" s="1" t="s">
        <v>192</v>
      </c>
      <c r="FH1373" s="1" t="s">
        <v>192</v>
      </c>
      <c r="FJ1373" s="1" t="s">
        <v>1248</v>
      </c>
      <c r="FK1373" s="1" t="s">
        <v>229</v>
      </c>
      <c r="FL1373" s="1" t="s">
        <v>286</v>
      </c>
      <c r="FM1373" s="1">
        <v>23948.0</v>
      </c>
      <c r="FN1373" s="1" t="s">
        <v>287</v>
      </c>
      <c r="FO1373" s="1" t="s">
        <v>7895</v>
      </c>
      <c r="FP1373" s="1">
        <v>214765.0</v>
      </c>
      <c r="FQ1373" s="1" t="s">
        <v>7896</v>
      </c>
      <c r="FU1373" s="1" t="s">
        <v>3678</v>
      </c>
      <c r="FV1373" s="1" t="s">
        <v>200</v>
      </c>
      <c r="FW1373" s="1" t="s">
        <v>354</v>
      </c>
      <c r="FZ1373" s="1" t="s">
        <v>229</v>
      </c>
      <c r="GA1373" s="1" t="s">
        <v>291</v>
      </c>
      <c r="GB1373" s="2">
        <v>42002.0</v>
      </c>
      <c r="GC1373" s="1" t="s">
        <v>14289</v>
      </c>
    </row>
    <row r="1374">
      <c r="A1374" s="1">
        <v>445500.0</v>
      </c>
      <c r="B1374" s="1" t="s">
        <v>185</v>
      </c>
      <c r="C1374" s="1" t="str">
        <f>"08663825"</f>
        <v>08663825</v>
      </c>
      <c r="D1374" s="1" t="s">
        <v>186</v>
      </c>
      <c r="F1374" s="1" t="str">
        <f>"174"</f>
        <v>174</v>
      </c>
      <c r="G1374" s="2">
        <v>41825.0</v>
      </c>
      <c r="H1374" s="1">
        <v>484500.0</v>
      </c>
      <c r="I1374" s="1">
        <v>325.0</v>
      </c>
      <c r="J1374" s="1">
        <v>450000.0</v>
      </c>
      <c r="K1374" s="2">
        <v>41966.0</v>
      </c>
      <c r="L1374" s="1">
        <v>142.0</v>
      </c>
      <c r="M1374" s="2">
        <v>41966.0</v>
      </c>
      <c r="N1374" s="1" t="s">
        <v>187</v>
      </c>
      <c r="O1374" s="2">
        <v>42011.0</v>
      </c>
      <c r="P1374" s="1">
        <v>894.0</v>
      </c>
      <c r="Q1374" s="1">
        <v>41.0</v>
      </c>
      <c r="S1374" s="1" t="s">
        <v>14290</v>
      </c>
      <c r="T1374" s="1" t="s">
        <v>3765</v>
      </c>
      <c r="U1374" s="1" t="s">
        <v>569</v>
      </c>
      <c r="V1374" s="1" t="s">
        <v>1200</v>
      </c>
      <c r="W1374" s="1">
        <v>60175.0</v>
      </c>
      <c r="Y1374" s="1" t="s">
        <v>14291</v>
      </c>
      <c r="Z1374" s="1">
        <v>1991.0</v>
      </c>
      <c r="AA1374" s="1" t="s">
        <v>200</v>
      </c>
      <c r="AB1374" s="1" t="s">
        <v>193</v>
      </c>
      <c r="AC1374" s="1" t="s">
        <v>3765</v>
      </c>
      <c r="AD1374" s="1" t="s">
        <v>1089</v>
      </c>
      <c r="AE1374" s="1" t="s">
        <v>325</v>
      </c>
      <c r="AF1374" s="1" t="s">
        <v>1632</v>
      </c>
      <c r="AH1374" s="1" t="s">
        <v>14292</v>
      </c>
      <c r="AI1374" s="1">
        <v>1.25</v>
      </c>
      <c r="AK1374" s="1">
        <v>11.0</v>
      </c>
      <c r="AL1374" s="1">
        <v>4.0</v>
      </c>
      <c r="AM1374" s="1">
        <v>2.0</v>
      </c>
      <c r="AN1374" s="1">
        <v>1.0</v>
      </c>
      <c r="AO1374" s="1" t="s">
        <v>198</v>
      </c>
      <c r="AP1374" s="1">
        <v>3.0</v>
      </c>
      <c r="AQ1374" s="1" t="s">
        <v>198</v>
      </c>
      <c r="AR1374" s="1" t="s">
        <v>200</v>
      </c>
      <c r="AS1374" s="1" t="s">
        <v>199</v>
      </c>
      <c r="AT1374" s="1">
        <v>3.0</v>
      </c>
      <c r="AV1374" s="1" t="s">
        <v>200</v>
      </c>
      <c r="AW1374" s="1">
        <v>10337.0</v>
      </c>
      <c r="AX1374" s="1">
        <v>2012.0</v>
      </c>
      <c r="AY1374" s="1" t="s">
        <v>387</v>
      </c>
      <c r="AZ1374" s="1" t="s">
        <v>200</v>
      </c>
      <c r="BA1374" s="1" t="str">
        <f>"0815302005"</f>
        <v>0815302005</v>
      </c>
      <c r="BB1374" s="1" t="s">
        <v>200</v>
      </c>
      <c r="BC1374" s="1">
        <v>3119.0</v>
      </c>
      <c r="BD1374" s="1">
        <v>445500.0</v>
      </c>
      <c r="BE1374" s="2">
        <v>41825.0</v>
      </c>
      <c r="BF1374" s="2" t="s">
        <v>14293</v>
      </c>
      <c r="BG1374" s="1" t="s">
        <v>2198</v>
      </c>
      <c r="BH1374" s="1">
        <v>150.0</v>
      </c>
      <c r="BI1374" s="1" t="s">
        <v>2199</v>
      </c>
      <c r="BJ1374" s="1" t="s">
        <v>2200</v>
      </c>
      <c r="BK1374" s="1" t="s">
        <v>580</v>
      </c>
      <c r="BL1374" s="1" t="str">
        <f>"5"</f>
        <v>5</v>
      </c>
      <c r="BM1374" s="1" t="str">
        <f>""</f>
        <v/>
      </c>
      <c r="BN1374" s="1">
        <v>41.0</v>
      </c>
      <c r="BQ1374" s="1">
        <v>303.0</v>
      </c>
      <c r="BR1374" s="1">
        <v>303.0</v>
      </c>
      <c r="BS1374" s="1">
        <v>303.0</v>
      </c>
      <c r="BU1374" s="1" t="s">
        <v>333</v>
      </c>
      <c r="BV1374" s="1" t="s">
        <v>206</v>
      </c>
      <c r="BW1374" s="1" t="s">
        <v>210</v>
      </c>
      <c r="BX1374" s="1" t="s">
        <v>229</v>
      </c>
      <c r="BY1374" s="1" t="s">
        <v>783</v>
      </c>
      <c r="BZ1374" s="1" t="s">
        <v>209</v>
      </c>
      <c r="CA1374" s="1" t="s">
        <v>210</v>
      </c>
      <c r="CB1374" s="1" t="s">
        <v>229</v>
      </c>
      <c r="CC1374" s="1" t="s">
        <v>758</v>
      </c>
      <c r="CD1374" s="1" t="s">
        <v>206</v>
      </c>
      <c r="CE1374" s="1" t="s">
        <v>210</v>
      </c>
      <c r="CF1374" s="1" t="s">
        <v>229</v>
      </c>
      <c r="CG1374" s="1" t="s">
        <v>215</v>
      </c>
      <c r="CH1374" s="1" t="s">
        <v>209</v>
      </c>
      <c r="CI1374" s="1" t="s">
        <v>210</v>
      </c>
      <c r="CJ1374" s="1" t="s">
        <v>229</v>
      </c>
      <c r="CK1374" s="1" t="s">
        <v>264</v>
      </c>
      <c r="CL1374" s="1" t="s">
        <v>209</v>
      </c>
      <c r="CM1374" s="1" t="s">
        <v>210</v>
      </c>
      <c r="CN1374" s="1" t="s">
        <v>229</v>
      </c>
      <c r="CO1374" s="1" t="s">
        <v>434</v>
      </c>
      <c r="CP1374" s="1" t="s">
        <v>209</v>
      </c>
      <c r="CQ1374" s="1" t="s">
        <v>210</v>
      </c>
      <c r="CR1374" s="1" t="s">
        <v>229</v>
      </c>
      <c r="CS1374" s="1" t="s">
        <v>433</v>
      </c>
      <c r="CT1374" s="1" t="s">
        <v>206</v>
      </c>
      <c r="CU1374" s="1" t="s">
        <v>207</v>
      </c>
      <c r="CV1374" s="1" t="s">
        <v>229</v>
      </c>
      <c r="CW1374" s="1" t="s">
        <v>854</v>
      </c>
      <c r="CX1374" s="1" t="s">
        <v>206</v>
      </c>
      <c r="CY1374" s="1" t="s">
        <v>207</v>
      </c>
      <c r="CZ1374" s="1" t="s">
        <v>229</v>
      </c>
      <c r="DA1374" s="1" t="s">
        <v>200</v>
      </c>
      <c r="DC1374" s="1" t="s">
        <v>435</v>
      </c>
      <c r="DD1374" s="1" t="s">
        <v>396</v>
      </c>
      <c r="DE1374" s="1" t="s">
        <v>273</v>
      </c>
      <c r="DF1374" s="1" t="s">
        <v>219</v>
      </c>
      <c r="DG1374" s="1" t="s">
        <v>3769</v>
      </c>
      <c r="DH1374" s="1" t="s">
        <v>856</v>
      </c>
      <c r="DI1374" s="1" t="s">
        <v>308</v>
      </c>
      <c r="DJ1374" s="1" t="s">
        <v>857</v>
      </c>
      <c r="DK1374" s="1" t="s">
        <v>223</v>
      </c>
      <c r="DL1374" s="1" t="s">
        <v>223</v>
      </c>
      <c r="DM1374" s="1" t="s">
        <v>338</v>
      </c>
      <c r="DN1374" s="1" t="s">
        <v>485</v>
      </c>
      <c r="DO1374" s="1" t="s">
        <v>14294</v>
      </c>
      <c r="DP1374" s="1" t="s">
        <v>340</v>
      </c>
      <c r="DQ1374" s="1" t="s">
        <v>931</v>
      </c>
      <c r="DR1374" s="1" t="s">
        <v>1487</v>
      </c>
      <c r="DS1374" s="1" t="s">
        <v>277</v>
      </c>
      <c r="DU1374" s="1" t="s">
        <v>3021</v>
      </c>
      <c r="DV1374" s="1" t="s">
        <v>8388</v>
      </c>
      <c r="DW1374" s="1" t="s">
        <v>764</v>
      </c>
      <c r="DX1374" s="1" t="s">
        <v>234</v>
      </c>
      <c r="DY1374" s="1" t="s">
        <v>490</v>
      </c>
      <c r="DZ1374" s="1" t="s">
        <v>1100</v>
      </c>
      <c r="EA1374" s="1" t="s">
        <v>3308</v>
      </c>
      <c r="EB1374" s="1" t="s">
        <v>937</v>
      </c>
      <c r="EC1374" s="1" t="s">
        <v>237</v>
      </c>
      <c r="ED1374" s="1" t="s">
        <v>1406</v>
      </c>
      <c r="EE1374" s="1" t="s">
        <v>493</v>
      </c>
      <c r="EG1374" s="1" t="s">
        <v>449</v>
      </c>
      <c r="EH1374" s="1" t="s">
        <v>494</v>
      </c>
      <c r="EI1374" s="1" t="s">
        <v>1121</v>
      </c>
      <c r="EL1374" s="1" t="s">
        <v>582</v>
      </c>
      <c r="EM1374" s="1" t="s">
        <v>206</v>
      </c>
      <c r="EN1374" s="1" t="s">
        <v>207</v>
      </c>
      <c r="EO1374" s="1" t="s">
        <v>229</v>
      </c>
      <c r="EP1374" s="1" t="s">
        <v>1483</v>
      </c>
      <c r="EQ1374" s="1" t="s">
        <v>206</v>
      </c>
      <c r="ER1374" s="1" t="s">
        <v>207</v>
      </c>
      <c r="ES1374" s="1" t="s">
        <v>229</v>
      </c>
      <c r="ET1374" s="1" t="s">
        <v>266</v>
      </c>
      <c r="EU1374" s="1" t="s">
        <v>209</v>
      </c>
      <c r="EV1374" s="1" t="s">
        <v>210</v>
      </c>
      <c r="EW1374" s="1" t="s">
        <v>229</v>
      </c>
      <c r="EY1374" s="1" t="s">
        <v>238</v>
      </c>
      <c r="FC1374" s="1" t="s">
        <v>238</v>
      </c>
      <c r="FF1374" s="1" t="s">
        <v>239</v>
      </c>
      <c r="FG1374" s="1" t="s">
        <v>192</v>
      </c>
      <c r="FH1374" s="1" t="s">
        <v>192</v>
      </c>
      <c r="FJ1374" s="1" t="s">
        <v>14295</v>
      </c>
      <c r="FK1374" s="1" t="s">
        <v>229</v>
      </c>
      <c r="FL1374" s="1" t="s">
        <v>5963</v>
      </c>
      <c r="FM1374" s="1">
        <v>23099.0</v>
      </c>
      <c r="FN1374" s="1" t="s">
        <v>5964</v>
      </c>
      <c r="FO1374" s="1" t="s">
        <v>14296</v>
      </c>
      <c r="FP1374" s="1">
        <v>219933.0</v>
      </c>
      <c r="FQ1374" s="1" t="s">
        <v>14297</v>
      </c>
      <c r="FU1374" s="1" t="s">
        <v>14298</v>
      </c>
      <c r="FV1374" s="1" t="s">
        <v>200</v>
      </c>
      <c r="FW1374" s="1" t="s">
        <v>530</v>
      </c>
      <c r="FZ1374" s="1" t="s">
        <v>632</v>
      </c>
      <c r="GA1374" s="1" t="s">
        <v>291</v>
      </c>
      <c r="GB1374" s="2">
        <v>42012.0</v>
      </c>
      <c r="GC1374" s="1" t="s">
        <v>14299</v>
      </c>
    </row>
    <row r="1375">
      <c r="A1375" s="1">
        <v>222000.0</v>
      </c>
      <c r="B1375" s="1" t="s">
        <v>185</v>
      </c>
      <c r="C1375" s="1" t="str">
        <f>"08663289"</f>
        <v>08663289</v>
      </c>
      <c r="D1375" s="1" t="s">
        <v>186</v>
      </c>
      <c r="F1375" s="1" t="str">
        <f>"8016"</f>
        <v>8016</v>
      </c>
      <c r="G1375" s="2">
        <v>41823.0</v>
      </c>
      <c r="H1375" s="1">
        <v>240000.0</v>
      </c>
      <c r="I1375" s="1">
        <v>23.0</v>
      </c>
      <c r="J1375" s="1">
        <v>240000.0</v>
      </c>
      <c r="K1375" s="2">
        <v>41845.0</v>
      </c>
      <c r="L1375" s="1">
        <v>23.0</v>
      </c>
      <c r="M1375" s="2">
        <v>41845.0</v>
      </c>
      <c r="N1375" s="1" t="s">
        <v>356</v>
      </c>
      <c r="O1375" s="2">
        <v>42025.0</v>
      </c>
      <c r="P1375" s="1">
        <v>259490.0</v>
      </c>
      <c r="Q1375" s="1">
        <v>25042.0</v>
      </c>
      <c r="S1375" s="1">
        <v>4036.0</v>
      </c>
      <c r="T1375" s="1" t="s">
        <v>7546</v>
      </c>
      <c r="U1375" s="1" t="s">
        <v>189</v>
      </c>
      <c r="V1375" s="1" t="s">
        <v>190</v>
      </c>
      <c r="W1375" s="1">
        <v>60618.0</v>
      </c>
      <c r="Y1375" s="1" t="s">
        <v>14300</v>
      </c>
      <c r="Z1375" s="1">
        <v>1958.0</v>
      </c>
      <c r="AA1375" s="1" t="s">
        <v>192</v>
      </c>
      <c r="AB1375" s="1" t="s">
        <v>193</v>
      </c>
      <c r="AD1375" s="1" t="s">
        <v>194</v>
      </c>
      <c r="AE1375" s="1" t="s">
        <v>195</v>
      </c>
      <c r="AF1375" s="1" t="s">
        <v>196</v>
      </c>
      <c r="AH1375" s="1" t="s">
        <v>741</v>
      </c>
      <c r="AK1375" s="1">
        <v>8.0</v>
      </c>
      <c r="AL1375" s="1">
        <v>2.0</v>
      </c>
      <c r="AM1375" s="1">
        <v>2.0</v>
      </c>
      <c r="AN1375" s="1">
        <v>0.0</v>
      </c>
      <c r="AO1375" s="1" t="s">
        <v>229</v>
      </c>
      <c r="AP1375" s="1">
        <v>0.0</v>
      </c>
      <c r="AQ1375" s="1" t="s">
        <v>198</v>
      </c>
      <c r="AR1375" s="1" t="s">
        <v>192</v>
      </c>
      <c r="AS1375" s="1" t="s">
        <v>199</v>
      </c>
      <c r="AT1375" s="1">
        <v>2.0</v>
      </c>
      <c r="AV1375" s="1" t="s">
        <v>200</v>
      </c>
      <c r="AW1375" s="1">
        <v>4069.33</v>
      </c>
      <c r="AX1375" s="1">
        <v>2012.0</v>
      </c>
      <c r="AY1375" s="1" t="s">
        <v>387</v>
      </c>
      <c r="AZ1375" s="1" t="s">
        <v>200</v>
      </c>
      <c r="BA1375" s="1" t="str">
        <f>"13144270270000"</f>
        <v>13144270270000</v>
      </c>
      <c r="BC1375" s="1">
        <v>0.0</v>
      </c>
      <c r="BD1375" s="1">
        <v>222000.0</v>
      </c>
      <c r="BE1375" s="2">
        <v>41823.0</v>
      </c>
      <c r="BF1375" s="1" t="s">
        <v>14301</v>
      </c>
      <c r="BH1375" s="1">
        <v>0.0</v>
      </c>
      <c r="BK1375" s="1" t="s">
        <v>204</v>
      </c>
      <c r="BL1375" s="1" t="str">
        <f>"4036"</f>
        <v>4036</v>
      </c>
      <c r="BM1375" s="1" t="str">
        <f>"0"</f>
        <v>0</v>
      </c>
      <c r="BN1375" s="1">
        <v>3400.0</v>
      </c>
      <c r="BO1375" s="1">
        <v>0.0</v>
      </c>
      <c r="BQ1375" s="1">
        <v>299.0</v>
      </c>
      <c r="BR1375" s="1">
        <v>299.0</v>
      </c>
      <c r="BS1375" s="1">
        <v>299.0</v>
      </c>
      <c r="BU1375" s="1" t="s">
        <v>390</v>
      </c>
      <c r="BV1375" s="1" t="s">
        <v>206</v>
      </c>
      <c r="BW1375" s="1" t="s">
        <v>207</v>
      </c>
      <c r="BX1375" s="1" t="s">
        <v>239</v>
      </c>
      <c r="BY1375" s="1" t="s">
        <v>264</v>
      </c>
      <c r="BZ1375" s="1" t="s">
        <v>206</v>
      </c>
      <c r="CA1375" s="1" t="s">
        <v>207</v>
      </c>
      <c r="CB1375" s="1" t="s">
        <v>239</v>
      </c>
      <c r="CC1375" s="1" t="s">
        <v>542</v>
      </c>
      <c r="CD1375" s="1" t="s">
        <v>206</v>
      </c>
      <c r="CE1375" s="1" t="s">
        <v>207</v>
      </c>
      <c r="CF1375" s="1" t="s">
        <v>239</v>
      </c>
      <c r="CG1375" s="1" t="s">
        <v>264</v>
      </c>
      <c r="CH1375" s="1" t="s">
        <v>206</v>
      </c>
      <c r="CI1375" s="1" t="s">
        <v>207</v>
      </c>
      <c r="CJ1375" s="1" t="s">
        <v>239</v>
      </c>
      <c r="CK1375" s="1" t="s">
        <v>814</v>
      </c>
      <c r="CL1375" s="1" t="s">
        <v>42</v>
      </c>
      <c r="CM1375" s="1" t="s">
        <v>268</v>
      </c>
      <c r="CN1375" s="1" t="s">
        <v>239</v>
      </c>
      <c r="CO1375" s="1" t="s">
        <v>4975</v>
      </c>
      <c r="CP1375" s="1" t="s">
        <v>42</v>
      </c>
      <c r="CQ1375" s="1" t="s">
        <v>268</v>
      </c>
      <c r="CR1375" s="1" t="s">
        <v>239</v>
      </c>
      <c r="CS1375" s="1" t="s">
        <v>10923</v>
      </c>
      <c r="CT1375" s="1" t="s">
        <v>206</v>
      </c>
      <c r="CU1375" s="1" t="s">
        <v>268</v>
      </c>
      <c r="CV1375" s="1" t="s">
        <v>239</v>
      </c>
      <c r="CW1375" s="1" t="s">
        <v>541</v>
      </c>
      <c r="CX1375" s="1" t="s">
        <v>42</v>
      </c>
      <c r="CY1375" s="1" t="s">
        <v>268</v>
      </c>
      <c r="DA1375" s="1" t="s">
        <v>200</v>
      </c>
      <c r="DC1375" s="1" t="s">
        <v>271</v>
      </c>
      <c r="DD1375" s="1" t="s">
        <v>518</v>
      </c>
      <c r="DE1375" s="1" t="s">
        <v>273</v>
      </c>
      <c r="DF1375" s="1" t="s">
        <v>219</v>
      </c>
      <c r="DH1375" s="1" t="s">
        <v>365</v>
      </c>
      <c r="DI1375" s="1" t="s">
        <v>959</v>
      </c>
      <c r="DJ1375" s="1" t="s">
        <v>222</v>
      </c>
      <c r="DL1375" s="1" t="s">
        <v>224</v>
      </c>
      <c r="DM1375" s="1" t="s">
        <v>229</v>
      </c>
      <c r="DO1375" s="1" t="s">
        <v>549</v>
      </c>
      <c r="DP1375" s="1" t="s">
        <v>276</v>
      </c>
      <c r="DQ1375" s="1" t="s">
        <v>228</v>
      </c>
      <c r="DR1375" s="1" t="s">
        <v>229</v>
      </c>
      <c r="DS1375" s="1" t="s">
        <v>230</v>
      </c>
      <c r="DU1375" s="1" t="s">
        <v>1355</v>
      </c>
      <c r="DV1375" s="1" t="s">
        <v>232</v>
      </c>
      <c r="DW1375" s="1" t="s">
        <v>279</v>
      </c>
      <c r="DX1375" s="1" t="s">
        <v>234</v>
      </c>
      <c r="DY1375" s="1" t="s">
        <v>704</v>
      </c>
      <c r="EA1375" s="1" t="s">
        <v>1302</v>
      </c>
      <c r="EC1375" s="1" t="s">
        <v>685</v>
      </c>
      <c r="ED1375" s="1" t="s">
        <v>407</v>
      </c>
      <c r="EE1375" s="1" t="s">
        <v>522</v>
      </c>
      <c r="EM1375" s="1" t="s">
        <v>238</v>
      </c>
      <c r="EQ1375" s="1" t="s">
        <v>238</v>
      </c>
      <c r="EU1375" s="1" t="s">
        <v>238</v>
      </c>
      <c r="EY1375" s="1" t="s">
        <v>238</v>
      </c>
      <c r="FC1375" s="1" t="s">
        <v>238</v>
      </c>
      <c r="FF1375" s="1" t="s">
        <v>239</v>
      </c>
      <c r="FG1375" s="1" t="s">
        <v>192</v>
      </c>
      <c r="FH1375" s="1" t="s">
        <v>192</v>
      </c>
      <c r="FJ1375" s="1" t="s">
        <v>799</v>
      </c>
      <c r="FK1375" s="1" t="s">
        <v>1586</v>
      </c>
      <c r="FL1375" s="1" t="s">
        <v>3156</v>
      </c>
      <c r="FM1375" s="1">
        <v>84729.0</v>
      </c>
      <c r="FN1375" s="1" t="s">
        <v>3157</v>
      </c>
      <c r="FO1375" s="1" t="s">
        <v>14302</v>
      </c>
      <c r="FP1375" s="1">
        <v>849154.0</v>
      </c>
      <c r="FQ1375" s="1" t="s">
        <v>14303</v>
      </c>
      <c r="FU1375" s="1" t="s">
        <v>14304</v>
      </c>
      <c r="FV1375" s="1" t="s">
        <v>200</v>
      </c>
      <c r="FW1375" s="1" t="s">
        <v>290</v>
      </c>
      <c r="FX1375" s="1" t="s">
        <v>238</v>
      </c>
      <c r="FZ1375" s="1" t="s">
        <v>229</v>
      </c>
      <c r="GA1375" s="1" t="s">
        <v>291</v>
      </c>
      <c r="GB1375" s="2">
        <v>42026.0</v>
      </c>
      <c r="GC1375" s="1" t="s">
        <v>14305</v>
      </c>
    </row>
    <row r="1376">
      <c r="A1376" s="1">
        <v>200000.0</v>
      </c>
      <c r="B1376" s="1" t="s">
        <v>185</v>
      </c>
      <c r="C1376" s="1" t="str">
        <f>"08666712"</f>
        <v>08666712</v>
      </c>
      <c r="D1376" s="1" t="s">
        <v>186</v>
      </c>
      <c r="F1376" s="1" t="str">
        <f>"123"</f>
        <v>123</v>
      </c>
      <c r="G1376" s="2">
        <v>41828.0</v>
      </c>
      <c r="H1376" s="1">
        <v>225000.0</v>
      </c>
      <c r="I1376" s="1">
        <v>109.0</v>
      </c>
      <c r="J1376" s="1">
        <v>210000.0</v>
      </c>
      <c r="K1376" s="2">
        <v>41934.0</v>
      </c>
      <c r="L1376" s="1">
        <v>109.0</v>
      </c>
      <c r="M1376" s="2">
        <v>41934.0</v>
      </c>
      <c r="N1376" s="1" t="s">
        <v>634</v>
      </c>
      <c r="O1376" s="2">
        <v>41984.0</v>
      </c>
      <c r="P1376" s="1">
        <v>80895.0</v>
      </c>
      <c r="Q1376" s="1">
        <v>8385.0</v>
      </c>
      <c r="S1376" s="1">
        <v>716.0</v>
      </c>
      <c r="T1376" s="1" t="s">
        <v>2540</v>
      </c>
      <c r="U1376" s="1" t="s">
        <v>189</v>
      </c>
      <c r="V1376" s="1" t="s">
        <v>465</v>
      </c>
      <c r="W1376" s="1">
        <v>60120.0</v>
      </c>
      <c r="Y1376" s="1" t="s">
        <v>14306</v>
      </c>
      <c r="Z1376" s="1">
        <v>1905.0</v>
      </c>
      <c r="AA1376" s="1" t="s">
        <v>192</v>
      </c>
      <c r="AB1376" s="1" t="s">
        <v>193</v>
      </c>
      <c r="AC1376" s="1" t="s">
        <v>14307</v>
      </c>
      <c r="AD1376" s="1" t="s">
        <v>469</v>
      </c>
      <c r="AE1376" s="1" t="s">
        <v>325</v>
      </c>
      <c r="AF1376" s="1" t="s">
        <v>469</v>
      </c>
      <c r="AG1376" s="1" t="s">
        <v>5103</v>
      </c>
      <c r="AH1376" s="1" t="s">
        <v>14308</v>
      </c>
      <c r="AK1376" s="1">
        <v>10.0</v>
      </c>
      <c r="AL1376" s="1">
        <v>4.0</v>
      </c>
      <c r="AM1376" s="1">
        <v>2.0</v>
      </c>
      <c r="AN1376" s="1">
        <v>1.0</v>
      </c>
      <c r="AO1376" s="1" t="s">
        <v>198</v>
      </c>
      <c r="AP1376" s="1">
        <v>1.0</v>
      </c>
      <c r="AQ1376" s="1" t="s">
        <v>327</v>
      </c>
      <c r="AR1376" s="1" t="s">
        <v>192</v>
      </c>
      <c r="AS1376" s="1" t="s">
        <v>199</v>
      </c>
      <c r="AT1376" s="1">
        <v>2.0</v>
      </c>
      <c r="AV1376" s="1" t="s">
        <v>200</v>
      </c>
      <c r="AW1376" s="1">
        <v>5048.0</v>
      </c>
      <c r="AX1376" s="1">
        <v>2013.0</v>
      </c>
      <c r="AY1376" s="1" t="s">
        <v>229</v>
      </c>
      <c r="AZ1376" s="1" t="s">
        <v>200</v>
      </c>
      <c r="BA1376" s="1" t="str">
        <f>"0611427013"</f>
        <v>0611427013</v>
      </c>
      <c r="BB1376" s="1" t="s">
        <v>200</v>
      </c>
      <c r="BC1376" s="1">
        <v>2300.0</v>
      </c>
      <c r="BD1376" s="1">
        <v>200000.0</v>
      </c>
      <c r="BE1376" s="2">
        <v>41826.0</v>
      </c>
      <c r="BF1376" s="2" t="s">
        <v>14309</v>
      </c>
      <c r="BG1376" s="1" t="s">
        <v>3537</v>
      </c>
      <c r="BH1376" s="1">
        <v>0.0</v>
      </c>
      <c r="BI1376" s="1" t="s">
        <v>1242</v>
      </c>
      <c r="BJ1376" s="1" t="s">
        <v>1243</v>
      </c>
      <c r="BK1376" s="1" t="s">
        <v>204</v>
      </c>
      <c r="BL1376" s="1" t="str">
        <f t="shared" ref="BL1376:BM1376" si="908">""</f>
        <v/>
      </c>
      <c r="BM1376" s="1" t="str">
        <f t="shared" si="908"/>
        <v/>
      </c>
      <c r="BQ1376" s="1">
        <v>46.0</v>
      </c>
      <c r="BR1376" s="1">
        <v>46.0</v>
      </c>
      <c r="BS1376" s="1">
        <v>46.0</v>
      </c>
      <c r="BU1376" s="1" t="s">
        <v>300</v>
      </c>
      <c r="BV1376" s="1" t="s">
        <v>206</v>
      </c>
      <c r="BW1376" s="1" t="s">
        <v>207</v>
      </c>
      <c r="BX1376" s="1" t="s">
        <v>261</v>
      </c>
      <c r="BY1376" s="1" t="s">
        <v>1064</v>
      </c>
      <c r="BZ1376" s="1" t="s">
        <v>209</v>
      </c>
      <c r="CA1376" s="1" t="s">
        <v>207</v>
      </c>
      <c r="CB1376" s="1" t="s">
        <v>261</v>
      </c>
      <c r="CC1376" s="1" t="s">
        <v>1567</v>
      </c>
      <c r="CD1376" s="1" t="s">
        <v>206</v>
      </c>
      <c r="CE1376" s="1" t="s">
        <v>207</v>
      </c>
      <c r="CF1376" s="1" t="s">
        <v>261</v>
      </c>
      <c r="CG1376" s="1" t="s">
        <v>2459</v>
      </c>
      <c r="CH1376" s="1" t="s">
        <v>209</v>
      </c>
      <c r="CI1376" s="1" t="s">
        <v>207</v>
      </c>
      <c r="CJ1376" s="1" t="s">
        <v>1118</v>
      </c>
      <c r="CK1376" s="1" t="s">
        <v>2459</v>
      </c>
      <c r="CL1376" s="1" t="s">
        <v>209</v>
      </c>
      <c r="CM1376" s="1" t="s">
        <v>207</v>
      </c>
      <c r="CN1376" s="1" t="s">
        <v>1118</v>
      </c>
      <c r="CO1376" s="1" t="s">
        <v>3805</v>
      </c>
      <c r="CP1376" s="1" t="s">
        <v>209</v>
      </c>
      <c r="CQ1376" s="1" t="s">
        <v>210</v>
      </c>
      <c r="CR1376" s="1" t="s">
        <v>431</v>
      </c>
      <c r="CS1376" s="1" t="s">
        <v>677</v>
      </c>
      <c r="CT1376" s="1" t="s">
        <v>206</v>
      </c>
      <c r="CU1376" s="1" t="s">
        <v>617</v>
      </c>
      <c r="CV1376" s="1" t="s">
        <v>431</v>
      </c>
      <c r="CW1376" s="1" t="s">
        <v>1567</v>
      </c>
      <c r="CX1376" s="1" t="s">
        <v>206</v>
      </c>
      <c r="CY1376" s="1" t="s">
        <v>207</v>
      </c>
      <c r="CZ1376" s="1" t="s">
        <v>261</v>
      </c>
      <c r="DA1376" s="1" t="s">
        <v>200</v>
      </c>
      <c r="DC1376" s="1" t="s">
        <v>642</v>
      </c>
      <c r="DD1376" s="1" t="s">
        <v>786</v>
      </c>
      <c r="DE1376" s="1" t="s">
        <v>273</v>
      </c>
      <c r="DF1376" s="1" t="s">
        <v>219</v>
      </c>
      <c r="DG1376" s="1" t="s">
        <v>337</v>
      </c>
      <c r="DH1376" s="1" t="s">
        <v>220</v>
      </c>
      <c r="DI1376" s="1" t="s">
        <v>703</v>
      </c>
      <c r="DJ1376" s="1" t="s">
        <v>1048</v>
      </c>
      <c r="DK1376" s="1" t="s">
        <v>1555</v>
      </c>
      <c r="DL1376" s="1" t="s">
        <v>1161</v>
      </c>
      <c r="DM1376" s="1" t="s">
        <v>6747</v>
      </c>
      <c r="DN1376" s="1" t="s">
        <v>793</v>
      </c>
      <c r="DO1376" s="1" t="s">
        <v>717</v>
      </c>
      <c r="DP1376" s="1" t="s">
        <v>340</v>
      </c>
      <c r="DQ1376" s="1" t="s">
        <v>228</v>
      </c>
      <c r="DR1376" s="1" t="s">
        <v>229</v>
      </c>
      <c r="DS1376" s="1" t="s">
        <v>230</v>
      </c>
      <c r="DU1376" s="1" t="s">
        <v>3625</v>
      </c>
      <c r="DV1376" s="1" t="s">
        <v>14310</v>
      </c>
      <c r="DW1376" s="1" t="s">
        <v>667</v>
      </c>
      <c r="DX1376" s="1" t="s">
        <v>3205</v>
      </c>
      <c r="DY1376" s="1" t="s">
        <v>704</v>
      </c>
      <c r="DZ1376" s="1" t="s">
        <v>491</v>
      </c>
      <c r="EA1376" s="1" t="s">
        <v>3112</v>
      </c>
      <c r="EB1376" s="1" t="s">
        <v>345</v>
      </c>
      <c r="EC1376" s="1" t="s">
        <v>237</v>
      </c>
      <c r="ED1376" s="1" t="s">
        <v>1794</v>
      </c>
      <c r="EG1376" s="1" t="s">
        <v>1228</v>
      </c>
      <c r="EH1376" s="1" t="s">
        <v>408</v>
      </c>
      <c r="EI1376" s="1" t="s">
        <v>720</v>
      </c>
      <c r="EJ1376" s="1" t="s">
        <v>409</v>
      </c>
      <c r="EK1376" s="1" t="s">
        <v>598</v>
      </c>
      <c r="EL1376" s="1" t="s">
        <v>2367</v>
      </c>
      <c r="EM1376" s="1" t="s">
        <v>209</v>
      </c>
      <c r="EN1376" s="1" t="s">
        <v>207</v>
      </c>
      <c r="EO1376" s="1" t="s">
        <v>431</v>
      </c>
      <c r="EP1376" s="1" t="s">
        <v>14311</v>
      </c>
      <c r="EQ1376" s="1" t="s">
        <v>206</v>
      </c>
      <c r="ER1376" s="1" t="s">
        <v>207</v>
      </c>
      <c r="ES1376" s="1" t="s">
        <v>229</v>
      </c>
      <c r="ET1376" s="1" t="s">
        <v>8737</v>
      </c>
      <c r="EU1376" s="1" t="s">
        <v>206</v>
      </c>
      <c r="EV1376" s="1" t="s">
        <v>617</v>
      </c>
      <c r="EW1376" s="1" t="s">
        <v>229</v>
      </c>
      <c r="EX1376" s="1" t="s">
        <v>4450</v>
      </c>
      <c r="EY1376" s="1" t="s">
        <v>209</v>
      </c>
      <c r="EZ1376" s="1" t="s">
        <v>207</v>
      </c>
      <c r="FA1376" s="1" t="s">
        <v>229</v>
      </c>
      <c r="FB1376" s="1" t="s">
        <v>3805</v>
      </c>
      <c r="FC1376" s="1" t="s">
        <v>209</v>
      </c>
      <c r="FD1376" s="1" t="s">
        <v>210</v>
      </c>
      <c r="FE1376" s="1" t="s">
        <v>1118</v>
      </c>
      <c r="FF1376" s="1" t="s">
        <v>239</v>
      </c>
      <c r="FG1376" s="1" t="s">
        <v>192</v>
      </c>
      <c r="FH1376" s="1" t="s">
        <v>192</v>
      </c>
      <c r="FJ1376" s="1" t="s">
        <v>14312</v>
      </c>
      <c r="FK1376" s="1" t="s">
        <v>229</v>
      </c>
      <c r="FL1376" s="1" t="s">
        <v>14313</v>
      </c>
      <c r="FM1376" s="1">
        <v>8385.0</v>
      </c>
      <c r="FN1376" s="1" t="s">
        <v>14314</v>
      </c>
      <c r="FO1376" s="1" t="s">
        <v>14315</v>
      </c>
      <c r="FP1376" s="1">
        <v>80895.0</v>
      </c>
      <c r="FQ1376" s="1" t="s">
        <v>14314</v>
      </c>
      <c r="FU1376" s="1" t="s">
        <v>417</v>
      </c>
      <c r="FV1376" s="1" t="s">
        <v>200</v>
      </c>
      <c r="FW1376" s="1" t="s">
        <v>14316</v>
      </c>
      <c r="FZ1376" s="1" t="s">
        <v>229</v>
      </c>
      <c r="GA1376" s="1" t="s">
        <v>291</v>
      </c>
      <c r="GB1376" s="2">
        <v>41984.0</v>
      </c>
      <c r="GC1376" s="1" t="s">
        <v>14317</v>
      </c>
    </row>
    <row r="1377">
      <c r="A1377" s="1">
        <v>552500.0</v>
      </c>
      <c r="B1377" s="1" t="s">
        <v>185</v>
      </c>
      <c r="C1377" s="1" t="str">
        <f>"08662912"</f>
        <v>08662912</v>
      </c>
      <c r="D1377" s="1" t="s">
        <v>186</v>
      </c>
      <c r="F1377" s="1" t="str">
        <f>"174"</f>
        <v>174</v>
      </c>
      <c r="G1377" s="2">
        <v>41823.0</v>
      </c>
      <c r="H1377" s="1">
        <v>575000.0</v>
      </c>
      <c r="I1377" s="1">
        <v>269.0</v>
      </c>
      <c r="J1377" s="1">
        <v>575000.0</v>
      </c>
      <c r="K1377" s="2">
        <v>42090.0</v>
      </c>
      <c r="L1377" s="1">
        <v>269.0</v>
      </c>
      <c r="M1377" s="2">
        <v>42090.0</v>
      </c>
      <c r="N1377" s="1" t="s">
        <v>187</v>
      </c>
      <c r="O1377" s="2">
        <v>42129.0</v>
      </c>
      <c r="P1377" s="1">
        <v>497.0</v>
      </c>
      <c r="Q1377" s="1">
        <v>30.0</v>
      </c>
      <c r="S1377" s="1">
        <v>3301.0</v>
      </c>
      <c r="T1377" s="1" t="s">
        <v>1202</v>
      </c>
      <c r="U1377" s="1" t="s">
        <v>569</v>
      </c>
      <c r="V1377" s="1" t="s">
        <v>1200</v>
      </c>
      <c r="W1377" s="1">
        <v>60174.0</v>
      </c>
      <c r="Y1377" s="1" t="s">
        <v>14318</v>
      </c>
      <c r="Z1377" s="1">
        <v>1989.0</v>
      </c>
      <c r="AA1377" s="1" t="s">
        <v>200</v>
      </c>
      <c r="AB1377" s="1" t="s">
        <v>467</v>
      </c>
      <c r="AC1377" s="1" t="s">
        <v>8826</v>
      </c>
      <c r="AD1377" s="1" t="s">
        <v>1203</v>
      </c>
      <c r="AE1377" s="1" t="s">
        <v>325</v>
      </c>
      <c r="AF1377" s="1" t="s">
        <v>1203</v>
      </c>
      <c r="AH1377" s="1" t="s">
        <v>14319</v>
      </c>
      <c r="AI1377" s="1">
        <v>0.6369</v>
      </c>
      <c r="AK1377" s="1">
        <v>11.0</v>
      </c>
      <c r="AL1377" s="1">
        <v>4.0</v>
      </c>
      <c r="AM1377" s="1">
        <v>3.0</v>
      </c>
      <c r="AN1377" s="1">
        <v>0.0</v>
      </c>
      <c r="AO1377" s="1" t="s">
        <v>198</v>
      </c>
      <c r="AP1377" s="1">
        <v>1.0</v>
      </c>
      <c r="AQ1377" s="1" t="s">
        <v>472</v>
      </c>
      <c r="AR1377" s="1" t="s">
        <v>200</v>
      </c>
      <c r="AS1377" s="1" t="s">
        <v>199</v>
      </c>
      <c r="AT1377" s="1">
        <v>3.0</v>
      </c>
      <c r="AV1377" s="1" t="s">
        <v>200</v>
      </c>
      <c r="AW1377" s="1">
        <v>16308.58</v>
      </c>
      <c r="AX1377" s="1">
        <v>2012.0</v>
      </c>
      <c r="AY1377" s="1" t="s">
        <v>387</v>
      </c>
      <c r="AZ1377" s="1" t="s">
        <v>200</v>
      </c>
      <c r="BA1377" s="1" t="str">
        <f>"0924251014"</f>
        <v>0924251014</v>
      </c>
      <c r="BC1377" s="1">
        <v>4365.0</v>
      </c>
      <c r="BD1377" s="1">
        <v>552500.0</v>
      </c>
      <c r="BE1377" s="2">
        <v>41822.0</v>
      </c>
      <c r="BF1377" s="2" t="s">
        <v>14320</v>
      </c>
      <c r="BH1377" s="1">
        <v>250.0</v>
      </c>
      <c r="BI1377" s="1" t="s">
        <v>2143</v>
      </c>
      <c r="BJ1377" s="1" t="s">
        <v>2144</v>
      </c>
      <c r="BK1377" s="1" t="s">
        <v>580</v>
      </c>
      <c r="BL1377" s="1" t="str">
        <f t="shared" ref="BL1377:BM1377" si="909">""</f>
        <v/>
      </c>
      <c r="BM1377" s="1" t="str">
        <f t="shared" si="909"/>
        <v/>
      </c>
      <c r="BQ1377" s="1">
        <v>303.0</v>
      </c>
      <c r="BR1377" s="1">
        <v>303.0</v>
      </c>
      <c r="BS1377" s="1">
        <v>303.0</v>
      </c>
      <c r="BU1377" s="1" t="s">
        <v>2181</v>
      </c>
      <c r="BV1377" s="1" t="s">
        <v>206</v>
      </c>
      <c r="BW1377" s="1" t="s">
        <v>210</v>
      </c>
      <c r="BY1377" s="1" t="s">
        <v>1534</v>
      </c>
      <c r="BZ1377" s="1" t="s">
        <v>209</v>
      </c>
      <c r="CA1377" s="1" t="s">
        <v>210</v>
      </c>
      <c r="CC1377" s="1" t="s">
        <v>639</v>
      </c>
      <c r="CD1377" s="1" t="s">
        <v>206</v>
      </c>
      <c r="CE1377" s="1" t="s">
        <v>210</v>
      </c>
      <c r="CG1377" s="1" t="s">
        <v>6672</v>
      </c>
      <c r="CH1377" s="1" t="s">
        <v>209</v>
      </c>
      <c r="CI1377" s="1" t="s">
        <v>210</v>
      </c>
      <c r="CK1377" s="1" t="s">
        <v>743</v>
      </c>
      <c r="CL1377" s="1" t="s">
        <v>209</v>
      </c>
      <c r="CM1377" s="1" t="s">
        <v>210</v>
      </c>
      <c r="CO1377" s="1" t="s">
        <v>361</v>
      </c>
      <c r="CP1377" s="1" t="s">
        <v>209</v>
      </c>
      <c r="CQ1377" s="1" t="s">
        <v>210</v>
      </c>
      <c r="CS1377" s="1" t="s">
        <v>2130</v>
      </c>
      <c r="CT1377" s="1" t="s">
        <v>206</v>
      </c>
      <c r="CU1377" s="1" t="s">
        <v>207</v>
      </c>
      <c r="CW1377" s="1" t="s">
        <v>2013</v>
      </c>
      <c r="CX1377" s="1" t="s">
        <v>206</v>
      </c>
      <c r="CY1377" s="1" t="s">
        <v>210</v>
      </c>
      <c r="DA1377" s="1" t="s">
        <v>200</v>
      </c>
      <c r="DC1377" s="1" t="s">
        <v>305</v>
      </c>
      <c r="DD1377" s="1" t="s">
        <v>586</v>
      </c>
      <c r="DE1377" s="1" t="s">
        <v>273</v>
      </c>
      <c r="DF1377" s="1" t="s">
        <v>2328</v>
      </c>
      <c r="DG1377" s="1" t="s">
        <v>337</v>
      </c>
      <c r="DH1377" s="1" t="s">
        <v>220</v>
      </c>
      <c r="DI1377" s="1" t="s">
        <v>308</v>
      </c>
      <c r="DJ1377" s="1" t="s">
        <v>222</v>
      </c>
      <c r="DK1377" s="1" t="s">
        <v>198</v>
      </c>
      <c r="DL1377" s="1" t="s">
        <v>223</v>
      </c>
      <c r="DM1377" s="1" t="s">
        <v>338</v>
      </c>
      <c r="DN1377" s="1" t="s">
        <v>399</v>
      </c>
      <c r="DO1377" s="1" t="s">
        <v>14321</v>
      </c>
      <c r="DP1377" s="1" t="s">
        <v>340</v>
      </c>
      <c r="DQ1377" s="1" t="s">
        <v>1557</v>
      </c>
      <c r="DR1377" s="1" t="s">
        <v>1487</v>
      </c>
      <c r="DS1377" s="1" t="s">
        <v>230</v>
      </c>
      <c r="DU1377" s="1" t="s">
        <v>14322</v>
      </c>
      <c r="DV1377" s="1" t="s">
        <v>14323</v>
      </c>
      <c r="DW1377" s="1" t="s">
        <v>279</v>
      </c>
      <c r="DX1377" s="1" t="s">
        <v>234</v>
      </c>
      <c r="DY1377" s="1" t="s">
        <v>7470</v>
      </c>
      <c r="DZ1377" s="1" t="s">
        <v>310</v>
      </c>
      <c r="EA1377" s="1" t="s">
        <v>344</v>
      </c>
      <c r="EB1377" s="1" t="s">
        <v>937</v>
      </c>
      <c r="EC1377" s="1" t="s">
        <v>237</v>
      </c>
      <c r="ED1377" s="1" t="s">
        <v>407</v>
      </c>
      <c r="EG1377" s="1" t="s">
        <v>494</v>
      </c>
      <c r="EH1377" s="1" t="s">
        <v>341</v>
      </c>
      <c r="EI1377" s="1" t="s">
        <v>1121</v>
      </c>
      <c r="EJ1377" s="1" t="s">
        <v>408</v>
      </c>
      <c r="EK1377" s="1" t="s">
        <v>720</v>
      </c>
      <c r="EL1377" s="1" t="s">
        <v>215</v>
      </c>
      <c r="EM1377" s="1" t="s">
        <v>206</v>
      </c>
      <c r="EN1377" s="1" t="s">
        <v>210</v>
      </c>
      <c r="EP1377" s="1" t="s">
        <v>14324</v>
      </c>
      <c r="EQ1377" s="1" t="s">
        <v>209</v>
      </c>
      <c r="ER1377" s="1" t="s">
        <v>210</v>
      </c>
      <c r="ET1377" s="1" t="s">
        <v>215</v>
      </c>
      <c r="EU1377" s="1" t="s">
        <v>209</v>
      </c>
      <c r="EV1377" s="1" t="s">
        <v>210</v>
      </c>
      <c r="EX1377" s="1" t="s">
        <v>213</v>
      </c>
      <c r="EY1377" s="1" t="s">
        <v>206</v>
      </c>
      <c r="EZ1377" s="1" t="s">
        <v>268</v>
      </c>
      <c r="FB1377" s="1" t="s">
        <v>14325</v>
      </c>
      <c r="FC1377" s="1" t="s">
        <v>206</v>
      </c>
      <c r="FD1377" s="1" t="s">
        <v>207</v>
      </c>
      <c r="FF1377" s="1" t="s">
        <v>239</v>
      </c>
      <c r="FG1377" s="1" t="s">
        <v>192</v>
      </c>
      <c r="FH1377" s="1" t="s">
        <v>192</v>
      </c>
      <c r="FJ1377" s="1" t="s">
        <v>498</v>
      </c>
      <c r="FK1377" s="1" t="s">
        <v>229</v>
      </c>
      <c r="FL1377" s="1" t="s">
        <v>1358</v>
      </c>
      <c r="FM1377" s="1">
        <v>23591.0</v>
      </c>
      <c r="FN1377" s="1" t="s">
        <v>2134</v>
      </c>
      <c r="FO1377" s="1" t="s">
        <v>2843</v>
      </c>
      <c r="FP1377" s="1">
        <v>230482.0</v>
      </c>
      <c r="FQ1377" s="1" t="s">
        <v>2844</v>
      </c>
      <c r="FU1377" s="1" t="s">
        <v>14326</v>
      </c>
      <c r="FV1377" s="1" t="s">
        <v>200</v>
      </c>
      <c r="FW1377" s="1" t="s">
        <v>14327</v>
      </c>
      <c r="FZ1377" s="1" t="s">
        <v>229</v>
      </c>
      <c r="GA1377" s="1" t="s">
        <v>291</v>
      </c>
      <c r="GB1377" s="2">
        <v>42130.0</v>
      </c>
    </row>
    <row r="1378">
      <c r="A1378" s="1">
        <v>232000.0</v>
      </c>
      <c r="B1378" s="1" t="s">
        <v>185</v>
      </c>
      <c r="C1378" s="1" t="str">
        <f>"08657198"</f>
        <v>08657198</v>
      </c>
      <c r="D1378" s="1" t="s">
        <v>186</v>
      </c>
      <c r="F1378" s="1" t="str">
        <f>"560"</f>
        <v>560</v>
      </c>
      <c r="G1378" s="2">
        <v>41817.0</v>
      </c>
      <c r="H1378" s="1">
        <v>283900.0</v>
      </c>
      <c r="I1378" s="1">
        <v>133.0</v>
      </c>
      <c r="J1378" s="1">
        <v>254900.0</v>
      </c>
      <c r="K1378" s="2">
        <v>41948.0</v>
      </c>
      <c r="L1378" s="1">
        <v>133.0</v>
      </c>
      <c r="M1378" s="2">
        <v>41948.0</v>
      </c>
      <c r="N1378" s="1" t="s">
        <v>634</v>
      </c>
      <c r="O1378" s="2">
        <v>41992.0</v>
      </c>
      <c r="P1378" s="1">
        <v>879525.0</v>
      </c>
      <c r="Q1378" s="1">
        <v>7450.0</v>
      </c>
      <c r="R1378" s="1">
        <v>464.29</v>
      </c>
      <c r="S1378" s="1">
        <v>2521.0</v>
      </c>
      <c r="T1378" s="1" t="s">
        <v>10614</v>
      </c>
      <c r="V1378" s="1" t="s">
        <v>845</v>
      </c>
      <c r="W1378" s="1">
        <v>60560.0</v>
      </c>
      <c r="Y1378" s="1" t="s">
        <v>14328</v>
      </c>
      <c r="Z1378" s="1">
        <v>2005.0</v>
      </c>
      <c r="AA1378" s="1" t="s">
        <v>200</v>
      </c>
      <c r="AB1378" s="1" t="s">
        <v>467</v>
      </c>
      <c r="AC1378" s="1" t="s">
        <v>5663</v>
      </c>
      <c r="AD1378" s="1" t="s">
        <v>848</v>
      </c>
      <c r="AE1378" s="1" t="s">
        <v>849</v>
      </c>
      <c r="AF1378" s="1" t="s">
        <v>1312</v>
      </c>
      <c r="AH1378" s="1" t="s">
        <v>5193</v>
      </c>
      <c r="AI1378" s="1">
        <v>0.3343</v>
      </c>
      <c r="AK1378" s="1">
        <v>10.0</v>
      </c>
      <c r="AL1378" s="1">
        <v>4.0</v>
      </c>
      <c r="AM1378" s="1">
        <v>2.0</v>
      </c>
      <c r="AN1378" s="1">
        <v>1.0</v>
      </c>
      <c r="AO1378" s="1" t="s">
        <v>198</v>
      </c>
      <c r="AP1378" s="1">
        <v>2.0</v>
      </c>
      <c r="AQ1378" s="1" t="s">
        <v>198</v>
      </c>
      <c r="AR1378" s="1" t="s">
        <v>192</v>
      </c>
      <c r="AS1378" s="1" t="s">
        <v>199</v>
      </c>
      <c r="AT1378" s="1">
        <v>2.0</v>
      </c>
      <c r="AV1378" s="1" t="s">
        <v>192</v>
      </c>
      <c r="AW1378" s="1">
        <v>10424.52</v>
      </c>
      <c r="AX1378" s="1">
        <v>2012.0</v>
      </c>
      <c r="AZ1378" s="1" t="s">
        <v>200</v>
      </c>
      <c r="BA1378" s="1" t="str">
        <f>"0223129019"</f>
        <v>0223129019</v>
      </c>
      <c r="BC1378" s="1">
        <v>3289.0</v>
      </c>
      <c r="BD1378" s="1">
        <v>232000.0</v>
      </c>
      <c r="BE1378" s="2">
        <v>41816.0</v>
      </c>
      <c r="BF1378" s="2" t="s">
        <v>14329</v>
      </c>
      <c r="BG1378" s="1" t="s">
        <v>5667</v>
      </c>
      <c r="BH1378" s="1">
        <v>89.0</v>
      </c>
      <c r="BI1378" s="1" t="s">
        <v>3052</v>
      </c>
      <c r="BJ1378" s="1" t="s">
        <v>3053</v>
      </c>
      <c r="BK1378" s="1" t="s">
        <v>474</v>
      </c>
      <c r="BL1378" s="1" t="str">
        <f t="shared" ref="BL1378:BM1378" si="910">""</f>
        <v/>
      </c>
      <c r="BM1378" s="1" t="str">
        <f t="shared" si="910"/>
        <v/>
      </c>
      <c r="BQ1378" s="1">
        <v>115.0</v>
      </c>
      <c r="BR1378" s="1">
        <v>115.0</v>
      </c>
      <c r="BS1378" s="1">
        <v>115.0</v>
      </c>
      <c r="BU1378" s="1" t="s">
        <v>1417</v>
      </c>
      <c r="BV1378" s="1" t="s">
        <v>206</v>
      </c>
      <c r="BY1378" s="1" t="s">
        <v>5291</v>
      </c>
      <c r="BZ1378" s="1" t="s">
        <v>209</v>
      </c>
      <c r="CC1378" s="1" t="s">
        <v>215</v>
      </c>
      <c r="CD1378" s="1" t="s">
        <v>206</v>
      </c>
      <c r="CG1378" s="1" t="s">
        <v>212</v>
      </c>
      <c r="CH1378" s="1" t="s">
        <v>209</v>
      </c>
      <c r="CK1378" s="1" t="s">
        <v>699</v>
      </c>
      <c r="CL1378" s="1" t="s">
        <v>209</v>
      </c>
      <c r="CO1378" s="1" t="s">
        <v>303</v>
      </c>
      <c r="CP1378" s="1" t="s">
        <v>209</v>
      </c>
      <c r="CS1378" s="1" t="s">
        <v>582</v>
      </c>
      <c r="CT1378" s="1" t="s">
        <v>206</v>
      </c>
      <c r="CW1378" s="1" t="s">
        <v>854</v>
      </c>
      <c r="CX1378" s="1" t="s">
        <v>206</v>
      </c>
      <c r="DA1378" s="1" t="s">
        <v>200</v>
      </c>
      <c r="DC1378" s="1" t="s">
        <v>481</v>
      </c>
      <c r="DE1378" s="1" t="s">
        <v>273</v>
      </c>
      <c r="DF1378" s="1" t="s">
        <v>219</v>
      </c>
      <c r="DG1378" s="1" t="s">
        <v>14330</v>
      </c>
      <c r="DH1378" s="1" t="s">
        <v>220</v>
      </c>
      <c r="DJ1378" s="1" t="s">
        <v>222</v>
      </c>
      <c r="DL1378" s="1" t="s">
        <v>224</v>
      </c>
      <c r="DM1378" s="1" t="s">
        <v>338</v>
      </c>
      <c r="DQ1378" s="1" t="s">
        <v>441</v>
      </c>
      <c r="DR1378" s="1" t="s">
        <v>4273</v>
      </c>
      <c r="DV1378" s="1" t="s">
        <v>4513</v>
      </c>
      <c r="DW1378" s="1" t="s">
        <v>489</v>
      </c>
      <c r="DX1378" s="1" t="s">
        <v>234</v>
      </c>
      <c r="DZ1378" s="1" t="s">
        <v>1146</v>
      </c>
      <c r="EA1378" s="1" t="s">
        <v>447</v>
      </c>
      <c r="EC1378" s="1" t="s">
        <v>237</v>
      </c>
      <c r="EG1378" s="1" t="s">
        <v>494</v>
      </c>
      <c r="EH1378" s="1" t="s">
        <v>449</v>
      </c>
      <c r="EL1378" s="1" t="s">
        <v>699</v>
      </c>
      <c r="EM1378" s="1" t="s">
        <v>206</v>
      </c>
      <c r="EP1378" s="1" t="s">
        <v>303</v>
      </c>
      <c r="EQ1378" s="1" t="s">
        <v>206</v>
      </c>
      <c r="EU1378" s="1" t="s">
        <v>238</v>
      </c>
      <c r="EY1378" s="1" t="s">
        <v>238</v>
      </c>
      <c r="FC1378" s="1" t="s">
        <v>238</v>
      </c>
      <c r="FF1378" s="1" t="s">
        <v>239</v>
      </c>
      <c r="FG1378" s="1" t="s">
        <v>192</v>
      </c>
      <c r="FH1378" s="1" t="s">
        <v>192</v>
      </c>
      <c r="FJ1378" s="1" t="s">
        <v>347</v>
      </c>
      <c r="FK1378" s="1" t="s">
        <v>229</v>
      </c>
      <c r="FL1378" s="1" t="s">
        <v>10439</v>
      </c>
      <c r="FM1378" s="1">
        <v>24199.0</v>
      </c>
      <c r="FN1378" s="1" t="s">
        <v>10440</v>
      </c>
      <c r="FO1378" s="1" t="s">
        <v>10441</v>
      </c>
      <c r="FP1378" s="1">
        <v>235607.0</v>
      </c>
      <c r="FQ1378" s="1" t="s">
        <v>10442</v>
      </c>
      <c r="FR1378" s="1">
        <v>237175.0</v>
      </c>
      <c r="FU1378" s="1" t="s">
        <v>10443</v>
      </c>
      <c r="FV1378" s="1" t="s">
        <v>200</v>
      </c>
      <c r="FW1378" s="1" t="s">
        <v>354</v>
      </c>
      <c r="FZ1378" s="1" t="s">
        <v>229</v>
      </c>
      <c r="GA1378" s="1" t="s">
        <v>291</v>
      </c>
      <c r="GB1378" s="2">
        <v>41995.0</v>
      </c>
      <c r="GC1378" s="1" t="s">
        <v>14331</v>
      </c>
    </row>
    <row r="1379">
      <c r="A1379" s="1">
        <v>170000.0</v>
      </c>
      <c r="B1379" s="1" t="s">
        <v>185</v>
      </c>
      <c r="C1379" s="1" t="str">
        <f>"08657583"</f>
        <v>08657583</v>
      </c>
      <c r="D1379" s="1" t="s">
        <v>186</v>
      </c>
      <c r="F1379" s="1" t="str">
        <f>"8018"</f>
        <v>8018</v>
      </c>
      <c r="G1379" s="2">
        <v>41817.0</v>
      </c>
      <c r="H1379" s="1">
        <v>250000.0</v>
      </c>
      <c r="I1379" s="1">
        <v>145.0</v>
      </c>
      <c r="J1379" s="1">
        <v>179000.0</v>
      </c>
      <c r="K1379" s="2">
        <v>41961.0</v>
      </c>
      <c r="L1379" s="1">
        <v>145.0</v>
      </c>
      <c r="M1379" s="2">
        <v>41961.0</v>
      </c>
      <c r="N1379" s="1" t="s">
        <v>187</v>
      </c>
      <c r="O1379" s="2">
        <v>42026.0</v>
      </c>
      <c r="P1379" s="1">
        <v>404341.0</v>
      </c>
      <c r="Q1379" s="1">
        <v>85213.0</v>
      </c>
      <c r="S1379" s="1">
        <v>2545.0</v>
      </c>
      <c r="T1379" s="1" t="s">
        <v>14332</v>
      </c>
      <c r="U1379" s="1" t="s">
        <v>189</v>
      </c>
      <c r="V1379" s="1" t="s">
        <v>190</v>
      </c>
      <c r="W1379" s="1">
        <v>60707.0</v>
      </c>
      <c r="X1379" s="1">
        <v>2251.0</v>
      </c>
      <c r="Y1379" s="1" t="s">
        <v>14333</v>
      </c>
      <c r="Z1379" s="1">
        <v>1911.0</v>
      </c>
      <c r="AA1379" s="1" t="s">
        <v>192</v>
      </c>
      <c r="AB1379" s="1" t="s">
        <v>193</v>
      </c>
      <c r="AD1379" s="1" t="s">
        <v>194</v>
      </c>
      <c r="AE1379" s="1" t="s">
        <v>195</v>
      </c>
      <c r="AF1379" s="1" t="s">
        <v>196</v>
      </c>
      <c r="AH1379" s="1" t="s">
        <v>14334</v>
      </c>
      <c r="AI1379" s="1">
        <v>0.1157</v>
      </c>
      <c r="AK1379" s="1">
        <v>8.0</v>
      </c>
      <c r="AL1379" s="1">
        <v>3.0</v>
      </c>
      <c r="AM1379" s="1">
        <v>2.0</v>
      </c>
      <c r="AN1379" s="1">
        <v>0.0</v>
      </c>
      <c r="AO1379" s="1" t="s">
        <v>229</v>
      </c>
      <c r="AQ1379" s="1" t="s">
        <v>198</v>
      </c>
      <c r="AR1379" s="1" t="s">
        <v>192</v>
      </c>
      <c r="AS1379" s="1" t="s">
        <v>199</v>
      </c>
      <c r="AT1379" s="1">
        <v>2.0</v>
      </c>
      <c r="AV1379" s="1" t="s">
        <v>200</v>
      </c>
      <c r="AW1379" s="1">
        <v>1366.49</v>
      </c>
      <c r="AX1379" s="1">
        <v>2012.0</v>
      </c>
      <c r="AY1379" s="1" t="s">
        <v>1917</v>
      </c>
      <c r="AZ1379" s="1" t="s">
        <v>200</v>
      </c>
      <c r="BA1379" s="1" t="str">
        <f>"13304060050000"</f>
        <v>13304060050000</v>
      </c>
      <c r="BC1379" s="1">
        <v>1008.0</v>
      </c>
      <c r="BD1379" s="1">
        <v>170000.0</v>
      </c>
      <c r="BE1379" s="2">
        <v>41817.0</v>
      </c>
      <c r="BF1379" s="2" t="s">
        <v>14335</v>
      </c>
      <c r="BH1379" s="1">
        <v>0.0</v>
      </c>
      <c r="BK1379" s="1" t="s">
        <v>204</v>
      </c>
      <c r="BL1379" s="1" t="str">
        <f>"2545"</f>
        <v>2545</v>
      </c>
      <c r="BM1379" s="1" t="str">
        <f>"0"</f>
        <v>0</v>
      </c>
      <c r="BN1379" s="1">
        <v>6650.0</v>
      </c>
      <c r="BO1379" s="1">
        <v>0.0</v>
      </c>
      <c r="BQ1379" s="1">
        <v>299.0</v>
      </c>
      <c r="BR1379" s="1">
        <v>299.0</v>
      </c>
      <c r="BS1379" s="1">
        <v>299.0</v>
      </c>
      <c r="BU1379" s="1" t="s">
        <v>3375</v>
      </c>
      <c r="BV1379" s="1" t="s">
        <v>206</v>
      </c>
      <c r="BW1379" s="1" t="s">
        <v>617</v>
      </c>
      <c r="BY1379" s="1" t="s">
        <v>452</v>
      </c>
      <c r="BZ1379" s="1" t="s">
        <v>206</v>
      </c>
      <c r="CC1379" s="1" t="s">
        <v>212</v>
      </c>
      <c r="CD1379" s="1" t="s">
        <v>206</v>
      </c>
      <c r="CE1379" s="1" t="s">
        <v>617</v>
      </c>
      <c r="CG1379" s="1" t="s">
        <v>1939</v>
      </c>
      <c r="CH1379" s="1" t="s">
        <v>206</v>
      </c>
      <c r="CK1379" s="1" t="s">
        <v>375</v>
      </c>
      <c r="CL1379" s="1" t="s">
        <v>206</v>
      </c>
      <c r="CO1379" s="1" t="s">
        <v>2647</v>
      </c>
      <c r="CP1379" s="1" t="s">
        <v>42</v>
      </c>
      <c r="CQ1379" s="1" t="s">
        <v>617</v>
      </c>
      <c r="CS1379" s="1" t="s">
        <v>303</v>
      </c>
      <c r="CT1379" s="1" t="s">
        <v>206</v>
      </c>
      <c r="CX1379" s="1" t="s">
        <v>204</v>
      </c>
      <c r="DA1379" s="1" t="s">
        <v>200</v>
      </c>
      <c r="DC1379" s="1" t="s">
        <v>642</v>
      </c>
      <c r="DE1379" s="1" t="s">
        <v>273</v>
      </c>
      <c r="DF1379" s="1" t="s">
        <v>619</v>
      </c>
      <c r="DH1379" s="1" t="s">
        <v>220</v>
      </c>
      <c r="DJ1379" s="1" t="s">
        <v>222</v>
      </c>
      <c r="DL1379" s="1" t="s">
        <v>858</v>
      </c>
      <c r="DM1379" s="1" t="s">
        <v>229</v>
      </c>
      <c r="DQ1379" s="1" t="s">
        <v>228</v>
      </c>
      <c r="DR1379" s="1" t="s">
        <v>229</v>
      </c>
      <c r="DV1379" s="1" t="s">
        <v>14336</v>
      </c>
      <c r="DW1379" s="1" t="s">
        <v>370</v>
      </c>
      <c r="DX1379" s="1" t="s">
        <v>234</v>
      </c>
      <c r="EA1379" s="1" t="s">
        <v>644</v>
      </c>
      <c r="EC1379" s="1" t="s">
        <v>685</v>
      </c>
      <c r="ED1379" s="1" t="s">
        <v>407</v>
      </c>
      <c r="EG1379" s="1" t="s">
        <v>1407</v>
      </c>
      <c r="EH1379" s="1" t="s">
        <v>374</v>
      </c>
      <c r="EL1379" s="1" t="s">
        <v>1746</v>
      </c>
      <c r="EM1379" s="1" t="s">
        <v>42</v>
      </c>
      <c r="EP1379" s="1" t="s">
        <v>1245</v>
      </c>
      <c r="EQ1379" s="1" t="s">
        <v>206</v>
      </c>
      <c r="EU1379" s="1" t="s">
        <v>238</v>
      </c>
      <c r="EY1379" s="1" t="s">
        <v>238</v>
      </c>
      <c r="FC1379" s="1" t="s">
        <v>238</v>
      </c>
      <c r="FF1379" s="1" t="s">
        <v>239</v>
      </c>
      <c r="FG1379" s="1" t="s">
        <v>192</v>
      </c>
      <c r="FH1379" s="1" t="s">
        <v>192</v>
      </c>
      <c r="FJ1379" s="1" t="s">
        <v>524</v>
      </c>
      <c r="FK1379" s="1" t="s">
        <v>229</v>
      </c>
      <c r="FL1379" s="1" t="s">
        <v>2263</v>
      </c>
      <c r="FM1379" s="1">
        <v>890.0</v>
      </c>
      <c r="FN1379" s="1" t="s">
        <v>5199</v>
      </c>
      <c r="FO1379" s="1" t="s">
        <v>14337</v>
      </c>
      <c r="FP1379" s="1">
        <v>8337.0</v>
      </c>
      <c r="FU1379" s="1" t="s">
        <v>14338</v>
      </c>
      <c r="FV1379" s="1" t="s">
        <v>200</v>
      </c>
      <c r="FW1379" s="1" t="s">
        <v>290</v>
      </c>
      <c r="FX1379" s="1" t="s">
        <v>238</v>
      </c>
      <c r="FZ1379" s="1" t="s">
        <v>632</v>
      </c>
      <c r="GA1379" s="1" t="s">
        <v>291</v>
      </c>
      <c r="GB1379" s="2">
        <v>42026.0</v>
      </c>
      <c r="GC1379" s="1" t="s">
        <v>14339</v>
      </c>
    </row>
    <row r="1380">
      <c r="A1380" s="1">
        <v>283000.0</v>
      </c>
      <c r="B1380" s="1" t="s">
        <v>185</v>
      </c>
      <c r="C1380" s="1" t="str">
        <f>"08658519"</f>
        <v>08658519</v>
      </c>
      <c r="D1380" s="1" t="s">
        <v>186</v>
      </c>
      <c r="F1380" s="1" t="str">
        <f>"110"</f>
        <v>110</v>
      </c>
      <c r="G1380" s="2">
        <v>41818.0</v>
      </c>
      <c r="H1380" s="1">
        <v>324900.0</v>
      </c>
      <c r="I1380" s="1">
        <v>352.0</v>
      </c>
      <c r="J1380" s="1">
        <v>299900.0</v>
      </c>
      <c r="K1380" s="2">
        <v>42083.0</v>
      </c>
      <c r="L1380" s="1">
        <v>266.0</v>
      </c>
      <c r="M1380" s="2">
        <v>42083.0</v>
      </c>
      <c r="N1380" s="1" t="s">
        <v>187</v>
      </c>
      <c r="O1380" s="2">
        <v>42123.0</v>
      </c>
      <c r="P1380" s="1">
        <v>34440.0</v>
      </c>
      <c r="Q1380" s="1">
        <v>4459.0</v>
      </c>
      <c r="S1380" s="1">
        <v>3524.0</v>
      </c>
      <c r="T1380" s="1" t="s">
        <v>12955</v>
      </c>
      <c r="U1380" s="1" t="s">
        <v>1174</v>
      </c>
      <c r="V1380" s="1" t="s">
        <v>807</v>
      </c>
      <c r="W1380" s="1">
        <v>60110.0</v>
      </c>
      <c r="Y1380" s="1" t="s">
        <v>14340</v>
      </c>
      <c r="Z1380" s="1">
        <v>2008.0</v>
      </c>
      <c r="AA1380" s="1" t="s">
        <v>200</v>
      </c>
      <c r="AB1380" s="1" t="s">
        <v>467</v>
      </c>
      <c r="AC1380" s="1" t="s">
        <v>14341</v>
      </c>
      <c r="AD1380" s="1" t="s">
        <v>809</v>
      </c>
      <c r="AE1380" s="1" t="s">
        <v>325</v>
      </c>
      <c r="AF1380" s="1" t="s">
        <v>810</v>
      </c>
      <c r="AG1380" s="1" t="s">
        <v>14342</v>
      </c>
      <c r="AH1380" s="1" t="s">
        <v>14343</v>
      </c>
      <c r="AI1380" s="1">
        <v>0.28</v>
      </c>
      <c r="AK1380" s="1">
        <v>9.0</v>
      </c>
      <c r="AL1380" s="1">
        <v>4.0</v>
      </c>
      <c r="AM1380" s="1">
        <v>2.0</v>
      </c>
      <c r="AN1380" s="1">
        <v>1.0</v>
      </c>
      <c r="AO1380" s="1" t="s">
        <v>198</v>
      </c>
      <c r="AP1380" s="1">
        <v>1.0</v>
      </c>
      <c r="AQ1380" s="1" t="s">
        <v>198</v>
      </c>
      <c r="AR1380" s="1" t="s">
        <v>200</v>
      </c>
      <c r="AS1380" s="1" t="s">
        <v>199</v>
      </c>
      <c r="AT1380" s="1">
        <v>2.0</v>
      </c>
      <c r="AV1380" s="1" t="s">
        <v>200</v>
      </c>
      <c r="AW1380" s="1">
        <v>10394.0</v>
      </c>
      <c r="AX1380" s="1">
        <v>2012.0</v>
      </c>
      <c r="AY1380" s="1" t="s">
        <v>387</v>
      </c>
      <c r="AZ1380" s="1" t="s">
        <v>200</v>
      </c>
      <c r="BA1380" s="1" t="str">
        <f>"0307153003"</f>
        <v>0307153003</v>
      </c>
      <c r="BB1380" s="1" t="s">
        <v>200</v>
      </c>
      <c r="BC1380" s="1">
        <v>3111.0</v>
      </c>
      <c r="BD1380" s="1">
        <v>283000.0</v>
      </c>
      <c r="BE1380" s="2">
        <v>41818.0</v>
      </c>
      <c r="BF1380" s="2" t="s">
        <v>14344</v>
      </c>
      <c r="BG1380" s="1" t="s">
        <v>1181</v>
      </c>
      <c r="BH1380" s="1">
        <v>112.0</v>
      </c>
      <c r="BI1380" s="1" t="s">
        <v>1093</v>
      </c>
      <c r="BJ1380" s="1" t="s">
        <v>1182</v>
      </c>
      <c r="BK1380" s="1" t="s">
        <v>1952</v>
      </c>
      <c r="BL1380" s="1" t="str">
        <f t="shared" ref="BL1380:BM1380" si="911">""</f>
        <v/>
      </c>
      <c r="BM1380" s="1" t="str">
        <f t="shared" si="911"/>
        <v/>
      </c>
      <c r="BQ1380" s="1">
        <v>300.0</v>
      </c>
      <c r="BR1380" s="1">
        <v>300.0</v>
      </c>
      <c r="BS1380" s="1">
        <v>300.0</v>
      </c>
      <c r="BU1380" s="1" t="s">
        <v>300</v>
      </c>
      <c r="BV1380" s="1" t="s">
        <v>206</v>
      </c>
      <c r="BW1380" s="1" t="s">
        <v>210</v>
      </c>
      <c r="BX1380" s="1" t="s">
        <v>431</v>
      </c>
      <c r="BY1380" s="1" t="s">
        <v>260</v>
      </c>
      <c r="BZ1380" s="1" t="s">
        <v>209</v>
      </c>
      <c r="CA1380" s="1" t="s">
        <v>210</v>
      </c>
      <c r="CB1380" s="1" t="s">
        <v>431</v>
      </c>
      <c r="CC1380" s="1" t="s">
        <v>1183</v>
      </c>
      <c r="CD1380" s="1" t="s">
        <v>206</v>
      </c>
      <c r="CE1380" s="1" t="s">
        <v>210</v>
      </c>
      <c r="CF1380" s="1" t="s">
        <v>431</v>
      </c>
      <c r="CG1380" s="1" t="s">
        <v>215</v>
      </c>
      <c r="CH1380" s="1" t="s">
        <v>209</v>
      </c>
      <c r="CI1380" s="1" t="s">
        <v>210</v>
      </c>
      <c r="CJ1380" s="1" t="s">
        <v>431</v>
      </c>
      <c r="CK1380" s="1" t="s">
        <v>2459</v>
      </c>
      <c r="CL1380" s="1" t="s">
        <v>209</v>
      </c>
      <c r="CM1380" s="1" t="s">
        <v>210</v>
      </c>
      <c r="CN1380" s="1" t="s">
        <v>431</v>
      </c>
      <c r="CO1380" s="1" t="s">
        <v>478</v>
      </c>
      <c r="CP1380" s="1" t="s">
        <v>209</v>
      </c>
      <c r="CQ1380" s="1" t="s">
        <v>210</v>
      </c>
      <c r="CR1380" s="1" t="s">
        <v>431</v>
      </c>
      <c r="CS1380" s="1" t="s">
        <v>4045</v>
      </c>
      <c r="CT1380" s="1" t="s">
        <v>206</v>
      </c>
      <c r="CU1380" s="1" t="s">
        <v>207</v>
      </c>
      <c r="CV1380" s="1" t="s">
        <v>239</v>
      </c>
      <c r="CW1380" s="1" t="s">
        <v>5515</v>
      </c>
      <c r="CX1380" s="1" t="s">
        <v>206</v>
      </c>
      <c r="CY1380" s="1" t="s">
        <v>210</v>
      </c>
      <c r="CZ1380" s="1" t="s">
        <v>229</v>
      </c>
      <c r="DA1380" s="1" t="s">
        <v>200</v>
      </c>
      <c r="DC1380" s="1" t="s">
        <v>481</v>
      </c>
      <c r="DD1380" s="1" t="s">
        <v>1954</v>
      </c>
      <c r="DE1380" s="1" t="s">
        <v>273</v>
      </c>
      <c r="DF1380" s="1" t="s">
        <v>619</v>
      </c>
      <c r="DG1380" s="1" t="s">
        <v>4915</v>
      </c>
      <c r="DH1380" s="1" t="s">
        <v>365</v>
      </c>
      <c r="DI1380" s="1" t="s">
        <v>14345</v>
      </c>
      <c r="DJ1380" s="1" t="s">
        <v>222</v>
      </c>
      <c r="DK1380" s="1" t="s">
        <v>198</v>
      </c>
      <c r="DL1380" s="1" t="s">
        <v>484</v>
      </c>
      <c r="DM1380" s="1" t="s">
        <v>338</v>
      </c>
      <c r="DN1380" s="1" t="s">
        <v>485</v>
      </c>
      <c r="DP1380" s="1" t="s">
        <v>340</v>
      </c>
      <c r="DQ1380" s="1" t="s">
        <v>441</v>
      </c>
      <c r="DR1380" s="1" t="s">
        <v>588</v>
      </c>
      <c r="DV1380" s="1" t="s">
        <v>5014</v>
      </c>
      <c r="DW1380" s="1" t="s">
        <v>444</v>
      </c>
      <c r="DX1380" s="1" t="s">
        <v>234</v>
      </c>
      <c r="DY1380" s="1" t="s">
        <v>490</v>
      </c>
      <c r="DZ1380" s="1" t="s">
        <v>282</v>
      </c>
      <c r="EA1380" s="1" t="s">
        <v>1027</v>
      </c>
      <c r="EB1380" s="1" t="s">
        <v>1639</v>
      </c>
      <c r="EC1380" s="1" t="s">
        <v>237</v>
      </c>
      <c r="ED1380" s="1" t="s">
        <v>407</v>
      </c>
      <c r="EG1380" s="1" t="s">
        <v>494</v>
      </c>
      <c r="EJ1380" s="1" t="s">
        <v>408</v>
      </c>
      <c r="EL1380" s="1" t="s">
        <v>1395</v>
      </c>
      <c r="EM1380" s="1" t="s">
        <v>206</v>
      </c>
      <c r="EN1380" s="1" t="s">
        <v>210</v>
      </c>
      <c r="EO1380" s="1" t="s">
        <v>239</v>
      </c>
      <c r="EQ1380" s="1" t="s">
        <v>238</v>
      </c>
      <c r="EU1380" s="1" t="s">
        <v>238</v>
      </c>
      <c r="EX1380" s="1" t="s">
        <v>5922</v>
      </c>
      <c r="EY1380" s="1" t="s">
        <v>206</v>
      </c>
      <c r="EZ1380" s="1" t="s">
        <v>207</v>
      </c>
      <c r="FA1380" s="1" t="s">
        <v>239</v>
      </c>
      <c r="FC1380" s="1" t="s">
        <v>238</v>
      </c>
      <c r="FF1380" s="1" t="s">
        <v>2447</v>
      </c>
      <c r="FG1380" s="1" t="s">
        <v>192</v>
      </c>
      <c r="FH1380" s="1" t="s">
        <v>192</v>
      </c>
      <c r="FJ1380" s="1" t="s">
        <v>1123</v>
      </c>
      <c r="FK1380" s="1" t="s">
        <v>348</v>
      </c>
      <c r="FL1380" s="1" t="s">
        <v>14346</v>
      </c>
      <c r="FM1380" s="1">
        <v>8970.0</v>
      </c>
      <c r="FN1380" s="1" t="s">
        <v>14347</v>
      </c>
      <c r="FO1380" s="1" t="s">
        <v>14348</v>
      </c>
      <c r="FP1380" s="1">
        <v>86647.0</v>
      </c>
      <c r="FQ1380" s="1" t="s">
        <v>14349</v>
      </c>
      <c r="FU1380" s="1" t="s">
        <v>14350</v>
      </c>
      <c r="FV1380" s="1" t="s">
        <v>200</v>
      </c>
      <c r="FW1380" s="1" t="s">
        <v>290</v>
      </c>
      <c r="FZ1380" s="1" t="s">
        <v>229</v>
      </c>
      <c r="GA1380" s="1" t="s">
        <v>291</v>
      </c>
      <c r="GB1380" s="2">
        <v>42124.0</v>
      </c>
      <c r="GC1380" s="1" t="s">
        <v>14351</v>
      </c>
    </row>
    <row r="1381">
      <c r="A1381" s="1">
        <v>230000.0</v>
      </c>
      <c r="B1381" s="1" t="s">
        <v>185</v>
      </c>
      <c r="C1381" s="1" t="str">
        <f>"08660726"</f>
        <v>08660726</v>
      </c>
      <c r="D1381" s="1" t="s">
        <v>186</v>
      </c>
      <c r="F1381" s="1" t="str">
        <f>"8015"</f>
        <v>8015</v>
      </c>
      <c r="G1381" s="2">
        <v>41821.0</v>
      </c>
      <c r="H1381" s="1">
        <v>279900.0</v>
      </c>
      <c r="I1381" s="1">
        <v>119.0</v>
      </c>
      <c r="J1381" s="1">
        <v>239900.0</v>
      </c>
      <c r="K1381" s="2">
        <v>41939.0</v>
      </c>
      <c r="L1381" s="1">
        <v>119.0</v>
      </c>
      <c r="M1381" s="2">
        <v>41939.0</v>
      </c>
      <c r="N1381" s="1" t="s">
        <v>634</v>
      </c>
      <c r="O1381" s="2">
        <v>41978.0</v>
      </c>
      <c r="P1381" s="1">
        <v>109952.0</v>
      </c>
      <c r="Q1381" s="1">
        <v>17299.0</v>
      </c>
      <c r="S1381" s="1">
        <v>5640.0</v>
      </c>
      <c r="T1381" s="1" t="s">
        <v>8534</v>
      </c>
      <c r="U1381" s="1" t="s">
        <v>320</v>
      </c>
      <c r="V1381" s="1" t="s">
        <v>190</v>
      </c>
      <c r="W1381" s="1">
        <v>60634.0</v>
      </c>
      <c r="Y1381" s="1" t="s">
        <v>14352</v>
      </c>
      <c r="Z1381" s="1">
        <v>1916.0</v>
      </c>
      <c r="AA1381" s="1" t="s">
        <v>192</v>
      </c>
      <c r="AB1381" s="1" t="s">
        <v>193</v>
      </c>
      <c r="AD1381" s="1" t="s">
        <v>194</v>
      </c>
      <c r="AE1381" s="1" t="s">
        <v>195</v>
      </c>
      <c r="AF1381" s="1" t="s">
        <v>534</v>
      </c>
      <c r="AH1381" s="1" t="s">
        <v>359</v>
      </c>
      <c r="AK1381" s="1">
        <v>7.0</v>
      </c>
      <c r="AL1381" s="1">
        <v>4.0</v>
      </c>
      <c r="AM1381" s="1">
        <v>1.0</v>
      </c>
      <c r="AN1381" s="1">
        <v>1.0</v>
      </c>
      <c r="AO1381" s="1" t="s">
        <v>229</v>
      </c>
      <c r="AP1381" s="1">
        <v>0.0</v>
      </c>
      <c r="AQ1381" s="1" t="s">
        <v>198</v>
      </c>
      <c r="AR1381" s="1" t="s">
        <v>192</v>
      </c>
      <c r="AS1381" s="1" t="s">
        <v>199</v>
      </c>
      <c r="AT1381" s="1">
        <v>2.0</v>
      </c>
      <c r="AV1381" s="1" t="s">
        <v>200</v>
      </c>
      <c r="AW1381" s="1">
        <v>3711.0</v>
      </c>
      <c r="AX1381" s="1">
        <v>2012.0</v>
      </c>
      <c r="AZ1381" s="1" t="s">
        <v>200</v>
      </c>
      <c r="BA1381" s="1" t="str">
        <f>"13202030260000"</f>
        <v>13202030260000</v>
      </c>
      <c r="BC1381" s="1">
        <v>1914.0</v>
      </c>
      <c r="BD1381" s="1">
        <v>230000.0</v>
      </c>
      <c r="BE1381" s="2">
        <v>41821.0</v>
      </c>
      <c r="BF1381" s="2" t="s">
        <v>14353</v>
      </c>
      <c r="BH1381" s="1">
        <v>0.0</v>
      </c>
      <c r="BK1381" s="1" t="s">
        <v>204</v>
      </c>
      <c r="BL1381" s="1" t="str">
        <f>"3950"</f>
        <v>3950</v>
      </c>
      <c r="BM1381" s="1" t="str">
        <f t="shared" ref="BM1381:BM1383" si="912">"0"</f>
        <v>0</v>
      </c>
      <c r="BN1381" s="1">
        <v>5640.0</v>
      </c>
      <c r="BO1381" s="1">
        <v>0.0</v>
      </c>
      <c r="BQ1381" s="1">
        <v>299.0</v>
      </c>
      <c r="BR1381" s="1">
        <v>299.0</v>
      </c>
      <c r="BS1381" s="1">
        <v>299.0</v>
      </c>
      <c r="BU1381" s="1" t="s">
        <v>331</v>
      </c>
      <c r="BV1381" s="1" t="s">
        <v>206</v>
      </c>
      <c r="BW1381" s="1" t="s">
        <v>207</v>
      </c>
      <c r="BY1381" s="1" t="s">
        <v>544</v>
      </c>
      <c r="BZ1381" s="1" t="s">
        <v>209</v>
      </c>
      <c r="CA1381" s="1" t="s">
        <v>207</v>
      </c>
      <c r="CC1381" s="1" t="s">
        <v>331</v>
      </c>
      <c r="CD1381" s="1" t="s">
        <v>206</v>
      </c>
      <c r="CE1381" s="1" t="s">
        <v>207</v>
      </c>
      <c r="CG1381" s="1" t="s">
        <v>262</v>
      </c>
      <c r="CH1381" s="1" t="s">
        <v>209</v>
      </c>
      <c r="CI1381" s="1" t="s">
        <v>207</v>
      </c>
      <c r="CK1381" s="1" t="s">
        <v>816</v>
      </c>
      <c r="CL1381" s="1" t="s">
        <v>206</v>
      </c>
      <c r="CM1381" s="1" t="s">
        <v>207</v>
      </c>
      <c r="CO1381" s="1" t="s">
        <v>264</v>
      </c>
      <c r="CP1381" s="1" t="s">
        <v>209</v>
      </c>
      <c r="CQ1381" s="1" t="s">
        <v>207</v>
      </c>
      <c r="CS1381" s="1" t="s">
        <v>730</v>
      </c>
      <c r="CT1381" s="1" t="s">
        <v>206</v>
      </c>
      <c r="CU1381" s="1" t="s">
        <v>207</v>
      </c>
      <c r="CX1381" s="1" t="s">
        <v>204</v>
      </c>
      <c r="DA1381" s="1" t="s">
        <v>200</v>
      </c>
      <c r="DC1381" s="1" t="s">
        <v>216</v>
      </c>
      <c r="DD1381" s="1" t="s">
        <v>518</v>
      </c>
      <c r="DE1381" s="1" t="s">
        <v>1300</v>
      </c>
      <c r="DF1381" s="1" t="s">
        <v>11610</v>
      </c>
      <c r="DH1381" s="1" t="s">
        <v>365</v>
      </c>
      <c r="DI1381" s="1" t="s">
        <v>2547</v>
      </c>
      <c r="DJ1381" s="1" t="s">
        <v>1379</v>
      </c>
      <c r="DL1381" s="1" t="s">
        <v>791</v>
      </c>
      <c r="DM1381" s="1" t="s">
        <v>229</v>
      </c>
      <c r="DP1381" s="1" t="s">
        <v>340</v>
      </c>
      <c r="DQ1381" s="1" t="s">
        <v>718</v>
      </c>
      <c r="DR1381" s="1" t="s">
        <v>229</v>
      </c>
      <c r="DS1381" s="1" t="s">
        <v>401</v>
      </c>
      <c r="DV1381" s="1" t="s">
        <v>374</v>
      </c>
      <c r="DW1381" s="1" t="s">
        <v>934</v>
      </c>
      <c r="DX1381" s="1" t="s">
        <v>234</v>
      </c>
      <c r="EA1381" s="1" t="s">
        <v>644</v>
      </c>
      <c r="EC1381" s="1" t="s">
        <v>237</v>
      </c>
      <c r="EG1381" s="1" t="s">
        <v>374</v>
      </c>
      <c r="EL1381" s="1" t="s">
        <v>1937</v>
      </c>
      <c r="EM1381" s="1" t="s">
        <v>206</v>
      </c>
      <c r="EN1381" s="1" t="s">
        <v>210</v>
      </c>
      <c r="EQ1381" s="1" t="s">
        <v>238</v>
      </c>
      <c r="EU1381" s="1" t="s">
        <v>238</v>
      </c>
      <c r="EY1381" s="1" t="s">
        <v>238</v>
      </c>
      <c r="FC1381" s="1" t="s">
        <v>238</v>
      </c>
      <c r="FF1381" s="1" t="s">
        <v>239</v>
      </c>
      <c r="FG1381" s="1" t="s">
        <v>192</v>
      </c>
      <c r="FH1381" s="1" t="s">
        <v>192</v>
      </c>
      <c r="FJ1381" s="1" t="s">
        <v>524</v>
      </c>
      <c r="FK1381" s="1" t="s">
        <v>229</v>
      </c>
      <c r="FL1381" s="1" t="s">
        <v>8097</v>
      </c>
      <c r="FM1381" s="1">
        <v>17497.0</v>
      </c>
      <c r="FN1381" s="1" t="s">
        <v>8098</v>
      </c>
      <c r="FO1381" s="1" t="s">
        <v>8989</v>
      </c>
      <c r="FP1381" s="1">
        <v>161285.0</v>
      </c>
      <c r="FQ1381" s="1" t="s">
        <v>8098</v>
      </c>
      <c r="FU1381" s="1" t="s">
        <v>8990</v>
      </c>
      <c r="FV1381" s="1" t="s">
        <v>200</v>
      </c>
      <c r="FW1381" s="1" t="s">
        <v>290</v>
      </c>
      <c r="FX1381" s="1" t="s">
        <v>246</v>
      </c>
      <c r="FZ1381" s="1" t="s">
        <v>229</v>
      </c>
      <c r="GA1381" s="1" t="s">
        <v>291</v>
      </c>
      <c r="GB1381" s="2">
        <v>41981.0</v>
      </c>
      <c r="GC1381" s="1" t="s">
        <v>14354</v>
      </c>
    </row>
    <row r="1382">
      <c r="A1382" s="1">
        <v>259900.0</v>
      </c>
      <c r="B1382" s="1" t="s">
        <v>185</v>
      </c>
      <c r="C1382" s="1" t="str">
        <f>"08663637"</f>
        <v>08663637</v>
      </c>
      <c r="D1382" s="1" t="s">
        <v>186</v>
      </c>
      <c r="F1382" s="1" t="str">
        <f>"123"</f>
        <v>123</v>
      </c>
      <c r="G1382" s="2">
        <v>41824.0</v>
      </c>
      <c r="H1382" s="1">
        <v>269700.0</v>
      </c>
      <c r="I1382" s="1">
        <v>117.0</v>
      </c>
      <c r="J1382" s="1">
        <v>269700.0</v>
      </c>
      <c r="K1382" s="2">
        <v>41894.0</v>
      </c>
      <c r="L1382" s="1">
        <v>71.0</v>
      </c>
      <c r="M1382" s="2">
        <v>41894.0</v>
      </c>
      <c r="N1382" s="1" t="s">
        <v>356</v>
      </c>
      <c r="O1382" s="2">
        <v>41995.0</v>
      </c>
      <c r="P1382" s="1">
        <v>8429.0</v>
      </c>
      <c r="Q1382" s="1">
        <v>7630.0</v>
      </c>
      <c r="S1382" s="1">
        <v>3079.0</v>
      </c>
      <c r="T1382" s="1" t="s">
        <v>14355</v>
      </c>
      <c r="U1382" s="1" t="s">
        <v>189</v>
      </c>
      <c r="V1382" s="1" t="s">
        <v>465</v>
      </c>
      <c r="W1382" s="1">
        <v>60124.0</v>
      </c>
      <c r="Y1382" s="1" t="s">
        <v>14356</v>
      </c>
      <c r="Z1382" s="1">
        <v>2011.0</v>
      </c>
      <c r="AA1382" s="1" t="s">
        <v>200</v>
      </c>
      <c r="AB1382" s="1" t="s">
        <v>193</v>
      </c>
      <c r="AC1382" s="1" t="s">
        <v>3682</v>
      </c>
      <c r="AD1382" s="1" t="s">
        <v>469</v>
      </c>
      <c r="AE1382" s="1" t="s">
        <v>325</v>
      </c>
      <c r="AF1382" s="1" t="s">
        <v>469</v>
      </c>
      <c r="AG1382" s="1" t="s">
        <v>14357</v>
      </c>
      <c r="AH1382" s="1" t="s">
        <v>14358</v>
      </c>
      <c r="AK1382" s="1">
        <v>11.0</v>
      </c>
      <c r="AL1382" s="1">
        <v>4.0</v>
      </c>
      <c r="AM1382" s="1">
        <v>2.0</v>
      </c>
      <c r="AN1382" s="1">
        <v>2.0</v>
      </c>
      <c r="AO1382" s="1" t="s">
        <v>198</v>
      </c>
      <c r="AP1382" s="1">
        <v>0.0</v>
      </c>
      <c r="AQ1382" s="1" t="s">
        <v>327</v>
      </c>
      <c r="AR1382" s="1" t="s">
        <v>192</v>
      </c>
      <c r="AS1382" s="1" t="s">
        <v>199</v>
      </c>
      <c r="AT1382" s="1">
        <v>2.0</v>
      </c>
      <c r="AV1382" s="1" t="s">
        <v>200</v>
      </c>
      <c r="AW1382" s="1">
        <v>9743.32</v>
      </c>
      <c r="AX1382" s="1">
        <v>2013.0</v>
      </c>
      <c r="AY1382" s="1" t="s">
        <v>229</v>
      </c>
      <c r="AZ1382" s="1" t="s">
        <v>200</v>
      </c>
      <c r="BA1382" s="1" t="str">
        <f>"0617358015"</f>
        <v>0617358015</v>
      </c>
      <c r="BC1382" s="1">
        <v>2750.0</v>
      </c>
      <c r="BD1382" s="1">
        <v>259900.0</v>
      </c>
      <c r="BE1382" s="2">
        <v>41824.0</v>
      </c>
      <c r="BF1382" s="2" t="s">
        <v>14359</v>
      </c>
      <c r="BG1382" s="1" t="s">
        <v>1974</v>
      </c>
      <c r="BH1382" s="1">
        <v>300.0</v>
      </c>
      <c r="BI1382" s="1" t="s">
        <v>578</v>
      </c>
      <c r="BJ1382" s="1" t="s">
        <v>579</v>
      </c>
      <c r="BK1382" s="1" t="s">
        <v>580</v>
      </c>
      <c r="BL1382" s="1" t="str">
        <f>"11"</f>
        <v>11</v>
      </c>
      <c r="BM1382" s="1" t="str">
        <f t="shared" si="912"/>
        <v>0</v>
      </c>
      <c r="BN1382" s="1">
        <v>38.0</v>
      </c>
      <c r="BO1382" s="1">
        <v>0.0</v>
      </c>
      <c r="BQ1382" s="1">
        <v>301.0</v>
      </c>
      <c r="BR1382" s="1">
        <v>301.0</v>
      </c>
      <c r="BS1382" s="1">
        <v>301.0</v>
      </c>
      <c r="BU1382" s="1" t="s">
        <v>582</v>
      </c>
      <c r="BV1382" s="1" t="s">
        <v>206</v>
      </c>
      <c r="BW1382" s="1" t="s">
        <v>210</v>
      </c>
      <c r="BX1382" s="1" t="s">
        <v>239</v>
      </c>
      <c r="BY1382" s="1" t="s">
        <v>1350</v>
      </c>
      <c r="BZ1382" s="1" t="s">
        <v>209</v>
      </c>
      <c r="CA1382" s="1" t="s">
        <v>210</v>
      </c>
      <c r="CB1382" s="1" t="s">
        <v>239</v>
      </c>
      <c r="CC1382" s="1" t="s">
        <v>582</v>
      </c>
      <c r="CD1382" s="1" t="s">
        <v>206</v>
      </c>
      <c r="CE1382" s="1" t="s">
        <v>210</v>
      </c>
      <c r="CF1382" s="1" t="s">
        <v>239</v>
      </c>
      <c r="CG1382" s="1" t="s">
        <v>363</v>
      </c>
      <c r="CH1382" s="1" t="s">
        <v>209</v>
      </c>
      <c r="CI1382" s="1" t="s">
        <v>210</v>
      </c>
      <c r="CJ1382" s="1" t="s">
        <v>239</v>
      </c>
      <c r="CK1382" s="1" t="s">
        <v>1417</v>
      </c>
      <c r="CL1382" s="1" t="s">
        <v>209</v>
      </c>
      <c r="CM1382" s="1" t="s">
        <v>210</v>
      </c>
      <c r="CN1382" s="1" t="s">
        <v>239</v>
      </c>
      <c r="CO1382" s="1" t="s">
        <v>212</v>
      </c>
      <c r="CP1382" s="1" t="s">
        <v>209</v>
      </c>
      <c r="CQ1382" s="1" t="s">
        <v>210</v>
      </c>
      <c r="CR1382" s="1" t="s">
        <v>239</v>
      </c>
      <c r="CS1382" s="1" t="s">
        <v>478</v>
      </c>
      <c r="CT1382" s="1" t="s">
        <v>206</v>
      </c>
      <c r="CU1382" s="1" t="s">
        <v>617</v>
      </c>
      <c r="CV1382" s="1" t="s">
        <v>239</v>
      </c>
      <c r="CW1382" s="1" t="s">
        <v>214</v>
      </c>
      <c r="CX1382" s="1" t="s">
        <v>206</v>
      </c>
      <c r="CY1382" s="1" t="s">
        <v>210</v>
      </c>
      <c r="CZ1382" s="1" t="s">
        <v>239</v>
      </c>
      <c r="DA1382" s="1" t="s">
        <v>200</v>
      </c>
      <c r="DC1382" s="1" t="s">
        <v>1046</v>
      </c>
      <c r="DD1382" s="1" t="s">
        <v>9282</v>
      </c>
      <c r="DE1382" s="1" t="s">
        <v>273</v>
      </c>
      <c r="DF1382" s="1" t="s">
        <v>219</v>
      </c>
      <c r="DG1382" s="1" t="s">
        <v>14360</v>
      </c>
      <c r="DH1382" s="1" t="s">
        <v>220</v>
      </c>
      <c r="DI1382" s="1" t="s">
        <v>1021</v>
      </c>
      <c r="DJ1382" s="1" t="s">
        <v>222</v>
      </c>
      <c r="DL1382" s="1" t="s">
        <v>858</v>
      </c>
      <c r="DM1382" s="1" t="s">
        <v>929</v>
      </c>
      <c r="DN1382" s="1" t="s">
        <v>339</v>
      </c>
      <c r="DP1382" s="1" t="s">
        <v>276</v>
      </c>
      <c r="DQ1382" s="1" t="s">
        <v>228</v>
      </c>
      <c r="DR1382" s="1" t="s">
        <v>588</v>
      </c>
      <c r="DS1382" s="1" t="s">
        <v>230</v>
      </c>
      <c r="DV1382" s="1" t="s">
        <v>14361</v>
      </c>
      <c r="DW1382" s="1" t="s">
        <v>233</v>
      </c>
      <c r="DX1382" s="1" t="s">
        <v>234</v>
      </c>
      <c r="DY1382" s="1" t="s">
        <v>3075</v>
      </c>
      <c r="DZ1382" s="1" t="s">
        <v>1100</v>
      </c>
      <c r="EC1382" s="1" t="s">
        <v>237</v>
      </c>
      <c r="ED1382" s="1" t="s">
        <v>407</v>
      </c>
      <c r="EE1382" s="1" t="s">
        <v>493</v>
      </c>
      <c r="EG1382" s="1" t="s">
        <v>556</v>
      </c>
      <c r="EH1382" s="1" t="s">
        <v>341</v>
      </c>
      <c r="EI1382" s="1" t="s">
        <v>450</v>
      </c>
      <c r="EL1382" s="1" t="s">
        <v>212</v>
      </c>
      <c r="EM1382" s="1" t="s">
        <v>206</v>
      </c>
      <c r="EN1382" s="1" t="s">
        <v>617</v>
      </c>
      <c r="EO1382" s="1" t="s">
        <v>239</v>
      </c>
      <c r="EP1382" s="1" t="s">
        <v>329</v>
      </c>
      <c r="EQ1382" s="1" t="s">
        <v>209</v>
      </c>
      <c r="ER1382" s="1" t="s">
        <v>210</v>
      </c>
      <c r="ES1382" s="1" t="s">
        <v>239</v>
      </c>
      <c r="ET1382" s="1" t="s">
        <v>663</v>
      </c>
      <c r="EU1382" s="1" t="s">
        <v>1697</v>
      </c>
      <c r="EY1382" s="1" t="s">
        <v>238</v>
      </c>
      <c r="FC1382" s="1" t="s">
        <v>238</v>
      </c>
      <c r="FF1382" s="1" t="s">
        <v>239</v>
      </c>
      <c r="FG1382" s="1" t="s">
        <v>200</v>
      </c>
      <c r="FH1382" s="1" t="s">
        <v>192</v>
      </c>
      <c r="FJ1382" s="1" t="s">
        <v>14362</v>
      </c>
      <c r="FK1382" s="1" t="s">
        <v>229</v>
      </c>
      <c r="FL1382" s="1" t="s">
        <v>625</v>
      </c>
      <c r="FM1382" s="1">
        <v>37.0</v>
      </c>
      <c r="FN1382" s="1" t="s">
        <v>626</v>
      </c>
      <c r="FO1382" s="1" t="s">
        <v>1272</v>
      </c>
      <c r="FP1382" s="1">
        <v>7683.0</v>
      </c>
      <c r="FQ1382" s="1" t="s">
        <v>1273</v>
      </c>
      <c r="FR1382" s="1">
        <v>8360.0</v>
      </c>
      <c r="FU1382" s="1" t="s">
        <v>14363</v>
      </c>
      <c r="FV1382" s="1" t="s">
        <v>200</v>
      </c>
      <c r="FW1382" s="1" t="s">
        <v>290</v>
      </c>
      <c r="FZ1382" s="1" t="s">
        <v>229</v>
      </c>
      <c r="GA1382" s="1" t="s">
        <v>291</v>
      </c>
      <c r="GB1382" s="2">
        <v>41997.0</v>
      </c>
      <c r="GC1382" s="1" t="s">
        <v>14364</v>
      </c>
    </row>
    <row r="1383">
      <c r="A1383" s="1">
        <v>341550.0</v>
      </c>
      <c r="B1383" s="1" t="s">
        <v>185</v>
      </c>
      <c r="C1383" s="1" t="str">
        <f>"08658397"</f>
        <v>08658397</v>
      </c>
      <c r="D1383" s="1" t="s">
        <v>186</v>
      </c>
      <c r="F1383" s="1" t="str">
        <f>"110"</f>
        <v>110</v>
      </c>
      <c r="G1383" s="2">
        <v>41818.0</v>
      </c>
      <c r="H1383" s="1">
        <v>341490.0</v>
      </c>
      <c r="I1383" s="1">
        <v>1.0</v>
      </c>
      <c r="J1383" s="1">
        <v>341490.0</v>
      </c>
      <c r="K1383" s="2">
        <v>41818.0</v>
      </c>
      <c r="L1383" s="1">
        <v>1.0</v>
      </c>
      <c r="M1383" s="2">
        <v>41818.0</v>
      </c>
      <c r="N1383" s="1" t="s">
        <v>187</v>
      </c>
      <c r="O1383" s="2">
        <v>41974.0</v>
      </c>
      <c r="P1383" s="1">
        <v>55884.0</v>
      </c>
      <c r="Q1383" s="1">
        <v>5014.0</v>
      </c>
      <c r="S1383" s="1">
        <v>4003.0</v>
      </c>
      <c r="T1383" s="1" t="s">
        <v>13840</v>
      </c>
      <c r="U1383" s="1" t="s">
        <v>1174</v>
      </c>
      <c r="V1383" s="1" t="s">
        <v>807</v>
      </c>
      <c r="W1383" s="1">
        <v>60110.0</v>
      </c>
      <c r="Y1383" s="1" t="s">
        <v>13841</v>
      </c>
      <c r="Z1383" s="1">
        <v>2014.0</v>
      </c>
      <c r="AA1383" s="1" t="s">
        <v>200</v>
      </c>
      <c r="AB1383" s="1" t="s">
        <v>467</v>
      </c>
      <c r="AC1383" s="1" t="s">
        <v>1176</v>
      </c>
      <c r="AD1383" s="1" t="s">
        <v>809</v>
      </c>
      <c r="AE1383" s="1" t="s">
        <v>325</v>
      </c>
      <c r="AF1383" s="1" t="s">
        <v>810</v>
      </c>
      <c r="AG1383" s="1" t="s">
        <v>13842</v>
      </c>
      <c r="AH1383" s="1" t="s">
        <v>13843</v>
      </c>
      <c r="AI1383" s="1">
        <v>0.25</v>
      </c>
      <c r="AK1383" s="1">
        <v>7.0</v>
      </c>
      <c r="AL1383" s="1">
        <v>4.0</v>
      </c>
      <c r="AM1383" s="1">
        <v>2.0</v>
      </c>
      <c r="AN1383" s="1">
        <v>1.0</v>
      </c>
      <c r="AO1383" s="1" t="s">
        <v>198</v>
      </c>
      <c r="AQ1383" s="1" t="s">
        <v>198</v>
      </c>
      <c r="AR1383" s="1" t="s">
        <v>200</v>
      </c>
      <c r="AS1383" s="1" t="s">
        <v>199</v>
      </c>
      <c r="AT1383" s="1">
        <v>3.0</v>
      </c>
      <c r="AV1383" s="1" t="s">
        <v>200</v>
      </c>
      <c r="AW1383" s="1" t="s">
        <v>575</v>
      </c>
      <c r="AX1383" s="1">
        <v>2012.0</v>
      </c>
      <c r="AY1383" s="1" t="s">
        <v>387</v>
      </c>
      <c r="AZ1383" s="1" t="s">
        <v>200</v>
      </c>
      <c r="BA1383" s="1" t="str">
        <f>"0307376022"</f>
        <v>0307376022</v>
      </c>
      <c r="BB1383" s="1" t="s">
        <v>200</v>
      </c>
      <c r="BC1383" s="1">
        <v>3295.0</v>
      </c>
      <c r="BD1383" s="1">
        <v>341550.0</v>
      </c>
      <c r="BE1383" s="2">
        <v>41818.0</v>
      </c>
      <c r="BF1383" s="1" t="s">
        <v>14365</v>
      </c>
      <c r="BG1383" s="1" t="s">
        <v>1181</v>
      </c>
      <c r="BH1383" s="1">
        <v>112.0</v>
      </c>
      <c r="BI1383" s="1" t="s">
        <v>1093</v>
      </c>
      <c r="BJ1383" s="1" t="s">
        <v>1182</v>
      </c>
      <c r="BK1383" s="1" t="s">
        <v>1952</v>
      </c>
      <c r="BL1383" s="1" t="str">
        <f>"18"</f>
        <v>18</v>
      </c>
      <c r="BM1383" s="1" t="str">
        <f t="shared" si="912"/>
        <v>0</v>
      </c>
      <c r="BN1383" s="1">
        <v>37.0</v>
      </c>
      <c r="BO1383" s="1">
        <v>0.0</v>
      </c>
      <c r="BQ1383" s="1">
        <v>300.0</v>
      </c>
      <c r="BR1383" s="1">
        <v>300.0</v>
      </c>
      <c r="BS1383" s="1">
        <v>300.0</v>
      </c>
      <c r="BV1383" s="1" t="s">
        <v>204</v>
      </c>
      <c r="BY1383" s="1" t="s">
        <v>830</v>
      </c>
      <c r="BZ1383" s="1" t="s">
        <v>209</v>
      </c>
      <c r="CA1383" s="1" t="s">
        <v>210</v>
      </c>
      <c r="CB1383" s="1" t="s">
        <v>229</v>
      </c>
      <c r="CD1383" s="1" t="s">
        <v>204</v>
      </c>
      <c r="CG1383" s="1" t="s">
        <v>302</v>
      </c>
      <c r="CH1383" s="1" t="s">
        <v>209</v>
      </c>
      <c r="CI1383" s="1" t="s">
        <v>210</v>
      </c>
      <c r="CJ1383" s="1" t="s">
        <v>229</v>
      </c>
      <c r="CK1383" s="1" t="s">
        <v>1417</v>
      </c>
      <c r="CL1383" s="1" t="s">
        <v>209</v>
      </c>
      <c r="CM1383" s="1" t="s">
        <v>210</v>
      </c>
      <c r="CO1383" s="1" t="s">
        <v>2459</v>
      </c>
      <c r="CP1383" s="1" t="s">
        <v>209</v>
      </c>
      <c r="CQ1383" s="1" t="s">
        <v>210</v>
      </c>
      <c r="CS1383" s="1" t="s">
        <v>1612</v>
      </c>
      <c r="CT1383" s="1" t="s">
        <v>206</v>
      </c>
      <c r="CU1383" s="1" t="s">
        <v>207</v>
      </c>
      <c r="CV1383" s="1" t="s">
        <v>229</v>
      </c>
      <c r="CX1383" s="1" t="s">
        <v>204</v>
      </c>
      <c r="DA1383" s="1" t="s">
        <v>192</v>
      </c>
      <c r="DB1383" s="2">
        <v>41973.0</v>
      </c>
      <c r="DC1383" s="1" t="s">
        <v>744</v>
      </c>
      <c r="DD1383" s="1" t="s">
        <v>1484</v>
      </c>
      <c r="DE1383" s="1" t="s">
        <v>273</v>
      </c>
      <c r="DF1383" s="1" t="s">
        <v>619</v>
      </c>
      <c r="DG1383" s="1" t="s">
        <v>482</v>
      </c>
      <c r="DH1383" s="1" t="s">
        <v>220</v>
      </c>
      <c r="DI1383" s="1" t="s">
        <v>275</v>
      </c>
      <c r="DJ1383" s="1" t="s">
        <v>1048</v>
      </c>
      <c r="DK1383" s="1" t="s">
        <v>223</v>
      </c>
      <c r="DL1383" s="1" t="s">
        <v>223</v>
      </c>
      <c r="DM1383" s="1" t="s">
        <v>338</v>
      </c>
      <c r="DN1383" s="1" t="s">
        <v>548</v>
      </c>
      <c r="DP1383" s="1" t="s">
        <v>340</v>
      </c>
      <c r="DQ1383" s="1" t="s">
        <v>228</v>
      </c>
      <c r="DR1383" s="1" t="s">
        <v>588</v>
      </c>
      <c r="DS1383" s="1" t="s">
        <v>368</v>
      </c>
      <c r="DV1383" s="1" t="s">
        <v>14366</v>
      </c>
      <c r="DW1383" s="1" t="s">
        <v>279</v>
      </c>
      <c r="DX1383" s="1" t="s">
        <v>234</v>
      </c>
      <c r="EA1383" s="1" t="s">
        <v>344</v>
      </c>
      <c r="EC1383" s="1" t="s">
        <v>237</v>
      </c>
      <c r="EG1383" s="1" t="s">
        <v>341</v>
      </c>
      <c r="EI1383" s="1" t="s">
        <v>1164</v>
      </c>
      <c r="EL1383" s="1" t="s">
        <v>2647</v>
      </c>
      <c r="EM1383" s="1" t="s">
        <v>209</v>
      </c>
      <c r="EN1383" s="1" t="s">
        <v>210</v>
      </c>
      <c r="EO1383" s="1" t="s">
        <v>229</v>
      </c>
      <c r="EQ1383" s="1" t="s">
        <v>238</v>
      </c>
      <c r="ET1383" s="1" t="s">
        <v>364</v>
      </c>
      <c r="EU1383" s="1" t="s">
        <v>206</v>
      </c>
      <c r="EV1383" s="1" t="s">
        <v>210</v>
      </c>
      <c r="EW1383" s="1" t="s">
        <v>229</v>
      </c>
      <c r="EY1383" s="1" t="s">
        <v>238</v>
      </c>
      <c r="FC1383" s="1" t="s">
        <v>238</v>
      </c>
      <c r="FF1383" s="1" t="s">
        <v>239</v>
      </c>
      <c r="FG1383" s="1" t="s">
        <v>192</v>
      </c>
      <c r="FH1383" s="1" t="s">
        <v>192</v>
      </c>
      <c r="FJ1383" s="1" t="s">
        <v>14367</v>
      </c>
      <c r="FK1383" s="1" t="s">
        <v>229</v>
      </c>
      <c r="FL1383" s="1" t="s">
        <v>1192</v>
      </c>
      <c r="FM1383" s="1">
        <v>8702.0</v>
      </c>
      <c r="FN1383" s="1" t="s">
        <v>1193</v>
      </c>
      <c r="FO1383" s="1" t="s">
        <v>1194</v>
      </c>
      <c r="FP1383" s="1">
        <v>21163.0</v>
      </c>
      <c r="FQ1383" s="1" t="s">
        <v>1195</v>
      </c>
      <c r="FU1383" s="1" t="s">
        <v>14368</v>
      </c>
      <c r="FV1383" s="1" t="s">
        <v>200</v>
      </c>
      <c r="FW1383" s="1" t="s">
        <v>1197</v>
      </c>
      <c r="FZ1383" s="1" t="s">
        <v>229</v>
      </c>
      <c r="GA1383" s="1" t="s">
        <v>291</v>
      </c>
      <c r="GB1383" s="2">
        <v>41974.0</v>
      </c>
      <c r="GC1383" s="1" t="s">
        <v>14369</v>
      </c>
    </row>
    <row r="1384">
      <c r="A1384" s="1">
        <v>129900.0</v>
      </c>
      <c r="B1384" s="1" t="s">
        <v>185</v>
      </c>
      <c r="C1384" s="1" t="str">
        <f>"08660498"</f>
        <v>08660498</v>
      </c>
      <c r="D1384" s="1" t="s">
        <v>186</v>
      </c>
      <c r="F1384" s="1" t="str">
        <f>"8044"</f>
        <v>8044</v>
      </c>
      <c r="G1384" s="2">
        <v>41821.0</v>
      </c>
      <c r="H1384" s="1">
        <v>149900.0</v>
      </c>
      <c r="I1384" s="1">
        <v>196.0</v>
      </c>
      <c r="J1384" s="1">
        <v>129900.0</v>
      </c>
      <c r="K1384" s="2">
        <v>41985.0</v>
      </c>
      <c r="L1384" s="1">
        <v>165.0</v>
      </c>
      <c r="M1384" s="2">
        <v>41985.0</v>
      </c>
      <c r="N1384" s="1" t="s">
        <v>187</v>
      </c>
      <c r="O1384" s="2">
        <v>42055.0</v>
      </c>
      <c r="P1384" s="1">
        <v>501194.0</v>
      </c>
      <c r="Q1384" s="1">
        <v>51720.0</v>
      </c>
      <c r="R1384" s="1">
        <v>5000.0</v>
      </c>
      <c r="S1384" s="1">
        <v>8642.0</v>
      </c>
      <c r="T1384" s="1" t="s">
        <v>14370</v>
      </c>
      <c r="U1384" s="1" t="s">
        <v>189</v>
      </c>
      <c r="V1384" s="1" t="s">
        <v>190</v>
      </c>
      <c r="W1384" s="1">
        <v>60619.0</v>
      </c>
      <c r="Y1384" s="1" t="s">
        <v>14371</v>
      </c>
      <c r="Z1384" s="1">
        <v>1947.0</v>
      </c>
      <c r="AA1384" s="1" t="s">
        <v>192</v>
      </c>
      <c r="AB1384" s="1" t="s">
        <v>193</v>
      </c>
      <c r="AD1384" s="1" t="s">
        <v>194</v>
      </c>
      <c r="AE1384" s="1" t="s">
        <v>195</v>
      </c>
      <c r="AF1384" s="1" t="s">
        <v>637</v>
      </c>
      <c r="AH1384" s="1" t="s">
        <v>1501</v>
      </c>
      <c r="AI1384" s="1">
        <v>0.1157</v>
      </c>
      <c r="AK1384" s="1">
        <v>8.0</v>
      </c>
      <c r="AL1384" s="1">
        <v>2.0</v>
      </c>
      <c r="AM1384" s="1">
        <v>2.0</v>
      </c>
      <c r="AN1384" s="1">
        <v>0.0</v>
      </c>
      <c r="AO1384" s="1" t="s">
        <v>229</v>
      </c>
      <c r="AQ1384" s="1" t="s">
        <v>198</v>
      </c>
      <c r="AR1384" s="1" t="s">
        <v>192</v>
      </c>
      <c r="AS1384" s="1" t="s">
        <v>199</v>
      </c>
      <c r="AT1384" s="1">
        <v>2.0</v>
      </c>
      <c r="AV1384" s="1" t="s">
        <v>200</v>
      </c>
      <c r="AW1384" s="1">
        <v>2032.97</v>
      </c>
      <c r="AX1384" s="1">
        <v>2012.0</v>
      </c>
      <c r="AZ1384" s="1" t="s">
        <v>200</v>
      </c>
      <c r="BA1384" s="1" t="str">
        <f>"20344090300000"</f>
        <v>20344090300000</v>
      </c>
      <c r="BC1384" s="1">
        <v>1300.0</v>
      </c>
      <c r="BD1384" s="1">
        <v>129900.0</v>
      </c>
      <c r="BE1384" s="2">
        <v>41821.0</v>
      </c>
      <c r="BF1384" s="2" t="s">
        <v>14372</v>
      </c>
      <c r="BH1384" s="1">
        <v>0.0</v>
      </c>
      <c r="BK1384" s="1" t="s">
        <v>204</v>
      </c>
      <c r="BL1384" s="1" t="str">
        <f t="shared" ref="BL1384:BL1385" si="913">"0"</f>
        <v>0</v>
      </c>
      <c r="BM1384" s="1" t="str">
        <f>"432"</f>
        <v>432</v>
      </c>
      <c r="BN1384" s="1">
        <v>0.0</v>
      </c>
      <c r="BO1384" s="1">
        <v>8642.0</v>
      </c>
      <c r="BQ1384" s="1">
        <v>299.0</v>
      </c>
      <c r="BR1384" s="1">
        <v>299.0</v>
      </c>
      <c r="BS1384" s="1">
        <v>299.0</v>
      </c>
      <c r="BU1384" s="1" t="s">
        <v>211</v>
      </c>
      <c r="BV1384" s="1" t="s">
        <v>206</v>
      </c>
      <c r="BW1384" s="1" t="s">
        <v>207</v>
      </c>
      <c r="BY1384" s="1" t="s">
        <v>215</v>
      </c>
      <c r="BZ1384" s="1" t="s">
        <v>206</v>
      </c>
      <c r="CA1384" s="1" t="s">
        <v>207</v>
      </c>
      <c r="CC1384" s="1" t="s">
        <v>269</v>
      </c>
      <c r="CD1384" s="1" t="s">
        <v>206</v>
      </c>
      <c r="CE1384" s="1" t="s">
        <v>207</v>
      </c>
      <c r="CG1384" s="1" t="s">
        <v>332</v>
      </c>
      <c r="CH1384" s="1" t="s">
        <v>206</v>
      </c>
      <c r="CI1384" s="1" t="s">
        <v>207</v>
      </c>
      <c r="CK1384" s="1" t="s">
        <v>212</v>
      </c>
      <c r="CL1384" s="1" t="s">
        <v>42</v>
      </c>
      <c r="CM1384" s="1" t="s">
        <v>210</v>
      </c>
      <c r="CO1384" s="1" t="s">
        <v>212</v>
      </c>
      <c r="CP1384" s="1" t="s">
        <v>42</v>
      </c>
      <c r="CQ1384" s="1" t="s">
        <v>210</v>
      </c>
      <c r="CS1384" s="1" t="s">
        <v>647</v>
      </c>
      <c r="CT1384" s="1" t="s">
        <v>206</v>
      </c>
      <c r="CW1384" s="1" t="s">
        <v>213</v>
      </c>
      <c r="CX1384" s="1" t="s">
        <v>42</v>
      </c>
      <c r="CY1384" s="1" t="s">
        <v>210</v>
      </c>
      <c r="DA1384" s="1" t="s">
        <v>200</v>
      </c>
      <c r="DC1384" s="1" t="s">
        <v>702</v>
      </c>
      <c r="DE1384" s="1" t="s">
        <v>273</v>
      </c>
      <c r="DF1384" s="1" t="s">
        <v>219</v>
      </c>
      <c r="DH1384" s="1" t="s">
        <v>220</v>
      </c>
      <c r="DI1384" s="1" t="s">
        <v>366</v>
      </c>
      <c r="DJ1384" s="1" t="s">
        <v>222</v>
      </c>
      <c r="DL1384" s="1" t="s">
        <v>224</v>
      </c>
      <c r="DM1384" s="1" t="s">
        <v>229</v>
      </c>
      <c r="DQ1384" s="1" t="s">
        <v>228</v>
      </c>
      <c r="DR1384" s="1" t="s">
        <v>229</v>
      </c>
      <c r="DS1384" s="1" t="s">
        <v>230</v>
      </c>
      <c r="DV1384" s="1" t="s">
        <v>232</v>
      </c>
      <c r="DW1384" s="1" t="s">
        <v>279</v>
      </c>
      <c r="DX1384" s="1" t="s">
        <v>234</v>
      </c>
      <c r="DY1384" s="1" t="s">
        <v>553</v>
      </c>
      <c r="EA1384" s="1" t="s">
        <v>683</v>
      </c>
      <c r="EC1384" s="1" t="s">
        <v>685</v>
      </c>
      <c r="EE1384" s="1" t="s">
        <v>493</v>
      </c>
      <c r="EM1384" s="1" t="s">
        <v>238</v>
      </c>
      <c r="EQ1384" s="1" t="s">
        <v>238</v>
      </c>
      <c r="EU1384" s="1" t="s">
        <v>238</v>
      </c>
      <c r="EY1384" s="1" t="s">
        <v>238</v>
      </c>
      <c r="FC1384" s="1" t="s">
        <v>238</v>
      </c>
      <c r="FF1384" s="1" t="s">
        <v>239</v>
      </c>
      <c r="FG1384" s="1" t="s">
        <v>192</v>
      </c>
      <c r="FH1384" s="1" t="s">
        <v>192</v>
      </c>
      <c r="FJ1384" s="1" t="s">
        <v>1280</v>
      </c>
      <c r="FK1384" s="1" t="s">
        <v>229</v>
      </c>
      <c r="FL1384" s="1" t="s">
        <v>649</v>
      </c>
      <c r="FM1384" s="1">
        <v>60296.0</v>
      </c>
      <c r="FN1384" s="1" t="s">
        <v>650</v>
      </c>
      <c r="FO1384" s="1" t="s">
        <v>651</v>
      </c>
      <c r="FP1384" s="1">
        <v>602837.0</v>
      </c>
      <c r="FQ1384" s="1" t="s">
        <v>652</v>
      </c>
      <c r="FR1384" s="1">
        <v>602442.0</v>
      </c>
      <c r="FU1384" s="1" t="s">
        <v>653</v>
      </c>
      <c r="FV1384" s="1" t="s">
        <v>200</v>
      </c>
      <c r="FW1384" s="1" t="s">
        <v>654</v>
      </c>
      <c r="FX1384" s="1" t="s">
        <v>655</v>
      </c>
      <c r="FZ1384" s="1" t="s">
        <v>229</v>
      </c>
      <c r="GA1384" s="1" t="s">
        <v>291</v>
      </c>
      <c r="GB1384" s="2">
        <v>42055.0</v>
      </c>
      <c r="GC1384" s="1" t="s">
        <v>723</v>
      </c>
    </row>
    <row r="1385">
      <c r="A1385" s="1">
        <v>125000.0</v>
      </c>
      <c r="B1385" s="1" t="s">
        <v>185</v>
      </c>
      <c r="C1385" s="1" t="str">
        <f>"08661215"</f>
        <v>08661215</v>
      </c>
      <c r="D1385" s="1" t="s">
        <v>186</v>
      </c>
      <c r="F1385" s="1" t="str">
        <f>"8066"</f>
        <v>8066</v>
      </c>
      <c r="G1385" s="2">
        <v>41821.0</v>
      </c>
      <c r="H1385" s="1">
        <v>141700.0</v>
      </c>
      <c r="I1385" s="1">
        <v>165.0</v>
      </c>
      <c r="J1385" s="1">
        <v>130000.0</v>
      </c>
      <c r="K1385" s="2">
        <v>41984.0</v>
      </c>
      <c r="L1385" s="1">
        <v>165.0</v>
      </c>
      <c r="M1385" s="2">
        <v>41984.0</v>
      </c>
      <c r="N1385" s="1" t="s">
        <v>356</v>
      </c>
      <c r="O1385" s="2">
        <v>42061.0</v>
      </c>
      <c r="P1385" s="1">
        <v>118410.0</v>
      </c>
      <c r="Q1385" s="1">
        <v>14442.0</v>
      </c>
      <c r="R1385" s="1">
        <v>4000.0</v>
      </c>
      <c r="S1385" s="1">
        <v>3440.0</v>
      </c>
      <c r="T1385" s="1" t="s">
        <v>11881</v>
      </c>
      <c r="U1385" s="1" t="s">
        <v>320</v>
      </c>
      <c r="V1385" s="1" t="s">
        <v>190</v>
      </c>
      <c r="W1385" s="1">
        <v>60629.0</v>
      </c>
      <c r="Y1385" s="1" t="s">
        <v>14373</v>
      </c>
      <c r="Z1385" s="1">
        <v>1950.0</v>
      </c>
      <c r="AA1385" s="1" t="s">
        <v>192</v>
      </c>
      <c r="AB1385" s="1" t="s">
        <v>193</v>
      </c>
      <c r="AD1385" s="1" t="s">
        <v>194</v>
      </c>
      <c r="AE1385" s="1" t="s">
        <v>195</v>
      </c>
      <c r="AF1385" s="1" t="s">
        <v>1154</v>
      </c>
      <c r="AH1385" s="1">
        <v>3750.0</v>
      </c>
      <c r="AK1385" s="1">
        <v>6.0</v>
      </c>
      <c r="AL1385" s="1">
        <v>4.0</v>
      </c>
      <c r="AM1385" s="1">
        <v>2.0</v>
      </c>
      <c r="AN1385" s="1">
        <v>1.0</v>
      </c>
      <c r="AO1385" s="1" t="s">
        <v>229</v>
      </c>
      <c r="AQ1385" s="1" t="s">
        <v>198</v>
      </c>
      <c r="AR1385" s="1" t="s">
        <v>192</v>
      </c>
      <c r="AS1385" s="1" t="s">
        <v>199</v>
      </c>
      <c r="AT1385" s="1">
        <v>2.0</v>
      </c>
      <c r="AV1385" s="1" t="s">
        <v>200</v>
      </c>
      <c r="AW1385" s="1">
        <v>1692.02</v>
      </c>
      <c r="AX1385" s="1">
        <v>2012.0</v>
      </c>
      <c r="AY1385" s="1" t="s">
        <v>387</v>
      </c>
      <c r="AZ1385" s="1" t="s">
        <v>200</v>
      </c>
      <c r="BA1385" s="1" t="str">
        <f>"19262030240000"</f>
        <v>19262030240000</v>
      </c>
      <c r="BC1385" s="1">
        <v>1000.0</v>
      </c>
      <c r="BD1385" s="1">
        <v>125000.0</v>
      </c>
      <c r="BE1385" s="2">
        <v>41820.0</v>
      </c>
      <c r="BF1385" s="1" t="s">
        <v>14374</v>
      </c>
      <c r="BH1385" s="1">
        <v>0.0</v>
      </c>
      <c r="BK1385" s="1" t="s">
        <v>204</v>
      </c>
      <c r="BL1385" s="1" t="str">
        <f t="shared" si="913"/>
        <v>0</v>
      </c>
      <c r="BM1385" s="1" t="str">
        <f>"0"</f>
        <v>0</v>
      </c>
      <c r="BN1385" s="1">
        <v>3440.0</v>
      </c>
      <c r="BO1385" s="1">
        <v>7200.0</v>
      </c>
      <c r="BQ1385" s="1">
        <v>299.0</v>
      </c>
      <c r="BR1385" s="1">
        <v>299.0</v>
      </c>
      <c r="BS1385" s="1">
        <v>299.0</v>
      </c>
      <c r="BU1385" s="1" t="s">
        <v>2082</v>
      </c>
      <c r="BV1385" s="1" t="s">
        <v>206</v>
      </c>
      <c r="BX1385" s="1" t="s">
        <v>229</v>
      </c>
      <c r="BY1385" s="1" t="s">
        <v>699</v>
      </c>
      <c r="BZ1385" s="1" t="s">
        <v>206</v>
      </c>
      <c r="CB1385" s="1" t="s">
        <v>229</v>
      </c>
      <c r="CD1385" s="1" t="s">
        <v>204</v>
      </c>
      <c r="CG1385" s="1" t="s">
        <v>663</v>
      </c>
      <c r="CH1385" s="1" t="s">
        <v>206</v>
      </c>
      <c r="CJ1385" s="1" t="s">
        <v>229</v>
      </c>
      <c r="CK1385" s="1" t="s">
        <v>699</v>
      </c>
      <c r="CL1385" s="1" t="s">
        <v>209</v>
      </c>
      <c r="CN1385" s="1" t="s">
        <v>229</v>
      </c>
      <c r="CO1385" s="1" t="s">
        <v>302</v>
      </c>
      <c r="CP1385" s="1" t="s">
        <v>209</v>
      </c>
      <c r="CR1385" s="1" t="s">
        <v>229</v>
      </c>
      <c r="CS1385" s="1" t="s">
        <v>1351</v>
      </c>
      <c r="CT1385" s="1" t="s">
        <v>206</v>
      </c>
      <c r="CV1385" s="1" t="s">
        <v>229</v>
      </c>
      <c r="CX1385" s="1" t="s">
        <v>204</v>
      </c>
      <c r="DA1385" s="1" t="s">
        <v>200</v>
      </c>
      <c r="DC1385" s="1" t="s">
        <v>702</v>
      </c>
      <c r="DE1385" s="1" t="s">
        <v>273</v>
      </c>
      <c r="DF1385" s="1" t="s">
        <v>219</v>
      </c>
      <c r="DH1385" s="1" t="s">
        <v>365</v>
      </c>
      <c r="DJ1385" s="1" t="s">
        <v>222</v>
      </c>
      <c r="DL1385" s="1" t="s">
        <v>224</v>
      </c>
      <c r="DM1385" s="1" t="s">
        <v>229</v>
      </c>
      <c r="DQ1385" s="1" t="s">
        <v>228</v>
      </c>
      <c r="DR1385" s="1" t="s">
        <v>229</v>
      </c>
      <c r="DV1385" s="1" t="s">
        <v>232</v>
      </c>
      <c r="DW1385" s="1" t="s">
        <v>279</v>
      </c>
      <c r="DX1385" s="1" t="s">
        <v>309</v>
      </c>
      <c r="EC1385" s="1" t="s">
        <v>685</v>
      </c>
      <c r="EM1385" s="1" t="s">
        <v>238</v>
      </c>
      <c r="EQ1385" s="1" t="s">
        <v>238</v>
      </c>
      <c r="EU1385" s="1" t="s">
        <v>238</v>
      </c>
      <c r="EY1385" s="1" t="s">
        <v>238</v>
      </c>
      <c r="FC1385" s="1" t="s">
        <v>238</v>
      </c>
      <c r="FF1385" s="1" t="s">
        <v>239</v>
      </c>
      <c r="FG1385" s="1" t="s">
        <v>192</v>
      </c>
      <c r="FH1385" s="1" t="s">
        <v>192</v>
      </c>
      <c r="FJ1385" s="1" t="s">
        <v>347</v>
      </c>
      <c r="FK1385" s="1" t="s">
        <v>229</v>
      </c>
      <c r="FL1385" s="1" t="s">
        <v>1625</v>
      </c>
      <c r="FM1385" s="1">
        <v>16416.0</v>
      </c>
      <c r="FN1385" s="1" t="s">
        <v>1626</v>
      </c>
      <c r="FO1385" s="1" t="s">
        <v>11548</v>
      </c>
      <c r="FP1385" s="1">
        <v>150202.0</v>
      </c>
      <c r="FQ1385" s="1" t="s">
        <v>1626</v>
      </c>
      <c r="FR1385" s="1">
        <v>143061.0</v>
      </c>
      <c r="FU1385" s="1" t="s">
        <v>1628</v>
      </c>
      <c r="FV1385" s="1" t="s">
        <v>200</v>
      </c>
      <c r="FW1385" s="1" t="s">
        <v>1307</v>
      </c>
      <c r="FX1385" s="1" t="s">
        <v>246</v>
      </c>
      <c r="FZ1385" s="1" t="s">
        <v>229</v>
      </c>
      <c r="GA1385" s="1" t="s">
        <v>291</v>
      </c>
      <c r="GB1385" s="2">
        <v>42065.0</v>
      </c>
      <c r="GC1385" s="1" t="s">
        <v>14375</v>
      </c>
    </row>
    <row r="1386">
      <c r="A1386" s="1">
        <v>144900.0</v>
      </c>
      <c r="B1386" s="1" t="s">
        <v>185</v>
      </c>
      <c r="C1386" s="1" t="str">
        <f>"08662454"</f>
        <v>08662454</v>
      </c>
      <c r="D1386" s="1" t="s">
        <v>186</v>
      </c>
      <c r="F1386" s="1" t="str">
        <f>"560"</f>
        <v>560</v>
      </c>
      <c r="G1386" s="2">
        <v>41822.0</v>
      </c>
      <c r="H1386" s="1">
        <v>201900.0</v>
      </c>
      <c r="I1386" s="1">
        <v>136.0</v>
      </c>
      <c r="J1386" s="1">
        <v>149900.0</v>
      </c>
      <c r="K1386" s="2">
        <v>41956.0</v>
      </c>
      <c r="L1386" s="1">
        <v>136.0</v>
      </c>
      <c r="M1386" s="2">
        <v>41956.0</v>
      </c>
      <c r="N1386" s="1" t="s">
        <v>356</v>
      </c>
      <c r="O1386" s="2">
        <v>41992.0</v>
      </c>
      <c r="P1386" s="1">
        <v>233301.0</v>
      </c>
      <c r="Q1386" s="1">
        <v>23384.0</v>
      </c>
      <c r="R1386" s="1">
        <v>3000.0</v>
      </c>
      <c r="S1386" s="1">
        <v>304.0</v>
      </c>
      <c r="T1386" s="1" t="s">
        <v>14376</v>
      </c>
      <c r="U1386" s="1" t="s">
        <v>569</v>
      </c>
      <c r="V1386" s="1" t="s">
        <v>845</v>
      </c>
      <c r="W1386" s="1">
        <v>60560.0</v>
      </c>
      <c r="Y1386" s="1" t="s">
        <v>14377</v>
      </c>
      <c r="Z1386" s="1">
        <v>1966.0</v>
      </c>
      <c r="AA1386" s="1" t="s">
        <v>192</v>
      </c>
      <c r="AB1386" s="1" t="s">
        <v>193</v>
      </c>
      <c r="AC1386" s="1" t="s">
        <v>14378</v>
      </c>
      <c r="AD1386" s="1" t="s">
        <v>848</v>
      </c>
      <c r="AE1386" s="1" t="s">
        <v>849</v>
      </c>
      <c r="AF1386" s="1" t="s">
        <v>1312</v>
      </c>
      <c r="AG1386" s="1" t="s">
        <v>874</v>
      </c>
      <c r="AH1386" s="1" t="s">
        <v>14379</v>
      </c>
      <c r="AI1386" s="1">
        <v>0.3556</v>
      </c>
      <c r="AK1386" s="1">
        <v>8.0</v>
      </c>
      <c r="AL1386" s="1">
        <v>4.0</v>
      </c>
      <c r="AM1386" s="1">
        <v>2.0</v>
      </c>
      <c r="AN1386" s="1">
        <v>0.0</v>
      </c>
      <c r="AO1386" s="1" t="s">
        <v>198</v>
      </c>
      <c r="AP1386" s="1">
        <v>1.0</v>
      </c>
      <c r="AQ1386" s="1" t="s">
        <v>229</v>
      </c>
      <c r="AR1386" s="1" t="s">
        <v>200</v>
      </c>
      <c r="AS1386" s="1" t="s">
        <v>199</v>
      </c>
      <c r="AT1386" s="1">
        <v>2.0</v>
      </c>
      <c r="AV1386" s="1" t="s">
        <v>200</v>
      </c>
      <c r="AW1386" s="1">
        <v>4734.98</v>
      </c>
      <c r="AX1386" s="1">
        <v>2013.0</v>
      </c>
      <c r="AY1386" s="1" t="s">
        <v>229</v>
      </c>
      <c r="AZ1386" s="1" t="s">
        <v>545</v>
      </c>
      <c r="BA1386" s="1" t="str">
        <f>"0229279001"</f>
        <v>0229279001</v>
      </c>
      <c r="BC1386" s="1">
        <v>1446.0</v>
      </c>
      <c r="BD1386" s="1">
        <v>144900.0</v>
      </c>
      <c r="BE1386" s="2">
        <v>41821.0</v>
      </c>
      <c r="BF1386" s="2" t="s">
        <v>14380</v>
      </c>
      <c r="BH1386" s="1">
        <v>0.0</v>
      </c>
      <c r="BK1386" s="1" t="s">
        <v>204</v>
      </c>
      <c r="BL1386" s="1" t="str">
        <f t="shared" ref="BL1386:BM1386" si="914">""</f>
        <v/>
      </c>
      <c r="BM1386" s="1" t="str">
        <f t="shared" si="914"/>
        <v/>
      </c>
      <c r="BQ1386" s="1">
        <v>115.0</v>
      </c>
      <c r="BR1386" s="1">
        <v>115.0</v>
      </c>
      <c r="BS1386" s="1">
        <v>115.0</v>
      </c>
      <c r="BU1386" s="1" t="s">
        <v>432</v>
      </c>
      <c r="BV1386" s="1" t="s">
        <v>206</v>
      </c>
      <c r="BW1386" s="1" t="s">
        <v>207</v>
      </c>
      <c r="BY1386" s="1" t="s">
        <v>584</v>
      </c>
      <c r="BZ1386" s="1" t="s">
        <v>206</v>
      </c>
      <c r="CA1386" s="1" t="s">
        <v>210</v>
      </c>
      <c r="CD1386" s="1" t="s">
        <v>204</v>
      </c>
      <c r="CG1386" s="1" t="s">
        <v>699</v>
      </c>
      <c r="CH1386" s="1" t="s">
        <v>206</v>
      </c>
      <c r="CI1386" s="1" t="s">
        <v>207</v>
      </c>
      <c r="CK1386" s="1" t="s">
        <v>331</v>
      </c>
      <c r="CL1386" s="1" t="s">
        <v>206</v>
      </c>
      <c r="CM1386" s="1" t="s">
        <v>207</v>
      </c>
      <c r="CO1386" s="1" t="s">
        <v>212</v>
      </c>
      <c r="CP1386" s="1" t="s">
        <v>206</v>
      </c>
      <c r="CQ1386" s="1" t="s">
        <v>207</v>
      </c>
      <c r="CS1386" s="1" t="s">
        <v>264</v>
      </c>
      <c r="CT1386" s="1" t="s">
        <v>206</v>
      </c>
      <c r="CU1386" s="1" t="s">
        <v>268</v>
      </c>
      <c r="CX1386" s="1" t="s">
        <v>204</v>
      </c>
      <c r="DA1386" s="1" t="s">
        <v>200</v>
      </c>
      <c r="DC1386" s="1" t="s">
        <v>517</v>
      </c>
      <c r="DE1386" s="1" t="s">
        <v>229</v>
      </c>
      <c r="DF1386" s="1" t="s">
        <v>372</v>
      </c>
      <c r="DH1386" s="1" t="s">
        <v>220</v>
      </c>
      <c r="DJ1386" s="1" t="s">
        <v>222</v>
      </c>
      <c r="DL1386" s="1" t="s">
        <v>1853</v>
      </c>
      <c r="DM1386" s="1" t="s">
        <v>229</v>
      </c>
      <c r="DO1386" s="1" t="s">
        <v>549</v>
      </c>
      <c r="DQ1386" s="1" t="s">
        <v>441</v>
      </c>
      <c r="DR1386" s="1" t="s">
        <v>229</v>
      </c>
      <c r="DV1386" s="1" t="s">
        <v>12711</v>
      </c>
      <c r="DW1386" s="1" t="s">
        <v>279</v>
      </c>
      <c r="DX1386" s="1" t="s">
        <v>234</v>
      </c>
      <c r="DY1386" s="1" t="s">
        <v>3183</v>
      </c>
      <c r="DZ1386" s="1" t="s">
        <v>446</v>
      </c>
      <c r="EA1386" s="1" t="s">
        <v>683</v>
      </c>
      <c r="EB1386" s="1" t="s">
        <v>863</v>
      </c>
      <c r="EC1386" s="1" t="s">
        <v>685</v>
      </c>
      <c r="EG1386" s="1" t="s">
        <v>1491</v>
      </c>
      <c r="EH1386" s="1" t="s">
        <v>449</v>
      </c>
      <c r="EL1386" s="1" t="s">
        <v>1245</v>
      </c>
      <c r="EM1386" s="1" t="s">
        <v>206</v>
      </c>
      <c r="EN1386" s="1" t="s">
        <v>268</v>
      </c>
      <c r="EP1386" s="1" t="s">
        <v>699</v>
      </c>
      <c r="EQ1386" s="1" t="s">
        <v>206</v>
      </c>
      <c r="ER1386" s="1" t="s">
        <v>268</v>
      </c>
      <c r="EU1386" s="1" t="s">
        <v>238</v>
      </c>
      <c r="EY1386" s="1" t="s">
        <v>238</v>
      </c>
      <c r="FC1386" s="1" t="s">
        <v>238</v>
      </c>
      <c r="FF1386" s="1" t="s">
        <v>239</v>
      </c>
      <c r="FG1386" s="1" t="s">
        <v>192</v>
      </c>
      <c r="FH1386" s="1" t="s">
        <v>192</v>
      </c>
      <c r="FJ1386" s="1" t="s">
        <v>1248</v>
      </c>
      <c r="FK1386" s="1" t="s">
        <v>229</v>
      </c>
      <c r="FL1386" s="1" t="s">
        <v>2184</v>
      </c>
      <c r="FM1386" s="1">
        <v>605.0</v>
      </c>
      <c r="FN1386" s="1" t="s">
        <v>2185</v>
      </c>
      <c r="FO1386" s="1" t="s">
        <v>1738</v>
      </c>
      <c r="FP1386" s="1">
        <v>170.0</v>
      </c>
      <c r="FQ1386" s="1" t="s">
        <v>2185</v>
      </c>
      <c r="FR1386" s="1">
        <v>40.0</v>
      </c>
      <c r="FU1386" s="1" t="s">
        <v>14381</v>
      </c>
      <c r="FV1386" s="1" t="s">
        <v>200</v>
      </c>
      <c r="FW1386" s="1" t="s">
        <v>354</v>
      </c>
      <c r="FZ1386" s="1" t="s">
        <v>229</v>
      </c>
      <c r="GA1386" s="1" t="s">
        <v>291</v>
      </c>
      <c r="GB1386" s="2">
        <v>41992.0</v>
      </c>
      <c r="GC1386" s="1" t="s">
        <v>14382</v>
      </c>
    </row>
    <row r="1387">
      <c r="A1387" s="1">
        <v>225000.0</v>
      </c>
      <c r="B1387" s="1" t="s">
        <v>185</v>
      </c>
      <c r="C1387" s="1" t="str">
        <f>"08662017"</f>
        <v>08662017</v>
      </c>
      <c r="D1387" s="1" t="s">
        <v>186</v>
      </c>
      <c r="F1387" s="1" t="str">
        <f>"174"</f>
        <v>174</v>
      </c>
      <c r="G1387" s="2">
        <v>41822.0</v>
      </c>
      <c r="H1387" s="1">
        <v>269898.0</v>
      </c>
      <c r="I1387" s="1">
        <v>191.0</v>
      </c>
      <c r="J1387" s="1">
        <v>235000.0</v>
      </c>
      <c r="K1387" s="2">
        <v>42011.0</v>
      </c>
      <c r="L1387" s="1">
        <v>191.0</v>
      </c>
      <c r="M1387" s="2">
        <v>42011.0</v>
      </c>
      <c r="N1387" s="1" t="s">
        <v>356</v>
      </c>
      <c r="O1387" s="2">
        <v>42061.0</v>
      </c>
      <c r="P1387" s="1">
        <v>89945.0</v>
      </c>
      <c r="Q1387" s="1">
        <v>8089.0</v>
      </c>
      <c r="S1387" s="1">
        <v>1042.0</v>
      </c>
      <c r="T1387" s="1" t="s">
        <v>14383</v>
      </c>
      <c r="U1387" s="1" t="s">
        <v>189</v>
      </c>
      <c r="V1387" s="1" t="s">
        <v>1200</v>
      </c>
      <c r="W1387" s="1">
        <v>60174.0</v>
      </c>
      <c r="Y1387" s="1" t="s">
        <v>14384</v>
      </c>
      <c r="Z1387" s="1">
        <v>1924.0</v>
      </c>
      <c r="AA1387" s="1" t="s">
        <v>192</v>
      </c>
      <c r="AB1387" s="1" t="s">
        <v>193</v>
      </c>
      <c r="AD1387" s="1" t="s">
        <v>1203</v>
      </c>
      <c r="AE1387" s="1" t="s">
        <v>325</v>
      </c>
      <c r="AF1387" s="1" t="s">
        <v>1203</v>
      </c>
      <c r="AG1387" s="1" t="s">
        <v>778</v>
      </c>
      <c r="AH1387" s="1" t="s">
        <v>14385</v>
      </c>
      <c r="AI1387" s="1">
        <v>0.0</v>
      </c>
      <c r="AK1387" s="1">
        <v>12.0</v>
      </c>
      <c r="AL1387" s="1">
        <v>4.0</v>
      </c>
      <c r="AM1387" s="1">
        <v>3.0</v>
      </c>
      <c r="AN1387" s="1">
        <v>0.0</v>
      </c>
      <c r="AO1387" s="1" t="s">
        <v>229</v>
      </c>
      <c r="AP1387" s="1">
        <v>1.0</v>
      </c>
      <c r="AQ1387" s="1" t="s">
        <v>198</v>
      </c>
      <c r="AR1387" s="1" t="s">
        <v>192</v>
      </c>
      <c r="AS1387" s="1" t="s">
        <v>199</v>
      </c>
      <c r="AT1387" s="1">
        <v>2.0</v>
      </c>
      <c r="AV1387" s="1" t="s">
        <v>200</v>
      </c>
      <c r="AW1387" s="1">
        <v>7783.0</v>
      </c>
      <c r="AX1387" s="1">
        <v>2013.0</v>
      </c>
      <c r="AY1387" s="1" t="s">
        <v>387</v>
      </c>
      <c r="AZ1387" s="1" t="s">
        <v>200</v>
      </c>
      <c r="BA1387" s="1" t="str">
        <f>"0927204002"</f>
        <v>0927204002</v>
      </c>
      <c r="BC1387" s="1">
        <v>0.0</v>
      </c>
      <c r="BD1387" s="1">
        <v>225000.0</v>
      </c>
      <c r="BE1387" s="2">
        <v>41821.0</v>
      </c>
      <c r="BF1387" s="2" t="s">
        <v>14386</v>
      </c>
      <c r="BG1387" s="1" t="s">
        <v>2142</v>
      </c>
      <c r="BH1387" s="1">
        <v>0.0</v>
      </c>
      <c r="BI1387" s="1" t="s">
        <v>2143</v>
      </c>
      <c r="BJ1387" s="1" t="s">
        <v>2144</v>
      </c>
      <c r="BK1387" s="1" t="s">
        <v>204</v>
      </c>
      <c r="BL1387" s="1" t="str">
        <f>"3"</f>
        <v>3</v>
      </c>
      <c r="BM1387" s="1" t="str">
        <f t="shared" ref="BM1387:BM1389" si="915">"0"</f>
        <v>0</v>
      </c>
      <c r="BN1387" s="1">
        <v>35.0</v>
      </c>
      <c r="BO1387" s="1">
        <v>0.0</v>
      </c>
      <c r="BQ1387" s="1">
        <v>303.0</v>
      </c>
      <c r="BR1387" s="1">
        <v>303.0</v>
      </c>
      <c r="BS1387" s="1">
        <v>303.0</v>
      </c>
      <c r="BU1387" s="1" t="s">
        <v>758</v>
      </c>
      <c r="BV1387" s="1" t="s">
        <v>206</v>
      </c>
      <c r="BW1387" s="1" t="s">
        <v>207</v>
      </c>
      <c r="BY1387" s="1" t="s">
        <v>212</v>
      </c>
      <c r="BZ1387" s="1" t="s">
        <v>206</v>
      </c>
      <c r="CA1387" s="1" t="s">
        <v>207</v>
      </c>
      <c r="CC1387" s="1" t="s">
        <v>332</v>
      </c>
      <c r="CD1387" s="1" t="s">
        <v>206</v>
      </c>
      <c r="CE1387" s="1" t="s">
        <v>207</v>
      </c>
      <c r="CG1387" s="1" t="s">
        <v>699</v>
      </c>
      <c r="CH1387" s="1" t="s">
        <v>206</v>
      </c>
      <c r="CI1387" s="1" t="s">
        <v>207</v>
      </c>
      <c r="CK1387" s="1" t="s">
        <v>730</v>
      </c>
      <c r="CL1387" s="1" t="s">
        <v>209</v>
      </c>
      <c r="CM1387" s="1" t="s">
        <v>210</v>
      </c>
      <c r="CO1387" s="1" t="s">
        <v>647</v>
      </c>
      <c r="CP1387" s="1" t="s">
        <v>209</v>
      </c>
      <c r="CQ1387" s="1" t="s">
        <v>210</v>
      </c>
      <c r="CS1387" s="1" t="s">
        <v>212</v>
      </c>
      <c r="CT1387" s="1" t="s">
        <v>206</v>
      </c>
      <c r="CU1387" s="1" t="s">
        <v>268</v>
      </c>
      <c r="CW1387" s="1" t="s">
        <v>3375</v>
      </c>
      <c r="CX1387" s="1" t="s">
        <v>1697</v>
      </c>
      <c r="CY1387" s="1" t="s">
        <v>210</v>
      </c>
      <c r="DA1387" s="1" t="s">
        <v>200</v>
      </c>
      <c r="DC1387" s="1" t="s">
        <v>216</v>
      </c>
      <c r="DD1387" s="1" t="s">
        <v>855</v>
      </c>
      <c r="DE1387" s="1" t="s">
        <v>273</v>
      </c>
      <c r="DF1387" s="1" t="s">
        <v>219</v>
      </c>
      <c r="DG1387" s="1" t="s">
        <v>482</v>
      </c>
      <c r="DH1387" s="1" t="s">
        <v>220</v>
      </c>
      <c r="DI1387" s="1" t="s">
        <v>519</v>
      </c>
      <c r="DJ1387" s="1" t="s">
        <v>222</v>
      </c>
      <c r="DK1387" s="1" t="s">
        <v>2506</v>
      </c>
      <c r="DL1387" s="1" t="s">
        <v>1161</v>
      </c>
      <c r="DM1387" s="1" t="s">
        <v>229</v>
      </c>
      <c r="DN1387" s="1" t="s">
        <v>339</v>
      </c>
      <c r="DP1387" s="1" t="s">
        <v>340</v>
      </c>
      <c r="DQ1387" s="1" t="s">
        <v>228</v>
      </c>
      <c r="DR1387" s="1" t="s">
        <v>229</v>
      </c>
      <c r="DS1387" s="1" t="s">
        <v>401</v>
      </c>
      <c r="DU1387" s="1" t="s">
        <v>1049</v>
      </c>
      <c r="DV1387" s="1" t="s">
        <v>14387</v>
      </c>
      <c r="DW1387" s="1" t="s">
        <v>279</v>
      </c>
      <c r="DX1387" s="1" t="s">
        <v>234</v>
      </c>
      <c r="DY1387" s="1" t="s">
        <v>14388</v>
      </c>
      <c r="DZ1387" s="1" t="s">
        <v>14389</v>
      </c>
      <c r="EA1387" s="1" t="s">
        <v>644</v>
      </c>
      <c r="EB1387" s="1" t="s">
        <v>345</v>
      </c>
      <c r="EC1387" s="1" t="s">
        <v>645</v>
      </c>
      <c r="EG1387" s="1" t="s">
        <v>557</v>
      </c>
      <c r="EH1387" s="1" t="s">
        <v>374</v>
      </c>
      <c r="EI1387" s="1" t="s">
        <v>1467</v>
      </c>
      <c r="EJ1387" s="1" t="s">
        <v>341</v>
      </c>
      <c r="EK1387" s="1" t="s">
        <v>598</v>
      </c>
      <c r="EL1387" s="1" t="s">
        <v>262</v>
      </c>
      <c r="EM1387" s="1" t="s">
        <v>209</v>
      </c>
      <c r="EN1387" s="1" t="s">
        <v>210</v>
      </c>
      <c r="EP1387" s="1" t="s">
        <v>495</v>
      </c>
      <c r="EQ1387" s="1" t="s">
        <v>206</v>
      </c>
      <c r="ER1387" s="1" t="s">
        <v>268</v>
      </c>
      <c r="ET1387" s="1" t="s">
        <v>2902</v>
      </c>
      <c r="EU1387" s="1" t="s">
        <v>267</v>
      </c>
      <c r="EV1387" s="1" t="s">
        <v>210</v>
      </c>
      <c r="EX1387" s="1" t="s">
        <v>264</v>
      </c>
      <c r="EY1387" s="1" t="s">
        <v>209</v>
      </c>
      <c r="FB1387" s="1" t="s">
        <v>623</v>
      </c>
      <c r="FC1387" s="1" t="s">
        <v>267</v>
      </c>
      <c r="FD1387" s="1" t="s">
        <v>210</v>
      </c>
      <c r="FF1387" s="1" t="s">
        <v>239</v>
      </c>
      <c r="FG1387" s="1" t="s">
        <v>192</v>
      </c>
      <c r="FH1387" s="1" t="s">
        <v>192</v>
      </c>
      <c r="FJ1387" s="1" t="s">
        <v>1450</v>
      </c>
      <c r="FK1387" s="1" t="s">
        <v>229</v>
      </c>
      <c r="FL1387" s="1" t="s">
        <v>14390</v>
      </c>
      <c r="FM1387" s="1">
        <v>1109.0</v>
      </c>
      <c r="FN1387" s="1" t="s">
        <v>14391</v>
      </c>
      <c r="FO1387" s="1" t="s">
        <v>14392</v>
      </c>
      <c r="FP1387" s="1">
        <v>84427.0</v>
      </c>
      <c r="FQ1387" s="1" t="s">
        <v>14393</v>
      </c>
      <c r="FU1387" s="1" t="s">
        <v>14394</v>
      </c>
      <c r="FV1387" s="1" t="s">
        <v>200</v>
      </c>
      <c r="FW1387" s="1" t="s">
        <v>290</v>
      </c>
      <c r="FX1387" s="1" t="s">
        <v>238</v>
      </c>
      <c r="FZ1387" s="1" t="s">
        <v>229</v>
      </c>
      <c r="GA1387" s="1" t="s">
        <v>291</v>
      </c>
      <c r="GB1387" s="2">
        <v>42061.0</v>
      </c>
    </row>
    <row r="1388">
      <c r="A1388" s="1">
        <v>260000.0</v>
      </c>
      <c r="B1388" s="1" t="s">
        <v>185</v>
      </c>
      <c r="C1388" s="1" t="str">
        <f>"08664422"</f>
        <v>08664422</v>
      </c>
      <c r="D1388" s="1" t="s">
        <v>186</v>
      </c>
      <c r="F1388" s="1" t="str">
        <f>"134"</f>
        <v>134</v>
      </c>
      <c r="G1388" s="2">
        <v>41827.0</v>
      </c>
      <c r="H1388" s="1">
        <v>285000.0</v>
      </c>
      <c r="I1388" s="1">
        <v>99.0</v>
      </c>
      <c r="J1388" s="1">
        <v>264900.0</v>
      </c>
      <c r="K1388" s="2">
        <v>41925.0</v>
      </c>
      <c r="L1388" s="1">
        <v>99.0</v>
      </c>
      <c r="M1388" s="2">
        <v>41925.0</v>
      </c>
      <c r="N1388" s="1" t="s">
        <v>187</v>
      </c>
      <c r="O1388" s="2">
        <v>41978.0</v>
      </c>
      <c r="P1388" s="1">
        <v>1988.0</v>
      </c>
      <c r="Q1388" s="1">
        <v>41.0</v>
      </c>
      <c r="S1388" s="1">
        <v>860.0</v>
      </c>
      <c r="T1388" s="1" t="s">
        <v>14395</v>
      </c>
      <c r="U1388" s="1" t="s">
        <v>189</v>
      </c>
      <c r="V1388" s="1" t="s">
        <v>421</v>
      </c>
      <c r="W1388" s="1">
        <v>60134.0</v>
      </c>
      <c r="Y1388" s="1" t="s">
        <v>14396</v>
      </c>
      <c r="Z1388" s="1">
        <v>1994.0</v>
      </c>
      <c r="AA1388" s="1" t="s">
        <v>200</v>
      </c>
      <c r="AB1388" s="1" t="s">
        <v>467</v>
      </c>
      <c r="AC1388" s="1" t="s">
        <v>14397</v>
      </c>
      <c r="AD1388" s="1" t="s">
        <v>424</v>
      </c>
      <c r="AE1388" s="1" t="s">
        <v>325</v>
      </c>
      <c r="AF1388" s="1" t="s">
        <v>424</v>
      </c>
      <c r="AH1388" s="1" t="s">
        <v>14398</v>
      </c>
      <c r="AI1388" s="1">
        <v>0.0</v>
      </c>
      <c r="AK1388" s="1">
        <v>9.0</v>
      </c>
      <c r="AL1388" s="1">
        <v>4.0</v>
      </c>
      <c r="AM1388" s="1">
        <v>3.0</v>
      </c>
      <c r="AN1388" s="1">
        <v>1.0</v>
      </c>
      <c r="AO1388" s="1" t="s">
        <v>198</v>
      </c>
      <c r="AP1388" s="1">
        <v>1.0</v>
      </c>
      <c r="AQ1388" s="1" t="s">
        <v>327</v>
      </c>
      <c r="AR1388" s="1" t="s">
        <v>192</v>
      </c>
      <c r="AS1388" s="1" t="s">
        <v>199</v>
      </c>
      <c r="AT1388" s="1">
        <v>2.0</v>
      </c>
      <c r="AV1388" s="1" t="s">
        <v>200</v>
      </c>
      <c r="AW1388" s="1">
        <v>7433.98</v>
      </c>
      <c r="AX1388" s="1">
        <v>2013.0</v>
      </c>
      <c r="AY1388" s="1" t="s">
        <v>387</v>
      </c>
      <c r="AZ1388" s="1" t="s">
        <v>200</v>
      </c>
      <c r="BA1388" s="1" t="str">
        <f>"1201101033"</f>
        <v>1201101033</v>
      </c>
      <c r="BB1388" s="1" t="s">
        <v>200</v>
      </c>
      <c r="BC1388" s="1">
        <v>1879.0</v>
      </c>
      <c r="BD1388" s="1">
        <v>260000.0</v>
      </c>
      <c r="BE1388" s="2">
        <v>41827.0</v>
      </c>
      <c r="BF1388" s="2" t="s">
        <v>14399</v>
      </c>
      <c r="BG1388" s="1" t="s">
        <v>13488</v>
      </c>
      <c r="BH1388" s="1">
        <v>0.0</v>
      </c>
      <c r="BI1388" s="1" t="s">
        <v>429</v>
      </c>
      <c r="BJ1388" s="1" t="s">
        <v>430</v>
      </c>
      <c r="BK1388" s="1" t="s">
        <v>204</v>
      </c>
      <c r="BL1388" s="1" t="str">
        <f>"1"</f>
        <v>1</v>
      </c>
      <c r="BM1388" s="1" t="str">
        <f t="shared" si="915"/>
        <v>0</v>
      </c>
      <c r="BN1388" s="1">
        <v>34.0</v>
      </c>
      <c r="BO1388" s="1">
        <v>0.0</v>
      </c>
      <c r="BQ1388" s="1">
        <v>304.0</v>
      </c>
      <c r="BR1388" s="1">
        <v>304.0</v>
      </c>
      <c r="BS1388" s="1">
        <v>304.0</v>
      </c>
      <c r="BU1388" s="1" t="s">
        <v>758</v>
      </c>
      <c r="BV1388" s="1" t="s">
        <v>206</v>
      </c>
      <c r="BW1388" s="1" t="s">
        <v>207</v>
      </c>
      <c r="BY1388" s="1" t="s">
        <v>334</v>
      </c>
      <c r="BZ1388" s="1" t="s">
        <v>209</v>
      </c>
      <c r="CA1388" s="1" t="s">
        <v>301</v>
      </c>
      <c r="CB1388" s="1" t="s">
        <v>229</v>
      </c>
      <c r="CC1388" s="1" t="s">
        <v>497</v>
      </c>
      <c r="CD1388" s="1" t="s">
        <v>206</v>
      </c>
      <c r="CE1388" s="1" t="s">
        <v>207</v>
      </c>
      <c r="CG1388" s="1" t="s">
        <v>303</v>
      </c>
      <c r="CH1388" s="1" t="s">
        <v>209</v>
      </c>
      <c r="CI1388" s="1" t="s">
        <v>301</v>
      </c>
      <c r="CK1388" s="1" t="s">
        <v>269</v>
      </c>
      <c r="CL1388" s="1" t="s">
        <v>209</v>
      </c>
      <c r="CM1388" s="1" t="s">
        <v>301</v>
      </c>
      <c r="CO1388" s="1" t="s">
        <v>543</v>
      </c>
      <c r="CP1388" s="1" t="s">
        <v>1697</v>
      </c>
      <c r="CQ1388" s="1" t="s">
        <v>301</v>
      </c>
      <c r="CS1388" s="1" t="s">
        <v>497</v>
      </c>
      <c r="CT1388" s="1" t="s">
        <v>206</v>
      </c>
      <c r="CU1388" s="1" t="s">
        <v>207</v>
      </c>
      <c r="CW1388" s="1" t="s">
        <v>3539</v>
      </c>
      <c r="CX1388" s="1" t="s">
        <v>1697</v>
      </c>
      <c r="CY1388" s="1" t="s">
        <v>210</v>
      </c>
      <c r="DA1388" s="1" t="s">
        <v>200</v>
      </c>
      <c r="DC1388" s="1" t="s">
        <v>678</v>
      </c>
      <c r="DD1388" s="1" t="s">
        <v>518</v>
      </c>
      <c r="DE1388" s="1" t="s">
        <v>273</v>
      </c>
      <c r="DF1388" s="1" t="s">
        <v>219</v>
      </c>
      <c r="DG1388" s="1" t="s">
        <v>482</v>
      </c>
      <c r="DH1388" s="1" t="s">
        <v>220</v>
      </c>
      <c r="DJ1388" s="1" t="s">
        <v>222</v>
      </c>
      <c r="DL1388" s="1" t="s">
        <v>224</v>
      </c>
      <c r="DM1388" s="1" t="s">
        <v>338</v>
      </c>
      <c r="DN1388" s="1" t="s">
        <v>367</v>
      </c>
      <c r="DP1388" s="1" t="s">
        <v>276</v>
      </c>
      <c r="DQ1388" s="1" t="s">
        <v>228</v>
      </c>
      <c r="DR1388" s="1" t="s">
        <v>229</v>
      </c>
      <c r="DV1388" s="1" t="s">
        <v>449</v>
      </c>
      <c r="DW1388" s="1" t="s">
        <v>233</v>
      </c>
      <c r="DX1388" s="1" t="s">
        <v>234</v>
      </c>
      <c r="DY1388" s="1" t="s">
        <v>14400</v>
      </c>
      <c r="EA1388" s="1" t="s">
        <v>344</v>
      </c>
      <c r="EC1388" s="1" t="s">
        <v>237</v>
      </c>
      <c r="ED1388" s="1" t="s">
        <v>555</v>
      </c>
      <c r="EE1388" s="1" t="s">
        <v>522</v>
      </c>
      <c r="EG1388" s="1" t="s">
        <v>449</v>
      </c>
      <c r="EL1388" s="1" t="s">
        <v>495</v>
      </c>
      <c r="EM1388" s="1" t="s">
        <v>206</v>
      </c>
      <c r="EN1388" s="1" t="s">
        <v>207</v>
      </c>
      <c r="EQ1388" s="1" t="s">
        <v>238</v>
      </c>
      <c r="EU1388" s="1" t="s">
        <v>238</v>
      </c>
      <c r="EY1388" s="1" t="s">
        <v>238</v>
      </c>
      <c r="FC1388" s="1" t="s">
        <v>238</v>
      </c>
      <c r="FF1388" s="1" t="s">
        <v>239</v>
      </c>
      <c r="FG1388" s="1" t="s">
        <v>192</v>
      </c>
      <c r="FH1388" s="1" t="s">
        <v>192</v>
      </c>
      <c r="FJ1388" s="1" t="s">
        <v>285</v>
      </c>
      <c r="FK1388" s="1" t="s">
        <v>229</v>
      </c>
      <c r="FL1388" s="1" t="s">
        <v>456</v>
      </c>
      <c r="FM1388" s="1">
        <v>49.0</v>
      </c>
      <c r="FN1388" s="1" t="s">
        <v>457</v>
      </c>
      <c r="FO1388" s="1" t="s">
        <v>14401</v>
      </c>
      <c r="FP1388" s="1">
        <v>902.0</v>
      </c>
      <c r="FQ1388" s="1" t="s">
        <v>14402</v>
      </c>
      <c r="FR1388" s="1">
        <v>432.0</v>
      </c>
      <c r="FS1388" s="1" t="s">
        <v>14403</v>
      </c>
      <c r="FU1388" s="1" t="s">
        <v>4517</v>
      </c>
      <c r="FV1388" s="1" t="s">
        <v>200</v>
      </c>
      <c r="FW1388" s="1" t="s">
        <v>290</v>
      </c>
      <c r="FZ1388" s="1" t="s">
        <v>229</v>
      </c>
      <c r="GA1388" s="1" t="s">
        <v>291</v>
      </c>
      <c r="GB1388" s="2">
        <v>41978.0</v>
      </c>
      <c r="GC1388" s="1" t="s">
        <v>14404</v>
      </c>
    </row>
    <row r="1389">
      <c r="A1389" s="1">
        <v>257000.0</v>
      </c>
      <c r="B1389" s="1" t="s">
        <v>185</v>
      </c>
      <c r="C1389" s="1" t="str">
        <f>"08662918"</f>
        <v>08662918</v>
      </c>
      <c r="D1389" s="1" t="s">
        <v>186</v>
      </c>
      <c r="F1389" s="1" t="str">
        <f>"178"</f>
        <v>178</v>
      </c>
      <c r="G1389" s="2">
        <v>41823.0</v>
      </c>
      <c r="H1389" s="1">
        <v>310000.0</v>
      </c>
      <c r="I1389" s="1">
        <v>168.0</v>
      </c>
      <c r="J1389" s="1">
        <v>269900.0</v>
      </c>
      <c r="K1389" s="2">
        <v>41990.0</v>
      </c>
      <c r="L1389" s="1">
        <v>168.0</v>
      </c>
      <c r="M1389" s="2">
        <v>41990.0</v>
      </c>
      <c r="N1389" s="1" t="s">
        <v>187</v>
      </c>
      <c r="O1389" s="2">
        <v>42026.0</v>
      </c>
      <c r="P1389" s="1">
        <v>8735.0</v>
      </c>
      <c r="Q1389" s="1">
        <v>37.0</v>
      </c>
      <c r="S1389" s="1">
        <v>1016.0</v>
      </c>
      <c r="T1389" s="1" t="s">
        <v>2664</v>
      </c>
      <c r="U1389" s="1" t="s">
        <v>569</v>
      </c>
      <c r="V1389" s="1" t="s">
        <v>994</v>
      </c>
      <c r="W1389" s="1">
        <v>60178.0</v>
      </c>
      <c r="Y1389" s="1" t="s">
        <v>14405</v>
      </c>
      <c r="Z1389" s="1">
        <v>2000.0</v>
      </c>
      <c r="AA1389" s="1" t="s">
        <v>200</v>
      </c>
      <c r="AB1389" s="1" t="s">
        <v>193</v>
      </c>
      <c r="AC1389" s="1" t="s">
        <v>11222</v>
      </c>
      <c r="AD1389" s="1" t="s">
        <v>997</v>
      </c>
      <c r="AE1389" s="1" t="s">
        <v>613</v>
      </c>
      <c r="AF1389" s="1" t="s">
        <v>4019</v>
      </c>
      <c r="AH1389" s="1" t="s">
        <v>14406</v>
      </c>
      <c r="AI1389" s="1">
        <v>0.1499</v>
      </c>
      <c r="AK1389" s="1">
        <v>9.0</v>
      </c>
      <c r="AL1389" s="1">
        <v>4.0</v>
      </c>
      <c r="AM1389" s="1">
        <v>4.0</v>
      </c>
      <c r="AN1389" s="1">
        <v>1.0</v>
      </c>
      <c r="AO1389" s="1" t="s">
        <v>198</v>
      </c>
      <c r="AP1389" s="1">
        <v>2.0</v>
      </c>
      <c r="AQ1389" s="1" t="s">
        <v>198</v>
      </c>
      <c r="AR1389" s="1" t="s">
        <v>192</v>
      </c>
      <c r="AS1389" s="1" t="s">
        <v>199</v>
      </c>
      <c r="AT1389" s="1">
        <v>2.0</v>
      </c>
      <c r="AV1389" s="1" t="s">
        <v>200</v>
      </c>
      <c r="AW1389" s="1">
        <v>7724.58</v>
      </c>
      <c r="AX1389" s="1">
        <v>2013.0</v>
      </c>
      <c r="AY1389" s="1" t="s">
        <v>1179</v>
      </c>
      <c r="AZ1389" s="1" t="s">
        <v>200</v>
      </c>
      <c r="BA1389" s="1" t="str">
        <f>"0906235008"</f>
        <v>0906235008</v>
      </c>
      <c r="BB1389" s="1" t="s">
        <v>200</v>
      </c>
      <c r="BC1389" s="1">
        <v>2462.0</v>
      </c>
      <c r="BD1389" s="1">
        <v>257000.0</v>
      </c>
      <c r="BE1389" s="2">
        <v>41823.0</v>
      </c>
      <c r="BF1389" s="2" t="s">
        <v>14407</v>
      </c>
      <c r="BH1389" s="1">
        <v>0.0</v>
      </c>
      <c r="BK1389" s="1" t="s">
        <v>204</v>
      </c>
      <c r="BL1389" s="1" t="str">
        <f>"7"</f>
        <v>7</v>
      </c>
      <c r="BM1389" s="1" t="str">
        <f t="shared" si="915"/>
        <v>0</v>
      </c>
      <c r="BN1389" s="1">
        <v>60.0</v>
      </c>
      <c r="BO1389" s="1">
        <v>0.0</v>
      </c>
      <c r="BQ1389" s="1">
        <v>427.0</v>
      </c>
      <c r="BR1389" s="1">
        <v>427.0</v>
      </c>
      <c r="BS1389" s="1">
        <v>427.0</v>
      </c>
      <c r="BU1389" s="1" t="s">
        <v>2459</v>
      </c>
      <c r="BV1389" s="1" t="s">
        <v>206</v>
      </c>
      <c r="BW1389" s="1" t="s">
        <v>210</v>
      </c>
      <c r="BX1389" s="1" t="s">
        <v>261</v>
      </c>
      <c r="BY1389" s="1" t="s">
        <v>1567</v>
      </c>
      <c r="BZ1389" s="1" t="s">
        <v>209</v>
      </c>
      <c r="CA1389" s="1" t="s">
        <v>210</v>
      </c>
      <c r="CB1389" s="1" t="s">
        <v>431</v>
      </c>
      <c r="CC1389" s="1" t="s">
        <v>300</v>
      </c>
      <c r="CD1389" s="1" t="s">
        <v>206</v>
      </c>
      <c r="CE1389" s="1" t="s">
        <v>210</v>
      </c>
      <c r="CF1389" s="1" t="s">
        <v>261</v>
      </c>
      <c r="CG1389" s="1" t="s">
        <v>264</v>
      </c>
      <c r="CH1389" s="1" t="s">
        <v>209</v>
      </c>
      <c r="CI1389" s="1" t="s">
        <v>210</v>
      </c>
      <c r="CJ1389" s="1" t="s">
        <v>431</v>
      </c>
      <c r="CK1389" s="1" t="s">
        <v>215</v>
      </c>
      <c r="CL1389" s="1" t="s">
        <v>209</v>
      </c>
      <c r="CM1389" s="1" t="s">
        <v>210</v>
      </c>
      <c r="CN1389" s="1" t="s">
        <v>431</v>
      </c>
      <c r="CO1389" s="1" t="s">
        <v>1417</v>
      </c>
      <c r="CP1389" s="1" t="s">
        <v>209</v>
      </c>
      <c r="CQ1389" s="1" t="s">
        <v>210</v>
      </c>
      <c r="CR1389" s="1" t="s">
        <v>431</v>
      </c>
      <c r="CS1389" s="1" t="s">
        <v>333</v>
      </c>
      <c r="CT1389" s="1" t="s">
        <v>206</v>
      </c>
      <c r="CU1389" s="1" t="s">
        <v>207</v>
      </c>
      <c r="CV1389" s="1" t="s">
        <v>431</v>
      </c>
      <c r="CW1389" s="1" t="s">
        <v>208</v>
      </c>
      <c r="CX1389" s="1" t="s">
        <v>206</v>
      </c>
      <c r="CY1389" s="1" t="s">
        <v>210</v>
      </c>
      <c r="CZ1389" s="1" t="s">
        <v>431</v>
      </c>
      <c r="DA1389" s="1" t="s">
        <v>200</v>
      </c>
      <c r="DC1389" s="1" t="s">
        <v>335</v>
      </c>
      <c r="DD1389" s="1" t="s">
        <v>957</v>
      </c>
      <c r="DE1389" s="1" t="s">
        <v>273</v>
      </c>
      <c r="DF1389" s="1" t="s">
        <v>219</v>
      </c>
      <c r="DG1389" s="1" t="s">
        <v>2747</v>
      </c>
      <c r="DH1389" s="1" t="s">
        <v>220</v>
      </c>
      <c r="DI1389" s="1" t="s">
        <v>1003</v>
      </c>
      <c r="DJ1389" s="1" t="s">
        <v>222</v>
      </c>
      <c r="DL1389" s="1" t="s">
        <v>224</v>
      </c>
      <c r="DM1389" s="1" t="s">
        <v>338</v>
      </c>
      <c r="DN1389" s="1" t="s">
        <v>399</v>
      </c>
      <c r="DO1389" s="1" t="s">
        <v>717</v>
      </c>
      <c r="DP1389" s="1" t="s">
        <v>340</v>
      </c>
      <c r="DQ1389" s="1" t="s">
        <v>228</v>
      </c>
      <c r="DR1389" s="1" t="s">
        <v>229</v>
      </c>
      <c r="DU1389" s="1" t="s">
        <v>14408</v>
      </c>
      <c r="DV1389" s="1" t="s">
        <v>5014</v>
      </c>
      <c r="DW1389" s="1" t="s">
        <v>444</v>
      </c>
      <c r="DX1389" s="1" t="s">
        <v>234</v>
      </c>
      <c r="DY1389" s="1" t="s">
        <v>6583</v>
      </c>
      <c r="EA1389" s="1" t="s">
        <v>447</v>
      </c>
      <c r="EB1389" s="1" t="s">
        <v>4251</v>
      </c>
      <c r="EC1389" s="1" t="s">
        <v>237</v>
      </c>
      <c r="ED1389" s="1" t="s">
        <v>407</v>
      </c>
      <c r="EG1389" s="1" t="s">
        <v>494</v>
      </c>
      <c r="EH1389" s="1" t="s">
        <v>408</v>
      </c>
      <c r="EL1389" s="1" t="s">
        <v>2441</v>
      </c>
      <c r="EM1389" s="1" t="s">
        <v>42</v>
      </c>
      <c r="EN1389" s="1" t="s">
        <v>210</v>
      </c>
      <c r="EP1389" s="1" t="s">
        <v>8357</v>
      </c>
      <c r="EQ1389" s="1" t="s">
        <v>206</v>
      </c>
      <c r="ER1389" s="1" t="s">
        <v>207</v>
      </c>
      <c r="EU1389" s="1" t="s">
        <v>238</v>
      </c>
      <c r="EY1389" s="1" t="s">
        <v>238</v>
      </c>
      <c r="FC1389" s="1" t="s">
        <v>238</v>
      </c>
      <c r="FF1389" s="1" t="s">
        <v>239</v>
      </c>
      <c r="FG1389" s="1" t="s">
        <v>192</v>
      </c>
      <c r="FH1389" s="1" t="s">
        <v>192</v>
      </c>
      <c r="FJ1389" s="1" t="s">
        <v>12591</v>
      </c>
      <c r="FK1389" s="1" t="s">
        <v>229</v>
      </c>
      <c r="FL1389" s="1" t="s">
        <v>1007</v>
      </c>
      <c r="FM1389" s="1">
        <v>93043.0</v>
      </c>
      <c r="FN1389" s="1" t="s">
        <v>1008</v>
      </c>
      <c r="FO1389" s="1" t="s">
        <v>12592</v>
      </c>
      <c r="FP1389" s="1">
        <v>930102.0</v>
      </c>
      <c r="FQ1389" s="1" t="s">
        <v>12593</v>
      </c>
      <c r="FU1389" s="1" t="s">
        <v>14409</v>
      </c>
      <c r="FV1389" s="1" t="s">
        <v>200</v>
      </c>
      <c r="FW1389" s="1" t="s">
        <v>290</v>
      </c>
      <c r="FZ1389" s="1" t="s">
        <v>229</v>
      </c>
      <c r="GA1389" s="1" t="s">
        <v>291</v>
      </c>
      <c r="GB1389" s="2">
        <v>42026.0</v>
      </c>
      <c r="GC1389" s="1" t="s">
        <v>14410</v>
      </c>
    </row>
    <row r="1390">
      <c r="A1390" s="1">
        <v>408000.0</v>
      </c>
      <c r="B1390" s="1" t="s">
        <v>185</v>
      </c>
      <c r="C1390" s="1" t="str">
        <f>"08663522"</f>
        <v>08663522</v>
      </c>
      <c r="D1390" s="1" t="s">
        <v>186</v>
      </c>
      <c r="F1390" s="1" t="str">
        <f>"8060"</f>
        <v>8060</v>
      </c>
      <c r="G1390" s="2">
        <v>41824.0</v>
      </c>
      <c r="H1390" s="1">
        <v>448000.0</v>
      </c>
      <c r="I1390" s="1">
        <v>140.0</v>
      </c>
      <c r="J1390" s="1">
        <v>435000.0</v>
      </c>
      <c r="K1390" s="2">
        <v>41963.0</v>
      </c>
      <c r="L1390" s="1">
        <v>140.0</v>
      </c>
      <c r="M1390" s="2">
        <v>41963.0</v>
      </c>
      <c r="N1390" s="1" t="s">
        <v>187</v>
      </c>
      <c r="O1390" s="2">
        <v>42016.0</v>
      </c>
      <c r="P1390" s="1">
        <v>104391.0</v>
      </c>
      <c r="Q1390" s="1">
        <v>18586.0</v>
      </c>
      <c r="S1390" s="1">
        <v>2812.0</v>
      </c>
      <c r="T1390" s="1" t="s">
        <v>14411</v>
      </c>
      <c r="U1390" s="1" t="s">
        <v>569</v>
      </c>
      <c r="V1390" s="1" t="s">
        <v>190</v>
      </c>
      <c r="W1390" s="1">
        <v>60608.0</v>
      </c>
      <c r="Y1390" s="1" t="s">
        <v>14412</v>
      </c>
      <c r="Z1390" s="1">
        <v>1996.0</v>
      </c>
      <c r="AA1390" s="1" t="s">
        <v>200</v>
      </c>
      <c r="AB1390" s="1" t="s">
        <v>193</v>
      </c>
      <c r="AD1390" s="1" t="s">
        <v>194</v>
      </c>
      <c r="AE1390" s="1" t="s">
        <v>195</v>
      </c>
      <c r="AF1390" s="1" t="s">
        <v>1154</v>
      </c>
      <c r="AH1390" s="1" t="s">
        <v>14413</v>
      </c>
      <c r="AI1390" s="1">
        <v>0.0635</v>
      </c>
      <c r="AK1390" s="1">
        <v>9.0</v>
      </c>
      <c r="AL1390" s="1">
        <v>4.0</v>
      </c>
      <c r="AM1390" s="1">
        <v>3.0</v>
      </c>
      <c r="AN1390" s="1">
        <v>0.0</v>
      </c>
      <c r="AO1390" s="1" t="s">
        <v>198</v>
      </c>
      <c r="AP1390" s="1">
        <v>2.0</v>
      </c>
      <c r="AQ1390" s="1" t="s">
        <v>198</v>
      </c>
      <c r="AR1390" s="1" t="s">
        <v>200</v>
      </c>
      <c r="AS1390" s="1" t="s">
        <v>199</v>
      </c>
      <c r="AT1390" s="1">
        <v>2.0</v>
      </c>
      <c r="AV1390" s="1" t="s">
        <v>200</v>
      </c>
      <c r="AW1390" s="1">
        <v>7384.05</v>
      </c>
      <c r="AX1390" s="1">
        <v>2012.0</v>
      </c>
      <c r="AY1390" s="1" t="s">
        <v>387</v>
      </c>
      <c r="AZ1390" s="1" t="s">
        <v>200</v>
      </c>
      <c r="BA1390" s="1" t="str">
        <f>"17293130560000"</f>
        <v>17293130560000</v>
      </c>
      <c r="BB1390" s="1" t="s">
        <v>200</v>
      </c>
      <c r="BC1390" s="1">
        <v>3210.0</v>
      </c>
      <c r="BD1390" s="1">
        <v>408000.0</v>
      </c>
      <c r="BE1390" s="2">
        <v>41824.0</v>
      </c>
      <c r="BF1390" s="2" t="s">
        <v>14414</v>
      </c>
      <c r="BH1390" s="1">
        <v>0.0</v>
      </c>
      <c r="BK1390" s="1" t="s">
        <v>204</v>
      </c>
      <c r="BL1390" s="1" t="str">
        <f t="shared" ref="BL1390:BM1390" si="916">"0"</f>
        <v>0</v>
      </c>
      <c r="BM1390" s="1" t="str">
        <f t="shared" si="916"/>
        <v>0</v>
      </c>
      <c r="BN1390" s="1">
        <v>1410.0</v>
      </c>
      <c r="BO1390" s="1">
        <v>2812.0</v>
      </c>
      <c r="BQ1390" s="1">
        <v>299.0</v>
      </c>
      <c r="BR1390" s="1">
        <v>299.0</v>
      </c>
      <c r="BS1390" s="1">
        <v>299.0</v>
      </c>
      <c r="BU1390" s="1" t="s">
        <v>330</v>
      </c>
      <c r="BV1390" s="1" t="s">
        <v>206</v>
      </c>
      <c r="BW1390" s="1" t="s">
        <v>207</v>
      </c>
      <c r="BY1390" s="1" t="s">
        <v>1534</v>
      </c>
      <c r="BZ1390" s="1" t="s">
        <v>209</v>
      </c>
      <c r="CA1390" s="1" t="s">
        <v>210</v>
      </c>
      <c r="CC1390" s="1" t="s">
        <v>1534</v>
      </c>
      <c r="CD1390" s="1" t="s">
        <v>206</v>
      </c>
      <c r="CE1390" s="1" t="s">
        <v>207</v>
      </c>
      <c r="CG1390" s="1" t="s">
        <v>495</v>
      </c>
      <c r="CH1390" s="1" t="s">
        <v>209</v>
      </c>
      <c r="CI1390" s="1" t="s">
        <v>210</v>
      </c>
      <c r="CK1390" s="1" t="s">
        <v>495</v>
      </c>
      <c r="CL1390" s="1" t="s">
        <v>209</v>
      </c>
      <c r="CM1390" s="1" t="s">
        <v>210</v>
      </c>
      <c r="CO1390" s="1" t="s">
        <v>264</v>
      </c>
      <c r="CP1390" s="1" t="s">
        <v>209</v>
      </c>
      <c r="CQ1390" s="1" t="s">
        <v>210</v>
      </c>
      <c r="CS1390" s="1" t="s">
        <v>1117</v>
      </c>
      <c r="CT1390" s="1" t="s">
        <v>206</v>
      </c>
      <c r="CU1390" s="1" t="s">
        <v>5126</v>
      </c>
      <c r="CW1390" s="1" t="s">
        <v>4560</v>
      </c>
      <c r="CX1390" s="1" t="s">
        <v>42</v>
      </c>
      <c r="CY1390" s="1" t="s">
        <v>210</v>
      </c>
      <c r="DA1390" s="1" t="s">
        <v>200</v>
      </c>
      <c r="DC1390" s="1" t="s">
        <v>678</v>
      </c>
      <c r="DD1390" s="1" t="s">
        <v>306</v>
      </c>
      <c r="DE1390" s="1" t="s">
        <v>273</v>
      </c>
      <c r="DF1390" s="1" t="s">
        <v>219</v>
      </c>
      <c r="DG1390" s="1" t="s">
        <v>337</v>
      </c>
      <c r="DH1390" s="1" t="s">
        <v>365</v>
      </c>
      <c r="DI1390" s="1" t="s">
        <v>789</v>
      </c>
      <c r="DJ1390" s="1" t="s">
        <v>222</v>
      </c>
      <c r="DL1390" s="1" t="s">
        <v>224</v>
      </c>
      <c r="DM1390" s="1" t="s">
        <v>1143</v>
      </c>
      <c r="DN1390" s="1" t="s">
        <v>439</v>
      </c>
      <c r="DO1390" s="1" t="s">
        <v>761</v>
      </c>
      <c r="DP1390" s="1" t="s">
        <v>340</v>
      </c>
      <c r="DQ1390" s="1" t="s">
        <v>718</v>
      </c>
      <c r="DR1390" s="1" t="s">
        <v>229</v>
      </c>
      <c r="DS1390" s="1" t="s">
        <v>230</v>
      </c>
      <c r="DV1390" s="1" t="s">
        <v>450</v>
      </c>
      <c r="DW1390" s="1" t="s">
        <v>279</v>
      </c>
      <c r="DX1390" s="1" t="s">
        <v>234</v>
      </c>
      <c r="DY1390" s="1" t="s">
        <v>1122</v>
      </c>
      <c r="EA1390" s="1" t="s">
        <v>344</v>
      </c>
      <c r="EC1390" s="1" t="s">
        <v>237</v>
      </c>
      <c r="ED1390" s="1" t="s">
        <v>9696</v>
      </c>
      <c r="EH1390" s="1" t="s">
        <v>450</v>
      </c>
      <c r="EM1390" s="1" t="s">
        <v>238</v>
      </c>
      <c r="EP1390" s="1" t="s">
        <v>4560</v>
      </c>
      <c r="EQ1390" s="1" t="s">
        <v>42</v>
      </c>
      <c r="ER1390" s="1" t="s">
        <v>617</v>
      </c>
      <c r="EU1390" s="1" t="s">
        <v>238</v>
      </c>
      <c r="EY1390" s="1" t="s">
        <v>238</v>
      </c>
      <c r="FC1390" s="1" t="s">
        <v>238</v>
      </c>
      <c r="FF1390" s="1" t="s">
        <v>239</v>
      </c>
      <c r="FG1390" s="1" t="s">
        <v>192</v>
      </c>
      <c r="FH1390" s="1" t="s">
        <v>192</v>
      </c>
      <c r="FJ1390" s="1" t="s">
        <v>6821</v>
      </c>
      <c r="FK1390" s="1" t="s">
        <v>229</v>
      </c>
      <c r="FL1390" s="1" t="s">
        <v>525</v>
      </c>
      <c r="FM1390" s="1">
        <v>22029.0</v>
      </c>
      <c r="FN1390" s="1" t="s">
        <v>526</v>
      </c>
      <c r="FO1390" s="1" t="s">
        <v>14415</v>
      </c>
      <c r="FP1390" s="1">
        <v>220516.0</v>
      </c>
      <c r="FQ1390" s="1" t="s">
        <v>14416</v>
      </c>
      <c r="FU1390" s="1" t="s">
        <v>1541</v>
      </c>
      <c r="FV1390" s="1" t="s">
        <v>200</v>
      </c>
      <c r="FW1390" s="1" t="s">
        <v>290</v>
      </c>
      <c r="FX1390" s="1" t="s">
        <v>655</v>
      </c>
      <c r="FZ1390" s="1" t="s">
        <v>632</v>
      </c>
      <c r="GA1390" s="1" t="s">
        <v>291</v>
      </c>
      <c r="GB1390" s="2">
        <v>42017.0</v>
      </c>
    </row>
    <row r="1391">
      <c r="A1391" s="1">
        <v>215000.0</v>
      </c>
      <c r="B1391" s="1" t="s">
        <v>185</v>
      </c>
      <c r="C1391" s="1" t="str">
        <f>"08666379"</f>
        <v>08666379</v>
      </c>
      <c r="D1391" s="1" t="s">
        <v>186</v>
      </c>
      <c r="F1391" s="1" t="str">
        <f>"123"</f>
        <v>123</v>
      </c>
      <c r="G1391" s="2">
        <v>41828.0</v>
      </c>
      <c r="H1391" s="1">
        <v>264990.0</v>
      </c>
      <c r="I1391" s="1">
        <v>172.0</v>
      </c>
      <c r="J1391" s="1">
        <v>215000.0</v>
      </c>
      <c r="K1391" s="2">
        <v>41999.0</v>
      </c>
      <c r="L1391" s="1">
        <v>172.0</v>
      </c>
      <c r="M1391" s="2">
        <v>41999.0</v>
      </c>
      <c r="N1391" s="1" t="s">
        <v>187</v>
      </c>
      <c r="O1391" s="2">
        <v>42054.0</v>
      </c>
      <c r="P1391" s="1">
        <v>7968.0</v>
      </c>
      <c r="Q1391" s="1">
        <v>372.0</v>
      </c>
      <c r="S1391" s="1">
        <v>1120.0</v>
      </c>
      <c r="T1391" s="1" t="s">
        <v>7525</v>
      </c>
      <c r="U1391" s="1" t="s">
        <v>569</v>
      </c>
      <c r="V1391" s="1" t="s">
        <v>465</v>
      </c>
      <c r="W1391" s="1">
        <v>60123.0</v>
      </c>
      <c r="Y1391" s="1" t="s">
        <v>14417</v>
      </c>
      <c r="Z1391" s="1">
        <v>1969.0</v>
      </c>
      <c r="AA1391" s="1" t="s">
        <v>192</v>
      </c>
      <c r="AB1391" s="1" t="s">
        <v>193</v>
      </c>
      <c r="AC1391" s="1" t="s">
        <v>14418</v>
      </c>
      <c r="AD1391" s="1" t="s">
        <v>469</v>
      </c>
      <c r="AE1391" s="1" t="s">
        <v>325</v>
      </c>
      <c r="AF1391" s="1" t="s">
        <v>469</v>
      </c>
      <c r="AG1391" s="1" t="s">
        <v>14419</v>
      </c>
      <c r="AH1391" s="1" t="s">
        <v>14420</v>
      </c>
      <c r="AI1391" s="1">
        <v>0.77</v>
      </c>
      <c r="AK1391" s="1">
        <v>10.0</v>
      </c>
      <c r="AL1391" s="1">
        <v>4.0</v>
      </c>
      <c r="AM1391" s="1">
        <v>3.0</v>
      </c>
      <c r="AN1391" s="1">
        <v>0.0</v>
      </c>
      <c r="AO1391" s="1" t="s">
        <v>198</v>
      </c>
      <c r="AP1391" s="1">
        <v>2.0</v>
      </c>
      <c r="AQ1391" s="1" t="s">
        <v>198</v>
      </c>
      <c r="AR1391" s="1" t="s">
        <v>192</v>
      </c>
      <c r="AS1391" s="1" t="s">
        <v>199</v>
      </c>
      <c r="AT1391" s="1">
        <v>2.0</v>
      </c>
      <c r="AV1391" s="1" t="s">
        <v>200</v>
      </c>
      <c r="AW1391" s="1">
        <v>6139.78</v>
      </c>
      <c r="AX1391" s="1">
        <v>2013.0</v>
      </c>
      <c r="AY1391" s="1" t="s">
        <v>387</v>
      </c>
      <c r="AZ1391" s="1" t="s">
        <v>200</v>
      </c>
      <c r="BA1391" s="1" t="str">
        <f>"0603201005"</f>
        <v>0603201005</v>
      </c>
      <c r="BB1391" s="1" t="s">
        <v>200</v>
      </c>
      <c r="BC1391" s="1">
        <v>2804.0</v>
      </c>
      <c r="BD1391" s="1">
        <v>215000.0</v>
      </c>
      <c r="BE1391" s="2">
        <v>41828.0</v>
      </c>
      <c r="BF1391" s="2" t="s">
        <v>14421</v>
      </c>
      <c r="BG1391" s="1" t="s">
        <v>5600</v>
      </c>
      <c r="BH1391" s="1">
        <v>0.0</v>
      </c>
      <c r="BI1391" s="1" t="s">
        <v>3197</v>
      </c>
      <c r="BJ1391" s="1" t="s">
        <v>675</v>
      </c>
      <c r="BK1391" s="1" t="s">
        <v>204</v>
      </c>
      <c r="BL1391" s="1" t="str">
        <f>"13"</f>
        <v>13</v>
      </c>
      <c r="BM1391" s="1" t="str">
        <f t="shared" ref="BM1391:BM1392" si="917">"0"</f>
        <v>0</v>
      </c>
      <c r="BN1391" s="1">
        <v>35.0</v>
      </c>
      <c r="BO1391" s="1">
        <v>0.0</v>
      </c>
      <c r="BQ1391" s="1">
        <v>46.0</v>
      </c>
      <c r="BR1391" s="1">
        <v>46.0</v>
      </c>
      <c r="BS1391" s="1">
        <v>46.0</v>
      </c>
      <c r="BU1391" s="1" t="s">
        <v>784</v>
      </c>
      <c r="BV1391" s="1" t="s">
        <v>206</v>
      </c>
      <c r="BW1391" s="1" t="s">
        <v>268</v>
      </c>
      <c r="BX1391" s="1" t="s">
        <v>239</v>
      </c>
      <c r="BY1391" s="1" t="s">
        <v>758</v>
      </c>
      <c r="BZ1391" s="1" t="s">
        <v>209</v>
      </c>
      <c r="CA1391" s="1" t="s">
        <v>301</v>
      </c>
      <c r="CB1391" s="1" t="s">
        <v>239</v>
      </c>
      <c r="CC1391" s="1" t="s">
        <v>363</v>
      </c>
      <c r="CD1391" s="1" t="s">
        <v>206</v>
      </c>
      <c r="CE1391" s="1" t="s">
        <v>207</v>
      </c>
      <c r="CF1391" s="1" t="s">
        <v>229</v>
      </c>
      <c r="CG1391" s="1" t="s">
        <v>332</v>
      </c>
      <c r="CH1391" s="1" t="s">
        <v>209</v>
      </c>
      <c r="CI1391" s="1" t="s">
        <v>207</v>
      </c>
      <c r="CJ1391" s="1" t="s">
        <v>239</v>
      </c>
      <c r="CK1391" s="1" t="s">
        <v>2505</v>
      </c>
      <c r="CL1391" s="1" t="s">
        <v>209</v>
      </c>
      <c r="CM1391" s="1" t="s">
        <v>207</v>
      </c>
      <c r="CN1391" s="1" t="s">
        <v>239</v>
      </c>
      <c r="CO1391" s="1" t="s">
        <v>332</v>
      </c>
      <c r="CP1391" s="1" t="s">
        <v>206</v>
      </c>
      <c r="CQ1391" s="1" t="s">
        <v>210</v>
      </c>
      <c r="CR1391" s="1" t="s">
        <v>239</v>
      </c>
      <c r="CS1391" s="1" t="s">
        <v>758</v>
      </c>
      <c r="CT1391" s="1" t="s">
        <v>206</v>
      </c>
      <c r="CU1391" s="1" t="s">
        <v>207</v>
      </c>
      <c r="CV1391" s="1" t="s">
        <v>229</v>
      </c>
      <c r="CW1391" s="1" t="s">
        <v>1138</v>
      </c>
      <c r="CX1391" s="1" t="s">
        <v>267</v>
      </c>
      <c r="CY1391" s="1" t="s">
        <v>210</v>
      </c>
      <c r="CZ1391" s="1" t="s">
        <v>239</v>
      </c>
      <c r="DA1391" s="1" t="s">
        <v>200</v>
      </c>
      <c r="DC1391" s="1" t="s">
        <v>517</v>
      </c>
      <c r="DD1391" s="1" t="s">
        <v>306</v>
      </c>
      <c r="DE1391" s="1" t="s">
        <v>273</v>
      </c>
      <c r="DF1391" s="1" t="s">
        <v>619</v>
      </c>
      <c r="DH1391" s="1" t="s">
        <v>220</v>
      </c>
      <c r="DI1391" s="1" t="s">
        <v>221</v>
      </c>
      <c r="DJ1391" s="1" t="s">
        <v>222</v>
      </c>
      <c r="DL1391" s="1" t="s">
        <v>224</v>
      </c>
      <c r="DM1391" s="1" t="s">
        <v>229</v>
      </c>
      <c r="DN1391" s="1" t="s">
        <v>666</v>
      </c>
      <c r="DO1391" s="1" t="s">
        <v>440</v>
      </c>
      <c r="DP1391" s="1" t="s">
        <v>340</v>
      </c>
      <c r="DQ1391" s="1" t="s">
        <v>1557</v>
      </c>
      <c r="DR1391" s="1" t="s">
        <v>229</v>
      </c>
      <c r="DS1391" s="1" t="s">
        <v>401</v>
      </c>
      <c r="DU1391" s="1" t="s">
        <v>4565</v>
      </c>
      <c r="DV1391" s="1" t="s">
        <v>14422</v>
      </c>
      <c r="DW1391" s="1" t="s">
        <v>14423</v>
      </c>
      <c r="DX1391" s="1" t="s">
        <v>234</v>
      </c>
      <c r="DY1391" s="1" t="s">
        <v>14424</v>
      </c>
      <c r="DZ1391" s="1" t="s">
        <v>3061</v>
      </c>
      <c r="EA1391" s="1" t="s">
        <v>283</v>
      </c>
      <c r="EB1391" s="1" t="s">
        <v>10018</v>
      </c>
      <c r="EC1391" s="1" t="s">
        <v>284</v>
      </c>
      <c r="ED1391" s="1" t="s">
        <v>555</v>
      </c>
      <c r="EE1391" s="1" t="s">
        <v>493</v>
      </c>
      <c r="EG1391" s="1" t="s">
        <v>1824</v>
      </c>
      <c r="EH1391" s="1" t="s">
        <v>1164</v>
      </c>
      <c r="EL1391" s="1" t="s">
        <v>664</v>
      </c>
      <c r="EM1391" s="1" t="s">
        <v>209</v>
      </c>
      <c r="EN1391" s="1" t="s">
        <v>210</v>
      </c>
      <c r="EO1391" s="1" t="s">
        <v>229</v>
      </c>
      <c r="EP1391" s="1" t="s">
        <v>4296</v>
      </c>
      <c r="EQ1391" s="1" t="s">
        <v>206</v>
      </c>
      <c r="ER1391" s="1" t="s">
        <v>207</v>
      </c>
      <c r="ES1391" s="1" t="s">
        <v>239</v>
      </c>
      <c r="EU1391" s="1" t="s">
        <v>238</v>
      </c>
      <c r="EY1391" s="1" t="s">
        <v>238</v>
      </c>
      <c r="FC1391" s="1" t="s">
        <v>238</v>
      </c>
      <c r="FF1391" s="1" t="s">
        <v>239</v>
      </c>
      <c r="FG1391" s="1" t="s">
        <v>192</v>
      </c>
      <c r="FH1391" s="1" t="s">
        <v>192</v>
      </c>
      <c r="FJ1391" s="1" t="s">
        <v>14425</v>
      </c>
      <c r="FK1391" s="1" t="s">
        <v>1586</v>
      </c>
      <c r="FL1391" s="1" t="s">
        <v>1451</v>
      </c>
      <c r="FM1391" s="1">
        <v>7450.0</v>
      </c>
      <c r="FN1391" s="1" t="s">
        <v>1452</v>
      </c>
      <c r="FO1391" s="1" t="s">
        <v>14426</v>
      </c>
      <c r="FP1391" s="1">
        <v>70394.0</v>
      </c>
      <c r="FQ1391" s="1" t="s">
        <v>14427</v>
      </c>
      <c r="FR1391" s="1">
        <v>8423.0</v>
      </c>
      <c r="FU1391" s="1" t="s">
        <v>2030</v>
      </c>
      <c r="FV1391" s="1" t="s">
        <v>200</v>
      </c>
      <c r="FW1391" s="1" t="s">
        <v>11662</v>
      </c>
      <c r="FZ1391" s="1" t="s">
        <v>229</v>
      </c>
      <c r="GA1391" s="1" t="s">
        <v>291</v>
      </c>
      <c r="GB1391" s="2">
        <v>42054.0</v>
      </c>
      <c r="GC1391" s="1" t="s">
        <v>14428</v>
      </c>
    </row>
    <row r="1392">
      <c r="A1392" s="1">
        <v>160000.0</v>
      </c>
      <c r="B1392" s="1" t="s">
        <v>185</v>
      </c>
      <c r="C1392" s="1" t="str">
        <f>"08705853"</f>
        <v>08705853</v>
      </c>
      <c r="D1392" s="1" t="s">
        <v>186</v>
      </c>
      <c r="F1392" s="1" t="str">
        <f>"8025"</f>
        <v>8025</v>
      </c>
      <c r="G1392" s="2">
        <v>41870.0</v>
      </c>
      <c r="H1392" s="1">
        <v>167000.0</v>
      </c>
      <c r="I1392" s="1">
        <v>65.0</v>
      </c>
      <c r="J1392" s="1">
        <v>167000.0</v>
      </c>
      <c r="K1392" s="2">
        <v>41934.0</v>
      </c>
      <c r="L1392" s="1">
        <v>65.0</v>
      </c>
      <c r="M1392" s="2">
        <v>41934.0</v>
      </c>
      <c r="N1392" s="1" t="s">
        <v>356</v>
      </c>
      <c r="O1392" s="2">
        <v>41985.0</v>
      </c>
      <c r="P1392" s="1">
        <v>87856.0</v>
      </c>
      <c r="Q1392" s="1">
        <v>8093.0</v>
      </c>
      <c r="R1392" s="1">
        <v>5000.0</v>
      </c>
      <c r="S1392" s="1">
        <v>1137.0</v>
      </c>
      <c r="T1392" s="1" t="s">
        <v>14429</v>
      </c>
      <c r="U1392" s="1" t="s">
        <v>189</v>
      </c>
      <c r="V1392" s="1" t="s">
        <v>190</v>
      </c>
      <c r="W1392" s="1">
        <v>60651.0</v>
      </c>
      <c r="Y1392" s="1" t="s">
        <v>14430</v>
      </c>
      <c r="Z1392" s="1">
        <v>1923.0</v>
      </c>
      <c r="AA1392" s="1" t="s">
        <v>192</v>
      </c>
      <c r="AB1392" s="1" t="s">
        <v>193</v>
      </c>
      <c r="AD1392" s="1" t="s">
        <v>194</v>
      </c>
      <c r="AE1392" s="1" t="s">
        <v>195</v>
      </c>
      <c r="AF1392" s="1" t="s">
        <v>827</v>
      </c>
      <c r="AH1392" s="1" t="s">
        <v>779</v>
      </c>
      <c r="AI1392" s="1">
        <v>0.0</v>
      </c>
      <c r="AK1392" s="1">
        <v>10.0</v>
      </c>
      <c r="AL1392" s="1">
        <v>4.0</v>
      </c>
      <c r="AM1392" s="1">
        <v>2.0</v>
      </c>
      <c r="AN1392" s="1">
        <v>1.0</v>
      </c>
      <c r="AO1392" s="1" t="s">
        <v>229</v>
      </c>
      <c r="AQ1392" s="1" t="s">
        <v>198</v>
      </c>
      <c r="AR1392" s="1" t="s">
        <v>200</v>
      </c>
      <c r="AS1392" s="1" t="s">
        <v>199</v>
      </c>
      <c r="AT1392" s="1">
        <v>2.0</v>
      </c>
      <c r="AV1392" s="1" t="s">
        <v>200</v>
      </c>
      <c r="AW1392" s="1">
        <v>2092.0</v>
      </c>
      <c r="AX1392" s="1">
        <v>2012.0</v>
      </c>
      <c r="AY1392" s="1" t="s">
        <v>387</v>
      </c>
      <c r="AZ1392" s="1" t="s">
        <v>200</v>
      </c>
      <c r="BA1392" s="1" t="str">
        <f>"16054040040000"</f>
        <v>16054040040000</v>
      </c>
      <c r="BC1392" s="1">
        <v>1259.0</v>
      </c>
      <c r="BD1392" s="1">
        <v>160000.0</v>
      </c>
      <c r="BE1392" s="2">
        <v>41870.0</v>
      </c>
      <c r="BF1392" s="2" t="s">
        <v>14431</v>
      </c>
      <c r="BH1392" s="1">
        <v>0.0</v>
      </c>
      <c r="BK1392" s="1" t="s">
        <v>204</v>
      </c>
      <c r="BL1392" s="1" t="str">
        <f>"1137"</f>
        <v>1137</v>
      </c>
      <c r="BM1392" s="1" t="str">
        <f t="shared" si="917"/>
        <v>0</v>
      </c>
      <c r="BN1392" s="1">
        <v>5800.0</v>
      </c>
      <c r="BO1392" s="1">
        <v>0.0</v>
      </c>
      <c r="BQ1392" s="1">
        <v>299.0</v>
      </c>
      <c r="BR1392" s="1">
        <v>299.0</v>
      </c>
      <c r="BS1392" s="1">
        <v>299.0</v>
      </c>
      <c r="BU1392" s="1" t="s">
        <v>393</v>
      </c>
      <c r="BV1392" s="1" t="s">
        <v>206</v>
      </c>
      <c r="BY1392" s="1" t="s">
        <v>393</v>
      </c>
      <c r="BZ1392" s="1" t="s">
        <v>206</v>
      </c>
      <c r="CA1392" s="1" t="s">
        <v>207</v>
      </c>
      <c r="CC1392" s="1" t="s">
        <v>393</v>
      </c>
      <c r="CD1392" s="1" t="s">
        <v>206</v>
      </c>
      <c r="CG1392" s="1" t="s">
        <v>1397</v>
      </c>
      <c r="CH1392" s="1" t="s">
        <v>206</v>
      </c>
      <c r="CI1392" s="1" t="s">
        <v>207</v>
      </c>
      <c r="CK1392" s="1" t="s">
        <v>699</v>
      </c>
      <c r="CL1392" s="1" t="s">
        <v>206</v>
      </c>
      <c r="CM1392" s="1" t="s">
        <v>617</v>
      </c>
      <c r="CO1392" s="1" t="s">
        <v>1190</v>
      </c>
      <c r="CP1392" s="1" t="s">
        <v>209</v>
      </c>
      <c r="CQ1392" s="1" t="s">
        <v>207</v>
      </c>
      <c r="CS1392" s="1" t="s">
        <v>1417</v>
      </c>
      <c r="CT1392" s="1" t="s">
        <v>206</v>
      </c>
      <c r="CW1392" s="1" t="s">
        <v>334</v>
      </c>
      <c r="CX1392" s="1" t="s">
        <v>209</v>
      </c>
      <c r="DA1392" s="1" t="s">
        <v>200</v>
      </c>
      <c r="DC1392" s="1" t="s">
        <v>216</v>
      </c>
      <c r="DE1392" s="1" t="s">
        <v>1905</v>
      </c>
      <c r="DF1392" s="1" t="s">
        <v>4206</v>
      </c>
      <c r="DH1392" s="1" t="s">
        <v>220</v>
      </c>
      <c r="DJ1392" s="1" t="s">
        <v>222</v>
      </c>
      <c r="DL1392" s="1" t="s">
        <v>224</v>
      </c>
      <c r="DM1392" s="1" t="s">
        <v>229</v>
      </c>
      <c r="DQ1392" s="1" t="s">
        <v>228</v>
      </c>
      <c r="DR1392" s="1" t="s">
        <v>229</v>
      </c>
      <c r="DS1392" s="1" t="s">
        <v>230</v>
      </c>
      <c r="DV1392" s="1" t="s">
        <v>14432</v>
      </c>
      <c r="DW1392" s="1" t="s">
        <v>279</v>
      </c>
      <c r="DX1392" s="1" t="s">
        <v>234</v>
      </c>
      <c r="DY1392" s="1" t="s">
        <v>2240</v>
      </c>
      <c r="EA1392" s="1" t="s">
        <v>644</v>
      </c>
      <c r="EC1392" s="1" t="s">
        <v>645</v>
      </c>
      <c r="ED1392" s="1" t="s">
        <v>407</v>
      </c>
      <c r="EG1392" s="1" t="s">
        <v>1228</v>
      </c>
      <c r="EH1392" s="1" t="s">
        <v>1121</v>
      </c>
      <c r="EL1392" s="1" t="s">
        <v>496</v>
      </c>
      <c r="EM1392" s="1" t="s">
        <v>209</v>
      </c>
      <c r="EP1392" s="1" t="s">
        <v>269</v>
      </c>
      <c r="EQ1392" s="1" t="s">
        <v>209</v>
      </c>
      <c r="EU1392" s="1" t="s">
        <v>238</v>
      </c>
      <c r="EY1392" s="1" t="s">
        <v>238</v>
      </c>
      <c r="FC1392" s="1" t="s">
        <v>238</v>
      </c>
      <c r="FF1392" s="1" t="s">
        <v>239</v>
      </c>
      <c r="FG1392" s="1" t="s">
        <v>192</v>
      </c>
      <c r="FH1392" s="1" t="s">
        <v>192</v>
      </c>
      <c r="FJ1392" s="1" t="s">
        <v>7837</v>
      </c>
      <c r="FK1392" s="1" t="s">
        <v>229</v>
      </c>
      <c r="FL1392" s="1" t="s">
        <v>14433</v>
      </c>
      <c r="FM1392" s="1">
        <v>90140.0</v>
      </c>
      <c r="FN1392" s="1" t="s">
        <v>14434</v>
      </c>
      <c r="FO1392" s="1" t="s">
        <v>14435</v>
      </c>
      <c r="FP1392" s="1">
        <v>901608.0</v>
      </c>
      <c r="FQ1392" s="1" t="s">
        <v>14436</v>
      </c>
      <c r="FU1392" s="1" t="s">
        <v>14437</v>
      </c>
      <c r="FV1392" s="1" t="s">
        <v>200</v>
      </c>
      <c r="FW1392" s="1" t="s">
        <v>530</v>
      </c>
      <c r="FX1392" s="1" t="s">
        <v>238</v>
      </c>
      <c r="FZ1392" s="1" t="s">
        <v>229</v>
      </c>
      <c r="GA1392" s="1" t="s">
        <v>291</v>
      </c>
      <c r="GB1392" s="2">
        <v>41985.0</v>
      </c>
    </row>
    <row r="1393">
      <c r="A1393" s="1">
        <v>232000.0</v>
      </c>
      <c r="B1393" s="1" t="s">
        <v>185</v>
      </c>
      <c r="C1393" s="1" t="str">
        <f>"08657078"</f>
        <v>08657078</v>
      </c>
      <c r="D1393" s="1" t="s">
        <v>186</v>
      </c>
      <c r="F1393" s="1" t="str">
        <f>"538"</f>
        <v>538</v>
      </c>
      <c r="G1393" s="2">
        <v>41817.0</v>
      </c>
      <c r="H1393" s="1">
        <v>250000.0</v>
      </c>
      <c r="I1393" s="1">
        <v>201.0</v>
      </c>
      <c r="J1393" s="1">
        <v>234900.0</v>
      </c>
      <c r="K1393" s="2">
        <v>42017.0</v>
      </c>
      <c r="L1393" s="1">
        <v>201.0</v>
      </c>
      <c r="M1393" s="2">
        <v>42017.0</v>
      </c>
      <c r="N1393" s="1" t="s">
        <v>356</v>
      </c>
      <c r="O1393" s="2">
        <v>42082.0</v>
      </c>
      <c r="P1393" s="1">
        <v>242592.0</v>
      </c>
      <c r="Q1393" s="1">
        <v>23959.0</v>
      </c>
      <c r="S1393" s="1">
        <v>2505.0</v>
      </c>
      <c r="T1393" s="1" t="s">
        <v>5459</v>
      </c>
      <c r="U1393" s="1" t="s">
        <v>420</v>
      </c>
      <c r="V1393" s="1" t="s">
        <v>1340</v>
      </c>
      <c r="W1393" s="1">
        <v>60538.0</v>
      </c>
      <c r="Y1393" s="1" t="s">
        <v>14438</v>
      </c>
      <c r="Z1393" s="1">
        <v>2003.0</v>
      </c>
      <c r="AA1393" s="1" t="s">
        <v>200</v>
      </c>
      <c r="AB1393" s="1" t="s">
        <v>193</v>
      </c>
      <c r="AC1393" s="1" t="s">
        <v>3016</v>
      </c>
      <c r="AD1393" s="1" t="s">
        <v>1343</v>
      </c>
      <c r="AE1393" s="1" t="s">
        <v>849</v>
      </c>
      <c r="AF1393" s="1" t="s">
        <v>1312</v>
      </c>
      <c r="AH1393" s="1" t="s">
        <v>14439</v>
      </c>
      <c r="AK1393" s="1">
        <v>12.0</v>
      </c>
      <c r="AL1393" s="1">
        <v>4.0</v>
      </c>
      <c r="AM1393" s="1">
        <v>2.0</v>
      </c>
      <c r="AN1393" s="1">
        <v>1.0</v>
      </c>
      <c r="AO1393" s="1" t="s">
        <v>198</v>
      </c>
      <c r="AP1393" s="1">
        <v>1.0</v>
      </c>
      <c r="AQ1393" s="1" t="s">
        <v>1314</v>
      </c>
      <c r="AR1393" s="1" t="s">
        <v>200</v>
      </c>
      <c r="AS1393" s="1" t="s">
        <v>199</v>
      </c>
      <c r="AT1393" s="1">
        <v>2.0</v>
      </c>
      <c r="AV1393" s="1" t="s">
        <v>192</v>
      </c>
      <c r="AW1393" s="1">
        <v>7767.12</v>
      </c>
      <c r="AX1393" s="1">
        <v>2013.0</v>
      </c>
      <c r="AY1393" s="1" t="s">
        <v>387</v>
      </c>
      <c r="AZ1393" s="1" t="s">
        <v>200</v>
      </c>
      <c r="BA1393" s="1" t="str">
        <f>"0201351003"</f>
        <v>0201351003</v>
      </c>
      <c r="BC1393" s="1">
        <v>3074.0</v>
      </c>
      <c r="BD1393" s="1">
        <v>232000.0</v>
      </c>
      <c r="BE1393" s="2">
        <v>41817.0</v>
      </c>
      <c r="BF1393" s="2" t="s">
        <v>14440</v>
      </c>
      <c r="BG1393" s="1" t="s">
        <v>1837</v>
      </c>
      <c r="BH1393" s="1">
        <v>0.0</v>
      </c>
      <c r="BI1393" s="1" t="s">
        <v>1533</v>
      </c>
      <c r="BJ1393" s="1" t="s">
        <v>1349</v>
      </c>
      <c r="BK1393" s="1" t="s">
        <v>204</v>
      </c>
      <c r="BL1393" s="1" t="str">
        <f t="shared" ref="BL1393:BM1393" si="918">""</f>
        <v/>
      </c>
      <c r="BM1393" s="1" t="str">
        <f t="shared" si="918"/>
        <v/>
      </c>
      <c r="BQ1393" s="1">
        <v>308.0</v>
      </c>
      <c r="BR1393" s="1">
        <v>308.0</v>
      </c>
      <c r="BS1393" s="1">
        <v>308.0</v>
      </c>
      <c r="BU1393" s="1" t="s">
        <v>433</v>
      </c>
      <c r="BV1393" s="1" t="s">
        <v>206</v>
      </c>
      <c r="BW1393" s="1" t="s">
        <v>210</v>
      </c>
      <c r="BX1393" s="1" t="s">
        <v>239</v>
      </c>
      <c r="BY1393" s="1" t="s">
        <v>432</v>
      </c>
      <c r="BZ1393" s="1" t="s">
        <v>209</v>
      </c>
      <c r="CA1393" s="1" t="s">
        <v>210</v>
      </c>
      <c r="CB1393" s="1" t="s">
        <v>239</v>
      </c>
      <c r="CC1393" s="1" t="s">
        <v>433</v>
      </c>
      <c r="CD1393" s="1" t="s">
        <v>206</v>
      </c>
      <c r="CE1393" s="1" t="s">
        <v>210</v>
      </c>
      <c r="CF1393" s="1" t="s">
        <v>239</v>
      </c>
      <c r="CG1393" s="1" t="s">
        <v>584</v>
      </c>
      <c r="CH1393" s="1" t="s">
        <v>209</v>
      </c>
      <c r="CI1393" s="1" t="s">
        <v>210</v>
      </c>
      <c r="CJ1393" s="1" t="s">
        <v>239</v>
      </c>
      <c r="CK1393" s="1" t="s">
        <v>332</v>
      </c>
      <c r="CL1393" s="1" t="s">
        <v>209</v>
      </c>
      <c r="CM1393" s="1" t="s">
        <v>210</v>
      </c>
      <c r="CN1393" s="1" t="s">
        <v>239</v>
      </c>
      <c r="CO1393" s="1" t="s">
        <v>264</v>
      </c>
      <c r="CP1393" s="1" t="s">
        <v>209</v>
      </c>
      <c r="CQ1393" s="1" t="s">
        <v>210</v>
      </c>
      <c r="CR1393" s="1" t="s">
        <v>239</v>
      </c>
      <c r="CS1393" s="1" t="s">
        <v>479</v>
      </c>
      <c r="CT1393" s="1" t="s">
        <v>206</v>
      </c>
      <c r="CU1393" s="1" t="s">
        <v>207</v>
      </c>
      <c r="CV1393" s="1" t="s">
        <v>239</v>
      </c>
      <c r="CW1393" s="1" t="s">
        <v>479</v>
      </c>
      <c r="CX1393" s="1" t="s">
        <v>206</v>
      </c>
      <c r="CY1393" s="1" t="s">
        <v>210</v>
      </c>
      <c r="CZ1393" s="1" t="s">
        <v>239</v>
      </c>
      <c r="DA1393" s="1" t="s">
        <v>200</v>
      </c>
      <c r="DC1393" s="1" t="s">
        <v>335</v>
      </c>
      <c r="DD1393" s="1" t="s">
        <v>396</v>
      </c>
      <c r="DE1393" s="1" t="s">
        <v>273</v>
      </c>
      <c r="DF1393" s="1" t="s">
        <v>219</v>
      </c>
      <c r="DG1393" s="1" t="s">
        <v>10341</v>
      </c>
      <c r="DH1393" s="1" t="s">
        <v>220</v>
      </c>
      <c r="DI1393" s="1" t="s">
        <v>519</v>
      </c>
      <c r="DJ1393" s="1" t="s">
        <v>222</v>
      </c>
      <c r="DK1393" s="1" t="s">
        <v>1301</v>
      </c>
      <c r="DL1393" s="1" t="s">
        <v>14441</v>
      </c>
      <c r="DM1393" s="1" t="s">
        <v>338</v>
      </c>
      <c r="DN1393" s="1" t="s">
        <v>399</v>
      </c>
      <c r="DO1393" s="1" t="s">
        <v>14442</v>
      </c>
      <c r="DP1393" s="1" t="s">
        <v>340</v>
      </c>
      <c r="DQ1393" s="1" t="s">
        <v>228</v>
      </c>
      <c r="DR1393" s="1" t="s">
        <v>229</v>
      </c>
      <c r="DS1393" s="1" t="s">
        <v>230</v>
      </c>
      <c r="DU1393" s="1" t="s">
        <v>1024</v>
      </c>
      <c r="DV1393" s="1" t="s">
        <v>14443</v>
      </c>
      <c r="DW1393" s="1" t="s">
        <v>233</v>
      </c>
      <c r="DX1393" s="1" t="s">
        <v>234</v>
      </c>
      <c r="DY1393" s="1" t="s">
        <v>596</v>
      </c>
      <c r="DZ1393" s="1" t="s">
        <v>236</v>
      </c>
      <c r="EA1393" s="1" t="s">
        <v>1027</v>
      </c>
      <c r="EB1393" s="1" t="s">
        <v>492</v>
      </c>
      <c r="EC1393" s="1" t="s">
        <v>237</v>
      </c>
      <c r="ED1393" s="1" t="s">
        <v>407</v>
      </c>
      <c r="EE1393" s="1" t="s">
        <v>493</v>
      </c>
      <c r="EG1393" s="1" t="s">
        <v>556</v>
      </c>
      <c r="EH1393" s="1" t="s">
        <v>494</v>
      </c>
      <c r="EI1393" s="1" t="s">
        <v>557</v>
      </c>
      <c r="EJ1393" s="1" t="s">
        <v>341</v>
      </c>
      <c r="EK1393" s="1" t="s">
        <v>408</v>
      </c>
      <c r="EL1393" s="1" t="s">
        <v>264</v>
      </c>
      <c r="EM1393" s="1" t="s">
        <v>206</v>
      </c>
      <c r="EN1393" s="1" t="s">
        <v>207</v>
      </c>
      <c r="EO1393" s="1" t="s">
        <v>239</v>
      </c>
      <c r="EP1393" s="1" t="s">
        <v>269</v>
      </c>
      <c r="EQ1393" s="1" t="s">
        <v>206</v>
      </c>
      <c r="ER1393" s="1" t="s">
        <v>210</v>
      </c>
      <c r="ES1393" s="1" t="s">
        <v>239</v>
      </c>
      <c r="ET1393" s="1" t="s">
        <v>4399</v>
      </c>
      <c r="EU1393" s="1" t="s">
        <v>209</v>
      </c>
      <c r="EV1393" s="1" t="s">
        <v>210</v>
      </c>
      <c r="EW1393" s="1" t="s">
        <v>239</v>
      </c>
      <c r="EX1393" s="1" t="s">
        <v>971</v>
      </c>
      <c r="EY1393" s="1" t="s">
        <v>209</v>
      </c>
      <c r="EZ1393" s="1" t="s">
        <v>210</v>
      </c>
      <c r="FA1393" s="1" t="s">
        <v>239</v>
      </c>
      <c r="FB1393" s="1" t="s">
        <v>3805</v>
      </c>
      <c r="FC1393" s="1" t="s">
        <v>206</v>
      </c>
      <c r="FD1393" s="1" t="s">
        <v>268</v>
      </c>
      <c r="FE1393" s="1" t="s">
        <v>229</v>
      </c>
      <c r="FF1393" s="1" t="s">
        <v>239</v>
      </c>
      <c r="FG1393" s="1" t="s">
        <v>192</v>
      </c>
      <c r="FH1393" s="1" t="s">
        <v>192</v>
      </c>
      <c r="FJ1393" s="1" t="s">
        <v>14444</v>
      </c>
      <c r="FK1393" s="1" t="s">
        <v>229</v>
      </c>
      <c r="FL1393" s="1" t="s">
        <v>1007</v>
      </c>
      <c r="FM1393" s="1">
        <v>23196.0</v>
      </c>
      <c r="FN1393" s="1" t="s">
        <v>3741</v>
      </c>
      <c r="FO1393" s="1" t="s">
        <v>14445</v>
      </c>
      <c r="FP1393" s="1">
        <v>231926.0</v>
      </c>
      <c r="FQ1393" s="1" t="s">
        <v>14446</v>
      </c>
      <c r="FS1393" s="1" t="s">
        <v>14447</v>
      </c>
      <c r="FU1393" s="1" t="s">
        <v>14448</v>
      </c>
      <c r="FV1393" s="1" t="s">
        <v>200</v>
      </c>
      <c r="FW1393" s="1" t="s">
        <v>631</v>
      </c>
      <c r="FZ1393" s="1" t="s">
        <v>229</v>
      </c>
      <c r="GA1393" s="1" t="s">
        <v>291</v>
      </c>
      <c r="GB1393" s="2">
        <v>42082.0</v>
      </c>
      <c r="GC1393" s="1" t="s">
        <v>14449</v>
      </c>
    </row>
    <row r="1394">
      <c r="A1394" s="1">
        <v>545000.0</v>
      </c>
      <c r="B1394" s="1" t="s">
        <v>185</v>
      </c>
      <c r="C1394" s="1" t="str">
        <f>"08657053"</f>
        <v>08657053</v>
      </c>
      <c r="D1394" s="1" t="s">
        <v>186</v>
      </c>
      <c r="F1394" s="1" t="str">
        <f>"8005"</f>
        <v>8005</v>
      </c>
      <c r="G1394" s="2">
        <v>41817.0</v>
      </c>
      <c r="H1394" s="1">
        <v>539000.0</v>
      </c>
      <c r="I1394" s="1">
        <v>4.0</v>
      </c>
      <c r="J1394" s="1">
        <v>539000.0</v>
      </c>
      <c r="K1394" s="2">
        <v>41819.0</v>
      </c>
      <c r="L1394" s="1">
        <v>4.0</v>
      </c>
      <c r="M1394" s="2">
        <v>41819.0</v>
      </c>
      <c r="N1394" s="1" t="s">
        <v>187</v>
      </c>
      <c r="O1394" s="2">
        <v>41978.0</v>
      </c>
      <c r="P1394" s="1">
        <v>133475.0</v>
      </c>
      <c r="Q1394" s="1">
        <v>16379.0</v>
      </c>
      <c r="S1394" s="1">
        <v>2147.0</v>
      </c>
      <c r="T1394" s="1" t="s">
        <v>14450</v>
      </c>
      <c r="U1394" s="1" t="s">
        <v>189</v>
      </c>
      <c r="V1394" s="1" t="s">
        <v>190</v>
      </c>
      <c r="W1394" s="1">
        <v>60618.0</v>
      </c>
      <c r="Y1394" s="1" t="s">
        <v>14451</v>
      </c>
      <c r="Z1394" s="1">
        <v>1889.0</v>
      </c>
      <c r="AA1394" s="1" t="s">
        <v>192</v>
      </c>
      <c r="AB1394" s="1" t="s">
        <v>193</v>
      </c>
      <c r="AD1394" s="1" t="s">
        <v>194</v>
      </c>
      <c r="AE1394" s="1" t="s">
        <v>195</v>
      </c>
      <c r="AF1394" s="1" t="s">
        <v>2645</v>
      </c>
      <c r="AH1394" s="1" t="s">
        <v>359</v>
      </c>
      <c r="AI1394" s="1">
        <v>0.0717</v>
      </c>
      <c r="AK1394" s="1">
        <v>6.0</v>
      </c>
      <c r="AL1394" s="1">
        <v>4.0</v>
      </c>
      <c r="AM1394" s="1">
        <v>2.0</v>
      </c>
      <c r="AN1394" s="1">
        <v>0.0</v>
      </c>
      <c r="AO1394" s="1" t="s">
        <v>229</v>
      </c>
      <c r="AQ1394" s="1" t="s">
        <v>229</v>
      </c>
      <c r="AR1394" s="1" t="s">
        <v>200</v>
      </c>
      <c r="AS1394" s="1" t="s">
        <v>828</v>
      </c>
      <c r="AU1394" s="1">
        <v>2.0</v>
      </c>
      <c r="AV1394" s="1" t="s">
        <v>200</v>
      </c>
      <c r="AW1394" s="1">
        <v>5546.48</v>
      </c>
      <c r="AX1394" s="1">
        <v>2012.0</v>
      </c>
      <c r="AZ1394" s="1" t="s">
        <v>200</v>
      </c>
      <c r="BA1394" s="1" t="str">
        <f>"14183190060000"</f>
        <v>14183190060000</v>
      </c>
      <c r="BB1394" s="1" t="s">
        <v>200</v>
      </c>
      <c r="BC1394" s="1">
        <v>1600.0</v>
      </c>
      <c r="BD1394" s="1">
        <v>545000.0</v>
      </c>
      <c r="BE1394" s="2">
        <v>41816.0</v>
      </c>
      <c r="BF1394" s="1" t="s">
        <v>14452</v>
      </c>
      <c r="BH1394" s="1">
        <v>0.0</v>
      </c>
      <c r="BK1394" s="1" t="s">
        <v>204</v>
      </c>
      <c r="BL1394" s="1" t="str">
        <f>"4200"</f>
        <v>4200</v>
      </c>
      <c r="BM1394" s="1" t="str">
        <f>"0"</f>
        <v>0</v>
      </c>
      <c r="BN1394" s="1">
        <v>2147.0</v>
      </c>
      <c r="BO1394" s="1">
        <v>0.0</v>
      </c>
      <c r="BQ1394" s="1">
        <v>299.0</v>
      </c>
      <c r="BR1394" s="1">
        <v>299.0</v>
      </c>
      <c r="BS1394" s="1">
        <v>299.0</v>
      </c>
      <c r="BU1394" s="1" t="s">
        <v>1483</v>
      </c>
      <c r="BV1394" s="1" t="s">
        <v>209</v>
      </c>
      <c r="BY1394" s="1" t="s">
        <v>269</v>
      </c>
      <c r="BZ1394" s="1" t="s">
        <v>209</v>
      </c>
      <c r="CD1394" s="1" t="s">
        <v>204</v>
      </c>
      <c r="CG1394" s="1" t="s">
        <v>269</v>
      </c>
      <c r="CH1394" s="1" t="s">
        <v>206</v>
      </c>
      <c r="CK1394" s="1" t="s">
        <v>269</v>
      </c>
      <c r="CL1394" s="1" t="s">
        <v>209</v>
      </c>
      <c r="CO1394" s="1" t="s">
        <v>269</v>
      </c>
      <c r="CP1394" s="1" t="s">
        <v>206</v>
      </c>
      <c r="CS1394" s="1" t="s">
        <v>330</v>
      </c>
      <c r="CT1394" s="1" t="s">
        <v>209</v>
      </c>
      <c r="CX1394" s="1" t="s">
        <v>204</v>
      </c>
      <c r="DA1394" s="1" t="s">
        <v>200</v>
      </c>
      <c r="DC1394" s="1" t="s">
        <v>642</v>
      </c>
      <c r="DE1394" s="1" t="s">
        <v>1139</v>
      </c>
      <c r="DF1394" s="1" t="s">
        <v>619</v>
      </c>
      <c r="DG1394" s="1" t="s">
        <v>2311</v>
      </c>
      <c r="DH1394" s="1" t="s">
        <v>365</v>
      </c>
      <c r="DJ1394" s="1" t="s">
        <v>222</v>
      </c>
      <c r="DL1394" s="1" t="s">
        <v>520</v>
      </c>
      <c r="DM1394" s="1" t="s">
        <v>1464</v>
      </c>
      <c r="DO1394" s="1" t="s">
        <v>4234</v>
      </c>
      <c r="DQ1394" s="1" t="s">
        <v>228</v>
      </c>
      <c r="DR1394" s="1" t="s">
        <v>229</v>
      </c>
      <c r="DV1394" s="1" t="s">
        <v>232</v>
      </c>
      <c r="DW1394" s="1" t="s">
        <v>8064</v>
      </c>
      <c r="DX1394" s="1" t="s">
        <v>14453</v>
      </c>
      <c r="DZ1394" s="1" t="s">
        <v>343</v>
      </c>
      <c r="EA1394" s="1" t="s">
        <v>12644</v>
      </c>
      <c r="EC1394" s="1" t="s">
        <v>237</v>
      </c>
      <c r="EE1394" s="1" t="s">
        <v>2649</v>
      </c>
      <c r="EF1394" s="1" t="s">
        <v>1572</v>
      </c>
      <c r="EM1394" s="1" t="s">
        <v>238</v>
      </c>
      <c r="EQ1394" s="1" t="s">
        <v>238</v>
      </c>
      <c r="EU1394" s="1" t="s">
        <v>238</v>
      </c>
      <c r="EY1394" s="1" t="s">
        <v>238</v>
      </c>
      <c r="FC1394" s="1" t="s">
        <v>238</v>
      </c>
      <c r="FF1394" s="1" t="s">
        <v>239</v>
      </c>
      <c r="FG1394" s="1" t="s">
        <v>192</v>
      </c>
      <c r="FH1394" s="1" t="s">
        <v>192</v>
      </c>
      <c r="FJ1394" s="1" t="s">
        <v>14454</v>
      </c>
      <c r="FK1394" s="1" t="s">
        <v>1586</v>
      </c>
      <c r="FL1394" s="1" t="s">
        <v>14455</v>
      </c>
      <c r="FM1394" s="1">
        <v>85604.0</v>
      </c>
      <c r="FN1394" s="1" t="s">
        <v>14456</v>
      </c>
      <c r="FO1394" s="1" t="s">
        <v>12154</v>
      </c>
      <c r="FP1394" s="1">
        <v>137198.0</v>
      </c>
      <c r="FQ1394" s="1" t="s">
        <v>14457</v>
      </c>
      <c r="FU1394" s="1" t="s">
        <v>14458</v>
      </c>
      <c r="FV1394" s="1" t="s">
        <v>200</v>
      </c>
      <c r="FW1394" s="1" t="s">
        <v>14459</v>
      </c>
      <c r="FX1394" s="1" t="s">
        <v>246</v>
      </c>
      <c r="FZ1394" s="1" t="s">
        <v>229</v>
      </c>
      <c r="GA1394" s="1" t="s">
        <v>291</v>
      </c>
      <c r="GB1394" s="2">
        <v>41980.0</v>
      </c>
      <c r="GC1394" s="1" t="s">
        <v>14460</v>
      </c>
    </row>
    <row r="1395">
      <c r="A1395" s="1">
        <v>120000.0</v>
      </c>
      <c r="B1395" s="1" t="s">
        <v>185</v>
      </c>
      <c r="C1395" s="1" t="str">
        <f>"08658053"</f>
        <v>08658053</v>
      </c>
      <c r="D1395" s="1" t="s">
        <v>186</v>
      </c>
      <c r="F1395" s="1" t="str">
        <f>"8043"</f>
        <v>8043</v>
      </c>
      <c r="G1395" s="2">
        <v>41817.0</v>
      </c>
      <c r="H1395" s="1">
        <v>135000.0</v>
      </c>
      <c r="I1395" s="1">
        <v>167.0</v>
      </c>
      <c r="J1395" s="1">
        <v>135000.0</v>
      </c>
      <c r="K1395" s="2">
        <v>41876.0</v>
      </c>
      <c r="L1395" s="1">
        <v>60.0</v>
      </c>
      <c r="M1395" s="2">
        <v>41876.0</v>
      </c>
      <c r="N1395" s="1" t="s">
        <v>1512</v>
      </c>
      <c r="O1395" s="2">
        <v>41969.0</v>
      </c>
      <c r="P1395" s="1">
        <v>185244.0</v>
      </c>
      <c r="Q1395" s="1">
        <v>15391.0</v>
      </c>
      <c r="R1395" s="1">
        <v>7.2</v>
      </c>
      <c r="S1395" s="1">
        <v>7308.0</v>
      </c>
      <c r="T1395" s="1" t="s">
        <v>8390</v>
      </c>
      <c r="U1395" s="1" t="s">
        <v>189</v>
      </c>
      <c r="V1395" s="1" t="s">
        <v>190</v>
      </c>
      <c r="W1395" s="1">
        <v>60649.0</v>
      </c>
      <c r="Y1395" s="1" t="s">
        <v>14461</v>
      </c>
      <c r="Z1395" s="1">
        <v>1916.0</v>
      </c>
      <c r="AA1395" s="1" t="s">
        <v>192</v>
      </c>
      <c r="AB1395" s="1" t="s">
        <v>193</v>
      </c>
      <c r="AD1395" s="1" t="s">
        <v>194</v>
      </c>
      <c r="AE1395" s="1" t="s">
        <v>195</v>
      </c>
      <c r="AF1395" s="1" t="s">
        <v>637</v>
      </c>
      <c r="AH1395" s="1">
        <v>3780.0</v>
      </c>
      <c r="AI1395" s="1">
        <v>0.0868</v>
      </c>
      <c r="AK1395" s="1">
        <v>8.0</v>
      </c>
      <c r="AL1395" s="1">
        <v>3.0</v>
      </c>
      <c r="AM1395" s="1">
        <v>2.0</v>
      </c>
      <c r="AN1395" s="1">
        <v>0.0</v>
      </c>
      <c r="AO1395" s="1" t="s">
        <v>229</v>
      </c>
      <c r="AQ1395" s="1" t="s">
        <v>327</v>
      </c>
      <c r="AR1395" s="1" t="s">
        <v>192</v>
      </c>
      <c r="AS1395" s="1" t="s">
        <v>199</v>
      </c>
      <c r="AT1395" s="1">
        <v>2.0</v>
      </c>
      <c r="AV1395" s="1" t="s">
        <v>200</v>
      </c>
      <c r="AW1395" s="1">
        <v>2344.0</v>
      </c>
      <c r="AX1395" s="1">
        <v>2012.0</v>
      </c>
      <c r="AZ1395" s="1" t="s">
        <v>200</v>
      </c>
      <c r="BA1395" s="1" t="str">
        <f>"20251280190000"</f>
        <v>20251280190000</v>
      </c>
      <c r="BB1395" s="1" t="s">
        <v>200</v>
      </c>
      <c r="BC1395" s="1">
        <v>1280.0</v>
      </c>
      <c r="BD1395" s="1">
        <v>120000.0</v>
      </c>
      <c r="BE1395" s="2">
        <v>41817.0</v>
      </c>
      <c r="BF1395" s="2" t="s">
        <v>14462</v>
      </c>
      <c r="BH1395" s="1">
        <v>0.0</v>
      </c>
      <c r="BK1395" s="1" t="s">
        <v>204</v>
      </c>
      <c r="BL1395" s="1" t="str">
        <f>"0"</f>
        <v>0</v>
      </c>
      <c r="BM1395" s="1" t="str">
        <f>"1900"</f>
        <v>1900</v>
      </c>
      <c r="BN1395" s="1">
        <v>0.0</v>
      </c>
      <c r="BO1395" s="1">
        <v>7308.0</v>
      </c>
      <c r="BQ1395" s="1">
        <v>299.0</v>
      </c>
      <c r="BR1395" s="1">
        <v>299.0</v>
      </c>
      <c r="BS1395" s="1">
        <v>299.0</v>
      </c>
      <c r="BU1395" s="1" t="s">
        <v>1534</v>
      </c>
      <c r="BV1395" s="1" t="s">
        <v>206</v>
      </c>
      <c r="BW1395" s="1" t="s">
        <v>207</v>
      </c>
      <c r="BY1395" s="1" t="s">
        <v>264</v>
      </c>
      <c r="BZ1395" s="1" t="s">
        <v>206</v>
      </c>
      <c r="CA1395" s="1" t="s">
        <v>210</v>
      </c>
      <c r="CC1395" s="1" t="s">
        <v>729</v>
      </c>
      <c r="CD1395" s="1" t="s">
        <v>206</v>
      </c>
      <c r="CE1395" s="1" t="s">
        <v>207</v>
      </c>
      <c r="CG1395" s="1" t="s">
        <v>495</v>
      </c>
      <c r="CH1395" s="1" t="s">
        <v>206</v>
      </c>
      <c r="CI1395" s="1" t="s">
        <v>207</v>
      </c>
      <c r="CK1395" s="1" t="s">
        <v>211</v>
      </c>
      <c r="CL1395" s="1" t="s">
        <v>209</v>
      </c>
      <c r="CM1395" s="1" t="s">
        <v>210</v>
      </c>
      <c r="CO1395" s="1" t="s">
        <v>266</v>
      </c>
      <c r="CP1395" s="1" t="s">
        <v>42</v>
      </c>
      <c r="CQ1395" s="1" t="s">
        <v>210</v>
      </c>
      <c r="CS1395" s="1" t="s">
        <v>205</v>
      </c>
      <c r="CT1395" s="1" t="s">
        <v>206</v>
      </c>
      <c r="CU1395" s="1" t="s">
        <v>301</v>
      </c>
      <c r="CW1395" s="1" t="s">
        <v>1286</v>
      </c>
      <c r="CX1395" s="1" t="s">
        <v>42</v>
      </c>
      <c r="CY1395" s="1" t="s">
        <v>210</v>
      </c>
      <c r="DA1395" s="1" t="s">
        <v>200</v>
      </c>
      <c r="DC1395" s="1" t="s">
        <v>216</v>
      </c>
      <c r="DD1395" s="1" t="s">
        <v>731</v>
      </c>
      <c r="DE1395" s="1" t="s">
        <v>273</v>
      </c>
      <c r="DF1395" s="1" t="s">
        <v>219</v>
      </c>
      <c r="DH1395" s="1" t="s">
        <v>365</v>
      </c>
      <c r="DI1395" s="1" t="s">
        <v>9434</v>
      </c>
      <c r="DJ1395" s="1" t="s">
        <v>222</v>
      </c>
      <c r="DK1395" s="1" t="s">
        <v>224</v>
      </c>
      <c r="DL1395" s="1" t="s">
        <v>1161</v>
      </c>
      <c r="DM1395" s="1" t="s">
        <v>1402</v>
      </c>
      <c r="DN1395" s="1" t="s">
        <v>666</v>
      </c>
      <c r="DO1395" s="1" t="s">
        <v>549</v>
      </c>
      <c r="DP1395" s="1" t="s">
        <v>340</v>
      </c>
      <c r="DQ1395" s="1" t="s">
        <v>228</v>
      </c>
      <c r="DR1395" s="1" t="s">
        <v>229</v>
      </c>
      <c r="DS1395" s="1" t="s">
        <v>230</v>
      </c>
      <c r="DV1395" s="1" t="s">
        <v>14463</v>
      </c>
      <c r="DW1395" s="1" t="s">
        <v>279</v>
      </c>
      <c r="DX1395" s="1" t="s">
        <v>234</v>
      </c>
      <c r="DY1395" s="1" t="s">
        <v>14464</v>
      </c>
      <c r="EA1395" s="1" t="s">
        <v>644</v>
      </c>
      <c r="EC1395" s="1" t="s">
        <v>645</v>
      </c>
      <c r="EG1395" s="1" t="s">
        <v>1270</v>
      </c>
      <c r="EH1395" s="1" t="s">
        <v>374</v>
      </c>
      <c r="EL1395" s="1" t="s">
        <v>1688</v>
      </c>
      <c r="EM1395" s="1" t="s">
        <v>42</v>
      </c>
      <c r="EN1395" s="1" t="s">
        <v>588</v>
      </c>
      <c r="EP1395" s="1" t="s">
        <v>2617</v>
      </c>
      <c r="EQ1395" s="1" t="s">
        <v>206</v>
      </c>
      <c r="ER1395" s="1" t="s">
        <v>588</v>
      </c>
      <c r="EU1395" s="1" t="s">
        <v>238</v>
      </c>
      <c r="EY1395" s="1" t="s">
        <v>238</v>
      </c>
      <c r="FC1395" s="1" t="s">
        <v>238</v>
      </c>
      <c r="FF1395" s="1" t="s">
        <v>239</v>
      </c>
      <c r="FG1395" s="1" t="s">
        <v>192</v>
      </c>
      <c r="FH1395" s="1" t="s">
        <v>192</v>
      </c>
      <c r="FJ1395" s="1" t="s">
        <v>14465</v>
      </c>
      <c r="FK1395" s="1" t="s">
        <v>348</v>
      </c>
      <c r="FL1395" s="1" t="s">
        <v>9995</v>
      </c>
      <c r="FM1395" s="1">
        <v>8096.0</v>
      </c>
      <c r="FN1395" s="1" t="s">
        <v>9996</v>
      </c>
      <c r="FO1395" s="1" t="s">
        <v>14466</v>
      </c>
      <c r="FP1395" s="1">
        <v>82289.0</v>
      </c>
      <c r="FQ1395" s="1" t="s">
        <v>14467</v>
      </c>
      <c r="FU1395" s="1" t="s">
        <v>14468</v>
      </c>
      <c r="FV1395" s="1" t="s">
        <v>200</v>
      </c>
      <c r="FW1395" s="1" t="s">
        <v>290</v>
      </c>
      <c r="FX1395" s="1" t="s">
        <v>655</v>
      </c>
      <c r="FZ1395" s="1" t="s">
        <v>229</v>
      </c>
      <c r="GA1395" s="1" t="s">
        <v>291</v>
      </c>
      <c r="GB1395" s="2">
        <v>41970.0</v>
      </c>
    </row>
    <row r="1396">
      <c r="A1396" s="1">
        <v>295000.0</v>
      </c>
      <c r="B1396" s="1" t="s">
        <v>185</v>
      </c>
      <c r="C1396" s="1" t="str">
        <f>"08660000"</f>
        <v>08660000</v>
      </c>
      <c r="D1396" s="1" t="s">
        <v>186</v>
      </c>
      <c r="F1396" s="1" t="str">
        <f>"8010"</f>
        <v>8010</v>
      </c>
      <c r="G1396" s="2">
        <v>41820.0</v>
      </c>
      <c r="H1396" s="1">
        <v>344900.0</v>
      </c>
      <c r="I1396" s="1">
        <v>109.0</v>
      </c>
      <c r="J1396" s="1">
        <v>319900.0</v>
      </c>
      <c r="K1396" s="2">
        <v>41928.0</v>
      </c>
      <c r="L1396" s="1">
        <v>109.0</v>
      </c>
      <c r="M1396" s="2">
        <v>41928.0</v>
      </c>
      <c r="N1396" s="1" t="s">
        <v>356</v>
      </c>
      <c r="O1396" s="2">
        <v>41982.0</v>
      </c>
      <c r="P1396" s="1">
        <v>28990.0</v>
      </c>
      <c r="Q1396" s="1">
        <v>8426.0</v>
      </c>
      <c r="S1396" s="1">
        <v>7548.0</v>
      </c>
      <c r="T1396" s="1" t="s">
        <v>14469</v>
      </c>
      <c r="U1396" s="1" t="s">
        <v>189</v>
      </c>
      <c r="V1396" s="1" t="s">
        <v>190</v>
      </c>
      <c r="W1396" s="1">
        <v>60631.0</v>
      </c>
      <c r="Y1396" s="1" t="s">
        <v>14470</v>
      </c>
      <c r="Z1396" s="1">
        <v>1954.0</v>
      </c>
      <c r="AA1396" s="1" t="s">
        <v>192</v>
      </c>
      <c r="AB1396" s="1" t="s">
        <v>193</v>
      </c>
      <c r="AD1396" s="1" t="s">
        <v>194</v>
      </c>
      <c r="AE1396" s="1" t="s">
        <v>195</v>
      </c>
      <c r="AF1396" s="1" t="s">
        <v>196</v>
      </c>
      <c r="AG1396" s="1" t="s">
        <v>874</v>
      </c>
      <c r="AH1396" s="1" t="s">
        <v>1515</v>
      </c>
      <c r="AK1396" s="1">
        <v>7.0</v>
      </c>
      <c r="AL1396" s="1">
        <v>4.0</v>
      </c>
      <c r="AM1396" s="1">
        <v>2.0</v>
      </c>
      <c r="AN1396" s="1">
        <v>0.0</v>
      </c>
      <c r="AO1396" s="1" t="s">
        <v>198</v>
      </c>
      <c r="AQ1396" s="1" t="s">
        <v>198</v>
      </c>
      <c r="AR1396" s="1" t="s">
        <v>200</v>
      </c>
      <c r="AS1396" s="1" t="s">
        <v>199</v>
      </c>
      <c r="AT1396" s="1">
        <v>1.0</v>
      </c>
      <c r="AV1396" s="1" t="s">
        <v>200</v>
      </c>
      <c r="AW1396" s="1">
        <v>1222.0</v>
      </c>
      <c r="AX1396" s="1">
        <v>2012.0</v>
      </c>
      <c r="AY1396" s="1" t="s">
        <v>1917</v>
      </c>
      <c r="AZ1396" s="1" t="s">
        <v>200</v>
      </c>
      <c r="BA1396" s="1" t="str">
        <f>"12012080710000"</f>
        <v>12012080710000</v>
      </c>
      <c r="BC1396" s="1">
        <v>1312.0</v>
      </c>
      <c r="BD1396" s="1">
        <v>295000.0</v>
      </c>
      <c r="BE1396" s="2">
        <v>41820.0</v>
      </c>
      <c r="BF1396" s="2" t="s">
        <v>14471</v>
      </c>
      <c r="BG1396" s="1" t="s">
        <v>14472</v>
      </c>
      <c r="BH1396" s="1">
        <v>0.0</v>
      </c>
      <c r="BI1396" s="1" t="s">
        <v>14472</v>
      </c>
      <c r="BJ1396" s="1" t="s">
        <v>1222</v>
      </c>
      <c r="BK1396" s="1" t="s">
        <v>204</v>
      </c>
      <c r="BL1396" s="1" t="str">
        <f>"8"</f>
        <v>8</v>
      </c>
      <c r="BM1396" s="1" t="str">
        <f>"0"</f>
        <v>0</v>
      </c>
      <c r="BN1396" s="1">
        <v>9.0</v>
      </c>
      <c r="BO1396" s="1">
        <v>0.0</v>
      </c>
      <c r="BQ1396" s="1">
        <v>299.0</v>
      </c>
      <c r="BR1396" s="1">
        <v>299.0</v>
      </c>
      <c r="BS1396" s="1">
        <v>299.0</v>
      </c>
      <c r="BU1396" s="1" t="s">
        <v>213</v>
      </c>
      <c r="BV1396" s="1" t="s">
        <v>206</v>
      </c>
      <c r="BW1396" s="1" t="s">
        <v>207</v>
      </c>
      <c r="BX1396" s="1" t="s">
        <v>239</v>
      </c>
      <c r="BY1396" s="1" t="s">
        <v>582</v>
      </c>
      <c r="BZ1396" s="1" t="s">
        <v>206</v>
      </c>
      <c r="CA1396" s="1" t="s">
        <v>207</v>
      </c>
      <c r="CB1396" s="1" t="s">
        <v>239</v>
      </c>
      <c r="CC1396" s="1" t="s">
        <v>2047</v>
      </c>
      <c r="CD1396" s="1" t="s">
        <v>206</v>
      </c>
      <c r="CE1396" s="1" t="s">
        <v>207</v>
      </c>
      <c r="CF1396" s="1" t="s">
        <v>239</v>
      </c>
      <c r="CG1396" s="1" t="s">
        <v>392</v>
      </c>
      <c r="CH1396" s="1" t="s">
        <v>206</v>
      </c>
      <c r="CI1396" s="1" t="s">
        <v>207</v>
      </c>
      <c r="CJ1396" s="1" t="s">
        <v>239</v>
      </c>
      <c r="CK1396" s="1" t="s">
        <v>269</v>
      </c>
      <c r="CL1396" s="1" t="s">
        <v>206</v>
      </c>
      <c r="CM1396" s="1" t="s">
        <v>207</v>
      </c>
      <c r="CN1396" s="1" t="s">
        <v>239</v>
      </c>
      <c r="CO1396" s="1" t="s">
        <v>543</v>
      </c>
      <c r="CP1396" s="1" t="s">
        <v>206</v>
      </c>
      <c r="CQ1396" s="1" t="s">
        <v>207</v>
      </c>
      <c r="CR1396" s="1" t="s">
        <v>239</v>
      </c>
      <c r="CS1396" s="1" t="s">
        <v>212</v>
      </c>
      <c r="CT1396" s="1" t="s">
        <v>206</v>
      </c>
      <c r="CU1396" s="1" t="s">
        <v>268</v>
      </c>
      <c r="CV1396" s="1" t="s">
        <v>239</v>
      </c>
      <c r="CX1396" s="1" t="s">
        <v>204</v>
      </c>
      <c r="DA1396" s="1" t="s">
        <v>200</v>
      </c>
      <c r="DC1396" s="1" t="s">
        <v>271</v>
      </c>
      <c r="DD1396" s="1" t="s">
        <v>518</v>
      </c>
      <c r="DE1396" s="1" t="s">
        <v>273</v>
      </c>
      <c r="DF1396" s="1" t="s">
        <v>219</v>
      </c>
      <c r="DG1396" s="1" t="s">
        <v>12862</v>
      </c>
      <c r="DH1396" s="1" t="s">
        <v>365</v>
      </c>
      <c r="DI1396" s="1" t="s">
        <v>703</v>
      </c>
      <c r="DJ1396" s="1" t="s">
        <v>222</v>
      </c>
      <c r="DL1396" s="1" t="s">
        <v>223</v>
      </c>
      <c r="DM1396" s="1" t="s">
        <v>1143</v>
      </c>
      <c r="DO1396" s="1" t="s">
        <v>12267</v>
      </c>
      <c r="DQ1396" s="1" t="s">
        <v>228</v>
      </c>
      <c r="DR1396" s="1" t="s">
        <v>229</v>
      </c>
      <c r="DS1396" s="1" t="s">
        <v>230</v>
      </c>
      <c r="DV1396" s="1" t="s">
        <v>408</v>
      </c>
      <c r="DW1396" s="1" t="s">
        <v>279</v>
      </c>
      <c r="DX1396" s="1" t="s">
        <v>309</v>
      </c>
      <c r="DY1396" s="1" t="s">
        <v>2579</v>
      </c>
      <c r="DZ1396" s="1" t="s">
        <v>282</v>
      </c>
      <c r="EA1396" s="1" t="s">
        <v>683</v>
      </c>
      <c r="EC1396" s="1" t="s">
        <v>685</v>
      </c>
      <c r="ED1396" s="1" t="s">
        <v>407</v>
      </c>
      <c r="EE1396" s="1" t="s">
        <v>493</v>
      </c>
      <c r="EG1396" s="1" t="s">
        <v>408</v>
      </c>
      <c r="EL1396" s="1" t="s">
        <v>2337</v>
      </c>
      <c r="EM1396" s="1" t="s">
        <v>206</v>
      </c>
      <c r="EN1396" s="1" t="s">
        <v>207</v>
      </c>
      <c r="EQ1396" s="1" t="s">
        <v>238</v>
      </c>
      <c r="EU1396" s="1" t="s">
        <v>238</v>
      </c>
      <c r="EY1396" s="1" t="s">
        <v>238</v>
      </c>
      <c r="FC1396" s="1" t="s">
        <v>238</v>
      </c>
      <c r="FF1396" s="1" t="s">
        <v>239</v>
      </c>
      <c r="FG1396" s="1" t="s">
        <v>192</v>
      </c>
      <c r="FH1396" s="1" t="s">
        <v>192</v>
      </c>
      <c r="FJ1396" s="1" t="s">
        <v>14473</v>
      </c>
      <c r="FK1396" s="1" t="s">
        <v>229</v>
      </c>
      <c r="FL1396" s="1" t="s">
        <v>1124</v>
      </c>
      <c r="FM1396" s="1">
        <v>8058.0</v>
      </c>
      <c r="FN1396" s="1" t="s">
        <v>1125</v>
      </c>
      <c r="FO1396" s="1" t="s">
        <v>14474</v>
      </c>
      <c r="FP1396" s="1">
        <v>82468.0</v>
      </c>
      <c r="FQ1396" s="1" t="s">
        <v>14475</v>
      </c>
      <c r="FU1396" s="1" t="s">
        <v>14476</v>
      </c>
      <c r="FV1396" s="1" t="s">
        <v>200</v>
      </c>
      <c r="FW1396" s="1" t="s">
        <v>1411</v>
      </c>
      <c r="FX1396" s="1" t="s">
        <v>246</v>
      </c>
      <c r="FZ1396" s="1" t="s">
        <v>229</v>
      </c>
      <c r="GA1396" s="1" t="s">
        <v>291</v>
      </c>
      <c r="GB1396" s="2">
        <v>41982.0</v>
      </c>
      <c r="GC1396" s="1" t="s">
        <v>14477</v>
      </c>
    </row>
    <row r="1397">
      <c r="A1397" s="1">
        <v>240000.0</v>
      </c>
      <c r="B1397" s="1" t="s">
        <v>185</v>
      </c>
      <c r="C1397" s="1" t="str">
        <f>"08658795"</f>
        <v>08658795</v>
      </c>
      <c r="D1397" s="1" t="s">
        <v>186</v>
      </c>
      <c r="F1397" s="1" t="str">
        <f>"115"</f>
        <v>115</v>
      </c>
      <c r="G1397" s="2">
        <v>41819.0</v>
      </c>
      <c r="H1397" s="1">
        <v>299000.0</v>
      </c>
      <c r="I1397" s="1">
        <v>156.0</v>
      </c>
      <c r="J1397" s="1">
        <v>279000.0</v>
      </c>
      <c r="K1397" s="2">
        <v>41974.0</v>
      </c>
      <c r="L1397" s="1">
        <v>156.0</v>
      </c>
      <c r="M1397" s="2">
        <v>41974.0</v>
      </c>
      <c r="N1397" s="1" t="s">
        <v>249</v>
      </c>
      <c r="O1397" s="2">
        <v>41984.0</v>
      </c>
      <c r="P1397" s="1">
        <v>931580.0</v>
      </c>
      <c r="Q1397" s="1">
        <v>93043.0</v>
      </c>
      <c r="S1397" s="1">
        <v>359.0</v>
      </c>
      <c r="T1397" s="1" t="s">
        <v>14478</v>
      </c>
      <c r="U1397" s="1" t="s">
        <v>189</v>
      </c>
      <c r="V1397" s="1" t="s">
        <v>610</v>
      </c>
      <c r="W1397" s="1">
        <v>60115.0</v>
      </c>
      <c r="Y1397" s="1" t="s">
        <v>14479</v>
      </c>
      <c r="Z1397" s="1">
        <v>2005.0</v>
      </c>
      <c r="AA1397" s="1" t="s">
        <v>200</v>
      </c>
      <c r="AB1397" s="1" t="s">
        <v>467</v>
      </c>
      <c r="AC1397" s="1" t="s">
        <v>14480</v>
      </c>
      <c r="AD1397" s="1" t="s">
        <v>1089</v>
      </c>
      <c r="AE1397" s="1" t="s">
        <v>613</v>
      </c>
      <c r="AF1397" s="1" t="s">
        <v>612</v>
      </c>
      <c r="AH1397" s="1" t="s">
        <v>14481</v>
      </c>
      <c r="AK1397" s="1">
        <v>7.0</v>
      </c>
      <c r="AL1397" s="1">
        <v>4.0</v>
      </c>
      <c r="AM1397" s="1">
        <v>2.0</v>
      </c>
      <c r="AN1397" s="1">
        <v>1.0</v>
      </c>
      <c r="AO1397" s="1" t="s">
        <v>198</v>
      </c>
      <c r="AP1397" s="1">
        <v>1.0</v>
      </c>
      <c r="AQ1397" s="1" t="s">
        <v>198</v>
      </c>
      <c r="AR1397" s="1" t="s">
        <v>200</v>
      </c>
      <c r="AS1397" s="1" t="s">
        <v>199</v>
      </c>
      <c r="AT1397" s="1">
        <v>3.0</v>
      </c>
      <c r="AV1397" s="1" t="s">
        <v>200</v>
      </c>
      <c r="AW1397" s="1">
        <v>11187.0</v>
      </c>
      <c r="AX1397" s="1">
        <v>2013.0</v>
      </c>
      <c r="AY1397" s="1" t="s">
        <v>229</v>
      </c>
      <c r="AZ1397" s="1" t="s">
        <v>200</v>
      </c>
      <c r="BA1397" s="1" t="str">
        <f>"0802326004"</f>
        <v>0802326004</v>
      </c>
      <c r="BB1397" s="1" t="s">
        <v>200</v>
      </c>
      <c r="BC1397" s="1">
        <v>2800.0</v>
      </c>
      <c r="BD1397" s="1">
        <v>240000.0</v>
      </c>
      <c r="BE1397" s="2">
        <v>41819.0</v>
      </c>
      <c r="BF1397" s="2" t="s">
        <v>14482</v>
      </c>
      <c r="BH1397" s="1">
        <v>60.0</v>
      </c>
      <c r="BK1397" s="1" t="s">
        <v>474</v>
      </c>
      <c r="BL1397" s="1" t="str">
        <f t="shared" ref="BL1397:BM1397" si="919">"0"</f>
        <v>0</v>
      </c>
      <c r="BM1397" s="1" t="str">
        <f t="shared" si="919"/>
        <v>0</v>
      </c>
      <c r="BN1397" s="1">
        <v>0.0</v>
      </c>
      <c r="BO1397" s="1">
        <v>0.0</v>
      </c>
      <c r="BQ1397" s="1">
        <v>428.0</v>
      </c>
      <c r="BR1397" s="1">
        <v>428.0</v>
      </c>
      <c r="BS1397" s="1">
        <v>428.0</v>
      </c>
      <c r="BV1397" s="1" t="s">
        <v>204</v>
      </c>
      <c r="BY1397" s="1" t="s">
        <v>12565</v>
      </c>
      <c r="BZ1397" s="1" t="s">
        <v>206</v>
      </c>
      <c r="CA1397" s="1" t="s">
        <v>210</v>
      </c>
      <c r="CC1397" s="1" t="s">
        <v>1190</v>
      </c>
      <c r="CD1397" s="1" t="s">
        <v>206</v>
      </c>
      <c r="CE1397" s="1" t="s">
        <v>207</v>
      </c>
      <c r="CG1397" s="1" t="s">
        <v>1299</v>
      </c>
      <c r="CH1397" s="1" t="s">
        <v>209</v>
      </c>
      <c r="CI1397" s="1" t="s">
        <v>210</v>
      </c>
      <c r="CK1397" s="1" t="s">
        <v>302</v>
      </c>
      <c r="CL1397" s="1" t="s">
        <v>209</v>
      </c>
      <c r="CM1397" s="1" t="s">
        <v>210</v>
      </c>
      <c r="CO1397" s="1" t="s">
        <v>9202</v>
      </c>
      <c r="CP1397" s="1" t="s">
        <v>209</v>
      </c>
      <c r="CQ1397" s="1" t="s">
        <v>210</v>
      </c>
      <c r="CS1397" s="1" t="s">
        <v>2647</v>
      </c>
      <c r="CT1397" s="1" t="s">
        <v>206</v>
      </c>
      <c r="CU1397" s="1" t="s">
        <v>207</v>
      </c>
      <c r="CW1397" s="1" t="s">
        <v>304</v>
      </c>
      <c r="CX1397" s="1" t="s">
        <v>206</v>
      </c>
      <c r="CY1397" s="1" t="s">
        <v>207</v>
      </c>
      <c r="DA1397" s="1" t="s">
        <v>200</v>
      </c>
      <c r="DC1397" s="1" t="s">
        <v>481</v>
      </c>
      <c r="DD1397" s="1" t="s">
        <v>336</v>
      </c>
      <c r="DE1397" s="1" t="s">
        <v>273</v>
      </c>
      <c r="DF1397" s="1" t="s">
        <v>219</v>
      </c>
      <c r="DG1397" s="1" t="s">
        <v>3020</v>
      </c>
      <c r="DH1397" s="1" t="s">
        <v>220</v>
      </c>
      <c r="DI1397" s="1" t="s">
        <v>366</v>
      </c>
      <c r="DJ1397" s="1" t="s">
        <v>222</v>
      </c>
      <c r="DK1397" s="1" t="s">
        <v>198</v>
      </c>
      <c r="DL1397" s="1" t="s">
        <v>484</v>
      </c>
      <c r="DM1397" s="1" t="s">
        <v>338</v>
      </c>
      <c r="DN1397" s="1" t="s">
        <v>399</v>
      </c>
      <c r="DP1397" s="1" t="s">
        <v>340</v>
      </c>
      <c r="DQ1397" s="1" t="s">
        <v>228</v>
      </c>
      <c r="DR1397" s="1" t="s">
        <v>229</v>
      </c>
      <c r="DS1397" s="1" t="s">
        <v>368</v>
      </c>
      <c r="DU1397" s="1" t="s">
        <v>14483</v>
      </c>
      <c r="DV1397" s="1" t="s">
        <v>403</v>
      </c>
      <c r="DW1397" s="1" t="s">
        <v>444</v>
      </c>
      <c r="DX1397" s="1" t="s">
        <v>234</v>
      </c>
      <c r="DY1397" s="1" t="s">
        <v>1958</v>
      </c>
      <c r="DZ1397" s="1" t="s">
        <v>282</v>
      </c>
      <c r="EA1397" s="1" t="s">
        <v>344</v>
      </c>
      <c r="EB1397" s="1" t="s">
        <v>597</v>
      </c>
      <c r="EC1397" s="1" t="s">
        <v>237</v>
      </c>
      <c r="ED1397" s="1" t="s">
        <v>407</v>
      </c>
      <c r="EE1397" s="1" t="s">
        <v>522</v>
      </c>
      <c r="EG1397" s="1" t="s">
        <v>408</v>
      </c>
      <c r="EI1397" s="1" t="s">
        <v>409</v>
      </c>
      <c r="EL1397" s="1" t="s">
        <v>1746</v>
      </c>
      <c r="EM1397" s="1" t="s">
        <v>206</v>
      </c>
      <c r="EN1397" s="1" t="s">
        <v>207</v>
      </c>
      <c r="EO1397" s="1" t="s">
        <v>229</v>
      </c>
      <c r="EQ1397" s="1" t="s">
        <v>238</v>
      </c>
      <c r="ET1397" s="1" t="s">
        <v>1418</v>
      </c>
      <c r="EU1397" s="1" t="s">
        <v>206</v>
      </c>
      <c r="EV1397" s="1" t="s">
        <v>210</v>
      </c>
      <c r="EY1397" s="1" t="s">
        <v>238</v>
      </c>
      <c r="FC1397" s="1" t="s">
        <v>238</v>
      </c>
      <c r="FF1397" s="1" t="s">
        <v>239</v>
      </c>
      <c r="FG1397" s="1" t="s">
        <v>192</v>
      </c>
      <c r="FH1397" s="1" t="s">
        <v>192</v>
      </c>
      <c r="FJ1397" s="1" t="s">
        <v>1573</v>
      </c>
      <c r="FK1397" s="1" t="s">
        <v>229</v>
      </c>
      <c r="FL1397" s="1" t="s">
        <v>13007</v>
      </c>
      <c r="FM1397" s="1">
        <v>8965.0</v>
      </c>
      <c r="FN1397" s="1" t="s">
        <v>13008</v>
      </c>
      <c r="FO1397" s="1" t="s">
        <v>14484</v>
      </c>
      <c r="FP1397" s="1">
        <v>89128.0</v>
      </c>
      <c r="FQ1397" s="1" t="s">
        <v>14485</v>
      </c>
      <c r="FS1397" s="1" t="s">
        <v>14486</v>
      </c>
      <c r="FU1397" s="1" t="s">
        <v>14487</v>
      </c>
      <c r="FV1397" s="1" t="s">
        <v>200</v>
      </c>
      <c r="FW1397" s="1" t="s">
        <v>631</v>
      </c>
      <c r="FZ1397" s="1" t="s">
        <v>229</v>
      </c>
      <c r="GA1397" s="1" t="s">
        <v>291</v>
      </c>
      <c r="GB1397" s="2">
        <v>41985.0</v>
      </c>
      <c r="GC1397" s="1" t="s">
        <v>14488</v>
      </c>
    </row>
    <row r="1398">
      <c r="A1398" s="1">
        <v>8200.0</v>
      </c>
      <c r="B1398" s="1" t="s">
        <v>185</v>
      </c>
      <c r="C1398" s="1" t="str">
        <f>"08672024"</f>
        <v>08672024</v>
      </c>
      <c r="D1398" s="1" t="s">
        <v>186</v>
      </c>
      <c r="F1398" s="1" t="str">
        <f>"8044"</f>
        <v>8044</v>
      </c>
      <c r="G1398" s="2">
        <v>41834.0</v>
      </c>
      <c r="H1398" s="1">
        <v>12000.0</v>
      </c>
      <c r="I1398" s="1">
        <v>144.0</v>
      </c>
      <c r="J1398" s="1">
        <v>7000.0</v>
      </c>
      <c r="K1398" s="2">
        <v>41977.0</v>
      </c>
      <c r="L1398" s="1">
        <v>144.0</v>
      </c>
      <c r="M1398" s="2">
        <v>41977.0</v>
      </c>
      <c r="N1398" s="1" t="s">
        <v>249</v>
      </c>
      <c r="O1398" s="2">
        <v>42011.0</v>
      </c>
      <c r="P1398" s="1">
        <v>188794.0</v>
      </c>
      <c r="Q1398" s="1">
        <v>84984.0</v>
      </c>
      <c r="S1398" s="1">
        <v>628.0</v>
      </c>
      <c r="T1398" s="1" t="s">
        <v>14489</v>
      </c>
      <c r="U1398" s="1" t="s">
        <v>694</v>
      </c>
      <c r="V1398" s="1" t="s">
        <v>190</v>
      </c>
      <c r="W1398" s="1">
        <v>60619.0</v>
      </c>
      <c r="Y1398" s="1" t="s">
        <v>14490</v>
      </c>
      <c r="Z1398" s="1">
        <v>1895.0</v>
      </c>
      <c r="AA1398" s="1" t="s">
        <v>192</v>
      </c>
      <c r="AB1398" s="1" t="s">
        <v>193</v>
      </c>
      <c r="AD1398" s="1" t="s">
        <v>194</v>
      </c>
      <c r="AE1398" s="1" t="s">
        <v>195</v>
      </c>
      <c r="AF1398" s="1" t="s">
        <v>637</v>
      </c>
      <c r="AH1398" s="1" t="s">
        <v>14491</v>
      </c>
      <c r="AI1398" s="1">
        <v>0.0717</v>
      </c>
      <c r="AK1398" s="1">
        <v>7.0</v>
      </c>
      <c r="AL1398" s="1">
        <v>4.0</v>
      </c>
      <c r="AM1398" s="1">
        <v>1.0</v>
      </c>
      <c r="AN1398" s="1">
        <v>0.0</v>
      </c>
      <c r="AO1398" s="1" t="s">
        <v>229</v>
      </c>
      <c r="AQ1398" s="1" t="s">
        <v>1314</v>
      </c>
      <c r="AR1398" s="1" t="s">
        <v>200</v>
      </c>
      <c r="AS1398" s="1" t="s">
        <v>229</v>
      </c>
      <c r="AV1398" s="1" t="s">
        <v>200</v>
      </c>
      <c r="AW1398" s="1">
        <v>1381.73</v>
      </c>
      <c r="AX1398" s="1">
        <v>2012.0</v>
      </c>
      <c r="AZ1398" s="1" t="s">
        <v>200</v>
      </c>
      <c r="BA1398" s="1" t="str">
        <f>"25034100340000"</f>
        <v>25034100340000</v>
      </c>
      <c r="BC1398" s="1">
        <v>1000.0</v>
      </c>
      <c r="BD1398" s="1">
        <v>8200.0</v>
      </c>
      <c r="BE1398" s="2">
        <v>41834.0</v>
      </c>
      <c r="BF1398" s="1" t="s">
        <v>14492</v>
      </c>
      <c r="BH1398" s="1">
        <v>0.0</v>
      </c>
      <c r="BK1398" s="1" t="s">
        <v>204</v>
      </c>
      <c r="BL1398" s="1" t="str">
        <f>"0"</f>
        <v>0</v>
      </c>
      <c r="BM1398" s="1" t="str">
        <f>"600"</f>
        <v>600</v>
      </c>
      <c r="BN1398" s="1">
        <v>0.0</v>
      </c>
      <c r="BO1398" s="1">
        <v>9200.0</v>
      </c>
      <c r="BQ1398" s="1">
        <v>299.0</v>
      </c>
      <c r="BR1398" s="1">
        <v>299.0</v>
      </c>
      <c r="BS1398" s="1">
        <v>299.0</v>
      </c>
      <c r="BU1398" s="1" t="s">
        <v>264</v>
      </c>
      <c r="BV1398" s="1" t="s">
        <v>206</v>
      </c>
      <c r="BY1398" s="1" t="s">
        <v>1483</v>
      </c>
      <c r="BZ1398" s="1" t="s">
        <v>209</v>
      </c>
      <c r="CC1398" s="1" t="s">
        <v>269</v>
      </c>
      <c r="CD1398" s="1" t="s">
        <v>206</v>
      </c>
      <c r="CG1398" s="1" t="s">
        <v>433</v>
      </c>
      <c r="CH1398" s="1" t="s">
        <v>209</v>
      </c>
      <c r="CK1398" s="1" t="s">
        <v>433</v>
      </c>
      <c r="CL1398" s="1" t="s">
        <v>209</v>
      </c>
      <c r="CO1398" s="1" t="s">
        <v>269</v>
      </c>
      <c r="CP1398" s="1" t="s">
        <v>206</v>
      </c>
      <c r="CS1398" s="1" t="s">
        <v>454</v>
      </c>
      <c r="CT1398" s="1" t="s">
        <v>206</v>
      </c>
      <c r="CX1398" s="1" t="s">
        <v>204</v>
      </c>
      <c r="DA1398" s="1" t="s">
        <v>200</v>
      </c>
      <c r="DC1398" s="1" t="s">
        <v>642</v>
      </c>
      <c r="DE1398" s="1" t="s">
        <v>229</v>
      </c>
      <c r="DF1398" s="1" t="s">
        <v>619</v>
      </c>
      <c r="DH1398" s="1" t="s">
        <v>220</v>
      </c>
      <c r="DJ1398" s="1" t="s">
        <v>222</v>
      </c>
      <c r="DL1398" s="1" t="s">
        <v>3611</v>
      </c>
      <c r="DM1398" s="1" t="s">
        <v>229</v>
      </c>
      <c r="DQ1398" s="1" t="s">
        <v>228</v>
      </c>
      <c r="DR1398" s="1" t="s">
        <v>229</v>
      </c>
      <c r="DV1398" s="1" t="s">
        <v>232</v>
      </c>
      <c r="DW1398" s="1" t="s">
        <v>667</v>
      </c>
      <c r="DX1398" s="1" t="s">
        <v>234</v>
      </c>
      <c r="EC1398" s="1" t="s">
        <v>237</v>
      </c>
      <c r="EM1398" s="1" t="s">
        <v>238</v>
      </c>
      <c r="EQ1398" s="1" t="s">
        <v>238</v>
      </c>
      <c r="EU1398" s="1" t="s">
        <v>238</v>
      </c>
      <c r="EY1398" s="1" t="s">
        <v>238</v>
      </c>
      <c r="FC1398" s="1" t="s">
        <v>238</v>
      </c>
      <c r="FF1398" s="1" t="s">
        <v>239</v>
      </c>
      <c r="FG1398" s="1" t="s">
        <v>192</v>
      </c>
      <c r="FH1398" s="1" t="s">
        <v>192</v>
      </c>
      <c r="FJ1398" s="1" t="s">
        <v>347</v>
      </c>
      <c r="FK1398" s="1" t="s">
        <v>229</v>
      </c>
      <c r="FL1398" s="1" t="s">
        <v>14493</v>
      </c>
      <c r="FM1398" s="1">
        <v>21445.0</v>
      </c>
      <c r="FN1398" s="1" t="s">
        <v>14494</v>
      </c>
      <c r="FO1398" s="1" t="s">
        <v>14495</v>
      </c>
      <c r="FP1398" s="1">
        <v>235904.0</v>
      </c>
      <c r="FU1398" s="1" t="s">
        <v>710</v>
      </c>
      <c r="FV1398" s="1" t="s">
        <v>200</v>
      </c>
      <c r="FW1398" s="1" t="s">
        <v>1524</v>
      </c>
      <c r="FX1398" s="1" t="s">
        <v>1739</v>
      </c>
      <c r="FZ1398" s="1" t="s">
        <v>229</v>
      </c>
      <c r="GA1398" s="1" t="s">
        <v>291</v>
      </c>
      <c r="GB1398" s="2">
        <v>42012.0</v>
      </c>
      <c r="GC1398" s="1" t="s">
        <v>14496</v>
      </c>
    </row>
    <row r="1399">
      <c r="A1399" s="1">
        <v>550000.0</v>
      </c>
      <c r="B1399" s="1" t="s">
        <v>185</v>
      </c>
      <c r="C1399" s="1" t="str">
        <f>"08664574"</f>
        <v>08664574</v>
      </c>
      <c r="D1399" s="1" t="s">
        <v>186</v>
      </c>
      <c r="F1399" s="1" t="str">
        <f>"10"</f>
        <v>10</v>
      </c>
      <c r="G1399" s="2">
        <v>41827.0</v>
      </c>
      <c r="H1399" s="1">
        <v>634900.0</v>
      </c>
      <c r="I1399" s="1">
        <v>167.0</v>
      </c>
      <c r="J1399" s="1">
        <v>600000.0</v>
      </c>
      <c r="K1399" s="2">
        <v>41947.0</v>
      </c>
      <c r="L1399" s="1">
        <v>121.0</v>
      </c>
      <c r="M1399" s="2">
        <v>41947.0</v>
      </c>
      <c r="N1399" s="1" t="s">
        <v>187</v>
      </c>
      <c r="O1399" s="2">
        <v>41969.0</v>
      </c>
      <c r="P1399" s="1">
        <v>62176.0</v>
      </c>
      <c r="Q1399" s="1">
        <v>4777.0</v>
      </c>
      <c r="S1399" s="1">
        <v>820.0</v>
      </c>
      <c r="T1399" s="1" t="s">
        <v>14497</v>
      </c>
      <c r="U1399" s="1" t="s">
        <v>420</v>
      </c>
      <c r="V1399" s="1" t="s">
        <v>1706</v>
      </c>
      <c r="W1399" s="1">
        <v>60010.0</v>
      </c>
      <c r="Y1399" s="1" t="s">
        <v>14498</v>
      </c>
      <c r="Z1399" s="1">
        <v>1987.0</v>
      </c>
      <c r="AA1399" s="1" t="s">
        <v>200</v>
      </c>
      <c r="AB1399" s="1" t="s">
        <v>467</v>
      </c>
      <c r="AC1399" s="1" t="s">
        <v>14499</v>
      </c>
      <c r="AD1399" s="1" t="s">
        <v>1948</v>
      </c>
      <c r="AE1399" s="1" t="s">
        <v>917</v>
      </c>
      <c r="AF1399" s="1" t="s">
        <v>2008</v>
      </c>
      <c r="AH1399" s="1" t="s">
        <v>14500</v>
      </c>
      <c r="AI1399" s="1">
        <v>0.3277</v>
      </c>
      <c r="AK1399" s="1">
        <v>11.0</v>
      </c>
      <c r="AL1399" s="1">
        <v>4.0</v>
      </c>
      <c r="AM1399" s="1">
        <v>2.0</v>
      </c>
      <c r="AN1399" s="1">
        <v>2.0</v>
      </c>
      <c r="AO1399" s="1" t="s">
        <v>198</v>
      </c>
      <c r="AP1399" s="1">
        <v>1.0</v>
      </c>
      <c r="AQ1399" s="1" t="s">
        <v>198</v>
      </c>
      <c r="AR1399" s="1" t="s">
        <v>192</v>
      </c>
      <c r="AS1399" s="1" t="s">
        <v>199</v>
      </c>
      <c r="AT1399" s="1">
        <v>2.0</v>
      </c>
      <c r="AV1399" s="1" t="s">
        <v>200</v>
      </c>
      <c r="AW1399" s="1">
        <v>9617.69</v>
      </c>
      <c r="AX1399" s="1">
        <v>2012.0</v>
      </c>
      <c r="AY1399" s="1" t="s">
        <v>387</v>
      </c>
      <c r="AZ1399" s="1" t="s">
        <v>200</v>
      </c>
      <c r="BA1399" s="1" t="str">
        <f>"13361020240000"</f>
        <v>13361020240000</v>
      </c>
      <c r="BC1399" s="1">
        <v>2589.0</v>
      </c>
      <c r="BD1399" s="1">
        <v>550000.0</v>
      </c>
      <c r="BE1399" s="2">
        <v>41827.0</v>
      </c>
      <c r="BF1399" s="2" t="s">
        <v>14501</v>
      </c>
      <c r="BG1399" s="1" t="s">
        <v>10354</v>
      </c>
      <c r="BH1399" s="1">
        <v>325.0</v>
      </c>
      <c r="BI1399" s="1" t="s">
        <v>11276</v>
      </c>
      <c r="BJ1399" s="1" t="s">
        <v>1714</v>
      </c>
      <c r="BK1399" s="1" t="s">
        <v>580</v>
      </c>
      <c r="BL1399" s="1" t="str">
        <f>"20"</f>
        <v>20</v>
      </c>
      <c r="BM1399" s="1" t="str">
        <f t="shared" ref="BM1399:BM1400" si="920">"0"</f>
        <v>0</v>
      </c>
      <c r="BN1399" s="1">
        <v>25.0</v>
      </c>
      <c r="BO1399" s="1">
        <v>0.0</v>
      </c>
      <c r="BQ1399" s="1">
        <v>220.0</v>
      </c>
      <c r="BR1399" s="1">
        <v>220.0</v>
      </c>
      <c r="BS1399" s="1">
        <v>220.0</v>
      </c>
      <c r="BU1399" s="1" t="s">
        <v>2219</v>
      </c>
      <c r="BV1399" s="1" t="s">
        <v>206</v>
      </c>
      <c r="BW1399" s="1" t="s">
        <v>207</v>
      </c>
      <c r="BY1399" s="1" t="s">
        <v>1000</v>
      </c>
      <c r="BZ1399" s="1" t="s">
        <v>209</v>
      </c>
      <c r="CA1399" s="1" t="s">
        <v>210</v>
      </c>
      <c r="CC1399" s="1" t="s">
        <v>363</v>
      </c>
      <c r="CD1399" s="1" t="s">
        <v>206</v>
      </c>
      <c r="CE1399" s="1" t="s">
        <v>207</v>
      </c>
      <c r="CG1399" s="1" t="s">
        <v>454</v>
      </c>
      <c r="CH1399" s="1" t="s">
        <v>209</v>
      </c>
      <c r="CI1399" s="1" t="s">
        <v>210</v>
      </c>
      <c r="CK1399" s="1" t="s">
        <v>584</v>
      </c>
      <c r="CL1399" s="1" t="s">
        <v>209</v>
      </c>
      <c r="CM1399" s="1" t="s">
        <v>207</v>
      </c>
      <c r="CO1399" s="1" t="s">
        <v>392</v>
      </c>
      <c r="CP1399" s="1" t="s">
        <v>209</v>
      </c>
      <c r="CQ1399" s="1" t="s">
        <v>207</v>
      </c>
      <c r="CS1399" s="1" t="s">
        <v>269</v>
      </c>
      <c r="CT1399" s="1" t="s">
        <v>206</v>
      </c>
      <c r="CU1399" s="1" t="s">
        <v>207</v>
      </c>
      <c r="CW1399" s="1" t="s">
        <v>304</v>
      </c>
      <c r="CX1399" s="1" t="s">
        <v>206</v>
      </c>
      <c r="CY1399" s="1" t="s">
        <v>207</v>
      </c>
      <c r="DA1399" s="1" t="s">
        <v>200</v>
      </c>
      <c r="DC1399" s="1" t="s">
        <v>305</v>
      </c>
      <c r="DD1399" s="1" t="s">
        <v>436</v>
      </c>
      <c r="DE1399" s="1" t="s">
        <v>273</v>
      </c>
      <c r="DF1399" s="1" t="s">
        <v>219</v>
      </c>
      <c r="DH1399" s="1" t="s">
        <v>220</v>
      </c>
      <c r="DI1399" s="1" t="s">
        <v>221</v>
      </c>
      <c r="DJ1399" s="1" t="s">
        <v>3345</v>
      </c>
      <c r="DL1399" s="1" t="s">
        <v>224</v>
      </c>
      <c r="DM1399" s="1" t="s">
        <v>929</v>
      </c>
      <c r="DN1399" s="1" t="s">
        <v>339</v>
      </c>
      <c r="DO1399" s="1" t="s">
        <v>486</v>
      </c>
      <c r="DP1399" s="1" t="s">
        <v>340</v>
      </c>
      <c r="DQ1399" s="1" t="s">
        <v>441</v>
      </c>
      <c r="DR1399" s="1" t="s">
        <v>1185</v>
      </c>
      <c r="DU1399" s="1" t="s">
        <v>1355</v>
      </c>
      <c r="DV1399" s="1" t="s">
        <v>14502</v>
      </c>
      <c r="DW1399" s="1" t="s">
        <v>10739</v>
      </c>
      <c r="DX1399" s="1" t="s">
        <v>234</v>
      </c>
      <c r="DY1399" s="1" t="s">
        <v>6654</v>
      </c>
      <c r="DZ1399" s="1" t="s">
        <v>236</v>
      </c>
      <c r="EA1399" s="1" t="s">
        <v>2535</v>
      </c>
      <c r="EB1399" s="1" t="s">
        <v>937</v>
      </c>
      <c r="EC1399" s="1" t="s">
        <v>237</v>
      </c>
      <c r="ED1399" s="1" t="s">
        <v>407</v>
      </c>
      <c r="EG1399" s="1" t="s">
        <v>556</v>
      </c>
      <c r="EH1399" s="1" t="s">
        <v>450</v>
      </c>
      <c r="EI1399" s="1" t="s">
        <v>1824</v>
      </c>
      <c r="EL1399" s="1" t="s">
        <v>640</v>
      </c>
      <c r="EM1399" s="1" t="s">
        <v>206</v>
      </c>
      <c r="EN1399" s="1" t="s">
        <v>207</v>
      </c>
      <c r="EP1399" s="1" t="s">
        <v>14503</v>
      </c>
      <c r="EQ1399" s="1" t="s">
        <v>42</v>
      </c>
      <c r="ER1399" s="1" t="s">
        <v>210</v>
      </c>
      <c r="ET1399" s="1" t="s">
        <v>584</v>
      </c>
      <c r="EU1399" s="1" t="s">
        <v>42</v>
      </c>
      <c r="EV1399" s="1" t="s">
        <v>588</v>
      </c>
      <c r="EY1399" s="1" t="s">
        <v>238</v>
      </c>
      <c r="FC1399" s="1" t="s">
        <v>238</v>
      </c>
      <c r="FF1399" s="1" t="s">
        <v>239</v>
      </c>
      <c r="FG1399" s="1" t="s">
        <v>192</v>
      </c>
      <c r="FH1399" s="1" t="s">
        <v>192</v>
      </c>
      <c r="FJ1399" s="1" t="s">
        <v>14504</v>
      </c>
      <c r="FK1399" s="1" t="s">
        <v>229</v>
      </c>
      <c r="FL1399" s="1" t="s">
        <v>819</v>
      </c>
      <c r="FM1399" s="1">
        <v>6267.0</v>
      </c>
      <c r="FN1399" s="1" t="s">
        <v>820</v>
      </c>
      <c r="FO1399" s="1" t="s">
        <v>14505</v>
      </c>
      <c r="FP1399" s="1">
        <v>62448.0</v>
      </c>
      <c r="FQ1399" s="1" t="s">
        <v>14506</v>
      </c>
      <c r="FS1399" s="1" t="s">
        <v>14507</v>
      </c>
      <c r="FU1399" s="1" t="s">
        <v>14508</v>
      </c>
      <c r="FV1399" s="1" t="s">
        <v>200</v>
      </c>
      <c r="FW1399" s="1" t="s">
        <v>290</v>
      </c>
      <c r="FZ1399" s="1" t="s">
        <v>229</v>
      </c>
      <c r="GA1399" s="1" t="s">
        <v>291</v>
      </c>
      <c r="GB1399" s="2">
        <v>41974.0</v>
      </c>
      <c r="GC1399" s="1" t="s">
        <v>14509</v>
      </c>
    </row>
    <row r="1400">
      <c r="A1400" s="1">
        <v>140000.0</v>
      </c>
      <c r="B1400" s="1" t="s">
        <v>185</v>
      </c>
      <c r="C1400" s="1" t="str">
        <f>"08663426"</f>
        <v>08663426</v>
      </c>
      <c r="D1400" s="1" t="s">
        <v>186</v>
      </c>
      <c r="F1400" s="1" t="str">
        <f>"8019"</f>
        <v>8019</v>
      </c>
      <c r="G1400" s="2">
        <v>41823.0</v>
      </c>
      <c r="H1400" s="1">
        <v>149000.0</v>
      </c>
      <c r="I1400" s="1">
        <v>127.0</v>
      </c>
      <c r="J1400" s="1">
        <v>149000.0</v>
      </c>
      <c r="K1400" s="2">
        <v>41946.0</v>
      </c>
      <c r="L1400" s="1">
        <v>125.0</v>
      </c>
      <c r="M1400" s="2">
        <v>41946.0</v>
      </c>
      <c r="N1400" s="1" t="s">
        <v>187</v>
      </c>
      <c r="O1400" s="2">
        <v>42020.0</v>
      </c>
      <c r="P1400" s="1">
        <v>125460.0</v>
      </c>
      <c r="Q1400" s="1">
        <v>10889.0</v>
      </c>
      <c r="S1400" s="1">
        <v>2209.0</v>
      </c>
      <c r="T1400" s="1" t="s">
        <v>9430</v>
      </c>
      <c r="U1400" s="1" t="s">
        <v>189</v>
      </c>
      <c r="V1400" s="1" t="s">
        <v>190</v>
      </c>
      <c r="W1400" s="1">
        <v>60639.0</v>
      </c>
      <c r="Y1400" s="1" t="s">
        <v>14510</v>
      </c>
      <c r="Z1400" s="1">
        <v>1956.0</v>
      </c>
      <c r="AA1400" s="1" t="s">
        <v>192</v>
      </c>
      <c r="AB1400" s="1" t="s">
        <v>193</v>
      </c>
      <c r="AD1400" s="1" t="s">
        <v>194</v>
      </c>
      <c r="AE1400" s="1" t="s">
        <v>195</v>
      </c>
      <c r="AF1400" s="1" t="s">
        <v>196</v>
      </c>
      <c r="AH1400" s="1">
        <v>3125.0</v>
      </c>
      <c r="AI1400" s="1">
        <v>0.0717</v>
      </c>
      <c r="AK1400" s="1">
        <v>7.0</v>
      </c>
      <c r="AL1400" s="1">
        <v>2.0</v>
      </c>
      <c r="AM1400" s="1">
        <v>2.0</v>
      </c>
      <c r="AN1400" s="1">
        <v>0.0</v>
      </c>
      <c r="AO1400" s="1" t="s">
        <v>229</v>
      </c>
      <c r="AQ1400" s="1" t="s">
        <v>198</v>
      </c>
      <c r="AR1400" s="1" t="s">
        <v>192</v>
      </c>
      <c r="AS1400" s="1" t="s">
        <v>199</v>
      </c>
      <c r="AT1400" s="1">
        <v>2.0</v>
      </c>
      <c r="AV1400" s="1" t="s">
        <v>200</v>
      </c>
      <c r="AW1400" s="1">
        <v>2505.76</v>
      </c>
      <c r="AX1400" s="1">
        <v>2013.0</v>
      </c>
      <c r="AY1400" s="1" t="s">
        <v>387</v>
      </c>
      <c r="AZ1400" s="1" t="s">
        <v>200</v>
      </c>
      <c r="BA1400" s="1" t="str">
        <f>"13322120200000"</f>
        <v>13322120200000</v>
      </c>
      <c r="BC1400" s="1">
        <v>870.0</v>
      </c>
      <c r="BD1400" s="1">
        <v>140000.0</v>
      </c>
      <c r="BE1400" s="2">
        <v>41822.0</v>
      </c>
      <c r="BF1400" s="1" t="s">
        <v>14511</v>
      </c>
      <c r="BH1400" s="1">
        <v>0.0</v>
      </c>
      <c r="BK1400" s="1" t="s">
        <v>204</v>
      </c>
      <c r="BL1400" s="1" t="str">
        <f>"2200"</f>
        <v>2200</v>
      </c>
      <c r="BM1400" s="1" t="str">
        <f t="shared" si="920"/>
        <v>0</v>
      </c>
      <c r="BN1400" s="1">
        <v>5800.0</v>
      </c>
      <c r="BO1400" s="1">
        <v>0.0</v>
      </c>
      <c r="BQ1400" s="1">
        <v>299.0</v>
      </c>
      <c r="BR1400" s="1">
        <v>299.0</v>
      </c>
      <c r="BS1400" s="1">
        <v>299.0</v>
      </c>
      <c r="BU1400" s="1" t="s">
        <v>1395</v>
      </c>
      <c r="BV1400" s="1" t="s">
        <v>206</v>
      </c>
      <c r="BW1400" s="1" t="s">
        <v>207</v>
      </c>
      <c r="BY1400" s="1" t="s">
        <v>363</v>
      </c>
      <c r="BZ1400" s="1" t="s">
        <v>206</v>
      </c>
      <c r="CA1400" s="1" t="s">
        <v>207</v>
      </c>
      <c r="CD1400" s="1" t="s">
        <v>204</v>
      </c>
      <c r="CG1400" s="1" t="s">
        <v>363</v>
      </c>
      <c r="CH1400" s="1" t="s">
        <v>206</v>
      </c>
      <c r="CI1400" s="1" t="s">
        <v>207</v>
      </c>
      <c r="CK1400" s="1" t="s">
        <v>269</v>
      </c>
      <c r="CL1400" s="1" t="s">
        <v>42</v>
      </c>
      <c r="CM1400" s="1" t="s">
        <v>268</v>
      </c>
      <c r="CO1400" s="1" t="s">
        <v>269</v>
      </c>
      <c r="CP1400" s="1" t="s">
        <v>42</v>
      </c>
      <c r="CQ1400" s="1" t="s">
        <v>268</v>
      </c>
      <c r="CS1400" s="1" t="s">
        <v>1395</v>
      </c>
      <c r="CT1400" s="1" t="s">
        <v>206</v>
      </c>
      <c r="CW1400" s="1" t="s">
        <v>1395</v>
      </c>
      <c r="CX1400" s="1" t="s">
        <v>42</v>
      </c>
      <c r="CY1400" s="1" t="s">
        <v>268</v>
      </c>
      <c r="DA1400" s="1" t="s">
        <v>200</v>
      </c>
      <c r="DC1400" s="1" t="s">
        <v>271</v>
      </c>
      <c r="DD1400" s="1" t="s">
        <v>518</v>
      </c>
      <c r="DE1400" s="1" t="s">
        <v>229</v>
      </c>
      <c r="DF1400" s="1" t="s">
        <v>619</v>
      </c>
      <c r="DH1400" s="1" t="s">
        <v>365</v>
      </c>
      <c r="DJ1400" s="1" t="s">
        <v>222</v>
      </c>
      <c r="DL1400" s="1" t="s">
        <v>224</v>
      </c>
      <c r="DM1400" s="1" t="s">
        <v>229</v>
      </c>
      <c r="DQ1400" s="1" t="s">
        <v>228</v>
      </c>
      <c r="DR1400" s="1" t="s">
        <v>229</v>
      </c>
      <c r="DV1400" s="1" t="s">
        <v>232</v>
      </c>
      <c r="DW1400" s="1" t="s">
        <v>279</v>
      </c>
      <c r="DX1400" s="1" t="s">
        <v>234</v>
      </c>
      <c r="EA1400" s="1" t="s">
        <v>683</v>
      </c>
      <c r="EC1400" s="1" t="s">
        <v>685</v>
      </c>
      <c r="EM1400" s="1" t="s">
        <v>238</v>
      </c>
      <c r="EQ1400" s="1" t="s">
        <v>238</v>
      </c>
      <c r="EU1400" s="1" t="s">
        <v>238</v>
      </c>
      <c r="EY1400" s="1" t="s">
        <v>238</v>
      </c>
      <c r="FC1400" s="1" t="s">
        <v>238</v>
      </c>
      <c r="FF1400" s="1" t="s">
        <v>239</v>
      </c>
      <c r="FG1400" s="1" t="s">
        <v>200</v>
      </c>
      <c r="FH1400" s="1" t="s">
        <v>192</v>
      </c>
      <c r="FJ1400" s="1" t="s">
        <v>1248</v>
      </c>
      <c r="FK1400" s="1" t="s">
        <v>229</v>
      </c>
      <c r="FL1400" s="1" t="s">
        <v>377</v>
      </c>
      <c r="FM1400" s="1">
        <v>8430.0</v>
      </c>
      <c r="FN1400" s="1" t="s">
        <v>378</v>
      </c>
      <c r="FO1400" s="1" t="s">
        <v>379</v>
      </c>
      <c r="FP1400" s="1">
        <v>85085.0</v>
      </c>
      <c r="FQ1400" s="1" t="s">
        <v>378</v>
      </c>
      <c r="FR1400" s="1">
        <v>83261.0</v>
      </c>
      <c r="FU1400" s="1" t="s">
        <v>381</v>
      </c>
      <c r="FV1400" s="1" t="s">
        <v>200</v>
      </c>
      <c r="FW1400" s="1" t="s">
        <v>567</v>
      </c>
      <c r="FX1400" s="1" t="s">
        <v>238</v>
      </c>
      <c r="FZ1400" s="1" t="s">
        <v>229</v>
      </c>
      <c r="GA1400" s="1" t="s">
        <v>291</v>
      </c>
      <c r="GB1400" s="2">
        <v>42020.0</v>
      </c>
      <c r="GC1400" s="1" t="s">
        <v>14512</v>
      </c>
    </row>
    <row r="1401">
      <c r="A1401" s="1">
        <v>290000.0</v>
      </c>
      <c r="B1401" s="1" t="s">
        <v>185</v>
      </c>
      <c r="C1401" s="1" t="str">
        <f>"08667264"</f>
        <v>08667264</v>
      </c>
      <c r="D1401" s="1" t="s">
        <v>186</v>
      </c>
      <c r="F1401" s="1" t="str">
        <f>"10"</f>
        <v>10</v>
      </c>
      <c r="G1401" s="2">
        <v>41829.0</v>
      </c>
      <c r="H1401" s="1">
        <v>355000.0</v>
      </c>
      <c r="I1401" s="1">
        <v>157.0</v>
      </c>
      <c r="J1401" s="1">
        <v>330000.0</v>
      </c>
      <c r="K1401" s="2">
        <v>41983.0</v>
      </c>
      <c r="L1401" s="1">
        <v>157.0</v>
      </c>
      <c r="M1401" s="2">
        <v>41983.0</v>
      </c>
      <c r="N1401" s="1" t="s">
        <v>187</v>
      </c>
      <c r="O1401" s="2">
        <v>42061.0</v>
      </c>
      <c r="P1401" s="1">
        <v>8707.0</v>
      </c>
      <c r="Q1401" s="1">
        <v>7032.0</v>
      </c>
      <c r="S1401" s="1">
        <v>141.0</v>
      </c>
      <c r="T1401" s="1" t="s">
        <v>14513</v>
      </c>
      <c r="U1401" s="1" t="s">
        <v>189</v>
      </c>
      <c r="V1401" s="1" t="s">
        <v>1706</v>
      </c>
      <c r="W1401" s="1">
        <v>60010.0</v>
      </c>
      <c r="Y1401" s="1" t="s">
        <v>14514</v>
      </c>
      <c r="Z1401" s="1">
        <v>1965.0</v>
      </c>
      <c r="AA1401" s="1" t="s">
        <v>192</v>
      </c>
      <c r="AB1401" s="1" t="s">
        <v>193</v>
      </c>
      <c r="AD1401" s="1" t="s">
        <v>1948</v>
      </c>
      <c r="AE1401" s="1" t="s">
        <v>195</v>
      </c>
      <c r="AF1401" s="1" t="s">
        <v>1948</v>
      </c>
      <c r="AH1401" s="1" t="s">
        <v>14515</v>
      </c>
      <c r="AI1401" s="1">
        <v>0.186</v>
      </c>
      <c r="AK1401" s="1">
        <v>9.0</v>
      </c>
      <c r="AL1401" s="1">
        <v>4.0</v>
      </c>
      <c r="AM1401" s="1">
        <v>2.0</v>
      </c>
      <c r="AN1401" s="1">
        <v>1.0</v>
      </c>
      <c r="AO1401" s="1" t="s">
        <v>198</v>
      </c>
      <c r="AP1401" s="1">
        <v>1.0</v>
      </c>
      <c r="AQ1401" s="1" t="s">
        <v>1314</v>
      </c>
      <c r="AR1401" s="1" t="s">
        <v>200</v>
      </c>
      <c r="AS1401" s="1" t="s">
        <v>199</v>
      </c>
      <c r="AT1401" s="1">
        <v>2.0</v>
      </c>
      <c r="AV1401" s="1" t="s">
        <v>200</v>
      </c>
      <c r="AW1401" s="4">
        <v>8438.08</v>
      </c>
      <c r="AX1401" s="1">
        <v>2013.0</v>
      </c>
      <c r="AY1401" s="1" t="s">
        <v>1179</v>
      </c>
      <c r="AZ1401" s="1" t="s">
        <v>200</v>
      </c>
      <c r="BA1401" s="1" t="str">
        <f>"01012050120000"</f>
        <v>01012050120000</v>
      </c>
      <c r="BC1401" s="1">
        <v>2303.0</v>
      </c>
      <c r="BD1401" s="1">
        <v>290000.0</v>
      </c>
      <c r="BE1401" s="2">
        <v>41827.0</v>
      </c>
      <c r="BF1401" s="2" t="s">
        <v>14516</v>
      </c>
      <c r="BG1401" s="1" t="s">
        <v>1712</v>
      </c>
      <c r="BH1401" s="1">
        <v>0.0</v>
      </c>
      <c r="BI1401" s="1" t="s">
        <v>5243</v>
      </c>
      <c r="BJ1401" s="1" t="s">
        <v>1714</v>
      </c>
      <c r="BK1401" s="1" t="s">
        <v>204</v>
      </c>
      <c r="BL1401" s="1" t="str">
        <f t="shared" ref="BL1401:BM1401" si="921">""</f>
        <v/>
      </c>
      <c r="BM1401" s="1" t="str">
        <f t="shared" si="921"/>
        <v/>
      </c>
      <c r="BQ1401" s="1">
        <v>220.0</v>
      </c>
      <c r="BR1401" s="1">
        <v>220.0</v>
      </c>
      <c r="BS1401" s="1">
        <v>220.0</v>
      </c>
      <c r="BU1401" s="1" t="s">
        <v>3475</v>
      </c>
      <c r="BV1401" s="1" t="s">
        <v>206</v>
      </c>
      <c r="BW1401" s="1" t="s">
        <v>207</v>
      </c>
      <c r="BX1401" s="1" t="s">
        <v>239</v>
      </c>
      <c r="BY1401" s="1" t="s">
        <v>1000</v>
      </c>
      <c r="BZ1401" s="1" t="s">
        <v>209</v>
      </c>
      <c r="CA1401" s="1" t="s">
        <v>207</v>
      </c>
      <c r="CB1401" s="1" t="s">
        <v>239</v>
      </c>
      <c r="CC1401" s="1" t="s">
        <v>616</v>
      </c>
      <c r="CD1401" s="1" t="s">
        <v>206</v>
      </c>
      <c r="CE1401" s="1" t="s">
        <v>207</v>
      </c>
      <c r="CF1401" s="1" t="s">
        <v>239</v>
      </c>
      <c r="CG1401" s="1" t="s">
        <v>432</v>
      </c>
      <c r="CH1401" s="1" t="s">
        <v>209</v>
      </c>
      <c r="CI1401" s="1" t="s">
        <v>207</v>
      </c>
      <c r="CJ1401" s="1" t="s">
        <v>239</v>
      </c>
      <c r="CK1401" s="1" t="s">
        <v>329</v>
      </c>
      <c r="CL1401" s="1" t="s">
        <v>209</v>
      </c>
      <c r="CM1401" s="1" t="s">
        <v>207</v>
      </c>
      <c r="CN1401" s="1" t="s">
        <v>239</v>
      </c>
      <c r="CO1401" s="1" t="s">
        <v>329</v>
      </c>
      <c r="CP1401" s="1" t="s">
        <v>209</v>
      </c>
      <c r="CQ1401" s="1" t="s">
        <v>207</v>
      </c>
      <c r="CR1401" s="1" t="s">
        <v>239</v>
      </c>
      <c r="CS1401" s="1" t="s">
        <v>1426</v>
      </c>
      <c r="CT1401" s="1" t="s">
        <v>206</v>
      </c>
      <c r="CU1401" s="1" t="s">
        <v>268</v>
      </c>
      <c r="CV1401" s="1" t="s">
        <v>239</v>
      </c>
      <c r="CX1401" s="1" t="s">
        <v>204</v>
      </c>
      <c r="DA1401" s="1" t="s">
        <v>200</v>
      </c>
      <c r="DC1401" s="1" t="s">
        <v>517</v>
      </c>
      <c r="DD1401" s="1" t="s">
        <v>518</v>
      </c>
      <c r="DE1401" s="1" t="s">
        <v>273</v>
      </c>
      <c r="DF1401" s="1" t="s">
        <v>787</v>
      </c>
      <c r="DH1401" s="1" t="s">
        <v>220</v>
      </c>
      <c r="DI1401" s="1" t="s">
        <v>680</v>
      </c>
      <c r="DJ1401" s="1" t="s">
        <v>222</v>
      </c>
      <c r="DL1401" s="1" t="s">
        <v>858</v>
      </c>
      <c r="DM1401" s="1" t="s">
        <v>229</v>
      </c>
      <c r="DP1401" s="1" t="s">
        <v>340</v>
      </c>
      <c r="DQ1401" s="1" t="s">
        <v>441</v>
      </c>
      <c r="DR1401" s="1" t="s">
        <v>229</v>
      </c>
      <c r="DU1401" s="1" t="s">
        <v>5195</v>
      </c>
      <c r="DV1401" s="1" t="s">
        <v>14517</v>
      </c>
      <c r="DW1401" s="1" t="s">
        <v>667</v>
      </c>
      <c r="DX1401" s="1" t="s">
        <v>309</v>
      </c>
      <c r="DY1401" s="1" t="s">
        <v>704</v>
      </c>
      <c r="EA1401" s="1" t="s">
        <v>447</v>
      </c>
      <c r="EB1401" s="1" t="s">
        <v>767</v>
      </c>
      <c r="EC1401" s="1" t="s">
        <v>237</v>
      </c>
      <c r="EE1401" s="1" t="s">
        <v>493</v>
      </c>
      <c r="EG1401" s="1" t="s">
        <v>450</v>
      </c>
      <c r="EH1401" s="1" t="s">
        <v>557</v>
      </c>
      <c r="EI1401" s="1" t="s">
        <v>1103</v>
      </c>
      <c r="EL1401" s="1" t="s">
        <v>333</v>
      </c>
      <c r="EM1401" s="1" t="s">
        <v>42</v>
      </c>
      <c r="EN1401" s="1" t="s">
        <v>617</v>
      </c>
      <c r="EO1401" s="1" t="s">
        <v>239</v>
      </c>
      <c r="EP1401" s="1" t="s">
        <v>798</v>
      </c>
      <c r="EQ1401" s="1" t="s">
        <v>42</v>
      </c>
      <c r="ER1401" s="1" t="s">
        <v>617</v>
      </c>
      <c r="ES1401" s="1" t="s">
        <v>229</v>
      </c>
      <c r="ET1401" s="1" t="s">
        <v>8276</v>
      </c>
      <c r="EU1401" s="1" t="s">
        <v>42</v>
      </c>
      <c r="EV1401" s="1" t="s">
        <v>617</v>
      </c>
      <c r="EW1401" s="1" t="s">
        <v>229</v>
      </c>
      <c r="EY1401" s="1" t="s">
        <v>238</v>
      </c>
      <c r="FC1401" s="1" t="s">
        <v>238</v>
      </c>
      <c r="FF1401" s="1" t="s">
        <v>239</v>
      </c>
      <c r="FG1401" s="1" t="s">
        <v>192</v>
      </c>
      <c r="FH1401" s="1" t="s">
        <v>192</v>
      </c>
      <c r="FJ1401" s="1" t="s">
        <v>14518</v>
      </c>
      <c r="FK1401" s="1" t="s">
        <v>229</v>
      </c>
      <c r="FL1401" s="1" t="s">
        <v>5530</v>
      </c>
      <c r="FM1401" s="1">
        <v>8098.0</v>
      </c>
      <c r="FN1401" s="1" t="s">
        <v>7682</v>
      </c>
      <c r="FO1401" s="1" t="s">
        <v>14519</v>
      </c>
      <c r="FP1401" s="1">
        <v>83579.0</v>
      </c>
      <c r="FQ1401" s="1" t="s">
        <v>14520</v>
      </c>
      <c r="FU1401" s="1" t="s">
        <v>14521</v>
      </c>
      <c r="FV1401" s="1" t="s">
        <v>200</v>
      </c>
      <c r="FW1401" s="1" t="s">
        <v>14522</v>
      </c>
      <c r="FZ1401" s="1" t="s">
        <v>632</v>
      </c>
      <c r="GA1401" s="1" t="s">
        <v>291</v>
      </c>
      <c r="GB1401" s="2">
        <v>42061.0</v>
      </c>
    </row>
    <row r="1402">
      <c r="A1402" s="1">
        <v>100000.0</v>
      </c>
      <c r="B1402" s="1" t="s">
        <v>185</v>
      </c>
      <c r="C1402" s="1" t="str">
        <f>"08667996"</f>
        <v>08667996</v>
      </c>
      <c r="D1402" s="1" t="s">
        <v>186</v>
      </c>
      <c r="F1402" s="1" t="str">
        <f>"8052"</f>
        <v>8052</v>
      </c>
      <c r="G1402" s="2">
        <v>41829.0</v>
      </c>
      <c r="H1402" s="1">
        <v>119900.0</v>
      </c>
      <c r="I1402" s="1">
        <v>127.0</v>
      </c>
      <c r="J1402" s="1">
        <v>109900.0</v>
      </c>
      <c r="K1402" s="2">
        <v>41954.0</v>
      </c>
      <c r="L1402" s="1">
        <v>127.0</v>
      </c>
      <c r="M1402" s="2">
        <v>41954.0</v>
      </c>
      <c r="N1402" s="1" t="s">
        <v>356</v>
      </c>
      <c r="O1402" s="2">
        <v>42026.0</v>
      </c>
      <c r="P1402" s="1">
        <v>124517.0</v>
      </c>
      <c r="Q1402" s="1">
        <v>12139.0</v>
      </c>
      <c r="R1402" s="1">
        <v>3.0</v>
      </c>
      <c r="S1402" s="1">
        <v>11018.0</v>
      </c>
      <c r="T1402" s="1" t="s">
        <v>11756</v>
      </c>
      <c r="V1402" s="1" t="s">
        <v>190</v>
      </c>
      <c r="W1402" s="1">
        <v>60617.0</v>
      </c>
      <c r="Y1402" s="1" t="s">
        <v>14523</v>
      </c>
      <c r="Z1402" s="1">
        <v>1943.0</v>
      </c>
      <c r="AA1402" s="1" t="s">
        <v>192</v>
      </c>
      <c r="AB1402" s="1" t="s">
        <v>193</v>
      </c>
      <c r="AD1402" s="1" t="s">
        <v>194</v>
      </c>
      <c r="AE1402" s="1" t="s">
        <v>195</v>
      </c>
      <c r="AF1402" s="1" t="s">
        <v>637</v>
      </c>
      <c r="AH1402" s="1" t="s">
        <v>1501</v>
      </c>
      <c r="AI1402" s="1">
        <v>0.0854</v>
      </c>
      <c r="AK1402" s="1">
        <v>7.0</v>
      </c>
      <c r="AL1402" s="1">
        <v>4.0</v>
      </c>
      <c r="AM1402" s="1">
        <v>1.0</v>
      </c>
      <c r="AN1402" s="1">
        <v>0.0</v>
      </c>
      <c r="AO1402" s="1" t="s">
        <v>229</v>
      </c>
      <c r="AQ1402" s="1" t="s">
        <v>198</v>
      </c>
      <c r="AR1402" s="1" t="s">
        <v>200</v>
      </c>
      <c r="AS1402" s="1" t="s">
        <v>199</v>
      </c>
      <c r="AT1402" s="1">
        <v>1.0</v>
      </c>
      <c r="AV1402" s="1" t="s">
        <v>200</v>
      </c>
      <c r="AW1402" s="1">
        <v>1075.41</v>
      </c>
      <c r="AX1402" s="1">
        <v>2012.0</v>
      </c>
      <c r="AY1402" s="1" t="s">
        <v>1179</v>
      </c>
      <c r="AZ1402" s="1" t="s">
        <v>200</v>
      </c>
      <c r="BA1402" s="1" t="str">
        <f>"26173000250000"</f>
        <v>26173000250000</v>
      </c>
      <c r="BC1402" s="1">
        <v>900.0</v>
      </c>
      <c r="BD1402" s="1">
        <v>100000.0</v>
      </c>
      <c r="BE1402" s="2">
        <v>41828.0</v>
      </c>
      <c r="BF1402" s="2" t="s">
        <v>14524</v>
      </c>
      <c r="BH1402" s="1">
        <v>0.0</v>
      </c>
      <c r="BK1402" s="1" t="s">
        <v>204</v>
      </c>
      <c r="BL1402" s="1" t="str">
        <f t="shared" ref="BL1402:BL1403" si="922">"0"</f>
        <v>0</v>
      </c>
      <c r="BM1402" s="1" t="str">
        <f>"3400"</f>
        <v>3400</v>
      </c>
      <c r="BN1402" s="1">
        <v>0.0</v>
      </c>
      <c r="BO1402" s="1">
        <v>11000.0</v>
      </c>
      <c r="BQ1402" s="1">
        <v>299.0</v>
      </c>
      <c r="BR1402" s="1">
        <v>299.0</v>
      </c>
      <c r="BS1402" s="1">
        <v>299.0</v>
      </c>
      <c r="BU1402" s="1" t="s">
        <v>1158</v>
      </c>
      <c r="BV1402" s="1" t="s">
        <v>206</v>
      </c>
      <c r="BY1402" s="1" t="s">
        <v>332</v>
      </c>
      <c r="BZ1402" s="1" t="s">
        <v>206</v>
      </c>
      <c r="CD1402" s="1" t="s">
        <v>204</v>
      </c>
      <c r="CG1402" s="1" t="s">
        <v>269</v>
      </c>
      <c r="CH1402" s="1" t="s">
        <v>206</v>
      </c>
      <c r="CK1402" s="1" t="s">
        <v>699</v>
      </c>
      <c r="CL1402" s="1" t="s">
        <v>209</v>
      </c>
      <c r="CO1402" s="1" t="s">
        <v>212</v>
      </c>
      <c r="CP1402" s="1" t="s">
        <v>209</v>
      </c>
      <c r="CS1402" s="1" t="s">
        <v>452</v>
      </c>
      <c r="CT1402" s="1" t="s">
        <v>206</v>
      </c>
      <c r="CU1402" s="1" t="s">
        <v>588</v>
      </c>
      <c r="CX1402" s="1" t="s">
        <v>204</v>
      </c>
      <c r="DA1402" s="1" t="s">
        <v>200</v>
      </c>
      <c r="DC1402" s="1" t="s">
        <v>1399</v>
      </c>
      <c r="DE1402" s="1" t="s">
        <v>273</v>
      </c>
      <c r="DF1402" s="1" t="s">
        <v>219</v>
      </c>
      <c r="DH1402" s="1" t="s">
        <v>307</v>
      </c>
      <c r="DJ1402" s="1" t="s">
        <v>222</v>
      </c>
      <c r="DL1402" s="1" t="s">
        <v>858</v>
      </c>
      <c r="DM1402" s="1" t="s">
        <v>229</v>
      </c>
      <c r="DQ1402" s="1" t="s">
        <v>794</v>
      </c>
      <c r="DR1402" s="1" t="s">
        <v>229</v>
      </c>
      <c r="DS1402" s="1" t="s">
        <v>230</v>
      </c>
      <c r="DV1402" s="1" t="s">
        <v>1491</v>
      </c>
      <c r="DW1402" s="1" t="s">
        <v>279</v>
      </c>
      <c r="DX1402" s="1" t="s">
        <v>1287</v>
      </c>
      <c r="EA1402" s="1" t="s">
        <v>1075</v>
      </c>
      <c r="EC1402" s="1" t="s">
        <v>645</v>
      </c>
      <c r="ED1402" s="1" t="s">
        <v>555</v>
      </c>
      <c r="EE1402" s="1" t="s">
        <v>187</v>
      </c>
      <c r="EG1402" s="1" t="s">
        <v>1491</v>
      </c>
      <c r="EL1402" s="1" t="s">
        <v>516</v>
      </c>
      <c r="EM1402" s="1" t="s">
        <v>42</v>
      </c>
      <c r="EQ1402" s="1" t="s">
        <v>238</v>
      </c>
      <c r="EU1402" s="1" t="s">
        <v>238</v>
      </c>
      <c r="EY1402" s="1" t="s">
        <v>238</v>
      </c>
      <c r="FC1402" s="1" t="s">
        <v>238</v>
      </c>
      <c r="FF1402" s="1" t="s">
        <v>239</v>
      </c>
      <c r="FG1402" s="1" t="s">
        <v>192</v>
      </c>
      <c r="FH1402" s="1" t="s">
        <v>192</v>
      </c>
      <c r="FJ1402" s="1" t="s">
        <v>770</v>
      </c>
      <c r="FK1402" s="1" t="s">
        <v>229</v>
      </c>
      <c r="FL1402" s="1" t="s">
        <v>7447</v>
      </c>
      <c r="FM1402" s="1">
        <v>14066.0</v>
      </c>
      <c r="FN1402" s="1" t="s">
        <v>7448</v>
      </c>
      <c r="FO1402" s="1" t="s">
        <v>7449</v>
      </c>
      <c r="FP1402" s="1">
        <v>129751.0</v>
      </c>
      <c r="FQ1402" s="1" t="s">
        <v>7448</v>
      </c>
      <c r="FS1402" s="1" t="s">
        <v>7450</v>
      </c>
      <c r="FU1402" s="1" t="s">
        <v>14525</v>
      </c>
      <c r="FV1402" s="1" t="s">
        <v>200</v>
      </c>
      <c r="FW1402" s="1" t="s">
        <v>1511</v>
      </c>
      <c r="FX1402" s="1" t="s">
        <v>655</v>
      </c>
      <c r="FZ1402" s="1" t="s">
        <v>229</v>
      </c>
      <c r="GA1402" s="1" t="s">
        <v>291</v>
      </c>
      <c r="GB1402" s="2">
        <v>42026.0</v>
      </c>
    </row>
    <row r="1403">
      <c r="A1403" s="1">
        <v>144900.0</v>
      </c>
      <c r="B1403" s="1" t="s">
        <v>185</v>
      </c>
      <c r="C1403" s="1" t="str">
        <f>"08666132"</f>
        <v>08666132</v>
      </c>
      <c r="D1403" s="1" t="s">
        <v>186</v>
      </c>
      <c r="F1403" s="1" t="str">
        <f>"8073"</f>
        <v>8073</v>
      </c>
      <c r="G1403" s="2">
        <v>41828.0</v>
      </c>
      <c r="H1403" s="1">
        <v>179900.0</v>
      </c>
      <c r="I1403" s="1">
        <v>191.0</v>
      </c>
      <c r="J1403" s="1">
        <v>144900.0</v>
      </c>
      <c r="K1403" s="2">
        <v>42018.0</v>
      </c>
      <c r="L1403" s="1">
        <v>191.0</v>
      </c>
      <c r="M1403" s="2">
        <v>42018.0</v>
      </c>
      <c r="N1403" s="1" t="s">
        <v>356</v>
      </c>
      <c r="O1403" s="2">
        <v>42062.0</v>
      </c>
      <c r="P1403" s="1">
        <v>107470.0</v>
      </c>
      <c r="Q1403" s="1">
        <v>14988.0</v>
      </c>
      <c r="R1403" s="1">
        <v>6.0</v>
      </c>
      <c r="S1403" s="1">
        <v>8920.0</v>
      </c>
      <c r="T1403" s="1" t="s">
        <v>14526</v>
      </c>
      <c r="U1403" s="1" t="s">
        <v>320</v>
      </c>
      <c r="V1403" s="1" t="s">
        <v>190</v>
      </c>
      <c r="W1403" s="1">
        <v>60620.0</v>
      </c>
      <c r="Y1403" s="1" t="s">
        <v>14527</v>
      </c>
      <c r="Z1403" s="1">
        <v>1928.0</v>
      </c>
      <c r="AA1403" s="1" t="s">
        <v>192</v>
      </c>
      <c r="AB1403" s="1" t="s">
        <v>193</v>
      </c>
      <c r="AD1403" s="1" t="s">
        <v>194</v>
      </c>
      <c r="AE1403" s="1" t="s">
        <v>195</v>
      </c>
      <c r="AF1403" s="1" t="s">
        <v>659</v>
      </c>
      <c r="AH1403" s="1" t="s">
        <v>14528</v>
      </c>
      <c r="AK1403" s="1">
        <v>8.0</v>
      </c>
      <c r="AL1403" s="1">
        <v>4.0</v>
      </c>
      <c r="AM1403" s="1">
        <v>2.0</v>
      </c>
      <c r="AN1403" s="1">
        <v>0.0</v>
      </c>
      <c r="AO1403" s="1" t="s">
        <v>229</v>
      </c>
      <c r="AP1403" s="1">
        <v>1.0</v>
      </c>
      <c r="AQ1403" s="1" t="s">
        <v>198</v>
      </c>
      <c r="AR1403" s="1" t="s">
        <v>200</v>
      </c>
      <c r="AS1403" s="1" t="s">
        <v>199</v>
      </c>
      <c r="AT1403" s="1">
        <v>2.0</v>
      </c>
      <c r="AV1403" s="1" t="s">
        <v>200</v>
      </c>
      <c r="AW1403" s="1">
        <v>1405.46</v>
      </c>
      <c r="AX1403" s="1">
        <v>2012.0</v>
      </c>
      <c r="AY1403" s="1" t="s">
        <v>387</v>
      </c>
      <c r="AZ1403" s="1" t="s">
        <v>200</v>
      </c>
      <c r="BA1403" s="1" t="str">
        <f>"25051180160000"</f>
        <v>25051180160000</v>
      </c>
      <c r="BB1403" s="1" t="s">
        <v>200</v>
      </c>
      <c r="BC1403" s="1">
        <v>1081.0</v>
      </c>
      <c r="BD1403" s="1">
        <v>144900.0</v>
      </c>
      <c r="BE1403" s="2">
        <v>41828.0</v>
      </c>
      <c r="BF1403" s="1" t="s">
        <v>14529</v>
      </c>
      <c r="BH1403" s="1">
        <v>0.0</v>
      </c>
      <c r="BK1403" s="1" t="s">
        <v>204</v>
      </c>
      <c r="BL1403" s="1" t="str">
        <f t="shared" si="922"/>
        <v>0</v>
      </c>
      <c r="BM1403" s="1" t="str">
        <f>"0"</f>
        <v>0</v>
      </c>
      <c r="BN1403" s="1">
        <v>1400.0</v>
      </c>
      <c r="BO1403" s="1">
        <v>8920.0</v>
      </c>
      <c r="BQ1403" s="1">
        <v>299.0</v>
      </c>
      <c r="BR1403" s="1">
        <v>299.0</v>
      </c>
      <c r="BS1403" s="1">
        <v>299.0</v>
      </c>
      <c r="BU1403" s="1" t="s">
        <v>1000</v>
      </c>
      <c r="BV1403" s="1" t="s">
        <v>206</v>
      </c>
      <c r="BW1403" s="1" t="s">
        <v>207</v>
      </c>
      <c r="BY1403" s="1" t="s">
        <v>3054</v>
      </c>
      <c r="BZ1403" s="1" t="s">
        <v>209</v>
      </c>
      <c r="CA1403" s="1" t="s">
        <v>207</v>
      </c>
      <c r="CC1403" s="1" t="s">
        <v>2459</v>
      </c>
      <c r="CD1403" s="1" t="s">
        <v>206</v>
      </c>
      <c r="CE1403" s="1" t="s">
        <v>207</v>
      </c>
      <c r="CG1403" s="1" t="s">
        <v>264</v>
      </c>
      <c r="CH1403" s="1" t="s">
        <v>206</v>
      </c>
      <c r="CK1403" s="1" t="s">
        <v>495</v>
      </c>
      <c r="CL1403" s="1" t="s">
        <v>206</v>
      </c>
      <c r="CO1403" s="1" t="s">
        <v>212</v>
      </c>
      <c r="CP1403" s="1" t="s">
        <v>209</v>
      </c>
      <c r="CQ1403" s="1" t="s">
        <v>207</v>
      </c>
      <c r="CS1403" s="1" t="s">
        <v>699</v>
      </c>
      <c r="CT1403" s="1" t="s">
        <v>206</v>
      </c>
      <c r="CU1403" s="1" t="s">
        <v>207</v>
      </c>
      <c r="CW1403" s="1" t="s">
        <v>3475</v>
      </c>
      <c r="CX1403" s="1" t="s">
        <v>209</v>
      </c>
      <c r="CY1403" s="1" t="s">
        <v>207</v>
      </c>
      <c r="DA1403" s="1" t="s">
        <v>200</v>
      </c>
      <c r="DC1403" s="1" t="s">
        <v>785</v>
      </c>
      <c r="DE1403" s="1" t="s">
        <v>273</v>
      </c>
      <c r="DF1403" s="1" t="s">
        <v>619</v>
      </c>
      <c r="DH1403" s="1" t="s">
        <v>365</v>
      </c>
      <c r="DI1403" s="1" t="s">
        <v>14530</v>
      </c>
      <c r="DJ1403" s="1" t="s">
        <v>222</v>
      </c>
      <c r="DL1403" s="1" t="s">
        <v>224</v>
      </c>
      <c r="DM1403" s="1" t="s">
        <v>1919</v>
      </c>
      <c r="DQ1403" s="1" t="s">
        <v>718</v>
      </c>
      <c r="DR1403" s="1" t="s">
        <v>229</v>
      </c>
      <c r="DV1403" s="1" t="s">
        <v>1270</v>
      </c>
      <c r="DW1403" s="1" t="s">
        <v>934</v>
      </c>
      <c r="DX1403" s="1" t="s">
        <v>234</v>
      </c>
      <c r="EA1403" s="1" t="s">
        <v>644</v>
      </c>
      <c r="EC1403" s="1" t="s">
        <v>237</v>
      </c>
      <c r="EG1403" s="1" t="s">
        <v>1270</v>
      </c>
      <c r="EL1403" s="1" t="s">
        <v>558</v>
      </c>
      <c r="EM1403" s="1" t="s">
        <v>42</v>
      </c>
      <c r="EN1403" s="1" t="s">
        <v>588</v>
      </c>
      <c r="EQ1403" s="1" t="s">
        <v>238</v>
      </c>
      <c r="EU1403" s="1" t="s">
        <v>238</v>
      </c>
      <c r="EY1403" s="1" t="s">
        <v>238</v>
      </c>
      <c r="FC1403" s="1" t="s">
        <v>238</v>
      </c>
      <c r="FF1403" s="1" t="s">
        <v>239</v>
      </c>
      <c r="FG1403" s="1" t="s">
        <v>192</v>
      </c>
      <c r="FH1403" s="1" t="s">
        <v>192</v>
      </c>
      <c r="FJ1403" s="1" t="s">
        <v>7646</v>
      </c>
      <c r="FK1403" s="1" t="s">
        <v>229</v>
      </c>
      <c r="FL1403" s="1" t="s">
        <v>10232</v>
      </c>
      <c r="FM1403" s="1">
        <v>11009.0</v>
      </c>
      <c r="FN1403" s="1" t="s">
        <v>10233</v>
      </c>
      <c r="FO1403" s="1" t="s">
        <v>13878</v>
      </c>
      <c r="FP1403" s="1">
        <v>155894.0</v>
      </c>
      <c r="FQ1403" s="1" t="s">
        <v>13879</v>
      </c>
      <c r="FU1403" s="1" t="s">
        <v>13880</v>
      </c>
      <c r="FV1403" s="1" t="s">
        <v>192</v>
      </c>
      <c r="FW1403" s="1" t="s">
        <v>290</v>
      </c>
      <c r="FX1403" s="1" t="s">
        <v>655</v>
      </c>
      <c r="FZ1403" s="1" t="s">
        <v>229</v>
      </c>
      <c r="GA1403" s="1" t="s">
        <v>291</v>
      </c>
      <c r="GB1403" s="2">
        <v>42065.0</v>
      </c>
      <c r="GC1403" s="1" t="s">
        <v>13881</v>
      </c>
    </row>
    <row r="1404">
      <c r="A1404" s="1">
        <v>207500.0</v>
      </c>
      <c r="B1404" s="1" t="s">
        <v>185</v>
      </c>
      <c r="C1404" s="1" t="str">
        <f>"08671228"</f>
        <v>08671228</v>
      </c>
      <c r="D1404" s="1" t="s">
        <v>186</v>
      </c>
      <c r="F1404" s="1" t="str">
        <f>"103"</f>
        <v>103</v>
      </c>
      <c r="G1404" s="2">
        <v>41833.0</v>
      </c>
      <c r="H1404" s="1">
        <v>240000.0</v>
      </c>
      <c r="I1404" s="1">
        <v>87.0</v>
      </c>
      <c r="J1404" s="1">
        <v>225000.0</v>
      </c>
      <c r="K1404" s="2">
        <v>41919.0</v>
      </c>
      <c r="L1404" s="1">
        <v>87.0</v>
      </c>
      <c r="M1404" s="2">
        <v>41919.0</v>
      </c>
      <c r="N1404" s="1" t="s">
        <v>187</v>
      </c>
      <c r="O1404" s="2">
        <v>41988.0</v>
      </c>
      <c r="P1404" s="1">
        <v>215213.0</v>
      </c>
      <c r="Q1404" s="1">
        <v>21989.0</v>
      </c>
      <c r="S1404" s="1">
        <v>999.0</v>
      </c>
      <c r="T1404" s="1" t="s">
        <v>14531</v>
      </c>
      <c r="U1404" s="1" t="s">
        <v>420</v>
      </c>
      <c r="V1404" s="1" t="s">
        <v>251</v>
      </c>
      <c r="W1404" s="1">
        <v>60133.0</v>
      </c>
      <c r="Y1404" s="1" t="s">
        <v>14532</v>
      </c>
      <c r="Z1404" s="1">
        <v>1970.0</v>
      </c>
      <c r="AA1404" s="1" t="s">
        <v>192</v>
      </c>
      <c r="AB1404" s="1" t="s">
        <v>193</v>
      </c>
      <c r="AC1404" s="1" t="s">
        <v>253</v>
      </c>
      <c r="AD1404" s="1" t="s">
        <v>254</v>
      </c>
      <c r="AE1404" s="1" t="s">
        <v>195</v>
      </c>
      <c r="AF1404" s="1" t="s">
        <v>255</v>
      </c>
      <c r="AG1404" s="1" t="s">
        <v>425</v>
      </c>
      <c r="AH1404" s="1" t="s">
        <v>14533</v>
      </c>
      <c r="AI1404" s="1">
        <v>0.2384</v>
      </c>
      <c r="AK1404" s="1">
        <v>7.0</v>
      </c>
      <c r="AL1404" s="1">
        <v>4.0</v>
      </c>
      <c r="AM1404" s="1">
        <v>2.0</v>
      </c>
      <c r="AN1404" s="1">
        <v>0.0</v>
      </c>
      <c r="AO1404" s="1" t="s">
        <v>198</v>
      </c>
      <c r="AQ1404" s="1" t="s">
        <v>229</v>
      </c>
      <c r="AR1404" s="1" t="s">
        <v>200</v>
      </c>
      <c r="AS1404" s="1" t="s">
        <v>199</v>
      </c>
      <c r="AT1404" s="1">
        <v>2.0</v>
      </c>
      <c r="AV1404" s="1" t="s">
        <v>200</v>
      </c>
      <c r="AW1404" s="1">
        <v>5301.05</v>
      </c>
      <c r="AX1404" s="1">
        <v>2013.0</v>
      </c>
      <c r="AY1404" s="1" t="s">
        <v>387</v>
      </c>
      <c r="AZ1404" s="1" t="s">
        <v>200</v>
      </c>
      <c r="BA1404" s="1" t="str">
        <f>"07302070300000"</f>
        <v>07302070300000</v>
      </c>
      <c r="BC1404" s="1">
        <v>1699.0</v>
      </c>
      <c r="BD1404" s="1">
        <v>207500.0</v>
      </c>
      <c r="BE1404" s="2">
        <v>41833.0</v>
      </c>
      <c r="BF1404" s="2" t="s">
        <v>14534</v>
      </c>
      <c r="BG1404" s="1" t="s">
        <v>14535</v>
      </c>
      <c r="BH1404" s="1">
        <v>0.0</v>
      </c>
      <c r="BI1404" s="1" t="s">
        <v>8447</v>
      </c>
      <c r="BJ1404" s="1" t="s">
        <v>8448</v>
      </c>
      <c r="BK1404" s="1" t="s">
        <v>204</v>
      </c>
      <c r="BL1404" s="1" t="str">
        <f>"9"</f>
        <v>9</v>
      </c>
      <c r="BM1404" s="1" t="str">
        <f>""</f>
        <v/>
      </c>
      <c r="BN1404" s="1">
        <v>26.0</v>
      </c>
      <c r="BQ1404" s="1">
        <v>54.0</v>
      </c>
      <c r="BR1404" s="1">
        <v>211.0</v>
      </c>
      <c r="BS1404" s="1">
        <v>54.0</v>
      </c>
      <c r="BU1404" s="1" t="s">
        <v>3538</v>
      </c>
      <c r="BV1404" s="1" t="s">
        <v>206</v>
      </c>
      <c r="BW1404" s="1" t="s">
        <v>301</v>
      </c>
      <c r="BX1404" s="1" t="s">
        <v>239</v>
      </c>
      <c r="BY1404" s="1" t="s">
        <v>262</v>
      </c>
      <c r="BZ1404" s="1" t="s">
        <v>206</v>
      </c>
      <c r="CA1404" s="1" t="s">
        <v>210</v>
      </c>
      <c r="CB1404" s="1" t="s">
        <v>239</v>
      </c>
      <c r="CD1404" s="1" t="s">
        <v>204</v>
      </c>
      <c r="CG1404" s="1" t="s">
        <v>392</v>
      </c>
      <c r="CH1404" s="1" t="s">
        <v>206</v>
      </c>
      <c r="CI1404" s="1" t="s">
        <v>210</v>
      </c>
      <c r="CJ1404" s="1" t="s">
        <v>239</v>
      </c>
      <c r="CK1404" s="1" t="s">
        <v>495</v>
      </c>
      <c r="CL1404" s="1" t="s">
        <v>206</v>
      </c>
      <c r="CM1404" s="1" t="s">
        <v>210</v>
      </c>
      <c r="CN1404" s="1" t="s">
        <v>239</v>
      </c>
      <c r="CO1404" s="1" t="s">
        <v>516</v>
      </c>
      <c r="CP1404" s="1" t="s">
        <v>206</v>
      </c>
      <c r="CQ1404" s="1" t="s">
        <v>210</v>
      </c>
      <c r="CR1404" s="1" t="s">
        <v>239</v>
      </c>
      <c r="CS1404" s="1" t="s">
        <v>329</v>
      </c>
      <c r="CT1404" s="1" t="s">
        <v>206</v>
      </c>
      <c r="CU1404" s="1" t="s">
        <v>301</v>
      </c>
      <c r="CV1404" s="1" t="s">
        <v>239</v>
      </c>
      <c r="CW1404" s="1" t="s">
        <v>432</v>
      </c>
      <c r="CX1404" s="1" t="s">
        <v>206</v>
      </c>
      <c r="CY1404" s="1" t="s">
        <v>301</v>
      </c>
      <c r="CZ1404" s="1" t="s">
        <v>239</v>
      </c>
      <c r="DA1404" s="1" t="s">
        <v>200</v>
      </c>
      <c r="DC1404" s="1" t="s">
        <v>517</v>
      </c>
      <c r="DD1404" s="1" t="s">
        <v>957</v>
      </c>
      <c r="DE1404" s="1" t="s">
        <v>273</v>
      </c>
      <c r="DF1404" s="1" t="s">
        <v>219</v>
      </c>
      <c r="DG1404" s="1" t="s">
        <v>337</v>
      </c>
      <c r="DH1404" s="1" t="s">
        <v>365</v>
      </c>
      <c r="DI1404" s="1" t="s">
        <v>1003</v>
      </c>
      <c r="DJ1404" s="1" t="s">
        <v>222</v>
      </c>
      <c r="DK1404" s="1" t="s">
        <v>3740</v>
      </c>
      <c r="DL1404" s="1" t="s">
        <v>520</v>
      </c>
      <c r="DM1404" s="1" t="s">
        <v>229</v>
      </c>
      <c r="DO1404" s="1" t="s">
        <v>1979</v>
      </c>
      <c r="DQ1404" s="1" t="s">
        <v>228</v>
      </c>
      <c r="DR1404" s="1" t="s">
        <v>229</v>
      </c>
      <c r="DS1404" s="1" t="s">
        <v>230</v>
      </c>
      <c r="DU1404" s="1" t="s">
        <v>681</v>
      </c>
      <c r="DV1404" s="1" t="s">
        <v>232</v>
      </c>
      <c r="DW1404" s="1" t="s">
        <v>444</v>
      </c>
      <c r="DX1404" s="1" t="s">
        <v>309</v>
      </c>
      <c r="DY1404" s="1" t="s">
        <v>12578</v>
      </c>
      <c r="DZ1404" s="1" t="s">
        <v>6413</v>
      </c>
      <c r="EA1404" s="1" t="s">
        <v>683</v>
      </c>
      <c r="EC1404" s="1" t="s">
        <v>685</v>
      </c>
      <c r="ED1404" s="1" t="s">
        <v>407</v>
      </c>
      <c r="EE1404" s="1" t="s">
        <v>493</v>
      </c>
      <c r="EM1404" s="1" t="s">
        <v>238</v>
      </c>
      <c r="EQ1404" s="1" t="s">
        <v>238</v>
      </c>
      <c r="EU1404" s="1" t="s">
        <v>238</v>
      </c>
      <c r="EY1404" s="1" t="s">
        <v>238</v>
      </c>
      <c r="FC1404" s="1" t="s">
        <v>238</v>
      </c>
      <c r="FF1404" s="1" t="s">
        <v>239</v>
      </c>
      <c r="FG1404" s="1" t="s">
        <v>192</v>
      </c>
      <c r="FH1404" s="1" t="s">
        <v>192</v>
      </c>
      <c r="FJ1404" s="1" t="s">
        <v>1469</v>
      </c>
      <c r="FK1404" s="1" t="s">
        <v>229</v>
      </c>
      <c r="FL1404" s="1" t="s">
        <v>5963</v>
      </c>
      <c r="FM1404" s="1">
        <v>23099.0</v>
      </c>
      <c r="FN1404" s="1" t="s">
        <v>5964</v>
      </c>
      <c r="FO1404" s="1" t="s">
        <v>11395</v>
      </c>
      <c r="FP1404" s="1">
        <v>237256.0</v>
      </c>
      <c r="FQ1404" s="1" t="s">
        <v>11396</v>
      </c>
      <c r="FS1404" s="1" t="s">
        <v>11397</v>
      </c>
      <c r="FU1404" s="1" t="s">
        <v>14536</v>
      </c>
      <c r="FV1404" s="1" t="s">
        <v>200</v>
      </c>
      <c r="FW1404" s="1" t="s">
        <v>530</v>
      </c>
      <c r="FZ1404" s="1" t="s">
        <v>229</v>
      </c>
      <c r="GA1404" s="1" t="s">
        <v>291</v>
      </c>
      <c r="GB1404" s="2">
        <v>41988.0</v>
      </c>
    </row>
    <row r="1405">
      <c r="A1405" s="1">
        <v>700000.0</v>
      </c>
      <c r="B1405" s="1" t="s">
        <v>185</v>
      </c>
      <c r="C1405" s="1" t="str">
        <f>"08654748"</f>
        <v>08654748</v>
      </c>
      <c r="D1405" s="1" t="s">
        <v>186</v>
      </c>
      <c r="F1405" s="1" t="str">
        <f>"10"</f>
        <v>10</v>
      </c>
      <c r="G1405" s="2">
        <v>41814.0</v>
      </c>
      <c r="H1405" s="1">
        <v>799000.0</v>
      </c>
      <c r="I1405" s="1">
        <v>242.0</v>
      </c>
      <c r="J1405" s="1">
        <v>799000.0</v>
      </c>
      <c r="K1405" s="2">
        <v>42055.0</v>
      </c>
      <c r="L1405" s="1">
        <v>242.0</v>
      </c>
      <c r="M1405" s="2">
        <v>42055.0</v>
      </c>
      <c r="N1405" s="1" t="s">
        <v>249</v>
      </c>
      <c r="O1405" s="2">
        <v>42065.0</v>
      </c>
      <c r="P1405" s="1">
        <v>33566.0</v>
      </c>
      <c r="Q1405" s="1">
        <v>3885.0</v>
      </c>
      <c r="S1405" s="1">
        <v>604.0</v>
      </c>
      <c r="T1405" s="1" t="s">
        <v>14537</v>
      </c>
      <c r="U1405" s="1" t="s">
        <v>420</v>
      </c>
      <c r="V1405" s="1" t="s">
        <v>14538</v>
      </c>
      <c r="W1405" s="1">
        <v>60010.0</v>
      </c>
      <c r="Y1405" s="1" t="s">
        <v>14539</v>
      </c>
      <c r="Z1405" s="1">
        <v>2006.0</v>
      </c>
      <c r="AA1405" s="1" t="s">
        <v>200</v>
      </c>
      <c r="AB1405" s="1" t="s">
        <v>4117</v>
      </c>
      <c r="AD1405" s="1" t="s">
        <v>14540</v>
      </c>
      <c r="AE1405" s="1" t="s">
        <v>195</v>
      </c>
      <c r="AF1405" s="1" t="s">
        <v>1948</v>
      </c>
      <c r="AH1405" s="1" t="s">
        <v>14541</v>
      </c>
      <c r="AK1405" s="1">
        <v>9.0</v>
      </c>
      <c r="AL1405" s="1">
        <v>4.0</v>
      </c>
      <c r="AM1405" s="1">
        <v>3.0</v>
      </c>
      <c r="AN1405" s="1">
        <v>1.0</v>
      </c>
      <c r="AO1405" s="1" t="s">
        <v>198</v>
      </c>
      <c r="AP1405" s="1">
        <v>1.0</v>
      </c>
      <c r="AQ1405" s="1" t="s">
        <v>327</v>
      </c>
      <c r="AR1405" s="1" t="s">
        <v>192</v>
      </c>
      <c r="AS1405" s="1" t="s">
        <v>199</v>
      </c>
      <c r="AT1405" s="1">
        <v>3.0</v>
      </c>
      <c r="AV1405" s="1" t="s">
        <v>200</v>
      </c>
      <c r="AW1405" s="1">
        <v>13000.0</v>
      </c>
      <c r="AX1405" s="1">
        <v>2012.0</v>
      </c>
      <c r="AZ1405" s="1" t="s">
        <v>200</v>
      </c>
      <c r="BA1405" s="1" t="str">
        <f>"01241000431095"</f>
        <v>01241000431095</v>
      </c>
      <c r="BC1405" s="1">
        <v>4300.0</v>
      </c>
      <c r="BD1405" s="1">
        <v>700000.0</v>
      </c>
      <c r="BE1405" s="2">
        <v>41814.0</v>
      </c>
      <c r="BH1405" s="1">
        <v>248.0</v>
      </c>
      <c r="BK1405" s="1" t="s">
        <v>474</v>
      </c>
      <c r="BL1405" s="1" t="str">
        <f>"15"</f>
        <v>15</v>
      </c>
      <c r="BM1405" s="1" t="str">
        <f>"0"</f>
        <v>0</v>
      </c>
      <c r="BN1405" s="1">
        <v>25.0</v>
      </c>
      <c r="BO1405" s="1">
        <v>0.0</v>
      </c>
      <c r="BQ1405" s="1">
        <v>220.0</v>
      </c>
      <c r="BR1405" s="1">
        <v>220.0</v>
      </c>
      <c r="BS1405" s="1">
        <v>220.0</v>
      </c>
      <c r="BU1405" s="1" t="s">
        <v>783</v>
      </c>
      <c r="BV1405" s="1" t="s">
        <v>206</v>
      </c>
      <c r="BW1405" s="1" t="s">
        <v>207</v>
      </c>
      <c r="BY1405" s="1" t="s">
        <v>1953</v>
      </c>
      <c r="BZ1405" s="1" t="s">
        <v>209</v>
      </c>
      <c r="CA1405" s="1" t="s">
        <v>210</v>
      </c>
      <c r="CC1405" s="1" t="s">
        <v>329</v>
      </c>
      <c r="CD1405" s="1" t="s">
        <v>206</v>
      </c>
      <c r="CE1405" s="1" t="s">
        <v>207</v>
      </c>
      <c r="CG1405" s="1" t="s">
        <v>925</v>
      </c>
      <c r="CH1405" s="1" t="s">
        <v>209</v>
      </c>
      <c r="CI1405" s="1" t="s">
        <v>210</v>
      </c>
      <c r="CK1405" s="1" t="s">
        <v>329</v>
      </c>
      <c r="CL1405" s="1" t="s">
        <v>209</v>
      </c>
      <c r="CM1405" s="1" t="s">
        <v>210</v>
      </c>
      <c r="CO1405" s="1" t="s">
        <v>332</v>
      </c>
      <c r="CP1405" s="1" t="s">
        <v>209</v>
      </c>
      <c r="CQ1405" s="1" t="s">
        <v>210</v>
      </c>
      <c r="CS1405" s="1" t="s">
        <v>214</v>
      </c>
      <c r="CT1405" s="1" t="s">
        <v>206</v>
      </c>
      <c r="CU1405" s="1" t="s">
        <v>207</v>
      </c>
      <c r="CW1405" s="1" t="s">
        <v>1825</v>
      </c>
      <c r="CX1405" s="1" t="s">
        <v>206</v>
      </c>
      <c r="CY1405" s="1" t="s">
        <v>207</v>
      </c>
      <c r="DA1405" s="1" t="s">
        <v>200</v>
      </c>
      <c r="DC1405" s="1" t="s">
        <v>481</v>
      </c>
      <c r="DD1405" s="1" t="s">
        <v>586</v>
      </c>
      <c r="DE1405" s="1" t="s">
        <v>273</v>
      </c>
      <c r="DF1405" s="1" t="s">
        <v>219</v>
      </c>
      <c r="DH1405" s="1" t="s">
        <v>220</v>
      </c>
      <c r="DI1405" s="1" t="s">
        <v>14542</v>
      </c>
      <c r="DJ1405" s="1" t="s">
        <v>222</v>
      </c>
      <c r="DL1405" s="1" t="s">
        <v>223</v>
      </c>
      <c r="DM1405" s="1" t="s">
        <v>229</v>
      </c>
      <c r="DN1405" s="1" t="s">
        <v>399</v>
      </c>
      <c r="DO1405" s="1" t="s">
        <v>440</v>
      </c>
      <c r="DP1405" s="1" t="s">
        <v>340</v>
      </c>
      <c r="DQ1405" s="1" t="s">
        <v>228</v>
      </c>
      <c r="DR1405" s="1" t="s">
        <v>10152</v>
      </c>
      <c r="DS1405" s="1" t="s">
        <v>230</v>
      </c>
      <c r="DU1405" s="1" t="s">
        <v>1162</v>
      </c>
      <c r="DV1405" s="1" t="s">
        <v>494</v>
      </c>
      <c r="DW1405" s="1" t="s">
        <v>1026</v>
      </c>
      <c r="DX1405" s="1" t="s">
        <v>234</v>
      </c>
      <c r="EA1405" s="1" t="s">
        <v>447</v>
      </c>
      <c r="EB1405" s="1" t="s">
        <v>492</v>
      </c>
      <c r="EC1405" s="1" t="s">
        <v>237</v>
      </c>
      <c r="ED1405" s="1" t="s">
        <v>407</v>
      </c>
      <c r="EG1405" s="1" t="s">
        <v>494</v>
      </c>
      <c r="EL1405" s="1" t="s">
        <v>390</v>
      </c>
      <c r="EM1405" s="1" t="s">
        <v>206</v>
      </c>
      <c r="EQ1405" s="1" t="s">
        <v>238</v>
      </c>
      <c r="EU1405" s="1" t="s">
        <v>238</v>
      </c>
      <c r="EY1405" s="1" t="s">
        <v>238</v>
      </c>
      <c r="FC1405" s="1" t="s">
        <v>238</v>
      </c>
      <c r="FF1405" s="1" t="s">
        <v>229</v>
      </c>
      <c r="FG1405" s="1" t="s">
        <v>200</v>
      </c>
      <c r="FH1405" s="1" t="s">
        <v>200</v>
      </c>
      <c r="FJ1405" s="1" t="s">
        <v>2262</v>
      </c>
      <c r="FK1405" s="1" t="s">
        <v>1586</v>
      </c>
      <c r="FL1405" s="1" t="s">
        <v>14543</v>
      </c>
      <c r="FM1405" s="1">
        <v>3885.0</v>
      </c>
      <c r="FN1405" s="1" t="s">
        <v>14544</v>
      </c>
      <c r="FO1405" s="1" t="s">
        <v>14545</v>
      </c>
      <c r="FP1405" s="1">
        <v>32797.0</v>
      </c>
      <c r="FQ1405" s="1" t="s">
        <v>14546</v>
      </c>
      <c r="FU1405" s="1" t="s">
        <v>14547</v>
      </c>
      <c r="FV1405" s="1" t="s">
        <v>200</v>
      </c>
      <c r="FW1405" s="1" t="s">
        <v>1457</v>
      </c>
      <c r="FZ1405" s="1" t="s">
        <v>229</v>
      </c>
      <c r="GA1405" s="1" t="s">
        <v>291</v>
      </c>
      <c r="GB1405" s="2">
        <v>42065.0</v>
      </c>
      <c r="GC1405" s="1" t="s">
        <v>14548</v>
      </c>
    </row>
    <row r="1406">
      <c r="A1406" s="1">
        <v>246000.0</v>
      </c>
      <c r="B1406" s="1" t="s">
        <v>185</v>
      </c>
      <c r="C1406" s="1" t="str">
        <f>"08658677"</f>
        <v>08658677</v>
      </c>
      <c r="D1406" s="1" t="s">
        <v>186</v>
      </c>
      <c r="F1406" s="1" t="str">
        <f>"151"</f>
        <v>151</v>
      </c>
      <c r="G1406" s="2">
        <v>41818.0</v>
      </c>
      <c r="H1406" s="1">
        <v>269900.0</v>
      </c>
      <c r="I1406" s="1">
        <v>245.0</v>
      </c>
      <c r="J1406" s="1">
        <v>257900.0</v>
      </c>
      <c r="K1406" s="2">
        <v>42062.0</v>
      </c>
      <c r="L1406" s="1">
        <v>245.0</v>
      </c>
      <c r="M1406" s="2">
        <v>42062.0</v>
      </c>
      <c r="N1406" s="1" t="s">
        <v>249</v>
      </c>
      <c r="O1406" s="2">
        <v>42090.0</v>
      </c>
      <c r="P1406" s="1">
        <v>1195.0</v>
      </c>
      <c r="Q1406" s="1">
        <v>41.0</v>
      </c>
      <c r="S1406" s="1">
        <v>671.0</v>
      </c>
      <c r="T1406" s="1" t="s">
        <v>421</v>
      </c>
      <c r="U1406" s="1" t="s">
        <v>320</v>
      </c>
      <c r="V1406" s="1" t="s">
        <v>8905</v>
      </c>
      <c r="W1406" s="1">
        <v>60151.0</v>
      </c>
      <c r="Y1406" s="1" t="s">
        <v>14549</v>
      </c>
      <c r="Z1406" s="1">
        <v>2003.0</v>
      </c>
      <c r="AA1406" s="1" t="s">
        <v>200</v>
      </c>
      <c r="AB1406" s="1" t="s">
        <v>193</v>
      </c>
      <c r="AD1406" s="1" t="s">
        <v>8908</v>
      </c>
      <c r="AE1406" s="1" t="s">
        <v>613</v>
      </c>
      <c r="AF1406" s="1" t="s">
        <v>4019</v>
      </c>
      <c r="AH1406" s="1" t="s">
        <v>14550</v>
      </c>
      <c r="AI1406" s="1">
        <v>0.23</v>
      </c>
      <c r="AK1406" s="1">
        <v>9.0</v>
      </c>
      <c r="AL1406" s="1">
        <v>3.0</v>
      </c>
      <c r="AM1406" s="1">
        <v>3.0</v>
      </c>
      <c r="AN1406" s="1">
        <v>0.0</v>
      </c>
      <c r="AO1406" s="1" t="s">
        <v>198</v>
      </c>
      <c r="AP1406" s="1">
        <v>2.0</v>
      </c>
      <c r="AQ1406" s="1" t="s">
        <v>198</v>
      </c>
      <c r="AR1406" s="1" t="s">
        <v>192</v>
      </c>
      <c r="AS1406" s="1" t="s">
        <v>199</v>
      </c>
      <c r="AT1406" s="1">
        <v>3.0</v>
      </c>
      <c r="AV1406" s="1" t="s">
        <v>200</v>
      </c>
      <c r="AW1406" s="1">
        <v>6103.48</v>
      </c>
      <c r="AX1406" s="1">
        <v>2013.0</v>
      </c>
      <c r="AY1406" s="1" t="s">
        <v>3108</v>
      </c>
      <c r="AZ1406" s="1" t="s">
        <v>200</v>
      </c>
      <c r="BA1406" s="1" t="str">
        <f>"0936252013"</f>
        <v>0936252013</v>
      </c>
      <c r="BC1406" s="1">
        <v>2050.0</v>
      </c>
      <c r="BD1406" s="1">
        <v>246000.0</v>
      </c>
      <c r="BE1406" s="2">
        <v>41818.0</v>
      </c>
      <c r="BF1406" s="2" t="s">
        <v>14551</v>
      </c>
      <c r="BH1406" s="1">
        <v>0.0</v>
      </c>
      <c r="BK1406" s="1" t="s">
        <v>204</v>
      </c>
      <c r="BL1406" s="1" t="str">
        <f t="shared" ref="BL1406:BM1406" si="923">""</f>
        <v/>
      </c>
      <c r="BM1406" s="1" t="str">
        <f t="shared" si="923"/>
        <v/>
      </c>
      <c r="BQ1406" s="1">
        <v>302.0</v>
      </c>
      <c r="BR1406" s="1">
        <v>302.0</v>
      </c>
      <c r="BS1406" s="1">
        <v>302.0</v>
      </c>
      <c r="BV1406" s="1" t="s">
        <v>204</v>
      </c>
      <c r="BY1406" s="1" t="s">
        <v>1117</v>
      </c>
      <c r="BZ1406" s="1" t="s">
        <v>206</v>
      </c>
      <c r="CA1406" s="1" t="s">
        <v>210</v>
      </c>
      <c r="CC1406" s="1" t="s">
        <v>212</v>
      </c>
      <c r="CD1406" s="1" t="s">
        <v>206</v>
      </c>
      <c r="CE1406" s="1" t="s">
        <v>207</v>
      </c>
      <c r="CG1406" s="1" t="s">
        <v>647</v>
      </c>
      <c r="CH1406" s="1" t="s">
        <v>206</v>
      </c>
      <c r="CI1406" s="1" t="s">
        <v>210</v>
      </c>
      <c r="CK1406" s="1" t="s">
        <v>212</v>
      </c>
      <c r="CL1406" s="1" t="s">
        <v>206</v>
      </c>
      <c r="CO1406" s="1" t="s">
        <v>1382</v>
      </c>
      <c r="CP1406" s="1" t="s">
        <v>42</v>
      </c>
      <c r="CQ1406" s="1" t="s">
        <v>210</v>
      </c>
      <c r="CS1406" s="1" t="s">
        <v>1891</v>
      </c>
      <c r="CT1406" s="1" t="s">
        <v>206</v>
      </c>
      <c r="CU1406" s="1" t="s">
        <v>268</v>
      </c>
      <c r="CX1406" s="1" t="s">
        <v>204</v>
      </c>
      <c r="DA1406" s="1" t="s">
        <v>200</v>
      </c>
      <c r="DC1406" s="1" t="s">
        <v>335</v>
      </c>
      <c r="DD1406" s="1" t="s">
        <v>518</v>
      </c>
      <c r="DE1406" s="1" t="s">
        <v>273</v>
      </c>
      <c r="DF1406" s="1" t="s">
        <v>219</v>
      </c>
      <c r="DH1406" s="1" t="s">
        <v>220</v>
      </c>
      <c r="DI1406" s="1" t="s">
        <v>703</v>
      </c>
      <c r="DJ1406" s="1" t="s">
        <v>222</v>
      </c>
      <c r="DL1406" s="1" t="s">
        <v>224</v>
      </c>
      <c r="DM1406" s="1" t="s">
        <v>1268</v>
      </c>
      <c r="DP1406" s="1" t="s">
        <v>340</v>
      </c>
      <c r="DQ1406" s="1" t="s">
        <v>228</v>
      </c>
      <c r="DR1406" s="1" t="s">
        <v>229</v>
      </c>
      <c r="DV1406" s="1" t="s">
        <v>14552</v>
      </c>
      <c r="DW1406" s="1" t="s">
        <v>233</v>
      </c>
      <c r="DX1406" s="1" t="s">
        <v>3205</v>
      </c>
      <c r="DY1406" s="1" t="s">
        <v>7854</v>
      </c>
      <c r="EA1406" s="1" t="s">
        <v>683</v>
      </c>
      <c r="EC1406" s="1" t="s">
        <v>685</v>
      </c>
      <c r="ED1406" s="1" t="s">
        <v>1406</v>
      </c>
      <c r="EG1406" s="1" t="s">
        <v>1164</v>
      </c>
      <c r="EH1406" s="1" t="s">
        <v>598</v>
      </c>
      <c r="EI1406" s="1" t="s">
        <v>450</v>
      </c>
      <c r="EJ1406" s="1" t="s">
        <v>588</v>
      </c>
      <c r="EK1406" s="1" t="s">
        <v>1103</v>
      </c>
      <c r="EL1406" s="1" t="s">
        <v>3817</v>
      </c>
      <c r="EM1406" s="1" t="s">
        <v>206</v>
      </c>
      <c r="EN1406" s="1" t="s">
        <v>207</v>
      </c>
      <c r="EP1406" s="1" t="s">
        <v>1852</v>
      </c>
      <c r="EQ1406" s="1" t="s">
        <v>42</v>
      </c>
      <c r="ER1406" s="1" t="s">
        <v>268</v>
      </c>
      <c r="ET1406" s="1" t="s">
        <v>12274</v>
      </c>
      <c r="EU1406" s="1" t="s">
        <v>42</v>
      </c>
      <c r="EV1406" s="1" t="s">
        <v>268</v>
      </c>
      <c r="EX1406" s="1" t="s">
        <v>6645</v>
      </c>
      <c r="EY1406" s="1" t="s">
        <v>42</v>
      </c>
      <c r="EZ1406" s="1" t="s">
        <v>268</v>
      </c>
      <c r="FB1406" s="1" t="s">
        <v>2617</v>
      </c>
      <c r="FC1406" s="1" t="s">
        <v>42</v>
      </c>
      <c r="FF1406" s="1" t="s">
        <v>239</v>
      </c>
      <c r="FG1406" s="1" t="s">
        <v>192</v>
      </c>
      <c r="FH1406" s="1" t="s">
        <v>192</v>
      </c>
      <c r="FJ1406" s="1" t="s">
        <v>524</v>
      </c>
      <c r="FK1406" s="1" t="s">
        <v>229</v>
      </c>
      <c r="FL1406" s="1" t="s">
        <v>14553</v>
      </c>
      <c r="FM1406" s="1">
        <v>148.0</v>
      </c>
      <c r="FN1406" s="1" t="s">
        <v>14554</v>
      </c>
      <c r="FO1406" s="1" t="s">
        <v>14555</v>
      </c>
      <c r="FP1406" s="1">
        <v>7752.0</v>
      </c>
      <c r="FU1406" s="1" t="s">
        <v>14556</v>
      </c>
      <c r="FV1406" s="1" t="s">
        <v>200</v>
      </c>
      <c r="FW1406" s="1" t="s">
        <v>290</v>
      </c>
      <c r="FX1406" s="1" t="s">
        <v>655</v>
      </c>
      <c r="FZ1406" s="1" t="s">
        <v>229</v>
      </c>
      <c r="GA1406" s="1" t="s">
        <v>291</v>
      </c>
      <c r="GB1406" s="2">
        <v>42094.0</v>
      </c>
    </row>
    <row r="1407">
      <c r="A1407" s="1">
        <v>240000.0</v>
      </c>
      <c r="B1407" s="1" t="s">
        <v>185</v>
      </c>
      <c r="C1407" s="1" t="str">
        <f>"08663336"</f>
        <v>08663336</v>
      </c>
      <c r="D1407" s="1" t="s">
        <v>186</v>
      </c>
      <c r="F1407" s="1" t="str">
        <f>"8064"</f>
        <v>8064</v>
      </c>
      <c r="G1407" s="2">
        <v>41823.0</v>
      </c>
      <c r="H1407" s="1">
        <v>285000.0</v>
      </c>
      <c r="I1407" s="1">
        <v>117.0</v>
      </c>
      <c r="J1407" s="1">
        <v>255900.0</v>
      </c>
      <c r="K1407" s="2">
        <v>41939.0</v>
      </c>
      <c r="L1407" s="1">
        <v>117.0</v>
      </c>
      <c r="M1407" s="2">
        <v>41939.0</v>
      </c>
      <c r="N1407" s="1" t="s">
        <v>187</v>
      </c>
      <c r="O1407" s="2">
        <v>41985.0</v>
      </c>
      <c r="P1407" s="1">
        <v>237579.0</v>
      </c>
      <c r="Q1407" s="1">
        <v>23465.0</v>
      </c>
      <c r="S1407" s="1">
        <v>6142.0</v>
      </c>
      <c r="T1407" s="1" t="s">
        <v>13578</v>
      </c>
      <c r="U1407" s="1" t="s">
        <v>189</v>
      </c>
      <c r="V1407" s="1" t="s">
        <v>190</v>
      </c>
      <c r="W1407" s="1">
        <v>60638.0</v>
      </c>
      <c r="Y1407" s="1" t="s">
        <v>14557</v>
      </c>
      <c r="Z1407" s="1" t="s">
        <v>296</v>
      </c>
      <c r="AA1407" s="1" t="s">
        <v>192</v>
      </c>
      <c r="AB1407" s="1" t="s">
        <v>193</v>
      </c>
      <c r="AD1407" s="1" t="s">
        <v>194</v>
      </c>
      <c r="AE1407" s="1" t="s">
        <v>195</v>
      </c>
      <c r="AF1407" s="1" t="s">
        <v>659</v>
      </c>
      <c r="AH1407" s="1" t="s">
        <v>14558</v>
      </c>
      <c r="AI1407" s="1">
        <v>0.1076</v>
      </c>
      <c r="AK1407" s="1">
        <v>8.0</v>
      </c>
      <c r="AL1407" s="1">
        <v>4.0</v>
      </c>
      <c r="AM1407" s="1">
        <v>2.0</v>
      </c>
      <c r="AN1407" s="1">
        <v>0.0</v>
      </c>
      <c r="AO1407" s="1" t="s">
        <v>229</v>
      </c>
      <c r="AQ1407" s="1" t="s">
        <v>229</v>
      </c>
      <c r="AR1407" s="1" t="s">
        <v>200</v>
      </c>
      <c r="AS1407" s="1" t="s">
        <v>199</v>
      </c>
      <c r="AT1407" s="1">
        <v>2.5</v>
      </c>
      <c r="AV1407" s="1" t="s">
        <v>200</v>
      </c>
      <c r="AW1407" s="1">
        <v>4031.29</v>
      </c>
      <c r="AX1407" s="1">
        <v>2012.0</v>
      </c>
      <c r="AY1407" s="1" t="s">
        <v>387</v>
      </c>
      <c r="AZ1407" s="1" t="s">
        <v>200</v>
      </c>
      <c r="BA1407" s="1" t="str">
        <f>"19184180670000"</f>
        <v>19184180670000</v>
      </c>
      <c r="BB1407" s="1" t="s">
        <v>200</v>
      </c>
      <c r="BC1407" s="1">
        <v>1800.0</v>
      </c>
      <c r="BD1407" s="1">
        <v>240000.0</v>
      </c>
      <c r="BE1407" s="2">
        <v>41823.0</v>
      </c>
      <c r="BF1407" s="2" t="s">
        <v>14559</v>
      </c>
      <c r="BG1407" s="1" t="s">
        <v>14560</v>
      </c>
      <c r="BH1407" s="1">
        <v>0.0</v>
      </c>
      <c r="BK1407" s="1" t="s">
        <v>204</v>
      </c>
      <c r="BL1407" s="1" t="str">
        <f t="shared" ref="BL1407:BM1407" si="924">"0"</f>
        <v>0</v>
      </c>
      <c r="BM1407" s="1" t="str">
        <f t="shared" si="924"/>
        <v>0</v>
      </c>
      <c r="BN1407" s="1">
        <v>6400.0</v>
      </c>
      <c r="BO1407" s="1">
        <v>6142.0</v>
      </c>
      <c r="BQ1407" s="1">
        <v>299.0</v>
      </c>
      <c r="BR1407" s="1">
        <v>299.0</v>
      </c>
      <c r="BS1407" s="1">
        <v>299.0</v>
      </c>
      <c r="BU1407" s="1" t="s">
        <v>454</v>
      </c>
      <c r="BV1407" s="1" t="s">
        <v>206</v>
      </c>
      <c r="BW1407" s="1" t="s">
        <v>207</v>
      </c>
      <c r="BY1407" s="1" t="s">
        <v>393</v>
      </c>
      <c r="BZ1407" s="1" t="s">
        <v>209</v>
      </c>
      <c r="CA1407" s="1" t="s">
        <v>207</v>
      </c>
      <c r="CC1407" s="1" t="s">
        <v>497</v>
      </c>
      <c r="CD1407" s="1" t="s">
        <v>206</v>
      </c>
      <c r="CE1407" s="1" t="s">
        <v>207</v>
      </c>
      <c r="CG1407" s="1" t="s">
        <v>663</v>
      </c>
      <c r="CH1407" s="1" t="s">
        <v>206</v>
      </c>
      <c r="CI1407" s="1" t="s">
        <v>207</v>
      </c>
      <c r="CK1407" s="1" t="s">
        <v>331</v>
      </c>
      <c r="CL1407" s="1" t="s">
        <v>209</v>
      </c>
      <c r="CM1407" s="1" t="s">
        <v>207</v>
      </c>
      <c r="CO1407" s="1" t="s">
        <v>2166</v>
      </c>
      <c r="CP1407" s="1" t="s">
        <v>209</v>
      </c>
      <c r="CQ1407" s="1" t="s">
        <v>207</v>
      </c>
      <c r="CS1407" s="1" t="s">
        <v>729</v>
      </c>
      <c r="CT1407" s="1" t="s">
        <v>206</v>
      </c>
      <c r="CU1407" s="1" t="s">
        <v>301</v>
      </c>
      <c r="CW1407" s="1" t="s">
        <v>495</v>
      </c>
      <c r="CX1407" s="1" t="s">
        <v>209</v>
      </c>
      <c r="CY1407" s="1" t="s">
        <v>207</v>
      </c>
      <c r="DA1407" s="1" t="s">
        <v>200</v>
      </c>
      <c r="DC1407" s="1" t="s">
        <v>271</v>
      </c>
      <c r="DD1407" s="1" t="s">
        <v>396</v>
      </c>
      <c r="DE1407" s="1" t="s">
        <v>273</v>
      </c>
      <c r="DF1407" s="1" t="s">
        <v>619</v>
      </c>
      <c r="DG1407" s="1" t="s">
        <v>337</v>
      </c>
      <c r="DH1407" s="1" t="s">
        <v>365</v>
      </c>
      <c r="DI1407" s="1" t="s">
        <v>13708</v>
      </c>
      <c r="DJ1407" s="1" t="s">
        <v>222</v>
      </c>
      <c r="DK1407" s="1" t="s">
        <v>3740</v>
      </c>
      <c r="DL1407" s="1" t="s">
        <v>520</v>
      </c>
      <c r="DM1407" s="1" t="s">
        <v>229</v>
      </c>
      <c r="DP1407" s="1" t="s">
        <v>340</v>
      </c>
      <c r="DQ1407" s="1" t="s">
        <v>718</v>
      </c>
      <c r="DR1407" s="1" t="s">
        <v>229</v>
      </c>
      <c r="DS1407" s="1" t="s">
        <v>401</v>
      </c>
      <c r="DU1407" s="1" t="s">
        <v>1162</v>
      </c>
      <c r="DV1407" s="1" t="s">
        <v>232</v>
      </c>
      <c r="DW1407" s="1" t="s">
        <v>279</v>
      </c>
      <c r="DX1407" s="1" t="s">
        <v>234</v>
      </c>
      <c r="DZ1407" s="1" t="s">
        <v>766</v>
      </c>
      <c r="EA1407" s="1" t="s">
        <v>683</v>
      </c>
      <c r="EC1407" s="1" t="s">
        <v>237</v>
      </c>
      <c r="EM1407" s="1" t="s">
        <v>238</v>
      </c>
      <c r="EQ1407" s="1" t="s">
        <v>238</v>
      </c>
      <c r="EU1407" s="1" t="s">
        <v>238</v>
      </c>
      <c r="EY1407" s="1" t="s">
        <v>238</v>
      </c>
      <c r="FC1407" s="1" t="s">
        <v>238</v>
      </c>
      <c r="FF1407" s="1" t="s">
        <v>239</v>
      </c>
      <c r="FG1407" s="1" t="s">
        <v>200</v>
      </c>
      <c r="FH1407" s="1" t="s">
        <v>192</v>
      </c>
      <c r="FJ1407" s="1" t="s">
        <v>770</v>
      </c>
      <c r="FK1407" s="1" t="s">
        <v>229</v>
      </c>
      <c r="FL1407" s="1" t="s">
        <v>14561</v>
      </c>
      <c r="FM1407" s="1">
        <v>15484.0</v>
      </c>
      <c r="FN1407" s="1" t="s">
        <v>14562</v>
      </c>
      <c r="FO1407" s="1" t="s">
        <v>14563</v>
      </c>
      <c r="FP1407" s="1">
        <v>145468.0</v>
      </c>
      <c r="FQ1407" s="1" t="s">
        <v>14564</v>
      </c>
      <c r="FU1407" s="1" t="s">
        <v>14565</v>
      </c>
      <c r="FV1407" s="1" t="s">
        <v>192</v>
      </c>
      <c r="FW1407" s="1" t="s">
        <v>631</v>
      </c>
      <c r="FX1407" s="1" t="s">
        <v>655</v>
      </c>
      <c r="FZ1407" s="1" t="s">
        <v>229</v>
      </c>
      <c r="GA1407" s="1" t="s">
        <v>291</v>
      </c>
      <c r="GB1407" s="2">
        <v>41988.0</v>
      </c>
      <c r="GC1407" s="1" t="s">
        <v>14566</v>
      </c>
    </row>
    <row r="1408">
      <c r="A1408" s="1">
        <v>219000.0</v>
      </c>
      <c r="B1408" s="1" t="s">
        <v>185</v>
      </c>
      <c r="C1408" s="1" t="str">
        <f>"08665199"</f>
        <v>08665199</v>
      </c>
      <c r="D1408" s="1" t="s">
        <v>186</v>
      </c>
      <c r="F1408" s="1" t="str">
        <f>"8072"</f>
        <v>8072</v>
      </c>
      <c r="G1408" s="2">
        <v>41827.0</v>
      </c>
      <c r="H1408" s="1">
        <v>248000.0</v>
      </c>
      <c r="I1408" s="1">
        <v>193.0</v>
      </c>
      <c r="J1408" s="1">
        <v>228000.0</v>
      </c>
      <c r="K1408" s="2">
        <v>42019.0</v>
      </c>
      <c r="L1408" s="1">
        <v>193.0</v>
      </c>
      <c r="M1408" s="2">
        <v>42019.0</v>
      </c>
      <c r="N1408" s="1" t="s">
        <v>634</v>
      </c>
      <c r="O1408" s="2">
        <v>42062.0</v>
      </c>
      <c r="P1408" s="1">
        <v>604310.0</v>
      </c>
      <c r="Q1408" s="1">
        <v>60035.0</v>
      </c>
      <c r="S1408" s="1">
        <v>9922.0</v>
      </c>
      <c r="T1408" s="1" t="s">
        <v>1513</v>
      </c>
      <c r="U1408" s="1" t="s">
        <v>189</v>
      </c>
      <c r="V1408" s="1" t="s">
        <v>190</v>
      </c>
      <c r="W1408" s="1">
        <v>60655.0</v>
      </c>
      <c r="Y1408" s="1" t="s">
        <v>14567</v>
      </c>
      <c r="Z1408" s="1">
        <v>1952.0</v>
      </c>
      <c r="AA1408" s="1" t="s">
        <v>192</v>
      </c>
      <c r="AB1408" s="1" t="s">
        <v>193</v>
      </c>
      <c r="AD1408" s="1" t="s">
        <v>194</v>
      </c>
      <c r="AE1408" s="1" t="s">
        <v>195</v>
      </c>
      <c r="AF1408" s="1" t="s">
        <v>659</v>
      </c>
      <c r="AH1408" s="1" t="s">
        <v>5314</v>
      </c>
      <c r="AK1408" s="1">
        <v>7.0</v>
      </c>
      <c r="AL1408" s="1">
        <v>4.0</v>
      </c>
      <c r="AM1408" s="1">
        <v>2.0</v>
      </c>
      <c r="AN1408" s="1">
        <v>0.0</v>
      </c>
      <c r="AO1408" s="1" t="s">
        <v>198</v>
      </c>
      <c r="AQ1408" s="1" t="s">
        <v>198</v>
      </c>
      <c r="AR1408" s="1" t="s">
        <v>200</v>
      </c>
      <c r="AS1408" s="1" t="s">
        <v>199</v>
      </c>
      <c r="AT1408" s="1">
        <v>2.0</v>
      </c>
      <c r="AV1408" s="1" t="s">
        <v>200</v>
      </c>
      <c r="AW1408" s="1">
        <v>769.0</v>
      </c>
      <c r="AX1408" s="1">
        <v>2013.0</v>
      </c>
      <c r="AY1408" s="1" t="s">
        <v>1917</v>
      </c>
      <c r="AZ1408" s="1" t="s">
        <v>200</v>
      </c>
      <c r="BA1408" s="1" t="str">
        <f>"24124020250000"</f>
        <v>24124020250000</v>
      </c>
      <c r="BC1408" s="1">
        <v>1721.0</v>
      </c>
      <c r="BD1408" s="1">
        <v>219000.0</v>
      </c>
      <c r="BE1408" s="2">
        <v>41827.0</v>
      </c>
      <c r="BF1408" s="2" t="s">
        <v>14568</v>
      </c>
      <c r="BH1408" s="1">
        <v>0.0</v>
      </c>
      <c r="BK1408" s="1" t="s">
        <v>204</v>
      </c>
      <c r="BL1408" s="1" t="str">
        <f t="shared" ref="BL1408:BM1408" si="925">"0"</f>
        <v>0</v>
      </c>
      <c r="BM1408" s="1" t="str">
        <f t="shared" si="925"/>
        <v>0</v>
      </c>
      <c r="BN1408" s="1">
        <v>2600.0</v>
      </c>
      <c r="BO1408" s="1">
        <v>9900.0</v>
      </c>
      <c r="BQ1408" s="1">
        <v>299.0</v>
      </c>
      <c r="BR1408" s="1">
        <v>299.0</v>
      </c>
      <c r="BS1408" s="1">
        <v>299.0</v>
      </c>
      <c r="BU1408" s="1" t="s">
        <v>433</v>
      </c>
      <c r="BV1408" s="1" t="s">
        <v>206</v>
      </c>
      <c r="BW1408" s="1" t="s">
        <v>207</v>
      </c>
      <c r="BX1408" s="1" t="s">
        <v>229</v>
      </c>
      <c r="BY1408" s="1" t="s">
        <v>212</v>
      </c>
      <c r="BZ1408" s="1" t="s">
        <v>206</v>
      </c>
      <c r="CA1408" s="1" t="s">
        <v>207</v>
      </c>
      <c r="CB1408" s="1" t="s">
        <v>229</v>
      </c>
      <c r="CC1408" s="1" t="s">
        <v>264</v>
      </c>
      <c r="CD1408" s="1" t="s">
        <v>206</v>
      </c>
      <c r="CE1408" s="1" t="s">
        <v>207</v>
      </c>
      <c r="CF1408" s="1" t="s">
        <v>229</v>
      </c>
      <c r="CG1408" s="1" t="s">
        <v>212</v>
      </c>
      <c r="CH1408" s="1" t="s">
        <v>206</v>
      </c>
      <c r="CI1408" s="1" t="s">
        <v>207</v>
      </c>
      <c r="CJ1408" s="1" t="s">
        <v>229</v>
      </c>
      <c r="CK1408" s="1" t="s">
        <v>211</v>
      </c>
      <c r="CL1408" s="1" t="s">
        <v>209</v>
      </c>
      <c r="CM1408" s="1" t="s">
        <v>210</v>
      </c>
      <c r="CN1408" s="1" t="s">
        <v>229</v>
      </c>
      <c r="CO1408" s="1" t="s">
        <v>453</v>
      </c>
      <c r="CP1408" s="1" t="s">
        <v>209</v>
      </c>
      <c r="CQ1408" s="1" t="s">
        <v>210</v>
      </c>
      <c r="CR1408" s="1" t="s">
        <v>229</v>
      </c>
      <c r="CS1408" s="1" t="s">
        <v>543</v>
      </c>
      <c r="CT1408" s="1" t="s">
        <v>206</v>
      </c>
      <c r="CU1408" s="1" t="s">
        <v>617</v>
      </c>
      <c r="CV1408" s="1" t="s">
        <v>229</v>
      </c>
      <c r="CX1408" s="1" t="s">
        <v>204</v>
      </c>
      <c r="DA1408" s="1" t="s">
        <v>200</v>
      </c>
      <c r="DC1408" s="1" t="s">
        <v>702</v>
      </c>
      <c r="DD1408" s="1" t="s">
        <v>518</v>
      </c>
      <c r="DE1408" s="1" t="s">
        <v>273</v>
      </c>
      <c r="DF1408" s="1" t="s">
        <v>619</v>
      </c>
      <c r="DH1408" s="1" t="s">
        <v>220</v>
      </c>
      <c r="DI1408" s="1" t="s">
        <v>1401</v>
      </c>
      <c r="DJ1408" s="1" t="s">
        <v>1379</v>
      </c>
      <c r="DK1408" s="1" t="s">
        <v>224</v>
      </c>
      <c r="DL1408" s="1" t="s">
        <v>1224</v>
      </c>
      <c r="DM1408" s="1" t="s">
        <v>229</v>
      </c>
      <c r="DP1408" s="1" t="s">
        <v>340</v>
      </c>
      <c r="DQ1408" s="1" t="s">
        <v>228</v>
      </c>
      <c r="DR1408" s="1" t="s">
        <v>229</v>
      </c>
      <c r="DS1408" s="1" t="s">
        <v>277</v>
      </c>
      <c r="DV1408" s="1" t="s">
        <v>232</v>
      </c>
      <c r="DW1408" s="1" t="s">
        <v>444</v>
      </c>
      <c r="DX1408" s="1" t="s">
        <v>3205</v>
      </c>
      <c r="DZ1408" s="1" t="s">
        <v>343</v>
      </c>
      <c r="EA1408" s="1" t="s">
        <v>1075</v>
      </c>
      <c r="EC1408" s="1" t="s">
        <v>645</v>
      </c>
      <c r="EM1408" s="1" t="s">
        <v>238</v>
      </c>
      <c r="EQ1408" s="1" t="s">
        <v>238</v>
      </c>
      <c r="EU1408" s="1" t="s">
        <v>238</v>
      </c>
      <c r="EY1408" s="1" t="s">
        <v>238</v>
      </c>
      <c r="FC1408" s="1" t="s">
        <v>238</v>
      </c>
      <c r="FF1408" s="1" t="s">
        <v>2447</v>
      </c>
      <c r="FG1408" s="1" t="s">
        <v>192</v>
      </c>
      <c r="FH1408" s="1" t="s">
        <v>192</v>
      </c>
      <c r="FJ1408" s="1" t="s">
        <v>2133</v>
      </c>
      <c r="FK1408" s="1" t="s">
        <v>229</v>
      </c>
      <c r="FL1408" s="1" t="s">
        <v>10660</v>
      </c>
      <c r="FM1408" s="1">
        <v>12749.0</v>
      </c>
      <c r="FN1408" s="1" t="s">
        <v>10661</v>
      </c>
      <c r="FO1408" s="1" t="s">
        <v>14569</v>
      </c>
      <c r="FP1408" s="1">
        <v>119159.0</v>
      </c>
      <c r="FU1408" s="1" t="s">
        <v>14570</v>
      </c>
      <c r="FV1408" s="1" t="s">
        <v>200</v>
      </c>
      <c r="FW1408" s="1" t="s">
        <v>530</v>
      </c>
      <c r="FX1408" s="1" t="s">
        <v>655</v>
      </c>
      <c r="FZ1408" s="1" t="s">
        <v>229</v>
      </c>
      <c r="GA1408" s="1" t="s">
        <v>291</v>
      </c>
      <c r="GB1408" s="2">
        <v>42063.0</v>
      </c>
      <c r="GC1408" s="1" t="s">
        <v>14571</v>
      </c>
    </row>
    <row r="1409">
      <c r="A1409" s="1">
        <v>304750.0</v>
      </c>
      <c r="B1409" s="1" t="s">
        <v>185</v>
      </c>
      <c r="C1409" s="1" t="str">
        <f>"08663167"</f>
        <v>08663167</v>
      </c>
      <c r="D1409" s="1" t="s">
        <v>186</v>
      </c>
      <c r="F1409" s="1" t="str">
        <f>"123"</f>
        <v>123</v>
      </c>
      <c r="G1409" s="2">
        <v>41823.0</v>
      </c>
      <c r="H1409" s="1">
        <v>274995.0</v>
      </c>
      <c r="I1409" s="1">
        <v>2.0</v>
      </c>
      <c r="J1409" s="1">
        <v>274995.0</v>
      </c>
      <c r="K1409" s="2">
        <v>41823.0</v>
      </c>
      <c r="L1409" s="1">
        <v>1.0</v>
      </c>
      <c r="M1409" s="2">
        <v>41823.0</v>
      </c>
      <c r="N1409" s="1" t="s">
        <v>187</v>
      </c>
      <c r="O1409" s="2">
        <v>42048.0</v>
      </c>
      <c r="P1409" s="1">
        <v>8612.0</v>
      </c>
      <c r="Q1409" s="1">
        <v>771.0</v>
      </c>
      <c r="S1409" s="1">
        <v>3668.0</v>
      </c>
      <c r="T1409" s="1" t="s">
        <v>14572</v>
      </c>
      <c r="U1409" s="1" t="s">
        <v>982</v>
      </c>
      <c r="V1409" s="1" t="s">
        <v>465</v>
      </c>
      <c r="W1409" s="1">
        <v>60124.0</v>
      </c>
      <c r="Y1409" s="1" t="s">
        <v>11468</v>
      </c>
      <c r="Z1409" s="1">
        <v>2014.0</v>
      </c>
      <c r="AA1409" s="1" t="s">
        <v>200</v>
      </c>
      <c r="AB1409" s="1" t="s">
        <v>193</v>
      </c>
      <c r="AC1409" s="1" t="s">
        <v>571</v>
      </c>
      <c r="AD1409" s="1" t="s">
        <v>469</v>
      </c>
      <c r="AE1409" s="1" t="s">
        <v>325</v>
      </c>
      <c r="AF1409" s="1" t="s">
        <v>572</v>
      </c>
      <c r="AG1409" s="1" t="s">
        <v>14573</v>
      </c>
      <c r="AH1409" s="1" t="s">
        <v>14574</v>
      </c>
      <c r="AI1409" s="1">
        <v>0.3</v>
      </c>
      <c r="AK1409" s="1">
        <v>8.0</v>
      </c>
      <c r="AL1409" s="1">
        <v>4.0</v>
      </c>
      <c r="AM1409" s="1">
        <v>2.0</v>
      </c>
      <c r="AN1409" s="1">
        <v>1.0</v>
      </c>
      <c r="AO1409" s="1" t="s">
        <v>198</v>
      </c>
      <c r="AP1409" s="1">
        <v>1.0</v>
      </c>
      <c r="AQ1409" s="1" t="s">
        <v>198</v>
      </c>
      <c r="AR1409" s="1" t="s">
        <v>200</v>
      </c>
      <c r="AS1409" s="1" t="s">
        <v>199</v>
      </c>
      <c r="AT1409" s="1">
        <v>2.0</v>
      </c>
      <c r="AV1409" s="1" t="s">
        <v>200</v>
      </c>
      <c r="AW1409" s="1" t="s">
        <v>575</v>
      </c>
      <c r="AX1409" s="1">
        <v>2012.0</v>
      </c>
      <c r="AZ1409" s="1" t="s">
        <v>200</v>
      </c>
      <c r="BA1409" s="1" t="str">
        <f>"0525300006"</f>
        <v>0525300006</v>
      </c>
      <c r="BC1409" s="1">
        <v>2880.0</v>
      </c>
      <c r="BD1409" s="1">
        <v>304750.0</v>
      </c>
      <c r="BE1409" s="2">
        <v>41823.0</v>
      </c>
      <c r="BF1409" s="2" t="s">
        <v>14575</v>
      </c>
      <c r="BG1409" s="1" t="s">
        <v>577</v>
      </c>
      <c r="BH1409" s="1">
        <v>421.0</v>
      </c>
      <c r="BI1409" s="1" t="s">
        <v>578</v>
      </c>
      <c r="BJ1409" s="1" t="s">
        <v>579</v>
      </c>
      <c r="BK1409" s="1" t="s">
        <v>580</v>
      </c>
      <c r="BL1409" s="1" t="str">
        <f>"9"</f>
        <v>9</v>
      </c>
      <c r="BM1409" s="1" t="str">
        <f>"0"</f>
        <v>0</v>
      </c>
      <c r="BN1409" s="1">
        <v>37.0</v>
      </c>
      <c r="BO1409" s="1">
        <v>0.0</v>
      </c>
      <c r="BQ1409" s="1">
        <v>301.0</v>
      </c>
      <c r="BR1409" s="1">
        <v>301.0</v>
      </c>
      <c r="BS1409" s="1">
        <v>301.0</v>
      </c>
      <c r="BU1409" s="1" t="s">
        <v>331</v>
      </c>
      <c r="BV1409" s="1" t="s">
        <v>206</v>
      </c>
      <c r="BW1409" s="1" t="s">
        <v>210</v>
      </c>
      <c r="BX1409" s="1" t="s">
        <v>229</v>
      </c>
      <c r="BY1409" s="1" t="s">
        <v>784</v>
      </c>
      <c r="BZ1409" s="1" t="s">
        <v>209</v>
      </c>
      <c r="CA1409" s="1" t="s">
        <v>210</v>
      </c>
      <c r="CB1409" s="1" t="s">
        <v>229</v>
      </c>
      <c r="CC1409" s="1" t="s">
        <v>332</v>
      </c>
      <c r="CD1409" s="1" t="s">
        <v>206</v>
      </c>
      <c r="CE1409" s="1" t="s">
        <v>210</v>
      </c>
      <c r="CF1409" s="1" t="s">
        <v>229</v>
      </c>
      <c r="CG1409" s="1" t="s">
        <v>433</v>
      </c>
      <c r="CH1409" s="1" t="s">
        <v>209</v>
      </c>
      <c r="CI1409" s="1" t="s">
        <v>210</v>
      </c>
      <c r="CJ1409" s="1" t="s">
        <v>229</v>
      </c>
      <c r="CK1409" s="1" t="s">
        <v>212</v>
      </c>
      <c r="CL1409" s="1" t="s">
        <v>209</v>
      </c>
      <c r="CM1409" s="1" t="s">
        <v>210</v>
      </c>
      <c r="CN1409" s="1" t="s">
        <v>229</v>
      </c>
      <c r="CO1409" s="1" t="s">
        <v>332</v>
      </c>
      <c r="CP1409" s="1" t="s">
        <v>209</v>
      </c>
      <c r="CQ1409" s="1" t="s">
        <v>210</v>
      </c>
      <c r="CR1409" s="1" t="s">
        <v>229</v>
      </c>
      <c r="CS1409" s="1" t="s">
        <v>1535</v>
      </c>
      <c r="CT1409" s="1" t="s">
        <v>206</v>
      </c>
      <c r="CU1409" s="1" t="s">
        <v>207</v>
      </c>
      <c r="CV1409" s="1" t="s">
        <v>229</v>
      </c>
      <c r="CW1409" s="1" t="s">
        <v>1206</v>
      </c>
      <c r="CX1409" s="1" t="s">
        <v>206</v>
      </c>
      <c r="CY1409" s="1" t="s">
        <v>210</v>
      </c>
      <c r="CZ1409" s="1" t="s">
        <v>229</v>
      </c>
      <c r="DA1409" s="1" t="s">
        <v>192</v>
      </c>
      <c r="DB1409" s="2">
        <v>42064.0</v>
      </c>
      <c r="DC1409" s="1" t="s">
        <v>585</v>
      </c>
      <c r="DD1409" s="1" t="s">
        <v>786</v>
      </c>
      <c r="DE1409" s="1" t="s">
        <v>273</v>
      </c>
      <c r="DF1409" s="1" t="s">
        <v>219</v>
      </c>
      <c r="DG1409" s="1" t="s">
        <v>587</v>
      </c>
      <c r="DH1409" s="1" t="s">
        <v>220</v>
      </c>
      <c r="DI1409" s="1" t="s">
        <v>589</v>
      </c>
      <c r="DJ1409" s="1" t="s">
        <v>222</v>
      </c>
      <c r="DK1409" s="1" t="s">
        <v>223</v>
      </c>
      <c r="DL1409" s="1" t="s">
        <v>223</v>
      </c>
      <c r="DM1409" s="1" t="s">
        <v>338</v>
      </c>
      <c r="DN1409" s="1" t="s">
        <v>485</v>
      </c>
      <c r="DP1409" s="1" t="s">
        <v>340</v>
      </c>
      <c r="DQ1409" s="1" t="s">
        <v>441</v>
      </c>
      <c r="DR1409" s="1" t="s">
        <v>588</v>
      </c>
      <c r="DS1409" s="1" t="s">
        <v>591</v>
      </c>
      <c r="DT1409" s="1" t="s">
        <v>14576</v>
      </c>
      <c r="DU1409" s="1" t="s">
        <v>10083</v>
      </c>
      <c r="DV1409" s="1" t="s">
        <v>409</v>
      </c>
      <c r="DW1409" s="1" t="s">
        <v>3465</v>
      </c>
      <c r="DX1409" s="1" t="s">
        <v>234</v>
      </c>
      <c r="DY1409" s="1" t="s">
        <v>1051</v>
      </c>
      <c r="DZ1409" s="1" t="s">
        <v>405</v>
      </c>
      <c r="EA1409" s="1" t="s">
        <v>447</v>
      </c>
      <c r="EB1409" s="1" t="s">
        <v>1639</v>
      </c>
      <c r="EC1409" s="1" t="s">
        <v>237</v>
      </c>
      <c r="ED1409" s="1" t="s">
        <v>407</v>
      </c>
      <c r="EG1409" s="1" t="s">
        <v>409</v>
      </c>
      <c r="EL1409" s="1" t="s">
        <v>4153</v>
      </c>
      <c r="EM1409" s="1" t="s">
        <v>209</v>
      </c>
      <c r="EN1409" s="1" t="s">
        <v>210</v>
      </c>
      <c r="EO1409" s="1" t="s">
        <v>229</v>
      </c>
      <c r="EQ1409" s="1" t="s">
        <v>238</v>
      </c>
      <c r="EU1409" s="1" t="s">
        <v>238</v>
      </c>
      <c r="EY1409" s="1" t="s">
        <v>238</v>
      </c>
      <c r="FC1409" s="1" t="s">
        <v>238</v>
      </c>
      <c r="FF1409" s="1" t="s">
        <v>239</v>
      </c>
      <c r="FG1409" s="1" t="s">
        <v>192</v>
      </c>
      <c r="FH1409" s="1" t="s">
        <v>192</v>
      </c>
      <c r="FJ1409" s="1" t="s">
        <v>11474</v>
      </c>
      <c r="FK1409" s="1" t="s">
        <v>601</v>
      </c>
      <c r="FL1409" s="1" t="s">
        <v>602</v>
      </c>
      <c r="FM1409" s="1">
        <v>25645.0</v>
      </c>
      <c r="FN1409" s="1" t="s">
        <v>603</v>
      </c>
      <c r="FO1409" s="1" t="s">
        <v>604</v>
      </c>
      <c r="FP1409" s="1">
        <v>80455.0</v>
      </c>
      <c r="FT1409" s="1" t="s">
        <v>605</v>
      </c>
      <c r="FU1409" s="1" t="s">
        <v>14577</v>
      </c>
      <c r="FV1409" s="1" t="s">
        <v>200</v>
      </c>
      <c r="FW1409" s="1" t="s">
        <v>607</v>
      </c>
      <c r="FZ1409" s="1" t="s">
        <v>229</v>
      </c>
      <c r="GA1409" s="1" t="s">
        <v>291</v>
      </c>
      <c r="GB1409" s="2">
        <v>42048.0</v>
      </c>
      <c r="GC1409" s="1" t="s">
        <v>14578</v>
      </c>
    </row>
    <row r="1410">
      <c r="A1410" s="1">
        <v>270000.0</v>
      </c>
      <c r="B1410" s="1" t="s">
        <v>185</v>
      </c>
      <c r="C1410" s="1" t="str">
        <f>"08675484"</f>
        <v>08675484</v>
      </c>
      <c r="D1410" s="1" t="s">
        <v>186</v>
      </c>
      <c r="F1410" s="1" t="str">
        <f>"543"</f>
        <v>543</v>
      </c>
      <c r="G1410" s="2">
        <v>41837.0</v>
      </c>
      <c r="H1410" s="1">
        <v>325000.0</v>
      </c>
      <c r="I1410" s="1">
        <v>140.0</v>
      </c>
      <c r="J1410" s="1">
        <v>295000.0</v>
      </c>
      <c r="K1410" s="2">
        <v>41975.0</v>
      </c>
      <c r="L1410" s="1">
        <v>140.0</v>
      </c>
      <c r="M1410" s="2">
        <v>41975.0</v>
      </c>
      <c r="N1410" s="1" t="s">
        <v>187</v>
      </c>
      <c r="O1410" s="2">
        <v>42002.0</v>
      </c>
      <c r="P1410" s="1">
        <v>231272.0</v>
      </c>
      <c r="Q1410" s="1">
        <v>22029.0</v>
      </c>
      <c r="S1410" s="1">
        <v>249.0</v>
      </c>
      <c r="T1410" s="1" t="s">
        <v>14579</v>
      </c>
      <c r="U1410" s="1" t="s">
        <v>569</v>
      </c>
      <c r="V1410" s="1" t="s">
        <v>1527</v>
      </c>
      <c r="W1410" s="1">
        <v>60543.0</v>
      </c>
      <c r="Y1410" s="1" t="s">
        <v>14580</v>
      </c>
      <c r="Z1410" s="1">
        <v>1997.0</v>
      </c>
      <c r="AA1410" s="1" t="s">
        <v>200</v>
      </c>
      <c r="AB1410" s="1" t="s">
        <v>467</v>
      </c>
      <c r="AC1410" s="1" t="s">
        <v>14581</v>
      </c>
      <c r="AD1410" s="1" t="s">
        <v>1529</v>
      </c>
      <c r="AE1410" s="1" t="s">
        <v>849</v>
      </c>
      <c r="AF1410" s="1" t="s">
        <v>1312</v>
      </c>
      <c r="AH1410" s="1" t="s">
        <v>14582</v>
      </c>
      <c r="AI1410" s="1">
        <v>0.2099</v>
      </c>
      <c r="AK1410" s="1">
        <v>11.0</v>
      </c>
      <c r="AL1410" s="1">
        <v>4.0</v>
      </c>
      <c r="AM1410" s="1">
        <v>3.0</v>
      </c>
      <c r="AN1410" s="1">
        <v>1.0</v>
      </c>
      <c r="AO1410" s="1" t="s">
        <v>198</v>
      </c>
      <c r="AP1410" s="1">
        <v>2.0</v>
      </c>
      <c r="AQ1410" s="1" t="s">
        <v>327</v>
      </c>
      <c r="AR1410" s="1" t="s">
        <v>192</v>
      </c>
      <c r="AS1410" s="1" t="s">
        <v>199</v>
      </c>
      <c r="AT1410" s="1">
        <v>2.0</v>
      </c>
      <c r="AV1410" s="1" t="s">
        <v>200</v>
      </c>
      <c r="AW1410" s="1">
        <v>7632.7</v>
      </c>
      <c r="AX1410" s="1">
        <v>2013.0</v>
      </c>
      <c r="AY1410" s="1" t="s">
        <v>387</v>
      </c>
      <c r="AZ1410" s="1" t="s">
        <v>200</v>
      </c>
      <c r="BA1410" s="1" t="str">
        <f>"0213215005"</f>
        <v>0213215005</v>
      </c>
      <c r="BC1410" s="1">
        <v>2623.0</v>
      </c>
      <c r="BD1410" s="1">
        <v>270000.0</v>
      </c>
      <c r="BE1410" s="2">
        <v>41836.0</v>
      </c>
      <c r="BF1410" s="2" t="s">
        <v>14583</v>
      </c>
      <c r="BG1410" s="1" t="s">
        <v>4985</v>
      </c>
      <c r="BH1410" s="1">
        <v>190.0</v>
      </c>
      <c r="BI1410" s="1" t="s">
        <v>1348</v>
      </c>
      <c r="BJ1410" s="1" t="s">
        <v>1349</v>
      </c>
      <c r="BK1410" s="1" t="s">
        <v>580</v>
      </c>
      <c r="BL1410" s="1" t="str">
        <f t="shared" ref="BL1410:BM1410" si="926">"0"</f>
        <v>0</v>
      </c>
      <c r="BM1410" s="1" t="str">
        <f t="shared" si="926"/>
        <v>0</v>
      </c>
      <c r="BN1410" s="1">
        <v>39.0</v>
      </c>
      <c r="BO1410" s="1">
        <v>12.0</v>
      </c>
      <c r="BQ1410" s="1">
        <v>308.0</v>
      </c>
      <c r="BR1410" s="1">
        <v>308.0</v>
      </c>
      <c r="BS1410" s="1">
        <v>308.0</v>
      </c>
      <c r="BU1410" s="1" t="s">
        <v>213</v>
      </c>
      <c r="BV1410" s="1" t="s">
        <v>206</v>
      </c>
      <c r="BW1410" s="1" t="s">
        <v>207</v>
      </c>
      <c r="BY1410" s="1" t="s">
        <v>758</v>
      </c>
      <c r="BZ1410" s="1" t="s">
        <v>209</v>
      </c>
      <c r="CA1410" s="1" t="s">
        <v>210</v>
      </c>
      <c r="CC1410" s="1" t="s">
        <v>331</v>
      </c>
      <c r="CD1410" s="1" t="s">
        <v>206</v>
      </c>
      <c r="CE1410" s="1" t="s">
        <v>207</v>
      </c>
      <c r="CF1410" s="1" t="s">
        <v>229</v>
      </c>
      <c r="CG1410" s="1" t="s">
        <v>332</v>
      </c>
      <c r="CH1410" s="1" t="s">
        <v>209</v>
      </c>
      <c r="CI1410" s="1" t="s">
        <v>210</v>
      </c>
      <c r="CK1410" s="1" t="s">
        <v>212</v>
      </c>
      <c r="CL1410" s="1" t="s">
        <v>209</v>
      </c>
      <c r="CM1410" s="1" t="s">
        <v>210</v>
      </c>
      <c r="CO1410" s="1" t="s">
        <v>434</v>
      </c>
      <c r="CP1410" s="1" t="s">
        <v>209</v>
      </c>
      <c r="CQ1410" s="1" t="s">
        <v>210</v>
      </c>
      <c r="CS1410" s="1" t="s">
        <v>208</v>
      </c>
      <c r="CT1410" s="1" t="s">
        <v>206</v>
      </c>
      <c r="CU1410" s="1" t="s">
        <v>207</v>
      </c>
      <c r="CV1410" s="1" t="s">
        <v>229</v>
      </c>
      <c r="CW1410" s="1" t="s">
        <v>479</v>
      </c>
      <c r="CX1410" s="1" t="s">
        <v>206</v>
      </c>
      <c r="CY1410" s="1" t="s">
        <v>210</v>
      </c>
      <c r="DA1410" s="1" t="s">
        <v>200</v>
      </c>
      <c r="DC1410" s="1" t="s">
        <v>678</v>
      </c>
      <c r="DD1410" s="1" t="s">
        <v>336</v>
      </c>
      <c r="DE1410" s="1" t="s">
        <v>273</v>
      </c>
      <c r="DF1410" s="1" t="s">
        <v>219</v>
      </c>
      <c r="DG1410" s="1" t="s">
        <v>1160</v>
      </c>
      <c r="DH1410" s="1" t="s">
        <v>220</v>
      </c>
      <c r="DI1410" s="1" t="s">
        <v>14584</v>
      </c>
      <c r="DJ1410" s="1" t="s">
        <v>222</v>
      </c>
      <c r="DK1410" s="1" t="s">
        <v>3740</v>
      </c>
      <c r="DL1410" s="1" t="s">
        <v>1161</v>
      </c>
      <c r="DM1410" s="1" t="s">
        <v>229</v>
      </c>
      <c r="DN1410" s="1" t="s">
        <v>399</v>
      </c>
      <c r="DP1410" s="1" t="s">
        <v>340</v>
      </c>
      <c r="DQ1410" s="1" t="s">
        <v>228</v>
      </c>
      <c r="DR1410" s="1" t="s">
        <v>229</v>
      </c>
      <c r="DU1410" s="1" t="s">
        <v>14585</v>
      </c>
      <c r="DV1410" s="1" t="s">
        <v>14586</v>
      </c>
      <c r="DW1410" s="1" t="s">
        <v>764</v>
      </c>
      <c r="DX1410" s="1" t="s">
        <v>234</v>
      </c>
      <c r="DY1410" s="1" t="s">
        <v>7411</v>
      </c>
      <c r="DZ1410" s="1" t="s">
        <v>14587</v>
      </c>
      <c r="EB1410" s="1" t="s">
        <v>14588</v>
      </c>
      <c r="EC1410" s="1" t="s">
        <v>237</v>
      </c>
      <c r="ED1410" s="1" t="s">
        <v>555</v>
      </c>
      <c r="EG1410" s="1" t="s">
        <v>450</v>
      </c>
      <c r="EH1410" s="1" t="s">
        <v>1491</v>
      </c>
      <c r="EI1410" s="1" t="s">
        <v>598</v>
      </c>
      <c r="EJ1410" s="1" t="s">
        <v>2129</v>
      </c>
      <c r="EL1410" s="1" t="s">
        <v>1001</v>
      </c>
      <c r="EM1410" s="1" t="s">
        <v>267</v>
      </c>
      <c r="EN1410" s="1" t="s">
        <v>210</v>
      </c>
      <c r="EO1410" s="1" t="s">
        <v>229</v>
      </c>
      <c r="EP1410" s="1" t="s">
        <v>1000</v>
      </c>
      <c r="EQ1410" s="1" t="s">
        <v>267</v>
      </c>
      <c r="ER1410" s="1" t="s">
        <v>210</v>
      </c>
      <c r="ES1410" s="1" t="s">
        <v>229</v>
      </c>
      <c r="ET1410" s="1" t="s">
        <v>331</v>
      </c>
      <c r="EU1410" s="1" t="s">
        <v>267</v>
      </c>
      <c r="EV1410" s="1" t="s">
        <v>210</v>
      </c>
      <c r="EW1410" s="1" t="s">
        <v>229</v>
      </c>
      <c r="EX1410" s="1" t="s">
        <v>363</v>
      </c>
      <c r="EY1410" s="1" t="s">
        <v>206</v>
      </c>
      <c r="EZ1410" s="1" t="s">
        <v>210</v>
      </c>
      <c r="FA1410" s="1" t="s">
        <v>229</v>
      </c>
      <c r="FC1410" s="1" t="s">
        <v>238</v>
      </c>
      <c r="FF1410" s="1" t="s">
        <v>239</v>
      </c>
      <c r="FG1410" s="1" t="s">
        <v>192</v>
      </c>
      <c r="FH1410" s="1" t="s">
        <v>192</v>
      </c>
      <c r="FJ1410" s="1" t="s">
        <v>14589</v>
      </c>
      <c r="FK1410" s="1" t="s">
        <v>229</v>
      </c>
      <c r="FL1410" s="1" t="s">
        <v>4369</v>
      </c>
      <c r="FM1410" s="1">
        <v>23120.0</v>
      </c>
      <c r="FN1410" s="1" t="s">
        <v>4370</v>
      </c>
      <c r="FO1410" s="1" t="s">
        <v>14590</v>
      </c>
      <c r="FP1410" s="1">
        <v>233957.0</v>
      </c>
      <c r="FQ1410" s="1" t="s">
        <v>14591</v>
      </c>
      <c r="FU1410" s="1" t="s">
        <v>14592</v>
      </c>
      <c r="FV1410" s="1" t="s">
        <v>192</v>
      </c>
      <c r="FW1410" s="1" t="s">
        <v>14593</v>
      </c>
      <c r="FZ1410" s="1" t="s">
        <v>229</v>
      </c>
      <c r="GA1410" s="1" t="s">
        <v>291</v>
      </c>
      <c r="GB1410" s="2">
        <v>42002.0</v>
      </c>
      <c r="GC1410" s="1" t="s">
        <v>14594</v>
      </c>
    </row>
    <row r="1411">
      <c r="A1411" s="1">
        <v>45000.0</v>
      </c>
      <c r="B1411" s="1" t="s">
        <v>185</v>
      </c>
      <c r="C1411" s="1" t="str">
        <f>"08662466"</f>
        <v>08662466</v>
      </c>
      <c r="D1411" s="1" t="s">
        <v>186</v>
      </c>
      <c r="F1411" s="1" t="str">
        <f>"8075"</f>
        <v>8075</v>
      </c>
      <c r="G1411" s="2">
        <v>41822.0</v>
      </c>
      <c r="H1411" s="1">
        <v>116650.0</v>
      </c>
      <c r="I1411" s="1">
        <v>155.0</v>
      </c>
      <c r="J1411" s="1">
        <v>52900.0</v>
      </c>
      <c r="K1411" s="2">
        <v>41976.0</v>
      </c>
      <c r="L1411" s="1">
        <v>155.0</v>
      </c>
      <c r="M1411" s="2">
        <v>41976.0</v>
      </c>
      <c r="N1411" s="1" t="s">
        <v>249</v>
      </c>
      <c r="O1411" s="2">
        <v>41992.0</v>
      </c>
      <c r="P1411" s="1">
        <v>602837.0</v>
      </c>
      <c r="Q1411" s="1">
        <v>60296.0</v>
      </c>
      <c r="S1411" s="1">
        <v>11019.0</v>
      </c>
      <c r="T1411" s="1" t="s">
        <v>3412</v>
      </c>
      <c r="U1411" s="1" t="s">
        <v>320</v>
      </c>
      <c r="V1411" s="1" t="s">
        <v>190</v>
      </c>
      <c r="W1411" s="1">
        <v>60643.0</v>
      </c>
      <c r="Y1411" s="1" t="s">
        <v>14595</v>
      </c>
      <c r="Z1411" s="1">
        <v>1938.0</v>
      </c>
      <c r="AA1411" s="1" t="s">
        <v>192</v>
      </c>
      <c r="AB1411" s="1" t="s">
        <v>193</v>
      </c>
      <c r="AD1411" s="1" t="s">
        <v>194</v>
      </c>
      <c r="AE1411" s="1" t="s">
        <v>195</v>
      </c>
      <c r="AF1411" s="1" t="s">
        <v>659</v>
      </c>
      <c r="AH1411" s="1" t="s">
        <v>14596</v>
      </c>
      <c r="AK1411" s="1">
        <v>7.0</v>
      </c>
      <c r="AL1411" s="1">
        <v>4.0</v>
      </c>
      <c r="AM1411" s="1">
        <v>2.0</v>
      </c>
      <c r="AN1411" s="1">
        <v>1.0</v>
      </c>
      <c r="AO1411" s="1" t="s">
        <v>229</v>
      </c>
      <c r="AQ1411" s="1" t="s">
        <v>198</v>
      </c>
      <c r="AR1411" s="1" t="s">
        <v>192</v>
      </c>
      <c r="AS1411" s="1" t="s">
        <v>199</v>
      </c>
      <c r="AT1411" s="1">
        <v>2.0</v>
      </c>
      <c r="AV1411" s="1" t="s">
        <v>200</v>
      </c>
      <c r="AW1411" s="1">
        <v>1557.0</v>
      </c>
      <c r="AX1411" s="1">
        <v>2012.0</v>
      </c>
      <c r="AY1411" s="1" t="s">
        <v>387</v>
      </c>
      <c r="AZ1411" s="1" t="s">
        <v>200</v>
      </c>
      <c r="BA1411" s="1" t="str">
        <f>"25174230050000"</f>
        <v>25174230050000</v>
      </c>
      <c r="BB1411" s="1" t="s">
        <v>200</v>
      </c>
      <c r="BC1411" s="1">
        <v>922.0</v>
      </c>
      <c r="BD1411" s="1">
        <v>45000.0</v>
      </c>
      <c r="BE1411" s="2">
        <v>41822.0</v>
      </c>
      <c r="BF1411" s="1" t="s">
        <v>14597</v>
      </c>
      <c r="BH1411" s="1">
        <v>0.0</v>
      </c>
      <c r="BK1411" s="1" t="s">
        <v>204</v>
      </c>
      <c r="BL1411" s="1" t="str">
        <f t="shared" ref="BL1411:BM1411" si="927">"0"</f>
        <v>0</v>
      </c>
      <c r="BM1411" s="1" t="str">
        <f t="shared" si="927"/>
        <v>0</v>
      </c>
      <c r="BN1411" s="1">
        <v>900.0</v>
      </c>
      <c r="BO1411" s="1">
        <v>11019.0</v>
      </c>
      <c r="BQ1411" s="1">
        <v>299.0</v>
      </c>
      <c r="BR1411" s="1">
        <v>299.0</v>
      </c>
      <c r="BS1411" s="1">
        <v>299.0</v>
      </c>
      <c r="BU1411" s="1" t="s">
        <v>454</v>
      </c>
      <c r="BV1411" s="1" t="s">
        <v>206</v>
      </c>
      <c r="BY1411" s="1" t="s">
        <v>1329</v>
      </c>
      <c r="BZ1411" s="1" t="s">
        <v>209</v>
      </c>
      <c r="CA1411" s="1" t="s">
        <v>207</v>
      </c>
      <c r="CC1411" s="1" t="s">
        <v>1351</v>
      </c>
      <c r="CD1411" s="1" t="s">
        <v>206</v>
      </c>
      <c r="CG1411" s="1" t="s">
        <v>264</v>
      </c>
      <c r="CH1411" s="1" t="s">
        <v>209</v>
      </c>
      <c r="CK1411" s="1" t="s">
        <v>264</v>
      </c>
      <c r="CL1411" s="1" t="s">
        <v>206</v>
      </c>
      <c r="CO1411" s="1" t="s">
        <v>516</v>
      </c>
      <c r="CP1411" s="1" t="s">
        <v>206</v>
      </c>
      <c r="CS1411" s="1" t="s">
        <v>392</v>
      </c>
      <c r="CT1411" s="1" t="s">
        <v>206</v>
      </c>
      <c r="CX1411" s="1" t="s">
        <v>204</v>
      </c>
      <c r="DA1411" s="1" t="s">
        <v>200</v>
      </c>
      <c r="DC1411" s="1" t="s">
        <v>1399</v>
      </c>
      <c r="DE1411" s="1" t="s">
        <v>229</v>
      </c>
      <c r="DF1411" s="1" t="s">
        <v>219</v>
      </c>
      <c r="DH1411" s="1" t="s">
        <v>307</v>
      </c>
      <c r="DJ1411" s="1" t="s">
        <v>222</v>
      </c>
      <c r="DL1411" s="1" t="s">
        <v>858</v>
      </c>
      <c r="DM1411" s="1" t="s">
        <v>229</v>
      </c>
      <c r="DP1411" s="1" t="s">
        <v>340</v>
      </c>
      <c r="DQ1411" s="1" t="s">
        <v>228</v>
      </c>
      <c r="DR1411" s="1" t="s">
        <v>229</v>
      </c>
      <c r="DV1411" s="1" t="s">
        <v>232</v>
      </c>
      <c r="DW1411" s="1" t="s">
        <v>279</v>
      </c>
      <c r="DX1411" s="1" t="s">
        <v>234</v>
      </c>
      <c r="DY1411" s="1" t="s">
        <v>704</v>
      </c>
      <c r="EA1411" s="1" t="s">
        <v>1075</v>
      </c>
      <c r="EC1411" s="1" t="s">
        <v>237</v>
      </c>
      <c r="EM1411" s="1" t="s">
        <v>238</v>
      </c>
      <c r="EQ1411" s="1" t="s">
        <v>238</v>
      </c>
      <c r="EU1411" s="1" t="s">
        <v>238</v>
      </c>
      <c r="EY1411" s="1" t="s">
        <v>238</v>
      </c>
      <c r="FC1411" s="1" t="s">
        <v>238</v>
      </c>
      <c r="FF1411" s="1" t="s">
        <v>239</v>
      </c>
      <c r="FG1411" s="1" t="s">
        <v>192</v>
      </c>
      <c r="FH1411" s="1" t="s">
        <v>192</v>
      </c>
      <c r="FJ1411" s="1" t="s">
        <v>14598</v>
      </c>
      <c r="FK1411" s="1" t="s">
        <v>229</v>
      </c>
      <c r="FL1411" s="1" t="s">
        <v>7735</v>
      </c>
      <c r="FM1411" s="1">
        <v>18982.0</v>
      </c>
      <c r="FN1411" s="1" t="s">
        <v>7736</v>
      </c>
      <c r="FO1411" s="1" t="s">
        <v>7737</v>
      </c>
      <c r="FP1411" s="1">
        <v>168237.0</v>
      </c>
      <c r="FU1411" s="1" t="s">
        <v>14599</v>
      </c>
      <c r="FV1411" s="1" t="s">
        <v>200</v>
      </c>
      <c r="FW1411" s="1" t="s">
        <v>354</v>
      </c>
      <c r="FX1411" s="1" t="s">
        <v>655</v>
      </c>
      <c r="FZ1411" s="1" t="s">
        <v>229</v>
      </c>
      <c r="GA1411" s="1" t="s">
        <v>291</v>
      </c>
      <c r="GB1411" s="2">
        <v>42007.0</v>
      </c>
      <c r="GC1411" s="1" t="s">
        <v>14600</v>
      </c>
    </row>
    <row r="1412">
      <c r="A1412" s="1">
        <v>125000.0</v>
      </c>
      <c r="B1412" s="1" t="s">
        <v>185</v>
      </c>
      <c r="C1412" s="1" t="str">
        <f>"08666972"</f>
        <v>08666972</v>
      </c>
      <c r="D1412" s="1" t="s">
        <v>186</v>
      </c>
      <c r="F1412" s="1" t="str">
        <f>"174"</f>
        <v>174</v>
      </c>
      <c r="G1412" s="2">
        <v>41828.0</v>
      </c>
      <c r="H1412" s="1">
        <v>149900.0</v>
      </c>
      <c r="I1412" s="1">
        <v>148.0</v>
      </c>
      <c r="J1412" s="1">
        <v>149900.0</v>
      </c>
      <c r="K1412" s="2">
        <v>41974.0</v>
      </c>
      <c r="L1412" s="1">
        <v>148.0</v>
      </c>
      <c r="M1412" s="2">
        <v>41974.0</v>
      </c>
      <c r="N1412" s="1" t="s">
        <v>249</v>
      </c>
      <c r="O1412" s="2">
        <v>42124.0</v>
      </c>
      <c r="P1412" s="1">
        <v>87648.0</v>
      </c>
      <c r="Q1412" s="1">
        <v>8081.0</v>
      </c>
      <c r="S1412" s="1">
        <v>619.0</v>
      </c>
      <c r="T1412" s="1" t="s">
        <v>14601</v>
      </c>
      <c r="U1412" s="1" t="s">
        <v>189</v>
      </c>
      <c r="V1412" s="1" t="s">
        <v>1200</v>
      </c>
      <c r="W1412" s="1">
        <v>60174.0</v>
      </c>
      <c r="Y1412" s="1" t="s">
        <v>14602</v>
      </c>
      <c r="Z1412" s="1" t="s">
        <v>296</v>
      </c>
      <c r="AA1412" s="1" t="s">
        <v>192</v>
      </c>
      <c r="AB1412" s="1" t="s">
        <v>193</v>
      </c>
      <c r="AD1412" s="1" t="s">
        <v>1203</v>
      </c>
      <c r="AE1412" s="1" t="s">
        <v>325</v>
      </c>
      <c r="AF1412" s="1" t="s">
        <v>1203</v>
      </c>
      <c r="AH1412" s="1" t="s">
        <v>1345</v>
      </c>
      <c r="AI1412" s="1">
        <v>0.2928</v>
      </c>
      <c r="AK1412" s="1">
        <v>7.0</v>
      </c>
      <c r="AL1412" s="1">
        <v>4.0</v>
      </c>
      <c r="AM1412" s="1">
        <v>2.0</v>
      </c>
      <c r="AN1412" s="1">
        <v>0.0</v>
      </c>
      <c r="AO1412" s="1" t="s">
        <v>198</v>
      </c>
      <c r="AQ1412" s="1" t="s">
        <v>198</v>
      </c>
      <c r="AR1412" s="1" t="s">
        <v>192</v>
      </c>
      <c r="AS1412" s="1" t="s">
        <v>199</v>
      </c>
      <c r="AT1412" s="1">
        <v>2.0</v>
      </c>
      <c r="AV1412" s="1" t="s">
        <v>200</v>
      </c>
      <c r="AW1412" s="1">
        <v>6421.7</v>
      </c>
      <c r="AX1412" s="1">
        <v>2012.0</v>
      </c>
      <c r="AZ1412" s="1" t="s">
        <v>545</v>
      </c>
      <c r="BA1412" s="1" t="str">
        <f>"0934234004"</f>
        <v>0934234004</v>
      </c>
      <c r="BC1412" s="1">
        <v>2400.0</v>
      </c>
      <c r="BD1412" s="1">
        <v>125000.0</v>
      </c>
      <c r="BE1412" s="2">
        <v>41827.0</v>
      </c>
      <c r="BF1412" s="1" t="s">
        <v>14603</v>
      </c>
      <c r="BH1412" s="1">
        <v>0.0</v>
      </c>
      <c r="BK1412" s="1" t="s">
        <v>204</v>
      </c>
      <c r="BL1412" s="1" t="str">
        <f t="shared" ref="BL1412:BM1412" si="928">""</f>
        <v/>
      </c>
      <c r="BM1412" s="1" t="str">
        <f t="shared" si="928"/>
        <v/>
      </c>
      <c r="BQ1412" s="1">
        <v>303.0</v>
      </c>
      <c r="BR1412" s="1">
        <v>303.0</v>
      </c>
      <c r="BS1412" s="1">
        <v>303.0</v>
      </c>
      <c r="BU1412" s="1" t="s">
        <v>1230</v>
      </c>
      <c r="BV1412" s="1" t="s">
        <v>209</v>
      </c>
      <c r="BY1412" s="1" t="s">
        <v>1230</v>
      </c>
      <c r="BZ1412" s="1" t="s">
        <v>209</v>
      </c>
      <c r="CD1412" s="1" t="s">
        <v>204</v>
      </c>
      <c r="CG1412" s="1" t="s">
        <v>1230</v>
      </c>
      <c r="CH1412" s="1" t="s">
        <v>209</v>
      </c>
      <c r="CK1412" s="1" t="s">
        <v>1230</v>
      </c>
      <c r="CL1412" s="1" t="s">
        <v>209</v>
      </c>
      <c r="CO1412" s="1" t="s">
        <v>1230</v>
      </c>
      <c r="CP1412" s="1" t="s">
        <v>209</v>
      </c>
      <c r="CS1412" s="1" t="s">
        <v>1230</v>
      </c>
      <c r="CT1412" s="1" t="s">
        <v>267</v>
      </c>
      <c r="CW1412" s="1" t="s">
        <v>1230</v>
      </c>
      <c r="CX1412" s="1" t="s">
        <v>267</v>
      </c>
      <c r="DA1412" s="1" t="s">
        <v>200</v>
      </c>
      <c r="DC1412" s="1" t="s">
        <v>395</v>
      </c>
      <c r="DE1412" s="1" t="s">
        <v>273</v>
      </c>
      <c r="DF1412" s="1" t="s">
        <v>219</v>
      </c>
      <c r="DH1412" s="1" t="s">
        <v>365</v>
      </c>
      <c r="DJ1412" s="1" t="s">
        <v>222</v>
      </c>
      <c r="DL1412" s="1" t="s">
        <v>224</v>
      </c>
      <c r="DM1412" s="1" t="s">
        <v>229</v>
      </c>
      <c r="DQ1412" s="1" t="s">
        <v>441</v>
      </c>
      <c r="DR1412" s="1" t="s">
        <v>229</v>
      </c>
      <c r="DV1412" s="1" t="s">
        <v>232</v>
      </c>
      <c r="DW1412" s="1" t="s">
        <v>667</v>
      </c>
      <c r="DX1412" s="1" t="s">
        <v>234</v>
      </c>
      <c r="EC1412" s="1" t="s">
        <v>311</v>
      </c>
      <c r="EM1412" s="1" t="s">
        <v>238</v>
      </c>
      <c r="EQ1412" s="1" t="s">
        <v>238</v>
      </c>
      <c r="EU1412" s="1" t="s">
        <v>238</v>
      </c>
      <c r="EY1412" s="1" t="s">
        <v>238</v>
      </c>
      <c r="FC1412" s="1" t="s">
        <v>238</v>
      </c>
      <c r="FF1412" s="1" t="s">
        <v>239</v>
      </c>
      <c r="FG1412" s="1" t="s">
        <v>192</v>
      </c>
      <c r="FH1412" s="1" t="s">
        <v>192</v>
      </c>
      <c r="FJ1412" s="1" t="s">
        <v>1450</v>
      </c>
      <c r="FK1412" s="1" t="s">
        <v>1586</v>
      </c>
      <c r="FL1412" s="1" t="s">
        <v>14604</v>
      </c>
      <c r="FM1412" s="1">
        <v>24634.0</v>
      </c>
      <c r="FN1412" s="1" t="s">
        <v>14605</v>
      </c>
      <c r="FO1412" s="1" t="s">
        <v>14606</v>
      </c>
      <c r="FP1412" s="1">
        <v>236567.0</v>
      </c>
      <c r="FQ1412" s="1" t="s">
        <v>14607</v>
      </c>
      <c r="FU1412" s="1" t="s">
        <v>7160</v>
      </c>
      <c r="FV1412" s="1" t="s">
        <v>200</v>
      </c>
      <c r="FW1412" s="1" t="s">
        <v>631</v>
      </c>
      <c r="FX1412" s="1" t="s">
        <v>655</v>
      </c>
      <c r="FZ1412" s="1" t="s">
        <v>229</v>
      </c>
      <c r="GA1412" s="1" t="s">
        <v>247</v>
      </c>
      <c r="GB1412" s="2">
        <v>42135.0</v>
      </c>
      <c r="GC1412" s="1" t="s">
        <v>3170</v>
      </c>
    </row>
    <row r="1413">
      <c r="A1413" s="1">
        <v>294900.0</v>
      </c>
      <c r="B1413" s="1" t="s">
        <v>185</v>
      </c>
      <c r="C1413" s="1" t="str">
        <f>"08670525"</f>
        <v>08670525</v>
      </c>
      <c r="D1413" s="1" t="s">
        <v>186</v>
      </c>
      <c r="F1413" s="1" t="str">
        <f>"8056"</f>
        <v>8056</v>
      </c>
      <c r="G1413" s="2">
        <v>41831.0</v>
      </c>
      <c r="H1413" s="1">
        <v>319900.0</v>
      </c>
      <c r="I1413" s="1">
        <v>260.0</v>
      </c>
      <c r="J1413" s="1">
        <v>294900.0</v>
      </c>
      <c r="K1413" s="2">
        <v>41979.0</v>
      </c>
      <c r="L1413" s="1">
        <v>149.0</v>
      </c>
      <c r="M1413" s="2">
        <v>41979.0</v>
      </c>
      <c r="N1413" s="1" t="s">
        <v>187</v>
      </c>
      <c r="O1413" s="2">
        <v>42013.0</v>
      </c>
      <c r="P1413" s="1">
        <v>861804.0</v>
      </c>
      <c r="Q1413" s="1">
        <v>12174.0</v>
      </c>
      <c r="R1413" s="1">
        <v>6000.0</v>
      </c>
      <c r="S1413" s="1">
        <v>5440.0</v>
      </c>
      <c r="T1413" s="1" t="s">
        <v>14608</v>
      </c>
      <c r="U1413" s="1" t="s">
        <v>189</v>
      </c>
      <c r="V1413" s="1" t="s">
        <v>190</v>
      </c>
      <c r="W1413" s="1">
        <v>60638.0</v>
      </c>
      <c r="Y1413" s="1" t="s">
        <v>14609</v>
      </c>
      <c r="Z1413" s="1">
        <v>1943.0</v>
      </c>
      <c r="AA1413" s="1" t="s">
        <v>192</v>
      </c>
      <c r="AB1413" s="1" t="s">
        <v>193</v>
      </c>
      <c r="AD1413" s="1" t="s">
        <v>194</v>
      </c>
      <c r="AE1413" s="1" t="s">
        <v>195</v>
      </c>
      <c r="AF1413" s="1" t="s">
        <v>659</v>
      </c>
      <c r="AH1413" s="1">
        <v>3750.0</v>
      </c>
      <c r="AK1413" s="1">
        <v>8.0</v>
      </c>
      <c r="AL1413" s="1">
        <v>4.0</v>
      </c>
      <c r="AM1413" s="1">
        <v>3.0</v>
      </c>
      <c r="AN1413" s="1">
        <v>0.0</v>
      </c>
      <c r="AO1413" s="1" t="s">
        <v>229</v>
      </c>
      <c r="AQ1413" s="1" t="s">
        <v>198</v>
      </c>
      <c r="AR1413" s="1" t="s">
        <v>192</v>
      </c>
      <c r="AS1413" s="1" t="s">
        <v>199</v>
      </c>
      <c r="AT1413" s="1">
        <v>2.0</v>
      </c>
      <c r="AV1413" s="1" t="s">
        <v>200</v>
      </c>
      <c r="AW1413" s="1">
        <v>4679.64</v>
      </c>
      <c r="AX1413" s="1">
        <v>2012.0</v>
      </c>
      <c r="AY1413" s="1" t="s">
        <v>387</v>
      </c>
      <c r="AZ1413" s="1" t="s">
        <v>200</v>
      </c>
      <c r="BA1413" s="1" t="str">
        <f>"19073290300000"</f>
        <v>19073290300000</v>
      </c>
      <c r="BC1413" s="1">
        <v>2328.0</v>
      </c>
      <c r="BD1413" s="1">
        <v>294900.0</v>
      </c>
      <c r="BE1413" s="2">
        <v>41831.0</v>
      </c>
      <c r="BF1413" s="2" t="s">
        <v>14610</v>
      </c>
      <c r="BH1413" s="1">
        <v>0.0</v>
      </c>
      <c r="BK1413" s="1" t="s">
        <v>204</v>
      </c>
      <c r="BL1413" s="1" t="str">
        <f t="shared" ref="BL1413:BM1413" si="929">"0"</f>
        <v>0</v>
      </c>
      <c r="BM1413" s="1" t="str">
        <f t="shared" si="929"/>
        <v>0</v>
      </c>
      <c r="BN1413" s="1">
        <v>6832.0</v>
      </c>
      <c r="BO1413" s="1">
        <v>5440.0</v>
      </c>
      <c r="BQ1413" s="1">
        <v>299.0</v>
      </c>
      <c r="BR1413" s="1">
        <v>299.0</v>
      </c>
      <c r="BS1413" s="1">
        <v>299.0</v>
      </c>
      <c r="BU1413" s="1" t="s">
        <v>214</v>
      </c>
      <c r="BV1413" s="1" t="s">
        <v>206</v>
      </c>
      <c r="BW1413" s="1" t="s">
        <v>207</v>
      </c>
      <c r="BX1413" s="1" t="s">
        <v>229</v>
      </c>
      <c r="BY1413" s="1" t="s">
        <v>479</v>
      </c>
      <c r="BZ1413" s="1" t="s">
        <v>209</v>
      </c>
      <c r="CA1413" s="1" t="s">
        <v>210</v>
      </c>
      <c r="CB1413" s="1" t="s">
        <v>229</v>
      </c>
      <c r="CC1413" s="1" t="s">
        <v>542</v>
      </c>
      <c r="CD1413" s="1" t="s">
        <v>206</v>
      </c>
      <c r="CG1413" s="1" t="s">
        <v>1426</v>
      </c>
      <c r="CH1413" s="1" t="s">
        <v>209</v>
      </c>
      <c r="CI1413" s="1" t="s">
        <v>210</v>
      </c>
      <c r="CJ1413" s="1" t="s">
        <v>229</v>
      </c>
      <c r="CK1413" s="1" t="s">
        <v>329</v>
      </c>
      <c r="CL1413" s="1" t="s">
        <v>209</v>
      </c>
      <c r="CM1413" s="1" t="s">
        <v>210</v>
      </c>
      <c r="CN1413" s="1" t="s">
        <v>229</v>
      </c>
      <c r="CO1413" s="1" t="s">
        <v>2522</v>
      </c>
      <c r="CP1413" s="1" t="s">
        <v>206</v>
      </c>
      <c r="CQ1413" s="1" t="s">
        <v>210</v>
      </c>
      <c r="CR1413" s="1" t="s">
        <v>229</v>
      </c>
      <c r="CS1413" s="1" t="s">
        <v>390</v>
      </c>
      <c r="CT1413" s="1" t="s">
        <v>206</v>
      </c>
      <c r="CU1413" s="1" t="s">
        <v>301</v>
      </c>
      <c r="CV1413" s="1" t="s">
        <v>229</v>
      </c>
      <c r="CW1413" s="1" t="s">
        <v>2365</v>
      </c>
      <c r="CX1413" s="1" t="s">
        <v>42</v>
      </c>
      <c r="CY1413" s="1" t="s">
        <v>210</v>
      </c>
      <c r="CZ1413" s="1" t="s">
        <v>229</v>
      </c>
      <c r="DA1413" s="1" t="s">
        <v>200</v>
      </c>
      <c r="DC1413" s="1" t="s">
        <v>1399</v>
      </c>
      <c r="DE1413" s="1" t="s">
        <v>273</v>
      </c>
      <c r="DF1413" s="1" t="s">
        <v>619</v>
      </c>
      <c r="DH1413" s="1" t="s">
        <v>307</v>
      </c>
      <c r="DJ1413" s="1" t="s">
        <v>222</v>
      </c>
      <c r="DL1413" s="1" t="s">
        <v>224</v>
      </c>
      <c r="DM1413" s="1" t="s">
        <v>229</v>
      </c>
      <c r="DP1413" s="1" t="s">
        <v>276</v>
      </c>
      <c r="DQ1413" s="1" t="s">
        <v>228</v>
      </c>
      <c r="DR1413" s="1" t="s">
        <v>229</v>
      </c>
      <c r="DV1413" s="1" t="s">
        <v>1103</v>
      </c>
      <c r="DW1413" s="1" t="s">
        <v>489</v>
      </c>
      <c r="DX1413" s="1" t="s">
        <v>234</v>
      </c>
      <c r="EC1413" s="1" t="s">
        <v>237</v>
      </c>
      <c r="EG1413" s="1" t="s">
        <v>1103</v>
      </c>
      <c r="EL1413" s="1" t="s">
        <v>14611</v>
      </c>
      <c r="EM1413" s="1" t="s">
        <v>42</v>
      </c>
      <c r="EN1413" s="1" t="s">
        <v>588</v>
      </c>
      <c r="EO1413" s="1" t="s">
        <v>229</v>
      </c>
      <c r="EQ1413" s="1" t="s">
        <v>238</v>
      </c>
      <c r="EU1413" s="1" t="s">
        <v>238</v>
      </c>
      <c r="EY1413" s="1" t="s">
        <v>238</v>
      </c>
      <c r="FC1413" s="1" t="s">
        <v>238</v>
      </c>
      <c r="FF1413" s="1" t="s">
        <v>239</v>
      </c>
      <c r="FG1413" s="1" t="s">
        <v>192</v>
      </c>
      <c r="FH1413" s="1" t="s">
        <v>192</v>
      </c>
      <c r="FJ1413" s="1" t="s">
        <v>524</v>
      </c>
      <c r="FK1413" s="1" t="s">
        <v>229</v>
      </c>
      <c r="FL1413" s="1" t="s">
        <v>1625</v>
      </c>
      <c r="FM1413" s="1">
        <v>16416.0</v>
      </c>
      <c r="FN1413" s="1" t="s">
        <v>1626</v>
      </c>
      <c r="FO1413" s="1" t="s">
        <v>7399</v>
      </c>
      <c r="FP1413" s="1">
        <v>148228.0</v>
      </c>
      <c r="FQ1413" s="1" t="s">
        <v>1626</v>
      </c>
      <c r="FU1413" s="1" t="s">
        <v>1628</v>
      </c>
      <c r="FV1413" s="1" t="s">
        <v>200</v>
      </c>
      <c r="FW1413" s="1" t="s">
        <v>14612</v>
      </c>
      <c r="FX1413" s="1" t="s">
        <v>655</v>
      </c>
      <c r="FZ1413" s="1" t="s">
        <v>229</v>
      </c>
      <c r="GA1413" s="1" t="s">
        <v>291</v>
      </c>
      <c r="GB1413" s="2">
        <v>42019.0</v>
      </c>
      <c r="GC1413" s="1" t="s">
        <v>14613</v>
      </c>
    </row>
    <row r="1414">
      <c r="A1414" s="1">
        <v>431000.0</v>
      </c>
      <c r="B1414" s="1" t="s">
        <v>185</v>
      </c>
      <c r="C1414" s="1" t="str">
        <f>"08676868"</f>
        <v>08676868</v>
      </c>
      <c r="D1414" s="1" t="s">
        <v>186</v>
      </c>
      <c r="F1414" s="1" t="str">
        <f>"174"</f>
        <v>174</v>
      </c>
      <c r="G1414" s="2">
        <v>41838.0</v>
      </c>
      <c r="H1414" s="1">
        <v>474900.0</v>
      </c>
      <c r="I1414" s="1">
        <v>416.0</v>
      </c>
      <c r="J1414" s="1">
        <v>449900.0</v>
      </c>
      <c r="K1414" s="2">
        <v>42015.0</v>
      </c>
      <c r="L1414" s="1">
        <v>178.0</v>
      </c>
      <c r="M1414" s="2">
        <v>42015.0</v>
      </c>
      <c r="N1414" s="1" t="s">
        <v>187</v>
      </c>
      <c r="O1414" s="2">
        <v>42093.0</v>
      </c>
      <c r="P1414" s="1">
        <v>81037.0</v>
      </c>
      <c r="Q1414" s="1">
        <v>8059.0</v>
      </c>
      <c r="S1414" s="1" t="s">
        <v>14614</v>
      </c>
      <c r="T1414" s="1" t="s">
        <v>14615</v>
      </c>
      <c r="U1414" s="1" t="s">
        <v>1174</v>
      </c>
      <c r="V1414" s="1" t="s">
        <v>1200</v>
      </c>
      <c r="W1414" s="1">
        <v>60175.0</v>
      </c>
      <c r="Y1414" s="1" t="s">
        <v>14616</v>
      </c>
      <c r="Z1414" s="1">
        <v>1991.0</v>
      </c>
      <c r="AA1414" s="1" t="s">
        <v>200</v>
      </c>
      <c r="AB1414" s="1" t="s">
        <v>193</v>
      </c>
      <c r="AC1414" s="1" t="s">
        <v>14617</v>
      </c>
      <c r="AD1414" s="1" t="s">
        <v>1089</v>
      </c>
      <c r="AE1414" s="1" t="s">
        <v>325</v>
      </c>
      <c r="AF1414" s="1" t="s">
        <v>1203</v>
      </c>
      <c r="AH1414" s="1" t="s">
        <v>14618</v>
      </c>
      <c r="AI1414" s="1">
        <v>1.3</v>
      </c>
      <c r="AK1414" s="1">
        <v>14.0</v>
      </c>
      <c r="AL1414" s="1">
        <v>4.0</v>
      </c>
      <c r="AM1414" s="1">
        <v>3.0</v>
      </c>
      <c r="AN1414" s="1">
        <v>1.0</v>
      </c>
      <c r="AO1414" s="1" t="s">
        <v>198</v>
      </c>
      <c r="AP1414" s="1">
        <v>3.0</v>
      </c>
      <c r="AQ1414" s="1" t="s">
        <v>198</v>
      </c>
      <c r="AR1414" s="1" t="s">
        <v>192</v>
      </c>
      <c r="AS1414" s="1" t="s">
        <v>199</v>
      </c>
      <c r="AT1414" s="1">
        <v>3.0</v>
      </c>
      <c r="AV1414" s="1" t="s">
        <v>200</v>
      </c>
      <c r="AW1414" s="1">
        <v>12236.32</v>
      </c>
      <c r="AX1414" s="1">
        <v>2013.0</v>
      </c>
      <c r="AY1414" s="1" t="s">
        <v>387</v>
      </c>
      <c r="AZ1414" s="1" t="s">
        <v>200</v>
      </c>
      <c r="BA1414" s="1" t="str">
        <f>"0909252008"</f>
        <v>0909252008</v>
      </c>
      <c r="BB1414" s="1" t="s">
        <v>200</v>
      </c>
      <c r="BC1414" s="1">
        <v>3290.0</v>
      </c>
      <c r="BD1414" s="1">
        <v>431000.0</v>
      </c>
      <c r="BE1414" s="2">
        <v>41838.0</v>
      </c>
      <c r="BF1414" s="2" t="s">
        <v>14619</v>
      </c>
      <c r="BG1414" s="1" t="s">
        <v>10567</v>
      </c>
      <c r="BH1414" s="1">
        <v>0.0</v>
      </c>
      <c r="BI1414" s="1" t="s">
        <v>4511</v>
      </c>
      <c r="BJ1414" s="1" t="s">
        <v>2200</v>
      </c>
      <c r="BK1414" s="1" t="s">
        <v>204</v>
      </c>
      <c r="BL1414" s="1" t="str">
        <f>"6"</f>
        <v>6</v>
      </c>
      <c r="BM1414" s="1" t="str">
        <f t="shared" ref="BM1414:BM1415" si="930">"0"</f>
        <v>0</v>
      </c>
      <c r="BN1414" s="1">
        <v>36.0</v>
      </c>
      <c r="BO1414" s="1">
        <v>0.0</v>
      </c>
      <c r="BQ1414" s="1">
        <v>303.0</v>
      </c>
      <c r="BR1414" s="1">
        <v>303.0</v>
      </c>
      <c r="BS1414" s="1">
        <v>303.0</v>
      </c>
      <c r="BU1414" s="1" t="s">
        <v>639</v>
      </c>
      <c r="BV1414" s="1" t="s">
        <v>206</v>
      </c>
      <c r="BW1414" s="1" t="s">
        <v>210</v>
      </c>
      <c r="BX1414" s="1" t="s">
        <v>1549</v>
      </c>
      <c r="BY1414" s="1" t="s">
        <v>2014</v>
      </c>
      <c r="BZ1414" s="1" t="s">
        <v>209</v>
      </c>
      <c r="CA1414" s="1" t="s">
        <v>210</v>
      </c>
      <c r="CB1414" s="1" t="s">
        <v>261</v>
      </c>
      <c r="CC1414" s="1" t="s">
        <v>454</v>
      </c>
      <c r="CD1414" s="1" t="s">
        <v>206</v>
      </c>
      <c r="CE1414" s="1" t="s">
        <v>210</v>
      </c>
      <c r="CF1414" s="1" t="s">
        <v>431</v>
      </c>
      <c r="CG1414" s="1" t="s">
        <v>454</v>
      </c>
      <c r="CH1414" s="1" t="s">
        <v>209</v>
      </c>
      <c r="CI1414" s="1" t="s">
        <v>210</v>
      </c>
      <c r="CJ1414" s="1" t="s">
        <v>261</v>
      </c>
      <c r="CK1414" s="1" t="s">
        <v>215</v>
      </c>
      <c r="CL1414" s="1" t="s">
        <v>209</v>
      </c>
      <c r="CM1414" s="1" t="s">
        <v>210</v>
      </c>
      <c r="CN1414" s="1" t="s">
        <v>1549</v>
      </c>
      <c r="CO1414" s="1" t="s">
        <v>211</v>
      </c>
      <c r="CP1414" s="1" t="s">
        <v>209</v>
      </c>
      <c r="CQ1414" s="1" t="s">
        <v>210</v>
      </c>
      <c r="CR1414" s="1" t="s">
        <v>1549</v>
      </c>
      <c r="CS1414" s="1" t="s">
        <v>1244</v>
      </c>
      <c r="CT1414" s="1" t="s">
        <v>206</v>
      </c>
      <c r="CU1414" s="1" t="s">
        <v>268</v>
      </c>
      <c r="CV1414" s="1" t="s">
        <v>431</v>
      </c>
      <c r="CW1414" s="1" t="s">
        <v>784</v>
      </c>
      <c r="CX1414" s="1" t="s">
        <v>206</v>
      </c>
      <c r="CY1414" s="1" t="s">
        <v>210</v>
      </c>
      <c r="CZ1414" s="1" t="s">
        <v>431</v>
      </c>
      <c r="DA1414" s="1" t="s">
        <v>200</v>
      </c>
      <c r="DC1414" s="1" t="s">
        <v>435</v>
      </c>
      <c r="DD1414" s="1" t="s">
        <v>9282</v>
      </c>
      <c r="DE1414" s="1" t="s">
        <v>273</v>
      </c>
      <c r="DF1414" s="1" t="s">
        <v>219</v>
      </c>
      <c r="DH1414" s="1" t="s">
        <v>856</v>
      </c>
      <c r="DI1414" s="1" t="s">
        <v>14620</v>
      </c>
      <c r="DJ1414" s="1" t="s">
        <v>857</v>
      </c>
      <c r="DK1414" s="1" t="s">
        <v>198</v>
      </c>
      <c r="DL1414" s="1" t="s">
        <v>224</v>
      </c>
      <c r="DM1414" s="1" t="s">
        <v>338</v>
      </c>
      <c r="DN1414" s="1" t="s">
        <v>399</v>
      </c>
      <c r="DO1414" s="1" t="s">
        <v>12169</v>
      </c>
      <c r="DP1414" s="1" t="s">
        <v>340</v>
      </c>
      <c r="DQ1414" s="1" t="s">
        <v>931</v>
      </c>
      <c r="DR1414" s="1" t="s">
        <v>229</v>
      </c>
      <c r="DS1414" s="1" t="s">
        <v>368</v>
      </c>
      <c r="DU1414" s="1" t="s">
        <v>14621</v>
      </c>
      <c r="DV1414" s="1" t="s">
        <v>14622</v>
      </c>
      <c r="DW1414" s="1" t="s">
        <v>595</v>
      </c>
      <c r="DX1414" s="1" t="s">
        <v>234</v>
      </c>
      <c r="DY1414" s="1" t="s">
        <v>14623</v>
      </c>
      <c r="DZ1414" s="1" t="s">
        <v>14624</v>
      </c>
      <c r="EA1414" s="1" t="s">
        <v>344</v>
      </c>
      <c r="EB1414" s="1" t="s">
        <v>14625</v>
      </c>
      <c r="EC1414" s="1" t="s">
        <v>237</v>
      </c>
      <c r="ED1414" s="1" t="s">
        <v>864</v>
      </c>
      <c r="EG1414" s="1" t="s">
        <v>449</v>
      </c>
      <c r="EH1414" s="1" t="s">
        <v>598</v>
      </c>
      <c r="EI1414" s="1" t="s">
        <v>451</v>
      </c>
      <c r="EJ1414" s="1" t="s">
        <v>494</v>
      </c>
      <c r="EK1414" s="1" t="s">
        <v>450</v>
      </c>
      <c r="EL1414" s="1" t="s">
        <v>699</v>
      </c>
      <c r="EM1414" s="1" t="s">
        <v>206</v>
      </c>
      <c r="EN1414" s="1" t="s">
        <v>268</v>
      </c>
      <c r="EO1414" s="1" t="s">
        <v>1549</v>
      </c>
      <c r="EP1414" s="1" t="s">
        <v>433</v>
      </c>
      <c r="EQ1414" s="1" t="s">
        <v>206</v>
      </c>
      <c r="ER1414" s="1" t="s">
        <v>207</v>
      </c>
      <c r="ES1414" s="1" t="s">
        <v>1549</v>
      </c>
      <c r="ET1414" s="1" t="s">
        <v>211</v>
      </c>
      <c r="EU1414" s="1" t="s">
        <v>42</v>
      </c>
      <c r="EV1414" s="1" t="s">
        <v>210</v>
      </c>
      <c r="EW1414" s="1" t="s">
        <v>229</v>
      </c>
      <c r="EX1414" s="1" t="s">
        <v>264</v>
      </c>
      <c r="EY1414" s="1" t="s">
        <v>42</v>
      </c>
      <c r="EZ1414" s="1" t="s">
        <v>210</v>
      </c>
      <c r="FA1414" s="1" t="s">
        <v>229</v>
      </c>
      <c r="FB1414" s="1" t="s">
        <v>616</v>
      </c>
      <c r="FC1414" s="1" t="s">
        <v>42</v>
      </c>
      <c r="FD1414" s="1" t="s">
        <v>210</v>
      </c>
      <c r="FE1414" s="1" t="s">
        <v>229</v>
      </c>
      <c r="FF1414" s="1" t="s">
        <v>239</v>
      </c>
      <c r="FG1414" s="1" t="s">
        <v>192</v>
      </c>
      <c r="FH1414" s="1" t="s">
        <v>192</v>
      </c>
      <c r="FJ1414" s="1" t="s">
        <v>1493</v>
      </c>
      <c r="FK1414" s="1" t="s">
        <v>229</v>
      </c>
      <c r="FL1414" s="1" t="s">
        <v>456</v>
      </c>
      <c r="FM1414" s="1">
        <v>49.0</v>
      </c>
      <c r="FN1414" s="1" t="s">
        <v>457</v>
      </c>
      <c r="FO1414" s="1" t="s">
        <v>458</v>
      </c>
      <c r="FP1414" s="1">
        <v>1222.0</v>
      </c>
      <c r="FQ1414" s="1" t="s">
        <v>459</v>
      </c>
      <c r="FU1414" s="1" t="s">
        <v>14626</v>
      </c>
      <c r="FV1414" s="1" t="s">
        <v>200</v>
      </c>
      <c r="FW1414" s="1" t="s">
        <v>2754</v>
      </c>
      <c r="FZ1414" s="1" t="s">
        <v>229</v>
      </c>
      <c r="GA1414" s="1" t="s">
        <v>291</v>
      </c>
      <c r="GB1414" s="2">
        <v>42093.0</v>
      </c>
      <c r="GC1414" s="1" t="s">
        <v>14627</v>
      </c>
    </row>
    <row r="1415">
      <c r="A1415" s="1">
        <v>255945.0</v>
      </c>
      <c r="B1415" s="1" t="s">
        <v>185</v>
      </c>
      <c r="C1415" s="1" t="str">
        <f>"08673291"</f>
        <v>08673291</v>
      </c>
      <c r="D1415" s="1" t="s">
        <v>186</v>
      </c>
      <c r="F1415" s="1" t="str">
        <f>"110"</f>
        <v>110</v>
      </c>
      <c r="G1415" s="2">
        <v>41835.0</v>
      </c>
      <c r="H1415" s="1">
        <v>249770.0</v>
      </c>
      <c r="I1415" s="1">
        <v>1.0</v>
      </c>
      <c r="J1415" s="1">
        <v>249770.0</v>
      </c>
      <c r="K1415" s="2">
        <v>41835.0</v>
      </c>
      <c r="L1415" s="1">
        <v>1.0</v>
      </c>
      <c r="M1415" s="2">
        <v>41835.0</v>
      </c>
      <c r="N1415" s="1" t="s">
        <v>187</v>
      </c>
      <c r="O1415" s="2">
        <v>41985.0</v>
      </c>
      <c r="P1415" s="1">
        <v>55884.0</v>
      </c>
      <c r="Q1415" s="1">
        <v>5014.0</v>
      </c>
      <c r="S1415" s="1">
        <v>3526.0</v>
      </c>
      <c r="T1415" s="1" t="s">
        <v>1173</v>
      </c>
      <c r="U1415" s="1" t="s">
        <v>569</v>
      </c>
      <c r="V1415" s="1" t="s">
        <v>807</v>
      </c>
      <c r="W1415" s="1">
        <v>60110.0</v>
      </c>
      <c r="Y1415" s="1" t="s">
        <v>1175</v>
      </c>
      <c r="Z1415" s="1">
        <v>2014.0</v>
      </c>
      <c r="AA1415" s="1" t="s">
        <v>200</v>
      </c>
      <c r="AB1415" s="1" t="s">
        <v>467</v>
      </c>
      <c r="AC1415" s="1" t="s">
        <v>1176</v>
      </c>
      <c r="AD1415" s="1" t="s">
        <v>809</v>
      </c>
      <c r="AE1415" s="1" t="s">
        <v>325</v>
      </c>
      <c r="AF1415" s="1" t="s">
        <v>810</v>
      </c>
      <c r="AG1415" s="1" t="s">
        <v>14628</v>
      </c>
      <c r="AH1415" s="1" t="s">
        <v>1178</v>
      </c>
      <c r="AK1415" s="1">
        <v>9.0</v>
      </c>
      <c r="AL1415" s="1">
        <v>4.0</v>
      </c>
      <c r="AM1415" s="1">
        <v>2.0</v>
      </c>
      <c r="AN1415" s="1">
        <v>1.0</v>
      </c>
      <c r="AO1415" s="1" t="s">
        <v>198</v>
      </c>
      <c r="AP1415" s="1">
        <v>0.0</v>
      </c>
      <c r="AQ1415" s="1" t="s">
        <v>198</v>
      </c>
      <c r="AR1415" s="1" t="s">
        <v>200</v>
      </c>
      <c r="AS1415" s="1" t="s">
        <v>199</v>
      </c>
      <c r="AT1415" s="1">
        <v>2.0</v>
      </c>
      <c r="AV1415" s="1" t="s">
        <v>200</v>
      </c>
      <c r="AW1415" s="1" t="s">
        <v>575</v>
      </c>
      <c r="AX1415" s="1">
        <v>2012.0</v>
      </c>
      <c r="AY1415" s="1" t="s">
        <v>1179</v>
      </c>
      <c r="AZ1415" s="1" t="s">
        <v>200</v>
      </c>
      <c r="BA1415" s="1" t="str">
        <f>"0212432002"</f>
        <v>0212432002</v>
      </c>
      <c r="BC1415" s="1">
        <v>2460.0</v>
      </c>
      <c r="BD1415" s="1">
        <v>255945.0</v>
      </c>
      <c r="BE1415" s="2">
        <v>41835.0</v>
      </c>
      <c r="BF1415" s="1" t="s">
        <v>14629</v>
      </c>
      <c r="BG1415" s="1" t="s">
        <v>1181</v>
      </c>
      <c r="BH1415" s="1">
        <v>112.0</v>
      </c>
      <c r="BI1415" s="1" t="s">
        <v>1093</v>
      </c>
      <c r="BJ1415" s="1" t="s">
        <v>1182</v>
      </c>
      <c r="BK1415" s="1" t="s">
        <v>1952</v>
      </c>
      <c r="BL1415" s="1" t="str">
        <f>"18"</f>
        <v>18</v>
      </c>
      <c r="BM1415" s="1" t="str">
        <f t="shared" si="930"/>
        <v>0</v>
      </c>
      <c r="BN1415" s="1">
        <v>37.0</v>
      </c>
      <c r="BO1415" s="1">
        <v>0.0</v>
      </c>
      <c r="BQ1415" s="1">
        <v>300.0</v>
      </c>
      <c r="BR1415" s="1">
        <v>300.0</v>
      </c>
      <c r="BS1415" s="1">
        <v>300.0</v>
      </c>
      <c r="BV1415" s="1" t="s">
        <v>204</v>
      </c>
      <c r="BY1415" s="1" t="s">
        <v>677</v>
      </c>
      <c r="BZ1415" s="1" t="s">
        <v>209</v>
      </c>
      <c r="CA1415" s="1" t="s">
        <v>210</v>
      </c>
      <c r="CB1415" s="1" t="s">
        <v>229</v>
      </c>
      <c r="CC1415" s="1" t="s">
        <v>1329</v>
      </c>
      <c r="CD1415" s="1" t="s">
        <v>206</v>
      </c>
      <c r="CE1415" s="1" t="s">
        <v>617</v>
      </c>
      <c r="CF1415" s="1" t="s">
        <v>229</v>
      </c>
      <c r="CG1415" s="1" t="s">
        <v>699</v>
      </c>
      <c r="CH1415" s="1" t="s">
        <v>209</v>
      </c>
      <c r="CI1415" s="1" t="s">
        <v>210</v>
      </c>
      <c r="CJ1415" s="1" t="s">
        <v>229</v>
      </c>
      <c r="CK1415" s="1" t="s">
        <v>663</v>
      </c>
      <c r="CL1415" s="1" t="s">
        <v>209</v>
      </c>
      <c r="CM1415" s="1" t="s">
        <v>210</v>
      </c>
      <c r="CN1415" s="1" t="s">
        <v>229</v>
      </c>
      <c r="CO1415" s="1" t="s">
        <v>663</v>
      </c>
      <c r="CP1415" s="1" t="s">
        <v>209</v>
      </c>
      <c r="CQ1415" s="1" t="s">
        <v>210</v>
      </c>
      <c r="CR1415" s="1" t="s">
        <v>229</v>
      </c>
      <c r="CS1415" s="1" t="s">
        <v>211</v>
      </c>
      <c r="CT1415" s="1" t="s">
        <v>206</v>
      </c>
      <c r="CU1415" s="1" t="s">
        <v>617</v>
      </c>
      <c r="CV1415" s="1" t="s">
        <v>229</v>
      </c>
      <c r="CW1415" s="1" t="s">
        <v>362</v>
      </c>
      <c r="CX1415" s="1" t="s">
        <v>206</v>
      </c>
      <c r="CY1415" s="1" t="s">
        <v>210</v>
      </c>
      <c r="CZ1415" s="1" t="s">
        <v>229</v>
      </c>
      <c r="DA1415" s="1" t="s">
        <v>192</v>
      </c>
      <c r="DB1415" s="2">
        <v>41988.0</v>
      </c>
      <c r="DC1415" s="1" t="s">
        <v>744</v>
      </c>
      <c r="DD1415" s="1" t="s">
        <v>306</v>
      </c>
      <c r="DE1415" s="1" t="s">
        <v>273</v>
      </c>
      <c r="DF1415" s="1" t="s">
        <v>219</v>
      </c>
      <c r="DG1415" s="1" t="s">
        <v>482</v>
      </c>
      <c r="DH1415" s="1" t="s">
        <v>220</v>
      </c>
      <c r="DI1415" s="1" t="s">
        <v>1021</v>
      </c>
      <c r="DJ1415" s="1" t="s">
        <v>222</v>
      </c>
      <c r="DK1415" s="1" t="s">
        <v>223</v>
      </c>
      <c r="DL1415" s="1" t="s">
        <v>223</v>
      </c>
      <c r="DM1415" s="1" t="s">
        <v>338</v>
      </c>
      <c r="DN1415" s="1" t="s">
        <v>548</v>
      </c>
      <c r="DP1415" s="1" t="s">
        <v>227</v>
      </c>
      <c r="DQ1415" s="1" t="s">
        <v>441</v>
      </c>
      <c r="DR1415" s="1" t="s">
        <v>1185</v>
      </c>
      <c r="DS1415" s="1" t="s">
        <v>591</v>
      </c>
      <c r="DT1415" s="1" t="s">
        <v>1186</v>
      </c>
      <c r="DU1415" s="1" t="s">
        <v>1187</v>
      </c>
      <c r="DV1415" s="1" t="s">
        <v>1188</v>
      </c>
      <c r="DW1415" s="1" t="s">
        <v>444</v>
      </c>
      <c r="DX1415" s="1" t="s">
        <v>234</v>
      </c>
      <c r="DY1415" s="1" t="s">
        <v>3075</v>
      </c>
      <c r="EA1415" s="1" t="s">
        <v>344</v>
      </c>
      <c r="EC1415" s="1" t="s">
        <v>237</v>
      </c>
      <c r="EH1415" s="1" t="s">
        <v>341</v>
      </c>
      <c r="EI1415" s="1" t="s">
        <v>494</v>
      </c>
      <c r="EM1415" s="1" t="s">
        <v>238</v>
      </c>
      <c r="EP1415" s="1" t="s">
        <v>302</v>
      </c>
      <c r="EQ1415" s="1" t="s">
        <v>209</v>
      </c>
      <c r="ER1415" s="1" t="s">
        <v>210</v>
      </c>
      <c r="ES1415" s="1" t="s">
        <v>229</v>
      </c>
      <c r="ET1415" s="1" t="s">
        <v>1417</v>
      </c>
      <c r="EU1415" s="1" t="s">
        <v>206</v>
      </c>
      <c r="EV1415" s="1" t="s">
        <v>210</v>
      </c>
      <c r="EW1415" s="1" t="s">
        <v>229</v>
      </c>
      <c r="EY1415" s="1" t="s">
        <v>238</v>
      </c>
      <c r="FC1415" s="1" t="s">
        <v>238</v>
      </c>
      <c r="FF1415" s="1" t="s">
        <v>239</v>
      </c>
      <c r="FG1415" s="1" t="s">
        <v>192</v>
      </c>
      <c r="FH1415" s="1" t="s">
        <v>192</v>
      </c>
      <c r="FJ1415" s="1" t="s">
        <v>14367</v>
      </c>
      <c r="FK1415" s="1" t="s">
        <v>229</v>
      </c>
      <c r="FL1415" s="1" t="s">
        <v>1192</v>
      </c>
      <c r="FM1415" s="1">
        <v>8702.0</v>
      </c>
      <c r="FN1415" s="1" t="s">
        <v>1193</v>
      </c>
      <c r="FO1415" s="1" t="s">
        <v>1194</v>
      </c>
      <c r="FP1415" s="1">
        <v>21163.0</v>
      </c>
      <c r="FQ1415" s="1" t="s">
        <v>1195</v>
      </c>
      <c r="FU1415" s="1" t="s">
        <v>14630</v>
      </c>
      <c r="FV1415" s="1" t="s">
        <v>200</v>
      </c>
      <c r="FW1415" s="1" t="s">
        <v>1197</v>
      </c>
      <c r="FZ1415" s="1" t="s">
        <v>229</v>
      </c>
      <c r="GA1415" s="1" t="s">
        <v>291</v>
      </c>
      <c r="GB1415" s="2">
        <v>41986.0</v>
      </c>
      <c r="GC1415" s="1" t="s">
        <v>14631</v>
      </c>
    </row>
    <row r="1416">
      <c r="A1416" s="1">
        <v>380000.0</v>
      </c>
      <c r="B1416" s="1" t="s">
        <v>185</v>
      </c>
      <c r="C1416" s="1" t="str">
        <f>"08665757"</f>
        <v>08665757</v>
      </c>
      <c r="D1416" s="1" t="s">
        <v>186</v>
      </c>
      <c r="F1416" s="1" t="str">
        <f>"174"</f>
        <v>174</v>
      </c>
      <c r="G1416" s="2">
        <v>41828.0</v>
      </c>
      <c r="H1416" s="1">
        <v>424900.0</v>
      </c>
      <c r="I1416" s="1">
        <v>108.0</v>
      </c>
      <c r="J1416" s="1">
        <v>399000.0</v>
      </c>
      <c r="K1416" s="2">
        <v>41935.0</v>
      </c>
      <c r="L1416" s="1">
        <v>108.0</v>
      </c>
      <c r="M1416" s="2">
        <v>41935.0</v>
      </c>
      <c r="N1416" s="1" t="s">
        <v>187</v>
      </c>
      <c r="O1416" s="2">
        <v>41985.0</v>
      </c>
      <c r="P1416" s="1">
        <v>1767.0</v>
      </c>
      <c r="Q1416" s="1">
        <v>605.0</v>
      </c>
      <c r="S1416" s="1" t="s">
        <v>14632</v>
      </c>
      <c r="T1416" s="1" t="s">
        <v>14633</v>
      </c>
      <c r="U1416" s="1" t="s">
        <v>1174</v>
      </c>
      <c r="V1416" s="1" t="s">
        <v>1200</v>
      </c>
      <c r="W1416" s="1">
        <v>60175.0</v>
      </c>
      <c r="Y1416" s="1" t="s">
        <v>14634</v>
      </c>
      <c r="Z1416" s="1">
        <v>2013.0</v>
      </c>
      <c r="AA1416" s="1" t="s">
        <v>200</v>
      </c>
      <c r="AB1416" s="1" t="s">
        <v>193</v>
      </c>
      <c r="AC1416" s="1" t="s">
        <v>14635</v>
      </c>
      <c r="AD1416" s="1" t="s">
        <v>1089</v>
      </c>
      <c r="AE1416" s="1" t="s">
        <v>325</v>
      </c>
      <c r="AF1416" s="1" t="s">
        <v>1632</v>
      </c>
      <c r="AH1416" s="1" t="s">
        <v>14636</v>
      </c>
      <c r="AI1416" s="1">
        <v>1.4599</v>
      </c>
      <c r="AK1416" s="1">
        <v>8.0</v>
      </c>
      <c r="AL1416" s="1">
        <v>4.0</v>
      </c>
      <c r="AM1416" s="1">
        <v>2.0</v>
      </c>
      <c r="AN1416" s="1">
        <v>1.0</v>
      </c>
      <c r="AO1416" s="1" t="s">
        <v>198</v>
      </c>
      <c r="AQ1416" s="1" t="s">
        <v>472</v>
      </c>
      <c r="AR1416" s="1" t="s">
        <v>200</v>
      </c>
      <c r="AS1416" s="1" t="s">
        <v>199</v>
      </c>
      <c r="AT1416" s="1">
        <v>4.0</v>
      </c>
      <c r="AV1416" s="1" t="s">
        <v>200</v>
      </c>
      <c r="AW1416" s="1">
        <v>7863.78</v>
      </c>
      <c r="AX1416" s="1">
        <v>2013.0</v>
      </c>
      <c r="AY1416" s="1" t="s">
        <v>387</v>
      </c>
      <c r="AZ1416" s="1" t="s">
        <v>200</v>
      </c>
      <c r="BA1416" s="1" t="str">
        <f>"0808380002"</f>
        <v>0808380002</v>
      </c>
      <c r="BC1416" s="1">
        <v>2689.0</v>
      </c>
      <c r="BD1416" s="1">
        <v>380000.0</v>
      </c>
      <c r="BE1416" s="2">
        <v>41828.0</v>
      </c>
      <c r="BF1416" s="2" t="s">
        <v>14637</v>
      </c>
      <c r="BG1416" s="1" t="s">
        <v>7848</v>
      </c>
      <c r="BH1416" s="1">
        <v>325.0</v>
      </c>
      <c r="BI1416" s="1" t="s">
        <v>1975</v>
      </c>
      <c r="BJ1416" s="1" t="s">
        <v>579</v>
      </c>
      <c r="BK1416" s="1" t="s">
        <v>580</v>
      </c>
      <c r="BL1416" s="1" t="str">
        <f t="shared" ref="BL1416:BM1416" si="931">""</f>
        <v/>
      </c>
      <c r="BM1416" s="1" t="str">
        <f t="shared" si="931"/>
        <v/>
      </c>
      <c r="BQ1416" s="1">
        <v>301.0</v>
      </c>
      <c r="BR1416" s="1">
        <v>301.0</v>
      </c>
      <c r="BS1416" s="1">
        <v>301.0</v>
      </c>
      <c r="BV1416" s="1" t="s">
        <v>204</v>
      </c>
      <c r="BY1416" s="1" t="s">
        <v>1483</v>
      </c>
      <c r="BZ1416" s="1" t="s">
        <v>206</v>
      </c>
      <c r="CA1416" s="1" t="s">
        <v>210</v>
      </c>
      <c r="CC1416" s="1" t="s">
        <v>758</v>
      </c>
      <c r="CD1416" s="1" t="s">
        <v>206</v>
      </c>
      <c r="CE1416" s="1" t="s">
        <v>207</v>
      </c>
      <c r="CG1416" s="1" t="s">
        <v>584</v>
      </c>
      <c r="CH1416" s="1" t="s">
        <v>206</v>
      </c>
      <c r="CI1416" s="1" t="s">
        <v>210</v>
      </c>
      <c r="CK1416" s="1" t="s">
        <v>478</v>
      </c>
      <c r="CL1416" s="1" t="s">
        <v>206</v>
      </c>
      <c r="CM1416" s="1" t="s">
        <v>210</v>
      </c>
      <c r="CO1416" s="1" t="s">
        <v>478</v>
      </c>
      <c r="CP1416" s="1" t="s">
        <v>206</v>
      </c>
      <c r="CQ1416" s="1" t="s">
        <v>210</v>
      </c>
      <c r="CS1416" s="1" t="s">
        <v>2872</v>
      </c>
      <c r="CT1416" s="1" t="s">
        <v>206</v>
      </c>
      <c r="CU1416" s="1" t="s">
        <v>207</v>
      </c>
      <c r="CX1416" s="1" t="s">
        <v>204</v>
      </c>
      <c r="DA1416" s="1" t="s">
        <v>200</v>
      </c>
      <c r="DC1416" s="1" t="s">
        <v>1046</v>
      </c>
      <c r="DE1416" s="1" t="s">
        <v>273</v>
      </c>
      <c r="DF1416" s="1" t="s">
        <v>219</v>
      </c>
      <c r="DH1416" s="1" t="s">
        <v>856</v>
      </c>
      <c r="DI1416" s="1" t="s">
        <v>2547</v>
      </c>
      <c r="DJ1416" s="1" t="s">
        <v>857</v>
      </c>
      <c r="DL1416" s="1" t="s">
        <v>223</v>
      </c>
      <c r="DM1416" s="1" t="s">
        <v>338</v>
      </c>
      <c r="DN1416" s="1" t="s">
        <v>367</v>
      </c>
      <c r="DO1416" s="1" t="s">
        <v>590</v>
      </c>
      <c r="DQ1416" s="1" t="s">
        <v>931</v>
      </c>
      <c r="DR1416" s="1" t="s">
        <v>588</v>
      </c>
      <c r="DU1416" s="1" t="s">
        <v>12556</v>
      </c>
      <c r="DV1416" s="1" t="s">
        <v>14638</v>
      </c>
      <c r="DW1416" s="1" t="s">
        <v>1820</v>
      </c>
      <c r="DX1416" s="1" t="s">
        <v>234</v>
      </c>
      <c r="DY1416" s="1" t="s">
        <v>7854</v>
      </c>
      <c r="DZ1416" s="1" t="s">
        <v>236</v>
      </c>
      <c r="EA1416" s="1" t="s">
        <v>683</v>
      </c>
      <c r="EC1416" s="1" t="s">
        <v>685</v>
      </c>
      <c r="ED1416" s="1" t="s">
        <v>555</v>
      </c>
      <c r="EG1416" s="1" t="s">
        <v>408</v>
      </c>
      <c r="EH1416" s="1" t="s">
        <v>556</v>
      </c>
      <c r="EI1416" s="1" t="s">
        <v>720</v>
      </c>
      <c r="EJ1416" s="1" t="s">
        <v>1164</v>
      </c>
      <c r="EL1416" s="1" t="s">
        <v>375</v>
      </c>
      <c r="EM1416" s="1" t="s">
        <v>206</v>
      </c>
      <c r="EN1416" s="1" t="s">
        <v>207</v>
      </c>
      <c r="EP1416" s="1" t="s">
        <v>6820</v>
      </c>
      <c r="EQ1416" s="1" t="s">
        <v>206</v>
      </c>
      <c r="ER1416" s="1" t="s">
        <v>207</v>
      </c>
      <c r="ET1416" s="1" t="s">
        <v>14639</v>
      </c>
      <c r="EU1416" s="1" t="s">
        <v>206</v>
      </c>
      <c r="EV1416" s="1" t="s">
        <v>207</v>
      </c>
      <c r="EX1416" s="1" t="s">
        <v>334</v>
      </c>
      <c r="EY1416" s="1" t="s">
        <v>206</v>
      </c>
      <c r="EZ1416" s="1" t="s">
        <v>207</v>
      </c>
      <c r="FC1416" s="1" t="s">
        <v>238</v>
      </c>
      <c r="FF1416" s="1" t="s">
        <v>239</v>
      </c>
      <c r="FG1416" s="1" t="s">
        <v>192</v>
      </c>
      <c r="FH1416" s="1" t="s">
        <v>192</v>
      </c>
      <c r="FJ1416" s="1" t="s">
        <v>524</v>
      </c>
      <c r="FK1416" s="1" t="s">
        <v>229</v>
      </c>
      <c r="FL1416" s="1" t="s">
        <v>14640</v>
      </c>
      <c r="FM1416" s="1">
        <v>372.0</v>
      </c>
      <c r="FN1416" s="1" t="s">
        <v>14641</v>
      </c>
      <c r="FO1416" s="1" t="s">
        <v>14642</v>
      </c>
      <c r="FP1416" s="1">
        <v>7968.0</v>
      </c>
      <c r="FQ1416" s="1" t="s">
        <v>14643</v>
      </c>
      <c r="FU1416" s="1" t="s">
        <v>14644</v>
      </c>
      <c r="FV1416" s="1" t="s">
        <v>200</v>
      </c>
      <c r="FW1416" s="1" t="s">
        <v>290</v>
      </c>
      <c r="FZ1416" s="1" t="s">
        <v>229</v>
      </c>
      <c r="GA1416" s="1" t="s">
        <v>291</v>
      </c>
      <c r="GB1416" s="2">
        <v>41987.0</v>
      </c>
      <c r="GC1416" s="1" t="s">
        <v>14645</v>
      </c>
    </row>
    <row r="1417">
      <c r="A1417" s="1">
        <v>455000.0</v>
      </c>
      <c r="B1417" s="1" t="s">
        <v>185</v>
      </c>
      <c r="C1417" s="1" t="str">
        <f>"08681211"</f>
        <v>08681211</v>
      </c>
      <c r="D1417" s="1" t="s">
        <v>186</v>
      </c>
      <c r="F1417" s="1" t="str">
        <f>"10"</f>
        <v>10</v>
      </c>
      <c r="G1417" s="2">
        <v>41843.0</v>
      </c>
      <c r="H1417" s="1">
        <v>525000.0</v>
      </c>
      <c r="I1417" s="1">
        <v>137.0</v>
      </c>
      <c r="J1417" s="1">
        <v>499000.0</v>
      </c>
      <c r="K1417" s="2">
        <v>41979.0</v>
      </c>
      <c r="L1417" s="1">
        <v>137.0</v>
      </c>
      <c r="M1417" s="2">
        <v>41979.0</v>
      </c>
      <c r="N1417" s="1" t="s">
        <v>187</v>
      </c>
      <c r="O1417" s="2">
        <v>42003.0</v>
      </c>
      <c r="P1417" s="1">
        <v>29894.0</v>
      </c>
      <c r="Q1417" s="1">
        <v>1453.0</v>
      </c>
      <c r="S1417" s="1">
        <v>1221.0</v>
      </c>
      <c r="T1417" s="1" t="s">
        <v>14646</v>
      </c>
      <c r="U1417" s="1" t="s">
        <v>1174</v>
      </c>
      <c r="V1417" s="1" t="s">
        <v>1706</v>
      </c>
      <c r="W1417" s="1">
        <v>60010.0</v>
      </c>
      <c r="Y1417" s="1" t="s">
        <v>14647</v>
      </c>
      <c r="Z1417" s="1">
        <v>1966.0</v>
      </c>
      <c r="AA1417" s="1" t="s">
        <v>192</v>
      </c>
      <c r="AB1417" s="1" t="s">
        <v>193</v>
      </c>
      <c r="AC1417" s="1" t="s">
        <v>4556</v>
      </c>
      <c r="AD1417" s="1" t="s">
        <v>1948</v>
      </c>
      <c r="AE1417" s="1" t="s">
        <v>917</v>
      </c>
      <c r="AF1417" s="1" t="s">
        <v>918</v>
      </c>
      <c r="AH1417" s="1">
        <v>20143.0</v>
      </c>
      <c r="AI1417" s="1">
        <v>0.4624</v>
      </c>
      <c r="AK1417" s="1">
        <v>8.0</v>
      </c>
      <c r="AL1417" s="1">
        <v>4.0</v>
      </c>
      <c r="AM1417" s="1">
        <v>2.0</v>
      </c>
      <c r="AN1417" s="1">
        <v>1.0</v>
      </c>
      <c r="AO1417" s="1" t="s">
        <v>198</v>
      </c>
      <c r="AP1417" s="1">
        <v>1.0</v>
      </c>
      <c r="AQ1417" s="1" t="s">
        <v>198</v>
      </c>
      <c r="AR1417" s="1" t="s">
        <v>200</v>
      </c>
      <c r="AS1417" s="1" t="s">
        <v>199</v>
      </c>
      <c r="AT1417" s="1">
        <v>2.0</v>
      </c>
      <c r="AV1417" s="1" t="s">
        <v>200</v>
      </c>
      <c r="AW1417" s="1">
        <v>10651.28</v>
      </c>
      <c r="AX1417" s="1">
        <v>2012.0</v>
      </c>
      <c r="AY1417" s="1" t="s">
        <v>1179</v>
      </c>
      <c r="AZ1417" s="1" t="s">
        <v>200</v>
      </c>
      <c r="BA1417" s="1" t="str">
        <f>"14313070110000"</f>
        <v>14313070110000</v>
      </c>
      <c r="BB1417" s="1" t="s">
        <v>200</v>
      </c>
      <c r="BC1417" s="1">
        <v>2644.0</v>
      </c>
      <c r="BD1417" s="1">
        <v>455000.0</v>
      </c>
      <c r="BE1417" s="2">
        <v>41843.0</v>
      </c>
      <c r="BF1417" s="2" t="s">
        <v>14648</v>
      </c>
      <c r="BG1417" s="1" t="s">
        <v>1712</v>
      </c>
      <c r="BH1417" s="1">
        <v>882.0</v>
      </c>
      <c r="BI1417" s="1" t="s">
        <v>2012</v>
      </c>
      <c r="BJ1417" s="1" t="s">
        <v>1714</v>
      </c>
      <c r="BK1417" s="1" t="s">
        <v>580</v>
      </c>
      <c r="BL1417" s="1" t="str">
        <f>"20"</f>
        <v>20</v>
      </c>
      <c r="BM1417" s="1" t="str">
        <f>""</f>
        <v/>
      </c>
      <c r="BN1417" s="1">
        <v>24.0</v>
      </c>
      <c r="BQ1417" s="1">
        <v>220.0</v>
      </c>
      <c r="BR1417" s="1">
        <v>220.0</v>
      </c>
      <c r="BS1417" s="1">
        <v>220.0</v>
      </c>
      <c r="BU1417" s="1" t="s">
        <v>5582</v>
      </c>
      <c r="BV1417" s="1" t="s">
        <v>206</v>
      </c>
      <c r="BW1417" s="1" t="s">
        <v>210</v>
      </c>
      <c r="BY1417" s="1" t="s">
        <v>208</v>
      </c>
      <c r="BZ1417" s="1" t="s">
        <v>209</v>
      </c>
      <c r="CA1417" s="1" t="s">
        <v>207</v>
      </c>
      <c r="CC1417" s="1" t="s">
        <v>329</v>
      </c>
      <c r="CD1417" s="1" t="s">
        <v>206</v>
      </c>
      <c r="CE1417" s="1" t="s">
        <v>210</v>
      </c>
      <c r="CG1417" s="1" t="s">
        <v>433</v>
      </c>
      <c r="CH1417" s="1" t="s">
        <v>209</v>
      </c>
      <c r="CI1417" s="1" t="s">
        <v>207</v>
      </c>
      <c r="CK1417" s="1" t="s">
        <v>331</v>
      </c>
      <c r="CL1417" s="1" t="s">
        <v>209</v>
      </c>
      <c r="CM1417" s="1" t="s">
        <v>207</v>
      </c>
      <c r="CO1417" s="1" t="s">
        <v>215</v>
      </c>
      <c r="CP1417" s="1" t="s">
        <v>209</v>
      </c>
      <c r="CQ1417" s="1" t="s">
        <v>207</v>
      </c>
      <c r="CS1417" s="1" t="s">
        <v>5582</v>
      </c>
      <c r="CT1417" s="1" t="s">
        <v>206</v>
      </c>
      <c r="CU1417" s="1" t="s">
        <v>617</v>
      </c>
      <c r="CW1417" s="1" t="s">
        <v>955</v>
      </c>
      <c r="CX1417" s="1" t="s">
        <v>206</v>
      </c>
      <c r="CY1417" s="1" t="s">
        <v>207</v>
      </c>
      <c r="DA1417" s="1" t="s">
        <v>200</v>
      </c>
      <c r="DC1417" s="1" t="s">
        <v>517</v>
      </c>
      <c r="DD1417" s="1" t="s">
        <v>396</v>
      </c>
      <c r="DE1417" s="1" t="s">
        <v>273</v>
      </c>
      <c r="DF1417" s="1" t="s">
        <v>219</v>
      </c>
      <c r="DG1417" s="1" t="s">
        <v>14649</v>
      </c>
      <c r="DH1417" s="1" t="s">
        <v>220</v>
      </c>
      <c r="DI1417" s="1" t="s">
        <v>5345</v>
      </c>
      <c r="DJ1417" s="1" t="s">
        <v>222</v>
      </c>
      <c r="DK1417" s="1" t="s">
        <v>223</v>
      </c>
      <c r="DL1417" s="1" t="s">
        <v>3611</v>
      </c>
      <c r="DM1417" s="1" t="s">
        <v>929</v>
      </c>
      <c r="DO1417" s="1" t="s">
        <v>14650</v>
      </c>
      <c r="DP1417" s="1" t="s">
        <v>340</v>
      </c>
      <c r="DQ1417" s="1" t="s">
        <v>441</v>
      </c>
      <c r="DR1417" s="1" t="s">
        <v>14651</v>
      </c>
      <c r="DU1417" s="1" t="s">
        <v>11241</v>
      </c>
      <c r="DV1417" s="1" t="s">
        <v>232</v>
      </c>
      <c r="DW1417" s="1" t="s">
        <v>233</v>
      </c>
      <c r="DX1417" s="1" t="s">
        <v>234</v>
      </c>
      <c r="DY1417" s="1" t="s">
        <v>1051</v>
      </c>
      <c r="DZ1417" s="1" t="s">
        <v>14652</v>
      </c>
      <c r="EA1417" s="1" t="s">
        <v>447</v>
      </c>
      <c r="EB1417" s="1" t="s">
        <v>345</v>
      </c>
      <c r="EC1417" s="1" t="s">
        <v>237</v>
      </c>
      <c r="ED1417" s="1" t="s">
        <v>407</v>
      </c>
      <c r="EM1417" s="1" t="s">
        <v>238</v>
      </c>
      <c r="EQ1417" s="1" t="s">
        <v>238</v>
      </c>
      <c r="EU1417" s="1" t="s">
        <v>238</v>
      </c>
      <c r="EY1417" s="1" t="s">
        <v>238</v>
      </c>
      <c r="FC1417" s="1" t="s">
        <v>238</v>
      </c>
      <c r="FF1417" s="1" t="s">
        <v>239</v>
      </c>
      <c r="FG1417" s="1" t="s">
        <v>192</v>
      </c>
      <c r="FH1417" s="1" t="s">
        <v>192</v>
      </c>
      <c r="FJ1417" s="1" t="s">
        <v>14653</v>
      </c>
      <c r="FK1417" s="1" t="s">
        <v>229</v>
      </c>
      <c r="FL1417" s="1" t="s">
        <v>456</v>
      </c>
      <c r="FM1417" s="1">
        <v>1837.0</v>
      </c>
      <c r="FN1417" s="1" t="s">
        <v>3545</v>
      </c>
      <c r="FO1417" s="1" t="s">
        <v>14654</v>
      </c>
      <c r="FP1417" s="1">
        <v>238223.0</v>
      </c>
      <c r="FU1417" s="1" t="s">
        <v>14655</v>
      </c>
      <c r="FV1417" s="1" t="s">
        <v>200</v>
      </c>
      <c r="FW1417" s="1" t="s">
        <v>290</v>
      </c>
      <c r="FZ1417" s="1" t="s">
        <v>229</v>
      </c>
      <c r="GA1417" s="1" t="s">
        <v>291</v>
      </c>
      <c r="GB1417" s="2">
        <v>42003.0</v>
      </c>
    </row>
    <row r="1418">
      <c r="A1418" s="1">
        <v>185000.0</v>
      </c>
      <c r="B1418" s="1" t="s">
        <v>185</v>
      </c>
      <c r="C1418" s="1" t="str">
        <f>"08675267"</f>
        <v>08675267</v>
      </c>
      <c r="D1418" s="1" t="s">
        <v>186</v>
      </c>
      <c r="F1418" s="1" t="str">
        <f>"118"</f>
        <v>118</v>
      </c>
      <c r="G1418" s="2">
        <v>41837.0</v>
      </c>
      <c r="H1418" s="1">
        <v>200000.0</v>
      </c>
      <c r="I1418" s="1">
        <v>146.0</v>
      </c>
      <c r="J1418" s="1">
        <v>199900.0</v>
      </c>
      <c r="K1418" s="2">
        <v>41982.0</v>
      </c>
      <c r="L1418" s="1">
        <v>146.0</v>
      </c>
      <c r="M1418" s="2">
        <v>41982.0</v>
      </c>
      <c r="N1418" s="1" t="s">
        <v>356</v>
      </c>
      <c r="O1418" s="2">
        <v>42016.0</v>
      </c>
      <c r="P1418" s="1">
        <v>55398.0</v>
      </c>
      <c r="Q1418" s="1">
        <v>5300.0</v>
      </c>
      <c r="R1418" s="1">
        <v>5000.0</v>
      </c>
      <c r="S1418" s="1">
        <v>530.0</v>
      </c>
      <c r="T1418" s="1" t="s">
        <v>14656</v>
      </c>
      <c r="U1418" s="1" t="s">
        <v>420</v>
      </c>
      <c r="V1418" s="1" t="s">
        <v>1086</v>
      </c>
      <c r="W1418" s="1">
        <v>60118.0</v>
      </c>
      <c r="Y1418" s="1" t="s">
        <v>14657</v>
      </c>
      <c r="Z1418" s="1">
        <v>1965.0</v>
      </c>
      <c r="AA1418" s="1" t="s">
        <v>192</v>
      </c>
      <c r="AB1418" s="1" t="s">
        <v>193</v>
      </c>
      <c r="AD1418" s="1" t="s">
        <v>3394</v>
      </c>
      <c r="AE1418" s="1" t="s">
        <v>325</v>
      </c>
      <c r="AF1418" s="1" t="s">
        <v>810</v>
      </c>
      <c r="AH1418" s="1" t="s">
        <v>14658</v>
      </c>
      <c r="AI1418" s="1">
        <v>0.26</v>
      </c>
      <c r="AK1418" s="1">
        <v>11.0</v>
      </c>
      <c r="AL1418" s="1">
        <v>4.0</v>
      </c>
      <c r="AM1418" s="1">
        <v>2.0</v>
      </c>
      <c r="AN1418" s="1">
        <v>0.0</v>
      </c>
      <c r="AO1418" s="1" t="s">
        <v>1261</v>
      </c>
      <c r="AP1418" s="1">
        <v>1.0</v>
      </c>
      <c r="AQ1418" s="1" t="s">
        <v>951</v>
      </c>
      <c r="AR1418" s="1" t="s">
        <v>192</v>
      </c>
      <c r="AS1418" s="1" t="s">
        <v>199</v>
      </c>
      <c r="AT1418" s="1">
        <v>2.5</v>
      </c>
      <c r="AV1418" s="1" t="s">
        <v>200</v>
      </c>
      <c r="AW1418" s="1">
        <v>4971.56</v>
      </c>
      <c r="AX1418" s="1">
        <v>2013.0</v>
      </c>
      <c r="AY1418" s="1" t="s">
        <v>1179</v>
      </c>
      <c r="AZ1418" s="1" t="s">
        <v>200</v>
      </c>
      <c r="BA1418" s="1" t="str">
        <f>"0327255013"</f>
        <v>0327255013</v>
      </c>
      <c r="BB1418" s="1" t="s">
        <v>200</v>
      </c>
      <c r="BC1418" s="1">
        <v>2472.0</v>
      </c>
      <c r="BD1418" s="1">
        <v>185000.0</v>
      </c>
      <c r="BE1418" s="2">
        <v>41837.0</v>
      </c>
      <c r="BF1418" s="2" t="s">
        <v>14659</v>
      </c>
      <c r="BG1418" s="1" t="s">
        <v>3486</v>
      </c>
      <c r="BH1418" s="1">
        <v>0.0</v>
      </c>
      <c r="BI1418" s="1" t="s">
        <v>1093</v>
      </c>
      <c r="BJ1418" s="1" t="s">
        <v>1094</v>
      </c>
      <c r="BK1418" s="1" t="s">
        <v>204</v>
      </c>
      <c r="BL1418" s="1" t="str">
        <f t="shared" ref="BL1418:BM1418" si="932">""</f>
        <v/>
      </c>
      <c r="BM1418" s="1" t="str">
        <f t="shared" si="932"/>
        <v/>
      </c>
      <c r="BQ1418" s="1">
        <v>300.0</v>
      </c>
      <c r="BR1418" s="1">
        <v>300.0</v>
      </c>
      <c r="BS1418" s="1">
        <v>300.0</v>
      </c>
      <c r="BU1418" s="1" t="s">
        <v>205</v>
      </c>
      <c r="BV1418" s="1" t="s">
        <v>206</v>
      </c>
      <c r="BW1418" s="1" t="s">
        <v>210</v>
      </c>
      <c r="BX1418" s="1" t="s">
        <v>239</v>
      </c>
      <c r="BY1418" s="1" t="s">
        <v>331</v>
      </c>
      <c r="BZ1418" s="1" t="s">
        <v>206</v>
      </c>
      <c r="CA1418" s="1" t="s">
        <v>210</v>
      </c>
      <c r="CB1418" s="1" t="s">
        <v>239</v>
      </c>
      <c r="CC1418" s="1" t="s">
        <v>495</v>
      </c>
      <c r="CD1418" s="1" t="s">
        <v>206</v>
      </c>
      <c r="CE1418" s="1" t="s">
        <v>210</v>
      </c>
      <c r="CF1418" s="1" t="s">
        <v>229</v>
      </c>
      <c r="CG1418" s="1" t="s">
        <v>331</v>
      </c>
      <c r="CH1418" s="1" t="s">
        <v>206</v>
      </c>
      <c r="CI1418" s="1" t="s">
        <v>210</v>
      </c>
      <c r="CJ1418" s="1" t="s">
        <v>239</v>
      </c>
      <c r="CK1418" s="1" t="s">
        <v>212</v>
      </c>
      <c r="CL1418" s="1" t="s">
        <v>206</v>
      </c>
      <c r="CM1418" s="1" t="s">
        <v>210</v>
      </c>
      <c r="CN1418" s="1" t="s">
        <v>239</v>
      </c>
      <c r="CO1418" s="1" t="s">
        <v>798</v>
      </c>
      <c r="CP1418" s="1" t="s">
        <v>1697</v>
      </c>
      <c r="CQ1418" s="1" t="s">
        <v>210</v>
      </c>
      <c r="CR1418" s="1" t="s">
        <v>239</v>
      </c>
      <c r="CS1418" s="1" t="s">
        <v>3375</v>
      </c>
      <c r="CT1418" s="1" t="s">
        <v>206</v>
      </c>
      <c r="CU1418" s="1" t="s">
        <v>207</v>
      </c>
      <c r="CV1418" s="1" t="s">
        <v>239</v>
      </c>
      <c r="CW1418" s="1" t="s">
        <v>1426</v>
      </c>
      <c r="CX1418" s="1" t="s">
        <v>206</v>
      </c>
      <c r="CY1418" s="1" t="s">
        <v>207</v>
      </c>
      <c r="CZ1418" s="1" t="s">
        <v>239</v>
      </c>
      <c r="DA1418" s="1" t="s">
        <v>200</v>
      </c>
      <c r="DC1418" s="1" t="s">
        <v>517</v>
      </c>
      <c r="DD1418" s="1" t="s">
        <v>1838</v>
      </c>
      <c r="DE1418" s="1" t="s">
        <v>273</v>
      </c>
      <c r="DF1418" s="1" t="s">
        <v>1656</v>
      </c>
      <c r="DH1418" s="1" t="s">
        <v>220</v>
      </c>
      <c r="DI1418" s="1" t="s">
        <v>221</v>
      </c>
      <c r="DJ1418" s="1" t="s">
        <v>222</v>
      </c>
      <c r="DL1418" s="1" t="s">
        <v>224</v>
      </c>
      <c r="DM1418" s="1" t="s">
        <v>338</v>
      </c>
      <c r="DO1418" s="1" t="s">
        <v>440</v>
      </c>
      <c r="DP1418" s="1" t="s">
        <v>276</v>
      </c>
      <c r="DQ1418" s="1" t="s">
        <v>441</v>
      </c>
      <c r="DR1418" s="1" t="s">
        <v>229</v>
      </c>
      <c r="DS1418" s="1" t="s">
        <v>230</v>
      </c>
      <c r="DU1418" s="1" t="s">
        <v>14660</v>
      </c>
      <c r="DV1418" s="1" t="s">
        <v>14661</v>
      </c>
      <c r="DW1418" s="1" t="s">
        <v>5558</v>
      </c>
      <c r="DX1418" s="1" t="s">
        <v>234</v>
      </c>
      <c r="DY1418" s="1" t="s">
        <v>13226</v>
      </c>
      <c r="DZ1418" s="1" t="s">
        <v>14662</v>
      </c>
      <c r="EB1418" s="1" t="s">
        <v>345</v>
      </c>
      <c r="EC1418" s="1" t="s">
        <v>311</v>
      </c>
      <c r="ED1418" s="1" t="s">
        <v>407</v>
      </c>
      <c r="EG1418" s="1" t="s">
        <v>449</v>
      </c>
      <c r="EH1418" s="1" t="s">
        <v>450</v>
      </c>
      <c r="EI1418" s="1" t="s">
        <v>1228</v>
      </c>
      <c r="EL1418" s="1" t="s">
        <v>623</v>
      </c>
      <c r="EM1418" s="1" t="s">
        <v>206</v>
      </c>
      <c r="EN1418" s="1" t="s">
        <v>207</v>
      </c>
      <c r="EO1418" s="1" t="s">
        <v>239</v>
      </c>
      <c r="EP1418" s="1" t="s">
        <v>1244</v>
      </c>
      <c r="EQ1418" s="1" t="s">
        <v>1697</v>
      </c>
      <c r="ER1418" s="1" t="s">
        <v>210</v>
      </c>
      <c r="ES1418" s="1" t="s">
        <v>239</v>
      </c>
      <c r="ET1418" s="1" t="s">
        <v>1904</v>
      </c>
      <c r="EU1418" s="1" t="s">
        <v>1697</v>
      </c>
      <c r="EV1418" s="1" t="s">
        <v>210</v>
      </c>
      <c r="EW1418" s="1" t="s">
        <v>239</v>
      </c>
      <c r="EY1418" s="1" t="s">
        <v>238</v>
      </c>
      <c r="FC1418" s="1" t="s">
        <v>238</v>
      </c>
      <c r="FF1418" s="1" t="s">
        <v>239</v>
      </c>
      <c r="FG1418" s="1" t="s">
        <v>192</v>
      </c>
      <c r="FH1418" s="1" t="s">
        <v>192</v>
      </c>
      <c r="FJ1418" s="1" t="s">
        <v>498</v>
      </c>
      <c r="FK1418" s="1" t="s">
        <v>229</v>
      </c>
      <c r="FL1418" s="1" t="s">
        <v>2263</v>
      </c>
      <c r="FM1418" s="1">
        <v>355.0</v>
      </c>
      <c r="FN1418" s="1" t="s">
        <v>3489</v>
      </c>
      <c r="FO1418" s="1" t="s">
        <v>3490</v>
      </c>
      <c r="FP1418" s="1">
        <v>70118.0</v>
      </c>
      <c r="FQ1418" s="1" t="s">
        <v>3491</v>
      </c>
      <c r="FR1418" s="1">
        <v>77887.0</v>
      </c>
      <c r="FS1418" s="1" t="s">
        <v>3492</v>
      </c>
      <c r="FU1418" s="1" t="s">
        <v>3493</v>
      </c>
      <c r="FV1418" s="1" t="s">
        <v>200</v>
      </c>
      <c r="FW1418" s="1" t="s">
        <v>567</v>
      </c>
      <c r="FZ1418" s="1" t="s">
        <v>229</v>
      </c>
      <c r="GA1418" s="1" t="s">
        <v>291</v>
      </c>
      <c r="GB1418" s="2">
        <v>42016.0</v>
      </c>
      <c r="GC1418" s="1" t="s">
        <v>14663</v>
      </c>
    </row>
    <row r="1419">
      <c r="A1419" s="1">
        <v>247000.0</v>
      </c>
      <c r="B1419" s="1" t="s">
        <v>185</v>
      </c>
      <c r="C1419" s="1" t="str">
        <f>"08669749"</f>
        <v>08669749</v>
      </c>
      <c r="D1419" s="1" t="s">
        <v>186</v>
      </c>
      <c r="F1419" s="1" t="str">
        <f>"8017"</f>
        <v>8017</v>
      </c>
      <c r="G1419" s="2">
        <v>41831.0</v>
      </c>
      <c r="H1419" s="1">
        <v>259000.0</v>
      </c>
      <c r="I1419" s="1">
        <v>58.0</v>
      </c>
      <c r="J1419" s="1">
        <v>259000.0</v>
      </c>
      <c r="K1419" s="2">
        <v>41887.0</v>
      </c>
      <c r="L1419" s="1">
        <v>58.0</v>
      </c>
      <c r="M1419" s="2">
        <v>41887.0</v>
      </c>
      <c r="N1419" s="1" t="s">
        <v>356</v>
      </c>
      <c r="O1419" s="2">
        <v>41975.0</v>
      </c>
      <c r="P1419" s="1">
        <v>922957.0</v>
      </c>
      <c r="Q1419" s="1">
        <v>1986.0</v>
      </c>
      <c r="S1419" s="1">
        <v>6235.0</v>
      </c>
      <c r="T1419" s="1" t="s">
        <v>13558</v>
      </c>
      <c r="U1419" s="1" t="s">
        <v>189</v>
      </c>
      <c r="V1419" s="1" t="s">
        <v>190</v>
      </c>
      <c r="W1419" s="1">
        <v>60634.0</v>
      </c>
      <c r="Y1419" s="1" t="s">
        <v>14664</v>
      </c>
      <c r="Z1419" s="1">
        <v>1913.0</v>
      </c>
      <c r="AA1419" s="1" t="s">
        <v>192</v>
      </c>
      <c r="AB1419" s="1" t="s">
        <v>193</v>
      </c>
      <c r="AD1419" s="1" t="s">
        <v>194</v>
      </c>
      <c r="AE1419" s="1" t="s">
        <v>195</v>
      </c>
      <c r="AF1419" s="1" t="s">
        <v>196</v>
      </c>
      <c r="AH1419" s="1" t="s">
        <v>14665</v>
      </c>
      <c r="AK1419" s="1">
        <v>7.0</v>
      </c>
      <c r="AL1419" s="1">
        <v>4.0</v>
      </c>
      <c r="AM1419" s="1">
        <v>2.0</v>
      </c>
      <c r="AN1419" s="1">
        <v>0.0</v>
      </c>
      <c r="AO1419" s="1" t="s">
        <v>198</v>
      </c>
      <c r="AQ1419" s="1" t="s">
        <v>198</v>
      </c>
      <c r="AR1419" s="1" t="s">
        <v>192</v>
      </c>
      <c r="AS1419" s="1" t="s">
        <v>199</v>
      </c>
      <c r="AT1419" s="1">
        <v>2.0</v>
      </c>
      <c r="AV1419" s="1" t="s">
        <v>200</v>
      </c>
      <c r="AW1419" s="1">
        <v>4582.63</v>
      </c>
      <c r="AX1419" s="1">
        <v>2013.0</v>
      </c>
      <c r="AY1419" s="1" t="s">
        <v>387</v>
      </c>
      <c r="AZ1419" s="1" t="s">
        <v>200</v>
      </c>
      <c r="BA1419" s="1" t="str">
        <f>"13201260080000"</f>
        <v>13201260080000</v>
      </c>
      <c r="BB1419" s="1" t="s">
        <v>200</v>
      </c>
      <c r="BC1419" s="1">
        <v>1492.0</v>
      </c>
      <c r="BD1419" s="1">
        <v>247000.0</v>
      </c>
      <c r="BE1419" s="2">
        <v>41830.0</v>
      </c>
      <c r="BF1419" s="2" t="s">
        <v>14666</v>
      </c>
      <c r="BH1419" s="1">
        <v>0.0</v>
      </c>
      <c r="BK1419" s="1" t="s">
        <v>204</v>
      </c>
      <c r="BL1419" s="1" t="str">
        <f>"3630"</f>
        <v>3630</v>
      </c>
      <c r="BM1419" s="1" t="str">
        <f>"0"</f>
        <v>0</v>
      </c>
      <c r="BN1419" s="1">
        <v>6235.0</v>
      </c>
      <c r="BO1419" s="1">
        <v>0.0</v>
      </c>
      <c r="BQ1419" s="1">
        <v>299.0</v>
      </c>
      <c r="BR1419" s="1">
        <v>299.0</v>
      </c>
      <c r="BS1419" s="1">
        <v>299.0</v>
      </c>
      <c r="BU1419" s="1" t="s">
        <v>955</v>
      </c>
      <c r="BV1419" s="1" t="s">
        <v>206</v>
      </c>
      <c r="BW1419" s="1" t="s">
        <v>207</v>
      </c>
      <c r="BX1419" s="1" t="s">
        <v>261</v>
      </c>
      <c r="BY1419" s="1" t="s">
        <v>700</v>
      </c>
      <c r="BZ1419" s="1" t="s">
        <v>209</v>
      </c>
      <c r="CA1419" s="1" t="s">
        <v>210</v>
      </c>
      <c r="CB1419" s="1" t="s">
        <v>1549</v>
      </c>
      <c r="CD1419" s="1" t="s">
        <v>204</v>
      </c>
      <c r="CE1419" s="1" t="s">
        <v>207</v>
      </c>
      <c r="CF1419" s="1" t="s">
        <v>261</v>
      </c>
      <c r="CG1419" s="1" t="s">
        <v>269</v>
      </c>
      <c r="CH1419" s="1" t="s">
        <v>209</v>
      </c>
      <c r="CI1419" s="1" t="s">
        <v>210</v>
      </c>
      <c r="CJ1419" s="1" t="s">
        <v>1549</v>
      </c>
      <c r="CK1419" s="1" t="s">
        <v>269</v>
      </c>
      <c r="CL1419" s="1" t="s">
        <v>206</v>
      </c>
      <c r="CM1419" s="1" t="s">
        <v>207</v>
      </c>
      <c r="CN1419" s="1" t="s">
        <v>431</v>
      </c>
      <c r="CO1419" s="1" t="s">
        <v>269</v>
      </c>
      <c r="CP1419" s="1" t="s">
        <v>206</v>
      </c>
      <c r="CQ1419" s="1" t="s">
        <v>207</v>
      </c>
      <c r="CR1419" s="1" t="s">
        <v>1549</v>
      </c>
      <c r="CS1419" s="1" t="s">
        <v>955</v>
      </c>
      <c r="CT1419" s="1" t="s">
        <v>206</v>
      </c>
      <c r="CU1419" s="1" t="s">
        <v>207</v>
      </c>
      <c r="CV1419" s="1" t="s">
        <v>1118</v>
      </c>
      <c r="CW1419" s="1" t="s">
        <v>2130</v>
      </c>
      <c r="CX1419" s="1" t="s">
        <v>267</v>
      </c>
      <c r="CY1419" s="1" t="s">
        <v>588</v>
      </c>
      <c r="CZ1419" s="1" t="s">
        <v>431</v>
      </c>
      <c r="DA1419" s="1" t="s">
        <v>200</v>
      </c>
      <c r="DC1419" s="1" t="s">
        <v>642</v>
      </c>
      <c r="DE1419" s="1" t="s">
        <v>273</v>
      </c>
      <c r="DF1419" s="1" t="s">
        <v>219</v>
      </c>
      <c r="DH1419" s="1" t="s">
        <v>365</v>
      </c>
      <c r="DJ1419" s="1" t="s">
        <v>13210</v>
      </c>
      <c r="DL1419" s="1" t="s">
        <v>858</v>
      </c>
      <c r="DM1419" s="1" t="s">
        <v>225</v>
      </c>
      <c r="DQ1419" s="1" t="s">
        <v>228</v>
      </c>
      <c r="DR1419" s="1" t="s">
        <v>229</v>
      </c>
      <c r="DV1419" s="1" t="s">
        <v>232</v>
      </c>
      <c r="DW1419" s="1" t="s">
        <v>3576</v>
      </c>
      <c r="DX1419" s="1" t="s">
        <v>1287</v>
      </c>
      <c r="EA1419" s="1" t="s">
        <v>644</v>
      </c>
      <c r="EC1419" s="1" t="s">
        <v>645</v>
      </c>
      <c r="ED1419" s="1" t="s">
        <v>407</v>
      </c>
      <c r="EE1419" s="1" t="s">
        <v>187</v>
      </c>
      <c r="EM1419" s="1" t="s">
        <v>238</v>
      </c>
      <c r="EQ1419" s="1" t="s">
        <v>238</v>
      </c>
      <c r="EU1419" s="1" t="s">
        <v>238</v>
      </c>
      <c r="EY1419" s="1" t="s">
        <v>238</v>
      </c>
      <c r="FC1419" s="1" t="s">
        <v>238</v>
      </c>
      <c r="FF1419" s="1" t="s">
        <v>239</v>
      </c>
      <c r="FG1419" s="1" t="s">
        <v>192</v>
      </c>
      <c r="FH1419" s="1" t="s">
        <v>192</v>
      </c>
      <c r="FJ1419" s="1" t="s">
        <v>14667</v>
      </c>
      <c r="FK1419" s="1" t="s">
        <v>229</v>
      </c>
      <c r="FL1419" s="1" t="s">
        <v>14668</v>
      </c>
      <c r="FM1419" s="1">
        <v>10118.0</v>
      </c>
      <c r="FN1419" s="1" t="s">
        <v>14669</v>
      </c>
      <c r="FO1419" s="1" t="s">
        <v>14670</v>
      </c>
      <c r="FP1419" s="1">
        <v>116518.0</v>
      </c>
      <c r="FS1419" s="1" t="s">
        <v>14671</v>
      </c>
      <c r="FU1419" s="1" t="s">
        <v>14672</v>
      </c>
      <c r="FV1419" s="1" t="s">
        <v>200</v>
      </c>
      <c r="FW1419" s="1" t="s">
        <v>567</v>
      </c>
      <c r="FX1419" s="1" t="s">
        <v>246</v>
      </c>
      <c r="FZ1419" s="1" t="s">
        <v>229</v>
      </c>
      <c r="GA1419" s="1" t="s">
        <v>291</v>
      </c>
      <c r="GB1419" s="2">
        <v>41976.0</v>
      </c>
      <c r="GC1419" s="1" t="s">
        <v>14673</v>
      </c>
    </row>
    <row r="1420">
      <c r="A1420" s="1">
        <v>36400.0</v>
      </c>
      <c r="B1420" s="1" t="s">
        <v>185</v>
      </c>
      <c r="C1420" s="1" t="str">
        <f>"08669570"</f>
        <v>08669570</v>
      </c>
      <c r="D1420" s="1" t="s">
        <v>186</v>
      </c>
      <c r="F1420" s="1" t="str">
        <f>"8073"</f>
        <v>8073</v>
      </c>
      <c r="G1420" s="2">
        <v>41831.0</v>
      </c>
      <c r="H1420" s="1">
        <v>49900.0</v>
      </c>
      <c r="I1420" s="1">
        <v>143.0</v>
      </c>
      <c r="J1420" s="1">
        <v>41900.0</v>
      </c>
      <c r="K1420" s="2">
        <v>41971.0</v>
      </c>
      <c r="L1420" s="1">
        <v>143.0</v>
      </c>
      <c r="M1420" s="2">
        <v>41971.0</v>
      </c>
      <c r="N1420" s="1" t="s">
        <v>249</v>
      </c>
      <c r="O1420" s="2">
        <v>41988.0</v>
      </c>
      <c r="P1420" s="1">
        <v>26864.0</v>
      </c>
      <c r="Q1420" s="1">
        <v>25105.0</v>
      </c>
      <c r="S1420" s="1">
        <v>9644.0</v>
      </c>
      <c r="T1420" s="1" t="s">
        <v>14674</v>
      </c>
      <c r="U1420" s="1" t="s">
        <v>189</v>
      </c>
      <c r="V1420" s="1" t="s">
        <v>190</v>
      </c>
      <c r="W1420" s="1">
        <v>60628.0</v>
      </c>
      <c r="Y1420" s="1" t="s">
        <v>14675</v>
      </c>
      <c r="Z1420" s="1">
        <v>1946.0</v>
      </c>
      <c r="AA1420" s="1" t="s">
        <v>192</v>
      </c>
      <c r="AB1420" s="1" t="s">
        <v>193</v>
      </c>
      <c r="AD1420" s="1" t="s">
        <v>194</v>
      </c>
      <c r="AE1420" s="1" t="s">
        <v>195</v>
      </c>
      <c r="AF1420" s="1" t="s">
        <v>659</v>
      </c>
      <c r="AH1420" s="1" t="s">
        <v>14334</v>
      </c>
      <c r="AK1420" s="1">
        <v>6.0</v>
      </c>
      <c r="AL1420" s="1">
        <v>4.0</v>
      </c>
      <c r="AM1420" s="1">
        <v>1.0</v>
      </c>
      <c r="AN1420" s="1">
        <v>1.0</v>
      </c>
      <c r="AO1420" s="1" t="s">
        <v>229</v>
      </c>
      <c r="AQ1420" s="1" t="s">
        <v>198</v>
      </c>
      <c r="AR1420" s="1" t="s">
        <v>200</v>
      </c>
      <c r="AS1420" s="1" t="s">
        <v>199</v>
      </c>
      <c r="AT1420" s="1">
        <v>2.0</v>
      </c>
      <c r="AV1420" s="1" t="s">
        <v>200</v>
      </c>
      <c r="AW1420" s="1">
        <v>2015.0</v>
      </c>
      <c r="AX1420" s="1">
        <v>2012.0</v>
      </c>
      <c r="AZ1420" s="1" t="s">
        <v>200</v>
      </c>
      <c r="BA1420" s="1" t="str">
        <f>"25091080840000"</f>
        <v>25091080840000</v>
      </c>
      <c r="BC1420" s="1">
        <v>1057.0</v>
      </c>
      <c r="BD1420" s="1">
        <v>36400.0</v>
      </c>
      <c r="BE1420" s="2">
        <v>41829.0</v>
      </c>
      <c r="BF1420" s="2" t="s">
        <v>14676</v>
      </c>
      <c r="BH1420" s="1">
        <v>0.0</v>
      </c>
      <c r="BK1420" s="1" t="s">
        <v>204</v>
      </c>
      <c r="BL1420" s="1" t="str">
        <f t="shared" ref="BL1420:BM1420" si="933">"0"</f>
        <v>0</v>
      </c>
      <c r="BM1420" s="1" t="str">
        <f t="shared" si="933"/>
        <v>0</v>
      </c>
      <c r="BN1420" s="1">
        <v>732.0</v>
      </c>
      <c r="BO1420" s="1">
        <v>9644.0</v>
      </c>
      <c r="BQ1420" s="1">
        <v>299.0</v>
      </c>
      <c r="BR1420" s="1">
        <v>299.0</v>
      </c>
      <c r="BS1420" s="1">
        <v>299.0</v>
      </c>
      <c r="BU1420" s="1" t="s">
        <v>270</v>
      </c>
      <c r="BV1420" s="1" t="s">
        <v>206</v>
      </c>
      <c r="BY1420" s="1" t="s">
        <v>699</v>
      </c>
      <c r="BZ1420" s="1" t="s">
        <v>206</v>
      </c>
      <c r="CD1420" s="1" t="s">
        <v>204</v>
      </c>
      <c r="CG1420" s="1" t="s">
        <v>269</v>
      </c>
      <c r="CH1420" s="1" t="s">
        <v>206</v>
      </c>
      <c r="CK1420" s="1" t="s">
        <v>302</v>
      </c>
      <c r="CL1420" s="1" t="s">
        <v>209</v>
      </c>
      <c r="CO1420" s="1" t="s">
        <v>302</v>
      </c>
      <c r="CP1420" s="1" t="s">
        <v>209</v>
      </c>
      <c r="CS1420" s="1" t="s">
        <v>269</v>
      </c>
      <c r="CT1420" s="1" t="s">
        <v>206</v>
      </c>
      <c r="CX1420" s="1" t="s">
        <v>204</v>
      </c>
      <c r="DA1420" s="1" t="s">
        <v>200</v>
      </c>
      <c r="DC1420" s="1" t="s">
        <v>702</v>
      </c>
      <c r="DE1420" s="1" t="s">
        <v>1300</v>
      </c>
      <c r="DF1420" s="1" t="s">
        <v>219</v>
      </c>
      <c r="DH1420" s="1" t="s">
        <v>220</v>
      </c>
      <c r="DJ1420" s="1" t="s">
        <v>222</v>
      </c>
      <c r="DL1420" s="1" t="s">
        <v>223</v>
      </c>
      <c r="DM1420" s="1" t="s">
        <v>229</v>
      </c>
      <c r="DQ1420" s="1" t="s">
        <v>228</v>
      </c>
      <c r="DR1420" s="1" t="s">
        <v>229</v>
      </c>
      <c r="DV1420" s="1" t="s">
        <v>232</v>
      </c>
      <c r="DW1420" s="1" t="s">
        <v>489</v>
      </c>
      <c r="DX1420" s="1" t="s">
        <v>234</v>
      </c>
      <c r="EA1420" s="1" t="s">
        <v>1075</v>
      </c>
      <c r="EC1420" s="1" t="s">
        <v>645</v>
      </c>
      <c r="EM1420" s="1" t="s">
        <v>238</v>
      </c>
      <c r="EQ1420" s="1" t="s">
        <v>238</v>
      </c>
      <c r="EU1420" s="1" t="s">
        <v>238</v>
      </c>
      <c r="EY1420" s="1" t="s">
        <v>238</v>
      </c>
      <c r="FC1420" s="1" t="s">
        <v>238</v>
      </c>
      <c r="FF1420" s="1" t="s">
        <v>239</v>
      </c>
      <c r="FG1420" s="1" t="s">
        <v>192</v>
      </c>
      <c r="FH1420" s="1" t="s">
        <v>192</v>
      </c>
      <c r="FJ1420" s="1" t="s">
        <v>14677</v>
      </c>
      <c r="FK1420" s="1" t="s">
        <v>229</v>
      </c>
      <c r="FL1420" s="1" t="s">
        <v>9335</v>
      </c>
      <c r="FM1420" s="1">
        <v>25105.0</v>
      </c>
      <c r="FN1420" s="1" t="s">
        <v>9336</v>
      </c>
      <c r="FO1420" s="1" t="s">
        <v>9337</v>
      </c>
      <c r="FP1420" s="1">
        <v>26864.0</v>
      </c>
      <c r="FQ1420" s="1" t="s">
        <v>9338</v>
      </c>
      <c r="FU1420" s="1" t="s">
        <v>14678</v>
      </c>
      <c r="FV1420" s="1" t="s">
        <v>200</v>
      </c>
      <c r="FW1420" s="1" t="s">
        <v>9340</v>
      </c>
      <c r="FX1420" s="1" t="s">
        <v>655</v>
      </c>
      <c r="FZ1420" s="1" t="s">
        <v>229</v>
      </c>
      <c r="GA1420" s="1" t="s">
        <v>291</v>
      </c>
      <c r="GB1420" s="2">
        <v>41988.0</v>
      </c>
      <c r="GC1420" s="1" t="s">
        <v>14679</v>
      </c>
    </row>
    <row r="1421">
      <c r="A1421" s="1">
        <v>129900.0</v>
      </c>
      <c r="B1421" s="1" t="s">
        <v>185</v>
      </c>
      <c r="C1421" s="1" t="str">
        <f>"08675286"</f>
        <v>08675286</v>
      </c>
      <c r="D1421" s="1" t="s">
        <v>186</v>
      </c>
      <c r="F1421" s="1" t="str">
        <f>"8020"</f>
        <v>8020</v>
      </c>
      <c r="G1421" s="2">
        <v>41837.0</v>
      </c>
      <c r="H1421" s="1">
        <v>189900.0</v>
      </c>
      <c r="I1421" s="1">
        <v>72.0</v>
      </c>
      <c r="J1421" s="1">
        <v>129900.0</v>
      </c>
      <c r="K1421" s="2">
        <v>41908.0</v>
      </c>
      <c r="L1421" s="1">
        <v>72.0</v>
      </c>
      <c r="M1421" s="2">
        <v>41908.0</v>
      </c>
      <c r="N1421" s="1" t="s">
        <v>187</v>
      </c>
      <c r="O1421" s="2">
        <v>42093.0</v>
      </c>
      <c r="P1421" s="1">
        <v>184000.0</v>
      </c>
      <c r="Q1421" s="1">
        <v>12555.0</v>
      </c>
      <c r="S1421" s="1">
        <v>1819.0</v>
      </c>
      <c r="T1421" s="1" t="s">
        <v>10427</v>
      </c>
      <c r="U1421" s="1" t="s">
        <v>189</v>
      </c>
      <c r="V1421" s="1" t="s">
        <v>190</v>
      </c>
      <c r="W1421" s="1">
        <v>60639.0</v>
      </c>
      <c r="Y1421" s="1" t="s">
        <v>14680</v>
      </c>
      <c r="Z1421" s="1">
        <v>1896.0</v>
      </c>
      <c r="AA1421" s="1" t="s">
        <v>192</v>
      </c>
      <c r="AB1421" s="1" t="s">
        <v>193</v>
      </c>
      <c r="AD1421" s="1" t="s">
        <v>194</v>
      </c>
      <c r="AE1421" s="1" t="s">
        <v>195</v>
      </c>
      <c r="AF1421" s="1" t="s">
        <v>196</v>
      </c>
      <c r="AH1421" s="1" t="s">
        <v>741</v>
      </c>
      <c r="AK1421" s="1">
        <v>7.0</v>
      </c>
      <c r="AL1421" s="1">
        <v>4.0</v>
      </c>
      <c r="AM1421" s="1">
        <v>2.0</v>
      </c>
      <c r="AN1421" s="1">
        <v>0.0</v>
      </c>
      <c r="AO1421" s="1" t="s">
        <v>229</v>
      </c>
      <c r="AQ1421" s="1" t="s">
        <v>198</v>
      </c>
      <c r="AR1421" s="1" t="s">
        <v>192</v>
      </c>
      <c r="AS1421" s="1" t="s">
        <v>199</v>
      </c>
      <c r="AT1421" s="1">
        <v>2.0</v>
      </c>
      <c r="AV1421" s="1" t="s">
        <v>200</v>
      </c>
      <c r="AW1421" s="1">
        <v>1850.0</v>
      </c>
      <c r="AX1421" s="1">
        <v>2012.0</v>
      </c>
      <c r="AY1421" s="1" t="s">
        <v>387</v>
      </c>
      <c r="AZ1421" s="1" t="s">
        <v>200</v>
      </c>
      <c r="BA1421" s="1" t="str">
        <f>"13344130050000"</f>
        <v>13344130050000</v>
      </c>
      <c r="BC1421" s="1">
        <v>1300.0</v>
      </c>
      <c r="BD1421" s="1">
        <v>129900.0</v>
      </c>
      <c r="BE1421" s="2">
        <v>41837.0</v>
      </c>
      <c r="BF1421" s="1" t="s">
        <v>14681</v>
      </c>
      <c r="BH1421" s="1">
        <v>0.0</v>
      </c>
      <c r="BK1421" s="1" t="s">
        <v>204</v>
      </c>
      <c r="BL1421" s="1" t="str">
        <f>"1819"</f>
        <v>1819</v>
      </c>
      <c r="BM1421" s="1" t="str">
        <f>"0"</f>
        <v>0</v>
      </c>
      <c r="BN1421" s="1">
        <v>4200.0</v>
      </c>
      <c r="BO1421" s="1">
        <v>0.0</v>
      </c>
      <c r="BQ1421" s="1">
        <v>299.0</v>
      </c>
      <c r="BR1421" s="1">
        <v>299.0</v>
      </c>
      <c r="BS1421" s="1">
        <v>299.0</v>
      </c>
      <c r="BU1421" s="1" t="s">
        <v>2713</v>
      </c>
      <c r="BV1421" s="1" t="s">
        <v>206</v>
      </c>
      <c r="BW1421" s="1" t="s">
        <v>210</v>
      </c>
      <c r="BY1421" s="1" t="s">
        <v>478</v>
      </c>
      <c r="BZ1421" s="1" t="s">
        <v>209</v>
      </c>
      <c r="CA1421" s="1" t="s">
        <v>210</v>
      </c>
      <c r="CC1421" s="1" t="s">
        <v>478</v>
      </c>
      <c r="CD1421" s="1" t="s">
        <v>206</v>
      </c>
      <c r="CE1421" s="1" t="s">
        <v>210</v>
      </c>
      <c r="CG1421" s="1" t="s">
        <v>1852</v>
      </c>
      <c r="CH1421" s="1" t="s">
        <v>206</v>
      </c>
      <c r="CI1421" s="1" t="s">
        <v>210</v>
      </c>
      <c r="CK1421" s="1" t="s">
        <v>3594</v>
      </c>
      <c r="CL1421" s="1" t="s">
        <v>206</v>
      </c>
      <c r="CM1421" s="1" t="s">
        <v>617</v>
      </c>
      <c r="CO1421" s="1" t="s">
        <v>663</v>
      </c>
      <c r="CP1421" s="1" t="s">
        <v>209</v>
      </c>
      <c r="CQ1421" s="1" t="s">
        <v>210</v>
      </c>
      <c r="CS1421" s="1" t="s">
        <v>1417</v>
      </c>
      <c r="CT1421" s="1" t="s">
        <v>206</v>
      </c>
      <c r="CU1421" s="1" t="s">
        <v>617</v>
      </c>
      <c r="CX1421" s="1" t="s">
        <v>204</v>
      </c>
      <c r="DA1421" s="1" t="s">
        <v>200</v>
      </c>
      <c r="DC1421" s="1" t="s">
        <v>642</v>
      </c>
      <c r="DD1421" s="1" t="s">
        <v>518</v>
      </c>
      <c r="DE1421" s="1" t="s">
        <v>229</v>
      </c>
      <c r="DF1421" s="1" t="s">
        <v>219</v>
      </c>
      <c r="DH1421" s="1" t="s">
        <v>220</v>
      </c>
      <c r="DJ1421" s="1" t="s">
        <v>222</v>
      </c>
      <c r="DK1421" s="1" t="s">
        <v>224</v>
      </c>
      <c r="DL1421" s="1" t="s">
        <v>224</v>
      </c>
      <c r="DM1421" s="1" t="s">
        <v>229</v>
      </c>
      <c r="DP1421" s="1" t="s">
        <v>340</v>
      </c>
      <c r="DQ1421" s="1" t="s">
        <v>718</v>
      </c>
      <c r="DR1421" s="1" t="s">
        <v>229</v>
      </c>
      <c r="DS1421" s="1" t="s">
        <v>230</v>
      </c>
      <c r="DV1421" s="1" t="s">
        <v>10911</v>
      </c>
      <c r="DW1421" s="1" t="s">
        <v>8064</v>
      </c>
      <c r="DX1421" s="1" t="s">
        <v>234</v>
      </c>
      <c r="DZ1421" s="1" t="s">
        <v>343</v>
      </c>
      <c r="EA1421" s="1" t="s">
        <v>644</v>
      </c>
      <c r="EC1421" s="1" t="s">
        <v>645</v>
      </c>
      <c r="EH1421" s="1" t="s">
        <v>374</v>
      </c>
      <c r="EI1421" s="1" t="s">
        <v>588</v>
      </c>
      <c r="EM1421" s="1" t="s">
        <v>238</v>
      </c>
      <c r="EP1421" s="1" t="s">
        <v>1418</v>
      </c>
      <c r="EQ1421" s="1" t="s">
        <v>206</v>
      </c>
      <c r="ER1421" s="1" t="s">
        <v>617</v>
      </c>
      <c r="ET1421" s="1" t="s">
        <v>11230</v>
      </c>
      <c r="EU1421" s="1" t="s">
        <v>42</v>
      </c>
      <c r="EY1421" s="1" t="s">
        <v>238</v>
      </c>
      <c r="FC1421" s="1" t="s">
        <v>238</v>
      </c>
      <c r="FF1421" s="1" t="s">
        <v>239</v>
      </c>
      <c r="FG1421" s="1" t="s">
        <v>192</v>
      </c>
      <c r="FH1421" s="1" t="s">
        <v>192</v>
      </c>
      <c r="FJ1421" s="1" t="s">
        <v>524</v>
      </c>
      <c r="FK1421" s="1" t="s">
        <v>1586</v>
      </c>
      <c r="FL1421" s="1" t="s">
        <v>3500</v>
      </c>
      <c r="FM1421" s="1">
        <v>12279.0</v>
      </c>
      <c r="FN1421" s="1" t="s">
        <v>3501</v>
      </c>
      <c r="FO1421" s="1" t="s">
        <v>14682</v>
      </c>
      <c r="FP1421" s="1">
        <v>157323.0</v>
      </c>
      <c r="FQ1421" s="1" t="s">
        <v>14683</v>
      </c>
      <c r="FU1421" s="1" t="s">
        <v>14684</v>
      </c>
      <c r="FV1421" s="1" t="s">
        <v>200</v>
      </c>
      <c r="FW1421" s="1" t="s">
        <v>290</v>
      </c>
      <c r="FX1421" s="1" t="s">
        <v>238</v>
      </c>
      <c r="FZ1421" s="1" t="s">
        <v>229</v>
      </c>
      <c r="GA1421" s="1" t="s">
        <v>291</v>
      </c>
      <c r="GB1421" s="2">
        <v>42093.0</v>
      </c>
      <c r="GC1421" s="1" t="s">
        <v>14685</v>
      </c>
    </row>
    <row r="1422">
      <c r="A1422" s="1">
        <v>200000.0</v>
      </c>
      <c r="B1422" s="1" t="s">
        <v>185</v>
      </c>
      <c r="C1422" s="1" t="str">
        <f>"08675360"</f>
        <v>08675360</v>
      </c>
      <c r="D1422" s="1" t="s">
        <v>186</v>
      </c>
      <c r="F1422" s="1" t="str">
        <f>"8064"</f>
        <v>8064</v>
      </c>
      <c r="G1422" s="2">
        <v>41837.0</v>
      </c>
      <c r="H1422" s="1">
        <v>234900.0</v>
      </c>
      <c r="I1422" s="1">
        <v>105.0</v>
      </c>
      <c r="J1422" s="1">
        <v>214900.0</v>
      </c>
      <c r="K1422" s="2">
        <v>41941.0</v>
      </c>
      <c r="L1422" s="1">
        <v>105.0</v>
      </c>
      <c r="M1422" s="2">
        <v>41941.0</v>
      </c>
      <c r="N1422" s="1" t="s">
        <v>356</v>
      </c>
      <c r="O1422" s="2">
        <v>41983.0</v>
      </c>
      <c r="P1422" s="1">
        <v>229813.0</v>
      </c>
      <c r="Q1422" s="1">
        <v>60476.0</v>
      </c>
      <c r="R1422" s="1">
        <v>4000.0</v>
      </c>
      <c r="S1422" s="1">
        <v>6014.0</v>
      </c>
      <c r="T1422" s="1" t="s">
        <v>7632</v>
      </c>
      <c r="U1422" s="1" t="s">
        <v>694</v>
      </c>
      <c r="V1422" s="1" t="s">
        <v>190</v>
      </c>
      <c r="W1422" s="1">
        <v>60638.0</v>
      </c>
      <c r="Y1422" s="1" t="s">
        <v>14686</v>
      </c>
      <c r="Z1422" s="1">
        <v>1957.0</v>
      </c>
      <c r="AA1422" s="1" t="s">
        <v>192</v>
      </c>
      <c r="AB1422" s="1" t="s">
        <v>193</v>
      </c>
      <c r="AD1422" s="1" t="s">
        <v>194</v>
      </c>
      <c r="AE1422" s="1" t="s">
        <v>195</v>
      </c>
      <c r="AF1422" s="1" t="s">
        <v>659</v>
      </c>
      <c r="AH1422" s="1">
        <v>4965.0</v>
      </c>
      <c r="AK1422" s="1">
        <v>7.0</v>
      </c>
      <c r="AL1422" s="1">
        <v>3.0</v>
      </c>
      <c r="AM1422" s="1">
        <v>2.0</v>
      </c>
      <c r="AN1422" s="1">
        <v>1.0</v>
      </c>
      <c r="AO1422" s="1" t="s">
        <v>229</v>
      </c>
      <c r="AQ1422" s="1" t="s">
        <v>198</v>
      </c>
      <c r="AR1422" s="1" t="s">
        <v>192</v>
      </c>
      <c r="AS1422" s="1" t="s">
        <v>199</v>
      </c>
      <c r="AT1422" s="1">
        <v>2.0</v>
      </c>
      <c r="AV1422" s="1" t="s">
        <v>200</v>
      </c>
      <c r="AW1422" s="1">
        <v>2542.0</v>
      </c>
      <c r="AX1422" s="1">
        <v>2012.0</v>
      </c>
      <c r="AY1422" s="1" t="s">
        <v>1179</v>
      </c>
      <c r="AZ1422" s="1" t="s">
        <v>200</v>
      </c>
      <c r="BA1422" s="1" t="str">
        <f>"19201110170000"</f>
        <v>19201110170000</v>
      </c>
      <c r="BC1422" s="1">
        <v>1166.0</v>
      </c>
      <c r="BD1422" s="1">
        <v>200000.0</v>
      </c>
      <c r="BE1422" s="2">
        <v>41837.0</v>
      </c>
      <c r="BF1422" s="2" t="s">
        <v>14687</v>
      </c>
      <c r="BH1422" s="1">
        <v>0.0</v>
      </c>
      <c r="BK1422" s="1" t="s">
        <v>204</v>
      </c>
      <c r="BL1422" s="1" t="str">
        <f t="shared" ref="BL1422:BM1422" si="934">"0"</f>
        <v>0</v>
      </c>
      <c r="BM1422" s="1" t="str">
        <f t="shared" si="934"/>
        <v>0</v>
      </c>
      <c r="BN1422" s="1">
        <v>6014.0</v>
      </c>
      <c r="BO1422" s="1">
        <v>6450.0</v>
      </c>
      <c r="BQ1422" s="1">
        <v>299.0</v>
      </c>
      <c r="BR1422" s="1">
        <v>299.0</v>
      </c>
      <c r="BS1422" s="1">
        <v>299.0</v>
      </c>
      <c r="BU1422" s="1" t="s">
        <v>1000</v>
      </c>
      <c r="BV1422" s="1" t="s">
        <v>206</v>
      </c>
      <c r="BW1422" s="1" t="s">
        <v>210</v>
      </c>
      <c r="BY1422" s="1" t="s">
        <v>332</v>
      </c>
      <c r="BZ1422" s="1" t="s">
        <v>206</v>
      </c>
      <c r="CA1422" s="1" t="s">
        <v>207</v>
      </c>
      <c r="CD1422" s="1" t="s">
        <v>204</v>
      </c>
      <c r="CG1422" s="1" t="s">
        <v>699</v>
      </c>
      <c r="CH1422" s="1" t="s">
        <v>206</v>
      </c>
      <c r="CI1422" s="1" t="s">
        <v>207</v>
      </c>
      <c r="CK1422" s="1" t="s">
        <v>495</v>
      </c>
      <c r="CL1422" s="1" t="s">
        <v>206</v>
      </c>
      <c r="CM1422" s="1" t="s">
        <v>207</v>
      </c>
      <c r="CO1422" s="1" t="s">
        <v>516</v>
      </c>
      <c r="CP1422" s="1" t="s">
        <v>42</v>
      </c>
      <c r="CQ1422" s="1" t="s">
        <v>268</v>
      </c>
      <c r="CS1422" s="1" t="s">
        <v>3054</v>
      </c>
      <c r="CT1422" s="1" t="s">
        <v>206</v>
      </c>
      <c r="CW1422" s="1" t="s">
        <v>2182</v>
      </c>
      <c r="CX1422" s="1" t="s">
        <v>42</v>
      </c>
      <c r="CY1422" s="1" t="s">
        <v>268</v>
      </c>
      <c r="DA1422" s="1" t="s">
        <v>200</v>
      </c>
      <c r="DC1422" s="1" t="s">
        <v>271</v>
      </c>
      <c r="DE1422" s="1" t="s">
        <v>273</v>
      </c>
      <c r="DF1422" s="1" t="s">
        <v>619</v>
      </c>
      <c r="DH1422" s="1" t="s">
        <v>365</v>
      </c>
      <c r="DJ1422" s="1" t="s">
        <v>222</v>
      </c>
      <c r="DK1422" s="1" t="s">
        <v>3740</v>
      </c>
      <c r="DL1422" s="1" t="s">
        <v>224</v>
      </c>
      <c r="DM1422" s="1" t="s">
        <v>229</v>
      </c>
      <c r="DQ1422" s="1" t="s">
        <v>228</v>
      </c>
      <c r="DR1422" s="1" t="s">
        <v>229</v>
      </c>
      <c r="DV1422" s="1" t="s">
        <v>232</v>
      </c>
      <c r="DW1422" s="1" t="s">
        <v>279</v>
      </c>
      <c r="DX1422" s="1" t="s">
        <v>234</v>
      </c>
      <c r="EC1422" s="1" t="s">
        <v>685</v>
      </c>
      <c r="EM1422" s="1" t="s">
        <v>238</v>
      </c>
      <c r="EQ1422" s="1" t="s">
        <v>238</v>
      </c>
      <c r="EU1422" s="1" t="s">
        <v>238</v>
      </c>
      <c r="EY1422" s="1" t="s">
        <v>238</v>
      </c>
      <c r="FC1422" s="1" t="s">
        <v>238</v>
      </c>
      <c r="FF1422" s="1" t="s">
        <v>239</v>
      </c>
      <c r="FG1422" s="1" t="s">
        <v>192</v>
      </c>
      <c r="FH1422" s="1" t="s">
        <v>192</v>
      </c>
      <c r="FJ1422" s="1" t="s">
        <v>7945</v>
      </c>
      <c r="FK1422" s="1" t="s">
        <v>229</v>
      </c>
      <c r="FL1422" s="1" t="s">
        <v>1470</v>
      </c>
      <c r="FM1422" s="1">
        <v>60476.0</v>
      </c>
      <c r="FN1422" s="1" t="s">
        <v>1471</v>
      </c>
      <c r="FO1422" s="1" t="s">
        <v>14688</v>
      </c>
      <c r="FP1422" s="1">
        <v>229813.0</v>
      </c>
      <c r="FQ1422" s="1" t="s">
        <v>14689</v>
      </c>
      <c r="FU1422" s="1" t="s">
        <v>1751</v>
      </c>
      <c r="FV1422" s="1" t="s">
        <v>200</v>
      </c>
      <c r="FW1422" s="1" t="s">
        <v>567</v>
      </c>
      <c r="FX1422" s="1" t="s">
        <v>246</v>
      </c>
      <c r="FZ1422" s="1" t="s">
        <v>229</v>
      </c>
      <c r="GA1422" s="1" t="s">
        <v>291</v>
      </c>
      <c r="GB1422" s="2">
        <v>41984.0</v>
      </c>
    </row>
    <row r="1423">
      <c r="A1423" s="1">
        <v>198000.0</v>
      </c>
      <c r="B1423" s="1" t="s">
        <v>185</v>
      </c>
      <c r="C1423" s="1" t="str">
        <f>"08704998"</f>
        <v>08704998</v>
      </c>
      <c r="D1423" s="1" t="s">
        <v>186</v>
      </c>
      <c r="F1423" s="1" t="str">
        <f>"560"</f>
        <v>560</v>
      </c>
      <c r="G1423" s="2">
        <v>41869.0</v>
      </c>
      <c r="H1423" s="1">
        <v>249900.0</v>
      </c>
      <c r="I1423" s="1">
        <v>100.0</v>
      </c>
      <c r="J1423" s="1">
        <v>199900.0</v>
      </c>
      <c r="K1423" s="2">
        <v>41968.0</v>
      </c>
      <c r="L1423" s="1">
        <v>100.0</v>
      </c>
      <c r="M1423" s="2">
        <v>41968.0</v>
      </c>
      <c r="N1423" s="1" t="s">
        <v>356</v>
      </c>
      <c r="O1423" s="2">
        <v>42003.0</v>
      </c>
      <c r="P1423" s="1">
        <v>8087.0</v>
      </c>
      <c r="Q1423" s="1">
        <v>349.0</v>
      </c>
      <c r="S1423" s="1">
        <v>367.0</v>
      </c>
      <c r="T1423" s="1" t="s">
        <v>1311</v>
      </c>
      <c r="U1423" s="1" t="s">
        <v>464</v>
      </c>
      <c r="V1423" s="1" t="s">
        <v>845</v>
      </c>
      <c r="W1423" s="1">
        <v>60560.0</v>
      </c>
      <c r="X1423" s="1">
        <v>8913.0</v>
      </c>
      <c r="Y1423" s="1" t="s">
        <v>14690</v>
      </c>
      <c r="Z1423" s="1">
        <v>2005.0</v>
      </c>
      <c r="AA1423" s="1" t="s">
        <v>200</v>
      </c>
      <c r="AB1423" s="1" t="s">
        <v>467</v>
      </c>
      <c r="AC1423" s="1" t="s">
        <v>1311</v>
      </c>
      <c r="AD1423" s="1" t="s">
        <v>848</v>
      </c>
      <c r="AE1423" s="1" t="s">
        <v>849</v>
      </c>
      <c r="AF1423" s="1" t="s">
        <v>1312</v>
      </c>
      <c r="AG1423" s="1" t="s">
        <v>10165</v>
      </c>
      <c r="AH1423" s="1" t="s">
        <v>14691</v>
      </c>
      <c r="AK1423" s="1">
        <v>10.0</v>
      </c>
      <c r="AL1423" s="1">
        <v>4.0</v>
      </c>
      <c r="AM1423" s="1">
        <v>3.0</v>
      </c>
      <c r="AN1423" s="1">
        <v>1.0</v>
      </c>
      <c r="AO1423" s="1" t="s">
        <v>198</v>
      </c>
      <c r="AP1423" s="1">
        <v>1.0</v>
      </c>
      <c r="AQ1423" s="1" t="s">
        <v>198</v>
      </c>
      <c r="AR1423" s="1" t="s">
        <v>200</v>
      </c>
      <c r="AS1423" s="1" t="s">
        <v>199</v>
      </c>
      <c r="AT1423" s="1">
        <v>3.0</v>
      </c>
      <c r="AV1423" s="1" t="s">
        <v>200</v>
      </c>
      <c r="AW1423" s="1">
        <v>10997.4</v>
      </c>
      <c r="AX1423" s="1">
        <v>2013.0</v>
      </c>
      <c r="AY1423" s="1" t="s">
        <v>387</v>
      </c>
      <c r="AZ1423" s="1" t="s">
        <v>200</v>
      </c>
      <c r="BA1423" s="1" t="str">
        <f>"0509182005"</f>
        <v>0509182005</v>
      </c>
      <c r="BB1423" s="1" t="s">
        <v>200</v>
      </c>
      <c r="BC1423" s="1">
        <v>2807.0</v>
      </c>
      <c r="BD1423" s="1">
        <v>198000.0</v>
      </c>
      <c r="BE1423" s="2">
        <v>41869.0</v>
      </c>
      <c r="BF1423" s="1" t="s">
        <v>14692</v>
      </c>
      <c r="BG1423" s="1" t="s">
        <v>5552</v>
      </c>
      <c r="BH1423" s="1">
        <v>375.0</v>
      </c>
      <c r="BI1423" s="1" t="s">
        <v>10618</v>
      </c>
      <c r="BJ1423" s="1" t="s">
        <v>3053</v>
      </c>
      <c r="BK1423" s="1" t="s">
        <v>580</v>
      </c>
      <c r="BL1423" s="1" t="str">
        <f t="shared" ref="BL1423:BM1423" si="935">"0"</f>
        <v>0</v>
      </c>
      <c r="BM1423" s="1" t="str">
        <f t="shared" si="935"/>
        <v>0</v>
      </c>
      <c r="BN1423" s="1">
        <v>42.0</v>
      </c>
      <c r="BO1423" s="1">
        <v>17.0</v>
      </c>
      <c r="BQ1423" s="1">
        <v>115.0</v>
      </c>
      <c r="BR1423" s="1">
        <v>115.0</v>
      </c>
      <c r="BS1423" s="1">
        <v>115.0</v>
      </c>
      <c r="BU1423" s="1" t="s">
        <v>1064</v>
      </c>
      <c r="BV1423" s="1" t="s">
        <v>206</v>
      </c>
      <c r="BW1423" s="1" t="s">
        <v>210</v>
      </c>
      <c r="BX1423" s="1" t="s">
        <v>229</v>
      </c>
      <c r="BY1423" s="1" t="s">
        <v>616</v>
      </c>
      <c r="BZ1423" s="1" t="s">
        <v>209</v>
      </c>
      <c r="CA1423" s="1" t="s">
        <v>210</v>
      </c>
      <c r="CB1423" s="1" t="s">
        <v>229</v>
      </c>
      <c r="CC1423" s="1" t="s">
        <v>1064</v>
      </c>
      <c r="CD1423" s="1" t="s">
        <v>206</v>
      </c>
      <c r="CE1423" s="1" t="s">
        <v>210</v>
      </c>
      <c r="CF1423" s="1" t="s">
        <v>229</v>
      </c>
      <c r="CG1423" s="1" t="s">
        <v>2459</v>
      </c>
      <c r="CH1423" s="1" t="s">
        <v>209</v>
      </c>
      <c r="CI1423" s="1" t="s">
        <v>210</v>
      </c>
      <c r="CJ1423" s="1" t="s">
        <v>229</v>
      </c>
      <c r="CK1423" s="1" t="s">
        <v>215</v>
      </c>
      <c r="CL1423" s="1" t="s">
        <v>209</v>
      </c>
      <c r="CM1423" s="1" t="s">
        <v>210</v>
      </c>
      <c r="CN1423" s="1" t="s">
        <v>229</v>
      </c>
      <c r="CO1423" s="1" t="s">
        <v>1417</v>
      </c>
      <c r="CP1423" s="1" t="s">
        <v>209</v>
      </c>
      <c r="CQ1423" s="1" t="s">
        <v>210</v>
      </c>
      <c r="CR1423" s="1" t="s">
        <v>229</v>
      </c>
      <c r="CS1423" s="1" t="s">
        <v>1064</v>
      </c>
      <c r="CT1423" s="1" t="s">
        <v>206</v>
      </c>
      <c r="CU1423" s="1" t="s">
        <v>617</v>
      </c>
      <c r="CW1423" s="1" t="s">
        <v>2861</v>
      </c>
      <c r="CX1423" s="1" t="s">
        <v>206</v>
      </c>
      <c r="CY1423" s="1" t="s">
        <v>210</v>
      </c>
      <c r="CZ1423" s="1" t="s">
        <v>229</v>
      </c>
      <c r="DA1423" s="1" t="s">
        <v>200</v>
      </c>
      <c r="DC1423" s="1" t="s">
        <v>481</v>
      </c>
      <c r="DD1423" s="1" t="s">
        <v>396</v>
      </c>
      <c r="DE1423" s="1" t="s">
        <v>273</v>
      </c>
      <c r="DF1423" s="1" t="s">
        <v>219</v>
      </c>
      <c r="DG1423" s="1" t="s">
        <v>337</v>
      </c>
      <c r="DH1423" s="1" t="s">
        <v>220</v>
      </c>
      <c r="DI1423" s="1" t="s">
        <v>2547</v>
      </c>
      <c r="DJ1423" s="1" t="s">
        <v>222</v>
      </c>
      <c r="DK1423" s="1" t="s">
        <v>223</v>
      </c>
      <c r="DL1423" s="1" t="s">
        <v>223</v>
      </c>
      <c r="DM1423" s="1" t="s">
        <v>1402</v>
      </c>
      <c r="DN1423" s="1" t="s">
        <v>485</v>
      </c>
      <c r="DP1423" s="1" t="s">
        <v>340</v>
      </c>
      <c r="DQ1423" s="1" t="s">
        <v>441</v>
      </c>
      <c r="DR1423" s="1" t="s">
        <v>1487</v>
      </c>
      <c r="DS1423" s="1" t="s">
        <v>368</v>
      </c>
      <c r="DV1423" s="1" t="s">
        <v>2381</v>
      </c>
      <c r="DW1423" s="1" t="s">
        <v>3142</v>
      </c>
      <c r="DX1423" s="1" t="s">
        <v>234</v>
      </c>
      <c r="DY1423" s="1" t="s">
        <v>490</v>
      </c>
      <c r="DZ1423" s="1" t="s">
        <v>446</v>
      </c>
      <c r="EB1423" s="1" t="s">
        <v>345</v>
      </c>
      <c r="EC1423" s="1" t="s">
        <v>237</v>
      </c>
      <c r="EG1423" s="1" t="s">
        <v>556</v>
      </c>
      <c r="EH1423" s="1" t="s">
        <v>494</v>
      </c>
      <c r="EL1423" s="1" t="s">
        <v>300</v>
      </c>
      <c r="EM1423" s="1" t="s">
        <v>206</v>
      </c>
      <c r="EN1423" s="1" t="s">
        <v>617</v>
      </c>
      <c r="EO1423" s="1" t="s">
        <v>229</v>
      </c>
      <c r="EP1423" s="1" t="s">
        <v>699</v>
      </c>
      <c r="EQ1423" s="1" t="s">
        <v>206</v>
      </c>
      <c r="ER1423" s="1" t="s">
        <v>210</v>
      </c>
      <c r="ES1423" s="1" t="s">
        <v>229</v>
      </c>
      <c r="EU1423" s="1" t="s">
        <v>238</v>
      </c>
      <c r="EY1423" s="1" t="s">
        <v>238</v>
      </c>
      <c r="FC1423" s="1" t="s">
        <v>238</v>
      </c>
      <c r="FF1423" s="1" t="s">
        <v>239</v>
      </c>
      <c r="FG1423" s="1" t="s">
        <v>192</v>
      </c>
      <c r="FH1423" s="1" t="s">
        <v>192</v>
      </c>
      <c r="FJ1423" s="1" t="s">
        <v>770</v>
      </c>
      <c r="FK1423" s="1" t="s">
        <v>229</v>
      </c>
      <c r="FL1423" s="1" t="s">
        <v>1893</v>
      </c>
      <c r="FM1423" s="1">
        <v>23187.0</v>
      </c>
      <c r="FN1423" s="1" t="s">
        <v>1894</v>
      </c>
      <c r="FO1423" s="1" t="s">
        <v>1895</v>
      </c>
      <c r="FP1423" s="1">
        <v>233406.0</v>
      </c>
      <c r="FQ1423" s="1" t="s">
        <v>1896</v>
      </c>
      <c r="FR1423" s="1">
        <v>232524.0</v>
      </c>
      <c r="FU1423" s="1" t="s">
        <v>1541</v>
      </c>
      <c r="FV1423" s="1" t="s">
        <v>200</v>
      </c>
      <c r="FW1423" s="1" t="s">
        <v>14693</v>
      </c>
      <c r="FZ1423" s="1" t="s">
        <v>229</v>
      </c>
      <c r="GA1423" s="1" t="s">
        <v>291</v>
      </c>
      <c r="GB1423" s="2">
        <v>42003.0</v>
      </c>
      <c r="GC1423" s="1" t="s">
        <v>14694</v>
      </c>
    </row>
    <row r="1424">
      <c r="A1424" s="1">
        <v>80000.0</v>
      </c>
      <c r="B1424" s="1" t="s">
        <v>185</v>
      </c>
      <c r="C1424" s="1" t="str">
        <f>"08676235"</f>
        <v>08676235</v>
      </c>
      <c r="D1424" s="1" t="s">
        <v>186</v>
      </c>
      <c r="F1424" s="1" t="str">
        <f>"8025"</f>
        <v>8025</v>
      </c>
      <c r="G1424" s="2">
        <v>41837.0</v>
      </c>
      <c r="H1424" s="1">
        <v>84900.0</v>
      </c>
      <c r="I1424" s="1">
        <v>36.0</v>
      </c>
      <c r="J1424" s="1">
        <v>84900.0</v>
      </c>
      <c r="K1424" s="2">
        <v>41872.0</v>
      </c>
      <c r="L1424" s="1">
        <v>36.0</v>
      </c>
      <c r="M1424" s="2">
        <v>41872.0</v>
      </c>
      <c r="N1424" s="1" t="s">
        <v>356</v>
      </c>
      <c r="O1424" s="2">
        <v>41989.0</v>
      </c>
      <c r="P1424" s="1">
        <v>106990.0</v>
      </c>
      <c r="Q1424" s="1">
        <v>14809.0</v>
      </c>
      <c r="S1424" s="1">
        <v>1456.0</v>
      </c>
      <c r="T1424" s="1" t="s">
        <v>14429</v>
      </c>
      <c r="U1424" s="1" t="s">
        <v>189</v>
      </c>
      <c r="V1424" s="1" t="s">
        <v>190</v>
      </c>
      <c r="W1424" s="1">
        <v>60651.0</v>
      </c>
      <c r="Y1424" s="1" t="s">
        <v>14695</v>
      </c>
      <c r="Z1424" s="1">
        <v>1916.0</v>
      </c>
      <c r="AA1424" s="1" t="s">
        <v>192</v>
      </c>
      <c r="AB1424" s="1" t="s">
        <v>193</v>
      </c>
      <c r="AD1424" s="1" t="s">
        <v>194</v>
      </c>
      <c r="AE1424" s="1" t="s">
        <v>195</v>
      </c>
      <c r="AF1424" s="1" t="s">
        <v>827</v>
      </c>
      <c r="AH1424" s="1" t="s">
        <v>14696</v>
      </c>
      <c r="AI1424" s="1">
        <v>0.0911</v>
      </c>
      <c r="AK1424" s="1">
        <v>8.0</v>
      </c>
      <c r="AL1424" s="1">
        <v>4.0</v>
      </c>
      <c r="AM1424" s="1">
        <v>1.0</v>
      </c>
      <c r="AN1424" s="1">
        <v>0.0</v>
      </c>
      <c r="AO1424" s="1" t="s">
        <v>229</v>
      </c>
      <c r="AQ1424" s="1" t="s">
        <v>198</v>
      </c>
      <c r="AR1424" s="1" t="s">
        <v>192</v>
      </c>
      <c r="AS1424" s="1" t="s">
        <v>199</v>
      </c>
      <c r="AT1424" s="1">
        <v>2.0</v>
      </c>
      <c r="AV1424" s="1" t="s">
        <v>200</v>
      </c>
      <c r="AW1424" s="1">
        <v>2670.33</v>
      </c>
      <c r="AX1424" s="1">
        <v>2012.0</v>
      </c>
      <c r="AY1424" s="1" t="s">
        <v>229</v>
      </c>
      <c r="AZ1424" s="1" t="s">
        <v>200</v>
      </c>
      <c r="BA1424" s="1" t="str">
        <f>"16052110190000"</f>
        <v>16052110190000</v>
      </c>
      <c r="BC1424" s="1">
        <v>1328.0</v>
      </c>
      <c r="BD1424" s="1">
        <v>80000.0</v>
      </c>
      <c r="BE1424" s="2">
        <v>41837.0</v>
      </c>
      <c r="BF1424" s="1" t="s">
        <v>14697</v>
      </c>
      <c r="BH1424" s="1">
        <v>0.0</v>
      </c>
      <c r="BK1424" s="1" t="s">
        <v>204</v>
      </c>
      <c r="BL1424" s="1" t="str">
        <f>"1500"</f>
        <v>1500</v>
      </c>
      <c r="BM1424" s="1" t="str">
        <f>"0"</f>
        <v>0</v>
      </c>
      <c r="BN1424" s="1">
        <v>5800.0</v>
      </c>
      <c r="BO1424" s="1">
        <v>0.0</v>
      </c>
      <c r="BQ1424" s="1">
        <v>299.0</v>
      </c>
      <c r="BR1424" s="1">
        <v>299.0</v>
      </c>
      <c r="BS1424" s="1">
        <v>299.0</v>
      </c>
      <c r="BU1424" s="1" t="s">
        <v>583</v>
      </c>
      <c r="BV1424" s="1" t="s">
        <v>206</v>
      </c>
      <c r="BY1424" s="1" t="s">
        <v>433</v>
      </c>
      <c r="BZ1424" s="1" t="s">
        <v>206</v>
      </c>
      <c r="CC1424" s="1" t="s">
        <v>454</v>
      </c>
      <c r="CD1424" s="1" t="s">
        <v>206</v>
      </c>
      <c r="CG1424" s="1" t="s">
        <v>363</v>
      </c>
      <c r="CH1424" s="1" t="s">
        <v>206</v>
      </c>
      <c r="CK1424" s="1" t="s">
        <v>363</v>
      </c>
      <c r="CL1424" s="1" t="s">
        <v>209</v>
      </c>
      <c r="CO1424" s="1" t="s">
        <v>269</v>
      </c>
      <c r="CP1424" s="1" t="s">
        <v>209</v>
      </c>
      <c r="CS1424" s="1" t="s">
        <v>264</v>
      </c>
      <c r="CT1424" s="1" t="s">
        <v>206</v>
      </c>
      <c r="CW1424" s="1" t="s">
        <v>264</v>
      </c>
      <c r="CX1424" s="1" t="s">
        <v>42</v>
      </c>
      <c r="DA1424" s="1" t="s">
        <v>200</v>
      </c>
      <c r="DC1424" s="1" t="s">
        <v>216</v>
      </c>
      <c r="DE1424" s="1" t="s">
        <v>273</v>
      </c>
      <c r="DF1424" s="1" t="s">
        <v>619</v>
      </c>
      <c r="DH1424" s="1" t="s">
        <v>365</v>
      </c>
      <c r="DJ1424" s="1" t="s">
        <v>222</v>
      </c>
      <c r="DL1424" s="1" t="s">
        <v>858</v>
      </c>
      <c r="DM1424" s="1" t="s">
        <v>229</v>
      </c>
      <c r="DQ1424" s="1" t="s">
        <v>228</v>
      </c>
      <c r="DR1424" s="1" t="s">
        <v>229</v>
      </c>
      <c r="DV1424" s="1" t="s">
        <v>10415</v>
      </c>
      <c r="DW1424" s="1" t="s">
        <v>279</v>
      </c>
      <c r="DX1424" s="1" t="s">
        <v>234</v>
      </c>
      <c r="EA1424" s="1" t="s">
        <v>644</v>
      </c>
      <c r="EC1424" s="1" t="s">
        <v>645</v>
      </c>
      <c r="ED1424" s="1" t="s">
        <v>1761</v>
      </c>
      <c r="EG1424" s="1" t="s">
        <v>374</v>
      </c>
      <c r="EH1424" s="1" t="s">
        <v>1270</v>
      </c>
      <c r="EI1424" s="1" t="s">
        <v>588</v>
      </c>
      <c r="EL1424" s="1" t="s">
        <v>2083</v>
      </c>
      <c r="EM1424" s="1" t="s">
        <v>206</v>
      </c>
      <c r="EP1424" s="1" t="s">
        <v>1584</v>
      </c>
      <c r="EQ1424" s="1" t="s">
        <v>42</v>
      </c>
      <c r="ET1424" s="1" t="s">
        <v>363</v>
      </c>
      <c r="EU1424" s="1" t="s">
        <v>42</v>
      </c>
      <c r="EY1424" s="1" t="s">
        <v>238</v>
      </c>
      <c r="FC1424" s="1" t="s">
        <v>238</v>
      </c>
      <c r="FF1424" s="1" t="s">
        <v>239</v>
      </c>
      <c r="FG1424" s="1" t="s">
        <v>200</v>
      </c>
      <c r="FH1424" s="1" t="s">
        <v>192</v>
      </c>
      <c r="FJ1424" s="1" t="s">
        <v>1248</v>
      </c>
      <c r="FK1424" s="1" t="s">
        <v>229</v>
      </c>
      <c r="FL1424" s="1" t="s">
        <v>377</v>
      </c>
      <c r="FM1424" s="1">
        <v>8430.0</v>
      </c>
      <c r="FN1424" s="1" t="s">
        <v>378</v>
      </c>
      <c r="FO1424" s="1" t="s">
        <v>379</v>
      </c>
      <c r="FP1424" s="1">
        <v>85085.0</v>
      </c>
      <c r="FQ1424" s="1" t="s">
        <v>378</v>
      </c>
      <c r="FR1424" s="1">
        <v>83261.0</v>
      </c>
      <c r="FU1424" s="1" t="s">
        <v>9708</v>
      </c>
      <c r="FV1424" s="1" t="s">
        <v>200</v>
      </c>
      <c r="FW1424" s="1" t="s">
        <v>1307</v>
      </c>
      <c r="FX1424" s="1" t="s">
        <v>238</v>
      </c>
      <c r="FZ1424" s="1" t="s">
        <v>229</v>
      </c>
      <c r="GA1424" s="1" t="s">
        <v>291</v>
      </c>
      <c r="GB1424" s="2">
        <v>41989.0</v>
      </c>
      <c r="GC1424" s="1" t="s">
        <v>14698</v>
      </c>
    </row>
    <row r="1425">
      <c r="A1425" s="1">
        <v>195100.0</v>
      </c>
      <c r="B1425" s="1" t="s">
        <v>185</v>
      </c>
      <c r="C1425" s="1" t="str">
        <f>"08668203"</f>
        <v>08668203</v>
      </c>
      <c r="D1425" s="1" t="s">
        <v>186</v>
      </c>
      <c r="F1425" s="1" t="str">
        <f>"538"</f>
        <v>538</v>
      </c>
      <c r="G1425" s="2">
        <v>41829.0</v>
      </c>
      <c r="H1425" s="1">
        <v>237300.0</v>
      </c>
      <c r="I1425" s="1">
        <v>190.0</v>
      </c>
      <c r="J1425" s="1">
        <v>198900.0</v>
      </c>
      <c r="K1425" s="2">
        <v>42018.0</v>
      </c>
      <c r="L1425" s="1">
        <v>190.0</v>
      </c>
      <c r="M1425" s="2">
        <v>42018.0</v>
      </c>
      <c r="N1425" s="1" t="s">
        <v>187</v>
      </c>
      <c r="O1425" s="2">
        <v>42060.0</v>
      </c>
      <c r="P1425" s="1">
        <v>219848.0</v>
      </c>
      <c r="Q1425" s="1">
        <v>21242.0</v>
      </c>
      <c r="S1425" s="1">
        <v>3023.0</v>
      </c>
      <c r="T1425" s="1" t="s">
        <v>7346</v>
      </c>
      <c r="U1425" s="1" t="s">
        <v>569</v>
      </c>
      <c r="V1425" s="1" t="s">
        <v>1340</v>
      </c>
      <c r="W1425" s="1">
        <v>60538.0</v>
      </c>
      <c r="Y1425" s="1" t="s">
        <v>14699</v>
      </c>
      <c r="Z1425" s="1" t="s">
        <v>296</v>
      </c>
      <c r="AA1425" s="1" t="s">
        <v>200</v>
      </c>
      <c r="AB1425" s="1" t="s">
        <v>193</v>
      </c>
      <c r="AD1425" s="1" t="s">
        <v>1343</v>
      </c>
      <c r="AE1425" s="1" t="s">
        <v>325</v>
      </c>
      <c r="AF1425" s="1" t="s">
        <v>1887</v>
      </c>
      <c r="AH1425" s="1" t="s">
        <v>14700</v>
      </c>
      <c r="AI1425" s="1">
        <v>0.2112</v>
      </c>
      <c r="AK1425" s="1">
        <v>9.0</v>
      </c>
      <c r="AL1425" s="1">
        <v>4.0</v>
      </c>
      <c r="AM1425" s="1">
        <v>2.0</v>
      </c>
      <c r="AN1425" s="1">
        <v>1.0</v>
      </c>
      <c r="AO1425" s="1" t="s">
        <v>198</v>
      </c>
      <c r="AP1425" s="1">
        <v>1.0</v>
      </c>
      <c r="AQ1425" s="1" t="s">
        <v>1314</v>
      </c>
      <c r="AR1425" s="1" t="s">
        <v>200</v>
      </c>
      <c r="AS1425" s="1" t="s">
        <v>199</v>
      </c>
      <c r="AT1425" s="1">
        <v>2.0</v>
      </c>
      <c r="AV1425" s="1" t="s">
        <v>192</v>
      </c>
      <c r="AW1425" s="1">
        <v>8385.78</v>
      </c>
      <c r="AX1425" s="1">
        <v>2012.0</v>
      </c>
      <c r="AZ1425" s="1" t="s">
        <v>200</v>
      </c>
      <c r="BA1425" s="1" t="str">
        <f>"1435332002"</f>
        <v>1435332002</v>
      </c>
      <c r="BC1425" s="1">
        <v>2600.0</v>
      </c>
      <c r="BD1425" s="1">
        <v>195100.0</v>
      </c>
      <c r="BE1425" s="2">
        <v>41829.0</v>
      </c>
      <c r="BF1425" s="2" t="s">
        <v>14701</v>
      </c>
      <c r="BH1425" s="1">
        <v>0.0</v>
      </c>
      <c r="BK1425" s="1" t="s">
        <v>204</v>
      </c>
      <c r="BL1425" s="1" t="str">
        <f t="shared" ref="BL1425:BM1425" si="936">""</f>
        <v/>
      </c>
      <c r="BM1425" s="1" t="str">
        <f t="shared" si="936"/>
        <v/>
      </c>
      <c r="BQ1425" s="1">
        <v>302.0</v>
      </c>
      <c r="BR1425" s="1">
        <v>302.0</v>
      </c>
      <c r="BS1425" s="1">
        <v>302.0</v>
      </c>
      <c r="BU1425" s="1" t="s">
        <v>433</v>
      </c>
      <c r="BV1425" s="1" t="s">
        <v>206</v>
      </c>
      <c r="BW1425" s="1" t="s">
        <v>210</v>
      </c>
      <c r="BY1425" s="1" t="s">
        <v>784</v>
      </c>
      <c r="BZ1425" s="1" t="s">
        <v>209</v>
      </c>
      <c r="CA1425" s="1" t="s">
        <v>210</v>
      </c>
      <c r="CC1425" s="1" t="s">
        <v>433</v>
      </c>
      <c r="CD1425" s="1" t="s">
        <v>206</v>
      </c>
      <c r="CE1425" s="1" t="s">
        <v>210</v>
      </c>
      <c r="CG1425" s="1" t="s">
        <v>392</v>
      </c>
      <c r="CH1425" s="1" t="s">
        <v>209</v>
      </c>
      <c r="CI1425" s="1" t="s">
        <v>210</v>
      </c>
      <c r="CK1425" s="1" t="s">
        <v>497</v>
      </c>
      <c r="CL1425" s="1" t="s">
        <v>209</v>
      </c>
      <c r="CM1425" s="1" t="s">
        <v>210</v>
      </c>
      <c r="CO1425" s="1" t="s">
        <v>264</v>
      </c>
      <c r="CP1425" s="1" t="s">
        <v>209</v>
      </c>
      <c r="CQ1425" s="1" t="s">
        <v>210</v>
      </c>
      <c r="CS1425" s="1" t="s">
        <v>729</v>
      </c>
      <c r="CT1425" s="1" t="s">
        <v>206</v>
      </c>
      <c r="CU1425" s="1" t="s">
        <v>207</v>
      </c>
      <c r="CW1425" s="1" t="s">
        <v>211</v>
      </c>
      <c r="CX1425" s="1" t="s">
        <v>206</v>
      </c>
      <c r="CY1425" s="1" t="s">
        <v>207</v>
      </c>
      <c r="DA1425" s="1" t="s">
        <v>200</v>
      </c>
      <c r="DC1425" s="1" t="s">
        <v>335</v>
      </c>
      <c r="DE1425" s="1" t="s">
        <v>273</v>
      </c>
      <c r="DF1425" s="1" t="s">
        <v>905</v>
      </c>
      <c r="DH1425" s="1" t="s">
        <v>220</v>
      </c>
      <c r="DJ1425" s="1" t="s">
        <v>222</v>
      </c>
      <c r="DL1425" s="1" t="s">
        <v>223</v>
      </c>
      <c r="DM1425" s="1" t="s">
        <v>229</v>
      </c>
      <c r="DQ1425" s="1" t="s">
        <v>441</v>
      </c>
      <c r="DR1425" s="1" t="s">
        <v>229</v>
      </c>
      <c r="DS1425" s="1" t="s">
        <v>230</v>
      </c>
      <c r="DV1425" s="1" t="s">
        <v>14702</v>
      </c>
      <c r="DW1425" s="1" t="s">
        <v>444</v>
      </c>
      <c r="DX1425" s="1" t="s">
        <v>234</v>
      </c>
      <c r="EC1425" s="1" t="s">
        <v>237</v>
      </c>
      <c r="EG1425" s="1" t="s">
        <v>1121</v>
      </c>
      <c r="EH1425" s="1" t="s">
        <v>1102</v>
      </c>
      <c r="EL1425" s="1" t="s">
        <v>269</v>
      </c>
      <c r="EM1425" s="1" t="s">
        <v>209</v>
      </c>
      <c r="EN1425" s="1" t="s">
        <v>210</v>
      </c>
      <c r="EP1425" s="1" t="s">
        <v>392</v>
      </c>
      <c r="EQ1425" s="1" t="s">
        <v>206</v>
      </c>
      <c r="ER1425" s="1" t="s">
        <v>207</v>
      </c>
      <c r="EU1425" s="1" t="s">
        <v>238</v>
      </c>
      <c r="EY1425" s="1" t="s">
        <v>238</v>
      </c>
      <c r="FC1425" s="1" t="s">
        <v>238</v>
      </c>
      <c r="FF1425" s="1" t="s">
        <v>239</v>
      </c>
      <c r="FG1425" s="1" t="s">
        <v>192</v>
      </c>
      <c r="FH1425" s="1" t="s">
        <v>192</v>
      </c>
      <c r="FJ1425" s="1" t="s">
        <v>524</v>
      </c>
      <c r="FK1425" s="1" t="s">
        <v>229</v>
      </c>
      <c r="FL1425" s="1" t="s">
        <v>12350</v>
      </c>
      <c r="FM1425" s="1">
        <v>25189.0</v>
      </c>
      <c r="FN1425" s="1" t="s">
        <v>12351</v>
      </c>
      <c r="FO1425" s="1" t="s">
        <v>14703</v>
      </c>
      <c r="FP1425" s="1">
        <v>217663.0</v>
      </c>
      <c r="FQ1425" s="1" t="s">
        <v>12351</v>
      </c>
      <c r="FS1425" s="1" t="s">
        <v>14704</v>
      </c>
      <c r="FU1425" s="1" t="s">
        <v>14705</v>
      </c>
      <c r="FV1425" s="1" t="s">
        <v>200</v>
      </c>
      <c r="FW1425" s="1" t="s">
        <v>567</v>
      </c>
      <c r="FZ1425" s="1" t="s">
        <v>229</v>
      </c>
      <c r="GA1425" s="1" t="s">
        <v>291</v>
      </c>
      <c r="GB1425" s="2">
        <v>42062.0</v>
      </c>
      <c r="GC1425" s="1" t="s">
        <v>14706</v>
      </c>
    </row>
    <row r="1426">
      <c r="A1426" s="1">
        <v>140000.0</v>
      </c>
      <c r="B1426" s="1" t="s">
        <v>185</v>
      </c>
      <c r="C1426" s="1" t="str">
        <f>"08667986"</f>
        <v>08667986</v>
      </c>
      <c r="D1426" s="1" t="s">
        <v>186</v>
      </c>
      <c r="F1426" s="1" t="str">
        <f>"8020"</f>
        <v>8020</v>
      </c>
      <c r="G1426" s="2">
        <v>41829.0</v>
      </c>
      <c r="H1426" s="1">
        <v>135900.0</v>
      </c>
      <c r="I1426" s="1">
        <v>735.0</v>
      </c>
      <c r="J1426" s="1">
        <v>140000.0</v>
      </c>
      <c r="K1426" s="2">
        <v>42125.0</v>
      </c>
      <c r="L1426" s="1">
        <v>297.0</v>
      </c>
      <c r="M1426" s="2">
        <v>42125.0</v>
      </c>
      <c r="N1426" s="1" t="s">
        <v>187</v>
      </c>
      <c r="O1426" s="2">
        <v>42142.0</v>
      </c>
      <c r="P1426" s="1">
        <v>110719.0</v>
      </c>
      <c r="Q1426" s="1">
        <v>18080.0</v>
      </c>
      <c r="S1426" s="1">
        <v>2255.0</v>
      </c>
      <c r="T1426" s="1" t="s">
        <v>4899</v>
      </c>
      <c r="U1426" s="1" t="s">
        <v>189</v>
      </c>
      <c r="V1426" s="1" t="s">
        <v>190</v>
      </c>
      <c r="W1426" s="1">
        <v>60639.0</v>
      </c>
      <c r="Y1426" s="1" t="s">
        <v>14707</v>
      </c>
      <c r="Z1426" s="1">
        <v>1922.0</v>
      </c>
      <c r="AA1426" s="1" t="s">
        <v>192</v>
      </c>
      <c r="AB1426" s="1" t="s">
        <v>193</v>
      </c>
      <c r="AD1426" s="1" t="s">
        <v>194</v>
      </c>
      <c r="AE1426" s="1" t="s">
        <v>195</v>
      </c>
      <c r="AF1426" s="1" t="s">
        <v>196</v>
      </c>
      <c r="AH1426" s="1" t="s">
        <v>359</v>
      </c>
      <c r="AI1426" s="1">
        <v>0.0717</v>
      </c>
      <c r="AK1426" s="1">
        <v>7.0</v>
      </c>
      <c r="AL1426" s="1">
        <v>2.0</v>
      </c>
      <c r="AM1426" s="1">
        <v>2.0</v>
      </c>
      <c r="AN1426" s="1">
        <v>0.0</v>
      </c>
      <c r="AO1426" s="1" t="s">
        <v>229</v>
      </c>
      <c r="AQ1426" s="1" t="s">
        <v>198</v>
      </c>
      <c r="AR1426" s="1" t="s">
        <v>192</v>
      </c>
      <c r="AS1426" s="1" t="s">
        <v>199</v>
      </c>
      <c r="AT1426" s="1">
        <v>2.0</v>
      </c>
      <c r="AV1426" s="1" t="s">
        <v>200</v>
      </c>
      <c r="AW1426" s="1">
        <v>2543.08</v>
      </c>
      <c r="AX1426" s="1">
        <v>2013.0</v>
      </c>
      <c r="AY1426" s="1" t="s">
        <v>387</v>
      </c>
      <c r="AZ1426" s="1" t="s">
        <v>200</v>
      </c>
      <c r="BA1426" s="1" t="str">
        <f>"13342150020000"</f>
        <v>13342150020000</v>
      </c>
      <c r="BC1426" s="1">
        <v>1000.0</v>
      </c>
      <c r="BD1426" s="1">
        <v>140000.0</v>
      </c>
      <c r="BE1426" s="2">
        <v>41829.0</v>
      </c>
      <c r="BF1426" s="1" t="s">
        <v>14708</v>
      </c>
      <c r="BH1426" s="1">
        <v>0.0</v>
      </c>
      <c r="BK1426" s="1" t="s">
        <v>204</v>
      </c>
      <c r="BL1426" s="1" t="str">
        <f>"2255"</f>
        <v>2255</v>
      </c>
      <c r="BM1426" s="1" t="str">
        <f>"0"</f>
        <v>0</v>
      </c>
      <c r="BN1426" s="1">
        <v>4100.0</v>
      </c>
      <c r="BO1426" s="1">
        <v>0.0</v>
      </c>
      <c r="BQ1426" s="1">
        <v>299.0</v>
      </c>
      <c r="BR1426" s="1">
        <v>299.0</v>
      </c>
      <c r="BS1426" s="1">
        <v>299.0</v>
      </c>
      <c r="BU1426" s="1" t="s">
        <v>2082</v>
      </c>
      <c r="BV1426" s="1" t="s">
        <v>206</v>
      </c>
      <c r="BY1426" s="1" t="s">
        <v>1064</v>
      </c>
      <c r="BZ1426" s="1" t="s">
        <v>206</v>
      </c>
      <c r="CC1426" s="1" t="s">
        <v>542</v>
      </c>
      <c r="CD1426" s="1" t="s">
        <v>206</v>
      </c>
      <c r="CG1426" s="1" t="s">
        <v>584</v>
      </c>
      <c r="CH1426" s="1" t="s">
        <v>206</v>
      </c>
      <c r="CK1426" s="1" t="s">
        <v>264</v>
      </c>
      <c r="CL1426" s="1" t="s">
        <v>42</v>
      </c>
      <c r="CO1426" s="1" t="s">
        <v>543</v>
      </c>
      <c r="CP1426" s="1" t="s">
        <v>42</v>
      </c>
      <c r="CS1426" s="1" t="s">
        <v>3805</v>
      </c>
      <c r="CT1426" s="1" t="s">
        <v>206</v>
      </c>
      <c r="CX1426" s="1" t="s">
        <v>204</v>
      </c>
      <c r="DA1426" s="1" t="s">
        <v>200</v>
      </c>
      <c r="DC1426" s="1" t="s">
        <v>216</v>
      </c>
      <c r="DE1426" s="1" t="s">
        <v>273</v>
      </c>
      <c r="DF1426" s="1" t="s">
        <v>619</v>
      </c>
      <c r="DH1426" s="1" t="s">
        <v>220</v>
      </c>
      <c r="DJ1426" s="1" t="s">
        <v>222</v>
      </c>
      <c r="DL1426" s="1" t="s">
        <v>224</v>
      </c>
      <c r="DM1426" s="1" t="s">
        <v>229</v>
      </c>
      <c r="DQ1426" s="1" t="s">
        <v>228</v>
      </c>
      <c r="DR1426" s="1" t="s">
        <v>229</v>
      </c>
      <c r="DV1426" s="1" t="s">
        <v>232</v>
      </c>
      <c r="DW1426" s="1" t="s">
        <v>667</v>
      </c>
      <c r="DX1426" s="1" t="s">
        <v>234</v>
      </c>
      <c r="EC1426" s="1" t="s">
        <v>685</v>
      </c>
      <c r="EM1426" s="1" t="s">
        <v>238</v>
      </c>
      <c r="EQ1426" s="1" t="s">
        <v>238</v>
      </c>
      <c r="EU1426" s="1" t="s">
        <v>238</v>
      </c>
      <c r="EY1426" s="1" t="s">
        <v>238</v>
      </c>
      <c r="FC1426" s="1" t="s">
        <v>238</v>
      </c>
      <c r="FF1426" s="1" t="s">
        <v>239</v>
      </c>
      <c r="FG1426" s="1" t="s">
        <v>192</v>
      </c>
      <c r="FH1426" s="1" t="s">
        <v>192</v>
      </c>
      <c r="FJ1426" s="1" t="s">
        <v>14709</v>
      </c>
      <c r="FK1426" s="1" t="s">
        <v>229</v>
      </c>
      <c r="FL1426" s="1" t="s">
        <v>413</v>
      </c>
      <c r="FM1426" s="1">
        <v>13691.0</v>
      </c>
      <c r="FN1426" s="1" t="s">
        <v>414</v>
      </c>
      <c r="FO1426" s="1" t="s">
        <v>14710</v>
      </c>
      <c r="FP1426" s="1">
        <v>153174.0</v>
      </c>
      <c r="FQ1426" s="1" t="s">
        <v>14711</v>
      </c>
      <c r="FU1426" s="1" t="s">
        <v>417</v>
      </c>
      <c r="FV1426" s="1" t="s">
        <v>200</v>
      </c>
      <c r="FW1426" s="1" t="s">
        <v>654</v>
      </c>
      <c r="FX1426" s="1" t="s">
        <v>238</v>
      </c>
      <c r="FZ1426" s="1" t="s">
        <v>229</v>
      </c>
      <c r="GA1426" s="1" t="s">
        <v>291</v>
      </c>
      <c r="GB1426" s="2">
        <v>42142.0</v>
      </c>
      <c r="GC1426" s="1" t="s">
        <v>14712</v>
      </c>
    </row>
    <row r="1427">
      <c r="A1427" s="1">
        <v>63989.0</v>
      </c>
      <c r="B1427" s="1" t="s">
        <v>185</v>
      </c>
      <c r="C1427" s="1" t="str">
        <f>"08672062"</f>
        <v>08672062</v>
      </c>
      <c r="D1427" s="1" t="s">
        <v>186</v>
      </c>
      <c r="F1427" s="1" t="str">
        <f>"8070"</f>
        <v>8070</v>
      </c>
      <c r="G1427" s="2">
        <v>41834.0</v>
      </c>
      <c r="H1427" s="1">
        <v>109500.0</v>
      </c>
      <c r="I1427" s="1">
        <v>152.0</v>
      </c>
      <c r="J1427" s="1">
        <v>95000.0</v>
      </c>
      <c r="K1427" s="2">
        <v>41983.0</v>
      </c>
      <c r="L1427" s="1">
        <v>152.0</v>
      </c>
      <c r="M1427" s="2">
        <v>41983.0</v>
      </c>
      <c r="N1427" s="1" t="s">
        <v>187</v>
      </c>
      <c r="O1427" s="2">
        <v>42075.0</v>
      </c>
      <c r="P1427" s="1">
        <v>111974.0</v>
      </c>
      <c r="Q1427" s="1">
        <v>10273.0</v>
      </c>
      <c r="S1427" s="1">
        <v>2868.0</v>
      </c>
      <c r="T1427" s="1" t="s">
        <v>14713</v>
      </c>
      <c r="U1427" s="1" t="s">
        <v>694</v>
      </c>
      <c r="V1427" s="1" t="s">
        <v>190</v>
      </c>
      <c r="W1427" s="1">
        <v>60652.0</v>
      </c>
      <c r="Y1427" s="1" t="s">
        <v>14714</v>
      </c>
      <c r="Z1427" s="1" t="s">
        <v>296</v>
      </c>
      <c r="AA1427" s="1" t="s">
        <v>192</v>
      </c>
      <c r="AB1427" s="1" t="s">
        <v>193</v>
      </c>
      <c r="AD1427" s="1" t="s">
        <v>194</v>
      </c>
      <c r="AE1427" s="1" t="s">
        <v>195</v>
      </c>
      <c r="AF1427" s="1" t="s">
        <v>1154</v>
      </c>
      <c r="AH1427" s="1" t="s">
        <v>359</v>
      </c>
      <c r="AK1427" s="1">
        <v>7.0</v>
      </c>
      <c r="AL1427" s="1">
        <v>4.0</v>
      </c>
      <c r="AM1427" s="1">
        <v>1.0</v>
      </c>
      <c r="AN1427" s="1">
        <v>1.0</v>
      </c>
      <c r="AO1427" s="1" t="s">
        <v>198</v>
      </c>
      <c r="AQ1427" s="1" t="s">
        <v>198</v>
      </c>
      <c r="AR1427" s="1" t="s">
        <v>200</v>
      </c>
      <c r="AS1427" s="1" t="s">
        <v>199</v>
      </c>
      <c r="AT1427" s="1">
        <v>1.0</v>
      </c>
      <c r="AV1427" s="1" t="s">
        <v>200</v>
      </c>
      <c r="AW1427" s="1">
        <v>3450.0</v>
      </c>
      <c r="AX1427" s="1">
        <v>2012.0</v>
      </c>
      <c r="AY1427" s="1" t="s">
        <v>229</v>
      </c>
      <c r="AZ1427" s="1" t="s">
        <v>545</v>
      </c>
      <c r="BA1427" s="1" t="str">
        <f>"19363160230000"</f>
        <v>19363160230000</v>
      </c>
      <c r="BC1427" s="1">
        <v>0.0</v>
      </c>
      <c r="BD1427" s="1">
        <v>63989.0</v>
      </c>
      <c r="BE1427" s="2">
        <v>41832.0</v>
      </c>
      <c r="BF1427" s="1" t="s">
        <v>14715</v>
      </c>
      <c r="BH1427" s="1">
        <v>0.0</v>
      </c>
      <c r="BK1427" s="1" t="s">
        <v>204</v>
      </c>
      <c r="BL1427" s="1" t="str">
        <f t="shared" ref="BL1427:BM1427" si="937">"0"</f>
        <v>0</v>
      </c>
      <c r="BM1427" s="1" t="str">
        <f t="shared" si="937"/>
        <v>0</v>
      </c>
      <c r="BN1427" s="1">
        <v>2868.0</v>
      </c>
      <c r="BO1427" s="1">
        <v>84.0</v>
      </c>
      <c r="BQ1427" s="1">
        <v>299.0</v>
      </c>
      <c r="BR1427" s="1">
        <v>299.0</v>
      </c>
      <c r="BS1427" s="1">
        <v>299.0</v>
      </c>
      <c r="BU1427" s="1" t="s">
        <v>264</v>
      </c>
      <c r="BV1427" s="1" t="s">
        <v>206</v>
      </c>
      <c r="BW1427" s="1" t="s">
        <v>207</v>
      </c>
      <c r="BX1427" s="1" t="s">
        <v>1549</v>
      </c>
      <c r="BY1427" s="1" t="s">
        <v>830</v>
      </c>
      <c r="BZ1427" s="1" t="s">
        <v>209</v>
      </c>
      <c r="CA1427" s="1" t="s">
        <v>210</v>
      </c>
      <c r="CC1427" s="1" t="s">
        <v>269</v>
      </c>
      <c r="CD1427" s="1" t="s">
        <v>206</v>
      </c>
      <c r="CE1427" s="1" t="s">
        <v>207</v>
      </c>
      <c r="CF1427" s="1" t="s">
        <v>1549</v>
      </c>
      <c r="CG1427" s="1" t="s">
        <v>1746</v>
      </c>
      <c r="CH1427" s="1" t="s">
        <v>209</v>
      </c>
      <c r="CK1427" s="1" t="s">
        <v>1417</v>
      </c>
      <c r="CL1427" s="1" t="s">
        <v>206</v>
      </c>
      <c r="CM1427" s="1" t="s">
        <v>210</v>
      </c>
      <c r="CO1427" s="1" t="s">
        <v>269</v>
      </c>
      <c r="CP1427" s="1" t="s">
        <v>206</v>
      </c>
      <c r="CQ1427" s="1" t="s">
        <v>210</v>
      </c>
      <c r="CS1427" s="1" t="s">
        <v>1746</v>
      </c>
      <c r="CT1427" s="1" t="s">
        <v>206</v>
      </c>
      <c r="CX1427" s="1" t="s">
        <v>204</v>
      </c>
      <c r="DA1427" s="1" t="s">
        <v>200</v>
      </c>
      <c r="DC1427" s="1" t="s">
        <v>1399</v>
      </c>
      <c r="DD1427" s="1" t="s">
        <v>518</v>
      </c>
      <c r="DE1427" s="1" t="s">
        <v>273</v>
      </c>
      <c r="DF1427" s="1" t="s">
        <v>905</v>
      </c>
      <c r="DH1427" s="1" t="s">
        <v>365</v>
      </c>
      <c r="DI1427" s="1" t="s">
        <v>831</v>
      </c>
      <c r="DJ1427" s="1" t="s">
        <v>588</v>
      </c>
      <c r="DL1427" s="1" t="s">
        <v>223</v>
      </c>
      <c r="DM1427" s="1" t="s">
        <v>229</v>
      </c>
      <c r="DP1427" s="1" t="s">
        <v>340</v>
      </c>
      <c r="DQ1427" s="1" t="s">
        <v>718</v>
      </c>
      <c r="DR1427" s="1" t="s">
        <v>229</v>
      </c>
      <c r="DV1427" s="1" t="s">
        <v>232</v>
      </c>
      <c r="DW1427" s="1" t="s">
        <v>279</v>
      </c>
      <c r="DX1427" s="1" t="s">
        <v>234</v>
      </c>
      <c r="EC1427" s="1" t="s">
        <v>645</v>
      </c>
      <c r="EM1427" s="1" t="s">
        <v>238</v>
      </c>
      <c r="EQ1427" s="1" t="s">
        <v>238</v>
      </c>
      <c r="EU1427" s="1" t="s">
        <v>238</v>
      </c>
      <c r="EY1427" s="1" t="s">
        <v>238</v>
      </c>
      <c r="FC1427" s="1" t="s">
        <v>238</v>
      </c>
      <c r="FF1427" s="1" t="s">
        <v>239</v>
      </c>
      <c r="FG1427" s="1" t="s">
        <v>192</v>
      </c>
      <c r="FH1427" s="1" t="s">
        <v>192</v>
      </c>
      <c r="FJ1427" s="1" t="s">
        <v>4122</v>
      </c>
      <c r="FK1427" s="1" t="s">
        <v>1586</v>
      </c>
      <c r="FL1427" s="1" t="s">
        <v>456</v>
      </c>
      <c r="FM1427" s="1">
        <v>10273.0</v>
      </c>
      <c r="FN1427" s="1" t="s">
        <v>2101</v>
      </c>
      <c r="FO1427" s="1" t="s">
        <v>14716</v>
      </c>
      <c r="FP1427" s="1">
        <v>111974.0</v>
      </c>
      <c r="FQ1427" s="1" t="s">
        <v>14717</v>
      </c>
      <c r="FU1427" s="1" t="s">
        <v>14718</v>
      </c>
      <c r="FV1427" s="1" t="s">
        <v>200</v>
      </c>
      <c r="FW1427" s="1" t="s">
        <v>1293</v>
      </c>
      <c r="FX1427" s="1" t="s">
        <v>246</v>
      </c>
      <c r="FZ1427" s="1" t="s">
        <v>229</v>
      </c>
      <c r="GA1427" s="1" t="s">
        <v>291</v>
      </c>
      <c r="GB1427" s="2">
        <v>42075.0</v>
      </c>
      <c r="GC1427" s="1" t="s">
        <v>14719</v>
      </c>
    </row>
    <row r="1428">
      <c r="A1428" s="1">
        <v>356500.0</v>
      </c>
      <c r="B1428" s="1" t="s">
        <v>185</v>
      </c>
      <c r="C1428" s="1" t="str">
        <f>"08672318"</f>
        <v>08672318</v>
      </c>
      <c r="D1428" s="1" t="s">
        <v>186</v>
      </c>
      <c r="F1428" s="1" t="str">
        <f>"10"</f>
        <v>10</v>
      </c>
      <c r="G1428" s="2">
        <v>41834.0</v>
      </c>
      <c r="H1428" s="1">
        <v>369900.0</v>
      </c>
      <c r="I1428" s="1">
        <v>146.0</v>
      </c>
      <c r="J1428" s="1">
        <v>368900.0</v>
      </c>
      <c r="K1428" s="2">
        <v>41979.0</v>
      </c>
      <c r="L1428" s="1">
        <v>146.0</v>
      </c>
      <c r="M1428" s="2">
        <v>41979.0</v>
      </c>
      <c r="N1428" s="1" t="s">
        <v>187</v>
      </c>
      <c r="O1428" s="2">
        <v>42024.0</v>
      </c>
      <c r="P1428" s="1">
        <v>922144.0</v>
      </c>
      <c r="Q1428" s="1">
        <v>8093.0</v>
      </c>
      <c r="S1428" s="1">
        <v>432.0</v>
      </c>
      <c r="T1428" s="1" t="s">
        <v>11507</v>
      </c>
      <c r="U1428" s="1" t="s">
        <v>1174</v>
      </c>
      <c r="V1428" s="1" t="s">
        <v>11508</v>
      </c>
      <c r="W1428" s="1">
        <v>60010.0</v>
      </c>
      <c r="Y1428" s="1" t="s">
        <v>14720</v>
      </c>
      <c r="Z1428" s="1">
        <v>1963.0</v>
      </c>
      <c r="AA1428" s="1" t="s">
        <v>192</v>
      </c>
      <c r="AB1428" s="1" t="s">
        <v>193</v>
      </c>
      <c r="AC1428" s="1" t="s">
        <v>14284</v>
      </c>
      <c r="AD1428" s="1" t="s">
        <v>11511</v>
      </c>
      <c r="AE1428" s="1" t="s">
        <v>917</v>
      </c>
      <c r="AF1428" s="1" t="s">
        <v>2008</v>
      </c>
      <c r="AH1428" s="1" t="s">
        <v>14721</v>
      </c>
      <c r="AI1428" s="1">
        <v>1.03</v>
      </c>
      <c r="AK1428" s="1">
        <v>8.0</v>
      </c>
      <c r="AL1428" s="1">
        <v>4.0</v>
      </c>
      <c r="AM1428" s="1">
        <v>3.0</v>
      </c>
      <c r="AN1428" s="1">
        <v>0.0</v>
      </c>
      <c r="AO1428" s="1" t="s">
        <v>198</v>
      </c>
      <c r="AP1428" s="1">
        <v>1.0</v>
      </c>
      <c r="AQ1428" s="1" t="s">
        <v>1314</v>
      </c>
      <c r="AR1428" s="1" t="s">
        <v>200</v>
      </c>
      <c r="AS1428" s="1" t="s">
        <v>199</v>
      </c>
      <c r="AT1428" s="1">
        <v>2.0</v>
      </c>
      <c r="AV1428" s="1" t="s">
        <v>200</v>
      </c>
      <c r="AW1428" s="1">
        <v>9756.86</v>
      </c>
      <c r="AX1428" s="1">
        <v>2013.0</v>
      </c>
      <c r="AY1428" s="1" t="s">
        <v>387</v>
      </c>
      <c r="AZ1428" s="1" t="s">
        <v>200</v>
      </c>
      <c r="BA1428" s="1" t="str">
        <f>"13132140130000"</f>
        <v>13132140130000</v>
      </c>
      <c r="BB1428" s="1" t="s">
        <v>200</v>
      </c>
      <c r="BC1428" s="1">
        <v>2520.0</v>
      </c>
      <c r="BD1428" s="1">
        <v>356500.0</v>
      </c>
      <c r="BE1428" s="2">
        <v>41834.0</v>
      </c>
      <c r="BF1428" s="2" t="s">
        <v>14722</v>
      </c>
      <c r="BG1428" s="1" t="s">
        <v>2011</v>
      </c>
      <c r="BH1428" s="1">
        <v>0.0</v>
      </c>
      <c r="BI1428" s="1" t="s">
        <v>11276</v>
      </c>
      <c r="BJ1428" s="1" t="s">
        <v>1714</v>
      </c>
      <c r="BK1428" s="1" t="s">
        <v>204</v>
      </c>
      <c r="BL1428" s="1" t="str">
        <f>"23"</f>
        <v>23</v>
      </c>
      <c r="BM1428" s="1" t="str">
        <f>"0"</f>
        <v>0</v>
      </c>
      <c r="BN1428" s="1">
        <v>25.0</v>
      </c>
      <c r="BO1428" s="1">
        <v>0.0</v>
      </c>
      <c r="BQ1428" s="1">
        <v>220.0</v>
      </c>
      <c r="BR1428" s="1">
        <v>220.0</v>
      </c>
      <c r="BS1428" s="1">
        <v>220.0</v>
      </c>
      <c r="BU1428" s="1" t="s">
        <v>453</v>
      </c>
      <c r="BV1428" s="1" t="s">
        <v>206</v>
      </c>
      <c r="BW1428" s="1" t="s">
        <v>207</v>
      </c>
      <c r="BX1428" s="1" t="s">
        <v>1549</v>
      </c>
      <c r="BY1428" s="1" t="s">
        <v>6797</v>
      </c>
      <c r="BZ1428" s="1" t="s">
        <v>209</v>
      </c>
      <c r="CA1428" s="1" t="s">
        <v>207</v>
      </c>
      <c r="CB1428" s="1" t="s">
        <v>229</v>
      </c>
      <c r="CC1428" s="1" t="s">
        <v>433</v>
      </c>
      <c r="CD1428" s="1" t="s">
        <v>206</v>
      </c>
      <c r="CE1428" s="1" t="s">
        <v>207</v>
      </c>
      <c r="CF1428" s="1" t="s">
        <v>1549</v>
      </c>
      <c r="CG1428" s="1" t="s">
        <v>331</v>
      </c>
      <c r="CH1428" s="1" t="s">
        <v>209</v>
      </c>
      <c r="CI1428" s="1" t="s">
        <v>207</v>
      </c>
      <c r="CJ1428" s="1" t="s">
        <v>229</v>
      </c>
      <c r="CK1428" s="1" t="s">
        <v>332</v>
      </c>
      <c r="CL1428" s="1" t="s">
        <v>209</v>
      </c>
      <c r="CM1428" s="1" t="s">
        <v>207</v>
      </c>
      <c r="CN1428" s="1" t="s">
        <v>229</v>
      </c>
      <c r="CO1428" s="1" t="s">
        <v>495</v>
      </c>
      <c r="CP1428" s="1" t="s">
        <v>209</v>
      </c>
      <c r="CQ1428" s="1" t="s">
        <v>207</v>
      </c>
      <c r="CR1428" s="1" t="s">
        <v>229</v>
      </c>
      <c r="CS1428" s="1" t="s">
        <v>208</v>
      </c>
      <c r="CT1428" s="1" t="s">
        <v>206</v>
      </c>
      <c r="CU1428" s="1" t="s">
        <v>2128</v>
      </c>
      <c r="CV1428" s="1" t="s">
        <v>229</v>
      </c>
      <c r="CW1428" s="1" t="s">
        <v>432</v>
      </c>
      <c r="CX1428" s="1" t="s">
        <v>206</v>
      </c>
      <c r="CY1428" s="1" t="s">
        <v>301</v>
      </c>
      <c r="CZ1428" s="1" t="s">
        <v>229</v>
      </c>
      <c r="DA1428" s="1" t="s">
        <v>200</v>
      </c>
      <c r="DC1428" s="1" t="s">
        <v>271</v>
      </c>
      <c r="DD1428" s="1" t="s">
        <v>436</v>
      </c>
      <c r="DE1428" s="1" t="s">
        <v>273</v>
      </c>
      <c r="DF1428" s="1" t="s">
        <v>219</v>
      </c>
      <c r="DG1428" s="1" t="s">
        <v>2237</v>
      </c>
      <c r="DH1428" s="1" t="s">
        <v>856</v>
      </c>
      <c r="DI1428" s="1" t="s">
        <v>308</v>
      </c>
      <c r="DJ1428" s="1" t="s">
        <v>857</v>
      </c>
      <c r="DK1428" s="1" t="s">
        <v>223</v>
      </c>
      <c r="DL1428" s="1" t="s">
        <v>3611</v>
      </c>
      <c r="DM1428" s="1" t="s">
        <v>338</v>
      </c>
      <c r="DN1428" s="1" t="s">
        <v>399</v>
      </c>
      <c r="DO1428" s="1" t="s">
        <v>14723</v>
      </c>
      <c r="DP1428" s="1" t="s">
        <v>400</v>
      </c>
      <c r="DQ1428" s="1" t="s">
        <v>931</v>
      </c>
      <c r="DR1428" s="1" t="s">
        <v>229</v>
      </c>
      <c r="DS1428" s="1" t="s">
        <v>401</v>
      </c>
      <c r="DU1428" s="1" t="s">
        <v>14724</v>
      </c>
      <c r="DV1428" s="1" t="s">
        <v>1103</v>
      </c>
      <c r="DW1428" s="1" t="s">
        <v>1820</v>
      </c>
      <c r="DX1428" s="1" t="s">
        <v>234</v>
      </c>
      <c r="DY1428" s="1" t="s">
        <v>14725</v>
      </c>
      <c r="DZ1428" s="1" t="s">
        <v>310</v>
      </c>
      <c r="EA1428" s="1" t="s">
        <v>447</v>
      </c>
      <c r="EB1428" s="1" t="s">
        <v>345</v>
      </c>
      <c r="EC1428" s="1" t="s">
        <v>237</v>
      </c>
      <c r="ED1428" s="1" t="s">
        <v>407</v>
      </c>
      <c r="EG1428" s="1" t="s">
        <v>1103</v>
      </c>
      <c r="EL1428" s="1" t="s">
        <v>14726</v>
      </c>
      <c r="EM1428" s="1" t="s">
        <v>206</v>
      </c>
      <c r="EN1428" s="1" t="s">
        <v>588</v>
      </c>
      <c r="EO1428" s="1" t="s">
        <v>229</v>
      </c>
      <c r="EQ1428" s="1" t="s">
        <v>238</v>
      </c>
      <c r="EU1428" s="1" t="s">
        <v>238</v>
      </c>
      <c r="EY1428" s="1" t="s">
        <v>238</v>
      </c>
      <c r="FC1428" s="1" t="s">
        <v>238</v>
      </c>
      <c r="FF1428" s="1" t="s">
        <v>239</v>
      </c>
      <c r="FG1428" s="1" t="s">
        <v>192</v>
      </c>
      <c r="FH1428" s="1" t="s">
        <v>192</v>
      </c>
      <c r="FJ1428" s="1" t="s">
        <v>1450</v>
      </c>
      <c r="FK1428" s="1" t="s">
        <v>229</v>
      </c>
      <c r="FL1428" s="1" t="s">
        <v>3218</v>
      </c>
      <c r="FM1428" s="1">
        <v>6076.0</v>
      </c>
      <c r="FN1428" s="1" t="s">
        <v>14727</v>
      </c>
      <c r="FO1428" s="1" t="s">
        <v>14728</v>
      </c>
      <c r="FP1428" s="1">
        <v>61872.0</v>
      </c>
      <c r="FQ1428" s="1" t="s">
        <v>14729</v>
      </c>
      <c r="FU1428" s="1" t="s">
        <v>14730</v>
      </c>
      <c r="FV1428" s="1" t="s">
        <v>200</v>
      </c>
      <c r="FW1428" s="1" t="s">
        <v>14731</v>
      </c>
      <c r="FZ1428" s="1" t="s">
        <v>229</v>
      </c>
      <c r="GA1428" s="1" t="s">
        <v>291</v>
      </c>
      <c r="GB1428" s="2">
        <v>42025.0</v>
      </c>
      <c r="GC1428" s="1" t="s">
        <v>14732</v>
      </c>
    </row>
    <row r="1429">
      <c r="A1429" s="1">
        <v>285000.0</v>
      </c>
      <c r="B1429" s="1" t="s">
        <v>185</v>
      </c>
      <c r="C1429" s="1" t="str">
        <f>"08672343"</f>
        <v>08672343</v>
      </c>
      <c r="D1429" s="1" t="s">
        <v>186</v>
      </c>
      <c r="F1429" s="1" t="str">
        <f>"542"</f>
        <v>542</v>
      </c>
      <c r="G1429" s="2">
        <v>41834.0</v>
      </c>
      <c r="H1429" s="1">
        <v>310750.0</v>
      </c>
      <c r="I1429" s="1">
        <v>325.0</v>
      </c>
      <c r="J1429" s="1">
        <v>299995.0</v>
      </c>
      <c r="K1429" s="2">
        <v>42017.0</v>
      </c>
      <c r="L1429" s="1">
        <v>184.0</v>
      </c>
      <c r="M1429" s="2">
        <v>42017.0</v>
      </c>
      <c r="N1429" s="1" t="s">
        <v>187</v>
      </c>
      <c r="O1429" s="2">
        <v>42047.0</v>
      </c>
      <c r="P1429" s="1">
        <v>214831.0</v>
      </c>
      <c r="Q1429" s="1">
        <v>23120.0</v>
      </c>
      <c r="S1429" s="1">
        <v>840.0</v>
      </c>
      <c r="T1429" s="1" t="s">
        <v>14733</v>
      </c>
      <c r="U1429" s="1" t="s">
        <v>464</v>
      </c>
      <c r="V1429" s="1" t="s">
        <v>3984</v>
      </c>
      <c r="W1429" s="1">
        <v>60542.0</v>
      </c>
      <c r="Y1429" s="1" t="s">
        <v>14734</v>
      </c>
      <c r="Z1429" s="1">
        <v>2014.0</v>
      </c>
      <c r="AA1429" s="1" t="s">
        <v>200</v>
      </c>
      <c r="AB1429" s="1" t="s">
        <v>467</v>
      </c>
      <c r="AC1429" s="1" t="s">
        <v>11410</v>
      </c>
      <c r="AD1429" s="1" t="s">
        <v>3986</v>
      </c>
      <c r="AE1429" s="1" t="s">
        <v>325</v>
      </c>
      <c r="AF1429" s="1" t="s">
        <v>2702</v>
      </c>
      <c r="AG1429" s="1" t="s">
        <v>12012</v>
      </c>
      <c r="AH1429" s="1" t="s">
        <v>14735</v>
      </c>
      <c r="AK1429" s="1">
        <v>11.0</v>
      </c>
      <c r="AL1429" s="1">
        <v>4.0</v>
      </c>
      <c r="AM1429" s="1">
        <v>2.0</v>
      </c>
      <c r="AN1429" s="1">
        <v>1.0</v>
      </c>
      <c r="AO1429" s="1" t="s">
        <v>198</v>
      </c>
      <c r="AP1429" s="1">
        <v>0.0</v>
      </c>
      <c r="AQ1429" s="1" t="s">
        <v>198</v>
      </c>
      <c r="AR1429" s="1" t="s">
        <v>200</v>
      </c>
      <c r="AS1429" s="1" t="s">
        <v>199</v>
      </c>
      <c r="AT1429" s="1">
        <v>3.0</v>
      </c>
      <c r="AV1429" s="1" t="s">
        <v>200</v>
      </c>
      <c r="AW1429" s="1" t="s">
        <v>575</v>
      </c>
      <c r="AX1429" s="1">
        <v>2013.0</v>
      </c>
      <c r="AY1429" s="1" t="s">
        <v>229</v>
      </c>
      <c r="AZ1429" s="1" t="s">
        <v>200</v>
      </c>
      <c r="BA1429" s="1" t="str">
        <f>"1231326003"</f>
        <v>1231326003</v>
      </c>
      <c r="BB1429" s="1" t="s">
        <v>200</v>
      </c>
      <c r="BC1429" s="1">
        <v>3238.0</v>
      </c>
      <c r="BD1429" s="1">
        <v>285000.0</v>
      </c>
      <c r="BE1429" s="2">
        <v>41834.0</v>
      </c>
      <c r="BF1429" s="2" t="s">
        <v>14736</v>
      </c>
      <c r="BG1429" s="1" t="s">
        <v>14737</v>
      </c>
      <c r="BH1429" s="1">
        <v>300.0</v>
      </c>
      <c r="BI1429" s="1" t="s">
        <v>14738</v>
      </c>
      <c r="BJ1429" s="1" t="s">
        <v>14739</v>
      </c>
      <c r="BK1429" s="1" t="s">
        <v>580</v>
      </c>
      <c r="BL1429" s="1" t="str">
        <f t="shared" ref="BL1429:BM1429" si="938">"0"</f>
        <v>0</v>
      </c>
      <c r="BM1429" s="1" t="str">
        <f t="shared" si="938"/>
        <v>0</v>
      </c>
      <c r="BN1429" s="1">
        <v>38.0</v>
      </c>
      <c r="BO1429" s="1">
        <v>4.0</v>
      </c>
      <c r="BQ1429" s="1">
        <v>129.0</v>
      </c>
      <c r="BR1429" s="1">
        <v>129.0</v>
      </c>
      <c r="BS1429" s="1">
        <v>129.0</v>
      </c>
      <c r="BU1429" s="1" t="s">
        <v>331</v>
      </c>
      <c r="BV1429" s="1" t="s">
        <v>206</v>
      </c>
      <c r="BW1429" s="1" t="s">
        <v>207</v>
      </c>
      <c r="BX1429" s="1" t="s">
        <v>229</v>
      </c>
      <c r="BY1429" s="1" t="s">
        <v>2120</v>
      </c>
      <c r="BZ1429" s="1" t="s">
        <v>209</v>
      </c>
      <c r="CA1429" s="1" t="s">
        <v>210</v>
      </c>
      <c r="CC1429" s="1" t="s">
        <v>331</v>
      </c>
      <c r="CD1429" s="1" t="s">
        <v>206</v>
      </c>
      <c r="CE1429" s="1" t="s">
        <v>207</v>
      </c>
      <c r="CF1429" s="1" t="s">
        <v>229</v>
      </c>
      <c r="CG1429" s="1" t="s">
        <v>1395</v>
      </c>
      <c r="CH1429" s="1" t="s">
        <v>209</v>
      </c>
      <c r="CI1429" s="1" t="s">
        <v>210</v>
      </c>
      <c r="CJ1429" s="1" t="s">
        <v>229</v>
      </c>
      <c r="CK1429" s="1" t="s">
        <v>363</v>
      </c>
      <c r="CL1429" s="1" t="s">
        <v>209</v>
      </c>
      <c r="CM1429" s="1" t="s">
        <v>210</v>
      </c>
      <c r="CN1429" s="1" t="s">
        <v>229</v>
      </c>
      <c r="CO1429" s="1" t="s">
        <v>433</v>
      </c>
      <c r="CP1429" s="1" t="s">
        <v>209</v>
      </c>
      <c r="CQ1429" s="1" t="s">
        <v>210</v>
      </c>
      <c r="CR1429" s="1" t="s">
        <v>229</v>
      </c>
      <c r="CS1429" s="1" t="s">
        <v>1183</v>
      </c>
      <c r="CT1429" s="1" t="s">
        <v>206</v>
      </c>
      <c r="CU1429" s="1" t="s">
        <v>207</v>
      </c>
      <c r="CV1429" s="1" t="s">
        <v>229</v>
      </c>
      <c r="CW1429" s="1" t="s">
        <v>2120</v>
      </c>
      <c r="CX1429" s="1" t="s">
        <v>206</v>
      </c>
      <c r="CY1429" s="1" t="s">
        <v>207</v>
      </c>
      <c r="CZ1429" s="1" t="s">
        <v>229</v>
      </c>
      <c r="DA1429" s="1" t="s">
        <v>192</v>
      </c>
      <c r="DB1429" s="2">
        <v>41927.0</v>
      </c>
      <c r="DC1429" s="1" t="s">
        <v>744</v>
      </c>
      <c r="DD1429" s="1" t="s">
        <v>586</v>
      </c>
      <c r="DE1429" s="1" t="s">
        <v>273</v>
      </c>
      <c r="DF1429" s="1" t="s">
        <v>219</v>
      </c>
      <c r="DG1429" s="1" t="s">
        <v>337</v>
      </c>
      <c r="DH1429" s="1" t="s">
        <v>220</v>
      </c>
      <c r="DI1429" s="1" t="s">
        <v>1604</v>
      </c>
      <c r="DJ1429" s="1" t="s">
        <v>222</v>
      </c>
      <c r="DL1429" s="1" t="s">
        <v>223</v>
      </c>
      <c r="DM1429" s="1" t="s">
        <v>1268</v>
      </c>
      <c r="DN1429" s="1" t="s">
        <v>485</v>
      </c>
      <c r="DP1429" s="1" t="s">
        <v>340</v>
      </c>
      <c r="DQ1429" s="1" t="s">
        <v>1557</v>
      </c>
      <c r="DR1429" s="1" t="s">
        <v>1487</v>
      </c>
      <c r="DS1429" s="1" t="s">
        <v>368</v>
      </c>
      <c r="DT1429" s="1" t="s">
        <v>14740</v>
      </c>
      <c r="DU1429" s="1" t="s">
        <v>1355</v>
      </c>
      <c r="DV1429" s="1" t="s">
        <v>3022</v>
      </c>
      <c r="DW1429" s="1" t="s">
        <v>233</v>
      </c>
      <c r="DX1429" s="1" t="s">
        <v>234</v>
      </c>
      <c r="DY1429" s="1" t="s">
        <v>596</v>
      </c>
      <c r="EA1429" s="1" t="s">
        <v>344</v>
      </c>
      <c r="EC1429" s="1" t="s">
        <v>237</v>
      </c>
      <c r="EE1429" s="1" t="s">
        <v>522</v>
      </c>
      <c r="EG1429" s="1" t="s">
        <v>557</v>
      </c>
      <c r="EH1429" s="1" t="s">
        <v>556</v>
      </c>
      <c r="EI1429" s="1" t="s">
        <v>494</v>
      </c>
      <c r="EL1429" s="1" t="s">
        <v>878</v>
      </c>
      <c r="EM1429" s="1" t="s">
        <v>209</v>
      </c>
      <c r="EN1429" s="1" t="s">
        <v>210</v>
      </c>
      <c r="EO1429" s="1" t="s">
        <v>229</v>
      </c>
      <c r="EP1429" s="1" t="s">
        <v>1316</v>
      </c>
      <c r="EQ1429" s="1" t="s">
        <v>206</v>
      </c>
      <c r="ER1429" s="1" t="s">
        <v>207</v>
      </c>
      <c r="ES1429" s="1" t="s">
        <v>229</v>
      </c>
      <c r="ET1429" s="1" t="s">
        <v>2459</v>
      </c>
      <c r="EU1429" s="1" t="s">
        <v>206</v>
      </c>
      <c r="EV1429" s="1" t="s">
        <v>210</v>
      </c>
      <c r="EW1429" s="1" t="s">
        <v>229</v>
      </c>
      <c r="EY1429" s="1" t="s">
        <v>238</v>
      </c>
      <c r="FC1429" s="1" t="s">
        <v>238</v>
      </c>
      <c r="FF1429" s="1" t="s">
        <v>239</v>
      </c>
      <c r="FG1429" s="1" t="s">
        <v>192</v>
      </c>
      <c r="FH1429" s="1" t="s">
        <v>192</v>
      </c>
      <c r="FJ1429" s="1" t="s">
        <v>14741</v>
      </c>
      <c r="FK1429" s="1" t="s">
        <v>229</v>
      </c>
      <c r="FL1429" s="1" t="s">
        <v>1358</v>
      </c>
      <c r="FM1429" s="1">
        <v>23076.0</v>
      </c>
      <c r="FN1429" s="1" t="s">
        <v>1359</v>
      </c>
      <c r="FO1429" s="1" t="s">
        <v>11920</v>
      </c>
      <c r="FP1429" s="1">
        <v>216518.0</v>
      </c>
      <c r="FQ1429" s="1" t="s">
        <v>11921</v>
      </c>
      <c r="FS1429" s="1" t="s">
        <v>11922</v>
      </c>
      <c r="FT1429" s="1" t="s">
        <v>11923</v>
      </c>
      <c r="FU1429" s="1" t="s">
        <v>14742</v>
      </c>
      <c r="FV1429" s="1" t="s">
        <v>200</v>
      </c>
      <c r="FW1429" s="1" t="s">
        <v>12017</v>
      </c>
      <c r="FZ1429" s="1" t="s">
        <v>229</v>
      </c>
      <c r="GA1429" s="1" t="s">
        <v>247</v>
      </c>
      <c r="GB1429" s="2">
        <v>42074.0</v>
      </c>
      <c r="GC1429" s="1" t="s">
        <v>14743</v>
      </c>
    </row>
    <row r="1430">
      <c r="A1430" s="1">
        <v>264497.0</v>
      </c>
      <c r="B1430" s="1" t="s">
        <v>185</v>
      </c>
      <c r="C1430" s="1" t="str">
        <f>"08670964"</f>
        <v>08670964</v>
      </c>
      <c r="D1430" s="1" t="s">
        <v>186</v>
      </c>
      <c r="F1430" s="1" t="str">
        <f t="shared" ref="F1430:F1431" si="939">"123"</f>
        <v>123</v>
      </c>
      <c r="G1430" s="2">
        <v>41832.0</v>
      </c>
      <c r="H1430" s="1">
        <v>249995.0</v>
      </c>
      <c r="I1430" s="1">
        <v>1.0</v>
      </c>
      <c r="J1430" s="1">
        <v>249995.0</v>
      </c>
      <c r="K1430" s="2">
        <v>41832.0</v>
      </c>
      <c r="L1430" s="1">
        <v>1.0</v>
      </c>
      <c r="M1430" s="2">
        <v>41832.0</v>
      </c>
      <c r="N1430" s="1" t="s">
        <v>187</v>
      </c>
      <c r="O1430" s="2">
        <v>42061.0</v>
      </c>
      <c r="P1430" s="1">
        <v>259123.0</v>
      </c>
      <c r="Q1430" s="1">
        <v>24303.0</v>
      </c>
      <c r="S1430" s="1">
        <v>3670.0</v>
      </c>
      <c r="T1430" s="1" t="s">
        <v>14572</v>
      </c>
      <c r="U1430" s="1" t="s">
        <v>569</v>
      </c>
      <c r="V1430" s="1" t="s">
        <v>465</v>
      </c>
      <c r="W1430" s="1">
        <v>60124.0</v>
      </c>
      <c r="Y1430" s="1" t="s">
        <v>11468</v>
      </c>
      <c r="Z1430" s="1">
        <v>2014.0</v>
      </c>
      <c r="AA1430" s="1" t="s">
        <v>200</v>
      </c>
      <c r="AB1430" s="1" t="s">
        <v>193</v>
      </c>
      <c r="AC1430" s="1" t="s">
        <v>571</v>
      </c>
      <c r="AD1430" s="1" t="s">
        <v>469</v>
      </c>
      <c r="AE1430" s="1" t="s">
        <v>325</v>
      </c>
      <c r="AF1430" s="1" t="s">
        <v>572</v>
      </c>
      <c r="AG1430" s="1" t="s">
        <v>11469</v>
      </c>
      <c r="AH1430" s="1" t="s">
        <v>11470</v>
      </c>
      <c r="AI1430" s="1">
        <v>0.3</v>
      </c>
      <c r="AK1430" s="1">
        <v>8.0</v>
      </c>
      <c r="AL1430" s="1">
        <v>4.0</v>
      </c>
      <c r="AM1430" s="1">
        <v>2.0</v>
      </c>
      <c r="AN1430" s="1">
        <v>1.0</v>
      </c>
      <c r="AO1430" s="1" t="s">
        <v>198</v>
      </c>
      <c r="AP1430" s="1">
        <v>1.0</v>
      </c>
      <c r="AQ1430" s="1" t="s">
        <v>198</v>
      </c>
      <c r="AR1430" s="1" t="s">
        <v>200</v>
      </c>
      <c r="AS1430" s="1" t="s">
        <v>199</v>
      </c>
      <c r="AT1430" s="1">
        <v>2.0</v>
      </c>
      <c r="AV1430" s="1" t="s">
        <v>200</v>
      </c>
      <c r="AW1430" s="1" t="s">
        <v>575</v>
      </c>
      <c r="AX1430" s="1">
        <v>2012.0</v>
      </c>
      <c r="AZ1430" s="1" t="s">
        <v>200</v>
      </c>
      <c r="BA1430" s="1" t="str">
        <f>"0525300006"</f>
        <v>0525300006</v>
      </c>
      <c r="BC1430" s="1">
        <v>2423.0</v>
      </c>
      <c r="BD1430" s="1">
        <v>264497.0</v>
      </c>
      <c r="BE1430" s="2">
        <v>41832.0</v>
      </c>
      <c r="BF1430" s="2" t="s">
        <v>14744</v>
      </c>
      <c r="BG1430" s="1" t="s">
        <v>577</v>
      </c>
      <c r="BH1430" s="1">
        <v>421.0</v>
      </c>
      <c r="BI1430" s="1" t="s">
        <v>1975</v>
      </c>
      <c r="BJ1430" s="1" t="s">
        <v>579</v>
      </c>
      <c r="BK1430" s="1" t="s">
        <v>580</v>
      </c>
      <c r="BL1430" s="1" t="str">
        <f>"9"</f>
        <v>9</v>
      </c>
      <c r="BM1430" s="1" t="str">
        <f t="shared" ref="BM1430:BM1431" si="940">"0"</f>
        <v>0</v>
      </c>
      <c r="BN1430" s="1">
        <v>37.0</v>
      </c>
      <c r="BO1430" s="1">
        <v>0.0</v>
      </c>
      <c r="BQ1430" s="1">
        <v>301.0</v>
      </c>
      <c r="BR1430" s="1">
        <v>301.0</v>
      </c>
      <c r="BS1430" s="1">
        <v>301.0</v>
      </c>
      <c r="BU1430" s="1" t="s">
        <v>758</v>
      </c>
      <c r="BV1430" s="1" t="s">
        <v>206</v>
      </c>
      <c r="BW1430" s="1" t="s">
        <v>210</v>
      </c>
      <c r="BX1430" s="1" t="s">
        <v>229</v>
      </c>
      <c r="BY1430" s="1" t="s">
        <v>432</v>
      </c>
      <c r="BZ1430" s="1" t="s">
        <v>209</v>
      </c>
      <c r="CA1430" s="1" t="s">
        <v>210</v>
      </c>
      <c r="CB1430" s="1" t="s">
        <v>229</v>
      </c>
      <c r="CC1430" s="1" t="s">
        <v>262</v>
      </c>
      <c r="CD1430" s="1" t="s">
        <v>206</v>
      </c>
      <c r="CE1430" s="1" t="s">
        <v>210</v>
      </c>
      <c r="CF1430" s="1" t="s">
        <v>229</v>
      </c>
      <c r="CG1430" s="1" t="s">
        <v>332</v>
      </c>
      <c r="CH1430" s="1" t="s">
        <v>209</v>
      </c>
      <c r="CI1430" s="1" t="s">
        <v>210</v>
      </c>
      <c r="CJ1430" s="1" t="s">
        <v>229</v>
      </c>
      <c r="CK1430" s="1" t="s">
        <v>212</v>
      </c>
      <c r="CL1430" s="1" t="s">
        <v>209</v>
      </c>
      <c r="CM1430" s="1" t="s">
        <v>210</v>
      </c>
      <c r="CN1430" s="1" t="s">
        <v>229</v>
      </c>
      <c r="CO1430" s="1" t="s">
        <v>264</v>
      </c>
      <c r="CP1430" s="1" t="s">
        <v>209</v>
      </c>
      <c r="CQ1430" s="1" t="s">
        <v>210</v>
      </c>
      <c r="CR1430" s="1" t="s">
        <v>229</v>
      </c>
      <c r="CS1430" s="1" t="s">
        <v>1892</v>
      </c>
      <c r="CT1430" s="1" t="s">
        <v>206</v>
      </c>
      <c r="CU1430" s="1" t="s">
        <v>207</v>
      </c>
      <c r="CV1430" s="1" t="s">
        <v>229</v>
      </c>
      <c r="CW1430" s="1" t="s">
        <v>616</v>
      </c>
      <c r="CX1430" s="1" t="s">
        <v>206</v>
      </c>
      <c r="CY1430" s="1" t="s">
        <v>210</v>
      </c>
      <c r="CZ1430" s="1" t="s">
        <v>229</v>
      </c>
      <c r="DA1430" s="1" t="s">
        <v>192</v>
      </c>
      <c r="DB1430" s="2">
        <v>42078.0</v>
      </c>
      <c r="DC1430" s="1" t="s">
        <v>744</v>
      </c>
      <c r="DD1430" s="1" t="s">
        <v>786</v>
      </c>
      <c r="DE1430" s="1" t="s">
        <v>273</v>
      </c>
      <c r="DF1430" s="1" t="s">
        <v>219</v>
      </c>
      <c r="DG1430" s="1" t="s">
        <v>587</v>
      </c>
      <c r="DH1430" s="1" t="s">
        <v>220</v>
      </c>
      <c r="DI1430" s="1" t="s">
        <v>589</v>
      </c>
      <c r="DJ1430" s="1" t="s">
        <v>222</v>
      </c>
      <c r="DL1430" s="1" t="s">
        <v>223</v>
      </c>
      <c r="DM1430" s="1" t="s">
        <v>338</v>
      </c>
      <c r="DN1430" s="1" t="s">
        <v>485</v>
      </c>
      <c r="DP1430" s="1" t="s">
        <v>340</v>
      </c>
      <c r="DQ1430" s="1" t="s">
        <v>441</v>
      </c>
      <c r="DR1430" s="1" t="s">
        <v>588</v>
      </c>
      <c r="DS1430" s="1" t="s">
        <v>591</v>
      </c>
      <c r="DT1430" s="1" t="s">
        <v>14745</v>
      </c>
      <c r="DU1430" s="1" t="s">
        <v>10083</v>
      </c>
      <c r="DV1430" s="1" t="s">
        <v>232</v>
      </c>
      <c r="DW1430" s="1" t="s">
        <v>3465</v>
      </c>
      <c r="DX1430" s="1" t="s">
        <v>234</v>
      </c>
      <c r="DY1430" s="1" t="s">
        <v>1051</v>
      </c>
      <c r="DZ1430" s="1" t="s">
        <v>405</v>
      </c>
      <c r="EA1430" s="1" t="s">
        <v>447</v>
      </c>
      <c r="EB1430" s="1" t="s">
        <v>597</v>
      </c>
      <c r="EC1430" s="1" t="s">
        <v>237</v>
      </c>
      <c r="ED1430" s="1" t="s">
        <v>407</v>
      </c>
      <c r="EM1430" s="1" t="s">
        <v>238</v>
      </c>
      <c r="EQ1430" s="1" t="s">
        <v>238</v>
      </c>
      <c r="EU1430" s="1" t="s">
        <v>238</v>
      </c>
      <c r="EY1430" s="1" t="s">
        <v>238</v>
      </c>
      <c r="FC1430" s="1" t="s">
        <v>238</v>
      </c>
      <c r="FF1430" s="1" t="s">
        <v>239</v>
      </c>
      <c r="FG1430" s="1" t="s">
        <v>192</v>
      </c>
      <c r="FH1430" s="1" t="s">
        <v>192</v>
      </c>
      <c r="FJ1430" s="1" t="s">
        <v>11474</v>
      </c>
      <c r="FK1430" s="1" t="s">
        <v>601</v>
      </c>
      <c r="FL1430" s="1" t="s">
        <v>602</v>
      </c>
      <c r="FM1430" s="1">
        <v>25645.0</v>
      </c>
      <c r="FN1430" s="1" t="s">
        <v>603</v>
      </c>
      <c r="FO1430" s="1" t="s">
        <v>604</v>
      </c>
      <c r="FP1430" s="1">
        <v>80455.0</v>
      </c>
      <c r="FT1430" s="1" t="s">
        <v>605</v>
      </c>
      <c r="FU1430" s="1" t="s">
        <v>14746</v>
      </c>
      <c r="FV1430" s="1" t="s">
        <v>200</v>
      </c>
      <c r="FW1430" s="1" t="s">
        <v>607</v>
      </c>
      <c r="FZ1430" s="1" t="s">
        <v>229</v>
      </c>
      <c r="GA1430" s="1" t="s">
        <v>291</v>
      </c>
      <c r="GB1430" s="2">
        <v>42069.0</v>
      </c>
      <c r="GC1430" s="1" t="s">
        <v>14747</v>
      </c>
    </row>
    <row r="1431">
      <c r="A1431" s="1">
        <v>108500.0</v>
      </c>
      <c r="B1431" s="1" t="s">
        <v>185</v>
      </c>
      <c r="C1431" s="1" t="str">
        <f>"08672534"</f>
        <v>08672534</v>
      </c>
      <c r="D1431" s="1" t="s">
        <v>186</v>
      </c>
      <c r="F1431" s="1" t="str">
        <f t="shared" si="939"/>
        <v>123</v>
      </c>
      <c r="G1431" s="2">
        <v>41834.0</v>
      </c>
      <c r="H1431" s="1">
        <v>139900.0</v>
      </c>
      <c r="I1431" s="1">
        <v>213.0</v>
      </c>
      <c r="J1431" s="1">
        <v>114900.0</v>
      </c>
      <c r="K1431" s="2">
        <v>42046.0</v>
      </c>
      <c r="L1431" s="1">
        <v>213.0</v>
      </c>
      <c r="M1431" s="2">
        <v>42046.0</v>
      </c>
      <c r="N1431" s="1" t="s">
        <v>187</v>
      </c>
      <c r="O1431" s="2">
        <v>42083.0</v>
      </c>
      <c r="P1431" s="1">
        <v>88359.0</v>
      </c>
      <c r="Q1431" s="1">
        <v>1384.0</v>
      </c>
      <c r="R1431" s="1">
        <v>2500.0</v>
      </c>
      <c r="S1431" s="1">
        <v>447.0</v>
      </c>
      <c r="T1431" s="1" t="s">
        <v>14748</v>
      </c>
      <c r="U1431" s="1" t="s">
        <v>189</v>
      </c>
      <c r="V1431" s="1" t="s">
        <v>465</v>
      </c>
      <c r="W1431" s="1">
        <v>60123.0</v>
      </c>
      <c r="Y1431" s="1" t="s">
        <v>14749</v>
      </c>
      <c r="Z1431" s="1">
        <v>1909.0</v>
      </c>
      <c r="AA1431" s="1" t="s">
        <v>192</v>
      </c>
      <c r="AB1431" s="1" t="s">
        <v>193</v>
      </c>
      <c r="AD1431" s="1" t="s">
        <v>469</v>
      </c>
      <c r="AE1431" s="1" t="s">
        <v>325</v>
      </c>
      <c r="AF1431" s="1" t="s">
        <v>469</v>
      </c>
      <c r="AH1431" s="1" t="s">
        <v>14750</v>
      </c>
      <c r="AI1431" s="1">
        <v>0.13</v>
      </c>
      <c r="AK1431" s="1">
        <v>8.0</v>
      </c>
      <c r="AL1431" s="1">
        <v>4.0</v>
      </c>
      <c r="AM1431" s="1">
        <v>2.0</v>
      </c>
      <c r="AN1431" s="1">
        <v>0.0</v>
      </c>
      <c r="AO1431" s="1" t="s">
        <v>229</v>
      </c>
      <c r="AQ1431" s="1" t="s">
        <v>198</v>
      </c>
      <c r="AR1431" s="1" t="s">
        <v>200</v>
      </c>
      <c r="AS1431" s="1" t="s">
        <v>828</v>
      </c>
      <c r="AU1431" s="1">
        <v>3.0</v>
      </c>
      <c r="AV1431" s="1" t="s">
        <v>200</v>
      </c>
      <c r="AW1431" s="4">
        <v>3664.4</v>
      </c>
      <c r="AX1431" s="1">
        <v>2013.0</v>
      </c>
      <c r="AY1431" s="1" t="s">
        <v>387</v>
      </c>
      <c r="AZ1431" s="1" t="s">
        <v>200</v>
      </c>
      <c r="BA1431" s="1" t="str">
        <f>"0624156004"</f>
        <v>0624156004</v>
      </c>
      <c r="BB1431" s="1" t="s">
        <v>200</v>
      </c>
      <c r="BC1431" s="1">
        <v>1648.0</v>
      </c>
      <c r="BD1431" s="1">
        <v>108500.0</v>
      </c>
      <c r="BE1431" s="2">
        <v>41834.0</v>
      </c>
      <c r="BF1431" s="2" t="s">
        <v>14751</v>
      </c>
      <c r="BH1431" s="1">
        <v>0.0</v>
      </c>
      <c r="BK1431" s="1" t="s">
        <v>204</v>
      </c>
      <c r="BL1431" s="1" t="str">
        <f>"10"</f>
        <v>10</v>
      </c>
      <c r="BM1431" s="1" t="str">
        <f t="shared" si="940"/>
        <v>0</v>
      </c>
      <c r="BN1431" s="1">
        <v>34.0</v>
      </c>
      <c r="BO1431" s="1">
        <v>0.0</v>
      </c>
      <c r="BQ1431" s="1">
        <v>46.0</v>
      </c>
      <c r="BR1431" s="1">
        <v>46.0</v>
      </c>
      <c r="BS1431" s="1">
        <v>46.0</v>
      </c>
      <c r="BU1431" s="1" t="s">
        <v>331</v>
      </c>
      <c r="BV1431" s="1" t="s">
        <v>206</v>
      </c>
      <c r="BW1431" s="1" t="s">
        <v>207</v>
      </c>
      <c r="BY1431" s="1" t="s">
        <v>215</v>
      </c>
      <c r="BZ1431" s="1" t="s">
        <v>209</v>
      </c>
      <c r="CA1431" s="1" t="s">
        <v>207</v>
      </c>
      <c r="CC1431" s="1" t="s">
        <v>215</v>
      </c>
      <c r="CD1431" s="1" t="s">
        <v>206</v>
      </c>
      <c r="CE1431" s="1" t="s">
        <v>207</v>
      </c>
      <c r="CG1431" s="1" t="s">
        <v>814</v>
      </c>
      <c r="CH1431" s="1" t="s">
        <v>209</v>
      </c>
      <c r="CI1431" s="1" t="s">
        <v>207</v>
      </c>
      <c r="CK1431" s="1" t="s">
        <v>1119</v>
      </c>
      <c r="CL1431" s="1" t="s">
        <v>209</v>
      </c>
      <c r="CM1431" s="1" t="s">
        <v>207</v>
      </c>
      <c r="CO1431" s="1" t="s">
        <v>1119</v>
      </c>
      <c r="CP1431" s="1" t="s">
        <v>206</v>
      </c>
      <c r="CQ1431" s="1" t="s">
        <v>207</v>
      </c>
      <c r="CS1431" s="1" t="s">
        <v>758</v>
      </c>
      <c r="CT1431" s="1" t="s">
        <v>206</v>
      </c>
      <c r="CU1431" s="1" t="s">
        <v>301</v>
      </c>
      <c r="CX1431" s="1" t="s">
        <v>204</v>
      </c>
      <c r="DA1431" s="1" t="s">
        <v>200</v>
      </c>
      <c r="DC1431" s="1" t="s">
        <v>642</v>
      </c>
      <c r="DD1431" s="1" t="s">
        <v>518</v>
      </c>
      <c r="DE1431" s="1" t="s">
        <v>273</v>
      </c>
      <c r="DF1431" s="1" t="s">
        <v>219</v>
      </c>
      <c r="DG1431" s="1" t="s">
        <v>337</v>
      </c>
      <c r="DH1431" s="1" t="s">
        <v>220</v>
      </c>
      <c r="DI1431" s="1" t="s">
        <v>14752</v>
      </c>
      <c r="DJ1431" s="1" t="s">
        <v>222</v>
      </c>
      <c r="DL1431" s="1" t="s">
        <v>223</v>
      </c>
      <c r="DM1431" s="1" t="s">
        <v>229</v>
      </c>
      <c r="DP1431" s="1" t="s">
        <v>340</v>
      </c>
      <c r="DQ1431" s="1" t="s">
        <v>228</v>
      </c>
      <c r="DR1431" s="1" t="s">
        <v>229</v>
      </c>
      <c r="DS1431" s="1" t="s">
        <v>230</v>
      </c>
      <c r="DU1431" s="1" t="s">
        <v>9010</v>
      </c>
      <c r="DV1431" s="1" t="s">
        <v>341</v>
      </c>
      <c r="DW1431" s="1" t="s">
        <v>667</v>
      </c>
      <c r="DX1431" s="1" t="s">
        <v>234</v>
      </c>
      <c r="DY1431" s="1" t="s">
        <v>9395</v>
      </c>
      <c r="EA1431" s="1" t="s">
        <v>3112</v>
      </c>
      <c r="EC1431" s="1" t="s">
        <v>237</v>
      </c>
      <c r="EE1431" s="1" t="s">
        <v>493</v>
      </c>
      <c r="EF1431" s="1" t="s">
        <v>7505</v>
      </c>
      <c r="EG1431" s="1" t="s">
        <v>341</v>
      </c>
      <c r="EL1431" s="1" t="s">
        <v>1119</v>
      </c>
      <c r="EM1431" s="1" t="s">
        <v>209</v>
      </c>
      <c r="EN1431" s="1" t="s">
        <v>207</v>
      </c>
      <c r="EQ1431" s="1" t="s">
        <v>238</v>
      </c>
      <c r="EU1431" s="1" t="s">
        <v>238</v>
      </c>
      <c r="EY1431" s="1" t="s">
        <v>238</v>
      </c>
      <c r="FC1431" s="1" t="s">
        <v>238</v>
      </c>
      <c r="FF1431" s="1" t="s">
        <v>239</v>
      </c>
      <c r="FG1431" s="1" t="s">
        <v>192</v>
      </c>
      <c r="FH1431" s="1" t="s">
        <v>192</v>
      </c>
      <c r="FJ1431" s="1" t="s">
        <v>2552</v>
      </c>
      <c r="FK1431" s="1" t="s">
        <v>348</v>
      </c>
      <c r="FL1431" s="1" t="s">
        <v>1451</v>
      </c>
      <c r="FM1431" s="1">
        <v>7450.0</v>
      </c>
      <c r="FN1431" s="1" t="s">
        <v>1452</v>
      </c>
      <c r="FO1431" s="1" t="s">
        <v>5583</v>
      </c>
      <c r="FP1431" s="1">
        <v>70036.0</v>
      </c>
      <c r="FQ1431" s="1" t="s">
        <v>5584</v>
      </c>
      <c r="FR1431" s="1">
        <v>77640.0</v>
      </c>
      <c r="FU1431" s="1" t="s">
        <v>5585</v>
      </c>
      <c r="FV1431" s="1" t="s">
        <v>200</v>
      </c>
      <c r="FW1431" s="1" t="s">
        <v>290</v>
      </c>
      <c r="FZ1431" s="1" t="s">
        <v>632</v>
      </c>
      <c r="GA1431" s="1" t="s">
        <v>291</v>
      </c>
      <c r="GB1431" s="2">
        <v>42083.0</v>
      </c>
      <c r="GC1431" s="1" t="s">
        <v>14753</v>
      </c>
    </row>
    <row r="1432">
      <c r="A1432" s="1">
        <v>325000.0</v>
      </c>
      <c r="B1432" s="1" t="s">
        <v>185</v>
      </c>
      <c r="C1432" s="1" t="str">
        <f>"08674759"</f>
        <v>08674759</v>
      </c>
      <c r="D1432" s="1" t="s">
        <v>186</v>
      </c>
      <c r="F1432" s="1" t="str">
        <f>"174"</f>
        <v>174</v>
      </c>
      <c r="G1432" s="2">
        <v>41836.0</v>
      </c>
      <c r="H1432" s="1">
        <v>425000.0</v>
      </c>
      <c r="I1432" s="1">
        <v>70.0</v>
      </c>
      <c r="J1432" s="1">
        <v>399000.0</v>
      </c>
      <c r="K1432" s="2">
        <v>41904.0</v>
      </c>
      <c r="L1432" s="1">
        <v>70.0</v>
      </c>
      <c r="M1432" s="2">
        <v>41904.0</v>
      </c>
      <c r="N1432" s="1" t="s">
        <v>249</v>
      </c>
      <c r="O1432" s="2">
        <v>42062.0</v>
      </c>
      <c r="P1432" s="1">
        <v>1562.0</v>
      </c>
      <c r="Q1432" s="1">
        <v>357.0</v>
      </c>
      <c r="S1432" s="1">
        <v>975.0</v>
      </c>
      <c r="T1432" s="1" t="s">
        <v>14754</v>
      </c>
      <c r="U1432" s="1" t="s">
        <v>569</v>
      </c>
      <c r="V1432" s="1" t="s">
        <v>1200</v>
      </c>
      <c r="W1432" s="1">
        <v>60174.0</v>
      </c>
      <c r="Y1432" s="1" t="s">
        <v>14755</v>
      </c>
      <c r="Z1432" s="1">
        <v>1984.0</v>
      </c>
      <c r="AA1432" s="1" t="s">
        <v>200</v>
      </c>
      <c r="AB1432" s="1" t="s">
        <v>467</v>
      </c>
      <c r="AC1432" s="1" t="s">
        <v>14756</v>
      </c>
      <c r="AD1432" s="1" t="s">
        <v>1203</v>
      </c>
      <c r="AE1432" s="1" t="s">
        <v>325</v>
      </c>
      <c r="AF1432" s="1" t="s">
        <v>1203</v>
      </c>
      <c r="AH1432" s="1" t="s">
        <v>14757</v>
      </c>
      <c r="AI1432" s="1">
        <v>0.7836</v>
      </c>
      <c r="AK1432" s="1">
        <v>12.0</v>
      </c>
      <c r="AL1432" s="1">
        <v>4.0</v>
      </c>
      <c r="AM1432" s="1">
        <v>3.0</v>
      </c>
      <c r="AN1432" s="1">
        <v>1.0</v>
      </c>
      <c r="AO1432" s="1" t="s">
        <v>198</v>
      </c>
      <c r="AP1432" s="1">
        <v>2.0</v>
      </c>
      <c r="AQ1432" s="1" t="s">
        <v>198</v>
      </c>
      <c r="AR1432" s="1" t="s">
        <v>192</v>
      </c>
      <c r="AS1432" s="1" t="s">
        <v>199</v>
      </c>
      <c r="AT1432" s="1">
        <v>3.0</v>
      </c>
      <c r="AV1432" s="1" t="s">
        <v>200</v>
      </c>
      <c r="AW1432" s="1">
        <v>14385.0</v>
      </c>
      <c r="AX1432" s="1">
        <v>2013.0</v>
      </c>
      <c r="AZ1432" s="1" t="s">
        <v>200</v>
      </c>
      <c r="BA1432" s="1" t="str">
        <f>"0927205010"</f>
        <v>0927205010</v>
      </c>
      <c r="BC1432" s="1">
        <v>3334.0</v>
      </c>
      <c r="BD1432" s="1">
        <v>325000.0</v>
      </c>
      <c r="BE1432" s="2">
        <v>41835.0</v>
      </c>
      <c r="BF1432" s="2" t="s">
        <v>14758</v>
      </c>
      <c r="BH1432" s="1">
        <v>100.0</v>
      </c>
      <c r="BK1432" s="1" t="s">
        <v>580</v>
      </c>
      <c r="BL1432" s="1" t="str">
        <f t="shared" ref="BL1432:BM1432" si="941">""</f>
        <v/>
      </c>
      <c r="BM1432" s="1" t="str">
        <f t="shared" si="941"/>
        <v/>
      </c>
      <c r="BQ1432" s="1">
        <v>303.0</v>
      </c>
      <c r="BR1432" s="1">
        <v>303.0</v>
      </c>
      <c r="BS1432" s="1">
        <v>303.0</v>
      </c>
      <c r="BU1432" s="1" t="s">
        <v>208</v>
      </c>
      <c r="BV1432" s="1" t="s">
        <v>206</v>
      </c>
      <c r="BW1432" s="1" t="s">
        <v>210</v>
      </c>
      <c r="BY1432" s="1" t="s">
        <v>432</v>
      </c>
      <c r="BZ1432" s="1" t="s">
        <v>209</v>
      </c>
      <c r="CA1432" s="1" t="s">
        <v>210</v>
      </c>
      <c r="CC1432" s="1" t="s">
        <v>215</v>
      </c>
      <c r="CD1432" s="1" t="s">
        <v>206</v>
      </c>
      <c r="CE1432" s="1" t="s">
        <v>210</v>
      </c>
      <c r="CG1432" s="1" t="s">
        <v>329</v>
      </c>
      <c r="CH1432" s="1" t="s">
        <v>209</v>
      </c>
      <c r="CI1432" s="1" t="s">
        <v>210</v>
      </c>
      <c r="CK1432" s="1" t="s">
        <v>758</v>
      </c>
      <c r="CL1432" s="1" t="s">
        <v>209</v>
      </c>
      <c r="CM1432" s="1" t="s">
        <v>210</v>
      </c>
      <c r="CO1432" s="1" t="s">
        <v>758</v>
      </c>
      <c r="CP1432" s="1" t="s">
        <v>209</v>
      </c>
      <c r="CQ1432" s="1" t="s">
        <v>210</v>
      </c>
      <c r="CS1432" s="1" t="s">
        <v>1001</v>
      </c>
      <c r="CT1432" s="1" t="s">
        <v>206</v>
      </c>
      <c r="CU1432" s="1" t="s">
        <v>207</v>
      </c>
      <c r="CW1432" s="1" t="s">
        <v>390</v>
      </c>
      <c r="CX1432" s="1" t="s">
        <v>206</v>
      </c>
      <c r="CY1432" s="1" t="s">
        <v>207</v>
      </c>
      <c r="DA1432" s="1" t="s">
        <v>200</v>
      </c>
      <c r="DC1432" s="1" t="s">
        <v>305</v>
      </c>
      <c r="DD1432" s="1" t="s">
        <v>336</v>
      </c>
      <c r="DE1432" s="1" t="s">
        <v>273</v>
      </c>
      <c r="DF1432" s="1" t="s">
        <v>219</v>
      </c>
      <c r="DH1432" s="1" t="s">
        <v>220</v>
      </c>
      <c r="DI1432" s="1" t="s">
        <v>14759</v>
      </c>
      <c r="DJ1432" s="1" t="s">
        <v>222</v>
      </c>
      <c r="DL1432" s="1" t="s">
        <v>224</v>
      </c>
      <c r="DM1432" s="1" t="s">
        <v>229</v>
      </c>
      <c r="DN1432" s="1" t="s">
        <v>399</v>
      </c>
      <c r="DP1432" s="1" t="s">
        <v>340</v>
      </c>
      <c r="DQ1432" s="1" t="s">
        <v>1557</v>
      </c>
      <c r="DR1432" s="1" t="s">
        <v>229</v>
      </c>
      <c r="DU1432" s="1" t="s">
        <v>14760</v>
      </c>
      <c r="DV1432" s="1" t="s">
        <v>14761</v>
      </c>
      <c r="DW1432" s="1" t="s">
        <v>10739</v>
      </c>
      <c r="DX1432" s="1" t="s">
        <v>234</v>
      </c>
      <c r="DY1432" s="1" t="s">
        <v>3231</v>
      </c>
      <c r="EA1432" s="1" t="s">
        <v>2535</v>
      </c>
      <c r="EB1432" s="1" t="s">
        <v>492</v>
      </c>
      <c r="EC1432" s="1" t="s">
        <v>237</v>
      </c>
      <c r="ED1432" s="1" t="s">
        <v>407</v>
      </c>
      <c r="EG1432" s="1" t="s">
        <v>494</v>
      </c>
      <c r="EH1432" s="1" t="s">
        <v>557</v>
      </c>
      <c r="EI1432" s="1" t="s">
        <v>450</v>
      </c>
      <c r="EJ1432" s="1" t="s">
        <v>2129</v>
      </c>
      <c r="EK1432" s="1" t="s">
        <v>598</v>
      </c>
      <c r="EL1432" s="1" t="s">
        <v>478</v>
      </c>
      <c r="EM1432" s="1" t="s">
        <v>206</v>
      </c>
      <c r="EN1432" s="1" t="s">
        <v>207</v>
      </c>
      <c r="EP1432" s="1" t="s">
        <v>3228</v>
      </c>
      <c r="EQ1432" s="1" t="s">
        <v>209</v>
      </c>
      <c r="ER1432" s="1" t="s">
        <v>210</v>
      </c>
      <c r="ET1432" s="1" t="s">
        <v>2119</v>
      </c>
      <c r="EU1432" s="1" t="s">
        <v>42</v>
      </c>
      <c r="EV1432" s="1" t="s">
        <v>210</v>
      </c>
      <c r="EX1432" s="1" t="s">
        <v>1483</v>
      </c>
      <c r="EY1432" s="1" t="s">
        <v>206</v>
      </c>
      <c r="FB1432" s="1" t="s">
        <v>3805</v>
      </c>
      <c r="FC1432" s="1" t="s">
        <v>42</v>
      </c>
      <c r="FD1432" s="1" t="s">
        <v>207</v>
      </c>
      <c r="FF1432" s="1" t="s">
        <v>239</v>
      </c>
      <c r="FG1432" s="1" t="s">
        <v>192</v>
      </c>
      <c r="FH1432" s="1" t="s">
        <v>192</v>
      </c>
      <c r="FJ1432" s="1" t="s">
        <v>2133</v>
      </c>
      <c r="FK1432" s="1" t="s">
        <v>1586</v>
      </c>
      <c r="FL1432" s="1" t="s">
        <v>1212</v>
      </c>
      <c r="FM1432" s="1">
        <v>30.0</v>
      </c>
      <c r="FN1432" s="1" t="s">
        <v>1213</v>
      </c>
      <c r="FO1432" s="1" t="s">
        <v>14762</v>
      </c>
      <c r="FP1432" s="1">
        <v>523.0</v>
      </c>
      <c r="FQ1432" s="1" t="s">
        <v>14763</v>
      </c>
      <c r="FR1432" s="1">
        <v>473.0</v>
      </c>
      <c r="FS1432" s="1" t="s">
        <v>14764</v>
      </c>
      <c r="FU1432" s="1" t="s">
        <v>14765</v>
      </c>
      <c r="FV1432" s="1" t="s">
        <v>200</v>
      </c>
      <c r="FW1432" s="1" t="s">
        <v>290</v>
      </c>
      <c r="FZ1432" s="1" t="s">
        <v>229</v>
      </c>
      <c r="GA1432" s="1" t="s">
        <v>291</v>
      </c>
      <c r="GB1432" s="2">
        <v>42062.0</v>
      </c>
      <c r="GC1432" s="1" t="s">
        <v>14766</v>
      </c>
    </row>
    <row r="1433">
      <c r="A1433" s="1">
        <v>80222.0</v>
      </c>
      <c r="B1433" s="1" t="s">
        <v>185</v>
      </c>
      <c r="C1433" s="1" t="str">
        <f>"08670510"</f>
        <v>08670510</v>
      </c>
      <c r="D1433" s="1" t="s">
        <v>186</v>
      </c>
      <c r="F1433" s="1" t="str">
        <f>"8065"</f>
        <v>8065</v>
      </c>
      <c r="G1433" s="2">
        <v>41831.0</v>
      </c>
      <c r="H1433" s="1">
        <v>143000.0</v>
      </c>
      <c r="I1433" s="1">
        <v>155.0</v>
      </c>
      <c r="J1433" s="1">
        <v>132000.0</v>
      </c>
      <c r="K1433" s="2">
        <v>41985.0</v>
      </c>
      <c r="L1433" s="1">
        <v>155.0</v>
      </c>
      <c r="M1433" s="2">
        <v>41985.0</v>
      </c>
      <c r="N1433" s="1" t="s">
        <v>249</v>
      </c>
      <c r="O1433" s="2">
        <v>42048.0</v>
      </c>
      <c r="P1433" s="1">
        <v>99999.0</v>
      </c>
      <c r="Q1433" s="1" t="s">
        <v>947</v>
      </c>
      <c r="S1433" s="1">
        <v>3700.0</v>
      </c>
      <c r="T1433" s="1" t="s">
        <v>10517</v>
      </c>
      <c r="U1433" s="1" t="s">
        <v>320</v>
      </c>
      <c r="V1433" s="1" t="s">
        <v>190</v>
      </c>
      <c r="W1433" s="1">
        <v>60629.0</v>
      </c>
      <c r="Y1433" s="1" t="s">
        <v>14767</v>
      </c>
      <c r="Z1433" s="1" t="s">
        <v>296</v>
      </c>
      <c r="AA1433" s="1" t="s">
        <v>192</v>
      </c>
      <c r="AB1433" s="1" t="s">
        <v>193</v>
      </c>
      <c r="AD1433" s="1" t="s">
        <v>194</v>
      </c>
      <c r="AE1433" s="1" t="s">
        <v>195</v>
      </c>
      <c r="AF1433" s="1" t="s">
        <v>196</v>
      </c>
      <c r="AH1433" s="1" t="s">
        <v>779</v>
      </c>
      <c r="AI1433" s="1">
        <v>0.09</v>
      </c>
      <c r="AK1433" s="1">
        <v>8.0</v>
      </c>
      <c r="AL1433" s="1">
        <v>4.0</v>
      </c>
      <c r="AM1433" s="1">
        <v>2.0</v>
      </c>
      <c r="AN1433" s="1">
        <v>1.0</v>
      </c>
      <c r="AO1433" s="1" t="s">
        <v>229</v>
      </c>
      <c r="AQ1433" s="1" t="s">
        <v>327</v>
      </c>
      <c r="AR1433" s="1" t="s">
        <v>192</v>
      </c>
      <c r="AS1433" s="1" t="s">
        <v>199</v>
      </c>
      <c r="AT1433" s="1">
        <v>2.0</v>
      </c>
      <c r="AV1433" s="1" t="s">
        <v>200</v>
      </c>
      <c r="AW1433" s="1">
        <v>3441.84</v>
      </c>
      <c r="AX1433" s="1">
        <v>2013.0</v>
      </c>
      <c r="AZ1433" s="1" t="s">
        <v>200</v>
      </c>
      <c r="BA1433" s="1" t="str">
        <f>"45422128104050"</f>
        <v>45422128104050</v>
      </c>
      <c r="BC1433" s="1">
        <v>0.0</v>
      </c>
      <c r="BD1433" s="1">
        <v>80222.0</v>
      </c>
      <c r="BE1433" s="2">
        <v>41831.0</v>
      </c>
      <c r="BF1433" s="1" t="s">
        <v>14768</v>
      </c>
      <c r="BH1433" s="1">
        <v>0.0</v>
      </c>
      <c r="BK1433" s="1" t="s">
        <v>204</v>
      </c>
      <c r="BL1433" s="1" t="str">
        <f t="shared" ref="BL1433:BM1433" si="942">"0"</f>
        <v>0</v>
      </c>
      <c r="BM1433" s="1" t="str">
        <f t="shared" si="942"/>
        <v>0</v>
      </c>
      <c r="BN1433" s="1">
        <v>3700.0</v>
      </c>
      <c r="BO1433" s="1">
        <v>6900.0</v>
      </c>
      <c r="BQ1433" s="1">
        <v>299.0</v>
      </c>
      <c r="BR1433" s="1">
        <v>299.0</v>
      </c>
      <c r="BS1433" s="1">
        <v>299.0</v>
      </c>
      <c r="BU1433" s="1" t="s">
        <v>454</v>
      </c>
      <c r="BV1433" s="1" t="s">
        <v>206</v>
      </c>
      <c r="BW1433" s="1" t="s">
        <v>207</v>
      </c>
      <c r="BX1433" s="1" t="s">
        <v>229</v>
      </c>
      <c r="BY1433" s="1" t="s">
        <v>331</v>
      </c>
      <c r="BZ1433" s="1" t="s">
        <v>206</v>
      </c>
      <c r="CA1433" s="1" t="s">
        <v>588</v>
      </c>
      <c r="CD1433" s="1" t="s">
        <v>204</v>
      </c>
      <c r="CG1433" s="1" t="s">
        <v>212</v>
      </c>
      <c r="CH1433" s="1" t="s">
        <v>206</v>
      </c>
      <c r="CI1433" s="1" t="s">
        <v>588</v>
      </c>
      <c r="CK1433" s="1" t="s">
        <v>302</v>
      </c>
      <c r="CL1433" s="1" t="s">
        <v>209</v>
      </c>
      <c r="CM1433" s="1" t="s">
        <v>210</v>
      </c>
      <c r="CO1433" s="1" t="s">
        <v>363</v>
      </c>
      <c r="CP1433" s="1" t="s">
        <v>209</v>
      </c>
      <c r="CQ1433" s="1" t="s">
        <v>210</v>
      </c>
      <c r="CS1433" s="1" t="s">
        <v>363</v>
      </c>
      <c r="CT1433" s="1" t="s">
        <v>206</v>
      </c>
      <c r="CU1433" s="1" t="s">
        <v>210</v>
      </c>
      <c r="CV1433" s="1" t="s">
        <v>229</v>
      </c>
      <c r="CW1433" s="1" t="s">
        <v>364</v>
      </c>
      <c r="CX1433" s="1" t="s">
        <v>267</v>
      </c>
      <c r="CY1433" s="1" t="s">
        <v>268</v>
      </c>
      <c r="CZ1433" s="1" t="s">
        <v>229</v>
      </c>
      <c r="DA1433" s="1" t="s">
        <v>200</v>
      </c>
      <c r="DC1433" s="1" t="s">
        <v>545</v>
      </c>
      <c r="DD1433" s="1" t="s">
        <v>518</v>
      </c>
      <c r="DE1433" s="1" t="s">
        <v>273</v>
      </c>
      <c r="DF1433" s="1" t="s">
        <v>219</v>
      </c>
      <c r="DG1433" s="1" t="s">
        <v>1657</v>
      </c>
      <c r="DH1433" s="1" t="s">
        <v>220</v>
      </c>
      <c r="DJ1433" s="1" t="s">
        <v>222</v>
      </c>
      <c r="DK1433" s="1" t="s">
        <v>1570</v>
      </c>
      <c r="DL1433" s="1" t="s">
        <v>224</v>
      </c>
      <c r="DM1433" s="1" t="s">
        <v>229</v>
      </c>
      <c r="DQ1433" s="1" t="s">
        <v>228</v>
      </c>
      <c r="DR1433" s="1" t="s">
        <v>229</v>
      </c>
      <c r="DS1433" s="1" t="s">
        <v>230</v>
      </c>
      <c r="DV1433" s="1" t="s">
        <v>14769</v>
      </c>
      <c r="DW1433" s="1" t="s">
        <v>279</v>
      </c>
      <c r="DX1433" s="1" t="s">
        <v>3205</v>
      </c>
      <c r="EA1433" s="1" t="s">
        <v>1075</v>
      </c>
      <c r="EC1433" s="1" t="s">
        <v>645</v>
      </c>
      <c r="EG1433" s="1" t="s">
        <v>1164</v>
      </c>
      <c r="EI1433" s="1" t="s">
        <v>1103</v>
      </c>
      <c r="EL1433" s="1" t="s">
        <v>215</v>
      </c>
      <c r="EM1433" s="1" t="s">
        <v>267</v>
      </c>
      <c r="EN1433" s="1" t="s">
        <v>268</v>
      </c>
      <c r="EQ1433" s="1" t="s">
        <v>238</v>
      </c>
      <c r="ET1433" s="1" t="s">
        <v>363</v>
      </c>
      <c r="EU1433" s="1" t="s">
        <v>267</v>
      </c>
      <c r="EV1433" s="1" t="s">
        <v>268</v>
      </c>
      <c r="EY1433" s="1" t="s">
        <v>238</v>
      </c>
      <c r="FC1433" s="1" t="s">
        <v>238</v>
      </c>
      <c r="FF1433" s="1" t="s">
        <v>239</v>
      </c>
      <c r="FG1433" s="1" t="s">
        <v>192</v>
      </c>
      <c r="FH1433" s="1" t="s">
        <v>192</v>
      </c>
      <c r="FJ1433" s="1" t="s">
        <v>8656</v>
      </c>
      <c r="FK1433" s="1" t="s">
        <v>229</v>
      </c>
      <c r="FL1433" s="1" t="s">
        <v>14770</v>
      </c>
      <c r="FM1433" s="1">
        <v>84982.0</v>
      </c>
      <c r="FN1433" s="1" t="s">
        <v>14771</v>
      </c>
      <c r="FO1433" s="1" t="s">
        <v>14772</v>
      </c>
      <c r="FP1433" s="1">
        <v>109438.0</v>
      </c>
      <c r="FQ1433" s="1" t="s">
        <v>14771</v>
      </c>
      <c r="FU1433" s="1" t="s">
        <v>14773</v>
      </c>
      <c r="FV1433" s="1" t="s">
        <v>192</v>
      </c>
      <c r="FW1433" s="1" t="s">
        <v>290</v>
      </c>
      <c r="FX1433" s="1" t="s">
        <v>246</v>
      </c>
      <c r="FZ1433" s="1" t="s">
        <v>229</v>
      </c>
      <c r="GA1433" s="1" t="s">
        <v>291</v>
      </c>
      <c r="GB1433" s="2">
        <v>42052.0</v>
      </c>
      <c r="GC1433" s="1" t="s">
        <v>14774</v>
      </c>
    </row>
    <row r="1434">
      <c r="A1434" s="1">
        <v>10924.0</v>
      </c>
      <c r="B1434" s="1" t="s">
        <v>185</v>
      </c>
      <c r="C1434" s="1" t="str">
        <f>"08669784"</f>
        <v>08669784</v>
      </c>
      <c r="D1434" s="1" t="s">
        <v>186</v>
      </c>
      <c r="F1434" s="1" t="str">
        <f>"8069"</f>
        <v>8069</v>
      </c>
      <c r="G1434" s="2">
        <v>41831.0</v>
      </c>
      <c r="H1434" s="1">
        <v>28000.0</v>
      </c>
      <c r="I1434" s="1">
        <v>291.0</v>
      </c>
      <c r="J1434" s="1">
        <v>10500.0</v>
      </c>
      <c r="K1434" s="2">
        <v>42121.0</v>
      </c>
      <c r="L1434" s="1">
        <v>291.0</v>
      </c>
      <c r="M1434" s="2">
        <v>42121.0</v>
      </c>
      <c r="N1434" s="1" t="s">
        <v>249</v>
      </c>
      <c r="O1434" s="2">
        <v>42142.0</v>
      </c>
      <c r="P1434" s="1">
        <v>407344.0</v>
      </c>
      <c r="Q1434" s="1">
        <v>40335.0</v>
      </c>
      <c r="S1434" s="1">
        <v>1224.0</v>
      </c>
      <c r="T1434" s="1" t="s">
        <v>10517</v>
      </c>
      <c r="U1434" s="1" t="s">
        <v>320</v>
      </c>
      <c r="V1434" s="1" t="s">
        <v>190</v>
      </c>
      <c r="W1434" s="1">
        <v>60637.0</v>
      </c>
      <c r="Y1434" s="1" t="s">
        <v>14775</v>
      </c>
      <c r="Z1434" s="1">
        <v>1909.0</v>
      </c>
      <c r="AA1434" s="1" t="s">
        <v>192</v>
      </c>
      <c r="AB1434" s="1" t="s">
        <v>193</v>
      </c>
      <c r="AD1434" s="1" t="s">
        <v>194</v>
      </c>
      <c r="AE1434" s="1" t="s">
        <v>195</v>
      </c>
      <c r="AF1434" s="1" t="s">
        <v>637</v>
      </c>
      <c r="AH1434" s="1">
        <v>6250.0</v>
      </c>
      <c r="AI1434" s="1">
        <v>0.1435</v>
      </c>
      <c r="AK1434" s="1">
        <v>8.0</v>
      </c>
      <c r="AL1434" s="1">
        <v>4.0</v>
      </c>
      <c r="AM1434" s="1">
        <v>2.0</v>
      </c>
      <c r="AN1434" s="1">
        <v>0.0</v>
      </c>
      <c r="AO1434" s="1" t="s">
        <v>229</v>
      </c>
      <c r="AQ1434" s="1" t="s">
        <v>198</v>
      </c>
      <c r="AR1434" s="1" t="s">
        <v>200</v>
      </c>
      <c r="AS1434" s="1" t="s">
        <v>199</v>
      </c>
      <c r="AT1434" s="1">
        <v>1.0</v>
      </c>
      <c r="AV1434" s="1" t="s">
        <v>200</v>
      </c>
      <c r="AW1434" s="1">
        <v>1881.13</v>
      </c>
      <c r="AX1434" s="1">
        <v>2012.0</v>
      </c>
      <c r="AZ1434" s="1" t="s">
        <v>545</v>
      </c>
      <c r="BA1434" s="1" t="str">
        <f>"20234000090000"</f>
        <v>20234000090000</v>
      </c>
      <c r="BC1434" s="1">
        <v>1168.0</v>
      </c>
      <c r="BD1434" s="1">
        <v>10924.0</v>
      </c>
      <c r="BE1434" s="2">
        <v>41831.0</v>
      </c>
      <c r="BF1434" s="2" t="s">
        <v>3507</v>
      </c>
      <c r="BH1434" s="1">
        <v>0.0</v>
      </c>
      <c r="BK1434" s="1" t="s">
        <v>204</v>
      </c>
      <c r="BL1434" s="1" t="str">
        <f>"0"</f>
        <v>0</v>
      </c>
      <c r="BM1434" s="1" t="str">
        <f>"1417"</f>
        <v>1417</v>
      </c>
      <c r="BN1434" s="1">
        <v>0.0</v>
      </c>
      <c r="BO1434" s="1">
        <v>6900.0</v>
      </c>
      <c r="BQ1434" s="1">
        <v>299.0</v>
      </c>
      <c r="BR1434" s="1">
        <v>299.0</v>
      </c>
      <c r="BS1434" s="1">
        <v>299.0</v>
      </c>
      <c r="BU1434" s="1" t="s">
        <v>433</v>
      </c>
      <c r="BV1434" s="1" t="s">
        <v>206</v>
      </c>
      <c r="BY1434" s="1" t="s">
        <v>215</v>
      </c>
      <c r="BZ1434" s="1" t="s">
        <v>206</v>
      </c>
      <c r="CC1434" s="1" t="s">
        <v>516</v>
      </c>
      <c r="CD1434" s="1" t="s">
        <v>206</v>
      </c>
      <c r="CG1434" s="1" t="s">
        <v>264</v>
      </c>
      <c r="CH1434" s="1" t="s">
        <v>206</v>
      </c>
      <c r="CK1434" s="1" t="s">
        <v>269</v>
      </c>
      <c r="CL1434" s="1" t="s">
        <v>206</v>
      </c>
      <c r="CO1434" s="1" t="s">
        <v>269</v>
      </c>
      <c r="CP1434" s="1" t="s">
        <v>206</v>
      </c>
      <c r="CS1434" s="1" t="s">
        <v>3182</v>
      </c>
      <c r="CT1434" s="1" t="s">
        <v>206</v>
      </c>
      <c r="CW1434" s="1" t="s">
        <v>495</v>
      </c>
      <c r="CX1434" s="1" t="s">
        <v>206</v>
      </c>
      <c r="DA1434" s="1" t="s">
        <v>200</v>
      </c>
      <c r="DC1434" s="1" t="s">
        <v>642</v>
      </c>
      <c r="DE1434" s="1" t="s">
        <v>229</v>
      </c>
      <c r="DF1434" s="1" t="s">
        <v>588</v>
      </c>
      <c r="DH1434" s="1" t="s">
        <v>588</v>
      </c>
      <c r="DJ1434" s="1" t="s">
        <v>588</v>
      </c>
      <c r="DL1434" s="1" t="s">
        <v>223</v>
      </c>
      <c r="DM1434" s="1" t="s">
        <v>229</v>
      </c>
      <c r="DQ1434" s="1" t="s">
        <v>441</v>
      </c>
      <c r="DR1434" s="1" t="s">
        <v>229</v>
      </c>
      <c r="DV1434" s="1" t="s">
        <v>232</v>
      </c>
      <c r="DW1434" s="1" t="s">
        <v>667</v>
      </c>
      <c r="DX1434" s="1" t="s">
        <v>234</v>
      </c>
      <c r="EC1434" s="1" t="s">
        <v>645</v>
      </c>
      <c r="EE1434" s="1" t="s">
        <v>1960</v>
      </c>
      <c r="EM1434" s="1" t="s">
        <v>238</v>
      </c>
      <c r="EQ1434" s="1" t="s">
        <v>238</v>
      </c>
      <c r="EU1434" s="1" t="s">
        <v>238</v>
      </c>
      <c r="EY1434" s="1" t="s">
        <v>238</v>
      </c>
      <c r="FC1434" s="1" t="s">
        <v>238</v>
      </c>
      <c r="FF1434" s="1" t="s">
        <v>239</v>
      </c>
      <c r="FG1434" s="1" t="s">
        <v>192</v>
      </c>
      <c r="FH1434" s="1" t="s">
        <v>192</v>
      </c>
      <c r="FJ1434" s="1" t="s">
        <v>3509</v>
      </c>
      <c r="FK1434" s="1" t="s">
        <v>229</v>
      </c>
      <c r="FL1434" s="1" t="s">
        <v>3033</v>
      </c>
      <c r="FM1434" s="1">
        <v>1984.0</v>
      </c>
      <c r="FN1434" s="1" t="s">
        <v>3034</v>
      </c>
      <c r="FO1434" s="1" t="s">
        <v>8682</v>
      </c>
      <c r="FP1434" s="1">
        <v>923546.0</v>
      </c>
      <c r="FQ1434" s="1" t="s">
        <v>8683</v>
      </c>
      <c r="FU1434" s="1" t="s">
        <v>4334</v>
      </c>
      <c r="FV1434" s="1" t="s">
        <v>200</v>
      </c>
      <c r="FW1434" s="1" t="s">
        <v>4335</v>
      </c>
      <c r="FX1434" s="1" t="s">
        <v>1739</v>
      </c>
      <c r="FZ1434" s="1" t="s">
        <v>229</v>
      </c>
      <c r="GA1434" s="1" t="s">
        <v>291</v>
      </c>
      <c r="GB1434" s="2">
        <v>42144.0</v>
      </c>
      <c r="GC1434" s="1" t="s">
        <v>3510</v>
      </c>
    </row>
    <row r="1435">
      <c r="A1435" s="1">
        <v>163000.0</v>
      </c>
      <c r="B1435" s="1" t="s">
        <v>185</v>
      </c>
      <c r="C1435" s="1" t="str">
        <f>"08671001"</f>
        <v>08671001</v>
      </c>
      <c r="D1435" s="1" t="s">
        <v>186</v>
      </c>
      <c r="F1435" s="1" t="str">
        <f>"123"</f>
        <v>123</v>
      </c>
      <c r="G1435" s="2">
        <v>41832.0</v>
      </c>
      <c r="H1435" s="1">
        <v>189900.0</v>
      </c>
      <c r="I1435" s="1">
        <v>136.0</v>
      </c>
      <c r="J1435" s="1">
        <v>169000.0</v>
      </c>
      <c r="K1435" s="2">
        <v>41967.0</v>
      </c>
      <c r="L1435" s="1">
        <v>136.0</v>
      </c>
      <c r="M1435" s="2">
        <v>41967.0</v>
      </c>
      <c r="N1435" s="1" t="s">
        <v>356</v>
      </c>
      <c r="O1435" s="2">
        <v>42013.0</v>
      </c>
      <c r="P1435" s="1">
        <v>85744.0</v>
      </c>
      <c r="Q1435" s="1">
        <v>8970.0</v>
      </c>
      <c r="R1435" s="1">
        <v>3000.0</v>
      </c>
      <c r="S1435" s="1">
        <v>29.0</v>
      </c>
      <c r="T1435" s="1" t="s">
        <v>8360</v>
      </c>
      <c r="U1435" s="1" t="s">
        <v>189</v>
      </c>
      <c r="V1435" s="1" t="s">
        <v>465</v>
      </c>
      <c r="W1435" s="1">
        <v>60123.0</v>
      </c>
      <c r="Y1435" s="1" t="s">
        <v>14776</v>
      </c>
      <c r="Z1435" s="1">
        <v>1933.0</v>
      </c>
      <c r="AA1435" s="1" t="s">
        <v>192</v>
      </c>
      <c r="AB1435" s="1" t="s">
        <v>193</v>
      </c>
      <c r="AD1435" s="1" t="s">
        <v>469</v>
      </c>
      <c r="AE1435" s="1" t="s">
        <v>325</v>
      </c>
      <c r="AF1435" s="1" t="s">
        <v>469</v>
      </c>
      <c r="AG1435" s="1" t="s">
        <v>14777</v>
      </c>
      <c r="AH1435" s="1" t="s">
        <v>14778</v>
      </c>
      <c r="AI1435" s="1">
        <v>0.1598</v>
      </c>
      <c r="AK1435" s="1">
        <v>9.0</v>
      </c>
      <c r="AL1435" s="1">
        <v>4.0</v>
      </c>
      <c r="AM1435" s="1">
        <v>2.0</v>
      </c>
      <c r="AN1435" s="1">
        <v>0.0</v>
      </c>
      <c r="AO1435" s="1" t="s">
        <v>229</v>
      </c>
      <c r="AQ1435" s="1" t="s">
        <v>198</v>
      </c>
      <c r="AR1435" s="1" t="s">
        <v>192</v>
      </c>
      <c r="AS1435" s="1" t="s">
        <v>199</v>
      </c>
      <c r="AT1435" s="1">
        <v>1.0</v>
      </c>
      <c r="AV1435" s="1" t="s">
        <v>200</v>
      </c>
      <c r="AW1435" s="1">
        <v>4118.0</v>
      </c>
      <c r="AX1435" s="1">
        <v>2013.0</v>
      </c>
      <c r="AZ1435" s="1" t="s">
        <v>200</v>
      </c>
      <c r="BA1435" s="1" t="str">
        <f>"0614304006"</f>
        <v>0614304006</v>
      </c>
      <c r="BC1435" s="1">
        <v>1870.0</v>
      </c>
      <c r="BD1435" s="1">
        <v>163000.0</v>
      </c>
      <c r="BE1435" s="2">
        <v>41832.0</v>
      </c>
      <c r="BF1435" s="2" t="s">
        <v>14779</v>
      </c>
      <c r="BG1435" s="1" t="s">
        <v>673</v>
      </c>
      <c r="BH1435" s="1">
        <v>0.0</v>
      </c>
      <c r="BI1435" s="1" t="s">
        <v>674</v>
      </c>
      <c r="BJ1435" s="1" t="s">
        <v>675</v>
      </c>
      <c r="BK1435" s="1" t="s">
        <v>204</v>
      </c>
      <c r="BL1435" s="1" t="str">
        <f t="shared" ref="BL1435:BM1435" si="943">""</f>
        <v/>
      </c>
      <c r="BM1435" s="1" t="str">
        <f t="shared" si="943"/>
        <v/>
      </c>
      <c r="BQ1435" s="1">
        <v>46.0</v>
      </c>
      <c r="BR1435" s="1">
        <v>46.0</v>
      </c>
      <c r="BS1435" s="1">
        <v>46.0</v>
      </c>
      <c r="BU1435" s="1" t="s">
        <v>3387</v>
      </c>
      <c r="BV1435" s="1" t="s">
        <v>206</v>
      </c>
      <c r="BW1435" s="1" t="s">
        <v>210</v>
      </c>
      <c r="BX1435" s="1" t="s">
        <v>1549</v>
      </c>
      <c r="BY1435" s="1" t="s">
        <v>641</v>
      </c>
      <c r="BZ1435" s="1" t="s">
        <v>391</v>
      </c>
      <c r="CA1435" s="1" t="s">
        <v>301</v>
      </c>
      <c r="CB1435" s="1" t="s">
        <v>229</v>
      </c>
      <c r="CC1435" s="1" t="s">
        <v>2121</v>
      </c>
      <c r="CD1435" s="1" t="s">
        <v>206</v>
      </c>
      <c r="CE1435" s="1" t="s">
        <v>210</v>
      </c>
      <c r="CF1435" s="1" t="s">
        <v>1549</v>
      </c>
      <c r="CG1435" s="1" t="s">
        <v>302</v>
      </c>
      <c r="CH1435" s="1" t="s">
        <v>209</v>
      </c>
      <c r="CI1435" s="1" t="s">
        <v>207</v>
      </c>
      <c r="CJ1435" s="1" t="s">
        <v>431</v>
      </c>
      <c r="CK1435" s="1" t="s">
        <v>1229</v>
      </c>
      <c r="CL1435" s="1" t="s">
        <v>209</v>
      </c>
      <c r="CM1435" s="1" t="s">
        <v>207</v>
      </c>
      <c r="CN1435" s="1" t="s">
        <v>431</v>
      </c>
      <c r="CO1435" s="1" t="s">
        <v>640</v>
      </c>
      <c r="CP1435" s="1" t="s">
        <v>209</v>
      </c>
      <c r="CQ1435" s="1" t="s">
        <v>207</v>
      </c>
      <c r="CR1435" s="1" t="s">
        <v>431</v>
      </c>
      <c r="CS1435" s="1" t="s">
        <v>375</v>
      </c>
      <c r="CT1435" s="1" t="s">
        <v>206</v>
      </c>
      <c r="CU1435" s="1" t="s">
        <v>268</v>
      </c>
      <c r="CV1435" s="1" t="s">
        <v>229</v>
      </c>
      <c r="CX1435" s="1" t="s">
        <v>204</v>
      </c>
      <c r="DA1435" s="1" t="s">
        <v>200</v>
      </c>
      <c r="DC1435" s="1" t="s">
        <v>785</v>
      </c>
      <c r="DD1435" s="1" t="s">
        <v>618</v>
      </c>
      <c r="DE1435" s="1" t="s">
        <v>1300</v>
      </c>
      <c r="DF1435" s="1" t="s">
        <v>4086</v>
      </c>
      <c r="DH1435" s="1" t="s">
        <v>220</v>
      </c>
      <c r="DI1435" s="1" t="s">
        <v>1401</v>
      </c>
      <c r="DJ1435" s="1" t="s">
        <v>222</v>
      </c>
      <c r="DK1435" s="1" t="s">
        <v>224</v>
      </c>
      <c r="DL1435" s="1" t="s">
        <v>224</v>
      </c>
      <c r="DM1435" s="1" t="s">
        <v>338</v>
      </c>
      <c r="DO1435" s="1" t="s">
        <v>549</v>
      </c>
      <c r="DP1435" s="1" t="s">
        <v>276</v>
      </c>
      <c r="DQ1435" s="1" t="s">
        <v>228</v>
      </c>
      <c r="DR1435" s="1" t="s">
        <v>229</v>
      </c>
      <c r="DU1435" s="1" t="s">
        <v>1355</v>
      </c>
      <c r="DV1435" s="1" t="s">
        <v>14780</v>
      </c>
      <c r="DW1435" s="1" t="s">
        <v>279</v>
      </c>
      <c r="DX1435" s="1" t="s">
        <v>234</v>
      </c>
      <c r="DY1435" s="1" t="s">
        <v>704</v>
      </c>
      <c r="DZ1435" s="1" t="s">
        <v>282</v>
      </c>
      <c r="EA1435" s="1" t="s">
        <v>2535</v>
      </c>
      <c r="EC1435" s="1" t="s">
        <v>406</v>
      </c>
      <c r="ED1435" s="1" t="s">
        <v>555</v>
      </c>
      <c r="EG1435" s="1" t="s">
        <v>1729</v>
      </c>
      <c r="EH1435" s="1" t="s">
        <v>450</v>
      </c>
      <c r="EI1435" s="1" t="s">
        <v>408</v>
      </c>
      <c r="EL1435" s="1" t="s">
        <v>2460</v>
      </c>
      <c r="EM1435" s="1" t="s">
        <v>206</v>
      </c>
      <c r="EN1435" s="1" t="s">
        <v>268</v>
      </c>
      <c r="EO1435" s="1" t="s">
        <v>229</v>
      </c>
      <c r="EP1435" s="1" t="s">
        <v>331</v>
      </c>
      <c r="EQ1435" s="1" t="s">
        <v>42</v>
      </c>
      <c r="ER1435" s="1" t="s">
        <v>210</v>
      </c>
      <c r="ES1435" s="1" t="s">
        <v>229</v>
      </c>
      <c r="ET1435" s="1" t="s">
        <v>2394</v>
      </c>
      <c r="EU1435" s="1" t="s">
        <v>206</v>
      </c>
      <c r="EV1435" s="1" t="s">
        <v>268</v>
      </c>
      <c r="EW1435" s="1" t="s">
        <v>229</v>
      </c>
      <c r="EY1435" s="1" t="s">
        <v>238</v>
      </c>
      <c r="FC1435" s="1" t="s">
        <v>238</v>
      </c>
      <c r="FF1435" s="1" t="s">
        <v>239</v>
      </c>
      <c r="FG1435" s="1" t="s">
        <v>192</v>
      </c>
      <c r="FH1435" s="1" t="s">
        <v>192</v>
      </c>
      <c r="FJ1435" s="1" t="s">
        <v>2133</v>
      </c>
      <c r="FK1435" s="1" t="s">
        <v>229</v>
      </c>
      <c r="FL1435" s="1" t="s">
        <v>1358</v>
      </c>
      <c r="FM1435" s="1">
        <v>23591.0</v>
      </c>
      <c r="FN1435" s="1" t="s">
        <v>2134</v>
      </c>
      <c r="FO1435" s="1" t="s">
        <v>11070</v>
      </c>
      <c r="FP1435" s="1">
        <v>229199.0</v>
      </c>
      <c r="FQ1435" s="1" t="s">
        <v>2134</v>
      </c>
      <c r="FS1435" s="1" t="s">
        <v>14781</v>
      </c>
      <c r="FU1435" s="1" t="s">
        <v>14782</v>
      </c>
      <c r="FV1435" s="1" t="s">
        <v>200</v>
      </c>
      <c r="FW1435" s="1" t="s">
        <v>290</v>
      </c>
      <c r="FZ1435" s="1" t="s">
        <v>229</v>
      </c>
      <c r="GA1435" s="1" t="s">
        <v>291</v>
      </c>
      <c r="GB1435" s="2">
        <v>42016.0</v>
      </c>
      <c r="GC1435" s="1" t="s">
        <v>14783</v>
      </c>
    </row>
    <row r="1436">
      <c r="A1436" s="1">
        <v>120000.0</v>
      </c>
      <c r="B1436" s="1" t="s">
        <v>185</v>
      </c>
      <c r="C1436" s="1" t="str">
        <f>"08676283"</f>
        <v>08676283</v>
      </c>
      <c r="D1436" s="1" t="s">
        <v>186</v>
      </c>
      <c r="F1436" s="1" t="str">
        <f>"8043"</f>
        <v>8043</v>
      </c>
      <c r="G1436" s="2">
        <v>41837.0</v>
      </c>
      <c r="H1436" s="1">
        <v>159000.0</v>
      </c>
      <c r="I1436" s="1">
        <v>98.0</v>
      </c>
      <c r="J1436" s="1">
        <v>139000.0</v>
      </c>
      <c r="K1436" s="2">
        <v>41934.0</v>
      </c>
      <c r="L1436" s="1">
        <v>98.0</v>
      </c>
      <c r="M1436" s="2">
        <v>41934.0</v>
      </c>
      <c r="N1436" s="1" t="s">
        <v>634</v>
      </c>
      <c r="O1436" s="2">
        <v>42048.0</v>
      </c>
      <c r="P1436" s="1">
        <v>170278.0</v>
      </c>
      <c r="Q1436" s="1">
        <v>84300.0</v>
      </c>
      <c r="S1436" s="1">
        <v>7324.0</v>
      </c>
      <c r="T1436" s="1" t="s">
        <v>4666</v>
      </c>
      <c r="U1436" s="1" t="s">
        <v>189</v>
      </c>
      <c r="V1436" s="1" t="s">
        <v>190</v>
      </c>
      <c r="W1436" s="1">
        <v>60649.0</v>
      </c>
      <c r="Y1436" s="1" t="s">
        <v>14784</v>
      </c>
      <c r="Z1436" s="1">
        <v>1910.0</v>
      </c>
      <c r="AA1436" s="1" t="s">
        <v>192</v>
      </c>
      <c r="AB1436" s="1" t="s">
        <v>193</v>
      </c>
      <c r="AD1436" s="1" t="s">
        <v>194</v>
      </c>
      <c r="AE1436" s="1" t="s">
        <v>195</v>
      </c>
      <c r="AF1436" s="1" t="s">
        <v>637</v>
      </c>
      <c r="AG1436" s="1" t="s">
        <v>778</v>
      </c>
      <c r="AH1436" s="1">
        <v>6250.0</v>
      </c>
      <c r="AK1436" s="1">
        <v>8.0</v>
      </c>
      <c r="AL1436" s="1">
        <v>3.0</v>
      </c>
      <c r="AM1436" s="1">
        <v>2.0</v>
      </c>
      <c r="AN1436" s="1">
        <v>1.0</v>
      </c>
      <c r="AO1436" s="1" t="s">
        <v>229</v>
      </c>
      <c r="AP1436" s="1">
        <v>1.0</v>
      </c>
      <c r="AQ1436" s="1" t="s">
        <v>327</v>
      </c>
      <c r="AR1436" s="1" t="s">
        <v>192</v>
      </c>
      <c r="AS1436" s="1" t="s">
        <v>229</v>
      </c>
      <c r="AV1436" s="1" t="s">
        <v>200</v>
      </c>
      <c r="AW1436" s="1">
        <v>2851.0</v>
      </c>
      <c r="AX1436" s="1">
        <v>2012.0</v>
      </c>
      <c r="AY1436" s="1" t="s">
        <v>229</v>
      </c>
      <c r="AZ1436" s="1" t="s">
        <v>200</v>
      </c>
      <c r="BA1436" s="1" t="str">
        <f>"20252150200000"</f>
        <v>20252150200000</v>
      </c>
      <c r="BB1436" s="1" t="s">
        <v>200</v>
      </c>
      <c r="BC1436" s="1">
        <v>1867.0</v>
      </c>
      <c r="BD1436" s="1">
        <v>120000.0</v>
      </c>
      <c r="BE1436" s="2">
        <v>41837.0</v>
      </c>
      <c r="BF1436" s="2" t="s">
        <v>14785</v>
      </c>
      <c r="BH1436" s="1">
        <v>0.0</v>
      </c>
      <c r="BK1436" s="1" t="s">
        <v>204</v>
      </c>
      <c r="BL1436" s="1" t="str">
        <f>"0"</f>
        <v>0</v>
      </c>
      <c r="BM1436" s="1" t="str">
        <f>"2132"</f>
        <v>2132</v>
      </c>
      <c r="BN1436" s="1">
        <v>0.0</v>
      </c>
      <c r="BO1436" s="1">
        <v>7324.0</v>
      </c>
      <c r="BQ1436" s="1">
        <v>299.0</v>
      </c>
      <c r="BR1436" s="1">
        <v>299.0</v>
      </c>
      <c r="BS1436" s="1">
        <v>299.0</v>
      </c>
      <c r="BU1436" s="1" t="s">
        <v>333</v>
      </c>
      <c r="BV1436" s="1" t="s">
        <v>206</v>
      </c>
      <c r="BW1436" s="1" t="s">
        <v>207</v>
      </c>
      <c r="BX1436" s="1" t="s">
        <v>1549</v>
      </c>
      <c r="BY1436" s="1" t="s">
        <v>584</v>
      </c>
      <c r="BZ1436" s="1" t="s">
        <v>206</v>
      </c>
      <c r="CA1436" s="1" t="s">
        <v>207</v>
      </c>
      <c r="CB1436" s="1" t="s">
        <v>1549</v>
      </c>
      <c r="CC1436" s="1" t="s">
        <v>676</v>
      </c>
      <c r="CD1436" s="1" t="s">
        <v>206</v>
      </c>
      <c r="CE1436" s="1" t="s">
        <v>207</v>
      </c>
      <c r="CF1436" s="1" t="s">
        <v>1549</v>
      </c>
      <c r="CG1436" s="1" t="s">
        <v>1351</v>
      </c>
      <c r="CH1436" s="1" t="s">
        <v>206</v>
      </c>
      <c r="CI1436" s="1" t="s">
        <v>617</v>
      </c>
      <c r="CJ1436" s="1" t="s">
        <v>1549</v>
      </c>
      <c r="CK1436" s="1" t="s">
        <v>1584</v>
      </c>
      <c r="CL1436" s="1" t="s">
        <v>206</v>
      </c>
      <c r="CM1436" s="1" t="s">
        <v>617</v>
      </c>
      <c r="CN1436" s="1" t="s">
        <v>229</v>
      </c>
      <c r="CO1436" s="1" t="s">
        <v>1584</v>
      </c>
      <c r="CP1436" s="1" t="s">
        <v>42</v>
      </c>
      <c r="CQ1436" s="1" t="s">
        <v>617</v>
      </c>
      <c r="CR1436" s="1" t="s">
        <v>229</v>
      </c>
      <c r="CS1436" s="1" t="s">
        <v>362</v>
      </c>
      <c r="CT1436" s="1" t="s">
        <v>206</v>
      </c>
      <c r="CU1436" s="1" t="s">
        <v>268</v>
      </c>
      <c r="CV1436" s="1" t="s">
        <v>476</v>
      </c>
      <c r="CW1436" s="1" t="s">
        <v>14786</v>
      </c>
      <c r="CX1436" s="1" t="s">
        <v>42</v>
      </c>
      <c r="CY1436" s="1" t="s">
        <v>617</v>
      </c>
      <c r="CZ1436" s="1" t="s">
        <v>229</v>
      </c>
      <c r="DA1436" s="1" t="s">
        <v>200</v>
      </c>
      <c r="DC1436" s="1" t="s">
        <v>642</v>
      </c>
      <c r="DD1436" s="1" t="s">
        <v>396</v>
      </c>
      <c r="DE1436" s="1" t="s">
        <v>273</v>
      </c>
      <c r="DF1436" s="1" t="s">
        <v>619</v>
      </c>
      <c r="DH1436" s="1" t="s">
        <v>220</v>
      </c>
      <c r="DI1436" s="1" t="s">
        <v>789</v>
      </c>
      <c r="DJ1436" s="1" t="s">
        <v>222</v>
      </c>
      <c r="DK1436" s="1" t="s">
        <v>223</v>
      </c>
      <c r="DL1436" s="1" t="s">
        <v>858</v>
      </c>
      <c r="DM1436" s="1" t="s">
        <v>229</v>
      </c>
      <c r="DP1436" s="1" t="s">
        <v>340</v>
      </c>
      <c r="DQ1436" s="1" t="s">
        <v>228</v>
      </c>
      <c r="DR1436" s="1" t="s">
        <v>229</v>
      </c>
      <c r="DV1436" s="1" t="s">
        <v>14787</v>
      </c>
      <c r="DW1436" s="1" t="s">
        <v>279</v>
      </c>
      <c r="DX1436" s="1" t="s">
        <v>1287</v>
      </c>
      <c r="DY1436" s="1" t="s">
        <v>553</v>
      </c>
      <c r="EA1436" s="1" t="s">
        <v>644</v>
      </c>
      <c r="EB1436" s="1" t="s">
        <v>797</v>
      </c>
      <c r="EC1436" s="1" t="s">
        <v>685</v>
      </c>
      <c r="EE1436" s="1" t="s">
        <v>493</v>
      </c>
      <c r="EG1436" s="1" t="s">
        <v>408</v>
      </c>
      <c r="EH1436" s="1" t="s">
        <v>1103</v>
      </c>
      <c r="EI1436" s="1" t="s">
        <v>2877</v>
      </c>
      <c r="EJ1436" s="1" t="s">
        <v>1102</v>
      </c>
      <c r="EK1436" s="1" t="s">
        <v>374</v>
      </c>
      <c r="EL1436" s="1" t="s">
        <v>3182</v>
      </c>
      <c r="EM1436" s="1" t="s">
        <v>206</v>
      </c>
      <c r="EP1436" s="1" t="s">
        <v>3182</v>
      </c>
      <c r="EQ1436" s="1" t="s">
        <v>42</v>
      </c>
      <c r="ET1436" s="1" t="s">
        <v>10225</v>
      </c>
      <c r="EU1436" s="1" t="s">
        <v>206</v>
      </c>
      <c r="EX1436" s="1" t="s">
        <v>14788</v>
      </c>
      <c r="EY1436" s="1" t="s">
        <v>206</v>
      </c>
      <c r="FB1436" s="1" t="s">
        <v>3182</v>
      </c>
      <c r="FC1436" s="1" t="s">
        <v>206</v>
      </c>
      <c r="FF1436" s="1" t="s">
        <v>239</v>
      </c>
      <c r="FG1436" s="1" t="s">
        <v>192</v>
      </c>
      <c r="FH1436" s="1" t="s">
        <v>192</v>
      </c>
      <c r="FJ1436" s="1" t="s">
        <v>7454</v>
      </c>
      <c r="FK1436" s="1" t="s">
        <v>229</v>
      </c>
      <c r="FL1436" s="1" t="s">
        <v>14789</v>
      </c>
      <c r="FM1436" s="1">
        <v>13361.0</v>
      </c>
      <c r="FN1436" s="1" t="s">
        <v>14790</v>
      </c>
      <c r="FO1436" s="1" t="s">
        <v>14791</v>
      </c>
      <c r="FP1436" s="1">
        <v>127881.0</v>
      </c>
      <c r="FQ1436" s="1" t="s">
        <v>14792</v>
      </c>
      <c r="FS1436" s="1" t="s">
        <v>14793</v>
      </c>
      <c r="FU1436" s="1" t="s">
        <v>14794</v>
      </c>
      <c r="FV1436" s="1" t="s">
        <v>200</v>
      </c>
      <c r="FW1436" s="1" t="s">
        <v>1293</v>
      </c>
      <c r="FX1436" s="1" t="s">
        <v>655</v>
      </c>
      <c r="FZ1436" s="1" t="s">
        <v>229</v>
      </c>
      <c r="GA1436" s="1" t="s">
        <v>291</v>
      </c>
      <c r="GB1436" s="2">
        <v>42056.0</v>
      </c>
      <c r="GC1436" s="1" t="s">
        <v>14795</v>
      </c>
    </row>
    <row r="1437">
      <c r="A1437" s="1">
        <v>166000.0</v>
      </c>
      <c r="B1437" s="1" t="s">
        <v>185</v>
      </c>
      <c r="C1437" s="1" t="str">
        <f>"08670547"</f>
        <v>08670547</v>
      </c>
      <c r="D1437" s="1" t="s">
        <v>186</v>
      </c>
      <c r="F1437" s="1" t="str">
        <f>"103"</f>
        <v>103</v>
      </c>
      <c r="G1437" s="2">
        <v>41831.0</v>
      </c>
      <c r="H1437" s="1">
        <v>179900.0</v>
      </c>
      <c r="I1437" s="1">
        <v>191.0</v>
      </c>
      <c r="J1437" s="1">
        <v>170000.0</v>
      </c>
      <c r="K1437" s="2">
        <v>41901.0</v>
      </c>
      <c r="L1437" s="1">
        <v>72.0</v>
      </c>
      <c r="M1437" s="2">
        <v>41901.0</v>
      </c>
      <c r="N1437" s="1" t="s">
        <v>356</v>
      </c>
      <c r="O1437" s="2">
        <v>41984.0</v>
      </c>
      <c r="P1437" s="1">
        <v>81842.0</v>
      </c>
      <c r="Q1437" s="1">
        <v>8093.0</v>
      </c>
      <c r="S1437" s="1">
        <v>5940.0</v>
      </c>
      <c r="T1437" s="1" t="s">
        <v>14796</v>
      </c>
      <c r="U1437" s="1" t="s">
        <v>569</v>
      </c>
      <c r="V1437" s="1" t="s">
        <v>251</v>
      </c>
      <c r="W1437" s="1">
        <v>60133.0</v>
      </c>
      <c r="Y1437" s="1" t="s">
        <v>14797</v>
      </c>
      <c r="Z1437" s="1">
        <v>1971.0</v>
      </c>
      <c r="AA1437" s="1" t="s">
        <v>192</v>
      </c>
      <c r="AB1437" s="1" t="s">
        <v>193</v>
      </c>
      <c r="AD1437" s="1" t="s">
        <v>254</v>
      </c>
      <c r="AE1437" s="1" t="s">
        <v>1258</v>
      </c>
      <c r="AF1437" s="1" t="s">
        <v>3935</v>
      </c>
      <c r="AH1437" s="1" t="s">
        <v>14798</v>
      </c>
      <c r="AK1437" s="1">
        <v>8.0</v>
      </c>
      <c r="AL1437" s="1">
        <v>4.0</v>
      </c>
      <c r="AM1437" s="1">
        <v>2.0</v>
      </c>
      <c r="AN1437" s="1">
        <v>0.0</v>
      </c>
      <c r="AO1437" s="1" t="s">
        <v>229</v>
      </c>
      <c r="AP1437" s="1">
        <v>1.0</v>
      </c>
      <c r="AQ1437" s="1" t="s">
        <v>472</v>
      </c>
      <c r="AR1437" s="1" t="s">
        <v>192</v>
      </c>
      <c r="AS1437" s="1" t="s">
        <v>199</v>
      </c>
      <c r="AT1437" s="1">
        <v>2.0</v>
      </c>
      <c r="AV1437" s="1" t="s">
        <v>200</v>
      </c>
      <c r="AW1437" s="1">
        <v>7111.72</v>
      </c>
      <c r="AX1437" s="1">
        <v>2013.0</v>
      </c>
      <c r="AZ1437" s="1" t="s">
        <v>200</v>
      </c>
      <c r="BA1437" s="1" t="str">
        <f>"0101403002"</f>
        <v>0101403002</v>
      </c>
      <c r="BC1437" s="1">
        <v>0.0</v>
      </c>
      <c r="BD1437" s="1">
        <v>166000.0</v>
      </c>
      <c r="BE1437" s="2">
        <v>41830.0</v>
      </c>
      <c r="BF1437" s="2" t="s">
        <v>14799</v>
      </c>
      <c r="BH1437" s="1">
        <v>33.0</v>
      </c>
      <c r="BK1437" s="1" t="s">
        <v>474</v>
      </c>
      <c r="BL1437" s="1" t="str">
        <f t="shared" ref="BL1437:BM1437" si="944">""</f>
        <v/>
      </c>
      <c r="BM1437" s="1" t="str">
        <f t="shared" si="944"/>
        <v/>
      </c>
      <c r="BQ1437" s="1">
        <v>46.0</v>
      </c>
      <c r="BR1437" s="1">
        <v>46.0</v>
      </c>
      <c r="BS1437" s="1">
        <v>46.0</v>
      </c>
      <c r="BU1437" s="1" t="s">
        <v>854</v>
      </c>
      <c r="BV1437" s="1" t="s">
        <v>206</v>
      </c>
      <c r="BW1437" s="1" t="s">
        <v>1790</v>
      </c>
      <c r="BY1437" s="1" t="s">
        <v>433</v>
      </c>
      <c r="BZ1437" s="1" t="s">
        <v>206</v>
      </c>
      <c r="CA1437" s="1" t="s">
        <v>210</v>
      </c>
      <c r="CC1437" s="1" t="s">
        <v>264</v>
      </c>
      <c r="CD1437" s="1" t="s">
        <v>206</v>
      </c>
      <c r="CE1437" s="1" t="s">
        <v>1790</v>
      </c>
      <c r="CG1437" s="1" t="s">
        <v>264</v>
      </c>
      <c r="CH1437" s="1" t="s">
        <v>206</v>
      </c>
      <c r="CI1437" s="1" t="s">
        <v>210</v>
      </c>
      <c r="CK1437" s="1" t="s">
        <v>495</v>
      </c>
      <c r="CL1437" s="1" t="s">
        <v>206</v>
      </c>
      <c r="CM1437" s="1" t="s">
        <v>210</v>
      </c>
      <c r="CO1437" s="1" t="s">
        <v>798</v>
      </c>
      <c r="CP1437" s="1" t="s">
        <v>267</v>
      </c>
      <c r="CQ1437" s="1" t="s">
        <v>210</v>
      </c>
      <c r="CS1437" s="1" t="s">
        <v>264</v>
      </c>
      <c r="CT1437" s="1" t="s">
        <v>206</v>
      </c>
      <c r="CU1437" s="1" t="s">
        <v>268</v>
      </c>
      <c r="CW1437" s="1" t="s">
        <v>214</v>
      </c>
      <c r="CX1437" s="1" t="s">
        <v>267</v>
      </c>
      <c r="CY1437" s="1" t="s">
        <v>210</v>
      </c>
      <c r="DA1437" s="1" t="s">
        <v>200</v>
      </c>
      <c r="DC1437" s="1" t="s">
        <v>517</v>
      </c>
      <c r="DE1437" s="1" t="s">
        <v>273</v>
      </c>
      <c r="DF1437" s="1" t="s">
        <v>219</v>
      </c>
      <c r="DG1437" s="1" t="s">
        <v>14800</v>
      </c>
      <c r="DH1437" s="1" t="s">
        <v>220</v>
      </c>
      <c r="DI1437" s="1" t="s">
        <v>1223</v>
      </c>
      <c r="DJ1437" s="1" t="s">
        <v>222</v>
      </c>
      <c r="DL1437" s="1" t="s">
        <v>224</v>
      </c>
      <c r="DM1437" s="1" t="s">
        <v>229</v>
      </c>
      <c r="DP1437" s="1" t="s">
        <v>340</v>
      </c>
      <c r="DQ1437" s="1" t="s">
        <v>228</v>
      </c>
      <c r="DR1437" s="1" t="s">
        <v>2593</v>
      </c>
      <c r="DU1437" s="1" t="s">
        <v>2070</v>
      </c>
      <c r="DV1437" s="1" t="s">
        <v>232</v>
      </c>
      <c r="DW1437" s="1" t="s">
        <v>233</v>
      </c>
      <c r="DX1437" s="1" t="s">
        <v>234</v>
      </c>
      <c r="DZ1437" s="1" t="s">
        <v>310</v>
      </c>
      <c r="EB1437" s="1" t="s">
        <v>345</v>
      </c>
      <c r="EC1437" s="1" t="s">
        <v>311</v>
      </c>
      <c r="EE1437" s="1" t="s">
        <v>493</v>
      </c>
      <c r="EM1437" s="1" t="s">
        <v>238</v>
      </c>
      <c r="EQ1437" s="1" t="s">
        <v>238</v>
      </c>
      <c r="EU1437" s="1" t="s">
        <v>238</v>
      </c>
      <c r="EY1437" s="1" t="s">
        <v>238</v>
      </c>
      <c r="FC1437" s="1" t="s">
        <v>238</v>
      </c>
      <c r="FF1437" s="1" t="s">
        <v>239</v>
      </c>
      <c r="FG1437" s="1" t="s">
        <v>192</v>
      </c>
      <c r="FH1437" s="1" t="s">
        <v>192</v>
      </c>
      <c r="FJ1437" s="1" t="s">
        <v>14801</v>
      </c>
      <c r="FK1437" s="1" t="s">
        <v>229</v>
      </c>
      <c r="FL1437" s="1" t="s">
        <v>5729</v>
      </c>
      <c r="FM1437" s="1">
        <v>8074.0</v>
      </c>
      <c r="FN1437" s="1" t="s">
        <v>5730</v>
      </c>
      <c r="FO1437" s="1" t="s">
        <v>5731</v>
      </c>
      <c r="FP1437" s="1">
        <v>84659.0</v>
      </c>
      <c r="FQ1437" s="1" t="s">
        <v>5732</v>
      </c>
      <c r="FS1437" s="1" t="s">
        <v>5733</v>
      </c>
      <c r="FU1437" s="1" t="s">
        <v>14802</v>
      </c>
      <c r="FV1437" s="1" t="s">
        <v>200</v>
      </c>
      <c r="FW1437" s="1" t="s">
        <v>1411</v>
      </c>
      <c r="FX1437" s="1" t="s">
        <v>246</v>
      </c>
      <c r="FZ1437" s="1" t="s">
        <v>229</v>
      </c>
      <c r="GA1437" s="1" t="s">
        <v>291</v>
      </c>
      <c r="GB1437" s="2">
        <v>41985.0</v>
      </c>
      <c r="GC1437" s="1" t="s">
        <v>14803</v>
      </c>
    </row>
    <row r="1438">
      <c r="A1438" s="1">
        <v>226650.0</v>
      </c>
      <c r="B1438" s="1" t="s">
        <v>185</v>
      </c>
      <c r="C1438" s="1" t="str">
        <f>"08684590"</f>
        <v>08684590</v>
      </c>
      <c r="D1438" s="1" t="s">
        <v>186</v>
      </c>
      <c r="F1438" s="1" t="str">
        <f>"110"</f>
        <v>110</v>
      </c>
      <c r="G1438" s="2">
        <v>41847.0</v>
      </c>
      <c r="H1438" s="1">
        <v>244900.0</v>
      </c>
      <c r="I1438" s="1">
        <v>214.0</v>
      </c>
      <c r="J1438" s="1">
        <v>234900.0</v>
      </c>
      <c r="K1438" s="2">
        <v>42060.0</v>
      </c>
      <c r="L1438" s="1">
        <v>214.0</v>
      </c>
      <c r="M1438" s="2">
        <v>42060.0</v>
      </c>
      <c r="N1438" s="1" t="s">
        <v>187</v>
      </c>
      <c r="O1438" s="2">
        <v>42124.0</v>
      </c>
      <c r="P1438" s="1">
        <v>55717.0</v>
      </c>
      <c r="Q1438" s="1">
        <v>5547.0</v>
      </c>
      <c r="R1438" s="1">
        <v>2500.0</v>
      </c>
      <c r="S1438" s="1">
        <v>426.0</v>
      </c>
      <c r="T1438" s="1" t="s">
        <v>11187</v>
      </c>
      <c r="U1438" s="1" t="s">
        <v>569</v>
      </c>
      <c r="V1438" s="1" t="s">
        <v>807</v>
      </c>
      <c r="W1438" s="1">
        <v>60110.0</v>
      </c>
      <c r="Y1438" s="1" t="s">
        <v>14804</v>
      </c>
      <c r="Z1438" s="1">
        <v>1993.0</v>
      </c>
      <c r="AA1438" s="1" t="s">
        <v>200</v>
      </c>
      <c r="AB1438" s="1" t="s">
        <v>193</v>
      </c>
      <c r="AC1438" s="1" t="s">
        <v>11189</v>
      </c>
      <c r="AD1438" s="1" t="s">
        <v>809</v>
      </c>
      <c r="AE1438" s="1" t="s">
        <v>325</v>
      </c>
      <c r="AF1438" s="1" t="s">
        <v>810</v>
      </c>
      <c r="AG1438" s="1" t="s">
        <v>874</v>
      </c>
      <c r="AH1438" s="1" t="s">
        <v>14805</v>
      </c>
      <c r="AI1438" s="1">
        <v>0.2296</v>
      </c>
      <c r="AK1438" s="1">
        <v>9.0</v>
      </c>
      <c r="AL1438" s="1">
        <v>3.0</v>
      </c>
      <c r="AM1438" s="1">
        <v>2.0</v>
      </c>
      <c r="AN1438" s="1">
        <v>1.0</v>
      </c>
      <c r="AO1438" s="1" t="s">
        <v>198</v>
      </c>
      <c r="AP1438" s="1">
        <v>1.0</v>
      </c>
      <c r="AQ1438" s="1" t="s">
        <v>1314</v>
      </c>
      <c r="AR1438" s="1" t="s">
        <v>200</v>
      </c>
      <c r="AS1438" s="1" t="s">
        <v>199</v>
      </c>
      <c r="AT1438" s="1">
        <v>2.0</v>
      </c>
      <c r="AV1438" s="1" t="s">
        <v>200</v>
      </c>
      <c r="AW1438" s="1">
        <v>5493.92</v>
      </c>
      <c r="AX1438" s="1">
        <v>2012.0</v>
      </c>
      <c r="AY1438" s="1" t="s">
        <v>387</v>
      </c>
      <c r="AZ1438" s="1" t="s">
        <v>200</v>
      </c>
      <c r="BA1438" s="1" t="str">
        <f>"0321203007"</f>
        <v>0321203007</v>
      </c>
      <c r="BB1438" s="1" t="s">
        <v>200</v>
      </c>
      <c r="BC1438" s="1">
        <v>1600.0</v>
      </c>
      <c r="BD1438" s="1">
        <v>226650.0</v>
      </c>
      <c r="BE1438" s="2">
        <v>41847.0</v>
      </c>
      <c r="BF1438" s="2" t="s">
        <v>14806</v>
      </c>
      <c r="BH1438" s="1">
        <v>0.0</v>
      </c>
      <c r="BI1438" s="1" t="s">
        <v>1093</v>
      </c>
      <c r="BJ1438" s="1" t="s">
        <v>1759</v>
      </c>
      <c r="BK1438" s="1" t="s">
        <v>204</v>
      </c>
      <c r="BL1438" s="1" t="str">
        <f t="shared" ref="BL1438:BM1438" si="945">""</f>
        <v/>
      </c>
      <c r="BM1438" s="1" t="str">
        <f t="shared" si="945"/>
        <v/>
      </c>
      <c r="BQ1438" s="1">
        <v>300.0</v>
      </c>
      <c r="BR1438" s="1">
        <v>300.0</v>
      </c>
      <c r="BS1438" s="1">
        <v>300.0</v>
      </c>
      <c r="BU1438" s="1" t="s">
        <v>480</v>
      </c>
      <c r="BV1438" s="1" t="s">
        <v>206</v>
      </c>
      <c r="BW1438" s="1" t="s">
        <v>207</v>
      </c>
      <c r="BX1438" s="1" t="s">
        <v>431</v>
      </c>
      <c r="BY1438" s="1" t="s">
        <v>393</v>
      </c>
      <c r="BZ1438" s="1" t="s">
        <v>206</v>
      </c>
      <c r="CA1438" s="1" t="s">
        <v>210</v>
      </c>
      <c r="CB1438" s="1" t="s">
        <v>431</v>
      </c>
      <c r="CC1438" s="1" t="s">
        <v>543</v>
      </c>
      <c r="CD1438" s="1" t="s">
        <v>206</v>
      </c>
      <c r="CE1438" s="1" t="s">
        <v>207</v>
      </c>
      <c r="CF1438" s="1" t="s">
        <v>431</v>
      </c>
      <c r="CG1438" s="1" t="s">
        <v>215</v>
      </c>
      <c r="CH1438" s="1" t="s">
        <v>206</v>
      </c>
      <c r="CI1438" s="1" t="s">
        <v>210</v>
      </c>
      <c r="CJ1438" s="1" t="s">
        <v>431</v>
      </c>
      <c r="CK1438" s="1" t="s">
        <v>363</v>
      </c>
      <c r="CL1438" s="1" t="s">
        <v>206</v>
      </c>
      <c r="CM1438" s="1" t="s">
        <v>210</v>
      </c>
      <c r="CN1438" s="1" t="s">
        <v>431</v>
      </c>
      <c r="CO1438" s="1" t="s">
        <v>616</v>
      </c>
      <c r="CP1438" s="1" t="s">
        <v>42</v>
      </c>
      <c r="CQ1438" s="1" t="s">
        <v>210</v>
      </c>
      <c r="CR1438" s="1" t="s">
        <v>229</v>
      </c>
      <c r="CS1438" s="1" t="s">
        <v>215</v>
      </c>
      <c r="CT1438" s="1" t="s">
        <v>206</v>
      </c>
      <c r="CU1438" s="1" t="s">
        <v>207</v>
      </c>
      <c r="CV1438" s="1" t="s">
        <v>229</v>
      </c>
      <c r="CW1438" s="1" t="s">
        <v>454</v>
      </c>
      <c r="CX1438" s="1" t="s">
        <v>206</v>
      </c>
      <c r="CY1438" s="1" t="s">
        <v>207</v>
      </c>
      <c r="CZ1438" s="1" t="s">
        <v>431</v>
      </c>
      <c r="DA1438" s="1" t="s">
        <v>200</v>
      </c>
      <c r="DC1438" s="1" t="s">
        <v>435</v>
      </c>
      <c r="DD1438" s="1" t="s">
        <v>518</v>
      </c>
      <c r="DE1438" s="1" t="s">
        <v>273</v>
      </c>
      <c r="DF1438" s="1" t="s">
        <v>219</v>
      </c>
      <c r="DH1438" s="1" t="s">
        <v>220</v>
      </c>
      <c r="DI1438" s="1" t="s">
        <v>680</v>
      </c>
      <c r="DJ1438" s="1" t="s">
        <v>222</v>
      </c>
      <c r="DL1438" s="1" t="s">
        <v>1267</v>
      </c>
      <c r="DM1438" s="1" t="s">
        <v>338</v>
      </c>
      <c r="DO1438" s="1" t="s">
        <v>1606</v>
      </c>
      <c r="DP1438" s="1" t="s">
        <v>276</v>
      </c>
      <c r="DQ1438" s="1" t="s">
        <v>228</v>
      </c>
      <c r="DR1438" s="1" t="s">
        <v>229</v>
      </c>
      <c r="DS1438" s="1" t="s">
        <v>277</v>
      </c>
      <c r="DU1438" s="1" t="s">
        <v>14807</v>
      </c>
      <c r="DV1438" s="1" t="s">
        <v>1164</v>
      </c>
      <c r="DW1438" s="1" t="s">
        <v>444</v>
      </c>
      <c r="DX1438" s="1" t="s">
        <v>234</v>
      </c>
      <c r="DY1438" s="1" t="s">
        <v>6179</v>
      </c>
      <c r="EA1438" s="1" t="s">
        <v>683</v>
      </c>
      <c r="EB1438" s="1" t="s">
        <v>2915</v>
      </c>
      <c r="EC1438" s="1" t="s">
        <v>685</v>
      </c>
      <c r="ED1438" s="1" t="s">
        <v>407</v>
      </c>
      <c r="EE1438" s="1" t="s">
        <v>493</v>
      </c>
      <c r="EG1438" s="1" t="s">
        <v>1164</v>
      </c>
      <c r="EL1438" s="1" t="s">
        <v>14808</v>
      </c>
      <c r="EM1438" s="1" t="s">
        <v>42</v>
      </c>
      <c r="EN1438" s="1" t="s">
        <v>210</v>
      </c>
      <c r="EO1438" s="1" t="s">
        <v>229</v>
      </c>
      <c r="EQ1438" s="1" t="s">
        <v>238</v>
      </c>
      <c r="EU1438" s="1" t="s">
        <v>238</v>
      </c>
      <c r="EY1438" s="1" t="s">
        <v>238</v>
      </c>
      <c r="FC1438" s="1" t="s">
        <v>238</v>
      </c>
      <c r="FF1438" s="1" t="s">
        <v>239</v>
      </c>
      <c r="FG1438" s="1" t="s">
        <v>192</v>
      </c>
      <c r="FH1438" s="1" t="s">
        <v>192</v>
      </c>
      <c r="FJ1438" s="1" t="s">
        <v>14809</v>
      </c>
      <c r="FK1438" s="1" t="s">
        <v>229</v>
      </c>
      <c r="FL1438" s="1" t="s">
        <v>906</v>
      </c>
      <c r="FM1438" s="1">
        <v>5105.0</v>
      </c>
      <c r="FN1438" s="1" t="s">
        <v>907</v>
      </c>
      <c r="FO1438" s="1" t="s">
        <v>14810</v>
      </c>
      <c r="FP1438" s="1">
        <v>52770.0</v>
      </c>
      <c r="FQ1438" s="1" t="s">
        <v>14811</v>
      </c>
      <c r="FU1438" s="1" t="s">
        <v>14812</v>
      </c>
      <c r="FV1438" s="1" t="s">
        <v>200</v>
      </c>
      <c r="FW1438" s="1" t="s">
        <v>1511</v>
      </c>
      <c r="FZ1438" s="1" t="s">
        <v>229</v>
      </c>
      <c r="GA1438" s="1" t="s">
        <v>291</v>
      </c>
      <c r="GB1438" s="2">
        <v>42126.0</v>
      </c>
      <c r="GC1438" s="1" t="s">
        <v>14813</v>
      </c>
    </row>
    <row r="1439">
      <c r="A1439" s="1">
        <v>470000.0</v>
      </c>
      <c r="B1439" s="1" t="s">
        <v>185</v>
      </c>
      <c r="C1439" s="1" t="str">
        <f>"08672237"</f>
        <v>08672237</v>
      </c>
      <c r="D1439" s="1" t="s">
        <v>186</v>
      </c>
      <c r="F1439" s="1" t="str">
        <f>"8013"</f>
        <v>8013</v>
      </c>
      <c r="G1439" s="2">
        <v>41834.0</v>
      </c>
      <c r="H1439" s="1">
        <v>499995.0</v>
      </c>
      <c r="I1439" s="1">
        <v>31.0</v>
      </c>
      <c r="J1439" s="1">
        <v>499995.0</v>
      </c>
      <c r="K1439" s="2">
        <v>41864.0</v>
      </c>
      <c r="L1439" s="1">
        <v>31.0</v>
      </c>
      <c r="M1439" s="2">
        <v>41864.0</v>
      </c>
      <c r="N1439" s="1" t="s">
        <v>187</v>
      </c>
      <c r="O1439" s="2">
        <v>41974.0</v>
      </c>
      <c r="P1439" s="1">
        <v>185695.0</v>
      </c>
      <c r="Q1439" s="1">
        <v>16571.0</v>
      </c>
      <c r="S1439" s="1">
        <v>3625.0</v>
      </c>
      <c r="T1439" s="1" t="s">
        <v>14814</v>
      </c>
      <c r="U1439" s="1" t="s">
        <v>189</v>
      </c>
      <c r="V1439" s="1" t="s">
        <v>190</v>
      </c>
      <c r="W1439" s="1">
        <v>60659.0</v>
      </c>
      <c r="Y1439" s="1" t="s">
        <v>14815</v>
      </c>
      <c r="Z1439" s="1">
        <v>1947.0</v>
      </c>
      <c r="AA1439" s="1" t="s">
        <v>192</v>
      </c>
      <c r="AB1439" s="1" t="s">
        <v>193</v>
      </c>
      <c r="AD1439" s="1" t="s">
        <v>194</v>
      </c>
      <c r="AE1439" s="1" t="s">
        <v>195</v>
      </c>
      <c r="AF1439" s="1" t="s">
        <v>196</v>
      </c>
      <c r="AH1439" s="1" t="s">
        <v>14816</v>
      </c>
      <c r="AI1439" s="1">
        <v>0.1134</v>
      </c>
      <c r="AK1439" s="1">
        <v>8.0</v>
      </c>
      <c r="AL1439" s="1">
        <v>4.0</v>
      </c>
      <c r="AM1439" s="1">
        <v>4.0</v>
      </c>
      <c r="AN1439" s="1">
        <v>1.0</v>
      </c>
      <c r="AO1439" s="1" t="s">
        <v>198</v>
      </c>
      <c r="AP1439" s="1">
        <v>2.0</v>
      </c>
      <c r="AQ1439" s="1" t="s">
        <v>198</v>
      </c>
      <c r="AR1439" s="1" t="s">
        <v>192</v>
      </c>
      <c r="AS1439" s="1" t="s">
        <v>199</v>
      </c>
      <c r="AT1439" s="1">
        <v>2.0</v>
      </c>
      <c r="AV1439" s="1" t="s">
        <v>200</v>
      </c>
      <c r="AW1439" s="1">
        <v>8054.03</v>
      </c>
      <c r="AX1439" s="1">
        <v>2013.0</v>
      </c>
      <c r="AZ1439" s="1" t="s">
        <v>200</v>
      </c>
      <c r="BA1439" s="1" t="str">
        <f>"13021270010000"</f>
        <v>13021270010000</v>
      </c>
      <c r="BC1439" s="1">
        <v>2124.0</v>
      </c>
      <c r="BD1439" s="1">
        <v>470000.0</v>
      </c>
      <c r="BE1439" s="2">
        <v>41834.0</v>
      </c>
      <c r="BF1439" s="1" t="s">
        <v>14817</v>
      </c>
      <c r="BH1439" s="1">
        <v>0.0</v>
      </c>
      <c r="BK1439" s="1" t="s">
        <v>204</v>
      </c>
      <c r="BL1439" s="1" t="str">
        <f>"6000"</f>
        <v>6000</v>
      </c>
      <c r="BM1439" s="1" t="str">
        <f>"0"</f>
        <v>0</v>
      </c>
      <c r="BN1439" s="1">
        <v>3625.0</v>
      </c>
      <c r="BO1439" s="1">
        <v>0.0</v>
      </c>
      <c r="BQ1439" s="1">
        <v>299.0</v>
      </c>
      <c r="BR1439" s="1">
        <v>299.0</v>
      </c>
      <c r="BS1439" s="1">
        <v>299.0</v>
      </c>
      <c r="BU1439" s="1" t="s">
        <v>1001</v>
      </c>
      <c r="BV1439" s="1" t="s">
        <v>206</v>
      </c>
      <c r="BY1439" s="1" t="s">
        <v>1206</v>
      </c>
      <c r="BZ1439" s="1" t="s">
        <v>209</v>
      </c>
      <c r="CC1439" s="1" t="s">
        <v>1483</v>
      </c>
      <c r="CD1439" s="1" t="s">
        <v>206</v>
      </c>
      <c r="CG1439" s="1" t="s">
        <v>1245</v>
      </c>
      <c r="CH1439" s="1" t="s">
        <v>209</v>
      </c>
      <c r="CK1439" s="1" t="s">
        <v>1395</v>
      </c>
      <c r="CL1439" s="1" t="s">
        <v>209</v>
      </c>
      <c r="CO1439" s="1" t="s">
        <v>784</v>
      </c>
      <c r="CP1439" s="1" t="s">
        <v>209</v>
      </c>
      <c r="CS1439" s="1" t="s">
        <v>647</v>
      </c>
      <c r="CT1439" s="1" t="s">
        <v>206</v>
      </c>
      <c r="CW1439" s="1" t="s">
        <v>1001</v>
      </c>
      <c r="CX1439" s="1" t="s">
        <v>206</v>
      </c>
      <c r="DA1439" s="1" t="s">
        <v>200</v>
      </c>
      <c r="DC1439" s="1" t="s">
        <v>702</v>
      </c>
      <c r="DE1439" s="1" t="s">
        <v>273</v>
      </c>
      <c r="DF1439" s="1" t="s">
        <v>619</v>
      </c>
      <c r="DH1439" s="1" t="s">
        <v>365</v>
      </c>
      <c r="DJ1439" s="1" t="s">
        <v>222</v>
      </c>
      <c r="DL1439" s="1" t="s">
        <v>224</v>
      </c>
      <c r="DM1439" s="1" t="s">
        <v>225</v>
      </c>
      <c r="DQ1439" s="1" t="s">
        <v>228</v>
      </c>
      <c r="DR1439" s="1" t="s">
        <v>229</v>
      </c>
      <c r="DV1439" s="1" t="s">
        <v>232</v>
      </c>
      <c r="DW1439" s="1" t="s">
        <v>279</v>
      </c>
      <c r="DX1439" s="1" t="s">
        <v>234</v>
      </c>
      <c r="EC1439" s="1" t="s">
        <v>237</v>
      </c>
      <c r="EM1439" s="1" t="s">
        <v>238</v>
      </c>
      <c r="EQ1439" s="1" t="s">
        <v>238</v>
      </c>
      <c r="EU1439" s="1" t="s">
        <v>238</v>
      </c>
      <c r="EY1439" s="1" t="s">
        <v>238</v>
      </c>
      <c r="FC1439" s="1" t="s">
        <v>238</v>
      </c>
      <c r="FF1439" s="1" t="s">
        <v>239</v>
      </c>
      <c r="FG1439" s="1" t="s">
        <v>192</v>
      </c>
      <c r="FH1439" s="1" t="s">
        <v>192</v>
      </c>
      <c r="FJ1439" s="1" t="s">
        <v>561</v>
      </c>
      <c r="FK1439" s="1" t="s">
        <v>229</v>
      </c>
      <c r="FL1439" s="1" t="s">
        <v>14818</v>
      </c>
      <c r="FM1439" s="1">
        <v>1415.0</v>
      </c>
      <c r="FN1439" s="1" t="s">
        <v>14819</v>
      </c>
      <c r="FO1439" s="1" t="s">
        <v>14820</v>
      </c>
      <c r="FP1439" s="1">
        <v>923431.0</v>
      </c>
      <c r="FU1439" s="1" t="s">
        <v>14821</v>
      </c>
      <c r="FV1439" s="1" t="s">
        <v>200</v>
      </c>
      <c r="FW1439" s="1" t="s">
        <v>290</v>
      </c>
      <c r="FX1439" s="1" t="s">
        <v>246</v>
      </c>
      <c r="FZ1439" s="1" t="s">
        <v>504</v>
      </c>
      <c r="GA1439" s="1" t="s">
        <v>291</v>
      </c>
      <c r="GB1439" s="2">
        <v>41974.0</v>
      </c>
      <c r="GC1439" s="1" t="s">
        <v>14822</v>
      </c>
    </row>
    <row r="1440">
      <c r="A1440" s="1">
        <v>330000.0</v>
      </c>
      <c r="B1440" s="1" t="s">
        <v>185</v>
      </c>
      <c r="C1440" s="1" t="str">
        <f>"08681446"</f>
        <v>08681446</v>
      </c>
      <c r="D1440" s="1" t="s">
        <v>186</v>
      </c>
      <c r="F1440" s="1" t="str">
        <f>"134"</f>
        <v>134</v>
      </c>
      <c r="G1440" s="2">
        <v>41843.0</v>
      </c>
      <c r="H1440" s="1">
        <v>342900.0</v>
      </c>
      <c r="I1440" s="1">
        <v>219.0</v>
      </c>
      <c r="J1440" s="1">
        <v>337500.0</v>
      </c>
      <c r="K1440" s="2">
        <v>42061.0</v>
      </c>
      <c r="L1440" s="1">
        <v>219.0</v>
      </c>
      <c r="M1440" s="2">
        <v>42061.0</v>
      </c>
      <c r="N1440" s="1" t="s">
        <v>356</v>
      </c>
      <c r="O1440" s="2">
        <v>42096.0</v>
      </c>
      <c r="P1440" s="1">
        <v>81962.0</v>
      </c>
      <c r="Q1440" s="1">
        <v>8340.0</v>
      </c>
      <c r="S1440" s="1">
        <v>2016.0</v>
      </c>
      <c r="T1440" s="1" t="s">
        <v>14823</v>
      </c>
      <c r="U1440" s="1" t="s">
        <v>1174</v>
      </c>
      <c r="V1440" s="1" t="s">
        <v>421</v>
      </c>
      <c r="W1440" s="1">
        <v>60134.0</v>
      </c>
      <c r="Y1440" s="1" t="s">
        <v>14824</v>
      </c>
      <c r="Z1440" s="1">
        <v>1988.0</v>
      </c>
      <c r="AA1440" s="1" t="s">
        <v>200</v>
      </c>
      <c r="AB1440" s="1" t="s">
        <v>193</v>
      </c>
      <c r="AD1440" s="1" t="s">
        <v>424</v>
      </c>
      <c r="AE1440" s="1" t="s">
        <v>325</v>
      </c>
      <c r="AF1440" s="1" t="s">
        <v>424</v>
      </c>
      <c r="AH1440" s="1" t="s">
        <v>14825</v>
      </c>
      <c r="AI1440" s="1">
        <v>0.2053</v>
      </c>
      <c r="AK1440" s="1">
        <v>10.0</v>
      </c>
      <c r="AL1440" s="1">
        <v>4.0</v>
      </c>
      <c r="AM1440" s="1">
        <v>2.0</v>
      </c>
      <c r="AN1440" s="1">
        <v>1.0</v>
      </c>
      <c r="AO1440" s="1" t="s">
        <v>198</v>
      </c>
      <c r="AP1440" s="1">
        <v>1.0</v>
      </c>
      <c r="AQ1440" s="1" t="s">
        <v>198</v>
      </c>
      <c r="AR1440" s="1" t="s">
        <v>200</v>
      </c>
      <c r="AS1440" s="1" t="s">
        <v>199</v>
      </c>
      <c r="AT1440" s="1">
        <v>2.0</v>
      </c>
      <c r="AV1440" s="1" t="s">
        <v>200</v>
      </c>
      <c r="AW1440" s="1">
        <v>9182.76</v>
      </c>
      <c r="AX1440" s="1">
        <v>2013.0</v>
      </c>
      <c r="AY1440" s="1" t="s">
        <v>387</v>
      </c>
      <c r="AZ1440" s="1" t="s">
        <v>200</v>
      </c>
      <c r="BA1440" s="1" t="str">
        <f>"1204192026"</f>
        <v>1204192026</v>
      </c>
      <c r="BC1440" s="1">
        <v>2597.0</v>
      </c>
      <c r="BD1440" s="1">
        <v>330000.0</v>
      </c>
      <c r="BE1440" s="2">
        <v>41843.0</v>
      </c>
      <c r="BF1440" s="2" t="s">
        <v>14826</v>
      </c>
      <c r="BH1440" s="1">
        <v>0.0</v>
      </c>
      <c r="BK1440" s="1" t="s">
        <v>204</v>
      </c>
      <c r="BL1440" s="1" t="str">
        <f t="shared" ref="BL1440:BM1440" si="946">""</f>
        <v/>
      </c>
      <c r="BM1440" s="1" t="str">
        <f t="shared" si="946"/>
        <v/>
      </c>
      <c r="BQ1440" s="1">
        <v>304.0</v>
      </c>
      <c r="BR1440" s="1">
        <v>304.0</v>
      </c>
      <c r="BS1440" s="1">
        <v>304.0</v>
      </c>
      <c r="BU1440" s="1" t="s">
        <v>208</v>
      </c>
      <c r="BV1440" s="1" t="s">
        <v>206</v>
      </c>
      <c r="BW1440" s="1" t="s">
        <v>207</v>
      </c>
      <c r="BY1440" s="1" t="s">
        <v>1623</v>
      </c>
      <c r="BZ1440" s="1" t="s">
        <v>209</v>
      </c>
      <c r="CA1440" s="1" t="s">
        <v>210</v>
      </c>
      <c r="CC1440" s="1" t="s">
        <v>264</v>
      </c>
      <c r="CD1440" s="1" t="s">
        <v>206</v>
      </c>
      <c r="CE1440" s="1" t="s">
        <v>207</v>
      </c>
      <c r="CG1440" s="1" t="s">
        <v>433</v>
      </c>
      <c r="CH1440" s="1" t="s">
        <v>209</v>
      </c>
      <c r="CI1440" s="1" t="s">
        <v>207</v>
      </c>
      <c r="CK1440" s="1" t="s">
        <v>264</v>
      </c>
      <c r="CL1440" s="1" t="s">
        <v>209</v>
      </c>
      <c r="CM1440" s="1" t="s">
        <v>210</v>
      </c>
      <c r="CO1440" s="1" t="s">
        <v>212</v>
      </c>
      <c r="CP1440" s="1" t="s">
        <v>209</v>
      </c>
      <c r="CQ1440" s="1" t="s">
        <v>207</v>
      </c>
      <c r="CS1440" s="1" t="s">
        <v>1299</v>
      </c>
      <c r="CT1440" s="1" t="s">
        <v>206</v>
      </c>
      <c r="CU1440" s="1" t="s">
        <v>268</v>
      </c>
      <c r="CW1440" s="1" t="s">
        <v>434</v>
      </c>
      <c r="CX1440" s="1" t="s">
        <v>206</v>
      </c>
      <c r="CY1440" s="1" t="s">
        <v>207</v>
      </c>
      <c r="DA1440" s="1" t="s">
        <v>200</v>
      </c>
      <c r="DC1440" s="1" t="s">
        <v>305</v>
      </c>
      <c r="DD1440" s="1" t="s">
        <v>217</v>
      </c>
      <c r="DE1440" s="1" t="s">
        <v>273</v>
      </c>
      <c r="DF1440" s="1" t="s">
        <v>219</v>
      </c>
      <c r="DG1440" s="1" t="s">
        <v>2237</v>
      </c>
      <c r="DH1440" s="1" t="s">
        <v>220</v>
      </c>
      <c r="DI1440" s="1" t="s">
        <v>1003</v>
      </c>
      <c r="DJ1440" s="1" t="s">
        <v>222</v>
      </c>
      <c r="DL1440" s="1" t="s">
        <v>223</v>
      </c>
      <c r="DM1440" s="1" t="s">
        <v>229</v>
      </c>
      <c r="DP1440" s="1" t="s">
        <v>340</v>
      </c>
      <c r="DQ1440" s="1" t="s">
        <v>228</v>
      </c>
      <c r="DR1440" s="1" t="s">
        <v>229</v>
      </c>
      <c r="DU1440" s="1" t="s">
        <v>9153</v>
      </c>
      <c r="DV1440" s="1" t="s">
        <v>14827</v>
      </c>
      <c r="DW1440" s="1" t="s">
        <v>233</v>
      </c>
      <c r="DX1440" s="1" t="s">
        <v>234</v>
      </c>
      <c r="DY1440" s="1" t="s">
        <v>596</v>
      </c>
      <c r="EA1440" s="1" t="s">
        <v>344</v>
      </c>
      <c r="EB1440" s="1" t="s">
        <v>345</v>
      </c>
      <c r="EC1440" s="1" t="s">
        <v>237</v>
      </c>
      <c r="EE1440" s="1" t="s">
        <v>1077</v>
      </c>
      <c r="EG1440" s="1" t="s">
        <v>1121</v>
      </c>
      <c r="EH1440" s="1" t="s">
        <v>1729</v>
      </c>
      <c r="EI1440" s="1" t="s">
        <v>1571</v>
      </c>
      <c r="EL1440" s="1" t="s">
        <v>375</v>
      </c>
      <c r="EM1440" s="1" t="s">
        <v>209</v>
      </c>
      <c r="EN1440" s="1" t="s">
        <v>210</v>
      </c>
      <c r="EP1440" s="1" t="s">
        <v>211</v>
      </c>
      <c r="EQ1440" s="1" t="s">
        <v>206</v>
      </c>
      <c r="ER1440" s="1" t="s">
        <v>268</v>
      </c>
      <c r="ET1440" s="1" t="s">
        <v>1613</v>
      </c>
      <c r="EU1440" s="1" t="s">
        <v>209</v>
      </c>
      <c r="EV1440" s="1" t="s">
        <v>617</v>
      </c>
      <c r="EY1440" s="1" t="s">
        <v>238</v>
      </c>
      <c r="FC1440" s="1" t="s">
        <v>238</v>
      </c>
      <c r="FF1440" s="1" t="s">
        <v>239</v>
      </c>
      <c r="FG1440" s="1" t="s">
        <v>192</v>
      </c>
      <c r="FH1440" s="1" t="s">
        <v>192</v>
      </c>
      <c r="FJ1440" s="1" t="s">
        <v>7785</v>
      </c>
      <c r="FK1440" s="1" t="s">
        <v>229</v>
      </c>
      <c r="FL1440" s="1" t="s">
        <v>2263</v>
      </c>
      <c r="FM1440" s="1">
        <v>890.0</v>
      </c>
      <c r="FN1440" s="1" t="s">
        <v>5199</v>
      </c>
      <c r="FO1440" s="1" t="s">
        <v>14828</v>
      </c>
      <c r="FP1440" s="1">
        <v>784.0</v>
      </c>
      <c r="FQ1440" s="1" t="s">
        <v>14829</v>
      </c>
      <c r="FU1440" s="1" t="s">
        <v>14830</v>
      </c>
      <c r="FV1440" s="1" t="s">
        <v>200</v>
      </c>
      <c r="FW1440" s="1" t="s">
        <v>14831</v>
      </c>
      <c r="FZ1440" s="1" t="s">
        <v>632</v>
      </c>
      <c r="GA1440" s="1" t="s">
        <v>291</v>
      </c>
      <c r="GB1440" s="2">
        <v>42096.0</v>
      </c>
      <c r="GC1440" s="1" t="s">
        <v>14832</v>
      </c>
    </row>
    <row r="1441">
      <c r="A1441" s="1">
        <v>155000.0</v>
      </c>
      <c r="B1441" s="1" t="s">
        <v>185</v>
      </c>
      <c r="C1441" s="1" t="str">
        <f>"08677760"</f>
        <v>08677760</v>
      </c>
      <c r="D1441" s="1" t="s">
        <v>186</v>
      </c>
      <c r="F1441" s="1" t="str">
        <f>"8065"</f>
        <v>8065</v>
      </c>
      <c r="G1441" s="2">
        <v>41839.0</v>
      </c>
      <c r="H1441" s="1">
        <v>164900.0</v>
      </c>
      <c r="I1441" s="1">
        <v>210.0</v>
      </c>
      <c r="J1441" s="1">
        <v>155900.0</v>
      </c>
      <c r="K1441" s="2">
        <v>42047.0</v>
      </c>
      <c r="L1441" s="1">
        <v>210.0</v>
      </c>
      <c r="M1441" s="2">
        <v>42047.0</v>
      </c>
      <c r="N1441" s="1" t="s">
        <v>356</v>
      </c>
      <c r="O1441" s="2">
        <v>42124.0</v>
      </c>
      <c r="P1441" s="1">
        <v>229702.0</v>
      </c>
      <c r="Q1441" s="1">
        <v>60473.0</v>
      </c>
      <c r="S1441" s="1">
        <v>6354.0</v>
      </c>
      <c r="T1441" s="1" t="s">
        <v>3314</v>
      </c>
      <c r="U1441" s="1" t="s">
        <v>189</v>
      </c>
      <c r="V1441" s="1" t="s">
        <v>190</v>
      </c>
      <c r="W1441" s="1">
        <v>60629.0</v>
      </c>
      <c r="Y1441" s="1" t="s">
        <v>14833</v>
      </c>
      <c r="Z1441" s="1">
        <v>1925.0</v>
      </c>
      <c r="AA1441" s="1" t="s">
        <v>192</v>
      </c>
      <c r="AB1441" s="1" t="s">
        <v>193</v>
      </c>
      <c r="AD1441" s="1" t="s">
        <v>194</v>
      </c>
      <c r="AE1441" s="1" t="s">
        <v>195</v>
      </c>
      <c r="AF1441" s="1" t="s">
        <v>659</v>
      </c>
      <c r="AH1441" s="1" t="s">
        <v>1501</v>
      </c>
      <c r="AI1441" s="1">
        <v>0.0861</v>
      </c>
      <c r="AK1441" s="1">
        <v>9.0</v>
      </c>
      <c r="AL1441" s="1">
        <v>4.0</v>
      </c>
      <c r="AM1441" s="1">
        <v>2.0</v>
      </c>
      <c r="AN1441" s="1">
        <v>0.0</v>
      </c>
      <c r="AO1441" s="1" t="s">
        <v>229</v>
      </c>
      <c r="AQ1441" s="1" t="s">
        <v>198</v>
      </c>
      <c r="AR1441" s="1" t="s">
        <v>192</v>
      </c>
      <c r="AS1441" s="1" t="s">
        <v>199</v>
      </c>
      <c r="AT1441" s="1">
        <v>2.0</v>
      </c>
      <c r="AV1441" s="1" t="s">
        <v>200</v>
      </c>
      <c r="AW1441" s="1">
        <v>2453.08</v>
      </c>
      <c r="AX1441" s="1">
        <v>2012.0</v>
      </c>
      <c r="AZ1441" s="1" t="s">
        <v>200</v>
      </c>
      <c r="BA1441" s="1" t="str">
        <f>"19222030390000"</f>
        <v>19222030390000</v>
      </c>
      <c r="BC1441" s="1">
        <v>1323.0</v>
      </c>
      <c r="BD1441" s="1">
        <v>155000.0</v>
      </c>
      <c r="BE1441" s="2">
        <v>41838.0</v>
      </c>
      <c r="BF1441" s="1" t="s">
        <v>14834</v>
      </c>
      <c r="BH1441" s="1">
        <v>0.0</v>
      </c>
      <c r="BK1441" s="1" t="s">
        <v>204</v>
      </c>
      <c r="BL1441" s="1" t="str">
        <f t="shared" ref="BL1441:BM1441" si="947">"0"</f>
        <v>0</v>
      </c>
      <c r="BM1441" s="1" t="str">
        <f t="shared" si="947"/>
        <v>0</v>
      </c>
      <c r="BN1441" s="1">
        <v>4200.0</v>
      </c>
      <c r="BO1441" s="1">
        <v>6300.0</v>
      </c>
      <c r="BQ1441" s="1">
        <v>299.0</v>
      </c>
      <c r="BR1441" s="1">
        <v>299.0</v>
      </c>
      <c r="BS1441" s="1">
        <v>299.0</v>
      </c>
      <c r="BU1441" s="1" t="s">
        <v>784</v>
      </c>
      <c r="BV1441" s="1" t="s">
        <v>206</v>
      </c>
      <c r="BW1441" s="1" t="s">
        <v>207</v>
      </c>
      <c r="BY1441" s="1" t="s">
        <v>497</v>
      </c>
      <c r="BZ1441" s="1" t="s">
        <v>206</v>
      </c>
      <c r="CC1441" s="1" t="s">
        <v>433</v>
      </c>
      <c r="CD1441" s="1" t="s">
        <v>206</v>
      </c>
      <c r="CG1441" s="1" t="s">
        <v>1229</v>
      </c>
      <c r="CH1441" s="1" t="s">
        <v>206</v>
      </c>
      <c r="CK1441" s="1" t="s">
        <v>497</v>
      </c>
      <c r="CL1441" s="1" t="s">
        <v>1697</v>
      </c>
      <c r="CO1441" s="1" t="s">
        <v>392</v>
      </c>
      <c r="CP1441" s="1" t="s">
        <v>1697</v>
      </c>
      <c r="CS1441" s="1" t="s">
        <v>495</v>
      </c>
      <c r="CT1441" s="1" t="s">
        <v>206</v>
      </c>
      <c r="CX1441" s="1" t="s">
        <v>204</v>
      </c>
      <c r="DA1441" s="1" t="s">
        <v>200</v>
      </c>
      <c r="DC1441" s="1" t="s">
        <v>785</v>
      </c>
      <c r="DE1441" s="1" t="s">
        <v>229</v>
      </c>
      <c r="DF1441" s="1" t="s">
        <v>619</v>
      </c>
      <c r="DH1441" s="1" t="s">
        <v>365</v>
      </c>
      <c r="DJ1441" s="1" t="s">
        <v>222</v>
      </c>
      <c r="DL1441" s="1" t="s">
        <v>224</v>
      </c>
      <c r="DM1441" s="1" t="s">
        <v>229</v>
      </c>
      <c r="DQ1441" s="1" t="s">
        <v>718</v>
      </c>
      <c r="DR1441" s="1" t="s">
        <v>229</v>
      </c>
      <c r="DV1441" s="1" t="s">
        <v>1403</v>
      </c>
      <c r="DW1441" s="1" t="s">
        <v>279</v>
      </c>
      <c r="DX1441" s="1" t="s">
        <v>234</v>
      </c>
      <c r="EA1441" s="1" t="s">
        <v>2535</v>
      </c>
      <c r="EC1441" s="1" t="s">
        <v>645</v>
      </c>
      <c r="EG1441" s="1" t="s">
        <v>598</v>
      </c>
      <c r="EH1441" s="1" t="s">
        <v>1407</v>
      </c>
      <c r="EL1441" s="1" t="s">
        <v>497</v>
      </c>
      <c r="EM1441" s="1" t="s">
        <v>206</v>
      </c>
      <c r="EP1441" s="1" t="s">
        <v>700</v>
      </c>
      <c r="EQ1441" s="1" t="s">
        <v>42</v>
      </c>
      <c r="EU1441" s="1" t="s">
        <v>238</v>
      </c>
      <c r="EY1441" s="1" t="s">
        <v>238</v>
      </c>
      <c r="FC1441" s="1" t="s">
        <v>238</v>
      </c>
      <c r="FF1441" s="1" t="s">
        <v>239</v>
      </c>
      <c r="FG1441" s="1" t="s">
        <v>192</v>
      </c>
      <c r="FH1441" s="1" t="s">
        <v>200</v>
      </c>
      <c r="FJ1441" s="1" t="s">
        <v>14835</v>
      </c>
      <c r="FK1441" s="1" t="s">
        <v>1586</v>
      </c>
      <c r="FL1441" s="1" t="s">
        <v>14836</v>
      </c>
      <c r="FM1441" s="1">
        <v>14832.0</v>
      </c>
      <c r="FN1441" s="1" t="s">
        <v>14837</v>
      </c>
      <c r="FO1441" s="1" t="s">
        <v>14838</v>
      </c>
      <c r="FP1441" s="1">
        <v>133508.0</v>
      </c>
      <c r="FQ1441" s="1" t="s">
        <v>14837</v>
      </c>
      <c r="FU1441" s="1" t="s">
        <v>14839</v>
      </c>
      <c r="FV1441" s="1" t="s">
        <v>200</v>
      </c>
      <c r="FW1441" s="1" t="s">
        <v>14840</v>
      </c>
      <c r="FX1441" s="1" t="s">
        <v>655</v>
      </c>
      <c r="FZ1441" s="1" t="s">
        <v>229</v>
      </c>
      <c r="GA1441" s="1" t="s">
        <v>291</v>
      </c>
      <c r="GB1441" s="2">
        <v>42137.0</v>
      </c>
      <c r="GC1441" s="1" t="s">
        <v>3170</v>
      </c>
    </row>
    <row r="1442">
      <c r="A1442" s="1">
        <v>73000.0</v>
      </c>
      <c r="B1442" s="1" t="s">
        <v>185</v>
      </c>
      <c r="C1442" s="1" t="str">
        <f>"08678708"</f>
        <v>08678708</v>
      </c>
      <c r="D1442" s="1" t="s">
        <v>186</v>
      </c>
      <c r="F1442" s="1" t="str">
        <f t="shared" ref="F1442:F1443" si="949">"8070"</f>
        <v>8070</v>
      </c>
      <c r="G1442" s="2">
        <v>41841.0</v>
      </c>
      <c r="H1442" s="1">
        <v>69900.0</v>
      </c>
      <c r="I1442" s="1">
        <v>3.0</v>
      </c>
      <c r="J1442" s="1">
        <v>69900.0</v>
      </c>
      <c r="K1442" s="2">
        <v>41843.0</v>
      </c>
      <c r="L1442" s="1">
        <v>3.0</v>
      </c>
      <c r="M1442" s="2">
        <v>41843.0</v>
      </c>
      <c r="N1442" s="1" t="s">
        <v>249</v>
      </c>
      <c r="O1442" s="2">
        <v>42075.0</v>
      </c>
      <c r="P1442" s="1">
        <v>104896.0</v>
      </c>
      <c r="Q1442" s="1">
        <v>18202.0</v>
      </c>
      <c r="S1442" s="1">
        <v>8014.0</v>
      </c>
      <c r="T1442" s="1" t="s">
        <v>1513</v>
      </c>
      <c r="U1442" s="1" t="s">
        <v>189</v>
      </c>
      <c r="V1442" s="1" t="s">
        <v>190</v>
      </c>
      <c r="W1442" s="1">
        <v>60652.0</v>
      </c>
      <c r="Y1442" s="1" t="s">
        <v>14841</v>
      </c>
      <c r="Z1442" s="1">
        <v>1945.0</v>
      </c>
      <c r="AA1442" s="1" t="s">
        <v>192</v>
      </c>
      <c r="AB1442" s="1" t="s">
        <v>193</v>
      </c>
      <c r="AD1442" s="1" t="s">
        <v>194</v>
      </c>
      <c r="AE1442" s="1" t="s">
        <v>195</v>
      </c>
      <c r="AF1442" s="1" t="s">
        <v>637</v>
      </c>
      <c r="AH1442" s="1" t="s">
        <v>359</v>
      </c>
      <c r="AI1442" s="1">
        <v>0.0868</v>
      </c>
      <c r="AK1442" s="1">
        <v>8.0</v>
      </c>
      <c r="AL1442" s="1">
        <v>4.0</v>
      </c>
      <c r="AM1442" s="1">
        <v>1.0</v>
      </c>
      <c r="AN1442" s="1">
        <v>1.0</v>
      </c>
      <c r="AO1442" s="1" t="s">
        <v>229</v>
      </c>
      <c r="AQ1442" s="1" t="s">
        <v>198</v>
      </c>
      <c r="AR1442" s="1" t="s">
        <v>192</v>
      </c>
      <c r="AS1442" s="1" t="s">
        <v>199</v>
      </c>
      <c r="AT1442" s="1">
        <v>2.0</v>
      </c>
      <c r="AV1442" s="1" t="s">
        <v>200</v>
      </c>
      <c r="AW1442" s="1">
        <v>1524.19</v>
      </c>
      <c r="AX1442" s="1">
        <v>2012.0</v>
      </c>
      <c r="AZ1442" s="1" t="s">
        <v>200</v>
      </c>
      <c r="BA1442" s="1" t="str">
        <f>"19362100240000"</f>
        <v>19362100240000</v>
      </c>
      <c r="BC1442" s="1">
        <v>1500.0</v>
      </c>
      <c r="BD1442" s="1">
        <v>73000.0</v>
      </c>
      <c r="BE1442" s="2">
        <v>41841.0</v>
      </c>
      <c r="BH1442" s="1">
        <v>0.0</v>
      </c>
      <c r="BK1442" s="1" t="s">
        <v>204</v>
      </c>
      <c r="BL1442" s="1" t="str">
        <f t="shared" ref="BL1442:BM1442" si="948">"0"</f>
        <v>0</v>
      </c>
      <c r="BM1442" s="1" t="str">
        <f t="shared" si="948"/>
        <v>0</v>
      </c>
      <c r="BN1442" s="1">
        <v>2250.0</v>
      </c>
      <c r="BO1442" s="1">
        <v>8000.0</v>
      </c>
      <c r="BQ1442" s="1">
        <v>299.0</v>
      </c>
      <c r="BR1442" s="1">
        <v>299.0</v>
      </c>
      <c r="BS1442" s="1">
        <v>299.0</v>
      </c>
      <c r="BU1442" s="1" t="s">
        <v>205</v>
      </c>
      <c r="BV1442" s="1" t="s">
        <v>206</v>
      </c>
      <c r="BW1442" s="1" t="s">
        <v>207</v>
      </c>
      <c r="BY1442" s="1" t="s">
        <v>497</v>
      </c>
      <c r="BZ1442" s="1" t="s">
        <v>206</v>
      </c>
      <c r="CA1442" s="1" t="s">
        <v>207</v>
      </c>
      <c r="CC1442" s="1" t="s">
        <v>264</v>
      </c>
      <c r="CD1442" s="1" t="s">
        <v>206</v>
      </c>
      <c r="CE1442" s="1" t="s">
        <v>207</v>
      </c>
      <c r="CG1442" s="1" t="s">
        <v>264</v>
      </c>
      <c r="CH1442" s="1" t="s">
        <v>206</v>
      </c>
      <c r="CI1442" s="1" t="s">
        <v>207</v>
      </c>
      <c r="CK1442" s="1" t="s">
        <v>495</v>
      </c>
      <c r="CL1442" s="1" t="s">
        <v>209</v>
      </c>
      <c r="CM1442" s="1" t="s">
        <v>617</v>
      </c>
      <c r="CO1442" s="1" t="s">
        <v>1138</v>
      </c>
      <c r="CP1442" s="1" t="s">
        <v>209</v>
      </c>
      <c r="CS1442" s="1" t="s">
        <v>433</v>
      </c>
      <c r="CT1442" s="1" t="s">
        <v>206</v>
      </c>
      <c r="CU1442" s="1" t="s">
        <v>617</v>
      </c>
      <c r="CX1442" s="1" t="s">
        <v>204</v>
      </c>
      <c r="DA1442" s="1" t="s">
        <v>200</v>
      </c>
      <c r="DC1442" s="1" t="s">
        <v>702</v>
      </c>
      <c r="DE1442" s="1" t="s">
        <v>229</v>
      </c>
      <c r="DF1442" s="1" t="s">
        <v>905</v>
      </c>
      <c r="DH1442" s="1" t="s">
        <v>307</v>
      </c>
      <c r="DJ1442" s="1" t="s">
        <v>222</v>
      </c>
      <c r="DL1442" s="1" t="s">
        <v>223</v>
      </c>
      <c r="DM1442" s="1" t="s">
        <v>229</v>
      </c>
      <c r="DQ1442" s="1" t="s">
        <v>228</v>
      </c>
      <c r="DR1442" s="1" t="s">
        <v>229</v>
      </c>
      <c r="DV1442" s="1" t="s">
        <v>494</v>
      </c>
      <c r="DW1442" s="1" t="s">
        <v>279</v>
      </c>
      <c r="DX1442" s="1" t="s">
        <v>234</v>
      </c>
      <c r="EC1442" s="1" t="s">
        <v>237</v>
      </c>
      <c r="EG1442" s="1" t="s">
        <v>494</v>
      </c>
      <c r="EL1442" s="1" t="s">
        <v>623</v>
      </c>
      <c r="EM1442" s="1" t="s">
        <v>209</v>
      </c>
      <c r="EN1442" s="1" t="s">
        <v>207</v>
      </c>
      <c r="EQ1442" s="1" t="s">
        <v>238</v>
      </c>
      <c r="EU1442" s="1" t="s">
        <v>238</v>
      </c>
      <c r="EY1442" s="1" t="s">
        <v>238</v>
      </c>
      <c r="FC1442" s="1" t="s">
        <v>238</v>
      </c>
      <c r="FF1442" s="1" t="s">
        <v>239</v>
      </c>
      <c r="FG1442" s="1" t="s">
        <v>192</v>
      </c>
      <c r="FH1442" s="1" t="s">
        <v>192</v>
      </c>
      <c r="FJ1442" s="1" t="s">
        <v>624</v>
      </c>
      <c r="FK1442" s="1" t="s">
        <v>1586</v>
      </c>
      <c r="FL1442" s="1" t="s">
        <v>14842</v>
      </c>
      <c r="FM1442" s="1">
        <v>85107.0</v>
      </c>
      <c r="FN1442" s="1" t="s">
        <v>2316</v>
      </c>
      <c r="FO1442" s="1" t="s">
        <v>14843</v>
      </c>
      <c r="FP1442" s="1">
        <v>102320.0</v>
      </c>
      <c r="FQ1442" s="1" t="s">
        <v>14844</v>
      </c>
      <c r="FU1442" s="1" t="s">
        <v>14845</v>
      </c>
      <c r="FV1442" s="1" t="s">
        <v>200</v>
      </c>
      <c r="FW1442" s="1" t="s">
        <v>14846</v>
      </c>
      <c r="FX1442" s="1" t="s">
        <v>655</v>
      </c>
      <c r="FZ1442" s="1" t="s">
        <v>229</v>
      </c>
      <c r="GA1442" s="1" t="s">
        <v>291</v>
      </c>
      <c r="GB1442" s="2">
        <v>42075.0</v>
      </c>
      <c r="GC1442" s="1" t="s">
        <v>14847</v>
      </c>
    </row>
    <row r="1443">
      <c r="A1443" s="1">
        <v>185000.0</v>
      </c>
      <c r="B1443" s="1" t="s">
        <v>185</v>
      </c>
      <c r="C1443" s="1" t="str">
        <f>"08677651"</f>
        <v>08677651</v>
      </c>
      <c r="D1443" s="1" t="s">
        <v>186</v>
      </c>
      <c r="F1443" s="1" t="str">
        <f t="shared" si="949"/>
        <v>8070</v>
      </c>
      <c r="G1443" s="2">
        <v>41839.0</v>
      </c>
      <c r="H1443" s="1">
        <v>199900.0</v>
      </c>
      <c r="I1443" s="1">
        <v>30.0</v>
      </c>
      <c r="J1443" s="1">
        <v>199900.0</v>
      </c>
      <c r="K1443" s="2">
        <v>41866.0</v>
      </c>
      <c r="L1443" s="1">
        <v>30.0</v>
      </c>
      <c r="M1443" s="2">
        <v>41866.0</v>
      </c>
      <c r="N1443" s="1" t="s">
        <v>356</v>
      </c>
      <c r="O1443" s="2">
        <v>41999.0</v>
      </c>
      <c r="P1443" s="1">
        <v>241070.0</v>
      </c>
      <c r="Q1443" s="1">
        <v>60119.0</v>
      </c>
      <c r="R1443" s="1">
        <v>5000.0</v>
      </c>
      <c r="S1443" s="1">
        <v>8521.0</v>
      </c>
      <c r="T1443" s="1" t="s">
        <v>4899</v>
      </c>
      <c r="U1443" s="1" t="s">
        <v>189</v>
      </c>
      <c r="V1443" s="1" t="s">
        <v>190</v>
      </c>
      <c r="W1443" s="1">
        <v>60652.0</v>
      </c>
      <c r="X1443" s="1">
        <v>3603.0</v>
      </c>
      <c r="Y1443" s="1" t="s">
        <v>14848</v>
      </c>
      <c r="Z1443" s="1">
        <v>1961.0</v>
      </c>
      <c r="AA1443" s="1" t="s">
        <v>192</v>
      </c>
      <c r="AB1443" s="1" t="s">
        <v>193</v>
      </c>
      <c r="AD1443" s="1" t="s">
        <v>194</v>
      </c>
      <c r="AE1443" s="1" t="s">
        <v>195</v>
      </c>
      <c r="AF1443" s="1" t="s">
        <v>659</v>
      </c>
      <c r="AH1443" s="1" t="s">
        <v>2164</v>
      </c>
      <c r="AI1443" s="1">
        <v>0.11</v>
      </c>
      <c r="AK1443" s="1">
        <v>8.0</v>
      </c>
      <c r="AL1443" s="1">
        <v>3.0</v>
      </c>
      <c r="AM1443" s="1">
        <v>1.0</v>
      </c>
      <c r="AN1443" s="1">
        <v>1.0</v>
      </c>
      <c r="AO1443" s="1" t="s">
        <v>1261</v>
      </c>
      <c r="AQ1443" s="1" t="s">
        <v>198</v>
      </c>
      <c r="AR1443" s="1" t="s">
        <v>200</v>
      </c>
      <c r="AS1443" s="1" t="s">
        <v>199</v>
      </c>
      <c r="AT1443" s="1">
        <v>2.0</v>
      </c>
      <c r="AV1443" s="1" t="s">
        <v>200</v>
      </c>
      <c r="AW1443" s="1">
        <v>2687.98</v>
      </c>
      <c r="AX1443" s="1">
        <v>2013.0</v>
      </c>
      <c r="AY1443" s="1" t="s">
        <v>387</v>
      </c>
      <c r="AZ1443" s="1" t="s">
        <v>200</v>
      </c>
      <c r="BA1443" s="1" t="str">
        <f>"19344220370000"</f>
        <v>19344220370000</v>
      </c>
      <c r="BB1443" s="1" t="s">
        <v>200</v>
      </c>
      <c r="BC1443" s="1">
        <v>1326.0</v>
      </c>
      <c r="BD1443" s="1">
        <v>185000.0</v>
      </c>
      <c r="BE1443" s="2">
        <v>41837.0</v>
      </c>
      <c r="BF1443" s="2" t="s">
        <v>14849</v>
      </c>
      <c r="BH1443" s="1">
        <v>0.0</v>
      </c>
      <c r="BK1443" s="1" t="s">
        <v>204</v>
      </c>
      <c r="BL1443" s="1" t="str">
        <f t="shared" ref="BL1443:BM1443" si="950">"0"</f>
        <v>0</v>
      </c>
      <c r="BM1443" s="1" t="str">
        <f t="shared" si="950"/>
        <v>0</v>
      </c>
      <c r="BN1443" s="1">
        <v>4100.0</v>
      </c>
      <c r="BO1443" s="1">
        <v>8521.0</v>
      </c>
      <c r="BQ1443" s="1">
        <v>299.0</v>
      </c>
      <c r="BR1443" s="1">
        <v>299.0</v>
      </c>
      <c r="BS1443" s="1">
        <v>299.0</v>
      </c>
      <c r="BU1443" s="1" t="s">
        <v>4403</v>
      </c>
      <c r="BV1443" s="1" t="s">
        <v>206</v>
      </c>
      <c r="BW1443" s="1" t="s">
        <v>207</v>
      </c>
      <c r="BX1443" s="1" t="s">
        <v>1549</v>
      </c>
      <c r="BY1443" s="1" t="s">
        <v>302</v>
      </c>
      <c r="BZ1443" s="1" t="s">
        <v>206</v>
      </c>
      <c r="CA1443" s="1" t="s">
        <v>207</v>
      </c>
      <c r="CB1443" s="1" t="s">
        <v>229</v>
      </c>
      <c r="CC1443" s="1" t="s">
        <v>542</v>
      </c>
      <c r="CD1443" s="1" t="s">
        <v>206</v>
      </c>
      <c r="CE1443" s="1" t="s">
        <v>268</v>
      </c>
      <c r="CF1443" s="1" t="s">
        <v>1118</v>
      </c>
      <c r="CG1443" s="1" t="s">
        <v>699</v>
      </c>
      <c r="CH1443" s="1" t="s">
        <v>206</v>
      </c>
      <c r="CI1443" s="1" t="s">
        <v>210</v>
      </c>
      <c r="CJ1443" s="1" t="s">
        <v>1118</v>
      </c>
      <c r="CK1443" s="1" t="s">
        <v>699</v>
      </c>
      <c r="CL1443" s="1" t="s">
        <v>206</v>
      </c>
      <c r="CM1443" s="1" t="s">
        <v>207</v>
      </c>
      <c r="CN1443" s="1" t="s">
        <v>1118</v>
      </c>
      <c r="CO1443" s="1" t="s">
        <v>699</v>
      </c>
      <c r="CP1443" s="1" t="s">
        <v>42</v>
      </c>
      <c r="CQ1443" s="1" t="s">
        <v>210</v>
      </c>
      <c r="CR1443" s="1" t="s">
        <v>1118</v>
      </c>
      <c r="CS1443" s="1" t="s">
        <v>4817</v>
      </c>
      <c r="CT1443" s="1" t="s">
        <v>206</v>
      </c>
      <c r="CU1443" s="1" t="s">
        <v>268</v>
      </c>
      <c r="CV1443" s="1" t="s">
        <v>1118</v>
      </c>
      <c r="CW1443" s="1" t="s">
        <v>14850</v>
      </c>
      <c r="CX1443" s="1" t="s">
        <v>42</v>
      </c>
      <c r="CY1443" s="1" t="s">
        <v>617</v>
      </c>
      <c r="DA1443" s="1" t="s">
        <v>200</v>
      </c>
      <c r="DC1443" s="1" t="s">
        <v>271</v>
      </c>
      <c r="DE1443" s="1" t="s">
        <v>273</v>
      </c>
      <c r="DF1443" s="1" t="s">
        <v>619</v>
      </c>
      <c r="DH1443" s="1" t="s">
        <v>220</v>
      </c>
      <c r="DJ1443" s="1" t="s">
        <v>222</v>
      </c>
      <c r="DL1443" s="1" t="s">
        <v>858</v>
      </c>
      <c r="DM1443" s="1" t="s">
        <v>1919</v>
      </c>
      <c r="DO1443" s="1" t="s">
        <v>549</v>
      </c>
      <c r="DQ1443" s="1" t="s">
        <v>228</v>
      </c>
      <c r="DR1443" s="1" t="s">
        <v>229</v>
      </c>
      <c r="DS1443" s="1" t="s">
        <v>14851</v>
      </c>
      <c r="DV1443" s="1" t="s">
        <v>1270</v>
      </c>
      <c r="DW1443" s="1" t="s">
        <v>279</v>
      </c>
      <c r="DX1443" s="1" t="s">
        <v>234</v>
      </c>
      <c r="DZ1443" s="1" t="s">
        <v>343</v>
      </c>
      <c r="EA1443" s="1" t="s">
        <v>683</v>
      </c>
      <c r="EC1443" s="1" t="s">
        <v>685</v>
      </c>
      <c r="ED1443" s="1" t="s">
        <v>1794</v>
      </c>
      <c r="EE1443" s="1" t="s">
        <v>522</v>
      </c>
      <c r="EG1443" s="1" t="s">
        <v>1270</v>
      </c>
      <c r="EL1443" s="1" t="s">
        <v>4918</v>
      </c>
      <c r="EM1443" s="1" t="s">
        <v>42</v>
      </c>
      <c r="EQ1443" s="1" t="s">
        <v>238</v>
      </c>
      <c r="EU1443" s="1" t="s">
        <v>238</v>
      </c>
      <c r="EY1443" s="1" t="s">
        <v>238</v>
      </c>
      <c r="FC1443" s="1" t="s">
        <v>238</v>
      </c>
      <c r="FF1443" s="1" t="s">
        <v>239</v>
      </c>
      <c r="FG1443" s="1" t="s">
        <v>192</v>
      </c>
      <c r="FH1443" s="1" t="s">
        <v>192</v>
      </c>
      <c r="FJ1443" s="1" t="s">
        <v>770</v>
      </c>
      <c r="FK1443" s="1" t="s">
        <v>229</v>
      </c>
      <c r="FL1443" s="1" t="s">
        <v>1358</v>
      </c>
      <c r="FM1443" s="1">
        <v>60120.0</v>
      </c>
      <c r="FN1443" s="1" t="s">
        <v>14852</v>
      </c>
      <c r="FO1443" s="1" t="s">
        <v>14853</v>
      </c>
      <c r="FP1443" s="1">
        <v>229075.0</v>
      </c>
      <c r="FQ1443" s="1" t="s">
        <v>14854</v>
      </c>
      <c r="FS1443" s="1" t="s">
        <v>14855</v>
      </c>
      <c r="FU1443" s="1" t="s">
        <v>2030</v>
      </c>
      <c r="FV1443" s="1" t="s">
        <v>200</v>
      </c>
      <c r="FW1443" s="1" t="s">
        <v>14856</v>
      </c>
      <c r="FX1443" s="1" t="s">
        <v>655</v>
      </c>
      <c r="FZ1443" s="1" t="s">
        <v>229</v>
      </c>
      <c r="GA1443" s="1" t="s">
        <v>291</v>
      </c>
      <c r="GB1443" s="2">
        <v>42002.0</v>
      </c>
      <c r="GC1443" s="1" t="s">
        <v>14857</v>
      </c>
    </row>
    <row r="1444">
      <c r="A1444" s="1">
        <v>277000.0</v>
      </c>
      <c r="B1444" s="1" t="s">
        <v>185</v>
      </c>
      <c r="C1444" s="1" t="str">
        <f>"08679463"</f>
        <v>08679463</v>
      </c>
      <c r="D1444" s="1" t="s">
        <v>186</v>
      </c>
      <c r="F1444" s="1" t="str">
        <f>"123"</f>
        <v>123</v>
      </c>
      <c r="G1444" s="2">
        <v>41841.0</v>
      </c>
      <c r="H1444" s="1">
        <v>294900.0</v>
      </c>
      <c r="I1444" s="1">
        <v>117.0</v>
      </c>
      <c r="J1444" s="1">
        <v>289900.0</v>
      </c>
      <c r="K1444" s="2">
        <v>41957.0</v>
      </c>
      <c r="L1444" s="1">
        <v>117.0</v>
      </c>
      <c r="M1444" s="2">
        <v>41957.0</v>
      </c>
      <c r="N1444" s="1" t="s">
        <v>187</v>
      </c>
      <c r="O1444" s="2">
        <v>41984.0</v>
      </c>
      <c r="P1444" s="1">
        <v>82766.0</v>
      </c>
      <c r="Q1444" s="1">
        <v>23871.0</v>
      </c>
      <c r="S1444" s="1">
        <v>3535.0</v>
      </c>
      <c r="T1444" s="1" t="s">
        <v>14858</v>
      </c>
      <c r="U1444" s="1" t="s">
        <v>694</v>
      </c>
      <c r="V1444" s="1" t="s">
        <v>465</v>
      </c>
      <c r="W1444" s="1">
        <v>60124.0</v>
      </c>
      <c r="Y1444" s="1" t="s">
        <v>14859</v>
      </c>
      <c r="Z1444" s="1">
        <v>2010.0</v>
      </c>
      <c r="AA1444" s="1" t="s">
        <v>200</v>
      </c>
      <c r="AB1444" s="1" t="s">
        <v>193</v>
      </c>
      <c r="AD1444" s="1" t="s">
        <v>469</v>
      </c>
      <c r="AE1444" s="1" t="s">
        <v>325</v>
      </c>
      <c r="AF1444" s="1" t="s">
        <v>572</v>
      </c>
      <c r="AH1444" s="1" t="s">
        <v>11715</v>
      </c>
      <c r="AI1444" s="1">
        <v>0.19</v>
      </c>
      <c r="AK1444" s="1">
        <v>10.0</v>
      </c>
      <c r="AL1444" s="1">
        <v>4.0</v>
      </c>
      <c r="AM1444" s="1">
        <v>3.0</v>
      </c>
      <c r="AN1444" s="1">
        <v>1.0</v>
      </c>
      <c r="AO1444" s="1" t="s">
        <v>198</v>
      </c>
      <c r="AP1444" s="1">
        <v>0.0</v>
      </c>
      <c r="AQ1444" s="1" t="s">
        <v>198</v>
      </c>
      <c r="AR1444" s="1" t="s">
        <v>192</v>
      </c>
      <c r="AS1444" s="1" t="s">
        <v>199</v>
      </c>
      <c r="AT1444" s="1">
        <v>2.0</v>
      </c>
      <c r="AV1444" s="1" t="s">
        <v>192</v>
      </c>
      <c r="AW1444" s="4">
        <v>9095.5</v>
      </c>
      <c r="AX1444" s="1">
        <v>2013.0</v>
      </c>
      <c r="AY1444" s="1" t="s">
        <v>387</v>
      </c>
      <c r="AZ1444" s="1" t="s">
        <v>200</v>
      </c>
      <c r="BA1444" s="1" t="str">
        <f>"0501475003"</f>
        <v>0501475003</v>
      </c>
      <c r="BB1444" s="1" t="s">
        <v>200</v>
      </c>
      <c r="BC1444" s="1">
        <v>2532.0</v>
      </c>
      <c r="BD1444" s="1">
        <v>277000.0</v>
      </c>
      <c r="BE1444" s="2">
        <v>41841.0</v>
      </c>
      <c r="BF1444" s="2" t="s">
        <v>14860</v>
      </c>
      <c r="BH1444" s="1">
        <v>35.0</v>
      </c>
      <c r="BK1444" s="1" t="s">
        <v>474</v>
      </c>
      <c r="BL1444" s="1" t="str">
        <f t="shared" ref="BL1444:BM1444" si="951">""</f>
        <v/>
      </c>
      <c r="BM1444" s="1" t="str">
        <f t="shared" si="951"/>
        <v/>
      </c>
      <c r="BQ1444" s="1">
        <v>301.0</v>
      </c>
      <c r="BR1444" s="1">
        <v>301.0</v>
      </c>
      <c r="BS1444" s="1">
        <v>301.0</v>
      </c>
      <c r="BU1444" s="1" t="s">
        <v>332</v>
      </c>
      <c r="BV1444" s="1" t="s">
        <v>206</v>
      </c>
      <c r="BW1444" s="1" t="s">
        <v>210</v>
      </c>
      <c r="BX1444" s="1" t="s">
        <v>239</v>
      </c>
      <c r="BY1444" s="1" t="s">
        <v>208</v>
      </c>
      <c r="BZ1444" s="1" t="s">
        <v>209</v>
      </c>
      <c r="CA1444" s="1" t="s">
        <v>210</v>
      </c>
      <c r="CB1444" s="1" t="s">
        <v>239</v>
      </c>
      <c r="CC1444" s="1" t="s">
        <v>215</v>
      </c>
      <c r="CD1444" s="1" t="s">
        <v>206</v>
      </c>
      <c r="CE1444" s="1" t="s">
        <v>207</v>
      </c>
      <c r="CF1444" s="1" t="s">
        <v>239</v>
      </c>
      <c r="CG1444" s="1" t="s">
        <v>332</v>
      </c>
      <c r="CH1444" s="1" t="s">
        <v>209</v>
      </c>
      <c r="CI1444" s="1" t="s">
        <v>210</v>
      </c>
      <c r="CJ1444" s="1" t="s">
        <v>239</v>
      </c>
      <c r="CK1444" s="1" t="s">
        <v>215</v>
      </c>
      <c r="CL1444" s="1" t="s">
        <v>209</v>
      </c>
      <c r="CM1444" s="1" t="s">
        <v>210</v>
      </c>
      <c r="CN1444" s="1" t="s">
        <v>239</v>
      </c>
      <c r="CO1444" s="1" t="s">
        <v>392</v>
      </c>
      <c r="CP1444" s="1" t="s">
        <v>209</v>
      </c>
      <c r="CQ1444" s="1" t="s">
        <v>210</v>
      </c>
      <c r="CR1444" s="1" t="s">
        <v>239</v>
      </c>
      <c r="CS1444" s="1" t="s">
        <v>331</v>
      </c>
      <c r="CT1444" s="1" t="s">
        <v>206</v>
      </c>
      <c r="CU1444" s="1" t="s">
        <v>207</v>
      </c>
      <c r="CV1444" s="1" t="s">
        <v>239</v>
      </c>
      <c r="CW1444" s="1" t="s">
        <v>743</v>
      </c>
      <c r="CX1444" s="1" t="s">
        <v>206</v>
      </c>
      <c r="CY1444" s="1" t="s">
        <v>210</v>
      </c>
      <c r="CZ1444" s="1" t="s">
        <v>239</v>
      </c>
      <c r="DA1444" s="1" t="s">
        <v>200</v>
      </c>
      <c r="DC1444" s="1" t="s">
        <v>1046</v>
      </c>
      <c r="DD1444" s="1" t="s">
        <v>396</v>
      </c>
      <c r="DE1444" s="1" t="s">
        <v>273</v>
      </c>
      <c r="DF1444" s="1" t="s">
        <v>219</v>
      </c>
      <c r="DG1444" s="1" t="s">
        <v>3259</v>
      </c>
      <c r="DH1444" s="1" t="s">
        <v>220</v>
      </c>
      <c r="DI1444" s="1" t="s">
        <v>1868</v>
      </c>
      <c r="DJ1444" s="1" t="s">
        <v>222</v>
      </c>
      <c r="DL1444" s="1" t="s">
        <v>224</v>
      </c>
      <c r="DM1444" s="1" t="s">
        <v>229</v>
      </c>
      <c r="DN1444" s="1" t="s">
        <v>339</v>
      </c>
      <c r="DO1444" s="1" t="s">
        <v>14861</v>
      </c>
      <c r="DP1444" s="1" t="s">
        <v>340</v>
      </c>
      <c r="DQ1444" s="1" t="s">
        <v>228</v>
      </c>
      <c r="DR1444" s="1" t="s">
        <v>2593</v>
      </c>
      <c r="DS1444" s="1" t="s">
        <v>230</v>
      </c>
      <c r="DU1444" s="1" t="s">
        <v>487</v>
      </c>
      <c r="DV1444" s="1" t="s">
        <v>2259</v>
      </c>
      <c r="DW1444" s="1" t="s">
        <v>588</v>
      </c>
      <c r="DX1444" s="1" t="s">
        <v>234</v>
      </c>
      <c r="DY1444" s="1" t="s">
        <v>596</v>
      </c>
      <c r="DZ1444" s="1" t="s">
        <v>1959</v>
      </c>
      <c r="EA1444" s="1" t="s">
        <v>344</v>
      </c>
      <c r="EC1444" s="1" t="s">
        <v>237</v>
      </c>
      <c r="ED1444" s="1" t="s">
        <v>407</v>
      </c>
      <c r="EE1444" s="1" t="s">
        <v>493</v>
      </c>
      <c r="EG1444" s="1" t="s">
        <v>449</v>
      </c>
      <c r="EH1444" s="1" t="s">
        <v>450</v>
      </c>
      <c r="EL1444" s="1" t="s">
        <v>497</v>
      </c>
      <c r="EM1444" s="1" t="s">
        <v>206</v>
      </c>
      <c r="EN1444" s="1" t="s">
        <v>207</v>
      </c>
      <c r="EO1444" s="1" t="s">
        <v>239</v>
      </c>
      <c r="EP1444" s="1" t="s">
        <v>544</v>
      </c>
      <c r="EQ1444" s="1" t="s">
        <v>42</v>
      </c>
      <c r="ER1444" s="1" t="s">
        <v>210</v>
      </c>
      <c r="EU1444" s="1" t="s">
        <v>238</v>
      </c>
      <c r="EY1444" s="1" t="s">
        <v>238</v>
      </c>
      <c r="FC1444" s="1" t="s">
        <v>238</v>
      </c>
      <c r="FF1444" s="1" t="s">
        <v>239</v>
      </c>
      <c r="FG1444" s="1" t="s">
        <v>192</v>
      </c>
      <c r="FH1444" s="1" t="s">
        <v>192</v>
      </c>
      <c r="FJ1444" s="1" t="s">
        <v>285</v>
      </c>
      <c r="FK1444" s="1" t="s">
        <v>348</v>
      </c>
      <c r="FL1444" s="1" t="s">
        <v>1451</v>
      </c>
      <c r="FM1444" s="1">
        <v>7450.0</v>
      </c>
      <c r="FN1444" s="1" t="s">
        <v>1452</v>
      </c>
      <c r="FO1444" s="1" t="s">
        <v>5583</v>
      </c>
      <c r="FP1444" s="1">
        <v>70036.0</v>
      </c>
      <c r="FQ1444" s="1" t="s">
        <v>5584</v>
      </c>
      <c r="FR1444" s="1">
        <v>77640.0</v>
      </c>
      <c r="FU1444" s="1" t="s">
        <v>5585</v>
      </c>
      <c r="FV1444" s="1" t="s">
        <v>200</v>
      </c>
      <c r="FW1444" s="1" t="s">
        <v>290</v>
      </c>
      <c r="FZ1444" s="1" t="s">
        <v>632</v>
      </c>
      <c r="GA1444" s="1" t="s">
        <v>291</v>
      </c>
      <c r="GB1444" s="2">
        <v>41984.0</v>
      </c>
      <c r="GC1444" s="1" t="s">
        <v>14862</v>
      </c>
    </row>
    <row r="1445">
      <c r="A1445" s="1">
        <v>1240000.0</v>
      </c>
      <c r="B1445" s="1" t="s">
        <v>185</v>
      </c>
      <c r="C1445" s="1" t="str">
        <f>"08680153"</f>
        <v>08680153</v>
      </c>
      <c r="D1445" s="1" t="s">
        <v>186</v>
      </c>
      <c r="F1445" s="1" t="str">
        <f t="shared" ref="F1445:F1446" si="952">"10"</f>
        <v>10</v>
      </c>
      <c r="G1445" s="2">
        <v>41842.0</v>
      </c>
      <c r="H1445" s="1">
        <v>1290000.0</v>
      </c>
      <c r="I1445" s="1">
        <v>162.0</v>
      </c>
      <c r="J1445" s="1">
        <v>1290000.0</v>
      </c>
      <c r="K1445" s="2">
        <v>41948.0</v>
      </c>
      <c r="L1445" s="1">
        <v>108.0</v>
      </c>
      <c r="M1445" s="2">
        <v>41948.0</v>
      </c>
      <c r="N1445" s="1" t="s">
        <v>249</v>
      </c>
      <c r="O1445" s="2">
        <v>42069.0</v>
      </c>
      <c r="P1445" s="1">
        <v>85615.0</v>
      </c>
      <c r="Q1445" s="1">
        <v>1739.0</v>
      </c>
      <c r="S1445" s="1">
        <v>12.0</v>
      </c>
      <c r="T1445" s="1" t="s">
        <v>14863</v>
      </c>
      <c r="U1445" s="1" t="s">
        <v>4857</v>
      </c>
      <c r="V1445" s="1" t="s">
        <v>5237</v>
      </c>
      <c r="W1445" s="1">
        <v>60010.0</v>
      </c>
      <c r="Y1445" s="1" t="s">
        <v>14864</v>
      </c>
      <c r="Z1445" s="1">
        <v>1999.0</v>
      </c>
      <c r="AA1445" s="1" t="s">
        <v>200</v>
      </c>
      <c r="AB1445" s="1" t="s">
        <v>467</v>
      </c>
      <c r="AC1445" s="1" t="s">
        <v>14863</v>
      </c>
      <c r="AD1445" s="1" t="s">
        <v>5239</v>
      </c>
      <c r="AE1445" s="1" t="s">
        <v>195</v>
      </c>
      <c r="AF1445" s="1" t="s">
        <v>1948</v>
      </c>
      <c r="AG1445" s="1" t="s">
        <v>752</v>
      </c>
      <c r="AH1445" s="1" t="s">
        <v>14865</v>
      </c>
      <c r="AI1445" s="1">
        <v>1.556</v>
      </c>
      <c r="AK1445" s="1">
        <v>13.0</v>
      </c>
      <c r="AL1445" s="1">
        <v>4.0</v>
      </c>
      <c r="AM1445" s="1">
        <v>4.0</v>
      </c>
      <c r="AN1445" s="1">
        <v>2.0</v>
      </c>
      <c r="AO1445" s="1" t="s">
        <v>198</v>
      </c>
      <c r="AP1445" s="1">
        <v>3.0</v>
      </c>
      <c r="AQ1445" s="1" t="s">
        <v>472</v>
      </c>
      <c r="AR1445" s="1" t="s">
        <v>192</v>
      </c>
      <c r="AS1445" s="1" t="s">
        <v>199</v>
      </c>
      <c r="AT1445" s="1">
        <v>4.0</v>
      </c>
      <c r="AV1445" s="1" t="s">
        <v>200</v>
      </c>
      <c r="AW1445" s="1">
        <v>18676.0</v>
      </c>
      <c r="AX1445" s="1">
        <v>2013.0</v>
      </c>
      <c r="AY1445" s="1" t="s">
        <v>387</v>
      </c>
      <c r="AZ1445" s="1" t="s">
        <v>545</v>
      </c>
      <c r="BA1445" s="1" t="str">
        <f>"01262070140000"</f>
        <v>01262070140000</v>
      </c>
      <c r="BB1445" s="1" t="s">
        <v>200</v>
      </c>
      <c r="BC1445" s="1">
        <v>5880.0</v>
      </c>
      <c r="BD1445" s="1">
        <v>1240000.0</v>
      </c>
      <c r="BE1445" s="2">
        <v>41841.0</v>
      </c>
      <c r="BF1445" s="2" t="s">
        <v>14866</v>
      </c>
      <c r="BG1445" s="1" t="s">
        <v>5242</v>
      </c>
      <c r="BH1445" s="1">
        <v>550.0</v>
      </c>
      <c r="BI1445" s="1" t="s">
        <v>1713</v>
      </c>
      <c r="BJ1445" s="1" t="s">
        <v>1714</v>
      </c>
      <c r="BK1445" s="1" t="s">
        <v>580</v>
      </c>
      <c r="BL1445" s="1" t="str">
        <f>"14"</f>
        <v>14</v>
      </c>
      <c r="BM1445" s="1" t="str">
        <f>"26"</f>
        <v>26</v>
      </c>
      <c r="BQ1445" s="1">
        <v>220.0</v>
      </c>
      <c r="BR1445" s="1">
        <v>220.0</v>
      </c>
      <c r="BS1445" s="1">
        <v>220.0</v>
      </c>
      <c r="BU1445" s="1" t="s">
        <v>480</v>
      </c>
      <c r="BV1445" s="1" t="s">
        <v>206</v>
      </c>
      <c r="BW1445" s="1" t="s">
        <v>207</v>
      </c>
      <c r="BY1445" s="1" t="s">
        <v>14867</v>
      </c>
      <c r="BZ1445" s="1" t="s">
        <v>209</v>
      </c>
      <c r="CA1445" s="1" t="s">
        <v>207</v>
      </c>
      <c r="CC1445" s="1" t="s">
        <v>477</v>
      </c>
      <c r="CD1445" s="1" t="s">
        <v>206</v>
      </c>
      <c r="CE1445" s="1" t="s">
        <v>207</v>
      </c>
      <c r="CG1445" s="1" t="s">
        <v>4353</v>
      </c>
      <c r="CH1445" s="1" t="s">
        <v>209</v>
      </c>
      <c r="CI1445" s="1" t="s">
        <v>207</v>
      </c>
      <c r="CK1445" s="1" t="s">
        <v>1483</v>
      </c>
      <c r="CL1445" s="1" t="s">
        <v>209</v>
      </c>
      <c r="CM1445" s="1" t="s">
        <v>207</v>
      </c>
      <c r="CO1445" s="1" t="s">
        <v>393</v>
      </c>
      <c r="CP1445" s="1" t="s">
        <v>209</v>
      </c>
      <c r="CQ1445" s="1" t="s">
        <v>207</v>
      </c>
      <c r="CS1445" s="1" t="s">
        <v>1623</v>
      </c>
      <c r="CT1445" s="1" t="s">
        <v>206</v>
      </c>
      <c r="CU1445" s="1" t="s">
        <v>2128</v>
      </c>
      <c r="CW1445" s="1" t="s">
        <v>330</v>
      </c>
      <c r="CX1445" s="1" t="s">
        <v>206</v>
      </c>
      <c r="CY1445" s="1" t="s">
        <v>207</v>
      </c>
      <c r="DA1445" s="1" t="s">
        <v>200</v>
      </c>
      <c r="DC1445" s="1" t="s">
        <v>335</v>
      </c>
      <c r="DD1445" s="1" t="s">
        <v>1552</v>
      </c>
      <c r="DE1445" s="1" t="s">
        <v>273</v>
      </c>
      <c r="DF1445" s="1" t="s">
        <v>219</v>
      </c>
      <c r="DG1445" s="1" t="s">
        <v>1812</v>
      </c>
      <c r="DH1445" s="1" t="s">
        <v>856</v>
      </c>
      <c r="DI1445" s="1" t="s">
        <v>2420</v>
      </c>
      <c r="DJ1445" s="1" t="s">
        <v>857</v>
      </c>
      <c r="DK1445" s="1" t="s">
        <v>223</v>
      </c>
      <c r="DL1445" s="1" t="s">
        <v>224</v>
      </c>
      <c r="DM1445" s="1" t="s">
        <v>929</v>
      </c>
      <c r="DN1445" s="1" t="s">
        <v>10880</v>
      </c>
      <c r="DO1445" s="1" t="s">
        <v>14868</v>
      </c>
      <c r="DP1445" s="1" t="s">
        <v>340</v>
      </c>
      <c r="DQ1445" s="1" t="s">
        <v>931</v>
      </c>
      <c r="DR1445" s="1" t="s">
        <v>588</v>
      </c>
      <c r="DS1445" s="1" t="s">
        <v>591</v>
      </c>
      <c r="DU1445" s="1" t="s">
        <v>14869</v>
      </c>
      <c r="DV1445" s="1" t="s">
        <v>14870</v>
      </c>
      <c r="DW1445" s="1" t="s">
        <v>279</v>
      </c>
      <c r="DX1445" s="1" t="s">
        <v>234</v>
      </c>
      <c r="DY1445" s="1" t="s">
        <v>1821</v>
      </c>
      <c r="DZ1445" s="1" t="s">
        <v>2424</v>
      </c>
      <c r="EA1445" s="1" t="s">
        <v>344</v>
      </c>
      <c r="EB1445" s="1" t="s">
        <v>8532</v>
      </c>
      <c r="EC1445" s="1" t="s">
        <v>237</v>
      </c>
      <c r="ED1445" s="1" t="s">
        <v>555</v>
      </c>
      <c r="EG1445" s="1" t="s">
        <v>449</v>
      </c>
      <c r="EH1445" s="1" t="s">
        <v>557</v>
      </c>
      <c r="EI1445" s="1" t="s">
        <v>598</v>
      </c>
      <c r="EJ1445" s="1" t="s">
        <v>450</v>
      </c>
      <c r="EK1445" s="1" t="s">
        <v>408</v>
      </c>
      <c r="EL1445" s="1" t="s">
        <v>390</v>
      </c>
      <c r="EM1445" s="1" t="s">
        <v>206</v>
      </c>
      <c r="EN1445" s="1" t="s">
        <v>2128</v>
      </c>
      <c r="EP1445" s="1" t="s">
        <v>14871</v>
      </c>
      <c r="EQ1445" s="1" t="s">
        <v>209</v>
      </c>
      <c r="ER1445" s="1" t="s">
        <v>207</v>
      </c>
      <c r="ET1445" s="1" t="s">
        <v>14872</v>
      </c>
      <c r="EU1445" s="1" t="s">
        <v>206</v>
      </c>
      <c r="EV1445" s="1" t="s">
        <v>207</v>
      </c>
      <c r="EX1445" s="1" t="s">
        <v>14873</v>
      </c>
      <c r="EY1445" s="1" t="s">
        <v>42</v>
      </c>
      <c r="EZ1445" s="1" t="s">
        <v>210</v>
      </c>
      <c r="FB1445" s="1" t="s">
        <v>716</v>
      </c>
      <c r="FC1445" s="1" t="s">
        <v>206</v>
      </c>
      <c r="FD1445" s="1" t="s">
        <v>2128</v>
      </c>
      <c r="FF1445" s="1" t="s">
        <v>239</v>
      </c>
      <c r="FG1445" s="1" t="s">
        <v>192</v>
      </c>
      <c r="FH1445" s="1" t="s">
        <v>192</v>
      </c>
      <c r="FJ1445" s="1" t="s">
        <v>1469</v>
      </c>
      <c r="FK1445" s="1" t="s">
        <v>348</v>
      </c>
      <c r="FL1445" s="1" t="s">
        <v>1962</v>
      </c>
      <c r="FM1445" s="1">
        <v>8073.0</v>
      </c>
      <c r="FN1445" s="1" t="s">
        <v>1963</v>
      </c>
      <c r="FO1445" s="1" t="s">
        <v>1964</v>
      </c>
      <c r="FP1445" s="1">
        <v>83240.0</v>
      </c>
      <c r="FQ1445" s="1" t="s">
        <v>1965</v>
      </c>
      <c r="FU1445" s="1" t="s">
        <v>14874</v>
      </c>
      <c r="FV1445" s="1" t="s">
        <v>200</v>
      </c>
      <c r="FW1445" s="1" t="s">
        <v>631</v>
      </c>
      <c r="FZ1445" s="1" t="s">
        <v>229</v>
      </c>
      <c r="GA1445" s="1" t="s">
        <v>291</v>
      </c>
      <c r="GB1445" s="2">
        <v>42070.0</v>
      </c>
    </row>
    <row r="1446">
      <c r="A1446" s="1">
        <v>468000.0</v>
      </c>
      <c r="B1446" s="1" t="s">
        <v>185</v>
      </c>
      <c r="C1446" s="1" t="str">
        <f>"08701874"</f>
        <v>08701874</v>
      </c>
      <c r="D1446" s="1" t="s">
        <v>186</v>
      </c>
      <c r="F1446" s="1" t="str">
        <f t="shared" si="952"/>
        <v>10</v>
      </c>
      <c r="G1446" s="2">
        <v>41865.0</v>
      </c>
      <c r="H1446" s="1">
        <v>499900.0</v>
      </c>
      <c r="I1446" s="1">
        <v>122.0</v>
      </c>
      <c r="J1446" s="1">
        <v>479000.0</v>
      </c>
      <c r="K1446" s="2">
        <v>41986.0</v>
      </c>
      <c r="L1446" s="1">
        <v>122.0</v>
      </c>
      <c r="M1446" s="2">
        <v>41986.0</v>
      </c>
      <c r="N1446" s="1" t="s">
        <v>187</v>
      </c>
      <c r="O1446" s="2">
        <v>42034.0</v>
      </c>
      <c r="P1446" s="1">
        <v>841364.0</v>
      </c>
      <c r="Q1446" s="1">
        <v>11062.0</v>
      </c>
      <c r="S1446" s="1">
        <v>40.0</v>
      </c>
      <c r="T1446" s="1" t="s">
        <v>14875</v>
      </c>
      <c r="U1446" s="1" t="s">
        <v>569</v>
      </c>
      <c r="V1446" s="1" t="s">
        <v>2004</v>
      </c>
      <c r="W1446" s="1">
        <v>60010.0</v>
      </c>
      <c r="Y1446" s="1" t="s">
        <v>14876</v>
      </c>
      <c r="Z1446" s="1">
        <v>1979.0</v>
      </c>
      <c r="AA1446" s="1" t="s">
        <v>200</v>
      </c>
      <c r="AB1446" s="1" t="s">
        <v>193</v>
      </c>
      <c r="AC1446" s="1" t="s">
        <v>14877</v>
      </c>
      <c r="AD1446" s="1" t="s">
        <v>2007</v>
      </c>
      <c r="AE1446" s="1" t="s">
        <v>917</v>
      </c>
      <c r="AF1446" s="1" t="s">
        <v>2008</v>
      </c>
      <c r="AG1446" s="1" t="s">
        <v>752</v>
      </c>
      <c r="AH1446" s="1" t="s">
        <v>14878</v>
      </c>
      <c r="AI1446" s="1">
        <v>0.93</v>
      </c>
      <c r="AK1446" s="1">
        <v>12.0</v>
      </c>
      <c r="AL1446" s="1">
        <v>4.0</v>
      </c>
      <c r="AM1446" s="1">
        <v>3.0</v>
      </c>
      <c r="AN1446" s="1">
        <v>1.0</v>
      </c>
      <c r="AO1446" s="1" t="s">
        <v>198</v>
      </c>
      <c r="AP1446" s="1">
        <v>1.0</v>
      </c>
      <c r="AQ1446" s="1" t="s">
        <v>198</v>
      </c>
      <c r="AR1446" s="1" t="s">
        <v>192</v>
      </c>
      <c r="AS1446" s="1" t="s">
        <v>199</v>
      </c>
      <c r="AT1446" s="1">
        <v>2.5</v>
      </c>
      <c r="AV1446" s="1" t="s">
        <v>200</v>
      </c>
      <c r="AW1446" s="1">
        <v>9080.0</v>
      </c>
      <c r="AX1446" s="1">
        <v>2013.0</v>
      </c>
      <c r="AY1446" s="1" t="s">
        <v>229</v>
      </c>
      <c r="AZ1446" s="1" t="s">
        <v>200</v>
      </c>
      <c r="BA1446" s="1" t="str">
        <f>"13154010240000"</f>
        <v>13154010240000</v>
      </c>
      <c r="BB1446" s="1" t="s">
        <v>200</v>
      </c>
      <c r="BC1446" s="1">
        <v>2856.0</v>
      </c>
      <c r="BD1446" s="1">
        <v>468000.0</v>
      </c>
      <c r="BE1446" s="2">
        <v>41865.0</v>
      </c>
      <c r="BF1446" s="2" t="s">
        <v>14879</v>
      </c>
      <c r="BG1446" s="1" t="s">
        <v>10354</v>
      </c>
      <c r="BH1446" s="1">
        <v>125.0</v>
      </c>
      <c r="BI1446" s="1" t="s">
        <v>11276</v>
      </c>
      <c r="BJ1446" s="1" t="s">
        <v>1714</v>
      </c>
      <c r="BK1446" s="1" t="s">
        <v>14880</v>
      </c>
      <c r="BL1446" s="1" t="str">
        <f>"23"</f>
        <v>23</v>
      </c>
      <c r="BM1446" s="1" t="str">
        <f>"0"</f>
        <v>0</v>
      </c>
      <c r="BN1446" s="1">
        <v>27.0</v>
      </c>
      <c r="BO1446" s="1">
        <v>0.0</v>
      </c>
      <c r="BQ1446" s="1">
        <v>220.0</v>
      </c>
      <c r="BR1446" s="1">
        <v>220.0</v>
      </c>
      <c r="BS1446" s="1">
        <v>220.0</v>
      </c>
      <c r="BU1446" s="1" t="s">
        <v>208</v>
      </c>
      <c r="BV1446" s="1" t="s">
        <v>206</v>
      </c>
      <c r="BW1446" s="1" t="s">
        <v>207</v>
      </c>
      <c r="BX1446" s="1" t="s">
        <v>229</v>
      </c>
      <c r="BY1446" s="1" t="s">
        <v>1426</v>
      </c>
      <c r="BZ1446" s="1" t="s">
        <v>209</v>
      </c>
      <c r="CA1446" s="1" t="s">
        <v>207</v>
      </c>
      <c r="CC1446" s="1" t="s">
        <v>331</v>
      </c>
      <c r="CD1446" s="1" t="s">
        <v>206</v>
      </c>
      <c r="CE1446" s="1" t="s">
        <v>207</v>
      </c>
      <c r="CF1446" s="1" t="s">
        <v>229</v>
      </c>
      <c r="CG1446" s="1" t="s">
        <v>211</v>
      </c>
      <c r="CH1446" s="1" t="s">
        <v>209</v>
      </c>
      <c r="CI1446" s="1" t="s">
        <v>207</v>
      </c>
      <c r="CK1446" s="1" t="s">
        <v>433</v>
      </c>
      <c r="CL1446" s="1" t="s">
        <v>209</v>
      </c>
      <c r="CM1446" s="1" t="s">
        <v>207</v>
      </c>
      <c r="CO1446" s="1" t="s">
        <v>332</v>
      </c>
      <c r="CP1446" s="1" t="s">
        <v>209</v>
      </c>
      <c r="CQ1446" s="1" t="s">
        <v>207</v>
      </c>
      <c r="CS1446" s="1" t="s">
        <v>393</v>
      </c>
      <c r="CT1446" s="1" t="s">
        <v>206</v>
      </c>
      <c r="CU1446" s="1" t="s">
        <v>207</v>
      </c>
      <c r="CV1446" s="1" t="s">
        <v>229</v>
      </c>
      <c r="CW1446" s="1" t="s">
        <v>361</v>
      </c>
      <c r="CX1446" s="1" t="s">
        <v>206</v>
      </c>
      <c r="CY1446" s="1" t="s">
        <v>207</v>
      </c>
      <c r="DA1446" s="1" t="s">
        <v>200</v>
      </c>
      <c r="DC1446" s="1" t="s">
        <v>395</v>
      </c>
      <c r="DD1446" s="1" t="s">
        <v>518</v>
      </c>
      <c r="DE1446" s="1" t="s">
        <v>218</v>
      </c>
      <c r="DF1446" s="1" t="s">
        <v>745</v>
      </c>
      <c r="DG1446" s="1" t="s">
        <v>10168</v>
      </c>
      <c r="DH1446" s="1" t="s">
        <v>856</v>
      </c>
      <c r="DI1446" s="1" t="s">
        <v>12466</v>
      </c>
      <c r="DJ1446" s="1" t="s">
        <v>857</v>
      </c>
      <c r="DK1446" s="1" t="s">
        <v>223</v>
      </c>
      <c r="DL1446" s="1" t="s">
        <v>858</v>
      </c>
      <c r="DM1446" s="1" t="s">
        <v>929</v>
      </c>
      <c r="DN1446" s="1" t="s">
        <v>399</v>
      </c>
      <c r="DO1446" s="1" t="s">
        <v>14881</v>
      </c>
      <c r="DP1446" s="1" t="s">
        <v>340</v>
      </c>
      <c r="DQ1446" s="1" t="s">
        <v>1557</v>
      </c>
      <c r="DR1446" s="1" t="s">
        <v>588</v>
      </c>
      <c r="DU1446" s="1" t="s">
        <v>14882</v>
      </c>
      <c r="DV1446" s="1" t="s">
        <v>14883</v>
      </c>
      <c r="DW1446" s="1" t="s">
        <v>279</v>
      </c>
      <c r="DX1446" s="1" t="s">
        <v>234</v>
      </c>
      <c r="DY1446" s="1" t="s">
        <v>6583</v>
      </c>
      <c r="DZ1446" s="1" t="s">
        <v>13463</v>
      </c>
      <c r="EA1446" s="1" t="s">
        <v>447</v>
      </c>
      <c r="EB1446" s="1" t="s">
        <v>1639</v>
      </c>
      <c r="EC1446" s="1" t="s">
        <v>237</v>
      </c>
      <c r="ED1446" s="1" t="s">
        <v>864</v>
      </c>
      <c r="EG1446" s="1" t="s">
        <v>449</v>
      </c>
      <c r="EH1446" s="1" t="s">
        <v>1824</v>
      </c>
      <c r="EI1446" s="1" t="s">
        <v>450</v>
      </c>
      <c r="EJ1446" s="1" t="s">
        <v>598</v>
      </c>
      <c r="EK1446" s="1" t="s">
        <v>408</v>
      </c>
      <c r="EL1446" s="1" t="s">
        <v>599</v>
      </c>
      <c r="EM1446" s="1" t="s">
        <v>206</v>
      </c>
      <c r="EN1446" s="1" t="s">
        <v>207</v>
      </c>
      <c r="EP1446" s="1" t="s">
        <v>3182</v>
      </c>
      <c r="EQ1446" s="1" t="s">
        <v>267</v>
      </c>
      <c r="ER1446" s="1" t="s">
        <v>210</v>
      </c>
      <c r="ET1446" s="1" t="s">
        <v>14884</v>
      </c>
      <c r="EU1446" s="1" t="s">
        <v>267</v>
      </c>
      <c r="EV1446" s="1" t="s">
        <v>268</v>
      </c>
      <c r="EW1446" s="1" t="s">
        <v>229</v>
      </c>
      <c r="EX1446" s="1" t="s">
        <v>269</v>
      </c>
      <c r="EY1446" s="1" t="s">
        <v>267</v>
      </c>
      <c r="EZ1446" s="1" t="s">
        <v>210</v>
      </c>
      <c r="FB1446" s="1" t="s">
        <v>1746</v>
      </c>
      <c r="FC1446" s="1" t="s">
        <v>206</v>
      </c>
      <c r="FD1446" s="1" t="s">
        <v>5126</v>
      </c>
      <c r="FF1446" s="1" t="s">
        <v>239</v>
      </c>
      <c r="FG1446" s="1" t="s">
        <v>192</v>
      </c>
      <c r="FH1446" s="1" t="s">
        <v>192</v>
      </c>
      <c r="FJ1446" s="1" t="s">
        <v>2262</v>
      </c>
      <c r="FK1446" s="1" t="s">
        <v>229</v>
      </c>
      <c r="FL1446" s="1" t="s">
        <v>819</v>
      </c>
      <c r="FM1446" s="1">
        <v>8666.0</v>
      </c>
      <c r="FN1446" s="1" t="s">
        <v>820</v>
      </c>
      <c r="FO1446" s="1" t="s">
        <v>14885</v>
      </c>
      <c r="FP1446" s="1">
        <v>29607.0</v>
      </c>
      <c r="FQ1446" s="1" t="s">
        <v>14886</v>
      </c>
      <c r="FS1446" s="1" t="s">
        <v>14887</v>
      </c>
      <c r="FU1446" s="1" t="s">
        <v>14888</v>
      </c>
      <c r="FV1446" s="1" t="s">
        <v>200</v>
      </c>
      <c r="FW1446" s="1" t="s">
        <v>461</v>
      </c>
      <c r="FX1446" s="1" t="s">
        <v>238</v>
      </c>
      <c r="FZ1446" s="1" t="s">
        <v>229</v>
      </c>
      <c r="GA1446" s="1" t="s">
        <v>291</v>
      </c>
      <c r="GB1446" s="2">
        <v>42034.0</v>
      </c>
      <c r="GC1446" s="1" t="s">
        <v>14889</v>
      </c>
    </row>
    <row r="1447">
      <c r="A1447" s="1">
        <v>215000.0</v>
      </c>
      <c r="B1447" s="1" t="s">
        <v>185</v>
      </c>
      <c r="C1447" s="1" t="str">
        <f>"08679069"</f>
        <v>08679069</v>
      </c>
      <c r="D1447" s="1" t="s">
        <v>186</v>
      </c>
      <c r="F1447" s="1" t="str">
        <f>"8065"</f>
        <v>8065</v>
      </c>
      <c r="G1447" s="2">
        <v>41841.0</v>
      </c>
      <c r="H1447" s="1">
        <v>229900.0</v>
      </c>
      <c r="I1447" s="1">
        <v>141.0</v>
      </c>
      <c r="J1447" s="1">
        <v>219900.0</v>
      </c>
      <c r="K1447" s="2">
        <v>41951.0</v>
      </c>
      <c r="L1447" s="1">
        <v>111.0</v>
      </c>
      <c r="M1447" s="2">
        <v>41951.0</v>
      </c>
      <c r="N1447" s="1" t="s">
        <v>187</v>
      </c>
      <c r="O1447" s="2">
        <v>41995.0</v>
      </c>
      <c r="P1447" s="1">
        <v>161254.0</v>
      </c>
      <c r="Q1447" s="1">
        <v>84036.0</v>
      </c>
      <c r="S1447" s="1">
        <v>7139.0</v>
      </c>
      <c r="T1447" s="1" t="s">
        <v>3239</v>
      </c>
      <c r="U1447" s="1" t="s">
        <v>189</v>
      </c>
      <c r="V1447" s="1" t="s">
        <v>190</v>
      </c>
      <c r="W1447" s="1">
        <v>60629.0</v>
      </c>
      <c r="Y1447" s="1" t="s">
        <v>14890</v>
      </c>
      <c r="Z1447" s="1">
        <v>1952.0</v>
      </c>
      <c r="AA1447" s="1" t="s">
        <v>192</v>
      </c>
      <c r="AB1447" s="1" t="s">
        <v>193</v>
      </c>
      <c r="AD1447" s="1" t="s">
        <v>194</v>
      </c>
      <c r="AE1447" s="1" t="s">
        <v>195</v>
      </c>
      <c r="AF1447" s="1" t="s">
        <v>659</v>
      </c>
      <c r="AH1447" s="1" t="s">
        <v>1501</v>
      </c>
      <c r="AK1447" s="1">
        <v>9.0</v>
      </c>
      <c r="AL1447" s="1">
        <v>4.0</v>
      </c>
      <c r="AM1447" s="1">
        <v>2.0</v>
      </c>
      <c r="AN1447" s="1">
        <v>0.0</v>
      </c>
      <c r="AO1447" s="1" t="s">
        <v>229</v>
      </c>
      <c r="AQ1447" s="1" t="s">
        <v>198</v>
      </c>
      <c r="AR1447" s="1" t="s">
        <v>192</v>
      </c>
      <c r="AS1447" s="1" t="s">
        <v>199</v>
      </c>
      <c r="AT1447" s="1">
        <v>2.0</v>
      </c>
      <c r="AV1447" s="1" t="s">
        <v>200</v>
      </c>
      <c r="AW1447" s="1" t="s">
        <v>14891</v>
      </c>
      <c r="AX1447" s="1">
        <v>2012.0</v>
      </c>
      <c r="AZ1447" s="1" t="s">
        <v>200</v>
      </c>
      <c r="BA1447" s="1" t="str">
        <f>"19261020540000"</f>
        <v>19261020540000</v>
      </c>
      <c r="BC1447" s="1">
        <v>1366.0</v>
      </c>
      <c r="BD1447" s="1">
        <v>215000.0</v>
      </c>
      <c r="BE1447" s="2">
        <v>41841.0</v>
      </c>
      <c r="BF1447" s="2" t="s">
        <v>14892</v>
      </c>
      <c r="BH1447" s="1">
        <v>0.0</v>
      </c>
      <c r="BK1447" s="1" t="s">
        <v>204</v>
      </c>
      <c r="BL1447" s="1" t="str">
        <f t="shared" ref="BL1447:BM1447" si="953">"0"</f>
        <v>0</v>
      </c>
      <c r="BM1447" s="1" t="str">
        <f t="shared" si="953"/>
        <v>0</v>
      </c>
      <c r="BN1447" s="1">
        <v>4000.0</v>
      </c>
      <c r="BO1447" s="1">
        <v>7139.0</v>
      </c>
      <c r="BQ1447" s="1">
        <v>299.0</v>
      </c>
      <c r="BR1447" s="1">
        <v>299.0</v>
      </c>
      <c r="BS1447" s="1">
        <v>299.0</v>
      </c>
      <c r="BU1447" s="1" t="s">
        <v>2924</v>
      </c>
      <c r="BV1447" s="1" t="s">
        <v>206</v>
      </c>
      <c r="BW1447" s="1" t="s">
        <v>207</v>
      </c>
      <c r="BY1447" s="1" t="s">
        <v>1417</v>
      </c>
      <c r="BZ1447" s="1" t="s">
        <v>206</v>
      </c>
      <c r="CA1447" s="1" t="s">
        <v>207</v>
      </c>
      <c r="CC1447" s="1" t="s">
        <v>4817</v>
      </c>
      <c r="CD1447" s="1" t="s">
        <v>206</v>
      </c>
      <c r="CE1447" s="1" t="s">
        <v>207</v>
      </c>
      <c r="CG1447" s="1" t="s">
        <v>302</v>
      </c>
      <c r="CH1447" s="1" t="s">
        <v>206</v>
      </c>
      <c r="CI1447" s="1" t="s">
        <v>207</v>
      </c>
      <c r="CK1447" s="1" t="s">
        <v>699</v>
      </c>
      <c r="CL1447" s="1" t="s">
        <v>206</v>
      </c>
      <c r="CM1447" s="1" t="s">
        <v>207</v>
      </c>
      <c r="CO1447" s="1" t="s">
        <v>2924</v>
      </c>
      <c r="CP1447" s="1" t="s">
        <v>267</v>
      </c>
      <c r="CQ1447" s="1" t="s">
        <v>268</v>
      </c>
      <c r="CS1447" s="1" t="s">
        <v>2459</v>
      </c>
      <c r="CT1447" s="1" t="s">
        <v>206</v>
      </c>
      <c r="CU1447" s="1" t="s">
        <v>207</v>
      </c>
      <c r="CW1447" s="1" t="s">
        <v>1519</v>
      </c>
      <c r="CX1447" s="1" t="s">
        <v>267</v>
      </c>
      <c r="CY1447" s="1" t="s">
        <v>268</v>
      </c>
      <c r="DA1447" s="1" t="s">
        <v>200</v>
      </c>
      <c r="DC1447" s="1" t="s">
        <v>702</v>
      </c>
      <c r="DE1447" s="1" t="s">
        <v>273</v>
      </c>
      <c r="DF1447" s="1" t="s">
        <v>619</v>
      </c>
      <c r="DH1447" s="1" t="s">
        <v>307</v>
      </c>
      <c r="DI1447" s="1" t="s">
        <v>1223</v>
      </c>
      <c r="DJ1447" s="1" t="s">
        <v>222</v>
      </c>
      <c r="DL1447" s="1" t="s">
        <v>224</v>
      </c>
      <c r="DM1447" s="1" t="s">
        <v>229</v>
      </c>
      <c r="DP1447" s="1" t="s">
        <v>340</v>
      </c>
      <c r="DQ1447" s="1" t="s">
        <v>228</v>
      </c>
      <c r="DR1447" s="1" t="s">
        <v>229</v>
      </c>
      <c r="DU1447" s="1" t="s">
        <v>14893</v>
      </c>
      <c r="DV1447" s="1" t="s">
        <v>450</v>
      </c>
      <c r="DW1447" s="1" t="s">
        <v>279</v>
      </c>
      <c r="DX1447" s="1" t="s">
        <v>234</v>
      </c>
      <c r="EA1447" s="1" t="s">
        <v>683</v>
      </c>
      <c r="EC1447" s="1" t="s">
        <v>685</v>
      </c>
      <c r="EG1447" s="1" t="s">
        <v>450</v>
      </c>
      <c r="EL1447" s="1" t="s">
        <v>8668</v>
      </c>
      <c r="EM1447" s="1" t="s">
        <v>267</v>
      </c>
      <c r="EN1447" s="1" t="s">
        <v>268</v>
      </c>
      <c r="EQ1447" s="1" t="s">
        <v>238</v>
      </c>
      <c r="EU1447" s="1" t="s">
        <v>238</v>
      </c>
      <c r="EY1447" s="1" t="s">
        <v>238</v>
      </c>
      <c r="FC1447" s="1" t="s">
        <v>238</v>
      </c>
      <c r="FF1447" s="1" t="s">
        <v>239</v>
      </c>
      <c r="FG1447" s="1" t="s">
        <v>192</v>
      </c>
      <c r="FH1447" s="1" t="s">
        <v>192</v>
      </c>
      <c r="FJ1447" s="1" t="s">
        <v>2225</v>
      </c>
      <c r="FK1447" s="1" t="s">
        <v>229</v>
      </c>
      <c r="FL1447" s="1" t="s">
        <v>3207</v>
      </c>
      <c r="FM1447" s="1">
        <v>85486.0</v>
      </c>
      <c r="FN1447" s="1" t="s">
        <v>3208</v>
      </c>
      <c r="FO1447" s="1" t="s">
        <v>14894</v>
      </c>
      <c r="FP1447" s="1">
        <v>170458.0</v>
      </c>
      <c r="FQ1447" s="1" t="s">
        <v>14895</v>
      </c>
      <c r="FU1447" s="1" t="s">
        <v>14896</v>
      </c>
      <c r="FV1447" s="1" t="s">
        <v>200</v>
      </c>
      <c r="FW1447" s="1" t="s">
        <v>1511</v>
      </c>
      <c r="FX1447" s="1" t="s">
        <v>655</v>
      </c>
      <c r="FZ1447" s="1" t="s">
        <v>229</v>
      </c>
      <c r="GA1447" s="1" t="s">
        <v>291</v>
      </c>
      <c r="GB1447" s="2">
        <v>41995.0</v>
      </c>
    </row>
    <row r="1448">
      <c r="A1448" s="1">
        <v>120000.0</v>
      </c>
      <c r="B1448" s="1" t="s">
        <v>185</v>
      </c>
      <c r="C1448" s="1" t="str">
        <f>"08679320"</f>
        <v>08679320</v>
      </c>
      <c r="D1448" s="1" t="s">
        <v>186</v>
      </c>
      <c r="F1448" s="1" t="str">
        <f>"8075"</f>
        <v>8075</v>
      </c>
      <c r="G1448" s="2">
        <v>41841.0</v>
      </c>
      <c r="H1448" s="1">
        <v>139900.0</v>
      </c>
      <c r="I1448" s="1">
        <v>143.0</v>
      </c>
      <c r="J1448" s="1">
        <v>119900.0</v>
      </c>
      <c r="K1448" s="2">
        <v>41983.0</v>
      </c>
      <c r="L1448" s="1">
        <v>143.0</v>
      </c>
      <c r="M1448" s="2">
        <v>41983.0</v>
      </c>
      <c r="N1448" s="1" t="s">
        <v>356</v>
      </c>
      <c r="O1448" s="2">
        <v>42017.0</v>
      </c>
      <c r="P1448" s="1">
        <v>174445.0</v>
      </c>
      <c r="Q1448" s="1">
        <v>17665.0</v>
      </c>
      <c r="S1448" s="1">
        <v>11007.0</v>
      </c>
      <c r="T1448" s="1" t="s">
        <v>14897</v>
      </c>
      <c r="U1448" s="1" t="s">
        <v>320</v>
      </c>
      <c r="V1448" s="1" t="s">
        <v>190</v>
      </c>
      <c r="W1448" s="1">
        <v>60643.0</v>
      </c>
      <c r="Y1448" s="1" t="s">
        <v>14898</v>
      </c>
      <c r="Z1448" s="1" t="s">
        <v>296</v>
      </c>
      <c r="AA1448" s="1" t="s">
        <v>192</v>
      </c>
      <c r="AB1448" s="1" t="s">
        <v>193</v>
      </c>
      <c r="AD1448" s="1" t="s">
        <v>194</v>
      </c>
      <c r="AE1448" s="1" t="s">
        <v>195</v>
      </c>
      <c r="AF1448" s="1" t="s">
        <v>659</v>
      </c>
      <c r="AH1448" s="1" t="s">
        <v>359</v>
      </c>
      <c r="AI1448" s="1">
        <v>0.1291</v>
      </c>
      <c r="AK1448" s="1">
        <v>8.0</v>
      </c>
      <c r="AL1448" s="1">
        <v>2.0</v>
      </c>
      <c r="AM1448" s="1">
        <v>2.0</v>
      </c>
      <c r="AN1448" s="1">
        <v>0.0</v>
      </c>
      <c r="AO1448" s="1" t="s">
        <v>229</v>
      </c>
      <c r="AQ1448" s="1" t="s">
        <v>198</v>
      </c>
      <c r="AR1448" s="1" t="s">
        <v>192</v>
      </c>
      <c r="AS1448" s="1" t="s">
        <v>229</v>
      </c>
      <c r="AV1448" s="1" t="s">
        <v>200</v>
      </c>
      <c r="AW1448" s="1">
        <v>809.97</v>
      </c>
      <c r="AX1448" s="1">
        <v>2012.0</v>
      </c>
      <c r="AZ1448" s="1" t="s">
        <v>200</v>
      </c>
      <c r="BA1448" s="1" t="str">
        <f>"25184100130000"</f>
        <v>25184100130000</v>
      </c>
      <c r="BC1448" s="1">
        <v>1081.0</v>
      </c>
      <c r="BD1448" s="1">
        <v>120000.0</v>
      </c>
      <c r="BE1448" s="2">
        <v>41841.0</v>
      </c>
      <c r="BF1448" s="2" t="s">
        <v>14899</v>
      </c>
      <c r="BH1448" s="1">
        <v>0.0</v>
      </c>
      <c r="BK1448" s="1" t="s">
        <v>204</v>
      </c>
      <c r="BL1448" s="1" t="str">
        <f t="shared" ref="BL1448:BM1448" si="954">"0"</f>
        <v>0</v>
      </c>
      <c r="BM1448" s="1" t="str">
        <f t="shared" si="954"/>
        <v>0</v>
      </c>
      <c r="BN1448" s="1">
        <v>1800.0</v>
      </c>
      <c r="BO1448" s="1">
        <v>11007.0</v>
      </c>
      <c r="BQ1448" s="1">
        <v>299.0</v>
      </c>
      <c r="BR1448" s="1">
        <v>299.0</v>
      </c>
      <c r="BS1448" s="1">
        <v>299.0</v>
      </c>
      <c r="BU1448" s="1" t="s">
        <v>1183</v>
      </c>
      <c r="BV1448" s="1" t="s">
        <v>206</v>
      </c>
      <c r="BW1448" s="1" t="s">
        <v>207</v>
      </c>
      <c r="BY1448" s="1" t="s">
        <v>663</v>
      </c>
      <c r="BZ1448" s="1" t="s">
        <v>206</v>
      </c>
      <c r="CA1448" s="1" t="s">
        <v>210</v>
      </c>
      <c r="CC1448" s="1" t="s">
        <v>478</v>
      </c>
      <c r="CD1448" s="1" t="s">
        <v>206</v>
      </c>
      <c r="CE1448" s="1" t="s">
        <v>207</v>
      </c>
      <c r="CG1448" s="1" t="s">
        <v>1672</v>
      </c>
      <c r="CH1448" s="1" t="s">
        <v>206</v>
      </c>
      <c r="CI1448" s="1" t="s">
        <v>210</v>
      </c>
      <c r="CK1448" s="1" t="s">
        <v>269</v>
      </c>
      <c r="CL1448" s="1" t="s">
        <v>42</v>
      </c>
      <c r="CM1448" s="1" t="s">
        <v>617</v>
      </c>
      <c r="CO1448" s="1" t="s">
        <v>269</v>
      </c>
      <c r="CP1448" s="1" t="s">
        <v>42</v>
      </c>
      <c r="CQ1448" s="1" t="s">
        <v>617</v>
      </c>
      <c r="CS1448" s="1" t="s">
        <v>1760</v>
      </c>
      <c r="CT1448" s="1" t="s">
        <v>206</v>
      </c>
      <c r="CU1448" s="1" t="s">
        <v>268</v>
      </c>
      <c r="CW1448" s="1" t="s">
        <v>1352</v>
      </c>
      <c r="CX1448" s="1" t="s">
        <v>42</v>
      </c>
      <c r="CY1448" s="1" t="s">
        <v>617</v>
      </c>
      <c r="DA1448" s="1" t="s">
        <v>200</v>
      </c>
      <c r="DC1448" s="1" t="s">
        <v>395</v>
      </c>
      <c r="DE1448" s="1" t="s">
        <v>229</v>
      </c>
      <c r="DF1448" s="1" t="s">
        <v>619</v>
      </c>
      <c r="DH1448" s="1" t="s">
        <v>220</v>
      </c>
      <c r="DJ1448" s="1" t="s">
        <v>222</v>
      </c>
      <c r="DL1448" s="1" t="s">
        <v>224</v>
      </c>
      <c r="DM1448" s="1" t="s">
        <v>229</v>
      </c>
      <c r="DN1448" s="1" t="s">
        <v>793</v>
      </c>
      <c r="DQ1448" s="1" t="s">
        <v>228</v>
      </c>
      <c r="DR1448" s="1" t="s">
        <v>229</v>
      </c>
      <c r="DV1448" s="1" t="s">
        <v>374</v>
      </c>
      <c r="DW1448" s="1" t="s">
        <v>2602</v>
      </c>
      <c r="DX1448" s="1" t="s">
        <v>234</v>
      </c>
      <c r="DY1448" s="1" t="s">
        <v>553</v>
      </c>
      <c r="EA1448" s="1" t="s">
        <v>644</v>
      </c>
      <c r="EC1448" s="1" t="s">
        <v>685</v>
      </c>
      <c r="EG1448" s="1" t="s">
        <v>374</v>
      </c>
      <c r="EL1448" s="1" t="s">
        <v>14900</v>
      </c>
      <c r="EM1448" s="1" t="s">
        <v>206</v>
      </c>
      <c r="EQ1448" s="1" t="s">
        <v>238</v>
      </c>
      <c r="EU1448" s="1" t="s">
        <v>238</v>
      </c>
      <c r="EY1448" s="1" t="s">
        <v>238</v>
      </c>
      <c r="FC1448" s="1" t="s">
        <v>238</v>
      </c>
      <c r="FF1448" s="1" t="s">
        <v>239</v>
      </c>
      <c r="FG1448" s="1" t="s">
        <v>192</v>
      </c>
      <c r="FH1448" s="1" t="s">
        <v>192</v>
      </c>
      <c r="FJ1448" s="1" t="s">
        <v>14901</v>
      </c>
      <c r="FK1448" s="1" t="s">
        <v>229</v>
      </c>
      <c r="FL1448" s="1" t="s">
        <v>1124</v>
      </c>
      <c r="FM1448" s="1">
        <v>12293.0</v>
      </c>
      <c r="FN1448" s="1" t="s">
        <v>3300</v>
      </c>
      <c r="FO1448" s="1" t="s">
        <v>14902</v>
      </c>
      <c r="FP1448" s="1">
        <v>183464.0</v>
      </c>
      <c r="FQ1448" s="1" t="s">
        <v>14903</v>
      </c>
      <c r="FU1448" s="1" t="s">
        <v>14904</v>
      </c>
      <c r="FV1448" s="1" t="s">
        <v>200</v>
      </c>
      <c r="FW1448" s="1" t="s">
        <v>530</v>
      </c>
      <c r="FX1448" s="1" t="s">
        <v>655</v>
      </c>
      <c r="FZ1448" s="1" t="s">
        <v>504</v>
      </c>
      <c r="GA1448" s="1" t="s">
        <v>291</v>
      </c>
      <c r="GB1448" s="2">
        <v>42020.0</v>
      </c>
      <c r="GC1448" s="1" t="s">
        <v>14905</v>
      </c>
    </row>
    <row r="1449">
      <c r="A1449" s="1">
        <v>750000.0</v>
      </c>
      <c r="B1449" s="1" t="s">
        <v>185</v>
      </c>
      <c r="C1449" s="1" t="str">
        <f>"08702670"</f>
        <v>08702670</v>
      </c>
      <c r="D1449" s="1" t="s">
        <v>186</v>
      </c>
      <c r="F1449" s="1" t="str">
        <f>"10"</f>
        <v>10</v>
      </c>
      <c r="G1449" s="2">
        <v>41866.0</v>
      </c>
      <c r="H1449" s="1">
        <v>849000.0</v>
      </c>
      <c r="I1449" s="1">
        <v>127.0</v>
      </c>
      <c r="J1449" s="1">
        <v>849000.0</v>
      </c>
      <c r="K1449" s="2">
        <v>41992.0</v>
      </c>
      <c r="L1449" s="1">
        <v>127.0</v>
      </c>
      <c r="M1449" s="2">
        <v>41992.0</v>
      </c>
      <c r="N1449" s="1" t="s">
        <v>187</v>
      </c>
      <c r="O1449" s="2">
        <v>42034.0</v>
      </c>
      <c r="P1449" s="1">
        <v>39331.0</v>
      </c>
      <c r="Q1449" s="1">
        <v>3145.0</v>
      </c>
      <c r="S1449" s="1">
        <v>11.0</v>
      </c>
      <c r="T1449" s="1" t="s">
        <v>14906</v>
      </c>
      <c r="U1449" s="1" t="s">
        <v>1174</v>
      </c>
      <c r="V1449" s="1" t="s">
        <v>5237</v>
      </c>
      <c r="W1449" s="1">
        <v>60010.0</v>
      </c>
      <c r="Y1449" s="1" t="s">
        <v>14907</v>
      </c>
      <c r="Z1449" s="1">
        <v>1989.0</v>
      </c>
      <c r="AA1449" s="1" t="s">
        <v>200</v>
      </c>
      <c r="AB1449" s="1" t="s">
        <v>193</v>
      </c>
      <c r="AC1449" s="1" t="s">
        <v>14908</v>
      </c>
      <c r="AD1449" s="1" t="s">
        <v>5239</v>
      </c>
      <c r="AE1449" s="1" t="s">
        <v>195</v>
      </c>
      <c r="AF1449" s="1" t="s">
        <v>1948</v>
      </c>
      <c r="AH1449" s="1" t="s">
        <v>14909</v>
      </c>
      <c r="AI1449" s="1">
        <v>1.31</v>
      </c>
      <c r="AK1449" s="1">
        <v>11.0</v>
      </c>
      <c r="AL1449" s="1">
        <v>4.0</v>
      </c>
      <c r="AM1449" s="1">
        <v>3.0</v>
      </c>
      <c r="AN1449" s="1">
        <v>1.0</v>
      </c>
      <c r="AO1449" s="1" t="s">
        <v>198</v>
      </c>
      <c r="AP1449" s="1">
        <v>3.0</v>
      </c>
      <c r="AQ1449" s="1" t="s">
        <v>198</v>
      </c>
      <c r="AR1449" s="1" t="s">
        <v>200</v>
      </c>
      <c r="AS1449" s="1" t="s">
        <v>199</v>
      </c>
      <c r="AT1449" s="1">
        <v>3.0</v>
      </c>
      <c r="AV1449" s="1" t="s">
        <v>200</v>
      </c>
      <c r="AW1449" s="1">
        <v>17113.0</v>
      </c>
      <c r="AX1449" s="1">
        <v>2013.0</v>
      </c>
      <c r="AZ1449" s="1" t="s">
        <v>200</v>
      </c>
      <c r="BA1449" s="1" t="str">
        <f>"01352030070000"</f>
        <v>01352030070000</v>
      </c>
      <c r="BB1449" s="1" t="s">
        <v>200</v>
      </c>
      <c r="BC1449" s="1">
        <v>4750.0</v>
      </c>
      <c r="BD1449" s="1">
        <v>750000.0</v>
      </c>
      <c r="BE1449" s="2">
        <v>41866.0</v>
      </c>
      <c r="BF1449" s="2" t="s">
        <v>14910</v>
      </c>
      <c r="BG1449" s="1" t="s">
        <v>1951</v>
      </c>
      <c r="BH1449" s="1">
        <v>2450.0</v>
      </c>
      <c r="BI1449" s="1" t="s">
        <v>1713</v>
      </c>
      <c r="BJ1449" s="1" t="s">
        <v>1714</v>
      </c>
      <c r="BK1449" s="1" t="s">
        <v>580</v>
      </c>
      <c r="BL1449" s="1" t="str">
        <f>"13"</f>
        <v>13</v>
      </c>
      <c r="BM1449" s="1" t="str">
        <f>""</f>
        <v/>
      </c>
      <c r="BN1449" s="1">
        <v>26.0</v>
      </c>
      <c r="BQ1449" s="1">
        <v>220.0</v>
      </c>
      <c r="BR1449" s="1">
        <v>220.0</v>
      </c>
      <c r="BS1449" s="1">
        <v>220.0</v>
      </c>
      <c r="BU1449" s="1" t="s">
        <v>544</v>
      </c>
      <c r="BV1449" s="1" t="s">
        <v>206</v>
      </c>
      <c r="BW1449" s="1" t="s">
        <v>210</v>
      </c>
      <c r="BX1449" s="1" t="s">
        <v>261</v>
      </c>
      <c r="BY1449" s="1" t="s">
        <v>3123</v>
      </c>
      <c r="BZ1449" s="1" t="s">
        <v>209</v>
      </c>
      <c r="CA1449" s="1" t="s">
        <v>210</v>
      </c>
      <c r="CB1449" s="1" t="s">
        <v>261</v>
      </c>
      <c r="CC1449" s="1" t="s">
        <v>743</v>
      </c>
      <c r="CD1449" s="1" t="s">
        <v>206</v>
      </c>
      <c r="CE1449" s="1" t="s">
        <v>210</v>
      </c>
      <c r="CF1449" s="1" t="s">
        <v>261</v>
      </c>
      <c r="CG1449" s="1" t="s">
        <v>213</v>
      </c>
      <c r="CH1449" s="1" t="s">
        <v>209</v>
      </c>
      <c r="CI1449" s="1" t="s">
        <v>210</v>
      </c>
      <c r="CJ1449" s="1" t="s">
        <v>261</v>
      </c>
      <c r="CK1449" s="1" t="s">
        <v>454</v>
      </c>
      <c r="CL1449" s="1" t="s">
        <v>209</v>
      </c>
      <c r="CM1449" s="1" t="s">
        <v>210</v>
      </c>
      <c r="CN1449" s="1" t="s">
        <v>261</v>
      </c>
      <c r="CO1449" s="1" t="s">
        <v>454</v>
      </c>
      <c r="CP1449" s="1" t="s">
        <v>209</v>
      </c>
      <c r="CQ1449" s="1" t="s">
        <v>210</v>
      </c>
      <c r="CR1449" s="1" t="s">
        <v>261</v>
      </c>
      <c r="CS1449" s="1" t="s">
        <v>361</v>
      </c>
      <c r="CT1449" s="1" t="s">
        <v>206</v>
      </c>
      <c r="CU1449" s="1" t="s">
        <v>207</v>
      </c>
      <c r="CV1449" s="1" t="s">
        <v>1550</v>
      </c>
      <c r="CW1449" s="1" t="s">
        <v>1378</v>
      </c>
      <c r="CX1449" s="1" t="s">
        <v>206</v>
      </c>
      <c r="CY1449" s="1" t="s">
        <v>207</v>
      </c>
      <c r="CZ1449" s="1" t="s">
        <v>1550</v>
      </c>
      <c r="DA1449" s="1" t="s">
        <v>200</v>
      </c>
      <c r="DC1449" s="1" t="s">
        <v>435</v>
      </c>
      <c r="DD1449" s="1" t="s">
        <v>1428</v>
      </c>
      <c r="DE1449" s="1" t="s">
        <v>218</v>
      </c>
      <c r="DF1449" s="1" t="s">
        <v>745</v>
      </c>
      <c r="DG1449" s="1" t="s">
        <v>14911</v>
      </c>
      <c r="DH1449" s="1" t="s">
        <v>856</v>
      </c>
      <c r="DI1449" s="1" t="s">
        <v>14912</v>
      </c>
      <c r="DJ1449" s="1" t="s">
        <v>857</v>
      </c>
      <c r="DL1449" s="1" t="s">
        <v>223</v>
      </c>
      <c r="DM1449" s="1" t="s">
        <v>338</v>
      </c>
      <c r="DN1449" s="1" t="s">
        <v>399</v>
      </c>
      <c r="DO1449" s="1" t="s">
        <v>859</v>
      </c>
      <c r="DP1449" s="1" t="s">
        <v>340</v>
      </c>
      <c r="DQ1449" s="1" t="s">
        <v>931</v>
      </c>
      <c r="DR1449" s="1" t="s">
        <v>14913</v>
      </c>
      <c r="DV1449" s="1" t="s">
        <v>14914</v>
      </c>
      <c r="DW1449" s="1" t="s">
        <v>279</v>
      </c>
      <c r="DX1449" s="1" t="s">
        <v>234</v>
      </c>
      <c r="DY1449" s="1" t="s">
        <v>1821</v>
      </c>
      <c r="DZ1449" s="1" t="s">
        <v>310</v>
      </c>
      <c r="EA1449" s="1" t="s">
        <v>3308</v>
      </c>
      <c r="EB1449" s="1" t="s">
        <v>10210</v>
      </c>
      <c r="EC1449" s="1" t="s">
        <v>237</v>
      </c>
      <c r="ED1449" s="1" t="s">
        <v>407</v>
      </c>
      <c r="EG1449" s="1" t="s">
        <v>449</v>
      </c>
      <c r="EH1449" s="1" t="s">
        <v>1961</v>
      </c>
      <c r="EI1449" s="1" t="s">
        <v>557</v>
      </c>
      <c r="EL1449" s="1" t="s">
        <v>269</v>
      </c>
      <c r="EM1449" s="1" t="s">
        <v>206</v>
      </c>
      <c r="EN1449" s="1" t="s">
        <v>207</v>
      </c>
      <c r="EO1449" s="1" t="s">
        <v>261</v>
      </c>
      <c r="EP1449" s="1" t="s">
        <v>1483</v>
      </c>
      <c r="EQ1449" s="1" t="s">
        <v>206</v>
      </c>
      <c r="ER1449" s="1" t="s">
        <v>207</v>
      </c>
      <c r="ES1449" s="1" t="s">
        <v>1550</v>
      </c>
      <c r="ET1449" s="1" t="s">
        <v>2131</v>
      </c>
      <c r="EU1449" s="1" t="s">
        <v>209</v>
      </c>
      <c r="EV1449" s="1" t="s">
        <v>210</v>
      </c>
      <c r="EW1449" s="1" t="s">
        <v>261</v>
      </c>
      <c r="EY1449" s="1" t="s">
        <v>238</v>
      </c>
      <c r="FC1449" s="1" t="s">
        <v>238</v>
      </c>
      <c r="FF1449" s="1" t="s">
        <v>239</v>
      </c>
      <c r="FG1449" s="1" t="s">
        <v>192</v>
      </c>
      <c r="FH1449" s="1" t="s">
        <v>192</v>
      </c>
      <c r="FJ1449" s="1" t="s">
        <v>1469</v>
      </c>
      <c r="FK1449" s="1" t="s">
        <v>229</v>
      </c>
      <c r="FL1449" s="1" t="s">
        <v>2026</v>
      </c>
      <c r="FM1449" s="1">
        <v>6018.0</v>
      </c>
      <c r="FN1449" s="1" t="s">
        <v>2027</v>
      </c>
      <c r="FO1449" s="1" t="s">
        <v>10944</v>
      </c>
      <c r="FP1449" s="1">
        <v>61461.0</v>
      </c>
      <c r="FS1449" s="1" t="s">
        <v>10945</v>
      </c>
      <c r="FU1449" s="1" t="s">
        <v>14915</v>
      </c>
      <c r="FV1449" s="1" t="s">
        <v>200</v>
      </c>
      <c r="FW1449" s="1" t="s">
        <v>530</v>
      </c>
      <c r="FZ1449" s="1" t="s">
        <v>229</v>
      </c>
      <c r="GA1449" s="1" t="s">
        <v>291</v>
      </c>
      <c r="GB1449" s="2">
        <v>42034.0</v>
      </c>
      <c r="GC1449" s="1" t="s">
        <v>14916</v>
      </c>
    </row>
    <row r="1450">
      <c r="A1450" s="1">
        <v>29400.0</v>
      </c>
      <c r="B1450" s="1" t="s">
        <v>185</v>
      </c>
      <c r="C1450" s="1" t="str">
        <f>"08669097"</f>
        <v>08669097</v>
      </c>
      <c r="D1450" s="1" t="s">
        <v>186</v>
      </c>
      <c r="F1450" s="1" t="str">
        <f>"8071"</f>
        <v>8071</v>
      </c>
      <c r="G1450" s="2">
        <v>41830.0</v>
      </c>
      <c r="H1450" s="1">
        <v>32900.0</v>
      </c>
      <c r="I1450" s="1">
        <v>35.0</v>
      </c>
      <c r="J1450" s="1">
        <v>29900.0</v>
      </c>
      <c r="K1450" s="2">
        <v>41864.0</v>
      </c>
      <c r="L1450" s="1">
        <v>35.0</v>
      </c>
      <c r="M1450" s="2">
        <v>41864.0</v>
      </c>
      <c r="N1450" s="1" t="s">
        <v>249</v>
      </c>
      <c r="O1450" s="2">
        <v>41992.0</v>
      </c>
      <c r="P1450" s="1">
        <v>99995.0</v>
      </c>
      <c r="Q1450" s="1" t="s">
        <v>947</v>
      </c>
      <c r="S1450" s="1">
        <v>8936.0</v>
      </c>
      <c r="T1450" s="1" t="s">
        <v>14917</v>
      </c>
      <c r="U1450" s="1" t="s">
        <v>189</v>
      </c>
      <c r="V1450" s="1" t="s">
        <v>190</v>
      </c>
      <c r="W1450" s="1">
        <v>60620.0</v>
      </c>
      <c r="Y1450" s="1" t="s">
        <v>14918</v>
      </c>
      <c r="Z1450" s="1">
        <v>1924.0</v>
      </c>
      <c r="AA1450" s="1" t="s">
        <v>192</v>
      </c>
      <c r="AB1450" s="1" t="s">
        <v>193</v>
      </c>
      <c r="AD1450" s="1" t="s">
        <v>194</v>
      </c>
      <c r="AE1450" s="1" t="s">
        <v>195</v>
      </c>
      <c r="AF1450" s="1" t="s">
        <v>659</v>
      </c>
      <c r="AH1450" s="1" t="s">
        <v>14919</v>
      </c>
      <c r="AI1450" s="1">
        <v>0.0788</v>
      </c>
      <c r="AK1450" s="1">
        <v>8.0</v>
      </c>
      <c r="AL1450" s="1">
        <v>4.0</v>
      </c>
      <c r="AM1450" s="1">
        <v>2.0</v>
      </c>
      <c r="AN1450" s="1">
        <v>0.0</v>
      </c>
      <c r="AO1450" s="1" t="s">
        <v>229</v>
      </c>
      <c r="AQ1450" s="1" t="s">
        <v>198</v>
      </c>
      <c r="AR1450" s="1" t="s">
        <v>200</v>
      </c>
      <c r="AS1450" s="1" t="s">
        <v>199</v>
      </c>
      <c r="AT1450" s="1">
        <v>1.0</v>
      </c>
      <c r="AV1450" s="1" t="s">
        <v>200</v>
      </c>
      <c r="AW1450" s="1">
        <v>2039.41</v>
      </c>
      <c r="AX1450" s="1">
        <v>2012.0</v>
      </c>
      <c r="AZ1450" s="1" t="s">
        <v>545</v>
      </c>
      <c r="BA1450" s="1" t="str">
        <f>"25041210380000"</f>
        <v>25041210380000</v>
      </c>
      <c r="BC1450" s="1">
        <v>1500.0</v>
      </c>
      <c r="BD1450" s="1">
        <v>29400.0</v>
      </c>
      <c r="BE1450" s="2">
        <v>41830.0</v>
      </c>
      <c r="BF1450" s="1" t="s">
        <v>14920</v>
      </c>
      <c r="BH1450" s="1">
        <v>0.0</v>
      </c>
      <c r="BK1450" s="1" t="s">
        <v>204</v>
      </c>
      <c r="BL1450" s="1" t="str">
        <f t="shared" ref="BL1450:BM1450" si="955">"0"</f>
        <v>0</v>
      </c>
      <c r="BM1450" s="1" t="str">
        <f t="shared" si="955"/>
        <v>0</v>
      </c>
      <c r="BN1450" s="1">
        <v>500.0</v>
      </c>
      <c r="BO1450" s="1">
        <v>8936.0</v>
      </c>
      <c r="BQ1450" s="1">
        <v>299.0</v>
      </c>
      <c r="BR1450" s="1">
        <v>299.0</v>
      </c>
      <c r="BS1450" s="1">
        <v>299.0</v>
      </c>
      <c r="BU1450" s="1" t="s">
        <v>743</v>
      </c>
      <c r="BV1450" s="1" t="s">
        <v>206</v>
      </c>
      <c r="BY1450" s="1" t="s">
        <v>215</v>
      </c>
      <c r="BZ1450" s="1" t="s">
        <v>206</v>
      </c>
      <c r="CC1450" s="1" t="s">
        <v>363</v>
      </c>
      <c r="CD1450" s="1" t="s">
        <v>206</v>
      </c>
      <c r="CG1450" s="1" t="s">
        <v>433</v>
      </c>
      <c r="CH1450" s="1" t="s">
        <v>206</v>
      </c>
      <c r="CK1450" s="1" t="s">
        <v>269</v>
      </c>
      <c r="CL1450" s="1" t="s">
        <v>206</v>
      </c>
      <c r="CO1450" s="1" t="s">
        <v>361</v>
      </c>
      <c r="CP1450" s="1" t="s">
        <v>209</v>
      </c>
      <c r="CS1450" s="1" t="s">
        <v>215</v>
      </c>
      <c r="CT1450" s="1" t="s">
        <v>206</v>
      </c>
      <c r="CW1450" s="1" t="s">
        <v>454</v>
      </c>
      <c r="CX1450" s="1" t="s">
        <v>209</v>
      </c>
      <c r="DA1450" s="1" t="s">
        <v>200</v>
      </c>
      <c r="DC1450" s="1" t="s">
        <v>785</v>
      </c>
      <c r="DE1450" s="1" t="s">
        <v>229</v>
      </c>
      <c r="DF1450" s="1" t="s">
        <v>619</v>
      </c>
      <c r="DH1450" s="1" t="s">
        <v>220</v>
      </c>
      <c r="DJ1450" s="1" t="s">
        <v>222</v>
      </c>
      <c r="DL1450" s="1" t="s">
        <v>223</v>
      </c>
      <c r="DM1450" s="1" t="s">
        <v>229</v>
      </c>
      <c r="DQ1450" s="1" t="s">
        <v>228</v>
      </c>
      <c r="DR1450" s="1" t="s">
        <v>229</v>
      </c>
      <c r="DV1450" s="1" t="s">
        <v>232</v>
      </c>
      <c r="DW1450" s="1" t="s">
        <v>279</v>
      </c>
      <c r="DX1450" s="1" t="s">
        <v>234</v>
      </c>
      <c r="EA1450" s="1" t="s">
        <v>644</v>
      </c>
      <c r="EC1450" s="1" t="s">
        <v>237</v>
      </c>
      <c r="EM1450" s="1" t="s">
        <v>238</v>
      </c>
      <c r="EQ1450" s="1" t="s">
        <v>238</v>
      </c>
      <c r="EU1450" s="1" t="s">
        <v>238</v>
      </c>
      <c r="EY1450" s="1" t="s">
        <v>238</v>
      </c>
      <c r="FC1450" s="1" t="s">
        <v>238</v>
      </c>
      <c r="FF1450" s="1" t="s">
        <v>239</v>
      </c>
      <c r="FG1450" s="1" t="s">
        <v>192</v>
      </c>
      <c r="FH1450" s="1" t="s">
        <v>192</v>
      </c>
      <c r="FJ1450" s="1" t="s">
        <v>1248</v>
      </c>
      <c r="FK1450" s="1" t="s">
        <v>348</v>
      </c>
      <c r="FL1450" s="1" t="s">
        <v>7238</v>
      </c>
      <c r="FM1450" s="1">
        <v>92081.0</v>
      </c>
      <c r="FN1450" s="1" t="s">
        <v>7239</v>
      </c>
      <c r="FO1450" s="1" t="s">
        <v>7240</v>
      </c>
      <c r="FP1450" s="1">
        <v>923494.0</v>
      </c>
      <c r="FT1450" s="1" t="s">
        <v>7241</v>
      </c>
      <c r="FU1450" s="1" t="s">
        <v>14921</v>
      </c>
      <c r="FV1450" s="1" t="s">
        <v>200</v>
      </c>
      <c r="FW1450" s="1" t="s">
        <v>14922</v>
      </c>
      <c r="FX1450" s="1" t="s">
        <v>655</v>
      </c>
      <c r="FZ1450" s="1" t="s">
        <v>229</v>
      </c>
      <c r="GA1450" s="1" t="s">
        <v>247</v>
      </c>
      <c r="GB1450" s="2">
        <v>41993.0</v>
      </c>
      <c r="GC1450" s="1" t="s">
        <v>14923</v>
      </c>
    </row>
    <row r="1451">
      <c r="A1451" s="1">
        <v>151000.0</v>
      </c>
      <c r="B1451" s="1" t="s">
        <v>185</v>
      </c>
      <c r="C1451" s="1" t="str">
        <f>"08676776"</f>
        <v>08676776</v>
      </c>
      <c r="D1451" s="1" t="s">
        <v>186</v>
      </c>
      <c r="F1451" s="1" t="str">
        <f>"542"</f>
        <v>542</v>
      </c>
      <c r="G1451" s="2">
        <v>41838.0</v>
      </c>
      <c r="H1451" s="1">
        <v>235000.0</v>
      </c>
      <c r="I1451" s="1">
        <v>250.0</v>
      </c>
      <c r="J1451" s="1">
        <v>235000.0</v>
      </c>
      <c r="K1451" s="2">
        <v>42087.0</v>
      </c>
      <c r="L1451" s="1">
        <v>250.0</v>
      </c>
      <c r="M1451" s="2">
        <v>42087.0</v>
      </c>
      <c r="N1451" s="1" t="s">
        <v>249</v>
      </c>
      <c r="O1451" s="2">
        <v>42142.0</v>
      </c>
      <c r="P1451" s="1">
        <v>234288.0</v>
      </c>
      <c r="Q1451" s="1">
        <v>22993.0</v>
      </c>
      <c r="S1451" s="1">
        <v>607.0</v>
      </c>
      <c r="T1451" s="1" t="s">
        <v>14924</v>
      </c>
      <c r="U1451" s="1" t="s">
        <v>420</v>
      </c>
      <c r="V1451" s="1" t="s">
        <v>3984</v>
      </c>
      <c r="W1451" s="1">
        <v>60542.0</v>
      </c>
      <c r="Y1451" s="1" t="s">
        <v>14925</v>
      </c>
      <c r="Z1451" s="1">
        <v>1992.0</v>
      </c>
      <c r="AA1451" s="1" t="s">
        <v>200</v>
      </c>
      <c r="AB1451" s="1" t="s">
        <v>193</v>
      </c>
      <c r="AD1451" s="1" t="s">
        <v>3986</v>
      </c>
      <c r="AE1451" s="1" t="s">
        <v>325</v>
      </c>
      <c r="AF1451" s="1" t="s">
        <v>2702</v>
      </c>
      <c r="AH1451" s="1" t="s">
        <v>14926</v>
      </c>
      <c r="AI1451" s="1">
        <v>0.2525</v>
      </c>
      <c r="AK1451" s="1">
        <v>10.0</v>
      </c>
      <c r="AL1451" s="1">
        <v>4.0</v>
      </c>
      <c r="AM1451" s="1">
        <v>2.0</v>
      </c>
      <c r="AN1451" s="1">
        <v>1.0</v>
      </c>
      <c r="AO1451" s="1" t="s">
        <v>198</v>
      </c>
      <c r="AQ1451" s="1" t="s">
        <v>198</v>
      </c>
      <c r="AR1451" s="1" t="s">
        <v>192</v>
      </c>
      <c r="AS1451" s="1" t="s">
        <v>199</v>
      </c>
      <c r="AT1451" s="1">
        <v>2.0</v>
      </c>
      <c r="AV1451" s="1" t="s">
        <v>200</v>
      </c>
      <c r="AW1451" s="1">
        <v>8365.0</v>
      </c>
      <c r="AX1451" s="1">
        <v>2012.0</v>
      </c>
      <c r="AZ1451" s="1" t="s">
        <v>200</v>
      </c>
      <c r="BA1451" s="1" t="str">
        <f>"1234456011"</f>
        <v>1234456011</v>
      </c>
      <c r="BC1451" s="1">
        <v>2316.0</v>
      </c>
      <c r="BD1451" s="1">
        <v>151000.0</v>
      </c>
      <c r="BE1451" s="2">
        <v>41838.0</v>
      </c>
      <c r="BF1451" s="2" t="s">
        <v>14927</v>
      </c>
      <c r="BH1451" s="1">
        <v>0.0</v>
      </c>
      <c r="BK1451" s="1" t="s">
        <v>204</v>
      </c>
      <c r="BL1451" s="1" t="str">
        <f t="shared" ref="BL1451:BM1451" si="956">""</f>
        <v/>
      </c>
      <c r="BM1451" s="1" t="str">
        <f t="shared" si="956"/>
        <v/>
      </c>
      <c r="BQ1451" s="1">
        <v>129.0</v>
      </c>
      <c r="BR1451" s="1">
        <v>129.0</v>
      </c>
      <c r="BS1451" s="1">
        <v>129.0</v>
      </c>
      <c r="BU1451" s="1" t="s">
        <v>433</v>
      </c>
      <c r="BV1451" s="1" t="s">
        <v>206</v>
      </c>
      <c r="BW1451" s="1" t="s">
        <v>210</v>
      </c>
      <c r="BY1451" s="1" t="s">
        <v>211</v>
      </c>
      <c r="BZ1451" s="1" t="s">
        <v>209</v>
      </c>
      <c r="CA1451" s="1" t="s">
        <v>210</v>
      </c>
      <c r="CC1451" s="1" t="s">
        <v>363</v>
      </c>
      <c r="CD1451" s="1" t="s">
        <v>206</v>
      </c>
      <c r="CG1451" s="1" t="s">
        <v>433</v>
      </c>
      <c r="CH1451" s="1" t="s">
        <v>209</v>
      </c>
      <c r="CI1451" s="1" t="s">
        <v>210</v>
      </c>
      <c r="CK1451" s="1" t="s">
        <v>363</v>
      </c>
      <c r="CL1451" s="1" t="s">
        <v>209</v>
      </c>
      <c r="CM1451" s="1" t="s">
        <v>210</v>
      </c>
      <c r="CO1451" s="1" t="s">
        <v>363</v>
      </c>
      <c r="CP1451" s="1" t="s">
        <v>209</v>
      </c>
      <c r="CQ1451" s="1" t="s">
        <v>210</v>
      </c>
      <c r="CS1451" s="1" t="s">
        <v>393</v>
      </c>
      <c r="CT1451" s="1" t="s">
        <v>206</v>
      </c>
      <c r="CU1451" s="1" t="s">
        <v>207</v>
      </c>
      <c r="CW1451" s="1" t="s">
        <v>433</v>
      </c>
      <c r="CX1451" s="1" t="s">
        <v>206</v>
      </c>
      <c r="CY1451" s="1" t="s">
        <v>210</v>
      </c>
      <c r="DA1451" s="1" t="s">
        <v>200</v>
      </c>
      <c r="DC1451" s="1" t="s">
        <v>435</v>
      </c>
      <c r="DD1451" s="1" t="s">
        <v>5601</v>
      </c>
      <c r="DE1451" s="1" t="s">
        <v>273</v>
      </c>
      <c r="DF1451" s="1" t="s">
        <v>219</v>
      </c>
      <c r="DG1451" s="1" t="s">
        <v>482</v>
      </c>
      <c r="DH1451" s="1" t="s">
        <v>220</v>
      </c>
      <c r="DJ1451" s="1" t="s">
        <v>222</v>
      </c>
      <c r="DL1451" s="1" t="s">
        <v>858</v>
      </c>
      <c r="DM1451" s="1" t="s">
        <v>229</v>
      </c>
      <c r="DO1451" s="1" t="s">
        <v>1979</v>
      </c>
      <c r="DP1451" s="1" t="s">
        <v>340</v>
      </c>
      <c r="DQ1451" s="1" t="s">
        <v>441</v>
      </c>
      <c r="DR1451" s="1" t="s">
        <v>229</v>
      </c>
      <c r="DV1451" s="1" t="s">
        <v>14928</v>
      </c>
      <c r="DW1451" s="1" t="s">
        <v>667</v>
      </c>
      <c r="DX1451" s="1" t="s">
        <v>234</v>
      </c>
      <c r="DY1451" s="1" t="s">
        <v>1122</v>
      </c>
      <c r="DZ1451" s="1" t="s">
        <v>7113</v>
      </c>
      <c r="EA1451" s="1" t="s">
        <v>344</v>
      </c>
      <c r="EC1451" s="1" t="s">
        <v>237</v>
      </c>
      <c r="EG1451" s="1" t="s">
        <v>598</v>
      </c>
      <c r="EH1451" s="1" t="s">
        <v>557</v>
      </c>
      <c r="EI1451" s="1" t="s">
        <v>588</v>
      </c>
      <c r="EL1451" s="1" t="s">
        <v>363</v>
      </c>
      <c r="EM1451" s="1" t="s">
        <v>206</v>
      </c>
      <c r="EN1451" s="1" t="s">
        <v>210</v>
      </c>
      <c r="EP1451" s="1" t="s">
        <v>433</v>
      </c>
      <c r="EQ1451" s="1" t="s">
        <v>42</v>
      </c>
      <c r="ET1451" s="1" t="s">
        <v>433</v>
      </c>
      <c r="EU1451" s="1" t="s">
        <v>42</v>
      </c>
      <c r="EY1451" s="1" t="s">
        <v>238</v>
      </c>
      <c r="FC1451" s="1" t="s">
        <v>238</v>
      </c>
      <c r="FF1451" s="1" t="s">
        <v>239</v>
      </c>
      <c r="FG1451" s="1" t="s">
        <v>192</v>
      </c>
      <c r="FH1451" s="1" t="s">
        <v>192</v>
      </c>
      <c r="FJ1451" s="1" t="s">
        <v>1248</v>
      </c>
      <c r="FK1451" s="1" t="s">
        <v>348</v>
      </c>
      <c r="FL1451" s="1" t="s">
        <v>3553</v>
      </c>
      <c r="FM1451" s="1">
        <v>22993.0</v>
      </c>
      <c r="FN1451" s="1" t="s">
        <v>3554</v>
      </c>
      <c r="FO1451" s="1" t="s">
        <v>9027</v>
      </c>
      <c r="FP1451" s="1">
        <v>233401.0</v>
      </c>
      <c r="FQ1451" s="1" t="s">
        <v>3554</v>
      </c>
      <c r="FS1451" s="1" t="s">
        <v>9028</v>
      </c>
      <c r="FU1451" s="1" t="s">
        <v>8903</v>
      </c>
      <c r="FV1451" s="1" t="s">
        <v>200</v>
      </c>
      <c r="FW1451" s="1" t="s">
        <v>1524</v>
      </c>
      <c r="FZ1451" s="1" t="s">
        <v>229</v>
      </c>
      <c r="GA1451" s="1" t="s">
        <v>291</v>
      </c>
      <c r="GB1451" s="2">
        <v>42142.0</v>
      </c>
      <c r="GC1451" s="1" t="s">
        <v>14929</v>
      </c>
    </row>
    <row r="1452">
      <c r="A1452" s="1">
        <v>145000.0</v>
      </c>
      <c r="B1452" s="1" t="s">
        <v>185</v>
      </c>
      <c r="C1452" s="1" t="str">
        <f>"08786819"</f>
        <v>08786819</v>
      </c>
      <c r="D1452" s="1" t="s">
        <v>186</v>
      </c>
      <c r="F1452" s="1" t="str">
        <f>"177"</f>
        <v>177</v>
      </c>
      <c r="G1452" s="2">
        <v>41957.0</v>
      </c>
      <c r="H1452" s="1">
        <v>169900.0</v>
      </c>
      <c r="I1452" s="1">
        <v>54.0</v>
      </c>
      <c r="J1452" s="1">
        <v>149900.0</v>
      </c>
      <c r="K1452" s="2">
        <v>42010.0</v>
      </c>
      <c r="L1452" s="1">
        <v>54.0</v>
      </c>
      <c r="M1452" s="2">
        <v>42010.0</v>
      </c>
      <c r="N1452" s="1" t="s">
        <v>356</v>
      </c>
      <c r="O1452" s="2">
        <v>42058.0</v>
      </c>
      <c r="P1452" s="1">
        <v>55475.0</v>
      </c>
      <c r="Q1452" s="1">
        <v>5104.0</v>
      </c>
      <c r="R1452" s="1">
        <v>3000.0</v>
      </c>
      <c r="S1452" s="1">
        <v>534.0</v>
      </c>
      <c r="T1452" s="1" t="s">
        <v>64</v>
      </c>
      <c r="U1452" s="1" t="s">
        <v>189</v>
      </c>
      <c r="V1452" s="1" t="s">
        <v>2249</v>
      </c>
      <c r="W1452" s="1">
        <v>60177.0</v>
      </c>
      <c r="Y1452" s="1" t="s">
        <v>14930</v>
      </c>
      <c r="Z1452" s="1">
        <v>1972.0</v>
      </c>
      <c r="AA1452" s="1" t="s">
        <v>192</v>
      </c>
      <c r="AB1452" s="1" t="s">
        <v>193</v>
      </c>
      <c r="AD1452" s="1" t="s">
        <v>2252</v>
      </c>
      <c r="AE1452" s="1" t="s">
        <v>325</v>
      </c>
      <c r="AF1452" s="1" t="s">
        <v>469</v>
      </c>
      <c r="AH1452" s="1" t="s">
        <v>14931</v>
      </c>
      <c r="AK1452" s="1">
        <v>8.0</v>
      </c>
      <c r="AL1452" s="1">
        <v>4.0</v>
      </c>
      <c r="AM1452" s="1">
        <v>1.0</v>
      </c>
      <c r="AN1452" s="1">
        <v>1.0</v>
      </c>
      <c r="AO1452" s="1" t="s">
        <v>229</v>
      </c>
      <c r="AP1452" s="1">
        <v>0.0</v>
      </c>
      <c r="AQ1452" s="1" t="s">
        <v>472</v>
      </c>
      <c r="AR1452" s="1" t="s">
        <v>192</v>
      </c>
      <c r="AS1452" s="1" t="s">
        <v>199</v>
      </c>
      <c r="AT1452" s="1">
        <v>2.0</v>
      </c>
      <c r="AV1452" s="1" t="s">
        <v>200</v>
      </c>
      <c r="AW1452" s="1">
        <v>4307.0</v>
      </c>
      <c r="AX1452" s="1">
        <v>2013.0</v>
      </c>
      <c r="AY1452" s="1" t="s">
        <v>229</v>
      </c>
      <c r="AZ1452" s="1" t="s">
        <v>200</v>
      </c>
      <c r="BA1452" s="1" t="str">
        <f>"0635476016"</f>
        <v>0635476016</v>
      </c>
      <c r="BC1452" s="1">
        <v>1536.0</v>
      </c>
      <c r="BD1452" s="1">
        <v>145000.0</v>
      </c>
      <c r="BE1452" s="2">
        <v>41957.0</v>
      </c>
      <c r="BF1452" s="2" t="s">
        <v>14932</v>
      </c>
      <c r="BH1452" s="1">
        <v>0.0</v>
      </c>
      <c r="BK1452" s="1" t="s">
        <v>204</v>
      </c>
      <c r="BL1452" s="1" t="str">
        <f>"8"</f>
        <v>8</v>
      </c>
      <c r="BM1452" s="1" t="str">
        <f>"0"</f>
        <v>0</v>
      </c>
      <c r="BN1452" s="1">
        <v>34.0</v>
      </c>
      <c r="BO1452" s="1">
        <v>0.0</v>
      </c>
      <c r="BQ1452" s="1">
        <v>46.0</v>
      </c>
      <c r="BR1452" s="1">
        <v>46.0</v>
      </c>
      <c r="BS1452" s="1">
        <v>46.0</v>
      </c>
      <c r="BU1452" s="1" t="s">
        <v>454</v>
      </c>
      <c r="BV1452" s="1" t="s">
        <v>206</v>
      </c>
      <c r="BW1452" s="1" t="s">
        <v>210</v>
      </c>
      <c r="BX1452" s="1" t="s">
        <v>229</v>
      </c>
      <c r="BY1452" s="1" t="s">
        <v>1584</v>
      </c>
      <c r="BZ1452" s="1" t="s">
        <v>206</v>
      </c>
      <c r="CA1452" s="1" t="s">
        <v>210</v>
      </c>
      <c r="CB1452" s="1" t="s">
        <v>229</v>
      </c>
      <c r="CC1452" s="1" t="s">
        <v>543</v>
      </c>
      <c r="CD1452" s="1" t="s">
        <v>206</v>
      </c>
      <c r="CE1452" s="1" t="s">
        <v>301</v>
      </c>
      <c r="CF1452" s="1" t="s">
        <v>229</v>
      </c>
      <c r="CG1452" s="1" t="s">
        <v>1672</v>
      </c>
      <c r="CH1452" s="1" t="s">
        <v>206</v>
      </c>
      <c r="CI1452" s="1" t="s">
        <v>210</v>
      </c>
      <c r="CJ1452" s="1" t="s">
        <v>229</v>
      </c>
      <c r="CK1452" s="1" t="s">
        <v>1584</v>
      </c>
      <c r="CL1452" s="1" t="s">
        <v>1697</v>
      </c>
      <c r="CM1452" s="1" t="s">
        <v>210</v>
      </c>
      <c r="CN1452" s="1" t="s">
        <v>229</v>
      </c>
      <c r="CO1452" s="1" t="s">
        <v>1672</v>
      </c>
      <c r="CP1452" s="1" t="s">
        <v>1697</v>
      </c>
      <c r="CQ1452" s="1" t="s">
        <v>210</v>
      </c>
      <c r="CR1452" s="1" t="s">
        <v>229</v>
      </c>
      <c r="CS1452" s="1" t="s">
        <v>904</v>
      </c>
      <c r="CT1452" s="1" t="s">
        <v>206</v>
      </c>
      <c r="CU1452" s="1" t="s">
        <v>301</v>
      </c>
      <c r="CV1452" s="1" t="s">
        <v>229</v>
      </c>
      <c r="CW1452" s="1" t="s">
        <v>3989</v>
      </c>
      <c r="CX1452" s="1" t="s">
        <v>42</v>
      </c>
      <c r="CY1452" s="1" t="s">
        <v>210</v>
      </c>
      <c r="CZ1452" s="1" t="s">
        <v>229</v>
      </c>
      <c r="DA1452" s="1" t="s">
        <v>200</v>
      </c>
      <c r="DC1452" s="1" t="s">
        <v>517</v>
      </c>
      <c r="DE1452" s="1" t="s">
        <v>273</v>
      </c>
      <c r="DF1452" s="1" t="s">
        <v>219</v>
      </c>
      <c r="DH1452" s="1" t="s">
        <v>220</v>
      </c>
      <c r="DJ1452" s="1" t="s">
        <v>222</v>
      </c>
      <c r="DL1452" s="1" t="s">
        <v>224</v>
      </c>
      <c r="DM1452" s="1" t="s">
        <v>229</v>
      </c>
      <c r="DO1452" s="1" t="s">
        <v>14933</v>
      </c>
      <c r="DQ1452" s="1" t="s">
        <v>228</v>
      </c>
      <c r="DR1452" s="1" t="s">
        <v>229</v>
      </c>
      <c r="DS1452" s="1" t="s">
        <v>230</v>
      </c>
      <c r="DV1452" s="1" t="s">
        <v>232</v>
      </c>
      <c r="DW1452" s="1" t="s">
        <v>489</v>
      </c>
      <c r="DX1452" s="1" t="s">
        <v>234</v>
      </c>
      <c r="DZ1452" s="1" t="s">
        <v>310</v>
      </c>
      <c r="EC1452" s="1" t="s">
        <v>311</v>
      </c>
      <c r="EM1452" s="1" t="s">
        <v>238</v>
      </c>
      <c r="EQ1452" s="1" t="s">
        <v>238</v>
      </c>
      <c r="EU1452" s="1" t="s">
        <v>238</v>
      </c>
      <c r="EY1452" s="1" t="s">
        <v>238</v>
      </c>
      <c r="FC1452" s="1" t="s">
        <v>238</v>
      </c>
      <c r="FF1452" s="1" t="s">
        <v>239</v>
      </c>
      <c r="FG1452" s="1" t="s">
        <v>192</v>
      </c>
      <c r="FH1452" s="1" t="s">
        <v>192</v>
      </c>
      <c r="FJ1452" s="1" t="s">
        <v>770</v>
      </c>
      <c r="FK1452" s="1" t="s">
        <v>229</v>
      </c>
      <c r="FL1452" s="1" t="s">
        <v>456</v>
      </c>
      <c r="FM1452" s="1">
        <v>8012.0</v>
      </c>
      <c r="FN1452" s="1" t="s">
        <v>6869</v>
      </c>
      <c r="FO1452" s="1" t="s">
        <v>14934</v>
      </c>
      <c r="FP1452" s="1">
        <v>81534.0</v>
      </c>
      <c r="FQ1452" s="1" t="s">
        <v>14935</v>
      </c>
      <c r="FR1452" s="1">
        <v>35055.0</v>
      </c>
      <c r="FS1452" s="1" t="s">
        <v>14936</v>
      </c>
      <c r="FU1452" s="1" t="s">
        <v>6872</v>
      </c>
      <c r="FV1452" s="1" t="s">
        <v>200</v>
      </c>
      <c r="FW1452" s="1" t="s">
        <v>14937</v>
      </c>
      <c r="FX1452" s="1" t="s">
        <v>655</v>
      </c>
      <c r="FZ1452" s="1" t="s">
        <v>229</v>
      </c>
      <c r="GA1452" s="1" t="s">
        <v>291</v>
      </c>
      <c r="GB1452" s="2">
        <v>42058.0</v>
      </c>
      <c r="GC1452" s="1" t="s">
        <v>14938</v>
      </c>
    </row>
    <row r="1453">
      <c r="A1453" s="1">
        <v>287500.0</v>
      </c>
      <c r="B1453" s="1" t="s">
        <v>185</v>
      </c>
      <c r="C1453" s="1" t="str">
        <f>"08680267"</f>
        <v>08680267</v>
      </c>
      <c r="D1453" s="1" t="s">
        <v>186</v>
      </c>
      <c r="F1453" s="1" t="str">
        <f>"510"</f>
        <v>510</v>
      </c>
      <c r="G1453" s="2">
        <v>41842.0</v>
      </c>
      <c r="H1453" s="1">
        <v>290000.0</v>
      </c>
      <c r="I1453" s="1">
        <v>227.0</v>
      </c>
      <c r="J1453" s="1">
        <v>267900.0</v>
      </c>
      <c r="K1453" s="2">
        <v>42068.0</v>
      </c>
      <c r="L1453" s="1">
        <v>227.0</v>
      </c>
      <c r="M1453" s="2">
        <v>42068.0</v>
      </c>
      <c r="N1453" s="1" t="s">
        <v>187</v>
      </c>
      <c r="O1453" s="2">
        <v>42109.0</v>
      </c>
      <c r="P1453" s="1">
        <v>168909.0</v>
      </c>
      <c r="Q1453" s="1">
        <v>85316.0</v>
      </c>
      <c r="R1453" s="1">
        <v>8000.0</v>
      </c>
      <c r="S1453" s="1">
        <v>504.0</v>
      </c>
      <c r="T1453" s="1" t="s">
        <v>8371</v>
      </c>
      <c r="U1453" s="1" t="s">
        <v>464</v>
      </c>
      <c r="V1453" s="1" t="s">
        <v>2700</v>
      </c>
      <c r="W1453" s="1">
        <v>60510.0</v>
      </c>
      <c r="Y1453" s="1" t="s">
        <v>14939</v>
      </c>
      <c r="Z1453" s="1">
        <v>1967.0</v>
      </c>
      <c r="AA1453" s="1" t="s">
        <v>192</v>
      </c>
      <c r="AB1453" s="1" t="s">
        <v>193</v>
      </c>
      <c r="AC1453" s="1" t="s">
        <v>8867</v>
      </c>
      <c r="AD1453" s="1" t="s">
        <v>2702</v>
      </c>
      <c r="AE1453" s="1" t="s">
        <v>325</v>
      </c>
      <c r="AF1453" s="1" t="s">
        <v>2702</v>
      </c>
      <c r="AH1453" s="1" t="s">
        <v>14940</v>
      </c>
      <c r="AI1453" s="1">
        <v>0.6</v>
      </c>
      <c r="AK1453" s="1">
        <v>8.0</v>
      </c>
      <c r="AL1453" s="1">
        <v>4.0</v>
      </c>
      <c r="AM1453" s="1">
        <v>2.0</v>
      </c>
      <c r="AN1453" s="1">
        <v>1.0</v>
      </c>
      <c r="AO1453" s="1" t="s">
        <v>198</v>
      </c>
      <c r="AP1453" s="1">
        <v>1.0</v>
      </c>
      <c r="AQ1453" s="1" t="s">
        <v>1314</v>
      </c>
      <c r="AR1453" s="1" t="s">
        <v>200</v>
      </c>
      <c r="AS1453" s="1" t="s">
        <v>199</v>
      </c>
      <c r="AT1453" s="1">
        <v>2.0</v>
      </c>
      <c r="AV1453" s="1" t="s">
        <v>200</v>
      </c>
      <c r="AW1453" s="1">
        <v>7383.72</v>
      </c>
      <c r="AX1453" s="1">
        <v>2013.0</v>
      </c>
      <c r="AY1453" s="1" t="s">
        <v>1179</v>
      </c>
      <c r="AZ1453" s="1" t="s">
        <v>200</v>
      </c>
      <c r="BA1453" s="1" t="str">
        <f>"1224301003"</f>
        <v>1224301003</v>
      </c>
      <c r="BC1453" s="1">
        <v>2260.0</v>
      </c>
      <c r="BD1453" s="1">
        <v>287500.0</v>
      </c>
      <c r="BE1453" s="2">
        <v>41842.0</v>
      </c>
      <c r="BF1453" s="2" t="s">
        <v>14941</v>
      </c>
      <c r="BH1453" s="1">
        <v>0.0</v>
      </c>
      <c r="BK1453" s="1" t="s">
        <v>204</v>
      </c>
      <c r="BL1453" s="1" t="str">
        <f t="shared" ref="BL1453:BM1453" si="957">""</f>
        <v/>
      </c>
      <c r="BM1453" s="1" t="str">
        <f t="shared" si="957"/>
        <v/>
      </c>
      <c r="BQ1453" s="1">
        <v>101.0</v>
      </c>
      <c r="BR1453" s="1">
        <v>101.0</v>
      </c>
      <c r="BS1453" s="1">
        <v>101.0</v>
      </c>
      <c r="BU1453" s="1" t="s">
        <v>2749</v>
      </c>
      <c r="BV1453" s="1" t="s">
        <v>206</v>
      </c>
      <c r="BW1453" s="1" t="s">
        <v>210</v>
      </c>
      <c r="BX1453" s="1" t="s">
        <v>239</v>
      </c>
      <c r="BY1453" s="1" t="s">
        <v>205</v>
      </c>
      <c r="BZ1453" s="1" t="s">
        <v>209</v>
      </c>
      <c r="CA1453" s="1" t="s">
        <v>207</v>
      </c>
      <c r="CB1453" s="1" t="s">
        <v>239</v>
      </c>
      <c r="CC1453" s="1" t="s">
        <v>212</v>
      </c>
      <c r="CD1453" s="1" t="s">
        <v>206</v>
      </c>
      <c r="CE1453" s="1" t="s">
        <v>210</v>
      </c>
      <c r="CF1453" s="1" t="s">
        <v>239</v>
      </c>
      <c r="CG1453" s="1" t="s">
        <v>262</v>
      </c>
      <c r="CH1453" s="1" t="s">
        <v>209</v>
      </c>
      <c r="CI1453" s="1" t="s">
        <v>207</v>
      </c>
      <c r="CJ1453" s="1" t="s">
        <v>239</v>
      </c>
      <c r="CK1453" s="1" t="s">
        <v>332</v>
      </c>
      <c r="CL1453" s="1" t="s">
        <v>209</v>
      </c>
      <c r="CM1453" s="1" t="s">
        <v>207</v>
      </c>
      <c r="CO1453" s="1" t="s">
        <v>264</v>
      </c>
      <c r="CP1453" s="1" t="s">
        <v>209</v>
      </c>
      <c r="CQ1453" s="1" t="s">
        <v>207</v>
      </c>
      <c r="CS1453" s="1" t="s">
        <v>1117</v>
      </c>
      <c r="CT1453" s="1" t="s">
        <v>206</v>
      </c>
      <c r="CU1453" s="1" t="s">
        <v>207</v>
      </c>
      <c r="CV1453" s="1" t="s">
        <v>239</v>
      </c>
      <c r="CW1453" s="1" t="s">
        <v>453</v>
      </c>
      <c r="CX1453" s="1" t="s">
        <v>206</v>
      </c>
      <c r="CY1453" s="1" t="s">
        <v>210</v>
      </c>
      <c r="CZ1453" s="1" t="s">
        <v>239</v>
      </c>
      <c r="DA1453" s="1" t="s">
        <v>200</v>
      </c>
      <c r="DC1453" s="1" t="s">
        <v>517</v>
      </c>
      <c r="DD1453" s="1" t="s">
        <v>518</v>
      </c>
      <c r="DE1453" s="1" t="s">
        <v>273</v>
      </c>
      <c r="DF1453" s="1" t="s">
        <v>619</v>
      </c>
      <c r="DG1453" s="1" t="s">
        <v>4915</v>
      </c>
      <c r="DH1453" s="1" t="s">
        <v>220</v>
      </c>
      <c r="DI1453" s="1" t="s">
        <v>221</v>
      </c>
      <c r="DJ1453" s="1" t="s">
        <v>222</v>
      </c>
      <c r="DL1453" s="1" t="s">
        <v>223</v>
      </c>
      <c r="DM1453" s="1" t="s">
        <v>338</v>
      </c>
      <c r="DO1453" s="1" t="s">
        <v>549</v>
      </c>
      <c r="DP1453" s="1" t="s">
        <v>340</v>
      </c>
      <c r="DQ1453" s="1" t="s">
        <v>1557</v>
      </c>
      <c r="DR1453" s="1" t="s">
        <v>229</v>
      </c>
      <c r="DS1453" s="1" t="s">
        <v>230</v>
      </c>
      <c r="DU1453" s="1" t="s">
        <v>14942</v>
      </c>
      <c r="DV1453" s="1" t="s">
        <v>2129</v>
      </c>
      <c r="DW1453" s="1" t="s">
        <v>934</v>
      </c>
      <c r="DX1453" s="1" t="s">
        <v>234</v>
      </c>
      <c r="DY1453" s="1" t="s">
        <v>704</v>
      </c>
      <c r="DZ1453" s="1" t="s">
        <v>14943</v>
      </c>
      <c r="EB1453" s="1" t="s">
        <v>345</v>
      </c>
      <c r="EC1453" s="1" t="s">
        <v>237</v>
      </c>
      <c r="ED1453" s="1" t="s">
        <v>407</v>
      </c>
      <c r="EE1453" s="1" t="s">
        <v>493</v>
      </c>
      <c r="EG1453" s="1" t="s">
        <v>2129</v>
      </c>
      <c r="EL1453" s="1" t="s">
        <v>515</v>
      </c>
      <c r="EM1453" s="1" t="s">
        <v>206</v>
      </c>
      <c r="EQ1453" s="1" t="s">
        <v>238</v>
      </c>
      <c r="EU1453" s="1" t="s">
        <v>238</v>
      </c>
      <c r="EY1453" s="1" t="s">
        <v>238</v>
      </c>
      <c r="FC1453" s="1" t="s">
        <v>238</v>
      </c>
      <c r="FF1453" s="1" t="s">
        <v>239</v>
      </c>
      <c r="FG1453" s="1" t="s">
        <v>192</v>
      </c>
      <c r="FH1453" s="1" t="s">
        <v>192</v>
      </c>
      <c r="FJ1453" s="1" t="s">
        <v>14944</v>
      </c>
      <c r="FK1453" s="1" t="s">
        <v>229</v>
      </c>
      <c r="FL1453" s="1" t="s">
        <v>456</v>
      </c>
      <c r="FM1453" s="1">
        <v>49.0</v>
      </c>
      <c r="FN1453" s="1" t="s">
        <v>457</v>
      </c>
      <c r="FO1453" s="1" t="s">
        <v>5946</v>
      </c>
      <c r="FP1453" s="1">
        <v>1016.0</v>
      </c>
      <c r="FQ1453" s="1" t="s">
        <v>5947</v>
      </c>
      <c r="FS1453" s="1" t="s">
        <v>5948</v>
      </c>
      <c r="FU1453" s="1" t="s">
        <v>14945</v>
      </c>
      <c r="FV1453" s="1" t="s">
        <v>200</v>
      </c>
      <c r="FW1453" s="1" t="s">
        <v>290</v>
      </c>
      <c r="FZ1453" s="1" t="s">
        <v>229</v>
      </c>
      <c r="GA1453" s="1" t="s">
        <v>291</v>
      </c>
      <c r="GB1453" s="2">
        <v>42110.0</v>
      </c>
      <c r="GC1453" s="1" t="s">
        <v>14946</v>
      </c>
    </row>
    <row r="1454">
      <c r="A1454" s="1">
        <v>307500.0</v>
      </c>
      <c r="B1454" s="1" t="s">
        <v>185</v>
      </c>
      <c r="C1454" s="1" t="str">
        <f>"08670179"</f>
        <v>08670179</v>
      </c>
      <c r="D1454" s="1" t="s">
        <v>186</v>
      </c>
      <c r="F1454" s="1" t="str">
        <f>"8021"</f>
        <v>8021</v>
      </c>
      <c r="G1454" s="2">
        <v>41831.0</v>
      </c>
      <c r="H1454" s="1">
        <v>350000.0</v>
      </c>
      <c r="I1454" s="1">
        <v>73.0</v>
      </c>
      <c r="J1454" s="1">
        <v>350000.0</v>
      </c>
      <c r="K1454" s="2">
        <v>41903.0</v>
      </c>
      <c r="L1454" s="1">
        <v>73.0</v>
      </c>
      <c r="M1454" s="2">
        <v>41903.0</v>
      </c>
      <c r="N1454" s="1" t="s">
        <v>187</v>
      </c>
      <c r="O1454" s="2">
        <v>41974.0</v>
      </c>
      <c r="P1454" s="1">
        <v>155280.0</v>
      </c>
      <c r="Q1454" s="1">
        <v>84025.0</v>
      </c>
      <c r="S1454" s="1">
        <v>2826.0</v>
      </c>
      <c r="T1454" s="1" t="s">
        <v>2032</v>
      </c>
      <c r="U1454" s="1" t="s">
        <v>189</v>
      </c>
      <c r="V1454" s="1" t="s">
        <v>190</v>
      </c>
      <c r="W1454" s="1">
        <v>60618.0</v>
      </c>
      <c r="Y1454" s="1" t="s">
        <v>14947</v>
      </c>
      <c r="Z1454" s="1" t="s">
        <v>296</v>
      </c>
      <c r="AA1454" s="1" t="s">
        <v>192</v>
      </c>
      <c r="AB1454" s="1" t="s">
        <v>193</v>
      </c>
      <c r="AD1454" s="1" t="s">
        <v>194</v>
      </c>
      <c r="AE1454" s="1" t="s">
        <v>195</v>
      </c>
      <c r="AF1454" s="1" t="s">
        <v>827</v>
      </c>
      <c r="AH1454" s="1" t="s">
        <v>14948</v>
      </c>
      <c r="AK1454" s="1">
        <v>10.0</v>
      </c>
      <c r="AL1454" s="1">
        <v>4.0</v>
      </c>
      <c r="AM1454" s="1">
        <v>2.0</v>
      </c>
      <c r="AN1454" s="1">
        <v>0.0</v>
      </c>
      <c r="AO1454" s="1" t="s">
        <v>229</v>
      </c>
      <c r="AQ1454" s="1" t="s">
        <v>198</v>
      </c>
      <c r="AR1454" s="1" t="s">
        <v>192</v>
      </c>
      <c r="AS1454" s="1" t="s">
        <v>199</v>
      </c>
      <c r="AT1454" s="1">
        <v>2.0</v>
      </c>
      <c r="AV1454" s="1" t="s">
        <v>200</v>
      </c>
      <c r="AW1454" s="1">
        <v>3969.0</v>
      </c>
      <c r="AX1454" s="1">
        <v>2013.0</v>
      </c>
      <c r="AY1454" s="1" t="s">
        <v>1917</v>
      </c>
      <c r="AZ1454" s="1" t="s">
        <v>200</v>
      </c>
      <c r="BA1454" s="1" t="str">
        <f>"13251340270000"</f>
        <v>13251340270000</v>
      </c>
      <c r="BC1454" s="1">
        <v>1472.0</v>
      </c>
      <c r="BD1454" s="1">
        <v>307500.0</v>
      </c>
      <c r="BE1454" s="2">
        <v>41831.0</v>
      </c>
      <c r="BF1454" s="2" t="s">
        <v>14949</v>
      </c>
      <c r="BH1454" s="1">
        <v>0.0</v>
      </c>
      <c r="BK1454" s="1" t="s">
        <v>204</v>
      </c>
      <c r="BL1454" s="1" t="str">
        <f>"2826"</f>
        <v>2826</v>
      </c>
      <c r="BM1454" s="1" t="str">
        <f>"0"</f>
        <v>0</v>
      </c>
      <c r="BN1454" s="1">
        <v>2900.0</v>
      </c>
      <c r="BO1454" s="1">
        <v>0.0</v>
      </c>
      <c r="BQ1454" s="1">
        <v>299.0</v>
      </c>
      <c r="BR1454" s="1">
        <v>299.0</v>
      </c>
      <c r="BS1454" s="1">
        <v>299.0</v>
      </c>
      <c r="BU1454" s="1" t="s">
        <v>584</v>
      </c>
      <c r="BV1454" s="1" t="s">
        <v>206</v>
      </c>
      <c r="BW1454" s="1" t="s">
        <v>207</v>
      </c>
      <c r="BY1454" s="1" t="s">
        <v>4709</v>
      </c>
      <c r="BZ1454" s="1" t="s">
        <v>206</v>
      </c>
      <c r="CA1454" s="1" t="s">
        <v>207</v>
      </c>
      <c r="CC1454" s="1" t="s">
        <v>215</v>
      </c>
      <c r="CD1454" s="1" t="s">
        <v>206</v>
      </c>
      <c r="CE1454" s="1" t="s">
        <v>207</v>
      </c>
      <c r="CG1454" s="1" t="s">
        <v>433</v>
      </c>
      <c r="CH1454" s="1" t="s">
        <v>209</v>
      </c>
      <c r="CI1454" s="1" t="s">
        <v>210</v>
      </c>
      <c r="CK1454" s="1" t="s">
        <v>814</v>
      </c>
      <c r="CL1454" s="1" t="s">
        <v>209</v>
      </c>
      <c r="CM1454" s="1" t="s">
        <v>210</v>
      </c>
      <c r="CO1454" s="1" t="s">
        <v>331</v>
      </c>
      <c r="CP1454" s="1" t="s">
        <v>209</v>
      </c>
      <c r="CQ1454" s="1" t="s">
        <v>210</v>
      </c>
      <c r="CS1454" s="1" t="s">
        <v>699</v>
      </c>
      <c r="CT1454" s="1" t="s">
        <v>206</v>
      </c>
      <c r="CU1454" s="1" t="s">
        <v>617</v>
      </c>
      <c r="CW1454" s="1" t="s">
        <v>14950</v>
      </c>
      <c r="CX1454" s="1" t="s">
        <v>42</v>
      </c>
      <c r="CY1454" s="1" t="s">
        <v>617</v>
      </c>
      <c r="DA1454" s="1" t="s">
        <v>200</v>
      </c>
      <c r="DC1454" s="1" t="s">
        <v>785</v>
      </c>
      <c r="DE1454" s="1" t="s">
        <v>273</v>
      </c>
      <c r="DF1454" s="1" t="s">
        <v>219</v>
      </c>
      <c r="DH1454" s="1" t="s">
        <v>365</v>
      </c>
      <c r="DI1454" s="1" t="s">
        <v>14951</v>
      </c>
      <c r="DJ1454" s="1" t="s">
        <v>222</v>
      </c>
      <c r="DK1454" s="1" t="s">
        <v>224</v>
      </c>
      <c r="DL1454" s="1" t="s">
        <v>858</v>
      </c>
      <c r="DM1454" s="1" t="s">
        <v>229</v>
      </c>
      <c r="DP1454" s="1" t="s">
        <v>276</v>
      </c>
      <c r="DQ1454" s="1" t="s">
        <v>718</v>
      </c>
      <c r="DR1454" s="1" t="s">
        <v>229</v>
      </c>
      <c r="DS1454" s="1" t="s">
        <v>230</v>
      </c>
      <c r="DU1454" s="1" t="s">
        <v>4671</v>
      </c>
      <c r="DV1454" s="1" t="s">
        <v>14952</v>
      </c>
      <c r="DW1454" s="1" t="s">
        <v>934</v>
      </c>
      <c r="DX1454" s="1" t="s">
        <v>1287</v>
      </c>
      <c r="DZ1454" s="1" t="s">
        <v>310</v>
      </c>
      <c r="EA1454" s="1" t="s">
        <v>644</v>
      </c>
      <c r="EC1454" s="1" t="s">
        <v>645</v>
      </c>
      <c r="EE1454" s="1" t="s">
        <v>522</v>
      </c>
      <c r="EG1454" s="1" t="s">
        <v>450</v>
      </c>
      <c r="EH1454" s="1" t="s">
        <v>373</v>
      </c>
      <c r="EI1454" s="1" t="s">
        <v>408</v>
      </c>
      <c r="EJ1454" s="1" t="s">
        <v>374</v>
      </c>
      <c r="EL1454" s="1" t="s">
        <v>1891</v>
      </c>
      <c r="EM1454" s="1" t="s">
        <v>209</v>
      </c>
      <c r="EN1454" s="1" t="s">
        <v>210</v>
      </c>
      <c r="EP1454" s="1" t="s">
        <v>264</v>
      </c>
      <c r="EQ1454" s="1" t="s">
        <v>206</v>
      </c>
      <c r="ER1454" s="1" t="s">
        <v>210</v>
      </c>
      <c r="ET1454" s="1" t="s">
        <v>8276</v>
      </c>
      <c r="EU1454" s="1" t="s">
        <v>206</v>
      </c>
      <c r="EV1454" s="1" t="s">
        <v>207</v>
      </c>
      <c r="EX1454" s="1" t="s">
        <v>264</v>
      </c>
      <c r="EY1454" s="1" t="s">
        <v>42</v>
      </c>
      <c r="FC1454" s="1" t="s">
        <v>238</v>
      </c>
      <c r="FF1454" s="1" t="s">
        <v>239</v>
      </c>
      <c r="FG1454" s="1" t="s">
        <v>192</v>
      </c>
      <c r="FH1454" s="1" t="s">
        <v>192</v>
      </c>
      <c r="FJ1454" s="1" t="s">
        <v>7646</v>
      </c>
      <c r="FK1454" s="1" t="s">
        <v>229</v>
      </c>
      <c r="FL1454" s="1" t="s">
        <v>4579</v>
      </c>
      <c r="FM1454" s="1">
        <v>84301.0</v>
      </c>
      <c r="FN1454" s="1" t="s">
        <v>4580</v>
      </c>
      <c r="FO1454" s="1" t="s">
        <v>14953</v>
      </c>
      <c r="FP1454" s="1">
        <v>125008.0</v>
      </c>
      <c r="FQ1454" s="1" t="s">
        <v>14954</v>
      </c>
      <c r="FU1454" s="1" t="s">
        <v>14955</v>
      </c>
      <c r="FV1454" s="1" t="s">
        <v>200</v>
      </c>
      <c r="FW1454" s="1" t="s">
        <v>4583</v>
      </c>
      <c r="FX1454" s="1" t="s">
        <v>238</v>
      </c>
      <c r="FZ1454" s="1" t="s">
        <v>229</v>
      </c>
      <c r="GA1454" s="1" t="s">
        <v>291</v>
      </c>
      <c r="GB1454" s="2">
        <v>41974.0</v>
      </c>
    </row>
    <row r="1455">
      <c r="A1455" s="1">
        <v>360000.0</v>
      </c>
      <c r="B1455" s="1" t="s">
        <v>185</v>
      </c>
      <c r="C1455" s="1" t="str">
        <f>"08676411"</f>
        <v>08676411</v>
      </c>
      <c r="D1455" s="1" t="s">
        <v>186</v>
      </c>
      <c r="F1455" s="1" t="str">
        <f>"545"</f>
        <v>545</v>
      </c>
      <c r="G1455" s="2">
        <v>41838.0</v>
      </c>
      <c r="H1455" s="1">
        <v>392000.0</v>
      </c>
      <c r="I1455" s="1">
        <v>276.0</v>
      </c>
      <c r="J1455" s="1">
        <v>378000.0</v>
      </c>
      <c r="K1455" s="2">
        <v>42006.0</v>
      </c>
      <c r="L1455" s="1">
        <v>169.0</v>
      </c>
      <c r="M1455" s="2">
        <v>42006.0</v>
      </c>
      <c r="N1455" s="1" t="s">
        <v>187</v>
      </c>
      <c r="O1455" s="2">
        <v>42041.0</v>
      </c>
      <c r="P1455" s="1">
        <v>237716.0</v>
      </c>
      <c r="Q1455" s="1">
        <v>24215.0</v>
      </c>
      <c r="S1455" s="1">
        <v>43.0</v>
      </c>
      <c r="T1455" s="1" t="s">
        <v>14956</v>
      </c>
      <c r="U1455" s="1" t="s">
        <v>1174</v>
      </c>
      <c r="V1455" s="1" t="s">
        <v>3364</v>
      </c>
      <c r="W1455" s="1">
        <v>60545.0</v>
      </c>
      <c r="X1455" s="1">
        <v>9619.0</v>
      </c>
      <c r="Y1455" s="1" t="s">
        <v>14957</v>
      </c>
      <c r="Z1455" s="1">
        <v>1993.0</v>
      </c>
      <c r="AA1455" s="1" t="s">
        <v>200</v>
      </c>
      <c r="AB1455" s="1" t="s">
        <v>193</v>
      </c>
      <c r="AD1455" s="1" t="s">
        <v>1089</v>
      </c>
      <c r="AE1455" s="1" t="s">
        <v>849</v>
      </c>
      <c r="AF1455" s="1" t="s">
        <v>3367</v>
      </c>
      <c r="AG1455" s="1" t="s">
        <v>874</v>
      </c>
      <c r="AH1455" s="1" t="s">
        <v>14958</v>
      </c>
      <c r="AI1455" s="1">
        <v>2.842</v>
      </c>
      <c r="AK1455" s="1">
        <v>11.0</v>
      </c>
      <c r="AL1455" s="1">
        <v>4.0</v>
      </c>
      <c r="AM1455" s="1">
        <v>3.0</v>
      </c>
      <c r="AN1455" s="1">
        <v>0.0</v>
      </c>
      <c r="AO1455" s="1" t="s">
        <v>198</v>
      </c>
      <c r="AP1455" s="1">
        <v>1.0</v>
      </c>
      <c r="AQ1455" s="1" t="s">
        <v>198</v>
      </c>
      <c r="AR1455" s="1" t="s">
        <v>200</v>
      </c>
      <c r="AS1455" s="1" t="s">
        <v>199</v>
      </c>
      <c r="AT1455" s="1">
        <v>10.0</v>
      </c>
      <c r="AV1455" s="1" t="s">
        <v>200</v>
      </c>
      <c r="AW1455" s="1">
        <v>7466.58</v>
      </c>
      <c r="AX1455" s="1">
        <v>2013.0</v>
      </c>
      <c r="AY1455" s="1" t="s">
        <v>387</v>
      </c>
      <c r="AZ1455" s="1" t="s">
        <v>200</v>
      </c>
      <c r="BA1455" s="1" t="str">
        <f>"0119426010"</f>
        <v>0119426010</v>
      </c>
      <c r="BB1455" s="1" t="s">
        <v>200</v>
      </c>
      <c r="BC1455" s="1">
        <v>2860.0</v>
      </c>
      <c r="BD1455" s="1">
        <v>360000.0</v>
      </c>
      <c r="BE1455" s="2">
        <v>41838.0</v>
      </c>
      <c r="BF1455" s="2" t="s">
        <v>14959</v>
      </c>
      <c r="BH1455" s="1">
        <v>0.0</v>
      </c>
      <c r="BI1455" s="1" t="s">
        <v>14960</v>
      </c>
      <c r="BJ1455" s="1" t="s">
        <v>14961</v>
      </c>
      <c r="BK1455" s="1" t="s">
        <v>204</v>
      </c>
      <c r="BL1455" s="1" t="str">
        <f t="shared" ref="BL1455:BM1455" si="958">""</f>
        <v/>
      </c>
      <c r="BM1455" s="1" t="str">
        <f t="shared" si="958"/>
        <v/>
      </c>
      <c r="BQ1455" s="1">
        <v>430.0</v>
      </c>
      <c r="BR1455" s="1">
        <v>430.0</v>
      </c>
      <c r="BS1455" s="1">
        <v>430.0</v>
      </c>
      <c r="BU1455" s="1" t="s">
        <v>433</v>
      </c>
      <c r="BV1455" s="1" t="s">
        <v>206</v>
      </c>
      <c r="BW1455" s="1" t="s">
        <v>210</v>
      </c>
      <c r="BX1455" s="1" t="s">
        <v>239</v>
      </c>
      <c r="BY1455" s="1" t="s">
        <v>3475</v>
      </c>
      <c r="BZ1455" s="1" t="s">
        <v>206</v>
      </c>
      <c r="CA1455" s="1" t="s">
        <v>210</v>
      </c>
      <c r="CB1455" s="1" t="s">
        <v>239</v>
      </c>
      <c r="CC1455" s="1" t="s">
        <v>363</v>
      </c>
      <c r="CD1455" s="1" t="s">
        <v>206</v>
      </c>
      <c r="CE1455" s="1" t="s">
        <v>210</v>
      </c>
      <c r="CF1455" s="1" t="s">
        <v>229</v>
      </c>
      <c r="CG1455" s="1" t="s">
        <v>454</v>
      </c>
      <c r="CH1455" s="1" t="s">
        <v>206</v>
      </c>
      <c r="CI1455" s="1" t="s">
        <v>210</v>
      </c>
      <c r="CJ1455" s="1" t="s">
        <v>229</v>
      </c>
      <c r="CK1455" s="1" t="s">
        <v>433</v>
      </c>
      <c r="CL1455" s="1" t="s">
        <v>206</v>
      </c>
      <c r="CM1455" s="1" t="s">
        <v>210</v>
      </c>
      <c r="CN1455" s="1" t="s">
        <v>239</v>
      </c>
      <c r="CO1455" s="1" t="s">
        <v>433</v>
      </c>
      <c r="CP1455" s="1" t="s">
        <v>206</v>
      </c>
      <c r="CQ1455" s="1" t="s">
        <v>210</v>
      </c>
      <c r="CR1455" s="1" t="s">
        <v>239</v>
      </c>
      <c r="CS1455" s="1" t="s">
        <v>664</v>
      </c>
      <c r="CT1455" s="1" t="s">
        <v>206</v>
      </c>
      <c r="CU1455" s="1" t="s">
        <v>268</v>
      </c>
      <c r="CV1455" s="1" t="s">
        <v>239</v>
      </c>
      <c r="CW1455" s="1" t="s">
        <v>3538</v>
      </c>
      <c r="CX1455" s="1" t="s">
        <v>206</v>
      </c>
      <c r="CY1455" s="1" t="s">
        <v>207</v>
      </c>
      <c r="CZ1455" s="1" t="s">
        <v>239</v>
      </c>
      <c r="DA1455" s="1" t="s">
        <v>200</v>
      </c>
      <c r="DC1455" s="1" t="s">
        <v>435</v>
      </c>
      <c r="DD1455" s="1" t="s">
        <v>926</v>
      </c>
      <c r="DE1455" s="1" t="s">
        <v>273</v>
      </c>
      <c r="DF1455" s="1" t="s">
        <v>905</v>
      </c>
      <c r="DG1455" s="1" t="s">
        <v>1553</v>
      </c>
      <c r="DH1455" s="1" t="s">
        <v>856</v>
      </c>
      <c r="DI1455" s="1" t="s">
        <v>1223</v>
      </c>
      <c r="DJ1455" s="1" t="s">
        <v>857</v>
      </c>
      <c r="DL1455" s="1" t="s">
        <v>1870</v>
      </c>
      <c r="DM1455" s="1" t="s">
        <v>338</v>
      </c>
      <c r="DN1455" s="1" t="s">
        <v>399</v>
      </c>
      <c r="DO1455" s="1" t="s">
        <v>3860</v>
      </c>
      <c r="DP1455" s="1" t="s">
        <v>340</v>
      </c>
      <c r="DQ1455" s="1" t="s">
        <v>860</v>
      </c>
      <c r="DR1455" s="1" t="s">
        <v>229</v>
      </c>
      <c r="DS1455" s="1" t="s">
        <v>368</v>
      </c>
      <c r="DU1455" s="1" t="s">
        <v>9002</v>
      </c>
      <c r="DV1455" s="1" t="s">
        <v>14962</v>
      </c>
      <c r="DW1455" s="1" t="s">
        <v>764</v>
      </c>
      <c r="DX1455" s="1" t="s">
        <v>234</v>
      </c>
      <c r="DY1455" s="1" t="s">
        <v>2841</v>
      </c>
      <c r="DZ1455" s="1" t="s">
        <v>14963</v>
      </c>
      <c r="EA1455" s="1" t="s">
        <v>683</v>
      </c>
      <c r="EB1455" s="1" t="s">
        <v>13148</v>
      </c>
      <c r="EC1455" s="1" t="s">
        <v>685</v>
      </c>
      <c r="ED1455" s="1" t="s">
        <v>14964</v>
      </c>
      <c r="EE1455" s="1" t="s">
        <v>493</v>
      </c>
      <c r="EG1455" s="1" t="s">
        <v>556</v>
      </c>
      <c r="EH1455" s="1" t="s">
        <v>408</v>
      </c>
      <c r="EI1455" s="1" t="s">
        <v>450</v>
      </c>
      <c r="EJ1455" s="1" t="s">
        <v>1491</v>
      </c>
      <c r="EL1455" s="1" t="s">
        <v>363</v>
      </c>
      <c r="EM1455" s="1" t="s">
        <v>206</v>
      </c>
      <c r="EN1455" s="1" t="s">
        <v>268</v>
      </c>
      <c r="EO1455" s="1" t="s">
        <v>239</v>
      </c>
      <c r="EP1455" s="1" t="s">
        <v>375</v>
      </c>
      <c r="EQ1455" s="1" t="s">
        <v>206</v>
      </c>
      <c r="ER1455" s="1" t="s">
        <v>207</v>
      </c>
      <c r="ES1455" s="1" t="s">
        <v>239</v>
      </c>
      <c r="ET1455" s="1" t="s">
        <v>1377</v>
      </c>
      <c r="EU1455" s="1" t="s">
        <v>267</v>
      </c>
      <c r="EV1455" s="1" t="s">
        <v>210</v>
      </c>
      <c r="EW1455" s="1" t="s">
        <v>239</v>
      </c>
      <c r="EX1455" s="1" t="s">
        <v>211</v>
      </c>
      <c r="EY1455" s="1" t="s">
        <v>267</v>
      </c>
      <c r="EZ1455" s="1" t="s">
        <v>588</v>
      </c>
      <c r="FC1455" s="1" t="s">
        <v>238</v>
      </c>
      <c r="FF1455" s="1" t="s">
        <v>239</v>
      </c>
      <c r="FG1455" s="1" t="s">
        <v>192</v>
      </c>
      <c r="FH1455" s="1" t="s">
        <v>192</v>
      </c>
      <c r="FJ1455" s="1" t="s">
        <v>2036</v>
      </c>
      <c r="FK1455" s="1" t="s">
        <v>229</v>
      </c>
      <c r="FL1455" s="1" t="s">
        <v>4369</v>
      </c>
      <c r="FM1455" s="1">
        <v>23279.0</v>
      </c>
      <c r="FN1455" s="1" t="s">
        <v>6096</v>
      </c>
      <c r="FO1455" s="1" t="s">
        <v>14965</v>
      </c>
      <c r="FP1455" s="1">
        <v>215497.0</v>
      </c>
      <c r="FQ1455" s="1" t="s">
        <v>14966</v>
      </c>
      <c r="FR1455" s="1">
        <v>217527.0</v>
      </c>
      <c r="FS1455" s="1" t="s">
        <v>14967</v>
      </c>
      <c r="FU1455" s="1" t="s">
        <v>14968</v>
      </c>
      <c r="FV1455" s="1" t="s">
        <v>200</v>
      </c>
      <c r="FW1455" s="1" t="s">
        <v>290</v>
      </c>
      <c r="FZ1455" s="1" t="s">
        <v>229</v>
      </c>
      <c r="GA1455" s="1" t="s">
        <v>291</v>
      </c>
      <c r="GB1455" s="2">
        <v>42042.0</v>
      </c>
    </row>
    <row r="1456">
      <c r="A1456" s="1">
        <v>735168.0</v>
      </c>
      <c r="B1456" s="1" t="s">
        <v>185</v>
      </c>
      <c r="C1456" s="1" t="str">
        <f>"08672400"</f>
        <v>08672400</v>
      </c>
      <c r="D1456" s="1" t="s">
        <v>186</v>
      </c>
      <c r="F1456" s="1" t="str">
        <f>"10"</f>
        <v>10</v>
      </c>
      <c r="G1456" s="2">
        <v>41834.0</v>
      </c>
      <c r="H1456" s="1">
        <v>819000.0</v>
      </c>
      <c r="I1456" s="1">
        <v>93.0</v>
      </c>
      <c r="J1456" s="1">
        <v>799500.0</v>
      </c>
      <c r="K1456" s="2">
        <v>41925.0</v>
      </c>
      <c r="L1456" s="1">
        <v>93.0</v>
      </c>
      <c r="M1456" s="2">
        <v>41925.0</v>
      </c>
      <c r="N1456" s="1" t="s">
        <v>249</v>
      </c>
      <c r="O1456" s="2">
        <v>41983.0</v>
      </c>
      <c r="P1456" s="1">
        <v>923280.0</v>
      </c>
      <c r="Q1456" s="1">
        <v>25042.0</v>
      </c>
      <c r="S1456" s="1">
        <v>7.0</v>
      </c>
      <c r="T1456" s="1" t="s">
        <v>14969</v>
      </c>
      <c r="U1456" s="1" t="s">
        <v>569</v>
      </c>
      <c r="V1456" s="1" t="s">
        <v>5237</v>
      </c>
      <c r="W1456" s="1">
        <v>60010.0</v>
      </c>
      <c r="Y1456" s="1" t="s">
        <v>14970</v>
      </c>
      <c r="Z1456" s="1">
        <v>1990.0</v>
      </c>
      <c r="AA1456" s="1" t="s">
        <v>200</v>
      </c>
      <c r="AB1456" s="1" t="s">
        <v>467</v>
      </c>
      <c r="AC1456" s="1" t="s">
        <v>14971</v>
      </c>
      <c r="AD1456" s="1" t="s">
        <v>5239</v>
      </c>
      <c r="AE1456" s="1" t="s">
        <v>195</v>
      </c>
      <c r="AF1456" s="1" t="s">
        <v>1948</v>
      </c>
      <c r="AG1456" s="1" t="s">
        <v>752</v>
      </c>
      <c r="AH1456" s="1" t="s">
        <v>14972</v>
      </c>
      <c r="AI1456" s="1">
        <v>1.256</v>
      </c>
      <c r="AK1456" s="1">
        <v>11.0</v>
      </c>
      <c r="AL1456" s="1">
        <v>4.0</v>
      </c>
      <c r="AM1456" s="1">
        <v>3.0</v>
      </c>
      <c r="AN1456" s="1">
        <v>1.0</v>
      </c>
      <c r="AO1456" s="1" t="s">
        <v>198</v>
      </c>
      <c r="AP1456" s="1">
        <v>2.0</v>
      </c>
      <c r="AQ1456" s="1" t="s">
        <v>257</v>
      </c>
      <c r="AR1456" s="1" t="s">
        <v>200</v>
      </c>
      <c r="AS1456" s="1" t="s">
        <v>199</v>
      </c>
      <c r="AT1456" s="1">
        <v>3.0</v>
      </c>
      <c r="AV1456" s="1" t="s">
        <v>200</v>
      </c>
      <c r="AW1456" s="1">
        <v>13898.32</v>
      </c>
      <c r="AX1456" s="1">
        <v>2012.0</v>
      </c>
      <c r="AY1456" s="1" t="s">
        <v>387</v>
      </c>
      <c r="AZ1456" s="1" t="s">
        <v>545</v>
      </c>
      <c r="BA1456" s="1" t="str">
        <f>"01223010100000"</f>
        <v>01223010100000</v>
      </c>
      <c r="BC1456" s="1">
        <v>4278.0</v>
      </c>
      <c r="BD1456" s="1">
        <v>735168.0</v>
      </c>
      <c r="BE1456" s="2">
        <v>41833.0</v>
      </c>
      <c r="BF1456" s="2" t="s">
        <v>14973</v>
      </c>
      <c r="BG1456" s="1" t="s">
        <v>5242</v>
      </c>
      <c r="BH1456" s="1">
        <v>1000.0</v>
      </c>
      <c r="BI1456" s="1" t="s">
        <v>1713</v>
      </c>
      <c r="BJ1456" s="1" t="s">
        <v>1714</v>
      </c>
      <c r="BK1456" s="1" t="s">
        <v>580</v>
      </c>
      <c r="BL1456" s="1" t="str">
        <f t="shared" ref="BL1456:BM1456" si="959">""</f>
        <v/>
      </c>
      <c r="BM1456" s="1" t="str">
        <f t="shared" si="959"/>
        <v/>
      </c>
      <c r="BQ1456" s="1">
        <v>220.0</v>
      </c>
      <c r="BR1456" s="1">
        <v>220.0</v>
      </c>
      <c r="BS1456" s="1">
        <v>220.0</v>
      </c>
      <c r="BU1456" s="1" t="s">
        <v>453</v>
      </c>
      <c r="BV1456" s="1" t="s">
        <v>206</v>
      </c>
      <c r="BW1456" s="1" t="s">
        <v>210</v>
      </c>
      <c r="BY1456" s="1" t="s">
        <v>1535</v>
      </c>
      <c r="BZ1456" s="1" t="s">
        <v>206</v>
      </c>
      <c r="CA1456" s="1" t="s">
        <v>210</v>
      </c>
      <c r="CC1456" s="1" t="s">
        <v>616</v>
      </c>
      <c r="CD1456" s="1" t="s">
        <v>206</v>
      </c>
      <c r="CE1456" s="1" t="s">
        <v>210</v>
      </c>
      <c r="CG1456" s="1" t="s">
        <v>434</v>
      </c>
      <c r="CH1456" s="1" t="s">
        <v>209</v>
      </c>
      <c r="CI1456" s="1" t="s">
        <v>210</v>
      </c>
      <c r="CK1456" s="1" t="s">
        <v>616</v>
      </c>
      <c r="CL1456" s="1" t="s">
        <v>209</v>
      </c>
      <c r="CM1456" s="1" t="s">
        <v>210</v>
      </c>
      <c r="CO1456" s="1" t="s">
        <v>758</v>
      </c>
      <c r="CP1456" s="1" t="s">
        <v>209</v>
      </c>
      <c r="CQ1456" s="1" t="s">
        <v>210</v>
      </c>
      <c r="CS1456" s="1" t="s">
        <v>3658</v>
      </c>
      <c r="CT1456" s="1" t="s">
        <v>206</v>
      </c>
      <c r="CU1456" s="1" t="s">
        <v>268</v>
      </c>
      <c r="CW1456" s="1" t="s">
        <v>8088</v>
      </c>
      <c r="CX1456" s="1" t="s">
        <v>209</v>
      </c>
      <c r="CY1456" s="1" t="s">
        <v>210</v>
      </c>
      <c r="DA1456" s="1" t="s">
        <v>200</v>
      </c>
      <c r="DC1456" s="1" t="s">
        <v>435</v>
      </c>
      <c r="DD1456" s="1" t="s">
        <v>518</v>
      </c>
      <c r="DE1456" s="1" t="s">
        <v>273</v>
      </c>
      <c r="DF1456" s="1" t="s">
        <v>619</v>
      </c>
      <c r="DH1456" s="1" t="s">
        <v>856</v>
      </c>
      <c r="DI1456" s="1" t="s">
        <v>14974</v>
      </c>
      <c r="DJ1456" s="1" t="s">
        <v>857</v>
      </c>
      <c r="DL1456" s="1" t="s">
        <v>224</v>
      </c>
      <c r="DM1456" s="1" t="s">
        <v>338</v>
      </c>
      <c r="DO1456" s="1" t="s">
        <v>440</v>
      </c>
      <c r="DP1456" s="1" t="s">
        <v>340</v>
      </c>
      <c r="DQ1456" s="1" t="s">
        <v>931</v>
      </c>
      <c r="DR1456" s="1" t="s">
        <v>1185</v>
      </c>
      <c r="DU1456" s="1" t="s">
        <v>14975</v>
      </c>
      <c r="DV1456" s="1" t="s">
        <v>14976</v>
      </c>
      <c r="DW1456" s="1" t="s">
        <v>279</v>
      </c>
      <c r="DX1456" s="1" t="s">
        <v>234</v>
      </c>
      <c r="DY1456" s="1" t="s">
        <v>1006</v>
      </c>
      <c r="DZ1456" s="1" t="s">
        <v>766</v>
      </c>
      <c r="EA1456" s="1" t="s">
        <v>1027</v>
      </c>
      <c r="EB1456" s="1" t="s">
        <v>9273</v>
      </c>
      <c r="EC1456" s="1" t="s">
        <v>237</v>
      </c>
      <c r="EG1456" s="1" t="s">
        <v>598</v>
      </c>
      <c r="EH1456" s="1" t="s">
        <v>408</v>
      </c>
      <c r="EI1456" s="1" t="s">
        <v>450</v>
      </c>
      <c r="EJ1456" s="1" t="s">
        <v>451</v>
      </c>
      <c r="EK1456" s="1" t="s">
        <v>1103</v>
      </c>
      <c r="EL1456" s="1" t="s">
        <v>262</v>
      </c>
      <c r="EM1456" s="1" t="s">
        <v>206</v>
      </c>
      <c r="EN1456" s="1" t="s">
        <v>210</v>
      </c>
      <c r="EP1456" s="1" t="s">
        <v>14977</v>
      </c>
      <c r="EQ1456" s="1" t="s">
        <v>206</v>
      </c>
      <c r="ER1456" s="1" t="s">
        <v>268</v>
      </c>
      <c r="ET1456" s="1" t="s">
        <v>9803</v>
      </c>
      <c r="EU1456" s="1" t="s">
        <v>267</v>
      </c>
      <c r="EV1456" s="1" t="s">
        <v>210</v>
      </c>
      <c r="EX1456" s="1" t="s">
        <v>743</v>
      </c>
      <c r="EY1456" s="1" t="s">
        <v>267</v>
      </c>
      <c r="EZ1456" s="1" t="s">
        <v>210</v>
      </c>
      <c r="FB1456" s="1" t="s">
        <v>14978</v>
      </c>
      <c r="FC1456" s="1" t="s">
        <v>267</v>
      </c>
      <c r="FF1456" s="1" t="s">
        <v>239</v>
      </c>
      <c r="FG1456" s="1" t="s">
        <v>192</v>
      </c>
      <c r="FH1456" s="1" t="s">
        <v>192</v>
      </c>
      <c r="FJ1456" s="1" t="s">
        <v>9630</v>
      </c>
      <c r="FK1456" s="1" t="s">
        <v>348</v>
      </c>
      <c r="FL1456" s="1" t="s">
        <v>5245</v>
      </c>
      <c r="FM1456" s="1">
        <v>6019.0</v>
      </c>
      <c r="FN1456" s="1" t="s">
        <v>5246</v>
      </c>
      <c r="FO1456" s="1" t="s">
        <v>10054</v>
      </c>
      <c r="FP1456" s="1">
        <v>61926.0</v>
      </c>
      <c r="FQ1456" s="1" t="s">
        <v>10055</v>
      </c>
      <c r="FU1456" s="1" t="s">
        <v>14979</v>
      </c>
      <c r="FV1456" s="1" t="s">
        <v>200</v>
      </c>
      <c r="FW1456" s="1" t="s">
        <v>290</v>
      </c>
      <c r="FZ1456" s="1" t="s">
        <v>229</v>
      </c>
      <c r="GA1456" s="1" t="s">
        <v>291</v>
      </c>
      <c r="GB1456" s="2">
        <v>41983.0</v>
      </c>
    </row>
    <row r="1457">
      <c r="A1457" s="1">
        <v>15000.0</v>
      </c>
      <c r="B1457" s="1" t="s">
        <v>185</v>
      </c>
      <c r="C1457" s="1" t="str">
        <f>"08673816"</f>
        <v>08673816</v>
      </c>
      <c r="D1457" s="1" t="s">
        <v>186</v>
      </c>
      <c r="F1457" s="1" t="str">
        <f>"8049"</f>
        <v>8049</v>
      </c>
      <c r="G1457" s="2">
        <v>41835.0</v>
      </c>
      <c r="H1457" s="1">
        <v>20000.0</v>
      </c>
      <c r="I1457" s="1">
        <v>131.0</v>
      </c>
      <c r="J1457" s="1">
        <v>9900.0</v>
      </c>
      <c r="K1457" s="2">
        <v>41965.0</v>
      </c>
      <c r="L1457" s="1">
        <v>131.0</v>
      </c>
      <c r="M1457" s="2">
        <v>41965.0</v>
      </c>
      <c r="N1457" s="1" t="s">
        <v>249</v>
      </c>
      <c r="O1457" s="2">
        <v>41969.0</v>
      </c>
      <c r="P1457" s="1">
        <v>226034.0</v>
      </c>
      <c r="Q1457" s="1">
        <v>61153.0</v>
      </c>
      <c r="S1457" s="1">
        <v>16.0</v>
      </c>
      <c r="T1457" s="1" t="s">
        <v>14980</v>
      </c>
      <c r="U1457" s="1" t="s">
        <v>320</v>
      </c>
      <c r="V1457" s="1" t="s">
        <v>190</v>
      </c>
      <c r="W1457" s="1">
        <v>60628.0</v>
      </c>
      <c r="Y1457" s="1" t="s">
        <v>14981</v>
      </c>
      <c r="Z1457" s="1">
        <v>1968.0</v>
      </c>
      <c r="AA1457" s="1" t="s">
        <v>192</v>
      </c>
      <c r="AB1457" s="1" t="s">
        <v>193</v>
      </c>
      <c r="AD1457" s="1" t="s">
        <v>194</v>
      </c>
      <c r="AE1457" s="1" t="s">
        <v>195</v>
      </c>
      <c r="AF1457" s="1" t="s">
        <v>637</v>
      </c>
      <c r="AH1457" s="1">
        <v>3125.0</v>
      </c>
      <c r="AI1457" s="1">
        <v>0.0717</v>
      </c>
      <c r="AK1457" s="1">
        <v>7.0</v>
      </c>
      <c r="AL1457" s="1">
        <v>4.0</v>
      </c>
      <c r="AM1457" s="1">
        <v>1.0</v>
      </c>
      <c r="AN1457" s="1">
        <v>1.0</v>
      </c>
      <c r="AO1457" s="1" t="s">
        <v>229</v>
      </c>
      <c r="AQ1457" s="1" t="s">
        <v>198</v>
      </c>
      <c r="AR1457" s="1" t="s">
        <v>200</v>
      </c>
      <c r="AS1457" s="1" t="s">
        <v>229</v>
      </c>
      <c r="AV1457" s="1" t="s">
        <v>200</v>
      </c>
      <c r="AW1457" s="1">
        <v>1781.15</v>
      </c>
      <c r="AX1457" s="1">
        <v>2012.0</v>
      </c>
      <c r="AY1457" s="1" t="s">
        <v>229</v>
      </c>
      <c r="AZ1457" s="1" t="s">
        <v>200</v>
      </c>
      <c r="BA1457" s="1" t="str">
        <f>"25103010310000"</f>
        <v>25103010310000</v>
      </c>
      <c r="BC1457" s="1">
        <v>969.0</v>
      </c>
      <c r="BD1457" s="1">
        <v>15000.0</v>
      </c>
      <c r="BE1457" s="2">
        <v>41835.0</v>
      </c>
      <c r="BF1457" s="1" t="s">
        <v>14982</v>
      </c>
      <c r="BH1457" s="1">
        <v>0.0</v>
      </c>
      <c r="BK1457" s="1" t="s">
        <v>204</v>
      </c>
      <c r="BL1457" s="1" t="str">
        <f>"0"</f>
        <v>0</v>
      </c>
      <c r="BM1457" s="1" t="str">
        <f>"16"</f>
        <v>16</v>
      </c>
      <c r="BN1457" s="1">
        <v>0.0</v>
      </c>
      <c r="BO1457" s="1">
        <v>100.0</v>
      </c>
      <c r="BQ1457" s="1">
        <v>299.0</v>
      </c>
      <c r="BR1457" s="1">
        <v>299.0</v>
      </c>
      <c r="BS1457" s="1">
        <v>299.0</v>
      </c>
      <c r="BU1457" s="1" t="s">
        <v>758</v>
      </c>
      <c r="BV1457" s="1" t="s">
        <v>206</v>
      </c>
      <c r="BY1457" s="1" t="s">
        <v>303</v>
      </c>
      <c r="BZ1457" s="1" t="s">
        <v>206</v>
      </c>
      <c r="CC1457" s="1" t="s">
        <v>215</v>
      </c>
      <c r="CD1457" s="1" t="s">
        <v>206</v>
      </c>
      <c r="CG1457" s="1" t="s">
        <v>303</v>
      </c>
      <c r="CH1457" s="1" t="s">
        <v>206</v>
      </c>
      <c r="CK1457" s="1" t="s">
        <v>303</v>
      </c>
      <c r="CL1457" s="1" t="s">
        <v>206</v>
      </c>
      <c r="CO1457" s="1" t="s">
        <v>303</v>
      </c>
      <c r="CP1457" s="1" t="s">
        <v>206</v>
      </c>
      <c r="CS1457" s="1" t="s">
        <v>303</v>
      </c>
      <c r="CT1457" s="1" t="s">
        <v>206</v>
      </c>
      <c r="CX1457" s="1" t="s">
        <v>204</v>
      </c>
      <c r="DA1457" s="1" t="s">
        <v>200</v>
      </c>
      <c r="DC1457" s="1" t="s">
        <v>517</v>
      </c>
      <c r="DE1457" s="1" t="s">
        <v>229</v>
      </c>
      <c r="DF1457" s="1" t="s">
        <v>619</v>
      </c>
      <c r="DH1457" s="1" t="s">
        <v>307</v>
      </c>
      <c r="DJ1457" s="1" t="s">
        <v>222</v>
      </c>
      <c r="DL1457" s="1" t="s">
        <v>223</v>
      </c>
      <c r="DM1457" s="1" t="s">
        <v>229</v>
      </c>
      <c r="DQ1457" s="1" t="s">
        <v>228</v>
      </c>
      <c r="DR1457" s="1" t="s">
        <v>229</v>
      </c>
      <c r="DV1457" s="1" t="s">
        <v>232</v>
      </c>
      <c r="DW1457" s="1" t="s">
        <v>667</v>
      </c>
      <c r="DX1457" s="1" t="s">
        <v>234</v>
      </c>
      <c r="EC1457" s="1" t="s">
        <v>284</v>
      </c>
      <c r="EM1457" s="1" t="s">
        <v>238</v>
      </c>
      <c r="EQ1457" s="1" t="s">
        <v>238</v>
      </c>
      <c r="EU1457" s="1" t="s">
        <v>238</v>
      </c>
      <c r="EY1457" s="1" t="s">
        <v>238</v>
      </c>
      <c r="FC1457" s="1" t="s">
        <v>238</v>
      </c>
      <c r="FF1457" s="1" t="s">
        <v>239</v>
      </c>
      <c r="FG1457" s="1" t="s">
        <v>192</v>
      </c>
      <c r="FH1457" s="1" t="s">
        <v>192</v>
      </c>
      <c r="FJ1457" s="1" t="s">
        <v>1248</v>
      </c>
      <c r="FK1457" s="1" t="s">
        <v>229</v>
      </c>
      <c r="FL1457" s="1" t="s">
        <v>14983</v>
      </c>
      <c r="FM1457" s="1">
        <v>18153.0</v>
      </c>
      <c r="FN1457" s="1" t="s">
        <v>14984</v>
      </c>
      <c r="FO1457" s="1" t="s">
        <v>14985</v>
      </c>
      <c r="FP1457" s="1">
        <v>145693.0</v>
      </c>
      <c r="FQ1457" s="1" t="s">
        <v>14986</v>
      </c>
      <c r="FR1457" s="1">
        <v>103585.0</v>
      </c>
      <c r="FU1457" s="1" t="s">
        <v>14987</v>
      </c>
      <c r="FV1457" s="1" t="s">
        <v>200</v>
      </c>
      <c r="FW1457" s="1" t="s">
        <v>290</v>
      </c>
      <c r="FX1457" s="1" t="s">
        <v>1739</v>
      </c>
      <c r="FZ1457" s="1" t="s">
        <v>229</v>
      </c>
      <c r="GA1457" s="1" t="s">
        <v>291</v>
      </c>
      <c r="GB1457" s="2">
        <v>41975.0</v>
      </c>
      <c r="GC1457" s="1" t="s">
        <v>14988</v>
      </c>
    </row>
    <row r="1458">
      <c r="A1458" s="1">
        <v>302000.0</v>
      </c>
      <c r="B1458" s="1" t="s">
        <v>185</v>
      </c>
      <c r="C1458" s="1" t="str">
        <f>"08681028"</f>
        <v>08681028</v>
      </c>
      <c r="D1458" s="1" t="s">
        <v>186</v>
      </c>
      <c r="F1458" s="1" t="str">
        <f>"554"</f>
        <v>554</v>
      </c>
      <c r="G1458" s="2">
        <v>41843.0</v>
      </c>
      <c r="H1458" s="1">
        <v>317500.0</v>
      </c>
      <c r="I1458" s="1">
        <v>178.0</v>
      </c>
      <c r="J1458" s="1">
        <v>307500.0</v>
      </c>
      <c r="K1458" s="2">
        <v>41916.0</v>
      </c>
      <c r="L1458" s="1">
        <v>74.0</v>
      </c>
      <c r="M1458" s="2">
        <v>41916.0</v>
      </c>
      <c r="N1458" s="1" t="s">
        <v>356</v>
      </c>
      <c r="O1458" s="2">
        <v>41978.0</v>
      </c>
      <c r="P1458" s="1">
        <v>497.0</v>
      </c>
      <c r="Q1458" s="1">
        <v>30.0</v>
      </c>
      <c r="S1458" s="1">
        <v>3.0</v>
      </c>
      <c r="T1458" s="1" t="s">
        <v>993</v>
      </c>
      <c r="U1458" s="1" t="s">
        <v>420</v>
      </c>
      <c r="V1458" s="1" t="s">
        <v>2212</v>
      </c>
      <c r="W1458" s="1">
        <v>60554.0</v>
      </c>
      <c r="Y1458" s="1" t="s">
        <v>9360</v>
      </c>
      <c r="Z1458" s="1">
        <v>1995.0</v>
      </c>
      <c r="AA1458" s="1" t="s">
        <v>200</v>
      </c>
      <c r="AB1458" s="1" t="s">
        <v>467</v>
      </c>
      <c r="AC1458" s="1" t="s">
        <v>4417</v>
      </c>
      <c r="AD1458" s="1" t="s">
        <v>1887</v>
      </c>
      <c r="AE1458" s="1" t="s">
        <v>325</v>
      </c>
      <c r="AF1458" s="1" t="s">
        <v>1887</v>
      </c>
      <c r="AG1458" s="1" t="s">
        <v>752</v>
      </c>
      <c r="AH1458" s="1" t="s">
        <v>9361</v>
      </c>
      <c r="AK1458" s="1">
        <v>10.0</v>
      </c>
      <c r="AL1458" s="1">
        <v>4.0</v>
      </c>
      <c r="AM1458" s="1">
        <v>2.0</v>
      </c>
      <c r="AN1458" s="1">
        <v>1.0</v>
      </c>
      <c r="AO1458" s="1" t="s">
        <v>198</v>
      </c>
      <c r="AP1458" s="1">
        <v>1.0</v>
      </c>
      <c r="AQ1458" s="1" t="s">
        <v>198</v>
      </c>
      <c r="AR1458" s="1" t="s">
        <v>200</v>
      </c>
      <c r="AS1458" s="1" t="s">
        <v>199</v>
      </c>
      <c r="AT1458" s="1">
        <v>3.0</v>
      </c>
      <c r="AV1458" s="1" t="s">
        <v>200</v>
      </c>
      <c r="AW1458" s="1">
        <v>7136.0</v>
      </c>
      <c r="AX1458" s="1">
        <v>2012.0</v>
      </c>
      <c r="AZ1458" s="1" t="s">
        <v>200</v>
      </c>
      <c r="BA1458" s="1" t="str">
        <f>"1411301043"</f>
        <v>1411301043</v>
      </c>
      <c r="BC1458" s="1">
        <v>2816.0</v>
      </c>
      <c r="BD1458" s="1">
        <v>302000.0</v>
      </c>
      <c r="BE1458" s="2">
        <v>41843.0</v>
      </c>
      <c r="BF1458" s="2" t="s">
        <v>14989</v>
      </c>
      <c r="BG1458" s="1" t="s">
        <v>4420</v>
      </c>
      <c r="BH1458" s="1">
        <v>145.0</v>
      </c>
      <c r="BI1458" s="1" t="s">
        <v>4421</v>
      </c>
      <c r="BJ1458" s="1" t="s">
        <v>3831</v>
      </c>
      <c r="BK1458" s="1" t="s">
        <v>474</v>
      </c>
      <c r="BL1458" s="1" t="str">
        <f t="shared" ref="BL1458:BM1458" si="960">""</f>
        <v/>
      </c>
      <c r="BM1458" s="1" t="str">
        <f t="shared" si="960"/>
        <v/>
      </c>
      <c r="BQ1458" s="1">
        <v>129.0</v>
      </c>
      <c r="BR1458" s="1">
        <v>129.0</v>
      </c>
      <c r="BS1458" s="1">
        <v>129.0</v>
      </c>
      <c r="BU1458" s="1" t="s">
        <v>1043</v>
      </c>
      <c r="BV1458" s="1" t="s">
        <v>206</v>
      </c>
      <c r="BW1458" s="1" t="s">
        <v>210</v>
      </c>
      <c r="BX1458" s="1" t="s">
        <v>239</v>
      </c>
      <c r="BY1458" s="1" t="s">
        <v>5954</v>
      </c>
      <c r="BZ1458" s="1" t="s">
        <v>209</v>
      </c>
      <c r="CA1458" s="1" t="s">
        <v>210</v>
      </c>
      <c r="CB1458" s="1" t="s">
        <v>239</v>
      </c>
      <c r="CC1458" s="1" t="s">
        <v>1064</v>
      </c>
      <c r="CD1458" s="1" t="s">
        <v>206</v>
      </c>
      <c r="CE1458" s="1" t="s">
        <v>210</v>
      </c>
      <c r="CF1458" s="1" t="s">
        <v>239</v>
      </c>
      <c r="CG1458" s="1" t="s">
        <v>264</v>
      </c>
      <c r="CH1458" s="1" t="s">
        <v>209</v>
      </c>
      <c r="CI1458" s="1" t="s">
        <v>210</v>
      </c>
      <c r="CJ1458" s="1" t="s">
        <v>239</v>
      </c>
      <c r="CK1458" s="1" t="s">
        <v>478</v>
      </c>
      <c r="CL1458" s="1" t="s">
        <v>209</v>
      </c>
      <c r="CM1458" s="1" t="s">
        <v>210</v>
      </c>
      <c r="CN1458" s="1" t="s">
        <v>239</v>
      </c>
      <c r="CO1458" s="1" t="s">
        <v>300</v>
      </c>
      <c r="CP1458" s="1" t="s">
        <v>209</v>
      </c>
      <c r="CQ1458" s="1" t="s">
        <v>210</v>
      </c>
      <c r="CR1458" s="1" t="s">
        <v>239</v>
      </c>
      <c r="CS1458" s="1" t="s">
        <v>1064</v>
      </c>
      <c r="CT1458" s="1" t="s">
        <v>206</v>
      </c>
      <c r="CU1458" s="1" t="s">
        <v>268</v>
      </c>
      <c r="CV1458" s="1" t="s">
        <v>239</v>
      </c>
      <c r="CW1458" s="1" t="s">
        <v>1623</v>
      </c>
      <c r="CX1458" s="1" t="s">
        <v>206</v>
      </c>
      <c r="CY1458" s="1" t="s">
        <v>210</v>
      </c>
      <c r="CZ1458" s="1" t="s">
        <v>239</v>
      </c>
      <c r="DA1458" s="1" t="s">
        <v>200</v>
      </c>
      <c r="DC1458" s="1" t="s">
        <v>678</v>
      </c>
      <c r="DD1458" s="1" t="s">
        <v>518</v>
      </c>
      <c r="DE1458" s="1" t="s">
        <v>273</v>
      </c>
      <c r="DF1458" s="1" t="s">
        <v>219</v>
      </c>
      <c r="DG1458" s="1" t="s">
        <v>4561</v>
      </c>
      <c r="DH1458" s="1" t="s">
        <v>220</v>
      </c>
      <c r="DI1458" s="1" t="s">
        <v>732</v>
      </c>
      <c r="DJ1458" s="1" t="s">
        <v>222</v>
      </c>
      <c r="DL1458" s="1" t="s">
        <v>224</v>
      </c>
      <c r="DM1458" s="1" t="s">
        <v>338</v>
      </c>
      <c r="DN1458" s="1" t="s">
        <v>399</v>
      </c>
      <c r="DO1458" s="1" t="s">
        <v>440</v>
      </c>
      <c r="DP1458" s="1" t="s">
        <v>340</v>
      </c>
      <c r="DQ1458" s="1" t="s">
        <v>441</v>
      </c>
      <c r="DR1458" s="1" t="s">
        <v>3096</v>
      </c>
      <c r="DU1458" s="1" t="s">
        <v>14990</v>
      </c>
      <c r="DV1458" s="1" t="s">
        <v>14991</v>
      </c>
      <c r="DW1458" s="1" t="s">
        <v>279</v>
      </c>
      <c r="DX1458" s="1" t="s">
        <v>234</v>
      </c>
      <c r="DY1458" s="1" t="s">
        <v>2961</v>
      </c>
      <c r="EA1458" s="1" t="s">
        <v>3308</v>
      </c>
      <c r="EB1458" s="1" t="s">
        <v>9365</v>
      </c>
      <c r="EC1458" s="1" t="s">
        <v>237</v>
      </c>
      <c r="ED1458" s="1" t="s">
        <v>407</v>
      </c>
      <c r="EG1458" s="1" t="s">
        <v>1102</v>
      </c>
      <c r="EH1458" s="1" t="s">
        <v>556</v>
      </c>
      <c r="EK1458" s="1" t="s">
        <v>450</v>
      </c>
      <c r="EL1458" s="1" t="s">
        <v>1395</v>
      </c>
      <c r="EM1458" s="1" t="s">
        <v>206</v>
      </c>
      <c r="EN1458" s="1" t="s">
        <v>268</v>
      </c>
      <c r="EO1458" s="1" t="s">
        <v>239</v>
      </c>
      <c r="EP1458" s="1" t="s">
        <v>300</v>
      </c>
      <c r="EQ1458" s="1" t="s">
        <v>206</v>
      </c>
      <c r="ER1458" s="1" t="s">
        <v>268</v>
      </c>
      <c r="EU1458" s="1" t="s">
        <v>238</v>
      </c>
      <c r="EY1458" s="1" t="s">
        <v>238</v>
      </c>
      <c r="FB1458" s="1" t="s">
        <v>9366</v>
      </c>
      <c r="FC1458" s="1" t="s">
        <v>267</v>
      </c>
      <c r="FD1458" s="1" t="s">
        <v>210</v>
      </c>
      <c r="FF1458" s="1" t="s">
        <v>239</v>
      </c>
      <c r="FG1458" s="1" t="s">
        <v>192</v>
      </c>
      <c r="FH1458" s="1" t="s">
        <v>192</v>
      </c>
      <c r="FJ1458" s="1" t="s">
        <v>14992</v>
      </c>
      <c r="FK1458" s="1" t="s">
        <v>229</v>
      </c>
      <c r="FL1458" s="1" t="s">
        <v>1877</v>
      </c>
      <c r="FM1458" s="1">
        <v>24695.0</v>
      </c>
      <c r="FN1458" s="1" t="s">
        <v>1878</v>
      </c>
      <c r="FO1458" s="1" t="s">
        <v>14993</v>
      </c>
      <c r="FP1458" s="1">
        <v>234503.0</v>
      </c>
      <c r="FQ1458" s="1" t="s">
        <v>14994</v>
      </c>
      <c r="FS1458" s="1" t="s">
        <v>14995</v>
      </c>
      <c r="FU1458" s="1" t="s">
        <v>14996</v>
      </c>
      <c r="FV1458" s="1" t="s">
        <v>200</v>
      </c>
      <c r="FW1458" s="1" t="s">
        <v>461</v>
      </c>
      <c r="FZ1458" s="1" t="s">
        <v>229</v>
      </c>
      <c r="GA1458" s="1" t="s">
        <v>291</v>
      </c>
      <c r="GB1458" s="2">
        <v>41981.0</v>
      </c>
    </row>
    <row r="1459">
      <c r="A1459" s="1">
        <v>160000.0</v>
      </c>
      <c r="B1459" s="1" t="s">
        <v>185</v>
      </c>
      <c r="C1459" s="1" t="str">
        <f>"08678930"</f>
        <v>08678930</v>
      </c>
      <c r="D1459" s="1" t="s">
        <v>186</v>
      </c>
      <c r="F1459" s="1" t="str">
        <f>"8049"</f>
        <v>8049</v>
      </c>
      <c r="G1459" s="2">
        <v>41841.0</v>
      </c>
      <c r="H1459" s="1">
        <v>172900.0</v>
      </c>
      <c r="I1459" s="1">
        <v>65.0</v>
      </c>
      <c r="J1459" s="1">
        <v>165000.0</v>
      </c>
      <c r="K1459" s="2">
        <v>41905.0</v>
      </c>
      <c r="L1459" s="1">
        <v>65.0</v>
      </c>
      <c r="M1459" s="2">
        <v>41905.0</v>
      </c>
      <c r="N1459" s="1" t="s">
        <v>356</v>
      </c>
      <c r="O1459" s="2">
        <v>41985.0</v>
      </c>
      <c r="P1459" s="1">
        <v>105726.0</v>
      </c>
      <c r="Q1459" s="1">
        <v>18805.0</v>
      </c>
      <c r="R1459" s="1">
        <v>3.0</v>
      </c>
      <c r="S1459" s="1">
        <v>10826.0</v>
      </c>
      <c r="T1459" s="1" t="s">
        <v>7525</v>
      </c>
      <c r="U1459" s="1" t="s">
        <v>189</v>
      </c>
      <c r="V1459" s="1" t="s">
        <v>190</v>
      </c>
      <c r="W1459" s="1">
        <v>60628.0</v>
      </c>
      <c r="Y1459" s="1" t="s">
        <v>14997</v>
      </c>
      <c r="Z1459" s="1">
        <v>1918.0</v>
      </c>
      <c r="AA1459" s="1" t="s">
        <v>192</v>
      </c>
      <c r="AB1459" s="1" t="s">
        <v>193</v>
      </c>
      <c r="AD1459" s="1" t="s">
        <v>194</v>
      </c>
      <c r="AE1459" s="1" t="s">
        <v>195</v>
      </c>
      <c r="AF1459" s="1" t="s">
        <v>637</v>
      </c>
      <c r="AH1459" s="1">
        <v>4125.0</v>
      </c>
      <c r="AI1459" s="1">
        <v>0.0947</v>
      </c>
      <c r="AK1459" s="1">
        <v>7.0</v>
      </c>
      <c r="AL1459" s="1">
        <v>3.0</v>
      </c>
      <c r="AM1459" s="1">
        <v>3.0</v>
      </c>
      <c r="AN1459" s="1">
        <v>0.0</v>
      </c>
      <c r="AO1459" s="1" t="s">
        <v>198</v>
      </c>
      <c r="AQ1459" s="1" t="s">
        <v>198</v>
      </c>
      <c r="AR1459" s="1" t="s">
        <v>192</v>
      </c>
      <c r="AS1459" s="1" t="s">
        <v>199</v>
      </c>
      <c r="AT1459" s="1">
        <v>2.0</v>
      </c>
      <c r="AV1459" s="1" t="s">
        <v>200</v>
      </c>
      <c r="AW1459" s="1">
        <v>1864.09</v>
      </c>
      <c r="AX1459" s="1">
        <v>2013.0</v>
      </c>
      <c r="AZ1459" s="1" t="s">
        <v>200</v>
      </c>
      <c r="BA1459" s="1" t="str">
        <f>"25153130220000"</f>
        <v>25153130220000</v>
      </c>
      <c r="BC1459" s="1">
        <v>1700.0</v>
      </c>
      <c r="BD1459" s="1">
        <v>160000.0</v>
      </c>
      <c r="BE1459" s="2">
        <v>41841.0</v>
      </c>
      <c r="BF1459" s="2" t="s">
        <v>14998</v>
      </c>
      <c r="BH1459" s="1">
        <v>0.0</v>
      </c>
      <c r="BK1459" s="1" t="s">
        <v>204</v>
      </c>
      <c r="BL1459" s="1" t="str">
        <f t="shared" ref="BL1459:BL1461" si="961">"0"</f>
        <v>0</v>
      </c>
      <c r="BM1459" s="1" t="str">
        <f>"300"</f>
        <v>300</v>
      </c>
      <c r="BN1459" s="1">
        <v>0.0</v>
      </c>
      <c r="BO1459" s="1">
        <v>10830.0</v>
      </c>
      <c r="BQ1459" s="1">
        <v>299.0</v>
      </c>
      <c r="BR1459" s="1">
        <v>299.0</v>
      </c>
      <c r="BS1459" s="1">
        <v>299.0</v>
      </c>
      <c r="BU1459" s="1" t="s">
        <v>1809</v>
      </c>
      <c r="BV1459" s="1" t="s">
        <v>206</v>
      </c>
      <c r="BW1459" s="1" t="s">
        <v>207</v>
      </c>
      <c r="BY1459" s="1" t="s">
        <v>211</v>
      </c>
      <c r="BZ1459" s="1" t="s">
        <v>209</v>
      </c>
      <c r="CA1459" s="1" t="s">
        <v>207</v>
      </c>
      <c r="CD1459" s="1" t="s">
        <v>204</v>
      </c>
      <c r="CG1459" s="1" t="s">
        <v>215</v>
      </c>
      <c r="CH1459" s="1" t="s">
        <v>209</v>
      </c>
      <c r="CI1459" s="1" t="s">
        <v>207</v>
      </c>
      <c r="CK1459" s="1" t="s">
        <v>215</v>
      </c>
      <c r="CL1459" s="1" t="s">
        <v>206</v>
      </c>
      <c r="CM1459" s="1" t="s">
        <v>207</v>
      </c>
      <c r="CO1459" s="1" t="s">
        <v>269</v>
      </c>
      <c r="CP1459" s="1" t="s">
        <v>42</v>
      </c>
      <c r="CS1459" s="1" t="s">
        <v>1427</v>
      </c>
      <c r="CT1459" s="1" t="s">
        <v>206</v>
      </c>
      <c r="CU1459" s="1" t="s">
        <v>268</v>
      </c>
      <c r="CW1459" s="1" t="s">
        <v>2749</v>
      </c>
      <c r="CX1459" s="1" t="s">
        <v>42</v>
      </c>
      <c r="DA1459" s="1" t="s">
        <v>200</v>
      </c>
      <c r="DC1459" s="1" t="s">
        <v>216</v>
      </c>
      <c r="DE1459" s="1" t="s">
        <v>273</v>
      </c>
      <c r="DF1459" s="1" t="s">
        <v>219</v>
      </c>
      <c r="DH1459" s="1" t="s">
        <v>365</v>
      </c>
      <c r="DI1459" s="1" t="s">
        <v>366</v>
      </c>
      <c r="DJ1459" s="1" t="s">
        <v>222</v>
      </c>
      <c r="DL1459" s="1" t="s">
        <v>224</v>
      </c>
      <c r="DM1459" s="1" t="s">
        <v>229</v>
      </c>
      <c r="DQ1459" s="1" t="s">
        <v>228</v>
      </c>
      <c r="DR1459" s="1" t="s">
        <v>229</v>
      </c>
      <c r="DS1459" s="1" t="s">
        <v>230</v>
      </c>
      <c r="DV1459" s="1" t="s">
        <v>232</v>
      </c>
      <c r="DW1459" s="1" t="s">
        <v>279</v>
      </c>
      <c r="DX1459" s="1" t="s">
        <v>234</v>
      </c>
      <c r="DY1459" s="1" t="s">
        <v>553</v>
      </c>
      <c r="EA1459" s="1" t="s">
        <v>1075</v>
      </c>
      <c r="EC1459" s="1" t="s">
        <v>645</v>
      </c>
      <c r="EM1459" s="1" t="s">
        <v>238</v>
      </c>
      <c r="EQ1459" s="1" t="s">
        <v>238</v>
      </c>
      <c r="EU1459" s="1" t="s">
        <v>238</v>
      </c>
      <c r="EY1459" s="1" t="s">
        <v>238</v>
      </c>
      <c r="FC1459" s="1" t="s">
        <v>238</v>
      </c>
      <c r="FF1459" s="1" t="s">
        <v>239</v>
      </c>
      <c r="FG1459" s="1" t="s">
        <v>192</v>
      </c>
      <c r="FH1459" s="1" t="s">
        <v>192</v>
      </c>
      <c r="FJ1459" s="1" t="s">
        <v>1280</v>
      </c>
      <c r="FK1459" s="1" t="s">
        <v>229</v>
      </c>
      <c r="FL1459" s="1" t="s">
        <v>649</v>
      </c>
      <c r="FM1459" s="1">
        <v>60296.0</v>
      </c>
      <c r="FN1459" s="1" t="s">
        <v>650</v>
      </c>
      <c r="FO1459" s="1" t="s">
        <v>651</v>
      </c>
      <c r="FP1459" s="1">
        <v>602837.0</v>
      </c>
      <c r="FQ1459" s="1" t="s">
        <v>652</v>
      </c>
      <c r="FR1459" s="1">
        <v>602442.0</v>
      </c>
      <c r="FU1459" s="1" t="s">
        <v>11342</v>
      </c>
      <c r="FV1459" s="1" t="s">
        <v>200</v>
      </c>
      <c r="FW1459" s="1" t="s">
        <v>654</v>
      </c>
      <c r="FX1459" s="1" t="s">
        <v>655</v>
      </c>
      <c r="FZ1459" s="1" t="s">
        <v>229</v>
      </c>
      <c r="GA1459" s="1" t="s">
        <v>291</v>
      </c>
      <c r="GB1459" s="2">
        <v>41989.0</v>
      </c>
      <c r="GC1459" s="1" t="s">
        <v>723</v>
      </c>
    </row>
    <row r="1460">
      <c r="A1460" s="1">
        <v>53100.0</v>
      </c>
      <c r="B1460" s="1" t="s">
        <v>185</v>
      </c>
      <c r="C1460" s="1" t="str">
        <f>"08676021"</f>
        <v>08676021</v>
      </c>
      <c r="D1460" s="1" t="s">
        <v>186</v>
      </c>
      <c r="F1460" s="1" t="str">
        <f>"8070"</f>
        <v>8070</v>
      </c>
      <c r="G1460" s="2">
        <v>41837.0</v>
      </c>
      <c r="H1460" s="1">
        <v>74800.0</v>
      </c>
      <c r="I1460" s="1">
        <v>127.0</v>
      </c>
      <c r="J1460" s="1">
        <v>59900.0</v>
      </c>
      <c r="K1460" s="2">
        <v>41962.0</v>
      </c>
      <c r="L1460" s="1">
        <v>127.0</v>
      </c>
      <c r="M1460" s="2">
        <v>41962.0</v>
      </c>
      <c r="N1460" s="1" t="s">
        <v>249</v>
      </c>
      <c r="O1460" s="2">
        <v>42003.0</v>
      </c>
      <c r="P1460" s="1">
        <v>131320.0</v>
      </c>
      <c r="Q1460" s="1">
        <v>12555.0</v>
      </c>
      <c r="S1460" s="1">
        <v>7823.0</v>
      </c>
      <c r="T1460" s="1" t="s">
        <v>8454</v>
      </c>
      <c r="U1460" s="1" t="s">
        <v>189</v>
      </c>
      <c r="V1460" s="1" t="s">
        <v>190</v>
      </c>
      <c r="W1460" s="1">
        <v>60652.0</v>
      </c>
      <c r="Y1460" s="1" t="s">
        <v>14999</v>
      </c>
      <c r="Z1460" s="1">
        <v>1951.0</v>
      </c>
      <c r="AA1460" s="1" t="s">
        <v>192</v>
      </c>
      <c r="AB1460" s="1" t="s">
        <v>193</v>
      </c>
      <c r="AD1460" s="1" t="s">
        <v>194</v>
      </c>
      <c r="AE1460" s="1" t="s">
        <v>195</v>
      </c>
      <c r="AF1460" s="1" t="s">
        <v>659</v>
      </c>
      <c r="AH1460" s="1" t="s">
        <v>15000</v>
      </c>
      <c r="AI1460" s="1">
        <v>0.0861</v>
      </c>
      <c r="AK1460" s="1">
        <v>7.0</v>
      </c>
      <c r="AL1460" s="1">
        <v>2.0</v>
      </c>
      <c r="AM1460" s="1">
        <v>1.0</v>
      </c>
      <c r="AN1460" s="1">
        <v>0.0</v>
      </c>
      <c r="AO1460" s="1" t="s">
        <v>229</v>
      </c>
      <c r="AQ1460" s="1" t="s">
        <v>198</v>
      </c>
      <c r="AR1460" s="1" t="s">
        <v>200</v>
      </c>
      <c r="AS1460" s="1" t="s">
        <v>229</v>
      </c>
      <c r="AV1460" s="1" t="s">
        <v>200</v>
      </c>
      <c r="AW1460" s="1">
        <v>2112.62</v>
      </c>
      <c r="AX1460" s="1">
        <v>2012.0</v>
      </c>
      <c r="AZ1460" s="1" t="s">
        <v>200</v>
      </c>
      <c r="BA1460" s="1" t="str">
        <f>"19264200080000"</f>
        <v>19264200080000</v>
      </c>
      <c r="BB1460" s="1" t="s">
        <v>200</v>
      </c>
      <c r="BC1460" s="1">
        <v>840.0</v>
      </c>
      <c r="BD1460" s="1">
        <v>53100.0</v>
      </c>
      <c r="BE1460" s="2">
        <v>41836.0</v>
      </c>
      <c r="BF1460" s="2" t="s">
        <v>15001</v>
      </c>
      <c r="BH1460" s="1">
        <v>0.0</v>
      </c>
      <c r="BK1460" s="1" t="s">
        <v>204</v>
      </c>
      <c r="BL1460" s="1" t="str">
        <f t="shared" si="961"/>
        <v>0</v>
      </c>
      <c r="BM1460" s="1" t="str">
        <f t="shared" ref="BM1460:BM1462" si="962">"0"</f>
        <v>0</v>
      </c>
      <c r="BN1460" s="1">
        <v>3400.0</v>
      </c>
      <c r="BO1460" s="1">
        <v>7823.0</v>
      </c>
      <c r="BQ1460" s="1">
        <v>299.0</v>
      </c>
      <c r="BR1460" s="1">
        <v>299.0</v>
      </c>
      <c r="BS1460" s="1">
        <v>299.0</v>
      </c>
      <c r="BU1460" s="1" t="s">
        <v>1426</v>
      </c>
      <c r="BV1460" s="1" t="s">
        <v>206</v>
      </c>
      <c r="BX1460" s="1" t="s">
        <v>229</v>
      </c>
      <c r="BY1460" s="1" t="s">
        <v>212</v>
      </c>
      <c r="BZ1460" s="1" t="s">
        <v>206</v>
      </c>
      <c r="CB1460" s="1" t="s">
        <v>229</v>
      </c>
      <c r="CD1460" s="1" t="s">
        <v>204</v>
      </c>
      <c r="CG1460" s="1" t="s">
        <v>495</v>
      </c>
      <c r="CH1460" s="1" t="s">
        <v>206</v>
      </c>
      <c r="CJ1460" s="1" t="s">
        <v>229</v>
      </c>
      <c r="CK1460" s="1" t="s">
        <v>478</v>
      </c>
      <c r="CL1460" s="1" t="s">
        <v>42</v>
      </c>
      <c r="CN1460" s="1" t="s">
        <v>229</v>
      </c>
      <c r="CO1460" s="1" t="s">
        <v>212</v>
      </c>
      <c r="CP1460" s="1" t="s">
        <v>42</v>
      </c>
      <c r="CR1460" s="1" t="s">
        <v>229</v>
      </c>
      <c r="CS1460" s="1" t="s">
        <v>433</v>
      </c>
      <c r="CT1460" s="1" t="s">
        <v>206</v>
      </c>
      <c r="CV1460" s="1" t="s">
        <v>229</v>
      </c>
      <c r="CW1460" s="1" t="s">
        <v>269</v>
      </c>
      <c r="CX1460" s="1" t="s">
        <v>206</v>
      </c>
      <c r="CZ1460" s="1" t="s">
        <v>229</v>
      </c>
      <c r="DA1460" s="1" t="s">
        <v>200</v>
      </c>
      <c r="DC1460" s="1" t="s">
        <v>702</v>
      </c>
      <c r="DE1460" s="1" t="s">
        <v>273</v>
      </c>
      <c r="DF1460" s="1" t="s">
        <v>219</v>
      </c>
      <c r="DH1460" s="1" t="s">
        <v>307</v>
      </c>
      <c r="DJ1460" s="1" t="s">
        <v>222</v>
      </c>
      <c r="DL1460" s="1" t="s">
        <v>858</v>
      </c>
      <c r="DM1460" s="1" t="s">
        <v>229</v>
      </c>
      <c r="DQ1460" s="1" t="s">
        <v>228</v>
      </c>
      <c r="DR1460" s="1" t="s">
        <v>229</v>
      </c>
      <c r="DV1460" s="1" t="s">
        <v>232</v>
      </c>
      <c r="DW1460" s="1" t="s">
        <v>279</v>
      </c>
      <c r="DX1460" s="1" t="s">
        <v>15002</v>
      </c>
      <c r="EA1460" s="1" t="s">
        <v>683</v>
      </c>
      <c r="EC1460" s="1" t="s">
        <v>685</v>
      </c>
      <c r="EM1460" s="1" t="s">
        <v>238</v>
      </c>
      <c r="EQ1460" s="1" t="s">
        <v>238</v>
      </c>
      <c r="EU1460" s="1" t="s">
        <v>238</v>
      </c>
      <c r="EY1460" s="1" t="s">
        <v>238</v>
      </c>
      <c r="FC1460" s="1" t="s">
        <v>238</v>
      </c>
      <c r="FF1460" s="1" t="s">
        <v>239</v>
      </c>
      <c r="FG1460" s="1" t="s">
        <v>192</v>
      </c>
      <c r="FH1460" s="1" t="s">
        <v>192</v>
      </c>
      <c r="FJ1460" s="1" t="s">
        <v>7454</v>
      </c>
      <c r="FK1460" s="1" t="s">
        <v>229</v>
      </c>
      <c r="FL1460" s="1" t="s">
        <v>5257</v>
      </c>
      <c r="FM1460" s="1">
        <v>21196.0</v>
      </c>
      <c r="FN1460" s="1" t="s">
        <v>5258</v>
      </c>
      <c r="FO1460" s="1" t="s">
        <v>5259</v>
      </c>
      <c r="FP1460" s="1">
        <v>231153.0</v>
      </c>
      <c r="FQ1460" s="1" t="s">
        <v>5258</v>
      </c>
      <c r="FU1460" s="1" t="s">
        <v>15003</v>
      </c>
      <c r="FV1460" s="1" t="s">
        <v>200</v>
      </c>
      <c r="FW1460" s="1" t="s">
        <v>530</v>
      </c>
      <c r="FX1460" s="1" t="s">
        <v>655</v>
      </c>
      <c r="FZ1460" s="1" t="s">
        <v>229</v>
      </c>
      <c r="GA1460" s="1" t="s">
        <v>291</v>
      </c>
      <c r="GB1460" s="2">
        <v>42003.0</v>
      </c>
      <c r="GC1460" s="1" t="s">
        <v>15004</v>
      </c>
    </row>
    <row r="1461">
      <c r="A1461" s="1">
        <v>160000.0</v>
      </c>
      <c r="B1461" s="1" t="s">
        <v>185</v>
      </c>
      <c r="C1461" s="1" t="str">
        <f>"08677993"</f>
        <v>08677993</v>
      </c>
      <c r="D1461" s="1" t="s">
        <v>186</v>
      </c>
      <c r="F1461" s="1" t="str">
        <f>"8074"</f>
        <v>8074</v>
      </c>
      <c r="G1461" s="2">
        <v>41839.0</v>
      </c>
      <c r="H1461" s="1">
        <v>169900.0</v>
      </c>
      <c r="I1461" s="1">
        <v>207.0</v>
      </c>
      <c r="J1461" s="1">
        <v>164900.0</v>
      </c>
      <c r="K1461" s="2">
        <v>42045.0</v>
      </c>
      <c r="L1461" s="1">
        <v>207.0</v>
      </c>
      <c r="M1461" s="2">
        <v>42045.0</v>
      </c>
      <c r="N1461" s="1" t="s">
        <v>1512</v>
      </c>
      <c r="O1461" s="2">
        <v>42094.0</v>
      </c>
      <c r="P1461" s="1">
        <v>602976.0</v>
      </c>
      <c r="Q1461" s="1">
        <v>25826.0</v>
      </c>
      <c r="R1461" s="1">
        <v>6000.0</v>
      </c>
      <c r="S1461" s="1">
        <v>3512.0</v>
      </c>
      <c r="T1461" s="1" t="s">
        <v>15005</v>
      </c>
      <c r="U1461" s="1" t="s">
        <v>694</v>
      </c>
      <c r="V1461" s="1" t="s">
        <v>190</v>
      </c>
      <c r="W1461" s="1">
        <v>60655.0</v>
      </c>
      <c r="Y1461" s="1" t="s">
        <v>15006</v>
      </c>
      <c r="Z1461" s="1">
        <v>1942.0</v>
      </c>
      <c r="AA1461" s="1" t="s">
        <v>192</v>
      </c>
      <c r="AB1461" s="1" t="s">
        <v>193</v>
      </c>
      <c r="AD1461" s="1" t="s">
        <v>194</v>
      </c>
      <c r="AE1461" s="1" t="s">
        <v>195</v>
      </c>
      <c r="AF1461" s="1" t="s">
        <v>659</v>
      </c>
      <c r="AH1461" s="1" t="s">
        <v>3342</v>
      </c>
      <c r="AI1461" s="1">
        <v>0.1148</v>
      </c>
      <c r="AK1461" s="1">
        <v>8.0</v>
      </c>
      <c r="AL1461" s="1">
        <v>3.0</v>
      </c>
      <c r="AM1461" s="1">
        <v>1.0</v>
      </c>
      <c r="AN1461" s="1">
        <v>1.0</v>
      </c>
      <c r="AO1461" s="1" t="s">
        <v>229</v>
      </c>
      <c r="AQ1461" s="1" t="s">
        <v>198</v>
      </c>
      <c r="AR1461" s="1" t="s">
        <v>200</v>
      </c>
      <c r="AS1461" s="1" t="s">
        <v>199</v>
      </c>
      <c r="AT1461" s="1">
        <v>2.0</v>
      </c>
      <c r="AV1461" s="1" t="s">
        <v>200</v>
      </c>
      <c r="AW1461" s="1">
        <v>3659.3</v>
      </c>
      <c r="AX1461" s="1">
        <v>2013.0</v>
      </c>
      <c r="AY1461" s="1" t="s">
        <v>229</v>
      </c>
      <c r="AZ1461" s="1" t="s">
        <v>200</v>
      </c>
      <c r="BA1461" s="1" t="str">
        <f>"24234000280000"</f>
        <v>24234000280000</v>
      </c>
      <c r="BB1461" s="1" t="s">
        <v>200</v>
      </c>
      <c r="BC1461" s="1">
        <v>1326.0</v>
      </c>
      <c r="BD1461" s="1">
        <v>160000.0</v>
      </c>
      <c r="BE1461" s="2">
        <v>41839.0</v>
      </c>
      <c r="BF1461" s="1" t="s">
        <v>15007</v>
      </c>
      <c r="BH1461" s="1">
        <v>0.0</v>
      </c>
      <c r="BK1461" s="1" t="s">
        <v>204</v>
      </c>
      <c r="BL1461" s="1" t="str">
        <f t="shared" si="961"/>
        <v>0</v>
      </c>
      <c r="BM1461" s="1" t="str">
        <f t="shared" si="962"/>
        <v>0</v>
      </c>
      <c r="BN1461" s="1">
        <v>3512.0</v>
      </c>
      <c r="BO1461" s="1">
        <v>11500.0</v>
      </c>
      <c r="BQ1461" s="1">
        <v>299.0</v>
      </c>
      <c r="BR1461" s="1">
        <v>299.0</v>
      </c>
      <c r="BS1461" s="1">
        <v>299.0</v>
      </c>
      <c r="BU1461" s="1" t="s">
        <v>1395</v>
      </c>
      <c r="BV1461" s="1" t="s">
        <v>206</v>
      </c>
      <c r="BW1461" s="1" t="s">
        <v>207</v>
      </c>
      <c r="BX1461" s="1" t="s">
        <v>431</v>
      </c>
      <c r="BY1461" s="1" t="s">
        <v>1417</v>
      </c>
      <c r="BZ1461" s="1" t="s">
        <v>209</v>
      </c>
      <c r="CA1461" s="1" t="s">
        <v>210</v>
      </c>
      <c r="CB1461" s="1" t="s">
        <v>431</v>
      </c>
      <c r="CC1461" s="1" t="s">
        <v>1351</v>
      </c>
      <c r="CD1461" s="1" t="s">
        <v>206</v>
      </c>
      <c r="CE1461" s="1" t="s">
        <v>210</v>
      </c>
      <c r="CF1461" s="1" t="s">
        <v>431</v>
      </c>
      <c r="CG1461" s="1" t="s">
        <v>1672</v>
      </c>
      <c r="CH1461" s="1" t="s">
        <v>206</v>
      </c>
      <c r="CI1461" s="1" t="s">
        <v>210</v>
      </c>
      <c r="CJ1461" s="1" t="s">
        <v>431</v>
      </c>
      <c r="CK1461" s="1" t="s">
        <v>4470</v>
      </c>
      <c r="CL1461" s="1" t="s">
        <v>209</v>
      </c>
      <c r="CM1461" s="1" t="s">
        <v>210</v>
      </c>
      <c r="CN1461" s="1" t="s">
        <v>431</v>
      </c>
      <c r="CO1461" s="1" t="s">
        <v>3594</v>
      </c>
      <c r="CP1461" s="1" t="s">
        <v>42</v>
      </c>
      <c r="CQ1461" s="1" t="s">
        <v>588</v>
      </c>
      <c r="CR1461" s="1" t="s">
        <v>229</v>
      </c>
      <c r="CS1461" s="1" t="s">
        <v>815</v>
      </c>
      <c r="CT1461" s="1" t="s">
        <v>206</v>
      </c>
      <c r="CU1461" s="1" t="s">
        <v>268</v>
      </c>
      <c r="CV1461" s="1" t="s">
        <v>431</v>
      </c>
      <c r="CW1461" s="1" t="s">
        <v>1938</v>
      </c>
      <c r="CX1461" s="1" t="s">
        <v>42</v>
      </c>
      <c r="CY1461" s="1" t="s">
        <v>617</v>
      </c>
      <c r="CZ1461" s="1" t="s">
        <v>229</v>
      </c>
      <c r="DA1461" s="1" t="s">
        <v>200</v>
      </c>
      <c r="DC1461" s="1" t="s">
        <v>1399</v>
      </c>
      <c r="DD1461" s="1" t="s">
        <v>306</v>
      </c>
      <c r="DE1461" s="1" t="s">
        <v>273</v>
      </c>
      <c r="DF1461" s="1" t="s">
        <v>905</v>
      </c>
      <c r="DG1461" s="1" t="s">
        <v>15008</v>
      </c>
      <c r="DH1461" s="1" t="s">
        <v>365</v>
      </c>
      <c r="DI1461" s="1" t="s">
        <v>1401</v>
      </c>
      <c r="DJ1461" s="1" t="s">
        <v>222</v>
      </c>
      <c r="DL1461" s="1" t="s">
        <v>858</v>
      </c>
      <c r="DM1461" s="1" t="s">
        <v>229</v>
      </c>
      <c r="DP1461" s="1" t="s">
        <v>276</v>
      </c>
      <c r="DQ1461" s="1" t="s">
        <v>228</v>
      </c>
      <c r="DR1461" s="1" t="s">
        <v>229</v>
      </c>
      <c r="DU1461" s="1" t="s">
        <v>15009</v>
      </c>
      <c r="DV1461" s="1" t="s">
        <v>232</v>
      </c>
      <c r="DW1461" s="1" t="s">
        <v>279</v>
      </c>
      <c r="DX1461" s="1" t="s">
        <v>309</v>
      </c>
      <c r="DY1461" s="1" t="s">
        <v>553</v>
      </c>
      <c r="DZ1461" s="1" t="s">
        <v>15010</v>
      </c>
      <c r="EC1461" s="1" t="s">
        <v>645</v>
      </c>
      <c r="ED1461" s="1" t="s">
        <v>555</v>
      </c>
      <c r="EE1461" s="1" t="s">
        <v>493</v>
      </c>
      <c r="EM1461" s="1" t="s">
        <v>238</v>
      </c>
      <c r="EQ1461" s="1" t="s">
        <v>238</v>
      </c>
      <c r="EU1461" s="1" t="s">
        <v>238</v>
      </c>
      <c r="EY1461" s="1" t="s">
        <v>238</v>
      </c>
      <c r="FC1461" s="1" t="s">
        <v>238</v>
      </c>
      <c r="FF1461" s="1" t="s">
        <v>239</v>
      </c>
      <c r="FG1461" s="1" t="s">
        <v>192</v>
      </c>
      <c r="FH1461" s="1" t="s">
        <v>192</v>
      </c>
      <c r="FJ1461" s="1" t="s">
        <v>15011</v>
      </c>
      <c r="FK1461" s="1" t="s">
        <v>229</v>
      </c>
      <c r="FL1461" s="1" t="s">
        <v>15012</v>
      </c>
      <c r="FM1461" s="1">
        <v>25688.0</v>
      </c>
      <c r="FN1461" s="1" t="s">
        <v>15013</v>
      </c>
      <c r="FO1461" s="1" t="s">
        <v>15014</v>
      </c>
      <c r="FP1461" s="1">
        <v>220360.0</v>
      </c>
      <c r="FQ1461" s="1" t="s">
        <v>15015</v>
      </c>
      <c r="FU1461" s="1" t="s">
        <v>15016</v>
      </c>
      <c r="FV1461" s="1" t="s">
        <v>200</v>
      </c>
      <c r="FW1461" s="1" t="s">
        <v>530</v>
      </c>
      <c r="FX1461" s="1" t="s">
        <v>246</v>
      </c>
      <c r="FZ1461" s="1" t="s">
        <v>229</v>
      </c>
      <c r="GA1461" s="1" t="s">
        <v>291</v>
      </c>
      <c r="GB1461" s="2">
        <v>42095.0</v>
      </c>
      <c r="GC1461" s="1" t="s">
        <v>15017</v>
      </c>
    </row>
    <row r="1462">
      <c r="A1462" s="1">
        <v>235000.0</v>
      </c>
      <c r="B1462" s="1" t="s">
        <v>185</v>
      </c>
      <c r="C1462" s="1" t="str">
        <f>"08680715"</f>
        <v>08680715</v>
      </c>
      <c r="D1462" s="1" t="s">
        <v>186</v>
      </c>
      <c r="F1462" s="1" t="str">
        <f>"103"</f>
        <v>103</v>
      </c>
      <c r="G1462" s="2">
        <v>41843.0</v>
      </c>
      <c r="H1462" s="1">
        <v>235000.0</v>
      </c>
      <c r="I1462" s="1">
        <v>275.0</v>
      </c>
      <c r="J1462" s="1">
        <v>235000.0</v>
      </c>
      <c r="K1462" s="2">
        <v>41848.0</v>
      </c>
      <c r="L1462" s="1">
        <v>6.0</v>
      </c>
      <c r="M1462" s="2">
        <v>41848.0</v>
      </c>
      <c r="N1462" s="1" t="s">
        <v>187</v>
      </c>
      <c r="O1462" s="2">
        <v>41996.0</v>
      </c>
      <c r="P1462" s="1">
        <v>259490.0</v>
      </c>
      <c r="Q1462" s="1">
        <v>25042.0</v>
      </c>
      <c r="S1462" s="1">
        <v>1972.0</v>
      </c>
      <c r="T1462" s="1" t="s">
        <v>15018</v>
      </c>
      <c r="U1462" s="1" t="s">
        <v>569</v>
      </c>
      <c r="V1462" s="1" t="s">
        <v>251</v>
      </c>
      <c r="W1462" s="1">
        <v>60133.0</v>
      </c>
      <c r="Y1462" s="1" t="s">
        <v>15019</v>
      </c>
      <c r="Z1462" s="1">
        <v>1991.0</v>
      </c>
      <c r="AA1462" s="1" t="s">
        <v>200</v>
      </c>
      <c r="AB1462" s="1" t="s">
        <v>193</v>
      </c>
      <c r="AC1462" s="1" t="s">
        <v>15020</v>
      </c>
      <c r="AD1462" s="1" t="s">
        <v>254</v>
      </c>
      <c r="AE1462" s="1" t="s">
        <v>1258</v>
      </c>
      <c r="AF1462" s="1" t="s">
        <v>3935</v>
      </c>
      <c r="AG1462" s="1" t="s">
        <v>15021</v>
      </c>
      <c r="AH1462" s="1" t="s">
        <v>7347</v>
      </c>
      <c r="AI1462" s="1">
        <v>0.17</v>
      </c>
      <c r="AK1462" s="1">
        <v>9.0</v>
      </c>
      <c r="AL1462" s="1">
        <v>4.0</v>
      </c>
      <c r="AM1462" s="1">
        <v>2.0</v>
      </c>
      <c r="AN1462" s="1">
        <v>1.0</v>
      </c>
      <c r="AO1462" s="1" t="s">
        <v>198</v>
      </c>
      <c r="AP1462" s="1">
        <v>0.0</v>
      </c>
      <c r="AQ1462" s="1" t="s">
        <v>198</v>
      </c>
      <c r="AR1462" s="1" t="s">
        <v>200</v>
      </c>
      <c r="AS1462" s="1" t="s">
        <v>199</v>
      </c>
      <c r="AT1462" s="1">
        <v>2.0</v>
      </c>
      <c r="AV1462" s="1" t="s">
        <v>200</v>
      </c>
      <c r="AW1462" s="1">
        <v>9628.0</v>
      </c>
      <c r="AX1462" s="1">
        <v>2013.0</v>
      </c>
      <c r="AY1462" s="1" t="s">
        <v>387</v>
      </c>
      <c r="AZ1462" s="1" t="s">
        <v>200</v>
      </c>
      <c r="BA1462" s="1" t="str">
        <f>"0113413002"</f>
        <v>0113413002</v>
      </c>
      <c r="BB1462" s="1" t="s">
        <v>200</v>
      </c>
      <c r="BC1462" s="1">
        <v>2256.0</v>
      </c>
      <c r="BD1462" s="1">
        <v>235000.0</v>
      </c>
      <c r="BE1462" s="2">
        <v>41843.0</v>
      </c>
      <c r="BF1462" s="2" t="s">
        <v>15022</v>
      </c>
      <c r="BG1462" s="1" t="s">
        <v>15023</v>
      </c>
      <c r="BH1462" s="1">
        <v>0.0</v>
      </c>
      <c r="BI1462" s="1" t="s">
        <v>15024</v>
      </c>
      <c r="BJ1462" s="1" t="s">
        <v>15025</v>
      </c>
      <c r="BK1462" s="1" t="s">
        <v>204</v>
      </c>
      <c r="BL1462" s="1" t="str">
        <f>"5"</f>
        <v>5</v>
      </c>
      <c r="BM1462" s="1" t="str">
        <f t="shared" si="962"/>
        <v>0</v>
      </c>
      <c r="BN1462" s="1">
        <v>27.0</v>
      </c>
      <c r="BO1462" s="1">
        <v>0.0</v>
      </c>
      <c r="BQ1462" s="1">
        <v>93.0</v>
      </c>
      <c r="BR1462" s="1">
        <v>87.0</v>
      </c>
      <c r="BS1462" s="1">
        <v>93.0</v>
      </c>
      <c r="BU1462" s="1" t="s">
        <v>390</v>
      </c>
      <c r="BV1462" s="1" t="s">
        <v>206</v>
      </c>
      <c r="BW1462" s="1" t="s">
        <v>210</v>
      </c>
      <c r="BY1462" s="1" t="s">
        <v>454</v>
      </c>
      <c r="BZ1462" s="1" t="s">
        <v>209</v>
      </c>
      <c r="CA1462" s="1" t="s">
        <v>210</v>
      </c>
      <c r="CC1462" s="1" t="s">
        <v>264</v>
      </c>
      <c r="CD1462" s="1" t="s">
        <v>206</v>
      </c>
      <c r="CE1462" s="1" t="s">
        <v>210</v>
      </c>
      <c r="CG1462" s="1" t="s">
        <v>699</v>
      </c>
      <c r="CH1462" s="1" t="s">
        <v>209</v>
      </c>
      <c r="CI1462" s="1" t="s">
        <v>210</v>
      </c>
      <c r="CK1462" s="1" t="s">
        <v>264</v>
      </c>
      <c r="CL1462" s="1" t="s">
        <v>209</v>
      </c>
      <c r="CM1462" s="1" t="s">
        <v>210</v>
      </c>
      <c r="CO1462" s="1" t="s">
        <v>433</v>
      </c>
      <c r="CP1462" s="1" t="s">
        <v>209</v>
      </c>
      <c r="CQ1462" s="1" t="s">
        <v>210</v>
      </c>
      <c r="CS1462" s="1" t="s">
        <v>390</v>
      </c>
      <c r="CT1462" s="1" t="s">
        <v>206</v>
      </c>
      <c r="CU1462" s="1" t="s">
        <v>268</v>
      </c>
      <c r="CW1462" s="1" t="s">
        <v>664</v>
      </c>
      <c r="CX1462" s="1" t="s">
        <v>206</v>
      </c>
      <c r="CY1462" s="1" t="s">
        <v>210</v>
      </c>
      <c r="DA1462" s="1" t="s">
        <v>200</v>
      </c>
      <c r="DC1462" s="1" t="s">
        <v>435</v>
      </c>
      <c r="DD1462" s="1" t="s">
        <v>518</v>
      </c>
      <c r="DE1462" s="1" t="s">
        <v>273</v>
      </c>
      <c r="DF1462" s="1" t="s">
        <v>219</v>
      </c>
      <c r="DH1462" s="1" t="s">
        <v>365</v>
      </c>
      <c r="DI1462" s="1" t="s">
        <v>308</v>
      </c>
      <c r="DJ1462" s="1" t="s">
        <v>222</v>
      </c>
      <c r="DL1462" s="1" t="s">
        <v>858</v>
      </c>
      <c r="DM1462" s="1" t="s">
        <v>229</v>
      </c>
      <c r="DN1462" s="1" t="s">
        <v>1486</v>
      </c>
      <c r="DO1462" s="1" t="s">
        <v>549</v>
      </c>
      <c r="DP1462" s="1" t="s">
        <v>276</v>
      </c>
      <c r="DQ1462" s="1" t="s">
        <v>228</v>
      </c>
      <c r="DR1462" s="1" t="s">
        <v>229</v>
      </c>
      <c r="DV1462" s="1" t="s">
        <v>3397</v>
      </c>
      <c r="DW1462" s="1" t="s">
        <v>233</v>
      </c>
      <c r="DX1462" s="1" t="s">
        <v>234</v>
      </c>
      <c r="DY1462" s="1" t="s">
        <v>4102</v>
      </c>
      <c r="DZ1462" s="1" t="s">
        <v>705</v>
      </c>
      <c r="EA1462" s="1" t="s">
        <v>1027</v>
      </c>
      <c r="EC1462" s="1" t="s">
        <v>237</v>
      </c>
      <c r="ED1462" s="1" t="s">
        <v>555</v>
      </c>
      <c r="EE1462" s="1" t="s">
        <v>493</v>
      </c>
      <c r="EG1462" s="1" t="s">
        <v>450</v>
      </c>
      <c r="EH1462" s="1" t="s">
        <v>588</v>
      </c>
      <c r="EL1462" s="1" t="s">
        <v>15026</v>
      </c>
      <c r="EM1462" s="1" t="s">
        <v>42</v>
      </c>
      <c r="EP1462" s="1" t="s">
        <v>6126</v>
      </c>
      <c r="EQ1462" s="1" t="s">
        <v>42</v>
      </c>
      <c r="EU1462" s="1" t="s">
        <v>238</v>
      </c>
      <c r="EY1462" s="1" t="s">
        <v>238</v>
      </c>
      <c r="FC1462" s="1" t="s">
        <v>238</v>
      </c>
      <c r="FF1462" s="1" t="s">
        <v>239</v>
      </c>
      <c r="FG1462" s="1" t="s">
        <v>192</v>
      </c>
      <c r="FH1462" s="1" t="s">
        <v>192</v>
      </c>
      <c r="FJ1462" s="1" t="s">
        <v>498</v>
      </c>
      <c r="FK1462" s="1" t="s">
        <v>1586</v>
      </c>
      <c r="FL1462" s="1" t="s">
        <v>3218</v>
      </c>
      <c r="FM1462" s="1">
        <v>25215.0</v>
      </c>
      <c r="FN1462" s="1" t="s">
        <v>3219</v>
      </c>
      <c r="FO1462" s="1" t="s">
        <v>6529</v>
      </c>
      <c r="FP1462" s="1">
        <v>230573.0</v>
      </c>
      <c r="FQ1462" s="1" t="s">
        <v>6530</v>
      </c>
      <c r="FU1462" s="1" t="s">
        <v>15027</v>
      </c>
      <c r="FV1462" s="1" t="s">
        <v>200</v>
      </c>
      <c r="FW1462" s="1" t="s">
        <v>631</v>
      </c>
      <c r="FZ1462" s="1" t="s">
        <v>229</v>
      </c>
      <c r="GA1462" s="1" t="s">
        <v>291</v>
      </c>
      <c r="GB1462" s="2">
        <v>41996.0</v>
      </c>
      <c r="GC1462" s="1" t="s">
        <v>3170</v>
      </c>
    </row>
    <row r="1463">
      <c r="A1463" s="1">
        <v>155000.0</v>
      </c>
      <c r="B1463" s="1" t="s">
        <v>185</v>
      </c>
      <c r="C1463" s="1" t="str">
        <f>"08681334"</f>
        <v>08681334</v>
      </c>
      <c r="D1463" s="1" t="s">
        <v>186</v>
      </c>
      <c r="F1463" s="1" t="str">
        <f>"8069"</f>
        <v>8069</v>
      </c>
      <c r="G1463" s="2">
        <v>41843.0</v>
      </c>
      <c r="H1463" s="1">
        <v>145000.0</v>
      </c>
      <c r="I1463" s="1">
        <v>181.0</v>
      </c>
      <c r="J1463" s="1">
        <v>155000.0</v>
      </c>
      <c r="K1463" s="2">
        <v>42023.0</v>
      </c>
      <c r="L1463" s="1">
        <v>181.0</v>
      </c>
      <c r="M1463" s="2">
        <v>42023.0</v>
      </c>
      <c r="N1463" s="1" t="s">
        <v>187</v>
      </c>
      <c r="O1463" s="2">
        <v>42107.0</v>
      </c>
      <c r="P1463" s="1">
        <v>139908.0</v>
      </c>
      <c r="Q1463" s="1">
        <v>12983.0</v>
      </c>
      <c r="S1463" s="1">
        <v>6901.0</v>
      </c>
      <c r="T1463" s="1" t="s">
        <v>9864</v>
      </c>
      <c r="U1463" s="1" t="s">
        <v>189</v>
      </c>
      <c r="V1463" s="1" t="s">
        <v>190</v>
      </c>
      <c r="W1463" s="1">
        <v>60637.0</v>
      </c>
      <c r="Y1463" s="1" t="s">
        <v>9865</v>
      </c>
      <c r="Z1463" s="1">
        <v>2006.0</v>
      </c>
      <c r="AA1463" s="1" t="s">
        <v>200</v>
      </c>
      <c r="AB1463" s="1" t="s">
        <v>193</v>
      </c>
      <c r="AD1463" s="1" t="s">
        <v>194</v>
      </c>
      <c r="AE1463" s="1" t="s">
        <v>195</v>
      </c>
      <c r="AF1463" s="1" t="s">
        <v>637</v>
      </c>
      <c r="AH1463" s="1" t="s">
        <v>15028</v>
      </c>
      <c r="AK1463" s="1">
        <v>8.0</v>
      </c>
      <c r="AL1463" s="1">
        <v>4.0</v>
      </c>
      <c r="AM1463" s="1">
        <v>3.0</v>
      </c>
      <c r="AN1463" s="1">
        <v>1.0</v>
      </c>
      <c r="AO1463" s="1" t="s">
        <v>198</v>
      </c>
      <c r="AP1463" s="1">
        <v>2.0</v>
      </c>
      <c r="AQ1463" s="1" t="s">
        <v>198</v>
      </c>
      <c r="AR1463" s="1" t="s">
        <v>200</v>
      </c>
      <c r="AS1463" s="1" t="s">
        <v>199</v>
      </c>
      <c r="AT1463" s="1">
        <v>2.0</v>
      </c>
      <c r="AV1463" s="1" t="s">
        <v>200</v>
      </c>
      <c r="AW1463" s="6">
        <v>3405.0</v>
      </c>
      <c r="AX1463" s="1">
        <v>2012.0</v>
      </c>
      <c r="AZ1463" s="1" t="s">
        <v>200</v>
      </c>
      <c r="BA1463" s="1" t="str">
        <f>"20223130020000"</f>
        <v>20223130020000</v>
      </c>
      <c r="BB1463" s="1" t="s">
        <v>200</v>
      </c>
      <c r="BC1463" s="1">
        <v>0.0</v>
      </c>
      <c r="BD1463" s="1">
        <v>155000.0</v>
      </c>
      <c r="BE1463" s="2">
        <v>41843.0</v>
      </c>
      <c r="BH1463" s="1">
        <v>0.0</v>
      </c>
      <c r="BK1463" s="1" t="s">
        <v>204</v>
      </c>
      <c r="BL1463" s="1" t="str">
        <f>"0"</f>
        <v>0</v>
      </c>
      <c r="BM1463" s="1" t="str">
        <f>"44"</f>
        <v>44</v>
      </c>
      <c r="BN1463" s="1">
        <v>0.0</v>
      </c>
      <c r="BO1463" s="1">
        <v>6901.0</v>
      </c>
      <c r="BQ1463" s="1">
        <v>299.0</v>
      </c>
      <c r="BR1463" s="1">
        <v>299.0</v>
      </c>
      <c r="BS1463" s="1">
        <v>299.0</v>
      </c>
      <c r="BU1463" s="1" t="s">
        <v>616</v>
      </c>
      <c r="BV1463" s="1" t="s">
        <v>206</v>
      </c>
      <c r="BW1463" s="1" t="s">
        <v>207</v>
      </c>
      <c r="BX1463" s="1" t="s">
        <v>229</v>
      </c>
      <c r="BY1463" s="1" t="s">
        <v>329</v>
      </c>
      <c r="BZ1463" s="1" t="s">
        <v>206</v>
      </c>
      <c r="CA1463" s="1" t="s">
        <v>210</v>
      </c>
      <c r="CB1463" s="1" t="s">
        <v>229</v>
      </c>
      <c r="CC1463" s="1" t="s">
        <v>331</v>
      </c>
      <c r="CD1463" s="1" t="s">
        <v>206</v>
      </c>
      <c r="CE1463" s="1" t="s">
        <v>207</v>
      </c>
      <c r="CF1463" s="1" t="s">
        <v>229</v>
      </c>
      <c r="CG1463" s="1" t="s">
        <v>495</v>
      </c>
      <c r="CH1463" s="1" t="s">
        <v>209</v>
      </c>
      <c r="CI1463" s="1" t="s">
        <v>210</v>
      </c>
      <c r="CJ1463" s="1" t="s">
        <v>229</v>
      </c>
      <c r="CK1463" s="1" t="s">
        <v>454</v>
      </c>
      <c r="CL1463" s="1" t="s">
        <v>209</v>
      </c>
      <c r="CM1463" s="1" t="s">
        <v>210</v>
      </c>
      <c r="CN1463" s="1" t="s">
        <v>229</v>
      </c>
      <c r="CO1463" s="1" t="s">
        <v>495</v>
      </c>
      <c r="CP1463" s="1" t="s">
        <v>267</v>
      </c>
      <c r="CQ1463" s="1" t="s">
        <v>210</v>
      </c>
      <c r="CR1463" s="1" t="s">
        <v>229</v>
      </c>
      <c r="CS1463" s="1" t="s">
        <v>2224</v>
      </c>
      <c r="CT1463" s="1" t="s">
        <v>206</v>
      </c>
      <c r="CU1463" s="1" t="s">
        <v>207</v>
      </c>
      <c r="CV1463" s="1" t="s">
        <v>229</v>
      </c>
      <c r="CW1463" s="1" t="s">
        <v>9742</v>
      </c>
      <c r="CX1463" s="1" t="s">
        <v>267</v>
      </c>
      <c r="CY1463" s="1" t="s">
        <v>210</v>
      </c>
      <c r="CZ1463" s="1" t="s">
        <v>229</v>
      </c>
      <c r="DA1463" s="1" t="s">
        <v>200</v>
      </c>
      <c r="DC1463" s="1" t="s">
        <v>481</v>
      </c>
      <c r="DE1463" s="1" t="s">
        <v>273</v>
      </c>
      <c r="DF1463" s="1" t="s">
        <v>219</v>
      </c>
      <c r="DH1463" s="1" t="s">
        <v>365</v>
      </c>
      <c r="DJ1463" s="1" t="s">
        <v>222</v>
      </c>
      <c r="DL1463" s="1" t="s">
        <v>224</v>
      </c>
      <c r="DM1463" s="1" t="s">
        <v>229</v>
      </c>
      <c r="DN1463" s="1" t="s">
        <v>439</v>
      </c>
      <c r="DQ1463" s="1" t="s">
        <v>228</v>
      </c>
      <c r="DR1463" s="1" t="s">
        <v>229</v>
      </c>
      <c r="DV1463" s="1" t="s">
        <v>232</v>
      </c>
      <c r="DW1463" s="1" t="s">
        <v>1935</v>
      </c>
      <c r="DX1463" s="1" t="s">
        <v>234</v>
      </c>
      <c r="DY1463" s="1" t="s">
        <v>765</v>
      </c>
      <c r="DZ1463" s="1" t="s">
        <v>310</v>
      </c>
      <c r="EC1463" s="1" t="s">
        <v>237</v>
      </c>
      <c r="ED1463" s="1" t="s">
        <v>407</v>
      </c>
      <c r="EM1463" s="1" t="s">
        <v>238</v>
      </c>
      <c r="EQ1463" s="1" t="s">
        <v>238</v>
      </c>
      <c r="EU1463" s="1" t="s">
        <v>238</v>
      </c>
      <c r="EY1463" s="1" t="s">
        <v>238</v>
      </c>
      <c r="FC1463" s="1" t="s">
        <v>238</v>
      </c>
      <c r="FF1463" s="1" t="s">
        <v>239</v>
      </c>
      <c r="FG1463" s="1" t="s">
        <v>192</v>
      </c>
      <c r="FH1463" s="1" t="s">
        <v>192</v>
      </c>
      <c r="FJ1463" s="1" t="s">
        <v>1573</v>
      </c>
      <c r="FK1463" s="1" t="s">
        <v>1586</v>
      </c>
      <c r="FL1463" s="1" t="s">
        <v>1124</v>
      </c>
      <c r="FM1463" s="1">
        <v>12293.0</v>
      </c>
      <c r="FN1463" s="1" t="s">
        <v>3300</v>
      </c>
      <c r="FO1463" s="1" t="s">
        <v>9872</v>
      </c>
      <c r="FP1463" s="1">
        <v>158325.0</v>
      </c>
      <c r="FQ1463" s="1" t="s">
        <v>9873</v>
      </c>
      <c r="FU1463" s="1" t="s">
        <v>15029</v>
      </c>
      <c r="FV1463" s="1" t="s">
        <v>200</v>
      </c>
      <c r="FW1463" s="1" t="s">
        <v>290</v>
      </c>
      <c r="FX1463" s="1" t="s">
        <v>655</v>
      </c>
      <c r="FZ1463" s="1" t="s">
        <v>229</v>
      </c>
      <c r="GA1463" s="1" t="s">
        <v>291</v>
      </c>
      <c r="GB1463" s="2">
        <v>42107.0</v>
      </c>
      <c r="GC1463" s="1" t="s">
        <v>3170</v>
      </c>
    </row>
    <row r="1464">
      <c r="A1464" s="1">
        <v>57000.0</v>
      </c>
      <c r="B1464" s="1" t="s">
        <v>185</v>
      </c>
      <c r="C1464" s="1" t="str">
        <f>"08677048"</f>
        <v>08677048</v>
      </c>
      <c r="D1464" s="1" t="s">
        <v>186</v>
      </c>
      <c r="F1464" s="1" t="str">
        <f>"123"</f>
        <v>123</v>
      </c>
      <c r="G1464" s="2">
        <v>41838.0</v>
      </c>
      <c r="H1464" s="1">
        <v>99900.0</v>
      </c>
      <c r="I1464" s="1">
        <v>224.0</v>
      </c>
      <c r="J1464" s="1">
        <v>69900.0</v>
      </c>
      <c r="K1464" s="2">
        <v>42061.0</v>
      </c>
      <c r="L1464" s="1">
        <v>224.0</v>
      </c>
      <c r="M1464" s="2">
        <v>42061.0</v>
      </c>
      <c r="N1464" s="1" t="s">
        <v>249</v>
      </c>
      <c r="O1464" s="2">
        <v>42093.0</v>
      </c>
      <c r="P1464" s="1">
        <v>243632.0</v>
      </c>
      <c r="Q1464" s="1">
        <v>1946.0</v>
      </c>
      <c r="S1464" s="1">
        <v>344.0</v>
      </c>
      <c r="T1464" s="1" t="s">
        <v>10227</v>
      </c>
      <c r="U1464" s="1" t="s">
        <v>320</v>
      </c>
      <c r="V1464" s="1" t="s">
        <v>465</v>
      </c>
      <c r="W1464" s="1">
        <v>60120.0</v>
      </c>
      <c r="Y1464" s="1" t="s">
        <v>15030</v>
      </c>
      <c r="Z1464" s="1">
        <v>1920.0</v>
      </c>
      <c r="AA1464" s="1" t="s">
        <v>192</v>
      </c>
      <c r="AB1464" s="1" t="s">
        <v>193</v>
      </c>
      <c r="AD1464" s="1" t="s">
        <v>469</v>
      </c>
      <c r="AE1464" s="1" t="s">
        <v>325</v>
      </c>
      <c r="AF1464" s="1" t="s">
        <v>469</v>
      </c>
      <c r="AH1464" s="1" t="s">
        <v>15031</v>
      </c>
      <c r="AK1464" s="1">
        <v>7.0</v>
      </c>
      <c r="AL1464" s="1">
        <v>4.0</v>
      </c>
      <c r="AM1464" s="1">
        <v>1.0</v>
      </c>
      <c r="AN1464" s="1">
        <v>1.0</v>
      </c>
      <c r="AO1464" s="1" t="s">
        <v>229</v>
      </c>
      <c r="AP1464" s="1">
        <v>1.0</v>
      </c>
      <c r="AQ1464" s="1" t="s">
        <v>198</v>
      </c>
      <c r="AR1464" s="1" t="s">
        <v>200</v>
      </c>
      <c r="AS1464" s="1" t="s">
        <v>828</v>
      </c>
      <c r="AU1464" s="1">
        <v>2.0</v>
      </c>
      <c r="AV1464" s="1" t="s">
        <v>200</v>
      </c>
      <c r="AW1464" s="1">
        <v>3991.0</v>
      </c>
      <c r="AX1464" s="1">
        <v>2012.0</v>
      </c>
      <c r="AY1464" s="1" t="s">
        <v>387</v>
      </c>
      <c r="AZ1464" s="1" t="s">
        <v>200</v>
      </c>
      <c r="BA1464" s="1" t="str">
        <f>"0613382023"</f>
        <v>0613382023</v>
      </c>
      <c r="BB1464" s="1" t="s">
        <v>200</v>
      </c>
      <c r="BC1464" s="1">
        <v>1844.0</v>
      </c>
      <c r="BD1464" s="1">
        <v>57000.0</v>
      </c>
      <c r="BE1464" s="2">
        <v>41838.0</v>
      </c>
      <c r="BF1464" s="2" t="s">
        <v>15032</v>
      </c>
      <c r="BG1464" s="1" t="s">
        <v>15033</v>
      </c>
      <c r="BH1464" s="1">
        <v>0.0</v>
      </c>
      <c r="BI1464" s="1" t="s">
        <v>12149</v>
      </c>
      <c r="BJ1464" s="1" t="s">
        <v>1243</v>
      </c>
      <c r="BK1464" s="1" t="s">
        <v>204</v>
      </c>
      <c r="BL1464" s="1" t="str">
        <f>"11"</f>
        <v>11</v>
      </c>
      <c r="BM1464" s="1" t="str">
        <f>""</f>
        <v/>
      </c>
      <c r="BN1464" s="1">
        <v>33.0</v>
      </c>
      <c r="BQ1464" s="1">
        <v>46.0</v>
      </c>
      <c r="BR1464" s="1">
        <v>46.0</v>
      </c>
      <c r="BS1464" s="1">
        <v>46.0</v>
      </c>
      <c r="BU1464" s="1" t="s">
        <v>331</v>
      </c>
      <c r="BV1464" s="1" t="s">
        <v>206</v>
      </c>
      <c r="BW1464" s="1" t="s">
        <v>207</v>
      </c>
      <c r="BY1464" s="1" t="s">
        <v>332</v>
      </c>
      <c r="BZ1464" s="1" t="s">
        <v>209</v>
      </c>
      <c r="CA1464" s="1" t="s">
        <v>207</v>
      </c>
      <c r="CC1464" s="1" t="s">
        <v>329</v>
      </c>
      <c r="CD1464" s="1" t="s">
        <v>206</v>
      </c>
      <c r="CE1464" s="1" t="s">
        <v>207</v>
      </c>
      <c r="CG1464" s="1" t="s">
        <v>497</v>
      </c>
      <c r="CH1464" s="1" t="s">
        <v>209</v>
      </c>
      <c r="CI1464" s="1" t="s">
        <v>207</v>
      </c>
      <c r="CK1464" s="1" t="s">
        <v>363</v>
      </c>
      <c r="CL1464" s="1" t="s">
        <v>209</v>
      </c>
      <c r="CM1464" s="1" t="s">
        <v>207</v>
      </c>
      <c r="CO1464" s="1" t="s">
        <v>332</v>
      </c>
      <c r="CP1464" s="1" t="s">
        <v>206</v>
      </c>
      <c r="CQ1464" s="1" t="s">
        <v>207</v>
      </c>
      <c r="CS1464" s="1" t="s">
        <v>616</v>
      </c>
      <c r="CT1464" s="1" t="s">
        <v>206</v>
      </c>
      <c r="CU1464" s="1" t="s">
        <v>617</v>
      </c>
      <c r="CX1464" s="1" t="s">
        <v>204</v>
      </c>
      <c r="DA1464" s="1" t="s">
        <v>200</v>
      </c>
      <c r="DC1464" s="1" t="s">
        <v>216</v>
      </c>
      <c r="DD1464" s="1" t="s">
        <v>957</v>
      </c>
      <c r="DE1464" s="1" t="s">
        <v>229</v>
      </c>
      <c r="DF1464" s="1" t="s">
        <v>787</v>
      </c>
      <c r="DH1464" s="1" t="s">
        <v>220</v>
      </c>
      <c r="DJ1464" s="1" t="s">
        <v>222</v>
      </c>
      <c r="DK1464" s="1" t="s">
        <v>223</v>
      </c>
      <c r="DL1464" s="1" t="s">
        <v>223</v>
      </c>
      <c r="DM1464" s="1" t="s">
        <v>229</v>
      </c>
      <c r="DO1464" s="1" t="s">
        <v>590</v>
      </c>
      <c r="DP1464" s="1" t="s">
        <v>340</v>
      </c>
      <c r="DQ1464" s="1" t="s">
        <v>228</v>
      </c>
      <c r="DR1464" s="1" t="s">
        <v>229</v>
      </c>
      <c r="DS1464" s="1" t="s">
        <v>230</v>
      </c>
      <c r="DU1464" s="1" t="s">
        <v>2070</v>
      </c>
      <c r="DV1464" s="1" t="s">
        <v>232</v>
      </c>
      <c r="DW1464" s="1" t="s">
        <v>667</v>
      </c>
      <c r="DX1464" s="1" t="s">
        <v>234</v>
      </c>
      <c r="DY1464" s="1" t="s">
        <v>2240</v>
      </c>
      <c r="EB1464" s="1" t="s">
        <v>345</v>
      </c>
      <c r="EC1464" s="1" t="s">
        <v>237</v>
      </c>
      <c r="EM1464" s="1" t="s">
        <v>238</v>
      </c>
      <c r="EQ1464" s="1" t="s">
        <v>238</v>
      </c>
      <c r="EU1464" s="1" t="s">
        <v>238</v>
      </c>
      <c r="EY1464" s="1" t="s">
        <v>238</v>
      </c>
      <c r="FC1464" s="1" t="s">
        <v>238</v>
      </c>
      <c r="FF1464" s="1" t="s">
        <v>239</v>
      </c>
      <c r="FG1464" s="1" t="s">
        <v>192</v>
      </c>
      <c r="FH1464" s="1" t="s">
        <v>192</v>
      </c>
      <c r="FJ1464" s="1" t="s">
        <v>4863</v>
      </c>
      <c r="FK1464" s="1" t="s">
        <v>229</v>
      </c>
      <c r="FL1464" s="1" t="s">
        <v>2263</v>
      </c>
      <c r="FM1464" s="1">
        <v>8094.0</v>
      </c>
      <c r="FN1464" s="1" t="s">
        <v>2264</v>
      </c>
      <c r="FO1464" s="1" t="s">
        <v>4111</v>
      </c>
      <c r="FP1464" s="1">
        <v>28736.0</v>
      </c>
      <c r="FQ1464" s="1" t="s">
        <v>4112</v>
      </c>
      <c r="FU1464" s="1" t="s">
        <v>15034</v>
      </c>
      <c r="FV1464" s="1" t="s">
        <v>200</v>
      </c>
      <c r="FW1464" s="1" t="s">
        <v>290</v>
      </c>
      <c r="FZ1464" s="1" t="s">
        <v>229</v>
      </c>
      <c r="GA1464" s="1" t="s">
        <v>291</v>
      </c>
      <c r="GB1464" s="2">
        <v>42093.0</v>
      </c>
      <c r="GC1464" s="1" t="s">
        <v>15035</v>
      </c>
    </row>
    <row r="1465">
      <c r="A1465" s="1">
        <v>310000.0</v>
      </c>
      <c r="B1465" s="1" t="s">
        <v>185</v>
      </c>
      <c r="C1465" s="1" t="str">
        <f>"08677529"</f>
        <v>08677529</v>
      </c>
      <c r="D1465" s="1" t="s">
        <v>186</v>
      </c>
      <c r="F1465" s="1" t="str">
        <f>"8015"</f>
        <v>8015</v>
      </c>
      <c r="G1465" s="2">
        <v>41838.0</v>
      </c>
      <c r="H1465" s="1">
        <v>349999.0</v>
      </c>
      <c r="I1465" s="1">
        <v>104.0</v>
      </c>
      <c r="J1465" s="1">
        <v>325000.0</v>
      </c>
      <c r="K1465" s="2">
        <v>41941.0</v>
      </c>
      <c r="L1465" s="1">
        <v>104.0</v>
      </c>
      <c r="M1465" s="2">
        <v>41941.0</v>
      </c>
      <c r="N1465" s="1" t="s">
        <v>187</v>
      </c>
      <c r="O1465" s="2">
        <v>41986.0</v>
      </c>
      <c r="P1465" s="1">
        <v>103484.0</v>
      </c>
      <c r="Q1465" s="1">
        <v>85382.0</v>
      </c>
      <c r="S1465" s="1">
        <v>5643.0</v>
      </c>
      <c r="T1465" s="1" t="s">
        <v>9239</v>
      </c>
      <c r="U1465" s="1" t="s">
        <v>320</v>
      </c>
      <c r="V1465" s="1" t="s">
        <v>190</v>
      </c>
      <c r="W1465" s="1">
        <v>60634.0</v>
      </c>
      <c r="Y1465" s="1" t="s">
        <v>15036</v>
      </c>
      <c r="Z1465" s="1">
        <v>1940.0</v>
      </c>
      <c r="AA1465" s="1" t="s">
        <v>192</v>
      </c>
      <c r="AB1465" s="1" t="s">
        <v>193</v>
      </c>
      <c r="AD1465" s="1" t="s">
        <v>194</v>
      </c>
      <c r="AE1465" s="1" t="s">
        <v>195</v>
      </c>
      <c r="AF1465" s="1" t="s">
        <v>196</v>
      </c>
      <c r="AH1465" s="1">
        <v>4725.0</v>
      </c>
      <c r="AK1465" s="1">
        <v>9.0</v>
      </c>
      <c r="AL1465" s="1">
        <v>4.0</v>
      </c>
      <c r="AM1465" s="1">
        <v>3.0</v>
      </c>
      <c r="AN1465" s="1">
        <v>0.0</v>
      </c>
      <c r="AO1465" s="1" t="s">
        <v>229</v>
      </c>
      <c r="AQ1465" s="1" t="s">
        <v>198</v>
      </c>
      <c r="AR1465" s="1" t="s">
        <v>192</v>
      </c>
      <c r="AS1465" s="1" t="s">
        <v>199</v>
      </c>
      <c r="AT1465" s="1">
        <v>2.0</v>
      </c>
      <c r="AV1465" s="1" t="s">
        <v>200</v>
      </c>
      <c r="AW1465" s="1">
        <v>4425.0</v>
      </c>
      <c r="AX1465" s="1">
        <v>2012.0</v>
      </c>
      <c r="AZ1465" s="1" t="s">
        <v>545</v>
      </c>
      <c r="BA1465" s="1" t="str">
        <f>"13204200370000"</f>
        <v>13204200370000</v>
      </c>
      <c r="BC1465" s="1">
        <v>0.0</v>
      </c>
      <c r="BD1465" s="1">
        <v>310000.0</v>
      </c>
      <c r="BE1465" s="2">
        <v>41838.0</v>
      </c>
      <c r="BF1465" s="2" t="s">
        <v>15037</v>
      </c>
      <c r="BH1465" s="1">
        <v>0.0</v>
      </c>
      <c r="BK1465" s="1" t="s">
        <v>204</v>
      </c>
      <c r="BL1465" s="1" t="str">
        <f>"3400"</f>
        <v>3400</v>
      </c>
      <c r="BM1465" s="1" t="str">
        <f t="shared" ref="BM1465:BM1466" si="963">"0"</f>
        <v>0</v>
      </c>
      <c r="BN1465" s="1">
        <v>5600.0</v>
      </c>
      <c r="BO1465" s="1">
        <v>0.0</v>
      </c>
      <c r="BQ1465" s="1">
        <v>299.0</v>
      </c>
      <c r="BR1465" s="1">
        <v>299.0</v>
      </c>
      <c r="BS1465" s="1">
        <v>299.0</v>
      </c>
      <c r="BU1465" s="1" t="s">
        <v>2900</v>
      </c>
      <c r="BV1465" s="1" t="s">
        <v>206</v>
      </c>
      <c r="BW1465" s="1" t="s">
        <v>207</v>
      </c>
      <c r="BY1465" s="1" t="s">
        <v>1064</v>
      </c>
      <c r="BZ1465" s="1" t="s">
        <v>206</v>
      </c>
      <c r="CA1465" s="1" t="s">
        <v>207</v>
      </c>
      <c r="CC1465" s="1" t="s">
        <v>478</v>
      </c>
      <c r="CD1465" s="1" t="s">
        <v>206</v>
      </c>
      <c r="CE1465" s="1" t="s">
        <v>207</v>
      </c>
      <c r="CG1465" s="1" t="s">
        <v>2459</v>
      </c>
      <c r="CH1465" s="1" t="s">
        <v>209</v>
      </c>
      <c r="CI1465" s="1" t="s">
        <v>207</v>
      </c>
      <c r="CK1465" s="1" t="s">
        <v>1417</v>
      </c>
      <c r="CL1465" s="1" t="s">
        <v>209</v>
      </c>
      <c r="CM1465" s="1" t="s">
        <v>207</v>
      </c>
      <c r="CO1465" s="1" t="s">
        <v>1760</v>
      </c>
      <c r="CP1465" s="1" t="s">
        <v>209</v>
      </c>
      <c r="CQ1465" s="1" t="s">
        <v>207</v>
      </c>
      <c r="CS1465" s="1" t="s">
        <v>1417</v>
      </c>
      <c r="CT1465" s="1" t="s">
        <v>206</v>
      </c>
      <c r="CU1465" s="1" t="s">
        <v>207</v>
      </c>
      <c r="CW1465" s="1" t="s">
        <v>15038</v>
      </c>
      <c r="CX1465" s="1" t="s">
        <v>42</v>
      </c>
      <c r="CY1465" s="1" t="s">
        <v>210</v>
      </c>
      <c r="DA1465" s="1" t="s">
        <v>200</v>
      </c>
      <c r="DC1465" s="1" t="s">
        <v>1399</v>
      </c>
      <c r="DD1465" s="1" t="s">
        <v>306</v>
      </c>
      <c r="DE1465" s="1" t="s">
        <v>273</v>
      </c>
      <c r="DF1465" s="1" t="s">
        <v>219</v>
      </c>
      <c r="DG1465" s="1" t="s">
        <v>337</v>
      </c>
      <c r="DH1465" s="1" t="s">
        <v>220</v>
      </c>
      <c r="DI1465" s="1" t="s">
        <v>1868</v>
      </c>
      <c r="DJ1465" s="1" t="s">
        <v>222</v>
      </c>
      <c r="DL1465" s="1" t="s">
        <v>1161</v>
      </c>
      <c r="DM1465" s="1" t="s">
        <v>229</v>
      </c>
      <c r="DN1465" s="1" t="s">
        <v>7205</v>
      </c>
      <c r="DO1465" s="1" t="s">
        <v>549</v>
      </c>
      <c r="DP1465" s="1" t="s">
        <v>276</v>
      </c>
      <c r="DQ1465" s="1" t="s">
        <v>228</v>
      </c>
      <c r="DR1465" s="1" t="s">
        <v>229</v>
      </c>
      <c r="DU1465" s="1" t="s">
        <v>2070</v>
      </c>
      <c r="DV1465" s="1" t="s">
        <v>594</v>
      </c>
      <c r="DW1465" s="1" t="s">
        <v>279</v>
      </c>
      <c r="DX1465" s="1" t="s">
        <v>234</v>
      </c>
      <c r="DY1465" s="1" t="s">
        <v>553</v>
      </c>
      <c r="DZ1465" s="1" t="s">
        <v>1661</v>
      </c>
      <c r="EA1465" s="1" t="s">
        <v>3308</v>
      </c>
      <c r="EC1465" s="1" t="s">
        <v>237</v>
      </c>
      <c r="ED1465" s="1" t="s">
        <v>555</v>
      </c>
      <c r="EG1465" s="1" t="s">
        <v>598</v>
      </c>
      <c r="EH1465" s="1" t="s">
        <v>408</v>
      </c>
      <c r="EL1465" s="1" t="s">
        <v>478</v>
      </c>
      <c r="EM1465" s="1" t="s">
        <v>42</v>
      </c>
      <c r="EN1465" s="1" t="s">
        <v>210</v>
      </c>
      <c r="EP1465" s="1" t="s">
        <v>2394</v>
      </c>
      <c r="EQ1465" s="1" t="s">
        <v>206</v>
      </c>
      <c r="ER1465" s="1" t="s">
        <v>207</v>
      </c>
      <c r="EU1465" s="1" t="s">
        <v>238</v>
      </c>
      <c r="EY1465" s="1" t="s">
        <v>238</v>
      </c>
      <c r="FC1465" s="1" t="s">
        <v>238</v>
      </c>
      <c r="FF1465" s="1" t="s">
        <v>239</v>
      </c>
      <c r="FG1465" s="1" t="s">
        <v>192</v>
      </c>
      <c r="FH1465" s="1" t="s">
        <v>192</v>
      </c>
      <c r="FJ1465" s="1" t="s">
        <v>2262</v>
      </c>
      <c r="FK1465" s="1" t="s">
        <v>557</v>
      </c>
      <c r="FL1465" s="1" t="s">
        <v>15039</v>
      </c>
      <c r="FM1465" s="1">
        <v>4113.0</v>
      </c>
      <c r="FN1465" s="1" t="s">
        <v>15040</v>
      </c>
      <c r="FO1465" s="1" t="s">
        <v>15041</v>
      </c>
      <c r="FP1465" s="1">
        <v>40251.0</v>
      </c>
      <c r="FQ1465" s="1" t="s">
        <v>15042</v>
      </c>
      <c r="FU1465" s="1" t="s">
        <v>15043</v>
      </c>
      <c r="FV1465" s="1" t="s">
        <v>192</v>
      </c>
      <c r="FW1465" s="1" t="s">
        <v>290</v>
      </c>
      <c r="FX1465" s="1" t="s">
        <v>246</v>
      </c>
      <c r="FZ1465" s="1" t="s">
        <v>229</v>
      </c>
      <c r="GA1465" s="1" t="s">
        <v>291</v>
      </c>
      <c r="GB1465" s="2">
        <v>41986.0</v>
      </c>
      <c r="GC1465" s="1" t="s">
        <v>15044</v>
      </c>
    </row>
    <row r="1466">
      <c r="A1466" s="1">
        <v>1169000.0</v>
      </c>
      <c r="B1466" s="1" t="s">
        <v>185</v>
      </c>
      <c r="C1466" s="1" t="str">
        <f>"08678487"</f>
        <v>08678487</v>
      </c>
      <c r="D1466" s="1" t="s">
        <v>186</v>
      </c>
      <c r="F1466" s="1" t="str">
        <f>"8007"</f>
        <v>8007</v>
      </c>
      <c r="G1466" s="2">
        <v>41841.0</v>
      </c>
      <c r="H1466" s="1">
        <v>1325000.0</v>
      </c>
      <c r="I1466" s="1">
        <v>119.0</v>
      </c>
      <c r="J1466" s="1">
        <v>1295000.0</v>
      </c>
      <c r="K1466" s="2">
        <v>41959.0</v>
      </c>
      <c r="L1466" s="1">
        <v>119.0</v>
      </c>
      <c r="M1466" s="2">
        <v>41959.0</v>
      </c>
      <c r="N1466" s="1" t="s">
        <v>187</v>
      </c>
      <c r="O1466" s="2">
        <v>42013.0</v>
      </c>
      <c r="P1466" s="1">
        <v>160135.0</v>
      </c>
      <c r="Q1466" s="1">
        <v>14681.0</v>
      </c>
      <c r="S1466" s="1">
        <v>2521.0</v>
      </c>
      <c r="T1466" s="1" t="s">
        <v>12974</v>
      </c>
      <c r="U1466" s="1" t="s">
        <v>189</v>
      </c>
      <c r="V1466" s="1" t="s">
        <v>190</v>
      </c>
      <c r="W1466" s="1">
        <v>60614.0</v>
      </c>
      <c r="Y1466" s="1" t="s">
        <v>15045</v>
      </c>
      <c r="Z1466" s="1">
        <v>2001.0</v>
      </c>
      <c r="AA1466" s="1" t="s">
        <v>200</v>
      </c>
      <c r="AB1466" s="1" t="s">
        <v>193</v>
      </c>
      <c r="AD1466" s="1" t="s">
        <v>194</v>
      </c>
      <c r="AE1466" s="1" t="s">
        <v>195</v>
      </c>
      <c r="AF1466" s="1" t="s">
        <v>2645</v>
      </c>
      <c r="AH1466" s="1" t="s">
        <v>741</v>
      </c>
      <c r="AK1466" s="1">
        <v>8.0</v>
      </c>
      <c r="AL1466" s="1">
        <v>4.0</v>
      </c>
      <c r="AM1466" s="1">
        <v>3.0</v>
      </c>
      <c r="AN1466" s="1">
        <v>1.0</v>
      </c>
      <c r="AO1466" s="1" t="s">
        <v>198</v>
      </c>
      <c r="AP1466" s="1">
        <v>2.0</v>
      </c>
      <c r="AQ1466" s="1" t="s">
        <v>472</v>
      </c>
      <c r="AR1466" s="1" t="s">
        <v>192</v>
      </c>
      <c r="AS1466" s="1" t="s">
        <v>199</v>
      </c>
      <c r="AT1466" s="1">
        <v>2.0</v>
      </c>
      <c r="AV1466" s="1" t="s">
        <v>200</v>
      </c>
      <c r="AW1466" s="1">
        <v>16638.0</v>
      </c>
      <c r="AX1466" s="1">
        <v>2012.0</v>
      </c>
      <c r="AY1466" s="1" t="s">
        <v>387</v>
      </c>
      <c r="AZ1466" s="1" t="s">
        <v>200</v>
      </c>
      <c r="BA1466" s="1" t="str">
        <f>"14304080150000"</f>
        <v>14304080150000</v>
      </c>
      <c r="BC1466" s="1">
        <v>4200.0</v>
      </c>
      <c r="BD1466" s="1">
        <v>1169000.0</v>
      </c>
      <c r="BE1466" s="2">
        <v>41841.0</v>
      </c>
      <c r="BF1466" s="2" t="s">
        <v>15046</v>
      </c>
      <c r="BH1466" s="1">
        <v>0.0</v>
      </c>
      <c r="BK1466" s="1" t="s">
        <v>204</v>
      </c>
      <c r="BL1466" s="1" t="str">
        <f>"2521"</f>
        <v>2521</v>
      </c>
      <c r="BM1466" s="1" t="str">
        <f t="shared" si="963"/>
        <v>0</v>
      </c>
      <c r="BN1466" s="1">
        <v>1650.0</v>
      </c>
      <c r="BO1466" s="1">
        <v>0.0</v>
      </c>
      <c r="BQ1466" s="1">
        <v>299.0</v>
      </c>
      <c r="BR1466" s="1">
        <v>299.0</v>
      </c>
      <c r="BS1466" s="1">
        <v>299.0</v>
      </c>
      <c r="BU1466" s="1" t="s">
        <v>496</v>
      </c>
      <c r="BV1466" s="1" t="s">
        <v>206</v>
      </c>
      <c r="BW1466" s="1" t="s">
        <v>207</v>
      </c>
      <c r="BY1466" s="1" t="s">
        <v>782</v>
      </c>
      <c r="BZ1466" s="1" t="s">
        <v>209</v>
      </c>
      <c r="CC1466" s="1" t="s">
        <v>1063</v>
      </c>
      <c r="CD1466" s="1" t="s">
        <v>206</v>
      </c>
      <c r="CE1466" s="1" t="s">
        <v>207</v>
      </c>
      <c r="CG1466" s="1" t="s">
        <v>1426</v>
      </c>
      <c r="CH1466" s="1" t="s">
        <v>209</v>
      </c>
      <c r="CK1466" s="1" t="s">
        <v>663</v>
      </c>
      <c r="CL1466" s="1" t="s">
        <v>209</v>
      </c>
      <c r="CO1466" s="1" t="s">
        <v>433</v>
      </c>
      <c r="CP1466" s="1" t="s">
        <v>267</v>
      </c>
      <c r="CS1466" s="1" t="s">
        <v>677</v>
      </c>
      <c r="CT1466" s="1" t="s">
        <v>206</v>
      </c>
      <c r="CW1466" s="1" t="s">
        <v>616</v>
      </c>
      <c r="CX1466" s="1" t="s">
        <v>267</v>
      </c>
      <c r="CY1466" s="1" t="s">
        <v>207</v>
      </c>
      <c r="DA1466" s="1" t="s">
        <v>200</v>
      </c>
      <c r="DC1466" s="1" t="s">
        <v>335</v>
      </c>
      <c r="DD1466" s="1" t="s">
        <v>1930</v>
      </c>
      <c r="DE1466" s="1" t="s">
        <v>273</v>
      </c>
      <c r="DF1466" s="1" t="s">
        <v>219</v>
      </c>
      <c r="DH1466" s="1" t="s">
        <v>365</v>
      </c>
      <c r="DI1466" s="1" t="s">
        <v>9565</v>
      </c>
      <c r="DJ1466" s="1" t="s">
        <v>222</v>
      </c>
      <c r="DL1466" s="1" t="s">
        <v>1161</v>
      </c>
      <c r="DM1466" s="1" t="s">
        <v>229</v>
      </c>
      <c r="DN1466" s="1" t="s">
        <v>15047</v>
      </c>
      <c r="DO1466" s="1" t="s">
        <v>549</v>
      </c>
      <c r="DP1466" s="1" t="s">
        <v>340</v>
      </c>
      <c r="DQ1466" s="1" t="s">
        <v>718</v>
      </c>
      <c r="DR1466" s="1" t="s">
        <v>229</v>
      </c>
      <c r="DS1466" s="1" t="s">
        <v>230</v>
      </c>
      <c r="DV1466" s="1" t="s">
        <v>1270</v>
      </c>
      <c r="DW1466" s="1" t="s">
        <v>279</v>
      </c>
      <c r="DX1466" s="1" t="s">
        <v>234</v>
      </c>
      <c r="DY1466" s="1" t="s">
        <v>4490</v>
      </c>
      <c r="DZ1466" s="1" t="s">
        <v>966</v>
      </c>
      <c r="EA1466" s="1" t="s">
        <v>1027</v>
      </c>
      <c r="EB1466" s="1" t="s">
        <v>4251</v>
      </c>
      <c r="EC1466" s="1" t="s">
        <v>237</v>
      </c>
      <c r="ED1466" s="1" t="s">
        <v>4163</v>
      </c>
      <c r="EG1466" s="1" t="s">
        <v>1270</v>
      </c>
      <c r="EL1466" s="1" t="s">
        <v>4153</v>
      </c>
      <c r="EM1466" s="1" t="s">
        <v>267</v>
      </c>
      <c r="EQ1466" s="1" t="s">
        <v>238</v>
      </c>
      <c r="EU1466" s="1" t="s">
        <v>238</v>
      </c>
      <c r="EY1466" s="1" t="s">
        <v>238</v>
      </c>
      <c r="FC1466" s="1" t="s">
        <v>238</v>
      </c>
      <c r="FF1466" s="1" t="s">
        <v>239</v>
      </c>
      <c r="FG1466" s="1" t="s">
        <v>200</v>
      </c>
      <c r="FH1466" s="1" t="s">
        <v>192</v>
      </c>
      <c r="FJ1466" s="1" t="s">
        <v>799</v>
      </c>
      <c r="FK1466" s="1" t="s">
        <v>229</v>
      </c>
      <c r="FL1466" s="1" t="s">
        <v>562</v>
      </c>
      <c r="FM1466" s="1">
        <v>85774.0</v>
      </c>
      <c r="FN1466" s="1" t="s">
        <v>2369</v>
      </c>
      <c r="FO1466" s="1" t="s">
        <v>13335</v>
      </c>
      <c r="FP1466" s="1">
        <v>128632.0</v>
      </c>
      <c r="FQ1466" s="1" t="s">
        <v>13336</v>
      </c>
      <c r="FU1466" s="1" t="s">
        <v>15048</v>
      </c>
      <c r="FV1466" s="1" t="s">
        <v>200</v>
      </c>
      <c r="FW1466" s="1" t="s">
        <v>2754</v>
      </c>
      <c r="FX1466" s="1" t="s">
        <v>238</v>
      </c>
      <c r="FZ1466" s="1" t="s">
        <v>229</v>
      </c>
      <c r="GA1466" s="1" t="s">
        <v>291</v>
      </c>
      <c r="GB1466" s="2">
        <v>42017.0</v>
      </c>
      <c r="GC1466" s="1" t="s">
        <v>15049</v>
      </c>
    </row>
    <row r="1467">
      <c r="A1467" s="1">
        <v>422198.0</v>
      </c>
      <c r="B1467" s="1" t="s">
        <v>185</v>
      </c>
      <c r="C1467" s="1" t="str">
        <f>"08680143"</f>
        <v>08680143</v>
      </c>
      <c r="D1467" s="1" t="s">
        <v>186</v>
      </c>
      <c r="F1467" s="1" t="str">
        <f>"543"</f>
        <v>543</v>
      </c>
      <c r="G1467" s="2">
        <v>41842.0</v>
      </c>
      <c r="H1467" s="1">
        <v>381995.0</v>
      </c>
      <c r="I1467" s="1">
        <v>1.0</v>
      </c>
      <c r="J1467" s="1">
        <v>381995.0</v>
      </c>
      <c r="K1467" s="2">
        <v>41842.0</v>
      </c>
      <c r="L1467" s="1">
        <v>1.0</v>
      </c>
      <c r="M1467" s="2">
        <v>41842.0</v>
      </c>
      <c r="N1467" s="1" t="s">
        <v>187</v>
      </c>
      <c r="O1467" s="2">
        <v>42132.0</v>
      </c>
      <c r="P1467" s="1">
        <v>241401.0</v>
      </c>
      <c r="Q1467" s="1">
        <v>23279.0</v>
      </c>
      <c r="S1467" s="1">
        <v>5032.0</v>
      </c>
      <c r="T1467" s="1" t="s">
        <v>15050</v>
      </c>
      <c r="U1467" s="1" t="s">
        <v>189</v>
      </c>
      <c r="V1467" s="1" t="s">
        <v>1527</v>
      </c>
      <c r="W1467" s="1">
        <v>60543.0</v>
      </c>
      <c r="Y1467" s="1" t="s">
        <v>10308</v>
      </c>
      <c r="Z1467" s="1">
        <v>2014.0</v>
      </c>
      <c r="AA1467" s="1" t="s">
        <v>200</v>
      </c>
      <c r="AB1467" s="1" t="s">
        <v>193</v>
      </c>
      <c r="AC1467" s="1" t="s">
        <v>8934</v>
      </c>
      <c r="AD1467" s="1" t="s">
        <v>1529</v>
      </c>
      <c r="AE1467" s="1" t="s">
        <v>849</v>
      </c>
      <c r="AF1467" s="1" t="s">
        <v>1529</v>
      </c>
      <c r="AG1467" s="1" t="s">
        <v>15051</v>
      </c>
      <c r="AH1467" s="1" t="s">
        <v>15052</v>
      </c>
      <c r="AK1467" s="1">
        <v>11.0</v>
      </c>
      <c r="AL1467" s="1">
        <v>4.0</v>
      </c>
      <c r="AM1467" s="1">
        <v>2.0</v>
      </c>
      <c r="AN1467" s="1">
        <v>1.0</v>
      </c>
      <c r="AO1467" s="1" t="s">
        <v>198</v>
      </c>
      <c r="AQ1467" s="1" t="s">
        <v>1314</v>
      </c>
      <c r="AR1467" s="1" t="s">
        <v>200</v>
      </c>
      <c r="AS1467" s="1" t="s">
        <v>199</v>
      </c>
      <c r="AT1467" s="1">
        <v>3.0</v>
      </c>
      <c r="AV1467" s="1" t="s">
        <v>200</v>
      </c>
      <c r="AW1467" s="1" t="s">
        <v>575</v>
      </c>
      <c r="AX1467" s="1">
        <v>2012.0</v>
      </c>
      <c r="AZ1467" s="1" t="s">
        <v>200</v>
      </c>
      <c r="BA1467" s="1" t="str">
        <f>"0339400001"</f>
        <v>0339400001</v>
      </c>
      <c r="BC1467" s="1">
        <v>3937.0</v>
      </c>
      <c r="BD1467" s="1">
        <v>422198.0</v>
      </c>
      <c r="BE1467" s="2">
        <v>41842.0</v>
      </c>
      <c r="BF1467" s="1" t="s">
        <v>15053</v>
      </c>
      <c r="BG1467" s="1" t="s">
        <v>8939</v>
      </c>
      <c r="BH1467" s="1">
        <v>66.0</v>
      </c>
      <c r="BI1467" s="1" t="s">
        <v>1533</v>
      </c>
      <c r="BJ1467" s="1" t="s">
        <v>1349</v>
      </c>
      <c r="BK1467" s="1" t="s">
        <v>474</v>
      </c>
      <c r="BL1467" s="1" t="str">
        <f t="shared" ref="BL1467:BM1467" si="964">"0"</f>
        <v>0</v>
      </c>
      <c r="BM1467" s="1" t="str">
        <f t="shared" si="964"/>
        <v>0</v>
      </c>
      <c r="BN1467" s="1">
        <v>39.0</v>
      </c>
      <c r="BO1467" s="1">
        <v>15.0</v>
      </c>
      <c r="BQ1467" s="1">
        <v>308.0</v>
      </c>
      <c r="BR1467" s="1">
        <v>308.0</v>
      </c>
      <c r="BS1467" s="1">
        <v>308.0</v>
      </c>
      <c r="BU1467" s="1" t="s">
        <v>454</v>
      </c>
      <c r="BV1467" s="1" t="s">
        <v>206</v>
      </c>
      <c r="BY1467" s="1" t="s">
        <v>15038</v>
      </c>
      <c r="BZ1467" s="1" t="s">
        <v>209</v>
      </c>
      <c r="CA1467" s="1" t="s">
        <v>210</v>
      </c>
      <c r="CC1467" s="1" t="s">
        <v>1395</v>
      </c>
      <c r="CD1467" s="1" t="s">
        <v>206</v>
      </c>
      <c r="CG1467" s="1" t="s">
        <v>1395</v>
      </c>
      <c r="CH1467" s="1" t="s">
        <v>209</v>
      </c>
      <c r="CI1467" s="1" t="s">
        <v>210</v>
      </c>
      <c r="CK1467" s="1" t="s">
        <v>212</v>
      </c>
      <c r="CL1467" s="1" t="s">
        <v>209</v>
      </c>
      <c r="CM1467" s="1" t="s">
        <v>210</v>
      </c>
      <c r="CO1467" s="1" t="s">
        <v>363</v>
      </c>
      <c r="CP1467" s="1" t="s">
        <v>209</v>
      </c>
      <c r="CQ1467" s="1" t="s">
        <v>210</v>
      </c>
      <c r="CS1467" s="1" t="s">
        <v>269</v>
      </c>
      <c r="CT1467" s="1" t="s">
        <v>206</v>
      </c>
      <c r="CW1467" s="1" t="s">
        <v>1534</v>
      </c>
      <c r="CX1467" s="1" t="s">
        <v>206</v>
      </c>
      <c r="DA1467" s="1" t="s">
        <v>192</v>
      </c>
      <c r="DB1467" s="2">
        <v>42019.0</v>
      </c>
      <c r="DC1467" s="1" t="s">
        <v>744</v>
      </c>
      <c r="DD1467" s="1" t="s">
        <v>396</v>
      </c>
      <c r="DE1467" s="1" t="s">
        <v>229</v>
      </c>
      <c r="DF1467" s="1" t="s">
        <v>219</v>
      </c>
      <c r="DG1467" s="1" t="s">
        <v>2379</v>
      </c>
      <c r="DH1467" s="1" t="s">
        <v>220</v>
      </c>
      <c r="DI1467" s="1" t="s">
        <v>1021</v>
      </c>
      <c r="DJ1467" s="1" t="s">
        <v>1048</v>
      </c>
      <c r="DL1467" s="1" t="s">
        <v>223</v>
      </c>
      <c r="DM1467" s="1" t="s">
        <v>338</v>
      </c>
      <c r="DQ1467" s="1" t="s">
        <v>1557</v>
      </c>
      <c r="DR1467" s="1" t="s">
        <v>1980</v>
      </c>
      <c r="DV1467" s="1" t="s">
        <v>15054</v>
      </c>
      <c r="DW1467" s="1" t="s">
        <v>1145</v>
      </c>
      <c r="DX1467" s="1" t="s">
        <v>234</v>
      </c>
      <c r="EA1467" s="1" t="s">
        <v>344</v>
      </c>
      <c r="EC1467" s="1" t="s">
        <v>237</v>
      </c>
      <c r="EG1467" s="1" t="s">
        <v>1121</v>
      </c>
      <c r="EH1467" s="1" t="s">
        <v>556</v>
      </c>
      <c r="EI1467" s="1" t="s">
        <v>494</v>
      </c>
      <c r="EK1467" s="1" t="s">
        <v>720</v>
      </c>
      <c r="EL1467" s="1" t="s">
        <v>332</v>
      </c>
      <c r="EM1467" s="1" t="s">
        <v>209</v>
      </c>
      <c r="EN1467" s="1" t="s">
        <v>210</v>
      </c>
      <c r="EP1467" s="1" t="s">
        <v>2713</v>
      </c>
      <c r="EQ1467" s="1" t="s">
        <v>206</v>
      </c>
      <c r="ET1467" s="1" t="s">
        <v>2082</v>
      </c>
      <c r="EU1467" s="1" t="s">
        <v>206</v>
      </c>
      <c r="EV1467" s="1" t="s">
        <v>210</v>
      </c>
      <c r="EY1467" s="1" t="s">
        <v>238</v>
      </c>
      <c r="FB1467" s="1" t="s">
        <v>798</v>
      </c>
      <c r="FC1467" s="1" t="s">
        <v>206</v>
      </c>
      <c r="FF1467" s="1" t="s">
        <v>239</v>
      </c>
      <c r="FG1467" s="1" t="s">
        <v>192</v>
      </c>
      <c r="FH1467" s="1" t="s">
        <v>192</v>
      </c>
      <c r="FJ1467" s="1" t="s">
        <v>10515</v>
      </c>
      <c r="FK1467" s="1" t="s">
        <v>229</v>
      </c>
      <c r="FL1467" s="1" t="s">
        <v>1358</v>
      </c>
      <c r="FM1467" s="1">
        <v>23076.0</v>
      </c>
      <c r="FN1467" s="1" t="s">
        <v>1359</v>
      </c>
      <c r="FO1467" s="1" t="s">
        <v>10313</v>
      </c>
      <c r="FP1467" s="1">
        <v>216120.0</v>
      </c>
      <c r="FQ1467" s="1" t="s">
        <v>10314</v>
      </c>
      <c r="FU1467" s="1" t="s">
        <v>11650</v>
      </c>
      <c r="FV1467" s="1" t="s">
        <v>200</v>
      </c>
      <c r="FW1467" s="1" t="s">
        <v>10316</v>
      </c>
      <c r="FZ1467" s="1" t="s">
        <v>229</v>
      </c>
      <c r="GA1467" s="1" t="s">
        <v>247</v>
      </c>
      <c r="GB1467" s="2">
        <v>42135.0</v>
      </c>
    </row>
    <row r="1468">
      <c r="A1468" s="1">
        <v>262500.0</v>
      </c>
      <c r="B1468" s="1" t="s">
        <v>185</v>
      </c>
      <c r="C1468" s="1" t="str">
        <f>"08669135"</f>
        <v>08669135</v>
      </c>
      <c r="D1468" s="1" t="s">
        <v>186</v>
      </c>
      <c r="F1468" s="1" t="str">
        <f>"123"</f>
        <v>123</v>
      </c>
      <c r="G1468" s="2">
        <v>41830.0</v>
      </c>
      <c r="H1468" s="1">
        <v>279900.0</v>
      </c>
      <c r="I1468" s="1">
        <v>176.0</v>
      </c>
      <c r="J1468" s="1">
        <v>269900.0</v>
      </c>
      <c r="K1468" s="2">
        <v>41953.0</v>
      </c>
      <c r="L1468" s="1">
        <v>124.0</v>
      </c>
      <c r="M1468" s="2">
        <v>41953.0</v>
      </c>
      <c r="N1468" s="1" t="s">
        <v>187</v>
      </c>
      <c r="O1468" s="2">
        <v>41985.0</v>
      </c>
      <c r="P1468" s="1">
        <v>37272.0</v>
      </c>
      <c r="Q1468" s="1">
        <v>4563.0</v>
      </c>
      <c r="S1468" s="1">
        <v>3153.0</v>
      </c>
      <c r="T1468" s="1" t="s">
        <v>11271</v>
      </c>
      <c r="U1468" s="1" t="s">
        <v>320</v>
      </c>
      <c r="V1468" s="1" t="s">
        <v>465</v>
      </c>
      <c r="W1468" s="1">
        <v>60124.0</v>
      </c>
      <c r="Y1468" s="1" t="s">
        <v>15055</v>
      </c>
      <c r="Z1468" s="1">
        <v>2005.0</v>
      </c>
      <c r="AA1468" s="1" t="s">
        <v>200</v>
      </c>
      <c r="AB1468" s="1" t="s">
        <v>467</v>
      </c>
      <c r="AC1468" s="1" t="s">
        <v>4586</v>
      </c>
      <c r="AD1468" s="1" t="s">
        <v>469</v>
      </c>
      <c r="AE1468" s="1" t="s">
        <v>325</v>
      </c>
      <c r="AF1468" s="1" t="s">
        <v>469</v>
      </c>
      <c r="AG1468" s="1" t="s">
        <v>15056</v>
      </c>
      <c r="AH1468" s="1" t="s">
        <v>15057</v>
      </c>
      <c r="AI1468" s="1">
        <v>0.19</v>
      </c>
      <c r="AK1468" s="1">
        <v>9.0</v>
      </c>
      <c r="AL1468" s="1">
        <v>4.0</v>
      </c>
      <c r="AM1468" s="1">
        <v>2.0</v>
      </c>
      <c r="AN1468" s="1">
        <v>1.0</v>
      </c>
      <c r="AO1468" s="1" t="s">
        <v>198</v>
      </c>
      <c r="AP1468" s="1">
        <v>2.0</v>
      </c>
      <c r="AQ1468" s="1" t="s">
        <v>472</v>
      </c>
      <c r="AR1468" s="1" t="s">
        <v>200</v>
      </c>
      <c r="AS1468" s="1" t="s">
        <v>199</v>
      </c>
      <c r="AT1468" s="1">
        <v>2.0</v>
      </c>
      <c r="AV1468" s="1" t="s">
        <v>200</v>
      </c>
      <c r="AW1468" s="1">
        <v>7675.96</v>
      </c>
      <c r="AX1468" s="1">
        <v>2012.0</v>
      </c>
      <c r="AY1468" s="1" t="s">
        <v>387</v>
      </c>
      <c r="AZ1468" s="1" t="s">
        <v>200</v>
      </c>
      <c r="BA1468" s="1" t="str">
        <f>"0619407004"</f>
        <v>0619407004</v>
      </c>
      <c r="BC1468" s="1">
        <v>2927.0</v>
      </c>
      <c r="BD1468" s="1">
        <v>262500.0</v>
      </c>
      <c r="BE1468" s="2">
        <v>41830.0</v>
      </c>
      <c r="BF1468" s="2" t="s">
        <v>15058</v>
      </c>
      <c r="BH1468" s="1">
        <v>275.0</v>
      </c>
      <c r="BK1468" s="1" t="s">
        <v>580</v>
      </c>
      <c r="BL1468" s="1" t="str">
        <f t="shared" ref="BL1468:BM1468" si="965">""</f>
        <v/>
      </c>
      <c r="BM1468" s="1" t="str">
        <f t="shared" si="965"/>
        <v/>
      </c>
      <c r="BQ1468" s="1">
        <v>301.0</v>
      </c>
      <c r="BR1468" s="1">
        <v>301.0</v>
      </c>
      <c r="BS1468" s="1">
        <v>301.0</v>
      </c>
      <c r="BU1468" s="1" t="s">
        <v>260</v>
      </c>
      <c r="BV1468" s="1" t="s">
        <v>206</v>
      </c>
      <c r="BW1468" s="1" t="s">
        <v>210</v>
      </c>
      <c r="BY1468" s="1" t="s">
        <v>2120</v>
      </c>
      <c r="BZ1468" s="1" t="s">
        <v>209</v>
      </c>
      <c r="CA1468" s="1" t="s">
        <v>210</v>
      </c>
      <c r="CC1468" s="1" t="s">
        <v>329</v>
      </c>
      <c r="CD1468" s="1" t="s">
        <v>206</v>
      </c>
      <c r="CE1468" s="1" t="s">
        <v>617</v>
      </c>
      <c r="CG1468" s="1" t="s">
        <v>215</v>
      </c>
      <c r="CH1468" s="1" t="s">
        <v>209</v>
      </c>
      <c r="CI1468" s="1" t="s">
        <v>210</v>
      </c>
      <c r="CK1468" s="1" t="s">
        <v>332</v>
      </c>
      <c r="CL1468" s="1" t="s">
        <v>209</v>
      </c>
      <c r="CM1468" s="1" t="s">
        <v>210</v>
      </c>
      <c r="CO1468" s="1" t="s">
        <v>212</v>
      </c>
      <c r="CP1468" s="1" t="s">
        <v>209</v>
      </c>
      <c r="CQ1468" s="1" t="s">
        <v>210</v>
      </c>
      <c r="CS1468" s="1" t="s">
        <v>361</v>
      </c>
      <c r="CT1468" s="1" t="s">
        <v>206</v>
      </c>
      <c r="CU1468" s="1" t="s">
        <v>617</v>
      </c>
      <c r="CW1468" s="1" t="s">
        <v>743</v>
      </c>
      <c r="CX1468" s="1" t="s">
        <v>206</v>
      </c>
      <c r="CY1468" s="1" t="s">
        <v>210</v>
      </c>
      <c r="DA1468" s="1" t="s">
        <v>200</v>
      </c>
      <c r="DC1468" s="1" t="s">
        <v>481</v>
      </c>
      <c r="DE1468" s="1" t="s">
        <v>273</v>
      </c>
      <c r="DF1468" s="1" t="s">
        <v>219</v>
      </c>
      <c r="DG1468" s="1" t="s">
        <v>7924</v>
      </c>
      <c r="DH1468" s="1" t="s">
        <v>220</v>
      </c>
      <c r="DI1468" s="1" t="s">
        <v>15059</v>
      </c>
      <c r="DJ1468" s="1" t="s">
        <v>1048</v>
      </c>
      <c r="DL1468" s="1" t="s">
        <v>223</v>
      </c>
      <c r="DM1468" s="1" t="s">
        <v>338</v>
      </c>
      <c r="DQ1468" s="1" t="s">
        <v>228</v>
      </c>
      <c r="DR1468" s="1" t="s">
        <v>1487</v>
      </c>
      <c r="DS1468" s="1" t="s">
        <v>591</v>
      </c>
      <c r="DV1468" s="1" t="s">
        <v>449</v>
      </c>
      <c r="DW1468" s="1" t="s">
        <v>13166</v>
      </c>
      <c r="DX1468" s="1" t="s">
        <v>234</v>
      </c>
      <c r="DY1468" s="1" t="s">
        <v>1189</v>
      </c>
      <c r="DZ1468" s="1" t="s">
        <v>15060</v>
      </c>
      <c r="EA1468" s="1" t="s">
        <v>447</v>
      </c>
      <c r="EC1468" s="1" t="s">
        <v>237</v>
      </c>
      <c r="ED1468" s="1" t="s">
        <v>555</v>
      </c>
      <c r="EG1468" s="1" t="s">
        <v>449</v>
      </c>
      <c r="EL1468" s="1" t="s">
        <v>2505</v>
      </c>
      <c r="EM1468" s="1" t="s">
        <v>206</v>
      </c>
      <c r="EN1468" s="1" t="s">
        <v>617</v>
      </c>
      <c r="EQ1468" s="1" t="s">
        <v>238</v>
      </c>
      <c r="EU1468" s="1" t="s">
        <v>238</v>
      </c>
      <c r="EY1468" s="1" t="s">
        <v>238</v>
      </c>
      <c r="FC1468" s="1" t="s">
        <v>238</v>
      </c>
      <c r="FF1468" s="1" t="s">
        <v>239</v>
      </c>
      <c r="FG1468" s="1" t="s">
        <v>200</v>
      </c>
      <c r="FH1468" s="1" t="s">
        <v>192</v>
      </c>
      <c r="FJ1468" s="1" t="s">
        <v>15061</v>
      </c>
      <c r="FK1468" s="1" t="s">
        <v>229</v>
      </c>
      <c r="FL1468" s="1" t="s">
        <v>1451</v>
      </c>
      <c r="FM1468" s="1">
        <v>7450.0</v>
      </c>
      <c r="FN1468" s="1" t="s">
        <v>1452</v>
      </c>
      <c r="FO1468" s="1" t="s">
        <v>15062</v>
      </c>
      <c r="FP1468" s="1">
        <v>8703.0</v>
      </c>
      <c r="FU1468" s="1" t="s">
        <v>15063</v>
      </c>
      <c r="FV1468" s="1" t="s">
        <v>200</v>
      </c>
      <c r="FW1468" s="1" t="s">
        <v>530</v>
      </c>
      <c r="FZ1468" s="1" t="s">
        <v>229</v>
      </c>
      <c r="GA1468" s="1" t="s">
        <v>291</v>
      </c>
      <c r="GB1468" s="2">
        <v>41990.0</v>
      </c>
      <c r="GC1468" s="1" t="s">
        <v>15064</v>
      </c>
    </row>
    <row r="1469">
      <c r="A1469" s="1">
        <v>317500.0</v>
      </c>
      <c r="B1469" s="1" t="s">
        <v>185</v>
      </c>
      <c r="C1469" s="1" t="str">
        <f>"08673326"</f>
        <v>08673326</v>
      </c>
      <c r="D1469" s="1" t="s">
        <v>186</v>
      </c>
      <c r="F1469" s="1" t="str">
        <f>"174"</f>
        <v>174</v>
      </c>
      <c r="G1469" s="2">
        <v>41835.0</v>
      </c>
      <c r="H1469" s="1">
        <v>346000.0</v>
      </c>
      <c r="I1469" s="1">
        <v>219.0</v>
      </c>
      <c r="J1469" s="1">
        <v>339900.0</v>
      </c>
      <c r="K1469" s="2">
        <v>42053.0</v>
      </c>
      <c r="L1469" s="1">
        <v>219.0</v>
      </c>
      <c r="M1469" s="2">
        <v>42053.0</v>
      </c>
      <c r="N1469" s="1" t="s">
        <v>187</v>
      </c>
      <c r="O1469" s="2">
        <v>42089.0</v>
      </c>
      <c r="P1469" s="1">
        <v>336.0</v>
      </c>
      <c r="Q1469" s="1">
        <v>49.0</v>
      </c>
      <c r="S1469" s="1" t="s">
        <v>15065</v>
      </c>
      <c r="T1469" s="1" t="s">
        <v>15066</v>
      </c>
      <c r="U1469" s="1" t="s">
        <v>420</v>
      </c>
      <c r="V1469" s="1" t="s">
        <v>1200</v>
      </c>
      <c r="W1469" s="1">
        <v>60175.0</v>
      </c>
      <c r="Y1469" s="1" t="s">
        <v>15067</v>
      </c>
      <c r="Z1469" s="1">
        <v>1980.0</v>
      </c>
      <c r="AA1469" s="1" t="s">
        <v>200</v>
      </c>
      <c r="AB1469" s="1" t="s">
        <v>193</v>
      </c>
      <c r="AD1469" s="1" t="s">
        <v>1089</v>
      </c>
      <c r="AE1469" s="1" t="s">
        <v>325</v>
      </c>
      <c r="AF1469" s="1" t="s">
        <v>1632</v>
      </c>
      <c r="AH1469" s="1" t="s">
        <v>15068</v>
      </c>
      <c r="AI1469" s="1">
        <v>1.24</v>
      </c>
      <c r="AK1469" s="1">
        <v>8.0</v>
      </c>
      <c r="AL1469" s="1">
        <v>4.0</v>
      </c>
      <c r="AM1469" s="1">
        <v>2.0</v>
      </c>
      <c r="AN1469" s="1">
        <v>1.0</v>
      </c>
      <c r="AO1469" s="1" t="s">
        <v>198</v>
      </c>
      <c r="AP1469" s="1">
        <v>1.0</v>
      </c>
      <c r="AQ1469" s="1" t="s">
        <v>198</v>
      </c>
      <c r="AR1469" s="1" t="s">
        <v>200</v>
      </c>
      <c r="AS1469" s="1" t="s">
        <v>199</v>
      </c>
      <c r="AT1469" s="1">
        <v>2.0</v>
      </c>
      <c r="AV1469" s="1" t="s">
        <v>200</v>
      </c>
      <c r="AW1469" s="1">
        <v>7292.0</v>
      </c>
      <c r="AX1469" s="1">
        <v>2013.0</v>
      </c>
      <c r="AY1469" s="1" t="s">
        <v>387</v>
      </c>
      <c r="AZ1469" s="1" t="s">
        <v>200</v>
      </c>
      <c r="BA1469" s="1" t="str">
        <f>"0822176015"</f>
        <v>0822176015</v>
      </c>
      <c r="BB1469" s="1" t="s">
        <v>200</v>
      </c>
      <c r="BC1469" s="1">
        <v>2434.0</v>
      </c>
      <c r="BD1469" s="1">
        <v>317500.0</v>
      </c>
      <c r="BE1469" s="2">
        <v>41835.0</v>
      </c>
      <c r="BF1469" s="2" t="s">
        <v>15069</v>
      </c>
      <c r="BH1469" s="1">
        <v>0.0</v>
      </c>
      <c r="BK1469" s="1" t="s">
        <v>204</v>
      </c>
      <c r="BL1469" s="1" t="str">
        <f>"4"</f>
        <v>4</v>
      </c>
      <c r="BM1469" s="1" t="str">
        <f>"0"</f>
        <v>0</v>
      </c>
      <c r="BN1469" s="1">
        <v>41.0</v>
      </c>
      <c r="BO1469" s="1">
        <v>0.0</v>
      </c>
      <c r="BQ1469" s="1">
        <v>303.0</v>
      </c>
      <c r="BR1469" s="1">
        <v>303.0</v>
      </c>
      <c r="BS1469" s="1">
        <v>303.0</v>
      </c>
      <c r="BU1469" s="1" t="s">
        <v>1891</v>
      </c>
      <c r="BV1469" s="1" t="s">
        <v>206</v>
      </c>
      <c r="BW1469" s="1" t="s">
        <v>207</v>
      </c>
      <c r="BY1469" s="1" t="s">
        <v>211</v>
      </c>
      <c r="BZ1469" s="1" t="s">
        <v>209</v>
      </c>
      <c r="CA1469" s="1" t="s">
        <v>207</v>
      </c>
      <c r="CC1469" s="1" t="s">
        <v>211</v>
      </c>
      <c r="CD1469" s="1" t="s">
        <v>206</v>
      </c>
      <c r="CE1469" s="1" t="s">
        <v>207</v>
      </c>
      <c r="CG1469" s="1" t="s">
        <v>392</v>
      </c>
      <c r="CH1469" s="1" t="s">
        <v>209</v>
      </c>
      <c r="CI1469" s="1" t="s">
        <v>207</v>
      </c>
      <c r="CK1469" s="1" t="s">
        <v>264</v>
      </c>
      <c r="CL1469" s="1" t="s">
        <v>209</v>
      </c>
      <c r="CM1469" s="1" t="s">
        <v>207</v>
      </c>
      <c r="CO1469" s="1" t="s">
        <v>543</v>
      </c>
      <c r="CP1469" s="1" t="s">
        <v>206</v>
      </c>
      <c r="CQ1469" s="1" t="s">
        <v>207</v>
      </c>
      <c r="CS1469" s="1" t="s">
        <v>955</v>
      </c>
      <c r="CT1469" s="1" t="s">
        <v>206</v>
      </c>
      <c r="CU1469" s="1" t="s">
        <v>207</v>
      </c>
      <c r="CW1469" s="1" t="s">
        <v>1001</v>
      </c>
      <c r="CX1469" s="1" t="s">
        <v>206</v>
      </c>
      <c r="CY1469" s="1" t="s">
        <v>207</v>
      </c>
      <c r="DA1469" s="1" t="s">
        <v>200</v>
      </c>
      <c r="DC1469" s="1" t="s">
        <v>395</v>
      </c>
      <c r="DD1469" s="1" t="s">
        <v>1838</v>
      </c>
      <c r="DE1469" s="1" t="s">
        <v>273</v>
      </c>
      <c r="DF1469" s="1" t="s">
        <v>219</v>
      </c>
      <c r="DG1469" s="1" t="s">
        <v>12455</v>
      </c>
      <c r="DH1469" s="1" t="s">
        <v>856</v>
      </c>
      <c r="DI1469" s="1" t="s">
        <v>519</v>
      </c>
      <c r="DJ1469" s="1" t="s">
        <v>857</v>
      </c>
      <c r="DK1469" s="1" t="s">
        <v>223</v>
      </c>
      <c r="DL1469" s="1" t="s">
        <v>3611</v>
      </c>
      <c r="DM1469" s="1" t="s">
        <v>338</v>
      </c>
      <c r="DO1469" s="1" t="s">
        <v>15070</v>
      </c>
      <c r="DP1469" s="1" t="s">
        <v>400</v>
      </c>
      <c r="DQ1469" s="1" t="s">
        <v>931</v>
      </c>
      <c r="DR1469" s="1" t="s">
        <v>229</v>
      </c>
      <c r="DU1469" s="1" t="s">
        <v>3890</v>
      </c>
      <c r="DV1469" s="1" t="s">
        <v>232</v>
      </c>
      <c r="DW1469" s="1" t="s">
        <v>489</v>
      </c>
      <c r="DX1469" s="1" t="s">
        <v>234</v>
      </c>
      <c r="DY1469" s="1" t="s">
        <v>235</v>
      </c>
      <c r="DZ1469" s="1" t="s">
        <v>15071</v>
      </c>
      <c r="EB1469" s="1" t="s">
        <v>345</v>
      </c>
      <c r="EC1469" s="1" t="s">
        <v>237</v>
      </c>
      <c r="ED1469" s="1" t="s">
        <v>407</v>
      </c>
      <c r="EM1469" s="1" t="s">
        <v>238</v>
      </c>
      <c r="EQ1469" s="1" t="s">
        <v>238</v>
      </c>
      <c r="EU1469" s="1" t="s">
        <v>238</v>
      </c>
      <c r="EY1469" s="1" t="s">
        <v>238</v>
      </c>
      <c r="FC1469" s="1" t="s">
        <v>238</v>
      </c>
      <c r="FF1469" s="1" t="s">
        <v>239</v>
      </c>
      <c r="FG1469" s="1" t="s">
        <v>192</v>
      </c>
      <c r="FH1469" s="1" t="s">
        <v>192</v>
      </c>
      <c r="FJ1469" s="1" t="s">
        <v>1469</v>
      </c>
      <c r="FK1469" s="1" t="s">
        <v>229</v>
      </c>
      <c r="FL1469" s="1" t="s">
        <v>893</v>
      </c>
      <c r="FM1469" s="1">
        <v>604.0</v>
      </c>
      <c r="FN1469" s="1" t="s">
        <v>894</v>
      </c>
      <c r="FO1469" s="1" t="s">
        <v>895</v>
      </c>
      <c r="FP1469" s="1">
        <v>381.0</v>
      </c>
      <c r="FQ1469" s="1" t="s">
        <v>896</v>
      </c>
      <c r="FU1469" s="1" t="s">
        <v>15072</v>
      </c>
      <c r="FV1469" s="1" t="s">
        <v>200</v>
      </c>
      <c r="FW1469" s="1" t="s">
        <v>290</v>
      </c>
      <c r="FZ1469" s="1" t="s">
        <v>229</v>
      </c>
      <c r="GA1469" s="1" t="s">
        <v>291</v>
      </c>
      <c r="GB1469" s="2">
        <v>42089.0</v>
      </c>
      <c r="GC1469" s="1" t="s">
        <v>15073</v>
      </c>
    </row>
    <row r="1470">
      <c r="A1470" s="1">
        <v>160000.0</v>
      </c>
      <c r="B1470" s="1" t="s">
        <v>185</v>
      </c>
      <c r="C1470" s="1" t="str">
        <f>"08669945"</f>
        <v>08669945</v>
      </c>
      <c r="D1470" s="1" t="s">
        <v>186</v>
      </c>
      <c r="F1470" s="1" t="str">
        <f>"560"</f>
        <v>560</v>
      </c>
      <c r="G1470" s="2">
        <v>41831.0</v>
      </c>
      <c r="H1470" s="1">
        <v>206900.0</v>
      </c>
      <c r="I1470" s="1">
        <v>188.0</v>
      </c>
      <c r="J1470" s="1">
        <v>164900.0</v>
      </c>
      <c r="K1470" s="2">
        <v>42016.0</v>
      </c>
      <c r="L1470" s="1">
        <v>188.0</v>
      </c>
      <c r="M1470" s="2">
        <v>42016.0</v>
      </c>
      <c r="N1470" s="1" t="s">
        <v>356</v>
      </c>
      <c r="O1470" s="2">
        <v>42059.0</v>
      </c>
      <c r="P1470" s="1">
        <v>231970.0</v>
      </c>
      <c r="Q1470" s="1">
        <v>23030.0</v>
      </c>
      <c r="R1470" s="1">
        <v>4500.0</v>
      </c>
      <c r="S1470" s="1">
        <v>2024.0</v>
      </c>
      <c r="T1470" s="1" t="s">
        <v>15074</v>
      </c>
      <c r="U1470" s="1" t="s">
        <v>1174</v>
      </c>
      <c r="V1470" s="1" t="s">
        <v>845</v>
      </c>
      <c r="W1470" s="1">
        <v>60560.0</v>
      </c>
      <c r="Y1470" s="1" t="s">
        <v>15075</v>
      </c>
      <c r="Z1470" s="1">
        <v>2006.0</v>
      </c>
      <c r="AA1470" s="1" t="s">
        <v>200</v>
      </c>
      <c r="AB1470" s="1" t="s">
        <v>467</v>
      </c>
      <c r="AC1470" s="1" t="s">
        <v>15076</v>
      </c>
      <c r="AD1470" s="1" t="s">
        <v>848</v>
      </c>
      <c r="AE1470" s="1" t="s">
        <v>849</v>
      </c>
      <c r="AF1470" s="1" t="s">
        <v>2153</v>
      </c>
      <c r="AH1470" s="1" t="s">
        <v>15077</v>
      </c>
      <c r="AK1470" s="1">
        <v>8.0</v>
      </c>
      <c r="AL1470" s="1">
        <v>4.0</v>
      </c>
      <c r="AM1470" s="1">
        <v>2.0</v>
      </c>
      <c r="AN1470" s="1">
        <v>1.0</v>
      </c>
      <c r="AO1470" s="1" t="s">
        <v>198</v>
      </c>
      <c r="AP1470" s="1">
        <v>0.0</v>
      </c>
      <c r="AQ1470" s="1" t="s">
        <v>327</v>
      </c>
      <c r="AR1470" s="1" t="s">
        <v>200</v>
      </c>
      <c r="AS1470" s="1" t="s">
        <v>199</v>
      </c>
      <c r="AT1470" s="1">
        <v>2.0</v>
      </c>
      <c r="AV1470" s="1" t="s">
        <v>200</v>
      </c>
      <c r="AW1470" s="1">
        <v>9939.64</v>
      </c>
      <c r="AX1470" s="1">
        <v>2013.0</v>
      </c>
      <c r="AZ1470" s="1" t="s">
        <v>192</v>
      </c>
      <c r="BA1470" s="1" t="str">
        <f>"0503353003"</f>
        <v>0503353003</v>
      </c>
      <c r="BC1470" s="1">
        <v>2509.0</v>
      </c>
      <c r="BD1470" s="1">
        <v>160000.0</v>
      </c>
      <c r="BE1470" s="2">
        <v>41829.0</v>
      </c>
      <c r="BF1470" s="2" t="s">
        <v>15078</v>
      </c>
      <c r="BH1470" s="1">
        <v>155.0</v>
      </c>
      <c r="BK1470" s="1" t="s">
        <v>1952</v>
      </c>
      <c r="BL1470" s="1" t="str">
        <f t="shared" ref="BL1470:BM1470" si="966">"0"</f>
        <v>0</v>
      </c>
      <c r="BM1470" s="1" t="str">
        <f t="shared" si="966"/>
        <v>0</v>
      </c>
      <c r="BN1470" s="1">
        <v>0.0</v>
      </c>
      <c r="BO1470" s="1">
        <v>0.0</v>
      </c>
      <c r="BQ1470" s="1">
        <v>115.0</v>
      </c>
      <c r="BR1470" s="1">
        <v>115.0</v>
      </c>
      <c r="BS1470" s="1">
        <v>115.0</v>
      </c>
      <c r="BU1470" s="1" t="s">
        <v>213</v>
      </c>
      <c r="BV1470" s="1" t="s">
        <v>206</v>
      </c>
      <c r="BW1470" s="1" t="s">
        <v>210</v>
      </c>
      <c r="BX1470" s="1" t="s">
        <v>229</v>
      </c>
      <c r="BY1470" s="1" t="s">
        <v>743</v>
      </c>
      <c r="BZ1470" s="1" t="s">
        <v>209</v>
      </c>
      <c r="CA1470" s="1" t="s">
        <v>210</v>
      </c>
      <c r="CB1470" s="1" t="s">
        <v>229</v>
      </c>
      <c r="CC1470" s="1" t="s">
        <v>332</v>
      </c>
      <c r="CD1470" s="1" t="s">
        <v>206</v>
      </c>
      <c r="CE1470" s="1" t="s">
        <v>210</v>
      </c>
      <c r="CF1470" s="1" t="s">
        <v>229</v>
      </c>
      <c r="CG1470" s="1" t="s">
        <v>215</v>
      </c>
      <c r="CH1470" s="1" t="s">
        <v>209</v>
      </c>
      <c r="CI1470" s="1" t="s">
        <v>210</v>
      </c>
      <c r="CJ1470" s="1" t="s">
        <v>229</v>
      </c>
      <c r="CK1470" s="1" t="s">
        <v>264</v>
      </c>
      <c r="CL1470" s="1" t="s">
        <v>209</v>
      </c>
      <c r="CM1470" s="1" t="s">
        <v>210</v>
      </c>
      <c r="CN1470" s="1" t="s">
        <v>229</v>
      </c>
      <c r="CO1470" s="1" t="s">
        <v>264</v>
      </c>
      <c r="CP1470" s="1" t="s">
        <v>209</v>
      </c>
      <c r="CQ1470" s="1" t="s">
        <v>210</v>
      </c>
      <c r="CR1470" s="1" t="s">
        <v>229</v>
      </c>
      <c r="CS1470" s="1" t="s">
        <v>1000</v>
      </c>
      <c r="CT1470" s="1" t="s">
        <v>206</v>
      </c>
      <c r="CU1470" s="1" t="s">
        <v>617</v>
      </c>
      <c r="CV1470" s="1" t="s">
        <v>229</v>
      </c>
      <c r="CW1470" s="1" t="s">
        <v>1535</v>
      </c>
      <c r="CX1470" s="1" t="s">
        <v>206</v>
      </c>
      <c r="CY1470" s="1" t="s">
        <v>210</v>
      </c>
      <c r="CZ1470" s="1" t="s">
        <v>229</v>
      </c>
      <c r="DA1470" s="1" t="s">
        <v>200</v>
      </c>
      <c r="DC1470" s="1" t="s">
        <v>481</v>
      </c>
      <c r="DD1470" s="1" t="s">
        <v>336</v>
      </c>
      <c r="DE1470" s="1" t="s">
        <v>273</v>
      </c>
      <c r="DF1470" s="1" t="s">
        <v>219</v>
      </c>
      <c r="DH1470" s="1" t="s">
        <v>220</v>
      </c>
      <c r="DJ1470" s="1" t="s">
        <v>1048</v>
      </c>
      <c r="DL1470" s="1" t="s">
        <v>223</v>
      </c>
      <c r="DM1470" s="1" t="s">
        <v>229</v>
      </c>
      <c r="DN1470" s="1" t="s">
        <v>339</v>
      </c>
      <c r="DP1470" s="1" t="s">
        <v>340</v>
      </c>
      <c r="DQ1470" s="1" t="s">
        <v>228</v>
      </c>
      <c r="DR1470" s="1" t="s">
        <v>2593</v>
      </c>
      <c r="DS1470" s="1" t="s">
        <v>230</v>
      </c>
      <c r="DV1470" s="1" t="s">
        <v>2313</v>
      </c>
      <c r="DW1470" s="1" t="s">
        <v>444</v>
      </c>
      <c r="DX1470" s="1" t="s">
        <v>234</v>
      </c>
      <c r="DZ1470" s="1" t="s">
        <v>1100</v>
      </c>
      <c r="EC1470" s="1" t="s">
        <v>237</v>
      </c>
      <c r="EG1470" s="1" t="s">
        <v>2313</v>
      </c>
      <c r="EL1470" s="1" t="s">
        <v>939</v>
      </c>
      <c r="EM1470" s="1" t="s">
        <v>206</v>
      </c>
      <c r="EQ1470" s="1" t="s">
        <v>238</v>
      </c>
      <c r="EU1470" s="1" t="s">
        <v>238</v>
      </c>
      <c r="EY1470" s="1" t="s">
        <v>238</v>
      </c>
      <c r="FC1470" s="1" t="s">
        <v>238</v>
      </c>
      <c r="FF1470" s="1" t="s">
        <v>239</v>
      </c>
      <c r="FG1470" s="1" t="s">
        <v>192</v>
      </c>
      <c r="FH1470" s="1" t="s">
        <v>192</v>
      </c>
      <c r="FJ1470" s="1" t="s">
        <v>1248</v>
      </c>
      <c r="FK1470" s="1" t="s">
        <v>229</v>
      </c>
      <c r="FL1470" s="1" t="s">
        <v>1007</v>
      </c>
      <c r="FM1470" s="1">
        <v>79923.0</v>
      </c>
      <c r="FN1470" s="1" t="s">
        <v>2595</v>
      </c>
      <c r="FO1470" s="1" t="s">
        <v>15079</v>
      </c>
      <c r="FP1470" s="1">
        <v>702578.0</v>
      </c>
      <c r="FQ1470" s="1" t="s">
        <v>15080</v>
      </c>
      <c r="FU1470" s="1" t="s">
        <v>1882</v>
      </c>
      <c r="FV1470" s="1" t="s">
        <v>200</v>
      </c>
      <c r="FW1470" s="1" t="s">
        <v>354</v>
      </c>
      <c r="FZ1470" s="1" t="s">
        <v>229</v>
      </c>
      <c r="GA1470" s="1" t="s">
        <v>291</v>
      </c>
      <c r="GB1470" s="2">
        <v>42059.0</v>
      </c>
      <c r="GC1470" s="1" t="s">
        <v>15081</v>
      </c>
    </row>
    <row r="1471">
      <c r="A1471" s="1">
        <v>440000.0</v>
      </c>
      <c r="B1471" s="1" t="s">
        <v>185</v>
      </c>
      <c r="C1471" s="1" t="str">
        <f>"08670644"</f>
        <v>08670644</v>
      </c>
      <c r="D1471" s="1" t="s">
        <v>186</v>
      </c>
      <c r="F1471" s="1" t="str">
        <f>"177"</f>
        <v>177</v>
      </c>
      <c r="G1471" s="2">
        <v>41831.0</v>
      </c>
      <c r="H1471" s="1">
        <v>459000.0</v>
      </c>
      <c r="I1471" s="1">
        <v>141.0</v>
      </c>
      <c r="J1471" s="1">
        <v>459000.0</v>
      </c>
      <c r="K1471" s="2">
        <v>41971.0</v>
      </c>
      <c r="L1471" s="1">
        <v>141.0</v>
      </c>
      <c r="M1471" s="2">
        <v>41971.0</v>
      </c>
      <c r="N1471" s="1" t="s">
        <v>187</v>
      </c>
      <c r="O1471" s="2">
        <v>42038.0</v>
      </c>
      <c r="P1471" s="1">
        <v>230482.0</v>
      </c>
      <c r="Q1471" s="1">
        <v>23591.0</v>
      </c>
      <c r="S1471" s="1">
        <v>581.0</v>
      </c>
      <c r="T1471" s="1" t="s">
        <v>15082</v>
      </c>
      <c r="U1471" s="1" t="s">
        <v>1174</v>
      </c>
      <c r="V1471" s="1" t="s">
        <v>2249</v>
      </c>
      <c r="W1471" s="1">
        <v>60177.0</v>
      </c>
      <c r="X1471" s="1">
        <v>3747.0</v>
      </c>
      <c r="Y1471" s="1" t="s">
        <v>15083</v>
      </c>
      <c r="Z1471" s="1">
        <v>2003.0</v>
      </c>
      <c r="AA1471" s="1" t="s">
        <v>200</v>
      </c>
      <c r="AB1471" s="1" t="s">
        <v>193</v>
      </c>
      <c r="AC1471" s="1" t="s">
        <v>4508</v>
      </c>
      <c r="AD1471" s="1" t="s">
        <v>2252</v>
      </c>
      <c r="AE1471" s="1" t="s">
        <v>325</v>
      </c>
      <c r="AF1471" s="1" t="s">
        <v>1203</v>
      </c>
      <c r="AG1471" s="1" t="s">
        <v>752</v>
      </c>
      <c r="AH1471" s="1" t="s">
        <v>14358</v>
      </c>
      <c r="AI1471" s="1">
        <v>0.2468</v>
      </c>
      <c r="AK1471" s="1">
        <v>10.0</v>
      </c>
      <c r="AL1471" s="1">
        <v>4.0</v>
      </c>
      <c r="AM1471" s="1">
        <v>3.0</v>
      </c>
      <c r="AN1471" s="1">
        <v>1.0</v>
      </c>
      <c r="AO1471" s="1" t="s">
        <v>198</v>
      </c>
      <c r="AP1471" s="1">
        <v>1.0</v>
      </c>
      <c r="AQ1471" s="1" t="s">
        <v>198</v>
      </c>
      <c r="AR1471" s="1" t="s">
        <v>200</v>
      </c>
      <c r="AS1471" s="1" t="s">
        <v>199</v>
      </c>
      <c r="AT1471" s="1">
        <v>3.0</v>
      </c>
      <c r="AV1471" s="1" t="s">
        <v>200</v>
      </c>
      <c r="AW1471" s="1">
        <v>14611.58</v>
      </c>
      <c r="AX1471" s="1">
        <v>2012.0</v>
      </c>
      <c r="AY1471" s="1" t="s">
        <v>387</v>
      </c>
      <c r="AZ1471" s="1" t="s">
        <v>200</v>
      </c>
      <c r="BA1471" s="1" t="str">
        <f>"0905177004"</f>
        <v>0905177004</v>
      </c>
      <c r="BB1471" s="1" t="s">
        <v>200</v>
      </c>
      <c r="BC1471" s="1">
        <v>3588.0</v>
      </c>
      <c r="BD1471" s="1">
        <v>440000.0</v>
      </c>
      <c r="BE1471" s="2">
        <v>41831.0</v>
      </c>
      <c r="BF1471" s="2" t="s">
        <v>15084</v>
      </c>
      <c r="BG1471" s="1" t="s">
        <v>5221</v>
      </c>
      <c r="BH1471" s="1">
        <v>117.0</v>
      </c>
      <c r="BI1471" s="1" t="s">
        <v>4511</v>
      </c>
      <c r="BJ1471" s="1" t="s">
        <v>2200</v>
      </c>
      <c r="BK1471" s="1" t="s">
        <v>1952</v>
      </c>
      <c r="BL1471" s="1" t="str">
        <f t="shared" ref="BL1471:BM1471" si="967">""</f>
        <v/>
      </c>
      <c r="BM1471" s="1" t="str">
        <f t="shared" si="967"/>
        <v/>
      </c>
      <c r="BQ1471" s="1">
        <v>303.0</v>
      </c>
      <c r="BR1471" s="1">
        <v>303.0</v>
      </c>
      <c r="BS1471" s="1">
        <v>303.0</v>
      </c>
      <c r="BU1471" s="1" t="s">
        <v>2647</v>
      </c>
      <c r="BV1471" s="1" t="s">
        <v>206</v>
      </c>
      <c r="BW1471" s="1" t="s">
        <v>210</v>
      </c>
      <c r="BY1471" s="1" t="s">
        <v>364</v>
      </c>
      <c r="BZ1471" s="1" t="s">
        <v>209</v>
      </c>
      <c r="CA1471" s="1" t="s">
        <v>210</v>
      </c>
      <c r="CC1471" s="1" t="s">
        <v>2082</v>
      </c>
      <c r="CD1471" s="1" t="s">
        <v>206</v>
      </c>
      <c r="CE1471" s="1" t="s">
        <v>210</v>
      </c>
      <c r="CG1471" s="1" t="s">
        <v>300</v>
      </c>
      <c r="CH1471" s="1" t="s">
        <v>209</v>
      </c>
      <c r="CI1471" s="1" t="s">
        <v>210</v>
      </c>
      <c r="CK1471" s="1" t="s">
        <v>300</v>
      </c>
      <c r="CL1471" s="1" t="s">
        <v>209</v>
      </c>
      <c r="CM1471" s="1" t="s">
        <v>210</v>
      </c>
      <c r="CO1471" s="1" t="s">
        <v>363</v>
      </c>
      <c r="CP1471" s="1" t="s">
        <v>209</v>
      </c>
      <c r="CQ1471" s="1" t="s">
        <v>210</v>
      </c>
      <c r="CS1471" s="1" t="s">
        <v>8854</v>
      </c>
      <c r="CT1471" s="1" t="s">
        <v>206</v>
      </c>
      <c r="CU1471" s="1" t="s">
        <v>207</v>
      </c>
      <c r="CW1471" s="1" t="s">
        <v>15085</v>
      </c>
      <c r="CX1471" s="1" t="s">
        <v>206</v>
      </c>
      <c r="CY1471" s="1" t="s">
        <v>210</v>
      </c>
      <c r="DA1471" s="1" t="s">
        <v>200</v>
      </c>
      <c r="DC1471" s="1" t="s">
        <v>335</v>
      </c>
      <c r="DE1471" s="1" t="s">
        <v>273</v>
      </c>
      <c r="DF1471" s="1" t="s">
        <v>619</v>
      </c>
      <c r="DG1471" s="1" t="s">
        <v>8201</v>
      </c>
      <c r="DH1471" s="1" t="s">
        <v>220</v>
      </c>
      <c r="DI1471" s="1" t="s">
        <v>1813</v>
      </c>
      <c r="DJ1471" s="1" t="s">
        <v>222</v>
      </c>
      <c r="DL1471" s="1" t="s">
        <v>858</v>
      </c>
      <c r="DM1471" s="1" t="s">
        <v>229</v>
      </c>
      <c r="DN1471" s="1" t="s">
        <v>399</v>
      </c>
      <c r="DO1471" s="1" t="s">
        <v>486</v>
      </c>
      <c r="DQ1471" s="1" t="s">
        <v>228</v>
      </c>
      <c r="DR1471" s="1" t="s">
        <v>1980</v>
      </c>
      <c r="DS1471" s="1" t="s">
        <v>230</v>
      </c>
      <c r="DU1471" s="1" t="s">
        <v>3021</v>
      </c>
      <c r="DV1471" s="1" t="s">
        <v>15086</v>
      </c>
      <c r="DW1471" s="1" t="s">
        <v>764</v>
      </c>
      <c r="DX1471" s="1" t="s">
        <v>234</v>
      </c>
      <c r="DY1471" s="1" t="s">
        <v>1936</v>
      </c>
      <c r="DZ1471" s="1" t="s">
        <v>2424</v>
      </c>
      <c r="EA1471" s="1" t="s">
        <v>344</v>
      </c>
      <c r="EB1471" s="1" t="s">
        <v>345</v>
      </c>
      <c r="EC1471" s="1" t="s">
        <v>237</v>
      </c>
      <c r="ED1471" s="1" t="s">
        <v>864</v>
      </c>
      <c r="EG1471" s="1" t="s">
        <v>1121</v>
      </c>
      <c r="EH1471" s="1" t="s">
        <v>450</v>
      </c>
      <c r="EI1471" s="1" t="s">
        <v>588</v>
      </c>
      <c r="EL1471" s="1" t="s">
        <v>302</v>
      </c>
      <c r="EM1471" s="1" t="s">
        <v>209</v>
      </c>
      <c r="EN1471" s="1" t="s">
        <v>210</v>
      </c>
      <c r="EP1471" s="1" t="s">
        <v>15087</v>
      </c>
      <c r="EQ1471" s="1" t="s">
        <v>42</v>
      </c>
      <c r="ET1471" s="1" t="s">
        <v>2713</v>
      </c>
      <c r="EU1471" s="1" t="s">
        <v>42</v>
      </c>
      <c r="EY1471" s="1" t="s">
        <v>238</v>
      </c>
      <c r="FC1471" s="1" t="s">
        <v>238</v>
      </c>
      <c r="FF1471" s="1" t="s">
        <v>239</v>
      </c>
      <c r="FG1471" s="1" t="s">
        <v>192</v>
      </c>
      <c r="FH1471" s="1" t="s">
        <v>192</v>
      </c>
      <c r="FJ1471" s="1" t="s">
        <v>524</v>
      </c>
      <c r="FK1471" s="1" t="s">
        <v>229</v>
      </c>
      <c r="FL1471" s="1" t="s">
        <v>15088</v>
      </c>
      <c r="FM1471" s="1">
        <v>7077.0</v>
      </c>
      <c r="FN1471" s="1" t="s">
        <v>15089</v>
      </c>
      <c r="FO1471" s="1" t="s">
        <v>15090</v>
      </c>
      <c r="FP1471" s="1">
        <v>77596.0</v>
      </c>
      <c r="FQ1471" s="1" t="s">
        <v>15091</v>
      </c>
      <c r="FU1471" s="1" t="s">
        <v>15092</v>
      </c>
      <c r="FV1471" s="1" t="s">
        <v>200</v>
      </c>
      <c r="FW1471" s="1" t="s">
        <v>530</v>
      </c>
      <c r="FZ1471" s="1" t="s">
        <v>229</v>
      </c>
      <c r="GA1471" s="1" t="s">
        <v>291</v>
      </c>
      <c r="GB1471" s="2">
        <v>42039.0</v>
      </c>
    </row>
    <row r="1472">
      <c r="A1472" s="1">
        <v>510000.0</v>
      </c>
      <c r="B1472" s="1" t="s">
        <v>185</v>
      </c>
      <c r="C1472" s="1" t="str">
        <f>"08670424"</f>
        <v>08670424</v>
      </c>
      <c r="D1472" s="1" t="s">
        <v>186</v>
      </c>
      <c r="F1472" s="1" t="str">
        <f>"174"</f>
        <v>174</v>
      </c>
      <c r="G1472" s="2">
        <v>41831.0</v>
      </c>
      <c r="H1472" s="1">
        <v>579000.0</v>
      </c>
      <c r="I1472" s="1">
        <v>313.0</v>
      </c>
      <c r="J1472" s="1">
        <v>529900.0</v>
      </c>
      <c r="K1472" s="2">
        <v>41966.0</v>
      </c>
      <c r="L1472" s="1">
        <v>136.0</v>
      </c>
      <c r="M1472" s="2">
        <v>41966.0</v>
      </c>
      <c r="N1472" s="1" t="s">
        <v>187</v>
      </c>
      <c r="O1472" s="2">
        <v>41996.0</v>
      </c>
      <c r="P1472" s="1">
        <v>486.0</v>
      </c>
      <c r="Q1472" s="1">
        <v>37.0</v>
      </c>
      <c r="S1472" s="1">
        <v>1209.0</v>
      </c>
      <c r="T1472" s="1" t="s">
        <v>15093</v>
      </c>
      <c r="U1472" s="1" t="s">
        <v>320</v>
      </c>
      <c r="V1472" s="1" t="s">
        <v>1200</v>
      </c>
      <c r="W1472" s="1">
        <v>60174.0</v>
      </c>
      <c r="Y1472" s="1" t="s">
        <v>15094</v>
      </c>
      <c r="Z1472" s="1">
        <v>2014.0</v>
      </c>
      <c r="AA1472" s="1" t="s">
        <v>200</v>
      </c>
      <c r="AB1472" s="1" t="s">
        <v>193</v>
      </c>
      <c r="AD1472" s="1" t="s">
        <v>1203</v>
      </c>
      <c r="AE1472" s="1" t="s">
        <v>325</v>
      </c>
      <c r="AF1472" s="1" t="s">
        <v>1203</v>
      </c>
      <c r="AH1472" s="1" t="s">
        <v>15095</v>
      </c>
      <c r="AK1472" s="1">
        <v>9.0</v>
      </c>
      <c r="AL1472" s="1">
        <v>4.0</v>
      </c>
      <c r="AM1472" s="1">
        <v>3.0</v>
      </c>
      <c r="AN1472" s="1">
        <v>1.0</v>
      </c>
      <c r="AO1472" s="1" t="s">
        <v>198</v>
      </c>
      <c r="AP1472" s="1">
        <v>1.0</v>
      </c>
      <c r="AQ1472" s="1" t="s">
        <v>198</v>
      </c>
      <c r="AR1472" s="1" t="s">
        <v>200</v>
      </c>
      <c r="AS1472" s="1" t="s">
        <v>199</v>
      </c>
      <c r="AT1472" s="1">
        <v>3.0</v>
      </c>
      <c r="AV1472" s="1" t="s">
        <v>200</v>
      </c>
      <c r="AW1472" s="1" t="s">
        <v>575</v>
      </c>
      <c r="AX1472" s="1">
        <v>2013.0</v>
      </c>
      <c r="AZ1472" s="1" t="s">
        <v>200</v>
      </c>
      <c r="BA1472" s="1" t="str">
        <f>"0934351024"</f>
        <v>0934351024</v>
      </c>
      <c r="BC1472" s="1">
        <v>2704.0</v>
      </c>
      <c r="BD1472" s="1">
        <v>510000.0</v>
      </c>
      <c r="BE1472" s="2">
        <v>41831.0</v>
      </c>
      <c r="BF1472" s="2" t="s">
        <v>15096</v>
      </c>
      <c r="BG1472" s="1" t="s">
        <v>5991</v>
      </c>
      <c r="BH1472" s="1">
        <v>0.0</v>
      </c>
      <c r="BI1472" s="1" t="s">
        <v>2199</v>
      </c>
      <c r="BJ1472" s="1" t="s">
        <v>2144</v>
      </c>
      <c r="BK1472" s="1" t="s">
        <v>204</v>
      </c>
      <c r="BL1472" s="1" t="str">
        <f>"2"</f>
        <v>2</v>
      </c>
      <c r="BM1472" s="1" t="str">
        <f>""</f>
        <v/>
      </c>
      <c r="BN1472" s="1">
        <v>35.0</v>
      </c>
      <c r="BQ1472" s="1">
        <v>303.0</v>
      </c>
      <c r="BR1472" s="1">
        <v>303.0</v>
      </c>
      <c r="BS1472" s="1">
        <v>303.0</v>
      </c>
      <c r="BU1472" s="1" t="s">
        <v>302</v>
      </c>
      <c r="BV1472" s="1" t="s">
        <v>206</v>
      </c>
      <c r="BW1472" s="1" t="s">
        <v>207</v>
      </c>
      <c r="BX1472" s="1" t="s">
        <v>229</v>
      </c>
      <c r="BY1472" s="1" t="s">
        <v>1612</v>
      </c>
      <c r="BZ1472" s="1" t="s">
        <v>209</v>
      </c>
      <c r="CA1472" s="1" t="s">
        <v>210</v>
      </c>
      <c r="CB1472" s="1" t="s">
        <v>229</v>
      </c>
      <c r="CC1472" s="1" t="s">
        <v>1190</v>
      </c>
      <c r="CD1472" s="1" t="s">
        <v>206</v>
      </c>
      <c r="CE1472" s="1" t="s">
        <v>207</v>
      </c>
      <c r="CF1472" s="1" t="s">
        <v>229</v>
      </c>
      <c r="CG1472" s="1" t="s">
        <v>269</v>
      </c>
      <c r="CH1472" s="1" t="s">
        <v>209</v>
      </c>
      <c r="CI1472" s="1" t="s">
        <v>210</v>
      </c>
      <c r="CJ1472" s="1" t="s">
        <v>229</v>
      </c>
      <c r="CK1472" s="1" t="s">
        <v>1417</v>
      </c>
      <c r="CL1472" s="1" t="s">
        <v>209</v>
      </c>
      <c r="CM1472" s="1" t="s">
        <v>210</v>
      </c>
      <c r="CN1472" s="1" t="s">
        <v>229</v>
      </c>
      <c r="CO1472" s="1" t="s">
        <v>212</v>
      </c>
      <c r="CP1472" s="1" t="s">
        <v>209</v>
      </c>
      <c r="CQ1472" s="1" t="s">
        <v>210</v>
      </c>
      <c r="CR1472" s="1" t="s">
        <v>229</v>
      </c>
      <c r="CS1472" s="1" t="s">
        <v>830</v>
      </c>
      <c r="CT1472" s="1" t="s">
        <v>206</v>
      </c>
      <c r="CU1472" s="1" t="s">
        <v>207</v>
      </c>
      <c r="CV1472" s="1" t="s">
        <v>229</v>
      </c>
      <c r="CW1472" s="1" t="s">
        <v>364</v>
      </c>
      <c r="CX1472" s="1" t="s">
        <v>206</v>
      </c>
      <c r="CY1472" s="1" t="s">
        <v>207</v>
      </c>
      <c r="CZ1472" s="1" t="s">
        <v>229</v>
      </c>
      <c r="DA1472" s="1" t="s">
        <v>192</v>
      </c>
      <c r="DB1472" s="2">
        <v>41831.0</v>
      </c>
      <c r="DC1472" s="1" t="s">
        <v>1353</v>
      </c>
      <c r="DD1472" s="1" t="s">
        <v>731</v>
      </c>
      <c r="DE1472" s="1" t="s">
        <v>218</v>
      </c>
      <c r="DF1472" s="1" t="s">
        <v>619</v>
      </c>
      <c r="DG1472" s="1" t="s">
        <v>2747</v>
      </c>
      <c r="DH1472" s="1" t="s">
        <v>220</v>
      </c>
      <c r="DI1472" s="1" t="s">
        <v>5873</v>
      </c>
      <c r="DJ1472" s="1" t="s">
        <v>222</v>
      </c>
      <c r="DK1472" s="1" t="s">
        <v>223</v>
      </c>
      <c r="DL1472" s="1" t="s">
        <v>484</v>
      </c>
      <c r="DM1472" s="1" t="s">
        <v>1022</v>
      </c>
      <c r="DN1472" s="1" t="s">
        <v>11140</v>
      </c>
      <c r="DO1472" s="1" t="s">
        <v>486</v>
      </c>
      <c r="DP1472" s="1" t="s">
        <v>340</v>
      </c>
      <c r="DQ1472" s="1" t="s">
        <v>228</v>
      </c>
      <c r="DR1472" s="1" t="s">
        <v>229</v>
      </c>
      <c r="DS1472" s="1" t="s">
        <v>368</v>
      </c>
      <c r="DU1472" s="1" t="s">
        <v>1049</v>
      </c>
      <c r="DV1472" s="1" t="s">
        <v>15097</v>
      </c>
      <c r="DW1472" s="1" t="s">
        <v>588</v>
      </c>
      <c r="DX1472" s="1" t="s">
        <v>309</v>
      </c>
      <c r="DY1472" s="1" t="s">
        <v>1051</v>
      </c>
      <c r="DZ1472" s="1" t="s">
        <v>1466</v>
      </c>
      <c r="EA1472" s="1" t="s">
        <v>344</v>
      </c>
      <c r="EB1472" s="1" t="s">
        <v>5230</v>
      </c>
      <c r="EC1472" s="1" t="s">
        <v>237</v>
      </c>
      <c r="ED1472" s="1" t="s">
        <v>1406</v>
      </c>
      <c r="EG1472" s="1" t="s">
        <v>556</v>
      </c>
      <c r="EH1472" s="1" t="s">
        <v>408</v>
      </c>
      <c r="EI1472" s="1" t="s">
        <v>409</v>
      </c>
      <c r="EJ1472" s="1" t="s">
        <v>2877</v>
      </c>
      <c r="EL1472" s="1" t="s">
        <v>1417</v>
      </c>
      <c r="EM1472" s="1" t="s">
        <v>206</v>
      </c>
      <c r="EN1472" s="1" t="s">
        <v>207</v>
      </c>
      <c r="EO1472" s="1" t="s">
        <v>229</v>
      </c>
      <c r="EP1472" s="1" t="s">
        <v>6296</v>
      </c>
      <c r="EQ1472" s="1" t="s">
        <v>206</v>
      </c>
      <c r="ER1472" s="1" t="s">
        <v>207</v>
      </c>
      <c r="ES1472" s="1" t="s">
        <v>229</v>
      </c>
      <c r="ET1472" s="1" t="s">
        <v>971</v>
      </c>
      <c r="EU1472" s="1" t="s">
        <v>209</v>
      </c>
      <c r="EV1472" s="1" t="s">
        <v>210</v>
      </c>
      <c r="EW1472" s="1" t="s">
        <v>229</v>
      </c>
      <c r="EX1472" s="1" t="s">
        <v>8737</v>
      </c>
      <c r="EY1472" s="1" t="s">
        <v>206</v>
      </c>
      <c r="EZ1472" s="1" t="s">
        <v>207</v>
      </c>
      <c r="FA1472" s="1" t="s">
        <v>229</v>
      </c>
      <c r="FC1472" s="1" t="s">
        <v>238</v>
      </c>
      <c r="FF1472" s="1" t="s">
        <v>239</v>
      </c>
      <c r="FG1472" s="1" t="s">
        <v>192</v>
      </c>
      <c r="FH1472" s="1" t="s">
        <v>192</v>
      </c>
      <c r="FJ1472" s="1" t="s">
        <v>624</v>
      </c>
      <c r="FK1472" s="1" t="s">
        <v>229</v>
      </c>
      <c r="FL1472" s="1" t="s">
        <v>625</v>
      </c>
      <c r="FM1472" s="1">
        <v>37.0</v>
      </c>
      <c r="FN1472" s="1" t="s">
        <v>626</v>
      </c>
      <c r="FO1472" s="1" t="s">
        <v>7657</v>
      </c>
      <c r="FP1472" s="1">
        <v>486.0</v>
      </c>
      <c r="FQ1472" s="1" t="s">
        <v>7658</v>
      </c>
      <c r="FU1472" s="1" t="s">
        <v>15098</v>
      </c>
      <c r="FV1472" s="1" t="s">
        <v>200</v>
      </c>
      <c r="FW1472" s="1" t="s">
        <v>15099</v>
      </c>
      <c r="FX1472" s="1" t="s">
        <v>655</v>
      </c>
      <c r="FZ1472" s="1" t="s">
        <v>632</v>
      </c>
      <c r="GA1472" s="1" t="s">
        <v>291</v>
      </c>
      <c r="GB1472" s="2">
        <v>41999.0</v>
      </c>
      <c r="GC1472" s="1" t="s">
        <v>15100</v>
      </c>
    </row>
    <row r="1473">
      <c r="A1473" s="1">
        <v>255000.0</v>
      </c>
      <c r="B1473" s="1" t="s">
        <v>185</v>
      </c>
      <c r="C1473" s="1" t="str">
        <f>"08697467"</f>
        <v>08697467</v>
      </c>
      <c r="D1473" s="1" t="s">
        <v>186</v>
      </c>
      <c r="F1473" s="1" t="str">
        <f>"8064"</f>
        <v>8064</v>
      </c>
      <c r="G1473" s="2">
        <v>41860.0</v>
      </c>
      <c r="H1473" s="1">
        <v>289900.0</v>
      </c>
      <c r="I1473" s="1">
        <v>217.0</v>
      </c>
      <c r="J1473" s="1">
        <v>263500.0</v>
      </c>
      <c r="K1473" s="2">
        <v>42076.0</v>
      </c>
      <c r="L1473" s="1">
        <v>217.0</v>
      </c>
      <c r="M1473" s="2">
        <v>42076.0</v>
      </c>
      <c r="N1473" s="1" t="s">
        <v>356</v>
      </c>
      <c r="O1473" s="2">
        <v>42115.0</v>
      </c>
      <c r="P1473" s="1">
        <v>704973.0</v>
      </c>
      <c r="Q1473" s="1">
        <v>72501.0</v>
      </c>
      <c r="R1473" s="1">
        <v>2000.0</v>
      </c>
      <c r="S1473" s="1">
        <v>6046.0</v>
      </c>
      <c r="T1473" s="1" t="s">
        <v>14429</v>
      </c>
      <c r="U1473" s="1" t="s">
        <v>189</v>
      </c>
      <c r="V1473" s="1" t="s">
        <v>190</v>
      </c>
      <c r="W1473" s="1">
        <v>60638.0</v>
      </c>
      <c r="X1473" s="1">
        <v>4420.0</v>
      </c>
      <c r="Y1473" s="1" t="s">
        <v>15101</v>
      </c>
      <c r="Z1473" s="1" t="s">
        <v>296</v>
      </c>
      <c r="AA1473" s="1" t="s">
        <v>192</v>
      </c>
      <c r="AB1473" s="1" t="s">
        <v>193</v>
      </c>
      <c r="AD1473" s="1" t="s">
        <v>194</v>
      </c>
      <c r="AE1473" s="1" t="s">
        <v>195</v>
      </c>
      <c r="AF1473" s="1" t="s">
        <v>659</v>
      </c>
      <c r="AG1473" s="1" t="s">
        <v>15102</v>
      </c>
      <c r="AH1473" s="1" t="s">
        <v>1501</v>
      </c>
      <c r="AI1473" s="1">
        <v>0.0</v>
      </c>
      <c r="AK1473" s="1">
        <v>8.0</v>
      </c>
      <c r="AL1473" s="1">
        <v>4.0</v>
      </c>
      <c r="AM1473" s="1">
        <v>3.0</v>
      </c>
      <c r="AN1473" s="1">
        <v>0.0</v>
      </c>
      <c r="AO1473" s="1" t="s">
        <v>229</v>
      </c>
      <c r="AQ1473" s="1" t="s">
        <v>198</v>
      </c>
      <c r="AR1473" s="1" t="s">
        <v>192</v>
      </c>
      <c r="AS1473" s="1" t="s">
        <v>199</v>
      </c>
      <c r="AT1473" s="1">
        <v>2.0</v>
      </c>
      <c r="AV1473" s="1" t="s">
        <v>200</v>
      </c>
      <c r="AW1473" s="1">
        <v>2081.23</v>
      </c>
      <c r="AX1473" s="1">
        <v>2013.0</v>
      </c>
      <c r="AY1473" s="1" t="s">
        <v>387</v>
      </c>
      <c r="AZ1473" s="1" t="s">
        <v>200</v>
      </c>
      <c r="BA1473" s="1" t="str">
        <f>"19174110360000"</f>
        <v>19174110360000</v>
      </c>
      <c r="BB1473" s="1" t="s">
        <v>200</v>
      </c>
      <c r="BC1473" s="1">
        <v>2060.0</v>
      </c>
      <c r="BD1473" s="1">
        <v>255000.0</v>
      </c>
      <c r="BE1473" s="2">
        <v>41860.0</v>
      </c>
      <c r="BF1473" s="1" t="s">
        <v>15103</v>
      </c>
      <c r="BH1473" s="1">
        <v>0.0</v>
      </c>
      <c r="BK1473" s="1" t="s">
        <v>204</v>
      </c>
      <c r="BL1473" s="1" t="str">
        <f t="shared" ref="BL1473:BM1473" si="968">"0"</f>
        <v>0</v>
      </c>
      <c r="BM1473" s="1" t="str">
        <f t="shared" si="968"/>
        <v>0</v>
      </c>
      <c r="BN1473" s="1">
        <v>6100.0</v>
      </c>
      <c r="BO1473" s="1">
        <v>6046.0</v>
      </c>
      <c r="BQ1473" s="1">
        <v>299.0</v>
      </c>
      <c r="BR1473" s="1">
        <v>299.0</v>
      </c>
      <c r="BS1473" s="1">
        <v>299.0</v>
      </c>
      <c r="BU1473" s="1" t="s">
        <v>3387</v>
      </c>
      <c r="BV1473" s="1" t="s">
        <v>206</v>
      </c>
      <c r="BW1473" s="1" t="s">
        <v>207</v>
      </c>
      <c r="BY1473" s="1" t="s">
        <v>495</v>
      </c>
      <c r="BZ1473" s="1" t="s">
        <v>206</v>
      </c>
      <c r="CA1473" s="1" t="s">
        <v>207</v>
      </c>
      <c r="CC1473" s="1" t="s">
        <v>542</v>
      </c>
      <c r="CD1473" s="1" t="s">
        <v>206</v>
      </c>
      <c r="CE1473" s="1" t="s">
        <v>207</v>
      </c>
      <c r="CG1473" s="1" t="s">
        <v>269</v>
      </c>
      <c r="CH1473" s="1" t="s">
        <v>206</v>
      </c>
      <c r="CI1473" s="1" t="s">
        <v>207</v>
      </c>
      <c r="CK1473" s="1" t="s">
        <v>814</v>
      </c>
      <c r="CL1473" s="1" t="s">
        <v>206</v>
      </c>
      <c r="CM1473" s="1" t="s">
        <v>207</v>
      </c>
      <c r="CO1473" s="1" t="s">
        <v>1352</v>
      </c>
      <c r="CP1473" s="1" t="s">
        <v>209</v>
      </c>
      <c r="CQ1473" s="1" t="s">
        <v>210</v>
      </c>
      <c r="CS1473" s="1" t="s">
        <v>264</v>
      </c>
      <c r="CT1473" s="1" t="s">
        <v>206</v>
      </c>
      <c r="CU1473" s="1" t="s">
        <v>207</v>
      </c>
      <c r="CW1473" s="1" t="s">
        <v>1206</v>
      </c>
      <c r="CX1473" s="1" t="s">
        <v>42</v>
      </c>
      <c r="DA1473" s="1" t="s">
        <v>200</v>
      </c>
      <c r="DC1473" s="1" t="s">
        <v>545</v>
      </c>
      <c r="DE1473" s="1" t="s">
        <v>2851</v>
      </c>
      <c r="DF1473" s="1" t="s">
        <v>619</v>
      </c>
      <c r="DG1473" s="1" t="s">
        <v>337</v>
      </c>
      <c r="DH1473" s="1" t="s">
        <v>365</v>
      </c>
      <c r="DJ1473" s="1" t="s">
        <v>222</v>
      </c>
      <c r="DL1473" s="1" t="s">
        <v>224</v>
      </c>
      <c r="DM1473" s="1" t="s">
        <v>229</v>
      </c>
      <c r="DO1473" s="1" t="s">
        <v>549</v>
      </c>
      <c r="DQ1473" s="1" t="s">
        <v>228</v>
      </c>
      <c r="DR1473" s="1" t="s">
        <v>229</v>
      </c>
      <c r="DV1473" s="1" t="s">
        <v>232</v>
      </c>
      <c r="DW1473" s="1" t="s">
        <v>1145</v>
      </c>
      <c r="DX1473" s="1" t="s">
        <v>234</v>
      </c>
      <c r="DZ1473" s="1" t="s">
        <v>310</v>
      </c>
      <c r="EC1473" s="1" t="s">
        <v>645</v>
      </c>
      <c r="EM1473" s="1" t="s">
        <v>238</v>
      </c>
      <c r="EQ1473" s="1" t="s">
        <v>238</v>
      </c>
      <c r="EU1473" s="1" t="s">
        <v>238</v>
      </c>
      <c r="EY1473" s="1" t="s">
        <v>238</v>
      </c>
      <c r="FC1473" s="1" t="s">
        <v>238</v>
      </c>
      <c r="FF1473" s="1" t="s">
        <v>239</v>
      </c>
      <c r="FG1473" s="1" t="s">
        <v>192</v>
      </c>
      <c r="FH1473" s="1" t="s">
        <v>192</v>
      </c>
      <c r="FJ1473" s="1" t="s">
        <v>313</v>
      </c>
      <c r="FK1473" s="1" t="s">
        <v>348</v>
      </c>
      <c r="FL1473" s="1" t="s">
        <v>14561</v>
      </c>
      <c r="FM1473" s="1">
        <v>15484.0</v>
      </c>
      <c r="FN1473" s="1" t="s">
        <v>14562</v>
      </c>
      <c r="FO1473" s="1" t="s">
        <v>15104</v>
      </c>
      <c r="FP1473" s="1">
        <v>174569.0</v>
      </c>
      <c r="FQ1473" s="1" t="s">
        <v>15105</v>
      </c>
      <c r="FU1473" s="1" t="s">
        <v>15106</v>
      </c>
      <c r="FV1473" s="1" t="s">
        <v>192</v>
      </c>
      <c r="FW1473" s="1" t="s">
        <v>15107</v>
      </c>
      <c r="FX1473" s="1" t="s">
        <v>655</v>
      </c>
      <c r="FZ1473" s="1" t="s">
        <v>229</v>
      </c>
      <c r="GA1473" s="1" t="s">
        <v>291</v>
      </c>
      <c r="GB1473" s="2">
        <v>42116.0</v>
      </c>
    </row>
    <row r="1474">
      <c r="A1474" s="1">
        <v>119000.0</v>
      </c>
      <c r="B1474" s="1" t="s">
        <v>185</v>
      </c>
      <c r="C1474" s="1" t="str">
        <f>"08673855"</f>
        <v>08673855</v>
      </c>
      <c r="D1474" s="1" t="s">
        <v>186</v>
      </c>
      <c r="F1474" s="1" t="str">
        <f>"8071"</f>
        <v>8071</v>
      </c>
      <c r="G1474" s="2">
        <v>41835.0</v>
      </c>
      <c r="H1474" s="1">
        <v>149900.0</v>
      </c>
      <c r="I1474" s="1">
        <v>467.0</v>
      </c>
      <c r="J1474" s="1">
        <v>129000.0</v>
      </c>
      <c r="K1474" s="2">
        <v>41960.0</v>
      </c>
      <c r="L1474" s="1">
        <v>126.0</v>
      </c>
      <c r="M1474" s="2">
        <v>41960.0</v>
      </c>
      <c r="N1474" s="1" t="s">
        <v>356</v>
      </c>
      <c r="O1474" s="2">
        <v>42031.0</v>
      </c>
      <c r="P1474" s="1">
        <v>162742.0</v>
      </c>
      <c r="Q1474" s="1">
        <v>18594.0</v>
      </c>
      <c r="S1474" s="1">
        <v>8844.0</v>
      </c>
      <c r="T1474" s="1" t="s">
        <v>9947</v>
      </c>
      <c r="U1474" s="1" t="s">
        <v>189</v>
      </c>
      <c r="V1474" s="1" t="s">
        <v>190</v>
      </c>
      <c r="W1474" s="1">
        <v>60620.0</v>
      </c>
      <c r="Y1474" s="1" t="s">
        <v>15108</v>
      </c>
      <c r="Z1474" s="1">
        <v>2006.0</v>
      </c>
      <c r="AA1474" s="1" t="s">
        <v>200</v>
      </c>
      <c r="AB1474" s="1" t="s">
        <v>193</v>
      </c>
      <c r="AD1474" s="1" t="s">
        <v>194</v>
      </c>
      <c r="AE1474" s="1" t="s">
        <v>195</v>
      </c>
      <c r="AF1474" s="1" t="s">
        <v>1154</v>
      </c>
      <c r="AH1474" s="1" t="s">
        <v>15109</v>
      </c>
      <c r="AI1474" s="1">
        <v>0.1152</v>
      </c>
      <c r="AK1474" s="1">
        <v>7.0</v>
      </c>
      <c r="AL1474" s="1">
        <v>3.0</v>
      </c>
      <c r="AM1474" s="1">
        <v>3.0</v>
      </c>
      <c r="AN1474" s="1">
        <v>1.0</v>
      </c>
      <c r="AO1474" s="1" t="s">
        <v>198</v>
      </c>
      <c r="AP1474" s="1">
        <v>1.0</v>
      </c>
      <c r="AQ1474" s="1" t="s">
        <v>198</v>
      </c>
      <c r="AR1474" s="1" t="s">
        <v>192</v>
      </c>
      <c r="AS1474" s="1" t="s">
        <v>199</v>
      </c>
      <c r="AT1474" s="1">
        <v>2.0</v>
      </c>
      <c r="AV1474" s="1" t="s">
        <v>200</v>
      </c>
      <c r="AW1474" s="1">
        <v>2828.0</v>
      </c>
      <c r="AX1474" s="1">
        <v>2012.0</v>
      </c>
      <c r="AZ1474" s="1" t="s">
        <v>200</v>
      </c>
      <c r="BA1474" s="1" t="str">
        <f>"25041090340000"</f>
        <v>25041090340000</v>
      </c>
      <c r="BC1474" s="1">
        <v>2000.0</v>
      </c>
      <c r="BD1474" s="1">
        <v>119000.0</v>
      </c>
      <c r="BE1474" s="2">
        <v>41835.0</v>
      </c>
      <c r="BF1474" s="1" t="s">
        <v>15110</v>
      </c>
      <c r="BH1474" s="1">
        <v>0.0</v>
      </c>
      <c r="BK1474" s="1" t="s">
        <v>204</v>
      </c>
      <c r="BL1474" s="1" t="str">
        <f t="shared" ref="BL1474:BM1474" si="969">"0"</f>
        <v>0</v>
      </c>
      <c r="BM1474" s="1" t="str">
        <f t="shared" si="969"/>
        <v>0</v>
      </c>
      <c r="BN1474" s="1">
        <v>750.0</v>
      </c>
      <c r="BO1474" s="1">
        <v>8843.0</v>
      </c>
      <c r="BQ1474" s="1">
        <v>299.0</v>
      </c>
      <c r="BR1474" s="1">
        <v>299.0</v>
      </c>
      <c r="BS1474" s="1">
        <v>299.0</v>
      </c>
      <c r="BU1474" s="1" t="s">
        <v>2014</v>
      </c>
      <c r="BV1474" s="1" t="s">
        <v>206</v>
      </c>
      <c r="BW1474" s="1" t="s">
        <v>207</v>
      </c>
      <c r="BY1474" s="1" t="s">
        <v>2713</v>
      </c>
      <c r="BZ1474" s="1" t="s">
        <v>209</v>
      </c>
      <c r="CA1474" s="1" t="s">
        <v>210</v>
      </c>
      <c r="CC1474" s="1" t="s">
        <v>542</v>
      </c>
      <c r="CD1474" s="1" t="s">
        <v>206</v>
      </c>
      <c r="CE1474" s="1" t="s">
        <v>207</v>
      </c>
      <c r="CG1474" s="1" t="s">
        <v>663</v>
      </c>
      <c r="CH1474" s="1" t="s">
        <v>209</v>
      </c>
      <c r="CI1474" s="1" t="s">
        <v>210</v>
      </c>
      <c r="CK1474" s="1" t="s">
        <v>1190</v>
      </c>
      <c r="CL1474" s="1" t="s">
        <v>209</v>
      </c>
      <c r="CM1474" s="1" t="s">
        <v>210</v>
      </c>
      <c r="CO1474" s="1" t="s">
        <v>758</v>
      </c>
      <c r="CP1474" s="1" t="s">
        <v>42</v>
      </c>
      <c r="CS1474" s="1" t="s">
        <v>5955</v>
      </c>
      <c r="CT1474" s="1" t="s">
        <v>206</v>
      </c>
      <c r="CU1474" s="1" t="s">
        <v>207</v>
      </c>
      <c r="CX1474" s="1" t="s">
        <v>204</v>
      </c>
      <c r="DA1474" s="1" t="s">
        <v>200</v>
      </c>
      <c r="DC1474" s="1" t="s">
        <v>481</v>
      </c>
      <c r="DE1474" s="1" t="s">
        <v>273</v>
      </c>
      <c r="DF1474" s="1" t="s">
        <v>619</v>
      </c>
      <c r="DH1474" s="1" t="s">
        <v>365</v>
      </c>
      <c r="DJ1474" s="1" t="s">
        <v>222</v>
      </c>
      <c r="DL1474" s="1" t="s">
        <v>224</v>
      </c>
      <c r="DM1474" s="1" t="s">
        <v>229</v>
      </c>
      <c r="DQ1474" s="1" t="s">
        <v>228</v>
      </c>
      <c r="DR1474" s="1" t="s">
        <v>229</v>
      </c>
      <c r="DV1474" s="1" t="s">
        <v>232</v>
      </c>
      <c r="DW1474" s="1" t="s">
        <v>489</v>
      </c>
      <c r="DX1474" s="1" t="s">
        <v>234</v>
      </c>
      <c r="EC1474" s="1" t="s">
        <v>237</v>
      </c>
      <c r="EM1474" s="1" t="s">
        <v>238</v>
      </c>
      <c r="EQ1474" s="1" t="s">
        <v>238</v>
      </c>
      <c r="EU1474" s="1" t="s">
        <v>238</v>
      </c>
      <c r="EY1474" s="1" t="s">
        <v>238</v>
      </c>
      <c r="FC1474" s="1" t="s">
        <v>238</v>
      </c>
      <c r="FF1474" s="1" t="s">
        <v>239</v>
      </c>
      <c r="FG1474" s="1" t="s">
        <v>192</v>
      </c>
      <c r="FH1474" s="1" t="s">
        <v>192</v>
      </c>
      <c r="FJ1474" s="1" t="s">
        <v>15111</v>
      </c>
      <c r="FK1474" s="1" t="s">
        <v>229</v>
      </c>
      <c r="FL1474" s="1" t="s">
        <v>15112</v>
      </c>
      <c r="FM1474" s="1">
        <v>16496.0</v>
      </c>
      <c r="FN1474" s="1" t="s">
        <v>15113</v>
      </c>
      <c r="FO1474" s="1" t="s">
        <v>15114</v>
      </c>
      <c r="FP1474" s="1">
        <v>246035.0</v>
      </c>
      <c r="FR1474" s="1">
        <v>108887.0</v>
      </c>
      <c r="FU1474" s="1" t="s">
        <v>3313</v>
      </c>
      <c r="FV1474" s="1" t="s">
        <v>200</v>
      </c>
      <c r="FW1474" s="1" t="s">
        <v>290</v>
      </c>
      <c r="FX1474" s="1" t="s">
        <v>655</v>
      </c>
      <c r="FZ1474" s="1" t="s">
        <v>229</v>
      </c>
      <c r="GA1474" s="1" t="s">
        <v>291</v>
      </c>
      <c r="GB1474" s="2">
        <v>42073.0</v>
      </c>
    </row>
    <row r="1475">
      <c r="A1475" s="1">
        <v>347000.0</v>
      </c>
      <c r="B1475" s="1" t="s">
        <v>185</v>
      </c>
      <c r="C1475" s="1" t="str">
        <f>"08679466"</f>
        <v>08679466</v>
      </c>
      <c r="D1475" s="1" t="s">
        <v>186</v>
      </c>
      <c r="F1475" s="1" t="str">
        <f>"8002"</f>
        <v>8002</v>
      </c>
      <c r="G1475" s="2">
        <v>41841.0</v>
      </c>
      <c r="H1475" s="1">
        <v>419900.0</v>
      </c>
      <c r="I1475" s="1">
        <v>162.0</v>
      </c>
      <c r="J1475" s="1">
        <v>359000.0</v>
      </c>
      <c r="K1475" s="2">
        <v>42002.0</v>
      </c>
      <c r="L1475" s="1">
        <v>162.0</v>
      </c>
      <c r="M1475" s="2">
        <v>42002.0</v>
      </c>
      <c r="N1475" s="1" t="s">
        <v>187</v>
      </c>
      <c r="O1475" s="2">
        <v>42046.0</v>
      </c>
      <c r="P1475" s="1">
        <v>129108.0</v>
      </c>
      <c r="Q1475" s="1">
        <v>84794.0</v>
      </c>
      <c r="R1475" s="1">
        <v>3500.0</v>
      </c>
      <c r="S1475" s="1">
        <v>3046.0</v>
      </c>
      <c r="T1475" s="1" t="s">
        <v>15115</v>
      </c>
      <c r="U1475" s="1" t="s">
        <v>189</v>
      </c>
      <c r="V1475" s="1" t="s">
        <v>190</v>
      </c>
      <c r="W1475" s="1">
        <v>60645.0</v>
      </c>
      <c r="Y1475" s="1" t="s">
        <v>15116</v>
      </c>
      <c r="Z1475" s="1">
        <v>1952.0</v>
      </c>
      <c r="AA1475" s="1" t="s">
        <v>192</v>
      </c>
      <c r="AB1475" s="1" t="s">
        <v>193</v>
      </c>
      <c r="AD1475" s="1" t="s">
        <v>194</v>
      </c>
      <c r="AE1475" s="1" t="s">
        <v>195</v>
      </c>
      <c r="AF1475" s="1" t="s">
        <v>2323</v>
      </c>
      <c r="AG1475" s="1" t="s">
        <v>15117</v>
      </c>
      <c r="AH1475" s="1" t="s">
        <v>2164</v>
      </c>
      <c r="AI1475" s="1">
        <v>0.1205</v>
      </c>
      <c r="AK1475" s="1">
        <v>9.0</v>
      </c>
      <c r="AL1475" s="1">
        <v>2.0</v>
      </c>
      <c r="AM1475" s="1">
        <v>2.0</v>
      </c>
      <c r="AN1475" s="1">
        <v>0.0</v>
      </c>
      <c r="AO1475" s="1" t="s">
        <v>229</v>
      </c>
      <c r="AQ1475" s="1" t="s">
        <v>198</v>
      </c>
      <c r="AR1475" s="1" t="s">
        <v>192</v>
      </c>
      <c r="AS1475" s="1" t="s">
        <v>199</v>
      </c>
      <c r="AT1475" s="1">
        <v>2.5</v>
      </c>
      <c r="AV1475" s="1" t="s">
        <v>200</v>
      </c>
      <c r="AW1475" s="1">
        <v>3962.19</v>
      </c>
      <c r="AX1475" s="1">
        <v>2012.0</v>
      </c>
      <c r="AZ1475" s="1" t="s">
        <v>200</v>
      </c>
      <c r="BA1475" s="1" t="str">
        <f>"10253220400000"</f>
        <v>10253220400000</v>
      </c>
      <c r="BB1475" s="1" t="s">
        <v>200</v>
      </c>
      <c r="BC1475" s="1">
        <v>1600.0</v>
      </c>
      <c r="BD1475" s="1">
        <v>347000.0</v>
      </c>
      <c r="BE1475" s="2">
        <v>41841.0</v>
      </c>
      <c r="BF1475" s="2" t="s">
        <v>15118</v>
      </c>
      <c r="BH1475" s="1">
        <v>0.0</v>
      </c>
      <c r="BK1475" s="1" t="s">
        <v>204</v>
      </c>
      <c r="BL1475" s="1" t="str">
        <f>"7300"</f>
        <v>7300</v>
      </c>
      <c r="BM1475" s="1" t="str">
        <f>"0"</f>
        <v>0</v>
      </c>
      <c r="BN1475" s="1">
        <v>3046.0</v>
      </c>
      <c r="BO1475" s="1">
        <v>0.0</v>
      </c>
      <c r="BQ1475" s="1">
        <v>299.0</v>
      </c>
      <c r="BR1475" s="1">
        <v>299.0</v>
      </c>
      <c r="BS1475" s="1">
        <v>299.0</v>
      </c>
      <c r="BU1475" s="1" t="s">
        <v>1069</v>
      </c>
      <c r="BV1475" s="1" t="s">
        <v>206</v>
      </c>
      <c r="BW1475" s="1" t="s">
        <v>207</v>
      </c>
      <c r="BX1475" s="1" t="s">
        <v>431</v>
      </c>
      <c r="BY1475" s="1" t="s">
        <v>1068</v>
      </c>
      <c r="BZ1475" s="1" t="s">
        <v>206</v>
      </c>
      <c r="CA1475" s="1" t="s">
        <v>207</v>
      </c>
      <c r="CC1475" s="1" t="s">
        <v>1395</v>
      </c>
      <c r="CD1475" s="1" t="s">
        <v>206</v>
      </c>
      <c r="CE1475" s="1" t="s">
        <v>207</v>
      </c>
      <c r="CF1475" s="1" t="s">
        <v>229</v>
      </c>
      <c r="CG1475" s="1" t="s">
        <v>1190</v>
      </c>
      <c r="CH1475" s="1" t="s">
        <v>206</v>
      </c>
      <c r="CI1475" s="1" t="s">
        <v>207</v>
      </c>
      <c r="CK1475" s="1" t="s">
        <v>475</v>
      </c>
      <c r="CL1475" s="1" t="s">
        <v>42</v>
      </c>
      <c r="CM1475" s="1" t="s">
        <v>210</v>
      </c>
      <c r="CN1475" s="1" t="s">
        <v>229</v>
      </c>
      <c r="CO1475" s="1" t="s">
        <v>2852</v>
      </c>
      <c r="CP1475" s="1" t="s">
        <v>42</v>
      </c>
      <c r="CQ1475" s="1" t="s">
        <v>210</v>
      </c>
      <c r="CS1475" s="1" t="s">
        <v>1492</v>
      </c>
      <c r="CT1475" s="1" t="s">
        <v>206</v>
      </c>
      <c r="CU1475" s="1" t="s">
        <v>268</v>
      </c>
      <c r="CV1475" s="1" t="s">
        <v>431</v>
      </c>
      <c r="CW1475" s="1" t="s">
        <v>1067</v>
      </c>
      <c r="CX1475" s="1" t="s">
        <v>42</v>
      </c>
      <c r="CY1475" s="1" t="s">
        <v>210</v>
      </c>
      <c r="DA1475" s="1" t="s">
        <v>200</v>
      </c>
      <c r="DC1475" s="1" t="s">
        <v>702</v>
      </c>
      <c r="DD1475" s="1" t="s">
        <v>396</v>
      </c>
      <c r="DE1475" s="1" t="s">
        <v>273</v>
      </c>
      <c r="DF1475" s="1" t="s">
        <v>219</v>
      </c>
      <c r="DH1475" s="1" t="s">
        <v>307</v>
      </c>
      <c r="DI1475" s="1" t="s">
        <v>1223</v>
      </c>
      <c r="DJ1475" s="1" t="s">
        <v>222</v>
      </c>
      <c r="DL1475" s="1" t="s">
        <v>1161</v>
      </c>
      <c r="DM1475" s="1" t="s">
        <v>229</v>
      </c>
      <c r="DO1475" s="1" t="s">
        <v>549</v>
      </c>
      <c r="DP1475" s="1" t="s">
        <v>340</v>
      </c>
      <c r="DQ1475" s="1" t="s">
        <v>794</v>
      </c>
      <c r="DR1475" s="1" t="s">
        <v>229</v>
      </c>
      <c r="DS1475" s="1" t="s">
        <v>401</v>
      </c>
      <c r="DV1475" s="1" t="s">
        <v>15119</v>
      </c>
      <c r="DW1475" s="1" t="s">
        <v>279</v>
      </c>
      <c r="DX1475" s="1" t="s">
        <v>309</v>
      </c>
      <c r="DZ1475" s="1" t="s">
        <v>343</v>
      </c>
      <c r="EA1475" s="1" t="s">
        <v>683</v>
      </c>
      <c r="EC1475" s="1" t="s">
        <v>685</v>
      </c>
      <c r="ED1475" s="1" t="s">
        <v>5333</v>
      </c>
      <c r="EG1475" s="1" t="s">
        <v>598</v>
      </c>
      <c r="EJ1475" s="1" t="s">
        <v>1270</v>
      </c>
      <c r="EK1475" s="1" t="s">
        <v>374</v>
      </c>
      <c r="EL1475" s="1" t="s">
        <v>2425</v>
      </c>
      <c r="EM1475" s="1" t="s">
        <v>206</v>
      </c>
      <c r="EN1475" s="1" t="s">
        <v>207</v>
      </c>
      <c r="EQ1475" s="1" t="s">
        <v>238</v>
      </c>
      <c r="EU1475" s="1" t="s">
        <v>238</v>
      </c>
      <c r="EX1475" s="1" t="s">
        <v>8357</v>
      </c>
      <c r="EY1475" s="1" t="s">
        <v>42</v>
      </c>
      <c r="EZ1475" s="1" t="s">
        <v>588</v>
      </c>
      <c r="FB1475" s="1" t="s">
        <v>303</v>
      </c>
      <c r="FC1475" s="1" t="s">
        <v>206</v>
      </c>
      <c r="FD1475" s="1" t="s">
        <v>588</v>
      </c>
      <c r="FF1475" s="1" t="s">
        <v>239</v>
      </c>
      <c r="FG1475" s="1" t="s">
        <v>192</v>
      </c>
      <c r="FH1475" s="1" t="s">
        <v>192</v>
      </c>
      <c r="FJ1475" s="1" t="s">
        <v>3299</v>
      </c>
      <c r="FK1475" s="1" t="s">
        <v>348</v>
      </c>
      <c r="FL1475" s="1" t="s">
        <v>15120</v>
      </c>
      <c r="FM1475" s="1">
        <v>12397.0</v>
      </c>
      <c r="FN1475" s="1" t="s">
        <v>15121</v>
      </c>
      <c r="FO1475" s="1" t="s">
        <v>15122</v>
      </c>
      <c r="FP1475" s="1">
        <v>110608.0</v>
      </c>
      <c r="FQ1475" s="1" t="s">
        <v>15121</v>
      </c>
      <c r="FU1475" s="1" t="s">
        <v>15123</v>
      </c>
      <c r="FV1475" s="1" t="s">
        <v>200</v>
      </c>
      <c r="FW1475" s="1" t="s">
        <v>15124</v>
      </c>
      <c r="FX1475" s="1" t="s">
        <v>246</v>
      </c>
      <c r="FZ1475" s="1" t="s">
        <v>229</v>
      </c>
      <c r="GA1475" s="1" t="s">
        <v>291</v>
      </c>
      <c r="GB1475" s="2">
        <v>42122.0</v>
      </c>
      <c r="GC1475" s="1" t="s">
        <v>15125</v>
      </c>
    </row>
    <row r="1476">
      <c r="A1476" s="1">
        <v>35000.0</v>
      </c>
      <c r="B1476" s="1" t="s">
        <v>185</v>
      </c>
      <c r="C1476" s="1" t="str">
        <f>"08681033"</f>
        <v>08681033</v>
      </c>
      <c r="D1476" s="1" t="s">
        <v>186</v>
      </c>
      <c r="F1476" s="1" t="str">
        <f>"135"</f>
        <v>135</v>
      </c>
      <c r="G1476" s="2">
        <v>41843.0</v>
      </c>
      <c r="H1476" s="1">
        <v>68600.0</v>
      </c>
      <c r="I1476" s="1">
        <v>211.0</v>
      </c>
      <c r="J1476" s="1">
        <v>29500.0</v>
      </c>
      <c r="K1476" s="2">
        <v>42053.0</v>
      </c>
      <c r="L1476" s="1">
        <v>211.0</v>
      </c>
      <c r="M1476" s="2">
        <v>42053.0</v>
      </c>
      <c r="N1476" s="1" t="s">
        <v>187</v>
      </c>
      <c r="O1476" s="2">
        <v>42090.0</v>
      </c>
      <c r="P1476" s="1">
        <v>55955.0</v>
      </c>
      <c r="Q1476" s="1">
        <v>5148.0</v>
      </c>
      <c r="S1476" s="1">
        <v>127.0</v>
      </c>
      <c r="T1476" s="1" t="s">
        <v>15126</v>
      </c>
      <c r="U1476" s="1" t="s">
        <v>320</v>
      </c>
      <c r="V1476" s="1" t="s">
        <v>10122</v>
      </c>
      <c r="W1476" s="1">
        <v>60135.0</v>
      </c>
      <c r="Y1476" s="1" t="s">
        <v>15127</v>
      </c>
      <c r="Z1476" s="1">
        <v>1915.0</v>
      </c>
      <c r="AA1476" s="1" t="s">
        <v>192</v>
      </c>
      <c r="AB1476" s="1" t="s">
        <v>193</v>
      </c>
      <c r="AD1476" s="1" t="s">
        <v>10124</v>
      </c>
      <c r="AE1476" s="1" t="s">
        <v>613</v>
      </c>
      <c r="AF1476" s="1" t="s">
        <v>10124</v>
      </c>
      <c r="AH1476" s="1" t="s">
        <v>15128</v>
      </c>
      <c r="AK1476" s="1">
        <v>7.0</v>
      </c>
      <c r="AL1476" s="1">
        <v>4.0</v>
      </c>
      <c r="AM1476" s="1">
        <v>1.0</v>
      </c>
      <c r="AN1476" s="1">
        <v>0.0</v>
      </c>
      <c r="AO1476" s="1" t="s">
        <v>229</v>
      </c>
      <c r="AQ1476" s="1" t="s">
        <v>198</v>
      </c>
      <c r="AR1476" s="1" t="s">
        <v>200</v>
      </c>
      <c r="AS1476" s="1" t="s">
        <v>199</v>
      </c>
      <c r="AT1476" s="1">
        <v>3.0</v>
      </c>
      <c r="AV1476" s="1" t="s">
        <v>200</v>
      </c>
      <c r="AW1476" s="1">
        <v>4539.88</v>
      </c>
      <c r="AX1476" s="1">
        <v>2013.0</v>
      </c>
      <c r="AZ1476" s="1" t="s">
        <v>200</v>
      </c>
      <c r="BA1476" s="1" t="str">
        <f>"0319478014"</f>
        <v>0319478014</v>
      </c>
      <c r="BC1476" s="1">
        <v>1536.0</v>
      </c>
      <c r="BD1476" s="1">
        <v>35000.0</v>
      </c>
      <c r="BE1476" s="2">
        <v>41843.0</v>
      </c>
      <c r="BF1476" s="1" t="s">
        <v>15129</v>
      </c>
      <c r="BH1476" s="1">
        <v>0.0</v>
      </c>
      <c r="BK1476" s="1" t="s">
        <v>204</v>
      </c>
      <c r="BL1476" s="1" t="str">
        <f t="shared" ref="BL1476:BM1476" si="970">""</f>
        <v/>
      </c>
      <c r="BM1476" s="1" t="str">
        <f t="shared" si="970"/>
        <v/>
      </c>
      <c r="BQ1476" s="1">
        <v>424.0</v>
      </c>
      <c r="BR1476" s="1">
        <v>424.0</v>
      </c>
      <c r="BS1476" s="1">
        <v>424.0</v>
      </c>
      <c r="BU1476" s="1" t="s">
        <v>1064</v>
      </c>
      <c r="BV1476" s="1" t="s">
        <v>206</v>
      </c>
      <c r="BY1476" s="1" t="s">
        <v>1351</v>
      </c>
      <c r="BZ1476" s="1" t="s">
        <v>209</v>
      </c>
      <c r="CC1476" s="1" t="s">
        <v>830</v>
      </c>
      <c r="CD1476" s="1" t="s">
        <v>206</v>
      </c>
      <c r="CG1476" s="1" t="s">
        <v>1064</v>
      </c>
      <c r="CH1476" s="1" t="s">
        <v>209</v>
      </c>
      <c r="CK1476" s="1" t="s">
        <v>830</v>
      </c>
      <c r="CL1476" s="1" t="s">
        <v>209</v>
      </c>
      <c r="CO1476" s="1" t="s">
        <v>1064</v>
      </c>
      <c r="CP1476" s="1" t="s">
        <v>209</v>
      </c>
      <c r="CS1476" s="1" t="s">
        <v>662</v>
      </c>
      <c r="CT1476" s="1" t="s">
        <v>206</v>
      </c>
      <c r="CX1476" s="1" t="s">
        <v>204</v>
      </c>
      <c r="DA1476" s="1" t="s">
        <v>200</v>
      </c>
      <c r="DC1476" s="1" t="s">
        <v>216</v>
      </c>
      <c r="DE1476" s="1" t="s">
        <v>229</v>
      </c>
      <c r="DF1476" s="1" t="s">
        <v>219</v>
      </c>
      <c r="DH1476" s="1" t="s">
        <v>220</v>
      </c>
      <c r="DJ1476" s="1" t="s">
        <v>222</v>
      </c>
      <c r="DL1476" s="1" t="s">
        <v>223</v>
      </c>
      <c r="DM1476" s="1" t="s">
        <v>229</v>
      </c>
      <c r="DQ1476" s="1" t="s">
        <v>441</v>
      </c>
      <c r="DR1476" s="1" t="s">
        <v>229</v>
      </c>
      <c r="DV1476" s="1" t="s">
        <v>232</v>
      </c>
      <c r="DW1476" s="1" t="s">
        <v>588</v>
      </c>
      <c r="DX1476" s="1" t="s">
        <v>3205</v>
      </c>
      <c r="EC1476" s="1" t="s">
        <v>237</v>
      </c>
      <c r="EM1476" s="1" t="s">
        <v>238</v>
      </c>
      <c r="EQ1476" s="1" t="s">
        <v>238</v>
      </c>
      <c r="EU1476" s="1" t="s">
        <v>238</v>
      </c>
      <c r="EY1476" s="1" t="s">
        <v>238</v>
      </c>
      <c r="FC1476" s="1" t="s">
        <v>238</v>
      </c>
      <c r="FF1476" s="1" t="s">
        <v>239</v>
      </c>
      <c r="FG1476" s="1" t="s">
        <v>192</v>
      </c>
      <c r="FH1476" s="1" t="s">
        <v>192</v>
      </c>
      <c r="FJ1476" s="1" t="s">
        <v>15130</v>
      </c>
      <c r="FK1476" s="1" t="s">
        <v>229</v>
      </c>
      <c r="FL1476" s="1" t="s">
        <v>15131</v>
      </c>
      <c r="FM1476" s="1">
        <v>93134.0</v>
      </c>
      <c r="FN1476" s="1" t="s">
        <v>15132</v>
      </c>
      <c r="FO1476" s="1" t="s">
        <v>15133</v>
      </c>
      <c r="FP1476" s="1">
        <v>930015.0</v>
      </c>
      <c r="FQ1476" s="1" t="s">
        <v>15132</v>
      </c>
      <c r="FU1476" s="1" t="s">
        <v>15134</v>
      </c>
      <c r="FV1476" s="1" t="s">
        <v>200</v>
      </c>
      <c r="FW1476" s="1" t="s">
        <v>15135</v>
      </c>
      <c r="FX1476" s="1" t="s">
        <v>655</v>
      </c>
      <c r="FZ1476" s="1" t="s">
        <v>229</v>
      </c>
      <c r="GA1476" s="1" t="s">
        <v>291</v>
      </c>
      <c r="GB1476" s="2">
        <v>42093.0</v>
      </c>
      <c r="GC1476" s="1" t="s">
        <v>15136</v>
      </c>
    </row>
    <row r="1477">
      <c r="A1477" s="1">
        <v>510000.0</v>
      </c>
      <c r="B1477" s="1" t="s">
        <v>185</v>
      </c>
      <c r="C1477" s="1" t="str">
        <f>"08684801"</f>
        <v>08684801</v>
      </c>
      <c r="D1477" s="1" t="s">
        <v>186</v>
      </c>
      <c r="F1477" s="1" t="str">
        <f>"10"</f>
        <v>10</v>
      </c>
      <c r="G1477" s="2">
        <v>41848.0</v>
      </c>
      <c r="H1477" s="1">
        <v>565000.0</v>
      </c>
      <c r="I1477" s="1">
        <v>88.0</v>
      </c>
      <c r="J1477" s="1">
        <v>529000.0</v>
      </c>
      <c r="K1477" s="2">
        <v>41935.0</v>
      </c>
      <c r="L1477" s="1">
        <v>88.0</v>
      </c>
      <c r="M1477" s="2">
        <v>41935.0</v>
      </c>
      <c r="N1477" s="1" t="s">
        <v>187</v>
      </c>
      <c r="O1477" s="2">
        <v>41975.0</v>
      </c>
      <c r="P1477" s="1">
        <v>80386.0</v>
      </c>
      <c r="Q1477" s="1">
        <v>8098.0</v>
      </c>
      <c r="S1477" s="1">
        <v>265.0</v>
      </c>
      <c r="T1477" s="1" t="s">
        <v>15137</v>
      </c>
      <c r="U1477" s="1" t="s">
        <v>464</v>
      </c>
      <c r="V1477" s="1" t="s">
        <v>1706</v>
      </c>
      <c r="W1477" s="1">
        <v>60010.0</v>
      </c>
      <c r="Y1477" s="1" t="s">
        <v>15138</v>
      </c>
      <c r="Z1477" s="1">
        <v>1968.0</v>
      </c>
      <c r="AA1477" s="1" t="s">
        <v>192</v>
      </c>
      <c r="AB1477" s="1" t="s">
        <v>467</v>
      </c>
      <c r="AC1477" s="1" t="s">
        <v>4556</v>
      </c>
      <c r="AD1477" s="1" t="s">
        <v>1948</v>
      </c>
      <c r="AE1477" s="1" t="s">
        <v>917</v>
      </c>
      <c r="AF1477" s="1" t="s">
        <v>918</v>
      </c>
      <c r="AH1477" s="1" t="s">
        <v>15139</v>
      </c>
      <c r="AI1477" s="1">
        <v>0.5631</v>
      </c>
      <c r="AK1477" s="1">
        <v>11.0</v>
      </c>
      <c r="AL1477" s="1">
        <v>4.0</v>
      </c>
      <c r="AM1477" s="1">
        <v>2.0</v>
      </c>
      <c r="AN1477" s="1">
        <v>1.0</v>
      </c>
      <c r="AO1477" s="1" t="s">
        <v>198</v>
      </c>
      <c r="AP1477" s="1">
        <v>1.0</v>
      </c>
      <c r="AQ1477" s="1" t="s">
        <v>1314</v>
      </c>
      <c r="AR1477" s="1" t="s">
        <v>200</v>
      </c>
      <c r="AS1477" s="1" t="s">
        <v>199</v>
      </c>
      <c r="AT1477" s="1">
        <v>2.0</v>
      </c>
      <c r="AV1477" s="1" t="s">
        <v>200</v>
      </c>
      <c r="AW1477" s="1">
        <v>11763.31</v>
      </c>
      <c r="AX1477" s="1">
        <v>2012.0</v>
      </c>
      <c r="AY1477" s="1" t="s">
        <v>387</v>
      </c>
      <c r="AZ1477" s="1" t="s">
        <v>200</v>
      </c>
      <c r="BA1477" s="1" t="str">
        <f>"14314070210000"</f>
        <v>14314070210000</v>
      </c>
      <c r="BB1477" s="1" t="s">
        <v>200</v>
      </c>
      <c r="BC1477" s="1">
        <v>2633.0</v>
      </c>
      <c r="BD1477" s="1">
        <v>510000.0</v>
      </c>
      <c r="BE1477" s="2">
        <v>41848.0</v>
      </c>
      <c r="BF1477" s="2" t="s">
        <v>15140</v>
      </c>
      <c r="BG1477" s="1" t="s">
        <v>1712</v>
      </c>
      <c r="BH1477" s="1">
        <v>882.0</v>
      </c>
      <c r="BI1477" s="1" t="s">
        <v>2012</v>
      </c>
      <c r="BJ1477" s="1" t="s">
        <v>1714</v>
      </c>
      <c r="BK1477" s="1" t="s">
        <v>580</v>
      </c>
      <c r="BL1477" s="1" t="str">
        <f t="shared" ref="BL1477:BM1477" si="971">""</f>
        <v/>
      </c>
      <c r="BM1477" s="1" t="str">
        <f t="shared" si="971"/>
        <v/>
      </c>
      <c r="BQ1477" s="1">
        <v>220.0</v>
      </c>
      <c r="BR1477" s="1">
        <v>220.0</v>
      </c>
      <c r="BS1477" s="1">
        <v>220.0</v>
      </c>
      <c r="BU1477" s="1" t="s">
        <v>8759</v>
      </c>
      <c r="BV1477" s="1" t="s">
        <v>206</v>
      </c>
      <c r="BW1477" s="1" t="s">
        <v>207</v>
      </c>
      <c r="BX1477" s="1" t="s">
        <v>229</v>
      </c>
      <c r="BY1477" s="1" t="s">
        <v>434</v>
      </c>
      <c r="BZ1477" s="1" t="s">
        <v>209</v>
      </c>
      <c r="CA1477" s="1" t="s">
        <v>207</v>
      </c>
      <c r="CB1477" s="1" t="s">
        <v>229</v>
      </c>
      <c r="CC1477" s="1" t="s">
        <v>433</v>
      </c>
      <c r="CD1477" s="1" t="s">
        <v>206</v>
      </c>
      <c r="CE1477" s="1" t="s">
        <v>207</v>
      </c>
      <c r="CF1477" s="1" t="s">
        <v>229</v>
      </c>
      <c r="CG1477" s="1" t="s">
        <v>433</v>
      </c>
      <c r="CH1477" s="1" t="s">
        <v>209</v>
      </c>
      <c r="CI1477" s="1" t="s">
        <v>207</v>
      </c>
      <c r="CJ1477" s="1" t="s">
        <v>229</v>
      </c>
      <c r="CK1477" s="1" t="s">
        <v>264</v>
      </c>
      <c r="CL1477" s="1" t="s">
        <v>209</v>
      </c>
      <c r="CM1477" s="1" t="s">
        <v>207</v>
      </c>
      <c r="CN1477" s="1" t="s">
        <v>229</v>
      </c>
      <c r="CO1477" s="1" t="s">
        <v>433</v>
      </c>
      <c r="CP1477" s="1" t="s">
        <v>209</v>
      </c>
      <c r="CQ1477" s="1" t="s">
        <v>207</v>
      </c>
      <c r="CR1477" s="1" t="s">
        <v>229</v>
      </c>
      <c r="CS1477" s="1" t="s">
        <v>497</v>
      </c>
      <c r="CT1477" s="1" t="s">
        <v>206</v>
      </c>
      <c r="CU1477" s="1" t="s">
        <v>617</v>
      </c>
      <c r="CV1477" s="1" t="s">
        <v>229</v>
      </c>
      <c r="CW1477" s="1" t="s">
        <v>1117</v>
      </c>
      <c r="CX1477" s="1" t="s">
        <v>206</v>
      </c>
      <c r="CY1477" s="1" t="s">
        <v>207</v>
      </c>
      <c r="CZ1477" s="1" t="s">
        <v>229</v>
      </c>
      <c r="DA1477" s="1" t="s">
        <v>200</v>
      </c>
      <c r="DC1477" s="1" t="s">
        <v>517</v>
      </c>
      <c r="DD1477" s="1" t="s">
        <v>518</v>
      </c>
      <c r="DE1477" s="1" t="s">
        <v>273</v>
      </c>
      <c r="DF1477" s="1" t="s">
        <v>219</v>
      </c>
      <c r="DG1477" s="1" t="s">
        <v>15141</v>
      </c>
      <c r="DH1477" s="1" t="s">
        <v>1603</v>
      </c>
      <c r="DI1477" s="1" t="s">
        <v>1003</v>
      </c>
      <c r="DJ1477" s="1" t="s">
        <v>222</v>
      </c>
      <c r="DL1477" s="1" t="s">
        <v>1267</v>
      </c>
      <c r="DM1477" s="1" t="s">
        <v>1919</v>
      </c>
      <c r="DP1477" s="1" t="s">
        <v>340</v>
      </c>
      <c r="DQ1477" s="1" t="s">
        <v>1557</v>
      </c>
      <c r="DR1477" s="1" t="s">
        <v>4564</v>
      </c>
      <c r="DU1477" s="1" t="s">
        <v>15142</v>
      </c>
      <c r="DV1477" s="1" t="s">
        <v>443</v>
      </c>
      <c r="DW1477" s="1" t="s">
        <v>279</v>
      </c>
      <c r="DX1477" s="1" t="s">
        <v>234</v>
      </c>
      <c r="DY1477" s="1" t="s">
        <v>15143</v>
      </c>
      <c r="DZ1477" s="1" t="s">
        <v>282</v>
      </c>
      <c r="EA1477" s="1" t="s">
        <v>3308</v>
      </c>
      <c r="EB1477" s="1" t="s">
        <v>345</v>
      </c>
      <c r="EC1477" s="1" t="s">
        <v>237</v>
      </c>
      <c r="ED1477" s="1" t="s">
        <v>407</v>
      </c>
      <c r="EG1477" s="1" t="s">
        <v>449</v>
      </c>
      <c r="EH1477" s="1" t="s">
        <v>450</v>
      </c>
      <c r="EI1477" s="1" t="s">
        <v>451</v>
      </c>
      <c r="EL1477" s="1" t="s">
        <v>495</v>
      </c>
      <c r="EM1477" s="1" t="s">
        <v>206</v>
      </c>
      <c r="EN1477" s="1" t="s">
        <v>617</v>
      </c>
      <c r="EO1477" s="1" t="s">
        <v>229</v>
      </c>
      <c r="EP1477" s="1" t="s">
        <v>1286</v>
      </c>
      <c r="EQ1477" s="1" t="s">
        <v>42</v>
      </c>
      <c r="ER1477" s="1" t="s">
        <v>301</v>
      </c>
      <c r="ES1477" s="1" t="s">
        <v>229</v>
      </c>
      <c r="ET1477" s="1" t="s">
        <v>1043</v>
      </c>
      <c r="EU1477" s="1" t="s">
        <v>42</v>
      </c>
      <c r="EV1477" s="1" t="s">
        <v>301</v>
      </c>
      <c r="EW1477" s="1" t="s">
        <v>229</v>
      </c>
      <c r="EY1477" s="1" t="s">
        <v>238</v>
      </c>
      <c r="FC1477" s="1" t="s">
        <v>238</v>
      </c>
      <c r="FF1477" s="1" t="s">
        <v>239</v>
      </c>
      <c r="FG1477" s="1" t="s">
        <v>192</v>
      </c>
      <c r="FH1477" s="1" t="s">
        <v>192</v>
      </c>
      <c r="FJ1477" s="1" t="s">
        <v>1450</v>
      </c>
      <c r="FK1477" s="1" t="s">
        <v>229</v>
      </c>
      <c r="FL1477" s="1" t="s">
        <v>2026</v>
      </c>
      <c r="FM1477" s="1">
        <v>6018.0</v>
      </c>
      <c r="FN1477" s="1" t="s">
        <v>2027</v>
      </c>
      <c r="FO1477" s="1" t="s">
        <v>15144</v>
      </c>
      <c r="FP1477" s="1">
        <v>62902.0</v>
      </c>
      <c r="FQ1477" s="1" t="s">
        <v>15145</v>
      </c>
      <c r="FU1477" s="1" t="s">
        <v>15146</v>
      </c>
      <c r="FV1477" s="1" t="s">
        <v>200</v>
      </c>
      <c r="FW1477" s="1" t="s">
        <v>290</v>
      </c>
      <c r="FZ1477" s="1" t="s">
        <v>229</v>
      </c>
      <c r="GA1477" s="1" t="s">
        <v>291</v>
      </c>
      <c r="GB1477" s="2">
        <v>41975.0</v>
      </c>
      <c r="GC1477" s="1" t="s">
        <v>15147</v>
      </c>
    </row>
    <row r="1478">
      <c r="A1478" s="1">
        <v>210000.0</v>
      </c>
      <c r="B1478" s="1" t="s">
        <v>185</v>
      </c>
      <c r="C1478" s="1" t="str">
        <f>"08679918"</f>
        <v>08679918</v>
      </c>
      <c r="D1478" s="1" t="s">
        <v>186</v>
      </c>
      <c r="F1478" s="1" t="str">
        <f>"554"</f>
        <v>554</v>
      </c>
      <c r="G1478" s="2">
        <v>41842.0</v>
      </c>
      <c r="H1478" s="1">
        <v>251000.0</v>
      </c>
      <c r="I1478" s="1">
        <v>796.0</v>
      </c>
      <c r="J1478" s="1">
        <v>214900.0</v>
      </c>
      <c r="K1478" s="2">
        <v>41932.0</v>
      </c>
      <c r="L1478" s="1">
        <v>91.0</v>
      </c>
      <c r="M1478" s="2">
        <v>41932.0</v>
      </c>
      <c r="N1478" s="1" t="s">
        <v>187</v>
      </c>
      <c r="O1478" s="2">
        <v>42017.0</v>
      </c>
      <c r="P1478" s="1">
        <v>315204.0</v>
      </c>
      <c r="Q1478" s="1">
        <v>31380.0</v>
      </c>
      <c r="S1478" s="1">
        <v>1334.0</v>
      </c>
      <c r="T1478" s="1" t="s">
        <v>15148</v>
      </c>
      <c r="U1478" s="1" t="s">
        <v>569</v>
      </c>
      <c r="V1478" s="1" t="s">
        <v>2212</v>
      </c>
      <c r="W1478" s="1">
        <v>60554.0</v>
      </c>
      <c r="Y1478" s="1" t="s">
        <v>15149</v>
      </c>
      <c r="Z1478" s="1">
        <v>2005.0</v>
      </c>
      <c r="AA1478" s="1" t="s">
        <v>200</v>
      </c>
      <c r="AB1478" s="1" t="s">
        <v>193</v>
      </c>
      <c r="AD1478" s="1" t="s">
        <v>1887</v>
      </c>
      <c r="AE1478" s="1" t="s">
        <v>325</v>
      </c>
      <c r="AF1478" s="1" t="s">
        <v>1887</v>
      </c>
      <c r="AH1478" s="1" t="s">
        <v>15150</v>
      </c>
      <c r="AK1478" s="1">
        <v>8.0</v>
      </c>
      <c r="AL1478" s="1">
        <v>4.0</v>
      </c>
      <c r="AM1478" s="1">
        <v>2.0</v>
      </c>
      <c r="AN1478" s="1">
        <v>1.0</v>
      </c>
      <c r="AO1478" s="1" t="s">
        <v>198</v>
      </c>
      <c r="AQ1478" s="1" t="s">
        <v>198</v>
      </c>
      <c r="AR1478" s="1" t="s">
        <v>200</v>
      </c>
      <c r="AS1478" s="1" t="s">
        <v>199</v>
      </c>
      <c r="AT1478" s="1">
        <v>2.0</v>
      </c>
      <c r="AV1478" s="1" t="s">
        <v>200</v>
      </c>
      <c r="AW1478" s="1">
        <v>8562.0</v>
      </c>
      <c r="AX1478" s="1">
        <v>2012.0</v>
      </c>
      <c r="AZ1478" s="1" t="s">
        <v>200</v>
      </c>
      <c r="BA1478" s="1" t="str">
        <f>"1402453009"</f>
        <v>1402453009</v>
      </c>
      <c r="BC1478" s="1">
        <v>2917.0</v>
      </c>
      <c r="BD1478" s="1">
        <v>210000.0</v>
      </c>
      <c r="BE1478" s="2">
        <v>41842.0</v>
      </c>
      <c r="BF1478" s="2" t="s">
        <v>15151</v>
      </c>
      <c r="BH1478" s="1">
        <v>240.0</v>
      </c>
      <c r="BK1478" s="1" t="s">
        <v>580</v>
      </c>
      <c r="BL1478" s="1" t="str">
        <f t="shared" ref="BL1478:BM1478" si="972">""</f>
        <v/>
      </c>
      <c r="BM1478" s="1" t="str">
        <f t="shared" si="972"/>
        <v/>
      </c>
      <c r="BQ1478" s="1">
        <v>302.0</v>
      </c>
      <c r="BR1478" s="1">
        <v>302.0</v>
      </c>
      <c r="BS1478" s="1">
        <v>302.0</v>
      </c>
      <c r="BU1478" s="1" t="s">
        <v>393</v>
      </c>
      <c r="BV1478" s="1" t="s">
        <v>206</v>
      </c>
      <c r="BY1478" s="1" t="s">
        <v>1350</v>
      </c>
      <c r="BZ1478" s="1" t="s">
        <v>209</v>
      </c>
      <c r="CC1478" s="1" t="s">
        <v>478</v>
      </c>
      <c r="CD1478" s="1" t="s">
        <v>206</v>
      </c>
      <c r="CG1478" s="1" t="s">
        <v>302</v>
      </c>
      <c r="CH1478" s="1" t="s">
        <v>209</v>
      </c>
      <c r="CK1478" s="1" t="s">
        <v>302</v>
      </c>
      <c r="CL1478" s="1" t="s">
        <v>209</v>
      </c>
      <c r="CO1478" s="1" t="s">
        <v>497</v>
      </c>
      <c r="CP1478" s="1" t="s">
        <v>209</v>
      </c>
      <c r="CS1478" s="1" t="s">
        <v>300</v>
      </c>
      <c r="CT1478" s="1" t="s">
        <v>206</v>
      </c>
      <c r="CX1478" s="1" t="s">
        <v>204</v>
      </c>
      <c r="DA1478" s="1" t="s">
        <v>200</v>
      </c>
      <c r="DC1478" s="1" t="s">
        <v>481</v>
      </c>
      <c r="DE1478" s="1" t="s">
        <v>273</v>
      </c>
      <c r="DF1478" s="1" t="s">
        <v>219</v>
      </c>
      <c r="DH1478" s="1" t="s">
        <v>220</v>
      </c>
      <c r="DJ1478" s="1" t="s">
        <v>222</v>
      </c>
      <c r="DL1478" s="1" t="s">
        <v>223</v>
      </c>
      <c r="DM1478" s="1" t="s">
        <v>229</v>
      </c>
      <c r="DQ1478" s="1" t="s">
        <v>441</v>
      </c>
      <c r="DR1478" s="1" t="s">
        <v>229</v>
      </c>
      <c r="DV1478" s="1" t="s">
        <v>494</v>
      </c>
      <c r="DW1478" s="1" t="s">
        <v>891</v>
      </c>
      <c r="DX1478" s="1" t="s">
        <v>234</v>
      </c>
      <c r="EC1478" s="1" t="s">
        <v>237</v>
      </c>
      <c r="EG1478" s="1" t="s">
        <v>494</v>
      </c>
      <c r="EL1478" s="1" t="s">
        <v>302</v>
      </c>
      <c r="EM1478" s="1" t="s">
        <v>206</v>
      </c>
      <c r="EQ1478" s="1" t="s">
        <v>238</v>
      </c>
      <c r="EU1478" s="1" t="s">
        <v>238</v>
      </c>
      <c r="EY1478" s="1" t="s">
        <v>238</v>
      </c>
      <c r="FC1478" s="1" t="s">
        <v>238</v>
      </c>
      <c r="FF1478" s="1" t="s">
        <v>239</v>
      </c>
      <c r="FG1478" s="1" t="s">
        <v>192</v>
      </c>
      <c r="FH1478" s="1" t="s">
        <v>192</v>
      </c>
      <c r="FJ1478" s="1" t="s">
        <v>347</v>
      </c>
      <c r="FK1478" s="1" t="s">
        <v>229</v>
      </c>
      <c r="FL1478" s="1" t="s">
        <v>3443</v>
      </c>
      <c r="FM1478" s="1">
        <v>8658.0</v>
      </c>
      <c r="FN1478" s="1" t="s">
        <v>3444</v>
      </c>
      <c r="FO1478" s="1" t="s">
        <v>3445</v>
      </c>
      <c r="FP1478" s="1">
        <v>84760.0</v>
      </c>
      <c r="FQ1478" s="1" t="s">
        <v>3444</v>
      </c>
      <c r="FS1478" s="1" t="s">
        <v>11710</v>
      </c>
      <c r="FU1478" s="1" t="s">
        <v>710</v>
      </c>
      <c r="FV1478" s="1" t="s">
        <v>200</v>
      </c>
      <c r="FW1478" s="1" t="s">
        <v>290</v>
      </c>
      <c r="FZ1478" s="1" t="s">
        <v>229</v>
      </c>
      <c r="GA1478" s="1" t="s">
        <v>291</v>
      </c>
      <c r="GB1478" s="2">
        <v>42027.0</v>
      </c>
      <c r="GC1478" s="1" t="s">
        <v>11711</v>
      </c>
    </row>
    <row r="1479">
      <c r="A1479" s="1">
        <v>140000.0</v>
      </c>
      <c r="B1479" s="1" t="s">
        <v>185</v>
      </c>
      <c r="C1479" s="1" t="str">
        <f>"08683277"</f>
        <v>08683277</v>
      </c>
      <c r="D1479" s="1" t="s">
        <v>186</v>
      </c>
      <c r="F1479" s="1" t="str">
        <f>"8069"</f>
        <v>8069</v>
      </c>
      <c r="G1479" s="2">
        <v>41845.0</v>
      </c>
      <c r="H1479" s="1">
        <v>140000.0</v>
      </c>
      <c r="I1479" s="1">
        <v>159.0</v>
      </c>
      <c r="J1479" s="1">
        <v>140000.0</v>
      </c>
      <c r="K1479" s="2">
        <v>41895.0</v>
      </c>
      <c r="L1479" s="1">
        <v>51.0</v>
      </c>
      <c r="M1479" s="2">
        <v>41895.0</v>
      </c>
      <c r="N1479" s="1" t="s">
        <v>249</v>
      </c>
      <c r="O1479" s="2">
        <v>42122.0</v>
      </c>
      <c r="P1479" s="1">
        <v>226380.0</v>
      </c>
      <c r="Q1479" s="1">
        <v>61075.0</v>
      </c>
      <c r="S1479" s="1">
        <v>7712.0</v>
      </c>
      <c r="T1479" s="1" t="s">
        <v>4498</v>
      </c>
      <c r="U1479" s="1" t="s">
        <v>189</v>
      </c>
      <c r="V1479" s="1" t="s">
        <v>190</v>
      </c>
      <c r="W1479" s="1">
        <v>60619.0</v>
      </c>
      <c r="X1479" s="1">
        <v>2913.0</v>
      </c>
      <c r="Y1479" s="1" t="s">
        <v>15152</v>
      </c>
      <c r="Z1479" s="1">
        <v>2007.0</v>
      </c>
      <c r="AA1479" s="1" t="s">
        <v>200</v>
      </c>
      <c r="AB1479" s="1" t="s">
        <v>193</v>
      </c>
      <c r="AD1479" s="1" t="s">
        <v>194</v>
      </c>
      <c r="AE1479" s="1" t="s">
        <v>195</v>
      </c>
      <c r="AF1479" s="1" t="s">
        <v>1154</v>
      </c>
      <c r="AH1479" s="1" t="s">
        <v>359</v>
      </c>
      <c r="AK1479" s="1">
        <v>8.0</v>
      </c>
      <c r="AL1479" s="1">
        <v>3.0</v>
      </c>
      <c r="AM1479" s="1">
        <v>3.0</v>
      </c>
      <c r="AN1479" s="1">
        <v>1.0</v>
      </c>
      <c r="AO1479" s="1" t="s">
        <v>198</v>
      </c>
      <c r="AP1479" s="1">
        <v>2.0</v>
      </c>
      <c r="AQ1479" s="1" t="s">
        <v>198</v>
      </c>
      <c r="AR1479" s="1" t="s">
        <v>192</v>
      </c>
      <c r="AS1479" s="1" t="s">
        <v>199</v>
      </c>
      <c r="AT1479" s="1">
        <v>2.0</v>
      </c>
      <c r="AV1479" s="1" t="s">
        <v>200</v>
      </c>
      <c r="AW1479" s="1">
        <v>2578.53</v>
      </c>
      <c r="AX1479" s="1">
        <v>2013.0</v>
      </c>
      <c r="AY1479" s="1" t="s">
        <v>387</v>
      </c>
      <c r="AZ1479" s="1" t="s">
        <v>200</v>
      </c>
      <c r="BA1479" s="1" t="str">
        <f>"20263110200000"</f>
        <v>20263110200000</v>
      </c>
      <c r="BB1479" s="1" t="s">
        <v>192</v>
      </c>
      <c r="BC1479" s="1">
        <v>2000.0</v>
      </c>
      <c r="BD1479" s="1">
        <v>140000.0</v>
      </c>
      <c r="BE1479" s="2">
        <v>41845.0</v>
      </c>
      <c r="BF1479" s="2" t="s">
        <v>15153</v>
      </c>
      <c r="BH1479" s="1">
        <v>0.0</v>
      </c>
      <c r="BK1479" s="1" t="s">
        <v>204</v>
      </c>
      <c r="BL1479" s="1" t="str">
        <f>"0"</f>
        <v>0</v>
      </c>
      <c r="BM1479" s="1" t="str">
        <f>"832"</f>
        <v>832</v>
      </c>
      <c r="BN1479" s="1">
        <v>0.0</v>
      </c>
      <c r="BO1479" s="1">
        <v>7712.0</v>
      </c>
      <c r="BQ1479" s="1">
        <v>299.0</v>
      </c>
      <c r="BR1479" s="1">
        <v>299.0</v>
      </c>
      <c r="BS1479" s="1">
        <v>299.0</v>
      </c>
      <c r="BU1479" s="1" t="s">
        <v>769</v>
      </c>
      <c r="BV1479" s="1" t="s">
        <v>206</v>
      </c>
      <c r="BW1479" s="1" t="s">
        <v>207</v>
      </c>
      <c r="BX1479" s="1" t="s">
        <v>229</v>
      </c>
      <c r="BY1479" s="1" t="s">
        <v>677</v>
      </c>
      <c r="BZ1479" s="1" t="s">
        <v>209</v>
      </c>
      <c r="CA1479" s="1" t="s">
        <v>210</v>
      </c>
      <c r="CC1479" s="1" t="s">
        <v>264</v>
      </c>
      <c r="CD1479" s="1" t="s">
        <v>206</v>
      </c>
      <c r="CE1479" s="1" t="s">
        <v>207</v>
      </c>
      <c r="CF1479" s="1" t="s">
        <v>229</v>
      </c>
      <c r="CG1479" s="1" t="s">
        <v>495</v>
      </c>
      <c r="CH1479" s="1" t="s">
        <v>209</v>
      </c>
      <c r="CI1479" s="1" t="s">
        <v>210</v>
      </c>
      <c r="CK1479" s="1" t="s">
        <v>2459</v>
      </c>
      <c r="CL1479" s="1" t="s">
        <v>209</v>
      </c>
      <c r="CM1479" s="1" t="s">
        <v>210</v>
      </c>
      <c r="CO1479" s="1" t="s">
        <v>331</v>
      </c>
      <c r="CP1479" s="1" t="s">
        <v>42</v>
      </c>
      <c r="CQ1479" s="1" t="s">
        <v>210</v>
      </c>
      <c r="CS1479" s="1" t="s">
        <v>1426</v>
      </c>
      <c r="CT1479" s="1" t="s">
        <v>206</v>
      </c>
      <c r="CU1479" s="1" t="s">
        <v>207</v>
      </c>
      <c r="CV1479" s="1" t="s">
        <v>229</v>
      </c>
      <c r="CW1479" s="1" t="s">
        <v>769</v>
      </c>
      <c r="CX1479" s="1" t="s">
        <v>209</v>
      </c>
      <c r="CY1479" s="1" t="s">
        <v>210</v>
      </c>
      <c r="DA1479" s="1" t="s">
        <v>200</v>
      </c>
      <c r="DC1479" s="1" t="s">
        <v>481</v>
      </c>
      <c r="DD1479" s="1" t="s">
        <v>436</v>
      </c>
      <c r="DE1479" s="1" t="s">
        <v>273</v>
      </c>
      <c r="DF1479" s="1" t="s">
        <v>619</v>
      </c>
      <c r="DH1479" s="1" t="s">
        <v>220</v>
      </c>
      <c r="DJ1479" s="1" t="s">
        <v>222</v>
      </c>
      <c r="DL1479" s="1" t="s">
        <v>224</v>
      </c>
      <c r="DM1479" s="1" t="s">
        <v>229</v>
      </c>
      <c r="DN1479" s="1" t="s">
        <v>339</v>
      </c>
      <c r="DP1479" s="1" t="s">
        <v>276</v>
      </c>
      <c r="DQ1479" s="1" t="s">
        <v>441</v>
      </c>
      <c r="DR1479" s="1" t="s">
        <v>229</v>
      </c>
      <c r="DS1479" s="1" t="s">
        <v>230</v>
      </c>
      <c r="DV1479" s="1" t="s">
        <v>232</v>
      </c>
      <c r="DW1479" s="1" t="s">
        <v>489</v>
      </c>
      <c r="DX1479" s="1" t="s">
        <v>234</v>
      </c>
      <c r="DY1479" s="1" t="s">
        <v>235</v>
      </c>
      <c r="EA1479" s="1" t="s">
        <v>1027</v>
      </c>
      <c r="EB1479" s="1" t="s">
        <v>492</v>
      </c>
      <c r="EC1479" s="1" t="s">
        <v>237</v>
      </c>
      <c r="EM1479" s="1" t="s">
        <v>238</v>
      </c>
      <c r="EQ1479" s="1" t="s">
        <v>238</v>
      </c>
      <c r="EU1479" s="1" t="s">
        <v>238</v>
      </c>
      <c r="EY1479" s="1" t="s">
        <v>238</v>
      </c>
      <c r="FC1479" s="1" t="s">
        <v>238</v>
      </c>
      <c r="FF1479" s="1" t="s">
        <v>239</v>
      </c>
      <c r="FG1479" s="1" t="s">
        <v>192</v>
      </c>
      <c r="FH1479" s="1" t="s">
        <v>192</v>
      </c>
      <c r="FJ1479" s="1" t="s">
        <v>770</v>
      </c>
      <c r="FK1479" s="1" t="s">
        <v>1586</v>
      </c>
      <c r="FL1479" s="1" t="s">
        <v>15154</v>
      </c>
      <c r="FM1479" s="1">
        <v>22536.0</v>
      </c>
      <c r="FN1479" s="1" t="s">
        <v>15155</v>
      </c>
      <c r="FO1479" s="1" t="s">
        <v>15156</v>
      </c>
      <c r="FP1479" s="1">
        <v>222397.0</v>
      </c>
      <c r="FQ1479" s="1" t="s">
        <v>15157</v>
      </c>
      <c r="FU1479" s="1" t="s">
        <v>15158</v>
      </c>
      <c r="FV1479" s="1" t="s">
        <v>200</v>
      </c>
      <c r="FW1479" s="1" t="s">
        <v>290</v>
      </c>
      <c r="FX1479" s="1" t="s">
        <v>655</v>
      </c>
      <c r="FZ1479" s="1" t="s">
        <v>229</v>
      </c>
      <c r="GA1479" s="1" t="s">
        <v>291</v>
      </c>
      <c r="GB1479" s="2">
        <v>42124.0</v>
      </c>
      <c r="GC1479" s="1" t="s">
        <v>3170</v>
      </c>
    </row>
    <row r="1480">
      <c r="A1480" s="1">
        <v>495500.0</v>
      </c>
      <c r="B1480" s="1" t="s">
        <v>185</v>
      </c>
      <c r="C1480" s="1" t="str">
        <f>"08685568"</f>
        <v>08685568</v>
      </c>
      <c r="D1480" s="1" t="s">
        <v>186</v>
      </c>
      <c r="F1480" s="1" t="str">
        <f>"174"</f>
        <v>174</v>
      </c>
      <c r="G1480" s="2">
        <v>41848.0</v>
      </c>
      <c r="H1480" s="1">
        <v>524800.0</v>
      </c>
      <c r="I1480" s="1">
        <v>167.0</v>
      </c>
      <c r="J1480" s="1">
        <v>524800.0</v>
      </c>
      <c r="K1480" s="2">
        <v>42014.0</v>
      </c>
      <c r="L1480" s="1">
        <v>167.0</v>
      </c>
      <c r="M1480" s="2">
        <v>42014.0</v>
      </c>
      <c r="N1480" s="1" t="s">
        <v>187</v>
      </c>
      <c r="O1480" s="2">
        <v>42060.0</v>
      </c>
      <c r="P1480" s="1">
        <v>1204.0</v>
      </c>
      <c r="Q1480" s="1">
        <v>30.0</v>
      </c>
      <c r="S1480" s="1">
        <v>3606.0</v>
      </c>
      <c r="T1480" s="1" t="s">
        <v>15159</v>
      </c>
      <c r="U1480" s="1" t="s">
        <v>464</v>
      </c>
      <c r="V1480" s="1" t="s">
        <v>1200</v>
      </c>
      <c r="W1480" s="1">
        <v>60174.0</v>
      </c>
      <c r="Y1480" s="1" t="s">
        <v>15160</v>
      </c>
      <c r="Z1480" s="1">
        <v>1998.0</v>
      </c>
      <c r="AA1480" s="1" t="s">
        <v>200</v>
      </c>
      <c r="AB1480" s="1" t="s">
        <v>193</v>
      </c>
      <c r="AC1480" s="1" t="s">
        <v>15161</v>
      </c>
      <c r="AD1480" s="1" t="s">
        <v>1203</v>
      </c>
      <c r="AE1480" s="1" t="s">
        <v>325</v>
      </c>
      <c r="AF1480" s="1" t="s">
        <v>1203</v>
      </c>
      <c r="AG1480" s="1" t="s">
        <v>752</v>
      </c>
      <c r="AH1480" s="1" t="s">
        <v>15162</v>
      </c>
      <c r="AI1480" s="1">
        <v>0.519</v>
      </c>
      <c r="AK1480" s="1">
        <v>9.0</v>
      </c>
      <c r="AL1480" s="1">
        <v>4.0</v>
      </c>
      <c r="AM1480" s="1">
        <v>3.0</v>
      </c>
      <c r="AN1480" s="1">
        <v>1.0</v>
      </c>
      <c r="AO1480" s="1" t="s">
        <v>198</v>
      </c>
      <c r="AP1480" s="1">
        <v>1.0</v>
      </c>
      <c r="AQ1480" s="1" t="s">
        <v>198</v>
      </c>
      <c r="AR1480" s="1" t="s">
        <v>200</v>
      </c>
      <c r="AS1480" s="1" t="s">
        <v>199</v>
      </c>
      <c r="AT1480" s="1">
        <v>4.0</v>
      </c>
      <c r="AV1480" s="1" t="s">
        <v>200</v>
      </c>
      <c r="AW1480" s="1">
        <v>13815.0</v>
      </c>
      <c r="AX1480" s="1">
        <v>2013.0</v>
      </c>
      <c r="AY1480" s="1" t="s">
        <v>387</v>
      </c>
      <c r="AZ1480" s="1" t="s">
        <v>200</v>
      </c>
      <c r="BA1480" s="1" t="str">
        <f>"0916402013"</f>
        <v>0916402013</v>
      </c>
      <c r="BC1480" s="1">
        <v>3387.0</v>
      </c>
      <c r="BD1480" s="1">
        <v>495500.0</v>
      </c>
      <c r="BE1480" s="2">
        <v>41848.0</v>
      </c>
      <c r="BF1480" s="2" t="s">
        <v>15163</v>
      </c>
      <c r="BH1480" s="1">
        <v>0.0</v>
      </c>
      <c r="BJ1480" s="1" t="s">
        <v>2200</v>
      </c>
      <c r="BK1480" s="1" t="s">
        <v>204</v>
      </c>
      <c r="BL1480" s="1" t="str">
        <f>"5"</f>
        <v>5</v>
      </c>
      <c r="BM1480" s="1" t="str">
        <f t="shared" ref="BM1480:BM1481" si="973">""</f>
        <v/>
      </c>
      <c r="BN1480" s="1">
        <v>36.0</v>
      </c>
      <c r="BQ1480" s="1">
        <v>303.0</v>
      </c>
      <c r="BR1480" s="1">
        <v>303.0</v>
      </c>
      <c r="BS1480" s="1">
        <v>303.0</v>
      </c>
      <c r="BU1480" s="1" t="s">
        <v>393</v>
      </c>
      <c r="BV1480" s="1" t="s">
        <v>206</v>
      </c>
      <c r="BW1480" s="1" t="s">
        <v>210</v>
      </c>
      <c r="BX1480" s="1" t="s">
        <v>431</v>
      </c>
      <c r="BY1480" s="1" t="s">
        <v>544</v>
      </c>
      <c r="BZ1480" s="1" t="s">
        <v>209</v>
      </c>
      <c r="CA1480" s="1" t="s">
        <v>210</v>
      </c>
      <c r="CB1480" s="1" t="s">
        <v>239</v>
      </c>
      <c r="CC1480" s="1" t="s">
        <v>454</v>
      </c>
      <c r="CD1480" s="1" t="s">
        <v>206</v>
      </c>
      <c r="CE1480" s="1" t="s">
        <v>210</v>
      </c>
      <c r="CF1480" s="1" t="s">
        <v>431</v>
      </c>
      <c r="CG1480" s="1" t="s">
        <v>329</v>
      </c>
      <c r="CH1480" s="1" t="s">
        <v>209</v>
      </c>
      <c r="CI1480" s="1" t="s">
        <v>210</v>
      </c>
      <c r="CJ1480" s="1" t="s">
        <v>431</v>
      </c>
      <c r="CK1480" s="1" t="s">
        <v>363</v>
      </c>
      <c r="CL1480" s="1" t="s">
        <v>209</v>
      </c>
      <c r="CM1480" s="1" t="s">
        <v>210</v>
      </c>
      <c r="CN1480" s="1" t="s">
        <v>431</v>
      </c>
      <c r="CO1480" s="1" t="s">
        <v>433</v>
      </c>
      <c r="CP1480" s="1" t="s">
        <v>209</v>
      </c>
      <c r="CQ1480" s="1" t="s">
        <v>210</v>
      </c>
      <c r="CR1480" s="1" t="s">
        <v>431</v>
      </c>
      <c r="CS1480" s="1" t="s">
        <v>2181</v>
      </c>
      <c r="CT1480" s="1" t="s">
        <v>206</v>
      </c>
      <c r="CU1480" s="1" t="s">
        <v>207</v>
      </c>
      <c r="CV1480" s="1" t="s">
        <v>431</v>
      </c>
      <c r="CW1480" s="1" t="s">
        <v>544</v>
      </c>
      <c r="CX1480" s="1" t="s">
        <v>206</v>
      </c>
      <c r="CY1480" s="1" t="s">
        <v>210</v>
      </c>
      <c r="CZ1480" s="1" t="s">
        <v>431</v>
      </c>
      <c r="DA1480" s="1" t="s">
        <v>200</v>
      </c>
      <c r="DC1480" s="1" t="s">
        <v>678</v>
      </c>
      <c r="DD1480" s="1" t="s">
        <v>336</v>
      </c>
      <c r="DE1480" s="1" t="s">
        <v>273</v>
      </c>
      <c r="DF1480" s="1" t="s">
        <v>219</v>
      </c>
      <c r="DG1480" s="1" t="s">
        <v>337</v>
      </c>
      <c r="DH1480" s="1" t="s">
        <v>220</v>
      </c>
      <c r="DI1480" s="1" t="s">
        <v>1047</v>
      </c>
      <c r="DJ1480" s="1" t="s">
        <v>222</v>
      </c>
      <c r="DL1480" s="1" t="s">
        <v>223</v>
      </c>
      <c r="DM1480" s="1" t="s">
        <v>338</v>
      </c>
      <c r="DN1480" s="1" t="s">
        <v>399</v>
      </c>
      <c r="DP1480" s="1" t="s">
        <v>340</v>
      </c>
      <c r="DQ1480" s="1" t="s">
        <v>1557</v>
      </c>
      <c r="DR1480" s="1" t="s">
        <v>229</v>
      </c>
      <c r="DS1480" s="1" t="s">
        <v>230</v>
      </c>
      <c r="DU1480" s="1" t="s">
        <v>15164</v>
      </c>
      <c r="DV1480" s="1" t="s">
        <v>598</v>
      </c>
      <c r="DW1480" s="1" t="s">
        <v>764</v>
      </c>
      <c r="DX1480" s="1" t="s">
        <v>309</v>
      </c>
      <c r="DY1480" s="1" t="s">
        <v>1051</v>
      </c>
      <c r="DZ1480" s="1" t="s">
        <v>310</v>
      </c>
      <c r="EA1480" s="1" t="s">
        <v>344</v>
      </c>
      <c r="EB1480" s="1" t="s">
        <v>937</v>
      </c>
      <c r="EC1480" s="1" t="s">
        <v>237</v>
      </c>
      <c r="ED1480" s="1" t="s">
        <v>407</v>
      </c>
      <c r="EE1480" s="1" t="s">
        <v>187</v>
      </c>
      <c r="EG1480" s="1" t="s">
        <v>598</v>
      </c>
      <c r="EL1480" s="1" t="s">
        <v>329</v>
      </c>
      <c r="EM1480" s="1" t="s">
        <v>206</v>
      </c>
      <c r="EN1480" s="1" t="s">
        <v>210</v>
      </c>
      <c r="EO1480" s="1" t="s">
        <v>431</v>
      </c>
      <c r="EQ1480" s="1" t="s">
        <v>238</v>
      </c>
      <c r="EU1480" s="1" t="s">
        <v>238</v>
      </c>
      <c r="EY1480" s="1" t="s">
        <v>238</v>
      </c>
      <c r="FC1480" s="1" t="s">
        <v>238</v>
      </c>
      <c r="FF1480" s="1" t="s">
        <v>239</v>
      </c>
      <c r="FG1480" s="1" t="s">
        <v>192</v>
      </c>
      <c r="FH1480" s="1" t="s">
        <v>192</v>
      </c>
      <c r="FJ1480" s="1" t="s">
        <v>770</v>
      </c>
      <c r="FK1480" s="1" t="s">
        <v>229</v>
      </c>
      <c r="FL1480" s="1" t="s">
        <v>1212</v>
      </c>
      <c r="FM1480" s="1">
        <v>30.0</v>
      </c>
      <c r="FN1480" s="1" t="s">
        <v>1213</v>
      </c>
      <c r="FO1480" s="1" t="s">
        <v>1214</v>
      </c>
      <c r="FP1480" s="1">
        <v>329.0</v>
      </c>
      <c r="FQ1480" s="1" t="s">
        <v>1215</v>
      </c>
      <c r="FR1480" s="1">
        <v>7526.0</v>
      </c>
      <c r="FU1480" s="1" t="s">
        <v>7832</v>
      </c>
      <c r="FV1480" s="1" t="s">
        <v>200</v>
      </c>
      <c r="FW1480" s="1" t="s">
        <v>290</v>
      </c>
      <c r="FZ1480" s="1" t="s">
        <v>229</v>
      </c>
      <c r="GA1480" s="1" t="s">
        <v>291</v>
      </c>
      <c r="GB1480" s="2">
        <v>42061.0</v>
      </c>
      <c r="GC1480" s="1" t="s">
        <v>15165</v>
      </c>
    </row>
    <row r="1481">
      <c r="A1481" s="1">
        <v>745000.0</v>
      </c>
      <c r="B1481" s="1" t="s">
        <v>185</v>
      </c>
      <c r="C1481" s="1" t="str">
        <f>"08739555"</f>
        <v>08739555</v>
      </c>
      <c r="D1481" s="1" t="s">
        <v>186</v>
      </c>
      <c r="F1481" s="1" t="str">
        <f>"10"</f>
        <v>10</v>
      </c>
      <c r="G1481" s="2">
        <v>41909.0</v>
      </c>
      <c r="H1481" s="1">
        <v>777000.0</v>
      </c>
      <c r="I1481" s="1">
        <v>72.0</v>
      </c>
      <c r="J1481" s="1">
        <v>777000.0</v>
      </c>
      <c r="K1481" s="2">
        <v>41980.0</v>
      </c>
      <c r="L1481" s="1">
        <v>72.0</v>
      </c>
      <c r="M1481" s="2">
        <v>41980.0</v>
      </c>
      <c r="N1481" s="1" t="s">
        <v>187</v>
      </c>
      <c r="O1481" s="2">
        <v>42004.0</v>
      </c>
      <c r="P1481" s="1">
        <v>62329.0</v>
      </c>
      <c r="Q1481" s="1">
        <v>6255.0</v>
      </c>
      <c r="S1481" s="1">
        <v>19.0</v>
      </c>
      <c r="T1481" s="1" t="s">
        <v>15166</v>
      </c>
      <c r="U1481" s="1" t="s">
        <v>844</v>
      </c>
      <c r="V1481" s="1" t="s">
        <v>11508</v>
      </c>
      <c r="W1481" s="1">
        <v>60010.0</v>
      </c>
      <c r="Y1481" s="1" t="s">
        <v>15167</v>
      </c>
      <c r="Z1481" s="1">
        <v>1990.0</v>
      </c>
      <c r="AA1481" s="1" t="s">
        <v>200</v>
      </c>
      <c r="AB1481" s="1" t="s">
        <v>467</v>
      </c>
      <c r="AC1481" s="1" t="s">
        <v>15168</v>
      </c>
      <c r="AD1481" s="1" t="s">
        <v>11511</v>
      </c>
      <c r="AE1481" s="1" t="s">
        <v>917</v>
      </c>
      <c r="AF1481" s="1" t="s">
        <v>2008</v>
      </c>
      <c r="AG1481" s="1" t="s">
        <v>15169</v>
      </c>
      <c r="AH1481" s="1" t="s">
        <v>15170</v>
      </c>
      <c r="AI1481" s="1">
        <v>1.05</v>
      </c>
      <c r="AK1481" s="1">
        <v>11.0</v>
      </c>
      <c r="AL1481" s="1">
        <v>4.0</v>
      </c>
      <c r="AM1481" s="1">
        <v>4.0</v>
      </c>
      <c r="AN1481" s="1">
        <v>1.0</v>
      </c>
      <c r="AO1481" s="1" t="s">
        <v>198</v>
      </c>
      <c r="AP1481" s="1">
        <v>3.0</v>
      </c>
      <c r="AQ1481" s="1" t="s">
        <v>472</v>
      </c>
      <c r="AR1481" s="1" t="s">
        <v>192</v>
      </c>
      <c r="AS1481" s="1" t="s">
        <v>199</v>
      </c>
      <c r="AT1481" s="1">
        <v>3.0</v>
      </c>
      <c r="AV1481" s="1" t="s">
        <v>200</v>
      </c>
      <c r="AW1481" s="1">
        <v>14828.0</v>
      </c>
      <c r="AX1481" s="1">
        <v>2013.0</v>
      </c>
      <c r="AY1481" s="1" t="s">
        <v>387</v>
      </c>
      <c r="AZ1481" s="1" t="s">
        <v>200</v>
      </c>
      <c r="BA1481" s="1" t="str">
        <f>"13124030770000"</f>
        <v>13124030770000</v>
      </c>
      <c r="BB1481" s="1" t="s">
        <v>200</v>
      </c>
      <c r="BC1481" s="1">
        <v>4448.0</v>
      </c>
      <c r="BD1481" s="1">
        <v>745000.0</v>
      </c>
      <c r="BE1481" s="2">
        <v>41909.0</v>
      </c>
      <c r="BF1481" s="2" t="s">
        <v>15171</v>
      </c>
      <c r="BG1481" s="1" t="s">
        <v>2011</v>
      </c>
      <c r="BH1481" s="1">
        <v>0.0</v>
      </c>
      <c r="BI1481" s="1" t="s">
        <v>2012</v>
      </c>
      <c r="BJ1481" s="1" t="s">
        <v>1714</v>
      </c>
      <c r="BK1481" s="1" t="s">
        <v>204</v>
      </c>
      <c r="BL1481" s="1" t="str">
        <f>"24"</f>
        <v>24</v>
      </c>
      <c r="BM1481" s="1" t="str">
        <f t="shared" si="973"/>
        <v/>
      </c>
      <c r="BN1481" s="1">
        <v>26.0</v>
      </c>
      <c r="BQ1481" s="1">
        <v>220.0</v>
      </c>
      <c r="BR1481" s="1">
        <v>220.0</v>
      </c>
      <c r="BS1481" s="1">
        <v>220.0</v>
      </c>
      <c r="BU1481" s="1" t="s">
        <v>1535</v>
      </c>
      <c r="BV1481" s="1" t="s">
        <v>206</v>
      </c>
      <c r="BW1481" s="1" t="s">
        <v>207</v>
      </c>
      <c r="BY1481" s="1" t="s">
        <v>3475</v>
      </c>
      <c r="BZ1481" s="1" t="s">
        <v>209</v>
      </c>
      <c r="CA1481" s="1" t="s">
        <v>207</v>
      </c>
      <c r="CC1481" s="1" t="s">
        <v>924</v>
      </c>
      <c r="CD1481" s="1" t="s">
        <v>206</v>
      </c>
      <c r="CE1481" s="1" t="s">
        <v>207</v>
      </c>
      <c r="CG1481" s="1" t="s">
        <v>453</v>
      </c>
      <c r="CH1481" s="1" t="s">
        <v>209</v>
      </c>
      <c r="CI1481" s="1" t="s">
        <v>207</v>
      </c>
      <c r="CK1481" s="1" t="s">
        <v>1483</v>
      </c>
      <c r="CL1481" s="1" t="s">
        <v>209</v>
      </c>
      <c r="CM1481" s="1" t="s">
        <v>207</v>
      </c>
      <c r="CO1481" s="1" t="s">
        <v>1483</v>
      </c>
      <c r="CP1481" s="1" t="s">
        <v>209</v>
      </c>
      <c r="CQ1481" s="1" t="s">
        <v>207</v>
      </c>
      <c r="CS1481" s="1" t="s">
        <v>924</v>
      </c>
      <c r="CT1481" s="1" t="s">
        <v>206</v>
      </c>
      <c r="CU1481" s="1" t="s">
        <v>207</v>
      </c>
      <c r="CW1481" s="1" t="s">
        <v>1244</v>
      </c>
      <c r="CX1481" s="1" t="s">
        <v>206</v>
      </c>
      <c r="CY1481" s="1" t="s">
        <v>207</v>
      </c>
      <c r="DA1481" s="1" t="s">
        <v>200</v>
      </c>
      <c r="DC1481" s="1" t="s">
        <v>435</v>
      </c>
      <c r="DD1481" s="1" t="s">
        <v>1954</v>
      </c>
      <c r="DE1481" s="1" t="s">
        <v>3750</v>
      </c>
      <c r="DF1481" s="1" t="s">
        <v>219</v>
      </c>
      <c r="DG1481" s="1" t="s">
        <v>15172</v>
      </c>
      <c r="DH1481" s="1" t="s">
        <v>10690</v>
      </c>
      <c r="DI1481" s="1" t="s">
        <v>15173</v>
      </c>
      <c r="DJ1481" s="1" t="s">
        <v>13210</v>
      </c>
      <c r="DK1481" s="1" t="s">
        <v>223</v>
      </c>
      <c r="DL1481" s="1" t="s">
        <v>224</v>
      </c>
      <c r="DM1481" s="1" t="s">
        <v>338</v>
      </c>
      <c r="DN1481" s="1" t="s">
        <v>485</v>
      </c>
      <c r="DO1481" s="1" t="s">
        <v>15174</v>
      </c>
      <c r="DP1481" s="1" t="s">
        <v>340</v>
      </c>
      <c r="DQ1481" s="1" t="s">
        <v>931</v>
      </c>
      <c r="DR1481" s="1" t="s">
        <v>229</v>
      </c>
      <c r="DS1481" s="1" t="s">
        <v>11426</v>
      </c>
      <c r="DU1481" s="1" t="s">
        <v>15175</v>
      </c>
      <c r="DV1481" s="1" t="s">
        <v>15176</v>
      </c>
      <c r="DW1481" s="1" t="s">
        <v>764</v>
      </c>
      <c r="DX1481" s="1" t="s">
        <v>3205</v>
      </c>
      <c r="DY1481" s="1" t="s">
        <v>3125</v>
      </c>
      <c r="DZ1481" s="1" t="s">
        <v>491</v>
      </c>
      <c r="EA1481" s="1" t="s">
        <v>622</v>
      </c>
      <c r="EB1481" s="1" t="s">
        <v>767</v>
      </c>
      <c r="EC1481" s="1" t="s">
        <v>237</v>
      </c>
      <c r="ED1481" s="1" t="s">
        <v>407</v>
      </c>
      <c r="EG1481" s="1" t="s">
        <v>449</v>
      </c>
      <c r="EH1481" s="1" t="s">
        <v>450</v>
      </c>
      <c r="EI1481" s="1" t="s">
        <v>451</v>
      </c>
      <c r="EJ1481" s="1" t="s">
        <v>408</v>
      </c>
      <c r="EK1481" s="1" t="s">
        <v>12250</v>
      </c>
      <c r="EL1481" s="1" t="s">
        <v>647</v>
      </c>
      <c r="EM1481" s="1" t="s">
        <v>206</v>
      </c>
      <c r="EN1481" s="1" t="s">
        <v>207</v>
      </c>
      <c r="EP1481" s="1" t="s">
        <v>15177</v>
      </c>
      <c r="EQ1481" s="1" t="s">
        <v>267</v>
      </c>
      <c r="ER1481" s="1" t="s">
        <v>210</v>
      </c>
      <c r="ET1481" s="1" t="s">
        <v>938</v>
      </c>
      <c r="EU1481" s="1" t="s">
        <v>267</v>
      </c>
      <c r="EV1481" s="1" t="s">
        <v>210</v>
      </c>
      <c r="EX1481" s="1" t="s">
        <v>497</v>
      </c>
      <c r="EY1481" s="1" t="s">
        <v>206</v>
      </c>
      <c r="EZ1481" s="1" t="s">
        <v>207</v>
      </c>
      <c r="FB1481" s="1" t="s">
        <v>15178</v>
      </c>
      <c r="FC1481" s="1" t="s">
        <v>209</v>
      </c>
      <c r="FD1481" s="1" t="s">
        <v>207</v>
      </c>
      <c r="FF1481" s="1" t="s">
        <v>239</v>
      </c>
      <c r="FG1481" s="1" t="s">
        <v>192</v>
      </c>
      <c r="FH1481" s="1" t="s">
        <v>192</v>
      </c>
      <c r="FJ1481" s="1" t="s">
        <v>15179</v>
      </c>
      <c r="FK1481" s="1" t="s">
        <v>348</v>
      </c>
      <c r="FL1481" s="1" t="s">
        <v>3218</v>
      </c>
      <c r="FM1481" s="1">
        <v>6076.0</v>
      </c>
      <c r="FN1481" s="1" t="s">
        <v>14727</v>
      </c>
      <c r="FO1481" s="1" t="s">
        <v>15180</v>
      </c>
      <c r="FP1481" s="1">
        <v>61970.0</v>
      </c>
      <c r="FS1481" s="1" t="s">
        <v>15181</v>
      </c>
      <c r="FU1481" s="1" t="s">
        <v>15182</v>
      </c>
      <c r="FV1481" s="1" t="s">
        <v>200</v>
      </c>
      <c r="FW1481" s="1" t="s">
        <v>290</v>
      </c>
      <c r="FZ1481" s="1" t="s">
        <v>229</v>
      </c>
      <c r="GA1481" s="1" t="s">
        <v>291</v>
      </c>
      <c r="GB1481" s="2">
        <v>42004.0</v>
      </c>
      <c r="GC1481" s="1" t="s">
        <v>15183</v>
      </c>
    </row>
    <row r="1482">
      <c r="A1482" s="1">
        <v>299990.0</v>
      </c>
      <c r="B1482" s="1" t="s">
        <v>185</v>
      </c>
      <c r="C1482" s="1" t="str">
        <f>"08682393"</f>
        <v>08682393</v>
      </c>
      <c r="D1482" s="1" t="s">
        <v>186</v>
      </c>
      <c r="F1482" s="1" t="str">
        <f>"123"</f>
        <v>123</v>
      </c>
      <c r="G1482" s="2">
        <v>41844.0</v>
      </c>
      <c r="H1482" s="1">
        <v>333674.0</v>
      </c>
      <c r="I1482" s="1">
        <v>109.0</v>
      </c>
      <c r="J1482" s="1">
        <v>299990.0</v>
      </c>
      <c r="K1482" s="2">
        <v>41952.0</v>
      </c>
      <c r="L1482" s="1">
        <v>109.0</v>
      </c>
      <c r="M1482" s="2">
        <v>41952.0</v>
      </c>
      <c r="N1482" s="1" t="s">
        <v>187</v>
      </c>
      <c r="O1482" s="2">
        <v>42003.0</v>
      </c>
      <c r="P1482" s="1">
        <v>27016.0</v>
      </c>
      <c r="Q1482" s="1">
        <v>23871.0</v>
      </c>
      <c r="S1482" s="1">
        <v>218.0</v>
      </c>
      <c r="T1482" s="1" t="s">
        <v>5322</v>
      </c>
      <c r="U1482" s="1" t="s">
        <v>189</v>
      </c>
      <c r="V1482" s="1" t="s">
        <v>465</v>
      </c>
      <c r="W1482" s="1">
        <v>60124.0</v>
      </c>
      <c r="Y1482" s="1" t="s">
        <v>2434</v>
      </c>
      <c r="Z1482" s="1">
        <v>2014.0</v>
      </c>
      <c r="AA1482" s="1" t="s">
        <v>200</v>
      </c>
      <c r="AB1482" s="1" t="s">
        <v>467</v>
      </c>
      <c r="AC1482" s="1" t="s">
        <v>3682</v>
      </c>
      <c r="AD1482" s="1" t="s">
        <v>469</v>
      </c>
      <c r="AE1482" s="1" t="s">
        <v>325</v>
      </c>
      <c r="AF1482" s="1" t="s">
        <v>469</v>
      </c>
      <c r="AG1482" s="1" t="s">
        <v>5323</v>
      </c>
      <c r="AH1482" s="1" t="s">
        <v>5324</v>
      </c>
      <c r="AK1482" s="1">
        <v>9.0</v>
      </c>
      <c r="AL1482" s="1">
        <v>4.0</v>
      </c>
      <c r="AM1482" s="1">
        <v>2.0</v>
      </c>
      <c r="AN1482" s="1">
        <v>1.0</v>
      </c>
      <c r="AO1482" s="1" t="s">
        <v>198</v>
      </c>
      <c r="AP1482" s="1">
        <v>0.0</v>
      </c>
      <c r="AQ1482" s="1" t="s">
        <v>198</v>
      </c>
      <c r="AR1482" s="1" t="s">
        <v>200</v>
      </c>
      <c r="AS1482" s="1" t="s">
        <v>199</v>
      </c>
      <c r="AT1482" s="1">
        <v>2.0</v>
      </c>
      <c r="AV1482" s="1" t="s">
        <v>200</v>
      </c>
      <c r="AW1482" s="1" t="s">
        <v>575</v>
      </c>
      <c r="AX1482" s="1">
        <v>2013.0</v>
      </c>
      <c r="AZ1482" s="1" t="s">
        <v>200</v>
      </c>
      <c r="BA1482" s="1" t="str">
        <f>"0618451003"</f>
        <v>0618451003</v>
      </c>
      <c r="BC1482" s="1">
        <v>2652.0</v>
      </c>
      <c r="BD1482" s="1">
        <v>299990.0</v>
      </c>
      <c r="BE1482" s="2">
        <v>41844.0</v>
      </c>
      <c r="BF1482" s="2" t="s">
        <v>15184</v>
      </c>
      <c r="BG1482" s="1" t="s">
        <v>3686</v>
      </c>
      <c r="BH1482" s="1">
        <v>300.0</v>
      </c>
      <c r="BI1482" s="1" t="s">
        <v>578</v>
      </c>
      <c r="BJ1482" s="1" t="s">
        <v>579</v>
      </c>
      <c r="BK1482" s="1" t="s">
        <v>580</v>
      </c>
      <c r="BL1482" s="1" t="str">
        <f t="shared" ref="BL1482:BM1482" si="974">""</f>
        <v/>
      </c>
      <c r="BM1482" s="1" t="str">
        <f t="shared" si="974"/>
        <v/>
      </c>
      <c r="BQ1482" s="1">
        <v>301.0</v>
      </c>
      <c r="BR1482" s="1">
        <v>301.0</v>
      </c>
      <c r="BS1482" s="1">
        <v>301.0</v>
      </c>
      <c r="BU1482" s="1" t="s">
        <v>212</v>
      </c>
      <c r="BV1482" s="1" t="s">
        <v>206</v>
      </c>
      <c r="BW1482" s="1" t="s">
        <v>301</v>
      </c>
      <c r="BY1482" s="1" t="s">
        <v>2219</v>
      </c>
      <c r="BZ1482" s="1" t="s">
        <v>209</v>
      </c>
      <c r="CA1482" s="1" t="s">
        <v>210</v>
      </c>
      <c r="CC1482" s="1" t="s">
        <v>302</v>
      </c>
      <c r="CD1482" s="1" t="s">
        <v>206</v>
      </c>
      <c r="CE1482" s="1" t="s">
        <v>301</v>
      </c>
      <c r="CG1482" s="1" t="s">
        <v>699</v>
      </c>
      <c r="CH1482" s="1" t="s">
        <v>209</v>
      </c>
      <c r="CI1482" s="1" t="s">
        <v>210</v>
      </c>
      <c r="CK1482" s="1" t="s">
        <v>212</v>
      </c>
      <c r="CL1482" s="1" t="s">
        <v>209</v>
      </c>
      <c r="CM1482" s="1" t="s">
        <v>210</v>
      </c>
      <c r="CO1482" s="1" t="s">
        <v>699</v>
      </c>
      <c r="CP1482" s="1" t="s">
        <v>209</v>
      </c>
      <c r="CQ1482" s="1" t="s">
        <v>210</v>
      </c>
      <c r="CS1482" s="1" t="s">
        <v>2224</v>
      </c>
      <c r="CT1482" s="1" t="s">
        <v>206</v>
      </c>
      <c r="CU1482" s="1" t="s">
        <v>301</v>
      </c>
      <c r="CW1482" s="1" t="s">
        <v>2800</v>
      </c>
      <c r="CX1482" s="1" t="s">
        <v>206</v>
      </c>
      <c r="CY1482" s="1" t="s">
        <v>301</v>
      </c>
      <c r="DA1482" s="1" t="s">
        <v>192</v>
      </c>
      <c r="DB1482" s="2">
        <v>41866.0</v>
      </c>
      <c r="DC1482" s="1" t="s">
        <v>1353</v>
      </c>
      <c r="DD1482" s="1" t="s">
        <v>4023</v>
      </c>
      <c r="DE1482" s="1" t="s">
        <v>273</v>
      </c>
      <c r="DF1482" s="1" t="s">
        <v>619</v>
      </c>
      <c r="DG1482" s="1" t="s">
        <v>5327</v>
      </c>
      <c r="DH1482" s="1" t="s">
        <v>220</v>
      </c>
      <c r="DI1482" s="1" t="s">
        <v>589</v>
      </c>
      <c r="DJ1482" s="1" t="s">
        <v>222</v>
      </c>
      <c r="DK1482" s="1" t="s">
        <v>223</v>
      </c>
      <c r="DL1482" s="1" t="s">
        <v>223</v>
      </c>
      <c r="DM1482" s="1" t="s">
        <v>792</v>
      </c>
      <c r="DN1482" s="1" t="s">
        <v>1023</v>
      </c>
      <c r="DP1482" s="1" t="s">
        <v>340</v>
      </c>
      <c r="DQ1482" s="1" t="s">
        <v>228</v>
      </c>
      <c r="DR1482" s="1" t="s">
        <v>1487</v>
      </c>
      <c r="DS1482" s="1" t="s">
        <v>591</v>
      </c>
      <c r="DT1482" s="1" t="s">
        <v>5329</v>
      </c>
      <c r="DU1482" s="1" t="s">
        <v>5330</v>
      </c>
      <c r="DV1482" s="1" t="s">
        <v>5331</v>
      </c>
      <c r="DW1482" s="1" t="s">
        <v>15185</v>
      </c>
      <c r="DX1482" s="1" t="s">
        <v>234</v>
      </c>
      <c r="DY1482" s="1" t="s">
        <v>2446</v>
      </c>
      <c r="DZ1482" s="1" t="s">
        <v>1333</v>
      </c>
      <c r="EA1482" s="1" t="s">
        <v>1326</v>
      </c>
      <c r="EC1482" s="1" t="s">
        <v>237</v>
      </c>
      <c r="ED1482" s="1" t="s">
        <v>407</v>
      </c>
      <c r="EE1482" s="1" t="s">
        <v>493</v>
      </c>
      <c r="EG1482" s="1" t="s">
        <v>556</v>
      </c>
      <c r="EH1482" s="1" t="s">
        <v>720</v>
      </c>
      <c r="EL1482" s="1" t="s">
        <v>266</v>
      </c>
      <c r="EM1482" s="1" t="s">
        <v>206</v>
      </c>
      <c r="EN1482" s="1" t="s">
        <v>301</v>
      </c>
      <c r="EP1482" s="1" t="s">
        <v>5334</v>
      </c>
      <c r="EQ1482" s="1" t="s">
        <v>206</v>
      </c>
      <c r="ER1482" s="1" t="s">
        <v>301</v>
      </c>
      <c r="EU1482" s="1" t="s">
        <v>238</v>
      </c>
      <c r="EY1482" s="1" t="s">
        <v>238</v>
      </c>
      <c r="FC1482" s="1" t="s">
        <v>238</v>
      </c>
      <c r="FF1482" s="1" t="s">
        <v>2447</v>
      </c>
      <c r="FG1482" s="1" t="s">
        <v>192</v>
      </c>
      <c r="FH1482" s="1" t="s">
        <v>192</v>
      </c>
      <c r="FJ1482" s="1" t="s">
        <v>347</v>
      </c>
      <c r="FK1482" s="1" t="s">
        <v>229</v>
      </c>
      <c r="FL1482" s="1" t="s">
        <v>2448</v>
      </c>
      <c r="FM1482" s="1">
        <v>92038.0</v>
      </c>
      <c r="FN1482" s="1" t="s">
        <v>2449</v>
      </c>
      <c r="FO1482" s="1" t="s">
        <v>2450</v>
      </c>
      <c r="FP1482" s="1">
        <v>21137.0</v>
      </c>
      <c r="FQ1482" s="1" t="s">
        <v>2451</v>
      </c>
      <c r="FT1482" s="1" t="s">
        <v>6246</v>
      </c>
      <c r="FU1482" s="1" t="s">
        <v>15186</v>
      </c>
      <c r="FV1482" s="1" t="s">
        <v>200</v>
      </c>
      <c r="FW1482" s="1" t="s">
        <v>5337</v>
      </c>
      <c r="FZ1482" s="1" t="s">
        <v>229</v>
      </c>
      <c r="GA1482" s="1" t="s">
        <v>291</v>
      </c>
      <c r="GB1482" s="2">
        <v>42058.0</v>
      </c>
      <c r="GC1482" s="1" t="s">
        <v>15187</v>
      </c>
    </row>
    <row r="1483">
      <c r="A1483" s="1">
        <v>17100.0</v>
      </c>
      <c r="B1483" s="1" t="s">
        <v>185</v>
      </c>
      <c r="C1483" s="1" t="str">
        <f>"08869339"</f>
        <v>08869339</v>
      </c>
      <c r="D1483" s="1" t="s">
        <v>186</v>
      </c>
      <c r="F1483" s="1" t="str">
        <f>"8071"</f>
        <v>8071</v>
      </c>
      <c r="G1483" s="2">
        <v>42086.0</v>
      </c>
      <c r="H1483" s="1">
        <v>14900.0</v>
      </c>
      <c r="I1483" s="1">
        <v>15.0</v>
      </c>
      <c r="J1483" s="1">
        <v>14900.0</v>
      </c>
      <c r="K1483" s="2">
        <v>42100.0</v>
      </c>
      <c r="L1483" s="1">
        <v>15.0</v>
      </c>
      <c r="M1483" s="2">
        <v>42100.0</v>
      </c>
      <c r="N1483" s="1" t="s">
        <v>249</v>
      </c>
      <c r="O1483" s="2">
        <v>42129.0</v>
      </c>
      <c r="P1483" s="1">
        <v>188973.0</v>
      </c>
      <c r="Q1483" s="1">
        <v>12511.0</v>
      </c>
      <c r="S1483" s="1">
        <v>8730.0</v>
      </c>
      <c r="T1483" s="1" t="s">
        <v>15188</v>
      </c>
      <c r="U1483" s="1" t="s">
        <v>320</v>
      </c>
      <c r="V1483" s="1" t="s">
        <v>190</v>
      </c>
      <c r="W1483" s="1">
        <v>60620.0</v>
      </c>
      <c r="Y1483" s="1" t="s">
        <v>15189</v>
      </c>
      <c r="Z1483" s="1">
        <v>1895.0</v>
      </c>
      <c r="AA1483" s="1" t="s">
        <v>192</v>
      </c>
      <c r="AB1483" s="1" t="s">
        <v>193</v>
      </c>
      <c r="AD1483" s="1" t="s">
        <v>194</v>
      </c>
      <c r="AE1483" s="1" t="s">
        <v>195</v>
      </c>
      <c r="AF1483" s="1" t="s">
        <v>659</v>
      </c>
      <c r="AH1483" s="1" t="s">
        <v>1501</v>
      </c>
      <c r="AI1483" s="1">
        <v>0.0901</v>
      </c>
      <c r="AK1483" s="1">
        <v>6.0</v>
      </c>
      <c r="AL1483" s="1">
        <v>4.0</v>
      </c>
      <c r="AM1483" s="1">
        <v>1.0</v>
      </c>
      <c r="AN1483" s="1">
        <v>0.0</v>
      </c>
      <c r="AO1483" s="1" t="s">
        <v>229</v>
      </c>
      <c r="AQ1483" s="1" t="s">
        <v>198</v>
      </c>
      <c r="AR1483" s="1" t="s">
        <v>200</v>
      </c>
      <c r="AS1483" s="1" t="s">
        <v>229</v>
      </c>
      <c r="AV1483" s="1" t="s">
        <v>200</v>
      </c>
      <c r="AW1483" s="1">
        <v>1419.38</v>
      </c>
      <c r="AX1483" s="1">
        <v>2013.0</v>
      </c>
      <c r="AZ1483" s="1" t="s">
        <v>200</v>
      </c>
      <c r="BA1483" s="1" t="str">
        <f>"25052080080000"</f>
        <v>25052080080000</v>
      </c>
      <c r="BC1483" s="1">
        <v>1402.0</v>
      </c>
      <c r="BD1483" s="1">
        <v>17100.0</v>
      </c>
      <c r="BE1483" s="2">
        <v>42086.0</v>
      </c>
      <c r="BF1483" s="1" t="s">
        <v>15190</v>
      </c>
      <c r="BH1483" s="1">
        <v>0.0</v>
      </c>
      <c r="BK1483" s="1" t="s">
        <v>204</v>
      </c>
      <c r="BL1483" s="1" t="str">
        <f t="shared" ref="BL1483:BM1483" si="975">"0"</f>
        <v>0</v>
      </c>
      <c r="BM1483" s="1" t="str">
        <f t="shared" si="975"/>
        <v>0</v>
      </c>
      <c r="BN1483" s="1">
        <v>800.0</v>
      </c>
      <c r="BO1483" s="1">
        <v>8730.0</v>
      </c>
      <c r="BQ1483" s="1">
        <v>299.0</v>
      </c>
      <c r="BR1483" s="1">
        <v>299.0</v>
      </c>
      <c r="BS1483" s="1">
        <v>299.0</v>
      </c>
      <c r="BU1483" s="1" t="s">
        <v>300</v>
      </c>
      <c r="BV1483" s="1" t="s">
        <v>206</v>
      </c>
      <c r="BY1483" s="1" t="s">
        <v>300</v>
      </c>
      <c r="BZ1483" s="1" t="s">
        <v>209</v>
      </c>
      <c r="CD1483" s="1" t="s">
        <v>204</v>
      </c>
      <c r="CG1483" s="1" t="s">
        <v>375</v>
      </c>
      <c r="CH1483" s="1" t="s">
        <v>209</v>
      </c>
      <c r="CK1483" s="1" t="s">
        <v>269</v>
      </c>
      <c r="CL1483" s="1" t="s">
        <v>209</v>
      </c>
      <c r="CO1483" s="1" t="s">
        <v>269</v>
      </c>
      <c r="CP1483" s="1" t="s">
        <v>209</v>
      </c>
      <c r="CS1483" s="1" t="s">
        <v>263</v>
      </c>
      <c r="CT1483" s="1" t="s">
        <v>206</v>
      </c>
      <c r="CX1483" s="1" t="s">
        <v>204</v>
      </c>
      <c r="DA1483" s="1" t="s">
        <v>200</v>
      </c>
      <c r="DC1483" s="1" t="s">
        <v>642</v>
      </c>
      <c r="DE1483" s="1" t="s">
        <v>229</v>
      </c>
      <c r="DF1483" s="1" t="s">
        <v>619</v>
      </c>
      <c r="DH1483" s="1" t="s">
        <v>220</v>
      </c>
      <c r="DJ1483" s="1" t="s">
        <v>222</v>
      </c>
      <c r="DL1483" s="1" t="s">
        <v>223</v>
      </c>
      <c r="DM1483" s="1" t="s">
        <v>229</v>
      </c>
      <c r="DQ1483" s="1" t="s">
        <v>441</v>
      </c>
      <c r="DR1483" s="1" t="s">
        <v>229</v>
      </c>
      <c r="DV1483" s="1" t="s">
        <v>232</v>
      </c>
      <c r="DW1483" s="1" t="s">
        <v>667</v>
      </c>
      <c r="DX1483" s="1" t="s">
        <v>234</v>
      </c>
      <c r="EC1483" s="1" t="s">
        <v>645</v>
      </c>
      <c r="EM1483" s="1" t="s">
        <v>238</v>
      </c>
      <c r="EQ1483" s="1" t="s">
        <v>238</v>
      </c>
      <c r="EU1483" s="1" t="s">
        <v>238</v>
      </c>
      <c r="EY1483" s="1" t="s">
        <v>238</v>
      </c>
      <c r="FC1483" s="1" t="s">
        <v>238</v>
      </c>
      <c r="FF1483" s="1" t="s">
        <v>239</v>
      </c>
      <c r="FG1483" s="1" t="s">
        <v>192</v>
      </c>
      <c r="FH1483" s="1" t="s">
        <v>192</v>
      </c>
      <c r="FJ1483" s="1" t="s">
        <v>15191</v>
      </c>
      <c r="FK1483" s="1" t="s">
        <v>229</v>
      </c>
      <c r="FL1483" s="1" t="s">
        <v>3272</v>
      </c>
      <c r="FM1483" s="1">
        <v>12511.0</v>
      </c>
      <c r="FN1483" s="1" t="s">
        <v>3273</v>
      </c>
      <c r="FO1483" s="1" t="s">
        <v>3274</v>
      </c>
      <c r="FP1483" s="1">
        <v>121408.0</v>
      </c>
      <c r="FQ1483" s="1" t="s">
        <v>3275</v>
      </c>
      <c r="FU1483" s="1" t="s">
        <v>3276</v>
      </c>
      <c r="FV1483" s="1" t="s">
        <v>200</v>
      </c>
      <c r="FW1483" s="1" t="s">
        <v>1411</v>
      </c>
      <c r="FX1483" s="1" t="s">
        <v>655</v>
      </c>
      <c r="FZ1483" s="1" t="s">
        <v>229</v>
      </c>
      <c r="GA1483" s="1" t="s">
        <v>291</v>
      </c>
      <c r="GB1483" s="2">
        <v>42130.0</v>
      </c>
      <c r="GC1483" s="1" t="s">
        <v>15192</v>
      </c>
    </row>
    <row r="1484">
      <c r="A1484" s="1">
        <v>336000.0</v>
      </c>
      <c r="B1484" s="1" t="s">
        <v>185</v>
      </c>
      <c r="C1484" s="1" t="str">
        <f>"08863735"</f>
        <v>08863735</v>
      </c>
      <c r="D1484" s="1" t="s">
        <v>186</v>
      </c>
      <c r="F1484" s="1" t="str">
        <f>"543"</f>
        <v>543</v>
      </c>
      <c r="G1484" s="2">
        <v>42080.0</v>
      </c>
      <c r="H1484" s="1">
        <v>344999.0</v>
      </c>
      <c r="I1484" s="1">
        <v>202.0</v>
      </c>
      <c r="J1484" s="1">
        <v>344999.0</v>
      </c>
      <c r="K1484" s="2">
        <v>42100.0</v>
      </c>
      <c r="L1484" s="1">
        <v>21.0</v>
      </c>
      <c r="M1484" s="2">
        <v>42100.0</v>
      </c>
      <c r="N1484" s="1" t="s">
        <v>356</v>
      </c>
      <c r="O1484" s="2">
        <v>42136.0</v>
      </c>
      <c r="P1484" s="1">
        <v>315000.0</v>
      </c>
      <c r="Q1484" s="1">
        <v>31500.0</v>
      </c>
      <c r="S1484" s="1">
        <v>405.0</v>
      </c>
      <c r="T1484" s="1" t="s">
        <v>15193</v>
      </c>
      <c r="U1484" s="1" t="s">
        <v>569</v>
      </c>
      <c r="V1484" s="1" t="s">
        <v>1527</v>
      </c>
      <c r="W1484" s="1">
        <v>60543.0</v>
      </c>
      <c r="Y1484" s="1" t="s">
        <v>15194</v>
      </c>
      <c r="Z1484" s="1">
        <v>2010.0</v>
      </c>
      <c r="AA1484" s="1" t="s">
        <v>200</v>
      </c>
      <c r="AB1484" s="1" t="s">
        <v>193</v>
      </c>
      <c r="AC1484" s="1" t="s">
        <v>12165</v>
      </c>
      <c r="AD1484" s="1" t="s">
        <v>1529</v>
      </c>
      <c r="AE1484" s="1" t="s">
        <v>849</v>
      </c>
      <c r="AF1484" s="1" t="s">
        <v>1529</v>
      </c>
      <c r="AG1484" s="1" t="s">
        <v>15195</v>
      </c>
      <c r="AH1484" s="1" t="s">
        <v>15196</v>
      </c>
      <c r="AI1484" s="1">
        <v>0.3479</v>
      </c>
      <c r="AK1484" s="1">
        <v>10.0</v>
      </c>
      <c r="AL1484" s="1">
        <v>4.0</v>
      </c>
      <c r="AM1484" s="1">
        <v>2.0</v>
      </c>
      <c r="AN1484" s="1">
        <v>1.0</v>
      </c>
      <c r="AO1484" s="1" t="s">
        <v>198</v>
      </c>
      <c r="AP1484" s="1">
        <v>1.0</v>
      </c>
      <c r="AQ1484" s="1" t="s">
        <v>198</v>
      </c>
      <c r="AR1484" s="1" t="s">
        <v>200</v>
      </c>
      <c r="AS1484" s="1" t="s">
        <v>510</v>
      </c>
      <c r="AT1484" s="1">
        <v>3.0</v>
      </c>
      <c r="AU1484" s="1">
        <v>3.0</v>
      </c>
      <c r="AV1484" s="1" t="s">
        <v>192</v>
      </c>
      <c r="AW1484" s="1">
        <v>11665.35</v>
      </c>
      <c r="AX1484" s="1">
        <v>2013.0</v>
      </c>
      <c r="AY1484" s="1" t="s">
        <v>387</v>
      </c>
      <c r="AZ1484" s="1" t="s">
        <v>200</v>
      </c>
      <c r="BA1484" s="1" t="str">
        <f>"0312352019"</f>
        <v>0312352019</v>
      </c>
      <c r="BC1484" s="1">
        <v>3296.0</v>
      </c>
      <c r="BD1484" s="1">
        <v>336000.0</v>
      </c>
      <c r="BE1484" s="2">
        <v>42080.0</v>
      </c>
      <c r="BF1484" s="2" t="s">
        <v>15197</v>
      </c>
      <c r="BH1484" s="1">
        <v>412.0</v>
      </c>
      <c r="BK1484" s="1" t="s">
        <v>580</v>
      </c>
      <c r="BL1484" s="1" t="str">
        <f t="shared" ref="BL1484:BM1484" si="976">""</f>
        <v/>
      </c>
      <c r="BM1484" s="1" t="str">
        <f t="shared" si="976"/>
        <v/>
      </c>
      <c r="BQ1484" s="1">
        <v>308.0</v>
      </c>
      <c r="BR1484" s="1">
        <v>308.0</v>
      </c>
      <c r="BS1484" s="1">
        <v>308.0</v>
      </c>
      <c r="BU1484" s="1" t="s">
        <v>584</v>
      </c>
      <c r="BV1484" s="1" t="s">
        <v>206</v>
      </c>
      <c r="BW1484" s="1" t="s">
        <v>210</v>
      </c>
      <c r="BX1484" s="1" t="s">
        <v>261</v>
      </c>
      <c r="BY1484" s="1" t="s">
        <v>1534</v>
      </c>
      <c r="BZ1484" s="1" t="s">
        <v>209</v>
      </c>
      <c r="CA1484" s="1" t="s">
        <v>210</v>
      </c>
      <c r="CB1484" s="1" t="s">
        <v>261</v>
      </c>
      <c r="CC1484" s="1" t="s">
        <v>454</v>
      </c>
      <c r="CD1484" s="1" t="s">
        <v>206</v>
      </c>
      <c r="CE1484" s="1" t="s">
        <v>210</v>
      </c>
      <c r="CF1484" s="1" t="s">
        <v>261</v>
      </c>
      <c r="CG1484" s="1" t="s">
        <v>454</v>
      </c>
      <c r="CH1484" s="1" t="s">
        <v>209</v>
      </c>
      <c r="CI1484" s="1" t="s">
        <v>210</v>
      </c>
      <c r="CJ1484" s="1" t="s">
        <v>261</v>
      </c>
      <c r="CK1484" s="1" t="s">
        <v>215</v>
      </c>
      <c r="CL1484" s="1" t="s">
        <v>209</v>
      </c>
      <c r="CM1484" s="1" t="s">
        <v>210</v>
      </c>
      <c r="CN1484" s="1" t="s">
        <v>261</v>
      </c>
      <c r="CO1484" s="1" t="s">
        <v>215</v>
      </c>
      <c r="CP1484" s="1" t="s">
        <v>209</v>
      </c>
      <c r="CQ1484" s="1" t="s">
        <v>210</v>
      </c>
      <c r="CR1484" s="1" t="s">
        <v>261</v>
      </c>
      <c r="CS1484" s="1" t="s">
        <v>2082</v>
      </c>
      <c r="CT1484" s="1" t="s">
        <v>206</v>
      </c>
      <c r="CU1484" s="1" t="s">
        <v>207</v>
      </c>
      <c r="CV1484" s="1" t="s">
        <v>261</v>
      </c>
      <c r="CW1484" s="1" t="s">
        <v>3092</v>
      </c>
      <c r="CX1484" s="1" t="s">
        <v>206</v>
      </c>
      <c r="CY1484" s="1" t="s">
        <v>210</v>
      </c>
      <c r="CZ1484" s="1" t="s">
        <v>431</v>
      </c>
      <c r="DA1484" s="1" t="s">
        <v>200</v>
      </c>
      <c r="DC1484" s="1" t="s">
        <v>1046</v>
      </c>
      <c r="DD1484" s="1" t="s">
        <v>1552</v>
      </c>
      <c r="DE1484" s="1" t="s">
        <v>273</v>
      </c>
      <c r="DF1484" s="1" t="s">
        <v>219</v>
      </c>
      <c r="DG1484" s="1" t="s">
        <v>1020</v>
      </c>
      <c r="DH1484" s="1" t="s">
        <v>220</v>
      </c>
      <c r="DI1484" s="1" t="s">
        <v>589</v>
      </c>
      <c r="DJ1484" s="1" t="s">
        <v>222</v>
      </c>
      <c r="DK1484" s="1" t="s">
        <v>223</v>
      </c>
      <c r="DL1484" s="1" t="s">
        <v>484</v>
      </c>
      <c r="DM1484" s="1" t="s">
        <v>338</v>
      </c>
      <c r="DN1484" s="1" t="s">
        <v>399</v>
      </c>
      <c r="DO1484" s="1" t="s">
        <v>15198</v>
      </c>
      <c r="DP1484" s="1" t="s">
        <v>340</v>
      </c>
      <c r="DQ1484" s="1" t="s">
        <v>441</v>
      </c>
      <c r="DR1484" s="1" t="s">
        <v>1185</v>
      </c>
      <c r="DU1484" s="1" t="s">
        <v>15199</v>
      </c>
      <c r="DV1484" s="1" t="s">
        <v>7010</v>
      </c>
      <c r="DW1484" s="1" t="s">
        <v>444</v>
      </c>
      <c r="DX1484" s="1" t="s">
        <v>234</v>
      </c>
      <c r="DY1484" s="1" t="s">
        <v>490</v>
      </c>
      <c r="DZ1484" s="1" t="s">
        <v>15200</v>
      </c>
      <c r="EA1484" s="1" t="s">
        <v>344</v>
      </c>
      <c r="EB1484" s="1" t="s">
        <v>345</v>
      </c>
      <c r="EC1484" s="1" t="s">
        <v>237</v>
      </c>
      <c r="ED1484" s="1" t="s">
        <v>407</v>
      </c>
      <c r="EE1484" s="1" t="s">
        <v>493</v>
      </c>
      <c r="EF1484" s="1" t="s">
        <v>5154</v>
      </c>
      <c r="EG1484" s="1" t="s">
        <v>449</v>
      </c>
      <c r="EH1484" s="1" t="s">
        <v>598</v>
      </c>
      <c r="EL1484" s="1" t="s">
        <v>640</v>
      </c>
      <c r="EM1484" s="1" t="s">
        <v>206</v>
      </c>
      <c r="EN1484" s="1" t="s">
        <v>207</v>
      </c>
      <c r="EO1484" s="1" t="s">
        <v>431</v>
      </c>
      <c r="EP1484" s="1" t="s">
        <v>1183</v>
      </c>
      <c r="EQ1484" s="1" t="s">
        <v>206</v>
      </c>
      <c r="ER1484" s="1" t="s">
        <v>210</v>
      </c>
      <c r="ES1484" s="1" t="s">
        <v>431</v>
      </c>
      <c r="EU1484" s="1" t="s">
        <v>238</v>
      </c>
      <c r="EY1484" s="1" t="s">
        <v>238</v>
      </c>
      <c r="FC1484" s="1" t="s">
        <v>238</v>
      </c>
      <c r="FF1484" s="1" t="s">
        <v>239</v>
      </c>
      <c r="FG1484" s="1" t="s">
        <v>192</v>
      </c>
      <c r="FH1484" s="1" t="s">
        <v>192</v>
      </c>
      <c r="FJ1484" s="1" t="s">
        <v>4181</v>
      </c>
      <c r="FK1484" s="1" t="s">
        <v>229</v>
      </c>
      <c r="FL1484" s="1" t="s">
        <v>1358</v>
      </c>
      <c r="FM1484" s="1">
        <v>23076.0</v>
      </c>
      <c r="FN1484" s="1" t="s">
        <v>1359</v>
      </c>
      <c r="FO1484" s="1" t="s">
        <v>15201</v>
      </c>
      <c r="FP1484" s="1">
        <v>227960.0</v>
      </c>
      <c r="FQ1484" s="1" t="s">
        <v>15202</v>
      </c>
      <c r="FU1484" s="1" t="s">
        <v>15203</v>
      </c>
      <c r="FV1484" s="1" t="s">
        <v>200</v>
      </c>
      <c r="FW1484" s="1" t="s">
        <v>290</v>
      </c>
      <c r="FZ1484" s="1" t="s">
        <v>2993</v>
      </c>
      <c r="GA1484" s="1" t="s">
        <v>291</v>
      </c>
      <c r="GB1484" s="2">
        <v>42142.0</v>
      </c>
    </row>
    <row r="1485">
      <c r="A1485" s="1">
        <v>395000.0</v>
      </c>
      <c r="B1485" s="1" t="s">
        <v>185</v>
      </c>
      <c r="C1485" s="1" t="str">
        <f>"08862565"</f>
        <v>08862565</v>
      </c>
      <c r="D1485" s="1" t="s">
        <v>186</v>
      </c>
      <c r="F1485" s="1" t="str">
        <f>"10"</f>
        <v>10</v>
      </c>
      <c r="G1485" s="2">
        <v>42079.0</v>
      </c>
      <c r="H1485" s="1">
        <v>415000.0</v>
      </c>
      <c r="I1485" s="1">
        <v>1.0</v>
      </c>
      <c r="J1485" s="1">
        <v>415000.0</v>
      </c>
      <c r="K1485" s="2">
        <v>42079.0</v>
      </c>
      <c r="L1485" s="1">
        <v>1.0</v>
      </c>
      <c r="M1485" s="2">
        <v>42079.0</v>
      </c>
      <c r="N1485" s="1" t="s">
        <v>187</v>
      </c>
      <c r="O1485" s="2">
        <v>42124.0</v>
      </c>
      <c r="P1485" s="1">
        <v>39899.0</v>
      </c>
      <c r="Q1485" s="1">
        <v>6026.0</v>
      </c>
      <c r="S1485" s="1">
        <v>431.0</v>
      </c>
      <c r="T1485" s="1" t="s">
        <v>15204</v>
      </c>
      <c r="U1485" s="1" t="s">
        <v>1754</v>
      </c>
      <c r="V1485" s="1" t="s">
        <v>1706</v>
      </c>
      <c r="W1485" s="1">
        <v>60010.0</v>
      </c>
      <c r="Y1485" s="1" t="s">
        <v>15205</v>
      </c>
      <c r="Z1485" s="1">
        <v>1920.0</v>
      </c>
      <c r="AA1485" s="1" t="s">
        <v>192</v>
      </c>
      <c r="AB1485" s="1" t="s">
        <v>193</v>
      </c>
      <c r="AD1485" s="1" t="s">
        <v>1948</v>
      </c>
      <c r="AE1485" s="1" t="s">
        <v>917</v>
      </c>
      <c r="AF1485" s="1" t="s">
        <v>2008</v>
      </c>
      <c r="AH1485" s="1" t="s">
        <v>15206</v>
      </c>
      <c r="AK1485" s="1">
        <v>10.0</v>
      </c>
      <c r="AL1485" s="1">
        <v>4.0</v>
      </c>
      <c r="AM1485" s="1">
        <v>1.0</v>
      </c>
      <c r="AN1485" s="1">
        <v>1.0</v>
      </c>
      <c r="AO1485" s="1" t="s">
        <v>229</v>
      </c>
      <c r="AQ1485" s="1" t="s">
        <v>1314</v>
      </c>
      <c r="AR1485" s="1" t="s">
        <v>200</v>
      </c>
      <c r="AS1485" s="1" t="s">
        <v>199</v>
      </c>
      <c r="AT1485" s="1">
        <v>2.0</v>
      </c>
      <c r="AV1485" s="1" t="s">
        <v>200</v>
      </c>
      <c r="AW1485" s="1">
        <v>6457.36</v>
      </c>
      <c r="AX1485" s="1">
        <v>2013.0</v>
      </c>
      <c r="AY1485" s="1" t="s">
        <v>387</v>
      </c>
      <c r="AZ1485" s="1" t="s">
        <v>200</v>
      </c>
      <c r="BA1485" s="1" t="str">
        <f>"13364060380000"</f>
        <v>13364060380000</v>
      </c>
      <c r="BB1485" s="1" t="s">
        <v>192</v>
      </c>
      <c r="BC1485" s="1">
        <v>1771.0</v>
      </c>
      <c r="BD1485" s="1">
        <v>395000.0</v>
      </c>
      <c r="BE1485" s="2">
        <v>42079.0</v>
      </c>
      <c r="BF1485" s="2" t="s">
        <v>15207</v>
      </c>
      <c r="BH1485" s="1">
        <v>0.0</v>
      </c>
      <c r="BK1485" s="1" t="s">
        <v>204</v>
      </c>
      <c r="BL1485" s="1" t="str">
        <f t="shared" ref="BL1485:BM1485" si="977">""</f>
        <v/>
      </c>
      <c r="BM1485" s="1" t="str">
        <f t="shared" si="977"/>
        <v/>
      </c>
      <c r="BQ1485" s="1">
        <v>220.0</v>
      </c>
      <c r="BR1485" s="1">
        <v>220.0</v>
      </c>
      <c r="BS1485" s="1">
        <v>220.0</v>
      </c>
      <c r="BU1485" s="1" t="s">
        <v>616</v>
      </c>
      <c r="BV1485" s="1" t="s">
        <v>206</v>
      </c>
      <c r="BY1485" s="1" t="s">
        <v>584</v>
      </c>
      <c r="BZ1485" s="1" t="s">
        <v>209</v>
      </c>
      <c r="CC1485" s="1" t="s">
        <v>495</v>
      </c>
      <c r="CD1485" s="1" t="s">
        <v>206</v>
      </c>
      <c r="CG1485" s="1" t="s">
        <v>1939</v>
      </c>
      <c r="CH1485" s="1" t="s">
        <v>209</v>
      </c>
      <c r="CK1485" s="1" t="s">
        <v>640</v>
      </c>
      <c r="CL1485" s="1" t="s">
        <v>209</v>
      </c>
      <c r="CO1485" s="1" t="s">
        <v>453</v>
      </c>
      <c r="CP1485" s="1" t="s">
        <v>391</v>
      </c>
      <c r="CS1485" s="1" t="s">
        <v>212</v>
      </c>
      <c r="CT1485" s="1" t="s">
        <v>206</v>
      </c>
      <c r="CW1485" s="1" t="s">
        <v>1623</v>
      </c>
      <c r="CX1485" s="1" t="s">
        <v>206</v>
      </c>
      <c r="DA1485" s="1" t="s">
        <v>200</v>
      </c>
      <c r="DC1485" s="1" t="s">
        <v>216</v>
      </c>
      <c r="DE1485" s="1" t="s">
        <v>273</v>
      </c>
      <c r="DF1485" s="1" t="s">
        <v>619</v>
      </c>
      <c r="DH1485" s="1" t="s">
        <v>1603</v>
      </c>
      <c r="DJ1485" s="1" t="s">
        <v>222</v>
      </c>
      <c r="DL1485" s="1" t="s">
        <v>858</v>
      </c>
      <c r="DM1485" s="1" t="s">
        <v>229</v>
      </c>
      <c r="DQ1485" s="1" t="s">
        <v>441</v>
      </c>
      <c r="DR1485" s="1" t="s">
        <v>229</v>
      </c>
      <c r="DV1485" s="1" t="s">
        <v>2692</v>
      </c>
      <c r="DW1485" s="1" t="s">
        <v>667</v>
      </c>
      <c r="DX1485" s="1" t="s">
        <v>234</v>
      </c>
      <c r="EC1485" s="1" t="s">
        <v>237</v>
      </c>
      <c r="EG1485" s="1" t="s">
        <v>598</v>
      </c>
      <c r="EH1485" s="1" t="s">
        <v>450</v>
      </c>
      <c r="EL1485" s="1" t="s">
        <v>1137</v>
      </c>
      <c r="EM1485" s="1" t="s">
        <v>206</v>
      </c>
      <c r="EP1485" s="1" t="s">
        <v>1427</v>
      </c>
      <c r="EQ1485" s="1" t="s">
        <v>42</v>
      </c>
      <c r="EU1485" s="1" t="s">
        <v>238</v>
      </c>
      <c r="EY1485" s="1" t="s">
        <v>238</v>
      </c>
      <c r="FC1485" s="1" t="s">
        <v>238</v>
      </c>
      <c r="FF1485" s="1" t="s">
        <v>239</v>
      </c>
      <c r="FG1485" s="1" t="s">
        <v>192</v>
      </c>
      <c r="FH1485" s="1" t="s">
        <v>192</v>
      </c>
      <c r="FJ1485" s="1" t="s">
        <v>2133</v>
      </c>
      <c r="FK1485" s="1" t="s">
        <v>229</v>
      </c>
      <c r="FL1485" s="1" t="s">
        <v>1358</v>
      </c>
      <c r="FM1485" s="1">
        <v>22049.0</v>
      </c>
      <c r="FN1485" s="1" t="s">
        <v>10181</v>
      </c>
      <c r="FO1485" s="1" t="s">
        <v>15208</v>
      </c>
      <c r="FP1485" s="1">
        <v>239418.0</v>
      </c>
      <c r="FQ1485" s="1" t="s">
        <v>15209</v>
      </c>
      <c r="FU1485" s="1" t="s">
        <v>15210</v>
      </c>
      <c r="FV1485" s="1" t="s">
        <v>200</v>
      </c>
      <c r="FW1485" s="1" t="s">
        <v>530</v>
      </c>
      <c r="FZ1485" s="1" t="s">
        <v>229</v>
      </c>
      <c r="GA1485" s="1" t="s">
        <v>291</v>
      </c>
      <c r="GB1485" s="2">
        <v>42125.0</v>
      </c>
      <c r="GC1485" s="1" t="s">
        <v>15211</v>
      </c>
    </row>
    <row r="1486">
      <c r="A1486" s="1">
        <v>134000.0</v>
      </c>
      <c r="B1486" s="1" t="s">
        <v>185</v>
      </c>
      <c r="C1486" s="1" t="str">
        <f>"08864548"</f>
        <v>08864548</v>
      </c>
      <c r="D1486" s="1" t="s">
        <v>186</v>
      </c>
      <c r="F1486" s="1" t="str">
        <f>"123"</f>
        <v>123</v>
      </c>
      <c r="G1486" s="2">
        <v>42080.0</v>
      </c>
      <c r="H1486" s="1">
        <v>145000.0</v>
      </c>
      <c r="I1486" s="1">
        <v>19.0</v>
      </c>
      <c r="J1486" s="1">
        <v>145000.0</v>
      </c>
      <c r="K1486" s="2">
        <v>42098.0</v>
      </c>
      <c r="L1486" s="1">
        <v>19.0</v>
      </c>
      <c r="M1486" s="2">
        <v>42098.0</v>
      </c>
      <c r="N1486" s="1" t="s">
        <v>356</v>
      </c>
      <c r="O1486" s="2">
        <v>42138.0</v>
      </c>
      <c r="P1486" s="1">
        <v>242768.0</v>
      </c>
      <c r="Q1486" s="1">
        <v>25769.0</v>
      </c>
      <c r="S1486" s="1">
        <v>432.0</v>
      </c>
      <c r="T1486" s="1" t="s">
        <v>15212</v>
      </c>
      <c r="U1486" s="1" t="s">
        <v>320</v>
      </c>
      <c r="V1486" s="1" t="s">
        <v>465</v>
      </c>
      <c r="W1486" s="1">
        <v>60123.0</v>
      </c>
      <c r="Y1486" s="1" t="s">
        <v>15213</v>
      </c>
      <c r="Z1486" s="1" t="s">
        <v>296</v>
      </c>
      <c r="AA1486" s="1" t="s">
        <v>192</v>
      </c>
      <c r="AB1486" s="1" t="s">
        <v>193</v>
      </c>
      <c r="AD1486" s="1" t="s">
        <v>469</v>
      </c>
      <c r="AE1486" s="1" t="s">
        <v>325</v>
      </c>
      <c r="AF1486" s="1" t="s">
        <v>469</v>
      </c>
      <c r="AH1486" s="1" t="s">
        <v>15214</v>
      </c>
      <c r="AK1486" s="1">
        <v>7.0</v>
      </c>
      <c r="AL1486" s="1">
        <v>4.0</v>
      </c>
      <c r="AM1486" s="1">
        <v>2.0</v>
      </c>
      <c r="AN1486" s="1">
        <v>0.0</v>
      </c>
      <c r="AO1486" s="1" t="s">
        <v>198</v>
      </c>
      <c r="AQ1486" s="1" t="s">
        <v>1314</v>
      </c>
      <c r="AR1486" s="1" t="s">
        <v>200</v>
      </c>
      <c r="AS1486" s="1" t="s">
        <v>199</v>
      </c>
      <c r="AT1486" s="1">
        <v>2.0</v>
      </c>
      <c r="AV1486" s="1" t="s">
        <v>200</v>
      </c>
      <c r="AW1486" s="1">
        <v>3849.0</v>
      </c>
      <c r="AX1486" s="1">
        <v>2013.0</v>
      </c>
      <c r="AZ1486" s="1" t="s">
        <v>200</v>
      </c>
      <c r="BA1486" s="1" t="str">
        <f>"0624156013"</f>
        <v>0624156013</v>
      </c>
      <c r="BB1486" s="1" t="s">
        <v>200</v>
      </c>
      <c r="BC1486" s="1">
        <v>0.0</v>
      </c>
      <c r="BD1486" s="1">
        <v>134000.0</v>
      </c>
      <c r="BE1486" s="2">
        <v>42080.0</v>
      </c>
      <c r="BF1486" s="2" t="s">
        <v>15215</v>
      </c>
      <c r="BH1486" s="1">
        <v>0.0</v>
      </c>
      <c r="BK1486" s="1" t="s">
        <v>204</v>
      </c>
      <c r="BL1486" s="1" t="str">
        <f t="shared" ref="BL1486:BM1486" si="978">""</f>
        <v/>
      </c>
      <c r="BM1486" s="1" t="str">
        <f t="shared" si="978"/>
        <v/>
      </c>
      <c r="BQ1486" s="1">
        <v>46.0</v>
      </c>
      <c r="BR1486" s="1">
        <v>46.0</v>
      </c>
      <c r="BS1486" s="1">
        <v>46.0</v>
      </c>
      <c r="BU1486" s="1" t="s">
        <v>452</v>
      </c>
      <c r="BV1486" s="1" t="s">
        <v>206</v>
      </c>
      <c r="BW1486" s="1" t="s">
        <v>210</v>
      </c>
      <c r="BY1486" s="1" t="s">
        <v>15216</v>
      </c>
      <c r="BZ1486" s="1" t="s">
        <v>209</v>
      </c>
      <c r="CA1486" s="1" t="s">
        <v>210</v>
      </c>
      <c r="CC1486" s="1" t="s">
        <v>392</v>
      </c>
      <c r="CD1486" s="1" t="s">
        <v>206</v>
      </c>
      <c r="CG1486" s="1" t="s">
        <v>392</v>
      </c>
      <c r="CH1486" s="1" t="s">
        <v>206</v>
      </c>
      <c r="CI1486" s="1" t="s">
        <v>207</v>
      </c>
      <c r="CK1486" s="1" t="s">
        <v>265</v>
      </c>
      <c r="CL1486" s="1" t="s">
        <v>206</v>
      </c>
      <c r="CM1486" s="1" t="s">
        <v>210</v>
      </c>
      <c r="CO1486" s="1" t="s">
        <v>495</v>
      </c>
      <c r="CP1486" s="1" t="s">
        <v>206</v>
      </c>
      <c r="CQ1486" s="1" t="s">
        <v>210</v>
      </c>
      <c r="CS1486" s="1" t="s">
        <v>264</v>
      </c>
      <c r="CT1486" s="1" t="s">
        <v>206</v>
      </c>
      <c r="CX1486" s="1" t="s">
        <v>204</v>
      </c>
      <c r="DA1486" s="1" t="s">
        <v>200</v>
      </c>
      <c r="DC1486" s="1" t="s">
        <v>271</v>
      </c>
      <c r="DE1486" s="1" t="s">
        <v>273</v>
      </c>
      <c r="DF1486" s="1" t="s">
        <v>219</v>
      </c>
      <c r="DH1486" s="1" t="s">
        <v>220</v>
      </c>
      <c r="DJ1486" s="1" t="s">
        <v>222</v>
      </c>
      <c r="DL1486" s="1" t="s">
        <v>223</v>
      </c>
      <c r="DM1486" s="1" t="s">
        <v>229</v>
      </c>
      <c r="DQ1486" s="1" t="s">
        <v>228</v>
      </c>
      <c r="DR1486" s="1" t="s">
        <v>229</v>
      </c>
      <c r="DV1486" s="1" t="s">
        <v>232</v>
      </c>
      <c r="DW1486" s="1" t="s">
        <v>233</v>
      </c>
      <c r="DX1486" s="1" t="s">
        <v>234</v>
      </c>
      <c r="EC1486" s="1" t="s">
        <v>237</v>
      </c>
      <c r="EM1486" s="1" t="s">
        <v>238</v>
      </c>
      <c r="EQ1486" s="1" t="s">
        <v>238</v>
      </c>
      <c r="EU1486" s="1" t="s">
        <v>238</v>
      </c>
      <c r="EY1486" s="1" t="s">
        <v>238</v>
      </c>
      <c r="FC1486" s="1" t="s">
        <v>238</v>
      </c>
      <c r="FF1486" s="1" t="s">
        <v>2447</v>
      </c>
      <c r="FG1486" s="1" t="s">
        <v>200</v>
      </c>
      <c r="FH1486" s="1" t="s">
        <v>192</v>
      </c>
      <c r="FJ1486" s="1" t="s">
        <v>15217</v>
      </c>
      <c r="FK1486" s="1" t="s">
        <v>229</v>
      </c>
      <c r="FL1486" s="1" t="s">
        <v>525</v>
      </c>
      <c r="FM1486" s="1">
        <v>22029.0</v>
      </c>
      <c r="FN1486" s="1" t="s">
        <v>526</v>
      </c>
      <c r="FO1486" s="1" t="s">
        <v>15218</v>
      </c>
      <c r="FP1486" s="1">
        <v>241328.0</v>
      </c>
      <c r="FS1486" s="1" t="s">
        <v>15219</v>
      </c>
      <c r="FU1486" s="1" t="s">
        <v>15220</v>
      </c>
      <c r="FV1486" s="1" t="s">
        <v>200</v>
      </c>
      <c r="FW1486" s="1" t="s">
        <v>290</v>
      </c>
      <c r="FZ1486" s="1" t="s">
        <v>229</v>
      </c>
      <c r="GA1486" s="1" t="s">
        <v>291</v>
      </c>
      <c r="GB1486" s="2">
        <v>42138.0</v>
      </c>
      <c r="GC1486" s="1" t="s">
        <v>15221</v>
      </c>
    </row>
    <row r="1487">
      <c r="A1487" s="1">
        <v>256500.0</v>
      </c>
      <c r="B1487" s="1" t="s">
        <v>185</v>
      </c>
      <c r="C1487" s="1" t="str">
        <f>"08860367"</f>
        <v>08860367</v>
      </c>
      <c r="D1487" s="1" t="s">
        <v>186</v>
      </c>
      <c r="F1487" s="1" t="str">
        <f>"560"</f>
        <v>560</v>
      </c>
      <c r="G1487" s="2">
        <v>42076.0</v>
      </c>
      <c r="H1487" s="1">
        <v>259900.0</v>
      </c>
      <c r="I1487" s="1">
        <v>2.0</v>
      </c>
      <c r="J1487" s="1">
        <v>259900.0</v>
      </c>
      <c r="K1487" s="2">
        <v>42077.0</v>
      </c>
      <c r="L1487" s="1">
        <v>2.0</v>
      </c>
      <c r="M1487" s="2">
        <v>42077.0</v>
      </c>
      <c r="N1487" s="1" t="s">
        <v>187</v>
      </c>
      <c r="O1487" s="2">
        <v>42124.0</v>
      </c>
      <c r="P1487" s="1">
        <v>219848.0</v>
      </c>
      <c r="Q1487" s="1">
        <v>21242.0</v>
      </c>
      <c r="R1487" s="1">
        <v>2500.0</v>
      </c>
      <c r="S1487" s="1">
        <v>1402.0</v>
      </c>
      <c r="T1487" s="1" t="s">
        <v>15222</v>
      </c>
      <c r="U1487" s="1" t="s">
        <v>569</v>
      </c>
      <c r="V1487" s="1" t="s">
        <v>845</v>
      </c>
      <c r="W1487" s="1">
        <v>60560.0</v>
      </c>
      <c r="Y1487" s="1" t="s">
        <v>15223</v>
      </c>
      <c r="Z1487" s="1">
        <v>2007.0</v>
      </c>
      <c r="AA1487" s="1" t="s">
        <v>200</v>
      </c>
      <c r="AB1487" s="1" t="s">
        <v>193</v>
      </c>
      <c r="AC1487" s="1" t="s">
        <v>15224</v>
      </c>
      <c r="AD1487" s="1" t="s">
        <v>848</v>
      </c>
      <c r="AE1487" s="1" t="s">
        <v>849</v>
      </c>
      <c r="AF1487" s="1" t="s">
        <v>2153</v>
      </c>
      <c r="AG1487" s="1" t="s">
        <v>15225</v>
      </c>
      <c r="AH1487" s="1" t="s">
        <v>15226</v>
      </c>
      <c r="AK1487" s="1">
        <v>8.0</v>
      </c>
      <c r="AL1487" s="1">
        <v>4.0</v>
      </c>
      <c r="AM1487" s="1">
        <v>2.0</v>
      </c>
      <c r="AN1487" s="1">
        <v>1.0</v>
      </c>
      <c r="AO1487" s="1" t="s">
        <v>198</v>
      </c>
      <c r="AP1487" s="1">
        <v>1.0</v>
      </c>
      <c r="AQ1487" s="1" t="s">
        <v>198</v>
      </c>
      <c r="AR1487" s="1" t="s">
        <v>200</v>
      </c>
      <c r="AS1487" s="1" t="s">
        <v>199</v>
      </c>
      <c r="AT1487" s="1">
        <v>2.5</v>
      </c>
      <c r="AV1487" s="1" t="s">
        <v>200</v>
      </c>
      <c r="AW1487" s="1">
        <v>7051.0</v>
      </c>
      <c r="AX1487" s="1">
        <v>2013.0</v>
      </c>
      <c r="AY1487" s="1" t="s">
        <v>387</v>
      </c>
      <c r="AZ1487" s="1" t="s">
        <v>200</v>
      </c>
      <c r="BA1487" s="1" t="str">
        <f>"0505207027"</f>
        <v>0505207027</v>
      </c>
      <c r="BB1487" s="1" t="s">
        <v>200</v>
      </c>
      <c r="BC1487" s="1">
        <v>0.0</v>
      </c>
      <c r="BD1487" s="1">
        <v>256500.0</v>
      </c>
      <c r="BE1487" s="2">
        <v>42076.0</v>
      </c>
      <c r="BF1487" s="2" t="s">
        <v>15227</v>
      </c>
      <c r="BH1487" s="1">
        <v>0.0</v>
      </c>
      <c r="BK1487" s="1" t="s">
        <v>204</v>
      </c>
      <c r="BL1487" s="1" t="str">
        <f t="shared" ref="BL1487:BM1487" si="979">"0"</f>
        <v>0</v>
      </c>
      <c r="BM1487" s="1" t="str">
        <f t="shared" si="979"/>
        <v>0</v>
      </c>
      <c r="BN1487" s="1">
        <v>49.0</v>
      </c>
      <c r="BO1487" s="1">
        <v>21.0</v>
      </c>
      <c r="BQ1487" s="1">
        <v>115.0</v>
      </c>
      <c r="BR1487" s="1">
        <v>115.0</v>
      </c>
      <c r="BS1487" s="1">
        <v>115.0</v>
      </c>
      <c r="BV1487" s="1" t="s">
        <v>204</v>
      </c>
      <c r="BY1487" s="1" t="s">
        <v>1483</v>
      </c>
      <c r="BZ1487" s="1" t="s">
        <v>209</v>
      </c>
      <c r="CA1487" s="1" t="s">
        <v>210</v>
      </c>
      <c r="CB1487" s="1" t="s">
        <v>431</v>
      </c>
      <c r="CC1487" s="1" t="s">
        <v>331</v>
      </c>
      <c r="CD1487" s="1" t="s">
        <v>206</v>
      </c>
      <c r="CE1487" s="1" t="s">
        <v>210</v>
      </c>
      <c r="CF1487" s="1" t="s">
        <v>431</v>
      </c>
      <c r="CG1487" s="1" t="s">
        <v>212</v>
      </c>
      <c r="CH1487" s="1" t="s">
        <v>209</v>
      </c>
      <c r="CI1487" s="1" t="s">
        <v>210</v>
      </c>
      <c r="CJ1487" s="1" t="s">
        <v>431</v>
      </c>
      <c r="CK1487" s="1" t="s">
        <v>212</v>
      </c>
      <c r="CL1487" s="1" t="s">
        <v>209</v>
      </c>
      <c r="CM1487" s="1" t="s">
        <v>210</v>
      </c>
      <c r="CN1487" s="1" t="s">
        <v>431</v>
      </c>
      <c r="CO1487" s="1" t="s">
        <v>212</v>
      </c>
      <c r="CP1487" s="1" t="s">
        <v>209</v>
      </c>
      <c r="CQ1487" s="1" t="s">
        <v>210</v>
      </c>
      <c r="CR1487" s="1" t="s">
        <v>431</v>
      </c>
      <c r="CS1487" s="1" t="s">
        <v>433</v>
      </c>
      <c r="CT1487" s="1" t="s">
        <v>206</v>
      </c>
      <c r="CU1487" s="1" t="s">
        <v>207</v>
      </c>
      <c r="CV1487" s="1" t="s">
        <v>229</v>
      </c>
      <c r="CX1487" s="1" t="s">
        <v>204</v>
      </c>
      <c r="DA1487" s="1" t="s">
        <v>200</v>
      </c>
      <c r="DC1487" s="1" t="s">
        <v>481</v>
      </c>
      <c r="DD1487" s="1" t="s">
        <v>1838</v>
      </c>
      <c r="DE1487" s="1" t="s">
        <v>273</v>
      </c>
      <c r="DF1487" s="1" t="s">
        <v>619</v>
      </c>
      <c r="DG1487" s="1" t="s">
        <v>1020</v>
      </c>
      <c r="DH1487" s="1" t="s">
        <v>220</v>
      </c>
      <c r="DI1487" s="1" t="s">
        <v>275</v>
      </c>
      <c r="DJ1487" s="1" t="s">
        <v>1048</v>
      </c>
      <c r="DK1487" s="1" t="s">
        <v>223</v>
      </c>
      <c r="DL1487" s="1" t="s">
        <v>223</v>
      </c>
      <c r="DM1487" s="1" t="s">
        <v>338</v>
      </c>
      <c r="DN1487" s="1" t="s">
        <v>485</v>
      </c>
      <c r="DO1487" s="1" t="s">
        <v>486</v>
      </c>
      <c r="DP1487" s="1" t="s">
        <v>340</v>
      </c>
      <c r="DQ1487" s="1" t="s">
        <v>1557</v>
      </c>
      <c r="DR1487" s="1" t="s">
        <v>229</v>
      </c>
      <c r="DS1487" s="1" t="s">
        <v>591</v>
      </c>
      <c r="DU1487" s="1" t="s">
        <v>1355</v>
      </c>
      <c r="DV1487" s="1" t="s">
        <v>15228</v>
      </c>
      <c r="DW1487" s="1" t="s">
        <v>667</v>
      </c>
      <c r="DX1487" s="1" t="s">
        <v>234</v>
      </c>
      <c r="DY1487" s="1" t="s">
        <v>1051</v>
      </c>
      <c r="DZ1487" s="1" t="s">
        <v>282</v>
      </c>
      <c r="EA1487" s="1" t="s">
        <v>344</v>
      </c>
      <c r="EB1487" s="1" t="s">
        <v>15229</v>
      </c>
      <c r="EC1487" s="1" t="s">
        <v>237</v>
      </c>
      <c r="ED1487" s="1" t="s">
        <v>555</v>
      </c>
      <c r="EE1487" s="1" t="s">
        <v>493</v>
      </c>
      <c r="EG1487" s="1" t="s">
        <v>1164</v>
      </c>
      <c r="EH1487" s="1" t="s">
        <v>556</v>
      </c>
      <c r="EI1487" s="1" t="s">
        <v>408</v>
      </c>
      <c r="EL1487" s="1" t="s">
        <v>7950</v>
      </c>
      <c r="EM1487" s="1" t="s">
        <v>206</v>
      </c>
      <c r="EN1487" s="1" t="s">
        <v>210</v>
      </c>
      <c r="EO1487" s="1" t="s">
        <v>431</v>
      </c>
      <c r="EP1487" s="1" t="s">
        <v>497</v>
      </c>
      <c r="EQ1487" s="1" t="s">
        <v>206</v>
      </c>
      <c r="ER1487" s="1" t="s">
        <v>207</v>
      </c>
      <c r="ES1487" s="1" t="s">
        <v>431</v>
      </c>
      <c r="ET1487" s="1" t="s">
        <v>699</v>
      </c>
      <c r="EU1487" s="1" t="s">
        <v>206</v>
      </c>
      <c r="EV1487" s="1" t="s">
        <v>207</v>
      </c>
      <c r="EW1487" s="1" t="s">
        <v>229</v>
      </c>
      <c r="EY1487" s="1" t="s">
        <v>238</v>
      </c>
      <c r="FC1487" s="1" t="s">
        <v>238</v>
      </c>
      <c r="FF1487" s="1" t="s">
        <v>239</v>
      </c>
      <c r="FG1487" s="1" t="s">
        <v>192</v>
      </c>
      <c r="FH1487" s="1" t="s">
        <v>192</v>
      </c>
      <c r="FJ1487" s="1" t="s">
        <v>624</v>
      </c>
      <c r="FK1487" s="1" t="s">
        <v>229</v>
      </c>
      <c r="FL1487" s="1" t="s">
        <v>1007</v>
      </c>
      <c r="FM1487" s="1">
        <v>22588.0</v>
      </c>
      <c r="FN1487" s="1" t="s">
        <v>1321</v>
      </c>
      <c r="FO1487" s="1" t="s">
        <v>3063</v>
      </c>
      <c r="FP1487" s="1">
        <v>222996.0</v>
      </c>
      <c r="FQ1487" s="1" t="s">
        <v>3064</v>
      </c>
      <c r="FR1487" s="1">
        <v>222986.0</v>
      </c>
      <c r="FS1487" s="1" t="s">
        <v>3065</v>
      </c>
      <c r="FU1487" s="1" t="s">
        <v>1882</v>
      </c>
      <c r="FV1487" s="1" t="s">
        <v>200</v>
      </c>
      <c r="FW1487" s="1" t="s">
        <v>290</v>
      </c>
      <c r="FZ1487" s="1" t="s">
        <v>229</v>
      </c>
      <c r="GA1487" s="1" t="s">
        <v>291</v>
      </c>
      <c r="GB1487" s="2">
        <v>42124.0</v>
      </c>
      <c r="GC1487" s="1" t="s">
        <v>15230</v>
      </c>
    </row>
    <row r="1488">
      <c r="A1488" s="1">
        <v>879900.0</v>
      </c>
      <c r="B1488" s="1" t="s">
        <v>185</v>
      </c>
      <c r="C1488" s="1" t="str">
        <f>"08861503"</f>
        <v>08861503</v>
      </c>
      <c r="D1488" s="1" t="s">
        <v>186</v>
      </c>
      <c r="F1488" s="1" t="str">
        <f>"8022"</f>
        <v>8022</v>
      </c>
      <c r="G1488" s="2">
        <v>42077.0</v>
      </c>
      <c r="H1488" s="1">
        <v>849900.0</v>
      </c>
      <c r="I1488" s="1">
        <v>39.0</v>
      </c>
      <c r="J1488" s="1">
        <v>849900.0</v>
      </c>
      <c r="K1488" s="2">
        <v>42077.0</v>
      </c>
      <c r="L1488" s="1">
        <v>1.0</v>
      </c>
      <c r="M1488" s="2">
        <v>42077.0</v>
      </c>
      <c r="N1488" s="1" t="s">
        <v>187</v>
      </c>
      <c r="O1488" s="2">
        <v>42150.0</v>
      </c>
      <c r="P1488" s="1">
        <v>110627.0</v>
      </c>
      <c r="Q1488" s="1">
        <v>18705.0</v>
      </c>
      <c r="S1488" s="1">
        <v>2649.0</v>
      </c>
      <c r="T1488" s="1" t="s">
        <v>6454</v>
      </c>
      <c r="U1488" s="1" t="s">
        <v>189</v>
      </c>
      <c r="V1488" s="1" t="s">
        <v>190</v>
      </c>
      <c r="W1488" s="1">
        <v>60647.0</v>
      </c>
      <c r="Y1488" s="1" t="s">
        <v>6455</v>
      </c>
      <c r="Z1488" s="1">
        <v>2015.0</v>
      </c>
      <c r="AA1488" s="1" t="s">
        <v>200</v>
      </c>
      <c r="AB1488" s="1" t="s">
        <v>193</v>
      </c>
      <c r="AD1488" s="1" t="s">
        <v>194</v>
      </c>
      <c r="AE1488" s="1" t="s">
        <v>195</v>
      </c>
      <c r="AF1488" s="1" t="s">
        <v>827</v>
      </c>
      <c r="AG1488" s="1" t="s">
        <v>6456</v>
      </c>
      <c r="AH1488" s="1" t="s">
        <v>359</v>
      </c>
      <c r="AK1488" s="1">
        <v>9.0</v>
      </c>
      <c r="AL1488" s="1">
        <v>4.0</v>
      </c>
      <c r="AM1488" s="1">
        <v>3.0</v>
      </c>
      <c r="AN1488" s="1">
        <v>1.0</v>
      </c>
      <c r="AO1488" s="1" t="s">
        <v>198</v>
      </c>
      <c r="AP1488" s="1">
        <v>1.0</v>
      </c>
      <c r="AQ1488" s="1" t="s">
        <v>257</v>
      </c>
      <c r="AR1488" s="1" t="s">
        <v>192</v>
      </c>
      <c r="AS1488" s="1" t="s">
        <v>199</v>
      </c>
      <c r="AT1488" s="1">
        <v>2.0</v>
      </c>
      <c r="AV1488" s="1" t="s">
        <v>200</v>
      </c>
      <c r="AW1488" s="1" t="s">
        <v>575</v>
      </c>
      <c r="AX1488" s="1">
        <v>2013.0</v>
      </c>
      <c r="AZ1488" s="1" t="s">
        <v>545</v>
      </c>
      <c r="BA1488" s="1" t="str">
        <f>"13362070060000"</f>
        <v>13362070060000</v>
      </c>
      <c r="BC1488" s="1">
        <v>0.0</v>
      </c>
      <c r="BD1488" s="1">
        <v>879900.0</v>
      </c>
      <c r="BE1488" s="2">
        <v>42077.0</v>
      </c>
      <c r="BF1488" s="2" t="s">
        <v>13903</v>
      </c>
      <c r="BH1488" s="1">
        <v>0.0</v>
      </c>
      <c r="BK1488" s="1" t="s">
        <v>204</v>
      </c>
      <c r="BL1488" s="1" t="str">
        <f>"2300"</f>
        <v>2300</v>
      </c>
      <c r="BM1488" s="1" t="str">
        <f>"0"</f>
        <v>0</v>
      </c>
      <c r="BN1488" s="1">
        <v>2647.0</v>
      </c>
      <c r="BO1488" s="1">
        <v>0.0</v>
      </c>
      <c r="BQ1488" s="1">
        <v>299.0</v>
      </c>
      <c r="BR1488" s="1">
        <v>299.0</v>
      </c>
      <c r="BS1488" s="1">
        <v>299.0</v>
      </c>
      <c r="BU1488" s="1" t="s">
        <v>5223</v>
      </c>
      <c r="BV1488" s="1" t="s">
        <v>206</v>
      </c>
      <c r="BW1488" s="1" t="s">
        <v>207</v>
      </c>
      <c r="BY1488" s="1" t="s">
        <v>208</v>
      </c>
      <c r="BZ1488" s="1" t="s">
        <v>209</v>
      </c>
      <c r="CA1488" s="1" t="s">
        <v>207</v>
      </c>
      <c r="CC1488" s="1" t="s">
        <v>542</v>
      </c>
      <c r="CD1488" s="1" t="s">
        <v>206</v>
      </c>
      <c r="CE1488" s="1" t="s">
        <v>207</v>
      </c>
      <c r="CG1488" s="1" t="s">
        <v>331</v>
      </c>
      <c r="CH1488" s="1" t="s">
        <v>209</v>
      </c>
      <c r="CI1488" s="1" t="s">
        <v>207</v>
      </c>
      <c r="CK1488" s="1" t="s">
        <v>663</v>
      </c>
      <c r="CL1488" s="1" t="s">
        <v>209</v>
      </c>
      <c r="CM1488" s="1" t="s">
        <v>207</v>
      </c>
      <c r="CO1488" s="1" t="s">
        <v>390</v>
      </c>
      <c r="CP1488" s="1" t="s">
        <v>267</v>
      </c>
      <c r="CQ1488" s="1" t="s">
        <v>210</v>
      </c>
      <c r="CS1488" s="1" t="s">
        <v>329</v>
      </c>
      <c r="CT1488" s="1" t="s">
        <v>206</v>
      </c>
      <c r="CU1488" s="1" t="s">
        <v>207</v>
      </c>
      <c r="CW1488" s="1" t="s">
        <v>2120</v>
      </c>
      <c r="CX1488" s="1" t="s">
        <v>206</v>
      </c>
      <c r="CY1488" s="1" t="s">
        <v>207</v>
      </c>
      <c r="DA1488" s="1" t="s">
        <v>192</v>
      </c>
      <c r="DB1488" s="2">
        <v>42124.0</v>
      </c>
      <c r="DC1488" s="1" t="s">
        <v>744</v>
      </c>
      <c r="DD1488" s="1" t="s">
        <v>731</v>
      </c>
      <c r="DE1488" s="1" t="s">
        <v>273</v>
      </c>
      <c r="DF1488" s="1" t="s">
        <v>619</v>
      </c>
      <c r="DH1488" s="1" t="s">
        <v>220</v>
      </c>
      <c r="DI1488" s="1" t="s">
        <v>6458</v>
      </c>
      <c r="DJ1488" s="1" t="s">
        <v>222</v>
      </c>
      <c r="DL1488" s="1" t="s">
        <v>224</v>
      </c>
      <c r="DM1488" s="1" t="s">
        <v>229</v>
      </c>
      <c r="DN1488" s="1" t="s">
        <v>2676</v>
      </c>
      <c r="DP1488" s="1" t="s">
        <v>276</v>
      </c>
      <c r="DQ1488" s="1" t="s">
        <v>441</v>
      </c>
      <c r="DR1488" s="1" t="s">
        <v>229</v>
      </c>
      <c r="DU1488" s="1" t="s">
        <v>6459</v>
      </c>
      <c r="DV1488" s="1" t="s">
        <v>2058</v>
      </c>
      <c r="DW1488" s="1" t="s">
        <v>279</v>
      </c>
      <c r="DX1488" s="1" t="s">
        <v>234</v>
      </c>
      <c r="DY1488" s="1" t="s">
        <v>704</v>
      </c>
      <c r="EB1488" s="1" t="s">
        <v>1639</v>
      </c>
      <c r="EC1488" s="1" t="s">
        <v>237</v>
      </c>
      <c r="EG1488" s="1" t="s">
        <v>450</v>
      </c>
      <c r="EH1488" s="1" t="s">
        <v>310</v>
      </c>
      <c r="EL1488" s="1" t="s">
        <v>2861</v>
      </c>
      <c r="EM1488" s="1" t="s">
        <v>267</v>
      </c>
      <c r="EN1488" s="1" t="s">
        <v>210</v>
      </c>
      <c r="EP1488" s="1" t="s">
        <v>4180</v>
      </c>
      <c r="EQ1488" s="1" t="s">
        <v>206</v>
      </c>
      <c r="EU1488" s="1" t="s">
        <v>238</v>
      </c>
      <c r="EY1488" s="1" t="s">
        <v>238</v>
      </c>
      <c r="FC1488" s="1" t="s">
        <v>238</v>
      </c>
      <c r="FF1488" s="1" t="s">
        <v>239</v>
      </c>
      <c r="FG1488" s="1" t="s">
        <v>192</v>
      </c>
      <c r="FH1488" s="1" t="s">
        <v>192</v>
      </c>
      <c r="FJ1488" s="1" t="s">
        <v>3755</v>
      </c>
      <c r="FK1488" s="1" t="s">
        <v>229</v>
      </c>
      <c r="FL1488" s="1" t="s">
        <v>6354</v>
      </c>
      <c r="FM1488" s="1">
        <v>15191.0</v>
      </c>
      <c r="FN1488" s="1" t="s">
        <v>6355</v>
      </c>
      <c r="FO1488" s="1" t="s">
        <v>6460</v>
      </c>
      <c r="FP1488" s="1">
        <v>137452.0</v>
      </c>
      <c r="FQ1488" s="1" t="s">
        <v>6461</v>
      </c>
      <c r="FR1488" s="1">
        <v>102294.0</v>
      </c>
      <c r="FU1488" s="1" t="s">
        <v>13195</v>
      </c>
      <c r="FV1488" s="1" t="s">
        <v>200</v>
      </c>
      <c r="FW1488" s="1" t="s">
        <v>567</v>
      </c>
      <c r="FX1488" s="1" t="s">
        <v>246</v>
      </c>
      <c r="FZ1488" s="1" t="s">
        <v>229</v>
      </c>
      <c r="GA1488" s="1" t="s">
        <v>291</v>
      </c>
      <c r="GB1488" s="2">
        <v>42150.0</v>
      </c>
      <c r="GC1488" s="1" t="s">
        <v>15231</v>
      </c>
    </row>
    <row r="1489">
      <c r="A1489" s="1">
        <v>31000.0</v>
      </c>
      <c r="B1489" s="1" t="s">
        <v>185</v>
      </c>
      <c r="C1489" s="1" t="str">
        <f>"08861471"</f>
        <v>08861471</v>
      </c>
      <c r="D1489" s="1" t="s">
        <v>186</v>
      </c>
      <c r="F1489" s="1" t="str">
        <f>"8029"</f>
        <v>8029</v>
      </c>
      <c r="G1489" s="2">
        <v>42077.0</v>
      </c>
      <c r="H1489" s="1">
        <v>35000.0</v>
      </c>
      <c r="I1489" s="1">
        <v>46.0</v>
      </c>
      <c r="J1489" s="1">
        <v>35000.0</v>
      </c>
      <c r="K1489" s="2">
        <v>42079.0</v>
      </c>
      <c r="L1489" s="1">
        <v>4.0</v>
      </c>
      <c r="M1489" s="2">
        <v>42079.0</v>
      </c>
      <c r="N1489" s="1" t="s">
        <v>249</v>
      </c>
      <c r="O1489" s="2">
        <v>42110.0</v>
      </c>
      <c r="P1489" s="1">
        <v>135563.0</v>
      </c>
      <c r="Q1489" s="1">
        <v>15443.0</v>
      </c>
      <c r="S1489" s="1">
        <v>1619.0</v>
      </c>
      <c r="T1489" s="1" t="s">
        <v>3314</v>
      </c>
      <c r="U1489" s="1" t="s">
        <v>189</v>
      </c>
      <c r="V1489" s="1" t="s">
        <v>190</v>
      </c>
      <c r="W1489" s="1">
        <v>60623.0</v>
      </c>
      <c r="Y1489" s="1" t="s">
        <v>15232</v>
      </c>
      <c r="Z1489" s="1" t="s">
        <v>296</v>
      </c>
      <c r="AA1489" s="1" t="s">
        <v>192</v>
      </c>
      <c r="AB1489" s="1" t="s">
        <v>193</v>
      </c>
      <c r="AC1489" s="1" t="s">
        <v>10114</v>
      </c>
      <c r="AD1489" s="1" t="s">
        <v>194</v>
      </c>
      <c r="AE1489" s="1" t="s">
        <v>195</v>
      </c>
      <c r="AF1489" s="1" t="s">
        <v>827</v>
      </c>
      <c r="AH1489" s="1" t="s">
        <v>779</v>
      </c>
      <c r="AK1489" s="1">
        <v>6.0</v>
      </c>
      <c r="AL1489" s="1">
        <v>4.0</v>
      </c>
      <c r="AM1489" s="1">
        <v>1.0</v>
      </c>
      <c r="AN1489" s="1">
        <v>0.0</v>
      </c>
      <c r="AO1489" s="1" t="s">
        <v>229</v>
      </c>
      <c r="AQ1489" s="1" t="s">
        <v>198</v>
      </c>
      <c r="AR1489" s="1" t="s">
        <v>200</v>
      </c>
      <c r="AS1489" s="1" t="s">
        <v>229</v>
      </c>
      <c r="AV1489" s="1" t="s">
        <v>200</v>
      </c>
      <c r="AW1489" s="1">
        <v>1611.05</v>
      </c>
      <c r="AX1489" s="1">
        <v>2013.0</v>
      </c>
      <c r="AZ1489" s="1" t="s">
        <v>200</v>
      </c>
      <c r="BA1489" s="1" t="str">
        <f>"16224040140000"</f>
        <v>16224040140000</v>
      </c>
      <c r="BC1489" s="1">
        <v>0.0</v>
      </c>
      <c r="BD1489" s="1">
        <v>31000.0</v>
      </c>
      <c r="BE1489" s="2">
        <v>42076.0</v>
      </c>
      <c r="BF1489" s="1" t="s">
        <v>15233</v>
      </c>
      <c r="BH1489" s="1">
        <v>0.0</v>
      </c>
      <c r="BK1489" s="1" t="s">
        <v>204</v>
      </c>
      <c r="BL1489" s="1" t="str">
        <f t="shared" ref="BL1489:BM1489" si="980">"0"</f>
        <v>0</v>
      </c>
      <c r="BM1489" s="1" t="str">
        <f t="shared" si="980"/>
        <v>0</v>
      </c>
      <c r="BN1489" s="1">
        <v>4200.0</v>
      </c>
      <c r="BO1489" s="1">
        <v>1619.0</v>
      </c>
      <c r="BQ1489" s="1">
        <v>299.0</v>
      </c>
      <c r="BR1489" s="1">
        <v>299.0</v>
      </c>
      <c r="BS1489" s="1">
        <v>299.0</v>
      </c>
      <c r="BU1489" s="1" t="s">
        <v>1584</v>
      </c>
      <c r="BV1489" s="1" t="s">
        <v>206</v>
      </c>
      <c r="BY1489" s="1" t="s">
        <v>1417</v>
      </c>
      <c r="BZ1489" s="1" t="s">
        <v>209</v>
      </c>
      <c r="CD1489" s="1" t="s">
        <v>204</v>
      </c>
      <c r="CG1489" s="1" t="s">
        <v>3182</v>
      </c>
      <c r="CH1489" s="1" t="s">
        <v>209</v>
      </c>
      <c r="CK1489" s="1" t="s">
        <v>1746</v>
      </c>
      <c r="CL1489" s="1" t="s">
        <v>206</v>
      </c>
      <c r="CO1489" s="1" t="s">
        <v>939</v>
      </c>
      <c r="CP1489" s="1" t="s">
        <v>206</v>
      </c>
      <c r="CS1489" s="1" t="s">
        <v>478</v>
      </c>
      <c r="CT1489" s="1" t="s">
        <v>206</v>
      </c>
      <c r="CX1489" s="1" t="s">
        <v>204</v>
      </c>
      <c r="DA1489" s="1" t="s">
        <v>200</v>
      </c>
      <c r="DC1489" s="1" t="s">
        <v>642</v>
      </c>
      <c r="DE1489" s="1" t="s">
        <v>229</v>
      </c>
      <c r="DF1489" s="1" t="s">
        <v>219</v>
      </c>
      <c r="DH1489" s="1" t="s">
        <v>365</v>
      </c>
      <c r="DJ1489" s="1" t="s">
        <v>222</v>
      </c>
      <c r="DL1489" s="1" t="s">
        <v>588</v>
      </c>
      <c r="DM1489" s="1" t="s">
        <v>229</v>
      </c>
      <c r="DQ1489" s="1" t="s">
        <v>228</v>
      </c>
      <c r="DR1489" s="1" t="s">
        <v>229</v>
      </c>
      <c r="DV1489" s="1" t="s">
        <v>232</v>
      </c>
      <c r="DW1489" s="1" t="s">
        <v>233</v>
      </c>
      <c r="DX1489" s="1" t="s">
        <v>234</v>
      </c>
      <c r="EA1489" s="1" t="s">
        <v>644</v>
      </c>
      <c r="EC1489" s="1" t="s">
        <v>645</v>
      </c>
      <c r="EM1489" s="1" t="s">
        <v>238</v>
      </c>
      <c r="EQ1489" s="1" t="s">
        <v>238</v>
      </c>
      <c r="EU1489" s="1" t="s">
        <v>238</v>
      </c>
      <c r="EY1489" s="1" t="s">
        <v>238</v>
      </c>
      <c r="FC1489" s="1" t="s">
        <v>238</v>
      </c>
      <c r="FF1489" s="1" t="s">
        <v>239</v>
      </c>
      <c r="FG1489" s="1" t="s">
        <v>192</v>
      </c>
      <c r="FH1489" s="1" t="s">
        <v>192</v>
      </c>
      <c r="FJ1489" s="1" t="s">
        <v>3613</v>
      </c>
      <c r="FK1489" s="1" t="s">
        <v>229</v>
      </c>
      <c r="FL1489" s="1" t="s">
        <v>819</v>
      </c>
      <c r="FM1489" s="1">
        <v>6267.0</v>
      </c>
      <c r="FN1489" s="1" t="s">
        <v>820</v>
      </c>
      <c r="FO1489" s="1" t="s">
        <v>15234</v>
      </c>
      <c r="FP1489" s="1">
        <v>30528.0</v>
      </c>
      <c r="FQ1489" s="1" t="s">
        <v>15235</v>
      </c>
      <c r="FS1489" s="1" t="s">
        <v>15236</v>
      </c>
      <c r="FU1489" s="1" t="s">
        <v>15237</v>
      </c>
      <c r="FV1489" s="1" t="s">
        <v>200</v>
      </c>
      <c r="FW1489" s="1" t="s">
        <v>15238</v>
      </c>
      <c r="FX1489" s="1" t="s">
        <v>655</v>
      </c>
      <c r="FZ1489" s="1" t="s">
        <v>229</v>
      </c>
      <c r="GA1489" s="1" t="s">
        <v>291</v>
      </c>
      <c r="GB1489" s="2">
        <v>42110.0</v>
      </c>
      <c r="GC1489" s="1" t="s">
        <v>15239</v>
      </c>
    </row>
    <row r="1490">
      <c r="A1490" s="1">
        <v>232000.0</v>
      </c>
      <c r="B1490" s="1" t="s">
        <v>185</v>
      </c>
      <c r="C1490" s="1" t="str">
        <f>"08865066"</f>
        <v>08865066</v>
      </c>
      <c r="D1490" s="1" t="s">
        <v>186</v>
      </c>
      <c r="F1490" s="1" t="str">
        <f>"8015"</f>
        <v>8015</v>
      </c>
      <c r="G1490" s="2">
        <v>42081.0</v>
      </c>
      <c r="H1490" s="1">
        <v>259900.0</v>
      </c>
      <c r="I1490" s="1">
        <v>11.0</v>
      </c>
      <c r="J1490" s="1">
        <v>259900.0</v>
      </c>
      <c r="K1490" s="2">
        <v>42091.0</v>
      </c>
      <c r="L1490" s="1">
        <v>11.0</v>
      </c>
      <c r="M1490" s="2">
        <v>42091.0</v>
      </c>
      <c r="N1490" s="1" t="s">
        <v>187</v>
      </c>
      <c r="O1490" s="2">
        <v>42143.0</v>
      </c>
      <c r="P1490" s="1">
        <v>180664.0</v>
      </c>
      <c r="Q1490" s="1">
        <v>17299.0</v>
      </c>
      <c r="R1490" s="1">
        <v>1600.0</v>
      </c>
      <c r="S1490" s="1">
        <v>4113.0</v>
      </c>
      <c r="T1490" s="1" t="s">
        <v>2735</v>
      </c>
      <c r="U1490" s="1" t="s">
        <v>189</v>
      </c>
      <c r="V1490" s="1" t="s">
        <v>190</v>
      </c>
      <c r="W1490" s="1">
        <v>60634.0</v>
      </c>
      <c r="X1490" s="1">
        <v>1705.0</v>
      </c>
      <c r="Y1490" s="1" t="s">
        <v>15240</v>
      </c>
      <c r="Z1490" s="1">
        <v>1910.0</v>
      </c>
      <c r="AA1490" s="1" t="s">
        <v>192</v>
      </c>
      <c r="AB1490" s="1" t="s">
        <v>193</v>
      </c>
      <c r="AD1490" s="1" t="s">
        <v>194</v>
      </c>
      <c r="AE1490" s="1" t="s">
        <v>195</v>
      </c>
      <c r="AF1490" s="1" t="s">
        <v>196</v>
      </c>
      <c r="AG1490" s="1" t="s">
        <v>5899</v>
      </c>
      <c r="AH1490" s="1">
        <v>3906.0</v>
      </c>
      <c r="AK1490" s="1">
        <v>10.0</v>
      </c>
      <c r="AL1490" s="1">
        <v>4.0</v>
      </c>
      <c r="AM1490" s="1">
        <v>2.0</v>
      </c>
      <c r="AN1490" s="1">
        <v>0.0</v>
      </c>
      <c r="AO1490" s="1" t="s">
        <v>229</v>
      </c>
      <c r="AP1490" s="1">
        <v>0.0</v>
      </c>
      <c r="AQ1490" s="1" t="s">
        <v>198</v>
      </c>
      <c r="AR1490" s="1" t="s">
        <v>200</v>
      </c>
      <c r="AS1490" s="1" t="s">
        <v>199</v>
      </c>
      <c r="AT1490" s="1">
        <v>2.0</v>
      </c>
      <c r="AV1490" s="1" t="s">
        <v>200</v>
      </c>
      <c r="AW1490" s="1">
        <v>1098.0</v>
      </c>
      <c r="AX1490" s="1">
        <v>2013.0</v>
      </c>
      <c r="AY1490" s="1" t="s">
        <v>1917</v>
      </c>
      <c r="AZ1490" s="1" t="s">
        <v>200</v>
      </c>
      <c r="BA1490" s="1" t="str">
        <f>"13174180050000"</f>
        <v>13174180050000</v>
      </c>
      <c r="BC1490" s="1">
        <v>1738.0</v>
      </c>
      <c r="BD1490" s="1">
        <v>232000.0</v>
      </c>
      <c r="BE1490" s="2">
        <v>42081.0</v>
      </c>
      <c r="BF1490" s="2" t="s">
        <v>15241</v>
      </c>
      <c r="BH1490" s="1">
        <v>0.0</v>
      </c>
      <c r="BK1490" s="1" t="s">
        <v>204</v>
      </c>
      <c r="BL1490" s="1" t="str">
        <f>"4113"</f>
        <v>4113</v>
      </c>
      <c r="BM1490" s="1" t="str">
        <f>"0"</f>
        <v>0</v>
      </c>
      <c r="BN1490" s="1">
        <v>5900.0</v>
      </c>
      <c r="BO1490" s="1">
        <v>0.0</v>
      </c>
      <c r="BQ1490" s="1">
        <v>299.0</v>
      </c>
      <c r="BR1490" s="1">
        <v>299.0</v>
      </c>
      <c r="BS1490" s="1">
        <v>299.0</v>
      </c>
      <c r="BU1490" s="1" t="s">
        <v>212</v>
      </c>
      <c r="BV1490" s="1" t="s">
        <v>206</v>
      </c>
      <c r="BW1490" s="1" t="s">
        <v>210</v>
      </c>
      <c r="BX1490" s="1" t="s">
        <v>431</v>
      </c>
      <c r="BY1490" s="1" t="s">
        <v>969</v>
      </c>
      <c r="BZ1490" s="1" t="s">
        <v>206</v>
      </c>
      <c r="CA1490" s="1" t="s">
        <v>210</v>
      </c>
      <c r="CB1490" s="1" t="s">
        <v>431</v>
      </c>
      <c r="CC1490" s="1" t="s">
        <v>215</v>
      </c>
      <c r="CD1490" s="1" t="s">
        <v>206</v>
      </c>
      <c r="CE1490" s="1" t="s">
        <v>210</v>
      </c>
      <c r="CF1490" s="1" t="s">
        <v>431</v>
      </c>
      <c r="CG1490" s="1" t="s">
        <v>816</v>
      </c>
      <c r="CH1490" s="1" t="s">
        <v>206</v>
      </c>
      <c r="CI1490" s="1" t="s">
        <v>210</v>
      </c>
      <c r="CJ1490" s="1" t="s">
        <v>431</v>
      </c>
      <c r="CK1490" s="1" t="s">
        <v>816</v>
      </c>
      <c r="CL1490" s="1" t="s">
        <v>209</v>
      </c>
      <c r="CM1490" s="1" t="s">
        <v>210</v>
      </c>
      <c r="CN1490" s="1" t="s">
        <v>229</v>
      </c>
      <c r="CO1490" s="1" t="s">
        <v>940</v>
      </c>
      <c r="CP1490" s="1" t="s">
        <v>209</v>
      </c>
      <c r="CQ1490" s="1" t="s">
        <v>210</v>
      </c>
      <c r="CR1490" s="1" t="s">
        <v>229</v>
      </c>
      <c r="CS1490" s="1" t="s">
        <v>363</v>
      </c>
      <c r="CT1490" s="1" t="s">
        <v>206</v>
      </c>
      <c r="CU1490" s="1" t="s">
        <v>268</v>
      </c>
      <c r="CV1490" s="1" t="s">
        <v>239</v>
      </c>
      <c r="CX1490" s="1" t="s">
        <v>204</v>
      </c>
      <c r="DA1490" s="1" t="s">
        <v>200</v>
      </c>
      <c r="DC1490" s="1" t="s">
        <v>642</v>
      </c>
      <c r="DD1490" s="1" t="s">
        <v>518</v>
      </c>
      <c r="DE1490" s="1" t="s">
        <v>273</v>
      </c>
      <c r="DF1490" s="1" t="s">
        <v>219</v>
      </c>
      <c r="DG1490" s="1" t="s">
        <v>3175</v>
      </c>
      <c r="DH1490" s="1" t="s">
        <v>365</v>
      </c>
      <c r="DI1490" s="1" t="s">
        <v>1401</v>
      </c>
      <c r="DJ1490" s="1" t="s">
        <v>588</v>
      </c>
      <c r="DL1490" s="1" t="s">
        <v>223</v>
      </c>
      <c r="DM1490" s="1" t="s">
        <v>398</v>
      </c>
      <c r="DN1490" s="1" t="s">
        <v>793</v>
      </c>
      <c r="DO1490" s="1" t="s">
        <v>549</v>
      </c>
      <c r="DP1490" s="1" t="s">
        <v>340</v>
      </c>
      <c r="DQ1490" s="1" t="s">
        <v>228</v>
      </c>
      <c r="DR1490" s="1" t="s">
        <v>229</v>
      </c>
      <c r="DS1490" s="1" t="s">
        <v>3008</v>
      </c>
      <c r="DV1490" s="1" t="s">
        <v>15242</v>
      </c>
      <c r="DW1490" s="1" t="s">
        <v>370</v>
      </c>
      <c r="DX1490" s="1" t="s">
        <v>234</v>
      </c>
      <c r="DY1490" s="1" t="s">
        <v>704</v>
      </c>
      <c r="DZ1490" s="1" t="s">
        <v>282</v>
      </c>
      <c r="EA1490" s="1" t="s">
        <v>588</v>
      </c>
      <c r="EC1490" s="1" t="s">
        <v>237</v>
      </c>
      <c r="ED1490" s="1" t="s">
        <v>555</v>
      </c>
      <c r="EE1490" s="1" t="s">
        <v>187</v>
      </c>
      <c r="EG1490" s="1" t="s">
        <v>1407</v>
      </c>
      <c r="EH1490" s="1" t="s">
        <v>449</v>
      </c>
      <c r="EI1490" s="1" t="s">
        <v>450</v>
      </c>
      <c r="EL1490" s="1" t="s">
        <v>363</v>
      </c>
      <c r="EM1490" s="1" t="s">
        <v>209</v>
      </c>
      <c r="EN1490" s="1" t="s">
        <v>617</v>
      </c>
      <c r="EO1490" s="1" t="s">
        <v>229</v>
      </c>
      <c r="EP1490" s="1" t="s">
        <v>940</v>
      </c>
      <c r="EQ1490" s="1" t="s">
        <v>209</v>
      </c>
      <c r="ER1490" s="1" t="s">
        <v>210</v>
      </c>
      <c r="ES1490" s="1" t="s">
        <v>229</v>
      </c>
      <c r="ET1490" s="1" t="s">
        <v>1001</v>
      </c>
      <c r="EU1490" s="1" t="s">
        <v>209</v>
      </c>
      <c r="EV1490" s="1" t="s">
        <v>210</v>
      </c>
      <c r="EW1490" s="1" t="s">
        <v>229</v>
      </c>
      <c r="EY1490" s="1" t="s">
        <v>238</v>
      </c>
      <c r="FC1490" s="1" t="s">
        <v>238</v>
      </c>
      <c r="FF1490" s="1" t="s">
        <v>239</v>
      </c>
      <c r="FG1490" s="1" t="s">
        <v>192</v>
      </c>
      <c r="FH1490" s="1" t="s">
        <v>192</v>
      </c>
      <c r="FJ1490" s="1" t="s">
        <v>15243</v>
      </c>
      <c r="FK1490" s="1" t="s">
        <v>229</v>
      </c>
      <c r="FL1490" s="1" t="s">
        <v>1663</v>
      </c>
      <c r="FM1490" s="1">
        <v>17299.0</v>
      </c>
      <c r="FN1490" s="1" t="s">
        <v>1664</v>
      </c>
      <c r="FO1490" s="1" t="s">
        <v>15244</v>
      </c>
      <c r="FP1490" s="1">
        <v>110916.0</v>
      </c>
      <c r="FQ1490" s="1" t="s">
        <v>15245</v>
      </c>
      <c r="FS1490" s="1" t="s">
        <v>15246</v>
      </c>
      <c r="FU1490" s="1" t="s">
        <v>15247</v>
      </c>
      <c r="FV1490" s="1" t="s">
        <v>200</v>
      </c>
      <c r="FW1490" s="1" t="s">
        <v>567</v>
      </c>
      <c r="FX1490" s="1" t="s">
        <v>238</v>
      </c>
      <c r="FZ1490" s="1" t="s">
        <v>229</v>
      </c>
      <c r="GA1490" s="1" t="s">
        <v>291</v>
      </c>
      <c r="GB1490" s="2">
        <v>42143.0</v>
      </c>
      <c r="GC1490" s="1" t="s">
        <v>15248</v>
      </c>
    </row>
    <row r="1491">
      <c r="A1491" s="1">
        <v>233500.0</v>
      </c>
      <c r="B1491" s="1" t="s">
        <v>185</v>
      </c>
      <c r="C1491" s="1" t="str">
        <f>"08861257"</f>
        <v>08861257</v>
      </c>
      <c r="D1491" s="1" t="s">
        <v>186</v>
      </c>
      <c r="F1491" s="1" t="str">
        <f>"543"</f>
        <v>543</v>
      </c>
      <c r="G1491" s="2">
        <v>42076.0</v>
      </c>
      <c r="H1491" s="1">
        <v>239900.0</v>
      </c>
      <c r="I1491" s="1">
        <v>8.0</v>
      </c>
      <c r="J1491" s="1">
        <v>239900.0</v>
      </c>
      <c r="K1491" s="2">
        <v>42083.0</v>
      </c>
      <c r="L1491" s="1">
        <v>8.0</v>
      </c>
      <c r="M1491" s="2">
        <v>42083.0</v>
      </c>
      <c r="N1491" s="1" t="s">
        <v>187</v>
      </c>
      <c r="O1491" s="2">
        <v>42125.0</v>
      </c>
      <c r="P1491" s="1">
        <v>215497.0</v>
      </c>
      <c r="Q1491" s="1">
        <v>23279.0</v>
      </c>
      <c r="S1491" s="1">
        <v>406.0</v>
      </c>
      <c r="T1491" s="1" t="s">
        <v>15249</v>
      </c>
      <c r="U1491" s="1" t="s">
        <v>569</v>
      </c>
      <c r="V1491" s="1" t="s">
        <v>1527</v>
      </c>
      <c r="W1491" s="1">
        <v>60543.0</v>
      </c>
      <c r="Y1491" s="1" t="s">
        <v>15250</v>
      </c>
      <c r="Z1491" s="1">
        <v>1996.0</v>
      </c>
      <c r="AA1491" s="1" t="s">
        <v>200</v>
      </c>
      <c r="AB1491" s="1" t="s">
        <v>193</v>
      </c>
      <c r="AC1491" s="1" t="s">
        <v>8610</v>
      </c>
      <c r="AD1491" s="1" t="s">
        <v>1529</v>
      </c>
      <c r="AE1491" s="1" t="s">
        <v>849</v>
      </c>
      <c r="AF1491" s="1" t="s">
        <v>1529</v>
      </c>
      <c r="AH1491" s="1" t="s">
        <v>15251</v>
      </c>
      <c r="AI1491" s="1">
        <v>0.1976</v>
      </c>
      <c r="AK1491" s="1">
        <v>8.0</v>
      </c>
      <c r="AL1491" s="1">
        <v>4.0</v>
      </c>
      <c r="AM1491" s="1">
        <v>2.0</v>
      </c>
      <c r="AN1491" s="1">
        <v>1.0</v>
      </c>
      <c r="AO1491" s="1" t="s">
        <v>198</v>
      </c>
      <c r="AQ1491" s="1" t="s">
        <v>198</v>
      </c>
      <c r="AR1491" s="1" t="s">
        <v>200</v>
      </c>
      <c r="AS1491" s="1" t="s">
        <v>199</v>
      </c>
      <c r="AT1491" s="1">
        <v>2.0</v>
      </c>
      <c r="AV1491" s="1" t="s">
        <v>200</v>
      </c>
      <c r="AW1491" s="1">
        <v>6648.38</v>
      </c>
      <c r="AX1491" s="1">
        <v>2012.0</v>
      </c>
      <c r="AZ1491" s="1" t="s">
        <v>200</v>
      </c>
      <c r="BA1491" s="1" t="str">
        <f>"0309205005"</f>
        <v>0309205005</v>
      </c>
      <c r="BC1491" s="1">
        <v>2300.0</v>
      </c>
      <c r="BD1491" s="1">
        <v>233500.0</v>
      </c>
      <c r="BE1491" s="2">
        <v>42076.0</v>
      </c>
      <c r="BF1491" s="2" t="s">
        <v>15252</v>
      </c>
      <c r="BG1491" s="1" t="s">
        <v>4366</v>
      </c>
      <c r="BH1491" s="1">
        <v>0.0</v>
      </c>
      <c r="BI1491" s="1" t="s">
        <v>1348</v>
      </c>
      <c r="BJ1491" s="1" t="s">
        <v>1349</v>
      </c>
      <c r="BK1491" s="1" t="s">
        <v>204</v>
      </c>
      <c r="BL1491" s="1" t="str">
        <f t="shared" ref="BL1491:BM1491" si="981">""</f>
        <v/>
      </c>
      <c r="BM1491" s="1" t="str">
        <f t="shared" si="981"/>
        <v/>
      </c>
      <c r="BQ1491" s="1">
        <v>308.0</v>
      </c>
      <c r="BR1491" s="1">
        <v>308.0</v>
      </c>
      <c r="BS1491" s="1">
        <v>308.0</v>
      </c>
      <c r="BU1491" s="1" t="s">
        <v>215</v>
      </c>
      <c r="BV1491" s="1" t="s">
        <v>206</v>
      </c>
      <c r="BW1491" s="1" t="s">
        <v>207</v>
      </c>
      <c r="BY1491" s="1" t="s">
        <v>758</v>
      </c>
      <c r="BZ1491" s="1" t="s">
        <v>209</v>
      </c>
      <c r="CA1491" s="1" t="s">
        <v>210</v>
      </c>
      <c r="CC1491" s="1" t="s">
        <v>331</v>
      </c>
      <c r="CD1491" s="1" t="s">
        <v>206</v>
      </c>
      <c r="CE1491" s="1" t="s">
        <v>207</v>
      </c>
      <c r="CG1491" s="1" t="s">
        <v>699</v>
      </c>
      <c r="CH1491" s="1" t="s">
        <v>209</v>
      </c>
      <c r="CI1491" s="1" t="s">
        <v>210</v>
      </c>
      <c r="CK1491" s="1" t="s">
        <v>215</v>
      </c>
      <c r="CL1491" s="1" t="s">
        <v>209</v>
      </c>
      <c r="CM1491" s="1" t="s">
        <v>210</v>
      </c>
      <c r="CO1491" s="1" t="s">
        <v>212</v>
      </c>
      <c r="CP1491" s="1" t="s">
        <v>209</v>
      </c>
      <c r="CQ1491" s="1" t="s">
        <v>210</v>
      </c>
      <c r="CS1491" s="1" t="s">
        <v>783</v>
      </c>
      <c r="CT1491" s="1" t="s">
        <v>206</v>
      </c>
      <c r="CU1491" s="1" t="s">
        <v>268</v>
      </c>
      <c r="CW1491" s="1" t="s">
        <v>616</v>
      </c>
      <c r="CX1491" s="1" t="s">
        <v>206</v>
      </c>
      <c r="CY1491" s="1" t="s">
        <v>207</v>
      </c>
      <c r="DA1491" s="1" t="s">
        <v>200</v>
      </c>
      <c r="DC1491" s="1" t="s">
        <v>678</v>
      </c>
      <c r="DD1491" s="1" t="s">
        <v>336</v>
      </c>
      <c r="DE1491" s="1" t="s">
        <v>273</v>
      </c>
      <c r="DF1491" s="1" t="s">
        <v>2275</v>
      </c>
      <c r="DG1491" s="1" t="s">
        <v>3110</v>
      </c>
      <c r="DH1491" s="1" t="s">
        <v>220</v>
      </c>
      <c r="DI1491" s="1" t="s">
        <v>1003</v>
      </c>
      <c r="DJ1491" s="1" t="s">
        <v>222</v>
      </c>
      <c r="DL1491" s="1" t="s">
        <v>858</v>
      </c>
      <c r="DM1491" s="1" t="s">
        <v>338</v>
      </c>
      <c r="DN1491" s="1" t="s">
        <v>1659</v>
      </c>
      <c r="DQ1491" s="1" t="s">
        <v>228</v>
      </c>
      <c r="DR1491" s="1" t="s">
        <v>229</v>
      </c>
      <c r="DU1491" s="1" t="s">
        <v>1840</v>
      </c>
      <c r="DV1491" s="1" t="s">
        <v>232</v>
      </c>
      <c r="DW1491" s="1" t="s">
        <v>233</v>
      </c>
      <c r="DX1491" s="1" t="s">
        <v>234</v>
      </c>
      <c r="DY1491" s="1" t="s">
        <v>1051</v>
      </c>
      <c r="EC1491" s="1" t="s">
        <v>237</v>
      </c>
      <c r="ED1491" s="1" t="s">
        <v>555</v>
      </c>
      <c r="EE1491" s="1" t="s">
        <v>1334</v>
      </c>
      <c r="EM1491" s="1" t="s">
        <v>238</v>
      </c>
      <c r="EQ1491" s="1" t="s">
        <v>238</v>
      </c>
      <c r="EU1491" s="1" t="s">
        <v>238</v>
      </c>
      <c r="EY1491" s="1" t="s">
        <v>238</v>
      </c>
      <c r="FC1491" s="1" t="s">
        <v>238</v>
      </c>
      <c r="FF1491" s="1" t="s">
        <v>239</v>
      </c>
      <c r="FG1491" s="1" t="s">
        <v>200</v>
      </c>
      <c r="FH1491" s="1" t="s">
        <v>192</v>
      </c>
      <c r="FJ1491" s="1" t="s">
        <v>624</v>
      </c>
      <c r="FK1491" s="1" t="s">
        <v>229</v>
      </c>
      <c r="FL1491" s="1" t="s">
        <v>1877</v>
      </c>
      <c r="FM1491" s="1">
        <v>24695.0</v>
      </c>
      <c r="FN1491" s="1" t="s">
        <v>1878</v>
      </c>
      <c r="FO1491" s="1" t="s">
        <v>15253</v>
      </c>
      <c r="FP1491" s="1">
        <v>241159.0</v>
      </c>
      <c r="FS1491" s="1" t="s">
        <v>15254</v>
      </c>
      <c r="FU1491" s="1" t="s">
        <v>15255</v>
      </c>
      <c r="FV1491" s="1" t="s">
        <v>200</v>
      </c>
      <c r="FW1491" s="1" t="s">
        <v>290</v>
      </c>
      <c r="FZ1491" s="1" t="s">
        <v>229</v>
      </c>
      <c r="GA1491" s="1" t="s">
        <v>291</v>
      </c>
      <c r="GB1491" s="2">
        <v>42128.0</v>
      </c>
      <c r="GC1491" s="1" t="s">
        <v>15256</v>
      </c>
    </row>
    <row r="1492">
      <c r="A1492" s="1">
        <v>280000.0</v>
      </c>
      <c r="B1492" s="1" t="s">
        <v>185</v>
      </c>
      <c r="C1492" s="1" t="str">
        <f>"08890296"</f>
        <v>08890296</v>
      </c>
      <c r="D1492" s="1" t="s">
        <v>186</v>
      </c>
      <c r="F1492" s="1" t="str">
        <f>"8010"</f>
        <v>8010</v>
      </c>
      <c r="G1492" s="2">
        <v>42108.0</v>
      </c>
      <c r="H1492" s="1">
        <v>269900.0</v>
      </c>
      <c r="I1492" s="1">
        <v>2.0</v>
      </c>
      <c r="J1492" s="1">
        <v>269900.0</v>
      </c>
      <c r="K1492" s="2">
        <v>42108.0</v>
      </c>
      <c r="L1492" s="1">
        <v>2.0</v>
      </c>
      <c r="M1492" s="2">
        <v>42108.0</v>
      </c>
      <c r="N1492" s="1" t="s">
        <v>187</v>
      </c>
      <c r="O1492" s="2">
        <v>42139.0</v>
      </c>
      <c r="P1492" s="1">
        <v>62329.0</v>
      </c>
      <c r="Q1492" s="1">
        <v>6255.0</v>
      </c>
      <c r="S1492" s="1">
        <v>5920.0</v>
      </c>
      <c r="T1492" s="1" t="s">
        <v>5114</v>
      </c>
      <c r="U1492" s="1" t="s">
        <v>189</v>
      </c>
      <c r="V1492" s="1" t="s">
        <v>190</v>
      </c>
      <c r="W1492" s="1">
        <v>60646.0</v>
      </c>
      <c r="Y1492" s="1" t="s">
        <v>15257</v>
      </c>
      <c r="Z1492" s="1">
        <v>1956.0</v>
      </c>
      <c r="AA1492" s="1" t="s">
        <v>192</v>
      </c>
      <c r="AB1492" s="1" t="s">
        <v>193</v>
      </c>
      <c r="AD1492" s="1" t="s">
        <v>194</v>
      </c>
      <c r="AE1492" s="1" t="s">
        <v>195</v>
      </c>
      <c r="AF1492" s="1" t="s">
        <v>196</v>
      </c>
      <c r="AH1492" s="1" t="s">
        <v>15258</v>
      </c>
      <c r="AI1492" s="1">
        <v>0.0</v>
      </c>
      <c r="AK1492" s="1">
        <v>7.0</v>
      </c>
      <c r="AL1492" s="1">
        <v>3.0</v>
      </c>
      <c r="AM1492" s="1">
        <v>2.0</v>
      </c>
      <c r="AN1492" s="1">
        <v>0.0</v>
      </c>
      <c r="AO1492" s="1" t="s">
        <v>229</v>
      </c>
      <c r="AQ1492" s="1" t="s">
        <v>198</v>
      </c>
      <c r="AR1492" s="1" t="s">
        <v>192</v>
      </c>
      <c r="AS1492" s="1" t="s">
        <v>199</v>
      </c>
      <c r="AT1492" s="1">
        <v>1.0</v>
      </c>
      <c r="AV1492" s="1" t="s">
        <v>200</v>
      </c>
      <c r="AW1492" s="1">
        <v>5193.0</v>
      </c>
      <c r="AX1492" s="1">
        <v>2013.0</v>
      </c>
      <c r="AY1492" s="1" t="s">
        <v>1179</v>
      </c>
      <c r="AZ1492" s="1" t="s">
        <v>200</v>
      </c>
      <c r="BA1492" s="1" t="str">
        <f>"13064110300000"</f>
        <v>13064110300000</v>
      </c>
      <c r="BB1492" s="1" t="s">
        <v>200</v>
      </c>
      <c r="BC1492" s="1">
        <v>1210.0</v>
      </c>
      <c r="BD1492" s="1">
        <v>280000.0</v>
      </c>
      <c r="BE1492" s="2">
        <v>42107.0</v>
      </c>
      <c r="BF1492" s="2" t="s">
        <v>15259</v>
      </c>
      <c r="BG1492" s="1" t="s">
        <v>13854</v>
      </c>
      <c r="BH1492" s="1">
        <v>0.0</v>
      </c>
      <c r="BI1492" s="1" t="s">
        <v>13854</v>
      </c>
      <c r="BJ1492" s="1" t="s">
        <v>1222</v>
      </c>
      <c r="BK1492" s="1" t="s">
        <v>204</v>
      </c>
      <c r="BL1492" s="1" t="str">
        <f>"5920"</f>
        <v>5920</v>
      </c>
      <c r="BM1492" s="1" t="str">
        <f>"0"</f>
        <v>0</v>
      </c>
      <c r="BN1492" s="1">
        <v>6400.0</v>
      </c>
      <c r="BO1492" s="1">
        <v>0.0</v>
      </c>
      <c r="BQ1492" s="1">
        <v>299.0</v>
      </c>
      <c r="BR1492" s="1">
        <v>299.0</v>
      </c>
      <c r="BS1492" s="1">
        <v>299.0</v>
      </c>
      <c r="BU1492" s="1" t="s">
        <v>616</v>
      </c>
      <c r="BV1492" s="1" t="s">
        <v>206</v>
      </c>
      <c r="BW1492" s="1" t="s">
        <v>207</v>
      </c>
      <c r="BY1492" s="1" t="s">
        <v>332</v>
      </c>
      <c r="BZ1492" s="1" t="s">
        <v>206</v>
      </c>
      <c r="CA1492" s="1" t="s">
        <v>207</v>
      </c>
      <c r="CD1492" s="1" t="s">
        <v>204</v>
      </c>
      <c r="CG1492" s="1" t="s">
        <v>363</v>
      </c>
      <c r="CH1492" s="1" t="s">
        <v>206</v>
      </c>
      <c r="CI1492" s="1" t="s">
        <v>207</v>
      </c>
      <c r="CK1492" s="1" t="s">
        <v>699</v>
      </c>
      <c r="CL1492" s="1" t="s">
        <v>42</v>
      </c>
      <c r="CM1492" s="1" t="s">
        <v>207</v>
      </c>
      <c r="CO1492" s="1" t="s">
        <v>331</v>
      </c>
      <c r="CP1492" s="1" t="s">
        <v>206</v>
      </c>
      <c r="CS1492" s="1" t="s">
        <v>3375</v>
      </c>
      <c r="CT1492" s="1" t="s">
        <v>206</v>
      </c>
      <c r="CU1492" s="1" t="s">
        <v>268</v>
      </c>
      <c r="CX1492" s="1" t="s">
        <v>204</v>
      </c>
      <c r="DA1492" s="1" t="s">
        <v>200</v>
      </c>
      <c r="DC1492" s="1" t="s">
        <v>271</v>
      </c>
      <c r="DD1492" s="1" t="s">
        <v>518</v>
      </c>
      <c r="DE1492" s="1" t="s">
        <v>273</v>
      </c>
      <c r="DF1492" s="1" t="s">
        <v>219</v>
      </c>
      <c r="DH1492" s="1" t="s">
        <v>365</v>
      </c>
      <c r="DI1492" s="1" t="s">
        <v>1223</v>
      </c>
      <c r="DJ1492" s="1" t="s">
        <v>222</v>
      </c>
      <c r="DL1492" s="1" t="s">
        <v>224</v>
      </c>
      <c r="DM1492" s="1" t="s">
        <v>1464</v>
      </c>
      <c r="DQ1492" s="1" t="s">
        <v>794</v>
      </c>
      <c r="DR1492" s="1" t="s">
        <v>229</v>
      </c>
      <c r="DS1492" s="1" t="s">
        <v>230</v>
      </c>
      <c r="DV1492" s="1" t="s">
        <v>450</v>
      </c>
      <c r="DW1492" s="1" t="s">
        <v>279</v>
      </c>
      <c r="DX1492" s="1" t="s">
        <v>234</v>
      </c>
      <c r="DZ1492" s="1" t="s">
        <v>282</v>
      </c>
      <c r="EA1492" s="1" t="s">
        <v>1302</v>
      </c>
      <c r="EC1492" s="1" t="s">
        <v>685</v>
      </c>
      <c r="EG1492" s="1" t="s">
        <v>450</v>
      </c>
      <c r="EL1492" s="1" t="s">
        <v>12869</v>
      </c>
      <c r="EM1492" s="1" t="s">
        <v>206</v>
      </c>
      <c r="EQ1492" s="1" t="s">
        <v>238</v>
      </c>
      <c r="EU1492" s="1" t="s">
        <v>238</v>
      </c>
      <c r="EY1492" s="1" t="s">
        <v>238</v>
      </c>
      <c r="FC1492" s="1" t="s">
        <v>238</v>
      </c>
      <c r="FF1492" s="1" t="s">
        <v>239</v>
      </c>
      <c r="FG1492" s="1" t="s">
        <v>192</v>
      </c>
      <c r="FH1492" s="1" t="s">
        <v>192</v>
      </c>
      <c r="FJ1492" s="1" t="s">
        <v>561</v>
      </c>
      <c r="FK1492" s="1" t="s">
        <v>229</v>
      </c>
      <c r="FL1492" s="1" t="s">
        <v>413</v>
      </c>
      <c r="FM1492" s="1">
        <v>13691.0</v>
      </c>
      <c r="FN1492" s="1" t="s">
        <v>414</v>
      </c>
      <c r="FO1492" s="1" t="s">
        <v>15260</v>
      </c>
      <c r="FP1492" s="1">
        <v>110965.0</v>
      </c>
      <c r="FQ1492" s="1" t="s">
        <v>414</v>
      </c>
      <c r="FU1492" s="1" t="s">
        <v>3993</v>
      </c>
      <c r="FV1492" s="1" t="s">
        <v>200</v>
      </c>
      <c r="FW1492" s="1" t="s">
        <v>567</v>
      </c>
      <c r="FX1492" s="1" t="s">
        <v>238</v>
      </c>
      <c r="FZ1492" s="1" t="s">
        <v>632</v>
      </c>
      <c r="GA1492" s="1" t="s">
        <v>291</v>
      </c>
      <c r="GB1492" s="2">
        <v>42139.0</v>
      </c>
    </row>
    <row r="1493">
      <c r="A1493" s="1">
        <v>222000.0</v>
      </c>
      <c r="B1493" s="1" t="s">
        <v>185</v>
      </c>
      <c r="C1493" s="1" t="str">
        <f>"08862021"</f>
        <v>08862021</v>
      </c>
      <c r="D1493" s="1" t="s">
        <v>186</v>
      </c>
      <c r="F1493" s="1" t="str">
        <f>"543"</f>
        <v>543</v>
      </c>
      <c r="G1493" s="2">
        <v>42078.0</v>
      </c>
      <c r="H1493" s="1">
        <v>234900.0</v>
      </c>
      <c r="I1493" s="1">
        <v>24.0</v>
      </c>
      <c r="J1493" s="1">
        <v>224900.0</v>
      </c>
      <c r="K1493" s="2">
        <v>42101.0</v>
      </c>
      <c r="L1493" s="1">
        <v>24.0</v>
      </c>
      <c r="M1493" s="2">
        <v>42101.0</v>
      </c>
      <c r="N1493" s="1" t="s">
        <v>356</v>
      </c>
      <c r="O1493" s="2">
        <v>42139.0</v>
      </c>
      <c r="P1493" s="1">
        <v>233378.0</v>
      </c>
      <c r="Q1493" s="1">
        <v>24215.0</v>
      </c>
      <c r="R1493" s="1">
        <v>2000.0</v>
      </c>
      <c r="S1493" s="1">
        <v>524.0</v>
      </c>
      <c r="T1493" s="1" t="s">
        <v>15261</v>
      </c>
      <c r="U1493" s="1" t="s">
        <v>1174</v>
      </c>
      <c r="V1493" s="1" t="s">
        <v>1527</v>
      </c>
      <c r="W1493" s="1">
        <v>60543.0</v>
      </c>
      <c r="Y1493" s="1" t="s">
        <v>15262</v>
      </c>
      <c r="Z1493" s="1">
        <v>2000.0</v>
      </c>
      <c r="AA1493" s="1" t="s">
        <v>200</v>
      </c>
      <c r="AB1493" s="1" t="s">
        <v>467</v>
      </c>
      <c r="AC1493" s="1" t="s">
        <v>9316</v>
      </c>
      <c r="AD1493" s="1" t="s">
        <v>1529</v>
      </c>
      <c r="AE1493" s="1" t="s">
        <v>849</v>
      </c>
      <c r="AF1493" s="1" t="s">
        <v>1529</v>
      </c>
      <c r="AG1493" s="1" t="s">
        <v>15263</v>
      </c>
      <c r="AH1493" s="1" t="s">
        <v>15264</v>
      </c>
      <c r="AI1493" s="1">
        <v>0.26</v>
      </c>
      <c r="AK1493" s="1">
        <v>8.0</v>
      </c>
      <c r="AL1493" s="1">
        <v>4.0</v>
      </c>
      <c r="AM1493" s="1">
        <v>2.0</v>
      </c>
      <c r="AN1493" s="1">
        <v>1.0</v>
      </c>
      <c r="AO1493" s="1" t="s">
        <v>198</v>
      </c>
      <c r="AP1493" s="1">
        <v>1.0</v>
      </c>
      <c r="AQ1493" s="1" t="s">
        <v>1314</v>
      </c>
      <c r="AR1493" s="1" t="s">
        <v>200</v>
      </c>
      <c r="AS1493" s="1" t="s">
        <v>199</v>
      </c>
      <c r="AT1493" s="1">
        <v>2.0</v>
      </c>
      <c r="AV1493" s="1" t="s">
        <v>200</v>
      </c>
      <c r="AW1493" s="1">
        <v>7120.0</v>
      </c>
      <c r="AX1493" s="1">
        <v>2013.0</v>
      </c>
      <c r="AY1493" s="1" t="s">
        <v>229</v>
      </c>
      <c r="AZ1493" s="1" t="s">
        <v>200</v>
      </c>
      <c r="BA1493" s="1" t="str">
        <f>"0319453013"</f>
        <v>0319453013</v>
      </c>
      <c r="BB1493" s="1" t="s">
        <v>200</v>
      </c>
      <c r="BC1493" s="1">
        <v>2320.0</v>
      </c>
      <c r="BD1493" s="1">
        <v>222000.0</v>
      </c>
      <c r="BE1493" s="2">
        <v>42078.0</v>
      </c>
      <c r="BF1493" s="2" t="s">
        <v>15265</v>
      </c>
      <c r="BG1493" s="1" t="s">
        <v>1532</v>
      </c>
      <c r="BH1493" s="1">
        <v>190.0</v>
      </c>
      <c r="BI1493" s="1" t="s">
        <v>1533</v>
      </c>
      <c r="BJ1493" s="1" t="s">
        <v>1349</v>
      </c>
      <c r="BK1493" s="1" t="s">
        <v>580</v>
      </c>
      <c r="BL1493" s="1" t="str">
        <f t="shared" ref="BL1493:BM1493" si="982">"0"</f>
        <v>0</v>
      </c>
      <c r="BM1493" s="1" t="str">
        <f t="shared" si="982"/>
        <v>0</v>
      </c>
      <c r="BN1493" s="1">
        <v>38.0</v>
      </c>
      <c r="BO1493" s="1">
        <v>13.0</v>
      </c>
      <c r="BQ1493" s="1">
        <v>308.0</v>
      </c>
      <c r="BR1493" s="1">
        <v>308.0</v>
      </c>
      <c r="BS1493" s="1">
        <v>308.0</v>
      </c>
      <c r="BU1493" s="1" t="s">
        <v>329</v>
      </c>
      <c r="BV1493" s="1" t="s">
        <v>206</v>
      </c>
      <c r="BW1493" s="1" t="s">
        <v>301</v>
      </c>
      <c r="BX1493" s="1" t="s">
        <v>239</v>
      </c>
      <c r="BY1493" s="1" t="s">
        <v>743</v>
      </c>
      <c r="BZ1493" s="1" t="s">
        <v>209</v>
      </c>
      <c r="CA1493" s="1" t="s">
        <v>210</v>
      </c>
      <c r="CB1493" s="1" t="s">
        <v>239</v>
      </c>
      <c r="CC1493" s="1" t="s">
        <v>392</v>
      </c>
      <c r="CD1493" s="1" t="s">
        <v>206</v>
      </c>
      <c r="CE1493" s="1" t="s">
        <v>301</v>
      </c>
      <c r="CF1493" s="1" t="s">
        <v>239</v>
      </c>
      <c r="CG1493" s="1" t="s">
        <v>332</v>
      </c>
      <c r="CH1493" s="1" t="s">
        <v>209</v>
      </c>
      <c r="CI1493" s="1" t="s">
        <v>210</v>
      </c>
      <c r="CJ1493" s="1" t="s">
        <v>239</v>
      </c>
      <c r="CK1493" s="1" t="s">
        <v>264</v>
      </c>
      <c r="CL1493" s="1" t="s">
        <v>209</v>
      </c>
      <c r="CM1493" s="1" t="s">
        <v>210</v>
      </c>
      <c r="CN1493" s="1" t="s">
        <v>239</v>
      </c>
      <c r="CO1493" s="1" t="s">
        <v>269</v>
      </c>
      <c r="CP1493" s="1" t="s">
        <v>209</v>
      </c>
      <c r="CQ1493" s="1" t="s">
        <v>210</v>
      </c>
      <c r="CR1493" s="1" t="s">
        <v>239</v>
      </c>
      <c r="CS1493" s="1" t="s">
        <v>304</v>
      </c>
      <c r="CT1493" s="1" t="s">
        <v>206</v>
      </c>
      <c r="CU1493" s="1" t="s">
        <v>301</v>
      </c>
      <c r="CV1493" s="1" t="s">
        <v>239</v>
      </c>
      <c r="CW1493" s="1" t="s">
        <v>743</v>
      </c>
      <c r="CX1493" s="1" t="s">
        <v>206</v>
      </c>
      <c r="CY1493" s="1" t="s">
        <v>301</v>
      </c>
      <c r="CZ1493" s="1" t="s">
        <v>239</v>
      </c>
      <c r="DA1493" s="1" t="s">
        <v>200</v>
      </c>
      <c r="DC1493" s="1" t="s">
        <v>335</v>
      </c>
      <c r="DD1493" s="1" t="s">
        <v>336</v>
      </c>
      <c r="DE1493" s="1" t="s">
        <v>273</v>
      </c>
      <c r="DF1493" s="1" t="s">
        <v>219</v>
      </c>
      <c r="DG1493" s="1" t="s">
        <v>1485</v>
      </c>
      <c r="DH1493" s="1" t="s">
        <v>220</v>
      </c>
      <c r="DI1493" s="1" t="s">
        <v>703</v>
      </c>
      <c r="DJ1493" s="1" t="s">
        <v>222</v>
      </c>
      <c r="DL1493" s="1" t="s">
        <v>1853</v>
      </c>
      <c r="DM1493" s="1" t="s">
        <v>338</v>
      </c>
      <c r="DN1493" s="1" t="s">
        <v>485</v>
      </c>
      <c r="DO1493" s="1" t="s">
        <v>486</v>
      </c>
      <c r="DP1493" s="1" t="s">
        <v>340</v>
      </c>
      <c r="DQ1493" s="1" t="s">
        <v>441</v>
      </c>
      <c r="DR1493" s="1" t="s">
        <v>12989</v>
      </c>
      <c r="DS1493" s="1" t="s">
        <v>368</v>
      </c>
      <c r="DU1493" s="1" t="s">
        <v>1049</v>
      </c>
      <c r="DV1493" s="1" t="s">
        <v>232</v>
      </c>
      <c r="DW1493" s="1" t="s">
        <v>444</v>
      </c>
      <c r="DX1493" s="1" t="s">
        <v>234</v>
      </c>
      <c r="DY1493" s="1" t="s">
        <v>342</v>
      </c>
      <c r="DZ1493" s="1" t="s">
        <v>2424</v>
      </c>
      <c r="EA1493" s="1" t="s">
        <v>344</v>
      </c>
      <c r="EB1493" s="1" t="s">
        <v>2915</v>
      </c>
      <c r="EC1493" s="1" t="s">
        <v>237</v>
      </c>
      <c r="ED1493" s="1" t="s">
        <v>407</v>
      </c>
      <c r="EE1493" s="1" t="s">
        <v>493</v>
      </c>
      <c r="EM1493" s="1" t="s">
        <v>238</v>
      </c>
      <c r="EQ1493" s="1" t="s">
        <v>238</v>
      </c>
      <c r="EU1493" s="1" t="s">
        <v>238</v>
      </c>
      <c r="EY1493" s="1" t="s">
        <v>238</v>
      </c>
      <c r="FC1493" s="1" t="s">
        <v>238</v>
      </c>
      <c r="FF1493" s="1" t="s">
        <v>239</v>
      </c>
      <c r="FG1493" s="1" t="s">
        <v>192</v>
      </c>
      <c r="FH1493" s="1" t="s">
        <v>192</v>
      </c>
      <c r="FJ1493" s="1" t="s">
        <v>15266</v>
      </c>
      <c r="FK1493" s="1" t="s">
        <v>229</v>
      </c>
      <c r="FL1493" s="1" t="s">
        <v>1358</v>
      </c>
      <c r="FM1493" s="1">
        <v>23076.0</v>
      </c>
      <c r="FN1493" s="1" t="s">
        <v>1359</v>
      </c>
      <c r="FO1493" s="1" t="s">
        <v>15267</v>
      </c>
      <c r="FP1493" s="1">
        <v>228466.0</v>
      </c>
      <c r="FQ1493" s="1" t="s">
        <v>15268</v>
      </c>
      <c r="FU1493" s="1" t="s">
        <v>3744</v>
      </c>
      <c r="FV1493" s="1" t="s">
        <v>200</v>
      </c>
      <c r="FW1493" s="1" t="s">
        <v>290</v>
      </c>
      <c r="FZ1493" s="1" t="s">
        <v>229</v>
      </c>
      <c r="GA1493" s="1" t="s">
        <v>291</v>
      </c>
      <c r="GB1493" s="2">
        <v>42139.0</v>
      </c>
      <c r="GC1493" s="1" t="s">
        <v>15269</v>
      </c>
    </row>
    <row r="1494">
      <c r="A1494" s="1">
        <v>275000.0</v>
      </c>
      <c r="B1494" s="1" t="s">
        <v>185</v>
      </c>
      <c r="C1494" s="1" t="str">
        <f>"08862461"</f>
        <v>08862461</v>
      </c>
      <c r="D1494" s="1" t="s">
        <v>186</v>
      </c>
      <c r="F1494" s="1" t="str">
        <f>"140"</f>
        <v>140</v>
      </c>
      <c r="G1494" s="2">
        <v>42079.0</v>
      </c>
      <c r="H1494" s="1">
        <v>284900.0</v>
      </c>
      <c r="I1494" s="1">
        <v>18.0</v>
      </c>
      <c r="J1494" s="1">
        <v>284900.0</v>
      </c>
      <c r="K1494" s="2">
        <v>42096.0</v>
      </c>
      <c r="L1494" s="1">
        <v>18.0</v>
      </c>
      <c r="M1494" s="2">
        <v>42096.0</v>
      </c>
      <c r="N1494" s="1" t="s">
        <v>187</v>
      </c>
      <c r="O1494" s="2">
        <v>42144.0</v>
      </c>
      <c r="P1494" s="1">
        <v>122917.0</v>
      </c>
      <c r="Q1494" s="1">
        <v>16117.0</v>
      </c>
      <c r="S1494" s="1" t="s">
        <v>15270</v>
      </c>
      <c r="T1494" s="1" t="s">
        <v>3105</v>
      </c>
      <c r="U1494" s="1" t="s">
        <v>569</v>
      </c>
      <c r="V1494" s="1" t="s">
        <v>321</v>
      </c>
      <c r="W1494" s="1">
        <v>60140.0</v>
      </c>
      <c r="Y1494" s="1" t="s">
        <v>15271</v>
      </c>
      <c r="Z1494" s="1">
        <v>1979.0</v>
      </c>
      <c r="AA1494" s="1" t="s">
        <v>200</v>
      </c>
      <c r="AB1494" s="1" t="s">
        <v>193</v>
      </c>
      <c r="AD1494" s="1" t="s">
        <v>1089</v>
      </c>
      <c r="AE1494" s="1" t="s">
        <v>325</v>
      </c>
      <c r="AF1494" s="1" t="s">
        <v>3429</v>
      </c>
      <c r="AH1494" s="1" t="s">
        <v>15272</v>
      </c>
      <c r="AI1494" s="1">
        <v>0.9581</v>
      </c>
      <c r="AK1494" s="1">
        <v>8.0</v>
      </c>
      <c r="AL1494" s="1">
        <v>3.0</v>
      </c>
      <c r="AM1494" s="1">
        <v>2.0</v>
      </c>
      <c r="AN1494" s="1">
        <v>1.0</v>
      </c>
      <c r="AO1494" s="1" t="s">
        <v>198</v>
      </c>
      <c r="AP1494" s="1">
        <v>0.0</v>
      </c>
      <c r="AQ1494" s="1" t="s">
        <v>198</v>
      </c>
      <c r="AR1494" s="1" t="s">
        <v>200</v>
      </c>
      <c r="AS1494" s="1" t="s">
        <v>199</v>
      </c>
      <c r="AT1494" s="1">
        <v>2.0</v>
      </c>
      <c r="AV1494" s="1" t="s">
        <v>200</v>
      </c>
      <c r="AW1494" s="1">
        <v>6384.06</v>
      </c>
      <c r="AX1494" s="1">
        <v>2013.0</v>
      </c>
      <c r="AY1494" s="1" t="s">
        <v>387</v>
      </c>
      <c r="AZ1494" s="1" t="s">
        <v>200</v>
      </c>
      <c r="BA1494" s="1" t="str">
        <f>"0227251002"</f>
        <v>0227251002</v>
      </c>
      <c r="BB1494" s="1" t="s">
        <v>200</v>
      </c>
      <c r="BC1494" s="1">
        <v>3200.0</v>
      </c>
      <c r="BD1494" s="1">
        <v>275000.0</v>
      </c>
      <c r="BE1494" s="2">
        <v>42079.0</v>
      </c>
      <c r="BF1494" s="2" t="s">
        <v>15273</v>
      </c>
      <c r="BH1494" s="1">
        <v>0.0</v>
      </c>
      <c r="BK1494" s="1" t="s">
        <v>204</v>
      </c>
      <c r="BL1494" s="1" t="str">
        <f t="shared" ref="BL1494:BM1494" si="983">""</f>
        <v/>
      </c>
      <c r="BM1494" s="1" t="str">
        <f t="shared" si="983"/>
        <v/>
      </c>
      <c r="BQ1494" s="1">
        <v>300.0</v>
      </c>
      <c r="BR1494" s="1">
        <v>300.0</v>
      </c>
      <c r="BS1494" s="1">
        <v>300.0</v>
      </c>
      <c r="BU1494" s="1" t="s">
        <v>4387</v>
      </c>
      <c r="BV1494" s="1" t="s">
        <v>206</v>
      </c>
      <c r="BW1494" s="1" t="s">
        <v>210</v>
      </c>
      <c r="BY1494" s="1" t="s">
        <v>1378</v>
      </c>
      <c r="BZ1494" s="1" t="s">
        <v>209</v>
      </c>
      <c r="CA1494" s="1" t="s">
        <v>210</v>
      </c>
      <c r="CC1494" s="1" t="s">
        <v>758</v>
      </c>
      <c r="CD1494" s="1" t="s">
        <v>206</v>
      </c>
      <c r="CE1494" s="1" t="s">
        <v>301</v>
      </c>
      <c r="CG1494" s="1" t="s">
        <v>1190</v>
      </c>
      <c r="CH1494" s="1" t="s">
        <v>209</v>
      </c>
      <c r="CI1494" s="1" t="s">
        <v>210</v>
      </c>
      <c r="CK1494" s="1" t="s">
        <v>699</v>
      </c>
      <c r="CL1494" s="1" t="s">
        <v>209</v>
      </c>
      <c r="CM1494" s="1" t="s">
        <v>207</v>
      </c>
      <c r="CO1494" s="1" t="s">
        <v>6783</v>
      </c>
      <c r="CP1494" s="1" t="s">
        <v>42</v>
      </c>
      <c r="CQ1494" s="1" t="s">
        <v>588</v>
      </c>
      <c r="CS1494" s="1" t="s">
        <v>544</v>
      </c>
      <c r="CT1494" s="1" t="s">
        <v>206</v>
      </c>
      <c r="CU1494" s="1" t="s">
        <v>301</v>
      </c>
      <c r="CW1494" s="1" t="s">
        <v>2130</v>
      </c>
      <c r="CX1494" s="1" t="s">
        <v>267</v>
      </c>
      <c r="CY1494" s="1" t="s">
        <v>210</v>
      </c>
      <c r="DA1494" s="1" t="s">
        <v>200</v>
      </c>
      <c r="DC1494" s="1" t="s">
        <v>395</v>
      </c>
      <c r="DD1494" s="1" t="s">
        <v>731</v>
      </c>
      <c r="DE1494" s="1" t="s">
        <v>273</v>
      </c>
      <c r="DF1494" s="1" t="s">
        <v>219</v>
      </c>
      <c r="DH1494" s="1" t="s">
        <v>856</v>
      </c>
      <c r="DI1494" s="1" t="s">
        <v>308</v>
      </c>
      <c r="DJ1494" s="1" t="s">
        <v>857</v>
      </c>
      <c r="DL1494" s="1" t="s">
        <v>15274</v>
      </c>
      <c r="DM1494" s="1" t="s">
        <v>229</v>
      </c>
      <c r="DO1494" s="1" t="s">
        <v>14211</v>
      </c>
      <c r="DP1494" s="1" t="s">
        <v>340</v>
      </c>
      <c r="DQ1494" s="1" t="s">
        <v>1557</v>
      </c>
      <c r="DR1494" s="1" t="s">
        <v>229</v>
      </c>
      <c r="DU1494" s="1" t="s">
        <v>10646</v>
      </c>
      <c r="DV1494" s="1" t="s">
        <v>2129</v>
      </c>
      <c r="DW1494" s="1" t="s">
        <v>489</v>
      </c>
      <c r="DX1494" s="1" t="s">
        <v>234</v>
      </c>
      <c r="DY1494" s="1" t="s">
        <v>4426</v>
      </c>
      <c r="DZ1494" s="1" t="s">
        <v>15275</v>
      </c>
      <c r="EA1494" s="1" t="s">
        <v>5604</v>
      </c>
      <c r="EC1494" s="1" t="s">
        <v>4613</v>
      </c>
      <c r="ED1494" s="1" t="s">
        <v>407</v>
      </c>
      <c r="EG1494" s="1" t="s">
        <v>2129</v>
      </c>
      <c r="EL1494" s="1" t="s">
        <v>616</v>
      </c>
      <c r="EM1494" s="1" t="s">
        <v>206</v>
      </c>
      <c r="EQ1494" s="1" t="s">
        <v>238</v>
      </c>
      <c r="EU1494" s="1" t="s">
        <v>238</v>
      </c>
      <c r="EY1494" s="1" t="s">
        <v>238</v>
      </c>
      <c r="FC1494" s="1" t="s">
        <v>238</v>
      </c>
      <c r="FF1494" s="1" t="s">
        <v>239</v>
      </c>
      <c r="FG1494" s="1" t="s">
        <v>192</v>
      </c>
      <c r="FH1494" s="1" t="s">
        <v>192</v>
      </c>
      <c r="FJ1494" s="1" t="s">
        <v>15276</v>
      </c>
      <c r="FK1494" s="1" t="s">
        <v>229</v>
      </c>
      <c r="FL1494" s="1" t="s">
        <v>5572</v>
      </c>
      <c r="FM1494" s="1">
        <v>24811.0</v>
      </c>
      <c r="FN1494" s="1" t="s">
        <v>5573</v>
      </c>
      <c r="FO1494" s="1" t="s">
        <v>5574</v>
      </c>
      <c r="FP1494" s="1">
        <v>237447.0</v>
      </c>
      <c r="FR1494" s="1">
        <v>237457.0</v>
      </c>
      <c r="FU1494" s="1" t="s">
        <v>15277</v>
      </c>
      <c r="FV1494" s="1" t="s">
        <v>200</v>
      </c>
      <c r="FW1494" s="1" t="s">
        <v>15278</v>
      </c>
      <c r="FZ1494" s="1" t="s">
        <v>2993</v>
      </c>
      <c r="GA1494" s="1" t="s">
        <v>291</v>
      </c>
      <c r="GB1494" s="2">
        <v>42150.0</v>
      </c>
      <c r="GC1494" s="1" t="s">
        <v>15279</v>
      </c>
    </row>
    <row r="1495">
      <c r="A1495" s="1">
        <v>75000.0</v>
      </c>
      <c r="B1495" s="1" t="s">
        <v>185</v>
      </c>
      <c r="C1495" s="1" t="str">
        <f>"08869306"</f>
        <v>08869306</v>
      </c>
      <c r="D1495" s="1" t="s">
        <v>186</v>
      </c>
      <c r="F1495" s="1" t="str">
        <f>"8051"</f>
        <v>8051</v>
      </c>
      <c r="G1495" s="2">
        <v>42086.0</v>
      </c>
      <c r="H1495" s="1">
        <v>74900.0</v>
      </c>
      <c r="I1495" s="1">
        <v>1.0</v>
      </c>
      <c r="J1495" s="1">
        <v>74900.0</v>
      </c>
      <c r="K1495" s="2">
        <v>42086.0</v>
      </c>
      <c r="L1495" s="1">
        <v>1.0</v>
      </c>
      <c r="M1495" s="2">
        <v>42086.0</v>
      </c>
      <c r="N1495" s="1" t="s">
        <v>356</v>
      </c>
      <c r="O1495" s="2">
        <v>42124.0</v>
      </c>
      <c r="P1495" s="1">
        <v>875684.0</v>
      </c>
      <c r="Q1495" s="1">
        <v>12139.0</v>
      </c>
      <c r="S1495" s="1">
        <v>9850.0</v>
      </c>
      <c r="T1495" s="1" t="s">
        <v>13605</v>
      </c>
      <c r="U1495" s="1" t="s">
        <v>189</v>
      </c>
      <c r="V1495" s="1" t="s">
        <v>190</v>
      </c>
      <c r="W1495" s="1">
        <v>60617.0</v>
      </c>
      <c r="Y1495" s="1" t="s">
        <v>15280</v>
      </c>
      <c r="Z1495" s="1">
        <v>1890.0</v>
      </c>
      <c r="AA1495" s="1" t="s">
        <v>192</v>
      </c>
      <c r="AB1495" s="1" t="s">
        <v>193</v>
      </c>
      <c r="AD1495" s="1" t="s">
        <v>194</v>
      </c>
      <c r="AE1495" s="1" t="s">
        <v>195</v>
      </c>
      <c r="AF1495" s="1" t="s">
        <v>637</v>
      </c>
      <c r="AH1495" s="1" t="s">
        <v>15281</v>
      </c>
      <c r="AI1495" s="1">
        <v>0.0957</v>
      </c>
      <c r="AK1495" s="1">
        <v>6.0</v>
      </c>
      <c r="AL1495" s="1">
        <v>3.0</v>
      </c>
      <c r="AM1495" s="1">
        <v>1.0</v>
      </c>
      <c r="AN1495" s="1">
        <v>0.0</v>
      </c>
      <c r="AO1495" s="1" t="s">
        <v>229</v>
      </c>
      <c r="AQ1495" s="1" t="s">
        <v>327</v>
      </c>
      <c r="AR1495" s="1" t="s">
        <v>200</v>
      </c>
      <c r="AS1495" s="1" t="s">
        <v>199</v>
      </c>
      <c r="AT1495" s="1">
        <v>2.0</v>
      </c>
      <c r="AV1495" s="1" t="s">
        <v>200</v>
      </c>
      <c r="AW1495" s="1">
        <v>1167.24</v>
      </c>
      <c r="AX1495" s="1">
        <v>2013.0</v>
      </c>
      <c r="AZ1495" s="1" t="s">
        <v>200</v>
      </c>
      <c r="BA1495" s="1" t="str">
        <f>"26071400240000"</f>
        <v>26071400240000</v>
      </c>
      <c r="BC1495" s="1">
        <v>748.0</v>
      </c>
      <c r="BD1495" s="1">
        <v>75000.0</v>
      </c>
      <c r="BE1495" s="2">
        <v>42086.0</v>
      </c>
      <c r="BF1495" s="1" t="s">
        <v>15282</v>
      </c>
      <c r="BH1495" s="1">
        <v>0.0</v>
      </c>
      <c r="BK1495" s="1" t="s">
        <v>204</v>
      </c>
      <c r="BL1495" s="1" t="str">
        <f>"0"</f>
        <v>0</v>
      </c>
      <c r="BM1495" s="1" t="str">
        <f>"2900"</f>
        <v>2900</v>
      </c>
      <c r="BN1495" s="1">
        <v>0.0</v>
      </c>
      <c r="BO1495" s="1">
        <v>9850.0</v>
      </c>
      <c r="BQ1495" s="1">
        <v>299.0</v>
      </c>
      <c r="BR1495" s="1">
        <v>299.0</v>
      </c>
      <c r="BS1495" s="1">
        <v>299.0</v>
      </c>
      <c r="BU1495" s="1" t="s">
        <v>393</v>
      </c>
      <c r="BV1495" s="1" t="s">
        <v>206</v>
      </c>
      <c r="BW1495" s="1" t="s">
        <v>617</v>
      </c>
      <c r="BY1495" s="1" t="s">
        <v>1351</v>
      </c>
      <c r="BZ1495" s="1" t="s">
        <v>206</v>
      </c>
      <c r="CD1495" s="1" t="s">
        <v>204</v>
      </c>
      <c r="CG1495" s="1" t="s">
        <v>798</v>
      </c>
      <c r="CH1495" s="1" t="s">
        <v>206</v>
      </c>
      <c r="CI1495" s="1" t="s">
        <v>617</v>
      </c>
      <c r="CK1495" s="1" t="s">
        <v>798</v>
      </c>
      <c r="CL1495" s="1" t="s">
        <v>206</v>
      </c>
      <c r="CM1495" s="1" t="s">
        <v>617</v>
      </c>
      <c r="CO1495" s="1" t="s">
        <v>1852</v>
      </c>
      <c r="CP1495" s="1" t="s">
        <v>42</v>
      </c>
      <c r="CS1495" s="1" t="s">
        <v>830</v>
      </c>
      <c r="CT1495" s="1" t="s">
        <v>206</v>
      </c>
      <c r="CU1495" s="1" t="s">
        <v>617</v>
      </c>
      <c r="CX1495" s="1" t="s">
        <v>204</v>
      </c>
      <c r="DA1495" s="1" t="s">
        <v>200</v>
      </c>
      <c r="DC1495" s="1" t="s">
        <v>642</v>
      </c>
      <c r="DE1495" s="1" t="s">
        <v>229</v>
      </c>
      <c r="DF1495" s="1" t="s">
        <v>4878</v>
      </c>
      <c r="DH1495" s="1" t="s">
        <v>220</v>
      </c>
      <c r="DJ1495" s="1" t="s">
        <v>222</v>
      </c>
      <c r="DL1495" s="1" t="s">
        <v>223</v>
      </c>
      <c r="DM1495" s="1" t="s">
        <v>229</v>
      </c>
      <c r="DQ1495" s="1" t="s">
        <v>718</v>
      </c>
      <c r="DR1495" s="1" t="s">
        <v>229</v>
      </c>
      <c r="DV1495" s="1" t="s">
        <v>232</v>
      </c>
      <c r="DW1495" s="1" t="s">
        <v>552</v>
      </c>
      <c r="DX1495" s="1" t="s">
        <v>234</v>
      </c>
      <c r="EC1495" s="1" t="s">
        <v>685</v>
      </c>
      <c r="EM1495" s="1" t="s">
        <v>238</v>
      </c>
      <c r="EQ1495" s="1" t="s">
        <v>238</v>
      </c>
      <c r="EU1495" s="1" t="s">
        <v>238</v>
      </c>
      <c r="EY1495" s="1" t="s">
        <v>238</v>
      </c>
      <c r="FC1495" s="1" t="s">
        <v>238</v>
      </c>
      <c r="FF1495" s="1" t="s">
        <v>239</v>
      </c>
      <c r="FG1495" s="1" t="s">
        <v>192</v>
      </c>
      <c r="FH1495" s="1" t="s">
        <v>192</v>
      </c>
      <c r="FJ1495" s="1" t="s">
        <v>7945</v>
      </c>
      <c r="FK1495" s="1" t="s">
        <v>229</v>
      </c>
      <c r="FL1495" s="1" t="s">
        <v>6333</v>
      </c>
      <c r="FM1495" s="1">
        <v>12139.0</v>
      </c>
      <c r="FN1495" s="1" t="s">
        <v>6334</v>
      </c>
      <c r="FO1495" s="1" t="s">
        <v>6335</v>
      </c>
      <c r="FP1495" s="1">
        <v>124517.0</v>
      </c>
      <c r="FQ1495" s="1" t="s">
        <v>6334</v>
      </c>
      <c r="FU1495" s="1" t="s">
        <v>15283</v>
      </c>
      <c r="FV1495" s="1" t="s">
        <v>200</v>
      </c>
      <c r="FW1495" s="1" t="s">
        <v>530</v>
      </c>
      <c r="FX1495" s="1" t="s">
        <v>655</v>
      </c>
      <c r="FZ1495" s="1" t="s">
        <v>229</v>
      </c>
      <c r="GA1495" s="1" t="s">
        <v>247</v>
      </c>
      <c r="GB1495" s="2">
        <v>42124.0</v>
      </c>
    </row>
    <row r="1496">
      <c r="A1496" s="1">
        <v>158220.0</v>
      </c>
      <c r="B1496" s="1" t="s">
        <v>185</v>
      </c>
      <c r="C1496" s="1" t="str">
        <f>"08869397"</f>
        <v>08869397</v>
      </c>
      <c r="D1496" s="1" t="s">
        <v>186</v>
      </c>
      <c r="F1496" s="1" t="str">
        <f>"178"</f>
        <v>178</v>
      </c>
      <c r="G1496" s="2">
        <v>42086.0</v>
      </c>
      <c r="H1496" s="1">
        <v>158220.0</v>
      </c>
      <c r="I1496" s="1">
        <v>12.0</v>
      </c>
      <c r="J1496" s="1">
        <v>158220.0</v>
      </c>
      <c r="K1496" s="2">
        <v>42097.0</v>
      </c>
      <c r="L1496" s="1">
        <v>12.0</v>
      </c>
      <c r="M1496" s="2">
        <v>42097.0</v>
      </c>
      <c r="N1496" s="1" t="s">
        <v>356</v>
      </c>
      <c r="O1496" s="2">
        <v>42139.0</v>
      </c>
      <c r="P1496" s="1">
        <v>27.0</v>
      </c>
      <c r="Q1496" s="1">
        <v>662.0</v>
      </c>
      <c r="R1496" s="1">
        <v>5500.0</v>
      </c>
      <c r="S1496" s="1">
        <v>706.0</v>
      </c>
      <c r="T1496" s="1" t="s">
        <v>15284</v>
      </c>
      <c r="U1496" s="1" t="s">
        <v>189</v>
      </c>
      <c r="V1496" s="1" t="s">
        <v>994</v>
      </c>
      <c r="W1496" s="1">
        <v>60178.0</v>
      </c>
      <c r="Y1496" s="1" t="s">
        <v>15285</v>
      </c>
      <c r="Z1496" s="1">
        <v>1902.0</v>
      </c>
      <c r="AA1496" s="1" t="s">
        <v>192</v>
      </c>
      <c r="AB1496" s="1" t="s">
        <v>193</v>
      </c>
      <c r="AD1496" s="1" t="s">
        <v>997</v>
      </c>
      <c r="AE1496" s="1" t="s">
        <v>613</v>
      </c>
      <c r="AF1496" s="1" t="s">
        <v>997</v>
      </c>
      <c r="AH1496" s="1" t="s">
        <v>15286</v>
      </c>
      <c r="AK1496" s="1">
        <v>8.0</v>
      </c>
      <c r="AL1496" s="1">
        <v>4.0</v>
      </c>
      <c r="AM1496" s="1">
        <v>1.0</v>
      </c>
      <c r="AN1496" s="1">
        <v>1.0</v>
      </c>
      <c r="AO1496" s="1" t="s">
        <v>229</v>
      </c>
      <c r="AQ1496" s="1" t="s">
        <v>198</v>
      </c>
      <c r="AR1496" s="1" t="s">
        <v>200</v>
      </c>
      <c r="AS1496" s="1" t="s">
        <v>199</v>
      </c>
      <c r="AT1496" s="1">
        <v>1.0</v>
      </c>
      <c r="AV1496" s="1" t="s">
        <v>200</v>
      </c>
      <c r="AW1496" s="1">
        <v>3564.62</v>
      </c>
      <c r="AX1496" s="1">
        <v>2013.0</v>
      </c>
      <c r="AY1496" s="1" t="s">
        <v>387</v>
      </c>
      <c r="AZ1496" s="1" t="s">
        <v>200</v>
      </c>
      <c r="BA1496" s="1" t="str">
        <f>"0632310014"</f>
        <v>0632310014</v>
      </c>
      <c r="BC1496" s="1">
        <v>2100.0</v>
      </c>
      <c r="BD1496" s="1">
        <v>158220.0</v>
      </c>
      <c r="BE1496" s="2">
        <v>42086.0</v>
      </c>
      <c r="BF1496" s="2" t="s">
        <v>15287</v>
      </c>
      <c r="BH1496" s="1">
        <v>0.0</v>
      </c>
      <c r="BK1496" s="1" t="s">
        <v>204</v>
      </c>
      <c r="BL1496" s="1" t="str">
        <f t="shared" ref="BL1496:BM1496" si="984">""</f>
        <v/>
      </c>
      <c r="BM1496" s="1" t="str">
        <f t="shared" si="984"/>
        <v/>
      </c>
      <c r="BQ1496" s="1">
        <v>427.0</v>
      </c>
      <c r="BR1496" s="1">
        <v>427.0</v>
      </c>
      <c r="BS1496" s="1">
        <v>427.0</v>
      </c>
      <c r="BU1496" s="1" t="s">
        <v>2414</v>
      </c>
      <c r="BV1496" s="1" t="s">
        <v>206</v>
      </c>
      <c r="BW1496" s="1" t="s">
        <v>207</v>
      </c>
      <c r="BX1496" s="1" t="s">
        <v>431</v>
      </c>
      <c r="BY1496" s="1" t="s">
        <v>215</v>
      </c>
      <c r="BZ1496" s="1" t="s">
        <v>209</v>
      </c>
      <c r="CA1496" s="1" t="s">
        <v>207</v>
      </c>
      <c r="CB1496" s="1" t="s">
        <v>1549</v>
      </c>
      <c r="CC1496" s="1" t="s">
        <v>433</v>
      </c>
      <c r="CD1496" s="1" t="s">
        <v>206</v>
      </c>
      <c r="CE1496" s="1" t="s">
        <v>207</v>
      </c>
      <c r="CF1496" s="1" t="s">
        <v>431</v>
      </c>
      <c r="CG1496" s="1" t="s">
        <v>454</v>
      </c>
      <c r="CH1496" s="1" t="s">
        <v>209</v>
      </c>
      <c r="CI1496" s="1" t="s">
        <v>207</v>
      </c>
      <c r="CJ1496" s="1" t="s">
        <v>1549</v>
      </c>
      <c r="CK1496" s="1" t="s">
        <v>264</v>
      </c>
      <c r="CL1496" s="1" t="s">
        <v>209</v>
      </c>
      <c r="CM1496" s="1" t="s">
        <v>207</v>
      </c>
      <c r="CN1496" s="1" t="s">
        <v>1549</v>
      </c>
      <c r="CO1496" s="1" t="s">
        <v>495</v>
      </c>
      <c r="CP1496" s="1" t="s">
        <v>209</v>
      </c>
      <c r="CQ1496" s="1" t="s">
        <v>207</v>
      </c>
      <c r="CR1496" s="1" t="s">
        <v>1549</v>
      </c>
      <c r="CS1496" s="1" t="s">
        <v>212</v>
      </c>
      <c r="CT1496" s="1" t="s">
        <v>206</v>
      </c>
      <c r="CU1496" s="1" t="s">
        <v>207</v>
      </c>
      <c r="CX1496" s="1" t="s">
        <v>204</v>
      </c>
      <c r="DA1496" s="1" t="s">
        <v>200</v>
      </c>
      <c r="DC1496" s="1" t="s">
        <v>642</v>
      </c>
      <c r="DD1496" s="1" t="s">
        <v>855</v>
      </c>
      <c r="DE1496" s="1" t="s">
        <v>273</v>
      </c>
      <c r="DF1496" s="1" t="s">
        <v>219</v>
      </c>
      <c r="DG1496" s="1" t="s">
        <v>2311</v>
      </c>
      <c r="DH1496" s="1" t="s">
        <v>220</v>
      </c>
      <c r="DI1496" s="1" t="s">
        <v>789</v>
      </c>
      <c r="DJ1496" s="1" t="s">
        <v>222</v>
      </c>
      <c r="DK1496" s="1" t="s">
        <v>1142</v>
      </c>
      <c r="DL1496" s="1" t="s">
        <v>223</v>
      </c>
      <c r="DM1496" s="1" t="s">
        <v>229</v>
      </c>
      <c r="DO1496" s="1" t="s">
        <v>590</v>
      </c>
      <c r="DP1496" s="1" t="s">
        <v>340</v>
      </c>
      <c r="DQ1496" s="1" t="s">
        <v>228</v>
      </c>
      <c r="DR1496" s="1" t="s">
        <v>229</v>
      </c>
      <c r="DS1496" s="1" t="s">
        <v>230</v>
      </c>
      <c r="DU1496" s="1" t="s">
        <v>3625</v>
      </c>
      <c r="DV1496" s="1" t="s">
        <v>15288</v>
      </c>
      <c r="DW1496" s="1" t="s">
        <v>233</v>
      </c>
      <c r="DX1496" s="1" t="s">
        <v>234</v>
      </c>
      <c r="DY1496" s="1" t="s">
        <v>704</v>
      </c>
      <c r="DZ1496" s="1" t="s">
        <v>5617</v>
      </c>
      <c r="EC1496" s="1" t="s">
        <v>237</v>
      </c>
      <c r="EE1496" s="1" t="s">
        <v>493</v>
      </c>
      <c r="EG1496" s="1" t="s">
        <v>1121</v>
      </c>
      <c r="EH1496" s="1" t="s">
        <v>408</v>
      </c>
      <c r="EI1496" s="1" t="s">
        <v>2877</v>
      </c>
      <c r="EJ1496" s="1" t="s">
        <v>310</v>
      </c>
      <c r="EL1496" s="1" t="s">
        <v>4153</v>
      </c>
      <c r="EM1496" s="1" t="s">
        <v>209</v>
      </c>
      <c r="EN1496" s="1" t="s">
        <v>207</v>
      </c>
      <c r="EP1496" s="1" t="s">
        <v>623</v>
      </c>
      <c r="EQ1496" s="1" t="s">
        <v>206</v>
      </c>
      <c r="ER1496" s="1" t="s">
        <v>207</v>
      </c>
      <c r="ET1496" s="1" t="s">
        <v>12606</v>
      </c>
      <c r="EU1496" s="1" t="s">
        <v>206</v>
      </c>
      <c r="EV1496" s="1" t="s">
        <v>207</v>
      </c>
      <c r="EX1496" s="1" t="s">
        <v>452</v>
      </c>
      <c r="EY1496" s="1" t="s">
        <v>206</v>
      </c>
      <c r="FC1496" s="1" t="s">
        <v>238</v>
      </c>
      <c r="FF1496" s="1" t="s">
        <v>239</v>
      </c>
      <c r="FG1496" s="1" t="s">
        <v>192</v>
      </c>
      <c r="FH1496" s="1" t="s">
        <v>192</v>
      </c>
      <c r="FJ1496" s="1" t="s">
        <v>2552</v>
      </c>
      <c r="FK1496" s="1" t="s">
        <v>229</v>
      </c>
      <c r="FL1496" s="1" t="s">
        <v>456</v>
      </c>
      <c r="FM1496" s="1">
        <v>49.0</v>
      </c>
      <c r="FN1496" s="1" t="s">
        <v>457</v>
      </c>
      <c r="FO1496" s="1" t="s">
        <v>7305</v>
      </c>
      <c r="FP1496" s="1">
        <v>7198.0</v>
      </c>
      <c r="FQ1496" s="1" t="s">
        <v>7306</v>
      </c>
      <c r="FU1496" s="1" t="s">
        <v>15289</v>
      </c>
      <c r="FV1496" s="1" t="s">
        <v>200</v>
      </c>
      <c r="FW1496" s="1" t="s">
        <v>290</v>
      </c>
      <c r="FZ1496" s="1" t="s">
        <v>229</v>
      </c>
      <c r="GA1496" s="1" t="s">
        <v>291</v>
      </c>
      <c r="GB1496" s="2">
        <v>42139.0</v>
      </c>
      <c r="GC1496" s="1" t="s">
        <v>15290</v>
      </c>
    </row>
    <row r="1497">
      <c r="A1497" s="1">
        <v>244500.0</v>
      </c>
      <c r="B1497" s="1" t="s">
        <v>185</v>
      </c>
      <c r="C1497" s="1" t="str">
        <f>"08863574"</f>
        <v>08863574</v>
      </c>
      <c r="D1497" s="1" t="s">
        <v>186</v>
      </c>
      <c r="F1497" s="1" t="str">
        <f>"140"</f>
        <v>140</v>
      </c>
      <c r="G1497" s="2">
        <v>42080.0</v>
      </c>
      <c r="H1497" s="1">
        <v>244900.0</v>
      </c>
      <c r="I1497" s="1">
        <v>10.0</v>
      </c>
      <c r="J1497" s="1">
        <v>244900.0</v>
      </c>
      <c r="K1497" s="2">
        <v>42089.0</v>
      </c>
      <c r="L1497" s="1">
        <v>10.0</v>
      </c>
      <c r="M1497" s="2">
        <v>42089.0</v>
      </c>
      <c r="N1497" s="1" t="s">
        <v>356</v>
      </c>
      <c r="O1497" s="2">
        <v>42146.0</v>
      </c>
      <c r="P1497" s="1">
        <v>7968.0</v>
      </c>
      <c r="Q1497" s="1">
        <v>372.0</v>
      </c>
      <c r="S1497" s="1">
        <v>1390.0</v>
      </c>
      <c r="T1497" s="1" t="s">
        <v>15291</v>
      </c>
      <c r="U1497" s="1" t="s">
        <v>1174</v>
      </c>
      <c r="V1497" s="1" t="s">
        <v>4858</v>
      </c>
      <c r="W1497" s="1">
        <v>60140.0</v>
      </c>
      <c r="Y1497" s="1" t="s">
        <v>15292</v>
      </c>
      <c r="Z1497" s="1">
        <v>2005.0</v>
      </c>
      <c r="AA1497" s="1" t="s">
        <v>200</v>
      </c>
      <c r="AB1497" s="1" t="s">
        <v>467</v>
      </c>
      <c r="AD1497" s="1" t="s">
        <v>4860</v>
      </c>
      <c r="AE1497" s="1" t="s">
        <v>325</v>
      </c>
      <c r="AF1497" s="1" t="s">
        <v>3429</v>
      </c>
      <c r="AG1497" s="1" t="s">
        <v>15293</v>
      </c>
      <c r="AH1497" s="1" t="s">
        <v>15294</v>
      </c>
      <c r="AI1497" s="1">
        <v>0.1748</v>
      </c>
      <c r="AK1497" s="1">
        <v>10.0</v>
      </c>
      <c r="AL1497" s="1">
        <v>4.0</v>
      </c>
      <c r="AM1497" s="1">
        <v>2.0</v>
      </c>
      <c r="AN1497" s="1">
        <v>1.0</v>
      </c>
      <c r="AO1497" s="1" t="s">
        <v>198</v>
      </c>
      <c r="AP1497" s="1">
        <v>1.0</v>
      </c>
      <c r="AQ1497" s="1" t="s">
        <v>198</v>
      </c>
      <c r="AR1497" s="1" t="s">
        <v>200</v>
      </c>
      <c r="AS1497" s="1" t="s">
        <v>199</v>
      </c>
      <c r="AT1497" s="1">
        <v>2.0</v>
      </c>
      <c r="AV1497" s="1" t="s">
        <v>200</v>
      </c>
      <c r="AW1497" s="1">
        <v>6723.4</v>
      </c>
      <c r="AX1497" s="1">
        <v>2012.0</v>
      </c>
      <c r="AY1497" s="1" t="s">
        <v>387</v>
      </c>
      <c r="AZ1497" s="1" t="s">
        <v>545</v>
      </c>
      <c r="BA1497" s="1" t="str">
        <f>"0229426009"</f>
        <v>0229426009</v>
      </c>
      <c r="BC1497" s="1">
        <v>2900.0</v>
      </c>
      <c r="BD1497" s="1">
        <v>244500.0</v>
      </c>
      <c r="BE1497" s="2">
        <v>42080.0</v>
      </c>
      <c r="BF1497" s="2" t="s">
        <v>15295</v>
      </c>
      <c r="BG1497" s="1" t="s">
        <v>6193</v>
      </c>
      <c r="BH1497" s="1">
        <v>62.0</v>
      </c>
      <c r="BI1497" s="1" t="s">
        <v>5040</v>
      </c>
      <c r="BJ1497" s="1" t="s">
        <v>1182</v>
      </c>
      <c r="BK1497" s="1" t="s">
        <v>474</v>
      </c>
      <c r="BL1497" s="1" t="str">
        <f t="shared" ref="BL1497:BM1497" si="985">""</f>
        <v/>
      </c>
      <c r="BM1497" s="1" t="str">
        <f t="shared" si="985"/>
        <v/>
      </c>
      <c r="BP1497" s="1" t="s">
        <v>15296</v>
      </c>
      <c r="BQ1497" s="1">
        <v>300.0</v>
      </c>
      <c r="BR1497" s="1">
        <v>300.0</v>
      </c>
      <c r="BS1497" s="1">
        <v>300.0</v>
      </c>
      <c r="BU1497" s="1" t="s">
        <v>329</v>
      </c>
      <c r="BV1497" s="1" t="s">
        <v>206</v>
      </c>
      <c r="BW1497" s="1" t="s">
        <v>210</v>
      </c>
      <c r="BY1497" s="1" t="s">
        <v>334</v>
      </c>
      <c r="BZ1497" s="1" t="s">
        <v>209</v>
      </c>
      <c r="CA1497" s="1" t="s">
        <v>210</v>
      </c>
      <c r="CC1497" s="1" t="s">
        <v>699</v>
      </c>
      <c r="CD1497" s="1" t="s">
        <v>206</v>
      </c>
      <c r="CE1497" s="1" t="s">
        <v>210</v>
      </c>
      <c r="CG1497" s="1" t="s">
        <v>329</v>
      </c>
      <c r="CH1497" s="1" t="s">
        <v>209</v>
      </c>
      <c r="CI1497" s="1" t="s">
        <v>210</v>
      </c>
      <c r="CK1497" s="1" t="s">
        <v>699</v>
      </c>
      <c r="CL1497" s="1" t="s">
        <v>209</v>
      </c>
      <c r="CM1497" s="1" t="s">
        <v>210</v>
      </c>
      <c r="CO1497" s="1" t="s">
        <v>332</v>
      </c>
      <c r="CP1497" s="1" t="s">
        <v>209</v>
      </c>
      <c r="CQ1497" s="1" t="s">
        <v>210</v>
      </c>
      <c r="CS1497" s="1" t="s">
        <v>215</v>
      </c>
      <c r="CT1497" s="1" t="s">
        <v>206</v>
      </c>
      <c r="CU1497" s="1" t="s">
        <v>207</v>
      </c>
      <c r="CW1497" s="1" t="s">
        <v>3475</v>
      </c>
      <c r="CX1497" s="1" t="s">
        <v>206</v>
      </c>
      <c r="CY1497" s="1" t="s">
        <v>210</v>
      </c>
      <c r="DA1497" s="1" t="s">
        <v>200</v>
      </c>
      <c r="DC1497" s="1" t="s">
        <v>481</v>
      </c>
      <c r="DD1497" s="1" t="s">
        <v>3633</v>
      </c>
      <c r="DE1497" s="1" t="s">
        <v>273</v>
      </c>
      <c r="DF1497" s="1" t="s">
        <v>619</v>
      </c>
      <c r="DH1497" s="1" t="s">
        <v>220</v>
      </c>
      <c r="DI1497" s="1" t="s">
        <v>2547</v>
      </c>
      <c r="DJ1497" s="1" t="s">
        <v>1048</v>
      </c>
      <c r="DL1497" s="1" t="s">
        <v>223</v>
      </c>
      <c r="DM1497" s="1" t="s">
        <v>338</v>
      </c>
      <c r="DN1497" s="1" t="s">
        <v>399</v>
      </c>
      <c r="DP1497" s="1" t="s">
        <v>276</v>
      </c>
      <c r="DQ1497" s="1" t="s">
        <v>228</v>
      </c>
      <c r="DR1497" s="1" t="s">
        <v>2593</v>
      </c>
      <c r="DS1497" s="1" t="s">
        <v>230</v>
      </c>
      <c r="DV1497" s="1" t="s">
        <v>8941</v>
      </c>
      <c r="DW1497" s="1" t="s">
        <v>370</v>
      </c>
      <c r="DX1497" s="1" t="s">
        <v>234</v>
      </c>
      <c r="DZ1497" s="1" t="s">
        <v>343</v>
      </c>
      <c r="EA1497" s="1" t="s">
        <v>1027</v>
      </c>
      <c r="EB1497" s="1" t="s">
        <v>492</v>
      </c>
      <c r="EC1497" s="1" t="s">
        <v>237</v>
      </c>
      <c r="EG1497" s="1" t="s">
        <v>556</v>
      </c>
      <c r="EH1497" s="1" t="s">
        <v>341</v>
      </c>
      <c r="EL1497" s="1" t="s">
        <v>699</v>
      </c>
      <c r="EM1497" s="1" t="s">
        <v>206</v>
      </c>
      <c r="EP1497" s="1" t="s">
        <v>332</v>
      </c>
      <c r="EQ1497" s="1" t="s">
        <v>209</v>
      </c>
      <c r="ER1497" s="1" t="s">
        <v>210</v>
      </c>
      <c r="EU1497" s="1" t="s">
        <v>238</v>
      </c>
      <c r="EY1497" s="1" t="s">
        <v>238</v>
      </c>
      <c r="FC1497" s="1" t="s">
        <v>238</v>
      </c>
      <c r="FF1497" s="1" t="s">
        <v>239</v>
      </c>
      <c r="FG1497" s="1" t="s">
        <v>192</v>
      </c>
      <c r="FH1497" s="1" t="s">
        <v>192</v>
      </c>
      <c r="FJ1497" s="1" t="s">
        <v>770</v>
      </c>
      <c r="FK1497" s="1" t="s">
        <v>229</v>
      </c>
      <c r="FL1497" s="1" t="s">
        <v>4954</v>
      </c>
      <c r="FM1497" s="1">
        <v>25558.0</v>
      </c>
      <c r="FN1497" s="1" t="s">
        <v>1998</v>
      </c>
      <c r="FO1497" s="1" t="s">
        <v>13991</v>
      </c>
      <c r="FP1497" s="1">
        <v>238472.0</v>
      </c>
      <c r="FQ1497" s="1" t="s">
        <v>13992</v>
      </c>
      <c r="FU1497" s="1" t="s">
        <v>13993</v>
      </c>
      <c r="FV1497" s="1" t="s">
        <v>200</v>
      </c>
      <c r="FW1497" s="1" t="s">
        <v>1457</v>
      </c>
      <c r="FZ1497" s="1" t="s">
        <v>229</v>
      </c>
      <c r="GA1497" s="1" t="s">
        <v>291</v>
      </c>
      <c r="GB1497" s="2">
        <v>42146.0</v>
      </c>
      <c r="GC1497" s="1" t="s">
        <v>15297</v>
      </c>
    </row>
    <row r="1498">
      <c r="A1498" s="1">
        <v>251000.0</v>
      </c>
      <c r="B1498" s="1" t="s">
        <v>185</v>
      </c>
      <c r="C1498" s="1" t="str">
        <f>"08861933"</f>
        <v>08861933</v>
      </c>
      <c r="D1498" s="1" t="s">
        <v>186</v>
      </c>
      <c r="F1498" s="1" t="str">
        <f>"8017"</f>
        <v>8017</v>
      </c>
      <c r="G1498" s="2">
        <v>42078.0</v>
      </c>
      <c r="H1498" s="1">
        <v>255000.0</v>
      </c>
      <c r="I1498" s="1">
        <v>12.0</v>
      </c>
      <c r="J1498" s="1">
        <v>255000.0</v>
      </c>
      <c r="K1498" s="2">
        <v>42088.0</v>
      </c>
      <c r="L1498" s="1">
        <v>12.0</v>
      </c>
      <c r="M1498" s="2">
        <v>42088.0</v>
      </c>
      <c r="N1498" s="1" t="s">
        <v>356</v>
      </c>
      <c r="O1498" s="2">
        <v>42122.0</v>
      </c>
      <c r="P1498" s="1">
        <v>236194.0</v>
      </c>
      <c r="Q1498" s="1">
        <v>60070.0</v>
      </c>
      <c r="R1498" s="1">
        <v>6000.0</v>
      </c>
      <c r="S1498" s="1">
        <v>3730.0</v>
      </c>
      <c r="T1498" s="1" t="s">
        <v>13238</v>
      </c>
      <c r="U1498" s="1" t="s">
        <v>189</v>
      </c>
      <c r="V1498" s="1" t="s">
        <v>190</v>
      </c>
      <c r="W1498" s="1">
        <v>60634.0</v>
      </c>
      <c r="Y1498" s="1" t="s">
        <v>15298</v>
      </c>
      <c r="Z1498" s="1" t="s">
        <v>296</v>
      </c>
      <c r="AA1498" s="1" t="s">
        <v>192</v>
      </c>
      <c r="AB1498" s="1" t="s">
        <v>193</v>
      </c>
      <c r="AD1498" s="1" t="s">
        <v>194</v>
      </c>
      <c r="AE1498" s="1" t="s">
        <v>195</v>
      </c>
      <c r="AF1498" s="1" t="s">
        <v>196</v>
      </c>
      <c r="AH1498" s="1" t="s">
        <v>779</v>
      </c>
      <c r="AK1498" s="1">
        <v>8.0</v>
      </c>
      <c r="AL1498" s="1">
        <v>3.0</v>
      </c>
      <c r="AM1498" s="1">
        <v>2.0</v>
      </c>
      <c r="AN1498" s="1">
        <v>0.0</v>
      </c>
      <c r="AO1498" s="1" t="s">
        <v>229</v>
      </c>
      <c r="AQ1498" s="1" t="s">
        <v>198</v>
      </c>
      <c r="AR1498" s="1" t="s">
        <v>200</v>
      </c>
      <c r="AS1498" s="1" t="s">
        <v>199</v>
      </c>
      <c r="AT1498" s="1">
        <v>2.0</v>
      </c>
      <c r="AV1498" s="1" t="s">
        <v>200</v>
      </c>
      <c r="AW1498" s="1">
        <v>4299.17</v>
      </c>
      <c r="AX1498" s="1">
        <v>2013.0</v>
      </c>
      <c r="AZ1498" s="1" t="s">
        <v>200</v>
      </c>
      <c r="BA1498" s="1" t="str">
        <f>"12232230470000"</f>
        <v>12232230470000</v>
      </c>
      <c r="BC1498" s="1">
        <v>0.0</v>
      </c>
      <c r="BD1498" s="1">
        <v>251000.0</v>
      </c>
      <c r="BE1498" s="2">
        <v>42077.0</v>
      </c>
      <c r="BF1498" s="2" t="s">
        <v>15299</v>
      </c>
      <c r="BH1498" s="1">
        <v>0.0</v>
      </c>
      <c r="BK1498" s="1" t="s">
        <v>204</v>
      </c>
      <c r="BL1498" s="1" t="str">
        <f>"3730"</f>
        <v>3730</v>
      </c>
      <c r="BM1498" s="1" t="str">
        <f>"0"</f>
        <v>0</v>
      </c>
      <c r="BN1498" s="1">
        <v>8000.0</v>
      </c>
      <c r="BO1498" s="1">
        <v>0.0</v>
      </c>
      <c r="BQ1498" s="1">
        <v>299.0</v>
      </c>
      <c r="BR1498" s="1">
        <v>299.0</v>
      </c>
      <c r="BS1498" s="1">
        <v>299.0</v>
      </c>
      <c r="BU1498" s="1" t="s">
        <v>1183</v>
      </c>
      <c r="BV1498" s="1" t="s">
        <v>206</v>
      </c>
      <c r="BW1498" s="1" t="s">
        <v>210</v>
      </c>
      <c r="BX1498" s="1" t="s">
        <v>431</v>
      </c>
      <c r="BY1498" s="1" t="s">
        <v>303</v>
      </c>
      <c r="BZ1498" s="1" t="s">
        <v>206</v>
      </c>
      <c r="CA1498" s="1" t="s">
        <v>210</v>
      </c>
      <c r="CD1498" s="1" t="s">
        <v>204</v>
      </c>
      <c r="CG1498" s="1" t="s">
        <v>1417</v>
      </c>
      <c r="CH1498" s="1" t="s">
        <v>209</v>
      </c>
      <c r="CI1498" s="1" t="s">
        <v>210</v>
      </c>
      <c r="CJ1498" s="1" t="s">
        <v>229</v>
      </c>
      <c r="CK1498" s="1" t="s">
        <v>495</v>
      </c>
      <c r="CL1498" s="1" t="s">
        <v>209</v>
      </c>
      <c r="CM1498" s="1" t="s">
        <v>210</v>
      </c>
      <c r="CN1498" s="1" t="s">
        <v>229</v>
      </c>
      <c r="CO1498" s="1" t="s">
        <v>1395</v>
      </c>
      <c r="CP1498" s="1" t="s">
        <v>42</v>
      </c>
      <c r="CQ1498" s="1" t="s">
        <v>210</v>
      </c>
      <c r="CR1498" s="1" t="s">
        <v>1549</v>
      </c>
      <c r="CS1498" s="1" t="s">
        <v>302</v>
      </c>
      <c r="CT1498" s="1" t="s">
        <v>206</v>
      </c>
      <c r="CU1498" s="1" t="s">
        <v>617</v>
      </c>
      <c r="CV1498" s="1" t="s">
        <v>1549</v>
      </c>
      <c r="CW1498" s="1" t="s">
        <v>1395</v>
      </c>
      <c r="CX1498" s="1" t="s">
        <v>42</v>
      </c>
      <c r="CY1498" s="1" t="s">
        <v>210</v>
      </c>
      <c r="CZ1498" s="1" t="s">
        <v>229</v>
      </c>
      <c r="DA1498" s="1" t="s">
        <v>200</v>
      </c>
      <c r="DC1498" s="1" t="s">
        <v>305</v>
      </c>
      <c r="DD1498" s="1" t="s">
        <v>518</v>
      </c>
      <c r="DE1498" s="1" t="s">
        <v>273</v>
      </c>
      <c r="DF1498" s="1" t="s">
        <v>219</v>
      </c>
      <c r="DG1498" s="1" t="s">
        <v>7166</v>
      </c>
      <c r="DH1498" s="1" t="s">
        <v>365</v>
      </c>
      <c r="DI1498" s="1" t="s">
        <v>703</v>
      </c>
      <c r="DJ1498" s="1" t="s">
        <v>1048</v>
      </c>
      <c r="DK1498" s="1" t="s">
        <v>1380</v>
      </c>
      <c r="DL1498" s="1" t="s">
        <v>15300</v>
      </c>
      <c r="DM1498" s="1" t="s">
        <v>229</v>
      </c>
      <c r="DN1498" s="1" t="s">
        <v>1486</v>
      </c>
      <c r="DO1498" s="1" t="s">
        <v>549</v>
      </c>
      <c r="DQ1498" s="1" t="s">
        <v>228</v>
      </c>
      <c r="DR1498" s="1" t="s">
        <v>229</v>
      </c>
      <c r="DS1498" s="1" t="s">
        <v>401</v>
      </c>
      <c r="DU1498" s="1" t="s">
        <v>1049</v>
      </c>
      <c r="DV1498" s="1" t="s">
        <v>15301</v>
      </c>
      <c r="DW1498" s="1" t="s">
        <v>279</v>
      </c>
      <c r="DX1498" s="1" t="s">
        <v>309</v>
      </c>
      <c r="DY1498" s="1" t="s">
        <v>553</v>
      </c>
      <c r="DZ1498" s="1" t="s">
        <v>282</v>
      </c>
      <c r="EA1498" s="1" t="s">
        <v>1075</v>
      </c>
      <c r="EC1498" s="1" t="s">
        <v>645</v>
      </c>
      <c r="ED1498" s="1" t="s">
        <v>5333</v>
      </c>
      <c r="EE1498" s="1" t="s">
        <v>493</v>
      </c>
      <c r="EG1498" s="1" t="s">
        <v>1270</v>
      </c>
      <c r="EH1498" s="1" t="s">
        <v>449</v>
      </c>
      <c r="EI1498" s="1" t="s">
        <v>449</v>
      </c>
      <c r="EL1498" s="1" t="s">
        <v>3307</v>
      </c>
      <c r="EM1498" s="1" t="s">
        <v>42</v>
      </c>
      <c r="EP1498" s="1" t="s">
        <v>302</v>
      </c>
      <c r="EQ1498" s="1" t="s">
        <v>206</v>
      </c>
      <c r="ER1498" s="1" t="s">
        <v>617</v>
      </c>
      <c r="ET1498" s="1" t="s">
        <v>302</v>
      </c>
      <c r="EU1498" s="1" t="s">
        <v>206</v>
      </c>
      <c r="EV1498" s="1" t="s">
        <v>617</v>
      </c>
      <c r="EY1498" s="1" t="s">
        <v>238</v>
      </c>
      <c r="FC1498" s="1" t="s">
        <v>238</v>
      </c>
      <c r="FF1498" s="1" t="s">
        <v>239</v>
      </c>
      <c r="FG1498" s="1" t="s">
        <v>192</v>
      </c>
      <c r="FH1498" s="1" t="s">
        <v>192</v>
      </c>
      <c r="FJ1498" s="1" t="s">
        <v>498</v>
      </c>
      <c r="FK1498" s="1" t="s">
        <v>348</v>
      </c>
      <c r="FL1498" s="1" t="s">
        <v>1249</v>
      </c>
      <c r="FM1498" s="1">
        <v>20150.0</v>
      </c>
      <c r="FN1498" s="1" t="s">
        <v>1250</v>
      </c>
      <c r="FO1498" s="1" t="s">
        <v>15302</v>
      </c>
      <c r="FP1498" s="1">
        <v>244895.0</v>
      </c>
      <c r="FQ1498" s="1" t="s">
        <v>15303</v>
      </c>
      <c r="FS1498" s="1" t="s">
        <v>15304</v>
      </c>
      <c r="FT1498" s="1" t="s">
        <v>15305</v>
      </c>
      <c r="FU1498" s="1" t="s">
        <v>15306</v>
      </c>
      <c r="FV1498" s="1" t="s">
        <v>200</v>
      </c>
      <c r="FW1498" s="1" t="s">
        <v>290</v>
      </c>
      <c r="FX1498" s="1" t="s">
        <v>238</v>
      </c>
      <c r="FZ1498" s="1" t="s">
        <v>632</v>
      </c>
      <c r="GA1498" s="1" t="s">
        <v>291</v>
      </c>
      <c r="GB1498" s="2">
        <v>42123.0</v>
      </c>
      <c r="GC1498" s="1" t="s">
        <v>15307</v>
      </c>
    </row>
    <row r="1499">
      <c r="A1499" s="1">
        <v>163500.0</v>
      </c>
      <c r="B1499" s="1" t="s">
        <v>185</v>
      </c>
      <c r="C1499" s="1" t="str">
        <f>"08863156"</f>
        <v>08863156</v>
      </c>
      <c r="D1499" s="1" t="s">
        <v>186</v>
      </c>
      <c r="F1499" s="1" t="str">
        <f>"8048"</f>
        <v>8048</v>
      </c>
      <c r="G1499" s="2">
        <v>42079.0</v>
      </c>
      <c r="H1499" s="1">
        <v>165900.0</v>
      </c>
      <c r="I1499" s="1">
        <v>30.0</v>
      </c>
      <c r="J1499" s="1">
        <v>165900.0</v>
      </c>
      <c r="K1499" s="2">
        <v>42108.0</v>
      </c>
      <c r="L1499" s="1">
        <v>30.0</v>
      </c>
      <c r="M1499" s="2">
        <v>42108.0</v>
      </c>
      <c r="N1499" s="1" t="s">
        <v>187</v>
      </c>
      <c r="O1499" s="2">
        <v>42144.0</v>
      </c>
      <c r="P1499" s="1">
        <v>153680.0</v>
      </c>
      <c r="Q1499" s="1">
        <v>10115.0</v>
      </c>
      <c r="R1499" s="1">
        <v>3.0</v>
      </c>
      <c r="S1499" s="1">
        <v>1739.0</v>
      </c>
      <c r="T1499" s="1" t="s">
        <v>7001</v>
      </c>
      <c r="U1499" s="1" t="s">
        <v>320</v>
      </c>
      <c r="V1499" s="1" t="s">
        <v>190</v>
      </c>
      <c r="W1499" s="1">
        <v>60617.0</v>
      </c>
      <c r="Y1499" s="1" t="s">
        <v>15308</v>
      </c>
      <c r="Z1499" s="1">
        <v>1955.0</v>
      </c>
      <c r="AA1499" s="1" t="s">
        <v>192</v>
      </c>
      <c r="AB1499" s="1" t="s">
        <v>193</v>
      </c>
      <c r="AD1499" s="1" t="s">
        <v>194</v>
      </c>
      <c r="AE1499" s="1" t="s">
        <v>195</v>
      </c>
      <c r="AF1499" s="1" t="s">
        <v>637</v>
      </c>
      <c r="AH1499" s="1" t="s">
        <v>359</v>
      </c>
      <c r="AI1499" s="1">
        <v>0.0976</v>
      </c>
      <c r="AK1499" s="1">
        <v>8.0</v>
      </c>
      <c r="AL1499" s="1">
        <v>3.0</v>
      </c>
      <c r="AM1499" s="1">
        <v>2.0</v>
      </c>
      <c r="AN1499" s="1">
        <v>0.0</v>
      </c>
      <c r="AO1499" s="1" t="s">
        <v>229</v>
      </c>
      <c r="AQ1499" s="1" t="s">
        <v>198</v>
      </c>
      <c r="AR1499" s="1" t="s">
        <v>192</v>
      </c>
      <c r="AS1499" s="1" t="s">
        <v>199</v>
      </c>
      <c r="AT1499" s="1">
        <v>2.0</v>
      </c>
      <c r="AV1499" s="1" t="s">
        <v>200</v>
      </c>
      <c r="AW1499" s="1">
        <v>2197.8</v>
      </c>
      <c r="AX1499" s="1">
        <v>2013.0</v>
      </c>
      <c r="AZ1499" s="1" t="s">
        <v>200</v>
      </c>
      <c r="BA1499" s="1" t="str">
        <f>"25013190250000"</f>
        <v>25013190250000</v>
      </c>
      <c r="BC1499" s="1">
        <v>1200.0</v>
      </c>
      <c r="BD1499" s="1">
        <v>163500.0</v>
      </c>
      <c r="BE1499" s="2">
        <v>42079.0</v>
      </c>
      <c r="BF1499" s="2" t="s">
        <v>15309</v>
      </c>
      <c r="BH1499" s="1">
        <v>0.0</v>
      </c>
      <c r="BK1499" s="1" t="s">
        <v>204</v>
      </c>
      <c r="BL1499" s="1" t="str">
        <f>"0"</f>
        <v>0</v>
      </c>
      <c r="BM1499" s="1" t="str">
        <f>"1800"</f>
        <v>1800</v>
      </c>
      <c r="BN1499" s="1">
        <v>0.0</v>
      </c>
      <c r="BO1499" s="1">
        <v>9300.0</v>
      </c>
      <c r="BQ1499" s="1">
        <v>299.0</v>
      </c>
      <c r="BR1499" s="1">
        <v>299.0</v>
      </c>
      <c r="BS1499" s="1">
        <v>299.0</v>
      </c>
      <c r="BU1499" s="1" t="s">
        <v>1158</v>
      </c>
      <c r="BV1499" s="1" t="s">
        <v>206</v>
      </c>
      <c r="BY1499" s="1" t="s">
        <v>495</v>
      </c>
      <c r="BZ1499" s="1" t="s">
        <v>206</v>
      </c>
      <c r="CA1499" s="1" t="s">
        <v>207</v>
      </c>
      <c r="CD1499" s="1" t="s">
        <v>204</v>
      </c>
      <c r="CG1499" s="1" t="s">
        <v>495</v>
      </c>
      <c r="CH1499" s="1" t="s">
        <v>206</v>
      </c>
      <c r="CI1499" s="1" t="s">
        <v>207</v>
      </c>
      <c r="CK1499" s="1" t="s">
        <v>269</v>
      </c>
      <c r="CL1499" s="1" t="s">
        <v>206</v>
      </c>
      <c r="CM1499" s="1" t="s">
        <v>207</v>
      </c>
      <c r="CO1499" s="1" t="s">
        <v>264</v>
      </c>
      <c r="CP1499" s="1" t="s">
        <v>42</v>
      </c>
      <c r="CQ1499" s="1" t="s">
        <v>268</v>
      </c>
      <c r="CS1499" s="1" t="s">
        <v>1875</v>
      </c>
      <c r="CT1499" s="1" t="s">
        <v>206</v>
      </c>
      <c r="CW1499" s="1" t="s">
        <v>4063</v>
      </c>
      <c r="CX1499" s="1" t="s">
        <v>42</v>
      </c>
      <c r="CY1499" s="1" t="s">
        <v>268</v>
      </c>
      <c r="DA1499" s="1" t="s">
        <v>200</v>
      </c>
      <c r="DC1499" s="1" t="s">
        <v>271</v>
      </c>
      <c r="DE1499" s="1" t="s">
        <v>273</v>
      </c>
      <c r="DF1499" s="1" t="s">
        <v>219</v>
      </c>
      <c r="DH1499" s="1" t="s">
        <v>307</v>
      </c>
      <c r="DI1499" s="1" t="s">
        <v>366</v>
      </c>
      <c r="DJ1499" s="1" t="s">
        <v>222</v>
      </c>
      <c r="DL1499" s="1" t="s">
        <v>224</v>
      </c>
      <c r="DM1499" s="1" t="s">
        <v>229</v>
      </c>
      <c r="DQ1499" s="1" t="s">
        <v>228</v>
      </c>
      <c r="DR1499" s="1" t="s">
        <v>229</v>
      </c>
      <c r="DS1499" s="1" t="s">
        <v>230</v>
      </c>
      <c r="DV1499" s="1" t="s">
        <v>598</v>
      </c>
      <c r="DW1499" s="1" t="s">
        <v>279</v>
      </c>
      <c r="DX1499" s="1" t="s">
        <v>234</v>
      </c>
      <c r="DY1499" s="1" t="s">
        <v>553</v>
      </c>
      <c r="EA1499" s="1" t="s">
        <v>683</v>
      </c>
      <c r="EC1499" s="1" t="s">
        <v>311</v>
      </c>
      <c r="EE1499" s="1" t="s">
        <v>493</v>
      </c>
      <c r="EG1499" s="1" t="s">
        <v>598</v>
      </c>
      <c r="EL1499" s="1" t="s">
        <v>2072</v>
      </c>
      <c r="EM1499" s="1" t="s">
        <v>42</v>
      </c>
      <c r="EN1499" s="1" t="s">
        <v>268</v>
      </c>
      <c r="EQ1499" s="1" t="s">
        <v>238</v>
      </c>
      <c r="EU1499" s="1" t="s">
        <v>238</v>
      </c>
      <c r="EY1499" s="1" t="s">
        <v>238</v>
      </c>
      <c r="FC1499" s="1" t="s">
        <v>238</v>
      </c>
      <c r="FF1499" s="1" t="s">
        <v>239</v>
      </c>
      <c r="FG1499" s="1" t="s">
        <v>192</v>
      </c>
      <c r="FH1499" s="1" t="s">
        <v>192</v>
      </c>
      <c r="FJ1499" s="1" t="s">
        <v>648</v>
      </c>
      <c r="FK1499" s="1" t="s">
        <v>229</v>
      </c>
      <c r="FL1499" s="1" t="s">
        <v>649</v>
      </c>
      <c r="FM1499" s="1">
        <v>60296.0</v>
      </c>
      <c r="FN1499" s="1" t="s">
        <v>650</v>
      </c>
      <c r="FO1499" s="1" t="s">
        <v>651</v>
      </c>
      <c r="FP1499" s="1">
        <v>602837.0</v>
      </c>
      <c r="FQ1499" s="1" t="s">
        <v>652</v>
      </c>
      <c r="FR1499" s="1">
        <v>602442.0</v>
      </c>
      <c r="FU1499" s="1" t="s">
        <v>653</v>
      </c>
      <c r="FV1499" s="1" t="s">
        <v>200</v>
      </c>
      <c r="FW1499" s="1" t="s">
        <v>654</v>
      </c>
      <c r="FX1499" s="1" t="s">
        <v>1739</v>
      </c>
      <c r="FZ1499" s="1" t="s">
        <v>229</v>
      </c>
      <c r="GA1499" s="1" t="s">
        <v>291</v>
      </c>
      <c r="GB1499" s="2">
        <v>42145.0</v>
      </c>
      <c r="GC1499" s="1" t="s">
        <v>1372</v>
      </c>
    </row>
    <row r="1500">
      <c r="A1500" s="1">
        <v>344000.0</v>
      </c>
      <c r="B1500" s="1" t="s">
        <v>185</v>
      </c>
      <c r="C1500" s="1" t="str">
        <f>"08863088"</f>
        <v>08863088</v>
      </c>
      <c r="D1500" s="1" t="s">
        <v>186</v>
      </c>
      <c r="F1500" s="1" t="str">
        <f>"8015"</f>
        <v>8015</v>
      </c>
      <c r="G1500" s="2">
        <v>42079.0</v>
      </c>
      <c r="H1500" s="1">
        <v>349900.0</v>
      </c>
      <c r="I1500" s="1">
        <v>4.0</v>
      </c>
      <c r="J1500" s="1">
        <v>349900.0</v>
      </c>
      <c r="K1500" s="2">
        <v>42082.0</v>
      </c>
      <c r="L1500" s="1">
        <v>4.0</v>
      </c>
      <c r="M1500" s="2">
        <v>42082.0</v>
      </c>
      <c r="N1500" s="1" t="s">
        <v>187</v>
      </c>
      <c r="O1500" s="2">
        <v>42122.0</v>
      </c>
      <c r="P1500" s="1">
        <v>107713.0</v>
      </c>
      <c r="Q1500" s="1">
        <v>84729.0</v>
      </c>
      <c r="S1500" s="1">
        <v>5726.0</v>
      </c>
      <c r="T1500" s="1" t="s">
        <v>11689</v>
      </c>
      <c r="U1500" s="1" t="s">
        <v>189</v>
      </c>
      <c r="V1500" s="1" t="s">
        <v>190</v>
      </c>
      <c r="W1500" s="1">
        <v>60634.0</v>
      </c>
      <c r="Y1500" s="1" t="s">
        <v>15310</v>
      </c>
      <c r="Z1500" s="1">
        <v>1921.0</v>
      </c>
      <c r="AA1500" s="1" t="s">
        <v>192</v>
      </c>
      <c r="AB1500" s="1" t="s">
        <v>193</v>
      </c>
      <c r="AD1500" s="1" t="s">
        <v>194</v>
      </c>
      <c r="AE1500" s="1" t="s">
        <v>195</v>
      </c>
      <c r="AF1500" s="1" t="s">
        <v>196</v>
      </c>
      <c r="AH1500" s="1" t="s">
        <v>359</v>
      </c>
      <c r="AI1500" s="1">
        <v>0.0932</v>
      </c>
      <c r="AK1500" s="1">
        <v>7.0</v>
      </c>
      <c r="AL1500" s="1">
        <v>4.0</v>
      </c>
      <c r="AM1500" s="1">
        <v>3.0</v>
      </c>
      <c r="AN1500" s="1">
        <v>0.0</v>
      </c>
      <c r="AO1500" s="1" t="s">
        <v>198</v>
      </c>
      <c r="AQ1500" s="1" t="s">
        <v>198</v>
      </c>
      <c r="AR1500" s="1" t="s">
        <v>192</v>
      </c>
      <c r="AS1500" s="1" t="s">
        <v>199</v>
      </c>
      <c r="AT1500" s="1">
        <v>2.0</v>
      </c>
      <c r="AV1500" s="1" t="s">
        <v>200</v>
      </c>
      <c r="AW1500" s="1">
        <v>3335.52</v>
      </c>
      <c r="AX1500" s="1">
        <v>2013.0</v>
      </c>
      <c r="AZ1500" s="1" t="s">
        <v>200</v>
      </c>
      <c r="BA1500" s="1" t="str">
        <f>"13202220260000"</f>
        <v>13202220260000</v>
      </c>
      <c r="BC1500" s="1">
        <v>0.0</v>
      </c>
      <c r="BD1500" s="1">
        <v>344000.0</v>
      </c>
      <c r="BE1500" s="2">
        <v>42079.0</v>
      </c>
      <c r="BF1500" s="2" t="s">
        <v>15311</v>
      </c>
      <c r="BH1500" s="1">
        <v>0.0</v>
      </c>
      <c r="BK1500" s="1" t="s">
        <v>204</v>
      </c>
      <c r="BL1500" s="1" t="str">
        <f>"3850"</f>
        <v>3850</v>
      </c>
      <c r="BM1500" s="1" t="str">
        <f>"0"</f>
        <v>0</v>
      </c>
      <c r="BN1500" s="1">
        <v>5726.0</v>
      </c>
      <c r="BO1500" s="1">
        <v>0.0</v>
      </c>
      <c r="BQ1500" s="1">
        <v>299.0</v>
      </c>
      <c r="BR1500" s="1">
        <v>299.0</v>
      </c>
      <c r="BS1500" s="1">
        <v>299.0</v>
      </c>
      <c r="BU1500" s="1" t="s">
        <v>11291</v>
      </c>
      <c r="BV1500" s="1" t="s">
        <v>206</v>
      </c>
      <c r="BW1500" s="1" t="s">
        <v>207</v>
      </c>
      <c r="BY1500" s="1" t="s">
        <v>208</v>
      </c>
      <c r="BZ1500" s="1" t="s">
        <v>209</v>
      </c>
      <c r="CC1500" s="1" t="s">
        <v>542</v>
      </c>
      <c r="CD1500" s="1" t="s">
        <v>206</v>
      </c>
      <c r="CG1500" s="1" t="s">
        <v>1418</v>
      </c>
      <c r="CH1500" s="1" t="s">
        <v>209</v>
      </c>
      <c r="CK1500" s="1" t="s">
        <v>663</v>
      </c>
      <c r="CL1500" s="1" t="s">
        <v>206</v>
      </c>
      <c r="CO1500" s="1" t="s">
        <v>303</v>
      </c>
      <c r="CP1500" s="1" t="s">
        <v>206</v>
      </c>
      <c r="CS1500" s="1" t="s">
        <v>1158</v>
      </c>
      <c r="CT1500" s="1" t="s">
        <v>206</v>
      </c>
      <c r="CX1500" s="1" t="s">
        <v>204</v>
      </c>
      <c r="DA1500" s="1" t="s">
        <v>200</v>
      </c>
      <c r="DC1500" s="1" t="s">
        <v>216</v>
      </c>
      <c r="DE1500" s="1" t="s">
        <v>273</v>
      </c>
      <c r="DF1500" s="1" t="s">
        <v>219</v>
      </c>
      <c r="DH1500" s="1" t="s">
        <v>365</v>
      </c>
      <c r="DJ1500" s="1" t="s">
        <v>222</v>
      </c>
      <c r="DL1500" s="1" t="s">
        <v>224</v>
      </c>
      <c r="DM1500" s="1" t="s">
        <v>229</v>
      </c>
      <c r="DQ1500" s="1" t="s">
        <v>228</v>
      </c>
      <c r="DR1500" s="1" t="s">
        <v>229</v>
      </c>
      <c r="DV1500" s="1" t="s">
        <v>588</v>
      </c>
      <c r="DW1500" s="1" t="s">
        <v>667</v>
      </c>
      <c r="DX1500" s="1" t="s">
        <v>234</v>
      </c>
      <c r="EC1500" s="1" t="s">
        <v>237</v>
      </c>
      <c r="EG1500" s="1" t="s">
        <v>588</v>
      </c>
      <c r="EL1500" s="1" t="s">
        <v>269</v>
      </c>
      <c r="EM1500" s="1" t="s">
        <v>206</v>
      </c>
      <c r="EQ1500" s="1" t="s">
        <v>238</v>
      </c>
      <c r="EU1500" s="1" t="s">
        <v>238</v>
      </c>
      <c r="EY1500" s="1" t="s">
        <v>238</v>
      </c>
      <c r="FC1500" s="1" t="s">
        <v>238</v>
      </c>
      <c r="FF1500" s="1" t="s">
        <v>239</v>
      </c>
      <c r="FG1500" s="1" t="s">
        <v>192</v>
      </c>
      <c r="FH1500" s="1" t="s">
        <v>192</v>
      </c>
      <c r="FJ1500" s="1" t="s">
        <v>799</v>
      </c>
      <c r="FK1500" s="1" t="s">
        <v>229</v>
      </c>
      <c r="FL1500" s="1" t="s">
        <v>562</v>
      </c>
      <c r="FM1500" s="1">
        <v>84025.0</v>
      </c>
      <c r="FN1500" s="1" t="s">
        <v>2509</v>
      </c>
      <c r="FO1500" s="1" t="s">
        <v>12696</v>
      </c>
      <c r="FP1500" s="1">
        <v>146501.0</v>
      </c>
      <c r="FQ1500" s="1" t="s">
        <v>12697</v>
      </c>
      <c r="FR1500" s="1">
        <v>166792.0</v>
      </c>
      <c r="FU1500" s="1" t="s">
        <v>15312</v>
      </c>
      <c r="FV1500" s="1" t="s">
        <v>192</v>
      </c>
      <c r="FW1500" s="1" t="s">
        <v>290</v>
      </c>
      <c r="FX1500" s="1" t="s">
        <v>246</v>
      </c>
      <c r="FZ1500" s="1" t="s">
        <v>229</v>
      </c>
      <c r="GA1500" s="1" t="s">
        <v>291</v>
      </c>
      <c r="GB1500" s="2">
        <v>42122.0</v>
      </c>
      <c r="GC1500" s="1" t="s">
        <v>15313</v>
      </c>
    </row>
    <row r="1501">
      <c r="A1501" s="1">
        <v>300000.0</v>
      </c>
      <c r="B1501" s="1" t="s">
        <v>185</v>
      </c>
      <c r="C1501" s="1" t="str">
        <f>"08866838"</f>
        <v>08866838</v>
      </c>
      <c r="D1501" s="1" t="s">
        <v>186</v>
      </c>
      <c r="F1501" s="1" t="str">
        <f>"543"</f>
        <v>543</v>
      </c>
      <c r="G1501" s="2">
        <v>42082.0</v>
      </c>
      <c r="H1501" s="1">
        <v>309900.0</v>
      </c>
      <c r="I1501" s="1">
        <v>5.0</v>
      </c>
      <c r="J1501" s="1">
        <v>309900.0</v>
      </c>
      <c r="K1501" s="2">
        <v>42086.0</v>
      </c>
      <c r="L1501" s="1">
        <v>5.0</v>
      </c>
      <c r="M1501" s="2">
        <v>42086.0</v>
      </c>
      <c r="N1501" s="1" t="s">
        <v>187</v>
      </c>
      <c r="O1501" s="2">
        <v>42118.0</v>
      </c>
      <c r="P1501" s="1">
        <v>233813.0</v>
      </c>
      <c r="Q1501" s="1">
        <v>23076.0</v>
      </c>
      <c r="S1501" s="1">
        <v>184.0</v>
      </c>
      <c r="T1501" s="1" t="s">
        <v>12163</v>
      </c>
      <c r="U1501" s="1" t="s">
        <v>844</v>
      </c>
      <c r="V1501" s="1" t="s">
        <v>1527</v>
      </c>
      <c r="W1501" s="1">
        <v>60543.0</v>
      </c>
      <c r="Y1501" s="1" t="s">
        <v>15314</v>
      </c>
      <c r="Z1501" s="1">
        <v>2011.0</v>
      </c>
      <c r="AA1501" s="1" t="s">
        <v>200</v>
      </c>
      <c r="AB1501" s="1" t="s">
        <v>467</v>
      </c>
      <c r="AC1501" s="1" t="s">
        <v>15315</v>
      </c>
      <c r="AD1501" s="1" t="s">
        <v>1529</v>
      </c>
      <c r="AE1501" s="1" t="s">
        <v>849</v>
      </c>
      <c r="AF1501" s="1" t="s">
        <v>1529</v>
      </c>
      <c r="AH1501" s="1" t="s">
        <v>15316</v>
      </c>
      <c r="AI1501" s="1">
        <v>0.2366</v>
      </c>
      <c r="AK1501" s="1">
        <v>9.0</v>
      </c>
      <c r="AL1501" s="1">
        <v>4.0</v>
      </c>
      <c r="AM1501" s="1">
        <v>2.0</v>
      </c>
      <c r="AN1501" s="1">
        <v>1.0</v>
      </c>
      <c r="AO1501" s="1" t="s">
        <v>198</v>
      </c>
      <c r="AP1501" s="1">
        <v>1.0</v>
      </c>
      <c r="AQ1501" s="1" t="s">
        <v>198</v>
      </c>
      <c r="AR1501" s="1" t="s">
        <v>200</v>
      </c>
      <c r="AS1501" s="1" t="s">
        <v>199</v>
      </c>
      <c r="AT1501" s="1">
        <v>2.0</v>
      </c>
      <c r="AV1501" s="1" t="s">
        <v>200</v>
      </c>
      <c r="AW1501" s="1">
        <v>11213.29</v>
      </c>
      <c r="AX1501" s="1">
        <v>2013.0</v>
      </c>
      <c r="AZ1501" s="1" t="s">
        <v>200</v>
      </c>
      <c r="BA1501" s="1" t="str">
        <f>"0312353019"</f>
        <v>0312353019</v>
      </c>
      <c r="BC1501" s="1">
        <v>3350.0</v>
      </c>
      <c r="BD1501" s="1">
        <v>300000.0</v>
      </c>
      <c r="BE1501" s="2">
        <v>42082.0</v>
      </c>
      <c r="BF1501" s="2" t="s">
        <v>15317</v>
      </c>
      <c r="BH1501" s="1">
        <v>460.0</v>
      </c>
      <c r="BK1501" s="1" t="s">
        <v>580</v>
      </c>
      <c r="BL1501" s="1" t="str">
        <f t="shared" ref="BL1501:BM1501" si="986">""</f>
        <v/>
      </c>
      <c r="BM1501" s="1" t="str">
        <f t="shared" si="986"/>
        <v/>
      </c>
      <c r="BQ1501" s="1">
        <v>308.0</v>
      </c>
      <c r="BR1501" s="1">
        <v>308.0</v>
      </c>
      <c r="BS1501" s="1">
        <v>308.0</v>
      </c>
      <c r="BU1501" s="1" t="s">
        <v>1483</v>
      </c>
      <c r="BV1501" s="1" t="s">
        <v>206</v>
      </c>
      <c r="BW1501" s="1" t="s">
        <v>210</v>
      </c>
      <c r="BX1501" s="1" t="s">
        <v>1118</v>
      </c>
      <c r="BY1501" s="1" t="s">
        <v>1534</v>
      </c>
      <c r="BZ1501" s="1" t="s">
        <v>209</v>
      </c>
      <c r="CA1501" s="1" t="s">
        <v>210</v>
      </c>
      <c r="CC1501" s="1" t="s">
        <v>924</v>
      </c>
      <c r="CD1501" s="1" t="s">
        <v>206</v>
      </c>
      <c r="CE1501" s="1" t="s">
        <v>210</v>
      </c>
      <c r="CG1501" s="1" t="s">
        <v>215</v>
      </c>
      <c r="CH1501" s="1" t="s">
        <v>209</v>
      </c>
      <c r="CI1501" s="1" t="s">
        <v>210</v>
      </c>
      <c r="CK1501" s="1" t="s">
        <v>215</v>
      </c>
      <c r="CL1501" s="1" t="s">
        <v>209</v>
      </c>
      <c r="CO1501" s="1" t="s">
        <v>215</v>
      </c>
      <c r="CP1501" s="1" t="s">
        <v>209</v>
      </c>
      <c r="CQ1501" s="1" t="s">
        <v>210</v>
      </c>
      <c r="CS1501" s="1" t="s">
        <v>1244</v>
      </c>
      <c r="CT1501" s="1" t="s">
        <v>206</v>
      </c>
      <c r="CU1501" s="1" t="s">
        <v>207</v>
      </c>
      <c r="CW1501" s="1" t="s">
        <v>211</v>
      </c>
      <c r="CX1501" s="1" t="s">
        <v>206</v>
      </c>
      <c r="CY1501" s="1" t="s">
        <v>210</v>
      </c>
      <c r="DA1501" s="1" t="s">
        <v>200</v>
      </c>
      <c r="DC1501" s="1" t="s">
        <v>1046</v>
      </c>
      <c r="DE1501" s="1" t="s">
        <v>273</v>
      </c>
      <c r="DF1501" s="1" t="s">
        <v>219</v>
      </c>
      <c r="DH1501" s="1" t="s">
        <v>220</v>
      </c>
      <c r="DJ1501" s="1" t="s">
        <v>222</v>
      </c>
      <c r="DK1501" s="1" t="s">
        <v>3740</v>
      </c>
      <c r="DL1501" s="1" t="s">
        <v>484</v>
      </c>
      <c r="DM1501" s="1" t="s">
        <v>338</v>
      </c>
      <c r="DN1501" s="1" t="s">
        <v>1659</v>
      </c>
      <c r="DO1501" s="1" t="s">
        <v>5000</v>
      </c>
      <c r="DQ1501" s="1" t="s">
        <v>228</v>
      </c>
      <c r="DR1501" s="1" t="s">
        <v>229</v>
      </c>
      <c r="DV1501" s="1" t="s">
        <v>5014</v>
      </c>
      <c r="DW1501" s="1" t="s">
        <v>444</v>
      </c>
      <c r="DX1501" s="1" t="s">
        <v>234</v>
      </c>
      <c r="EB1501" s="1" t="s">
        <v>684</v>
      </c>
      <c r="EC1501" s="1" t="s">
        <v>237</v>
      </c>
      <c r="EG1501" s="1" t="s">
        <v>494</v>
      </c>
      <c r="EH1501" s="1" t="s">
        <v>408</v>
      </c>
      <c r="EL1501" s="1" t="s">
        <v>211</v>
      </c>
      <c r="EM1501" s="1" t="s">
        <v>206</v>
      </c>
      <c r="EN1501" s="1" t="s">
        <v>210</v>
      </c>
      <c r="EP1501" s="1" t="s">
        <v>1745</v>
      </c>
      <c r="EQ1501" s="1" t="s">
        <v>206</v>
      </c>
      <c r="ER1501" s="1" t="s">
        <v>207</v>
      </c>
      <c r="EU1501" s="1" t="s">
        <v>238</v>
      </c>
      <c r="EY1501" s="1" t="s">
        <v>238</v>
      </c>
      <c r="FC1501" s="1" t="s">
        <v>238</v>
      </c>
      <c r="FF1501" s="1" t="s">
        <v>239</v>
      </c>
      <c r="FG1501" s="1" t="s">
        <v>192</v>
      </c>
      <c r="FH1501" s="1" t="s">
        <v>192</v>
      </c>
      <c r="FJ1501" s="1" t="s">
        <v>4181</v>
      </c>
      <c r="FK1501" s="1" t="s">
        <v>229</v>
      </c>
      <c r="FL1501" s="1" t="s">
        <v>1007</v>
      </c>
      <c r="FM1501" s="1">
        <v>72505.0</v>
      </c>
      <c r="FN1501" s="1" t="s">
        <v>5096</v>
      </c>
      <c r="FO1501" s="1" t="s">
        <v>15318</v>
      </c>
      <c r="FP1501" s="1">
        <v>705822.0</v>
      </c>
      <c r="FQ1501" s="1" t="s">
        <v>15319</v>
      </c>
      <c r="FU1501" s="1" t="s">
        <v>15320</v>
      </c>
      <c r="FV1501" s="1" t="s">
        <v>200</v>
      </c>
      <c r="FW1501" s="1" t="s">
        <v>1411</v>
      </c>
      <c r="FZ1501" s="1" t="s">
        <v>229</v>
      </c>
      <c r="GA1501" s="1" t="s">
        <v>291</v>
      </c>
      <c r="GB1501" s="2">
        <v>42119.0</v>
      </c>
    </row>
    <row r="1502">
      <c r="A1502" s="1">
        <v>899000.0</v>
      </c>
      <c r="B1502" s="1" t="s">
        <v>185</v>
      </c>
      <c r="C1502" s="1" t="str">
        <f>"08869327"</f>
        <v>08869327</v>
      </c>
      <c r="D1502" s="1" t="s">
        <v>186</v>
      </c>
      <c r="F1502" s="1" t="str">
        <f>"8005"</f>
        <v>8005</v>
      </c>
      <c r="G1502" s="2">
        <v>42086.0</v>
      </c>
      <c r="H1502" s="1">
        <v>899000.0</v>
      </c>
      <c r="I1502" s="1">
        <v>4.0</v>
      </c>
      <c r="J1502" s="1">
        <v>899000.0</v>
      </c>
      <c r="K1502" s="2">
        <v>42089.0</v>
      </c>
      <c r="L1502" s="1">
        <v>4.0</v>
      </c>
      <c r="M1502" s="2">
        <v>42089.0</v>
      </c>
      <c r="N1502" s="1" t="s">
        <v>187</v>
      </c>
      <c r="O1502" s="2">
        <v>42124.0</v>
      </c>
      <c r="P1502" s="1">
        <v>133475.0</v>
      </c>
      <c r="Q1502" s="1">
        <v>16379.0</v>
      </c>
      <c r="S1502" s="1">
        <v>1808.0</v>
      </c>
      <c r="T1502" s="1" t="s">
        <v>15321</v>
      </c>
      <c r="U1502" s="1" t="s">
        <v>320</v>
      </c>
      <c r="V1502" s="1" t="s">
        <v>190</v>
      </c>
      <c r="W1502" s="1">
        <v>60657.0</v>
      </c>
      <c r="Y1502" s="1" t="s">
        <v>15322</v>
      </c>
      <c r="Z1502" s="1" t="s">
        <v>296</v>
      </c>
      <c r="AA1502" s="1" t="s">
        <v>192</v>
      </c>
      <c r="AB1502" s="1" t="s">
        <v>193</v>
      </c>
      <c r="AD1502" s="1" t="s">
        <v>194</v>
      </c>
      <c r="AE1502" s="1" t="s">
        <v>195</v>
      </c>
      <c r="AF1502" s="1" t="s">
        <v>534</v>
      </c>
      <c r="AH1502" s="1" t="s">
        <v>15323</v>
      </c>
      <c r="AK1502" s="1">
        <v>8.0</v>
      </c>
      <c r="AL1502" s="1">
        <v>3.0</v>
      </c>
      <c r="AM1502" s="1">
        <v>3.0</v>
      </c>
      <c r="AN1502" s="1">
        <v>1.0</v>
      </c>
      <c r="AO1502" s="1" t="s">
        <v>198</v>
      </c>
      <c r="AP1502" s="1">
        <v>1.0</v>
      </c>
      <c r="AQ1502" s="1" t="s">
        <v>198</v>
      </c>
      <c r="AR1502" s="1" t="s">
        <v>192</v>
      </c>
      <c r="AS1502" s="1" t="s">
        <v>199</v>
      </c>
      <c r="AT1502" s="1">
        <v>2.0</v>
      </c>
      <c r="AV1502" s="1" t="s">
        <v>200</v>
      </c>
      <c r="AW1502" s="1">
        <v>10688.0</v>
      </c>
      <c r="AX1502" s="1">
        <v>2013.0</v>
      </c>
      <c r="AY1502" s="1" t="s">
        <v>387</v>
      </c>
      <c r="AZ1502" s="1" t="s">
        <v>200</v>
      </c>
      <c r="BA1502" s="1" t="str">
        <f>"14194280380000"</f>
        <v>14194280380000</v>
      </c>
      <c r="BB1502" s="1" t="s">
        <v>200</v>
      </c>
      <c r="BC1502" s="1">
        <v>0.0</v>
      </c>
      <c r="BD1502" s="1">
        <v>899000.0</v>
      </c>
      <c r="BE1502" s="2">
        <v>42086.0</v>
      </c>
      <c r="BF1502" s="2" t="s">
        <v>15324</v>
      </c>
      <c r="BH1502" s="1">
        <v>0.0</v>
      </c>
      <c r="BK1502" s="1" t="s">
        <v>204</v>
      </c>
      <c r="BL1502" s="1" t="str">
        <f>"3250"</f>
        <v>3250</v>
      </c>
      <c r="BM1502" s="1" t="str">
        <f>"0"</f>
        <v>0</v>
      </c>
      <c r="BN1502" s="1">
        <v>1808.0</v>
      </c>
      <c r="BO1502" s="1">
        <v>0.0</v>
      </c>
      <c r="BQ1502" s="1">
        <v>299.0</v>
      </c>
      <c r="BR1502" s="1">
        <v>299.0</v>
      </c>
      <c r="BS1502" s="1">
        <v>299.0</v>
      </c>
      <c r="BU1502" s="1" t="s">
        <v>7203</v>
      </c>
      <c r="BV1502" s="1" t="s">
        <v>206</v>
      </c>
      <c r="BY1502" s="1" t="s">
        <v>433</v>
      </c>
      <c r="BZ1502" s="1" t="s">
        <v>209</v>
      </c>
      <c r="CC1502" s="1" t="s">
        <v>542</v>
      </c>
      <c r="CD1502" s="1" t="s">
        <v>206</v>
      </c>
      <c r="CG1502" s="1" t="s">
        <v>647</v>
      </c>
      <c r="CH1502" s="1" t="s">
        <v>209</v>
      </c>
      <c r="CK1502" s="1" t="s">
        <v>264</v>
      </c>
      <c r="CL1502" s="1" t="s">
        <v>209</v>
      </c>
      <c r="CO1502" s="1" t="s">
        <v>11906</v>
      </c>
      <c r="CP1502" s="1" t="s">
        <v>42</v>
      </c>
      <c r="CS1502" s="1" t="s">
        <v>434</v>
      </c>
      <c r="CT1502" s="1" t="s">
        <v>206</v>
      </c>
      <c r="CW1502" s="1" t="s">
        <v>1117</v>
      </c>
      <c r="CX1502" s="1" t="s">
        <v>206</v>
      </c>
      <c r="DA1502" s="1" t="s">
        <v>200</v>
      </c>
      <c r="DC1502" s="1" t="s">
        <v>642</v>
      </c>
      <c r="DD1502" s="1" t="s">
        <v>731</v>
      </c>
      <c r="DE1502" s="1" t="s">
        <v>218</v>
      </c>
      <c r="DF1502" s="1" t="s">
        <v>219</v>
      </c>
      <c r="DH1502" s="1" t="s">
        <v>365</v>
      </c>
      <c r="DI1502" s="1" t="s">
        <v>15325</v>
      </c>
      <c r="DJ1502" s="1" t="s">
        <v>222</v>
      </c>
      <c r="DK1502" s="1" t="s">
        <v>3740</v>
      </c>
      <c r="DL1502" s="1" t="s">
        <v>224</v>
      </c>
      <c r="DM1502" s="1" t="s">
        <v>229</v>
      </c>
      <c r="DN1502" s="1" t="s">
        <v>367</v>
      </c>
      <c r="DP1502" s="1" t="s">
        <v>276</v>
      </c>
      <c r="DQ1502" s="1" t="s">
        <v>228</v>
      </c>
      <c r="DR1502" s="1" t="s">
        <v>229</v>
      </c>
      <c r="DS1502" s="1" t="s">
        <v>230</v>
      </c>
      <c r="DV1502" s="1" t="s">
        <v>409</v>
      </c>
      <c r="DW1502" s="1" t="s">
        <v>279</v>
      </c>
      <c r="DX1502" s="1" t="s">
        <v>234</v>
      </c>
      <c r="DY1502" s="1" t="s">
        <v>704</v>
      </c>
      <c r="EB1502" s="1" t="s">
        <v>937</v>
      </c>
      <c r="EC1502" s="1" t="s">
        <v>237</v>
      </c>
      <c r="ED1502" s="1" t="s">
        <v>555</v>
      </c>
      <c r="EG1502" s="1" t="s">
        <v>409</v>
      </c>
      <c r="EL1502" s="1" t="s">
        <v>15326</v>
      </c>
      <c r="EM1502" s="1" t="s">
        <v>209</v>
      </c>
      <c r="EQ1502" s="1" t="s">
        <v>238</v>
      </c>
      <c r="EU1502" s="1" t="s">
        <v>238</v>
      </c>
      <c r="EY1502" s="1" t="s">
        <v>238</v>
      </c>
      <c r="FC1502" s="1" t="s">
        <v>238</v>
      </c>
      <c r="FF1502" s="1" t="s">
        <v>239</v>
      </c>
      <c r="FG1502" s="1" t="s">
        <v>192</v>
      </c>
      <c r="FH1502" s="1" t="s">
        <v>192</v>
      </c>
      <c r="FJ1502" s="1" t="s">
        <v>15327</v>
      </c>
      <c r="FK1502" s="1" t="s">
        <v>229</v>
      </c>
      <c r="FL1502" s="1" t="s">
        <v>1358</v>
      </c>
      <c r="FM1502" s="1">
        <v>12198.0</v>
      </c>
      <c r="FN1502" s="1" t="s">
        <v>6165</v>
      </c>
      <c r="FO1502" s="1" t="s">
        <v>15328</v>
      </c>
      <c r="FP1502" s="1">
        <v>115412.0</v>
      </c>
      <c r="FQ1502" s="1" t="s">
        <v>15329</v>
      </c>
      <c r="FU1502" s="1" t="s">
        <v>15330</v>
      </c>
      <c r="FV1502" s="1" t="s">
        <v>200</v>
      </c>
      <c r="FW1502" s="1" t="s">
        <v>290</v>
      </c>
      <c r="FX1502" s="1" t="s">
        <v>246</v>
      </c>
      <c r="FZ1502" s="1" t="s">
        <v>229</v>
      </c>
      <c r="GA1502" s="1" t="s">
        <v>291</v>
      </c>
      <c r="GB1502" s="2">
        <v>42124.0</v>
      </c>
    </row>
    <row r="1503">
      <c r="A1503" s="1">
        <v>275000.0</v>
      </c>
      <c r="B1503" s="1" t="s">
        <v>185</v>
      </c>
      <c r="C1503" s="1" t="str">
        <f>"08869152"</f>
        <v>08869152</v>
      </c>
      <c r="D1503" s="1" t="s">
        <v>186</v>
      </c>
      <c r="F1503" s="1" t="str">
        <f>"123"</f>
        <v>123</v>
      </c>
      <c r="G1503" s="2">
        <v>42086.0</v>
      </c>
      <c r="H1503" s="1">
        <v>289900.0</v>
      </c>
      <c r="I1503" s="1">
        <v>549.0</v>
      </c>
      <c r="J1503" s="1">
        <v>289900.0</v>
      </c>
      <c r="K1503" s="2">
        <v>42086.0</v>
      </c>
      <c r="L1503" s="1">
        <v>1.0</v>
      </c>
      <c r="M1503" s="2">
        <v>42086.0</v>
      </c>
      <c r="N1503" s="1" t="s">
        <v>187</v>
      </c>
      <c r="O1503" s="2">
        <v>42090.0</v>
      </c>
      <c r="P1503" s="1">
        <v>381.0</v>
      </c>
      <c r="Q1503" s="1">
        <v>604.0</v>
      </c>
      <c r="S1503" s="1">
        <v>2264.0</v>
      </c>
      <c r="T1503" s="1" t="s">
        <v>15331</v>
      </c>
      <c r="U1503" s="1" t="s">
        <v>569</v>
      </c>
      <c r="V1503" s="1" t="s">
        <v>465</v>
      </c>
      <c r="W1503" s="1">
        <v>60123.0</v>
      </c>
      <c r="Y1503" s="1" t="s">
        <v>15332</v>
      </c>
      <c r="Z1503" s="1">
        <v>1977.0</v>
      </c>
      <c r="AA1503" s="1" t="s">
        <v>192</v>
      </c>
      <c r="AB1503" s="1" t="s">
        <v>193</v>
      </c>
      <c r="AC1503" s="1" t="s">
        <v>15333</v>
      </c>
      <c r="AD1503" s="1" t="s">
        <v>469</v>
      </c>
      <c r="AE1503" s="1" t="s">
        <v>325</v>
      </c>
      <c r="AF1503" s="1" t="s">
        <v>469</v>
      </c>
      <c r="AG1503" s="1" t="s">
        <v>15334</v>
      </c>
      <c r="AH1503" s="1" t="s">
        <v>15335</v>
      </c>
      <c r="AI1503" s="1">
        <v>0.2893</v>
      </c>
      <c r="AK1503" s="1">
        <v>9.0</v>
      </c>
      <c r="AL1503" s="1">
        <v>4.0</v>
      </c>
      <c r="AM1503" s="1">
        <v>4.0</v>
      </c>
      <c r="AN1503" s="1">
        <v>1.0</v>
      </c>
      <c r="AO1503" s="1" t="s">
        <v>198</v>
      </c>
      <c r="AP1503" s="1">
        <v>1.0</v>
      </c>
      <c r="AQ1503" s="1" t="s">
        <v>327</v>
      </c>
      <c r="AR1503" s="1" t="s">
        <v>192</v>
      </c>
      <c r="AS1503" s="1" t="s">
        <v>510</v>
      </c>
      <c r="AT1503" s="1">
        <v>2.5</v>
      </c>
      <c r="AU1503" s="1">
        <v>4.0</v>
      </c>
      <c r="AV1503" s="1" t="s">
        <v>200</v>
      </c>
      <c r="AW1503" s="1">
        <v>7740.0</v>
      </c>
      <c r="AX1503" s="1">
        <v>2013.0</v>
      </c>
      <c r="AY1503" s="1" t="s">
        <v>387</v>
      </c>
      <c r="AZ1503" s="1" t="s">
        <v>200</v>
      </c>
      <c r="BA1503" s="1" t="str">
        <f>"0616177015"</f>
        <v>0616177015</v>
      </c>
      <c r="BB1503" s="1" t="s">
        <v>200</v>
      </c>
      <c r="BC1503" s="1">
        <v>4000.0</v>
      </c>
      <c r="BD1503" s="1">
        <v>275000.0</v>
      </c>
      <c r="BE1503" s="2">
        <v>42086.0</v>
      </c>
      <c r="BF1503" s="2" t="s">
        <v>15336</v>
      </c>
      <c r="BH1503" s="1">
        <v>0.0</v>
      </c>
      <c r="BK1503" s="1" t="s">
        <v>204</v>
      </c>
      <c r="BL1503" s="1" t="str">
        <f>"11"</f>
        <v>11</v>
      </c>
      <c r="BM1503" s="1" t="str">
        <f>""</f>
        <v/>
      </c>
      <c r="BN1503" s="1">
        <v>36.0</v>
      </c>
      <c r="BQ1503" s="1">
        <v>46.0</v>
      </c>
      <c r="BR1503" s="1">
        <v>46.0</v>
      </c>
      <c r="BS1503" s="1">
        <v>46.0</v>
      </c>
      <c r="BU1503" s="1" t="s">
        <v>1809</v>
      </c>
      <c r="BV1503" s="1" t="s">
        <v>206</v>
      </c>
      <c r="BW1503" s="1" t="s">
        <v>207</v>
      </c>
      <c r="BX1503" s="1" t="s">
        <v>229</v>
      </c>
      <c r="BY1503" s="1" t="s">
        <v>544</v>
      </c>
      <c r="BZ1503" s="1" t="s">
        <v>209</v>
      </c>
      <c r="CA1503" s="1" t="s">
        <v>210</v>
      </c>
      <c r="CB1503" s="1" t="s">
        <v>431</v>
      </c>
      <c r="CC1503" s="1" t="s">
        <v>616</v>
      </c>
      <c r="CD1503" s="1" t="s">
        <v>206</v>
      </c>
      <c r="CE1503" s="1" t="s">
        <v>207</v>
      </c>
      <c r="CF1503" s="1" t="s">
        <v>229</v>
      </c>
      <c r="CG1503" s="1" t="s">
        <v>743</v>
      </c>
      <c r="CH1503" s="1" t="s">
        <v>209</v>
      </c>
      <c r="CI1503" s="1" t="s">
        <v>210</v>
      </c>
      <c r="CJ1503" s="1" t="s">
        <v>1118</v>
      </c>
      <c r="CK1503" s="1" t="s">
        <v>758</v>
      </c>
      <c r="CL1503" s="1" t="s">
        <v>209</v>
      </c>
      <c r="CM1503" s="1" t="s">
        <v>210</v>
      </c>
      <c r="CN1503" s="1" t="s">
        <v>229</v>
      </c>
      <c r="CO1503" s="1" t="s">
        <v>215</v>
      </c>
      <c r="CP1503" s="1" t="s">
        <v>209</v>
      </c>
      <c r="CQ1503" s="1" t="s">
        <v>210</v>
      </c>
      <c r="CR1503" s="1" t="s">
        <v>229</v>
      </c>
      <c r="CS1503" s="1" t="s">
        <v>434</v>
      </c>
      <c r="CT1503" s="1" t="s">
        <v>206</v>
      </c>
      <c r="CU1503" s="1" t="s">
        <v>268</v>
      </c>
      <c r="CV1503" s="1" t="s">
        <v>1118</v>
      </c>
      <c r="CW1503" s="1" t="s">
        <v>15337</v>
      </c>
      <c r="CX1503" s="1" t="s">
        <v>1697</v>
      </c>
      <c r="CY1503" s="1" t="s">
        <v>210</v>
      </c>
      <c r="CZ1503" s="1" t="s">
        <v>431</v>
      </c>
      <c r="DA1503" s="1" t="s">
        <v>200</v>
      </c>
      <c r="DC1503" s="1" t="s">
        <v>395</v>
      </c>
      <c r="DD1503" s="1" t="s">
        <v>8015</v>
      </c>
      <c r="DE1503" s="1" t="s">
        <v>1810</v>
      </c>
      <c r="DF1503" s="1" t="s">
        <v>1811</v>
      </c>
      <c r="DG1503" s="1" t="s">
        <v>337</v>
      </c>
      <c r="DH1503" s="1" t="s">
        <v>220</v>
      </c>
      <c r="DI1503" s="1" t="s">
        <v>221</v>
      </c>
      <c r="DJ1503" s="1" t="s">
        <v>1048</v>
      </c>
      <c r="DK1503" s="1" t="s">
        <v>223</v>
      </c>
      <c r="DL1503" s="1" t="s">
        <v>15338</v>
      </c>
      <c r="DM1503" s="1" t="s">
        <v>229</v>
      </c>
      <c r="DN1503" s="1" t="s">
        <v>399</v>
      </c>
      <c r="DO1503" s="1" t="s">
        <v>1556</v>
      </c>
      <c r="DP1503" s="1" t="s">
        <v>340</v>
      </c>
      <c r="DQ1503" s="1" t="s">
        <v>441</v>
      </c>
      <c r="DR1503" s="1" t="s">
        <v>229</v>
      </c>
      <c r="DS1503" s="1" t="s">
        <v>230</v>
      </c>
      <c r="DU1503" s="1" t="s">
        <v>4249</v>
      </c>
      <c r="DV1503" s="1" t="s">
        <v>15339</v>
      </c>
      <c r="DW1503" s="1" t="s">
        <v>964</v>
      </c>
      <c r="DX1503" s="1" t="s">
        <v>234</v>
      </c>
      <c r="DY1503" s="1" t="s">
        <v>1821</v>
      </c>
      <c r="DZ1503" s="1" t="s">
        <v>15340</v>
      </c>
      <c r="EA1503" s="1" t="s">
        <v>5604</v>
      </c>
      <c r="EB1503" s="1" t="s">
        <v>937</v>
      </c>
      <c r="EC1503" s="1" t="s">
        <v>4613</v>
      </c>
      <c r="ED1503" s="1" t="s">
        <v>407</v>
      </c>
      <c r="EF1503" s="1" t="s">
        <v>5154</v>
      </c>
      <c r="EG1503" s="1" t="s">
        <v>450</v>
      </c>
      <c r="EH1503" s="1" t="s">
        <v>409</v>
      </c>
      <c r="EI1503" s="1" t="s">
        <v>408</v>
      </c>
      <c r="EL1503" s="1" t="s">
        <v>6425</v>
      </c>
      <c r="EM1503" s="1" t="s">
        <v>1697</v>
      </c>
      <c r="EN1503" s="1" t="s">
        <v>210</v>
      </c>
      <c r="EO1503" s="1" t="s">
        <v>431</v>
      </c>
      <c r="EP1503" s="1" t="s">
        <v>6438</v>
      </c>
      <c r="EQ1503" s="1" t="s">
        <v>209</v>
      </c>
      <c r="ER1503" s="1" t="s">
        <v>210</v>
      </c>
      <c r="ES1503" s="1" t="s">
        <v>229</v>
      </c>
      <c r="ET1503" s="1" t="s">
        <v>2617</v>
      </c>
      <c r="EU1503" s="1" t="s">
        <v>206</v>
      </c>
      <c r="EV1503" s="1" t="s">
        <v>207</v>
      </c>
      <c r="EW1503" s="1" t="s">
        <v>229</v>
      </c>
      <c r="EY1503" s="1" t="s">
        <v>238</v>
      </c>
      <c r="FC1503" s="1" t="s">
        <v>238</v>
      </c>
      <c r="FF1503" s="1" t="s">
        <v>239</v>
      </c>
      <c r="FG1503" s="1" t="s">
        <v>192</v>
      </c>
      <c r="FH1503" s="1" t="s">
        <v>192</v>
      </c>
      <c r="FJ1503" s="1" t="s">
        <v>15341</v>
      </c>
      <c r="FK1503" s="1" t="s">
        <v>229</v>
      </c>
      <c r="FL1503" s="1" t="s">
        <v>8818</v>
      </c>
      <c r="FM1503" s="1">
        <v>21419.0</v>
      </c>
      <c r="FN1503" s="1" t="s">
        <v>8819</v>
      </c>
      <c r="FO1503" s="1" t="s">
        <v>15342</v>
      </c>
      <c r="FP1503" s="1">
        <v>27547.0</v>
      </c>
      <c r="FQ1503" s="1" t="s">
        <v>15343</v>
      </c>
      <c r="FU1503" s="1" t="s">
        <v>15344</v>
      </c>
      <c r="FV1503" s="1" t="s">
        <v>200</v>
      </c>
      <c r="FW1503" s="1" t="s">
        <v>290</v>
      </c>
      <c r="FZ1503" s="1" t="s">
        <v>229</v>
      </c>
      <c r="GA1503" s="1" t="s">
        <v>291</v>
      </c>
      <c r="GB1503" s="2">
        <v>42093.0</v>
      </c>
    </row>
    <row r="1504">
      <c r="A1504" s="1">
        <v>372000.0</v>
      </c>
      <c r="B1504" s="1" t="s">
        <v>185</v>
      </c>
      <c r="C1504" s="1" t="str">
        <f>"08871002"</f>
        <v>08871002</v>
      </c>
      <c r="D1504" s="1" t="s">
        <v>186</v>
      </c>
      <c r="F1504" s="1" t="str">
        <f>"8014"</f>
        <v>8014</v>
      </c>
      <c r="G1504" s="2">
        <v>42087.0</v>
      </c>
      <c r="H1504" s="1">
        <v>378500.0</v>
      </c>
      <c r="I1504" s="1">
        <v>21.0</v>
      </c>
      <c r="J1504" s="1">
        <v>378500.0</v>
      </c>
      <c r="K1504" s="2">
        <v>42096.0</v>
      </c>
      <c r="L1504" s="1">
        <v>10.0</v>
      </c>
      <c r="M1504" s="2">
        <v>42096.0</v>
      </c>
      <c r="N1504" s="1" t="s">
        <v>187</v>
      </c>
      <c r="O1504" s="2">
        <v>42123.0</v>
      </c>
      <c r="P1504" s="1">
        <v>155485.0</v>
      </c>
      <c r="Q1504" s="1">
        <v>16379.0</v>
      </c>
      <c r="S1504" s="1">
        <v>5148.0</v>
      </c>
      <c r="T1504" s="1" t="s">
        <v>5411</v>
      </c>
      <c r="U1504" s="1" t="s">
        <v>189</v>
      </c>
      <c r="V1504" s="1" t="s">
        <v>190</v>
      </c>
      <c r="W1504" s="1">
        <v>60630.0</v>
      </c>
      <c r="Y1504" s="1" t="s">
        <v>15345</v>
      </c>
      <c r="Z1504" s="1">
        <v>1922.0</v>
      </c>
      <c r="AA1504" s="1" t="s">
        <v>192</v>
      </c>
      <c r="AB1504" s="1" t="s">
        <v>193</v>
      </c>
      <c r="AD1504" s="1" t="s">
        <v>194</v>
      </c>
      <c r="AE1504" s="1" t="s">
        <v>195</v>
      </c>
      <c r="AF1504" s="1" t="s">
        <v>196</v>
      </c>
      <c r="AH1504" s="1" t="s">
        <v>3342</v>
      </c>
      <c r="AK1504" s="1">
        <v>8.0</v>
      </c>
      <c r="AL1504" s="1">
        <v>3.0</v>
      </c>
      <c r="AM1504" s="1">
        <v>2.0</v>
      </c>
      <c r="AN1504" s="1">
        <v>0.0</v>
      </c>
      <c r="AO1504" s="1" t="s">
        <v>229</v>
      </c>
      <c r="AP1504" s="1">
        <v>1.0</v>
      </c>
      <c r="AQ1504" s="1" t="s">
        <v>198</v>
      </c>
      <c r="AR1504" s="1" t="s">
        <v>192</v>
      </c>
      <c r="AS1504" s="1" t="s">
        <v>199</v>
      </c>
      <c r="AT1504" s="1">
        <v>2.0</v>
      </c>
      <c r="AV1504" s="1" t="s">
        <v>200</v>
      </c>
      <c r="AW1504" s="1">
        <v>3819.0</v>
      </c>
      <c r="AX1504" s="1">
        <v>2013.0</v>
      </c>
      <c r="AY1504" s="1" t="s">
        <v>387</v>
      </c>
      <c r="AZ1504" s="1" t="s">
        <v>200</v>
      </c>
      <c r="BA1504" s="1" t="str">
        <f>"13104020420000"</f>
        <v>13104020420000</v>
      </c>
      <c r="BB1504" s="1" t="s">
        <v>200</v>
      </c>
      <c r="BC1504" s="1">
        <v>1250.0</v>
      </c>
      <c r="BD1504" s="1">
        <v>372000.0</v>
      </c>
      <c r="BE1504" s="2">
        <v>42087.0</v>
      </c>
      <c r="BF1504" s="2" t="s">
        <v>15346</v>
      </c>
      <c r="BH1504" s="1">
        <v>0.0</v>
      </c>
      <c r="BK1504" s="1" t="s">
        <v>204</v>
      </c>
      <c r="BL1504" s="1" t="str">
        <f>"5100"</f>
        <v>5100</v>
      </c>
      <c r="BM1504" s="1" t="str">
        <f t="shared" ref="BM1504:BM1506" si="987">"0"</f>
        <v>0</v>
      </c>
      <c r="BN1504" s="1">
        <v>4200.0</v>
      </c>
      <c r="BO1504" s="1">
        <v>0.0</v>
      </c>
      <c r="BQ1504" s="1">
        <v>299.0</v>
      </c>
      <c r="BR1504" s="1">
        <v>299.0</v>
      </c>
      <c r="BS1504" s="1">
        <v>299.0</v>
      </c>
      <c r="BU1504" s="1" t="s">
        <v>361</v>
      </c>
      <c r="BV1504" s="1" t="s">
        <v>206</v>
      </c>
      <c r="BW1504" s="1" t="s">
        <v>207</v>
      </c>
      <c r="BX1504" s="1" t="s">
        <v>239</v>
      </c>
      <c r="BY1504" s="1" t="s">
        <v>269</v>
      </c>
      <c r="BZ1504" s="1" t="s">
        <v>206</v>
      </c>
      <c r="CA1504" s="1" t="s">
        <v>207</v>
      </c>
      <c r="CB1504" s="1" t="s">
        <v>239</v>
      </c>
      <c r="CC1504" s="1" t="s">
        <v>331</v>
      </c>
      <c r="CD1504" s="1" t="s">
        <v>206</v>
      </c>
      <c r="CE1504" s="1" t="s">
        <v>207</v>
      </c>
      <c r="CF1504" s="1" t="s">
        <v>239</v>
      </c>
      <c r="CG1504" s="1" t="s">
        <v>543</v>
      </c>
      <c r="CH1504" s="1" t="s">
        <v>206</v>
      </c>
      <c r="CI1504" s="1" t="s">
        <v>207</v>
      </c>
      <c r="CJ1504" s="1" t="s">
        <v>239</v>
      </c>
      <c r="CK1504" s="1" t="s">
        <v>265</v>
      </c>
      <c r="CL1504" s="1" t="s">
        <v>206</v>
      </c>
      <c r="CM1504" s="1" t="s">
        <v>301</v>
      </c>
      <c r="CN1504" s="1" t="s">
        <v>239</v>
      </c>
      <c r="CO1504" s="1" t="s">
        <v>332</v>
      </c>
      <c r="CP1504" s="1" t="s">
        <v>42</v>
      </c>
      <c r="CR1504" s="1" t="s">
        <v>239</v>
      </c>
      <c r="CS1504" s="1" t="s">
        <v>392</v>
      </c>
      <c r="CT1504" s="1" t="s">
        <v>206</v>
      </c>
      <c r="CU1504" s="1" t="s">
        <v>301</v>
      </c>
      <c r="CV1504" s="1" t="s">
        <v>239</v>
      </c>
      <c r="CX1504" s="1" t="s">
        <v>204</v>
      </c>
      <c r="DA1504" s="1" t="s">
        <v>200</v>
      </c>
      <c r="DC1504" s="1" t="s">
        <v>216</v>
      </c>
      <c r="DD1504" s="1" t="s">
        <v>518</v>
      </c>
      <c r="DE1504" s="1" t="s">
        <v>273</v>
      </c>
      <c r="DF1504" s="1" t="s">
        <v>219</v>
      </c>
      <c r="DH1504" s="1" t="s">
        <v>365</v>
      </c>
      <c r="DI1504" s="1" t="s">
        <v>10677</v>
      </c>
      <c r="DJ1504" s="1" t="s">
        <v>222</v>
      </c>
      <c r="DK1504" s="1" t="s">
        <v>1142</v>
      </c>
      <c r="DL1504" s="1" t="s">
        <v>986</v>
      </c>
      <c r="DM1504" s="1" t="s">
        <v>229</v>
      </c>
      <c r="DN1504" s="1" t="s">
        <v>666</v>
      </c>
      <c r="DO1504" s="1" t="s">
        <v>549</v>
      </c>
      <c r="DP1504" s="1" t="s">
        <v>340</v>
      </c>
      <c r="DQ1504" s="1" t="s">
        <v>794</v>
      </c>
      <c r="DR1504" s="1" t="s">
        <v>229</v>
      </c>
      <c r="DS1504" s="1" t="s">
        <v>230</v>
      </c>
      <c r="DV1504" s="1" t="s">
        <v>763</v>
      </c>
      <c r="DW1504" s="1" t="s">
        <v>279</v>
      </c>
      <c r="DX1504" s="1" t="s">
        <v>234</v>
      </c>
      <c r="DY1504" s="1" t="s">
        <v>1332</v>
      </c>
      <c r="DZ1504" s="1" t="s">
        <v>310</v>
      </c>
      <c r="EA1504" s="1" t="s">
        <v>644</v>
      </c>
      <c r="EB1504" s="1" t="s">
        <v>345</v>
      </c>
      <c r="EC1504" s="1" t="s">
        <v>645</v>
      </c>
      <c r="EG1504" s="1" t="s">
        <v>408</v>
      </c>
      <c r="EH1504" s="1" t="s">
        <v>450</v>
      </c>
      <c r="EL1504" s="1" t="s">
        <v>269</v>
      </c>
      <c r="EM1504" s="1" t="s">
        <v>206</v>
      </c>
      <c r="EN1504" s="1" t="s">
        <v>207</v>
      </c>
      <c r="EO1504" s="1" t="s">
        <v>239</v>
      </c>
      <c r="EP1504" s="1" t="s">
        <v>2414</v>
      </c>
      <c r="EQ1504" s="1" t="s">
        <v>42</v>
      </c>
      <c r="ER1504" s="1" t="s">
        <v>210</v>
      </c>
      <c r="ES1504" s="1" t="s">
        <v>239</v>
      </c>
      <c r="EU1504" s="1" t="s">
        <v>238</v>
      </c>
      <c r="EY1504" s="1" t="s">
        <v>238</v>
      </c>
      <c r="FC1504" s="1" t="s">
        <v>238</v>
      </c>
      <c r="FF1504" s="1" t="s">
        <v>239</v>
      </c>
      <c r="FG1504" s="1" t="s">
        <v>192</v>
      </c>
      <c r="FH1504" s="1" t="s">
        <v>192</v>
      </c>
      <c r="FJ1504" s="1" t="s">
        <v>15347</v>
      </c>
      <c r="FK1504" s="1" t="s">
        <v>229</v>
      </c>
      <c r="FL1504" s="1" t="s">
        <v>3756</v>
      </c>
      <c r="FM1504" s="1">
        <v>16634.0</v>
      </c>
      <c r="FN1504" s="1" t="s">
        <v>3757</v>
      </c>
      <c r="FO1504" s="1" t="s">
        <v>15348</v>
      </c>
      <c r="FP1504" s="1">
        <v>874483.0</v>
      </c>
      <c r="FU1504" s="1" t="s">
        <v>15349</v>
      </c>
      <c r="FV1504" s="1" t="s">
        <v>200</v>
      </c>
      <c r="FW1504" s="1" t="s">
        <v>290</v>
      </c>
      <c r="FX1504" s="1" t="s">
        <v>238</v>
      </c>
      <c r="FZ1504" s="1" t="s">
        <v>229</v>
      </c>
      <c r="GA1504" s="1" t="s">
        <v>291</v>
      </c>
      <c r="GB1504" s="2">
        <v>42123.0</v>
      </c>
      <c r="GC1504" s="1" t="s">
        <v>15350</v>
      </c>
    </row>
    <row r="1505">
      <c r="A1505" s="1">
        <v>75600.0</v>
      </c>
      <c r="B1505" s="1" t="s">
        <v>185</v>
      </c>
      <c r="C1505" s="1" t="str">
        <f>"08871522"</f>
        <v>08871522</v>
      </c>
      <c r="D1505" s="1" t="s">
        <v>186</v>
      </c>
      <c r="F1505" s="1" t="str">
        <f>"8019"</f>
        <v>8019</v>
      </c>
      <c r="G1505" s="2">
        <v>42088.0</v>
      </c>
      <c r="H1505" s="1">
        <v>66200.0</v>
      </c>
      <c r="I1505" s="1">
        <v>41.0</v>
      </c>
      <c r="J1505" s="1">
        <v>66200.0</v>
      </c>
      <c r="K1505" s="2">
        <v>42128.0</v>
      </c>
      <c r="L1505" s="1">
        <v>41.0</v>
      </c>
      <c r="M1505" s="2">
        <v>42128.0</v>
      </c>
      <c r="N1505" s="1" t="s">
        <v>187</v>
      </c>
      <c r="O1505" s="2">
        <v>42146.0</v>
      </c>
      <c r="P1505" s="1">
        <v>176926.0</v>
      </c>
      <c r="Q1505" s="1">
        <v>84404.0</v>
      </c>
      <c r="S1505" s="1">
        <v>2136.0</v>
      </c>
      <c r="T1505" s="1" t="s">
        <v>9321</v>
      </c>
      <c r="U1505" s="1" t="s">
        <v>189</v>
      </c>
      <c r="V1505" s="1" t="s">
        <v>190</v>
      </c>
      <c r="W1505" s="1">
        <v>60639.0</v>
      </c>
      <c r="Y1505" s="1" t="s">
        <v>15351</v>
      </c>
      <c r="Z1505" s="1">
        <v>1922.0</v>
      </c>
      <c r="AA1505" s="1" t="s">
        <v>192</v>
      </c>
      <c r="AB1505" s="1" t="s">
        <v>193</v>
      </c>
      <c r="AD1505" s="1" t="s">
        <v>194</v>
      </c>
      <c r="AE1505" s="1" t="s">
        <v>195</v>
      </c>
      <c r="AF1505" s="1" t="s">
        <v>196</v>
      </c>
      <c r="AH1505" s="1">
        <v>3750.0</v>
      </c>
      <c r="AK1505" s="1">
        <v>7.0</v>
      </c>
      <c r="AL1505" s="1">
        <v>4.0</v>
      </c>
      <c r="AM1505" s="1">
        <v>1.0</v>
      </c>
      <c r="AN1505" s="1">
        <v>0.0</v>
      </c>
      <c r="AO1505" s="1" t="s">
        <v>229</v>
      </c>
      <c r="AQ1505" s="1" t="s">
        <v>198</v>
      </c>
      <c r="AR1505" s="1" t="s">
        <v>200</v>
      </c>
      <c r="AS1505" s="1" t="s">
        <v>828</v>
      </c>
      <c r="AU1505" s="1">
        <v>2.0</v>
      </c>
      <c r="AV1505" s="1" t="s">
        <v>200</v>
      </c>
      <c r="AW1505" s="1">
        <v>2222.0</v>
      </c>
      <c r="AX1505" s="1">
        <v>2013.0</v>
      </c>
      <c r="AY1505" s="1" t="s">
        <v>229</v>
      </c>
      <c r="AZ1505" s="1" t="s">
        <v>545</v>
      </c>
      <c r="BA1505" s="1" t="str">
        <f>"13321210380000"</f>
        <v>13321210380000</v>
      </c>
      <c r="BB1505" s="1" t="s">
        <v>200</v>
      </c>
      <c r="BC1505" s="1">
        <v>1035.0</v>
      </c>
      <c r="BD1505" s="1">
        <v>75600.0</v>
      </c>
      <c r="BE1505" s="2">
        <v>42088.0</v>
      </c>
      <c r="BF1505" s="2" t="s">
        <v>15352</v>
      </c>
      <c r="BH1505" s="1">
        <v>0.0</v>
      </c>
      <c r="BK1505" s="1" t="s">
        <v>204</v>
      </c>
      <c r="BL1505" s="1" t="str">
        <f>"2136"</f>
        <v>2136</v>
      </c>
      <c r="BM1505" s="1" t="str">
        <f t="shared" si="987"/>
        <v>0</v>
      </c>
      <c r="BN1505" s="1">
        <v>6100.0</v>
      </c>
      <c r="BO1505" s="1">
        <v>0.0</v>
      </c>
      <c r="BQ1505" s="1">
        <v>299.0</v>
      </c>
      <c r="BR1505" s="1">
        <v>299.0</v>
      </c>
      <c r="BS1505" s="1">
        <v>299.0</v>
      </c>
      <c r="BU1505" s="1" t="s">
        <v>663</v>
      </c>
      <c r="BV1505" s="1" t="s">
        <v>206</v>
      </c>
      <c r="BY1505" s="1" t="s">
        <v>269</v>
      </c>
      <c r="BZ1505" s="1" t="s">
        <v>206</v>
      </c>
      <c r="CC1505" s="1" t="s">
        <v>663</v>
      </c>
      <c r="CD1505" s="1" t="s">
        <v>206</v>
      </c>
      <c r="CG1505" s="1" t="s">
        <v>303</v>
      </c>
      <c r="CH1505" s="1" t="s">
        <v>206</v>
      </c>
      <c r="CK1505" s="1" t="s">
        <v>663</v>
      </c>
      <c r="CL1505" s="1" t="s">
        <v>206</v>
      </c>
      <c r="CO1505" s="1" t="s">
        <v>663</v>
      </c>
      <c r="CP1505" s="1" t="s">
        <v>206</v>
      </c>
      <c r="CS1505" s="1" t="s">
        <v>302</v>
      </c>
      <c r="CT1505" s="1" t="s">
        <v>206</v>
      </c>
      <c r="CX1505" s="1" t="s">
        <v>204</v>
      </c>
      <c r="DA1505" s="1" t="s">
        <v>200</v>
      </c>
      <c r="DC1505" s="1" t="s">
        <v>216</v>
      </c>
      <c r="DE1505" s="1" t="s">
        <v>229</v>
      </c>
      <c r="DF1505" s="1" t="s">
        <v>619</v>
      </c>
      <c r="DH1505" s="1" t="s">
        <v>220</v>
      </c>
      <c r="DJ1505" s="1" t="s">
        <v>222</v>
      </c>
      <c r="DL1505" s="1" t="s">
        <v>223</v>
      </c>
      <c r="DM1505" s="1" t="s">
        <v>229</v>
      </c>
      <c r="DQ1505" s="1" t="s">
        <v>228</v>
      </c>
      <c r="DR1505" s="1" t="s">
        <v>229</v>
      </c>
      <c r="DV1505" s="1" t="s">
        <v>232</v>
      </c>
      <c r="DW1505" s="1" t="s">
        <v>279</v>
      </c>
      <c r="DX1505" s="1" t="s">
        <v>234</v>
      </c>
      <c r="EC1505" s="1" t="s">
        <v>685</v>
      </c>
      <c r="EM1505" s="1" t="s">
        <v>238</v>
      </c>
      <c r="EQ1505" s="1" t="s">
        <v>238</v>
      </c>
      <c r="EU1505" s="1" t="s">
        <v>238</v>
      </c>
      <c r="EY1505" s="1" t="s">
        <v>238</v>
      </c>
      <c r="FC1505" s="1" t="s">
        <v>238</v>
      </c>
      <c r="FF1505" s="1" t="s">
        <v>239</v>
      </c>
      <c r="FG1505" s="1" t="s">
        <v>192</v>
      </c>
      <c r="FH1505" s="1" t="s">
        <v>192</v>
      </c>
      <c r="FJ1505" s="1" t="s">
        <v>15353</v>
      </c>
      <c r="FK1505" s="1" t="s">
        <v>229</v>
      </c>
      <c r="FL1505" s="1" t="s">
        <v>2049</v>
      </c>
      <c r="FM1505" s="1">
        <v>14858.0</v>
      </c>
      <c r="FN1505" s="1" t="s">
        <v>2050</v>
      </c>
      <c r="FO1505" s="1" t="s">
        <v>15354</v>
      </c>
      <c r="FP1505" s="1">
        <v>144547.0</v>
      </c>
      <c r="FQ1505" s="1" t="s">
        <v>15355</v>
      </c>
      <c r="FU1505" s="1" t="s">
        <v>15356</v>
      </c>
      <c r="FV1505" s="1" t="s">
        <v>200</v>
      </c>
      <c r="FW1505" s="1" t="s">
        <v>4843</v>
      </c>
      <c r="FX1505" s="1" t="s">
        <v>238</v>
      </c>
      <c r="FZ1505" s="1" t="s">
        <v>229</v>
      </c>
      <c r="GA1505" s="1" t="s">
        <v>291</v>
      </c>
      <c r="GB1505" s="2">
        <v>42146.0</v>
      </c>
      <c r="GC1505" s="1" t="s">
        <v>15357</v>
      </c>
    </row>
    <row r="1506">
      <c r="A1506" s="1">
        <v>875000.0</v>
      </c>
      <c r="B1506" s="1" t="s">
        <v>185</v>
      </c>
      <c r="C1506" s="1" t="str">
        <f>"08868767"</f>
        <v>08868767</v>
      </c>
      <c r="D1506" s="1" t="s">
        <v>186</v>
      </c>
      <c r="F1506" s="1" t="str">
        <f>"8012"</f>
        <v>8012</v>
      </c>
      <c r="G1506" s="2">
        <v>42085.0</v>
      </c>
      <c r="H1506" s="1">
        <v>999000.0</v>
      </c>
      <c r="I1506" s="1">
        <v>367.0</v>
      </c>
      <c r="J1506" s="1">
        <v>999000.0</v>
      </c>
      <c r="K1506" s="2">
        <v>42085.0</v>
      </c>
      <c r="L1506" s="1">
        <v>1.0</v>
      </c>
      <c r="M1506" s="2">
        <v>42085.0</v>
      </c>
      <c r="N1506" s="1" t="s">
        <v>187</v>
      </c>
      <c r="O1506" s="2">
        <v>42095.0</v>
      </c>
      <c r="P1506" s="1">
        <v>705800.0</v>
      </c>
      <c r="Q1506" s="1">
        <v>70332.0</v>
      </c>
      <c r="S1506" s="1">
        <v>6200.0</v>
      </c>
      <c r="T1506" s="1" t="s">
        <v>15358</v>
      </c>
      <c r="U1506" s="1" t="s">
        <v>189</v>
      </c>
      <c r="V1506" s="1" t="s">
        <v>190</v>
      </c>
      <c r="W1506" s="1">
        <v>60646.0</v>
      </c>
      <c r="Y1506" s="1" t="s">
        <v>15359</v>
      </c>
      <c r="Z1506" s="1">
        <v>1936.0</v>
      </c>
      <c r="AA1506" s="1" t="s">
        <v>192</v>
      </c>
      <c r="AB1506" s="1" t="s">
        <v>193</v>
      </c>
      <c r="AD1506" s="1" t="s">
        <v>194</v>
      </c>
      <c r="AE1506" s="1" t="s">
        <v>195</v>
      </c>
      <c r="AF1506" s="1" t="s">
        <v>196</v>
      </c>
      <c r="AH1506" s="1" t="s">
        <v>15360</v>
      </c>
      <c r="AI1506" s="1">
        <v>0.2598</v>
      </c>
      <c r="AK1506" s="1">
        <v>10.0</v>
      </c>
      <c r="AL1506" s="1">
        <v>4.0</v>
      </c>
      <c r="AM1506" s="1">
        <v>3.0</v>
      </c>
      <c r="AN1506" s="1">
        <v>2.0</v>
      </c>
      <c r="AO1506" s="1" t="s">
        <v>198</v>
      </c>
      <c r="AP1506" s="1">
        <v>2.0</v>
      </c>
      <c r="AQ1506" s="1" t="s">
        <v>198</v>
      </c>
      <c r="AR1506" s="1" t="s">
        <v>192</v>
      </c>
      <c r="AS1506" s="1" t="s">
        <v>199</v>
      </c>
      <c r="AT1506" s="1">
        <v>2.0</v>
      </c>
      <c r="AV1506" s="1" t="s">
        <v>200</v>
      </c>
      <c r="AW1506" s="1">
        <v>10599.32</v>
      </c>
      <c r="AX1506" s="1">
        <v>2012.0</v>
      </c>
      <c r="AY1506" s="1" t="s">
        <v>1179</v>
      </c>
      <c r="AZ1506" s="1" t="s">
        <v>200</v>
      </c>
      <c r="BA1506" s="1" t="str">
        <f>"13052040140000"</f>
        <v>13052040140000</v>
      </c>
      <c r="BC1506" s="1">
        <v>3200.0</v>
      </c>
      <c r="BD1506" s="1">
        <v>875000.0</v>
      </c>
      <c r="BE1506" s="2">
        <v>42085.0</v>
      </c>
      <c r="BF1506" s="2" t="s">
        <v>15361</v>
      </c>
      <c r="BG1506" s="1" t="s">
        <v>9269</v>
      </c>
      <c r="BH1506" s="1">
        <v>0.0</v>
      </c>
      <c r="BI1506" s="1" t="s">
        <v>9269</v>
      </c>
      <c r="BJ1506" s="1" t="s">
        <v>1222</v>
      </c>
      <c r="BK1506" s="1" t="s">
        <v>204</v>
      </c>
      <c r="BL1506" s="1" t="str">
        <f>"6200"</f>
        <v>6200</v>
      </c>
      <c r="BM1506" s="1" t="str">
        <f t="shared" si="987"/>
        <v>0</v>
      </c>
      <c r="BN1506" s="1">
        <v>5600.0</v>
      </c>
      <c r="BO1506" s="1">
        <v>0.0</v>
      </c>
      <c r="BQ1506" s="1">
        <v>299.0</v>
      </c>
      <c r="BR1506" s="1">
        <v>299.0</v>
      </c>
      <c r="BS1506" s="1">
        <v>299.0</v>
      </c>
      <c r="BU1506" s="1" t="s">
        <v>364</v>
      </c>
      <c r="BV1506" s="1" t="s">
        <v>206</v>
      </c>
      <c r="BW1506" s="1" t="s">
        <v>207</v>
      </c>
      <c r="BX1506" s="1" t="s">
        <v>1549</v>
      </c>
      <c r="BY1506" s="1" t="s">
        <v>1299</v>
      </c>
      <c r="BZ1506" s="1" t="s">
        <v>209</v>
      </c>
      <c r="CA1506" s="1" t="s">
        <v>210</v>
      </c>
      <c r="CB1506" s="1" t="s">
        <v>1549</v>
      </c>
      <c r="CC1506" s="1" t="s">
        <v>1063</v>
      </c>
      <c r="CD1506" s="1" t="s">
        <v>206</v>
      </c>
      <c r="CE1506" s="1" t="s">
        <v>207</v>
      </c>
      <c r="CF1506" s="1" t="s">
        <v>1549</v>
      </c>
      <c r="CG1506" s="1" t="s">
        <v>1483</v>
      </c>
      <c r="CH1506" s="1" t="s">
        <v>209</v>
      </c>
      <c r="CI1506" s="1" t="s">
        <v>207</v>
      </c>
      <c r="CJ1506" s="1" t="s">
        <v>1549</v>
      </c>
      <c r="CK1506" s="1" t="s">
        <v>212</v>
      </c>
      <c r="CL1506" s="1" t="s">
        <v>209</v>
      </c>
      <c r="CM1506" s="1" t="s">
        <v>210</v>
      </c>
      <c r="CN1506" s="1" t="s">
        <v>1549</v>
      </c>
      <c r="CO1506" s="1" t="s">
        <v>269</v>
      </c>
      <c r="CP1506" s="1" t="s">
        <v>209</v>
      </c>
      <c r="CQ1506" s="1" t="s">
        <v>210</v>
      </c>
      <c r="CR1506" s="1" t="s">
        <v>1549</v>
      </c>
      <c r="CS1506" s="1" t="s">
        <v>2647</v>
      </c>
      <c r="CT1506" s="1" t="s">
        <v>206</v>
      </c>
      <c r="CU1506" s="1" t="s">
        <v>207</v>
      </c>
      <c r="CV1506" s="1" t="s">
        <v>1549</v>
      </c>
      <c r="CW1506" s="1" t="s">
        <v>12531</v>
      </c>
      <c r="CX1506" s="1" t="s">
        <v>42</v>
      </c>
      <c r="CY1506" s="1" t="s">
        <v>588</v>
      </c>
      <c r="CZ1506" s="1" t="s">
        <v>229</v>
      </c>
      <c r="DA1506" s="1" t="s">
        <v>200</v>
      </c>
      <c r="DC1506" s="1" t="s">
        <v>1399</v>
      </c>
      <c r="DD1506" s="1" t="s">
        <v>396</v>
      </c>
      <c r="DE1506" s="1" t="s">
        <v>273</v>
      </c>
      <c r="DF1506" s="1" t="s">
        <v>905</v>
      </c>
      <c r="DG1506" s="1" t="s">
        <v>1160</v>
      </c>
      <c r="DH1506" s="1" t="s">
        <v>365</v>
      </c>
      <c r="DI1506" s="1" t="s">
        <v>15362</v>
      </c>
      <c r="DJ1506" s="1" t="s">
        <v>222</v>
      </c>
      <c r="DK1506" s="1" t="s">
        <v>223</v>
      </c>
      <c r="DL1506" s="1" t="s">
        <v>224</v>
      </c>
      <c r="DM1506" s="1" t="s">
        <v>15363</v>
      </c>
      <c r="DN1506" s="1" t="s">
        <v>793</v>
      </c>
      <c r="DO1506" s="1" t="s">
        <v>15364</v>
      </c>
      <c r="DP1506" s="1" t="s">
        <v>340</v>
      </c>
      <c r="DQ1506" s="1" t="s">
        <v>441</v>
      </c>
      <c r="DR1506" s="1" t="s">
        <v>229</v>
      </c>
      <c r="DS1506" s="1" t="s">
        <v>230</v>
      </c>
      <c r="DV1506" s="1" t="s">
        <v>15365</v>
      </c>
      <c r="DW1506" s="1" t="s">
        <v>279</v>
      </c>
      <c r="DX1506" s="1" t="s">
        <v>234</v>
      </c>
      <c r="DY1506" s="1" t="s">
        <v>2972</v>
      </c>
      <c r="DZ1506" s="1" t="s">
        <v>15366</v>
      </c>
      <c r="EB1506" s="1" t="s">
        <v>345</v>
      </c>
      <c r="EC1506" s="1" t="s">
        <v>237</v>
      </c>
      <c r="ED1506" s="1" t="s">
        <v>555</v>
      </c>
      <c r="EG1506" s="1" t="s">
        <v>494</v>
      </c>
      <c r="EH1506" s="1" t="s">
        <v>373</v>
      </c>
      <c r="EI1506" s="1" t="s">
        <v>408</v>
      </c>
      <c r="EL1506" s="1" t="s">
        <v>269</v>
      </c>
      <c r="EM1506" s="1" t="s">
        <v>206</v>
      </c>
      <c r="EN1506" s="1" t="s">
        <v>210</v>
      </c>
      <c r="EO1506" s="1" t="s">
        <v>431</v>
      </c>
      <c r="EP1506" s="1" t="s">
        <v>663</v>
      </c>
      <c r="EQ1506" s="1" t="s">
        <v>206</v>
      </c>
      <c r="ER1506" s="1" t="s">
        <v>210</v>
      </c>
      <c r="ES1506" s="1" t="s">
        <v>1549</v>
      </c>
      <c r="ET1506" s="1" t="s">
        <v>4205</v>
      </c>
      <c r="EU1506" s="1" t="s">
        <v>206</v>
      </c>
      <c r="EV1506" s="1" t="s">
        <v>5126</v>
      </c>
      <c r="EW1506" s="1" t="s">
        <v>229</v>
      </c>
      <c r="EY1506" s="1" t="s">
        <v>238</v>
      </c>
      <c r="FC1506" s="1" t="s">
        <v>238</v>
      </c>
      <c r="FF1506" s="1" t="s">
        <v>239</v>
      </c>
      <c r="FG1506" s="1" t="s">
        <v>192</v>
      </c>
      <c r="FH1506" s="1" t="s">
        <v>192</v>
      </c>
      <c r="FJ1506" s="1" t="s">
        <v>15367</v>
      </c>
      <c r="FK1506" s="1" t="s">
        <v>229</v>
      </c>
      <c r="FL1506" s="1" t="s">
        <v>456</v>
      </c>
      <c r="FM1506" s="1">
        <v>10013.0</v>
      </c>
      <c r="FN1506" s="1" t="s">
        <v>2428</v>
      </c>
      <c r="FO1506" s="1" t="s">
        <v>6892</v>
      </c>
      <c r="FP1506" s="1">
        <v>144665.0</v>
      </c>
      <c r="FQ1506" s="1" t="s">
        <v>6893</v>
      </c>
      <c r="FU1506" s="1" t="s">
        <v>15368</v>
      </c>
      <c r="FV1506" s="1" t="s">
        <v>192</v>
      </c>
      <c r="FW1506" s="1" t="s">
        <v>290</v>
      </c>
      <c r="FX1506" s="1" t="s">
        <v>238</v>
      </c>
      <c r="FZ1506" s="1" t="s">
        <v>229</v>
      </c>
      <c r="GA1506" s="1" t="s">
        <v>291</v>
      </c>
      <c r="GB1506" s="2">
        <v>42095.0</v>
      </c>
    </row>
    <row r="1507">
      <c r="A1507" s="1">
        <v>275000.0</v>
      </c>
      <c r="B1507" s="1" t="s">
        <v>185</v>
      </c>
      <c r="C1507" s="1" t="str">
        <f>"08873280"</f>
        <v>08873280</v>
      </c>
      <c r="D1507" s="1" t="s">
        <v>186</v>
      </c>
      <c r="F1507" s="1" t="str">
        <f>"123"</f>
        <v>123</v>
      </c>
      <c r="G1507" s="2">
        <v>42089.0</v>
      </c>
      <c r="H1507" s="1">
        <v>289000.0</v>
      </c>
      <c r="I1507" s="1">
        <v>10.0</v>
      </c>
      <c r="J1507" s="1">
        <v>289000.0</v>
      </c>
      <c r="K1507" s="2">
        <v>42097.0</v>
      </c>
      <c r="L1507" s="1">
        <v>10.0</v>
      </c>
      <c r="M1507" s="2">
        <v>42097.0</v>
      </c>
      <c r="N1507" s="1" t="s">
        <v>356</v>
      </c>
      <c r="O1507" s="2">
        <v>42139.0</v>
      </c>
      <c r="P1507" s="1">
        <v>85744.0</v>
      </c>
      <c r="Q1507" s="1">
        <v>8970.0</v>
      </c>
      <c r="S1507" s="1">
        <v>1170.0</v>
      </c>
      <c r="T1507" s="1" t="s">
        <v>15369</v>
      </c>
      <c r="U1507" s="1" t="s">
        <v>189</v>
      </c>
      <c r="V1507" s="1" t="s">
        <v>465</v>
      </c>
      <c r="W1507" s="1">
        <v>60120.0</v>
      </c>
      <c r="Y1507" s="1" t="s">
        <v>15370</v>
      </c>
      <c r="Z1507" s="1">
        <v>1993.0</v>
      </c>
      <c r="AA1507" s="1" t="s">
        <v>200</v>
      </c>
      <c r="AB1507" s="1" t="s">
        <v>467</v>
      </c>
      <c r="AC1507" s="1" t="s">
        <v>15371</v>
      </c>
      <c r="AD1507" s="1" t="s">
        <v>469</v>
      </c>
      <c r="AE1507" s="1" t="s">
        <v>195</v>
      </c>
      <c r="AF1507" s="1" t="s">
        <v>298</v>
      </c>
      <c r="AG1507" s="1" t="s">
        <v>7246</v>
      </c>
      <c r="AH1507" s="1">
        <v>7587.0</v>
      </c>
      <c r="AK1507" s="1">
        <v>12.0</v>
      </c>
      <c r="AL1507" s="1">
        <v>4.0</v>
      </c>
      <c r="AM1507" s="1">
        <v>3.0</v>
      </c>
      <c r="AN1507" s="1">
        <v>1.0</v>
      </c>
      <c r="AO1507" s="1" t="s">
        <v>198</v>
      </c>
      <c r="AP1507" s="1">
        <v>1.0</v>
      </c>
      <c r="AQ1507" s="1" t="s">
        <v>198</v>
      </c>
      <c r="AR1507" s="1" t="s">
        <v>192</v>
      </c>
      <c r="AS1507" s="1" t="s">
        <v>199</v>
      </c>
      <c r="AT1507" s="1">
        <v>2.0</v>
      </c>
      <c r="AV1507" s="1" t="s">
        <v>200</v>
      </c>
      <c r="AW1507" s="1">
        <v>7131.0</v>
      </c>
      <c r="AX1507" s="1">
        <v>2013.0</v>
      </c>
      <c r="AZ1507" s="1" t="s">
        <v>200</v>
      </c>
      <c r="BA1507" s="1" t="str">
        <f>"06062060080000"</f>
        <v>06062060080000</v>
      </c>
      <c r="BC1507" s="1">
        <v>2609.0</v>
      </c>
      <c r="BD1507" s="1">
        <v>275000.0</v>
      </c>
      <c r="BE1507" s="2">
        <v>42088.0</v>
      </c>
      <c r="BF1507" s="2" t="s">
        <v>15372</v>
      </c>
      <c r="BG1507" s="1" t="s">
        <v>2142</v>
      </c>
      <c r="BH1507" s="1">
        <v>183.0</v>
      </c>
      <c r="BI1507" s="1" t="s">
        <v>1242</v>
      </c>
      <c r="BJ1507" s="1" t="s">
        <v>1243</v>
      </c>
      <c r="BK1507" s="1" t="s">
        <v>580</v>
      </c>
      <c r="BL1507" s="1" t="str">
        <f t="shared" ref="BL1507:BM1507" si="988">""</f>
        <v/>
      </c>
      <c r="BM1507" s="1" t="str">
        <f t="shared" si="988"/>
        <v/>
      </c>
      <c r="BQ1507" s="1">
        <v>46.0</v>
      </c>
      <c r="BR1507" s="1">
        <v>46.0</v>
      </c>
      <c r="BS1507" s="1">
        <v>46.0</v>
      </c>
      <c r="BU1507" s="1" t="s">
        <v>2082</v>
      </c>
      <c r="BV1507" s="1" t="s">
        <v>206</v>
      </c>
      <c r="BW1507" s="1" t="s">
        <v>210</v>
      </c>
      <c r="BX1507" s="1" t="s">
        <v>431</v>
      </c>
      <c r="BY1507" s="1" t="s">
        <v>432</v>
      </c>
      <c r="BZ1507" s="1" t="s">
        <v>209</v>
      </c>
      <c r="CA1507" s="1" t="s">
        <v>210</v>
      </c>
      <c r="CB1507" s="1" t="s">
        <v>431</v>
      </c>
      <c r="CC1507" s="1" t="s">
        <v>433</v>
      </c>
      <c r="CD1507" s="1" t="s">
        <v>206</v>
      </c>
      <c r="CE1507" s="1" t="s">
        <v>207</v>
      </c>
      <c r="CF1507" s="1" t="s">
        <v>431</v>
      </c>
      <c r="CG1507" s="1" t="s">
        <v>433</v>
      </c>
      <c r="CH1507" s="1" t="s">
        <v>209</v>
      </c>
      <c r="CI1507" s="1" t="s">
        <v>210</v>
      </c>
      <c r="CJ1507" s="1" t="s">
        <v>431</v>
      </c>
      <c r="CK1507" s="1" t="s">
        <v>264</v>
      </c>
      <c r="CL1507" s="1" t="s">
        <v>209</v>
      </c>
      <c r="CM1507" s="1" t="s">
        <v>210</v>
      </c>
      <c r="CN1507" s="1" t="s">
        <v>431</v>
      </c>
      <c r="CO1507" s="1" t="s">
        <v>264</v>
      </c>
      <c r="CP1507" s="1" t="s">
        <v>209</v>
      </c>
      <c r="CQ1507" s="1" t="s">
        <v>210</v>
      </c>
      <c r="CR1507" s="1" t="s">
        <v>431</v>
      </c>
      <c r="CS1507" s="1" t="s">
        <v>215</v>
      </c>
      <c r="CT1507" s="1" t="s">
        <v>206</v>
      </c>
      <c r="CU1507" s="1" t="s">
        <v>207</v>
      </c>
      <c r="CV1507" s="1" t="s">
        <v>431</v>
      </c>
      <c r="CW1507" s="1" t="s">
        <v>1517</v>
      </c>
      <c r="CX1507" s="1" t="s">
        <v>206</v>
      </c>
      <c r="CY1507" s="1" t="s">
        <v>207</v>
      </c>
      <c r="CZ1507" s="1" t="s">
        <v>431</v>
      </c>
      <c r="DA1507" s="1" t="s">
        <v>200</v>
      </c>
      <c r="DC1507" s="1" t="s">
        <v>435</v>
      </c>
      <c r="DD1507" s="1" t="s">
        <v>336</v>
      </c>
      <c r="DE1507" s="1" t="s">
        <v>273</v>
      </c>
      <c r="DF1507" s="1" t="s">
        <v>905</v>
      </c>
      <c r="DG1507" s="1" t="s">
        <v>15373</v>
      </c>
      <c r="DH1507" s="1" t="s">
        <v>220</v>
      </c>
      <c r="DI1507" s="1" t="s">
        <v>1223</v>
      </c>
      <c r="DJ1507" s="1" t="s">
        <v>222</v>
      </c>
      <c r="DL1507" s="1" t="s">
        <v>1267</v>
      </c>
      <c r="DM1507" s="1" t="s">
        <v>1658</v>
      </c>
      <c r="DN1507" s="1" t="s">
        <v>485</v>
      </c>
      <c r="DP1507" s="1" t="s">
        <v>340</v>
      </c>
      <c r="DQ1507" s="1" t="s">
        <v>228</v>
      </c>
      <c r="DR1507" s="1" t="s">
        <v>12989</v>
      </c>
      <c r="DS1507" s="1" t="s">
        <v>230</v>
      </c>
      <c r="DV1507" s="1" t="s">
        <v>15374</v>
      </c>
      <c r="DW1507" s="1" t="s">
        <v>444</v>
      </c>
      <c r="DX1507" s="1" t="s">
        <v>234</v>
      </c>
      <c r="DY1507" s="1" t="s">
        <v>490</v>
      </c>
      <c r="DZ1507" s="1" t="s">
        <v>15375</v>
      </c>
      <c r="EA1507" s="1" t="s">
        <v>447</v>
      </c>
      <c r="EB1507" s="1" t="s">
        <v>345</v>
      </c>
      <c r="EC1507" s="1" t="s">
        <v>237</v>
      </c>
      <c r="ED1507" s="1" t="s">
        <v>555</v>
      </c>
      <c r="EG1507" s="1" t="s">
        <v>494</v>
      </c>
      <c r="EH1507" s="1" t="s">
        <v>449</v>
      </c>
      <c r="EI1507" s="1" t="s">
        <v>450</v>
      </c>
      <c r="EJ1507" s="1" t="s">
        <v>341</v>
      </c>
      <c r="EK1507" s="1" t="s">
        <v>374</v>
      </c>
      <c r="EL1507" s="1" t="s">
        <v>264</v>
      </c>
      <c r="EM1507" s="1" t="s">
        <v>206</v>
      </c>
      <c r="EN1507" s="1" t="s">
        <v>210</v>
      </c>
      <c r="EO1507" s="1" t="s">
        <v>431</v>
      </c>
      <c r="EP1507" s="1" t="s">
        <v>1852</v>
      </c>
      <c r="EQ1507" s="1" t="s">
        <v>206</v>
      </c>
      <c r="ER1507" s="1" t="s">
        <v>207</v>
      </c>
      <c r="ES1507" s="1" t="s">
        <v>431</v>
      </c>
      <c r="ET1507" s="1" t="s">
        <v>15376</v>
      </c>
      <c r="EU1507" s="1" t="s">
        <v>42</v>
      </c>
      <c r="EV1507" s="1" t="s">
        <v>210</v>
      </c>
      <c r="EW1507" s="1" t="s">
        <v>229</v>
      </c>
      <c r="EX1507" s="1" t="s">
        <v>4046</v>
      </c>
      <c r="EY1507" s="1" t="s">
        <v>209</v>
      </c>
      <c r="FB1507" s="1" t="s">
        <v>3989</v>
      </c>
      <c r="FC1507" s="1" t="s">
        <v>206</v>
      </c>
      <c r="FF1507" s="1" t="s">
        <v>239</v>
      </c>
      <c r="FG1507" s="1" t="s">
        <v>192</v>
      </c>
      <c r="FH1507" s="1" t="s">
        <v>192</v>
      </c>
      <c r="FJ1507" s="1" t="s">
        <v>9508</v>
      </c>
      <c r="FK1507" s="1" t="s">
        <v>229</v>
      </c>
      <c r="FL1507" s="1" t="s">
        <v>15377</v>
      </c>
      <c r="FM1507" s="1">
        <v>8908.0</v>
      </c>
      <c r="FN1507" s="1" t="s">
        <v>15378</v>
      </c>
      <c r="FO1507" s="1" t="s">
        <v>15379</v>
      </c>
      <c r="FP1507" s="1">
        <v>238883.0</v>
      </c>
      <c r="FS1507" s="1" t="s">
        <v>15380</v>
      </c>
      <c r="FU1507" s="1" t="s">
        <v>15381</v>
      </c>
      <c r="FV1507" s="1" t="s">
        <v>200</v>
      </c>
      <c r="FW1507" s="1" t="s">
        <v>290</v>
      </c>
      <c r="FX1507" s="1" t="s">
        <v>238</v>
      </c>
      <c r="FZ1507" s="1" t="s">
        <v>229</v>
      </c>
      <c r="GA1507" s="1" t="s">
        <v>291</v>
      </c>
      <c r="GB1507" s="2">
        <v>42142.0</v>
      </c>
      <c r="GC1507" s="1" t="s">
        <v>15382</v>
      </c>
    </row>
    <row r="1508">
      <c r="A1508" s="1">
        <v>250000.0</v>
      </c>
      <c r="B1508" s="1" t="s">
        <v>185</v>
      </c>
      <c r="C1508" s="1" t="str">
        <f>"08870804"</f>
        <v>08870804</v>
      </c>
      <c r="D1508" s="1" t="s">
        <v>186</v>
      </c>
      <c r="F1508" s="1" t="str">
        <f>"8014"</f>
        <v>8014</v>
      </c>
      <c r="G1508" s="2">
        <v>42087.0</v>
      </c>
      <c r="H1508" s="1">
        <v>239500.0</v>
      </c>
      <c r="I1508" s="1">
        <v>3.0</v>
      </c>
      <c r="J1508" s="1">
        <v>239500.0</v>
      </c>
      <c r="K1508" s="2">
        <v>42089.0</v>
      </c>
      <c r="L1508" s="1">
        <v>3.0</v>
      </c>
      <c r="M1508" s="2">
        <v>42089.0</v>
      </c>
      <c r="N1508" s="1" t="s">
        <v>187</v>
      </c>
      <c r="O1508" s="2">
        <v>42144.0</v>
      </c>
      <c r="P1508" s="1">
        <v>153568.0</v>
      </c>
      <c r="Q1508" s="1">
        <v>86020.0</v>
      </c>
      <c r="S1508" s="1">
        <v>4732.0</v>
      </c>
      <c r="T1508" s="1" t="s">
        <v>15383</v>
      </c>
      <c r="U1508" s="1" t="s">
        <v>189</v>
      </c>
      <c r="V1508" s="1" t="s">
        <v>190</v>
      </c>
      <c r="W1508" s="1">
        <v>60630.0</v>
      </c>
      <c r="Y1508" s="1" t="s">
        <v>15384</v>
      </c>
      <c r="Z1508" s="1">
        <v>1919.0</v>
      </c>
      <c r="AA1508" s="1" t="s">
        <v>192</v>
      </c>
      <c r="AB1508" s="1" t="s">
        <v>193</v>
      </c>
      <c r="AD1508" s="1" t="s">
        <v>194</v>
      </c>
      <c r="AE1508" s="1" t="s">
        <v>195</v>
      </c>
      <c r="AF1508" s="1" t="s">
        <v>196</v>
      </c>
      <c r="AH1508" s="1" t="s">
        <v>359</v>
      </c>
      <c r="AI1508" s="1">
        <v>0.079</v>
      </c>
      <c r="AK1508" s="1">
        <v>10.0</v>
      </c>
      <c r="AL1508" s="1">
        <v>4.0</v>
      </c>
      <c r="AM1508" s="1">
        <v>1.0</v>
      </c>
      <c r="AN1508" s="1">
        <v>1.0</v>
      </c>
      <c r="AO1508" s="1" t="s">
        <v>229</v>
      </c>
      <c r="AQ1508" s="1" t="s">
        <v>198</v>
      </c>
      <c r="AR1508" s="1" t="s">
        <v>192</v>
      </c>
      <c r="AS1508" s="1" t="s">
        <v>199</v>
      </c>
      <c r="AT1508" s="1">
        <v>2.0</v>
      </c>
      <c r="AV1508" s="1" t="s">
        <v>200</v>
      </c>
      <c r="AW1508" s="1">
        <v>4075.05</v>
      </c>
      <c r="AX1508" s="1">
        <v>2013.0</v>
      </c>
      <c r="AY1508" s="1" t="s">
        <v>1179</v>
      </c>
      <c r="AZ1508" s="1" t="s">
        <v>200</v>
      </c>
      <c r="BA1508" s="1" t="str">
        <f>"13152080090000"</f>
        <v>13152080090000</v>
      </c>
      <c r="BC1508" s="1">
        <v>2400.0</v>
      </c>
      <c r="BD1508" s="1">
        <v>250000.0</v>
      </c>
      <c r="BE1508" s="2">
        <v>42087.0</v>
      </c>
      <c r="BF1508" s="2" t="s">
        <v>15385</v>
      </c>
      <c r="BH1508" s="1">
        <v>0.0</v>
      </c>
      <c r="BK1508" s="1" t="s">
        <v>204</v>
      </c>
      <c r="BL1508" s="1" t="str">
        <f>"4732"</f>
        <v>4732</v>
      </c>
      <c r="BM1508" s="1" t="str">
        <f>"0"</f>
        <v>0</v>
      </c>
      <c r="BN1508" s="1">
        <v>4032.0</v>
      </c>
      <c r="BO1508" s="1">
        <v>0.0</v>
      </c>
      <c r="BQ1508" s="1">
        <v>299.0</v>
      </c>
      <c r="BR1508" s="1">
        <v>299.0</v>
      </c>
      <c r="BS1508" s="1">
        <v>299.0</v>
      </c>
      <c r="BU1508" s="1" t="s">
        <v>213</v>
      </c>
      <c r="BV1508" s="1" t="s">
        <v>206</v>
      </c>
      <c r="BW1508" s="1" t="s">
        <v>210</v>
      </c>
      <c r="BX1508" s="1" t="s">
        <v>431</v>
      </c>
      <c r="BY1508" s="1" t="s">
        <v>497</v>
      </c>
      <c r="BZ1508" s="1" t="s">
        <v>114</v>
      </c>
      <c r="CA1508" s="1" t="s">
        <v>207</v>
      </c>
      <c r="CB1508" s="1" t="s">
        <v>431</v>
      </c>
      <c r="CC1508" s="1" t="s">
        <v>329</v>
      </c>
      <c r="CD1508" s="1" t="s">
        <v>206</v>
      </c>
      <c r="CE1508" s="1" t="s">
        <v>210</v>
      </c>
      <c r="CF1508" s="1" t="s">
        <v>431</v>
      </c>
      <c r="CG1508" s="1" t="s">
        <v>497</v>
      </c>
      <c r="CH1508" s="1" t="s">
        <v>206</v>
      </c>
      <c r="CI1508" s="1" t="s">
        <v>207</v>
      </c>
      <c r="CJ1508" s="1" t="s">
        <v>431</v>
      </c>
      <c r="CK1508" s="1" t="s">
        <v>758</v>
      </c>
      <c r="CL1508" s="1" t="s">
        <v>209</v>
      </c>
      <c r="CM1508" s="1" t="s">
        <v>617</v>
      </c>
      <c r="CN1508" s="1" t="s">
        <v>431</v>
      </c>
      <c r="CO1508" s="1" t="s">
        <v>329</v>
      </c>
      <c r="CP1508" s="1" t="s">
        <v>209</v>
      </c>
      <c r="CQ1508" s="1" t="s">
        <v>617</v>
      </c>
      <c r="CR1508" s="1" t="s">
        <v>431</v>
      </c>
      <c r="CS1508" s="1" t="s">
        <v>215</v>
      </c>
      <c r="CT1508" s="1" t="s">
        <v>114</v>
      </c>
      <c r="CU1508" s="1" t="s">
        <v>617</v>
      </c>
      <c r="CV1508" s="1" t="s">
        <v>431</v>
      </c>
      <c r="CW1508" s="1" t="s">
        <v>392</v>
      </c>
      <c r="CX1508" s="1" t="s">
        <v>206</v>
      </c>
      <c r="CY1508" s="1" t="s">
        <v>210</v>
      </c>
      <c r="CZ1508" s="1" t="s">
        <v>431</v>
      </c>
      <c r="DA1508" s="1" t="s">
        <v>200</v>
      </c>
      <c r="DC1508" s="1" t="s">
        <v>216</v>
      </c>
      <c r="DE1508" s="1" t="s">
        <v>273</v>
      </c>
      <c r="DF1508" s="1" t="s">
        <v>219</v>
      </c>
      <c r="DH1508" s="1" t="s">
        <v>220</v>
      </c>
      <c r="DI1508" s="1" t="s">
        <v>831</v>
      </c>
      <c r="DJ1508" s="1" t="s">
        <v>222</v>
      </c>
      <c r="DK1508" s="1" t="s">
        <v>224</v>
      </c>
      <c r="DL1508" s="1" t="s">
        <v>223</v>
      </c>
      <c r="DM1508" s="1" t="s">
        <v>229</v>
      </c>
      <c r="DN1508" s="1" t="s">
        <v>793</v>
      </c>
      <c r="DO1508" s="1" t="s">
        <v>590</v>
      </c>
      <c r="DP1508" s="1" t="s">
        <v>340</v>
      </c>
      <c r="DQ1508" s="1" t="s">
        <v>228</v>
      </c>
      <c r="DR1508" s="1" t="s">
        <v>229</v>
      </c>
      <c r="DS1508" s="1" t="s">
        <v>230</v>
      </c>
      <c r="DV1508" s="1" t="s">
        <v>15386</v>
      </c>
      <c r="DW1508" s="1" t="s">
        <v>279</v>
      </c>
      <c r="DX1508" s="1" t="s">
        <v>234</v>
      </c>
      <c r="DY1508" s="1" t="s">
        <v>553</v>
      </c>
      <c r="EA1508" s="1" t="s">
        <v>644</v>
      </c>
      <c r="EC1508" s="1" t="s">
        <v>237</v>
      </c>
      <c r="ED1508" s="1" t="s">
        <v>1761</v>
      </c>
      <c r="EG1508" s="1" t="s">
        <v>494</v>
      </c>
      <c r="EH1508" s="1" t="s">
        <v>1103</v>
      </c>
      <c r="EI1508" s="1" t="s">
        <v>374</v>
      </c>
      <c r="EJ1508" s="1" t="s">
        <v>450</v>
      </c>
      <c r="EL1508" s="1" t="s">
        <v>266</v>
      </c>
      <c r="EM1508" s="1" t="s">
        <v>209</v>
      </c>
      <c r="EN1508" s="1" t="s">
        <v>617</v>
      </c>
      <c r="EO1508" s="1" t="s">
        <v>431</v>
      </c>
      <c r="EP1508" s="1" t="s">
        <v>798</v>
      </c>
      <c r="EQ1508" s="1" t="s">
        <v>42</v>
      </c>
      <c r="ER1508" s="1" t="s">
        <v>588</v>
      </c>
      <c r="ES1508" s="1" t="s">
        <v>229</v>
      </c>
      <c r="ET1508" s="1" t="s">
        <v>2617</v>
      </c>
      <c r="EU1508" s="1" t="s">
        <v>206</v>
      </c>
      <c r="EV1508" s="1" t="s">
        <v>210</v>
      </c>
      <c r="EW1508" s="1" t="s">
        <v>431</v>
      </c>
      <c r="EX1508" s="1" t="s">
        <v>15387</v>
      </c>
      <c r="EY1508" s="1" t="s">
        <v>42</v>
      </c>
      <c r="EZ1508" s="1" t="s">
        <v>588</v>
      </c>
      <c r="FA1508" s="1" t="s">
        <v>229</v>
      </c>
      <c r="FC1508" s="1" t="s">
        <v>238</v>
      </c>
      <c r="FF1508" s="1" t="s">
        <v>239</v>
      </c>
      <c r="FG1508" s="1" t="s">
        <v>192</v>
      </c>
      <c r="FH1508" s="1" t="s">
        <v>192</v>
      </c>
      <c r="FJ1508" s="1" t="s">
        <v>6020</v>
      </c>
      <c r="FK1508" s="1" t="s">
        <v>229</v>
      </c>
      <c r="FL1508" s="1" t="s">
        <v>15388</v>
      </c>
      <c r="FM1508" s="1">
        <v>15935.0</v>
      </c>
      <c r="FN1508" s="1" t="s">
        <v>15389</v>
      </c>
      <c r="FO1508" s="1" t="s">
        <v>15390</v>
      </c>
      <c r="FP1508" s="1">
        <v>110754.0</v>
      </c>
      <c r="FQ1508" s="1" t="s">
        <v>15389</v>
      </c>
      <c r="FS1508" s="1" t="s">
        <v>15391</v>
      </c>
      <c r="FU1508" s="1" t="s">
        <v>15392</v>
      </c>
      <c r="FV1508" s="1" t="s">
        <v>200</v>
      </c>
      <c r="FW1508" s="1" t="s">
        <v>290</v>
      </c>
      <c r="FX1508" s="1" t="s">
        <v>238</v>
      </c>
      <c r="FZ1508" s="1" t="s">
        <v>229</v>
      </c>
      <c r="GA1508" s="1" t="s">
        <v>291</v>
      </c>
      <c r="GB1508" s="2">
        <v>42145.0</v>
      </c>
    </row>
    <row r="1509">
      <c r="A1509" s="1">
        <v>165000.0</v>
      </c>
      <c r="B1509" s="1" t="s">
        <v>185</v>
      </c>
      <c r="C1509" s="1" t="str">
        <f>"08872562"</f>
        <v>08872562</v>
      </c>
      <c r="D1509" s="1" t="s">
        <v>186</v>
      </c>
      <c r="F1509" s="1" t="str">
        <f>"560"</f>
        <v>560</v>
      </c>
      <c r="G1509" s="2">
        <v>42089.0</v>
      </c>
      <c r="H1509" s="1">
        <v>177900.0</v>
      </c>
      <c r="I1509" s="1">
        <v>106.0</v>
      </c>
      <c r="J1509" s="1">
        <v>177900.0</v>
      </c>
      <c r="K1509" s="2">
        <v>42087.0</v>
      </c>
      <c r="L1509" s="1">
        <v>1.0</v>
      </c>
      <c r="M1509" s="2">
        <v>42087.0</v>
      </c>
      <c r="N1509" s="1" t="s">
        <v>187</v>
      </c>
      <c r="O1509" s="2">
        <v>42124.0</v>
      </c>
      <c r="P1509" s="1">
        <v>85744.0</v>
      </c>
      <c r="Q1509" s="1">
        <v>8970.0</v>
      </c>
      <c r="S1509" s="1">
        <v>2021.0</v>
      </c>
      <c r="T1509" s="1" t="s">
        <v>15393</v>
      </c>
      <c r="U1509" s="1" t="s">
        <v>1174</v>
      </c>
      <c r="V1509" s="1" t="s">
        <v>845</v>
      </c>
      <c r="W1509" s="1">
        <v>60560.0</v>
      </c>
      <c r="Y1509" s="1" t="s">
        <v>15394</v>
      </c>
      <c r="Z1509" s="1" t="s">
        <v>296</v>
      </c>
      <c r="AA1509" s="1" t="s">
        <v>200</v>
      </c>
      <c r="AB1509" s="1" t="s">
        <v>467</v>
      </c>
      <c r="AC1509" s="1" t="s">
        <v>15076</v>
      </c>
      <c r="AD1509" s="1" t="s">
        <v>848</v>
      </c>
      <c r="AE1509" s="1" t="s">
        <v>849</v>
      </c>
      <c r="AF1509" s="1" t="s">
        <v>2153</v>
      </c>
      <c r="AH1509" s="1" t="s">
        <v>15395</v>
      </c>
      <c r="AI1509" s="1">
        <v>0.3001</v>
      </c>
      <c r="AK1509" s="1">
        <v>8.0</v>
      </c>
      <c r="AL1509" s="1">
        <v>4.0</v>
      </c>
      <c r="AM1509" s="1">
        <v>2.0</v>
      </c>
      <c r="AN1509" s="1">
        <v>1.0</v>
      </c>
      <c r="AO1509" s="1" t="s">
        <v>198</v>
      </c>
      <c r="AP1509" s="1">
        <v>1.0</v>
      </c>
      <c r="AQ1509" s="1" t="s">
        <v>198</v>
      </c>
      <c r="AR1509" s="1" t="s">
        <v>200</v>
      </c>
      <c r="AS1509" s="1" t="s">
        <v>199</v>
      </c>
      <c r="AT1509" s="1">
        <v>2.0</v>
      </c>
      <c r="AV1509" s="1" t="s">
        <v>192</v>
      </c>
      <c r="AW1509" s="1">
        <v>6082.65</v>
      </c>
      <c r="AX1509" s="1">
        <v>2013.0</v>
      </c>
      <c r="AY1509" s="1" t="s">
        <v>387</v>
      </c>
      <c r="AZ1509" s="1" t="s">
        <v>192</v>
      </c>
      <c r="BA1509" s="1" t="str">
        <f>"0503353007"</f>
        <v>0503353007</v>
      </c>
      <c r="BC1509" s="1">
        <v>2467.0</v>
      </c>
      <c r="BD1509" s="1">
        <v>165000.0</v>
      </c>
      <c r="BE1509" s="2">
        <v>42087.0</v>
      </c>
      <c r="BF1509" s="2" t="s">
        <v>15396</v>
      </c>
      <c r="BH1509" s="1">
        <v>155.0</v>
      </c>
      <c r="BK1509" s="1" t="s">
        <v>1952</v>
      </c>
      <c r="BL1509" s="1" t="str">
        <f t="shared" ref="BL1509:BM1509" si="989">""</f>
        <v/>
      </c>
      <c r="BM1509" s="1" t="str">
        <f t="shared" si="989"/>
        <v/>
      </c>
      <c r="BQ1509" s="1">
        <v>115.0</v>
      </c>
      <c r="BR1509" s="1">
        <v>115.0</v>
      </c>
      <c r="BS1509" s="1">
        <v>115.0</v>
      </c>
      <c r="BU1509" s="1" t="s">
        <v>2082</v>
      </c>
      <c r="BV1509" s="1" t="s">
        <v>206</v>
      </c>
      <c r="BW1509" s="1" t="s">
        <v>210</v>
      </c>
      <c r="BX1509" s="1" t="s">
        <v>431</v>
      </c>
      <c r="BY1509" s="1" t="s">
        <v>2082</v>
      </c>
      <c r="BZ1509" s="1" t="s">
        <v>209</v>
      </c>
      <c r="CA1509" s="1" t="s">
        <v>210</v>
      </c>
      <c r="CC1509" s="1" t="s">
        <v>264</v>
      </c>
      <c r="CD1509" s="1" t="s">
        <v>206</v>
      </c>
      <c r="CE1509" s="1" t="s">
        <v>210</v>
      </c>
      <c r="CG1509" s="1" t="s">
        <v>363</v>
      </c>
      <c r="CH1509" s="1" t="s">
        <v>209</v>
      </c>
      <c r="CI1509" s="1" t="s">
        <v>210</v>
      </c>
      <c r="CK1509" s="1" t="s">
        <v>363</v>
      </c>
      <c r="CL1509" s="1" t="s">
        <v>209</v>
      </c>
      <c r="CM1509" s="1" t="s">
        <v>210</v>
      </c>
      <c r="CO1509" s="1" t="s">
        <v>264</v>
      </c>
      <c r="CP1509" s="1" t="s">
        <v>209</v>
      </c>
      <c r="CQ1509" s="1" t="s">
        <v>210</v>
      </c>
      <c r="CS1509" s="1" t="s">
        <v>269</v>
      </c>
      <c r="CT1509" s="1" t="s">
        <v>206</v>
      </c>
      <c r="CU1509" s="1" t="s">
        <v>617</v>
      </c>
      <c r="CW1509" s="1" t="s">
        <v>2082</v>
      </c>
      <c r="CX1509" s="1" t="s">
        <v>206</v>
      </c>
      <c r="CY1509" s="1" t="s">
        <v>210</v>
      </c>
      <c r="DA1509" s="1" t="s">
        <v>200</v>
      </c>
      <c r="DC1509" s="1" t="s">
        <v>335</v>
      </c>
      <c r="DE1509" s="1" t="s">
        <v>273</v>
      </c>
      <c r="DF1509" s="1" t="s">
        <v>219</v>
      </c>
      <c r="DG1509" s="1" t="s">
        <v>2593</v>
      </c>
      <c r="DH1509" s="1" t="s">
        <v>220</v>
      </c>
      <c r="DJ1509" s="1" t="s">
        <v>222</v>
      </c>
      <c r="DL1509" s="1" t="s">
        <v>223</v>
      </c>
      <c r="DM1509" s="1" t="s">
        <v>338</v>
      </c>
      <c r="DQ1509" s="1" t="s">
        <v>441</v>
      </c>
      <c r="DR1509" s="1" t="s">
        <v>2593</v>
      </c>
      <c r="DS1509" s="1" t="s">
        <v>230</v>
      </c>
      <c r="DU1509" s="1" t="s">
        <v>1355</v>
      </c>
      <c r="DV1509" s="1" t="s">
        <v>232</v>
      </c>
      <c r="DW1509" s="1" t="s">
        <v>233</v>
      </c>
      <c r="DX1509" s="1" t="s">
        <v>234</v>
      </c>
      <c r="DY1509" s="1" t="s">
        <v>3846</v>
      </c>
      <c r="EA1509" s="1" t="s">
        <v>344</v>
      </c>
      <c r="EC1509" s="1" t="s">
        <v>237</v>
      </c>
      <c r="EM1509" s="1" t="s">
        <v>238</v>
      </c>
      <c r="EQ1509" s="1" t="s">
        <v>238</v>
      </c>
      <c r="EU1509" s="1" t="s">
        <v>238</v>
      </c>
      <c r="EY1509" s="1" t="s">
        <v>238</v>
      </c>
      <c r="FC1509" s="1" t="s">
        <v>238</v>
      </c>
      <c r="FF1509" s="1" t="s">
        <v>239</v>
      </c>
      <c r="FG1509" s="1" t="s">
        <v>192</v>
      </c>
      <c r="FH1509" s="1" t="s">
        <v>192</v>
      </c>
      <c r="FJ1509" s="1" t="s">
        <v>347</v>
      </c>
      <c r="FK1509" s="1" t="s">
        <v>229</v>
      </c>
      <c r="FL1509" s="1" t="s">
        <v>15397</v>
      </c>
      <c r="FM1509" s="1">
        <v>31420.0</v>
      </c>
      <c r="FN1509" s="1" t="s">
        <v>15398</v>
      </c>
      <c r="FO1509" s="1" t="s">
        <v>15399</v>
      </c>
      <c r="FP1509" s="1">
        <v>314232.0</v>
      </c>
      <c r="FQ1509" s="1" t="s">
        <v>15400</v>
      </c>
      <c r="FU1509" s="1" t="s">
        <v>1766</v>
      </c>
      <c r="FV1509" s="1" t="s">
        <v>200</v>
      </c>
      <c r="FW1509" s="1" t="s">
        <v>15401</v>
      </c>
      <c r="FZ1509" s="1" t="s">
        <v>229</v>
      </c>
      <c r="GA1509" s="1" t="s">
        <v>291</v>
      </c>
      <c r="GB1509" s="2">
        <v>42124.0</v>
      </c>
      <c r="GC1509" s="1" t="s">
        <v>15402</v>
      </c>
    </row>
    <row r="1510">
      <c r="A1510" s="1">
        <v>265000.0</v>
      </c>
      <c r="B1510" s="1" t="s">
        <v>185</v>
      </c>
      <c r="C1510" s="1" t="str">
        <f>"08872303"</f>
        <v>08872303</v>
      </c>
      <c r="D1510" s="1" t="s">
        <v>186</v>
      </c>
      <c r="F1510" s="1" t="str">
        <f>"538"</f>
        <v>538</v>
      </c>
      <c r="G1510" s="2">
        <v>42089.0</v>
      </c>
      <c r="H1510" s="1">
        <v>274900.0</v>
      </c>
      <c r="I1510" s="1">
        <v>32.0</v>
      </c>
      <c r="J1510" s="1">
        <v>269900.0</v>
      </c>
      <c r="K1510" s="2">
        <v>42120.0</v>
      </c>
      <c r="L1510" s="1">
        <v>32.0</v>
      </c>
      <c r="M1510" s="2">
        <v>42120.0</v>
      </c>
      <c r="N1510" s="1" t="s">
        <v>356</v>
      </c>
      <c r="O1510" s="2">
        <v>42146.0</v>
      </c>
      <c r="P1510" s="1">
        <v>243806.0</v>
      </c>
      <c r="Q1510" s="1">
        <v>23120.0</v>
      </c>
      <c r="S1510" s="1">
        <v>2364.0</v>
      </c>
      <c r="T1510" s="1" t="s">
        <v>6924</v>
      </c>
      <c r="U1510" s="1" t="s">
        <v>464</v>
      </c>
      <c r="V1510" s="1" t="s">
        <v>1340</v>
      </c>
      <c r="W1510" s="1">
        <v>60538.0</v>
      </c>
      <c r="X1510" s="1">
        <v>3441.0</v>
      </c>
      <c r="Y1510" s="1" t="s">
        <v>15403</v>
      </c>
      <c r="Z1510" s="1">
        <v>2013.0</v>
      </c>
      <c r="AA1510" s="1" t="s">
        <v>200</v>
      </c>
      <c r="AB1510" s="1" t="s">
        <v>467</v>
      </c>
      <c r="AC1510" s="1" t="s">
        <v>15404</v>
      </c>
      <c r="AD1510" s="1" t="s">
        <v>1343</v>
      </c>
      <c r="AE1510" s="1" t="s">
        <v>849</v>
      </c>
      <c r="AF1510" s="1" t="s">
        <v>1312</v>
      </c>
      <c r="AG1510" s="1" t="s">
        <v>15405</v>
      </c>
      <c r="AH1510" s="1" t="s">
        <v>15406</v>
      </c>
      <c r="AK1510" s="1">
        <v>9.0</v>
      </c>
      <c r="AL1510" s="1">
        <v>4.0</v>
      </c>
      <c r="AM1510" s="1">
        <v>2.0</v>
      </c>
      <c r="AN1510" s="1">
        <v>1.0</v>
      </c>
      <c r="AO1510" s="1" t="s">
        <v>198</v>
      </c>
      <c r="AP1510" s="1">
        <v>1.0</v>
      </c>
      <c r="AQ1510" s="1" t="s">
        <v>198</v>
      </c>
      <c r="AR1510" s="1" t="s">
        <v>200</v>
      </c>
      <c r="AS1510" s="1" t="s">
        <v>199</v>
      </c>
      <c r="AT1510" s="1">
        <v>3.0</v>
      </c>
      <c r="AV1510" s="1" t="s">
        <v>200</v>
      </c>
      <c r="AW1510" s="1">
        <v>9498.78</v>
      </c>
      <c r="AX1510" s="1">
        <v>2014.0</v>
      </c>
      <c r="AY1510" s="1" t="s">
        <v>387</v>
      </c>
      <c r="AZ1510" s="1" t="s">
        <v>200</v>
      </c>
      <c r="BA1510" s="1" t="str">
        <f>"0203472004"</f>
        <v>0203472004</v>
      </c>
      <c r="BC1510" s="1">
        <v>2900.0</v>
      </c>
      <c r="BD1510" s="1">
        <v>265000.0</v>
      </c>
      <c r="BE1510" s="2">
        <v>42089.0</v>
      </c>
      <c r="BF1510" s="2" t="s">
        <v>15407</v>
      </c>
      <c r="BG1510" s="1" t="s">
        <v>4624</v>
      </c>
      <c r="BH1510" s="1">
        <v>260.0</v>
      </c>
      <c r="BI1510" s="1" t="s">
        <v>3052</v>
      </c>
      <c r="BJ1510" s="1" t="s">
        <v>3053</v>
      </c>
      <c r="BK1510" s="1" t="s">
        <v>580</v>
      </c>
      <c r="BL1510" s="1" t="str">
        <f t="shared" ref="BL1510:BM1510" si="990">""</f>
        <v/>
      </c>
      <c r="BM1510" s="1" t="str">
        <f t="shared" si="990"/>
        <v/>
      </c>
      <c r="BQ1510" s="1">
        <v>115.0</v>
      </c>
      <c r="BR1510" s="1">
        <v>115.0</v>
      </c>
      <c r="BS1510" s="1">
        <v>115.0</v>
      </c>
      <c r="BU1510" s="1" t="s">
        <v>699</v>
      </c>
      <c r="BV1510" s="1" t="s">
        <v>206</v>
      </c>
      <c r="BW1510" s="1" t="s">
        <v>210</v>
      </c>
      <c r="BY1510" s="1" t="s">
        <v>583</v>
      </c>
      <c r="BZ1510" s="1" t="s">
        <v>209</v>
      </c>
      <c r="CA1510" s="1" t="s">
        <v>210</v>
      </c>
      <c r="CB1510" s="1" t="s">
        <v>431</v>
      </c>
      <c r="CC1510" s="1" t="s">
        <v>363</v>
      </c>
      <c r="CD1510" s="1" t="s">
        <v>206</v>
      </c>
      <c r="CE1510" s="1" t="s">
        <v>210</v>
      </c>
      <c r="CF1510" s="1" t="s">
        <v>229</v>
      </c>
      <c r="CG1510" s="1" t="s">
        <v>363</v>
      </c>
      <c r="CH1510" s="1" t="s">
        <v>209</v>
      </c>
      <c r="CI1510" s="1" t="s">
        <v>210</v>
      </c>
      <c r="CJ1510" s="1" t="s">
        <v>431</v>
      </c>
      <c r="CK1510" s="1" t="s">
        <v>582</v>
      </c>
      <c r="CL1510" s="1" t="s">
        <v>209</v>
      </c>
      <c r="CM1510" s="1" t="s">
        <v>210</v>
      </c>
      <c r="CN1510" s="1" t="s">
        <v>431</v>
      </c>
      <c r="CO1510" s="1" t="s">
        <v>212</v>
      </c>
      <c r="CP1510" s="1" t="s">
        <v>209</v>
      </c>
      <c r="CQ1510" s="1" t="s">
        <v>210</v>
      </c>
      <c r="CR1510" s="1" t="s">
        <v>431</v>
      </c>
      <c r="CS1510" s="1" t="s">
        <v>361</v>
      </c>
      <c r="CT1510" s="1" t="s">
        <v>206</v>
      </c>
      <c r="CU1510" s="1" t="s">
        <v>207</v>
      </c>
      <c r="CV1510" s="1" t="s">
        <v>431</v>
      </c>
      <c r="CW1510" s="1" t="s">
        <v>854</v>
      </c>
      <c r="CX1510" s="1" t="s">
        <v>206</v>
      </c>
      <c r="CY1510" s="1" t="s">
        <v>210</v>
      </c>
      <c r="DA1510" s="1" t="s">
        <v>200</v>
      </c>
      <c r="DC1510" s="1" t="s">
        <v>1046</v>
      </c>
      <c r="DD1510" s="1" t="s">
        <v>272</v>
      </c>
      <c r="DE1510" s="1" t="s">
        <v>273</v>
      </c>
      <c r="DF1510" s="1" t="s">
        <v>219</v>
      </c>
      <c r="DH1510" s="1" t="s">
        <v>220</v>
      </c>
      <c r="DI1510" s="1" t="s">
        <v>732</v>
      </c>
      <c r="DJ1510" s="1" t="s">
        <v>222</v>
      </c>
      <c r="DL1510" s="1" t="s">
        <v>223</v>
      </c>
      <c r="DM1510" s="1" t="s">
        <v>338</v>
      </c>
      <c r="DN1510" s="1" t="s">
        <v>548</v>
      </c>
      <c r="DO1510" s="1" t="s">
        <v>590</v>
      </c>
      <c r="DP1510" s="1" t="s">
        <v>340</v>
      </c>
      <c r="DQ1510" s="1" t="s">
        <v>228</v>
      </c>
      <c r="DR1510" s="1" t="s">
        <v>588</v>
      </c>
      <c r="DU1510" s="1" t="s">
        <v>15408</v>
      </c>
      <c r="DV1510" s="1" t="s">
        <v>12423</v>
      </c>
      <c r="DW1510" s="1" t="s">
        <v>233</v>
      </c>
      <c r="DX1510" s="1" t="s">
        <v>234</v>
      </c>
      <c r="DY1510" s="1" t="s">
        <v>490</v>
      </c>
      <c r="EA1510" s="1" t="s">
        <v>344</v>
      </c>
      <c r="EB1510" s="1" t="s">
        <v>937</v>
      </c>
      <c r="EC1510" s="1" t="s">
        <v>237</v>
      </c>
      <c r="ED1510" s="1" t="s">
        <v>407</v>
      </c>
      <c r="EG1510" s="1" t="s">
        <v>494</v>
      </c>
      <c r="EH1510" s="1" t="s">
        <v>2313</v>
      </c>
      <c r="EL1510" s="1" t="s">
        <v>495</v>
      </c>
      <c r="EM1510" s="1" t="s">
        <v>206</v>
      </c>
      <c r="EN1510" s="1" t="s">
        <v>210</v>
      </c>
      <c r="EP1510" s="1" t="s">
        <v>410</v>
      </c>
      <c r="EQ1510" s="1" t="s">
        <v>206</v>
      </c>
      <c r="ER1510" s="1" t="s">
        <v>268</v>
      </c>
      <c r="EU1510" s="1" t="s">
        <v>238</v>
      </c>
      <c r="EY1510" s="1" t="s">
        <v>238</v>
      </c>
      <c r="FC1510" s="1" t="s">
        <v>238</v>
      </c>
      <c r="FF1510" s="1" t="s">
        <v>239</v>
      </c>
      <c r="FG1510" s="1" t="s">
        <v>192</v>
      </c>
      <c r="FH1510" s="1" t="s">
        <v>192</v>
      </c>
      <c r="FJ1510" s="1" t="s">
        <v>15409</v>
      </c>
      <c r="FK1510" s="1" t="s">
        <v>229</v>
      </c>
      <c r="FL1510" s="1" t="s">
        <v>4369</v>
      </c>
      <c r="FM1510" s="1">
        <v>23120.0</v>
      </c>
      <c r="FN1510" s="1" t="s">
        <v>4370</v>
      </c>
      <c r="FO1510" s="1" t="s">
        <v>15410</v>
      </c>
      <c r="FP1510" s="1">
        <v>232601.0</v>
      </c>
      <c r="FQ1510" s="1" t="s">
        <v>15411</v>
      </c>
      <c r="FU1510" s="1" t="s">
        <v>15412</v>
      </c>
      <c r="FV1510" s="1" t="s">
        <v>200</v>
      </c>
      <c r="FW1510" s="1" t="s">
        <v>567</v>
      </c>
      <c r="FZ1510" s="1" t="s">
        <v>229</v>
      </c>
      <c r="GA1510" s="1" t="s">
        <v>291</v>
      </c>
      <c r="GB1510" s="2">
        <v>42146.0</v>
      </c>
      <c r="GC1510" s="1" t="s">
        <v>15413</v>
      </c>
    </row>
    <row r="1511">
      <c r="A1511" s="1">
        <v>333000.0</v>
      </c>
      <c r="B1511" s="1" t="s">
        <v>185</v>
      </c>
      <c r="C1511" s="1" t="str">
        <f>"08872718"</f>
        <v>08872718</v>
      </c>
      <c r="D1511" s="1" t="s">
        <v>186</v>
      </c>
      <c r="F1511" s="1" t="str">
        <f>"554"</f>
        <v>554</v>
      </c>
      <c r="G1511" s="2">
        <v>42089.0</v>
      </c>
      <c r="H1511" s="1">
        <v>349900.0</v>
      </c>
      <c r="I1511" s="1">
        <v>15.0</v>
      </c>
      <c r="J1511" s="1">
        <v>349900.0</v>
      </c>
      <c r="K1511" s="2">
        <v>42103.0</v>
      </c>
      <c r="L1511" s="1">
        <v>15.0</v>
      </c>
      <c r="M1511" s="2">
        <v>42103.0</v>
      </c>
      <c r="N1511" s="1" t="s">
        <v>187</v>
      </c>
      <c r="O1511" s="2">
        <v>42137.0</v>
      </c>
      <c r="P1511" s="1">
        <v>312333.0</v>
      </c>
      <c r="Q1511" s="1">
        <v>31580.0</v>
      </c>
      <c r="S1511" s="1">
        <v>901.0</v>
      </c>
      <c r="T1511" s="1" t="s">
        <v>15414</v>
      </c>
      <c r="U1511" s="1" t="s">
        <v>464</v>
      </c>
      <c r="V1511" s="1" t="s">
        <v>2212</v>
      </c>
      <c r="W1511" s="1">
        <v>60554.0</v>
      </c>
      <c r="Y1511" s="1" t="s">
        <v>15415</v>
      </c>
      <c r="Z1511" s="1">
        <v>2002.0</v>
      </c>
      <c r="AA1511" s="1" t="s">
        <v>200</v>
      </c>
      <c r="AB1511" s="1" t="s">
        <v>467</v>
      </c>
      <c r="AC1511" s="1" t="s">
        <v>15416</v>
      </c>
      <c r="AD1511" s="1" t="s">
        <v>1887</v>
      </c>
      <c r="AE1511" s="1" t="s">
        <v>325</v>
      </c>
      <c r="AF1511" s="1" t="s">
        <v>1887</v>
      </c>
      <c r="AG1511" s="1" t="s">
        <v>5149</v>
      </c>
      <c r="AH1511" s="1" t="s">
        <v>15417</v>
      </c>
      <c r="AI1511" s="1">
        <v>0.4</v>
      </c>
      <c r="AK1511" s="1">
        <v>11.0</v>
      </c>
      <c r="AL1511" s="1">
        <v>3.0</v>
      </c>
      <c r="AM1511" s="1">
        <v>3.0</v>
      </c>
      <c r="AN1511" s="1">
        <v>0.0</v>
      </c>
      <c r="AO1511" s="1" t="s">
        <v>198</v>
      </c>
      <c r="AQ1511" s="1" t="s">
        <v>198</v>
      </c>
      <c r="AR1511" s="1" t="s">
        <v>192</v>
      </c>
      <c r="AS1511" s="1" t="s">
        <v>199</v>
      </c>
      <c r="AT1511" s="1">
        <v>3.0</v>
      </c>
      <c r="AV1511" s="1" t="s">
        <v>200</v>
      </c>
      <c r="AW1511" s="1">
        <v>8227.0</v>
      </c>
      <c r="AX1511" s="1">
        <v>2013.0</v>
      </c>
      <c r="AZ1511" s="1" t="s">
        <v>200</v>
      </c>
      <c r="BA1511" s="1" t="str">
        <f>"1411155001"</f>
        <v>1411155001</v>
      </c>
      <c r="BC1511" s="1">
        <v>2368.0</v>
      </c>
      <c r="BD1511" s="1">
        <v>333000.0</v>
      </c>
      <c r="BE1511" s="2">
        <v>42089.0</v>
      </c>
      <c r="BF1511" s="2" t="s">
        <v>15418</v>
      </c>
      <c r="BG1511" s="1" t="s">
        <v>2218</v>
      </c>
      <c r="BH1511" s="1">
        <v>256.0</v>
      </c>
      <c r="BI1511" s="1" t="s">
        <v>4352</v>
      </c>
      <c r="BJ1511" s="1" t="s">
        <v>1636</v>
      </c>
      <c r="BK1511" s="1" t="s">
        <v>580</v>
      </c>
      <c r="BL1511" s="1" t="str">
        <f t="shared" ref="BL1511:BM1511" si="991">"0"</f>
        <v>0</v>
      </c>
      <c r="BM1511" s="1" t="str">
        <f t="shared" si="991"/>
        <v>0</v>
      </c>
      <c r="BN1511" s="1">
        <v>41.0</v>
      </c>
      <c r="BO1511" s="1">
        <v>5.0</v>
      </c>
      <c r="BQ1511" s="1">
        <v>302.0</v>
      </c>
      <c r="BR1511" s="1">
        <v>302.0</v>
      </c>
      <c r="BS1511" s="1">
        <v>302.0</v>
      </c>
      <c r="BV1511" s="1" t="s">
        <v>204</v>
      </c>
      <c r="BY1511" s="1" t="s">
        <v>743</v>
      </c>
      <c r="BZ1511" s="1" t="s">
        <v>206</v>
      </c>
      <c r="CA1511" s="1" t="s">
        <v>210</v>
      </c>
      <c r="CB1511" s="1" t="s">
        <v>1118</v>
      </c>
      <c r="CC1511" s="1" t="s">
        <v>332</v>
      </c>
      <c r="CD1511" s="1" t="s">
        <v>206</v>
      </c>
      <c r="CE1511" s="1" t="s">
        <v>210</v>
      </c>
      <c r="CG1511" s="1" t="s">
        <v>262</v>
      </c>
      <c r="CH1511" s="1" t="s">
        <v>206</v>
      </c>
      <c r="CI1511" s="1" t="s">
        <v>210</v>
      </c>
      <c r="CJ1511" s="1" t="s">
        <v>1118</v>
      </c>
      <c r="CK1511" s="1" t="s">
        <v>262</v>
      </c>
      <c r="CL1511" s="1" t="s">
        <v>206</v>
      </c>
      <c r="CM1511" s="1" t="s">
        <v>210</v>
      </c>
      <c r="CN1511" s="1" t="s">
        <v>431</v>
      </c>
      <c r="CO1511" s="1" t="s">
        <v>584</v>
      </c>
      <c r="CP1511" s="1" t="s">
        <v>42</v>
      </c>
      <c r="CQ1511" s="1" t="s">
        <v>210</v>
      </c>
      <c r="CS1511" s="1" t="s">
        <v>758</v>
      </c>
      <c r="CT1511" s="1" t="s">
        <v>206</v>
      </c>
      <c r="CU1511" s="1" t="s">
        <v>268</v>
      </c>
      <c r="CW1511" s="1" t="s">
        <v>2014</v>
      </c>
      <c r="CX1511" s="1" t="s">
        <v>206</v>
      </c>
      <c r="CY1511" s="1" t="s">
        <v>210</v>
      </c>
      <c r="DA1511" s="1" t="s">
        <v>200</v>
      </c>
      <c r="DC1511" s="1" t="s">
        <v>335</v>
      </c>
      <c r="DD1511" s="1" t="s">
        <v>336</v>
      </c>
      <c r="DE1511" s="1" t="s">
        <v>273</v>
      </c>
      <c r="DF1511" s="1" t="s">
        <v>219</v>
      </c>
      <c r="DG1511" s="1" t="s">
        <v>1020</v>
      </c>
      <c r="DH1511" s="1" t="s">
        <v>220</v>
      </c>
      <c r="DI1511" s="1" t="s">
        <v>4695</v>
      </c>
      <c r="DJ1511" s="1" t="s">
        <v>222</v>
      </c>
      <c r="DK1511" s="1" t="s">
        <v>223</v>
      </c>
      <c r="DL1511" s="1" t="s">
        <v>224</v>
      </c>
      <c r="DM1511" s="1" t="s">
        <v>338</v>
      </c>
      <c r="DN1511" s="1" t="s">
        <v>548</v>
      </c>
      <c r="DO1511" s="1" t="s">
        <v>15419</v>
      </c>
      <c r="DP1511" s="1" t="s">
        <v>340</v>
      </c>
      <c r="DQ1511" s="1" t="s">
        <v>441</v>
      </c>
      <c r="DR1511" s="1" t="s">
        <v>588</v>
      </c>
      <c r="DS1511" s="1" t="s">
        <v>368</v>
      </c>
      <c r="DU1511" s="1" t="s">
        <v>231</v>
      </c>
      <c r="DV1511" s="1" t="s">
        <v>15420</v>
      </c>
      <c r="DW1511" s="1" t="s">
        <v>11112</v>
      </c>
      <c r="DX1511" s="1" t="s">
        <v>234</v>
      </c>
      <c r="DY1511" s="1" t="s">
        <v>14148</v>
      </c>
      <c r="DZ1511" s="1" t="s">
        <v>310</v>
      </c>
      <c r="EA1511" s="1" t="s">
        <v>683</v>
      </c>
      <c r="EC1511" s="1" t="s">
        <v>685</v>
      </c>
      <c r="ED1511" s="1" t="s">
        <v>407</v>
      </c>
      <c r="EG1511" s="1" t="s">
        <v>1102</v>
      </c>
      <c r="EH1511" s="1" t="s">
        <v>449</v>
      </c>
      <c r="EI1511" s="1" t="s">
        <v>720</v>
      </c>
      <c r="EK1511" s="1" t="s">
        <v>450</v>
      </c>
      <c r="EL1511" s="1" t="s">
        <v>212</v>
      </c>
      <c r="EM1511" s="1" t="s">
        <v>206</v>
      </c>
      <c r="EN1511" s="1" t="s">
        <v>301</v>
      </c>
      <c r="EO1511" s="1" t="s">
        <v>1118</v>
      </c>
      <c r="EP1511" s="1" t="s">
        <v>215</v>
      </c>
      <c r="EQ1511" s="1" t="s">
        <v>206</v>
      </c>
      <c r="ER1511" s="1" t="s">
        <v>268</v>
      </c>
      <c r="ET1511" s="1" t="s">
        <v>1137</v>
      </c>
      <c r="EU1511" s="1" t="s">
        <v>206</v>
      </c>
      <c r="EV1511" s="1" t="s">
        <v>617</v>
      </c>
      <c r="EY1511" s="1" t="s">
        <v>238</v>
      </c>
      <c r="FB1511" s="1" t="s">
        <v>260</v>
      </c>
      <c r="FC1511" s="1" t="s">
        <v>42</v>
      </c>
      <c r="FD1511" s="1" t="s">
        <v>210</v>
      </c>
      <c r="FF1511" s="1" t="s">
        <v>239</v>
      </c>
      <c r="FG1511" s="1" t="s">
        <v>192</v>
      </c>
      <c r="FH1511" s="1" t="s">
        <v>192</v>
      </c>
      <c r="FJ1511" s="1" t="s">
        <v>498</v>
      </c>
      <c r="FK1511" s="1" t="s">
        <v>229</v>
      </c>
      <c r="FL1511" s="1" t="s">
        <v>1358</v>
      </c>
      <c r="FM1511" s="1">
        <v>22205.0</v>
      </c>
      <c r="FN1511" s="1" t="s">
        <v>9548</v>
      </c>
      <c r="FO1511" s="1" t="s">
        <v>15421</v>
      </c>
      <c r="FP1511" s="1">
        <v>250467.0</v>
      </c>
      <c r="FQ1511" s="1" t="s">
        <v>15422</v>
      </c>
      <c r="FS1511" s="1" t="s">
        <v>15423</v>
      </c>
      <c r="FU1511" s="1" t="s">
        <v>15424</v>
      </c>
      <c r="FV1511" s="1" t="s">
        <v>200</v>
      </c>
      <c r="FW1511" s="1" t="s">
        <v>567</v>
      </c>
      <c r="FZ1511" s="1" t="s">
        <v>229</v>
      </c>
      <c r="GA1511" s="1" t="s">
        <v>291</v>
      </c>
      <c r="GB1511" s="2">
        <v>42137.0</v>
      </c>
      <c r="GC1511" s="1" t="s">
        <v>15425</v>
      </c>
    </row>
    <row r="1512">
      <c r="A1512" s="1">
        <v>281000.0</v>
      </c>
      <c r="B1512" s="1" t="s">
        <v>185</v>
      </c>
      <c r="C1512" s="1" t="str">
        <f>"08867238"</f>
        <v>08867238</v>
      </c>
      <c r="D1512" s="1" t="s">
        <v>186</v>
      </c>
      <c r="F1512" s="1" t="str">
        <f>"510"</f>
        <v>510</v>
      </c>
      <c r="G1512" s="2">
        <v>42083.0</v>
      </c>
      <c r="H1512" s="1">
        <v>284900.0</v>
      </c>
      <c r="I1512" s="1">
        <v>285.0</v>
      </c>
      <c r="J1512" s="1">
        <v>284900.0</v>
      </c>
      <c r="K1512" s="2">
        <v>42092.0</v>
      </c>
      <c r="L1512" s="1">
        <v>11.0</v>
      </c>
      <c r="M1512" s="2">
        <v>42092.0</v>
      </c>
      <c r="N1512" s="1" t="s">
        <v>187</v>
      </c>
      <c r="O1512" s="2">
        <v>42126.0</v>
      </c>
      <c r="P1512" s="1">
        <v>241756.0</v>
      </c>
      <c r="Q1512" s="1">
        <v>25244.0</v>
      </c>
      <c r="S1512" s="1">
        <v>538.0</v>
      </c>
      <c r="T1512" s="1" t="s">
        <v>15426</v>
      </c>
      <c r="U1512" s="1" t="s">
        <v>464</v>
      </c>
      <c r="V1512" s="1" t="s">
        <v>2700</v>
      </c>
      <c r="W1512" s="1">
        <v>60510.0</v>
      </c>
      <c r="Y1512" s="1" t="s">
        <v>15427</v>
      </c>
      <c r="Z1512" s="1">
        <v>1977.0</v>
      </c>
      <c r="AA1512" s="1" t="s">
        <v>192</v>
      </c>
      <c r="AB1512" s="1" t="s">
        <v>193</v>
      </c>
      <c r="AC1512" s="1" t="s">
        <v>15428</v>
      </c>
      <c r="AD1512" s="1" t="s">
        <v>2702</v>
      </c>
      <c r="AE1512" s="1" t="s">
        <v>325</v>
      </c>
      <c r="AF1512" s="1" t="s">
        <v>2702</v>
      </c>
      <c r="AH1512" s="1" t="s">
        <v>15429</v>
      </c>
      <c r="AK1512" s="1">
        <v>10.0</v>
      </c>
      <c r="AL1512" s="1">
        <v>4.0</v>
      </c>
      <c r="AM1512" s="1">
        <v>3.0</v>
      </c>
      <c r="AN1512" s="1">
        <v>1.0</v>
      </c>
      <c r="AO1512" s="1" t="s">
        <v>198</v>
      </c>
      <c r="AP1512" s="1">
        <v>1.0</v>
      </c>
      <c r="AQ1512" s="1" t="s">
        <v>198</v>
      </c>
      <c r="AR1512" s="1" t="s">
        <v>192</v>
      </c>
      <c r="AS1512" s="1" t="s">
        <v>199</v>
      </c>
      <c r="AT1512" s="1">
        <v>2.0</v>
      </c>
      <c r="AV1512" s="1" t="s">
        <v>200</v>
      </c>
      <c r="AW1512" s="1">
        <v>7970.0</v>
      </c>
      <c r="AX1512" s="1">
        <v>2013.0</v>
      </c>
      <c r="AY1512" s="1" t="s">
        <v>387</v>
      </c>
      <c r="AZ1512" s="1" t="s">
        <v>200</v>
      </c>
      <c r="BA1512" s="1" t="str">
        <f>"1215304053"</f>
        <v>1215304053</v>
      </c>
      <c r="BC1512" s="1">
        <v>2026.0</v>
      </c>
      <c r="BD1512" s="1">
        <v>281000.0</v>
      </c>
      <c r="BE1512" s="2">
        <v>42082.0</v>
      </c>
      <c r="BF1512" s="2" t="s">
        <v>15430</v>
      </c>
      <c r="BH1512" s="1">
        <v>0.0</v>
      </c>
      <c r="BK1512" s="1" t="s">
        <v>204</v>
      </c>
      <c r="BL1512" s="1" t="str">
        <f t="shared" ref="BL1512:BM1512" si="992">"0"</f>
        <v>0</v>
      </c>
      <c r="BM1512" s="1" t="str">
        <f t="shared" si="992"/>
        <v>0</v>
      </c>
      <c r="BN1512" s="1">
        <v>35.0</v>
      </c>
      <c r="BO1512" s="1">
        <v>0.0</v>
      </c>
      <c r="BQ1512" s="1">
        <v>101.0</v>
      </c>
      <c r="BR1512" s="1">
        <v>101.0</v>
      </c>
      <c r="BS1512" s="1">
        <v>101.0</v>
      </c>
      <c r="BU1512" s="1" t="s">
        <v>955</v>
      </c>
      <c r="BV1512" s="1" t="s">
        <v>206</v>
      </c>
      <c r="BW1512" s="1" t="s">
        <v>210</v>
      </c>
      <c r="BX1512" s="1" t="s">
        <v>239</v>
      </c>
      <c r="BY1512" s="1" t="s">
        <v>211</v>
      </c>
      <c r="BZ1512" s="1" t="s">
        <v>209</v>
      </c>
      <c r="CA1512" s="1" t="s">
        <v>210</v>
      </c>
      <c r="CB1512" s="1" t="s">
        <v>239</v>
      </c>
      <c r="CC1512" s="1" t="s">
        <v>699</v>
      </c>
      <c r="CD1512" s="1" t="s">
        <v>206</v>
      </c>
      <c r="CE1512" s="1" t="s">
        <v>210</v>
      </c>
      <c r="CF1512" s="1" t="s">
        <v>239</v>
      </c>
      <c r="CG1512" s="1" t="s">
        <v>699</v>
      </c>
      <c r="CH1512" s="1" t="s">
        <v>209</v>
      </c>
      <c r="CI1512" s="1" t="s">
        <v>210</v>
      </c>
      <c r="CJ1512" s="1" t="s">
        <v>239</v>
      </c>
      <c r="CK1512" s="1" t="s">
        <v>212</v>
      </c>
      <c r="CL1512" s="1" t="s">
        <v>209</v>
      </c>
      <c r="CM1512" s="1" t="s">
        <v>210</v>
      </c>
      <c r="CN1512" s="1" t="s">
        <v>239</v>
      </c>
      <c r="CO1512" s="1" t="s">
        <v>699</v>
      </c>
      <c r="CP1512" s="1" t="s">
        <v>209</v>
      </c>
      <c r="CQ1512" s="1" t="s">
        <v>210</v>
      </c>
      <c r="CR1512" s="1" t="s">
        <v>239</v>
      </c>
      <c r="CS1512" s="1" t="s">
        <v>6146</v>
      </c>
      <c r="CT1512" s="1" t="s">
        <v>206</v>
      </c>
      <c r="CU1512" s="1" t="s">
        <v>268</v>
      </c>
      <c r="CW1512" s="1" t="s">
        <v>1426</v>
      </c>
      <c r="CX1512" s="1" t="s">
        <v>206</v>
      </c>
      <c r="CY1512" s="1" t="s">
        <v>210</v>
      </c>
      <c r="CZ1512" s="1" t="s">
        <v>239</v>
      </c>
      <c r="DA1512" s="1" t="s">
        <v>200</v>
      </c>
      <c r="DC1512" s="1" t="s">
        <v>395</v>
      </c>
      <c r="DD1512" s="1" t="s">
        <v>396</v>
      </c>
      <c r="DE1512" s="1" t="s">
        <v>273</v>
      </c>
      <c r="DF1512" s="1" t="s">
        <v>219</v>
      </c>
      <c r="DG1512" s="1" t="s">
        <v>1400</v>
      </c>
      <c r="DH1512" s="1" t="s">
        <v>220</v>
      </c>
      <c r="DI1512" s="1" t="s">
        <v>519</v>
      </c>
      <c r="DJ1512" s="1" t="s">
        <v>1048</v>
      </c>
      <c r="DK1512" s="1" t="s">
        <v>2312</v>
      </c>
      <c r="DL1512" s="1" t="s">
        <v>1161</v>
      </c>
      <c r="DM1512" s="1" t="s">
        <v>1658</v>
      </c>
      <c r="DO1512" s="1" t="s">
        <v>549</v>
      </c>
      <c r="DP1512" s="1" t="s">
        <v>340</v>
      </c>
      <c r="DQ1512" s="1" t="s">
        <v>228</v>
      </c>
      <c r="DR1512" s="1" t="s">
        <v>229</v>
      </c>
      <c r="DS1512" s="1" t="s">
        <v>230</v>
      </c>
      <c r="DU1512" s="1" t="s">
        <v>15431</v>
      </c>
      <c r="DV1512" s="1" t="s">
        <v>4596</v>
      </c>
      <c r="DW1512" s="1" t="s">
        <v>15432</v>
      </c>
      <c r="DX1512" s="1" t="s">
        <v>280</v>
      </c>
      <c r="DY1512" s="1" t="s">
        <v>12590</v>
      </c>
      <c r="DZ1512" s="1" t="s">
        <v>15433</v>
      </c>
      <c r="EA1512" s="1" t="s">
        <v>447</v>
      </c>
      <c r="EB1512" s="1" t="s">
        <v>448</v>
      </c>
      <c r="EC1512" s="1" t="s">
        <v>237</v>
      </c>
      <c r="ED1512" s="1" t="s">
        <v>407</v>
      </c>
      <c r="EG1512" s="1" t="s">
        <v>598</v>
      </c>
      <c r="EH1512" s="1" t="s">
        <v>450</v>
      </c>
      <c r="EI1512" s="1" t="s">
        <v>1102</v>
      </c>
      <c r="EL1512" s="1" t="s">
        <v>541</v>
      </c>
      <c r="EM1512" s="1" t="s">
        <v>42</v>
      </c>
      <c r="EN1512" s="1" t="s">
        <v>210</v>
      </c>
      <c r="EP1512" s="1" t="s">
        <v>854</v>
      </c>
      <c r="EQ1512" s="1" t="s">
        <v>42</v>
      </c>
      <c r="ER1512" s="1" t="s">
        <v>210</v>
      </c>
      <c r="ES1512" s="1" t="s">
        <v>239</v>
      </c>
      <c r="ET1512" s="1" t="s">
        <v>215</v>
      </c>
      <c r="EU1512" s="1" t="s">
        <v>206</v>
      </c>
      <c r="EV1512" s="1" t="s">
        <v>210</v>
      </c>
      <c r="EW1512" s="1" t="s">
        <v>239</v>
      </c>
      <c r="EY1512" s="1" t="s">
        <v>238</v>
      </c>
      <c r="FC1512" s="1" t="s">
        <v>238</v>
      </c>
      <c r="FF1512" s="1" t="s">
        <v>239</v>
      </c>
      <c r="FG1512" s="1" t="s">
        <v>192</v>
      </c>
      <c r="FH1512" s="1" t="s">
        <v>192</v>
      </c>
      <c r="FJ1512" s="1" t="s">
        <v>770</v>
      </c>
      <c r="FK1512" s="1" t="s">
        <v>348</v>
      </c>
      <c r="FL1512" s="1" t="s">
        <v>1212</v>
      </c>
      <c r="FM1512" s="1">
        <v>30.0</v>
      </c>
      <c r="FN1512" s="1" t="s">
        <v>1213</v>
      </c>
      <c r="FO1512" s="1" t="s">
        <v>1826</v>
      </c>
      <c r="FP1512" s="1">
        <v>499.0</v>
      </c>
      <c r="FQ1512" s="1" t="s">
        <v>1827</v>
      </c>
      <c r="FU1512" s="1" t="s">
        <v>15434</v>
      </c>
      <c r="FV1512" s="1" t="s">
        <v>200</v>
      </c>
      <c r="FW1512" s="1" t="s">
        <v>290</v>
      </c>
      <c r="FZ1512" s="1" t="s">
        <v>229</v>
      </c>
      <c r="GA1512" s="1" t="s">
        <v>291</v>
      </c>
      <c r="GB1512" s="2">
        <v>42127.0</v>
      </c>
      <c r="GC1512" s="1" t="s">
        <v>15435</v>
      </c>
    </row>
    <row r="1513">
      <c r="A1513" s="1">
        <v>380500.0</v>
      </c>
      <c r="B1513" s="1" t="s">
        <v>185</v>
      </c>
      <c r="C1513" s="1" t="str">
        <f>"08863615"</f>
        <v>08863615</v>
      </c>
      <c r="D1513" s="1" t="s">
        <v>186</v>
      </c>
      <c r="F1513" s="1" t="str">
        <f>"10"</f>
        <v>10</v>
      </c>
      <c r="G1513" s="2">
        <v>42080.0</v>
      </c>
      <c r="H1513" s="1">
        <v>374000.0</v>
      </c>
      <c r="I1513" s="1">
        <v>3.0</v>
      </c>
      <c r="J1513" s="1">
        <v>374000.0</v>
      </c>
      <c r="K1513" s="2">
        <v>42082.0</v>
      </c>
      <c r="L1513" s="1">
        <v>3.0</v>
      </c>
      <c r="M1513" s="2">
        <v>42082.0</v>
      </c>
      <c r="N1513" s="1" t="s">
        <v>187</v>
      </c>
      <c r="O1513" s="2">
        <v>42129.0</v>
      </c>
      <c r="P1513" s="1">
        <v>88805.0</v>
      </c>
      <c r="Q1513" s="1">
        <v>8666.0</v>
      </c>
      <c r="S1513" s="1">
        <v>23289.0</v>
      </c>
      <c r="T1513" s="1" t="s">
        <v>15436</v>
      </c>
      <c r="U1513" s="1" t="s">
        <v>420</v>
      </c>
      <c r="V1513" s="1" t="s">
        <v>914</v>
      </c>
      <c r="W1513" s="1">
        <v>60010.0</v>
      </c>
      <c r="Y1513" s="1" t="s">
        <v>15437</v>
      </c>
      <c r="Z1513" s="1">
        <v>1978.0</v>
      </c>
      <c r="AA1513" s="1" t="s">
        <v>200</v>
      </c>
      <c r="AB1513" s="1" t="s">
        <v>193</v>
      </c>
      <c r="AC1513" s="1" t="s">
        <v>15438</v>
      </c>
      <c r="AD1513" s="1" t="s">
        <v>916</v>
      </c>
      <c r="AE1513" s="1" t="s">
        <v>917</v>
      </c>
      <c r="AF1513" s="1" t="s">
        <v>918</v>
      </c>
      <c r="AG1513" s="1" t="s">
        <v>15439</v>
      </c>
      <c r="AH1513" s="1">
        <v>41606.0</v>
      </c>
      <c r="AI1513" s="1">
        <v>0.95</v>
      </c>
      <c r="AK1513" s="1">
        <v>9.0</v>
      </c>
      <c r="AL1513" s="1">
        <v>4.0</v>
      </c>
      <c r="AM1513" s="1">
        <v>2.0</v>
      </c>
      <c r="AN1513" s="1">
        <v>2.0</v>
      </c>
      <c r="AO1513" s="1" t="s">
        <v>198</v>
      </c>
      <c r="AP1513" s="1">
        <v>1.0</v>
      </c>
      <c r="AQ1513" s="1" t="s">
        <v>1314</v>
      </c>
      <c r="AR1513" s="1" t="s">
        <v>200</v>
      </c>
      <c r="AS1513" s="1" t="s">
        <v>199</v>
      </c>
      <c r="AT1513" s="1">
        <v>3.0</v>
      </c>
      <c r="AV1513" s="1" t="s">
        <v>200</v>
      </c>
      <c r="AW1513" s="1">
        <v>11613.0</v>
      </c>
      <c r="AX1513" s="1">
        <v>2013.0</v>
      </c>
      <c r="AY1513" s="1" t="s">
        <v>229</v>
      </c>
      <c r="AZ1513" s="1" t="s">
        <v>200</v>
      </c>
      <c r="BA1513" s="1" t="str">
        <f>"14294040300000"</f>
        <v>14294040300000</v>
      </c>
      <c r="BB1513" s="1" t="s">
        <v>200</v>
      </c>
      <c r="BC1513" s="1">
        <v>2634.0</v>
      </c>
      <c r="BD1513" s="1">
        <v>380500.0</v>
      </c>
      <c r="BE1513" s="2">
        <v>42080.0</v>
      </c>
      <c r="BF1513" s="2" t="s">
        <v>15440</v>
      </c>
      <c r="BG1513" s="1" t="s">
        <v>921</v>
      </c>
      <c r="BH1513" s="1">
        <v>0.0</v>
      </c>
      <c r="BI1513" s="1" t="s">
        <v>15441</v>
      </c>
      <c r="BJ1513" s="1" t="s">
        <v>923</v>
      </c>
      <c r="BK1513" s="1" t="s">
        <v>204</v>
      </c>
      <c r="BL1513" s="1" t="str">
        <f>"21"</f>
        <v>21</v>
      </c>
      <c r="BM1513" s="1" t="str">
        <f>"0"</f>
        <v>0</v>
      </c>
      <c r="BN1513" s="1">
        <v>23.0</v>
      </c>
      <c r="BO1513" s="1">
        <v>0.0</v>
      </c>
      <c r="BQ1513" s="1">
        <v>95.0</v>
      </c>
      <c r="BR1513" s="1">
        <v>95.0</v>
      </c>
      <c r="BS1513" s="1">
        <v>95.0</v>
      </c>
      <c r="BU1513" s="1" t="s">
        <v>480</v>
      </c>
      <c r="BV1513" s="1" t="s">
        <v>206</v>
      </c>
      <c r="BW1513" s="1" t="s">
        <v>207</v>
      </c>
      <c r="BX1513" s="1" t="s">
        <v>239</v>
      </c>
      <c r="BY1513" s="1" t="s">
        <v>260</v>
      </c>
      <c r="BZ1513" s="1" t="s">
        <v>209</v>
      </c>
      <c r="CA1513" s="1" t="s">
        <v>210</v>
      </c>
      <c r="CB1513" s="1" t="s">
        <v>239</v>
      </c>
      <c r="CC1513" s="1" t="s">
        <v>262</v>
      </c>
      <c r="CD1513" s="1" t="s">
        <v>206</v>
      </c>
      <c r="CE1513" s="1" t="s">
        <v>207</v>
      </c>
      <c r="CF1513" s="1" t="s">
        <v>239</v>
      </c>
      <c r="CG1513" s="1" t="s">
        <v>433</v>
      </c>
      <c r="CH1513" s="1" t="s">
        <v>209</v>
      </c>
      <c r="CI1513" s="1" t="s">
        <v>210</v>
      </c>
      <c r="CJ1513" s="1" t="s">
        <v>239</v>
      </c>
      <c r="CK1513" s="1" t="s">
        <v>332</v>
      </c>
      <c r="CL1513" s="1" t="s">
        <v>209</v>
      </c>
      <c r="CM1513" s="1" t="s">
        <v>210</v>
      </c>
      <c r="CN1513" s="1" t="s">
        <v>239</v>
      </c>
      <c r="CO1513" s="1" t="s">
        <v>264</v>
      </c>
      <c r="CP1513" s="1" t="s">
        <v>209</v>
      </c>
      <c r="CQ1513" s="1" t="s">
        <v>210</v>
      </c>
      <c r="CR1513" s="1" t="s">
        <v>239</v>
      </c>
      <c r="CS1513" s="1" t="s">
        <v>2181</v>
      </c>
      <c r="CT1513" s="1" t="s">
        <v>206</v>
      </c>
      <c r="CU1513" s="1" t="s">
        <v>301</v>
      </c>
      <c r="CW1513" s="1" t="s">
        <v>6783</v>
      </c>
      <c r="CX1513" s="1" t="s">
        <v>267</v>
      </c>
      <c r="CY1513" s="1" t="s">
        <v>210</v>
      </c>
      <c r="CZ1513" s="1" t="s">
        <v>239</v>
      </c>
      <c r="DA1513" s="1" t="s">
        <v>200</v>
      </c>
      <c r="DC1513" s="1" t="s">
        <v>395</v>
      </c>
      <c r="DD1513" s="1" t="s">
        <v>217</v>
      </c>
      <c r="DE1513" s="1" t="s">
        <v>273</v>
      </c>
      <c r="DF1513" s="1" t="s">
        <v>219</v>
      </c>
      <c r="DG1513" s="1" t="s">
        <v>1553</v>
      </c>
      <c r="DH1513" s="1" t="s">
        <v>856</v>
      </c>
      <c r="DI1513" s="1" t="s">
        <v>5225</v>
      </c>
      <c r="DJ1513" s="1" t="s">
        <v>857</v>
      </c>
      <c r="DL1513" s="1" t="s">
        <v>224</v>
      </c>
      <c r="DM1513" s="1" t="s">
        <v>229</v>
      </c>
      <c r="DN1513" s="1" t="s">
        <v>548</v>
      </c>
      <c r="DO1513" s="1" t="s">
        <v>440</v>
      </c>
      <c r="DP1513" s="1" t="s">
        <v>340</v>
      </c>
      <c r="DQ1513" s="1" t="s">
        <v>1557</v>
      </c>
      <c r="DR1513" s="1" t="s">
        <v>229</v>
      </c>
      <c r="DS1513" s="1" t="s">
        <v>401</v>
      </c>
      <c r="DU1513" s="1" t="s">
        <v>3625</v>
      </c>
      <c r="DV1513" s="1" t="s">
        <v>15442</v>
      </c>
      <c r="DW1513" s="1" t="s">
        <v>934</v>
      </c>
      <c r="DX1513" s="1" t="s">
        <v>309</v>
      </c>
      <c r="DY1513" s="1" t="s">
        <v>490</v>
      </c>
      <c r="DZ1513" s="1" t="s">
        <v>310</v>
      </c>
      <c r="EA1513" s="1" t="s">
        <v>283</v>
      </c>
      <c r="EB1513" s="1" t="s">
        <v>15443</v>
      </c>
      <c r="EC1513" s="1" t="s">
        <v>284</v>
      </c>
      <c r="ED1513" s="1" t="s">
        <v>407</v>
      </c>
      <c r="EE1513" s="1" t="s">
        <v>187</v>
      </c>
      <c r="EG1513" s="1" t="s">
        <v>450</v>
      </c>
      <c r="EH1513" s="1" t="s">
        <v>408</v>
      </c>
      <c r="EI1513" s="1" t="s">
        <v>588</v>
      </c>
      <c r="EL1513" s="1" t="s">
        <v>6425</v>
      </c>
      <c r="EM1513" s="1" t="s">
        <v>267</v>
      </c>
      <c r="EN1513" s="1" t="s">
        <v>588</v>
      </c>
      <c r="EO1513" s="1" t="s">
        <v>239</v>
      </c>
      <c r="EP1513" s="1" t="s">
        <v>5382</v>
      </c>
      <c r="EQ1513" s="1" t="s">
        <v>206</v>
      </c>
      <c r="ER1513" s="1" t="s">
        <v>1065</v>
      </c>
      <c r="ET1513" s="1" t="s">
        <v>332</v>
      </c>
      <c r="EU1513" s="1" t="s">
        <v>209</v>
      </c>
      <c r="EV1513" s="1" t="s">
        <v>210</v>
      </c>
      <c r="EW1513" s="1" t="s">
        <v>239</v>
      </c>
      <c r="EY1513" s="1" t="s">
        <v>238</v>
      </c>
      <c r="FC1513" s="1" t="s">
        <v>238</v>
      </c>
      <c r="FF1513" s="1" t="s">
        <v>239</v>
      </c>
      <c r="FG1513" s="1" t="s">
        <v>192</v>
      </c>
      <c r="FH1513" s="1" t="s">
        <v>192</v>
      </c>
      <c r="FJ1513" s="1" t="s">
        <v>1123</v>
      </c>
      <c r="FK1513" s="1" t="s">
        <v>229</v>
      </c>
      <c r="FL1513" s="1" t="s">
        <v>5530</v>
      </c>
      <c r="FM1513" s="1">
        <v>8079.0</v>
      </c>
      <c r="FN1513" s="1" t="s">
        <v>5531</v>
      </c>
      <c r="FO1513" s="1" t="s">
        <v>8450</v>
      </c>
      <c r="FP1513" s="1">
        <v>80663.0</v>
      </c>
      <c r="FQ1513" s="1" t="s">
        <v>8451</v>
      </c>
      <c r="FS1513" s="1" t="s">
        <v>8452</v>
      </c>
      <c r="FU1513" s="1" t="s">
        <v>1751</v>
      </c>
      <c r="FV1513" s="1" t="s">
        <v>200</v>
      </c>
      <c r="FW1513" s="1" t="s">
        <v>290</v>
      </c>
      <c r="FX1513" s="1" t="s">
        <v>246</v>
      </c>
      <c r="FZ1513" s="1" t="s">
        <v>229</v>
      </c>
      <c r="GA1513" s="1" t="s">
        <v>291</v>
      </c>
      <c r="GB1513" s="2">
        <v>42129.0</v>
      </c>
      <c r="GC1513" s="1" t="s">
        <v>15444</v>
      </c>
    </row>
    <row r="1514">
      <c r="A1514" s="1">
        <v>225000.0</v>
      </c>
      <c r="B1514" s="1" t="s">
        <v>185</v>
      </c>
      <c r="C1514" s="1" t="str">
        <f>"08867474"</f>
        <v>08867474</v>
      </c>
      <c r="D1514" s="1" t="s">
        <v>186</v>
      </c>
      <c r="F1514" s="1" t="str">
        <f>"8043"</f>
        <v>8043</v>
      </c>
      <c r="G1514" s="2">
        <v>42083.0</v>
      </c>
      <c r="H1514" s="1">
        <v>225000.0</v>
      </c>
      <c r="I1514" s="1">
        <v>2.0</v>
      </c>
      <c r="J1514" s="1">
        <v>225000.0</v>
      </c>
      <c r="K1514" s="2">
        <v>42083.0</v>
      </c>
      <c r="L1514" s="1">
        <v>2.0</v>
      </c>
      <c r="M1514" s="2">
        <v>42083.0</v>
      </c>
      <c r="N1514" s="1" t="s">
        <v>634</v>
      </c>
      <c r="O1514" s="2">
        <v>42136.0</v>
      </c>
      <c r="P1514" s="1">
        <v>501194.0</v>
      </c>
      <c r="Q1514" s="1">
        <v>51720.0</v>
      </c>
      <c r="R1514" s="1">
        <v>3.0</v>
      </c>
      <c r="S1514" s="1">
        <v>7638.0</v>
      </c>
      <c r="T1514" s="1" t="s">
        <v>15445</v>
      </c>
      <c r="U1514" s="1" t="s">
        <v>189</v>
      </c>
      <c r="V1514" s="1" t="s">
        <v>190</v>
      </c>
      <c r="W1514" s="1">
        <v>60649.0</v>
      </c>
      <c r="Y1514" s="1" t="s">
        <v>15446</v>
      </c>
      <c r="Z1514" s="1">
        <v>1913.0</v>
      </c>
      <c r="AA1514" s="1" t="s">
        <v>192</v>
      </c>
      <c r="AB1514" s="1" t="s">
        <v>193</v>
      </c>
      <c r="AD1514" s="1" t="s">
        <v>194</v>
      </c>
      <c r="AE1514" s="1" t="s">
        <v>195</v>
      </c>
      <c r="AF1514" s="1" t="s">
        <v>637</v>
      </c>
      <c r="AH1514" s="1">
        <v>4572.0</v>
      </c>
      <c r="AI1514" s="1">
        <v>0.105</v>
      </c>
      <c r="AK1514" s="1">
        <v>9.0</v>
      </c>
      <c r="AL1514" s="1">
        <v>3.0</v>
      </c>
      <c r="AM1514" s="1">
        <v>3.0</v>
      </c>
      <c r="AN1514" s="1">
        <v>0.0</v>
      </c>
      <c r="AO1514" s="1" t="s">
        <v>198</v>
      </c>
      <c r="AQ1514" s="1" t="s">
        <v>198</v>
      </c>
      <c r="AR1514" s="1" t="s">
        <v>192</v>
      </c>
      <c r="AS1514" s="1" t="s">
        <v>199</v>
      </c>
      <c r="AT1514" s="1">
        <v>2.0</v>
      </c>
      <c r="AV1514" s="1" t="s">
        <v>200</v>
      </c>
      <c r="AW1514" s="1">
        <v>1916.85</v>
      </c>
      <c r="AX1514" s="1">
        <v>2013.0</v>
      </c>
      <c r="AZ1514" s="1" t="s">
        <v>200</v>
      </c>
      <c r="BA1514" s="1" t="str">
        <f>"20253120280000"</f>
        <v>20253120280000</v>
      </c>
      <c r="BC1514" s="1">
        <v>1500.0</v>
      </c>
      <c r="BD1514" s="1">
        <v>225000.0</v>
      </c>
      <c r="BE1514" s="2">
        <v>42082.0</v>
      </c>
      <c r="BF1514" s="2" t="s">
        <v>15447</v>
      </c>
      <c r="BH1514" s="1">
        <v>0.0</v>
      </c>
      <c r="BK1514" s="1" t="s">
        <v>204</v>
      </c>
      <c r="BL1514" s="1" t="str">
        <f t="shared" ref="BL1514:BL1515" si="993">"0"</f>
        <v>0</v>
      </c>
      <c r="BM1514" s="1" t="str">
        <f>"1832"</f>
        <v>1832</v>
      </c>
      <c r="BN1514" s="1">
        <v>0.0</v>
      </c>
      <c r="BO1514" s="1">
        <v>7638.0</v>
      </c>
      <c r="BQ1514" s="1">
        <v>299.0</v>
      </c>
      <c r="BR1514" s="1">
        <v>299.0</v>
      </c>
      <c r="BS1514" s="1">
        <v>299.0</v>
      </c>
      <c r="BU1514" s="1" t="s">
        <v>333</v>
      </c>
      <c r="BV1514" s="1" t="s">
        <v>206</v>
      </c>
      <c r="BW1514" s="1" t="s">
        <v>207</v>
      </c>
      <c r="BY1514" s="1" t="s">
        <v>1535</v>
      </c>
      <c r="BZ1514" s="1" t="s">
        <v>209</v>
      </c>
      <c r="CA1514" s="1" t="s">
        <v>210</v>
      </c>
      <c r="CC1514" s="1" t="s">
        <v>543</v>
      </c>
      <c r="CD1514" s="1" t="s">
        <v>206</v>
      </c>
      <c r="CE1514" s="1" t="s">
        <v>207</v>
      </c>
      <c r="CG1514" s="1" t="s">
        <v>478</v>
      </c>
      <c r="CH1514" s="1" t="s">
        <v>206</v>
      </c>
      <c r="CI1514" s="1" t="s">
        <v>210</v>
      </c>
      <c r="CK1514" s="1" t="s">
        <v>495</v>
      </c>
      <c r="CL1514" s="1" t="s">
        <v>206</v>
      </c>
      <c r="CM1514" s="1" t="s">
        <v>210</v>
      </c>
      <c r="CO1514" s="1" t="s">
        <v>497</v>
      </c>
      <c r="CP1514" s="1" t="s">
        <v>42</v>
      </c>
      <c r="CQ1514" s="1" t="s">
        <v>268</v>
      </c>
      <c r="CS1514" s="1" t="s">
        <v>454</v>
      </c>
      <c r="CT1514" s="1" t="s">
        <v>206</v>
      </c>
      <c r="CU1514" s="1" t="s">
        <v>207</v>
      </c>
      <c r="CW1514" s="1" t="s">
        <v>3123</v>
      </c>
      <c r="CX1514" s="1" t="s">
        <v>42</v>
      </c>
      <c r="DA1514" s="1" t="s">
        <v>200</v>
      </c>
      <c r="DC1514" s="1" t="s">
        <v>642</v>
      </c>
      <c r="DE1514" s="1" t="s">
        <v>273</v>
      </c>
      <c r="DF1514" s="1" t="s">
        <v>219</v>
      </c>
      <c r="DH1514" s="1" t="s">
        <v>220</v>
      </c>
      <c r="DI1514" s="1" t="s">
        <v>366</v>
      </c>
      <c r="DJ1514" s="1" t="s">
        <v>222</v>
      </c>
      <c r="DL1514" s="1" t="s">
        <v>224</v>
      </c>
      <c r="DM1514" s="1" t="s">
        <v>229</v>
      </c>
      <c r="DQ1514" s="1" t="s">
        <v>228</v>
      </c>
      <c r="DR1514" s="1" t="s">
        <v>229</v>
      </c>
      <c r="DS1514" s="1" t="s">
        <v>230</v>
      </c>
      <c r="DV1514" s="1" t="s">
        <v>598</v>
      </c>
      <c r="DW1514" s="1" t="s">
        <v>444</v>
      </c>
      <c r="DX1514" s="1" t="s">
        <v>234</v>
      </c>
      <c r="DY1514" s="1" t="s">
        <v>553</v>
      </c>
      <c r="EC1514" s="1" t="s">
        <v>237</v>
      </c>
      <c r="EE1514" s="1" t="s">
        <v>493</v>
      </c>
      <c r="EG1514" s="1" t="s">
        <v>598</v>
      </c>
      <c r="EL1514" s="1" t="s">
        <v>1796</v>
      </c>
      <c r="EM1514" s="1" t="s">
        <v>209</v>
      </c>
      <c r="EN1514" s="1" t="s">
        <v>210</v>
      </c>
      <c r="EQ1514" s="1" t="s">
        <v>238</v>
      </c>
      <c r="EU1514" s="1" t="s">
        <v>238</v>
      </c>
      <c r="EY1514" s="1" t="s">
        <v>238</v>
      </c>
      <c r="FC1514" s="1" t="s">
        <v>238</v>
      </c>
      <c r="FF1514" s="1" t="s">
        <v>239</v>
      </c>
      <c r="FG1514" s="1" t="s">
        <v>192</v>
      </c>
      <c r="FH1514" s="1" t="s">
        <v>192</v>
      </c>
      <c r="FJ1514" s="1" t="s">
        <v>648</v>
      </c>
      <c r="FK1514" s="1" t="s">
        <v>229</v>
      </c>
      <c r="FL1514" s="1" t="s">
        <v>649</v>
      </c>
      <c r="FM1514" s="1">
        <v>60296.0</v>
      </c>
      <c r="FN1514" s="1" t="s">
        <v>650</v>
      </c>
      <c r="FO1514" s="1" t="s">
        <v>651</v>
      </c>
      <c r="FP1514" s="1">
        <v>602837.0</v>
      </c>
      <c r="FQ1514" s="1" t="s">
        <v>652</v>
      </c>
      <c r="FR1514" s="1">
        <v>602442.0</v>
      </c>
      <c r="FU1514" s="1" t="s">
        <v>653</v>
      </c>
      <c r="FV1514" s="1" t="s">
        <v>200</v>
      </c>
      <c r="FW1514" s="1" t="s">
        <v>654</v>
      </c>
      <c r="FX1514" s="1" t="s">
        <v>655</v>
      </c>
      <c r="FZ1514" s="1" t="s">
        <v>229</v>
      </c>
      <c r="GA1514" s="1" t="s">
        <v>291</v>
      </c>
      <c r="GB1514" s="2">
        <v>42138.0</v>
      </c>
      <c r="GC1514" s="1" t="s">
        <v>1372</v>
      </c>
    </row>
    <row r="1515">
      <c r="A1515" s="1">
        <v>82500.0</v>
      </c>
      <c r="B1515" s="1" t="s">
        <v>185</v>
      </c>
      <c r="C1515" s="1" t="str">
        <f>"08863584"</f>
        <v>08863584</v>
      </c>
      <c r="D1515" s="1" t="s">
        <v>186</v>
      </c>
      <c r="F1515" s="1" t="str">
        <f>"8062"</f>
        <v>8062</v>
      </c>
      <c r="G1515" s="2">
        <v>42080.0</v>
      </c>
      <c r="H1515" s="1">
        <v>89900.0</v>
      </c>
      <c r="I1515" s="1">
        <v>30.0</v>
      </c>
      <c r="J1515" s="1">
        <v>89900.0</v>
      </c>
      <c r="K1515" s="2">
        <v>42109.0</v>
      </c>
      <c r="L1515" s="1">
        <v>30.0</v>
      </c>
      <c r="M1515" s="2">
        <v>42109.0</v>
      </c>
      <c r="N1515" s="1" t="s">
        <v>249</v>
      </c>
      <c r="O1515" s="2">
        <v>42124.0</v>
      </c>
      <c r="P1515" s="1">
        <v>877532.0</v>
      </c>
      <c r="Q1515" s="1">
        <v>12952.0</v>
      </c>
      <c r="S1515" s="1">
        <v>3606.0</v>
      </c>
      <c r="T1515" s="1" t="s">
        <v>15448</v>
      </c>
      <c r="U1515" s="1" t="s">
        <v>694</v>
      </c>
      <c r="V1515" s="1" t="s">
        <v>190</v>
      </c>
      <c r="W1515" s="1">
        <v>60629.0</v>
      </c>
      <c r="Y1515" s="1" t="s">
        <v>15449</v>
      </c>
      <c r="Z1515" s="1">
        <v>1916.0</v>
      </c>
      <c r="AA1515" s="1" t="s">
        <v>192</v>
      </c>
      <c r="AB1515" s="1" t="s">
        <v>193</v>
      </c>
      <c r="AD1515" s="1" t="s">
        <v>194</v>
      </c>
      <c r="AE1515" s="1" t="s">
        <v>195</v>
      </c>
      <c r="AF1515" s="1" t="s">
        <v>659</v>
      </c>
      <c r="AH1515" s="1" t="s">
        <v>2080</v>
      </c>
      <c r="AI1515" s="1">
        <v>0.0717</v>
      </c>
      <c r="AK1515" s="1">
        <v>8.0</v>
      </c>
      <c r="AL1515" s="1">
        <v>4.0</v>
      </c>
      <c r="AM1515" s="1">
        <v>1.0</v>
      </c>
      <c r="AN1515" s="1">
        <v>1.0</v>
      </c>
      <c r="AO1515" s="1" t="s">
        <v>229</v>
      </c>
      <c r="AQ1515" s="1" t="s">
        <v>198</v>
      </c>
      <c r="AR1515" s="1" t="s">
        <v>200</v>
      </c>
      <c r="AS1515" s="1" t="s">
        <v>199</v>
      </c>
      <c r="AT1515" s="1">
        <v>2.0</v>
      </c>
      <c r="AV1515" s="1" t="s">
        <v>200</v>
      </c>
      <c r="AW1515" s="1">
        <v>2011.69</v>
      </c>
      <c r="AX1515" s="1">
        <v>2013.0</v>
      </c>
      <c r="AZ1515" s="1" t="s">
        <v>200</v>
      </c>
      <c r="BA1515" s="1" t="str">
        <f>"19141110380000"</f>
        <v>19141110380000</v>
      </c>
      <c r="BC1515" s="1">
        <v>1408.0</v>
      </c>
      <c r="BD1515" s="1">
        <v>82500.0</v>
      </c>
      <c r="BE1515" s="2">
        <v>42080.0</v>
      </c>
      <c r="BF1515" s="1" t="s">
        <v>9952</v>
      </c>
      <c r="BH1515" s="1">
        <v>0.0</v>
      </c>
      <c r="BK1515" s="1" t="s">
        <v>204</v>
      </c>
      <c r="BL1515" s="1" t="str">
        <f t="shared" si="993"/>
        <v>0</v>
      </c>
      <c r="BM1515" s="1" t="str">
        <f>"0"</f>
        <v>0</v>
      </c>
      <c r="BN1515" s="1">
        <v>3606.0</v>
      </c>
      <c r="BO1515" s="1">
        <v>5600.0</v>
      </c>
      <c r="BQ1515" s="1">
        <v>299.0</v>
      </c>
      <c r="BR1515" s="1">
        <v>299.0</v>
      </c>
      <c r="BS1515" s="1">
        <v>299.0</v>
      </c>
      <c r="BU1515" s="1" t="s">
        <v>2713</v>
      </c>
      <c r="BV1515" s="1" t="s">
        <v>206</v>
      </c>
      <c r="BY1515" s="1" t="s">
        <v>8694</v>
      </c>
      <c r="BZ1515" s="1" t="s">
        <v>209</v>
      </c>
      <c r="CC1515" s="1" t="s">
        <v>363</v>
      </c>
      <c r="CD1515" s="1" t="s">
        <v>206</v>
      </c>
      <c r="CG1515" s="1" t="s">
        <v>7133</v>
      </c>
      <c r="CH1515" s="1" t="s">
        <v>209</v>
      </c>
      <c r="CK1515" s="1" t="s">
        <v>7760</v>
      </c>
      <c r="CL1515" s="1" t="s">
        <v>209</v>
      </c>
      <c r="CO1515" s="1" t="s">
        <v>8981</v>
      </c>
      <c r="CP1515" s="1" t="s">
        <v>209</v>
      </c>
      <c r="CS1515" s="1" t="s">
        <v>1352</v>
      </c>
      <c r="CT1515" s="1" t="s">
        <v>206</v>
      </c>
      <c r="CX1515" s="1" t="s">
        <v>204</v>
      </c>
      <c r="DA1515" s="1" t="s">
        <v>200</v>
      </c>
      <c r="DC1515" s="1" t="s">
        <v>216</v>
      </c>
      <c r="DE1515" s="1" t="s">
        <v>2851</v>
      </c>
      <c r="DF1515" s="1" t="s">
        <v>619</v>
      </c>
      <c r="DH1515" s="1" t="s">
        <v>220</v>
      </c>
      <c r="DJ1515" s="1" t="s">
        <v>222</v>
      </c>
      <c r="DL1515" s="1" t="s">
        <v>858</v>
      </c>
      <c r="DM1515" s="1" t="s">
        <v>229</v>
      </c>
      <c r="DQ1515" s="1" t="s">
        <v>794</v>
      </c>
      <c r="DR1515" s="1" t="s">
        <v>229</v>
      </c>
      <c r="DV1515" s="1" t="s">
        <v>1729</v>
      </c>
      <c r="DW1515" s="1" t="s">
        <v>667</v>
      </c>
      <c r="DX1515" s="1" t="s">
        <v>234</v>
      </c>
      <c r="EC1515" s="1" t="s">
        <v>237</v>
      </c>
      <c r="EG1515" s="1" t="s">
        <v>1729</v>
      </c>
      <c r="EL1515" s="1" t="s">
        <v>15450</v>
      </c>
      <c r="EM1515" s="1" t="s">
        <v>206</v>
      </c>
      <c r="EQ1515" s="1" t="s">
        <v>238</v>
      </c>
      <c r="EU1515" s="1" t="s">
        <v>238</v>
      </c>
      <c r="EY1515" s="1" t="s">
        <v>238</v>
      </c>
      <c r="FC1515" s="1" t="s">
        <v>238</v>
      </c>
      <c r="FF1515" s="1" t="s">
        <v>239</v>
      </c>
      <c r="FG1515" s="1" t="s">
        <v>192</v>
      </c>
      <c r="FH1515" s="1" t="s">
        <v>192</v>
      </c>
      <c r="FJ1515" s="1" t="s">
        <v>11531</v>
      </c>
      <c r="FK1515" s="1" t="s">
        <v>229</v>
      </c>
      <c r="FL1515" s="1" t="s">
        <v>3358</v>
      </c>
      <c r="FM1515" s="1">
        <v>84818.0</v>
      </c>
      <c r="FN1515" s="1" t="s">
        <v>3359</v>
      </c>
      <c r="FO1515" s="1" t="s">
        <v>3515</v>
      </c>
      <c r="FP1515" s="1">
        <v>110478.0</v>
      </c>
      <c r="FQ1515" s="1" t="s">
        <v>3359</v>
      </c>
      <c r="FU1515" s="1" t="s">
        <v>9953</v>
      </c>
      <c r="FV1515" s="1" t="s">
        <v>200</v>
      </c>
      <c r="FW1515" s="1" t="s">
        <v>9954</v>
      </c>
      <c r="FX1515" s="1" t="s">
        <v>246</v>
      </c>
      <c r="FZ1515" s="1" t="s">
        <v>229</v>
      </c>
      <c r="GA1515" s="1" t="s">
        <v>291</v>
      </c>
      <c r="GB1515" s="2">
        <v>42124.0</v>
      </c>
      <c r="GC1515" s="1" t="s">
        <v>15451</v>
      </c>
    </row>
    <row r="1516">
      <c r="A1516" s="1">
        <v>269900.0</v>
      </c>
      <c r="B1516" s="1" t="s">
        <v>185</v>
      </c>
      <c r="C1516" s="1" t="str">
        <f>"08865770"</f>
        <v>08865770</v>
      </c>
      <c r="D1516" s="1" t="s">
        <v>186</v>
      </c>
      <c r="F1516" s="1" t="str">
        <f>"543"</f>
        <v>543</v>
      </c>
      <c r="G1516" s="2">
        <v>42081.0</v>
      </c>
      <c r="H1516" s="1">
        <v>274900.0</v>
      </c>
      <c r="I1516" s="1">
        <v>4.0</v>
      </c>
      <c r="J1516" s="1">
        <v>274900.0</v>
      </c>
      <c r="K1516" s="2">
        <v>42084.0</v>
      </c>
      <c r="L1516" s="1">
        <v>4.0</v>
      </c>
      <c r="M1516" s="2">
        <v>42084.0</v>
      </c>
      <c r="N1516" s="1" t="s">
        <v>187</v>
      </c>
      <c r="O1516" s="2">
        <v>42125.0</v>
      </c>
      <c r="P1516" s="1">
        <v>230502.0</v>
      </c>
      <c r="Q1516" s="1">
        <v>23591.0</v>
      </c>
      <c r="S1516" s="1">
        <v>416.0</v>
      </c>
      <c r="T1516" s="1" t="s">
        <v>3640</v>
      </c>
      <c r="U1516" s="1" t="s">
        <v>569</v>
      </c>
      <c r="V1516" s="1" t="s">
        <v>1527</v>
      </c>
      <c r="W1516" s="1">
        <v>60543.0</v>
      </c>
      <c r="Y1516" s="1" t="s">
        <v>15452</v>
      </c>
      <c r="Z1516" s="1">
        <v>2003.0</v>
      </c>
      <c r="AA1516" s="1" t="s">
        <v>200</v>
      </c>
      <c r="AB1516" s="1" t="s">
        <v>193</v>
      </c>
      <c r="AC1516" s="1" t="s">
        <v>15453</v>
      </c>
      <c r="AD1516" s="1" t="s">
        <v>1529</v>
      </c>
      <c r="AE1516" s="1" t="s">
        <v>849</v>
      </c>
      <c r="AF1516" s="1" t="s">
        <v>1529</v>
      </c>
      <c r="AG1516" s="1" t="s">
        <v>15454</v>
      </c>
      <c r="AH1516" s="1" t="s">
        <v>15455</v>
      </c>
      <c r="AI1516" s="1">
        <v>0.2722</v>
      </c>
      <c r="AK1516" s="1">
        <v>12.0</v>
      </c>
      <c r="AL1516" s="1">
        <v>4.0</v>
      </c>
      <c r="AM1516" s="1">
        <v>2.0</v>
      </c>
      <c r="AN1516" s="1">
        <v>1.0</v>
      </c>
      <c r="AO1516" s="1" t="s">
        <v>198</v>
      </c>
      <c r="AQ1516" s="1" t="s">
        <v>198</v>
      </c>
      <c r="AR1516" s="1" t="s">
        <v>192</v>
      </c>
      <c r="AS1516" s="1" t="s">
        <v>199</v>
      </c>
      <c r="AT1516" s="1">
        <v>2.0</v>
      </c>
      <c r="AV1516" s="1" t="s">
        <v>200</v>
      </c>
      <c r="AW1516" s="1">
        <v>8271.49</v>
      </c>
      <c r="AX1516" s="1">
        <v>2013.0</v>
      </c>
      <c r="AY1516" s="1" t="s">
        <v>387</v>
      </c>
      <c r="AZ1516" s="1" t="s">
        <v>200</v>
      </c>
      <c r="BA1516" s="1" t="str">
        <f>"0303404009"</f>
        <v>0303404009</v>
      </c>
      <c r="BC1516" s="1">
        <v>2656.0</v>
      </c>
      <c r="BD1516" s="1">
        <v>269900.0</v>
      </c>
      <c r="BE1516" s="2">
        <v>42081.0</v>
      </c>
      <c r="BF1516" s="2" t="s">
        <v>15456</v>
      </c>
      <c r="BG1516" s="1" t="s">
        <v>3646</v>
      </c>
      <c r="BH1516" s="1">
        <v>400.0</v>
      </c>
      <c r="BI1516" s="1" t="s">
        <v>3647</v>
      </c>
      <c r="BJ1516" s="1" t="s">
        <v>2546</v>
      </c>
      <c r="BK1516" s="1" t="s">
        <v>580</v>
      </c>
      <c r="BL1516" s="1" t="str">
        <f t="shared" ref="BL1516:BM1516" si="994">""</f>
        <v/>
      </c>
      <c r="BM1516" s="1" t="str">
        <f t="shared" si="994"/>
        <v/>
      </c>
      <c r="BQ1516" s="1">
        <v>308.0</v>
      </c>
      <c r="BR1516" s="1">
        <v>308.0</v>
      </c>
      <c r="BS1516" s="1">
        <v>308.0</v>
      </c>
      <c r="BU1516" s="1" t="s">
        <v>433</v>
      </c>
      <c r="BV1516" s="1" t="s">
        <v>206</v>
      </c>
      <c r="BW1516" s="1" t="s">
        <v>210</v>
      </c>
      <c r="BX1516" s="1" t="s">
        <v>1549</v>
      </c>
      <c r="BY1516" s="1" t="s">
        <v>208</v>
      </c>
      <c r="BZ1516" s="1" t="s">
        <v>209</v>
      </c>
      <c r="CA1516" s="1" t="s">
        <v>210</v>
      </c>
      <c r="CB1516" s="1" t="s">
        <v>431</v>
      </c>
      <c r="CC1516" s="1" t="s">
        <v>212</v>
      </c>
      <c r="CD1516" s="1" t="s">
        <v>206</v>
      </c>
      <c r="CE1516" s="1" t="s">
        <v>210</v>
      </c>
      <c r="CF1516" s="1" t="s">
        <v>1549</v>
      </c>
      <c r="CG1516" s="1" t="s">
        <v>331</v>
      </c>
      <c r="CH1516" s="1" t="s">
        <v>209</v>
      </c>
      <c r="CI1516" s="1" t="s">
        <v>210</v>
      </c>
      <c r="CJ1516" s="1" t="s">
        <v>431</v>
      </c>
      <c r="CK1516" s="1" t="s">
        <v>363</v>
      </c>
      <c r="CL1516" s="1" t="s">
        <v>209</v>
      </c>
      <c r="CM1516" s="1" t="s">
        <v>210</v>
      </c>
      <c r="CN1516" s="1" t="s">
        <v>431</v>
      </c>
      <c r="CO1516" s="1" t="s">
        <v>212</v>
      </c>
      <c r="CP1516" s="1" t="s">
        <v>209</v>
      </c>
      <c r="CQ1516" s="1" t="s">
        <v>210</v>
      </c>
      <c r="CR1516" s="1" t="s">
        <v>431</v>
      </c>
      <c r="CS1516" s="1" t="s">
        <v>1892</v>
      </c>
      <c r="CT1516" s="1" t="s">
        <v>206</v>
      </c>
      <c r="CU1516" s="1" t="s">
        <v>207</v>
      </c>
      <c r="CV1516" s="1" t="s">
        <v>1549</v>
      </c>
      <c r="CW1516" s="1" t="s">
        <v>260</v>
      </c>
      <c r="CX1516" s="1" t="s">
        <v>206</v>
      </c>
      <c r="CY1516" s="1" t="s">
        <v>210</v>
      </c>
      <c r="CZ1516" s="1" t="s">
        <v>431</v>
      </c>
      <c r="DA1516" s="1" t="s">
        <v>200</v>
      </c>
      <c r="DC1516" s="1" t="s">
        <v>335</v>
      </c>
      <c r="DD1516" s="1" t="s">
        <v>5601</v>
      </c>
      <c r="DE1516" s="1" t="s">
        <v>273</v>
      </c>
      <c r="DF1516" s="1" t="s">
        <v>219</v>
      </c>
      <c r="DG1516" s="1" t="s">
        <v>337</v>
      </c>
      <c r="DH1516" s="1" t="s">
        <v>220</v>
      </c>
      <c r="DI1516" s="1" t="s">
        <v>10035</v>
      </c>
      <c r="DJ1516" s="1" t="s">
        <v>222</v>
      </c>
      <c r="DK1516" s="1" t="s">
        <v>198</v>
      </c>
      <c r="DL1516" s="1" t="s">
        <v>224</v>
      </c>
      <c r="DM1516" s="1" t="s">
        <v>338</v>
      </c>
      <c r="DN1516" s="1" t="s">
        <v>485</v>
      </c>
      <c r="DO1516" s="1" t="s">
        <v>930</v>
      </c>
      <c r="DP1516" s="1" t="s">
        <v>340</v>
      </c>
      <c r="DQ1516" s="1" t="s">
        <v>228</v>
      </c>
      <c r="DR1516" s="1" t="s">
        <v>229</v>
      </c>
      <c r="DS1516" s="1" t="s">
        <v>3008</v>
      </c>
      <c r="DU1516" s="1" t="s">
        <v>15457</v>
      </c>
      <c r="DV1516" s="1" t="s">
        <v>15458</v>
      </c>
      <c r="DW1516" s="1" t="s">
        <v>444</v>
      </c>
      <c r="DX1516" s="1" t="s">
        <v>234</v>
      </c>
      <c r="DY1516" s="1" t="s">
        <v>1051</v>
      </c>
      <c r="DZ1516" s="1" t="s">
        <v>1959</v>
      </c>
      <c r="EA1516" s="1" t="s">
        <v>447</v>
      </c>
      <c r="EC1516" s="1" t="s">
        <v>237</v>
      </c>
      <c r="ED1516" s="1" t="s">
        <v>407</v>
      </c>
      <c r="EE1516" s="1" t="s">
        <v>493</v>
      </c>
      <c r="EG1516" s="1" t="s">
        <v>494</v>
      </c>
      <c r="EH1516" s="1" t="s">
        <v>451</v>
      </c>
      <c r="EI1516" s="1" t="s">
        <v>450</v>
      </c>
      <c r="EJ1516" s="1" t="s">
        <v>1407</v>
      </c>
      <c r="EK1516" s="1" t="s">
        <v>1103</v>
      </c>
      <c r="EL1516" s="1" t="s">
        <v>363</v>
      </c>
      <c r="EM1516" s="1" t="s">
        <v>206</v>
      </c>
      <c r="EN1516" s="1" t="s">
        <v>210</v>
      </c>
      <c r="EO1516" s="1" t="s">
        <v>431</v>
      </c>
      <c r="EP1516" s="1" t="s">
        <v>10676</v>
      </c>
      <c r="EQ1516" s="1" t="s">
        <v>42</v>
      </c>
      <c r="ER1516" s="1" t="s">
        <v>210</v>
      </c>
      <c r="ES1516" s="1" t="s">
        <v>229</v>
      </c>
      <c r="ET1516" s="1" t="s">
        <v>260</v>
      </c>
      <c r="EU1516" s="1" t="s">
        <v>42</v>
      </c>
      <c r="EV1516" s="1" t="s">
        <v>210</v>
      </c>
      <c r="EW1516" s="1" t="s">
        <v>229</v>
      </c>
      <c r="EX1516" s="1" t="s">
        <v>1382</v>
      </c>
      <c r="EY1516" s="1" t="s">
        <v>42</v>
      </c>
      <c r="EZ1516" s="1" t="s">
        <v>210</v>
      </c>
      <c r="FA1516" s="1" t="s">
        <v>229</v>
      </c>
      <c r="FB1516" s="1" t="s">
        <v>3595</v>
      </c>
      <c r="FC1516" s="1" t="s">
        <v>42</v>
      </c>
      <c r="FD1516" s="1" t="s">
        <v>588</v>
      </c>
      <c r="FE1516" s="1" t="s">
        <v>229</v>
      </c>
      <c r="FF1516" s="1" t="s">
        <v>239</v>
      </c>
      <c r="FG1516" s="1" t="s">
        <v>192</v>
      </c>
      <c r="FH1516" s="1" t="s">
        <v>192</v>
      </c>
      <c r="FJ1516" s="1" t="s">
        <v>2206</v>
      </c>
      <c r="FK1516" s="1" t="s">
        <v>229</v>
      </c>
      <c r="FL1516" s="1" t="s">
        <v>2226</v>
      </c>
      <c r="FM1516" s="1">
        <v>300.0</v>
      </c>
      <c r="FN1516" s="1" t="s">
        <v>2227</v>
      </c>
      <c r="FO1516" s="1" t="s">
        <v>15459</v>
      </c>
      <c r="FP1516" s="1">
        <v>8504.0</v>
      </c>
      <c r="FS1516" s="1" t="s">
        <v>15460</v>
      </c>
      <c r="FU1516" s="1" t="s">
        <v>15461</v>
      </c>
      <c r="FV1516" s="1" t="s">
        <v>200</v>
      </c>
      <c r="FW1516" s="1" t="s">
        <v>290</v>
      </c>
      <c r="FZ1516" s="1" t="s">
        <v>632</v>
      </c>
      <c r="GA1516" s="1" t="s">
        <v>291</v>
      </c>
      <c r="GB1516" s="2">
        <v>42125.0</v>
      </c>
      <c r="GC1516" s="1" t="s">
        <v>15462</v>
      </c>
    </row>
    <row r="1517">
      <c r="A1517" s="1">
        <v>197900.0</v>
      </c>
      <c r="B1517" s="1" t="s">
        <v>185</v>
      </c>
      <c r="C1517" s="1" t="str">
        <f>"08864344"</f>
        <v>08864344</v>
      </c>
      <c r="D1517" s="1" t="s">
        <v>186</v>
      </c>
      <c r="F1517" s="1" t="str">
        <f>"8045"</f>
        <v>8045</v>
      </c>
      <c r="G1517" s="2">
        <v>42080.0</v>
      </c>
      <c r="H1517" s="1">
        <v>197900.0</v>
      </c>
      <c r="I1517" s="1">
        <v>158.0</v>
      </c>
      <c r="J1517" s="1">
        <v>197900.0</v>
      </c>
      <c r="K1517" s="2">
        <v>42095.0</v>
      </c>
      <c r="L1517" s="1">
        <v>16.0</v>
      </c>
      <c r="M1517" s="2">
        <v>42095.0</v>
      </c>
      <c r="N1517" s="1" t="s">
        <v>356</v>
      </c>
      <c r="O1517" s="2">
        <v>42142.0</v>
      </c>
      <c r="P1517" s="1">
        <v>214660.0</v>
      </c>
      <c r="Q1517" s="1">
        <v>23556.0</v>
      </c>
      <c r="R1517" s="1">
        <v>3.0</v>
      </c>
      <c r="S1517" s="1">
        <v>8100.0</v>
      </c>
      <c r="T1517" s="1" t="s">
        <v>8960</v>
      </c>
      <c r="U1517" s="1" t="s">
        <v>189</v>
      </c>
      <c r="V1517" s="1" t="s">
        <v>190</v>
      </c>
      <c r="W1517" s="1">
        <v>60619.0</v>
      </c>
      <c r="Y1517" s="1" t="s">
        <v>15463</v>
      </c>
      <c r="Z1517" s="1">
        <v>1919.0</v>
      </c>
      <c r="AA1517" s="1" t="s">
        <v>192</v>
      </c>
      <c r="AB1517" s="1" t="s">
        <v>193</v>
      </c>
      <c r="AD1517" s="1" t="s">
        <v>194</v>
      </c>
      <c r="AE1517" s="1" t="s">
        <v>195</v>
      </c>
      <c r="AF1517" s="1" t="s">
        <v>637</v>
      </c>
      <c r="AH1517" s="1">
        <v>5040.0</v>
      </c>
      <c r="AI1517" s="1">
        <v>0.1157</v>
      </c>
      <c r="AK1517" s="1">
        <v>9.0</v>
      </c>
      <c r="AL1517" s="1">
        <v>3.0</v>
      </c>
      <c r="AM1517" s="1">
        <v>2.0</v>
      </c>
      <c r="AN1517" s="1">
        <v>0.0</v>
      </c>
      <c r="AO1517" s="1" t="s">
        <v>229</v>
      </c>
      <c r="AQ1517" s="1" t="s">
        <v>198</v>
      </c>
      <c r="AR1517" s="1" t="s">
        <v>200</v>
      </c>
      <c r="AS1517" s="1" t="s">
        <v>199</v>
      </c>
      <c r="AT1517" s="1">
        <v>2.0</v>
      </c>
      <c r="AV1517" s="1" t="s">
        <v>200</v>
      </c>
      <c r="AW1517" s="1">
        <v>1861.04</v>
      </c>
      <c r="AX1517" s="1">
        <v>2013.0</v>
      </c>
      <c r="AZ1517" s="1" t="s">
        <v>200</v>
      </c>
      <c r="BA1517" s="1" t="str">
        <f>"20352180190000"</f>
        <v>20352180190000</v>
      </c>
      <c r="BC1517" s="1">
        <v>1500.0</v>
      </c>
      <c r="BD1517" s="1">
        <v>197900.0</v>
      </c>
      <c r="BE1517" s="2">
        <v>42080.0</v>
      </c>
      <c r="BF1517" s="2" t="s">
        <v>15464</v>
      </c>
      <c r="BH1517" s="1">
        <v>0.0</v>
      </c>
      <c r="BK1517" s="1" t="s">
        <v>204</v>
      </c>
      <c r="BL1517" s="1" t="str">
        <f>"0"</f>
        <v>0</v>
      </c>
      <c r="BM1517" s="1" t="str">
        <f>"900"</f>
        <v>900</v>
      </c>
      <c r="BN1517" s="1">
        <v>0.0</v>
      </c>
      <c r="BO1517" s="1">
        <v>8100.0</v>
      </c>
      <c r="BQ1517" s="1">
        <v>299.0</v>
      </c>
      <c r="BR1517" s="1">
        <v>299.0</v>
      </c>
      <c r="BS1517" s="1">
        <v>299.0</v>
      </c>
      <c r="BU1517" s="1" t="s">
        <v>3989</v>
      </c>
      <c r="BV1517" s="1" t="s">
        <v>206</v>
      </c>
      <c r="BW1517" s="1" t="s">
        <v>207</v>
      </c>
      <c r="BY1517" s="1" t="s">
        <v>1117</v>
      </c>
      <c r="BZ1517" s="1" t="s">
        <v>209</v>
      </c>
      <c r="CA1517" s="1" t="s">
        <v>210</v>
      </c>
      <c r="CC1517" s="1" t="s">
        <v>212</v>
      </c>
      <c r="CD1517" s="1" t="s">
        <v>206</v>
      </c>
      <c r="CE1517" s="1" t="s">
        <v>207</v>
      </c>
      <c r="CG1517" s="1" t="s">
        <v>393</v>
      </c>
      <c r="CH1517" s="1" t="s">
        <v>209</v>
      </c>
      <c r="CI1517" s="1" t="s">
        <v>210</v>
      </c>
      <c r="CK1517" s="1" t="s">
        <v>212</v>
      </c>
      <c r="CL1517" s="1" t="s">
        <v>206</v>
      </c>
      <c r="CM1517" s="1" t="s">
        <v>207</v>
      </c>
      <c r="CO1517" s="1" t="s">
        <v>269</v>
      </c>
      <c r="CP1517" s="1" t="s">
        <v>42</v>
      </c>
      <c r="CS1517" s="1" t="s">
        <v>1426</v>
      </c>
      <c r="CT1517" s="1" t="s">
        <v>206</v>
      </c>
      <c r="CU1517" s="1" t="s">
        <v>207</v>
      </c>
      <c r="CW1517" s="1" t="s">
        <v>3092</v>
      </c>
      <c r="CX1517" s="1" t="s">
        <v>42</v>
      </c>
      <c r="DA1517" s="1" t="s">
        <v>200</v>
      </c>
      <c r="DC1517" s="1" t="s">
        <v>216</v>
      </c>
      <c r="DE1517" s="1" t="s">
        <v>273</v>
      </c>
      <c r="DF1517" s="1" t="s">
        <v>219</v>
      </c>
      <c r="DH1517" s="1" t="s">
        <v>365</v>
      </c>
      <c r="DI1517" s="1" t="s">
        <v>366</v>
      </c>
      <c r="DJ1517" s="1" t="s">
        <v>222</v>
      </c>
      <c r="DL1517" s="1" t="s">
        <v>224</v>
      </c>
      <c r="DM1517" s="1" t="s">
        <v>229</v>
      </c>
      <c r="DQ1517" s="1" t="s">
        <v>228</v>
      </c>
      <c r="DR1517" s="1" t="s">
        <v>229</v>
      </c>
      <c r="DS1517" s="1" t="s">
        <v>230</v>
      </c>
      <c r="DV1517" s="1" t="s">
        <v>598</v>
      </c>
      <c r="DW1517" s="1" t="s">
        <v>279</v>
      </c>
      <c r="DX1517" s="1" t="s">
        <v>234</v>
      </c>
      <c r="DY1517" s="1" t="s">
        <v>553</v>
      </c>
      <c r="EA1517" s="1" t="s">
        <v>644</v>
      </c>
      <c r="EC1517" s="1" t="s">
        <v>645</v>
      </c>
      <c r="EG1517" s="1" t="s">
        <v>598</v>
      </c>
      <c r="EL1517" s="1" t="s">
        <v>939</v>
      </c>
      <c r="EM1517" s="1" t="s">
        <v>206</v>
      </c>
      <c r="EN1517" s="1" t="s">
        <v>207</v>
      </c>
      <c r="EQ1517" s="1" t="s">
        <v>238</v>
      </c>
      <c r="EU1517" s="1" t="s">
        <v>238</v>
      </c>
      <c r="EY1517" s="1" t="s">
        <v>238</v>
      </c>
      <c r="FC1517" s="1" t="s">
        <v>238</v>
      </c>
      <c r="FF1517" s="1" t="s">
        <v>239</v>
      </c>
      <c r="FG1517" s="1" t="s">
        <v>192</v>
      </c>
      <c r="FH1517" s="1" t="s">
        <v>192</v>
      </c>
      <c r="FJ1517" s="1" t="s">
        <v>648</v>
      </c>
      <c r="FK1517" s="1" t="s">
        <v>229</v>
      </c>
      <c r="FL1517" s="1" t="s">
        <v>649</v>
      </c>
      <c r="FM1517" s="1">
        <v>60296.0</v>
      </c>
      <c r="FN1517" s="1" t="s">
        <v>650</v>
      </c>
      <c r="FO1517" s="1" t="s">
        <v>651</v>
      </c>
      <c r="FP1517" s="1">
        <v>602837.0</v>
      </c>
      <c r="FQ1517" s="1" t="s">
        <v>652</v>
      </c>
      <c r="FR1517" s="1">
        <v>602442.0</v>
      </c>
      <c r="FU1517" s="1" t="s">
        <v>1438</v>
      </c>
      <c r="FV1517" s="1" t="s">
        <v>200</v>
      </c>
      <c r="FW1517" s="1" t="s">
        <v>530</v>
      </c>
      <c r="FX1517" s="1" t="s">
        <v>655</v>
      </c>
      <c r="FZ1517" s="1" t="s">
        <v>229</v>
      </c>
      <c r="GA1517" s="1" t="s">
        <v>291</v>
      </c>
      <c r="GB1517" s="2">
        <v>42143.0</v>
      </c>
      <c r="GC1517" s="1" t="s">
        <v>1372</v>
      </c>
    </row>
    <row r="1518">
      <c r="A1518" s="1">
        <v>154000.0</v>
      </c>
      <c r="B1518" s="1" t="s">
        <v>185</v>
      </c>
      <c r="C1518" s="1" t="str">
        <f>"08867151"</f>
        <v>08867151</v>
      </c>
      <c r="D1518" s="1" t="s">
        <v>186</v>
      </c>
      <c r="F1518" s="1" t="str">
        <f>"145"</f>
        <v>145</v>
      </c>
      <c r="G1518" s="2">
        <v>42083.0</v>
      </c>
      <c r="H1518" s="1">
        <v>159900.0</v>
      </c>
      <c r="I1518" s="1">
        <v>12.0</v>
      </c>
      <c r="J1518" s="1">
        <v>159900.0</v>
      </c>
      <c r="K1518" s="2">
        <v>42094.0</v>
      </c>
      <c r="L1518" s="1">
        <v>12.0</v>
      </c>
      <c r="M1518" s="2">
        <v>42094.0</v>
      </c>
      <c r="N1518" s="1" t="s">
        <v>356</v>
      </c>
      <c r="O1518" s="2">
        <v>42145.0</v>
      </c>
      <c r="P1518" s="1">
        <v>80828.0</v>
      </c>
      <c r="Q1518" s="1">
        <v>8439.0</v>
      </c>
      <c r="S1518" s="1">
        <v>510.0</v>
      </c>
      <c r="T1518" s="1" t="s">
        <v>15465</v>
      </c>
      <c r="U1518" s="1" t="s">
        <v>320</v>
      </c>
      <c r="V1518" s="1" t="s">
        <v>1782</v>
      </c>
      <c r="W1518" s="1">
        <v>60145.0</v>
      </c>
      <c r="Y1518" s="1" t="s">
        <v>15466</v>
      </c>
      <c r="Z1518" s="1">
        <v>1999.0</v>
      </c>
      <c r="AA1518" s="1" t="s">
        <v>200</v>
      </c>
      <c r="AB1518" s="1" t="s">
        <v>193</v>
      </c>
      <c r="AC1518" s="1" t="s">
        <v>15467</v>
      </c>
      <c r="AD1518" s="1" t="s">
        <v>1785</v>
      </c>
      <c r="AE1518" s="1" t="s">
        <v>613</v>
      </c>
      <c r="AF1518" s="1" t="s">
        <v>1785</v>
      </c>
      <c r="AH1518" s="1" t="s">
        <v>15468</v>
      </c>
      <c r="AI1518" s="1">
        <v>0.32</v>
      </c>
      <c r="AK1518" s="1">
        <v>7.0</v>
      </c>
      <c r="AL1518" s="1">
        <v>4.0</v>
      </c>
      <c r="AM1518" s="1">
        <v>2.0</v>
      </c>
      <c r="AN1518" s="1">
        <v>0.0</v>
      </c>
      <c r="AO1518" s="1" t="s">
        <v>229</v>
      </c>
      <c r="AP1518" s="1">
        <v>0.0</v>
      </c>
      <c r="AQ1518" s="1" t="s">
        <v>229</v>
      </c>
      <c r="AR1518" s="1" t="s">
        <v>200</v>
      </c>
      <c r="AS1518" s="1" t="s">
        <v>199</v>
      </c>
      <c r="AT1518" s="1">
        <v>2.0</v>
      </c>
      <c r="AV1518" s="1" t="s">
        <v>200</v>
      </c>
      <c r="AW1518" s="1">
        <v>3486.1</v>
      </c>
      <c r="AX1518" s="1">
        <v>2013.0</v>
      </c>
      <c r="AY1518" s="1" t="s">
        <v>387</v>
      </c>
      <c r="AZ1518" s="1" t="s">
        <v>200</v>
      </c>
      <c r="BA1518" s="1" t="str">
        <f>"0227202003"</f>
        <v>0227202003</v>
      </c>
      <c r="BB1518" s="1" t="s">
        <v>200</v>
      </c>
      <c r="BC1518" s="1">
        <v>1205.0</v>
      </c>
      <c r="BD1518" s="1">
        <v>154000.0</v>
      </c>
      <c r="BE1518" s="2">
        <v>42083.0</v>
      </c>
      <c r="BF1518" s="2" t="s">
        <v>15469</v>
      </c>
      <c r="BH1518" s="1">
        <v>0.0</v>
      </c>
      <c r="BK1518" s="1" t="s">
        <v>204</v>
      </c>
      <c r="BL1518" s="1" t="str">
        <f t="shared" ref="BL1518:BM1518" si="995">""</f>
        <v/>
      </c>
      <c r="BM1518" s="1" t="str">
        <f t="shared" si="995"/>
        <v/>
      </c>
      <c r="BQ1518" s="1">
        <v>424.0</v>
      </c>
      <c r="BR1518" s="1">
        <v>424.0</v>
      </c>
      <c r="BS1518" s="1">
        <v>424.0</v>
      </c>
      <c r="BU1518" s="1" t="s">
        <v>433</v>
      </c>
      <c r="BV1518" s="1" t="s">
        <v>206</v>
      </c>
      <c r="BW1518" s="1" t="s">
        <v>301</v>
      </c>
      <c r="BX1518" s="1" t="s">
        <v>239</v>
      </c>
      <c r="BY1518" s="1" t="s">
        <v>758</v>
      </c>
      <c r="BZ1518" s="1" t="s">
        <v>209</v>
      </c>
      <c r="CA1518" s="1" t="s">
        <v>210</v>
      </c>
      <c r="CB1518" s="1" t="s">
        <v>239</v>
      </c>
      <c r="CD1518" s="1" t="s">
        <v>204</v>
      </c>
      <c r="CG1518" s="1" t="s">
        <v>497</v>
      </c>
      <c r="CH1518" s="1" t="s">
        <v>209</v>
      </c>
      <c r="CI1518" s="1" t="s">
        <v>210</v>
      </c>
      <c r="CJ1518" s="1" t="s">
        <v>239</v>
      </c>
      <c r="CK1518" s="1" t="s">
        <v>495</v>
      </c>
      <c r="CL1518" s="1" t="s">
        <v>209</v>
      </c>
      <c r="CM1518" s="1" t="s">
        <v>210</v>
      </c>
      <c r="CN1518" s="1" t="s">
        <v>239</v>
      </c>
      <c r="CO1518" s="1" t="s">
        <v>332</v>
      </c>
      <c r="CP1518" s="1" t="s">
        <v>267</v>
      </c>
      <c r="CQ1518" s="1" t="s">
        <v>210</v>
      </c>
      <c r="CR1518" s="1" t="s">
        <v>239</v>
      </c>
      <c r="CS1518" s="1" t="s">
        <v>730</v>
      </c>
      <c r="CT1518" s="1" t="s">
        <v>206</v>
      </c>
      <c r="CU1518" s="1" t="s">
        <v>617</v>
      </c>
      <c r="CV1518" s="1" t="s">
        <v>239</v>
      </c>
      <c r="CW1518" s="1" t="s">
        <v>2121</v>
      </c>
      <c r="CX1518" s="1" t="s">
        <v>267</v>
      </c>
      <c r="CY1518" s="1" t="s">
        <v>210</v>
      </c>
      <c r="CZ1518" s="1" t="s">
        <v>239</v>
      </c>
      <c r="DA1518" s="1" t="s">
        <v>200</v>
      </c>
      <c r="DC1518" s="1" t="s">
        <v>678</v>
      </c>
      <c r="DD1518" s="1" t="s">
        <v>926</v>
      </c>
      <c r="DE1518" s="1" t="s">
        <v>273</v>
      </c>
      <c r="DF1518" s="1" t="s">
        <v>219</v>
      </c>
      <c r="DG1518" s="1" t="s">
        <v>4976</v>
      </c>
      <c r="DH1518" s="1" t="s">
        <v>220</v>
      </c>
      <c r="DI1518" s="1" t="s">
        <v>221</v>
      </c>
      <c r="DJ1518" s="1" t="s">
        <v>222</v>
      </c>
      <c r="DK1518" s="1" t="s">
        <v>223</v>
      </c>
      <c r="DL1518" s="1" t="s">
        <v>1853</v>
      </c>
      <c r="DM1518" s="1" t="s">
        <v>338</v>
      </c>
      <c r="DO1518" s="1" t="s">
        <v>486</v>
      </c>
      <c r="DQ1518" s="1" t="s">
        <v>441</v>
      </c>
      <c r="DR1518" s="1" t="s">
        <v>229</v>
      </c>
      <c r="DS1518" s="1" t="s">
        <v>368</v>
      </c>
      <c r="DU1518" s="1" t="s">
        <v>4061</v>
      </c>
      <c r="DV1518" s="1" t="s">
        <v>2129</v>
      </c>
      <c r="DW1518" s="1" t="s">
        <v>233</v>
      </c>
      <c r="DX1518" s="1" t="s">
        <v>234</v>
      </c>
      <c r="DY1518" s="1" t="s">
        <v>4449</v>
      </c>
      <c r="DZ1518" s="1" t="s">
        <v>15470</v>
      </c>
      <c r="EA1518" s="1" t="s">
        <v>344</v>
      </c>
      <c r="EC1518" s="1" t="s">
        <v>284</v>
      </c>
      <c r="ED1518" s="1" t="s">
        <v>407</v>
      </c>
      <c r="EE1518" s="1" t="s">
        <v>1077</v>
      </c>
      <c r="EG1518" s="1" t="s">
        <v>2129</v>
      </c>
      <c r="EL1518" s="1" t="s">
        <v>433</v>
      </c>
      <c r="EM1518" s="1" t="s">
        <v>206</v>
      </c>
      <c r="EN1518" s="1" t="s">
        <v>207</v>
      </c>
      <c r="EO1518" s="1" t="s">
        <v>229</v>
      </c>
      <c r="EQ1518" s="1" t="s">
        <v>238</v>
      </c>
      <c r="EU1518" s="1" t="s">
        <v>238</v>
      </c>
      <c r="EY1518" s="1" t="s">
        <v>238</v>
      </c>
      <c r="FC1518" s="1" t="s">
        <v>238</v>
      </c>
      <c r="FF1518" s="1" t="s">
        <v>239</v>
      </c>
      <c r="FG1518" s="1" t="s">
        <v>192</v>
      </c>
      <c r="FH1518" s="1" t="s">
        <v>192</v>
      </c>
      <c r="FJ1518" s="1" t="s">
        <v>2552</v>
      </c>
      <c r="FK1518" s="1" t="s">
        <v>229</v>
      </c>
      <c r="FL1518" s="1" t="s">
        <v>1007</v>
      </c>
      <c r="FM1518" s="1">
        <v>93043.0</v>
      </c>
      <c r="FN1518" s="1" t="s">
        <v>1008</v>
      </c>
      <c r="FO1518" s="1" t="s">
        <v>4141</v>
      </c>
      <c r="FP1518" s="1">
        <v>930149.0</v>
      </c>
      <c r="FQ1518" s="1" t="s">
        <v>4142</v>
      </c>
      <c r="FS1518" s="1" t="s">
        <v>4143</v>
      </c>
      <c r="FU1518" s="1" t="s">
        <v>15471</v>
      </c>
      <c r="FV1518" s="1" t="s">
        <v>200</v>
      </c>
      <c r="FW1518" s="1" t="s">
        <v>15472</v>
      </c>
      <c r="FX1518" s="1" t="s">
        <v>655</v>
      </c>
      <c r="FZ1518" s="1" t="s">
        <v>229</v>
      </c>
      <c r="GA1518" s="1" t="s">
        <v>291</v>
      </c>
      <c r="GB1518" s="2">
        <v>42145.0</v>
      </c>
      <c r="GC1518" s="1" t="s">
        <v>15473</v>
      </c>
    </row>
    <row r="1519">
      <c r="A1519" s="1">
        <v>244500.0</v>
      </c>
      <c r="B1519" s="1" t="s">
        <v>185</v>
      </c>
      <c r="C1519" s="1" t="str">
        <f>"08863518"</f>
        <v>08863518</v>
      </c>
      <c r="D1519" s="1" t="s">
        <v>186</v>
      </c>
      <c r="F1519" s="1" t="str">
        <f>"560"</f>
        <v>560</v>
      </c>
      <c r="G1519" s="2">
        <v>42080.0</v>
      </c>
      <c r="H1519" s="1">
        <v>259000.0</v>
      </c>
      <c r="I1519" s="1">
        <v>8.0</v>
      </c>
      <c r="J1519" s="1">
        <v>259000.0</v>
      </c>
      <c r="K1519" s="2">
        <v>42087.0</v>
      </c>
      <c r="L1519" s="1">
        <v>8.0</v>
      </c>
      <c r="M1519" s="2">
        <v>42087.0</v>
      </c>
      <c r="N1519" s="1" t="s">
        <v>249</v>
      </c>
      <c r="O1519" s="2">
        <v>42132.0</v>
      </c>
      <c r="P1519" s="1">
        <v>900046.0</v>
      </c>
      <c r="Q1519" s="1">
        <v>90330.0</v>
      </c>
      <c r="S1519" s="1">
        <v>882.0</v>
      </c>
      <c r="T1519" s="1" t="s">
        <v>2589</v>
      </c>
      <c r="U1519" s="1" t="s">
        <v>1174</v>
      </c>
      <c r="V1519" s="1" t="s">
        <v>845</v>
      </c>
      <c r="W1519" s="1">
        <v>60560.0</v>
      </c>
      <c r="Y1519" s="1" t="s">
        <v>15474</v>
      </c>
      <c r="Z1519" s="1">
        <v>2006.0</v>
      </c>
      <c r="AA1519" s="1" t="s">
        <v>200</v>
      </c>
      <c r="AB1519" s="1" t="s">
        <v>467</v>
      </c>
      <c r="AC1519" s="1" t="s">
        <v>2375</v>
      </c>
      <c r="AD1519" s="1" t="s">
        <v>848</v>
      </c>
      <c r="AE1519" s="1" t="s">
        <v>849</v>
      </c>
      <c r="AF1519" s="1" t="s">
        <v>2153</v>
      </c>
      <c r="AG1519" s="1" t="s">
        <v>15475</v>
      </c>
      <c r="AH1519" s="1">
        <v>0.25</v>
      </c>
      <c r="AI1519" s="1">
        <v>0.25</v>
      </c>
      <c r="AK1519" s="1">
        <v>12.0</v>
      </c>
      <c r="AL1519" s="1">
        <v>4.0</v>
      </c>
      <c r="AM1519" s="1">
        <v>2.0</v>
      </c>
      <c r="AN1519" s="1">
        <v>2.0</v>
      </c>
      <c r="AO1519" s="1" t="s">
        <v>198</v>
      </c>
      <c r="AP1519" s="1">
        <v>1.0</v>
      </c>
      <c r="AQ1519" s="1" t="s">
        <v>1314</v>
      </c>
      <c r="AR1519" s="1" t="s">
        <v>192</v>
      </c>
      <c r="AS1519" s="1" t="s">
        <v>199</v>
      </c>
      <c r="AT1519" s="1">
        <v>3.0</v>
      </c>
      <c r="AV1519" s="1" t="s">
        <v>200</v>
      </c>
      <c r="AW1519" s="4">
        <v>8397.24</v>
      </c>
      <c r="AX1519" s="1">
        <v>2014.0</v>
      </c>
      <c r="AY1519" s="1" t="s">
        <v>387</v>
      </c>
      <c r="AZ1519" s="1" t="s">
        <v>192</v>
      </c>
      <c r="BA1519" s="1" t="str">
        <f>"0503352006"</f>
        <v>0503352006</v>
      </c>
      <c r="BB1519" s="1" t="s">
        <v>200</v>
      </c>
      <c r="BC1519" s="1">
        <v>2705.0</v>
      </c>
      <c r="BD1519" s="1">
        <v>244500.0</v>
      </c>
      <c r="BE1519" s="2">
        <v>42080.0</v>
      </c>
      <c r="BF1519" s="2" t="s">
        <v>15476</v>
      </c>
      <c r="BH1519" s="1">
        <v>155.0</v>
      </c>
      <c r="BI1519" s="1" t="s">
        <v>3052</v>
      </c>
      <c r="BJ1519" s="1" t="s">
        <v>3053</v>
      </c>
      <c r="BK1519" s="1" t="s">
        <v>1952</v>
      </c>
      <c r="BL1519" s="1" t="str">
        <f t="shared" ref="BL1519:BM1519" si="996">"0"</f>
        <v>0</v>
      </c>
      <c r="BM1519" s="1" t="str">
        <f t="shared" si="996"/>
        <v>0</v>
      </c>
      <c r="BN1519" s="1">
        <v>0.0</v>
      </c>
      <c r="BO1519" s="1">
        <v>0.0</v>
      </c>
      <c r="BQ1519" s="1">
        <v>115.0</v>
      </c>
      <c r="BR1519" s="1">
        <v>115.0</v>
      </c>
      <c r="BS1519" s="1">
        <v>115.0</v>
      </c>
      <c r="BU1519" s="1" t="s">
        <v>211</v>
      </c>
      <c r="BV1519" s="1" t="s">
        <v>206</v>
      </c>
      <c r="BW1519" s="1" t="s">
        <v>210</v>
      </c>
      <c r="BY1519" s="1" t="s">
        <v>2120</v>
      </c>
      <c r="BZ1519" s="1" t="s">
        <v>209</v>
      </c>
      <c r="CA1519" s="1" t="s">
        <v>210</v>
      </c>
      <c r="CC1519" s="1" t="s">
        <v>433</v>
      </c>
      <c r="CD1519" s="1" t="s">
        <v>206</v>
      </c>
      <c r="CE1519" s="1" t="s">
        <v>210</v>
      </c>
      <c r="CF1519" s="1" t="s">
        <v>229</v>
      </c>
      <c r="CG1519" s="1" t="s">
        <v>495</v>
      </c>
      <c r="CH1519" s="1" t="s">
        <v>206</v>
      </c>
      <c r="CI1519" s="1" t="s">
        <v>210</v>
      </c>
      <c r="CK1519" s="1" t="s">
        <v>212</v>
      </c>
      <c r="CL1519" s="1" t="s">
        <v>209</v>
      </c>
      <c r="CM1519" s="1" t="s">
        <v>210</v>
      </c>
      <c r="CO1519" s="1" t="s">
        <v>215</v>
      </c>
      <c r="CP1519" s="1" t="s">
        <v>209</v>
      </c>
      <c r="CQ1519" s="1" t="s">
        <v>210</v>
      </c>
      <c r="CS1519" s="1" t="s">
        <v>2505</v>
      </c>
      <c r="CT1519" s="1" t="s">
        <v>206</v>
      </c>
      <c r="CU1519" s="1" t="s">
        <v>207</v>
      </c>
      <c r="CV1519" s="1" t="s">
        <v>229</v>
      </c>
      <c r="CW1519" s="1" t="s">
        <v>2120</v>
      </c>
      <c r="CX1519" s="1" t="s">
        <v>206</v>
      </c>
      <c r="CY1519" s="1" t="s">
        <v>210</v>
      </c>
      <c r="DA1519" s="1" t="s">
        <v>200</v>
      </c>
      <c r="DC1519" s="1" t="s">
        <v>481</v>
      </c>
      <c r="DD1519" s="1" t="s">
        <v>336</v>
      </c>
      <c r="DE1519" s="1" t="s">
        <v>273</v>
      </c>
      <c r="DF1519" s="1" t="s">
        <v>219</v>
      </c>
      <c r="DG1519" s="1" t="s">
        <v>2379</v>
      </c>
      <c r="DH1519" s="1" t="s">
        <v>220</v>
      </c>
      <c r="DI1519" s="1" t="s">
        <v>275</v>
      </c>
      <c r="DJ1519" s="1" t="s">
        <v>222</v>
      </c>
      <c r="DK1519" s="1" t="s">
        <v>223</v>
      </c>
      <c r="DL1519" s="1" t="s">
        <v>224</v>
      </c>
      <c r="DM1519" s="1" t="s">
        <v>338</v>
      </c>
      <c r="DN1519" s="1" t="s">
        <v>548</v>
      </c>
      <c r="DO1519" s="1" t="s">
        <v>717</v>
      </c>
      <c r="DP1519" s="1" t="s">
        <v>2380</v>
      </c>
      <c r="DQ1519" s="1" t="s">
        <v>441</v>
      </c>
      <c r="DR1519" s="1" t="s">
        <v>4273</v>
      </c>
      <c r="DS1519" s="1" t="s">
        <v>368</v>
      </c>
      <c r="DU1519" s="1" t="s">
        <v>6284</v>
      </c>
      <c r="DV1519" s="1" t="s">
        <v>15477</v>
      </c>
      <c r="DW1519" s="1" t="s">
        <v>444</v>
      </c>
      <c r="DX1519" s="1" t="s">
        <v>234</v>
      </c>
      <c r="DY1519" s="1" t="s">
        <v>1006</v>
      </c>
      <c r="DZ1519" s="1" t="s">
        <v>282</v>
      </c>
      <c r="EA1519" s="1" t="s">
        <v>344</v>
      </c>
      <c r="EB1519" s="1" t="s">
        <v>1639</v>
      </c>
      <c r="EC1519" s="1" t="s">
        <v>237</v>
      </c>
      <c r="ED1519" s="1" t="s">
        <v>407</v>
      </c>
      <c r="EE1519" s="1" t="s">
        <v>493</v>
      </c>
      <c r="EG1519" s="1" t="s">
        <v>598</v>
      </c>
      <c r="EH1519" s="1" t="s">
        <v>556</v>
      </c>
      <c r="EJ1519" s="1" t="s">
        <v>1467</v>
      </c>
      <c r="EK1519" s="1" t="s">
        <v>450</v>
      </c>
      <c r="EL1519" s="1" t="s">
        <v>497</v>
      </c>
      <c r="EM1519" s="1" t="s">
        <v>206</v>
      </c>
      <c r="EN1519" s="1" t="s">
        <v>210</v>
      </c>
      <c r="EP1519" s="1" t="s">
        <v>1119</v>
      </c>
      <c r="EQ1519" s="1" t="s">
        <v>206</v>
      </c>
      <c r="ER1519" s="1" t="s">
        <v>207</v>
      </c>
      <c r="EU1519" s="1" t="s">
        <v>238</v>
      </c>
      <c r="EX1519" s="1" t="s">
        <v>1534</v>
      </c>
      <c r="EY1519" s="1" t="s">
        <v>267</v>
      </c>
      <c r="EZ1519" s="1" t="s">
        <v>210</v>
      </c>
      <c r="FB1519" s="1" t="s">
        <v>1000</v>
      </c>
      <c r="FC1519" s="1" t="s">
        <v>267</v>
      </c>
      <c r="FD1519" s="1" t="s">
        <v>210</v>
      </c>
      <c r="FF1519" s="1" t="s">
        <v>239</v>
      </c>
      <c r="FG1519" s="1" t="s">
        <v>192</v>
      </c>
      <c r="FH1519" s="1" t="s">
        <v>192</v>
      </c>
      <c r="FJ1519" s="1" t="s">
        <v>1248</v>
      </c>
      <c r="FK1519" s="1" t="s">
        <v>229</v>
      </c>
      <c r="FL1519" s="1" t="s">
        <v>1007</v>
      </c>
      <c r="FM1519" s="1">
        <v>22588.0</v>
      </c>
      <c r="FN1519" s="1" t="s">
        <v>1321</v>
      </c>
      <c r="FO1519" s="1" t="s">
        <v>3063</v>
      </c>
      <c r="FP1519" s="1">
        <v>222996.0</v>
      </c>
      <c r="FQ1519" s="1" t="s">
        <v>3064</v>
      </c>
      <c r="FR1519" s="1">
        <v>222986.0</v>
      </c>
      <c r="FS1519" s="1" t="s">
        <v>3065</v>
      </c>
      <c r="FU1519" s="1" t="s">
        <v>1882</v>
      </c>
      <c r="FV1519" s="1" t="s">
        <v>200</v>
      </c>
      <c r="FW1519" s="1" t="s">
        <v>290</v>
      </c>
      <c r="FZ1519" s="1" t="s">
        <v>229</v>
      </c>
      <c r="GA1519" s="1" t="s">
        <v>291</v>
      </c>
      <c r="GB1519" s="2">
        <v>42134.0</v>
      </c>
      <c r="GC1519" s="1" t="s">
        <v>15478</v>
      </c>
    </row>
    <row r="1520">
      <c r="A1520" s="1">
        <v>320000.0</v>
      </c>
      <c r="B1520" s="1" t="s">
        <v>185</v>
      </c>
      <c r="C1520" s="1" t="str">
        <f>"08866319"</f>
        <v>08866319</v>
      </c>
      <c r="D1520" s="1" t="s">
        <v>186</v>
      </c>
      <c r="F1520" s="1" t="str">
        <f>"542"</f>
        <v>542</v>
      </c>
      <c r="G1520" s="2">
        <v>42082.0</v>
      </c>
      <c r="H1520" s="1">
        <v>334900.0</v>
      </c>
      <c r="I1520" s="1">
        <v>21.0</v>
      </c>
      <c r="J1520" s="1">
        <v>334900.0</v>
      </c>
      <c r="K1520" s="2">
        <v>42102.0</v>
      </c>
      <c r="L1520" s="1">
        <v>21.0</v>
      </c>
      <c r="M1520" s="2">
        <v>42102.0</v>
      </c>
      <c r="N1520" s="1" t="s">
        <v>249</v>
      </c>
      <c r="O1520" s="2">
        <v>42125.0</v>
      </c>
      <c r="P1520" s="1">
        <v>238002.0</v>
      </c>
      <c r="Q1520" s="1">
        <v>22029.0</v>
      </c>
      <c r="S1520" s="1">
        <v>464.0</v>
      </c>
      <c r="T1520" s="1" t="s">
        <v>6895</v>
      </c>
      <c r="U1520" s="1" t="s">
        <v>569</v>
      </c>
      <c r="V1520" s="1" t="s">
        <v>3984</v>
      </c>
      <c r="W1520" s="1">
        <v>60542.0</v>
      </c>
      <c r="Y1520" s="1" t="s">
        <v>15479</v>
      </c>
      <c r="Z1520" s="1">
        <v>2005.0</v>
      </c>
      <c r="AA1520" s="1" t="s">
        <v>200</v>
      </c>
      <c r="AB1520" s="1" t="s">
        <v>467</v>
      </c>
      <c r="AC1520" s="1" t="s">
        <v>10447</v>
      </c>
      <c r="AD1520" s="1" t="s">
        <v>3986</v>
      </c>
      <c r="AE1520" s="1" t="s">
        <v>325</v>
      </c>
      <c r="AF1520" s="1" t="s">
        <v>1479</v>
      </c>
      <c r="AG1520" s="1" t="s">
        <v>15480</v>
      </c>
      <c r="AH1520" s="1" t="s">
        <v>15481</v>
      </c>
      <c r="AI1520" s="1">
        <v>0.32</v>
      </c>
      <c r="AK1520" s="1">
        <v>9.0</v>
      </c>
      <c r="AL1520" s="1">
        <v>4.0</v>
      </c>
      <c r="AM1520" s="1">
        <v>2.0</v>
      </c>
      <c r="AN1520" s="1">
        <v>1.0</v>
      </c>
      <c r="AO1520" s="1" t="s">
        <v>198</v>
      </c>
      <c r="AP1520" s="1">
        <v>1.0</v>
      </c>
      <c r="AQ1520" s="1" t="s">
        <v>472</v>
      </c>
      <c r="AR1520" s="1" t="s">
        <v>200</v>
      </c>
      <c r="AS1520" s="1" t="s">
        <v>199</v>
      </c>
      <c r="AT1520" s="1">
        <v>3.0</v>
      </c>
      <c r="AV1520" s="1" t="s">
        <v>200</v>
      </c>
      <c r="AW1520" s="1">
        <v>10039.0</v>
      </c>
      <c r="AX1520" s="1">
        <v>2013.0</v>
      </c>
      <c r="AY1520" s="1" t="s">
        <v>387</v>
      </c>
      <c r="AZ1520" s="1" t="s">
        <v>200</v>
      </c>
      <c r="BA1520" s="1" t="str">
        <f>"1136474024"</f>
        <v>1136474024</v>
      </c>
      <c r="BB1520" s="1" t="s">
        <v>200</v>
      </c>
      <c r="BC1520" s="1">
        <v>2805.0</v>
      </c>
      <c r="BD1520" s="1">
        <v>320000.0</v>
      </c>
      <c r="BE1520" s="2">
        <v>42082.0</v>
      </c>
      <c r="BF1520" s="2" t="s">
        <v>15482</v>
      </c>
      <c r="BG1520" s="1" t="s">
        <v>4420</v>
      </c>
      <c r="BH1520" s="1">
        <v>45.0</v>
      </c>
      <c r="BI1520" s="1" t="s">
        <v>4421</v>
      </c>
      <c r="BJ1520" s="1" t="s">
        <v>3831</v>
      </c>
      <c r="BK1520" s="1" t="s">
        <v>1952</v>
      </c>
      <c r="BL1520" s="1" t="str">
        <f t="shared" ref="BL1520:BM1520" si="997">""</f>
        <v/>
      </c>
      <c r="BM1520" s="1" t="str">
        <f t="shared" si="997"/>
        <v/>
      </c>
      <c r="BQ1520" s="1">
        <v>129.0</v>
      </c>
      <c r="BR1520" s="1">
        <v>129.0</v>
      </c>
      <c r="BS1520" s="1">
        <v>129.0</v>
      </c>
      <c r="BU1520" s="1" t="s">
        <v>1351</v>
      </c>
      <c r="BV1520" s="1" t="s">
        <v>206</v>
      </c>
      <c r="BW1520" s="1" t="s">
        <v>210</v>
      </c>
      <c r="BX1520" s="1" t="s">
        <v>239</v>
      </c>
      <c r="BY1520" s="1" t="s">
        <v>1043</v>
      </c>
      <c r="BZ1520" s="1" t="s">
        <v>209</v>
      </c>
      <c r="CA1520" s="1" t="s">
        <v>210</v>
      </c>
      <c r="CB1520" s="1" t="s">
        <v>239</v>
      </c>
      <c r="CC1520" s="1" t="s">
        <v>302</v>
      </c>
      <c r="CD1520" s="1" t="s">
        <v>206</v>
      </c>
      <c r="CE1520" s="1" t="s">
        <v>207</v>
      </c>
      <c r="CF1520" s="1" t="s">
        <v>239</v>
      </c>
      <c r="CG1520" s="1" t="s">
        <v>1417</v>
      </c>
      <c r="CH1520" s="1" t="s">
        <v>209</v>
      </c>
      <c r="CI1520" s="1" t="s">
        <v>210</v>
      </c>
      <c r="CJ1520" s="1" t="s">
        <v>239</v>
      </c>
      <c r="CK1520" s="1" t="s">
        <v>215</v>
      </c>
      <c r="CL1520" s="1" t="s">
        <v>209</v>
      </c>
      <c r="CM1520" s="1" t="s">
        <v>210</v>
      </c>
      <c r="CN1520" s="1" t="s">
        <v>239</v>
      </c>
      <c r="CO1520" s="1" t="s">
        <v>1064</v>
      </c>
      <c r="CP1520" s="1" t="s">
        <v>209</v>
      </c>
      <c r="CQ1520" s="1" t="s">
        <v>210</v>
      </c>
      <c r="CR1520" s="1" t="s">
        <v>239</v>
      </c>
      <c r="CS1520" s="1" t="s">
        <v>2924</v>
      </c>
      <c r="CT1520" s="1" t="s">
        <v>206</v>
      </c>
      <c r="CU1520" s="1" t="s">
        <v>207</v>
      </c>
      <c r="CV1520" s="1" t="s">
        <v>239</v>
      </c>
      <c r="CW1520" s="1" t="s">
        <v>334</v>
      </c>
      <c r="CX1520" s="1" t="s">
        <v>206</v>
      </c>
      <c r="CY1520" s="1" t="s">
        <v>210</v>
      </c>
      <c r="CZ1520" s="1" t="s">
        <v>239</v>
      </c>
      <c r="DA1520" s="1" t="s">
        <v>200</v>
      </c>
      <c r="DC1520" s="1" t="s">
        <v>481</v>
      </c>
      <c r="DD1520" s="1" t="s">
        <v>786</v>
      </c>
      <c r="DE1520" s="1" t="s">
        <v>273</v>
      </c>
      <c r="DF1520" s="1" t="s">
        <v>219</v>
      </c>
      <c r="DG1520" s="1" t="s">
        <v>3110</v>
      </c>
      <c r="DH1520" s="1" t="s">
        <v>220</v>
      </c>
      <c r="DI1520" s="1" t="s">
        <v>308</v>
      </c>
      <c r="DJ1520" s="1" t="s">
        <v>222</v>
      </c>
      <c r="DK1520" s="1" t="s">
        <v>223</v>
      </c>
      <c r="DL1520" s="1" t="s">
        <v>484</v>
      </c>
      <c r="DM1520" s="1" t="s">
        <v>1268</v>
      </c>
      <c r="DN1520" s="1" t="s">
        <v>399</v>
      </c>
      <c r="DP1520" s="1" t="s">
        <v>340</v>
      </c>
      <c r="DQ1520" s="1" t="s">
        <v>441</v>
      </c>
      <c r="DR1520" s="1" t="s">
        <v>1185</v>
      </c>
      <c r="DS1520" s="1" t="s">
        <v>368</v>
      </c>
      <c r="DU1520" s="1" t="s">
        <v>15483</v>
      </c>
      <c r="DV1520" s="1" t="s">
        <v>494</v>
      </c>
      <c r="DW1520" s="1" t="s">
        <v>444</v>
      </c>
      <c r="DX1520" s="1" t="s">
        <v>234</v>
      </c>
      <c r="DY1520" s="1" t="s">
        <v>1936</v>
      </c>
      <c r="DZ1520" s="1" t="s">
        <v>310</v>
      </c>
      <c r="EA1520" s="1" t="s">
        <v>344</v>
      </c>
      <c r="EB1520" s="1" t="s">
        <v>684</v>
      </c>
      <c r="EC1520" s="1" t="s">
        <v>237</v>
      </c>
      <c r="ED1520" s="1" t="s">
        <v>555</v>
      </c>
      <c r="EE1520" s="1" t="s">
        <v>493</v>
      </c>
      <c r="EG1520" s="1" t="s">
        <v>494</v>
      </c>
      <c r="EL1520" s="1" t="s">
        <v>663</v>
      </c>
      <c r="EM1520" s="1" t="s">
        <v>206</v>
      </c>
      <c r="EN1520" s="1" t="s">
        <v>210</v>
      </c>
      <c r="EO1520" s="1" t="s">
        <v>239</v>
      </c>
      <c r="EQ1520" s="1" t="s">
        <v>238</v>
      </c>
      <c r="EU1520" s="1" t="s">
        <v>238</v>
      </c>
      <c r="EY1520" s="1" t="s">
        <v>238</v>
      </c>
      <c r="FC1520" s="1" t="s">
        <v>238</v>
      </c>
      <c r="FF1520" s="1" t="s">
        <v>239</v>
      </c>
      <c r="FG1520" s="1" t="s">
        <v>192</v>
      </c>
      <c r="FH1520" s="1" t="s">
        <v>192</v>
      </c>
      <c r="FJ1520" s="1" t="s">
        <v>524</v>
      </c>
      <c r="FK1520" s="1" t="s">
        <v>348</v>
      </c>
      <c r="FL1520" s="1" t="s">
        <v>1212</v>
      </c>
      <c r="FM1520" s="1">
        <v>30.0</v>
      </c>
      <c r="FN1520" s="1" t="s">
        <v>1213</v>
      </c>
      <c r="FO1520" s="1" t="s">
        <v>15484</v>
      </c>
      <c r="FP1520" s="1">
        <v>185.0</v>
      </c>
      <c r="FQ1520" s="1" t="s">
        <v>15485</v>
      </c>
      <c r="FU1520" s="1" t="s">
        <v>15486</v>
      </c>
      <c r="FV1520" s="1" t="s">
        <v>200</v>
      </c>
      <c r="FW1520" s="1" t="s">
        <v>15487</v>
      </c>
      <c r="FZ1520" s="1" t="s">
        <v>229</v>
      </c>
      <c r="GA1520" s="1" t="s">
        <v>291</v>
      </c>
      <c r="GB1520" s="2">
        <v>42125.0</v>
      </c>
    </row>
    <row r="1521">
      <c r="A1521" s="1">
        <v>373875.0</v>
      </c>
      <c r="B1521" s="1" t="s">
        <v>185</v>
      </c>
      <c r="C1521" s="1" t="str">
        <f>"08868628"</f>
        <v>08868628</v>
      </c>
      <c r="D1521" s="1" t="s">
        <v>186</v>
      </c>
      <c r="F1521" s="1" t="str">
        <f>"123"</f>
        <v>123</v>
      </c>
      <c r="G1521" s="2">
        <v>42085.0</v>
      </c>
      <c r="H1521" s="1">
        <v>387500.0</v>
      </c>
      <c r="I1521" s="1">
        <v>26.0</v>
      </c>
      <c r="J1521" s="1">
        <v>387500.0</v>
      </c>
      <c r="K1521" s="2">
        <v>42109.0</v>
      </c>
      <c r="L1521" s="1">
        <v>26.0</v>
      </c>
      <c r="M1521" s="2">
        <v>42109.0</v>
      </c>
      <c r="N1521" s="1" t="s">
        <v>187</v>
      </c>
      <c r="O1521" s="2">
        <v>42138.0</v>
      </c>
      <c r="P1521" s="1">
        <v>99999.0</v>
      </c>
      <c r="Q1521" s="1" t="s">
        <v>947</v>
      </c>
      <c r="S1521" s="1" t="s">
        <v>15488</v>
      </c>
      <c r="T1521" s="1" t="s">
        <v>15489</v>
      </c>
      <c r="V1521" s="1" t="s">
        <v>465</v>
      </c>
      <c r="W1521" s="1">
        <v>60124.0</v>
      </c>
      <c r="Y1521" s="1" t="s">
        <v>15490</v>
      </c>
      <c r="Z1521" s="1">
        <v>1995.0</v>
      </c>
      <c r="AA1521" s="1" t="s">
        <v>200</v>
      </c>
      <c r="AB1521" s="1" t="s">
        <v>193</v>
      </c>
      <c r="AC1521" s="1" t="s">
        <v>15491</v>
      </c>
      <c r="AD1521" s="1" t="s">
        <v>1089</v>
      </c>
      <c r="AE1521" s="1" t="s">
        <v>325</v>
      </c>
      <c r="AF1521" s="1" t="s">
        <v>469</v>
      </c>
      <c r="AG1521" s="1" t="s">
        <v>752</v>
      </c>
      <c r="AH1521" s="1" t="s">
        <v>15492</v>
      </c>
      <c r="AI1521" s="1">
        <v>0.9575</v>
      </c>
      <c r="AK1521" s="1">
        <v>13.0</v>
      </c>
      <c r="AL1521" s="1">
        <v>4.0</v>
      </c>
      <c r="AM1521" s="1">
        <v>3.0</v>
      </c>
      <c r="AN1521" s="1">
        <v>1.0</v>
      </c>
      <c r="AO1521" s="1" t="s">
        <v>198</v>
      </c>
      <c r="AP1521" s="1">
        <v>2.0</v>
      </c>
      <c r="AQ1521" s="1" t="s">
        <v>327</v>
      </c>
      <c r="AR1521" s="1" t="s">
        <v>192</v>
      </c>
      <c r="AS1521" s="1" t="s">
        <v>199</v>
      </c>
      <c r="AT1521" s="1">
        <v>3.0</v>
      </c>
      <c r="AV1521" s="1" t="s">
        <v>200</v>
      </c>
      <c r="AW1521" s="1">
        <v>8563.0</v>
      </c>
      <c r="AX1521" s="1">
        <v>2013.0</v>
      </c>
      <c r="AY1521" s="1" t="s">
        <v>387</v>
      </c>
      <c r="AZ1521" s="1" t="s">
        <v>200</v>
      </c>
      <c r="BA1521" s="1" t="str">
        <f>"0630202003"</f>
        <v>0630202003</v>
      </c>
      <c r="BB1521" s="1" t="s">
        <v>200</v>
      </c>
      <c r="BC1521" s="1">
        <v>4700.0</v>
      </c>
      <c r="BD1521" s="1">
        <v>373875.0</v>
      </c>
      <c r="BE1521" s="2">
        <v>42084.0</v>
      </c>
      <c r="BF1521" s="2" t="s">
        <v>15493</v>
      </c>
      <c r="BG1521" s="1" t="s">
        <v>3686</v>
      </c>
      <c r="BH1521" s="1">
        <v>0.0</v>
      </c>
      <c r="BI1521" s="1" t="s">
        <v>578</v>
      </c>
      <c r="BJ1521" s="1" t="s">
        <v>579</v>
      </c>
      <c r="BK1521" s="1" t="s">
        <v>204</v>
      </c>
      <c r="BL1521" s="1" t="str">
        <f>"10"</f>
        <v>10</v>
      </c>
      <c r="BM1521" s="1" t="str">
        <f>"0"</f>
        <v>0</v>
      </c>
      <c r="BN1521" s="1">
        <v>38.0</v>
      </c>
      <c r="BO1521" s="1">
        <v>0.0</v>
      </c>
      <c r="BQ1521" s="1">
        <v>301.0</v>
      </c>
      <c r="BR1521" s="1">
        <v>301.0</v>
      </c>
      <c r="BS1521" s="1">
        <v>301.0</v>
      </c>
      <c r="BV1521" s="1" t="s">
        <v>204</v>
      </c>
      <c r="BY1521" s="1" t="s">
        <v>453</v>
      </c>
      <c r="BZ1521" s="1" t="s">
        <v>206</v>
      </c>
      <c r="CA1521" s="1" t="s">
        <v>210</v>
      </c>
      <c r="CB1521" s="1" t="s">
        <v>239</v>
      </c>
      <c r="CC1521" s="1" t="s">
        <v>454</v>
      </c>
      <c r="CD1521" s="1" t="s">
        <v>206</v>
      </c>
      <c r="CE1521" s="1" t="s">
        <v>207</v>
      </c>
      <c r="CF1521" s="1" t="s">
        <v>239</v>
      </c>
      <c r="CG1521" s="1" t="s">
        <v>211</v>
      </c>
      <c r="CH1521" s="1" t="s">
        <v>209</v>
      </c>
      <c r="CI1521" s="1" t="s">
        <v>210</v>
      </c>
      <c r="CJ1521" s="1" t="s">
        <v>239</v>
      </c>
      <c r="CK1521" s="1" t="s">
        <v>454</v>
      </c>
      <c r="CL1521" s="1" t="s">
        <v>209</v>
      </c>
      <c r="CM1521" s="1" t="s">
        <v>210</v>
      </c>
      <c r="CN1521" s="1" t="s">
        <v>239</v>
      </c>
      <c r="CO1521" s="1" t="s">
        <v>264</v>
      </c>
      <c r="CP1521" s="1" t="s">
        <v>1697</v>
      </c>
      <c r="CQ1521" s="1" t="s">
        <v>210</v>
      </c>
      <c r="CR1521" s="1" t="s">
        <v>239</v>
      </c>
      <c r="CS1521" s="1" t="s">
        <v>333</v>
      </c>
      <c r="CT1521" s="1" t="s">
        <v>206</v>
      </c>
      <c r="CU1521" s="1" t="s">
        <v>268</v>
      </c>
      <c r="CV1521" s="1" t="s">
        <v>6917</v>
      </c>
      <c r="CW1521" s="1" t="s">
        <v>13371</v>
      </c>
      <c r="CX1521" s="1" t="s">
        <v>1697</v>
      </c>
      <c r="CY1521" s="1" t="s">
        <v>210</v>
      </c>
      <c r="CZ1521" s="1" t="s">
        <v>431</v>
      </c>
      <c r="DA1521" s="1" t="s">
        <v>200</v>
      </c>
      <c r="DC1521" s="1" t="s">
        <v>678</v>
      </c>
      <c r="DD1521" s="1" t="s">
        <v>926</v>
      </c>
      <c r="DE1521" s="1" t="s">
        <v>273</v>
      </c>
      <c r="DF1521" s="1" t="s">
        <v>219</v>
      </c>
      <c r="DG1521" s="1" t="s">
        <v>1553</v>
      </c>
      <c r="DH1521" s="1" t="s">
        <v>856</v>
      </c>
      <c r="DI1521" s="1" t="s">
        <v>1223</v>
      </c>
      <c r="DJ1521" s="1" t="s">
        <v>857</v>
      </c>
      <c r="DK1521" s="1" t="s">
        <v>1555</v>
      </c>
      <c r="DL1521" s="1" t="s">
        <v>1161</v>
      </c>
      <c r="DM1521" s="1" t="s">
        <v>929</v>
      </c>
      <c r="DN1521" s="1" t="s">
        <v>399</v>
      </c>
      <c r="DO1521" s="1" t="s">
        <v>717</v>
      </c>
      <c r="DP1521" s="1" t="s">
        <v>340</v>
      </c>
      <c r="DQ1521" s="1" t="s">
        <v>1557</v>
      </c>
      <c r="DR1521" s="1" t="s">
        <v>229</v>
      </c>
      <c r="DS1521" s="1" t="s">
        <v>368</v>
      </c>
      <c r="DU1521" s="1" t="s">
        <v>15494</v>
      </c>
      <c r="DV1521" s="1" t="s">
        <v>15495</v>
      </c>
      <c r="DW1521" s="1" t="s">
        <v>764</v>
      </c>
      <c r="DX1521" s="1" t="s">
        <v>309</v>
      </c>
      <c r="DY1521" s="1" t="s">
        <v>15496</v>
      </c>
      <c r="DZ1521" s="1" t="s">
        <v>9396</v>
      </c>
      <c r="EA1521" s="1" t="s">
        <v>344</v>
      </c>
      <c r="EB1521" s="1" t="s">
        <v>15497</v>
      </c>
      <c r="EC1521" s="1" t="s">
        <v>237</v>
      </c>
      <c r="ED1521" s="1" t="s">
        <v>14964</v>
      </c>
      <c r="EE1521" s="1" t="s">
        <v>493</v>
      </c>
      <c r="EG1521" s="1" t="s">
        <v>494</v>
      </c>
      <c r="EH1521" s="1" t="s">
        <v>1164</v>
      </c>
      <c r="EI1521" s="1" t="s">
        <v>341</v>
      </c>
      <c r="EJ1521" s="1" t="s">
        <v>1491</v>
      </c>
      <c r="EK1521" s="1" t="s">
        <v>1824</v>
      </c>
      <c r="EL1521" s="1" t="s">
        <v>215</v>
      </c>
      <c r="EM1521" s="1" t="s">
        <v>206</v>
      </c>
      <c r="EN1521" s="1" t="s">
        <v>207</v>
      </c>
      <c r="EO1521" s="1" t="s">
        <v>239</v>
      </c>
      <c r="EP1521" s="1" t="s">
        <v>7203</v>
      </c>
      <c r="EQ1521" s="1" t="s">
        <v>206</v>
      </c>
      <c r="ER1521" s="1" t="s">
        <v>207</v>
      </c>
      <c r="ES1521" s="1" t="s">
        <v>239</v>
      </c>
      <c r="ET1521" s="1" t="s">
        <v>264</v>
      </c>
      <c r="EU1521" s="1" t="s">
        <v>209</v>
      </c>
      <c r="EV1521" s="1" t="s">
        <v>210</v>
      </c>
      <c r="EW1521" s="1" t="s">
        <v>229</v>
      </c>
      <c r="EX1521" s="1" t="s">
        <v>331</v>
      </c>
      <c r="EY1521" s="1" t="s">
        <v>1697</v>
      </c>
      <c r="EZ1521" s="1" t="s">
        <v>588</v>
      </c>
      <c r="FA1521" s="1" t="s">
        <v>229</v>
      </c>
      <c r="FB1521" s="1" t="s">
        <v>361</v>
      </c>
      <c r="FC1521" s="1" t="s">
        <v>1697</v>
      </c>
      <c r="FD1521" s="1" t="s">
        <v>210</v>
      </c>
      <c r="FE1521" s="1" t="s">
        <v>229</v>
      </c>
      <c r="FF1521" s="1" t="s">
        <v>239</v>
      </c>
      <c r="FG1521" s="1" t="s">
        <v>192</v>
      </c>
      <c r="FH1521" s="1" t="s">
        <v>192</v>
      </c>
      <c r="FJ1521" s="1" t="s">
        <v>7102</v>
      </c>
      <c r="FK1521" s="1" t="s">
        <v>601</v>
      </c>
      <c r="FL1521" s="1" t="s">
        <v>8898</v>
      </c>
      <c r="FM1521" s="1">
        <v>61075.0</v>
      </c>
      <c r="FN1521" s="1" t="s">
        <v>8899</v>
      </c>
      <c r="FO1521" s="1" t="s">
        <v>8900</v>
      </c>
      <c r="FP1521" s="1">
        <v>601905.0</v>
      </c>
      <c r="FQ1521" s="1" t="s">
        <v>8901</v>
      </c>
      <c r="FR1521" s="1">
        <v>238123.0</v>
      </c>
      <c r="FS1521" s="1" t="s">
        <v>8902</v>
      </c>
      <c r="FU1521" s="1" t="s">
        <v>8903</v>
      </c>
      <c r="FV1521" s="1" t="s">
        <v>200</v>
      </c>
      <c r="FW1521" s="1" t="s">
        <v>1411</v>
      </c>
      <c r="FZ1521" s="1" t="s">
        <v>229</v>
      </c>
      <c r="GA1521" s="1" t="s">
        <v>247</v>
      </c>
      <c r="GB1521" s="2">
        <v>42139.0</v>
      </c>
      <c r="GC1521" s="1" t="s">
        <v>15498</v>
      </c>
    </row>
    <row r="1522">
      <c r="A1522" s="1">
        <v>167500.0</v>
      </c>
      <c r="B1522" s="1" t="s">
        <v>185</v>
      </c>
      <c r="C1522" s="1" t="str">
        <f>"08867495"</f>
        <v>08867495</v>
      </c>
      <c r="D1522" s="1" t="s">
        <v>186</v>
      </c>
      <c r="F1522" s="1" t="str">
        <f>"8075"</f>
        <v>8075</v>
      </c>
      <c r="G1522" s="2">
        <v>42083.0</v>
      </c>
      <c r="H1522" s="1">
        <v>169900.0</v>
      </c>
      <c r="I1522" s="1">
        <v>11.0</v>
      </c>
      <c r="J1522" s="1">
        <v>169900.0</v>
      </c>
      <c r="K1522" s="2">
        <v>42093.0</v>
      </c>
      <c r="L1522" s="1">
        <v>11.0</v>
      </c>
      <c r="M1522" s="2">
        <v>42093.0</v>
      </c>
      <c r="N1522" s="1" t="s">
        <v>356</v>
      </c>
      <c r="O1522" s="2">
        <v>42132.0</v>
      </c>
      <c r="P1522" s="1">
        <v>231807.0</v>
      </c>
      <c r="Q1522" s="1">
        <v>25622.0</v>
      </c>
      <c r="R1522" s="1">
        <v>3.0</v>
      </c>
      <c r="S1522" s="1">
        <v>11019.0</v>
      </c>
      <c r="T1522" s="1" t="s">
        <v>3412</v>
      </c>
      <c r="U1522" s="1" t="s">
        <v>320</v>
      </c>
      <c r="V1522" s="1" t="s">
        <v>190</v>
      </c>
      <c r="W1522" s="1">
        <v>60643.0</v>
      </c>
      <c r="Y1522" s="1" t="s">
        <v>14595</v>
      </c>
      <c r="Z1522" s="1">
        <v>1938.0</v>
      </c>
      <c r="AA1522" s="1" t="s">
        <v>192</v>
      </c>
      <c r="AB1522" s="1" t="s">
        <v>193</v>
      </c>
      <c r="AD1522" s="1" t="s">
        <v>194</v>
      </c>
      <c r="AE1522" s="1" t="s">
        <v>195</v>
      </c>
      <c r="AF1522" s="1" t="s">
        <v>659</v>
      </c>
      <c r="AH1522" s="1" t="s">
        <v>14596</v>
      </c>
      <c r="AI1522" s="1">
        <v>0.1004</v>
      </c>
      <c r="AK1522" s="1">
        <v>8.0</v>
      </c>
      <c r="AL1522" s="1">
        <v>3.0</v>
      </c>
      <c r="AM1522" s="1">
        <v>3.0</v>
      </c>
      <c r="AN1522" s="1">
        <v>0.0</v>
      </c>
      <c r="AO1522" s="1" t="s">
        <v>198</v>
      </c>
      <c r="AQ1522" s="1" t="s">
        <v>198</v>
      </c>
      <c r="AR1522" s="1" t="s">
        <v>192</v>
      </c>
      <c r="AS1522" s="1" t="s">
        <v>199</v>
      </c>
      <c r="AT1522" s="1">
        <v>2.0</v>
      </c>
      <c r="AV1522" s="1" t="s">
        <v>200</v>
      </c>
      <c r="AW1522" s="1">
        <v>1554.22</v>
      </c>
      <c r="AX1522" s="1">
        <v>2013.0</v>
      </c>
      <c r="AZ1522" s="1" t="s">
        <v>200</v>
      </c>
      <c r="BA1522" s="1" t="str">
        <f>"25174230050000"</f>
        <v>25174230050000</v>
      </c>
      <c r="BB1522" s="1" t="s">
        <v>200</v>
      </c>
      <c r="BC1522" s="1">
        <v>1500.0</v>
      </c>
      <c r="BD1522" s="1">
        <v>167500.0</v>
      </c>
      <c r="BE1522" s="2">
        <v>42083.0</v>
      </c>
      <c r="BF1522" s="2" t="s">
        <v>15499</v>
      </c>
      <c r="BH1522" s="1">
        <v>0.0</v>
      </c>
      <c r="BK1522" s="1" t="s">
        <v>204</v>
      </c>
      <c r="BL1522" s="1" t="str">
        <f t="shared" ref="BL1522:BM1522" si="998">"0"</f>
        <v>0</v>
      </c>
      <c r="BM1522" s="1" t="str">
        <f t="shared" si="998"/>
        <v>0</v>
      </c>
      <c r="BN1522" s="1">
        <v>900.0</v>
      </c>
      <c r="BO1522" s="1">
        <v>11019.0</v>
      </c>
      <c r="BQ1522" s="1">
        <v>299.0</v>
      </c>
      <c r="BR1522" s="1">
        <v>299.0</v>
      </c>
      <c r="BS1522" s="1">
        <v>299.0</v>
      </c>
      <c r="BU1522" s="1" t="s">
        <v>729</v>
      </c>
      <c r="BV1522" s="1" t="s">
        <v>206</v>
      </c>
      <c r="BW1522" s="1" t="s">
        <v>207</v>
      </c>
      <c r="BY1522" s="1" t="s">
        <v>1426</v>
      </c>
      <c r="BZ1522" s="1" t="s">
        <v>209</v>
      </c>
      <c r="CA1522" s="1" t="s">
        <v>207</v>
      </c>
      <c r="CC1522" s="1" t="s">
        <v>2072</v>
      </c>
      <c r="CD1522" s="1" t="s">
        <v>206</v>
      </c>
      <c r="CE1522" s="1" t="s">
        <v>207</v>
      </c>
      <c r="CG1522" s="1" t="s">
        <v>266</v>
      </c>
      <c r="CH1522" s="1" t="s">
        <v>206</v>
      </c>
      <c r="CI1522" s="1" t="s">
        <v>207</v>
      </c>
      <c r="CK1522" s="1" t="s">
        <v>269</v>
      </c>
      <c r="CL1522" s="1" t="s">
        <v>206</v>
      </c>
      <c r="CM1522" s="1" t="s">
        <v>207</v>
      </c>
      <c r="CO1522" s="1" t="s">
        <v>663</v>
      </c>
      <c r="CP1522" s="1" t="s">
        <v>42</v>
      </c>
      <c r="CQ1522" s="1" t="s">
        <v>268</v>
      </c>
      <c r="CS1522" s="1" t="s">
        <v>264</v>
      </c>
      <c r="CT1522" s="1" t="s">
        <v>206</v>
      </c>
      <c r="CU1522" s="1" t="s">
        <v>207</v>
      </c>
      <c r="CW1522" s="1" t="s">
        <v>479</v>
      </c>
      <c r="CX1522" s="1" t="s">
        <v>42</v>
      </c>
      <c r="CY1522" s="1" t="s">
        <v>268</v>
      </c>
      <c r="DA1522" s="1" t="s">
        <v>200</v>
      </c>
      <c r="DC1522" s="1" t="s">
        <v>1399</v>
      </c>
      <c r="DE1522" s="1" t="s">
        <v>273</v>
      </c>
      <c r="DF1522" s="1" t="s">
        <v>219</v>
      </c>
      <c r="DH1522" s="1" t="s">
        <v>307</v>
      </c>
      <c r="DI1522" s="1" t="s">
        <v>366</v>
      </c>
      <c r="DJ1522" s="1" t="s">
        <v>222</v>
      </c>
      <c r="DL1522" s="1" t="s">
        <v>224</v>
      </c>
      <c r="DM1522" s="1" t="s">
        <v>229</v>
      </c>
      <c r="DQ1522" s="1" t="s">
        <v>228</v>
      </c>
      <c r="DR1522" s="1" t="s">
        <v>229</v>
      </c>
      <c r="DS1522" s="1" t="s">
        <v>230</v>
      </c>
      <c r="DV1522" s="1" t="s">
        <v>232</v>
      </c>
      <c r="DW1522" s="1" t="s">
        <v>279</v>
      </c>
      <c r="DX1522" s="1" t="s">
        <v>234</v>
      </c>
      <c r="DY1522" s="1" t="s">
        <v>553</v>
      </c>
      <c r="EA1522" s="1" t="s">
        <v>1075</v>
      </c>
      <c r="EC1522" s="1" t="s">
        <v>645</v>
      </c>
      <c r="EM1522" s="1" t="s">
        <v>238</v>
      </c>
      <c r="EQ1522" s="1" t="s">
        <v>238</v>
      </c>
      <c r="EU1522" s="1" t="s">
        <v>238</v>
      </c>
      <c r="EY1522" s="1" t="s">
        <v>238</v>
      </c>
      <c r="FC1522" s="1" t="s">
        <v>238</v>
      </c>
      <c r="FF1522" s="1" t="s">
        <v>239</v>
      </c>
      <c r="FG1522" s="1" t="s">
        <v>192</v>
      </c>
      <c r="FH1522" s="1" t="s">
        <v>192</v>
      </c>
      <c r="FJ1522" s="1" t="s">
        <v>648</v>
      </c>
      <c r="FK1522" s="1" t="s">
        <v>229</v>
      </c>
      <c r="FL1522" s="1" t="s">
        <v>649</v>
      </c>
      <c r="FM1522" s="1">
        <v>60296.0</v>
      </c>
      <c r="FN1522" s="1" t="s">
        <v>650</v>
      </c>
      <c r="FO1522" s="1" t="s">
        <v>651</v>
      </c>
      <c r="FP1522" s="1">
        <v>602837.0</v>
      </c>
      <c r="FQ1522" s="1" t="s">
        <v>652</v>
      </c>
      <c r="FR1522" s="1">
        <v>602442.0</v>
      </c>
      <c r="FU1522" s="1" t="s">
        <v>3993</v>
      </c>
      <c r="FV1522" s="1" t="s">
        <v>200</v>
      </c>
      <c r="FW1522" s="1" t="s">
        <v>530</v>
      </c>
      <c r="FX1522" s="1" t="s">
        <v>655</v>
      </c>
      <c r="FZ1522" s="1" t="s">
        <v>229</v>
      </c>
      <c r="GA1522" s="1" t="s">
        <v>291</v>
      </c>
      <c r="GB1522" s="2">
        <v>42135.0</v>
      </c>
      <c r="GC1522" s="1" t="s">
        <v>1372</v>
      </c>
    </row>
    <row r="1523">
      <c r="A1523" s="1">
        <v>399000.0</v>
      </c>
      <c r="B1523" s="1" t="s">
        <v>185</v>
      </c>
      <c r="C1523" s="1" t="str">
        <f>"08871510"</f>
        <v>08871510</v>
      </c>
      <c r="D1523" s="1" t="s">
        <v>186</v>
      </c>
      <c r="F1523" s="1" t="str">
        <f>"8015"</f>
        <v>8015</v>
      </c>
      <c r="G1523" s="2">
        <v>42088.0</v>
      </c>
      <c r="H1523" s="1">
        <v>425000.0</v>
      </c>
      <c r="I1523" s="1">
        <v>20.0</v>
      </c>
      <c r="J1523" s="1">
        <v>399000.0</v>
      </c>
      <c r="K1523" s="2">
        <v>42107.0</v>
      </c>
      <c r="L1523" s="1">
        <v>20.0</v>
      </c>
      <c r="M1523" s="2">
        <v>42107.0</v>
      </c>
      <c r="N1523" s="1" t="s">
        <v>187</v>
      </c>
      <c r="O1523" s="2">
        <v>42145.0</v>
      </c>
      <c r="P1523" s="1">
        <v>144542.0</v>
      </c>
      <c r="Q1523" s="1">
        <v>18705.0</v>
      </c>
      <c r="S1523" s="1">
        <v>5824.0</v>
      </c>
      <c r="T1523" s="1" t="s">
        <v>9931</v>
      </c>
      <c r="U1523" s="1" t="s">
        <v>189</v>
      </c>
      <c r="V1523" s="1" t="s">
        <v>190</v>
      </c>
      <c r="W1523" s="1">
        <v>60630.0</v>
      </c>
      <c r="Y1523" s="1" t="s">
        <v>15500</v>
      </c>
      <c r="Z1523" s="1">
        <v>1933.0</v>
      </c>
      <c r="AA1523" s="1" t="s">
        <v>192</v>
      </c>
      <c r="AB1523" s="1" t="s">
        <v>193</v>
      </c>
      <c r="AD1523" s="1" t="s">
        <v>194</v>
      </c>
      <c r="AE1523" s="1" t="s">
        <v>195</v>
      </c>
      <c r="AF1523" s="1" t="s">
        <v>196</v>
      </c>
      <c r="AG1523" s="1" t="s">
        <v>14777</v>
      </c>
      <c r="AH1523" s="1" t="s">
        <v>779</v>
      </c>
      <c r="AK1523" s="1">
        <v>10.0</v>
      </c>
      <c r="AL1523" s="1">
        <v>4.0</v>
      </c>
      <c r="AM1523" s="1">
        <v>2.0</v>
      </c>
      <c r="AN1523" s="1">
        <v>1.0</v>
      </c>
      <c r="AO1523" s="1" t="s">
        <v>3903</v>
      </c>
      <c r="AP1523" s="1">
        <v>2.0</v>
      </c>
      <c r="AQ1523" s="1" t="s">
        <v>198</v>
      </c>
      <c r="AR1523" s="1" t="s">
        <v>192</v>
      </c>
      <c r="AS1523" s="1" t="s">
        <v>199</v>
      </c>
      <c r="AT1523" s="1">
        <v>2.0</v>
      </c>
      <c r="AV1523" s="1" t="s">
        <v>200</v>
      </c>
      <c r="AW1523" s="1">
        <v>6472.0</v>
      </c>
      <c r="AX1523" s="1">
        <v>2013.0</v>
      </c>
      <c r="AY1523" s="1" t="s">
        <v>387</v>
      </c>
      <c r="AZ1523" s="1" t="s">
        <v>200</v>
      </c>
      <c r="BA1523" s="1" t="str">
        <f>"13172140310000"</f>
        <v>13172140310000</v>
      </c>
      <c r="BC1523" s="1">
        <v>2374.0</v>
      </c>
      <c r="BD1523" s="1">
        <v>399000.0</v>
      </c>
      <c r="BE1523" s="2">
        <v>42088.0</v>
      </c>
      <c r="BF1523" s="2" t="s">
        <v>15501</v>
      </c>
      <c r="BG1523" s="1" t="s">
        <v>2531</v>
      </c>
      <c r="BH1523" s="1">
        <v>0.0</v>
      </c>
      <c r="BJ1523" s="1" t="s">
        <v>1222</v>
      </c>
      <c r="BK1523" s="1" t="s">
        <v>204</v>
      </c>
      <c r="BL1523" s="1" t="str">
        <f>"4600"</f>
        <v>4600</v>
      </c>
      <c r="BM1523" s="1" t="str">
        <f t="shared" ref="BM1523:BM1524" si="999">"0"</f>
        <v>0</v>
      </c>
      <c r="BN1523" s="1">
        <v>5824.0</v>
      </c>
      <c r="BO1523" s="1">
        <v>0.0</v>
      </c>
      <c r="BQ1523" s="1">
        <v>299.0</v>
      </c>
      <c r="BR1523" s="1">
        <v>299.0</v>
      </c>
      <c r="BS1523" s="1">
        <v>299.0</v>
      </c>
      <c r="BU1523" s="1" t="s">
        <v>1117</v>
      </c>
      <c r="BV1523" s="1" t="s">
        <v>206</v>
      </c>
      <c r="BW1523" s="1" t="s">
        <v>207</v>
      </c>
      <c r="BY1523" s="1" t="s">
        <v>8706</v>
      </c>
      <c r="BZ1523" s="1" t="s">
        <v>209</v>
      </c>
      <c r="CA1523" s="1" t="s">
        <v>207</v>
      </c>
      <c r="CC1523" s="1" t="s">
        <v>433</v>
      </c>
      <c r="CD1523" s="1" t="s">
        <v>206</v>
      </c>
      <c r="CE1523" s="1" t="s">
        <v>207</v>
      </c>
      <c r="CG1523" s="1" t="s">
        <v>1158</v>
      </c>
      <c r="CH1523" s="1" t="s">
        <v>209</v>
      </c>
      <c r="CI1523" s="1" t="s">
        <v>207</v>
      </c>
      <c r="CK1523" s="1" t="s">
        <v>264</v>
      </c>
      <c r="CL1523" s="1" t="s">
        <v>209</v>
      </c>
      <c r="CM1523" s="1" t="s">
        <v>207</v>
      </c>
      <c r="CO1523" s="1" t="s">
        <v>331</v>
      </c>
      <c r="CP1523" s="1" t="s">
        <v>206</v>
      </c>
      <c r="CQ1523" s="1" t="s">
        <v>207</v>
      </c>
      <c r="CS1523" s="1" t="s">
        <v>497</v>
      </c>
      <c r="CT1523" s="1" t="s">
        <v>206</v>
      </c>
      <c r="CU1523" s="1" t="s">
        <v>207</v>
      </c>
      <c r="CW1523" s="1" t="s">
        <v>1892</v>
      </c>
      <c r="CX1523" s="1" t="s">
        <v>206</v>
      </c>
      <c r="CY1523" s="1" t="s">
        <v>207</v>
      </c>
      <c r="DA1523" s="1" t="s">
        <v>200</v>
      </c>
      <c r="DC1523" s="1" t="s">
        <v>785</v>
      </c>
      <c r="DD1523" s="1" t="s">
        <v>336</v>
      </c>
      <c r="DE1523" s="1" t="s">
        <v>273</v>
      </c>
      <c r="DF1523" s="1" t="s">
        <v>787</v>
      </c>
      <c r="DG1523" s="1" t="s">
        <v>337</v>
      </c>
      <c r="DH1523" s="1" t="s">
        <v>365</v>
      </c>
      <c r="DI1523" s="1" t="s">
        <v>959</v>
      </c>
      <c r="DJ1523" s="1" t="s">
        <v>222</v>
      </c>
      <c r="DL1523" s="1" t="s">
        <v>1161</v>
      </c>
      <c r="DM1523" s="1" t="s">
        <v>229</v>
      </c>
      <c r="DN1523" s="1" t="s">
        <v>439</v>
      </c>
      <c r="DO1523" s="1" t="s">
        <v>549</v>
      </c>
      <c r="DP1523" s="1" t="s">
        <v>340</v>
      </c>
      <c r="DQ1523" s="1" t="s">
        <v>794</v>
      </c>
      <c r="DR1523" s="1" t="s">
        <v>229</v>
      </c>
      <c r="DS1523" s="1" t="s">
        <v>230</v>
      </c>
      <c r="DU1523" s="1" t="s">
        <v>15502</v>
      </c>
      <c r="DV1523" s="1" t="s">
        <v>8315</v>
      </c>
      <c r="DW1523" s="1" t="s">
        <v>279</v>
      </c>
      <c r="DX1523" s="1" t="s">
        <v>5015</v>
      </c>
      <c r="DY1523" s="1" t="s">
        <v>4467</v>
      </c>
      <c r="DZ1523" s="1" t="s">
        <v>310</v>
      </c>
      <c r="EA1523" s="1" t="s">
        <v>257</v>
      </c>
      <c r="EB1523" s="1" t="s">
        <v>767</v>
      </c>
      <c r="EC1523" s="1" t="s">
        <v>237</v>
      </c>
      <c r="ED1523" s="1" t="s">
        <v>407</v>
      </c>
      <c r="EG1523" s="1" t="s">
        <v>450</v>
      </c>
      <c r="EI1523" s="1" t="s">
        <v>1491</v>
      </c>
      <c r="EL1523" s="1" t="s">
        <v>15503</v>
      </c>
      <c r="EM1523" s="1" t="s">
        <v>42</v>
      </c>
      <c r="EN1523" s="1" t="s">
        <v>617</v>
      </c>
      <c r="EQ1523" s="1" t="s">
        <v>238</v>
      </c>
      <c r="ET1523" s="1" t="s">
        <v>211</v>
      </c>
      <c r="EU1523" s="1" t="s">
        <v>42</v>
      </c>
      <c r="EY1523" s="1" t="s">
        <v>238</v>
      </c>
      <c r="FC1523" s="1" t="s">
        <v>238</v>
      </c>
      <c r="FF1523" s="1" t="s">
        <v>239</v>
      </c>
      <c r="FG1523" s="1" t="s">
        <v>192</v>
      </c>
      <c r="FH1523" s="1" t="s">
        <v>192</v>
      </c>
      <c r="FJ1523" s="1" t="s">
        <v>8239</v>
      </c>
      <c r="FK1523" s="1" t="s">
        <v>229</v>
      </c>
      <c r="FL1523" s="1" t="s">
        <v>1358</v>
      </c>
      <c r="FM1523" s="1">
        <v>3630.0</v>
      </c>
      <c r="FN1523" s="1" t="s">
        <v>15504</v>
      </c>
      <c r="FO1523" s="1" t="s">
        <v>15505</v>
      </c>
      <c r="FP1523" s="1">
        <v>35988.0</v>
      </c>
      <c r="FQ1523" s="1" t="s">
        <v>15506</v>
      </c>
      <c r="FU1523" s="1" t="s">
        <v>15507</v>
      </c>
      <c r="FV1523" s="1" t="s">
        <v>200</v>
      </c>
      <c r="FW1523" s="1" t="s">
        <v>530</v>
      </c>
      <c r="FX1523" s="1" t="s">
        <v>246</v>
      </c>
      <c r="FZ1523" s="1" t="s">
        <v>229</v>
      </c>
      <c r="GA1523" s="1" t="s">
        <v>291</v>
      </c>
      <c r="GB1523" s="2">
        <v>42145.0</v>
      </c>
      <c r="GC1523" s="1" t="s">
        <v>15508</v>
      </c>
    </row>
    <row r="1524">
      <c r="A1524" s="1">
        <v>489000.0</v>
      </c>
      <c r="B1524" s="1" t="s">
        <v>185</v>
      </c>
      <c r="C1524" s="1" t="str">
        <f>"08874116"</f>
        <v>08874116</v>
      </c>
      <c r="D1524" s="1" t="s">
        <v>186</v>
      </c>
      <c r="F1524" s="1" t="str">
        <f>"8013"</f>
        <v>8013</v>
      </c>
      <c r="G1524" s="2">
        <v>42090.0</v>
      </c>
      <c r="H1524" s="1">
        <v>489000.0</v>
      </c>
      <c r="I1524" s="1">
        <v>13.0</v>
      </c>
      <c r="J1524" s="1">
        <v>489000.0</v>
      </c>
      <c r="K1524" s="2">
        <v>42102.0</v>
      </c>
      <c r="L1524" s="1">
        <v>13.0</v>
      </c>
      <c r="M1524" s="2">
        <v>42102.0</v>
      </c>
      <c r="N1524" s="1" t="s">
        <v>187</v>
      </c>
      <c r="O1524" s="2">
        <v>42146.0</v>
      </c>
      <c r="P1524" s="1">
        <v>173202.0</v>
      </c>
      <c r="Q1524" s="1">
        <v>18328.0</v>
      </c>
      <c r="S1524" s="1">
        <v>5629.0</v>
      </c>
      <c r="T1524" s="1" t="s">
        <v>7989</v>
      </c>
      <c r="U1524" s="1" t="s">
        <v>189</v>
      </c>
      <c r="V1524" s="1" t="s">
        <v>190</v>
      </c>
      <c r="W1524" s="1">
        <v>60646.0</v>
      </c>
      <c r="Y1524" s="1" t="s">
        <v>15509</v>
      </c>
      <c r="Z1524" s="1">
        <v>1920.0</v>
      </c>
      <c r="AA1524" s="1" t="s">
        <v>192</v>
      </c>
      <c r="AB1524" s="1" t="s">
        <v>193</v>
      </c>
      <c r="AC1524" s="1" t="s">
        <v>15510</v>
      </c>
      <c r="AD1524" s="1" t="s">
        <v>194</v>
      </c>
      <c r="AE1524" s="1" t="s">
        <v>195</v>
      </c>
      <c r="AF1524" s="1" t="s">
        <v>196</v>
      </c>
      <c r="AH1524" s="1" t="s">
        <v>1460</v>
      </c>
      <c r="AK1524" s="1">
        <v>10.0</v>
      </c>
      <c r="AL1524" s="1">
        <v>3.0</v>
      </c>
      <c r="AM1524" s="1">
        <v>3.0</v>
      </c>
      <c r="AN1524" s="1">
        <v>1.0</v>
      </c>
      <c r="AO1524" s="1" t="s">
        <v>198</v>
      </c>
      <c r="AQ1524" s="1" t="s">
        <v>198</v>
      </c>
      <c r="AR1524" s="1" t="s">
        <v>192</v>
      </c>
      <c r="AS1524" s="1" t="s">
        <v>199</v>
      </c>
      <c r="AT1524" s="1">
        <v>2.0</v>
      </c>
      <c r="AV1524" s="1" t="s">
        <v>200</v>
      </c>
      <c r="AW1524" s="4">
        <v>5054.98</v>
      </c>
      <c r="AX1524" s="1">
        <v>2014.0</v>
      </c>
      <c r="AY1524" s="1" t="s">
        <v>387</v>
      </c>
      <c r="AZ1524" s="1" t="s">
        <v>200</v>
      </c>
      <c r="BA1524" s="1" t="str">
        <f>"13034120060000"</f>
        <v>13034120060000</v>
      </c>
      <c r="BC1524" s="1">
        <v>0.0</v>
      </c>
      <c r="BD1524" s="1">
        <v>489000.0</v>
      </c>
      <c r="BE1524" s="2">
        <v>42090.0</v>
      </c>
      <c r="BF1524" s="2" t="s">
        <v>15511</v>
      </c>
      <c r="BH1524" s="1">
        <v>0.0</v>
      </c>
      <c r="BK1524" s="1" t="s">
        <v>204</v>
      </c>
      <c r="BL1524" s="1" t="str">
        <f>"5629"</f>
        <v>5629</v>
      </c>
      <c r="BM1524" s="1" t="str">
        <f t="shared" si="999"/>
        <v>0</v>
      </c>
      <c r="BN1524" s="1">
        <v>4300.0</v>
      </c>
      <c r="BO1524" s="1">
        <v>0.0</v>
      </c>
      <c r="BQ1524" s="1">
        <v>299.0</v>
      </c>
      <c r="BR1524" s="1">
        <v>299.0</v>
      </c>
      <c r="BS1524" s="1">
        <v>299.0</v>
      </c>
      <c r="BU1524" s="1" t="s">
        <v>205</v>
      </c>
      <c r="BV1524" s="1" t="s">
        <v>206</v>
      </c>
      <c r="BW1524" s="1" t="s">
        <v>207</v>
      </c>
      <c r="BX1524" s="1" t="s">
        <v>431</v>
      </c>
      <c r="BY1524" s="1" t="s">
        <v>363</v>
      </c>
      <c r="BZ1524" s="1" t="s">
        <v>209</v>
      </c>
      <c r="CA1524" s="1" t="s">
        <v>207</v>
      </c>
      <c r="CB1524" s="1" t="s">
        <v>431</v>
      </c>
      <c r="CC1524" s="1" t="s">
        <v>433</v>
      </c>
      <c r="CD1524" s="1" t="s">
        <v>206</v>
      </c>
      <c r="CE1524" s="1" t="s">
        <v>207</v>
      </c>
      <c r="CF1524" s="1" t="s">
        <v>431</v>
      </c>
      <c r="CG1524" s="1" t="s">
        <v>699</v>
      </c>
      <c r="CH1524" s="1" t="s">
        <v>209</v>
      </c>
      <c r="CI1524" s="1" t="s">
        <v>207</v>
      </c>
      <c r="CJ1524" s="1" t="s">
        <v>431</v>
      </c>
      <c r="CK1524" s="1" t="s">
        <v>495</v>
      </c>
      <c r="CL1524" s="1" t="s">
        <v>209</v>
      </c>
      <c r="CM1524" s="1" t="s">
        <v>207</v>
      </c>
      <c r="CN1524" s="1" t="s">
        <v>431</v>
      </c>
      <c r="CO1524" s="1" t="s">
        <v>363</v>
      </c>
      <c r="CP1524" s="1" t="s">
        <v>42</v>
      </c>
      <c r="CQ1524" s="1" t="s">
        <v>268</v>
      </c>
      <c r="CR1524" s="1" t="s">
        <v>431</v>
      </c>
      <c r="CS1524" s="1" t="s">
        <v>331</v>
      </c>
      <c r="CT1524" s="1" t="s">
        <v>206</v>
      </c>
      <c r="CU1524" s="1" t="s">
        <v>207</v>
      </c>
      <c r="CV1524" s="1" t="s">
        <v>431</v>
      </c>
      <c r="CW1524" s="1" t="s">
        <v>363</v>
      </c>
      <c r="CX1524" s="1" t="s">
        <v>206</v>
      </c>
      <c r="CY1524" s="1" t="s">
        <v>207</v>
      </c>
      <c r="CZ1524" s="1" t="s">
        <v>431</v>
      </c>
      <c r="DA1524" s="1" t="s">
        <v>200</v>
      </c>
      <c r="DC1524" s="1" t="s">
        <v>216</v>
      </c>
      <c r="DD1524" s="1" t="s">
        <v>306</v>
      </c>
      <c r="DE1524" s="1" t="s">
        <v>218</v>
      </c>
      <c r="DF1524" s="1" t="s">
        <v>219</v>
      </c>
      <c r="DG1524" s="1" t="s">
        <v>4682</v>
      </c>
      <c r="DH1524" s="1" t="s">
        <v>365</v>
      </c>
      <c r="DI1524" s="1" t="s">
        <v>1868</v>
      </c>
      <c r="DJ1524" s="1" t="s">
        <v>222</v>
      </c>
      <c r="DL1524" s="1" t="s">
        <v>224</v>
      </c>
      <c r="DM1524" s="1" t="s">
        <v>1247</v>
      </c>
      <c r="DO1524" s="1" t="s">
        <v>7146</v>
      </c>
      <c r="DP1524" s="1" t="s">
        <v>276</v>
      </c>
      <c r="DQ1524" s="1" t="s">
        <v>228</v>
      </c>
      <c r="DR1524" s="1" t="s">
        <v>229</v>
      </c>
      <c r="DS1524" s="1" t="s">
        <v>591</v>
      </c>
      <c r="DU1524" s="1" t="s">
        <v>550</v>
      </c>
      <c r="DV1524" s="1" t="s">
        <v>15512</v>
      </c>
      <c r="DW1524" s="1" t="s">
        <v>832</v>
      </c>
      <c r="DX1524" s="1" t="s">
        <v>234</v>
      </c>
      <c r="DY1524" s="1" t="s">
        <v>15513</v>
      </c>
      <c r="DZ1524" s="1" t="s">
        <v>310</v>
      </c>
      <c r="EC1524" s="1" t="s">
        <v>645</v>
      </c>
      <c r="ED1524" s="1" t="s">
        <v>555</v>
      </c>
      <c r="EG1524" s="1" t="s">
        <v>449</v>
      </c>
      <c r="EH1524" s="1" t="s">
        <v>409</v>
      </c>
      <c r="EI1524" s="1" t="s">
        <v>310</v>
      </c>
      <c r="EJ1524" s="1" t="s">
        <v>450</v>
      </c>
      <c r="EL1524" s="1" t="s">
        <v>363</v>
      </c>
      <c r="EM1524" s="1" t="s">
        <v>206</v>
      </c>
      <c r="EN1524" s="1" t="s">
        <v>207</v>
      </c>
      <c r="EP1524" s="1" t="s">
        <v>3663</v>
      </c>
      <c r="EQ1524" s="1" t="s">
        <v>209</v>
      </c>
      <c r="ER1524" s="1" t="s">
        <v>207</v>
      </c>
      <c r="ES1524" s="1" t="s">
        <v>229</v>
      </c>
      <c r="ET1524" s="1" t="s">
        <v>1064</v>
      </c>
      <c r="EU1524" s="1" t="s">
        <v>206</v>
      </c>
      <c r="EV1524" s="1" t="s">
        <v>588</v>
      </c>
      <c r="EW1524" s="1" t="s">
        <v>229</v>
      </c>
      <c r="EX1524" s="1" t="s">
        <v>270</v>
      </c>
      <c r="EY1524" s="1" t="s">
        <v>42</v>
      </c>
      <c r="EZ1524" s="1" t="s">
        <v>268</v>
      </c>
      <c r="FA1524" s="1" t="s">
        <v>431</v>
      </c>
      <c r="FC1524" s="1" t="s">
        <v>238</v>
      </c>
      <c r="FF1524" s="1" t="s">
        <v>239</v>
      </c>
      <c r="FG1524" s="1" t="s">
        <v>192</v>
      </c>
      <c r="FH1524" s="1" t="s">
        <v>192</v>
      </c>
      <c r="FJ1524" s="1" t="s">
        <v>799</v>
      </c>
      <c r="FK1524" s="1" t="s">
        <v>229</v>
      </c>
      <c r="FL1524" s="1" t="s">
        <v>562</v>
      </c>
      <c r="FM1524" s="1">
        <v>84025.0</v>
      </c>
      <c r="FN1524" s="1" t="s">
        <v>2509</v>
      </c>
      <c r="FO1524" s="1" t="s">
        <v>15514</v>
      </c>
      <c r="FP1524" s="1">
        <v>158815.0</v>
      </c>
      <c r="FQ1524" s="1" t="s">
        <v>15515</v>
      </c>
      <c r="FU1524" s="1" t="s">
        <v>15516</v>
      </c>
      <c r="FV1524" s="1" t="s">
        <v>200</v>
      </c>
      <c r="FW1524" s="1" t="s">
        <v>290</v>
      </c>
      <c r="FX1524" s="1" t="s">
        <v>238</v>
      </c>
      <c r="FZ1524" s="1" t="s">
        <v>229</v>
      </c>
      <c r="GA1524" s="1" t="s">
        <v>291</v>
      </c>
      <c r="GB1524" s="2">
        <v>42150.0</v>
      </c>
      <c r="GC1524" s="1" t="s">
        <v>15517</v>
      </c>
    </row>
    <row r="1525">
      <c r="A1525" s="1">
        <v>215000.0</v>
      </c>
      <c r="B1525" s="1" t="s">
        <v>185</v>
      </c>
      <c r="C1525" s="1" t="str">
        <f>"08877362"</f>
        <v>08877362</v>
      </c>
      <c r="D1525" s="1" t="s">
        <v>186</v>
      </c>
      <c r="F1525" s="1" t="str">
        <f>"123"</f>
        <v>123</v>
      </c>
      <c r="G1525" s="2">
        <v>42094.0</v>
      </c>
      <c r="H1525" s="1">
        <v>214900.0</v>
      </c>
      <c r="I1525" s="1">
        <v>9.0</v>
      </c>
      <c r="J1525" s="1">
        <v>214900.0</v>
      </c>
      <c r="K1525" s="2">
        <v>42102.0</v>
      </c>
      <c r="L1525" s="1">
        <v>9.0</v>
      </c>
      <c r="M1525" s="2">
        <v>42102.0</v>
      </c>
      <c r="N1525" s="1" t="s">
        <v>187</v>
      </c>
      <c r="O1525" s="2">
        <v>42145.0</v>
      </c>
      <c r="P1525" s="1">
        <v>81983.0</v>
      </c>
      <c r="Q1525" s="1">
        <v>8055.0</v>
      </c>
      <c r="S1525" s="1">
        <v>435.0</v>
      </c>
      <c r="T1525" s="1" t="s">
        <v>15518</v>
      </c>
      <c r="U1525" s="1" t="s">
        <v>189</v>
      </c>
      <c r="V1525" s="1" t="s">
        <v>465</v>
      </c>
      <c r="W1525" s="1">
        <v>60123.0</v>
      </c>
      <c r="Y1525" s="1" t="s">
        <v>15519</v>
      </c>
      <c r="Z1525" s="1">
        <v>1960.0</v>
      </c>
      <c r="AA1525" s="1" t="s">
        <v>192</v>
      </c>
      <c r="AB1525" s="1" t="s">
        <v>193</v>
      </c>
      <c r="AD1525" s="1" t="s">
        <v>469</v>
      </c>
      <c r="AE1525" s="1" t="s">
        <v>325</v>
      </c>
      <c r="AF1525" s="1" t="s">
        <v>469</v>
      </c>
      <c r="AG1525" s="1" t="s">
        <v>15520</v>
      </c>
      <c r="AH1525" s="1" t="s">
        <v>15521</v>
      </c>
      <c r="AI1525" s="1">
        <v>0.3246</v>
      </c>
      <c r="AK1525" s="1">
        <v>7.0</v>
      </c>
      <c r="AL1525" s="1">
        <v>4.0</v>
      </c>
      <c r="AM1525" s="1">
        <v>2.0</v>
      </c>
      <c r="AN1525" s="1">
        <v>1.0</v>
      </c>
      <c r="AO1525" s="1" t="s">
        <v>198</v>
      </c>
      <c r="AP1525" s="1">
        <v>2.0</v>
      </c>
      <c r="AQ1525" s="1" t="s">
        <v>1314</v>
      </c>
      <c r="AR1525" s="1" t="s">
        <v>200</v>
      </c>
      <c r="AS1525" s="1" t="s">
        <v>199</v>
      </c>
      <c r="AT1525" s="1">
        <v>2.0</v>
      </c>
      <c r="AV1525" s="1" t="s">
        <v>200</v>
      </c>
      <c r="AW1525" s="1">
        <v>5560.42</v>
      </c>
      <c r="AX1525" s="1">
        <v>2013.0</v>
      </c>
      <c r="AZ1525" s="1" t="s">
        <v>200</v>
      </c>
      <c r="BA1525" s="1" t="str">
        <f>"0610479007"</f>
        <v>0610479007</v>
      </c>
      <c r="BB1525" s="1" t="s">
        <v>200</v>
      </c>
      <c r="BC1525" s="1">
        <v>2227.0</v>
      </c>
      <c r="BD1525" s="1">
        <v>215000.0</v>
      </c>
      <c r="BE1525" s="2">
        <v>42094.0</v>
      </c>
      <c r="BF1525" s="2" t="s">
        <v>15522</v>
      </c>
      <c r="BH1525" s="1">
        <v>0.0</v>
      </c>
      <c r="BK1525" s="1" t="s">
        <v>204</v>
      </c>
      <c r="BL1525" s="1" t="str">
        <f t="shared" ref="BL1525:BM1525" si="1000">""</f>
        <v/>
      </c>
      <c r="BM1525" s="1" t="str">
        <f t="shared" si="1000"/>
        <v/>
      </c>
      <c r="BQ1525" s="1">
        <v>46.0</v>
      </c>
      <c r="BR1525" s="1">
        <v>46.0</v>
      </c>
      <c r="BS1525" s="1">
        <v>46.0</v>
      </c>
      <c r="BU1525" s="1" t="s">
        <v>2872</v>
      </c>
      <c r="BV1525" s="1" t="s">
        <v>206</v>
      </c>
      <c r="BW1525" s="1" t="s">
        <v>210</v>
      </c>
      <c r="BX1525" s="1" t="s">
        <v>1549</v>
      </c>
      <c r="BY1525" s="1" t="s">
        <v>758</v>
      </c>
      <c r="BZ1525" s="1" t="s">
        <v>206</v>
      </c>
      <c r="CA1525" s="1" t="s">
        <v>207</v>
      </c>
      <c r="CB1525" s="1" t="s">
        <v>431</v>
      </c>
      <c r="CC1525" s="1" t="s">
        <v>1567</v>
      </c>
      <c r="CD1525" s="1" t="s">
        <v>206</v>
      </c>
      <c r="CE1525" s="1" t="s">
        <v>301</v>
      </c>
      <c r="CF1525" s="1" t="s">
        <v>1549</v>
      </c>
      <c r="CG1525" s="1" t="s">
        <v>830</v>
      </c>
      <c r="CH1525" s="1" t="s">
        <v>206</v>
      </c>
      <c r="CI1525" s="1" t="s">
        <v>210</v>
      </c>
      <c r="CJ1525" s="1" t="s">
        <v>431</v>
      </c>
      <c r="CK1525" s="1" t="s">
        <v>1351</v>
      </c>
      <c r="CL1525" s="1" t="s">
        <v>206</v>
      </c>
      <c r="CM1525" s="1" t="s">
        <v>207</v>
      </c>
      <c r="CN1525" s="1" t="s">
        <v>1549</v>
      </c>
      <c r="CO1525" s="1" t="s">
        <v>215</v>
      </c>
      <c r="CP1525" s="1" t="s">
        <v>206</v>
      </c>
      <c r="CQ1525" s="1" t="s">
        <v>207</v>
      </c>
      <c r="CR1525" s="1" t="s">
        <v>1549</v>
      </c>
      <c r="CS1525" s="1" t="s">
        <v>362</v>
      </c>
      <c r="CT1525" s="1" t="s">
        <v>206</v>
      </c>
      <c r="CU1525" s="1" t="s">
        <v>268</v>
      </c>
      <c r="CV1525" s="1" t="s">
        <v>229</v>
      </c>
      <c r="CX1525" s="1" t="s">
        <v>204</v>
      </c>
      <c r="DA1525" s="1" t="s">
        <v>200</v>
      </c>
      <c r="DC1525" s="1" t="s">
        <v>271</v>
      </c>
      <c r="DD1525" s="1" t="s">
        <v>518</v>
      </c>
      <c r="DE1525" s="1" t="s">
        <v>273</v>
      </c>
      <c r="DF1525" s="1" t="s">
        <v>619</v>
      </c>
      <c r="DG1525" s="1" t="s">
        <v>482</v>
      </c>
      <c r="DH1525" s="1" t="s">
        <v>220</v>
      </c>
      <c r="DI1525" s="1" t="s">
        <v>221</v>
      </c>
      <c r="DJ1525" s="1" t="s">
        <v>222</v>
      </c>
      <c r="DK1525" s="1" t="s">
        <v>223</v>
      </c>
      <c r="DL1525" s="1" t="s">
        <v>858</v>
      </c>
      <c r="DM1525" s="1" t="s">
        <v>338</v>
      </c>
      <c r="DN1525" s="1" t="s">
        <v>666</v>
      </c>
      <c r="DP1525" s="1" t="s">
        <v>400</v>
      </c>
      <c r="DQ1525" s="1" t="s">
        <v>441</v>
      </c>
      <c r="DR1525" s="1" t="s">
        <v>229</v>
      </c>
      <c r="DS1525" s="1" t="s">
        <v>401</v>
      </c>
      <c r="DV1525" s="1" t="s">
        <v>1102</v>
      </c>
      <c r="DW1525" s="1" t="s">
        <v>279</v>
      </c>
      <c r="DX1525" s="1" t="s">
        <v>234</v>
      </c>
      <c r="DY1525" s="1" t="s">
        <v>3488</v>
      </c>
      <c r="EA1525" s="1" t="s">
        <v>683</v>
      </c>
      <c r="EB1525" s="1" t="s">
        <v>492</v>
      </c>
      <c r="EC1525" s="1" t="s">
        <v>685</v>
      </c>
      <c r="EG1525" s="1" t="s">
        <v>1102</v>
      </c>
      <c r="EL1525" s="1" t="s">
        <v>331</v>
      </c>
      <c r="EM1525" s="1" t="s">
        <v>206</v>
      </c>
      <c r="EQ1525" s="1" t="s">
        <v>238</v>
      </c>
      <c r="EU1525" s="1" t="s">
        <v>238</v>
      </c>
      <c r="EY1525" s="1" t="s">
        <v>238</v>
      </c>
      <c r="FC1525" s="1" t="s">
        <v>238</v>
      </c>
      <c r="FF1525" s="1" t="s">
        <v>239</v>
      </c>
      <c r="FG1525" s="1" t="s">
        <v>192</v>
      </c>
      <c r="FH1525" s="1" t="s">
        <v>192</v>
      </c>
      <c r="FJ1525" s="1" t="s">
        <v>2206</v>
      </c>
      <c r="FK1525" s="1" t="s">
        <v>348</v>
      </c>
      <c r="FL1525" s="1" t="s">
        <v>1855</v>
      </c>
      <c r="FM1525" s="1">
        <v>41.0</v>
      </c>
      <c r="FN1525" s="1" t="s">
        <v>1856</v>
      </c>
      <c r="FO1525" s="1" t="s">
        <v>15523</v>
      </c>
      <c r="FP1525" s="1">
        <v>7786.0</v>
      </c>
      <c r="FQ1525" s="1" t="s">
        <v>15524</v>
      </c>
      <c r="FR1525" s="1">
        <v>1988.0</v>
      </c>
      <c r="FU1525" s="1" t="s">
        <v>15525</v>
      </c>
      <c r="FV1525" s="1" t="s">
        <v>200</v>
      </c>
      <c r="FW1525" s="1" t="s">
        <v>530</v>
      </c>
      <c r="FX1525" s="1" t="s">
        <v>238</v>
      </c>
      <c r="FZ1525" s="1" t="s">
        <v>229</v>
      </c>
      <c r="GA1525" s="1" t="s">
        <v>291</v>
      </c>
      <c r="GB1525" s="2">
        <v>42146.0</v>
      </c>
      <c r="GC1525" s="1" t="s">
        <v>15526</v>
      </c>
    </row>
    <row r="1526">
      <c r="A1526" s="1">
        <v>344500.0</v>
      </c>
      <c r="B1526" s="1" t="s">
        <v>185</v>
      </c>
      <c r="C1526" s="1" t="str">
        <f>"08869116"</f>
        <v>08869116</v>
      </c>
      <c r="D1526" s="1" t="s">
        <v>186</v>
      </c>
      <c r="F1526" s="1" t="str">
        <f>"554"</f>
        <v>554</v>
      </c>
      <c r="G1526" s="2">
        <v>42086.0</v>
      </c>
      <c r="H1526" s="1">
        <v>350000.0</v>
      </c>
      <c r="I1526" s="1">
        <v>338.0</v>
      </c>
      <c r="J1526" s="1">
        <v>350000.0</v>
      </c>
      <c r="K1526" s="2">
        <v>42103.0</v>
      </c>
      <c r="L1526" s="1">
        <v>18.0</v>
      </c>
      <c r="M1526" s="2">
        <v>42103.0</v>
      </c>
      <c r="N1526" s="1" t="s">
        <v>187</v>
      </c>
      <c r="O1526" s="2">
        <v>42145.0</v>
      </c>
      <c r="P1526" s="1">
        <v>222992.0</v>
      </c>
      <c r="Q1526" s="1">
        <v>22588.0</v>
      </c>
      <c r="S1526" s="1">
        <v>764.0</v>
      </c>
      <c r="T1526" s="1" t="s">
        <v>13923</v>
      </c>
      <c r="U1526" s="1" t="s">
        <v>1174</v>
      </c>
      <c r="V1526" s="1" t="s">
        <v>2212</v>
      </c>
      <c r="W1526" s="1">
        <v>60554.0</v>
      </c>
      <c r="Y1526" s="1" t="s">
        <v>15527</v>
      </c>
      <c r="Z1526" s="1">
        <v>2001.0</v>
      </c>
      <c r="AA1526" s="1" t="s">
        <v>200</v>
      </c>
      <c r="AB1526" s="1" t="s">
        <v>193</v>
      </c>
      <c r="AC1526" s="1" t="s">
        <v>10791</v>
      </c>
      <c r="AD1526" s="1" t="s">
        <v>1887</v>
      </c>
      <c r="AE1526" s="1" t="s">
        <v>325</v>
      </c>
      <c r="AF1526" s="1" t="s">
        <v>1887</v>
      </c>
      <c r="AH1526" s="1" t="s">
        <v>15528</v>
      </c>
      <c r="AK1526" s="1">
        <v>9.0</v>
      </c>
      <c r="AL1526" s="1">
        <v>4.0</v>
      </c>
      <c r="AM1526" s="1">
        <v>2.0</v>
      </c>
      <c r="AN1526" s="1">
        <v>1.0</v>
      </c>
      <c r="AO1526" s="1" t="s">
        <v>198</v>
      </c>
      <c r="AP1526" s="1">
        <v>1.0</v>
      </c>
      <c r="AQ1526" s="1" t="s">
        <v>198</v>
      </c>
      <c r="AR1526" s="1" t="s">
        <v>200</v>
      </c>
      <c r="AS1526" s="1" t="s">
        <v>199</v>
      </c>
      <c r="AT1526" s="1">
        <v>3.0</v>
      </c>
      <c r="AV1526" s="1" t="s">
        <v>200</v>
      </c>
      <c r="AW1526" s="1">
        <v>11107.0</v>
      </c>
      <c r="AX1526" s="1">
        <v>2013.0</v>
      </c>
      <c r="AY1526" s="1" t="s">
        <v>1179</v>
      </c>
      <c r="AZ1526" s="1" t="s">
        <v>200</v>
      </c>
      <c r="BA1526" s="1" t="str">
        <f>"1410128002"</f>
        <v>1410128002</v>
      </c>
      <c r="BB1526" s="1" t="s">
        <v>200</v>
      </c>
      <c r="BC1526" s="1">
        <v>2763.0</v>
      </c>
      <c r="BD1526" s="1">
        <v>344500.0</v>
      </c>
      <c r="BE1526" s="2">
        <v>42086.0</v>
      </c>
      <c r="BF1526" s="2" t="s">
        <v>15529</v>
      </c>
      <c r="BH1526" s="1">
        <v>400.0</v>
      </c>
      <c r="BK1526" s="1" t="s">
        <v>580</v>
      </c>
      <c r="BL1526" s="1" t="str">
        <f t="shared" ref="BL1526:BM1526" si="1001">""</f>
        <v/>
      </c>
      <c r="BM1526" s="1" t="str">
        <f t="shared" si="1001"/>
        <v/>
      </c>
      <c r="BQ1526" s="1">
        <v>302.0</v>
      </c>
      <c r="BR1526" s="1">
        <v>302.0</v>
      </c>
      <c r="BS1526" s="1">
        <v>302.0</v>
      </c>
      <c r="BV1526" s="1" t="s">
        <v>204</v>
      </c>
      <c r="BY1526" s="1" t="s">
        <v>1350</v>
      </c>
      <c r="BZ1526" s="1" t="s">
        <v>209</v>
      </c>
      <c r="CA1526" s="1" t="s">
        <v>210</v>
      </c>
      <c r="CB1526" s="1" t="s">
        <v>239</v>
      </c>
      <c r="CC1526" s="1" t="s">
        <v>433</v>
      </c>
      <c r="CD1526" s="1" t="s">
        <v>206</v>
      </c>
      <c r="CE1526" s="1" t="s">
        <v>210</v>
      </c>
      <c r="CF1526" s="1" t="s">
        <v>239</v>
      </c>
      <c r="CG1526" s="1" t="s">
        <v>363</v>
      </c>
      <c r="CH1526" s="1" t="s">
        <v>209</v>
      </c>
      <c r="CI1526" s="1" t="s">
        <v>210</v>
      </c>
      <c r="CJ1526" s="1" t="s">
        <v>239</v>
      </c>
      <c r="CK1526" s="1" t="s">
        <v>363</v>
      </c>
      <c r="CL1526" s="1" t="s">
        <v>209</v>
      </c>
      <c r="CM1526" s="1" t="s">
        <v>210</v>
      </c>
      <c r="CN1526" s="1" t="s">
        <v>239</v>
      </c>
      <c r="CO1526" s="1" t="s">
        <v>215</v>
      </c>
      <c r="CP1526" s="1" t="s">
        <v>209</v>
      </c>
      <c r="CQ1526" s="1" t="s">
        <v>210</v>
      </c>
      <c r="CR1526" s="1" t="s">
        <v>239</v>
      </c>
      <c r="CS1526" s="1" t="s">
        <v>2120</v>
      </c>
      <c r="CT1526" s="1" t="s">
        <v>206</v>
      </c>
      <c r="CU1526" s="1" t="s">
        <v>207</v>
      </c>
      <c r="CV1526" s="1" t="s">
        <v>239</v>
      </c>
      <c r="CW1526" s="1" t="s">
        <v>3123</v>
      </c>
      <c r="CX1526" s="1" t="s">
        <v>206</v>
      </c>
      <c r="CY1526" s="1" t="s">
        <v>210</v>
      </c>
      <c r="CZ1526" s="1" t="s">
        <v>239</v>
      </c>
      <c r="DA1526" s="1" t="s">
        <v>200</v>
      </c>
      <c r="DC1526" s="1" t="s">
        <v>335</v>
      </c>
      <c r="DD1526" s="1" t="s">
        <v>1976</v>
      </c>
      <c r="DE1526" s="1" t="s">
        <v>273</v>
      </c>
      <c r="DF1526" s="1" t="s">
        <v>219</v>
      </c>
      <c r="DG1526" s="1" t="s">
        <v>337</v>
      </c>
      <c r="DH1526" s="1" t="s">
        <v>220</v>
      </c>
      <c r="DI1526" s="1" t="s">
        <v>13209</v>
      </c>
      <c r="DJ1526" s="1" t="s">
        <v>222</v>
      </c>
      <c r="DL1526" s="1" t="s">
        <v>223</v>
      </c>
      <c r="DM1526" s="1" t="s">
        <v>338</v>
      </c>
      <c r="DN1526" s="1" t="s">
        <v>399</v>
      </c>
      <c r="DP1526" s="1" t="s">
        <v>340</v>
      </c>
      <c r="DQ1526" s="1" t="s">
        <v>228</v>
      </c>
      <c r="DR1526" s="1" t="s">
        <v>1487</v>
      </c>
      <c r="DS1526" s="1" t="s">
        <v>368</v>
      </c>
      <c r="DU1526" s="1" t="s">
        <v>15530</v>
      </c>
      <c r="DV1526" s="1" t="s">
        <v>15531</v>
      </c>
      <c r="DW1526" s="1" t="s">
        <v>1026</v>
      </c>
      <c r="DX1526" s="1" t="s">
        <v>234</v>
      </c>
      <c r="DY1526" s="1" t="s">
        <v>490</v>
      </c>
      <c r="DZ1526" s="1" t="s">
        <v>15532</v>
      </c>
      <c r="EB1526" s="1" t="s">
        <v>5230</v>
      </c>
      <c r="EC1526" s="1" t="s">
        <v>237</v>
      </c>
      <c r="ED1526" s="1" t="s">
        <v>10039</v>
      </c>
      <c r="EG1526" s="1" t="s">
        <v>598</v>
      </c>
      <c r="EH1526" s="1" t="s">
        <v>556</v>
      </c>
      <c r="EI1526" s="1" t="s">
        <v>408</v>
      </c>
      <c r="EJ1526" s="1" t="s">
        <v>409</v>
      </c>
      <c r="EL1526" s="1" t="s">
        <v>584</v>
      </c>
      <c r="EM1526" s="1" t="s">
        <v>206</v>
      </c>
      <c r="EN1526" s="1" t="s">
        <v>210</v>
      </c>
      <c r="EO1526" s="1" t="s">
        <v>239</v>
      </c>
      <c r="EP1526" s="1" t="s">
        <v>584</v>
      </c>
      <c r="EQ1526" s="1" t="s">
        <v>206</v>
      </c>
      <c r="ER1526" s="1" t="s">
        <v>207</v>
      </c>
      <c r="ES1526" s="1" t="s">
        <v>239</v>
      </c>
      <c r="ET1526" s="1" t="s">
        <v>640</v>
      </c>
      <c r="EU1526" s="1" t="s">
        <v>206</v>
      </c>
      <c r="EV1526" s="1" t="s">
        <v>207</v>
      </c>
      <c r="EW1526" s="1" t="s">
        <v>229</v>
      </c>
      <c r="EX1526" s="1" t="s">
        <v>6316</v>
      </c>
      <c r="EY1526" s="1" t="s">
        <v>209</v>
      </c>
      <c r="EZ1526" s="1" t="s">
        <v>210</v>
      </c>
      <c r="FA1526" s="1" t="s">
        <v>229</v>
      </c>
      <c r="FC1526" s="1" t="s">
        <v>238</v>
      </c>
      <c r="FF1526" s="1" t="s">
        <v>239</v>
      </c>
      <c r="FG1526" s="1" t="s">
        <v>192</v>
      </c>
      <c r="FH1526" s="1" t="s">
        <v>192</v>
      </c>
      <c r="FJ1526" s="1" t="s">
        <v>285</v>
      </c>
      <c r="FK1526" s="1" t="s">
        <v>229</v>
      </c>
      <c r="FL1526" s="1" t="s">
        <v>6918</v>
      </c>
      <c r="FM1526" s="1">
        <v>31580.0</v>
      </c>
      <c r="FN1526" s="1" t="s">
        <v>6919</v>
      </c>
      <c r="FO1526" s="1" t="s">
        <v>6920</v>
      </c>
      <c r="FP1526" s="1">
        <v>8171.0</v>
      </c>
      <c r="FQ1526" s="1" t="s">
        <v>6921</v>
      </c>
      <c r="FR1526" s="1">
        <v>8327.0</v>
      </c>
      <c r="FU1526" s="1" t="s">
        <v>15533</v>
      </c>
      <c r="FV1526" s="1" t="s">
        <v>200</v>
      </c>
      <c r="FW1526" s="1" t="s">
        <v>290</v>
      </c>
      <c r="FZ1526" s="1" t="s">
        <v>229</v>
      </c>
      <c r="GA1526" s="1" t="s">
        <v>291</v>
      </c>
      <c r="GB1526" s="2">
        <v>42145.0</v>
      </c>
      <c r="GC1526" s="1" t="s">
        <v>15534</v>
      </c>
    </row>
    <row r="1527">
      <c r="A1527" s="1">
        <v>185000.0</v>
      </c>
      <c r="B1527" s="1" t="s">
        <v>185</v>
      </c>
      <c r="C1527" s="1" t="str">
        <f>"08875620"</f>
        <v>08875620</v>
      </c>
      <c r="D1527" s="1" t="s">
        <v>186</v>
      </c>
      <c r="F1527" s="1" t="str">
        <f>"107"</f>
        <v>107</v>
      </c>
      <c r="G1527" s="2">
        <v>42093.0</v>
      </c>
      <c r="H1527" s="1">
        <v>189900.0</v>
      </c>
      <c r="I1527" s="1">
        <v>4.0</v>
      </c>
      <c r="J1527" s="1">
        <v>189900.0</v>
      </c>
      <c r="K1527" s="2">
        <v>42096.0</v>
      </c>
      <c r="L1527" s="1">
        <v>4.0</v>
      </c>
      <c r="M1527" s="2">
        <v>42096.0</v>
      </c>
      <c r="N1527" s="1" t="s">
        <v>356</v>
      </c>
      <c r="O1527" s="2">
        <v>42135.0</v>
      </c>
      <c r="P1527" s="1">
        <v>29978.0</v>
      </c>
      <c r="Q1527" s="1">
        <v>8340.0</v>
      </c>
      <c r="S1527" s="1">
        <v>402.0</v>
      </c>
      <c r="T1527" s="1" t="s">
        <v>15115</v>
      </c>
      <c r="U1527" s="1" t="s">
        <v>1754</v>
      </c>
      <c r="V1527" s="1" t="s">
        <v>294</v>
      </c>
      <c r="W1527" s="1">
        <v>60107.0</v>
      </c>
      <c r="Y1527" s="1" t="s">
        <v>15535</v>
      </c>
      <c r="Z1527" s="1">
        <v>1962.0</v>
      </c>
      <c r="AA1527" s="1" t="s">
        <v>192</v>
      </c>
      <c r="AB1527" s="1" t="s">
        <v>193</v>
      </c>
      <c r="AD1527" s="1" t="s">
        <v>297</v>
      </c>
      <c r="AE1527" s="1" t="s">
        <v>195</v>
      </c>
      <c r="AF1527" s="1" t="s">
        <v>298</v>
      </c>
      <c r="AH1527" s="1" t="s">
        <v>15536</v>
      </c>
      <c r="AI1527" s="1">
        <v>0.2096</v>
      </c>
      <c r="AK1527" s="1">
        <v>8.0</v>
      </c>
      <c r="AL1527" s="1">
        <v>4.0</v>
      </c>
      <c r="AM1527" s="1">
        <v>1.0</v>
      </c>
      <c r="AN1527" s="1">
        <v>1.0</v>
      </c>
      <c r="AO1527" s="1" t="s">
        <v>229</v>
      </c>
      <c r="AQ1527" s="1" t="s">
        <v>198</v>
      </c>
      <c r="AR1527" s="1" t="s">
        <v>192</v>
      </c>
      <c r="AS1527" s="1" t="s">
        <v>199</v>
      </c>
      <c r="AT1527" s="1">
        <v>2.0</v>
      </c>
      <c r="AV1527" s="1" t="s">
        <v>200</v>
      </c>
      <c r="AW1527" s="1">
        <v>4570.38</v>
      </c>
      <c r="AX1527" s="1">
        <v>2013.0</v>
      </c>
      <c r="AZ1527" s="1" t="s">
        <v>545</v>
      </c>
      <c r="BA1527" s="1" t="str">
        <f>"06234010190000"</f>
        <v>06234010190000</v>
      </c>
      <c r="BC1527" s="1">
        <v>2000.0</v>
      </c>
      <c r="BD1527" s="1">
        <v>185000.0</v>
      </c>
      <c r="BE1527" s="2">
        <v>42093.0</v>
      </c>
      <c r="BF1527" s="2" t="s">
        <v>15537</v>
      </c>
      <c r="BH1527" s="1">
        <v>0.0</v>
      </c>
      <c r="BK1527" s="1" t="s">
        <v>204</v>
      </c>
      <c r="BL1527" s="1" t="str">
        <f t="shared" ref="BL1527:BM1527" si="1002">""</f>
        <v/>
      </c>
      <c r="BM1527" s="1" t="str">
        <f t="shared" si="1002"/>
        <v/>
      </c>
      <c r="BQ1527" s="1">
        <v>299.0</v>
      </c>
      <c r="BR1527" s="1">
        <v>299.0</v>
      </c>
      <c r="BS1527" s="1">
        <v>299.0</v>
      </c>
      <c r="BU1527" s="1" t="s">
        <v>433</v>
      </c>
      <c r="BV1527" s="1" t="s">
        <v>206</v>
      </c>
      <c r="BW1527" s="1" t="s">
        <v>301</v>
      </c>
      <c r="BY1527" s="1" t="s">
        <v>699</v>
      </c>
      <c r="BZ1527" s="1" t="s">
        <v>206</v>
      </c>
      <c r="CA1527" s="1" t="s">
        <v>301</v>
      </c>
      <c r="CC1527" s="1" t="s">
        <v>269</v>
      </c>
      <c r="CD1527" s="1" t="s">
        <v>206</v>
      </c>
      <c r="CE1527" s="1" t="s">
        <v>617</v>
      </c>
      <c r="CG1527" s="1" t="s">
        <v>699</v>
      </c>
      <c r="CH1527" s="1" t="s">
        <v>206</v>
      </c>
      <c r="CI1527" s="1" t="s">
        <v>301</v>
      </c>
      <c r="CK1527" s="1" t="s">
        <v>269</v>
      </c>
      <c r="CL1527" s="1" t="s">
        <v>206</v>
      </c>
      <c r="CM1527" s="1" t="s">
        <v>301</v>
      </c>
      <c r="CO1527" s="1" t="s">
        <v>361</v>
      </c>
      <c r="CP1527" s="1" t="s">
        <v>267</v>
      </c>
      <c r="CQ1527" s="1" t="s">
        <v>210</v>
      </c>
      <c r="CS1527" s="1" t="s">
        <v>269</v>
      </c>
      <c r="CT1527" s="1" t="s">
        <v>206</v>
      </c>
      <c r="CU1527" s="1" t="s">
        <v>617</v>
      </c>
      <c r="CW1527" s="1" t="s">
        <v>743</v>
      </c>
      <c r="CX1527" s="1" t="s">
        <v>267</v>
      </c>
      <c r="CY1527" s="1" t="s">
        <v>210</v>
      </c>
      <c r="DA1527" s="1" t="s">
        <v>200</v>
      </c>
      <c r="DC1527" s="1" t="s">
        <v>271</v>
      </c>
      <c r="DE1527" s="1" t="s">
        <v>2851</v>
      </c>
      <c r="DF1527" s="1" t="s">
        <v>219</v>
      </c>
      <c r="DH1527" s="1" t="s">
        <v>365</v>
      </c>
      <c r="DI1527" s="1" t="s">
        <v>308</v>
      </c>
      <c r="DJ1527" s="1" t="s">
        <v>588</v>
      </c>
      <c r="DL1527" s="1" t="s">
        <v>224</v>
      </c>
      <c r="DM1527" s="1" t="s">
        <v>229</v>
      </c>
      <c r="DQ1527" s="1" t="s">
        <v>228</v>
      </c>
      <c r="DR1527" s="1" t="s">
        <v>229</v>
      </c>
      <c r="DV1527" s="1" t="s">
        <v>232</v>
      </c>
      <c r="DW1527" s="1" t="s">
        <v>370</v>
      </c>
      <c r="DX1527" s="1" t="s">
        <v>234</v>
      </c>
      <c r="DZ1527" s="1" t="s">
        <v>343</v>
      </c>
      <c r="EC1527" s="1" t="s">
        <v>685</v>
      </c>
      <c r="EM1527" s="1" t="s">
        <v>238</v>
      </c>
      <c r="EQ1527" s="1" t="s">
        <v>238</v>
      </c>
      <c r="EU1527" s="1" t="s">
        <v>238</v>
      </c>
      <c r="EY1527" s="1" t="s">
        <v>238</v>
      </c>
      <c r="FC1527" s="1" t="s">
        <v>238</v>
      </c>
      <c r="FF1527" s="1" t="s">
        <v>239</v>
      </c>
      <c r="FG1527" s="1" t="s">
        <v>192</v>
      </c>
      <c r="FH1527" s="1" t="s">
        <v>192</v>
      </c>
      <c r="FJ1527" s="1" t="s">
        <v>6307</v>
      </c>
      <c r="FK1527" s="1" t="s">
        <v>229</v>
      </c>
      <c r="FL1527" s="1" t="s">
        <v>15538</v>
      </c>
      <c r="FM1527" s="1">
        <v>8951.0</v>
      </c>
      <c r="FN1527" s="1" t="s">
        <v>15539</v>
      </c>
      <c r="FO1527" s="1" t="s">
        <v>15540</v>
      </c>
      <c r="FP1527" s="1">
        <v>83863.0</v>
      </c>
      <c r="FU1527" s="1" t="s">
        <v>13203</v>
      </c>
      <c r="FV1527" s="1" t="s">
        <v>200</v>
      </c>
      <c r="FW1527" s="1" t="s">
        <v>15541</v>
      </c>
      <c r="FZ1527" s="1" t="s">
        <v>229</v>
      </c>
      <c r="GA1527" s="1" t="s">
        <v>291</v>
      </c>
      <c r="GB1527" s="2">
        <v>42135.0</v>
      </c>
      <c r="GC1527" s="1" t="s">
        <v>15542</v>
      </c>
    </row>
    <row r="1528">
      <c r="A1528" s="1">
        <v>381000.0</v>
      </c>
      <c r="B1528" s="1" t="s">
        <v>185</v>
      </c>
      <c r="C1528" s="1" t="str">
        <f>"08876751"</f>
        <v>08876751</v>
      </c>
      <c r="D1528" s="1" t="s">
        <v>186</v>
      </c>
      <c r="F1528" s="1" t="str">
        <f>"119"</f>
        <v>119</v>
      </c>
      <c r="G1528" s="2">
        <v>42094.0</v>
      </c>
      <c r="H1528" s="1">
        <v>394900.0</v>
      </c>
      <c r="I1528" s="1">
        <v>12.0</v>
      </c>
      <c r="J1528" s="1">
        <v>394900.0</v>
      </c>
      <c r="K1528" s="2">
        <v>42104.0</v>
      </c>
      <c r="L1528" s="1">
        <v>12.0</v>
      </c>
      <c r="M1528" s="2">
        <v>42104.0</v>
      </c>
      <c r="N1528" s="1" t="s">
        <v>187</v>
      </c>
      <c r="O1528" s="2">
        <v>42140.0</v>
      </c>
      <c r="P1528" s="1">
        <v>230524.0</v>
      </c>
      <c r="Q1528" s="1">
        <v>23591.0</v>
      </c>
      <c r="S1528" s="1">
        <v>1366.0</v>
      </c>
      <c r="T1528" s="1" t="s">
        <v>15543</v>
      </c>
      <c r="U1528" s="1" t="s">
        <v>320</v>
      </c>
      <c r="V1528" s="1" t="s">
        <v>1476</v>
      </c>
      <c r="W1528" s="1">
        <v>60119.0</v>
      </c>
      <c r="Y1528" s="1" t="s">
        <v>15544</v>
      </c>
      <c r="Z1528" s="1">
        <v>2004.0</v>
      </c>
      <c r="AA1528" s="1" t="s">
        <v>200</v>
      </c>
      <c r="AB1528" s="1" t="s">
        <v>467</v>
      </c>
      <c r="AC1528" s="1" t="s">
        <v>4349</v>
      </c>
      <c r="AD1528" s="1" t="s">
        <v>1478</v>
      </c>
      <c r="AE1528" s="1" t="s">
        <v>325</v>
      </c>
      <c r="AF1528" s="1" t="s">
        <v>1479</v>
      </c>
      <c r="AH1528" s="1" t="s">
        <v>15545</v>
      </c>
      <c r="AK1528" s="1">
        <v>11.0</v>
      </c>
      <c r="AL1528" s="1">
        <v>4.0</v>
      </c>
      <c r="AM1528" s="1">
        <v>3.0</v>
      </c>
      <c r="AN1528" s="1">
        <v>1.0</v>
      </c>
      <c r="AO1528" s="1" t="s">
        <v>198</v>
      </c>
      <c r="AP1528" s="1">
        <v>1.0</v>
      </c>
      <c r="AQ1528" s="1" t="s">
        <v>198</v>
      </c>
      <c r="AR1528" s="1" t="s">
        <v>192</v>
      </c>
      <c r="AS1528" s="1" t="s">
        <v>199</v>
      </c>
      <c r="AT1528" s="1">
        <v>3.0</v>
      </c>
      <c r="AV1528" s="1" t="s">
        <v>200</v>
      </c>
      <c r="AW1528" s="6">
        <v>10970.0</v>
      </c>
      <c r="AX1528" s="1">
        <v>2013.0</v>
      </c>
      <c r="AY1528" s="1" t="s">
        <v>387</v>
      </c>
      <c r="AZ1528" s="1" t="s">
        <v>200</v>
      </c>
      <c r="BA1528" s="1" t="str">
        <f>"1108255009"</f>
        <v>1108255009</v>
      </c>
      <c r="BC1528" s="1">
        <v>2345.0</v>
      </c>
      <c r="BD1528" s="1">
        <v>381000.0</v>
      </c>
      <c r="BE1528" s="2">
        <v>42093.0</v>
      </c>
      <c r="BF1528" s="2" t="s">
        <v>15546</v>
      </c>
      <c r="BG1528" s="1" t="s">
        <v>4351</v>
      </c>
      <c r="BH1528" s="1">
        <v>213.0</v>
      </c>
      <c r="BI1528" s="1" t="s">
        <v>1635</v>
      </c>
      <c r="BJ1528" s="1" t="s">
        <v>1636</v>
      </c>
      <c r="BK1528" s="1" t="s">
        <v>580</v>
      </c>
      <c r="BL1528" s="1" t="str">
        <f t="shared" ref="BL1528:BM1528" si="1003">""</f>
        <v/>
      </c>
      <c r="BM1528" s="1" t="str">
        <f t="shared" si="1003"/>
        <v/>
      </c>
      <c r="BN1528" s="1">
        <v>43.0</v>
      </c>
      <c r="BO1528" s="1">
        <v>2.0</v>
      </c>
      <c r="BQ1528" s="1">
        <v>302.0</v>
      </c>
      <c r="BR1528" s="1">
        <v>302.0</v>
      </c>
      <c r="BS1528" s="1">
        <v>302.0</v>
      </c>
      <c r="BU1528" s="1" t="s">
        <v>639</v>
      </c>
      <c r="BV1528" s="1" t="s">
        <v>206</v>
      </c>
      <c r="BW1528" s="1" t="s">
        <v>207</v>
      </c>
      <c r="BY1528" s="1" t="s">
        <v>784</v>
      </c>
      <c r="BZ1528" s="1" t="s">
        <v>206</v>
      </c>
      <c r="CA1528" s="1" t="s">
        <v>210</v>
      </c>
      <c r="CB1528" s="1" t="s">
        <v>239</v>
      </c>
      <c r="CC1528" s="1" t="s">
        <v>363</v>
      </c>
      <c r="CD1528" s="1" t="s">
        <v>206</v>
      </c>
      <c r="CE1528" s="1" t="s">
        <v>207</v>
      </c>
      <c r="CF1528" s="1" t="s">
        <v>239</v>
      </c>
      <c r="CG1528" s="1" t="s">
        <v>215</v>
      </c>
      <c r="CH1528" s="1" t="s">
        <v>206</v>
      </c>
      <c r="CI1528" s="1" t="s">
        <v>210</v>
      </c>
      <c r="CJ1528" s="1" t="s">
        <v>239</v>
      </c>
      <c r="CK1528" s="1" t="s">
        <v>212</v>
      </c>
      <c r="CL1528" s="1" t="s">
        <v>206</v>
      </c>
      <c r="CM1528" s="1" t="s">
        <v>210</v>
      </c>
      <c r="CN1528" s="1" t="s">
        <v>239</v>
      </c>
      <c r="CO1528" s="1" t="s">
        <v>433</v>
      </c>
      <c r="CP1528" s="1" t="s">
        <v>267</v>
      </c>
      <c r="CQ1528" s="1" t="s">
        <v>210</v>
      </c>
      <c r="CS1528" s="1" t="s">
        <v>1468</v>
      </c>
      <c r="CT1528" s="1" t="s">
        <v>206</v>
      </c>
      <c r="CU1528" s="1" t="s">
        <v>207</v>
      </c>
      <c r="CV1528" s="1" t="s">
        <v>239</v>
      </c>
      <c r="CW1528" s="1" t="s">
        <v>15547</v>
      </c>
      <c r="CX1528" s="1" t="s">
        <v>267</v>
      </c>
      <c r="CY1528" s="1" t="s">
        <v>210</v>
      </c>
      <c r="DA1528" s="1" t="s">
        <v>200</v>
      </c>
      <c r="DC1528" s="1" t="s">
        <v>335</v>
      </c>
      <c r="DD1528" s="1" t="s">
        <v>786</v>
      </c>
      <c r="DE1528" s="1" t="s">
        <v>273</v>
      </c>
      <c r="DF1528" s="1" t="s">
        <v>219</v>
      </c>
      <c r="DG1528" s="1" t="s">
        <v>1020</v>
      </c>
      <c r="DH1528" s="1" t="s">
        <v>220</v>
      </c>
      <c r="DI1528" s="1" t="s">
        <v>15548</v>
      </c>
      <c r="DJ1528" s="1" t="s">
        <v>222</v>
      </c>
      <c r="DK1528" s="1" t="s">
        <v>198</v>
      </c>
      <c r="DL1528" s="1" t="s">
        <v>224</v>
      </c>
      <c r="DM1528" s="1" t="s">
        <v>338</v>
      </c>
      <c r="DN1528" s="1" t="s">
        <v>399</v>
      </c>
      <c r="DP1528" s="1" t="s">
        <v>340</v>
      </c>
      <c r="DQ1528" s="1" t="s">
        <v>228</v>
      </c>
      <c r="DR1528" s="1" t="s">
        <v>229</v>
      </c>
      <c r="DS1528" s="1" t="s">
        <v>230</v>
      </c>
      <c r="DU1528" s="1" t="s">
        <v>15549</v>
      </c>
      <c r="DV1528" s="1" t="s">
        <v>15550</v>
      </c>
      <c r="DW1528" s="1" t="s">
        <v>1026</v>
      </c>
      <c r="DX1528" s="1" t="s">
        <v>234</v>
      </c>
      <c r="DY1528" s="1" t="s">
        <v>9915</v>
      </c>
      <c r="DZ1528" s="1" t="s">
        <v>310</v>
      </c>
      <c r="EA1528" s="1" t="s">
        <v>683</v>
      </c>
      <c r="EB1528" s="1" t="s">
        <v>15551</v>
      </c>
      <c r="EC1528" s="1" t="s">
        <v>685</v>
      </c>
      <c r="ED1528" s="1" t="s">
        <v>407</v>
      </c>
      <c r="EG1528" s="1" t="s">
        <v>557</v>
      </c>
      <c r="EH1528" s="1" t="s">
        <v>1467</v>
      </c>
      <c r="EI1528" s="1" t="s">
        <v>450</v>
      </c>
      <c r="EL1528" s="1" t="s">
        <v>262</v>
      </c>
      <c r="EM1528" s="1" t="s">
        <v>267</v>
      </c>
      <c r="EN1528" s="1" t="s">
        <v>210</v>
      </c>
      <c r="EP1528" s="1" t="s">
        <v>375</v>
      </c>
      <c r="EQ1528" s="1" t="s">
        <v>267</v>
      </c>
      <c r="ER1528" s="1" t="s">
        <v>210</v>
      </c>
      <c r="ET1528" s="1" t="s">
        <v>730</v>
      </c>
      <c r="EU1528" s="1" t="s">
        <v>206</v>
      </c>
      <c r="EY1528" s="1" t="s">
        <v>238</v>
      </c>
      <c r="FC1528" s="1" t="s">
        <v>238</v>
      </c>
      <c r="FF1528" s="1" t="s">
        <v>239</v>
      </c>
      <c r="FG1528" s="1" t="s">
        <v>192</v>
      </c>
      <c r="FH1528" s="1" t="s">
        <v>192</v>
      </c>
      <c r="FJ1528" s="1" t="s">
        <v>1450</v>
      </c>
      <c r="FK1528" s="1" t="s">
        <v>229</v>
      </c>
      <c r="FL1528" s="1" t="s">
        <v>10256</v>
      </c>
      <c r="FM1528" s="1">
        <v>2510.0</v>
      </c>
      <c r="FN1528" s="1" t="s">
        <v>10257</v>
      </c>
      <c r="FO1528" s="1" t="s">
        <v>15552</v>
      </c>
      <c r="FP1528" s="1">
        <v>17072.0</v>
      </c>
      <c r="FQ1528" s="1" t="s">
        <v>15553</v>
      </c>
      <c r="FU1528" s="1" t="s">
        <v>15554</v>
      </c>
      <c r="FV1528" s="1" t="s">
        <v>200</v>
      </c>
      <c r="FW1528" s="1" t="s">
        <v>530</v>
      </c>
      <c r="FZ1528" s="1" t="s">
        <v>229</v>
      </c>
      <c r="GA1528" s="1" t="s">
        <v>291</v>
      </c>
      <c r="GB1528" s="2">
        <v>42142.0</v>
      </c>
      <c r="GC1528" s="1" t="s">
        <v>15555</v>
      </c>
    </row>
    <row r="1529">
      <c r="A1529" s="1">
        <v>376000.0</v>
      </c>
      <c r="B1529" s="1" t="s">
        <v>185</v>
      </c>
      <c r="C1529" s="1" t="str">
        <f>"08867444"</f>
        <v>08867444</v>
      </c>
      <c r="D1529" s="1" t="s">
        <v>186</v>
      </c>
      <c r="F1529" s="1" t="str">
        <f>"542"</f>
        <v>542</v>
      </c>
      <c r="G1529" s="2">
        <v>42083.0</v>
      </c>
      <c r="H1529" s="1">
        <v>369900.0</v>
      </c>
      <c r="I1529" s="1">
        <v>14.0</v>
      </c>
      <c r="J1529" s="1">
        <v>369900.0</v>
      </c>
      <c r="K1529" s="2">
        <v>42095.0</v>
      </c>
      <c r="L1529" s="1">
        <v>14.0</v>
      </c>
      <c r="M1529" s="2">
        <v>42095.0</v>
      </c>
      <c r="N1529" s="1" t="s">
        <v>187</v>
      </c>
      <c r="O1529" s="2">
        <v>42125.0</v>
      </c>
      <c r="P1529" s="1">
        <v>228245.0</v>
      </c>
      <c r="Q1529" s="1">
        <v>24213.0</v>
      </c>
      <c r="R1529" s="1">
        <v>6000.0</v>
      </c>
      <c r="S1529" s="1">
        <v>415.0</v>
      </c>
      <c r="T1529" s="1" t="s">
        <v>15556</v>
      </c>
      <c r="U1529" s="1" t="s">
        <v>1174</v>
      </c>
      <c r="V1529" s="1" t="s">
        <v>3984</v>
      </c>
      <c r="W1529" s="1">
        <v>60542.0</v>
      </c>
      <c r="Y1529" s="1" t="s">
        <v>15557</v>
      </c>
      <c r="Z1529" s="1">
        <v>2007.0</v>
      </c>
      <c r="AA1529" s="1" t="s">
        <v>200</v>
      </c>
      <c r="AB1529" s="1" t="s">
        <v>193</v>
      </c>
      <c r="AD1529" s="1" t="s">
        <v>3986</v>
      </c>
      <c r="AE1529" s="1" t="s">
        <v>325</v>
      </c>
      <c r="AF1529" s="1" t="s">
        <v>2702</v>
      </c>
      <c r="AH1529" s="1">
        <v>14874.0</v>
      </c>
      <c r="AI1529" s="1">
        <v>0.3338</v>
      </c>
      <c r="AK1529" s="1">
        <v>9.0</v>
      </c>
      <c r="AL1529" s="1">
        <v>4.0</v>
      </c>
      <c r="AM1529" s="1">
        <v>2.0</v>
      </c>
      <c r="AN1529" s="1">
        <v>1.0</v>
      </c>
      <c r="AO1529" s="1" t="s">
        <v>198</v>
      </c>
      <c r="AP1529" s="1">
        <v>1.0</v>
      </c>
      <c r="AQ1529" s="1" t="s">
        <v>198</v>
      </c>
      <c r="AR1529" s="1" t="s">
        <v>200</v>
      </c>
      <c r="AS1529" s="1" t="s">
        <v>199</v>
      </c>
      <c r="AT1529" s="1">
        <v>3.0</v>
      </c>
      <c r="AV1529" s="1" t="s">
        <v>200</v>
      </c>
      <c r="AW1529" s="1">
        <v>11118.02</v>
      </c>
      <c r="AX1529" s="1">
        <v>2013.0</v>
      </c>
      <c r="AZ1529" s="1" t="s">
        <v>200</v>
      </c>
      <c r="BA1529" s="1" t="str">
        <f>"1233332002"</f>
        <v>1233332002</v>
      </c>
      <c r="BC1529" s="1">
        <v>3833.0</v>
      </c>
      <c r="BD1529" s="1">
        <v>376000.0</v>
      </c>
      <c r="BE1529" s="2">
        <v>42082.0</v>
      </c>
      <c r="BF1529" s="2" t="s">
        <v>15558</v>
      </c>
      <c r="BH1529" s="1">
        <v>200.0</v>
      </c>
      <c r="BK1529" s="1" t="s">
        <v>580</v>
      </c>
      <c r="BL1529" s="1" t="str">
        <f t="shared" ref="BL1529:BM1529" si="1004">""</f>
        <v/>
      </c>
      <c r="BM1529" s="1" t="str">
        <f t="shared" si="1004"/>
        <v/>
      </c>
      <c r="BQ1529" s="1">
        <v>129.0</v>
      </c>
      <c r="BR1529" s="1">
        <v>129.0</v>
      </c>
      <c r="BS1529" s="1">
        <v>129.0</v>
      </c>
      <c r="BU1529" s="1" t="s">
        <v>677</v>
      </c>
      <c r="BV1529" s="1" t="s">
        <v>206</v>
      </c>
      <c r="BW1529" s="1" t="s">
        <v>210</v>
      </c>
      <c r="BY1529" s="1" t="s">
        <v>676</v>
      </c>
      <c r="BZ1529" s="1" t="s">
        <v>209</v>
      </c>
      <c r="CA1529" s="1" t="s">
        <v>210</v>
      </c>
      <c r="CC1529" s="1" t="s">
        <v>393</v>
      </c>
      <c r="CD1529" s="1" t="s">
        <v>206</v>
      </c>
      <c r="CE1529" s="1" t="s">
        <v>210</v>
      </c>
      <c r="CG1529" s="1" t="s">
        <v>393</v>
      </c>
      <c r="CH1529" s="1" t="s">
        <v>209</v>
      </c>
      <c r="CI1529" s="1" t="s">
        <v>210</v>
      </c>
      <c r="CK1529" s="1" t="s">
        <v>300</v>
      </c>
      <c r="CL1529" s="1" t="s">
        <v>209</v>
      </c>
      <c r="CM1529" s="1" t="s">
        <v>210</v>
      </c>
      <c r="CO1529" s="1" t="s">
        <v>363</v>
      </c>
      <c r="CP1529" s="1" t="s">
        <v>209</v>
      </c>
      <c r="CQ1529" s="1" t="s">
        <v>210</v>
      </c>
      <c r="CS1529" s="1" t="s">
        <v>300</v>
      </c>
      <c r="CT1529" s="1" t="s">
        <v>206</v>
      </c>
      <c r="CU1529" s="1" t="s">
        <v>207</v>
      </c>
      <c r="CW1529" s="1" t="s">
        <v>364</v>
      </c>
      <c r="CX1529" s="1" t="s">
        <v>206</v>
      </c>
      <c r="CY1529" s="1" t="s">
        <v>210</v>
      </c>
      <c r="DA1529" s="1" t="s">
        <v>200</v>
      </c>
      <c r="DC1529" s="1" t="s">
        <v>481</v>
      </c>
      <c r="DD1529" s="1" t="s">
        <v>436</v>
      </c>
      <c r="DE1529" s="1" t="s">
        <v>273</v>
      </c>
      <c r="DF1529" s="1" t="s">
        <v>619</v>
      </c>
      <c r="DH1529" s="1" t="s">
        <v>220</v>
      </c>
      <c r="DI1529" s="1" t="s">
        <v>10367</v>
      </c>
      <c r="DJ1529" s="1" t="s">
        <v>222</v>
      </c>
      <c r="DL1529" s="1" t="s">
        <v>223</v>
      </c>
      <c r="DM1529" s="1" t="s">
        <v>229</v>
      </c>
      <c r="DN1529" s="1" t="s">
        <v>548</v>
      </c>
      <c r="DP1529" s="1" t="s">
        <v>340</v>
      </c>
      <c r="DQ1529" s="1" t="s">
        <v>441</v>
      </c>
      <c r="DR1529" s="1" t="s">
        <v>588</v>
      </c>
      <c r="DV1529" s="1" t="s">
        <v>494</v>
      </c>
      <c r="DW1529" s="1" t="s">
        <v>934</v>
      </c>
      <c r="DX1529" s="1" t="s">
        <v>234</v>
      </c>
      <c r="DY1529" s="1" t="s">
        <v>935</v>
      </c>
      <c r="DZ1529" s="1" t="s">
        <v>310</v>
      </c>
      <c r="EC1529" s="1" t="s">
        <v>237</v>
      </c>
      <c r="EG1529" s="1" t="s">
        <v>494</v>
      </c>
      <c r="EL1529" s="1" t="s">
        <v>300</v>
      </c>
      <c r="EM1529" s="1" t="s">
        <v>206</v>
      </c>
      <c r="EN1529" s="1" t="s">
        <v>210</v>
      </c>
      <c r="EQ1529" s="1" t="s">
        <v>238</v>
      </c>
      <c r="EU1529" s="1" t="s">
        <v>238</v>
      </c>
      <c r="EY1529" s="1" t="s">
        <v>238</v>
      </c>
      <c r="FC1529" s="1" t="s">
        <v>238</v>
      </c>
      <c r="FF1529" s="1" t="s">
        <v>239</v>
      </c>
      <c r="FG1529" s="1" t="s">
        <v>192</v>
      </c>
      <c r="FH1529" s="1" t="s">
        <v>192</v>
      </c>
      <c r="FJ1529" s="1" t="s">
        <v>2156</v>
      </c>
      <c r="FK1529" s="1" t="s">
        <v>229</v>
      </c>
      <c r="FL1529" s="1" t="s">
        <v>1855</v>
      </c>
      <c r="FM1529" s="1">
        <v>41.0</v>
      </c>
      <c r="FN1529" s="1" t="s">
        <v>1856</v>
      </c>
      <c r="FO1529" s="1" t="s">
        <v>1857</v>
      </c>
      <c r="FP1529" s="1">
        <v>8483.0</v>
      </c>
      <c r="FQ1529" s="1" t="s">
        <v>1858</v>
      </c>
      <c r="FS1529" s="1" t="s">
        <v>7114</v>
      </c>
      <c r="FT1529" s="1" t="s">
        <v>1860</v>
      </c>
      <c r="FU1529" s="1" t="s">
        <v>7115</v>
      </c>
      <c r="FV1529" s="1" t="s">
        <v>200</v>
      </c>
      <c r="FW1529" s="1" t="s">
        <v>354</v>
      </c>
      <c r="FZ1529" s="1" t="s">
        <v>229</v>
      </c>
      <c r="GA1529" s="1" t="s">
        <v>291</v>
      </c>
      <c r="GB1529" s="2">
        <v>42125.0</v>
      </c>
      <c r="GC1529" s="1" t="s">
        <v>15559</v>
      </c>
    </row>
    <row r="1530">
      <c r="A1530" s="1">
        <v>482500.0</v>
      </c>
      <c r="B1530" s="1" t="s">
        <v>185</v>
      </c>
      <c r="C1530" s="1" t="str">
        <f>"08868167"</f>
        <v>08868167</v>
      </c>
      <c r="D1530" s="1" t="s">
        <v>186</v>
      </c>
      <c r="F1530" s="1" t="str">
        <f>"174"</f>
        <v>174</v>
      </c>
      <c r="G1530" s="2">
        <v>42084.0</v>
      </c>
      <c r="H1530" s="1">
        <v>484900.0</v>
      </c>
      <c r="I1530" s="1">
        <v>157.0</v>
      </c>
      <c r="J1530" s="1">
        <v>484900.0</v>
      </c>
      <c r="K1530" s="2">
        <v>42089.0</v>
      </c>
      <c r="L1530" s="1">
        <v>8.0</v>
      </c>
      <c r="M1530" s="2">
        <v>42089.0</v>
      </c>
      <c r="N1530" s="1" t="s">
        <v>187</v>
      </c>
      <c r="O1530" s="2">
        <v>42114.0</v>
      </c>
      <c r="P1530" s="1">
        <v>240120.0</v>
      </c>
      <c r="Q1530" s="1">
        <v>21324.0</v>
      </c>
      <c r="S1530" s="1" t="s">
        <v>15560</v>
      </c>
      <c r="T1530" s="1" t="s">
        <v>4439</v>
      </c>
      <c r="U1530" s="1" t="s">
        <v>464</v>
      </c>
      <c r="V1530" s="1" t="s">
        <v>11389</v>
      </c>
      <c r="W1530" s="1">
        <v>60124.0</v>
      </c>
      <c r="Y1530" s="1" t="s">
        <v>15561</v>
      </c>
      <c r="Z1530" s="1">
        <v>1994.0</v>
      </c>
      <c r="AA1530" s="1" t="s">
        <v>200</v>
      </c>
      <c r="AB1530" s="1" t="s">
        <v>193</v>
      </c>
      <c r="AC1530" s="1" t="s">
        <v>15562</v>
      </c>
      <c r="AD1530" s="1" t="s">
        <v>1089</v>
      </c>
      <c r="AE1530" s="1" t="s">
        <v>325</v>
      </c>
      <c r="AF1530" s="1" t="s">
        <v>572</v>
      </c>
      <c r="AH1530" s="1" t="s">
        <v>15563</v>
      </c>
      <c r="AI1530" s="1">
        <v>1.5</v>
      </c>
      <c r="AK1530" s="1">
        <v>11.0</v>
      </c>
      <c r="AL1530" s="1">
        <v>4.0</v>
      </c>
      <c r="AM1530" s="1">
        <v>3.0</v>
      </c>
      <c r="AN1530" s="1">
        <v>1.0</v>
      </c>
      <c r="AO1530" s="1" t="s">
        <v>198</v>
      </c>
      <c r="AP1530" s="1">
        <v>2.0</v>
      </c>
      <c r="AQ1530" s="1" t="s">
        <v>198</v>
      </c>
      <c r="AR1530" s="1" t="s">
        <v>192</v>
      </c>
      <c r="AS1530" s="1" t="s">
        <v>199</v>
      </c>
      <c r="AT1530" s="1">
        <v>4.0</v>
      </c>
      <c r="AV1530" s="1" t="s">
        <v>200</v>
      </c>
      <c r="AW1530" s="1">
        <v>13957.58</v>
      </c>
      <c r="AX1530" s="1">
        <v>2013.0</v>
      </c>
      <c r="AY1530" s="1" t="s">
        <v>229</v>
      </c>
      <c r="AZ1530" s="1" t="s">
        <v>200</v>
      </c>
      <c r="BA1530" s="1" t="str">
        <f>"0532275004"</f>
        <v>0532275004</v>
      </c>
      <c r="BC1530" s="1">
        <v>3500.0</v>
      </c>
      <c r="BD1530" s="1">
        <v>482500.0</v>
      </c>
      <c r="BE1530" s="2">
        <v>42082.0</v>
      </c>
      <c r="BF1530" s="2" t="s">
        <v>15564</v>
      </c>
      <c r="BH1530" s="1">
        <v>0.0</v>
      </c>
      <c r="BJ1530" s="1" t="s">
        <v>579</v>
      </c>
      <c r="BK1530" s="1" t="s">
        <v>204</v>
      </c>
      <c r="BL1530" s="1" t="str">
        <f>"8"</f>
        <v>8</v>
      </c>
      <c r="BM1530" s="1" t="str">
        <f t="shared" ref="BM1530:BM1531" si="1005">"0"</f>
        <v>0</v>
      </c>
      <c r="BN1530" s="1">
        <v>43.0</v>
      </c>
      <c r="BO1530" s="1">
        <v>0.0</v>
      </c>
      <c r="BQ1530" s="1">
        <v>301.0</v>
      </c>
      <c r="BR1530" s="1">
        <v>301.0</v>
      </c>
      <c r="BS1530" s="1">
        <v>301.0</v>
      </c>
      <c r="BU1530" s="1" t="s">
        <v>924</v>
      </c>
      <c r="BV1530" s="1" t="s">
        <v>206</v>
      </c>
      <c r="BW1530" s="1" t="s">
        <v>210</v>
      </c>
      <c r="BY1530" s="1" t="s">
        <v>924</v>
      </c>
      <c r="BZ1530" s="1" t="s">
        <v>209</v>
      </c>
      <c r="CA1530" s="1" t="s">
        <v>210</v>
      </c>
      <c r="CC1530" s="1" t="s">
        <v>213</v>
      </c>
      <c r="CD1530" s="1" t="s">
        <v>206</v>
      </c>
      <c r="CE1530" s="1" t="s">
        <v>207</v>
      </c>
      <c r="CG1530" s="1" t="s">
        <v>924</v>
      </c>
      <c r="CH1530" s="1" t="s">
        <v>209</v>
      </c>
      <c r="CI1530" s="1" t="s">
        <v>210</v>
      </c>
      <c r="CK1530" s="1" t="s">
        <v>758</v>
      </c>
      <c r="CL1530" s="1" t="s">
        <v>209</v>
      </c>
      <c r="CM1530" s="1" t="s">
        <v>210</v>
      </c>
      <c r="CO1530" s="1" t="s">
        <v>497</v>
      </c>
      <c r="CP1530" s="1" t="s">
        <v>206</v>
      </c>
      <c r="CQ1530" s="1" t="s">
        <v>210</v>
      </c>
      <c r="CS1530" s="1" t="s">
        <v>2014</v>
      </c>
      <c r="CT1530" s="1" t="s">
        <v>206</v>
      </c>
      <c r="CU1530" s="1" t="s">
        <v>268</v>
      </c>
      <c r="CW1530" s="1" t="s">
        <v>2013</v>
      </c>
      <c r="CX1530" s="1" t="s">
        <v>206</v>
      </c>
      <c r="CY1530" s="1" t="s">
        <v>210</v>
      </c>
      <c r="DA1530" s="1" t="s">
        <v>200</v>
      </c>
      <c r="DC1530" s="1" t="s">
        <v>435</v>
      </c>
      <c r="DD1530" s="1" t="s">
        <v>9282</v>
      </c>
      <c r="DE1530" s="1" t="s">
        <v>218</v>
      </c>
      <c r="DF1530" s="1" t="s">
        <v>745</v>
      </c>
      <c r="DH1530" s="1" t="s">
        <v>856</v>
      </c>
      <c r="DI1530" s="1" t="s">
        <v>15565</v>
      </c>
      <c r="DJ1530" s="1" t="s">
        <v>857</v>
      </c>
      <c r="DK1530" s="1" t="s">
        <v>198</v>
      </c>
      <c r="DL1530" s="1" t="s">
        <v>224</v>
      </c>
      <c r="DM1530" s="1" t="s">
        <v>338</v>
      </c>
      <c r="DN1530" s="1" t="s">
        <v>15047</v>
      </c>
      <c r="DO1530" s="1" t="s">
        <v>1556</v>
      </c>
      <c r="DP1530" s="1" t="s">
        <v>340</v>
      </c>
      <c r="DQ1530" s="1" t="s">
        <v>931</v>
      </c>
      <c r="DR1530" s="1" t="s">
        <v>229</v>
      </c>
      <c r="DS1530" s="1" t="s">
        <v>591</v>
      </c>
      <c r="DU1530" s="1" t="s">
        <v>15566</v>
      </c>
      <c r="DV1530" s="1" t="s">
        <v>15567</v>
      </c>
      <c r="DW1530" s="1" t="s">
        <v>764</v>
      </c>
      <c r="DX1530" s="1" t="s">
        <v>234</v>
      </c>
      <c r="DY1530" s="1" t="s">
        <v>15568</v>
      </c>
      <c r="DZ1530" s="1" t="s">
        <v>13091</v>
      </c>
      <c r="EA1530" s="1" t="s">
        <v>344</v>
      </c>
      <c r="EB1530" s="1" t="s">
        <v>8570</v>
      </c>
      <c r="EC1530" s="1" t="s">
        <v>237</v>
      </c>
      <c r="ED1530" s="1" t="s">
        <v>864</v>
      </c>
      <c r="EG1530" s="1" t="s">
        <v>310</v>
      </c>
      <c r="EH1530" s="1" t="s">
        <v>450</v>
      </c>
      <c r="EI1530" s="1" t="s">
        <v>451</v>
      </c>
      <c r="EJ1530" s="1" t="s">
        <v>1407</v>
      </c>
      <c r="EK1530" s="1" t="s">
        <v>408</v>
      </c>
      <c r="EL1530" s="1" t="s">
        <v>15569</v>
      </c>
      <c r="EM1530" s="1" t="s">
        <v>206</v>
      </c>
      <c r="EP1530" s="1" t="s">
        <v>6591</v>
      </c>
      <c r="EQ1530" s="1" t="s">
        <v>42</v>
      </c>
      <c r="ER1530" s="1" t="s">
        <v>268</v>
      </c>
      <c r="ET1530" s="1" t="s">
        <v>1809</v>
      </c>
      <c r="EU1530" s="1" t="s">
        <v>42</v>
      </c>
      <c r="EV1530" s="1" t="s">
        <v>210</v>
      </c>
      <c r="EX1530" s="1" t="s">
        <v>2695</v>
      </c>
      <c r="EY1530" s="1" t="s">
        <v>42</v>
      </c>
      <c r="EZ1530" s="1" t="s">
        <v>268</v>
      </c>
      <c r="FB1530" s="1" t="s">
        <v>784</v>
      </c>
      <c r="FC1530" s="1" t="s">
        <v>206</v>
      </c>
      <c r="FD1530" s="1" t="s">
        <v>5126</v>
      </c>
      <c r="FF1530" s="1" t="s">
        <v>239</v>
      </c>
      <c r="FG1530" s="1" t="s">
        <v>192</v>
      </c>
      <c r="FH1530" s="1" t="s">
        <v>192</v>
      </c>
      <c r="FJ1530" s="1" t="s">
        <v>498</v>
      </c>
      <c r="FK1530" s="1" t="s">
        <v>348</v>
      </c>
      <c r="FL1530" s="1" t="s">
        <v>1358</v>
      </c>
      <c r="FM1530" s="1">
        <v>23591.0</v>
      </c>
      <c r="FN1530" s="1" t="s">
        <v>2134</v>
      </c>
      <c r="FO1530" s="1" t="s">
        <v>2843</v>
      </c>
      <c r="FP1530" s="1">
        <v>230482.0</v>
      </c>
      <c r="FQ1530" s="1" t="s">
        <v>2844</v>
      </c>
      <c r="FS1530" s="1" t="s">
        <v>8183</v>
      </c>
      <c r="FU1530" s="1" t="s">
        <v>15570</v>
      </c>
      <c r="FV1530" s="1" t="s">
        <v>200</v>
      </c>
      <c r="FW1530" s="1" t="s">
        <v>15571</v>
      </c>
      <c r="FZ1530" s="1" t="s">
        <v>229</v>
      </c>
      <c r="GA1530" s="1" t="s">
        <v>291</v>
      </c>
      <c r="GB1530" s="2">
        <v>42114.0</v>
      </c>
      <c r="GC1530" s="1" t="s">
        <v>15572</v>
      </c>
    </row>
    <row r="1531">
      <c r="A1531" s="1">
        <v>992500.0</v>
      </c>
      <c r="B1531" s="1" t="s">
        <v>185</v>
      </c>
      <c r="C1531" s="1" t="str">
        <f>"08869157"</f>
        <v>08869157</v>
      </c>
      <c r="D1531" s="1" t="s">
        <v>186</v>
      </c>
      <c r="F1531" s="1" t="str">
        <f>"8022"</f>
        <v>8022</v>
      </c>
      <c r="G1531" s="2">
        <v>42086.0</v>
      </c>
      <c r="H1531" s="1">
        <v>1049000.0</v>
      </c>
      <c r="I1531" s="1">
        <v>1.0</v>
      </c>
      <c r="J1531" s="1">
        <v>1049000.0</v>
      </c>
      <c r="K1531" s="2">
        <v>42086.0</v>
      </c>
      <c r="L1531" s="1">
        <v>1.0</v>
      </c>
      <c r="M1531" s="2">
        <v>42086.0</v>
      </c>
      <c r="N1531" s="1" t="s">
        <v>187</v>
      </c>
      <c r="O1531" s="2">
        <v>42089.0</v>
      </c>
      <c r="P1531" s="1">
        <v>876787.0</v>
      </c>
      <c r="Q1531" s="1">
        <v>10988.0</v>
      </c>
      <c r="S1531" s="1">
        <v>2162.0</v>
      </c>
      <c r="T1531" s="1" t="s">
        <v>6991</v>
      </c>
      <c r="U1531" s="1" t="s">
        <v>189</v>
      </c>
      <c r="V1531" s="1" t="s">
        <v>190</v>
      </c>
      <c r="W1531" s="1">
        <v>60647.0</v>
      </c>
      <c r="Y1531" s="1" t="s">
        <v>15573</v>
      </c>
      <c r="Z1531" s="1">
        <v>2007.0</v>
      </c>
      <c r="AA1531" s="1" t="s">
        <v>200</v>
      </c>
      <c r="AB1531" s="1" t="s">
        <v>193</v>
      </c>
      <c r="AD1531" s="1" t="s">
        <v>194</v>
      </c>
      <c r="AE1531" s="1" t="s">
        <v>195</v>
      </c>
      <c r="AF1531" s="1" t="s">
        <v>534</v>
      </c>
      <c r="AH1531" s="1" t="s">
        <v>15574</v>
      </c>
      <c r="AK1531" s="1">
        <v>10.0</v>
      </c>
      <c r="AL1531" s="1">
        <v>4.0</v>
      </c>
      <c r="AM1531" s="1">
        <v>3.0</v>
      </c>
      <c r="AN1531" s="1">
        <v>1.0</v>
      </c>
      <c r="AO1531" s="1" t="s">
        <v>198</v>
      </c>
      <c r="AP1531" s="1">
        <v>1.0</v>
      </c>
      <c r="AQ1531" s="1" t="s">
        <v>198</v>
      </c>
      <c r="AR1531" s="1" t="s">
        <v>192</v>
      </c>
      <c r="AS1531" s="1" t="s">
        <v>199</v>
      </c>
      <c r="AT1531" s="1">
        <v>2.0</v>
      </c>
      <c r="AV1531" s="1" t="s">
        <v>200</v>
      </c>
      <c r="AW1531" s="1">
        <v>11893.0</v>
      </c>
      <c r="AX1531" s="1">
        <v>2013.0</v>
      </c>
      <c r="AY1531" s="1" t="s">
        <v>387</v>
      </c>
      <c r="AZ1531" s="1" t="s">
        <v>200</v>
      </c>
      <c r="BA1531" s="1" t="str">
        <f>"14311180120000"</f>
        <v>14311180120000</v>
      </c>
      <c r="BC1531" s="1">
        <v>4000.0</v>
      </c>
      <c r="BD1531" s="1">
        <v>992500.0</v>
      </c>
      <c r="BE1531" s="2">
        <v>42086.0</v>
      </c>
      <c r="BF1531" s="2" t="s">
        <v>15575</v>
      </c>
      <c r="BG1531" s="1" t="s">
        <v>6994</v>
      </c>
      <c r="BH1531" s="1">
        <v>0.0</v>
      </c>
      <c r="BK1531" s="1" t="s">
        <v>204</v>
      </c>
      <c r="BL1531" s="1" t="str">
        <f>"2162"</f>
        <v>2162</v>
      </c>
      <c r="BM1531" s="1" t="str">
        <f t="shared" si="1005"/>
        <v>0</v>
      </c>
      <c r="BN1531" s="1">
        <v>2350.0</v>
      </c>
      <c r="BO1531" s="1">
        <v>0.0</v>
      </c>
      <c r="BQ1531" s="1">
        <v>299.0</v>
      </c>
      <c r="BR1531" s="1">
        <v>299.0</v>
      </c>
      <c r="BS1531" s="1">
        <v>299.0</v>
      </c>
      <c r="BU1531" s="1" t="s">
        <v>394</v>
      </c>
      <c r="BV1531" s="1" t="s">
        <v>206</v>
      </c>
      <c r="BW1531" s="1" t="s">
        <v>207</v>
      </c>
      <c r="BY1531" s="1" t="s">
        <v>432</v>
      </c>
      <c r="BZ1531" s="1" t="s">
        <v>209</v>
      </c>
      <c r="CA1531" s="1" t="s">
        <v>207</v>
      </c>
      <c r="CC1531" s="1" t="s">
        <v>542</v>
      </c>
      <c r="CD1531" s="1" t="s">
        <v>206</v>
      </c>
      <c r="CG1531" s="1" t="s">
        <v>647</v>
      </c>
      <c r="CH1531" s="1" t="s">
        <v>209</v>
      </c>
      <c r="CI1531" s="1" t="s">
        <v>207</v>
      </c>
      <c r="CK1531" s="1" t="s">
        <v>664</v>
      </c>
      <c r="CL1531" s="1" t="s">
        <v>209</v>
      </c>
      <c r="CM1531" s="1" t="s">
        <v>207</v>
      </c>
      <c r="CO1531" s="1" t="s">
        <v>392</v>
      </c>
      <c r="CP1531" s="1" t="s">
        <v>267</v>
      </c>
      <c r="CQ1531" s="1" t="s">
        <v>207</v>
      </c>
      <c r="CS1531" s="1" t="s">
        <v>904</v>
      </c>
      <c r="CT1531" s="1" t="s">
        <v>206</v>
      </c>
      <c r="CU1531" s="1" t="s">
        <v>207</v>
      </c>
      <c r="CW1531" s="1" t="s">
        <v>215</v>
      </c>
      <c r="CX1531" s="1" t="s">
        <v>206</v>
      </c>
      <c r="CY1531" s="1" t="s">
        <v>207</v>
      </c>
      <c r="DA1531" s="1" t="s">
        <v>200</v>
      </c>
      <c r="DC1531" s="1" t="s">
        <v>481</v>
      </c>
      <c r="DD1531" s="1" t="s">
        <v>759</v>
      </c>
      <c r="DE1531" s="1" t="s">
        <v>15576</v>
      </c>
      <c r="DF1531" s="1" t="s">
        <v>2328</v>
      </c>
      <c r="DH1531" s="1" t="s">
        <v>365</v>
      </c>
      <c r="DI1531" s="1" t="s">
        <v>5919</v>
      </c>
      <c r="DJ1531" s="1" t="s">
        <v>222</v>
      </c>
      <c r="DL1531" s="1" t="s">
        <v>224</v>
      </c>
      <c r="DM1531" s="1" t="s">
        <v>229</v>
      </c>
      <c r="DN1531" s="1" t="s">
        <v>399</v>
      </c>
      <c r="DP1531" s="1" t="s">
        <v>276</v>
      </c>
      <c r="DQ1531" s="1" t="s">
        <v>228</v>
      </c>
      <c r="DR1531" s="1" t="s">
        <v>229</v>
      </c>
      <c r="DV1531" s="1" t="s">
        <v>4076</v>
      </c>
      <c r="DW1531" s="1" t="s">
        <v>279</v>
      </c>
      <c r="DX1531" s="1" t="s">
        <v>234</v>
      </c>
      <c r="DY1531" s="1" t="s">
        <v>935</v>
      </c>
      <c r="DZ1531" s="1" t="s">
        <v>2876</v>
      </c>
      <c r="EB1531" s="1" t="s">
        <v>767</v>
      </c>
      <c r="EC1531" s="1" t="s">
        <v>406</v>
      </c>
      <c r="EG1531" s="1" t="s">
        <v>341</v>
      </c>
      <c r="EH1531" s="1" t="s">
        <v>450</v>
      </c>
      <c r="EL1531" s="1" t="s">
        <v>330</v>
      </c>
      <c r="EM1531" s="1" t="s">
        <v>391</v>
      </c>
      <c r="EN1531" s="1" t="s">
        <v>207</v>
      </c>
      <c r="EP1531" s="1" t="s">
        <v>394</v>
      </c>
      <c r="EQ1531" s="1" t="s">
        <v>267</v>
      </c>
      <c r="ER1531" s="1" t="s">
        <v>210</v>
      </c>
      <c r="EU1531" s="1" t="s">
        <v>238</v>
      </c>
      <c r="EY1531" s="1" t="s">
        <v>238</v>
      </c>
      <c r="FC1531" s="1" t="s">
        <v>238</v>
      </c>
      <c r="FF1531" s="1" t="s">
        <v>239</v>
      </c>
      <c r="FG1531" s="1" t="s">
        <v>192</v>
      </c>
      <c r="FH1531" s="1" t="s">
        <v>192</v>
      </c>
      <c r="FJ1531" s="1" t="s">
        <v>733</v>
      </c>
      <c r="FK1531" s="1" t="s">
        <v>229</v>
      </c>
      <c r="FL1531" s="1" t="s">
        <v>1358</v>
      </c>
      <c r="FM1531" s="1">
        <v>12198.0</v>
      </c>
      <c r="FN1531" s="1" t="s">
        <v>6165</v>
      </c>
      <c r="FO1531" s="1" t="s">
        <v>15577</v>
      </c>
      <c r="FP1531" s="1">
        <v>156711.0</v>
      </c>
      <c r="FQ1531" s="1" t="s">
        <v>15578</v>
      </c>
      <c r="FR1531" s="1">
        <v>183311.0</v>
      </c>
      <c r="FU1531" s="1" t="s">
        <v>15579</v>
      </c>
      <c r="FV1531" s="1" t="s">
        <v>200</v>
      </c>
      <c r="FW1531" s="1" t="s">
        <v>290</v>
      </c>
      <c r="FX1531" s="1" t="s">
        <v>238</v>
      </c>
      <c r="FZ1531" s="1" t="s">
        <v>229</v>
      </c>
      <c r="GA1531" s="1" t="s">
        <v>291</v>
      </c>
      <c r="GB1531" s="2">
        <v>42089.0</v>
      </c>
    </row>
    <row r="1532">
      <c r="A1532" s="1">
        <v>290000.0</v>
      </c>
      <c r="B1532" s="1" t="s">
        <v>185</v>
      </c>
      <c r="C1532" s="1" t="str">
        <f>"08868672"</f>
        <v>08868672</v>
      </c>
      <c r="D1532" s="1" t="s">
        <v>186</v>
      </c>
      <c r="F1532" s="1" t="str">
        <f>"123"</f>
        <v>123</v>
      </c>
      <c r="G1532" s="2">
        <v>42085.0</v>
      </c>
      <c r="H1532" s="1">
        <v>299990.0</v>
      </c>
      <c r="I1532" s="1">
        <v>11.0</v>
      </c>
      <c r="J1532" s="1">
        <v>299990.0</v>
      </c>
      <c r="K1532" s="2">
        <v>42095.0</v>
      </c>
      <c r="L1532" s="1">
        <v>11.0</v>
      </c>
      <c r="M1532" s="2">
        <v>42095.0</v>
      </c>
      <c r="N1532" s="1" t="s">
        <v>356</v>
      </c>
      <c r="O1532" s="2">
        <v>42139.0</v>
      </c>
      <c r="P1532" s="1">
        <v>99995.0</v>
      </c>
      <c r="Q1532" s="1" t="s">
        <v>947</v>
      </c>
      <c r="S1532" s="1">
        <v>3146.0</v>
      </c>
      <c r="T1532" s="1" t="s">
        <v>2433</v>
      </c>
      <c r="U1532" s="1" t="s">
        <v>1174</v>
      </c>
      <c r="V1532" s="1" t="s">
        <v>465</v>
      </c>
      <c r="W1532" s="1">
        <v>60124.0</v>
      </c>
      <c r="Y1532" s="1" t="s">
        <v>2434</v>
      </c>
      <c r="Z1532" s="1">
        <v>2014.0</v>
      </c>
      <c r="AA1532" s="1" t="s">
        <v>200</v>
      </c>
      <c r="AB1532" s="1" t="s">
        <v>467</v>
      </c>
      <c r="AC1532" s="1" t="s">
        <v>2435</v>
      </c>
      <c r="AD1532" s="1" t="s">
        <v>469</v>
      </c>
      <c r="AE1532" s="1" t="s">
        <v>325</v>
      </c>
      <c r="AF1532" s="1" t="s">
        <v>469</v>
      </c>
      <c r="AG1532" s="1" t="s">
        <v>2436</v>
      </c>
      <c r="AH1532" s="1" t="s">
        <v>2437</v>
      </c>
      <c r="AK1532" s="1">
        <v>10.0</v>
      </c>
      <c r="AL1532" s="1">
        <v>4.0</v>
      </c>
      <c r="AM1532" s="1">
        <v>2.0</v>
      </c>
      <c r="AN1532" s="1">
        <v>1.0</v>
      </c>
      <c r="AO1532" s="1" t="s">
        <v>198</v>
      </c>
      <c r="AP1532" s="1">
        <v>0.0</v>
      </c>
      <c r="AQ1532" s="1" t="s">
        <v>472</v>
      </c>
      <c r="AR1532" s="1" t="s">
        <v>200</v>
      </c>
      <c r="AS1532" s="1" t="s">
        <v>199</v>
      </c>
      <c r="AT1532" s="1">
        <v>2.0</v>
      </c>
      <c r="AV1532" s="1" t="s">
        <v>200</v>
      </c>
      <c r="AW1532" s="1" t="s">
        <v>575</v>
      </c>
      <c r="AX1532" s="1">
        <v>2014.0</v>
      </c>
      <c r="AZ1532" s="1" t="s">
        <v>200</v>
      </c>
      <c r="BA1532" s="1" t="str">
        <f>"0619376004"</f>
        <v>0619376004</v>
      </c>
      <c r="BC1532" s="1">
        <v>2878.0</v>
      </c>
      <c r="BD1532" s="1">
        <v>290000.0</v>
      </c>
      <c r="BE1532" s="2">
        <v>42085.0</v>
      </c>
      <c r="BF1532" s="2" t="s">
        <v>15580</v>
      </c>
      <c r="BG1532" s="1" t="s">
        <v>2439</v>
      </c>
      <c r="BH1532" s="1">
        <v>385.0</v>
      </c>
      <c r="BI1532" s="1" t="s">
        <v>674</v>
      </c>
      <c r="BJ1532" s="1" t="s">
        <v>2440</v>
      </c>
      <c r="BK1532" s="1" t="s">
        <v>580</v>
      </c>
      <c r="BL1532" s="1" t="str">
        <f t="shared" ref="BL1532:BM1532" si="1006">""</f>
        <v/>
      </c>
      <c r="BM1532" s="1" t="str">
        <f t="shared" si="1006"/>
        <v/>
      </c>
      <c r="BQ1532" s="1">
        <v>46.0</v>
      </c>
      <c r="BR1532" s="1">
        <v>46.0</v>
      </c>
      <c r="BS1532" s="1">
        <v>46.0</v>
      </c>
      <c r="BU1532" s="1" t="s">
        <v>2441</v>
      </c>
      <c r="BV1532" s="1" t="s">
        <v>206</v>
      </c>
      <c r="BW1532" s="1" t="s">
        <v>207</v>
      </c>
      <c r="BX1532" s="1" t="s">
        <v>229</v>
      </c>
      <c r="BY1532" s="1" t="s">
        <v>2442</v>
      </c>
      <c r="BZ1532" s="1" t="s">
        <v>209</v>
      </c>
      <c r="CA1532" s="1" t="s">
        <v>210</v>
      </c>
      <c r="CB1532" s="1" t="s">
        <v>229</v>
      </c>
      <c r="CC1532" s="1" t="s">
        <v>542</v>
      </c>
      <c r="CD1532" s="1" t="s">
        <v>206</v>
      </c>
      <c r="CE1532" s="1" t="s">
        <v>207</v>
      </c>
      <c r="CF1532" s="1" t="s">
        <v>229</v>
      </c>
      <c r="CG1532" s="1" t="s">
        <v>1351</v>
      </c>
      <c r="CH1532" s="1" t="s">
        <v>209</v>
      </c>
      <c r="CI1532" s="1" t="s">
        <v>210</v>
      </c>
      <c r="CJ1532" s="1" t="s">
        <v>229</v>
      </c>
      <c r="CK1532" s="1" t="s">
        <v>584</v>
      </c>
      <c r="CL1532" s="1" t="s">
        <v>209</v>
      </c>
      <c r="CM1532" s="1" t="s">
        <v>210</v>
      </c>
      <c r="CN1532" s="1" t="s">
        <v>229</v>
      </c>
      <c r="CO1532" s="1" t="s">
        <v>1064</v>
      </c>
      <c r="CP1532" s="1" t="s">
        <v>209</v>
      </c>
      <c r="CQ1532" s="1" t="s">
        <v>210</v>
      </c>
      <c r="CR1532" s="1" t="s">
        <v>229</v>
      </c>
      <c r="CS1532" s="1" t="s">
        <v>454</v>
      </c>
      <c r="CT1532" s="1" t="s">
        <v>206</v>
      </c>
      <c r="CU1532" s="1" t="s">
        <v>207</v>
      </c>
      <c r="CV1532" s="1" t="s">
        <v>229</v>
      </c>
      <c r="CW1532" s="1" t="s">
        <v>1063</v>
      </c>
      <c r="CX1532" s="1" t="s">
        <v>206</v>
      </c>
      <c r="CY1532" s="1" t="s">
        <v>207</v>
      </c>
      <c r="CZ1532" s="1" t="s">
        <v>229</v>
      </c>
      <c r="DA1532" s="1" t="s">
        <v>192</v>
      </c>
      <c r="DB1532" s="2">
        <v>42109.0</v>
      </c>
      <c r="DC1532" s="1" t="s">
        <v>1353</v>
      </c>
      <c r="DD1532" s="1" t="s">
        <v>586</v>
      </c>
      <c r="DE1532" s="1" t="s">
        <v>273</v>
      </c>
      <c r="DF1532" s="1" t="s">
        <v>619</v>
      </c>
      <c r="DG1532" s="1" t="s">
        <v>482</v>
      </c>
      <c r="DH1532" s="1" t="s">
        <v>220</v>
      </c>
      <c r="DI1532" s="1" t="s">
        <v>2201</v>
      </c>
      <c r="DJ1532" s="1" t="s">
        <v>222</v>
      </c>
      <c r="DK1532" s="1" t="s">
        <v>223</v>
      </c>
      <c r="DL1532" s="1" t="s">
        <v>484</v>
      </c>
      <c r="DM1532" s="1" t="s">
        <v>1022</v>
      </c>
      <c r="DN1532" s="1" t="s">
        <v>485</v>
      </c>
      <c r="DP1532" s="1" t="s">
        <v>276</v>
      </c>
      <c r="DQ1532" s="1" t="s">
        <v>228</v>
      </c>
      <c r="DR1532" s="1" t="s">
        <v>1487</v>
      </c>
      <c r="DS1532" s="1" t="s">
        <v>591</v>
      </c>
      <c r="DT1532" s="1" t="s">
        <v>15581</v>
      </c>
      <c r="DU1532" s="1" t="s">
        <v>2444</v>
      </c>
      <c r="DV1532" s="1" t="s">
        <v>2445</v>
      </c>
      <c r="DW1532" s="1" t="s">
        <v>588</v>
      </c>
      <c r="DX1532" s="1" t="s">
        <v>234</v>
      </c>
      <c r="DY1532" s="1" t="s">
        <v>596</v>
      </c>
      <c r="DZ1532" s="1" t="s">
        <v>1100</v>
      </c>
      <c r="EA1532" s="1" t="s">
        <v>344</v>
      </c>
      <c r="EC1532" s="1" t="s">
        <v>237</v>
      </c>
      <c r="ED1532" s="1" t="s">
        <v>407</v>
      </c>
      <c r="EE1532" s="1" t="s">
        <v>493</v>
      </c>
      <c r="EG1532" s="1" t="s">
        <v>556</v>
      </c>
      <c r="EH1532" s="1" t="s">
        <v>557</v>
      </c>
      <c r="EL1532" s="1" t="s">
        <v>478</v>
      </c>
      <c r="EM1532" s="1" t="s">
        <v>206</v>
      </c>
      <c r="EN1532" s="1" t="s">
        <v>207</v>
      </c>
      <c r="EO1532" s="1" t="s">
        <v>229</v>
      </c>
      <c r="EP1532" s="1" t="s">
        <v>1063</v>
      </c>
      <c r="EQ1532" s="1" t="s">
        <v>209</v>
      </c>
      <c r="ER1532" s="1" t="s">
        <v>210</v>
      </c>
      <c r="ES1532" s="1" t="s">
        <v>229</v>
      </c>
      <c r="EU1532" s="1" t="s">
        <v>238</v>
      </c>
      <c r="EY1532" s="1" t="s">
        <v>238</v>
      </c>
      <c r="FC1532" s="1" t="s">
        <v>238</v>
      </c>
      <c r="FF1532" s="1" t="s">
        <v>2447</v>
      </c>
      <c r="FG1532" s="1" t="s">
        <v>192</v>
      </c>
      <c r="FH1532" s="1" t="s">
        <v>192</v>
      </c>
      <c r="FJ1532" s="1" t="s">
        <v>347</v>
      </c>
      <c r="FK1532" s="1" t="s">
        <v>229</v>
      </c>
      <c r="FL1532" s="1" t="s">
        <v>2448</v>
      </c>
      <c r="FM1532" s="1">
        <v>92038.0</v>
      </c>
      <c r="FN1532" s="1" t="s">
        <v>2449</v>
      </c>
      <c r="FO1532" s="1" t="s">
        <v>2450</v>
      </c>
      <c r="FP1532" s="1">
        <v>21137.0</v>
      </c>
      <c r="FQ1532" s="1" t="s">
        <v>2451</v>
      </c>
      <c r="FT1532" s="1" t="s">
        <v>5335</v>
      </c>
      <c r="FU1532" s="1" t="s">
        <v>15582</v>
      </c>
      <c r="FV1532" s="1" t="s">
        <v>200</v>
      </c>
      <c r="FW1532" s="1" t="s">
        <v>5337</v>
      </c>
      <c r="FZ1532" s="1" t="s">
        <v>229</v>
      </c>
      <c r="GA1532" s="1" t="s">
        <v>291</v>
      </c>
      <c r="GB1532" s="2">
        <v>42139.0</v>
      </c>
      <c r="GC1532" s="1" t="s">
        <v>15583</v>
      </c>
    </row>
    <row r="1533">
      <c r="A1533" s="1">
        <v>532500.0</v>
      </c>
      <c r="B1533" s="1" t="s">
        <v>185</v>
      </c>
      <c r="C1533" s="1" t="str">
        <f>"08867586"</f>
        <v>08867586</v>
      </c>
      <c r="D1533" s="1" t="s">
        <v>186</v>
      </c>
      <c r="F1533" s="1" t="str">
        <f>"184"</f>
        <v>184</v>
      </c>
      <c r="G1533" s="2">
        <v>42083.0</v>
      </c>
      <c r="H1533" s="1">
        <v>550000.0</v>
      </c>
      <c r="I1533" s="1">
        <v>439.0</v>
      </c>
      <c r="J1533" s="1">
        <v>550000.0</v>
      </c>
      <c r="K1533" s="2">
        <v>42093.0</v>
      </c>
      <c r="L1533" s="1">
        <v>11.0</v>
      </c>
      <c r="M1533" s="2">
        <v>42093.0</v>
      </c>
      <c r="N1533" s="1" t="s">
        <v>187</v>
      </c>
      <c r="O1533" s="2">
        <v>42124.0</v>
      </c>
      <c r="P1533" s="1">
        <v>27215.0</v>
      </c>
      <c r="Q1533" s="1">
        <v>24988.0</v>
      </c>
      <c r="S1533" s="1" t="s">
        <v>15584</v>
      </c>
      <c r="T1533" s="1" t="s">
        <v>3029</v>
      </c>
      <c r="U1533" s="1" t="s">
        <v>1174</v>
      </c>
      <c r="V1533" s="1" t="s">
        <v>3870</v>
      </c>
      <c r="W1533" s="1">
        <v>60184.0</v>
      </c>
      <c r="Y1533" s="1" t="s">
        <v>15585</v>
      </c>
      <c r="Z1533" s="1">
        <v>2000.0</v>
      </c>
      <c r="AA1533" s="1" t="s">
        <v>200</v>
      </c>
      <c r="AB1533" s="1" t="s">
        <v>193</v>
      </c>
      <c r="AD1533" s="1" t="s">
        <v>3935</v>
      </c>
      <c r="AE1533" s="1" t="s">
        <v>1258</v>
      </c>
      <c r="AF1533" s="1" t="s">
        <v>3935</v>
      </c>
      <c r="AH1533" s="1" t="s">
        <v>15586</v>
      </c>
      <c r="AI1533" s="1">
        <v>1.04</v>
      </c>
      <c r="AK1533" s="1">
        <v>10.0</v>
      </c>
      <c r="AL1533" s="1">
        <v>4.0</v>
      </c>
      <c r="AM1533" s="1">
        <v>3.0</v>
      </c>
      <c r="AN1533" s="1">
        <v>1.0</v>
      </c>
      <c r="AO1533" s="1" t="s">
        <v>198</v>
      </c>
      <c r="AP1533" s="1">
        <v>2.0</v>
      </c>
      <c r="AQ1533" s="1" t="s">
        <v>198</v>
      </c>
      <c r="AR1533" s="1" t="s">
        <v>192</v>
      </c>
      <c r="AS1533" s="1" t="s">
        <v>199</v>
      </c>
      <c r="AT1533" s="1">
        <v>3.5</v>
      </c>
      <c r="AV1533" s="1" t="s">
        <v>200</v>
      </c>
      <c r="AW1533" s="1">
        <v>16872.16</v>
      </c>
      <c r="AX1533" s="1">
        <v>2013.0</v>
      </c>
      <c r="AY1533" s="1" t="s">
        <v>387</v>
      </c>
      <c r="AZ1533" s="1" t="s">
        <v>200</v>
      </c>
      <c r="BA1533" s="1" t="str">
        <f>"0118405024"</f>
        <v>0118405024</v>
      </c>
      <c r="BC1533" s="1">
        <v>3534.0</v>
      </c>
      <c r="BD1533" s="1">
        <v>532500.0</v>
      </c>
      <c r="BE1533" s="2">
        <v>42083.0</v>
      </c>
      <c r="BF1533" s="2" t="s">
        <v>15587</v>
      </c>
      <c r="BG1533" s="1" t="s">
        <v>3938</v>
      </c>
      <c r="BH1533" s="1">
        <v>750.0</v>
      </c>
      <c r="BI1533" s="1" t="s">
        <v>8076</v>
      </c>
      <c r="BJ1533" s="1" t="s">
        <v>2440</v>
      </c>
      <c r="BK1533" s="1" t="s">
        <v>580</v>
      </c>
      <c r="BL1533" s="1" t="str">
        <f t="shared" ref="BL1533:BM1533" si="1007">""</f>
        <v/>
      </c>
      <c r="BM1533" s="1" t="str">
        <f t="shared" si="1007"/>
        <v/>
      </c>
      <c r="BQ1533" s="1">
        <v>46.0</v>
      </c>
      <c r="BR1533" s="1">
        <v>46.0</v>
      </c>
      <c r="BS1533" s="1">
        <v>46.0</v>
      </c>
      <c r="BU1533" s="1" t="s">
        <v>329</v>
      </c>
      <c r="BV1533" s="1" t="s">
        <v>206</v>
      </c>
      <c r="BW1533" s="1" t="s">
        <v>210</v>
      </c>
      <c r="BX1533" s="1" t="s">
        <v>1549</v>
      </c>
      <c r="BY1533" s="1" t="s">
        <v>434</v>
      </c>
      <c r="BZ1533" s="1" t="s">
        <v>209</v>
      </c>
      <c r="CA1533" s="1" t="s">
        <v>210</v>
      </c>
      <c r="CB1533" s="1" t="s">
        <v>1549</v>
      </c>
      <c r="CC1533" s="1" t="s">
        <v>758</v>
      </c>
      <c r="CD1533" s="1" t="s">
        <v>206</v>
      </c>
      <c r="CE1533" s="1" t="s">
        <v>207</v>
      </c>
      <c r="CF1533" s="1" t="s">
        <v>1549</v>
      </c>
      <c r="CG1533" s="1" t="s">
        <v>329</v>
      </c>
      <c r="CH1533" s="1" t="s">
        <v>209</v>
      </c>
      <c r="CI1533" s="1" t="s">
        <v>210</v>
      </c>
      <c r="CJ1533" s="1" t="s">
        <v>1549</v>
      </c>
      <c r="CK1533" s="1" t="s">
        <v>332</v>
      </c>
      <c r="CL1533" s="1" t="s">
        <v>209</v>
      </c>
      <c r="CM1533" s="1" t="s">
        <v>210</v>
      </c>
      <c r="CN1533" s="1" t="s">
        <v>1549</v>
      </c>
      <c r="CO1533" s="1" t="s">
        <v>758</v>
      </c>
      <c r="CP1533" s="1" t="s">
        <v>209</v>
      </c>
      <c r="CS1533" s="1" t="s">
        <v>393</v>
      </c>
      <c r="CT1533" s="1" t="s">
        <v>206</v>
      </c>
      <c r="CU1533" s="1" t="s">
        <v>207</v>
      </c>
      <c r="CV1533" s="1" t="s">
        <v>229</v>
      </c>
      <c r="CW1533" s="1" t="s">
        <v>3475</v>
      </c>
      <c r="CX1533" s="1" t="s">
        <v>206</v>
      </c>
      <c r="CY1533" s="1" t="s">
        <v>207</v>
      </c>
      <c r="CZ1533" s="1" t="s">
        <v>431</v>
      </c>
      <c r="DA1533" s="1" t="s">
        <v>200</v>
      </c>
      <c r="DC1533" s="1" t="s">
        <v>335</v>
      </c>
      <c r="DD1533" s="1" t="s">
        <v>518</v>
      </c>
      <c r="DE1533" s="1" t="s">
        <v>273</v>
      </c>
      <c r="DF1533" s="1" t="s">
        <v>219</v>
      </c>
      <c r="DG1533" s="1" t="s">
        <v>15588</v>
      </c>
      <c r="DH1533" s="1" t="s">
        <v>856</v>
      </c>
      <c r="DI1533" s="1" t="s">
        <v>3940</v>
      </c>
      <c r="DJ1533" s="1" t="s">
        <v>857</v>
      </c>
      <c r="DK1533" s="1" t="s">
        <v>3740</v>
      </c>
      <c r="DL1533" s="1" t="s">
        <v>858</v>
      </c>
      <c r="DM1533" s="1" t="s">
        <v>229</v>
      </c>
      <c r="DN1533" s="1" t="s">
        <v>439</v>
      </c>
      <c r="DO1533" s="1" t="s">
        <v>930</v>
      </c>
      <c r="DP1533" s="1" t="s">
        <v>340</v>
      </c>
      <c r="DQ1533" s="1" t="s">
        <v>931</v>
      </c>
      <c r="DR1533" s="1" t="s">
        <v>229</v>
      </c>
      <c r="DS1533" s="1" t="s">
        <v>230</v>
      </c>
      <c r="DU1533" s="1" t="s">
        <v>15589</v>
      </c>
      <c r="DV1533" s="1" t="s">
        <v>15590</v>
      </c>
      <c r="DW1533" s="1" t="s">
        <v>764</v>
      </c>
      <c r="DX1533" s="1" t="s">
        <v>234</v>
      </c>
      <c r="DY1533" s="1" t="s">
        <v>3125</v>
      </c>
      <c r="DZ1533" s="1" t="s">
        <v>15591</v>
      </c>
      <c r="EA1533" s="1" t="s">
        <v>344</v>
      </c>
      <c r="EB1533" s="1" t="s">
        <v>684</v>
      </c>
      <c r="EC1533" s="1" t="s">
        <v>237</v>
      </c>
      <c r="ED1533" s="1" t="s">
        <v>12249</v>
      </c>
      <c r="EG1533" s="1" t="s">
        <v>494</v>
      </c>
      <c r="EH1533" s="1" t="s">
        <v>449</v>
      </c>
      <c r="EI1533" s="1" t="s">
        <v>408</v>
      </c>
      <c r="EK1533" s="1" t="s">
        <v>2129</v>
      </c>
      <c r="EL1533" s="1" t="s">
        <v>331</v>
      </c>
      <c r="EM1533" s="1" t="s">
        <v>206</v>
      </c>
      <c r="EP1533" s="1" t="s">
        <v>214</v>
      </c>
      <c r="EQ1533" s="1" t="s">
        <v>206</v>
      </c>
      <c r="ER1533" s="1" t="s">
        <v>207</v>
      </c>
      <c r="ES1533" s="1" t="s">
        <v>229</v>
      </c>
      <c r="ET1533" s="1" t="s">
        <v>1382</v>
      </c>
      <c r="EU1533" s="1" t="s">
        <v>206</v>
      </c>
      <c r="EV1533" s="1" t="s">
        <v>207</v>
      </c>
      <c r="EW1533" s="1" t="s">
        <v>229</v>
      </c>
      <c r="EY1533" s="1" t="s">
        <v>238</v>
      </c>
      <c r="FB1533" s="1" t="s">
        <v>1068</v>
      </c>
      <c r="FC1533" s="1" t="s">
        <v>206</v>
      </c>
      <c r="FD1533" s="1" t="s">
        <v>588</v>
      </c>
      <c r="FE1533" s="1" t="s">
        <v>229</v>
      </c>
      <c r="FF1533" s="1" t="s">
        <v>239</v>
      </c>
      <c r="FG1533" s="1" t="s">
        <v>200</v>
      </c>
      <c r="FH1533" s="1" t="s">
        <v>192</v>
      </c>
      <c r="FJ1533" s="1" t="s">
        <v>2552</v>
      </c>
      <c r="FK1533" s="1" t="s">
        <v>229</v>
      </c>
      <c r="FL1533" s="1" t="s">
        <v>456</v>
      </c>
      <c r="FM1533" s="1">
        <v>49.0</v>
      </c>
      <c r="FN1533" s="1" t="s">
        <v>457</v>
      </c>
      <c r="FO1533" s="1" t="s">
        <v>15592</v>
      </c>
      <c r="FP1533" s="1">
        <v>8526.0</v>
      </c>
      <c r="FU1533" s="1" t="s">
        <v>15593</v>
      </c>
      <c r="FV1533" s="1" t="s">
        <v>200</v>
      </c>
      <c r="FW1533" s="1" t="s">
        <v>290</v>
      </c>
      <c r="FZ1533" s="1" t="s">
        <v>229</v>
      </c>
      <c r="GA1533" s="1" t="s">
        <v>291</v>
      </c>
      <c r="GB1533" s="2">
        <v>42124.0</v>
      </c>
      <c r="GC1533" s="1" t="s">
        <v>15594</v>
      </c>
    </row>
    <row r="1534">
      <c r="A1534" s="1">
        <v>813500.0</v>
      </c>
      <c r="B1534" s="1" t="s">
        <v>185</v>
      </c>
      <c r="C1534" s="1" t="str">
        <f>"08891082"</f>
        <v>08891082</v>
      </c>
      <c r="D1534" s="1" t="s">
        <v>186</v>
      </c>
      <c r="F1534" s="1" t="str">
        <f>"8024"</f>
        <v>8024</v>
      </c>
      <c r="G1534" s="2">
        <v>42108.0</v>
      </c>
      <c r="H1534" s="1">
        <v>800000.0</v>
      </c>
      <c r="I1534" s="1">
        <v>3.0</v>
      </c>
      <c r="J1534" s="1">
        <v>800000.0</v>
      </c>
      <c r="K1534" s="2">
        <v>42110.0</v>
      </c>
      <c r="L1534" s="1">
        <v>3.0</v>
      </c>
      <c r="M1534" s="2">
        <v>42110.0</v>
      </c>
      <c r="N1534" s="1" t="s">
        <v>356</v>
      </c>
      <c r="O1534" s="2">
        <v>42142.0</v>
      </c>
      <c r="P1534" s="1">
        <v>152805.0</v>
      </c>
      <c r="Q1534" s="1">
        <v>16440.0</v>
      </c>
      <c r="S1534" s="1">
        <v>1856.0</v>
      </c>
      <c r="T1534" s="1" t="s">
        <v>15595</v>
      </c>
      <c r="U1534" s="1" t="s">
        <v>189</v>
      </c>
      <c r="V1534" s="1" t="s">
        <v>190</v>
      </c>
      <c r="W1534" s="1">
        <v>60622.0</v>
      </c>
      <c r="Y1534" s="1" t="s">
        <v>15596</v>
      </c>
      <c r="Z1534" s="1">
        <v>2004.0</v>
      </c>
      <c r="AA1534" s="1" t="s">
        <v>200</v>
      </c>
      <c r="AB1534" s="1" t="s">
        <v>193</v>
      </c>
      <c r="AD1534" s="1" t="s">
        <v>194</v>
      </c>
      <c r="AE1534" s="1" t="s">
        <v>195</v>
      </c>
      <c r="AF1534" s="1" t="s">
        <v>827</v>
      </c>
      <c r="AH1534" s="1" t="s">
        <v>15597</v>
      </c>
      <c r="AK1534" s="1">
        <v>9.0</v>
      </c>
      <c r="AL1534" s="1">
        <v>4.0</v>
      </c>
      <c r="AM1534" s="1">
        <v>3.0</v>
      </c>
      <c r="AN1534" s="1">
        <v>2.0</v>
      </c>
      <c r="AO1534" s="1" t="s">
        <v>198</v>
      </c>
      <c r="AP1534" s="1">
        <v>1.0</v>
      </c>
      <c r="AQ1534" s="1" t="s">
        <v>472</v>
      </c>
      <c r="AR1534" s="1" t="s">
        <v>192</v>
      </c>
      <c r="AS1534" s="1" t="s">
        <v>199</v>
      </c>
      <c r="AT1534" s="1">
        <v>2.0</v>
      </c>
      <c r="AV1534" s="1" t="s">
        <v>200</v>
      </c>
      <c r="AW1534" s="3">
        <v>9404.0</v>
      </c>
      <c r="AX1534" s="1">
        <v>2013.0</v>
      </c>
      <c r="AY1534" s="1" t="s">
        <v>387</v>
      </c>
      <c r="AZ1534" s="1" t="s">
        <v>200</v>
      </c>
      <c r="BA1534" s="1" t="str">
        <f>"17072170260000"</f>
        <v>17072170260000</v>
      </c>
      <c r="BB1534" s="1" t="s">
        <v>200</v>
      </c>
      <c r="BC1534" s="1">
        <v>3200.0</v>
      </c>
      <c r="BD1534" s="1">
        <v>813500.0</v>
      </c>
      <c r="BE1534" s="2">
        <v>42108.0</v>
      </c>
      <c r="BF1534" s="2" t="s">
        <v>15598</v>
      </c>
      <c r="BH1534" s="1">
        <v>0.0</v>
      </c>
      <c r="BK1534" s="1" t="s">
        <v>204</v>
      </c>
      <c r="BL1534" s="1" t="str">
        <f>"800"</f>
        <v>800</v>
      </c>
      <c r="BM1534" s="1" t="str">
        <f>"0"</f>
        <v>0</v>
      </c>
      <c r="BN1534" s="1">
        <v>1850.0</v>
      </c>
      <c r="BO1534" s="1">
        <v>0.0</v>
      </c>
      <c r="BQ1534" s="1">
        <v>299.0</v>
      </c>
      <c r="BR1534" s="1">
        <v>299.0</v>
      </c>
      <c r="BS1534" s="1">
        <v>299.0</v>
      </c>
      <c r="BU1534" s="1" t="s">
        <v>1953</v>
      </c>
      <c r="BV1534" s="1" t="s">
        <v>206</v>
      </c>
      <c r="BW1534" s="1" t="s">
        <v>207</v>
      </c>
      <c r="BX1534" s="1" t="s">
        <v>229</v>
      </c>
      <c r="BY1534" s="1" t="s">
        <v>208</v>
      </c>
      <c r="BZ1534" s="1" t="s">
        <v>209</v>
      </c>
      <c r="CA1534" s="1" t="s">
        <v>207</v>
      </c>
      <c r="CB1534" s="1" t="s">
        <v>431</v>
      </c>
      <c r="CC1534" s="1" t="s">
        <v>542</v>
      </c>
      <c r="CD1534" s="1" t="s">
        <v>206</v>
      </c>
      <c r="CE1534" s="1" t="s">
        <v>207</v>
      </c>
      <c r="CF1534" s="1" t="s">
        <v>431</v>
      </c>
      <c r="CG1534" s="1" t="s">
        <v>454</v>
      </c>
      <c r="CH1534" s="1" t="s">
        <v>209</v>
      </c>
      <c r="CI1534" s="1" t="s">
        <v>207</v>
      </c>
      <c r="CJ1534" s="1" t="s">
        <v>431</v>
      </c>
      <c r="CK1534" s="1" t="s">
        <v>393</v>
      </c>
      <c r="CL1534" s="1" t="s">
        <v>267</v>
      </c>
      <c r="CM1534" s="1" t="s">
        <v>207</v>
      </c>
      <c r="CN1534" s="1" t="s">
        <v>431</v>
      </c>
      <c r="CO1534" s="1" t="s">
        <v>329</v>
      </c>
      <c r="CP1534" s="1" t="s">
        <v>267</v>
      </c>
      <c r="CQ1534" s="1" t="s">
        <v>207</v>
      </c>
      <c r="CR1534" s="1" t="s">
        <v>431</v>
      </c>
      <c r="CS1534" s="1" t="s">
        <v>583</v>
      </c>
      <c r="CT1534" s="1" t="s">
        <v>206</v>
      </c>
      <c r="CU1534" s="1" t="s">
        <v>207</v>
      </c>
      <c r="CV1534" s="1" t="s">
        <v>1118</v>
      </c>
      <c r="CW1534" s="1" t="s">
        <v>208</v>
      </c>
      <c r="CX1534" s="1" t="s">
        <v>267</v>
      </c>
      <c r="CY1534" s="1" t="s">
        <v>207</v>
      </c>
      <c r="CZ1534" s="1" t="s">
        <v>431</v>
      </c>
      <c r="DA1534" s="1" t="s">
        <v>200</v>
      </c>
      <c r="DC1534" s="1" t="s">
        <v>335</v>
      </c>
      <c r="DD1534" s="1" t="s">
        <v>272</v>
      </c>
      <c r="DE1534" s="1" t="s">
        <v>1810</v>
      </c>
      <c r="DF1534" s="1" t="s">
        <v>745</v>
      </c>
      <c r="DG1534" s="1" t="s">
        <v>8104</v>
      </c>
      <c r="DH1534" s="1" t="s">
        <v>307</v>
      </c>
      <c r="DI1534" s="1" t="s">
        <v>15599</v>
      </c>
      <c r="DJ1534" s="1" t="s">
        <v>222</v>
      </c>
      <c r="DL1534" s="1" t="s">
        <v>224</v>
      </c>
      <c r="DM1534" s="1" t="s">
        <v>229</v>
      </c>
      <c r="DN1534" s="1" t="s">
        <v>2463</v>
      </c>
      <c r="DO1534" s="1" t="s">
        <v>549</v>
      </c>
      <c r="DP1534" s="1" t="s">
        <v>276</v>
      </c>
      <c r="DQ1534" s="1" t="s">
        <v>228</v>
      </c>
      <c r="DR1534" s="1" t="s">
        <v>229</v>
      </c>
      <c r="DS1534" s="1" t="s">
        <v>368</v>
      </c>
      <c r="DU1534" s="1" t="s">
        <v>4249</v>
      </c>
      <c r="DV1534" s="1" t="s">
        <v>15600</v>
      </c>
      <c r="DW1534" s="1" t="s">
        <v>3876</v>
      </c>
      <c r="DX1534" s="1" t="s">
        <v>234</v>
      </c>
      <c r="DY1534" s="1" t="s">
        <v>10287</v>
      </c>
      <c r="DZ1534" s="1" t="s">
        <v>5439</v>
      </c>
      <c r="EB1534" s="1" t="s">
        <v>937</v>
      </c>
      <c r="EC1534" s="1" t="s">
        <v>4792</v>
      </c>
      <c r="ED1534" s="1" t="s">
        <v>407</v>
      </c>
      <c r="EG1534" s="1" t="s">
        <v>450</v>
      </c>
      <c r="EH1534" s="1" t="s">
        <v>310</v>
      </c>
      <c r="EI1534" s="1" t="s">
        <v>5618</v>
      </c>
      <c r="EJ1534" s="1" t="s">
        <v>5618</v>
      </c>
      <c r="EK1534" s="1" t="s">
        <v>968</v>
      </c>
      <c r="EL1534" s="1" t="s">
        <v>432</v>
      </c>
      <c r="EM1534" s="1" t="s">
        <v>391</v>
      </c>
      <c r="EN1534" s="1" t="s">
        <v>207</v>
      </c>
      <c r="EO1534" s="1" t="s">
        <v>431</v>
      </c>
      <c r="EP1534" s="1" t="s">
        <v>3538</v>
      </c>
      <c r="EQ1534" s="1" t="s">
        <v>206</v>
      </c>
      <c r="ER1534" s="1" t="s">
        <v>588</v>
      </c>
      <c r="ET1534" s="1" t="s">
        <v>208</v>
      </c>
      <c r="EU1534" s="1" t="s">
        <v>391</v>
      </c>
      <c r="EV1534" s="1" t="s">
        <v>588</v>
      </c>
      <c r="EX1534" s="1" t="s">
        <v>390</v>
      </c>
      <c r="EY1534" s="1" t="s">
        <v>391</v>
      </c>
      <c r="EZ1534" s="1" t="s">
        <v>588</v>
      </c>
      <c r="FB1534" s="1" t="s">
        <v>1119</v>
      </c>
      <c r="FC1534" s="1" t="s">
        <v>206</v>
      </c>
      <c r="FD1534" s="1" t="s">
        <v>588</v>
      </c>
      <c r="FF1534" s="1" t="s">
        <v>239</v>
      </c>
      <c r="FG1534" s="1" t="s">
        <v>192</v>
      </c>
      <c r="FH1534" s="1" t="s">
        <v>192</v>
      </c>
      <c r="FJ1534" s="1" t="s">
        <v>4029</v>
      </c>
      <c r="FK1534" s="1" t="s">
        <v>229</v>
      </c>
      <c r="FL1534" s="1" t="s">
        <v>974</v>
      </c>
      <c r="FM1534" s="1">
        <v>10900.0</v>
      </c>
      <c r="FN1534" s="1" t="s">
        <v>1435</v>
      </c>
      <c r="FO1534" s="1" t="s">
        <v>15601</v>
      </c>
      <c r="FP1534" s="1">
        <v>115459.0</v>
      </c>
      <c r="FQ1534" s="1" t="s">
        <v>15602</v>
      </c>
      <c r="FU1534" s="1" t="s">
        <v>15603</v>
      </c>
      <c r="FV1534" s="1" t="s">
        <v>200</v>
      </c>
      <c r="FW1534" s="1" t="s">
        <v>567</v>
      </c>
      <c r="FX1534" s="1" t="s">
        <v>246</v>
      </c>
      <c r="FZ1534" s="1" t="s">
        <v>229</v>
      </c>
      <c r="GA1534" s="1" t="s">
        <v>291</v>
      </c>
      <c r="GB1534" s="2">
        <v>42143.0</v>
      </c>
    </row>
    <row r="1535">
      <c r="A1535" s="1">
        <v>65000.0</v>
      </c>
      <c r="B1535" s="1" t="s">
        <v>185</v>
      </c>
      <c r="C1535" s="1" t="str">
        <f>"08871837"</f>
        <v>08871837</v>
      </c>
      <c r="D1535" s="1" t="s">
        <v>186</v>
      </c>
      <c r="F1535" s="1" t="str">
        <f>"8045"</f>
        <v>8045</v>
      </c>
      <c r="G1535" s="2">
        <v>42088.0</v>
      </c>
      <c r="H1535" s="1">
        <v>50000.0</v>
      </c>
      <c r="I1535" s="1">
        <v>8.0</v>
      </c>
      <c r="J1535" s="1">
        <v>50000.0</v>
      </c>
      <c r="K1535" s="2">
        <v>42095.0</v>
      </c>
      <c r="L1535" s="1">
        <v>8.0</v>
      </c>
      <c r="M1535" s="2">
        <v>42095.0</v>
      </c>
      <c r="N1535" s="1" t="s">
        <v>249</v>
      </c>
      <c r="O1535" s="2">
        <v>42122.0</v>
      </c>
      <c r="P1535" s="1">
        <v>117948.0</v>
      </c>
      <c r="Q1535" s="1">
        <v>12293.0</v>
      </c>
      <c r="S1535" s="1">
        <v>1715.0</v>
      </c>
      <c r="T1535" s="1" t="s">
        <v>4526</v>
      </c>
      <c r="U1535" s="1" t="s">
        <v>694</v>
      </c>
      <c r="V1535" s="1" t="s">
        <v>190</v>
      </c>
      <c r="W1535" s="1">
        <v>60617.0</v>
      </c>
      <c r="Y1535" s="1" t="s">
        <v>15604</v>
      </c>
      <c r="Z1535" s="1">
        <v>1924.0</v>
      </c>
      <c r="AA1535" s="1" t="s">
        <v>192</v>
      </c>
      <c r="AB1535" s="1" t="s">
        <v>193</v>
      </c>
      <c r="AD1535" s="1" t="s">
        <v>194</v>
      </c>
      <c r="AE1535" s="1" t="s">
        <v>195</v>
      </c>
      <c r="AF1535" s="1" t="s">
        <v>637</v>
      </c>
      <c r="AH1535" s="1">
        <v>3750.0</v>
      </c>
      <c r="AK1535" s="1">
        <v>7.0</v>
      </c>
      <c r="AL1535" s="1">
        <v>4.0</v>
      </c>
      <c r="AM1535" s="1">
        <v>3.0</v>
      </c>
      <c r="AN1535" s="1">
        <v>0.0</v>
      </c>
      <c r="AO1535" s="1" t="s">
        <v>229</v>
      </c>
      <c r="AQ1535" s="1" t="s">
        <v>198</v>
      </c>
      <c r="AR1535" s="1" t="s">
        <v>200</v>
      </c>
      <c r="AS1535" s="1" t="s">
        <v>199</v>
      </c>
      <c r="AT1535" s="1">
        <v>2.0</v>
      </c>
      <c r="AV1535" s="1" t="s">
        <v>200</v>
      </c>
      <c r="AW1535" s="1">
        <v>2940.7</v>
      </c>
      <c r="AX1535" s="1">
        <v>2013.0</v>
      </c>
      <c r="AZ1535" s="1" t="s">
        <v>545</v>
      </c>
      <c r="BA1535" s="1" t="str">
        <f>"20363030050000"</f>
        <v>20363030050000</v>
      </c>
      <c r="BC1535" s="1">
        <v>2124.0</v>
      </c>
      <c r="BD1535" s="1">
        <v>65000.0</v>
      </c>
      <c r="BE1535" s="2">
        <v>42088.0</v>
      </c>
      <c r="BF1535" s="1" t="s">
        <v>15605</v>
      </c>
      <c r="BH1535" s="1">
        <v>0.0</v>
      </c>
      <c r="BK1535" s="1" t="s">
        <v>204</v>
      </c>
      <c r="BL1535" s="1" t="str">
        <f t="shared" ref="BL1535:BL1541" si="1008">"0"</f>
        <v>0</v>
      </c>
      <c r="BM1535" s="1" t="str">
        <f>"1715"</f>
        <v>1715</v>
      </c>
      <c r="BN1535" s="1">
        <v>0.0</v>
      </c>
      <c r="BO1535" s="1">
        <v>8300.0</v>
      </c>
      <c r="BQ1535" s="1">
        <v>299.0</v>
      </c>
      <c r="BR1535" s="1">
        <v>299.0</v>
      </c>
      <c r="BS1535" s="1">
        <v>299.0</v>
      </c>
      <c r="BU1535" s="1" t="s">
        <v>330</v>
      </c>
      <c r="BV1535" s="1" t="s">
        <v>206</v>
      </c>
      <c r="BY1535" s="1" t="s">
        <v>330</v>
      </c>
      <c r="BZ1535" s="1" t="s">
        <v>209</v>
      </c>
      <c r="CC1535" s="1" t="s">
        <v>393</v>
      </c>
      <c r="CD1535" s="1" t="s">
        <v>206</v>
      </c>
      <c r="CG1535" s="1" t="s">
        <v>676</v>
      </c>
      <c r="CH1535" s="1" t="s">
        <v>209</v>
      </c>
      <c r="CK1535" s="1" t="s">
        <v>362</v>
      </c>
      <c r="CL1535" s="1" t="s">
        <v>209</v>
      </c>
      <c r="CO1535" s="1" t="s">
        <v>363</v>
      </c>
      <c r="CP1535" s="1" t="s">
        <v>206</v>
      </c>
      <c r="CS1535" s="1" t="s">
        <v>677</v>
      </c>
      <c r="CT1535" s="1" t="s">
        <v>206</v>
      </c>
      <c r="CX1535" s="1" t="s">
        <v>204</v>
      </c>
      <c r="DA1535" s="1" t="s">
        <v>200</v>
      </c>
      <c r="DC1535" s="1" t="s">
        <v>216</v>
      </c>
      <c r="DD1535" s="1" t="s">
        <v>518</v>
      </c>
      <c r="DE1535" s="1" t="s">
        <v>229</v>
      </c>
      <c r="DF1535" s="1" t="s">
        <v>619</v>
      </c>
      <c r="DH1535" s="1" t="s">
        <v>220</v>
      </c>
      <c r="DJ1535" s="1" t="s">
        <v>222</v>
      </c>
      <c r="DL1535" s="1" t="s">
        <v>223</v>
      </c>
      <c r="DM1535" s="1" t="s">
        <v>229</v>
      </c>
      <c r="DP1535" s="1" t="s">
        <v>340</v>
      </c>
      <c r="DQ1535" s="1" t="s">
        <v>228</v>
      </c>
      <c r="DR1535" s="1" t="s">
        <v>229</v>
      </c>
      <c r="DV1535" s="1" t="s">
        <v>232</v>
      </c>
      <c r="DW1535" s="1" t="s">
        <v>279</v>
      </c>
      <c r="DX1535" s="1" t="s">
        <v>234</v>
      </c>
      <c r="EC1535" s="1" t="s">
        <v>237</v>
      </c>
      <c r="EM1535" s="1" t="s">
        <v>238</v>
      </c>
      <c r="EQ1535" s="1" t="s">
        <v>238</v>
      </c>
      <c r="EU1535" s="1" t="s">
        <v>238</v>
      </c>
      <c r="EY1535" s="1" t="s">
        <v>238</v>
      </c>
      <c r="FC1535" s="1" t="s">
        <v>238</v>
      </c>
      <c r="FF1535" s="1" t="s">
        <v>239</v>
      </c>
      <c r="FG1535" s="1" t="s">
        <v>192</v>
      </c>
      <c r="FH1535" s="1" t="s">
        <v>192</v>
      </c>
      <c r="FJ1535" s="1" t="s">
        <v>15606</v>
      </c>
      <c r="FK1535" s="1" t="s">
        <v>229</v>
      </c>
      <c r="FL1535" s="1" t="s">
        <v>11622</v>
      </c>
      <c r="FM1535" s="1">
        <v>16339.0</v>
      </c>
      <c r="FN1535" s="1" t="s">
        <v>11623</v>
      </c>
      <c r="FO1535" s="1" t="s">
        <v>11624</v>
      </c>
      <c r="FP1535" s="1">
        <v>106496.0</v>
      </c>
      <c r="FR1535" s="1">
        <v>165879.0</v>
      </c>
      <c r="FU1535" s="1" t="s">
        <v>15607</v>
      </c>
      <c r="FV1535" s="1" t="s">
        <v>200</v>
      </c>
      <c r="FW1535" s="1" t="s">
        <v>567</v>
      </c>
      <c r="FX1535" s="1" t="s">
        <v>1739</v>
      </c>
      <c r="FZ1535" s="1" t="s">
        <v>229</v>
      </c>
      <c r="GA1535" s="1" t="s">
        <v>291</v>
      </c>
      <c r="GB1535" s="2">
        <v>42122.0</v>
      </c>
      <c r="GC1535" s="1" t="s">
        <v>15608</v>
      </c>
    </row>
    <row r="1536">
      <c r="A1536" s="1">
        <v>155000.0</v>
      </c>
      <c r="B1536" s="1" t="s">
        <v>185</v>
      </c>
      <c r="C1536" s="1" t="str">
        <f>"08876154"</f>
        <v>08876154</v>
      </c>
      <c r="D1536" s="1" t="s">
        <v>186</v>
      </c>
      <c r="F1536" s="1" t="str">
        <f>"8065"</f>
        <v>8065</v>
      </c>
      <c r="G1536" s="2">
        <v>42093.0</v>
      </c>
      <c r="H1536" s="1">
        <v>149900.0</v>
      </c>
      <c r="I1536" s="1">
        <v>3.0</v>
      </c>
      <c r="J1536" s="1">
        <v>149900.0</v>
      </c>
      <c r="K1536" s="2">
        <v>42095.0</v>
      </c>
      <c r="L1536" s="1">
        <v>3.0</v>
      </c>
      <c r="M1536" s="2">
        <v>42095.0</v>
      </c>
      <c r="N1536" s="1" t="s">
        <v>356</v>
      </c>
      <c r="O1536" s="2">
        <v>42129.0</v>
      </c>
      <c r="P1536" s="1">
        <v>104172.0</v>
      </c>
      <c r="Q1536" s="1">
        <v>84036.0</v>
      </c>
      <c r="R1536" s="1">
        <v>4650.0</v>
      </c>
      <c r="S1536" s="1">
        <v>3816.0</v>
      </c>
      <c r="T1536" s="1" t="s">
        <v>15609</v>
      </c>
      <c r="U1536" s="1" t="s">
        <v>694</v>
      </c>
      <c r="V1536" s="1" t="s">
        <v>190</v>
      </c>
      <c r="W1536" s="1">
        <v>60629.0</v>
      </c>
      <c r="X1536" s="1">
        <v>4134.0</v>
      </c>
      <c r="Y1536" s="1" t="s">
        <v>15610</v>
      </c>
      <c r="Z1536" s="1">
        <v>1951.0</v>
      </c>
      <c r="AA1536" s="1" t="s">
        <v>192</v>
      </c>
      <c r="AB1536" s="1" t="s">
        <v>193</v>
      </c>
      <c r="AD1536" s="1" t="s">
        <v>194</v>
      </c>
      <c r="AE1536" s="1" t="s">
        <v>195</v>
      </c>
      <c r="AF1536" s="1" t="s">
        <v>659</v>
      </c>
      <c r="AH1536" s="1" t="s">
        <v>15611</v>
      </c>
      <c r="AI1536" s="1">
        <v>0.0947</v>
      </c>
      <c r="AK1536" s="1">
        <v>6.0</v>
      </c>
      <c r="AL1536" s="1">
        <v>4.0</v>
      </c>
      <c r="AM1536" s="1">
        <v>2.0</v>
      </c>
      <c r="AN1536" s="1">
        <v>0.0</v>
      </c>
      <c r="AO1536" s="1" t="s">
        <v>229</v>
      </c>
      <c r="AP1536" s="1">
        <v>0.0</v>
      </c>
      <c r="AQ1536" s="1" t="s">
        <v>198</v>
      </c>
      <c r="AR1536" s="1" t="s">
        <v>200</v>
      </c>
      <c r="AS1536" s="1" t="s">
        <v>199</v>
      </c>
      <c r="AT1536" s="1">
        <v>2.0</v>
      </c>
      <c r="AV1536" s="1" t="s">
        <v>200</v>
      </c>
      <c r="AW1536" s="1">
        <v>2829.32</v>
      </c>
      <c r="AX1536" s="1">
        <v>2013.0</v>
      </c>
      <c r="AY1536" s="1" t="s">
        <v>229</v>
      </c>
      <c r="AZ1536" s="1" t="s">
        <v>200</v>
      </c>
      <c r="BA1536" s="1" t="str">
        <f>"19233010310000"</f>
        <v>19233010310000</v>
      </c>
      <c r="BB1536" s="1" t="s">
        <v>200</v>
      </c>
      <c r="BC1536" s="1">
        <v>1040.0</v>
      </c>
      <c r="BD1536" s="1">
        <v>155000.0</v>
      </c>
      <c r="BE1536" s="2">
        <v>42093.0</v>
      </c>
      <c r="BF1536" s="2" t="s">
        <v>15612</v>
      </c>
      <c r="BH1536" s="1">
        <v>0.0</v>
      </c>
      <c r="BK1536" s="1" t="s">
        <v>204</v>
      </c>
      <c r="BL1536" s="1" t="str">
        <f t="shared" si="1008"/>
        <v>0</v>
      </c>
      <c r="BM1536" s="1" t="str">
        <f t="shared" ref="BM1536:BM1537" si="1009">"0"</f>
        <v>0</v>
      </c>
      <c r="BN1536" s="1">
        <v>3816.0</v>
      </c>
      <c r="BO1536" s="1">
        <v>6700.0</v>
      </c>
      <c r="BQ1536" s="1">
        <v>299.0</v>
      </c>
      <c r="BR1536" s="1">
        <v>299.0</v>
      </c>
      <c r="BS1536" s="1">
        <v>299.0</v>
      </c>
      <c r="BU1536" s="1" t="s">
        <v>663</v>
      </c>
      <c r="BV1536" s="1" t="s">
        <v>206</v>
      </c>
      <c r="BW1536" s="1" t="s">
        <v>210</v>
      </c>
      <c r="BX1536" s="1" t="s">
        <v>1549</v>
      </c>
      <c r="BY1536" s="1" t="s">
        <v>363</v>
      </c>
      <c r="BZ1536" s="1" t="s">
        <v>206</v>
      </c>
      <c r="CA1536" s="1" t="s">
        <v>1790</v>
      </c>
      <c r="CB1536" s="1" t="s">
        <v>431</v>
      </c>
      <c r="CD1536" s="1" t="s">
        <v>204</v>
      </c>
      <c r="CG1536" s="1" t="s">
        <v>363</v>
      </c>
      <c r="CH1536" s="1" t="s">
        <v>206</v>
      </c>
      <c r="CI1536" s="1" t="s">
        <v>1790</v>
      </c>
      <c r="CJ1536" s="1" t="s">
        <v>431</v>
      </c>
      <c r="CK1536" s="1" t="s">
        <v>213</v>
      </c>
      <c r="CL1536" s="1" t="s">
        <v>209</v>
      </c>
      <c r="CM1536" s="1" t="s">
        <v>210</v>
      </c>
      <c r="CN1536" s="1" t="s">
        <v>431</v>
      </c>
      <c r="CO1536" s="1" t="s">
        <v>584</v>
      </c>
      <c r="CP1536" s="1" t="s">
        <v>209</v>
      </c>
      <c r="CQ1536" s="1" t="s">
        <v>210</v>
      </c>
      <c r="CR1536" s="1" t="s">
        <v>431</v>
      </c>
      <c r="CS1536" s="1" t="s">
        <v>205</v>
      </c>
      <c r="CT1536" s="1" t="s">
        <v>206</v>
      </c>
      <c r="CU1536" s="1" t="s">
        <v>617</v>
      </c>
      <c r="CV1536" s="1" t="s">
        <v>261</v>
      </c>
      <c r="CX1536" s="1" t="s">
        <v>204</v>
      </c>
      <c r="DA1536" s="1" t="s">
        <v>200</v>
      </c>
      <c r="DC1536" s="1" t="s">
        <v>702</v>
      </c>
      <c r="DD1536" s="1" t="s">
        <v>518</v>
      </c>
      <c r="DE1536" s="1" t="s">
        <v>273</v>
      </c>
      <c r="DF1536" s="1" t="s">
        <v>219</v>
      </c>
      <c r="DG1536" s="1" t="s">
        <v>482</v>
      </c>
      <c r="DH1536" s="1" t="s">
        <v>365</v>
      </c>
      <c r="DI1536" s="1" t="s">
        <v>6629</v>
      </c>
      <c r="DJ1536" s="1" t="s">
        <v>222</v>
      </c>
      <c r="DK1536" s="1" t="s">
        <v>224</v>
      </c>
      <c r="DL1536" s="1" t="s">
        <v>858</v>
      </c>
      <c r="DM1536" s="1" t="s">
        <v>1919</v>
      </c>
      <c r="DQ1536" s="1" t="s">
        <v>228</v>
      </c>
      <c r="DR1536" s="1" t="s">
        <v>229</v>
      </c>
      <c r="DS1536" s="1" t="s">
        <v>230</v>
      </c>
      <c r="DU1536" s="1" t="s">
        <v>12035</v>
      </c>
      <c r="DV1536" s="1" t="s">
        <v>374</v>
      </c>
      <c r="DW1536" s="1" t="s">
        <v>7053</v>
      </c>
      <c r="DX1536" s="1" t="s">
        <v>234</v>
      </c>
      <c r="DY1536" s="1" t="s">
        <v>704</v>
      </c>
      <c r="DZ1536" s="1" t="s">
        <v>1100</v>
      </c>
      <c r="EA1536" s="1" t="s">
        <v>1075</v>
      </c>
      <c r="EC1536" s="1" t="s">
        <v>645</v>
      </c>
      <c r="ED1536" s="1" t="s">
        <v>407</v>
      </c>
      <c r="EG1536" s="1" t="s">
        <v>374</v>
      </c>
      <c r="EL1536" s="1" t="s">
        <v>1796</v>
      </c>
      <c r="EM1536" s="1" t="s">
        <v>206</v>
      </c>
      <c r="EN1536" s="1" t="s">
        <v>210</v>
      </c>
      <c r="EO1536" s="1" t="s">
        <v>1549</v>
      </c>
      <c r="EQ1536" s="1" t="s">
        <v>238</v>
      </c>
      <c r="EU1536" s="1" t="s">
        <v>238</v>
      </c>
      <c r="EY1536" s="1" t="s">
        <v>238</v>
      </c>
      <c r="FC1536" s="1" t="s">
        <v>238</v>
      </c>
      <c r="FF1536" s="1" t="s">
        <v>239</v>
      </c>
      <c r="FG1536" s="1" t="s">
        <v>192</v>
      </c>
      <c r="FH1536" s="1" t="s">
        <v>192</v>
      </c>
      <c r="FJ1536" s="1" t="s">
        <v>4471</v>
      </c>
      <c r="FK1536" s="1" t="s">
        <v>229</v>
      </c>
      <c r="FL1536" s="1" t="s">
        <v>1289</v>
      </c>
      <c r="FM1536" s="1">
        <v>85811.0</v>
      </c>
      <c r="FN1536" s="1" t="s">
        <v>15613</v>
      </c>
      <c r="FO1536" s="1" t="s">
        <v>15614</v>
      </c>
      <c r="FP1536" s="1">
        <v>116474.0</v>
      </c>
      <c r="FQ1536" s="1" t="s">
        <v>15615</v>
      </c>
      <c r="FS1536" s="1" t="s">
        <v>15616</v>
      </c>
      <c r="FU1536" s="1" t="s">
        <v>15617</v>
      </c>
      <c r="FV1536" s="1" t="s">
        <v>200</v>
      </c>
      <c r="FW1536" s="1" t="s">
        <v>530</v>
      </c>
      <c r="FX1536" s="1" t="s">
        <v>246</v>
      </c>
      <c r="FZ1536" s="1" t="s">
        <v>229</v>
      </c>
      <c r="GA1536" s="1" t="s">
        <v>291</v>
      </c>
      <c r="GB1536" s="2">
        <v>42129.0</v>
      </c>
      <c r="GC1536" s="1" t="s">
        <v>15618</v>
      </c>
    </row>
    <row r="1537">
      <c r="A1537" s="1">
        <v>166000.0</v>
      </c>
      <c r="B1537" s="1" t="s">
        <v>185</v>
      </c>
      <c r="C1537" s="1" t="str">
        <f>"08877274"</f>
        <v>08877274</v>
      </c>
      <c r="D1537" s="1" t="s">
        <v>186</v>
      </c>
      <c r="F1537" s="1" t="str">
        <f>"8070"</f>
        <v>8070</v>
      </c>
      <c r="G1537" s="2">
        <v>42094.0</v>
      </c>
      <c r="H1537" s="1">
        <v>189000.0</v>
      </c>
      <c r="I1537" s="1">
        <v>4.0</v>
      </c>
      <c r="J1537" s="1">
        <v>189000.0</v>
      </c>
      <c r="K1537" s="2">
        <v>42097.0</v>
      </c>
      <c r="L1537" s="1">
        <v>4.0</v>
      </c>
      <c r="M1537" s="2">
        <v>42097.0</v>
      </c>
      <c r="N1537" s="1" t="s">
        <v>249</v>
      </c>
      <c r="O1537" s="2">
        <v>42115.0</v>
      </c>
      <c r="P1537" s="1">
        <v>117039.0</v>
      </c>
      <c r="Q1537" s="1">
        <v>85885.0</v>
      </c>
      <c r="S1537" s="1">
        <v>7615.0</v>
      </c>
      <c r="T1537" s="1" t="s">
        <v>1422</v>
      </c>
      <c r="U1537" s="1" t="s">
        <v>189</v>
      </c>
      <c r="V1537" s="1" t="s">
        <v>190</v>
      </c>
      <c r="W1537" s="1">
        <v>60652.0</v>
      </c>
      <c r="Y1537" s="1" t="s">
        <v>15619</v>
      </c>
      <c r="Z1537" s="1">
        <v>1938.0</v>
      </c>
      <c r="AA1537" s="1" t="s">
        <v>192</v>
      </c>
      <c r="AB1537" s="1" t="s">
        <v>193</v>
      </c>
      <c r="AD1537" s="1" t="s">
        <v>194</v>
      </c>
      <c r="AE1537" s="1" t="s">
        <v>195</v>
      </c>
      <c r="AF1537" s="1" t="s">
        <v>1154</v>
      </c>
      <c r="AH1537" s="1">
        <v>4410.0</v>
      </c>
      <c r="AK1537" s="1">
        <v>8.0</v>
      </c>
      <c r="AL1537" s="1">
        <v>3.0</v>
      </c>
      <c r="AM1537" s="1">
        <v>2.0</v>
      </c>
      <c r="AN1537" s="1">
        <v>1.0</v>
      </c>
      <c r="AO1537" s="1" t="s">
        <v>229</v>
      </c>
      <c r="AQ1537" s="1" t="s">
        <v>198</v>
      </c>
      <c r="AR1537" s="1" t="s">
        <v>192</v>
      </c>
      <c r="AS1537" s="1" t="s">
        <v>199</v>
      </c>
      <c r="AT1537" s="1">
        <v>2.0</v>
      </c>
      <c r="AV1537" s="1" t="s">
        <v>200</v>
      </c>
      <c r="AW1537" s="1">
        <v>1710.32</v>
      </c>
      <c r="AX1537" s="1">
        <v>2013.0</v>
      </c>
      <c r="AZ1537" s="1" t="s">
        <v>200</v>
      </c>
      <c r="BA1537" s="1" t="str">
        <f>"19254080750000"</f>
        <v>19254080750000</v>
      </c>
      <c r="BB1537" s="1" t="s">
        <v>200</v>
      </c>
      <c r="BC1537" s="1">
        <v>1192.0</v>
      </c>
      <c r="BD1537" s="1">
        <v>166000.0</v>
      </c>
      <c r="BE1537" s="2">
        <v>42094.0</v>
      </c>
      <c r="BF1537" s="2" t="s">
        <v>15620</v>
      </c>
      <c r="BH1537" s="1">
        <v>0.0</v>
      </c>
      <c r="BK1537" s="1" t="s">
        <v>204</v>
      </c>
      <c r="BL1537" s="1" t="str">
        <f t="shared" si="1008"/>
        <v>0</v>
      </c>
      <c r="BM1537" s="1" t="str">
        <f t="shared" si="1009"/>
        <v>0</v>
      </c>
      <c r="BN1537" s="1">
        <v>2532.0</v>
      </c>
      <c r="BO1537" s="1">
        <v>7615.0</v>
      </c>
      <c r="BQ1537" s="1">
        <v>299.0</v>
      </c>
      <c r="BR1537" s="1">
        <v>299.0</v>
      </c>
      <c r="BS1537" s="1">
        <v>299.0</v>
      </c>
      <c r="BU1537" s="1" t="s">
        <v>541</v>
      </c>
      <c r="BV1537" s="1" t="s">
        <v>206</v>
      </c>
      <c r="BW1537" s="1" t="s">
        <v>207</v>
      </c>
      <c r="BX1537" s="1" t="s">
        <v>431</v>
      </c>
      <c r="BY1537" s="1" t="s">
        <v>215</v>
      </c>
      <c r="BZ1537" s="1" t="s">
        <v>209</v>
      </c>
      <c r="CA1537" s="1" t="s">
        <v>207</v>
      </c>
      <c r="CC1537" s="1" t="s">
        <v>212</v>
      </c>
      <c r="CD1537" s="1" t="s">
        <v>206</v>
      </c>
      <c r="CE1537" s="1" t="s">
        <v>207</v>
      </c>
      <c r="CF1537" s="1" t="s">
        <v>1118</v>
      </c>
      <c r="CG1537" s="1" t="s">
        <v>497</v>
      </c>
      <c r="CH1537" s="1" t="s">
        <v>209</v>
      </c>
      <c r="CI1537" s="1" t="s">
        <v>207</v>
      </c>
      <c r="CK1537" s="1" t="s">
        <v>516</v>
      </c>
      <c r="CL1537" s="1" t="s">
        <v>209</v>
      </c>
      <c r="CM1537" s="1" t="s">
        <v>207</v>
      </c>
      <c r="CO1537" s="1" t="s">
        <v>263</v>
      </c>
      <c r="CP1537" s="1" t="s">
        <v>42</v>
      </c>
      <c r="CQ1537" s="1" t="s">
        <v>268</v>
      </c>
      <c r="CS1537" s="1" t="s">
        <v>699</v>
      </c>
      <c r="CT1537" s="1" t="s">
        <v>206</v>
      </c>
      <c r="CU1537" s="1" t="s">
        <v>207</v>
      </c>
      <c r="CV1537" s="1" t="s">
        <v>1118</v>
      </c>
      <c r="CW1537" s="1" t="s">
        <v>541</v>
      </c>
      <c r="CX1537" s="1" t="s">
        <v>42</v>
      </c>
      <c r="CY1537" s="1" t="s">
        <v>268</v>
      </c>
      <c r="DA1537" s="1" t="s">
        <v>200</v>
      </c>
      <c r="DC1537" s="1" t="s">
        <v>1399</v>
      </c>
      <c r="DD1537" s="1" t="s">
        <v>306</v>
      </c>
      <c r="DE1537" s="1" t="s">
        <v>2851</v>
      </c>
      <c r="DF1537" s="1" t="s">
        <v>619</v>
      </c>
      <c r="DH1537" s="1" t="s">
        <v>365</v>
      </c>
      <c r="DJ1537" s="1" t="s">
        <v>222</v>
      </c>
      <c r="DL1537" s="1" t="s">
        <v>224</v>
      </c>
      <c r="DM1537" s="1" t="s">
        <v>229</v>
      </c>
      <c r="DQ1537" s="1" t="s">
        <v>228</v>
      </c>
      <c r="DR1537" s="1" t="s">
        <v>229</v>
      </c>
      <c r="DV1537" s="1" t="s">
        <v>232</v>
      </c>
      <c r="DW1537" s="1" t="s">
        <v>279</v>
      </c>
      <c r="DX1537" s="1" t="s">
        <v>234</v>
      </c>
      <c r="DY1537" s="1" t="s">
        <v>281</v>
      </c>
      <c r="EC1537" s="1" t="s">
        <v>237</v>
      </c>
      <c r="EM1537" s="1" t="s">
        <v>238</v>
      </c>
      <c r="EQ1537" s="1" t="s">
        <v>238</v>
      </c>
      <c r="EU1537" s="1" t="s">
        <v>238</v>
      </c>
      <c r="EY1537" s="1" t="s">
        <v>238</v>
      </c>
      <c r="FC1537" s="1" t="s">
        <v>238</v>
      </c>
      <c r="FF1537" s="1" t="s">
        <v>239</v>
      </c>
      <c r="FG1537" s="1" t="s">
        <v>192</v>
      </c>
      <c r="FH1537" s="1" t="s">
        <v>192</v>
      </c>
      <c r="FJ1537" s="1" t="s">
        <v>2262</v>
      </c>
      <c r="FK1537" s="1" t="s">
        <v>229</v>
      </c>
      <c r="FL1537" s="1" t="s">
        <v>8326</v>
      </c>
      <c r="FM1537" s="1">
        <v>23391.0</v>
      </c>
      <c r="FN1537" s="1" t="s">
        <v>8327</v>
      </c>
      <c r="FO1537" s="1" t="s">
        <v>8328</v>
      </c>
      <c r="FP1537" s="1">
        <v>243437.0</v>
      </c>
      <c r="FQ1537" s="1" t="s">
        <v>8329</v>
      </c>
      <c r="FU1537" s="1" t="s">
        <v>15621</v>
      </c>
      <c r="FV1537" s="1" t="s">
        <v>200</v>
      </c>
      <c r="FW1537" s="1" t="s">
        <v>1457</v>
      </c>
      <c r="FX1537" s="1" t="s">
        <v>655</v>
      </c>
      <c r="FZ1537" s="1" t="s">
        <v>229</v>
      </c>
      <c r="GA1537" s="1" t="s">
        <v>291</v>
      </c>
      <c r="GB1537" s="2">
        <v>42116.0</v>
      </c>
    </row>
    <row r="1538">
      <c r="A1538" s="1">
        <v>204900.0</v>
      </c>
      <c r="B1538" s="1" t="s">
        <v>185</v>
      </c>
      <c r="C1538" s="1" t="str">
        <f>"08877614"</f>
        <v>08877614</v>
      </c>
      <c r="D1538" s="1" t="s">
        <v>186</v>
      </c>
      <c r="F1538" s="1" t="str">
        <f>"8043"</f>
        <v>8043</v>
      </c>
      <c r="G1538" s="2">
        <v>42095.0</v>
      </c>
      <c r="H1538" s="1">
        <v>204900.0</v>
      </c>
      <c r="I1538" s="1">
        <v>2.0</v>
      </c>
      <c r="J1538" s="1">
        <v>204900.0</v>
      </c>
      <c r="K1538" s="2">
        <v>42096.0</v>
      </c>
      <c r="L1538" s="1">
        <v>2.0</v>
      </c>
      <c r="M1538" s="2">
        <v>42096.0</v>
      </c>
      <c r="N1538" s="1" t="s">
        <v>356</v>
      </c>
      <c r="O1538" s="2">
        <v>42144.0</v>
      </c>
      <c r="P1538" s="1">
        <v>117948.0</v>
      </c>
      <c r="Q1538" s="1">
        <v>12293.0</v>
      </c>
      <c r="R1538" s="1">
        <v>5970.0</v>
      </c>
      <c r="S1538" s="1">
        <v>7618.0</v>
      </c>
      <c r="T1538" s="1" t="s">
        <v>15622</v>
      </c>
      <c r="U1538" s="1" t="s">
        <v>189</v>
      </c>
      <c r="V1538" s="1" t="s">
        <v>190</v>
      </c>
      <c r="W1538" s="1">
        <v>60649.0</v>
      </c>
      <c r="Y1538" s="1" t="s">
        <v>15623</v>
      </c>
      <c r="Z1538" s="1">
        <v>1914.0</v>
      </c>
      <c r="AA1538" s="1" t="s">
        <v>192</v>
      </c>
      <c r="AB1538" s="1" t="s">
        <v>193</v>
      </c>
      <c r="AD1538" s="1" t="s">
        <v>194</v>
      </c>
      <c r="AE1538" s="1" t="s">
        <v>195</v>
      </c>
      <c r="AF1538" s="1" t="s">
        <v>637</v>
      </c>
      <c r="AH1538" s="1" t="s">
        <v>741</v>
      </c>
      <c r="AI1538" s="1">
        <v>0.1166</v>
      </c>
      <c r="AK1538" s="1">
        <v>9.0</v>
      </c>
      <c r="AL1538" s="1">
        <v>3.0</v>
      </c>
      <c r="AM1538" s="1">
        <v>3.0</v>
      </c>
      <c r="AN1538" s="1">
        <v>0.0</v>
      </c>
      <c r="AO1538" s="1" t="s">
        <v>198</v>
      </c>
      <c r="AQ1538" s="1" t="s">
        <v>198</v>
      </c>
      <c r="AR1538" s="1" t="s">
        <v>192</v>
      </c>
      <c r="AS1538" s="1" t="s">
        <v>199</v>
      </c>
      <c r="AT1538" s="1">
        <v>2.0</v>
      </c>
      <c r="AV1538" s="1" t="s">
        <v>200</v>
      </c>
      <c r="AW1538" s="1">
        <v>2377.47</v>
      </c>
      <c r="AX1538" s="1">
        <v>2013.0</v>
      </c>
      <c r="AY1538" s="1" t="s">
        <v>229</v>
      </c>
      <c r="AZ1538" s="1" t="s">
        <v>200</v>
      </c>
      <c r="BA1538" s="1" t="str">
        <f>"20253110230000"</f>
        <v>20253110230000</v>
      </c>
      <c r="BC1538" s="1">
        <v>1600.0</v>
      </c>
      <c r="BD1538" s="1">
        <v>204900.0</v>
      </c>
      <c r="BE1538" s="2">
        <v>42095.0</v>
      </c>
      <c r="BF1538" s="2" t="s">
        <v>15624</v>
      </c>
      <c r="BH1538" s="1">
        <v>0.0</v>
      </c>
      <c r="BK1538" s="1" t="s">
        <v>204</v>
      </c>
      <c r="BL1538" s="1" t="str">
        <f t="shared" si="1008"/>
        <v>0</v>
      </c>
      <c r="BM1538" s="1" t="str">
        <f>"1800"</f>
        <v>1800</v>
      </c>
      <c r="BN1538" s="1">
        <v>0.0</v>
      </c>
      <c r="BO1538" s="1">
        <v>7618.0</v>
      </c>
      <c r="BQ1538" s="1">
        <v>299.0</v>
      </c>
      <c r="BR1538" s="1">
        <v>299.0</v>
      </c>
      <c r="BS1538" s="1">
        <v>299.0</v>
      </c>
      <c r="BU1538" s="1" t="s">
        <v>1426</v>
      </c>
      <c r="BV1538" s="1" t="s">
        <v>206</v>
      </c>
      <c r="BW1538" s="1" t="s">
        <v>207</v>
      </c>
      <c r="BY1538" s="1" t="s">
        <v>3387</v>
      </c>
      <c r="BZ1538" s="1" t="s">
        <v>209</v>
      </c>
      <c r="CA1538" s="1" t="s">
        <v>210</v>
      </c>
      <c r="CC1538" s="1" t="s">
        <v>211</v>
      </c>
      <c r="CD1538" s="1" t="s">
        <v>206</v>
      </c>
      <c r="CE1538" s="1" t="s">
        <v>207</v>
      </c>
      <c r="CG1538" s="1" t="s">
        <v>303</v>
      </c>
      <c r="CH1538" s="1" t="s">
        <v>206</v>
      </c>
      <c r="CI1538" s="1" t="s">
        <v>207</v>
      </c>
      <c r="CK1538" s="1" t="s">
        <v>815</v>
      </c>
      <c r="CL1538" s="1" t="s">
        <v>206</v>
      </c>
      <c r="CM1538" s="1" t="s">
        <v>207</v>
      </c>
      <c r="CO1538" s="1" t="s">
        <v>375</v>
      </c>
      <c r="CP1538" s="1" t="s">
        <v>42</v>
      </c>
      <c r="CQ1538" s="1" t="s">
        <v>268</v>
      </c>
      <c r="CS1538" s="1" t="s">
        <v>433</v>
      </c>
      <c r="CT1538" s="1" t="s">
        <v>206</v>
      </c>
      <c r="CU1538" s="1" t="s">
        <v>207</v>
      </c>
      <c r="CW1538" s="1" t="s">
        <v>783</v>
      </c>
      <c r="CX1538" s="1" t="s">
        <v>42</v>
      </c>
      <c r="CY1538" s="1" t="s">
        <v>268</v>
      </c>
      <c r="DA1538" s="1" t="s">
        <v>200</v>
      </c>
      <c r="DC1538" s="1" t="s">
        <v>642</v>
      </c>
      <c r="DE1538" s="1" t="s">
        <v>273</v>
      </c>
      <c r="DF1538" s="1" t="s">
        <v>219</v>
      </c>
      <c r="DH1538" s="1" t="s">
        <v>307</v>
      </c>
      <c r="DI1538" s="1" t="s">
        <v>366</v>
      </c>
      <c r="DJ1538" s="1" t="s">
        <v>222</v>
      </c>
      <c r="DL1538" s="1" t="s">
        <v>224</v>
      </c>
      <c r="DM1538" s="1" t="s">
        <v>229</v>
      </c>
      <c r="DQ1538" s="1" t="s">
        <v>228</v>
      </c>
      <c r="DR1538" s="1" t="s">
        <v>229</v>
      </c>
      <c r="DS1538" s="1" t="s">
        <v>230</v>
      </c>
      <c r="DV1538" s="1" t="s">
        <v>598</v>
      </c>
      <c r="DW1538" s="1" t="s">
        <v>279</v>
      </c>
      <c r="DX1538" s="1" t="s">
        <v>234</v>
      </c>
      <c r="DY1538" s="1" t="s">
        <v>553</v>
      </c>
      <c r="EA1538" s="1" t="s">
        <v>644</v>
      </c>
      <c r="EC1538" s="1" t="s">
        <v>645</v>
      </c>
      <c r="EE1538" s="1" t="s">
        <v>493</v>
      </c>
      <c r="EG1538" s="1" t="s">
        <v>598</v>
      </c>
      <c r="EL1538" s="1" t="s">
        <v>266</v>
      </c>
      <c r="EM1538" s="1" t="s">
        <v>42</v>
      </c>
      <c r="EN1538" s="1" t="s">
        <v>268</v>
      </c>
      <c r="EQ1538" s="1" t="s">
        <v>238</v>
      </c>
      <c r="EU1538" s="1" t="s">
        <v>238</v>
      </c>
      <c r="EY1538" s="1" t="s">
        <v>238</v>
      </c>
      <c r="FC1538" s="1" t="s">
        <v>238</v>
      </c>
      <c r="FF1538" s="1" t="s">
        <v>239</v>
      </c>
      <c r="FG1538" s="1" t="s">
        <v>192</v>
      </c>
      <c r="FH1538" s="1" t="s">
        <v>192</v>
      </c>
      <c r="FJ1538" s="1" t="s">
        <v>648</v>
      </c>
      <c r="FK1538" s="1" t="s">
        <v>229</v>
      </c>
      <c r="FL1538" s="1" t="s">
        <v>649</v>
      </c>
      <c r="FM1538" s="1">
        <v>60296.0</v>
      </c>
      <c r="FN1538" s="1" t="s">
        <v>650</v>
      </c>
      <c r="FO1538" s="1" t="s">
        <v>651</v>
      </c>
      <c r="FP1538" s="1">
        <v>602837.0</v>
      </c>
      <c r="FQ1538" s="1" t="s">
        <v>652</v>
      </c>
      <c r="FR1538" s="1">
        <v>602442.0</v>
      </c>
      <c r="FU1538" s="1" t="s">
        <v>653</v>
      </c>
      <c r="FV1538" s="1" t="s">
        <v>200</v>
      </c>
      <c r="FW1538" s="1" t="s">
        <v>654</v>
      </c>
      <c r="FX1538" s="1" t="s">
        <v>655</v>
      </c>
      <c r="FZ1538" s="1" t="s">
        <v>229</v>
      </c>
      <c r="GA1538" s="1" t="s">
        <v>291</v>
      </c>
      <c r="GB1538" s="2">
        <v>42145.0</v>
      </c>
      <c r="GC1538" s="1" t="s">
        <v>1372</v>
      </c>
    </row>
    <row r="1539">
      <c r="A1539" s="1">
        <v>55000.0</v>
      </c>
      <c r="B1539" s="1" t="s">
        <v>185</v>
      </c>
      <c r="C1539" s="1" t="str">
        <f>"08874560"</f>
        <v>08874560</v>
      </c>
      <c r="D1539" s="1" t="s">
        <v>186</v>
      </c>
      <c r="F1539" s="1" t="str">
        <f>"8070"</f>
        <v>8070</v>
      </c>
      <c r="G1539" s="2">
        <v>42091.0</v>
      </c>
      <c r="H1539" s="1">
        <v>59900.0</v>
      </c>
      <c r="I1539" s="1">
        <v>14.0</v>
      </c>
      <c r="J1539" s="1">
        <v>59900.0</v>
      </c>
      <c r="K1539" s="2">
        <v>42103.0</v>
      </c>
      <c r="L1539" s="1">
        <v>14.0</v>
      </c>
      <c r="M1539" s="2">
        <v>42103.0</v>
      </c>
      <c r="N1539" s="1" t="s">
        <v>249</v>
      </c>
      <c r="O1539" s="2">
        <v>42128.0</v>
      </c>
      <c r="P1539" s="1">
        <v>876209.0</v>
      </c>
      <c r="Q1539" s="1">
        <v>84036.0</v>
      </c>
      <c r="S1539" s="1">
        <v>3772.0</v>
      </c>
      <c r="T1539" s="1" t="s">
        <v>6669</v>
      </c>
      <c r="U1539" s="1" t="s">
        <v>320</v>
      </c>
      <c r="V1539" s="1" t="s">
        <v>190</v>
      </c>
      <c r="W1539" s="1">
        <v>60652.0</v>
      </c>
      <c r="Y1539" s="1" t="s">
        <v>15625</v>
      </c>
      <c r="Z1539" s="1">
        <v>1949.0</v>
      </c>
      <c r="AA1539" s="1" t="s">
        <v>192</v>
      </c>
      <c r="AB1539" s="1" t="s">
        <v>193</v>
      </c>
      <c r="AD1539" s="1" t="s">
        <v>194</v>
      </c>
      <c r="AE1539" s="1" t="s">
        <v>195</v>
      </c>
      <c r="AF1539" s="1" t="s">
        <v>659</v>
      </c>
      <c r="AH1539" s="1" t="s">
        <v>15626</v>
      </c>
      <c r="AI1539" s="1">
        <v>0.0927</v>
      </c>
      <c r="AK1539" s="1">
        <v>6.0</v>
      </c>
      <c r="AL1539" s="1">
        <v>4.0</v>
      </c>
      <c r="AM1539" s="1">
        <v>1.0</v>
      </c>
      <c r="AN1539" s="1">
        <v>1.0</v>
      </c>
      <c r="AO1539" s="1" t="s">
        <v>229</v>
      </c>
      <c r="AQ1539" s="1" t="s">
        <v>229</v>
      </c>
      <c r="AR1539" s="1" t="s">
        <v>200</v>
      </c>
      <c r="AS1539" s="1" t="s">
        <v>199</v>
      </c>
      <c r="AT1539" s="1">
        <v>2.0</v>
      </c>
      <c r="AV1539" s="1" t="s">
        <v>200</v>
      </c>
      <c r="AW1539" s="1">
        <v>1931.18</v>
      </c>
      <c r="AX1539" s="1">
        <v>2013.0</v>
      </c>
      <c r="AZ1539" s="1" t="s">
        <v>200</v>
      </c>
      <c r="BA1539" s="1" t="str">
        <f>"19263300610000"</f>
        <v>19263300610000</v>
      </c>
      <c r="BC1539" s="1">
        <v>1494.0</v>
      </c>
      <c r="BD1539" s="1">
        <v>55000.0</v>
      </c>
      <c r="BE1539" s="2">
        <v>42090.0</v>
      </c>
      <c r="BF1539" s="1" t="s">
        <v>15627</v>
      </c>
      <c r="BH1539" s="1">
        <v>0.0</v>
      </c>
      <c r="BK1539" s="1" t="s">
        <v>204</v>
      </c>
      <c r="BL1539" s="1" t="str">
        <f t="shared" si="1008"/>
        <v>0</v>
      </c>
      <c r="BM1539" s="1" t="str">
        <f>"0"</f>
        <v>0</v>
      </c>
      <c r="BN1539" s="1">
        <v>3772.0</v>
      </c>
      <c r="BO1539" s="1">
        <v>7800.0</v>
      </c>
      <c r="BQ1539" s="1">
        <v>299.0</v>
      </c>
      <c r="BR1539" s="1">
        <v>299.0</v>
      </c>
      <c r="BS1539" s="1">
        <v>299.0</v>
      </c>
      <c r="BU1539" s="1" t="s">
        <v>1426</v>
      </c>
      <c r="BV1539" s="1" t="s">
        <v>206</v>
      </c>
      <c r="BY1539" s="1" t="s">
        <v>303</v>
      </c>
      <c r="BZ1539" s="1" t="s">
        <v>206</v>
      </c>
      <c r="CD1539" s="1" t="s">
        <v>204</v>
      </c>
      <c r="CG1539" s="1" t="s">
        <v>302</v>
      </c>
      <c r="CH1539" s="1" t="s">
        <v>206</v>
      </c>
      <c r="CK1539" s="1" t="s">
        <v>699</v>
      </c>
      <c r="CL1539" s="1" t="s">
        <v>209</v>
      </c>
      <c r="CO1539" s="1" t="s">
        <v>269</v>
      </c>
      <c r="CP1539" s="1" t="s">
        <v>209</v>
      </c>
      <c r="CS1539" s="1" t="s">
        <v>454</v>
      </c>
      <c r="CT1539" s="1" t="s">
        <v>206</v>
      </c>
      <c r="CX1539" s="1" t="s">
        <v>204</v>
      </c>
      <c r="DA1539" s="1" t="s">
        <v>200</v>
      </c>
      <c r="DC1539" s="1" t="s">
        <v>702</v>
      </c>
      <c r="DE1539" s="1" t="s">
        <v>229</v>
      </c>
      <c r="DF1539" s="1" t="s">
        <v>905</v>
      </c>
      <c r="DH1539" s="1" t="s">
        <v>220</v>
      </c>
      <c r="DJ1539" s="1" t="s">
        <v>222</v>
      </c>
      <c r="DL1539" s="1" t="s">
        <v>229</v>
      </c>
      <c r="DM1539" s="1" t="s">
        <v>229</v>
      </c>
      <c r="DQ1539" s="1" t="s">
        <v>228</v>
      </c>
      <c r="DR1539" s="1" t="s">
        <v>229</v>
      </c>
      <c r="DV1539" s="1" t="s">
        <v>232</v>
      </c>
      <c r="DW1539" s="1" t="s">
        <v>279</v>
      </c>
      <c r="DX1539" s="1" t="s">
        <v>309</v>
      </c>
      <c r="EC1539" s="1" t="s">
        <v>685</v>
      </c>
      <c r="EE1539" s="1" t="s">
        <v>1673</v>
      </c>
      <c r="EM1539" s="1" t="s">
        <v>238</v>
      </c>
      <c r="EQ1539" s="1" t="s">
        <v>238</v>
      </c>
      <c r="EU1539" s="1" t="s">
        <v>238</v>
      </c>
      <c r="EY1539" s="1" t="s">
        <v>238</v>
      </c>
      <c r="FC1539" s="1" t="s">
        <v>238</v>
      </c>
      <c r="FF1539" s="1" t="s">
        <v>2447</v>
      </c>
      <c r="FG1539" s="1" t="s">
        <v>192</v>
      </c>
      <c r="FH1539" s="1" t="s">
        <v>192</v>
      </c>
      <c r="FJ1539" s="1" t="s">
        <v>524</v>
      </c>
      <c r="FK1539" s="1" t="s">
        <v>229</v>
      </c>
      <c r="FL1539" s="1" t="s">
        <v>6447</v>
      </c>
      <c r="FM1539" s="1">
        <v>84036.0</v>
      </c>
      <c r="FN1539" s="1" t="s">
        <v>6448</v>
      </c>
      <c r="FO1539" s="1" t="s">
        <v>6449</v>
      </c>
      <c r="FP1539" s="1">
        <v>104172.0</v>
      </c>
      <c r="FQ1539" s="1" t="s">
        <v>6448</v>
      </c>
      <c r="FR1539" s="1">
        <v>189090.0</v>
      </c>
      <c r="FU1539" s="1" t="s">
        <v>3678</v>
      </c>
      <c r="FV1539" s="1" t="s">
        <v>192</v>
      </c>
      <c r="FW1539" s="1" t="s">
        <v>15628</v>
      </c>
      <c r="FX1539" s="1" t="s">
        <v>246</v>
      </c>
      <c r="FZ1539" s="1" t="s">
        <v>229</v>
      </c>
      <c r="GA1539" s="1" t="s">
        <v>291</v>
      </c>
      <c r="GB1539" s="2">
        <v>42128.0</v>
      </c>
      <c r="GC1539" s="1" t="s">
        <v>15629</v>
      </c>
    </row>
    <row r="1540">
      <c r="A1540" s="1">
        <v>175500.0</v>
      </c>
      <c r="B1540" s="1" t="s">
        <v>185</v>
      </c>
      <c r="C1540" s="1" t="str">
        <f>"08880041"</f>
        <v>08880041</v>
      </c>
      <c r="D1540" s="1" t="s">
        <v>186</v>
      </c>
      <c r="F1540" s="1" t="str">
        <f>"8048"</f>
        <v>8048</v>
      </c>
      <c r="G1540" s="2">
        <v>42097.0</v>
      </c>
      <c r="H1540" s="1">
        <v>192500.0</v>
      </c>
      <c r="I1540" s="1">
        <v>53.0</v>
      </c>
      <c r="J1540" s="1">
        <v>192500.0</v>
      </c>
      <c r="K1540" s="2">
        <v>42104.0</v>
      </c>
      <c r="L1540" s="1">
        <v>8.0</v>
      </c>
      <c r="M1540" s="2">
        <v>42104.0</v>
      </c>
      <c r="N1540" s="1" t="s">
        <v>249</v>
      </c>
      <c r="O1540" s="2">
        <v>42118.0</v>
      </c>
      <c r="P1540" s="1">
        <v>154012.0</v>
      </c>
      <c r="Q1540" s="1">
        <v>85175.0</v>
      </c>
      <c r="S1540" s="1">
        <v>8825.0</v>
      </c>
      <c r="T1540" s="1" t="s">
        <v>15622</v>
      </c>
      <c r="U1540" s="1" t="s">
        <v>189</v>
      </c>
      <c r="V1540" s="1" t="s">
        <v>190</v>
      </c>
      <c r="W1540" s="1">
        <v>60617.0</v>
      </c>
      <c r="X1540" s="1">
        <v>2957.0</v>
      </c>
      <c r="Y1540" s="1" t="s">
        <v>15630</v>
      </c>
      <c r="Z1540" s="1">
        <v>1949.0</v>
      </c>
      <c r="AA1540" s="1" t="s">
        <v>192</v>
      </c>
      <c r="AB1540" s="1" t="s">
        <v>193</v>
      </c>
      <c r="AD1540" s="1" t="s">
        <v>194</v>
      </c>
      <c r="AE1540" s="1" t="s">
        <v>195</v>
      </c>
      <c r="AF1540" s="1" t="s">
        <v>637</v>
      </c>
      <c r="AH1540" s="1" t="s">
        <v>7998</v>
      </c>
      <c r="AI1540" s="1">
        <v>0.0918</v>
      </c>
      <c r="AK1540" s="1">
        <v>8.0</v>
      </c>
      <c r="AL1540" s="1">
        <v>3.0</v>
      </c>
      <c r="AM1540" s="1">
        <v>3.0</v>
      </c>
      <c r="AN1540" s="1">
        <v>0.0</v>
      </c>
      <c r="AO1540" s="1" t="s">
        <v>198</v>
      </c>
      <c r="AQ1540" s="1" t="s">
        <v>198</v>
      </c>
      <c r="AR1540" s="1" t="s">
        <v>192</v>
      </c>
      <c r="AS1540" s="1" t="s">
        <v>199</v>
      </c>
      <c r="AT1540" s="1">
        <v>2.0</v>
      </c>
      <c r="AV1540" s="1" t="s">
        <v>200</v>
      </c>
      <c r="AW1540" s="1">
        <v>1446.85</v>
      </c>
      <c r="AX1540" s="1">
        <v>2013.0</v>
      </c>
      <c r="AY1540" s="1" t="s">
        <v>387</v>
      </c>
      <c r="AZ1540" s="1" t="s">
        <v>200</v>
      </c>
      <c r="BA1540" s="1" t="str">
        <f>"25011140760000"</f>
        <v>25011140760000</v>
      </c>
      <c r="BC1540" s="1">
        <v>914.0</v>
      </c>
      <c r="BD1540" s="1">
        <v>175500.0</v>
      </c>
      <c r="BE1540" s="2">
        <v>42097.0</v>
      </c>
      <c r="BF1540" s="2" t="s">
        <v>15631</v>
      </c>
      <c r="BH1540" s="1">
        <v>0.0</v>
      </c>
      <c r="BK1540" s="1" t="s">
        <v>204</v>
      </c>
      <c r="BL1540" s="1" t="str">
        <f t="shared" si="1008"/>
        <v>0</v>
      </c>
      <c r="BM1540" s="1" t="str">
        <f>"1800"</f>
        <v>1800</v>
      </c>
      <c r="BN1540" s="1">
        <v>0.0</v>
      </c>
      <c r="BO1540" s="1">
        <v>8825.0</v>
      </c>
      <c r="BQ1540" s="1">
        <v>299.0</v>
      </c>
      <c r="BR1540" s="1">
        <v>299.0</v>
      </c>
      <c r="BS1540" s="1">
        <v>299.0</v>
      </c>
      <c r="BU1540" s="1" t="s">
        <v>211</v>
      </c>
      <c r="BV1540" s="1" t="s">
        <v>206</v>
      </c>
      <c r="BW1540" s="1" t="s">
        <v>207</v>
      </c>
      <c r="BY1540" s="1" t="s">
        <v>433</v>
      </c>
      <c r="BZ1540" s="1" t="s">
        <v>209</v>
      </c>
      <c r="CA1540" s="1" t="s">
        <v>210</v>
      </c>
      <c r="CC1540" s="1" t="s">
        <v>332</v>
      </c>
      <c r="CD1540" s="1" t="s">
        <v>206</v>
      </c>
      <c r="CE1540" s="1" t="s">
        <v>207</v>
      </c>
      <c r="CG1540" s="1" t="s">
        <v>640</v>
      </c>
      <c r="CH1540" s="1" t="s">
        <v>209</v>
      </c>
      <c r="CI1540" s="1" t="s">
        <v>210</v>
      </c>
      <c r="CK1540" s="1" t="s">
        <v>264</v>
      </c>
      <c r="CL1540" s="1" t="s">
        <v>206</v>
      </c>
      <c r="CM1540" s="1" t="s">
        <v>207</v>
      </c>
      <c r="CO1540" s="1" t="s">
        <v>497</v>
      </c>
      <c r="CP1540" s="1" t="s">
        <v>42</v>
      </c>
      <c r="CQ1540" s="1" t="s">
        <v>268</v>
      </c>
      <c r="CS1540" s="1" t="s">
        <v>454</v>
      </c>
      <c r="CT1540" s="1" t="s">
        <v>206</v>
      </c>
      <c r="CU1540" s="1" t="s">
        <v>207</v>
      </c>
      <c r="CW1540" s="1" t="s">
        <v>783</v>
      </c>
      <c r="CX1540" s="1" t="s">
        <v>42</v>
      </c>
      <c r="CY1540" s="1" t="s">
        <v>268</v>
      </c>
      <c r="DA1540" s="1" t="s">
        <v>200</v>
      </c>
      <c r="DC1540" s="1" t="s">
        <v>702</v>
      </c>
      <c r="DD1540" s="1" t="s">
        <v>731</v>
      </c>
      <c r="DE1540" s="1" t="s">
        <v>273</v>
      </c>
      <c r="DF1540" s="1" t="s">
        <v>219</v>
      </c>
      <c r="DG1540" s="1" t="s">
        <v>337</v>
      </c>
      <c r="DH1540" s="1" t="s">
        <v>365</v>
      </c>
      <c r="DI1540" s="1" t="s">
        <v>366</v>
      </c>
      <c r="DJ1540" s="1" t="s">
        <v>222</v>
      </c>
      <c r="DK1540" s="1" t="s">
        <v>224</v>
      </c>
      <c r="DL1540" s="1" t="s">
        <v>1161</v>
      </c>
      <c r="DM1540" s="1" t="s">
        <v>1464</v>
      </c>
      <c r="DN1540" s="1" t="s">
        <v>9518</v>
      </c>
      <c r="DP1540" s="1" t="s">
        <v>340</v>
      </c>
      <c r="DQ1540" s="1" t="s">
        <v>794</v>
      </c>
      <c r="DR1540" s="1" t="s">
        <v>229</v>
      </c>
      <c r="DS1540" s="1" t="s">
        <v>401</v>
      </c>
      <c r="DU1540" s="1" t="s">
        <v>681</v>
      </c>
      <c r="DV1540" s="1" t="s">
        <v>232</v>
      </c>
      <c r="DW1540" s="1" t="s">
        <v>279</v>
      </c>
      <c r="DX1540" s="1" t="s">
        <v>234</v>
      </c>
      <c r="DY1540" s="1" t="s">
        <v>7054</v>
      </c>
      <c r="EC1540" s="1" t="s">
        <v>645</v>
      </c>
      <c r="ED1540" s="1" t="s">
        <v>1406</v>
      </c>
      <c r="EE1540" s="1" t="s">
        <v>493</v>
      </c>
      <c r="EM1540" s="1" t="s">
        <v>238</v>
      </c>
      <c r="EQ1540" s="1" t="s">
        <v>238</v>
      </c>
      <c r="EU1540" s="1" t="s">
        <v>238</v>
      </c>
      <c r="EY1540" s="1" t="s">
        <v>238</v>
      </c>
      <c r="FC1540" s="1" t="s">
        <v>238</v>
      </c>
      <c r="FF1540" s="1" t="s">
        <v>239</v>
      </c>
      <c r="FG1540" s="1" t="s">
        <v>192</v>
      </c>
      <c r="FH1540" s="1" t="s">
        <v>192</v>
      </c>
      <c r="FJ1540" s="1" t="s">
        <v>770</v>
      </c>
      <c r="FK1540" s="1" t="s">
        <v>229</v>
      </c>
      <c r="FL1540" s="1" t="s">
        <v>3358</v>
      </c>
      <c r="FM1540" s="1">
        <v>84818.0</v>
      </c>
      <c r="FN1540" s="1" t="s">
        <v>3359</v>
      </c>
      <c r="FO1540" s="1" t="s">
        <v>5619</v>
      </c>
      <c r="FP1540" s="1">
        <v>162070.0</v>
      </c>
      <c r="FQ1540" s="1" t="s">
        <v>5620</v>
      </c>
      <c r="FR1540" s="1">
        <v>841730.0</v>
      </c>
      <c r="FU1540" s="1" t="s">
        <v>5621</v>
      </c>
      <c r="FV1540" s="1" t="s">
        <v>192</v>
      </c>
      <c r="FW1540" s="1" t="s">
        <v>530</v>
      </c>
      <c r="FX1540" s="1" t="s">
        <v>655</v>
      </c>
      <c r="FZ1540" s="1" t="s">
        <v>229</v>
      </c>
      <c r="GA1540" s="1" t="s">
        <v>291</v>
      </c>
      <c r="GB1540" s="2">
        <v>42123.0</v>
      </c>
      <c r="GC1540" s="1" t="s">
        <v>5622</v>
      </c>
    </row>
    <row r="1541">
      <c r="A1541" s="1">
        <v>199900.0</v>
      </c>
      <c r="B1541" s="1" t="s">
        <v>185</v>
      </c>
      <c r="C1541" s="1" t="str">
        <f>"08872746"</f>
        <v>08872746</v>
      </c>
      <c r="D1541" s="1" t="s">
        <v>186</v>
      </c>
      <c r="F1541" s="1" t="str">
        <f>"8070"</f>
        <v>8070</v>
      </c>
      <c r="G1541" s="2">
        <v>42089.0</v>
      </c>
      <c r="H1541" s="1">
        <v>199900.0</v>
      </c>
      <c r="I1541" s="1">
        <v>19.0</v>
      </c>
      <c r="J1541" s="1">
        <v>199900.0</v>
      </c>
      <c r="K1541" s="2">
        <v>42107.0</v>
      </c>
      <c r="L1541" s="1">
        <v>19.0</v>
      </c>
      <c r="M1541" s="2">
        <v>42107.0</v>
      </c>
      <c r="N1541" s="1" t="s">
        <v>356</v>
      </c>
      <c r="O1541" s="2">
        <v>42144.0</v>
      </c>
      <c r="P1541" s="1">
        <v>701097.0</v>
      </c>
      <c r="Q1541" s="1">
        <v>72504.0</v>
      </c>
      <c r="S1541" s="1">
        <v>8027.0</v>
      </c>
      <c r="T1541" s="1" t="s">
        <v>2032</v>
      </c>
      <c r="U1541" s="1" t="s">
        <v>189</v>
      </c>
      <c r="V1541" s="1" t="s">
        <v>190</v>
      </c>
      <c r="W1541" s="1">
        <v>60652.0</v>
      </c>
      <c r="X1541" s="1">
        <v>2726.0</v>
      </c>
      <c r="Y1541" s="1" t="s">
        <v>6680</v>
      </c>
      <c r="Z1541" s="1">
        <v>1950.0</v>
      </c>
      <c r="AA1541" s="1" t="s">
        <v>192</v>
      </c>
      <c r="AB1541" s="1" t="s">
        <v>193</v>
      </c>
      <c r="AD1541" s="1" t="s">
        <v>194</v>
      </c>
      <c r="AE1541" s="1" t="s">
        <v>195</v>
      </c>
      <c r="AF1541" s="1" t="s">
        <v>659</v>
      </c>
      <c r="AH1541" s="1" t="s">
        <v>1393</v>
      </c>
      <c r="AI1541" s="1">
        <v>0.0868</v>
      </c>
      <c r="AK1541" s="1">
        <v>9.0</v>
      </c>
      <c r="AL1541" s="1">
        <v>3.0</v>
      </c>
      <c r="AM1541" s="1">
        <v>2.0</v>
      </c>
      <c r="AN1541" s="1">
        <v>0.0</v>
      </c>
      <c r="AO1541" s="1" t="s">
        <v>229</v>
      </c>
      <c r="AQ1541" s="1" t="s">
        <v>198</v>
      </c>
      <c r="AR1541" s="1" t="s">
        <v>192</v>
      </c>
      <c r="AS1541" s="1" t="s">
        <v>199</v>
      </c>
      <c r="AT1541" s="1">
        <v>2.0</v>
      </c>
      <c r="AV1541" s="1" t="s">
        <v>200</v>
      </c>
      <c r="AW1541" s="1">
        <v>1705.21</v>
      </c>
      <c r="AX1541" s="1">
        <v>2013.0</v>
      </c>
      <c r="AY1541" s="1" t="s">
        <v>387</v>
      </c>
      <c r="AZ1541" s="1" t="s">
        <v>200</v>
      </c>
      <c r="BA1541" s="1" t="str">
        <f>"19361140090000"</f>
        <v>19361140090000</v>
      </c>
      <c r="BB1541" s="1" t="s">
        <v>200</v>
      </c>
      <c r="BC1541" s="1">
        <v>1171.0</v>
      </c>
      <c r="BD1541" s="1">
        <v>199900.0</v>
      </c>
      <c r="BE1541" s="2">
        <v>42089.0</v>
      </c>
      <c r="BF1541" s="2" t="s">
        <v>15632</v>
      </c>
      <c r="BH1541" s="1">
        <v>0.0</v>
      </c>
      <c r="BK1541" s="1" t="s">
        <v>204</v>
      </c>
      <c r="BL1541" s="1" t="str">
        <f t="shared" si="1008"/>
        <v>0</v>
      </c>
      <c r="BM1541" s="1" t="str">
        <f t="shared" ref="BM1541:BM1542" si="1010">"0"</f>
        <v>0</v>
      </c>
      <c r="BN1541" s="1">
        <v>3.0</v>
      </c>
      <c r="BO1541" s="1">
        <v>9.0</v>
      </c>
      <c r="BQ1541" s="1">
        <v>299.0</v>
      </c>
      <c r="BR1541" s="1">
        <v>299.0</v>
      </c>
      <c r="BS1541" s="1">
        <v>299.0</v>
      </c>
      <c r="BU1541" s="1" t="s">
        <v>1183</v>
      </c>
      <c r="BV1541" s="1" t="s">
        <v>206</v>
      </c>
      <c r="BW1541" s="1" t="s">
        <v>207</v>
      </c>
      <c r="BY1541" s="1" t="s">
        <v>363</v>
      </c>
      <c r="BZ1541" s="1" t="s">
        <v>206</v>
      </c>
      <c r="CA1541" s="1" t="s">
        <v>207</v>
      </c>
      <c r="CC1541" s="1" t="s">
        <v>663</v>
      </c>
      <c r="CD1541" s="1" t="s">
        <v>206</v>
      </c>
      <c r="CE1541" s="1" t="s">
        <v>207</v>
      </c>
      <c r="CG1541" s="1" t="s">
        <v>302</v>
      </c>
      <c r="CH1541" s="1" t="s">
        <v>206</v>
      </c>
      <c r="CI1541" s="1" t="s">
        <v>207</v>
      </c>
      <c r="CK1541" s="1" t="s">
        <v>699</v>
      </c>
      <c r="CL1541" s="1" t="s">
        <v>206</v>
      </c>
      <c r="CM1541" s="1" t="s">
        <v>207</v>
      </c>
      <c r="CO1541" s="1" t="s">
        <v>1417</v>
      </c>
      <c r="CP1541" s="1" t="s">
        <v>42</v>
      </c>
      <c r="CQ1541" s="1" t="s">
        <v>210</v>
      </c>
      <c r="CS1541" s="1" t="s">
        <v>1329</v>
      </c>
      <c r="CT1541" s="1" t="s">
        <v>206</v>
      </c>
      <c r="CU1541" s="1" t="s">
        <v>617</v>
      </c>
      <c r="CW1541" s="1" t="s">
        <v>6682</v>
      </c>
      <c r="CX1541" s="1" t="s">
        <v>42</v>
      </c>
      <c r="CY1541" s="1" t="s">
        <v>268</v>
      </c>
      <c r="DA1541" s="1" t="s">
        <v>200</v>
      </c>
      <c r="DC1541" s="1" t="s">
        <v>702</v>
      </c>
      <c r="DD1541" s="1" t="s">
        <v>518</v>
      </c>
      <c r="DE1541" s="1" t="s">
        <v>229</v>
      </c>
      <c r="DF1541" s="1" t="s">
        <v>219</v>
      </c>
      <c r="DG1541" s="1" t="s">
        <v>337</v>
      </c>
      <c r="DH1541" s="1" t="s">
        <v>307</v>
      </c>
      <c r="DJ1541" s="1" t="s">
        <v>222</v>
      </c>
      <c r="DL1541" s="1" t="s">
        <v>224</v>
      </c>
      <c r="DM1541" s="1" t="s">
        <v>1402</v>
      </c>
      <c r="DO1541" s="1" t="s">
        <v>549</v>
      </c>
      <c r="DP1541" s="1" t="s">
        <v>276</v>
      </c>
      <c r="DQ1541" s="1" t="s">
        <v>228</v>
      </c>
      <c r="DR1541" s="1" t="s">
        <v>229</v>
      </c>
      <c r="DS1541" s="1" t="s">
        <v>401</v>
      </c>
      <c r="DU1541" s="1" t="s">
        <v>1840</v>
      </c>
      <c r="DV1541" s="1" t="s">
        <v>494</v>
      </c>
      <c r="DW1541" s="1" t="s">
        <v>279</v>
      </c>
      <c r="DX1541" s="1" t="s">
        <v>234</v>
      </c>
      <c r="DY1541" s="1" t="s">
        <v>553</v>
      </c>
      <c r="DZ1541" s="1" t="s">
        <v>282</v>
      </c>
      <c r="EA1541" s="1" t="s">
        <v>644</v>
      </c>
      <c r="EC1541" s="1" t="s">
        <v>685</v>
      </c>
      <c r="EE1541" s="1" t="s">
        <v>493</v>
      </c>
      <c r="EG1541" s="1" t="s">
        <v>494</v>
      </c>
      <c r="EL1541" s="1" t="s">
        <v>300</v>
      </c>
      <c r="EM1541" s="1" t="s">
        <v>42</v>
      </c>
      <c r="EN1541" s="1" t="s">
        <v>210</v>
      </c>
      <c r="EQ1541" s="1" t="s">
        <v>238</v>
      </c>
      <c r="EU1541" s="1" t="s">
        <v>238</v>
      </c>
      <c r="EY1541" s="1" t="s">
        <v>238</v>
      </c>
      <c r="FC1541" s="1" t="s">
        <v>238</v>
      </c>
      <c r="FF1541" s="1" t="s">
        <v>239</v>
      </c>
      <c r="FG1541" s="1" t="s">
        <v>192</v>
      </c>
      <c r="FH1541" s="1" t="s">
        <v>192</v>
      </c>
      <c r="FJ1541" s="1" t="s">
        <v>15633</v>
      </c>
      <c r="FK1541" s="1" t="s">
        <v>229</v>
      </c>
      <c r="FL1541" s="1" t="s">
        <v>2854</v>
      </c>
      <c r="FM1541" s="1">
        <v>85043.0</v>
      </c>
      <c r="FN1541" s="1" t="s">
        <v>2855</v>
      </c>
      <c r="FO1541" s="1" t="s">
        <v>2856</v>
      </c>
      <c r="FP1541" s="1">
        <v>189258.0</v>
      </c>
      <c r="FU1541" s="1" t="s">
        <v>710</v>
      </c>
      <c r="FV1541" s="1" t="s">
        <v>200</v>
      </c>
      <c r="FW1541" s="1" t="s">
        <v>290</v>
      </c>
      <c r="FX1541" s="1" t="s">
        <v>655</v>
      </c>
      <c r="FZ1541" s="1" t="s">
        <v>229</v>
      </c>
      <c r="GA1541" s="1" t="s">
        <v>291</v>
      </c>
      <c r="GB1541" s="2">
        <v>42144.0</v>
      </c>
      <c r="GC1541" s="1" t="s">
        <v>15634</v>
      </c>
    </row>
    <row r="1542">
      <c r="A1542" s="1">
        <v>378000.0</v>
      </c>
      <c r="B1542" s="1" t="s">
        <v>185</v>
      </c>
      <c r="C1542" s="1" t="str">
        <f>"08875072"</f>
        <v>08875072</v>
      </c>
      <c r="D1542" s="1" t="s">
        <v>186</v>
      </c>
      <c r="F1542" s="1" t="str">
        <f>"8015"</f>
        <v>8015</v>
      </c>
      <c r="G1542" s="2">
        <v>42092.0</v>
      </c>
      <c r="H1542" s="1">
        <v>355000.0</v>
      </c>
      <c r="I1542" s="1">
        <v>16.0</v>
      </c>
      <c r="J1542" s="1">
        <v>355000.0</v>
      </c>
      <c r="K1542" s="2">
        <v>42107.0</v>
      </c>
      <c r="L1542" s="1">
        <v>16.0</v>
      </c>
      <c r="M1542" s="2">
        <v>42107.0</v>
      </c>
      <c r="N1542" s="1" t="s">
        <v>187</v>
      </c>
      <c r="O1542" s="2">
        <v>42145.0</v>
      </c>
      <c r="P1542" s="1">
        <v>139302.0</v>
      </c>
      <c r="Q1542" s="1">
        <v>10273.0</v>
      </c>
      <c r="S1542" s="1">
        <v>5448.0</v>
      </c>
      <c r="T1542" s="1" t="s">
        <v>15635</v>
      </c>
      <c r="U1542" s="1" t="s">
        <v>189</v>
      </c>
      <c r="V1542" s="1" t="s">
        <v>190</v>
      </c>
      <c r="W1542" s="1">
        <v>60641.0</v>
      </c>
      <c r="Y1542" s="1" t="s">
        <v>15636</v>
      </c>
      <c r="Z1542" s="1" t="s">
        <v>296</v>
      </c>
      <c r="AA1542" s="1" t="s">
        <v>192</v>
      </c>
      <c r="AB1542" s="1" t="s">
        <v>193</v>
      </c>
      <c r="AD1542" s="1" t="s">
        <v>194</v>
      </c>
      <c r="AE1542" s="1" t="s">
        <v>195</v>
      </c>
      <c r="AF1542" s="1" t="s">
        <v>196</v>
      </c>
      <c r="AH1542" s="1" t="s">
        <v>15637</v>
      </c>
      <c r="AK1542" s="1">
        <v>10.0</v>
      </c>
      <c r="AL1542" s="1">
        <v>4.0</v>
      </c>
      <c r="AM1542" s="1">
        <v>3.0</v>
      </c>
      <c r="AN1542" s="1">
        <v>0.0</v>
      </c>
      <c r="AO1542" s="1" t="s">
        <v>229</v>
      </c>
      <c r="AQ1542" s="1" t="s">
        <v>198</v>
      </c>
      <c r="AR1542" s="1" t="s">
        <v>192</v>
      </c>
      <c r="AS1542" s="1" t="s">
        <v>199</v>
      </c>
      <c r="AT1542" s="1">
        <v>2.0</v>
      </c>
      <c r="AV1542" s="1" t="s">
        <v>200</v>
      </c>
      <c r="AW1542" s="1">
        <v>3223.0</v>
      </c>
      <c r="AX1542" s="1">
        <v>2013.0</v>
      </c>
      <c r="AY1542" s="1" t="s">
        <v>387</v>
      </c>
      <c r="AZ1542" s="1" t="s">
        <v>200</v>
      </c>
      <c r="BA1542" s="1" t="str">
        <f>"13211090240000"</f>
        <v>13211090240000</v>
      </c>
      <c r="BB1542" s="1" t="s">
        <v>200</v>
      </c>
      <c r="BC1542" s="1">
        <v>0.0</v>
      </c>
      <c r="BD1542" s="1">
        <v>378000.0</v>
      </c>
      <c r="BE1542" s="2">
        <v>42092.0</v>
      </c>
      <c r="BF1542" s="2" t="s">
        <v>15638</v>
      </c>
      <c r="BH1542" s="1">
        <v>0.0</v>
      </c>
      <c r="BK1542" s="1" t="s">
        <v>204</v>
      </c>
      <c r="BL1542" s="1" t="str">
        <f>"3800"</f>
        <v>3800</v>
      </c>
      <c r="BM1542" s="1" t="str">
        <f t="shared" si="1010"/>
        <v>0</v>
      </c>
      <c r="BN1542" s="1">
        <v>5448.0</v>
      </c>
      <c r="BO1542" s="1">
        <v>0.0</v>
      </c>
      <c r="BQ1542" s="1">
        <v>299.0</v>
      </c>
      <c r="BR1542" s="1">
        <v>299.0</v>
      </c>
      <c r="BS1542" s="1">
        <v>299.0</v>
      </c>
      <c r="BU1542" s="1" t="s">
        <v>1001</v>
      </c>
      <c r="BV1542" s="1" t="s">
        <v>206</v>
      </c>
      <c r="BW1542" s="1" t="s">
        <v>207</v>
      </c>
      <c r="BY1542" s="1" t="s">
        <v>302</v>
      </c>
      <c r="BZ1542" s="1" t="s">
        <v>206</v>
      </c>
      <c r="CA1542" s="1" t="s">
        <v>207</v>
      </c>
      <c r="CC1542" s="1" t="s">
        <v>582</v>
      </c>
      <c r="CD1542" s="1" t="s">
        <v>206</v>
      </c>
      <c r="CE1542" s="1" t="s">
        <v>207</v>
      </c>
      <c r="CG1542" s="1" t="s">
        <v>1584</v>
      </c>
      <c r="CH1542" s="1" t="s">
        <v>206</v>
      </c>
      <c r="CI1542" s="1" t="s">
        <v>207</v>
      </c>
      <c r="CK1542" s="1" t="s">
        <v>264</v>
      </c>
      <c r="CL1542" s="1" t="s">
        <v>209</v>
      </c>
      <c r="CM1542" s="1" t="s">
        <v>301</v>
      </c>
      <c r="CO1542" s="1" t="s">
        <v>1417</v>
      </c>
      <c r="CP1542" s="1" t="s">
        <v>209</v>
      </c>
      <c r="CQ1542" s="1" t="s">
        <v>207</v>
      </c>
      <c r="CS1542" s="1" t="s">
        <v>1417</v>
      </c>
      <c r="CT1542" s="1" t="s">
        <v>206</v>
      </c>
      <c r="CU1542" s="1" t="s">
        <v>207</v>
      </c>
      <c r="CW1542" s="1" t="s">
        <v>1063</v>
      </c>
      <c r="CX1542" s="1" t="s">
        <v>209</v>
      </c>
      <c r="CY1542" s="1" t="s">
        <v>301</v>
      </c>
      <c r="DA1542" s="1" t="s">
        <v>200</v>
      </c>
      <c r="DC1542" s="1" t="s">
        <v>785</v>
      </c>
      <c r="DD1542" s="1" t="s">
        <v>518</v>
      </c>
      <c r="DE1542" s="1" t="s">
        <v>273</v>
      </c>
      <c r="DF1542" s="1" t="s">
        <v>219</v>
      </c>
      <c r="DH1542" s="1" t="s">
        <v>220</v>
      </c>
      <c r="DI1542" s="1" t="s">
        <v>1070</v>
      </c>
      <c r="DJ1542" s="1" t="s">
        <v>222</v>
      </c>
      <c r="DL1542" s="1" t="s">
        <v>224</v>
      </c>
      <c r="DM1542" s="1" t="s">
        <v>229</v>
      </c>
      <c r="DP1542" s="1" t="s">
        <v>340</v>
      </c>
      <c r="DQ1542" s="1" t="s">
        <v>228</v>
      </c>
      <c r="DR1542" s="1" t="s">
        <v>229</v>
      </c>
      <c r="DV1542" s="1" t="s">
        <v>3727</v>
      </c>
      <c r="DW1542" s="1" t="s">
        <v>279</v>
      </c>
      <c r="DX1542" s="1" t="s">
        <v>234</v>
      </c>
      <c r="EA1542" s="1" t="s">
        <v>644</v>
      </c>
      <c r="EC1542" s="1" t="s">
        <v>645</v>
      </c>
      <c r="EG1542" s="1" t="s">
        <v>494</v>
      </c>
      <c r="EJ1542" s="1" t="s">
        <v>1407</v>
      </c>
      <c r="EL1542" s="1" t="s">
        <v>3182</v>
      </c>
      <c r="EM1542" s="1" t="s">
        <v>206</v>
      </c>
      <c r="EN1542" s="1" t="s">
        <v>207</v>
      </c>
      <c r="EQ1542" s="1" t="s">
        <v>238</v>
      </c>
      <c r="EU1542" s="1" t="s">
        <v>238</v>
      </c>
      <c r="EX1542" s="1" t="s">
        <v>1183</v>
      </c>
      <c r="EY1542" s="1" t="s">
        <v>209</v>
      </c>
      <c r="FC1542" s="1" t="s">
        <v>238</v>
      </c>
      <c r="FF1542" s="1" t="s">
        <v>239</v>
      </c>
      <c r="FG1542" s="1" t="s">
        <v>192</v>
      </c>
      <c r="FH1542" s="1" t="s">
        <v>192</v>
      </c>
      <c r="FJ1542" s="1" t="s">
        <v>4803</v>
      </c>
      <c r="FK1542" s="1" t="s">
        <v>229</v>
      </c>
      <c r="FL1542" s="1" t="s">
        <v>15639</v>
      </c>
      <c r="FM1542" s="1">
        <v>16936.0</v>
      </c>
      <c r="FN1542" s="1" t="s">
        <v>15640</v>
      </c>
      <c r="FO1542" s="1" t="s">
        <v>15641</v>
      </c>
      <c r="FP1542" s="1">
        <v>123008.0</v>
      </c>
      <c r="FQ1542" s="1" t="s">
        <v>15642</v>
      </c>
      <c r="FU1542" s="1" t="s">
        <v>15643</v>
      </c>
      <c r="FV1542" s="1" t="s">
        <v>200</v>
      </c>
      <c r="FW1542" s="1" t="s">
        <v>290</v>
      </c>
      <c r="FX1542" s="1" t="s">
        <v>246</v>
      </c>
      <c r="FZ1542" s="1" t="s">
        <v>229</v>
      </c>
      <c r="GA1542" s="1" t="s">
        <v>291</v>
      </c>
      <c r="GB1542" s="2">
        <v>42146.0</v>
      </c>
      <c r="GC1542" s="1" t="s">
        <v>15644</v>
      </c>
    </row>
    <row r="1543">
      <c r="A1543" s="1">
        <v>260000.0</v>
      </c>
      <c r="B1543" s="1" t="s">
        <v>185</v>
      </c>
      <c r="C1543" s="1" t="str">
        <f>"08880928"</f>
        <v>08880928</v>
      </c>
      <c r="D1543" s="1" t="s">
        <v>186</v>
      </c>
      <c r="F1543" s="1" t="str">
        <f>"538"</f>
        <v>538</v>
      </c>
      <c r="G1543" s="2">
        <v>42098.0</v>
      </c>
      <c r="H1543" s="1">
        <v>269900.0</v>
      </c>
      <c r="I1543" s="1">
        <v>14.0</v>
      </c>
      <c r="J1543" s="1">
        <v>269900.0</v>
      </c>
      <c r="K1543" s="2">
        <v>42110.0</v>
      </c>
      <c r="L1543" s="1">
        <v>14.0</v>
      </c>
      <c r="M1543" s="2">
        <v>42110.0</v>
      </c>
      <c r="N1543" s="1" t="s">
        <v>187</v>
      </c>
      <c r="O1543" s="2">
        <v>42144.0</v>
      </c>
      <c r="P1543" s="1">
        <v>233876.0</v>
      </c>
      <c r="Q1543" s="1">
        <v>2280.0</v>
      </c>
      <c r="R1543" s="1">
        <v>7800.0</v>
      </c>
      <c r="S1543" s="1">
        <v>3110.0</v>
      </c>
      <c r="T1543" s="1" t="s">
        <v>12236</v>
      </c>
      <c r="U1543" s="1" t="s">
        <v>1174</v>
      </c>
      <c r="V1543" s="1" t="s">
        <v>1340</v>
      </c>
      <c r="W1543" s="1">
        <v>60538.0</v>
      </c>
      <c r="Y1543" s="1" t="s">
        <v>12237</v>
      </c>
      <c r="Z1543" s="1">
        <v>2006.0</v>
      </c>
      <c r="AA1543" s="1" t="s">
        <v>200</v>
      </c>
      <c r="AB1543" s="1" t="s">
        <v>467</v>
      </c>
      <c r="AC1543" s="1" t="s">
        <v>6926</v>
      </c>
      <c r="AD1543" s="1" t="s">
        <v>1343</v>
      </c>
      <c r="AE1543" s="1" t="s">
        <v>849</v>
      </c>
      <c r="AF1543" s="1" t="s">
        <v>1312</v>
      </c>
      <c r="AH1543" s="1" t="s">
        <v>15645</v>
      </c>
      <c r="AK1543" s="1">
        <v>10.0</v>
      </c>
      <c r="AL1543" s="1">
        <v>4.0</v>
      </c>
      <c r="AM1543" s="1">
        <v>2.0</v>
      </c>
      <c r="AN1543" s="1">
        <v>1.0</v>
      </c>
      <c r="AO1543" s="1" t="s">
        <v>198</v>
      </c>
      <c r="AQ1543" s="1" t="s">
        <v>198</v>
      </c>
      <c r="AR1543" s="1" t="s">
        <v>200</v>
      </c>
      <c r="AS1543" s="1" t="s">
        <v>199</v>
      </c>
      <c r="AT1543" s="1">
        <v>3.0</v>
      </c>
      <c r="AV1543" s="1" t="s">
        <v>200</v>
      </c>
      <c r="AW1543" s="1">
        <v>9444.0</v>
      </c>
      <c r="AX1543" s="1">
        <v>2013.0</v>
      </c>
      <c r="AY1543" s="1" t="s">
        <v>387</v>
      </c>
      <c r="AZ1543" s="1" t="s">
        <v>200</v>
      </c>
      <c r="BA1543" s="1" t="str">
        <f>"0203276015"</f>
        <v>0203276015</v>
      </c>
      <c r="BC1543" s="1">
        <v>3574.0</v>
      </c>
      <c r="BD1543" s="1">
        <v>260000.0</v>
      </c>
      <c r="BE1543" s="2">
        <v>42097.0</v>
      </c>
      <c r="BF1543" s="2" t="s">
        <v>15646</v>
      </c>
      <c r="BG1543" s="1" t="s">
        <v>4624</v>
      </c>
      <c r="BH1543" s="1">
        <v>260.0</v>
      </c>
      <c r="BI1543" s="1" t="s">
        <v>3052</v>
      </c>
      <c r="BJ1543" s="1" t="s">
        <v>3053</v>
      </c>
      <c r="BK1543" s="1" t="s">
        <v>580</v>
      </c>
      <c r="BL1543" s="1" t="str">
        <f t="shared" ref="BL1543:BM1543" si="1011">""</f>
        <v/>
      </c>
      <c r="BM1543" s="1" t="str">
        <f t="shared" si="1011"/>
        <v/>
      </c>
      <c r="BQ1543" s="1">
        <v>115.0</v>
      </c>
      <c r="BR1543" s="1">
        <v>115.0</v>
      </c>
      <c r="BS1543" s="1">
        <v>115.0</v>
      </c>
      <c r="BU1543" s="1" t="s">
        <v>212</v>
      </c>
      <c r="BV1543" s="1" t="s">
        <v>206</v>
      </c>
      <c r="BW1543" s="1" t="s">
        <v>207</v>
      </c>
      <c r="BY1543" s="1" t="s">
        <v>334</v>
      </c>
      <c r="BZ1543" s="1" t="s">
        <v>209</v>
      </c>
      <c r="CA1543" s="1" t="s">
        <v>210</v>
      </c>
      <c r="CC1543" s="1" t="s">
        <v>363</v>
      </c>
      <c r="CD1543" s="1" t="s">
        <v>206</v>
      </c>
      <c r="CE1543" s="1" t="s">
        <v>207</v>
      </c>
      <c r="CG1543" s="1" t="s">
        <v>699</v>
      </c>
      <c r="CH1543" s="1" t="s">
        <v>209</v>
      </c>
      <c r="CI1543" s="1" t="s">
        <v>210</v>
      </c>
      <c r="CK1543" s="1" t="s">
        <v>331</v>
      </c>
      <c r="CL1543" s="1" t="s">
        <v>209</v>
      </c>
      <c r="CM1543" s="1" t="s">
        <v>210</v>
      </c>
      <c r="CO1543" s="1" t="s">
        <v>212</v>
      </c>
      <c r="CP1543" s="1" t="s">
        <v>209</v>
      </c>
      <c r="CQ1543" s="1" t="s">
        <v>210</v>
      </c>
      <c r="CS1543" s="1" t="s">
        <v>3817</v>
      </c>
      <c r="CT1543" s="1" t="s">
        <v>206</v>
      </c>
      <c r="CU1543" s="1" t="s">
        <v>617</v>
      </c>
      <c r="CW1543" s="1" t="s">
        <v>3538</v>
      </c>
      <c r="CX1543" s="1" t="s">
        <v>206</v>
      </c>
      <c r="CY1543" s="1" t="s">
        <v>210</v>
      </c>
      <c r="DA1543" s="1" t="s">
        <v>200</v>
      </c>
      <c r="DC1543" s="1" t="s">
        <v>481</v>
      </c>
      <c r="DD1543" s="1" t="s">
        <v>4023</v>
      </c>
      <c r="DE1543" s="1" t="s">
        <v>273</v>
      </c>
      <c r="DF1543" s="1" t="s">
        <v>219</v>
      </c>
      <c r="DG1543" s="1" t="s">
        <v>482</v>
      </c>
      <c r="DH1543" s="1" t="s">
        <v>220</v>
      </c>
      <c r="DI1543" s="1" t="s">
        <v>732</v>
      </c>
      <c r="DJ1543" s="1" t="s">
        <v>222</v>
      </c>
      <c r="DK1543" s="1" t="s">
        <v>223</v>
      </c>
      <c r="DL1543" s="1" t="s">
        <v>223</v>
      </c>
      <c r="DM1543" s="1" t="s">
        <v>338</v>
      </c>
      <c r="DN1543" s="1" t="s">
        <v>485</v>
      </c>
      <c r="DO1543" s="1" t="s">
        <v>486</v>
      </c>
      <c r="DP1543" s="1" t="s">
        <v>276</v>
      </c>
      <c r="DQ1543" s="1" t="s">
        <v>441</v>
      </c>
      <c r="DR1543" s="1" t="s">
        <v>1487</v>
      </c>
      <c r="DS1543" s="1" t="s">
        <v>368</v>
      </c>
      <c r="DU1543" s="1" t="s">
        <v>487</v>
      </c>
      <c r="DV1543" s="1" t="s">
        <v>15647</v>
      </c>
      <c r="DW1543" s="1" t="s">
        <v>233</v>
      </c>
      <c r="DX1543" s="1" t="s">
        <v>309</v>
      </c>
      <c r="DY1543" s="1" t="s">
        <v>490</v>
      </c>
      <c r="DZ1543" s="1" t="s">
        <v>236</v>
      </c>
      <c r="EA1543" s="1" t="s">
        <v>344</v>
      </c>
      <c r="EC1543" s="1" t="s">
        <v>237</v>
      </c>
      <c r="ED1543" s="1" t="s">
        <v>555</v>
      </c>
      <c r="EG1543" s="1" t="s">
        <v>494</v>
      </c>
      <c r="EH1543" s="1" t="s">
        <v>341</v>
      </c>
      <c r="EI1543" s="1" t="s">
        <v>408</v>
      </c>
      <c r="EL1543" s="1" t="s">
        <v>269</v>
      </c>
      <c r="EM1543" s="1" t="s">
        <v>206</v>
      </c>
      <c r="EN1543" s="1" t="s">
        <v>210</v>
      </c>
      <c r="EP1543" s="1" t="s">
        <v>454</v>
      </c>
      <c r="EQ1543" s="1" t="s">
        <v>209</v>
      </c>
      <c r="ER1543" s="1" t="s">
        <v>210</v>
      </c>
      <c r="ET1543" s="1" t="s">
        <v>12240</v>
      </c>
      <c r="EU1543" s="1" t="s">
        <v>206</v>
      </c>
      <c r="EV1543" s="1" t="s">
        <v>617</v>
      </c>
      <c r="EY1543" s="1" t="s">
        <v>238</v>
      </c>
      <c r="FC1543" s="1" t="s">
        <v>238</v>
      </c>
      <c r="FF1543" s="1" t="s">
        <v>239</v>
      </c>
      <c r="FG1543" s="1" t="s">
        <v>192</v>
      </c>
      <c r="FH1543" s="1" t="s">
        <v>192</v>
      </c>
      <c r="FJ1543" s="1" t="s">
        <v>2262</v>
      </c>
      <c r="FK1543" s="1" t="s">
        <v>229</v>
      </c>
      <c r="FL1543" s="1" t="s">
        <v>8316</v>
      </c>
      <c r="FM1543" s="1">
        <v>21927.0</v>
      </c>
      <c r="FN1543" s="1" t="s">
        <v>8317</v>
      </c>
      <c r="FO1543" s="1" t="s">
        <v>8318</v>
      </c>
      <c r="FP1543" s="1">
        <v>220029.0</v>
      </c>
      <c r="FQ1543" s="1" t="s">
        <v>8319</v>
      </c>
      <c r="FU1543" s="1" t="s">
        <v>15648</v>
      </c>
      <c r="FV1543" s="1" t="s">
        <v>192</v>
      </c>
      <c r="FW1543" s="1" t="s">
        <v>2754</v>
      </c>
      <c r="FZ1543" s="1" t="s">
        <v>229</v>
      </c>
      <c r="GA1543" s="1" t="s">
        <v>291</v>
      </c>
      <c r="GB1543" s="2">
        <v>42144.0</v>
      </c>
      <c r="GC1543" s="1" t="s">
        <v>15649</v>
      </c>
    </row>
    <row r="1544">
      <c r="A1544" s="1">
        <v>280000.0</v>
      </c>
      <c r="B1544" s="1" t="s">
        <v>185</v>
      </c>
      <c r="C1544" s="1" t="str">
        <f>"08870829"</f>
        <v>08870829</v>
      </c>
      <c r="D1544" s="1" t="s">
        <v>186</v>
      </c>
      <c r="F1544" s="1" t="str">
        <f>"8039"</f>
        <v>8039</v>
      </c>
      <c r="G1544" s="2">
        <v>42087.0</v>
      </c>
      <c r="H1544" s="1">
        <v>275000.0</v>
      </c>
      <c r="I1544" s="1">
        <v>113.0</v>
      </c>
      <c r="J1544" s="1">
        <v>275000.0</v>
      </c>
      <c r="K1544" s="2">
        <v>42107.0</v>
      </c>
      <c r="L1544" s="1">
        <v>21.0</v>
      </c>
      <c r="M1544" s="2">
        <v>42107.0</v>
      </c>
      <c r="N1544" s="1" t="s">
        <v>249</v>
      </c>
      <c r="O1544" s="2">
        <v>42138.0</v>
      </c>
      <c r="P1544" s="1">
        <v>855304.0</v>
      </c>
      <c r="Q1544" s="1">
        <v>12198.0</v>
      </c>
      <c r="S1544" s="1">
        <v>926.0</v>
      </c>
      <c r="T1544" s="1" t="s">
        <v>9526</v>
      </c>
      <c r="U1544" s="1" t="s">
        <v>320</v>
      </c>
      <c r="V1544" s="1" t="s">
        <v>190</v>
      </c>
      <c r="W1544" s="1">
        <v>60653.0</v>
      </c>
      <c r="Y1544" s="1" t="s">
        <v>15650</v>
      </c>
      <c r="Z1544" s="1">
        <v>1883.0</v>
      </c>
      <c r="AA1544" s="1" t="s">
        <v>192</v>
      </c>
      <c r="AB1544" s="1" t="s">
        <v>193</v>
      </c>
      <c r="AD1544" s="1" t="s">
        <v>194</v>
      </c>
      <c r="AE1544" s="1" t="s">
        <v>195</v>
      </c>
      <c r="AF1544" s="1" t="s">
        <v>637</v>
      </c>
      <c r="AH1544" s="1" t="s">
        <v>15651</v>
      </c>
      <c r="AI1544" s="1">
        <v>0.0489</v>
      </c>
      <c r="AK1544" s="1">
        <v>7.0</v>
      </c>
      <c r="AL1544" s="1">
        <v>4.0</v>
      </c>
      <c r="AM1544" s="1">
        <v>2.0</v>
      </c>
      <c r="AN1544" s="1">
        <v>2.0</v>
      </c>
      <c r="AO1544" s="1" t="s">
        <v>198</v>
      </c>
      <c r="AP1544" s="1">
        <v>5.0</v>
      </c>
      <c r="AQ1544" s="1" t="s">
        <v>198</v>
      </c>
      <c r="AR1544" s="1" t="s">
        <v>192</v>
      </c>
      <c r="AS1544" s="1" t="s">
        <v>199</v>
      </c>
      <c r="AT1544" s="1">
        <v>2.0</v>
      </c>
      <c r="AV1544" s="1" t="s">
        <v>200</v>
      </c>
      <c r="AW1544" s="1">
        <v>4027.69</v>
      </c>
      <c r="AX1544" s="1">
        <v>2013.0</v>
      </c>
      <c r="AY1544" s="1" t="s">
        <v>387</v>
      </c>
      <c r="AZ1544" s="1" t="s">
        <v>200</v>
      </c>
      <c r="BA1544" s="1" t="str">
        <f>"20023010370000"</f>
        <v>20023010370000</v>
      </c>
      <c r="BC1544" s="1">
        <v>3138.0</v>
      </c>
      <c r="BD1544" s="1">
        <v>280000.0</v>
      </c>
      <c r="BE1544" s="2">
        <v>42087.0</v>
      </c>
      <c r="BF1544" s="2" t="s">
        <v>15652</v>
      </c>
      <c r="BH1544" s="1">
        <v>0.0</v>
      </c>
      <c r="BK1544" s="1" t="s">
        <v>204</v>
      </c>
      <c r="BL1544" s="1" t="str">
        <f>"0"</f>
        <v>0</v>
      </c>
      <c r="BM1544" s="1" t="str">
        <f>"926"</f>
        <v>926</v>
      </c>
      <c r="BN1544" s="1">
        <v>0.0</v>
      </c>
      <c r="BO1544" s="1">
        <v>4400.0</v>
      </c>
      <c r="BQ1544" s="1">
        <v>299.0</v>
      </c>
      <c r="BR1544" s="1">
        <v>299.0</v>
      </c>
      <c r="BS1544" s="1">
        <v>299.0</v>
      </c>
      <c r="BU1544" s="1" t="s">
        <v>1190</v>
      </c>
      <c r="BV1544" s="1" t="s">
        <v>206</v>
      </c>
      <c r="BW1544" s="1" t="s">
        <v>207</v>
      </c>
      <c r="BY1544" s="1" t="s">
        <v>361</v>
      </c>
      <c r="BZ1544" s="1" t="s">
        <v>209</v>
      </c>
      <c r="CA1544" s="1" t="s">
        <v>207</v>
      </c>
      <c r="CC1544" s="1" t="s">
        <v>1395</v>
      </c>
      <c r="CD1544" s="1" t="s">
        <v>206</v>
      </c>
      <c r="CE1544" s="1" t="s">
        <v>207</v>
      </c>
      <c r="CG1544" s="1" t="s">
        <v>663</v>
      </c>
      <c r="CH1544" s="1" t="s">
        <v>209</v>
      </c>
      <c r="CI1544" s="1" t="s">
        <v>207</v>
      </c>
      <c r="CK1544" s="1" t="s">
        <v>1567</v>
      </c>
      <c r="CL1544" s="1" t="s">
        <v>391</v>
      </c>
      <c r="CM1544" s="1" t="s">
        <v>207</v>
      </c>
      <c r="CO1544" s="1" t="s">
        <v>1567</v>
      </c>
      <c r="CP1544" s="1" t="s">
        <v>391</v>
      </c>
      <c r="CQ1544" s="1" t="s">
        <v>207</v>
      </c>
      <c r="CS1544" s="1" t="s">
        <v>15653</v>
      </c>
      <c r="CT1544" s="1" t="s">
        <v>206</v>
      </c>
      <c r="CU1544" s="1" t="s">
        <v>207</v>
      </c>
      <c r="CX1544" s="1" t="s">
        <v>204</v>
      </c>
      <c r="DA1544" s="1" t="s">
        <v>200</v>
      </c>
      <c r="DC1544" s="1" t="s">
        <v>642</v>
      </c>
      <c r="DE1544" s="1" t="s">
        <v>273</v>
      </c>
      <c r="DF1544" s="1" t="s">
        <v>219</v>
      </c>
      <c r="DH1544" s="1" t="s">
        <v>365</v>
      </c>
      <c r="DI1544" s="1" t="s">
        <v>308</v>
      </c>
      <c r="DJ1544" s="1" t="s">
        <v>588</v>
      </c>
      <c r="DL1544" s="1" t="s">
        <v>224</v>
      </c>
      <c r="DM1544" s="1" t="s">
        <v>229</v>
      </c>
      <c r="DN1544" s="1" t="s">
        <v>439</v>
      </c>
      <c r="DO1544" s="1" t="s">
        <v>549</v>
      </c>
      <c r="DP1544" s="1" t="s">
        <v>340</v>
      </c>
      <c r="DQ1544" s="1" t="s">
        <v>441</v>
      </c>
      <c r="DR1544" s="1" t="s">
        <v>229</v>
      </c>
      <c r="DV1544" s="1" t="s">
        <v>15654</v>
      </c>
      <c r="DW1544" s="1" t="s">
        <v>1145</v>
      </c>
      <c r="DX1544" s="1" t="s">
        <v>234</v>
      </c>
      <c r="DY1544" s="1" t="s">
        <v>704</v>
      </c>
      <c r="DZ1544" s="1" t="s">
        <v>343</v>
      </c>
      <c r="EA1544" s="1" t="s">
        <v>2466</v>
      </c>
      <c r="EC1544" s="1" t="s">
        <v>588</v>
      </c>
      <c r="ED1544" s="1" t="s">
        <v>555</v>
      </c>
      <c r="EG1544" s="1" t="s">
        <v>408</v>
      </c>
      <c r="EH1544" s="1" t="s">
        <v>588</v>
      </c>
      <c r="EL1544" s="1" t="s">
        <v>15655</v>
      </c>
      <c r="EM1544" s="1" t="s">
        <v>206</v>
      </c>
      <c r="EP1544" s="1" t="s">
        <v>1190</v>
      </c>
      <c r="EQ1544" s="1" t="s">
        <v>206</v>
      </c>
      <c r="ER1544" s="1" t="s">
        <v>207</v>
      </c>
      <c r="EU1544" s="1" t="s">
        <v>238</v>
      </c>
      <c r="EY1544" s="1" t="s">
        <v>238</v>
      </c>
      <c r="FC1544" s="1" t="s">
        <v>238</v>
      </c>
      <c r="FF1544" s="1" t="s">
        <v>239</v>
      </c>
      <c r="FG1544" s="1" t="s">
        <v>192</v>
      </c>
      <c r="FH1544" s="1" t="s">
        <v>192</v>
      </c>
      <c r="FJ1544" s="1" t="s">
        <v>2285</v>
      </c>
      <c r="FK1544" s="1" t="s">
        <v>229</v>
      </c>
      <c r="FL1544" s="1" t="s">
        <v>1358</v>
      </c>
      <c r="FM1544" s="1">
        <v>10115.0</v>
      </c>
      <c r="FN1544" s="1" t="s">
        <v>2286</v>
      </c>
      <c r="FO1544" s="1" t="s">
        <v>15656</v>
      </c>
      <c r="FP1544" s="1">
        <v>105654.0</v>
      </c>
      <c r="FQ1544" s="1" t="s">
        <v>15657</v>
      </c>
      <c r="FR1544" s="1">
        <v>152328.0</v>
      </c>
      <c r="FS1544" s="1" t="s">
        <v>15658</v>
      </c>
      <c r="FU1544" s="1" t="s">
        <v>15659</v>
      </c>
      <c r="FV1544" s="1" t="s">
        <v>200</v>
      </c>
      <c r="FW1544" s="1" t="s">
        <v>567</v>
      </c>
      <c r="FX1544" s="1" t="s">
        <v>1739</v>
      </c>
      <c r="FZ1544" s="1" t="s">
        <v>229</v>
      </c>
      <c r="GA1544" s="1" t="s">
        <v>291</v>
      </c>
      <c r="GB1544" s="2">
        <v>42138.0</v>
      </c>
      <c r="GC1544" s="1" t="s">
        <v>15660</v>
      </c>
    </row>
    <row r="1545">
      <c r="A1545" s="1">
        <v>930000.0</v>
      </c>
      <c r="B1545" s="1" t="s">
        <v>185</v>
      </c>
      <c r="C1545" s="1" t="str">
        <f>"08870617"</f>
        <v>08870617</v>
      </c>
      <c r="D1545" s="1" t="s">
        <v>186</v>
      </c>
      <c r="F1545" s="1" t="str">
        <f>"10"</f>
        <v>10</v>
      </c>
      <c r="G1545" s="2">
        <v>42087.0</v>
      </c>
      <c r="H1545" s="1">
        <v>925000.0</v>
      </c>
      <c r="I1545" s="1">
        <v>2.0</v>
      </c>
      <c r="J1545" s="1">
        <v>925000.0</v>
      </c>
      <c r="K1545" s="2">
        <v>42086.0</v>
      </c>
      <c r="L1545" s="1">
        <v>2.0</v>
      </c>
      <c r="M1545" s="2">
        <v>42086.0</v>
      </c>
      <c r="N1545" s="1" t="s">
        <v>249</v>
      </c>
      <c r="O1545" s="2">
        <v>42125.0</v>
      </c>
      <c r="P1545" s="1">
        <v>61148.0</v>
      </c>
      <c r="Q1545" s="1">
        <v>6018.0</v>
      </c>
      <c r="S1545" s="1">
        <v>753.0</v>
      </c>
      <c r="T1545" s="1" t="s">
        <v>12984</v>
      </c>
      <c r="U1545" s="1" t="s">
        <v>320</v>
      </c>
      <c r="V1545" s="1" t="s">
        <v>1706</v>
      </c>
      <c r="W1545" s="1">
        <v>60010.0</v>
      </c>
      <c r="Y1545" s="1" t="s">
        <v>15661</v>
      </c>
      <c r="Z1545" s="1">
        <v>2014.0</v>
      </c>
      <c r="AA1545" s="1" t="s">
        <v>200</v>
      </c>
      <c r="AB1545" s="1" t="s">
        <v>193</v>
      </c>
      <c r="AC1545" s="1" t="s">
        <v>8286</v>
      </c>
      <c r="AD1545" s="1" t="s">
        <v>1948</v>
      </c>
      <c r="AE1545" s="1" t="s">
        <v>195</v>
      </c>
      <c r="AF1545" s="1" t="s">
        <v>1948</v>
      </c>
      <c r="AH1545" s="1" t="s">
        <v>15662</v>
      </c>
      <c r="AK1545" s="1">
        <v>10.0</v>
      </c>
      <c r="AL1545" s="1">
        <v>4.0</v>
      </c>
      <c r="AM1545" s="1">
        <v>2.0</v>
      </c>
      <c r="AN1545" s="1">
        <v>1.0</v>
      </c>
      <c r="AO1545" s="1" t="s">
        <v>198</v>
      </c>
      <c r="AP1545" s="1">
        <v>2.0</v>
      </c>
      <c r="AQ1545" s="1" t="s">
        <v>198</v>
      </c>
      <c r="AR1545" s="1" t="s">
        <v>200</v>
      </c>
      <c r="AS1545" s="1" t="s">
        <v>199</v>
      </c>
      <c r="AT1545" s="1">
        <v>2.0</v>
      </c>
      <c r="AV1545" s="1" t="s">
        <v>200</v>
      </c>
      <c r="AW1545" s="1">
        <v>486.0</v>
      </c>
      <c r="AX1545" s="1">
        <v>2013.0</v>
      </c>
      <c r="AZ1545" s="1" t="s">
        <v>200</v>
      </c>
      <c r="BA1545" s="1" t="str">
        <f>"01014000160000"</f>
        <v>01014000160000</v>
      </c>
      <c r="BC1545" s="1">
        <v>2850.0</v>
      </c>
      <c r="BD1545" s="1">
        <v>930000.0</v>
      </c>
      <c r="BE1545" s="2">
        <v>42085.0</v>
      </c>
      <c r="BF1545" s="2" t="s">
        <v>15663</v>
      </c>
      <c r="BG1545" s="1" t="s">
        <v>1951</v>
      </c>
      <c r="BH1545" s="1">
        <v>0.0</v>
      </c>
      <c r="BI1545" s="1" t="s">
        <v>5243</v>
      </c>
      <c r="BJ1545" s="1" t="s">
        <v>1714</v>
      </c>
      <c r="BK1545" s="1" t="s">
        <v>204</v>
      </c>
      <c r="BL1545" s="1" t="str">
        <f t="shared" ref="BL1545:BM1545" si="1012">""</f>
        <v/>
      </c>
      <c r="BM1545" s="1" t="str">
        <f t="shared" si="1012"/>
        <v/>
      </c>
      <c r="BQ1545" s="1">
        <v>220.0</v>
      </c>
      <c r="BR1545" s="1">
        <v>220.0</v>
      </c>
      <c r="BS1545" s="1">
        <v>220.0</v>
      </c>
      <c r="BV1545" s="1" t="s">
        <v>204</v>
      </c>
      <c r="BY1545" s="1" t="s">
        <v>2082</v>
      </c>
      <c r="BZ1545" s="1" t="s">
        <v>209</v>
      </c>
      <c r="CA1545" s="1" t="s">
        <v>207</v>
      </c>
      <c r="CC1545" s="1" t="s">
        <v>478</v>
      </c>
      <c r="CD1545" s="1" t="s">
        <v>206</v>
      </c>
      <c r="CE1545" s="1" t="s">
        <v>207</v>
      </c>
      <c r="CG1545" s="1" t="s">
        <v>302</v>
      </c>
      <c r="CH1545" s="1" t="s">
        <v>209</v>
      </c>
      <c r="CI1545" s="1" t="s">
        <v>207</v>
      </c>
      <c r="CK1545" s="1" t="s">
        <v>302</v>
      </c>
      <c r="CL1545" s="1" t="s">
        <v>209</v>
      </c>
      <c r="CM1545" s="1" t="s">
        <v>207</v>
      </c>
      <c r="CO1545" s="1" t="s">
        <v>302</v>
      </c>
      <c r="CP1545" s="1" t="s">
        <v>209</v>
      </c>
      <c r="CQ1545" s="1" t="s">
        <v>207</v>
      </c>
      <c r="CS1545" s="1" t="s">
        <v>213</v>
      </c>
      <c r="CT1545" s="1" t="s">
        <v>206</v>
      </c>
      <c r="CU1545" s="1" t="s">
        <v>207</v>
      </c>
      <c r="CW1545" s="1" t="s">
        <v>364</v>
      </c>
      <c r="CX1545" s="1" t="s">
        <v>206</v>
      </c>
      <c r="CY1545" s="1" t="s">
        <v>207</v>
      </c>
      <c r="DA1545" s="1" t="s">
        <v>200</v>
      </c>
      <c r="DC1545" s="1" t="s">
        <v>1046</v>
      </c>
      <c r="DD1545" s="1" t="s">
        <v>759</v>
      </c>
      <c r="DE1545" s="1" t="s">
        <v>273</v>
      </c>
      <c r="DF1545" s="1" t="s">
        <v>219</v>
      </c>
      <c r="DH1545" s="1" t="s">
        <v>365</v>
      </c>
      <c r="DI1545" s="1" t="s">
        <v>4608</v>
      </c>
      <c r="DJ1545" s="1" t="s">
        <v>1048</v>
      </c>
      <c r="DL1545" s="1" t="s">
        <v>1870</v>
      </c>
      <c r="DM1545" s="1" t="s">
        <v>929</v>
      </c>
      <c r="DN1545" s="1" t="s">
        <v>367</v>
      </c>
      <c r="DP1545" s="1" t="s">
        <v>340</v>
      </c>
      <c r="DQ1545" s="1" t="s">
        <v>228</v>
      </c>
      <c r="DR1545" s="1" t="s">
        <v>229</v>
      </c>
      <c r="DU1545" s="1" t="s">
        <v>15664</v>
      </c>
      <c r="DV1545" s="1" t="s">
        <v>15665</v>
      </c>
      <c r="DW1545" s="1" t="s">
        <v>279</v>
      </c>
      <c r="DX1545" s="1" t="s">
        <v>234</v>
      </c>
      <c r="DY1545" s="1" t="s">
        <v>596</v>
      </c>
      <c r="DZ1545" s="1" t="s">
        <v>282</v>
      </c>
      <c r="EA1545" s="1" t="s">
        <v>3308</v>
      </c>
      <c r="EB1545" s="1" t="s">
        <v>937</v>
      </c>
      <c r="EC1545" s="1" t="s">
        <v>237</v>
      </c>
      <c r="ED1545" s="1" t="s">
        <v>407</v>
      </c>
      <c r="EG1545" s="1" t="s">
        <v>1961</v>
      </c>
      <c r="EH1545" s="1" t="s">
        <v>2023</v>
      </c>
      <c r="EJ1545" s="1" t="s">
        <v>1491</v>
      </c>
      <c r="EL1545" s="1" t="s">
        <v>363</v>
      </c>
      <c r="EM1545" s="1" t="s">
        <v>206</v>
      </c>
      <c r="EN1545" s="1" t="s">
        <v>207</v>
      </c>
      <c r="EP1545" s="1" t="s">
        <v>2900</v>
      </c>
      <c r="EQ1545" s="1" t="s">
        <v>267</v>
      </c>
      <c r="ER1545" s="1" t="s">
        <v>210</v>
      </c>
      <c r="EU1545" s="1" t="s">
        <v>238</v>
      </c>
      <c r="EX1545" s="1" t="s">
        <v>363</v>
      </c>
      <c r="EY1545" s="1" t="s">
        <v>206</v>
      </c>
      <c r="EZ1545" s="1" t="s">
        <v>2128</v>
      </c>
      <c r="FC1545" s="1" t="s">
        <v>238</v>
      </c>
      <c r="FF1545" s="1" t="s">
        <v>239</v>
      </c>
      <c r="FG1545" s="1" t="s">
        <v>192</v>
      </c>
      <c r="FH1545" s="1" t="s">
        <v>192</v>
      </c>
      <c r="FJ1545" s="1" t="s">
        <v>799</v>
      </c>
      <c r="FK1545" s="1" t="s">
        <v>229</v>
      </c>
      <c r="FL1545" s="1" t="s">
        <v>562</v>
      </c>
      <c r="FM1545" s="1">
        <v>4777.0</v>
      </c>
      <c r="FN1545" s="1" t="s">
        <v>6112</v>
      </c>
      <c r="FO1545" s="1" t="s">
        <v>15666</v>
      </c>
      <c r="FP1545" s="1">
        <v>63097.0</v>
      </c>
      <c r="FQ1545" s="1" t="s">
        <v>15667</v>
      </c>
      <c r="FU1545" s="1" t="s">
        <v>15668</v>
      </c>
      <c r="FV1545" s="1" t="s">
        <v>200</v>
      </c>
      <c r="FW1545" s="1" t="s">
        <v>290</v>
      </c>
      <c r="FX1545" s="1" t="s">
        <v>655</v>
      </c>
      <c r="FZ1545" s="1" t="s">
        <v>229</v>
      </c>
      <c r="GA1545" s="1" t="s">
        <v>291</v>
      </c>
      <c r="GB1545" s="2">
        <v>42125.0</v>
      </c>
      <c r="GC1545" s="1" t="s">
        <v>15669</v>
      </c>
    </row>
    <row r="1546">
      <c r="A1546" s="1">
        <v>159900.0</v>
      </c>
      <c r="B1546" s="1" t="s">
        <v>185</v>
      </c>
      <c r="C1546" s="1" t="str">
        <f>"08872246"</f>
        <v>08872246</v>
      </c>
      <c r="D1546" s="1" t="s">
        <v>186</v>
      </c>
      <c r="F1546" s="1" t="str">
        <f>"8019"</f>
        <v>8019</v>
      </c>
      <c r="G1546" s="2">
        <v>42089.0</v>
      </c>
      <c r="H1546" s="1">
        <v>159900.0</v>
      </c>
      <c r="I1546" s="1">
        <v>7.0</v>
      </c>
      <c r="J1546" s="1">
        <v>159900.0</v>
      </c>
      <c r="K1546" s="2">
        <v>42093.0</v>
      </c>
      <c r="L1546" s="1">
        <v>7.0</v>
      </c>
      <c r="M1546" s="2">
        <v>42093.0</v>
      </c>
      <c r="N1546" s="1" t="s">
        <v>249</v>
      </c>
      <c r="O1546" s="2">
        <v>42128.0</v>
      </c>
      <c r="P1546" s="1">
        <v>167287.0</v>
      </c>
      <c r="Q1546" s="1">
        <v>85213.0</v>
      </c>
      <c r="S1546" s="1">
        <v>2836.0</v>
      </c>
      <c r="T1546" s="1" t="s">
        <v>384</v>
      </c>
      <c r="U1546" s="1" t="s">
        <v>189</v>
      </c>
      <c r="V1546" s="1" t="s">
        <v>190</v>
      </c>
      <c r="W1546" s="1">
        <v>60641.0</v>
      </c>
      <c r="Y1546" s="1" t="s">
        <v>15670</v>
      </c>
      <c r="Z1546" s="1">
        <v>1920.0</v>
      </c>
      <c r="AA1546" s="1" t="s">
        <v>192</v>
      </c>
      <c r="AB1546" s="1" t="s">
        <v>193</v>
      </c>
      <c r="AD1546" s="1" t="s">
        <v>194</v>
      </c>
      <c r="AE1546" s="1" t="s">
        <v>195</v>
      </c>
      <c r="AF1546" s="1" t="s">
        <v>196</v>
      </c>
      <c r="AG1546" s="1" t="s">
        <v>778</v>
      </c>
      <c r="AH1546" s="1">
        <v>4182.0</v>
      </c>
      <c r="AK1546" s="1">
        <v>7.0</v>
      </c>
      <c r="AL1546" s="1">
        <v>4.0</v>
      </c>
      <c r="AM1546" s="1">
        <v>1.0</v>
      </c>
      <c r="AN1546" s="1">
        <v>1.0</v>
      </c>
      <c r="AO1546" s="1" t="s">
        <v>229</v>
      </c>
      <c r="AQ1546" s="1" t="s">
        <v>198</v>
      </c>
      <c r="AR1546" s="1" t="s">
        <v>200</v>
      </c>
      <c r="AS1546" s="1" t="s">
        <v>199</v>
      </c>
      <c r="AT1546" s="1">
        <v>2.0</v>
      </c>
      <c r="AV1546" s="1" t="s">
        <v>200</v>
      </c>
      <c r="AW1546" s="1">
        <v>4095.0</v>
      </c>
      <c r="AX1546" s="1">
        <v>2013.0</v>
      </c>
      <c r="AY1546" s="1" t="s">
        <v>229</v>
      </c>
      <c r="AZ1546" s="1" t="s">
        <v>200</v>
      </c>
      <c r="BA1546" s="1" t="str">
        <f>"13271220430000"</f>
        <v>13271220430000</v>
      </c>
      <c r="BB1546" s="1" t="s">
        <v>200</v>
      </c>
      <c r="BC1546" s="1">
        <v>0.0</v>
      </c>
      <c r="BD1546" s="1">
        <v>159900.0</v>
      </c>
      <c r="BE1546" s="2">
        <v>42087.0</v>
      </c>
      <c r="BF1546" s="1" t="s">
        <v>15671</v>
      </c>
      <c r="BH1546" s="1">
        <v>0.0</v>
      </c>
      <c r="BK1546" s="1" t="s">
        <v>204</v>
      </c>
      <c r="BL1546" s="1" t="str">
        <f>"2836"</f>
        <v>2836</v>
      </c>
      <c r="BM1546" s="1" t="str">
        <f t="shared" ref="BM1546:BM1547" si="1013">"0"</f>
        <v>0</v>
      </c>
      <c r="BN1546" s="1">
        <v>4700.0</v>
      </c>
      <c r="BO1546" s="1">
        <v>0.0</v>
      </c>
      <c r="BQ1546" s="1">
        <v>299.0</v>
      </c>
      <c r="BR1546" s="1">
        <v>299.0</v>
      </c>
      <c r="BS1546" s="1">
        <v>299.0</v>
      </c>
      <c r="BU1546" s="1" t="s">
        <v>743</v>
      </c>
      <c r="BV1546" s="1" t="s">
        <v>206</v>
      </c>
      <c r="BW1546" s="1" t="s">
        <v>207</v>
      </c>
      <c r="BY1546" s="1" t="s">
        <v>300</v>
      </c>
      <c r="BZ1546" s="1" t="s">
        <v>206</v>
      </c>
      <c r="CA1546" s="1" t="s">
        <v>207</v>
      </c>
      <c r="CC1546" s="1" t="s">
        <v>480</v>
      </c>
      <c r="CD1546" s="1" t="s">
        <v>206</v>
      </c>
      <c r="CE1546" s="1" t="s">
        <v>207</v>
      </c>
      <c r="CG1546" s="1" t="s">
        <v>300</v>
      </c>
      <c r="CH1546" s="1" t="s">
        <v>206</v>
      </c>
      <c r="CK1546" s="1" t="s">
        <v>393</v>
      </c>
      <c r="CL1546" s="1" t="s">
        <v>209</v>
      </c>
      <c r="CO1546" s="1" t="s">
        <v>393</v>
      </c>
      <c r="CP1546" s="1" t="s">
        <v>209</v>
      </c>
      <c r="CS1546" s="1" t="s">
        <v>677</v>
      </c>
      <c r="CT1546" s="1" t="s">
        <v>206</v>
      </c>
      <c r="CU1546" s="1" t="s">
        <v>207</v>
      </c>
      <c r="CX1546" s="1" t="s">
        <v>204</v>
      </c>
      <c r="DA1546" s="1" t="s">
        <v>200</v>
      </c>
      <c r="DC1546" s="1" t="s">
        <v>216</v>
      </c>
      <c r="DD1546" s="1" t="s">
        <v>306</v>
      </c>
      <c r="DE1546" s="1" t="s">
        <v>229</v>
      </c>
      <c r="DF1546" s="1" t="s">
        <v>619</v>
      </c>
      <c r="DH1546" s="1" t="s">
        <v>220</v>
      </c>
      <c r="DJ1546" s="1" t="s">
        <v>222</v>
      </c>
      <c r="DK1546" s="1" t="s">
        <v>790</v>
      </c>
      <c r="DL1546" s="1" t="s">
        <v>223</v>
      </c>
      <c r="DM1546" s="1" t="s">
        <v>229</v>
      </c>
      <c r="DP1546" s="1" t="s">
        <v>276</v>
      </c>
      <c r="DQ1546" s="1" t="s">
        <v>718</v>
      </c>
      <c r="DR1546" s="1" t="s">
        <v>229</v>
      </c>
      <c r="DV1546" s="1" t="s">
        <v>232</v>
      </c>
      <c r="DW1546" s="1" t="s">
        <v>279</v>
      </c>
      <c r="DX1546" s="1" t="s">
        <v>309</v>
      </c>
      <c r="DY1546" s="1" t="s">
        <v>704</v>
      </c>
      <c r="EA1546" s="1" t="s">
        <v>644</v>
      </c>
      <c r="EC1546" s="1" t="s">
        <v>645</v>
      </c>
      <c r="EM1546" s="1" t="s">
        <v>238</v>
      </c>
      <c r="EQ1546" s="1" t="s">
        <v>238</v>
      </c>
      <c r="EU1546" s="1" t="s">
        <v>238</v>
      </c>
      <c r="EY1546" s="1" t="s">
        <v>238</v>
      </c>
      <c r="FC1546" s="1" t="s">
        <v>238</v>
      </c>
      <c r="FF1546" s="1" t="s">
        <v>239</v>
      </c>
      <c r="FG1546" s="1" t="s">
        <v>192</v>
      </c>
      <c r="FH1546" s="1" t="s">
        <v>192</v>
      </c>
      <c r="FJ1546" s="1" t="s">
        <v>347</v>
      </c>
      <c r="FK1546" s="1" t="s">
        <v>229</v>
      </c>
      <c r="FL1546" s="1" t="s">
        <v>3674</v>
      </c>
      <c r="FM1546" s="1">
        <v>85213.0</v>
      </c>
      <c r="FN1546" s="1" t="s">
        <v>3675</v>
      </c>
      <c r="FO1546" s="1" t="s">
        <v>3676</v>
      </c>
      <c r="FP1546" s="1">
        <v>167287.0</v>
      </c>
      <c r="FQ1546" s="1" t="s">
        <v>3677</v>
      </c>
      <c r="FU1546" s="1" t="s">
        <v>15672</v>
      </c>
      <c r="FV1546" s="1" t="s">
        <v>200</v>
      </c>
      <c r="FW1546" s="1" t="s">
        <v>654</v>
      </c>
      <c r="FX1546" s="1" t="s">
        <v>238</v>
      </c>
      <c r="FZ1546" s="1" t="s">
        <v>229</v>
      </c>
      <c r="GA1546" s="1" t="s">
        <v>291</v>
      </c>
      <c r="GB1546" s="2">
        <v>42129.0</v>
      </c>
      <c r="GC1546" s="1" t="s">
        <v>15673</v>
      </c>
    </row>
    <row r="1547">
      <c r="A1547" s="1">
        <v>625000.0</v>
      </c>
      <c r="B1547" s="1" t="s">
        <v>185</v>
      </c>
      <c r="C1547" s="1" t="str">
        <f>"08871549"</f>
        <v>08871549</v>
      </c>
      <c r="D1547" s="1" t="s">
        <v>186</v>
      </c>
      <c r="F1547" s="1" t="str">
        <f>"8077"</f>
        <v>8077</v>
      </c>
      <c r="G1547" s="2">
        <v>42088.0</v>
      </c>
      <c r="H1547" s="1">
        <v>625000.0</v>
      </c>
      <c r="I1547" s="1">
        <v>12.0</v>
      </c>
      <c r="J1547" s="1">
        <v>625000.0</v>
      </c>
      <c r="K1547" s="2">
        <v>42090.0</v>
      </c>
      <c r="L1547" s="1">
        <v>3.0</v>
      </c>
      <c r="M1547" s="2">
        <v>42090.0</v>
      </c>
      <c r="N1547" s="1" t="s">
        <v>187</v>
      </c>
      <c r="O1547" s="2">
        <v>42121.0</v>
      </c>
      <c r="P1547" s="1">
        <v>901416.0</v>
      </c>
      <c r="Q1547" s="1">
        <v>90812.0</v>
      </c>
      <c r="S1547" s="1">
        <v>1661.0</v>
      </c>
      <c r="T1547" s="1" t="s">
        <v>15674</v>
      </c>
      <c r="U1547" s="1" t="s">
        <v>189</v>
      </c>
      <c r="V1547" s="1" t="s">
        <v>190</v>
      </c>
      <c r="W1547" s="1">
        <v>60660.0</v>
      </c>
      <c r="Y1547" s="1" t="s">
        <v>15675</v>
      </c>
      <c r="Z1547" s="1">
        <v>1940.0</v>
      </c>
      <c r="AA1547" s="1" t="s">
        <v>192</v>
      </c>
      <c r="AB1547" s="1" t="s">
        <v>193</v>
      </c>
      <c r="AD1547" s="1" t="s">
        <v>194</v>
      </c>
      <c r="AE1547" s="1" t="s">
        <v>195</v>
      </c>
      <c r="AF1547" s="1" t="s">
        <v>2645</v>
      </c>
      <c r="AH1547" s="1" t="s">
        <v>15676</v>
      </c>
      <c r="AK1547" s="1">
        <v>11.0</v>
      </c>
      <c r="AL1547" s="1">
        <v>3.0</v>
      </c>
      <c r="AM1547" s="1">
        <v>2.0</v>
      </c>
      <c r="AN1547" s="1">
        <v>1.0</v>
      </c>
      <c r="AO1547" s="1" t="s">
        <v>229</v>
      </c>
      <c r="AP1547" s="1">
        <v>0.0</v>
      </c>
      <c r="AQ1547" s="1" t="s">
        <v>198</v>
      </c>
      <c r="AR1547" s="1" t="s">
        <v>192</v>
      </c>
      <c r="AS1547" s="1" t="s">
        <v>199</v>
      </c>
      <c r="AT1547" s="1">
        <v>2.0</v>
      </c>
      <c r="AV1547" s="1" t="s">
        <v>200</v>
      </c>
      <c r="AW1547" s="1">
        <v>4801.0</v>
      </c>
      <c r="AX1547" s="1">
        <v>2013.0</v>
      </c>
      <c r="AY1547" s="1" t="s">
        <v>387</v>
      </c>
      <c r="AZ1547" s="1" t="s">
        <v>200</v>
      </c>
      <c r="BA1547" s="1" t="str">
        <f>"14064100070000"</f>
        <v>14064100070000</v>
      </c>
      <c r="BC1547" s="1">
        <v>2325.0</v>
      </c>
      <c r="BD1547" s="1">
        <v>625000.0</v>
      </c>
      <c r="BE1547" s="2">
        <v>42088.0</v>
      </c>
      <c r="BF1547" s="2" t="s">
        <v>15677</v>
      </c>
      <c r="BG1547" s="1" t="s">
        <v>4739</v>
      </c>
      <c r="BH1547" s="1">
        <v>0.0</v>
      </c>
      <c r="BJ1547" s="1" t="s">
        <v>4740</v>
      </c>
      <c r="BK1547" s="1" t="s">
        <v>204</v>
      </c>
      <c r="BL1547" s="1" t="str">
        <f>"5700"</f>
        <v>5700</v>
      </c>
      <c r="BM1547" s="1" t="str">
        <f t="shared" si="1013"/>
        <v>0</v>
      </c>
      <c r="BN1547" s="1">
        <v>1661.0</v>
      </c>
      <c r="BO1547" s="1">
        <v>0.0</v>
      </c>
      <c r="BQ1547" s="1">
        <v>299.0</v>
      </c>
      <c r="BR1547" s="1">
        <v>299.0</v>
      </c>
      <c r="BS1547" s="1">
        <v>299.0</v>
      </c>
      <c r="BU1547" s="1" t="s">
        <v>730</v>
      </c>
      <c r="BV1547" s="1" t="s">
        <v>206</v>
      </c>
      <c r="BW1547" s="1" t="s">
        <v>207</v>
      </c>
      <c r="BX1547" s="1" t="s">
        <v>431</v>
      </c>
      <c r="BY1547" s="1" t="s">
        <v>433</v>
      </c>
      <c r="BZ1547" s="1" t="s">
        <v>209</v>
      </c>
      <c r="CA1547" s="1" t="s">
        <v>207</v>
      </c>
      <c r="CB1547" s="1" t="s">
        <v>431</v>
      </c>
      <c r="CC1547" s="1" t="s">
        <v>266</v>
      </c>
      <c r="CD1547" s="1" t="s">
        <v>206</v>
      </c>
      <c r="CE1547" s="1" t="s">
        <v>207</v>
      </c>
      <c r="CF1547" s="1" t="s">
        <v>431</v>
      </c>
      <c r="CG1547" s="1" t="s">
        <v>392</v>
      </c>
      <c r="CH1547" s="1" t="s">
        <v>209</v>
      </c>
      <c r="CI1547" s="1" t="s">
        <v>207</v>
      </c>
      <c r="CJ1547" s="1" t="s">
        <v>431</v>
      </c>
      <c r="CK1547" s="1" t="s">
        <v>1774</v>
      </c>
      <c r="CL1547" s="1" t="s">
        <v>206</v>
      </c>
      <c r="CM1547" s="1" t="s">
        <v>207</v>
      </c>
      <c r="CN1547" s="1" t="s">
        <v>431</v>
      </c>
      <c r="CO1547" s="1" t="s">
        <v>495</v>
      </c>
      <c r="CP1547" s="1" t="s">
        <v>42</v>
      </c>
      <c r="CQ1547" s="1" t="s">
        <v>210</v>
      </c>
      <c r="CR1547" s="1" t="s">
        <v>431</v>
      </c>
      <c r="CS1547" s="1" t="s">
        <v>332</v>
      </c>
      <c r="CT1547" s="1" t="s">
        <v>206</v>
      </c>
      <c r="CU1547" s="1" t="s">
        <v>268</v>
      </c>
      <c r="CV1547" s="1" t="s">
        <v>431</v>
      </c>
      <c r="CW1547" s="1" t="s">
        <v>15678</v>
      </c>
      <c r="CX1547" s="1" t="s">
        <v>42</v>
      </c>
      <c r="CY1547" s="1" t="s">
        <v>210</v>
      </c>
      <c r="CZ1547" s="1" t="s">
        <v>431</v>
      </c>
      <c r="DA1547" s="1" t="s">
        <v>200</v>
      </c>
      <c r="DC1547" s="1" t="s">
        <v>1399</v>
      </c>
      <c r="DD1547" s="1" t="s">
        <v>518</v>
      </c>
      <c r="DE1547" s="1" t="s">
        <v>273</v>
      </c>
      <c r="DF1547" s="1" t="s">
        <v>619</v>
      </c>
      <c r="DH1547" s="1" t="s">
        <v>365</v>
      </c>
      <c r="DI1547" s="1" t="s">
        <v>703</v>
      </c>
      <c r="DJ1547" s="1" t="s">
        <v>222</v>
      </c>
      <c r="DL1547" s="1" t="s">
        <v>224</v>
      </c>
      <c r="DM1547" s="1" t="s">
        <v>229</v>
      </c>
      <c r="DP1547" s="1" t="s">
        <v>340</v>
      </c>
      <c r="DQ1547" s="1" t="s">
        <v>718</v>
      </c>
      <c r="DR1547" s="1" t="s">
        <v>229</v>
      </c>
      <c r="DS1547" s="1" t="s">
        <v>230</v>
      </c>
      <c r="DV1547" s="1" t="s">
        <v>15679</v>
      </c>
      <c r="DW1547" s="1" t="s">
        <v>233</v>
      </c>
      <c r="DX1547" s="1" t="s">
        <v>234</v>
      </c>
      <c r="DY1547" s="1" t="s">
        <v>2240</v>
      </c>
      <c r="DZ1547" s="1" t="s">
        <v>236</v>
      </c>
      <c r="EA1547" s="1" t="s">
        <v>3112</v>
      </c>
      <c r="EC1547" s="1" t="s">
        <v>237</v>
      </c>
      <c r="EG1547" s="1" t="s">
        <v>556</v>
      </c>
      <c r="EH1547" s="1" t="s">
        <v>450</v>
      </c>
      <c r="EI1547" s="1" t="s">
        <v>1491</v>
      </c>
      <c r="EJ1547" s="1" t="s">
        <v>1103</v>
      </c>
      <c r="EL1547" s="1" t="s">
        <v>6126</v>
      </c>
      <c r="EM1547" s="1" t="s">
        <v>206</v>
      </c>
      <c r="EN1547" s="1" t="s">
        <v>210</v>
      </c>
      <c r="EP1547" s="1" t="s">
        <v>516</v>
      </c>
      <c r="EQ1547" s="1" t="s">
        <v>42</v>
      </c>
      <c r="ER1547" s="1" t="s">
        <v>210</v>
      </c>
      <c r="ET1547" s="1" t="s">
        <v>4413</v>
      </c>
      <c r="EU1547" s="1" t="s">
        <v>42</v>
      </c>
      <c r="EV1547" s="1" t="s">
        <v>268</v>
      </c>
      <c r="EX1547" s="1" t="s">
        <v>8276</v>
      </c>
      <c r="EY1547" s="1" t="s">
        <v>42</v>
      </c>
      <c r="EZ1547" s="1" t="s">
        <v>268</v>
      </c>
      <c r="FC1547" s="1" t="s">
        <v>238</v>
      </c>
      <c r="FF1547" s="1" t="s">
        <v>239</v>
      </c>
      <c r="FG1547" s="1" t="s">
        <v>192</v>
      </c>
      <c r="FH1547" s="1" t="s">
        <v>192</v>
      </c>
      <c r="FJ1547" s="1" t="s">
        <v>799</v>
      </c>
      <c r="FK1547" s="1" t="s">
        <v>348</v>
      </c>
      <c r="FL1547" s="1" t="s">
        <v>562</v>
      </c>
      <c r="FM1547" s="1">
        <v>15694.0</v>
      </c>
      <c r="FN1547" s="1" t="s">
        <v>3145</v>
      </c>
      <c r="FO1547" s="1" t="s">
        <v>15680</v>
      </c>
      <c r="FP1547" s="1">
        <v>108604.0</v>
      </c>
      <c r="FQ1547" s="1" t="s">
        <v>15681</v>
      </c>
      <c r="FU1547" s="1" t="s">
        <v>353</v>
      </c>
      <c r="FV1547" s="1" t="s">
        <v>200</v>
      </c>
      <c r="FW1547" s="1" t="s">
        <v>530</v>
      </c>
      <c r="FX1547" s="1" t="s">
        <v>246</v>
      </c>
      <c r="FZ1547" s="1" t="s">
        <v>229</v>
      </c>
      <c r="GA1547" s="1" t="s">
        <v>291</v>
      </c>
      <c r="GB1547" s="2">
        <v>42122.0</v>
      </c>
      <c r="GC1547" s="1" t="s">
        <v>15682</v>
      </c>
    </row>
    <row r="1548">
      <c r="A1548" s="1">
        <v>254500.0</v>
      </c>
      <c r="B1548" s="1" t="s">
        <v>185</v>
      </c>
      <c r="C1548" s="1" t="str">
        <f>"08874276"</f>
        <v>08874276</v>
      </c>
      <c r="D1548" s="1" t="s">
        <v>186</v>
      </c>
      <c r="F1548" s="1" t="str">
        <f>"542"</f>
        <v>542</v>
      </c>
      <c r="G1548" s="2">
        <v>42090.0</v>
      </c>
      <c r="H1548" s="1">
        <v>259900.0</v>
      </c>
      <c r="I1548" s="1">
        <v>197.0</v>
      </c>
      <c r="J1548" s="1">
        <v>259900.0</v>
      </c>
      <c r="K1548" s="2">
        <v>42090.0</v>
      </c>
      <c r="L1548" s="1">
        <v>1.0</v>
      </c>
      <c r="M1548" s="2">
        <v>42090.0</v>
      </c>
      <c r="N1548" s="1" t="s">
        <v>634</v>
      </c>
      <c r="O1548" s="2">
        <v>42143.0</v>
      </c>
      <c r="P1548" s="1">
        <v>290.0</v>
      </c>
      <c r="Q1548" s="1">
        <v>890.0</v>
      </c>
      <c r="R1548" s="1">
        <v>4000.0</v>
      </c>
      <c r="S1548" s="1">
        <v>406.0</v>
      </c>
      <c r="T1548" s="1" t="s">
        <v>15683</v>
      </c>
      <c r="U1548" s="1" t="s">
        <v>569</v>
      </c>
      <c r="V1548" s="1" t="s">
        <v>3984</v>
      </c>
      <c r="W1548" s="1">
        <v>60542.0</v>
      </c>
      <c r="Y1548" s="1" t="s">
        <v>15684</v>
      </c>
      <c r="Z1548" s="1">
        <v>1995.0</v>
      </c>
      <c r="AA1548" s="1" t="s">
        <v>200</v>
      </c>
      <c r="AB1548" s="1" t="s">
        <v>193</v>
      </c>
      <c r="AC1548" s="1" t="s">
        <v>15685</v>
      </c>
      <c r="AD1548" s="1" t="s">
        <v>3986</v>
      </c>
      <c r="AE1548" s="1" t="s">
        <v>325</v>
      </c>
      <c r="AF1548" s="1" t="s">
        <v>2702</v>
      </c>
      <c r="AH1548" s="1" t="s">
        <v>15686</v>
      </c>
      <c r="AI1548" s="1">
        <v>0.2405</v>
      </c>
      <c r="AK1548" s="1">
        <v>10.0</v>
      </c>
      <c r="AL1548" s="1">
        <v>4.0</v>
      </c>
      <c r="AM1548" s="1">
        <v>2.0</v>
      </c>
      <c r="AN1548" s="1">
        <v>1.0</v>
      </c>
      <c r="AO1548" s="1" t="s">
        <v>198</v>
      </c>
      <c r="AP1548" s="1">
        <v>1.0</v>
      </c>
      <c r="AQ1548" s="1" t="s">
        <v>198</v>
      </c>
      <c r="AR1548" s="1" t="s">
        <v>200</v>
      </c>
      <c r="AS1548" s="1" t="s">
        <v>199</v>
      </c>
      <c r="AT1548" s="1">
        <v>2.0</v>
      </c>
      <c r="AV1548" s="1" t="s">
        <v>192</v>
      </c>
      <c r="AW1548" s="1">
        <v>7138.0</v>
      </c>
      <c r="AX1548" s="1">
        <v>2013.0</v>
      </c>
      <c r="AY1548" s="1" t="s">
        <v>387</v>
      </c>
      <c r="AZ1548" s="1" t="s">
        <v>200</v>
      </c>
      <c r="BA1548" s="1" t="str">
        <f>"1232485019"</f>
        <v>1232485019</v>
      </c>
      <c r="BB1548" s="1" t="s">
        <v>200</v>
      </c>
      <c r="BC1548" s="1">
        <v>2184.0</v>
      </c>
      <c r="BD1548" s="1">
        <v>254500.0</v>
      </c>
      <c r="BE1548" s="2">
        <v>42090.0</v>
      </c>
      <c r="BF1548" s="2" t="s">
        <v>15687</v>
      </c>
      <c r="BG1548" s="1" t="s">
        <v>15688</v>
      </c>
      <c r="BH1548" s="1">
        <v>0.0</v>
      </c>
      <c r="BI1548" s="1" t="s">
        <v>9543</v>
      </c>
      <c r="BJ1548" s="1" t="s">
        <v>3831</v>
      </c>
      <c r="BK1548" s="1" t="s">
        <v>204</v>
      </c>
      <c r="BL1548" s="1" t="str">
        <f t="shared" ref="BL1548:BM1548" si="1014">""</f>
        <v/>
      </c>
      <c r="BM1548" s="1" t="str">
        <f t="shared" si="1014"/>
        <v/>
      </c>
      <c r="BN1548" s="1">
        <v>36.0</v>
      </c>
      <c r="BO1548" s="1">
        <v>3.0</v>
      </c>
      <c r="BQ1548" s="1">
        <v>129.0</v>
      </c>
      <c r="BR1548" s="1">
        <v>129.0</v>
      </c>
      <c r="BS1548" s="1">
        <v>129.0</v>
      </c>
      <c r="BU1548" s="1" t="s">
        <v>205</v>
      </c>
      <c r="BV1548" s="1" t="s">
        <v>206</v>
      </c>
      <c r="BW1548" s="1" t="s">
        <v>210</v>
      </c>
      <c r="BX1548" s="1" t="s">
        <v>239</v>
      </c>
      <c r="BY1548" s="1" t="s">
        <v>453</v>
      </c>
      <c r="BZ1548" s="1" t="s">
        <v>209</v>
      </c>
      <c r="CA1548" s="1" t="s">
        <v>210</v>
      </c>
      <c r="CB1548" s="1" t="s">
        <v>239</v>
      </c>
      <c r="CC1548" s="1" t="s">
        <v>497</v>
      </c>
      <c r="CD1548" s="1" t="s">
        <v>206</v>
      </c>
      <c r="CE1548" s="1" t="s">
        <v>210</v>
      </c>
      <c r="CF1548" s="1" t="s">
        <v>239</v>
      </c>
      <c r="CG1548" s="1" t="s">
        <v>361</v>
      </c>
      <c r="CH1548" s="1" t="s">
        <v>209</v>
      </c>
      <c r="CI1548" s="1" t="s">
        <v>210</v>
      </c>
      <c r="CJ1548" s="1" t="s">
        <v>239</v>
      </c>
      <c r="CK1548" s="1" t="s">
        <v>495</v>
      </c>
      <c r="CL1548" s="1" t="s">
        <v>209</v>
      </c>
      <c r="CM1548" s="1" t="s">
        <v>210</v>
      </c>
      <c r="CN1548" s="1" t="s">
        <v>239</v>
      </c>
      <c r="CO1548" s="1" t="s">
        <v>332</v>
      </c>
      <c r="CP1548" s="1" t="s">
        <v>209</v>
      </c>
      <c r="CQ1548" s="1" t="s">
        <v>210</v>
      </c>
      <c r="CR1548" s="1" t="s">
        <v>239</v>
      </c>
      <c r="CS1548" s="1" t="s">
        <v>1417</v>
      </c>
      <c r="CT1548" s="1" t="s">
        <v>206</v>
      </c>
      <c r="CU1548" s="1" t="s">
        <v>207</v>
      </c>
      <c r="CV1548" s="1" t="s">
        <v>239</v>
      </c>
      <c r="CW1548" s="1" t="s">
        <v>664</v>
      </c>
      <c r="CX1548" s="1" t="s">
        <v>206</v>
      </c>
      <c r="CY1548" s="1" t="s">
        <v>207</v>
      </c>
      <c r="CZ1548" s="1" t="s">
        <v>239</v>
      </c>
      <c r="DA1548" s="1" t="s">
        <v>200</v>
      </c>
      <c r="DC1548" s="1" t="s">
        <v>678</v>
      </c>
      <c r="DD1548" s="1" t="s">
        <v>518</v>
      </c>
      <c r="DE1548" s="1" t="s">
        <v>273</v>
      </c>
      <c r="DF1548" s="1" t="s">
        <v>219</v>
      </c>
      <c r="DG1548" s="1" t="s">
        <v>3020</v>
      </c>
      <c r="DH1548" s="1" t="s">
        <v>220</v>
      </c>
      <c r="DI1548" s="1" t="s">
        <v>732</v>
      </c>
      <c r="DJ1548" s="1" t="s">
        <v>222</v>
      </c>
      <c r="DK1548" s="1" t="s">
        <v>223</v>
      </c>
      <c r="DL1548" s="1" t="s">
        <v>224</v>
      </c>
      <c r="DM1548" s="1" t="s">
        <v>229</v>
      </c>
      <c r="DN1548" s="1" t="s">
        <v>399</v>
      </c>
      <c r="DO1548" s="1" t="s">
        <v>15689</v>
      </c>
      <c r="DP1548" s="1" t="s">
        <v>400</v>
      </c>
      <c r="DQ1548" s="1" t="s">
        <v>228</v>
      </c>
      <c r="DR1548" s="1" t="s">
        <v>229</v>
      </c>
      <c r="DS1548" s="1" t="s">
        <v>230</v>
      </c>
      <c r="DU1548" s="1" t="s">
        <v>15690</v>
      </c>
      <c r="DV1548" s="1" t="s">
        <v>2259</v>
      </c>
      <c r="DW1548" s="1" t="s">
        <v>233</v>
      </c>
      <c r="DX1548" s="1" t="s">
        <v>234</v>
      </c>
      <c r="DY1548" s="1" t="s">
        <v>235</v>
      </c>
      <c r="DZ1548" s="1" t="s">
        <v>3076</v>
      </c>
      <c r="EA1548" s="1" t="s">
        <v>344</v>
      </c>
      <c r="EB1548" s="1" t="s">
        <v>937</v>
      </c>
      <c r="EC1548" s="1" t="s">
        <v>237</v>
      </c>
      <c r="ED1548" s="1" t="s">
        <v>407</v>
      </c>
      <c r="EG1548" s="1" t="s">
        <v>449</v>
      </c>
      <c r="EH1548" s="1" t="s">
        <v>450</v>
      </c>
      <c r="EL1548" s="1" t="s">
        <v>623</v>
      </c>
      <c r="EM1548" s="1" t="s">
        <v>206</v>
      </c>
      <c r="EN1548" s="1" t="s">
        <v>207</v>
      </c>
      <c r="EO1548" s="1" t="s">
        <v>239</v>
      </c>
      <c r="EP1548" s="1" t="s">
        <v>2675</v>
      </c>
      <c r="EQ1548" s="1" t="s">
        <v>42</v>
      </c>
      <c r="ER1548" s="1" t="s">
        <v>588</v>
      </c>
      <c r="EU1548" s="1" t="s">
        <v>238</v>
      </c>
      <c r="EY1548" s="1" t="s">
        <v>238</v>
      </c>
      <c r="FC1548" s="1" t="s">
        <v>238</v>
      </c>
      <c r="FF1548" s="1" t="s">
        <v>239</v>
      </c>
      <c r="FG1548" s="1" t="s">
        <v>200</v>
      </c>
      <c r="FH1548" s="1" t="s">
        <v>192</v>
      </c>
      <c r="FJ1548" s="1" t="s">
        <v>15691</v>
      </c>
      <c r="FK1548" s="1" t="s">
        <v>229</v>
      </c>
      <c r="FL1548" s="1" t="s">
        <v>15692</v>
      </c>
      <c r="FM1548" s="1">
        <v>21242.0</v>
      </c>
      <c r="FN1548" s="1" t="s">
        <v>15693</v>
      </c>
      <c r="FO1548" s="1" t="s">
        <v>15694</v>
      </c>
      <c r="FP1548" s="1">
        <v>219848.0</v>
      </c>
      <c r="FQ1548" s="1" t="s">
        <v>15693</v>
      </c>
      <c r="FS1548" s="1" t="s">
        <v>15695</v>
      </c>
      <c r="FU1548" s="1" t="s">
        <v>5968</v>
      </c>
      <c r="FV1548" s="1" t="s">
        <v>200</v>
      </c>
      <c r="FW1548" s="1" t="s">
        <v>290</v>
      </c>
      <c r="FZ1548" s="1" t="s">
        <v>229</v>
      </c>
      <c r="GA1548" s="1" t="s">
        <v>291</v>
      </c>
      <c r="GB1548" s="2">
        <v>42143.0</v>
      </c>
    </row>
    <row r="1549">
      <c r="A1549" s="1">
        <v>243000.0</v>
      </c>
      <c r="B1549" s="1" t="s">
        <v>185</v>
      </c>
      <c r="C1549" s="1" t="str">
        <f>"08874168"</f>
        <v>08874168</v>
      </c>
      <c r="D1549" s="1" t="s">
        <v>186</v>
      </c>
      <c r="F1549" s="1" t="str">
        <f>"8072"</f>
        <v>8072</v>
      </c>
      <c r="G1549" s="2">
        <v>42090.0</v>
      </c>
      <c r="H1549" s="1">
        <v>239000.0</v>
      </c>
      <c r="I1549" s="1">
        <v>8.0</v>
      </c>
      <c r="J1549" s="1">
        <v>239000.0</v>
      </c>
      <c r="K1549" s="2">
        <v>42097.0</v>
      </c>
      <c r="L1549" s="1">
        <v>8.0</v>
      </c>
      <c r="M1549" s="2">
        <v>42097.0</v>
      </c>
      <c r="N1549" s="1" t="s">
        <v>356</v>
      </c>
      <c r="O1549" s="2">
        <v>42125.0</v>
      </c>
      <c r="P1549" s="1">
        <v>847374.0</v>
      </c>
      <c r="Q1549" s="1">
        <v>84627.0</v>
      </c>
      <c r="R1549" s="1">
        <v>3.0</v>
      </c>
      <c r="S1549" s="1">
        <v>9913.0</v>
      </c>
      <c r="T1549" s="1" t="s">
        <v>15696</v>
      </c>
      <c r="U1549" s="1" t="s">
        <v>320</v>
      </c>
      <c r="V1549" s="1" t="s">
        <v>190</v>
      </c>
      <c r="W1549" s="1">
        <v>60643.0</v>
      </c>
      <c r="Y1549" s="1" t="s">
        <v>15697</v>
      </c>
      <c r="Z1549" s="1">
        <v>1923.0</v>
      </c>
      <c r="AA1549" s="1" t="s">
        <v>192</v>
      </c>
      <c r="AB1549" s="1" t="s">
        <v>193</v>
      </c>
      <c r="AD1549" s="1" t="s">
        <v>194</v>
      </c>
      <c r="AE1549" s="1" t="s">
        <v>195</v>
      </c>
      <c r="AF1549" s="1" t="s">
        <v>659</v>
      </c>
      <c r="AH1549" s="1" t="s">
        <v>15698</v>
      </c>
      <c r="AI1549" s="1">
        <v>0.1111</v>
      </c>
      <c r="AK1549" s="1">
        <v>9.0</v>
      </c>
      <c r="AL1549" s="1">
        <v>3.0</v>
      </c>
      <c r="AM1549" s="1">
        <v>2.0</v>
      </c>
      <c r="AN1549" s="1">
        <v>0.0</v>
      </c>
      <c r="AO1549" s="1" t="s">
        <v>1261</v>
      </c>
      <c r="AQ1549" s="1" t="s">
        <v>1314</v>
      </c>
      <c r="AR1549" s="1" t="s">
        <v>192</v>
      </c>
      <c r="AS1549" s="1" t="s">
        <v>199</v>
      </c>
      <c r="AT1549" s="1">
        <v>2.0</v>
      </c>
      <c r="AV1549" s="1" t="s">
        <v>200</v>
      </c>
      <c r="AW1549" s="1">
        <v>3151.45</v>
      </c>
      <c r="AX1549" s="1">
        <v>2013.0</v>
      </c>
      <c r="AY1549" s="1" t="s">
        <v>229</v>
      </c>
      <c r="AZ1549" s="1" t="s">
        <v>200</v>
      </c>
      <c r="BA1549" s="1" t="str">
        <f>"25083010030000"</f>
        <v>25083010030000</v>
      </c>
      <c r="BC1549" s="1">
        <v>0.0</v>
      </c>
      <c r="BD1549" s="1">
        <v>243000.0</v>
      </c>
      <c r="BE1549" s="2">
        <v>42090.0</v>
      </c>
      <c r="BF1549" s="2" t="s">
        <v>15699</v>
      </c>
      <c r="BH1549" s="1">
        <v>0.0</v>
      </c>
      <c r="BK1549" s="1" t="s">
        <v>204</v>
      </c>
      <c r="BL1549" s="1" t="str">
        <f t="shared" ref="BL1549:BM1549" si="1015">"0"</f>
        <v>0</v>
      </c>
      <c r="BM1549" s="1" t="str">
        <f t="shared" si="1015"/>
        <v>0</v>
      </c>
      <c r="BN1549" s="1">
        <v>1700.0</v>
      </c>
      <c r="BO1549" s="1">
        <v>9913.0</v>
      </c>
      <c r="BQ1549" s="1">
        <v>299.0</v>
      </c>
      <c r="BR1549" s="1">
        <v>299.0</v>
      </c>
      <c r="BS1549" s="1">
        <v>299.0</v>
      </c>
      <c r="BU1549" s="1" t="s">
        <v>208</v>
      </c>
      <c r="BV1549" s="1" t="s">
        <v>206</v>
      </c>
      <c r="BW1549" s="1" t="s">
        <v>207</v>
      </c>
      <c r="BY1549" s="1" t="s">
        <v>211</v>
      </c>
      <c r="BZ1549" s="1" t="s">
        <v>206</v>
      </c>
      <c r="CA1549" s="1" t="s">
        <v>210</v>
      </c>
      <c r="CC1549" s="1" t="s">
        <v>215</v>
      </c>
      <c r="CD1549" s="1" t="s">
        <v>206</v>
      </c>
      <c r="CE1549" s="1" t="s">
        <v>207</v>
      </c>
      <c r="CG1549" s="1" t="s">
        <v>264</v>
      </c>
      <c r="CH1549" s="1" t="s">
        <v>206</v>
      </c>
      <c r="CI1549" s="1" t="s">
        <v>210</v>
      </c>
      <c r="CK1549" s="1" t="s">
        <v>495</v>
      </c>
      <c r="CL1549" s="1" t="s">
        <v>206</v>
      </c>
      <c r="CM1549" s="1" t="s">
        <v>210</v>
      </c>
      <c r="CO1549" s="1" t="s">
        <v>205</v>
      </c>
      <c r="CP1549" s="1" t="s">
        <v>42</v>
      </c>
      <c r="CQ1549" s="1" t="s">
        <v>210</v>
      </c>
      <c r="CS1549" s="1" t="s">
        <v>497</v>
      </c>
      <c r="CT1549" s="1" t="s">
        <v>267</v>
      </c>
      <c r="CU1549" s="1" t="s">
        <v>207</v>
      </c>
      <c r="CX1549" s="1" t="s">
        <v>204</v>
      </c>
      <c r="DA1549" s="1" t="s">
        <v>200</v>
      </c>
      <c r="DC1549" s="1" t="s">
        <v>216</v>
      </c>
      <c r="DD1549" s="1" t="s">
        <v>436</v>
      </c>
      <c r="DE1549" s="1" t="s">
        <v>273</v>
      </c>
      <c r="DF1549" s="1" t="s">
        <v>219</v>
      </c>
      <c r="DH1549" s="1" t="s">
        <v>307</v>
      </c>
      <c r="DI1549" s="1" t="s">
        <v>366</v>
      </c>
      <c r="DJ1549" s="1" t="s">
        <v>222</v>
      </c>
      <c r="DK1549" s="1" t="s">
        <v>223</v>
      </c>
      <c r="DL1549" s="1" t="s">
        <v>224</v>
      </c>
      <c r="DM1549" s="1" t="s">
        <v>225</v>
      </c>
      <c r="DN1549" s="1" t="s">
        <v>339</v>
      </c>
      <c r="DP1549" s="1" t="s">
        <v>340</v>
      </c>
      <c r="DQ1549" s="1" t="s">
        <v>228</v>
      </c>
      <c r="DR1549" s="1" t="s">
        <v>229</v>
      </c>
      <c r="DV1549" s="1" t="s">
        <v>15700</v>
      </c>
      <c r="DW1549" s="1" t="s">
        <v>279</v>
      </c>
      <c r="DX1549" s="1" t="s">
        <v>234</v>
      </c>
      <c r="DY1549" s="1" t="s">
        <v>1122</v>
      </c>
      <c r="EA1549" s="1" t="s">
        <v>644</v>
      </c>
      <c r="EC1549" s="1" t="s">
        <v>685</v>
      </c>
      <c r="ED1549" s="1" t="s">
        <v>555</v>
      </c>
      <c r="EG1549" s="1" t="s">
        <v>556</v>
      </c>
      <c r="EH1549" s="1" t="s">
        <v>450</v>
      </c>
      <c r="EI1549" s="1" t="s">
        <v>1270</v>
      </c>
      <c r="EL1549" s="1" t="s">
        <v>516</v>
      </c>
      <c r="EM1549" s="1" t="s">
        <v>206</v>
      </c>
      <c r="EN1549" s="1" t="s">
        <v>207</v>
      </c>
      <c r="EP1549" s="1" t="s">
        <v>2565</v>
      </c>
      <c r="EQ1549" s="1" t="s">
        <v>42</v>
      </c>
      <c r="ER1549" s="1" t="s">
        <v>210</v>
      </c>
      <c r="ET1549" s="1" t="s">
        <v>721</v>
      </c>
      <c r="EU1549" s="1" t="s">
        <v>42</v>
      </c>
      <c r="EY1549" s="1" t="s">
        <v>238</v>
      </c>
      <c r="FC1549" s="1" t="s">
        <v>238</v>
      </c>
      <c r="FF1549" s="1" t="s">
        <v>239</v>
      </c>
      <c r="FG1549" s="1" t="s">
        <v>192</v>
      </c>
      <c r="FH1549" s="1" t="s">
        <v>192</v>
      </c>
      <c r="FJ1549" s="1" t="s">
        <v>799</v>
      </c>
      <c r="FK1549" s="1" t="s">
        <v>229</v>
      </c>
      <c r="FL1549" s="1" t="s">
        <v>562</v>
      </c>
      <c r="FM1549" s="1">
        <v>15694.0</v>
      </c>
      <c r="FN1549" s="1" t="s">
        <v>3145</v>
      </c>
      <c r="FO1549" s="1" t="s">
        <v>6740</v>
      </c>
      <c r="FP1549" s="1">
        <v>174807.0</v>
      </c>
      <c r="FQ1549" s="1" t="s">
        <v>6741</v>
      </c>
      <c r="FU1549" s="1" t="s">
        <v>15701</v>
      </c>
      <c r="FV1549" s="1" t="s">
        <v>192</v>
      </c>
      <c r="FW1549" s="1" t="s">
        <v>290</v>
      </c>
      <c r="FX1549" s="1" t="s">
        <v>655</v>
      </c>
      <c r="FZ1549" s="1" t="s">
        <v>229</v>
      </c>
      <c r="GA1549" s="1" t="s">
        <v>291</v>
      </c>
      <c r="GB1549" s="2">
        <v>42126.0</v>
      </c>
      <c r="GC1549" s="1" t="s">
        <v>15702</v>
      </c>
    </row>
    <row r="1550">
      <c r="A1550" s="1">
        <v>169000.0</v>
      </c>
      <c r="B1550" s="1" t="s">
        <v>185</v>
      </c>
      <c r="C1550" s="1" t="str">
        <f>"08873348"</f>
        <v>08873348</v>
      </c>
      <c r="D1550" s="1" t="s">
        <v>186</v>
      </c>
      <c r="F1550" s="1" t="str">
        <f>"177"</f>
        <v>177</v>
      </c>
      <c r="G1550" s="2">
        <v>42090.0</v>
      </c>
      <c r="H1550" s="1">
        <v>172900.0</v>
      </c>
      <c r="I1550" s="1">
        <v>4.0</v>
      </c>
      <c r="J1550" s="1">
        <v>172900.0</v>
      </c>
      <c r="K1550" s="2">
        <v>42092.0</v>
      </c>
      <c r="L1550" s="1">
        <v>4.0</v>
      </c>
      <c r="M1550" s="2">
        <v>42092.0</v>
      </c>
      <c r="N1550" s="1" t="s">
        <v>187</v>
      </c>
      <c r="O1550" s="2">
        <v>42128.0</v>
      </c>
      <c r="P1550" s="1">
        <v>227650.0</v>
      </c>
      <c r="Q1550" s="1">
        <v>25244.0</v>
      </c>
      <c r="R1550" s="1">
        <v>2500.0</v>
      </c>
      <c r="S1550" s="1">
        <v>145.0</v>
      </c>
      <c r="T1550" s="1" t="s">
        <v>15703</v>
      </c>
      <c r="U1550" s="1" t="s">
        <v>189</v>
      </c>
      <c r="V1550" s="1" t="s">
        <v>2249</v>
      </c>
      <c r="W1550" s="1">
        <v>60177.0</v>
      </c>
      <c r="Y1550" s="1" t="s">
        <v>15704</v>
      </c>
      <c r="Z1550" s="1">
        <v>2010.0</v>
      </c>
      <c r="AA1550" s="1" t="s">
        <v>200</v>
      </c>
      <c r="AB1550" s="1" t="s">
        <v>193</v>
      </c>
      <c r="AD1550" s="1" t="s">
        <v>2252</v>
      </c>
      <c r="AE1550" s="1" t="s">
        <v>325</v>
      </c>
      <c r="AF1550" s="1" t="s">
        <v>469</v>
      </c>
      <c r="AG1550" s="1" t="s">
        <v>874</v>
      </c>
      <c r="AH1550" s="1" t="s">
        <v>15705</v>
      </c>
      <c r="AK1550" s="1">
        <v>6.0</v>
      </c>
      <c r="AL1550" s="1">
        <v>4.0</v>
      </c>
      <c r="AM1550" s="1">
        <v>2.0</v>
      </c>
      <c r="AN1550" s="1">
        <v>0.0</v>
      </c>
      <c r="AO1550" s="1" t="s">
        <v>198</v>
      </c>
      <c r="AQ1550" s="1" t="s">
        <v>229</v>
      </c>
      <c r="AR1550" s="1" t="s">
        <v>200</v>
      </c>
      <c r="AS1550" s="1" t="s">
        <v>199</v>
      </c>
      <c r="AT1550" s="1">
        <v>2.0</v>
      </c>
      <c r="AV1550" s="1" t="s">
        <v>200</v>
      </c>
      <c r="AW1550" s="1">
        <v>3326.2</v>
      </c>
      <c r="AX1550" s="1">
        <v>2013.0</v>
      </c>
      <c r="AY1550" s="1" t="s">
        <v>387</v>
      </c>
      <c r="AZ1550" s="1" t="s">
        <v>200</v>
      </c>
      <c r="BA1550" s="1" t="str">
        <f>"0626403008"</f>
        <v>0626403008</v>
      </c>
      <c r="BB1550" s="1" t="s">
        <v>200</v>
      </c>
      <c r="BC1550" s="1">
        <v>1260.0</v>
      </c>
      <c r="BD1550" s="1">
        <v>169000.0</v>
      </c>
      <c r="BE1550" s="2">
        <v>42089.0</v>
      </c>
      <c r="BF1550" s="2" t="s">
        <v>15706</v>
      </c>
      <c r="BH1550" s="1">
        <v>0.0</v>
      </c>
      <c r="BK1550" s="1" t="s">
        <v>204</v>
      </c>
      <c r="BL1550" s="1" t="str">
        <f>"9"</f>
        <v>9</v>
      </c>
      <c r="BM1550" s="1" t="str">
        <f>"0"</f>
        <v>0</v>
      </c>
      <c r="BN1550" s="1">
        <v>34.0</v>
      </c>
      <c r="BO1550" s="1">
        <v>0.0</v>
      </c>
      <c r="BQ1550" s="1">
        <v>46.0</v>
      </c>
      <c r="BR1550" s="1">
        <v>46.0</v>
      </c>
      <c r="BS1550" s="1">
        <v>46.0</v>
      </c>
      <c r="BU1550" s="1" t="s">
        <v>453</v>
      </c>
      <c r="BV1550" s="1" t="s">
        <v>206</v>
      </c>
      <c r="BW1550" s="1" t="s">
        <v>207</v>
      </c>
      <c r="BX1550" s="1" t="s">
        <v>431</v>
      </c>
      <c r="BY1550" s="1" t="s">
        <v>208</v>
      </c>
      <c r="BZ1550" s="1" t="s">
        <v>206</v>
      </c>
      <c r="CA1550" s="1" t="s">
        <v>207</v>
      </c>
      <c r="CB1550" s="1" t="s">
        <v>431</v>
      </c>
      <c r="CD1550" s="1" t="s">
        <v>204</v>
      </c>
      <c r="CG1550" s="1" t="s">
        <v>623</v>
      </c>
      <c r="CH1550" s="1" t="s">
        <v>206</v>
      </c>
      <c r="CI1550" s="1" t="s">
        <v>210</v>
      </c>
      <c r="CJ1550" s="1" t="s">
        <v>431</v>
      </c>
      <c r="CK1550" s="1" t="s">
        <v>623</v>
      </c>
      <c r="CL1550" s="1" t="s">
        <v>206</v>
      </c>
      <c r="CM1550" s="1" t="s">
        <v>207</v>
      </c>
      <c r="CN1550" s="1" t="s">
        <v>431</v>
      </c>
      <c r="CO1550" s="1" t="s">
        <v>263</v>
      </c>
      <c r="CP1550" s="1" t="s">
        <v>206</v>
      </c>
      <c r="CQ1550" s="1" t="s">
        <v>207</v>
      </c>
      <c r="CR1550" s="1" t="s">
        <v>431</v>
      </c>
      <c r="CS1550" s="1" t="s">
        <v>1368</v>
      </c>
      <c r="CT1550" s="1" t="s">
        <v>206</v>
      </c>
      <c r="CU1550" s="1" t="s">
        <v>207</v>
      </c>
      <c r="CV1550" s="1" t="s">
        <v>431</v>
      </c>
      <c r="CX1550" s="1" t="s">
        <v>204</v>
      </c>
      <c r="DA1550" s="1" t="s">
        <v>200</v>
      </c>
      <c r="DC1550" s="1" t="s">
        <v>1046</v>
      </c>
      <c r="DD1550" s="1" t="s">
        <v>396</v>
      </c>
      <c r="DE1550" s="1" t="s">
        <v>273</v>
      </c>
      <c r="DF1550" s="1" t="s">
        <v>219</v>
      </c>
      <c r="DG1550" s="1" t="s">
        <v>1553</v>
      </c>
      <c r="DH1550" s="1" t="s">
        <v>220</v>
      </c>
      <c r="DI1550" s="1" t="s">
        <v>1141</v>
      </c>
      <c r="DJ1550" s="1" t="s">
        <v>222</v>
      </c>
      <c r="DK1550" s="1" t="s">
        <v>198</v>
      </c>
      <c r="DL1550" s="1" t="s">
        <v>1853</v>
      </c>
      <c r="DM1550" s="1" t="s">
        <v>229</v>
      </c>
      <c r="DO1550" s="1" t="s">
        <v>549</v>
      </c>
      <c r="DP1550" s="1" t="s">
        <v>400</v>
      </c>
      <c r="DQ1550" s="1" t="s">
        <v>228</v>
      </c>
      <c r="DR1550" s="1" t="s">
        <v>229</v>
      </c>
      <c r="DS1550" s="1" t="s">
        <v>368</v>
      </c>
      <c r="DU1550" s="1" t="s">
        <v>278</v>
      </c>
      <c r="DV1550" s="1" t="s">
        <v>232</v>
      </c>
      <c r="DW1550" s="1" t="s">
        <v>588</v>
      </c>
      <c r="DX1550" s="1" t="s">
        <v>309</v>
      </c>
      <c r="DY1550" s="1" t="s">
        <v>704</v>
      </c>
      <c r="DZ1550" s="1" t="s">
        <v>15707</v>
      </c>
      <c r="EA1550" s="1" t="s">
        <v>683</v>
      </c>
      <c r="EC1550" s="1" t="s">
        <v>685</v>
      </c>
      <c r="ED1550" s="1" t="s">
        <v>407</v>
      </c>
      <c r="EE1550" s="1" t="s">
        <v>493</v>
      </c>
      <c r="EM1550" s="1" t="s">
        <v>238</v>
      </c>
      <c r="EQ1550" s="1" t="s">
        <v>238</v>
      </c>
      <c r="EU1550" s="1" t="s">
        <v>238</v>
      </c>
      <c r="EY1550" s="1" t="s">
        <v>238</v>
      </c>
      <c r="FC1550" s="1" t="s">
        <v>238</v>
      </c>
      <c r="FF1550" s="1" t="s">
        <v>239</v>
      </c>
      <c r="FG1550" s="1" t="s">
        <v>192</v>
      </c>
      <c r="FH1550" s="1" t="s">
        <v>192</v>
      </c>
      <c r="FJ1550" s="1" t="s">
        <v>15708</v>
      </c>
      <c r="FK1550" s="1" t="s">
        <v>229</v>
      </c>
      <c r="FL1550" s="1" t="s">
        <v>15709</v>
      </c>
      <c r="FM1550" s="1">
        <v>5486.0</v>
      </c>
      <c r="FN1550" s="1" t="s">
        <v>15710</v>
      </c>
      <c r="FO1550" s="1" t="s">
        <v>15711</v>
      </c>
      <c r="FP1550" s="1">
        <v>54594.0</v>
      </c>
      <c r="FQ1550" s="1" t="s">
        <v>15712</v>
      </c>
      <c r="FU1550" s="1" t="s">
        <v>15713</v>
      </c>
      <c r="FV1550" s="1" t="s">
        <v>200</v>
      </c>
      <c r="FW1550" s="1" t="s">
        <v>530</v>
      </c>
      <c r="FX1550" s="1" t="s">
        <v>655</v>
      </c>
      <c r="FZ1550" s="1" t="s">
        <v>229</v>
      </c>
      <c r="GA1550" s="1" t="s">
        <v>291</v>
      </c>
      <c r="GB1550" s="2">
        <v>42128.0</v>
      </c>
    </row>
    <row r="1551">
      <c r="A1551" s="1">
        <v>220000.0</v>
      </c>
      <c r="B1551" s="1" t="s">
        <v>185</v>
      </c>
      <c r="C1551" s="1" t="str">
        <f>"08874733"</f>
        <v>08874733</v>
      </c>
      <c r="D1551" s="1" t="s">
        <v>186</v>
      </c>
      <c r="F1551" s="1" t="str">
        <f>"538"</f>
        <v>538</v>
      </c>
      <c r="G1551" s="2">
        <v>42091.0</v>
      </c>
      <c r="H1551" s="1">
        <v>227500.0</v>
      </c>
      <c r="I1551" s="1">
        <v>3.0</v>
      </c>
      <c r="J1551" s="1">
        <v>227500.0</v>
      </c>
      <c r="K1551" s="2">
        <v>42093.0</v>
      </c>
      <c r="L1551" s="1">
        <v>3.0</v>
      </c>
      <c r="M1551" s="2">
        <v>42093.0</v>
      </c>
      <c r="N1551" s="1" t="s">
        <v>187</v>
      </c>
      <c r="O1551" s="2">
        <v>42139.0</v>
      </c>
      <c r="P1551" s="1">
        <v>234459.0</v>
      </c>
      <c r="Q1551" s="1">
        <v>24695.0</v>
      </c>
      <c r="S1551" s="1">
        <v>2404.0</v>
      </c>
      <c r="T1551" s="1" t="s">
        <v>15714</v>
      </c>
      <c r="U1551" s="1" t="s">
        <v>1174</v>
      </c>
      <c r="V1551" s="1" t="s">
        <v>1340</v>
      </c>
      <c r="W1551" s="1">
        <v>60538.0</v>
      </c>
      <c r="Y1551" s="1" t="s">
        <v>15715</v>
      </c>
      <c r="Z1551" s="1">
        <v>2003.0</v>
      </c>
      <c r="AA1551" s="1" t="s">
        <v>200</v>
      </c>
      <c r="AB1551" s="1" t="s">
        <v>193</v>
      </c>
      <c r="AC1551" s="1" t="s">
        <v>7164</v>
      </c>
      <c r="AD1551" s="1" t="s">
        <v>1343</v>
      </c>
      <c r="AE1551" s="1" t="s">
        <v>849</v>
      </c>
      <c r="AF1551" s="1" t="s">
        <v>1312</v>
      </c>
      <c r="AH1551" s="1" t="s">
        <v>15716</v>
      </c>
      <c r="AI1551" s="1">
        <v>0.1722</v>
      </c>
      <c r="AK1551" s="1">
        <v>8.0</v>
      </c>
      <c r="AL1551" s="1">
        <v>4.0</v>
      </c>
      <c r="AM1551" s="1">
        <v>2.0</v>
      </c>
      <c r="AN1551" s="1">
        <v>1.0</v>
      </c>
      <c r="AO1551" s="1" t="s">
        <v>198</v>
      </c>
      <c r="AQ1551" s="1" t="s">
        <v>198</v>
      </c>
      <c r="AR1551" s="1" t="s">
        <v>200</v>
      </c>
      <c r="AS1551" s="1" t="s">
        <v>199</v>
      </c>
      <c r="AT1551" s="1">
        <v>2.0</v>
      </c>
      <c r="AV1551" s="1" t="s">
        <v>200</v>
      </c>
      <c r="AW1551" s="1">
        <v>7215.37</v>
      </c>
      <c r="AX1551" s="1">
        <v>2013.0</v>
      </c>
      <c r="AY1551" s="1" t="s">
        <v>387</v>
      </c>
      <c r="AZ1551" s="1" t="s">
        <v>200</v>
      </c>
      <c r="BA1551" s="1" t="str">
        <f>"0202483031"</f>
        <v>0202483031</v>
      </c>
      <c r="BB1551" s="1" t="s">
        <v>200</v>
      </c>
      <c r="BC1551" s="1">
        <v>2152.0</v>
      </c>
      <c r="BD1551" s="1">
        <v>220000.0</v>
      </c>
      <c r="BE1551" s="2">
        <v>42091.0</v>
      </c>
      <c r="BF1551" s="2" t="s">
        <v>15717</v>
      </c>
      <c r="BG1551" s="1" t="s">
        <v>1837</v>
      </c>
      <c r="BH1551" s="1">
        <v>0.0</v>
      </c>
      <c r="BI1551" s="1" t="s">
        <v>1533</v>
      </c>
      <c r="BJ1551" s="1" t="s">
        <v>4986</v>
      </c>
      <c r="BK1551" s="1" t="s">
        <v>204</v>
      </c>
      <c r="BL1551" s="1" t="str">
        <f t="shared" ref="BL1551:BM1551" si="1016">""</f>
        <v/>
      </c>
      <c r="BM1551" s="1" t="str">
        <f t="shared" si="1016"/>
        <v/>
      </c>
      <c r="BQ1551" s="1">
        <v>308.0</v>
      </c>
      <c r="BR1551" s="1">
        <v>308.0</v>
      </c>
      <c r="BS1551" s="1">
        <v>308.0</v>
      </c>
      <c r="BU1551" s="1" t="s">
        <v>1206</v>
      </c>
      <c r="BV1551" s="1" t="s">
        <v>206</v>
      </c>
      <c r="BW1551" s="1" t="s">
        <v>210</v>
      </c>
      <c r="BX1551" s="1" t="s">
        <v>261</v>
      </c>
      <c r="BY1551" s="1" t="s">
        <v>393</v>
      </c>
      <c r="BZ1551" s="1" t="s">
        <v>209</v>
      </c>
      <c r="CA1551" s="1" t="s">
        <v>210</v>
      </c>
      <c r="CB1551" s="1" t="s">
        <v>261</v>
      </c>
      <c r="CC1551" s="1" t="s">
        <v>582</v>
      </c>
      <c r="CD1551" s="1" t="s">
        <v>206</v>
      </c>
      <c r="CE1551" s="1" t="s">
        <v>617</v>
      </c>
      <c r="CF1551" s="1" t="s">
        <v>261</v>
      </c>
      <c r="CG1551" s="1" t="s">
        <v>212</v>
      </c>
      <c r="CH1551" s="1" t="s">
        <v>209</v>
      </c>
      <c r="CI1551" s="1" t="s">
        <v>210</v>
      </c>
      <c r="CJ1551" s="1" t="s">
        <v>261</v>
      </c>
      <c r="CK1551" s="1" t="s">
        <v>699</v>
      </c>
      <c r="CL1551" s="1" t="s">
        <v>209</v>
      </c>
      <c r="CM1551" s="1" t="s">
        <v>210</v>
      </c>
      <c r="CN1551" s="1" t="s">
        <v>261</v>
      </c>
      <c r="CO1551" s="1" t="s">
        <v>269</v>
      </c>
      <c r="CP1551" s="1" t="s">
        <v>209</v>
      </c>
      <c r="CQ1551" s="1" t="s">
        <v>210</v>
      </c>
      <c r="CR1551" s="1" t="s">
        <v>261</v>
      </c>
      <c r="CS1551" s="1" t="s">
        <v>582</v>
      </c>
      <c r="CT1551" s="1" t="s">
        <v>206</v>
      </c>
      <c r="CU1551" s="1" t="s">
        <v>617</v>
      </c>
      <c r="CV1551" s="1" t="s">
        <v>1549</v>
      </c>
      <c r="CX1551" s="1" t="s">
        <v>204</v>
      </c>
      <c r="DA1551" s="1" t="s">
        <v>200</v>
      </c>
      <c r="DC1551" s="1" t="s">
        <v>335</v>
      </c>
      <c r="DE1551" s="1" t="s">
        <v>273</v>
      </c>
      <c r="DF1551" s="1" t="s">
        <v>619</v>
      </c>
      <c r="DH1551" s="1" t="s">
        <v>220</v>
      </c>
      <c r="DJ1551" s="1" t="s">
        <v>222</v>
      </c>
      <c r="DL1551" s="1" t="s">
        <v>224</v>
      </c>
      <c r="DM1551" s="1" t="s">
        <v>338</v>
      </c>
      <c r="DO1551" s="1" t="s">
        <v>549</v>
      </c>
      <c r="DQ1551" s="1" t="s">
        <v>228</v>
      </c>
      <c r="DR1551" s="1" t="s">
        <v>229</v>
      </c>
      <c r="DS1551" s="1" t="s">
        <v>230</v>
      </c>
      <c r="DU1551" s="1" t="s">
        <v>1840</v>
      </c>
      <c r="DV1551" s="1" t="s">
        <v>557</v>
      </c>
      <c r="DW1551" s="1" t="s">
        <v>233</v>
      </c>
      <c r="DX1551" s="1" t="s">
        <v>234</v>
      </c>
      <c r="DY1551" s="1" t="s">
        <v>3075</v>
      </c>
      <c r="DZ1551" s="1" t="s">
        <v>310</v>
      </c>
      <c r="EA1551" s="1" t="s">
        <v>447</v>
      </c>
      <c r="EC1551" s="1" t="s">
        <v>237</v>
      </c>
      <c r="ED1551" s="1" t="s">
        <v>1406</v>
      </c>
      <c r="EE1551" s="1" t="s">
        <v>493</v>
      </c>
      <c r="EG1551" s="1" t="s">
        <v>557</v>
      </c>
      <c r="EL1551" s="1" t="s">
        <v>955</v>
      </c>
      <c r="EM1551" s="1" t="s">
        <v>209</v>
      </c>
      <c r="EN1551" s="1" t="s">
        <v>210</v>
      </c>
      <c r="EO1551" s="1" t="s">
        <v>431</v>
      </c>
      <c r="EQ1551" s="1" t="s">
        <v>238</v>
      </c>
      <c r="EU1551" s="1" t="s">
        <v>238</v>
      </c>
      <c r="EY1551" s="1" t="s">
        <v>238</v>
      </c>
      <c r="FC1551" s="1" t="s">
        <v>238</v>
      </c>
      <c r="FF1551" s="1" t="s">
        <v>239</v>
      </c>
      <c r="FG1551" s="1" t="s">
        <v>192</v>
      </c>
      <c r="FH1551" s="1" t="s">
        <v>192</v>
      </c>
      <c r="FJ1551" s="1" t="s">
        <v>733</v>
      </c>
      <c r="FK1551" s="1" t="s">
        <v>229</v>
      </c>
      <c r="FL1551" s="1" t="s">
        <v>974</v>
      </c>
      <c r="FM1551" s="1">
        <v>23312.0</v>
      </c>
      <c r="FN1551" s="1" t="s">
        <v>3834</v>
      </c>
      <c r="FO1551" s="1" t="s">
        <v>15718</v>
      </c>
      <c r="FP1551" s="1">
        <v>241437.0</v>
      </c>
      <c r="FR1551" s="1">
        <v>259146.0</v>
      </c>
      <c r="FU1551" s="1" t="s">
        <v>15719</v>
      </c>
      <c r="FV1551" s="1" t="s">
        <v>192</v>
      </c>
      <c r="FW1551" s="1" t="s">
        <v>530</v>
      </c>
      <c r="FZ1551" s="1" t="s">
        <v>229</v>
      </c>
      <c r="GA1551" s="1" t="s">
        <v>291</v>
      </c>
      <c r="GB1551" s="2">
        <v>42140.0</v>
      </c>
      <c r="GC1551" s="1" t="s">
        <v>15720</v>
      </c>
    </row>
    <row r="1552">
      <c r="A1552" s="1">
        <v>184370.0</v>
      </c>
      <c r="B1552" s="1" t="s">
        <v>185</v>
      </c>
      <c r="C1552" s="1" t="str">
        <f>"08877098"</f>
        <v>08877098</v>
      </c>
      <c r="D1552" s="1" t="s">
        <v>186</v>
      </c>
      <c r="F1552" s="1" t="str">
        <f>"8025"</f>
        <v>8025</v>
      </c>
      <c r="G1552" s="2">
        <v>42094.0</v>
      </c>
      <c r="H1552" s="1">
        <v>179000.0</v>
      </c>
      <c r="I1552" s="1">
        <v>9.0</v>
      </c>
      <c r="J1552" s="1">
        <v>179000.0</v>
      </c>
      <c r="K1552" s="2">
        <v>42102.0</v>
      </c>
      <c r="L1552" s="1">
        <v>9.0</v>
      </c>
      <c r="M1552" s="2">
        <v>42102.0</v>
      </c>
      <c r="N1552" s="1" t="s">
        <v>634</v>
      </c>
      <c r="O1552" s="2">
        <v>42146.0</v>
      </c>
      <c r="P1552" s="1">
        <v>187450.0</v>
      </c>
      <c r="Q1552" s="1">
        <v>16636.0</v>
      </c>
      <c r="S1552" s="1">
        <v>1539.0</v>
      </c>
      <c r="T1552" s="1" t="s">
        <v>10575</v>
      </c>
      <c r="U1552" s="1" t="s">
        <v>1442</v>
      </c>
      <c r="V1552" s="1" t="s">
        <v>190</v>
      </c>
      <c r="W1552" s="1">
        <v>60651.0</v>
      </c>
      <c r="Y1552" s="1" t="s">
        <v>15721</v>
      </c>
      <c r="Z1552" s="1">
        <v>1920.0</v>
      </c>
      <c r="AA1552" s="1" t="s">
        <v>192</v>
      </c>
      <c r="AB1552" s="1" t="s">
        <v>193</v>
      </c>
      <c r="AD1552" s="1" t="s">
        <v>194</v>
      </c>
      <c r="AE1552" s="1" t="s">
        <v>195</v>
      </c>
      <c r="AF1552" s="1" t="s">
        <v>827</v>
      </c>
      <c r="AH1552" s="1" t="s">
        <v>15722</v>
      </c>
      <c r="AK1552" s="1">
        <v>7.0</v>
      </c>
      <c r="AL1552" s="1">
        <v>3.0</v>
      </c>
      <c r="AM1552" s="1">
        <v>2.0</v>
      </c>
      <c r="AN1552" s="1">
        <v>0.0</v>
      </c>
      <c r="AO1552" s="1" t="s">
        <v>229</v>
      </c>
      <c r="AQ1552" s="1" t="s">
        <v>198</v>
      </c>
      <c r="AR1552" s="1" t="s">
        <v>192</v>
      </c>
      <c r="AS1552" s="1" t="s">
        <v>199</v>
      </c>
      <c r="AT1552" s="1">
        <v>2.0</v>
      </c>
      <c r="AV1552" s="1" t="s">
        <v>200</v>
      </c>
      <c r="AW1552" s="1">
        <v>2717.0</v>
      </c>
      <c r="AX1552" s="1">
        <v>2013.0</v>
      </c>
      <c r="AZ1552" s="1" t="s">
        <v>200</v>
      </c>
      <c r="BA1552" s="1" t="str">
        <f>"16052000050000"</f>
        <v>16052000050000</v>
      </c>
      <c r="BB1552" s="1" t="s">
        <v>200</v>
      </c>
      <c r="BC1552" s="1">
        <v>1202.0</v>
      </c>
      <c r="BD1552" s="1">
        <v>184370.0</v>
      </c>
      <c r="BE1552" s="2">
        <v>42094.0</v>
      </c>
      <c r="BF1552" s="1" t="s">
        <v>15723</v>
      </c>
      <c r="BH1552" s="1">
        <v>0.0</v>
      </c>
      <c r="BK1552" s="1" t="s">
        <v>204</v>
      </c>
      <c r="BL1552" s="1" t="str">
        <f>"1539"</f>
        <v>1539</v>
      </c>
      <c r="BM1552" s="1" t="str">
        <f t="shared" ref="BM1552:BM1554" si="1017">"0"</f>
        <v>0</v>
      </c>
      <c r="BN1552" s="1">
        <v>6000.0</v>
      </c>
      <c r="BO1552" s="1">
        <v>0.0</v>
      </c>
      <c r="BQ1552" s="1">
        <v>299.0</v>
      </c>
      <c r="BR1552" s="1">
        <v>299.0</v>
      </c>
      <c r="BS1552" s="1">
        <v>299.0</v>
      </c>
      <c r="BU1552" s="1" t="s">
        <v>211</v>
      </c>
      <c r="BV1552" s="1" t="s">
        <v>206</v>
      </c>
      <c r="BY1552" s="1" t="s">
        <v>264</v>
      </c>
      <c r="BZ1552" s="1" t="s">
        <v>206</v>
      </c>
      <c r="CC1552" s="1" t="s">
        <v>264</v>
      </c>
      <c r="CD1552" s="1" t="s">
        <v>206</v>
      </c>
      <c r="CG1552" s="1" t="s">
        <v>264</v>
      </c>
      <c r="CH1552" s="1" t="s">
        <v>206</v>
      </c>
      <c r="CK1552" s="1" t="s">
        <v>495</v>
      </c>
      <c r="CL1552" s="1" t="s">
        <v>206</v>
      </c>
      <c r="CO1552" s="1" t="s">
        <v>264</v>
      </c>
      <c r="CP1552" s="1" t="s">
        <v>42</v>
      </c>
      <c r="CS1552" s="1" t="s">
        <v>1875</v>
      </c>
      <c r="CT1552" s="1" t="s">
        <v>206</v>
      </c>
      <c r="CX1552" s="1" t="s">
        <v>204</v>
      </c>
      <c r="DA1552" s="1" t="s">
        <v>200</v>
      </c>
      <c r="DC1552" s="1" t="s">
        <v>216</v>
      </c>
      <c r="DE1552" s="1" t="s">
        <v>273</v>
      </c>
      <c r="DF1552" s="1" t="s">
        <v>219</v>
      </c>
      <c r="DH1552" s="1" t="s">
        <v>220</v>
      </c>
      <c r="DI1552" s="1" t="s">
        <v>789</v>
      </c>
      <c r="DJ1552" s="1" t="s">
        <v>222</v>
      </c>
      <c r="DL1552" s="1" t="s">
        <v>224</v>
      </c>
      <c r="DM1552" s="1" t="s">
        <v>229</v>
      </c>
      <c r="DN1552" s="1" t="s">
        <v>666</v>
      </c>
      <c r="DQ1552" s="1" t="s">
        <v>228</v>
      </c>
      <c r="DR1552" s="1" t="s">
        <v>229</v>
      </c>
      <c r="DV1552" s="1" t="s">
        <v>232</v>
      </c>
      <c r="DW1552" s="1" t="s">
        <v>279</v>
      </c>
      <c r="DX1552" s="1" t="s">
        <v>234</v>
      </c>
      <c r="DY1552" s="1" t="s">
        <v>704</v>
      </c>
      <c r="EA1552" s="1" t="s">
        <v>683</v>
      </c>
      <c r="EC1552" s="1" t="s">
        <v>685</v>
      </c>
      <c r="ED1552" s="1" t="s">
        <v>1761</v>
      </c>
      <c r="EM1552" s="1" t="s">
        <v>238</v>
      </c>
      <c r="EQ1552" s="1" t="s">
        <v>238</v>
      </c>
      <c r="EU1552" s="1" t="s">
        <v>238</v>
      </c>
      <c r="EY1552" s="1" t="s">
        <v>238</v>
      </c>
      <c r="FC1552" s="1" t="s">
        <v>238</v>
      </c>
      <c r="FF1552" s="1" t="s">
        <v>239</v>
      </c>
      <c r="FG1552" s="1" t="s">
        <v>192</v>
      </c>
      <c r="FH1552" s="1" t="s">
        <v>192</v>
      </c>
      <c r="FJ1552" s="1" t="s">
        <v>376</v>
      </c>
      <c r="FK1552" s="1" t="s">
        <v>229</v>
      </c>
      <c r="FL1552" s="1" t="s">
        <v>377</v>
      </c>
      <c r="FM1552" s="1">
        <v>8430.0</v>
      </c>
      <c r="FN1552" s="1" t="s">
        <v>378</v>
      </c>
      <c r="FO1552" s="1" t="s">
        <v>15724</v>
      </c>
      <c r="FP1552" s="1">
        <v>27714.0</v>
      </c>
      <c r="FU1552" s="1" t="s">
        <v>15725</v>
      </c>
      <c r="FV1552" s="1" t="s">
        <v>200</v>
      </c>
      <c r="FW1552" s="1" t="s">
        <v>382</v>
      </c>
      <c r="FX1552" s="1" t="s">
        <v>238</v>
      </c>
      <c r="FZ1552" s="1" t="s">
        <v>229</v>
      </c>
      <c r="GA1552" s="1" t="s">
        <v>291</v>
      </c>
      <c r="GB1552" s="2">
        <v>42146.0</v>
      </c>
    </row>
    <row r="1553">
      <c r="A1553" s="1">
        <v>199900.0</v>
      </c>
      <c r="B1553" s="1" t="s">
        <v>185</v>
      </c>
      <c r="C1553" s="1" t="str">
        <f>"08876906"</f>
        <v>08876906</v>
      </c>
      <c r="D1553" s="1" t="s">
        <v>186</v>
      </c>
      <c r="F1553" s="1" t="str">
        <f>"8015"</f>
        <v>8015</v>
      </c>
      <c r="G1553" s="2">
        <v>42094.0</v>
      </c>
      <c r="H1553" s="1">
        <v>199900.0</v>
      </c>
      <c r="I1553" s="1">
        <v>3.0</v>
      </c>
      <c r="J1553" s="1">
        <v>199900.0</v>
      </c>
      <c r="K1553" s="2">
        <v>42096.0</v>
      </c>
      <c r="L1553" s="1">
        <v>3.0</v>
      </c>
      <c r="M1553" s="2">
        <v>42096.0</v>
      </c>
      <c r="N1553" s="1" t="s">
        <v>249</v>
      </c>
      <c r="O1553" s="2">
        <v>42111.0</v>
      </c>
      <c r="P1553" s="1">
        <v>217671.0</v>
      </c>
      <c r="Q1553" s="1">
        <v>1109.0</v>
      </c>
      <c r="S1553" s="1">
        <v>4541.0</v>
      </c>
      <c r="T1553" s="1" t="s">
        <v>15726</v>
      </c>
      <c r="U1553" s="1" t="s">
        <v>189</v>
      </c>
      <c r="V1553" s="1" t="s">
        <v>190</v>
      </c>
      <c r="W1553" s="1">
        <v>60630.0</v>
      </c>
      <c r="Y1553" s="1" t="s">
        <v>15727</v>
      </c>
      <c r="Z1553" s="1">
        <v>1923.0</v>
      </c>
      <c r="AA1553" s="1" t="s">
        <v>192</v>
      </c>
      <c r="AB1553" s="1" t="s">
        <v>193</v>
      </c>
      <c r="AD1553" s="1" t="s">
        <v>194</v>
      </c>
      <c r="AE1553" s="1" t="s">
        <v>195</v>
      </c>
      <c r="AF1553" s="1" t="s">
        <v>196</v>
      </c>
      <c r="AH1553" s="1" t="s">
        <v>5314</v>
      </c>
      <c r="AI1553" s="1">
        <v>0.1012</v>
      </c>
      <c r="AK1553" s="1">
        <v>11.0</v>
      </c>
      <c r="AL1553" s="1">
        <v>2.0</v>
      </c>
      <c r="AM1553" s="1">
        <v>2.0</v>
      </c>
      <c r="AN1553" s="1">
        <v>0.0</v>
      </c>
      <c r="AO1553" s="1" t="s">
        <v>229</v>
      </c>
      <c r="AQ1553" s="1" t="s">
        <v>198</v>
      </c>
      <c r="AR1553" s="1" t="s">
        <v>192</v>
      </c>
      <c r="AS1553" s="1" t="s">
        <v>199</v>
      </c>
      <c r="AT1553" s="1">
        <v>1.5</v>
      </c>
      <c r="AV1553" s="1" t="s">
        <v>200</v>
      </c>
      <c r="AW1553" s="1">
        <v>4804.4</v>
      </c>
      <c r="AX1553" s="1">
        <v>2013.0</v>
      </c>
      <c r="AZ1553" s="1" t="s">
        <v>200</v>
      </c>
      <c r="BA1553" s="1" t="str">
        <f>"13171120100000"</f>
        <v>13171120100000</v>
      </c>
      <c r="BC1553" s="1">
        <v>1650.0</v>
      </c>
      <c r="BD1553" s="1">
        <v>199900.0</v>
      </c>
      <c r="BE1553" s="2">
        <v>42094.0</v>
      </c>
      <c r="BF1553" s="2" t="s">
        <v>15728</v>
      </c>
      <c r="BH1553" s="1">
        <v>0.0</v>
      </c>
      <c r="BK1553" s="1" t="s">
        <v>204</v>
      </c>
      <c r="BL1553" s="1" t="str">
        <f>"4541"</f>
        <v>4541</v>
      </c>
      <c r="BM1553" s="1" t="str">
        <f t="shared" si="1017"/>
        <v>0</v>
      </c>
      <c r="BN1553" s="1">
        <v>6200.0</v>
      </c>
      <c r="BO1553" s="1">
        <v>0.0</v>
      </c>
      <c r="BQ1553" s="1">
        <v>299.0</v>
      </c>
      <c r="BR1553" s="1">
        <v>299.0</v>
      </c>
      <c r="BS1553" s="1">
        <v>299.0</v>
      </c>
      <c r="BU1553" s="1" t="s">
        <v>302</v>
      </c>
      <c r="BV1553" s="1" t="s">
        <v>206</v>
      </c>
      <c r="BW1553" s="1" t="s">
        <v>207</v>
      </c>
      <c r="BX1553" s="1" t="s">
        <v>239</v>
      </c>
      <c r="BY1553" s="1" t="s">
        <v>5640</v>
      </c>
      <c r="BZ1553" s="1" t="s">
        <v>42</v>
      </c>
      <c r="CA1553" s="1" t="s">
        <v>210</v>
      </c>
      <c r="CB1553" s="1" t="s">
        <v>239</v>
      </c>
      <c r="CC1553" s="1" t="s">
        <v>212</v>
      </c>
      <c r="CD1553" s="1" t="s">
        <v>206</v>
      </c>
      <c r="CE1553" s="1" t="s">
        <v>207</v>
      </c>
      <c r="CF1553" s="1" t="s">
        <v>239</v>
      </c>
      <c r="CG1553" s="1" t="s">
        <v>212</v>
      </c>
      <c r="CH1553" s="1" t="s">
        <v>42</v>
      </c>
      <c r="CI1553" s="1" t="s">
        <v>210</v>
      </c>
      <c r="CJ1553" s="1" t="s">
        <v>239</v>
      </c>
      <c r="CK1553" s="1" t="s">
        <v>2047</v>
      </c>
      <c r="CL1553" s="1" t="s">
        <v>206</v>
      </c>
      <c r="CM1553" s="1" t="s">
        <v>210</v>
      </c>
      <c r="CN1553" s="1" t="s">
        <v>239</v>
      </c>
      <c r="CO1553" s="1" t="s">
        <v>265</v>
      </c>
      <c r="CP1553" s="1" t="s">
        <v>206</v>
      </c>
      <c r="CQ1553" s="1" t="s">
        <v>210</v>
      </c>
      <c r="CR1553" s="1" t="s">
        <v>239</v>
      </c>
      <c r="CS1553" s="1" t="s">
        <v>264</v>
      </c>
      <c r="CT1553" s="1" t="s">
        <v>206</v>
      </c>
      <c r="CU1553" s="1" t="s">
        <v>617</v>
      </c>
      <c r="CV1553" s="1" t="s">
        <v>239</v>
      </c>
      <c r="CW1553" s="1" t="s">
        <v>543</v>
      </c>
      <c r="CX1553" s="1" t="s">
        <v>42</v>
      </c>
      <c r="CY1553" s="1" t="s">
        <v>210</v>
      </c>
      <c r="CZ1553" s="1" t="s">
        <v>239</v>
      </c>
      <c r="DA1553" s="1" t="s">
        <v>200</v>
      </c>
      <c r="DC1553" s="1" t="s">
        <v>216</v>
      </c>
      <c r="DE1553" s="1" t="s">
        <v>273</v>
      </c>
      <c r="DF1553" s="1" t="s">
        <v>219</v>
      </c>
      <c r="DH1553" s="1" t="s">
        <v>365</v>
      </c>
      <c r="DI1553" s="1" t="s">
        <v>831</v>
      </c>
      <c r="DJ1553" s="1" t="s">
        <v>1379</v>
      </c>
      <c r="DL1553" s="1" t="s">
        <v>224</v>
      </c>
      <c r="DM1553" s="1" t="s">
        <v>229</v>
      </c>
      <c r="DQ1553" s="1" t="s">
        <v>228</v>
      </c>
      <c r="DR1553" s="1" t="s">
        <v>229</v>
      </c>
      <c r="DS1553" s="1" t="s">
        <v>277</v>
      </c>
      <c r="DV1553" s="1" t="s">
        <v>15729</v>
      </c>
      <c r="DW1553" s="1" t="s">
        <v>444</v>
      </c>
      <c r="DX1553" s="1" t="s">
        <v>234</v>
      </c>
      <c r="DY1553" s="1" t="s">
        <v>704</v>
      </c>
      <c r="EC1553" s="1" t="s">
        <v>685</v>
      </c>
      <c r="EH1553" s="1" t="s">
        <v>1121</v>
      </c>
      <c r="EI1553" s="1" t="s">
        <v>374</v>
      </c>
      <c r="EJ1553" s="1" t="s">
        <v>557</v>
      </c>
      <c r="EK1553" s="1" t="s">
        <v>114</v>
      </c>
      <c r="EM1553" s="1" t="s">
        <v>238</v>
      </c>
      <c r="EP1553" s="1" t="s">
        <v>263</v>
      </c>
      <c r="EQ1553" s="1" t="s">
        <v>42</v>
      </c>
      <c r="ET1553" s="1" t="s">
        <v>560</v>
      </c>
      <c r="EU1553" s="1" t="s">
        <v>206</v>
      </c>
      <c r="EX1553" s="1" t="s">
        <v>971</v>
      </c>
      <c r="EY1553" s="1" t="s">
        <v>206</v>
      </c>
      <c r="EZ1553" s="1" t="s">
        <v>617</v>
      </c>
      <c r="FB1553" s="1" t="s">
        <v>5762</v>
      </c>
      <c r="FC1553" s="1" t="s">
        <v>114</v>
      </c>
      <c r="FD1553" s="1" t="s">
        <v>588</v>
      </c>
      <c r="FF1553" s="1" t="s">
        <v>239</v>
      </c>
      <c r="FG1553" s="1" t="s">
        <v>192</v>
      </c>
      <c r="FH1553" s="1" t="s">
        <v>192</v>
      </c>
      <c r="FJ1553" s="1" t="s">
        <v>1450</v>
      </c>
      <c r="FK1553" s="1" t="s">
        <v>229</v>
      </c>
      <c r="FL1553" s="1" t="s">
        <v>2263</v>
      </c>
      <c r="FM1553" s="1">
        <v>8094.0</v>
      </c>
      <c r="FN1553" s="1" t="s">
        <v>2264</v>
      </c>
      <c r="FO1553" s="1" t="s">
        <v>15730</v>
      </c>
      <c r="FP1553" s="1">
        <v>81985.0</v>
      </c>
      <c r="FQ1553" s="1" t="s">
        <v>15731</v>
      </c>
      <c r="FU1553" s="1" t="s">
        <v>15732</v>
      </c>
      <c r="FV1553" s="1" t="s">
        <v>200</v>
      </c>
      <c r="FW1553" s="1" t="s">
        <v>290</v>
      </c>
      <c r="FX1553" s="1" t="s">
        <v>238</v>
      </c>
      <c r="FZ1553" s="1" t="s">
        <v>229</v>
      </c>
      <c r="GA1553" s="1" t="s">
        <v>291</v>
      </c>
      <c r="GB1553" s="2">
        <v>42114.0</v>
      </c>
    </row>
    <row r="1554">
      <c r="A1554" s="1">
        <v>1162000.0</v>
      </c>
      <c r="B1554" s="1" t="s">
        <v>185</v>
      </c>
      <c r="C1554" s="1" t="str">
        <f>"08875776"</f>
        <v>08875776</v>
      </c>
      <c r="D1554" s="1" t="s">
        <v>186</v>
      </c>
      <c r="F1554" s="1" t="str">
        <f>"8006"</f>
        <v>8006</v>
      </c>
      <c r="G1554" s="2">
        <v>42093.0</v>
      </c>
      <c r="H1554" s="1">
        <v>1190000.0</v>
      </c>
      <c r="I1554" s="1">
        <v>2.0</v>
      </c>
      <c r="J1554" s="1">
        <v>1190000.0</v>
      </c>
      <c r="K1554" s="2">
        <v>42094.0</v>
      </c>
      <c r="L1554" s="1">
        <v>2.0</v>
      </c>
      <c r="M1554" s="2">
        <v>42094.0</v>
      </c>
      <c r="N1554" s="1" t="s">
        <v>187</v>
      </c>
      <c r="O1554" s="2">
        <v>42095.0</v>
      </c>
      <c r="P1554" s="1">
        <v>106219.0</v>
      </c>
      <c r="Q1554" s="1">
        <v>85774.0</v>
      </c>
      <c r="S1554" s="1">
        <v>1442.0</v>
      </c>
      <c r="T1554" s="1" t="s">
        <v>7770</v>
      </c>
      <c r="U1554" s="1" t="s">
        <v>320</v>
      </c>
      <c r="V1554" s="1" t="s">
        <v>190</v>
      </c>
      <c r="W1554" s="1">
        <v>60657.0</v>
      </c>
      <c r="Y1554" s="1" t="s">
        <v>15733</v>
      </c>
      <c r="Z1554" s="1">
        <v>1997.0</v>
      </c>
      <c r="AA1554" s="1" t="s">
        <v>200</v>
      </c>
      <c r="AB1554" s="1" t="s">
        <v>193</v>
      </c>
      <c r="AD1554" s="1" t="s">
        <v>194</v>
      </c>
      <c r="AE1554" s="1" t="s">
        <v>195</v>
      </c>
      <c r="AF1554" s="1" t="s">
        <v>534</v>
      </c>
      <c r="AH1554" s="1" t="s">
        <v>6548</v>
      </c>
      <c r="AK1554" s="1">
        <v>8.0</v>
      </c>
      <c r="AL1554" s="1">
        <v>3.0</v>
      </c>
      <c r="AM1554" s="1">
        <v>3.0</v>
      </c>
      <c r="AN1554" s="1">
        <v>1.0</v>
      </c>
      <c r="AO1554" s="1" t="s">
        <v>198</v>
      </c>
      <c r="AP1554" s="1">
        <v>3.0</v>
      </c>
      <c r="AQ1554" s="1" t="s">
        <v>198</v>
      </c>
      <c r="AR1554" s="1" t="s">
        <v>192</v>
      </c>
      <c r="AS1554" s="1" t="s">
        <v>199</v>
      </c>
      <c r="AT1554" s="1">
        <v>2.0</v>
      </c>
      <c r="AV1554" s="1" t="s">
        <v>200</v>
      </c>
      <c r="AW1554" s="1">
        <v>17085.0</v>
      </c>
      <c r="AX1554" s="1">
        <v>2013.0</v>
      </c>
      <c r="AZ1554" s="1" t="s">
        <v>200</v>
      </c>
      <c r="BA1554" s="1" t="str">
        <f>"14291210290000"</f>
        <v>14291210290000</v>
      </c>
      <c r="BC1554" s="1">
        <v>0.0</v>
      </c>
      <c r="BD1554" s="1">
        <v>1162000.0</v>
      </c>
      <c r="BE1554" s="2">
        <v>42093.0</v>
      </c>
      <c r="BF1554" s="2" t="s">
        <v>15734</v>
      </c>
      <c r="BH1554" s="1">
        <v>0.0</v>
      </c>
      <c r="BK1554" s="1" t="s">
        <v>204</v>
      </c>
      <c r="BL1554" s="1" t="str">
        <f>"2900"</f>
        <v>2900</v>
      </c>
      <c r="BM1554" s="1" t="str">
        <f t="shared" si="1017"/>
        <v>0</v>
      </c>
      <c r="BN1554" s="1">
        <v>1442.0</v>
      </c>
      <c r="BO1554" s="1">
        <v>0.0</v>
      </c>
      <c r="BQ1554" s="1">
        <v>299.0</v>
      </c>
      <c r="BR1554" s="1">
        <v>299.0</v>
      </c>
      <c r="BS1554" s="1">
        <v>299.0</v>
      </c>
      <c r="BU1554" s="1" t="s">
        <v>334</v>
      </c>
      <c r="BV1554" s="1" t="s">
        <v>206</v>
      </c>
      <c r="BW1554" s="1" t="s">
        <v>207</v>
      </c>
      <c r="BY1554" s="1" t="s">
        <v>334</v>
      </c>
      <c r="BZ1554" s="1" t="s">
        <v>209</v>
      </c>
      <c r="CA1554" s="1" t="s">
        <v>207</v>
      </c>
      <c r="CC1554" s="1" t="s">
        <v>1426</v>
      </c>
      <c r="CD1554" s="1" t="s">
        <v>206</v>
      </c>
      <c r="CE1554" s="1" t="s">
        <v>207</v>
      </c>
      <c r="CG1554" s="1" t="s">
        <v>2647</v>
      </c>
      <c r="CH1554" s="1" t="s">
        <v>209</v>
      </c>
      <c r="CI1554" s="1" t="s">
        <v>207</v>
      </c>
      <c r="CK1554" s="1" t="s">
        <v>663</v>
      </c>
      <c r="CL1554" s="1" t="s">
        <v>209</v>
      </c>
      <c r="CM1554" s="1" t="s">
        <v>207</v>
      </c>
      <c r="CO1554" s="1" t="s">
        <v>208</v>
      </c>
      <c r="CP1554" s="1" t="s">
        <v>42</v>
      </c>
      <c r="CQ1554" s="1" t="s">
        <v>207</v>
      </c>
      <c r="CS1554" s="1" t="s">
        <v>616</v>
      </c>
      <c r="CT1554" s="1" t="s">
        <v>206</v>
      </c>
      <c r="CU1554" s="1" t="s">
        <v>207</v>
      </c>
      <c r="CW1554" s="1" t="s">
        <v>334</v>
      </c>
      <c r="CX1554" s="1" t="s">
        <v>42</v>
      </c>
      <c r="CY1554" s="1" t="s">
        <v>210</v>
      </c>
      <c r="DA1554" s="1" t="s">
        <v>200</v>
      </c>
      <c r="DC1554" s="1" t="s">
        <v>678</v>
      </c>
      <c r="DD1554" s="1" t="s">
        <v>957</v>
      </c>
      <c r="DE1554" s="1" t="s">
        <v>273</v>
      </c>
      <c r="DF1554" s="1" t="s">
        <v>219</v>
      </c>
      <c r="DH1554" s="1" t="s">
        <v>220</v>
      </c>
      <c r="DI1554" s="1" t="s">
        <v>15735</v>
      </c>
      <c r="DJ1554" s="1" t="s">
        <v>222</v>
      </c>
      <c r="DK1554" s="1" t="s">
        <v>3740</v>
      </c>
      <c r="DL1554" s="1" t="s">
        <v>224</v>
      </c>
      <c r="DM1554" s="1" t="s">
        <v>229</v>
      </c>
      <c r="DN1554" s="1" t="s">
        <v>399</v>
      </c>
      <c r="DP1554" s="1" t="s">
        <v>276</v>
      </c>
      <c r="DQ1554" s="1" t="s">
        <v>718</v>
      </c>
      <c r="DR1554" s="1" t="s">
        <v>229</v>
      </c>
      <c r="DS1554" s="1" t="s">
        <v>230</v>
      </c>
      <c r="DU1554" s="1" t="s">
        <v>15736</v>
      </c>
      <c r="DV1554" s="1" t="s">
        <v>232</v>
      </c>
      <c r="DW1554" s="1" t="s">
        <v>667</v>
      </c>
      <c r="DX1554" s="1" t="s">
        <v>234</v>
      </c>
      <c r="EA1554" s="1" t="s">
        <v>3112</v>
      </c>
      <c r="EB1554" s="1" t="s">
        <v>345</v>
      </c>
      <c r="EC1554" s="1" t="s">
        <v>237</v>
      </c>
      <c r="EM1554" s="1" t="s">
        <v>238</v>
      </c>
      <c r="EQ1554" s="1" t="s">
        <v>238</v>
      </c>
      <c r="EU1554" s="1" t="s">
        <v>238</v>
      </c>
      <c r="EY1554" s="1" t="s">
        <v>238</v>
      </c>
      <c r="FC1554" s="1" t="s">
        <v>238</v>
      </c>
      <c r="FF1554" s="1" t="s">
        <v>239</v>
      </c>
      <c r="FG1554" s="1" t="s">
        <v>192</v>
      </c>
      <c r="FH1554" s="1" t="s">
        <v>192</v>
      </c>
      <c r="FJ1554" s="1" t="s">
        <v>561</v>
      </c>
      <c r="FK1554" s="1" t="s">
        <v>229</v>
      </c>
      <c r="FL1554" s="1" t="s">
        <v>562</v>
      </c>
      <c r="FM1554" s="1">
        <v>17665.0</v>
      </c>
      <c r="FN1554" s="1" t="s">
        <v>2998</v>
      </c>
      <c r="FO1554" s="1" t="s">
        <v>15737</v>
      </c>
      <c r="FP1554" s="1">
        <v>140169.0</v>
      </c>
      <c r="FQ1554" s="1" t="s">
        <v>15738</v>
      </c>
      <c r="FU1554" s="1" t="s">
        <v>9035</v>
      </c>
      <c r="FV1554" s="1" t="s">
        <v>200</v>
      </c>
      <c r="FW1554" s="1" t="s">
        <v>290</v>
      </c>
      <c r="FX1554" s="1" t="s">
        <v>246</v>
      </c>
      <c r="FZ1554" s="1" t="s">
        <v>229</v>
      </c>
      <c r="GA1554" s="1" t="s">
        <v>291</v>
      </c>
      <c r="GB1554" s="2">
        <v>42095.0</v>
      </c>
    </row>
    <row r="1555">
      <c r="A1555" s="1">
        <v>350000.0</v>
      </c>
      <c r="B1555" s="1" t="s">
        <v>185</v>
      </c>
      <c r="C1555" s="1" t="str">
        <f>"08875852"</f>
        <v>08875852</v>
      </c>
      <c r="D1555" s="1" t="s">
        <v>186</v>
      </c>
      <c r="F1555" s="1" t="str">
        <f>"510"</f>
        <v>510</v>
      </c>
      <c r="G1555" s="2">
        <v>42093.0</v>
      </c>
      <c r="H1555" s="1">
        <v>367500.0</v>
      </c>
      <c r="I1555" s="1">
        <v>12.0</v>
      </c>
      <c r="J1555" s="1">
        <v>367500.0</v>
      </c>
      <c r="K1555" s="2">
        <v>42104.0</v>
      </c>
      <c r="L1555" s="1">
        <v>12.0</v>
      </c>
      <c r="M1555" s="2">
        <v>42104.0</v>
      </c>
      <c r="N1555" s="1" t="s">
        <v>356</v>
      </c>
      <c r="O1555" s="2">
        <v>42145.0</v>
      </c>
      <c r="P1555" s="1">
        <v>500.0</v>
      </c>
      <c r="Q1555" s="1">
        <v>30.0</v>
      </c>
      <c r="S1555" s="1">
        <v>1118.0</v>
      </c>
      <c r="T1555" s="1" t="s">
        <v>15739</v>
      </c>
      <c r="U1555" s="1" t="s">
        <v>420</v>
      </c>
      <c r="V1555" s="1" t="s">
        <v>2700</v>
      </c>
      <c r="W1555" s="1">
        <v>60510.0</v>
      </c>
      <c r="Y1555" s="1" t="s">
        <v>15740</v>
      </c>
      <c r="Z1555" s="1">
        <v>1990.0</v>
      </c>
      <c r="AA1555" s="1" t="s">
        <v>200</v>
      </c>
      <c r="AB1555" s="1" t="s">
        <v>193</v>
      </c>
      <c r="AC1555" s="1" t="s">
        <v>1596</v>
      </c>
      <c r="AD1555" s="1" t="s">
        <v>2702</v>
      </c>
      <c r="AE1555" s="1" t="s">
        <v>325</v>
      </c>
      <c r="AF1555" s="1" t="s">
        <v>2702</v>
      </c>
      <c r="AH1555" s="1" t="s">
        <v>15741</v>
      </c>
      <c r="AK1555" s="1">
        <v>11.0</v>
      </c>
      <c r="AL1555" s="1">
        <v>4.0</v>
      </c>
      <c r="AM1555" s="1">
        <v>2.0</v>
      </c>
      <c r="AN1555" s="1">
        <v>1.0</v>
      </c>
      <c r="AO1555" s="1" t="s">
        <v>198</v>
      </c>
      <c r="AP1555" s="1">
        <v>1.0</v>
      </c>
      <c r="AQ1555" s="1" t="s">
        <v>198</v>
      </c>
      <c r="AR1555" s="1" t="s">
        <v>200</v>
      </c>
      <c r="AS1555" s="1" t="s">
        <v>199</v>
      </c>
      <c r="AT1555" s="1">
        <v>2.0</v>
      </c>
      <c r="AV1555" s="1" t="s">
        <v>200</v>
      </c>
      <c r="AW1555" s="1">
        <v>10648.38</v>
      </c>
      <c r="AX1555" s="1">
        <v>2014.0</v>
      </c>
      <c r="AY1555" s="1" t="s">
        <v>387</v>
      </c>
      <c r="AZ1555" s="1" t="s">
        <v>200</v>
      </c>
      <c r="BA1555" s="1" t="str">
        <f>"1228252038"</f>
        <v>1228252038</v>
      </c>
      <c r="BB1555" s="1" t="s">
        <v>200</v>
      </c>
      <c r="BC1555" s="1">
        <v>2857.0</v>
      </c>
      <c r="BD1555" s="1">
        <v>350000.0</v>
      </c>
      <c r="BE1555" s="2">
        <v>42093.0</v>
      </c>
      <c r="BF1555" s="2" t="s">
        <v>15742</v>
      </c>
      <c r="BH1555" s="1">
        <v>0.0</v>
      </c>
      <c r="BK1555" s="1" t="s">
        <v>204</v>
      </c>
      <c r="BL1555" s="1" t="str">
        <f t="shared" ref="BL1555:BM1555" si="1018">""</f>
        <v/>
      </c>
      <c r="BM1555" s="1" t="str">
        <f t="shared" si="1018"/>
        <v/>
      </c>
      <c r="BQ1555" s="1">
        <v>101.0</v>
      </c>
      <c r="BR1555" s="1">
        <v>101.0</v>
      </c>
      <c r="BS1555" s="1">
        <v>101.0</v>
      </c>
      <c r="BU1555" s="1" t="s">
        <v>478</v>
      </c>
      <c r="BV1555" s="1" t="s">
        <v>206</v>
      </c>
      <c r="BW1555" s="1" t="s">
        <v>210</v>
      </c>
      <c r="BX1555" s="1" t="s">
        <v>431</v>
      </c>
      <c r="BY1555" s="1" t="s">
        <v>2442</v>
      </c>
      <c r="BZ1555" s="1" t="s">
        <v>209</v>
      </c>
      <c r="CA1555" s="1" t="s">
        <v>210</v>
      </c>
      <c r="CB1555" s="1" t="s">
        <v>431</v>
      </c>
      <c r="CC1555" s="1" t="s">
        <v>830</v>
      </c>
      <c r="CD1555" s="1" t="s">
        <v>206</v>
      </c>
      <c r="CE1555" s="1" t="s">
        <v>210</v>
      </c>
      <c r="CF1555" s="1" t="s">
        <v>431</v>
      </c>
      <c r="CG1555" s="1" t="s">
        <v>1329</v>
      </c>
      <c r="CH1555" s="1" t="s">
        <v>209</v>
      </c>
      <c r="CI1555" s="1" t="s">
        <v>210</v>
      </c>
      <c r="CJ1555" s="1" t="s">
        <v>261</v>
      </c>
      <c r="CK1555" s="1" t="s">
        <v>1417</v>
      </c>
      <c r="CL1555" s="1" t="s">
        <v>209</v>
      </c>
      <c r="CM1555" s="1" t="s">
        <v>210</v>
      </c>
      <c r="CN1555" s="1" t="s">
        <v>431</v>
      </c>
      <c r="CO1555" s="1" t="s">
        <v>1351</v>
      </c>
      <c r="CP1555" s="1" t="s">
        <v>206</v>
      </c>
      <c r="CQ1555" s="1" t="s">
        <v>210</v>
      </c>
      <c r="CR1555" s="1" t="s">
        <v>431</v>
      </c>
      <c r="CS1555" s="1" t="s">
        <v>1395</v>
      </c>
      <c r="CT1555" s="1" t="s">
        <v>206</v>
      </c>
      <c r="CU1555" s="1" t="s">
        <v>207</v>
      </c>
      <c r="CV1555" s="1" t="s">
        <v>261</v>
      </c>
      <c r="CW1555" s="1" t="s">
        <v>1045</v>
      </c>
      <c r="CX1555" s="1" t="s">
        <v>206</v>
      </c>
      <c r="CY1555" s="1" t="s">
        <v>210</v>
      </c>
      <c r="CZ1555" s="1" t="s">
        <v>431</v>
      </c>
      <c r="DA1555" s="1" t="s">
        <v>200</v>
      </c>
      <c r="DC1555" s="1" t="s">
        <v>435</v>
      </c>
      <c r="DD1555" s="1" t="s">
        <v>1428</v>
      </c>
      <c r="DE1555" s="1" t="s">
        <v>273</v>
      </c>
      <c r="DF1555" s="1" t="s">
        <v>219</v>
      </c>
      <c r="DG1555" s="1" t="s">
        <v>482</v>
      </c>
      <c r="DH1555" s="1" t="s">
        <v>220</v>
      </c>
      <c r="DI1555" s="1" t="s">
        <v>519</v>
      </c>
      <c r="DJ1555" s="1" t="s">
        <v>222</v>
      </c>
      <c r="DK1555" s="1" t="s">
        <v>2312</v>
      </c>
      <c r="DL1555" s="1" t="s">
        <v>858</v>
      </c>
      <c r="DM1555" s="1" t="s">
        <v>338</v>
      </c>
      <c r="DN1555" s="1" t="s">
        <v>399</v>
      </c>
      <c r="DO1555" s="1" t="s">
        <v>1979</v>
      </c>
      <c r="DP1555" s="1" t="s">
        <v>340</v>
      </c>
      <c r="DQ1555" s="1" t="s">
        <v>441</v>
      </c>
      <c r="DR1555" s="1" t="s">
        <v>229</v>
      </c>
      <c r="DS1555" s="1" t="s">
        <v>230</v>
      </c>
      <c r="DU1555" s="1" t="s">
        <v>2222</v>
      </c>
      <c r="DV1555" s="1" t="s">
        <v>15743</v>
      </c>
      <c r="DW1555" s="1" t="s">
        <v>934</v>
      </c>
      <c r="DX1555" s="1" t="s">
        <v>234</v>
      </c>
      <c r="DY1555" s="1" t="s">
        <v>7854</v>
      </c>
      <c r="DZ1555" s="1" t="s">
        <v>310</v>
      </c>
      <c r="EA1555" s="1" t="s">
        <v>3308</v>
      </c>
      <c r="EB1555" s="1" t="s">
        <v>2183</v>
      </c>
      <c r="EC1555" s="1" t="s">
        <v>237</v>
      </c>
      <c r="ED1555" s="1" t="s">
        <v>407</v>
      </c>
      <c r="EE1555" s="1" t="s">
        <v>187</v>
      </c>
      <c r="EG1555" s="1" t="s">
        <v>450</v>
      </c>
      <c r="EH1555" s="1" t="s">
        <v>1467</v>
      </c>
      <c r="EI1555" s="1" t="s">
        <v>598</v>
      </c>
      <c r="EL1555" s="1" t="s">
        <v>676</v>
      </c>
      <c r="EM1555" s="1" t="s">
        <v>42</v>
      </c>
      <c r="EN1555" s="1" t="s">
        <v>617</v>
      </c>
      <c r="EO1555" s="1" t="s">
        <v>229</v>
      </c>
      <c r="EP1555" s="1" t="s">
        <v>300</v>
      </c>
      <c r="EQ1555" s="1" t="s">
        <v>42</v>
      </c>
      <c r="ER1555" s="1" t="s">
        <v>617</v>
      </c>
      <c r="ES1555" s="1" t="s">
        <v>229</v>
      </c>
      <c r="ET1555" s="1" t="s">
        <v>1352</v>
      </c>
      <c r="EU1555" s="1" t="s">
        <v>206</v>
      </c>
      <c r="EV1555" s="1" t="s">
        <v>210</v>
      </c>
      <c r="EW1555" s="1" t="s">
        <v>431</v>
      </c>
      <c r="EY1555" s="1" t="s">
        <v>238</v>
      </c>
      <c r="FC1555" s="1" t="s">
        <v>238</v>
      </c>
      <c r="FF1555" s="1" t="s">
        <v>239</v>
      </c>
      <c r="FG1555" s="1" t="s">
        <v>192</v>
      </c>
      <c r="FH1555" s="1" t="s">
        <v>192</v>
      </c>
      <c r="FJ1555" s="1" t="s">
        <v>11531</v>
      </c>
      <c r="FK1555" s="1" t="s">
        <v>229</v>
      </c>
      <c r="FL1555" s="1" t="s">
        <v>1212</v>
      </c>
      <c r="FM1555" s="1">
        <v>30.0</v>
      </c>
      <c r="FN1555" s="1" t="s">
        <v>1213</v>
      </c>
      <c r="FO1555" s="1" t="s">
        <v>5594</v>
      </c>
      <c r="FP1555" s="1">
        <v>500.0</v>
      </c>
      <c r="FQ1555" s="1" t="s">
        <v>5595</v>
      </c>
      <c r="FU1555" s="1" t="s">
        <v>3617</v>
      </c>
      <c r="FV1555" s="1" t="s">
        <v>200</v>
      </c>
      <c r="FW1555" s="1" t="s">
        <v>290</v>
      </c>
      <c r="FZ1555" s="1" t="s">
        <v>229</v>
      </c>
      <c r="GA1555" s="1" t="s">
        <v>291</v>
      </c>
      <c r="GB1555" s="2">
        <v>42146.0</v>
      </c>
    </row>
    <row r="1556">
      <c r="A1556" s="1">
        <v>180000.0</v>
      </c>
      <c r="B1556" s="1" t="s">
        <v>185</v>
      </c>
      <c r="C1556" s="1" t="str">
        <f>"08876161"</f>
        <v>08876161</v>
      </c>
      <c r="D1556" s="1" t="s">
        <v>186</v>
      </c>
      <c r="F1556" s="1" t="str">
        <f>"8019"</f>
        <v>8019</v>
      </c>
      <c r="G1556" s="2">
        <v>42093.0</v>
      </c>
      <c r="H1556" s="1">
        <v>175000.0</v>
      </c>
      <c r="I1556" s="1">
        <v>20.0</v>
      </c>
      <c r="J1556" s="1">
        <v>175000.0</v>
      </c>
      <c r="K1556" s="2">
        <v>42112.0</v>
      </c>
      <c r="L1556" s="1">
        <v>20.0</v>
      </c>
      <c r="M1556" s="2">
        <v>42112.0</v>
      </c>
      <c r="N1556" s="1" t="s">
        <v>187</v>
      </c>
      <c r="O1556" s="2">
        <v>42146.0</v>
      </c>
      <c r="P1556" s="1">
        <v>116817.0</v>
      </c>
      <c r="Q1556" s="1">
        <v>15904.0</v>
      </c>
      <c r="S1556" s="1">
        <v>2631.0</v>
      </c>
      <c r="T1556" s="1" t="s">
        <v>9331</v>
      </c>
      <c r="U1556" s="1" t="s">
        <v>189</v>
      </c>
      <c r="V1556" s="1" t="s">
        <v>190</v>
      </c>
      <c r="W1556" s="1">
        <v>60639.0</v>
      </c>
      <c r="Y1556" s="1" t="s">
        <v>15744</v>
      </c>
      <c r="Z1556" s="1">
        <v>1920.0</v>
      </c>
      <c r="AA1556" s="1" t="s">
        <v>192</v>
      </c>
      <c r="AB1556" s="1" t="s">
        <v>193</v>
      </c>
      <c r="AD1556" s="1" t="s">
        <v>194</v>
      </c>
      <c r="AE1556" s="1" t="s">
        <v>195</v>
      </c>
      <c r="AF1556" s="1" t="s">
        <v>196</v>
      </c>
      <c r="AH1556" s="1" t="s">
        <v>1460</v>
      </c>
      <c r="AK1556" s="1">
        <v>10.0</v>
      </c>
      <c r="AL1556" s="1">
        <v>4.0</v>
      </c>
      <c r="AM1556" s="1">
        <v>2.0</v>
      </c>
      <c r="AN1556" s="1">
        <v>0.0</v>
      </c>
      <c r="AO1556" s="1" t="s">
        <v>229</v>
      </c>
      <c r="AP1556" s="1">
        <v>0.0</v>
      </c>
      <c r="AQ1556" s="1" t="s">
        <v>198</v>
      </c>
      <c r="AR1556" s="1" t="s">
        <v>200</v>
      </c>
      <c r="AS1556" s="1" t="s">
        <v>199</v>
      </c>
      <c r="AT1556" s="1">
        <v>2.1</v>
      </c>
      <c r="AV1556" s="1" t="s">
        <v>200</v>
      </c>
      <c r="AW1556" s="1">
        <v>613.89</v>
      </c>
      <c r="AX1556" s="1">
        <v>2013.0</v>
      </c>
      <c r="AY1556" s="1" t="s">
        <v>1179</v>
      </c>
      <c r="AZ1556" s="1" t="s">
        <v>545</v>
      </c>
      <c r="BA1556" s="1" t="str">
        <f>"13293150080000"</f>
        <v>13293150080000</v>
      </c>
      <c r="BC1556" s="1">
        <v>0.0</v>
      </c>
      <c r="BD1556" s="1">
        <v>180000.0</v>
      </c>
      <c r="BE1556" s="2">
        <v>42093.0</v>
      </c>
      <c r="BF1556" s="2" t="s">
        <v>15745</v>
      </c>
      <c r="BH1556" s="1">
        <v>0.0</v>
      </c>
      <c r="BK1556" s="1" t="s">
        <v>204</v>
      </c>
      <c r="BL1556" s="1" t="str">
        <f>"2600"</f>
        <v>2600</v>
      </c>
      <c r="BM1556" s="1" t="str">
        <f t="shared" ref="BM1556:BM1559" si="1019">"0"</f>
        <v>0</v>
      </c>
      <c r="BN1556" s="1">
        <v>6100.0</v>
      </c>
      <c r="BO1556" s="1">
        <v>0.0</v>
      </c>
      <c r="BQ1556" s="1">
        <v>299.0</v>
      </c>
      <c r="BR1556" s="1">
        <v>299.0</v>
      </c>
      <c r="BS1556" s="1">
        <v>299.0</v>
      </c>
      <c r="BU1556" s="1" t="s">
        <v>264</v>
      </c>
      <c r="BV1556" s="1" t="s">
        <v>206</v>
      </c>
      <c r="BW1556" s="1" t="s">
        <v>207</v>
      </c>
      <c r="BY1556" s="1" t="s">
        <v>332</v>
      </c>
      <c r="BZ1556" s="1" t="s">
        <v>206</v>
      </c>
      <c r="CA1556" s="1" t="s">
        <v>207</v>
      </c>
      <c r="CC1556" s="1" t="s">
        <v>212</v>
      </c>
      <c r="CD1556" s="1" t="s">
        <v>206</v>
      </c>
      <c r="CE1556" s="1" t="s">
        <v>207</v>
      </c>
      <c r="CG1556" s="1" t="s">
        <v>264</v>
      </c>
      <c r="CH1556" s="1" t="s">
        <v>206</v>
      </c>
      <c r="CI1556" s="1" t="s">
        <v>207</v>
      </c>
      <c r="CK1556" s="1" t="s">
        <v>1119</v>
      </c>
      <c r="CL1556" s="1" t="s">
        <v>209</v>
      </c>
      <c r="CM1556" s="1" t="s">
        <v>207</v>
      </c>
      <c r="CO1556" s="1" t="s">
        <v>814</v>
      </c>
      <c r="CP1556" s="1" t="s">
        <v>209</v>
      </c>
      <c r="CQ1556" s="1" t="s">
        <v>207</v>
      </c>
      <c r="CS1556" s="1" t="s">
        <v>264</v>
      </c>
      <c r="CT1556" s="1" t="s">
        <v>206</v>
      </c>
      <c r="CU1556" s="1" t="s">
        <v>617</v>
      </c>
      <c r="CW1556" s="1" t="s">
        <v>264</v>
      </c>
      <c r="CX1556" s="1" t="s">
        <v>209</v>
      </c>
      <c r="CY1556" s="1" t="s">
        <v>207</v>
      </c>
      <c r="DA1556" s="1" t="s">
        <v>200</v>
      </c>
      <c r="DC1556" s="1" t="s">
        <v>216</v>
      </c>
      <c r="DD1556" s="1" t="s">
        <v>2094</v>
      </c>
      <c r="DE1556" s="1" t="s">
        <v>229</v>
      </c>
      <c r="DF1556" s="1" t="s">
        <v>15746</v>
      </c>
      <c r="DG1556" s="1" t="s">
        <v>2237</v>
      </c>
      <c r="DH1556" s="1" t="s">
        <v>365</v>
      </c>
      <c r="DI1556" s="1" t="s">
        <v>3624</v>
      </c>
      <c r="DJ1556" s="1" t="s">
        <v>222</v>
      </c>
      <c r="DK1556" s="1" t="s">
        <v>198</v>
      </c>
      <c r="DL1556" s="1" t="s">
        <v>223</v>
      </c>
      <c r="DM1556" s="1" t="s">
        <v>229</v>
      </c>
      <c r="DP1556" s="1" t="s">
        <v>340</v>
      </c>
      <c r="DQ1556" s="1" t="s">
        <v>794</v>
      </c>
      <c r="DR1556" s="1" t="s">
        <v>229</v>
      </c>
      <c r="DV1556" s="1" t="s">
        <v>15747</v>
      </c>
      <c r="DW1556" s="1" t="s">
        <v>279</v>
      </c>
      <c r="DX1556" s="1" t="s">
        <v>234</v>
      </c>
      <c r="DY1556" s="1" t="s">
        <v>704</v>
      </c>
      <c r="DZ1556" s="1" t="s">
        <v>343</v>
      </c>
      <c r="EA1556" s="1" t="s">
        <v>644</v>
      </c>
      <c r="EC1556" s="1" t="s">
        <v>645</v>
      </c>
      <c r="ED1556" s="1" t="s">
        <v>1761</v>
      </c>
      <c r="EG1556" s="1" t="s">
        <v>494</v>
      </c>
      <c r="EH1556" s="1" t="s">
        <v>1407</v>
      </c>
      <c r="EI1556" s="1" t="s">
        <v>2877</v>
      </c>
      <c r="EJ1556" s="1" t="s">
        <v>374</v>
      </c>
      <c r="EK1556" s="1" t="s">
        <v>1102</v>
      </c>
      <c r="EL1556" s="1" t="s">
        <v>331</v>
      </c>
      <c r="EM1556" s="1" t="s">
        <v>209</v>
      </c>
      <c r="EN1556" s="1" t="s">
        <v>207</v>
      </c>
      <c r="EP1556" s="1" t="s">
        <v>699</v>
      </c>
      <c r="EQ1556" s="1" t="s">
        <v>209</v>
      </c>
      <c r="ER1556" s="1" t="s">
        <v>617</v>
      </c>
      <c r="ET1556" s="1" t="s">
        <v>6286</v>
      </c>
      <c r="EU1556" s="1" t="s">
        <v>206</v>
      </c>
      <c r="EV1556" s="1" t="s">
        <v>617</v>
      </c>
      <c r="EX1556" s="1" t="s">
        <v>3929</v>
      </c>
      <c r="EY1556" s="1" t="s">
        <v>206</v>
      </c>
      <c r="EZ1556" s="1" t="s">
        <v>617</v>
      </c>
      <c r="FB1556" s="1" t="s">
        <v>15748</v>
      </c>
      <c r="FC1556" s="1" t="s">
        <v>209</v>
      </c>
      <c r="FD1556" s="1" t="s">
        <v>617</v>
      </c>
      <c r="FF1556" s="1" t="s">
        <v>239</v>
      </c>
      <c r="FG1556" s="1" t="s">
        <v>192</v>
      </c>
      <c r="FH1556" s="1" t="s">
        <v>192</v>
      </c>
      <c r="FJ1556" s="1" t="s">
        <v>733</v>
      </c>
      <c r="FK1556" s="1" t="s">
        <v>229</v>
      </c>
      <c r="FL1556" s="1" t="s">
        <v>6182</v>
      </c>
      <c r="FM1556" s="1">
        <v>3145.0</v>
      </c>
      <c r="FN1556" s="1" t="s">
        <v>12054</v>
      </c>
      <c r="FO1556" s="1" t="s">
        <v>15749</v>
      </c>
      <c r="FP1556" s="1">
        <v>37849.0</v>
      </c>
      <c r="FQ1556" s="1" t="s">
        <v>15750</v>
      </c>
      <c r="FU1556" s="1" t="s">
        <v>15751</v>
      </c>
      <c r="FV1556" s="1" t="s">
        <v>192</v>
      </c>
      <c r="FW1556" s="1" t="s">
        <v>530</v>
      </c>
      <c r="FX1556" s="1" t="s">
        <v>238</v>
      </c>
      <c r="FZ1556" s="1" t="s">
        <v>229</v>
      </c>
      <c r="GA1556" s="1" t="s">
        <v>291</v>
      </c>
      <c r="GB1556" s="2">
        <v>42150.0</v>
      </c>
      <c r="GC1556" s="1" t="s">
        <v>15752</v>
      </c>
    </row>
    <row r="1557">
      <c r="A1557" s="1">
        <v>390000.0</v>
      </c>
      <c r="B1557" s="1" t="s">
        <v>185</v>
      </c>
      <c r="C1557" s="1" t="str">
        <f>"08879836"</f>
        <v>08879836</v>
      </c>
      <c r="D1557" s="1" t="s">
        <v>186</v>
      </c>
      <c r="F1557" s="1" t="str">
        <f>"8076"</f>
        <v>8076</v>
      </c>
      <c r="G1557" s="2">
        <v>42096.0</v>
      </c>
      <c r="H1557" s="1">
        <v>409900.0</v>
      </c>
      <c r="I1557" s="1">
        <v>9.0</v>
      </c>
      <c r="J1557" s="1">
        <v>409900.0</v>
      </c>
      <c r="K1557" s="2">
        <v>42104.0</v>
      </c>
      <c r="L1557" s="1">
        <v>9.0</v>
      </c>
      <c r="M1557" s="2">
        <v>42104.0</v>
      </c>
      <c r="N1557" s="1" t="s">
        <v>187</v>
      </c>
      <c r="O1557" s="2">
        <v>42132.0</v>
      </c>
      <c r="P1557" s="1">
        <v>80763.0</v>
      </c>
      <c r="Q1557" s="1">
        <v>1325.0</v>
      </c>
      <c r="S1557" s="1">
        <v>4550.0</v>
      </c>
      <c r="T1557" s="1" t="s">
        <v>15753</v>
      </c>
      <c r="U1557" s="1" t="s">
        <v>320</v>
      </c>
      <c r="V1557" s="1" t="s">
        <v>190</v>
      </c>
      <c r="W1557" s="1">
        <v>60656.0</v>
      </c>
      <c r="Y1557" s="1" t="s">
        <v>15754</v>
      </c>
      <c r="Z1557" s="1">
        <v>1965.0</v>
      </c>
      <c r="AA1557" s="1" t="s">
        <v>192</v>
      </c>
      <c r="AB1557" s="1" t="s">
        <v>193</v>
      </c>
      <c r="AD1557" s="1" t="s">
        <v>194</v>
      </c>
      <c r="AE1557" s="1" t="s">
        <v>195</v>
      </c>
      <c r="AF1557" s="1" t="s">
        <v>196</v>
      </c>
      <c r="AH1557" s="1">
        <v>6480.0</v>
      </c>
      <c r="AI1557" s="1">
        <v>0.1488</v>
      </c>
      <c r="AK1557" s="1">
        <v>8.0</v>
      </c>
      <c r="AL1557" s="1">
        <v>3.0</v>
      </c>
      <c r="AM1557" s="1">
        <v>2.0</v>
      </c>
      <c r="AN1557" s="1">
        <v>1.0</v>
      </c>
      <c r="AO1557" s="1" t="s">
        <v>2068</v>
      </c>
      <c r="AP1557" s="1">
        <v>1.0</v>
      </c>
      <c r="AQ1557" s="1" t="s">
        <v>198</v>
      </c>
      <c r="AR1557" s="1" t="s">
        <v>192</v>
      </c>
      <c r="AS1557" s="1" t="s">
        <v>199</v>
      </c>
      <c r="AT1557" s="1">
        <v>2.0</v>
      </c>
      <c r="AV1557" s="1" t="s">
        <v>200</v>
      </c>
      <c r="AW1557" s="1">
        <v>5117.17</v>
      </c>
      <c r="AX1557" s="1">
        <v>2013.0</v>
      </c>
      <c r="AY1557" s="1" t="s">
        <v>387</v>
      </c>
      <c r="AZ1557" s="1" t="s">
        <v>200</v>
      </c>
      <c r="BA1557" s="1" t="str">
        <f>"12141140230000"</f>
        <v>12141140230000</v>
      </c>
      <c r="BB1557" s="1" t="s">
        <v>200</v>
      </c>
      <c r="BC1557" s="1">
        <v>1389.0</v>
      </c>
      <c r="BD1557" s="1">
        <v>390000.0</v>
      </c>
      <c r="BE1557" s="2">
        <v>42096.0</v>
      </c>
      <c r="BF1557" s="2" t="s">
        <v>15755</v>
      </c>
      <c r="BG1557" s="1" t="s">
        <v>15756</v>
      </c>
      <c r="BH1557" s="1">
        <v>0.0</v>
      </c>
      <c r="BJ1557" s="1" t="s">
        <v>1222</v>
      </c>
      <c r="BK1557" s="1" t="s">
        <v>204</v>
      </c>
      <c r="BL1557" s="1" t="str">
        <f>"7550"</f>
        <v>7550</v>
      </c>
      <c r="BM1557" s="1" t="str">
        <f t="shared" si="1019"/>
        <v>0</v>
      </c>
      <c r="BN1557" s="1">
        <v>8600.0</v>
      </c>
      <c r="BO1557" s="1">
        <v>0.0</v>
      </c>
      <c r="BQ1557" s="1">
        <v>299.0</v>
      </c>
      <c r="BR1557" s="1">
        <v>299.0</v>
      </c>
      <c r="BS1557" s="1">
        <v>299.0</v>
      </c>
      <c r="BU1557" s="1" t="s">
        <v>331</v>
      </c>
      <c r="BV1557" s="1" t="s">
        <v>206</v>
      </c>
      <c r="BW1557" s="1" t="s">
        <v>207</v>
      </c>
      <c r="BX1557" s="1" t="s">
        <v>1118</v>
      </c>
      <c r="BY1557" s="1" t="s">
        <v>331</v>
      </c>
      <c r="BZ1557" s="1" t="s">
        <v>206</v>
      </c>
      <c r="CA1557" s="1" t="s">
        <v>207</v>
      </c>
      <c r="CB1557" s="1" t="s">
        <v>1118</v>
      </c>
      <c r="CC1557" s="1" t="s">
        <v>640</v>
      </c>
      <c r="CD1557" s="1" t="s">
        <v>206</v>
      </c>
      <c r="CE1557" s="1" t="s">
        <v>207</v>
      </c>
      <c r="CF1557" s="1" t="s">
        <v>1118</v>
      </c>
      <c r="CG1557" s="1" t="s">
        <v>262</v>
      </c>
      <c r="CH1557" s="1" t="s">
        <v>206</v>
      </c>
      <c r="CI1557" s="1" t="s">
        <v>207</v>
      </c>
      <c r="CJ1557" s="1" t="s">
        <v>1118</v>
      </c>
      <c r="CK1557" s="1" t="s">
        <v>495</v>
      </c>
      <c r="CL1557" s="1" t="s">
        <v>206</v>
      </c>
      <c r="CM1557" s="1" t="s">
        <v>207</v>
      </c>
      <c r="CN1557" s="1" t="s">
        <v>1118</v>
      </c>
      <c r="CO1557" s="1" t="s">
        <v>264</v>
      </c>
      <c r="CP1557" s="1" t="s">
        <v>42</v>
      </c>
      <c r="CQ1557" s="1" t="s">
        <v>210</v>
      </c>
      <c r="CR1557" s="1" t="s">
        <v>229</v>
      </c>
      <c r="CS1557" s="1" t="s">
        <v>925</v>
      </c>
      <c r="CT1557" s="1" t="s">
        <v>206</v>
      </c>
      <c r="CU1557" s="1" t="s">
        <v>207</v>
      </c>
      <c r="CV1557" s="1" t="s">
        <v>1118</v>
      </c>
      <c r="CW1557" s="1" t="s">
        <v>1117</v>
      </c>
      <c r="CX1557" s="1" t="s">
        <v>42</v>
      </c>
      <c r="CY1557" s="1" t="s">
        <v>210</v>
      </c>
      <c r="CZ1557" s="1" t="s">
        <v>229</v>
      </c>
      <c r="DA1557" s="1" t="s">
        <v>200</v>
      </c>
      <c r="DC1557" s="1" t="s">
        <v>517</v>
      </c>
      <c r="DD1557" s="1" t="s">
        <v>518</v>
      </c>
      <c r="DE1557" s="1" t="s">
        <v>273</v>
      </c>
      <c r="DF1557" s="1" t="s">
        <v>619</v>
      </c>
      <c r="DH1557" s="1" t="s">
        <v>307</v>
      </c>
      <c r="DI1557" s="1" t="s">
        <v>1141</v>
      </c>
      <c r="DJ1557" s="1" t="s">
        <v>222</v>
      </c>
      <c r="DK1557" s="1" t="s">
        <v>223</v>
      </c>
      <c r="DL1557" s="1" t="s">
        <v>224</v>
      </c>
      <c r="DM1557" s="1" t="s">
        <v>338</v>
      </c>
      <c r="DN1557" s="1" t="s">
        <v>2330</v>
      </c>
      <c r="DP1557" s="1" t="s">
        <v>276</v>
      </c>
      <c r="DQ1557" s="1" t="s">
        <v>228</v>
      </c>
      <c r="DR1557" s="1" t="s">
        <v>229</v>
      </c>
      <c r="DS1557" s="1" t="s">
        <v>230</v>
      </c>
      <c r="DV1557" s="1" t="s">
        <v>2971</v>
      </c>
      <c r="DW1557" s="1" t="s">
        <v>279</v>
      </c>
      <c r="DX1557" s="1" t="s">
        <v>234</v>
      </c>
      <c r="DY1557" s="1" t="s">
        <v>281</v>
      </c>
      <c r="DZ1557" s="1" t="s">
        <v>15757</v>
      </c>
      <c r="EA1557" s="1" t="s">
        <v>683</v>
      </c>
      <c r="EB1557" s="1" t="s">
        <v>684</v>
      </c>
      <c r="EC1557" s="1" t="s">
        <v>685</v>
      </c>
      <c r="ED1557" s="1" t="s">
        <v>312</v>
      </c>
      <c r="EE1557" s="1" t="s">
        <v>1960</v>
      </c>
      <c r="EG1557" s="1" t="s">
        <v>2971</v>
      </c>
      <c r="EL1557" s="1" t="s">
        <v>211</v>
      </c>
      <c r="EM1557" s="1" t="s">
        <v>42</v>
      </c>
      <c r="EN1557" s="1" t="s">
        <v>301</v>
      </c>
      <c r="EO1557" s="1" t="s">
        <v>229</v>
      </c>
      <c r="EQ1557" s="1" t="s">
        <v>238</v>
      </c>
      <c r="EU1557" s="1" t="s">
        <v>238</v>
      </c>
      <c r="EY1557" s="1" t="s">
        <v>238</v>
      </c>
      <c r="FC1557" s="1" t="s">
        <v>238</v>
      </c>
      <c r="FF1557" s="1" t="s">
        <v>239</v>
      </c>
      <c r="FG1557" s="1" t="s">
        <v>192</v>
      </c>
      <c r="FH1557" s="1" t="s">
        <v>192</v>
      </c>
      <c r="FJ1557" s="1" t="s">
        <v>1450</v>
      </c>
      <c r="FK1557" s="1" t="s">
        <v>229</v>
      </c>
      <c r="FL1557" s="1" t="s">
        <v>15758</v>
      </c>
      <c r="FM1557" s="1">
        <v>17733.0</v>
      </c>
      <c r="FN1557" s="1" t="s">
        <v>15759</v>
      </c>
      <c r="FO1557" s="1" t="s">
        <v>15760</v>
      </c>
      <c r="FP1557" s="1">
        <v>149712.0</v>
      </c>
      <c r="FQ1557" s="1" t="s">
        <v>15759</v>
      </c>
      <c r="FU1557" s="1" t="s">
        <v>15761</v>
      </c>
      <c r="FV1557" s="1" t="s">
        <v>200</v>
      </c>
      <c r="FW1557" s="1" t="s">
        <v>290</v>
      </c>
      <c r="FX1557" s="1" t="s">
        <v>238</v>
      </c>
      <c r="FZ1557" s="1" t="s">
        <v>229</v>
      </c>
      <c r="GA1557" s="1" t="s">
        <v>291</v>
      </c>
      <c r="GB1557" s="2">
        <v>42134.0</v>
      </c>
      <c r="GC1557" s="1" t="s">
        <v>15762</v>
      </c>
    </row>
    <row r="1558">
      <c r="A1558" s="1">
        <v>305000.0</v>
      </c>
      <c r="B1558" s="1" t="s">
        <v>185</v>
      </c>
      <c r="C1558" s="1" t="str">
        <f>"08873582"</f>
        <v>08873582</v>
      </c>
      <c r="D1558" s="1" t="s">
        <v>186</v>
      </c>
      <c r="F1558" s="1" t="str">
        <f t="shared" ref="F1558:F1559" si="1020">"8017"</f>
        <v>8017</v>
      </c>
      <c r="G1558" s="2">
        <v>42090.0</v>
      </c>
      <c r="H1558" s="1">
        <v>317000.0</v>
      </c>
      <c r="I1558" s="1">
        <v>7.0</v>
      </c>
      <c r="J1558" s="1">
        <v>317000.0</v>
      </c>
      <c r="K1558" s="2">
        <v>42095.0</v>
      </c>
      <c r="L1558" s="1">
        <v>7.0</v>
      </c>
      <c r="M1558" s="2">
        <v>42095.0</v>
      </c>
      <c r="N1558" s="1" t="s">
        <v>187</v>
      </c>
      <c r="O1558" s="2">
        <v>42136.0</v>
      </c>
      <c r="P1558" s="1">
        <v>88697.0</v>
      </c>
      <c r="Q1558" s="1">
        <v>8540.0</v>
      </c>
      <c r="S1558" s="1">
        <v>3321.0</v>
      </c>
      <c r="T1558" s="1" t="s">
        <v>4833</v>
      </c>
      <c r="U1558" s="1" t="s">
        <v>189</v>
      </c>
      <c r="V1558" s="1" t="s">
        <v>190</v>
      </c>
      <c r="W1558" s="1">
        <v>60634.0</v>
      </c>
      <c r="Y1558" s="1" t="s">
        <v>15763</v>
      </c>
      <c r="Z1558" s="1">
        <v>1965.0</v>
      </c>
      <c r="AA1558" s="1" t="s">
        <v>192</v>
      </c>
      <c r="AB1558" s="1" t="s">
        <v>193</v>
      </c>
      <c r="AD1558" s="1" t="s">
        <v>194</v>
      </c>
      <c r="AE1558" s="1" t="s">
        <v>195</v>
      </c>
      <c r="AF1558" s="1" t="s">
        <v>196</v>
      </c>
      <c r="AH1558" s="1" t="s">
        <v>779</v>
      </c>
      <c r="AI1558" s="1">
        <v>0.0911</v>
      </c>
      <c r="AK1558" s="1">
        <v>7.0</v>
      </c>
      <c r="AL1558" s="1">
        <v>3.0</v>
      </c>
      <c r="AM1558" s="1">
        <v>2.0</v>
      </c>
      <c r="AN1558" s="1">
        <v>1.0</v>
      </c>
      <c r="AO1558" s="1" t="s">
        <v>229</v>
      </c>
      <c r="AQ1558" s="1" t="s">
        <v>198</v>
      </c>
      <c r="AR1558" s="1" t="s">
        <v>192</v>
      </c>
      <c r="AS1558" s="1" t="s">
        <v>199</v>
      </c>
      <c r="AT1558" s="1">
        <v>2.5</v>
      </c>
      <c r="AV1558" s="1" t="s">
        <v>200</v>
      </c>
      <c r="AW1558" s="1">
        <v>3812.04</v>
      </c>
      <c r="AX1558" s="1">
        <v>2013.0</v>
      </c>
      <c r="AY1558" s="1" t="s">
        <v>1179</v>
      </c>
      <c r="AZ1558" s="1" t="s">
        <v>200</v>
      </c>
      <c r="BA1558" s="1" t="str">
        <f>"12244230210000"</f>
        <v>12244230210000</v>
      </c>
      <c r="BC1558" s="1">
        <v>0.0</v>
      </c>
      <c r="BD1558" s="1">
        <v>305000.0</v>
      </c>
      <c r="BE1558" s="2">
        <v>42089.0</v>
      </c>
      <c r="BF1558" s="2" t="s">
        <v>15764</v>
      </c>
      <c r="BH1558" s="1">
        <v>0.0</v>
      </c>
      <c r="BK1558" s="1" t="s">
        <v>204</v>
      </c>
      <c r="BL1558" s="1" t="str">
        <f>"3321"</f>
        <v>3321</v>
      </c>
      <c r="BM1558" s="1" t="str">
        <f t="shared" si="1019"/>
        <v>0</v>
      </c>
      <c r="BN1558" s="1">
        <v>7200.0</v>
      </c>
      <c r="BO1558" s="1">
        <v>0.0</v>
      </c>
      <c r="BQ1558" s="1">
        <v>299.0</v>
      </c>
      <c r="BR1558" s="1">
        <v>299.0</v>
      </c>
      <c r="BS1558" s="1">
        <v>299.0</v>
      </c>
      <c r="BU1558" s="1" t="s">
        <v>664</v>
      </c>
      <c r="BV1558" s="1" t="s">
        <v>206</v>
      </c>
      <c r="BW1558" s="1" t="s">
        <v>207</v>
      </c>
      <c r="BY1558" s="1" t="s">
        <v>433</v>
      </c>
      <c r="BZ1558" s="1" t="s">
        <v>206</v>
      </c>
      <c r="CA1558" s="1" t="s">
        <v>207</v>
      </c>
      <c r="CD1558" s="1" t="s">
        <v>204</v>
      </c>
      <c r="CG1558" s="1" t="s">
        <v>264</v>
      </c>
      <c r="CH1558" s="1" t="s">
        <v>206</v>
      </c>
      <c r="CI1558" s="1" t="s">
        <v>207</v>
      </c>
      <c r="CK1558" s="1" t="s">
        <v>212</v>
      </c>
      <c r="CL1558" s="1" t="s">
        <v>206</v>
      </c>
      <c r="CM1558" s="1" t="s">
        <v>207</v>
      </c>
      <c r="CO1558" s="1" t="s">
        <v>302</v>
      </c>
      <c r="CP1558" s="1" t="s">
        <v>42</v>
      </c>
      <c r="CQ1558" s="1" t="s">
        <v>617</v>
      </c>
      <c r="CS1558" s="1" t="s">
        <v>2224</v>
      </c>
      <c r="CT1558" s="1" t="s">
        <v>206</v>
      </c>
      <c r="CU1558" s="1" t="s">
        <v>268</v>
      </c>
      <c r="CW1558" s="1" t="s">
        <v>11283</v>
      </c>
      <c r="CX1558" s="1" t="s">
        <v>42</v>
      </c>
      <c r="CY1558" s="1" t="s">
        <v>617</v>
      </c>
      <c r="DA1558" s="1" t="s">
        <v>200</v>
      </c>
      <c r="DC1558" s="1" t="s">
        <v>517</v>
      </c>
      <c r="DD1558" s="1" t="s">
        <v>518</v>
      </c>
      <c r="DE1558" s="1" t="s">
        <v>273</v>
      </c>
      <c r="DF1558" s="1" t="s">
        <v>219</v>
      </c>
      <c r="DH1558" s="1" t="s">
        <v>365</v>
      </c>
      <c r="DI1558" s="1" t="s">
        <v>1141</v>
      </c>
      <c r="DJ1558" s="1" t="s">
        <v>222</v>
      </c>
      <c r="DL1558" s="1" t="s">
        <v>224</v>
      </c>
      <c r="DM1558" s="1" t="s">
        <v>229</v>
      </c>
      <c r="DN1558" s="1" t="s">
        <v>5106</v>
      </c>
      <c r="DQ1558" s="1" t="s">
        <v>718</v>
      </c>
      <c r="DR1558" s="1" t="s">
        <v>229</v>
      </c>
      <c r="DS1558" s="1" t="s">
        <v>368</v>
      </c>
      <c r="DV1558" s="1" t="s">
        <v>232</v>
      </c>
      <c r="DW1558" s="1" t="s">
        <v>1145</v>
      </c>
      <c r="DX1558" s="1" t="s">
        <v>234</v>
      </c>
      <c r="DY1558" s="1" t="s">
        <v>9614</v>
      </c>
      <c r="EA1558" s="1" t="s">
        <v>683</v>
      </c>
      <c r="EC1558" s="1" t="s">
        <v>685</v>
      </c>
      <c r="EM1558" s="1" t="s">
        <v>238</v>
      </c>
      <c r="EQ1558" s="1" t="s">
        <v>238</v>
      </c>
      <c r="EU1558" s="1" t="s">
        <v>238</v>
      </c>
      <c r="EY1558" s="1" t="s">
        <v>238</v>
      </c>
      <c r="FC1558" s="1" t="s">
        <v>238</v>
      </c>
      <c r="FF1558" s="1" t="s">
        <v>239</v>
      </c>
      <c r="FG1558" s="1" t="s">
        <v>192</v>
      </c>
      <c r="FH1558" s="1" t="s">
        <v>192</v>
      </c>
      <c r="FJ1558" s="1" t="s">
        <v>1450</v>
      </c>
      <c r="FK1558" s="1" t="s">
        <v>229</v>
      </c>
      <c r="FL1558" s="1" t="s">
        <v>4660</v>
      </c>
      <c r="FM1558" s="1">
        <v>8540.0</v>
      </c>
      <c r="FN1558" s="1" t="s">
        <v>4661</v>
      </c>
      <c r="FO1558" s="1" t="s">
        <v>15765</v>
      </c>
      <c r="FP1558" s="1">
        <v>88697.0</v>
      </c>
      <c r="FQ1558" s="1" t="s">
        <v>15766</v>
      </c>
      <c r="FU1558" s="1" t="s">
        <v>15767</v>
      </c>
      <c r="FV1558" s="1" t="s">
        <v>200</v>
      </c>
      <c r="FW1558" s="1" t="s">
        <v>290</v>
      </c>
      <c r="FX1558" s="1" t="s">
        <v>238</v>
      </c>
      <c r="FZ1558" s="1" t="s">
        <v>229</v>
      </c>
      <c r="GA1558" s="1" t="s">
        <v>291</v>
      </c>
      <c r="GB1558" s="2">
        <v>42137.0</v>
      </c>
      <c r="GC1558" s="1" t="s">
        <v>15768</v>
      </c>
    </row>
    <row r="1559">
      <c r="A1559" s="1">
        <v>299000.0</v>
      </c>
      <c r="B1559" s="1" t="s">
        <v>185</v>
      </c>
      <c r="C1559" s="1" t="str">
        <f>"08882896"</f>
        <v>08882896</v>
      </c>
      <c r="D1559" s="1" t="s">
        <v>186</v>
      </c>
      <c r="F1559" s="1" t="str">
        <f t="shared" si="1020"/>
        <v>8017</v>
      </c>
      <c r="G1559" s="2">
        <v>42101.0</v>
      </c>
      <c r="H1559" s="1">
        <v>299000.0</v>
      </c>
      <c r="I1559" s="1">
        <v>2.0</v>
      </c>
      <c r="J1559" s="1">
        <v>299000.0</v>
      </c>
      <c r="K1559" s="2">
        <v>42102.0</v>
      </c>
      <c r="L1559" s="1">
        <v>2.0</v>
      </c>
      <c r="M1559" s="2">
        <v>42102.0</v>
      </c>
      <c r="N1559" s="1" t="s">
        <v>187</v>
      </c>
      <c r="O1559" s="2">
        <v>42142.0</v>
      </c>
      <c r="P1559" s="1">
        <v>170702.0</v>
      </c>
      <c r="Q1559" s="1">
        <v>10013.0</v>
      </c>
      <c r="S1559" s="1">
        <v>6331.0</v>
      </c>
      <c r="T1559" s="1" t="s">
        <v>15769</v>
      </c>
      <c r="U1559" s="1" t="s">
        <v>189</v>
      </c>
      <c r="V1559" s="1" t="s">
        <v>190</v>
      </c>
      <c r="W1559" s="1">
        <v>60634.0</v>
      </c>
      <c r="Y1559" s="1" t="s">
        <v>15770</v>
      </c>
      <c r="Z1559" s="1">
        <v>1928.0</v>
      </c>
      <c r="AA1559" s="1" t="s">
        <v>192</v>
      </c>
      <c r="AB1559" s="1" t="s">
        <v>193</v>
      </c>
      <c r="AD1559" s="1" t="s">
        <v>194</v>
      </c>
      <c r="AE1559" s="1" t="s">
        <v>195</v>
      </c>
      <c r="AF1559" s="1" t="s">
        <v>196</v>
      </c>
      <c r="AG1559" s="1" t="s">
        <v>15771</v>
      </c>
      <c r="AH1559" s="1" t="s">
        <v>741</v>
      </c>
      <c r="AI1559" s="1">
        <v>0.0</v>
      </c>
      <c r="AK1559" s="1">
        <v>9.0</v>
      </c>
      <c r="AL1559" s="1">
        <v>4.0</v>
      </c>
      <c r="AM1559" s="1">
        <v>2.0</v>
      </c>
      <c r="AN1559" s="1">
        <v>0.0</v>
      </c>
      <c r="AO1559" s="1" t="s">
        <v>229</v>
      </c>
      <c r="AP1559" s="1">
        <v>1.0</v>
      </c>
      <c r="AQ1559" s="1" t="s">
        <v>198</v>
      </c>
      <c r="AR1559" s="1" t="s">
        <v>200</v>
      </c>
      <c r="AS1559" s="1" t="s">
        <v>199</v>
      </c>
      <c r="AT1559" s="1">
        <v>2.0</v>
      </c>
      <c r="AV1559" s="1" t="s">
        <v>200</v>
      </c>
      <c r="AW1559" s="1">
        <v>3767.0</v>
      </c>
      <c r="AX1559" s="1">
        <v>2013.0</v>
      </c>
      <c r="AY1559" s="1" t="s">
        <v>387</v>
      </c>
      <c r="AZ1559" s="1" t="s">
        <v>200</v>
      </c>
      <c r="BA1559" s="1" t="str">
        <f>"13201250130000"</f>
        <v>13201250130000</v>
      </c>
      <c r="BC1559" s="1">
        <v>1824.0</v>
      </c>
      <c r="BD1559" s="1">
        <v>299000.0</v>
      </c>
      <c r="BE1559" s="2">
        <v>42101.0</v>
      </c>
      <c r="BF1559" s="2" t="s">
        <v>15772</v>
      </c>
      <c r="BH1559" s="1">
        <v>0.0</v>
      </c>
      <c r="BK1559" s="1" t="s">
        <v>204</v>
      </c>
      <c r="BL1559" s="1" t="str">
        <f>"3650"</f>
        <v>3650</v>
      </c>
      <c r="BM1559" s="1" t="str">
        <f t="shared" si="1019"/>
        <v>0</v>
      </c>
      <c r="BN1559" s="1">
        <v>6331.0</v>
      </c>
      <c r="BO1559" s="1">
        <v>0.0</v>
      </c>
      <c r="BQ1559" s="1">
        <v>299.0</v>
      </c>
      <c r="BR1559" s="1">
        <v>299.0</v>
      </c>
      <c r="BS1559" s="1">
        <v>299.0</v>
      </c>
      <c r="BU1559" s="1" t="s">
        <v>1063</v>
      </c>
      <c r="BV1559" s="1" t="s">
        <v>206</v>
      </c>
      <c r="BW1559" s="1" t="s">
        <v>207</v>
      </c>
      <c r="BX1559" s="1" t="s">
        <v>1549</v>
      </c>
      <c r="BY1559" s="1" t="s">
        <v>8789</v>
      </c>
      <c r="BZ1559" s="1" t="s">
        <v>209</v>
      </c>
      <c r="CA1559" s="1" t="s">
        <v>210</v>
      </c>
      <c r="CC1559" s="1" t="s">
        <v>640</v>
      </c>
      <c r="CD1559" s="1" t="s">
        <v>206</v>
      </c>
      <c r="CE1559" s="1" t="s">
        <v>207</v>
      </c>
      <c r="CG1559" s="1" t="s">
        <v>333</v>
      </c>
      <c r="CH1559" s="1" t="s">
        <v>209</v>
      </c>
      <c r="CI1559" s="1" t="s">
        <v>210</v>
      </c>
      <c r="CK1559" s="1" t="s">
        <v>640</v>
      </c>
      <c r="CL1559" s="1" t="s">
        <v>206</v>
      </c>
      <c r="CM1559" s="1" t="s">
        <v>207</v>
      </c>
      <c r="CO1559" s="1" t="s">
        <v>516</v>
      </c>
      <c r="CP1559" s="1" t="s">
        <v>206</v>
      </c>
      <c r="CQ1559" s="1" t="s">
        <v>207</v>
      </c>
      <c r="CS1559" s="1" t="s">
        <v>266</v>
      </c>
      <c r="CT1559" s="1" t="s">
        <v>206</v>
      </c>
      <c r="CU1559" s="1" t="s">
        <v>617</v>
      </c>
      <c r="CW1559" s="1" t="s">
        <v>4997</v>
      </c>
      <c r="CX1559" s="1" t="s">
        <v>42</v>
      </c>
      <c r="DA1559" s="1" t="s">
        <v>200</v>
      </c>
      <c r="DC1559" s="1" t="s">
        <v>785</v>
      </c>
      <c r="DD1559" s="1" t="s">
        <v>518</v>
      </c>
      <c r="DE1559" s="1" t="s">
        <v>1905</v>
      </c>
      <c r="DF1559" s="1" t="s">
        <v>3589</v>
      </c>
      <c r="DH1559" s="1" t="s">
        <v>220</v>
      </c>
      <c r="DI1559" s="1" t="s">
        <v>1223</v>
      </c>
      <c r="DJ1559" s="1" t="s">
        <v>1048</v>
      </c>
      <c r="DL1559" s="1" t="s">
        <v>224</v>
      </c>
      <c r="DM1559" s="1" t="s">
        <v>229</v>
      </c>
      <c r="DN1559" s="1" t="s">
        <v>367</v>
      </c>
      <c r="DO1559" s="1" t="s">
        <v>549</v>
      </c>
      <c r="DP1559" s="1" t="s">
        <v>340</v>
      </c>
      <c r="DQ1559" s="1" t="s">
        <v>718</v>
      </c>
      <c r="DR1559" s="1" t="s">
        <v>229</v>
      </c>
      <c r="DS1559" s="1" t="s">
        <v>277</v>
      </c>
      <c r="DV1559" s="1" t="s">
        <v>15773</v>
      </c>
      <c r="DW1559" s="1" t="s">
        <v>279</v>
      </c>
      <c r="DX1559" s="1" t="s">
        <v>234</v>
      </c>
      <c r="DY1559" s="1" t="s">
        <v>553</v>
      </c>
      <c r="DZ1559" s="1" t="s">
        <v>310</v>
      </c>
      <c r="EB1559" s="1" t="s">
        <v>797</v>
      </c>
      <c r="EC1559" s="1" t="s">
        <v>237</v>
      </c>
      <c r="EG1559" s="1" t="s">
        <v>449</v>
      </c>
      <c r="EH1559" s="1" t="s">
        <v>310</v>
      </c>
      <c r="EI1559" s="1" t="s">
        <v>1103</v>
      </c>
      <c r="EL1559" s="1" t="s">
        <v>1904</v>
      </c>
      <c r="EM1559" s="1" t="s">
        <v>206</v>
      </c>
      <c r="EP1559" s="1" t="s">
        <v>904</v>
      </c>
      <c r="EQ1559" s="1" t="s">
        <v>206</v>
      </c>
      <c r="ET1559" s="1" t="s">
        <v>1696</v>
      </c>
      <c r="EU1559" s="1" t="s">
        <v>42</v>
      </c>
      <c r="EY1559" s="1" t="s">
        <v>238</v>
      </c>
      <c r="FC1559" s="1" t="s">
        <v>238</v>
      </c>
      <c r="FF1559" s="1" t="s">
        <v>239</v>
      </c>
      <c r="FG1559" s="1" t="s">
        <v>192</v>
      </c>
      <c r="FH1559" s="1" t="s">
        <v>192</v>
      </c>
      <c r="FJ1559" s="1" t="s">
        <v>1573</v>
      </c>
      <c r="FK1559" s="1" t="s">
        <v>229</v>
      </c>
      <c r="FL1559" s="1" t="s">
        <v>456</v>
      </c>
      <c r="FM1559" s="1">
        <v>10013.0</v>
      </c>
      <c r="FN1559" s="1" t="s">
        <v>2428</v>
      </c>
      <c r="FO1559" s="1" t="s">
        <v>15774</v>
      </c>
      <c r="FP1559" s="1">
        <v>121902.0</v>
      </c>
      <c r="FQ1559" s="1" t="s">
        <v>15775</v>
      </c>
      <c r="FU1559" s="1" t="s">
        <v>15776</v>
      </c>
      <c r="FV1559" s="1" t="s">
        <v>200</v>
      </c>
      <c r="FW1559" s="1" t="s">
        <v>15777</v>
      </c>
      <c r="FX1559" s="1" t="s">
        <v>246</v>
      </c>
      <c r="FZ1559" s="1" t="s">
        <v>229</v>
      </c>
      <c r="GA1559" s="1" t="s">
        <v>291</v>
      </c>
      <c r="GB1559" s="2">
        <v>42142.0</v>
      </c>
      <c r="GC1559" s="1" t="s">
        <v>15778</v>
      </c>
    </row>
    <row r="1560">
      <c r="A1560" s="1">
        <v>300000.0</v>
      </c>
      <c r="B1560" s="1" t="s">
        <v>185</v>
      </c>
      <c r="C1560" s="1" t="str">
        <f>"08874558"</f>
        <v>08874558</v>
      </c>
      <c r="D1560" s="1" t="s">
        <v>186</v>
      </c>
      <c r="F1560" s="1" t="str">
        <f>"118"</f>
        <v>118</v>
      </c>
      <c r="G1560" s="2">
        <v>42091.0</v>
      </c>
      <c r="H1560" s="1">
        <v>304900.0</v>
      </c>
      <c r="I1560" s="1">
        <v>149.0</v>
      </c>
      <c r="J1560" s="1">
        <v>304900.0</v>
      </c>
      <c r="K1560" s="2">
        <v>42117.0</v>
      </c>
      <c r="L1560" s="1">
        <v>28.0</v>
      </c>
      <c r="M1560" s="2">
        <v>42117.0</v>
      </c>
      <c r="N1560" s="1" t="s">
        <v>187</v>
      </c>
      <c r="O1560" s="2">
        <v>42145.0</v>
      </c>
      <c r="P1560" s="1">
        <v>51789.0</v>
      </c>
      <c r="Q1560" s="1">
        <v>5042.0</v>
      </c>
      <c r="S1560" s="1">
        <v>219.0</v>
      </c>
      <c r="T1560" s="1" t="s">
        <v>15779</v>
      </c>
      <c r="U1560" s="1" t="s">
        <v>464</v>
      </c>
      <c r="V1560" s="1" t="s">
        <v>3438</v>
      </c>
      <c r="W1560" s="1">
        <v>60118.0</v>
      </c>
      <c r="Y1560" s="1" t="s">
        <v>15780</v>
      </c>
      <c r="Z1560" s="1">
        <v>1990.0</v>
      </c>
      <c r="AA1560" s="1" t="s">
        <v>200</v>
      </c>
      <c r="AB1560" s="1" t="s">
        <v>193</v>
      </c>
      <c r="AD1560" s="1" t="s">
        <v>3440</v>
      </c>
      <c r="AE1560" s="1" t="s">
        <v>325</v>
      </c>
      <c r="AF1560" s="1" t="s">
        <v>810</v>
      </c>
      <c r="AH1560" s="1">
        <v>35284.0</v>
      </c>
      <c r="AK1560" s="1">
        <v>10.0</v>
      </c>
      <c r="AL1560" s="1">
        <v>4.0</v>
      </c>
      <c r="AM1560" s="1">
        <v>3.0</v>
      </c>
      <c r="AN1560" s="1">
        <v>1.0</v>
      </c>
      <c r="AO1560" s="1" t="s">
        <v>198</v>
      </c>
      <c r="AP1560" s="1">
        <v>1.0</v>
      </c>
      <c r="AQ1560" s="1" t="s">
        <v>198</v>
      </c>
      <c r="AR1560" s="1" t="s">
        <v>192</v>
      </c>
      <c r="AS1560" s="1" t="s">
        <v>199</v>
      </c>
      <c r="AT1560" s="1">
        <v>3.0</v>
      </c>
      <c r="AV1560" s="1" t="s">
        <v>200</v>
      </c>
      <c r="AW1560" s="1">
        <v>8401.0</v>
      </c>
      <c r="AX1560" s="1">
        <v>2013.0</v>
      </c>
      <c r="AY1560" s="1" t="s">
        <v>387</v>
      </c>
      <c r="AZ1560" s="1" t="s">
        <v>200</v>
      </c>
      <c r="BA1560" s="1" t="str">
        <f>"0329177009"</f>
        <v>0329177009</v>
      </c>
      <c r="BC1560" s="1">
        <v>3156.0</v>
      </c>
      <c r="BD1560" s="1">
        <v>300000.0</v>
      </c>
      <c r="BE1560" s="2">
        <v>42090.0</v>
      </c>
      <c r="BF1560" s="2" t="s">
        <v>15781</v>
      </c>
      <c r="BG1560" s="1" t="s">
        <v>1092</v>
      </c>
      <c r="BH1560" s="1">
        <v>0.0</v>
      </c>
      <c r="BI1560" s="1" t="s">
        <v>1093</v>
      </c>
      <c r="BJ1560" s="1" t="s">
        <v>1094</v>
      </c>
      <c r="BK1560" s="1" t="s">
        <v>204</v>
      </c>
      <c r="BL1560" s="1" t="str">
        <f t="shared" ref="BL1560:BM1560" si="1021">""</f>
        <v/>
      </c>
      <c r="BM1560" s="1" t="str">
        <f t="shared" si="1021"/>
        <v/>
      </c>
      <c r="BQ1560" s="1">
        <v>300.0</v>
      </c>
      <c r="BR1560" s="1">
        <v>300.0</v>
      </c>
      <c r="BS1560" s="1">
        <v>300.0</v>
      </c>
      <c r="BU1560" s="1" t="s">
        <v>329</v>
      </c>
      <c r="BV1560" s="1" t="s">
        <v>206</v>
      </c>
      <c r="BW1560" s="1" t="s">
        <v>207</v>
      </c>
      <c r="BX1560" s="1" t="s">
        <v>229</v>
      </c>
      <c r="BY1560" s="1" t="s">
        <v>3123</v>
      </c>
      <c r="BZ1560" s="1" t="s">
        <v>209</v>
      </c>
      <c r="CA1560" s="1" t="s">
        <v>210</v>
      </c>
      <c r="CB1560" s="1" t="s">
        <v>229</v>
      </c>
      <c r="CC1560" s="1" t="s">
        <v>211</v>
      </c>
      <c r="CD1560" s="1" t="s">
        <v>206</v>
      </c>
      <c r="CE1560" s="1" t="s">
        <v>207</v>
      </c>
      <c r="CF1560" s="1" t="s">
        <v>229</v>
      </c>
      <c r="CG1560" s="1" t="s">
        <v>262</v>
      </c>
      <c r="CH1560" s="1" t="s">
        <v>209</v>
      </c>
      <c r="CI1560" s="1" t="s">
        <v>210</v>
      </c>
      <c r="CJ1560" s="1" t="s">
        <v>229</v>
      </c>
      <c r="CK1560" s="1" t="s">
        <v>454</v>
      </c>
      <c r="CL1560" s="1" t="s">
        <v>209</v>
      </c>
      <c r="CM1560" s="1" t="s">
        <v>210</v>
      </c>
      <c r="CN1560" s="1" t="s">
        <v>229</v>
      </c>
      <c r="CO1560" s="1" t="s">
        <v>363</v>
      </c>
      <c r="CP1560" s="1" t="s">
        <v>209</v>
      </c>
      <c r="CQ1560" s="1" t="s">
        <v>210</v>
      </c>
      <c r="CR1560" s="1" t="s">
        <v>229</v>
      </c>
      <c r="CS1560" s="1" t="s">
        <v>211</v>
      </c>
      <c r="CT1560" s="1" t="s">
        <v>206</v>
      </c>
      <c r="CU1560" s="1" t="s">
        <v>207</v>
      </c>
      <c r="CV1560" s="1" t="s">
        <v>229</v>
      </c>
      <c r="CW1560" s="1" t="s">
        <v>329</v>
      </c>
      <c r="CX1560" s="1" t="s">
        <v>206</v>
      </c>
      <c r="CY1560" s="1" t="s">
        <v>207</v>
      </c>
      <c r="CZ1560" s="1" t="s">
        <v>229</v>
      </c>
      <c r="DA1560" s="1" t="s">
        <v>200</v>
      </c>
      <c r="DC1560" s="1" t="s">
        <v>435</v>
      </c>
      <c r="DE1560" s="1" t="s">
        <v>273</v>
      </c>
      <c r="DF1560" s="1" t="s">
        <v>619</v>
      </c>
      <c r="DH1560" s="1" t="s">
        <v>220</v>
      </c>
      <c r="DJ1560" s="1" t="s">
        <v>857</v>
      </c>
      <c r="DL1560" s="1" t="s">
        <v>858</v>
      </c>
      <c r="DM1560" s="1" t="s">
        <v>229</v>
      </c>
      <c r="DQ1560" s="1" t="s">
        <v>1557</v>
      </c>
      <c r="DR1560" s="1" t="s">
        <v>229</v>
      </c>
      <c r="DV1560" s="1" t="s">
        <v>7291</v>
      </c>
      <c r="DW1560" s="1" t="s">
        <v>279</v>
      </c>
      <c r="DX1560" s="1" t="s">
        <v>234</v>
      </c>
      <c r="EA1560" s="1" t="s">
        <v>447</v>
      </c>
      <c r="EC1560" s="1" t="s">
        <v>237</v>
      </c>
      <c r="EG1560" s="1" t="s">
        <v>494</v>
      </c>
      <c r="EH1560" s="1" t="s">
        <v>450</v>
      </c>
      <c r="EL1560" s="1" t="s">
        <v>264</v>
      </c>
      <c r="EM1560" s="1" t="s">
        <v>206</v>
      </c>
      <c r="EN1560" s="1" t="s">
        <v>207</v>
      </c>
      <c r="EO1560" s="1" t="s">
        <v>229</v>
      </c>
      <c r="EP1560" s="1" t="s">
        <v>1953</v>
      </c>
      <c r="EQ1560" s="1" t="s">
        <v>267</v>
      </c>
      <c r="ER1560" s="1" t="s">
        <v>210</v>
      </c>
      <c r="ES1560" s="1" t="s">
        <v>229</v>
      </c>
      <c r="EU1560" s="1" t="s">
        <v>238</v>
      </c>
      <c r="EY1560" s="1" t="s">
        <v>238</v>
      </c>
      <c r="FC1560" s="1" t="s">
        <v>238</v>
      </c>
      <c r="FF1560" s="1" t="s">
        <v>239</v>
      </c>
      <c r="FG1560" s="1" t="s">
        <v>192</v>
      </c>
      <c r="FH1560" s="1" t="s">
        <v>192</v>
      </c>
      <c r="FJ1560" s="1" t="s">
        <v>347</v>
      </c>
      <c r="FK1560" s="1" t="s">
        <v>229</v>
      </c>
      <c r="FL1560" s="1" t="s">
        <v>2263</v>
      </c>
      <c r="FM1560" s="1">
        <v>7661.0</v>
      </c>
      <c r="FN1560" s="1" t="s">
        <v>4356</v>
      </c>
      <c r="FO1560" s="1" t="s">
        <v>15782</v>
      </c>
      <c r="FP1560" s="1">
        <v>77366.0</v>
      </c>
      <c r="FQ1560" s="1" t="s">
        <v>15783</v>
      </c>
      <c r="FU1560" s="1" t="s">
        <v>15784</v>
      </c>
      <c r="FV1560" s="1" t="s">
        <v>200</v>
      </c>
      <c r="FW1560" s="1" t="s">
        <v>290</v>
      </c>
      <c r="FZ1560" s="1" t="s">
        <v>229</v>
      </c>
      <c r="GA1560" s="1" t="s">
        <v>291</v>
      </c>
      <c r="GB1560" s="2">
        <v>42146.0</v>
      </c>
      <c r="GC1560" s="1" t="s">
        <v>15785</v>
      </c>
    </row>
    <row r="1561">
      <c r="A1561" s="1">
        <v>153000.0</v>
      </c>
      <c r="B1561" s="1" t="s">
        <v>185</v>
      </c>
      <c r="C1561" s="1" t="str">
        <f>"08876273"</f>
        <v>08876273</v>
      </c>
      <c r="D1561" s="1" t="s">
        <v>186</v>
      </c>
      <c r="F1561" s="1" t="str">
        <f>"543"</f>
        <v>543</v>
      </c>
      <c r="G1561" s="2">
        <v>42093.0</v>
      </c>
      <c r="H1561" s="1">
        <v>149000.0</v>
      </c>
      <c r="I1561" s="1">
        <v>149.0</v>
      </c>
      <c r="J1561" s="1">
        <v>149000.0</v>
      </c>
      <c r="K1561" s="2">
        <v>42103.0</v>
      </c>
      <c r="L1561" s="1">
        <v>11.0</v>
      </c>
      <c r="M1561" s="2">
        <v>42103.0</v>
      </c>
      <c r="N1561" s="1" t="s">
        <v>187</v>
      </c>
      <c r="O1561" s="2">
        <v>42146.0</v>
      </c>
      <c r="P1561" s="1">
        <v>233292.0</v>
      </c>
      <c r="Q1561" s="1">
        <v>23030.0</v>
      </c>
      <c r="R1561" s="1">
        <v>3000.0</v>
      </c>
      <c r="S1561" s="1">
        <v>366.0</v>
      </c>
      <c r="T1561" s="1" t="s">
        <v>15786</v>
      </c>
      <c r="U1561" s="1" t="s">
        <v>1442</v>
      </c>
      <c r="V1561" s="1" t="s">
        <v>1527</v>
      </c>
      <c r="W1561" s="1">
        <v>60543.0</v>
      </c>
      <c r="Y1561" s="1" t="s">
        <v>15787</v>
      </c>
      <c r="Z1561" s="1">
        <v>1997.0</v>
      </c>
      <c r="AA1561" s="1" t="s">
        <v>200</v>
      </c>
      <c r="AB1561" s="1" t="s">
        <v>467</v>
      </c>
      <c r="AC1561" s="1" t="s">
        <v>15788</v>
      </c>
      <c r="AD1561" s="1" t="s">
        <v>1529</v>
      </c>
      <c r="AE1561" s="1" t="s">
        <v>849</v>
      </c>
      <c r="AF1561" s="1" t="s">
        <v>1529</v>
      </c>
      <c r="AH1561" s="1" t="s">
        <v>15789</v>
      </c>
      <c r="AI1561" s="1">
        <v>0.0</v>
      </c>
      <c r="AK1561" s="1">
        <v>7.0</v>
      </c>
      <c r="AL1561" s="1">
        <v>3.0</v>
      </c>
      <c r="AM1561" s="1">
        <v>2.0</v>
      </c>
      <c r="AN1561" s="1">
        <v>1.0</v>
      </c>
      <c r="AO1561" s="1" t="s">
        <v>1261</v>
      </c>
      <c r="AP1561" s="1">
        <v>1.0</v>
      </c>
      <c r="AQ1561" s="1" t="s">
        <v>198</v>
      </c>
      <c r="AR1561" s="1" t="s">
        <v>192</v>
      </c>
      <c r="AS1561" s="1" t="s">
        <v>199</v>
      </c>
      <c r="AT1561" s="1">
        <v>2.0</v>
      </c>
      <c r="AV1561" s="1" t="s">
        <v>200</v>
      </c>
      <c r="AW1561" s="1">
        <v>5221.0</v>
      </c>
      <c r="AX1561" s="1">
        <v>2013.0</v>
      </c>
      <c r="AY1561" s="1" t="s">
        <v>387</v>
      </c>
      <c r="AZ1561" s="1" t="s">
        <v>200</v>
      </c>
      <c r="BA1561" s="1" t="str">
        <f>"0302470002"</f>
        <v>0302470002</v>
      </c>
      <c r="BB1561" s="1" t="s">
        <v>200</v>
      </c>
      <c r="BC1561" s="1">
        <v>1560.0</v>
      </c>
      <c r="BD1561" s="1">
        <v>153000.0</v>
      </c>
      <c r="BE1561" s="2">
        <v>42093.0</v>
      </c>
      <c r="BF1561" s="2" t="s">
        <v>15790</v>
      </c>
      <c r="BH1561" s="1">
        <v>55.0</v>
      </c>
      <c r="BK1561" s="1" t="s">
        <v>474</v>
      </c>
      <c r="BL1561" s="1" t="str">
        <f>"37"</f>
        <v>37</v>
      </c>
      <c r="BM1561" s="1" t="str">
        <f>"8"</f>
        <v>8</v>
      </c>
      <c r="BN1561" s="1">
        <v>0.0</v>
      </c>
      <c r="BO1561" s="1">
        <v>0.0</v>
      </c>
      <c r="BQ1561" s="1">
        <v>308.0</v>
      </c>
      <c r="BR1561" s="1">
        <v>308.0</v>
      </c>
      <c r="BS1561" s="1">
        <v>308.0</v>
      </c>
      <c r="BU1561" s="1" t="s">
        <v>769</v>
      </c>
      <c r="BV1561" s="1" t="s">
        <v>206</v>
      </c>
      <c r="BW1561" s="1" t="s">
        <v>301</v>
      </c>
      <c r="BY1561" s="1" t="s">
        <v>434</v>
      </c>
      <c r="BZ1561" s="1" t="s">
        <v>209</v>
      </c>
      <c r="CA1561" s="1" t="s">
        <v>210</v>
      </c>
      <c r="CD1561" s="1" t="s">
        <v>204</v>
      </c>
      <c r="CG1561" s="1" t="s">
        <v>264</v>
      </c>
      <c r="CH1561" s="1" t="s">
        <v>209</v>
      </c>
      <c r="CI1561" s="1" t="s">
        <v>210</v>
      </c>
      <c r="CK1561" s="1" t="s">
        <v>302</v>
      </c>
      <c r="CL1561" s="1" t="s">
        <v>209</v>
      </c>
      <c r="CM1561" s="1" t="s">
        <v>210</v>
      </c>
      <c r="CO1561" s="1" t="s">
        <v>269</v>
      </c>
      <c r="CP1561" s="1" t="s">
        <v>42</v>
      </c>
      <c r="CQ1561" s="1" t="s">
        <v>210</v>
      </c>
      <c r="CR1561" s="1" t="s">
        <v>229</v>
      </c>
      <c r="CS1561" s="1" t="s">
        <v>544</v>
      </c>
      <c r="CT1561" s="1" t="s">
        <v>206</v>
      </c>
      <c r="CU1561" s="1" t="s">
        <v>301</v>
      </c>
      <c r="CW1561" s="1" t="s">
        <v>1623</v>
      </c>
      <c r="CX1561" s="1" t="s">
        <v>42</v>
      </c>
      <c r="CY1561" s="1" t="s">
        <v>301</v>
      </c>
      <c r="DA1561" s="1" t="s">
        <v>200</v>
      </c>
      <c r="DC1561" s="1" t="s">
        <v>678</v>
      </c>
      <c r="DD1561" s="1" t="s">
        <v>396</v>
      </c>
      <c r="DE1561" s="1" t="s">
        <v>273</v>
      </c>
      <c r="DF1561" s="1" t="s">
        <v>219</v>
      </c>
      <c r="DG1561" s="1" t="s">
        <v>1020</v>
      </c>
      <c r="DH1561" s="1" t="s">
        <v>220</v>
      </c>
      <c r="DI1561" s="1" t="s">
        <v>789</v>
      </c>
      <c r="DJ1561" s="1" t="s">
        <v>1048</v>
      </c>
      <c r="DK1561" s="1" t="s">
        <v>1555</v>
      </c>
      <c r="DL1561" s="1" t="s">
        <v>224</v>
      </c>
      <c r="DM1561" s="1" t="s">
        <v>3697</v>
      </c>
      <c r="DO1561" s="1" t="s">
        <v>590</v>
      </c>
      <c r="DP1561" s="1" t="s">
        <v>276</v>
      </c>
      <c r="DQ1561" s="1" t="s">
        <v>228</v>
      </c>
      <c r="DR1561" s="1" t="s">
        <v>9750</v>
      </c>
      <c r="DS1561" s="1" t="s">
        <v>6018</v>
      </c>
      <c r="DU1561" s="1" t="s">
        <v>1840</v>
      </c>
      <c r="DV1561" s="1" t="s">
        <v>232</v>
      </c>
      <c r="DW1561" s="1" t="s">
        <v>934</v>
      </c>
      <c r="DX1561" s="1" t="s">
        <v>234</v>
      </c>
      <c r="DY1561" s="1" t="s">
        <v>2446</v>
      </c>
      <c r="DZ1561" s="1" t="s">
        <v>310</v>
      </c>
      <c r="EA1561" s="1" t="s">
        <v>447</v>
      </c>
      <c r="EB1561" s="1" t="s">
        <v>492</v>
      </c>
      <c r="EC1561" s="1" t="s">
        <v>237</v>
      </c>
      <c r="ED1561" s="1" t="s">
        <v>555</v>
      </c>
      <c r="EM1561" s="1" t="s">
        <v>238</v>
      </c>
      <c r="EQ1561" s="1" t="s">
        <v>238</v>
      </c>
      <c r="EU1561" s="1" t="s">
        <v>238</v>
      </c>
      <c r="EY1561" s="1" t="s">
        <v>238</v>
      </c>
      <c r="FC1561" s="1" t="s">
        <v>238</v>
      </c>
      <c r="FF1561" s="1" t="s">
        <v>239</v>
      </c>
      <c r="FG1561" s="1" t="s">
        <v>192</v>
      </c>
      <c r="FH1561" s="1" t="s">
        <v>192</v>
      </c>
      <c r="FJ1561" s="1" t="s">
        <v>1248</v>
      </c>
      <c r="FK1561" s="1" t="s">
        <v>229</v>
      </c>
      <c r="FL1561" s="1" t="s">
        <v>2382</v>
      </c>
      <c r="FM1561" s="1">
        <v>23842.0</v>
      </c>
      <c r="FN1561" s="1" t="s">
        <v>2383</v>
      </c>
      <c r="FO1561" s="1" t="s">
        <v>2384</v>
      </c>
      <c r="FP1561" s="1">
        <v>217273.0</v>
      </c>
      <c r="FQ1561" s="1" t="s">
        <v>2385</v>
      </c>
      <c r="FR1561" s="1">
        <v>235676.0</v>
      </c>
      <c r="FU1561" s="1" t="s">
        <v>15791</v>
      </c>
      <c r="FV1561" s="1" t="s">
        <v>200</v>
      </c>
      <c r="FW1561" s="1" t="s">
        <v>354</v>
      </c>
      <c r="FZ1561" s="1" t="s">
        <v>229</v>
      </c>
      <c r="GA1561" s="1" t="s">
        <v>291</v>
      </c>
      <c r="GB1561" s="2">
        <v>42146.0</v>
      </c>
      <c r="GC1561" s="1" t="s">
        <v>15792</v>
      </c>
    </row>
    <row r="1562">
      <c r="A1562" s="1">
        <v>599900.0</v>
      </c>
      <c r="B1562" s="1" t="s">
        <v>185</v>
      </c>
      <c r="C1562" s="1" t="str">
        <f>"08876768"</f>
        <v>08876768</v>
      </c>
      <c r="D1562" s="1" t="s">
        <v>186</v>
      </c>
      <c r="F1562" s="1" t="str">
        <f>"8035"</f>
        <v>8035</v>
      </c>
      <c r="G1562" s="2">
        <v>42094.0</v>
      </c>
      <c r="H1562" s="1">
        <v>599900.0</v>
      </c>
      <c r="I1562" s="1">
        <v>212.0</v>
      </c>
      <c r="J1562" s="1">
        <v>599900.0</v>
      </c>
      <c r="K1562" s="2">
        <v>42102.0</v>
      </c>
      <c r="L1562" s="1">
        <v>9.0</v>
      </c>
      <c r="M1562" s="2">
        <v>42102.0</v>
      </c>
      <c r="N1562" s="1" t="s">
        <v>187</v>
      </c>
      <c r="O1562" s="2">
        <v>42146.0</v>
      </c>
      <c r="P1562" s="1">
        <v>166529.0</v>
      </c>
      <c r="Q1562" s="1">
        <v>18342.0</v>
      </c>
      <c r="S1562" s="1">
        <v>3405.0</v>
      </c>
      <c r="T1562" s="1" t="s">
        <v>2966</v>
      </c>
      <c r="U1562" s="1" t="s">
        <v>189</v>
      </c>
      <c r="V1562" s="1" t="s">
        <v>190</v>
      </c>
      <c r="W1562" s="1">
        <v>60616.0</v>
      </c>
      <c r="Y1562" s="1" t="s">
        <v>15793</v>
      </c>
      <c r="Z1562" s="1">
        <v>1880.0</v>
      </c>
      <c r="AA1562" s="1" t="s">
        <v>192</v>
      </c>
      <c r="AB1562" s="1" t="s">
        <v>193</v>
      </c>
      <c r="AD1562" s="1" t="s">
        <v>194</v>
      </c>
      <c r="AE1562" s="1" t="s">
        <v>195</v>
      </c>
      <c r="AF1562" s="1" t="s">
        <v>637</v>
      </c>
      <c r="AH1562" s="1" t="s">
        <v>15794</v>
      </c>
      <c r="AI1562" s="1">
        <v>0.0603</v>
      </c>
      <c r="AK1562" s="1">
        <v>7.0</v>
      </c>
      <c r="AL1562" s="1">
        <v>4.0</v>
      </c>
      <c r="AM1562" s="1">
        <v>3.0</v>
      </c>
      <c r="AN1562" s="1">
        <v>2.0</v>
      </c>
      <c r="AO1562" s="1" t="s">
        <v>198</v>
      </c>
      <c r="AP1562" s="1">
        <v>3.0</v>
      </c>
      <c r="AQ1562" s="1" t="s">
        <v>198</v>
      </c>
      <c r="AR1562" s="1" t="s">
        <v>192</v>
      </c>
      <c r="AS1562" s="1" t="s">
        <v>199</v>
      </c>
      <c r="AT1562" s="1">
        <v>2.0</v>
      </c>
      <c r="AV1562" s="1" t="s">
        <v>200</v>
      </c>
      <c r="AW1562" s="1">
        <v>4125.8</v>
      </c>
      <c r="AX1562" s="1">
        <v>2012.0</v>
      </c>
      <c r="AY1562" s="1" t="s">
        <v>229</v>
      </c>
      <c r="AZ1562" s="1" t="s">
        <v>200</v>
      </c>
      <c r="BA1562" s="1" t="str">
        <f>"17341230300000"</f>
        <v>17341230300000</v>
      </c>
      <c r="BC1562" s="1">
        <v>0.0</v>
      </c>
      <c r="BD1562" s="1">
        <v>599900.0</v>
      </c>
      <c r="BE1562" s="2">
        <v>42094.0</v>
      </c>
      <c r="BF1562" s="2" t="s">
        <v>15795</v>
      </c>
      <c r="BH1562" s="1">
        <v>0.0</v>
      </c>
      <c r="BK1562" s="1" t="s">
        <v>204</v>
      </c>
      <c r="BL1562" s="1" t="str">
        <f>"0"</f>
        <v>0</v>
      </c>
      <c r="BM1562" s="1" t="str">
        <f>"5"</f>
        <v>5</v>
      </c>
      <c r="BN1562" s="1">
        <v>0.0</v>
      </c>
      <c r="BO1562" s="1">
        <v>3400.0</v>
      </c>
      <c r="BQ1562" s="1">
        <v>299.0</v>
      </c>
      <c r="BR1562" s="1">
        <v>299.0</v>
      </c>
      <c r="BS1562" s="1">
        <v>299.0</v>
      </c>
      <c r="BU1562" s="1" t="s">
        <v>12543</v>
      </c>
      <c r="BV1562" s="1" t="s">
        <v>206</v>
      </c>
      <c r="BY1562" s="1" t="s">
        <v>544</v>
      </c>
      <c r="BZ1562" s="1" t="s">
        <v>209</v>
      </c>
      <c r="CA1562" s="1" t="s">
        <v>207</v>
      </c>
      <c r="CC1562" s="1" t="s">
        <v>264</v>
      </c>
      <c r="CD1562" s="1" t="s">
        <v>206</v>
      </c>
      <c r="CG1562" s="1" t="s">
        <v>393</v>
      </c>
      <c r="CH1562" s="1" t="s">
        <v>209</v>
      </c>
      <c r="CI1562" s="1" t="s">
        <v>207</v>
      </c>
      <c r="CK1562" s="1" t="s">
        <v>393</v>
      </c>
      <c r="CL1562" s="1" t="s">
        <v>209</v>
      </c>
      <c r="CO1562" s="1" t="s">
        <v>544</v>
      </c>
      <c r="CP1562" s="1" t="s">
        <v>391</v>
      </c>
      <c r="CQ1562" s="1" t="s">
        <v>207</v>
      </c>
      <c r="CS1562" s="1" t="s">
        <v>1612</v>
      </c>
      <c r="CT1562" s="1" t="s">
        <v>206</v>
      </c>
      <c r="CU1562" s="1" t="s">
        <v>207</v>
      </c>
      <c r="CX1562" s="1" t="s">
        <v>204</v>
      </c>
      <c r="DA1562" s="1" t="s">
        <v>200</v>
      </c>
      <c r="DC1562" s="1" t="s">
        <v>642</v>
      </c>
      <c r="DD1562" s="1" t="s">
        <v>731</v>
      </c>
      <c r="DE1562" s="1" t="s">
        <v>273</v>
      </c>
      <c r="DF1562" s="1" t="s">
        <v>619</v>
      </c>
      <c r="DG1562" s="1" t="s">
        <v>337</v>
      </c>
      <c r="DH1562" s="1" t="s">
        <v>365</v>
      </c>
      <c r="DJ1562" s="1" t="s">
        <v>222</v>
      </c>
      <c r="DL1562" s="1" t="s">
        <v>224</v>
      </c>
      <c r="DM1562" s="1" t="s">
        <v>3575</v>
      </c>
      <c r="DN1562" s="1" t="s">
        <v>548</v>
      </c>
      <c r="DQ1562" s="1" t="s">
        <v>228</v>
      </c>
      <c r="DR1562" s="1" t="s">
        <v>229</v>
      </c>
      <c r="DV1562" s="1" t="s">
        <v>232</v>
      </c>
      <c r="DW1562" s="1" t="s">
        <v>12734</v>
      </c>
      <c r="DX1562" s="1" t="s">
        <v>234</v>
      </c>
      <c r="DY1562" s="1" t="s">
        <v>596</v>
      </c>
      <c r="EC1562" s="1" t="s">
        <v>406</v>
      </c>
      <c r="EM1562" s="1" t="s">
        <v>238</v>
      </c>
      <c r="EQ1562" s="1" t="s">
        <v>238</v>
      </c>
      <c r="EU1562" s="1" t="s">
        <v>238</v>
      </c>
      <c r="EY1562" s="1" t="s">
        <v>238</v>
      </c>
      <c r="FC1562" s="1" t="s">
        <v>238</v>
      </c>
      <c r="FF1562" s="1" t="s">
        <v>239</v>
      </c>
      <c r="FG1562" s="1" t="s">
        <v>192</v>
      </c>
      <c r="FH1562" s="1" t="s">
        <v>192</v>
      </c>
      <c r="FJ1562" s="1" t="s">
        <v>1280</v>
      </c>
      <c r="FK1562" s="1" t="s">
        <v>229</v>
      </c>
      <c r="FL1562" s="1" t="s">
        <v>9531</v>
      </c>
      <c r="FM1562" s="1">
        <v>61153.0</v>
      </c>
      <c r="FN1562" s="1" t="s">
        <v>9532</v>
      </c>
      <c r="FO1562" s="1" t="s">
        <v>9533</v>
      </c>
      <c r="FP1562" s="1">
        <v>239457.0</v>
      </c>
      <c r="FQ1562" s="1" t="s">
        <v>9534</v>
      </c>
      <c r="FU1562" s="1" t="s">
        <v>15796</v>
      </c>
      <c r="FV1562" s="1" t="s">
        <v>200</v>
      </c>
      <c r="FW1562" s="1" t="s">
        <v>631</v>
      </c>
      <c r="FX1562" s="1" t="s">
        <v>655</v>
      </c>
      <c r="FZ1562" s="1" t="s">
        <v>229</v>
      </c>
      <c r="GA1562" s="1" t="s">
        <v>291</v>
      </c>
      <c r="GB1562" s="2">
        <v>42146.0</v>
      </c>
      <c r="GC1562" s="1" t="s">
        <v>15797</v>
      </c>
    </row>
    <row r="1563">
      <c r="A1563" s="1">
        <v>303500.0</v>
      </c>
      <c r="B1563" s="1" t="s">
        <v>185</v>
      </c>
      <c r="C1563" s="1" t="str">
        <f>"08880107"</f>
        <v>08880107</v>
      </c>
      <c r="D1563" s="1" t="s">
        <v>186</v>
      </c>
      <c r="F1563" s="1" t="str">
        <f>"8016"</f>
        <v>8016</v>
      </c>
      <c r="G1563" s="2">
        <v>42097.0</v>
      </c>
      <c r="H1563" s="1">
        <v>297500.0</v>
      </c>
      <c r="I1563" s="1">
        <v>2.0</v>
      </c>
      <c r="J1563" s="1">
        <v>297500.0</v>
      </c>
      <c r="K1563" s="2">
        <v>42098.0</v>
      </c>
      <c r="L1563" s="1">
        <v>2.0</v>
      </c>
      <c r="M1563" s="2">
        <v>42098.0</v>
      </c>
      <c r="N1563" s="1" t="s">
        <v>187</v>
      </c>
      <c r="O1563" s="2">
        <v>42144.0</v>
      </c>
      <c r="P1563" s="1">
        <v>123069.0</v>
      </c>
      <c r="Q1563" s="1">
        <v>84025.0</v>
      </c>
      <c r="R1563" s="1">
        <v>6500.0</v>
      </c>
      <c r="S1563" s="1">
        <v>3305.0</v>
      </c>
      <c r="T1563" s="1" t="s">
        <v>15798</v>
      </c>
      <c r="U1563" s="1" t="s">
        <v>189</v>
      </c>
      <c r="V1563" s="1" t="s">
        <v>190</v>
      </c>
      <c r="W1563" s="1">
        <v>60641.0</v>
      </c>
      <c r="Y1563" s="1" t="s">
        <v>15799</v>
      </c>
      <c r="Z1563" s="1">
        <v>1922.0</v>
      </c>
      <c r="AA1563" s="1" t="s">
        <v>192</v>
      </c>
      <c r="AB1563" s="1" t="s">
        <v>193</v>
      </c>
      <c r="AD1563" s="1" t="s">
        <v>194</v>
      </c>
      <c r="AE1563" s="1" t="s">
        <v>195</v>
      </c>
      <c r="AF1563" s="1" t="s">
        <v>196</v>
      </c>
      <c r="AH1563" s="1" t="s">
        <v>1393</v>
      </c>
      <c r="AI1563" s="1">
        <v>0.09</v>
      </c>
      <c r="AK1563" s="1">
        <v>8.0</v>
      </c>
      <c r="AL1563" s="1">
        <v>4.0</v>
      </c>
      <c r="AM1563" s="1">
        <v>3.0</v>
      </c>
      <c r="AN1563" s="1">
        <v>0.0</v>
      </c>
      <c r="AO1563" s="1" t="s">
        <v>198</v>
      </c>
      <c r="AP1563" s="1">
        <v>0.0</v>
      </c>
      <c r="AQ1563" s="1" t="s">
        <v>198</v>
      </c>
      <c r="AR1563" s="1" t="s">
        <v>192</v>
      </c>
      <c r="AS1563" s="1" t="s">
        <v>199</v>
      </c>
      <c r="AT1563" s="1">
        <v>2.0</v>
      </c>
      <c r="AV1563" s="1" t="s">
        <v>200</v>
      </c>
      <c r="AW1563" s="1">
        <v>3047.55</v>
      </c>
      <c r="AX1563" s="1">
        <v>2013.0</v>
      </c>
      <c r="AY1563" s="1" t="s">
        <v>229</v>
      </c>
      <c r="AZ1563" s="1" t="s">
        <v>200</v>
      </c>
      <c r="BA1563" s="1" t="str">
        <f>"13223160200000"</f>
        <v>13223160200000</v>
      </c>
      <c r="BB1563" s="1" t="s">
        <v>200</v>
      </c>
      <c r="BC1563" s="1">
        <v>1760.0</v>
      </c>
      <c r="BD1563" s="1">
        <v>303500.0</v>
      </c>
      <c r="BE1563" s="2">
        <v>42097.0</v>
      </c>
      <c r="BF1563" s="2" t="s">
        <v>15800</v>
      </c>
      <c r="BG1563" s="1" t="s">
        <v>15801</v>
      </c>
      <c r="BH1563" s="1">
        <v>0.0</v>
      </c>
      <c r="BJ1563" s="1" t="s">
        <v>203</v>
      </c>
      <c r="BK1563" s="1" t="s">
        <v>204</v>
      </c>
      <c r="BL1563" s="1" t="str">
        <f>"3305"</f>
        <v>3305</v>
      </c>
      <c r="BM1563" s="1" t="str">
        <f>"0"</f>
        <v>0</v>
      </c>
      <c r="BN1563" s="1">
        <v>4600.0</v>
      </c>
      <c r="BO1563" s="1">
        <v>0.0</v>
      </c>
      <c r="BQ1563" s="1">
        <v>299.0</v>
      </c>
      <c r="BR1563" s="1">
        <v>299.0</v>
      </c>
      <c r="BS1563" s="1">
        <v>299.0</v>
      </c>
      <c r="BU1563" s="1" t="s">
        <v>215</v>
      </c>
      <c r="BV1563" s="1" t="s">
        <v>206</v>
      </c>
      <c r="BW1563" s="1" t="s">
        <v>207</v>
      </c>
      <c r="BX1563" s="1" t="s">
        <v>431</v>
      </c>
      <c r="BY1563" s="1" t="s">
        <v>332</v>
      </c>
      <c r="BZ1563" s="1" t="s">
        <v>206</v>
      </c>
      <c r="CA1563" s="1" t="s">
        <v>207</v>
      </c>
      <c r="CB1563" s="1" t="s">
        <v>431</v>
      </c>
      <c r="CC1563" s="1" t="s">
        <v>363</v>
      </c>
      <c r="CD1563" s="1" t="s">
        <v>206</v>
      </c>
      <c r="CE1563" s="1" t="s">
        <v>207</v>
      </c>
      <c r="CF1563" s="1" t="s">
        <v>431</v>
      </c>
      <c r="CG1563" s="1" t="s">
        <v>699</v>
      </c>
      <c r="CH1563" s="1" t="s">
        <v>206</v>
      </c>
      <c r="CI1563" s="1" t="s">
        <v>207</v>
      </c>
      <c r="CJ1563" s="1" t="s">
        <v>431</v>
      </c>
      <c r="CK1563" s="1" t="s">
        <v>1426</v>
      </c>
      <c r="CL1563" s="1" t="s">
        <v>209</v>
      </c>
      <c r="CM1563" s="1" t="s">
        <v>210</v>
      </c>
      <c r="CO1563" s="1" t="s">
        <v>433</v>
      </c>
      <c r="CP1563" s="1" t="s">
        <v>209</v>
      </c>
      <c r="CQ1563" s="1" t="s">
        <v>210</v>
      </c>
      <c r="CS1563" s="1" t="s">
        <v>332</v>
      </c>
      <c r="CT1563" s="1" t="s">
        <v>206</v>
      </c>
      <c r="CU1563" s="1" t="s">
        <v>207</v>
      </c>
      <c r="CW1563" s="1" t="s">
        <v>2109</v>
      </c>
      <c r="CX1563" s="1" t="s">
        <v>42</v>
      </c>
      <c r="CY1563" s="1" t="s">
        <v>268</v>
      </c>
      <c r="DA1563" s="1" t="s">
        <v>200</v>
      </c>
      <c r="DC1563" s="1" t="s">
        <v>216</v>
      </c>
      <c r="DD1563" s="1" t="s">
        <v>306</v>
      </c>
      <c r="DE1563" s="1" t="s">
        <v>3750</v>
      </c>
      <c r="DF1563" s="1" t="s">
        <v>2328</v>
      </c>
      <c r="DG1563" s="1" t="s">
        <v>337</v>
      </c>
      <c r="DH1563" s="1" t="s">
        <v>365</v>
      </c>
      <c r="DI1563" s="1" t="s">
        <v>1141</v>
      </c>
      <c r="DJ1563" s="1" t="s">
        <v>222</v>
      </c>
      <c r="DK1563" s="1" t="s">
        <v>2506</v>
      </c>
      <c r="DL1563" s="1" t="s">
        <v>224</v>
      </c>
      <c r="DM1563" s="1" t="s">
        <v>229</v>
      </c>
      <c r="DN1563" s="1" t="s">
        <v>15802</v>
      </c>
      <c r="DO1563" s="1" t="s">
        <v>717</v>
      </c>
      <c r="DP1563" s="1" t="s">
        <v>276</v>
      </c>
      <c r="DQ1563" s="1" t="s">
        <v>718</v>
      </c>
      <c r="DR1563" s="1" t="s">
        <v>229</v>
      </c>
      <c r="DS1563" s="1" t="s">
        <v>230</v>
      </c>
      <c r="DV1563" s="1" t="s">
        <v>1102</v>
      </c>
      <c r="DW1563" s="1" t="s">
        <v>667</v>
      </c>
      <c r="DX1563" s="1" t="s">
        <v>234</v>
      </c>
      <c r="DY1563" s="1" t="s">
        <v>553</v>
      </c>
      <c r="DZ1563" s="1" t="s">
        <v>1959</v>
      </c>
      <c r="EA1563" s="1" t="s">
        <v>2099</v>
      </c>
      <c r="EC1563" s="1" t="s">
        <v>645</v>
      </c>
      <c r="ED1563" s="1" t="s">
        <v>407</v>
      </c>
      <c r="EE1563" s="1" t="s">
        <v>493</v>
      </c>
      <c r="EG1563" s="1" t="s">
        <v>1102</v>
      </c>
      <c r="EL1563" s="1" t="s">
        <v>1246</v>
      </c>
      <c r="EM1563" s="1" t="s">
        <v>206</v>
      </c>
      <c r="EN1563" s="1" t="s">
        <v>207</v>
      </c>
      <c r="EO1563" s="1" t="s">
        <v>431</v>
      </c>
      <c r="EQ1563" s="1" t="s">
        <v>238</v>
      </c>
      <c r="EU1563" s="1" t="s">
        <v>238</v>
      </c>
      <c r="EY1563" s="1" t="s">
        <v>238</v>
      </c>
      <c r="FC1563" s="1" t="s">
        <v>238</v>
      </c>
      <c r="FF1563" s="1" t="s">
        <v>239</v>
      </c>
      <c r="FG1563" s="1" t="s">
        <v>192</v>
      </c>
      <c r="FH1563" s="1" t="s">
        <v>192</v>
      </c>
      <c r="FJ1563" s="1" t="s">
        <v>973</v>
      </c>
      <c r="FK1563" s="1" t="s">
        <v>229</v>
      </c>
      <c r="FL1563" s="1" t="s">
        <v>734</v>
      </c>
      <c r="FM1563" s="1">
        <v>10646.0</v>
      </c>
      <c r="FN1563" s="1" t="s">
        <v>735</v>
      </c>
      <c r="FO1563" s="1" t="s">
        <v>12308</v>
      </c>
      <c r="FP1563" s="1">
        <v>105555.0</v>
      </c>
      <c r="FQ1563" s="1" t="s">
        <v>12309</v>
      </c>
      <c r="FU1563" s="1" t="s">
        <v>15803</v>
      </c>
      <c r="FV1563" s="1" t="s">
        <v>200</v>
      </c>
      <c r="FW1563" s="1" t="s">
        <v>5804</v>
      </c>
      <c r="FX1563" s="1" t="s">
        <v>238</v>
      </c>
      <c r="FZ1563" s="1" t="s">
        <v>229</v>
      </c>
      <c r="GA1563" s="1" t="s">
        <v>291</v>
      </c>
      <c r="GB1563" s="2">
        <v>42144.0</v>
      </c>
    </row>
    <row r="1564">
      <c r="A1564" s="1">
        <v>142000.0</v>
      </c>
      <c r="B1564" s="1" t="s">
        <v>185</v>
      </c>
      <c r="C1564" s="1" t="str">
        <f>"08885026"</f>
        <v>08885026</v>
      </c>
      <c r="D1564" s="1" t="s">
        <v>186</v>
      </c>
      <c r="F1564" s="1" t="str">
        <f>"560"</f>
        <v>560</v>
      </c>
      <c r="G1564" s="2">
        <v>42102.0</v>
      </c>
      <c r="H1564" s="1">
        <v>149900.0</v>
      </c>
      <c r="I1564" s="1">
        <v>3.0</v>
      </c>
      <c r="J1564" s="1">
        <v>149900.0</v>
      </c>
      <c r="K1564" s="2">
        <v>42104.0</v>
      </c>
      <c r="L1564" s="1">
        <v>3.0</v>
      </c>
      <c r="M1564" s="2">
        <v>42104.0</v>
      </c>
      <c r="N1564" s="1" t="s">
        <v>249</v>
      </c>
      <c r="O1564" s="2">
        <v>42125.0</v>
      </c>
      <c r="P1564" s="1">
        <v>243693.0</v>
      </c>
      <c r="Q1564" s="1">
        <v>22588.0</v>
      </c>
      <c r="S1564" s="1">
        <v>901.0</v>
      </c>
      <c r="T1564" s="1" t="s">
        <v>15804</v>
      </c>
      <c r="U1564" s="1" t="s">
        <v>320</v>
      </c>
      <c r="V1564" s="1" t="s">
        <v>845</v>
      </c>
      <c r="W1564" s="1">
        <v>60560.0</v>
      </c>
      <c r="Y1564" s="1" t="s">
        <v>15805</v>
      </c>
      <c r="Z1564" s="1">
        <v>1910.0</v>
      </c>
      <c r="AA1564" s="1" t="s">
        <v>192</v>
      </c>
      <c r="AB1564" s="1" t="s">
        <v>193</v>
      </c>
      <c r="AD1564" s="1" t="s">
        <v>848</v>
      </c>
      <c r="AE1564" s="1" t="s">
        <v>849</v>
      </c>
      <c r="AF1564" s="1" t="s">
        <v>2153</v>
      </c>
      <c r="AH1564" s="1" t="s">
        <v>15806</v>
      </c>
      <c r="AI1564" s="1">
        <v>0.2</v>
      </c>
      <c r="AK1564" s="1">
        <v>7.0</v>
      </c>
      <c r="AL1564" s="1">
        <v>4.0</v>
      </c>
      <c r="AM1564" s="1">
        <v>1.0</v>
      </c>
      <c r="AN1564" s="1">
        <v>1.0</v>
      </c>
      <c r="AO1564" s="1" t="s">
        <v>229</v>
      </c>
      <c r="AQ1564" s="1" t="s">
        <v>198</v>
      </c>
      <c r="AR1564" s="1" t="s">
        <v>200</v>
      </c>
      <c r="AS1564" s="1" t="s">
        <v>199</v>
      </c>
      <c r="AT1564" s="1">
        <v>2.5</v>
      </c>
      <c r="AV1564" s="1" t="s">
        <v>200</v>
      </c>
      <c r="AW1564" s="1">
        <v>4634.0</v>
      </c>
      <c r="AX1564" s="1">
        <v>2013.0</v>
      </c>
      <c r="AZ1564" s="1" t="s">
        <v>200</v>
      </c>
      <c r="BA1564" s="1" t="str">
        <f>"0232477005"</f>
        <v>0232477005</v>
      </c>
      <c r="BC1564" s="1">
        <v>1800.0</v>
      </c>
      <c r="BD1564" s="1">
        <v>142000.0</v>
      </c>
      <c r="BE1564" s="2">
        <v>42102.0</v>
      </c>
      <c r="BF1564" s="2" t="s">
        <v>15807</v>
      </c>
      <c r="BH1564" s="1">
        <v>0.0</v>
      </c>
      <c r="BK1564" s="1" t="s">
        <v>204</v>
      </c>
      <c r="BL1564" s="1" t="str">
        <f t="shared" ref="BL1564:BM1564" si="1022">""</f>
        <v/>
      </c>
      <c r="BM1564" s="1" t="str">
        <f t="shared" si="1022"/>
        <v/>
      </c>
      <c r="BQ1564" s="1">
        <v>115.0</v>
      </c>
      <c r="BR1564" s="1">
        <v>115.0</v>
      </c>
      <c r="BS1564" s="1">
        <v>115.0</v>
      </c>
      <c r="BU1564" s="1" t="s">
        <v>2414</v>
      </c>
      <c r="BV1564" s="1" t="s">
        <v>206</v>
      </c>
      <c r="BW1564" s="1" t="s">
        <v>301</v>
      </c>
      <c r="BX1564" s="1" t="s">
        <v>239</v>
      </c>
      <c r="BY1564" s="1" t="s">
        <v>361</v>
      </c>
      <c r="BZ1564" s="1" t="s">
        <v>209</v>
      </c>
      <c r="CA1564" s="1" t="s">
        <v>207</v>
      </c>
      <c r="CB1564" s="1" t="s">
        <v>239</v>
      </c>
      <c r="CC1564" s="1" t="s">
        <v>454</v>
      </c>
      <c r="CD1564" s="1" t="s">
        <v>206</v>
      </c>
      <c r="CE1564" s="1" t="s">
        <v>301</v>
      </c>
      <c r="CF1564" s="1" t="s">
        <v>239</v>
      </c>
      <c r="CG1564" s="1" t="s">
        <v>433</v>
      </c>
      <c r="CH1564" s="1" t="s">
        <v>209</v>
      </c>
      <c r="CI1564" s="1" t="s">
        <v>210</v>
      </c>
      <c r="CJ1564" s="1" t="s">
        <v>239</v>
      </c>
      <c r="CK1564" s="1" t="s">
        <v>215</v>
      </c>
      <c r="CL1564" s="1" t="s">
        <v>209</v>
      </c>
      <c r="CM1564" s="1" t="s">
        <v>210</v>
      </c>
      <c r="CN1564" s="1" t="s">
        <v>239</v>
      </c>
      <c r="CO1564" s="1" t="s">
        <v>212</v>
      </c>
      <c r="CP1564" s="1" t="s">
        <v>206</v>
      </c>
      <c r="CQ1564" s="1" t="s">
        <v>301</v>
      </c>
      <c r="CR1564" s="1" t="s">
        <v>239</v>
      </c>
      <c r="CS1564" s="1" t="s">
        <v>664</v>
      </c>
      <c r="CT1564" s="1" t="s">
        <v>206</v>
      </c>
      <c r="CU1564" s="1" t="s">
        <v>301</v>
      </c>
      <c r="CV1564" s="1" t="s">
        <v>239</v>
      </c>
      <c r="CX1564" s="1" t="s">
        <v>204</v>
      </c>
      <c r="DA1564" s="1" t="s">
        <v>200</v>
      </c>
      <c r="DC1564" s="1" t="s">
        <v>642</v>
      </c>
      <c r="DD1564" s="1" t="s">
        <v>618</v>
      </c>
      <c r="DE1564" s="1" t="s">
        <v>273</v>
      </c>
      <c r="DF1564" s="1" t="s">
        <v>619</v>
      </c>
      <c r="DH1564" s="1" t="s">
        <v>220</v>
      </c>
      <c r="DI1564" s="1" t="s">
        <v>959</v>
      </c>
      <c r="DJ1564" s="1" t="s">
        <v>222</v>
      </c>
      <c r="DL1564" s="1" t="s">
        <v>484</v>
      </c>
      <c r="DM1564" s="1" t="s">
        <v>338</v>
      </c>
      <c r="DO1564" s="1" t="s">
        <v>590</v>
      </c>
      <c r="DP1564" s="1" t="s">
        <v>340</v>
      </c>
      <c r="DQ1564" s="1" t="s">
        <v>228</v>
      </c>
      <c r="DR1564" s="1" t="s">
        <v>229</v>
      </c>
      <c r="DS1564" s="1" t="s">
        <v>230</v>
      </c>
      <c r="DU1564" s="1" t="s">
        <v>2070</v>
      </c>
      <c r="DV1564" s="1" t="s">
        <v>232</v>
      </c>
      <c r="DW1564" s="1" t="s">
        <v>15808</v>
      </c>
      <c r="DX1564" s="1" t="s">
        <v>234</v>
      </c>
      <c r="DY1564" s="1" t="s">
        <v>15809</v>
      </c>
      <c r="DZ1564" s="1" t="s">
        <v>310</v>
      </c>
      <c r="EC1564" s="1" t="s">
        <v>237</v>
      </c>
      <c r="EE1564" s="1" t="s">
        <v>187</v>
      </c>
      <c r="EM1564" s="1" t="s">
        <v>238</v>
      </c>
      <c r="EQ1564" s="1" t="s">
        <v>238</v>
      </c>
      <c r="EU1564" s="1" t="s">
        <v>238</v>
      </c>
      <c r="EY1564" s="1" t="s">
        <v>238</v>
      </c>
      <c r="FC1564" s="1" t="s">
        <v>238</v>
      </c>
      <c r="FF1564" s="1" t="s">
        <v>239</v>
      </c>
      <c r="FG1564" s="1" t="s">
        <v>192</v>
      </c>
      <c r="FH1564" s="1" t="s">
        <v>192</v>
      </c>
      <c r="FJ1564" s="1" t="s">
        <v>15266</v>
      </c>
      <c r="FK1564" s="1" t="s">
        <v>229</v>
      </c>
      <c r="FL1564" s="1" t="s">
        <v>1358</v>
      </c>
      <c r="FM1564" s="1">
        <v>23076.0</v>
      </c>
      <c r="FN1564" s="1" t="s">
        <v>1359</v>
      </c>
      <c r="FO1564" s="1" t="s">
        <v>15267</v>
      </c>
      <c r="FP1564" s="1">
        <v>228466.0</v>
      </c>
      <c r="FQ1564" s="1" t="s">
        <v>15268</v>
      </c>
      <c r="FU1564" s="1" t="s">
        <v>3744</v>
      </c>
      <c r="FV1564" s="1" t="s">
        <v>200</v>
      </c>
      <c r="FW1564" s="1" t="s">
        <v>290</v>
      </c>
      <c r="FX1564" s="1" t="s">
        <v>655</v>
      </c>
      <c r="FZ1564" s="1" t="s">
        <v>229</v>
      </c>
      <c r="GA1564" s="1" t="s">
        <v>291</v>
      </c>
      <c r="GB1564" s="2">
        <v>42125.0</v>
      </c>
      <c r="GC1564" s="1" t="s">
        <v>15810</v>
      </c>
    </row>
    <row r="1565">
      <c r="A1565" s="1">
        <v>144000.0</v>
      </c>
      <c r="B1565" s="1" t="s">
        <v>185</v>
      </c>
      <c r="C1565" s="1" t="str">
        <f>"08883002"</f>
        <v>08883002</v>
      </c>
      <c r="D1565" s="1" t="s">
        <v>186</v>
      </c>
      <c r="F1565" s="1" t="str">
        <f>"538"</f>
        <v>538</v>
      </c>
      <c r="G1565" s="2">
        <v>42101.0</v>
      </c>
      <c r="H1565" s="1">
        <v>147900.0</v>
      </c>
      <c r="I1565" s="1">
        <v>5.0</v>
      </c>
      <c r="J1565" s="1">
        <v>147900.0</v>
      </c>
      <c r="K1565" s="2">
        <v>42105.0</v>
      </c>
      <c r="L1565" s="1">
        <v>5.0</v>
      </c>
      <c r="M1565" s="2">
        <v>42105.0</v>
      </c>
      <c r="N1565" s="1" t="s">
        <v>187</v>
      </c>
      <c r="O1565" s="2">
        <v>42145.0</v>
      </c>
      <c r="P1565" s="1">
        <v>231054.0</v>
      </c>
      <c r="Q1565" s="1">
        <v>23196.0</v>
      </c>
      <c r="R1565" s="1">
        <v>2000.0</v>
      </c>
      <c r="S1565" s="1">
        <v>36.0</v>
      </c>
      <c r="T1565" s="1" t="s">
        <v>15811</v>
      </c>
      <c r="U1565" s="1" t="s">
        <v>569</v>
      </c>
      <c r="V1565" s="1" t="s">
        <v>1340</v>
      </c>
      <c r="W1565" s="1">
        <v>60538.0</v>
      </c>
      <c r="Y1565" s="1" t="s">
        <v>15812</v>
      </c>
      <c r="Z1565" s="1">
        <v>1960.0</v>
      </c>
      <c r="AA1565" s="1" t="s">
        <v>192</v>
      </c>
      <c r="AB1565" s="1" t="s">
        <v>193</v>
      </c>
      <c r="AD1565" s="1" t="s">
        <v>1089</v>
      </c>
      <c r="AE1565" s="1" t="s">
        <v>849</v>
      </c>
      <c r="AF1565" s="1" t="s">
        <v>1529</v>
      </c>
      <c r="AH1565" s="1" t="s">
        <v>15813</v>
      </c>
      <c r="AK1565" s="1">
        <v>8.0</v>
      </c>
      <c r="AL1565" s="1">
        <v>4.0</v>
      </c>
      <c r="AM1565" s="1">
        <v>1.0</v>
      </c>
      <c r="AN1565" s="1">
        <v>1.0</v>
      </c>
      <c r="AO1565" s="1" t="s">
        <v>229</v>
      </c>
      <c r="AQ1565" s="1" t="s">
        <v>229</v>
      </c>
      <c r="AR1565" s="1" t="s">
        <v>200</v>
      </c>
      <c r="AS1565" s="1" t="s">
        <v>199</v>
      </c>
      <c r="AT1565" s="1">
        <v>2.0</v>
      </c>
      <c r="AV1565" s="1" t="s">
        <v>200</v>
      </c>
      <c r="AW1565" s="1">
        <v>2634.0</v>
      </c>
      <c r="AX1565" s="1">
        <v>2013.0</v>
      </c>
      <c r="AY1565" s="1" t="s">
        <v>1917</v>
      </c>
      <c r="AZ1565" s="1" t="s">
        <v>200</v>
      </c>
      <c r="BA1565" s="1" t="str">
        <f>"0305432016"</f>
        <v>0305432016</v>
      </c>
      <c r="BC1565" s="1">
        <v>1535.0</v>
      </c>
      <c r="BD1565" s="1">
        <v>144000.0</v>
      </c>
      <c r="BE1565" s="2">
        <v>42101.0</v>
      </c>
      <c r="BF1565" s="1" t="s">
        <v>15814</v>
      </c>
      <c r="BH1565" s="1">
        <v>0.0</v>
      </c>
      <c r="BK1565" s="1" t="s">
        <v>204</v>
      </c>
      <c r="BL1565" s="1" t="str">
        <f t="shared" ref="BL1565:BM1565" si="1023">""</f>
        <v/>
      </c>
      <c r="BM1565" s="1" t="str">
        <f t="shared" si="1023"/>
        <v/>
      </c>
      <c r="BQ1565" s="1">
        <v>308.0</v>
      </c>
      <c r="BR1565" s="1">
        <v>308.0</v>
      </c>
      <c r="BS1565" s="1">
        <v>308.0</v>
      </c>
      <c r="BU1565" s="1" t="s">
        <v>2459</v>
      </c>
      <c r="BV1565" s="1" t="s">
        <v>206</v>
      </c>
      <c r="BW1565" s="1" t="s">
        <v>210</v>
      </c>
      <c r="BX1565" s="1" t="s">
        <v>239</v>
      </c>
      <c r="BY1565" s="1" t="s">
        <v>303</v>
      </c>
      <c r="BZ1565" s="1" t="s">
        <v>209</v>
      </c>
      <c r="CA1565" s="1" t="s">
        <v>210</v>
      </c>
      <c r="CD1565" s="1" t="s">
        <v>204</v>
      </c>
      <c r="CG1565" s="1" t="s">
        <v>1352</v>
      </c>
      <c r="CH1565" s="1" t="s">
        <v>209</v>
      </c>
      <c r="CI1565" s="1" t="s">
        <v>210</v>
      </c>
      <c r="CJ1565" s="1" t="s">
        <v>239</v>
      </c>
      <c r="CK1565" s="1" t="s">
        <v>302</v>
      </c>
      <c r="CL1565" s="1" t="s">
        <v>209</v>
      </c>
      <c r="CM1565" s="1" t="s">
        <v>210</v>
      </c>
      <c r="CN1565" s="1" t="s">
        <v>239</v>
      </c>
      <c r="CO1565" s="1" t="s">
        <v>269</v>
      </c>
      <c r="CP1565" s="1" t="s">
        <v>267</v>
      </c>
      <c r="CQ1565" s="1" t="s">
        <v>210</v>
      </c>
      <c r="CR1565" s="1" t="s">
        <v>239</v>
      </c>
      <c r="CS1565" s="1" t="s">
        <v>15815</v>
      </c>
      <c r="CT1565" s="1" t="s">
        <v>206</v>
      </c>
      <c r="CU1565" s="1" t="s">
        <v>617</v>
      </c>
      <c r="CV1565" s="1" t="s">
        <v>239</v>
      </c>
      <c r="CW1565" s="1" t="s">
        <v>1519</v>
      </c>
      <c r="CX1565" s="1" t="s">
        <v>267</v>
      </c>
      <c r="CY1565" s="1" t="s">
        <v>210</v>
      </c>
      <c r="CZ1565" s="1" t="s">
        <v>239</v>
      </c>
      <c r="DA1565" s="1" t="s">
        <v>200</v>
      </c>
      <c r="DC1565" s="1" t="s">
        <v>271</v>
      </c>
      <c r="DD1565" s="1" t="s">
        <v>518</v>
      </c>
      <c r="DE1565" s="1" t="s">
        <v>273</v>
      </c>
      <c r="DF1565" s="1" t="s">
        <v>219</v>
      </c>
      <c r="DG1565" s="1" t="s">
        <v>274</v>
      </c>
      <c r="DH1565" s="1" t="s">
        <v>220</v>
      </c>
      <c r="DI1565" s="1" t="s">
        <v>1401</v>
      </c>
      <c r="DJ1565" s="1" t="s">
        <v>222</v>
      </c>
      <c r="DL1565" s="1" t="s">
        <v>229</v>
      </c>
      <c r="DM1565" s="1" t="s">
        <v>229</v>
      </c>
      <c r="DQ1565" s="1" t="s">
        <v>228</v>
      </c>
      <c r="DR1565" s="1" t="s">
        <v>229</v>
      </c>
      <c r="DS1565" s="1" t="s">
        <v>3008</v>
      </c>
      <c r="DU1565" s="1" t="s">
        <v>487</v>
      </c>
      <c r="DV1565" s="1" t="s">
        <v>449</v>
      </c>
      <c r="DW1565" s="1" t="s">
        <v>588</v>
      </c>
      <c r="DX1565" s="1" t="s">
        <v>309</v>
      </c>
      <c r="DZ1565" s="1" t="s">
        <v>310</v>
      </c>
      <c r="EC1565" s="1" t="s">
        <v>284</v>
      </c>
      <c r="ED1565" s="1" t="s">
        <v>407</v>
      </c>
      <c r="EE1565" s="1" t="s">
        <v>493</v>
      </c>
      <c r="EG1565" s="1" t="s">
        <v>449</v>
      </c>
      <c r="EL1565" s="1" t="s">
        <v>5440</v>
      </c>
      <c r="EM1565" s="1" t="s">
        <v>206</v>
      </c>
      <c r="EN1565" s="1" t="s">
        <v>617</v>
      </c>
      <c r="EO1565" s="1" t="s">
        <v>239</v>
      </c>
      <c r="EQ1565" s="1" t="s">
        <v>238</v>
      </c>
      <c r="EU1565" s="1" t="s">
        <v>238</v>
      </c>
      <c r="EY1565" s="1" t="s">
        <v>238</v>
      </c>
      <c r="FC1565" s="1" t="s">
        <v>238</v>
      </c>
      <c r="FF1565" s="1" t="s">
        <v>239</v>
      </c>
      <c r="FG1565" s="1" t="s">
        <v>192</v>
      </c>
      <c r="FH1565" s="1" t="s">
        <v>192</v>
      </c>
      <c r="FJ1565" s="1" t="s">
        <v>770</v>
      </c>
      <c r="FK1565" s="1" t="s">
        <v>229</v>
      </c>
      <c r="FL1565" s="1" t="s">
        <v>15816</v>
      </c>
      <c r="FM1565" s="1">
        <v>31700.0</v>
      </c>
      <c r="FN1565" s="1" t="s">
        <v>15817</v>
      </c>
      <c r="FO1565" s="1" t="s">
        <v>15818</v>
      </c>
      <c r="FP1565" s="1">
        <v>317000.0</v>
      </c>
      <c r="FQ1565" s="1" t="s">
        <v>15819</v>
      </c>
      <c r="FS1565" s="1" t="s">
        <v>15820</v>
      </c>
      <c r="FU1565" s="1" t="s">
        <v>15821</v>
      </c>
      <c r="FV1565" s="1" t="s">
        <v>200</v>
      </c>
      <c r="FW1565" s="1" t="s">
        <v>290</v>
      </c>
      <c r="FZ1565" s="1" t="s">
        <v>229</v>
      </c>
      <c r="GA1565" s="1" t="s">
        <v>291</v>
      </c>
      <c r="GB1565" s="2">
        <v>42145.0</v>
      </c>
      <c r="GC1565" s="1" t="s">
        <v>15822</v>
      </c>
    </row>
    <row r="1566">
      <c r="A1566" s="1">
        <v>81015.0</v>
      </c>
      <c r="B1566" s="1" t="s">
        <v>185</v>
      </c>
      <c r="C1566" s="1" t="str">
        <f>"08884540"</f>
        <v>08884540</v>
      </c>
      <c r="D1566" s="1" t="s">
        <v>186</v>
      </c>
      <c r="F1566" s="1" t="str">
        <f>"8043"</f>
        <v>8043</v>
      </c>
      <c r="G1566" s="2">
        <v>42102.0</v>
      </c>
      <c r="H1566" s="1">
        <v>65000.0</v>
      </c>
      <c r="I1566" s="1">
        <v>4.0</v>
      </c>
      <c r="J1566" s="1">
        <v>65000.0</v>
      </c>
      <c r="K1566" s="2">
        <v>42105.0</v>
      </c>
      <c r="L1566" s="1">
        <v>4.0</v>
      </c>
      <c r="M1566" s="2">
        <v>42105.0</v>
      </c>
      <c r="N1566" s="1" t="s">
        <v>249</v>
      </c>
      <c r="O1566" s="2">
        <v>42136.0</v>
      </c>
      <c r="P1566" s="1">
        <v>601452.0</v>
      </c>
      <c r="Q1566" s="1">
        <v>23819.0</v>
      </c>
      <c r="S1566" s="1">
        <v>7419.0</v>
      </c>
      <c r="T1566" s="1" t="s">
        <v>7705</v>
      </c>
      <c r="U1566" s="1" t="s">
        <v>189</v>
      </c>
      <c r="V1566" s="1" t="s">
        <v>190</v>
      </c>
      <c r="W1566" s="1">
        <v>60649.0</v>
      </c>
      <c r="Y1566" s="1" t="s">
        <v>15823</v>
      </c>
      <c r="Z1566" s="1" t="s">
        <v>296</v>
      </c>
      <c r="AA1566" s="1" t="s">
        <v>192</v>
      </c>
      <c r="AB1566" s="1" t="s">
        <v>193</v>
      </c>
      <c r="AD1566" s="1" t="s">
        <v>194</v>
      </c>
      <c r="AE1566" s="1" t="s">
        <v>195</v>
      </c>
      <c r="AF1566" s="1" t="s">
        <v>637</v>
      </c>
      <c r="AH1566" s="1" t="s">
        <v>15824</v>
      </c>
      <c r="AK1566" s="1">
        <v>8.0</v>
      </c>
      <c r="AL1566" s="1">
        <v>4.0</v>
      </c>
      <c r="AM1566" s="1">
        <v>1.0</v>
      </c>
      <c r="AN1566" s="1">
        <v>1.0</v>
      </c>
      <c r="AO1566" s="1" t="s">
        <v>229</v>
      </c>
      <c r="AP1566" s="1">
        <v>1.0</v>
      </c>
      <c r="AQ1566" s="1" t="s">
        <v>327</v>
      </c>
      <c r="AR1566" s="1" t="s">
        <v>200</v>
      </c>
      <c r="AS1566" s="1" t="s">
        <v>199</v>
      </c>
      <c r="AT1566" s="1">
        <v>2.0</v>
      </c>
      <c r="AV1566" s="1" t="s">
        <v>200</v>
      </c>
      <c r="AW1566" s="1">
        <v>3456.0</v>
      </c>
      <c r="AX1566" s="1">
        <v>2013.0</v>
      </c>
      <c r="AY1566" s="1" t="s">
        <v>387</v>
      </c>
      <c r="AZ1566" s="1" t="s">
        <v>200</v>
      </c>
      <c r="BA1566" s="1" t="str">
        <f>"20252230060000"</f>
        <v>20252230060000</v>
      </c>
      <c r="BC1566" s="1">
        <v>2116.0</v>
      </c>
      <c r="BD1566" s="1">
        <v>81015.0</v>
      </c>
      <c r="BE1566" s="2">
        <v>42102.0</v>
      </c>
      <c r="BF1566" s="2" t="s">
        <v>15825</v>
      </c>
      <c r="BH1566" s="1">
        <v>0.0</v>
      </c>
      <c r="BK1566" s="1" t="s">
        <v>204</v>
      </c>
      <c r="BL1566" s="1" t="str">
        <f>"0"</f>
        <v>0</v>
      </c>
      <c r="BM1566" s="1" t="str">
        <f>"2100"</f>
        <v>2100</v>
      </c>
      <c r="BN1566" s="1">
        <v>0.0</v>
      </c>
      <c r="BO1566" s="1">
        <v>7400.0</v>
      </c>
      <c r="BQ1566" s="1">
        <v>299.0</v>
      </c>
      <c r="BR1566" s="1">
        <v>299.0</v>
      </c>
      <c r="BS1566" s="1">
        <v>299.0</v>
      </c>
      <c r="BU1566" s="1" t="s">
        <v>330</v>
      </c>
      <c r="BV1566" s="1" t="s">
        <v>206</v>
      </c>
      <c r="BW1566" s="1" t="s">
        <v>210</v>
      </c>
      <c r="BX1566" s="1" t="s">
        <v>1549</v>
      </c>
      <c r="BY1566" s="1" t="s">
        <v>300</v>
      </c>
      <c r="BZ1566" s="1" t="s">
        <v>209</v>
      </c>
      <c r="CA1566" s="1" t="s">
        <v>207</v>
      </c>
      <c r="CB1566" s="1" t="s">
        <v>1549</v>
      </c>
      <c r="CC1566" s="1" t="s">
        <v>363</v>
      </c>
      <c r="CD1566" s="1" t="s">
        <v>206</v>
      </c>
      <c r="CE1566" s="1" t="s">
        <v>207</v>
      </c>
      <c r="CF1566" s="1" t="s">
        <v>1549</v>
      </c>
      <c r="CG1566" s="1" t="s">
        <v>363</v>
      </c>
      <c r="CH1566" s="1" t="s">
        <v>209</v>
      </c>
      <c r="CI1566" s="1" t="s">
        <v>207</v>
      </c>
      <c r="CJ1566" s="1" t="s">
        <v>1549</v>
      </c>
      <c r="CK1566" s="1" t="s">
        <v>363</v>
      </c>
      <c r="CL1566" s="1" t="s">
        <v>209</v>
      </c>
      <c r="CM1566" s="1" t="s">
        <v>207</v>
      </c>
      <c r="CN1566" s="1" t="s">
        <v>1549</v>
      </c>
      <c r="CO1566" s="1" t="s">
        <v>264</v>
      </c>
      <c r="CP1566" s="1" t="s">
        <v>209</v>
      </c>
      <c r="CQ1566" s="1" t="s">
        <v>207</v>
      </c>
      <c r="CR1566" s="1" t="s">
        <v>1549</v>
      </c>
      <c r="CS1566" s="1" t="s">
        <v>269</v>
      </c>
      <c r="CT1566" s="1" t="s">
        <v>206</v>
      </c>
      <c r="CU1566" s="1" t="s">
        <v>617</v>
      </c>
      <c r="CV1566" s="1" t="s">
        <v>229</v>
      </c>
      <c r="CX1566" s="1" t="s">
        <v>204</v>
      </c>
      <c r="DA1566" s="1" t="s">
        <v>200</v>
      </c>
      <c r="DC1566" s="1" t="s">
        <v>702</v>
      </c>
      <c r="DD1566" s="1" t="s">
        <v>396</v>
      </c>
      <c r="DE1566" s="1" t="s">
        <v>229</v>
      </c>
      <c r="DF1566" s="1" t="s">
        <v>619</v>
      </c>
      <c r="DG1566" s="1" t="s">
        <v>1020</v>
      </c>
      <c r="DH1566" s="1" t="s">
        <v>365</v>
      </c>
      <c r="DI1566" s="1" t="s">
        <v>831</v>
      </c>
      <c r="DJ1566" s="1" t="s">
        <v>222</v>
      </c>
      <c r="DK1566" s="1" t="s">
        <v>3740</v>
      </c>
      <c r="DL1566" s="1" t="s">
        <v>223</v>
      </c>
      <c r="DM1566" s="1" t="s">
        <v>229</v>
      </c>
      <c r="DP1566" s="1" t="s">
        <v>340</v>
      </c>
      <c r="DQ1566" s="1" t="s">
        <v>441</v>
      </c>
      <c r="DR1566" s="1" t="s">
        <v>229</v>
      </c>
      <c r="DS1566" s="1" t="s">
        <v>230</v>
      </c>
      <c r="DU1566" s="1" t="s">
        <v>1355</v>
      </c>
      <c r="DV1566" s="1" t="s">
        <v>556</v>
      </c>
      <c r="DW1566" s="1" t="s">
        <v>279</v>
      </c>
      <c r="DX1566" s="1" t="s">
        <v>234</v>
      </c>
      <c r="DY1566" s="1" t="s">
        <v>704</v>
      </c>
      <c r="DZ1566" s="1" t="s">
        <v>3374</v>
      </c>
      <c r="EA1566" s="1" t="s">
        <v>644</v>
      </c>
      <c r="EB1566" s="1" t="s">
        <v>345</v>
      </c>
      <c r="EC1566" s="1" t="s">
        <v>237</v>
      </c>
      <c r="ED1566" s="1" t="s">
        <v>1761</v>
      </c>
      <c r="EE1566" s="1" t="s">
        <v>1960</v>
      </c>
      <c r="EG1566" s="1" t="s">
        <v>556</v>
      </c>
      <c r="EL1566" s="1" t="s">
        <v>939</v>
      </c>
      <c r="EM1566" s="1" t="s">
        <v>206</v>
      </c>
      <c r="EN1566" s="1" t="s">
        <v>617</v>
      </c>
      <c r="EO1566" s="1" t="s">
        <v>229</v>
      </c>
      <c r="EQ1566" s="1" t="s">
        <v>238</v>
      </c>
      <c r="EU1566" s="1" t="s">
        <v>238</v>
      </c>
      <c r="EY1566" s="1" t="s">
        <v>238</v>
      </c>
      <c r="FC1566" s="1" t="s">
        <v>238</v>
      </c>
      <c r="FF1566" s="1" t="s">
        <v>239</v>
      </c>
      <c r="FG1566" s="1" t="s">
        <v>192</v>
      </c>
      <c r="FH1566" s="1" t="s">
        <v>192</v>
      </c>
      <c r="FJ1566" s="1" t="s">
        <v>15826</v>
      </c>
      <c r="FK1566" s="1" t="s">
        <v>229</v>
      </c>
      <c r="FL1566" s="1" t="s">
        <v>15012</v>
      </c>
      <c r="FM1566" s="1">
        <v>25688.0</v>
      </c>
      <c r="FN1566" s="1" t="s">
        <v>15013</v>
      </c>
      <c r="FO1566" s="1" t="s">
        <v>15827</v>
      </c>
      <c r="FP1566" s="1">
        <v>603683.0</v>
      </c>
      <c r="FQ1566" s="1" t="s">
        <v>15828</v>
      </c>
      <c r="FU1566" s="1" t="s">
        <v>15829</v>
      </c>
      <c r="FV1566" s="1" t="s">
        <v>200</v>
      </c>
      <c r="FW1566" s="1" t="s">
        <v>290</v>
      </c>
      <c r="FX1566" s="1" t="s">
        <v>655</v>
      </c>
      <c r="FZ1566" s="1" t="s">
        <v>229</v>
      </c>
      <c r="GA1566" s="1" t="s">
        <v>291</v>
      </c>
      <c r="GB1566" s="2">
        <v>42136.0</v>
      </c>
      <c r="GC1566" s="1" t="s">
        <v>15830</v>
      </c>
    </row>
    <row r="1567">
      <c r="A1567" s="1">
        <v>137500.0</v>
      </c>
      <c r="B1567" s="1" t="s">
        <v>185</v>
      </c>
      <c r="C1567" s="1" t="str">
        <f>"08883317"</f>
        <v>08883317</v>
      </c>
      <c r="D1567" s="1" t="s">
        <v>186</v>
      </c>
      <c r="F1567" s="1" t="str">
        <f>"123"</f>
        <v>123</v>
      </c>
      <c r="G1567" s="2">
        <v>42101.0</v>
      </c>
      <c r="H1567" s="1">
        <v>137500.0</v>
      </c>
      <c r="I1567" s="1">
        <v>14.0</v>
      </c>
      <c r="J1567" s="1">
        <v>137500.0</v>
      </c>
      <c r="K1567" s="2">
        <v>42114.0</v>
      </c>
      <c r="L1567" s="1">
        <v>14.0</v>
      </c>
      <c r="M1567" s="2">
        <v>42114.0</v>
      </c>
      <c r="N1567" s="1" t="s">
        <v>249</v>
      </c>
      <c r="O1567" s="2">
        <v>42123.0</v>
      </c>
      <c r="P1567" s="1">
        <v>77547.0</v>
      </c>
      <c r="Q1567" s="1">
        <v>7661.0</v>
      </c>
      <c r="S1567" s="1">
        <v>2016.0</v>
      </c>
      <c r="T1567" s="1" t="s">
        <v>15831</v>
      </c>
      <c r="U1567" s="1" t="s">
        <v>569</v>
      </c>
      <c r="V1567" s="1" t="s">
        <v>465</v>
      </c>
      <c r="W1567" s="1">
        <v>60123.0</v>
      </c>
      <c r="Y1567" s="1" t="s">
        <v>15832</v>
      </c>
      <c r="Z1567" s="1">
        <v>1991.0</v>
      </c>
      <c r="AA1567" s="1" t="s">
        <v>200</v>
      </c>
      <c r="AB1567" s="1" t="s">
        <v>193</v>
      </c>
      <c r="AD1567" s="1" t="s">
        <v>469</v>
      </c>
      <c r="AE1567" s="1" t="s">
        <v>325</v>
      </c>
      <c r="AF1567" s="1" t="s">
        <v>469</v>
      </c>
      <c r="AH1567" s="1" t="s">
        <v>15833</v>
      </c>
      <c r="AI1567" s="1">
        <v>0.1967</v>
      </c>
      <c r="AK1567" s="1">
        <v>7.0</v>
      </c>
      <c r="AL1567" s="1">
        <v>4.0</v>
      </c>
      <c r="AM1567" s="1">
        <v>2.0</v>
      </c>
      <c r="AN1567" s="1">
        <v>1.0</v>
      </c>
      <c r="AO1567" s="1" t="s">
        <v>198</v>
      </c>
      <c r="AQ1567" s="1" t="s">
        <v>229</v>
      </c>
      <c r="AR1567" s="1" t="s">
        <v>200</v>
      </c>
      <c r="AS1567" s="1" t="s">
        <v>199</v>
      </c>
      <c r="AT1567" s="1">
        <v>2.0</v>
      </c>
      <c r="AV1567" s="1" t="s">
        <v>200</v>
      </c>
      <c r="AW1567" s="1">
        <v>5117.52</v>
      </c>
      <c r="AX1567" s="1">
        <v>2013.0</v>
      </c>
      <c r="AZ1567" s="1" t="s">
        <v>200</v>
      </c>
      <c r="BA1567" s="1" t="str">
        <f>"0628203023"</f>
        <v>0628203023</v>
      </c>
      <c r="BC1567" s="1">
        <v>1816.0</v>
      </c>
      <c r="BD1567" s="1">
        <v>137500.0</v>
      </c>
      <c r="BE1567" s="2">
        <v>42101.0</v>
      </c>
      <c r="BF1567" s="1" t="s">
        <v>15834</v>
      </c>
      <c r="BH1567" s="1">
        <v>0.0</v>
      </c>
      <c r="BK1567" s="1" t="s">
        <v>204</v>
      </c>
      <c r="BL1567" s="1" t="str">
        <f t="shared" ref="BL1567:BM1567" si="1024">""</f>
        <v/>
      </c>
      <c r="BM1567" s="1" t="str">
        <f t="shared" si="1024"/>
        <v/>
      </c>
      <c r="BQ1567" s="1">
        <v>46.0</v>
      </c>
      <c r="BR1567" s="1">
        <v>46.0</v>
      </c>
      <c r="BS1567" s="1">
        <v>46.0</v>
      </c>
      <c r="BU1567" s="1" t="s">
        <v>582</v>
      </c>
      <c r="BV1567" s="1" t="s">
        <v>206</v>
      </c>
      <c r="BY1567" s="1" t="s">
        <v>758</v>
      </c>
      <c r="BZ1567" s="1" t="s">
        <v>209</v>
      </c>
      <c r="CC1567" s="1" t="s">
        <v>332</v>
      </c>
      <c r="CD1567" s="1" t="s">
        <v>206</v>
      </c>
      <c r="CG1567" s="1" t="s">
        <v>212</v>
      </c>
      <c r="CH1567" s="1" t="s">
        <v>209</v>
      </c>
      <c r="CK1567" s="1" t="s">
        <v>699</v>
      </c>
      <c r="CL1567" s="1" t="s">
        <v>209</v>
      </c>
      <c r="CO1567" s="1" t="s">
        <v>269</v>
      </c>
      <c r="CP1567" s="1" t="s">
        <v>209</v>
      </c>
      <c r="CS1567" s="1" t="s">
        <v>5992</v>
      </c>
      <c r="CT1567" s="1" t="s">
        <v>206</v>
      </c>
      <c r="CX1567" s="1" t="s">
        <v>204</v>
      </c>
      <c r="DA1567" s="1" t="s">
        <v>200</v>
      </c>
      <c r="DC1567" s="1" t="s">
        <v>435</v>
      </c>
      <c r="DE1567" s="1" t="s">
        <v>273</v>
      </c>
      <c r="DF1567" s="1" t="s">
        <v>619</v>
      </c>
      <c r="DH1567" s="1" t="s">
        <v>220</v>
      </c>
      <c r="DJ1567" s="1" t="s">
        <v>222</v>
      </c>
      <c r="DL1567" s="1" t="s">
        <v>229</v>
      </c>
      <c r="DM1567" s="1" t="s">
        <v>229</v>
      </c>
      <c r="DQ1567" s="1" t="s">
        <v>228</v>
      </c>
      <c r="DR1567" s="1" t="s">
        <v>229</v>
      </c>
      <c r="DV1567" s="1" t="s">
        <v>232</v>
      </c>
      <c r="DW1567" s="1" t="s">
        <v>233</v>
      </c>
      <c r="DX1567" s="1" t="s">
        <v>234</v>
      </c>
      <c r="EC1567" s="1" t="s">
        <v>237</v>
      </c>
      <c r="EE1567" s="1" t="s">
        <v>1960</v>
      </c>
      <c r="EM1567" s="1" t="s">
        <v>238</v>
      </c>
      <c r="EQ1567" s="1" t="s">
        <v>238</v>
      </c>
      <c r="EU1567" s="1" t="s">
        <v>238</v>
      </c>
      <c r="EY1567" s="1" t="s">
        <v>238</v>
      </c>
      <c r="FC1567" s="1" t="s">
        <v>238</v>
      </c>
      <c r="FF1567" s="1" t="s">
        <v>239</v>
      </c>
      <c r="FG1567" s="1" t="s">
        <v>192</v>
      </c>
      <c r="FH1567" s="1" t="s">
        <v>192</v>
      </c>
      <c r="FJ1567" s="1" t="s">
        <v>2156</v>
      </c>
      <c r="FK1567" s="1" t="s">
        <v>229</v>
      </c>
      <c r="FL1567" s="1" t="s">
        <v>3443</v>
      </c>
      <c r="FM1567" s="1">
        <v>8658.0</v>
      </c>
      <c r="FN1567" s="1" t="s">
        <v>3444</v>
      </c>
      <c r="FO1567" s="1" t="s">
        <v>3445</v>
      </c>
      <c r="FP1567" s="1">
        <v>84760.0</v>
      </c>
      <c r="FQ1567" s="1" t="s">
        <v>3444</v>
      </c>
      <c r="FS1567" s="1" t="s">
        <v>3446</v>
      </c>
      <c r="FU1567" s="1" t="s">
        <v>3447</v>
      </c>
      <c r="FV1567" s="1" t="s">
        <v>200</v>
      </c>
      <c r="FW1567" s="1" t="s">
        <v>290</v>
      </c>
      <c r="FZ1567" s="1" t="s">
        <v>229</v>
      </c>
      <c r="GA1567" s="1" t="s">
        <v>291</v>
      </c>
      <c r="GB1567" s="2">
        <v>42125.0</v>
      </c>
      <c r="GC1567" s="1" t="s">
        <v>15835</v>
      </c>
    </row>
    <row r="1568">
      <c r="A1568" s="1">
        <v>278500.0</v>
      </c>
      <c r="B1568" s="1" t="s">
        <v>185</v>
      </c>
      <c r="C1568" s="1" t="str">
        <f>"08885128"</f>
        <v>08885128</v>
      </c>
      <c r="D1568" s="1" t="s">
        <v>186</v>
      </c>
      <c r="F1568" s="1" t="str">
        <f>"542"</f>
        <v>542</v>
      </c>
      <c r="G1568" s="2">
        <v>42102.0</v>
      </c>
      <c r="H1568" s="1">
        <v>289999.0</v>
      </c>
      <c r="I1568" s="1">
        <v>49.0</v>
      </c>
      <c r="J1568" s="1">
        <v>289999.0</v>
      </c>
      <c r="K1568" s="2">
        <v>42108.0</v>
      </c>
      <c r="L1568" s="1">
        <v>7.0</v>
      </c>
      <c r="M1568" s="2">
        <v>42108.0</v>
      </c>
      <c r="N1568" s="1" t="s">
        <v>187</v>
      </c>
      <c r="O1568" s="2">
        <v>42138.0</v>
      </c>
      <c r="P1568" s="1">
        <v>220163.0</v>
      </c>
      <c r="Q1568" s="1">
        <v>22039.0</v>
      </c>
      <c r="S1568" s="1">
        <v>806.0</v>
      </c>
      <c r="T1568" s="1" t="s">
        <v>4159</v>
      </c>
      <c r="U1568" s="1" t="s">
        <v>420</v>
      </c>
      <c r="V1568" s="1" t="s">
        <v>3984</v>
      </c>
      <c r="W1568" s="1">
        <v>60542.0</v>
      </c>
      <c r="Y1568" s="1" t="s">
        <v>15836</v>
      </c>
      <c r="Z1568" s="1">
        <v>1996.0</v>
      </c>
      <c r="AA1568" s="1" t="s">
        <v>200</v>
      </c>
      <c r="AB1568" s="1" t="s">
        <v>193</v>
      </c>
      <c r="AC1568" s="1" t="s">
        <v>15837</v>
      </c>
      <c r="AD1568" s="1" t="s">
        <v>3986</v>
      </c>
      <c r="AE1568" s="1" t="s">
        <v>325</v>
      </c>
      <c r="AF1568" s="1" t="s">
        <v>2702</v>
      </c>
      <c r="AG1568" s="1" t="s">
        <v>752</v>
      </c>
      <c r="AH1568" s="1" t="s">
        <v>15838</v>
      </c>
      <c r="AK1568" s="1">
        <v>9.0</v>
      </c>
      <c r="AL1568" s="1">
        <v>4.0</v>
      </c>
      <c r="AM1568" s="1">
        <v>2.0</v>
      </c>
      <c r="AN1568" s="1">
        <v>1.0</v>
      </c>
      <c r="AO1568" s="1" t="s">
        <v>198</v>
      </c>
      <c r="AP1568" s="1">
        <v>1.0</v>
      </c>
      <c r="AQ1568" s="1" t="s">
        <v>198</v>
      </c>
      <c r="AR1568" s="1" t="s">
        <v>200</v>
      </c>
      <c r="AS1568" s="1" t="s">
        <v>199</v>
      </c>
      <c r="AT1568" s="1">
        <v>2.0</v>
      </c>
      <c r="AV1568" s="1" t="s">
        <v>200</v>
      </c>
      <c r="AW1568" s="1">
        <v>8375.0</v>
      </c>
      <c r="AX1568" s="1">
        <v>2013.0</v>
      </c>
      <c r="AY1568" s="1" t="s">
        <v>387</v>
      </c>
      <c r="AZ1568" s="1" t="s">
        <v>200</v>
      </c>
      <c r="BA1568" s="1" t="str">
        <f>"1235103003"</f>
        <v>1235103003</v>
      </c>
      <c r="BB1568" s="1" t="s">
        <v>200</v>
      </c>
      <c r="BC1568" s="1">
        <v>0.0</v>
      </c>
      <c r="BD1568" s="1">
        <v>278500.0</v>
      </c>
      <c r="BE1568" s="2">
        <v>42102.0</v>
      </c>
      <c r="BF1568" s="2" t="s">
        <v>15839</v>
      </c>
      <c r="BG1568" s="1" t="s">
        <v>4059</v>
      </c>
      <c r="BH1568" s="1">
        <v>0.0</v>
      </c>
      <c r="BI1568" s="1" t="s">
        <v>4421</v>
      </c>
      <c r="BK1568" s="1" t="s">
        <v>204</v>
      </c>
      <c r="BL1568" s="1" t="str">
        <f t="shared" ref="BL1568:BM1568" si="1025">"0"</f>
        <v>0</v>
      </c>
      <c r="BM1568" s="1" t="str">
        <f t="shared" si="1025"/>
        <v>0</v>
      </c>
      <c r="BN1568" s="1">
        <v>34.0</v>
      </c>
      <c r="BO1568" s="1">
        <v>3.0</v>
      </c>
      <c r="BQ1568" s="1">
        <v>129.0</v>
      </c>
      <c r="BR1568" s="1">
        <v>129.0</v>
      </c>
      <c r="BS1568" s="1">
        <v>129.0</v>
      </c>
      <c r="BU1568" s="1" t="s">
        <v>332</v>
      </c>
      <c r="BV1568" s="1" t="s">
        <v>206</v>
      </c>
      <c r="BW1568" s="1" t="s">
        <v>207</v>
      </c>
      <c r="BX1568" s="1" t="s">
        <v>431</v>
      </c>
      <c r="BY1568" s="1" t="s">
        <v>3538</v>
      </c>
      <c r="BZ1568" s="1" t="s">
        <v>209</v>
      </c>
      <c r="CA1568" s="1" t="s">
        <v>207</v>
      </c>
      <c r="CB1568" s="1" t="s">
        <v>431</v>
      </c>
      <c r="CC1568" s="1" t="s">
        <v>212</v>
      </c>
      <c r="CD1568" s="1" t="s">
        <v>206</v>
      </c>
      <c r="CE1568" s="1" t="s">
        <v>207</v>
      </c>
      <c r="CF1568" s="1" t="s">
        <v>431</v>
      </c>
      <c r="CG1568" s="1" t="s">
        <v>212</v>
      </c>
      <c r="CH1568" s="1" t="s">
        <v>209</v>
      </c>
      <c r="CI1568" s="1" t="s">
        <v>301</v>
      </c>
      <c r="CJ1568" s="1" t="s">
        <v>431</v>
      </c>
      <c r="CK1568" s="1" t="s">
        <v>477</v>
      </c>
      <c r="CL1568" s="1" t="s">
        <v>209</v>
      </c>
      <c r="CM1568" s="1" t="s">
        <v>210</v>
      </c>
      <c r="CN1568" s="1" t="s">
        <v>431</v>
      </c>
      <c r="CO1568" s="1" t="s">
        <v>582</v>
      </c>
      <c r="CP1568" s="1" t="s">
        <v>209</v>
      </c>
      <c r="CQ1568" s="1" t="s">
        <v>207</v>
      </c>
      <c r="CR1568" s="1" t="s">
        <v>431</v>
      </c>
      <c r="CS1568" s="1" t="s">
        <v>639</v>
      </c>
      <c r="CT1568" s="1" t="s">
        <v>206</v>
      </c>
      <c r="CU1568" s="1" t="s">
        <v>207</v>
      </c>
      <c r="CV1568" s="1" t="s">
        <v>431</v>
      </c>
      <c r="CW1568" s="1" t="s">
        <v>454</v>
      </c>
      <c r="CX1568" s="1" t="s">
        <v>206</v>
      </c>
      <c r="CY1568" s="1" t="s">
        <v>207</v>
      </c>
      <c r="CZ1568" s="1" t="s">
        <v>431</v>
      </c>
      <c r="DA1568" s="1" t="s">
        <v>200</v>
      </c>
      <c r="DC1568" s="1" t="s">
        <v>678</v>
      </c>
      <c r="DD1568" s="1" t="s">
        <v>15840</v>
      </c>
      <c r="DE1568" s="1" t="s">
        <v>273</v>
      </c>
      <c r="DF1568" s="1" t="s">
        <v>619</v>
      </c>
      <c r="DG1568" s="1" t="s">
        <v>2237</v>
      </c>
      <c r="DH1568" s="1" t="s">
        <v>220</v>
      </c>
      <c r="DI1568" s="1" t="s">
        <v>15841</v>
      </c>
      <c r="DJ1568" s="1" t="s">
        <v>222</v>
      </c>
      <c r="DK1568" s="1" t="s">
        <v>198</v>
      </c>
      <c r="DL1568" s="1" t="s">
        <v>224</v>
      </c>
      <c r="DM1568" s="1" t="s">
        <v>229</v>
      </c>
      <c r="DN1568" s="1" t="s">
        <v>399</v>
      </c>
      <c r="DO1568" s="1" t="s">
        <v>549</v>
      </c>
      <c r="DP1568" s="1" t="s">
        <v>340</v>
      </c>
      <c r="DQ1568" s="1" t="s">
        <v>228</v>
      </c>
      <c r="DR1568" s="1" t="s">
        <v>229</v>
      </c>
      <c r="DS1568" s="1" t="s">
        <v>368</v>
      </c>
      <c r="DU1568" s="1" t="s">
        <v>15842</v>
      </c>
      <c r="DV1568" s="1" t="s">
        <v>450</v>
      </c>
      <c r="DW1568" s="1" t="s">
        <v>370</v>
      </c>
      <c r="DX1568" s="1" t="s">
        <v>234</v>
      </c>
      <c r="DY1568" s="1" t="s">
        <v>15843</v>
      </c>
      <c r="DZ1568" s="1" t="s">
        <v>5974</v>
      </c>
      <c r="EA1568" s="1" t="s">
        <v>1075</v>
      </c>
      <c r="EB1568" s="1" t="s">
        <v>492</v>
      </c>
      <c r="EC1568" s="1" t="s">
        <v>237</v>
      </c>
      <c r="ED1568" s="1" t="s">
        <v>407</v>
      </c>
      <c r="EG1568" s="1" t="s">
        <v>450</v>
      </c>
      <c r="EL1568" s="1" t="s">
        <v>15844</v>
      </c>
      <c r="EM1568" s="1" t="s">
        <v>42</v>
      </c>
      <c r="EN1568" s="1" t="s">
        <v>210</v>
      </c>
      <c r="EO1568" s="1" t="s">
        <v>229</v>
      </c>
      <c r="EQ1568" s="1" t="s">
        <v>238</v>
      </c>
      <c r="EU1568" s="1" t="s">
        <v>238</v>
      </c>
      <c r="EY1568" s="1" t="s">
        <v>238</v>
      </c>
      <c r="FC1568" s="1" t="s">
        <v>238</v>
      </c>
      <c r="FF1568" s="1" t="s">
        <v>239</v>
      </c>
      <c r="FG1568" s="1" t="s">
        <v>192</v>
      </c>
      <c r="FH1568" s="1" t="s">
        <v>192</v>
      </c>
      <c r="FJ1568" s="1" t="s">
        <v>498</v>
      </c>
      <c r="FK1568" s="1" t="s">
        <v>229</v>
      </c>
      <c r="FL1568" s="1" t="s">
        <v>1358</v>
      </c>
      <c r="FM1568" s="1">
        <v>20179.0</v>
      </c>
      <c r="FN1568" s="1" t="s">
        <v>15845</v>
      </c>
      <c r="FO1568" s="1" t="s">
        <v>15846</v>
      </c>
      <c r="FP1568" s="1">
        <v>219723.0</v>
      </c>
      <c r="FQ1568" s="1" t="s">
        <v>15845</v>
      </c>
      <c r="FS1568" s="1" t="s">
        <v>15847</v>
      </c>
      <c r="FU1568" s="1" t="s">
        <v>15848</v>
      </c>
      <c r="FV1568" s="1" t="s">
        <v>200</v>
      </c>
      <c r="FW1568" s="1" t="s">
        <v>567</v>
      </c>
      <c r="FZ1568" s="1" t="s">
        <v>229</v>
      </c>
      <c r="GA1568" s="1" t="s">
        <v>291</v>
      </c>
      <c r="GB1568" s="2">
        <v>42138.0</v>
      </c>
      <c r="GC1568" s="1" t="s">
        <v>15849</v>
      </c>
    </row>
    <row r="1569">
      <c r="A1569" s="1">
        <v>232000.0</v>
      </c>
      <c r="B1569" s="1" t="s">
        <v>185</v>
      </c>
      <c r="C1569" s="1" t="str">
        <f>"08877780"</f>
        <v>08877780</v>
      </c>
      <c r="D1569" s="1" t="s">
        <v>186</v>
      </c>
      <c r="F1569" s="1" t="str">
        <f>"118"</f>
        <v>118</v>
      </c>
      <c r="G1569" s="2">
        <v>42095.0</v>
      </c>
      <c r="H1569" s="1">
        <v>239000.0</v>
      </c>
      <c r="I1569" s="1">
        <v>7.0</v>
      </c>
      <c r="J1569" s="1">
        <v>239000.0</v>
      </c>
      <c r="K1569" s="2">
        <v>42101.0</v>
      </c>
      <c r="L1569" s="1">
        <v>7.0</v>
      </c>
      <c r="M1569" s="2">
        <v>42101.0</v>
      </c>
      <c r="N1569" s="1" t="s">
        <v>187</v>
      </c>
      <c r="O1569" s="2">
        <v>42145.0</v>
      </c>
      <c r="P1569" s="1">
        <v>232956.0</v>
      </c>
      <c r="Q1569" s="1">
        <v>22739.0</v>
      </c>
      <c r="R1569" s="1">
        <v>1000.0</v>
      </c>
      <c r="S1569" s="1">
        <v>562.0</v>
      </c>
      <c r="T1569" s="1" t="s">
        <v>15850</v>
      </c>
      <c r="U1569" s="1" t="s">
        <v>1174</v>
      </c>
      <c r="V1569" s="1" t="s">
        <v>1086</v>
      </c>
      <c r="W1569" s="1">
        <v>60118.0</v>
      </c>
      <c r="Y1569" s="1" t="s">
        <v>15851</v>
      </c>
      <c r="Z1569" s="1">
        <v>1989.0</v>
      </c>
      <c r="AA1569" s="1" t="s">
        <v>200</v>
      </c>
      <c r="AB1569" s="1" t="s">
        <v>193</v>
      </c>
      <c r="AC1569" s="1" t="s">
        <v>15852</v>
      </c>
      <c r="AD1569" s="1" t="s">
        <v>3394</v>
      </c>
      <c r="AE1569" s="1" t="s">
        <v>325</v>
      </c>
      <c r="AF1569" s="1" t="s">
        <v>810</v>
      </c>
      <c r="AH1569" s="1" t="s">
        <v>15853</v>
      </c>
      <c r="AI1569" s="1">
        <v>0.23</v>
      </c>
      <c r="AK1569" s="1">
        <v>8.0</v>
      </c>
      <c r="AL1569" s="1">
        <v>4.0</v>
      </c>
      <c r="AM1569" s="1">
        <v>2.0</v>
      </c>
      <c r="AN1569" s="1">
        <v>1.0</v>
      </c>
      <c r="AO1569" s="1" t="s">
        <v>198</v>
      </c>
      <c r="AP1569" s="1">
        <v>1.0</v>
      </c>
      <c r="AQ1569" s="1" t="s">
        <v>198</v>
      </c>
      <c r="AR1569" s="1" t="s">
        <v>200</v>
      </c>
      <c r="AS1569" s="1" t="s">
        <v>199</v>
      </c>
      <c r="AT1569" s="1">
        <v>2.0</v>
      </c>
      <c r="AV1569" s="1" t="s">
        <v>200</v>
      </c>
      <c r="AW1569" s="1">
        <v>6732.86</v>
      </c>
      <c r="AX1569" s="1">
        <v>2013.0</v>
      </c>
      <c r="AY1569" s="1" t="s">
        <v>229</v>
      </c>
      <c r="AZ1569" s="1" t="s">
        <v>200</v>
      </c>
      <c r="BA1569" s="1" t="str">
        <f>"0321252006"</f>
        <v>0321252006</v>
      </c>
      <c r="BC1569" s="1">
        <v>2337.0</v>
      </c>
      <c r="BD1569" s="1">
        <v>232000.0</v>
      </c>
      <c r="BE1569" s="2">
        <v>42095.0</v>
      </c>
      <c r="BF1569" s="1" t="s">
        <v>15854</v>
      </c>
      <c r="BG1569" s="1" t="s">
        <v>3486</v>
      </c>
      <c r="BH1569" s="1">
        <v>0.0</v>
      </c>
      <c r="BI1569" s="1" t="s">
        <v>1093</v>
      </c>
      <c r="BJ1569" s="1" t="s">
        <v>1759</v>
      </c>
      <c r="BK1569" s="1" t="s">
        <v>204</v>
      </c>
      <c r="BL1569" s="1" t="str">
        <f>"16"</f>
        <v>16</v>
      </c>
      <c r="BM1569" s="1" t="str">
        <f>"0"</f>
        <v>0</v>
      </c>
      <c r="BN1569" s="1">
        <v>35.0</v>
      </c>
      <c r="BO1569" s="1">
        <v>0.0</v>
      </c>
      <c r="BQ1569" s="1">
        <v>300.0</v>
      </c>
      <c r="BR1569" s="1">
        <v>300.0</v>
      </c>
      <c r="BS1569" s="1">
        <v>300.0</v>
      </c>
      <c r="BU1569" s="1" t="s">
        <v>1001</v>
      </c>
      <c r="BV1569" s="1" t="s">
        <v>206</v>
      </c>
      <c r="BW1569" s="1" t="s">
        <v>301</v>
      </c>
      <c r="BY1569" s="1" t="s">
        <v>213</v>
      </c>
      <c r="BZ1569" s="1" t="s">
        <v>209</v>
      </c>
      <c r="CA1569" s="1" t="s">
        <v>210</v>
      </c>
      <c r="CC1569" s="1" t="s">
        <v>331</v>
      </c>
      <c r="CD1569" s="1" t="s">
        <v>206</v>
      </c>
      <c r="CE1569" s="1" t="s">
        <v>301</v>
      </c>
      <c r="CG1569" s="1" t="s">
        <v>212</v>
      </c>
      <c r="CH1569" s="1" t="s">
        <v>209</v>
      </c>
      <c r="CI1569" s="1" t="s">
        <v>210</v>
      </c>
      <c r="CK1569" s="1" t="s">
        <v>699</v>
      </c>
      <c r="CL1569" s="1" t="s">
        <v>209</v>
      </c>
      <c r="CM1569" s="1" t="s">
        <v>210</v>
      </c>
      <c r="CO1569" s="1" t="s">
        <v>495</v>
      </c>
      <c r="CP1569" s="1" t="s">
        <v>209</v>
      </c>
      <c r="CQ1569" s="1" t="s">
        <v>210</v>
      </c>
      <c r="CS1569" s="1" t="s">
        <v>1875</v>
      </c>
      <c r="CT1569" s="1" t="s">
        <v>206</v>
      </c>
      <c r="CU1569" s="1" t="s">
        <v>617</v>
      </c>
      <c r="CW1569" s="1" t="s">
        <v>813</v>
      </c>
      <c r="CX1569" s="1" t="s">
        <v>206</v>
      </c>
      <c r="CY1569" s="1" t="s">
        <v>210</v>
      </c>
      <c r="DA1569" s="1" t="s">
        <v>200</v>
      </c>
      <c r="DC1569" s="1" t="s">
        <v>305</v>
      </c>
      <c r="DD1569" s="1" t="s">
        <v>396</v>
      </c>
      <c r="DE1569" s="1" t="s">
        <v>273</v>
      </c>
      <c r="DF1569" s="1" t="s">
        <v>219</v>
      </c>
      <c r="DG1569" s="1" t="s">
        <v>482</v>
      </c>
      <c r="DH1569" s="1" t="s">
        <v>220</v>
      </c>
      <c r="DI1569" s="1" t="s">
        <v>959</v>
      </c>
      <c r="DJ1569" s="1" t="s">
        <v>222</v>
      </c>
      <c r="DL1569" s="1" t="s">
        <v>224</v>
      </c>
      <c r="DM1569" s="1" t="s">
        <v>229</v>
      </c>
      <c r="DN1569" s="1" t="s">
        <v>548</v>
      </c>
      <c r="DO1569" s="1" t="s">
        <v>549</v>
      </c>
      <c r="DP1569" s="1" t="s">
        <v>340</v>
      </c>
      <c r="DQ1569" s="1" t="s">
        <v>441</v>
      </c>
      <c r="DR1569" s="1" t="s">
        <v>229</v>
      </c>
      <c r="DS1569" s="1" t="s">
        <v>368</v>
      </c>
      <c r="DU1569" s="1" t="s">
        <v>2959</v>
      </c>
      <c r="DV1569" s="1" t="s">
        <v>2313</v>
      </c>
      <c r="DW1569" s="1" t="s">
        <v>1072</v>
      </c>
      <c r="DX1569" s="1" t="s">
        <v>234</v>
      </c>
      <c r="DY1569" s="1" t="s">
        <v>765</v>
      </c>
      <c r="DZ1569" s="1" t="s">
        <v>282</v>
      </c>
      <c r="EB1569" s="1" t="s">
        <v>1639</v>
      </c>
      <c r="EC1569" s="1" t="s">
        <v>237</v>
      </c>
      <c r="EG1569" s="1" t="s">
        <v>2313</v>
      </c>
      <c r="EL1569" s="1" t="s">
        <v>4787</v>
      </c>
      <c r="EM1569" s="1" t="s">
        <v>206</v>
      </c>
      <c r="EQ1569" s="1" t="s">
        <v>238</v>
      </c>
      <c r="EU1569" s="1" t="s">
        <v>238</v>
      </c>
      <c r="EY1569" s="1" t="s">
        <v>238</v>
      </c>
      <c r="FC1569" s="1" t="s">
        <v>238</v>
      </c>
      <c r="FF1569" s="1" t="s">
        <v>239</v>
      </c>
      <c r="FG1569" s="1" t="s">
        <v>192</v>
      </c>
      <c r="FH1569" s="1" t="s">
        <v>192</v>
      </c>
      <c r="FJ1569" s="1" t="s">
        <v>15855</v>
      </c>
      <c r="FK1569" s="1" t="s">
        <v>229</v>
      </c>
      <c r="FL1569" s="1" t="s">
        <v>1007</v>
      </c>
      <c r="FM1569" s="1">
        <v>5030.0</v>
      </c>
      <c r="FN1569" s="1" t="s">
        <v>12025</v>
      </c>
      <c r="FO1569" s="1" t="s">
        <v>15856</v>
      </c>
      <c r="FP1569" s="1">
        <v>55195.0</v>
      </c>
      <c r="FQ1569" s="1" t="s">
        <v>15857</v>
      </c>
      <c r="FU1569" s="1" t="s">
        <v>15858</v>
      </c>
      <c r="FV1569" s="1" t="s">
        <v>200</v>
      </c>
      <c r="FW1569" s="1" t="s">
        <v>15859</v>
      </c>
      <c r="FZ1569" s="1" t="s">
        <v>229</v>
      </c>
      <c r="GA1569" s="1" t="s">
        <v>291</v>
      </c>
      <c r="GB1569" s="2">
        <v>42145.0</v>
      </c>
      <c r="GC1569" s="1" t="s">
        <v>15860</v>
      </c>
    </row>
    <row r="1570">
      <c r="A1570" s="1">
        <v>270000.0</v>
      </c>
      <c r="B1570" s="1" t="s">
        <v>185</v>
      </c>
      <c r="C1570" s="1" t="str">
        <f>"08878895"</f>
        <v>08878895</v>
      </c>
      <c r="D1570" s="1" t="s">
        <v>186</v>
      </c>
      <c r="F1570" s="1" t="str">
        <f>"8075"</f>
        <v>8075</v>
      </c>
      <c r="G1570" s="2">
        <v>42096.0</v>
      </c>
      <c r="H1570" s="1">
        <v>279500.0</v>
      </c>
      <c r="I1570" s="1">
        <v>14.0</v>
      </c>
      <c r="J1570" s="1">
        <v>279500.0</v>
      </c>
      <c r="K1570" s="2">
        <v>42109.0</v>
      </c>
      <c r="L1570" s="1">
        <v>14.0</v>
      </c>
      <c r="M1570" s="2">
        <v>42109.0</v>
      </c>
      <c r="N1570" s="1" t="s">
        <v>187</v>
      </c>
      <c r="O1570" s="2">
        <v>42150.0</v>
      </c>
      <c r="P1570" s="1">
        <v>231411.0</v>
      </c>
      <c r="Q1570" s="1">
        <v>57070.0</v>
      </c>
      <c r="R1570" s="1">
        <v>1500.0</v>
      </c>
      <c r="S1570" s="1">
        <v>10829.0</v>
      </c>
      <c r="T1570" s="1" t="s">
        <v>15861</v>
      </c>
      <c r="U1570" s="1" t="s">
        <v>189</v>
      </c>
      <c r="V1570" s="1" t="s">
        <v>190</v>
      </c>
      <c r="W1570" s="1">
        <v>60655.0</v>
      </c>
      <c r="Y1570" s="1" t="s">
        <v>15862</v>
      </c>
      <c r="Z1570" s="1">
        <v>1950.0</v>
      </c>
      <c r="AA1570" s="1" t="s">
        <v>192</v>
      </c>
      <c r="AB1570" s="1" t="s">
        <v>193</v>
      </c>
      <c r="AD1570" s="1" t="s">
        <v>194</v>
      </c>
      <c r="AE1570" s="1" t="s">
        <v>195</v>
      </c>
      <c r="AF1570" s="1" t="s">
        <v>659</v>
      </c>
      <c r="AH1570" s="1" t="s">
        <v>14334</v>
      </c>
      <c r="AK1570" s="1">
        <v>9.0</v>
      </c>
      <c r="AL1570" s="1">
        <v>4.0</v>
      </c>
      <c r="AM1570" s="1">
        <v>1.0</v>
      </c>
      <c r="AN1570" s="1">
        <v>1.0</v>
      </c>
      <c r="AO1570" s="1" t="s">
        <v>229</v>
      </c>
      <c r="AQ1570" s="1" t="s">
        <v>1314</v>
      </c>
      <c r="AR1570" s="1" t="s">
        <v>200</v>
      </c>
      <c r="AS1570" s="1" t="s">
        <v>229</v>
      </c>
      <c r="AV1570" s="1" t="s">
        <v>200</v>
      </c>
      <c r="AW1570" s="1">
        <v>3258.0</v>
      </c>
      <c r="AX1570" s="1">
        <v>2013.0</v>
      </c>
      <c r="AY1570" s="1" t="s">
        <v>387</v>
      </c>
      <c r="AZ1570" s="1" t="s">
        <v>545</v>
      </c>
      <c r="BA1570" s="1" t="str">
        <f>"24134100080000"</f>
        <v>24134100080000</v>
      </c>
      <c r="BC1570" s="1">
        <v>0.0</v>
      </c>
      <c r="BD1570" s="1">
        <v>270000.0</v>
      </c>
      <c r="BE1570" s="2">
        <v>42096.0</v>
      </c>
      <c r="BF1570" s="2" t="s">
        <v>15863</v>
      </c>
      <c r="BH1570" s="1">
        <v>0.0</v>
      </c>
      <c r="BK1570" s="1" t="s">
        <v>204</v>
      </c>
      <c r="BL1570" s="1" t="str">
        <f t="shared" ref="BL1570:BM1570" si="1026">"0"</f>
        <v>0</v>
      </c>
      <c r="BM1570" s="1" t="str">
        <f t="shared" si="1026"/>
        <v>0</v>
      </c>
      <c r="BN1570" s="1">
        <v>2700.0</v>
      </c>
      <c r="BO1570" s="1">
        <v>10829.0</v>
      </c>
      <c r="BQ1570" s="1">
        <v>299.0</v>
      </c>
      <c r="BR1570" s="1">
        <v>299.0</v>
      </c>
      <c r="BS1570" s="1">
        <v>299.0</v>
      </c>
      <c r="BU1570" s="1" t="s">
        <v>743</v>
      </c>
      <c r="BV1570" s="1" t="s">
        <v>206</v>
      </c>
      <c r="BW1570" s="1" t="s">
        <v>207</v>
      </c>
      <c r="BX1570" s="1" t="s">
        <v>239</v>
      </c>
      <c r="BY1570" s="1" t="s">
        <v>758</v>
      </c>
      <c r="BZ1570" s="1" t="s">
        <v>209</v>
      </c>
      <c r="CA1570" s="1" t="s">
        <v>207</v>
      </c>
      <c r="CB1570" s="1" t="s">
        <v>239</v>
      </c>
      <c r="CC1570" s="1" t="s">
        <v>332</v>
      </c>
      <c r="CD1570" s="1" t="s">
        <v>206</v>
      </c>
      <c r="CE1570" s="1" t="s">
        <v>207</v>
      </c>
      <c r="CF1570" s="1" t="s">
        <v>239</v>
      </c>
      <c r="CG1570" s="1" t="s">
        <v>331</v>
      </c>
      <c r="CH1570" s="1" t="s">
        <v>209</v>
      </c>
      <c r="CI1570" s="1" t="s">
        <v>207</v>
      </c>
      <c r="CJ1570" s="1" t="s">
        <v>239</v>
      </c>
      <c r="CK1570" s="1" t="s">
        <v>1298</v>
      </c>
      <c r="CL1570" s="1" t="s">
        <v>209</v>
      </c>
      <c r="CM1570" s="1" t="s">
        <v>210</v>
      </c>
      <c r="CN1570" s="1" t="s">
        <v>239</v>
      </c>
      <c r="CO1570" s="1" t="s">
        <v>264</v>
      </c>
      <c r="CP1570" s="1" t="s">
        <v>206</v>
      </c>
      <c r="CQ1570" s="1" t="s">
        <v>207</v>
      </c>
      <c r="CR1570" s="1" t="s">
        <v>239</v>
      </c>
      <c r="CS1570" s="1" t="s">
        <v>495</v>
      </c>
      <c r="CT1570" s="1" t="s">
        <v>206</v>
      </c>
      <c r="CW1570" s="1" t="s">
        <v>214</v>
      </c>
      <c r="CX1570" s="1" t="s">
        <v>206</v>
      </c>
      <c r="CY1570" s="1" t="s">
        <v>210</v>
      </c>
      <c r="CZ1570" s="1" t="s">
        <v>239</v>
      </c>
      <c r="DA1570" s="1" t="s">
        <v>200</v>
      </c>
      <c r="DC1570" s="1" t="s">
        <v>702</v>
      </c>
      <c r="DE1570" s="1" t="s">
        <v>273</v>
      </c>
      <c r="DF1570" s="1" t="s">
        <v>219</v>
      </c>
      <c r="DH1570" s="1" t="s">
        <v>365</v>
      </c>
      <c r="DI1570" s="1" t="s">
        <v>15864</v>
      </c>
      <c r="DJ1570" s="1" t="s">
        <v>222</v>
      </c>
      <c r="DL1570" s="1" t="s">
        <v>858</v>
      </c>
      <c r="DM1570" s="1" t="s">
        <v>229</v>
      </c>
      <c r="DP1570" s="1" t="s">
        <v>340</v>
      </c>
      <c r="DQ1570" s="1" t="s">
        <v>794</v>
      </c>
      <c r="DR1570" s="1" t="s">
        <v>229</v>
      </c>
      <c r="DV1570" s="1" t="s">
        <v>494</v>
      </c>
      <c r="DW1570" s="1" t="s">
        <v>279</v>
      </c>
      <c r="DX1570" s="1" t="s">
        <v>1287</v>
      </c>
      <c r="DY1570" s="1" t="s">
        <v>1332</v>
      </c>
      <c r="DZ1570" s="1" t="s">
        <v>310</v>
      </c>
      <c r="EC1570" s="1" t="s">
        <v>237</v>
      </c>
      <c r="EG1570" s="1" t="s">
        <v>494</v>
      </c>
      <c r="EL1570" s="1" t="s">
        <v>15865</v>
      </c>
      <c r="EM1570" s="1" t="s">
        <v>209</v>
      </c>
      <c r="EN1570" s="1" t="s">
        <v>210</v>
      </c>
      <c r="EO1570" s="1" t="s">
        <v>239</v>
      </c>
      <c r="EQ1570" s="1" t="s">
        <v>238</v>
      </c>
      <c r="EU1570" s="1" t="s">
        <v>238</v>
      </c>
      <c r="EY1570" s="1" t="s">
        <v>238</v>
      </c>
      <c r="FC1570" s="1" t="s">
        <v>238</v>
      </c>
      <c r="FF1570" s="1" t="s">
        <v>239</v>
      </c>
      <c r="FG1570" s="1" t="s">
        <v>192</v>
      </c>
      <c r="FH1570" s="1" t="s">
        <v>192</v>
      </c>
      <c r="FJ1570" s="1" t="s">
        <v>3786</v>
      </c>
      <c r="FK1570" s="1" t="s">
        <v>229</v>
      </c>
      <c r="FL1570" s="1" t="s">
        <v>707</v>
      </c>
      <c r="FM1570" s="1">
        <v>24174.0</v>
      </c>
      <c r="FN1570" s="1" t="s">
        <v>708</v>
      </c>
      <c r="FO1570" s="1" t="s">
        <v>15866</v>
      </c>
      <c r="FP1570" s="1">
        <v>604404.0</v>
      </c>
      <c r="FQ1570" s="1" t="s">
        <v>15867</v>
      </c>
      <c r="FU1570" s="1" t="s">
        <v>15868</v>
      </c>
      <c r="FV1570" s="1" t="s">
        <v>200</v>
      </c>
      <c r="FW1570" s="1" t="s">
        <v>15869</v>
      </c>
      <c r="FX1570" s="1" t="s">
        <v>655</v>
      </c>
      <c r="FZ1570" s="1" t="s">
        <v>229</v>
      </c>
      <c r="GA1570" s="1" t="s">
        <v>291</v>
      </c>
      <c r="GB1570" s="2">
        <v>42150.0</v>
      </c>
      <c r="GC1570" s="1" t="s">
        <v>15870</v>
      </c>
    </row>
    <row r="1571">
      <c r="A1571" s="1">
        <v>169000.0</v>
      </c>
      <c r="B1571" s="1" t="s">
        <v>185</v>
      </c>
      <c r="C1571" s="1" t="str">
        <f>"08879047"</f>
        <v>08879047</v>
      </c>
      <c r="D1571" s="1" t="s">
        <v>186</v>
      </c>
      <c r="F1571" s="1" t="str">
        <f>"8064"</f>
        <v>8064</v>
      </c>
      <c r="G1571" s="2">
        <v>42096.0</v>
      </c>
      <c r="H1571" s="1">
        <v>174500.0</v>
      </c>
      <c r="I1571" s="1">
        <v>357.0</v>
      </c>
      <c r="J1571" s="1">
        <v>174500.0</v>
      </c>
      <c r="K1571" s="2">
        <v>42111.0</v>
      </c>
      <c r="L1571" s="1">
        <v>16.0</v>
      </c>
      <c r="M1571" s="2">
        <v>42111.0</v>
      </c>
      <c r="N1571" s="1" t="s">
        <v>187</v>
      </c>
      <c r="O1571" s="2">
        <v>42130.0</v>
      </c>
      <c r="P1571" s="1">
        <v>879103.0</v>
      </c>
      <c r="Q1571" s="1">
        <v>18359.0</v>
      </c>
      <c r="S1571" s="1">
        <v>6054.0</v>
      </c>
      <c r="T1571" s="1" t="s">
        <v>15726</v>
      </c>
      <c r="U1571" s="1" t="s">
        <v>189</v>
      </c>
      <c r="V1571" s="1" t="s">
        <v>190</v>
      </c>
      <c r="W1571" s="1">
        <v>60638.0</v>
      </c>
      <c r="Y1571" s="1" t="s">
        <v>15871</v>
      </c>
      <c r="Z1571" s="1">
        <v>1951.0</v>
      </c>
      <c r="AA1571" s="1" t="s">
        <v>192</v>
      </c>
      <c r="AB1571" s="1" t="s">
        <v>193</v>
      </c>
      <c r="AD1571" s="1" t="s">
        <v>194</v>
      </c>
      <c r="AE1571" s="1" t="s">
        <v>195</v>
      </c>
      <c r="AF1571" s="1" t="s">
        <v>659</v>
      </c>
      <c r="AH1571" s="1" t="s">
        <v>1501</v>
      </c>
      <c r="AI1571" s="1">
        <v>0.0861</v>
      </c>
      <c r="AK1571" s="1">
        <v>6.0</v>
      </c>
      <c r="AL1571" s="1">
        <v>4.0</v>
      </c>
      <c r="AM1571" s="1">
        <v>1.0</v>
      </c>
      <c r="AN1571" s="1">
        <v>0.0</v>
      </c>
      <c r="AO1571" s="1" t="s">
        <v>229</v>
      </c>
      <c r="AQ1571" s="1" t="s">
        <v>229</v>
      </c>
      <c r="AS1571" s="1" t="s">
        <v>199</v>
      </c>
      <c r="AT1571" s="1">
        <v>2.0</v>
      </c>
      <c r="AV1571" s="1" t="s">
        <v>200</v>
      </c>
      <c r="AW1571" s="1">
        <v>2438.0</v>
      </c>
      <c r="AX1571" s="1">
        <v>2013.0</v>
      </c>
      <c r="AY1571" s="1" t="s">
        <v>387</v>
      </c>
      <c r="AZ1571" s="1" t="s">
        <v>200</v>
      </c>
      <c r="BA1571" s="1" t="str">
        <f>"19173120430000"</f>
        <v>19173120430000</v>
      </c>
      <c r="BC1571" s="1">
        <v>1288.0</v>
      </c>
      <c r="BD1571" s="1">
        <v>169000.0</v>
      </c>
      <c r="BE1571" s="2">
        <v>42096.0</v>
      </c>
      <c r="BF1571" s="2" t="s">
        <v>15872</v>
      </c>
      <c r="BH1571" s="1">
        <v>0.0</v>
      </c>
      <c r="BK1571" s="1" t="s">
        <v>204</v>
      </c>
      <c r="BL1571" s="1" t="str">
        <f t="shared" ref="BL1571:BM1571" si="1027">"0"</f>
        <v>0</v>
      </c>
      <c r="BM1571" s="1" t="str">
        <f t="shared" si="1027"/>
        <v>0</v>
      </c>
      <c r="BN1571" s="1">
        <v>6250.0</v>
      </c>
      <c r="BO1571" s="1">
        <v>6054.0</v>
      </c>
      <c r="BQ1571" s="1">
        <v>299.0</v>
      </c>
      <c r="BR1571" s="1">
        <v>299.0</v>
      </c>
      <c r="BS1571" s="1">
        <v>299.0</v>
      </c>
      <c r="BU1571" s="1" t="s">
        <v>1426</v>
      </c>
      <c r="BV1571" s="1" t="s">
        <v>206</v>
      </c>
      <c r="BW1571" s="1" t="s">
        <v>207</v>
      </c>
      <c r="BY1571" s="1" t="s">
        <v>664</v>
      </c>
      <c r="BZ1571" s="1" t="s">
        <v>209</v>
      </c>
      <c r="CA1571" s="1" t="s">
        <v>210</v>
      </c>
      <c r="CD1571" s="1" t="s">
        <v>204</v>
      </c>
      <c r="CG1571" s="1" t="s">
        <v>699</v>
      </c>
      <c r="CH1571" s="1" t="s">
        <v>206</v>
      </c>
      <c r="CI1571" s="1" t="s">
        <v>207</v>
      </c>
      <c r="CK1571" s="1" t="s">
        <v>699</v>
      </c>
      <c r="CL1571" s="1" t="s">
        <v>206</v>
      </c>
      <c r="CM1571" s="1" t="s">
        <v>207</v>
      </c>
      <c r="CO1571" s="1" t="s">
        <v>363</v>
      </c>
      <c r="CP1571" s="1" t="s">
        <v>209</v>
      </c>
      <c r="CQ1571" s="1" t="s">
        <v>210</v>
      </c>
      <c r="CS1571" s="1" t="s">
        <v>212</v>
      </c>
      <c r="CT1571" s="1" t="s">
        <v>206</v>
      </c>
      <c r="CU1571" s="1" t="s">
        <v>268</v>
      </c>
      <c r="CX1571" s="1" t="s">
        <v>204</v>
      </c>
      <c r="DA1571" s="1" t="s">
        <v>200</v>
      </c>
      <c r="DC1571" s="1" t="s">
        <v>702</v>
      </c>
      <c r="DD1571" s="1" t="s">
        <v>518</v>
      </c>
      <c r="DE1571" s="1" t="s">
        <v>273</v>
      </c>
      <c r="DF1571" s="1" t="s">
        <v>219</v>
      </c>
      <c r="DH1571" s="1" t="s">
        <v>365</v>
      </c>
      <c r="DI1571" s="1" t="s">
        <v>15873</v>
      </c>
      <c r="DJ1571" s="1" t="s">
        <v>222</v>
      </c>
      <c r="DL1571" s="1" t="s">
        <v>1853</v>
      </c>
      <c r="DM1571" s="1" t="s">
        <v>229</v>
      </c>
      <c r="DO1571" s="1" t="s">
        <v>549</v>
      </c>
      <c r="DQ1571" s="1" t="s">
        <v>718</v>
      </c>
      <c r="DR1571" s="1" t="s">
        <v>229</v>
      </c>
      <c r="DV1571" s="1" t="s">
        <v>232</v>
      </c>
      <c r="DW1571" s="1" t="s">
        <v>279</v>
      </c>
      <c r="DX1571" s="1" t="s">
        <v>309</v>
      </c>
      <c r="DZ1571" s="1" t="s">
        <v>282</v>
      </c>
      <c r="EA1571" s="1" t="s">
        <v>1075</v>
      </c>
      <c r="EC1571" s="1" t="s">
        <v>645</v>
      </c>
      <c r="EE1571" s="1" t="s">
        <v>493</v>
      </c>
      <c r="EM1571" s="1" t="s">
        <v>238</v>
      </c>
      <c r="EQ1571" s="1" t="s">
        <v>238</v>
      </c>
      <c r="EU1571" s="1" t="s">
        <v>238</v>
      </c>
      <c r="EY1571" s="1" t="s">
        <v>238</v>
      </c>
      <c r="FC1571" s="1" t="s">
        <v>238</v>
      </c>
      <c r="FF1571" s="1" t="s">
        <v>239</v>
      </c>
      <c r="FG1571" s="1" t="s">
        <v>192</v>
      </c>
      <c r="FH1571" s="1" t="s">
        <v>192</v>
      </c>
      <c r="FJ1571" s="1" t="s">
        <v>2427</v>
      </c>
      <c r="FK1571" s="1" t="s">
        <v>229</v>
      </c>
      <c r="FL1571" s="1" t="s">
        <v>1470</v>
      </c>
      <c r="FM1571" s="1">
        <v>60476.0</v>
      </c>
      <c r="FN1571" s="1" t="s">
        <v>1471</v>
      </c>
      <c r="FO1571" s="1" t="s">
        <v>1472</v>
      </c>
      <c r="FP1571" s="1">
        <v>605367.0</v>
      </c>
      <c r="FQ1571" s="1" t="s">
        <v>1471</v>
      </c>
      <c r="FU1571" s="1" t="s">
        <v>15874</v>
      </c>
      <c r="FV1571" s="1" t="s">
        <v>200</v>
      </c>
      <c r="FW1571" s="1" t="s">
        <v>567</v>
      </c>
      <c r="FX1571" s="1" t="s">
        <v>655</v>
      </c>
      <c r="FZ1571" s="1" t="s">
        <v>229</v>
      </c>
      <c r="GA1571" s="1" t="s">
        <v>291</v>
      </c>
      <c r="GB1571" s="2">
        <v>42130.0</v>
      </c>
      <c r="GC1571" s="1" t="s">
        <v>15875</v>
      </c>
    </row>
    <row r="1572">
      <c r="A1572" s="1">
        <v>152000.0</v>
      </c>
      <c r="B1572" s="1" t="s">
        <v>185</v>
      </c>
      <c r="C1572" s="1" t="str">
        <f>"08883433"</f>
        <v>08883433</v>
      </c>
      <c r="D1572" s="1" t="s">
        <v>186</v>
      </c>
      <c r="F1572" s="1" t="str">
        <f>"123"</f>
        <v>123</v>
      </c>
      <c r="G1572" s="2">
        <v>42101.0</v>
      </c>
      <c r="H1572" s="1">
        <v>119000.0</v>
      </c>
      <c r="I1572" s="1">
        <v>10.0</v>
      </c>
      <c r="J1572" s="1">
        <v>119000.0</v>
      </c>
      <c r="K1572" s="2">
        <v>42110.0</v>
      </c>
      <c r="L1572" s="1">
        <v>10.0</v>
      </c>
      <c r="M1572" s="2">
        <v>42110.0</v>
      </c>
      <c r="N1572" s="1" t="s">
        <v>356</v>
      </c>
      <c r="O1572" s="2">
        <v>42146.0</v>
      </c>
      <c r="P1572" s="1">
        <v>8423.0</v>
      </c>
      <c r="Q1572" s="1">
        <v>7450.0</v>
      </c>
      <c r="R1572" s="1">
        <v>4200.0</v>
      </c>
      <c r="S1572" s="1">
        <v>443.0</v>
      </c>
      <c r="T1572" s="1" t="s">
        <v>15876</v>
      </c>
      <c r="U1572" s="1" t="s">
        <v>1174</v>
      </c>
      <c r="V1572" s="1" t="s">
        <v>465</v>
      </c>
      <c r="W1572" s="1">
        <v>60123.0</v>
      </c>
      <c r="Y1572" s="1" t="s">
        <v>15877</v>
      </c>
      <c r="Z1572" s="1">
        <v>1976.0</v>
      </c>
      <c r="AA1572" s="1" t="s">
        <v>192</v>
      </c>
      <c r="AB1572" s="1" t="s">
        <v>193</v>
      </c>
      <c r="AD1572" s="1" t="s">
        <v>469</v>
      </c>
      <c r="AE1572" s="1" t="s">
        <v>325</v>
      </c>
      <c r="AF1572" s="1" t="s">
        <v>469</v>
      </c>
      <c r="AH1572" s="1" t="s">
        <v>15878</v>
      </c>
      <c r="AI1572" s="1">
        <v>0.183</v>
      </c>
      <c r="AK1572" s="1">
        <v>6.0</v>
      </c>
      <c r="AL1572" s="1">
        <v>4.0</v>
      </c>
      <c r="AM1572" s="1">
        <v>2.0</v>
      </c>
      <c r="AN1572" s="1">
        <v>0.0</v>
      </c>
      <c r="AO1572" s="1" t="s">
        <v>229</v>
      </c>
      <c r="AP1572" s="1">
        <v>1.0</v>
      </c>
      <c r="AQ1572" s="1" t="s">
        <v>198</v>
      </c>
      <c r="AR1572" s="1" t="s">
        <v>200</v>
      </c>
      <c r="AS1572" s="1" t="s">
        <v>199</v>
      </c>
      <c r="AT1572" s="1">
        <v>2.0</v>
      </c>
      <c r="AV1572" s="1" t="s">
        <v>200</v>
      </c>
      <c r="AW1572" s="1">
        <v>4161.68</v>
      </c>
      <c r="AX1572" s="1">
        <v>2013.0</v>
      </c>
      <c r="AZ1572" s="1" t="s">
        <v>200</v>
      </c>
      <c r="BA1572" s="1" t="str">
        <f>"0621258069"</f>
        <v>0621258069</v>
      </c>
      <c r="BC1572" s="1">
        <v>1428.0</v>
      </c>
      <c r="BD1572" s="1">
        <v>152000.0</v>
      </c>
      <c r="BE1572" s="2">
        <v>42101.0</v>
      </c>
      <c r="BF1572" s="2" t="s">
        <v>15879</v>
      </c>
      <c r="BG1572" s="1" t="s">
        <v>3196</v>
      </c>
      <c r="BH1572" s="1">
        <v>0.0</v>
      </c>
      <c r="BI1572" s="1" t="s">
        <v>674</v>
      </c>
      <c r="BJ1572" s="1" t="s">
        <v>675</v>
      </c>
      <c r="BK1572" s="1" t="s">
        <v>204</v>
      </c>
      <c r="BL1572" s="1" t="str">
        <f t="shared" ref="BL1572:BM1572" si="1028">""</f>
        <v/>
      </c>
      <c r="BM1572" s="1" t="str">
        <f t="shared" si="1028"/>
        <v/>
      </c>
      <c r="BQ1572" s="1">
        <v>46.0</v>
      </c>
      <c r="BR1572" s="1">
        <v>46.0</v>
      </c>
      <c r="BS1572" s="1">
        <v>46.0</v>
      </c>
      <c r="BU1572" s="1" t="s">
        <v>1044</v>
      </c>
      <c r="BV1572" s="1" t="s">
        <v>206</v>
      </c>
      <c r="BW1572" s="1" t="s">
        <v>210</v>
      </c>
      <c r="BY1572" s="1" t="s">
        <v>215</v>
      </c>
      <c r="BZ1572" s="1" t="s">
        <v>206</v>
      </c>
      <c r="CA1572" s="1" t="s">
        <v>210</v>
      </c>
      <c r="CD1572" s="1" t="s">
        <v>204</v>
      </c>
      <c r="CG1572" s="1" t="s">
        <v>265</v>
      </c>
      <c r="CH1572" s="1" t="s">
        <v>206</v>
      </c>
      <c r="CI1572" s="1" t="s">
        <v>210</v>
      </c>
      <c r="CK1572" s="1" t="s">
        <v>1229</v>
      </c>
      <c r="CL1572" s="1" t="s">
        <v>209</v>
      </c>
      <c r="CM1572" s="1" t="s">
        <v>210</v>
      </c>
      <c r="CO1572" s="1" t="s">
        <v>830</v>
      </c>
      <c r="CP1572" s="1" t="s">
        <v>209</v>
      </c>
      <c r="CQ1572" s="1" t="s">
        <v>210</v>
      </c>
      <c r="CS1572" s="1" t="s">
        <v>784</v>
      </c>
      <c r="CT1572" s="1" t="s">
        <v>206</v>
      </c>
      <c r="CU1572" s="1" t="s">
        <v>617</v>
      </c>
      <c r="CX1572" s="1" t="s">
        <v>204</v>
      </c>
      <c r="DA1572" s="1" t="s">
        <v>200</v>
      </c>
      <c r="DC1572" s="1" t="s">
        <v>395</v>
      </c>
      <c r="DD1572" s="1" t="s">
        <v>957</v>
      </c>
      <c r="DE1572" s="1" t="s">
        <v>273</v>
      </c>
      <c r="DF1572" s="1" t="s">
        <v>219</v>
      </c>
      <c r="DH1572" s="1" t="s">
        <v>220</v>
      </c>
      <c r="DI1572" s="1" t="s">
        <v>703</v>
      </c>
      <c r="DJ1572" s="1" t="s">
        <v>222</v>
      </c>
      <c r="DK1572" s="1" t="s">
        <v>223</v>
      </c>
      <c r="DL1572" s="1" t="s">
        <v>223</v>
      </c>
      <c r="DM1572" s="1" t="s">
        <v>1402</v>
      </c>
      <c r="DQ1572" s="1" t="s">
        <v>228</v>
      </c>
      <c r="DR1572" s="1" t="s">
        <v>229</v>
      </c>
      <c r="DV1572" s="1" t="s">
        <v>232</v>
      </c>
      <c r="DW1572" s="1" t="s">
        <v>667</v>
      </c>
      <c r="DX1572" s="1" t="s">
        <v>234</v>
      </c>
      <c r="DY1572" s="1" t="s">
        <v>1371</v>
      </c>
      <c r="DZ1572" s="1" t="s">
        <v>310</v>
      </c>
      <c r="EA1572" s="1" t="s">
        <v>1075</v>
      </c>
      <c r="EB1572" s="1" t="s">
        <v>345</v>
      </c>
      <c r="EC1572" s="1" t="s">
        <v>645</v>
      </c>
      <c r="EM1572" s="1" t="s">
        <v>238</v>
      </c>
      <c r="EQ1572" s="1" t="s">
        <v>238</v>
      </c>
      <c r="EU1572" s="1" t="s">
        <v>238</v>
      </c>
      <c r="EY1572" s="1" t="s">
        <v>238</v>
      </c>
      <c r="FC1572" s="1" t="s">
        <v>238</v>
      </c>
      <c r="FF1572" s="1" t="s">
        <v>239</v>
      </c>
      <c r="FG1572" s="1" t="s">
        <v>192</v>
      </c>
      <c r="FH1572" s="1" t="s">
        <v>192</v>
      </c>
      <c r="FJ1572" s="1" t="s">
        <v>524</v>
      </c>
      <c r="FK1572" s="1" t="s">
        <v>229</v>
      </c>
      <c r="FL1572" s="1" t="s">
        <v>15880</v>
      </c>
      <c r="FM1572" s="1">
        <v>534.0</v>
      </c>
      <c r="FN1572" s="1" t="s">
        <v>11801</v>
      </c>
      <c r="FO1572" s="1" t="s">
        <v>15881</v>
      </c>
      <c r="FP1572" s="1">
        <v>2190.0</v>
      </c>
      <c r="FQ1572" s="1" t="s">
        <v>15882</v>
      </c>
      <c r="FU1572" s="1" t="s">
        <v>353</v>
      </c>
      <c r="FV1572" s="1" t="s">
        <v>200</v>
      </c>
      <c r="FW1572" s="1" t="s">
        <v>290</v>
      </c>
      <c r="FZ1572" s="1" t="s">
        <v>229</v>
      </c>
      <c r="GA1572" s="1" t="s">
        <v>291</v>
      </c>
      <c r="GB1572" s="2">
        <v>42147.0</v>
      </c>
      <c r="GC1572" s="1" t="s">
        <v>15883</v>
      </c>
    </row>
    <row r="1573">
      <c r="A1573" s="1">
        <v>50100.0</v>
      </c>
      <c r="B1573" s="1" t="s">
        <v>185</v>
      </c>
      <c r="C1573" s="1" t="str">
        <f>"08882341"</f>
        <v>08882341</v>
      </c>
      <c r="D1573" s="1" t="s">
        <v>186</v>
      </c>
      <c r="F1573" s="1" t="str">
        <f>"8071"</f>
        <v>8071</v>
      </c>
      <c r="G1573" s="2">
        <v>42100.0</v>
      </c>
      <c r="H1573" s="1">
        <v>55000.0</v>
      </c>
      <c r="I1573" s="1">
        <v>10.0</v>
      </c>
      <c r="J1573" s="1">
        <v>55000.0</v>
      </c>
      <c r="K1573" s="2">
        <v>42109.0</v>
      </c>
      <c r="L1573" s="1">
        <v>10.0</v>
      </c>
      <c r="M1573" s="2">
        <v>42109.0</v>
      </c>
      <c r="N1573" s="1" t="s">
        <v>249</v>
      </c>
      <c r="O1573" s="2">
        <v>42135.0</v>
      </c>
      <c r="P1573" s="1">
        <v>602837.0</v>
      </c>
      <c r="Q1573" s="1">
        <v>60296.0</v>
      </c>
      <c r="S1573" s="1">
        <v>8504.0</v>
      </c>
      <c r="T1573" s="1" t="s">
        <v>9717</v>
      </c>
      <c r="U1573" s="1" t="s">
        <v>320</v>
      </c>
      <c r="V1573" s="1" t="s">
        <v>190</v>
      </c>
      <c r="W1573" s="1">
        <v>60620.0</v>
      </c>
      <c r="Y1573" s="1" t="s">
        <v>15884</v>
      </c>
      <c r="Z1573" s="1">
        <v>1933.0</v>
      </c>
      <c r="AA1573" s="1" t="s">
        <v>192</v>
      </c>
      <c r="AB1573" s="1" t="s">
        <v>193</v>
      </c>
      <c r="AD1573" s="1" t="s">
        <v>194</v>
      </c>
      <c r="AE1573" s="1" t="s">
        <v>195</v>
      </c>
      <c r="AF1573" s="1" t="s">
        <v>659</v>
      </c>
      <c r="AH1573" s="1" t="s">
        <v>15885</v>
      </c>
      <c r="AI1573" s="1">
        <v>0.0947</v>
      </c>
      <c r="AK1573" s="1">
        <v>7.0</v>
      </c>
      <c r="AL1573" s="1">
        <v>4.0</v>
      </c>
      <c r="AM1573" s="1">
        <v>1.0</v>
      </c>
      <c r="AN1573" s="1">
        <v>0.0</v>
      </c>
      <c r="AO1573" s="1" t="s">
        <v>229</v>
      </c>
      <c r="AQ1573" s="1" t="s">
        <v>198</v>
      </c>
      <c r="AR1573" s="1" t="s">
        <v>200</v>
      </c>
      <c r="AS1573" s="1" t="s">
        <v>199</v>
      </c>
      <c r="AT1573" s="1">
        <v>1.5</v>
      </c>
      <c r="AV1573" s="1" t="s">
        <v>200</v>
      </c>
      <c r="AW1573" s="1">
        <v>1614.61</v>
      </c>
      <c r="AX1573" s="1">
        <v>2013.0</v>
      </c>
      <c r="AY1573" s="1" t="s">
        <v>387</v>
      </c>
      <c r="AZ1573" s="1" t="s">
        <v>545</v>
      </c>
      <c r="BA1573" s="1" t="str">
        <f>"20323150220000"</f>
        <v>20323150220000</v>
      </c>
      <c r="BC1573" s="1">
        <v>1300.0</v>
      </c>
      <c r="BD1573" s="1">
        <v>50100.0</v>
      </c>
      <c r="BE1573" s="2">
        <v>42100.0</v>
      </c>
      <c r="BF1573" s="2" t="s">
        <v>15886</v>
      </c>
      <c r="BH1573" s="1">
        <v>0.0</v>
      </c>
      <c r="BK1573" s="1" t="s">
        <v>204</v>
      </c>
      <c r="BL1573" s="1" t="str">
        <f t="shared" ref="BL1573:BM1573" si="1029">"0"</f>
        <v>0</v>
      </c>
      <c r="BM1573" s="1" t="str">
        <f t="shared" si="1029"/>
        <v>0</v>
      </c>
      <c r="BN1573" s="1">
        <v>1600.0</v>
      </c>
      <c r="BO1573" s="1">
        <v>8504.0</v>
      </c>
      <c r="BQ1573" s="1">
        <v>299.0</v>
      </c>
      <c r="BR1573" s="1">
        <v>299.0</v>
      </c>
      <c r="BS1573" s="1">
        <v>299.0</v>
      </c>
      <c r="BU1573" s="1" t="s">
        <v>758</v>
      </c>
      <c r="BV1573" s="1" t="s">
        <v>206</v>
      </c>
      <c r="BY1573" s="1" t="s">
        <v>392</v>
      </c>
      <c r="BZ1573" s="1" t="s">
        <v>206</v>
      </c>
      <c r="CC1573" s="1" t="s">
        <v>332</v>
      </c>
      <c r="CD1573" s="1" t="s">
        <v>206</v>
      </c>
      <c r="CG1573" s="1" t="s">
        <v>375</v>
      </c>
      <c r="CH1573" s="1" t="s">
        <v>206</v>
      </c>
      <c r="CK1573" s="1" t="s">
        <v>582</v>
      </c>
      <c r="CL1573" s="1" t="s">
        <v>209</v>
      </c>
      <c r="CO1573" s="1" t="s">
        <v>699</v>
      </c>
      <c r="CP1573" s="1" t="s">
        <v>209</v>
      </c>
      <c r="CS1573" s="1" t="s">
        <v>212</v>
      </c>
      <c r="CT1573" s="1" t="s">
        <v>206</v>
      </c>
      <c r="CX1573" s="1" t="s">
        <v>204</v>
      </c>
      <c r="DA1573" s="1" t="s">
        <v>200</v>
      </c>
      <c r="DC1573" s="1" t="s">
        <v>785</v>
      </c>
      <c r="DE1573" s="1" t="s">
        <v>229</v>
      </c>
      <c r="DF1573" s="1" t="s">
        <v>619</v>
      </c>
      <c r="DG1573" s="1" t="s">
        <v>337</v>
      </c>
      <c r="DH1573" s="1" t="s">
        <v>365</v>
      </c>
      <c r="DJ1573" s="1" t="s">
        <v>222</v>
      </c>
      <c r="DL1573" s="1" t="s">
        <v>223</v>
      </c>
      <c r="DM1573" s="1" t="s">
        <v>1658</v>
      </c>
      <c r="DQ1573" s="1" t="s">
        <v>228</v>
      </c>
      <c r="DR1573" s="1" t="s">
        <v>229</v>
      </c>
      <c r="DV1573" s="1" t="s">
        <v>232</v>
      </c>
      <c r="DW1573" s="1" t="s">
        <v>279</v>
      </c>
      <c r="DX1573" s="1" t="s">
        <v>234</v>
      </c>
      <c r="DY1573" s="1" t="s">
        <v>704</v>
      </c>
      <c r="EA1573" s="1" t="s">
        <v>1075</v>
      </c>
      <c r="EC1573" s="1" t="s">
        <v>237</v>
      </c>
      <c r="EE1573" s="1" t="s">
        <v>1673</v>
      </c>
      <c r="EM1573" s="1" t="s">
        <v>238</v>
      </c>
      <c r="EQ1573" s="1" t="s">
        <v>238</v>
      </c>
      <c r="EU1573" s="1" t="s">
        <v>238</v>
      </c>
      <c r="EY1573" s="1" t="s">
        <v>238</v>
      </c>
      <c r="FC1573" s="1" t="s">
        <v>238</v>
      </c>
      <c r="FF1573" s="1" t="s">
        <v>239</v>
      </c>
      <c r="FG1573" s="1" t="s">
        <v>192</v>
      </c>
      <c r="FH1573" s="1" t="s">
        <v>192</v>
      </c>
      <c r="FJ1573" s="1" t="s">
        <v>624</v>
      </c>
      <c r="FK1573" s="1" t="s">
        <v>229</v>
      </c>
      <c r="FL1573" s="1" t="s">
        <v>15887</v>
      </c>
      <c r="FM1573" s="1">
        <v>16651.0</v>
      </c>
      <c r="FN1573" s="1" t="s">
        <v>15888</v>
      </c>
      <c r="FO1573" s="1" t="s">
        <v>15889</v>
      </c>
      <c r="FP1573" s="1">
        <v>149501.0</v>
      </c>
      <c r="FQ1573" s="1" t="s">
        <v>15888</v>
      </c>
      <c r="FU1573" s="1" t="s">
        <v>6936</v>
      </c>
      <c r="FV1573" s="1" t="s">
        <v>200</v>
      </c>
      <c r="FW1573" s="1" t="s">
        <v>15890</v>
      </c>
      <c r="FX1573" s="1" t="s">
        <v>655</v>
      </c>
      <c r="FZ1573" s="1" t="s">
        <v>229</v>
      </c>
      <c r="GA1573" s="1" t="s">
        <v>291</v>
      </c>
      <c r="GB1573" s="2">
        <v>42137.0</v>
      </c>
    </row>
    <row r="1574">
      <c r="A1574" s="1">
        <v>260000.0</v>
      </c>
      <c r="B1574" s="1" t="s">
        <v>185</v>
      </c>
      <c r="C1574" s="1" t="str">
        <f>"08894426"</f>
        <v>08894426</v>
      </c>
      <c r="D1574" s="1" t="s">
        <v>186</v>
      </c>
      <c r="F1574" s="1" t="str">
        <f>"8056"</f>
        <v>8056</v>
      </c>
      <c r="G1574" s="2">
        <v>42111.0</v>
      </c>
      <c r="H1574" s="1">
        <v>259900.0</v>
      </c>
      <c r="I1574" s="1">
        <v>3.0</v>
      </c>
      <c r="J1574" s="1">
        <v>259900.0</v>
      </c>
      <c r="K1574" s="2">
        <v>42113.0</v>
      </c>
      <c r="L1574" s="1">
        <v>3.0</v>
      </c>
      <c r="M1574" s="2">
        <v>42113.0</v>
      </c>
      <c r="N1574" s="1" t="s">
        <v>187</v>
      </c>
      <c r="O1574" s="2">
        <v>42150.0</v>
      </c>
      <c r="P1574" s="1">
        <v>606810.0</v>
      </c>
      <c r="Q1574" s="1">
        <v>21613.0</v>
      </c>
      <c r="S1574" s="1">
        <v>5727.0</v>
      </c>
      <c r="T1574" s="1" t="s">
        <v>8742</v>
      </c>
      <c r="U1574" s="1" t="s">
        <v>189</v>
      </c>
      <c r="V1574" s="1" t="s">
        <v>190</v>
      </c>
      <c r="W1574" s="1">
        <v>60638.0</v>
      </c>
      <c r="Y1574" s="1" t="s">
        <v>15891</v>
      </c>
      <c r="Z1574" s="1">
        <v>1950.0</v>
      </c>
      <c r="AA1574" s="1" t="s">
        <v>192</v>
      </c>
      <c r="AB1574" s="1" t="s">
        <v>193</v>
      </c>
      <c r="AD1574" s="1" t="s">
        <v>194</v>
      </c>
      <c r="AE1574" s="1" t="s">
        <v>195</v>
      </c>
      <c r="AF1574" s="1" t="s">
        <v>659</v>
      </c>
      <c r="AH1574" s="1" t="s">
        <v>15892</v>
      </c>
      <c r="AI1574" s="1">
        <v>0.1251</v>
      </c>
      <c r="AK1574" s="1">
        <v>7.0</v>
      </c>
      <c r="AL1574" s="1">
        <v>4.0</v>
      </c>
      <c r="AM1574" s="1">
        <v>2.0</v>
      </c>
      <c r="AN1574" s="1">
        <v>0.0</v>
      </c>
      <c r="AO1574" s="1" t="s">
        <v>229</v>
      </c>
      <c r="AQ1574" s="1" t="s">
        <v>198</v>
      </c>
      <c r="AR1574" s="1" t="s">
        <v>200</v>
      </c>
      <c r="AS1574" s="1" t="s">
        <v>199</v>
      </c>
      <c r="AT1574" s="1">
        <v>2.5</v>
      </c>
      <c r="AV1574" s="1" t="s">
        <v>200</v>
      </c>
      <c r="AW1574" s="1">
        <v>3146.81</v>
      </c>
      <c r="AX1574" s="1">
        <v>2013.0</v>
      </c>
      <c r="AZ1574" s="1" t="s">
        <v>200</v>
      </c>
      <c r="BA1574" s="1" t="str">
        <f>"19182190270000"</f>
        <v>19182190270000</v>
      </c>
      <c r="BC1574" s="1">
        <v>1067.0</v>
      </c>
      <c r="BD1574" s="1">
        <v>260000.0</v>
      </c>
      <c r="BE1574" s="2">
        <v>42111.0</v>
      </c>
      <c r="BF1574" s="2" t="s">
        <v>15893</v>
      </c>
      <c r="BG1574" s="1" t="s">
        <v>15894</v>
      </c>
      <c r="BH1574" s="1">
        <v>0.0</v>
      </c>
      <c r="BJ1574" s="1" t="s">
        <v>8559</v>
      </c>
      <c r="BK1574" s="1" t="s">
        <v>204</v>
      </c>
      <c r="BL1574" s="1" t="str">
        <f t="shared" ref="BL1574:BM1574" si="1030">"0"</f>
        <v>0</v>
      </c>
      <c r="BM1574" s="1" t="str">
        <f t="shared" si="1030"/>
        <v>0</v>
      </c>
      <c r="BN1574" s="1">
        <v>6532.0</v>
      </c>
      <c r="BO1574" s="1">
        <v>5700.0</v>
      </c>
      <c r="BQ1574" s="1">
        <v>299.0</v>
      </c>
      <c r="BR1574" s="1">
        <v>299.0</v>
      </c>
      <c r="BS1574" s="1">
        <v>299.0</v>
      </c>
      <c r="BU1574" s="1" t="s">
        <v>925</v>
      </c>
      <c r="BV1574" s="1" t="s">
        <v>206</v>
      </c>
      <c r="BY1574" s="1" t="s">
        <v>497</v>
      </c>
      <c r="BZ1574" s="1" t="s">
        <v>206</v>
      </c>
      <c r="CA1574" s="1" t="s">
        <v>207</v>
      </c>
      <c r="CC1574" s="1" t="s">
        <v>212</v>
      </c>
      <c r="CD1574" s="1" t="s">
        <v>206</v>
      </c>
      <c r="CG1574" s="1" t="s">
        <v>264</v>
      </c>
      <c r="CH1574" s="1" t="s">
        <v>206</v>
      </c>
      <c r="CI1574" s="1" t="s">
        <v>207</v>
      </c>
      <c r="CK1574" s="1" t="s">
        <v>332</v>
      </c>
      <c r="CL1574" s="1" t="s">
        <v>209</v>
      </c>
      <c r="CM1574" s="1" t="s">
        <v>301</v>
      </c>
      <c r="CO1574" s="1" t="s">
        <v>925</v>
      </c>
      <c r="CP1574" s="1" t="s">
        <v>209</v>
      </c>
      <c r="CS1574" s="1" t="s">
        <v>699</v>
      </c>
      <c r="CT1574" s="1" t="s">
        <v>206</v>
      </c>
      <c r="CX1574" s="1" t="s">
        <v>204</v>
      </c>
      <c r="DA1574" s="1" t="s">
        <v>200</v>
      </c>
      <c r="DC1574" s="1" t="s">
        <v>702</v>
      </c>
      <c r="DE1574" s="1" t="s">
        <v>273</v>
      </c>
      <c r="DF1574" s="1" t="s">
        <v>219</v>
      </c>
      <c r="DG1574" s="1" t="s">
        <v>3833</v>
      </c>
      <c r="DH1574" s="1" t="s">
        <v>365</v>
      </c>
      <c r="DI1574" s="1" t="s">
        <v>15895</v>
      </c>
      <c r="DJ1574" s="1" t="s">
        <v>222</v>
      </c>
      <c r="DK1574" s="1" t="s">
        <v>1570</v>
      </c>
      <c r="DL1574" s="1" t="s">
        <v>986</v>
      </c>
      <c r="DM1574" s="1" t="s">
        <v>225</v>
      </c>
      <c r="DN1574" s="1" t="s">
        <v>666</v>
      </c>
      <c r="DP1574" s="1" t="s">
        <v>276</v>
      </c>
      <c r="DQ1574" s="1" t="s">
        <v>794</v>
      </c>
      <c r="DR1574" s="1" t="s">
        <v>229</v>
      </c>
      <c r="DS1574" s="1" t="s">
        <v>368</v>
      </c>
      <c r="DV1574" s="1" t="s">
        <v>232</v>
      </c>
      <c r="DW1574" s="1" t="s">
        <v>279</v>
      </c>
      <c r="DX1574" s="1" t="s">
        <v>234</v>
      </c>
      <c r="DY1574" s="1" t="s">
        <v>15896</v>
      </c>
      <c r="DZ1574" s="1" t="s">
        <v>310</v>
      </c>
      <c r="EA1574" s="1" t="s">
        <v>1075</v>
      </c>
      <c r="EC1574" s="1" t="s">
        <v>645</v>
      </c>
      <c r="ED1574" s="1" t="s">
        <v>555</v>
      </c>
      <c r="EE1574" s="1" t="s">
        <v>1960</v>
      </c>
      <c r="EM1574" s="1" t="s">
        <v>238</v>
      </c>
      <c r="EQ1574" s="1" t="s">
        <v>238</v>
      </c>
      <c r="EU1574" s="1" t="s">
        <v>238</v>
      </c>
      <c r="EY1574" s="1" t="s">
        <v>238</v>
      </c>
      <c r="FC1574" s="1" t="s">
        <v>238</v>
      </c>
      <c r="FF1574" s="1" t="s">
        <v>239</v>
      </c>
      <c r="FG1574" s="1" t="s">
        <v>192</v>
      </c>
      <c r="FH1574" s="1" t="s">
        <v>192</v>
      </c>
      <c r="FJ1574" s="1" t="s">
        <v>1123</v>
      </c>
      <c r="FK1574" s="1" t="s">
        <v>229</v>
      </c>
      <c r="FL1574" s="1" t="s">
        <v>15897</v>
      </c>
      <c r="FM1574" s="1">
        <v>20199.0</v>
      </c>
      <c r="FN1574" s="1" t="s">
        <v>15898</v>
      </c>
      <c r="FO1574" s="1" t="s">
        <v>15899</v>
      </c>
      <c r="FP1574" s="1">
        <v>214355.0</v>
      </c>
      <c r="FQ1574" s="1" t="s">
        <v>15900</v>
      </c>
      <c r="FU1574" s="1" t="s">
        <v>15901</v>
      </c>
      <c r="FV1574" s="1" t="s">
        <v>200</v>
      </c>
      <c r="FW1574" s="1" t="s">
        <v>15902</v>
      </c>
      <c r="FX1574" s="1" t="s">
        <v>655</v>
      </c>
      <c r="FZ1574" s="1" t="s">
        <v>229</v>
      </c>
      <c r="GA1574" s="1" t="s">
        <v>291</v>
      </c>
      <c r="GB1574" s="2">
        <v>42150.0</v>
      </c>
    </row>
    <row r="1575">
      <c r="A1575" s="1">
        <v>108000.0</v>
      </c>
      <c r="B1575" s="1" t="s">
        <v>185</v>
      </c>
      <c r="C1575" s="1" t="str">
        <f>"08888049"</f>
        <v>08888049</v>
      </c>
      <c r="D1575" s="1" t="s">
        <v>186</v>
      </c>
      <c r="F1575" s="1" t="str">
        <f>"8071"</f>
        <v>8071</v>
      </c>
      <c r="G1575" s="2">
        <v>42105.0</v>
      </c>
      <c r="H1575" s="1">
        <v>145000.0</v>
      </c>
      <c r="I1575" s="1">
        <v>3.0</v>
      </c>
      <c r="J1575" s="1">
        <v>145000.0</v>
      </c>
      <c r="K1575" s="2">
        <v>42107.0</v>
      </c>
      <c r="L1575" s="1">
        <v>3.0</v>
      </c>
      <c r="M1575" s="2">
        <v>42107.0</v>
      </c>
      <c r="N1575" s="1" t="s">
        <v>356</v>
      </c>
      <c r="O1575" s="2">
        <v>42129.0</v>
      </c>
      <c r="P1575" s="1">
        <v>231347.0</v>
      </c>
      <c r="Q1575" s="1">
        <v>25494.0</v>
      </c>
      <c r="S1575" s="1">
        <v>8633.0</v>
      </c>
      <c r="T1575" s="1" t="s">
        <v>15903</v>
      </c>
      <c r="U1575" s="1" t="s">
        <v>189</v>
      </c>
      <c r="V1575" s="1" t="s">
        <v>190</v>
      </c>
      <c r="W1575" s="1">
        <v>60620.0</v>
      </c>
      <c r="Y1575" s="1" t="s">
        <v>15904</v>
      </c>
      <c r="Z1575" s="1" t="s">
        <v>296</v>
      </c>
      <c r="AA1575" s="1" t="s">
        <v>192</v>
      </c>
      <c r="AB1575" s="1" t="s">
        <v>193</v>
      </c>
      <c r="AD1575" s="1" t="s">
        <v>194</v>
      </c>
      <c r="AE1575" s="1" t="s">
        <v>195</v>
      </c>
      <c r="AF1575" s="1" t="s">
        <v>637</v>
      </c>
      <c r="AH1575" s="1" t="s">
        <v>359</v>
      </c>
      <c r="AK1575" s="1">
        <v>8.0</v>
      </c>
      <c r="AL1575" s="1">
        <v>4.0</v>
      </c>
      <c r="AM1575" s="1">
        <v>2.0</v>
      </c>
      <c r="AN1575" s="1">
        <v>1.0</v>
      </c>
      <c r="AO1575" s="1" t="s">
        <v>229</v>
      </c>
      <c r="AQ1575" s="1" t="s">
        <v>198</v>
      </c>
      <c r="AR1575" s="1" t="s">
        <v>192</v>
      </c>
      <c r="AS1575" s="1" t="s">
        <v>199</v>
      </c>
      <c r="AT1575" s="1">
        <v>2.0</v>
      </c>
      <c r="AV1575" s="1" t="s">
        <v>200</v>
      </c>
      <c r="AW1575" s="1">
        <v>1179.25</v>
      </c>
      <c r="AX1575" s="1">
        <v>2013.0</v>
      </c>
      <c r="AZ1575" s="1" t="s">
        <v>200</v>
      </c>
      <c r="BA1575" s="1" t="str">
        <f>"20314230110000"</f>
        <v>20314230110000</v>
      </c>
      <c r="BC1575" s="1">
        <v>1500.0</v>
      </c>
      <c r="BD1575" s="1">
        <v>108000.0</v>
      </c>
      <c r="BE1575" s="2">
        <v>42105.0</v>
      </c>
      <c r="BF1575" s="1" t="s">
        <v>15905</v>
      </c>
      <c r="BH1575" s="1">
        <v>0.0</v>
      </c>
      <c r="BK1575" s="1" t="s">
        <v>204</v>
      </c>
      <c r="BL1575" s="1" t="str">
        <f t="shared" ref="BL1575:BM1575" si="1031">"0"</f>
        <v>0</v>
      </c>
      <c r="BM1575" s="1" t="str">
        <f t="shared" si="1031"/>
        <v>0</v>
      </c>
      <c r="BN1575" s="1">
        <v>2000.0</v>
      </c>
      <c r="BO1575" s="1">
        <v>8600.0</v>
      </c>
      <c r="BQ1575" s="1">
        <v>299.0</v>
      </c>
      <c r="BR1575" s="1">
        <v>299.0</v>
      </c>
      <c r="BS1575" s="1">
        <v>299.0</v>
      </c>
      <c r="BU1575" s="1" t="s">
        <v>1483</v>
      </c>
      <c r="BV1575" s="1" t="s">
        <v>206</v>
      </c>
      <c r="BY1575" s="1" t="s">
        <v>363</v>
      </c>
      <c r="BZ1575" s="1" t="s">
        <v>206</v>
      </c>
      <c r="CC1575" s="1" t="s">
        <v>363</v>
      </c>
      <c r="CD1575" s="1" t="s">
        <v>206</v>
      </c>
      <c r="CG1575" s="1" t="s">
        <v>363</v>
      </c>
      <c r="CH1575" s="1" t="s">
        <v>206</v>
      </c>
      <c r="CK1575" s="1" t="s">
        <v>543</v>
      </c>
      <c r="CL1575" s="1" t="s">
        <v>206</v>
      </c>
      <c r="CO1575" s="1" t="s">
        <v>1483</v>
      </c>
      <c r="CP1575" s="1" t="s">
        <v>267</v>
      </c>
      <c r="CS1575" s="1" t="s">
        <v>1584</v>
      </c>
      <c r="CT1575" s="1" t="s">
        <v>206</v>
      </c>
      <c r="CW1575" s="1" t="s">
        <v>2900</v>
      </c>
      <c r="CX1575" s="1" t="s">
        <v>267</v>
      </c>
      <c r="DA1575" s="1" t="s">
        <v>200</v>
      </c>
      <c r="DC1575" s="1" t="s">
        <v>517</v>
      </c>
      <c r="DE1575" s="1" t="s">
        <v>273</v>
      </c>
      <c r="DF1575" s="1" t="s">
        <v>619</v>
      </c>
      <c r="DH1575" s="1" t="s">
        <v>307</v>
      </c>
      <c r="DJ1575" s="1" t="s">
        <v>222</v>
      </c>
      <c r="DL1575" s="1" t="s">
        <v>224</v>
      </c>
      <c r="DM1575" s="1" t="s">
        <v>225</v>
      </c>
      <c r="DQ1575" s="1" t="s">
        <v>441</v>
      </c>
      <c r="DR1575" s="1" t="s">
        <v>229</v>
      </c>
      <c r="DV1575" s="1" t="s">
        <v>232</v>
      </c>
      <c r="DW1575" s="1" t="s">
        <v>279</v>
      </c>
      <c r="DX1575" s="1" t="s">
        <v>234</v>
      </c>
      <c r="EA1575" s="1" t="s">
        <v>683</v>
      </c>
      <c r="EC1575" s="1" t="s">
        <v>685</v>
      </c>
      <c r="EE1575" s="1" t="s">
        <v>493</v>
      </c>
      <c r="EM1575" s="1" t="s">
        <v>238</v>
      </c>
      <c r="EQ1575" s="1" t="s">
        <v>238</v>
      </c>
      <c r="EU1575" s="1" t="s">
        <v>238</v>
      </c>
      <c r="EY1575" s="1" t="s">
        <v>238</v>
      </c>
      <c r="FC1575" s="1" t="s">
        <v>238</v>
      </c>
      <c r="FF1575" s="1" t="s">
        <v>239</v>
      </c>
      <c r="FG1575" s="1" t="s">
        <v>192</v>
      </c>
      <c r="FH1575" s="1" t="s">
        <v>192</v>
      </c>
      <c r="FJ1575" s="1" t="s">
        <v>7454</v>
      </c>
      <c r="FK1575" s="1" t="s">
        <v>229</v>
      </c>
      <c r="FL1575" s="1" t="s">
        <v>3565</v>
      </c>
      <c r="FM1575" s="1">
        <v>25494.0</v>
      </c>
      <c r="FN1575" s="1" t="s">
        <v>9382</v>
      </c>
      <c r="FO1575" s="1" t="s">
        <v>15906</v>
      </c>
      <c r="FP1575" s="1">
        <v>231347.0</v>
      </c>
      <c r="FQ1575" s="1" t="s">
        <v>15907</v>
      </c>
      <c r="FU1575" s="1" t="s">
        <v>7451</v>
      </c>
      <c r="FV1575" s="1" t="s">
        <v>200</v>
      </c>
      <c r="FW1575" s="1" t="s">
        <v>530</v>
      </c>
      <c r="FX1575" s="1" t="s">
        <v>655</v>
      </c>
      <c r="FZ1575" s="1" t="s">
        <v>229</v>
      </c>
      <c r="GA1575" s="1" t="s">
        <v>291</v>
      </c>
      <c r="GB1575" s="2">
        <v>42130.0</v>
      </c>
    </row>
    <row r="1576">
      <c r="A1576" s="1">
        <v>397500.0</v>
      </c>
      <c r="B1576" s="1" t="s">
        <v>185</v>
      </c>
      <c r="C1576" s="1" t="str">
        <f>"08885777"</f>
        <v>08885777</v>
      </c>
      <c r="D1576" s="1" t="s">
        <v>186</v>
      </c>
      <c r="F1576" s="1" t="str">
        <f>"10"</f>
        <v>10</v>
      </c>
      <c r="G1576" s="2">
        <v>42103.0</v>
      </c>
      <c r="H1576" s="1">
        <v>412500.0</v>
      </c>
      <c r="I1576" s="1">
        <v>150.0</v>
      </c>
      <c r="J1576" s="1">
        <v>412500.0</v>
      </c>
      <c r="K1576" s="2">
        <v>42108.0</v>
      </c>
      <c r="L1576" s="1">
        <v>6.0</v>
      </c>
      <c r="M1576" s="2">
        <v>42108.0</v>
      </c>
      <c r="N1576" s="1" t="s">
        <v>187</v>
      </c>
      <c r="O1576" s="2">
        <v>42146.0</v>
      </c>
      <c r="P1576" s="1">
        <v>35980.0</v>
      </c>
      <c r="Q1576" s="1">
        <v>4594.0</v>
      </c>
      <c r="R1576" s="1">
        <v>2500.0</v>
      </c>
      <c r="S1576" s="1">
        <v>580.0</v>
      </c>
      <c r="T1576" s="1" t="s">
        <v>15908</v>
      </c>
      <c r="U1576" s="1" t="s">
        <v>1174</v>
      </c>
      <c r="V1576" s="1" t="s">
        <v>1706</v>
      </c>
      <c r="W1576" s="1">
        <v>60010.0</v>
      </c>
      <c r="Y1576" s="1" t="s">
        <v>15909</v>
      </c>
      <c r="Z1576" s="1">
        <v>1989.0</v>
      </c>
      <c r="AA1576" s="1" t="s">
        <v>200</v>
      </c>
      <c r="AB1576" s="1" t="s">
        <v>193</v>
      </c>
      <c r="AC1576" s="1" t="s">
        <v>15910</v>
      </c>
      <c r="AD1576" s="1" t="s">
        <v>15911</v>
      </c>
      <c r="AE1576" s="1" t="s">
        <v>917</v>
      </c>
      <c r="AF1576" s="1" t="s">
        <v>918</v>
      </c>
      <c r="AH1576" s="1" t="s">
        <v>15912</v>
      </c>
      <c r="AI1576" s="1">
        <v>0.33</v>
      </c>
      <c r="AK1576" s="1">
        <v>9.0</v>
      </c>
      <c r="AL1576" s="1">
        <v>4.0</v>
      </c>
      <c r="AM1576" s="1">
        <v>2.0</v>
      </c>
      <c r="AN1576" s="1">
        <v>1.0</v>
      </c>
      <c r="AO1576" s="1" t="s">
        <v>198</v>
      </c>
      <c r="AQ1576" s="1" t="s">
        <v>198</v>
      </c>
      <c r="AR1576" s="1" t="s">
        <v>200</v>
      </c>
      <c r="AS1576" s="1" t="s">
        <v>199</v>
      </c>
      <c r="AT1576" s="1">
        <v>2.0</v>
      </c>
      <c r="AV1576" s="1" t="s">
        <v>200</v>
      </c>
      <c r="AW1576" s="1">
        <v>8996.31</v>
      </c>
      <c r="AX1576" s="1">
        <v>2013.0</v>
      </c>
      <c r="AY1576" s="1" t="s">
        <v>387</v>
      </c>
      <c r="AZ1576" s="1" t="s">
        <v>200</v>
      </c>
      <c r="BA1576" s="1" t="str">
        <f>"14302040220000"</f>
        <v>14302040220000</v>
      </c>
      <c r="BC1576" s="1">
        <v>2190.0</v>
      </c>
      <c r="BD1576" s="1">
        <v>397500.0</v>
      </c>
      <c r="BE1576" s="2">
        <v>42103.0</v>
      </c>
      <c r="BF1576" s="2" t="s">
        <v>15913</v>
      </c>
      <c r="BG1576" s="1" t="s">
        <v>921</v>
      </c>
      <c r="BH1576" s="1">
        <v>0.0</v>
      </c>
      <c r="BI1576" s="1" t="s">
        <v>922</v>
      </c>
      <c r="BJ1576" s="1" t="s">
        <v>923</v>
      </c>
      <c r="BK1576" s="1" t="s">
        <v>204</v>
      </c>
      <c r="BL1576" s="1" t="str">
        <f>"21"</f>
        <v>21</v>
      </c>
      <c r="BM1576" s="1" t="str">
        <f>"0"</f>
        <v>0</v>
      </c>
      <c r="BN1576" s="1">
        <v>24.0</v>
      </c>
      <c r="BO1576" s="1">
        <v>0.0</v>
      </c>
      <c r="BQ1576" s="1">
        <v>95.0</v>
      </c>
      <c r="BR1576" s="1">
        <v>95.0</v>
      </c>
      <c r="BS1576" s="1">
        <v>95.0</v>
      </c>
      <c r="BU1576" s="1" t="s">
        <v>390</v>
      </c>
      <c r="BV1576" s="1" t="s">
        <v>206</v>
      </c>
      <c r="BW1576" s="1" t="s">
        <v>210</v>
      </c>
      <c r="BX1576" s="1" t="s">
        <v>239</v>
      </c>
      <c r="BY1576" s="1" t="s">
        <v>1000</v>
      </c>
      <c r="BZ1576" s="1" t="s">
        <v>209</v>
      </c>
      <c r="CA1576" s="1" t="s">
        <v>210</v>
      </c>
      <c r="CB1576" s="1" t="s">
        <v>239</v>
      </c>
      <c r="CC1576" s="1" t="s">
        <v>677</v>
      </c>
      <c r="CD1576" s="1" t="s">
        <v>206</v>
      </c>
      <c r="CE1576" s="1" t="s">
        <v>210</v>
      </c>
      <c r="CF1576" s="1" t="s">
        <v>239</v>
      </c>
      <c r="CG1576" s="1" t="s">
        <v>212</v>
      </c>
      <c r="CH1576" s="1" t="s">
        <v>209</v>
      </c>
      <c r="CI1576" s="1" t="s">
        <v>210</v>
      </c>
      <c r="CJ1576" s="1" t="s">
        <v>239</v>
      </c>
      <c r="CK1576" s="1" t="s">
        <v>392</v>
      </c>
      <c r="CL1576" s="1" t="s">
        <v>209</v>
      </c>
      <c r="CM1576" s="1" t="s">
        <v>210</v>
      </c>
      <c r="CN1576" s="1" t="s">
        <v>239</v>
      </c>
      <c r="CO1576" s="1" t="s">
        <v>433</v>
      </c>
      <c r="CP1576" s="1" t="s">
        <v>209</v>
      </c>
      <c r="CQ1576" s="1" t="s">
        <v>210</v>
      </c>
      <c r="CR1576" s="1" t="s">
        <v>239</v>
      </c>
      <c r="CS1576" s="1" t="s">
        <v>616</v>
      </c>
      <c r="CT1576" s="1" t="s">
        <v>206</v>
      </c>
      <c r="CU1576" s="1" t="s">
        <v>207</v>
      </c>
      <c r="CV1576" s="1" t="s">
        <v>239</v>
      </c>
      <c r="CW1576" s="1" t="s">
        <v>1426</v>
      </c>
      <c r="CX1576" s="1" t="s">
        <v>206</v>
      </c>
      <c r="CY1576" s="1" t="s">
        <v>207</v>
      </c>
      <c r="CZ1576" s="1" t="s">
        <v>239</v>
      </c>
      <c r="DA1576" s="1" t="s">
        <v>200</v>
      </c>
      <c r="DC1576" s="1" t="s">
        <v>305</v>
      </c>
      <c r="DD1576" s="1" t="s">
        <v>396</v>
      </c>
      <c r="DE1576" s="1" t="s">
        <v>273</v>
      </c>
      <c r="DF1576" s="1" t="s">
        <v>219</v>
      </c>
      <c r="DG1576" s="1" t="s">
        <v>7166</v>
      </c>
      <c r="DH1576" s="1" t="s">
        <v>220</v>
      </c>
      <c r="DI1576" s="1" t="s">
        <v>680</v>
      </c>
      <c r="DJ1576" s="1" t="s">
        <v>222</v>
      </c>
      <c r="DL1576" s="1" t="s">
        <v>224</v>
      </c>
      <c r="DM1576" s="1" t="s">
        <v>229</v>
      </c>
      <c r="DO1576" s="1" t="s">
        <v>15914</v>
      </c>
      <c r="DP1576" s="1" t="s">
        <v>400</v>
      </c>
      <c r="DQ1576" s="1" t="s">
        <v>441</v>
      </c>
      <c r="DR1576" s="1" t="s">
        <v>229</v>
      </c>
      <c r="DU1576" s="1" t="s">
        <v>2677</v>
      </c>
      <c r="DV1576" s="1" t="s">
        <v>15915</v>
      </c>
      <c r="DW1576" s="1" t="s">
        <v>233</v>
      </c>
      <c r="DX1576" s="1" t="s">
        <v>234</v>
      </c>
      <c r="DY1576" s="1" t="s">
        <v>1051</v>
      </c>
      <c r="DZ1576" s="1" t="s">
        <v>310</v>
      </c>
      <c r="EA1576" s="1" t="s">
        <v>447</v>
      </c>
      <c r="EC1576" s="1" t="s">
        <v>237</v>
      </c>
      <c r="ED1576" s="1" t="s">
        <v>407</v>
      </c>
      <c r="EH1576" s="1" t="s">
        <v>450</v>
      </c>
      <c r="EI1576" s="1" t="s">
        <v>1103</v>
      </c>
      <c r="EM1576" s="1" t="s">
        <v>238</v>
      </c>
      <c r="EP1576" s="1" t="s">
        <v>15916</v>
      </c>
      <c r="EQ1576" s="1" t="s">
        <v>267</v>
      </c>
      <c r="ER1576" s="1" t="s">
        <v>210</v>
      </c>
      <c r="ET1576" s="1" t="s">
        <v>15917</v>
      </c>
      <c r="EU1576" s="1" t="s">
        <v>267</v>
      </c>
      <c r="EV1576" s="1" t="s">
        <v>588</v>
      </c>
      <c r="EY1576" s="1" t="s">
        <v>238</v>
      </c>
      <c r="FC1576" s="1" t="s">
        <v>238</v>
      </c>
      <c r="FF1576" s="1" t="s">
        <v>239</v>
      </c>
      <c r="FG1576" s="1" t="s">
        <v>192</v>
      </c>
      <c r="FH1576" s="1" t="s">
        <v>192</v>
      </c>
      <c r="FJ1576" s="1" t="s">
        <v>1123</v>
      </c>
      <c r="FK1576" s="1" t="s">
        <v>229</v>
      </c>
      <c r="FL1576" s="1" t="s">
        <v>5530</v>
      </c>
      <c r="FM1576" s="1">
        <v>2648.0</v>
      </c>
      <c r="FN1576" s="1" t="s">
        <v>15918</v>
      </c>
      <c r="FO1576" s="1" t="s">
        <v>15919</v>
      </c>
      <c r="FP1576" s="1">
        <v>18093.0</v>
      </c>
      <c r="FQ1576" s="1" t="s">
        <v>15920</v>
      </c>
      <c r="FR1576" s="1">
        <v>20455.0</v>
      </c>
      <c r="FS1576" s="1" t="s">
        <v>15921</v>
      </c>
      <c r="FU1576" s="1" t="s">
        <v>15922</v>
      </c>
      <c r="FV1576" s="1" t="s">
        <v>200</v>
      </c>
      <c r="FW1576" s="1" t="s">
        <v>654</v>
      </c>
      <c r="FZ1576" s="1" t="s">
        <v>229</v>
      </c>
      <c r="GA1576" s="1" t="s">
        <v>291</v>
      </c>
      <c r="GB1576" s="2">
        <v>42146.0</v>
      </c>
      <c r="GC1576" s="1" t="s">
        <v>15923</v>
      </c>
    </row>
    <row r="1577">
      <c r="A1577" s="1">
        <v>300000.0</v>
      </c>
      <c r="B1577" s="1" t="s">
        <v>185</v>
      </c>
      <c r="C1577" s="1" t="str">
        <f>"08886983"</f>
        <v>08886983</v>
      </c>
      <c r="D1577" s="1" t="s">
        <v>186</v>
      </c>
      <c r="F1577" s="1" t="str">
        <f>"118"</f>
        <v>118</v>
      </c>
      <c r="G1577" s="2">
        <v>42104.0</v>
      </c>
      <c r="H1577" s="1">
        <v>315000.0</v>
      </c>
      <c r="I1577" s="1">
        <v>21.0</v>
      </c>
      <c r="J1577" s="1">
        <v>315000.0</v>
      </c>
      <c r="K1577" s="2">
        <v>42123.0</v>
      </c>
      <c r="L1577" s="1">
        <v>21.0</v>
      </c>
      <c r="M1577" s="2">
        <v>42123.0</v>
      </c>
      <c r="N1577" s="1" t="s">
        <v>249</v>
      </c>
      <c r="O1577" s="2">
        <v>42135.0</v>
      </c>
      <c r="P1577" s="1">
        <v>252282.0</v>
      </c>
      <c r="Q1577" s="1">
        <v>25981.0</v>
      </c>
      <c r="S1577" s="1">
        <v>1311.0</v>
      </c>
      <c r="T1577" s="1" t="s">
        <v>15924</v>
      </c>
      <c r="V1577" s="1" t="s">
        <v>1086</v>
      </c>
      <c r="W1577" s="1">
        <v>60118.0</v>
      </c>
      <c r="Y1577" s="1" t="s">
        <v>15925</v>
      </c>
      <c r="Z1577" s="1">
        <v>1997.0</v>
      </c>
      <c r="AA1577" s="1" t="s">
        <v>200</v>
      </c>
      <c r="AB1577" s="1" t="s">
        <v>467</v>
      </c>
      <c r="AC1577" s="1" t="s">
        <v>15926</v>
      </c>
      <c r="AD1577" s="1" t="s">
        <v>3394</v>
      </c>
      <c r="AE1577" s="1" t="s">
        <v>325</v>
      </c>
      <c r="AF1577" s="1" t="s">
        <v>810</v>
      </c>
      <c r="AG1577" s="1" t="s">
        <v>15927</v>
      </c>
      <c r="AH1577" s="1" t="s">
        <v>15928</v>
      </c>
      <c r="AI1577" s="1">
        <v>0.3859</v>
      </c>
      <c r="AK1577" s="1">
        <v>10.0</v>
      </c>
      <c r="AL1577" s="1">
        <v>4.0</v>
      </c>
      <c r="AM1577" s="1">
        <v>3.0</v>
      </c>
      <c r="AN1577" s="1">
        <v>1.0</v>
      </c>
      <c r="AO1577" s="1" t="s">
        <v>198</v>
      </c>
      <c r="AP1577" s="1">
        <v>1.0</v>
      </c>
      <c r="AQ1577" s="1" t="s">
        <v>198</v>
      </c>
      <c r="AR1577" s="1" t="s">
        <v>192</v>
      </c>
      <c r="AS1577" s="1" t="s">
        <v>199</v>
      </c>
      <c r="AT1577" s="1">
        <v>2.0</v>
      </c>
      <c r="AV1577" s="1" t="s">
        <v>200</v>
      </c>
      <c r="AW1577" s="1">
        <v>9304.0</v>
      </c>
      <c r="AX1577" s="1">
        <v>2013.0</v>
      </c>
      <c r="AY1577" s="1" t="s">
        <v>387</v>
      </c>
      <c r="AZ1577" s="1" t="s">
        <v>200</v>
      </c>
      <c r="BA1577" s="1" t="str">
        <f>"0327304033"</f>
        <v>0327304033</v>
      </c>
      <c r="BB1577" s="1" t="s">
        <v>200</v>
      </c>
      <c r="BC1577" s="1">
        <v>2598.0</v>
      </c>
      <c r="BD1577" s="1">
        <v>300000.0</v>
      </c>
      <c r="BE1577" s="2">
        <v>42103.0</v>
      </c>
      <c r="BF1577" s="2" t="s">
        <v>15929</v>
      </c>
      <c r="BG1577" s="1" t="s">
        <v>1092</v>
      </c>
      <c r="BH1577" s="1">
        <v>250.0</v>
      </c>
      <c r="BI1577" s="1" t="s">
        <v>1093</v>
      </c>
      <c r="BJ1577" s="1" t="s">
        <v>1094</v>
      </c>
      <c r="BK1577" s="1" t="s">
        <v>580</v>
      </c>
      <c r="BL1577" s="1" t="str">
        <f t="shared" ref="BL1577:BM1577" si="1032">""</f>
        <v/>
      </c>
      <c r="BM1577" s="1" t="str">
        <f t="shared" si="1032"/>
        <v/>
      </c>
      <c r="BQ1577" s="1">
        <v>300.0</v>
      </c>
      <c r="BR1577" s="1">
        <v>300.0</v>
      </c>
      <c r="BS1577" s="1">
        <v>300.0</v>
      </c>
      <c r="BU1577" s="1" t="s">
        <v>433</v>
      </c>
      <c r="BV1577" s="1" t="s">
        <v>206</v>
      </c>
      <c r="BW1577" s="1" t="s">
        <v>207</v>
      </c>
      <c r="BX1577" s="1" t="s">
        <v>431</v>
      </c>
      <c r="BY1577" s="1" t="s">
        <v>214</v>
      </c>
      <c r="BZ1577" s="1" t="s">
        <v>209</v>
      </c>
      <c r="CA1577" s="1" t="s">
        <v>207</v>
      </c>
      <c r="CC1577" s="1" t="s">
        <v>758</v>
      </c>
      <c r="CD1577" s="1" t="s">
        <v>206</v>
      </c>
      <c r="CE1577" s="1" t="s">
        <v>207</v>
      </c>
      <c r="CF1577" s="1" t="s">
        <v>431</v>
      </c>
      <c r="CG1577" s="1" t="s">
        <v>495</v>
      </c>
      <c r="CH1577" s="1" t="s">
        <v>209</v>
      </c>
      <c r="CI1577" s="1" t="s">
        <v>210</v>
      </c>
      <c r="CJ1577" s="1" t="s">
        <v>431</v>
      </c>
      <c r="CK1577" s="1" t="s">
        <v>331</v>
      </c>
      <c r="CL1577" s="1" t="s">
        <v>209</v>
      </c>
      <c r="CM1577" s="1" t="s">
        <v>210</v>
      </c>
      <c r="CN1577" s="1" t="s">
        <v>431</v>
      </c>
      <c r="CO1577" s="1" t="s">
        <v>212</v>
      </c>
      <c r="CP1577" s="1" t="s">
        <v>209</v>
      </c>
      <c r="CQ1577" s="1" t="s">
        <v>210</v>
      </c>
      <c r="CR1577" s="1" t="s">
        <v>431</v>
      </c>
      <c r="CS1577" s="1" t="s">
        <v>1229</v>
      </c>
      <c r="CT1577" s="1" t="s">
        <v>206</v>
      </c>
      <c r="CU1577" s="1" t="s">
        <v>207</v>
      </c>
      <c r="CW1577" s="1" t="s">
        <v>15930</v>
      </c>
      <c r="CX1577" s="1" t="s">
        <v>206</v>
      </c>
      <c r="CY1577" s="1" t="s">
        <v>207</v>
      </c>
      <c r="CZ1577" s="1" t="s">
        <v>1549</v>
      </c>
      <c r="DA1577" s="1" t="s">
        <v>200</v>
      </c>
      <c r="DC1577" s="1" t="s">
        <v>678</v>
      </c>
      <c r="DD1577" s="1" t="s">
        <v>436</v>
      </c>
      <c r="DE1577" s="1" t="s">
        <v>273</v>
      </c>
      <c r="DF1577" s="1" t="s">
        <v>219</v>
      </c>
      <c r="DH1577" s="1" t="s">
        <v>220</v>
      </c>
      <c r="DI1577" s="1" t="s">
        <v>519</v>
      </c>
      <c r="DJ1577" s="1" t="s">
        <v>222</v>
      </c>
      <c r="DL1577" s="1" t="s">
        <v>224</v>
      </c>
      <c r="DM1577" s="1" t="s">
        <v>229</v>
      </c>
      <c r="DN1577" s="1" t="s">
        <v>548</v>
      </c>
      <c r="DP1577" s="1" t="s">
        <v>340</v>
      </c>
      <c r="DQ1577" s="1" t="s">
        <v>441</v>
      </c>
      <c r="DR1577" s="1" t="s">
        <v>588</v>
      </c>
      <c r="DU1577" s="1" t="s">
        <v>1840</v>
      </c>
      <c r="DV1577" s="1" t="s">
        <v>15931</v>
      </c>
      <c r="DW1577" s="1" t="s">
        <v>233</v>
      </c>
      <c r="DX1577" s="1" t="s">
        <v>234</v>
      </c>
      <c r="DY1577" s="1" t="s">
        <v>490</v>
      </c>
      <c r="DZ1577" s="1" t="s">
        <v>310</v>
      </c>
      <c r="EA1577" s="1" t="s">
        <v>447</v>
      </c>
      <c r="EB1577" s="1" t="s">
        <v>684</v>
      </c>
      <c r="EC1577" s="1" t="s">
        <v>237</v>
      </c>
      <c r="ED1577" s="1" t="s">
        <v>407</v>
      </c>
      <c r="EG1577" s="1" t="s">
        <v>556</v>
      </c>
      <c r="EH1577" s="1" t="s">
        <v>450</v>
      </c>
      <c r="EL1577" s="1" t="s">
        <v>1229</v>
      </c>
      <c r="EM1577" s="1" t="s">
        <v>206</v>
      </c>
      <c r="EN1577" s="1" t="s">
        <v>207</v>
      </c>
      <c r="EP1577" s="1" t="s">
        <v>15932</v>
      </c>
      <c r="EQ1577" s="1" t="s">
        <v>42</v>
      </c>
      <c r="ER1577" s="1" t="s">
        <v>210</v>
      </c>
      <c r="ES1577" s="1" t="s">
        <v>431</v>
      </c>
      <c r="EU1577" s="1" t="s">
        <v>238</v>
      </c>
      <c r="EY1577" s="1" t="s">
        <v>238</v>
      </c>
      <c r="FC1577" s="1" t="s">
        <v>238</v>
      </c>
      <c r="FF1577" s="1" t="s">
        <v>239</v>
      </c>
      <c r="FG1577" s="1" t="s">
        <v>192</v>
      </c>
      <c r="FH1577" s="1" t="s">
        <v>192</v>
      </c>
      <c r="FJ1577" s="1" t="s">
        <v>6734</v>
      </c>
      <c r="FK1577" s="1" t="s">
        <v>229</v>
      </c>
      <c r="FL1577" s="1" t="s">
        <v>5530</v>
      </c>
      <c r="FM1577" s="1">
        <v>8098.0</v>
      </c>
      <c r="FN1577" s="1" t="s">
        <v>7682</v>
      </c>
      <c r="FO1577" s="1" t="s">
        <v>15933</v>
      </c>
      <c r="FP1577" s="1">
        <v>81017.0</v>
      </c>
      <c r="FQ1577" s="1" t="s">
        <v>15934</v>
      </c>
      <c r="FU1577" s="1" t="s">
        <v>15935</v>
      </c>
      <c r="FV1577" s="1" t="s">
        <v>200</v>
      </c>
      <c r="FW1577" s="1" t="s">
        <v>530</v>
      </c>
      <c r="FZ1577" s="1" t="s">
        <v>229</v>
      </c>
      <c r="GA1577" s="1" t="s">
        <v>291</v>
      </c>
      <c r="GB1577" s="2">
        <v>42135.0</v>
      </c>
    </row>
    <row r="1578">
      <c r="A1578" s="1">
        <v>175000.0</v>
      </c>
      <c r="B1578" s="1" t="s">
        <v>185</v>
      </c>
      <c r="C1578" s="1" t="str">
        <f>"08886797"</f>
        <v>08886797</v>
      </c>
      <c r="D1578" s="1" t="s">
        <v>186</v>
      </c>
      <c r="F1578" s="1" t="str">
        <f>"8074"</f>
        <v>8074</v>
      </c>
      <c r="G1578" s="2">
        <v>42104.0</v>
      </c>
      <c r="H1578" s="1">
        <v>175000.0</v>
      </c>
      <c r="I1578" s="1">
        <v>2.0</v>
      </c>
      <c r="J1578" s="1">
        <v>175000.0</v>
      </c>
      <c r="K1578" s="2">
        <v>42105.0</v>
      </c>
      <c r="L1578" s="1">
        <v>2.0</v>
      </c>
      <c r="M1578" s="2">
        <v>42105.0</v>
      </c>
      <c r="N1578" s="1" t="s">
        <v>187</v>
      </c>
      <c r="O1578" s="2">
        <v>42136.0</v>
      </c>
      <c r="P1578" s="1">
        <v>127154.0</v>
      </c>
      <c r="Q1578" s="1">
        <v>12762.0</v>
      </c>
      <c r="S1578" s="1">
        <v>10521.0</v>
      </c>
      <c r="T1578" s="1" t="s">
        <v>15936</v>
      </c>
      <c r="U1578" s="1" t="s">
        <v>189</v>
      </c>
      <c r="V1578" s="1" t="s">
        <v>190</v>
      </c>
      <c r="W1578" s="1">
        <v>60655.0</v>
      </c>
      <c r="Y1578" s="1" t="s">
        <v>15937</v>
      </c>
      <c r="Z1578" s="1" t="s">
        <v>296</v>
      </c>
      <c r="AA1578" s="1" t="s">
        <v>192</v>
      </c>
      <c r="AB1578" s="1" t="s">
        <v>193</v>
      </c>
      <c r="AD1578" s="1" t="s">
        <v>194</v>
      </c>
      <c r="AE1578" s="1" t="s">
        <v>195</v>
      </c>
      <c r="AF1578" s="1" t="s">
        <v>659</v>
      </c>
      <c r="AH1578" s="1" t="s">
        <v>15938</v>
      </c>
      <c r="AK1578" s="1">
        <v>6.0</v>
      </c>
      <c r="AL1578" s="1">
        <v>4.0</v>
      </c>
      <c r="AM1578" s="1">
        <v>1.0</v>
      </c>
      <c r="AN1578" s="1">
        <v>0.0</v>
      </c>
      <c r="AO1578" s="1" t="s">
        <v>229</v>
      </c>
      <c r="AP1578" s="1">
        <v>0.0</v>
      </c>
      <c r="AQ1578" s="1" t="s">
        <v>198</v>
      </c>
      <c r="AR1578" s="1" t="s">
        <v>200</v>
      </c>
      <c r="AS1578" s="1" t="s">
        <v>199</v>
      </c>
      <c r="AT1578" s="1">
        <v>2.5</v>
      </c>
      <c r="AV1578" s="1" t="s">
        <v>200</v>
      </c>
      <c r="AW1578" s="1">
        <v>800.0</v>
      </c>
      <c r="AX1578" s="1">
        <v>2014.0</v>
      </c>
      <c r="AY1578" s="1" t="s">
        <v>14152</v>
      </c>
      <c r="AZ1578" s="1" t="s">
        <v>200</v>
      </c>
      <c r="BA1578" s="1" t="str">
        <f>"24142151910000"</f>
        <v>24142151910000</v>
      </c>
      <c r="BC1578" s="1">
        <v>1200.0</v>
      </c>
      <c r="BD1578" s="1">
        <v>175000.0</v>
      </c>
      <c r="BE1578" s="2">
        <v>42104.0</v>
      </c>
      <c r="BF1578" s="1" t="s">
        <v>15939</v>
      </c>
      <c r="BH1578" s="1">
        <v>0.0</v>
      </c>
      <c r="BK1578" s="1" t="s">
        <v>204</v>
      </c>
      <c r="BL1578" s="1" t="str">
        <f t="shared" ref="BL1578:BM1578" si="1033">"0"</f>
        <v>0</v>
      </c>
      <c r="BM1578" s="1" t="str">
        <f t="shared" si="1033"/>
        <v>0</v>
      </c>
      <c r="BN1578" s="1">
        <v>14.0</v>
      </c>
      <c r="BO1578" s="1">
        <v>12.0</v>
      </c>
      <c r="BQ1578" s="1">
        <v>299.0</v>
      </c>
      <c r="BR1578" s="1">
        <v>299.0</v>
      </c>
      <c r="BS1578" s="1">
        <v>299.0</v>
      </c>
      <c r="BU1578" s="1" t="s">
        <v>1892</v>
      </c>
      <c r="BV1578" s="1" t="s">
        <v>206</v>
      </c>
      <c r="BW1578" s="1" t="s">
        <v>210</v>
      </c>
      <c r="BY1578" s="1" t="s">
        <v>212</v>
      </c>
      <c r="BZ1578" s="1" t="s">
        <v>209</v>
      </c>
      <c r="CA1578" s="1" t="s">
        <v>210</v>
      </c>
      <c r="CB1578" s="1" t="s">
        <v>229</v>
      </c>
      <c r="CD1578" s="1" t="s">
        <v>204</v>
      </c>
      <c r="CG1578" s="1" t="s">
        <v>699</v>
      </c>
      <c r="CH1578" s="1" t="s">
        <v>209</v>
      </c>
      <c r="CI1578" s="1" t="s">
        <v>210</v>
      </c>
      <c r="CJ1578" s="1" t="s">
        <v>229</v>
      </c>
      <c r="CK1578" s="1" t="s">
        <v>303</v>
      </c>
      <c r="CL1578" s="1" t="s">
        <v>209</v>
      </c>
      <c r="CM1578" s="1" t="s">
        <v>210</v>
      </c>
      <c r="CO1578" s="1" t="s">
        <v>1672</v>
      </c>
      <c r="CP1578" s="1" t="s">
        <v>206</v>
      </c>
      <c r="CS1578" s="1" t="s">
        <v>212</v>
      </c>
      <c r="CT1578" s="1" t="s">
        <v>206</v>
      </c>
      <c r="CU1578" s="1" t="s">
        <v>617</v>
      </c>
      <c r="CX1578" s="1" t="s">
        <v>204</v>
      </c>
      <c r="DA1578" s="1" t="s">
        <v>200</v>
      </c>
      <c r="DC1578" s="1" t="s">
        <v>545</v>
      </c>
      <c r="DD1578" s="1" t="s">
        <v>518</v>
      </c>
      <c r="DE1578" s="1" t="s">
        <v>229</v>
      </c>
      <c r="DF1578" s="1" t="s">
        <v>219</v>
      </c>
      <c r="DH1578" s="1" t="s">
        <v>365</v>
      </c>
      <c r="DJ1578" s="1" t="s">
        <v>222</v>
      </c>
      <c r="DL1578" s="1" t="s">
        <v>15940</v>
      </c>
      <c r="DM1578" s="1" t="s">
        <v>229</v>
      </c>
      <c r="DQ1578" s="1" t="s">
        <v>794</v>
      </c>
      <c r="DR1578" s="1" t="s">
        <v>229</v>
      </c>
      <c r="DV1578" s="1" t="s">
        <v>374</v>
      </c>
      <c r="DW1578" s="1" t="s">
        <v>370</v>
      </c>
      <c r="DX1578" s="1" t="s">
        <v>234</v>
      </c>
      <c r="DZ1578" s="1" t="s">
        <v>343</v>
      </c>
      <c r="EC1578" s="1" t="s">
        <v>15941</v>
      </c>
      <c r="EG1578" s="1" t="s">
        <v>374</v>
      </c>
      <c r="EL1578" s="1" t="s">
        <v>15942</v>
      </c>
      <c r="EM1578" s="1" t="s">
        <v>206</v>
      </c>
      <c r="EQ1578" s="1" t="s">
        <v>238</v>
      </c>
      <c r="EU1578" s="1" t="s">
        <v>238</v>
      </c>
      <c r="EY1578" s="1" t="s">
        <v>238</v>
      </c>
      <c r="FC1578" s="1" t="s">
        <v>238</v>
      </c>
      <c r="FF1578" s="1" t="s">
        <v>239</v>
      </c>
      <c r="FG1578" s="1" t="s">
        <v>192</v>
      </c>
      <c r="FH1578" s="1" t="s">
        <v>192</v>
      </c>
      <c r="FJ1578" s="1" t="s">
        <v>1280</v>
      </c>
      <c r="FK1578" s="1" t="s">
        <v>229</v>
      </c>
      <c r="FL1578" s="1" t="s">
        <v>15943</v>
      </c>
      <c r="FM1578" s="1">
        <v>26131.0</v>
      </c>
      <c r="FN1578" s="1" t="s">
        <v>15944</v>
      </c>
      <c r="FO1578" s="1" t="s">
        <v>15945</v>
      </c>
      <c r="FP1578" s="1">
        <v>602756.0</v>
      </c>
      <c r="FQ1578" s="1" t="s">
        <v>15946</v>
      </c>
      <c r="FU1578" s="1" t="s">
        <v>1751</v>
      </c>
      <c r="FV1578" s="1" t="s">
        <v>200</v>
      </c>
      <c r="FW1578" s="1" t="s">
        <v>290</v>
      </c>
      <c r="FX1578" s="1" t="s">
        <v>655</v>
      </c>
      <c r="FZ1578" s="1" t="s">
        <v>229</v>
      </c>
      <c r="GA1578" s="1" t="s">
        <v>291</v>
      </c>
      <c r="GB1578" s="2">
        <v>42136.0</v>
      </c>
      <c r="GC1578" s="1" t="s">
        <v>15947</v>
      </c>
    </row>
    <row r="1579">
      <c r="A1579" s="1">
        <v>245700.0</v>
      </c>
      <c r="B1579" s="1" t="s">
        <v>185</v>
      </c>
      <c r="C1579" s="1" t="str">
        <f>"08884382"</f>
        <v>08884382</v>
      </c>
      <c r="D1579" s="1" t="s">
        <v>186</v>
      </c>
      <c r="F1579" s="1" t="str">
        <f>"8015"</f>
        <v>8015</v>
      </c>
      <c r="G1579" s="2">
        <v>42102.0</v>
      </c>
      <c r="H1579" s="1">
        <v>245700.0</v>
      </c>
      <c r="I1579" s="1">
        <v>5.0</v>
      </c>
      <c r="J1579" s="1">
        <v>245700.0</v>
      </c>
      <c r="K1579" s="2">
        <v>42106.0</v>
      </c>
      <c r="L1579" s="1">
        <v>5.0</v>
      </c>
      <c r="M1579" s="2">
        <v>42106.0</v>
      </c>
      <c r="N1579" s="1" t="s">
        <v>187</v>
      </c>
      <c r="O1579" s="2">
        <v>42139.0</v>
      </c>
      <c r="P1579" s="1">
        <v>114180.0</v>
      </c>
      <c r="Q1579" s="1">
        <v>84025.0</v>
      </c>
      <c r="S1579" s="1">
        <v>6037.0</v>
      </c>
      <c r="T1579" s="1" t="s">
        <v>15948</v>
      </c>
      <c r="U1579" s="1" t="s">
        <v>320</v>
      </c>
      <c r="V1579" s="1" t="s">
        <v>190</v>
      </c>
      <c r="W1579" s="1">
        <v>60630.0</v>
      </c>
      <c r="Y1579" s="1" t="s">
        <v>15949</v>
      </c>
      <c r="Z1579" s="1" t="s">
        <v>296</v>
      </c>
      <c r="AA1579" s="1" t="s">
        <v>192</v>
      </c>
      <c r="AB1579" s="1" t="s">
        <v>193</v>
      </c>
      <c r="AD1579" s="1" t="s">
        <v>194</v>
      </c>
      <c r="AE1579" s="1" t="s">
        <v>195</v>
      </c>
      <c r="AF1579" s="1" t="s">
        <v>196</v>
      </c>
      <c r="AH1579" s="1" t="s">
        <v>15950</v>
      </c>
      <c r="AI1579" s="1">
        <v>0.0</v>
      </c>
      <c r="AK1579" s="1">
        <v>9.0</v>
      </c>
      <c r="AL1579" s="1">
        <v>4.0</v>
      </c>
      <c r="AM1579" s="1">
        <v>2.0</v>
      </c>
      <c r="AN1579" s="1">
        <v>0.0</v>
      </c>
      <c r="AO1579" s="1" t="s">
        <v>229</v>
      </c>
      <c r="AQ1579" s="1" t="s">
        <v>198</v>
      </c>
      <c r="AR1579" s="1" t="s">
        <v>200</v>
      </c>
      <c r="AS1579" s="1" t="s">
        <v>229</v>
      </c>
      <c r="AV1579" s="1" t="s">
        <v>200</v>
      </c>
      <c r="AW1579" s="1">
        <v>3135.07</v>
      </c>
      <c r="AX1579" s="1">
        <v>2013.0</v>
      </c>
      <c r="AY1579" s="1" t="s">
        <v>387</v>
      </c>
      <c r="AZ1579" s="1" t="s">
        <v>200</v>
      </c>
      <c r="BA1579" s="1" t="str">
        <f>"13171072080000"</f>
        <v>13171072080000</v>
      </c>
      <c r="BB1579" s="1" t="s">
        <v>200</v>
      </c>
      <c r="BC1579" s="1">
        <v>1500.0</v>
      </c>
      <c r="BD1579" s="1">
        <v>245700.0</v>
      </c>
      <c r="BE1579" s="2">
        <v>42102.0</v>
      </c>
      <c r="BF1579" s="2" t="s">
        <v>15951</v>
      </c>
      <c r="BH1579" s="1">
        <v>0.0</v>
      </c>
      <c r="BK1579" s="1" t="s">
        <v>204</v>
      </c>
      <c r="BL1579" s="1" t="str">
        <f>"4700"</f>
        <v>4700</v>
      </c>
      <c r="BM1579" s="1" t="str">
        <f>"0"</f>
        <v>0</v>
      </c>
      <c r="BN1579" s="1">
        <v>6037.0</v>
      </c>
      <c r="BO1579" s="1">
        <v>0.0</v>
      </c>
      <c r="BQ1579" s="1">
        <v>299.0</v>
      </c>
      <c r="BR1579" s="1">
        <v>299.0</v>
      </c>
      <c r="BS1579" s="1">
        <v>299.0</v>
      </c>
      <c r="BU1579" s="1" t="s">
        <v>329</v>
      </c>
      <c r="BV1579" s="1" t="s">
        <v>206</v>
      </c>
      <c r="BW1579" s="1" t="s">
        <v>207</v>
      </c>
      <c r="BY1579" s="1" t="s">
        <v>816</v>
      </c>
      <c r="BZ1579" s="1" t="s">
        <v>206</v>
      </c>
      <c r="CA1579" s="1" t="s">
        <v>207</v>
      </c>
      <c r="CC1579" s="1" t="s">
        <v>815</v>
      </c>
      <c r="CD1579" s="1" t="s">
        <v>206</v>
      </c>
      <c r="CE1579" s="1" t="s">
        <v>207</v>
      </c>
      <c r="CG1579" s="1" t="s">
        <v>1119</v>
      </c>
      <c r="CH1579" s="1" t="s">
        <v>206</v>
      </c>
      <c r="CI1579" s="1" t="s">
        <v>207</v>
      </c>
      <c r="CK1579" s="1" t="s">
        <v>2047</v>
      </c>
      <c r="CL1579" s="1" t="s">
        <v>209</v>
      </c>
      <c r="CM1579" s="1" t="s">
        <v>207</v>
      </c>
      <c r="CO1579" s="1" t="s">
        <v>663</v>
      </c>
      <c r="CP1579" s="1" t="s">
        <v>209</v>
      </c>
      <c r="CQ1579" s="1" t="s">
        <v>207</v>
      </c>
      <c r="CS1579" s="1" t="s">
        <v>584</v>
      </c>
      <c r="CT1579" s="1" t="s">
        <v>206</v>
      </c>
      <c r="CU1579" s="1" t="s">
        <v>207</v>
      </c>
      <c r="CX1579" s="1" t="s">
        <v>204</v>
      </c>
      <c r="DA1579" s="1" t="s">
        <v>200</v>
      </c>
      <c r="DC1579" s="1" t="s">
        <v>545</v>
      </c>
      <c r="DE1579" s="1" t="s">
        <v>273</v>
      </c>
      <c r="DF1579" s="1" t="s">
        <v>905</v>
      </c>
      <c r="DG1579" s="1" t="s">
        <v>1657</v>
      </c>
      <c r="DH1579" s="1" t="s">
        <v>365</v>
      </c>
      <c r="DI1579" s="1" t="s">
        <v>1401</v>
      </c>
      <c r="DJ1579" s="1" t="s">
        <v>222</v>
      </c>
      <c r="DL1579" s="1" t="s">
        <v>223</v>
      </c>
      <c r="DM1579" s="1" t="s">
        <v>229</v>
      </c>
      <c r="DN1579" s="1" t="s">
        <v>367</v>
      </c>
      <c r="DO1579" s="1" t="s">
        <v>549</v>
      </c>
      <c r="DP1579" s="1" t="s">
        <v>276</v>
      </c>
      <c r="DQ1579" s="1" t="s">
        <v>441</v>
      </c>
      <c r="DR1579" s="1" t="s">
        <v>229</v>
      </c>
      <c r="DS1579" s="1" t="s">
        <v>401</v>
      </c>
      <c r="DV1579" s="1" t="s">
        <v>15952</v>
      </c>
      <c r="DW1579" s="1" t="s">
        <v>667</v>
      </c>
      <c r="DX1579" s="1" t="s">
        <v>234</v>
      </c>
      <c r="DY1579" s="1" t="s">
        <v>553</v>
      </c>
      <c r="EC1579" s="1" t="s">
        <v>237</v>
      </c>
      <c r="EE1579" s="1" t="s">
        <v>1077</v>
      </c>
      <c r="EG1579" s="1" t="s">
        <v>450</v>
      </c>
      <c r="EH1579" s="1" t="s">
        <v>373</v>
      </c>
      <c r="EI1579" s="1" t="s">
        <v>1270</v>
      </c>
      <c r="EJ1579" s="1" t="s">
        <v>1103</v>
      </c>
      <c r="EK1579" s="1" t="s">
        <v>409</v>
      </c>
      <c r="EL1579" s="1" t="s">
        <v>497</v>
      </c>
      <c r="EM1579" s="1" t="s">
        <v>209</v>
      </c>
      <c r="EN1579" s="1" t="s">
        <v>207</v>
      </c>
      <c r="EP1579" s="1" t="s">
        <v>768</v>
      </c>
      <c r="EQ1579" s="1" t="s">
        <v>206</v>
      </c>
      <c r="ET1579" s="1" t="s">
        <v>263</v>
      </c>
      <c r="EU1579" s="1" t="s">
        <v>42</v>
      </c>
      <c r="EV1579" s="1" t="s">
        <v>588</v>
      </c>
      <c r="EX1579" s="1" t="s">
        <v>363</v>
      </c>
      <c r="EY1579" s="1" t="s">
        <v>42</v>
      </c>
      <c r="EZ1579" s="1" t="s">
        <v>588</v>
      </c>
      <c r="FB1579" s="1" t="s">
        <v>6414</v>
      </c>
      <c r="FC1579" s="1" t="s">
        <v>209</v>
      </c>
      <c r="FD1579" s="1" t="s">
        <v>210</v>
      </c>
      <c r="FF1579" s="1" t="s">
        <v>239</v>
      </c>
      <c r="FG1579" s="1" t="s">
        <v>192</v>
      </c>
      <c r="FH1579" s="1" t="s">
        <v>192</v>
      </c>
      <c r="FJ1579" s="1" t="s">
        <v>1450</v>
      </c>
      <c r="FK1579" s="1" t="s">
        <v>229</v>
      </c>
      <c r="FL1579" s="1" t="s">
        <v>5108</v>
      </c>
      <c r="FM1579" s="1">
        <v>14316.0</v>
      </c>
      <c r="FN1579" s="1" t="s">
        <v>5109</v>
      </c>
      <c r="FO1579" s="1" t="s">
        <v>13601</v>
      </c>
      <c r="FP1579" s="1">
        <v>139951.0</v>
      </c>
      <c r="FQ1579" s="1" t="s">
        <v>13602</v>
      </c>
      <c r="FU1579" s="1" t="s">
        <v>15953</v>
      </c>
      <c r="FV1579" s="1" t="s">
        <v>200</v>
      </c>
      <c r="FW1579" s="1" t="s">
        <v>1511</v>
      </c>
      <c r="FX1579" s="1" t="s">
        <v>246</v>
      </c>
      <c r="FZ1579" s="1" t="s">
        <v>229</v>
      </c>
      <c r="GA1579" s="1" t="s">
        <v>291</v>
      </c>
      <c r="GB1579" s="2">
        <v>42139.0</v>
      </c>
      <c r="GC1579" s="1" t="s">
        <v>15954</v>
      </c>
    </row>
    <row r="1580">
      <c r="A1580" s="1">
        <v>143000.0</v>
      </c>
      <c r="B1580" s="1" t="s">
        <v>185</v>
      </c>
      <c r="C1580" s="1" t="str">
        <f>"08882873"</f>
        <v>08882873</v>
      </c>
      <c r="D1580" s="1" t="s">
        <v>186</v>
      </c>
      <c r="F1580" s="1" t="str">
        <f>"538"</f>
        <v>538</v>
      </c>
      <c r="G1580" s="2">
        <v>42101.0</v>
      </c>
      <c r="H1580" s="1">
        <v>138500.0</v>
      </c>
      <c r="I1580" s="1">
        <v>4.0</v>
      </c>
      <c r="J1580" s="1">
        <v>138500.0</v>
      </c>
      <c r="K1580" s="2">
        <v>42103.0</v>
      </c>
      <c r="L1580" s="1">
        <v>4.0</v>
      </c>
      <c r="M1580" s="2">
        <v>42103.0</v>
      </c>
      <c r="N1580" s="1" t="s">
        <v>249</v>
      </c>
      <c r="O1580" s="2">
        <v>42150.0</v>
      </c>
      <c r="P1580" s="1">
        <v>231898.0</v>
      </c>
      <c r="Q1580" s="1">
        <v>23030.0</v>
      </c>
      <c r="S1580" s="1">
        <v>140.0</v>
      </c>
      <c r="T1580" s="1" t="s">
        <v>15955</v>
      </c>
      <c r="V1580" s="1" t="s">
        <v>1340</v>
      </c>
      <c r="W1580" s="1">
        <v>60538.0</v>
      </c>
      <c r="Y1580" s="1" t="s">
        <v>15956</v>
      </c>
      <c r="Z1580" s="1">
        <v>1961.0</v>
      </c>
      <c r="AA1580" s="1" t="s">
        <v>192</v>
      </c>
      <c r="AB1580" s="1" t="s">
        <v>193</v>
      </c>
      <c r="AC1580" s="1" t="s">
        <v>8312</v>
      </c>
      <c r="AD1580" s="1" t="s">
        <v>1089</v>
      </c>
      <c r="AE1580" s="1" t="s">
        <v>849</v>
      </c>
      <c r="AF1580" s="1" t="s">
        <v>1529</v>
      </c>
      <c r="AG1580" s="1" t="s">
        <v>1132</v>
      </c>
      <c r="AH1580" s="1" t="s">
        <v>15957</v>
      </c>
      <c r="AI1580" s="1">
        <v>0.2553</v>
      </c>
      <c r="AK1580" s="1">
        <v>7.0</v>
      </c>
      <c r="AL1580" s="1">
        <v>4.0</v>
      </c>
      <c r="AM1580" s="1">
        <v>1.0</v>
      </c>
      <c r="AN1580" s="1">
        <v>1.0</v>
      </c>
      <c r="AO1580" s="1" t="s">
        <v>229</v>
      </c>
      <c r="AP1580" s="1">
        <v>0.0</v>
      </c>
      <c r="AQ1580" s="1" t="s">
        <v>198</v>
      </c>
      <c r="AR1580" s="1" t="s">
        <v>192</v>
      </c>
      <c r="AS1580" s="1" t="s">
        <v>199</v>
      </c>
      <c r="AT1580" s="1">
        <v>1.0</v>
      </c>
      <c r="AV1580" s="1" t="s">
        <v>200</v>
      </c>
      <c r="AW1580" s="1">
        <v>2888.94</v>
      </c>
      <c r="AX1580" s="1">
        <v>2013.0</v>
      </c>
      <c r="AY1580" s="1" t="s">
        <v>229</v>
      </c>
      <c r="AZ1580" s="1" t="s">
        <v>200</v>
      </c>
      <c r="BA1580" s="1" t="str">
        <f>"0305404020"</f>
        <v>0305404020</v>
      </c>
      <c r="BB1580" s="1" t="s">
        <v>200</v>
      </c>
      <c r="BC1580" s="1">
        <v>1536.0</v>
      </c>
      <c r="BD1580" s="1">
        <v>143000.0</v>
      </c>
      <c r="BE1580" s="2">
        <v>42100.0</v>
      </c>
      <c r="BF1580" s="2" t="s">
        <v>15958</v>
      </c>
      <c r="BG1580" s="1" t="s">
        <v>1347</v>
      </c>
      <c r="BH1580" s="1">
        <v>0.0</v>
      </c>
      <c r="BI1580" s="1" t="s">
        <v>1348</v>
      </c>
      <c r="BJ1580" s="1" t="s">
        <v>1349</v>
      </c>
      <c r="BK1580" s="1" t="s">
        <v>204</v>
      </c>
      <c r="BL1580" s="1" t="str">
        <f t="shared" ref="BL1580:BM1580" si="1034">"0"</f>
        <v>0</v>
      </c>
      <c r="BM1580" s="1" t="str">
        <f t="shared" si="1034"/>
        <v>0</v>
      </c>
      <c r="BN1580" s="1">
        <v>37.0</v>
      </c>
      <c r="BO1580" s="1">
        <v>10.0</v>
      </c>
      <c r="BQ1580" s="1">
        <v>308.0</v>
      </c>
      <c r="BR1580" s="1">
        <v>308.0</v>
      </c>
      <c r="BS1580" s="1">
        <v>308.0</v>
      </c>
      <c r="BU1580" s="1" t="s">
        <v>361</v>
      </c>
      <c r="BV1580" s="1" t="s">
        <v>206</v>
      </c>
      <c r="BW1580" s="1" t="s">
        <v>210</v>
      </c>
      <c r="BY1580" s="1" t="s">
        <v>264</v>
      </c>
      <c r="BZ1580" s="1" t="s">
        <v>206</v>
      </c>
      <c r="CA1580" s="1" t="s">
        <v>210</v>
      </c>
      <c r="CD1580" s="1" t="s">
        <v>204</v>
      </c>
      <c r="CG1580" s="1" t="s">
        <v>264</v>
      </c>
      <c r="CH1580" s="1" t="s">
        <v>206</v>
      </c>
      <c r="CI1580" s="1" t="s">
        <v>210</v>
      </c>
      <c r="CK1580" s="1" t="s">
        <v>264</v>
      </c>
      <c r="CL1580" s="1" t="s">
        <v>206</v>
      </c>
      <c r="CM1580" s="1" t="s">
        <v>210</v>
      </c>
      <c r="CO1580" s="1" t="s">
        <v>495</v>
      </c>
      <c r="CP1580" s="1" t="s">
        <v>267</v>
      </c>
      <c r="CQ1580" s="1" t="s">
        <v>210</v>
      </c>
      <c r="CS1580" s="1" t="s">
        <v>262</v>
      </c>
      <c r="CT1580" s="1" t="s">
        <v>267</v>
      </c>
      <c r="CU1580" s="1" t="s">
        <v>617</v>
      </c>
      <c r="CW1580" s="1" t="s">
        <v>1117</v>
      </c>
      <c r="CX1580" s="1" t="s">
        <v>267</v>
      </c>
      <c r="CY1580" s="1" t="s">
        <v>210</v>
      </c>
      <c r="DA1580" s="1" t="s">
        <v>200</v>
      </c>
      <c r="DC1580" s="1" t="s">
        <v>271</v>
      </c>
      <c r="DD1580" s="1" t="s">
        <v>2889</v>
      </c>
      <c r="DE1580" s="1" t="s">
        <v>273</v>
      </c>
      <c r="DF1580" s="1" t="s">
        <v>219</v>
      </c>
      <c r="DG1580" s="1" t="s">
        <v>1317</v>
      </c>
      <c r="DH1580" s="1" t="s">
        <v>220</v>
      </c>
      <c r="DI1580" s="1" t="s">
        <v>519</v>
      </c>
      <c r="DJ1580" s="1" t="s">
        <v>222</v>
      </c>
      <c r="DK1580" s="1" t="s">
        <v>223</v>
      </c>
      <c r="DL1580" s="1" t="s">
        <v>1161</v>
      </c>
      <c r="DM1580" s="1" t="s">
        <v>338</v>
      </c>
      <c r="DO1580" s="1" t="s">
        <v>1144</v>
      </c>
      <c r="DP1580" s="1" t="s">
        <v>227</v>
      </c>
      <c r="DQ1580" s="1" t="s">
        <v>441</v>
      </c>
      <c r="DR1580" s="1" t="s">
        <v>229</v>
      </c>
      <c r="DU1580" s="1" t="s">
        <v>487</v>
      </c>
      <c r="DV1580" s="1" t="s">
        <v>232</v>
      </c>
      <c r="DW1580" s="1" t="s">
        <v>667</v>
      </c>
      <c r="DX1580" s="1" t="s">
        <v>1287</v>
      </c>
      <c r="DZ1580" s="1" t="s">
        <v>15959</v>
      </c>
      <c r="EC1580" s="1" t="s">
        <v>311</v>
      </c>
      <c r="ED1580" s="1" t="s">
        <v>407</v>
      </c>
      <c r="EM1580" s="1" t="s">
        <v>238</v>
      </c>
      <c r="EQ1580" s="1" t="s">
        <v>238</v>
      </c>
      <c r="EU1580" s="1" t="s">
        <v>238</v>
      </c>
      <c r="EY1580" s="1" t="s">
        <v>238</v>
      </c>
      <c r="FC1580" s="1" t="s">
        <v>238</v>
      </c>
      <c r="FF1580" s="1" t="s">
        <v>239</v>
      </c>
      <c r="FG1580" s="1" t="s">
        <v>192</v>
      </c>
      <c r="FH1580" s="1" t="s">
        <v>192</v>
      </c>
      <c r="FJ1580" s="1" t="s">
        <v>3062</v>
      </c>
      <c r="FK1580" s="1" t="s">
        <v>229</v>
      </c>
      <c r="FL1580" s="1" t="s">
        <v>1007</v>
      </c>
      <c r="FM1580" s="1">
        <v>23196.0</v>
      </c>
      <c r="FN1580" s="1" t="s">
        <v>3741</v>
      </c>
      <c r="FO1580" s="1" t="s">
        <v>6775</v>
      </c>
      <c r="FP1580" s="1">
        <v>233155.0</v>
      </c>
      <c r="FQ1580" s="1" t="s">
        <v>6776</v>
      </c>
      <c r="FR1580" s="1">
        <v>221629.0</v>
      </c>
      <c r="FS1580" s="1" t="s">
        <v>6777</v>
      </c>
      <c r="FU1580" s="1" t="s">
        <v>15960</v>
      </c>
      <c r="FV1580" s="1" t="s">
        <v>200</v>
      </c>
      <c r="FW1580" s="1" t="s">
        <v>290</v>
      </c>
      <c r="FZ1580" s="1" t="s">
        <v>2993</v>
      </c>
      <c r="GA1580" s="1" t="s">
        <v>291</v>
      </c>
      <c r="GB1580" s="2">
        <v>42150.0</v>
      </c>
      <c r="GC1580" s="1" t="s">
        <v>15961</v>
      </c>
    </row>
    <row r="1581">
      <c r="A1581" s="1">
        <v>134900.0</v>
      </c>
      <c r="B1581" s="1" t="s">
        <v>185</v>
      </c>
      <c r="C1581" s="1" t="str">
        <f>"08887563"</f>
        <v>08887563</v>
      </c>
      <c r="D1581" s="1" t="s">
        <v>186</v>
      </c>
      <c r="F1581" s="1" t="str">
        <f>"115"</f>
        <v>115</v>
      </c>
      <c r="G1581" s="2">
        <v>42104.0</v>
      </c>
      <c r="H1581" s="1">
        <v>134900.0</v>
      </c>
      <c r="I1581" s="1">
        <v>5.0</v>
      </c>
      <c r="J1581" s="1">
        <v>134900.0</v>
      </c>
      <c r="K1581" s="2">
        <v>42108.0</v>
      </c>
      <c r="L1581" s="1">
        <v>5.0</v>
      </c>
      <c r="M1581" s="2">
        <v>42108.0</v>
      </c>
      <c r="N1581" s="1" t="s">
        <v>187</v>
      </c>
      <c r="O1581" s="2">
        <v>42144.0</v>
      </c>
      <c r="P1581" s="1">
        <v>930132.0</v>
      </c>
      <c r="Q1581" s="1">
        <v>93043.0</v>
      </c>
      <c r="S1581" s="1">
        <v>231.0</v>
      </c>
      <c r="T1581" s="1" t="s">
        <v>4147</v>
      </c>
      <c r="U1581" s="1" t="s">
        <v>189</v>
      </c>
      <c r="V1581" s="1" t="s">
        <v>610</v>
      </c>
      <c r="W1581" s="1">
        <v>60115.0</v>
      </c>
      <c r="Y1581" s="1" t="s">
        <v>15962</v>
      </c>
      <c r="Z1581" s="1" t="s">
        <v>296</v>
      </c>
      <c r="AA1581" s="1" t="s">
        <v>192</v>
      </c>
      <c r="AB1581" s="1" t="s">
        <v>193</v>
      </c>
      <c r="AD1581" s="1" t="s">
        <v>612</v>
      </c>
      <c r="AE1581" s="1" t="s">
        <v>613</v>
      </c>
      <c r="AF1581" s="1" t="s">
        <v>612</v>
      </c>
      <c r="AH1581" s="1" t="s">
        <v>15963</v>
      </c>
      <c r="AK1581" s="1">
        <v>8.0</v>
      </c>
      <c r="AL1581" s="1">
        <v>4.0</v>
      </c>
      <c r="AM1581" s="1">
        <v>2.0</v>
      </c>
      <c r="AN1581" s="1">
        <v>0.0</v>
      </c>
      <c r="AO1581" s="1" t="s">
        <v>229</v>
      </c>
      <c r="AQ1581" s="1" t="s">
        <v>198</v>
      </c>
      <c r="AR1581" s="1" t="s">
        <v>192</v>
      </c>
      <c r="AS1581" s="1" t="s">
        <v>199</v>
      </c>
      <c r="AT1581" s="1">
        <v>1.0</v>
      </c>
      <c r="AV1581" s="1" t="s">
        <v>200</v>
      </c>
      <c r="AW1581" s="1">
        <v>4777.86</v>
      </c>
      <c r="AX1581" s="1">
        <v>2014.0</v>
      </c>
      <c r="AY1581" s="1" t="s">
        <v>387</v>
      </c>
      <c r="AZ1581" s="1" t="s">
        <v>200</v>
      </c>
      <c r="BA1581" s="1" t="str">
        <f>"0827201013"</f>
        <v>0827201013</v>
      </c>
      <c r="BC1581" s="1">
        <v>0.0</v>
      </c>
      <c r="BD1581" s="1">
        <v>134900.0</v>
      </c>
      <c r="BE1581" s="2">
        <v>42104.0</v>
      </c>
      <c r="BF1581" s="2" t="s">
        <v>15964</v>
      </c>
      <c r="BH1581" s="1">
        <v>0.0</v>
      </c>
      <c r="BK1581" s="1" t="s">
        <v>204</v>
      </c>
      <c r="BL1581" s="1" t="str">
        <f t="shared" ref="BL1581:BM1581" si="1035">"0"</f>
        <v>0</v>
      </c>
      <c r="BM1581" s="1" t="str">
        <f t="shared" si="1035"/>
        <v>0</v>
      </c>
      <c r="BN1581" s="1">
        <v>0.0</v>
      </c>
      <c r="BO1581" s="1">
        <v>0.0</v>
      </c>
      <c r="BQ1581" s="1">
        <v>428.0</v>
      </c>
      <c r="BR1581" s="1">
        <v>428.0</v>
      </c>
      <c r="BS1581" s="1">
        <v>428.0</v>
      </c>
      <c r="BV1581" s="1" t="s">
        <v>204</v>
      </c>
      <c r="BY1581" s="1" t="s">
        <v>2224</v>
      </c>
      <c r="BZ1581" s="1" t="s">
        <v>206</v>
      </c>
      <c r="CA1581" s="1" t="s">
        <v>210</v>
      </c>
      <c r="CC1581" s="1" t="s">
        <v>331</v>
      </c>
      <c r="CD1581" s="1" t="s">
        <v>267</v>
      </c>
      <c r="CE1581" s="1" t="s">
        <v>207</v>
      </c>
      <c r="CG1581" s="1" t="s">
        <v>640</v>
      </c>
      <c r="CH1581" s="1" t="s">
        <v>206</v>
      </c>
      <c r="CI1581" s="1" t="s">
        <v>210</v>
      </c>
      <c r="CK1581" s="1" t="s">
        <v>215</v>
      </c>
      <c r="CL1581" s="1" t="s">
        <v>206</v>
      </c>
      <c r="CM1581" s="1" t="s">
        <v>210</v>
      </c>
      <c r="CO1581" s="1" t="s">
        <v>543</v>
      </c>
      <c r="CP1581" s="1" t="s">
        <v>206</v>
      </c>
      <c r="CQ1581" s="1" t="s">
        <v>210</v>
      </c>
      <c r="CS1581" s="1" t="s">
        <v>331</v>
      </c>
      <c r="CT1581" s="1" t="s">
        <v>267</v>
      </c>
      <c r="CU1581" s="1" t="s">
        <v>268</v>
      </c>
      <c r="CW1581" s="1" t="s">
        <v>2121</v>
      </c>
      <c r="CX1581" s="1" t="s">
        <v>267</v>
      </c>
      <c r="CY1581" s="1" t="s">
        <v>207</v>
      </c>
      <c r="DA1581" s="1" t="s">
        <v>200</v>
      </c>
      <c r="DC1581" s="1" t="s">
        <v>545</v>
      </c>
      <c r="DD1581" s="1" t="s">
        <v>518</v>
      </c>
      <c r="DE1581" s="1" t="s">
        <v>273</v>
      </c>
      <c r="DF1581" s="1" t="s">
        <v>905</v>
      </c>
      <c r="DG1581" s="1" t="s">
        <v>337</v>
      </c>
      <c r="DH1581" s="1" t="s">
        <v>220</v>
      </c>
      <c r="DI1581" s="1" t="s">
        <v>11392</v>
      </c>
      <c r="DJ1581" s="1" t="s">
        <v>222</v>
      </c>
      <c r="DL1581" s="1" t="s">
        <v>224</v>
      </c>
      <c r="DM1581" s="1" t="s">
        <v>229</v>
      </c>
      <c r="DO1581" s="1" t="s">
        <v>549</v>
      </c>
      <c r="DP1581" s="1" t="s">
        <v>340</v>
      </c>
      <c r="DQ1581" s="1" t="s">
        <v>228</v>
      </c>
      <c r="DR1581" s="1" t="s">
        <v>229</v>
      </c>
      <c r="DU1581" s="1" t="s">
        <v>12035</v>
      </c>
      <c r="DV1581" s="1" t="s">
        <v>557</v>
      </c>
      <c r="DW1581" s="1" t="s">
        <v>9914</v>
      </c>
      <c r="DX1581" s="1" t="s">
        <v>234</v>
      </c>
      <c r="EC1581" s="1" t="s">
        <v>311</v>
      </c>
      <c r="EH1581" s="1" t="s">
        <v>557</v>
      </c>
      <c r="EM1581" s="1" t="s">
        <v>238</v>
      </c>
      <c r="EP1581" s="1" t="s">
        <v>2749</v>
      </c>
      <c r="EQ1581" s="1" t="s">
        <v>267</v>
      </c>
      <c r="ER1581" s="1" t="s">
        <v>210</v>
      </c>
      <c r="EU1581" s="1" t="s">
        <v>238</v>
      </c>
      <c r="EY1581" s="1" t="s">
        <v>238</v>
      </c>
      <c r="FC1581" s="1" t="s">
        <v>238</v>
      </c>
      <c r="FF1581" s="1" t="s">
        <v>239</v>
      </c>
      <c r="FG1581" s="1" t="s">
        <v>192</v>
      </c>
      <c r="FH1581" s="1" t="s">
        <v>192</v>
      </c>
      <c r="FJ1581" s="1" t="s">
        <v>648</v>
      </c>
      <c r="FK1581" s="1" t="s">
        <v>229</v>
      </c>
      <c r="FL1581" s="1" t="s">
        <v>9398</v>
      </c>
      <c r="FM1581" s="1">
        <v>93094.0</v>
      </c>
      <c r="FN1581" s="1" t="s">
        <v>9399</v>
      </c>
      <c r="FO1581" s="1" t="s">
        <v>15965</v>
      </c>
      <c r="FP1581" s="1">
        <v>931596.0</v>
      </c>
      <c r="FR1581" s="1">
        <v>930256.0</v>
      </c>
      <c r="FU1581" s="1" t="s">
        <v>2030</v>
      </c>
      <c r="FV1581" s="1" t="s">
        <v>200</v>
      </c>
      <c r="FW1581" s="1" t="s">
        <v>290</v>
      </c>
      <c r="FZ1581" s="1" t="s">
        <v>229</v>
      </c>
      <c r="GA1581" s="1" t="s">
        <v>291</v>
      </c>
      <c r="GB1581" s="2">
        <v>42144.0</v>
      </c>
    </row>
    <row r="1582">
      <c r="A1582" s="1">
        <v>245000.0</v>
      </c>
      <c r="B1582" s="1" t="s">
        <v>185</v>
      </c>
      <c r="C1582" s="1" t="str">
        <f>"08886073"</f>
        <v>08886073</v>
      </c>
      <c r="D1582" s="1" t="s">
        <v>186</v>
      </c>
      <c r="F1582" s="1" t="str">
        <f>"542"</f>
        <v>542</v>
      </c>
      <c r="G1582" s="2">
        <v>42103.0</v>
      </c>
      <c r="H1582" s="1">
        <v>246900.0</v>
      </c>
      <c r="I1582" s="1">
        <v>191.0</v>
      </c>
      <c r="J1582" s="1">
        <v>246900.0</v>
      </c>
      <c r="K1582" s="2">
        <v>42102.0</v>
      </c>
      <c r="L1582" s="1">
        <v>1.0</v>
      </c>
      <c r="M1582" s="2">
        <v>42102.0</v>
      </c>
      <c r="N1582" s="1" t="s">
        <v>187</v>
      </c>
      <c r="O1582" s="2">
        <v>42103.0</v>
      </c>
      <c r="P1582" s="1">
        <v>7741.0</v>
      </c>
      <c r="Q1582" s="1">
        <v>259.0</v>
      </c>
      <c r="S1582" s="1">
        <v>1544.0</v>
      </c>
      <c r="T1582" s="1" t="s">
        <v>15966</v>
      </c>
      <c r="U1582" s="1" t="s">
        <v>1174</v>
      </c>
      <c r="V1582" s="1" t="s">
        <v>3984</v>
      </c>
      <c r="W1582" s="1">
        <v>60542.0</v>
      </c>
      <c r="Y1582" s="1" t="s">
        <v>15967</v>
      </c>
      <c r="Z1582" s="1">
        <v>2006.0</v>
      </c>
      <c r="AA1582" s="1" t="s">
        <v>200</v>
      </c>
      <c r="AB1582" s="1" t="s">
        <v>467</v>
      </c>
      <c r="AC1582" s="1" t="s">
        <v>15968</v>
      </c>
      <c r="AD1582" s="1" t="s">
        <v>3986</v>
      </c>
      <c r="AE1582" s="1" t="s">
        <v>325</v>
      </c>
      <c r="AF1582" s="1" t="s">
        <v>3826</v>
      </c>
      <c r="AH1582" s="1" t="s">
        <v>15969</v>
      </c>
      <c r="AK1582" s="1">
        <v>9.0</v>
      </c>
      <c r="AL1582" s="1">
        <v>4.0</v>
      </c>
      <c r="AM1582" s="1">
        <v>2.0</v>
      </c>
      <c r="AN1582" s="1">
        <v>1.0</v>
      </c>
      <c r="AO1582" s="1" t="s">
        <v>198</v>
      </c>
      <c r="AP1582" s="1">
        <v>2.0</v>
      </c>
      <c r="AQ1582" s="1" t="s">
        <v>198</v>
      </c>
      <c r="AR1582" s="1" t="s">
        <v>200</v>
      </c>
      <c r="AS1582" s="1" t="s">
        <v>199</v>
      </c>
      <c r="AT1582" s="1">
        <v>3.0</v>
      </c>
      <c r="AV1582" s="1" t="s">
        <v>200</v>
      </c>
      <c r="AW1582" s="1">
        <v>11882.0</v>
      </c>
      <c r="AX1582" s="1">
        <v>2012.0</v>
      </c>
      <c r="AY1582" s="1" t="s">
        <v>229</v>
      </c>
      <c r="AZ1582" s="1" t="s">
        <v>200</v>
      </c>
      <c r="BA1582" s="1" t="str">
        <f>"1506284011"</f>
        <v>1506284011</v>
      </c>
      <c r="BB1582" s="1" t="s">
        <v>200</v>
      </c>
      <c r="BC1582" s="1">
        <v>3083.0</v>
      </c>
      <c r="BD1582" s="1">
        <v>245000.0</v>
      </c>
      <c r="BE1582" s="2">
        <v>42102.0</v>
      </c>
      <c r="BF1582" s="2" t="s">
        <v>15970</v>
      </c>
      <c r="BG1582" s="1" t="s">
        <v>15688</v>
      </c>
      <c r="BH1582" s="1">
        <v>600.0</v>
      </c>
      <c r="BI1582" s="1" t="s">
        <v>9543</v>
      </c>
      <c r="BJ1582" s="1" t="s">
        <v>3831</v>
      </c>
      <c r="BK1582" s="1" t="s">
        <v>580</v>
      </c>
      <c r="BL1582" s="1" t="str">
        <f t="shared" ref="BL1582:BM1582" si="1036">""</f>
        <v/>
      </c>
      <c r="BM1582" s="1" t="str">
        <f t="shared" si="1036"/>
        <v/>
      </c>
      <c r="BQ1582" s="1">
        <v>129.0</v>
      </c>
      <c r="BR1582" s="1">
        <v>129.0</v>
      </c>
      <c r="BS1582" s="1">
        <v>129.0</v>
      </c>
      <c r="BV1582" s="1" t="s">
        <v>204</v>
      </c>
      <c r="BY1582" s="1" t="s">
        <v>1825</v>
      </c>
      <c r="BZ1582" s="1" t="s">
        <v>209</v>
      </c>
      <c r="CC1582" s="1" t="s">
        <v>393</v>
      </c>
      <c r="CD1582" s="1" t="s">
        <v>206</v>
      </c>
      <c r="CG1582" s="1" t="s">
        <v>433</v>
      </c>
      <c r="CH1582" s="1" t="s">
        <v>209</v>
      </c>
      <c r="CK1582" s="1" t="s">
        <v>1426</v>
      </c>
      <c r="CL1582" s="1" t="s">
        <v>209</v>
      </c>
      <c r="CO1582" s="1" t="s">
        <v>433</v>
      </c>
      <c r="CP1582" s="1" t="s">
        <v>209</v>
      </c>
      <c r="CS1582" s="1" t="s">
        <v>390</v>
      </c>
      <c r="CT1582" s="1" t="s">
        <v>206</v>
      </c>
      <c r="CW1582" s="1" t="s">
        <v>1623</v>
      </c>
      <c r="CX1582" s="1" t="s">
        <v>206</v>
      </c>
      <c r="DA1582" s="1" t="s">
        <v>200</v>
      </c>
      <c r="DC1582" s="1" t="s">
        <v>481</v>
      </c>
      <c r="DD1582" s="1" t="s">
        <v>957</v>
      </c>
      <c r="DE1582" s="1" t="s">
        <v>273</v>
      </c>
      <c r="DF1582" s="1" t="s">
        <v>219</v>
      </c>
      <c r="DG1582" s="1" t="s">
        <v>337</v>
      </c>
      <c r="DH1582" s="1" t="s">
        <v>220</v>
      </c>
      <c r="DJ1582" s="1" t="s">
        <v>1048</v>
      </c>
      <c r="DL1582" s="1" t="s">
        <v>484</v>
      </c>
      <c r="DM1582" s="1" t="s">
        <v>229</v>
      </c>
      <c r="DN1582" s="1" t="s">
        <v>399</v>
      </c>
      <c r="DP1582" s="1" t="s">
        <v>340</v>
      </c>
      <c r="DQ1582" s="1" t="s">
        <v>441</v>
      </c>
      <c r="DR1582" s="1" t="s">
        <v>1487</v>
      </c>
      <c r="DV1582" s="1" t="s">
        <v>4513</v>
      </c>
      <c r="DW1582" s="1" t="s">
        <v>444</v>
      </c>
      <c r="DX1582" s="1" t="s">
        <v>234</v>
      </c>
      <c r="DY1582" s="1" t="s">
        <v>3846</v>
      </c>
      <c r="DZ1582" s="1" t="s">
        <v>282</v>
      </c>
      <c r="EC1582" s="1" t="s">
        <v>237</v>
      </c>
      <c r="EG1582" s="1" t="s">
        <v>449</v>
      </c>
      <c r="EH1582" s="1" t="s">
        <v>494</v>
      </c>
      <c r="EL1582" s="1" t="s">
        <v>332</v>
      </c>
      <c r="EM1582" s="1" t="s">
        <v>206</v>
      </c>
      <c r="EP1582" s="1" t="s">
        <v>454</v>
      </c>
      <c r="EQ1582" s="1" t="s">
        <v>206</v>
      </c>
      <c r="EU1582" s="1" t="s">
        <v>238</v>
      </c>
      <c r="EY1582" s="1" t="s">
        <v>238</v>
      </c>
      <c r="FC1582" s="1" t="s">
        <v>238</v>
      </c>
      <c r="FF1582" s="1" t="s">
        <v>239</v>
      </c>
      <c r="FG1582" s="1" t="s">
        <v>200</v>
      </c>
      <c r="FH1582" s="1" t="s">
        <v>200</v>
      </c>
      <c r="FJ1582" s="1" t="s">
        <v>13211</v>
      </c>
      <c r="FK1582" s="1" t="s">
        <v>229</v>
      </c>
      <c r="FL1582" s="1" t="s">
        <v>1877</v>
      </c>
      <c r="FM1582" s="1">
        <v>24695.0</v>
      </c>
      <c r="FN1582" s="1" t="s">
        <v>1878</v>
      </c>
      <c r="FO1582" s="1" t="s">
        <v>15971</v>
      </c>
      <c r="FP1582" s="1">
        <v>237016.0</v>
      </c>
      <c r="FQ1582" s="1" t="s">
        <v>15972</v>
      </c>
      <c r="FU1582" s="1" t="s">
        <v>15973</v>
      </c>
      <c r="FV1582" s="1" t="s">
        <v>200</v>
      </c>
      <c r="FW1582" s="1" t="s">
        <v>290</v>
      </c>
      <c r="FZ1582" s="1" t="s">
        <v>229</v>
      </c>
      <c r="GA1582" s="1" t="s">
        <v>291</v>
      </c>
      <c r="GB1582" s="2">
        <v>42103.0</v>
      </c>
    </row>
    <row r="1583">
      <c r="A1583" s="1">
        <v>94511.0</v>
      </c>
      <c r="B1583" s="1" t="s">
        <v>185</v>
      </c>
      <c r="C1583" s="1" t="str">
        <f>"08890100"</f>
        <v>08890100</v>
      </c>
      <c r="D1583" s="1" t="s">
        <v>186</v>
      </c>
      <c r="F1583" s="1" t="str">
        <f>"110"</f>
        <v>110</v>
      </c>
      <c r="G1583" s="2">
        <v>42108.0</v>
      </c>
      <c r="H1583" s="1">
        <v>90000.0</v>
      </c>
      <c r="I1583" s="1">
        <v>3.0</v>
      </c>
      <c r="J1583" s="1">
        <v>90000.0</v>
      </c>
      <c r="K1583" s="2">
        <v>42110.0</v>
      </c>
      <c r="L1583" s="1">
        <v>3.0</v>
      </c>
      <c r="M1583" s="2">
        <v>42110.0</v>
      </c>
      <c r="N1583" s="1" t="s">
        <v>249</v>
      </c>
      <c r="O1583" s="2">
        <v>42138.0</v>
      </c>
      <c r="P1583" s="1">
        <v>244186.0</v>
      </c>
      <c r="Q1583" s="1">
        <v>1855.0</v>
      </c>
      <c r="S1583" s="1">
        <v>211.0</v>
      </c>
      <c r="T1583" s="1" t="s">
        <v>15974</v>
      </c>
      <c r="U1583" s="1" t="s">
        <v>189</v>
      </c>
      <c r="V1583" s="1" t="s">
        <v>807</v>
      </c>
      <c r="W1583" s="1">
        <v>60110.0</v>
      </c>
      <c r="Y1583" s="1" t="s">
        <v>15975</v>
      </c>
      <c r="Z1583" s="1">
        <v>1959.0</v>
      </c>
      <c r="AA1583" s="1" t="s">
        <v>192</v>
      </c>
      <c r="AB1583" s="1" t="s">
        <v>193</v>
      </c>
      <c r="AC1583" s="1" t="s">
        <v>5724</v>
      </c>
      <c r="AD1583" s="1" t="s">
        <v>809</v>
      </c>
      <c r="AE1583" s="1" t="s">
        <v>325</v>
      </c>
      <c r="AF1583" s="1" t="s">
        <v>810</v>
      </c>
      <c r="AH1583" s="1" t="s">
        <v>15976</v>
      </c>
      <c r="AI1583" s="1">
        <v>0.1852</v>
      </c>
      <c r="AK1583" s="1">
        <v>8.0</v>
      </c>
      <c r="AL1583" s="1">
        <v>4.0</v>
      </c>
      <c r="AM1583" s="1">
        <v>2.0</v>
      </c>
      <c r="AN1583" s="1">
        <v>0.0</v>
      </c>
      <c r="AO1583" s="1" t="s">
        <v>198</v>
      </c>
      <c r="AP1583" s="1">
        <v>0.0</v>
      </c>
      <c r="AQ1583" s="1" t="s">
        <v>229</v>
      </c>
      <c r="AR1583" s="1" t="s">
        <v>200</v>
      </c>
      <c r="AS1583" s="1" t="s">
        <v>199</v>
      </c>
      <c r="AT1583" s="1">
        <v>1.0</v>
      </c>
      <c r="AV1583" s="1" t="s">
        <v>200</v>
      </c>
      <c r="AW1583" s="1">
        <v>3255.64</v>
      </c>
      <c r="AX1583" s="1">
        <v>2013.0</v>
      </c>
      <c r="AZ1583" s="1" t="s">
        <v>200</v>
      </c>
      <c r="BA1583" s="1" t="str">
        <f>"0313301010"</f>
        <v>0313301010</v>
      </c>
      <c r="BC1583" s="1">
        <v>2304.0</v>
      </c>
      <c r="BD1583" s="1">
        <v>94511.0</v>
      </c>
      <c r="BE1583" s="2">
        <v>42108.0</v>
      </c>
      <c r="BF1583" s="1" t="s">
        <v>15977</v>
      </c>
      <c r="BH1583" s="1">
        <v>0.0</v>
      </c>
      <c r="BK1583" s="1" t="s">
        <v>204</v>
      </c>
      <c r="BL1583" s="1" t="str">
        <f>"16"</f>
        <v>16</v>
      </c>
      <c r="BM1583" s="1" t="str">
        <f>""</f>
        <v/>
      </c>
      <c r="BN1583" s="1">
        <v>31.0</v>
      </c>
      <c r="BO1583" s="1">
        <v>13.0</v>
      </c>
      <c r="BQ1583" s="1">
        <v>300.0</v>
      </c>
      <c r="BR1583" s="1">
        <v>300.0</v>
      </c>
      <c r="BS1583" s="1">
        <v>300.0</v>
      </c>
      <c r="BU1583" s="1" t="s">
        <v>955</v>
      </c>
      <c r="BV1583" s="1" t="s">
        <v>206</v>
      </c>
      <c r="BY1583" s="1" t="s">
        <v>2224</v>
      </c>
      <c r="BZ1583" s="1" t="s">
        <v>206</v>
      </c>
      <c r="CC1583" s="1" t="s">
        <v>729</v>
      </c>
      <c r="CD1583" s="1" t="s">
        <v>206</v>
      </c>
      <c r="CG1583" s="1" t="s">
        <v>1119</v>
      </c>
      <c r="CH1583" s="1" t="s">
        <v>206</v>
      </c>
      <c r="CK1583" s="1" t="s">
        <v>478</v>
      </c>
      <c r="CL1583" s="1" t="s">
        <v>206</v>
      </c>
      <c r="CO1583" s="1" t="s">
        <v>212</v>
      </c>
      <c r="CP1583" s="1" t="s">
        <v>206</v>
      </c>
      <c r="CS1583" s="1" t="s">
        <v>452</v>
      </c>
      <c r="CT1583" s="1" t="s">
        <v>206</v>
      </c>
      <c r="CW1583" s="1" t="s">
        <v>15978</v>
      </c>
      <c r="CX1583" s="1" t="s">
        <v>267</v>
      </c>
      <c r="DA1583" s="1" t="s">
        <v>200</v>
      </c>
      <c r="DC1583" s="1" t="s">
        <v>271</v>
      </c>
      <c r="DE1583" s="1" t="s">
        <v>273</v>
      </c>
      <c r="DF1583" s="1" t="s">
        <v>619</v>
      </c>
      <c r="DH1583" s="1" t="s">
        <v>220</v>
      </c>
      <c r="DJ1583" s="1" t="s">
        <v>222</v>
      </c>
      <c r="DL1583" s="1" t="s">
        <v>229</v>
      </c>
      <c r="DM1583" s="1" t="s">
        <v>229</v>
      </c>
      <c r="DQ1583" s="1" t="s">
        <v>228</v>
      </c>
      <c r="DR1583" s="1" t="s">
        <v>229</v>
      </c>
      <c r="DV1583" s="1" t="s">
        <v>232</v>
      </c>
      <c r="DW1583" s="1" t="s">
        <v>891</v>
      </c>
      <c r="DX1583" s="1" t="s">
        <v>234</v>
      </c>
      <c r="EC1583" s="1" t="s">
        <v>311</v>
      </c>
      <c r="EM1583" s="1" t="s">
        <v>238</v>
      </c>
      <c r="EQ1583" s="1" t="s">
        <v>238</v>
      </c>
      <c r="EU1583" s="1" t="s">
        <v>238</v>
      </c>
      <c r="EY1583" s="1" t="s">
        <v>238</v>
      </c>
      <c r="FC1583" s="1" t="s">
        <v>238</v>
      </c>
      <c r="FF1583" s="1" t="s">
        <v>239</v>
      </c>
      <c r="FG1583" s="1" t="s">
        <v>200</v>
      </c>
      <c r="FH1583" s="1" t="s">
        <v>192</v>
      </c>
      <c r="FJ1583" s="1" t="s">
        <v>15979</v>
      </c>
      <c r="FK1583" s="1" t="s">
        <v>229</v>
      </c>
      <c r="FL1583" s="1" t="s">
        <v>11800</v>
      </c>
      <c r="FM1583" s="1">
        <v>25769.0</v>
      </c>
      <c r="FN1583" s="1" t="s">
        <v>11801</v>
      </c>
      <c r="FO1583" s="1" t="s">
        <v>15980</v>
      </c>
      <c r="FP1583" s="1">
        <v>221260.0</v>
      </c>
      <c r="FQ1583" s="1" t="s">
        <v>15981</v>
      </c>
      <c r="FS1583" s="1" t="s">
        <v>15982</v>
      </c>
      <c r="FU1583" s="1" t="s">
        <v>15983</v>
      </c>
      <c r="FV1583" s="1" t="s">
        <v>200</v>
      </c>
      <c r="FW1583" s="1" t="s">
        <v>15984</v>
      </c>
      <c r="FZ1583" s="1" t="s">
        <v>229</v>
      </c>
      <c r="GA1583" s="1" t="s">
        <v>291</v>
      </c>
      <c r="GB1583" s="2">
        <v>42144.0</v>
      </c>
      <c r="GC1583" s="1" t="s">
        <v>15985</v>
      </c>
    </row>
    <row r="1584">
      <c r="A1584" s="1">
        <v>89000.0</v>
      </c>
      <c r="B1584" s="1" t="s">
        <v>185</v>
      </c>
      <c r="C1584" s="1" t="str">
        <f>"08883395"</f>
        <v>08883395</v>
      </c>
      <c r="D1584" s="1" t="s">
        <v>186</v>
      </c>
      <c r="F1584" s="1" t="str">
        <f>"8052"</f>
        <v>8052</v>
      </c>
      <c r="G1584" s="2">
        <v>42101.0</v>
      </c>
      <c r="H1584" s="1">
        <v>89000.0</v>
      </c>
      <c r="I1584" s="1">
        <v>1.0</v>
      </c>
      <c r="J1584" s="1">
        <v>89000.0</v>
      </c>
      <c r="K1584" s="2">
        <v>42101.0</v>
      </c>
      <c r="L1584" s="1">
        <v>1.0</v>
      </c>
      <c r="M1584" s="2">
        <v>42101.0</v>
      </c>
      <c r="N1584" s="1" t="s">
        <v>356</v>
      </c>
      <c r="O1584" s="2">
        <v>42150.0</v>
      </c>
      <c r="P1584" s="1">
        <v>124517.0</v>
      </c>
      <c r="Q1584" s="1">
        <v>12139.0</v>
      </c>
      <c r="S1584" s="1">
        <v>10438.0</v>
      </c>
      <c r="T1584" s="1" t="s">
        <v>15986</v>
      </c>
      <c r="U1584" s="1" t="s">
        <v>189</v>
      </c>
      <c r="V1584" s="1" t="s">
        <v>190</v>
      </c>
      <c r="W1584" s="1">
        <v>60617.0</v>
      </c>
      <c r="Y1584" s="1" t="s">
        <v>15987</v>
      </c>
      <c r="Z1584" s="1">
        <v>1964.0</v>
      </c>
      <c r="AA1584" s="1" t="s">
        <v>192</v>
      </c>
      <c r="AB1584" s="1" t="s">
        <v>193</v>
      </c>
      <c r="AD1584" s="1" t="s">
        <v>194</v>
      </c>
      <c r="AE1584" s="1" t="s">
        <v>195</v>
      </c>
      <c r="AF1584" s="1" t="s">
        <v>637</v>
      </c>
      <c r="AH1584" s="1" t="s">
        <v>15988</v>
      </c>
      <c r="AI1584" s="1">
        <v>0.0778</v>
      </c>
      <c r="AK1584" s="1">
        <v>8.0</v>
      </c>
      <c r="AL1584" s="1">
        <v>4.0</v>
      </c>
      <c r="AM1584" s="1">
        <v>1.0</v>
      </c>
      <c r="AN1584" s="1">
        <v>1.0</v>
      </c>
      <c r="AO1584" s="1" t="s">
        <v>229</v>
      </c>
      <c r="AQ1584" s="1" t="s">
        <v>229</v>
      </c>
      <c r="AR1584" s="1" t="s">
        <v>200</v>
      </c>
      <c r="AS1584" s="1" t="s">
        <v>229</v>
      </c>
      <c r="AV1584" s="1" t="s">
        <v>200</v>
      </c>
      <c r="AW1584" s="1">
        <v>2364.82</v>
      </c>
      <c r="AX1584" s="1">
        <v>2013.0</v>
      </c>
      <c r="AY1584" s="1" t="s">
        <v>387</v>
      </c>
      <c r="AZ1584" s="1" t="s">
        <v>200</v>
      </c>
      <c r="BA1584" s="1" t="str">
        <f>"26074040300000"</f>
        <v>26074040300000</v>
      </c>
      <c r="BC1584" s="1">
        <v>1248.0</v>
      </c>
      <c r="BD1584" s="1">
        <v>89000.0</v>
      </c>
      <c r="BE1584" s="2">
        <v>42101.0</v>
      </c>
      <c r="BF1584" s="1" t="s">
        <v>15989</v>
      </c>
      <c r="BH1584" s="1">
        <v>0.0</v>
      </c>
      <c r="BK1584" s="1" t="s">
        <v>204</v>
      </c>
      <c r="BL1584" s="1" t="str">
        <f>"0"</f>
        <v>0</v>
      </c>
      <c r="BM1584" s="1" t="str">
        <f>"3400"</f>
        <v>3400</v>
      </c>
      <c r="BN1584" s="1">
        <v>0.0</v>
      </c>
      <c r="BO1584" s="1">
        <v>10438.0</v>
      </c>
      <c r="BQ1584" s="1">
        <v>299.0</v>
      </c>
      <c r="BR1584" s="1">
        <v>299.0</v>
      </c>
      <c r="BS1584" s="1">
        <v>299.0</v>
      </c>
      <c r="BU1584" s="1" t="s">
        <v>677</v>
      </c>
      <c r="BV1584" s="1" t="s">
        <v>206</v>
      </c>
      <c r="BW1584" s="1" t="s">
        <v>210</v>
      </c>
      <c r="BY1584" s="1" t="s">
        <v>1351</v>
      </c>
      <c r="BZ1584" s="1" t="s">
        <v>209</v>
      </c>
      <c r="CA1584" s="1" t="s">
        <v>210</v>
      </c>
      <c r="CC1584" s="1" t="s">
        <v>303</v>
      </c>
      <c r="CD1584" s="1" t="s">
        <v>206</v>
      </c>
      <c r="CE1584" s="1" t="s">
        <v>210</v>
      </c>
      <c r="CG1584" s="1" t="s">
        <v>303</v>
      </c>
      <c r="CH1584" s="1" t="s">
        <v>209</v>
      </c>
      <c r="CI1584" s="1" t="s">
        <v>210</v>
      </c>
      <c r="CK1584" s="1" t="s">
        <v>269</v>
      </c>
      <c r="CL1584" s="1" t="s">
        <v>209</v>
      </c>
      <c r="CM1584" s="1" t="s">
        <v>210</v>
      </c>
      <c r="CO1584" s="1" t="s">
        <v>269</v>
      </c>
      <c r="CP1584" s="1" t="s">
        <v>209</v>
      </c>
      <c r="CQ1584" s="1" t="s">
        <v>210</v>
      </c>
      <c r="CS1584" s="1" t="s">
        <v>1351</v>
      </c>
      <c r="CT1584" s="1" t="s">
        <v>206</v>
      </c>
      <c r="CU1584" s="1" t="s">
        <v>268</v>
      </c>
      <c r="CW1584" s="1" t="s">
        <v>1600</v>
      </c>
      <c r="CX1584" s="1" t="s">
        <v>267</v>
      </c>
      <c r="DA1584" s="1" t="s">
        <v>200</v>
      </c>
      <c r="DC1584" s="1" t="s">
        <v>271</v>
      </c>
      <c r="DE1584" s="1" t="s">
        <v>273</v>
      </c>
      <c r="DF1584" s="1" t="s">
        <v>4878</v>
      </c>
      <c r="DH1584" s="1" t="s">
        <v>220</v>
      </c>
      <c r="DJ1584" s="1" t="s">
        <v>222</v>
      </c>
      <c r="DL1584" s="1" t="s">
        <v>229</v>
      </c>
      <c r="DM1584" s="1" t="s">
        <v>229</v>
      </c>
      <c r="DQ1584" s="1" t="s">
        <v>718</v>
      </c>
      <c r="DR1584" s="1" t="s">
        <v>229</v>
      </c>
      <c r="DV1584" s="1" t="s">
        <v>232</v>
      </c>
      <c r="DW1584" s="1" t="s">
        <v>279</v>
      </c>
      <c r="DX1584" s="1" t="s">
        <v>234</v>
      </c>
      <c r="EC1584" s="1" t="s">
        <v>284</v>
      </c>
      <c r="EM1584" s="1" t="s">
        <v>238</v>
      </c>
      <c r="EQ1584" s="1" t="s">
        <v>238</v>
      </c>
      <c r="EU1584" s="1" t="s">
        <v>238</v>
      </c>
      <c r="EY1584" s="1" t="s">
        <v>238</v>
      </c>
      <c r="FC1584" s="1" t="s">
        <v>238</v>
      </c>
      <c r="FF1584" s="1" t="s">
        <v>239</v>
      </c>
      <c r="FG1584" s="1" t="s">
        <v>192</v>
      </c>
      <c r="FH1584" s="1" t="s">
        <v>192</v>
      </c>
      <c r="FJ1584" s="1" t="s">
        <v>7945</v>
      </c>
      <c r="FK1584" s="1" t="s">
        <v>229</v>
      </c>
      <c r="FL1584" s="1" t="s">
        <v>6333</v>
      </c>
      <c r="FM1584" s="1">
        <v>12139.0</v>
      </c>
      <c r="FN1584" s="1" t="s">
        <v>6334</v>
      </c>
      <c r="FO1584" s="1" t="s">
        <v>6335</v>
      </c>
      <c r="FP1584" s="1">
        <v>124517.0</v>
      </c>
      <c r="FQ1584" s="1" t="s">
        <v>6334</v>
      </c>
      <c r="FU1584" s="1" t="s">
        <v>15990</v>
      </c>
      <c r="FV1584" s="1" t="s">
        <v>192</v>
      </c>
      <c r="FW1584" s="1" t="s">
        <v>530</v>
      </c>
      <c r="FX1584" s="1" t="s">
        <v>655</v>
      </c>
      <c r="FZ1584" s="1" t="s">
        <v>229</v>
      </c>
      <c r="GA1584" s="1" t="s">
        <v>247</v>
      </c>
      <c r="GB1584" s="2">
        <v>42150.0</v>
      </c>
    </row>
    <row r="1585">
      <c r="A1585" s="1">
        <v>390000.0</v>
      </c>
      <c r="B1585" s="1" t="s">
        <v>185</v>
      </c>
      <c r="C1585" s="1" t="str">
        <f>"08885232"</f>
        <v>08885232</v>
      </c>
      <c r="D1585" s="1" t="s">
        <v>186</v>
      </c>
      <c r="F1585" s="1" t="str">
        <f>"542"</f>
        <v>542</v>
      </c>
      <c r="G1585" s="2">
        <v>42102.0</v>
      </c>
      <c r="H1585" s="1">
        <v>400000.0</v>
      </c>
      <c r="I1585" s="1">
        <v>14.0</v>
      </c>
      <c r="J1585" s="1">
        <v>400000.0</v>
      </c>
      <c r="K1585" s="2">
        <v>42114.0</v>
      </c>
      <c r="L1585" s="1">
        <v>14.0</v>
      </c>
      <c r="M1585" s="2">
        <v>42114.0</v>
      </c>
      <c r="N1585" s="1" t="s">
        <v>187</v>
      </c>
      <c r="O1585" s="2">
        <v>42146.0</v>
      </c>
      <c r="P1585" s="1">
        <v>607.0</v>
      </c>
      <c r="Q1585" s="1">
        <v>30.0</v>
      </c>
      <c r="S1585" s="1">
        <v>2264.0</v>
      </c>
      <c r="T1585" s="1" t="s">
        <v>15991</v>
      </c>
      <c r="U1585" s="1" t="s">
        <v>1174</v>
      </c>
      <c r="V1585" s="1" t="s">
        <v>3984</v>
      </c>
      <c r="W1585" s="1">
        <v>60542.0</v>
      </c>
      <c r="Y1585" s="1" t="s">
        <v>15992</v>
      </c>
      <c r="Z1585" s="1">
        <v>2004.0</v>
      </c>
      <c r="AA1585" s="1" t="s">
        <v>200</v>
      </c>
      <c r="AB1585" s="1" t="s">
        <v>193</v>
      </c>
      <c r="AC1585" s="1" t="s">
        <v>15993</v>
      </c>
      <c r="AD1585" s="1" t="s">
        <v>3986</v>
      </c>
      <c r="AE1585" s="1" t="s">
        <v>325</v>
      </c>
      <c r="AF1585" s="1" t="s">
        <v>1479</v>
      </c>
      <c r="AH1585" s="1" t="s">
        <v>15128</v>
      </c>
      <c r="AI1585" s="1">
        <v>0.3312</v>
      </c>
      <c r="AK1585" s="1">
        <v>13.0</v>
      </c>
      <c r="AL1585" s="1">
        <v>4.0</v>
      </c>
      <c r="AM1585" s="1">
        <v>3.0</v>
      </c>
      <c r="AN1585" s="1">
        <v>1.0</v>
      </c>
      <c r="AO1585" s="1" t="s">
        <v>198</v>
      </c>
      <c r="AP1585" s="1">
        <v>1.0</v>
      </c>
      <c r="AQ1585" s="1" t="s">
        <v>198</v>
      </c>
      <c r="AR1585" s="1" t="s">
        <v>192</v>
      </c>
      <c r="AS1585" s="1" t="s">
        <v>199</v>
      </c>
      <c r="AT1585" s="1">
        <v>3.0</v>
      </c>
      <c r="AV1585" s="1" t="s">
        <v>200</v>
      </c>
      <c r="AW1585" s="1">
        <v>12401.88</v>
      </c>
      <c r="AX1585" s="1">
        <v>2013.0</v>
      </c>
      <c r="AY1585" s="1" t="s">
        <v>387</v>
      </c>
      <c r="AZ1585" s="1" t="s">
        <v>192</v>
      </c>
      <c r="BA1585" s="1" t="str">
        <f>"1136474011"</f>
        <v>1136474011</v>
      </c>
      <c r="BB1585" s="1" t="s">
        <v>200</v>
      </c>
      <c r="BC1585" s="1">
        <v>3450.0</v>
      </c>
      <c r="BD1585" s="1">
        <v>390000.0</v>
      </c>
      <c r="BE1585" s="2">
        <v>42101.0</v>
      </c>
      <c r="BF1585" s="2" t="s">
        <v>15994</v>
      </c>
      <c r="BH1585" s="1">
        <v>45.0</v>
      </c>
      <c r="BK1585" s="1" t="s">
        <v>1952</v>
      </c>
      <c r="BL1585" s="1" t="str">
        <f t="shared" ref="BL1585:BM1585" si="1037">""</f>
        <v/>
      </c>
      <c r="BM1585" s="1" t="str">
        <f t="shared" si="1037"/>
        <v/>
      </c>
      <c r="BQ1585" s="1">
        <v>129.0</v>
      </c>
      <c r="BR1585" s="1">
        <v>129.0</v>
      </c>
      <c r="BS1585" s="1">
        <v>129.0</v>
      </c>
      <c r="BU1585" s="1" t="s">
        <v>743</v>
      </c>
      <c r="BV1585" s="1" t="s">
        <v>206</v>
      </c>
      <c r="BW1585" s="1" t="s">
        <v>207</v>
      </c>
      <c r="BX1585" s="1" t="s">
        <v>261</v>
      </c>
      <c r="BY1585" s="1" t="s">
        <v>639</v>
      </c>
      <c r="BZ1585" s="1" t="s">
        <v>209</v>
      </c>
      <c r="CA1585" s="1" t="s">
        <v>210</v>
      </c>
      <c r="CB1585" s="1" t="s">
        <v>431</v>
      </c>
      <c r="CC1585" s="1" t="s">
        <v>211</v>
      </c>
      <c r="CD1585" s="1" t="s">
        <v>206</v>
      </c>
      <c r="CE1585" s="1" t="s">
        <v>207</v>
      </c>
      <c r="CF1585" s="1" t="s">
        <v>261</v>
      </c>
      <c r="CG1585" s="1" t="s">
        <v>215</v>
      </c>
      <c r="CH1585" s="1" t="s">
        <v>209</v>
      </c>
      <c r="CI1585" s="1" t="s">
        <v>210</v>
      </c>
      <c r="CJ1585" s="1" t="s">
        <v>261</v>
      </c>
      <c r="CK1585" s="1" t="s">
        <v>329</v>
      </c>
      <c r="CL1585" s="1" t="s">
        <v>209</v>
      </c>
      <c r="CM1585" s="1" t="s">
        <v>210</v>
      </c>
      <c r="CN1585" s="1" t="s">
        <v>261</v>
      </c>
      <c r="CO1585" s="1" t="s">
        <v>262</v>
      </c>
      <c r="CP1585" s="1" t="s">
        <v>209</v>
      </c>
      <c r="CQ1585" s="1" t="s">
        <v>210</v>
      </c>
      <c r="CR1585" s="1" t="s">
        <v>229</v>
      </c>
      <c r="CS1585" s="1" t="s">
        <v>213</v>
      </c>
      <c r="CT1585" s="1" t="s">
        <v>206</v>
      </c>
      <c r="CU1585" s="1" t="s">
        <v>207</v>
      </c>
      <c r="CV1585" s="1" t="s">
        <v>261</v>
      </c>
      <c r="CW1585" s="1" t="s">
        <v>583</v>
      </c>
      <c r="CX1585" s="1" t="s">
        <v>206</v>
      </c>
      <c r="CY1585" s="1" t="s">
        <v>210</v>
      </c>
      <c r="CZ1585" s="1" t="s">
        <v>261</v>
      </c>
      <c r="DA1585" s="1" t="s">
        <v>200</v>
      </c>
      <c r="DC1585" s="1" t="s">
        <v>335</v>
      </c>
      <c r="DD1585" s="1" t="s">
        <v>436</v>
      </c>
      <c r="DE1585" s="1" t="s">
        <v>273</v>
      </c>
      <c r="DF1585" s="1" t="s">
        <v>619</v>
      </c>
      <c r="DG1585" s="1" t="s">
        <v>1485</v>
      </c>
      <c r="DH1585" s="1" t="s">
        <v>220</v>
      </c>
      <c r="DI1585" s="1" t="s">
        <v>1047</v>
      </c>
      <c r="DJ1585" s="1" t="s">
        <v>222</v>
      </c>
      <c r="DK1585" s="1" t="s">
        <v>198</v>
      </c>
      <c r="DL1585" s="1" t="s">
        <v>224</v>
      </c>
      <c r="DM1585" s="1" t="s">
        <v>229</v>
      </c>
      <c r="DN1585" s="1" t="s">
        <v>399</v>
      </c>
      <c r="DO1585" s="1" t="s">
        <v>440</v>
      </c>
      <c r="DP1585" s="1" t="s">
        <v>340</v>
      </c>
      <c r="DQ1585" s="1" t="s">
        <v>441</v>
      </c>
      <c r="DR1585" s="1" t="s">
        <v>588</v>
      </c>
      <c r="DS1585" s="1" t="s">
        <v>230</v>
      </c>
      <c r="DU1585" s="1" t="s">
        <v>7852</v>
      </c>
      <c r="DV1585" s="1" t="s">
        <v>15995</v>
      </c>
      <c r="DW1585" s="1" t="s">
        <v>764</v>
      </c>
      <c r="DX1585" s="1" t="s">
        <v>234</v>
      </c>
      <c r="DY1585" s="1" t="s">
        <v>1559</v>
      </c>
      <c r="DZ1585" s="1" t="s">
        <v>282</v>
      </c>
      <c r="EA1585" s="1" t="s">
        <v>3308</v>
      </c>
      <c r="EB1585" s="1" t="s">
        <v>4251</v>
      </c>
      <c r="EC1585" s="1" t="s">
        <v>237</v>
      </c>
      <c r="ED1585" s="1" t="s">
        <v>555</v>
      </c>
      <c r="EE1585" s="1" t="s">
        <v>522</v>
      </c>
      <c r="EG1585" s="1" t="s">
        <v>449</v>
      </c>
      <c r="EH1585" s="1" t="s">
        <v>494</v>
      </c>
      <c r="EI1585" s="1" t="s">
        <v>598</v>
      </c>
      <c r="EJ1585" s="1" t="s">
        <v>588</v>
      </c>
      <c r="EK1585" s="1" t="s">
        <v>450</v>
      </c>
      <c r="EL1585" s="1" t="s">
        <v>211</v>
      </c>
      <c r="EM1585" s="1" t="s">
        <v>206</v>
      </c>
      <c r="EN1585" s="1" t="s">
        <v>207</v>
      </c>
      <c r="EO1585" s="1" t="s">
        <v>229</v>
      </c>
      <c r="EP1585" s="1" t="s">
        <v>212</v>
      </c>
      <c r="EQ1585" s="1" t="s">
        <v>206</v>
      </c>
      <c r="ER1585" s="1" t="s">
        <v>210</v>
      </c>
      <c r="ES1585" s="1" t="s">
        <v>431</v>
      </c>
      <c r="ET1585" s="1" t="s">
        <v>269</v>
      </c>
      <c r="EU1585" s="1" t="s">
        <v>42</v>
      </c>
      <c r="EV1585" s="1" t="s">
        <v>210</v>
      </c>
      <c r="EX1585" s="1" t="s">
        <v>264</v>
      </c>
      <c r="EY1585" s="1" t="s">
        <v>42</v>
      </c>
      <c r="EZ1585" s="1" t="s">
        <v>210</v>
      </c>
      <c r="FA1585" s="1" t="s">
        <v>229</v>
      </c>
      <c r="FB1585" s="1" t="s">
        <v>1378</v>
      </c>
      <c r="FC1585" s="1" t="s">
        <v>42</v>
      </c>
      <c r="FD1585" s="1" t="s">
        <v>210</v>
      </c>
      <c r="FE1585" s="1" t="s">
        <v>229</v>
      </c>
      <c r="FF1585" s="1" t="s">
        <v>239</v>
      </c>
      <c r="FG1585" s="1" t="s">
        <v>192</v>
      </c>
      <c r="FH1585" s="1" t="s">
        <v>192</v>
      </c>
      <c r="FJ1585" s="1" t="s">
        <v>498</v>
      </c>
      <c r="FK1585" s="1" t="s">
        <v>229</v>
      </c>
      <c r="FL1585" s="1" t="s">
        <v>1212</v>
      </c>
      <c r="FM1585" s="1">
        <v>30.0</v>
      </c>
      <c r="FN1585" s="1" t="s">
        <v>1213</v>
      </c>
      <c r="FO1585" s="1" t="s">
        <v>15996</v>
      </c>
      <c r="FP1585" s="1">
        <v>607.0</v>
      </c>
      <c r="FQ1585" s="1" t="s">
        <v>15997</v>
      </c>
      <c r="FU1585" s="1" t="s">
        <v>15998</v>
      </c>
      <c r="FV1585" s="1" t="s">
        <v>200</v>
      </c>
      <c r="FW1585" s="1" t="s">
        <v>461</v>
      </c>
      <c r="FZ1585" s="1" t="s">
        <v>229</v>
      </c>
      <c r="GA1585" s="1" t="s">
        <v>291</v>
      </c>
      <c r="GB1585" s="2">
        <v>42148.0</v>
      </c>
    </row>
    <row r="1586">
      <c r="A1586" s="1">
        <v>495000.0</v>
      </c>
      <c r="B1586" s="1" t="s">
        <v>185</v>
      </c>
      <c r="C1586" s="1" t="str">
        <f>"08887862"</f>
        <v>08887862</v>
      </c>
      <c r="D1586" s="1" t="s">
        <v>186</v>
      </c>
      <c r="F1586" s="1" t="str">
        <f>"8072"</f>
        <v>8072</v>
      </c>
      <c r="G1586" s="2">
        <v>42104.0</v>
      </c>
      <c r="H1586" s="1">
        <v>499000.0</v>
      </c>
      <c r="I1586" s="1">
        <v>16.0</v>
      </c>
      <c r="J1586" s="1">
        <v>499000.0</v>
      </c>
      <c r="K1586" s="2">
        <v>42117.0</v>
      </c>
      <c r="L1586" s="1">
        <v>16.0</v>
      </c>
      <c r="M1586" s="2">
        <v>42117.0</v>
      </c>
      <c r="N1586" s="1" t="s">
        <v>187</v>
      </c>
      <c r="O1586" s="2">
        <v>42146.0</v>
      </c>
      <c r="P1586" s="1">
        <v>604310.0</v>
      </c>
      <c r="Q1586" s="1">
        <v>60035.0</v>
      </c>
      <c r="S1586" s="1">
        <v>10140.0</v>
      </c>
      <c r="T1586" s="1" t="s">
        <v>8951</v>
      </c>
      <c r="U1586" s="1" t="s">
        <v>320</v>
      </c>
      <c r="V1586" s="1" t="s">
        <v>190</v>
      </c>
      <c r="W1586" s="1">
        <v>60643.0</v>
      </c>
      <c r="Y1586" s="1" t="s">
        <v>15999</v>
      </c>
      <c r="Z1586" s="1">
        <v>1922.0</v>
      </c>
      <c r="AA1586" s="1" t="s">
        <v>192</v>
      </c>
      <c r="AB1586" s="1" t="s">
        <v>193</v>
      </c>
      <c r="AC1586" s="1" t="s">
        <v>7064</v>
      </c>
      <c r="AD1586" s="1" t="s">
        <v>194</v>
      </c>
      <c r="AE1586" s="1" t="s">
        <v>195</v>
      </c>
      <c r="AF1586" s="1" t="s">
        <v>659</v>
      </c>
      <c r="AH1586" s="1" t="s">
        <v>16000</v>
      </c>
      <c r="AK1586" s="1">
        <v>12.0</v>
      </c>
      <c r="AL1586" s="1">
        <v>4.0</v>
      </c>
      <c r="AM1586" s="1">
        <v>2.0</v>
      </c>
      <c r="AN1586" s="1">
        <v>1.0</v>
      </c>
      <c r="AO1586" s="1" t="s">
        <v>198</v>
      </c>
      <c r="AP1586" s="1">
        <v>1.0</v>
      </c>
      <c r="AQ1586" s="1" t="s">
        <v>198</v>
      </c>
      <c r="AR1586" s="1" t="s">
        <v>200</v>
      </c>
      <c r="AS1586" s="1" t="s">
        <v>199</v>
      </c>
      <c r="AT1586" s="1">
        <v>2.0</v>
      </c>
      <c r="AV1586" s="1" t="s">
        <v>200</v>
      </c>
      <c r="AW1586" s="1">
        <v>6719.87</v>
      </c>
      <c r="AX1586" s="1">
        <v>2013.0</v>
      </c>
      <c r="AY1586" s="1" t="s">
        <v>387</v>
      </c>
      <c r="AZ1586" s="1" t="s">
        <v>200</v>
      </c>
      <c r="BA1586" s="1" t="str">
        <f>"25073180230000"</f>
        <v>25073180230000</v>
      </c>
      <c r="BC1586" s="1">
        <v>2711.0</v>
      </c>
      <c r="BD1586" s="1">
        <v>495000.0</v>
      </c>
      <c r="BE1586" s="2">
        <v>42102.0</v>
      </c>
      <c r="BF1586" s="2" t="s">
        <v>16001</v>
      </c>
      <c r="BG1586" s="1" t="s">
        <v>12871</v>
      </c>
      <c r="BH1586" s="1">
        <v>0.0</v>
      </c>
      <c r="BK1586" s="1" t="s">
        <v>204</v>
      </c>
      <c r="BL1586" s="1" t="str">
        <f t="shared" ref="BL1586:BM1586" si="1038">"0"</f>
        <v>0</v>
      </c>
      <c r="BM1586" s="1" t="str">
        <f t="shared" si="1038"/>
        <v>0</v>
      </c>
      <c r="BN1586" s="1">
        <v>2150.0</v>
      </c>
      <c r="BO1586" s="1">
        <v>10140.0</v>
      </c>
      <c r="BQ1586" s="1">
        <v>299.0</v>
      </c>
      <c r="BR1586" s="1">
        <v>299.0</v>
      </c>
      <c r="BS1586" s="1">
        <v>299.0</v>
      </c>
      <c r="BU1586" s="1" t="s">
        <v>1001</v>
      </c>
      <c r="BV1586" s="1" t="s">
        <v>206</v>
      </c>
      <c r="BW1586" s="1" t="s">
        <v>207</v>
      </c>
      <c r="BX1586" s="1" t="s">
        <v>239</v>
      </c>
      <c r="BY1586" s="1" t="s">
        <v>496</v>
      </c>
      <c r="BZ1586" s="1" t="s">
        <v>209</v>
      </c>
      <c r="CA1586" s="1" t="s">
        <v>210</v>
      </c>
      <c r="CB1586" s="1" t="s">
        <v>239</v>
      </c>
      <c r="CC1586" s="1" t="s">
        <v>1064</v>
      </c>
      <c r="CD1586" s="1" t="s">
        <v>206</v>
      </c>
      <c r="CE1586" s="1" t="s">
        <v>207</v>
      </c>
      <c r="CF1586" s="1" t="s">
        <v>239</v>
      </c>
      <c r="CG1586" s="1" t="s">
        <v>478</v>
      </c>
      <c r="CH1586" s="1" t="s">
        <v>209</v>
      </c>
      <c r="CI1586" s="1" t="s">
        <v>207</v>
      </c>
      <c r="CJ1586" s="1" t="s">
        <v>239</v>
      </c>
      <c r="CK1586" s="1" t="s">
        <v>264</v>
      </c>
      <c r="CL1586" s="1" t="s">
        <v>209</v>
      </c>
      <c r="CM1586" s="1" t="s">
        <v>207</v>
      </c>
      <c r="CN1586" s="1" t="s">
        <v>239</v>
      </c>
      <c r="CO1586" s="1" t="s">
        <v>392</v>
      </c>
      <c r="CP1586" s="1" t="s">
        <v>209</v>
      </c>
      <c r="CQ1586" s="1" t="s">
        <v>207</v>
      </c>
      <c r="CR1586" s="1" t="s">
        <v>239</v>
      </c>
      <c r="CS1586" s="1" t="s">
        <v>1063</v>
      </c>
      <c r="CT1586" s="1" t="s">
        <v>206</v>
      </c>
      <c r="CU1586" s="1" t="s">
        <v>268</v>
      </c>
      <c r="CV1586" s="1" t="s">
        <v>239</v>
      </c>
      <c r="CX1586" s="1" t="s">
        <v>204</v>
      </c>
      <c r="DA1586" s="1" t="s">
        <v>200</v>
      </c>
      <c r="DC1586" s="1" t="s">
        <v>216</v>
      </c>
      <c r="DD1586" s="1" t="s">
        <v>306</v>
      </c>
      <c r="DE1586" s="1" t="s">
        <v>273</v>
      </c>
      <c r="DF1586" s="1" t="s">
        <v>4206</v>
      </c>
      <c r="DG1586" s="1" t="s">
        <v>2237</v>
      </c>
      <c r="DH1586" s="1" t="s">
        <v>365</v>
      </c>
      <c r="DI1586" s="1" t="s">
        <v>519</v>
      </c>
      <c r="DJ1586" s="1" t="s">
        <v>222</v>
      </c>
      <c r="DL1586" s="1" t="s">
        <v>858</v>
      </c>
      <c r="DM1586" s="1" t="s">
        <v>1464</v>
      </c>
      <c r="DO1586" s="1" t="s">
        <v>549</v>
      </c>
      <c r="DP1586" s="1" t="s">
        <v>340</v>
      </c>
      <c r="DQ1586" s="1" t="s">
        <v>794</v>
      </c>
      <c r="DR1586" s="1" t="s">
        <v>229</v>
      </c>
      <c r="DS1586" s="1" t="s">
        <v>368</v>
      </c>
      <c r="DV1586" s="1" t="s">
        <v>16002</v>
      </c>
      <c r="DW1586" s="1" t="s">
        <v>279</v>
      </c>
      <c r="DX1586" s="1" t="s">
        <v>1287</v>
      </c>
      <c r="DY1586" s="1" t="s">
        <v>704</v>
      </c>
      <c r="DZ1586" s="1" t="s">
        <v>13116</v>
      </c>
      <c r="EA1586" s="1" t="s">
        <v>16003</v>
      </c>
      <c r="EB1586" s="1" t="s">
        <v>345</v>
      </c>
      <c r="EC1586" s="1" t="s">
        <v>237</v>
      </c>
      <c r="ED1586" s="1" t="s">
        <v>555</v>
      </c>
      <c r="EE1586" s="1" t="s">
        <v>187</v>
      </c>
      <c r="EG1586" s="1" t="s">
        <v>450</v>
      </c>
      <c r="EH1586" s="1" t="s">
        <v>1228</v>
      </c>
      <c r="EI1586" s="1" t="s">
        <v>1491</v>
      </c>
      <c r="EJ1586" s="1" t="s">
        <v>1729</v>
      </c>
      <c r="EK1586" s="1" t="s">
        <v>1270</v>
      </c>
      <c r="EL1586" s="1" t="s">
        <v>477</v>
      </c>
      <c r="EM1586" s="1" t="s">
        <v>42</v>
      </c>
      <c r="EN1586" s="1" t="s">
        <v>210</v>
      </c>
      <c r="EO1586" s="1" t="s">
        <v>229</v>
      </c>
      <c r="EP1586" s="1" t="s">
        <v>663</v>
      </c>
      <c r="EQ1586" s="1" t="s">
        <v>209</v>
      </c>
      <c r="ER1586" s="1" t="s">
        <v>207</v>
      </c>
      <c r="ES1586" s="1" t="s">
        <v>239</v>
      </c>
      <c r="ET1586" s="1" t="s">
        <v>1417</v>
      </c>
      <c r="EU1586" s="1" t="s">
        <v>42</v>
      </c>
      <c r="EV1586" s="1" t="s">
        <v>588</v>
      </c>
      <c r="EW1586" s="1" t="s">
        <v>229</v>
      </c>
      <c r="EX1586" s="1" t="s">
        <v>663</v>
      </c>
      <c r="EY1586" s="1" t="s">
        <v>206</v>
      </c>
      <c r="EZ1586" s="1" t="s">
        <v>268</v>
      </c>
      <c r="FA1586" s="1" t="s">
        <v>229</v>
      </c>
      <c r="FB1586" s="1" t="s">
        <v>478</v>
      </c>
      <c r="FC1586" s="1" t="s">
        <v>42</v>
      </c>
      <c r="FD1586" s="1" t="s">
        <v>588</v>
      </c>
      <c r="FE1586" s="1" t="s">
        <v>229</v>
      </c>
      <c r="FF1586" s="1" t="s">
        <v>239</v>
      </c>
      <c r="FG1586" s="1" t="s">
        <v>192</v>
      </c>
      <c r="FH1586" s="1" t="s">
        <v>192</v>
      </c>
      <c r="FJ1586" s="1" t="s">
        <v>498</v>
      </c>
      <c r="FK1586" s="1" t="s">
        <v>348</v>
      </c>
      <c r="FL1586" s="1" t="s">
        <v>4804</v>
      </c>
      <c r="FM1586" s="1">
        <v>60035.0</v>
      </c>
      <c r="FN1586" s="1" t="s">
        <v>4805</v>
      </c>
      <c r="FO1586" s="1" t="s">
        <v>16004</v>
      </c>
      <c r="FP1586" s="1">
        <v>601752.0</v>
      </c>
      <c r="FQ1586" s="1" t="s">
        <v>16005</v>
      </c>
      <c r="FU1586" s="1" t="s">
        <v>16006</v>
      </c>
      <c r="FV1586" s="1" t="s">
        <v>200</v>
      </c>
      <c r="FW1586" s="1" t="s">
        <v>567</v>
      </c>
      <c r="FX1586" s="1" t="s">
        <v>655</v>
      </c>
      <c r="FZ1586" s="1" t="s">
        <v>229</v>
      </c>
      <c r="GA1586" s="1" t="s">
        <v>291</v>
      </c>
      <c r="GB1586" s="2">
        <v>42146.0</v>
      </c>
      <c r="GC1586" s="1" t="s">
        <v>16007</v>
      </c>
    </row>
    <row r="1587">
      <c r="A1587" s="1">
        <v>150600.0</v>
      </c>
      <c r="B1587" s="1" t="s">
        <v>185</v>
      </c>
      <c r="C1587" s="1" t="str">
        <f>"08886891"</f>
        <v>08886891</v>
      </c>
      <c r="D1587" s="1" t="s">
        <v>186</v>
      </c>
      <c r="F1587" s="1" t="str">
        <f>"103"</f>
        <v>103</v>
      </c>
      <c r="G1587" s="2">
        <v>42104.0</v>
      </c>
      <c r="H1587" s="1">
        <v>139000.0</v>
      </c>
      <c r="I1587" s="1">
        <v>16.0</v>
      </c>
      <c r="J1587" s="1">
        <v>139000.0</v>
      </c>
      <c r="K1587" s="2">
        <v>42118.0</v>
      </c>
      <c r="L1587" s="1">
        <v>16.0</v>
      </c>
      <c r="M1587" s="2">
        <v>42118.0</v>
      </c>
      <c r="N1587" s="1" t="s">
        <v>249</v>
      </c>
      <c r="O1587" s="2">
        <v>42142.0</v>
      </c>
      <c r="P1587" s="1">
        <v>105678.0</v>
      </c>
      <c r="Q1587" s="1">
        <v>84890.0</v>
      </c>
      <c r="S1587" s="1">
        <v>5824.0</v>
      </c>
      <c r="T1587" s="1" t="s">
        <v>5046</v>
      </c>
      <c r="U1587" s="1" t="s">
        <v>420</v>
      </c>
      <c r="V1587" s="1" t="s">
        <v>251</v>
      </c>
      <c r="W1587" s="1">
        <v>60133.0</v>
      </c>
      <c r="Y1587" s="1" t="s">
        <v>16008</v>
      </c>
      <c r="Z1587" s="1">
        <v>1980.0</v>
      </c>
      <c r="AA1587" s="1" t="s">
        <v>200</v>
      </c>
      <c r="AB1587" s="1" t="s">
        <v>467</v>
      </c>
      <c r="AD1587" s="1" t="s">
        <v>254</v>
      </c>
      <c r="AE1587" s="1" t="s">
        <v>1258</v>
      </c>
      <c r="AF1587" s="1" t="s">
        <v>298</v>
      </c>
      <c r="AH1587" s="1">
        <v>8503.0</v>
      </c>
      <c r="AI1587" s="1">
        <v>0.0</v>
      </c>
      <c r="AK1587" s="1">
        <v>6.0</v>
      </c>
      <c r="AL1587" s="1">
        <v>4.0</v>
      </c>
      <c r="AM1587" s="1">
        <v>2.0</v>
      </c>
      <c r="AN1587" s="1">
        <v>0.0</v>
      </c>
      <c r="AO1587" s="1" t="s">
        <v>198</v>
      </c>
      <c r="AP1587" s="1">
        <v>1.0</v>
      </c>
      <c r="AQ1587" s="1" t="s">
        <v>229</v>
      </c>
      <c r="AR1587" s="1" t="s">
        <v>200</v>
      </c>
      <c r="AS1587" s="1" t="s">
        <v>199</v>
      </c>
      <c r="AT1587" s="1">
        <v>2.0</v>
      </c>
      <c r="AV1587" s="1" t="s">
        <v>200</v>
      </c>
      <c r="AW1587" s="1">
        <v>5701.0</v>
      </c>
      <c r="AX1587" s="1">
        <v>2013.0</v>
      </c>
      <c r="AZ1587" s="1" t="s">
        <v>200</v>
      </c>
      <c r="BA1587" s="1" t="str">
        <f>"0206302024"</f>
        <v>0206302024</v>
      </c>
      <c r="BC1587" s="1">
        <v>1587.0</v>
      </c>
      <c r="BD1587" s="1">
        <v>150600.0</v>
      </c>
      <c r="BE1587" s="2">
        <v>42103.0</v>
      </c>
      <c r="BF1587" s="2" t="s">
        <v>16009</v>
      </c>
      <c r="BH1587" s="1">
        <v>31.0</v>
      </c>
      <c r="BK1587" s="1" t="s">
        <v>474</v>
      </c>
      <c r="BL1587" s="1" t="str">
        <f t="shared" ref="BL1587:BM1587" si="1039">""</f>
        <v/>
      </c>
      <c r="BM1587" s="1" t="str">
        <f t="shared" si="1039"/>
        <v/>
      </c>
      <c r="BQ1587" s="1">
        <v>20.0</v>
      </c>
      <c r="BR1587" s="1">
        <v>108.0</v>
      </c>
      <c r="BS1587" s="1">
        <v>20.0</v>
      </c>
      <c r="BU1587" s="1" t="s">
        <v>782</v>
      </c>
      <c r="BV1587" s="1" t="s">
        <v>206</v>
      </c>
      <c r="BW1587" s="1" t="s">
        <v>210</v>
      </c>
      <c r="BY1587" s="1" t="s">
        <v>390</v>
      </c>
      <c r="BZ1587" s="1" t="s">
        <v>206</v>
      </c>
      <c r="CD1587" s="1" t="s">
        <v>204</v>
      </c>
      <c r="CG1587" s="1" t="s">
        <v>392</v>
      </c>
      <c r="CH1587" s="1" t="s">
        <v>206</v>
      </c>
      <c r="CK1587" s="1" t="s">
        <v>497</v>
      </c>
      <c r="CL1587" s="1" t="s">
        <v>206</v>
      </c>
      <c r="CO1587" s="1" t="s">
        <v>264</v>
      </c>
      <c r="CP1587" s="1" t="s">
        <v>206</v>
      </c>
      <c r="CS1587" s="1" t="s">
        <v>480</v>
      </c>
      <c r="CT1587" s="1" t="s">
        <v>206</v>
      </c>
      <c r="CX1587" s="1" t="s">
        <v>204</v>
      </c>
      <c r="DA1587" s="1" t="s">
        <v>200</v>
      </c>
      <c r="DC1587" s="1" t="s">
        <v>395</v>
      </c>
      <c r="DE1587" s="1" t="s">
        <v>229</v>
      </c>
      <c r="DF1587" s="1" t="s">
        <v>219</v>
      </c>
      <c r="DH1587" s="1" t="s">
        <v>220</v>
      </c>
      <c r="DJ1587" s="1" t="s">
        <v>222</v>
      </c>
      <c r="DL1587" s="1" t="s">
        <v>520</v>
      </c>
      <c r="DM1587" s="1" t="s">
        <v>229</v>
      </c>
      <c r="DQ1587" s="1" t="s">
        <v>228</v>
      </c>
      <c r="DR1587" s="1" t="s">
        <v>2593</v>
      </c>
      <c r="DV1587" s="1" t="s">
        <v>232</v>
      </c>
      <c r="DW1587" s="1" t="s">
        <v>370</v>
      </c>
      <c r="DX1587" s="1" t="s">
        <v>234</v>
      </c>
      <c r="EA1587" s="1" t="s">
        <v>683</v>
      </c>
      <c r="EC1587" s="1" t="s">
        <v>685</v>
      </c>
      <c r="EM1587" s="1" t="s">
        <v>238</v>
      </c>
      <c r="EQ1587" s="1" t="s">
        <v>238</v>
      </c>
      <c r="EU1587" s="1" t="s">
        <v>238</v>
      </c>
      <c r="EY1587" s="1" t="s">
        <v>238</v>
      </c>
      <c r="FC1587" s="1" t="s">
        <v>238</v>
      </c>
      <c r="FF1587" s="1" t="s">
        <v>239</v>
      </c>
      <c r="FG1587" s="1" t="s">
        <v>192</v>
      </c>
      <c r="FH1587" s="1" t="s">
        <v>192</v>
      </c>
      <c r="FJ1587" s="1" t="s">
        <v>347</v>
      </c>
      <c r="FK1587" s="1" t="s">
        <v>229</v>
      </c>
      <c r="FL1587" s="1" t="s">
        <v>5530</v>
      </c>
      <c r="FM1587" s="1">
        <v>8079.0</v>
      </c>
      <c r="FN1587" s="1" t="s">
        <v>5531</v>
      </c>
      <c r="FO1587" s="1" t="s">
        <v>16010</v>
      </c>
      <c r="FP1587" s="1">
        <v>82405.0</v>
      </c>
      <c r="FQ1587" s="1" t="s">
        <v>5531</v>
      </c>
      <c r="FU1587" s="1" t="s">
        <v>16011</v>
      </c>
      <c r="FV1587" s="1" t="s">
        <v>200</v>
      </c>
      <c r="FW1587" s="1" t="s">
        <v>290</v>
      </c>
      <c r="FZ1587" s="1" t="s">
        <v>632</v>
      </c>
      <c r="GA1587" s="1" t="s">
        <v>291</v>
      </c>
      <c r="GB1587" s="2">
        <v>42143.0</v>
      </c>
    </row>
    <row r="1588">
      <c r="A1588" s="1">
        <v>16200.0</v>
      </c>
      <c r="B1588" s="1" t="s">
        <v>185</v>
      </c>
      <c r="C1588" s="1" t="str">
        <f>"08888512"</f>
        <v>08888512</v>
      </c>
      <c r="D1588" s="1" t="s">
        <v>186</v>
      </c>
      <c r="F1588" s="1" t="str">
        <f>"8049"</f>
        <v>8049</v>
      </c>
      <c r="G1588" s="2">
        <v>42106.0</v>
      </c>
      <c r="H1588" s="1">
        <v>13900.0</v>
      </c>
      <c r="I1588" s="1">
        <v>30.0</v>
      </c>
      <c r="J1588" s="1">
        <v>13900.0</v>
      </c>
      <c r="K1588" s="2">
        <v>42117.0</v>
      </c>
      <c r="L1588" s="1">
        <v>12.0</v>
      </c>
      <c r="M1588" s="2">
        <v>42117.0</v>
      </c>
      <c r="N1588" s="1" t="s">
        <v>249</v>
      </c>
      <c r="O1588" s="2">
        <v>42135.0</v>
      </c>
      <c r="P1588" s="1">
        <v>176629.0</v>
      </c>
      <c r="Q1588" s="1">
        <v>85143.0</v>
      </c>
      <c r="S1588" s="1">
        <v>10245.0</v>
      </c>
      <c r="T1588" s="1" t="s">
        <v>16012</v>
      </c>
      <c r="U1588" s="1" t="s">
        <v>189</v>
      </c>
      <c r="V1588" s="1" t="s">
        <v>190</v>
      </c>
      <c r="W1588" s="1">
        <v>60628.0</v>
      </c>
      <c r="X1588" s="1">
        <v>1922.0</v>
      </c>
      <c r="Y1588" s="1" t="s">
        <v>16013</v>
      </c>
      <c r="Z1588" s="1">
        <v>1920.0</v>
      </c>
      <c r="AA1588" s="1" t="s">
        <v>192</v>
      </c>
      <c r="AB1588" s="1" t="s">
        <v>193</v>
      </c>
      <c r="AD1588" s="1" t="s">
        <v>194</v>
      </c>
      <c r="AE1588" s="1" t="s">
        <v>195</v>
      </c>
      <c r="AF1588" s="1" t="s">
        <v>659</v>
      </c>
      <c r="AH1588" s="1">
        <v>3720.0</v>
      </c>
      <c r="AK1588" s="1">
        <v>7.0</v>
      </c>
      <c r="AL1588" s="1">
        <v>4.0</v>
      </c>
      <c r="AM1588" s="1">
        <v>1.0</v>
      </c>
      <c r="AN1588" s="1">
        <v>0.0</v>
      </c>
      <c r="AO1588" s="1" t="s">
        <v>229</v>
      </c>
      <c r="AQ1588" s="1" t="s">
        <v>198</v>
      </c>
      <c r="AR1588" s="1" t="s">
        <v>200</v>
      </c>
      <c r="AS1588" s="1" t="s">
        <v>229</v>
      </c>
      <c r="AV1588" s="1" t="s">
        <v>200</v>
      </c>
      <c r="AW1588" s="1">
        <v>1552.0</v>
      </c>
      <c r="AX1588" s="1">
        <v>2013.0</v>
      </c>
      <c r="AZ1588" s="1" t="s">
        <v>200</v>
      </c>
      <c r="BA1588" s="1" t="str">
        <f>"25094270440000"</f>
        <v>25094270440000</v>
      </c>
      <c r="BC1588" s="1">
        <v>1240.0</v>
      </c>
      <c r="BD1588" s="1">
        <v>16200.0</v>
      </c>
      <c r="BE1588" s="2">
        <v>42106.0</v>
      </c>
      <c r="BF1588" s="1" t="s">
        <v>16014</v>
      </c>
      <c r="BH1588" s="1">
        <v>0.0</v>
      </c>
      <c r="BK1588" s="1" t="s">
        <v>204</v>
      </c>
      <c r="BL1588" s="1" t="str">
        <f t="shared" ref="BL1588:BM1588" si="1040">"0"</f>
        <v>0</v>
      </c>
      <c r="BM1588" s="1" t="str">
        <f t="shared" si="1040"/>
        <v>0</v>
      </c>
      <c r="BN1588" s="1">
        <v>200.0</v>
      </c>
      <c r="BO1588" s="1">
        <v>10245.0</v>
      </c>
      <c r="BQ1588" s="1">
        <v>299.0</v>
      </c>
      <c r="BR1588" s="1">
        <v>299.0</v>
      </c>
      <c r="BS1588" s="1">
        <v>299.0</v>
      </c>
      <c r="BU1588" s="1" t="s">
        <v>454</v>
      </c>
      <c r="BV1588" s="1" t="s">
        <v>206</v>
      </c>
      <c r="BY1588" s="1" t="s">
        <v>495</v>
      </c>
      <c r="BZ1588" s="1" t="s">
        <v>206</v>
      </c>
      <c r="CC1588" s="1" t="s">
        <v>495</v>
      </c>
      <c r="CD1588" s="1" t="s">
        <v>206</v>
      </c>
      <c r="CG1588" s="1" t="s">
        <v>269</v>
      </c>
      <c r="CH1588" s="1" t="s">
        <v>206</v>
      </c>
      <c r="CK1588" s="1" t="s">
        <v>264</v>
      </c>
      <c r="CL1588" s="1" t="s">
        <v>209</v>
      </c>
      <c r="CO1588" s="1" t="s">
        <v>264</v>
      </c>
      <c r="CP1588" s="1" t="s">
        <v>209</v>
      </c>
      <c r="CS1588" s="1" t="s">
        <v>495</v>
      </c>
      <c r="CT1588" s="1" t="s">
        <v>206</v>
      </c>
      <c r="CX1588" s="1" t="s">
        <v>204</v>
      </c>
      <c r="DA1588" s="1" t="s">
        <v>200</v>
      </c>
      <c r="DC1588" s="1" t="s">
        <v>216</v>
      </c>
      <c r="DE1588" s="1" t="s">
        <v>229</v>
      </c>
      <c r="DF1588" s="1" t="s">
        <v>619</v>
      </c>
      <c r="DH1588" s="1" t="s">
        <v>365</v>
      </c>
      <c r="DJ1588" s="1" t="s">
        <v>222</v>
      </c>
      <c r="DL1588" s="1" t="s">
        <v>223</v>
      </c>
      <c r="DM1588" s="1" t="s">
        <v>229</v>
      </c>
      <c r="DQ1588" s="1" t="s">
        <v>228</v>
      </c>
      <c r="DR1588" s="1" t="s">
        <v>229</v>
      </c>
      <c r="DV1588" s="1" t="s">
        <v>232</v>
      </c>
      <c r="DW1588" s="1" t="s">
        <v>279</v>
      </c>
      <c r="DX1588" s="1" t="s">
        <v>309</v>
      </c>
      <c r="EC1588" s="1" t="s">
        <v>685</v>
      </c>
      <c r="EE1588" s="1" t="s">
        <v>1673</v>
      </c>
      <c r="EM1588" s="1" t="s">
        <v>238</v>
      </c>
      <c r="EQ1588" s="1" t="s">
        <v>238</v>
      </c>
      <c r="EU1588" s="1" t="s">
        <v>238</v>
      </c>
      <c r="EY1588" s="1" t="s">
        <v>238</v>
      </c>
      <c r="FC1588" s="1" t="s">
        <v>238</v>
      </c>
      <c r="FF1588" s="1" t="s">
        <v>239</v>
      </c>
      <c r="FG1588" s="1" t="s">
        <v>192</v>
      </c>
      <c r="FH1588" s="1" t="s">
        <v>192</v>
      </c>
      <c r="FJ1588" s="1" t="s">
        <v>6038</v>
      </c>
      <c r="FK1588" s="1" t="s">
        <v>229</v>
      </c>
      <c r="FL1588" s="1" t="s">
        <v>6039</v>
      </c>
      <c r="FM1588" s="1">
        <v>12278.0</v>
      </c>
      <c r="FN1588" s="1" t="s">
        <v>6040</v>
      </c>
      <c r="FO1588" s="1" t="s">
        <v>6041</v>
      </c>
      <c r="FP1588" s="1">
        <v>119957.0</v>
      </c>
      <c r="FQ1588" s="1" t="s">
        <v>6040</v>
      </c>
      <c r="FU1588" s="1" t="s">
        <v>6042</v>
      </c>
      <c r="FV1588" s="1" t="s">
        <v>200</v>
      </c>
      <c r="FW1588" s="1" t="s">
        <v>567</v>
      </c>
      <c r="FX1588" s="1" t="s">
        <v>655</v>
      </c>
      <c r="FZ1588" s="1" t="s">
        <v>229</v>
      </c>
      <c r="GA1588" s="1" t="s">
        <v>291</v>
      </c>
      <c r="GB1588" s="2">
        <v>42138.0</v>
      </c>
      <c r="GC1588" s="1" t="s">
        <v>16015</v>
      </c>
    </row>
    <row r="1589">
      <c r="A1589" s="1">
        <v>170000.0</v>
      </c>
      <c r="B1589" s="1" t="s">
        <v>185</v>
      </c>
      <c r="C1589" s="1" t="str">
        <f>"08887904"</f>
        <v>08887904</v>
      </c>
      <c r="D1589" s="1" t="s">
        <v>186</v>
      </c>
      <c r="F1589" s="1" t="str">
        <f>"103"</f>
        <v>103</v>
      </c>
      <c r="G1589" s="2">
        <v>42104.0</v>
      </c>
      <c r="H1589" s="1">
        <v>174999.0</v>
      </c>
      <c r="I1589" s="1">
        <v>4.0</v>
      </c>
      <c r="J1589" s="1">
        <v>174999.0</v>
      </c>
      <c r="K1589" s="2">
        <v>42107.0</v>
      </c>
      <c r="L1589" s="1">
        <v>4.0</v>
      </c>
      <c r="M1589" s="2">
        <v>42107.0</v>
      </c>
      <c r="N1589" s="1" t="s">
        <v>356</v>
      </c>
      <c r="O1589" s="2">
        <v>42146.0</v>
      </c>
      <c r="P1589" s="1">
        <v>35477.0</v>
      </c>
      <c r="Q1589" s="1">
        <v>4660.0</v>
      </c>
      <c r="R1589" s="1">
        <v>800.0</v>
      </c>
      <c r="S1589" s="1">
        <v>5400.0</v>
      </c>
      <c r="T1589" s="1" t="s">
        <v>8164</v>
      </c>
      <c r="U1589" s="1" t="s">
        <v>1174</v>
      </c>
      <c r="V1589" s="1" t="s">
        <v>251</v>
      </c>
      <c r="W1589" s="1">
        <v>60133.0</v>
      </c>
      <c r="Y1589" s="1" t="s">
        <v>16016</v>
      </c>
      <c r="Z1589" s="1">
        <v>1975.0</v>
      </c>
      <c r="AA1589" s="1" t="s">
        <v>192</v>
      </c>
      <c r="AB1589" s="1" t="s">
        <v>193</v>
      </c>
      <c r="AD1589" s="1" t="s">
        <v>254</v>
      </c>
      <c r="AE1589" s="1" t="s">
        <v>1258</v>
      </c>
      <c r="AF1589" s="1" t="s">
        <v>3935</v>
      </c>
      <c r="AH1589" s="1" t="s">
        <v>16017</v>
      </c>
      <c r="AI1589" s="1">
        <v>0.2819</v>
      </c>
      <c r="AK1589" s="1">
        <v>7.0</v>
      </c>
      <c r="AL1589" s="1">
        <v>4.0</v>
      </c>
      <c r="AM1589" s="1">
        <v>2.0</v>
      </c>
      <c r="AN1589" s="1">
        <v>0.0</v>
      </c>
      <c r="AO1589" s="1" t="s">
        <v>198</v>
      </c>
      <c r="AQ1589" s="1" t="s">
        <v>229</v>
      </c>
      <c r="AR1589" s="1" t="s">
        <v>200</v>
      </c>
      <c r="AS1589" s="1" t="s">
        <v>199</v>
      </c>
      <c r="AT1589" s="1">
        <v>2.0</v>
      </c>
      <c r="AV1589" s="1" t="s">
        <v>200</v>
      </c>
      <c r="AW1589" s="1">
        <v>5282.0</v>
      </c>
      <c r="AX1589" s="1">
        <v>2013.0</v>
      </c>
      <c r="AZ1589" s="1" t="s">
        <v>200</v>
      </c>
      <c r="BA1589" s="1" t="str">
        <f>"0112201006"</f>
        <v>0112201006</v>
      </c>
      <c r="BC1589" s="1">
        <v>1460.0</v>
      </c>
      <c r="BD1589" s="1">
        <v>170000.0</v>
      </c>
      <c r="BE1589" s="2">
        <v>42104.0</v>
      </c>
      <c r="BF1589" s="2" t="s">
        <v>16018</v>
      </c>
      <c r="BG1589" s="1" t="s">
        <v>16019</v>
      </c>
      <c r="BH1589" s="1">
        <v>80.0</v>
      </c>
      <c r="BI1589" s="1" t="s">
        <v>513</v>
      </c>
      <c r="BJ1589" s="1" t="s">
        <v>16020</v>
      </c>
      <c r="BK1589" s="1" t="s">
        <v>1952</v>
      </c>
      <c r="BL1589" s="1" t="str">
        <f t="shared" ref="BL1589:BM1589" si="1041">""</f>
        <v/>
      </c>
      <c r="BM1589" s="1" t="str">
        <f t="shared" si="1041"/>
        <v/>
      </c>
      <c r="BQ1589" s="1">
        <v>46.0</v>
      </c>
      <c r="BR1589" s="1">
        <v>46.0</v>
      </c>
      <c r="BS1589" s="1">
        <v>46.0</v>
      </c>
      <c r="BU1589" s="1" t="s">
        <v>1426</v>
      </c>
      <c r="BV1589" s="1" t="s">
        <v>206</v>
      </c>
      <c r="BW1589" s="1" t="s">
        <v>301</v>
      </c>
      <c r="BY1589" s="1" t="s">
        <v>478</v>
      </c>
      <c r="BZ1589" s="1" t="s">
        <v>206</v>
      </c>
      <c r="CA1589" s="1" t="s">
        <v>301</v>
      </c>
      <c r="CD1589" s="1" t="s">
        <v>204</v>
      </c>
      <c r="CG1589" s="1" t="s">
        <v>495</v>
      </c>
      <c r="CH1589" s="1" t="s">
        <v>206</v>
      </c>
      <c r="CI1589" s="1" t="s">
        <v>301</v>
      </c>
      <c r="CK1589" s="1" t="s">
        <v>269</v>
      </c>
      <c r="CL1589" s="1" t="s">
        <v>206</v>
      </c>
      <c r="CM1589" s="1" t="s">
        <v>301</v>
      </c>
      <c r="CO1589" s="1" t="s">
        <v>516</v>
      </c>
      <c r="CP1589" s="1" t="s">
        <v>206</v>
      </c>
      <c r="CQ1589" s="1" t="s">
        <v>301</v>
      </c>
      <c r="CS1589" s="1" t="s">
        <v>264</v>
      </c>
      <c r="CT1589" s="1" t="s">
        <v>206</v>
      </c>
      <c r="CU1589" s="1" t="s">
        <v>268</v>
      </c>
      <c r="CW1589" s="1" t="s">
        <v>1045</v>
      </c>
      <c r="CX1589" s="1" t="s">
        <v>206</v>
      </c>
      <c r="CY1589" s="1" t="s">
        <v>268</v>
      </c>
      <c r="DA1589" s="1" t="s">
        <v>200</v>
      </c>
      <c r="DC1589" s="1" t="s">
        <v>395</v>
      </c>
      <c r="DE1589" s="1" t="s">
        <v>273</v>
      </c>
      <c r="DF1589" s="1" t="s">
        <v>619</v>
      </c>
      <c r="DH1589" s="1" t="s">
        <v>365</v>
      </c>
      <c r="DI1589" s="1" t="s">
        <v>308</v>
      </c>
      <c r="DJ1589" s="1" t="s">
        <v>222</v>
      </c>
      <c r="DK1589" s="1" t="s">
        <v>1555</v>
      </c>
      <c r="DL1589" s="1" t="s">
        <v>229</v>
      </c>
      <c r="DM1589" s="1" t="s">
        <v>338</v>
      </c>
      <c r="DO1589" s="1" t="s">
        <v>8449</v>
      </c>
      <c r="DQ1589" s="1" t="s">
        <v>441</v>
      </c>
      <c r="DR1589" s="1" t="s">
        <v>16021</v>
      </c>
      <c r="DV1589" s="1" t="s">
        <v>232</v>
      </c>
      <c r="DW1589" s="1" t="s">
        <v>370</v>
      </c>
      <c r="DX1589" s="1" t="s">
        <v>234</v>
      </c>
      <c r="DY1589" s="1" t="s">
        <v>861</v>
      </c>
      <c r="DZ1589" s="1" t="s">
        <v>15959</v>
      </c>
      <c r="EC1589" s="1" t="s">
        <v>685</v>
      </c>
      <c r="ED1589" s="1" t="s">
        <v>555</v>
      </c>
      <c r="EM1589" s="1" t="s">
        <v>238</v>
      </c>
      <c r="EQ1589" s="1" t="s">
        <v>238</v>
      </c>
      <c r="EU1589" s="1" t="s">
        <v>238</v>
      </c>
      <c r="EY1589" s="1" t="s">
        <v>238</v>
      </c>
      <c r="FC1589" s="1" t="s">
        <v>238</v>
      </c>
      <c r="FF1589" s="1" t="s">
        <v>239</v>
      </c>
      <c r="FG1589" s="1" t="s">
        <v>192</v>
      </c>
      <c r="FH1589" s="1" t="s">
        <v>192</v>
      </c>
      <c r="FJ1589" s="1" t="s">
        <v>16022</v>
      </c>
      <c r="FK1589" s="1" t="s">
        <v>229</v>
      </c>
      <c r="FL1589" s="1" t="s">
        <v>974</v>
      </c>
      <c r="FM1589" s="1">
        <v>14470.0</v>
      </c>
      <c r="FN1589" s="1" t="s">
        <v>3407</v>
      </c>
      <c r="FO1589" s="1" t="s">
        <v>16023</v>
      </c>
      <c r="FP1589" s="1">
        <v>189454.0</v>
      </c>
      <c r="FQ1589" s="1" t="s">
        <v>16024</v>
      </c>
      <c r="FU1589" s="1" t="s">
        <v>16025</v>
      </c>
      <c r="FV1589" s="1" t="s">
        <v>200</v>
      </c>
      <c r="FW1589" s="1" t="s">
        <v>8793</v>
      </c>
      <c r="FZ1589" s="1" t="s">
        <v>229</v>
      </c>
      <c r="GA1589" s="1" t="s">
        <v>291</v>
      </c>
      <c r="GB1589" s="2">
        <v>42146.0</v>
      </c>
      <c r="GC1589" s="1" t="s">
        <v>16025</v>
      </c>
    </row>
    <row r="1590">
      <c r="A1590" s="1">
        <v>219900.0</v>
      </c>
      <c r="B1590" s="1" t="s">
        <v>185</v>
      </c>
      <c r="C1590" s="1" t="str">
        <f>"08888303"</f>
        <v>08888303</v>
      </c>
      <c r="D1590" s="1" t="s">
        <v>186</v>
      </c>
      <c r="F1590" s="1" t="str">
        <f>"118"</f>
        <v>118</v>
      </c>
      <c r="G1590" s="2">
        <v>42105.0</v>
      </c>
      <c r="H1590" s="1">
        <v>224900.0</v>
      </c>
      <c r="I1590" s="1">
        <v>167.0</v>
      </c>
      <c r="J1590" s="1">
        <v>224900.0</v>
      </c>
      <c r="K1590" s="2">
        <v>42118.0</v>
      </c>
      <c r="L1590" s="1">
        <v>16.0</v>
      </c>
      <c r="M1590" s="2">
        <v>42118.0</v>
      </c>
      <c r="N1590" s="1" t="s">
        <v>187</v>
      </c>
      <c r="O1590" s="2">
        <v>42146.0</v>
      </c>
      <c r="P1590" s="1">
        <v>37896.0</v>
      </c>
      <c r="Q1590" s="1">
        <v>6026.0</v>
      </c>
      <c r="R1590" s="1">
        <v>2000.0</v>
      </c>
      <c r="S1590" s="1" t="s">
        <v>16026</v>
      </c>
      <c r="T1590" s="1" t="s">
        <v>7480</v>
      </c>
      <c r="U1590" s="1" t="s">
        <v>569</v>
      </c>
      <c r="V1590" s="1" t="s">
        <v>7481</v>
      </c>
      <c r="W1590" s="1">
        <v>60118.0</v>
      </c>
      <c r="Y1590" s="1" t="s">
        <v>16027</v>
      </c>
      <c r="Z1590" s="1">
        <v>1964.0</v>
      </c>
      <c r="AA1590" s="1" t="s">
        <v>192</v>
      </c>
      <c r="AB1590" s="1" t="s">
        <v>193</v>
      </c>
      <c r="AC1590" s="1" t="s">
        <v>7480</v>
      </c>
      <c r="AD1590" s="1" t="s">
        <v>1089</v>
      </c>
      <c r="AE1590" s="1" t="s">
        <v>325</v>
      </c>
      <c r="AF1590" s="1" t="s">
        <v>810</v>
      </c>
      <c r="AG1590" s="1" t="s">
        <v>5899</v>
      </c>
      <c r="AH1590" s="1" t="s">
        <v>16028</v>
      </c>
      <c r="AI1590" s="1">
        <v>0.6988</v>
      </c>
      <c r="AK1590" s="1">
        <v>11.0</v>
      </c>
      <c r="AL1590" s="1">
        <v>4.0</v>
      </c>
      <c r="AM1590" s="1">
        <v>1.0</v>
      </c>
      <c r="AN1590" s="1">
        <v>2.0</v>
      </c>
      <c r="AO1590" s="1" t="s">
        <v>198</v>
      </c>
      <c r="AP1590" s="1">
        <v>1.0</v>
      </c>
      <c r="AQ1590" s="1" t="s">
        <v>1314</v>
      </c>
      <c r="AR1590" s="1" t="s">
        <v>200</v>
      </c>
      <c r="AS1590" s="1" t="s">
        <v>199</v>
      </c>
      <c r="AT1590" s="1">
        <v>2.0</v>
      </c>
      <c r="AV1590" s="1" t="s">
        <v>200</v>
      </c>
      <c r="AW1590" s="1">
        <v>7813.0</v>
      </c>
      <c r="AX1590" s="1">
        <v>2013.0</v>
      </c>
      <c r="AY1590" s="1" t="s">
        <v>387</v>
      </c>
      <c r="AZ1590" s="1" t="s">
        <v>200</v>
      </c>
      <c r="BA1590" s="1" t="str">
        <f>"0329377003"</f>
        <v>0329377003</v>
      </c>
      <c r="BB1590" s="1" t="s">
        <v>200</v>
      </c>
      <c r="BC1590" s="1">
        <v>2333.0</v>
      </c>
      <c r="BD1590" s="1">
        <v>219900.0</v>
      </c>
      <c r="BE1590" s="2">
        <v>42103.0</v>
      </c>
      <c r="BF1590" s="2" t="s">
        <v>16029</v>
      </c>
      <c r="BG1590" s="1" t="s">
        <v>1092</v>
      </c>
      <c r="BH1590" s="1">
        <v>0.0</v>
      </c>
      <c r="BI1590" s="1" t="s">
        <v>1093</v>
      </c>
      <c r="BJ1590" s="1" t="s">
        <v>1094</v>
      </c>
      <c r="BK1590" s="1" t="s">
        <v>204</v>
      </c>
      <c r="BL1590" s="1" t="str">
        <f>"15"</f>
        <v>15</v>
      </c>
      <c r="BM1590" s="1" t="str">
        <f>"36"</f>
        <v>36</v>
      </c>
      <c r="BQ1590" s="1">
        <v>300.0</v>
      </c>
      <c r="BR1590" s="1">
        <v>300.0</v>
      </c>
      <c r="BS1590" s="1">
        <v>300.0</v>
      </c>
      <c r="BU1590" s="1" t="s">
        <v>205</v>
      </c>
      <c r="BV1590" s="1" t="s">
        <v>206</v>
      </c>
      <c r="BW1590" s="1" t="s">
        <v>207</v>
      </c>
      <c r="BX1590" s="1" t="s">
        <v>229</v>
      </c>
      <c r="BY1590" s="1" t="s">
        <v>758</v>
      </c>
      <c r="BZ1590" s="1" t="s">
        <v>209</v>
      </c>
      <c r="CA1590" s="1" t="s">
        <v>210</v>
      </c>
      <c r="CB1590" s="1" t="s">
        <v>229</v>
      </c>
      <c r="CC1590" s="1" t="s">
        <v>699</v>
      </c>
      <c r="CD1590" s="1" t="s">
        <v>206</v>
      </c>
      <c r="CE1590" s="1" t="s">
        <v>207</v>
      </c>
      <c r="CF1590" s="1" t="s">
        <v>229</v>
      </c>
      <c r="CG1590" s="1" t="s">
        <v>363</v>
      </c>
      <c r="CH1590" s="1" t="s">
        <v>209</v>
      </c>
      <c r="CI1590" s="1" t="s">
        <v>207</v>
      </c>
      <c r="CJ1590" s="1" t="s">
        <v>229</v>
      </c>
      <c r="CK1590" s="1" t="s">
        <v>497</v>
      </c>
      <c r="CL1590" s="1" t="s">
        <v>209</v>
      </c>
      <c r="CM1590" s="1" t="s">
        <v>207</v>
      </c>
      <c r="CN1590" s="1" t="s">
        <v>229</v>
      </c>
      <c r="CO1590" s="1" t="s">
        <v>212</v>
      </c>
      <c r="CP1590" s="1" t="s">
        <v>209</v>
      </c>
      <c r="CQ1590" s="1" t="s">
        <v>207</v>
      </c>
      <c r="CR1590" s="1" t="s">
        <v>229</v>
      </c>
      <c r="CS1590" s="1" t="s">
        <v>332</v>
      </c>
      <c r="CT1590" s="1" t="s">
        <v>206</v>
      </c>
      <c r="CU1590" s="1" t="s">
        <v>617</v>
      </c>
      <c r="CV1590" s="1" t="s">
        <v>229</v>
      </c>
      <c r="CW1590" s="1" t="s">
        <v>208</v>
      </c>
      <c r="CX1590" s="1" t="s">
        <v>206</v>
      </c>
      <c r="CY1590" s="1" t="s">
        <v>210</v>
      </c>
      <c r="CZ1590" s="1" t="s">
        <v>229</v>
      </c>
      <c r="DA1590" s="1" t="s">
        <v>200</v>
      </c>
      <c r="DC1590" s="1" t="s">
        <v>271</v>
      </c>
      <c r="DD1590" s="1" t="s">
        <v>731</v>
      </c>
      <c r="DE1590" s="1" t="s">
        <v>273</v>
      </c>
      <c r="DF1590" s="1" t="s">
        <v>219</v>
      </c>
      <c r="DG1590" s="1" t="s">
        <v>1553</v>
      </c>
      <c r="DH1590" s="1" t="s">
        <v>1603</v>
      </c>
      <c r="DI1590" s="1" t="s">
        <v>1318</v>
      </c>
      <c r="DJ1590" s="1" t="s">
        <v>857</v>
      </c>
      <c r="DK1590" s="1" t="s">
        <v>223</v>
      </c>
      <c r="DL1590" s="1" t="s">
        <v>223</v>
      </c>
      <c r="DM1590" s="1" t="s">
        <v>1268</v>
      </c>
      <c r="DN1590" s="1" t="s">
        <v>339</v>
      </c>
      <c r="DO1590" s="1" t="s">
        <v>1208</v>
      </c>
      <c r="DP1590" s="1" t="s">
        <v>340</v>
      </c>
      <c r="DQ1590" s="1" t="s">
        <v>1557</v>
      </c>
      <c r="DR1590" s="1" t="s">
        <v>229</v>
      </c>
      <c r="DS1590" s="1" t="s">
        <v>401</v>
      </c>
      <c r="DU1590" s="1" t="s">
        <v>2636</v>
      </c>
      <c r="DV1590" s="1" t="s">
        <v>16030</v>
      </c>
      <c r="DW1590" s="1" t="s">
        <v>16031</v>
      </c>
      <c r="DX1590" s="1" t="s">
        <v>309</v>
      </c>
      <c r="DY1590" s="1" t="s">
        <v>704</v>
      </c>
      <c r="DZ1590" s="1" t="s">
        <v>8913</v>
      </c>
      <c r="EA1590" s="1" t="s">
        <v>344</v>
      </c>
      <c r="EB1590" s="1" t="s">
        <v>345</v>
      </c>
      <c r="EC1590" s="1" t="s">
        <v>237</v>
      </c>
      <c r="ED1590" s="1" t="s">
        <v>1761</v>
      </c>
      <c r="EE1590" s="1" t="s">
        <v>522</v>
      </c>
      <c r="EG1590" s="1" t="s">
        <v>449</v>
      </c>
      <c r="EH1590" s="1" t="s">
        <v>494</v>
      </c>
      <c r="EI1590" s="1" t="s">
        <v>1028</v>
      </c>
      <c r="EL1590" s="1" t="s">
        <v>411</v>
      </c>
      <c r="EM1590" s="1" t="s">
        <v>206</v>
      </c>
      <c r="EN1590" s="1" t="s">
        <v>617</v>
      </c>
      <c r="EO1590" s="1" t="s">
        <v>229</v>
      </c>
      <c r="EP1590" s="1" t="s">
        <v>211</v>
      </c>
      <c r="EQ1590" s="1" t="s">
        <v>206</v>
      </c>
      <c r="ER1590" s="1" t="s">
        <v>207</v>
      </c>
      <c r="ES1590" s="1" t="s">
        <v>229</v>
      </c>
      <c r="ET1590" s="1" t="s">
        <v>758</v>
      </c>
      <c r="EU1590" s="1" t="s">
        <v>206</v>
      </c>
      <c r="EV1590" s="1" t="s">
        <v>207</v>
      </c>
      <c r="EW1590" s="1" t="s">
        <v>229</v>
      </c>
      <c r="EY1590" s="1" t="s">
        <v>238</v>
      </c>
      <c r="FC1590" s="1" t="s">
        <v>238</v>
      </c>
      <c r="FF1590" s="1" t="s">
        <v>239</v>
      </c>
      <c r="FG1590" s="1" t="s">
        <v>192</v>
      </c>
      <c r="FH1590" s="1" t="s">
        <v>192</v>
      </c>
      <c r="FJ1590" s="1" t="s">
        <v>16032</v>
      </c>
      <c r="FK1590" s="1" t="s">
        <v>229</v>
      </c>
      <c r="FL1590" s="1" t="s">
        <v>3077</v>
      </c>
      <c r="FM1590" s="1">
        <v>5575.0</v>
      </c>
      <c r="FN1590" s="1" t="s">
        <v>3078</v>
      </c>
      <c r="FO1590" s="1" t="s">
        <v>3079</v>
      </c>
      <c r="FP1590" s="1">
        <v>50852.0</v>
      </c>
      <c r="FQ1590" s="1" t="s">
        <v>3080</v>
      </c>
      <c r="FR1590" s="1">
        <v>55703.0</v>
      </c>
      <c r="FS1590" s="1" t="s">
        <v>16033</v>
      </c>
      <c r="FU1590" s="1" t="s">
        <v>16034</v>
      </c>
      <c r="FV1590" s="1" t="s">
        <v>200</v>
      </c>
      <c r="FW1590" s="1" t="s">
        <v>354</v>
      </c>
      <c r="FZ1590" s="1" t="s">
        <v>632</v>
      </c>
      <c r="GA1590" s="1" t="s">
        <v>291</v>
      </c>
      <c r="GB1590" s="2">
        <v>42146.0</v>
      </c>
      <c r="GC1590" s="1" t="s">
        <v>16035</v>
      </c>
    </row>
    <row r="1591">
      <c r="A1591" s="1">
        <v>273000.0</v>
      </c>
      <c r="B1591" s="1" t="s">
        <v>185</v>
      </c>
      <c r="C1591" s="1" t="str">
        <f>"08891619"</f>
        <v>08891619</v>
      </c>
      <c r="D1591" s="1" t="s">
        <v>186</v>
      </c>
      <c r="F1591" s="1" t="str">
        <f>"123"</f>
        <v>123</v>
      </c>
      <c r="G1591" s="2">
        <v>42109.0</v>
      </c>
      <c r="H1591" s="1">
        <v>250000.0</v>
      </c>
      <c r="I1591" s="1">
        <v>5.0</v>
      </c>
      <c r="J1591" s="1">
        <v>250000.0</v>
      </c>
      <c r="K1591" s="2">
        <v>42113.0</v>
      </c>
      <c r="L1591" s="1">
        <v>5.0</v>
      </c>
      <c r="M1591" s="2">
        <v>42113.0</v>
      </c>
      <c r="N1591" s="1" t="s">
        <v>187</v>
      </c>
      <c r="O1591" s="2">
        <v>42150.0</v>
      </c>
      <c r="P1591" s="1">
        <v>57.0</v>
      </c>
      <c r="Q1591" s="1">
        <v>352.0</v>
      </c>
      <c r="R1591" s="1">
        <v>3000.0</v>
      </c>
      <c r="S1591" s="1" t="s">
        <v>16036</v>
      </c>
      <c r="T1591" s="1" t="s">
        <v>16037</v>
      </c>
      <c r="U1591" s="1" t="s">
        <v>1015</v>
      </c>
      <c r="V1591" s="1" t="s">
        <v>465</v>
      </c>
      <c r="W1591" s="1">
        <v>60124.0</v>
      </c>
      <c r="Y1591" s="1" t="s">
        <v>16038</v>
      </c>
      <c r="Z1591" s="1">
        <v>1976.0</v>
      </c>
      <c r="AA1591" s="1" t="s">
        <v>192</v>
      </c>
      <c r="AB1591" s="1" t="s">
        <v>193</v>
      </c>
      <c r="AC1591" s="1" t="s">
        <v>16039</v>
      </c>
      <c r="AD1591" s="1" t="s">
        <v>1089</v>
      </c>
      <c r="AE1591" s="1" t="s">
        <v>325</v>
      </c>
      <c r="AF1591" s="1" t="s">
        <v>469</v>
      </c>
      <c r="AG1591" s="1" t="s">
        <v>752</v>
      </c>
      <c r="AH1591" s="1" t="s">
        <v>16040</v>
      </c>
      <c r="AI1591" s="1">
        <v>1.0344</v>
      </c>
      <c r="AK1591" s="1">
        <v>11.0</v>
      </c>
      <c r="AL1591" s="1">
        <v>4.0</v>
      </c>
      <c r="AM1591" s="1">
        <v>2.0</v>
      </c>
      <c r="AN1591" s="1">
        <v>1.0</v>
      </c>
      <c r="AO1591" s="1" t="s">
        <v>198</v>
      </c>
      <c r="AP1591" s="1">
        <v>1.0</v>
      </c>
      <c r="AQ1591" s="1" t="s">
        <v>198</v>
      </c>
      <c r="AR1591" s="1" t="s">
        <v>200</v>
      </c>
      <c r="AS1591" s="1" t="s">
        <v>199</v>
      </c>
      <c r="AT1591" s="1">
        <v>2.0</v>
      </c>
      <c r="AV1591" s="1" t="s">
        <v>200</v>
      </c>
      <c r="AW1591" s="1">
        <v>7051.0</v>
      </c>
      <c r="AX1591" s="1">
        <v>2013.0</v>
      </c>
      <c r="AY1591" s="1" t="s">
        <v>387</v>
      </c>
      <c r="AZ1591" s="1" t="s">
        <v>200</v>
      </c>
      <c r="BA1591" s="1" t="str">
        <f>"0630126003"</f>
        <v>0630126003</v>
      </c>
      <c r="BC1591" s="1">
        <v>3050.0</v>
      </c>
      <c r="BD1591" s="1">
        <v>273000.0</v>
      </c>
      <c r="BE1591" s="2">
        <v>42109.0</v>
      </c>
      <c r="BF1591" s="2" t="s">
        <v>16041</v>
      </c>
      <c r="BH1591" s="1">
        <v>50.0</v>
      </c>
      <c r="BK1591" s="1" t="s">
        <v>580</v>
      </c>
      <c r="BL1591" s="1" t="str">
        <f t="shared" ref="BL1591:BM1591" si="1042">""</f>
        <v/>
      </c>
      <c r="BM1591" s="1" t="str">
        <f t="shared" si="1042"/>
        <v/>
      </c>
      <c r="BQ1591" s="1">
        <v>46.0</v>
      </c>
      <c r="BR1591" s="1">
        <v>46.0</v>
      </c>
      <c r="BS1591" s="1">
        <v>46.0</v>
      </c>
      <c r="BU1591" s="1" t="s">
        <v>333</v>
      </c>
      <c r="BV1591" s="1" t="s">
        <v>206</v>
      </c>
      <c r="BW1591" s="1" t="s">
        <v>207</v>
      </c>
      <c r="BX1591" s="1" t="s">
        <v>239</v>
      </c>
      <c r="BY1591" s="1" t="s">
        <v>1483</v>
      </c>
      <c r="BZ1591" s="1" t="s">
        <v>209</v>
      </c>
      <c r="CD1591" s="1" t="s">
        <v>204</v>
      </c>
      <c r="CG1591" s="1" t="s">
        <v>454</v>
      </c>
      <c r="CH1591" s="1" t="s">
        <v>209</v>
      </c>
      <c r="CK1591" s="1" t="s">
        <v>262</v>
      </c>
      <c r="CL1591" s="1" t="s">
        <v>209</v>
      </c>
      <c r="CO1591" s="1" t="s">
        <v>699</v>
      </c>
      <c r="CP1591" s="1" t="s">
        <v>209</v>
      </c>
      <c r="CS1591" s="1" t="s">
        <v>214</v>
      </c>
      <c r="CT1591" s="1" t="s">
        <v>206</v>
      </c>
      <c r="CU1591" s="1" t="s">
        <v>2128</v>
      </c>
      <c r="CW1591" s="1" t="s">
        <v>1378</v>
      </c>
      <c r="CX1591" s="1" t="s">
        <v>267</v>
      </c>
      <c r="DA1591" s="1" t="s">
        <v>200</v>
      </c>
      <c r="DC1591" s="1" t="s">
        <v>395</v>
      </c>
      <c r="DD1591" s="1" t="s">
        <v>217</v>
      </c>
      <c r="DE1591" s="1" t="s">
        <v>273</v>
      </c>
      <c r="DF1591" s="1" t="s">
        <v>619</v>
      </c>
      <c r="DH1591" s="1" t="s">
        <v>856</v>
      </c>
      <c r="DI1591" s="1" t="s">
        <v>16042</v>
      </c>
      <c r="DJ1591" s="1" t="s">
        <v>857</v>
      </c>
      <c r="DL1591" s="1" t="s">
        <v>224</v>
      </c>
      <c r="DM1591" s="1" t="s">
        <v>229</v>
      </c>
      <c r="DO1591" s="1" t="s">
        <v>930</v>
      </c>
      <c r="DQ1591" s="1" t="s">
        <v>931</v>
      </c>
      <c r="DR1591" s="1" t="s">
        <v>1487</v>
      </c>
      <c r="DV1591" s="1" t="s">
        <v>16043</v>
      </c>
      <c r="DW1591" s="1" t="s">
        <v>764</v>
      </c>
      <c r="DX1591" s="1" t="s">
        <v>234</v>
      </c>
      <c r="DY1591" s="1" t="s">
        <v>3125</v>
      </c>
      <c r="DZ1591" s="1" t="s">
        <v>16044</v>
      </c>
      <c r="EB1591" s="1" t="s">
        <v>345</v>
      </c>
      <c r="EC1591" s="1" t="s">
        <v>588</v>
      </c>
      <c r="EG1591" s="1" t="s">
        <v>449</v>
      </c>
      <c r="EH1591" s="1" t="s">
        <v>450</v>
      </c>
      <c r="EI1591" s="1" t="s">
        <v>1729</v>
      </c>
      <c r="EJ1591" s="1" t="s">
        <v>7071</v>
      </c>
      <c r="EL1591" s="1" t="s">
        <v>677</v>
      </c>
      <c r="EM1591" s="1" t="s">
        <v>206</v>
      </c>
      <c r="EP1591" s="1" t="s">
        <v>1378</v>
      </c>
      <c r="EQ1591" s="1" t="s">
        <v>267</v>
      </c>
      <c r="ET1591" s="1" t="s">
        <v>16045</v>
      </c>
      <c r="EU1591" s="1" t="s">
        <v>206</v>
      </c>
      <c r="EX1591" s="1" t="s">
        <v>623</v>
      </c>
      <c r="EY1591" s="1" t="s">
        <v>42</v>
      </c>
      <c r="FC1591" s="1" t="s">
        <v>238</v>
      </c>
      <c r="FF1591" s="1" t="s">
        <v>239</v>
      </c>
      <c r="FG1591" s="1" t="s">
        <v>192</v>
      </c>
      <c r="FH1591" s="1" t="s">
        <v>192</v>
      </c>
      <c r="FJ1591" s="1" t="s">
        <v>2262</v>
      </c>
      <c r="FK1591" s="1" t="s">
        <v>229</v>
      </c>
      <c r="FL1591" s="1" t="s">
        <v>456</v>
      </c>
      <c r="FM1591" s="1">
        <v>6485.0</v>
      </c>
      <c r="FN1591" s="1" t="s">
        <v>13393</v>
      </c>
      <c r="FO1591" s="1" t="s">
        <v>16046</v>
      </c>
      <c r="FP1591" s="1">
        <v>63348.0</v>
      </c>
      <c r="FQ1591" s="1" t="s">
        <v>13393</v>
      </c>
      <c r="FU1591" s="1" t="s">
        <v>11120</v>
      </c>
      <c r="FV1591" s="1" t="s">
        <v>200</v>
      </c>
      <c r="FW1591" s="1" t="s">
        <v>290</v>
      </c>
      <c r="FZ1591" s="1" t="s">
        <v>229</v>
      </c>
      <c r="GA1591" s="1" t="s">
        <v>291</v>
      </c>
      <c r="GB1591" s="2">
        <v>42150.0</v>
      </c>
      <c r="GC1591" s="1" t="s">
        <v>16047</v>
      </c>
    </row>
    <row r="1592">
      <c r="A1592" s="1">
        <v>293500.0</v>
      </c>
      <c r="B1592" s="1" t="s">
        <v>185</v>
      </c>
      <c r="C1592" s="1" t="str">
        <f>"08439891"</f>
        <v>08439891</v>
      </c>
      <c r="D1592" s="1" t="s">
        <v>186</v>
      </c>
      <c r="F1592" s="1" t="str">
        <f>"8039"</f>
        <v>8039</v>
      </c>
      <c r="G1592" s="2">
        <v>41526.0</v>
      </c>
      <c r="H1592" s="1">
        <v>399900.0</v>
      </c>
      <c r="I1592" s="1">
        <v>166.0</v>
      </c>
      <c r="J1592" s="1">
        <v>294500.0</v>
      </c>
      <c r="K1592" s="2">
        <v>41691.0</v>
      </c>
      <c r="L1592" s="1">
        <v>166.0</v>
      </c>
      <c r="M1592" s="2">
        <v>41691.0</v>
      </c>
      <c r="N1592" s="1" t="s">
        <v>249</v>
      </c>
      <c r="O1592" s="2">
        <v>42090.0</v>
      </c>
      <c r="P1592" s="1">
        <v>116143.0</v>
      </c>
      <c r="Q1592" s="1">
        <v>85646.0</v>
      </c>
      <c r="S1592" s="1">
        <v>4753.0</v>
      </c>
      <c r="T1592" s="1" t="s">
        <v>12166</v>
      </c>
      <c r="U1592" s="1" t="s">
        <v>189</v>
      </c>
      <c r="V1592" s="1" t="s">
        <v>190</v>
      </c>
      <c r="W1592" s="1">
        <v>60615.0</v>
      </c>
      <c r="Y1592" s="1" t="s">
        <v>16048</v>
      </c>
      <c r="Z1592" s="1">
        <v>1995.0</v>
      </c>
      <c r="AA1592" s="1" t="s">
        <v>200</v>
      </c>
      <c r="AB1592" s="1" t="s">
        <v>193</v>
      </c>
      <c r="AD1592" s="1" t="s">
        <v>194</v>
      </c>
      <c r="AE1592" s="1" t="s">
        <v>195</v>
      </c>
      <c r="AF1592" s="1" t="s">
        <v>637</v>
      </c>
      <c r="AH1592" s="1" t="s">
        <v>16049</v>
      </c>
      <c r="AK1592" s="1">
        <v>7.0</v>
      </c>
      <c r="AL1592" s="1">
        <v>4.0</v>
      </c>
      <c r="AM1592" s="1">
        <v>2.0</v>
      </c>
      <c r="AN1592" s="1">
        <v>1.0</v>
      </c>
      <c r="AO1592" s="1" t="s">
        <v>229</v>
      </c>
      <c r="AP1592" s="1">
        <v>1.0</v>
      </c>
      <c r="AQ1592" s="1" t="s">
        <v>229</v>
      </c>
      <c r="AR1592" s="1" t="s">
        <v>200</v>
      </c>
      <c r="AS1592" s="1" t="s">
        <v>199</v>
      </c>
      <c r="AT1592" s="1">
        <v>1.0</v>
      </c>
      <c r="AV1592" s="1" t="s">
        <v>200</v>
      </c>
      <c r="AW1592" s="1">
        <v>11177.56</v>
      </c>
      <c r="AX1592" s="1">
        <v>2013.0</v>
      </c>
      <c r="AZ1592" s="1" t="s">
        <v>200</v>
      </c>
      <c r="BA1592" s="1" t="str">
        <f>"20112060780000"</f>
        <v>20112060780000</v>
      </c>
      <c r="BC1592" s="1">
        <v>0.0</v>
      </c>
      <c r="BD1592" s="1">
        <v>293500.0</v>
      </c>
      <c r="BE1592" s="2">
        <v>41526.0</v>
      </c>
      <c r="BF1592" s="2" t="s">
        <v>16050</v>
      </c>
      <c r="BH1592" s="1">
        <v>0.0</v>
      </c>
      <c r="BK1592" s="1" t="s">
        <v>204</v>
      </c>
      <c r="BL1592" s="1" t="str">
        <f t="shared" ref="BL1592:BL1593" si="1043">"0"</f>
        <v>0</v>
      </c>
      <c r="BM1592" s="1" t="str">
        <f>"4755"</f>
        <v>4755</v>
      </c>
      <c r="BN1592" s="1">
        <v>0.0</v>
      </c>
      <c r="BO1592" s="1">
        <v>1400.0</v>
      </c>
      <c r="BQ1592" s="1">
        <v>299.0</v>
      </c>
      <c r="BR1592" s="1">
        <v>299.0</v>
      </c>
      <c r="BS1592" s="1">
        <v>299.0</v>
      </c>
      <c r="BU1592" s="1" t="s">
        <v>758</v>
      </c>
      <c r="BV1592" s="1" t="s">
        <v>206</v>
      </c>
      <c r="BY1592" s="1" t="s">
        <v>454</v>
      </c>
      <c r="BZ1592" s="1" t="s">
        <v>209</v>
      </c>
      <c r="CC1592" s="1" t="s">
        <v>1190</v>
      </c>
      <c r="CD1592" s="1" t="s">
        <v>206</v>
      </c>
      <c r="CG1592" s="1" t="s">
        <v>264</v>
      </c>
      <c r="CH1592" s="1" t="s">
        <v>209</v>
      </c>
      <c r="CK1592" s="1" t="s">
        <v>302</v>
      </c>
      <c r="CL1592" s="1" t="s">
        <v>267</v>
      </c>
      <c r="CO1592" s="1" t="s">
        <v>1760</v>
      </c>
      <c r="CP1592" s="1" t="s">
        <v>209</v>
      </c>
      <c r="CS1592" s="1" t="s">
        <v>264</v>
      </c>
      <c r="CT1592" s="1" t="s">
        <v>206</v>
      </c>
      <c r="CX1592" s="1" t="s">
        <v>204</v>
      </c>
      <c r="DA1592" s="1" t="s">
        <v>200</v>
      </c>
      <c r="DC1592" s="1" t="s">
        <v>678</v>
      </c>
      <c r="DE1592" s="1" t="s">
        <v>229</v>
      </c>
      <c r="DF1592" s="1" t="s">
        <v>905</v>
      </c>
      <c r="DH1592" s="1" t="s">
        <v>220</v>
      </c>
      <c r="DJ1592" s="1" t="s">
        <v>222</v>
      </c>
      <c r="DL1592" s="1" t="s">
        <v>229</v>
      </c>
      <c r="DM1592" s="1" t="s">
        <v>229</v>
      </c>
      <c r="DQ1592" s="1" t="s">
        <v>228</v>
      </c>
      <c r="DR1592" s="1" t="s">
        <v>229</v>
      </c>
      <c r="DV1592" s="1" t="s">
        <v>232</v>
      </c>
      <c r="DW1592" s="1" t="s">
        <v>6494</v>
      </c>
      <c r="DX1592" s="1" t="s">
        <v>234</v>
      </c>
      <c r="EC1592" s="1" t="s">
        <v>237</v>
      </c>
      <c r="EM1592" s="1" t="s">
        <v>238</v>
      </c>
      <c r="EQ1592" s="1" t="s">
        <v>238</v>
      </c>
      <c r="EU1592" s="1" t="s">
        <v>238</v>
      </c>
      <c r="EY1592" s="1" t="s">
        <v>238</v>
      </c>
      <c r="FC1592" s="1" t="s">
        <v>238</v>
      </c>
      <c r="FF1592" s="1" t="s">
        <v>239</v>
      </c>
      <c r="FG1592" s="1" t="s">
        <v>200</v>
      </c>
      <c r="FH1592" s="1" t="s">
        <v>192</v>
      </c>
      <c r="FJ1592" s="1" t="s">
        <v>1248</v>
      </c>
      <c r="FK1592" s="1" t="s">
        <v>229</v>
      </c>
      <c r="FL1592" s="1" t="s">
        <v>3443</v>
      </c>
      <c r="FM1592" s="1">
        <v>8658.0</v>
      </c>
      <c r="FN1592" s="1" t="s">
        <v>3444</v>
      </c>
      <c r="FO1592" s="1" t="s">
        <v>3445</v>
      </c>
      <c r="FP1592" s="1">
        <v>84760.0</v>
      </c>
      <c r="FQ1592" s="1" t="s">
        <v>3444</v>
      </c>
      <c r="FS1592" s="1" t="s">
        <v>9762</v>
      </c>
      <c r="FU1592" s="1" t="s">
        <v>710</v>
      </c>
      <c r="FV1592" s="1" t="s">
        <v>200</v>
      </c>
      <c r="FW1592" s="1" t="s">
        <v>290</v>
      </c>
      <c r="FX1592" s="1" t="s">
        <v>655</v>
      </c>
      <c r="FZ1592" s="1" t="s">
        <v>229</v>
      </c>
      <c r="GA1592" s="1" t="s">
        <v>291</v>
      </c>
      <c r="GB1592" s="2">
        <v>42109.0</v>
      </c>
      <c r="GC1592" s="1" t="s">
        <v>16051</v>
      </c>
    </row>
    <row r="1593">
      <c r="A1593" s="1">
        <v>155000.0</v>
      </c>
      <c r="B1593" s="1" t="s">
        <v>185</v>
      </c>
      <c r="C1593" s="1" t="str">
        <f>"08441799"</f>
        <v>08441799</v>
      </c>
      <c r="D1593" s="1" t="s">
        <v>186</v>
      </c>
      <c r="F1593" s="1" t="str">
        <f>"8070"</f>
        <v>8070</v>
      </c>
      <c r="G1593" s="2">
        <v>41527.0</v>
      </c>
      <c r="H1593" s="1">
        <v>179900.0</v>
      </c>
      <c r="I1593" s="1">
        <v>406.0</v>
      </c>
      <c r="J1593" s="1">
        <v>189900.0</v>
      </c>
      <c r="K1593" s="2">
        <v>41932.0</v>
      </c>
      <c r="L1593" s="1">
        <v>406.0</v>
      </c>
      <c r="M1593" s="2">
        <v>41932.0</v>
      </c>
      <c r="N1593" s="1" t="s">
        <v>187</v>
      </c>
      <c r="O1593" s="2">
        <v>41981.0</v>
      </c>
      <c r="P1593" s="1">
        <v>153809.0</v>
      </c>
      <c r="Q1593" s="1">
        <v>16941.0</v>
      </c>
      <c r="S1593" s="1">
        <v>2717.0</v>
      </c>
      <c r="T1593" s="1" t="s">
        <v>3351</v>
      </c>
      <c r="U1593" s="1" t="s">
        <v>320</v>
      </c>
      <c r="V1593" s="1" t="s">
        <v>190</v>
      </c>
      <c r="W1593" s="1">
        <v>60652.0</v>
      </c>
      <c r="Y1593" s="1" t="s">
        <v>16052</v>
      </c>
      <c r="Z1593" s="1">
        <v>1961.0</v>
      </c>
      <c r="AA1593" s="1" t="s">
        <v>192</v>
      </c>
      <c r="AB1593" s="1" t="s">
        <v>193</v>
      </c>
      <c r="AD1593" s="1" t="s">
        <v>194</v>
      </c>
      <c r="AE1593" s="1" t="s">
        <v>195</v>
      </c>
      <c r="AF1593" s="1" t="s">
        <v>659</v>
      </c>
      <c r="AH1593" s="1" t="s">
        <v>16053</v>
      </c>
      <c r="AK1593" s="1">
        <v>9.0</v>
      </c>
      <c r="AL1593" s="1">
        <v>4.0</v>
      </c>
      <c r="AM1593" s="1">
        <v>2.0</v>
      </c>
      <c r="AN1593" s="1">
        <v>0.0</v>
      </c>
      <c r="AO1593" s="1" t="s">
        <v>229</v>
      </c>
      <c r="AP1593" s="1">
        <v>1.0</v>
      </c>
      <c r="AQ1593" s="1" t="s">
        <v>1314</v>
      </c>
      <c r="AR1593" s="1" t="s">
        <v>200</v>
      </c>
      <c r="AS1593" s="1" t="s">
        <v>828</v>
      </c>
      <c r="AU1593" s="1">
        <v>4.0</v>
      </c>
      <c r="AV1593" s="1" t="s">
        <v>200</v>
      </c>
      <c r="AW1593" s="1">
        <v>2207.29</v>
      </c>
      <c r="AX1593" s="1">
        <v>2012.0</v>
      </c>
      <c r="AY1593" s="1" t="s">
        <v>1917</v>
      </c>
      <c r="AZ1593" s="1" t="s">
        <v>200</v>
      </c>
      <c r="BA1593" s="1" t="str">
        <f>"19364120110000"</f>
        <v>19364120110000</v>
      </c>
      <c r="BB1593" s="1" t="s">
        <v>200</v>
      </c>
      <c r="BC1593" s="1">
        <v>2150.0</v>
      </c>
      <c r="BD1593" s="1">
        <v>155000.0</v>
      </c>
      <c r="BE1593" s="2">
        <v>41527.0</v>
      </c>
      <c r="BF1593" s="2" t="s">
        <v>16054</v>
      </c>
      <c r="BH1593" s="1">
        <v>0.0</v>
      </c>
      <c r="BK1593" s="1" t="s">
        <v>204</v>
      </c>
      <c r="BL1593" s="1" t="str">
        <f t="shared" si="1043"/>
        <v>0</v>
      </c>
      <c r="BM1593" s="1" t="str">
        <f>"0"</f>
        <v>0</v>
      </c>
      <c r="BN1593" s="1">
        <v>2700.0</v>
      </c>
      <c r="BO1593" s="1">
        <v>8500.0</v>
      </c>
      <c r="BQ1593" s="1">
        <v>299.0</v>
      </c>
      <c r="BR1593" s="1">
        <v>299.0</v>
      </c>
      <c r="BS1593" s="1">
        <v>299.0</v>
      </c>
      <c r="BU1593" s="1" t="s">
        <v>2155</v>
      </c>
      <c r="BV1593" s="1" t="s">
        <v>206</v>
      </c>
      <c r="BW1593" s="1" t="s">
        <v>207</v>
      </c>
      <c r="BX1593" s="1" t="s">
        <v>239</v>
      </c>
      <c r="BY1593" s="1" t="s">
        <v>454</v>
      </c>
      <c r="BZ1593" s="1" t="s">
        <v>209</v>
      </c>
      <c r="CA1593" s="1" t="s">
        <v>207</v>
      </c>
      <c r="CB1593" s="1" t="s">
        <v>239</v>
      </c>
      <c r="CC1593" s="1" t="s">
        <v>363</v>
      </c>
      <c r="CD1593" s="1" t="s">
        <v>206</v>
      </c>
      <c r="CE1593" s="1" t="s">
        <v>207</v>
      </c>
      <c r="CF1593" s="1" t="s">
        <v>239</v>
      </c>
      <c r="CG1593" s="1" t="s">
        <v>262</v>
      </c>
      <c r="CH1593" s="1" t="s">
        <v>209</v>
      </c>
      <c r="CI1593" s="1" t="s">
        <v>207</v>
      </c>
      <c r="CJ1593" s="1" t="s">
        <v>239</v>
      </c>
      <c r="CK1593" s="1" t="s">
        <v>212</v>
      </c>
      <c r="CL1593" s="1" t="s">
        <v>209</v>
      </c>
      <c r="CM1593" s="1" t="s">
        <v>207</v>
      </c>
      <c r="CN1593" s="1" t="s">
        <v>239</v>
      </c>
      <c r="CO1593" s="1" t="s">
        <v>262</v>
      </c>
      <c r="CP1593" s="1" t="s">
        <v>206</v>
      </c>
      <c r="CQ1593" s="1" t="s">
        <v>268</v>
      </c>
      <c r="CR1593" s="1" t="s">
        <v>239</v>
      </c>
      <c r="CS1593" s="1" t="s">
        <v>331</v>
      </c>
      <c r="CT1593" s="1" t="s">
        <v>206</v>
      </c>
      <c r="CU1593" s="1" t="s">
        <v>617</v>
      </c>
      <c r="CV1593" s="1" t="s">
        <v>239</v>
      </c>
      <c r="CW1593" s="1" t="s">
        <v>214</v>
      </c>
      <c r="CX1593" s="1" t="s">
        <v>206</v>
      </c>
      <c r="CY1593" s="1" t="s">
        <v>617</v>
      </c>
      <c r="CZ1593" s="1" t="s">
        <v>239</v>
      </c>
      <c r="DA1593" s="1" t="s">
        <v>200</v>
      </c>
      <c r="DC1593" s="1" t="s">
        <v>271</v>
      </c>
      <c r="DD1593" s="1" t="s">
        <v>396</v>
      </c>
      <c r="DE1593" s="1" t="s">
        <v>273</v>
      </c>
      <c r="DF1593" s="1" t="s">
        <v>219</v>
      </c>
      <c r="DG1593" s="1" t="s">
        <v>337</v>
      </c>
      <c r="DH1593" s="1" t="s">
        <v>365</v>
      </c>
      <c r="DI1593" s="1" t="s">
        <v>703</v>
      </c>
      <c r="DJ1593" s="1" t="s">
        <v>222</v>
      </c>
      <c r="DK1593" s="1" t="s">
        <v>223</v>
      </c>
      <c r="DL1593" s="1" t="s">
        <v>15274</v>
      </c>
      <c r="DM1593" s="1" t="s">
        <v>1402</v>
      </c>
      <c r="DO1593" s="1" t="s">
        <v>549</v>
      </c>
      <c r="DP1593" s="1" t="s">
        <v>8257</v>
      </c>
      <c r="DQ1593" s="1" t="s">
        <v>228</v>
      </c>
      <c r="DR1593" s="1" t="s">
        <v>229</v>
      </c>
      <c r="DS1593" s="1" t="s">
        <v>230</v>
      </c>
      <c r="DU1593" s="1" t="s">
        <v>3487</v>
      </c>
      <c r="DV1593" s="1" t="s">
        <v>594</v>
      </c>
      <c r="DW1593" s="1" t="s">
        <v>279</v>
      </c>
      <c r="DX1593" s="1" t="s">
        <v>3205</v>
      </c>
      <c r="DY1593" s="1" t="s">
        <v>4467</v>
      </c>
      <c r="DZ1593" s="1" t="s">
        <v>1661</v>
      </c>
      <c r="EA1593" s="1" t="s">
        <v>5604</v>
      </c>
      <c r="EB1593" s="1" t="s">
        <v>937</v>
      </c>
      <c r="EC1593" s="1" t="s">
        <v>4613</v>
      </c>
      <c r="EF1593" s="1" t="s">
        <v>5154</v>
      </c>
      <c r="EG1593" s="1" t="s">
        <v>408</v>
      </c>
      <c r="EH1593" s="1" t="s">
        <v>598</v>
      </c>
      <c r="EL1593" s="1" t="s">
        <v>1245</v>
      </c>
      <c r="EM1593" s="1" t="s">
        <v>206</v>
      </c>
      <c r="EN1593" s="1" t="s">
        <v>268</v>
      </c>
      <c r="EO1593" s="1" t="s">
        <v>229</v>
      </c>
      <c r="EP1593" s="1" t="s">
        <v>433</v>
      </c>
      <c r="EQ1593" s="1" t="s">
        <v>42</v>
      </c>
      <c r="ER1593" s="1" t="s">
        <v>617</v>
      </c>
      <c r="ES1593" s="1" t="s">
        <v>229</v>
      </c>
      <c r="EU1593" s="1" t="s">
        <v>238</v>
      </c>
      <c r="EY1593" s="1" t="s">
        <v>238</v>
      </c>
      <c r="FC1593" s="1" t="s">
        <v>238</v>
      </c>
      <c r="FF1593" s="1" t="s">
        <v>239</v>
      </c>
      <c r="FG1593" s="1" t="s">
        <v>192</v>
      </c>
      <c r="FH1593" s="1" t="s">
        <v>192</v>
      </c>
      <c r="FJ1593" s="1" t="s">
        <v>14295</v>
      </c>
      <c r="FK1593" s="1" t="s">
        <v>229</v>
      </c>
      <c r="FL1593" s="1" t="s">
        <v>1289</v>
      </c>
      <c r="FM1593" s="1">
        <v>25619.0</v>
      </c>
      <c r="FN1593" s="1" t="s">
        <v>1290</v>
      </c>
      <c r="FO1593" s="1" t="s">
        <v>16055</v>
      </c>
      <c r="FP1593" s="1">
        <v>606698.0</v>
      </c>
      <c r="FQ1593" s="1" t="s">
        <v>16056</v>
      </c>
      <c r="FR1593" s="1">
        <v>220931.0</v>
      </c>
      <c r="FS1593" s="1" t="s">
        <v>16057</v>
      </c>
      <c r="FU1593" s="1" t="s">
        <v>16058</v>
      </c>
      <c r="FV1593" s="1" t="s">
        <v>200</v>
      </c>
      <c r="FW1593" s="1" t="s">
        <v>530</v>
      </c>
      <c r="FX1593" s="1" t="s">
        <v>246</v>
      </c>
      <c r="FZ1593" s="1" t="s">
        <v>229</v>
      </c>
      <c r="GA1593" s="1" t="s">
        <v>247</v>
      </c>
      <c r="GB1593" s="2">
        <v>41982.0</v>
      </c>
      <c r="GC1593" s="1" t="s">
        <v>16059</v>
      </c>
    </row>
    <row r="1594">
      <c r="A1594" s="1">
        <v>149500.0</v>
      </c>
      <c r="B1594" s="1" t="s">
        <v>185</v>
      </c>
      <c r="C1594" s="1" t="str">
        <f>"08446009"</f>
        <v>08446009</v>
      </c>
      <c r="D1594" s="1" t="s">
        <v>186</v>
      </c>
      <c r="F1594" s="1" t="str">
        <f>"110"</f>
        <v>110</v>
      </c>
      <c r="G1594" s="2">
        <v>41533.0</v>
      </c>
      <c r="H1594" s="1">
        <v>165000.0</v>
      </c>
      <c r="I1594" s="1">
        <v>358.0</v>
      </c>
      <c r="J1594" s="1">
        <v>155000.0</v>
      </c>
      <c r="K1594" s="2">
        <v>41854.0</v>
      </c>
      <c r="L1594" s="1">
        <v>325.0</v>
      </c>
      <c r="M1594" s="2">
        <v>41854.0</v>
      </c>
      <c r="N1594" s="1" t="s">
        <v>356</v>
      </c>
      <c r="O1594" s="2">
        <v>42003.0</v>
      </c>
      <c r="P1594" s="1">
        <v>87610.0</v>
      </c>
      <c r="Q1594" s="1">
        <v>8074.0</v>
      </c>
      <c r="S1594" s="1">
        <v>1607.0</v>
      </c>
      <c r="T1594" s="1" t="s">
        <v>16060</v>
      </c>
      <c r="U1594" s="1" t="s">
        <v>1174</v>
      </c>
      <c r="V1594" s="1" t="s">
        <v>807</v>
      </c>
      <c r="W1594" s="1">
        <v>60110.0</v>
      </c>
      <c r="Y1594" s="1" t="s">
        <v>16061</v>
      </c>
      <c r="Z1594" s="1">
        <v>1956.0</v>
      </c>
      <c r="AA1594" s="1" t="s">
        <v>192</v>
      </c>
      <c r="AB1594" s="1" t="s">
        <v>193</v>
      </c>
      <c r="AD1594" s="1" t="s">
        <v>809</v>
      </c>
      <c r="AE1594" s="1" t="s">
        <v>325</v>
      </c>
      <c r="AF1594" s="1" t="s">
        <v>810</v>
      </c>
      <c r="AH1594" s="1">
        <v>6120.0</v>
      </c>
      <c r="AI1594" s="1">
        <v>0.14</v>
      </c>
      <c r="AK1594" s="1">
        <v>9.0</v>
      </c>
      <c r="AL1594" s="1">
        <v>4.0</v>
      </c>
      <c r="AM1594" s="1">
        <v>2.0</v>
      </c>
      <c r="AN1594" s="1">
        <v>0.0</v>
      </c>
      <c r="AO1594" s="1" t="s">
        <v>229</v>
      </c>
      <c r="AQ1594" s="1" t="s">
        <v>198</v>
      </c>
      <c r="AR1594" s="1" t="s">
        <v>192</v>
      </c>
      <c r="AS1594" s="1" t="s">
        <v>828</v>
      </c>
      <c r="AU1594" s="1">
        <v>2.0</v>
      </c>
      <c r="AV1594" s="1" t="s">
        <v>200</v>
      </c>
      <c r="AW1594" s="1">
        <v>1329.54</v>
      </c>
      <c r="AX1594" s="1">
        <v>2013.0</v>
      </c>
      <c r="AY1594" s="1" t="s">
        <v>1179</v>
      </c>
      <c r="AZ1594" s="1" t="s">
        <v>200</v>
      </c>
      <c r="BA1594" s="1" t="str">
        <f>"0312129015"</f>
        <v>0312129015</v>
      </c>
      <c r="BC1594" s="1">
        <v>1600.0</v>
      </c>
      <c r="BD1594" s="1">
        <v>149500.0</v>
      </c>
      <c r="BE1594" s="2">
        <v>41530.0</v>
      </c>
      <c r="BF1594" s="2" t="s">
        <v>16062</v>
      </c>
      <c r="BH1594" s="1">
        <v>0.0</v>
      </c>
      <c r="BK1594" s="1" t="s">
        <v>204</v>
      </c>
      <c r="BL1594" s="1" t="str">
        <f t="shared" ref="BL1594:BM1594" si="1044">""</f>
        <v/>
      </c>
      <c r="BM1594" s="1" t="str">
        <f t="shared" si="1044"/>
        <v/>
      </c>
      <c r="BQ1594" s="1">
        <v>220.0</v>
      </c>
      <c r="BR1594" s="1">
        <v>220.0</v>
      </c>
      <c r="BS1594" s="1">
        <v>220.0</v>
      </c>
      <c r="BU1594" s="1" t="s">
        <v>664</v>
      </c>
      <c r="BV1594" s="1" t="s">
        <v>206</v>
      </c>
      <c r="BW1594" s="1" t="s">
        <v>210</v>
      </c>
      <c r="BX1594" s="1" t="s">
        <v>239</v>
      </c>
      <c r="BY1594" s="1" t="s">
        <v>300</v>
      </c>
      <c r="BZ1594" s="1" t="s">
        <v>206</v>
      </c>
      <c r="CA1594" s="1" t="s">
        <v>210</v>
      </c>
      <c r="CB1594" s="1" t="s">
        <v>239</v>
      </c>
      <c r="CD1594" s="1" t="s">
        <v>204</v>
      </c>
      <c r="CG1594" s="1" t="s">
        <v>1760</v>
      </c>
      <c r="CH1594" s="1" t="s">
        <v>206</v>
      </c>
      <c r="CI1594" s="1" t="s">
        <v>210</v>
      </c>
      <c r="CJ1594" s="1" t="s">
        <v>239</v>
      </c>
      <c r="CK1594" s="1" t="s">
        <v>1760</v>
      </c>
      <c r="CL1594" s="1" t="s">
        <v>206</v>
      </c>
      <c r="CM1594" s="1" t="s">
        <v>210</v>
      </c>
      <c r="CN1594" s="1" t="s">
        <v>239</v>
      </c>
      <c r="CO1594" s="1" t="s">
        <v>1158</v>
      </c>
      <c r="CP1594" s="1" t="s">
        <v>267</v>
      </c>
      <c r="CQ1594" s="1" t="s">
        <v>210</v>
      </c>
      <c r="CR1594" s="1" t="s">
        <v>239</v>
      </c>
      <c r="CS1594" s="1" t="s">
        <v>543</v>
      </c>
      <c r="CT1594" s="1" t="s">
        <v>206</v>
      </c>
      <c r="CU1594" s="1" t="s">
        <v>617</v>
      </c>
      <c r="CV1594" s="1" t="s">
        <v>239</v>
      </c>
      <c r="CW1594" s="1" t="s">
        <v>10619</v>
      </c>
      <c r="CX1594" s="1" t="s">
        <v>267</v>
      </c>
      <c r="CY1594" s="1" t="s">
        <v>210</v>
      </c>
      <c r="CZ1594" s="1" t="s">
        <v>239</v>
      </c>
      <c r="DA1594" s="1" t="s">
        <v>200</v>
      </c>
      <c r="DC1594" s="1" t="s">
        <v>271</v>
      </c>
      <c r="DD1594" s="1" t="s">
        <v>518</v>
      </c>
      <c r="DE1594" s="1" t="s">
        <v>273</v>
      </c>
      <c r="DF1594" s="1" t="s">
        <v>219</v>
      </c>
      <c r="DH1594" s="1" t="s">
        <v>365</v>
      </c>
      <c r="DI1594" s="1" t="s">
        <v>16063</v>
      </c>
      <c r="DJ1594" s="1" t="s">
        <v>222</v>
      </c>
      <c r="DL1594" s="1" t="s">
        <v>224</v>
      </c>
      <c r="DM1594" s="1" t="s">
        <v>338</v>
      </c>
      <c r="DQ1594" s="1" t="s">
        <v>228</v>
      </c>
      <c r="DR1594" s="1" t="s">
        <v>229</v>
      </c>
      <c r="DU1594" s="1" t="s">
        <v>16064</v>
      </c>
      <c r="DV1594" s="1" t="s">
        <v>7762</v>
      </c>
      <c r="DW1594" s="1" t="s">
        <v>370</v>
      </c>
      <c r="DX1594" s="1" t="s">
        <v>234</v>
      </c>
      <c r="DY1594" s="1" t="s">
        <v>833</v>
      </c>
      <c r="DZ1594" s="1" t="s">
        <v>446</v>
      </c>
      <c r="EC1594" s="1" t="s">
        <v>311</v>
      </c>
      <c r="EE1594" s="1" t="s">
        <v>187</v>
      </c>
      <c r="EG1594" s="1" t="s">
        <v>1407</v>
      </c>
      <c r="EH1594" s="1" t="s">
        <v>449</v>
      </c>
      <c r="EL1594" s="1" t="s">
        <v>1117</v>
      </c>
      <c r="EM1594" s="1" t="s">
        <v>267</v>
      </c>
      <c r="EN1594" s="1" t="s">
        <v>617</v>
      </c>
      <c r="EO1594" s="1" t="s">
        <v>239</v>
      </c>
      <c r="EP1594" s="1" t="s">
        <v>1584</v>
      </c>
      <c r="EQ1594" s="1" t="s">
        <v>206</v>
      </c>
      <c r="ER1594" s="1" t="s">
        <v>617</v>
      </c>
      <c r="ES1594" s="1" t="s">
        <v>239</v>
      </c>
      <c r="EU1594" s="1" t="s">
        <v>238</v>
      </c>
      <c r="EY1594" s="1" t="s">
        <v>238</v>
      </c>
      <c r="FC1594" s="1" t="s">
        <v>238</v>
      </c>
      <c r="FF1594" s="1" t="s">
        <v>239</v>
      </c>
      <c r="FG1594" s="1" t="s">
        <v>192</v>
      </c>
      <c r="FH1594" s="1" t="s">
        <v>192</v>
      </c>
      <c r="FJ1594" s="1" t="s">
        <v>1469</v>
      </c>
      <c r="FK1594" s="1" t="s">
        <v>229</v>
      </c>
      <c r="FL1594" s="1" t="s">
        <v>456</v>
      </c>
      <c r="FM1594" s="1">
        <v>6026.0</v>
      </c>
      <c r="FN1594" s="1" t="s">
        <v>3545</v>
      </c>
      <c r="FO1594" s="1" t="s">
        <v>16065</v>
      </c>
      <c r="FP1594" s="1">
        <v>63167.0</v>
      </c>
      <c r="FQ1594" s="1" t="s">
        <v>16066</v>
      </c>
      <c r="FR1594" s="1">
        <v>62750.0</v>
      </c>
      <c r="FU1594" s="1" t="s">
        <v>16067</v>
      </c>
      <c r="FV1594" s="1" t="s">
        <v>200</v>
      </c>
      <c r="FW1594" s="1" t="s">
        <v>530</v>
      </c>
      <c r="FZ1594" s="1" t="s">
        <v>229</v>
      </c>
      <c r="GA1594" s="1" t="s">
        <v>291</v>
      </c>
      <c r="GB1594" s="2">
        <v>42004.0</v>
      </c>
      <c r="GC1594" s="1" t="s">
        <v>16068</v>
      </c>
    </row>
    <row r="1595">
      <c r="A1595" s="1">
        <v>171000.0</v>
      </c>
      <c r="B1595" s="1" t="s">
        <v>185</v>
      </c>
      <c r="C1595" s="1" t="str">
        <f>"08663142"</f>
        <v>08663142</v>
      </c>
      <c r="D1595" s="1" t="s">
        <v>186</v>
      </c>
      <c r="F1595" s="1" t="str">
        <f>"543"</f>
        <v>543</v>
      </c>
      <c r="G1595" s="2">
        <v>41823.0</v>
      </c>
      <c r="H1595" s="1">
        <v>239900.0</v>
      </c>
      <c r="I1595" s="1">
        <v>145.0</v>
      </c>
      <c r="J1595" s="1">
        <v>199900.0</v>
      </c>
      <c r="K1595" s="2">
        <v>41967.0</v>
      </c>
      <c r="L1595" s="1">
        <v>145.0</v>
      </c>
      <c r="M1595" s="2">
        <v>41967.0</v>
      </c>
      <c r="N1595" s="1" t="s">
        <v>356</v>
      </c>
      <c r="O1595" s="2">
        <v>41995.0</v>
      </c>
      <c r="P1595" s="1">
        <v>237858.0</v>
      </c>
      <c r="Q1595" s="1">
        <v>25956.0</v>
      </c>
      <c r="S1595" s="1">
        <v>241.0</v>
      </c>
      <c r="T1595" s="1" t="s">
        <v>16069</v>
      </c>
      <c r="U1595" s="1" t="s">
        <v>982</v>
      </c>
      <c r="V1595" s="1" t="s">
        <v>1527</v>
      </c>
      <c r="W1595" s="1">
        <v>60543.0</v>
      </c>
      <c r="X1595" s="1">
        <v>8241.0</v>
      </c>
      <c r="Y1595" s="1" t="s">
        <v>16070</v>
      </c>
      <c r="Z1595" s="1">
        <v>1999.0</v>
      </c>
      <c r="AA1595" s="1" t="s">
        <v>200</v>
      </c>
      <c r="AB1595" s="1" t="s">
        <v>467</v>
      </c>
      <c r="AC1595" s="1" t="s">
        <v>12380</v>
      </c>
      <c r="AD1595" s="1" t="s">
        <v>1529</v>
      </c>
      <c r="AE1595" s="1" t="s">
        <v>849</v>
      </c>
      <c r="AF1595" s="1" t="s">
        <v>1529</v>
      </c>
      <c r="AG1595" s="1" t="s">
        <v>16071</v>
      </c>
      <c r="AH1595" s="1" t="s">
        <v>16072</v>
      </c>
      <c r="AK1595" s="1">
        <v>9.0</v>
      </c>
      <c r="AL1595" s="1">
        <v>4.0</v>
      </c>
      <c r="AM1595" s="1">
        <v>2.0</v>
      </c>
      <c r="AN1595" s="1">
        <v>1.0</v>
      </c>
      <c r="AO1595" s="1" t="s">
        <v>198</v>
      </c>
      <c r="AP1595" s="1">
        <v>1.0</v>
      </c>
      <c r="AQ1595" s="1" t="s">
        <v>1314</v>
      </c>
      <c r="AR1595" s="1" t="s">
        <v>200</v>
      </c>
      <c r="AS1595" s="1" t="s">
        <v>199</v>
      </c>
      <c r="AT1595" s="1">
        <v>2.0</v>
      </c>
      <c r="AV1595" s="1" t="s">
        <v>200</v>
      </c>
      <c r="AW1595" s="1">
        <v>6828.96</v>
      </c>
      <c r="AX1595" s="1">
        <v>2013.0</v>
      </c>
      <c r="AY1595" s="1" t="s">
        <v>387</v>
      </c>
      <c r="AZ1595" s="1" t="s">
        <v>200</v>
      </c>
      <c r="BA1595" s="1" t="str">
        <f>"0319403003"</f>
        <v>0319403003</v>
      </c>
      <c r="BB1595" s="1" t="s">
        <v>200</v>
      </c>
      <c r="BC1595" s="1">
        <v>2196.0</v>
      </c>
      <c r="BD1595" s="1">
        <v>171000.0</v>
      </c>
      <c r="BE1595" s="2">
        <v>41823.0</v>
      </c>
      <c r="BF1595" s="1" t="s">
        <v>16073</v>
      </c>
      <c r="BG1595" s="1" t="s">
        <v>1532</v>
      </c>
      <c r="BH1595" s="1">
        <v>190.0</v>
      </c>
      <c r="BI1595" s="1" t="s">
        <v>1348</v>
      </c>
      <c r="BJ1595" s="1" t="s">
        <v>1349</v>
      </c>
      <c r="BK1595" s="1" t="s">
        <v>580</v>
      </c>
      <c r="BL1595" s="1" t="str">
        <f t="shared" ref="BL1595:BM1595" si="1045">"0"</f>
        <v>0</v>
      </c>
      <c r="BM1595" s="1" t="str">
        <f t="shared" si="1045"/>
        <v>0</v>
      </c>
      <c r="BN1595" s="1">
        <v>38.0</v>
      </c>
      <c r="BO1595" s="1">
        <v>13.0</v>
      </c>
      <c r="BQ1595" s="1">
        <v>308.0</v>
      </c>
      <c r="BR1595" s="1">
        <v>308.0</v>
      </c>
      <c r="BS1595" s="1">
        <v>308.0</v>
      </c>
      <c r="BU1595" s="1" t="s">
        <v>211</v>
      </c>
      <c r="BV1595" s="1" t="s">
        <v>206</v>
      </c>
      <c r="BY1595" s="1" t="s">
        <v>213</v>
      </c>
      <c r="BZ1595" s="1" t="s">
        <v>209</v>
      </c>
      <c r="CC1595" s="1" t="s">
        <v>904</v>
      </c>
      <c r="CD1595" s="1" t="s">
        <v>206</v>
      </c>
      <c r="CG1595" s="1" t="s">
        <v>363</v>
      </c>
      <c r="CH1595" s="1" t="s">
        <v>209</v>
      </c>
      <c r="CK1595" s="1" t="s">
        <v>264</v>
      </c>
      <c r="CL1595" s="1" t="s">
        <v>209</v>
      </c>
      <c r="CO1595" s="1" t="s">
        <v>495</v>
      </c>
      <c r="CP1595" s="1" t="s">
        <v>209</v>
      </c>
      <c r="CS1595" s="1" t="s">
        <v>699</v>
      </c>
      <c r="CT1595" s="1" t="s">
        <v>206</v>
      </c>
      <c r="CW1595" s="1" t="s">
        <v>208</v>
      </c>
      <c r="CX1595" s="1" t="s">
        <v>206</v>
      </c>
      <c r="DA1595" s="1" t="s">
        <v>200</v>
      </c>
      <c r="DC1595" s="1" t="s">
        <v>335</v>
      </c>
      <c r="DE1595" s="1" t="s">
        <v>273</v>
      </c>
      <c r="DF1595" s="1" t="s">
        <v>219</v>
      </c>
      <c r="DG1595" s="1" t="s">
        <v>337</v>
      </c>
      <c r="DH1595" s="1" t="s">
        <v>220</v>
      </c>
      <c r="DJ1595" s="1" t="s">
        <v>222</v>
      </c>
      <c r="DL1595" s="1" t="s">
        <v>224</v>
      </c>
      <c r="DM1595" s="1" t="s">
        <v>229</v>
      </c>
      <c r="DQ1595" s="1" t="s">
        <v>441</v>
      </c>
      <c r="DR1595" s="1" t="s">
        <v>588</v>
      </c>
      <c r="DS1595" s="1" t="s">
        <v>230</v>
      </c>
      <c r="DV1595" s="1" t="s">
        <v>556</v>
      </c>
      <c r="DW1595" s="1" t="s">
        <v>2602</v>
      </c>
      <c r="DX1595" s="1" t="s">
        <v>234</v>
      </c>
      <c r="EC1595" s="1" t="s">
        <v>237</v>
      </c>
      <c r="EG1595" s="1" t="s">
        <v>556</v>
      </c>
      <c r="EL1595" s="1" t="s">
        <v>265</v>
      </c>
      <c r="EM1595" s="1" t="s">
        <v>206</v>
      </c>
      <c r="EQ1595" s="1" t="s">
        <v>238</v>
      </c>
      <c r="EU1595" s="1" t="s">
        <v>238</v>
      </c>
      <c r="EY1595" s="1" t="s">
        <v>238</v>
      </c>
      <c r="FC1595" s="1" t="s">
        <v>238</v>
      </c>
      <c r="FF1595" s="1" t="s">
        <v>239</v>
      </c>
      <c r="FG1595" s="1" t="s">
        <v>192</v>
      </c>
      <c r="FH1595" s="1" t="s">
        <v>192</v>
      </c>
      <c r="FJ1595" s="1" t="s">
        <v>770</v>
      </c>
      <c r="FK1595" s="1" t="s">
        <v>348</v>
      </c>
      <c r="FL1595" s="1" t="s">
        <v>1893</v>
      </c>
      <c r="FM1595" s="1">
        <v>23187.0</v>
      </c>
      <c r="FN1595" s="1" t="s">
        <v>1894</v>
      </c>
      <c r="FO1595" s="1" t="s">
        <v>1895</v>
      </c>
      <c r="FP1595" s="1">
        <v>233406.0</v>
      </c>
      <c r="FQ1595" s="1" t="s">
        <v>1896</v>
      </c>
      <c r="FR1595" s="1">
        <v>232524.0</v>
      </c>
      <c r="FU1595" s="1" t="s">
        <v>1541</v>
      </c>
      <c r="FV1595" s="1" t="s">
        <v>200</v>
      </c>
      <c r="FW1595" s="1" t="s">
        <v>1897</v>
      </c>
      <c r="FZ1595" s="1" t="s">
        <v>229</v>
      </c>
      <c r="GA1595" s="1" t="s">
        <v>291</v>
      </c>
      <c r="GB1595" s="2">
        <v>41997.0</v>
      </c>
      <c r="GC1595" s="1" t="s">
        <v>16074</v>
      </c>
    </row>
    <row r="1596">
      <c r="A1596" s="1">
        <v>85000.0</v>
      </c>
      <c r="B1596" s="1" t="s">
        <v>185</v>
      </c>
      <c r="C1596" s="1" t="str">
        <f>"08494359"</f>
        <v>08494359</v>
      </c>
      <c r="D1596" s="1" t="s">
        <v>186</v>
      </c>
      <c r="F1596" s="1" t="str">
        <f>"538"</f>
        <v>538</v>
      </c>
      <c r="G1596" s="2">
        <v>41604.0</v>
      </c>
      <c r="H1596" s="1">
        <v>148200.0</v>
      </c>
      <c r="I1596" s="1">
        <v>68.0</v>
      </c>
      <c r="J1596" s="1">
        <v>113700.0</v>
      </c>
      <c r="K1596" s="2">
        <v>41671.0</v>
      </c>
      <c r="L1596" s="1">
        <v>68.0</v>
      </c>
      <c r="M1596" s="2">
        <v>41671.0</v>
      </c>
      <c r="N1596" s="1" t="s">
        <v>249</v>
      </c>
      <c r="O1596" s="2">
        <v>41985.0</v>
      </c>
      <c r="P1596" s="1">
        <v>216037.0</v>
      </c>
      <c r="Q1596" s="1">
        <v>22029.0</v>
      </c>
      <c r="S1596" s="1">
        <v>12.0</v>
      </c>
      <c r="T1596" s="1" t="s">
        <v>16075</v>
      </c>
      <c r="U1596" s="1" t="s">
        <v>189</v>
      </c>
      <c r="V1596" s="1" t="s">
        <v>1340</v>
      </c>
      <c r="W1596" s="1">
        <v>60538.0</v>
      </c>
      <c r="X1596" s="1">
        <v>2711.0</v>
      </c>
      <c r="Y1596" s="1" t="s">
        <v>16076</v>
      </c>
      <c r="Z1596" s="1">
        <v>1969.0</v>
      </c>
      <c r="AA1596" s="1" t="s">
        <v>192</v>
      </c>
      <c r="AB1596" s="1" t="s">
        <v>193</v>
      </c>
      <c r="AC1596" s="1" t="s">
        <v>8312</v>
      </c>
      <c r="AD1596" s="1" t="s">
        <v>1343</v>
      </c>
      <c r="AE1596" s="1" t="s">
        <v>849</v>
      </c>
      <c r="AF1596" s="1" t="s">
        <v>1529</v>
      </c>
      <c r="AH1596" s="1" t="s">
        <v>16077</v>
      </c>
      <c r="AI1596" s="1">
        <v>0.0</v>
      </c>
      <c r="AK1596" s="1">
        <v>8.0</v>
      </c>
      <c r="AL1596" s="1">
        <v>4.0</v>
      </c>
      <c r="AM1596" s="1">
        <v>2.0</v>
      </c>
      <c r="AN1596" s="1">
        <v>1.0</v>
      </c>
      <c r="AO1596" s="1" t="s">
        <v>2068</v>
      </c>
      <c r="AP1596" s="1">
        <v>0.0</v>
      </c>
      <c r="AQ1596" s="1" t="s">
        <v>229</v>
      </c>
      <c r="AS1596" s="1" t="s">
        <v>199</v>
      </c>
      <c r="AT1596" s="1">
        <v>2.0</v>
      </c>
      <c r="AV1596" s="1" t="s">
        <v>200</v>
      </c>
      <c r="AW1596" s="1">
        <v>4836.98</v>
      </c>
      <c r="AX1596" s="1">
        <v>2012.0</v>
      </c>
      <c r="AZ1596" s="1" t="s">
        <v>545</v>
      </c>
      <c r="BA1596" s="1" t="str">
        <f>"0308253008"</f>
        <v>0308253008</v>
      </c>
      <c r="BB1596" s="1" t="s">
        <v>200</v>
      </c>
      <c r="BC1596" s="1">
        <v>0.0</v>
      </c>
      <c r="BD1596" s="1">
        <v>85000.0</v>
      </c>
      <c r="BE1596" s="2">
        <v>41604.0</v>
      </c>
      <c r="BF1596" s="1" t="s">
        <v>16078</v>
      </c>
      <c r="BH1596" s="1">
        <v>0.0</v>
      </c>
      <c r="BK1596" s="1" t="s">
        <v>204</v>
      </c>
      <c r="BL1596" s="1" t="str">
        <f t="shared" ref="BL1596:BM1596" si="1046">""</f>
        <v/>
      </c>
      <c r="BM1596" s="1" t="str">
        <f t="shared" si="1046"/>
        <v/>
      </c>
      <c r="BQ1596" s="1">
        <v>308.0</v>
      </c>
      <c r="BR1596" s="1">
        <v>308.0</v>
      </c>
      <c r="BS1596" s="1">
        <v>308.0</v>
      </c>
      <c r="BU1596" s="1" t="s">
        <v>782</v>
      </c>
      <c r="BV1596" s="1" t="s">
        <v>206</v>
      </c>
      <c r="BY1596" s="1" t="s">
        <v>582</v>
      </c>
      <c r="BZ1596" s="1" t="s">
        <v>206</v>
      </c>
      <c r="CC1596" s="1" t="s">
        <v>816</v>
      </c>
      <c r="CD1596" s="1" t="s">
        <v>206</v>
      </c>
      <c r="CG1596" s="1" t="s">
        <v>212</v>
      </c>
      <c r="CH1596" s="1" t="s">
        <v>206</v>
      </c>
      <c r="CK1596" s="1" t="s">
        <v>495</v>
      </c>
      <c r="CL1596" s="1" t="s">
        <v>206</v>
      </c>
      <c r="CO1596" s="1" t="s">
        <v>497</v>
      </c>
      <c r="CP1596" s="1" t="s">
        <v>267</v>
      </c>
      <c r="CS1596" s="1" t="s">
        <v>212</v>
      </c>
      <c r="CT1596" s="1" t="s">
        <v>206</v>
      </c>
      <c r="CW1596" s="1" t="s">
        <v>1483</v>
      </c>
      <c r="CX1596" s="1" t="s">
        <v>267</v>
      </c>
      <c r="DA1596" s="1" t="s">
        <v>200</v>
      </c>
      <c r="DC1596" s="1" t="s">
        <v>517</v>
      </c>
      <c r="DE1596" s="1" t="s">
        <v>273</v>
      </c>
      <c r="DF1596" s="1" t="s">
        <v>219</v>
      </c>
      <c r="DH1596" s="1" t="s">
        <v>220</v>
      </c>
      <c r="DJ1596" s="1" t="s">
        <v>222</v>
      </c>
      <c r="DL1596" s="1" t="s">
        <v>229</v>
      </c>
      <c r="DM1596" s="1" t="s">
        <v>338</v>
      </c>
      <c r="DQ1596" s="1" t="s">
        <v>228</v>
      </c>
      <c r="DR1596" s="1" t="s">
        <v>229</v>
      </c>
      <c r="DV1596" s="1" t="s">
        <v>232</v>
      </c>
      <c r="DW1596" s="1" t="s">
        <v>370</v>
      </c>
      <c r="DX1596" s="1" t="s">
        <v>234</v>
      </c>
      <c r="EC1596" s="1" t="s">
        <v>311</v>
      </c>
      <c r="EM1596" s="1" t="s">
        <v>238</v>
      </c>
      <c r="EQ1596" s="1" t="s">
        <v>238</v>
      </c>
      <c r="EU1596" s="1" t="s">
        <v>238</v>
      </c>
      <c r="EY1596" s="1" t="s">
        <v>238</v>
      </c>
      <c r="FC1596" s="1" t="s">
        <v>238</v>
      </c>
      <c r="FF1596" s="1" t="s">
        <v>239</v>
      </c>
      <c r="FG1596" s="1" t="s">
        <v>192</v>
      </c>
      <c r="FH1596" s="1" t="s">
        <v>192</v>
      </c>
      <c r="FJ1596" s="1" t="s">
        <v>2427</v>
      </c>
      <c r="FK1596" s="1" t="s">
        <v>1586</v>
      </c>
      <c r="FL1596" s="1" t="s">
        <v>456</v>
      </c>
      <c r="FM1596" s="1">
        <v>20001.0</v>
      </c>
      <c r="FN1596" s="1" t="s">
        <v>5671</v>
      </c>
      <c r="FO1596" s="1" t="s">
        <v>16079</v>
      </c>
      <c r="FP1596" s="1">
        <v>211407.0</v>
      </c>
      <c r="FQ1596" s="1" t="s">
        <v>16080</v>
      </c>
      <c r="FT1596" s="1" t="s">
        <v>16081</v>
      </c>
      <c r="FU1596" s="1" t="s">
        <v>16082</v>
      </c>
      <c r="FV1596" s="1" t="s">
        <v>200</v>
      </c>
      <c r="FW1596" s="1" t="s">
        <v>290</v>
      </c>
      <c r="FZ1596" s="1" t="s">
        <v>229</v>
      </c>
      <c r="GA1596" s="1" t="s">
        <v>291</v>
      </c>
      <c r="GB1596" s="2">
        <v>41986.0</v>
      </c>
      <c r="GC1596" s="1" t="s">
        <v>16083</v>
      </c>
    </row>
    <row r="1597">
      <c r="A1597" s="1">
        <v>228000.0</v>
      </c>
      <c r="B1597" s="1" t="s">
        <v>185</v>
      </c>
      <c r="C1597" s="1" t="str">
        <f>"08683127"</f>
        <v>08683127</v>
      </c>
      <c r="D1597" s="1" t="s">
        <v>186</v>
      </c>
      <c r="F1597" s="1" t="str">
        <f>"123"</f>
        <v>123</v>
      </c>
      <c r="G1597" s="2">
        <v>41845.0</v>
      </c>
      <c r="H1597" s="1">
        <v>250000.0</v>
      </c>
      <c r="I1597" s="1">
        <v>132.0</v>
      </c>
      <c r="J1597" s="1">
        <v>239900.0</v>
      </c>
      <c r="K1597" s="2">
        <v>41976.0</v>
      </c>
      <c r="L1597" s="1">
        <v>132.0</v>
      </c>
      <c r="M1597" s="2">
        <v>41976.0</v>
      </c>
      <c r="N1597" s="1" t="s">
        <v>249</v>
      </c>
      <c r="O1597" s="2">
        <v>42020.0</v>
      </c>
      <c r="P1597" s="1">
        <v>77859.0</v>
      </c>
      <c r="Q1597" s="1">
        <v>7450.0</v>
      </c>
      <c r="S1597" s="1">
        <v>1085.0</v>
      </c>
      <c r="T1597" s="1" t="s">
        <v>321</v>
      </c>
      <c r="U1597" s="1" t="s">
        <v>1174</v>
      </c>
      <c r="V1597" s="1" t="s">
        <v>465</v>
      </c>
      <c r="W1597" s="1">
        <v>60120.0</v>
      </c>
      <c r="Y1597" s="1" t="s">
        <v>16084</v>
      </c>
      <c r="Z1597" s="1">
        <v>1991.0</v>
      </c>
      <c r="AA1597" s="1" t="s">
        <v>200</v>
      </c>
      <c r="AB1597" s="1" t="s">
        <v>467</v>
      </c>
      <c r="AC1597" s="1" t="s">
        <v>6396</v>
      </c>
      <c r="AD1597" s="1" t="s">
        <v>469</v>
      </c>
      <c r="AE1597" s="1" t="s">
        <v>195</v>
      </c>
      <c r="AF1597" s="1" t="s">
        <v>298</v>
      </c>
      <c r="AG1597" s="1" t="s">
        <v>2589</v>
      </c>
      <c r="AH1597" s="1" t="s">
        <v>16085</v>
      </c>
      <c r="AI1597" s="1">
        <v>0.176</v>
      </c>
      <c r="AK1597" s="1">
        <v>9.0</v>
      </c>
      <c r="AL1597" s="1">
        <v>4.0</v>
      </c>
      <c r="AM1597" s="1">
        <v>2.0</v>
      </c>
      <c r="AN1597" s="1">
        <v>1.0</v>
      </c>
      <c r="AO1597" s="1" t="s">
        <v>198</v>
      </c>
      <c r="AP1597" s="1">
        <v>1.0</v>
      </c>
      <c r="AQ1597" s="1" t="s">
        <v>198</v>
      </c>
      <c r="AR1597" s="1" t="s">
        <v>200</v>
      </c>
      <c r="AS1597" s="1" t="s">
        <v>199</v>
      </c>
      <c r="AT1597" s="1">
        <v>2.0</v>
      </c>
      <c r="AV1597" s="1" t="s">
        <v>200</v>
      </c>
      <c r="AW1597" s="1">
        <v>6215.0</v>
      </c>
      <c r="AX1597" s="1">
        <v>2013.0</v>
      </c>
      <c r="AY1597" s="1" t="s">
        <v>1179</v>
      </c>
      <c r="AZ1597" s="1" t="s">
        <v>200</v>
      </c>
      <c r="BA1597" s="1" t="str">
        <f>"06072050070000"</f>
        <v>06072050070000</v>
      </c>
      <c r="BB1597" s="1" t="s">
        <v>200</v>
      </c>
      <c r="BC1597" s="1">
        <v>1916.0</v>
      </c>
      <c r="BD1597" s="1">
        <v>228000.0</v>
      </c>
      <c r="BE1597" s="2">
        <v>41845.0</v>
      </c>
      <c r="BF1597" s="2" t="s">
        <v>16086</v>
      </c>
      <c r="BG1597" s="1" t="s">
        <v>2142</v>
      </c>
      <c r="BH1597" s="1">
        <v>180.0</v>
      </c>
      <c r="BI1597" s="1" t="s">
        <v>1242</v>
      </c>
      <c r="BJ1597" s="1" t="s">
        <v>1243</v>
      </c>
      <c r="BK1597" s="1" t="s">
        <v>580</v>
      </c>
      <c r="BL1597" s="1" t="str">
        <f t="shared" ref="BL1597:BM1597" si="1047">""</f>
        <v/>
      </c>
      <c r="BM1597" s="1" t="str">
        <f t="shared" si="1047"/>
        <v/>
      </c>
      <c r="BP1597" s="1" t="s">
        <v>16087</v>
      </c>
      <c r="BQ1597" s="1">
        <v>46.0</v>
      </c>
      <c r="BR1597" s="1">
        <v>46.0</v>
      </c>
      <c r="BS1597" s="1">
        <v>46.0</v>
      </c>
      <c r="BU1597" s="1" t="s">
        <v>329</v>
      </c>
      <c r="BV1597" s="1" t="s">
        <v>206</v>
      </c>
      <c r="BW1597" s="1" t="s">
        <v>210</v>
      </c>
      <c r="BX1597" s="1" t="s">
        <v>1549</v>
      </c>
      <c r="BY1597" s="1" t="s">
        <v>205</v>
      </c>
      <c r="BZ1597" s="1" t="s">
        <v>209</v>
      </c>
      <c r="CA1597" s="1" t="s">
        <v>210</v>
      </c>
      <c r="CB1597" s="1" t="s">
        <v>431</v>
      </c>
      <c r="CC1597" s="1" t="s">
        <v>264</v>
      </c>
      <c r="CD1597" s="1" t="s">
        <v>206</v>
      </c>
      <c r="CE1597" s="1" t="s">
        <v>210</v>
      </c>
      <c r="CF1597" s="1" t="s">
        <v>1549</v>
      </c>
      <c r="CG1597" s="1" t="s">
        <v>264</v>
      </c>
      <c r="CH1597" s="1" t="s">
        <v>209</v>
      </c>
      <c r="CI1597" s="1" t="s">
        <v>210</v>
      </c>
      <c r="CJ1597" s="1" t="s">
        <v>431</v>
      </c>
      <c r="CK1597" s="1" t="s">
        <v>495</v>
      </c>
      <c r="CL1597" s="1" t="s">
        <v>209</v>
      </c>
      <c r="CM1597" s="1" t="s">
        <v>210</v>
      </c>
      <c r="CN1597" s="1" t="s">
        <v>431</v>
      </c>
      <c r="CO1597" s="1" t="s">
        <v>495</v>
      </c>
      <c r="CP1597" s="1" t="s">
        <v>209</v>
      </c>
      <c r="CQ1597" s="1" t="s">
        <v>210</v>
      </c>
      <c r="CR1597" s="1" t="s">
        <v>431</v>
      </c>
      <c r="CS1597" s="1" t="s">
        <v>699</v>
      </c>
      <c r="CT1597" s="1" t="s">
        <v>206</v>
      </c>
      <c r="CU1597" s="1" t="s">
        <v>617</v>
      </c>
      <c r="CV1597" s="1" t="s">
        <v>431</v>
      </c>
      <c r="CW1597" s="1" t="s">
        <v>205</v>
      </c>
      <c r="CX1597" s="1" t="s">
        <v>206</v>
      </c>
      <c r="CY1597" s="1" t="s">
        <v>210</v>
      </c>
      <c r="CZ1597" s="1" t="s">
        <v>431</v>
      </c>
      <c r="DA1597" s="1" t="s">
        <v>200</v>
      </c>
      <c r="DC1597" s="1" t="s">
        <v>435</v>
      </c>
      <c r="DD1597" s="1" t="s">
        <v>396</v>
      </c>
      <c r="DE1597" s="1" t="s">
        <v>273</v>
      </c>
      <c r="DF1597" s="1" t="s">
        <v>219</v>
      </c>
      <c r="DG1597" s="1" t="s">
        <v>3020</v>
      </c>
      <c r="DH1597" s="1" t="s">
        <v>220</v>
      </c>
      <c r="DI1597" s="1" t="s">
        <v>959</v>
      </c>
      <c r="DJ1597" s="1" t="s">
        <v>222</v>
      </c>
      <c r="DK1597" s="1" t="s">
        <v>223</v>
      </c>
      <c r="DL1597" s="1" t="s">
        <v>223</v>
      </c>
      <c r="DM1597" s="1" t="s">
        <v>1658</v>
      </c>
      <c r="DN1597" s="1" t="s">
        <v>548</v>
      </c>
      <c r="DP1597" s="1" t="s">
        <v>340</v>
      </c>
      <c r="DQ1597" s="1" t="s">
        <v>228</v>
      </c>
      <c r="DR1597" s="1" t="s">
        <v>3058</v>
      </c>
      <c r="DS1597" s="1" t="s">
        <v>230</v>
      </c>
      <c r="DU1597" s="1" t="s">
        <v>1933</v>
      </c>
      <c r="DV1597" s="1" t="s">
        <v>2071</v>
      </c>
      <c r="DW1597" s="1" t="s">
        <v>370</v>
      </c>
      <c r="DX1597" s="1" t="s">
        <v>234</v>
      </c>
      <c r="DZ1597" s="1" t="s">
        <v>1661</v>
      </c>
      <c r="EB1597" s="1" t="s">
        <v>684</v>
      </c>
      <c r="EC1597" s="1" t="s">
        <v>237</v>
      </c>
      <c r="ED1597" s="1" t="s">
        <v>407</v>
      </c>
      <c r="EE1597" s="1" t="s">
        <v>493</v>
      </c>
      <c r="EG1597" s="1" t="s">
        <v>449</v>
      </c>
      <c r="EH1597" s="1" t="s">
        <v>408</v>
      </c>
      <c r="EL1597" s="1" t="s">
        <v>699</v>
      </c>
      <c r="EM1597" s="1" t="s">
        <v>206</v>
      </c>
      <c r="EN1597" s="1" t="s">
        <v>617</v>
      </c>
      <c r="EO1597" s="1" t="s">
        <v>431</v>
      </c>
      <c r="EP1597" s="1" t="s">
        <v>497</v>
      </c>
      <c r="EQ1597" s="1" t="s">
        <v>206</v>
      </c>
      <c r="ER1597" s="1" t="s">
        <v>268</v>
      </c>
      <c r="EU1597" s="1" t="s">
        <v>238</v>
      </c>
      <c r="EY1597" s="1" t="s">
        <v>238</v>
      </c>
      <c r="FC1597" s="1" t="s">
        <v>238</v>
      </c>
      <c r="FF1597" s="1" t="s">
        <v>239</v>
      </c>
      <c r="FG1597" s="1" t="s">
        <v>192</v>
      </c>
      <c r="FH1597" s="1" t="s">
        <v>192</v>
      </c>
      <c r="FJ1597" s="1" t="s">
        <v>7339</v>
      </c>
      <c r="FK1597" s="1" t="s">
        <v>229</v>
      </c>
      <c r="FL1597" s="1" t="s">
        <v>456</v>
      </c>
      <c r="FM1597" s="1">
        <v>219.0</v>
      </c>
      <c r="FN1597" s="1" t="s">
        <v>6869</v>
      </c>
      <c r="FO1597" s="1" t="s">
        <v>16088</v>
      </c>
      <c r="FP1597" s="1">
        <v>7425.0</v>
      </c>
      <c r="FQ1597" s="1" t="s">
        <v>16089</v>
      </c>
      <c r="FR1597" s="1">
        <v>7513.0</v>
      </c>
      <c r="FS1597" s="1" t="s">
        <v>16090</v>
      </c>
      <c r="FU1597" s="1" t="s">
        <v>16091</v>
      </c>
      <c r="FV1597" s="1" t="s">
        <v>200</v>
      </c>
      <c r="FW1597" s="1" t="s">
        <v>290</v>
      </c>
      <c r="FZ1597" s="1" t="s">
        <v>229</v>
      </c>
      <c r="GA1597" s="1" t="s">
        <v>291</v>
      </c>
      <c r="GB1597" s="2">
        <v>42020.0</v>
      </c>
      <c r="GC1597" s="1" t="s">
        <v>16092</v>
      </c>
    </row>
    <row r="1598">
      <c r="A1598" s="1">
        <v>344900.0</v>
      </c>
      <c r="B1598" s="1" t="s">
        <v>185</v>
      </c>
      <c r="C1598" s="1" t="str">
        <f>"08677700"</f>
        <v>08677700</v>
      </c>
      <c r="D1598" s="1" t="s">
        <v>186</v>
      </c>
      <c r="F1598" s="1" t="str">
        <f>"8025"</f>
        <v>8025</v>
      </c>
      <c r="G1598" s="2">
        <v>41839.0</v>
      </c>
      <c r="H1598" s="1">
        <v>349700.0</v>
      </c>
      <c r="I1598" s="1">
        <v>81.0</v>
      </c>
      <c r="J1598" s="1">
        <v>339700.0</v>
      </c>
      <c r="K1598" s="2">
        <v>41919.0</v>
      </c>
      <c r="L1598" s="1">
        <v>81.0</v>
      </c>
      <c r="M1598" s="2">
        <v>41919.0</v>
      </c>
      <c r="N1598" s="1" t="s">
        <v>356</v>
      </c>
      <c r="O1598" s="2">
        <v>41975.0</v>
      </c>
      <c r="P1598" s="1">
        <v>900622.0</v>
      </c>
      <c r="Q1598" s="1">
        <v>90812.0</v>
      </c>
      <c r="R1598" s="1">
        <v>3.15</v>
      </c>
      <c r="S1598" s="1">
        <v>1837.0</v>
      </c>
      <c r="T1598" s="1" t="s">
        <v>16093</v>
      </c>
      <c r="U1598" s="1" t="s">
        <v>189</v>
      </c>
      <c r="V1598" s="1" t="s">
        <v>190</v>
      </c>
      <c r="W1598" s="1">
        <v>60707.0</v>
      </c>
      <c r="Y1598" s="1" t="s">
        <v>16094</v>
      </c>
      <c r="Z1598" s="1">
        <v>1930.0</v>
      </c>
      <c r="AA1598" s="1" t="s">
        <v>192</v>
      </c>
      <c r="AB1598" s="1" t="s">
        <v>193</v>
      </c>
      <c r="AD1598" s="1" t="s">
        <v>194</v>
      </c>
      <c r="AE1598" s="1" t="s">
        <v>195</v>
      </c>
      <c r="AF1598" s="1" t="s">
        <v>196</v>
      </c>
      <c r="AH1598" s="1" t="s">
        <v>1501</v>
      </c>
      <c r="AI1598" s="1">
        <v>0.0868</v>
      </c>
      <c r="AK1598" s="1">
        <v>9.0</v>
      </c>
      <c r="AL1598" s="1">
        <v>3.0</v>
      </c>
      <c r="AM1598" s="1">
        <v>2.0</v>
      </c>
      <c r="AN1598" s="1">
        <v>1.0</v>
      </c>
      <c r="AO1598" s="1" t="s">
        <v>1261</v>
      </c>
      <c r="AP1598" s="1">
        <v>1.0</v>
      </c>
      <c r="AQ1598" s="1" t="s">
        <v>198</v>
      </c>
      <c r="AR1598" s="1" t="s">
        <v>192</v>
      </c>
      <c r="AS1598" s="1" t="s">
        <v>199</v>
      </c>
      <c r="AT1598" s="1">
        <v>2.0</v>
      </c>
      <c r="AV1598" s="1" t="s">
        <v>200</v>
      </c>
      <c r="AW1598" s="1">
        <v>3889.5</v>
      </c>
      <c r="AX1598" s="1">
        <v>2012.0</v>
      </c>
      <c r="AY1598" s="1" t="s">
        <v>387</v>
      </c>
      <c r="AZ1598" s="1" t="s">
        <v>200</v>
      </c>
      <c r="BA1598" s="1" t="str">
        <f>"13314050080000"</f>
        <v>13314050080000</v>
      </c>
      <c r="BB1598" s="1" t="s">
        <v>200</v>
      </c>
      <c r="BC1598" s="1">
        <v>1998.0</v>
      </c>
      <c r="BD1598" s="1">
        <v>344900.0</v>
      </c>
      <c r="BE1598" s="2">
        <v>41839.0</v>
      </c>
      <c r="BF1598" s="2" t="s">
        <v>16095</v>
      </c>
      <c r="BH1598" s="1">
        <v>0.0</v>
      </c>
      <c r="BK1598" s="1" t="s">
        <v>204</v>
      </c>
      <c r="BL1598" s="1" t="str">
        <f>"1837"</f>
        <v>1837</v>
      </c>
      <c r="BM1598" s="1" t="str">
        <f>"0"</f>
        <v>0</v>
      </c>
      <c r="BN1598" s="1">
        <v>6732.0</v>
      </c>
      <c r="BO1598" s="1">
        <v>0.0</v>
      </c>
      <c r="BQ1598" s="1">
        <v>299.0</v>
      </c>
      <c r="BR1598" s="1">
        <v>299.0</v>
      </c>
      <c r="BS1598" s="1">
        <v>299.0</v>
      </c>
      <c r="BU1598" s="1" t="s">
        <v>432</v>
      </c>
      <c r="BV1598" s="1" t="s">
        <v>206</v>
      </c>
      <c r="BW1598" s="1" t="s">
        <v>207</v>
      </c>
      <c r="BY1598" s="1" t="s">
        <v>213</v>
      </c>
      <c r="BZ1598" s="1" t="s">
        <v>209</v>
      </c>
      <c r="CA1598" s="1" t="s">
        <v>207</v>
      </c>
      <c r="CC1598" s="1" t="s">
        <v>262</v>
      </c>
      <c r="CD1598" s="1" t="s">
        <v>206</v>
      </c>
      <c r="CE1598" s="1" t="s">
        <v>207</v>
      </c>
      <c r="CG1598" s="1" t="s">
        <v>215</v>
      </c>
      <c r="CH1598" s="1" t="s">
        <v>209</v>
      </c>
      <c r="CI1598" s="1" t="s">
        <v>207</v>
      </c>
      <c r="CK1598" s="1" t="s">
        <v>264</v>
      </c>
      <c r="CL1598" s="1" t="s">
        <v>209</v>
      </c>
      <c r="CM1598" s="1" t="s">
        <v>207</v>
      </c>
      <c r="CO1598" s="1" t="s">
        <v>264</v>
      </c>
      <c r="CP1598" s="1" t="s">
        <v>42</v>
      </c>
      <c r="CQ1598" s="1" t="s">
        <v>268</v>
      </c>
      <c r="CS1598" s="1" t="s">
        <v>2403</v>
      </c>
      <c r="CT1598" s="1" t="s">
        <v>206</v>
      </c>
      <c r="CU1598" s="1" t="s">
        <v>207</v>
      </c>
      <c r="CW1598" s="1" t="s">
        <v>2182</v>
      </c>
      <c r="CX1598" s="1" t="s">
        <v>42</v>
      </c>
      <c r="CY1598" s="1" t="s">
        <v>268</v>
      </c>
      <c r="DA1598" s="1" t="s">
        <v>200</v>
      </c>
      <c r="DC1598" s="1" t="s">
        <v>785</v>
      </c>
      <c r="DE1598" s="1" t="s">
        <v>218</v>
      </c>
      <c r="DF1598" s="1" t="s">
        <v>745</v>
      </c>
      <c r="DH1598" s="1" t="s">
        <v>365</v>
      </c>
      <c r="DI1598" s="1" t="s">
        <v>1003</v>
      </c>
      <c r="DJ1598" s="1" t="s">
        <v>222</v>
      </c>
      <c r="DK1598" s="1" t="s">
        <v>1555</v>
      </c>
      <c r="DL1598" s="1" t="s">
        <v>1161</v>
      </c>
      <c r="DM1598" s="1" t="s">
        <v>229</v>
      </c>
      <c r="DN1598" s="1" t="s">
        <v>226</v>
      </c>
      <c r="DP1598" s="1" t="s">
        <v>340</v>
      </c>
      <c r="DQ1598" s="1" t="s">
        <v>718</v>
      </c>
      <c r="DR1598" s="1" t="s">
        <v>229</v>
      </c>
      <c r="DS1598" s="1" t="s">
        <v>368</v>
      </c>
      <c r="DV1598" s="1" t="s">
        <v>598</v>
      </c>
      <c r="DW1598" s="1" t="s">
        <v>279</v>
      </c>
      <c r="DX1598" s="1" t="s">
        <v>234</v>
      </c>
      <c r="EA1598" s="1" t="s">
        <v>2535</v>
      </c>
      <c r="EB1598" s="1" t="s">
        <v>684</v>
      </c>
      <c r="EC1598" s="1" t="s">
        <v>237</v>
      </c>
      <c r="EG1598" s="1" t="s">
        <v>598</v>
      </c>
      <c r="EL1598" s="1" t="s">
        <v>495</v>
      </c>
      <c r="EM1598" s="1" t="s">
        <v>206</v>
      </c>
      <c r="EN1598" s="1" t="s">
        <v>207</v>
      </c>
      <c r="EQ1598" s="1" t="s">
        <v>238</v>
      </c>
      <c r="EU1598" s="1" t="s">
        <v>238</v>
      </c>
      <c r="EY1598" s="1" t="s">
        <v>238</v>
      </c>
      <c r="FC1598" s="1" t="s">
        <v>238</v>
      </c>
      <c r="FF1598" s="1" t="s">
        <v>239</v>
      </c>
      <c r="FG1598" s="1" t="s">
        <v>192</v>
      </c>
      <c r="FH1598" s="1" t="s">
        <v>192</v>
      </c>
      <c r="FJ1598" s="1" t="s">
        <v>10061</v>
      </c>
      <c r="FK1598" s="1" t="s">
        <v>229</v>
      </c>
      <c r="FL1598" s="1" t="s">
        <v>16096</v>
      </c>
      <c r="FM1598" s="1">
        <v>15483.0</v>
      </c>
      <c r="FN1598" s="1" t="s">
        <v>16097</v>
      </c>
      <c r="FO1598" s="1" t="s">
        <v>16098</v>
      </c>
      <c r="FP1598" s="1">
        <v>127406.0</v>
      </c>
      <c r="FQ1598" s="1" t="s">
        <v>16099</v>
      </c>
      <c r="FU1598" s="1" t="s">
        <v>16100</v>
      </c>
      <c r="FV1598" s="1" t="s">
        <v>200</v>
      </c>
      <c r="FW1598" s="1" t="s">
        <v>290</v>
      </c>
      <c r="FX1598" s="1" t="s">
        <v>238</v>
      </c>
      <c r="FZ1598" s="1" t="s">
        <v>229</v>
      </c>
      <c r="GA1598" s="1" t="s">
        <v>291</v>
      </c>
      <c r="GB1598" s="2">
        <v>41976.0</v>
      </c>
      <c r="GC1598" s="1" t="s">
        <v>16101</v>
      </c>
    </row>
    <row r="1599">
      <c r="A1599" s="1">
        <v>399100.0</v>
      </c>
      <c r="B1599" s="1" t="s">
        <v>185</v>
      </c>
      <c r="C1599" s="1" t="str">
        <f>"08667664"</f>
        <v>08667664</v>
      </c>
      <c r="D1599" s="1" t="s">
        <v>186</v>
      </c>
      <c r="F1599" s="1" t="str">
        <f>"134"</f>
        <v>134</v>
      </c>
      <c r="G1599" s="2">
        <v>41829.0</v>
      </c>
      <c r="H1599" s="1">
        <v>405370.0</v>
      </c>
      <c r="I1599" s="1">
        <v>244.0</v>
      </c>
      <c r="J1599" s="1">
        <v>394270.0</v>
      </c>
      <c r="K1599" s="2">
        <v>42072.0</v>
      </c>
      <c r="L1599" s="1">
        <v>244.0</v>
      </c>
      <c r="M1599" s="2">
        <v>42072.0</v>
      </c>
      <c r="N1599" s="1" t="s">
        <v>249</v>
      </c>
      <c r="O1599" s="2">
        <v>42117.0</v>
      </c>
      <c r="P1599" s="1">
        <v>189649.0</v>
      </c>
      <c r="Q1599" s="1">
        <v>85399.0</v>
      </c>
      <c r="S1599" s="1" t="s">
        <v>16102</v>
      </c>
      <c r="T1599" s="1" t="s">
        <v>16103</v>
      </c>
      <c r="U1599" s="1" t="s">
        <v>464</v>
      </c>
      <c r="V1599" s="1" t="s">
        <v>421</v>
      </c>
      <c r="W1599" s="1">
        <v>60134.0</v>
      </c>
      <c r="Y1599" s="1" t="s">
        <v>16104</v>
      </c>
      <c r="Z1599" s="1">
        <v>2014.0</v>
      </c>
      <c r="AA1599" s="1" t="s">
        <v>200</v>
      </c>
      <c r="AB1599" s="1" t="s">
        <v>467</v>
      </c>
      <c r="AC1599" s="1" t="s">
        <v>2935</v>
      </c>
      <c r="AD1599" s="1" t="s">
        <v>1089</v>
      </c>
      <c r="AE1599" s="1" t="s">
        <v>325</v>
      </c>
      <c r="AF1599" s="1" t="s">
        <v>1479</v>
      </c>
      <c r="AG1599" s="1" t="s">
        <v>16105</v>
      </c>
      <c r="AH1599" s="1" t="s">
        <v>8465</v>
      </c>
      <c r="AK1599" s="1">
        <v>9.0</v>
      </c>
      <c r="AL1599" s="1">
        <v>4.0</v>
      </c>
      <c r="AM1599" s="1">
        <v>3.0</v>
      </c>
      <c r="AN1599" s="1">
        <v>1.0</v>
      </c>
      <c r="AO1599" s="1" t="s">
        <v>198</v>
      </c>
      <c r="AP1599" s="1">
        <v>1.0</v>
      </c>
      <c r="AQ1599" s="1" t="s">
        <v>198</v>
      </c>
      <c r="AR1599" s="1" t="s">
        <v>192</v>
      </c>
      <c r="AS1599" s="1" t="s">
        <v>199</v>
      </c>
      <c r="AT1599" s="1">
        <v>3.0</v>
      </c>
      <c r="AV1599" s="1" t="s">
        <v>200</v>
      </c>
      <c r="AW1599" s="1">
        <v>300.0</v>
      </c>
      <c r="AX1599" s="1">
        <v>2013.0</v>
      </c>
      <c r="AY1599" s="1" t="s">
        <v>229</v>
      </c>
      <c r="AZ1599" s="1" t="s">
        <v>192</v>
      </c>
      <c r="BA1599" s="1" t="str">
        <f>"9999999900"</f>
        <v>9999999900</v>
      </c>
      <c r="BB1599" s="1" t="s">
        <v>200</v>
      </c>
      <c r="BC1599" s="1">
        <v>2681.0</v>
      </c>
      <c r="BD1599" s="1">
        <v>399100.0</v>
      </c>
      <c r="BE1599" s="2">
        <v>41829.0</v>
      </c>
      <c r="BF1599" s="2" t="s">
        <v>16106</v>
      </c>
      <c r="BH1599" s="1">
        <v>0.0</v>
      </c>
      <c r="BK1599" s="1" t="s">
        <v>204</v>
      </c>
      <c r="BL1599" s="1" t="str">
        <f t="shared" ref="BL1599:BM1599" si="1048">""</f>
        <v/>
      </c>
      <c r="BM1599" s="1" t="str">
        <f t="shared" si="1048"/>
        <v/>
      </c>
      <c r="BQ1599" s="1">
        <v>304.0</v>
      </c>
      <c r="BR1599" s="1">
        <v>304.0</v>
      </c>
      <c r="BS1599" s="1">
        <v>304.0</v>
      </c>
      <c r="BU1599" s="1" t="s">
        <v>1044</v>
      </c>
      <c r="BV1599" s="1" t="s">
        <v>206</v>
      </c>
      <c r="BW1599" s="1" t="s">
        <v>210</v>
      </c>
      <c r="BY1599" s="1" t="s">
        <v>2442</v>
      </c>
      <c r="BZ1599" s="1" t="s">
        <v>209</v>
      </c>
      <c r="CA1599" s="1" t="s">
        <v>210</v>
      </c>
      <c r="CC1599" s="1" t="s">
        <v>1351</v>
      </c>
      <c r="CD1599" s="1" t="s">
        <v>206</v>
      </c>
      <c r="CE1599" s="1" t="s">
        <v>210</v>
      </c>
      <c r="CG1599" s="1" t="s">
        <v>478</v>
      </c>
      <c r="CH1599" s="1" t="s">
        <v>209</v>
      </c>
      <c r="CI1599" s="1" t="s">
        <v>210</v>
      </c>
      <c r="CK1599" s="1" t="s">
        <v>1329</v>
      </c>
      <c r="CL1599" s="1" t="s">
        <v>209</v>
      </c>
      <c r="CM1599" s="1" t="s">
        <v>210</v>
      </c>
      <c r="CO1599" s="1" t="s">
        <v>478</v>
      </c>
      <c r="CP1599" s="1" t="s">
        <v>209</v>
      </c>
      <c r="CQ1599" s="1" t="s">
        <v>210</v>
      </c>
      <c r="CS1599" s="1" t="s">
        <v>2460</v>
      </c>
      <c r="CT1599" s="1" t="s">
        <v>206</v>
      </c>
      <c r="CU1599" s="1" t="s">
        <v>207</v>
      </c>
      <c r="CW1599" s="1" t="s">
        <v>2800</v>
      </c>
      <c r="CX1599" s="1" t="s">
        <v>206</v>
      </c>
      <c r="CY1599" s="1" t="s">
        <v>210</v>
      </c>
      <c r="DA1599" s="1" t="s">
        <v>192</v>
      </c>
      <c r="DB1599" s="2">
        <v>41897.0</v>
      </c>
      <c r="DC1599" s="1" t="s">
        <v>744</v>
      </c>
      <c r="DD1599" s="1" t="s">
        <v>1954</v>
      </c>
      <c r="DE1599" s="1" t="s">
        <v>273</v>
      </c>
      <c r="DF1599" s="1" t="s">
        <v>619</v>
      </c>
      <c r="DG1599" s="1" t="s">
        <v>16107</v>
      </c>
      <c r="DH1599" s="1" t="s">
        <v>1603</v>
      </c>
      <c r="DI1599" s="1" t="s">
        <v>275</v>
      </c>
      <c r="DJ1599" s="1" t="s">
        <v>222</v>
      </c>
      <c r="DL1599" s="1" t="s">
        <v>223</v>
      </c>
      <c r="DM1599" s="1" t="s">
        <v>929</v>
      </c>
      <c r="DN1599" s="1" t="s">
        <v>485</v>
      </c>
      <c r="DO1599" s="1" t="s">
        <v>590</v>
      </c>
      <c r="DP1599" s="1" t="s">
        <v>340</v>
      </c>
      <c r="DQ1599" s="1" t="s">
        <v>228</v>
      </c>
      <c r="DR1599" s="1" t="s">
        <v>229</v>
      </c>
      <c r="DS1599" s="1" t="s">
        <v>591</v>
      </c>
      <c r="DT1599" s="1" t="s">
        <v>16108</v>
      </c>
      <c r="DU1599" s="1" t="s">
        <v>16109</v>
      </c>
      <c r="DV1599" s="1" t="s">
        <v>1028</v>
      </c>
      <c r="DW1599" s="1" t="s">
        <v>233</v>
      </c>
      <c r="DX1599" s="1" t="s">
        <v>234</v>
      </c>
      <c r="DY1599" s="1" t="s">
        <v>1051</v>
      </c>
      <c r="EA1599" s="1" t="s">
        <v>344</v>
      </c>
      <c r="EB1599" s="1" t="s">
        <v>597</v>
      </c>
      <c r="EC1599" s="1" t="s">
        <v>237</v>
      </c>
      <c r="ED1599" s="1" t="s">
        <v>407</v>
      </c>
      <c r="EE1599" s="1" t="s">
        <v>493</v>
      </c>
      <c r="EG1599" s="1" t="s">
        <v>1028</v>
      </c>
      <c r="EL1599" s="1" t="s">
        <v>478</v>
      </c>
      <c r="EM1599" s="1" t="s">
        <v>206</v>
      </c>
      <c r="EN1599" s="1" t="s">
        <v>210</v>
      </c>
      <c r="EQ1599" s="1" t="s">
        <v>238</v>
      </c>
      <c r="EU1599" s="1" t="s">
        <v>238</v>
      </c>
      <c r="EY1599" s="1" t="s">
        <v>238</v>
      </c>
      <c r="FC1599" s="1" t="s">
        <v>238</v>
      </c>
      <c r="FF1599" s="1" t="s">
        <v>239</v>
      </c>
      <c r="FG1599" s="1" t="s">
        <v>200</v>
      </c>
      <c r="FH1599" s="1" t="s">
        <v>192</v>
      </c>
      <c r="FJ1599" s="1" t="s">
        <v>524</v>
      </c>
      <c r="FK1599" s="1" t="s">
        <v>229</v>
      </c>
      <c r="FL1599" s="1" t="s">
        <v>1614</v>
      </c>
      <c r="FM1599" s="1">
        <v>85399.0</v>
      </c>
      <c r="FN1599" s="1" t="s">
        <v>1615</v>
      </c>
      <c r="FO1599" s="1" t="s">
        <v>1616</v>
      </c>
      <c r="FP1599" s="1">
        <v>189649.0</v>
      </c>
      <c r="FQ1599" s="1" t="s">
        <v>1615</v>
      </c>
      <c r="FU1599" s="1" t="s">
        <v>16110</v>
      </c>
      <c r="FV1599" s="1" t="s">
        <v>200</v>
      </c>
      <c r="FW1599" s="1" t="s">
        <v>1618</v>
      </c>
      <c r="FZ1599" s="1" t="s">
        <v>229</v>
      </c>
      <c r="GA1599" s="1" t="s">
        <v>247</v>
      </c>
      <c r="GB1599" s="2">
        <v>42118.0</v>
      </c>
      <c r="GC1599" s="1" t="s">
        <v>16111</v>
      </c>
    </row>
    <row r="1600">
      <c r="A1600" s="1">
        <v>230000.0</v>
      </c>
      <c r="B1600" s="1" t="s">
        <v>185</v>
      </c>
      <c r="C1600" s="1" t="str">
        <f>"08668290"</f>
        <v>08668290</v>
      </c>
      <c r="D1600" s="1" t="s">
        <v>186</v>
      </c>
      <c r="F1600" s="1" t="str">
        <f>"8056"</f>
        <v>8056</v>
      </c>
      <c r="G1600" s="2">
        <v>41830.0</v>
      </c>
      <c r="H1600" s="1">
        <v>225000.0</v>
      </c>
      <c r="I1600" s="1">
        <v>708.0</v>
      </c>
      <c r="J1600" s="1">
        <v>225000.0</v>
      </c>
      <c r="K1600" s="2">
        <v>41835.0</v>
      </c>
      <c r="L1600" s="1">
        <v>6.0</v>
      </c>
      <c r="M1600" s="2">
        <v>41835.0</v>
      </c>
      <c r="N1600" s="1" t="s">
        <v>187</v>
      </c>
      <c r="O1600" s="2">
        <v>41992.0</v>
      </c>
      <c r="P1600" s="1">
        <v>153660.0</v>
      </c>
      <c r="Q1600" s="1">
        <v>16752.0</v>
      </c>
      <c r="S1600" s="1">
        <v>5311.0</v>
      </c>
      <c r="T1600" s="1" t="s">
        <v>4971</v>
      </c>
      <c r="U1600" s="1" t="s">
        <v>189</v>
      </c>
      <c r="V1600" s="1" t="s">
        <v>190</v>
      </c>
      <c r="W1600" s="1">
        <v>60632.0</v>
      </c>
      <c r="Y1600" s="1" t="s">
        <v>16112</v>
      </c>
      <c r="Z1600" s="1">
        <v>2006.0</v>
      </c>
      <c r="AA1600" s="1" t="s">
        <v>200</v>
      </c>
      <c r="AB1600" s="1" t="s">
        <v>193</v>
      </c>
      <c r="AD1600" s="1" t="s">
        <v>194</v>
      </c>
      <c r="AE1600" s="1" t="s">
        <v>195</v>
      </c>
      <c r="AF1600" s="1" t="s">
        <v>659</v>
      </c>
      <c r="AG1600" s="1" t="s">
        <v>16113</v>
      </c>
      <c r="AH1600" s="1" t="s">
        <v>1501</v>
      </c>
      <c r="AK1600" s="1">
        <v>8.0</v>
      </c>
      <c r="AL1600" s="1">
        <v>4.0</v>
      </c>
      <c r="AM1600" s="1">
        <v>3.0</v>
      </c>
      <c r="AN1600" s="1">
        <v>0.0</v>
      </c>
      <c r="AO1600" s="1" t="s">
        <v>198</v>
      </c>
      <c r="AP1600" s="1">
        <v>1.0</v>
      </c>
      <c r="AQ1600" s="1" t="s">
        <v>1314</v>
      </c>
      <c r="AR1600" s="1" t="s">
        <v>200</v>
      </c>
      <c r="AS1600" s="1" t="s">
        <v>199</v>
      </c>
      <c r="AT1600" s="1">
        <v>2.0</v>
      </c>
      <c r="AV1600" s="1" t="s">
        <v>200</v>
      </c>
      <c r="AW1600" s="1">
        <v>4740.0</v>
      </c>
      <c r="AX1600" s="1">
        <v>2012.0</v>
      </c>
      <c r="AY1600" s="1" t="s">
        <v>387</v>
      </c>
      <c r="AZ1600" s="1" t="s">
        <v>200</v>
      </c>
      <c r="BA1600" s="1" t="str">
        <f>"19103180220000"</f>
        <v>19103180220000</v>
      </c>
      <c r="BB1600" s="1" t="s">
        <v>200</v>
      </c>
      <c r="BC1600" s="1">
        <v>2200.0</v>
      </c>
      <c r="BD1600" s="1">
        <v>230000.0</v>
      </c>
      <c r="BE1600" s="2">
        <v>41830.0</v>
      </c>
      <c r="BF1600" s="1" t="s">
        <v>16114</v>
      </c>
      <c r="BH1600" s="1">
        <v>0.0</v>
      </c>
      <c r="BK1600" s="1" t="s">
        <v>204</v>
      </c>
      <c r="BL1600" s="1" t="str">
        <f t="shared" ref="BL1600:BM1600" si="1049">"0"</f>
        <v>0</v>
      </c>
      <c r="BM1600" s="1" t="str">
        <f t="shared" si="1049"/>
        <v>0</v>
      </c>
      <c r="BN1600" s="1">
        <v>4700.0</v>
      </c>
      <c r="BO1600" s="1">
        <v>5311.0</v>
      </c>
      <c r="BQ1600" s="1">
        <v>299.0</v>
      </c>
      <c r="BR1600" s="1">
        <v>299.0</v>
      </c>
      <c r="BS1600" s="1">
        <v>299.0</v>
      </c>
      <c r="BU1600" s="1" t="s">
        <v>453</v>
      </c>
      <c r="BV1600" s="1" t="s">
        <v>206</v>
      </c>
      <c r="BW1600" s="1" t="s">
        <v>207</v>
      </c>
      <c r="BY1600" s="1" t="s">
        <v>262</v>
      </c>
      <c r="BZ1600" s="1" t="s">
        <v>209</v>
      </c>
      <c r="CC1600" s="1" t="s">
        <v>542</v>
      </c>
      <c r="CD1600" s="1" t="s">
        <v>206</v>
      </c>
      <c r="CE1600" s="1" t="s">
        <v>207</v>
      </c>
      <c r="CG1600" s="1" t="s">
        <v>215</v>
      </c>
      <c r="CH1600" s="1" t="s">
        <v>209</v>
      </c>
      <c r="CK1600" s="1" t="s">
        <v>215</v>
      </c>
      <c r="CL1600" s="1" t="s">
        <v>209</v>
      </c>
      <c r="CO1600" s="1" t="s">
        <v>332</v>
      </c>
      <c r="CP1600" s="1" t="s">
        <v>267</v>
      </c>
      <c r="CS1600" s="1" t="s">
        <v>783</v>
      </c>
      <c r="CT1600" s="1" t="s">
        <v>206</v>
      </c>
      <c r="CW1600" s="1" t="s">
        <v>2014</v>
      </c>
      <c r="CX1600" s="1" t="s">
        <v>267</v>
      </c>
      <c r="DA1600" s="1" t="s">
        <v>200</v>
      </c>
      <c r="DC1600" s="1" t="s">
        <v>481</v>
      </c>
      <c r="DE1600" s="1" t="s">
        <v>273</v>
      </c>
      <c r="DF1600" s="1" t="s">
        <v>219</v>
      </c>
      <c r="DG1600" s="1" t="s">
        <v>337</v>
      </c>
      <c r="DH1600" s="1" t="s">
        <v>220</v>
      </c>
      <c r="DJ1600" s="1" t="s">
        <v>222</v>
      </c>
      <c r="DL1600" s="1" t="s">
        <v>223</v>
      </c>
      <c r="DM1600" s="1" t="s">
        <v>229</v>
      </c>
      <c r="DQ1600" s="1" t="s">
        <v>441</v>
      </c>
      <c r="DR1600" s="1" t="s">
        <v>229</v>
      </c>
      <c r="DS1600" s="1" t="s">
        <v>230</v>
      </c>
      <c r="DU1600" s="1" t="s">
        <v>7801</v>
      </c>
      <c r="DV1600" s="1" t="s">
        <v>232</v>
      </c>
      <c r="DW1600" s="1" t="s">
        <v>279</v>
      </c>
      <c r="DX1600" s="1" t="s">
        <v>234</v>
      </c>
      <c r="DY1600" s="1" t="s">
        <v>1006</v>
      </c>
      <c r="DZ1600" s="1" t="s">
        <v>282</v>
      </c>
      <c r="EA1600" s="1" t="s">
        <v>5604</v>
      </c>
      <c r="EC1600" s="1" t="s">
        <v>4613</v>
      </c>
      <c r="EM1600" s="1" t="s">
        <v>238</v>
      </c>
      <c r="EQ1600" s="1" t="s">
        <v>238</v>
      </c>
      <c r="EU1600" s="1" t="s">
        <v>238</v>
      </c>
      <c r="EY1600" s="1" t="s">
        <v>238</v>
      </c>
      <c r="FC1600" s="1" t="s">
        <v>238</v>
      </c>
      <c r="FF1600" s="1" t="s">
        <v>239</v>
      </c>
      <c r="FG1600" s="1" t="s">
        <v>192</v>
      </c>
      <c r="FH1600" s="1" t="s">
        <v>192</v>
      </c>
      <c r="FJ1600" s="1" t="s">
        <v>14173</v>
      </c>
      <c r="FK1600" s="1" t="s">
        <v>1586</v>
      </c>
      <c r="FL1600" s="1" t="s">
        <v>602</v>
      </c>
      <c r="FM1600" s="1">
        <v>25645.0</v>
      </c>
      <c r="FN1600" s="1" t="s">
        <v>603</v>
      </c>
      <c r="FO1600" s="1" t="s">
        <v>16115</v>
      </c>
      <c r="FP1600" s="1">
        <v>80552.0</v>
      </c>
      <c r="FQ1600" s="1" t="s">
        <v>16116</v>
      </c>
      <c r="FR1600" s="1">
        <v>80455.0</v>
      </c>
      <c r="FU1600" s="1" t="s">
        <v>16117</v>
      </c>
      <c r="FV1600" s="1" t="s">
        <v>200</v>
      </c>
      <c r="FW1600" s="1" t="s">
        <v>290</v>
      </c>
      <c r="FX1600" s="1" t="s">
        <v>655</v>
      </c>
      <c r="FZ1600" s="1" t="s">
        <v>229</v>
      </c>
      <c r="GA1600" s="1" t="s">
        <v>291</v>
      </c>
      <c r="GB1600" s="2">
        <v>41995.0</v>
      </c>
      <c r="GC1600" s="1" t="s">
        <v>16118</v>
      </c>
    </row>
    <row r="1601">
      <c r="A1601" s="1">
        <v>195000.0</v>
      </c>
      <c r="B1601" s="1" t="s">
        <v>185</v>
      </c>
      <c r="C1601" s="1" t="str">
        <f>"08668040"</f>
        <v>08668040</v>
      </c>
      <c r="D1601" s="1" t="s">
        <v>186</v>
      </c>
      <c r="F1601" s="1" t="str">
        <f>"8065"</f>
        <v>8065</v>
      </c>
      <c r="G1601" s="2">
        <v>41829.0</v>
      </c>
      <c r="H1601" s="1">
        <v>219900.0</v>
      </c>
      <c r="I1601" s="1">
        <v>66.0</v>
      </c>
      <c r="J1601" s="1">
        <v>209900.0</v>
      </c>
      <c r="K1601" s="2">
        <v>41894.0</v>
      </c>
      <c r="L1601" s="1">
        <v>66.0</v>
      </c>
      <c r="M1601" s="2">
        <v>41894.0</v>
      </c>
      <c r="N1601" s="1" t="s">
        <v>356</v>
      </c>
      <c r="O1601" s="2">
        <v>41971.0</v>
      </c>
      <c r="P1601" s="1">
        <v>106514.0</v>
      </c>
      <c r="Q1601" s="1">
        <v>12555.0</v>
      </c>
      <c r="S1601" s="1">
        <v>3915.0</v>
      </c>
      <c r="T1601" s="1" t="s">
        <v>16119</v>
      </c>
      <c r="U1601" s="1" t="s">
        <v>694</v>
      </c>
      <c r="V1601" s="1" t="s">
        <v>190</v>
      </c>
      <c r="W1601" s="1">
        <v>60629.0</v>
      </c>
      <c r="Y1601" s="1" t="s">
        <v>16120</v>
      </c>
      <c r="Z1601" s="1">
        <v>1947.0</v>
      </c>
      <c r="AA1601" s="1" t="s">
        <v>192</v>
      </c>
      <c r="AB1601" s="1" t="s">
        <v>193</v>
      </c>
      <c r="AD1601" s="1" t="s">
        <v>194</v>
      </c>
      <c r="AE1601" s="1" t="s">
        <v>195</v>
      </c>
      <c r="AF1601" s="1" t="s">
        <v>659</v>
      </c>
      <c r="AH1601" s="1" t="s">
        <v>1501</v>
      </c>
      <c r="AK1601" s="1">
        <v>8.0</v>
      </c>
      <c r="AL1601" s="1">
        <v>3.0</v>
      </c>
      <c r="AM1601" s="1">
        <v>2.0</v>
      </c>
      <c r="AN1601" s="1">
        <v>0.0</v>
      </c>
      <c r="AO1601" s="1" t="s">
        <v>229</v>
      </c>
      <c r="AQ1601" s="1" t="s">
        <v>198</v>
      </c>
      <c r="AR1601" s="1" t="s">
        <v>192</v>
      </c>
      <c r="AS1601" s="1" t="s">
        <v>199</v>
      </c>
      <c r="AT1601" s="1">
        <v>2.0</v>
      </c>
      <c r="AV1601" s="1" t="s">
        <v>200</v>
      </c>
      <c r="AW1601" s="1">
        <v>2045.11</v>
      </c>
      <c r="AX1601" s="1">
        <v>2012.0</v>
      </c>
      <c r="AY1601" s="1" t="s">
        <v>387</v>
      </c>
      <c r="AZ1601" s="1" t="s">
        <v>200</v>
      </c>
      <c r="BA1601" s="1" t="str">
        <f>"19231260280000"</f>
        <v>19231260280000</v>
      </c>
      <c r="BC1601" s="1">
        <v>1400.0</v>
      </c>
      <c r="BD1601" s="1">
        <v>195000.0</v>
      </c>
      <c r="BE1601" s="2">
        <v>41829.0</v>
      </c>
      <c r="BF1601" s="2" t="s">
        <v>16121</v>
      </c>
      <c r="BH1601" s="1">
        <v>0.0</v>
      </c>
      <c r="BK1601" s="1" t="s">
        <v>204</v>
      </c>
      <c r="BL1601" s="1" t="str">
        <f t="shared" ref="BL1601:BM1601" si="1050">"0"</f>
        <v>0</v>
      </c>
      <c r="BM1601" s="1" t="str">
        <f t="shared" si="1050"/>
        <v>0</v>
      </c>
      <c r="BN1601" s="1">
        <v>3915.0</v>
      </c>
      <c r="BO1601" s="1">
        <v>6650.0</v>
      </c>
      <c r="BQ1601" s="1">
        <v>299.0</v>
      </c>
      <c r="BR1601" s="1">
        <v>299.0</v>
      </c>
      <c r="BS1601" s="1">
        <v>299.0</v>
      </c>
      <c r="BU1601" s="1" t="s">
        <v>1426</v>
      </c>
      <c r="BV1601" s="1" t="s">
        <v>206</v>
      </c>
      <c r="BW1601" s="1" t="s">
        <v>207</v>
      </c>
      <c r="BY1601" s="1" t="s">
        <v>433</v>
      </c>
      <c r="BZ1601" s="1" t="s">
        <v>209</v>
      </c>
      <c r="CA1601" s="1" t="s">
        <v>210</v>
      </c>
      <c r="CC1601" s="1" t="s">
        <v>363</v>
      </c>
      <c r="CD1601" s="1" t="s">
        <v>206</v>
      </c>
      <c r="CE1601" s="1" t="s">
        <v>268</v>
      </c>
      <c r="CG1601" s="1" t="s">
        <v>699</v>
      </c>
      <c r="CH1601" s="1" t="s">
        <v>206</v>
      </c>
      <c r="CI1601" s="1" t="s">
        <v>207</v>
      </c>
      <c r="CK1601" s="1" t="s">
        <v>495</v>
      </c>
      <c r="CL1601" s="1" t="s">
        <v>206</v>
      </c>
      <c r="CM1601" s="1" t="s">
        <v>207</v>
      </c>
      <c r="CO1601" s="1" t="s">
        <v>264</v>
      </c>
      <c r="CP1601" s="1" t="s">
        <v>42</v>
      </c>
      <c r="CQ1601" s="1" t="s">
        <v>268</v>
      </c>
      <c r="CS1601" s="1" t="s">
        <v>215</v>
      </c>
      <c r="CT1601" s="1" t="s">
        <v>206</v>
      </c>
      <c r="CU1601" s="1" t="s">
        <v>268</v>
      </c>
      <c r="CW1601" s="1" t="s">
        <v>331</v>
      </c>
      <c r="CX1601" s="1" t="s">
        <v>42</v>
      </c>
      <c r="DA1601" s="1" t="s">
        <v>200</v>
      </c>
      <c r="DC1601" s="1" t="s">
        <v>702</v>
      </c>
      <c r="DE1601" s="1" t="s">
        <v>2851</v>
      </c>
      <c r="DF1601" s="1" t="s">
        <v>219</v>
      </c>
      <c r="DG1601" s="1" t="s">
        <v>482</v>
      </c>
      <c r="DH1601" s="1" t="s">
        <v>365</v>
      </c>
      <c r="DJ1601" s="1" t="s">
        <v>222</v>
      </c>
      <c r="DK1601" s="1" t="s">
        <v>2506</v>
      </c>
      <c r="DL1601" s="1" t="s">
        <v>224</v>
      </c>
      <c r="DM1601" s="1" t="s">
        <v>1464</v>
      </c>
      <c r="DO1601" s="1" t="s">
        <v>549</v>
      </c>
      <c r="DQ1601" s="1" t="s">
        <v>794</v>
      </c>
      <c r="DR1601" s="1" t="s">
        <v>229</v>
      </c>
      <c r="DV1601" s="1" t="s">
        <v>232</v>
      </c>
      <c r="DW1601" s="1" t="s">
        <v>279</v>
      </c>
      <c r="DX1601" s="1" t="s">
        <v>234</v>
      </c>
      <c r="DY1601" s="1" t="s">
        <v>553</v>
      </c>
      <c r="EA1601" s="1" t="s">
        <v>1075</v>
      </c>
      <c r="EC1601" s="1" t="s">
        <v>645</v>
      </c>
      <c r="EM1601" s="1" t="s">
        <v>238</v>
      </c>
      <c r="EQ1601" s="1" t="s">
        <v>238</v>
      </c>
      <c r="EU1601" s="1" t="s">
        <v>238</v>
      </c>
      <c r="EY1601" s="1" t="s">
        <v>238</v>
      </c>
      <c r="FC1601" s="1" t="s">
        <v>238</v>
      </c>
      <c r="FF1601" s="1" t="s">
        <v>239</v>
      </c>
      <c r="FG1601" s="1" t="s">
        <v>192</v>
      </c>
      <c r="FH1601" s="1" t="s">
        <v>192</v>
      </c>
      <c r="FJ1601" s="1" t="s">
        <v>16122</v>
      </c>
      <c r="FK1601" s="1" t="s">
        <v>229</v>
      </c>
      <c r="FL1601" s="1" t="s">
        <v>2111</v>
      </c>
      <c r="FM1601" s="1">
        <v>12555.0</v>
      </c>
      <c r="FN1601" s="1" t="s">
        <v>2112</v>
      </c>
      <c r="FO1601" s="1" t="s">
        <v>10723</v>
      </c>
      <c r="FP1601" s="1">
        <v>117599.0</v>
      </c>
      <c r="FQ1601" s="1" t="s">
        <v>2112</v>
      </c>
      <c r="FU1601" s="1" t="s">
        <v>710</v>
      </c>
      <c r="FV1601" s="1" t="s">
        <v>200</v>
      </c>
      <c r="FW1601" s="1" t="s">
        <v>16123</v>
      </c>
      <c r="FX1601" s="1" t="s">
        <v>246</v>
      </c>
      <c r="FZ1601" s="1" t="s">
        <v>229</v>
      </c>
      <c r="GA1601" s="1" t="s">
        <v>291</v>
      </c>
      <c r="GB1601" s="2">
        <v>41971.0</v>
      </c>
      <c r="GC1601" s="1" t="s">
        <v>16124</v>
      </c>
    </row>
    <row r="1602">
      <c r="A1602" s="1">
        <v>335000.0</v>
      </c>
      <c r="B1602" s="1" t="s">
        <v>185</v>
      </c>
      <c r="C1602" s="1" t="str">
        <f>"08677701"</f>
        <v>08677701</v>
      </c>
      <c r="D1602" s="1" t="s">
        <v>186</v>
      </c>
      <c r="F1602" s="1" t="str">
        <f>"8014"</f>
        <v>8014</v>
      </c>
      <c r="G1602" s="2">
        <v>41839.0</v>
      </c>
      <c r="H1602" s="1">
        <v>365000.0</v>
      </c>
      <c r="I1602" s="1">
        <v>172.0</v>
      </c>
      <c r="J1602" s="1">
        <v>349000.0</v>
      </c>
      <c r="K1602" s="2">
        <v>42009.0</v>
      </c>
      <c r="L1602" s="1">
        <v>172.0</v>
      </c>
      <c r="M1602" s="2">
        <v>42009.0</v>
      </c>
      <c r="N1602" s="1" t="s">
        <v>356</v>
      </c>
      <c r="O1602" s="2">
        <v>42062.0</v>
      </c>
      <c r="P1602" s="1">
        <v>184987.0</v>
      </c>
      <c r="Q1602" s="1">
        <v>10274.0</v>
      </c>
      <c r="S1602" s="1">
        <v>5031.0</v>
      </c>
      <c r="T1602" s="1" t="s">
        <v>5101</v>
      </c>
      <c r="U1602" s="1" t="s">
        <v>189</v>
      </c>
      <c r="V1602" s="1" t="s">
        <v>190</v>
      </c>
      <c r="W1602" s="1">
        <v>60625.0</v>
      </c>
      <c r="Y1602" s="1" t="s">
        <v>16125</v>
      </c>
      <c r="Z1602" s="1">
        <v>1916.0</v>
      </c>
      <c r="AA1602" s="1" t="s">
        <v>192</v>
      </c>
      <c r="AB1602" s="1" t="s">
        <v>193</v>
      </c>
      <c r="AD1602" s="1" t="s">
        <v>194</v>
      </c>
      <c r="AE1602" s="1" t="s">
        <v>195</v>
      </c>
      <c r="AF1602" s="1" t="s">
        <v>196</v>
      </c>
      <c r="AH1602" s="1" t="s">
        <v>779</v>
      </c>
      <c r="AI1602" s="1">
        <v>0.0861</v>
      </c>
      <c r="AK1602" s="1">
        <v>8.0</v>
      </c>
      <c r="AL1602" s="1">
        <v>4.0</v>
      </c>
      <c r="AM1602" s="1">
        <v>3.0</v>
      </c>
      <c r="AN1602" s="1">
        <v>0.0</v>
      </c>
      <c r="AO1602" s="1" t="s">
        <v>198</v>
      </c>
      <c r="AP1602" s="1">
        <v>1.0</v>
      </c>
      <c r="AQ1602" s="1" t="s">
        <v>198</v>
      </c>
      <c r="AR1602" s="1" t="s">
        <v>192</v>
      </c>
      <c r="AS1602" s="1" t="s">
        <v>510</v>
      </c>
      <c r="AT1602" s="1">
        <v>1.0</v>
      </c>
      <c r="AU1602" s="1">
        <v>1.0</v>
      </c>
      <c r="AV1602" s="1" t="s">
        <v>200</v>
      </c>
      <c r="AW1602" s="1">
        <v>5071.0</v>
      </c>
      <c r="AX1602" s="1">
        <v>2013.0</v>
      </c>
      <c r="AY1602" s="1" t="s">
        <v>387</v>
      </c>
      <c r="AZ1602" s="1" t="s">
        <v>200</v>
      </c>
      <c r="BA1602" s="1" t="str">
        <f>"13113110100000"</f>
        <v>13113110100000</v>
      </c>
      <c r="BC1602" s="1">
        <v>1981.0</v>
      </c>
      <c r="BD1602" s="1">
        <v>335000.0</v>
      </c>
      <c r="BE1602" s="2">
        <v>41838.0</v>
      </c>
      <c r="BF1602" s="2" t="s">
        <v>16126</v>
      </c>
      <c r="BH1602" s="1">
        <v>0.0</v>
      </c>
      <c r="BK1602" s="1" t="s">
        <v>204</v>
      </c>
      <c r="BL1602" s="1" t="str">
        <f>"5000"</f>
        <v>5000</v>
      </c>
      <c r="BM1602" s="1" t="str">
        <f t="shared" ref="BM1602:BM1604" si="1051">"0"</f>
        <v>0</v>
      </c>
      <c r="BN1602" s="1">
        <v>3700.0</v>
      </c>
      <c r="BO1602" s="1">
        <v>0.0</v>
      </c>
      <c r="BQ1602" s="1">
        <v>299.0</v>
      </c>
      <c r="BR1602" s="1">
        <v>299.0</v>
      </c>
      <c r="BS1602" s="1">
        <v>299.0</v>
      </c>
      <c r="BU1602" s="1" t="s">
        <v>955</v>
      </c>
      <c r="BV1602" s="1" t="s">
        <v>206</v>
      </c>
      <c r="BW1602" s="1" t="s">
        <v>207</v>
      </c>
      <c r="BX1602" s="1" t="s">
        <v>239</v>
      </c>
      <c r="BY1602" s="1" t="s">
        <v>1183</v>
      </c>
      <c r="BZ1602" s="1" t="s">
        <v>209</v>
      </c>
      <c r="CA1602" s="1" t="s">
        <v>210</v>
      </c>
      <c r="CB1602" s="1" t="s">
        <v>239</v>
      </c>
      <c r="CC1602" s="1" t="s">
        <v>2082</v>
      </c>
      <c r="CD1602" s="1" t="s">
        <v>206</v>
      </c>
      <c r="CE1602" s="1" t="s">
        <v>207</v>
      </c>
      <c r="CF1602" s="1" t="s">
        <v>239</v>
      </c>
      <c r="CG1602" s="1" t="s">
        <v>1351</v>
      </c>
      <c r="CH1602" s="1" t="s">
        <v>209</v>
      </c>
      <c r="CI1602" s="1" t="s">
        <v>210</v>
      </c>
      <c r="CJ1602" s="1" t="s">
        <v>239</v>
      </c>
      <c r="CK1602" s="1" t="s">
        <v>1584</v>
      </c>
      <c r="CL1602" s="1" t="s">
        <v>206</v>
      </c>
      <c r="CM1602" s="1" t="s">
        <v>207</v>
      </c>
      <c r="CN1602" s="1" t="s">
        <v>239</v>
      </c>
      <c r="CO1602" s="1" t="s">
        <v>815</v>
      </c>
      <c r="CP1602" s="1" t="s">
        <v>206</v>
      </c>
      <c r="CQ1602" s="1" t="s">
        <v>207</v>
      </c>
      <c r="CR1602" s="1" t="s">
        <v>239</v>
      </c>
      <c r="CS1602" s="1" t="s">
        <v>478</v>
      </c>
      <c r="CT1602" s="1" t="s">
        <v>206</v>
      </c>
      <c r="CU1602" s="1" t="s">
        <v>268</v>
      </c>
      <c r="CV1602" s="1" t="s">
        <v>239</v>
      </c>
      <c r="CW1602" s="1" t="s">
        <v>955</v>
      </c>
      <c r="CX1602" s="1" t="s">
        <v>42</v>
      </c>
      <c r="CY1602" s="1" t="s">
        <v>588</v>
      </c>
      <c r="DA1602" s="1" t="s">
        <v>200</v>
      </c>
      <c r="DC1602" s="1" t="s">
        <v>216</v>
      </c>
      <c r="DD1602" s="1" t="s">
        <v>731</v>
      </c>
      <c r="DE1602" s="1" t="s">
        <v>273</v>
      </c>
      <c r="DF1602" s="1" t="s">
        <v>219</v>
      </c>
      <c r="DG1602" s="1" t="s">
        <v>788</v>
      </c>
      <c r="DH1602" s="1" t="s">
        <v>365</v>
      </c>
      <c r="DI1602" s="1" t="s">
        <v>221</v>
      </c>
      <c r="DJ1602" s="1" t="s">
        <v>222</v>
      </c>
      <c r="DK1602" s="1" t="s">
        <v>1301</v>
      </c>
      <c r="DL1602" s="1" t="s">
        <v>858</v>
      </c>
      <c r="DM1602" s="1" t="s">
        <v>1143</v>
      </c>
      <c r="DO1602" s="1" t="s">
        <v>440</v>
      </c>
      <c r="DP1602" s="1" t="s">
        <v>340</v>
      </c>
      <c r="DQ1602" s="1" t="s">
        <v>794</v>
      </c>
      <c r="DR1602" s="1" t="s">
        <v>229</v>
      </c>
      <c r="DS1602" s="1" t="s">
        <v>230</v>
      </c>
      <c r="DV1602" s="1" t="s">
        <v>1102</v>
      </c>
      <c r="DW1602" s="1" t="s">
        <v>279</v>
      </c>
      <c r="DX1602" s="1" t="s">
        <v>1287</v>
      </c>
      <c r="DY1602" s="1" t="s">
        <v>704</v>
      </c>
      <c r="DZ1602" s="1" t="s">
        <v>1466</v>
      </c>
      <c r="EA1602" s="1" t="s">
        <v>644</v>
      </c>
      <c r="EB1602" s="1" t="s">
        <v>684</v>
      </c>
      <c r="EC1602" s="1" t="s">
        <v>237</v>
      </c>
      <c r="ED1602" s="1" t="s">
        <v>555</v>
      </c>
      <c r="EF1602" s="1" t="s">
        <v>16127</v>
      </c>
      <c r="EG1602" s="1" t="s">
        <v>1102</v>
      </c>
      <c r="EL1602" s="1" t="s">
        <v>4470</v>
      </c>
      <c r="EM1602" s="1" t="s">
        <v>206</v>
      </c>
      <c r="EN1602" s="1" t="s">
        <v>207</v>
      </c>
      <c r="EQ1602" s="1" t="s">
        <v>238</v>
      </c>
      <c r="EU1602" s="1" t="s">
        <v>238</v>
      </c>
      <c r="EY1602" s="1" t="s">
        <v>238</v>
      </c>
      <c r="FC1602" s="1" t="s">
        <v>238</v>
      </c>
      <c r="FF1602" s="1" t="s">
        <v>239</v>
      </c>
      <c r="FG1602" s="1" t="s">
        <v>192</v>
      </c>
      <c r="FH1602" s="1" t="s">
        <v>192</v>
      </c>
      <c r="FJ1602" s="1" t="s">
        <v>16128</v>
      </c>
      <c r="FK1602" s="1" t="s">
        <v>229</v>
      </c>
      <c r="FL1602" s="1" t="s">
        <v>456</v>
      </c>
      <c r="FM1602" s="1">
        <v>10273.0</v>
      </c>
      <c r="FN1602" s="1" t="s">
        <v>2101</v>
      </c>
      <c r="FO1602" s="1" t="s">
        <v>16129</v>
      </c>
      <c r="FP1602" s="1">
        <v>100339.0</v>
      </c>
      <c r="FQ1602" s="1" t="s">
        <v>16130</v>
      </c>
      <c r="FU1602" s="1" t="s">
        <v>16131</v>
      </c>
      <c r="FV1602" s="1" t="s">
        <v>200</v>
      </c>
      <c r="FW1602" s="1" t="s">
        <v>530</v>
      </c>
      <c r="FX1602" s="1" t="s">
        <v>238</v>
      </c>
      <c r="FZ1602" s="1" t="s">
        <v>229</v>
      </c>
      <c r="GA1602" s="1" t="s">
        <v>291</v>
      </c>
      <c r="GB1602" s="2">
        <v>42063.0</v>
      </c>
      <c r="GC1602" s="1" t="s">
        <v>16132</v>
      </c>
    </row>
    <row r="1603">
      <c r="A1603" s="1">
        <v>245000.0</v>
      </c>
      <c r="B1603" s="1" t="s">
        <v>185</v>
      </c>
      <c r="C1603" s="1" t="str">
        <f>"08670929"</f>
        <v>08670929</v>
      </c>
      <c r="D1603" s="1" t="s">
        <v>186</v>
      </c>
      <c r="F1603" s="1" t="str">
        <f>"8015"</f>
        <v>8015</v>
      </c>
      <c r="G1603" s="2">
        <v>41832.0</v>
      </c>
      <c r="H1603" s="1">
        <v>315000.0</v>
      </c>
      <c r="I1603" s="1">
        <v>266.0</v>
      </c>
      <c r="J1603" s="1">
        <v>275000.0</v>
      </c>
      <c r="K1603" s="2">
        <v>42097.0</v>
      </c>
      <c r="L1603" s="1">
        <v>266.0</v>
      </c>
      <c r="M1603" s="2">
        <v>42097.0</v>
      </c>
      <c r="N1603" s="1" t="s">
        <v>356</v>
      </c>
      <c r="O1603" s="2">
        <v>42146.0</v>
      </c>
      <c r="P1603" s="1">
        <v>188192.0</v>
      </c>
      <c r="Q1603" s="1">
        <v>16240.0</v>
      </c>
      <c r="S1603" s="1">
        <v>5634.0</v>
      </c>
      <c r="T1603" s="1" t="s">
        <v>16133</v>
      </c>
      <c r="U1603" s="1" t="s">
        <v>189</v>
      </c>
      <c r="V1603" s="1" t="s">
        <v>190</v>
      </c>
      <c r="W1603" s="1">
        <v>60634.0</v>
      </c>
      <c r="Y1603" s="1" t="s">
        <v>16134</v>
      </c>
      <c r="Z1603" s="1">
        <v>1954.0</v>
      </c>
      <c r="AA1603" s="1" t="s">
        <v>192</v>
      </c>
      <c r="AB1603" s="1" t="s">
        <v>193</v>
      </c>
      <c r="AD1603" s="1" t="s">
        <v>194</v>
      </c>
      <c r="AE1603" s="1" t="s">
        <v>195</v>
      </c>
      <c r="AF1603" s="1" t="s">
        <v>196</v>
      </c>
      <c r="AH1603" s="1" t="s">
        <v>359</v>
      </c>
      <c r="AI1603" s="1">
        <v>0.0812</v>
      </c>
      <c r="AK1603" s="1">
        <v>7.0</v>
      </c>
      <c r="AL1603" s="1">
        <v>3.0</v>
      </c>
      <c r="AM1603" s="1">
        <v>2.0</v>
      </c>
      <c r="AN1603" s="1">
        <v>0.0</v>
      </c>
      <c r="AO1603" s="1" t="s">
        <v>229</v>
      </c>
      <c r="AP1603" s="1">
        <v>0.0</v>
      </c>
      <c r="AQ1603" s="1" t="s">
        <v>198</v>
      </c>
      <c r="AR1603" s="1" t="s">
        <v>192</v>
      </c>
      <c r="AS1603" s="1" t="s">
        <v>199</v>
      </c>
      <c r="AT1603" s="1">
        <v>2.0</v>
      </c>
      <c r="AV1603" s="1" t="s">
        <v>200</v>
      </c>
      <c r="AW1603" s="1">
        <v>4279.09</v>
      </c>
      <c r="AX1603" s="1">
        <v>2013.0</v>
      </c>
      <c r="AY1603" s="1" t="s">
        <v>387</v>
      </c>
      <c r="AZ1603" s="1" t="s">
        <v>200</v>
      </c>
      <c r="BA1603" s="1" t="str">
        <f>"13172310410000"</f>
        <v>13172310410000</v>
      </c>
      <c r="BC1603" s="1">
        <v>0.0</v>
      </c>
      <c r="BD1603" s="1">
        <v>245000.0</v>
      </c>
      <c r="BE1603" s="2">
        <v>41832.0</v>
      </c>
      <c r="BF1603" s="2" t="s">
        <v>16135</v>
      </c>
      <c r="BH1603" s="1">
        <v>0.0</v>
      </c>
      <c r="BK1603" s="1" t="s">
        <v>204</v>
      </c>
      <c r="BL1603" s="1" t="str">
        <f>"5600"</f>
        <v>5600</v>
      </c>
      <c r="BM1603" s="1" t="str">
        <f t="shared" si="1051"/>
        <v>0</v>
      </c>
      <c r="BN1603" s="1">
        <v>5600.0</v>
      </c>
      <c r="BO1603" s="1">
        <v>0.0</v>
      </c>
      <c r="BQ1603" s="1">
        <v>299.0</v>
      </c>
      <c r="BR1603" s="1">
        <v>299.0</v>
      </c>
      <c r="BS1603" s="1">
        <v>299.0</v>
      </c>
      <c r="BU1603" s="1" t="s">
        <v>677</v>
      </c>
      <c r="BV1603" s="1" t="s">
        <v>206</v>
      </c>
      <c r="BW1603" s="1" t="s">
        <v>207</v>
      </c>
      <c r="BY1603" s="1" t="s">
        <v>363</v>
      </c>
      <c r="BZ1603" s="1" t="s">
        <v>206</v>
      </c>
      <c r="CA1603" s="1" t="s">
        <v>207</v>
      </c>
      <c r="CD1603" s="1" t="s">
        <v>204</v>
      </c>
      <c r="CE1603" s="1" t="s">
        <v>207</v>
      </c>
      <c r="CG1603" s="1" t="s">
        <v>495</v>
      </c>
      <c r="CH1603" s="1" t="s">
        <v>206</v>
      </c>
      <c r="CI1603" s="1" t="s">
        <v>207</v>
      </c>
      <c r="CK1603" s="1" t="s">
        <v>495</v>
      </c>
      <c r="CL1603" s="1" t="s">
        <v>206</v>
      </c>
      <c r="CM1603" s="1" t="s">
        <v>207</v>
      </c>
      <c r="CO1603" s="1" t="s">
        <v>269</v>
      </c>
      <c r="CP1603" s="1" t="s">
        <v>42</v>
      </c>
      <c r="CQ1603" s="1" t="s">
        <v>301</v>
      </c>
      <c r="CS1603" s="1" t="s">
        <v>1183</v>
      </c>
      <c r="CT1603" s="1" t="s">
        <v>206</v>
      </c>
      <c r="CU1603" s="1" t="s">
        <v>617</v>
      </c>
      <c r="CX1603" s="1" t="s">
        <v>204</v>
      </c>
      <c r="DA1603" s="1" t="s">
        <v>200</v>
      </c>
      <c r="DC1603" s="1" t="s">
        <v>702</v>
      </c>
      <c r="DD1603" s="1" t="s">
        <v>396</v>
      </c>
      <c r="DE1603" s="1" t="s">
        <v>273</v>
      </c>
      <c r="DF1603" s="1" t="s">
        <v>619</v>
      </c>
      <c r="DG1603" s="1" t="s">
        <v>337</v>
      </c>
      <c r="DH1603" s="1" t="s">
        <v>220</v>
      </c>
      <c r="DI1603" s="1" t="s">
        <v>1463</v>
      </c>
      <c r="DJ1603" s="1" t="s">
        <v>222</v>
      </c>
      <c r="DL1603" s="1" t="s">
        <v>1161</v>
      </c>
      <c r="DM1603" s="1" t="s">
        <v>225</v>
      </c>
      <c r="DO1603" s="1" t="s">
        <v>1004</v>
      </c>
      <c r="DQ1603" s="1" t="s">
        <v>228</v>
      </c>
      <c r="DR1603" s="1" t="s">
        <v>229</v>
      </c>
      <c r="DS1603" s="1" t="s">
        <v>277</v>
      </c>
      <c r="DU1603" s="1" t="s">
        <v>1840</v>
      </c>
      <c r="DV1603" s="1" t="s">
        <v>450</v>
      </c>
      <c r="DW1603" s="1" t="s">
        <v>279</v>
      </c>
      <c r="DX1603" s="1" t="s">
        <v>234</v>
      </c>
      <c r="DY1603" s="1" t="s">
        <v>4720</v>
      </c>
      <c r="EA1603" s="1" t="s">
        <v>683</v>
      </c>
      <c r="EC1603" s="1" t="s">
        <v>685</v>
      </c>
      <c r="ED1603" s="1" t="s">
        <v>555</v>
      </c>
      <c r="EE1603" s="1" t="s">
        <v>522</v>
      </c>
      <c r="EG1603" s="1" t="s">
        <v>450</v>
      </c>
      <c r="EL1603" s="1" t="s">
        <v>8426</v>
      </c>
      <c r="EM1603" s="1" t="s">
        <v>42</v>
      </c>
      <c r="EN1603" s="1" t="s">
        <v>268</v>
      </c>
      <c r="EQ1603" s="1" t="s">
        <v>238</v>
      </c>
      <c r="EU1603" s="1" t="s">
        <v>238</v>
      </c>
      <c r="EY1603" s="1" t="s">
        <v>238</v>
      </c>
      <c r="FC1603" s="1" t="s">
        <v>238</v>
      </c>
      <c r="FF1603" s="1" t="s">
        <v>239</v>
      </c>
      <c r="FG1603" s="1" t="s">
        <v>192</v>
      </c>
      <c r="FH1603" s="1" t="s">
        <v>192</v>
      </c>
      <c r="FJ1603" s="1" t="s">
        <v>561</v>
      </c>
      <c r="FK1603" s="1" t="s">
        <v>229</v>
      </c>
      <c r="FL1603" s="1" t="s">
        <v>562</v>
      </c>
      <c r="FM1603" s="1">
        <v>84025.0</v>
      </c>
      <c r="FN1603" s="1" t="s">
        <v>2509</v>
      </c>
      <c r="FO1603" s="1" t="s">
        <v>15514</v>
      </c>
      <c r="FP1603" s="1">
        <v>158815.0</v>
      </c>
      <c r="FQ1603" s="1" t="s">
        <v>15515</v>
      </c>
      <c r="FU1603" s="1" t="s">
        <v>16136</v>
      </c>
      <c r="FV1603" s="1" t="s">
        <v>200</v>
      </c>
      <c r="FW1603" s="1" t="s">
        <v>290</v>
      </c>
      <c r="FX1603" s="1" t="s">
        <v>246</v>
      </c>
      <c r="FZ1603" s="1" t="s">
        <v>229</v>
      </c>
      <c r="GA1603" s="1" t="s">
        <v>291</v>
      </c>
      <c r="GB1603" s="2">
        <v>42150.0</v>
      </c>
      <c r="GC1603" s="1" t="s">
        <v>16137</v>
      </c>
    </row>
    <row r="1604">
      <c r="A1604" s="1">
        <v>298000.0</v>
      </c>
      <c r="B1604" s="1" t="s">
        <v>185</v>
      </c>
      <c r="C1604" s="1" t="str">
        <f>"08680812"</f>
        <v>08680812</v>
      </c>
      <c r="D1604" s="1" t="s">
        <v>186</v>
      </c>
      <c r="F1604" s="1" t="str">
        <f>"543"</f>
        <v>543</v>
      </c>
      <c r="G1604" s="2">
        <v>41843.0</v>
      </c>
      <c r="H1604" s="1">
        <v>310220.0</v>
      </c>
      <c r="I1604" s="1">
        <v>237.0</v>
      </c>
      <c r="J1604" s="1">
        <v>309990.0</v>
      </c>
      <c r="K1604" s="2">
        <v>42078.0</v>
      </c>
      <c r="L1604" s="1">
        <v>237.0</v>
      </c>
      <c r="M1604" s="2">
        <v>42078.0</v>
      </c>
      <c r="N1604" s="1" t="s">
        <v>187</v>
      </c>
      <c r="O1604" s="2">
        <v>42139.0</v>
      </c>
      <c r="P1604" s="1">
        <v>215491.0</v>
      </c>
      <c r="Q1604" s="1">
        <v>26032.0</v>
      </c>
      <c r="S1604" s="1">
        <v>142.0</v>
      </c>
      <c r="T1604" s="1" t="s">
        <v>4265</v>
      </c>
      <c r="U1604" s="1" t="s">
        <v>982</v>
      </c>
      <c r="V1604" s="1" t="s">
        <v>1527</v>
      </c>
      <c r="W1604" s="1">
        <v>60543.0</v>
      </c>
      <c r="Y1604" s="1" t="s">
        <v>16138</v>
      </c>
      <c r="Z1604" s="1">
        <v>2014.0</v>
      </c>
      <c r="AA1604" s="1" t="s">
        <v>200</v>
      </c>
      <c r="AB1604" s="1" t="s">
        <v>467</v>
      </c>
      <c r="AC1604" s="1" t="s">
        <v>16139</v>
      </c>
      <c r="AD1604" s="1" t="s">
        <v>1529</v>
      </c>
      <c r="AE1604" s="1" t="s">
        <v>849</v>
      </c>
      <c r="AF1604" s="1" t="s">
        <v>1529</v>
      </c>
      <c r="AG1604" s="1" t="s">
        <v>16140</v>
      </c>
      <c r="AH1604" s="1" t="s">
        <v>16141</v>
      </c>
      <c r="AI1604" s="1">
        <v>0.23</v>
      </c>
      <c r="AK1604" s="1">
        <v>8.0</v>
      </c>
      <c r="AL1604" s="1">
        <v>4.0</v>
      </c>
      <c r="AM1604" s="1">
        <v>2.0</v>
      </c>
      <c r="AN1604" s="1">
        <v>1.0</v>
      </c>
      <c r="AO1604" s="1" t="s">
        <v>198</v>
      </c>
      <c r="AQ1604" s="1" t="s">
        <v>1314</v>
      </c>
      <c r="AR1604" s="1" t="s">
        <v>200</v>
      </c>
      <c r="AS1604" s="1" t="s">
        <v>199</v>
      </c>
      <c r="AT1604" s="1">
        <v>3.0</v>
      </c>
      <c r="AV1604" s="1" t="s">
        <v>200</v>
      </c>
      <c r="AW1604" s="1" t="s">
        <v>575</v>
      </c>
      <c r="AX1604" s="1">
        <v>2013.0</v>
      </c>
      <c r="AZ1604" s="1" t="s">
        <v>200</v>
      </c>
      <c r="BA1604" s="1" t="str">
        <f>"0315103031"</f>
        <v>0315103031</v>
      </c>
      <c r="BB1604" s="1" t="s">
        <v>200</v>
      </c>
      <c r="BC1604" s="1">
        <v>2769.0</v>
      </c>
      <c r="BD1604" s="1">
        <v>298000.0</v>
      </c>
      <c r="BE1604" s="2">
        <v>41842.0</v>
      </c>
      <c r="BF1604" s="2" t="s">
        <v>16142</v>
      </c>
      <c r="BG1604" s="1" t="s">
        <v>4366</v>
      </c>
      <c r="BH1604" s="1">
        <v>62.0</v>
      </c>
      <c r="BI1604" s="1" t="s">
        <v>1348</v>
      </c>
      <c r="BJ1604" s="1" t="s">
        <v>1349</v>
      </c>
      <c r="BK1604" s="1" t="s">
        <v>474</v>
      </c>
      <c r="BL1604" s="1" t="str">
        <f>"41"</f>
        <v>41</v>
      </c>
      <c r="BM1604" s="1" t="str">
        <f t="shared" si="1051"/>
        <v>0</v>
      </c>
      <c r="BN1604" s="1">
        <v>88.0</v>
      </c>
      <c r="BO1604" s="1">
        <v>0.0</v>
      </c>
      <c r="BQ1604" s="1">
        <v>308.0</v>
      </c>
      <c r="BR1604" s="1">
        <v>308.0</v>
      </c>
      <c r="BS1604" s="1">
        <v>308.0</v>
      </c>
      <c r="BV1604" s="1" t="s">
        <v>204</v>
      </c>
      <c r="BY1604" s="1" t="s">
        <v>434</v>
      </c>
      <c r="BZ1604" s="1" t="s">
        <v>209</v>
      </c>
      <c r="CA1604" s="1" t="s">
        <v>210</v>
      </c>
      <c r="CC1604" s="1" t="s">
        <v>332</v>
      </c>
      <c r="CD1604" s="1" t="s">
        <v>206</v>
      </c>
      <c r="CE1604" s="1" t="s">
        <v>207</v>
      </c>
      <c r="CG1604" s="1" t="s">
        <v>212</v>
      </c>
      <c r="CH1604" s="1" t="s">
        <v>209</v>
      </c>
      <c r="CI1604" s="1" t="s">
        <v>210</v>
      </c>
      <c r="CK1604" s="1" t="s">
        <v>212</v>
      </c>
      <c r="CL1604" s="1" t="s">
        <v>209</v>
      </c>
      <c r="CM1604" s="1" t="s">
        <v>210</v>
      </c>
      <c r="CO1604" s="1" t="s">
        <v>699</v>
      </c>
      <c r="CP1604" s="1" t="s">
        <v>209</v>
      </c>
      <c r="CQ1604" s="1" t="s">
        <v>210</v>
      </c>
      <c r="CS1604" s="1" t="s">
        <v>743</v>
      </c>
      <c r="CT1604" s="1" t="s">
        <v>206</v>
      </c>
      <c r="CU1604" s="1" t="s">
        <v>207</v>
      </c>
      <c r="CW1604" s="1" t="s">
        <v>477</v>
      </c>
      <c r="CX1604" s="1" t="s">
        <v>206</v>
      </c>
      <c r="CY1604" s="1" t="s">
        <v>207</v>
      </c>
      <c r="DA1604" s="1" t="s">
        <v>192</v>
      </c>
      <c r="DB1604" s="2">
        <v>42153.0</v>
      </c>
      <c r="DC1604" s="1" t="s">
        <v>1353</v>
      </c>
      <c r="DD1604" s="1" t="s">
        <v>518</v>
      </c>
      <c r="DE1604" s="1" t="s">
        <v>273</v>
      </c>
      <c r="DF1604" s="1" t="s">
        <v>219</v>
      </c>
      <c r="DG1604" s="1" t="s">
        <v>8201</v>
      </c>
      <c r="DH1604" s="1" t="s">
        <v>220</v>
      </c>
      <c r="DI1604" s="1" t="s">
        <v>589</v>
      </c>
      <c r="DJ1604" s="1" t="s">
        <v>222</v>
      </c>
      <c r="DK1604" s="1" t="s">
        <v>223</v>
      </c>
      <c r="DL1604" s="1" t="s">
        <v>3611</v>
      </c>
      <c r="DM1604" s="1" t="s">
        <v>338</v>
      </c>
      <c r="DN1604" s="1" t="s">
        <v>485</v>
      </c>
      <c r="DQ1604" s="1" t="s">
        <v>228</v>
      </c>
      <c r="DR1604" s="1" t="s">
        <v>1980</v>
      </c>
      <c r="DS1604" s="1" t="s">
        <v>591</v>
      </c>
      <c r="DU1604" s="1" t="s">
        <v>550</v>
      </c>
      <c r="DV1604" s="1" t="s">
        <v>1028</v>
      </c>
      <c r="DW1604" s="1" t="s">
        <v>444</v>
      </c>
      <c r="DX1604" s="1" t="s">
        <v>234</v>
      </c>
      <c r="DY1604" s="1" t="s">
        <v>1051</v>
      </c>
      <c r="DZ1604" s="1" t="s">
        <v>343</v>
      </c>
      <c r="EA1604" s="1" t="s">
        <v>344</v>
      </c>
      <c r="EC1604" s="1" t="s">
        <v>237</v>
      </c>
      <c r="EE1604" s="1" t="s">
        <v>493</v>
      </c>
      <c r="EG1604" s="1" t="s">
        <v>1028</v>
      </c>
      <c r="EL1604" s="1" t="s">
        <v>332</v>
      </c>
      <c r="EM1604" s="1" t="s">
        <v>206</v>
      </c>
      <c r="EN1604" s="1" t="s">
        <v>207</v>
      </c>
      <c r="EQ1604" s="1" t="s">
        <v>238</v>
      </c>
      <c r="EU1604" s="1" t="s">
        <v>238</v>
      </c>
      <c r="EY1604" s="1" t="s">
        <v>238</v>
      </c>
      <c r="FC1604" s="1" t="s">
        <v>238</v>
      </c>
      <c r="FF1604" s="1" t="s">
        <v>239</v>
      </c>
      <c r="FG1604" s="1" t="s">
        <v>192</v>
      </c>
      <c r="FH1604" s="1" t="s">
        <v>192</v>
      </c>
      <c r="FJ1604" s="1" t="s">
        <v>16143</v>
      </c>
      <c r="FK1604" s="1" t="s">
        <v>229</v>
      </c>
      <c r="FL1604" s="1" t="s">
        <v>8206</v>
      </c>
      <c r="FM1604" s="1">
        <v>23223.0</v>
      </c>
      <c r="FN1604" s="1" t="s">
        <v>8207</v>
      </c>
      <c r="FO1604" s="1" t="s">
        <v>8208</v>
      </c>
      <c r="FP1604" s="1">
        <v>236300.0</v>
      </c>
      <c r="FR1604" s="1">
        <v>210778.0</v>
      </c>
      <c r="FT1604" s="1" t="s">
        <v>11002</v>
      </c>
      <c r="FU1604" s="1" t="s">
        <v>11003</v>
      </c>
      <c r="FV1604" s="1" t="s">
        <v>200</v>
      </c>
      <c r="FW1604" s="1" t="s">
        <v>8211</v>
      </c>
      <c r="FZ1604" s="1" t="s">
        <v>229</v>
      </c>
      <c r="GA1604" s="1" t="s">
        <v>247</v>
      </c>
      <c r="GB1604" s="2">
        <v>42139.0</v>
      </c>
      <c r="GC1604" s="1" t="s">
        <v>16144</v>
      </c>
    </row>
    <row r="1605">
      <c r="A1605" s="1">
        <v>228900.0</v>
      </c>
      <c r="B1605" s="1" t="s">
        <v>185</v>
      </c>
      <c r="C1605" s="1" t="str">
        <f>"08668050"</f>
        <v>08668050</v>
      </c>
      <c r="D1605" s="1" t="s">
        <v>186</v>
      </c>
      <c r="F1605" s="1" t="str">
        <f>"8056"</f>
        <v>8056</v>
      </c>
      <c r="G1605" s="2">
        <v>41829.0</v>
      </c>
      <c r="H1605" s="1">
        <v>239500.0</v>
      </c>
      <c r="I1605" s="1">
        <v>183.0</v>
      </c>
      <c r="J1605" s="1">
        <v>228700.0</v>
      </c>
      <c r="K1605" s="2">
        <v>41934.0</v>
      </c>
      <c r="L1605" s="1">
        <v>106.0</v>
      </c>
      <c r="M1605" s="2">
        <v>41934.0</v>
      </c>
      <c r="N1605" s="1" t="s">
        <v>356</v>
      </c>
      <c r="O1605" s="2">
        <v>41988.0</v>
      </c>
      <c r="P1605" s="1">
        <v>875815.0</v>
      </c>
      <c r="Q1605" s="1">
        <v>12555.0</v>
      </c>
      <c r="S1605" s="1">
        <v>5129.0</v>
      </c>
      <c r="T1605" s="1" t="s">
        <v>8352</v>
      </c>
      <c r="U1605" s="1" t="s">
        <v>189</v>
      </c>
      <c r="V1605" s="1" t="s">
        <v>190</v>
      </c>
      <c r="W1605" s="1">
        <v>60638.0</v>
      </c>
      <c r="Y1605" s="1" t="s">
        <v>16145</v>
      </c>
      <c r="Z1605" s="1">
        <v>1952.0</v>
      </c>
      <c r="AA1605" s="1" t="s">
        <v>192</v>
      </c>
      <c r="AB1605" s="1" t="s">
        <v>193</v>
      </c>
      <c r="AD1605" s="1" t="s">
        <v>194</v>
      </c>
      <c r="AE1605" s="1" t="s">
        <v>195</v>
      </c>
      <c r="AF1605" s="1" t="s">
        <v>534</v>
      </c>
      <c r="AH1605" s="1" t="s">
        <v>1501</v>
      </c>
      <c r="AI1605" s="1">
        <v>0.0868</v>
      </c>
      <c r="AK1605" s="1">
        <v>7.0</v>
      </c>
      <c r="AL1605" s="1">
        <v>4.0</v>
      </c>
      <c r="AM1605" s="1">
        <v>3.0</v>
      </c>
      <c r="AN1605" s="1">
        <v>0.0</v>
      </c>
      <c r="AO1605" s="1" t="s">
        <v>229</v>
      </c>
      <c r="AQ1605" s="1" t="s">
        <v>198</v>
      </c>
      <c r="AR1605" s="1" t="s">
        <v>192</v>
      </c>
      <c r="AS1605" s="1" t="s">
        <v>199</v>
      </c>
      <c r="AT1605" s="1">
        <v>2.0</v>
      </c>
      <c r="AV1605" s="1" t="s">
        <v>200</v>
      </c>
      <c r="AW1605" s="1">
        <v>2878.49</v>
      </c>
      <c r="AX1605" s="1">
        <v>2012.0</v>
      </c>
      <c r="AY1605" s="1" t="s">
        <v>387</v>
      </c>
      <c r="AZ1605" s="1" t="s">
        <v>200</v>
      </c>
      <c r="BA1605" s="1" t="str">
        <f>"19093060100000"</f>
        <v>19093060100000</v>
      </c>
      <c r="BC1605" s="1">
        <v>1514.0</v>
      </c>
      <c r="BD1605" s="1">
        <v>228900.0</v>
      </c>
      <c r="BE1605" s="2">
        <v>41829.0</v>
      </c>
      <c r="BF1605" s="2" t="s">
        <v>16146</v>
      </c>
      <c r="BH1605" s="1">
        <v>0.0</v>
      </c>
      <c r="BK1605" s="1" t="s">
        <v>204</v>
      </c>
      <c r="BL1605" s="1" t="str">
        <f t="shared" ref="BL1605:BM1605" si="1052">"0"</f>
        <v>0</v>
      </c>
      <c r="BM1605" s="1" t="str">
        <f t="shared" si="1052"/>
        <v>0</v>
      </c>
      <c r="BN1605" s="1">
        <v>5300.0</v>
      </c>
      <c r="BO1605" s="1">
        <v>5129.0</v>
      </c>
      <c r="BQ1605" s="1">
        <v>299.0</v>
      </c>
      <c r="BR1605" s="1">
        <v>299.0</v>
      </c>
      <c r="BS1605" s="1">
        <v>299.0</v>
      </c>
      <c r="BU1605" s="1" t="s">
        <v>3888</v>
      </c>
      <c r="BV1605" s="1" t="s">
        <v>206</v>
      </c>
      <c r="BY1605" s="1" t="s">
        <v>1044</v>
      </c>
      <c r="BZ1605" s="1" t="s">
        <v>209</v>
      </c>
      <c r="CD1605" s="1" t="s">
        <v>204</v>
      </c>
      <c r="CG1605" s="1" t="s">
        <v>1417</v>
      </c>
      <c r="CH1605" s="1" t="s">
        <v>206</v>
      </c>
      <c r="CK1605" s="1" t="s">
        <v>1417</v>
      </c>
      <c r="CL1605" s="1" t="s">
        <v>206</v>
      </c>
      <c r="CO1605" s="1" t="s">
        <v>1064</v>
      </c>
      <c r="CP1605" s="1" t="s">
        <v>209</v>
      </c>
      <c r="CS1605" s="1" t="s">
        <v>1329</v>
      </c>
      <c r="CT1605" s="1" t="s">
        <v>206</v>
      </c>
      <c r="CW1605" s="1" t="s">
        <v>1001</v>
      </c>
      <c r="CX1605" s="1" t="s">
        <v>42</v>
      </c>
      <c r="DA1605" s="1" t="s">
        <v>200</v>
      </c>
      <c r="DC1605" s="1" t="s">
        <v>702</v>
      </c>
      <c r="DD1605" s="1" t="s">
        <v>518</v>
      </c>
      <c r="DE1605" s="1" t="s">
        <v>3750</v>
      </c>
      <c r="DF1605" s="1" t="s">
        <v>905</v>
      </c>
      <c r="DH1605" s="1" t="s">
        <v>365</v>
      </c>
      <c r="DI1605" s="1" t="s">
        <v>3203</v>
      </c>
      <c r="DJ1605" s="1" t="s">
        <v>222</v>
      </c>
      <c r="DK1605" s="1" t="s">
        <v>1380</v>
      </c>
      <c r="DL1605" s="1" t="s">
        <v>224</v>
      </c>
      <c r="DM1605" s="1" t="s">
        <v>229</v>
      </c>
      <c r="DQ1605" s="1" t="s">
        <v>228</v>
      </c>
      <c r="DR1605" s="1" t="s">
        <v>229</v>
      </c>
      <c r="DV1605" s="1" t="s">
        <v>16147</v>
      </c>
      <c r="DW1605" s="1" t="s">
        <v>279</v>
      </c>
      <c r="DX1605" s="1" t="s">
        <v>234</v>
      </c>
      <c r="EA1605" s="1" t="s">
        <v>1075</v>
      </c>
      <c r="EC1605" s="1" t="s">
        <v>645</v>
      </c>
      <c r="EH1605" s="1" t="s">
        <v>310</v>
      </c>
      <c r="EI1605" s="1" t="s">
        <v>588</v>
      </c>
      <c r="EM1605" s="1" t="s">
        <v>238</v>
      </c>
      <c r="EP1605" s="1" t="s">
        <v>3045</v>
      </c>
      <c r="EQ1605" s="1" t="s">
        <v>206</v>
      </c>
      <c r="ET1605" s="1" t="s">
        <v>2459</v>
      </c>
      <c r="EU1605" s="1" t="s">
        <v>42</v>
      </c>
      <c r="EY1605" s="1" t="s">
        <v>238</v>
      </c>
      <c r="FC1605" s="1" t="s">
        <v>238</v>
      </c>
      <c r="FF1605" s="1" t="s">
        <v>239</v>
      </c>
      <c r="FG1605" s="1" t="s">
        <v>192</v>
      </c>
      <c r="FH1605" s="1" t="s">
        <v>200</v>
      </c>
      <c r="FJ1605" s="1" t="s">
        <v>3376</v>
      </c>
      <c r="FK1605" s="1" t="s">
        <v>3714</v>
      </c>
      <c r="FL1605" s="1" t="s">
        <v>16148</v>
      </c>
      <c r="FM1605" s="1">
        <v>40459.0</v>
      </c>
      <c r="FN1605" s="1" t="s">
        <v>16149</v>
      </c>
      <c r="FO1605" s="1" t="s">
        <v>16150</v>
      </c>
      <c r="FP1605" s="1">
        <v>403234.0</v>
      </c>
      <c r="FQ1605" s="1" t="s">
        <v>16149</v>
      </c>
      <c r="FU1605" s="1" t="s">
        <v>16151</v>
      </c>
      <c r="FV1605" s="1" t="s">
        <v>200</v>
      </c>
      <c r="FW1605" s="1" t="s">
        <v>290</v>
      </c>
      <c r="FX1605" s="1" t="s">
        <v>655</v>
      </c>
      <c r="FZ1605" s="1" t="s">
        <v>229</v>
      </c>
      <c r="GA1605" s="1" t="s">
        <v>291</v>
      </c>
      <c r="GB1605" s="2">
        <v>41989.0</v>
      </c>
      <c r="GC1605" s="1" t="s">
        <v>16152</v>
      </c>
    </row>
    <row r="1606">
      <c r="A1606" s="1">
        <v>292395.0</v>
      </c>
      <c r="B1606" s="1" t="s">
        <v>185</v>
      </c>
      <c r="C1606" s="1" t="str">
        <f>"08673238"</f>
        <v>08673238</v>
      </c>
      <c r="D1606" s="1" t="s">
        <v>186</v>
      </c>
      <c r="F1606" s="1" t="str">
        <f>"110"</f>
        <v>110</v>
      </c>
      <c r="G1606" s="2">
        <v>41835.0</v>
      </c>
      <c r="H1606" s="1">
        <v>285585.0</v>
      </c>
      <c r="I1606" s="1">
        <v>1.0</v>
      </c>
      <c r="J1606" s="1">
        <v>285585.0</v>
      </c>
      <c r="K1606" s="2">
        <v>41835.0</v>
      </c>
      <c r="L1606" s="1">
        <v>1.0</v>
      </c>
      <c r="M1606" s="2">
        <v>41835.0</v>
      </c>
      <c r="N1606" s="1" t="s">
        <v>187</v>
      </c>
      <c r="O1606" s="2">
        <v>41978.0</v>
      </c>
      <c r="P1606" s="1">
        <v>874772.0</v>
      </c>
      <c r="Q1606" s="1">
        <v>85692.0</v>
      </c>
      <c r="S1606" s="1">
        <v>3542.0</v>
      </c>
      <c r="T1606" s="1" t="s">
        <v>1173</v>
      </c>
      <c r="U1606" s="1" t="s">
        <v>1174</v>
      </c>
      <c r="V1606" s="1" t="s">
        <v>807</v>
      </c>
      <c r="W1606" s="1">
        <v>60110.0</v>
      </c>
      <c r="Y1606" s="1" t="s">
        <v>1175</v>
      </c>
      <c r="Z1606" s="1">
        <v>2014.0</v>
      </c>
      <c r="AA1606" s="1" t="s">
        <v>200</v>
      </c>
      <c r="AB1606" s="1" t="s">
        <v>467</v>
      </c>
      <c r="AC1606" s="1" t="s">
        <v>1176</v>
      </c>
      <c r="AD1606" s="1" t="s">
        <v>809</v>
      </c>
      <c r="AE1606" s="1" t="s">
        <v>325</v>
      </c>
      <c r="AF1606" s="1" t="s">
        <v>810</v>
      </c>
      <c r="AG1606" s="1" t="s">
        <v>13379</v>
      </c>
      <c r="AH1606" s="1" t="s">
        <v>1178</v>
      </c>
      <c r="AK1606" s="1">
        <v>9.0</v>
      </c>
      <c r="AL1606" s="1">
        <v>4.0</v>
      </c>
      <c r="AM1606" s="1">
        <v>2.0</v>
      </c>
      <c r="AN1606" s="1">
        <v>1.0</v>
      </c>
      <c r="AO1606" s="1" t="s">
        <v>198</v>
      </c>
      <c r="AP1606" s="1">
        <v>0.0</v>
      </c>
      <c r="AQ1606" s="1" t="s">
        <v>198</v>
      </c>
      <c r="AR1606" s="1" t="s">
        <v>200</v>
      </c>
      <c r="AS1606" s="1" t="s">
        <v>199</v>
      </c>
      <c r="AT1606" s="1">
        <v>2.0</v>
      </c>
      <c r="AV1606" s="1" t="s">
        <v>200</v>
      </c>
      <c r="AW1606" s="1" t="s">
        <v>575</v>
      </c>
      <c r="AX1606" s="1">
        <v>2012.0</v>
      </c>
      <c r="AY1606" s="1" t="s">
        <v>1179</v>
      </c>
      <c r="AZ1606" s="1" t="s">
        <v>200</v>
      </c>
      <c r="BA1606" s="1" t="str">
        <f>"0212431011"</f>
        <v>0212431011</v>
      </c>
      <c r="BC1606" s="1">
        <v>3127.0</v>
      </c>
      <c r="BD1606" s="1">
        <v>292395.0</v>
      </c>
      <c r="BE1606" s="2">
        <v>41835.0</v>
      </c>
      <c r="BF1606" s="1" t="s">
        <v>16153</v>
      </c>
      <c r="BG1606" s="1" t="s">
        <v>1181</v>
      </c>
      <c r="BH1606" s="1">
        <v>112.0</v>
      </c>
      <c r="BI1606" s="1" t="s">
        <v>1093</v>
      </c>
      <c r="BJ1606" s="1" t="s">
        <v>1182</v>
      </c>
      <c r="BK1606" s="1" t="s">
        <v>1952</v>
      </c>
      <c r="BL1606" s="1" t="str">
        <f>"18"</f>
        <v>18</v>
      </c>
      <c r="BM1606" s="1" t="str">
        <f t="shared" ref="BM1606:BM1607" si="1053">"0"</f>
        <v>0</v>
      </c>
      <c r="BN1606" s="1">
        <v>37.0</v>
      </c>
      <c r="BO1606" s="1">
        <v>0.0</v>
      </c>
      <c r="BQ1606" s="1">
        <v>300.0</v>
      </c>
      <c r="BR1606" s="1">
        <v>300.0</v>
      </c>
      <c r="BS1606" s="1">
        <v>300.0</v>
      </c>
      <c r="BV1606" s="1" t="s">
        <v>204</v>
      </c>
      <c r="BY1606" s="1" t="s">
        <v>1063</v>
      </c>
      <c r="BZ1606" s="1" t="s">
        <v>209</v>
      </c>
      <c r="CA1606" s="1" t="s">
        <v>210</v>
      </c>
      <c r="CB1606" s="1" t="s">
        <v>229</v>
      </c>
      <c r="CC1606" s="1" t="s">
        <v>2459</v>
      </c>
      <c r="CD1606" s="1" t="s">
        <v>206</v>
      </c>
      <c r="CE1606" s="1" t="s">
        <v>617</v>
      </c>
      <c r="CF1606" s="1" t="s">
        <v>229</v>
      </c>
      <c r="CG1606" s="1" t="s">
        <v>1417</v>
      </c>
      <c r="CH1606" s="1" t="s">
        <v>209</v>
      </c>
      <c r="CI1606" s="1" t="s">
        <v>210</v>
      </c>
      <c r="CJ1606" s="1" t="s">
        <v>229</v>
      </c>
      <c r="CK1606" s="1" t="s">
        <v>2459</v>
      </c>
      <c r="CL1606" s="1" t="s">
        <v>209</v>
      </c>
      <c r="CM1606" s="1" t="s">
        <v>210</v>
      </c>
      <c r="CN1606" s="1" t="s">
        <v>229</v>
      </c>
      <c r="CO1606" s="1" t="s">
        <v>331</v>
      </c>
      <c r="CP1606" s="1" t="s">
        <v>209</v>
      </c>
      <c r="CQ1606" s="1" t="s">
        <v>210</v>
      </c>
      <c r="CR1606" s="1" t="s">
        <v>229</v>
      </c>
      <c r="CS1606" s="1" t="s">
        <v>211</v>
      </c>
      <c r="CT1606" s="1" t="s">
        <v>206</v>
      </c>
      <c r="CU1606" s="1" t="s">
        <v>617</v>
      </c>
      <c r="CV1606" s="1" t="s">
        <v>229</v>
      </c>
      <c r="CW1606" s="1" t="s">
        <v>1045</v>
      </c>
      <c r="CX1606" s="1" t="s">
        <v>206</v>
      </c>
      <c r="CY1606" s="1" t="s">
        <v>210</v>
      </c>
      <c r="CZ1606" s="1" t="s">
        <v>229</v>
      </c>
      <c r="DA1606" s="1" t="s">
        <v>192</v>
      </c>
      <c r="DB1606" s="2">
        <v>42003.0</v>
      </c>
      <c r="DC1606" s="1" t="s">
        <v>744</v>
      </c>
      <c r="DD1606" s="1" t="s">
        <v>306</v>
      </c>
      <c r="DE1606" s="1" t="s">
        <v>273</v>
      </c>
      <c r="DF1606" s="1" t="s">
        <v>219</v>
      </c>
      <c r="DG1606" s="1" t="s">
        <v>482</v>
      </c>
      <c r="DH1606" s="1" t="s">
        <v>220</v>
      </c>
      <c r="DI1606" s="1" t="s">
        <v>1021</v>
      </c>
      <c r="DJ1606" s="1" t="s">
        <v>222</v>
      </c>
      <c r="DK1606" s="1" t="s">
        <v>223</v>
      </c>
      <c r="DL1606" s="1" t="s">
        <v>223</v>
      </c>
      <c r="DM1606" s="1" t="s">
        <v>338</v>
      </c>
      <c r="DN1606" s="1" t="s">
        <v>548</v>
      </c>
      <c r="DP1606" s="1" t="s">
        <v>227</v>
      </c>
      <c r="DQ1606" s="1" t="s">
        <v>441</v>
      </c>
      <c r="DR1606" s="1" t="s">
        <v>1185</v>
      </c>
      <c r="DS1606" s="1" t="s">
        <v>591</v>
      </c>
      <c r="DT1606" s="1" t="s">
        <v>1186</v>
      </c>
      <c r="DU1606" s="1" t="s">
        <v>1187</v>
      </c>
      <c r="DV1606" s="1" t="s">
        <v>1188</v>
      </c>
      <c r="DW1606" s="1" t="s">
        <v>444</v>
      </c>
      <c r="DX1606" s="1" t="s">
        <v>234</v>
      </c>
      <c r="DY1606" s="1" t="s">
        <v>3075</v>
      </c>
      <c r="EA1606" s="1" t="s">
        <v>344</v>
      </c>
      <c r="EC1606" s="1" t="s">
        <v>237</v>
      </c>
      <c r="EJ1606" s="1" t="s">
        <v>341</v>
      </c>
      <c r="EK1606" s="1" t="s">
        <v>494</v>
      </c>
      <c r="EM1606" s="1" t="s">
        <v>238</v>
      </c>
      <c r="EQ1606" s="1" t="s">
        <v>238</v>
      </c>
      <c r="EU1606" s="1" t="s">
        <v>238</v>
      </c>
      <c r="EX1606" s="1" t="s">
        <v>454</v>
      </c>
      <c r="EY1606" s="1" t="s">
        <v>209</v>
      </c>
      <c r="EZ1606" s="1" t="s">
        <v>210</v>
      </c>
      <c r="FA1606" s="1" t="s">
        <v>229</v>
      </c>
      <c r="FB1606" s="1" t="s">
        <v>663</v>
      </c>
      <c r="FC1606" s="1" t="s">
        <v>206</v>
      </c>
      <c r="FD1606" s="1" t="s">
        <v>210</v>
      </c>
      <c r="FE1606" s="1" t="s">
        <v>229</v>
      </c>
      <c r="FF1606" s="1" t="s">
        <v>239</v>
      </c>
      <c r="FG1606" s="1" t="s">
        <v>192</v>
      </c>
      <c r="FH1606" s="1" t="s">
        <v>192</v>
      </c>
      <c r="FJ1606" s="1" t="s">
        <v>14367</v>
      </c>
      <c r="FK1606" s="1" t="s">
        <v>229</v>
      </c>
      <c r="FL1606" s="1" t="s">
        <v>1192</v>
      </c>
      <c r="FM1606" s="1">
        <v>8702.0</v>
      </c>
      <c r="FN1606" s="1" t="s">
        <v>1193</v>
      </c>
      <c r="FO1606" s="1" t="s">
        <v>1194</v>
      </c>
      <c r="FP1606" s="1">
        <v>21163.0</v>
      </c>
      <c r="FQ1606" s="1" t="s">
        <v>1195</v>
      </c>
      <c r="FU1606" s="1" t="s">
        <v>16154</v>
      </c>
      <c r="FV1606" s="1" t="s">
        <v>200</v>
      </c>
      <c r="FW1606" s="1" t="s">
        <v>1197</v>
      </c>
      <c r="FZ1606" s="1" t="s">
        <v>229</v>
      </c>
      <c r="GA1606" s="1" t="s">
        <v>291</v>
      </c>
      <c r="GB1606" s="2">
        <v>41981.0</v>
      </c>
      <c r="GC1606" s="1" t="s">
        <v>16155</v>
      </c>
    </row>
    <row r="1607">
      <c r="A1607" s="1">
        <v>579000.0</v>
      </c>
      <c r="B1607" s="1" t="s">
        <v>185</v>
      </c>
      <c r="C1607" s="1" t="str">
        <f>"08670473"</f>
        <v>08670473</v>
      </c>
      <c r="D1607" s="1" t="s">
        <v>186</v>
      </c>
      <c r="F1607" s="1" t="str">
        <f>"8024"</f>
        <v>8024</v>
      </c>
      <c r="G1607" s="2">
        <v>41831.0</v>
      </c>
      <c r="H1607" s="1">
        <v>599900.0</v>
      </c>
      <c r="I1607" s="1">
        <v>167.0</v>
      </c>
      <c r="J1607" s="1">
        <v>599900.0</v>
      </c>
      <c r="K1607" s="2">
        <v>41997.0</v>
      </c>
      <c r="L1607" s="1">
        <v>167.0</v>
      </c>
      <c r="M1607" s="2">
        <v>41997.0</v>
      </c>
      <c r="N1607" s="1" t="s">
        <v>187</v>
      </c>
      <c r="O1607" s="2">
        <v>42080.0</v>
      </c>
      <c r="P1607" s="1">
        <v>121550.0</v>
      </c>
      <c r="Q1607" s="1">
        <v>16983.0</v>
      </c>
      <c r="S1607" s="1">
        <v>1640.0</v>
      </c>
      <c r="T1607" s="1" t="s">
        <v>11751</v>
      </c>
      <c r="U1607" s="1" t="s">
        <v>320</v>
      </c>
      <c r="V1607" s="1" t="s">
        <v>190</v>
      </c>
      <c r="W1607" s="1">
        <v>60647.0</v>
      </c>
      <c r="Y1607" s="1" t="s">
        <v>16156</v>
      </c>
      <c r="Z1607" s="1">
        <v>2014.0</v>
      </c>
      <c r="AA1607" s="1" t="s">
        <v>200</v>
      </c>
      <c r="AB1607" s="1" t="s">
        <v>193</v>
      </c>
      <c r="AD1607" s="1" t="s">
        <v>194</v>
      </c>
      <c r="AE1607" s="1" t="s">
        <v>195</v>
      </c>
      <c r="AF1607" s="1" t="s">
        <v>2645</v>
      </c>
      <c r="AH1607" s="1" t="s">
        <v>10238</v>
      </c>
      <c r="AK1607" s="1">
        <v>10.0</v>
      </c>
      <c r="AL1607" s="1">
        <v>4.0</v>
      </c>
      <c r="AM1607" s="1">
        <v>3.0</v>
      </c>
      <c r="AN1607" s="1">
        <v>1.0</v>
      </c>
      <c r="AO1607" s="1" t="s">
        <v>198</v>
      </c>
      <c r="AP1607" s="1">
        <v>1.0</v>
      </c>
      <c r="AQ1607" s="1" t="s">
        <v>198</v>
      </c>
      <c r="AR1607" s="1" t="s">
        <v>192</v>
      </c>
      <c r="AS1607" s="1" t="s">
        <v>199</v>
      </c>
      <c r="AT1607" s="1">
        <v>2.0</v>
      </c>
      <c r="AV1607" s="1" t="s">
        <v>200</v>
      </c>
      <c r="AW1607" s="1" t="s">
        <v>575</v>
      </c>
      <c r="AX1607" s="1">
        <v>2012.0</v>
      </c>
      <c r="AZ1607" s="1" t="s">
        <v>200</v>
      </c>
      <c r="BA1607" s="1" t="str">
        <f>"13363280240000"</f>
        <v>13363280240000</v>
      </c>
      <c r="BC1607" s="1">
        <v>3000.0</v>
      </c>
      <c r="BD1607" s="1">
        <v>579000.0</v>
      </c>
      <c r="BE1607" s="2">
        <v>41831.0</v>
      </c>
      <c r="BF1607" s="2" t="s">
        <v>16157</v>
      </c>
      <c r="BH1607" s="1">
        <v>0.0</v>
      </c>
      <c r="BK1607" s="1" t="s">
        <v>204</v>
      </c>
      <c r="BL1607" s="1" t="str">
        <f>"1640"</f>
        <v>1640</v>
      </c>
      <c r="BM1607" s="1" t="str">
        <f t="shared" si="1053"/>
        <v>0</v>
      </c>
      <c r="BN1607" s="1">
        <v>3000.0</v>
      </c>
      <c r="BO1607" s="1">
        <v>0.0</v>
      </c>
      <c r="BQ1607" s="1">
        <v>299.0</v>
      </c>
      <c r="BR1607" s="1">
        <v>299.0</v>
      </c>
      <c r="BS1607" s="1">
        <v>299.0</v>
      </c>
      <c r="BU1607" s="1" t="s">
        <v>515</v>
      </c>
      <c r="BV1607" s="1" t="s">
        <v>206</v>
      </c>
      <c r="BW1607" s="1" t="s">
        <v>207</v>
      </c>
      <c r="BY1607" s="1" t="s">
        <v>758</v>
      </c>
      <c r="BZ1607" s="1" t="s">
        <v>209</v>
      </c>
      <c r="CA1607" s="1" t="s">
        <v>207</v>
      </c>
      <c r="CC1607" s="1" t="s">
        <v>542</v>
      </c>
      <c r="CD1607" s="1" t="s">
        <v>206</v>
      </c>
      <c r="CE1607" s="1" t="s">
        <v>207</v>
      </c>
      <c r="CG1607" s="1" t="s">
        <v>495</v>
      </c>
      <c r="CH1607" s="1" t="s">
        <v>209</v>
      </c>
      <c r="CI1607" s="1" t="s">
        <v>207</v>
      </c>
      <c r="CK1607" s="1" t="s">
        <v>392</v>
      </c>
      <c r="CL1607" s="1" t="s">
        <v>209</v>
      </c>
      <c r="CM1607" s="1" t="s">
        <v>207</v>
      </c>
      <c r="CO1607" s="1" t="s">
        <v>331</v>
      </c>
      <c r="CP1607" s="1" t="s">
        <v>267</v>
      </c>
      <c r="CQ1607" s="1" t="s">
        <v>210</v>
      </c>
      <c r="CS1607" s="1" t="s">
        <v>640</v>
      </c>
      <c r="CT1607" s="1" t="s">
        <v>206</v>
      </c>
      <c r="CU1607" s="1" t="s">
        <v>207</v>
      </c>
      <c r="CW1607" s="1" t="s">
        <v>784</v>
      </c>
      <c r="CX1607" s="1" t="s">
        <v>206</v>
      </c>
      <c r="CY1607" s="1" t="s">
        <v>207</v>
      </c>
      <c r="DA1607" s="1" t="s">
        <v>192</v>
      </c>
      <c r="DB1607" s="2">
        <v>41897.0</v>
      </c>
      <c r="DC1607" s="1" t="s">
        <v>744</v>
      </c>
      <c r="DD1607" s="1" t="s">
        <v>759</v>
      </c>
      <c r="DE1607" s="1" t="s">
        <v>273</v>
      </c>
      <c r="DF1607" s="1" t="s">
        <v>619</v>
      </c>
      <c r="DH1607" s="1" t="s">
        <v>220</v>
      </c>
      <c r="DI1607" s="1" t="s">
        <v>1096</v>
      </c>
      <c r="DJ1607" s="1" t="s">
        <v>222</v>
      </c>
      <c r="DL1607" s="1" t="s">
        <v>224</v>
      </c>
      <c r="DM1607" s="1" t="s">
        <v>229</v>
      </c>
      <c r="DN1607" s="1" t="s">
        <v>548</v>
      </c>
      <c r="DP1607" s="1" t="s">
        <v>276</v>
      </c>
      <c r="DQ1607" s="1" t="s">
        <v>228</v>
      </c>
      <c r="DR1607" s="1" t="s">
        <v>229</v>
      </c>
      <c r="DS1607" s="1" t="s">
        <v>368</v>
      </c>
      <c r="DU1607" s="1" t="s">
        <v>16158</v>
      </c>
      <c r="DV1607" s="1" t="s">
        <v>13552</v>
      </c>
      <c r="DW1607" s="1" t="s">
        <v>934</v>
      </c>
      <c r="DX1607" s="1" t="s">
        <v>234</v>
      </c>
      <c r="DY1607" s="1" t="s">
        <v>2972</v>
      </c>
      <c r="DZ1607" s="1" t="s">
        <v>310</v>
      </c>
      <c r="EA1607" s="1" t="s">
        <v>1027</v>
      </c>
      <c r="EC1607" s="1" t="s">
        <v>237</v>
      </c>
      <c r="ED1607" s="1" t="s">
        <v>555</v>
      </c>
      <c r="EE1607" s="1" t="s">
        <v>187</v>
      </c>
      <c r="EG1607" s="1" t="s">
        <v>450</v>
      </c>
      <c r="EH1607" s="1" t="s">
        <v>2023</v>
      </c>
      <c r="EI1607" s="1" t="s">
        <v>310</v>
      </c>
      <c r="EL1607" s="1" t="s">
        <v>208</v>
      </c>
      <c r="EM1607" s="1" t="s">
        <v>267</v>
      </c>
      <c r="EN1607" s="1" t="s">
        <v>210</v>
      </c>
      <c r="EP1607" s="1" t="s">
        <v>331</v>
      </c>
      <c r="EQ1607" s="1" t="s">
        <v>267</v>
      </c>
      <c r="ER1607" s="1" t="s">
        <v>210</v>
      </c>
      <c r="ET1607" s="1" t="s">
        <v>1382</v>
      </c>
      <c r="EU1607" s="1" t="s">
        <v>206</v>
      </c>
      <c r="EV1607" s="1" t="s">
        <v>207</v>
      </c>
      <c r="EY1607" s="1" t="s">
        <v>238</v>
      </c>
      <c r="FC1607" s="1" t="s">
        <v>238</v>
      </c>
      <c r="FF1607" s="1" t="s">
        <v>239</v>
      </c>
      <c r="FG1607" s="1" t="s">
        <v>192</v>
      </c>
      <c r="FH1607" s="1" t="s">
        <v>192</v>
      </c>
      <c r="FJ1607" s="1" t="s">
        <v>12765</v>
      </c>
      <c r="FK1607" s="1" t="s">
        <v>229</v>
      </c>
      <c r="FL1607" s="1" t="s">
        <v>1358</v>
      </c>
      <c r="FM1607" s="1">
        <v>12660.0</v>
      </c>
      <c r="FN1607" s="1" t="s">
        <v>12766</v>
      </c>
      <c r="FO1607" s="1" t="s">
        <v>12767</v>
      </c>
      <c r="FP1607" s="1">
        <v>174062.0</v>
      </c>
      <c r="FQ1607" s="1" t="s">
        <v>12768</v>
      </c>
      <c r="FS1607" s="1" t="s">
        <v>16159</v>
      </c>
      <c r="FU1607" s="1" t="s">
        <v>12770</v>
      </c>
      <c r="FV1607" s="1" t="s">
        <v>200</v>
      </c>
      <c r="FW1607" s="1" t="s">
        <v>1511</v>
      </c>
      <c r="FX1607" s="1" t="s">
        <v>238</v>
      </c>
      <c r="FZ1607" s="1" t="s">
        <v>229</v>
      </c>
      <c r="GA1607" s="1" t="s">
        <v>291</v>
      </c>
      <c r="GB1607" s="2">
        <v>42080.0</v>
      </c>
    </row>
    <row r="1608">
      <c r="A1608" s="1">
        <v>144000.0</v>
      </c>
      <c r="B1608" s="1" t="s">
        <v>185</v>
      </c>
      <c r="C1608" s="1" t="str">
        <f>"08679750"</f>
        <v>08679750</v>
      </c>
      <c r="D1608" s="1" t="s">
        <v>186</v>
      </c>
      <c r="F1608" s="1" t="str">
        <f>"8066"</f>
        <v>8066</v>
      </c>
      <c r="G1608" s="2">
        <v>41842.0</v>
      </c>
      <c r="H1608" s="1">
        <v>162500.0</v>
      </c>
      <c r="I1608" s="1">
        <v>119.0</v>
      </c>
      <c r="J1608" s="1">
        <v>154900.0</v>
      </c>
      <c r="K1608" s="2">
        <v>41960.0</v>
      </c>
      <c r="L1608" s="1">
        <v>119.0</v>
      </c>
      <c r="M1608" s="2">
        <v>41960.0</v>
      </c>
      <c r="N1608" s="1" t="s">
        <v>187</v>
      </c>
      <c r="O1608" s="2">
        <v>42020.0</v>
      </c>
      <c r="P1608" s="1">
        <v>122519.0</v>
      </c>
      <c r="Q1608" s="1">
        <v>14856.0</v>
      </c>
      <c r="S1608" s="1">
        <v>3425.0</v>
      </c>
      <c r="T1608" s="1" t="s">
        <v>9553</v>
      </c>
      <c r="U1608" s="1" t="s">
        <v>320</v>
      </c>
      <c r="V1608" s="1" t="s">
        <v>190</v>
      </c>
      <c r="W1608" s="1">
        <v>60629.0</v>
      </c>
      <c r="Y1608" s="1" t="s">
        <v>16160</v>
      </c>
      <c r="Z1608" s="1">
        <v>1954.0</v>
      </c>
      <c r="AA1608" s="1" t="s">
        <v>192</v>
      </c>
      <c r="AB1608" s="1" t="s">
        <v>193</v>
      </c>
      <c r="AD1608" s="1" t="s">
        <v>194</v>
      </c>
      <c r="AE1608" s="1" t="s">
        <v>195</v>
      </c>
      <c r="AF1608" s="1" t="s">
        <v>659</v>
      </c>
      <c r="AH1608" s="1" t="s">
        <v>1501</v>
      </c>
      <c r="AK1608" s="1">
        <v>6.0</v>
      </c>
      <c r="AL1608" s="1">
        <v>4.0</v>
      </c>
      <c r="AM1608" s="1">
        <v>2.0</v>
      </c>
      <c r="AN1608" s="1">
        <v>0.0</v>
      </c>
      <c r="AO1608" s="1" t="s">
        <v>229</v>
      </c>
      <c r="AQ1608" s="1" t="s">
        <v>198</v>
      </c>
      <c r="AR1608" s="1" t="s">
        <v>200</v>
      </c>
      <c r="AS1608" s="1" t="s">
        <v>199</v>
      </c>
      <c r="AT1608" s="1">
        <v>1.5</v>
      </c>
      <c r="AV1608" s="1" t="s">
        <v>200</v>
      </c>
      <c r="AW1608" s="1">
        <v>1691.0</v>
      </c>
      <c r="AX1608" s="1">
        <v>2013.0</v>
      </c>
      <c r="AY1608" s="1" t="s">
        <v>387</v>
      </c>
      <c r="AZ1608" s="1" t="s">
        <v>200</v>
      </c>
      <c r="BA1608" s="1" t="str">
        <f>"19262090110000"</f>
        <v>19262090110000</v>
      </c>
      <c r="BB1608" s="1" t="s">
        <v>200</v>
      </c>
      <c r="BC1608" s="1">
        <v>1350.0</v>
      </c>
      <c r="BD1608" s="1">
        <v>144000.0</v>
      </c>
      <c r="BE1608" s="2">
        <v>41842.0</v>
      </c>
      <c r="BF1608" s="2" t="s">
        <v>16161</v>
      </c>
      <c r="BH1608" s="1">
        <v>0.0</v>
      </c>
      <c r="BK1608" s="1" t="s">
        <v>204</v>
      </c>
      <c r="BL1608" s="1" t="str">
        <f t="shared" ref="BL1608:BM1608" si="1054">"0"</f>
        <v>0</v>
      </c>
      <c r="BM1608" s="1" t="str">
        <f t="shared" si="1054"/>
        <v>0</v>
      </c>
      <c r="BN1608" s="1">
        <v>3425.0</v>
      </c>
      <c r="BO1608" s="1">
        <v>7200.0</v>
      </c>
      <c r="BQ1608" s="1">
        <v>299.0</v>
      </c>
      <c r="BR1608" s="1">
        <v>299.0</v>
      </c>
      <c r="BS1608" s="1">
        <v>299.0</v>
      </c>
      <c r="BU1608" s="1" t="s">
        <v>541</v>
      </c>
      <c r="BV1608" s="1" t="s">
        <v>206</v>
      </c>
      <c r="BW1608" s="1" t="s">
        <v>207</v>
      </c>
      <c r="BX1608" s="1" t="s">
        <v>431</v>
      </c>
      <c r="BY1608" s="1" t="s">
        <v>332</v>
      </c>
      <c r="BZ1608" s="1" t="s">
        <v>206</v>
      </c>
      <c r="CA1608" s="1" t="s">
        <v>207</v>
      </c>
      <c r="CB1608" s="1" t="s">
        <v>431</v>
      </c>
      <c r="CD1608" s="1" t="s">
        <v>204</v>
      </c>
      <c r="CG1608" s="1" t="s">
        <v>332</v>
      </c>
      <c r="CH1608" s="1" t="s">
        <v>206</v>
      </c>
      <c r="CI1608" s="1" t="s">
        <v>207</v>
      </c>
      <c r="CJ1608" s="1" t="s">
        <v>431</v>
      </c>
      <c r="CK1608" s="1" t="s">
        <v>433</v>
      </c>
      <c r="CL1608" s="1" t="s">
        <v>209</v>
      </c>
      <c r="CM1608" s="1" t="s">
        <v>210</v>
      </c>
      <c r="CN1608" s="1" t="s">
        <v>431</v>
      </c>
      <c r="CO1608" s="1" t="s">
        <v>433</v>
      </c>
      <c r="CP1608" s="1" t="s">
        <v>209</v>
      </c>
      <c r="CQ1608" s="1" t="s">
        <v>210</v>
      </c>
      <c r="CR1608" s="1" t="s">
        <v>431</v>
      </c>
      <c r="CS1608" s="1" t="s">
        <v>392</v>
      </c>
      <c r="CT1608" s="1" t="s">
        <v>206</v>
      </c>
      <c r="CU1608" s="1" t="s">
        <v>207</v>
      </c>
      <c r="CV1608" s="1" t="s">
        <v>431</v>
      </c>
      <c r="CX1608" s="1" t="s">
        <v>204</v>
      </c>
      <c r="DA1608" s="1" t="s">
        <v>200</v>
      </c>
      <c r="DC1608" s="1" t="s">
        <v>271</v>
      </c>
      <c r="DE1608" s="1" t="s">
        <v>273</v>
      </c>
      <c r="DF1608" s="1" t="s">
        <v>219</v>
      </c>
      <c r="DH1608" s="1" t="s">
        <v>307</v>
      </c>
      <c r="DJ1608" s="1" t="s">
        <v>222</v>
      </c>
      <c r="DL1608" s="1" t="s">
        <v>858</v>
      </c>
      <c r="DM1608" s="1" t="s">
        <v>225</v>
      </c>
      <c r="DQ1608" s="1" t="s">
        <v>228</v>
      </c>
      <c r="DR1608" s="1" t="s">
        <v>229</v>
      </c>
      <c r="DV1608" s="1" t="s">
        <v>232</v>
      </c>
      <c r="DW1608" s="1" t="s">
        <v>279</v>
      </c>
      <c r="DX1608" s="1" t="s">
        <v>234</v>
      </c>
      <c r="DY1608" s="1" t="s">
        <v>2240</v>
      </c>
      <c r="EA1608" s="1" t="s">
        <v>1075</v>
      </c>
      <c r="EC1608" s="1" t="s">
        <v>645</v>
      </c>
      <c r="EM1608" s="1" t="s">
        <v>238</v>
      </c>
      <c r="EQ1608" s="1" t="s">
        <v>238</v>
      </c>
      <c r="EU1608" s="1" t="s">
        <v>238</v>
      </c>
      <c r="EY1608" s="1" t="s">
        <v>238</v>
      </c>
      <c r="FC1608" s="1" t="s">
        <v>238</v>
      </c>
      <c r="FF1608" s="1" t="s">
        <v>239</v>
      </c>
      <c r="FG1608" s="1" t="s">
        <v>192</v>
      </c>
      <c r="FH1608" s="1" t="s">
        <v>192</v>
      </c>
      <c r="FJ1608" s="1" t="s">
        <v>4122</v>
      </c>
      <c r="FK1608" s="1" t="s">
        <v>229</v>
      </c>
      <c r="FL1608" s="1" t="s">
        <v>413</v>
      </c>
      <c r="FM1608" s="1">
        <v>13691.0</v>
      </c>
      <c r="FN1608" s="1" t="s">
        <v>414</v>
      </c>
      <c r="FO1608" s="1" t="s">
        <v>16162</v>
      </c>
      <c r="FP1608" s="1">
        <v>110911.0</v>
      </c>
      <c r="FQ1608" s="1" t="s">
        <v>16163</v>
      </c>
      <c r="FU1608" s="1" t="s">
        <v>1438</v>
      </c>
      <c r="FV1608" s="1" t="s">
        <v>200</v>
      </c>
      <c r="FW1608" s="1" t="s">
        <v>530</v>
      </c>
      <c r="FX1608" s="1" t="s">
        <v>246</v>
      </c>
      <c r="FZ1608" s="1" t="s">
        <v>229</v>
      </c>
      <c r="GA1608" s="1" t="s">
        <v>291</v>
      </c>
      <c r="GB1608" s="2">
        <v>42020.0</v>
      </c>
      <c r="GC1608" s="1" t="s">
        <v>16164</v>
      </c>
    </row>
    <row r="1609">
      <c r="A1609" s="1">
        <v>186500.0</v>
      </c>
      <c r="B1609" s="1" t="s">
        <v>185</v>
      </c>
      <c r="C1609" s="1" t="str">
        <f>"08673226"</f>
        <v>08673226</v>
      </c>
      <c r="D1609" s="1" t="s">
        <v>186</v>
      </c>
      <c r="F1609" s="1" t="str">
        <f>"174"</f>
        <v>174</v>
      </c>
      <c r="G1609" s="2">
        <v>41835.0</v>
      </c>
      <c r="H1609" s="1">
        <v>234900.0</v>
      </c>
      <c r="I1609" s="1">
        <v>96.0</v>
      </c>
      <c r="J1609" s="1">
        <v>199900.0</v>
      </c>
      <c r="K1609" s="2">
        <v>41929.0</v>
      </c>
      <c r="L1609" s="1">
        <v>95.0</v>
      </c>
      <c r="M1609" s="2">
        <v>41929.0</v>
      </c>
      <c r="N1609" s="1" t="s">
        <v>187</v>
      </c>
      <c r="O1609" s="2">
        <v>41983.0</v>
      </c>
      <c r="P1609" s="1">
        <v>259416.0</v>
      </c>
      <c r="Q1609" s="1">
        <v>25666.0</v>
      </c>
      <c r="S1609" s="1">
        <v>1423.0</v>
      </c>
      <c r="T1609" s="1" t="s">
        <v>16165</v>
      </c>
      <c r="U1609" s="1" t="s">
        <v>189</v>
      </c>
      <c r="V1609" s="1" t="s">
        <v>1200</v>
      </c>
      <c r="W1609" s="1">
        <v>60174.0</v>
      </c>
      <c r="Y1609" s="1" t="s">
        <v>16166</v>
      </c>
      <c r="Z1609" s="1">
        <v>1977.0</v>
      </c>
      <c r="AA1609" s="1" t="s">
        <v>192</v>
      </c>
      <c r="AB1609" s="1" t="s">
        <v>193</v>
      </c>
      <c r="AC1609" s="1" t="s">
        <v>5910</v>
      </c>
      <c r="AD1609" s="1" t="s">
        <v>1203</v>
      </c>
      <c r="AE1609" s="1" t="s">
        <v>325</v>
      </c>
      <c r="AF1609" s="1" t="s">
        <v>1632</v>
      </c>
      <c r="AH1609" s="1" t="s">
        <v>16167</v>
      </c>
      <c r="AK1609" s="1">
        <v>7.0</v>
      </c>
      <c r="AL1609" s="1">
        <v>4.0</v>
      </c>
      <c r="AM1609" s="1">
        <v>1.0</v>
      </c>
      <c r="AN1609" s="1">
        <v>1.0</v>
      </c>
      <c r="AO1609" s="1" t="s">
        <v>229</v>
      </c>
      <c r="AQ1609" s="1" t="s">
        <v>198</v>
      </c>
      <c r="AR1609" s="1" t="s">
        <v>200</v>
      </c>
      <c r="AS1609" s="1" t="s">
        <v>199</v>
      </c>
      <c r="AT1609" s="1">
        <v>2.0</v>
      </c>
      <c r="AV1609" s="1" t="s">
        <v>200</v>
      </c>
      <c r="AW1609" s="1">
        <v>5767.28</v>
      </c>
      <c r="AX1609" s="1">
        <v>2013.0</v>
      </c>
      <c r="AZ1609" s="1" t="s">
        <v>200</v>
      </c>
      <c r="BA1609" s="1" t="str">
        <f>"0935129042"</f>
        <v>0935129042</v>
      </c>
      <c r="BB1609" s="1" t="s">
        <v>200</v>
      </c>
      <c r="BC1609" s="1">
        <v>1486.0</v>
      </c>
      <c r="BD1609" s="1">
        <v>186500.0</v>
      </c>
      <c r="BE1609" s="2">
        <v>41835.0</v>
      </c>
      <c r="BF1609" s="2" t="s">
        <v>16168</v>
      </c>
      <c r="BH1609" s="1">
        <v>0.0</v>
      </c>
      <c r="BK1609" s="1" t="s">
        <v>204</v>
      </c>
      <c r="BL1609" s="1" t="str">
        <f>"2"</f>
        <v>2</v>
      </c>
      <c r="BM1609" s="1" t="str">
        <f>"0"</f>
        <v>0</v>
      </c>
      <c r="BN1609" s="1">
        <v>34.0</v>
      </c>
      <c r="BO1609" s="1">
        <v>0.0</v>
      </c>
      <c r="BQ1609" s="1">
        <v>303.0</v>
      </c>
      <c r="BR1609" s="1">
        <v>303.0</v>
      </c>
      <c r="BS1609" s="1">
        <v>303.0</v>
      </c>
      <c r="BU1609" s="1" t="s">
        <v>1426</v>
      </c>
      <c r="BV1609" s="1" t="s">
        <v>206</v>
      </c>
      <c r="BW1609" s="1" t="s">
        <v>210</v>
      </c>
      <c r="BY1609" s="1" t="s">
        <v>582</v>
      </c>
      <c r="BZ1609" s="1" t="s">
        <v>209</v>
      </c>
      <c r="CA1609" s="1" t="s">
        <v>210</v>
      </c>
      <c r="CC1609" s="1" t="s">
        <v>212</v>
      </c>
      <c r="CD1609" s="1" t="s">
        <v>206</v>
      </c>
      <c r="CE1609" s="1" t="s">
        <v>210</v>
      </c>
      <c r="CG1609" s="1" t="s">
        <v>495</v>
      </c>
      <c r="CH1609" s="1" t="s">
        <v>209</v>
      </c>
      <c r="CI1609" s="1" t="s">
        <v>210</v>
      </c>
      <c r="CK1609" s="1" t="s">
        <v>495</v>
      </c>
      <c r="CL1609" s="1" t="s">
        <v>209</v>
      </c>
      <c r="CM1609" s="1" t="s">
        <v>210</v>
      </c>
      <c r="CO1609" s="1" t="s">
        <v>516</v>
      </c>
      <c r="CP1609" s="1" t="s">
        <v>209</v>
      </c>
      <c r="CQ1609" s="1" t="s">
        <v>210</v>
      </c>
      <c r="CS1609" s="1" t="s">
        <v>2224</v>
      </c>
      <c r="CT1609" s="1" t="s">
        <v>206</v>
      </c>
      <c r="CU1609" s="1" t="s">
        <v>207</v>
      </c>
      <c r="CX1609" s="1" t="s">
        <v>204</v>
      </c>
      <c r="DA1609" s="1" t="s">
        <v>200</v>
      </c>
      <c r="DC1609" s="1" t="s">
        <v>395</v>
      </c>
      <c r="DD1609" s="1" t="s">
        <v>518</v>
      </c>
      <c r="DE1609" s="1" t="s">
        <v>229</v>
      </c>
      <c r="DF1609" s="1" t="s">
        <v>219</v>
      </c>
      <c r="DG1609" s="1" t="s">
        <v>482</v>
      </c>
      <c r="DH1609" s="1" t="s">
        <v>220</v>
      </c>
      <c r="DI1609" s="1" t="s">
        <v>2547</v>
      </c>
      <c r="DJ1609" s="1" t="s">
        <v>222</v>
      </c>
      <c r="DL1609" s="1" t="s">
        <v>223</v>
      </c>
      <c r="DM1609" s="1" t="s">
        <v>338</v>
      </c>
      <c r="DO1609" s="1" t="s">
        <v>549</v>
      </c>
      <c r="DP1609" s="1" t="s">
        <v>340</v>
      </c>
      <c r="DQ1609" s="1" t="s">
        <v>228</v>
      </c>
      <c r="DR1609" s="1" t="s">
        <v>229</v>
      </c>
      <c r="DV1609" s="1" t="s">
        <v>232</v>
      </c>
      <c r="DW1609" s="1" t="s">
        <v>891</v>
      </c>
      <c r="DX1609" s="1" t="s">
        <v>234</v>
      </c>
      <c r="DY1609" s="1" t="s">
        <v>704</v>
      </c>
      <c r="DZ1609" s="1" t="s">
        <v>282</v>
      </c>
      <c r="EC1609" s="1" t="s">
        <v>237</v>
      </c>
      <c r="EM1609" s="1" t="s">
        <v>238</v>
      </c>
      <c r="EQ1609" s="1" t="s">
        <v>238</v>
      </c>
      <c r="EU1609" s="1" t="s">
        <v>238</v>
      </c>
      <c r="EY1609" s="1" t="s">
        <v>238</v>
      </c>
      <c r="FC1609" s="1" t="s">
        <v>238</v>
      </c>
      <c r="FF1609" s="1" t="s">
        <v>239</v>
      </c>
      <c r="FG1609" s="1" t="s">
        <v>192</v>
      </c>
      <c r="FH1609" s="1" t="s">
        <v>192</v>
      </c>
      <c r="FJ1609" s="1" t="s">
        <v>347</v>
      </c>
      <c r="FK1609" s="1" t="s">
        <v>229</v>
      </c>
      <c r="FL1609" s="1" t="s">
        <v>1855</v>
      </c>
      <c r="FM1609" s="1">
        <v>41.0</v>
      </c>
      <c r="FN1609" s="1" t="s">
        <v>1856</v>
      </c>
      <c r="FO1609" s="1" t="s">
        <v>1857</v>
      </c>
      <c r="FP1609" s="1">
        <v>8483.0</v>
      </c>
      <c r="FQ1609" s="1" t="s">
        <v>1858</v>
      </c>
      <c r="FS1609" s="1" t="s">
        <v>16169</v>
      </c>
      <c r="FT1609" s="1" t="s">
        <v>1860</v>
      </c>
      <c r="FU1609" s="1" t="s">
        <v>1861</v>
      </c>
      <c r="FV1609" s="1" t="s">
        <v>200</v>
      </c>
      <c r="FW1609" s="1" t="s">
        <v>1307</v>
      </c>
      <c r="FZ1609" s="1" t="s">
        <v>229</v>
      </c>
      <c r="GA1609" s="1" t="s">
        <v>291</v>
      </c>
      <c r="GB1609" s="2">
        <v>41984.0</v>
      </c>
      <c r="GC1609" s="1" t="s">
        <v>16170</v>
      </c>
    </row>
    <row r="1610">
      <c r="A1610" s="1">
        <v>240000.0</v>
      </c>
      <c r="B1610" s="1" t="s">
        <v>185</v>
      </c>
      <c r="C1610" s="1" t="str">
        <f>"08677670"</f>
        <v>08677670</v>
      </c>
      <c r="D1610" s="1" t="s">
        <v>186</v>
      </c>
      <c r="F1610" s="1" t="str">
        <f>"123"</f>
        <v>123</v>
      </c>
      <c r="G1610" s="2">
        <v>41839.0</v>
      </c>
      <c r="H1610" s="1">
        <v>264900.0</v>
      </c>
      <c r="I1610" s="1">
        <v>395.0</v>
      </c>
      <c r="J1610" s="1">
        <v>249000.0</v>
      </c>
      <c r="K1610" s="2">
        <v>41955.0</v>
      </c>
      <c r="L1610" s="1">
        <v>117.0</v>
      </c>
      <c r="M1610" s="2">
        <v>41955.0</v>
      </c>
      <c r="N1610" s="1" t="s">
        <v>356</v>
      </c>
      <c r="O1610" s="2">
        <v>41991.0</v>
      </c>
      <c r="P1610" s="1">
        <v>215475.0</v>
      </c>
      <c r="Q1610" s="1">
        <v>24007.0</v>
      </c>
      <c r="R1610" s="1">
        <v>5000.0</v>
      </c>
      <c r="S1610" s="1">
        <v>2622.0</v>
      </c>
      <c r="T1610" s="1" t="s">
        <v>16171</v>
      </c>
      <c r="U1610" s="1" t="s">
        <v>569</v>
      </c>
      <c r="V1610" s="1" t="s">
        <v>465</v>
      </c>
      <c r="W1610" s="1">
        <v>60124.0</v>
      </c>
      <c r="Y1610" s="1" t="s">
        <v>16172</v>
      </c>
      <c r="Z1610" s="1">
        <v>1992.0</v>
      </c>
      <c r="AA1610" s="1" t="s">
        <v>200</v>
      </c>
      <c r="AB1610" s="1" t="s">
        <v>193</v>
      </c>
      <c r="AC1610" s="1" t="s">
        <v>11714</v>
      </c>
      <c r="AD1610" s="1" t="s">
        <v>469</v>
      </c>
      <c r="AE1610" s="1" t="s">
        <v>325</v>
      </c>
      <c r="AF1610" s="1" t="s">
        <v>469</v>
      </c>
      <c r="AG1610" s="1" t="s">
        <v>16173</v>
      </c>
      <c r="AH1610" s="1" t="s">
        <v>16174</v>
      </c>
      <c r="AI1610" s="1">
        <v>0.27</v>
      </c>
      <c r="AK1610" s="1">
        <v>9.0</v>
      </c>
      <c r="AL1610" s="1">
        <v>4.0</v>
      </c>
      <c r="AM1610" s="1">
        <v>3.0</v>
      </c>
      <c r="AN1610" s="1">
        <v>1.0</v>
      </c>
      <c r="AO1610" s="1" t="s">
        <v>198</v>
      </c>
      <c r="AP1610" s="1">
        <v>1.0</v>
      </c>
      <c r="AQ1610" s="1" t="s">
        <v>1314</v>
      </c>
      <c r="AR1610" s="1" t="s">
        <v>192</v>
      </c>
      <c r="AS1610" s="1" t="s">
        <v>199</v>
      </c>
      <c r="AT1610" s="1">
        <v>2.0</v>
      </c>
      <c r="AV1610" s="1" t="s">
        <v>200</v>
      </c>
      <c r="AW1610" s="1">
        <v>6560.52</v>
      </c>
      <c r="AX1610" s="1">
        <v>2012.0</v>
      </c>
      <c r="AY1610" s="1" t="s">
        <v>387</v>
      </c>
      <c r="AZ1610" s="1" t="s">
        <v>200</v>
      </c>
      <c r="BA1610" s="1" t="str">
        <f>"0616302009"</f>
        <v>0616302009</v>
      </c>
      <c r="BC1610" s="1">
        <v>2040.0</v>
      </c>
      <c r="BD1610" s="1">
        <v>240000.0</v>
      </c>
      <c r="BE1610" s="2">
        <v>41839.0</v>
      </c>
      <c r="BF1610" s="2" t="s">
        <v>16175</v>
      </c>
      <c r="BH1610" s="1">
        <v>0.0</v>
      </c>
      <c r="BK1610" s="1" t="s">
        <v>204</v>
      </c>
      <c r="BL1610" s="1" t="str">
        <f t="shared" ref="BL1610:BM1610" si="1055">""</f>
        <v/>
      </c>
      <c r="BM1610" s="1" t="str">
        <f t="shared" si="1055"/>
        <v/>
      </c>
      <c r="BQ1610" s="1">
        <v>301.0</v>
      </c>
      <c r="BR1610" s="1">
        <v>301.0</v>
      </c>
      <c r="BS1610" s="1">
        <v>301.0</v>
      </c>
      <c r="BU1610" s="1" t="s">
        <v>211</v>
      </c>
      <c r="BV1610" s="1" t="s">
        <v>206</v>
      </c>
      <c r="BW1610" s="1" t="s">
        <v>210</v>
      </c>
      <c r="BX1610" s="1" t="s">
        <v>239</v>
      </c>
      <c r="BY1610" s="1" t="s">
        <v>205</v>
      </c>
      <c r="BZ1610" s="1" t="s">
        <v>209</v>
      </c>
      <c r="CA1610" s="1" t="s">
        <v>210</v>
      </c>
      <c r="CC1610" s="1" t="s">
        <v>497</v>
      </c>
      <c r="CD1610" s="1" t="s">
        <v>206</v>
      </c>
      <c r="CE1610" s="1" t="s">
        <v>210</v>
      </c>
      <c r="CG1610" s="1" t="s">
        <v>331</v>
      </c>
      <c r="CH1610" s="1" t="s">
        <v>209</v>
      </c>
      <c r="CI1610" s="1" t="s">
        <v>210</v>
      </c>
      <c r="CK1610" s="1" t="s">
        <v>699</v>
      </c>
      <c r="CL1610" s="1" t="s">
        <v>209</v>
      </c>
      <c r="CM1610" s="1" t="s">
        <v>210</v>
      </c>
      <c r="CO1610" s="1" t="s">
        <v>269</v>
      </c>
      <c r="CP1610" s="1" t="s">
        <v>209</v>
      </c>
      <c r="CQ1610" s="1" t="s">
        <v>210</v>
      </c>
      <c r="CS1610" s="1" t="s">
        <v>1875</v>
      </c>
      <c r="CT1610" s="1" t="s">
        <v>206</v>
      </c>
      <c r="CU1610" s="1" t="s">
        <v>207</v>
      </c>
      <c r="CV1610" s="1" t="s">
        <v>229</v>
      </c>
      <c r="CW1610" s="1" t="s">
        <v>434</v>
      </c>
      <c r="CX1610" s="1" t="s">
        <v>206</v>
      </c>
      <c r="CY1610" s="1" t="s">
        <v>210</v>
      </c>
      <c r="CZ1610" s="1" t="s">
        <v>239</v>
      </c>
      <c r="DA1610" s="1" t="s">
        <v>200</v>
      </c>
      <c r="DC1610" s="1" t="s">
        <v>435</v>
      </c>
      <c r="DD1610" s="1" t="s">
        <v>518</v>
      </c>
      <c r="DE1610" s="1" t="s">
        <v>273</v>
      </c>
      <c r="DF1610" s="1" t="s">
        <v>219</v>
      </c>
      <c r="DH1610" s="1" t="s">
        <v>220</v>
      </c>
      <c r="DI1610" s="1" t="s">
        <v>308</v>
      </c>
      <c r="DJ1610" s="1" t="s">
        <v>222</v>
      </c>
      <c r="DL1610" s="1" t="s">
        <v>224</v>
      </c>
      <c r="DM1610" s="1" t="s">
        <v>229</v>
      </c>
      <c r="DP1610" s="1" t="s">
        <v>340</v>
      </c>
      <c r="DQ1610" s="1" t="s">
        <v>441</v>
      </c>
      <c r="DR1610" s="1" t="s">
        <v>229</v>
      </c>
      <c r="DV1610" s="1" t="s">
        <v>450</v>
      </c>
      <c r="DW1610" s="1" t="s">
        <v>934</v>
      </c>
      <c r="DX1610" s="1" t="s">
        <v>234</v>
      </c>
      <c r="EC1610" s="1" t="s">
        <v>237</v>
      </c>
      <c r="ED1610" s="1" t="s">
        <v>555</v>
      </c>
      <c r="EG1610" s="1" t="s">
        <v>450</v>
      </c>
      <c r="EL1610" s="1" t="s">
        <v>330</v>
      </c>
      <c r="EM1610" s="1" t="s">
        <v>42</v>
      </c>
      <c r="EN1610" s="1" t="s">
        <v>210</v>
      </c>
      <c r="EQ1610" s="1" t="s">
        <v>238</v>
      </c>
      <c r="EU1610" s="1" t="s">
        <v>238</v>
      </c>
      <c r="EY1610" s="1" t="s">
        <v>238</v>
      </c>
      <c r="FC1610" s="1" t="s">
        <v>238</v>
      </c>
      <c r="FF1610" s="1" t="s">
        <v>239</v>
      </c>
      <c r="FG1610" s="1" t="s">
        <v>192</v>
      </c>
      <c r="FH1610" s="1" t="s">
        <v>192</v>
      </c>
      <c r="FJ1610" s="1" t="s">
        <v>16176</v>
      </c>
      <c r="FK1610" s="1" t="s">
        <v>229</v>
      </c>
      <c r="FL1610" s="1" t="s">
        <v>1031</v>
      </c>
      <c r="FM1610" s="1">
        <v>222.0</v>
      </c>
      <c r="FN1610" s="1" t="s">
        <v>1032</v>
      </c>
      <c r="FO1610" s="1" t="s">
        <v>16177</v>
      </c>
      <c r="FP1610" s="1">
        <v>70398.0</v>
      </c>
      <c r="FQ1610" s="1" t="s">
        <v>16178</v>
      </c>
      <c r="FU1610" s="1" t="s">
        <v>7218</v>
      </c>
      <c r="FV1610" s="1" t="s">
        <v>200</v>
      </c>
      <c r="FW1610" s="1" t="s">
        <v>567</v>
      </c>
      <c r="FZ1610" s="1" t="s">
        <v>229</v>
      </c>
      <c r="GA1610" s="1" t="s">
        <v>291</v>
      </c>
      <c r="GB1610" s="2">
        <v>41992.0</v>
      </c>
    </row>
    <row r="1611">
      <c r="A1611" s="1">
        <v>276436.0</v>
      </c>
      <c r="B1611" s="1" t="s">
        <v>185</v>
      </c>
      <c r="C1611" s="1" t="str">
        <f>"08672380"</f>
        <v>08672380</v>
      </c>
      <c r="D1611" s="1" t="s">
        <v>186</v>
      </c>
      <c r="F1611" s="1" t="str">
        <f>"543"</f>
        <v>543</v>
      </c>
      <c r="G1611" s="2">
        <v>41834.0</v>
      </c>
      <c r="H1611" s="1">
        <v>257495.0</v>
      </c>
      <c r="I1611" s="1">
        <v>98.0</v>
      </c>
      <c r="J1611" s="1">
        <v>257495.0</v>
      </c>
      <c r="K1611" s="2">
        <v>41834.0</v>
      </c>
      <c r="L1611" s="1">
        <v>1.0</v>
      </c>
      <c r="M1611" s="2">
        <v>41834.0</v>
      </c>
      <c r="N1611" s="1" t="s">
        <v>187</v>
      </c>
      <c r="O1611" s="2">
        <v>42033.0</v>
      </c>
      <c r="P1611" s="1">
        <v>99999.0</v>
      </c>
      <c r="Q1611" s="1" t="s">
        <v>947</v>
      </c>
      <c r="S1611" s="1">
        <v>4221.0</v>
      </c>
      <c r="T1611" s="1" t="s">
        <v>16179</v>
      </c>
      <c r="U1611" s="1" t="s">
        <v>569</v>
      </c>
      <c r="V1611" s="1" t="s">
        <v>1527</v>
      </c>
      <c r="W1611" s="1">
        <v>60543.0</v>
      </c>
      <c r="Y1611" s="1" t="s">
        <v>16180</v>
      </c>
      <c r="Z1611" s="1">
        <v>2014.0</v>
      </c>
      <c r="AA1611" s="1" t="s">
        <v>200</v>
      </c>
      <c r="AB1611" s="1" t="s">
        <v>193</v>
      </c>
      <c r="AC1611" s="1" t="s">
        <v>8934</v>
      </c>
      <c r="AD1611" s="1" t="s">
        <v>1529</v>
      </c>
      <c r="AE1611" s="1" t="s">
        <v>849</v>
      </c>
      <c r="AF1611" s="1" t="s">
        <v>1529</v>
      </c>
      <c r="AG1611" s="1" t="s">
        <v>16181</v>
      </c>
      <c r="AH1611" s="1" t="s">
        <v>16182</v>
      </c>
      <c r="AK1611" s="1">
        <v>9.0</v>
      </c>
      <c r="AL1611" s="1">
        <v>4.0</v>
      </c>
      <c r="AM1611" s="1">
        <v>2.0</v>
      </c>
      <c r="AN1611" s="1">
        <v>1.0</v>
      </c>
      <c r="AO1611" s="1" t="s">
        <v>198</v>
      </c>
      <c r="AQ1611" s="1" t="s">
        <v>1314</v>
      </c>
      <c r="AR1611" s="1" t="s">
        <v>200</v>
      </c>
      <c r="AS1611" s="1" t="s">
        <v>199</v>
      </c>
      <c r="AT1611" s="1">
        <v>2.0</v>
      </c>
      <c r="AV1611" s="1" t="s">
        <v>200</v>
      </c>
      <c r="AW1611" s="1" t="s">
        <v>575</v>
      </c>
      <c r="AX1611" s="1">
        <v>2012.0</v>
      </c>
      <c r="AY1611" s="1" t="s">
        <v>387</v>
      </c>
      <c r="AZ1611" s="1" t="s">
        <v>200</v>
      </c>
      <c r="BA1611" s="1" t="str">
        <f>"0339400001"</f>
        <v>0339400001</v>
      </c>
      <c r="BB1611" s="1" t="s">
        <v>200</v>
      </c>
      <c r="BC1611" s="1">
        <v>2644.0</v>
      </c>
      <c r="BD1611" s="1">
        <v>276436.0</v>
      </c>
      <c r="BE1611" s="2">
        <v>41834.0</v>
      </c>
      <c r="BF1611" s="1" t="s">
        <v>12349</v>
      </c>
      <c r="BG1611" s="1" t="s">
        <v>8939</v>
      </c>
      <c r="BH1611" s="1">
        <v>66.0</v>
      </c>
      <c r="BI1611" s="1" t="s">
        <v>1533</v>
      </c>
      <c r="BJ1611" s="1" t="s">
        <v>1349</v>
      </c>
      <c r="BK1611" s="1" t="s">
        <v>474</v>
      </c>
      <c r="BL1611" s="1" t="str">
        <f t="shared" ref="BL1611:BM1611" si="1056">"0"</f>
        <v>0</v>
      </c>
      <c r="BM1611" s="1" t="str">
        <f t="shared" si="1056"/>
        <v>0</v>
      </c>
      <c r="BN1611" s="1">
        <v>39.0</v>
      </c>
      <c r="BO1611" s="1">
        <v>15.0</v>
      </c>
      <c r="BQ1611" s="1">
        <v>308.0</v>
      </c>
      <c r="BR1611" s="1">
        <v>308.0</v>
      </c>
      <c r="BS1611" s="1">
        <v>308.0</v>
      </c>
      <c r="BV1611" s="1" t="s">
        <v>204</v>
      </c>
      <c r="BY1611" s="1" t="s">
        <v>214</v>
      </c>
      <c r="BZ1611" s="1" t="s">
        <v>209</v>
      </c>
      <c r="CA1611" s="1" t="s">
        <v>210</v>
      </c>
      <c r="CB1611" s="1" t="s">
        <v>229</v>
      </c>
      <c r="CC1611" s="1" t="s">
        <v>329</v>
      </c>
      <c r="CD1611" s="1" t="s">
        <v>206</v>
      </c>
      <c r="CE1611" s="1" t="s">
        <v>210</v>
      </c>
      <c r="CF1611" s="1" t="s">
        <v>229</v>
      </c>
      <c r="CG1611" s="1" t="s">
        <v>215</v>
      </c>
      <c r="CH1611" s="1" t="s">
        <v>209</v>
      </c>
      <c r="CI1611" s="1" t="s">
        <v>210</v>
      </c>
      <c r="CJ1611" s="1" t="s">
        <v>229</v>
      </c>
      <c r="CK1611" s="1" t="s">
        <v>215</v>
      </c>
      <c r="CL1611" s="1" t="s">
        <v>209</v>
      </c>
      <c r="CM1611" s="1" t="s">
        <v>210</v>
      </c>
      <c r="CN1611" s="1" t="s">
        <v>229</v>
      </c>
      <c r="CO1611" s="1" t="s">
        <v>332</v>
      </c>
      <c r="CP1611" s="1" t="s">
        <v>209</v>
      </c>
      <c r="CQ1611" s="1" t="s">
        <v>210</v>
      </c>
      <c r="CR1611" s="1" t="s">
        <v>229</v>
      </c>
      <c r="CS1611" s="1" t="s">
        <v>329</v>
      </c>
      <c r="CT1611" s="1" t="s">
        <v>206</v>
      </c>
      <c r="CU1611" s="1" t="s">
        <v>617</v>
      </c>
      <c r="CV1611" s="1" t="s">
        <v>229</v>
      </c>
      <c r="CW1611" s="1" t="s">
        <v>260</v>
      </c>
      <c r="CX1611" s="1" t="s">
        <v>206</v>
      </c>
      <c r="CY1611" s="1" t="s">
        <v>210</v>
      </c>
      <c r="CZ1611" s="1" t="s">
        <v>229</v>
      </c>
      <c r="DA1611" s="1" t="s">
        <v>192</v>
      </c>
      <c r="DB1611" s="2">
        <v>42012.0</v>
      </c>
      <c r="DC1611" s="1" t="s">
        <v>744</v>
      </c>
      <c r="DD1611" s="1" t="s">
        <v>855</v>
      </c>
      <c r="DE1611" s="1" t="s">
        <v>273</v>
      </c>
      <c r="DF1611" s="1" t="s">
        <v>219</v>
      </c>
      <c r="DG1611" s="1" t="s">
        <v>3259</v>
      </c>
      <c r="DH1611" s="1" t="s">
        <v>220</v>
      </c>
      <c r="DI1611" s="1" t="s">
        <v>1021</v>
      </c>
      <c r="DJ1611" s="1" t="s">
        <v>1048</v>
      </c>
      <c r="DL1611" s="1" t="s">
        <v>223</v>
      </c>
      <c r="DM1611" s="1" t="s">
        <v>229</v>
      </c>
      <c r="DP1611" s="1" t="s">
        <v>340</v>
      </c>
      <c r="DQ1611" s="1" t="s">
        <v>441</v>
      </c>
      <c r="DR1611" s="1" t="s">
        <v>2593</v>
      </c>
      <c r="DS1611" s="1" t="s">
        <v>368</v>
      </c>
      <c r="DV1611" s="1" t="s">
        <v>2381</v>
      </c>
      <c r="DW1611" s="1" t="s">
        <v>233</v>
      </c>
      <c r="DX1611" s="1" t="s">
        <v>234</v>
      </c>
      <c r="EA1611" s="1" t="s">
        <v>344</v>
      </c>
      <c r="EC1611" s="1" t="s">
        <v>237</v>
      </c>
      <c r="EG1611" s="1" t="s">
        <v>556</v>
      </c>
      <c r="EH1611" s="1" t="s">
        <v>494</v>
      </c>
      <c r="EL1611" s="1" t="s">
        <v>433</v>
      </c>
      <c r="EM1611" s="1" t="s">
        <v>206</v>
      </c>
      <c r="EN1611" s="1" t="s">
        <v>617</v>
      </c>
      <c r="EO1611" s="1" t="s">
        <v>229</v>
      </c>
      <c r="EP1611" s="1" t="s">
        <v>363</v>
      </c>
      <c r="EQ1611" s="1" t="s">
        <v>206</v>
      </c>
      <c r="ER1611" s="1" t="s">
        <v>210</v>
      </c>
      <c r="ES1611" s="1" t="s">
        <v>229</v>
      </c>
      <c r="EU1611" s="1" t="s">
        <v>238</v>
      </c>
      <c r="EY1611" s="1" t="s">
        <v>238</v>
      </c>
      <c r="FC1611" s="1" t="s">
        <v>238</v>
      </c>
      <c r="FF1611" s="1" t="s">
        <v>239</v>
      </c>
      <c r="FG1611" s="1" t="s">
        <v>192</v>
      </c>
      <c r="FH1611" s="1" t="s">
        <v>192</v>
      </c>
      <c r="FJ1611" s="1" t="s">
        <v>10515</v>
      </c>
      <c r="FK1611" s="1" t="s">
        <v>229</v>
      </c>
      <c r="FL1611" s="1" t="s">
        <v>1358</v>
      </c>
      <c r="FM1611" s="1">
        <v>23076.0</v>
      </c>
      <c r="FN1611" s="1" t="s">
        <v>1359</v>
      </c>
      <c r="FO1611" s="1" t="s">
        <v>10313</v>
      </c>
      <c r="FP1611" s="1">
        <v>216120.0</v>
      </c>
      <c r="FQ1611" s="1" t="s">
        <v>10314</v>
      </c>
      <c r="FT1611" s="1" t="s">
        <v>10337</v>
      </c>
      <c r="FU1611" s="1" t="s">
        <v>16183</v>
      </c>
      <c r="FV1611" s="1" t="s">
        <v>200</v>
      </c>
      <c r="FW1611" s="1" t="s">
        <v>10316</v>
      </c>
      <c r="FZ1611" s="1" t="s">
        <v>229</v>
      </c>
      <c r="GA1611" s="1" t="s">
        <v>247</v>
      </c>
      <c r="GB1611" s="2">
        <v>42035.0</v>
      </c>
    </row>
    <row r="1612">
      <c r="A1612" s="1">
        <v>394775.0</v>
      </c>
      <c r="B1612" s="1" t="s">
        <v>185</v>
      </c>
      <c r="C1612" s="1" t="str">
        <f>"08674756"</f>
        <v>08674756</v>
      </c>
      <c r="D1612" s="1" t="s">
        <v>186</v>
      </c>
      <c r="F1612" s="1" t="str">
        <f>"134"</f>
        <v>134</v>
      </c>
      <c r="G1612" s="2">
        <v>41836.0</v>
      </c>
      <c r="H1612" s="1">
        <v>427858.0</v>
      </c>
      <c r="I1612" s="1">
        <v>119.0</v>
      </c>
      <c r="J1612" s="1">
        <v>394585.0</v>
      </c>
      <c r="K1612" s="2">
        <v>41954.0</v>
      </c>
      <c r="L1612" s="1">
        <v>119.0</v>
      </c>
      <c r="M1612" s="2">
        <v>41954.0</v>
      </c>
      <c r="N1612" s="1" t="s">
        <v>187</v>
      </c>
      <c r="O1612" s="2">
        <v>41995.0</v>
      </c>
      <c r="P1612" s="1">
        <v>238181.0</v>
      </c>
      <c r="Q1612" s="1">
        <v>23591.0</v>
      </c>
      <c r="S1612" s="1" t="s">
        <v>16184</v>
      </c>
      <c r="T1612" s="1" t="s">
        <v>16185</v>
      </c>
      <c r="U1612" s="1" t="s">
        <v>569</v>
      </c>
      <c r="V1612" s="1" t="s">
        <v>421</v>
      </c>
      <c r="W1612" s="1">
        <v>60134.0</v>
      </c>
      <c r="Y1612" s="1" t="s">
        <v>16186</v>
      </c>
      <c r="Z1612" s="1">
        <v>2014.0</v>
      </c>
      <c r="AA1612" s="1" t="s">
        <v>200</v>
      </c>
      <c r="AB1612" s="1" t="s">
        <v>467</v>
      </c>
      <c r="AC1612" s="1" t="s">
        <v>2935</v>
      </c>
      <c r="AD1612" s="1" t="s">
        <v>1089</v>
      </c>
      <c r="AE1612" s="1" t="s">
        <v>325</v>
      </c>
      <c r="AF1612" s="1" t="s">
        <v>1479</v>
      </c>
      <c r="AG1612" s="1" t="s">
        <v>16187</v>
      </c>
      <c r="AH1612" s="1" t="s">
        <v>16188</v>
      </c>
      <c r="AK1612" s="1">
        <v>8.0</v>
      </c>
      <c r="AL1612" s="1">
        <v>4.0</v>
      </c>
      <c r="AM1612" s="1">
        <v>2.0</v>
      </c>
      <c r="AN1612" s="1">
        <v>1.0</v>
      </c>
      <c r="AO1612" s="1" t="s">
        <v>198</v>
      </c>
      <c r="AP1612" s="1">
        <v>1.0</v>
      </c>
      <c r="AQ1612" s="1" t="s">
        <v>198</v>
      </c>
      <c r="AR1612" s="1" t="s">
        <v>192</v>
      </c>
      <c r="AS1612" s="1" t="s">
        <v>199</v>
      </c>
      <c r="AT1612" s="1">
        <v>3.0</v>
      </c>
      <c r="AV1612" s="1" t="s">
        <v>200</v>
      </c>
      <c r="AW1612" s="1">
        <v>300.0</v>
      </c>
      <c r="AX1612" s="1">
        <v>2013.0</v>
      </c>
      <c r="AY1612" s="1" t="s">
        <v>229</v>
      </c>
      <c r="AZ1612" s="1" t="s">
        <v>192</v>
      </c>
      <c r="BA1612" s="1" t="str">
        <f>"9999999000"</f>
        <v>9999999000</v>
      </c>
      <c r="BC1612" s="1">
        <v>2603.0</v>
      </c>
      <c r="BD1612" s="1">
        <v>394775.0</v>
      </c>
      <c r="BE1612" s="2">
        <v>41836.0</v>
      </c>
      <c r="BF1612" s="2" t="s">
        <v>16189</v>
      </c>
      <c r="BH1612" s="1">
        <v>0.0</v>
      </c>
      <c r="BK1612" s="1" t="s">
        <v>204</v>
      </c>
      <c r="BL1612" s="1" t="str">
        <f t="shared" ref="BL1612:BM1612" si="1057">""</f>
        <v/>
      </c>
      <c r="BM1612" s="1" t="str">
        <f t="shared" si="1057"/>
        <v/>
      </c>
      <c r="BQ1612" s="1">
        <v>304.0</v>
      </c>
      <c r="BR1612" s="1">
        <v>304.0</v>
      </c>
      <c r="BS1612" s="1">
        <v>304.0</v>
      </c>
      <c r="BV1612" s="1" t="s">
        <v>204</v>
      </c>
      <c r="BY1612" s="1" t="s">
        <v>1000</v>
      </c>
      <c r="BZ1612" s="1" t="s">
        <v>209</v>
      </c>
      <c r="CA1612" s="1" t="s">
        <v>210</v>
      </c>
      <c r="CB1612" s="1" t="s">
        <v>229</v>
      </c>
      <c r="CC1612" s="1" t="s">
        <v>663</v>
      </c>
      <c r="CD1612" s="1" t="s">
        <v>206</v>
      </c>
      <c r="CE1612" s="1" t="s">
        <v>210</v>
      </c>
      <c r="CF1612" s="1" t="s">
        <v>229</v>
      </c>
      <c r="CG1612" s="1" t="s">
        <v>363</v>
      </c>
      <c r="CH1612" s="1" t="s">
        <v>209</v>
      </c>
      <c r="CI1612" s="1" t="s">
        <v>210</v>
      </c>
      <c r="CJ1612" s="1" t="s">
        <v>229</v>
      </c>
      <c r="CK1612" s="1" t="s">
        <v>1352</v>
      </c>
      <c r="CL1612" s="1" t="s">
        <v>209</v>
      </c>
      <c r="CM1612" s="1" t="s">
        <v>210</v>
      </c>
      <c r="CN1612" s="1" t="s">
        <v>229</v>
      </c>
      <c r="CO1612" s="1" t="s">
        <v>478</v>
      </c>
      <c r="CP1612" s="1" t="s">
        <v>209</v>
      </c>
      <c r="CQ1612" s="1" t="s">
        <v>210</v>
      </c>
      <c r="CR1612" s="1" t="s">
        <v>229</v>
      </c>
      <c r="CS1612" s="1" t="s">
        <v>2460</v>
      </c>
      <c r="CT1612" s="1" t="s">
        <v>206</v>
      </c>
      <c r="CU1612" s="1" t="s">
        <v>207</v>
      </c>
      <c r="CV1612" s="1" t="s">
        <v>229</v>
      </c>
      <c r="CW1612" s="1" t="s">
        <v>362</v>
      </c>
      <c r="CX1612" s="1" t="s">
        <v>206</v>
      </c>
      <c r="CY1612" s="1" t="s">
        <v>210</v>
      </c>
      <c r="CZ1612" s="1" t="s">
        <v>229</v>
      </c>
      <c r="DA1612" s="1" t="s">
        <v>192</v>
      </c>
      <c r="DB1612" s="2">
        <v>41912.0</v>
      </c>
      <c r="DC1612" s="1" t="s">
        <v>744</v>
      </c>
      <c r="DD1612" s="1" t="s">
        <v>336</v>
      </c>
      <c r="DE1612" s="1" t="s">
        <v>273</v>
      </c>
      <c r="DF1612" s="1" t="s">
        <v>619</v>
      </c>
      <c r="DG1612" s="1" t="s">
        <v>1977</v>
      </c>
      <c r="DH1612" s="1" t="s">
        <v>1603</v>
      </c>
      <c r="DI1612" s="1" t="s">
        <v>308</v>
      </c>
      <c r="DJ1612" s="1" t="s">
        <v>222</v>
      </c>
      <c r="DL1612" s="1" t="s">
        <v>224</v>
      </c>
      <c r="DM1612" s="1" t="s">
        <v>929</v>
      </c>
      <c r="DN1612" s="1" t="s">
        <v>1023</v>
      </c>
      <c r="DO1612" s="1" t="s">
        <v>590</v>
      </c>
      <c r="DP1612" s="1" t="s">
        <v>340</v>
      </c>
      <c r="DQ1612" s="1" t="s">
        <v>228</v>
      </c>
      <c r="DR1612" s="1" t="s">
        <v>229</v>
      </c>
      <c r="DS1612" s="1" t="s">
        <v>591</v>
      </c>
      <c r="DT1612" s="1" t="s">
        <v>16108</v>
      </c>
      <c r="DU1612" s="1" t="s">
        <v>16190</v>
      </c>
      <c r="DV1612" s="1" t="s">
        <v>1028</v>
      </c>
      <c r="DW1612" s="1" t="s">
        <v>233</v>
      </c>
      <c r="DX1612" s="1" t="s">
        <v>234</v>
      </c>
      <c r="DY1612" s="1" t="s">
        <v>1051</v>
      </c>
      <c r="EA1612" s="1" t="s">
        <v>344</v>
      </c>
      <c r="EB1612" s="1" t="s">
        <v>597</v>
      </c>
      <c r="EC1612" s="1" t="s">
        <v>237</v>
      </c>
      <c r="ED1612" s="1" t="s">
        <v>407</v>
      </c>
      <c r="EE1612" s="1" t="s">
        <v>493</v>
      </c>
      <c r="EG1612" s="1" t="s">
        <v>1028</v>
      </c>
      <c r="EL1612" s="1" t="s">
        <v>2460</v>
      </c>
      <c r="EM1612" s="1" t="s">
        <v>206</v>
      </c>
      <c r="EN1612" s="1" t="s">
        <v>210</v>
      </c>
      <c r="EO1612" s="1" t="s">
        <v>229</v>
      </c>
      <c r="EQ1612" s="1" t="s">
        <v>238</v>
      </c>
      <c r="EU1612" s="1" t="s">
        <v>238</v>
      </c>
      <c r="EY1612" s="1" t="s">
        <v>238</v>
      </c>
      <c r="FC1612" s="1" t="s">
        <v>238</v>
      </c>
      <c r="FF1612" s="1" t="s">
        <v>239</v>
      </c>
      <c r="FG1612" s="1" t="s">
        <v>192</v>
      </c>
      <c r="FH1612" s="1" t="s">
        <v>192</v>
      </c>
      <c r="FJ1612" s="1" t="s">
        <v>524</v>
      </c>
      <c r="FK1612" s="1" t="s">
        <v>229</v>
      </c>
      <c r="FL1612" s="1" t="s">
        <v>1614</v>
      </c>
      <c r="FM1612" s="1">
        <v>85399.0</v>
      </c>
      <c r="FN1612" s="1" t="s">
        <v>1615</v>
      </c>
      <c r="FO1612" s="1" t="s">
        <v>1616</v>
      </c>
      <c r="FP1612" s="1">
        <v>189649.0</v>
      </c>
      <c r="FQ1612" s="1" t="s">
        <v>1615</v>
      </c>
      <c r="FU1612" s="1" t="s">
        <v>16191</v>
      </c>
      <c r="FV1612" s="1" t="s">
        <v>200</v>
      </c>
      <c r="FW1612" s="1" t="s">
        <v>1618</v>
      </c>
      <c r="FZ1612" s="1" t="s">
        <v>229</v>
      </c>
      <c r="GA1612" s="1" t="s">
        <v>247</v>
      </c>
      <c r="GB1612" s="2">
        <v>41995.0</v>
      </c>
      <c r="GC1612" s="1" t="s">
        <v>16192</v>
      </c>
    </row>
    <row r="1613">
      <c r="A1613" s="1">
        <v>310000.0</v>
      </c>
      <c r="B1613" s="1" t="s">
        <v>185</v>
      </c>
      <c r="C1613" s="1" t="str">
        <f>"08680878"</f>
        <v>08680878</v>
      </c>
      <c r="D1613" s="1" t="s">
        <v>186</v>
      </c>
      <c r="F1613" s="1" t="str">
        <f>"543"</f>
        <v>543</v>
      </c>
      <c r="G1613" s="2">
        <v>41843.0</v>
      </c>
      <c r="H1613" s="1">
        <v>346630.0</v>
      </c>
      <c r="I1613" s="1">
        <v>227.0</v>
      </c>
      <c r="J1613" s="1">
        <v>319990.0</v>
      </c>
      <c r="K1613" s="2">
        <v>42069.0</v>
      </c>
      <c r="L1613" s="1">
        <v>227.0</v>
      </c>
      <c r="M1613" s="2">
        <v>42069.0</v>
      </c>
      <c r="N1613" s="1" t="s">
        <v>187</v>
      </c>
      <c r="O1613" s="2">
        <v>42118.0</v>
      </c>
      <c r="P1613" s="1">
        <v>236517.0</v>
      </c>
      <c r="Q1613" s="1">
        <v>22975.0</v>
      </c>
      <c r="S1613" s="1">
        <v>141.0</v>
      </c>
      <c r="T1613" s="1" t="s">
        <v>4265</v>
      </c>
      <c r="U1613" s="1" t="s">
        <v>982</v>
      </c>
      <c r="V1613" s="1" t="s">
        <v>1527</v>
      </c>
      <c r="W1613" s="1">
        <v>60543.0</v>
      </c>
      <c r="Y1613" s="1" t="s">
        <v>16138</v>
      </c>
      <c r="Z1613" s="1">
        <v>2014.0</v>
      </c>
      <c r="AA1613" s="1" t="s">
        <v>200</v>
      </c>
      <c r="AB1613" s="1" t="s">
        <v>467</v>
      </c>
      <c r="AC1613" s="1" t="s">
        <v>16139</v>
      </c>
      <c r="AD1613" s="1" t="s">
        <v>1529</v>
      </c>
      <c r="AE1613" s="1" t="s">
        <v>849</v>
      </c>
      <c r="AF1613" s="1" t="s">
        <v>1529</v>
      </c>
      <c r="AG1613" s="1" t="s">
        <v>16193</v>
      </c>
      <c r="AH1613" s="1" t="s">
        <v>16194</v>
      </c>
      <c r="AI1613" s="1">
        <v>0.23</v>
      </c>
      <c r="AK1613" s="1">
        <v>8.0</v>
      </c>
      <c r="AL1613" s="1">
        <v>4.0</v>
      </c>
      <c r="AM1613" s="1">
        <v>2.0</v>
      </c>
      <c r="AN1613" s="1">
        <v>1.0</v>
      </c>
      <c r="AO1613" s="1" t="s">
        <v>198</v>
      </c>
      <c r="AQ1613" s="1" t="s">
        <v>1314</v>
      </c>
      <c r="AR1613" s="1" t="s">
        <v>200</v>
      </c>
      <c r="AS1613" s="1" t="s">
        <v>199</v>
      </c>
      <c r="AT1613" s="1">
        <v>2.0</v>
      </c>
      <c r="AV1613" s="1" t="s">
        <v>200</v>
      </c>
      <c r="AW1613" s="1" t="s">
        <v>575</v>
      </c>
      <c r="AX1613" s="1">
        <v>2013.0</v>
      </c>
      <c r="AZ1613" s="1" t="s">
        <v>200</v>
      </c>
      <c r="BA1613" s="1" t="str">
        <f>"0315102008"</f>
        <v>0315102008</v>
      </c>
      <c r="BB1613" s="1" t="s">
        <v>200</v>
      </c>
      <c r="BC1613" s="1">
        <v>2969.0</v>
      </c>
      <c r="BD1613" s="1">
        <v>310000.0</v>
      </c>
      <c r="BE1613" s="2">
        <v>41843.0</v>
      </c>
      <c r="BF1613" s="2" t="s">
        <v>16195</v>
      </c>
      <c r="BG1613" s="1" t="s">
        <v>4366</v>
      </c>
      <c r="BH1613" s="1">
        <v>62.0</v>
      </c>
      <c r="BI1613" s="1" t="s">
        <v>1348</v>
      </c>
      <c r="BJ1613" s="1" t="s">
        <v>1349</v>
      </c>
      <c r="BK1613" s="1" t="s">
        <v>474</v>
      </c>
      <c r="BL1613" s="1" t="str">
        <f>"41"</f>
        <v>41</v>
      </c>
      <c r="BM1613" s="1" t="str">
        <f>"0"</f>
        <v>0</v>
      </c>
      <c r="BN1613" s="1">
        <v>88.0</v>
      </c>
      <c r="BO1613" s="1">
        <v>0.0</v>
      </c>
      <c r="BQ1613" s="1">
        <v>308.0</v>
      </c>
      <c r="BR1613" s="1">
        <v>308.0</v>
      </c>
      <c r="BS1613" s="1">
        <v>308.0</v>
      </c>
      <c r="BU1613" s="1" t="s">
        <v>433</v>
      </c>
      <c r="BV1613" s="1" t="s">
        <v>206</v>
      </c>
      <c r="BW1613" s="1" t="s">
        <v>210</v>
      </c>
      <c r="BY1613" s="1" t="s">
        <v>784</v>
      </c>
      <c r="BZ1613" s="1" t="s">
        <v>209</v>
      </c>
      <c r="CA1613" s="1" t="s">
        <v>210</v>
      </c>
      <c r="CD1613" s="1" t="s">
        <v>204</v>
      </c>
      <c r="CG1613" s="1" t="s">
        <v>215</v>
      </c>
      <c r="CH1613" s="1" t="s">
        <v>209</v>
      </c>
      <c r="CI1613" s="1" t="s">
        <v>210</v>
      </c>
      <c r="CK1613" s="1" t="s">
        <v>363</v>
      </c>
      <c r="CL1613" s="1" t="s">
        <v>209</v>
      </c>
      <c r="CM1613" s="1" t="s">
        <v>210</v>
      </c>
      <c r="CO1613" s="1" t="s">
        <v>215</v>
      </c>
      <c r="CP1613" s="1" t="s">
        <v>209</v>
      </c>
      <c r="CQ1613" s="1" t="s">
        <v>210</v>
      </c>
      <c r="CS1613" s="1" t="s">
        <v>331</v>
      </c>
      <c r="CT1613" s="1" t="s">
        <v>206</v>
      </c>
      <c r="CU1613" s="1" t="s">
        <v>207</v>
      </c>
      <c r="CW1613" s="1" t="s">
        <v>434</v>
      </c>
      <c r="CX1613" s="1" t="s">
        <v>206</v>
      </c>
      <c r="CY1613" s="1" t="s">
        <v>210</v>
      </c>
      <c r="DA1613" s="1" t="s">
        <v>192</v>
      </c>
      <c r="DB1613" s="2">
        <v>42007.0</v>
      </c>
      <c r="DC1613" s="1" t="s">
        <v>1353</v>
      </c>
      <c r="DD1613" s="1" t="s">
        <v>436</v>
      </c>
      <c r="DE1613" s="1" t="s">
        <v>273</v>
      </c>
      <c r="DF1613" s="1" t="s">
        <v>219</v>
      </c>
      <c r="DG1613" s="1" t="s">
        <v>8201</v>
      </c>
      <c r="DH1613" s="1" t="s">
        <v>220</v>
      </c>
      <c r="DI1613" s="1" t="s">
        <v>589</v>
      </c>
      <c r="DJ1613" s="1" t="s">
        <v>222</v>
      </c>
      <c r="DK1613" s="1" t="s">
        <v>223</v>
      </c>
      <c r="DL1613" s="1" t="s">
        <v>3611</v>
      </c>
      <c r="DM1613" s="1" t="s">
        <v>229</v>
      </c>
      <c r="DN1613" s="1" t="s">
        <v>485</v>
      </c>
      <c r="DQ1613" s="1" t="s">
        <v>228</v>
      </c>
      <c r="DR1613" s="1" t="s">
        <v>2593</v>
      </c>
      <c r="DS1613" s="1" t="s">
        <v>591</v>
      </c>
      <c r="DU1613" s="1" t="s">
        <v>550</v>
      </c>
      <c r="DV1613" s="1" t="s">
        <v>1028</v>
      </c>
      <c r="DW1613" s="1" t="s">
        <v>444</v>
      </c>
      <c r="DX1613" s="1" t="s">
        <v>234</v>
      </c>
      <c r="DY1613" s="1" t="s">
        <v>1051</v>
      </c>
      <c r="EA1613" s="1" t="s">
        <v>344</v>
      </c>
      <c r="EC1613" s="1" t="s">
        <v>237</v>
      </c>
      <c r="EE1613" s="1" t="s">
        <v>493</v>
      </c>
      <c r="EG1613" s="1" t="s">
        <v>1028</v>
      </c>
      <c r="EL1613" s="1" t="s">
        <v>433</v>
      </c>
      <c r="EM1613" s="1" t="s">
        <v>206</v>
      </c>
      <c r="EN1613" s="1" t="s">
        <v>210</v>
      </c>
      <c r="EQ1613" s="1" t="s">
        <v>238</v>
      </c>
      <c r="EU1613" s="1" t="s">
        <v>238</v>
      </c>
      <c r="EY1613" s="1" t="s">
        <v>238</v>
      </c>
      <c r="FC1613" s="1" t="s">
        <v>238</v>
      </c>
      <c r="FF1613" s="1" t="s">
        <v>239</v>
      </c>
      <c r="FG1613" s="1" t="s">
        <v>192</v>
      </c>
      <c r="FH1613" s="1" t="s">
        <v>192</v>
      </c>
      <c r="FJ1613" s="1" t="s">
        <v>16143</v>
      </c>
      <c r="FK1613" s="1" t="s">
        <v>229</v>
      </c>
      <c r="FL1613" s="1" t="s">
        <v>8206</v>
      </c>
      <c r="FM1613" s="1">
        <v>23223.0</v>
      </c>
      <c r="FN1613" s="1" t="s">
        <v>8207</v>
      </c>
      <c r="FO1613" s="1" t="s">
        <v>8208</v>
      </c>
      <c r="FP1613" s="1">
        <v>236300.0</v>
      </c>
      <c r="FR1613" s="1">
        <v>210778.0</v>
      </c>
      <c r="FT1613" s="1" t="s">
        <v>16196</v>
      </c>
      <c r="FU1613" s="1" t="s">
        <v>16197</v>
      </c>
      <c r="FV1613" s="1" t="s">
        <v>200</v>
      </c>
      <c r="FW1613" s="1" t="s">
        <v>8211</v>
      </c>
      <c r="FZ1613" s="1" t="s">
        <v>229</v>
      </c>
      <c r="GA1613" s="1" t="s">
        <v>247</v>
      </c>
      <c r="GB1613" s="2">
        <v>42118.0</v>
      </c>
      <c r="GC1613" s="1" t="s">
        <v>16198</v>
      </c>
    </row>
    <row r="1614">
      <c r="A1614" s="1">
        <v>293000.0</v>
      </c>
      <c r="B1614" s="1" t="s">
        <v>185</v>
      </c>
      <c r="C1614" s="1" t="str">
        <f>"08677566"</f>
        <v>08677566</v>
      </c>
      <c r="D1614" s="1" t="s">
        <v>186</v>
      </c>
      <c r="F1614" s="1" t="str">
        <f>"510"</f>
        <v>510</v>
      </c>
      <c r="G1614" s="2">
        <v>41839.0</v>
      </c>
      <c r="H1614" s="1">
        <v>325000.0</v>
      </c>
      <c r="I1614" s="1">
        <v>258.0</v>
      </c>
      <c r="J1614" s="1">
        <v>299500.0</v>
      </c>
      <c r="K1614" s="2">
        <v>42094.0</v>
      </c>
      <c r="L1614" s="1">
        <v>258.0</v>
      </c>
      <c r="M1614" s="2">
        <v>42094.0</v>
      </c>
      <c r="N1614" s="1" t="s">
        <v>356</v>
      </c>
      <c r="O1614" s="2">
        <v>42144.0</v>
      </c>
      <c r="P1614" s="1">
        <v>7842.0</v>
      </c>
      <c r="Q1614" s="1">
        <v>41.0</v>
      </c>
      <c r="R1614" s="1">
        <v>5000.0</v>
      </c>
      <c r="S1614" s="1">
        <v>944.0</v>
      </c>
      <c r="T1614" s="1" t="s">
        <v>8352</v>
      </c>
      <c r="U1614" s="1" t="s">
        <v>1174</v>
      </c>
      <c r="V1614" s="1" t="s">
        <v>2700</v>
      </c>
      <c r="W1614" s="1">
        <v>60510.0</v>
      </c>
      <c r="Y1614" s="1" t="s">
        <v>16199</v>
      </c>
      <c r="Z1614" s="1">
        <v>1989.0</v>
      </c>
      <c r="AA1614" s="1" t="s">
        <v>200</v>
      </c>
      <c r="AB1614" s="1" t="s">
        <v>193</v>
      </c>
      <c r="AC1614" s="1" t="s">
        <v>1596</v>
      </c>
      <c r="AD1614" s="1" t="s">
        <v>2702</v>
      </c>
      <c r="AE1614" s="1" t="s">
        <v>325</v>
      </c>
      <c r="AF1614" s="1" t="s">
        <v>2702</v>
      </c>
      <c r="AH1614" s="1" t="s">
        <v>326</v>
      </c>
      <c r="AK1614" s="1">
        <v>9.0</v>
      </c>
      <c r="AL1614" s="1">
        <v>4.0</v>
      </c>
      <c r="AM1614" s="1">
        <v>2.0</v>
      </c>
      <c r="AN1614" s="1">
        <v>1.0</v>
      </c>
      <c r="AO1614" s="1" t="s">
        <v>198</v>
      </c>
      <c r="AP1614" s="1">
        <v>1.0</v>
      </c>
      <c r="AQ1614" s="1" t="s">
        <v>198</v>
      </c>
      <c r="AR1614" s="1" t="s">
        <v>200</v>
      </c>
      <c r="AS1614" s="1" t="s">
        <v>199</v>
      </c>
      <c r="AT1614" s="1">
        <v>2.0</v>
      </c>
      <c r="AV1614" s="1" t="s">
        <v>200</v>
      </c>
      <c r="AW1614" s="1">
        <v>9189.0</v>
      </c>
      <c r="AX1614" s="1">
        <v>2013.0</v>
      </c>
      <c r="AY1614" s="1" t="s">
        <v>387</v>
      </c>
      <c r="AZ1614" s="1" t="s">
        <v>200</v>
      </c>
      <c r="BA1614" s="1" t="str">
        <f>"1228207002"</f>
        <v>1228207002</v>
      </c>
      <c r="BB1614" s="1" t="s">
        <v>200</v>
      </c>
      <c r="BC1614" s="1">
        <v>2488.0</v>
      </c>
      <c r="BD1614" s="1">
        <v>293000.0</v>
      </c>
      <c r="BE1614" s="2">
        <v>41837.0</v>
      </c>
      <c r="BF1614" s="2" t="s">
        <v>16200</v>
      </c>
      <c r="BG1614" s="1" t="s">
        <v>5940</v>
      </c>
      <c r="BH1614" s="1">
        <v>0.0</v>
      </c>
      <c r="BI1614" s="1" t="s">
        <v>3090</v>
      </c>
      <c r="BJ1614" s="1" t="s">
        <v>3091</v>
      </c>
      <c r="BK1614" s="1" t="s">
        <v>204</v>
      </c>
      <c r="BL1614" s="1" t="str">
        <f t="shared" ref="BL1614:BM1614" si="1058">""</f>
        <v/>
      </c>
      <c r="BM1614" s="1" t="str">
        <f t="shared" si="1058"/>
        <v/>
      </c>
      <c r="BQ1614" s="1">
        <v>101.0</v>
      </c>
      <c r="BR1614" s="1">
        <v>101.0</v>
      </c>
      <c r="BS1614" s="1">
        <v>101.0</v>
      </c>
      <c r="BU1614" s="1" t="s">
        <v>361</v>
      </c>
      <c r="BV1614" s="1" t="s">
        <v>206</v>
      </c>
      <c r="BW1614" s="1" t="s">
        <v>210</v>
      </c>
      <c r="BX1614" s="1" t="s">
        <v>239</v>
      </c>
      <c r="BY1614" s="1" t="s">
        <v>208</v>
      </c>
      <c r="BZ1614" s="1" t="s">
        <v>209</v>
      </c>
      <c r="CA1614" s="1" t="s">
        <v>210</v>
      </c>
      <c r="CB1614" s="1" t="s">
        <v>239</v>
      </c>
      <c r="CC1614" s="1" t="s">
        <v>758</v>
      </c>
      <c r="CD1614" s="1" t="s">
        <v>206</v>
      </c>
      <c r="CE1614" s="1" t="s">
        <v>301</v>
      </c>
      <c r="CF1614" s="1" t="s">
        <v>239</v>
      </c>
      <c r="CG1614" s="1" t="s">
        <v>332</v>
      </c>
      <c r="CH1614" s="1" t="s">
        <v>209</v>
      </c>
      <c r="CI1614" s="1" t="s">
        <v>210</v>
      </c>
      <c r="CJ1614" s="1" t="s">
        <v>239</v>
      </c>
      <c r="CK1614" s="1" t="s">
        <v>329</v>
      </c>
      <c r="CL1614" s="1" t="s">
        <v>209</v>
      </c>
      <c r="CM1614" s="1" t="s">
        <v>210</v>
      </c>
      <c r="CN1614" s="1" t="s">
        <v>239</v>
      </c>
      <c r="CO1614" s="1" t="s">
        <v>497</v>
      </c>
      <c r="CP1614" s="1" t="s">
        <v>209</v>
      </c>
      <c r="CQ1614" s="1" t="s">
        <v>210</v>
      </c>
      <c r="CR1614" s="1" t="s">
        <v>239</v>
      </c>
      <c r="CS1614" s="1" t="s">
        <v>432</v>
      </c>
      <c r="CT1614" s="1" t="s">
        <v>206</v>
      </c>
      <c r="CU1614" s="1" t="s">
        <v>301</v>
      </c>
      <c r="CV1614" s="1" t="s">
        <v>239</v>
      </c>
      <c r="CW1614" s="1" t="s">
        <v>784</v>
      </c>
      <c r="CX1614" s="1" t="s">
        <v>206</v>
      </c>
      <c r="CY1614" s="1" t="s">
        <v>210</v>
      </c>
      <c r="CZ1614" s="1" t="s">
        <v>239</v>
      </c>
      <c r="DA1614" s="1" t="s">
        <v>200</v>
      </c>
      <c r="DC1614" s="1" t="s">
        <v>435</v>
      </c>
      <c r="DD1614" s="1" t="s">
        <v>336</v>
      </c>
      <c r="DE1614" s="1" t="s">
        <v>273</v>
      </c>
      <c r="DF1614" s="1" t="s">
        <v>219</v>
      </c>
      <c r="DH1614" s="1" t="s">
        <v>220</v>
      </c>
      <c r="DI1614" s="1" t="s">
        <v>221</v>
      </c>
      <c r="DJ1614" s="1" t="s">
        <v>222</v>
      </c>
      <c r="DK1614" s="1" t="s">
        <v>223</v>
      </c>
      <c r="DL1614" s="1" t="s">
        <v>223</v>
      </c>
      <c r="DM1614" s="1" t="s">
        <v>338</v>
      </c>
      <c r="DO1614" s="1" t="s">
        <v>717</v>
      </c>
      <c r="DP1614" s="1" t="s">
        <v>340</v>
      </c>
      <c r="DQ1614" s="1" t="s">
        <v>228</v>
      </c>
      <c r="DR1614" s="1" t="s">
        <v>229</v>
      </c>
      <c r="DS1614" s="1" t="s">
        <v>368</v>
      </c>
      <c r="DU1614" s="1" t="s">
        <v>16201</v>
      </c>
      <c r="DV1614" s="1" t="s">
        <v>5014</v>
      </c>
      <c r="DW1614" s="1" t="s">
        <v>370</v>
      </c>
      <c r="DX1614" s="1" t="s">
        <v>234</v>
      </c>
      <c r="DY1614" s="1" t="s">
        <v>16202</v>
      </c>
      <c r="DZ1614" s="1" t="s">
        <v>282</v>
      </c>
      <c r="EA1614" s="1" t="s">
        <v>344</v>
      </c>
      <c r="EB1614" s="1" t="s">
        <v>684</v>
      </c>
      <c r="EC1614" s="1" t="s">
        <v>237</v>
      </c>
      <c r="ED1614" s="1" t="s">
        <v>407</v>
      </c>
      <c r="EE1614" s="1" t="s">
        <v>493</v>
      </c>
      <c r="EG1614" s="1" t="s">
        <v>494</v>
      </c>
      <c r="EH1614" s="1" t="s">
        <v>408</v>
      </c>
      <c r="EL1614" s="1" t="s">
        <v>1746</v>
      </c>
      <c r="EM1614" s="1" t="s">
        <v>206</v>
      </c>
      <c r="EN1614" s="1" t="s">
        <v>617</v>
      </c>
      <c r="EO1614" s="1" t="s">
        <v>239</v>
      </c>
      <c r="EP1614" s="1" t="s">
        <v>1688</v>
      </c>
      <c r="EQ1614" s="1" t="s">
        <v>206</v>
      </c>
      <c r="ER1614" s="1" t="s">
        <v>301</v>
      </c>
      <c r="EU1614" s="1" t="s">
        <v>238</v>
      </c>
      <c r="EY1614" s="1" t="s">
        <v>238</v>
      </c>
      <c r="FC1614" s="1" t="s">
        <v>238</v>
      </c>
      <c r="FF1614" s="1" t="s">
        <v>239</v>
      </c>
      <c r="FG1614" s="1" t="s">
        <v>192</v>
      </c>
      <c r="FH1614" s="1" t="s">
        <v>192</v>
      </c>
      <c r="FJ1614" s="1" t="s">
        <v>498</v>
      </c>
      <c r="FK1614" s="1" t="s">
        <v>348</v>
      </c>
      <c r="FL1614" s="1" t="s">
        <v>6233</v>
      </c>
      <c r="FM1614" s="1">
        <v>7630.0</v>
      </c>
      <c r="FN1614" s="1" t="s">
        <v>6234</v>
      </c>
      <c r="FO1614" s="1" t="s">
        <v>6235</v>
      </c>
      <c r="FP1614" s="1">
        <v>77883.0</v>
      </c>
      <c r="FQ1614" s="1" t="s">
        <v>6236</v>
      </c>
      <c r="FS1614" s="1" t="s">
        <v>6237</v>
      </c>
      <c r="FU1614" s="1" t="s">
        <v>16203</v>
      </c>
      <c r="FV1614" s="1" t="s">
        <v>200</v>
      </c>
      <c r="FW1614" s="1" t="s">
        <v>2754</v>
      </c>
      <c r="FZ1614" s="1" t="s">
        <v>229</v>
      </c>
      <c r="GA1614" s="1" t="s">
        <v>291</v>
      </c>
      <c r="GB1614" s="2">
        <v>42145.0</v>
      </c>
    </row>
    <row r="1615">
      <c r="A1615" s="1">
        <v>179900.0</v>
      </c>
      <c r="B1615" s="1" t="s">
        <v>185</v>
      </c>
      <c r="C1615" s="1" t="str">
        <f>"08682822"</f>
        <v>08682822</v>
      </c>
      <c r="D1615" s="1" t="s">
        <v>186</v>
      </c>
      <c r="F1615" s="1" t="str">
        <f>"8025"</f>
        <v>8025</v>
      </c>
      <c r="G1615" s="2">
        <v>41844.0</v>
      </c>
      <c r="H1615" s="1">
        <v>179900.0</v>
      </c>
      <c r="I1615" s="1">
        <v>57.0</v>
      </c>
      <c r="J1615" s="1">
        <v>179900.0</v>
      </c>
      <c r="K1615" s="2">
        <v>41900.0</v>
      </c>
      <c r="L1615" s="1">
        <v>57.0</v>
      </c>
      <c r="M1615" s="2">
        <v>41900.0</v>
      </c>
      <c r="N1615" s="1" t="s">
        <v>588</v>
      </c>
      <c r="O1615" s="2">
        <v>41995.0</v>
      </c>
      <c r="P1615" s="1">
        <v>185438.0</v>
      </c>
      <c r="Q1615" s="1">
        <v>85085.0</v>
      </c>
      <c r="R1615" s="1">
        <v>7196.0</v>
      </c>
      <c r="S1615" s="1">
        <v>4950.0</v>
      </c>
      <c r="T1615" s="1" t="s">
        <v>5459</v>
      </c>
      <c r="U1615" s="1" t="s">
        <v>694</v>
      </c>
      <c r="V1615" s="1" t="s">
        <v>190</v>
      </c>
      <c r="W1615" s="1">
        <v>60639.0</v>
      </c>
      <c r="Y1615" s="1" t="s">
        <v>16204</v>
      </c>
      <c r="Z1615" s="1">
        <v>1922.0</v>
      </c>
      <c r="AA1615" s="1" t="s">
        <v>192</v>
      </c>
      <c r="AB1615" s="1" t="s">
        <v>193</v>
      </c>
      <c r="AD1615" s="1" t="s">
        <v>194</v>
      </c>
      <c r="AE1615" s="1" t="s">
        <v>195</v>
      </c>
      <c r="AF1615" s="1" t="s">
        <v>196</v>
      </c>
      <c r="AH1615" s="1" t="s">
        <v>359</v>
      </c>
      <c r="AI1615" s="1">
        <v>0.07</v>
      </c>
      <c r="AK1615" s="1">
        <v>8.0</v>
      </c>
      <c r="AL1615" s="1">
        <v>3.0</v>
      </c>
      <c r="AM1615" s="1">
        <v>2.0</v>
      </c>
      <c r="AN1615" s="1">
        <v>1.0</v>
      </c>
      <c r="AO1615" s="1" t="s">
        <v>198</v>
      </c>
      <c r="AQ1615" s="1" t="s">
        <v>198</v>
      </c>
      <c r="AR1615" s="1" t="s">
        <v>192</v>
      </c>
      <c r="AS1615" s="1" t="s">
        <v>199</v>
      </c>
      <c r="AT1615" s="1">
        <v>2.0</v>
      </c>
      <c r="AV1615" s="1" t="s">
        <v>200</v>
      </c>
      <c r="AW1615" s="1">
        <v>1939.65</v>
      </c>
      <c r="AX1615" s="1">
        <v>2012.0</v>
      </c>
      <c r="AY1615" s="1" t="s">
        <v>229</v>
      </c>
      <c r="AZ1615" s="1" t="s">
        <v>200</v>
      </c>
      <c r="BA1615" s="1" t="str">
        <f>"13334190450000"</f>
        <v>13334190450000</v>
      </c>
      <c r="BC1615" s="1">
        <v>2400.0</v>
      </c>
      <c r="BD1615" s="1">
        <v>179900.0</v>
      </c>
      <c r="BE1615" s="2">
        <v>41844.0</v>
      </c>
      <c r="BF1615" s="2" t="s">
        <v>16205</v>
      </c>
      <c r="BH1615" s="1">
        <v>0.0</v>
      </c>
      <c r="BK1615" s="1" t="s">
        <v>204</v>
      </c>
      <c r="BL1615" s="1" t="str">
        <f>"1700"</f>
        <v>1700</v>
      </c>
      <c r="BM1615" s="1" t="str">
        <f>"0"</f>
        <v>0</v>
      </c>
      <c r="BN1615" s="1">
        <v>4950.0</v>
      </c>
      <c r="BO1615" s="1">
        <v>0.0</v>
      </c>
      <c r="BQ1615" s="1">
        <v>299.0</v>
      </c>
      <c r="BR1615" s="1">
        <v>299.0</v>
      </c>
      <c r="BS1615" s="1">
        <v>299.0</v>
      </c>
      <c r="BU1615" s="1" t="s">
        <v>1517</v>
      </c>
      <c r="BV1615" s="1" t="s">
        <v>206</v>
      </c>
      <c r="BW1615" s="1" t="s">
        <v>207</v>
      </c>
      <c r="BY1615" s="1" t="s">
        <v>16206</v>
      </c>
      <c r="BZ1615" s="1" t="s">
        <v>209</v>
      </c>
      <c r="CA1615" s="1" t="s">
        <v>210</v>
      </c>
      <c r="CC1615" s="1" t="s">
        <v>303</v>
      </c>
      <c r="CD1615" s="1" t="s">
        <v>206</v>
      </c>
      <c r="CE1615" s="1" t="s">
        <v>207</v>
      </c>
      <c r="CG1615" s="1" t="s">
        <v>16207</v>
      </c>
      <c r="CH1615" s="1" t="s">
        <v>206</v>
      </c>
      <c r="CI1615" s="1" t="s">
        <v>207</v>
      </c>
      <c r="CK1615" s="1" t="s">
        <v>815</v>
      </c>
      <c r="CL1615" s="1" t="s">
        <v>206</v>
      </c>
      <c r="CM1615" s="1" t="s">
        <v>207</v>
      </c>
      <c r="CO1615" s="1" t="s">
        <v>4045</v>
      </c>
      <c r="CP1615" s="1" t="s">
        <v>42</v>
      </c>
      <c r="CQ1615" s="1" t="s">
        <v>268</v>
      </c>
      <c r="CS1615" s="1" t="s">
        <v>1329</v>
      </c>
      <c r="CT1615" s="1" t="s">
        <v>206</v>
      </c>
      <c r="CU1615" s="1" t="s">
        <v>207</v>
      </c>
      <c r="CW1615" s="1" t="s">
        <v>5955</v>
      </c>
      <c r="CX1615" s="1" t="s">
        <v>42</v>
      </c>
      <c r="CY1615" s="1" t="s">
        <v>268</v>
      </c>
      <c r="DA1615" s="1" t="s">
        <v>200</v>
      </c>
      <c r="DC1615" s="1" t="s">
        <v>216</v>
      </c>
      <c r="DE1615" s="1" t="s">
        <v>273</v>
      </c>
      <c r="DF1615" s="1" t="s">
        <v>619</v>
      </c>
      <c r="DG1615" s="1" t="s">
        <v>337</v>
      </c>
      <c r="DH1615" s="1" t="s">
        <v>365</v>
      </c>
      <c r="DI1615" s="1" t="s">
        <v>2970</v>
      </c>
      <c r="DJ1615" s="1" t="s">
        <v>222</v>
      </c>
      <c r="DL1615" s="1" t="s">
        <v>224</v>
      </c>
      <c r="DM1615" s="1" t="s">
        <v>229</v>
      </c>
      <c r="DP1615" s="1" t="s">
        <v>340</v>
      </c>
      <c r="DQ1615" s="1" t="s">
        <v>441</v>
      </c>
      <c r="DR1615" s="1" t="s">
        <v>229</v>
      </c>
      <c r="DS1615" s="1" t="s">
        <v>230</v>
      </c>
      <c r="DU1615" s="1" t="s">
        <v>681</v>
      </c>
      <c r="DV1615" s="1" t="s">
        <v>232</v>
      </c>
      <c r="DW1615" s="1" t="s">
        <v>444</v>
      </c>
      <c r="DX1615" s="1" t="s">
        <v>234</v>
      </c>
      <c r="DY1615" s="1" t="s">
        <v>553</v>
      </c>
      <c r="DZ1615" s="1" t="s">
        <v>405</v>
      </c>
      <c r="EA1615" s="1" t="s">
        <v>644</v>
      </c>
      <c r="EC1615" s="1" t="s">
        <v>237</v>
      </c>
      <c r="EM1615" s="1" t="s">
        <v>238</v>
      </c>
      <c r="EQ1615" s="1" t="s">
        <v>238</v>
      </c>
      <c r="EU1615" s="1" t="s">
        <v>238</v>
      </c>
      <c r="EY1615" s="1" t="s">
        <v>238</v>
      </c>
      <c r="FC1615" s="1" t="s">
        <v>238</v>
      </c>
      <c r="FF1615" s="1" t="s">
        <v>229</v>
      </c>
      <c r="FG1615" s="1" t="s">
        <v>200</v>
      </c>
      <c r="FH1615" s="1" t="s">
        <v>200</v>
      </c>
      <c r="FJ1615" s="1" t="s">
        <v>686</v>
      </c>
      <c r="FK1615" s="1" t="s">
        <v>229</v>
      </c>
      <c r="FL1615" s="1" t="s">
        <v>14117</v>
      </c>
      <c r="FM1615" s="1">
        <v>16121.0</v>
      </c>
      <c r="FN1615" s="1" t="s">
        <v>14118</v>
      </c>
      <c r="FO1615" s="1" t="s">
        <v>14119</v>
      </c>
      <c r="FP1615" s="1">
        <v>153577.0</v>
      </c>
      <c r="FQ1615" s="1" t="s">
        <v>14118</v>
      </c>
      <c r="FR1615" s="1">
        <v>145932.0</v>
      </c>
      <c r="FU1615" s="1" t="s">
        <v>16208</v>
      </c>
      <c r="FV1615" s="1" t="s">
        <v>200</v>
      </c>
      <c r="FW1615" s="1" t="s">
        <v>290</v>
      </c>
      <c r="FX1615" s="1" t="s">
        <v>246</v>
      </c>
      <c r="FZ1615" s="1" t="s">
        <v>229</v>
      </c>
      <c r="GA1615" s="1" t="s">
        <v>291</v>
      </c>
      <c r="GB1615" s="2">
        <v>41999.0</v>
      </c>
    </row>
    <row r="1616">
      <c r="A1616" s="1">
        <v>401375.0</v>
      </c>
      <c r="B1616" s="1" t="s">
        <v>185</v>
      </c>
      <c r="C1616" s="1" t="str">
        <f>"08710023"</f>
        <v>08710023</v>
      </c>
      <c r="D1616" s="1" t="s">
        <v>186</v>
      </c>
      <c r="F1616" s="1" t="str">
        <f>"134"</f>
        <v>134</v>
      </c>
      <c r="G1616" s="2">
        <v>41875.0</v>
      </c>
      <c r="H1616" s="1">
        <v>427440.0</v>
      </c>
      <c r="I1616" s="1">
        <v>175.0</v>
      </c>
      <c r="J1616" s="1">
        <v>399940.0</v>
      </c>
      <c r="K1616" s="2">
        <v>42049.0</v>
      </c>
      <c r="L1616" s="1">
        <v>175.0</v>
      </c>
      <c r="M1616" s="2">
        <v>42049.0</v>
      </c>
      <c r="N1616" s="1" t="s">
        <v>187</v>
      </c>
      <c r="O1616" s="2">
        <v>42111.0</v>
      </c>
      <c r="P1616" s="1">
        <v>237714.0</v>
      </c>
      <c r="Q1616" s="1">
        <v>25003.0</v>
      </c>
      <c r="S1616" s="1" t="s">
        <v>16209</v>
      </c>
      <c r="T1616" s="1" t="s">
        <v>16210</v>
      </c>
      <c r="U1616" s="1" t="s">
        <v>464</v>
      </c>
      <c r="V1616" s="1" t="s">
        <v>421</v>
      </c>
      <c r="W1616" s="1">
        <v>60134.0</v>
      </c>
      <c r="Y1616" s="1" t="s">
        <v>16211</v>
      </c>
      <c r="Z1616" s="1">
        <v>2014.0</v>
      </c>
      <c r="AA1616" s="1" t="s">
        <v>200</v>
      </c>
      <c r="AB1616" s="1" t="s">
        <v>467</v>
      </c>
      <c r="AC1616" s="1" t="s">
        <v>1596</v>
      </c>
      <c r="AD1616" s="1" t="s">
        <v>1089</v>
      </c>
      <c r="AE1616" s="1" t="s">
        <v>325</v>
      </c>
      <c r="AF1616" s="1" t="s">
        <v>1479</v>
      </c>
      <c r="AG1616" s="1" t="s">
        <v>16105</v>
      </c>
      <c r="AH1616" s="1" t="s">
        <v>4038</v>
      </c>
      <c r="AK1616" s="1">
        <v>9.0</v>
      </c>
      <c r="AL1616" s="1">
        <v>4.0</v>
      </c>
      <c r="AM1616" s="1">
        <v>3.0</v>
      </c>
      <c r="AN1616" s="1">
        <v>1.0</v>
      </c>
      <c r="AO1616" s="1" t="s">
        <v>198</v>
      </c>
      <c r="AP1616" s="1">
        <v>1.0</v>
      </c>
      <c r="AQ1616" s="1" t="s">
        <v>198</v>
      </c>
      <c r="AR1616" s="1" t="s">
        <v>192</v>
      </c>
      <c r="AS1616" s="1" t="s">
        <v>199</v>
      </c>
      <c r="AT1616" s="1">
        <v>3.0</v>
      </c>
      <c r="AV1616" s="1" t="s">
        <v>200</v>
      </c>
      <c r="AW1616" s="1">
        <v>209.74</v>
      </c>
      <c r="AX1616" s="1">
        <v>2013.0</v>
      </c>
      <c r="AY1616" s="1" t="s">
        <v>229</v>
      </c>
      <c r="AZ1616" s="1" t="s">
        <v>192</v>
      </c>
      <c r="BA1616" s="1" t="str">
        <f>"1111427011"</f>
        <v>1111427011</v>
      </c>
      <c r="BC1616" s="1">
        <v>2681.0</v>
      </c>
      <c r="BD1616" s="1">
        <v>401375.0</v>
      </c>
      <c r="BE1616" s="2">
        <v>41875.0</v>
      </c>
      <c r="BF1616" s="2" t="s">
        <v>16212</v>
      </c>
      <c r="BH1616" s="1">
        <v>0.0</v>
      </c>
      <c r="BK1616" s="1" t="s">
        <v>204</v>
      </c>
      <c r="BL1616" s="1" t="str">
        <f t="shared" ref="BL1616:BM1616" si="1059">""</f>
        <v/>
      </c>
      <c r="BM1616" s="1" t="str">
        <f t="shared" si="1059"/>
        <v/>
      </c>
      <c r="BQ1616" s="1">
        <v>304.0</v>
      </c>
      <c r="BR1616" s="1">
        <v>304.0</v>
      </c>
      <c r="BS1616" s="1">
        <v>304.0</v>
      </c>
      <c r="BU1616" s="1" t="s">
        <v>4045</v>
      </c>
      <c r="BV1616" s="1" t="s">
        <v>206</v>
      </c>
      <c r="BW1616" s="1" t="s">
        <v>207</v>
      </c>
      <c r="BX1616" s="1" t="s">
        <v>229</v>
      </c>
      <c r="BY1616" s="1" t="s">
        <v>2442</v>
      </c>
      <c r="BZ1616" s="1" t="s">
        <v>209</v>
      </c>
      <c r="CA1616" s="1" t="s">
        <v>210</v>
      </c>
      <c r="CB1616" s="1" t="s">
        <v>229</v>
      </c>
      <c r="CC1616" s="1" t="s">
        <v>1351</v>
      </c>
      <c r="CD1616" s="1" t="s">
        <v>206</v>
      </c>
      <c r="CE1616" s="1" t="s">
        <v>210</v>
      </c>
      <c r="CF1616" s="1" t="s">
        <v>229</v>
      </c>
      <c r="CG1616" s="1" t="s">
        <v>1417</v>
      </c>
      <c r="CH1616" s="1" t="s">
        <v>209</v>
      </c>
      <c r="CI1616" s="1" t="s">
        <v>210</v>
      </c>
      <c r="CJ1616" s="1" t="s">
        <v>229</v>
      </c>
      <c r="CK1616" s="1" t="s">
        <v>1329</v>
      </c>
      <c r="CL1616" s="1" t="s">
        <v>209</v>
      </c>
      <c r="CM1616" s="1" t="s">
        <v>210</v>
      </c>
      <c r="CN1616" s="1" t="s">
        <v>229</v>
      </c>
      <c r="CO1616" s="1" t="s">
        <v>478</v>
      </c>
      <c r="CP1616" s="1" t="s">
        <v>209</v>
      </c>
      <c r="CQ1616" s="1" t="s">
        <v>210</v>
      </c>
      <c r="CR1616" s="1" t="s">
        <v>229</v>
      </c>
      <c r="CS1616" s="1" t="s">
        <v>2460</v>
      </c>
      <c r="CT1616" s="1" t="s">
        <v>206</v>
      </c>
      <c r="CU1616" s="1" t="s">
        <v>207</v>
      </c>
      <c r="CV1616" s="1" t="s">
        <v>229</v>
      </c>
      <c r="CW1616" s="1" t="s">
        <v>2800</v>
      </c>
      <c r="CX1616" s="1" t="s">
        <v>206</v>
      </c>
      <c r="CY1616" s="1" t="s">
        <v>210</v>
      </c>
      <c r="CZ1616" s="1" t="s">
        <v>229</v>
      </c>
      <c r="DA1616" s="1" t="s">
        <v>192</v>
      </c>
      <c r="DB1616" s="2">
        <v>41927.0</v>
      </c>
      <c r="DC1616" s="1" t="s">
        <v>744</v>
      </c>
      <c r="DD1616" s="1" t="s">
        <v>336</v>
      </c>
      <c r="DE1616" s="1" t="s">
        <v>273</v>
      </c>
      <c r="DF1616" s="1" t="s">
        <v>619</v>
      </c>
      <c r="DG1616" s="1" t="s">
        <v>12862</v>
      </c>
      <c r="DH1616" s="1" t="s">
        <v>1603</v>
      </c>
      <c r="DI1616" s="1" t="s">
        <v>1003</v>
      </c>
      <c r="DJ1616" s="1" t="s">
        <v>222</v>
      </c>
      <c r="DL1616" s="1" t="s">
        <v>223</v>
      </c>
      <c r="DM1616" s="1" t="s">
        <v>929</v>
      </c>
      <c r="DN1616" s="1" t="s">
        <v>16213</v>
      </c>
      <c r="DO1616" s="1" t="s">
        <v>3889</v>
      </c>
      <c r="DP1616" s="1" t="s">
        <v>340</v>
      </c>
      <c r="DQ1616" s="1" t="s">
        <v>228</v>
      </c>
      <c r="DR1616" s="1" t="s">
        <v>229</v>
      </c>
      <c r="DS1616" s="1" t="s">
        <v>591</v>
      </c>
      <c r="DT1616" s="1" t="s">
        <v>16108</v>
      </c>
      <c r="DU1616" s="1" t="s">
        <v>16190</v>
      </c>
      <c r="DV1616" s="1" t="s">
        <v>494</v>
      </c>
      <c r="DW1616" s="1" t="s">
        <v>233</v>
      </c>
      <c r="DX1616" s="1" t="s">
        <v>234</v>
      </c>
      <c r="DY1616" s="1" t="s">
        <v>596</v>
      </c>
      <c r="DZ1616" s="1" t="s">
        <v>343</v>
      </c>
      <c r="EA1616" s="1" t="s">
        <v>344</v>
      </c>
      <c r="EB1616" s="1" t="s">
        <v>597</v>
      </c>
      <c r="EC1616" s="1" t="s">
        <v>237</v>
      </c>
      <c r="ED1616" s="1" t="s">
        <v>407</v>
      </c>
      <c r="EE1616" s="1" t="s">
        <v>493</v>
      </c>
      <c r="EG1616" s="1" t="s">
        <v>494</v>
      </c>
      <c r="EL1616" s="1" t="s">
        <v>584</v>
      </c>
      <c r="EM1616" s="1" t="s">
        <v>206</v>
      </c>
      <c r="EN1616" s="1" t="s">
        <v>210</v>
      </c>
      <c r="EO1616" s="1" t="s">
        <v>229</v>
      </c>
      <c r="EQ1616" s="1" t="s">
        <v>238</v>
      </c>
      <c r="EU1616" s="1" t="s">
        <v>238</v>
      </c>
      <c r="EY1616" s="1" t="s">
        <v>238</v>
      </c>
      <c r="FC1616" s="1" t="s">
        <v>238</v>
      </c>
      <c r="FF1616" s="1" t="s">
        <v>239</v>
      </c>
      <c r="FG1616" s="1" t="s">
        <v>192</v>
      </c>
      <c r="FH1616" s="1" t="s">
        <v>192</v>
      </c>
      <c r="FJ1616" s="1" t="s">
        <v>524</v>
      </c>
      <c r="FK1616" s="1" t="s">
        <v>229</v>
      </c>
      <c r="FL1616" s="1" t="s">
        <v>1614</v>
      </c>
      <c r="FM1616" s="1">
        <v>85399.0</v>
      </c>
      <c r="FN1616" s="1" t="s">
        <v>1615</v>
      </c>
      <c r="FO1616" s="1" t="s">
        <v>1616</v>
      </c>
      <c r="FP1616" s="1">
        <v>189649.0</v>
      </c>
      <c r="FQ1616" s="1" t="s">
        <v>1615</v>
      </c>
      <c r="FU1616" s="1" t="s">
        <v>16214</v>
      </c>
      <c r="FV1616" s="1" t="s">
        <v>200</v>
      </c>
      <c r="FW1616" s="1" t="s">
        <v>16215</v>
      </c>
      <c r="FZ1616" s="1" t="s">
        <v>229</v>
      </c>
      <c r="GA1616" s="1" t="s">
        <v>247</v>
      </c>
      <c r="GB1616" s="2">
        <v>42118.0</v>
      </c>
      <c r="GC1616" s="1" t="s">
        <v>16216</v>
      </c>
    </row>
    <row r="1617">
      <c r="A1617" s="1">
        <v>100500.0</v>
      </c>
      <c r="B1617" s="1" t="s">
        <v>185</v>
      </c>
      <c r="C1617" s="1" t="str">
        <f>"08705146"</f>
        <v>08705146</v>
      </c>
      <c r="D1617" s="1" t="s">
        <v>186</v>
      </c>
      <c r="F1617" s="1" t="str">
        <f>"115"</f>
        <v>115</v>
      </c>
      <c r="G1617" s="2">
        <v>41869.0</v>
      </c>
      <c r="H1617" s="1">
        <v>119900.0</v>
      </c>
      <c r="I1617" s="1">
        <v>184.0</v>
      </c>
      <c r="J1617" s="1">
        <v>109900.0</v>
      </c>
      <c r="K1617" s="2">
        <v>42052.0</v>
      </c>
      <c r="L1617" s="1">
        <v>184.0</v>
      </c>
      <c r="M1617" s="2">
        <v>42052.0</v>
      </c>
      <c r="N1617" s="1" t="s">
        <v>356</v>
      </c>
      <c r="O1617" s="2">
        <v>42104.0</v>
      </c>
      <c r="P1617" s="1">
        <v>237432.0</v>
      </c>
      <c r="Q1617" s="1">
        <v>24809.0</v>
      </c>
      <c r="S1617" s="1">
        <v>330.0</v>
      </c>
      <c r="T1617" s="1" t="s">
        <v>2399</v>
      </c>
      <c r="U1617" s="1" t="s">
        <v>320</v>
      </c>
      <c r="V1617" s="1" t="s">
        <v>610</v>
      </c>
      <c r="W1617" s="1">
        <v>60115.0</v>
      </c>
      <c r="Y1617" s="1" t="s">
        <v>16217</v>
      </c>
      <c r="Z1617" s="1" t="s">
        <v>296</v>
      </c>
      <c r="AA1617" s="1" t="s">
        <v>192</v>
      </c>
      <c r="AB1617" s="1" t="s">
        <v>193</v>
      </c>
      <c r="AD1617" s="1" t="s">
        <v>612</v>
      </c>
      <c r="AE1617" s="1" t="s">
        <v>613</v>
      </c>
      <c r="AF1617" s="1" t="s">
        <v>612</v>
      </c>
      <c r="AH1617" s="1" t="s">
        <v>16218</v>
      </c>
      <c r="AK1617" s="1">
        <v>8.0</v>
      </c>
      <c r="AL1617" s="1">
        <v>4.0</v>
      </c>
      <c r="AM1617" s="1">
        <v>1.0</v>
      </c>
      <c r="AN1617" s="1">
        <v>0.0</v>
      </c>
      <c r="AO1617" s="1" t="s">
        <v>229</v>
      </c>
      <c r="AQ1617" s="1" t="s">
        <v>198</v>
      </c>
      <c r="AR1617" s="1" t="s">
        <v>200</v>
      </c>
      <c r="AS1617" s="1" t="s">
        <v>199</v>
      </c>
      <c r="AT1617" s="1">
        <v>2.0</v>
      </c>
      <c r="AV1617" s="1" t="s">
        <v>200</v>
      </c>
      <c r="AW1617" s="6">
        <v>5391.0</v>
      </c>
      <c r="AX1617" s="1">
        <v>2013.0</v>
      </c>
      <c r="AY1617" s="1" t="s">
        <v>229</v>
      </c>
      <c r="AZ1617" s="1" t="s">
        <v>200</v>
      </c>
      <c r="BA1617" s="1" t="str">
        <f>"0823310006"</f>
        <v>0823310006</v>
      </c>
      <c r="BB1617" s="1" t="s">
        <v>200</v>
      </c>
      <c r="BC1617" s="1">
        <v>1865.0</v>
      </c>
      <c r="BD1617" s="1">
        <v>100500.0</v>
      </c>
      <c r="BE1617" s="2">
        <v>41869.0</v>
      </c>
      <c r="BF1617" s="2" t="s">
        <v>16219</v>
      </c>
      <c r="BH1617" s="1">
        <v>0.0</v>
      </c>
      <c r="BK1617" s="1" t="s">
        <v>204</v>
      </c>
      <c r="BL1617" s="1" t="str">
        <f t="shared" ref="BL1617:BM1617" si="1060">""</f>
        <v/>
      </c>
      <c r="BM1617" s="1" t="str">
        <f t="shared" si="1060"/>
        <v/>
      </c>
      <c r="BQ1617" s="1">
        <v>428.0</v>
      </c>
      <c r="BR1617" s="1">
        <v>428.0</v>
      </c>
      <c r="BS1617" s="1">
        <v>428.0</v>
      </c>
      <c r="BU1617" s="1" t="s">
        <v>212</v>
      </c>
      <c r="BV1617" s="1" t="s">
        <v>206</v>
      </c>
      <c r="BW1617" s="1" t="s">
        <v>210</v>
      </c>
      <c r="BY1617" s="1" t="s">
        <v>584</v>
      </c>
      <c r="BZ1617" s="1" t="s">
        <v>209</v>
      </c>
      <c r="CA1617" s="1" t="s">
        <v>207</v>
      </c>
      <c r="CC1617" s="1" t="s">
        <v>329</v>
      </c>
      <c r="CD1617" s="1" t="s">
        <v>206</v>
      </c>
      <c r="CE1617" s="1" t="s">
        <v>210</v>
      </c>
      <c r="CG1617" s="1" t="s">
        <v>332</v>
      </c>
      <c r="CH1617" s="1" t="s">
        <v>209</v>
      </c>
      <c r="CI1617" s="1" t="s">
        <v>207</v>
      </c>
      <c r="CK1617" s="1" t="s">
        <v>264</v>
      </c>
      <c r="CL1617" s="1" t="s">
        <v>209</v>
      </c>
      <c r="CM1617" s="1" t="s">
        <v>207</v>
      </c>
      <c r="CO1617" s="1" t="s">
        <v>265</v>
      </c>
      <c r="CP1617" s="1" t="s">
        <v>209</v>
      </c>
      <c r="CQ1617" s="1" t="s">
        <v>207</v>
      </c>
      <c r="CS1617" s="1" t="s">
        <v>215</v>
      </c>
      <c r="CT1617" s="1" t="s">
        <v>206</v>
      </c>
      <c r="CU1617" s="1" t="s">
        <v>617</v>
      </c>
      <c r="CW1617" s="1" t="s">
        <v>329</v>
      </c>
      <c r="CX1617" s="1" t="s">
        <v>206</v>
      </c>
      <c r="CY1617" s="1" t="s">
        <v>210</v>
      </c>
      <c r="DA1617" s="1" t="s">
        <v>200</v>
      </c>
      <c r="DC1617" s="1" t="s">
        <v>545</v>
      </c>
      <c r="DE1617" s="1" t="s">
        <v>1905</v>
      </c>
      <c r="DF1617" s="1" t="s">
        <v>4086</v>
      </c>
      <c r="DG1617" s="1" t="s">
        <v>337</v>
      </c>
      <c r="DH1617" s="1" t="s">
        <v>220</v>
      </c>
      <c r="DI1617" s="1" t="s">
        <v>831</v>
      </c>
      <c r="DJ1617" s="1" t="s">
        <v>222</v>
      </c>
      <c r="DK1617" s="1" t="s">
        <v>1142</v>
      </c>
      <c r="DL1617" s="1" t="s">
        <v>223</v>
      </c>
      <c r="DM1617" s="1" t="s">
        <v>229</v>
      </c>
      <c r="DO1617" s="1" t="s">
        <v>590</v>
      </c>
      <c r="DQ1617" s="1" t="s">
        <v>228</v>
      </c>
      <c r="DR1617" s="1" t="s">
        <v>229</v>
      </c>
      <c r="DS1617" s="1" t="s">
        <v>230</v>
      </c>
      <c r="DV1617" s="1" t="s">
        <v>408</v>
      </c>
      <c r="DW1617" s="1" t="s">
        <v>233</v>
      </c>
      <c r="DX1617" s="1" t="s">
        <v>234</v>
      </c>
      <c r="DY1617" s="1" t="s">
        <v>704</v>
      </c>
      <c r="DZ1617" s="1" t="s">
        <v>1611</v>
      </c>
      <c r="EC1617" s="1" t="s">
        <v>237</v>
      </c>
      <c r="ED1617" s="1" t="s">
        <v>407</v>
      </c>
      <c r="EG1617" s="1" t="s">
        <v>408</v>
      </c>
      <c r="EL1617" s="1" t="s">
        <v>375</v>
      </c>
      <c r="EM1617" s="1" t="s">
        <v>206</v>
      </c>
      <c r="EQ1617" s="1" t="s">
        <v>238</v>
      </c>
      <c r="EU1617" s="1" t="s">
        <v>238</v>
      </c>
      <c r="EY1617" s="1" t="s">
        <v>238</v>
      </c>
      <c r="FC1617" s="1" t="s">
        <v>238</v>
      </c>
      <c r="FF1617" s="1" t="s">
        <v>239</v>
      </c>
      <c r="FG1617" s="1" t="s">
        <v>192</v>
      </c>
      <c r="FH1617" s="1" t="s">
        <v>192</v>
      </c>
      <c r="FJ1617" s="1" t="s">
        <v>624</v>
      </c>
      <c r="FK1617" s="1" t="s">
        <v>229</v>
      </c>
      <c r="FL1617" s="1" t="s">
        <v>456</v>
      </c>
      <c r="FM1617" s="1">
        <v>49.0</v>
      </c>
      <c r="FN1617" s="1" t="s">
        <v>457</v>
      </c>
      <c r="FO1617" s="1" t="s">
        <v>7305</v>
      </c>
      <c r="FP1617" s="1">
        <v>7198.0</v>
      </c>
      <c r="FQ1617" s="1" t="s">
        <v>7306</v>
      </c>
      <c r="FU1617" s="1" t="s">
        <v>16220</v>
      </c>
      <c r="FV1617" s="1" t="s">
        <v>200</v>
      </c>
      <c r="FW1617" s="1" t="s">
        <v>290</v>
      </c>
      <c r="FX1617" s="1" t="s">
        <v>655</v>
      </c>
      <c r="FZ1617" s="1" t="s">
        <v>229</v>
      </c>
      <c r="GA1617" s="1" t="s">
        <v>291</v>
      </c>
      <c r="GB1617" s="2">
        <v>42104.0</v>
      </c>
      <c r="GC1617" s="1" t="s">
        <v>16221</v>
      </c>
    </row>
    <row r="1618">
      <c r="A1618" s="1">
        <v>638650.0</v>
      </c>
      <c r="B1618" s="1" t="s">
        <v>185</v>
      </c>
      <c r="C1618" s="1" t="str">
        <f>"08682366"</f>
        <v>08682366</v>
      </c>
      <c r="D1618" s="1" t="s">
        <v>186</v>
      </c>
      <c r="F1618" s="1" t="str">
        <f>"8021"</f>
        <v>8021</v>
      </c>
      <c r="G1618" s="2">
        <v>41844.0</v>
      </c>
      <c r="H1618" s="1">
        <v>629000.0</v>
      </c>
      <c r="I1618" s="1">
        <v>53.0</v>
      </c>
      <c r="J1618" s="1">
        <v>629000.0</v>
      </c>
      <c r="K1618" s="2">
        <v>41855.0</v>
      </c>
      <c r="L1618" s="1">
        <v>12.0</v>
      </c>
      <c r="M1618" s="2">
        <v>41855.0</v>
      </c>
      <c r="N1618" s="1" t="s">
        <v>187</v>
      </c>
      <c r="O1618" s="2">
        <v>41989.0</v>
      </c>
      <c r="P1618" s="1">
        <v>135151.0</v>
      </c>
      <c r="Q1618" s="1">
        <v>84404.0</v>
      </c>
      <c r="S1618" s="1">
        <v>2920.0</v>
      </c>
      <c r="T1618" s="1" t="s">
        <v>15861</v>
      </c>
      <c r="U1618" s="1" t="s">
        <v>189</v>
      </c>
      <c r="V1618" s="1" t="s">
        <v>190</v>
      </c>
      <c r="W1618" s="1">
        <v>60618.0</v>
      </c>
      <c r="Y1618" s="1" t="s">
        <v>16222</v>
      </c>
      <c r="Z1618" s="1">
        <v>2013.0</v>
      </c>
      <c r="AA1618" s="1" t="s">
        <v>200</v>
      </c>
      <c r="AB1618" s="1" t="s">
        <v>193</v>
      </c>
      <c r="AD1618" s="1" t="s">
        <v>194</v>
      </c>
      <c r="AE1618" s="1" t="s">
        <v>195</v>
      </c>
      <c r="AF1618" s="1" t="s">
        <v>2645</v>
      </c>
      <c r="AH1618" s="1" t="s">
        <v>359</v>
      </c>
      <c r="AK1618" s="1">
        <v>8.0</v>
      </c>
      <c r="AL1618" s="1">
        <v>4.0</v>
      </c>
      <c r="AM1618" s="1">
        <v>3.0</v>
      </c>
      <c r="AN1618" s="1">
        <v>1.0</v>
      </c>
      <c r="AO1618" s="1" t="s">
        <v>198</v>
      </c>
      <c r="AQ1618" s="1" t="s">
        <v>472</v>
      </c>
      <c r="AR1618" s="1" t="s">
        <v>192</v>
      </c>
      <c r="AS1618" s="1" t="s">
        <v>199</v>
      </c>
      <c r="AT1618" s="1">
        <v>2.0</v>
      </c>
      <c r="AV1618" s="1" t="s">
        <v>200</v>
      </c>
      <c r="AW1618" s="1" t="s">
        <v>575</v>
      </c>
      <c r="AX1618" s="1">
        <v>2013.0</v>
      </c>
      <c r="AZ1618" s="1" t="s">
        <v>200</v>
      </c>
      <c r="BA1618" s="1" t="str">
        <f>"13252160380000"</f>
        <v>13252160380000</v>
      </c>
      <c r="BC1618" s="1">
        <v>2900.0</v>
      </c>
      <c r="BD1618" s="1">
        <v>638650.0</v>
      </c>
      <c r="BE1618" s="2">
        <v>41844.0</v>
      </c>
      <c r="BF1618" s="2" t="s">
        <v>16223</v>
      </c>
      <c r="BH1618" s="1">
        <v>0.0</v>
      </c>
      <c r="BK1618" s="1" t="s">
        <v>204</v>
      </c>
      <c r="BL1618" s="1" t="str">
        <f>"2925"</f>
        <v>2925</v>
      </c>
      <c r="BM1618" s="1" t="str">
        <f>"0"</f>
        <v>0</v>
      </c>
      <c r="BN1618" s="1">
        <v>2500.0</v>
      </c>
      <c r="BO1618" s="1">
        <v>0.0</v>
      </c>
      <c r="BQ1618" s="1">
        <v>299.0</v>
      </c>
      <c r="BR1618" s="1">
        <v>299.0</v>
      </c>
      <c r="BS1618" s="1">
        <v>299.0</v>
      </c>
      <c r="BU1618" s="1" t="s">
        <v>583</v>
      </c>
      <c r="BV1618" s="1" t="s">
        <v>206</v>
      </c>
      <c r="BW1618" s="1" t="s">
        <v>207</v>
      </c>
      <c r="BX1618" s="1" t="s">
        <v>229</v>
      </c>
      <c r="BY1618" s="1" t="s">
        <v>454</v>
      </c>
      <c r="BZ1618" s="1" t="s">
        <v>209</v>
      </c>
      <c r="CA1618" s="1" t="s">
        <v>210</v>
      </c>
      <c r="CB1618" s="1" t="s">
        <v>229</v>
      </c>
      <c r="CC1618" s="1" t="s">
        <v>205</v>
      </c>
      <c r="CD1618" s="1" t="s">
        <v>206</v>
      </c>
      <c r="CE1618" s="1" t="s">
        <v>207</v>
      </c>
      <c r="CF1618" s="1" t="s">
        <v>229</v>
      </c>
      <c r="CG1618" s="1" t="s">
        <v>647</v>
      </c>
      <c r="CH1618" s="1" t="s">
        <v>209</v>
      </c>
      <c r="CI1618" s="1" t="s">
        <v>210</v>
      </c>
      <c r="CJ1618" s="1" t="s">
        <v>229</v>
      </c>
      <c r="CK1618" s="1" t="s">
        <v>264</v>
      </c>
      <c r="CL1618" s="1" t="s">
        <v>209</v>
      </c>
      <c r="CM1618" s="1" t="s">
        <v>210</v>
      </c>
      <c r="CN1618" s="1" t="s">
        <v>229</v>
      </c>
      <c r="CO1618" s="1" t="s">
        <v>212</v>
      </c>
      <c r="CP1618" s="1" t="s">
        <v>267</v>
      </c>
      <c r="CQ1618" s="1" t="s">
        <v>210</v>
      </c>
      <c r="CR1618" s="1" t="s">
        <v>229</v>
      </c>
      <c r="CS1618" s="1" t="s">
        <v>361</v>
      </c>
      <c r="CT1618" s="1" t="s">
        <v>206</v>
      </c>
      <c r="CU1618" s="1" t="s">
        <v>207</v>
      </c>
      <c r="CV1618" s="1" t="s">
        <v>229</v>
      </c>
      <c r="CW1618" s="1" t="s">
        <v>9032</v>
      </c>
      <c r="CX1618" s="1" t="s">
        <v>267</v>
      </c>
      <c r="CY1618" s="1" t="s">
        <v>588</v>
      </c>
      <c r="CZ1618" s="1" t="s">
        <v>229</v>
      </c>
      <c r="DA1618" s="1" t="s">
        <v>192</v>
      </c>
      <c r="DB1618" s="2">
        <v>41971.0</v>
      </c>
      <c r="DC1618" s="1" t="s">
        <v>744</v>
      </c>
      <c r="DD1618" s="1" t="s">
        <v>731</v>
      </c>
      <c r="DE1618" s="1" t="s">
        <v>273</v>
      </c>
      <c r="DF1618" s="1" t="s">
        <v>219</v>
      </c>
      <c r="DH1618" s="1" t="s">
        <v>307</v>
      </c>
      <c r="DI1618" s="1" t="s">
        <v>9033</v>
      </c>
      <c r="DJ1618" s="1" t="s">
        <v>222</v>
      </c>
      <c r="DL1618" s="1" t="s">
        <v>224</v>
      </c>
      <c r="DM1618" s="1" t="s">
        <v>229</v>
      </c>
      <c r="DP1618" s="1" t="s">
        <v>2380</v>
      </c>
      <c r="DQ1618" s="1" t="s">
        <v>718</v>
      </c>
      <c r="DR1618" s="1" t="s">
        <v>229</v>
      </c>
      <c r="DU1618" s="1" t="s">
        <v>1933</v>
      </c>
      <c r="DV1618" s="1" t="s">
        <v>232</v>
      </c>
      <c r="DW1618" s="1" t="s">
        <v>489</v>
      </c>
      <c r="DX1618" s="1" t="s">
        <v>234</v>
      </c>
      <c r="EC1618" s="1" t="s">
        <v>237</v>
      </c>
      <c r="EM1618" s="1" t="s">
        <v>238</v>
      </c>
      <c r="EQ1618" s="1" t="s">
        <v>238</v>
      </c>
      <c r="EU1618" s="1" t="s">
        <v>238</v>
      </c>
      <c r="EY1618" s="1" t="s">
        <v>238</v>
      </c>
      <c r="FC1618" s="1" t="s">
        <v>238</v>
      </c>
      <c r="FF1618" s="1" t="s">
        <v>239</v>
      </c>
      <c r="FG1618" s="1" t="s">
        <v>192</v>
      </c>
      <c r="FH1618" s="1" t="s">
        <v>192</v>
      </c>
      <c r="FJ1618" s="1" t="s">
        <v>799</v>
      </c>
      <c r="FK1618" s="1" t="s">
        <v>229</v>
      </c>
      <c r="FL1618" s="1" t="s">
        <v>562</v>
      </c>
      <c r="FM1618" s="1">
        <v>16379.0</v>
      </c>
      <c r="FN1618" s="1" t="s">
        <v>563</v>
      </c>
      <c r="FO1618" s="1" t="s">
        <v>9034</v>
      </c>
      <c r="FP1618" s="1">
        <v>181397.0</v>
      </c>
      <c r="FU1618" s="1" t="s">
        <v>16224</v>
      </c>
      <c r="FV1618" s="1" t="s">
        <v>200</v>
      </c>
      <c r="FW1618" s="1" t="s">
        <v>290</v>
      </c>
      <c r="FX1618" s="1" t="s">
        <v>238</v>
      </c>
      <c r="FZ1618" s="1" t="s">
        <v>229</v>
      </c>
      <c r="GA1618" s="1" t="s">
        <v>291</v>
      </c>
      <c r="GB1618" s="2">
        <v>41990.0</v>
      </c>
      <c r="GC1618" s="1" t="s">
        <v>16225</v>
      </c>
    </row>
    <row r="1619">
      <c r="A1619" s="1">
        <v>222000.0</v>
      </c>
      <c r="B1619" s="1" t="s">
        <v>185</v>
      </c>
      <c r="C1619" s="1" t="str">
        <f>"08679932"</f>
        <v>08679932</v>
      </c>
      <c r="D1619" s="1" t="s">
        <v>186</v>
      </c>
      <c r="F1619" s="1" t="str">
        <f>"140"</f>
        <v>140</v>
      </c>
      <c r="G1619" s="2">
        <v>41842.0</v>
      </c>
      <c r="H1619" s="1">
        <v>225000.0</v>
      </c>
      <c r="I1619" s="1">
        <v>147.0</v>
      </c>
      <c r="J1619" s="1">
        <v>225000.0</v>
      </c>
      <c r="K1619" s="2">
        <v>41960.0</v>
      </c>
      <c r="L1619" s="1">
        <v>119.0</v>
      </c>
      <c r="M1619" s="2">
        <v>41960.0</v>
      </c>
      <c r="N1619" s="1" t="s">
        <v>249</v>
      </c>
      <c r="O1619" s="2">
        <v>42011.0</v>
      </c>
      <c r="P1619" s="1">
        <v>8473.0</v>
      </c>
      <c r="Q1619" s="1">
        <v>237.0</v>
      </c>
      <c r="S1619" s="1">
        <v>805.0</v>
      </c>
      <c r="T1619" s="1" t="s">
        <v>16226</v>
      </c>
      <c r="U1619" s="1" t="s">
        <v>1174</v>
      </c>
      <c r="V1619" s="1" t="s">
        <v>4858</v>
      </c>
      <c r="W1619" s="1">
        <v>60140.0</v>
      </c>
      <c r="Y1619" s="1" t="s">
        <v>16227</v>
      </c>
      <c r="Z1619" s="1">
        <v>2011.0</v>
      </c>
      <c r="AA1619" s="1" t="s">
        <v>200</v>
      </c>
      <c r="AB1619" s="1" t="s">
        <v>467</v>
      </c>
      <c r="AD1619" s="1" t="s">
        <v>4860</v>
      </c>
      <c r="AE1619" s="1" t="s">
        <v>325</v>
      </c>
      <c r="AF1619" s="1" t="s">
        <v>3429</v>
      </c>
      <c r="AH1619" s="1" t="s">
        <v>16228</v>
      </c>
      <c r="AK1619" s="1">
        <v>10.0</v>
      </c>
      <c r="AL1619" s="1">
        <v>4.0</v>
      </c>
      <c r="AM1619" s="1">
        <v>2.0</v>
      </c>
      <c r="AN1619" s="1">
        <v>1.0</v>
      </c>
      <c r="AO1619" s="1" t="s">
        <v>198</v>
      </c>
      <c r="AQ1619" s="1" t="s">
        <v>198</v>
      </c>
      <c r="AR1619" s="1" t="s">
        <v>200</v>
      </c>
      <c r="AS1619" s="1" t="s">
        <v>199</v>
      </c>
      <c r="AT1619" s="1">
        <v>2.0</v>
      </c>
      <c r="AV1619" s="1" t="s">
        <v>200</v>
      </c>
      <c r="AW1619" s="1">
        <v>5280.0</v>
      </c>
      <c r="AX1619" s="1">
        <v>2012.0</v>
      </c>
      <c r="AZ1619" s="1" t="s">
        <v>200</v>
      </c>
      <c r="BA1619" s="1" t="str">
        <f>"0233110006"</f>
        <v>0233110006</v>
      </c>
      <c r="BB1619" s="1" t="s">
        <v>200</v>
      </c>
      <c r="BC1619" s="1">
        <v>2912.0</v>
      </c>
      <c r="BD1619" s="1">
        <v>222000.0</v>
      </c>
      <c r="BE1619" s="2">
        <v>41842.0</v>
      </c>
      <c r="BF1619" s="2" t="s">
        <v>16229</v>
      </c>
      <c r="BH1619" s="1">
        <v>62.0</v>
      </c>
      <c r="BK1619" s="1" t="s">
        <v>474</v>
      </c>
      <c r="BL1619" s="1" t="str">
        <f>"13"</f>
        <v>13</v>
      </c>
      <c r="BM1619" s="1" t="str">
        <f>""</f>
        <v/>
      </c>
      <c r="BN1619" s="1">
        <v>41.0</v>
      </c>
      <c r="BQ1619" s="1">
        <v>300.0</v>
      </c>
      <c r="BR1619" s="1">
        <v>300.0</v>
      </c>
      <c r="BS1619" s="1">
        <v>300.0</v>
      </c>
      <c r="BU1619" s="1" t="s">
        <v>1612</v>
      </c>
      <c r="BV1619" s="1" t="s">
        <v>206</v>
      </c>
      <c r="BW1619" s="1" t="s">
        <v>210</v>
      </c>
      <c r="BY1619" s="1" t="s">
        <v>515</v>
      </c>
      <c r="BZ1619" s="1" t="s">
        <v>209</v>
      </c>
      <c r="CA1619" s="1" t="s">
        <v>210</v>
      </c>
      <c r="CC1619" s="1" t="s">
        <v>542</v>
      </c>
      <c r="CD1619" s="1" t="s">
        <v>206</v>
      </c>
      <c r="CG1619" s="1" t="s">
        <v>2082</v>
      </c>
      <c r="CH1619" s="1" t="s">
        <v>209</v>
      </c>
      <c r="CI1619" s="1" t="s">
        <v>210</v>
      </c>
      <c r="CK1619" s="1" t="s">
        <v>454</v>
      </c>
      <c r="CL1619" s="1" t="s">
        <v>209</v>
      </c>
      <c r="CM1619" s="1" t="s">
        <v>210</v>
      </c>
      <c r="CO1619" s="1" t="s">
        <v>212</v>
      </c>
      <c r="CP1619" s="1" t="s">
        <v>209</v>
      </c>
      <c r="CQ1619" s="1" t="s">
        <v>210</v>
      </c>
      <c r="CS1619" s="1" t="s">
        <v>1351</v>
      </c>
      <c r="CT1619" s="1" t="s">
        <v>206</v>
      </c>
      <c r="CU1619" s="1" t="s">
        <v>617</v>
      </c>
      <c r="CW1619" s="1" t="s">
        <v>1350</v>
      </c>
      <c r="CX1619" s="1" t="s">
        <v>206</v>
      </c>
      <c r="CY1619" s="1" t="s">
        <v>210</v>
      </c>
      <c r="DA1619" s="1" t="s">
        <v>200</v>
      </c>
      <c r="DC1619" s="1" t="s">
        <v>1046</v>
      </c>
      <c r="DD1619" s="1" t="s">
        <v>957</v>
      </c>
      <c r="DE1619" s="1" t="s">
        <v>273</v>
      </c>
      <c r="DF1619" s="1" t="s">
        <v>219</v>
      </c>
      <c r="DG1619" s="1" t="s">
        <v>11866</v>
      </c>
      <c r="DH1619" s="1" t="s">
        <v>220</v>
      </c>
      <c r="DI1619" s="1" t="s">
        <v>1318</v>
      </c>
      <c r="DJ1619" s="1" t="s">
        <v>222</v>
      </c>
      <c r="DL1619" s="1" t="s">
        <v>223</v>
      </c>
      <c r="DM1619" s="1" t="s">
        <v>229</v>
      </c>
      <c r="DN1619" s="1" t="s">
        <v>548</v>
      </c>
      <c r="DP1619" s="1" t="s">
        <v>276</v>
      </c>
      <c r="DQ1619" s="1" t="s">
        <v>228</v>
      </c>
      <c r="DR1619" s="1" t="s">
        <v>16230</v>
      </c>
      <c r="DS1619" s="1" t="s">
        <v>230</v>
      </c>
      <c r="DU1619" s="1" t="s">
        <v>1355</v>
      </c>
      <c r="DV1619" s="1" t="s">
        <v>16231</v>
      </c>
      <c r="DW1619" s="1" t="s">
        <v>891</v>
      </c>
      <c r="DX1619" s="1" t="s">
        <v>234</v>
      </c>
      <c r="DY1619" s="1" t="s">
        <v>1189</v>
      </c>
      <c r="DZ1619" s="1" t="s">
        <v>405</v>
      </c>
      <c r="EA1619" s="1" t="s">
        <v>344</v>
      </c>
      <c r="EC1619" s="1" t="s">
        <v>237</v>
      </c>
      <c r="ED1619" s="1" t="s">
        <v>407</v>
      </c>
      <c r="EG1619" s="1" t="s">
        <v>557</v>
      </c>
      <c r="EH1619" s="1" t="s">
        <v>494</v>
      </c>
      <c r="EL1619" s="1" t="s">
        <v>1117</v>
      </c>
      <c r="EM1619" s="1" t="s">
        <v>209</v>
      </c>
      <c r="EN1619" s="1" t="s">
        <v>210</v>
      </c>
      <c r="EP1619" s="1" t="s">
        <v>264</v>
      </c>
      <c r="EQ1619" s="1" t="s">
        <v>206</v>
      </c>
      <c r="ER1619" s="1" t="s">
        <v>210</v>
      </c>
      <c r="EU1619" s="1" t="s">
        <v>238</v>
      </c>
      <c r="EY1619" s="1" t="s">
        <v>238</v>
      </c>
      <c r="FC1619" s="1" t="s">
        <v>238</v>
      </c>
      <c r="FF1619" s="1" t="s">
        <v>239</v>
      </c>
      <c r="FG1619" s="1" t="s">
        <v>192</v>
      </c>
      <c r="FH1619" s="1" t="s">
        <v>192</v>
      </c>
      <c r="FJ1619" s="1" t="s">
        <v>1450</v>
      </c>
      <c r="FK1619" s="1" t="s">
        <v>1586</v>
      </c>
      <c r="FL1619" s="1" t="s">
        <v>2580</v>
      </c>
      <c r="FM1619" s="1">
        <v>23265.0</v>
      </c>
      <c r="FN1619" s="1" t="s">
        <v>2581</v>
      </c>
      <c r="FO1619" s="1" t="s">
        <v>9791</v>
      </c>
      <c r="FP1619" s="1">
        <v>232075.0</v>
      </c>
      <c r="FQ1619" s="1" t="s">
        <v>9792</v>
      </c>
      <c r="FR1619" s="1">
        <v>225730.0</v>
      </c>
      <c r="FS1619" s="1" t="s">
        <v>9793</v>
      </c>
      <c r="FU1619" s="1" t="s">
        <v>16232</v>
      </c>
      <c r="FV1619" s="1" t="s">
        <v>200</v>
      </c>
      <c r="FW1619" s="1" t="s">
        <v>1411</v>
      </c>
      <c r="FZ1619" s="1" t="s">
        <v>632</v>
      </c>
      <c r="GA1619" s="1" t="s">
        <v>291</v>
      </c>
      <c r="GB1619" s="2">
        <v>42011.0</v>
      </c>
      <c r="GC1619" s="1" t="s">
        <v>16233</v>
      </c>
    </row>
    <row r="1620">
      <c r="A1620" s="1">
        <v>183000.0</v>
      </c>
      <c r="B1620" s="1" t="s">
        <v>185</v>
      </c>
      <c r="C1620" s="1" t="str">
        <f>"08680651"</f>
        <v>08680651</v>
      </c>
      <c r="D1620" s="1" t="s">
        <v>186</v>
      </c>
      <c r="F1620" s="1" t="str">
        <f>"8074"</f>
        <v>8074</v>
      </c>
      <c r="G1620" s="2">
        <v>41843.0</v>
      </c>
      <c r="H1620" s="1">
        <v>187000.0</v>
      </c>
      <c r="I1620" s="1">
        <v>85.0</v>
      </c>
      <c r="J1620" s="1">
        <v>183000.0</v>
      </c>
      <c r="K1620" s="2">
        <v>41927.0</v>
      </c>
      <c r="L1620" s="1">
        <v>85.0</v>
      </c>
      <c r="M1620" s="2">
        <v>41927.0</v>
      </c>
      <c r="N1620" s="1" t="s">
        <v>356</v>
      </c>
      <c r="O1620" s="2">
        <v>41984.0</v>
      </c>
      <c r="P1620" s="1">
        <v>240653.0</v>
      </c>
      <c r="Q1620" s="1">
        <v>24931.0</v>
      </c>
      <c r="R1620" s="1">
        <v>3.5</v>
      </c>
      <c r="S1620" s="1">
        <v>10514.0</v>
      </c>
      <c r="T1620" s="1" t="s">
        <v>2643</v>
      </c>
      <c r="U1620" s="1" t="s">
        <v>189</v>
      </c>
      <c r="V1620" s="1" t="s">
        <v>190</v>
      </c>
      <c r="W1620" s="1">
        <v>60655.0</v>
      </c>
      <c r="X1620" s="1">
        <v>2031.0</v>
      </c>
      <c r="Y1620" s="1" t="s">
        <v>16234</v>
      </c>
      <c r="Z1620" s="1">
        <v>1931.0</v>
      </c>
      <c r="AA1620" s="1" t="s">
        <v>192</v>
      </c>
      <c r="AB1620" s="1" t="s">
        <v>193</v>
      </c>
      <c r="AD1620" s="1" t="s">
        <v>194</v>
      </c>
      <c r="AE1620" s="1" t="s">
        <v>195</v>
      </c>
      <c r="AF1620" s="1" t="s">
        <v>659</v>
      </c>
      <c r="AH1620" s="1" t="s">
        <v>16235</v>
      </c>
      <c r="AK1620" s="1">
        <v>8.0</v>
      </c>
      <c r="AL1620" s="1">
        <v>4.0</v>
      </c>
      <c r="AM1620" s="1">
        <v>1.0</v>
      </c>
      <c r="AN1620" s="1">
        <v>0.0</v>
      </c>
      <c r="AO1620" s="1" t="s">
        <v>229</v>
      </c>
      <c r="AQ1620" s="1" t="s">
        <v>1314</v>
      </c>
      <c r="AR1620" s="1" t="s">
        <v>200</v>
      </c>
      <c r="AS1620" s="1" t="s">
        <v>199</v>
      </c>
      <c r="AT1620" s="1">
        <v>2.0</v>
      </c>
      <c r="AV1620" s="1" t="s">
        <v>200</v>
      </c>
      <c r="AW1620" s="1">
        <v>2284.01</v>
      </c>
      <c r="AX1620" s="1">
        <v>2013.0</v>
      </c>
      <c r="AY1620" s="1" t="s">
        <v>387</v>
      </c>
      <c r="AZ1620" s="1" t="s">
        <v>545</v>
      </c>
      <c r="BA1620" s="1" t="str">
        <f>"24131110280000"</f>
        <v>24131110280000</v>
      </c>
      <c r="BB1620" s="1" t="s">
        <v>200</v>
      </c>
      <c r="BC1620" s="1">
        <v>850.0</v>
      </c>
      <c r="BD1620" s="1">
        <v>183000.0</v>
      </c>
      <c r="BE1620" s="2">
        <v>41843.0</v>
      </c>
      <c r="BF1620" s="2" t="s">
        <v>16236</v>
      </c>
      <c r="BH1620" s="1">
        <v>0.0</v>
      </c>
      <c r="BK1620" s="1" t="s">
        <v>204</v>
      </c>
      <c r="BL1620" s="1" t="str">
        <f t="shared" ref="BL1620:BM1620" si="1061">"0"</f>
        <v>0</v>
      </c>
      <c r="BM1620" s="1" t="str">
        <f t="shared" si="1061"/>
        <v>0</v>
      </c>
      <c r="BN1620" s="1">
        <v>3000.0</v>
      </c>
      <c r="BO1620" s="1">
        <v>10514.0</v>
      </c>
      <c r="BQ1620" s="1">
        <v>299.0</v>
      </c>
      <c r="BR1620" s="1">
        <v>299.0</v>
      </c>
      <c r="BS1620" s="1">
        <v>299.0</v>
      </c>
      <c r="BU1620" s="1" t="s">
        <v>363</v>
      </c>
      <c r="BV1620" s="1" t="s">
        <v>206</v>
      </c>
      <c r="BW1620" s="1" t="s">
        <v>207</v>
      </c>
      <c r="BX1620" s="1" t="s">
        <v>1549</v>
      </c>
      <c r="BY1620" s="1" t="s">
        <v>265</v>
      </c>
      <c r="BZ1620" s="1" t="s">
        <v>206</v>
      </c>
      <c r="CA1620" s="1" t="s">
        <v>207</v>
      </c>
      <c r="CC1620" s="1" t="s">
        <v>1760</v>
      </c>
      <c r="CD1620" s="1" t="s">
        <v>206</v>
      </c>
      <c r="CE1620" s="1" t="s">
        <v>207</v>
      </c>
      <c r="CF1620" s="1" t="s">
        <v>1549</v>
      </c>
      <c r="CG1620" s="1" t="s">
        <v>4153</v>
      </c>
      <c r="CH1620" s="1" t="s">
        <v>206</v>
      </c>
      <c r="CI1620" s="1" t="s">
        <v>207</v>
      </c>
      <c r="CK1620" s="1" t="s">
        <v>212</v>
      </c>
      <c r="CL1620" s="1" t="s">
        <v>209</v>
      </c>
      <c r="CM1620" s="1" t="s">
        <v>207</v>
      </c>
      <c r="CO1620" s="1" t="s">
        <v>516</v>
      </c>
      <c r="CP1620" s="1" t="s">
        <v>209</v>
      </c>
      <c r="CQ1620" s="1" t="s">
        <v>207</v>
      </c>
      <c r="CS1620" s="1" t="s">
        <v>543</v>
      </c>
      <c r="CT1620" s="1" t="s">
        <v>206</v>
      </c>
      <c r="CU1620" s="1" t="s">
        <v>588</v>
      </c>
      <c r="CV1620" s="1" t="s">
        <v>1549</v>
      </c>
      <c r="CW1620" s="1" t="s">
        <v>4403</v>
      </c>
      <c r="CX1620" s="1" t="s">
        <v>42</v>
      </c>
      <c r="CY1620" s="1" t="s">
        <v>588</v>
      </c>
      <c r="DA1620" s="1" t="s">
        <v>200</v>
      </c>
      <c r="DC1620" s="1" t="s">
        <v>785</v>
      </c>
      <c r="DD1620" s="1" t="s">
        <v>618</v>
      </c>
      <c r="DE1620" s="1" t="s">
        <v>273</v>
      </c>
      <c r="DF1620" s="1" t="s">
        <v>219</v>
      </c>
      <c r="DG1620" s="1" t="s">
        <v>1160</v>
      </c>
      <c r="DH1620" s="1" t="s">
        <v>365</v>
      </c>
      <c r="DJ1620" s="1" t="s">
        <v>222</v>
      </c>
      <c r="DK1620" s="1" t="s">
        <v>224</v>
      </c>
      <c r="DL1620" s="1" t="s">
        <v>438</v>
      </c>
      <c r="DM1620" s="1" t="s">
        <v>229</v>
      </c>
      <c r="DP1620" s="1" t="s">
        <v>340</v>
      </c>
      <c r="DQ1620" s="1" t="s">
        <v>718</v>
      </c>
      <c r="DR1620" s="1" t="s">
        <v>229</v>
      </c>
      <c r="DS1620" s="1" t="s">
        <v>401</v>
      </c>
      <c r="DV1620" s="1" t="s">
        <v>232</v>
      </c>
      <c r="DW1620" s="1" t="s">
        <v>832</v>
      </c>
      <c r="DX1620" s="1" t="s">
        <v>1287</v>
      </c>
      <c r="DY1620" s="1" t="s">
        <v>5703</v>
      </c>
      <c r="DZ1620" s="1" t="s">
        <v>236</v>
      </c>
      <c r="EA1620" s="1" t="s">
        <v>1075</v>
      </c>
      <c r="EC1620" s="1" t="s">
        <v>645</v>
      </c>
      <c r="EE1620" s="1" t="s">
        <v>1960</v>
      </c>
      <c r="EM1620" s="1" t="s">
        <v>238</v>
      </c>
      <c r="EQ1620" s="1" t="s">
        <v>238</v>
      </c>
      <c r="EU1620" s="1" t="s">
        <v>238</v>
      </c>
      <c r="EY1620" s="1" t="s">
        <v>238</v>
      </c>
      <c r="FC1620" s="1" t="s">
        <v>238</v>
      </c>
      <c r="FF1620" s="1" t="s">
        <v>229</v>
      </c>
      <c r="FG1620" s="1" t="s">
        <v>200</v>
      </c>
      <c r="FH1620" s="1" t="s">
        <v>200</v>
      </c>
      <c r="FJ1620" s="1" t="s">
        <v>16237</v>
      </c>
      <c r="FK1620" s="1" t="s">
        <v>229</v>
      </c>
      <c r="FL1620" s="1" t="s">
        <v>16238</v>
      </c>
      <c r="FM1620" s="1">
        <v>26044.0</v>
      </c>
      <c r="FN1620" s="1" t="s">
        <v>16239</v>
      </c>
      <c r="FO1620" s="1" t="s">
        <v>16240</v>
      </c>
      <c r="FP1620" s="1">
        <v>243534.0</v>
      </c>
      <c r="FU1620" s="1" t="s">
        <v>16241</v>
      </c>
      <c r="FV1620" s="1" t="s">
        <v>200</v>
      </c>
      <c r="FW1620" s="1" t="s">
        <v>16242</v>
      </c>
      <c r="FX1620" s="1" t="s">
        <v>655</v>
      </c>
      <c r="FZ1620" s="1" t="s">
        <v>229</v>
      </c>
      <c r="GA1620" s="1" t="s">
        <v>291</v>
      </c>
      <c r="GB1620" s="2">
        <v>41989.0</v>
      </c>
      <c r="GC1620" s="1" t="s">
        <v>16243</v>
      </c>
    </row>
    <row r="1621">
      <c r="A1621" s="1">
        <v>208000.0</v>
      </c>
      <c r="B1621" s="1" t="s">
        <v>185</v>
      </c>
      <c r="C1621" s="1" t="str">
        <f>"08681823"</f>
        <v>08681823</v>
      </c>
      <c r="D1621" s="1" t="s">
        <v>186</v>
      </c>
      <c r="F1621" s="1" t="str">
        <f>"8015"</f>
        <v>8015</v>
      </c>
      <c r="G1621" s="2">
        <v>41844.0</v>
      </c>
      <c r="H1621" s="1">
        <v>226000.0</v>
      </c>
      <c r="I1621" s="1">
        <v>95.0</v>
      </c>
      <c r="J1621" s="1">
        <v>214900.0</v>
      </c>
      <c r="K1621" s="2">
        <v>41938.0</v>
      </c>
      <c r="L1621" s="1">
        <v>95.0</v>
      </c>
      <c r="M1621" s="2">
        <v>41938.0</v>
      </c>
      <c r="N1621" s="1" t="s">
        <v>356</v>
      </c>
      <c r="O1621" s="2">
        <v>41988.0</v>
      </c>
      <c r="P1621" s="1">
        <v>141165.0</v>
      </c>
      <c r="Q1621" s="1">
        <v>84025.0</v>
      </c>
      <c r="R1621" s="1">
        <v>3000.0</v>
      </c>
      <c r="S1621" s="1">
        <v>5319.0</v>
      </c>
      <c r="T1621" s="1" t="s">
        <v>5356</v>
      </c>
      <c r="U1621" s="1" t="s">
        <v>320</v>
      </c>
      <c r="V1621" s="1" t="s">
        <v>190</v>
      </c>
      <c r="W1621" s="1">
        <v>60641.0</v>
      </c>
      <c r="Y1621" s="1" t="s">
        <v>16244</v>
      </c>
      <c r="Z1621" s="1">
        <v>1923.0</v>
      </c>
      <c r="AA1621" s="1" t="s">
        <v>192</v>
      </c>
      <c r="AB1621" s="1" t="s">
        <v>193</v>
      </c>
      <c r="AD1621" s="1" t="s">
        <v>194</v>
      </c>
      <c r="AE1621" s="1" t="s">
        <v>195</v>
      </c>
      <c r="AF1621" s="1" t="s">
        <v>196</v>
      </c>
      <c r="AH1621" s="1" t="s">
        <v>1501</v>
      </c>
      <c r="AI1621" s="1">
        <v>0.0861</v>
      </c>
      <c r="AK1621" s="1">
        <v>9.0</v>
      </c>
      <c r="AL1621" s="1">
        <v>4.0</v>
      </c>
      <c r="AM1621" s="1">
        <v>1.0</v>
      </c>
      <c r="AN1621" s="1">
        <v>1.0</v>
      </c>
      <c r="AO1621" s="1" t="s">
        <v>229</v>
      </c>
      <c r="AQ1621" s="1" t="s">
        <v>198</v>
      </c>
      <c r="AR1621" s="1" t="s">
        <v>192</v>
      </c>
      <c r="AS1621" s="1" t="s">
        <v>199</v>
      </c>
      <c r="AT1621" s="1">
        <v>2.0</v>
      </c>
      <c r="AV1621" s="1" t="s">
        <v>200</v>
      </c>
      <c r="AW1621" s="1">
        <v>3690.62</v>
      </c>
      <c r="AX1621" s="1">
        <v>2012.0</v>
      </c>
      <c r="AY1621" s="1" t="s">
        <v>1179</v>
      </c>
      <c r="AZ1621" s="1" t="s">
        <v>200</v>
      </c>
      <c r="BA1621" s="1" t="str">
        <f>"13213250140000"</f>
        <v>13213250140000</v>
      </c>
      <c r="BC1621" s="1">
        <v>0.0</v>
      </c>
      <c r="BD1621" s="1">
        <v>208000.0</v>
      </c>
      <c r="BE1621" s="2">
        <v>41844.0</v>
      </c>
      <c r="BF1621" s="2" t="s">
        <v>16245</v>
      </c>
      <c r="BH1621" s="1">
        <v>0.0</v>
      </c>
      <c r="BK1621" s="1" t="s">
        <v>204</v>
      </c>
      <c r="BL1621" s="1" t="str">
        <f>"3350"</f>
        <v>3350</v>
      </c>
      <c r="BM1621" s="1" t="str">
        <f>"0"</f>
        <v>0</v>
      </c>
      <c r="BN1621" s="1">
        <v>5319.0</v>
      </c>
      <c r="BO1621" s="1">
        <v>0.0</v>
      </c>
      <c r="BQ1621" s="1">
        <v>299.0</v>
      </c>
      <c r="BR1621" s="1">
        <v>299.0</v>
      </c>
      <c r="BS1621" s="1">
        <v>299.0</v>
      </c>
      <c r="BU1621" s="1" t="s">
        <v>758</v>
      </c>
      <c r="BV1621" s="1" t="s">
        <v>206</v>
      </c>
      <c r="BW1621" s="1" t="s">
        <v>207</v>
      </c>
      <c r="BY1621" s="1" t="s">
        <v>663</v>
      </c>
      <c r="BZ1621" s="1" t="s">
        <v>206</v>
      </c>
      <c r="CA1621" s="1" t="s">
        <v>207</v>
      </c>
      <c r="CC1621" s="1" t="s">
        <v>329</v>
      </c>
      <c r="CD1621" s="1" t="s">
        <v>206</v>
      </c>
      <c r="CE1621" s="1" t="s">
        <v>207</v>
      </c>
      <c r="CG1621" s="1" t="s">
        <v>265</v>
      </c>
      <c r="CH1621" s="1" t="s">
        <v>206</v>
      </c>
      <c r="CI1621" s="1" t="s">
        <v>207</v>
      </c>
      <c r="CK1621" s="1" t="s">
        <v>12686</v>
      </c>
      <c r="CL1621" s="1" t="s">
        <v>209</v>
      </c>
      <c r="CO1621" s="1" t="s">
        <v>375</v>
      </c>
      <c r="CP1621" s="1" t="s">
        <v>209</v>
      </c>
      <c r="CS1621" s="1" t="s">
        <v>497</v>
      </c>
      <c r="CT1621" s="1" t="s">
        <v>206</v>
      </c>
      <c r="CX1621" s="1" t="s">
        <v>204</v>
      </c>
      <c r="DA1621" s="1" t="s">
        <v>200</v>
      </c>
      <c r="DC1621" s="1" t="s">
        <v>216</v>
      </c>
      <c r="DE1621" s="1" t="s">
        <v>229</v>
      </c>
      <c r="DF1621" s="1" t="s">
        <v>4120</v>
      </c>
      <c r="DH1621" s="1" t="s">
        <v>365</v>
      </c>
      <c r="DJ1621" s="1" t="s">
        <v>222</v>
      </c>
      <c r="DL1621" s="1" t="s">
        <v>858</v>
      </c>
      <c r="DM1621" s="1" t="s">
        <v>229</v>
      </c>
      <c r="DQ1621" s="1" t="s">
        <v>228</v>
      </c>
      <c r="DR1621" s="1" t="s">
        <v>229</v>
      </c>
      <c r="DV1621" s="1" t="s">
        <v>7291</v>
      </c>
      <c r="DW1621" s="1" t="s">
        <v>279</v>
      </c>
      <c r="DX1621" s="1" t="s">
        <v>234</v>
      </c>
      <c r="EC1621" s="1" t="s">
        <v>645</v>
      </c>
      <c r="EG1621" s="1" t="s">
        <v>494</v>
      </c>
      <c r="EH1621" s="1" t="s">
        <v>450</v>
      </c>
      <c r="EL1621" s="1" t="s">
        <v>516</v>
      </c>
      <c r="EM1621" s="1" t="s">
        <v>206</v>
      </c>
      <c r="EP1621" s="1" t="s">
        <v>3905</v>
      </c>
      <c r="EQ1621" s="1" t="s">
        <v>42</v>
      </c>
      <c r="EU1621" s="1" t="s">
        <v>238</v>
      </c>
      <c r="EY1621" s="1" t="s">
        <v>238</v>
      </c>
      <c r="FC1621" s="1" t="s">
        <v>238</v>
      </c>
      <c r="FF1621" s="1" t="s">
        <v>239</v>
      </c>
      <c r="FG1621" s="1" t="s">
        <v>192</v>
      </c>
      <c r="FH1621" s="1" t="s">
        <v>192</v>
      </c>
      <c r="FJ1621" s="1" t="s">
        <v>2427</v>
      </c>
      <c r="FK1621" s="1" t="s">
        <v>229</v>
      </c>
      <c r="FL1621" s="1" t="s">
        <v>16246</v>
      </c>
      <c r="FM1621" s="1">
        <v>25565.0</v>
      </c>
      <c r="FN1621" s="1" t="s">
        <v>16247</v>
      </c>
      <c r="FO1621" s="1" t="s">
        <v>16248</v>
      </c>
      <c r="FP1621" s="1">
        <v>86699.0</v>
      </c>
      <c r="FU1621" s="1" t="s">
        <v>16249</v>
      </c>
      <c r="FV1621" s="1" t="s">
        <v>200</v>
      </c>
      <c r="FW1621" s="1" t="s">
        <v>530</v>
      </c>
      <c r="FX1621" s="1" t="s">
        <v>246</v>
      </c>
      <c r="FZ1621" s="1" t="s">
        <v>229</v>
      </c>
      <c r="GA1621" s="1" t="s">
        <v>291</v>
      </c>
      <c r="GB1621" s="2">
        <v>41988.0</v>
      </c>
      <c r="GC1621" s="1" t="s">
        <v>16250</v>
      </c>
    </row>
    <row r="1622">
      <c r="A1622" s="1">
        <v>254000.0</v>
      </c>
      <c r="B1622" s="1" t="s">
        <v>185</v>
      </c>
      <c r="C1622" s="1" t="str">
        <f>"08691271"</f>
        <v>08691271</v>
      </c>
      <c r="D1622" s="1" t="s">
        <v>186</v>
      </c>
      <c r="F1622" s="1" t="str">
        <f>"545"</f>
        <v>545</v>
      </c>
      <c r="G1622" s="2">
        <v>41854.0</v>
      </c>
      <c r="H1622" s="1">
        <v>329900.0</v>
      </c>
      <c r="I1622" s="1">
        <v>167.0</v>
      </c>
      <c r="J1622" s="1">
        <v>259900.0</v>
      </c>
      <c r="K1622" s="2">
        <v>42018.0</v>
      </c>
      <c r="L1622" s="1">
        <v>167.0</v>
      </c>
      <c r="M1622" s="2">
        <v>42018.0</v>
      </c>
      <c r="N1622" s="1" t="s">
        <v>356</v>
      </c>
      <c r="O1622" s="2">
        <v>42097.0</v>
      </c>
      <c r="P1622" s="1">
        <v>236381.0</v>
      </c>
      <c r="Q1622" s="1">
        <v>60739.0</v>
      </c>
      <c r="R1622" s="1">
        <v>12000.0</v>
      </c>
      <c r="S1622" s="1">
        <v>13921.0</v>
      </c>
      <c r="T1622" s="1" t="s">
        <v>7898</v>
      </c>
      <c r="U1622" s="1" t="s">
        <v>464</v>
      </c>
      <c r="V1622" s="1" t="s">
        <v>3364</v>
      </c>
      <c r="W1622" s="1">
        <v>60545.0</v>
      </c>
      <c r="Y1622" s="1" t="s">
        <v>16251</v>
      </c>
      <c r="Z1622" s="1">
        <v>2004.0</v>
      </c>
      <c r="AA1622" s="1" t="s">
        <v>200</v>
      </c>
      <c r="AB1622" s="1" t="s">
        <v>193</v>
      </c>
      <c r="AD1622" s="1" t="s">
        <v>1089</v>
      </c>
      <c r="AE1622" s="1" t="s">
        <v>849</v>
      </c>
      <c r="AF1622" s="1" t="s">
        <v>3367</v>
      </c>
      <c r="AH1622" s="1" t="s">
        <v>16252</v>
      </c>
      <c r="AI1622" s="1">
        <v>2.99</v>
      </c>
      <c r="AK1622" s="1">
        <v>9.0</v>
      </c>
      <c r="AL1622" s="1">
        <v>4.0</v>
      </c>
      <c r="AM1622" s="1">
        <v>2.0</v>
      </c>
      <c r="AN1622" s="1">
        <v>0.0</v>
      </c>
      <c r="AO1622" s="1" t="s">
        <v>198</v>
      </c>
      <c r="AP1622" s="1">
        <v>2.0</v>
      </c>
      <c r="AQ1622" s="1" t="s">
        <v>257</v>
      </c>
      <c r="AR1622" s="1" t="s">
        <v>200</v>
      </c>
      <c r="AS1622" s="1" t="s">
        <v>199</v>
      </c>
      <c r="AT1622" s="1">
        <v>3.0</v>
      </c>
      <c r="AV1622" s="1" t="s">
        <v>200</v>
      </c>
      <c r="AW1622" s="1">
        <v>7498.32</v>
      </c>
      <c r="AX1622" s="1">
        <v>2013.0</v>
      </c>
      <c r="AZ1622" s="1" t="s">
        <v>200</v>
      </c>
      <c r="BA1622" s="1" t="str">
        <f>"0126300027"</f>
        <v>0126300027</v>
      </c>
      <c r="BC1622" s="1">
        <v>2052.0</v>
      </c>
      <c r="BD1622" s="1">
        <v>254000.0</v>
      </c>
      <c r="BE1622" s="2">
        <v>41852.0</v>
      </c>
      <c r="BF1622" s="2" t="s">
        <v>16253</v>
      </c>
      <c r="BH1622" s="1">
        <v>0.0</v>
      </c>
      <c r="BK1622" s="1" t="s">
        <v>204</v>
      </c>
      <c r="BL1622" s="1" t="str">
        <f t="shared" ref="BL1622:BM1622" si="1062">""</f>
        <v/>
      </c>
      <c r="BM1622" s="1" t="str">
        <f t="shared" si="1062"/>
        <v/>
      </c>
      <c r="BQ1622" s="1">
        <v>88.0</v>
      </c>
      <c r="BR1622" s="1">
        <v>88.0</v>
      </c>
      <c r="BS1622" s="1">
        <v>88.0</v>
      </c>
      <c r="BU1622" s="1" t="s">
        <v>3817</v>
      </c>
      <c r="BV1622" s="1" t="s">
        <v>206</v>
      </c>
      <c r="BW1622" s="1" t="s">
        <v>210</v>
      </c>
      <c r="BY1622" s="1" t="s">
        <v>3538</v>
      </c>
      <c r="BZ1622" s="1" t="s">
        <v>206</v>
      </c>
      <c r="CA1622" s="1" t="s">
        <v>210</v>
      </c>
      <c r="CC1622" s="1" t="s">
        <v>584</v>
      </c>
      <c r="CD1622" s="1" t="s">
        <v>206</v>
      </c>
      <c r="CE1622" s="1" t="s">
        <v>210</v>
      </c>
      <c r="CG1622" s="1" t="s">
        <v>390</v>
      </c>
      <c r="CH1622" s="1" t="s">
        <v>206</v>
      </c>
      <c r="CI1622" s="1" t="s">
        <v>210</v>
      </c>
      <c r="CK1622" s="1" t="s">
        <v>205</v>
      </c>
      <c r="CL1622" s="1" t="s">
        <v>206</v>
      </c>
      <c r="CM1622" s="1" t="s">
        <v>210</v>
      </c>
      <c r="CO1622" s="1" t="s">
        <v>584</v>
      </c>
      <c r="CP1622" s="1" t="s">
        <v>206</v>
      </c>
      <c r="CQ1622" s="1" t="s">
        <v>210</v>
      </c>
      <c r="CS1622" s="1" t="s">
        <v>213</v>
      </c>
      <c r="CT1622" s="1" t="s">
        <v>206</v>
      </c>
      <c r="CU1622" s="1" t="s">
        <v>268</v>
      </c>
      <c r="CW1622" s="1" t="s">
        <v>2675</v>
      </c>
      <c r="CX1622" s="1" t="s">
        <v>267</v>
      </c>
      <c r="CY1622" s="1" t="s">
        <v>210</v>
      </c>
      <c r="DA1622" s="1" t="s">
        <v>200</v>
      </c>
      <c r="DC1622" s="1" t="s">
        <v>481</v>
      </c>
      <c r="DE1622" s="1" t="s">
        <v>273</v>
      </c>
      <c r="DF1622" s="1" t="s">
        <v>219</v>
      </c>
      <c r="DH1622" s="1" t="s">
        <v>856</v>
      </c>
      <c r="DJ1622" s="1" t="s">
        <v>857</v>
      </c>
      <c r="DL1622" s="1" t="s">
        <v>224</v>
      </c>
      <c r="DM1622" s="1" t="s">
        <v>229</v>
      </c>
      <c r="DN1622" s="1" t="s">
        <v>399</v>
      </c>
      <c r="DP1622" s="1" t="s">
        <v>340</v>
      </c>
      <c r="DQ1622" s="1" t="s">
        <v>860</v>
      </c>
      <c r="DR1622" s="1" t="s">
        <v>229</v>
      </c>
      <c r="DS1622" s="1" t="s">
        <v>230</v>
      </c>
      <c r="DV1622" s="1" t="s">
        <v>16254</v>
      </c>
      <c r="DW1622" s="1" t="s">
        <v>233</v>
      </c>
      <c r="DX1622" s="1" t="s">
        <v>234</v>
      </c>
      <c r="DY1622" s="1" t="s">
        <v>4250</v>
      </c>
      <c r="DZ1622" s="1" t="s">
        <v>310</v>
      </c>
      <c r="EA1622" s="1" t="s">
        <v>554</v>
      </c>
      <c r="EC1622" s="1" t="s">
        <v>311</v>
      </c>
      <c r="EE1622" s="1" t="s">
        <v>493</v>
      </c>
      <c r="EG1622" s="1" t="s">
        <v>2971</v>
      </c>
      <c r="EH1622" s="1" t="s">
        <v>556</v>
      </c>
      <c r="EL1622" s="1" t="s">
        <v>924</v>
      </c>
      <c r="EM1622" s="1" t="s">
        <v>267</v>
      </c>
      <c r="EP1622" s="1" t="s">
        <v>214</v>
      </c>
      <c r="EQ1622" s="1" t="s">
        <v>206</v>
      </c>
      <c r="ER1622" s="1" t="s">
        <v>268</v>
      </c>
      <c r="EU1622" s="1" t="s">
        <v>238</v>
      </c>
      <c r="EY1622" s="1" t="s">
        <v>238</v>
      </c>
      <c r="FC1622" s="1" t="s">
        <v>238</v>
      </c>
      <c r="FF1622" s="1" t="s">
        <v>239</v>
      </c>
      <c r="FG1622" s="1" t="s">
        <v>192</v>
      </c>
      <c r="FH1622" s="1" t="s">
        <v>192</v>
      </c>
      <c r="FJ1622" s="1" t="s">
        <v>16255</v>
      </c>
      <c r="FK1622" s="1" t="s">
        <v>557</v>
      </c>
      <c r="FL1622" s="1" t="s">
        <v>1007</v>
      </c>
      <c r="FM1622" s="1">
        <v>22588.0</v>
      </c>
      <c r="FN1622" s="1" t="s">
        <v>1321</v>
      </c>
      <c r="FO1622" s="1" t="s">
        <v>3635</v>
      </c>
      <c r="FP1622" s="1">
        <v>222152.0</v>
      </c>
      <c r="FQ1622" s="1" t="s">
        <v>3636</v>
      </c>
      <c r="FR1622" s="1">
        <v>226878.0</v>
      </c>
      <c r="FS1622" s="1" t="s">
        <v>3637</v>
      </c>
      <c r="FU1622" s="1" t="s">
        <v>16256</v>
      </c>
      <c r="FV1622" s="1" t="s">
        <v>200</v>
      </c>
      <c r="FW1622" s="1" t="s">
        <v>354</v>
      </c>
      <c r="FZ1622" s="1" t="s">
        <v>229</v>
      </c>
      <c r="GA1622" s="1" t="s">
        <v>291</v>
      </c>
      <c r="GB1622" s="2">
        <v>42097.0</v>
      </c>
      <c r="GC1622" s="1" t="s">
        <v>16257</v>
      </c>
    </row>
    <row r="1623">
      <c r="A1623" s="1">
        <v>470000.0</v>
      </c>
      <c r="B1623" s="1" t="s">
        <v>185</v>
      </c>
      <c r="C1623" s="1" t="str">
        <f>"08690358"</f>
        <v>08690358</v>
      </c>
      <c r="D1623" s="1" t="s">
        <v>186</v>
      </c>
      <c r="F1623" s="1" t="str">
        <f t="shared" ref="F1623:F1624" si="1063">"174"</f>
        <v>174</v>
      </c>
      <c r="G1623" s="2">
        <v>41852.0</v>
      </c>
      <c r="H1623" s="1">
        <v>495000.0</v>
      </c>
      <c r="I1623" s="1">
        <v>186.0</v>
      </c>
      <c r="J1623" s="1">
        <v>480000.0</v>
      </c>
      <c r="K1623" s="2">
        <v>42034.0</v>
      </c>
      <c r="L1623" s="1">
        <v>186.0</v>
      </c>
      <c r="M1623" s="2">
        <v>42034.0</v>
      </c>
      <c r="N1623" s="1" t="s">
        <v>187</v>
      </c>
      <c r="O1623" s="2">
        <v>42083.0</v>
      </c>
      <c r="P1623" s="1">
        <v>257000.0</v>
      </c>
      <c r="Q1623" s="1">
        <v>23591.0</v>
      </c>
      <c r="S1623" s="1" t="s">
        <v>16258</v>
      </c>
      <c r="T1623" s="1" t="s">
        <v>16259</v>
      </c>
      <c r="U1623" s="1" t="s">
        <v>464</v>
      </c>
      <c r="V1623" s="1" t="s">
        <v>1200</v>
      </c>
      <c r="W1623" s="1">
        <v>60175.0</v>
      </c>
      <c r="Y1623" s="1" t="s">
        <v>16260</v>
      </c>
      <c r="Z1623" s="1">
        <v>1993.0</v>
      </c>
      <c r="AA1623" s="1" t="s">
        <v>200</v>
      </c>
      <c r="AB1623" s="1" t="s">
        <v>193</v>
      </c>
      <c r="AC1623" s="1" t="s">
        <v>16261</v>
      </c>
      <c r="AD1623" s="1" t="s">
        <v>1203</v>
      </c>
      <c r="AE1623" s="1" t="s">
        <v>325</v>
      </c>
      <c r="AF1623" s="1" t="s">
        <v>1203</v>
      </c>
      <c r="AH1623" s="1" t="s">
        <v>16262</v>
      </c>
      <c r="AI1623" s="1">
        <v>1.25</v>
      </c>
      <c r="AK1623" s="1">
        <v>10.0</v>
      </c>
      <c r="AL1623" s="1">
        <v>4.0</v>
      </c>
      <c r="AM1623" s="1">
        <v>3.0</v>
      </c>
      <c r="AN1623" s="1">
        <v>1.0</v>
      </c>
      <c r="AO1623" s="1" t="s">
        <v>198</v>
      </c>
      <c r="AP1623" s="1">
        <v>1.0</v>
      </c>
      <c r="AQ1623" s="1" t="s">
        <v>198</v>
      </c>
      <c r="AR1623" s="1" t="s">
        <v>200</v>
      </c>
      <c r="AS1623" s="1" t="s">
        <v>199</v>
      </c>
      <c r="AT1623" s="1">
        <v>3.0</v>
      </c>
      <c r="AV1623" s="1" t="s">
        <v>200</v>
      </c>
      <c r="AW1623" s="1">
        <v>12331.78</v>
      </c>
      <c r="AX1623" s="1">
        <v>2013.0</v>
      </c>
      <c r="AY1623" s="1" t="s">
        <v>1179</v>
      </c>
      <c r="AZ1623" s="1" t="s">
        <v>200</v>
      </c>
      <c r="BA1623" s="1" t="str">
        <f>"0917379005"</f>
        <v>0917379005</v>
      </c>
      <c r="BB1623" s="1" t="s">
        <v>200</v>
      </c>
      <c r="BC1623" s="1">
        <v>3199.0</v>
      </c>
      <c r="BD1623" s="1">
        <v>470000.0</v>
      </c>
      <c r="BE1623" s="2">
        <v>41849.0</v>
      </c>
      <c r="BF1623" s="2" t="s">
        <v>16263</v>
      </c>
      <c r="BH1623" s="1">
        <v>150.0</v>
      </c>
      <c r="BK1623" s="1" t="s">
        <v>580</v>
      </c>
      <c r="BL1623" s="1" t="str">
        <f>"5"</f>
        <v>5</v>
      </c>
      <c r="BM1623" s="1" t="str">
        <f>"0"</f>
        <v>0</v>
      </c>
      <c r="BN1623" s="1">
        <v>37.0</v>
      </c>
      <c r="BO1623" s="1">
        <v>0.0</v>
      </c>
      <c r="BQ1623" s="1">
        <v>303.0</v>
      </c>
      <c r="BR1623" s="1">
        <v>303.0</v>
      </c>
      <c r="BS1623" s="1">
        <v>303.0</v>
      </c>
      <c r="BU1623" s="1" t="s">
        <v>390</v>
      </c>
      <c r="BV1623" s="1" t="s">
        <v>206</v>
      </c>
      <c r="BW1623" s="1" t="s">
        <v>210</v>
      </c>
      <c r="BY1623" s="1" t="s">
        <v>784</v>
      </c>
      <c r="BZ1623" s="1" t="s">
        <v>209</v>
      </c>
      <c r="CA1623" s="1" t="s">
        <v>210</v>
      </c>
      <c r="CC1623" s="1" t="s">
        <v>331</v>
      </c>
      <c r="CD1623" s="1" t="s">
        <v>206</v>
      </c>
      <c r="CE1623" s="1" t="s">
        <v>210</v>
      </c>
      <c r="CG1623" s="1" t="s">
        <v>454</v>
      </c>
      <c r="CH1623" s="1" t="s">
        <v>209</v>
      </c>
      <c r="CI1623" s="1" t="s">
        <v>210</v>
      </c>
      <c r="CK1623" s="1" t="s">
        <v>215</v>
      </c>
      <c r="CL1623" s="1" t="s">
        <v>209</v>
      </c>
      <c r="CM1623" s="1" t="s">
        <v>210</v>
      </c>
      <c r="CO1623" s="1" t="s">
        <v>264</v>
      </c>
      <c r="CP1623" s="1" t="s">
        <v>209</v>
      </c>
      <c r="CQ1623" s="1" t="s">
        <v>210</v>
      </c>
      <c r="CS1623" s="1" t="s">
        <v>1427</v>
      </c>
      <c r="CT1623" s="1" t="s">
        <v>206</v>
      </c>
      <c r="CU1623" s="1" t="s">
        <v>207</v>
      </c>
      <c r="CW1623" s="1" t="s">
        <v>854</v>
      </c>
      <c r="CX1623" s="1" t="s">
        <v>206</v>
      </c>
      <c r="CY1623" s="1" t="s">
        <v>210</v>
      </c>
      <c r="DA1623" s="1" t="s">
        <v>200</v>
      </c>
      <c r="DC1623" s="1" t="s">
        <v>435</v>
      </c>
      <c r="DD1623" s="1" t="s">
        <v>272</v>
      </c>
      <c r="DE1623" s="1" t="s">
        <v>273</v>
      </c>
      <c r="DF1623" s="1" t="s">
        <v>219</v>
      </c>
      <c r="DG1623" s="1" t="s">
        <v>1553</v>
      </c>
      <c r="DH1623" s="1" t="s">
        <v>856</v>
      </c>
      <c r="DI1623" s="1" t="s">
        <v>2547</v>
      </c>
      <c r="DJ1623" s="1" t="s">
        <v>857</v>
      </c>
      <c r="DL1623" s="1" t="s">
        <v>223</v>
      </c>
      <c r="DM1623" s="1" t="s">
        <v>229</v>
      </c>
      <c r="DN1623" s="1" t="s">
        <v>399</v>
      </c>
      <c r="DP1623" s="1" t="s">
        <v>340</v>
      </c>
      <c r="DQ1623" s="1" t="s">
        <v>931</v>
      </c>
      <c r="DR1623" s="1" t="s">
        <v>229</v>
      </c>
      <c r="DS1623" s="1" t="s">
        <v>368</v>
      </c>
      <c r="DU1623" s="1" t="s">
        <v>16264</v>
      </c>
      <c r="DV1623" s="1" t="s">
        <v>11325</v>
      </c>
      <c r="DW1623" s="1" t="s">
        <v>764</v>
      </c>
      <c r="DX1623" s="1" t="s">
        <v>234</v>
      </c>
      <c r="DY1623" s="1" t="s">
        <v>765</v>
      </c>
      <c r="DZ1623" s="1" t="s">
        <v>310</v>
      </c>
      <c r="EA1623" s="1" t="s">
        <v>344</v>
      </c>
      <c r="EB1623" s="1" t="s">
        <v>684</v>
      </c>
      <c r="EC1623" s="1" t="s">
        <v>237</v>
      </c>
      <c r="ED1623" s="1" t="s">
        <v>4163</v>
      </c>
      <c r="EE1623" s="1" t="s">
        <v>493</v>
      </c>
      <c r="EG1623" s="1" t="s">
        <v>494</v>
      </c>
      <c r="EH1623" s="1" t="s">
        <v>1121</v>
      </c>
      <c r="EL1623" s="1" t="s">
        <v>331</v>
      </c>
      <c r="EM1623" s="1" t="s">
        <v>206</v>
      </c>
      <c r="EN1623" s="1" t="s">
        <v>207</v>
      </c>
      <c r="EP1623" s="1" t="s">
        <v>543</v>
      </c>
      <c r="EQ1623" s="1" t="s">
        <v>209</v>
      </c>
      <c r="ER1623" s="1" t="s">
        <v>210</v>
      </c>
      <c r="EU1623" s="1" t="s">
        <v>238</v>
      </c>
      <c r="EY1623" s="1" t="s">
        <v>238</v>
      </c>
      <c r="FC1623" s="1" t="s">
        <v>238</v>
      </c>
      <c r="FF1623" s="1" t="s">
        <v>239</v>
      </c>
      <c r="FG1623" s="1" t="s">
        <v>192</v>
      </c>
      <c r="FH1623" s="1" t="s">
        <v>192</v>
      </c>
      <c r="FJ1623" s="1" t="s">
        <v>1419</v>
      </c>
      <c r="FK1623" s="1" t="s">
        <v>229</v>
      </c>
      <c r="FL1623" s="1" t="s">
        <v>10232</v>
      </c>
      <c r="FM1623" s="1">
        <v>370.0</v>
      </c>
      <c r="FN1623" s="1" t="s">
        <v>10233</v>
      </c>
      <c r="FO1623" s="1" t="s">
        <v>10234</v>
      </c>
      <c r="FP1623" s="1">
        <v>1349.0</v>
      </c>
      <c r="FQ1623" s="1" t="s">
        <v>10235</v>
      </c>
      <c r="FU1623" s="1" t="s">
        <v>10236</v>
      </c>
      <c r="FV1623" s="1" t="s">
        <v>200</v>
      </c>
      <c r="FW1623" s="1" t="s">
        <v>290</v>
      </c>
      <c r="FZ1623" s="1" t="s">
        <v>229</v>
      </c>
      <c r="GA1623" s="1" t="s">
        <v>291</v>
      </c>
      <c r="GB1623" s="2">
        <v>42083.0</v>
      </c>
    </row>
    <row r="1624">
      <c r="A1624" s="1">
        <v>343750.0</v>
      </c>
      <c r="B1624" s="1" t="s">
        <v>185</v>
      </c>
      <c r="C1624" s="1" t="str">
        <f>"08683109"</f>
        <v>08683109</v>
      </c>
      <c r="D1624" s="1" t="s">
        <v>186</v>
      </c>
      <c r="F1624" s="1" t="str">
        <f t="shared" si="1063"/>
        <v>174</v>
      </c>
      <c r="G1624" s="2">
        <v>41845.0</v>
      </c>
      <c r="H1624" s="1">
        <v>359000.0</v>
      </c>
      <c r="I1624" s="1">
        <v>135.0</v>
      </c>
      <c r="J1624" s="1">
        <v>350000.0</v>
      </c>
      <c r="K1624" s="2">
        <v>41979.0</v>
      </c>
      <c r="L1624" s="1">
        <v>135.0</v>
      </c>
      <c r="M1624" s="2">
        <v>41979.0</v>
      </c>
      <c r="N1624" s="1" t="s">
        <v>187</v>
      </c>
      <c r="O1624" s="2">
        <v>42027.0</v>
      </c>
      <c r="P1624" s="1">
        <v>221299.0</v>
      </c>
      <c r="Q1624" s="1">
        <v>23591.0</v>
      </c>
      <c r="S1624" s="1">
        <v>511.0</v>
      </c>
      <c r="T1624" s="1" t="s">
        <v>16265</v>
      </c>
      <c r="U1624" s="1" t="s">
        <v>464</v>
      </c>
      <c r="V1624" s="1" t="s">
        <v>1200</v>
      </c>
      <c r="W1624" s="1">
        <v>60174.0</v>
      </c>
      <c r="Y1624" s="1" t="s">
        <v>16266</v>
      </c>
      <c r="Z1624" s="1">
        <v>1968.0</v>
      </c>
      <c r="AA1624" s="1" t="s">
        <v>192</v>
      </c>
      <c r="AB1624" s="1" t="s">
        <v>193</v>
      </c>
      <c r="AC1624" s="1" t="s">
        <v>16267</v>
      </c>
      <c r="AD1624" s="1" t="s">
        <v>1203</v>
      </c>
      <c r="AE1624" s="1" t="s">
        <v>325</v>
      </c>
      <c r="AF1624" s="1" t="s">
        <v>1203</v>
      </c>
      <c r="AH1624" s="1" t="s">
        <v>3256</v>
      </c>
      <c r="AI1624" s="1">
        <v>0.27</v>
      </c>
      <c r="AK1624" s="1">
        <v>10.0</v>
      </c>
      <c r="AL1624" s="1">
        <v>4.0</v>
      </c>
      <c r="AM1624" s="1">
        <v>2.0</v>
      </c>
      <c r="AN1624" s="1">
        <v>1.0</v>
      </c>
      <c r="AO1624" s="1" t="s">
        <v>198</v>
      </c>
      <c r="AP1624" s="1">
        <v>1.0</v>
      </c>
      <c r="AQ1624" s="1" t="s">
        <v>198</v>
      </c>
      <c r="AR1624" s="1" t="s">
        <v>200</v>
      </c>
      <c r="AS1624" s="1" t="s">
        <v>199</v>
      </c>
      <c r="AT1624" s="1">
        <v>2.0</v>
      </c>
      <c r="AV1624" s="1" t="s">
        <v>200</v>
      </c>
      <c r="AW1624" s="1">
        <v>9268.0</v>
      </c>
      <c r="AX1624" s="1">
        <v>2013.0</v>
      </c>
      <c r="AY1624" s="1" t="s">
        <v>387</v>
      </c>
      <c r="AZ1624" s="1" t="s">
        <v>200</v>
      </c>
      <c r="BA1624" s="1" t="str">
        <f>"0926179020"</f>
        <v>0926179020</v>
      </c>
      <c r="BC1624" s="1">
        <v>2937.0</v>
      </c>
      <c r="BD1624" s="1">
        <v>343750.0</v>
      </c>
      <c r="BE1624" s="2">
        <v>41845.0</v>
      </c>
      <c r="BF1624" s="2" t="s">
        <v>16268</v>
      </c>
      <c r="BG1624" s="1" t="s">
        <v>2142</v>
      </c>
      <c r="BH1624" s="1">
        <v>0.0</v>
      </c>
      <c r="BI1624" s="1" t="s">
        <v>2143</v>
      </c>
      <c r="BJ1624" s="1" t="s">
        <v>2144</v>
      </c>
      <c r="BK1624" s="1" t="s">
        <v>204</v>
      </c>
      <c r="BL1624" s="1" t="str">
        <f t="shared" ref="BL1624:BM1624" si="1064">""</f>
        <v/>
      </c>
      <c r="BM1624" s="1" t="str">
        <f t="shared" si="1064"/>
        <v/>
      </c>
      <c r="BQ1624" s="1">
        <v>303.0</v>
      </c>
      <c r="BR1624" s="1">
        <v>303.0</v>
      </c>
      <c r="BS1624" s="1">
        <v>303.0</v>
      </c>
      <c r="BU1624" s="1" t="s">
        <v>7820</v>
      </c>
      <c r="BV1624" s="1" t="s">
        <v>206</v>
      </c>
      <c r="BW1624" s="1" t="s">
        <v>207</v>
      </c>
      <c r="BY1624" s="1" t="s">
        <v>784</v>
      </c>
      <c r="BZ1624" s="1" t="s">
        <v>209</v>
      </c>
      <c r="CA1624" s="1" t="s">
        <v>207</v>
      </c>
      <c r="CC1624" s="1" t="s">
        <v>331</v>
      </c>
      <c r="CD1624" s="1" t="s">
        <v>206</v>
      </c>
      <c r="CE1624" s="1" t="s">
        <v>207</v>
      </c>
      <c r="CG1624" s="1" t="s">
        <v>433</v>
      </c>
      <c r="CH1624" s="1" t="s">
        <v>209</v>
      </c>
      <c r="CI1624" s="1" t="s">
        <v>207</v>
      </c>
      <c r="CK1624" s="1" t="s">
        <v>433</v>
      </c>
      <c r="CL1624" s="1" t="s">
        <v>209</v>
      </c>
      <c r="CM1624" s="1" t="s">
        <v>207</v>
      </c>
      <c r="CO1624" s="1" t="s">
        <v>433</v>
      </c>
      <c r="CP1624" s="1" t="s">
        <v>209</v>
      </c>
      <c r="CQ1624" s="1" t="s">
        <v>207</v>
      </c>
      <c r="CS1624" s="1" t="s">
        <v>1689</v>
      </c>
      <c r="CT1624" s="1" t="s">
        <v>206</v>
      </c>
      <c r="CU1624" s="1" t="s">
        <v>268</v>
      </c>
      <c r="CW1624" s="1" t="s">
        <v>205</v>
      </c>
      <c r="CX1624" s="1" t="s">
        <v>206</v>
      </c>
      <c r="CY1624" s="1" t="s">
        <v>268</v>
      </c>
      <c r="DA1624" s="1" t="s">
        <v>200</v>
      </c>
      <c r="DC1624" s="1" t="s">
        <v>517</v>
      </c>
      <c r="DD1624" s="1" t="s">
        <v>518</v>
      </c>
      <c r="DE1624" s="1" t="s">
        <v>273</v>
      </c>
      <c r="DF1624" s="1" t="s">
        <v>219</v>
      </c>
      <c r="DG1624" s="1" t="s">
        <v>482</v>
      </c>
      <c r="DH1624" s="1" t="s">
        <v>220</v>
      </c>
      <c r="DI1624" s="1" t="s">
        <v>589</v>
      </c>
      <c r="DJ1624" s="1" t="s">
        <v>222</v>
      </c>
      <c r="DL1624" s="1" t="s">
        <v>858</v>
      </c>
      <c r="DM1624" s="1" t="s">
        <v>338</v>
      </c>
      <c r="DO1624" s="1" t="s">
        <v>4060</v>
      </c>
      <c r="DP1624" s="1" t="s">
        <v>340</v>
      </c>
      <c r="DQ1624" s="1" t="s">
        <v>441</v>
      </c>
      <c r="DR1624" s="1" t="s">
        <v>229</v>
      </c>
      <c r="DS1624" s="1" t="s">
        <v>368</v>
      </c>
      <c r="DU1624" s="1" t="s">
        <v>16269</v>
      </c>
      <c r="DV1624" s="1" t="s">
        <v>16270</v>
      </c>
      <c r="DW1624" s="1" t="s">
        <v>444</v>
      </c>
      <c r="DX1624" s="1" t="s">
        <v>234</v>
      </c>
      <c r="DY1624" s="1" t="s">
        <v>704</v>
      </c>
      <c r="DZ1624" s="1" t="s">
        <v>2424</v>
      </c>
      <c r="EA1624" s="1" t="s">
        <v>344</v>
      </c>
      <c r="EB1624" s="1" t="s">
        <v>937</v>
      </c>
      <c r="EC1624" s="1" t="s">
        <v>237</v>
      </c>
      <c r="ED1624" s="1" t="s">
        <v>407</v>
      </c>
      <c r="EG1624" s="1" t="s">
        <v>449</v>
      </c>
      <c r="EH1624" s="1" t="s">
        <v>450</v>
      </c>
      <c r="EI1624" s="1" t="s">
        <v>1102</v>
      </c>
      <c r="EL1624" s="1" t="s">
        <v>497</v>
      </c>
      <c r="EM1624" s="1" t="s">
        <v>206</v>
      </c>
      <c r="EN1624" s="1" t="s">
        <v>268</v>
      </c>
      <c r="EP1624" s="1" t="s">
        <v>1892</v>
      </c>
      <c r="EQ1624" s="1" t="s">
        <v>42</v>
      </c>
      <c r="ER1624" s="1" t="s">
        <v>210</v>
      </c>
      <c r="ET1624" s="1" t="s">
        <v>1229</v>
      </c>
      <c r="EU1624" s="1" t="s">
        <v>206</v>
      </c>
      <c r="EY1624" s="1" t="s">
        <v>238</v>
      </c>
      <c r="FC1624" s="1" t="s">
        <v>238</v>
      </c>
      <c r="FF1624" s="1" t="s">
        <v>239</v>
      </c>
      <c r="FG1624" s="1" t="s">
        <v>192</v>
      </c>
      <c r="FH1624" s="1" t="s">
        <v>192</v>
      </c>
      <c r="FJ1624" s="1" t="s">
        <v>2206</v>
      </c>
      <c r="FK1624" s="1" t="s">
        <v>229</v>
      </c>
      <c r="FL1624" s="1" t="s">
        <v>893</v>
      </c>
      <c r="FM1624" s="1">
        <v>604.0</v>
      </c>
      <c r="FN1624" s="1" t="s">
        <v>894</v>
      </c>
      <c r="FO1624" s="1" t="s">
        <v>2207</v>
      </c>
      <c r="FP1624" s="1">
        <v>681.0</v>
      </c>
      <c r="FQ1624" s="1" t="s">
        <v>2208</v>
      </c>
      <c r="FR1624" s="1">
        <v>824.0</v>
      </c>
      <c r="FS1624" s="1" t="s">
        <v>2209</v>
      </c>
      <c r="FU1624" s="1" t="s">
        <v>16271</v>
      </c>
      <c r="FV1624" s="1" t="s">
        <v>200</v>
      </c>
      <c r="FW1624" s="1" t="s">
        <v>530</v>
      </c>
      <c r="FZ1624" s="1" t="s">
        <v>229</v>
      </c>
      <c r="GA1624" s="1" t="s">
        <v>291</v>
      </c>
      <c r="GB1624" s="2">
        <v>42027.0</v>
      </c>
    </row>
    <row r="1625">
      <c r="A1625" s="1">
        <v>180000.0</v>
      </c>
      <c r="B1625" s="1" t="s">
        <v>185</v>
      </c>
      <c r="C1625" s="1" t="str">
        <f>"08689801"</f>
        <v>08689801</v>
      </c>
      <c r="D1625" s="1" t="s">
        <v>186</v>
      </c>
      <c r="F1625" s="1" t="str">
        <f>"8018"</f>
        <v>8018</v>
      </c>
      <c r="G1625" s="2">
        <v>41852.0</v>
      </c>
      <c r="H1625" s="1">
        <v>195900.0</v>
      </c>
      <c r="I1625" s="1">
        <v>81.0</v>
      </c>
      <c r="J1625" s="1">
        <v>180000.0</v>
      </c>
      <c r="K1625" s="2">
        <v>41932.0</v>
      </c>
      <c r="L1625" s="1">
        <v>81.0</v>
      </c>
      <c r="M1625" s="2">
        <v>41932.0</v>
      </c>
      <c r="N1625" s="1" t="s">
        <v>356</v>
      </c>
      <c r="O1625" s="2">
        <v>41988.0</v>
      </c>
      <c r="P1625" s="1">
        <v>126966.0</v>
      </c>
      <c r="Q1625" s="1">
        <v>10267.0</v>
      </c>
      <c r="S1625" s="1">
        <v>2545.0</v>
      </c>
      <c r="T1625" s="1" t="s">
        <v>16272</v>
      </c>
      <c r="U1625" s="1" t="s">
        <v>189</v>
      </c>
      <c r="V1625" s="1" t="s">
        <v>190</v>
      </c>
      <c r="W1625" s="1">
        <v>60707.0</v>
      </c>
      <c r="Y1625" s="1" t="s">
        <v>16273</v>
      </c>
      <c r="Z1625" s="1">
        <v>1922.0</v>
      </c>
      <c r="AA1625" s="1" t="s">
        <v>192</v>
      </c>
      <c r="AB1625" s="1" t="s">
        <v>193</v>
      </c>
      <c r="AD1625" s="1" t="s">
        <v>194</v>
      </c>
      <c r="AE1625" s="1" t="s">
        <v>195</v>
      </c>
      <c r="AF1625" s="1" t="s">
        <v>196</v>
      </c>
      <c r="AH1625" s="1">
        <v>3360.0</v>
      </c>
      <c r="AI1625" s="1">
        <v>0.0771</v>
      </c>
      <c r="AK1625" s="1">
        <v>9.0</v>
      </c>
      <c r="AL1625" s="1">
        <v>2.0</v>
      </c>
      <c r="AM1625" s="1">
        <v>2.0</v>
      </c>
      <c r="AN1625" s="1">
        <v>0.0</v>
      </c>
      <c r="AO1625" s="1" t="s">
        <v>229</v>
      </c>
      <c r="AP1625" s="1">
        <v>0.0</v>
      </c>
      <c r="AQ1625" s="1" t="s">
        <v>198</v>
      </c>
      <c r="AR1625" s="1" t="s">
        <v>192</v>
      </c>
      <c r="AS1625" s="1" t="s">
        <v>199</v>
      </c>
      <c r="AT1625" s="1">
        <v>2.0</v>
      </c>
      <c r="AV1625" s="1" t="s">
        <v>200</v>
      </c>
      <c r="AW1625" s="1">
        <v>2521.0</v>
      </c>
      <c r="AX1625" s="1">
        <v>2012.0</v>
      </c>
      <c r="AY1625" s="1" t="s">
        <v>387</v>
      </c>
      <c r="AZ1625" s="1" t="s">
        <v>200</v>
      </c>
      <c r="BA1625" s="1" t="str">
        <f>"13303180050000"</f>
        <v>13303180050000</v>
      </c>
      <c r="BB1625" s="1" t="s">
        <v>200</v>
      </c>
      <c r="BC1625" s="1">
        <v>798.0</v>
      </c>
      <c r="BD1625" s="1">
        <v>180000.0</v>
      </c>
      <c r="BE1625" s="2">
        <v>41852.0</v>
      </c>
      <c r="BF1625" s="2" t="s">
        <v>16274</v>
      </c>
      <c r="BH1625" s="1">
        <v>0.0</v>
      </c>
      <c r="BK1625" s="1" t="s">
        <v>204</v>
      </c>
      <c r="BL1625" s="1" t="str">
        <f>"2545"</f>
        <v>2545</v>
      </c>
      <c r="BM1625" s="1" t="str">
        <f>"0"</f>
        <v>0</v>
      </c>
      <c r="BN1625" s="1">
        <v>7100.0</v>
      </c>
      <c r="BO1625" s="1">
        <v>0.0</v>
      </c>
      <c r="BQ1625" s="1">
        <v>299.0</v>
      </c>
      <c r="BR1625" s="1">
        <v>299.0</v>
      </c>
      <c r="BS1625" s="1">
        <v>299.0</v>
      </c>
      <c r="BU1625" s="1" t="s">
        <v>495</v>
      </c>
      <c r="BV1625" s="1" t="s">
        <v>206</v>
      </c>
      <c r="BW1625" s="1" t="s">
        <v>207</v>
      </c>
      <c r="BX1625" s="1" t="s">
        <v>229</v>
      </c>
      <c r="BY1625" s="1" t="s">
        <v>264</v>
      </c>
      <c r="BZ1625" s="1" t="s">
        <v>206</v>
      </c>
      <c r="CA1625" s="1" t="s">
        <v>207</v>
      </c>
      <c r="CB1625" s="1" t="s">
        <v>229</v>
      </c>
      <c r="CC1625" s="1" t="s">
        <v>265</v>
      </c>
      <c r="CD1625" s="1" t="s">
        <v>206</v>
      </c>
      <c r="CE1625" s="1" t="s">
        <v>207</v>
      </c>
      <c r="CF1625" s="1" t="s">
        <v>229</v>
      </c>
      <c r="CG1625" s="1" t="s">
        <v>798</v>
      </c>
      <c r="CH1625" s="1" t="s">
        <v>206</v>
      </c>
      <c r="CI1625" s="1" t="s">
        <v>207</v>
      </c>
      <c r="CJ1625" s="1" t="s">
        <v>229</v>
      </c>
      <c r="CK1625" s="1" t="s">
        <v>2047</v>
      </c>
      <c r="CL1625" s="1" t="s">
        <v>42</v>
      </c>
      <c r="CM1625" s="1" t="s">
        <v>268</v>
      </c>
      <c r="CN1625" s="1" t="s">
        <v>229</v>
      </c>
      <c r="CO1625" s="1" t="s">
        <v>1688</v>
      </c>
      <c r="CP1625" s="1" t="s">
        <v>42</v>
      </c>
      <c r="CQ1625" s="1" t="s">
        <v>268</v>
      </c>
      <c r="CR1625" s="1" t="s">
        <v>229</v>
      </c>
      <c r="CS1625" s="1" t="s">
        <v>269</v>
      </c>
      <c r="CT1625" s="1" t="s">
        <v>206</v>
      </c>
      <c r="CU1625" s="1" t="s">
        <v>268</v>
      </c>
      <c r="CV1625" s="1" t="s">
        <v>229</v>
      </c>
      <c r="CW1625" s="1" t="s">
        <v>265</v>
      </c>
      <c r="CX1625" s="1" t="s">
        <v>42</v>
      </c>
      <c r="CY1625" s="1" t="s">
        <v>268</v>
      </c>
      <c r="CZ1625" s="1" t="s">
        <v>229</v>
      </c>
      <c r="DA1625" s="1" t="s">
        <v>200</v>
      </c>
      <c r="DC1625" s="1" t="s">
        <v>216</v>
      </c>
      <c r="DE1625" s="1" t="s">
        <v>273</v>
      </c>
      <c r="DF1625" s="1" t="s">
        <v>219</v>
      </c>
      <c r="DH1625" s="1" t="s">
        <v>220</v>
      </c>
      <c r="DI1625" s="1" t="s">
        <v>16275</v>
      </c>
      <c r="DJ1625" s="1" t="s">
        <v>222</v>
      </c>
      <c r="DK1625" s="1" t="s">
        <v>223</v>
      </c>
      <c r="DL1625" s="1" t="s">
        <v>224</v>
      </c>
      <c r="DM1625" s="1" t="s">
        <v>225</v>
      </c>
      <c r="DO1625" s="1" t="s">
        <v>4234</v>
      </c>
      <c r="DP1625" s="1" t="s">
        <v>340</v>
      </c>
      <c r="DQ1625" s="1" t="s">
        <v>228</v>
      </c>
      <c r="DR1625" s="1" t="s">
        <v>229</v>
      </c>
      <c r="DS1625" s="1" t="s">
        <v>230</v>
      </c>
      <c r="DV1625" s="1" t="s">
        <v>1407</v>
      </c>
      <c r="DW1625" s="1" t="s">
        <v>279</v>
      </c>
      <c r="DX1625" s="1" t="s">
        <v>234</v>
      </c>
      <c r="DY1625" s="1" t="s">
        <v>704</v>
      </c>
      <c r="DZ1625" s="1" t="s">
        <v>310</v>
      </c>
      <c r="EA1625" s="1" t="s">
        <v>1302</v>
      </c>
      <c r="EC1625" s="1" t="s">
        <v>645</v>
      </c>
      <c r="EE1625" s="1" t="s">
        <v>493</v>
      </c>
      <c r="EG1625" s="1" t="s">
        <v>1407</v>
      </c>
      <c r="EL1625" s="1" t="s">
        <v>266</v>
      </c>
      <c r="EM1625" s="1" t="s">
        <v>42</v>
      </c>
      <c r="EN1625" s="1" t="s">
        <v>268</v>
      </c>
      <c r="EO1625" s="1" t="s">
        <v>229</v>
      </c>
      <c r="EQ1625" s="1" t="s">
        <v>238</v>
      </c>
      <c r="EU1625" s="1" t="s">
        <v>238</v>
      </c>
      <c r="EY1625" s="1" t="s">
        <v>238</v>
      </c>
      <c r="FC1625" s="1" t="s">
        <v>238</v>
      </c>
      <c r="FF1625" s="1" t="s">
        <v>239</v>
      </c>
      <c r="FG1625" s="1" t="s">
        <v>192</v>
      </c>
      <c r="FH1625" s="1" t="s">
        <v>192</v>
      </c>
      <c r="FJ1625" s="1" t="s">
        <v>347</v>
      </c>
      <c r="FK1625" s="1" t="s">
        <v>229</v>
      </c>
      <c r="FL1625" s="1" t="s">
        <v>1289</v>
      </c>
      <c r="FM1625" s="1">
        <v>3810.0</v>
      </c>
      <c r="FN1625" s="1" t="s">
        <v>10757</v>
      </c>
      <c r="FO1625" s="1" t="s">
        <v>10758</v>
      </c>
      <c r="FP1625" s="1">
        <v>39359.0</v>
      </c>
      <c r="FQ1625" s="1" t="s">
        <v>10759</v>
      </c>
      <c r="FT1625" s="1" t="s">
        <v>10760</v>
      </c>
      <c r="FU1625" s="1" t="s">
        <v>10761</v>
      </c>
      <c r="FV1625" s="1" t="s">
        <v>200</v>
      </c>
      <c r="FW1625" s="1" t="s">
        <v>567</v>
      </c>
      <c r="FX1625" s="1" t="s">
        <v>238</v>
      </c>
      <c r="FZ1625" s="1" t="s">
        <v>229</v>
      </c>
      <c r="GA1625" s="1" t="s">
        <v>291</v>
      </c>
      <c r="GB1625" s="2">
        <v>41989.0</v>
      </c>
      <c r="GC1625" s="1" t="s">
        <v>10762</v>
      </c>
    </row>
    <row r="1626">
      <c r="A1626" s="1">
        <v>252000.0</v>
      </c>
      <c r="B1626" s="1" t="s">
        <v>185</v>
      </c>
      <c r="C1626" s="1" t="str">
        <f>"08683829"</f>
        <v>08683829</v>
      </c>
      <c r="D1626" s="1" t="s">
        <v>186</v>
      </c>
      <c r="F1626" s="1" t="str">
        <f>"123"</f>
        <v>123</v>
      </c>
      <c r="G1626" s="2">
        <v>41845.0</v>
      </c>
      <c r="H1626" s="1">
        <v>289000.0</v>
      </c>
      <c r="I1626" s="1">
        <v>194.0</v>
      </c>
      <c r="J1626" s="1">
        <v>264999.0</v>
      </c>
      <c r="K1626" s="2">
        <v>42037.0</v>
      </c>
      <c r="L1626" s="1">
        <v>194.0</v>
      </c>
      <c r="M1626" s="2">
        <v>42037.0</v>
      </c>
      <c r="N1626" s="1" t="s">
        <v>356</v>
      </c>
      <c r="O1626" s="2">
        <v>42093.0</v>
      </c>
      <c r="P1626" s="1">
        <v>70394.0</v>
      </c>
      <c r="Q1626" s="1">
        <v>7450.0</v>
      </c>
      <c r="S1626" s="1" t="s">
        <v>16276</v>
      </c>
      <c r="T1626" s="1" t="s">
        <v>16277</v>
      </c>
      <c r="U1626" s="1" t="s">
        <v>4857</v>
      </c>
      <c r="V1626" s="1" t="s">
        <v>465</v>
      </c>
      <c r="W1626" s="1">
        <v>60124.0</v>
      </c>
      <c r="Y1626" s="1" t="s">
        <v>16278</v>
      </c>
      <c r="Z1626" s="1">
        <v>1989.0</v>
      </c>
      <c r="AA1626" s="1" t="s">
        <v>200</v>
      </c>
      <c r="AB1626" s="1" t="s">
        <v>193</v>
      </c>
      <c r="AC1626" s="1" t="s">
        <v>16279</v>
      </c>
      <c r="AD1626" s="1" t="s">
        <v>1089</v>
      </c>
      <c r="AE1626" s="1" t="s">
        <v>325</v>
      </c>
      <c r="AF1626" s="1" t="s">
        <v>572</v>
      </c>
      <c r="AH1626" s="1" t="s">
        <v>16280</v>
      </c>
      <c r="AI1626" s="1">
        <v>1.18</v>
      </c>
      <c r="AK1626" s="1">
        <v>10.0</v>
      </c>
      <c r="AL1626" s="1">
        <v>4.0</v>
      </c>
      <c r="AM1626" s="1">
        <v>2.0</v>
      </c>
      <c r="AN1626" s="1">
        <v>1.0</v>
      </c>
      <c r="AO1626" s="1" t="s">
        <v>198</v>
      </c>
      <c r="AP1626" s="1">
        <v>1.0</v>
      </c>
      <c r="AQ1626" s="1" t="s">
        <v>1314</v>
      </c>
      <c r="AR1626" s="1" t="s">
        <v>200</v>
      </c>
      <c r="AS1626" s="1" t="s">
        <v>199</v>
      </c>
      <c r="AT1626" s="1">
        <v>2.0</v>
      </c>
      <c r="AV1626" s="1" t="s">
        <v>200</v>
      </c>
      <c r="AW1626" s="1">
        <v>8893.6</v>
      </c>
      <c r="AX1626" s="1">
        <v>2013.0</v>
      </c>
      <c r="AY1626" s="1" t="s">
        <v>387</v>
      </c>
      <c r="AZ1626" s="1" t="s">
        <v>200</v>
      </c>
      <c r="BA1626" s="1" t="str">
        <f>"0501276005"</f>
        <v>0501276005</v>
      </c>
      <c r="BC1626" s="1">
        <v>0.0</v>
      </c>
      <c r="BD1626" s="1">
        <v>252000.0</v>
      </c>
      <c r="BE1626" s="2">
        <v>41844.0</v>
      </c>
      <c r="BF1626" s="2" t="s">
        <v>16281</v>
      </c>
      <c r="BG1626" s="1" t="s">
        <v>1974</v>
      </c>
      <c r="BH1626" s="1">
        <v>0.0</v>
      </c>
      <c r="BI1626" s="1" t="s">
        <v>578</v>
      </c>
      <c r="BJ1626" s="1" t="s">
        <v>579</v>
      </c>
      <c r="BK1626" s="1" t="s">
        <v>204</v>
      </c>
      <c r="BL1626" s="1" t="str">
        <f t="shared" ref="BL1626:BM1626" si="1065">""</f>
        <v/>
      </c>
      <c r="BM1626" s="1" t="str">
        <f t="shared" si="1065"/>
        <v/>
      </c>
      <c r="BQ1626" s="1">
        <v>301.0</v>
      </c>
      <c r="BR1626" s="1">
        <v>301.0</v>
      </c>
      <c r="BS1626" s="1">
        <v>301.0</v>
      </c>
      <c r="BU1626" s="1" t="s">
        <v>639</v>
      </c>
      <c r="BV1626" s="1" t="s">
        <v>206</v>
      </c>
      <c r="BW1626" s="1" t="s">
        <v>301</v>
      </c>
      <c r="BY1626" s="1" t="s">
        <v>214</v>
      </c>
      <c r="BZ1626" s="1" t="s">
        <v>209</v>
      </c>
      <c r="CA1626" s="1" t="s">
        <v>301</v>
      </c>
      <c r="CD1626" s="1" t="s">
        <v>204</v>
      </c>
      <c r="CG1626" s="1" t="s">
        <v>497</v>
      </c>
      <c r="CH1626" s="1" t="s">
        <v>209</v>
      </c>
      <c r="CI1626" s="1" t="s">
        <v>301</v>
      </c>
      <c r="CK1626" s="1" t="s">
        <v>266</v>
      </c>
      <c r="CL1626" s="1" t="s">
        <v>209</v>
      </c>
      <c r="CM1626" s="1" t="s">
        <v>301</v>
      </c>
      <c r="CO1626" s="1" t="s">
        <v>392</v>
      </c>
      <c r="CP1626" s="1" t="s">
        <v>209</v>
      </c>
      <c r="CQ1626" s="1" t="s">
        <v>301</v>
      </c>
      <c r="CS1626" s="1" t="s">
        <v>392</v>
      </c>
      <c r="CT1626" s="1" t="s">
        <v>206</v>
      </c>
      <c r="CU1626" s="1" t="s">
        <v>268</v>
      </c>
      <c r="CW1626" s="1" t="s">
        <v>544</v>
      </c>
      <c r="CX1626" s="1" t="s">
        <v>206</v>
      </c>
      <c r="CY1626" s="1" t="s">
        <v>301</v>
      </c>
      <c r="DA1626" s="1" t="s">
        <v>200</v>
      </c>
      <c r="DC1626" s="1" t="s">
        <v>435</v>
      </c>
      <c r="DD1626" s="1" t="s">
        <v>518</v>
      </c>
      <c r="DE1626" s="1" t="s">
        <v>1810</v>
      </c>
      <c r="DF1626" s="1" t="s">
        <v>219</v>
      </c>
      <c r="DH1626" s="1" t="s">
        <v>856</v>
      </c>
      <c r="DI1626" s="1" t="s">
        <v>2547</v>
      </c>
      <c r="DJ1626" s="1" t="s">
        <v>857</v>
      </c>
      <c r="DL1626" s="1" t="s">
        <v>858</v>
      </c>
      <c r="DM1626" s="1" t="s">
        <v>338</v>
      </c>
      <c r="DQ1626" s="1" t="s">
        <v>931</v>
      </c>
      <c r="DR1626" s="1" t="s">
        <v>229</v>
      </c>
      <c r="DU1626" s="1" t="s">
        <v>2677</v>
      </c>
      <c r="DV1626" s="1" t="s">
        <v>16282</v>
      </c>
      <c r="DW1626" s="1" t="s">
        <v>964</v>
      </c>
      <c r="DX1626" s="1" t="s">
        <v>234</v>
      </c>
      <c r="DY1626" s="1" t="s">
        <v>342</v>
      </c>
      <c r="DZ1626" s="1" t="s">
        <v>3061</v>
      </c>
      <c r="EC1626" s="1" t="s">
        <v>237</v>
      </c>
      <c r="EG1626" s="1" t="s">
        <v>449</v>
      </c>
      <c r="EH1626" s="1" t="s">
        <v>451</v>
      </c>
      <c r="EI1626" s="1" t="s">
        <v>494</v>
      </c>
      <c r="EL1626" s="1" t="s">
        <v>266</v>
      </c>
      <c r="EM1626" s="1" t="s">
        <v>206</v>
      </c>
      <c r="EN1626" s="1" t="s">
        <v>268</v>
      </c>
      <c r="EP1626" s="1" t="s">
        <v>333</v>
      </c>
      <c r="EQ1626" s="1" t="s">
        <v>206</v>
      </c>
      <c r="ER1626" s="1" t="s">
        <v>301</v>
      </c>
      <c r="ET1626" s="1" t="s">
        <v>758</v>
      </c>
      <c r="EU1626" s="1" t="s">
        <v>206</v>
      </c>
      <c r="EV1626" s="1" t="s">
        <v>301</v>
      </c>
      <c r="EY1626" s="1" t="s">
        <v>238</v>
      </c>
      <c r="FC1626" s="1" t="s">
        <v>238</v>
      </c>
      <c r="FF1626" s="1" t="s">
        <v>239</v>
      </c>
      <c r="FG1626" s="1" t="s">
        <v>192</v>
      </c>
      <c r="FH1626" s="1" t="s">
        <v>192</v>
      </c>
      <c r="FJ1626" s="1" t="s">
        <v>2206</v>
      </c>
      <c r="FK1626" s="1" t="s">
        <v>348</v>
      </c>
      <c r="FL1626" s="1" t="s">
        <v>1107</v>
      </c>
      <c r="FM1626" s="1">
        <v>1891.0</v>
      </c>
      <c r="FN1626" s="1" t="s">
        <v>1108</v>
      </c>
      <c r="FO1626" s="1" t="s">
        <v>10731</v>
      </c>
      <c r="FP1626" s="1">
        <v>28227.0</v>
      </c>
      <c r="FQ1626" s="1" t="s">
        <v>1108</v>
      </c>
      <c r="FS1626" s="1" t="s">
        <v>10732</v>
      </c>
      <c r="FU1626" s="1" t="s">
        <v>16283</v>
      </c>
      <c r="FV1626" s="1" t="s">
        <v>200</v>
      </c>
      <c r="FW1626" s="1" t="s">
        <v>290</v>
      </c>
      <c r="FZ1626" s="1" t="s">
        <v>229</v>
      </c>
      <c r="GA1626" s="1" t="s">
        <v>291</v>
      </c>
      <c r="GB1626" s="2">
        <v>42097.0</v>
      </c>
    </row>
    <row r="1627">
      <c r="A1627" s="1">
        <v>400500.0</v>
      </c>
      <c r="B1627" s="1" t="s">
        <v>185</v>
      </c>
      <c r="C1627" s="1" t="str">
        <f>"08690492"</f>
        <v>08690492</v>
      </c>
      <c r="D1627" s="1" t="s">
        <v>186</v>
      </c>
      <c r="F1627" s="1" t="str">
        <f>"174"</f>
        <v>174</v>
      </c>
      <c r="G1627" s="2">
        <v>41852.0</v>
      </c>
      <c r="H1627" s="1">
        <v>429900.0</v>
      </c>
      <c r="I1627" s="1">
        <v>56.0</v>
      </c>
      <c r="J1627" s="1">
        <v>429900.0</v>
      </c>
      <c r="K1627" s="2">
        <v>41907.0</v>
      </c>
      <c r="L1627" s="1">
        <v>56.0</v>
      </c>
      <c r="M1627" s="2">
        <v>41907.0</v>
      </c>
      <c r="N1627" s="1" t="s">
        <v>187</v>
      </c>
      <c r="O1627" s="2">
        <v>42019.0</v>
      </c>
      <c r="P1627" s="1">
        <v>237876.0</v>
      </c>
      <c r="Q1627" s="1">
        <v>23120.0</v>
      </c>
      <c r="S1627" s="1" t="s">
        <v>16284</v>
      </c>
      <c r="T1627" s="1" t="s">
        <v>16285</v>
      </c>
      <c r="U1627" s="1" t="s">
        <v>1174</v>
      </c>
      <c r="V1627" s="1" t="s">
        <v>1200</v>
      </c>
      <c r="W1627" s="1">
        <v>60175.0</v>
      </c>
      <c r="Y1627" s="1" t="s">
        <v>16286</v>
      </c>
      <c r="Z1627" s="1">
        <v>1987.0</v>
      </c>
      <c r="AA1627" s="1" t="s">
        <v>200</v>
      </c>
      <c r="AB1627" s="1" t="s">
        <v>193</v>
      </c>
      <c r="AC1627" s="1" t="s">
        <v>16287</v>
      </c>
      <c r="AD1627" s="1" t="s">
        <v>1089</v>
      </c>
      <c r="AE1627" s="1" t="s">
        <v>325</v>
      </c>
      <c r="AF1627" s="1" t="s">
        <v>1632</v>
      </c>
      <c r="AH1627" s="1" t="s">
        <v>16288</v>
      </c>
      <c r="AI1627" s="1">
        <v>2.71</v>
      </c>
      <c r="AK1627" s="1">
        <v>10.0</v>
      </c>
      <c r="AL1627" s="1">
        <v>4.0</v>
      </c>
      <c r="AM1627" s="1">
        <v>2.0</v>
      </c>
      <c r="AN1627" s="1">
        <v>1.0</v>
      </c>
      <c r="AO1627" s="1" t="s">
        <v>198</v>
      </c>
      <c r="AP1627" s="1">
        <v>1.0</v>
      </c>
      <c r="AQ1627" s="1" t="s">
        <v>198</v>
      </c>
      <c r="AR1627" s="1" t="s">
        <v>200</v>
      </c>
      <c r="AS1627" s="1" t="s">
        <v>199</v>
      </c>
      <c r="AT1627" s="1">
        <v>2.0</v>
      </c>
      <c r="AV1627" s="1" t="s">
        <v>200</v>
      </c>
      <c r="AW1627" s="1">
        <v>9607.2</v>
      </c>
      <c r="AX1627" s="1">
        <v>2013.0</v>
      </c>
      <c r="AY1627" s="1" t="s">
        <v>387</v>
      </c>
      <c r="AZ1627" s="1" t="s">
        <v>200</v>
      </c>
      <c r="BA1627" s="1" t="str">
        <f>"0822176002"</f>
        <v>0822176002</v>
      </c>
      <c r="BC1627" s="1">
        <v>3590.0</v>
      </c>
      <c r="BD1627" s="1">
        <v>400500.0</v>
      </c>
      <c r="BE1627" s="2">
        <v>41852.0</v>
      </c>
      <c r="BF1627" s="2" t="s">
        <v>16289</v>
      </c>
      <c r="BH1627" s="1">
        <v>0.0</v>
      </c>
      <c r="BK1627" s="1" t="s">
        <v>204</v>
      </c>
      <c r="BL1627" s="1" t="str">
        <f t="shared" ref="BL1627:BM1627" si="1066">""</f>
        <v/>
      </c>
      <c r="BM1627" s="1" t="str">
        <f t="shared" si="1066"/>
        <v/>
      </c>
      <c r="BQ1627" s="1">
        <v>303.0</v>
      </c>
      <c r="BR1627" s="1">
        <v>303.0</v>
      </c>
      <c r="BS1627" s="1">
        <v>303.0</v>
      </c>
      <c r="BU1627" s="1" t="s">
        <v>208</v>
      </c>
      <c r="BV1627" s="1" t="s">
        <v>206</v>
      </c>
      <c r="BW1627" s="1" t="s">
        <v>210</v>
      </c>
      <c r="BY1627" s="1" t="s">
        <v>616</v>
      </c>
      <c r="BZ1627" s="1" t="s">
        <v>209</v>
      </c>
      <c r="CA1627" s="1" t="s">
        <v>210</v>
      </c>
      <c r="CC1627" s="1" t="s">
        <v>262</v>
      </c>
      <c r="CD1627" s="1" t="s">
        <v>206</v>
      </c>
      <c r="CE1627" s="1" t="s">
        <v>210</v>
      </c>
      <c r="CG1627" s="1" t="s">
        <v>215</v>
      </c>
      <c r="CH1627" s="1" t="s">
        <v>209</v>
      </c>
      <c r="CI1627" s="1" t="s">
        <v>210</v>
      </c>
      <c r="CK1627" s="1" t="s">
        <v>497</v>
      </c>
      <c r="CL1627" s="1" t="s">
        <v>209</v>
      </c>
      <c r="CM1627" s="1" t="s">
        <v>207</v>
      </c>
      <c r="CO1627" s="1" t="s">
        <v>215</v>
      </c>
      <c r="CP1627" s="1" t="s">
        <v>209</v>
      </c>
      <c r="CQ1627" s="1" t="s">
        <v>210</v>
      </c>
      <c r="CS1627" s="1" t="s">
        <v>333</v>
      </c>
      <c r="CT1627" s="1" t="s">
        <v>206</v>
      </c>
      <c r="CU1627" s="1" t="s">
        <v>207</v>
      </c>
      <c r="CW1627" s="1" t="s">
        <v>1535</v>
      </c>
      <c r="CX1627" s="1" t="s">
        <v>206</v>
      </c>
      <c r="CY1627" s="1" t="s">
        <v>207</v>
      </c>
      <c r="DA1627" s="1" t="s">
        <v>200</v>
      </c>
      <c r="DC1627" s="1" t="s">
        <v>305</v>
      </c>
      <c r="DD1627" s="1" t="s">
        <v>436</v>
      </c>
      <c r="DE1627" s="1" t="s">
        <v>273</v>
      </c>
      <c r="DF1627" s="1" t="s">
        <v>219</v>
      </c>
      <c r="DH1627" s="1" t="s">
        <v>856</v>
      </c>
      <c r="DI1627" s="1" t="s">
        <v>1141</v>
      </c>
      <c r="DJ1627" s="1" t="s">
        <v>857</v>
      </c>
      <c r="DL1627" s="1" t="s">
        <v>858</v>
      </c>
      <c r="DM1627" s="1" t="s">
        <v>229</v>
      </c>
      <c r="DN1627" s="1" t="s">
        <v>399</v>
      </c>
      <c r="DO1627" s="1" t="s">
        <v>859</v>
      </c>
      <c r="DP1627" s="1" t="s">
        <v>340</v>
      </c>
      <c r="DQ1627" s="1" t="s">
        <v>860</v>
      </c>
      <c r="DR1627" s="1" t="s">
        <v>229</v>
      </c>
      <c r="DU1627" s="1" t="s">
        <v>16290</v>
      </c>
      <c r="DV1627" s="1" t="s">
        <v>16291</v>
      </c>
      <c r="DW1627" s="1" t="s">
        <v>1820</v>
      </c>
      <c r="DX1627" s="1" t="s">
        <v>280</v>
      </c>
      <c r="DY1627" s="1" t="s">
        <v>16292</v>
      </c>
      <c r="DZ1627" s="1" t="s">
        <v>766</v>
      </c>
      <c r="EB1627" s="1" t="s">
        <v>345</v>
      </c>
      <c r="EC1627" s="1" t="s">
        <v>237</v>
      </c>
      <c r="EG1627" s="1" t="s">
        <v>450</v>
      </c>
      <c r="EH1627" s="1" t="s">
        <v>408</v>
      </c>
      <c r="EI1627" s="1" t="s">
        <v>1491</v>
      </c>
      <c r="EL1627" s="1" t="s">
        <v>4710</v>
      </c>
      <c r="EM1627" s="1" t="s">
        <v>1697</v>
      </c>
      <c r="EN1627" s="1" t="s">
        <v>588</v>
      </c>
      <c r="EP1627" s="1" t="s">
        <v>215</v>
      </c>
      <c r="EQ1627" s="1" t="s">
        <v>206</v>
      </c>
      <c r="ER1627" s="1" t="s">
        <v>1065</v>
      </c>
      <c r="ET1627" s="1" t="s">
        <v>208</v>
      </c>
      <c r="EU1627" s="1" t="s">
        <v>267</v>
      </c>
      <c r="EV1627" s="1" t="s">
        <v>588</v>
      </c>
      <c r="EY1627" s="1" t="s">
        <v>238</v>
      </c>
      <c r="FC1627" s="1" t="s">
        <v>238</v>
      </c>
      <c r="FF1627" s="1" t="s">
        <v>239</v>
      </c>
      <c r="FG1627" s="1" t="s">
        <v>192</v>
      </c>
      <c r="FH1627" s="1" t="s">
        <v>192</v>
      </c>
      <c r="FJ1627" s="1" t="s">
        <v>498</v>
      </c>
      <c r="FK1627" s="1" t="s">
        <v>229</v>
      </c>
      <c r="FL1627" s="1" t="s">
        <v>1358</v>
      </c>
      <c r="FM1627" s="1">
        <v>23591.0</v>
      </c>
      <c r="FN1627" s="1" t="s">
        <v>2134</v>
      </c>
      <c r="FO1627" s="1" t="s">
        <v>2135</v>
      </c>
      <c r="FP1627" s="1">
        <v>230500.0</v>
      </c>
      <c r="FQ1627" s="1" t="s">
        <v>2136</v>
      </c>
      <c r="FU1627" s="1" t="s">
        <v>2137</v>
      </c>
      <c r="FV1627" s="1" t="s">
        <v>200</v>
      </c>
      <c r="FW1627" s="1" t="s">
        <v>290</v>
      </c>
      <c r="FZ1627" s="1" t="s">
        <v>229</v>
      </c>
      <c r="GA1627" s="1" t="s">
        <v>291</v>
      </c>
      <c r="GB1627" s="2">
        <v>42019.0</v>
      </c>
    </row>
    <row r="1628">
      <c r="A1628" s="1">
        <v>450000.0</v>
      </c>
      <c r="B1628" s="1" t="s">
        <v>185</v>
      </c>
      <c r="C1628" s="1" t="str">
        <f>"08693665"</f>
        <v>08693665</v>
      </c>
      <c r="D1628" s="1" t="s">
        <v>186</v>
      </c>
      <c r="F1628" s="1" t="str">
        <f>"510"</f>
        <v>510</v>
      </c>
      <c r="G1628" s="2">
        <v>41856.0</v>
      </c>
      <c r="H1628" s="1">
        <v>524900.0</v>
      </c>
      <c r="I1628" s="1">
        <v>827.0</v>
      </c>
      <c r="J1628" s="1">
        <v>509900.0</v>
      </c>
      <c r="K1628" s="2">
        <v>41982.0</v>
      </c>
      <c r="L1628" s="1">
        <v>128.0</v>
      </c>
      <c r="M1628" s="2">
        <v>41982.0</v>
      </c>
      <c r="N1628" s="1" t="s">
        <v>249</v>
      </c>
      <c r="O1628" s="2">
        <v>41996.0</v>
      </c>
      <c r="P1628" s="1">
        <v>227960.0</v>
      </c>
      <c r="Q1628" s="1">
        <v>23076.0</v>
      </c>
      <c r="S1628" s="1">
        <v>2556.0</v>
      </c>
      <c r="T1628" s="1" t="s">
        <v>325</v>
      </c>
      <c r="U1628" s="1" t="s">
        <v>1174</v>
      </c>
      <c r="V1628" s="1" t="s">
        <v>2700</v>
      </c>
      <c r="W1628" s="1">
        <v>60510.0</v>
      </c>
      <c r="Y1628" s="1" t="s">
        <v>16293</v>
      </c>
      <c r="Z1628" s="1">
        <v>2000.0</v>
      </c>
      <c r="AA1628" s="1" t="s">
        <v>200</v>
      </c>
      <c r="AB1628" s="1" t="s">
        <v>467</v>
      </c>
      <c r="AC1628" s="1" t="s">
        <v>3086</v>
      </c>
      <c r="AD1628" s="1" t="s">
        <v>2702</v>
      </c>
      <c r="AE1628" s="1" t="s">
        <v>325</v>
      </c>
      <c r="AF1628" s="1" t="s">
        <v>2702</v>
      </c>
      <c r="AH1628" s="1">
        <v>12825.0</v>
      </c>
      <c r="AI1628" s="1">
        <v>0.29</v>
      </c>
      <c r="AK1628" s="1">
        <v>12.0</v>
      </c>
      <c r="AL1628" s="1">
        <v>4.0</v>
      </c>
      <c r="AM1628" s="1">
        <v>4.0</v>
      </c>
      <c r="AN1628" s="1">
        <v>0.0</v>
      </c>
      <c r="AO1628" s="1" t="s">
        <v>198</v>
      </c>
      <c r="AP1628" s="1">
        <v>1.0</v>
      </c>
      <c r="AQ1628" s="1" t="s">
        <v>472</v>
      </c>
      <c r="AR1628" s="1" t="s">
        <v>200</v>
      </c>
      <c r="AS1628" s="1" t="s">
        <v>199</v>
      </c>
      <c r="AT1628" s="1">
        <v>3.0</v>
      </c>
      <c r="AV1628" s="1" t="s">
        <v>200</v>
      </c>
      <c r="AW1628" s="6">
        <v>21630.0</v>
      </c>
      <c r="AX1628" s="1">
        <v>2013.0</v>
      </c>
      <c r="AY1628" s="1" t="s">
        <v>387</v>
      </c>
      <c r="AZ1628" s="1" t="s">
        <v>200</v>
      </c>
      <c r="BA1628" s="1" t="str">
        <f>"1229127003"</f>
        <v>1229127003</v>
      </c>
      <c r="BB1628" s="1" t="s">
        <v>200</v>
      </c>
      <c r="BC1628" s="1">
        <v>5174.0</v>
      </c>
      <c r="BD1628" s="1">
        <v>450000.0</v>
      </c>
      <c r="BE1628" s="2">
        <v>41855.0</v>
      </c>
      <c r="BF1628" s="2" t="s">
        <v>16294</v>
      </c>
      <c r="BG1628" s="1" t="s">
        <v>3089</v>
      </c>
      <c r="BH1628" s="1">
        <v>375.0</v>
      </c>
      <c r="BI1628" s="1" t="s">
        <v>3090</v>
      </c>
      <c r="BJ1628" s="1" t="s">
        <v>3091</v>
      </c>
      <c r="BK1628" s="1" t="s">
        <v>1952</v>
      </c>
      <c r="BL1628" s="1" t="str">
        <f t="shared" ref="BL1628:BM1628" si="1067">"0"</f>
        <v>0</v>
      </c>
      <c r="BM1628" s="1" t="str">
        <f t="shared" si="1067"/>
        <v>0</v>
      </c>
      <c r="BN1628" s="1">
        <v>37.0</v>
      </c>
      <c r="BO1628" s="1">
        <v>2.0</v>
      </c>
      <c r="BQ1628" s="1">
        <v>101.0</v>
      </c>
      <c r="BR1628" s="1">
        <v>101.0</v>
      </c>
      <c r="BS1628" s="1">
        <v>101.0</v>
      </c>
      <c r="BU1628" s="1" t="s">
        <v>453</v>
      </c>
      <c r="BV1628" s="1" t="s">
        <v>206</v>
      </c>
      <c r="BW1628" s="1" t="s">
        <v>210</v>
      </c>
      <c r="BY1628" s="1" t="s">
        <v>479</v>
      </c>
      <c r="BZ1628" s="1" t="s">
        <v>209</v>
      </c>
      <c r="CA1628" s="1" t="s">
        <v>210</v>
      </c>
      <c r="CC1628" s="1" t="s">
        <v>758</v>
      </c>
      <c r="CD1628" s="1" t="s">
        <v>206</v>
      </c>
      <c r="CE1628" s="1" t="s">
        <v>207</v>
      </c>
      <c r="CG1628" s="1" t="s">
        <v>584</v>
      </c>
      <c r="CH1628" s="1" t="s">
        <v>209</v>
      </c>
      <c r="CI1628" s="1" t="s">
        <v>210</v>
      </c>
      <c r="CK1628" s="1" t="s">
        <v>433</v>
      </c>
      <c r="CL1628" s="1" t="s">
        <v>209</v>
      </c>
      <c r="CM1628" s="1" t="s">
        <v>210</v>
      </c>
      <c r="CO1628" s="1" t="s">
        <v>758</v>
      </c>
      <c r="CP1628" s="1" t="s">
        <v>209</v>
      </c>
      <c r="CQ1628" s="1" t="s">
        <v>210</v>
      </c>
      <c r="CS1628" s="1" t="s">
        <v>830</v>
      </c>
      <c r="CT1628" s="1" t="s">
        <v>206</v>
      </c>
      <c r="CU1628" s="1" t="s">
        <v>207</v>
      </c>
      <c r="CW1628" s="1" t="s">
        <v>1612</v>
      </c>
      <c r="CX1628" s="1" t="s">
        <v>206</v>
      </c>
      <c r="CY1628" s="1" t="s">
        <v>207</v>
      </c>
      <c r="DA1628" s="1" t="s">
        <v>200</v>
      </c>
      <c r="DC1628" s="1" t="s">
        <v>335</v>
      </c>
      <c r="DD1628" s="1" t="s">
        <v>8912</v>
      </c>
      <c r="DE1628" s="1" t="s">
        <v>218</v>
      </c>
      <c r="DF1628" s="1" t="s">
        <v>219</v>
      </c>
      <c r="DG1628" s="1" t="s">
        <v>16295</v>
      </c>
      <c r="DH1628" s="1" t="s">
        <v>220</v>
      </c>
      <c r="DI1628" s="1" t="s">
        <v>3940</v>
      </c>
      <c r="DJ1628" s="1" t="s">
        <v>222</v>
      </c>
      <c r="DL1628" s="1" t="s">
        <v>223</v>
      </c>
      <c r="DM1628" s="1" t="s">
        <v>338</v>
      </c>
      <c r="DN1628" s="1" t="s">
        <v>399</v>
      </c>
      <c r="DO1628" s="1" t="s">
        <v>16296</v>
      </c>
      <c r="DP1628" s="1" t="s">
        <v>340</v>
      </c>
      <c r="DQ1628" s="1" t="s">
        <v>441</v>
      </c>
      <c r="DR1628" s="1" t="s">
        <v>1269</v>
      </c>
      <c r="DS1628" s="1" t="s">
        <v>591</v>
      </c>
      <c r="DU1628" s="1" t="s">
        <v>4323</v>
      </c>
      <c r="DV1628" s="1" t="s">
        <v>16297</v>
      </c>
      <c r="DW1628" s="1" t="s">
        <v>764</v>
      </c>
      <c r="DX1628" s="1" t="s">
        <v>234</v>
      </c>
      <c r="DY1628" s="1" t="s">
        <v>16298</v>
      </c>
      <c r="DZ1628" s="1" t="s">
        <v>1854</v>
      </c>
      <c r="EA1628" s="1" t="s">
        <v>344</v>
      </c>
      <c r="EB1628" s="1" t="s">
        <v>937</v>
      </c>
      <c r="EC1628" s="1" t="s">
        <v>406</v>
      </c>
      <c r="ED1628" s="1" t="s">
        <v>555</v>
      </c>
      <c r="EE1628" s="1" t="s">
        <v>493</v>
      </c>
      <c r="EG1628" s="1" t="s">
        <v>2129</v>
      </c>
      <c r="EH1628" s="1" t="s">
        <v>408</v>
      </c>
      <c r="EI1628" s="1" t="s">
        <v>556</v>
      </c>
      <c r="EJ1628" s="1" t="s">
        <v>494</v>
      </c>
      <c r="EK1628" s="1" t="s">
        <v>1121</v>
      </c>
      <c r="EL1628" s="1" t="s">
        <v>2459</v>
      </c>
      <c r="EM1628" s="1" t="s">
        <v>206</v>
      </c>
      <c r="EN1628" s="1" t="s">
        <v>588</v>
      </c>
      <c r="EO1628" s="1" t="s">
        <v>229</v>
      </c>
      <c r="EP1628" s="1" t="s">
        <v>4180</v>
      </c>
      <c r="EQ1628" s="1" t="s">
        <v>206</v>
      </c>
      <c r="ER1628" s="1" t="s">
        <v>207</v>
      </c>
      <c r="ES1628" s="1" t="s">
        <v>229</v>
      </c>
      <c r="ET1628" s="1" t="s">
        <v>1395</v>
      </c>
      <c r="EU1628" s="1" t="s">
        <v>206</v>
      </c>
      <c r="EV1628" s="1" t="s">
        <v>207</v>
      </c>
      <c r="EX1628" s="1" t="s">
        <v>211</v>
      </c>
      <c r="EY1628" s="1" t="s">
        <v>206</v>
      </c>
      <c r="EZ1628" s="1" t="s">
        <v>210</v>
      </c>
      <c r="FB1628" s="1" t="s">
        <v>495</v>
      </c>
      <c r="FC1628" s="1" t="s">
        <v>209</v>
      </c>
      <c r="FD1628" s="1" t="s">
        <v>210</v>
      </c>
      <c r="FF1628" s="1" t="s">
        <v>239</v>
      </c>
      <c r="FG1628" s="1" t="s">
        <v>192</v>
      </c>
      <c r="FH1628" s="1" t="s">
        <v>192</v>
      </c>
      <c r="FJ1628" s="1" t="s">
        <v>16299</v>
      </c>
      <c r="FK1628" s="1" t="s">
        <v>229</v>
      </c>
      <c r="FL1628" s="1" t="s">
        <v>1358</v>
      </c>
      <c r="FM1628" s="1">
        <v>23591.0</v>
      </c>
      <c r="FN1628" s="1" t="s">
        <v>2134</v>
      </c>
      <c r="FO1628" s="1" t="s">
        <v>4614</v>
      </c>
      <c r="FP1628" s="1">
        <v>245649.0</v>
      </c>
      <c r="FQ1628" s="1" t="s">
        <v>4615</v>
      </c>
      <c r="FS1628" s="1" t="s">
        <v>4616</v>
      </c>
      <c r="FU1628" s="1" t="s">
        <v>16300</v>
      </c>
      <c r="FV1628" s="1" t="s">
        <v>200</v>
      </c>
      <c r="FW1628" s="1" t="s">
        <v>16301</v>
      </c>
      <c r="FZ1628" s="1" t="s">
        <v>229</v>
      </c>
      <c r="GA1628" s="1" t="s">
        <v>291</v>
      </c>
      <c r="GB1628" s="2">
        <v>41996.0</v>
      </c>
      <c r="GC1628" s="1" t="s">
        <v>16302</v>
      </c>
    </row>
    <row r="1629">
      <c r="A1629" s="1">
        <v>60000.0</v>
      </c>
      <c r="B1629" s="1" t="s">
        <v>185</v>
      </c>
      <c r="C1629" s="1" t="str">
        <f>"08690313"</f>
        <v>08690313</v>
      </c>
      <c r="D1629" s="1" t="s">
        <v>186</v>
      </c>
      <c r="F1629" s="1" t="str">
        <f>"115"</f>
        <v>115</v>
      </c>
      <c r="G1629" s="2">
        <v>41852.0</v>
      </c>
      <c r="H1629" s="1">
        <v>89900.0</v>
      </c>
      <c r="I1629" s="1">
        <v>96.0</v>
      </c>
      <c r="J1629" s="1">
        <v>64500.0</v>
      </c>
      <c r="K1629" s="2">
        <v>41947.0</v>
      </c>
      <c r="L1629" s="1">
        <v>96.0</v>
      </c>
      <c r="M1629" s="2">
        <v>41947.0</v>
      </c>
      <c r="N1629" s="1" t="s">
        <v>249</v>
      </c>
      <c r="O1629" s="2">
        <v>41981.0</v>
      </c>
      <c r="P1629" s="1">
        <v>930255.0</v>
      </c>
      <c r="Q1629" s="1">
        <v>93094.0</v>
      </c>
      <c r="S1629" s="1">
        <v>1206.0</v>
      </c>
      <c r="T1629" s="1" t="s">
        <v>16303</v>
      </c>
      <c r="U1629" s="1" t="s">
        <v>1442</v>
      </c>
      <c r="V1629" s="1" t="s">
        <v>610</v>
      </c>
      <c r="W1629" s="1">
        <v>60115.0</v>
      </c>
      <c r="Y1629" s="1" t="s">
        <v>16304</v>
      </c>
      <c r="Z1629" s="1">
        <v>1958.0</v>
      </c>
      <c r="AA1629" s="1" t="s">
        <v>192</v>
      </c>
      <c r="AB1629" s="1" t="s">
        <v>193</v>
      </c>
      <c r="AD1629" s="1" t="s">
        <v>612</v>
      </c>
      <c r="AE1629" s="1" t="s">
        <v>613</v>
      </c>
      <c r="AF1629" s="1" t="s">
        <v>612</v>
      </c>
      <c r="AG1629" s="1" t="s">
        <v>874</v>
      </c>
      <c r="AH1629" s="1" t="s">
        <v>16305</v>
      </c>
      <c r="AK1629" s="1">
        <v>6.0</v>
      </c>
      <c r="AL1629" s="1">
        <v>4.0</v>
      </c>
      <c r="AM1629" s="1">
        <v>1.0</v>
      </c>
      <c r="AN1629" s="1">
        <v>1.0</v>
      </c>
      <c r="AO1629" s="1" t="s">
        <v>2068</v>
      </c>
      <c r="AP1629" s="1">
        <v>1.0</v>
      </c>
      <c r="AQ1629" s="1" t="s">
        <v>1314</v>
      </c>
      <c r="AR1629" s="1" t="s">
        <v>200</v>
      </c>
      <c r="AS1629" s="1" t="s">
        <v>199</v>
      </c>
      <c r="AT1629" s="1">
        <v>1.5</v>
      </c>
      <c r="AV1629" s="1" t="s">
        <v>200</v>
      </c>
      <c r="AW1629" s="1">
        <v>5152.36</v>
      </c>
      <c r="AX1629" s="1">
        <v>2013.0</v>
      </c>
      <c r="AY1629" s="1" t="s">
        <v>229</v>
      </c>
      <c r="AZ1629" s="1" t="s">
        <v>200</v>
      </c>
      <c r="BA1629" s="1" t="str">
        <f>"0813356004"</f>
        <v>0813356004</v>
      </c>
      <c r="BC1629" s="1">
        <v>1213.0</v>
      </c>
      <c r="BD1629" s="1">
        <v>60000.0</v>
      </c>
      <c r="BE1629" s="2">
        <v>41852.0</v>
      </c>
      <c r="BF1629" s="1" t="s">
        <v>16306</v>
      </c>
      <c r="BH1629" s="1">
        <v>0.0</v>
      </c>
      <c r="BK1629" s="1" t="s">
        <v>204</v>
      </c>
      <c r="BL1629" s="1" t="str">
        <f t="shared" ref="BL1629:BM1629" si="1068">"0"</f>
        <v>0</v>
      </c>
      <c r="BM1629" s="1" t="str">
        <f t="shared" si="1068"/>
        <v>0</v>
      </c>
      <c r="BN1629" s="1">
        <v>0.0</v>
      </c>
      <c r="BO1629" s="1">
        <v>0.0</v>
      </c>
      <c r="BQ1629" s="1">
        <v>428.0</v>
      </c>
      <c r="BR1629" s="1">
        <v>428.0</v>
      </c>
      <c r="BS1629" s="1">
        <v>428.0</v>
      </c>
      <c r="BU1629" s="1" t="s">
        <v>3888</v>
      </c>
      <c r="BV1629" s="1" t="s">
        <v>206</v>
      </c>
      <c r="BW1629" s="1" t="s">
        <v>207</v>
      </c>
      <c r="BX1629" s="1" t="s">
        <v>239</v>
      </c>
      <c r="BY1629" s="1" t="s">
        <v>270</v>
      </c>
      <c r="BZ1629" s="1" t="s">
        <v>206</v>
      </c>
      <c r="CA1629" s="1" t="s">
        <v>210</v>
      </c>
      <c r="CB1629" s="1" t="s">
        <v>239</v>
      </c>
      <c r="CD1629" s="1" t="s">
        <v>204</v>
      </c>
      <c r="CG1629" s="1" t="s">
        <v>1584</v>
      </c>
      <c r="CH1629" s="1" t="s">
        <v>206</v>
      </c>
      <c r="CI1629" s="1" t="s">
        <v>207</v>
      </c>
      <c r="CK1629" s="1" t="s">
        <v>1584</v>
      </c>
      <c r="CL1629" s="1" t="s">
        <v>206</v>
      </c>
      <c r="CM1629" s="1" t="s">
        <v>207</v>
      </c>
      <c r="CN1629" s="1" t="s">
        <v>239</v>
      </c>
      <c r="CO1629" s="1" t="s">
        <v>3805</v>
      </c>
      <c r="CP1629" s="1" t="s">
        <v>206</v>
      </c>
      <c r="CQ1629" s="1" t="s">
        <v>207</v>
      </c>
      <c r="CR1629" s="1" t="s">
        <v>239</v>
      </c>
      <c r="CS1629" s="1" t="s">
        <v>699</v>
      </c>
      <c r="CT1629" s="1" t="s">
        <v>206</v>
      </c>
      <c r="CU1629" s="1" t="s">
        <v>617</v>
      </c>
      <c r="CX1629" s="1" t="s">
        <v>204</v>
      </c>
      <c r="DA1629" s="1" t="s">
        <v>200</v>
      </c>
      <c r="DC1629" s="1" t="s">
        <v>271</v>
      </c>
      <c r="DD1629" s="1" t="s">
        <v>518</v>
      </c>
      <c r="DE1629" s="1" t="s">
        <v>273</v>
      </c>
      <c r="DF1629" s="1" t="s">
        <v>219</v>
      </c>
      <c r="DG1629" s="1" t="s">
        <v>2747</v>
      </c>
      <c r="DH1629" s="1" t="s">
        <v>220</v>
      </c>
      <c r="DI1629" s="1" t="s">
        <v>1003</v>
      </c>
      <c r="DJ1629" s="1" t="s">
        <v>222</v>
      </c>
      <c r="DK1629" s="1" t="s">
        <v>2312</v>
      </c>
      <c r="DL1629" s="1" t="s">
        <v>858</v>
      </c>
      <c r="DM1629" s="1" t="s">
        <v>229</v>
      </c>
      <c r="DO1629" s="1" t="s">
        <v>2520</v>
      </c>
      <c r="DQ1629" s="1" t="s">
        <v>228</v>
      </c>
      <c r="DR1629" s="1" t="s">
        <v>229</v>
      </c>
      <c r="DU1629" s="1" t="s">
        <v>16307</v>
      </c>
      <c r="DV1629" s="1" t="s">
        <v>232</v>
      </c>
      <c r="DW1629" s="1" t="s">
        <v>667</v>
      </c>
      <c r="DX1629" s="1" t="s">
        <v>234</v>
      </c>
      <c r="DY1629" s="1" t="s">
        <v>553</v>
      </c>
      <c r="DZ1629" s="1" t="s">
        <v>1466</v>
      </c>
      <c r="EA1629" s="1" t="s">
        <v>683</v>
      </c>
      <c r="EB1629" s="1" t="s">
        <v>345</v>
      </c>
      <c r="EC1629" s="1" t="s">
        <v>685</v>
      </c>
      <c r="EM1629" s="1" t="s">
        <v>238</v>
      </c>
      <c r="EQ1629" s="1" t="s">
        <v>238</v>
      </c>
      <c r="EU1629" s="1" t="s">
        <v>238</v>
      </c>
      <c r="EY1629" s="1" t="s">
        <v>238</v>
      </c>
      <c r="FC1629" s="1" t="s">
        <v>238</v>
      </c>
      <c r="FF1629" s="1" t="s">
        <v>239</v>
      </c>
      <c r="FG1629" s="1" t="s">
        <v>192</v>
      </c>
      <c r="FH1629" s="1" t="s">
        <v>192</v>
      </c>
      <c r="FJ1629" s="1" t="s">
        <v>524</v>
      </c>
      <c r="FK1629" s="1" t="s">
        <v>229</v>
      </c>
      <c r="FL1629" s="1" t="s">
        <v>2949</v>
      </c>
      <c r="FM1629" s="1">
        <v>93083.0</v>
      </c>
      <c r="FN1629" s="1" t="s">
        <v>2950</v>
      </c>
      <c r="FO1629" s="1" t="s">
        <v>2951</v>
      </c>
      <c r="FP1629" s="1">
        <v>930215.0</v>
      </c>
      <c r="FR1629" s="1">
        <v>930217.0</v>
      </c>
      <c r="FS1629" s="1">
        <v>930217.0</v>
      </c>
      <c r="FU1629" s="1" t="s">
        <v>16308</v>
      </c>
      <c r="FV1629" s="1" t="s">
        <v>200</v>
      </c>
      <c r="FW1629" s="1" t="s">
        <v>15115</v>
      </c>
      <c r="FZ1629" s="1" t="s">
        <v>229</v>
      </c>
      <c r="GA1629" s="1" t="s">
        <v>291</v>
      </c>
      <c r="GB1629" s="2">
        <v>41988.0</v>
      </c>
      <c r="GC1629" s="1" t="s">
        <v>16309</v>
      </c>
    </row>
    <row r="1630">
      <c r="A1630" s="1">
        <v>230000.0</v>
      </c>
      <c r="B1630" s="1" t="s">
        <v>185</v>
      </c>
      <c r="C1630" s="1" t="str">
        <f>"08692246"</f>
        <v>08692246</v>
      </c>
      <c r="D1630" s="1" t="s">
        <v>186</v>
      </c>
      <c r="F1630" s="1" t="str">
        <f>"8044"</f>
        <v>8044</v>
      </c>
      <c r="G1630" s="2">
        <v>41855.0</v>
      </c>
      <c r="H1630" s="1">
        <v>249000.0</v>
      </c>
      <c r="I1630" s="1">
        <v>184.0</v>
      </c>
      <c r="J1630" s="1">
        <v>249000.0</v>
      </c>
      <c r="K1630" s="2">
        <v>42038.0</v>
      </c>
      <c r="L1630" s="1">
        <v>184.0</v>
      </c>
      <c r="M1630" s="2">
        <v>42038.0</v>
      </c>
      <c r="N1630" s="1" t="s">
        <v>356</v>
      </c>
      <c r="O1630" s="2">
        <v>42102.0</v>
      </c>
      <c r="P1630" s="1">
        <v>101260.0</v>
      </c>
      <c r="Q1630" s="1">
        <v>12555.0</v>
      </c>
      <c r="S1630" s="1">
        <v>8345.0</v>
      </c>
      <c r="T1630" s="1" t="s">
        <v>14370</v>
      </c>
      <c r="U1630" s="1" t="s">
        <v>189</v>
      </c>
      <c r="V1630" s="1" t="s">
        <v>190</v>
      </c>
      <c r="W1630" s="1">
        <v>60619.0</v>
      </c>
      <c r="Y1630" s="1" t="s">
        <v>16310</v>
      </c>
      <c r="Z1630" s="1">
        <v>1943.0</v>
      </c>
      <c r="AA1630" s="1" t="s">
        <v>192</v>
      </c>
      <c r="AB1630" s="1" t="s">
        <v>193</v>
      </c>
      <c r="AD1630" s="1" t="s">
        <v>194</v>
      </c>
      <c r="AE1630" s="1" t="s">
        <v>195</v>
      </c>
      <c r="AF1630" s="1" t="s">
        <v>659</v>
      </c>
      <c r="AH1630" s="1" t="s">
        <v>16311</v>
      </c>
      <c r="AK1630" s="1">
        <v>9.0</v>
      </c>
      <c r="AL1630" s="1">
        <v>4.0</v>
      </c>
      <c r="AM1630" s="1">
        <v>5.0</v>
      </c>
      <c r="AN1630" s="1">
        <v>2.0</v>
      </c>
      <c r="AO1630" s="1" t="s">
        <v>198</v>
      </c>
      <c r="AP1630" s="1">
        <v>2.0</v>
      </c>
      <c r="AQ1630" s="1" t="s">
        <v>327</v>
      </c>
      <c r="AR1630" s="1" t="s">
        <v>192</v>
      </c>
      <c r="AS1630" s="1" t="s">
        <v>199</v>
      </c>
      <c r="AT1630" s="1">
        <v>2.0</v>
      </c>
      <c r="AV1630" s="1" t="s">
        <v>200</v>
      </c>
      <c r="AW1630" s="1">
        <v>4637.0</v>
      </c>
      <c r="AX1630" s="1">
        <v>2013.0</v>
      </c>
      <c r="AZ1630" s="1" t="s">
        <v>545</v>
      </c>
      <c r="BA1630" s="1" t="str">
        <f>"20344010640000"</f>
        <v>20344010640000</v>
      </c>
      <c r="BC1630" s="1">
        <v>3482.0</v>
      </c>
      <c r="BD1630" s="1">
        <v>230000.0</v>
      </c>
      <c r="BE1630" s="2">
        <v>41855.0</v>
      </c>
      <c r="BF1630" s="2" t="s">
        <v>16312</v>
      </c>
      <c r="BH1630" s="1">
        <v>0.0</v>
      </c>
      <c r="BK1630" s="1" t="s">
        <v>204</v>
      </c>
      <c r="BL1630" s="1" t="str">
        <f>"0"</f>
        <v>0</v>
      </c>
      <c r="BM1630" s="1" t="str">
        <f>"400"</f>
        <v>400</v>
      </c>
      <c r="BN1630" s="1">
        <v>0.0</v>
      </c>
      <c r="BO1630" s="1">
        <v>8345.0</v>
      </c>
      <c r="BQ1630" s="1">
        <v>299.0</v>
      </c>
      <c r="BR1630" s="1">
        <v>299.0</v>
      </c>
      <c r="BS1630" s="1">
        <v>299.0</v>
      </c>
      <c r="BU1630" s="1" t="s">
        <v>2119</v>
      </c>
      <c r="BV1630" s="1" t="s">
        <v>206</v>
      </c>
      <c r="BW1630" s="1" t="s">
        <v>207</v>
      </c>
      <c r="BY1630" s="1" t="s">
        <v>2119</v>
      </c>
      <c r="BZ1630" s="1" t="s">
        <v>209</v>
      </c>
      <c r="CC1630" s="1" t="s">
        <v>1534</v>
      </c>
      <c r="CD1630" s="1" t="s">
        <v>206</v>
      </c>
      <c r="CE1630" s="1" t="s">
        <v>207</v>
      </c>
      <c r="CG1630" s="1" t="s">
        <v>925</v>
      </c>
      <c r="CH1630" s="1" t="s">
        <v>209</v>
      </c>
      <c r="CK1630" s="1" t="s">
        <v>925</v>
      </c>
      <c r="CL1630" s="1" t="s">
        <v>209</v>
      </c>
      <c r="CO1630" s="1" t="s">
        <v>211</v>
      </c>
      <c r="CP1630" s="1" t="s">
        <v>209</v>
      </c>
      <c r="CS1630" s="1" t="s">
        <v>363</v>
      </c>
      <c r="CT1630" s="1" t="s">
        <v>206</v>
      </c>
      <c r="CW1630" s="1" t="s">
        <v>361</v>
      </c>
      <c r="CX1630" s="1" t="s">
        <v>206</v>
      </c>
      <c r="DA1630" s="1" t="s">
        <v>200</v>
      </c>
      <c r="DC1630" s="1" t="s">
        <v>1399</v>
      </c>
      <c r="DD1630" s="1" t="s">
        <v>396</v>
      </c>
      <c r="DE1630" s="1" t="s">
        <v>273</v>
      </c>
      <c r="DF1630" s="1" t="s">
        <v>219</v>
      </c>
      <c r="DH1630" s="1" t="s">
        <v>220</v>
      </c>
      <c r="DI1630" s="1" t="s">
        <v>1401</v>
      </c>
      <c r="DJ1630" s="1" t="s">
        <v>222</v>
      </c>
      <c r="DL1630" s="1" t="s">
        <v>1161</v>
      </c>
      <c r="DM1630" s="1" t="s">
        <v>1464</v>
      </c>
      <c r="DN1630" s="1" t="s">
        <v>16313</v>
      </c>
      <c r="DP1630" s="1" t="s">
        <v>340</v>
      </c>
      <c r="DQ1630" s="1" t="s">
        <v>794</v>
      </c>
      <c r="DR1630" s="1" t="s">
        <v>229</v>
      </c>
      <c r="DV1630" s="1" t="s">
        <v>450</v>
      </c>
      <c r="DW1630" s="1" t="s">
        <v>279</v>
      </c>
      <c r="DX1630" s="1" t="s">
        <v>3230</v>
      </c>
      <c r="EC1630" s="1" t="s">
        <v>237</v>
      </c>
      <c r="EE1630" s="1" t="s">
        <v>187</v>
      </c>
      <c r="EG1630" s="1" t="s">
        <v>450</v>
      </c>
      <c r="EL1630" s="1" t="s">
        <v>7203</v>
      </c>
      <c r="EM1630" s="1" t="s">
        <v>267</v>
      </c>
      <c r="EN1630" s="1" t="s">
        <v>617</v>
      </c>
      <c r="EQ1630" s="1" t="s">
        <v>238</v>
      </c>
      <c r="EU1630" s="1" t="s">
        <v>238</v>
      </c>
      <c r="EY1630" s="1" t="s">
        <v>238</v>
      </c>
      <c r="FC1630" s="1" t="s">
        <v>238</v>
      </c>
      <c r="FF1630" s="1" t="s">
        <v>239</v>
      </c>
      <c r="FG1630" s="1" t="s">
        <v>192</v>
      </c>
      <c r="FH1630" s="1" t="s">
        <v>192</v>
      </c>
      <c r="FJ1630" s="1" t="s">
        <v>16314</v>
      </c>
      <c r="FK1630" s="1" t="s">
        <v>229</v>
      </c>
      <c r="FL1630" s="1" t="s">
        <v>2111</v>
      </c>
      <c r="FM1630" s="1">
        <v>12555.0</v>
      </c>
      <c r="FN1630" s="1" t="s">
        <v>2112</v>
      </c>
      <c r="FO1630" s="1" t="s">
        <v>16315</v>
      </c>
      <c r="FP1630" s="1">
        <v>101260.0</v>
      </c>
      <c r="FQ1630" s="1" t="s">
        <v>2112</v>
      </c>
      <c r="FU1630" s="1" t="s">
        <v>16316</v>
      </c>
      <c r="FV1630" s="1" t="s">
        <v>200</v>
      </c>
      <c r="FW1630" s="1" t="s">
        <v>461</v>
      </c>
      <c r="FX1630" s="1" t="s">
        <v>655</v>
      </c>
      <c r="FZ1630" s="1" t="s">
        <v>229</v>
      </c>
      <c r="GA1630" s="1" t="s">
        <v>291</v>
      </c>
      <c r="GB1630" s="2">
        <v>42103.0</v>
      </c>
      <c r="GC1630" s="1" t="s">
        <v>16317</v>
      </c>
    </row>
    <row r="1631">
      <c r="A1631" s="1">
        <v>205000.0</v>
      </c>
      <c r="B1631" s="1" t="s">
        <v>185</v>
      </c>
      <c r="C1631" s="1" t="str">
        <f>"08694395"</f>
        <v>08694395</v>
      </c>
      <c r="D1631" s="1" t="s">
        <v>186</v>
      </c>
      <c r="F1631" s="1" t="str">
        <f>"110"</f>
        <v>110</v>
      </c>
      <c r="G1631" s="2">
        <v>41857.0</v>
      </c>
      <c r="H1631" s="1">
        <v>255000.0</v>
      </c>
      <c r="I1631" s="1">
        <v>111.0</v>
      </c>
      <c r="J1631" s="1">
        <v>205000.0</v>
      </c>
      <c r="K1631" s="2">
        <v>41966.0</v>
      </c>
      <c r="L1631" s="1">
        <v>111.0</v>
      </c>
      <c r="M1631" s="2">
        <v>41966.0</v>
      </c>
      <c r="N1631" s="1" t="s">
        <v>187</v>
      </c>
      <c r="O1631" s="2">
        <v>42016.0</v>
      </c>
      <c r="P1631" s="1">
        <v>38199.0</v>
      </c>
      <c r="Q1631" s="1">
        <v>4667.0</v>
      </c>
      <c r="S1631" s="1">
        <v>5506.0</v>
      </c>
      <c r="T1631" s="1" t="s">
        <v>16318</v>
      </c>
      <c r="U1631" s="1" t="s">
        <v>420</v>
      </c>
      <c r="V1631" s="1" t="s">
        <v>807</v>
      </c>
      <c r="W1631" s="1">
        <v>60110.0</v>
      </c>
      <c r="Y1631" s="1" t="s">
        <v>16319</v>
      </c>
      <c r="Z1631" s="1">
        <v>2000.0</v>
      </c>
      <c r="AA1631" s="1" t="s">
        <v>200</v>
      </c>
      <c r="AB1631" s="1" t="s">
        <v>193</v>
      </c>
      <c r="AC1631" s="1" t="s">
        <v>13014</v>
      </c>
      <c r="AD1631" s="1" t="s">
        <v>809</v>
      </c>
      <c r="AE1631" s="1" t="s">
        <v>325</v>
      </c>
      <c r="AF1631" s="1" t="s">
        <v>810</v>
      </c>
      <c r="AG1631" s="1" t="s">
        <v>298</v>
      </c>
      <c r="AH1631" s="1" t="s">
        <v>16320</v>
      </c>
      <c r="AI1631" s="1">
        <v>0.29</v>
      </c>
      <c r="AK1631" s="1">
        <v>11.0</v>
      </c>
      <c r="AL1631" s="1">
        <v>4.0</v>
      </c>
      <c r="AM1631" s="1">
        <v>3.0</v>
      </c>
      <c r="AN1631" s="1">
        <v>1.0</v>
      </c>
      <c r="AO1631" s="1" t="s">
        <v>198</v>
      </c>
      <c r="AP1631" s="1">
        <v>1.0</v>
      </c>
      <c r="AQ1631" s="1" t="s">
        <v>198</v>
      </c>
      <c r="AR1631" s="1" t="s">
        <v>192</v>
      </c>
      <c r="AS1631" s="1" t="s">
        <v>199</v>
      </c>
      <c r="AT1631" s="1">
        <v>2.0</v>
      </c>
      <c r="AV1631" s="1" t="s">
        <v>200</v>
      </c>
      <c r="AW1631" s="1">
        <v>7900.62</v>
      </c>
      <c r="AX1631" s="1">
        <v>2013.0</v>
      </c>
      <c r="AY1631" s="1" t="s">
        <v>387</v>
      </c>
      <c r="AZ1631" s="1" t="s">
        <v>200</v>
      </c>
      <c r="BA1631" s="1" t="str">
        <f>"0317226021"</f>
        <v>0317226021</v>
      </c>
      <c r="BC1631" s="1">
        <v>2508.0</v>
      </c>
      <c r="BD1631" s="1">
        <v>205000.0</v>
      </c>
      <c r="BE1631" s="2">
        <v>41856.0</v>
      </c>
      <c r="BF1631" s="2" t="s">
        <v>16321</v>
      </c>
      <c r="BG1631" s="1" t="s">
        <v>1181</v>
      </c>
      <c r="BH1631" s="1">
        <v>250.0</v>
      </c>
      <c r="BI1631" s="1" t="s">
        <v>1093</v>
      </c>
      <c r="BJ1631" s="1" t="s">
        <v>1759</v>
      </c>
      <c r="BK1631" s="1" t="s">
        <v>580</v>
      </c>
      <c r="BL1631" s="1" t="str">
        <f t="shared" ref="BL1631:BM1631" si="1069">""</f>
        <v/>
      </c>
      <c r="BM1631" s="1" t="str">
        <f t="shared" si="1069"/>
        <v/>
      </c>
      <c r="BQ1631" s="1">
        <v>300.0</v>
      </c>
      <c r="BR1631" s="1">
        <v>300.0</v>
      </c>
      <c r="BS1631" s="1">
        <v>300.0</v>
      </c>
      <c r="BU1631" s="1" t="s">
        <v>212</v>
      </c>
      <c r="BV1631" s="1" t="s">
        <v>206</v>
      </c>
      <c r="BW1631" s="1" t="s">
        <v>210</v>
      </c>
      <c r="BY1631" s="1" t="s">
        <v>924</v>
      </c>
      <c r="BZ1631" s="1" t="s">
        <v>209</v>
      </c>
      <c r="CA1631" s="1" t="s">
        <v>210</v>
      </c>
      <c r="CC1631" s="1" t="s">
        <v>212</v>
      </c>
      <c r="CD1631" s="1" t="s">
        <v>206</v>
      </c>
      <c r="CE1631" s="1" t="s">
        <v>301</v>
      </c>
      <c r="CG1631" s="1" t="s">
        <v>212</v>
      </c>
      <c r="CH1631" s="1" t="s">
        <v>209</v>
      </c>
      <c r="CI1631" s="1" t="s">
        <v>301</v>
      </c>
      <c r="CK1631" s="1" t="s">
        <v>264</v>
      </c>
      <c r="CL1631" s="1" t="s">
        <v>209</v>
      </c>
      <c r="CM1631" s="1" t="s">
        <v>210</v>
      </c>
      <c r="CO1631" s="1" t="s">
        <v>212</v>
      </c>
      <c r="CP1631" s="1" t="s">
        <v>267</v>
      </c>
      <c r="CQ1631" s="1" t="s">
        <v>210</v>
      </c>
      <c r="CS1631" s="1" t="s">
        <v>332</v>
      </c>
      <c r="CT1631" s="1" t="s">
        <v>206</v>
      </c>
      <c r="CU1631" s="1" t="s">
        <v>268</v>
      </c>
      <c r="CW1631" s="1" t="s">
        <v>782</v>
      </c>
      <c r="CX1631" s="1" t="s">
        <v>206</v>
      </c>
      <c r="CY1631" s="1" t="s">
        <v>210</v>
      </c>
      <c r="DA1631" s="1" t="s">
        <v>200</v>
      </c>
      <c r="DC1631" s="1" t="s">
        <v>335</v>
      </c>
      <c r="DD1631" s="1" t="s">
        <v>336</v>
      </c>
      <c r="DE1631" s="1" t="s">
        <v>273</v>
      </c>
      <c r="DF1631" s="1" t="s">
        <v>219</v>
      </c>
      <c r="DG1631" s="1" t="s">
        <v>337</v>
      </c>
      <c r="DH1631" s="1" t="s">
        <v>220</v>
      </c>
      <c r="DI1631" s="1" t="s">
        <v>1318</v>
      </c>
      <c r="DJ1631" s="1" t="s">
        <v>222</v>
      </c>
      <c r="DK1631" s="1" t="s">
        <v>198</v>
      </c>
      <c r="DL1631" s="1" t="s">
        <v>858</v>
      </c>
      <c r="DM1631" s="1" t="s">
        <v>338</v>
      </c>
      <c r="DN1631" s="1" t="s">
        <v>339</v>
      </c>
      <c r="DO1631" s="1" t="s">
        <v>440</v>
      </c>
      <c r="DP1631" s="1" t="s">
        <v>340</v>
      </c>
      <c r="DQ1631" s="1" t="s">
        <v>441</v>
      </c>
      <c r="DR1631" s="1" t="s">
        <v>588</v>
      </c>
      <c r="DS1631" s="1" t="s">
        <v>591</v>
      </c>
      <c r="DV1631" s="1" t="s">
        <v>16322</v>
      </c>
      <c r="DW1631" s="1" t="s">
        <v>233</v>
      </c>
      <c r="DX1631" s="1" t="s">
        <v>234</v>
      </c>
      <c r="DY1631" s="1" t="s">
        <v>16323</v>
      </c>
      <c r="DZ1631" s="1" t="s">
        <v>282</v>
      </c>
      <c r="EA1631" s="1" t="s">
        <v>2466</v>
      </c>
      <c r="EC1631" s="1" t="s">
        <v>237</v>
      </c>
      <c r="ED1631" s="1" t="s">
        <v>555</v>
      </c>
      <c r="EE1631" s="1" t="s">
        <v>493</v>
      </c>
      <c r="EG1631" s="1" t="s">
        <v>449</v>
      </c>
      <c r="EH1631" s="1" t="s">
        <v>341</v>
      </c>
      <c r="EI1631" s="1" t="s">
        <v>450</v>
      </c>
      <c r="EJ1631" s="1" t="s">
        <v>408</v>
      </c>
      <c r="EK1631" s="1" t="s">
        <v>720</v>
      </c>
      <c r="EL1631" s="1" t="s">
        <v>925</v>
      </c>
      <c r="EM1631" s="1" t="s">
        <v>206</v>
      </c>
      <c r="EN1631" s="1" t="s">
        <v>268</v>
      </c>
      <c r="EP1631" s="1" t="s">
        <v>331</v>
      </c>
      <c r="EQ1631" s="1" t="s">
        <v>209</v>
      </c>
      <c r="ER1631" s="1" t="s">
        <v>210</v>
      </c>
      <c r="ET1631" s="1" t="s">
        <v>495</v>
      </c>
      <c r="EU1631" s="1" t="s">
        <v>267</v>
      </c>
      <c r="EV1631" s="1" t="s">
        <v>210</v>
      </c>
      <c r="EX1631" s="1" t="s">
        <v>1746</v>
      </c>
      <c r="EY1631" s="1" t="s">
        <v>206</v>
      </c>
      <c r="EZ1631" s="1" t="s">
        <v>268</v>
      </c>
      <c r="FB1631" s="1" t="s">
        <v>4153</v>
      </c>
      <c r="FC1631" s="1" t="s">
        <v>206</v>
      </c>
      <c r="FD1631" s="1" t="s">
        <v>588</v>
      </c>
      <c r="FF1631" s="1" t="s">
        <v>239</v>
      </c>
      <c r="FG1631" s="1" t="s">
        <v>192</v>
      </c>
      <c r="FH1631" s="1" t="s">
        <v>192</v>
      </c>
      <c r="FJ1631" s="1" t="s">
        <v>1469</v>
      </c>
      <c r="FK1631" s="1" t="s">
        <v>1586</v>
      </c>
      <c r="FL1631" s="1" t="s">
        <v>3848</v>
      </c>
      <c r="FM1631" s="1">
        <v>432.0</v>
      </c>
      <c r="FN1631" s="1" t="s">
        <v>3849</v>
      </c>
      <c r="FO1631" s="1" t="s">
        <v>5697</v>
      </c>
      <c r="FP1631" s="1">
        <v>1488.0</v>
      </c>
      <c r="FQ1631" s="1" t="s">
        <v>5698</v>
      </c>
      <c r="FU1631" s="1" t="s">
        <v>4517</v>
      </c>
      <c r="FV1631" s="1" t="s">
        <v>200</v>
      </c>
      <c r="FW1631" s="1" t="s">
        <v>290</v>
      </c>
      <c r="FZ1631" s="1" t="s">
        <v>229</v>
      </c>
      <c r="GA1631" s="1" t="s">
        <v>291</v>
      </c>
      <c r="GB1631" s="2">
        <v>42016.0</v>
      </c>
      <c r="GC1631" s="1" t="s">
        <v>16324</v>
      </c>
    </row>
    <row r="1632">
      <c r="A1632" s="1">
        <v>910000.0</v>
      </c>
      <c r="B1632" s="1" t="s">
        <v>185</v>
      </c>
      <c r="C1632" s="1" t="str">
        <f>"08694326"</f>
        <v>08694326</v>
      </c>
      <c r="D1632" s="1" t="s">
        <v>186</v>
      </c>
      <c r="F1632" s="1" t="str">
        <f t="shared" ref="F1632:F1633" si="1071">"174"</f>
        <v>174</v>
      </c>
      <c r="G1632" s="2">
        <v>41857.0</v>
      </c>
      <c r="H1632" s="1">
        <v>950000.0</v>
      </c>
      <c r="I1632" s="1">
        <v>368.0</v>
      </c>
      <c r="J1632" s="1">
        <v>950000.0</v>
      </c>
      <c r="K1632" s="2">
        <v>42042.0</v>
      </c>
      <c r="L1632" s="1">
        <v>186.0</v>
      </c>
      <c r="M1632" s="2">
        <v>42042.0</v>
      </c>
      <c r="N1632" s="1" t="s">
        <v>187</v>
      </c>
      <c r="O1632" s="2">
        <v>42082.0</v>
      </c>
      <c r="P1632" s="1">
        <v>60369.0</v>
      </c>
      <c r="Q1632" s="1">
        <v>6022.0</v>
      </c>
      <c r="S1632" s="1" t="s">
        <v>16325</v>
      </c>
      <c r="T1632" s="1" t="s">
        <v>16326</v>
      </c>
      <c r="U1632" s="1" t="s">
        <v>1174</v>
      </c>
      <c r="V1632" s="1" t="s">
        <v>1200</v>
      </c>
      <c r="W1632" s="1">
        <v>60175.0</v>
      </c>
      <c r="Y1632" s="1" t="s">
        <v>16327</v>
      </c>
      <c r="Z1632" s="1">
        <v>2014.0</v>
      </c>
      <c r="AA1632" s="1" t="s">
        <v>200</v>
      </c>
      <c r="AB1632" s="1" t="s">
        <v>467</v>
      </c>
      <c r="AC1632" s="1" t="s">
        <v>6837</v>
      </c>
      <c r="AD1632" s="1" t="s">
        <v>1089</v>
      </c>
      <c r="AE1632" s="1" t="s">
        <v>325</v>
      </c>
      <c r="AF1632" s="1" t="s">
        <v>1632</v>
      </c>
      <c r="AH1632" s="1" t="s">
        <v>16328</v>
      </c>
      <c r="AI1632" s="1">
        <v>0.79</v>
      </c>
      <c r="AK1632" s="1">
        <v>10.0</v>
      </c>
      <c r="AL1632" s="1">
        <v>4.0</v>
      </c>
      <c r="AM1632" s="1">
        <v>3.0</v>
      </c>
      <c r="AN1632" s="1">
        <v>1.0</v>
      </c>
      <c r="AO1632" s="1" t="s">
        <v>198</v>
      </c>
      <c r="AP1632" s="1">
        <v>1.0</v>
      </c>
      <c r="AQ1632" s="1" t="s">
        <v>198</v>
      </c>
      <c r="AR1632" s="1" t="s">
        <v>192</v>
      </c>
      <c r="AS1632" s="1" t="s">
        <v>199</v>
      </c>
      <c r="AT1632" s="1">
        <v>3.0</v>
      </c>
      <c r="AV1632" s="1" t="s">
        <v>200</v>
      </c>
      <c r="AW1632" s="1">
        <v>482.24</v>
      </c>
      <c r="AX1632" s="1">
        <v>2013.0</v>
      </c>
      <c r="AZ1632" s="1" t="s">
        <v>200</v>
      </c>
      <c r="BA1632" s="1" t="str">
        <f>"0813402011"</f>
        <v>0813402011</v>
      </c>
      <c r="BC1632" s="1">
        <v>5000.0</v>
      </c>
      <c r="BD1632" s="1">
        <v>910000.0</v>
      </c>
      <c r="BE1632" s="2">
        <v>41857.0</v>
      </c>
      <c r="BF1632" s="2" t="s">
        <v>16329</v>
      </c>
      <c r="BG1632" s="1" t="s">
        <v>6840</v>
      </c>
      <c r="BH1632" s="1">
        <v>1600.0</v>
      </c>
      <c r="BI1632" s="1" t="s">
        <v>2199</v>
      </c>
      <c r="BJ1632" s="1" t="s">
        <v>2200</v>
      </c>
      <c r="BK1632" s="1" t="s">
        <v>580</v>
      </c>
      <c r="BL1632" s="1" t="str">
        <f t="shared" ref="BL1632:BM1632" si="1070">""</f>
        <v/>
      </c>
      <c r="BM1632" s="1" t="str">
        <f t="shared" si="1070"/>
        <v/>
      </c>
      <c r="BQ1632" s="1">
        <v>303.0</v>
      </c>
      <c r="BR1632" s="1">
        <v>303.0</v>
      </c>
      <c r="BS1632" s="1">
        <v>303.0</v>
      </c>
      <c r="BV1632" s="1" t="s">
        <v>204</v>
      </c>
      <c r="BY1632" s="1" t="s">
        <v>2014</v>
      </c>
      <c r="BZ1632" s="1" t="s">
        <v>209</v>
      </c>
      <c r="CA1632" s="1" t="s">
        <v>210</v>
      </c>
      <c r="CC1632" s="1" t="s">
        <v>677</v>
      </c>
      <c r="CD1632" s="1" t="s">
        <v>206</v>
      </c>
      <c r="CE1632" s="1" t="s">
        <v>207</v>
      </c>
      <c r="CG1632" s="1" t="s">
        <v>616</v>
      </c>
      <c r="CH1632" s="1" t="s">
        <v>209</v>
      </c>
      <c r="CI1632" s="1" t="s">
        <v>210</v>
      </c>
      <c r="CK1632" s="1" t="s">
        <v>260</v>
      </c>
      <c r="CL1632" s="1" t="s">
        <v>209</v>
      </c>
      <c r="CM1632" s="1" t="s">
        <v>210</v>
      </c>
      <c r="CO1632" s="1" t="s">
        <v>1063</v>
      </c>
      <c r="CP1632" s="1" t="s">
        <v>209</v>
      </c>
      <c r="CQ1632" s="1" t="s">
        <v>210</v>
      </c>
      <c r="CS1632" s="1" t="s">
        <v>677</v>
      </c>
      <c r="CT1632" s="1" t="s">
        <v>206</v>
      </c>
      <c r="CU1632" s="1" t="s">
        <v>207</v>
      </c>
      <c r="CW1632" s="1" t="s">
        <v>1623</v>
      </c>
      <c r="CX1632" s="1" t="s">
        <v>206</v>
      </c>
      <c r="CY1632" s="1" t="s">
        <v>207</v>
      </c>
      <c r="DA1632" s="1" t="s">
        <v>200</v>
      </c>
      <c r="DB1632" s="2">
        <v>41913.0</v>
      </c>
      <c r="DC1632" s="1" t="s">
        <v>1046</v>
      </c>
      <c r="DD1632" s="1" t="s">
        <v>1552</v>
      </c>
      <c r="DE1632" s="1" t="s">
        <v>273</v>
      </c>
      <c r="DF1632" s="1" t="s">
        <v>219</v>
      </c>
      <c r="DG1632" s="1" t="s">
        <v>3020</v>
      </c>
      <c r="DH1632" s="1" t="s">
        <v>1603</v>
      </c>
      <c r="DI1632" s="1" t="s">
        <v>483</v>
      </c>
      <c r="DJ1632" s="1" t="s">
        <v>222</v>
      </c>
      <c r="DL1632" s="1" t="s">
        <v>223</v>
      </c>
      <c r="DM1632" s="1" t="s">
        <v>338</v>
      </c>
      <c r="DN1632" s="1" t="s">
        <v>399</v>
      </c>
      <c r="DO1632" s="1" t="s">
        <v>486</v>
      </c>
      <c r="DP1632" s="1" t="s">
        <v>340</v>
      </c>
      <c r="DQ1632" s="1" t="s">
        <v>1557</v>
      </c>
      <c r="DR1632" s="1" t="s">
        <v>588</v>
      </c>
      <c r="DV1632" s="1" t="s">
        <v>16330</v>
      </c>
      <c r="DW1632" s="1" t="s">
        <v>1145</v>
      </c>
      <c r="DX1632" s="1" t="s">
        <v>234</v>
      </c>
      <c r="DY1632" s="1" t="s">
        <v>596</v>
      </c>
      <c r="DZ1632" s="1" t="s">
        <v>282</v>
      </c>
      <c r="EA1632" s="1" t="s">
        <v>344</v>
      </c>
      <c r="EB1632" s="1" t="s">
        <v>1639</v>
      </c>
      <c r="EC1632" s="1" t="s">
        <v>237</v>
      </c>
      <c r="ED1632" s="1" t="s">
        <v>407</v>
      </c>
      <c r="EG1632" s="1" t="s">
        <v>451</v>
      </c>
      <c r="EH1632" s="1" t="s">
        <v>720</v>
      </c>
      <c r="EI1632" s="1" t="s">
        <v>556</v>
      </c>
      <c r="EJ1632" s="1" t="s">
        <v>598</v>
      </c>
      <c r="EK1632" s="1" t="s">
        <v>408</v>
      </c>
      <c r="EL1632" s="1" t="s">
        <v>364</v>
      </c>
      <c r="EM1632" s="1" t="s">
        <v>209</v>
      </c>
      <c r="EN1632" s="1" t="s">
        <v>210</v>
      </c>
      <c r="EP1632" s="1" t="s">
        <v>6562</v>
      </c>
      <c r="EQ1632" s="1" t="s">
        <v>206</v>
      </c>
      <c r="ER1632" s="1" t="s">
        <v>268</v>
      </c>
      <c r="ET1632" s="1" t="s">
        <v>3989</v>
      </c>
      <c r="EU1632" s="1" t="s">
        <v>206</v>
      </c>
      <c r="EV1632" s="1" t="s">
        <v>207</v>
      </c>
      <c r="EX1632" s="1" t="s">
        <v>2219</v>
      </c>
      <c r="EY1632" s="1" t="s">
        <v>206</v>
      </c>
      <c r="EZ1632" s="1" t="s">
        <v>207</v>
      </c>
      <c r="FB1632" s="1" t="s">
        <v>1183</v>
      </c>
      <c r="FC1632" s="1" t="s">
        <v>206</v>
      </c>
      <c r="FD1632" s="1" t="s">
        <v>207</v>
      </c>
      <c r="FF1632" s="1" t="s">
        <v>239</v>
      </c>
      <c r="FG1632" s="1" t="s">
        <v>192</v>
      </c>
      <c r="FH1632" s="1" t="s">
        <v>192</v>
      </c>
      <c r="FJ1632" s="1" t="s">
        <v>2206</v>
      </c>
      <c r="FK1632" s="1" t="s">
        <v>229</v>
      </c>
      <c r="FL1632" s="1" t="s">
        <v>1212</v>
      </c>
      <c r="FM1632" s="1">
        <v>30.0</v>
      </c>
      <c r="FN1632" s="1" t="s">
        <v>1213</v>
      </c>
      <c r="FO1632" s="1" t="s">
        <v>10026</v>
      </c>
      <c r="FP1632" s="1">
        <v>7679.0</v>
      </c>
      <c r="FQ1632" s="1" t="s">
        <v>10027</v>
      </c>
      <c r="FU1632" s="1" t="s">
        <v>16331</v>
      </c>
      <c r="FV1632" s="1" t="s">
        <v>200</v>
      </c>
      <c r="FW1632" s="1" t="s">
        <v>290</v>
      </c>
      <c r="FZ1632" s="1" t="s">
        <v>229</v>
      </c>
      <c r="GA1632" s="1" t="s">
        <v>291</v>
      </c>
      <c r="GB1632" s="2">
        <v>42083.0</v>
      </c>
      <c r="GC1632" s="1" t="s">
        <v>16332</v>
      </c>
    </row>
    <row r="1633">
      <c r="A1633" s="1">
        <v>422000.0</v>
      </c>
      <c r="B1633" s="1" t="s">
        <v>185</v>
      </c>
      <c r="C1633" s="1" t="str">
        <f>"08689722"</f>
        <v>08689722</v>
      </c>
      <c r="D1633" s="1" t="s">
        <v>186</v>
      </c>
      <c r="F1633" s="1" t="str">
        <f t="shared" si="1071"/>
        <v>174</v>
      </c>
      <c r="G1633" s="2">
        <v>41852.0</v>
      </c>
      <c r="H1633" s="1">
        <v>439900.0</v>
      </c>
      <c r="I1633" s="1">
        <v>84.0</v>
      </c>
      <c r="J1633" s="1">
        <v>434900.0</v>
      </c>
      <c r="K1633" s="2">
        <v>41935.0</v>
      </c>
      <c r="L1633" s="1">
        <v>84.0</v>
      </c>
      <c r="M1633" s="2">
        <v>41935.0</v>
      </c>
      <c r="N1633" s="1" t="s">
        <v>187</v>
      </c>
      <c r="O1633" s="2">
        <v>41984.0</v>
      </c>
      <c r="P1633" s="1">
        <v>239071.0</v>
      </c>
      <c r="Q1633" s="1">
        <v>25188.0</v>
      </c>
      <c r="R1633" s="1">
        <v>5000.0</v>
      </c>
      <c r="S1633" s="1">
        <v>13.0</v>
      </c>
      <c r="T1633" s="1" t="s">
        <v>16333</v>
      </c>
      <c r="U1633" s="1" t="s">
        <v>569</v>
      </c>
      <c r="V1633" s="1" t="s">
        <v>1200</v>
      </c>
      <c r="W1633" s="1">
        <v>60174.0</v>
      </c>
      <c r="Y1633" s="1" t="s">
        <v>16334</v>
      </c>
      <c r="Z1633" s="1">
        <v>1984.0</v>
      </c>
      <c r="AA1633" s="1" t="s">
        <v>200</v>
      </c>
      <c r="AB1633" s="1" t="s">
        <v>193</v>
      </c>
      <c r="AD1633" s="1" t="s">
        <v>1203</v>
      </c>
      <c r="AE1633" s="1" t="s">
        <v>325</v>
      </c>
      <c r="AF1633" s="1" t="s">
        <v>1203</v>
      </c>
      <c r="AH1633" s="1" t="s">
        <v>16335</v>
      </c>
      <c r="AI1633" s="1">
        <v>0.9</v>
      </c>
      <c r="AK1633" s="1">
        <v>9.0</v>
      </c>
      <c r="AL1633" s="1">
        <v>4.0</v>
      </c>
      <c r="AM1633" s="1">
        <v>2.0</v>
      </c>
      <c r="AN1633" s="1">
        <v>1.0</v>
      </c>
      <c r="AO1633" s="1" t="s">
        <v>198</v>
      </c>
      <c r="AP1633" s="1">
        <v>1.0</v>
      </c>
      <c r="AQ1633" s="1" t="s">
        <v>198</v>
      </c>
      <c r="AR1633" s="1" t="s">
        <v>200</v>
      </c>
      <c r="AS1633" s="1" t="s">
        <v>199</v>
      </c>
      <c r="AT1633" s="1">
        <v>2.0</v>
      </c>
      <c r="AV1633" s="1" t="s">
        <v>200</v>
      </c>
      <c r="AW1633" s="1">
        <v>12905.9</v>
      </c>
      <c r="AX1633" s="1">
        <v>2013.0</v>
      </c>
      <c r="AY1633" s="1" t="s">
        <v>1179</v>
      </c>
      <c r="AZ1633" s="1" t="s">
        <v>200</v>
      </c>
      <c r="BA1633" s="1" t="str">
        <f>"0922450006"</f>
        <v>0922450006</v>
      </c>
      <c r="BB1633" s="1" t="s">
        <v>200</v>
      </c>
      <c r="BC1633" s="1">
        <v>3299.0</v>
      </c>
      <c r="BD1633" s="1">
        <v>422000.0</v>
      </c>
      <c r="BE1633" s="2">
        <v>41852.0</v>
      </c>
      <c r="BF1633" s="2" t="s">
        <v>16336</v>
      </c>
      <c r="BH1633" s="1">
        <v>200.0</v>
      </c>
      <c r="BI1633" s="1" t="s">
        <v>2143</v>
      </c>
      <c r="BJ1633" s="1" t="s">
        <v>2144</v>
      </c>
      <c r="BK1633" s="1" t="s">
        <v>580</v>
      </c>
      <c r="BL1633" s="1" t="str">
        <f>"4"</f>
        <v>4</v>
      </c>
      <c r="BM1633" s="1" t="str">
        <f>"0"</f>
        <v>0</v>
      </c>
      <c r="BN1633" s="1">
        <v>34.0</v>
      </c>
      <c r="BO1633" s="1">
        <v>0.0</v>
      </c>
      <c r="BQ1633" s="1">
        <v>303.0</v>
      </c>
      <c r="BR1633" s="1">
        <v>303.0</v>
      </c>
      <c r="BS1633" s="1">
        <v>303.0</v>
      </c>
      <c r="BU1633" s="1" t="s">
        <v>515</v>
      </c>
      <c r="BV1633" s="1" t="s">
        <v>209</v>
      </c>
      <c r="BW1633" s="1" t="s">
        <v>210</v>
      </c>
      <c r="BX1633" s="1" t="s">
        <v>229</v>
      </c>
      <c r="BY1633" s="1" t="s">
        <v>515</v>
      </c>
      <c r="BZ1633" s="1" t="s">
        <v>209</v>
      </c>
      <c r="CA1633" s="1" t="s">
        <v>210</v>
      </c>
      <c r="CB1633" s="1" t="s">
        <v>1549</v>
      </c>
      <c r="CC1633" s="1" t="s">
        <v>361</v>
      </c>
      <c r="CD1633" s="1" t="s">
        <v>206</v>
      </c>
      <c r="CE1633" s="1" t="s">
        <v>207</v>
      </c>
      <c r="CF1633" s="1" t="s">
        <v>229</v>
      </c>
      <c r="CG1633" s="1" t="s">
        <v>362</v>
      </c>
      <c r="CH1633" s="1" t="s">
        <v>209</v>
      </c>
      <c r="CI1633" s="1" t="s">
        <v>210</v>
      </c>
      <c r="CJ1633" s="1" t="s">
        <v>229</v>
      </c>
      <c r="CK1633" s="1" t="s">
        <v>329</v>
      </c>
      <c r="CL1633" s="1" t="s">
        <v>209</v>
      </c>
      <c r="CM1633" s="1" t="s">
        <v>210</v>
      </c>
      <c r="CN1633" s="1" t="s">
        <v>229</v>
      </c>
      <c r="CO1633" s="1" t="s">
        <v>215</v>
      </c>
      <c r="CP1633" s="1" t="s">
        <v>209</v>
      </c>
      <c r="CQ1633" s="1" t="s">
        <v>210</v>
      </c>
      <c r="CR1633" s="1" t="s">
        <v>229</v>
      </c>
      <c r="CS1633" s="1" t="s">
        <v>515</v>
      </c>
      <c r="CT1633" s="1" t="s">
        <v>206</v>
      </c>
      <c r="CU1633" s="1" t="s">
        <v>268</v>
      </c>
      <c r="CV1633" s="1" t="s">
        <v>229</v>
      </c>
      <c r="CW1633" s="1" t="s">
        <v>434</v>
      </c>
      <c r="CX1633" s="1" t="s">
        <v>206</v>
      </c>
      <c r="CY1633" s="1" t="s">
        <v>207</v>
      </c>
      <c r="CZ1633" s="1" t="s">
        <v>229</v>
      </c>
      <c r="DA1633" s="1" t="s">
        <v>200</v>
      </c>
      <c r="DC1633" s="1" t="s">
        <v>305</v>
      </c>
      <c r="DD1633" s="1" t="s">
        <v>336</v>
      </c>
      <c r="DE1633" s="1" t="s">
        <v>273</v>
      </c>
      <c r="DF1633" s="1" t="s">
        <v>219</v>
      </c>
      <c r="DH1633" s="1" t="s">
        <v>220</v>
      </c>
      <c r="DI1633" s="1" t="s">
        <v>221</v>
      </c>
      <c r="DJ1633" s="1" t="s">
        <v>222</v>
      </c>
      <c r="DK1633" s="1" t="s">
        <v>223</v>
      </c>
      <c r="DL1633" s="1" t="s">
        <v>223</v>
      </c>
      <c r="DM1633" s="1" t="s">
        <v>338</v>
      </c>
      <c r="DN1633" s="1" t="s">
        <v>399</v>
      </c>
      <c r="DO1633" s="1" t="s">
        <v>859</v>
      </c>
      <c r="DP1633" s="1" t="s">
        <v>340</v>
      </c>
      <c r="DQ1633" s="1" t="s">
        <v>1557</v>
      </c>
      <c r="DR1633" s="1" t="s">
        <v>1487</v>
      </c>
      <c r="DS1633" s="1" t="s">
        <v>368</v>
      </c>
      <c r="DU1633" s="1" t="s">
        <v>14724</v>
      </c>
      <c r="DV1633" s="1" t="s">
        <v>16337</v>
      </c>
      <c r="DW1633" s="1" t="s">
        <v>764</v>
      </c>
      <c r="DX1633" s="1" t="s">
        <v>309</v>
      </c>
      <c r="DY1633" s="1" t="s">
        <v>3125</v>
      </c>
      <c r="DZ1633" s="1" t="s">
        <v>16338</v>
      </c>
      <c r="EB1633" s="1" t="s">
        <v>345</v>
      </c>
      <c r="EC1633" s="1" t="s">
        <v>237</v>
      </c>
      <c r="ED1633" s="1" t="s">
        <v>407</v>
      </c>
      <c r="EE1633" s="1" t="s">
        <v>1077</v>
      </c>
      <c r="EG1633" s="1" t="s">
        <v>494</v>
      </c>
      <c r="EH1633" s="1" t="s">
        <v>310</v>
      </c>
      <c r="EI1633" s="1" t="s">
        <v>2129</v>
      </c>
      <c r="EL1633" s="1" t="s">
        <v>262</v>
      </c>
      <c r="EM1633" s="1" t="s">
        <v>206</v>
      </c>
      <c r="EN1633" s="1" t="s">
        <v>207</v>
      </c>
      <c r="EO1633" s="1" t="s">
        <v>229</v>
      </c>
      <c r="EP1633" s="1" t="s">
        <v>3092</v>
      </c>
      <c r="EQ1633" s="1" t="s">
        <v>206</v>
      </c>
      <c r="ET1633" s="1" t="s">
        <v>211</v>
      </c>
      <c r="EU1633" s="1" t="s">
        <v>206</v>
      </c>
      <c r="EY1633" s="1" t="s">
        <v>238</v>
      </c>
      <c r="FC1633" s="1" t="s">
        <v>238</v>
      </c>
      <c r="FF1633" s="1" t="s">
        <v>239</v>
      </c>
      <c r="FG1633" s="1" t="s">
        <v>192</v>
      </c>
      <c r="FH1633" s="1" t="s">
        <v>192</v>
      </c>
      <c r="FJ1633" s="1" t="s">
        <v>455</v>
      </c>
      <c r="FK1633" s="1" t="s">
        <v>229</v>
      </c>
      <c r="FL1633" s="1" t="s">
        <v>456</v>
      </c>
      <c r="FM1633" s="1">
        <v>49.0</v>
      </c>
      <c r="FN1633" s="1" t="s">
        <v>457</v>
      </c>
      <c r="FO1633" s="1" t="s">
        <v>458</v>
      </c>
      <c r="FP1633" s="1">
        <v>1222.0</v>
      </c>
      <c r="FQ1633" s="1" t="s">
        <v>459</v>
      </c>
      <c r="FU1633" s="1" t="s">
        <v>13396</v>
      </c>
      <c r="FV1633" s="1" t="s">
        <v>200</v>
      </c>
      <c r="FW1633" s="1" t="s">
        <v>461</v>
      </c>
      <c r="FZ1633" s="1" t="s">
        <v>229</v>
      </c>
      <c r="GA1633" s="1" t="s">
        <v>291</v>
      </c>
      <c r="GB1633" s="2">
        <v>41984.0</v>
      </c>
      <c r="GC1633" s="1" t="s">
        <v>16339</v>
      </c>
    </row>
    <row r="1634">
      <c r="A1634" s="1">
        <v>275000.0</v>
      </c>
      <c r="B1634" s="1" t="s">
        <v>185</v>
      </c>
      <c r="C1634" s="1" t="str">
        <f>"08683734"</f>
        <v>08683734</v>
      </c>
      <c r="D1634" s="1" t="s">
        <v>186</v>
      </c>
      <c r="F1634" s="1" t="str">
        <f>"10"</f>
        <v>10</v>
      </c>
      <c r="G1634" s="2">
        <v>41845.0</v>
      </c>
      <c r="H1634" s="1">
        <v>347900.0</v>
      </c>
      <c r="I1634" s="1">
        <v>472.0</v>
      </c>
      <c r="J1634" s="1">
        <v>300000.0</v>
      </c>
      <c r="K1634" s="2">
        <v>41944.0</v>
      </c>
      <c r="L1634" s="1">
        <v>100.0</v>
      </c>
      <c r="M1634" s="2">
        <v>41944.0</v>
      </c>
      <c r="N1634" s="1" t="s">
        <v>356</v>
      </c>
      <c r="O1634" s="2">
        <v>41989.0</v>
      </c>
      <c r="P1634" s="1">
        <v>89293.0</v>
      </c>
      <c r="Q1634" s="1">
        <v>1419.0</v>
      </c>
      <c r="S1634" s="1">
        <v>21236.0</v>
      </c>
      <c r="T1634" s="1" t="s">
        <v>16340</v>
      </c>
      <c r="U1634" s="1" t="s">
        <v>569</v>
      </c>
      <c r="V1634" s="1" t="s">
        <v>1706</v>
      </c>
      <c r="W1634" s="1">
        <v>60010.0</v>
      </c>
      <c r="Y1634" s="1" t="s">
        <v>16341</v>
      </c>
      <c r="Z1634" s="1">
        <v>1962.0</v>
      </c>
      <c r="AA1634" s="1" t="s">
        <v>192</v>
      </c>
      <c r="AB1634" s="1" t="s">
        <v>193</v>
      </c>
      <c r="AC1634" s="1" t="s">
        <v>16342</v>
      </c>
      <c r="AD1634" s="1" t="s">
        <v>1089</v>
      </c>
      <c r="AE1634" s="1" t="s">
        <v>917</v>
      </c>
      <c r="AF1634" s="1" t="s">
        <v>2008</v>
      </c>
      <c r="AH1634" s="1" t="s">
        <v>16343</v>
      </c>
      <c r="AI1634" s="1">
        <v>0.75</v>
      </c>
      <c r="AK1634" s="1">
        <v>9.0</v>
      </c>
      <c r="AL1634" s="1">
        <v>4.0</v>
      </c>
      <c r="AM1634" s="1">
        <v>3.0</v>
      </c>
      <c r="AN1634" s="1">
        <v>0.0</v>
      </c>
      <c r="AO1634" s="1" t="s">
        <v>198</v>
      </c>
      <c r="AP1634" s="1">
        <v>1.0</v>
      </c>
      <c r="AQ1634" s="1" t="s">
        <v>1314</v>
      </c>
      <c r="AR1634" s="1" t="s">
        <v>192</v>
      </c>
      <c r="AS1634" s="1" t="s">
        <v>199</v>
      </c>
      <c r="AT1634" s="1">
        <v>2.0</v>
      </c>
      <c r="AV1634" s="1" t="s">
        <v>200</v>
      </c>
      <c r="AW1634" s="1">
        <v>7491.7</v>
      </c>
      <c r="AX1634" s="1">
        <v>2013.0</v>
      </c>
      <c r="AY1634" s="1" t="s">
        <v>387</v>
      </c>
      <c r="AZ1634" s="1" t="s">
        <v>545</v>
      </c>
      <c r="BA1634" s="1" t="str">
        <f>"13253030090000"</f>
        <v>13253030090000</v>
      </c>
      <c r="BB1634" s="1" t="s">
        <v>200</v>
      </c>
      <c r="BC1634" s="1">
        <v>2300.0</v>
      </c>
      <c r="BD1634" s="1">
        <v>275000.0</v>
      </c>
      <c r="BE1634" s="2">
        <v>41845.0</v>
      </c>
      <c r="BF1634" s="2" t="s">
        <v>16344</v>
      </c>
      <c r="BG1634" s="1" t="s">
        <v>10354</v>
      </c>
      <c r="BH1634" s="1">
        <v>0.0</v>
      </c>
      <c r="BI1634" s="1" t="s">
        <v>11276</v>
      </c>
      <c r="BJ1634" s="1" t="s">
        <v>1714</v>
      </c>
      <c r="BK1634" s="1" t="s">
        <v>204</v>
      </c>
      <c r="BL1634" s="1" t="str">
        <f t="shared" ref="BL1634:BM1634" si="1072">""</f>
        <v/>
      </c>
      <c r="BM1634" s="1" t="str">
        <f t="shared" si="1072"/>
        <v/>
      </c>
      <c r="BQ1634" s="1">
        <v>220.0</v>
      </c>
      <c r="BR1634" s="1">
        <v>220.0</v>
      </c>
      <c r="BS1634" s="1">
        <v>220.0</v>
      </c>
      <c r="BU1634" s="1" t="s">
        <v>783</v>
      </c>
      <c r="BV1634" s="1" t="s">
        <v>206</v>
      </c>
      <c r="BW1634" s="1" t="s">
        <v>207</v>
      </c>
      <c r="BX1634" s="1" t="s">
        <v>229</v>
      </c>
      <c r="BY1634" s="1" t="s">
        <v>329</v>
      </c>
      <c r="BZ1634" s="1" t="s">
        <v>209</v>
      </c>
      <c r="CA1634" s="1" t="s">
        <v>207</v>
      </c>
      <c r="CB1634" s="1" t="s">
        <v>229</v>
      </c>
      <c r="CC1634" s="1" t="s">
        <v>392</v>
      </c>
      <c r="CD1634" s="1" t="s">
        <v>206</v>
      </c>
      <c r="CE1634" s="1" t="s">
        <v>207</v>
      </c>
      <c r="CF1634" s="1" t="s">
        <v>229</v>
      </c>
      <c r="CG1634" s="1" t="s">
        <v>329</v>
      </c>
      <c r="CH1634" s="1" t="s">
        <v>209</v>
      </c>
      <c r="CI1634" s="1" t="s">
        <v>207</v>
      </c>
      <c r="CJ1634" s="1" t="s">
        <v>229</v>
      </c>
      <c r="CK1634" s="1" t="s">
        <v>497</v>
      </c>
      <c r="CL1634" s="1" t="s">
        <v>209</v>
      </c>
      <c r="CM1634" s="1" t="s">
        <v>207</v>
      </c>
      <c r="CN1634" s="1" t="s">
        <v>229</v>
      </c>
      <c r="CO1634" s="1" t="s">
        <v>495</v>
      </c>
      <c r="CP1634" s="1" t="s">
        <v>209</v>
      </c>
      <c r="CQ1634" s="1" t="s">
        <v>207</v>
      </c>
      <c r="CR1634" s="1" t="s">
        <v>229</v>
      </c>
      <c r="CS1634" s="1" t="s">
        <v>584</v>
      </c>
      <c r="CT1634" s="1" t="s">
        <v>206</v>
      </c>
      <c r="CU1634" s="1" t="s">
        <v>268</v>
      </c>
      <c r="CV1634" s="1" t="s">
        <v>229</v>
      </c>
      <c r="CW1634" s="1" t="s">
        <v>11225</v>
      </c>
      <c r="CX1634" s="1" t="s">
        <v>267</v>
      </c>
      <c r="CY1634" s="1" t="s">
        <v>268</v>
      </c>
      <c r="CZ1634" s="1" t="s">
        <v>229</v>
      </c>
      <c r="DA1634" s="1" t="s">
        <v>200</v>
      </c>
      <c r="DC1634" s="1" t="s">
        <v>271</v>
      </c>
      <c r="DD1634" s="1" t="s">
        <v>396</v>
      </c>
      <c r="DE1634" s="1" t="s">
        <v>273</v>
      </c>
      <c r="DF1634" s="1" t="s">
        <v>219</v>
      </c>
      <c r="DH1634" s="1" t="s">
        <v>1603</v>
      </c>
      <c r="DI1634" s="1" t="s">
        <v>366</v>
      </c>
      <c r="DJ1634" s="1" t="s">
        <v>857</v>
      </c>
      <c r="DL1634" s="1" t="s">
        <v>1161</v>
      </c>
      <c r="DM1634" s="1" t="s">
        <v>929</v>
      </c>
      <c r="DQ1634" s="1" t="s">
        <v>1557</v>
      </c>
      <c r="DR1634" s="1" t="s">
        <v>229</v>
      </c>
      <c r="DS1634" s="1" t="s">
        <v>277</v>
      </c>
      <c r="DU1634" s="1" t="s">
        <v>2550</v>
      </c>
      <c r="DV1634" s="1" t="s">
        <v>494</v>
      </c>
      <c r="DW1634" s="1" t="s">
        <v>279</v>
      </c>
      <c r="DX1634" s="1" t="s">
        <v>234</v>
      </c>
      <c r="DY1634" s="1" t="s">
        <v>704</v>
      </c>
      <c r="DZ1634" s="1" t="s">
        <v>1466</v>
      </c>
      <c r="EB1634" s="1" t="s">
        <v>345</v>
      </c>
      <c r="EC1634" s="1" t="s">
        <v>284</v>
      </c>
      <c r="ED1634" s="1" t="s">
        <v>407</v>
      </c>
      <c r="EE1634" s="1" t="s">
        <v>1077</v>
      </c>
      <c r="EG1634" s="1" t="s">
        <v>494</v>
      </c>
      <c r="EL1634" s="1" t="s">
        <v>497</v>
      </c>
      <c r="EM1634" s="1" t="s">
        <v>267</v>
      </c>
      <c r="EN1634" s="1" t="s">
        <v>268</v>
      </c>
      <c r="EO1634" s="1" t="s">
        <v>229</v>
      </c>
      <c r="EQ1634" s="1" t="s">
        <v>238</v>
      </c>
      <c r="EU1634" s="1" t="s">
        <v>238</v>
      </c>
      <c r="EY1634" s="1" t="s">
        <v>238</v>
      </c>
      <c r="FC1634" s="1" t="s">
        <v>238</v>
      </c>
      <c r="FF1634" s="1" t="s">
        <v>239</v>
      </c>
      <c r="FG1634" s="1" t="s">
        <v>192</v>
      </c>
      <c r="FH1634" s="1" t="s">
        <v>192</v>
      </c>
      <c r="FJ1634" s="1" t="s">
        <v>2262</v>
      </c>
      <c r="FK1634" s="1" t="s">
        <v>229</v>
      </c>
      <c r="FL1634" s="1" t="s">
        <v>16345</v>
      </c>
      <c r="FM1634" s="1">
        <v>6484.0</v>
      </c>
      <c r="FN1634" s="1" t="s">
        <v>16346</v>
      </c>
      <c r="FO1634" s="1" t="s">
        <v>16347</v>
      </c>
      <c r="FP1634" s="1">
        <v>63165.0</v>
      </c>
      <c r="FQ1634" s="1" t="s">
        <v>16348</v>
      </c>
      <c r="FU1634" s="1" t="s">
        <v>8216</v>
      </c>
      <c r="FV1634" s="1" t="s">
        <v>200</v>
      </c>
      <c r="FW1634" s="1" t="s">
        <v>16349</v>
      </c>
      <c r="FX1634" s="1" t="s">
        <v>238</v>
      </c>
      <c r="FZ1634" s="1" t="s">
        <v>229</v>
      </c>
      <c r="GA1634" s="1" t="s">
        <v>291</v>
      </c>
      <c r="GB1634" s="2">
        <v>41989.0</v>
      </c>
    </row>
    <row r="1635">
      <c r="A1635" s="1">
        <v>700000.0</v>
      </c>
      <c r="B1635" s="1" t="s">
        <v>185</v>
      </c>
      <c r="C1635" s="1" t="str">
        <f>"08687112"</f>
        <v>08687112</v>
      </c>
      <c r="D1635" s="1" t="s">
        <v>186</v>
      </c>
      <c r="F1635" s="1" t="str">
        <f>"174"</f>
        <v>174</v>
      </c>
      <c r="G1635" s="2">
        <v>41850.0</v>
      </c>
      <c r="H1635" s="1">
        <v>774900.0</v>
      </c>
      <c r="I1635" s="1">
        <v>88.0</v>
      </c>
      <c r="J1635" s="1">
        <v>739000.0</v>
      </c>
      <c r="K1635" s="2">
        <v>41937.0</v>
      </c>
      <c r="L1635" s="1">
        <v>88.0</v>
      </c>
      <c r="M1635" s="2">
        <v>41937.0</v>
      </c>
      <c r="N1635" s="1" t="s">
        <v>187</v>
      </c>
      <c r="O1635" s="2">
        <v>41989.0</v>
      </c>
      <c r="P1635" s="1">
        <v>381.0</v>
      </c>
      <c r="Q1635" s="1">
        <v>604.0</v>
      </c>
      <c r="S1635" s="1" t="s">
        <v>16350</v>
      </c>
      <c r="T1635" s="1" t="s">
        <v>2664</v>
      </c>
      <c r="U1635" s="1" t="s">
        <v>464</v>
      </c>
      <c r="V1635" s="1" t="s">
        <v>1200</v>
      </c>
      <c r="W1635" s="1">
        <v>60175.0</v>
      </c>
      <c r="Y1635" s="1" t="s">
        <v>16351</v>
      </c>
      <c r="Z1635" s="1">
        <v>1992.0</v>
      </c>
      <c r="AA1635" s="1" t="s">
        <v>200</v>
      </c>
      <c r="AB1635" s="1" t="s">
        <v>193</v>
      </c>
      <c r="AC1635" s="1" t="s">
        <v>2834</v>
      </c>
      <c r="AD1635" s="1" t="s">
        <v>1089</v>
      </c>
      <c r="AE1635" s="1" t="s">
        <v>325</v>
      </c>
      <c r="AF1635" s="1" t="s">
        <v>1203</v>
      </c>
      <c r="AH1635" s="1" t="s">
        <v>16352</v>
      </c>
      <c r="AI1635" s="1">
        <v>1.4561</v>
      </c>
      <c r="AK1635" s="1">
        <v>12.0</v>
      </c>
      <c r="AL1635" s="1">
        <v>4.0</v>
      </c>
      <c r="AM1635" s="1">
        <v>4.0</v>
      </c>
      <c r="AN1635" s="1">
        <v>1.0</v>
      </c>
      <c r="AO1635" s="1" t="s">
        <v>198</v>
      </c>
      <c r="AP1635" s="1">
        <v>1.0</v>
      </c>
      <c r="AQ1635" s="1" t="s">
        <v>472</v>
      </c>
      <c r="AR1635" s="1" t="s">
        <v>192</v>
      </c>
      <c r="AS1635" s="1" t="s">
        <v>199</v>
      </c>
      <c r="AT1635" s="1">
        <v>3.0</v>
      </c>
      <c r="AV1635" s="1" t="s">
        <v>200</v>
      </c>
      <c r="AW1635" s="1">
        <v>21544.0</v>
      </c>
      <c r="AX1635" s="1">
        <v>2013.0</v>
      </c>
      <c r="AY1635" s="1" t="s">
        <v>387</v>
      </c>
      <c r="AZ1635" s="1" t="s">
        <v>200</v>
      </c>
      <c r="BA1635" s="1" t="str">
        <f>"0904454011"</f>
        <v>0904454011</v>
      </c>
      <c r="BB1635" s="1" t="s">
        <v>200</v>
      </c>
      <c r="BC1635" s="1">
        <v>5173.0</v>
      </c>
      <c r="BD1635" s="1">
        <v>700000.0</v>
      </c>
      <c r="BE1635" s="2">
        <v>41850.0</v>
      </c>
      <c r="BF1635" s="2" t="s">
        <v>16353</v>
      </c>
      <c r="BG1635" s="1" t="s">
        <v>4510</v>
      </c>
      <c r="BH1635" s="1">
        <v>1000.0</v>
      </c>
      <c r="BI1635" s="1" t="s">
        <v>4511</v>
      </c>
      <c r="BJ1635" s="1" t="s">
        <v>2200</v>
      </c>
      <c r="BK1635" s="1" t="s">
        <v>580</v>
      </c>
      <c r="BL1635" s="1" t="str">
        <f t="shared" ref="BL1635:BM1635" si="1073">""</f>
        <v/>
      </c>
      <c r="BM1635" s="1" t="str">
        <f t="shared" si="1073"/>
        <v/>
      </c>
      <c r="BQ1635" s="1">
        <v>303.0</v>
      </c>
      <c r="BR1635" s="1">
        <v>303.0</v>
      </c>
      <c r="BS1635" s="1">
        <v>303.0</v>
      </c>
      <c r="BU1635" s="1" t="s">
        <v>334</v>
      </c>
      <c r="BV1635" s="1" t="s">
        <v>206</v>
      </c>
      <c r="BW1635" s="1" t="s">
        <v>210</v>
      </c>
      <c r="BX1635" s="1" t="s">
        <v>431</v>
      </c>
      <c r="BY1635" s="1" t="s">
        <v>5655</v>
      </c>
      <c r="BZ1635" s="1" t="s">
        <v>206</v>
      </c>
      <c r="CA1635" s="1" t="s">
        <v>210</v>
      </c>
      <c r="CB1635" s="1" t="s">
        <v>261</v>
      </c>
      <c r="CC1635" s="1" t="s">
        <v>390</v>
      </c>
      <c r="CD1635" s="1" t="s">
        <v>206</v>
      </c>
      <c r="CE1635" s="1" t="s">
        <v>207</v>
      </c>
      <c r="CF1635" s="1" t="s">
        <v>431</v>
      </c>
      <c r="CG1635" s="1" t="s">
        <v>480</v>
      </c>
      <c r="CH1635" s="1" t="s">
        <v>209</v>
      </c>
      <c r="CI1635" s="1" t="s">
        <v>210</v>
      </c>
      <c r="CJ1635" s="1" t="s">
        <v>431</v>
      </c>
      <c r="CK1635" s="1" t="s">
        <v>1483</v>
      </c>
      <c r="CL1635" s="1" t="s">
        <v>209</v>
      </c>
      <c r="CM1635" s="1" t="s">
        <v>210</v>
      </c>
      <c r="CN1635" s="1" t="s">
        <v>431</v>
      </c>
      <c r="CO1635" s="1" t="s">
        <v>584</v>
      </c>
      <c r="CP1635" s="1" t="s">
        <v>209</v>
      </c>
      <c r="CQ1635" s="1" t="s">
        <v>210</v>
      </c>
      <c r="CR1635" s="1" t="s">
        <v>431</v>
      </c>
      <c r="CS1635" s="1" t="s">
        <v>4597</v>
      </c>
      <c r="CT1635" s="1" t="s">
        <v>206</v>
      </c>
      <c r="CU1635" s="1" t="s">
        <v>207</v>
      </c>
      <c r="CV1635" s="1" t="s">
        <v>431</v>
      </c>
      <c r="CW1635" s="1" t="s">
        <v>3658</v>
      </c>
      <c r="CX1635" s="1" t="s">
        <v>206</v>
      </c>
      <c r="CY1635" s="1" t="s">
        <v>210</v>
      </c>
      <c r="CZ1635" s="1" t="s">
        <v>431</v>
      </c>
      <c r="DA1635" s="1" t="s">
        <v>200</v>
      </c>
      <c r="DC1635" s="1" t="s">
        <v>435</v>
      </c>
      <c r="DD1635" s="1" t="s">
        <v>217</v>
      </c>
      <c r="DE1635" s="1" t="s">
        <v>218</v>
      </c>
      <c r="DF1635" s="1" t="s">
        <v>219</v>
      </c>
      <c r="DG1635" s="1" t="s">
        <v>15373</v>
      </c>
      <c r="DH1635" s="1" t="s">
        <v>1603</v>
      </c>
      <c r="DI1635" s="1" t="s">
        <v>5873</v>
      </c>
      <c r="DJ1635" s="1" t="s">
        <v>222</v>
      </c>
      <c r="DK1635" s="1" t="s">
        <v>223</v>
      </c>
      <c r="DL1635" s="1" t="s">
        <v>224</v>
      </c>
      <c r="DM1635" s="1" t="s">
        <v>338</v>
      </c>
      <c r="DN1635" s="1" t="s">
        <v>399</v>
      </c>
      <c r="DO1635" s="1" t="s">
        <v>486</v>
      </c>
      <c r="DP1635" s="1" t="s">
        <v>340</v>
      </c>
      <c r="DQ1635" s="1" t="s">
        <v>931</v>
      </c>
      <c r="DR1635" s="1" t="s">
        <v>588</v>
      </c>
      <c r="DS1635" s="1" t="s">
        <v>368</v>
      </c>
      <c r="DU1635" s="1" t="s">
        <v>16354</v>
      </c>
      <c r="DV1635" s="1" t="s">
        <v>16355</v>
      </c>
      <c r="DW1635" s="1" t="s">
        <v>764</v>
      </c>
      <c r="DX1635" s="1" t="s">
        <v>234</v>
      </c>
      <c r="DY1635" s="1" t="s">
        <v>9915</v>
      </c>
      <c r="DZ1635" s="1" t="s">
        <v>1100</v>
      </c>
      <c r="EA1635" s="1" t="s">
        <v>344</v>
      </c>
      <c r="EB1635" s="1" t="s">
        <v>492</v>
      </c>
      <c r="EC1635" s="1" t="s">
        <v>237</v>
      </c>
      <c r="ED1635" s="1" t="s">
        <v>407</v>
      </c>
      <c r="EG1635" s="1" t="s">
        <v>494</v>
      </c>
      <c r="EH1635" s="1" t="s">
        <v>557</v>
      </c>
      <c r="EI1635" s="1" t="s">
        <v>450</v>
      </c>
      <c r="EJ1635" s="1" t="s">
        <v>1824</v>
      </c>
      <c r="EL1635" s="1" t="s">
        <v>584</v>
      </c>
      <c r="EM1635" s="1" t="s">
        <v>206</v>
      </c>
      <c r="EN1635" s="1" t="s">
        <v>207</v>
      </c>
      <c r="EO1635" s="1" t="s">
        <v>431</v>
      </c>
      <c r="EP1635" s="1" t="s">
        <v>748</v>
      </c>
      <c r="EQ1635" s="1" t="s">
        <v>209</v>
      </c>
      <c r="ER1635" s="1" t="s">
        <v>210</v>
      </c>
      <c r="ES1635" s="1" t="s">
        <v>431</v>
      </c>
      <c r="ET1635" s="1" t="s">
        <v>16356</v>
      </c>
      <c r="EU1635" s="1" t="s">
        <v>42</v>
      </c>
      <c r="EV1635" s="1" t="s">
        <v>2615</v>
      </c>
      <c r="EW1635" s="1" t="s">
        <v>229</v>
      </c>
      <c r="EX1635" s="1" t="s">
        <v>2592</v>
      </c>
      <c r="EY1635" s="1" t="s">
        <v>42</v>
      </c>
      <c r="EZ1635" s="1" t="s">
        <v>210</v>
      </c>
      <c r="FA1635" s="1" t="s">
        <v>1549</v>
      </c>
      <c r="FC1635" s="1" t="s">
        <v>238</v>
      </c>
      <c r="FF1635" s="1" t="s">
        <v>239</v>
      </c>
      <c r="FG1635" s="1" t="s">
        <v>192</v>
      </c>
      <c r="FH1635" s="1" t="s">
        <v>192</v>
      </c>
      <c r="FJ1635" s="1" t="s">
        <v>3062</v>
      </c>
      <c r="FK1635" s="1" t="s">
        <v>229</v>
      </c>
      <c r="FL1635" s="1" t="s">
        <v>456</v>
      </c>
      <c r="FM1635" s="1">
        <v>49.0</v>
      </c>
      <c r="FN1635" s="1" t="s">
        <v>457</v>
      </c>
      <c r="FO1635" s="1" t="s">
        <v>5875</v>
      </c>
      <c r="FP1635" s="1">
        <v>1535.0</v>
      </c>
      <c r="FQ1635" s="1" t="s">
        <v>5876</v>
      </c>
      <c r="FR1635" s="1">
        <v>1916.0</v>
      </c>
      <c r="FU1635" s="1" t="s">
        <v>16357</v>
      </c>
      <c r="FV1635" s="1" t="s">
        <v>200</v>
      </c>
      <c r="FW1635" s="1" t="s">
        <v>290</v>
      </c>
      <c r="FZ1635" s="1" t="s">
        <v>229</v>
      </c>
      <c r="GA1635" s="1" t="s">
        <v>291</v>
      </c>
      <c r="GB1635" s="2">
        <v>41989.0</v>
      </c>
      <c r="GC1635" s="1" t="s">
        <v>16358</v>
      </c>
    </row>
    <row r="1636">
      <c r="A1636" s="1">
        <v>128000.0</v>
      </c>
      <c r="B1636" s="1" t="s">
        <v>185</v>
      </c>
      <c r="C1636" s="1" t="str">
        <f>"08688618"</f>
        <v>08688618</v>
      </c>
      <c r="D1636" s="1" t="s">
        <v>186</v>
      </c>
      <c r="F1636" s="1" t="str">
        <f>"8049"</f>
        <v>8049</v>
      </c>
      <c r="G1636" s="2">
        <v>41851.0</v>
      </c>
      <c r="H1636" s="1">
        <v>139900.0</v>
      </c>
      <c r="I1636" s="1">
        <v>105.0</v>
      </c>
      <c r="J1636" s="1">
        <v>129900.0</v>
      </c>
      <c r="K1636" s="2">
        <v>41955.0</v>
      </c>
      <c r="L1636" s="1">
        <v>105.0</v>
      </c>
      <c r="M1636" s="2">
        <v>41955.0</v>
      </c>
      <c r="N1636" s="1" t="s">
        <v>356</v>
      </c>
      <c r="O1636" s="2">
        <v>42044.0</v>
      </c>
      <c r="P1636" s="1">
        <v>167728.0</v>
      </c>
      <c r="Q1636" s="1">
        <v>16938.0</v>
      </c>
      <c r="S1636" s="1">
        <v>9718.0</v>
      </c>
      <c r="T1636" s="1" t="s">
        <v>7271</v>
      </c>
      <c r="U1636" s="1" t="s">
        <v>189</v>
      </c>
      <c r="V1636" s="1" t="s">
        <v>190</v>
      </c>
      <c r="W1636" s="1">
        <v>60628.0</v>
      </c>
      <c r="X1636" s="1">
        <v>1308.0</v>
      </c>
      <c r="Y1636" s="1" t="s">
        <v>16359</v>
      </c>
      <c r="Z1636" s="1">
        <v>1958.0</v>
      </c>
      <c r="AA1636" s="1" t="s">
        <v>192</v>
      </c>
      <c r="AB1636" s="1" t="s">
        <v>193</v>
      </c>
      <c r="AD1636" s="1" t="s">
        <v>194</v>
      </c>
      <c r="AE1636" s="1" t="s">
        <v>195</v>
      </c>
      <c r="AF1636" s="1" t="s">
        <v>659</v>
      </c>
      <c r="AG1636" s="1" t="s">
        <v>1132</v>
      </c>
      <c r="AH1636" s="1" t="s">
        <v>1501</v>
      </c>
      <c r="AK1636" s="1">
        <v>8.0</v>
      </c>
      <c r="AL1636" s="1">
        <v>4.0</v>
      </c>
      <c r="AM1636" s="1">
        <v>2.0</v>
      </c>
      <c r="AN1636" s="1">
        <v>0.0</v>
      </c>
      <c r="AO1636" s="1" t="s">
        <v>229</v>
      </c>
      <c r="AQ1636" s="1" t="s">
        <v>198</v>
      </c>
      <c r="AR1636" s="1" t="s">
        <v>192</v>
      </c>
      <c r="AS1636" s="1" t="s">
        <v>229</v>
      </c>
      <c r="AV1636" s="1" t="s">
        <v>200</v>
      </c>
      <c r="AW1636" s="1">
        <v>1935.0</v>
      </c>
      <c r="AX1636" s="1">
        <v>2012.0</v>
      </c>
      <c r="AY1636" s="1" t="s">
        <v>229</v>
      </c>
      <c r="AZ1636" s="1" t="s">
        <v>200</v>
      </c>
      <c r="BA1636" s="1" t="str">
        <f>"25092180270000"</f>
        <v>25092180270000</v>
      </c>
      <c r="BB1636" s="1" t="s">
        <v>200</v>
      </c>
      <c r="BC1636" s="1">
        <v>1150.0</v>
      </c>
      <c r="BD1636" s="1">
        <v>128000.0</v>
      </c>
      <c r="BE1636" s="2">
        <v>41851.0</v>
      </c>
      <c r="BF1636" s="2" t="s">
        <v>16360</v>
      </c>
      <c r="BH1636" s="1">
        <v>0.0</v>
      </c>
      <c r="BK1636" s="1" t="s">
        <v>204</v>
      </c>
      <c r="BL1636" s="1" t="str">
        <f t="shared" ref="BL1636:BM1636" si="1074">"0"</f>
        <v>0</v>
      </c>
      <c r="BM1636" s="1" t="str">
        <f t="shared" si="1074"/>
        <v>0</v>
      </c>
      <c r="BN1636" s="1">
        <v>200.0</v>
      </c>
      <c r="BO1636" s="1">
        <v>9718.0</v>
      </c>
      <c r="BQ1636" s="1">
        <v>299.0</v>
      </c>
      <c r="BR1636" s="1">
        <v>299.0</v>
      </c>
      <c r="BS1636" s="1">
        <v>299.0</v>
      </c>
      <c r="BU1636" s="1" t="s">
        <v>830</v>
      </c>
      <c r="BV1636" s="1" t="s">
        <v>206</v>
      </c>
      <c r="BW1636" s="1" t="s">
        <v>207</v>
      </c>
      <c r="BX1636" s="1" t="s">
        <v>431</v>
      </c>
      <c r="BY1636" s="1" t="s">
        <v>433</v>
      </c>
      <c r="BZ1636" s="1" t="s">
        <v>206</v>
      </c>
      <c r="CA1636" s="1" t="s">
        <v>207</v>
      </c>
      <c r="CB1636" s="1" t="s">
        <v>431</v>
      </c>
      <c r="CC1636" s="1" t="s">
        <v>264</v>
      </c>
      <c r="CD1636" s="1" t="s">
        <v>206</v>
      </c>
      <c r="CE1636" s="1" t="s">
        <v>207</v>
      </c>
      <c r="CF1636" s="1" t="s">
        <v>431</v>
      </c>
      <c r="CG1636" s="1" t="s">
        <v>215</v>
      </c>
      <c r="CH1636" s="1" t="s">
        <v>206</v>
      </c>
      <c r="CI1636" s="1" t="s">
        <v>207</v>
      </c>
      <c r="CJ1636" s="1" t="s">
        <v>431</v>
      </c>
      <c r="CK1636" s="1" t="s">
        <v>215</v>
      </c>
      <c r="CL1636" s="1" t="s">
        <v>206</v>
      </c>
      <c r="CM1636" s="1" t="s">
        <v>207</v>
      </c>
      <c r="CN1636" s="1" t="s">
        <v>431</v>
      </c>
      <c r="CO1636" s="1" t="s">
        <v>1064</v>
      </c>
      <c r="CP1636" s="1" t="s">
        <v>206</v>
      </c>
      <c r="CQ1636" s="1" t="s">
        <v>207</v>
      </c>
      <c r="CR1636" s="1" t="s">
        <v>431</v>
      </c>
      <c r="CS1636" s="1" t="s">
        <v>699</v>
      </c>
      <c r="CT1636" s="1" t="s">
        <v>206</v>
      </c>
      <c r="CU1636" s="1" t="s">
        <v>268</v>
      </c>
      <c r="CV1636" s="1" t="s">
        <v>431</v>
      </c>
      <c r="CW1636" s="1" t="s">
        <v>2059</v>
      </c>
      <c r="CX1636" s="1" t="s">
        <v>42</v>
      </c>
      <c r="CY1636" s="1" t="s">
        <v>210</v>
      </c>
      <c r="CZ1636" s="1" t="s">
        <v>229</v>
      </c>
      <c r="DA1636" s="1" t="s">
        <v>200</v>
      </c>
      <c r="DC1636" s="1" t="s">
        <v>271</v>
      </c>
      <c r="DD1636" s="1" t="s">
        <v>306</v>
      </c>
      <c r="DE1636" s="1" t="s">
        <v>273</v>
      </c>
      <c r="DF1636" s="1" t="s">
        <v>905</v>
      </c>
      <c r="DH1636" s="1" t="s">
        <v>365</v>
      </c>
      <c r="DI1636" s="1" t="s">
        <v>789</v>
      </c>
      <c r="DJ1636" s="1" t="s">
        <v>3345</v>
      </c>
      <c r="DL1636" s="1" t="s">
        <v>224</v>
      </c>
      <c r="DM1636" s="1" t="s">
        <v>1658</v>
      </c>
      <c r="DN1636" s="1" t="s">
        <v>666</v>
      </c>
      <c r="DP1636" s="1" t="s">
        <v>340</v>
      </c>
      <c r="DQ1636" s="1" t="s">
        <v>228</v>
      </c>
      <c r="DR1636" s="1" t="s">
        <v>229</v>
      </c>
      <c r="DU1636" s="1" t="s">
        <v>5750</v>
      </c>
      <c r="DV1636" s="1" t="s">
        <v>232</v>
      </c>
      <c r="DW1636" s="1" t="s">
        <v>279</v>
      </c>
      <c r="DX1636" s="1" t="s">
        <v>234</v>
      </c>
      <c r="DY1636" s="1" t="s">
        <v>4250</v>
      </c>
      <c r="EC1636" s="1" t="s">
        <v>311</v>
      </c>
      <c r="EE1636" s="1" t="s">
        <v>493</v>
      </c>
      <c r="EM1636" s="1" t="s">
        <v>238</v>
      </c>
      <c r="EQ1636" s="1" t="s">
        <v>238</v>
      </c>
      <c r="EU1636" s="1" t="s">
        <v>238</v>
      </c>
      <c r="EY1636" s="1" t="s">
        <v>238</v>
      </c>
      <c r="FC1636" s="1" t="s">
        <v>238</v>
      </c>
      <c r="FF1636" s="1" t="s">
        <v>239</v>
      </c>
      <c r="FG1636" s="1" t="s">
        <v>192</v>
      </c>
      <c r="FH1636" s="1" t="s">
        <v>192</v>
      </c>
      <c r="FJ1636" s="1" t="s">
        <v>770</v>
      </c>
      <c r="FK1636" s="1" t="s">
        <v>229</v>
      </c>
      <c r="FL1636" s="1" t="s">
        <v>1124</v>
      </c>
      <c r="FM1636" s="1">
        <v>12293.0</v>
      </c>
      <c r="FN1636" s="1" t="s">
        <v>3300</v>
      </c>
      <c r="FO1636" s="1" t="s">
        <v>16361</v>
      </c>
      <c r="FP1636" s="1">
        <v>117963.0</v>
      </c>
      <c r="FS1636" s="1" t="s">
        <v>16362</v>
      </c>
      <c r="FU1636" s="1" t="s">
        <v>16363</v>
      </c>
      <c r="FV1636" s="1" t="s">
        <v>200</v>
      </c>
      <c r="FW1636" s="1" t="s">
        <v>530</v>
      </c>
      <c r="FX1636" s="1" t="s">
        <v>655</v>
      </c>
      <c r="FZ1636" s="1" t="s">
        <v>229</v>
      </c>
      <c r="GA1636" s="1" t="s">
        <v>291</v>
      </c>
      <c r="GB1636" s="2">
        <v>42044.0</v>
      </c>
      <c r="GC1636" s="1" t="s">
        <v>16364</v>
      </c>
    </row>
    <row r="1637">
      <c r="A1637" s="1">
        <v>98700.0</v>
      </c>
      <c r="B1637" s="1" t="s">
        <v>185</v>
      </c>
      <c r="C1637" s="1" t="str">
        <f>"08685711"</f>
        <v>08685711</v>
      </c>
      <c r="D1637" s="1" t="s">
        <v>186</v>
      </c>
      <c r="F1637" s="1" t="str">
        <f>"103"</f>
        <v>103</v>
      </c>
      <c r="G1637" s="2">
        <v>41848.0</v>
      </c>
      <c r="H1637" s="1">
        <v>142700.0</v>
      </c>
      <c r="I1637" s="1">
        <v>119.0</v>
      </c>
      <c r="J1637" s="1">
        <v>99015.0</v>
      </c>
      <c r="K1637" s="2">
        <v>41963.0</v>
      </c>
      <c r="L1637" s="1">
        <v>119.0</v>
      </c>
      <c r="M1637" s="2">
        <v>41963.0</v>
      </c>
      <c r="N1637" s="1" t="s">
        <v>249</v>
      </c>
      <c r="O1637" s="2">
        <v>41981.0</v>
      </c>
      <c r="P1637" s="1">
        <v>228623.0</v>
      </c>
      <c r="Q1637" s="1">
        <v>24695.0</v>
      </c>
      <c r="S1637" s="1">
        <v>7026.0</v>
      </c>
      <c r="T1637" s="1" t="s">
        <v>9669</v>
      </c>
      <c r="U1637" s="1" t="s">
        <v>320</v>
      </c>
      <c r="V1637" s="1" t="s">
        <v>251</v>
      </c>
      <c r="W1637" s="1">
        <v>60133.0</v>
      </c>
      <c r="Y1637" s="1" t="s">
        <v>9670</v>
      </c>
      <c r="Z1637" s="1">
        <v>1969.0</v>
      </c>
      <c r="AA1637" s="1" t="s">
        <v>192</v>
      </c>
      <c r="AB1637" s="1" t="s">
        <v>193</v>
      </c>
      <c r="AD1637" s="1" t="s">
        <v>254</v>
      </c>
      <c r="AE1637" s="1" t="s">
        <v>195</v>
      </c>
      <c r="AF1637" s="1" t="s">
        <v>298</v>
      </c>
      <c r="AG1637" s="1" t="s">
        <v>9671</v>
      </c>
      <c r="AH1637" s="1" t="s">
        <v>4038</v>
      </c>
      <c r="AI1637" s="1">
        <v>0.0</v>
      </c>
      <c r="AK1637" s="1">
        <v>7.0</v>
      </c>
      <c r="AL1637" s="1">
        <v>4.0</v>
      </c>
      <c r="AM1637" s="1">
        <v>2.0</v>
      </c>
      <c r="AN1637" s="1">
        <v>0.0</v>
      </c>
      <c r="AO1637" s="1" t="s">
        <v>229</v>
      </c>
      <c r="AQ1637" s="1" t="s">
        <v>472</v>
      </c>
      <c r="AR1637" s="1" t="s">
        <v>192</v>
      </c>
      <c r="AS1637" s="1" t="s">
        <v>199</v>
      </c>
      <c r="AT1637" s="1">
        <v>2.0</v>
      </c>
      <c r="AV1637" s="1" t="s">
        <v>200</v>
      </c>
      <c r="AW1637" s="1">
        <v>5135.0</v>
      </c>
      <c r="AX1637" s="1">
        <v>2012.0</v>
      </c>
      <c r="AZ1637" s="1" t="s">
        <v>200</v>
      </c>
      <c r="BA1637" s="1" t="str">
        <f>"06361110030000"</f>
        <v>06361110030000</v>
      </c>
      <c r="BB1637" s="1" t="s">
        <v>200</v>
      </c>
      <c r="BC1637" s="1">
        <v>0.0</v>
      </c>
      <c r="BD1637" s="1">
        <v>98700.0</v>
      </c>
      <c r="BE1637" s="2">
        <v>41845.0</v>
      </c>
      <c r="BF1637" s="2" t="s">
        <v>16365</v>
      </c>
      <c r="BH1637" s="1">
        <v>0.0</v>
      </c>
      <c r="BK1637" s="1" t="s">
        <v>204</v>
      </c>
      <c r="BL1637" s="1" t="str">
        <f t="shared" ref="BL1637:BM1637" si="1075">"0"</f>
        <v>0</v>
      </c>
      <c r="BM1637" s="1" t="str">
        <f t="shared" si="1075"/>
        <v>0</v>
      </c>
      <c r="BN1637" s="1">
        <v>0.0</v>
      </c>
      <c r="BO1637" s="1">
        <v>0.0</v>
      </c>
      <c r="BQ1637" s="1">
        <v>46.0</v>
      </c>
      <c r="BR1637" s="1">
        <v>46.0</v>
      </c>
      <c r="BS1637" s="1">
        <v>46.0</v>
      </c>
      <c r="BU1637" s="1" t="s">
        <v>262</v>
      </c>
      <c r="BV1637" s="1" t="s">
        <v>206</v>
      </c>
      <c r="BY1637" s="1" t="s">
        <v>497</v>
      </c>
      <c r="BZ1637" s="1" t="s">
        <v>206</v>
      </c>
      <c r="CD1637" s="1" t="s">
        <v>204</v>
      </c>
      <c r="CG1637" s="1" t="s">
        <v>269</v>
      </c>
      <c r="CH1637" s="1" t="s">
        <v>206</v>
      </c>
      <c r="CK1637" s="1" t="s">
        <v>264</v>
      </c>
      <c r="CL1637" s="1" t="s">
        <v>267</v>
      </c>
      <c r="CO1637" s="1" t="s">
        <v>264</v>
      </c>
      <c r="CP1637" s="1" t="s">
        <v>267</v>
      </c>
      <c r="CS1637" s="1" t="s">
        <v>647</v>
      </c>
      <c r="CT1637" s="1" t="s">
        <v>206</v>
      </c>
      <c r="CW1637" s="1" t="s">
        <v>390</v>
      </c>
      <c r="CX1637" s="1" t="s">
        <v>267</v>
      </c>
      <c r="DA1637" s="1" t="s">
        <v>200</v>
      </c>
      <c r="DC1637" s="1" t="s">
        <v>517</v>
      </c>
      <c r="DD1637" s="1" t="s">
        <v>518</v>
      </c>
      <c r="DE1637" s="1" t="s">
        <v>273</v>
      </c>
      <c r="DF1637" s="1" t="s">
        <v>219</v>
      </c>
      <c r="DG1637" s="1" t="s">
        <v>482</v>
      </c>
      <c r="DH1637" s="1" t="s">
        <v>365</v>
      </c>
      <c r="DJ1637" s="1" t="s">
        <v>222</v>
      </c>
      <c r="DL1637" s="1" t="s">
        <v>224</v>
      </c>
      <c r="DM1637" s="1" t="s">
        <v>338</v>
      </c>
      <c r="DO1637" s="1" t="s">
        <v>549</v>
      </c>
      <c r="DQ1637" s="1" t="s">
        <v>228</v>
      </c>
      <c r="DR1637" s="1" t="s">
        <v>229</v>
      </c>
      <c r="DS1637" s="1" t="s">
        <v>230</v>
      </c>
      <c r="DV1637" s="1" t="s">
        <v>232</v>
      </c>
      <c r="DW1637" s="1" t="s">
        <v>934</v>
      </c>
      <c r="DX1637" s="1" t="s">
        <v>234</v>
      </c>
      <c r="DY1637" s="1" t="s">
        <v>833</v>
      </c>
      <c r="DZ1637" s="1" t="s">
        <v>1074</v>
      </c>
      <c r="EA1637" s="1" t="s">
        <v>554</v>
      </c>
      <c r="EC1637" s="1" t="s">
        <v>311</v>
      </c>
      <c r="EM1637" s="1" t="s">
        <v>238</v>
      </c>
      <c r="EQ1637" s="1" t="s">
        <v>238</v>
      </c>
      <c r="EU1637" s="1" t="s">
        <v>238</v>
      </c>
      <c r="EY1637" s="1" t="s">
        <v>238</v>
      </c>
      <c r="FC1637" s="1" t="s">
        <v>238</v>
      </c>
      <c r="FF1637" s="1" t="s">
        <v>239</v>
      </c>
      <c r="FG1637" s="1" t="s">
        <v>192</v>
      </c>
      <c r="FH1637" s="1" t="s">
        <v>192</v>
      </c>
      <c r="FJ1637" s="1" t="s">
        <v>6372</v>
      </c>
      <c r="FK1637" s="1" t="s">
        <v>229</v>
      </c>
      <c r="FL1637" s="1" t="s">
        <v>3978</v>
      </c>
      <c r="FM1637" s="1">
        <v>22833.0</v>
      </c>
      <c r="FN1637" s="1" t="s">
        <v>3979</v>
      </c>
      <c r="FO1637" s="1" t="s">
        <v>3980</v>
      </c>
      <c r="FP1637" s="1">
        <v>259137.0</v>
      </c>
      <c r="FQ1637" s="1" t="s">
        <v>3981</v>
      </c>
      <c r="FS1637" s="1" t="s">
        <v>3982</v>
      </c>
      <c r="FU1637" s="1" t="s">
        <v>16366</v>
      </c>
      <c r="FV1637" s="1" t="s">
        <v>200</v>
      </c>
      <c r="FW1637" s="1" t="s">
        <v>1411</v>
      </c>
      <c r="FZ1637" s="1" t="s">
        <v>229</v>
      </c>
      <c r="GA1637" s="1" t="s">
        <v>291</v>
      </c>
      <c r="GB1637" s="2">
        <v>41981.0</v>
      </c>
      <c r="GC1637" s="1" t="s">
        <v>16367</v>
      </c>
    </row>
    <row r="1638">
      <c r="A1638" s="1">
        <v>205000.0</v>
      </c>
      <c r="B1638" s="1" t="s">
        <v>185</v>
      </c>
      <c r="C1638" s="1" t="str">
        <f>"08694099"</f>
        <v>08694099</v>
      </c>
      <c r="D1638" s="1" t="s">
        <v>186</v>
      </c>
      <c r="F1638" s="1" t="str">
        <f t="shared" ref="F1638:F1639" si="1077">"538"</f>
        <v>538</v>
      </c>
      <c r="G1638" s="2">
        <v>41857.0</v>
      </c>
      <c r="H1638" s="1">
        <v>234000.0</v>
      </c>
      <c r="I1638" s="1">
        <v>207.0</v>
      </c>
      <c r="J1638" s="1">
        <v>219900.0</v>
      </c>
      <c r="K1638" s="2">
        <v>42063.0</v>
      </c>
      <c r="L1638" s="1">
        <v>207.0</v>
      </c>
      <c r="M1638" s="2">
        <v>42063.0</v>
      </c>
      <c r="N1638" s="1" t="s">
        <v>187</v>
      </c>
      <c r="O1638" s="2">
        <v>42102.0</v>
      </c>
      <c r="P1638" s="1">
        <v>220990.0</v>
      </c>
      <c r="Q1638" s="1">
        <v>23265.0</v>
      </c>
      <c r="S1638" s="1">
        <v>1819.0</v>
      </c>
      <c r="T1638" s="1" t="s">
        <v>5910</v>
      </c>
      <c r="U1638" s="1" t="s">
        <v>1174</v>
      </c>
      <c r="V1638" s="1" t="s">
        <v>1340</v>
      </c>
      <c r="W1638" s="1">
        <v>60538.0</v>
      </c>
      <c r="Y1638" s="1" t="s">
        <v>16368</v>
      </c>
      <c r="Z1638" s="1">
        <v>2003.0</v>
      </c>
      <c r="AA1638" s="1" t="s">
        <v>200</v>
      </c>
      <c r="AB1638" s="1" t="s">
        <v>193</v>
      </c>
      <c r="AC1638" s="1" t="s">
        <v>7346</v>
      </c>
      <c r="AD1638" s="1" t="s">
        <v>1343</v>
      </c>
      <c r="AE1638" s="1" t="s">
        <v>325</v>
      </c>
      <c r="AF1638" s="1" t="s">
        <v>1887</v>
      </c>
      <c r="AG1638" s="1" t="s">
        <v>8601</v>
      </c>
      <c r="AH1638" s="1" t="s">
        <v>16369</v>
      </c>
      <c r="AK1638" s="1">
        <v>9.0</v>
      </c>
      <c r="AL1638" s="1">
        <v>4.0</v>
      </c>
      <c r="AM1638" s="1">
        <v>2.0</v>
      </c>
      <c r="AN1638" s="1">
        <v>1.0</v>
      </c>
      <c r="AO1638" s="1" t="s">
        <v>198</v>
      </c>
      <c r="AP1638" s="1">
        <v>1.0</v>
      </c>
      <c r="AQ1638" s="1" t="s">
        <v>198</v>
      </c>
      <c r="AR1638" s="1" t="s">
        <v>200</v>
      </c>
      <c r="AS1638" s="1" t="s">
        <v>199</v>
      </c>
      <c r="AT1638" s="1">
        <v>2.0</v>
      </c>
      <c r="AV1638" s="1" t="s">
        <v>200</v>
      </c>
      <c r="AW1638" s="1">
        <v>6297.52</v>
      </c>
      <c r="AX1638" s="1">
        <v>2013.0</v>
      </c>
      <c r="AY1638" s="1" t="s">
        <v>387</v>
      </c>
      <c r="AZ1638" s="1" t="s">
        <v>200</v>
      </c>
      <c r="BA1638" s="1" t="str">
        <f>"1435381012"</f>
        <v>1435381012</v>
      </c>
      <c r="BC1638" s="1">
        <v>1900.0</v>
      </c>
      <c r="BD1638" s="1">
        <v>205000.0</v>
      </c>
      <c r="BE1638" s="2">
        <v>41857.0</v>
      </c>
      <c r="BF1638" s="2" t="s">
        <v>16370</v>
      </c>
      <c r="BG1638" s="1" t="s">
        <v>1890</v>
      </c>
      <c r="BH1638" s="1">
        <v>0.0</v>
      </c>
      <c r="BI1638" s="1" t="s">
        <v>1635</v>
      </c>
      <c r="BJ1638" s="1" t="s">
        <v>1636</v>
      </c>
      <c r="BK1638" s="1" t="s">
        <v>204</v>
      </c>
      <c r="BL1638" s="1" t="str">
        <f t="shared" ref="BL1638:BM1638" si="1076">""</f>
        <v/>
      </c>
      <c r="BM1638" s="1" t="str">
        <f t="shared" si="1076"/>
        <v/>
      </c>
      <c r="BQ1638" s="1">
        <v>302.0</v>
      </c>
      <c r="BR1638" s="1">
        <v>302.0</v>
      </c>
      <c r="BS1638" s="1">
        <v>302.0</v>
      </c>
      <c r="BU1638" s="1" t="s">
        <v>495</v>
      </c>
      <c r="BV1638" s="1" t="s">
        <v>206</v>
      </c>
      <c r="BW1638" s="1" t="s">
        <v>301</v>
      </c>
      <c r="BX1638" s="1" t="s">
        <v>239</v>
      </c>
      <c r="BY1638" s="1" t="s">
        <v>743</v>
      </c>
      <c r="BZ1638" s="1" t="s">
        <v>209</v>
      </c>
      <c r="CA1638" s="1" t="s">
        <v>210</v>
      </c>
      <c r="CB1638" s="1" t="s">
        <v>239</v>
      </c>
      <c r="CC1638" s="1" t="s">
        <v>495</v>
      </c>
      <c r="CD1638" s="1" t="s">
        <v>206</v>
      </c>
      <c r="CE1638" s="1" t="s">
        <v>301</v>
      </c>
      <c r="CF1638" s="1" t="s">
        <v>239</v>
      </c>
      <c r="CG1638" s="1" t="s">
        <v>269</v>
      </c>
      <c r="CH1638" s="1" t="s">
        <v>209</v>
      </c>
      <c r="CI1638" s="1" t="s">
        <v>210</v>
      </c>
      <c r="CJ1638" s="1" t="s">
        <v>239</v>
      </c>
      <c r="CK1638" s="1" t="s">
        <v>269</v>
      </c>
      <c r="CL1638" s="1" t="s">
        <v>209</v>
      </c>
      <c r="CM1638" s="1" t="s">
        <v>210</v>
      </c>
      <c r="CN1638" s="1" t="s">
        <v>239</v>
      </c>
      <c r="CO1638" s="1" t="s">
        <v>830</v>
      </c>
      <c r="CP1638" s="1" t="s">
        <v>267</v>
      </c>
      <c r="CQ1638" s="1" t="s">
        <v>210</v>
      </c>
      <c r="CS1638" s="1" t="s">
        <v>205</v>
      </c>
      <c r="CT1638" s="1" t="s">
        <v>206</v>
      </c>
      <c r="CU1638" s="1" t="s">
        <v>301</v>
      </c>
      <c r="CV1638" s="1" t="s">
        <v>239</v>
      </c>
      <c r="CW1638" s="1" t="s">
        <v>390</v>
      </c>
      <c r="CX1638" s="1" t="s">
        <v>206</v>
      </c>
      <c r="CY1638" s="1" t="s">
        <v>210</v>
      </c>
      <c r="CZ1638" s="1" t="s">
        <v>239</v>
      </c>
      <c r="DA1638" s="1" t="s">
        <v>200</v>
      </c>
      <c r="DC1638" s="1" t="s">
        <v>335</v>
      </c>
      <c r="DD1638" s="1" t="s">
        <v>396</v>
      </c>
      <c r="DE1638" s="1" t="s">
        <v>273</v>
      </c>
      <c r="DF1638" s="1" t="s">
        <v>219</v>
      </c>
      <c r="DG1638" s="1" t="s">
        <v>7924</v>
      </c>
      <c r="DH1638" s="1" t="s">
        <v>220</v>
      </c>
      <c r="DI1638" s="1" t="s">
        <v>4695</v>
      </c>
      <c r="DJ1638" s="1" t="s">
        <v>222</v>
      </c>
      <c r="DL1638" s="1" t="s">
        <v>858</v>
      </c>
      <c r="DM1638" s="1" t="s">
        <v>338</v>
      </c>
      <c r="DN1638" s="1" t="s">
        <v>1486</v>
      </c>
      <c r="DO1638" s="1" t="s">
        <v>549</v>
      </c>
      <c r="DP1638" s="1" t="s">
        <v>340</v>
      </c>
      <c r="DQ1638" s="1" t="s">
        <v>228</v>
      </c>
      <c r="DR1638" s="1" t="s">
        <v>229</v>
      </c>
      <c r="DU1638" s="1" t="s">
        <v>2940</v>
      </c>
      <c r="DV1638" s="1" t="s">
        <v>598</v>
      </c>
      <c r="DW1638" s="1" t="s">
        <v>444</v>
      </c>
      <c r="DX1638" s="1" t="s">
        <v>234</v>
      </c>
      <c r="DY1638" s="1" t="s">
        <v>521</v>
      </c>
      <c r="DZ1638" s="1" t="s">
        <v>1466</v>
      </c>
      <c r="EC1638" s="1" t="s">
        <v>237</v>
      </c>
      <c r="ED1638" s="1" t="s">
        <v>555</v>
      </c>
      <c r="EG1638" s="1" t="s">
        <v>598</v>
      </c>
      <c r="EL1638" s="1" t="s">
        <v>663</v>
      </c>
      <c r="EM1638" s="1" t="s">
        <v>206</v>
      </c>
      <c r="EN1638" s="1" t="s">
        <v>207</v>
      </c>
      <c r="EO1638" s="1" t="s">
        <v>239</v>
      </c>
      <c r="EQ1638" s="1" t="s">
        <v>238</v>
      </c>
      <c r="EU1638" s="1" t="s">
        <v>238</v>
      </c>
      <c r="EY1638" s="1" t="s">
        <v>238</v>
      </c>
      <c r="FC1638" s="1" t="s">
        <v>238</v>
      </c>
      <c r="FF1638" s="1" t="s">
        <v>239</v>
      </c>
      <c r="FG1638" s="1" t="s">
        <v>192</v>
      </c>
      <c r="FH1638" s="1" t="s">
        <v>192</v>
      </c>
      <c r="FJ1638" s="1" t="s">
        <v>2552</v>
      </c>
      <c r="FK1638" s="1" t="s">
        <v>229</v>
      </c>
      <c r="FL1638" s="1" t="s">
        <v>1007</v>
      </c>
      <c r="FM1638" s="1">
        <v>22588.0</v>
      </c>
      <c r="FN1638" s="1" t="s">
        <v>1321</v>
      </c>
      <c r="FO1638" s="1" t="s">
        <v>16371</v>
      </c>
      <c r="FP1638" s="1">
        <v>222992.0</v>
      </c>
      <c r="FQ1638" s="1" t="s">
        <v>16372</v>
      </c>
      <c r="FS1638" s="1" t="s">
        <v>16373</v>
      </c>
      <c r="FU1638" s="1" t="s">
        <v>3744</v>
      </c>
      <c r="FV1638" s="1" t="s">
        <v>200</v>
      </c>
      <c r="FW1638" s="1" t="s">
        <v>461</v>
      </c>
      <c r="FZ1638" s="1" t="s">
        <v>229</v>
      </c>
      <c r="GA1638" s="1" t="s">
        <v>291</v>
      </c>
      <c r="GB1638" s="2">
        <v>42102.0</v>
      </c>
      <c r="GC1638" s="1" t="s">
        <v>16374</v>
      </c>
    </row>
    <row r="1639">
      <c r="A1639" s="1">
        <v>140000.0</v>
      </c>
      <c r="B1639" s="1" t="s">
        <v>185</v>
      </c>
      <c r="C1639" s="1" t="str">
        <f>"08695489"</f>
        <v>08695489</v>
      </c>
      <c r="D1639" s="1" t="s">
        <v>186</v>
      </c>
      <c r="F1639" s="1" t="str">
        <f t="shared" si="1077"/>
        <v>538</v>
      </c>
      <c r="G1639" s="2">
        <v>41858.0</v>
      </c>
      <c r="H1639" s="1">
        <v>169900.0</v>
      </c>
      <c r="I1639" s="1">
        <v>74.0</v>
      </c>
      <c r="J1639" s="1">
        <v>145000.0</v>
      </c>
      <c r="K1639" s="2">
        <v>41931.0</v>
      </c>
      <c r="L1639" s="1">
        <v>74.0</v>
      </c>
      <c r="M1639" s="2">
        <v>41931.0</v>
      </c>
      <c r="N1639" s="1" t="s">
        <v>356</v>
      </c>
      <c r="O1639" s="2">
        <v>42004.0</v>
      </c>
      <c r="P1639" s="1">
        <v>234170.0</v>
      </c>
      <c r="Q1639" s="1">
        <v>22029.0</v>
      </c>
      <c r="S1639" s="1">
        <v>12.0</v>
      </c>
      <c r="T1639" s="1" t="s">
        <v>16375</v>
      </c>
      <c r="U1639" s="1" t="s">
        <v>420</v>
      </c>
      <c r="V1639" s="1" t="s">
        <v>1340</v>
      </c>
      <c r="W1639" s="1">
        <v>60538.0</v>
      </c>
      <c r="Y1639" s="1" t="s">
        <v>16376</v>
      </c>
      <c r="Z1639" s="1">
        <v>1966.0</v>
      </c>
      <c r="AA1639" s="1" t="s">
        <v>192</v>
      </c>
      <c r="AB1639" s="1" t="s">
        <v>193</v>
      </c>
      <c r="AD1639" s="1" t="s">
        <v>1343</v>
      </c>
      <c r="AE1639" s="1" t="s">
        <v>849</v>
      </c>
      <c r="AF1639" s="1" t="s">
        <v>1529</v>
      </c>
      <c r="AH1639" s="1" t="s">
        <v>12986</v>
      </c>
      <c r="AI1639" s="1">
        <v>0.3453</v>
      </c>
      <c r="AK1639" s="1">
        <v>7.0</v>
      </c>
      <c r="AL1639" s="1">
        <v>4.0</v>
      </c>
      <c r="AM1639" s="1">
        <v>1.0</v>
      </c>
      <c r="AN1639" s="1">
        <v>1.0</v>
      </c>
      <c r="AO1639" s="1" t="s">
        <v>229</v>
      </c>
      <c r="AQ1639" s="1" t="s">
        <v>257</v>
      </c>
      <c r="AR1639" s="1" t="s">
        <v>192</v>
      </c>
      <c r="AS1639" s="1" t="s">
        <v>199</v>
      </c>
      <c r="AT1639" s="1">
        <v>1.0</v>
      </c>
      <c r="AV1639" s="1" t="s">
        <v>200</v>
      </c>
      <c r="AW1639" s="1">
        <v>4065.0</v>
      </c>
      <c r="AX1639" s="1">
        <v>2013.0</v>
      </c>
      <c r="AZ1639" s="1" t="s">
        <v>200</v>
      </c>
      <c r="BA1639" s="1" t="str">
        <f>"0305255003"</f>
        <v>0305255003</v>
      </c>
      <c r="BC1639" s="1">
        <v>1104.0</v>
      </c>
      <c r="BD1639" s="1">
        <v>140000.0</v>
      </c>
      <c r="BE1639" s="2">
        <v>41858.0</v>
      </c>
      <c r="BF1639" s="2" t="s">
        <v>16377</v>
      </c>
      <c r="BH1639" s="1">
        <v>0.0</v>
      </c>
      <c r="BK1639" s="1" t="s">
        <v>204</v>
      </c>
      <c r="BL1639" s="1" t="str">
        <f t="shared" ref="BL1639:BM1639" si="1078">""</f>
        <v/>
      </c>
      <c r="BM1639" s="1" t="str">
        <f t="shared" si="1078"/>
        <v/>
      </c>
      <c r="BQ1639" s="1">
        <v>308.0</v>
      </c>
      <c r="BR1639" s="1">
        <v>308.0</v>
      </c>
      <c r="BS1639" s="1">
        <v>308.0</v>
      </c>
      <c r="BU1639" s="1" t="s">
        <v>361</v>
      </c>
      <c r="BV1639" s="1" t="s">
        <v>206</v>
      </c>
      <c r="BW1639" s="1" t="s">
        <v>301</v>
      </c>
      <c r="BY1639" s="1" t="s">
        <v>264</v>
      </c>
      <c r="BZ1639" s="1" t="s">
        <v>206</v>
      </c>
      <c r="CA1639" s="1" t="s">
        <v>301</v>
      </c>
      <c r="CD1639" s="1" t="s">
        <v>204</v>
      </c>
      <c r="CG1639" s="1" t="s">
        <v>814</v>
      </c>
      <c r="CH1639" s="1" t="s">
        <v>206</v>
      </c>
      <c r="CI1639" s="1" t="s">
        <v>301</v>
      </c>
      <c r="CK1639" s="1" t="s">
        <v>1119</v>
      </c>
      <c r="CL1639" s="1" t="s">
        <v>206</v>
      </c>
      <c r="CM1639" s="1" t="s">
        <v>301</v>
      </c>
      <c r="CO1639" s="1" t="s">
        <v>495</v>
      </c>
      <c r="CP1639" s="1" t="s">
        <v>267</v>
      </c>
      <c r="CQ1639" s="1" t="s">
        <v>301</v>
      </c>
      <c r="CS1639" s="1" t="s">
        <v>332</v>
      </c>
      <c r="CT1639" s="1" t="s">
        <v>267</v>
      </c>
      <c r="CU1639" s="1" t="s">
        <v>301</v>
      </c>
      <c r="CW1639" s="1" t="s">
        <v>212</v>
      </c>
      <c r="CX1639" s="1" t="s">
        <v>267</v>
      </c>
      <c r="CY1639" s="1" t="s">
        <v>301</v>
      </c>
      <c r="DA1639" s="1" t="s">
        <v>200</v>
      </c>
      <c r="DC1639" s="1" t="s">
        <v>517</v>
      </c>
      <c r="DD1639" s="1" t="s">
        <v>731</v>
      </c>
      <c r="DE1639" s="1" t="s">
        <v>273</v>
      </c>
      <c r="DF1639" s="1" t="s">
        <v>219</v>
      </c>
      <c r="DH1639" s="1" t="s">
        <v>220</v>
      </c>
      <c r="DJ1639" s="1" t="s">
        <v>222</v>
      </c>
      <c r="DL1639" s="1" t="s">
        <v>1161</v>
      </c>
      <c r="DM1639" s="1" t="s">
        <v>229</v>
      </c>
      <c r="DO1639" s="1" t="s">
        <v>16378</v>
      </c>
      <c r="DQ1639" s="1" t="s">
        <v>441</v>
      </c>
      <c r="DR1639" s="1" t="s">
        <v>229</v>
      </c>
      <c r="DV1639" s="1" t="s">
        <v>232</v>
      </c>
      <c r="DW1639" s="1" t="s">
        <v>667</v>
      </c>
      <c r="DX1639" s="1" t="s">
        <v>234</v>
      </c>
      <c r="DY1639" s="1" t="s">
        <v>861</v>
      </c>
      <c r="DZ1639" s="1" t="s">
        <v>446</v>
      </c>
      <c r="EA1639" s="1" t="s">
        <v>554</v>
      </c>
      <c r="EC1639" s="1" t="s">
        <v>311</v>
      </c>
      <c r="EM1639" s="1" t="s">
        <v>238</v>
      </c>
      <c r="EQ1639" s="1" t="s">
        <v>238</v>
      </c>
      <c r="EU1639" s="1" t="s">
        <v>238</v>
      </c>
      <c r="EY1639" s="1" t="s">
        <v>238</v>
      </c>
      <c r="FC1639" s="1" t="s">
        <v>238</v>
      </c>
      <c r="FF1639" s="1" t="s">
        <v>239</v>
      </c>
      <c r="FG1639" s="1" t="s">
        <v>192</v>
      </c>
      <c r="FH1639" s="1" t="s">
        <v>192</v>
      </c>
      <c r="FJ1639" s="1" t="s">
        <v>16255</v>
      </c>
      <c r="FK1639" s="1" t="s">
        <v>557</v>
      </c>
      <c r="FL1639" s="1" t="s">
        <v>1007</v>
      </c>
      <c r="FM1639" s="1">
        <v>22588.0</v>
      </c>
      <c r="FN1639" s="1" t="s">
        <v>1321</v>
      </c>
      <c r="FO1639" s="1" t="s">
        <v>3635</v>
      </c>
      <c r="FP1639" s="1">
        <v>222152.0</v>
      </c>
      <c r="FQ1639" s="1" t="s">
        <v>3636</v>
      </c>
      <c r="FR1639" s="1">
        <v>226878.0</v>
      </c>
      <c r="FS1639" s="1" t="s">
        <v>3637</v>
      </c>
      <c r="FU1639" s="1" t="s">
        <v>16256</v>
      </c>
      <c r="FV1639" s="1" t="s">
        <v>200</v>
      </c>
      <c r="FW1639" s="1" t="s">
        <v>354</v>
      </c>
      <c r="FX1639" s="1" t="s">
        <v>1739</v>
      </c>
      <c r="FZ1639" s="1" t="s">
        <v>229</v>
      </c>
      <c r="GA1639" s="1" t="s">
        <v>291</v>
      </c>
      <c r="GB1639" s="2">
        <v>42004.0</v>
      </c>
      <c r="GC1639" s="1" t="s">
        <v>16379</v>
      </c>
    </row>
    <row r="1640">
      <c r="A1640" s="1">
        <v>235000.0</v>
      </c>
      <c r="B1640" s="1" t="s">
        <v>185</v>
      </c>
      <c r="C1640" s="1" t="str">
        <f>"08695465"</f>
        <v>08695465</v>
      </c>
      <c r="D1640" s="1" t="s">
        <v>186</v>
      </c>
      <c r="F1640" s="1" t="str">
        <f>"123"</f>
        <v>123</v>
      </c>
      <c r="G1640" s="2">
        <v>41858.0</v>
      </c>
      <c r="H1640" s="1">
        <v>249900.0</v>
      </c>
      <c r="I1640" s="1">
        <v>212.0</v>
      </c>
      <c r="J1640" s="1">
        <v>244900.0</v>
      </c>
      <c r="K1640" s="2">
        <v>41961.0</v>
      </c>
      <c r="L1640" s="1">
        <v>104.0</v>
      </c>
      <c r="M1640" s="2">
        <v>41961.0</v>
      </c>
      <c r="N1640" s="1" t="s">
        <v>187</v>
      </c>
      <c r="O1640" s="2">
        <v>41995.0</v>
      </c>
      <c r="P1640" s="1">
        <v>53614.0</v>
      </c>
      <c r="Q1640" s="1">
        <v>5058.0</v>
      </c>
      <c r="S1640" s="1">
        <v>110.0</v>
      </c>
      <c r="T1640" s="1" t="s">
        <v>16380</v>
      </c>
      <c r="U1640" s="1" t="s">
        <v>464</v>
      </c>
      <c r="V1640" s="1" t="s">
        <v>465</v>
      </c>
      <c r="W1640" s="1">
        <v>60124.0</v>
      </c>
      <c r="Y1640" s="1" t="s">
        <v>16381</v>
      </c>
      <c r="Z1640" s="1">
        <v>1998.0</v>
      </c>
      <c r="AA1640" s="1" t="s">
        <v>200</v>
      </c>
      <c r="AB1640" s="1" t="s">
        <v>193</v>
      </c>
      <c r="AC1640" s="1" t="s">
        <v>11714</v>
      </c>
      <c r="AD1640" s="1" t="s">
        <v>469</v>
      </c>
      <c r="AE1640" s="1" t="s">
        <v>325</v>
      </c>
      <c r="AF1640" s="1" t="s">
        <v>469</v>
      </c>
      <c r="AH1640" s="1" t="s">
        <v>16382</v>
      </c>
      <c r="AI1640" s="1">
        <v>0.2098</v>
      </c>
      <c r="AK1640" s="1">
        <v>9.0</v>
      </c>
      <c r="AL1640" s="1">
        <v>4.0</v>
      </c>
      <c r="AM1640" s="1">
        <v>2.0</v>
      </c>
      <c r="AN1640" s="1">
        <v>1.0</v>
      </c>
      <c r="AO1640" s="1" t="s">
        <v>198</v>
      </c>
      <c r="AP1640" s="1">
        <v>0.0</v>
      </c>
      <c r="AQ1640" s="1" t="s">
        <v>1314</v>
      </c>
      <c r="AR1640" s="1" t="s">
        <v>200</v>
      </c>
      <c r="AS1640" s="1" t="s">
        <v>199</v>
      </c>
      <c r="AT1640" s="1">
        <v>3.0</v>
      </c>
      <c r="AV1640" s="1" t="s">
        <v>200</v>
      </c>
      <c r="AW1640" s="4">
        <v>6968.82</v>
      </c>
      <c r="AX1640" s="1">
        <v>2013.0</v>
      </c>
      <c r="AY1640" s="1" t="s">
        <v>387</v>
      </c>
      <c r="AZ1640" s="1" t="s">
        <v>200</v>
      </c>
      <c r="BA1640" s="1" t="str">
        <f>"0617181032"</f>
        <v>0617181032</v>
      </c>
      <c r="BB1640" s="1" t="s">
        <v>200</v>
      </c>
      <c r="BC1640" s="1">
        <v>2225.0</v>
      </c>
      <c r="BD1640" s="1">
        <v>235000.0</v>
      </c>
      <c r="BE1640" s="2">
        <v>41858.0</v>
      </c>
      <c r="BF1640" s="2" t="s">
        <v>16383</v>
      </c>
      <c r="BH1640" s="1">
        <v>0.0</v>
      </c>
      <c r="BK1640" s="1" t="s">
        <v>204</v>
      </c>
      <c r="BL1640" s="1" t="str">
        <f>"11"</f>
        <v>11</v>
      </c>
      <c r="BM1640" s="1" t="str">
        <f>"0"</f>
        <v>0</v>
      </c>
      <c r="BN1640" s="1">
        <v>37.0</v>
      </c>
      <c r="BO1640" s="1">
        <v>0.0</v>
      </c>
      <c r="BQ1640" s="1">
        <v>301.0</v>
      </c>
      <c r="BR1640" s="1">
        <v>301.0</v>
      </c>
      <c r="BS1640" s="1">
        <v>301.0</v>
      </c>
      <c r="BU1640" s="1" t="s">
        <v>454</v>
      </c>
      <c r="BV1640" s="1" t="s">
        <v>206</v>
      </c>
      <c r="BW1640" s="1" t="s">
        <v>210</v>
      </c>
      <c r="BY1640" s="1" t="s">
        <v>361</v>
      </c>
      <c r="BZ1640" s="1" t="s">
        <v>209</v>
      </c>
      <c r="CA1640" s="1" t="s">
        <v>210</v>
      </c>
      <c r="CC1640" s="1" t="s">
        <v>212</v>
      </c>
      <c r="CD1640" s="1" t="s">
        <v>206</v>
      </c>
      <c r="CE1640" s="1" t="s">
        <v>210</v>
      </c>
      <c r="CG1640" s="1" t="s">
        <v>363</v>
      </c>
      <c r="CH1640" s="1" t="s">
        <v>209</v>
      </c>
      <c r="CI1640" s="1" t="s">
        <v>210</v>
      </c>
      <c r="CK1640" s="1" t="s">
        <v>212</v>
      </c>
      <c r="CL1640" s="1" t="s">
        <v>209</v>
      </c>
      <c r="CM1640" s="1" t="s">
        <v>210</v>
      </c>
      <c r="CO1640" s="1" t="s">
        <v>212</v>
      </c>
      <c r="CP1640" s="1" t="s">
        <v>209</v>
      </c>
      <c r="CQ1640" s="1" t="s">
        <v>210</v>
      </c>
      <c r="CS1640" s="1" t="s">
        <v>433</v>
      </c>
      <c r="CT1640" s="1" t="s">
        <v>206</v>
      </c>
      <c r="CU1640" s="1" t="s">
        <v>207</v>
      </c>
      <c r="CW1640" s="1" t="s">
        <v>1426</v>
      </c>
      <c r="CX1640" s="1" t="s">
        <v>206</v>
      </c>
      <c r="CY1640" s="1" t="s">
        <v>210</v>
      </c>
      <c r="DA1640" s="1" t="s">
        <v>200</v>
      </c>
      <c r="DC1640" s="1" t="s">
        <v>678</v>
      </c>
      <c r="DD1640" s="1" t="s">
        <v>396</v>
      </c>
      <c r="DE1640" s="1" t="s">
        <v>273</v>
      </c>
      <c r="DF1640" s="1" t="s">
        <v>219</v>
      </c>
      <c r="DG1640" s="1" t="s">
        <v>482</v>
      </c>
      <c r="DH1640" s="1" t="s">
        <v>220</v>
      </c>
      <c r="DI1640" s="1" t="s">
        <v>1003</v>
      </c>
      <c r="DJ1640" s="1" t="s">
        <v>222</v>
      </c>
      <c r="DL1640" s="1" t="s">
        <v>223</v>
      </c>
      <c r="DM1640" s="1" t="s">
        <v>338</v>
      </c>
      <c r="DN1640" s="1" t="s">
        <v>548</v>
      </c>
      <c r="DO1640" s="1" t="s">
        <v>717</v>
      </c>
      <c r="DP1640" s="1" t="s">
        <v>340</v>
      </c>
      <c r="DQ1640" s="1" t="s">
        <v>228</v>
      </c>
      <c r="DR1640" s="1" t="s">
        <v>229</v>
      </c>
      <c r="DS1640" s="1" t="s">
        <v>230</v>
      </c>
      <c r="DU1640" s="1" t="s">
        <v>231</v>
      </c>
      <c r="DV1640" s="1" t="s">
        <v>449</v>
      </c>
      <c r="DW1640" s="1" t="s">
        <v>279</v>
      </c>
      <c r="DX1640" s="1" t="s">
        <v>234</v>
      </c>
      <c r="DY1640" s="1" t="s">
        <v>490</v>
      </c>
      <c r="DZ1640" s="1" t="s">
        <v>16384</v>
      </c>
      <c r="EA1640" s="1" t="s">
        <v>447</v>
      </c>
      <c r="EC1640" s="1" t="s">
        <v>237</v>
      </c>
      <c r="ED1640" s="1" t="s">
        <v>407</v>
      </c>
      <c r="EE1640" s="1" t="s">
        <v>493</v>
      </c>
      <c r="EG1640" s="1" t="s">
        <v>449</v>
      </c>
      <c r="EL1640" s="1" t="s">
        <v>264</v>
      </c>
      <c r="EM1640" s="1" t="s">
        <v>206</v>
      </c>
      <c r="EN1640" s="1" t="s">
        <v>207</v>
      </c>
      <c r="EQ1640" s="1" t="s">
        <v>238</v>
      </c>
      <c r="EU1640" s="1" t="s">
        <v>238</v>
      </c>
      <c r="EY1640" s="1" t="s">
        <v>238</v>
      </c>
      <c r="FC1640" s="1" t="s">
        <v>238</v>
      </c>
      <c r="FF1640" s="1" t="s">
        <v>239</v>
      </c>
      <c r="FG1640" s="1" t="s">
        <v>192</v>
      </c>
      <c r="FH1640" s="1" t="s">
        <v>192</v>
      </c>
      <c r="FJ1640" s="1" t="s">
        <v>2552</v>
      </c>
      <c r="FK1640" s="1" t="s">
        <v>348</v>
      </c>
      <c r="FL1640" s="1" t="s">
        <v>1451</v>
      </c>
      <c r="FM1640" s="1">
        <v>7450.0</v>
      </c>
      <c r="FN1640" s="1" t="s">
        <v>1452</v>
      </c>
      <c r="FO1640" s="1" t="s">
        <v>5583</v>
      </c>
      <c r="FP1640" s="1">
        <v>70036.0</v>
      </c>
      <c r="FQ1640" s="1" t="s">
        <v>5584</v>
      </c>
      <c r="FR1640" s="1">
        <v>77640.0</v>
      </c>
      <c r="FU1640" s="1" t="s">
        <v>5585</v>
      </c>
      <c r="FV1640" s="1" t="s">
        <v>200</v>
      </c>
      <c r="FW1640" s="1" t="s">
        <v>290</v>
      </c>
      <c r="FZ1640" s="1" t="s">
        <v>632</v>
      </c>
      <c r="GA1640" s="1" t="s">
        <v>291</v>
      </c>
      <c r="GB1640" s="2">
        <v>41995.0</v>
      </c>
      <c r="GC1640" s="1" t="s">
        <v>16385</v>
      </c>
    </row>
    <row r="1641">
      <c r="A1641" s="1">
        <v>4840.0</v>
      </c>
      <c r="B1641" s="1" t="s">
        <v>185</v>
      </c>
      <c r="C1641" s="1" t="str">
        <f>"08688022"</f>
        <v>08688022</v>
      </c>
      <c r="D1641" s="1" t="s">
        <v>186</v>
      </c>
      <c r="F1641" s="1" t="str">
        <f>"8069"</f>
        <v>8069</v>
      </c>
      <c r="G1641" s="2">
        <v>41850.0</v>
      </c>
      <c r="H1641" s="1">
        <v>14900.0</v>
      </c>
      <c r="I1641" s="1">
        <v>66.0</v>
      </c>
      <c r="J1641" s="1">
        <v>5200.0</v>
      </c>
      <c r="K1641" s="2">
        <v>41915.0</v>
      </c>
      <c r="L1641" s="1">
        <v>66.0</v>
      </c>
      <c r="M1641" s="2">
        <v>41915.0</v>
      </c>
      <c r="N1641" s="1" t="s">
        <v>249</v>
      </c>
      <c r="O1641" s="2">
        <v>41971.0</v>
      </c>
      <c r="P1641" s="1">
        <v>856094.0</v>
      </c>
      <c r="Q1641" s="1">
        <v>18235.0</v>
      </c>
      <c r="S1641" s="1">
        <v>352.0</v>
      </c>
      <c r="T1641" s="1" t="s">
        <v>10517</v>
      </c>
      <c r="U1641" s="1" t="s">
        <v>320</v>
      </c>
      <c r="V1641" s="1" t="s">
        <v>190</v>
      </c>
      <c r="W1641" s="1">
        <v>60637.0</v>
      </c>
      <c r="Y1641" s="1" t="s">
        <v>16386</v>
      </c>
      <c r="Z1641" s="1">
        <v>1889.0</v>
      </c>
      <c r="AA1641" s="1" t="s">
        <v>192</v>
      </c>
      <c r="AB1641" s="1" t="s">
        <v>193</v>
      </c>
      <c r="AD1641" s="1" t="s">
        <v>194</v>
      </c>
      <c r="AE1641" s="1" t="s">
        <v>195</v>
      </c>
      <c r="AF1641" s="1" t="s">
        <v>637</v>
      </c>
      <c r="AH1641" s="1" t="s">
        <v>359</v>
      </c>
      <c r="AI1641" s="1">
        <v>0.0375</v>
      </c>
      <c r="AK1641" s="1">
        <v>7.0</v>
      </c>
      <c r="AL1641" s="1">
        <v>4.0</v>
      </c>
      <c r="AM1641" s="1">
        <v>2.0</v>
      </c>
      <c r="AN1641" s="1">
        <v>0.0</v>
      </c>
      <c r="AO1641" s="1" t="s">
        <v>229</v>
      </c>
      <c r="AQ1641" s="1" t="s">
        <v>198</v>
      </c>
      <c r="AR1641" s="1" t="s">
        <v>200</v>
      </c>
      <c r="AS1641" s="1" t="s">
        <v>229</v>
      </c>
      <c r="AV1641" s="1" t="s">
        <v>200</v>
      </c>
      <c r="AW1641" s="1">
        <v>1953.27</v>
      </c>
      <c r="AX1641" s="1">
        <v>2012.0</v>
      </c>
      <c r="AZ1641" s="1" t="s">
        <v>200</v>
      </c>
      <c r="BA1641" s="1" t="str">
        <f>"20223110640000"</f>
        <v>20223110640000</v>
      </c>
      <c r="BC1641" s="1">
        <v>1494.0</v>
      </c>
      <c r="BD1641" s="1">
        <v>4840.0</v>
      </c>
      <c r="BE1641" s="2">
        <v>41850.0</v>
      </c>
      <c r="BF1641" s="1" t="s">
        <v>16387</v>
      </c>
      <c r="BH1641" s="1">
        <v>0.0</v>
      </c>
      <c r="BK1641" s="1" t="s">
        <v>204</v>
      </c>
      <c r="BL1641" s="1" t="str">
        <f>"0"</f>
        <v>0</v>
      </c>
      <c r="BM1641" s="1" t="str">
        <f>"319"</f>
        <v>319</v>
      </c>
      <c r="BN1641" s="1">
        <v>0.0</v>
      </c>
      <c r="BO1641" s="1">
        <v>6900.0</v>
      </c>
      <c r="BQ1641" s="1">
        <v>299.0</v>
      </c>
      <c r="BR1641" s="1">
        <v>299.0</v>
      </c>
      <c r="BS1641" s="1">
        <v>299.0</v>
      </c>
      <c r="BU1641" s="1" t="s">
        <v>215</v>
      </c>
      <c r="BV1641" s="1" t="s">
        <v>206</v>
      </c>
      <c r="BY1641" s="1" t="s">
        <v>363</v>
      </c>
      <c r="BZ1641" s="1" t="s">
        <v>209</v>
      </c>
      <c r="CC1641" s="1" t="s">
        <v>363</v>
      </c>
      <c r="CD1641" s="1" t="s">
        <v>206</v>
      </c>
      <c r="CG1641" s="1" t="s">
        <v>264</v>
      </c>
      <c r="CH1641" s="1" t="s">
        <v>209</v>
      </c>
      <c r="CK1641" s="1" t="s">
        <v>269</v>
      </c>
      <c r="CL1641" s="1" t="s">
        <v>206</v>
      </c>
      <c r="CO1641" s="1" t="s">
        <v>264</v>
      </c>
      <c r="CP1641" s="1" t="s">
        <v>209</v>
      </c>
      <c r="CS1641" s="1" t="s">
        <v>264</v>
      </c>
      <c r="CT1641" s="1" t="s">
        <v>206</v>
      </c>
      <c r="CX1641" s="1" t="s">
        <v>204</v>
      </c>
      <c r="DA1641" s="1" t="s">
        <v>200</v>
      </c>
      <c r="DC1641" s="1" t="s">
        <v>642</v>
      </c>
      <c r="DE1641" s="1" t="s">
        <v>229</v>
      </c>
      <c r="DF1641" s="1" t="s">
        <v>619</v>
      </c>
      <c r="DH1641" s="1" t="s">
        <v>365</v>
      </c>
      <c r="DJ1641" s="1" t="s">
        <v>222</v>
      </c>
      <c r="DL1641" s="1" t="s">
        <v>223</v>
      </c>
      <c r="DM1641" s="1" t="s">
        <v>3697</v>
      </c>
      <c r="DQ1641" s="1" t="s">
        <v>228</v>
      </c>
      <c r="DR1641" s="1" t="s">
        <v>229</v>
      </c>
      <c r="DV1641" s="1" t="s">
        <v>232</v>
      </c>
      <c r="DW1641" s="1" t="s">
        <v>279</v>
      </c>
      <c r="DX1641" s="1" t="s">
        <v>234</v>
      </c>
      <c r="EC1641" s="1" t="s">
        <v>237</v>
      </c>
      <c r="EM1641" s="1" t="s">
        <v>238</v>
      </c>
      <c r="EQ1641" s="1" t="s">
        <v>238</v>
      </c>
      <c r="EU1641" s="1" t="s">
        <v>238</v>
      </c>
      <c r="EY1641" s="1" t="s">
        <v>238</v>
      </c>
      <c r="FC1641" s="1" t="s">
        <v>238</v>
      </c>
      <c r="FF1641" s="1" t="s">
        <v>239</v>
      </c>
      <c r="FG1641" s="1" t="s">
        <v>192</v>
      </c>
      <c r="FH1641" s="1" t="s">
        <v>192</v>
      </c>
      <c r="FJ1641" s="1" t="s">
        <v>3728</v>
      </c>
      <c r="FK1641" s="1" t="s">
        <v>229</v>
      </c>
      <c r="FL1641" s="1" t="s">
        <v>16388</v>
      </c>
      <c r="FM1641" s="1">
        <v>70288.0</v>
      </c>
      <c r="FN1641" s="1" t="s">
        <v>16389</v>
      </c>
      <c r="FO1641" s="1" t="s">
        <v>16390</v>
      </c>
      <c r="FP1641" s="1">
        <v>701422.0</v>
      </c>
      <c r="FQ1641" s="1" t="s">
        <v>16391</v>
      </c>
      <c r="FU1641" s="1" t="s">
        <v>353</v>
      </c>
      <c r="FV1641" s="1" t="s">
        <v>200</v>
      </c>
      <c r="FW1641" s="1" t="s">
        <v>1511</v>
      </c>
      <c r="FX1641" s="1" t="s">
        <v>1739</v>
      </c>
      <c r="FZ1641" s="1" t="s">
        <v>229</v>
      </c>
      <c r="GA1641" s="1" t="s">
        <v>291</v>
      </c>
      <c r="GB1641" s="2">
        <v>41974.0</v>
      </c>
      <c r="GC1641" s="1" t="s">
        <v>16392</v>
      </c>
    </row>
    <row r="1642">
      <c r="A1642" s="1">
        <v>262000.0</v>
      </c>
      <c r="B1642" s="1" t="s">
        <v>185</v>
      </c>
      <c r="C1642" s="1" t="str">
        <f>"08695838"</f>
        <v>08695838</v>
      </c>
      <c r="D1642" s="1" t="s">
        <v>186</v>
      </c>
      <c r="F1642" s="1" t="str">
        <f>"118"</f>
        <v>118</v>
      </c>
      <c r="G1642" s="2">
        <v>41858.0</v>
      </c>
      <c r="H1642" s="1">
        <v>285900.0</v>
      </c>
      <c r="I1642" s="1">
        <v>122.0</v>
      </c>
      <c r="J1642" s="1">
        <v>274900.0</v>
      </c>
      <c r="K1642" s="2">
        <v>41978.0</v>
      </c>
      <c r="L1642" s="1">
        <v>122.0</v>
      </c>
      <c r="M1642" s="2">
        <v>41978.0</v>
      </c>
      <c r="N1642" s="1" t="s">
        <v>249</v>
      </c>
      <c r="O1642" s="2">
        <v>42032.0</v>
      </c>
      <c r="P1642" s="1">
        <v>29.0</v>
      </c>
      <c r="Q1642" s="1">
        <v>209.0</v>
      </c>
      <c r="S1642" s="1">
        <v>1100.0</v>
      </c>
      <c r="T1642" s="1" t="s">
        <v>16393</v>
      </c>
      <c r="U1642" s="1" t="s">
        <v>4857</v>
      </c>
      <c r="V1642" s="1" t="s">
        <v>1086</v>
      </c>
      <c r="W1642" s="1">
        <v>60118.0</v>
      </c>
      <c r="Y1642" s="1" t="s">
        <v>16394</v>
      </c>
      <c r="Z1642" s="1">
        <v>1994.0</v>
      </c>
      <c r="AA1642" s="1" t="s">
        <v>200</v>
      </c>
      <c r="AB1642" s="1" t="s">
        <v>193</v>
      </c>
      <c r="AC1642" s="1" t="s">
        <v>16395</v>
      </c>
      <c r="AD1642" s="1" t="s">
        <v>810</v>
      </c>
      <c r="AE1642" s="1" t="s">
        <v>325</v>
      </c>
      <c r="AF1642" s="1" t="s">
        <v>810</v>
      </c>
      <c r="AG1642" s="1" t="s">
        <v>4056</v>
      </c>
      <c r="AH1642" s="1">
        <v>10890.0</v>
      </c>
      <c r="AK1642" s="1">
        <v>9.0</v>
      </c>
      <c r="AL1642" s="1">
        <v>4.0</v>
      </c>
      <c r="AM1642" s="1">
        <v>2.0</v>
      </c>
      <c r="AN1642" s="1">
        <v>1.0</v>
      </c>
      <c r="AO1642" s="1" t="s">
        <v>198</v>
      </c>
      <c r="AP1642" s="1">
        <v>1.0</v>
      </c>
      <c r="AQ1642" s="1" t="s">
        <v>472</v>
      </c>
      <c r="AR1642" s="1" t="s">
        <v>200</v>
      </c>
      <c r="AS1642" s="1" t="s">
        <v>199</v>
      </c>
      <c r="AT1642" s="1">
        <v>2.0</v>
      </c>
      <c r="AV1642" s="1" t="s">
        <v>200</v>
      </c>
      <c r="AW1642" s="1">
        <v>7142.56</v>
      </c>
      <c r="AX1642" s="1">
        <v>2013.0</v>
      </c>
      <c r="AY1642" s="1" t="s">
        <v>1179</v>
      </c>
      <c r="AZ1642" s="1" t="s">
        <v>200</v>
      </c>
      <c r="BA1642" s="1" t="str">
        <f>"0321128011"</f>
        <v>0321128011</v>
      </c>
      <c r="BB1642" s="1" t="s">
        <v>200</v>
      </c>
      <c r="BC1642" s="1">
        <v>2374.0</v>
      </c>
      <c r="BD1642" s="1">
        <v>262000.0</v>
      </c>
      <c r="BE1642" s="2">
        <v>41857.0</v>
      </c>
      <c r="BF1642" s="2" t="s">
        <v>16396</v>
      </c>
      <c r="BG1642" s="1" t="s">
        <v>3486</v>
      </c>
      <c r="BH1642" s="1">
        <v>0.0</v>
      </c>
      <c r="BI1642" s="1" t="s">
        <v>1093</v>
      </c>
      <c r="BJ1642" s="1" t="s">
        <v>1759</v>
      </c>
      <c r="BK1642" s="1" t="s">
        <v>204</v>
      </c>
      <c r="BL1642" s="1" t="str">
        <f t="shared" ref="BL1642:BM1642" si="1079">""</f>
        <v/>
      </c>
      <c r="BM1642" s="1" t="str">
        <f t="shared" si="1079"/>
        <v/>
      </c>
      <c r="BQ1642" s="1">
        <v>300.0</v>
      </c>
      <c r="BR1642" s="1">
        <v>300.0</v>
      </c>
      <c r="BS1642" s="1">
        <v>300.0</v>
      </c>
      <c r="BU1642" s="1" t="s">
        <v>361</v>
      </c>
      <c r="BV1642" s="1" t="s">
        <v>206</v>
      </c>
      <c r="BW1642" s="1" t="s">
        <v>210</v>
      </c>
      <c r="BX1642" s="1" t="s">
        <v>1549</v>
      </c>
      <c r="BY1642" s="1" t="s">
        <v>432</v>
      </c>
      <c r="BZ1642" s="1" t="s">
        <v>209</v>
      </c>
      <c r="CA1642" s="1" t="s">
        <v>210</v>
      </c>
      <c r="CB1642" s="1" t="s">
        <v>1549</v>
      </c>
      <c r="CC1642" s="1" t="s">
        <v>212</v>
      </c>
      <c r="CD1642" s="1" t="s">
        <v>206</v>
      </c>
      <c r="CE1642" s="1" t="s">
        <v>207</v>
      </c>
      <c r="CF1642" s="1" t="s">
        <v>1549</v>
      </c>
      <c r="CG1642" s="1" t="s">
        <v>331</v>
      </c>
      <c r="CH1642" s="1" t="s">
        <v>209</v>
      </c>
      <c r="CI1642" s="1" t="s">
        <v>210</v>
      </c>
      <c r="CJ1642" s="1" t="s">
        <v>1549</v>
      </c>
      <c r="CK1642" s="1" t="s">
        <v>262</v>
      </c>
      <c r="CL1642" s="1" t="s">
        <v>209</v>
      </c>
      <c r="CM1642" s="1" t="s">
        <v>210</v>
      </c>
      <c r="CN1642" s="1" t="s">
        <v>1549</v>
      </c>
      <c r="CO1642" s="1" t="s">
        <v>454</v>
      </c>
      <c r="CP1642" s="1" t="s">
        <v>209</v>
      </c>
      <c r="CQ1642" s="1" t="s">
        <v>210</v>
      </c>
      <c r="CR1642" s="1" t="s">
        <v>1549</v>
      </c>
      <c r="CS1642" s="1" t="s">
        <v>454</v>
      </c>
      <c r="CT1642" s="1" t="s">
        <v>206</v>
      </c>
      <c r="CU1642" s="1" t="s">
        <v>207</v>
      </c>
      <c r="CV1642" s="1" t="s">
        <v>1549</v>
      </c>
      <c r="CW1642" s="1" t="s">
        <v>362</v>
      </c>
      <c r="CX1642" s="1" t="s">
        <v>206</v>
      </c>
      <c r="CY1642" s="1" t="s">
        <v>210</v>
      </c>
      <c r="CZ1642" s="1" t="s">
        <v>1549</v>
      </c>
      <c r="DA1642" s="1" t="s">
        <v>200</v>
      </c>
      <c r="DC1642" s="1" t="s">
        <v>678</v>
      </c>
      <c r="DD1642" s="1" t="s">
        <v>436</v>
      </c>
      <c r="DE1642" s="1" t="s">
        <v>273</v>
      </c>
      <c r="DF1642" s="1" t="s">
        <v>619</v>
      </c>
      <c r="DH1642" s="1" t="s">
        <v>220</v>
      </c>
      <c r="DI1642" s="1" t="s">
        <v>366</v>
      </c>
      <c r="DJ1642" s="1" t="s">
        <v>222</v>
      </c>
      <c r="DL1642" s="1" t="s">
        <v>223</v>
      </c>
      <c r="DM1642" s="1" t="s">
        <v>1268</v>
      </c>
      <c r="DN1642" s="1" t="s">
        <v>439</v>
      </c>
      <c r="DO1642" s="1" t="s">
        <v>590</v>
      </c>
      <c r="DP1642" s="1" t="s">
        <v>340</v>
      </c>
      <c r="DQ1642" s="1" t="s">
        <v>228</v>
      </c>
      <c r="DR1642" s="1" t="s">
        <v>229</v>
      </c>
      <c r="DU1642" s="1" t="s">
        <v>7655</v>
      </c>
      <c r="DV1642" s="1" t="s">
        <v>16397</v>
      </c>
      <c r="DW1642" s="1" t="s">
        <v>233</v>
      </c>
      <c r="DX1642" s="1" t="s">
        <v>234</v>
      </c>
      <c r="DY1642" s="1" t="s">
        <v>3488</v>
      </c>
      <c r="DZ1642" s="1" t="s">
        <v>16398</v>
      </c>
      <c r="EB1642" s="1" t="s">
        <v>2183</v>
      </c>
      <c r="EC1642" s="1" t="s">
        <v>237</v>
      </c>
      <c r="ED1642" s="1" t="s">
        <v>555</v>
      </c>
      <c r="EE1642" s="1" t="s">
        <v>16399</v>
      </c>
      <c r="EG1642" s="1" t="s">
        <v>556</v>
      </c>
      <c r="EH1642" s="1" t="s">
        <v>588</v>
      </c>
      <c r="EL1642" s="1" t="s">
        <v>640</v>
      </c>
      <c r="EM1642" s="1" t="s">
        <v>206</v>
      </c>
      <c r="EN1642" s="1" t="s">
        <v>207</v>
      </c>
      <c r="EO1642" s="1" t="s">
        <v>1549</v>
      </c>
      <c r="EP1642" s="1" t="s">
        <v>392</v>
      </c>
      <c r="EQ1642" s="1" t="s">
        <v>206</v>
      </c>
      <c r="ER1642" s="1" t="s">
        <v>588</v>
      </c>
      <c r="ES1642" s="1" t="s">
        <v>229</v>
      </c>
      <c r="EU1642" s="1" t="s">
        <v>238</v>
      </c>
      <c r="EY1642" s="1" t="s">
        <v>238</v>
      </c>
      <c r="FC1642" s="1" t="s">
        <v>238</v>
      </c>
      <c r="FF1642" s="1" t="s">
        <v>239</v>
      </c>
      <c r="FG1642" s="1" t="s">
        <v>192</v>
      </c>
      <c r="FH1642" s="1" t="s">
        <v>192</v>
      </c>
      <c r="FJ1642" s="1" t="s">
        <v>1288</v>
      </c>
      <c r="FK1642" s="1" t="s">
        <v>229</v>
      </c>
      <c r="FL1642" s="1" t="s">
        <v>1451</v>
      </c>
      <c r="FM1642" s="1">
        <v>7450.0</v>
      </c>
      <c r="FN1642" s="1" t="s">
        <v>1452</v>
      </c>
      <c r="FO1642" s="1" t="s">
        <v>1453</v>
      </c>
      <c r="FP1642" s="1">
        <v>8423.0</v>
      </c>
      <c r="FQ1642" s="1" t="s">
        <v>1454</v>
      </c>
      <c r="FR1642" s="1">
        <v>70399.0</v>
      </c>
      <c r="FU1642" s="1" t="s">
        <v>2030</v>
      </c>
      <c r="FV1642" s="1" t="s">
        <v>200</v>
      </c>
      <c r="FW1642" s="1" t="s">
        <v>16400</v>
      </c>
      <c r="FZ1642" s="1" t="s">
        <v>504</v>
      </c>
      <c r="GA1642" s="1" t="s">
        <v>291</v>
      </c>
      <c r="GB1642" s="2">
        <v>42033.0</v>
      </c>
      <c r="GC1642" s="1" t="s">
        <v>16401</v>
      </c>
    </row>
    <row r="1643">
      <c r="A1643" s="1">
        <v>314433.0</v>
      </c>
      <c r="B1643" s="1" t="s">
        <v>185</v>
      </c>
      <c r="C1643" s="1" t="str">
        <f>"08694416"</f>
        <v>08694416</v>
      </c>
      <c r="D1643" s="1" t="s">
        <v>186</v>
      </c>
      <c r="F1643" s="1" t="str">
        <f>"8019"</f>
        <v>8019</v>
      </c>
      <c r="G1643" s="2">
        <v>41857.0</v>
      </c>
      <c r="H1643" s="1">
        <v>339000.0</v>
      </c>
      <c r="I1643" s="1">
        <v>107.0</v>
      </c>
      <c r="J1643" s="1">
        <v>319000.0</v>
      </c>
      <c r="K1643" s="2">
        <v>41963.0</v>
      </c>
      <c r="L1643" s="1">
        <v>107.0</v>
      </c>
      <c r="M1643" s="2">
        <v>41963.0</v>
      </c>
      <c r="N1643" s="1" t="s">
        <v>187</v>
      </c>
      <c r="O1643" s="2">
        <v>42004.0</v>
      </c>
      <c r="P1643" s="1">
        <v>163298.0</v>
      </c>
      <c r="Q1643" s="1">
        <v>18235.0</v>
      </c>
      <c r="R1643" s="1">
        <v>3.0</v>
      </c>
      <c r="S1643" s="1">
        <v>4917.0</v>
      </c>
      <c r="T1643" s="1" t="s">
        <v>7220</v>
      </c>
      <c r="U1643" s="1" t="s">
        <v>320</v>
      </c>
      <c r="V1643" s="1" t="s">
        <v>190</v>
      </c>
      <c r="W1643" s="1">
        <v>60641.0</v>
      </c>
      <c r="Y1643" s="1" t="s">
        <v>16402</v>
      </c>
      <c r="Z1643" s="1">
        <v>1911.0</v>
      </c>
      <c r="AA1643" s="1" t="s">
        <v>192</v>
      </c>
      <c r="AB1643" s="1" t="s">
        <v>193</v>
      </c>
      <c r="AD1643" s="1" t="s">
        <v>194</v>
      </c>
      <c r="AE1643" s="1" t="s">
        <v>195</v>
      </c>
      <c r="AF1643" s="1" t="s">
        <v>2645</v>
      </c>
      <c r="AH1643" s="1" t="s">
        <v>16403</v>
      </c>
      <c r="AI1643" s="1">
        <v>0.1004</v>
      </c>
      <c r="AK1643" s="1">
        <v>9.0</v>
      </c>
      <c r="AL1643" s="1">
        <v>4.0</v>
      </c>
      <c r="AM1643" s="1">
        <v>3.0</v>
      </c>
      <c r="AN1643" s="1">
        <v>0.0</v>
      </c>
      <c r="AO1643" s="1" t="s">
        <v>198</v>
      </c>
      <c r="AQ1643" s="1" t="s">
        <v>198</v>
      </c>
      <c r="AR1643" s="1" t="s">
        <v>200</v>
      </c>
      <c r="AS1643" s="1" t="s">
        <v>199</v>
      </c>
      <c r="AT1643" s="1">
        <v>2.0</v>
      </c>
      <c r="AV1643" s="1" t="s">
        <v>200</v>
      </c>
      <c r="AW1643" s="1">
        <v>4004.0</v>
      </c>
      <c r="AX1643" s="1">
        <v>2013.0</v>
      </c>
      <c r="AZ1643" s="1" t="s">
        <v>200</v>
      </c>
      <c r="BA1643" s="1" t="str">
        <f>"13282060130000"</f>
        <v>13282060130000</v>
      </c>
      <c r="BC1643" s="1">
        <v>2000.0</v>
      </c>
      <c r="BD1643" s="1">
        <v>314433.0</v>
      </c>
      <c r="BE1643" s="2">
        <v>41857.0</v>
      </c>
      <c r="BF1643" s="2" t="s">
        <v>16404</v>
      </c>
      <c r="BH1643" s="1">
        <v>0.0</v>
      </c>
      <c r="BK1643" s="1" t="s">
        <v>204</v>
      </c>
      <c r="BL1643" s="1" t="str">
        <f>"3132"</f>
        <v>3132</v>
      </c>
      <c r="BM1643" s="1" t="str">
        <f>"0"</f>
        <v>0</v>
      </c>
      <c r="BN1643" s="1">
        <v>4917.0</v>
      </c>
      <c r="BO1643" s="1">
        <v>0.0</v>
      </c>
      <c r="BQ1643" s="1">
        <v>299.0</v>
      </c>
      <c r="BR1643" s="1">
        <v>299.0</v>
      </c>
      <c r="BS1643" s="1">
        <v>299.0</v>
      </c>
      <c r="BU1643" s="1" t="s">
        <v>363</v>
      </c>
      <c r="BV1643" s="1" t="s">
        <v>206</v>
      </c>
      <c r="BW1643" s="1" t="s">
        <v>207</v>
      </c>
      <c r="BY1643" s="1" t="s">
        <v>664</v>
      </c>
      <c r="BZ1643" s="1" t="s">
        <v>209</v>
      </c>
      <c r="CA1643" s="1" t="s">
        <v>207</v>
      </c>
      <c r="CC1643" s="1" t="s">
        <v>478</v>
      </c>
      <c r="CD1643" s="1" t="s">
        <v>206</v>
      </c>
      <c r="CE1643" s="1" t="s">
        <v>207</v>
      </c>
      <c r="CG1643" s="1" t="s">
        <v>516</v>
      </c>
      <c r="CH1643" s="1" t="s">
        <v>209</v>
      </c>
      <c r="CI1643" s="1" t="s">
        <v>207</v>
      </c>
      <c r="CK1643" s="1" t="s">
        <v>623</v>
      </c>
      <c r="CL1643" s="1" t="s">
        <v>209</v>
      </c>
      <c r="CM1643" s="1" t="s">
        <v>207</v>
      </c>
      <c r="CO1643" s="1" t="s">
        <v>623</v>
      </c>
      <c r="CP1643" s="1" t="s">
        <v>206</v>
      </c>
      <c r="CQ1643" s="1" t="s">
        <v>207</v>
      </c>
      <c r="CS1643" s="1" t="s">
        <v>215</v>
      </c>
      <c r="CT1643" s="1" t="s">
        <v>206</v>
      </c>
      <c r="CU1643" s="1" t="s">
        <v>207</v>
      </c>
      <c r="CW1643" s="1" t="s">
        <v>390</v>
      </c>
      <c r="CX1643" s="1" t="s">
        <v>206</v>
      </c>
      <c r="CY1643" s="1" t="s">
        <v>207</v>
      </c>
      <c r="DA1643" s="1" t="s">
        <v>200</v>
      </c>
      <c r="DC1643" s="1" t="s">
        <v>642</v>
      </c>
      <c r="DE1643" s="1" t="s">
        <v>273</v>
      </c>
      <c r="DF1643" s="1" t="s">
        <v>619</v>
      </c>
      <c r="DG1643" s="1" t="s">
        <v>337</v>
      </c>
      <c r="DH1643" s="1" t="s">
        <v>365</v>
      </c>
      <c r="DJ1643" s="1" t="s">
        <v>222</v>
      </c>
      <c r="DL1643" s="1" t="s">
        <v>858</v>
      </c>
      <c r="DM1643" s="1" t="s">
        <v>229</v>
      </c>
      <c r="DN1643" s="1" t="s">
        <v>367</v>
      </c>
      <c r="DQ1643" s="1" t="s">
        <v>228</v>
      </c>
      <c r="DR1643" s="1" t="s">
        <v>229</v>
      </c>
      <c r="DS1643" s="1" t="s">
        <v>230</v>
      </c>
      <c r="DV1643" s="1" t="s">
        <v>557</v>
      </c>
      <c r="DW1643" s="1" t="s">
        <v>233</v>
      </c>
      <c r="DX1643" s="1" t="s">
        <v>234</v>
      </c>
      <c r="DY1643" s="1" t="s">
        <v>3231</v>
      </c>
      <c r="EA1643" s="1" t="s">
        <v>644</v>
      </c>
      <c r="EC1643" s="1" t="s">
        <v>237</v>
      </c>
      <c r="EG1643" s="1" t="s">
        <v>557</v>
      </c>
      <c r="EL1643" s="1" t="s">
        <v>1688</v>
      </c>
      <c r="EM1643" s="1" t="s">
        <v>209</v>
      </c>
      <c r="EN1643" s="1" t="s">
        <v>207</v>
      </c>
      <c r="EQ1643" s="1" t="s">
        <v>238</v>
      </c>
      <c r="EU1643" s="1" t="s">
        <v>238</v>
      </c>
      <c r="EY1643" s="1" t="s">
        <v>238</v>
      </c>
      <c r="FC1643" s="1" t="s">
        <v>238</v>
      </c>
      <c r="FF1643" s="1" t="s">
        <v>239</v>
      </c>
      <c r="FG1643" s="1" t="s">
        <v>192</v>
      </c>
      <c r="FH1643" s="1" t="s">
        <v>192</v>
      </c>
      <c r="FJ1643" s="1" t="s">
        <v>7339</v>
      </c>
      <c r="FK1643" s="1" t="s">
        <v>229</v>
      </c>
      <c r="FL1643" s="1" t="s">
        <v>7366</v>
      </c>
      <c r="FM1643" s="1">
        <v>84674.0</v>
      </c>
      <c r="FN1643" s="1" t="s">
        <v>7367</v>
      </c>
      <c r="FO1643" s="1" t="s">
        <v>16405</v>
      </c>
      <c r="FP1643" s="1">
        <v>841070.0</v>
      </c>
      <c r="FQ1643" s="1" t="s">
        <v>16406</v>
      </c>
      <c r="FU1643" s="1" t="s">
        <v>4374</v>
      </c>
      <c r="FV1643" s="1" t="s">
        <v>200</v>
      </c>
      <c r="FW1643" s="1" t="s">
        <v>290</v>
      </c>
      <c r="FX1643" s="1" t="s">
        <v>246</v>
      </c>
      <c r="FZ1643" s="1" t="s">
        <v>229</v>
      </c>
      <c r="GA1643" s="1" t="s">
        <v>291</v>
      </c>
      <c r="GB1643" s="2">
        <v>42004.0</v>
      </c>
      <c r="GC1643" s="1" t="s">
        <v>16407</v>
      </c>
    </row>
    <row r="1644">
      <c r="A1644" s="1">
        <v>220000.0</v>
      </c>
      <c r="B1644" s="1" t="s">
        <v>185</v>
      </c>
      <c r="C1644" s="1" t="str">
        <f>"08823796"</f>
        <v>08823796</v>
      </c>
      <c r="D1644" s="1" t="s">
        <v>186</v>
      </c>
      <c r="F1644" s="1" t="str">
        <f>"8056"</f>
        <v>8056</v>
      </c>
      <c r="G1644" s="2">
        <v>42030.0</v>
      </c>
      <c r="H1644" s="1">
        <v>229900.0</v>
      </c>
      <c r="I1644" s="1">
        <v>4.0</v>
      </c>
      <c r="J1644" s="1">
        <v>229900.0</v>
      </c>
      <c r="K1644" s="2">
        <v>42033.0</v>
      </c>
      <c r="L1644" s="1">
        <v>4.0</v>
      </c>
      <c r="M1644" s="2">
        <v>42033.0</v>
      </c>
      <c r="N1644" s="1" t="s">
        <v>187</v>
      </c>
      <c r="O1644" s="2">
        <v>42079.0</v>
      </c>
      <c r="P1644" s="1">
        <v>221506.0</v>
      </c>
      <c r="Q1644" s="1">
        <v>60070.0</v>
      </c>
      <c r="R1644" s="1">
        <v>3000.0</v>
      </c>
      <c r="S1644" s="1">
        <v>5601.0</v>
      </c>
      <c r="T1644" s="1" t="s">
        <v>6346</v>
      </c>
      <c r="U1644" s="1" t="s">
        <v>189</v>
      </c>
      <c r="V1644" s="1" t="s">
        <v>190</v>
      </c>
      <c r="W1644" s="1">
        <v>60638.0</v>
      </c>
      <c r="X1644" s="1">
        <v>3637.0</v>
      </c>
      <c r="Y1644" s="1" t="s">
        <v>16408</v>
      </c>
      <c r="Z1644" s="1">
        <v>1951.0</v>
      </c>
      <c r="AA1644" s="1" t="s">
        <v>192</v>
      </c>
      <c r="AB1644" s="1" t="s">
        <v>193</v>
      </c>
      <c r="AD1644" s="1" t="s">
        <v>194</v>
      </c>
      <c r="AE1644" s="1" t="s">
        <v>195</v>
      </c>
      <c r="AF1644" s="1" t="s">
        <v>659</v>
      </c>
      <c r="AG1644" s="1" t="s">
        <v>16409</v>
      </c>
      <c r="AH1644" s="1" t="s">
        <v>16410</v>
      </c>
      <c r="AK1644" s="1">
        <v>8.0</v>
      </c>
      <c r="AL1644" s="1">
        <v>4.0</v>
      </c>
      <c r="AM1644" s="1">
        <v>3.0</v>
      </c>
      <c r="AN1644" s="1">
        <v>0.0</v>
      </c>
      <c r="AO1644" s="1" t="s">
        <v>229</v>
      </c>
      <c r="AQ1644" s="1" t="s">
        <v>327</v>
      </c>
      <c r="AR1644" s="1" t="s">
        <v>192</v>
      </c>
      <c r="AS1644" s="1" t="s">
        <v>199</v>
      </c>
      <c r="AT1644" s="1">
        <v>2.0</v>
      </c>
      <c r="AV1644" s="1" t="s">
        <v>200</v>
      </c>
      <c r="AW1644" s="1">
        <v>2535.79</v>
      </c>
      <c r="AX1644" s="1">
        <v>2013.0</v>
      </c>
      <c r="AY1644" s="1" t="s">
        <v>1179</v>
      </c>
      <c r="AZ1644" s="1" t="s">
        <v>200</v>
      </c>
      <c r="BA1644" s="1" t="str">
        <f>"19172100380000"</f>
        <v>19172100380000</v>
      </c>
      <c r="BB1644" s="1" t="s">
        <v>200</v>
      </c>
      <c r="BC1644" s="1">
        <v>1025.0</v>
      </c>
      <c r="BD1644" s="1">
        <v>220000.0</v>
      </c>
      <c r="BE1644" s="2">
        <v>42030.0</v>
      </c>
      <c r="BF1644" s="2" t="s">
        <v>16411</v>
      </c>
      <c r="BG1644" s="1" t="s">
        <v>16412</v>
      </c>
      <c r="BH1644" s="1">
        <v>0.0</v>
      </c>
      <c r="BI1644" s="1" t="s">
        <v>16412</v>
      </c>
      <c r="BJ1644" s="1" t="s">
        <v>8559</v>
      </c>
      <c r="BK1644" s="1" t="s">
        <v>204</v>
      </c>
      <c r="BL1644" s="1" t="str">
        <f t="shared" ref="BL1644:BM1644" si="1080">"0"</f>
        <v>0</v>
      </c>
      <c r="BM1644" s="1" t="str">
        <f t="shared" si="1080"/>
        <v>0</v>
      </c>
      <c r="BN1644" s="1">
        <v>5900.0</v>
      </c>
      <c r="BO1644" s="1">
        <v>5601.0</v>
      </c>
      <c r="BQ1644" s="1">
        <v>299.0</v>
      </c>
      <c r="BR1644" s="1">
        <v>299.0</v>
      </c>
      <c r="BS1644" s="1">
        <v>299.0</v>
      </c>
      <c r="BU1644" s="1" t="s">
        <v>1395</v>
      </c>
      <c r="BV1644" s="1" t="s">
        <v>206</v>
      </c>
      <c r="BW1644" s="1" t="s">
        <v>207</v>
      </c>
      <c r="BX1644" s="1" t="s">
        <v>229</v>
      </c>
      <c r="BY1644" s="1" t="s">
        <v>1183</v>
      </c>
      <c r="BZ1644" s="1" t="s">
        <v>209</v>
      </c>
      <c r="CA1644" s="1" t="s">
        <v>210</v>
      </c>
      <c r="CB1644" s="1" t="s">
        <v>239</v>
      </c>
      <c r="CD1644" s="1" t="s">
        <v>204</v>
      </c>
      <c r="CG1644" s="1" t="s">
        <v>1064</v>
      </c>
      <c r="CH1644" s="1" t="s">
        <v>209</v>
      </c>
      <c r="CI1644" s="1" t="s">
        <v>210</v>
      </c>
      <c r="CJ1644" s="1" t="s">
        <v>239</v>
      </c>
      <c r="CK1644" s="1" t="s">
        <v>302</v>
      </c>
      <c r="CL1644" s="1" t="s">
        <v>206</v>
      </c>
      <c r="CM1644" s="1" t="s">
        <v>207</v>
      </c>
      <c r="CN1644" s="1" t="s">
        <v>239</v>
      </c>
      <c r="CO1644" s="1" t="s">
        <v>302</v>
      </c>
      <c r="CP1644" s="1" t="s">
        <v>206</v>
      </c>
      <c r="CQ1644" s="1" t="s">
        <v>207</v>
      </c>
      <c r="CR1644" s="1" t="s">
        <v>239</v>
      </c>
      <c r="CS1644" s="1" t="s">
        <v>1183</v>
      </c>
      <c r="CT1644" s="1" t="s">
        <v>206</v>
      </c>
      <c r="CU1644" s="1" t="s">
        <v>301</v>
      </c>
      <c r="CV1644" s="1" t="s">
        <v>239</v>
      </c>
      <c r="CW1644" s="1" t="s">
        <v>2274</v>
      </c>
      <c r="CX1644" s="1" t="s">
        <v>42</v>
      </c>
      <c r="CY1644" s="1" t="s">
        <v>210</v>
      </c>
      <c r="CZ1644" s="1" t="s">
        <v>239</v>
      </c>
      <c r="DA1644" s="1" t="s">
        <v>200</v>
      </c>
      <c r="DC1644" s="1" t="s">
        <v>702</v>
      </c>
      <c r="DD1644" s="1" t="s">
        <v>518</v>
      </c>
      <c r="DE1644" s="1" t="s">
        <v>273</v>
      </c>
      <c r="DF1644" s="1" t="s">
        <v>219</v>
      </c>
      <c r="DG1644" s="1" t="s">
        <v>337</v>
      </c>
      <c r="DH1644" s="1" t="s">
        <v>365</v>
      </c>
      <c r="DI1644" s="1" t="s">
        <v>703</v>
      </c>
      <c r="DJ1644" s="1" t="s">
        <v>222</v>
      </c>
      <c r="DL1644" s="1" t="s">
        <v>224</v>
      </c>
      <c r="DM1644" s="1" t="s">
        <v>1143</v>
      </c>
      <c r="DO1644" s="1" t="s">
        <v>1004</v>
      </c>
      <c r="DQ1644" s="1" t="s">
        <v>794</v>
      </c>
      <c r="DR1644" s="1" t="s">
        <v>229</v>
      </c>
      <c r="DS1644" s="1" t="s">
        <v>401</v>
      </c>
      <c r="DU1644" s="1" t="s">
        <v>487</v>
      </c>
      <c r="DV1644" s="1" t="s">
        <v>598</v>
      </c>
      <c r="DW1644" s="1" t="s">
        <v>279</v>
      </c>
      <c r="DX1644" s="1" t="s">
        <v>1287</v>
      </c>
      <c r="DY1644" s="1" t="s">
        <v>553</v>
      </c>
      <c r="DZ1644" s="1" t="s">
        <v>2204</v>
      </c>
      <c r="EA1644" s="1" t="s">
        <v>1075</v>
      </c>
      <c r="EC1644" s="1" t="s">
        <v>645</v>
      </c>
      <c r="ED1644" s="1" t="s">
        <v>407</v>
      </c>
      <c r="EE1644" s="1" t="s">
        <v>493</v>
      </c>
      <c r="EG1644" s="1" t="s">
        <v>598</v>
      </c>
      <c r="EL1644" s="1" t="s">
        <v>699</v>
      </c>
      <c r="EM1644" s="1" t="s">
        <v>42</v>
      </c>
      <c r="EN1644" s="1" t="s">
        <v>210</v>
      </c>
      <c r="EO1644" s="1" t="s">
        <v>239</v>
      </c>
      <c r="EQ1644" s="1" t="s">
        <v>238</v>
      </c>
      <c r="EU1644" s="1" t="s">
        <v>238</v>
      </c>
      <c r="EY1644" s="1" t="s">
        <v>238</v>
      </c>
      <c r="FC1644" s="1" t="s">
        <v>238</v>
      </c>
      <c r="FF1644" s="1" t="s">
        <v>239</v>
      </c>
      <c r="FG1644" s="1" t="s">
        <v>192</v>
      </c>
      <c r="FH1644" s="1" t="s">
        <v>192</v>
      </c>
      <c r="FJ1644" s="1" t="s">
        <v>524</v>
      </c>
      <c r="FK1644" s="1" t="s">
        <v>229</v>
      </c>
      <c r="FL1644" s="1" t="s">
        <v>16413</v>
      </c>
      <c r="FM1644" s="1">
        <v>12166.0</v>
      </c>
      <c r="FN1644" s="1" t="s">
        <v>16414</v>
      </c>
      <c r="FO1644" s="1" t="s">
        <v>16415</v>
      </c>
      <c r="FP1644" s="1">
        <v>108067.0</v>
      </c>
      <c r="FQ1644" s="1" t="s">
        <v>16416</v>
      </c>
      <c r="FS1644" s="1" t="s">
        <v>16417</v>
      </c>
      <c r="FU1644" s="1" t="s">
        <v>16418</v>
      </c>
      <c r="FV1644" s="1" t="s">
        <v>200</v>
      </c>
      <c r="FW1644" s="1" t="s">
        <v>530</v>
      </c>
      <c r="FX1644" s="1" t="s">
        <v>655</v>
      </c>
      <c r="FZ1644" s="1" t="s">
        <v>229</v>
      </c>
      <c r="GA1644" s="1" t="s">
        <v>291</v>
      </c>
      <c r="GB1644" s="2">
        <v>42079.0</v>
      </c>
      <c r="GC1644" s="1" t="s">
        <v>16419</v>
      </c>
    </row>
    <row r="1645">
      <c r="A1645" s="1">
        <v>193000.0</v>
      </c>
      <c r="B1645" s="1" t="s">
        <v>185</v>
      </c>
      <c r="C1645" s="1" t="str">
        <f>"08688075"</f>
        <v>08688075</v>
      </c>
      <c r="D1645" s="1" t="s">
        <v>186</v>
      </c>
      <c r="F1645" s="1" t="str">
        <f>"542"</f>
        <v>542</v>
      </c>
      <c r="G1645" s="2">
        <v>41850.0</v>
      </c>
      <c r="H1645" s="1">
        <v>226500.0</v>
      </c>
      <c r="I1645" s="1">
        <v>88.0</v>
      </c>
      <c r="J1645" s="1">
        <v>193900.0</v>
      </c>
      <c r="K1645" s="2">
        <v>41936.0</v>
      </c>
      <c r="L1645" s="1">
        <v>88.0</v>
      </c>
      <c r="M1645" s="2">
        <v>41936.0</v>
      </c>
      <c r="N1645" s="1" t="s">
        <v>187</v>
      </c>
      <c r="O1645" s="2">
        <v>41975.0</v>
      </c>
      <c r="P1645" s="1">
        <v>233740.0</v>
      </c>
      <c r="Q1645" s="1">
        <v>22588.0</v>
      </c>
      <c r="S1645" s="1">
        <v>1510.0</v>
      </c>
      <c r="T1645" s="1" t="s">
        <v>13558</v>
      </c>
      <c r="U1645" s="1" t="s">
        <v>189</v>
      </c>
      <c r="V1645" s="1" t="s">
        <v>3984</v>
      </c>
      <c r="W1645" s="1">
        <v>60542.0</v>
      </c>
      <c r="Y1645" s="1" t="s">
        <v>16420</v>
      </c>
      <c r="Z1645" s="1">
        <v>2000.0</v>
      </c>
      <c r="AA1645" s="1" t="s">
        <v>200</v>
      </c>
      <c r="AB1645" s="1" t="s">
        <v>193</v>
      </c>
      <c r="AC1645" s="1" t="s">
        <v>16421</v>
      </c>
      <c r="AD1645" s="1" t="s">
        <v>3986</v>
      </c>
      <c r="AE1645" s="1" t="s">
        <v>325</v>
      </c>
      <c r="AF1645" s="1" t="s">
        <v>2702</v>
      </c>
      <c r="AH1645" s="1">
        <v>9856.0</v>
      </c>
      <c r="AK1645" s="1">
        <v>9.0</v>
      </c>
      <c r="AL1645" s="1">
        <v>4.0</v>
      </c>
      <c r="AM1645" s="1">
        <v>2.0</v>
      </c>
      <c r="AN1645" s="1">
        <v>1.0</v>
      </c>
      <c r="AO1645" s="1" t="s">
        <v>198</v>
      </c>
      <c r="AP1645" s="1">
        <v>1.0</v>
      </c>
      <c r="AQ1645" s="1" t="s">
        <v>198</v>
      </c>
      <c r="AR1645" s="1" t="s">
        <v>200</v>
      </c>
      <c r="AS1645" s="1" t="s">
        <v>199</v>
      </c>
      <c r="AT1645" s="1">
        <v>2.0</v>
      </c>
      <c r="AV1645" s="1" t="s">
        <v>200</v>
      </c>
      <c r="AW1645" s="1">
        <v>7022.0</v>
      </c>
      <c r="AX1645" s="1">
        <v>2012.0</v>
      </c>
      <c r="AZ1645" s="1" t="s">
        <v>545</v>
      </c>
      <c r="BA1645" s="1" t="str">
        <f>"1231279014"</f>
        <v>1231279014</v>
      </c>
      <c r="BC1645" s="1">
        <v>2420.0</v>
      </c>
      <c r="BD1645" s="1">
        <v>193000.0</v>
      </c>
      <c r="BE1645" s="2">
        <v>41849.0</v>
      </c>
      <c r="BF1645" s="2" t="s">
        <v>16422</v>
      </c>
      <c r="BG1645" s="1" t="s">
        <v>4420</v>
      </c>
      <c r="BH1645" s="1">
        <v>60.0</v>
      </c>
      <c r="BI1645" s="1" t="s">
        <v>9543</v>
      </c>
      <c r="BJ1645" s="1" t="s">
        <v>3831</v>
      </c>
      <c r="BK1645" s="1" t="s">
        <v>1952</v>
      </c>
      <c r="BL1645" s="1" t="str">
        <f t="shared" ref="BL1645:BM1645" si="1081">"0"</f>
        <v>0</v>
      </c>
      <c r="BM1645" s="1" t="str">
        <f t="shared" si="1081"/>
        <v>0</v>
      </c>
      <c r="BN1645" s="1">
        <v>37.0</v>
      </c>
      <c r="BO1645" s="1">
        <v>3.0</v>
      </c>
      <c r="BQ1645" s="1">
        <v>129.0</v>
      </c>
      <c r="BR1645" s="1">
        <v>129.0</v>
      </c>
      <c r="BS1645" s="1">
        <v>129.0</v>
      </c>
      <c r="BU1645" s="1" t="s">
        <v>393</v>
      </c>
      <c r="BV1645" s="1" t="s">
        <v>206</v>
      </c>
      <c r="BW1645" s="1" t="s">
        <v>210</v>
      </c>
      <c r="BY1645" s="1" t="s">
        <v>743</v>
      </c>
      <c r="BZ1645" s="1" t="s">
        <v>209</v>
      </c>
      <c r="CA1645" s="1" t="s">
        <v>210</v>
      </c>
      <c r="CC1645" s="1" t="s">
        <v>331</v>
      </c>
      <c r="CD1645" s="1" t="s">
        <v>206</v>
      </c>
      <c r="CE1645" s="1" t="s">
        <v>210</v>
      </c>
      <c r="CG1645" s="1" t="s">
        <v>212</v>
      </c>
      <c r="CH1645" s="1" t="s">
        <v>209</v>
      </c>
      <c r="CI1645" s="1" t="s">
        <v>210</v>
      </c>
      <c r="CK1645" s="1" t="s">
        <v>212</v>
      </c>
      <c r="CL1645" s="1" t="s">
        <v>209</v>
      </c>
      <c r="CM1645" s="1" t="s">
        <v>210</v>
      </c>
      <c r="CO1645" s="1" t="s">
        <v>332</v>
      </c>
      <c r="CP1645" s="1" t="s">
        <v>209</v>
      </c>
      <c r="CQ1645" s="1" t="s">
        <v>210</v>
      </c>
      <c r="CS1645" s="1" t="s">
        <v>331</v>
      </c>
      <c r="CT1645" s="1" t="s">
        <v>206</v>
      </c>
      <c r="CU1645" s="1" t="s">
        <v>617</v>
      </c>
      <c r="CW1645" s="1" t="s">
        <v>213</v>
      </c>
      <c r="CX1645" s="1" t="s">
        <v>206</v>
      </c>
      <c r="CY1645" s="1" t="s">
        <v>210</v>
      </c>
      <c r="DA1645" s="1" t="s">
        <v>200</v>
      </c>
      <c r="DC1645" s="1" t="s">
        <v>335</v>
      </c>
      <c r="DD1645" s="1" t="s">
        <v>336</v>
      </c>
      <c r="DE1645" s="1" t="s">
        <v>273</v>
      </c>
      <c r="DF1645" s="1" t="s">
        <v>219</v>
      </c>
      <c r="DG1645" s="1" t="s">
        <v>337</v>
      </c>
      <c r="DH1645" s="1" t="s">
        <v>220</v>
      </c>
      <c r="DJ1645" s="1" t="s">
        <v>222</v>
      </c>
      <c r="DL1645" s="1" t="s">
        <v>223</v>
      </c>
      <c r="DM1645" s="1" t="s">
        <v>229</v>
      </c>
      <c r="DN1645" s="1" t="s">
        <v>367</v>
      </c>
      <c r="DO1645" s="1" t="s">
        <v>16423</v>
      </c>
      <c r="DP1645" s="1" t="s">
        <v>340</v>
      </c>
      <c r="DQ1645" s="1" t="s">
        <v>228</v>
      </c>
      <c r="DR1645" s="1" t="s">
        <v>588</v>
      </c>
      <c r="DS1645" s="1" t="s">
        <v>230</v>
      </c>
      <c r="DU1645" s="1" t="s">
        <v>1355</v>
      </c>
      <c r="DV1645" s="1" t="s">
        <v>2071</v>
      </c>
      <c r="DW1645" s="1" t="s">
        <v>444</v>
      </c>
      <c r="DX1645" s="1" t="s">
        <v>234</v>
      </c>
      <c r="EC1645" s="1" t="s">
        <v>237</v>
      </c>
      <c r="EG1645" s="1" t="s">
        <v>449</v>
      </c>
      <c r="EI1645" s="1" t="s">
        <v>408</v>
      </c>
      <c r="EL1645" s="1" t="s">
        <v>721</v>
      </c>
      <c r="EM1645" s="1" t="s">
        <v>206</v>
      </c>
      <c r="EN1645" s="1" t="s">
        <v>617</v>
      </c>
      <c r="EQ1645" s="1" t="s">
        <v>238</v>
      </c>
      <c r="ET1645" s="1" t="s">
        <v>497</v>
      </c>
      <c r="EU1645" s="1" t="s">
        <v>206</v>
      </c>
      <c r="EV1645" s="1" t="s">
        <v>617</v>
      </c>
      <c r="EY1645" s="1" t="s">
        <v>238</v>
      </c>
      <c r="FC1645" s="1" t="s">
        <v>238</v>
      </c>
      <c r="FF1645" s="1" t="s">
        <v>239</v>
      </c>
      <c r="FG1645" s="1" t="s">
        <v>192</v>
      </c>
      <c r="FH1645" s="1" t="s">
        <v>192</v>
      </c>
      <c r="FJ1645" s="1" t="s">
        <v>6085</v>
      </c>
      <c r="FK1645" s="1" t="s">
        <v>229</v>
      </c>
      <c r="FL1645" s="1" t="s">
        <v>2382</v>
      </c>
      <c r="FM1645" s="1">
        <v>23842.0</v>
      </c>
      <c r="FN1645" s="1" t="s">
        <v>2383</v>
      </c>
      <c r="FO1645" s="1" t="s">
        <v>2384</v>
      </c>
      <c r="FP1645" s="1">
        <v>217273.0</v>
      </c>
      <c r="FQ1645" s="1" t="s">
        <v>2385</v>
      </c>
      <c r="FR1645" s="1">
        <v>235676.0</v>
      </c>
      <c r="FU1645" s="1" t="s">
        <v>1438</v>
      </c>
      <c r="FV1645" s="1" t="s">
        <v>200</v>
      </c>
      <c r="FW1645" s="1" t="s">
        <v>530</v>
      </c>
      <c r="FZ1645" s="1" t="s">
        <v>229</v>
      </c>
      <c r="GA1645" s="1" t="s">
        <v>291</v>
      </c>
      <c r="GB1645" s="2">
        <v>41976.0</v>
      </c>
      <c r="GC1645" s="1" t="s">
        <v>16424</v>
      </c>
    </row>
    <row r="1646">
      <c r="A1646" s="1">
        <v>265000.0</v>
      </c>
      <c r="B1646" s="1" t="s">
        <v>185</v>
      </c>
      <c r="C1646" s="1" t="str">
        <f>"08687698"</f>
        <v>08687698</v>
      </c>
      <c r="D1646" s="1" t="s">
        <v>186</v>
      </c>
      <c r="F1646" s="1" t="str">
        <f>"543"</f>
        <v>543</v>
      </c>
      <c r="G1646" s="2">
        <v>41850.0</v>
      </c>
      <c r="H1646" s="1">
        <v>274900.0</v>
      </c>
      <c r="I1646" s="1">
        <v>87.0</v>
      </c>
      <c r="J1646" s="1">
        <v>269900.0</v>
      </c>
      <c r="K1646" s="2">
        <v>41936.0</v>
      </c>
      <c r="L1646" s="1">
        <v>87.0</v>
      </c>
      <c r="M1646" s="2">
        <v>41936.0</v>
      </c>
      <c r="N1646" s="1" t="s">
        <v>187</v>
      </c>
      <c r="O1646" s="2">
        <v>42002.0</v>
      </c>
      <c r="P1646" s="1">
        <v>240536.0</v>
      </c>
      <c r="Q1646" s="1">
        <v>23156.0</v>
      </c>
      <c r="S1646" s="1">
        <v>606.0</v>
      </c>
      <c r="T1646" s="1" t="s">
        <v>16425</v>
      </c>
      <c r="U1646" s="1" t="s">
        <v>189</v>
      </c>
      <c r="V1646" s="1" t="s">
        <v>1527</v>
      </c>
      <c r="W1646" s="1">
        <v>60543.0</v>
      </c>
      <c r="Y1646" s="1" t="s">
        <v>16426</v>
      </c>
      <c r="Z1646" s="1">
        <v>2004.0</v>
      </c>
      <c r="AA1646" s="1" t="s">
        <v>200</v>
      </c>
      <c r="AB1646" s="1" t="s">
        <v>467</v>
      </c>
      <c r="AC1646" s="1" t="s">
        <v>5769</v>
      </c>
      <c r="AD1646" s="1" t="s">
        <v>1529</v>
      </c>
      <c r="AE1646" s="1" t="s">
        <v>849</v>
      </c>
      <c r="AF1646" s="1" t="s">
        <v>1529</v>
      </c>
      <c r="AH1646" s="1" t="s">
        <v>16427</v>
      </c>
      <c r="AK1646" s="1">
        <v>10.0</v>
      </c>
      <c r="AL1646" s="1">
        <v>4.0</v>
      </c>
      <c r="AM1646" s="1">
        <v>2.0</v>
      </c>
      <c r="AN1646" s="1">
        <v>1.0</v>
      </c>
      <c r="AO1646" s="1" t="s">
        <v>198</v>
      </c>
      <c r="AP1646" s="1">
        <v>0.0</v>
      </c>
      <c r="AQ1646" s="1" t="s">
        <v>1314</v>
      </c>
      <c r="AR1646" s="1" t="s">
        <v>200</v>
      </c>
      <c r="AS1646" s="1" t="s">
        <v>199</v>
      </c>
      <c r="AT1646" s="1">
        <v>2.0</v>
      </c>
      <c r="AV1646" s="1" t="s">
        <v>200</v>
      </c>
      <c r="AW1646" s="1">
        <v>8236.9</v>
      </c>
      <c r="AX1646" s="1">
        <v>2013.0</v>
      </c>
      <c r="AY1646" s="1" t="s">
        <v>387</v>
      </c>
      <c r="AZ1646" s="1" t="s">
        <v>200</v>
      </c>
      <c r="BA1646" s="1" t="str">
        <f>"0315206013"</f>
        <v>0315206013</v>
      </c>
      <c r="BC1646" s="1">
        <v>2837.0</v>
      </c>
      <c r="BD1646" s="1">
        <v>265000.0</v>
      </c>
      <c r="BE1646" s="2">
        <v>41850.0</v>
      </c>
      <c r="BF1646" s="2" t="s">
        <v>16428</v>
      </c>
      <c r="BG1646" s="1" t="s">
        <v>4271</v>
      </c>
      <c r="BH1646" s="1">
        <v>18.0</v>
      </c>
      <c r="BI1646" s="1" t="s">
        <v>3647</v>
      </c>
      <c r="BJ1646" s="1" t="s">
        <v>2546</v>
      </c>
      <c r="BK1646" s="1" t="s">
        <v>474</v>
      </c>
      <c r="BL1646" s="1" t="str">
        <f t="shared" ref="BL1646:BM1646" si="1082">""</f>
        <v/>
      </c>
      <c r="BM1646" s="1" t="str">
        <f t="shared" si="1082"/>
        <v/>
      </c>
      <c r="BQ1646" s="1">
        <v>308.0</v>
      </c>
      <c r="BR1646" s="1">
        <v>308.0</v>
      </c>
      <c r="BS1646" s="1">
        <v>308.0</v>
      </c>
      <c r="BU1646" s="1" t="s">
        <v>433</v>
      </c>
      <c r="BV1646" s="1" t="s">
        <v>206</v>
      </c>
      <c r="BW1646" s="1" t="s">
        <v>207</v>
      </c>
      <c r="BX1646" s="1" t="s">
        <v>431</v>
      </c>
      <c r="BY1646" s="1" t="s">
        <v>213</v>
      </c>
      <c r="BZ1646" s="1" t="s">
        <v>209</v>
      </c>
      <c r="CA1646" s="1" t="s">
        <v>207</v>
      </c>
      <c r="CB1646" s="1" t="s">
        <v>239</v>
      </c>
      <c r="CC1646" s="1" t="s">
        <v>454</v>
      </c>
      <c r="CD1646" s="1" t="s">
        <v>206</v>
      </c>
      <c r="CE1646" s="1" t="s">
        <v>207</v>
      </c>
      <c r="CF1646" s="1" t="s">
        <v>239</v>
      </c>
      <c r="CG1646" s="1" t="s">
        <v>363</v>
      </c>
      <c r="CH1646" s="1" t="s">
        <v>209</v>
      </c>
      <c r="CI1646" s="1" t="s">
        <v>210</v>
      </c>
      <c r="CJ1646" s="1" t="s">
        <v>239</v>
      </c>
      <c r="CK1646" s="1" t="s">
        <v>264</v>
      </c>
      <c r="CL1646" s="1" t="s">
        <v>209</v>
      </c>
      <c r="CM1646" s="1" t="s">
        <v>210</v>
      </c>
      <c r="CN1646" s="1" t="s">
        <v>239</v>
      </c>
      <c r="CO1646" s="1" t="s">
        <v>264</v>
      </c>
      <c r="CP1646" s="1" t="s">
        <v>209</v>
      </c>
      <c r="CQ1646" s="1" t="s">
        <v>210</v>
      </c>
      <c r="CR1646" s="1" t="s">
        <v>239</v>
      </c>
      <c r="CS1646" s="1" t="s">
        <v>392</v>
      </c>
      <c r="CT1646" s="1" t="s">
        <v>206</v>
      </c>
      <c r="CU1646" s="1" t="s">
        <v>207</v>
      </c>
      <c r="CV1646" s="1" t="s">
        <v>239</v>
      </c>
      <c r="CW1646" s="1" t="s">
        <v>208</v>
      </c>
      <c r="CX1646" s="1" t="s">
        <v>206</v>
      </c>
      <c r="CY1646" s="1" t="s">
        <v>207</v>
      </c>
      <c r="CZ1646" s="1" t="s">
        <v>239</v>
      </c>
      <c r="DA1646" s="1" t="s">
        <v>200</v>
      </c>
      <c r="DC1646" s="1" t="s">
        <v>481</v>
      </c>
      <c r="DD1646" s="1" t="s">
        <v>1552</v>
      </c>
      <c r="DE1646" s="1" t="s">
        <v>273</v>
      </c>
      <c r="DF1646" s="1" t="s">
        <v>219</v>
      </c>
      <c r="DH1646" s="1" t="s">
        <v>220</v>
      </c>
      <c r="DI1646" s="1" t="s">
        <v>10035</v>
      </c>
      <c r="DJ1646" s="1" t="s">
        <v>222</v>
      </c>
      <c r="DK1646" s="1" t="s">
        <v>223</v>
      </c>
      <c r="DL1646" s="1" t="s">
        <v>438</v>
      </c>
      <c r="DM1646" s="1" t="s">
        <v>229</v>
      </c>
      <c r="DO1646" s="1" t="s">
        <v>717</v>
      </c>
      <c r="DP1646" s="1" t="s">
        <v>340</v>
      </c>
      <c r="DQ1646" s="1" t="s">
        <v>228</v>
      </c>
      <c r="DR1646" s="1" t="s">
        <v>2593</v>
      </c>
      <c r="DS1646" s="1" t="s">
        <v>368</v>
      </c>
      <c r="DU1646" s="1" t="s">
        <v>10901</v>
      </c>
      <c r="DV1646" s="1" t="s">
        <v>11895</v>
      </c>
      <c r="DW1646" s="1" t="s">
        <v>233</v>
      </c>
      <c r="DX1646" s="1" t="s">
        <v>234</v>
      </c>
      <c r="DY1646" s="1" t="s">
        <v>490</v>
      </c>
      <c r="DZ1646" s="1" t="s">
        <v>310</v>
      </c>
      <c r="EA1646" s="1" t="s">
        <v>344</v>
      </c>
      <c r="EC1646" s="1" t="s">
        <v>237</v>
      </c>
      <c r="ED1646" s="1" t="s">
        <v>407</v>
      </c>
      <c r="EG1646" s="1" t="s">
        <v>449</v>
      </c>
      <c r="EH1646" s="1" t="s">
        <v>598</v>
      </c>
      <c r="EI1646" s="1" t="s">
        <v>408</v>
      </c>
      <c r="EL1646" s="1" t="s">
        <v>700</v>
      </c>
      <c r="EM1646" s="1" t="s">
        <v>206</v>
      </c>
      <c r="EN1646" s="1" t="s">
        <v>207</v>
      </c>
      <c r="EP1646" s="1" t="s">
        <v>264</v>
      </c>
      <c r="EQ1646" s="1" t="s">
        <v>206</v>
      </c>
      <c r="ER1646" s="1" t="s">
        <v>207</v>
      </c>
      <c r="ES1646" s="1" t="s">
        <v>239</v>
      </c>
      <c r="ET1646" s="1" t="s">
        <v>211</v>
      </c>
      <c r="EU1646" s="1" t="s">
        <v>206</v>
      </c>
      <c r="EV1646" s="1" t="s">
        <v>207</v>
      </c>
      <c r="EY1646" s="1" t="s">
        <v>238</v>
      </c>
      <c r="FC1646" s="1" t="s">
        <v>238</v>
      </c>
      <c r="FF1646" s="1" t="s">
        <v>239</v>
      </c>
      <c r="FG1646" s="1" t="s">
        <v>192</v>
      </c>
      <c r="FH1646" s="1" t="s">
        <v>192</v>
      </c>
      <c r="FJ1646" s="1" t="s">
        <v>524</v>
      </c>
      <c r="FK1646" s="1" t="s">
        <v>229</v>
      </c>
      <c r="FL1646" s="1" t="s">
        <v>2580</v>
      </c>
      <c r="FM1646" s="1">
        <v>23265.0</v>
      </c>
      <c r="FN1646" s="1" t="s">
        <v>2581</v>
      </c>
      <c r="FO1646" s="1" t="s">
        <v>16429</v>
      </c>
      <c r="FP1646" s="1">
        <v>234125.0</v>
      </c>
      <c r="FQ1646" s="1" t="s">
        <v>16430</v>
      </c>
      <c r="FU1646" s="1" t="s">
        <v>10106</v>
      </c>
      <c r="FV1646" s="1" t="s">
        <v>200</v>
      </c>
      <c r="FW1646" s="1" t="s">
        <v>290</v>
      </c>
      <c r="FZ1646" s="1" t="s">
        <v>229</v>
      </c>
      <c r="GA1646" s="1" t="s">
        <v>291</v>
      </c>
      <c r="GB1646" s="2">
        <v>42003.0</v>
      </c>
    </row>
    <row r="1647">
      <c r="A1647" s="1">
        <v>228000.0</v>
      </c>
      <c r="B1647" s="1" t="s">
        <v>185</v>
      </c>
      <c r="C1647" s="1" t="str">
        <f>"08692319"</f>
        <v>08692319</v>
      </c>
      <c r="D1647" s="1" t="s">
        <v>186</v>
      </c>
      <c r="F1647" s="1" t="str">
        <f>"140"</f>
        <v>140</v>
      </c>
      <c r="G1647" s="2">
        <v>41855.0</v>
      </c>
      <c r="H1647" s="1">
        <v>269900.0</v>
      </c>
      <c r="I1647" s="1">
        <v>90.0</v>
      </c>
      <c r="J1647" s="1">
        <v>249900.0</v>
      </c>
      <c r="K1647" s="2">
        <v>41944.0</v>
      </c>
      <c r="L1647" s="1">
        <v>90.0</v>
      </c>
      <c r="M1647" s="2">
        <v>41944.0</v>
      </c>
      <c r="N1647" s="1" t="s">
        <v>187</v>
      </c>
      <c r="O1647" s="2">
        <v>41969.0</v>
      </c>
      <c r="P1647" s="1">
        <v>238250.0</v>
      </c>
      <c r="Q1647" s="1">
        <v>24988.0</v>
      </c>
      <c r="S1647" s="1">
        <v>1240.0</v>
      </c>
      <c r="T1647" s="1" t="s">
        <v>16431</v>
      </c>
      <c r="U1647" s="1" t="s">
        <v>569</v>
      </c>
      <c r="V1647" s="1" t="s">
        <v>4858</v>
      </c>
      <c r="W1647" s="1">
        <v>60140.0</v>
      </c>
      <c r="Y1647" s="1" t="s">
        <v>16432</v>
      </c>
      <c r="Z1647" s="1">
        <v>2006.0</v>
      </c>
      <c r="AA1647" s="1" t="s">
        <v>200</v>
      </c>
      <c r="AB1647" s="1" t="s">
        <v>467</v>
      </c>
      <c r="AC1647" s="1" t="s">
        <v>6189</v>
      </c>
      <c r="AD1647" s="1" t="s">
        <v>4860</v>
      </c>
      <c r="AE1647" s="1" t="s">
        <v>325</v>
      </c>
      <c r="AF1647" s="1" t="s">
        <v>3429</v>
      </c>
      <c r="AG1647" s="1" t="s">
        <v>16433</v>
      </c>
      <c r="AH1647" s="1" t="s">
        <v>16434</v>
      </c>
      <c r="AI1647" s="1">
        <v>0.25</v>
      </c>
      <c r="AK1647" s="1">
        <v>11.0</v>
      </c>
      <c r="AL1647" s="1">
        <v>4.0</v>
      </c>
      <c r="AM1647" s="1">
        <v>2.0</v>
      </c>
      <c r="AN1647" s="1">
        <v>1.0</v>
      </c>
      <c r="AO1647" s="1" t="s">
        <v>198</v>
      </c>
      <c r="AP1647" s="1">
        <v>1.0</v>
      </c>
      <c r="AQ1647" s="1" t="s">
        <v>198</v>
      </c>
      <c r="AR1647" s="1" t="s">
        <v>200</v>
      </c>
      <c r="AS1647" s="1" t="s">
        <v>199</v>
      </c>
      <c r="AT1647" s="1">
        <v>3.0</v>
      </c>
      <c r="AV1647" s="1" t="s">
        <v>200</v>
      </c>
      <c r="AW1647" s="5">
        <v>8961.62</v>
      </c>
      <c r="AX1647" s="1">
        <v>2013.0</v>
      </c>
      <c r="AY1647" s="1" t="s">
        <v>387</v>
      </c>
      <c r="AZ1647" s="1" t="s">
        <v>200</v>
      </c>
      <c r="BA1647" s="1" t="str">
        <f>"0229451013"</f>
        <v>0229451013</v>
      </c>
      <c r="BB1647" s="1" t="s">
        <v>200</v>
      </c>
      <c r="BC1647" s="1">
        <v>2799.0</v>
      </c>
      <c r="BD1647" s="1">
        <v>228000.0</v>
      </c>
      <c r="BE1647" s="2">
        <v>41855.0</v>
      </c>
      <c r="BF1647" s="2" t="s">
        <v>16435</v>
      </c>
      <c r="BH1647" s="1">
        <v>60.0</v>
      </c>
      <c r="BJ1647" s="1" t="s">
        <v>1182</v>
      </c>
      <c r="BK1647" s="1" t="s">
        <v>474</v>
      </c>
      <c r="BL1647" s="1" t="str">
        <f>"15"</f>
        <v>15</v>
      </c>
      <c r="BM1647" s="1" t="str">
        <f t="shared" ref="BM1647:BM1649" si="1083">"0"</f>
        <v>0</v>
      </c>
      <c r="BN1647" s="1">
        <v>41.0</v>
      </c>
      <c r="BO1647" s="1">
        <v>0.0</v>
      </c>
      <c r="BQ1647" s="1">
        <v>300.0</v>
      </c>
      <c r="BR1647" s="1">
        <v>300.0</v>
      </c>
      <c r="BS1647" s="1">
        <v>300.0</v>
      </c>
      <c r="BU1647" s="1" t="s">
        <v>3595</v>
      </c>
      <c r="BV1647" s="1" t="s">
        <v>206</v>
      </c>
      <c r="BW1647" s="1" t="s">
        <v>207</v>
      </c>
      <c r="BX1647" s="1" t="s">
        <v>431</v>
      </c>
      <c r="BY1647" s="1" t="s">
        <v>616</v>
      </c>
      <c r="BZ1647" s="1" t="s">
        <v>209</v>
      </c>
      <c r="CA1647" s="1" t="s">
        <v>210</v>
      </c>
      <c r="CB1647" s="1" t="s">
        <v>431</v>
      </c>
      <c r="CC1647" s="1" t="s">
        <v>542</v>
      </c>
      <c r="CD1647" s="1" t="s">
        <v>206</v>
      </c>
      <c r="CE1647" s="1" t="s">
        <v>207</v>
      </c>
      <c r="CF1647" s="1" t="s">
        <v>431</v>
      </c>
      <c r="CG1647" s="1" t="s">
        <v>497</v>
      </c>
      <c r="CH1647" s="1" t="s">
        <v>209</v>
      </c>
      <c r="CI1647" s="1" t="s">
        <v>210</v>
      </c>
      <c r="CJ1647" s="1" t="s">
        <v>431</v>
      </c>
      <c r="CK1647" s="1" t="s">
        <v>758</v>
      </c>
      <c r="CL1647" s="1" t="s">
        <v>209</v>
      </c>
      <c r="CM1647" s="1" t="s">
        <v>210</v>
      </c>
      <c r="CN1647" s="1" t="s">
        <v>431</v>
      </c>
      <c r="CO1647" s="1" t="s">
        <v>329</v>
      </c>
      <c r="CP1647" s="1" t="s">
        <v>209</v>
      </c>
      <c r="CQ1647" s="1" t="s">
        <v>210</v>
      </c>
      <c r="CR1647" s="1" t="s">
        <v>431</v>
      </c>
      <c r="CS1647" s="1" t="s">
        <v>497</v>
      </c>
      <c r="CT1647" s="1" t="s">
        <v>206</v>
      </c>
      <c r="CU1647" s="1" t="s">
        <v>268</v>
      </c>
      <c r="CV1647" s="1" t="s">
        <v>431</v>
      </c>
      <c r="CW1647" s="1" t="s">
        <v>208</v>
      </c>
      <c r="CX1647" s="1" t="s">
        <v>206</v>
      </c>
      <c r="CY1647" s="1" t="s">
        <v>207</v>
      </c>
      <c r="CZ1647" s="1" t="s">
        <v>431</v>
      </c>
      <c r="DA1647" s="1" t="s">
        <v>200</v>
      </c>
      <c r="DC1647" s="1" t="s">
        <v>481</v>
      </c>
      <c r="DD1647" s="1" t="s">
        <v>5553</v>
      </c>
      <c r="DE1647" s="1" t="s">
        <v>273</v>
      </c>
      <c r="DF1647" s="1" t="s">
        <v>219</v>
      </c>
      <c r="DG1647" s="1" t="s">
        <v>5669</v>
      </c>
      <c r="DH1647" s="1" t="s">
        <v>220</v>
      </c>
      <c r="DI1647" s="1" t="s">
        <v>519</v>
      </c>
      <c r="DJ1647" s="1" t="s">
        <v>222</v>
      </c>
      <c r="DK1647" s="1" t="s">
        <v>223</v>
      </c>
      <c r="DL1647" s="1" t="s">
        <v>484</v>
      </c>
      <c r="DM1647" s="1" t="s">
        <v>1022</v>
      </c>
      <c r="DN1647" s="1" t="s">
        <v>399</v>
      </c>
      <c r="DO1647" s="1" t="s">
        <v>1979</v>
      </c>
      <c r="DP1647" s="1" t="s">
        <v>276</v>
      </c>
      <c r="DQ1647" s="1" t="s">
        <v>228</v>
      </c>
      <c r="DR1647" s="1" t="s">
        <v>1980</v>
      </c>
      <c r="DS1647" s="1" t="s">
        <v>401</v>
      </c>
      <c r="DU1647" s="1" t="s">
        <v>278</v>
      </c>
      <c r="DV1647" s="1" t="s">
        <v>488</v>
      </c>
      <c r="DW1647" s="1" t="s">
        <v>233</v>
      </c>
      <c r="DX1647" s="1" t="s">
        <v>234</v>
      </c>
      <c r="DY1647" s="1" t="s">
        <v>596</v>
      </c>
      <c r="DZ1647" s="1" t="s">
        <v>16384</v>
      </c>
      <c r="EA1647" s="1" t="s">
        <v>447</v>
      </c>
      <c r="EB1647" s="1" t="s">
        <v>492</v>
      </c>
      <c r="EC1647" s="1" t="s">
        <v>237</v>
      </c>
      <c r="ED1647" s="1" t="s">
        <v>407</v>
      </c>
      <c r="EE1647" s="1" t="s">
        <v>493</v>
      </c>
      <c r="EG1647" s="1" t="s">
        <v>494</v>
      </c>
      <c r="EH1647" s="1" t="s">
        <v>341</v>
      </c>
      <c r="EI1647" s="1" t="s">
        <v>449</v>
      </c>
      <c r="EL1647" s="1" t="s">
        <v>495</v>
      </c>
      <c r="EM1647" s="1" t="s">
        <v>206</v>
      </c>
      <c r="EN1647" s="1" t="s">
        <v>207</v>
      </c>
      <c r="EO1647" s="1" t="s">
        <v>1118</v>
      </c>
      <c r="EP1647" s="1" t="s">
        <v>515</v>
      </c>
      <c r="EQ1647" s="1" t="s">
        <v>209</v>
      </c>
      <c r="ER1647" s="1" t="s">
        <v>210</v>
      </c>
      <c r="ES1647" s="1" t="s">
        <v>1118</v>
      </c>
      <c r="ET1647" s="1" t="s">
        <v>16436</v>
      </c>
      <c r="EU1647" s="1" t="s">
        <v>206</v>
      </c>
      <c r="EV1647" s="1" t="s">
        <v>268</v>
      </c>
      <c r="EW1647" s="1" t="s">
        <v>431</v>
      </c>
      <c r="EY1647" s="1" t="s">
        <v>238</v>
      </c>
      <c r="FC1647" s="1" t="s">
        <v>238</v>
      </c>
      <c r="FF1647" s="1" t="s">
        <v>239</v>
      </c>
      <c r="FG1647" s="1" t="s">
        <v>192</v>
      </c>
      <c r="FH1647" s="1" t="s">
        <v>192</v>
      </c>
      <c r="FJ1647" s="1" t="s">
        <v>14653</v>
      </c>
      <c r="FK1647" s="1" t="s">
        <v>229</v>
      </c>
      <c r="FL1647" s="1" t="s">
        <v>3218</v>
      </c>
      <c r="FM1647" s="1">
        <v>5123.0</v>
      </c>
      <c r="FN1647" s="1" t="s">
        <v>16437</v>
      </c>
      <c r="FO1647" s="1" t="s">
        <v>16438</v>
      </c>
      <c r="FP1647" s="1">
        <v>55320.0</v>
      </c>
      <c r="FQ1647" s="1" t="s">
        <v>16439</v>
      </c>
      <c r="FR1647" s="1">
        <v>56013.0</v>
      </c>
      <c r="FU1647" s="1" t="s">
        <v>16440</v>
      </c>
      <c r="FV1647" s="1" t="s">
        <v>200</v>
      </c>
      <c r="FW1647" s="1" t="s">
        <v>16441</v>
      </c>
      <c r="FZ1647" s="1" t="s">
        <v>229</v>
      </c>
      <c r="GA1647" s="1" t="s">
        <v>291</v>
      </c>
      <c r="GB1647" s="2">
        <v>41971.0</v>
      </c>
      <c r="GC1647" s="1" t="s">
        <v>16442</v>
      </c>
    </row>
    <row r="1648">
      <c r="A1648" s="1">
        <v>350000.0</v>
      </c>
      <c r="B1648" s="1" t="s">
        <v>185</v>
      </c>
      <c r="C1648" s="1" t="str">
        <f>"08698241"</f>
        <v>08698241</v>
      </c>
      <c r="D1648" s="1" t="s">
        <v>186</v>
      </c>
      <c r="F1648" s="1" t="str">
        <f>"123"</f>
        <v>123</v>
      </c>
      <c r="G1648" s="2">
        <v>41862.0</v>
      </c>
      <c r="H1648" s="1">
        <v>425000.0</v>
      </c>
      <c r="I1648" s="1">
        <v>225.0</v>
      </c>
      <c r="J1648" s="1">
        <v>360000.0</v>
      </c>
      <c r="K1648" s="2">
        <v>42086.0</v>
      </c>
      <c r="L1648" s="1">
        <v>225.0</v>
      </c>
      <c r="M1648" s="2">
        <v>42086.0</v>
      </c>
      <c r="N1648" s="1" t="s">
        <v>249</v>
      </c>
      <c r="O1648" s="2">
        <v>42094.0</v>
      </c>
      <c r="P1648" s="1">
        <v>80893.0</v>
      </c>
      <c r="Q1648" s="1">
        <v>8059.0</v>
      </c>
      <c r="S1648" s="1">
        <v>436.0</v>
      </c>
      <c r="T1648" s="1" t="s">
        <v>16443</v>
      </c>
      <c r="U1648" s="1" t="s">
        <v>569</v>
      </c>
      <c r="V1648" s="1" t="s">
        <v>465</v>
      </c>
      <c r="W1648" s="1">
        <v>60124.0</v>
      </c>
      <c r="Y1648" s="1" t="s">
        <v>16444</v>
      </c>
      <c r="Z1648" s="1">
        <v>2011.0</v>
      </c>
      <c r="AA1648" s="1" t="s">
        <v>200</v>
      </c>
      <c r="AB1648" s="1" t="s">
        <v>193</v>
      </c>
      <c r="AC1648" s="1" t="s">
        <v>16445</v>
      </c>
      <c r="AD1648" s="1" t="s">
        <v>469</v>
      </c>
      <c r="AE1648" s="1" t="s">
        <v>325</v>
      </c>
      <c r="AF1648" s="1" t="s">
        <v>572</v>
      </c>
      <c r="AG1648" s="1" t="s">
        <v>5149</v>
      </c>
      <c r="AH1648" s="1" t="s">
        <v>16446</v>
      </c>
      <c r="AK1648" s="1">
        <v>10.0</v>
      </c>
      <c r="AL1648" s="1">
        <v>4.0</v>
      </c>
      <c r="AM1648" s="1">
        <v>2.0</v>
      </c>
      <c r="AN1648" s="1">
        <v>1.0</v>
      </c>
      <c r="AO1648" s="1" t="s">
        <v>198</v>
      </c>
      <c r="AP1648" s="1">
        <v>1.0</v>
      </c>
      <c r="AQ1648" s="1" t="s">
        <v>198</v>
      </c>
      <c r="AR1648" s="1" t="s">
        <v>200</v>
      </c>
      <c r="AS1648" s="1" t="s">
        <v>199</v>
      </c>
      <c r="AT1648" s="1">
        <v>3.0</v>
      </c>
      <c r="AV1648" s="1" t="s">
        <v>200</v>
      </c>
      <c r="AW1648" s="1" t="s">
        <v>575</v>
      </c>
      <c r="AX1648" s="1">
        <v>2013.0</v>
      </c>
      <c r="AY1648" s="1" t="s">
        <v>387</v>
      </c>
      <c r="AZ1648" s="1" t="s">
        <v>200</v>
      </c>
      <c r="BA1648" s="1" t="str">
        <f>"0618202008"</f>
        <v>0618202008</v>
      </c>
      <c r="BC1648" s="1">
        <v>3157.0</v>
      </c>
      <c r="BD1648" s="1">
        <v>350000.0</v>
      </c>
      <c r="BE1648" s="2">
        <v>41862.0</v>
      </c>
      <c r="BF1648" s="2" t="s">
        <v>16447</v>
      </c>
      <c r="BG1648" s="1" t="s">
        <v>1974</v>
      </c>
      <c r="BH1648" s="1">
        <v>35.0</v>
      </c>
      <c r="BI1648" s="1" t="s">
        <v>1975</v>
      </c>
      <c r="BJ1648" s="1" t="s">
        <v>579</v>
      </c>
      <c r="BK1648" s="1" t="s">
        <v>474</v>
      </c>
      <c r="BL1648" s="1" t="str">
        <f>"12"</f>
        <v>12</v>
      </c>
      <c r="BM1648" s="1" t="str">
        <f t="shared" si="1083"/>
        <v>0</v>
      </c>
      <c r="BN1648" s="1">
        <v>39.0</v>
      </c>
      <c r="BO1648" s="1">
        <v>0.0</v>
      </c>
      <c r="BQ1648" s="1">
        <v>301.0</v>
      </c>
      <c r="BR1648" s="1">
        <v>301.0</v>
      </c>
      <c r="BS1648" s="1">
        <v>301.0</v>
      </c>
      <c r="BU1648" s="1" t="s">
        <v>212</v>
      </c>
      <c r="BV1648" s="1" t="s">
        <v>206</v>
      </c>
      <c r="BW1648" s="1" t="s">
        <v>210</v>
      </c>
      <c r="BX1648" s="1" t="s">
        <v>229</v>
      </c>
      <c r="BY1648" s="1" t="s">
        <v>3595</v>
      </c>
      <c r="BZ1648" s="1" t="s">
        <v>209</v>
      </c>
      <c r="CA1648" s="1" t="s">
        <v>210</v>
      </c>
      <c r="CB1648" s="1" t="s">
        <v>229</v>
      </c>
      <c r="CC1648" s="1" t="s">
        <v>433</v>
      </c>
      <c r="CD1648" s="1" t="s">
        <v>206</v>
      </c>
      <c r="CE1648" s="1" t="s">
        <v>210</v>
      </c>
      <c r="CF1648" s="1" t="s">
        <v>229</v>
      </c>
      <c r="CG1648" s="1" t="s">
        <v>332</v>
      </c>
      <c r="CH1648" s="1" t="s">
        <v>209</v>
      </c>
      <c r="CI1648" s="1" t="s">
        <v>210</v>
      </c>
      <c r="CJ1648" s="1" t="s">
        <v>229</v>
      </c>
      <c r="CK1648" s="1" t="s">
        <v>212</v>
      </c>
      <c r="CL1648" s="1" t="s">
        <v>209</v>
      </c>
      <c r="CM1648" s="1" t="s">
        <v>210</v>
      </c>
      <c r="CN1648" s="1" t="s">
        <v>229</v>
      </c>
      <c r="CO1648" s="1" t="s">
        <v>212</v>
      </c>
      <c r="CP1648" s="1" t="s">
        <v>209</v>
      </c>
      <c r="CQ1648" s="1" t="s">
        <v>210</v>
      </c>
      <c r="CR1648" s="1" t="s">
        <v>229</v>
      </c>
      <c r="CS1648" s="1" t="s">
        <v>433</v>
      </c>
      <c r="CT1648" s="1" t="s">
        <v>206</v>
      </c>
      <c r="CU1648" s="1" t="s">
        <v>207</v>
      </c>
      <c r="CV1648" s="1" t="s">
        <v>229</v>
      </c>
      <c r="CW1648" s="1" t="s">
        <v>480</v>
      </c>
      <c r="CX1648" s="1" t="s">
        <v>206</v>
      </c>
      <c r="CY1648" s="1" t="s">
        <v>210</v>
      </c>
      <c r="CZ1648" s="1" t="s">
        <v>229</v>
      </c>
      <c r="DA1648" s="1" t="s">
        <v>200</v>
      </c>
      <c r="DC1648" s="1" t="s">
        <v>1046</v>
      </c>
      <c r="DD1648" s="1" t="s">
        <v>786</v>
      </c>
      <c r="DE1648" s="1" t="s">
        <v>273</v>
      </c>
      <c r="DF1648" s="1" t="s">
        <v>219</v>
      </c>
      <c r="DG1648" s="1" t="s">
        <v>3259</v>
      </c>
      <c r="DH1648" s="1" t="s">
        <v>220</v>
      </c>
      <c r="DI1648" s="1" t="s">
        <v>1003</v>
      </c>
      <c r="DJ1648" s="1" t="s">
        <v>222</v>
      </c>
      <c r="DL1648" s="1" t="s">
        <v>224</v>
      </c>
      <c r="DM1648" s="1" t="s">
        <v>229</v>
      </c>
      <c r="DN1648" s="1" t="s">
        <v>548</v>
      </c>
      <c r="DO1648" s="1" t="s">
        <v>486</v>
      </c>
      <c r="DP1648" s="1" t="s">
        <v>340</v>
      </c>
      <c r="DQ1648" s="1" t="s">
        <v>228</v>
      </c>
      <c r="DR1648" s="1" t="s">
        <v>588</v>
      </c>
      <c r="DS1648" s="1" t="s">
        <v>591</v>
      </c>
      <c r="DU1648" s="1" t="s">
        <v>1187</v>
      </c>
      <c r="DV1648" s="1" t="s">
        <v>1356</v>
      </c>
      <c r="DW1648" s="1" t="s">
        <v>588</v>
      </c>
      <c r="DX1648" s="1" t="s">
        <v>234</v>
      </c>
      <c r="DY1648" s="1" t="s">
        <v>1936</v>
      </c>
      <c r="EA1648" s="1" t="s">
        <v>344</v>
      </c>
      <c r="EB1648" s="1" t="s">
        <v>1639</v>
      </c>
      <c r="EC1648" s="1" t="s">
        <v>237</v>
      </c>
      <c r="ED1648" s="1" t="s">
        <v>6543</v>
      </c>
      <c r="EG1648" s="1" t="s">
        <v>556</v>
      </c>
      <c r="EH1648" s="1" t="s">
        <v>1028</v>
      </c>
      <c r="EL1648" s="1" t="s">
        <v>262</v>
      </c>
      <c r="EM1648" s="1" t="s">
        <v>206</v>
      </c>
      <c r="EN1648" s="1" t="s">
        <v>207</v>
      </c>
      <c r="EO1648" s="1" t="s">
        <v>229</v>
      </c>
      <c r="EP1648" s="1" t="s">
        <v>269</v>
      </c>
      <c r="EQ1648" s="1" t="s">
        <v>206</v>
      </c>
      <c r="ER1648" s="1" t="s">
        <v>210</v>
      </c>
      <c r="ES1648" s="1" t="s">
        <v>229</v>
      </c>
      <c r="EU1648" s="1" t="s">
        <v>238</v>
      </c>
      <c r="EY1648" s="1" t="s">
        <v>238</v>
      </c>
      <c r="FC1648" s="1" t="s">
        <v>238</v>
      </c>
      <c r="FF1648" s="1" t="s">
        <v>239</v>
      </c>
      <c r="FG1648" s="1" t="s">
        <v>192</v>
      </c>
      <c r="FH1648" s="1" t="s">
        <v>192</v>
      </c>
      <c r="FJ1648" s="1" t="s">
        <v>16448</v>
      </c>
      <c r="FK1648" s="1" t="s">
        <v>348</v>
      </c>
      <c r="FL1648" s="1" t="s">
        <v>5530</v>
      </c>
      <c r="FM1648" s="1">
        <v>8079.0</v>
      </c>
      <c r="FN1648" s="1" t="s">
        <v>5531</v>
      </c>
      <c r="FO1648" s="1" t="s">
        <v>5532</v>
      </c>
      <c r="FP1648" s="1">
        <v>920884.0</v>
      </c>
      <c r="FQ1648" s="1" t="s">
        <v>5533</v>
      </c>
      <c r="FT1648" s="1" t="s">
        <v>16449</v>
      </c>
      <c r="FU1648" s="1" t="s">
        <v>5534</v>
      </c>
      <c r="FV1648" s="1" t="s">
        <v>200</v>
      </c>
      <c r="FW1648" s="1" t="s">
        <v>16450</v>
      </c>
      <c r="FX1648" s="1" t="s">
        <v>246</v>
      </c>
      <c r="FZ1648" s="1" t="s">
        <v>632</v>
      </c>
      <c r="GA1648" s="1" t="s">
        <v>291</v>
      </c>
      <c r="GB1648" s="2">
        <v>42094.0</v>
      </c>
    </row>
    <row r="1649">
      <c r="A1649" s="1">
        <v>103000.0</v>
      </c>
      <c r="B1649" s="1" t="s">
        <v>185</v>
      </c>
      <c r="C1649" s="1" t="str">
        <f>"08697090"</f>
        <v>08697090</v>
      </c>
      <c r="D1649" s="1" t="s">
        <v>186</v>
      </c>
      <c r="F1649" s="1" t="str">
        <f>"8019"</f>
        <v>8019</v>
      </c>
      <c r="G1649" s="2">
        <v>41859.0</v>
      </c>
      <c r="H1649" s="1">
        <v>114900.0</v>
      </c>
      <c r="I1649" s="1">
        <v>118.0</v>
      </c>
      <c r="J1649" s="1">
        <v>104500.0</v>
      </c>
      <c r="K1649" s="2">
        <v>41976.0</v>
      </c>
      <c r="L1649" s="1">
        <v>118.0</v>
      </c>
      <c r="M1649" s="2">
        <v>41976.0</v>
      </c>
      <c r="N1649" s="1" t="s">
        <v>588</v>
      </c>
      <c r="O1649" s="2">
        <v>41992.0</v>
      </c>
      <c r="P1649" s="1">
        <v>239180.0</v>
      </c>
      <c r="Q1649" s="1">
        <v>25329.0</v>
      </c>
      <c r="S1649" s="1">
        <v>2922.0</v>
      </c>
      <c r="T1649" s="1" t="s">
        <v>2343</v>
      </c>
      <c r="U1649" s="1" t="s">
        <v>189</v>
      </c>
      <c r="V1649" s="1" t="s">
        <v>190</v>
      </c>
      <c r="W1649" s="1">
        <v>60634.0</v>
      </c>
      <c r="Y1649" s="1" t="s">
        <v>16451</v>
      </c>
      <c r="Z1649" s="1">
        <v>1920.0</v>
      </c>
      <c r="AA1649" s="1" t="s">
        <v>192</v>
      </c>
      <c r="AB1649" s="1" t="s">
        <v>193</v>
      </c>
      <c r="AD1649" s="1" t="s">
        <v>194</v>
      </c>
      <c r="AE1649" s="1" t="s">
        <v>195</v>
      </c>
      <c r="AF1649" s="1" t="s">
        <v>196</v>
      </c>
      <c r="AH1649" s="1" t="s">
        <v>2164</v>
      </c>
      <c r="AK1649" s="1">
        <v>6.0</v>
      </c>
      <c r="AL1649" s="1">
        <v>4.0</v>
      </c>
      <c r="AM1649" s="1">
        <v>2.0</v>
      </c>
      <c r="AN1649" s="1">
        <v>0.0</v>
      </c>
      <c r="AO1649" s="1" t="s">
        <v>229</v>
      </c>
      <c r="AQ1649" s="1" t="s">
        <v>198</v>
      </c>
      <c r="AR1649" s="1" t="s">
        <v>192</v>
      </c>
      <c r="AS1649" s="1" t="s">
        <v>199</v>
      </c>
      <c r="AT1649" s="1">
        <v>1.0</v>
      </c>
      <c r="AV1649" s="1" t="s">
        <v>200</v>
      </c>
      <c r="AW1649" s="1">
        <v>3444.44</v>
      </c>
      <c r="AX1649" s="1">
        <v>2012.0</v>
      </c>
      <c r="AZ1649" s="1" t="s">
        <v>200</v>
      </c>
      <c r="BA1649" s="1" t="str">
        <f>"13302230210000"</f>
        <v>13302230210000</v>
      </c>
      <c r="BC1649" s="1">
        <v>0.0</v>
      </c>
      <c r="BD1649" s="1">
        <v>103000.0</v>
      </c>
      <c r="BE1649" s="2">
        <v>41859.0</v>
      </c>
      <c r="BF1649" s="1" t="s">
        <v>16452</v>
      </c>
      <c r="BH1649" s="1">
        <v>0.0</v>
      </c>
      <c r="BK1649" s="1" t="s">
        <v>204</v>
      </c>
      <c r="BL1649" s="1" t="str">
        <f>"2922"</f>
        <v>2922</v>
      </c>
      <c r="BM1649" s="1" t="str">
        <f t="shared" si="1083"/>
        <v>0</v>
      </c>
      <c r="BN1649" s="1">
        <v>6400.0</v>
      </c>
      <c r="BO1649" s="1">
        <v>0.0</v>
      </c>
      <c r="BQ1649" s="1">
        <v>299.0</v>
      </c>
      <c r="BR1649" s="1">
        <v>299.0</v>
      </c>
      <c r="BS1649" s="1">
        <v>299.0</v>
      </c>
      <c r="BT1649" s="1">
        <v>299.0</v>
      </c>
      <c r="BU1649" s="1" t="s">
        <v>1426</v>
      </c>
      <c r="BV1649" s="1" t="s">
        <v>206</v>
      </c>
      <c r="BY1649" s="1" t="s">
        <v>1119</v>
      </c>
      <c r="BZ1649" s="1" t="s">
        <v>206</v>
      </c>
      <c r="CD1649" s="1" t="s">
        <v>204</v>
      </c>
      <c r="CG1649" s="1" t="s">
        <v>1119</v>
      </c>
      <c r="CH1649" s="1" t="s">
        <v>206</v>
      </c>
      <c r="CK1649" s="1" t="s">
        <v>211</v>
      </c>
      <c r="CL1649" s="1" t="s">
        <v>209</v>
      </c>
      <c r="CO1649" s="1" t="s">
        <v>212</v>
      </c>
      <c r="CP1649" s="1" t="s">
        <v>209</v>
      </c>
      <c r="CS1649" s="1" t="s">
        <v>264</v>
      </c>
      <c r="CT1649" s="1" t="s">
        <v>206</v>
      </c>
      <c r="CX1649" s="1" t="s">
        <v>204</v>
      </c>
      <c r="DA1649" s="1" t="s">
        <v>200</v>
      </c>
      <c r="DC1649" s="1" t="s">
        <v>216</v>
      </c>
      <c r="DE1649" s="1" t="s">
        <v>1300</v>
      </c>
      <c r="DF1649" s="1" t="s">
        <v>787</v>
      </c>
      <c r="DG1649" s="1" t="s">
        <v>588</v>
      </c>
      <c r="DH1649" s="1" t="s">
        <v>220</v>
      </c>
      <c r="DJ1649" s="1" t="s">
        <v>222</v>
      </c>
      <c r="DL1649" s="1" t="s">
        <v>858</v>
      </c>
      <c r="DM1649" s="1" t="s">
        <v>229</v>
      </c>
      <c r="DQ1649" s="1" t="s">
        <v>794</v>
      </c>
      <c r="DR1649" s="1" t="s">
        <v>229</v>
      </c>
      <c r="DV1649" s="1" t="s">
        <v>232</v>
      </c>
      <c r="DW1649" s="1" t="s">
        <v>16453</v>
      </c>
      <c r="DX1649" s="1" t="s">
        <v>234</v>
      </c>
      <c r="EA1649" s="1" t="s">
        <v>644</v>
      </c>
      <c r="EC1649" s="1" t="s">
        <v>645</v>
      </c>
      <c r="EM1649" s="1" t="s">
        <v>238</v>
      </c>
      <c r="EQ1649" s="1" t="s">
        <v>238</v>
      </c>
      <c r="EU1649" s="1" t="s">
        <v>238</v>
      </c>
      <c r="EY1649" s="1" t="s">
        <v>238</v>
      </c>
      <c r="FC1649" s="1" t="s">
        <v>238</v>
      </c>
      <c r="FF1649" s="1" t="s">
        <v>239</v>
      </c>
      <c r="FG1649" s="1" t="s">
        <v>192</v>
      </c>
      <c r="FH1649" s="1" t="s">
        <v>192</v>
      </c>
      <c r="FJ1649" s="1" t="s">
        <v>9713</v>
      </c>
      <c r="FK1649" s="1" t="s">
        <v>229</v>
      </c>
      <c r="FL1649" s="1" t="s">
        <v>7366</v>
      </c>
      <c r="FM1649" s="1">
        <v>84674.0</v>
      </c>
      <c r="FN1649" s="1" t="s">
        <v>7367</v>
      </c>
      <c r="FO1649" s="1" t="s">
        <v>7368</v>
      </c>
      <c r="FP1649" s="1">
        <v>109817.0</v>
      </c>
      <c r="FQ1649" s="1" t="s">
        <v>7369</v>
      </c>
      <c r="FR1649" s="1">
        <v>178784.0</v>
      </c>
      <c r="FU1649" s="1" t="s">
        <v>710</v>
      </c>
      <c r="FV1649" s="1" t="s">
        <v>200</v>
      </c>
      <c r="FW1649" s="1" t="s">
        <v>290</v>
      </c>
      <c r="FX1649" s="1" t="s">
        <v>238</v>
      </c>
      <c r="FZ1649" s="1" t="s">
        <v>229</v>
      </c>
      <c r="GA1649" s="1" t="s">
        <v>291</v>
      </c>
      <c r="GB1649" s="2">
        <v>41995.0</v>
      </c>
      <c r="GC1649" s="1" t="s">
        <v>16454</v>
      </c>
    </row>
    <row r="1650">
      <c r="A1650" s="1">
        <v>45000.0</v>
      </c>
      <c r="B1650" s="1" t="s">
        <v>185</v>
      </c>
      <c r="C1650" s="1" t="str">
        <f>"08697079"</f>
        <v>08697079</v>
      </c>
      <c r="D1650" s="1" t="s">
        <v>186</v>
      </c>
      <c r="F1650" s="1" t="str">
        <f>"8049"</f>
        <v>8049</v>
      </c>
      <c r="G1650" s="2">
        <v>41859.0</v>
      </c>
      <c r="H1650" s="1">
        <v>67000.0</v>
      </c>
      <c r="I1650" s="1">
        <v>743.0</v>
      </c>
      <c r="J1650" s="1">
        <v>54270.0</v>
      </c>
      <c r="K1650" s="2">
        <v>41949.0</v>
      </c>
      <c r="L1650" s="1">
        <v>92.0</v>
      </c>
      <c r="M1650" s="2">
        <v>41949.0</v>
      </c>
      <c r="N1650" s="1" t="s">
        <v>249</v>
      </c>
      <c r="O1650" s="2">
        <v>41985.0</v>
      </c>
      <c r="P1650" s="1">
        <v>114545.0</v>
      </c>
      <c r="Q1650" s="1">
        <v>10063.0</v>
      </c>
      <c r="S1650" s="1">
        <v>9413.0</v>
      </c>
      <c r="T1650" s="1" t="s">
        <v>1326</v>
      </c>
      <c r="U1650" s="1" t="s">
        <v>189</v>
      </c>
      <c r="V1650" s="1" t="s">
        <v>190</v>
      </c>
      <c r="W1650" s="1">
        <v>60619.0</v>
      </c>
      <c r="Y1650" s="1" t="s">
        <v>16455</v>
      </c>
      <c r="Z1650" s="1">
        <v>1928.0</v>
      </c>
      <c r="AA1650" s="1" t="s">
        <v>192</v>
      </c>
      <c r="AB1650" s="1" t="s">
        <v>193</v>
      </c>
      <c r="AD1650" s="1" t="s">
        <v>194</v>
      </c>
      <c r="AE1650" s="1" t="s">
        <v>195</v>
      </c>
      <c r="AF1650" s="1" t="s">
        <v>1154</v>
      </c>
      <c r="AH1650" s="1" t="s">
        <v>1501</v>
      </c>
      <c r="AK1650" s="1">
        <v>8.0</v>
      </c>
      <c r="AL1650" s="1">
        <v>3.0</v>
      </c>
      <c r="AM1650" s="1">
        <v>2.0</v>
      </c>
      <c r="AN1650" s="1">
        <v>1.0</v>
      </c>
      <c r="AO1650" s="1" t="s">
        <v>198</v>
      </c>
      <c r="AQ1650" s="1" t="s">
        <v>198</v>
      </c>
      <c r="AR1650" s="1" t="s">
        <v>192</v>
      </c>
      <c r="AS1650" s="1" t="s">
        <v>199</v>
      </c>
      <c r="AT1650" s="1">
        <v>2.0</v>
      </c>
      <c r="AV1650" s="1" t="s">
        <v>200</v>
      </c>
      <c r="AW1650" s="1">
        <v>2440.0</v>
      </c>
      <c r="AX1650" s="1">
        <v>2013.0</v>
      </c>
      <c r="AY1650" s="1" t="s">
        <v>229</v>
      </c>
      <c r="AZ1650" s="1" t="s">
        <v>200</v>
      </c>
      <c r="BA1650" s="1" t="str">
        <f>"25033250050000"</f>
        <v>25033250050000</v>
      </c>
      <c r="BC1650" s="1">
        <v>1482.0</v>
      </c>
      <c r="BD1650" s="1">
        <v>45000.0</v>
      </c>
      <c r="BE1650" s="2">
        <v>41858.0</v>
      </c>
      <c r="BF1650" s="2" t="s">
        <v>16456</v>
      </c>
      <c r="BH1650" s="1">
        <v>0.0</v>
      </c>
      <c r="BK1650" s="1" t="s">
        <v>204</v>
      </c>
      <c r="BL1650" s="1" t="str">
        <f>"0"</f>
        <v>0</v>
      </c>
      <c r="BM1650" s="1" t="str">
        <f>"300"</f>
        <v>300</v>
      </c>
      <c r="BN1650" s="1">
        <v>0.0</v>
      </c>
      <c r="BO1650" s="1">
        <v>9500.0</v>
      </c>
      <c r="BQ1650" s="1">
        <v>299.0</v>
      </c>
      <c r="BR1650" s="1">
        <v>299.0</v>
      </c>
      <c r="BS1650" s="1">
        <v>299.0</v>
      </c>
      <c r="BU1650" s="1" t="s">
        <v>925</v>
      </c>
      <c r="BV1650" s="1" t="s">
        <v>206</v>
      </c>
      <c r="BW1650" s="1" t="s">
        <v>207</v>
      </c>
      <c r="BY1650" s="1" t="s">
        <v>3375</v>
      </c>
      <c r="BZ1650" s="1" t="s">
        <v>209</v>
      </c>
      <c r="CA1650" s="1" t="s">
        <v>210</v>
      </c>
      <c r="CC1650" s="1" t="s">
        <v>363</v>
      </c>
      <c r="CD1650" s="1" t="s">
        <v>206</v>
      </c>
      <c r="CE1650" s="1" t="s">
        <v>207</v>
      </c>
      <c r="CG1650" s="1" t="s">
        <v>1351</v>
      </c>
      <c r="CH1650" s="1" t="s">
        <v>206</v>
      </c>
      <c r="CI1650" s="1" t="s">
        <v>210</v>
      </c>
      <c r="CK1650" s="1" t="s">
        <v>1351</v>
      </c>
      <c r="CL1650" s="1" t="s">
        <v>206</v>
      </c>
      <c r="CM1650" s="1" t="s">
        <v>210</v>
      </c>
      <c r="CO1650" s="1" t="s">
        <v>1190</v>
      </c>
      <c r="CP1650" s="1" t="s">
        <v>42</v>
      </c>
      <c r="CS1650" s="1" t="s">
        <v>7760</v>
      </c>
      <c r="CT1650" s="1" t="s">
        <v>206</v>
      </c>
      <c r="CU1650" s="1" t="s">
        <v>617</v>
      </c>
      <c r="CW1650" s="1" t="s">
        <v>364</v>
      </c>
      <c r="CX1650" s="1" t="s">
        <v>42</v>
      </c>
      <c r="DA1650" s="1" t="s">
        <v>200</v>
      </c>
      <c r="DC1650" s="1" t="s">
        <v>785</v>
      </c>
      <c r="DE1650" s="1" t="s">
        <v>229</v>
      </c>
      <c r="DF1650" s="1" t="s">
        <v>219</v>
      </c>
      <c r="DH1650" s="1" t="s">
        <v>220</v>
      </c>
      <c r="DJ1650" s="1" t="s">
        <v>222</v>
      </c>
      <c r="DK1650" s="1" t="s">
        <v>13709</v>
      </c>
      <c r="DL1650" s="1" t="s">
        <v>858</v>
      </c>
      <c r="DM1650" s="1" t="s">
        <v>229</v>
      </c>
      <c r="DQ1650" s="1" t="s">
        <v>228</v>
      </c>
      <c r="DR1650" s="1" t="s">
        <v>229</v>
      </c>
      <c r="DV1650" s="1" t="s">
        <v>16457</v>
      </c>
      <c r="DW1650" s="1" t="s">
        <v>279</v>
      </c>
      <c r="DX1650" s="1" t="s">
        <v>4087</v>
      </c>
      <c r="EA1650" s="1" t="s">
        <v>644</v>
      </c>
      <c r="EC1650" s="1" t="s">
        <v>645</v>
      </c>
      <c r="EG1650" s="1" t="s">
        <v>374</v>
      </c>
      <c r="EJ1650" s="1" t="s">
        <v>408</v>
      </c>
      <c r="EL1650" s="1" t="s">
        <v>972</v>
      </c>
      <c r="EM1650" s="1" t="s">
        <v>206</v>
      </c>
      <c r="EQ1650" s="1" t="s">
        <v>238</v>
      </c>
      <c r="EU1650" s="1" t="s">
        <v>238</v>
      </c>
      <c r="EX1650" s="1" t="s">
        <v>16458</v>
      </c>
      <c r="EY1650" s="1" t="s">
        <v>206</v>
      </c>
      <c r="FC1650" s="1" t="s">
        <v>238</v>
      </c>
      <c r="FF1650" s="1" t="s">
        <v>239</v>
      </c>
      <c r="FG1650" s="1" t="s">
        <v>192</v>
      </c>
      <c r="FH1650" s="1" t="s">
        <v>192</v>
      </c>
      <c r="FJ1650" s="1" t="s">
        <v>16459</v>
      </c>
      <c r="FK1650" s="1" t="s">
        <v>229</v>
      </c>
      <c r="FL1650" s="1" t="s">
        <v>6520</v>
      </c>
      <c r="FM1650" s="1">
        <v>14778.0</v>
      </c>
      <c r="FN1650" s="1" t="s">
        <v>6521</v>
      </c>
      <c r="FO1650" s="1" t="s">
        <v>6522</v>
      </c>
      <c r="FP1650" s="1">
        <v>104294.0</v>
      </c>
      <c r="FQ1650" s="1" t="s">
        <v>6521</v>
      </c>
      <c r="FU1650" s="1" t="s">
        <v>16460</v>
      </c>
      <c r="FV1650" s="1" t="s">
        <v>200</v>
      </c>
      <c r="FW1650" s="1" t="s">
        <v>290</v>
      </c>
      <c r="FX1650" s="1" t="s">
        <v>655</v>
      </c>
      <c r="FZ1650" s="1" t="s">
        <v>229</v>
      </c>
      <c r="GA1650" s="1" t="s">
        <v>291</v>
      </c>
      <c r="GB1650" s="2">
        <v>42004.0</v>
      </c>
      <c r="GC1650" s="1" t="s">
        <v>16461</v>
      </c>
    </row>
    <row r="1651">
      <c r="A1651" s="1">
        <v>128000.0</v>
      </c>
      <c r="B1651" s="1" t="s">
        <v>185</v>
      </c>
      <c r="C1651" s="1" t="str">
        <f>"08697261"</f>
        <v>08697261</v>
      </c>
      <c r="D1651" s="1" t="s">
        <v>186</v>
      </c>
      <c r="F1651" s="1" t="str">
        <f>"123"</f>
        <v>123</v>
      </c>
      <c r="G1651" s="2">
        <v>41860.0</v>
      </c>
      <c r="H1651" s="1">
        <v>149750.0</v>
      </c>
      <c r="I1651" s="1">
        <v>139.0</v>
      </c>
      <c r="J1651" s="1">
        <v>139900.0</v>
      </c>
      <c r="K1651" s="2">
        <v>41944.0</v>
      </c>
      <c r="L1651" s="1">
        <v>86.0</v>
      </c>
      <c r="M1651" s="2">
        <v>41944.0</v>
      </c>
      <c r="N1651" s="1" t="s">
        <v>356</v>
      </c>
      <c r="O1651" s="2">
        <v>41969.0</v>
      </c>
      <c r="P1651" s="1">
        <v>922934.0</v>
      </c>
      <c r="Q1651" s="1">
        <v>1666.0</v>
      </c>
      <c r="R1651" s="1">
        <v>3000.0</v>
      </c>
      <c r="S1651" s="1">
        <v>1107.0</v>
      </c>
      <c r="T1651" s="1" t="s">
        <v>66</v>
      </c>
      <c r="U1651" s="1" t="s">
        <v>320</v>
      </c>
      <c r="V1651" s="1" t="s">
        <v>465</v>
      </c>
      <c r="W1651" s="1">
        <v>60123.0</v>
      </c>
      <c r="Y1651" s="1" t="s">
        <v>16462</v>
      </c>
      <c r="Z1651" s="1">
        <v>1949.0</v>
      </c>
      <c r="AA1651" s="1" t="s">
        <v>192</v>
      </c>
      <c r="AB1651" s="1" t="s">
        <v>193</v>
      </c>
      <c r="AC1651" s="1" t="s">
        <v>16463</v>
      </c>
      <c r="AD1651" s="1" t="s">
        <v>469</v>
      </c>
      <c r="AE1651" s="1" t="s">
        <v>325</v>
      </c>
      <c r="AF1651" s="1" t="s">
        <v>469</v>
      </c>
      <c r="AH1651" s="1" t="s">
        <v>16464</v>
      </c>
      <c r="AI1651" s="1">
        <v>0.4</v>
      </c>
      <c r="AK1651" s="1">
        <v>8.0</v>
      </c>
      <c r="AL1651" s="1">
        <v>4.0</v>
      </c>
      <c r="AM1651" s="1">
        <v>2.0</v>
      </c>
      <c r="AN1651" s="1">
        <v>0.0</v>
      </c>
      <c r="AO1651" s="1" t="s">
        <v>3903</v>
      </c>
      <c r="AP1651" s="1">
        <v>0.0</v>
      </c>
      <c r="AQ1651" s="1" t="s">
        <v>198</v>
      </c>
      <c r="AR1651" s="1" t="s">
        <v>200</v>
      </c>
      <c r="AS1651" s="1" t="s">
        <v>510</v>
      </c>
      <c r="AT1651" s="1">
        <v>1.0</v>
      </c>
      <c r="AU1651" s="1">
        <v>2.0</v>
      </c>
      <c r="AV1651" s="1" t="s">
        <v>200</v>
      </c>
      <c r="AW1651" s="1">
        <v>3557.0</v>
      </c>
      <c r="AX1651" s="1">
        <v>2012.0</v>
      </c>
      <c r="AY1651" s="1" t="s">
        <v>229</v>
      </c>
      <c r="AZ1651" s="1" t="s">
        <v>545</v>
      </c>
      <c r="BA1651" s="1" t="str">
        <f>"0622276008"</f>
        <v>0622276008</v>
      </c>
      <c r="BB1651" s="1" t="s">
        <v>200</v>
      </c>
      <c r="BC1651" s="1">
        <v>0.0</v>
      </c>
      <c r="BD1651" s="1">
        <v>128000.0</v>
      </c>
      <c r="BE1651" s="2">
        <v>41859.0</v>
      </c>
      <c r="BF1651" s="2" t="s">
        <v>16465</v>
      </c>
      <c r="BH1651" s="1">
        <v>0.0</v>
      </c>
      <c r="BK1651" s="1" t="s">
        <v>204</v>
      </c>
      <c r="BL1651" s="1" t="str">
        <f t="shared" ref="BL1651:BM1651" si="1084">""</f>
        <v/>
      </c>
      <c r="BM1651" s="1" t="str">
        <f t="shared" si="1084"/>
        <v/>
      </c>
      <c r="BQ1651" s="1">
        <v>46.0</v>
      </c>
      <c r="BR1651" s="1">
        <v>46.0</v>
      </c>
      <c r="BS1651" s="1">
        <v>46.0</v>
      </c>
      <c r="BU1651" s="1" t="s">
        <v>211</v>
      </c>
      <c r="BV1651" s="1" t="s">
        <v>206</v>
      </c>
      <c r="BW1651" s="1" t="s">
        <v>207</v>
      </c>
      <c r="BX1651" s="1" t="s">
        <v>1118</v>
      </c>
      <c r="BY1651" s="1" t="s">
        <v>496</v>
      </c>
      <c r="BZ1651" s="1" t="s">
        <v>209</v>
      </c>
      <c r="CA1651" s="1" t="s">
        <v>210</v>
      </c>
      <c r="CB1651" s="1" t="s">
        <v>229</v>
      </c>
      <c r="CC1651" s="1" t="s">
        <v>212</v>
      </c>
      <c r="CD1651" s="1" t="s">
        <v>206</v>
      </c>
      <c r="CE1651" s="1" t="s">
        <v>207</v>
      </c>
      <c r="CF1651" s="1" t="s">
        <v>229</v>
      </c>
      <c r="CG1651" s="1" t="s">
        <v>2647</v>
      </c>
      <c r="CH1651" s="1" t="s">
        <v>209</v>
      </c>
      <c r="CI1651" s="1" t="s">
        <v>210</v>
      </c>
      <c r="CJ1651" s="1" t="s">
        <v>229</v>
      </c>
      <c r="CK1651" s="1" t="s">
        <v>7759</v>
      </c>
      <c r="CL1651" s="1" t="s">
        <v>206</v>
      </c>
      <c r="CM1651" s="1" t="s">
        <v>207</v>
      </c>
      <c r="CN1651" s="1" t="s">
        <v>1118</v>
      </c>
      <c r="CO1651" s="1" t="s">
        <v>302</v>
      </c>
      <c r="CP1651" s="1" t="s">
        <v>206</v>
      </c>
      <c r="CQ1651" s="1" t="s">
        <v>207</v>
      </c>
      <c r="CR1651" s="1" t="s">
        <v>1118</v>
      </c>
      <c r="CS1651" s="1" t="s">
        <v>1119</v>
      </c>
      <c r="CT1651" s="1" t="s">
        <v>206</v>
      </c>
      <c r="CU1651" s="1" t="s">
        <v>617</v>
      </c>
      <c r="CV1651" s="1" t="s">
        <v>1118</v>
      </c>
      <c r="CW1651" s="1" t="s">
        <v>1117</v>
      </c>
      <c r="CX1651" s="1" t="s">
        <v>42</v>
      </c>
      <c r="CY1651" s="1" t="s">
        <v>210</v>
      </c>
      <c r="CZ1651" s="1" t="s">
        <v>229</v>
      </c>
      <c r="DA1651" s="1" t="s">
        <v>200</v>
      </c>
      <c r="DC1651" s="1" t="s">
        <v>702</v>
      </c>
      <c r="DD1651" s="1" t="s">
        <v>518</v>
      </c>
      <c r="DE1651" s="1" t="s">
        <v>273</v>
      </c>
      <c r="DF1651" s="1" t="s">
        <v>619</v>
      </c>
      <c r="DG1651" s="1" t="s">
        <v>337</v>
      </c>
      <c r="DH1651" s="1" t="s">
        <v>220</v>
      </c>
      <c r="DI1651" s="1" t="s">
        <v>3203</v>
      </c>
      <c r="DJ1651" s="1" t="s">
        <v>222</v>
      </c>
      <c r="DK1651" s="1" t="s">
        <v>1301</v>
      </c>
      <c r="DL1651" s="1" t="s">
        <v>858</v>
      </c>
      <c r="DM1651" s="1" t="s">
        <v>229</v>
      </c>
      <c r="DO1651" s="1" t="s">
        <v>549</v>
      </c>
      <c r="DQ1651" s="1" t="s">
        <v>441</v>
      </c>
      <c r="DR1651" s="1" t="s">
        <v>229</v>
      </c>
      <c r="DS1651" s="1" t="s">
        <v>401</v>
      </c>
      <c r="DV1651" s="1" t="s">
        <v>588</v>
      </c>
      <c r="DW1651" s="1" t="s">
        <v>832</v>
      </c>
      <c r="DX1651" s="1" t="s">
        <v>309</v>
      </c>
      <c r="DY1651" s="1" t="s">
        <v>553</v>
      </c>
      <c r="DZ1651" s="1" t="s">
        <v>1333</v>
      </c>
      <c r="EA1651" s="1" t="s">
        <v>1075</v>
      </c>
      <c r="EC1651" s="1" t="s">
        <v>645</v>
      </c>
      <c r="ED1651" s="1" t="s">
        <v>407</v>
      </c>
      <c r="EE1651" s="1" t="s">
        <v>493</v>
      </c>
      <c r="EF1651" s="1" t="s">
        <v>16466</v>
      </c>
      <c r="EG1651" s="1" t="s">
        <v>588</v>
      </c>
      <c r="EL1651" s="1" t="s">
        <v>329</v>
      </c>
      <c r="EM1651" s="1" t="s">
        <v>42</v>
      </c>
      <c r="EN1651" s="1" t="s">
        <v>588</v>
      </c>
      <c r="EQ1651" s="1" t="s">
        <v>238</v>
      </c>
      <c r="EU1651" s="1" t="s">
        <v>238</v>
      </c>
      <c r="EY1651" s="1" t="s">
        <v>238</v>
      </c>
      <c r="FC1651" s="1" t="s">
        <v>238</v>
      </c>
      <c r="FF1651" s="1" t="s">
        <v>239</v>
      </c>
      <c r="FG1651" s="1" t="s">
        <v>192</v>
      </c>
      <c r="FH1651" s="1" t="s">
        <v>192</v>
      </c>
      <c r="FJ1651" s="1" t="s">
        <v>16467</v>
      </c>
      <c r="FK1651" s="1" t="s">
        <v>229</v>
      </c>
      <c r="FL1651" s="1" t="s">
        <v>1732</v>
      </c>
      <c r="FM1651" s="1">
        <v>8390.0</v>
      </c>
      <c r="FN1651" s="1" t="s">
        <v>1733</v>
      </c>
      <c r="FO1651" s="1" t="s">
        <v>16468</v>
      </c>
      <c r="FP1651" s="1">
        <v>83128.0</v>
      </c>
      <c r="FQ1651" s="1" t="s">
        <v>16469</v>
      </c>
      <c r="FU1651" s="1" t="s">
        <v>16470</v>
      </c>
      <c r="FV1651" s="1" t="s">
        <v>200</v>
      </c>
      <c r="FW1651" s="1" t="s">
        <v>290</v>
      </c>
      <c r="FZ1651" s="1" t="s">
        <v>632</v>
      </c>
      <c r="GA1651" s="1" t="s">
        <v>291</v>
      </c>
      <c r="GB1651" s="2">
        <v>41972.0</v>
      </c>
      <c r="GC1651" s="1" t="s">
        <v>16471</v>
      </c>
    </row>
    <row r="1652">
      <c r="A1652" s="1">
        <v>535000.0</v>
      </c>
      <c r="B1652" s="1" t="s">
        <v>185</v>
      </c>
      <c r="C1652" s="1" t="str">
        <f>"08693717"</f>
        <v>08693717</v>
      </c>
      <c r="D1652" s="1" t="s">
        <v>186</v>
      </c>
      <c r="F1652" s="1" t="str">
        <f>"10"</f>
        <v>10</v>
      </c>
      <c r="G1652" s="2">
        <v>41857.0</v>
      </c>
      <c r="H1652" s="1">
        <v>579000.0</v>
      </c>
      <c r="I1652" s="1">
        <v>201.0</v>
      </c>
      <c r="J1652" s="1">
        <v>539900.0</v>
      </c>
      <c r="K1652" s="2">
        <v>42057.0</v>
      </c>
      <c r="L1652" s="1">
        <v>201.0</v>
      </c>
      <c r="M1652" s="2">
        <v>42057.0</v>
      </c>
      <c r="N1652" s="1" t="s">
        <v>187</v>
      </c>
      <c r="O1652" s="2">
        <v>42095.0</v>
      </c>
      <c r="P1652" s="1">
        <v>33579.0</v>
      </c>
      <c r="Q1652" s="1">
        <v>3970.0</v>
      </c>
      <c r="S1652" s="1">
        <v>27094.0</v>
      </c>
      <c r="T1652" s="1" t="s">
        <v>16472</v>
      </c>
      <c r="U1652" s="1" t="s">
        <v>420</v>
      </c>
      <c r="V1652" s="1" t="s">
        <v>2004</v>
      </c>
      <c r="W1652" s="1">
        <v>60010.0</v>
      </c>
      <c r="Y1652" s="1" t="s">
        <v>16473</v>
      </c>
      <c r="Z1652" s="1">
        <v>1989.0</v>
      </c>
      <c r="AA1652" s="1" t="s">
        <v>200</v>
      </c>
      <c r="AB1652" s="1" t="s">
        <v>193</v>
      </c>
      <c r="AC1652" s="1" t="s">
        <v>16474</v>
      </c>
      <c r="AD1652" s="1" t="s">
        <v>2007</v>
      </c>
      <c r="AE1652" s="1" t="s">
        <v>917</v>
      </c>
      <c r="AF1652" s="1" t="s">
        <v>2008</v>
      </c>
      <c r="AH1652" s="1" t="s">
        <v>16475</v>
      </c>
      <c r="AK1652" s="1">
        <v>13.0</v>
      </c>
      <c r="AL1652" s="1">
        <v>4.0</v>
      </c>
      <c r="AM1652" s="1">
        <v>2.0</v>
      </c>
      <c r="AN1652" s="1">
        <v>1.0</v>
      </c>
      <c r="AO1652" s="1" t="s">
        <v>198</v>
      </c>
      <c r="AP1652" s="1">
        <v>1.0</v>
      </c>
      <c r="AQ1652" s="1" t="s">
        <v>1314</v>
      </c>
      <c r="AR1652" s="1" t="s">
        <v>200</v>
      </c>
      <c r="AS1652" s="1" t="s">
        <v>199</v>
      </c>
      <c r="AT1652" s="1">
        <v>3.0</v>
      </c>
      <c r="AV1652" s="1" t="s">
        <v>200</v>
      </c>
      <c r="AW1652" s="1">
        <v>12429.88</v>
      </c>
      <c r="AX1652" s="1">
        <v>2013.0</v>
      </c>
      <c r="AY1652" s="1" t="s">
        <v>387</v>
      </c>
      <c r="AZ1652" s="1" t="s">
        <v>200</v>
      </c>
      <c r="BA1652" s="1" t="str">
        <f>"13104010160000"</f>
        <v>13104010160000</v>
      </c>
      <c r="BB1652" s="1" t="s">
        <v>200</v>
      </c>
      <c r="BC1652" s="1">
        <v>3243.0</v>
      </c>
      <c r="BD1652" s="1">
        <v>535000.0</v>
      </c>
      <c r="BE1652" s="2">
        <v>41857.0</v>
      </c>
      <c r="BF1652" s="2" t="s">
        <v>16476</v>
      </c>
      <c r="BG1652" s="1" t="s">
        <v>2011</v>
      </c>
      <c r="BH1652" s="1">
        <v>0.0</v>
      </c>
      <c r="BI1652" s="1" t="s">
        <v>11276</v>
      </c>
      <c r="BJ1652" s="1" t="s">
        <v>1714</v>
      </c>
      <c r="BK1652" s="1" t="s">
        <v>204</v>
      </c>
      <c r="BL1652" s="1" t="str">
        <f>"27"</f>
        <v>27</v>
      </c>
      <c r="BM1652" s="1" t="str">
        <f t="shared" ref="BM1652:BM1653" si="1085">"0"</f>
        <v>0</v>
      </c>
      <c r="BN1652" s="1">
        <v>27.0</v>
      </c>
      <c r="BO1652" s="1">
        <v>0.0</v>
      </c>
      <c r="BQ1652" s="1">
        <v>220.0</v>
      </c>
      <c r="BR1652" s="1">
        <v>220.0</v>
      </c>
      <c r="BS1652" s="1">
        <v>220.0</v>
      </c>
      <c r="BU1652" s="1" t="s">
        <v>664</v>
      </c>
      <c r="BV1652" s="1" t="s">
        <v>206</v>
      </c>
      <c r="BW1652" s="1" t="s">
        <v>207</v>
      </c>
      <c r="BY1652" s="1" t="s">
        <v>639</v>
      </c>
      <c r="BZ1652" s="1" t="s">
        <v>209</v>
      </c>
      <c r="CA1652" s="1" t="s">
        <v>210</v>
      </c>
      <c r="CC1652" s="1" t="s">
        <v>454</v>
      </c>
      <c r="CD1652" s="1" t="s">
        <v>206</v>
      </c>
      <c r="CE1652" s="1" t="s">
        <v>207</v>
      </c>
      <c r="CG1652" s="1" t="s">
        <v>454</v>
      </c>
      <c r="CH1652" s="1" t="s">
        <v>209</v>
      </c>
      <c r="CI1652" s="1" t="s">
        <v>210</v>
      </c>
      <c r="CK1652" s="1" t="s">
        <v>361</v>
      </c>
      <c r="CL1652" s="1" t="s">
        <v>209</v>
      </c>
      <c r="CM1652" s="1" t="s">
        <v>210</v>
      </c>
      <c r="CO1652" s="1" t="s">
        <v>300</v>
      </c>
      <c r="CP1652" s="1" t="s">
        <v>209</v>
      </c>
      <c r="CQ1652" s="1" t="s">
        <v>210</v>
      </c>
      <c r="CS1652" s="1" t="s">
        <v>212</v>
      </c>
      <c r="CT1652" s="1" t="s">
        <v>206</v>
      </c>
      <c r="CU1652" s="1" t="s">
        <v>207</v>
      </c>
      <c r="CW1652" s="1" t="s">
        <v>854</v>
      </c>
      <c r="CX1652" s="1" t="s">
        <v>206</v>
      </c>
      <c r="CY1652" s="1" t="s">
        <v>207</v>
      </c>
      <c r="DA1652" s="1" t="s">
        <v>200</v>
      </c>
      <c r="DC1652" s="1" t="s">
        <v>435</v>
      </c>
      <c r="DD1652" s="1" t="s">
        <v>759</v>
      </c>
      <c r="DE1652" s="1" t="s">
        <v>218</v>
      </c>
      <c r="DF1652" s="1" t="s">
        <v>219</v>
      </c>
      <c r="DG1652" s="1" t="s">
        <v>11277</v>
      </c>
      <c r="DH1652" s="1" t="s">
        <v>856</v>
      </c>
      <c r="DI1652" s="1" t="s">
        <v>16477</v>
      </c>
      <c r="DJ1652" s="1" t="s">
        <v>857</v>
      </c>
      <c r="DK1652" s="1" t="s">
        <v>198</v>
      </c>
      <c r="DL1652" s="1" t="s">
        <v>224</v>
      </c>
      <c r="DM1652" s="1" t="s">
        <v>3697</v>
      </c>
      <c r="DN1652" s="1" t="s">
        <v>399</v>
      </c>
      <c r="DO1652" s="1" t="s">
        <v>2838</v>
      </c>
      <c r="DP1652" s="1" t="s">
        <v>340</v>
      </c>
      <c r="DQ1652" s="1" t="s">
        <v>931</v>
      </c>
      <c r="DR1652" s="1" t="s">
        <v>229</v>
      </c>
      <c r="DS1652" s="1" t="s">
        <v>591</v>
      </c>
      <c r="DU1652" s="1" t="s">
        <v>11241</v>
      </c>
      <c r="DV1652" s="1" t="s">
        <v>16478</v>
      </c>
      <c r="DW1652" s="1" t="s">
        <v>964</v>
      </c>
      <c r="DX1652" s="1" t="s">
        <v>234</v>
      </c>
      <c r="DY1652" s="1" t="s">
        <v>1559</v>
      </c>
      <c r="DZ1652" s="1" t="s">
        <v>1100</v>
      </c>
      <c r="EA1652" s="1" t="s">
        <v>447</v>
      </c>
      <c r="EB1652" s="1" t="s">
        <v>492</v>
      </c>
      <c r="EC1652" s="1" t="s">
        <v>237</v>
      </c>
      <c r="ED1652" s="1" t="s">
        <v>555</v>
      </c>
      <c r="EE1652" s="1" t="s">
        <v>187</v>
      </c>
      <c r="EG1652" s="1" t="s">
        <v>449</v>
      </c>
      <c r="EH1652" s="1" t="s">
        <v>598</v>
      </c>
      <c r="EI1652" s="1" t="s">
        <v>1121</v>
      </c>
      <c r="EJ1652" s="1" t="s">
        <v>408</v>
      </c>
      <c r="EK1652" s="1" t="s">
        <v>450</v>
      </c>
      <c r="EL1652" s="1" t="s">
        <v>332</v>
      </c>
      <c r="EM1652" s="1" t="s">
        <v>206</v>
      </c>
      <c r="EN1652" s="1" t="s">
        <v>207</v>
      </c>
      <c r="EP1652" s="1" t="s">
        <v>208</v>
      </c>
      <c r="EQ1652" s="1" t="s">
        <v>209</v>
      </c>
      <c r="ER1652" s="1" t="s">
        <v>207</v>
      </c>
      <c r="ET1652" s="1" t="s">
        <v>969</v>
      </c>
      <c r="EU1652" s="1" t="s">
        <v>209</v>
      </c>
      <c r="EV1652" s="1" t="s">
        <v>207</v>
      </c>
      <c r="EX1652" s="1" t="s">
        <v>1119</v>
      </c>
      <c r="EY1652" s="1" t="s">
        <v>206</v>
      </c>
      <c r="EZ1652" s="1" t="s">
        <v>207</v>
      </c>
      <c r="FB1652" s="1" t="s">
        <v>16479</v>
      </c>
      <c r="FC1652" s="1" t="s">
        <v>42</v>
      </c>
      <c r="FD1652" s="1" t="s">
        <v>210</v>
      </c>
      <c r="FF1652" s="1" t="s">
        <v>239</v>
      </c>
      <c r="FG1652" s="1" t="s">
        <v>192</v>
      </c>
      <c r="FH1652" s="1" t="s">
        <v>192</v>
      </c>
      <c r="FJ1652" s="1" t="s">
        <v>2169</v>
      </c>
      <c r="FK1652" s="1" t="s">
        <v>229</v>
      </c>
      <c r="FL1652" s="1" t="s">
        <v>16480</v>
      </c>
      <c r="FM1652" s="1">
        <v>6255.0</v>
      </c>
      <c r="FN1652" s="1" t="s">
        <v>16481</v>
      </c>
      <c r="FO1652" s="1" t="s">
        <v>16482</v>
      </c>
      <c r="FP1652" s="1">
        <v>62329.0</v>
      </c>
      <c r="FQ1652" s="1" t="s">
        <v>16483</v>
      </c>
      <c r="FS1652" s="1" t="s">
        <v>16484</v>
      </c>
      <c r="FU1652" s="1" t="s">
        <v>16485</v>
      </c>
      <c r="FV1652" s="1" t="s">
        <v>200</v>
      </c>
      <c r="FW1652" s="1" t="s">
        <v>2754</v>
      </c>
      <c r="FX1652" s="1" t="s">
        <v>246</v>
      </c>
      <c r="FZ1652" s="1" t="s">
        <v>229</v>
      </c>
      <c r="GA1652" s="1" t="s">
        <v>291</v>
      </c>
      <c r="GB1652" s="2">
        <v>42097.0</v>
      </c>
      <c r="GC1652" s="1" t="s">
        <v>16486</v>
      </c>
    </row>
    <row r="1653">
      <c r="A1653" s="1">
        <v>1725000.0</v>
      </c>
      <c r="B1653" s="1" t="s">
        <v>185</v>
      </c>
      <c r="C1653" s="1" t="str">
        <f>"08696142"</f>
        <v>08696142</v>
      </c>
      <c r="D1653" s="1" t="s">
        <v>186</v>
      </c>
      <c r="F1653" s="1" t="str">
        <f>"8024"</f>
        <v>8024</v>
      </c>
      <c r="G1653" s="2">
        <v>41859.0</v>
      </c>
      <c r="H1653" s="1">
        <v>1850000.0</v>
      </c>
      <c r="I1653" s="1">
        <v>32.0</v>
      </c>
      <c r="J1653" s="1">
        <v>1840000.0</v>
      </c>
      <c r="K1653" s="2">
        <v>41890.0</v>
      </c>
      <c r="L1653" s="1">
        <v>32.0</v>
      </c>
      <c r="M1653" s="2">
        <v>41890.0</v>
      </c>
      <c r="N1653" s="1" t="s">
        <v>187</v>
      </c>
      <c r="O1653" s="2">
        <v>41988.0</v>
      </c>
      <c r="P1653" s="1">
        <v>170349.0</v>
      </c>
      <c r="Q1653" s="1">
        <v>15694.0</v>
      </c>
      <c r="S1653" s="1">
        <v>1614.0</v>
      </c>
      <c r="T1653" s="1" t="s">
        <v>8951</v>
      </c>
      <c r="U1653" s="1" t="s">
        <v>320</v>
      </c>
      <c r="V1653" s="1" t="s">
        <v>190</v>
      </c>
      <c r="W1653" s="1">
        <v>60647.0</v>
      </c>
      <c r="Y1653" s="1" t="s">
        <v>16487</v>
      </c>
      <c r="Z1653" s="1">
        <v>2005.0</v>
      </c>
      <c r="AA1653" s="1" t="s">
        <v>200</v>
      </c>
      <c r="AB1653" s="1" t="s">
        <v>193</v>
      </c>
      <c r="AD1653" s="1" t="s">
        <v>194</v>
      </c>
      <c r="AE1653" s="1" t="s">
        <v>195</v>
      </c>
      <c r="AF1653" s="1" t="s">
        <v>827</v>
      </c>
      <c r="AH1653" s="1" t="s">
        <v>359</v>
      </c>
      <c r="AI1653" s="1">
        <v>0.0714</v>
      </c>
      <c r="AK1653" s="1">
        <v>10.0</v>
      </c>
      <c r="AL1653" s="1">
        <v>4.0</v>
      </c>
      <c r="AM1653" s="1">
        <v>3.0</v>
      </c>
      <c r="AN1653" s="1">
        <v>1.0</v>
      </c>
      <c r="AO1653" s="1" t="s">
        <v>198</v>
      </c>
      <c r="AP1653" s="1">
        <v>4.0</v>
      </c>
      <c r="AQ1653" s="1" t="s">
        <v>257</v>
      </c>
      <c r="AR1653" s="1" t="s">
        <v>192</v>
      </c>
      <c r="AS1653" s="1" t="s">
        <v>199</v>
      </c>
      <c r="AT1653" s="1">
        <v>2.5</v>
      </c>
      <c r="AV1653" s="1" t="s">
        <v>200</v>
      </c>
      <c r="AW1653" s="1">
        <v>14552.0</v>
      </c>
      <c r="AX1653" s="1">
        <v>2013.0</v>
      </c>
      <c r="AY1653" s="1" t="s">
        <v>387</v>
      </c>
      <c r="AZ1653" s="1" t="s">
        <v>200</v>
      </c>
      <c r="BA1653" s="1" t="str">
        <f>"14313280960000"</f>
        <v>14313280960000</v>
      </c>
      <c r="BC1653" s="1">
        <v>0.0</v>
      </c>
      <c r="BD1653" s="1">
        <v>1725000.0</v>
      </c>
      <c r="BE1653" s="2">
        <v>41859.0</v>
      </c>
      <c r="BF1653" s="2" t="s">
        <v>16488</v>
      </c>
      <c r="BG1653" s="1" t="s">
        <v>6994</v>
      </c>
      <c r="BH1653" s="1">
        <v>0.0</v>
      </c>
      <c r="BI1653" s="1" t="s">
        <v>6994</v>
      </c>
      <c r="BJ1653" s="1" t="s">
        <v>13909</v>
      </c>
      <c r="BK1653" s="1" t="s">
        <v>204</v>
      </c>
      <c r="BL1653" s="1" t="str">
        <f>"1614"</f>
        <v>1614</v>
      </c>
      <c r="BM1653" s="1" t="str">
        <f t="shared" si="1085"/>
        <v>0</v>
      </c>
      <c r="BN1653" s="1">
        <v>2200.0</v>
      </c>
      <c r="BO1653" s="1">
        <v>0.0</v>
      </c>
      <c r="BQ1653" s="1">
        <v>299.0</v>
      </c>
      <c r="BR1653" s="1">
        <v>299.0</v>
      </c>
      <c r="BS1653" s="1">
        <v>299.0</v>
      </c>
      <c r="BU1653" s="1" t="s">
        <v>582</v>
      </c>
      <c r="BV1653" s="1" t="s">
        <v>206</v>
      </c>
      <c r="BW1653" s="1" t="s">
        <v>207</v>
      </c>
      <c r="BY1653" s="1" t="s">
        <v>260</v>
      </c>
      <c r="BZ1653" s="1" t="s">
        <v>209</v>
      </c>
      <c r="CA1653" s="1" t="s">
        <v>207</v>
      </c>
      <c r="CC1653" s="1" t="s">
        <v>743</v>
      </c>
      <c r="CD1653" s="1" t="s">
        <v>206</v>
      </c>
      <c r="CE1653" s="1" t="s">
        <v>207</v>
      </c>
      <c r="CG1653" s="1" t="s">
        <v>1426</v>
      </c>
      <c r="CH1653" s="1" t="s">
        <v>209</v>
      </c>
      <c r="CI1653" s="1" t="s">
        <v>207</v>
      </c>
      <c r="CK1653" s="1" t="s">
        <v>265</v>
      </c>
      <c r="CL1653" s="1" t="s">
        <v>209</v>
      </c>
      <c r="CM1653" s="1" t="s">
        <v>207</v>
      </c>
      <c r="CO1653" s="1" t="s">
        <v>266</v>
      </c>
      <c r="CP1653" s="1" t="s">
        <v>267</v>
      </c>
      <c r="CQ1653" s="1" t="s">
        <v>210</v>
      </c>
      <c r="CS1653" s="1" t="s">
        <v>390</v>
      </c>
      <c r="CT1653" s="1" t="s">
        <v>206</v>
      </c>
      <c r="CU1653" s="1" t="s">
        <v>207</v>
      </c>
      <c r="CW1653" s="1" t="s">
        <v>2800</v>
      </c>
      <c r="CX1653" s="1" t="s">
        <v>206</v>
      </c>
      <c r="CY1653" s="1" t="s">
        <v>207</v>
      </c>
      <c r="DA1653" s="1" t="s">
        <v>200</v>
      </c>
      <c r="DC1653" s="1" t="s">
        <v>481</v>
      </c>
      <c r="DD1653" s="1" t="s">
        <v>5326</v>
      </c>
      <c r="DE1653" s="1" t="s">
        <v>273</v>
      </c>
      <c r="DF1653" s="1" t="s">
        <v>219</v>
      </c>
      <c r="DH1653" s="1" t="s">
        <v>365</v>
      </c>
      <c r="DI1653" s="1" t="s">
        <v>12731</v>
      </c>
      <c r="DJ1653" s="1" t="s">
        <v>222</v>
      </c>
      <c r="DL1653" s="1" t="s">
        <v>224</v>
      </c>
      <c r="DM1653" s="1" t="s">
        <v>3575</v>
      </c>
      <c r="DN1653" s="1" t="s">
        <v>16489</v>
      </c>
      <c r="DQ1653" s="1" t="s">
        <v>718</v>
      </c>
      <c r="DR1653" s="1" t="s">
        <v>229</v>
      </c>
      <c r="DS1653" s="1" t="s">
        <v>5883</v>
      </c>
      <c r="DU1653" s="1" t="s">
        <v>4671</v>
      </c>
      <c r="DV1653" s="1" t="s">
        <v>16490</v>
      </c>
      <c r="DW1653" s="1" t="s">
        <v>279</v>
      </c>
      <c r="DX1653" s="1" t="s">
        <v>234</v>
      </c>
      <c r="DY1653" s="1" t="s">
        <v>5292</v>
      </c>
      <c r="DZ1653" s="1" t="s">
        <v>16491</v>
      </c>
      <c r="EA1653" s="1" t="s">
        <v>3112</v>
      </c>
      <c r="EB1653" s="1" t="s">
        <v>4251</v>
      </c>
      <c r="EC1653" s="1" t="s">
        <v>237</v>
      </c>
      <c r="EG1653" s="1" t="s">
        <v>1961</v>
      </c>
      <c r="EH1653" s="1" t="s">
        <v>2023</v>
      </c>
      <c r="EI1653" s="1" t="s">
        <v>2877</v>
      </c>
      <c r="EJ1653" s="1" t="s">
        <v>2971</v>
      </c>
      <c r="EL1653" s="1" t="s">
        <v>782</v>
      </c>
      <c r="EM1653" s="1" t="s">
        <v>267</v>
      </c>
      <c r="EN1653" s="1" t="s">
        <v>207</v>
      </c>
      <c r="EP1653" s="1" t="s">
        <v>2155</v>
      </c>
      <c r="EQ1653" s="1" t="s">
        <v>267</v>
      </c>
      <c r="ER1653" s="1" t="s">
        <v>207</v>
      </c>
      <c r="ET1653" s="1" t="s">
        <v>971</v>
      </c>
      <c r="EU1653" s="1" t="s">
        <v>267</v>
      </c>
      <c r="EV1653" s="1" t="s">
        <v>268</v>
      </c>
      <c r="EX1653" s="1" t="s">
        <v>971</v>
      </c>
      <c r="EY1653" s="1" t="s">
        <v>267</v>
      </c>
      <c r="EZ1653" s="1" t="s">
        <v>268</v>
      </c>
      <c r="FC1653" s="1" t="s">
        <v>238</v>
      </c>
      <c r="FF1653" s="1" t="s">
        <v>239</v>
      </c>
      <c r="FG1653" s="1" t="s">
        <v>192</v>
      </c>
      <c r="FH1653" s="1" t="s">
        <v>192</v>
      </c>
      <c r="FJ1653" s="1" t="s">
        <v>4029</v>
      </c>
      <c r="FK1653" s="1" t="s">
        <v>229</v>
      </c>
      <c r="FL1653" s="1" t="s">
        <v>974</v>
      </c>
      <c r="FM1653" s="1">
        <v>10900.0</v>
      </c>
      <c r="FN1653" s="1" t="s">
        <v>1435</v>
      </c>
      <c r="FO1653" s="1" t="s">
        <v>16492</v>
      </c>
      <c r="FP1653" s="1">
        <v>123371.0</v>
      </c>
      <c r="FQ1653" s="1" t="s">
        <v>16493</v>
      </c>
      <c r="FR1653" s="1">
        <v>183499.0</v>
      </c>
      <c r="FU1653" s="1" t="s">
        <v>16494</v>
      </c>
      <c r="FV1653" s="1" t="s">
        <v>200</v>
      </c>
      <c r="FW1653" s="1" t="s">
        <v>567</v>
      </c>
      <c r="FX1653" s="1" t="s">
        <v>238</v>
      </c>
      <c r="FZ1653" s="1" t="s">
        <v>229</v>
      </c>
      <c r="GA1653" s="1" t="s">
        <v>291</v>
      </c>
      <c r="GB1653" s="2">
        <v>41988.0</v>
      </c>
      <c r="GC1653" s="1" t="s">
        <v>16495</v>
      </c>
    </row>
    <row r="1654">
      <c r="A1654" s="1">
        <v>182000.0</v>
      </c>
      <c r="B1654" s="1" t="s">
        <v>185</v>
      </c>
      <c r="C1654" s="1" t="str">
        <f>"08697387"</f>
        <v>08697387</v>
      </c>
      <c r="D1654" s="1" t="s">
        <v>186</v>
      </c>
      <c r="F1654" s="1" t="str">
        <f>"554"</f>
        <v>554</v>
      </c>
      <c r="G1654" s="2">
        <v>41860.0</v>
      </c>
      <c r="H1654" s="1">
        <v>239900.0</v>
      </c>
      <c r="I1654" s="1">
        <v>145.0</v>
      </c>
      <c r="J1654" s="1">
        <v>185000.0</v>
      </c>
      <c r="K1654" s="2">
        <v>42002.0</v>
      </c>
      <c r="L1654" s="1">
        <v>145.0</v>
      </c>
      <c r="M1654" s="2">
        <v>42002.0</v>
      </c>
      <c r="N1654" s="1" t="s">
        <v>187</v>
      </c>
      <c r="O1654" s="2">
        <v>42027.0</v>
      </c>
      <c r="P1654" s="1">
        <v>232304.0</v>
      </c>
      <c r="Q1654" s="1">
        <v>23300.0</v>
      </c>
      <c r="R1654" s="1">
        <v>2000.0</v>
      </c>
      <c r="S1654" s="1">
        <v>937.0</v>
      </c>
      <c r="T1654" s="1" t="s">
        <v>16496</v>
      </c>
      <c r="U1654" s="1" t="s">
        <v>464</v>
      </c>
      <c r="V1654" s="1" t="s">
        <v>2212</v>
      </c>
      <c r="W1654" s="1">
        <v>60554.0</v>
      </c>
      <c r="Y1654" s="1" t="s">
        <v>16497</v>
      </c>
      <c r="Z1654" s="1">
        <v>2003.0</v>
      </c>
      <c r="AA1654" s="1" t="s">
        <v>200</v>
      </c>
      <c r="AB1654" s="1" t="s">
        <v>467</v>
      </c>
      <c r="AD1654" s="1" t="s">
        <v>1887</v>
      </c>
      <c r="AE1654" s="1" t="s">
        <v>325</v>
      </c>
      <c r="AF1654" s="1" t="s">
        <v>1887</v>
      </c>
      <c r="AH1654" s="1" t="s">
        <v>326</v>
      </c>
      <c r="AI1654" s="1">
        <v>0.2388</v>
      </c>
      <c r="AK1654" s="1">
        <v>8.0</v>
      </c>
      <c r="AL1654" s="1">
        <v>4.0</v>
      </c>
      <c r="AM1654" s="1">
        <v>2.0</v>
      </c>
      <c r="AN1654" s="1">
        <v>2.0</v>
      </c>
      <c r="AO1654" s="1" t="s">
        <v>198</v>
      </c>
      <c r="AP1654" s="1">
        <v>1.0</v>
      </c>
      <c r="AQ1654" s="1" t="s">
        <v>198</v>
      </c>
      <c r="AR1654" s="1" t="s">
        <v>200</v>
      </c>
      <c r="AS1654" s="1" t="s">
        <v>199</v>
      </c>
      <c r="AT1654" s="1">
        <v>2.0</v>
      </c>
      <c r="AV1654" s="1" t="s">
        <v>200</v>
      </c>
      <c r="AW1654" s="1">
        <v>8394.12</v>
      </c>
      <c r="AX1654" s="1">
        <v>2012.0</v>
      </c>
      <c r="AZ1654" s="1" t="s">
        <v>200</v>
      </c>
      <c r="BA1654" s="1" t="str">
        <f>"1403378027"</f>
        <v>1403378027</v>
      </c>
      <c r="BC1654" s="1">
        <v>2384.0</v>
      </c>
      <c r="BD1654" s="1">
        <v>182000.0</v>
      </c>
      <c r="BE1654" s="2">
        <v>41858.0</v>
      </c>
      <c r="BF1654" s="2" t="s">
        <v>16498</v>
      </c>
      <c r="BH1654" s="1">
        <v>400.0</v>
      </c>
      <c r="BK1654" s="1" t="s">
        <v>580</v>
      </c>
      <c r="BL1654" s="1" t="str">
        <f t="shared" ref="BL1654:BM1654" si="1086">""</f>
        <v/>
      </c>
      <c r="BM1654" s="1" t="str">
        <f t="shared" si="1086"/>
        <v/>
      </c>
      <c r="BQ1654" s="1">
        <v>302.0</v>
      </c>
      <c r="BR1654" s="1">
        <v>302.0</v>
      </c>
      <c r="BS1654" s="1">
        <v>302.0</v>
      </c>
      <c r="BU1654" s="1" t="s">
        <v>215</v>
      </c>
      <c r="BV1654" s="1" t="s">
        <v>206</v>
      </c>
      <c r="BY1654" s="1" t="s">
        <v>453</v>
      </c>
      <c r="BZ1654" s="1" t="s">
        <v>209</v>
      </c>
      <c r="CC1654" s="1" t="s">
        <v>363</v>
      </c>
      <c r="CD1654" s="1" t="s">
        <v>206</v>
      </c>
      <c r="CG1654" s="1" t="s">
        <v>264</v>
      </c>
      <c r="CH1654" s="1" t="s">
        <v>209</v>
      </c>
      <c r="CK1654" s="1" t="s">
        <v>264</v>
      </c>
      <c r="CL1654" s="1" t="s">
        <v>209</v>
      </c>
      <c r="CO1654" s="1" t="s">
        <v>363</v>
      </c>
      <c r="CP1654" s="1" t="s">
        <v>209</v>
      </c>
      <c r="CS1654" s="1" t="s">
        <v>955</v>
      </c>
      <c r="CT1654" s="1" t="s">
        <v>206</v>
      </c>
      <c r="CW1654" s="1" t="s">
        <v>1000</v>
      </c>
      <c r="CX1654" s="1" t="s">
        <v>206</v>
      </c>
      <c r="DA1654" s="1" t="s">
        <v>200</v>
      </c>
      <c r="DC1654" s="1" t="s">
        <v>335</v>
      </c>
      <c r="DE1654" s="1" t="s">
        <v>273</v>
      </c>
      <c r="DF1654" s="1" t="s">
        <v>219</v>
      </c>
      <c r="DH1654" s="1" t="s">
        <v>220</v>
      </c>
      <c r="DJ1654" s="1" t="s">
        <v>222</v>
      </c>
      <c r="DL1654" s="1" t="s">
        <v>858</v>
      </c>
      <c r="DM1654" s="1" t="s">
        <v>229</v>
      </c>
      <c r="DQ1654" s="1" t="s">
        <v>228</v>
      </c>
      <c r="DR1654" s="1" t="s">
        <v>229</v>
      </c>
      <c r="DV1654" s="1" t="s">
        <v>408</v>
      </c>
      <c r="DW1654" s="1" t="s">
        <v>764</v>
      </c>
      <c r="DX1654" s="1" t="s">
        <v>234</v>
      </c>
      <c r="EC1654" s="1" t="s">
        <v>237</v>
      </c>
      <c r="EG1654" s="1" t="s">
        <v>408</v>
      </c>
      <c r="EL1654" s="1" t="s">
        <v>969</v>
      </c>
      <c r="EM1654" s="1" t="s">
        <v>206</v>
      </c>
      <c r="EQ1654" s="1" t="s">
        <v>238</v>
      </c>
      <c r="EU1654" s="1" t="s">
        <v>238</v>
      </c>
      <c r="EY1654" s="1" t="s">
        <v>238</v>
      </c>
      <c r="FC1654" s="1" t="s">
        <v>238</v>
      </c>
      <c r="FF1654" s="1" t="s">
        <v>239</v>
      </c>
      <c r="FG1654" s="1" t="s">
        <v>192</v>
      </c>
      <c r="FH1654" s="1" t="s">
        <v>192</v>
      </c>
      <c r="FJ1654" s="1" t="s">
        <v>4863</v>
      </c>
      <c r="FK1654" s="1" t="s">
        <v>229</v>
      </c>
      <c r="FL1654" s="1" t="s">
        <v>2263</v>
      </c>
      <c r="FM1654" s="1">
        <v>8094.0</v>
      </c>
      <c r="FN1654" s="1" t="s">
        <v>2264</v>
      </c>
      <c r="FO1654" s="1" t="s">
        <v>5270</v>
      </c>
      <c r="FP1654" s="1">
        <v>232535.0</v>
      </c>
      <c r="FQ1654" s="1" t="s">
        <v>5271</v>
      </c>
      <c r="FU1654" s="1" t="s">
        <v>16499</v>
      </c>
      <c r="FV1654" s="1" t="s">
        <v>200</v>
      </c>
      <c r="FW1654" s="1" t="s">
        <v>1307</v>
      </c>
      <c r="FZ1654" s="1" t="s">
        <v>229</v>
      </c>
      <c r="GA1654" s="1" t="s">
        <v>291</v>
      </c>
      <c r="GB1654" s="2">
        <v>42027.0</v>
      </c>
      <c r="GC1654" s="1" t="s">
        <v>16500</v>
      </c>
    </row>
    <row r="1655">
      <c r="A1655" s="1">
        <v>150299.0</v>
      </c>
      <c r="B1655" s="1" t="s">
        <v>185</v>
      </c>
      <c r="C1655" s="1" t="str">
        <f>"08693708"</f>
        <v>08693708</v>
      </c>
      <c r="D1655" s="1" t="s">
        <v>186</v>
      </c>
      <c r="F1655" s="1" t="str">
        <f>"538"</f>
        <v>538</v>
      </c>
      <c r="G1655" s="2">
        <v>41857.0</v>
      </c>
      <c r="H1655" s="1">
        <v>174900.0</v>
      </c>
      <c r="I1655" s="1">
        <v>42.0</v>
      </c>
      <c r="J1655" s="1">
        <v>166200.0</v>
      </c>
      <c r="K1655" s="2">
        <v>41898.0</v>
      </c>
      <c r="L1655" s="1">
        <v>42.0</v>
      </c>
      <c r="M1655" s="2">
        <v>41898.0</v>
      </c>
      <c r="N1655" s="1" t="s">
        <v>187</v>
      </c>
      <c r="O1655" s="2">
        <v>42004.0</v>
      </c>
      <c r="P1655" s="1">
        <v>99999.0</v>
      </c>
      <c r="Q1655" s="1" t="s">
        <v>947</v>
      </c>
      <c r="S1655" s="1">
        <v>2586.0</v>
      </c>
      <c r="T1655" s="1" t="s">
        <v>16501</v>
      </c>
      <c r="U1655" s="1" t="s">
        <v>1015</v>
      </c>
      <c r="V1655" s="1" t="s">
        <v>1340</v>
      </c>
      <c r="W1655" s="1">
        <v>60538.0</v>
      </c>
      <c r="Y1655" s="1" t="s">
        <v>16502</v>
      </c>
      <c r="Z1655" s="1">
        <v>2002.0</v>
      </c>
      <c r="AA1655" s="1" t="s">
        <v>200</v>
      </c>
      <c r="AB1655" s="1" t="s">
        <v>467</v>
      </c>
      <c r="AD1655" s="1" t="s">
        <v>1343</v>
      </c>
      <c r="AE1655" s="1" t="s">
        <v>849</v>
      </c>
      <c r="AF1655" s="1" t="s">
        <v>1312</v>
      </c>
      <c r="AH1655" s="1">
        <v>10206.0</v>
      </c>
      <c r="AI1655" s="1">
        <v>0.2343</v>
      </c>
      <c r="AK1655" s="1">
        <v>7.0</v>
      </c>
      <c r="AL1655" s="1">
        <v>4.0</v>
      </c>
      <c r="AM1655" s="1">
        <v>2.0</v>
      </c>
      <c r="AN1655" s="1">
        <v>1.0</v>
      </c>
      <c r="AO1655" s="1" t="s">
        <v>229</v>
      </c>
      <c r="AQ1655" s="1" t="s">
        <v>198</v>
      </c>
      <c r="AR1655" s="1" t="s">
        <v>200</v>
      </c>
      <c r="AS1655" s="1" t="s">
        <v>199</v>
      </c>
      <c r="AT1655" s="1">
        <v>2.0</v>
      </c>
      <c r="AV1655" s="1" t="s">
        <v>200</v>
      </c>
      <c r="AW1655" s="1">
        <v>5599.2</v>
      </c>
      <c r="AX1655" s="1">
        <v>2012.0</v>
      </c>
      <c r="AZ1655" s="1" t="s">
        <v>545</v>
      </c>
      <c r="BA1655" s="1" t="str">
        <f>"0201153001"</f>
        <v>0201153001</v>
      </c>
      <c r="BC1655" s="1">
        <v>2098.0</v>
      </c>
      <c r="BD1655" s="1">
        <v>150299.0</v>
      </c>
      <c r="BE1655" s="2">
        <v>41857.0</v>
      </c>
      <c r="BF1655" s="2" t="s">
        <v>3507</v>
      </c>
      <c r="BH1655" s="1">
        <v>82.0</v>
      </c>
      <c r="BK1655" s="1" t="s">
        <v>1952</v>
      </c>
      <c r="BL1655" s="1" t="str">
        <f t="shared" ref="BL1655:BM1655" si="1087">"0"</f>
        <v>0</v>
      </c>
      <c r="BM1655" s="1" t="str">
        <f t="shared" si="1087"/>
        <v>0</v>
      </c>
      <c r="BN1655" s="1">
        <v>0.0</v>
      </c>
      <c r="BO1655" s="1">
        <v>0.0</v>
      </c>
      <c r="BQ1655" s="1">
        <v>308.0</v>
      </c>
      <c r="BR1655" s="1">
        <v>308.0</v>
      </c>
      <c r="BS1655" s="1">
        <v>308.0</v>
      </c>
      <c r="BU1655" s="1" t="s">
        <v>362</v>
      </c>
      <c r="BV1655" s="1" t="s">
        <v>206</v>
      </c>
      <c r="BY1655" s="1" t="s">
        <v>334</v>
      </c>
      <c r="BZ1655" s="1" t="s">
        <v>206</v>
      </c>
      <c r="CC1655" s="1" t="s">
        <v>433</v>
      </c>
      <c r="CD1655" s="1" t="s">
        <v>206</v>
      </c>
      <c r="CG1655" s="1" t="s">
        <v>743</v>
      </c>
      <c r="CH1655" s="1" t="s">
        <v>206</v>
      </c>
      <c r="CK1655" s="1" t="s">
        <v>743</v>
      </c>
      <c r="CL1655" s="1" t="s">
        <v>209</v>
      </c>
      <c r="CO1655" s="1" t="s">
        <v>393</v>
      </c>
      <c r="CP1655" s="1" t="s">
        <v>209</v>
      </c>
      <c r="CS1655" s="1" t="s">
        <v>363</v>
      </c>
      <c r="CT1655" s="1" t="s">
        <v>206</v>
      </c>
      <c r="CX1655" s="1" t="s">
        <v>204</v>
      </c>
      <c r="DA1655" s="1" t="s">
        <v>200</v>
      </c>
      <c r="DC1655" s="1" t="s">
        <v>335</v>
      </c>
      <c r="DE1655" s="1" t="s">
        <v>273</v>
      </c>
      <c r="DF1655" s="1" t="s">
        <v>619</v>
      </c>
      <c r="DH1655" s="1" t="s">
        <v>220</v>
      </c>
      <c r="DJ1655" s="1" t="s">
        <v>1379</v>
      </c>
      <c r="DL1655" s="1" t="s">
        <v>223</v>
      </c>
      <c r="DM1655" s="1" t="s">
        <v>229</v>
      </c>
      <c r="DQ1655" s="1" t="s">
        <v>228</v>
      </c>
      <c r="DR1655" s="1" t="s">
        <v>16503</v>
      </c>
      <c r="DV1655" s="1" t="s">
        <v>232</v>
      </c>
      <c r="DW1655" s="1" t="s">
        <v>233</v>
      </c>
      <c r="DX1655" s="1" t="s">
        <v>234</v>
      </c>
      <c r="EC1655" s="1" t="s">
        <v>237</v>
      </c>
      <c r="EE1655" s="1" t="s">
        <v>1960</v>
      </c>
      <c r="EM1655" s="1" t="s">
        <v>238</v>
      </c>
      <c r="EQ1655" s="1" t="s">
        <v>238</v>
      </c>
      <c r="EU1655" s="1" t="s">
        <v>238</v>
      </c>
      <c r="EY1655" s="1" t="s">
        <v>238</v>
      </c>
      <c r="FC1655" s="1" t="s">
        <v>238</v>
      </c>
      <c r="FF1655" s="1" t="s">
        <v>239</v>
      </c>
      <c r="FG1655" s="1" t="s">
        <v>192</v>
      </c>
      <c r="FH1655" s="1" t="s">
        <v>192</v>
      </c>
      <c r="FJ1655" s="1" t="s">
        <v>347</v>
      </c>
      <c r="FK1655" s="1" t="s">
        <v>229</v>
      </c>
      <c r="FL1655" s="1" t="s">
        <v>3033</v>
      </c>
      <c r="FM1655" s="1">
        <v>1984.0</v>
      </c>
      <c r="FN1655" s="1" t="s">
        <v>3034</v>
      </c>
      <c r="FO1655" s="1" t="s">
        <v>3035</v>
      </c>
      <c r="FP1655" s="1">
        <v>922950.0</v>
      </c>
      <c r="FU1655" s="1" t="s">
        <v>4334</v>
      </c>
      <c r="FV1655" s="1" t="s">
        <v>200</v>
      </c>
      <c r="FW1655" s="1" t="s">
        <v>4959</v>
      </c>
      <c r="FZ1655" s="1" t="s">
        <v>229</v>
      </c>
      <c r="GA1655" s="1" t="s">
        <v>291</v>
      </c>
      <c r="GB1655" s="2">
        <v>42006.0</v>
      </c>
      <c r="GC1655" s="1" t="s">
        <v>8684</v>
      </c>
    </row>
    <row r="1656">
      <c r="A1656" s="1">
        <v>272500.0</v>
      </c>
      <c r="B1656" s="1" t="s">
        <v>185</v>
      </c>
      <c r="C1656" s="1" t="str">
        <f>"08685421"</f>
        <v>08685421</v>
      </c>
      <c r="D1656" s="1" t="s">
        <v>186</v>
      </c>
      <c r="F1656" s="1" t="str">
        <f>"8010"</f>
        <v>8010</v>
      </c>
      <c r="G1656" s="2">
        <v>41848.0</v>
      </c>
      <c r="H1656" s="1">
        <v>314800.0</v>
      </c>
      <c r="I1656" s="1">
        <v>82.0</v>
      </c>
      <c r="J1656" s="1">
        <v>298900.0</v>
      </c>
      <c r="K1656" s="2">
        <v>41929.0</v>
      </c>
      <c r="L1656" s="1">
        <v>82.0</v>
      </c>
      <c r="M1656" s="2">
        <v>41929.0</v>
      </c>
      <c r="N1656" s="1" t="s">
        <v>187</v>
      </c>
      <c r="O1656" s="2">
        <v>41978.0</v>
      </c>
      <c r="P1656" s="1">
        <v>171829.0</v>
      </c>
      <c r="Q1656" s="1">
        <v>18437.0</v>
      </c>
      <c r="S1656" s="1">
        <v>6106.0</v>
      </c>
      <c r="T1656" s="1" t="s">
        <v>9331</v>
      </c>
      <c r="U1656" s="1" t="s">
        <v>189</v>
      </c>
      <c r="V1656" s="1" t="s">
        <v>190</v>
      </c>
      <c r="W1656" s="1">
        <v>60646.0</v>
      </c>
      <c r="Y1656" s="1" t="s">
        <v>16504</v>
      </c>
      <c r="Z1656" s="1">
        <v>1946.0</v>
      </c>
      <c r="AA1656" s="1" t="s">
        <v>192</v>
      </c>
      <c r="AB1656" s="1" t="s">
        <v>193</v>
      </c>
      <c r="AC1656" s="1" t="s">
        <v>3901</v>
      </c>
      <c r="AD1656" s="1" t="s">
        <v>194</v>
      </c>
      <c r="AE1656" s="1" t="s">
        <v>195</v>
      </c>
      <c r="AF1656" s="1" t="s">
        <v>196</v>
      </c>
      <c r="AH1656" s="1" t="s">
        <v>2045</v>
      </c>
      <c r="AI1656" s="1">
        <v>0.0895</v>
      </c>
      <c r="AK1656" s="1">
        <v>9.0</v>
      </c>
      <c r="AL1656" s="1">
        <v>4.0</v>
      </c>
      <c r="AM1656" s="1">
        <v>2.0</v>
      </c>
      <c r="AN1656" s="1">
        <v>0.0</v>
      </c>
      <c r="AO1656" s="1" t="s">
        <v>229</v>
      </c>
      <c r="AP1656" s="1">
        <v>0.0</v>
      </c>
      <c r="AQ1656" s="1" t="s">
        <v>198</v>
      </c>
      <c r="AR1656" s="1" t="s">
        <v>192</v>
      </c>
      <c r="AS1656" s="1" t="s">
        <v>199</v>
      </c>
      <c r="AT1656" s="1">
        <v>2.0</v>
      </c>
      <c r="AV1656" s="1" t="s">
        <v>200</v>
      </c>
      <c r="AW1656" s="1">
        <v>1772.01</v>
      </c>
      <c r="AX1656" s="1">
        <v>2013.0</v>
      </c>
      <c r="AY1656" s="1" t="s">
        <v>1917</v>
      </c>
      <c r="AZ1656" s="1" t="s">
        <v>200</v>
      </c>
      <c r="BA1656" s="1" t="str">
        <f>"13051150460000"</f>
        <v>13051150460000</v>
      </c>
      <c r="BB1656" s="1" t="s">
        <v>200</v>
      </c>
      <c r="BC1656" s="1">
        <v>0.0</v>
      </c>
      <c r="BD1656" s="1">
        <v>272500.0</v>
      </c>
      <c r="BE1656" s="2">
        <v>41848.0</v>
      </c>
      <c r="BF1656" s="2" t="s">
        <v>16505</v>
      </c>
      <c r="BH1656" s="1">
        <v>0.0</v>
      </c>
      <c r="BK1656" s="1" t="s">
        <v>204</v>
      </c>
      <c r="BL1656" s="1" t="str">
        <f>"6106"</f>
        <v>6106</v>
      </c>
      <c r="BM1656" s="1" t="str">
        <f>"0"</f>
        <v>0</v>
      </c>
      <c r="BN1656" s="1">
        <v>6200.0</v>
      </c>
      <c r="BO1656" s="1">
        <v>0.0</v>
      </c>
      <c r="BQ1656" s="1">
        <v>299.0</v>
      </c>
      <c r="BR1656" s="1">
        <v>299.0</v>
      </c>
      <c r="BS1656" s="1">
        <v>299.0</v>
      </c>
      <c r="BU1656" s="1" t="s">
        <v>925</v>
      </c>
      <c r="BV1656" s="1" t="s">
        <v>206</v>
      </c>
      <c r="BW1656" s="1" t="s">
        <v>207</v>
      </c>
      <c r="BX1656" s="1" t="s">
        <v>261</v>
      </c>
      <c r="BY1656" s="1" t="s">
        <v>1001</v>
      </c>
      <c r="BZ1656" s="1" t="s">
        <v>209</v>
      </c>
      <c r="CA1656" s="1" t="s">
        <v>210</v>
      </c>
      <c r="CB1656" s="1" t="s">
        <v>1549</v>
      </c>
      <c r="CC1656" s="1" t="s">
        <v>433</v>
      </c>
      <c r="CD1656" s="1" t="s">
        <v>206</v>
      </c>
      <c r="CE1656" s="1" t="s">
        <v>207</v>
      </c>
      <c r="CF1656" s="1" t="s">
        <v>261</v>
      </c>
      <c r="CG1656" s="1" t="s">
        <v>332</v>
      </c>
      <c r="CH1656" s="1" t="s">
        <v>206</v>
      </c>
      <c r="CI1656" s="1" t="s">
        <v>207</v>
      </c>
      <c r="CK1656" s="1" t="s">
        <v>332</v>
      </c>
      <c r="CL1656" s="1" t="s">
        <v>206</v>
      </c>
      <c r="CM1656" s="1" t="s">
        <v>207</v>
      </c>
      <c r="CN1656" s="1" t="s">
        <v>1549</v>
      </c>
      <c r="CO1656" s="1" t="s">
        <v>433</v>
      </c>
      <c r="CP1656" s="1" t="s">
        <v>209</v>
      </c>
      <c r="CQ1656" s="1" t="s">
        <v>210</v>
      </c>
      <c r="CR1656" s="1" t="s">
        <v>1549</v>
      </c>
      <c r="CS1656" s="1" t="s">
        <v>266</v>
      </c>
      <c r="CT1656" s="1" t="s">
        <v>206</v>
      </c>
      <c r="CU1656" s="1" t="s">
        <v>617</v>
      </c>
      <c r="CV1656" s="1" t="s">
        <v>261</v>
      </c>
      <c r="CX1656" s="1" t="s">
        <v>204</v>
      </c>
      <c r="DA1656" s="1" t="s">
        <v>200</v>
      </c>
      <c r="DC1656" s="1" t="s">
        <v>702</v>
      </c>
      <c r="DD1656" s="1" t="s">
        <v>396</v>
      </c>
      <c r="DE1656" s="1" t="s">
        <v>273</v>
      </c>
      <c r="DF1656" s="1" t="s">
        <v>219</v>
      </c>
      <c r="DG1656" s="1" t="s">
        <v>3175</v>
      </c>
      <c r="DH1656" s="1" t="s">
        <v>365</v>
      </c>
      <c r="DI1656" s="1" t="s">
        <v>16506</v>
      </c>
      <c r="DJ1656" s="1" t="s">
        <v>222</v>
      </c>
      <c r="DK1656" s="1" t="s">
        <v>223</v>
      </c>
      <c r="DL1656" s="1" t="s">
        <v>858</v>
      </c>
      <c r="DM1656" s="1" t="s">
        <v>225</v>
      </c>
      <c r="DO1656" s="1" t="s">
        <v>5346</v>
      </c>
      <c r="DP1656" s="1" t="s">
        <v>400</v>
      </c>
      <c r="DQ1656" s="1" t="s">
        <v>228</v>
      </c>
      <c r="DR1656" s="1" t="s">
        <v>229</v>
      </c>
      <c r="DS1656" s="1" t="s">
        <v>401</v>
      </c>
      <c r="DU1656" s="1" t="s">
        <v>12035</v>
      </c>
      <c r="DV1656" s="1" t="s">
        <v>16507</v>
      </c>
      <c r="DW1656" s="1" t="s">
        <v>279</v>
      </c>
      <c r="DX1656" s="1" t="s">
        <v>234</v>
      </c>
      <c r="DY1656" s="1" t="s">
        <v>1332</v>
      </c>
      <c r="DZ1656" s="1" t="s">
        <v>405</v>
      </c>
      <c r="EA1656" s="1" t="s">
        <v>1075</v>
      </c>
      <c r="EC1656" s="1" t="s">
        <v>645</v>
      </c>
      <c r="ED1656" s="1" t="s">
        <v>407</v>
      </c>
      <c r="EE1656" s="1" t="s">
        <v>187</v>
      </c>
      <c r="EG1656" s="1" t="s">
        <v>1102</v>
      </c>
      <c r="EH1656" s="1" t="s">
        <v>450</v>
      </c>
      <c r="EI1656" s="1" t="s">
        <v>1491</v>
      </c>
      <c r="EJ1656" s="1" t="s">
        <v>1270</v>
      </c>
      <c r="EL1656" s="1" t="s">
        <v>2224</v>
      </c>
      <c r="EM1656" s="1" t="s">
        <v>206</v>
      </c>
      <c r="EN1656" s="1" t="s">
        <v>207</v>
      </c>
      <c r="EO1656" s="1" t="s">
        <v>261</v>
      </c>
      <c r="EP1656" s="1" t="s">
        <v>331</v>
      </c>
      <c r="EQ1656" s="1" t="s">
        <v>42</v>
      </c>
      <c r="ER1656" s="1" t="s">
        <v>617</v>
      </c>
      <c r="ES1656" s="1" t="s">
        <v>476</v>
      </c>
      <c r="ET1656" s="1" t="s">
        <v>269</v>
      </c>
      <c r="EU1656" s="1" t="s">
        <v>42</v>
      </c>
      <c r="EV1656" s="1" t="s">
        <v>588</v>
      </c>
      <c r="EW1656" s="1" t="s">
        <v>229</v>
      </c>
      <c r="EX1656" s="1" t="s">
        <v>1746</v>
      </c>
      <c r="EY1656" s="1" t="s">
        <v>42</v>
      </c>
      <c r="EZ1656" s="1" t="s">
        <v>588</v>
      </c>
      <c r="FA1656" s="1" t="s">
        <v>229</v>
      </c>
      <c r="FC1656" s="1" t="s">
        <v>238</v>
      </c>
      <c r="FF1656" s="1" t="s">
        <v>239</v>
      </c>
      <c r="FG1656" s="1" t="s">
        <v>192</v>
      </c>
      <c r="FH1656" s="1" t="s">
        <v>192</v>
      </c>
      <c r="FJ1656" s="1" t="s">
        <v>4892</v>
      </c>
      <c r="FK1656" s="1" t="s">
        <v>229</v>
      </c>
      <c r="FL1656" s="1" t="s">
        <v>1358</v>
      </c>
      <c r="FM1656" s="1">
        <v>3970.0</v>
      </c>
      <c r="FN1656" s="1" t="s">
        <v>5118</v>
      </c>
      <c r="FO1656" s="1" t="s">
        <v>16508</v>
      </c>
      <c r="FP1656" s="1">
        <v>41208.0</v>
      </c>
      <c r="FQ1656" s="1" t="s">
        <v>16509</v>
      </c>
      <c r="FS1656" s="1" t="s">
        <v>16510</v>
      </c>
      <c r="FU1656" s="1" t="s">
        <v>16511</v>
      </c>
      <c r="FV1656" s="1" t="s">
        <v>200</v>
      </c>
      <c r="FW1656" s="1" t="s">
        <v>530</v>
      </c>
      <c r="FX1656" s="1" t="s">
        <v>238</v>
      </c>
      <c r="FZ1656" s="1" t="s">
        <v>229</v>
      </c>
      <c r="GA1656" s="1" t="s">
        <v>291</v>
      </c>
      <c r="GB1656" s="2">
        <v>41981.0</v>
      </c>
    </row>
    <row r="1657">
      <c r="A1657" s="1">
        <v>15000.0</v>
      </c>
      <c r="B1657" s="1" t="s">
        <v>185</v>
      </c>
      <c r="C1657" s="1" t="str">
        <f>"08683688"</f>
        <v>08683688</v>
      </c>
      <c r="D1657" s="1" t="s">
        <v>186</v>
      </c>
      <c r="F1657" s="1" t="str">
        <f>"8044"</f>
        <v>8044</v>
      </c>
      <c r="G1657" s="2">
        <v>41845.0</v>
      </c>
      <c r="H1657" s="1">
        <v>42500.0</v>
      </c>
      <c r="I1657" s="1">
        <v>204.0</v>
      </c>
      <c r="J1657" s="1">
        <v>15900.0</v>
      </c>
      <c r="K1657" s="2">
        <v>42048.0</v>
      </c>
      <c r="L1657" s="1">
        <v>204.0</v>
      </c>
      <c r="M1657" s="2">
        <v>42048.0</v>
      </c>
      <c r="N1657" s="1" t="s">
        <v>249</v>
      </c>
      <c r="O1657" s="2">
        <v>42087.0</v>
      </c>
      <c r="P1657" s="1">
        <v>225685.0</v>
      </c>
      <c r="Q1657" s="1">
        <v>51041.0</v>
      </c>
      <c r="S1657" s="1">
        <v>641.0</v>
      </c>
      <c r="T1657" s="1" t="s">
        <v>14489</v>
      </c>
      <c r="U1657" s="1" t="s">
        <v>694</v>
      </c>
      <c r="V1657" s="1" t="s">
        <v>190</v>
      </c>
      <c r="W1657" s="1">
        <v>60619.0</v>
      </c>
      <c r="Y1657" s="1" t="s">
        <v>16512</v>
      </c>
      <c r="Z1657" s="1">
        <v>1898.0</v>
      </c>
      <c r="AA1657" s="1" t="s">
        <v>192</v>
      </c>
      <c r="AB1657" s="1" t="s">
        <v>193</v>
      </c>
      <c r="AD1657" s="1" t="s">
        <v>194</v>
      </c>
      <c r="AE1657" s="1" t="s">
        <v>195</v>
      </c>
      <c r="AF1657" s="1" t="s">
        <v>637</v>
      </c>
      <c r="AH1657" s="1" t="s">
        <v>359</v>
      </c>
      <c r="AK1657" s="1">
        <v>7.0</v>
      </c>
      <c r="AL1657" s="1">
        <v>4.0</v>
      </c>
      <c r="AM1657" s="1">
        <v>1.0</v>
      </c>
      <c r="AN1657" s="1">
        <v>0.0</v>
      </c>
      <c r="AO1657" s="1" t="s">
        <v>229</v>
      </c>
      <c r="AP1657" s="1">
        <v>0.0</v>
      </c>
      <c r="AQ1657" s="1" t="s">
        <v>1314</v>
      </c>
      <c r="AR1657" s="1" t="s">
        <v>200</v>
      </c>
      <c r="AS1657" s="1" t="s">
        <v>199</v>
      </c>
      <c r="AT1657" s="1">
        <v>2.0</v>
      </c>
      <c r="AV1657" s="1" t="s">
        <v>200</v>
      </c>
      <c r="AW1657" s="1">
        <v>1850.0</v>
      </c>
      <c r="AX1657" s="1">
        <v>2012.0</v>
      </c>
      <c r="AZ1657" s="1" t="s">
        <v>200</v>
      </c>
      <c r="BA1657" s="1" t="str">
        <f>"25034150170000"</f>
        <v>25034150170000</v>
      </c>
      <c r="BB1657" s="1" t="s">
        <v>200</v>
      </c>
      <c r="BC1657" s="1">
        <v>945.0</v>
      </c>
      <c r="BD1657" s="1">
        <v>15000.0</v>
      </c>
      <c r="BE1657" s="2">
        <v>41845.0</v>
      </c>
      <c r="BF1657" s="2" t="s">
        <v>16513</v>
      </c>
      <c r="BH1657" s="1">
        <v>0.0</v>
      </c>
      <c r="BK1657" s="1" t="s">
        <v>204</v>
      </c>
      <c r="BL1657" s="1" t="str">
        <f t="shared" ref="BL1657:BL1658" si="1088">"0"</f>
        <v>0</v>
      </c>
      <c r="BM1657" s="1" t="str">
        <f>"641"</f>
        <v>641</v>
      </c>
      <c r="BN1657" s="1">
        <v>0.0</v>
      </c>
      <c r="BO1657" s="1">
        <v>9200.0</v>
      </c>
      <c r="BQ1657" s="1">
        <v>299.0</v>
      </c>
      <c r="BR1657" s="1">
        <v>299.0</v>
      </c>
      <c r="BS1657" s="1">
        <v>299.0</v>
      </c>
      <c r="BU1657" s="1" t="s">
        <v>302</v>
      </c>
      <c r="BV1657" s="1" t="s">
        <v>206</v>
      </c>
      <c r="BX1657" s="1" t="s">
        <v>229</v>
      </c>
      <c r="BY1657" s="1" t="s">
        <v>663</v>
      </c>
      <c r="BZ1657" s="1" t="s">
        <v>206</v>
      </c>
      <c r="CC1657" s="1" t="s">
        <v>303</v>
      </c>
      <c r="CD1657" s="1" t="s">
        <v>206</v>
      </c>
      <c r="CG1657" s="1" t="s">
        <v>1519</v>
      </c>
      <c r="CH1657" s="1" t="s">
        <v>209</v>
      </c>
      <c r="CK1657" s="1" t="s">
        <v>9108</v>
      </c>
      <c r="CL1657" s="1" t="s">
        <v>209</v>
      </c>
      <c r="CO1657" s="1" t="s">
        <v>478</v>
      </c>
      <c r="CP1657" s="1" t="s">
        <v>209</v>
      </c>
      <c r="CS1657" s="1" t="s">
        <v>302</v>
      </c>
      <c r="CT1657" s="1" t="s">
        <v>206</v>
      </c>
      <c r="CX1657" s="1" t="s">
        <v>204</v>
      </c>
      <c r="DA1657" s="1" t="s">
        <v>200</v>
      </c>
      <c r="DC1657" s="1" t="s">
        <v>642</v>
      </c>
      <c r="DE1657" s="1" t="s">
        <v>229</v>
      </c>
      <c r="DF1657" s="1" t="s">
        <v>219</v>
      </c>
      <c r="DH1657" s="1" t="s">
        <v>365</v>
      </c>
      <c r="DJ1657" s="1" t="s">
        <v>1379</v>
      </c>
      <c r="DL1657" s="1" t="s">
        <v>223</v>
      </c>
      <c r="DM1657" s="1" t="s">
        <v>229</v>
      </c>
      <c r="DQ1657" s="1" t="s">
        <v>228</v>
      </c>
      <c r="DR1657" s="1" t="s">
        <v>229</v>
      </c>
      <c r="DV1657" s="1" t="s">
        <v>232</v>
      </c>
      <c r="DW1657" s="1" t="s">
        <v>233</v>
      </c>
      <c r="DX1657" s="1" t="s">
        <v>234</v>
      </c>
      <c r="EC1657" s="1" t="s">
        <v>237</v>
      </c>
      <c r="ED1657" s="1" t="s">
        <v>1761</v>
      </c>
      <c r="EM1657" s="1" t="s">
        <v>238</v>
      </c>
      <c r="EQ1657" s="1" t="s">
        <v>238</v>
      </c>
      <c r="EU1657" s="1" t="s">
        <v>238</v>
      </c>
      <c r="EY1657" s="1" t="s">
        <v>238</v>
      </c>
      <c r="FC1657" s="1" t="s">
        <v>238</v>
      </c>
      <c r="FF1657" s="1" t="s">
        <v>239</v>
      </c>
      <c r="FG1657" s="1" t="s">
        <v>192</v>
      </c>
      <c r="FH1657" s="1" t="s">
        <v>192</v>
      </c>
      <c r="FJ1657" s="1" t="s">
        <v>4863</v>
      </c>
      <c r="FK1657" s="1" t="s">
        <v>229</v>
      </c>
      <c r="FL1657" s="1" t="s">
        <v>7557</v>
      </c>
      <c r="FM1657" s="1">
        <v>84495.0</v>
      </c>
      <c r="FN1657" s="1" t="s">
        <v>7558</v>
      </c>
      <c r="FO1657" s="1" t="s">
        <v>7559</v>
      </c>
      <c r="FP1657" s="1">
        <v>139484.0</v>
      </c>
      <c r="FQ1657" s="1" t="s">
        <v>7558</v>
      </c>
      <c r="FU1657" s="1" t="s">
        <v>16514</v>
      </c>
      <c r="FV1657" s="1" t="s">
        <v>192</v>
      </c>
      <c r="FW1657" s="1" t="s">
        <v>16515</v>
      </c>
      <c r="FX1657" s="1" t="s">
        <v>1739</v>
      </c>
      <c r="FZ1657" s="1" t="s">
        <v>229</v>
      </c>
      <c r="GA1657" s="1" t="s">
        <v>291</v>
      </c>
      <c r="GB1657" s="2">
        <v>42087.0</v>
      </c>
      <c r="GC1657" s="1" t="s">
        <v>16516</v>
      </c>
    </row>
    <row r="1658">
      <c r="A1658" s="1">
        <v>340000.0</v>
      </c>
      <c r="B1658" s="1" t="s">
        <v>185</v>
      </c>
      <c r="C1658" s="1" t="str">
        <f>"08687269"</f>
        <v>08687269</v>
      </c>
      <c r="D1658" s="1" t="s">
        <v>186</v>
      </c>
      <c r="F1658" s="1" t="str">
        <f>"554"</f>
        <v>554</v>
      </c>
      <c r="G1658" s="2">
        <v>41850.0</v>
      </c>
      <c r="H1658" s="1">
        <v>385000.0</v>
      </c>
      <c r="I1658" s="1">
        <v>180.0</v>
      </c>
      <c r="J1658" s="1">
        <v>350000.0</v>
      </c>
      <c r="K1658" s="2">
        <v>42029.0</v>
      </c>
      <c r="L1658" s="1">
        <v>180.0</v>
      </c>
      <c r="M1658" s="2">
        <v>42029.0</v>
      </c>
      <c r="N1658" s="1" t="s">
        <v>187</v>
      </c>
      <c r="O1658" s="2">
        <v>42072.0</v>
      </c>
      <c r="P1658" s="1">
        <v>213662.0</v>
      </c>
      <c r="Q1658" s="1">
        <v>25977.0</v>
      </c>
      <c r="S1658" s="1">
        <v>669.0</v>
      </c>
      <c r="T1658" s="1" t="s">
        <v>12955</v>
      </c>
      <c r="U1658" s="1" t="s">
        <v>420</v>
      </c>
      <c r="V1658" s="1" t="s">
        <v>2212</v>
      </c>
      <c r="W1658" s="1">
        <v>60554.0</v>
      </c>
      <c r="Y1658" s="1" t="s">
        <v>16517</v>
      </c>
      <c r="Z1658" s="1">
        <v>2000.0</v>
      </c>
      <c r="AA1658" s="1" t="s">
        <v>200</v>
      </c>
      <c r="AB1658" s="1" t="s">
        <v>193</v>
      </c>
      <c r="AC1658" s="1" t="s">
        <v>10791</v>
      </c>
      <c r="AD1658" s="1" t="s">
        <v>1887</v>
      </c>
      <c r="AE1658" s="1" t="s">
        <v>325</v>
      </c>
      <c r="AF1658" s="1" t="s">
        <v>1887</v>
      </c>
      <c r="AG1658" s="1" t="s">
        <v>752</v>
      </c>
      <c r="AH1658" s="1" t="s">
        <v>16518</v>
      </c>
      <c r="AK1658" s="1">
        <v>10.0</v>
      </c>
      <c r="AL1658" s="1">
        <v>4.0</v>
      </c>
      <c r="AM1658" s="1">
        <v>3.0</v>
      </c>
      <c r="AN1658" s="1">
        <v>0.0</v>
      </c>
      <c r="AO1658" s="1" t="s">
        <v>198</v>
      </c>
      <c r="AP1658" s="1">
        <v>1.0</v>
      </c>
      <c r="AQ1658" s="1" t="s">
        <v>198</v>
      </c>
      <c r="AR1658" s="1" t="s">
        <v>200</v>
      </c>
      <c r="AS1658" s="1" t="s">
        <v>199</v>
      </c>
      <c r="AT1658" s="1">
        <v>2.0</v>
      </c>
      <c r="AV1658" s="1" t="s">
        <v>200</v>
      </c>
      <c r="AW1658" s="1">
        <v>10645.0</v>
      </c>
      <c r="AX1658" s="1">
        <v>2013.0</v>
      </c>
      <c r="AY1658" s="1" t="s">
        <v>387</v>
      </c>
      <c r="AZ1658" s="1" t="s">
        <v>200</v>
      </c>
      <c r="BA1658" s="1" t="str">
        <f>"1410104017"</f>
        <v>1410104017</v>
      </c>
      <c r="BC1658" s="1">
        <v>3142.0</v>
      </c>
      <c r="BD1658" s="1">
        <v>340000.0</v>
      </c>
      <c r="BE1658" s="2">
        <v>41850.0</v>
      </c>
      <c r="BF1658" s="2" t="s">
        <v>16519</v>
      </c>
      <c r="BG1658" s="1" t="s">
        <v>1890</v>
      </c>
      <c r="BH1658" s="1">
        <v>350.0</v>
      </c>
      <c r="BI1658" s="1" t="s">
        <v>1635</v>
      </c>
      <c r="BJ1658" s="1" t="s">
        <v>1636</v>
      </c>
      <c r="BK1658" s="1" t="s">
        <v>580</v>
      </c>
      <c r="BL1658" s="1" t="str">
        <f t="shared" si="1088"/>
        <v>0</v>
      </c>
      <c r="BM1658" s="1" t="str">
        <f>"0"</f>
        <v>0</v>
      </c>
      <c r="BN1658" s="1">
        <v>41.0</v>
      </c>
      <c r="BO1658" s="1">
        <v>4.0</v>
      </c>
      <c r="BQ1658" s="1">
        <v>302.0</v>
      </c>
      <c r="BR1658" s="1">
        <v>302.0</v>
      </c>
      <c r="BS1658" s="1">
        <v>302.0</v>
      </c>
      <c r="BU1658" s="1" t="s">
        <v>454</v>
      </c>
      <c r="BV1658" s="1" t="s">
        <v>206</v>
      </c>
      <c r="BW1658" s="1" t="s">
        <v>210</v>
      </c>
      <c r="BX1658" s="1" t="s">
        <v>431</v>
      </c>
      <c r="BY1658" s="1" t="s">
        <v>924</v>
      </c>
      <c r="BZ1658" s="1" t="s">
        <v>209</v>
      </c>
      <c r="CA1658" s="1" t="s">
        <v>210</v>
      </c>
      <c r="CB1658" s="1" t="s">
        <v>431</v>
      </c>
      <c r="CC1658" s="1" t="s">
        <v>1064</v>
      </c>
      <c r="CD1658" s="1" t="s">
        <v>206</v>
      </c>
      <c r="CE1658" s="1" t="s">
        <v>207</v>
      </c>
      <c r="CF1658" s="1" t="s">
        <v>229</v>
      </c>
      <c r="CG1658" s="1" t="s">
        <v>215</v>
      </c>
      <c r="CH1658" s="1" t="s">
        <v>209</v>
      </c>
      <c r="CI1658" s="1" t="s">
        <v>210</v>
      </c>
      <c r="CJ1658" s="1" t="s">
        <v>431</v>
      </c>
      <c r="CK1658" s="1" t="s">
        <v>699</v>
      </c>
      <c r="CL1658" s="1" t="s">
        <v>209</v>
      </c>
      <c r="CM1658" s="1" t="s">
        <v>210</v>
      </c>
      <c r="CN1658" s="1" t="s">
        <v>431</v>
      </c>
      <c r="CO1658" s="1" t="s">
        <v>699</v>
      </c>
      <c r="CP1658" s="1" t="s">
        <v>209</v>
      </c>
      <c r="CQ1658" s="1" t="s">
        <v>210</v>
      </c>
      <c r="CR1658" s="1" t="s">
        <v>431</v>
      </c>
      <c r="CS1658" s="1" t="s">
        <v>454</v>
      </c>
      <c r="CT1658" s="1" t="s">
        <v>206</v>
      </c>
      <c r="CU1658" s="1" t="s">
        <v>207</v>
      </c>
      <c r="CV1658" s="1" t="s">
        <v>431</v>
      </c>
      <c r="CW1658" s="1" t="s">
        <v>1244</v>
      </c>
      <c r="CX1658" s="1" t="s">
        <v>206</v>
      </c>
      <c r="CY1658" s="1" t="s">
        <v>207</v>
      </c>
      <c r="CZ1658" s="1" t="s">
        <v>431</v>
      </c>
      <c r="DA1658" s="1" t="s">
        <v>200</v>
      </c>
      <c r="DC1658" s="1" t="s">
        <v>335</v>
      </c>
      <c r="DD1658" s="1" t="s">
        <v>5326</v>
      </c>
      <c r="DE1658" s="1" t="s">
        <v>273</v>
      </c>
      <c r="DF1658" s="1" t="s">
        <v>619</v>
      </c>
      <c r="DG1658" s="1" t="s">
        <v>16520</v>
      </c>
      <c r="DH1658" s="1" t="s">
        <v>220</v>
      </c>
      <c r="DI1658" s="1" t="s">
        <v>221</v>
      </c>
      <c r="DJ1658" s="1" t="s">
        <v>222</v>
      </c>
      <c r="DL1658" s="1" t="s">
        <v>223</v>
      </c>
      <c r="DM1658" s="1" t="s">
        <v>338</v>
      </c>
      <c r="DN1658" s="1" t="s">
        <v>1659</v>
      </c>
      <c r="DO1658" s="1" t="s">
        <v>440</v>
      </c>
      <c r="DP1658" s="1" t="s">
        <v>340</v>
      </c>
      <c r="DQ1658" s="1" t="s">
        <v>228</v>
      </c>
      <c r="DR1658" s="1" t="s">
        <v>1185</v>
      </c>
      <c r="DS1658" s="1" t="s">
        <v>401</v>
      </c>
      <c r="DV1658" s="1" t="s">
        <v>643</v>
      </c>
      <c r="DW1658" s="1" t="s">
        <v>1957</v>
      </c>
      <c r="DX1658" s="1" t="s">
        <v>234</v>
      </c>
      <c r="DY1658" s="1" t="s">
        <v>1211</v>
      </c>
      <c r="DZ1658" s="1" t="s">
        <v>310</v>
      </c>
      <c r="EB1658" s="1" t="s">
        <v>8532</v>
      </c>
      <c r="EC1658" s="1" t="s">
        <v>237</v>
      </c>
      <c r="ED1658" s="1" t="s">
        <v>407</v>
      </c>
      <c r="EG1658" s="1" t="s">
        <v>556</v>
      </c>
      <c r="EH1658" s="1" t="s">
        <v>598</v>
      </c>
      <c r="EL1658" s="1" t="s">
        <v>329</v>
      </c>
      <c r="EM1658" s="1" t="s">
        <v>206</v>
      </c>
      <c r="EN1658" s="1" t="s">
        <v>207</v>
      </c>
      <c r="EP1658" s="1" t="s">
        <v>361</v>
      </c>
      <c r="EQ1658" s="1" t="s">
        <v>206</v>
      </c>
      <c r="ER1658" s="1" t="s">
        <v>210</v>
      </c>
      <c r="ES1658" s="1" t="s">
        <v>431</v>
      </c>
      <c r="EU1658" s="1" t="s">
        <v>238</v>
      </c>
      <c r="EY1658" s="1" t="s">
        <v>238</v>
      </c>
      <c r="FC1658" s="1" t="s">
        <v>238</v>
      </c>
      <c r="FF1658" s="1" t="s">
        <v>239</v>
      </c>
      <c r="FG1658" s="1" t="s">
        <v>192</v>
      </c>
      <c r="FH1658" s="1" t="s">
        <v>192</v>
      </c>
      <c r="FJ1658" s="1" t="s">
        <v>4626</v>
      </c>
      <c r="FK1658" s="1" t="s">
        <v>229</v>
      </c>
      <c r="FL1658" s="1" t="s">
        <v>1007</v>
      </c>
      <c r="FM1658" s="1">
        <v>23286.0</v>
      </c>
      <c r="FN1658" s="1" t="s">
        <v>4221</v>
      </c>
      <c r="FO1658" s="1" t="s">
        <v>16521</v>
      </c>
      <c r="FP1658" s="1">
        <v>226940.0</v>
      </c>
      <c r="FQ1658" s="1" t="s">
        <v>16522</v>
      </c>
      <c r="FU1658" s="1" t="s">
        <v>16523</v>
      </c>
      <c r="FV1658" s="1" t="s">
        <v>200</v>
      </c>
      <c r="FW1658" s="1" t="s">
        <v>290</v>
      </c>
      <c r="FZ1658" s="1" t="s">
        <v>229</v>
      </c>
      <c r="GA1658" s="1" t="s">
        <v>291</v>
      </c>
      <c r="GB1658" s="2">
        <v>42073.0</v>
      </c>
    </row>
    <row r="1659">
      <c r="A1659" s="1">
        <v>210000.0</v>
      </c>
      <c r="B1659" s="1" t="s">
        <v>185</v>
      </c>
      <c r="C1659" s="1" t="str">
        <f>"08687232"</f>
        <v>08687232</v>
      </c>
      <c r="D1659" s="1" t="s">
        <v>186</v>
      </c>
      <c r="F1659" s="1" t="str">
        <f>"107"</f>
        <v>107</v>
      </c>
      <c r="G1659" s="2">
        <v>41850.0</v>
      </c>
      <c r="H1659" s="1">
        <v>229900.0</v>
      </c>
      <c r="I1659" s="1">
        <v>193.0</v>
      </c>
      <c r="J1659" s="1">
        <v>219900.0</v>
      </c>
      <c r="K1659" s="2">
        <v>42042.0</v>
      </c>
      <c r="L1659" s="1">
        <v>193.0</v>
      </c>
      <c r="M1659" s="2">
        <v>42042.0</v>
      </c>
      <c r="N1659" s="1" t="s">
        <v>356</v>
      </c>
      <c r="O1659" s="2">
        <v>42095.0</v>
      </c>
      <c r="P1659" s="1">
        <v>214983.0</v>
      </c>
      <c r="Q1659" s="1">
        <v>22996.0</v>
      </c>
      <c r="S1659" s="1">
        <v>90.0</v>
      </c>
      <c r="T1659" s="1" t="s">
        <v>16524</v>
      </c>
      <c r="U1659" s="1" t="s">
        <v>569</v>
      </c>
      <c r="V1659" s="1" t="s">
        <v>294</v>
      </c>
      <c r="W1659" s="1">
        <v>60107.0</v>
      </c>
      <c r="Y1659" s="1" t="s">
        <v>16525</v>
      </c>
      <c r="Z1659" s="1">
        <v>1992.0</v>
      </c>
      <c r="AA1659" s="1" t="s">
        <v>200</v>
      </c>
      <c r="AB1659" s="1" t="s">
        <v>193</v>
      </c>
      <c r="AC1659" s="1" t="s">
        <v>16526</v>
      </c>
      <c r="AD1659" s="1" t="s">
        <v>297</v>
      </c>
      <c r="AE1659" s="1" t="s">
        <v>195</v>
      </c>
      <c r="AF1659" s="1" t="s">
        <v>298</v>
      </c>
      <c r="AH1659" s="1" t="s">
        <v>16527</v>
      </c>
      <c r="AI1659" s="1">
        <v>0.19</v>
      </c>
      <c r="AK1659" s="1">
        <v>9.0</v>
      </c>
      <c r="AL1659" s="1">
        <v>4.0</v>
      </c>
      <c r="AM1659" s="1">
        <v>2.0</v>
      </c>
      <c r="AN1659" s="1">
        <v>1.0</v>
      </c>
      <c r="AO1659" s="1" t="s">
        <v>198</v>
      </c>
      <c r="AP1659" s="1">
        <v>0.0</v>
      </c>
      <c r="AQ1659" s="1" t="s">
        <v>1314</v>
      </c>
      <c r="AR1659" s="1" t="s">
        <v>200</v>
      </c>
      <c r="AS1659" s="1" t="s">
        <v>199</v>
      </c>
      <c r="AT1659" s="1">
        <v>2.0</v>
      </c>
      <c r="AV1659" s="1" t="s">
        <v>200</v>
      </c>
      <c r="AW1659" s="1">
        <v>6585.23</v>
      </c>
      <c r="AX1659" s="1">
        <v>2013.0</v>
      </c>
      <c r="AY1659" s="1" t="s">
        <v>387</v>
      </c>
      <c r="AZ1659" s="1" t="s">
        <v>200</v>
      </c>
      <c r="BA1659" s="1" t="str">
        <f>"06224140060000"</f>
        <v>06224140060000</v>
      </c>
      <c r="BC1659" s="1">
        <v>1789.0</v>
      </c>
      <c r="BD1659" s="1">
        <v>210000.0</v>
      </c>
      <c r="BE1659" s="2">
        <v>41850.0</v>
      </c>
      <c r="BF1659" s="2" t="s">
        <v>16528</v>
      </c>
      <c r="BG1659" s="1" t="s">
        <v>2746</v>
      </c>
      <c r="BH1659" s="1">
        <v>0.0</v>
      </c>
      <c r="BI1659" s="1" t="s">
        <v>756</v>
      </c>
      <c r="BJ1659" s="1" t="s">
        <v>757</v>
      </c>
      <c r="BK1659" s="1" t="s">
        <v>204</v>
      </c>
      <c r="BL1659" s="1" t="str">
        <f t="shared" ref="BL1659:BM1659" si="1089">""</f>
        <v/>
      </c>
      <c r="BM1659" s="1" t="str">
        <f t="shared" si="1089"/>
        <v/>
      </c>
      <c r="BQ1659" s="1">
        <v>46.0</v>
      </c>
      <c r="BR1659" s="1">
        <v>46.0</v>
      </c>
      <c r="BS1659" s="1">
        <v>46.0</v>
      </c>
      <c r="BU1659" s="1" t="s">
        <v>1426</v>
      </c>
      <c r="BV1659" s="1" t="s">
        <v>206</v>
      </c>
      <c r="BW1659" s="1" t="s">
        <v>207</v>
      </c>
      <c r="BX1659" s="1" t="s">
        <v>239</v>
      </c>
      <c r="BY1659" s="1" t="s">
        <v>784</v>
      </c>
      <c r="BZ1659" s="1" t="s">
        <v>209</v>
      </c>
      <c r="CA1659" s="1" t="s">
        <v>210</v>
      </c>
      <c r="CB1659" s="1" t="s">
        <v>239</v>
      </c>
      <c r="CC1659" s="1" t="s">
        <v>392</v>
      </c>
      <c r="CD1659" s="1" t="s">
        <v>206</v>
      </c>
      <c r="CE1659" s="1" t="s">
        <v>207</v>
      </c>
      <c r="CF1659" s="1" t="s">
        <v>239</v>
      </c>
      <c r="CG1659" s="1" t="s">
        <v>262</v>
      </c>
      <c r="CH1659" s="1" t="s">
        <v>209</v>
      </c>
      <c r="CI1659" s="1" t="s">
        <v>210</v>
      </c>
      <c r="CJ1659" s="1" t="s">
        <v>239</v>
      </c>
      <c r="CK1659" s="1" t="s">
        <v>392</v>
      </c>
      <c r="CL1659" s="1" t="s">
        <v>209</v>
      </c>
      <c r="CM1659" s="1" t="s">
        <v>210</v>
      </c>
      <c r="CN1659" s="1" t="s">
        <v>239</v>
      </c>
      <c r="CO1659" s="1" t="s">
        <v>264</v>
      </c>
      <c r="CP1659" s="1" t="s">
        <v>209</v>
      </c>
      <c r="CQ1659" s="1" t="s">
        <v>210</v>
      </c>
      <c r="CR1659" s="1" t="s">
        <v>239</v>
      </c>
      <c r="CS1659" s="1" t="s">
        <v>495</v>
      </c>
      <c r="CT1659" s="1" t="s">
        <v>206</v>
      </c>
      <c r="CU1659" s="1" t="s">
        <v>207</v>
      </c>
      <c r="CV1659" s="1" t="s">
        <v>239</v>
      </c>
      <c r="CW1659" s="1" t="s">
        <v>4387</v>
      </c>
      <c r="CX1659" s="1" t="s">
        <v>206</v>
      </c>
      <c r="CY1659" s="1" t="s">
        <v>207</v>
      </c>
      <c r="CZ1659" s="1" t="s">
        <v>239</v>
      </c>
      <c r="DA1659" s="1" t="s">
        <v>200</v>
      </c>
      <c r="DC1659" s="1" t="s">
        <v>435</v>
      </c>
      <c r="DD1659" s="1" t="s">
        <v>396</v>
      </c>
      <c r="DE1659" s="1" t="s">
        <v>273</v>
      </c>
      <c r="DF1659" s="1" t="s">
        <v>219</v>
      </c>
      <c r="DG1659" s="1" t="s">
        <v>1020</v>
      </c>
      <c r="DH1659" s="1" t="s">
        <v>220</v>
      </c>
      <c r="DI1659" s="1" t="s">
        <v>959</v>
      </c>
      <c r="DJ1659" s="1" t="s">
        <v>222</v>
      </c>
      <c r="DL1659" s="1" t="s">
        <v>223</v>
      </c>
      <c r="DM1659" s="1" t="s">
        <v>338</v>
      </c>
      <c r="DN1659" s="1" t="s">
        <v>399</v>
      </c>
      <c r="DP1659" s="1" t="s">
        <v>400</v>
      </c>
      <c r="DQ1659" s="1" t="s">
        <v>228</v>
      </c>
      <c r="DR1659" s="1" t="s">
        <v>229</v>
      </c>
      <c r="DU1659" s="1" t="s">
        <v>9153</v>
      </c>
      <c r="DV1659" s="1" t="s">
        <v>449</v>
      </c>
      <c r="DW1659" s="1" t="s">
        <v>233</v>
      </c>
      <c r="DX1659" s="1" t="s">
        <v>234</v>
      </c>
      <c r="DY1659" s="1" t="s">
        <v>235</v>
      </c>
      <c r="EC1659" s="1" t="s">
        <v>237</v>
      </c>
      <c r="ED1659" s="1" t="s">
        <v>407</v>
      </c>
      <c r="EE1659" s="1" t="s">
        <v>493</v>
      </c>
      <c r="EG1659" s="1" t="s">
        <v>449</v>
      </c>
      <c r="EL1659" s="1" t="s">
        <v>623</v>
      </c>
      <c r="EM1659" s="1" t="s">
        <v>206</v>
      </c>
      <c r="EN1659" s="1" t="s">
        <v>207</v>
      </c>
      <c r="EO1659" s="1" t="s">
        <v>239</v>
      </c>
      <c r="EQ1659" s="1" t="s">
        <v>238</v>
      </c>
      <c r="EU1659" s="1" t="s">
        <v>238</v>
      </c>
      <c r="EY1659" s="1" t="s">
        <v>238</v>
      </c>
      <c r="FC1659" s="1" t="s">
        <v>238</v>
      </c>
      <c r="FF1659" s="1" t="s">
        <v>239</v>
      </c>
      <c r="FG1659" s="1" t="s">
        <v>192</v>
      </c>
      <c r="FH1659" s="1" t="s">
        <v>192</v>
      </c>
      <c r="FJ1659" s="1" t="s">
        <v>1123</v>
      </c>
      <c r="FK1659" s="1" t="s">
        <v>229</v>
      </c>
      <c r="FL1659" s="1" t="s">
        <v>5530</v>
      </c>
      <c r="FM1659" s="1">
        <v>2648.0</v>
      </c>
      <c r="FN1659" s="1" t="s">
        <v>15918</v>
      </c>
      <c r="FO1659" s="1" t="s">
        <v>15919</v>
      </c>
      <c r="FP1659" s="1">
        <v>18093.0</v>
      </c>
      <c r="FQ1659" s="1" t="s">
        <v>15920</v>
      </c>
      <c r="FR1659" s="1">
        <v>18808.0</v>
      </c>
      <c r="FS1659" s="1" t="s">
        <v>16529</v>
      </c>
      <c r="FU1659" s="1" t="s">
        <v>16530</v>
      </c>
      <c r="FV1659" s="1" t="s">
        <v>200</v>
      </c>
      <c r="FW1659" s="1" t="s">
        <v>654</v>
      </c>
      <c r="FZ1659" s="1" t="s">
        <v>229</v>
      </c>
      <c r="GA1659" s="1" t="s">
        <v>291</v>
      </c>
      <c r="GB1659" s="2">
        <v>42096.0</v>
      </c>
      <c r="GC1659" s="1" t="s">
        <v>16531</v>
      </c>
    </row>
    <row r="1660">
      <c r="A1660" s="1">
        <v>375000.0</v>
      </c>
      <c r="B1660" s="1" t="s">
        <v>185</v>
      </c>
      <c r="C1660" s="1" t="str">
        <f>"08687485"</f>
        <v>08687485</v>
      </c>
      <c r="D1660" s="1" t="s">
        <v>186</v>
      </c>
      <c r="F1660" s="1" t="str">
        <f>"174"</f>
        <v>174</v>
      </c>
      <c r="G1660" s="2">
        <v>41850.0</v>
      </c>
      <c r="H1660" s="1">
        <v>389900.0</v>
      </c>
      <c r="I1660" s="1">
        <v>97.0</v>
      </c>
      <c r="J1660" s="1">
        <v>389900.0</v>
      </c>
      <c r="K1660" s="2">
        <v>41946.0</v>
      </c>
      <c r="L1660" s="1">
        <v>97.0</v>
      </c>
      <c r="M1660" s="2">
        <v>41946.0</v>
      </c>
      <c r="N1660" s="1" t="s">
        <v>187</v>
      </c>
      <c r="O1660" s="2">
        <v>41992.0</v>
      </c>
      <c r="P1660" s="1">
        <v>237643.0</v>
      </c>
      <c r="Q1660" s="1">
        <v>23591.0</v>
      </c>
      <c r="S1660" s="1" t="s">
        <v>16532</v>
      </c>
      <c r="T1660" s="1" t="s">
        <v>16533</v>
      </c>
      <c r="U1660" s="1" t="s">
        <v>464</v>
      </c>
      <c r="V1660" s="1" t="s">
        <v>1200</v>
      </c>
      <c r="W1660" s="1">
        <v>60175.0</v>
      </c>
      <c r="Y1660" s="1" t="s">
        <v>16534</v>
      </c>
      <c r="Z1660" s="1">
        <v>1994.0</v>
      </c>
      <c r="AA1660" s="1" t="s">
        <v>200</v>
      </c>
      <c r="AB1660" s="1" t="s">
        <v>193</v>
      </c>
      <c r="AC1660" s="1" t="s">
        <v>16533</v>
      </c>
      <c r="AD1660" s="1" t="s">
        <v>1089</v>
      </c>
      <c r="AE1660" s="1" t="s">
        <v>325</v>
      </c>
      <c r="AF1660" s="1" t="s">
        <v>1632</v>
      </c>
      <c r="AH1660" s="1" t="s">
        <v>16535</v>
      </c>
      <c r="AI1660" s="1">
        <v>0.96</v>
      </c>
      <c r="AK1660" s="1">
        <v>11.0</v>
      </c>
      <c r="AL1660" s="1">
        <v>4.0</v>
      </c>
      <c r="AM1660" s="1">
        <v>2.0</v>
      </c>
      <c r="AN1660" s="1">
        <v>1.0</v>
      </c>
      <c r="AO1660" s="1" t="s">
        <v>198</v>
      </c>
      <c r="AP1660" s="1">
        <v>1.0</v>
      </c>
      <c r="AQ1660" s="1" t="s">
        <v>198</v>
      </c>
      <c r="AR1660" s="1" t="s">
        <v>200</v>
      </c>
      <c r="AS1660" s="1" t="s">
        <v>199</v>
      </c>
      <c r="AT1660" s="1">
        <v>3.0</v>
      </c>
      <c r="AV1660" s="1" t="s">
        <v>200</v>
      </c>
      <c r="AW1660" s="1">
        <v>10069.0</v>
      </c>
      <c r="AX1660" s="1">
        <v>2013.0</v>
      </c>
      <c r="AY1660" s="1" t="s">
        <v>387</v>
      </c>
      <c r="AZ1660" s="1" t="s">
        <v>200</v>
      </c>
      <c r="BA1660" s="1" t="str">
        <f>"0824453001"</f>
        <v>0824453001</v>
      </c>
      <c r="BC1660" s="1">
        <v>2727.0</v>
      </c>
      <c r="BD1660" s="1">
        <v>375000.0</v>
      </c>
      <c r="BE1660" s="2">
        <v>41850.0</v>
      </c>
      <c r="BF1660" s="2" t="s">
        <v>16536</v>
      </c>
      <c r="BH1660" s="1">
        <v>450.0</v>
      </c>
      <c r="BK1660" s="1" t="s">
        <v>580</v>
      </c>
      <c r="BL1660" s="1" t="str">
        <f>"4"</f>
        <v>4</v>
      </c>
      <c r="BM1660" s="1" t="str">
        <f t="shared" ref="BM1660:BM1662" si="1090">"0"</f>
        <v>0</v>
      </c>
      <c r="BN1660" s="1">
        <v>39.0</v>
      </c>
      <c r="BO1660" s="1">
        <v>0.0</v>
      </c>
      <c r="BQ1660" s="1">
        <v>303.0</v>
      </c>
      <c r="BR1660" s="1">
        <v>303.0</v>
      </c>
      <c r="BS1660" s="1">
        <v>303.0</v>
      </c>
      <c r="BU1660" s="1" t="s">
        <v>393</v>
      </c>
      <c r="BV1660" s="1" t="s">
        <v>206</v>
      </c>
      <c r="BW1660" s="1" t="s">
        <v>210</v>
      </c>
      <c r="BY1660" s="1" t="s">
        <v>1117</v>
      </c>
      <c r="BZ1660" s="1" t="s">
        <v>209</v>
      </c>
      <c r="CA1660" s="1" t="s">
        <v>210</v>
      </c>
      <c r="CC1660" s="1" t="s">
        <v>454</v>
      </c>
      <c r="CD1660" s="1" t="s">
        <v>206</v>
      </c>
      <c r="CE1660" s="1" t="s">
        <v>210</v>
      </c>
      <c r="CG1660" s="1" t="s">
        <v>925</v>
      </c>
      <c r="CH1660" s="1" t="s">
        <v>209</v>
      </c>
      <c r="CI1660" s="1" t="s">
        <v>210</v>
      </c>
      <c r="CK1660" s="1" t="s">
        <v>2224</v>
      </c>
      <c r="CL1660" s="1" t="s">
        <v>209</v>
      </c>
      <c r="CM1660" s="1" t="s">
        <v>210</v>
      </c>
      <c r="CO1660" s="1" t="s">
        <v>215</v>
      </c>
      <c r="CP1660" s="1" t="s">
        <v>209</v>
      </c>
      <c r="CQ1660" s="1" t="s">
        <v>210</v>
      </c>
      <c r="CS1660" s="1" t="s">
        <v>639</v>
      </c>
      <c r="CT1660" s="1" t="s">
        <v>206</v>
      </c>
      <c r="CU1660" s="1" t="s">
        <v>207</v>
      </c>
      <c r="CW1660" s="1" t="s">
        <v>480</v>
      </c>
      <c r="CX1660" s="1" t="s">
        <v>206</v>
      </c>
      <c r="CY1660" s="1" t="s">
        <v>207</v>
      </c>
      <c r="DA1660" s="1" t="s">
        <v>200</v>
      </c>
      <c r="DC1660" s="1" t="s">
        <v>678</v>
      </c>
      <c r="DD1660" s="1" t="s">
        <v>336</v>
      </c>
      <c r="DE1660" s="1" t="s">
        <v>273</v>
      </c>
      <c r="DF1660" s="1" t="s">
        <v>219</v>
      </c>
      <c r="DH1660" s="1" t="s">
        <v>856</v>
      </c>
      <c r="DI1660" s="1" t="s">
        <v>308</v>
      </c>
      <c r="DJ1660" s="1" t="s">
        <v>857</v>
      </c>
      <c r="DL1660" s="1" t="s">
        <v>224</v>
      </c>
      <c r="DM1660" s="1" t="s">
        <v>338</v>
      </c>
      <c r="DN1660" s="1" t="s">
        <v>399</v>
      </c>
      <c r="DO1660" s="1" t="s">
        <v>486</v>
      </c>
      <c r="DP1660" s="1" t="s">
        <v>340</v>
      </c>
      <c r="DQ1660" s="1" t="s">
        <v>1557</v>
      </c>
      <c r="DR1660" s="1" t="s">
        <v>588</v>
      </c>
      <c r="DU1660" s="1" t="s">
        <v>1840</v>
      </c>
      <c r="DV1660" s="1" t="s">
        <v>2366</v>
      </c>
      <c r="DW1660" s="1" t="s">
        <v>964</v>
      </c>
      <c r="DX1660" s="1" t="s">
        <v>234</v>
      </c>
      <c r="DY1660" s="1" t="s">
        <v>1051</v>
      </c>
      <c r="DZ1660" s="1" t="s">
        <v>7250</v>
      </c>
      <c r="EC1660" s="1" t="s">
        <v>237</v>
      </c>
      <c r="ED1660" s="1" t="s">
        <v>407</v>
      </c>
      <c r="EG1660" s="1" t="s">
        <v>494</v>
      </c>
      <c r="EH1660" s="1" t="s">
        <v>598</v>
      </c>
      <c r="EI1660" s="1" t="s">
        <v>450</v>
      </c>
      <c r="EL1660" s="1" t="s">
        <v>497</v>
      </c>
      <c r="EM1660" s="1" t="s">
        <v>206</v>
      </c>
      <c r="EN1660" s="1" t="s">
        <v>210</v>
      </c>
      <c r="EP1660" s="1" t="s">
        <v>1395</v>
      </c>
      <c r="EQ1660" s="1" t="s">
        <v>42</v>
      </c>
      <c r="ER1660" s="1" t="s">
        <v>588</v>
      </c>
      <c r="ET1660" s="1" t="s">
        <v>205</v>
      </c>
      <c r="EU1660" s="1" t="s">
        <v>42</v>
      </c>
      <c r="EV1660" s="1" t="s">
        <v>588</v>
      </c>
      <c r="EY1660" s="1" t="s">
        <v>238</v>
      </c>
      <c r="FC1660" s="1" t="s">
        <v>238</v>
      </c>
      <c r="FF1660" s="1" t="s">
        <v>239</v>
      </c>
      <c r="FG1660" s="1" t="s">
        <v>192</v>
      </c>
      <c r="FH1660" s="1" t="s">
        <v>192</v>
      </c>
      <c r="FJ1660" s="1" t="s">
        <v>2206</v>
      </c>
      <c r="FK1660" s="1" t="s">
        <v>229</v>
      </c>
      <c r="FL1660" s="1" t="s">
        <v>1212</v>
      </c>
      <c r="FM1660" s="1">
        <v>30.0</v>
      </c>
      <c r="FN1660" s="1" t="s">
        <v>1213</v>
      </c>
      <c r="FO1660" s="1" t="s">
        <v>8470</v>
      </c>
      <c r="FP1660" s="1">
        <v>497.0</v>
      </c>
      <c r="FQ1660" s="1" t="s">
        <v>8471</v>
      </c>
      <c r="FR1660" s="1">
        <v>8177.0</v>
      </c>
      <c r="FS1660" s="1">
        <v>8177.0</v>
      </c>
      <c r="FU1660" s="1" t="s">
        <v>10211</v>
      </c>
      <c r="FV1660" s="1" t="s">
        <v>200</v>
      </c>
      <c r="FW1660" s="1" t="s">
        <v>290</v>
      </c>
      <c r="FZ1660" s="1" t="s">
        <v>229</v>
      </c>
      <c r="GA1660" s="1" t="s">
        <v>291</v>
      </c>
      <c r="GB1660" s="2">
        <v>41992.0</v>
      </c>
    </row>
    <row r="1661">
      <c r="A1661" s="1">
        <v>230000.0</v>
      </c>
      <c r="B1661" s="1" t="s">
        <v>185</v>
      </c>
      <c r="C1661" s="1" t="str">
        <f>"08691100"</f>
        <v>08691100</v>
      </c>
      <c r="D1661" s="1" t="s">
        <v>186</v>
      </c>
      <c r="F1661" s="1" t="str">
        <f>"140"</f>
        <v>140</v>
      </c>
      <c r="G1661" s="2">
        <v>41854.0</v>
      </c>
      <c r="H1661" s="1">
        <v>279900.0</v>
      </c>
      <c r="I1661" s="1">
        <v>185.0</v>
      </c>
      <c r="J1661" s="1">
        <v>239000.0</v>
      </c>
      <c r="K1661" s="2">
        <v>42038.0</v>
      </c>
      <c r="L1661" s="1">
        <v>185.0</v>
      </c>
      <c r="M1661" s="2">
        <v>42038.0</v>
      </c>
      <c r="N1661" s="1" t="s">
        <v>187</v>
      </c>
      <c r="O1661" s="2">
        <v>42062.0</v>
      </c>
      <c r="P1661" s="1">
        <v>52941.0</v>
      </c>
      <c r="Q1661" s="1">
        <v>5530.0</v>
      </c>
      <c r="S1661" s="1">
        <v>1104.0</v>
      </c>
      <c r="T1661" s="1" t="s">
        <v>16537</v>
      </c>
      <c r="U1661" s="1" t="s">
        <v>464</v>
      </c>
      <c r="V1661" s="1" t="s">
        <v>321</v>
      </c>
      <c r="W1661" s="1">
        <v>60140.0</v>
      </c>
      <c r="Y1661" s="1" t="s">
        <v>16538</v>
      </c>
      <c r="Z1661" s="1">
        <v>2001.0</v>
      </c>
      <c r="AA1661" s="1" t="s">
        <v>200</v>
      </c>
      <c r="AB1661" s="1" t="s">
        <v>193</v>
      </c>
      <c r="AC1661" s="1" t="s">
        <v>16539</v>
      </c>
      <c r="AD1661" s="1" t="s">
        <v>324</v>
      </c>
      <c r="AE1661" s="1" t="s">
        <v>325</v>
      </c>
      <c r="AF1661" s="1" t="s">
        <v>324</v>
      </c>
      <c r="AH1661" s="1" t="s">
        <v>16540</v>
      </c>
      <c r="AK1661" s="1">
        <v>11.0</v>
      </c>
      <c r="AL1661" s="1">
        <v>4.0</v>
      </c>
      <c r="AM1661" s="1">
        <v>3.0</v>
      </c>
      <c r="AN1661" s="1">
        <v>1.0</v>
      </c>
      <c r="AO1661" s="1" t="s">
        <v>198</v>
      </c>
      <c r="AP1661" s="1">
        <v>1.0</v>
      </c>
      <c r="AQ1661" s="1" t="s">
        <v>472</v>
      </c>
      <c r="AR1661" s="1" t="s">
        <v>192</v>
      </c>
      <c r="AS1661" s="1" t="s">
        <v>199</v>
      </c>
      <c r="AT1661" s="1">
        <v>3.0</v>
      </c>
      <c r="AV1661" s="1" t="s">
        <v>200</v>
      </c>
      <c r="AW1661" s="1">
        <v>8186.0</v>
      </c>
      <c r="AX1661" s="1">
        <v>2012.0</v>
      </c>
      <c r="AY1661" s="1" t="s">
        <v>229</v>
      </c>
      <c r="AZ1661" s="1" t="s">
        <v>200</v>
      </c>
      <c r="BA1661" s="1" t="str">
        <f>"0127302003"</f>
        <v>0127302003</v>
      </c>
      <c r="BB1661" s="1" t="s">
        <v>200</v>
      </c>
      <c r="BC1661" s="1">
        <v>2280.0</v>
      </c>
      <c r="BD1661" s="1">
        <v>230000.0</v>
      </c>
      <c r="BE1661" s="2">
        <v>41854.0</v>
      </c>
      <c r="BF1661" s="2" t="s">
        <v>16541</v>
      </c>
      <c r="BG1661" s="1" t="s">
        <v>7518</v>
      </c>
      <c r="BH1661" s="1">
        <v>0.0</v>
      </c>
      <c r="BI1661" s="1" t="s">
        <v>5040</v>
      </c>
      <c r="BJ1661" s="1" t="s">
        <v>1182</v>
      </c>
      <c r="BK1661" s="1" t="s">
        <v>204</v>
      </c>
      <c r="BL1661" s="1" t="str">
        <f>"14"</f>
        <v>14</v>
      </c>
      <c r="BM1661" s="1" t="str">
        <f t="shared" si="1090"/>
        <v>0</v>
      </c>
      <c r="BN1661" s="1">
        <v>47.0</v>
      </c>
      <c r="BO1661" s="1">
        <v>0.0</v>
      </c>
      <c r="BQ1661" s="1">
        <v>300.0</v>
      </c>
      <c r="BR1661" s="1">
        <v>300.0</v>
      </c>
      <c r="BS1661" s="1">
        <v>300.0</v>
      </c>
      <c r="BU1661" s="1" t="s">
        <v>393</v>
      </c>
      <c r="BV1661" s="1" t="s">
        <v>206</v>
      </c>
      <c r="BW1661" s="1" t="s">
        <v>210</v>
      </c>
      <c r="BY1661" s="1" t="s">
        <v>758</v>
      </c>
      <c r="BZ1661" s="1" t="s">
        <v>209</v>
      </c>
      <c r="CA1661" s="1" t="s">
        <v>210</v>
      </c>
      <c r="CC1661" s="1" t="s">
        <v>264</v>
      </c>
      <c r="CD1661" s="1" t="s">
        <v>206</v>
      </c>
      <c r="CE1661" s="1" t="s">
        <v>210</v>
      </c>
      <c r="CG1661" s="1" t="s">
        <v>390</v>
      </c>
      <c r="CH1661" s="1" t="s">
        <v>209</v>
      </c>
      <c r="CI1661" s="1" t="s">
        <v>210</v>
      </c>
      <c r="CK1661" s="1" t="s">
        <v>329</v>
      </c>
      <c r="CL1661" s="1" t="s">
        <v>209</v>
      </c>
      <c r="CM1661" s="1" t="s">
        <v>210</v>
      </c>
      <c r="CO1661" s="1" t="s">
        <v>497</v>
      </c>
      <c r="CP1661" s="1" t="s">
        <v>209</v>
      </c>
      <c r="CQ1661" s="1" t="s">
        <v>210</v>
      </c>
      <c r="CS1661" s="1" t="s">
        <v>664</v>
      </c>
      <c r="CT1661" s="1" t="s">
        <v>206</v>
      </c>
      <c r="CU1661" s="1" t="s">
        <v>207</v>
      </c>
      <c r="CW1661" s="1" t="s">
        <v>743</v>
      </c>
      <c r="CX1661" s="1" t="s">
        <v>206</v>
      </c>
      <c r="CY1661" s="1" t="s">
        <v>210</v>
      </c>
      <c r="DA1661" s="1" t="s">
        <v>200</v>
      </c>
      <c r="DC1661" s="1" t="s">
        <v>335</v>
      </c>
      <c r="DD1661" s="1" t="s">
        <v>1838</v>
      </c>
      <c r="DE1661" s="1" t="s">
        <v>273</v>
      </c>
      <c r="DF1661" s="1" t="s">
        <v>219</v>
      </c>
      <c r="DG1661" s="1" t="s">
        <v>1400</v>
      </c>
      <c r="DH1661" s="1" t="s">
        <v>220</v>
      </c>
      <c r="DI1661" s="1" t="s">
        <v>1003</v>
      </c>
      <c r="DJ1661" s="1" t="s">
        <v>222</v>
      </c>
      <c r="DK1661" s="1" t="s">
        <v>1301</v>
      </c>
      <c r="DL1661" s="1" t="s">
        <v>986</v>
      </c>
      <c r="DM1661" s="1" t="s">
        <v>338</v>
      </c>
      <c r="DN1661" s="1" t="s">
        <v>399</v>
      </c>
      <c r="DP1661" s="1" t="s">
        <v>340</v>
      </c>
      <c r="DQ1661" s="1" t="s">
        <v>441</v>
      </c>
      <c r="DR1661" s="1" t="s">
        <v>229</v>
      </c>
      <c r="DS1661" s="1" t="s">
        <v>230</v>
      </c>
      <c r="DU1661" s="1" t="s">
        <v>1226</v>
      </c>
      <c r="DV1661" s="1" t="s">
        <v>6295</v>
      </c>
      <c r="DW1661" s="1" t="s">
        <v>370</v>
      </c>
      <c r="DX1661" s="1" t="s">
        <v>234</v>
      </c>
      <c r="DY1661" s="1" t="s">
        <v>235</v>
      </c>
      <c r="DZ1661" s="1" t="s">
        <v>16542</v>
      </c>
      <c r="EA1661" s="1" t="s">
        <v>344</v>
      </c>
      <c r="EB1661" s="1" t="s">
        <v>2915</v>
      </c>
      <c r="EC1661" s="1" t="s">
        <v>237</v>
      </c>
      <c r="ED1661" s="1" t="s">
        <v>555</v>
      </c>
      <c r="EG1661" s="1" t="s">
        <v>449</v>
      </c>
      <c r="EH1661" s="1" t="s">
        <v>450</v>
      </c>
      <c r="EI1661" s="1" t="s">
        <v>1491</v>
      </c>
      <c r="EL1661" s="1" t="s">
        <v>664</v>
      </c>
      <c r="EM1661" s="1" t="s">
        <v>206</v>
      </c>
      <c r="EN1661" s="1" t="s">
        <v>207</v>
      </c>
      <c r="EP1661" s="1" t="s">
        <v>214</v>
      </c>
      <c r="EQ1661" s="1" t="s">
        <v>267</v>
      </c>
      <c r="ER1661" s="1" t="s">
        <v>210</v>
      </c>
      <c r="ET1661" s="1" t="s">
        <v>783</v>
      </c>
      <c r="EU1661" s="1" t="s">
        <v>267</v>
      </c>
      <c r="EV1661" s="1" t="s">
        <v>588</v>
      </c>
      <c r="EY1661" s="1" t="s">
        <v>238</v>
      </c>
      <c r="FC1661" s="1" t="s">
        <v>238</v>
      </c>
      <c r="FF1661" s="1" t="s">
        <v>239</v>
      </c>
      <c r="FG1661" s="1" t="s">
        <v>192</v>
      </c>
      <c r="FH1661" s="1" t="s">
        <v>192</v>
      </c>
      <c r="FJ1661" s="1" t="s">
        <v>498</v>
      </c>
      <c r="FK1661" s="1" t="s">
        <v>229</v>
      </c>
      <c r="FL1661" s="1" t="s">
        <v>6233</v>
      </c>
      <c r="FM1661" s="1">
        <v>7630.0</v>
      </c>
      <c r="FN1661" s="1" t="s">
        <v>6234</v>
      </c>
      <c r="FO1661" s="1" t="s">
        <v>16543</v>
      </c>
      <c r="FP1661" s="1">
        <v>7757.0</v>
      </c>
      <c r="FQ1661" s="1" t="s">
        <v>16544</v>
      </c>
      <c r="FU1661" s="1" t="s">
        <v>16545</v>
      </c>
      <c r="FV1661" s="1" t="s">
        <v>200</v>
      </c>
      <c r="FW1661" s="1" t="s">
        <v>530</v>
      </c>
      <c r="FZ1661" s="1" t="s">
        <v>229</v>
      </c>
      <c r="GA1661" s="1" t="s">
        <v>291</v>
      </c>
      <c r="GB1661" s="2">
        <v>42062.0</v>
      </c>
      <c r="GC1661" s="1" t="s">
        <v>16546</v>
      </c>
    </row>
    <row r="1662">
      <c r="A1662" s="1">
        <v>247000.0</v>
      </c>
      <c r="B1662" s="1" t="s">
        <v>185</v>
      </c>
      <c r="C1662" s="1" t="str">
        <f>"08689364"</f>
        <v>08689364</v>
      </c>
      <c r="D1662" s="1" t="s">
        <v>186</v>
      </c>
      <c r="F1662" s="1" t="str">
        <f>"8017"</f>
        <v>8017</v>
      </c>
      <c r="G1662" s="2">
        <v>41852.0</v>
      </c>
      <c r="H1662" s="1">
        <v>264900.0</v>
      </c>
      <c r="I1662" s="1">
        <v>115.0</v>
      </c>
      <c r="J1662" s="1">
        <v>259900.0</v>
      </c>
      <c r="K1662" s="2">
        <v>41966.0</v>
      </c>
      <c r="L1662" s="1">
        <v>115.0</v>
      </c>
      <c r="M1662" s="2">
        <v>41966.0</v>
      </c>
      <c r="N1662" s="1" t="s">
        <v>187</v>
      </c>
      <c r="O1662" s="2">
        <v>42020.0</v>
      </c>
      <c r="P1662" s="1">
        <v>101406.0</v>
      </c>
      <c r="Q1662" s="1">
        <v>16390.0</v>
      </c>
      <c r="R1662" s="1">
        <v>7000.0</v>
      </c>
      <c r="S1662" s="1">
        <v>6115.0</v>
      </c>
      <c r="T1662" s="1" t="s">
        <v>16547</v>
      </c>
      <c r="U1662" s="1" t="s">
        <v>320</v>
      </c>
      <c r="V1662" s="1" t="s">
        <v>190</v>
      </c>
      <c r="W1662" s="1">
        <v>60634.0</v>
      </c>
      <c r="Y1662" s="1" t="s">
        <v>16548</v>
      </c>
      <c r="Z1662" s="1">
        <v>1919.0</v>
      </c>
      <c r="AA1662" s="1" t="s">
        <v>192</v>
      </c>
      <c r="AB1662" s="1" t="s">
        <v>193</v>
      </c>
      <c r="AD1662" s="1" t="s">
        <v>194</v>
      </c>
      <c r="AE1662" s="1" t="s">
        <v>195</v>
      </c>
      <c r="AF1662" s="1" t="s">
        <v>196</v>
      </c>
      <c r="AH1662" s="1" t="s">
        <v>16549</v>
      </c>
      <c r="AK1662" s="1">
        <v>9.0</v>
      </c>
      <c r="AL1662" s="1">
        <v>4.0</v>
      </c>
      <c r="AM1662" s="1">
        <v>2.0</v>
      </c>
      <c r="AN1662" s="1">
        <v>0.0</v>
      </c>
      <c r="AO1662" s="1" t="s">
        <v>229</v>
      </c>
      <c r="AQ1662" s="1" t="s">
        <v>198</v>
      </c>
      <c r="AR1662" s="1" t="s">
        <v>192</v>
      </c>
      <c r="AS1662" s="1" t="s">
        <v>199</v>
      </c>
      <c r="AT1662" s="1">
        <v>2.0</v>
      </c>
      <c r="AV1662" s="1" t="s">
        <v>200</v>
      </c>
      <c r="AW1662" s="1">
        <v>3343.45</v>
      </c>
      <c r="AX1662" s="1">
        <v>2012.0</v>
      </c>
      <c r="AY1662" s="1" t="s">
        <v>387</v>
      </c>
      <c r="AZ1662" s="1" t="s">
        <v>200</v>
      </c>
      <c r="BA1662" s="1" t="str">
        <f>"13201070140000"</f>
        <v>13201070140000</v>
      </c>
      <c r="BC1662" s="1">
        <v>0.0</v>
      </c>
      <c r="BD1662" s="1">
        <v>247000.0</v>
      </c>
      <c r="BE1662" s="2">
        <v>41852.0</v>
      </c>
      <c r="BF1662" s="2" t="s">
        <v>16550</v>
      </c>
      <c r="BH1662" s="1">
        <v>0.0</v>
      </c>
      <c r="BK1662" s="1" t="s">
        <v>204</v>
      </c>
      <c r="BL1662" s="1" t="str">
        <f>"3900"</f>
        <v>3900</v>
      </c>
      <c r="BM1662" s="1" t="str">
        <f t="shared" si="1090"/>
        <v>0</v>
      </c>
      <c r="BN1662" s="1">
        <v>6115.0</v>
      </c>
      <c r="BO1662" s="1">
        <v>0.0</v>
      </c>
      <c r="BQ1662" s="1">
        <v>299.0</v>
      </c>
      <c r="BR1662" s="1">
        <v>299.0</v>
      </c>
      <c r="BS1662" s="1">
        <v>299.0</v>
      </c>
      <c r="BU1662" s="1" t="s">
        <v>213</v>
      </c>
      <c r="BV1662" s="1" t="s">
        <v>206</v>
      </c>
      <c r="BW1662" s="1" t="s">
        <v>207</v>
      </c>
      <c r="BY1662" s="1" t="s">
        <v>647</v>
      </c>
      <c r="BZ1662" s="1" t="s">
        <v>206</v>
      </c>
      <c r="CA1662" s="1" t="s">
        <v>207</v>
      </c>
      <c r="CC1662" s="1" t="s">
        <v>329</v>
      </c>
      <c r="CD1662" s="1" t="s">
        <v>206</v>
      </c>
      <c r="CE1662" s="1" t="s">
        <v>207</v>
      </c>
      <c r="CG1662" s="1" t="s">
        <v>495</v>
      </c>
      <c r="CH1662" s="1" t="s">
        <v>206</v>
      </c>
      <c r="CI1662" s="1" t="s">
        <v>207</v>
      </c>
      <c r="CK1662" s="1" t="s">
        <v>1417</v>
      </c>
      <c r="CL1662" s="1" t="s">
        <v>209</v>
      </c>
      <c r="CM1662" s="1" t="s">
        <v>210</v>
      </c>
      <c r="CO1662" s="1" t="s">
        <v>478</v>
      </c>
      <c r="CP1662" s="1" t="s">
        <v>209</v>
      </c>
      <c r="CQ1662" s="1" t="s">
        <v>210</v>
      </c>
      <c r="CS1662" s="1" t="s">
        <v>212</v>
      </c>
      <c r="CT1662" s="1" t="s">
        <v>206</v>
      </c>
      <c r="CW1662" s="1" t="s">
        <v>1468</v>
      </c>
      <c r="CX1662" s="1" t="s">
        <v>42</v>
      </c>
      <c r="CY1662" s="1" t="s">
        <v>617</v>
      </c>
      <c r="DA1662" s="1" t="s">
        <v>200</v>
      </c>
      <c r="DC1662" s="1" t="s">
        <v>216</v>
      </c>
      <c r="DD1662" s="1" t="s">
        <v>518</v>
      </c>
      <c r="DE1662" s="1" t="s">
        <v>273</v>
      </c>
      <c r="DF1662" s="1" t="s">
        <v>905</v>
      </c>
      <c r="DH1662" s="1" t="s">
        <v>365</v>
      </c>
      <c r="DJ1662" s="1" t="s">
        <v>222</v>
      </c>
      <c r="DL1662" s="1" t="s">
        <v>858</v>
      </c>
      <c r="DM1662" s="1" t="s">
        <v>229</v>
      </c>
      <c r="DP1662" s="1" t="s">
        <v>340</v>
      </c>
      <c r="DQ1662" s="1" t="s">
        <v>718</v>
      </c>
      <c r="DR1662" s="1" t="s">
        <v>229</v>
      </c>
      <c r="DS1662" s="1" t="s">
        <v>230</v>
      </c>
      <c r="DV1662" s="1" t="s">
        <v>16551</v>
      </c>
      <c r="DW1662" s="1" t="s">
        <v>279</v>
      </c>
      <c r="DX1662" s="1" t="s">
        <v>234</v>
      </c>
      <c r="EA1662" s="1" t="s">
        <v>644</v>
      </c>
      <c r="EC1662" s="1" t="s">
        <v>645</v>
      </c>
      <c r="EE1662" s="1" t="s">
        <v>187</v>
      </c>
      <c r="EG1662" s="1" t="s">
        <v>374</v>
      </c>
      <c r="EH1662" s="1" t="s">
        <v>720</v>
      </c>
      <c r="EI1662" s="1" t="s">
        <v>494</v>
      </c>
      <c r="EL1662" s="1" t="s">
        <v>497</v>
      </c>
      <c r="EM1662" s="1" t="s">
        <v>206</v>
      </c>
      <c r="EP1662" s="1" t="s">
        <v>2335</v>
      </c>
      <c r="EQ1662" s="1" t="s">
        <v>206</v>
      </c>
      <c r="ET1662" s="1" t="s">
        <v>543</v>
      </c>
      <c r="EU1662" s="1" t="s">
        <v>42</v>
      </c>
      <c r="EY1662" s="1" t="s">
        <v>238</v>
      </c>
      <c r="FC1662" s="1" t="s">
        <v>238</v>
      </c>
      <c r="FF1662" s="1" t="s">
        <v>239</v>
      </c>
      <c r="FG1662" s="1" t="s">
        <v>192</v>
      </c>
      <c r="FH1662" s="1" t="s">
        <v>192</v>
      </c>
      <c r="FJ1662" s="1" t="s">
        <v>2552</v>
      </c>
      <c r="FK1662" s="1" t="s">
        <v>229</v>
      </c>
      <c r="FL1662" s="1" t="s">
        <v>8947</v>
      </c>
      <c r="FM1662" s="1">
        <v>8428.0</v>
      </c>
      <c r="FN1662" s="1" t="s">
        <v>8948</v>
      </c>
      <c r="FO1662" s="1" t="s">
        <v>8949</v>
      </c>
      <c r="FP1662" s="1">
        <v>84180.0</v>
      </c>
      <c r="FQ1662" s="1" t="s">
        <v>8948</v>
      </c>
      <c r="FU1662" s="1" t="s">
        <v>11464</v>
      </c>
      <c r="FV1662" s="1" t="s">
        <v>200</v>
      </c>
      <c r="FW1662" s="1" t="s">
        <v>4583</v>
      </c>
      <c r="FX1662" s="1" t="s">
        <v>246</v>
      </c>
      <c r="FZ1662" s="1" t="s">
        <v>229</v>
      </c>
      <c r="GA1662" s="1" t="s">
        <v>291</v>
      </c>
      <c r="GB1662" s="2">
        <v>42020.0</v>
      </c>
    </row>
    <row r="1663">
      <c r="A1663" s="1">
        <v>110000.0</v>
      </c>
      <c r="B1663" s="1" t="s">
        <v>185</v>
      </c>
      <c r="C1663" s="1" t="str">
        <f>"08686229"</f>
        <v>08686229</v>
      </c>
      <c r="D1663" s="1" t="s">
        <v>186</v>
      </c>
      <c r="F1663" s="1" t="str">
        <f>"8066"</f>
        <v>8066</v>
      </c>
      <c r="G1663" s="2">
        <v>41849.0</v>
      </c>
      <c r="H1663" s="1">
        <v>119000.0</v>
      </c>
      <c r="I1663" s="1">
        <v>23.0</v>
      </c>
      <c r="J1663" s="1">
        <v>119000.0</v>
      </c>
      <c r="K1663" s="2">
        <v>41871.0</v>
      </c>
      <c r="L1663" s="1">
        <v>23.0</v>
      </c>
      <c r="M1663" s="2">
        <v>41871.0</v>
      </c>
      <c r="N1663" s="1" t="s">
        <v>187</v>
      </c>
      <c r="O1663" s="2">
        <v>42053.0</v>
      </c>
      <c r="P1663" s="1">
        <v>135711.0</v>
      </c>
      <c r="Q1663" s="1">
        <v>12555.0</v>
      </c>
      <c r="S1663" s="1">
        <v>6206.0</v>
      </c>
      <c r="T1663" s="1" t="s">
        <v>11751</v>
      </c>
      <c r="U1663" s="1" t="s">
        <v>320</v>
      </c>
      <c r="V1663" s="1" t="s">
        <v>190</v>
      </c>
      <c r="W1663" s="1">
        <v>60629.0</v>
      </c>
      <c r="Y1663" s="1" t="s">
        <v>16552</v>
      </c>
      <c r="Z1663" s="1">
        <v>1943.0</v>
      </c>
      <c r="AA1663" s="1" t="s">
        <v>192</v>
      </c>
      <c r="AB1663" s="1" t="s">
        <v>193</v>
      </c>
      <c r="AD1663" s="1" t="s">
        <v>194</v>
      </c>
      <c r="AE1663" s="1" t="s">
        <v>195</v>
      </c>
      <c r="AF1663" s="1" t="s">
        <v>659</v>
      </c>
      <c r="AG1663" s="1" t="s">
        <v>14777</v>
      </c>
      <c r="AH1663" s="1" t="s">
        <v>1501</v>
      </c>
      <c r="AK1663" s="1">
        <v>9.0</v>
      </c>
      <c r="AL1663" s="1">
        <v>4.0</v>
      </c>
      <c r="AM1663" s="1">
        <v>1.0</v>
      </c>
      <c r="AN1663" s="1">
        <v>0.0</v>
      </c>
      <c r="AO1663" s="1" t="s">
        <v>229</v>
      </c>
      <c r="AQ1663" s="1" t="s">
        <v>198</v>
      </c>
      <c r="AR1663" s="1" t="s">
        <v>200</v>
      </c>
      <c r="AS1663" s="1" t="s">
        <v>199</v>
      </c>
      <c r="AT1663" s="1">
        <v>2.0</v>
      </c>
      <c r="AV1663" s="1" t="s">
        <v>200</v>
      </c>
      <c r="AW1663" s="1">
        <v>2154.0</v>
      </c>
      <c r="AX1663" s="1">
        <v>2012.0</v>
      </c>
      <c r="AY1663" s="1" t="s">
        <v>387</v>
      </c>
      <c r="AZ1663" s="1" t="s">
        <v>200</v>
      </c>
      <c r="BA1663" s="1" t="str">
        <f>"19133280180000"</f>
        <v>19133280180000</v>
      </c>
      <c r="BB1663" s="1" t="s">
        <v>200</v>
      </c>
      <c r="BC1663" s="1">
        <v>0.0</v>
      </c>
      <c r="BD1663" s="1">
        <v>110000.0</v>
      </c>
      <c r="BE1663" s="2">
        <v>41849.0</v>
      </c>
      <c r="BF1663" s="1" t="s">
        <v>16553</v>
      </c>
      <c r="BH1663" s="1">
        <v>0.0</v>
      </c>
      <c r="BK1663" s="1" t="s">
        <v>204</v>
      </c>
      <c r="BL1663" s="1" t="str">
        <f t="shared" ref="BL1663:BM1663" si="1091">"0"</f>
        <v>0</v>
      </c>
      <c r="BM1663" s="1" t="str">
        <f t="shared" si="1091"/>
        <v>0</v>
      </c>
      <c r="BN1663" s="1">
        <v>2935.0</v>
      </c>
      <c r="BO1663" s="1">
        <v>6200.0</v>
      </c>
      <c r="BQ1663" s="1">
        <v>299.0</v>
      </c>
      <c r="BR1663" s="1">
        <v>299.0</v>
      </c>
      <c r="BS1663" s="1">
        <v>299.0</v>
      </c>
      <c r="BU1663" s="1" t="s">
        <v>205</v>
      </c>
      <c r="BV1663" s="1" t="s">
        <v>206</v>
      </c>
      <c r="BW1663" s="1" t="s">
        <v>207</v>
      </c>
      <c r="BX1663" s="1" t="s">
        <v>229</v>
      </c>
      <c r="BY1663" s="1" t="s">
        <v>1483</v>
      </c>
      <c r="BZ1663" s="1" t="s">
        <v>209</v>
      </c>
      <c r="CA1663" s="1" t="s">
        <v>617</v>
      </c>
      <c r="CB1663" s="1" t="s">
        <v>229</v>
      </c>
      <c r="CC1663" s="1" t="s">
        <v>331</v>
      </c>
      <c r="CD1663" s="1" t="s">
        <v>206</v>
      </c>
      <c r="CE1663" s="1" t="s">
        <v>207</v>
      </c>
      <c r="CF1663" s="1" t="s">
        <v>229</v>
      </c>
      <c r="CG1663" s="1" t="s">
        <v>392</v>
      </c>
      <c r="CH1663" s="1" t="s">
        <v>206</v>
      </c>
      <c r="CI1663" s="1" t="s">
        <v>207</v>
      </c>
      <c r="CJ1663" s="1" t="s">
        <v>229</v>
      </c>
      <c r="CK1663" s="1" t="s">
        <v>497</v>
      </c>
      <c r="CL1663" s="1" t="s">
        <v>206</v>
      </c>
      <c r="CM1663" s="1" t="s">
        <v>207</v>
      </c>
      <c r="CN1663" s="1" t="s">
        <v>229</v>
      </c>
      <c r="CO1663" s="1" t="s">
        <v>497</v>
      </c>
      <c r="CP1663" s="1" t="s">
        <v>209</v>
      </c>
      <c r="CQ1663" s="1" t="s">
        <v>617</v>
      </c>
      <c r="CR1663" s="1" t="s">
        <v>229</v>
      </c>
      <c r="CS1663" s="1" t="s">
        <v>332</v>
      </c>
      <c r="CT1663" s="1" t="s">
        <v>206</v>
      </c>
      <c r="CU1663" s="1" t="s">
        <v>268</v>
      </c>
      <c r="CV1663" s="1" t="s">
        <v>229</v>
      </c>
      <c r="CW1663" s="1" t="s">
        <v>4877</v>
      </c>
      <c r="CX1663" s="1" t="s">
        <v>42</v>
      </c>
      <c r="CY1663" s="1" t="s">
        <v>588</v>
      </c>
      <c r="CZ1663" s="1" t="s">
        <v>229</v>
      </c>
      <c r="DA1663" s="1" t="s">
        <v>200</v>
      </c>
      <c r="DC1663" s="1" t="s">
        <v>1399</v>
      </c>
      <c r="DD1663" s="1" t="s">
        <v>518</v>
      </c>
      <c r="DE1663" s="1" t="s">
        <v>229</v>
      </c>
      <c r="DF1663" s="1" t="s">
        <v>219</v>
      </c>
      <c r="DG1663" s="1" t="s">
        <v>588</v>
      </c>
      <c r="DH1663" s="1" t="s">
        <v>365</v>
      </c>
      <c r="DJ1663" s="1" t="s">
        <v>588</v>
      </c>
      <c r="DK1663" s="1" t="s">
        <v>16554</v>
      </c>
      <c r="DL1663" s="1" t="s">
        <v>224</v>
      </c>
      <c r="DM1663" s="1" t="s">
        <v>229</v>
      </c>
      <c r="DO1663" s="1" t="s">
        <v>549</v>
      </c>
      <c r="DP1663" s="1" t="s">
        <v>340</v>
      </c>
      <c r="DQ1663" s="1" t="s">
        <v>718</v>
      </c>
      <c r="DR1663" s="1" t="s">
        <v>229</v>
      </c>
      <c r="DS1663" s="1" t="s">
        <v>401</v>
      </c>
      <c r="DU1663" s="1" t="s">
        <v>2070</v>
      </c>
      <c r="DV1663" s="1" t="s">
        <v>341</v>
      </c>
      <c r="DW1663" s="1" t="s">
        <v>279</v>
      </c>
      <c r="DX1663" s="1" t="s">
        <v>234</v>
      </c>
      <c r="EA1663" s="1" t="s">
        <v>2535</v>
      </c>
      <c r="EC1663" s="1" t="s">
        <v>645</v>
      </c>
      <c r="EE1663" s="1" t="s">
        <v>522</v>
      </c>
      <c r="EG1663" s="1" t="s">
        <v>341</v>
      </c>
      <c r="EL1663" s="1" t="s">
        <v>363</v>
      </c>
      <c r="EM1663" s="1" t="s">
        <v>209</v>
      </c>
      <c r="EN1663" s="1" t="s">
        <v>617</v>
      </c>
      <c r="EO1663" s="1" t="s">
        <v>229</v>
      </c>
      <c r="EQ1663" s="1" t="s">
        <v>238</v>
      </c>
      <c r="EU1663" s="1" t="s">
        <v>238</v>
      </c>
      <c r="EY1663" s="1" t="s">
        <v>238</v>
      </c>
      <c r="FC1663" s="1" t="s">
        <v>238</v>
      </c>
      <c r="FF1663" s="1" t="s">
        <v>239</v>
      </c>
      <c r="FG1663" s="1" t="s">
        <v>192</v>
      </c>
      <c r="FH1663" s="1" t="s">
        <v>192</v>
      </c>
      <c r="FJ1663" s="1" t="s">
        <v>624</v>
      </c>
      <c r="FK1663" s="1" t="s">
        <v>229</v>
      </c>
      <c r="FL1663" s="1" t="s">
        <v>2111</v>
      </c>
      <c r="FM1663" s="1">
        <v>12555.0</v>
      </c>
      <c r="FN1663" s="1" t="s">
        <v>2112</v>
      </c>
      <c r="FO1663" s="1" t="s">
        <v>9557</v>
      </c>
      <c r="FP1663" s="1">
        <v>117318.0</v>
      </c>
      <c r="FQ1663" s="1" t="s">
        <v>2112</v>
      </c>
      <c r="FU1663" s="1" t="s">
        <v>710</v>
      </c>
      <c r="FV1663" s="1" t="s">
        <v>200</v>
      </c>
      <c r="FW1663" s="1" t="s">
        <v>9558</v>
      </c>
      <c r="FX1663" s="1" t="s">
        <v>655</v>
      </c>
      <c r="FZ1663" s="1" t="s">
        <v>229</v>
      </c>
      <c r="GA1663" s="1" t="s">
        <v>291</v>
      </c>
      <c r="GB1663" s="2">
        <v>42055.0</v>
      </c>
      <c r="GC1663" s="1" t="s">
        <v>16555</v>
      </c>
    </row>
    <row r="1664">
      <c r="A1664" s="1">
        <v>30300.0</v>
      </c>
      <c r="B1664" s="1" t="s">
        <v>185</v>
      </c>
      <c r="C1664" s="1" t="str">
        <f>"08687164"</f>
        <v>08687164</v>
      </c>
      <c r="D1664" s="1" t="s">
        <v>186</v>
      </c>
      <c r="F1664" s="1" t="str">
        <f>"8073"</f>
        <v>8073</v>
      </c>
      <c r="G1664" s="2">
        <v>41850.0</v>
      </c>
      <c r="H1664" s="1">
        <v>54900.0</v>
      </c>
      <c r="I1664" s="1">
        <v>93.0</v>
      </c>
      <c r="J1664" s="1">
        <v>39900.0</v>
      </c>
      <c r="K1664" s="2">
        <v>41942.0</v>
      </c>
      <c r="L1664" s="1">
        <v>93.0</v>
      </c>
      <c r="M1664" s="2">
        <v>41942.0</v>
      </c>
      <c r="N1664" s="1" t="s">
        <v>249</v>
      </c>
      <c r="O1664" s="2">
        <v>41969.0</v>
      </c>
      <c r="P1664" s="1">
        <v>216403.0</v>
      </c>
      <c r="Q1664" s="1">
        <v>60119.0</v>
      </c>
      <c r="S1664" s="1">
        <v>1246.0</v>
      </c>
      <c r="T1664" s="1" t="s">
        <v>16556</v>
      </c>
      <c r="U1664" s="1" t="s">
        <v>320</v>
      </c>
      <c r="V1664" s="1" t="s">
        <v>190</v>
      </c>
      <c r="W1664" s="1">
        <v>60643.0</v>
      </c>
      <c r="Y1664" s="1" t="s">
        <v>16557</v>
      </c>
      <c r="Z1664" s="1">
        <v>1920.0</v>
      </c>
      <c r="AA1664" s="1" t="s">
        <v>192</v>
      </c>
      <c r="AB1664" s="1" t="s">
        <v>193</v>
      </c>
      <c r="AD1664" s="1" t="s">
        <v>194</v>
      </c>
      <c r="AE1664" s="1" t="s">
        <v>195</v>
      </c>
      <c r="AF1664" s="1" t="s">
        <v>659</v>
      </c>
      <c r="AH1664" s="1">
        <v>4150.0</v>
      </c>
      <c r="AI1664" s="1">
        <v>0.0</v>
      </c>
      <c r="AK1664" s="1">
        <v>6.0</v>
      </c>
      <c r="AL1664" s="1">
        <v>4.0</v>
      </c>
      <c r="AM1664" s="1">
        <v>2.0</v>
      </c>
      <c r="AN1664" s="1">
        <v>0.0</v>
      </c>
      <c r="AO1664" s="1" t="s">
        <v>229</v>
      </c>
      <c r="AP1664" s="1">
        <v>0.0</v>
      </c>
      <c r="AQ1664" s="1" t="s">
        <v>198</v>
      </c>
      <c r="AR1664" s="1" t="s">
        <v>200</v>
      </c>
      <c r="AS1664" s="1" t="s">
        <v>199</v>
      </c>
      <c r="AT1664" s="1">
        <v>2.0</v>
      </c>
      <c r="AV1664" s="1" t="s">
        <v>200</v>
      </c>
      <c r="AW1664" s="1">
        <v>2490.0</v>
      </c>
      <c r="AX1664" s="1">
        <v>2013.0</v>
      </c>
      <c r="AZ1664" s="1" t="s">
        <v>545</v>
      </c>
      <c r="BA1664" s="1" t="str">
        <f>"25081130250000"</f>
        <v>25081130250000</v>
      </c>
      <c r="BC1664" s="1">
        <v>1280.0</v>
      </c>
      <c r="BD1664" s="1">
        <v>30300.0</v>
      </c>
      <c r="BE1664" s="2">
        <v>41850.0</v>
      </c>
      <c r="BF1664" s="1" t="s">
        <v>16558</v>
      </c>
      <c r="BH1664" s="1">
        <v>0.0</v>
      </c>
      <c r="BK1664" s="1" t="s">
        <v>204</v>
      </c>
      <c r="BL1664" s="1" t="str">
        <f t="shared" ref="BL1664:BM1664" si="1092">"0"</f>
        <v>0</v>
      </c>
      <c r="BM1664" s="1" t="str">
        <f t="shared" si="1092"/>
        <v>0</v>
      </c>
      <c r="BN1664" s="1">
        <v>1214.0</v>
      </c>
      <c r="BO1664" s="1">
        <v>9800.0</v>
      </c>
      <c r="BQ1664" s="1">
        <v>299.0</v>
      </c>
      <c r="BR1664" s="1">
        <v>299.0</v>
      </c>
      <c r="BS1664" s="1">
        <v>299.0</v>
      </c>
      <c r="BU1664" s="1" t="s">
        <v>2261</v>
      </c>
      <c r="BV1664" s="1" t="s">
        <v>206</v>
      </c>
      <c r="BY1664" s="1" t="s">
        <v>269</v>
      </c>
      <c r="BZ1664" s="1" t="s">
        <v>206</v>
      </c>
      <c r="CD1664" s="1" t="s">
        <v>204</v>
      </c>
      <c r="CG1664" s="1" t="s">
        <v>269</v>
      </c>
      <c r="CH1664" s="1" t="s">
        <v>206</v>
      </c>
      <c r="CK1664" s="1" t="s">
        <v>663</v>
      </c>
      <c r="CL1664" s="1" t="s">
        <v>209</v>
      </c>
      <c r="CO1664" s="1" t="s">
        <v>2647</v>
      </c>
      <c r="CP1664" s="1" t="s">
        <v>209</v>
      </c>
      <c r="CS1664" s="1" t="s">
        <v>663</v>
      </c>
      <c r="CT1664" s="1" t="s">
        <v>206</v>
      </c>
      <c r="CX1664" s="1" t="s">
        <v>204</v>
      </c>
      <c r="DA1664" s="1" t="s">
        <v>200</v>
      </c>
      <c r="DC1664" s="1" t="s">
        <v>216</v>
      </c>
      <c r="DE1664" s="1" t="s">
        <v>229</v>
      </c>
      <c r="DF1664" s="1" t="s">
        <v>219</v>
      </c>
      <c r="DH1664" s="1" t="s">
        <v>365</v>
      </c>
      <c r="DJ1664" s="1" t="s">
        <v>222</v>
      </c>
      <c r="DK1664" s="1" t="s">
        <v>2506</v>
      </c>
      <c r="DL1664" s="1" t="s">
        <v>223</v>
      </c>
      <c r="DM1664" s="1" t="s">
        <v>229</v>
      </c>
      <c r="DQ1664" s="1" t="s">
        <v>441</v>
      </c>
      <c r="DR1664" s="1" t="s">
        <v>229</v>
      </c>
      <c r="DV1664" s="1" t="s">
        <v>232</v>
      </c>
      <c r="DW1664" s="1" t="s">
        <v>444</v>
      </c>
      <c r="DX1664" s="1" t="s">
        <v>309</v>
      </c>
      <c r="EA1664" s="1" t="s">
        <v>644</v>
      </c>
      <c r="EC1664" s="1" t="s">
        <v>645</v>
      </c>
      <c r="EM1664" s="1" t="s">
        <v>238</v>
      </c>
      <c r="EQ1664" s="1" t="s">
        <v>238</v>
      </c>
      <c r="EU1664" s="1" t="s">
        <v>238</v>
      </c>
      <c r="EY1664" s="1" t="s">
        <v>238</v>
      </c>
      <c r="FC1664" s="1" t="s">
        <v>238</v>
      </c>
      <c r="FF1664" s="1" t="s">
        <v>239</v>
      </c>
      <c r="FG1664" s="1" t="s">
        <v>192</v>
      </c>
      <c r="FH1664" s="1" t="s">
        <v>192</v>
      </c>
      <c r="FJ1664" s="1" t="s">
        <v>524</v>
      </c>
      <c r="FK1664" s="1" t="s">
        <v>229</v>
      </c>
      <c r="FL1664" s="1" t="s">
        <v>1358</v>
      </c>
      <c r="FM1664" s="1">
        <v>60119.0</v>
      </c>
      <c r="FN1664" s="1" t="s">
        <v>1408</v>
      </c>
      <c r="FO1664" s="1" t="s">
        <v>16559</v>
      </c>
      <c r="FP1664" s="1">
        <v>216403.0</v>
      </c>
      <c r="FS1664" s="1" t="s">
        <v>16560</v>
      </c>
      <c r="FU1664" s="1" t="s">
        <v>16561</v>
      </c>
      <c r="FV1664" s="1" t="s">
        <v>200</v>
      </c>
      <c r="FW1664" s="1" t="s">
        <v>290</v>
      </c>
      <c r="FX1664" s="1" t="s">
        <v>246</v>
      </c>
      <c r="FZ1664" s="1" t="s">
        <v>229</v>
      </c>
      <c r="GA1664" s="1" t="s">
        <v>291</v>
      </c>
      <c r="GB1664" s="2">
        <v>41975.0</v>
      </c>
      <c r="GC1664" s="1" t="s">
        <v>16562</v>
      </c>
    </row>
    <row r="1665">
      <c r="A1665" s="1">
        <v>67000.0</v>
      </c>
      <c r="B1665" s="1" t="s">
        <v>185</v>
      </c>
      <c r="C1665" s="1" t="str">
        <f>"08693791"</f>
        <v>08693791</v>
      </c>
      <c r="D1665" s="1" t="s">
        <v>186</v>
      </c>
      <c r="F1665" s="1" t="str">
        <f>"8066"</f>
        <v>8066</v>
      </c>
      <c r="G1665" s="2">
        <v>41857.0</v>
      </c>
      <c r="H1665" s="1">
        <v>95000.0</v>
      </c>
      <c r="I1665" s="1">
        <v>62.0</v>
      </c>
      <c r="J1665" s="1">
        <v>74900.0</v>
      </c>
      <c r="K1665" s="2">
        <v>41918.0</v>
      </c>
      <c r="L1665" s="1">
        <v>62.0</v>
      </c>
      <c r="M1665" s="2">
        <v>41918.0</v>
      </c>
      <c r="N1665" s="1" t="s">
        <v>249</v>
      </c>
      <c r="O1665" s="2">
        <v>42045.0</v>
      </c>
      <c r="P1665" s="1">
        <v>843574.0</v>
      </c>
      <c r="Q1665" s="1">
        <v>84291.0</v>
      </c>
      <c r="S1665" s="1">
        <v>6401.0</v>
      </c>
      <c r="T1665" s="1" t="s">
        <v>6500</v>
      </c>
      <c r="U1665" s="1" t="s">
        <v>189</v>
      </c>
      <c r="V1665" s="1" t="s">
        <v>190</v>
      </c>
      <c r="W1665" s="1">
        <v>60629.0</v>
      </c>
      <c r="X1665" s="1">
        <v>1216.0</v>
      </c>
      <c r="Y1665" s="1" t="s">
        <v>16563</v>
      </c>
      <c r="Z1665" s="1">
        <v>1913.0</v>
      </c>
      <c r="AA1665" s="1" t="s">
        <v>192</v>
      </c>
      <c r="AB1665" s="1" t="s">
        <v>193</v>
      </c>
      <c r="AD1665" s="1" t="s">
        <v>194</v>
      </c>
      <c r="AE1665" s="1" t="s">
        <v>195</v>
      </c>
      <c r="AF1665" s="1" t="s">
        <v>659</v>
      </c>
      <c r="AG1665" s="1" t="s">
        <v>778</v>
      </c>
      <c r="AH1665" s="1" t="s">
        <v>16564</v>
      </c>
      <c r="AK1665" s="1">
        <v>7.0</v>
      </c>
      <c r="AL1665" s="1">
        <v>4.0</v>
      </c>
      <c r="AM1665" s="1">
        <v>3.0</v>
      </c>
      <c r="AN1665" s="1">
        <v>0.0</v>
      </c>
      <c r="AO1665" s="1" t="s">
        <v>229</v>
      </c>
      <c r="AP1665" s="1">
        <v>0.0</v>
      </c>
      <c r="AQ1665" s="1" t="s">
        <v>198</v>
      </c>
      <c r="AR1665" s="1" t="s">
        <v>192</v>
      </c>
      <c r="AS1665" s="1" t="s">
        <v>199</v>
      </c>
      <c r="AT1665" s="1">
        <v>2.0</v>
      </c>
      <c r="AV1665" s="1" t="s">
        <v>192</v>
      </c>
      <c r="AW1665" s="1">
        <v>1625.0</v>
      </c>
      <c r="AX1665" s="1">
        <v>2012.0</v>
      </c>
      <c r="AY1665" s="1" t="s">
        <v>229</v>
      </c>
      <c r="AZ1665" s="1" t="s">
        <v>200</v>
      </c>
      <c r="BA1665" s="1" t="str">
        <f>"19242140010000"</f>
        <v>19242140010000</v>
      </c>
      <c r="BB1665" s="1" t="s">
        <v>200</v>
      </c>
      <c r="BC1665" s="1">
        <v>1900.0</v>
      </c>
      <c r="BD1665" s="1">
        <v>67000.0</v>
      </c>
      <c r="BE1665" s="2">
        <v>41857.0</v>
      </c>
      <c r="BF1665" s="2" t="s">
        <v>16565</v>
      </c>
      <c r="BH1665" s="1">
        <v>0.0</v>
      </c>
      <c r="BK1665" s="1" t="s">
        <v>204</v>
      </c>
      <c r="BL1665" s="1" t="str">
        <f t="shared" ref="BL1665:BM1665" si="1093">"0"</f>
        <v>0</v>
      </c>
      <c r="BM1665" s="1" t="str">
        <f t="shared" si="1093"/>
        <v>0</v>
      </c>
      <c r="BN1665" s="1">
        <v>2500.0</v>
      </c>
      <c r="BO1665" s="1">
        <v>6401.0</v>
      </c>
      <c r="BQ1665" s="1">
        <v>299.0</v>
      </c>
      <c r="BR1665" s="1">
        <v>299.0</v>
      </c>
      <c r="BS1665" s="1">
        <v>299.0</v>
      </c>
      <c r="BU1665" s="1" t="s">
        <v>2082</v>
      </c>
      <c r="BV1665" s="1" t="s">
        <v>206</v>
      </c>
      <c r="BW1665" s="1" t="s">
        <v>207</v>
      </c>
      <c r="BY1665" s="1" t="s">
        <v>758</v>
      </c>
      <c r="BZ1665" s="1" t="s">
        <v>209</v>
      </c>
      <c r="CA1665" s="1" t="s">
        <v>207</v>
      </c>
      <c r="CC1665" s="1" t="s">
        <v>2082</v>
      </c>
      <c r="CD1665" s="1" t="s">
        <v>206</v>
      </c>
      <c r="CE1665" s="1" t="s">
        <v>207</v>
      </c>
      <c r="CG1665" s="1" t="s">
        <v>302</v>
      </c>
      <c r="CH1665" s="1" t="s">
        <v>209</v>
      </c>
      <c r="CI1665" s="1" t="s">
        <v>207</v>
      </c>
      <c r="CK1665" s="1" t="s">
        <v>263</v>
      </c>
      <c r="CL1665" s="1" t="s">
        <v>209</v>
      </c>
      <c r="CM1665" s="1" t="s">
        <v>1790</v>
      </c>
      <c r="CO1665" s="1" t="s">
        <v>375</v>
      </c>
      <c r="CP1665" s="1" t="s">
        <v>209</v>
      </c>
      <c r="CQ1665" s="1" t="s">
        <v>207</v>
      </c>
      <c r="CS1665" s="1" t="s">
        <v>392</v>
      </c>
      <c r="CT1665" s="1" t="s">
        <v>206</v>
      </c>
      <c r="CU1665" s="1" t="s">
        <v>268</v>
      </c>
      <c r="CX1665" s="1" t="s">
        <v>204</v>
      </c>
      <c r="DA1665" s="1" t="s">
        <v>200</v>
      </c>
      <c r="DC1665" s="1" t="s">
        <v>642</v>
      </c>
      <c r="DD1665" s="1" t="s">
        <v>306</v>
      </c>
      <c r="DE1665" s="1" t="s">
        <v>2851</v>
      </c>
      <c r="DF1665" s="1" t="s">
        <v>219</v>
      </c>
      <c r="DG1665" s="1" t="s">
        <v>2311</v>
      </c>
      <c r="DH1665" s="1" t="s">
        <v>365</v>
      </c>
      <c r="DJ1665" s="1" t="s">
        <v>222</v>
      </c>
      <c r="DL1665" s="1" t="s">
        <v>858</v>
      </c>
      <c r="DM1665" s="1" t="s">
        <v>229</v>
      </c>
      <c r="DP1665" s="1" t="s">
        <v>340</v>
      </c>
      <c r="DQ1665" s="1" t="s">
        <v>718</v>
      </c>
      <c r="DR1665" s="1" t="s">
        <v>229</v>
      </c>
      <c r="DS1665" s="1" t="s">
        <v>368</v>
      </c>
      <c r="DU1665" s="1" t="s">
        <v>2070</v>
      </c>
      <c r="DV1665" s="1" t="s">
        <v>232</v>
      </c>
      <c r="DW1665" s="1" t="s">
        <v>279</v>
      </c>
      <c r="DX1665" s="1" t="s">
        <v>1287</v>
      </c>
      <c r="EA1665" s="1" t="s">
        <v>644</v>
      </c>
      <c r="EC1665" s="1" t="s">
        <v>237</v>
      </c>
      <c r="EM1665" s="1" t="s">
        <v>238</v>
      </c>
      <c r="EQ1665" s="1" t="s">
        <v>238</v>
      </c>
      <c r="EU1665" s="1" t="s">
        <v>238</v>
      </c>
      <c r="EY1665" s="1" t="s">
        <v>238</v>
      </c>
      <c r="FC1665" s="1" t="s">
        <v>238</v>
      </c>
      <c r="FF1665" s="1" t="s">
        <v>239</v>
      </c>
      <c r="FG1665" s="1" t="s">
        <v>192</v>
      </c>
      <c r="FH1665" s="1" t="s">
        <v>192</v>
      </c>
      <c r="FJ1665" s="1" t="s">
        <v>16566</v>
      </c>
      <c r="FK1665" s="1" t="s">
        <v>1586</v>
      </c>
      <c r="FL1665" s="1" t="s">
        <v>16567</v>
      </c>
      <c r="FM1665" s="1">
        <v>16768.0</v>
      </c>
      <c r="FN1665" s="1" t="s">
        <v>16568</v>
      </c>
      <c r="FO1665" s="1" t="s">
        <v>16569</v>
      </c>
      <c r="FP1665" s="1">
        <v>144307.0</v>
      </c>
      <c r="FQ1665" s="1" t="s">
        <v>16570</v>
      </c>
      <c r="FU1665" s="1" t="s">
        <v>417</v>
      </c>
      <c r="FV1665" s="1" t="s">
        <v>200</v>
      </c>
      <c r="FW1665" s="1" t="s">
        <v>16571</v>
      </c>
      <c r="FX1665" s="1" t="s">
        <v>655</v>
      </c>
      <c r="FZ1665" s="1" t="s">
        <v>229</v>
      </c>
      <c r="GA1665" s="1" t="s">
        <v>291</v>
      </c>
      <c r="GB1665" s="2">
        <v>42046.0</v>
      </c>
      <c r="GC1665" s="1" t="s">
        <v>16572</v>
      </c>
    </row>
    <row r="1666">
      <c r="A1666" s="1">
        <v>435000.0</v>
      </c>
      <c r="B1666" s="1" t="s">
        <v>185</v>
      </c>
      <c r="C1666" s="1" t="str">
        <f>"08794611"</f>
        <v>08794611</v>
      </c>
      <c r="D1666" s="1" t="s">
        <v>186</v>
      </c>
      <c r="F1666" s="1" t="str">
        <f>"8015"</f>
        <v>8015</v>
      </c>
      <c r="G1666" s="2">
        <v>41974.0</v>
      </c>
      <c r="H1666" s="1">
        <v>469900.0</v>
      </c>
      <c r="I1666" s="1">
        <v>51.0</v>
      </c>
      <c r="J1666" s="1">
        <v>449900.0</v>
      </c>
      <c r="K1666" s="2">
        <v>42024.0</v>
      </c>
      <c r="L1666" s="1">
        <v>51.0</v>
      </c>
      <c r="M1666" s="2">
        <v>42024.0</v>
      </c>
      <c r="N1666" s="1" t="s">
        <v>187</v>
      </c>
      <c r="O1666" s="2">
        <v>42069.0</v>
      </c>
      <c r="P1666" s="1">
        <v>32772.0</v>
      </c>
      <c r="Q1666" s="1">
        <v>4662.0</v>
      </c>
      <c r="S1666" s="1">
        <v>5505.0</v>
      </c>
      <c r="T1666" s="1" t="s">
        <v>188</v>
      </c>
      <c r="U1666" s="1" t="s">
        <v>189</v>
      </c>
      <c r="V1666" s="1" t="s">
        <v>190</v>
      </c>
      <c r="W1666" s="1">
        <v>60641.0</v>
      </c>
      <c r="Y1666" s="1" t="s">
        <v>16573</v>
      </c>
      <c r="Z1666" s="1">
        <v>1919.0</v>
      </c>
      <c r="AA1666" s="1" t="s">
        <v>192</v>
      </c>
      <c r="AB1666" s="1" t="s">
        <v>193</v>
      </c>
      <c r="AD1666" s="1" t="s">
        <v>194</v>
      </c>
      <c r="AE1666" s="1" t="s">
        <v>195</v>
      </c>
      <c r="AF1666" s="1" t="s">
        <v>196</v>
      </c>
      <c r="AH1666" s="1" t="s">
        <v>16574</v>
      </c>
      <c r="AK1666" s="1">
        <v>8.0</v>
      </c>
      <c r="AL1666" s="1">
        <v>3.0</v>
      </c>
      <c r="AM1666" s="1">
        <v>3.0</v>
      </c>
      <c r="AN1666" s="1">
        <v>1.0</v>
      </c>
      <c r="AO1666" s="1" t="s">
        <v>198</v>
      </c>
      <c r="AQ1666" s="1" t="s">
        <v>198</v>
      </c>
      <c r="AR1666" s="1" t="s">
        <v>192</v>
      </c>
      <c r="AS1666" s="1" t="s">
        <v>199</v>
      </c>
      <c r="AT1666" s="1">
        <v>2.0</v>
      </c>
      <c r="AV1666" s="1" t="s">
        <v>200</v>
      </c>
      <c r="AW1666" s="4">
        <v>4436.73</v>
      </c>
      <c r="AX1666" s="1">
        <v>2013.0</v>
      </c>
      <c r="AY1666" s="1" t="s">
        <v>387</v>
      </c>
      <c r="AZ1666" s="1" t="s">
        <v>200</v>
      </c>
      <c r="BA1666" s="1" t="str">
        <f>"13211200170000"</f>
        <v>13211200170000</v>
      </c>
      <c r="BC1666" s="1">
        <v>3000.0</v>
      </c>
      <c r="BD1666" s="1">
        <v>435000.0</v>
      </c>
      <c r="BE1666" s="2">
        <v>41974.0</v>
      </c>
      <c r="BF1666" s="2" t="s">
        <v>16575</v>
      </c>
      <c r="BH1666" s="1">
        <v>0.0</v>
      </c>
      <c r="BK1666" s="1" t="s">
        <v>204</v>
      </c>
      <c r="BL1666" s="1" t="str">
        <f>"3706"</f>
        <v>3706</v>
      </c>
      <c r="BM1666" s="1" t="str">
        <f t="shared" ref="BM1666:BM1668" si="1094">"0"</f>
        <v>0</v>
      </c>
      <c r="BN1666" s="1">
        <v>5505.0</v>
      </c>
      <c r="BO1666" s="1">
        <v>0.0</v>
      </c>
      <c r="BQ1666" s="1">
        <v>299.0</v>
      </c>
      <c r="BR1666" s="1">
        <v>299.0</v>
      </c>
      <c r="BS1666" s="1">
        <v>299.0</v>
      </c>
      <c r="BU1666" s="1" t="s">
        <v>784</v>
      </c>
      <c r="BV1666" s="1" t="s">
        <v>206</v>
      </c>
      <c r="BW1666" s="1" t="s">
        <v>207</v>
      </c>
      <c r="BY1666" s="1" t="s">
        <v>213</v>
      </c>
      <c r="BZ1666" s="1" t="s">
        <v>209</v>
      </c>
      <c r="CA1666" s="1" t="s">
        <v>210</v>
      </c>
      <c r="CC1666" s="1" t="s">
        <v>392</v>
      </c>
      <c r="CD1666" s="1" t="s">
        <v>206</v>
      </c>
      <c r="CE1666" s="1" t="s">
        <v>207</v>
      </c>
      <c r="CG1666" s="1" t="s">
        <v>215</v>
      </c>
      <c r="CH1666" s="1" t="s">
        <v>209</v>
      </c>
      <c r="CI1666" s="1" t="s">
        <v>210</v>
      </c>
      <c r="CK1666" s="1" t="s">
        <v>212</v>
      </c>
      <c r="CL1666" s="1" t="s">
        <v>209</v>
      </c>
      <c r="CM1666" s="1" t="s">
        <v>210</v>
      </c>
      <c r="CO1666" s="1" t="s">
        <v>392</v>
      </c>
      <c r="CP1666" s="1" t="s">
        <v>42</v>
      </c>
      <c r="CQ1666" s="1" t="s">
        <v>210</v>
      </c>
      <c r="CS1666" s="1" t="s">
        <v>924</v>
      </c>
      <c r="CT1666" s="1" t="s">
        <v>206</v>
      </c>
      <c r="CU1666" s="1" t="s">
        <v>207</v>
      </c>
      <c r="CX1666" s="1" t="s">
        <v>204</v>
      </c>
      <c r="DA1666" s="1" t="s">
        <v>200</v>
      </c>
      <c r="DC1666" s="1" t="s">
        <v>216</v>
      </c>
      <c r="DD1666" s="1" t="s">
        <v>2094</v>
      </c>
      <c r="DE1666" s="1" t="s">
        <v>218</v>
      </c>
      <c r="DF1666" s="1" t="s">
        <v>745</v>
      </c>
      <c r="DG1666" s="1" t="s">
        <v>482</v>
      </c>
      <c r="DH1666" s="1" t="s">
        <v>220</v>
      </c>
      <c r="DJ1666" s="1" t="s">
        <v>222</v>
      </c>
      <c r="DK1666" s="1" t="s">
        <v>223</v>
      </c>
      <c r="DL1666" s="1" t="s">
        <v>224</v>
      </c>
      <c r="DM1666" s="1" t="s">
        <v>229</v>
      </c>
      <c r="DN1666" s="1" t="s">
        <v>3293</v>
      </c>
      <c r="DP1666" s="1" t="s">
        <v>276</v>
      </c>
      <c r="DQ1666" s="1" t="s">
        <v>228</v>
      </c>
      <c r="DR1666" s="1" t="s">
        <v>229</v>
      </c>
      <c r="DU1666" s="1" t="s">
        <v>746</v>
      </c>
      <c r="DV1666" s="1" t="s">
        <v>16576</v>
      </c>
      <c r="DW1666" s="1" t="s">
        <v>233</v>
      </c>
      <c r="DX1666" s="1" t="s">
        <v>234</v>
      </c>
      <c r="DY1666" s="1" t="s">
        <v>3075</v>
      </c>
      <c r="DZ1666" s="1" t="s">
        <v>310</v>
      </c>
      <c r="EC1666" s="1" t="s">
        <v>237</v>
      </c>
      <c r="ED1666" s="1" t="s">
        <v>555</v>
      </c>
      <c r="EG1666" s="1" t="s">
        <v>450</v>
      </c>
      <c r="EH1666" s="1" t="s">
        <v>720</v>
      </c>
      <c r="EI1666" s="1" t="s">
        <v>1103</v>
      </c>
      <c r="EL1666" s="1" t="s">
        <v>3658</v>
      </c>
      <c r="EM1666" s="1" t="s">
        <v>42</v>
      </c>
      <c r="EN1666" s="1" t="s">
        <v>210</v>
      </c>
      <c r="EP1666" s="1" t="s">
        <v>1688</v>
      </c>
      <c r="EQ1666" s="1" t="s">
        <v>206</v>
      </c>
      <c r="ER1666" s="1" t="s">
        <v>268</v>
      </c>
      <c r="ET1666" s="1" t="s">
        <v>1746</v>
      </c>
      <c r="EU1666" s="1" t="s">
        <v>42</v>
      </c>
      <c r="EV1666" s="1" t="s">
        <v>210</v>
      </c>
      <c r="EY1666" s="1" t="s">
        <v>238</v>
      </c>
      <c r="FC1666" s="1" t="s">
        <v>238</v>
      </c>
      <c r="FF1666" s="1" t="s">
        <v>239</v>
      </c>
      <c r="FG1666" s="1" t="s">
        <v>192</v>
      </c>
      <c r="FH1666" s="1" t="s">
        <v>192</v>
      </c>
      <c r="FJ1666" s="1" t="s">
        <v>733</v>
      </c>
      <c r="FK1666" s="1" t="s">
        <v>229</v>
      </c>
      <c r="FL1666" s="1" t="s">
        <v>734</v>
      </c>
      <c r="FM1666" s="1">
        <v>10646.0</v>
      </c>
      <c r="FN1666" s="1" t="s">
        <v>735</v>
      </c>
      <c r="FO1666" s="1" t="s">
        <v>736</v>
      </c>
      <c r="FP1666" s="1">
        <v>139913.0</v>
      </c>
      <c r="FQ1666" s="1" t="s">
        <v>737</v>
      </c>
      <c r="FU1666" s="1" t="s">
        <v>5897</v>
      </c>
      <c r="FV1666" s="1" t="s">
        <v>200</v>
      </c>
      <c r="FW1666" s="1" t="s">
        <v>530</v>
      </c>
      <c r="FX1666" s="1" t="s">
        <v>246</v>
      </c>
      <c r="FZ1666" s="1" t="s">
        <v>229</v>
      </c>
      <c r="GA1666" s="1" t="s">
        <v>291</v>
      </c>
      <c r="GB1666" s="2">
        <v>42069.0</v>
      </c>
    </row>
    <row r="1667">
      <c r="A1667" s="1">
        <v>329900.0</v>
      </c>
      <c r="B1667" s="1" t="s">
        <v>185</v>
      </c>
      <c r="C1667" s="1" t="str">
        <f>"08687992"</f>
        <v>08687992</v>
      </c>
      <c r="D1667" s="1" t="s">
        <v>186</v>
      </c>
      <c r="F1667" s="1" t="str">
        <f>"8014"</f>
        <v>8014</v>
      </c>
      <c r="G1667" s="2">
        <v>41850.0</v>
      </c>
      <c r="H1667" s="1">
        <v>329900.0</v>
      </c>
      <c r="I1667" s="1">
        <v>91.0</v>
      </c>
      <c r="J1667" s="1">
        <v>329900.0</v>
      </c>
      <c r="K1667" s="2">
        <v>41940.0</v>
      </c>
      <c r="L1667" s="1">
        <v>91.0</v>
      </c>
      <c r="M1667" s="2">
        <v>41940.0</v>
      </c>
      <c r="N1667" s="1" t="s">
        <v>187</v>
      </c>
      <c r="O1667" s="2">
        <v>41975.0</v>
      </c>
      <c r="P1667" s="1">
        <v>185728.0</v>
      </c>
      <c r="Q1667" s="1">
        <v>10115.0</v>
      </c>
      <c r="S1667" s="1">
        <v>4845.0</v>
      </c>
      <c r="T1667" s="1" t="s">
        <v>5860</v>
      </c>
      <c r="U1667" s="1" t="s">
        <v>189</v>
      </c>
      <c r="V1667" s="1" t="s">
        <v>190</v>
      </c>
      <c r="W1667" s="1">
        <v>60625.0</v>
      </c>
      <c r="Y1667" s="1" t="s">
        <v>16577</v>
      </c>
      <c r="Z1667" s="1">
        <v>1913.0</v>
      </c>
      <c r="AA1667" s="1" t="s">
        <v>192</v>
      </c>
      <c r="AB1667" s="1" t="s">
        <v>193</v>
      </c>
      <c r="AD1667" s="1" t="s">
        <v>194</v>
      </c>
      <c r="AE1667" s="1" t="s">
        <v>195</v>
      </c>
      <c r="AF1667" s="1" t="s">
        <v>196</v>
      </c>
      <c r="AH1667" s="1" t="s">
        <v>3342</v>
      </c>
      <c r="AK1667" s="1">
        <v>9.0</v>
      </c>
      <c r="AL1667" s="1">
        <v>4.0</v>
      </c>
      <c r="AM1667" s="1">
        <v>2.0</v>
      </c>
      <c r="AN1667" s="1">
        <v>0.0</v>
      </c>
      <c r="AO1667" s="1" t="s">
        <v>229</v>
      </c>
      <c r="AQ1667" s="1" t="s">
        <v>198</v>
      </c>
      <c r="AR1667" s="1" t="s">
        <v>200</v>
      </c>
      <c r="AS1667" s="1" t="s">
        <v>828</v>
      </c>
      <c r="AU1667" s="1">
        <v>3.0</v>
      </c>
      <c r="AV1667" s="1" t="s">
        <v>200</v>
      </c>
      <c r="AW1667" s="1">
        <v>6045.18</v>
      </c>
      <c r="AX1667" s="1">
        <v>2012.0</v>
      </c>
      <c r="AY1667" s="1" t="s">
        <v>229</v>
      </c>
      <c r="AZ1667" s="1" t="s">
        <v>200</v>
      </c>
      <c r="BA1667" s="1" t="str">
        <f>"13113280040000"</f>
        <v>13113280040000</v>
      </c>
      <c r="BB1667" s="1" t="s">
        <v>200</v>
      </c>
      <c r="BC1667" s="1">
        <v>3000.0</v>
      </c>
      <c r="BD1667" s="1">
        <v>329900.0</v>
      </c>
      <c r="BE1667" s="2">
        <v>41850.0</v>
      </c>
      <c r="BF1667" s="2" t="s">
        <v>16578</v>
      </c>
      <c r="BH1667" s="1">
        <v>0.0</v>
      </c>
      <c r="BK1667" s="1" t="s">
        <v>204</v>
      </c>
      <c r="BL1667" s="1" t="str">
        <f>"4845"</f>
        <v>4845</v>
      </c>
      <c r="BM1667" s="1" t="str">
        <f t="shared" si="1094"/>
        <v>0</v>
      </c>
      <c r="BN1667" s="1">
        <v>3650.0</v>
      </c>
      <c r="BO1667" s="1">
        <v>0.0</v>
      </c>
      <c r="BQ1667" s="1">
        <v>299.0</v>
      </c>
      <c r="BR1667" s="1">
        <v>299.0</v>
      </c>
      <c r="BS1667" s="1">
        <v>299.0</v>
      </c>
      <c r="BU1667" s="1" t="s">
        <v>434</v>
      </c>
      <c r="BV1667" s="1" t="s">
        <v>206</v>
      </c>
      <c r="BW1667" s="1" t="s">
        <v>207</v>
      </c>
      <c r="BY1667" s="1" t="s">
        <v>213</v>
      </c>
      <c r="BZ1667" s="1" t="s">
        <v>206</v>
      </c>
      <c r="CA1667" s="1" t="s">
        <v>207</v>
      </c>
      <c r="CC1667" s="1" t="s">
        <v>434</v>
      </c>
      <c r="CD1667" s="1" t="s">
        <v>206</v>
      </c>
      <c r="CE1667" s="1" t="s">
        <v>207</v>
      </c>
      <c r="CG1667" s="1" t="s">
        <v>433</v>
      </c>
      <c r="CH1667" s="1" t="s">
        <v>206</v>
      </c>
      <c r="CI1667" s="1" t="s">
        <v>207</v>
      </c>
      <c r="CK1667" s="1" t="s">
        <v>212</v>
      </c>
      <c r="CL1667" s="1" t="s">
        <v>206</v>
      </c>
      <c r="CM1667" s="1" t="s">
        <v>207</v>
      </c>
      <c r="CO1667" s="1" t="s">
        <v>454</v>
      </c>
      <c r="CP1667" s="1" t="s">
        <v>209</v>
      </c>
      <c r="CQ1667" s="1" t="s">
        <v>207</v>
      </c>
      <c r="CS1667" s="1" t="s">
        <v>729</v>
      </c>
      <c r="CT1667" s="1" t="s">
        <v>206</v>
      </c>
      <c r="CW1667" s="1" t="s">
        <v>985</v>
      </c>
      <c r="CX1667" s="1" t="s">
        <v>209</v>
      </c>
      <c r="DA1667" s="1" t="s">
        <v>200</v>
      </c>
      <c r="DC1667" s="1" t="s">
        <v>642</v>
      </c>
      <c r="DD1667" s="1" t="s">
        <v>5601</v>
      </c>
      <c r="DE1667" s="1" t="s">
        <v>1300</v>
      </c>
      <c r="DF1667" s="1" t="s">
        <v>787</v>
      </c>
      <c r="DH1667" s="1" t="s">
        <v>365</v>
      </c>
      <c r="DI1667" s="1" t="s">
        <v>789</v>
      </c>
      <c r="DJ1667" s="1" t="s">
        <v>222</v>
      </c>
      <c r="DK1667" s="1" t="s">
        <v>223</v>
      </c>
      <c r="DL1667" s="1" t="s">
        <v>858</v>
      </c>
      <c r="DM1667" s="1" t="s">
        <v>229</v>
      </c>
      <c r="DN1667" s="1" t="s">
        <v>367</v>
      </c>
      <c r="DO1667" s="1" t="s">
        <v>549</v>
      </c>
      <c r="DP1667" s="1" t="s">
        <v>340</v>
      </c>
      <c r="DQ1667" s="1" t="s">
        <v>794</v>
      </c>
      <c r="DR1667" s="1" t="s">
        <v>229</v>
      </c>
      <c r="DS1667" s="1" t="s">
        <v>230</v>
      </c>
      <c r="DV1667" s="1" t="s">
        <v>16579</v>
      </c>
      <c r="DW1667" s="1" t="s">
        <v>279</v>
      </c>
      <c r="DX1667" s="1" t="s">
        <v>1287</v>
      </c>
      <c r="DY1667" s="1" t="s">
        <v>704</v>
      </c>
      <c r="DZ1667" s="1" t="s">
        <v>282</v>
      </c>
      <c r="EA1667" s="1" t="s">
        <v>644</v>
      </c>
      <c r="EC1667" s="1" t="s">
        <v>645</v>
      </c>
      <c r="EF1667" s="1" t="s">
        <v>834</v>
      </c>
      <c r="EG1667" s="1" t="s">
        <v>556</v>
      </c>
      <c r="EH1667" s="1" t="s">
        <v>1102</v>
      </c>
      <c r="EI1667" s="1" t="s">
        <v>374</v>
      </c>
      <c r="EL1667" s="1" t="s">
        <v>8276</v>
      </c>
      <c r="EM1667" s="1" t="s">
        <v>206</v>
      </c>
      <c r="EP1667" s="1" t="s">
        <v>392</v>
      </c>
      <c r="EQ1667" s="1" t="s">
        <v>206</v>
      </c>
      <c r="ET1667" s="1" t="s">
        <v>1137</v>
      </c>
      <c r="EU1667" s="1" t="s">
        <v>206</v>
      </c>
      <c r="EY1667" s="1" t="s">
        <v>238</v>
      </c>
      <c r="FC1667" s="1" t="s">
        <v>238</v>
      </c>
      <c r="FF1667" s="1" t="s">
        <v>239</v>
      </c>
      <c r="FG1667" s="1" t="s">
        <v>192</v>
      </c>
      <c r="FH1667" s="1" t="s">
        <v>192</v>
      </c>
      <c r="FJ1667" s="1" t="s">
        <v>3755</v>
      </c>
      <c r="FK1667" s="1" t="s">
        <v>229</v>
      </c>
      <c r="FL1667" s="1" t="s">
        <v>1124</v>
      </c>
      <c r="FM1667" s="1">
        <v>10267.0</v>
      </c>
      <c r="FN1667" s="1" t="s">
        <v>3908</v>
      </c>
      <c r="FO1667" s="1" t="s">
        <v>15133</v>
      </c>
      <c r="FP1667" s="1">
        <v>124420.0</v>
      </c>
      <c r="FQ1667" s="1" t="s">
        <v>16580</v>
      </c>
      <c r="FU1667" s="1" t="s">
        <v>16581</v>
      </c>
      <c r="FV1667" s="1" t="s">
        <v>200</v>
      </c>
      <c r="FW1667" s="1" t="s">
        <v>530</v>
      </c>
      <c r="FX1667" s="1" t="s">
        <v>238</v>
      </c>
      <c r="FZ1667" s="1" t="s">
        <v>229</v>
      </c>
      <c r="GA1667" s="1" t="s">
        <v>291</v>
      </c>
      <c r="GB1667" s="2">
        <v>41975.0</v>
      </c>
      <c r="GC1667" s="1" t="s">
        <v>16582</v>
      </c>
    </row>
    <row r="1668">
      <c r="A1668" s="1">
        <v>420000.0</v>
      </c>
      <c r="B1668" s="1" t="s">
        <v>185</v>
      </c>
      <c r="C1668" s="1" t="str">
        <f>"08689374"</f>
        <v>08689374</v>
      </c>
      <c r="D1668" s="1" t="s">
        <v>186</v>
      </c>
      <c r="F1668" s="1" t="str">
        <f>"8015"</f>
        <v>8015</v>
      </c>
      <c r="G1668" s="2">
        <v>41852.0</v>
      </c>
      <c r="H1668" s="1">
        <v>449999.0</v>
      </c>
      <c r="I1668" s="1">
        <v>248.0</v>
      </c>
      <c r="J1668" s="1">
        <v>449999.0</v>
      </c>
      <c r="K1668" s="2">
        <v>42049.0</v>
      </c>
      <c r="L1668" s="1">
        <v>198.0</v>
      </c>
      <c r="M1668" s="2">
        <v>42049.0</v>
      </c>
      <c r="N1668" s="1" t="s">
        <v>249</v>
      </c>
      <c r="O1668" s="2">
        <v>42062.0</v>
      </c>
      <c r="P1668" s="1">
        <v>113297.0</v>
      </c>
      <c r="Q1668" s="1">
        <v>10272.0</v>
      </c>
      <c r="S1668" s="1">
        <v>5030.0</v>
      </c>
      <c r="T1668" s="1" t="s">
        <v>13558</v>
      </c>
      <c r="U1668" s="1" t="s">
        <v>189</v>
      </c>
      <c r="V1668" s="1" t="s">
        <v>190</v>
      </c>
      <c r="W1668" s="1">
        <v>60641.0</v>
      </c>
      <c r="Y1668" s="1" t="s">
        <v>16583</v>
      </c>
      <c r="Z1668" s="1">
        <v>1924.0</v>
      </c>
      <c r="AA1668" s="1" t="s">
        <v>192</v>
      </c>
      <c r="AB1668" s="1" t="s">
        <v>193</v>
      </c>
      <c r="AD1668" s="1" t="s">
        <v>194</v>
      </c>
      <c r="AE1668" s="1" t="s">
        <v>195</v>
      </c>
      <c r="AF1668" s="1" t="s">
        <v>196</v>
      </c>
      <c r="AH1668" s="1" t="s">
        <v>1115</v>
      </c>
      <c r="AI1668" s="1">
        <v>0.0868</v>
      </c>
      <c r="AK1668" s="1">
        <v>11.0</v>
      </c>
      <c r="AL1668" s="1">
        <v>4.0</v>
      </c>
      <c r="AM1668" s="1">
        <v>4.0</v>
      </c>
      <c r="AN1668" s="1">
        <v>0.0</v>
      </c>
      <c r="AO1668" s="1" t="s">
        <v>198</v>
      </c>
      <c r="AP1668" s="1">
        <v>0.0</v>
      </c>
      <c r="AQ1668" s="1" t="s">
        <v>198</v>
      </c>
      <c r="AR1668" s="1" t="s">
        <v>192</v>
      </c>
      <c r="AS1668" s="1" t="s">
        <v>199</v>
      </c>
      <c r="AT1668" s="1">
        <v>2.0</v>
      </c>
      <c r="AV1668" s="1" t="s">
        <v>200</v>
      </c>
      <c r="AW1668" s="1">
        <v>3070.57</v>
      </c>
      <c r="AX1668" s="1">
        <v>2013.0</v>
      </c>
      <c r="AY1668" s="1" t="s">
        <v>229</v>
      </c>
      <c r="AZ1668" s="1" t="s">
        <v>200</v>
      </c>
      <c r="BA1668" s="1" t="str">
        <f>"13212250260000"</f>
        <v>13212250260000</v>
      </c>
      <c r="BC1668" s="1">
        <v>2430.0</v>
      </c>
      <c r="BD1668" s="1">
        <v>420000.0</v>
      </c>
      <c r="BE1668" s="2">
        <v>41852.0</v>
      </c>
      <c r="BF1668" s="2" t="s">
        <v>16584</v>
      </c>
      <c r="BG1668" s="1" t="s">
        <v>16585</v>
      </c>
      <c r="BH1668" s="1">
        <v>0.0</v>
      </c>
      <c r="BI1668" s="1" t="s">
        <v>203</v>
      </c>
      <c r="BJ1668" s="1" t="s">
        <v>203</v>
      </c>
      <c r="BK1668" s="1" t="s">
        <v>204</v>
      </c>
      <c r="BL1668" s="1" t="str">
        <f>"3600"</f>
        <v>3600</v>
      </c>
      <c r="BM1668" s="1" t="str">
        <f t="shared" si="1094"/>
        <v>0</v>
      </c>
      <c r="BN1668" s="1">
        <v>5030.0</v>
      </c>
      <c r="BO1668" s="1">
        <v>0.0</v>
      </c>
      <c r="BQ1668" s="1">
        <v>299.0</v>
      </c>
      <c r="BR1668" s="1">
        <v>299.0</v>
      </c>
      <c r="BS1668" s="1">
        <v>299.0</v>
      </c>
      <c r="BU1668" s="1" t="s">
        <v>1001</v>
      </c>
      <c r="BV1668" s="1" t="s">
        <v>206</v>
      </c>
      <c r="BW1668" s="1" t="s">
        <v>207</v>
      </c>
      <c r="BY1668" s="1" t="s">
        <v>3539</v>
      </c>
      <c r="BZ1668" s="1" t="s">
        <v>209</v>
      </c>
      <c r="CA1668" s="1" t="s">
        <v>210</v>
      </c>
      <c r="CC1668" s="1" t="s">
        <v>497</v>
      </c>
      <c r="CD1668" s="1" t="s">
        <v>206</v>
      </c>
      <c r="CE1668" s="1" t="s">
        <v>207</v>
      </c>
      <c r="CG1668" s="1" t="s">
        <v>266</v>
      </c>
      <c r="CH1668" s="1" t="s">
        <v>206</v>
      </c>
      <c r="CI1668" s="1" t="s">
        <v>210</v>
      </c>
      <c r="CK1668" s="1" t="s">
        <v>264</v>
      </c>
      <c r="CL1668" s="1" t="s">
        <v>209</v>
      </c>
      <c r="CM1668" s="1" t="s">
        <v>210</v>
      </c>
      <c r="CO1668" s="1" t="s">
        <v>264</v>
      </c>
      <c r="CP1668" s="1" t="s">
        <v>209</v>
      </c>
      <c r="CQ1668" s="1" t="s">
        <v>210</v>
      </c>
      <c r="CS1668" s="1" t="s">
        <v>392</v>
      </c>
      <c r="CT1668" s="1" t="s">
        <v>206</v>
      </c>
      <c r="CU1668" s="1" t="s">
        <v>207</v>
      </c>
      <c r="CW1668" s="1" t="s">
        <v>2182</v>
      </c>
      <c r="CX1668" s="1" t="s">
        <v>42</v>
      </c>
      <c r="CY1668" s="1" t="s">
        <v>210</v>
      </c>
      <c r="DA1668" s="1" t="s">
        <v>200</v>
      </c>
      <c r="DC1668" s="1" t="s">
        <v>785</v>
      </c>
      <c r="DD1668" s="1" t="s">
        <v>759</v>
      </c>
      <c r="DE1668" s="1" t="s">
        <v>273</v>
      </c>
      <c r="DF1668" s="1" t="s">
        <v>219</v>
      </c>
      <c r="DG1668" s="1" t="s">
        <v>337</v>
      </c>
      <c r="DH1668" s="1" t="s">
        <v>365</v>
      </c>
      <c r="DI1668" s="1" t="s">
        <v>519</v>
      </c>
      <c r="DJ1668" s="1" t="s">
        <v>222</v>
      </c>
      <c r="DK1668" s="1" t="s">
        <v>223</v>
      </c>
      <c r="DL1668" s="1" t="s">
        <v>1161</v>
      </c>
      <c r="DM1668" s="1" t="s">
        <v>398</v>
      </c>
      <c r="DN1668" s="1" t="s">
        <v>485</v>
      </c>
      <c r="DO1668" s="1" t="s">
        <v>549</v>
      </c>
      <c r="DP1668" s="1" t="s">
        <v>340</v>
      </c>
      <c r="DQ1668" s="1" t="s">
        <v>228</v>
      </c>
      <c r="DR1668" s="1" t="s">
        <v>229</v>
      </c>
      <c r="DS1668" s="1" t="s">
        <v>591</v>
      </c>
      <c r="DU1668" s="1" t="s">
        <v>487</v>
      </c>
      <c r="DV1668" s="1" t="s">
        <v>16586</v>
      </c>
      <c r="DW1668" s="1" t="s">
        <v>444</v>
      </c>
      <c r="DX1668" s="1" t="s">
        <v>234</v>
      </c>
      <c r="DY1668" s="1" t="s">
        <v>1122</v>
      </c>
      <c r="DZ1668" s="1" t="s">
        <v>236</v>
      </c>
      <c r="EA1668" s="1" t="s">
        <v>644</v>
      </c>
      <c r="EC1668" s="1" t="s">
        <v>237</v>
      </c>
      <c r="ED1668" s="1" t="s">
        <v>407</v>
      </c>
      <c r="EJ1668" s="1" t="s">
        <v>450</v>
      </c>
      <c r="EK1668" s="1" t="s">
        <v>1121</v>
      </c>
      <c r="EM1668" s="1" t="s">
        <v>238</v>
      </c>
      <c r="EQ1668" s="1" t="s">
        <v>238</v>
      </c>
      <c r="EU1668" s="1" t="s">
        <v>238</v>
      </c>
      <c r="EX1668" s="1" t="s">
        <v>497</v>
      </c>
      <c r="EY1668" s="1" t="s">
        <v>42</v>
      </c>
      <c r="EZ1668" s="1" t="s">
        <v>210</v>
      </c>
      <c r="FB1668" s="1" t="s">
        <v>2047</v>
      </c>
      <c r="FC1668" s="1" t="s">
        <v>209</v>
      </c>
      <c r="FD1668" s="1" t="s">
        <v>210</v>
      </c>
      <c r="FF1668" s="1" t="s">
        <v>239</v>
      </c>
      <c r="FG1668" s="1" t="s">
        <v>192</v>
      </c>
      <c r="FH1668" s="1" t="s">
        <v>192</v>
      </c>
      <c r="FJ1668" s="1" t="s">
        <v>6761</v>
      </c>
      <c r="FK1668" s="1" t="s">
        <v>229</v>
      </c>
      <c r="FL1668" s="1" t="s">
        <v>16587</v>
      </c>
      <c r="FM1668" s="1">
        <v>1448.0</v>
      </c>
      <c r="FN1668" s="1" t="s">
        <v>16588</v>
      </c>
      <c r="FO1668" s="1" t="s">
        <v>16589</v>
      </c>
      <c r="FP1668" s="1">
        <v>86505.0</v>
      </c>
      <c r="FQ1668" s="1" t="s">
        <v>16590</v>
      </c>
      <c r="FS1668" s="1" t="s">
        <v>16591</v>
      </c>
      <c r="FU1668" s="1" t="s">
        <v>16592</v>
      </c>
      <c r="FV1668" s="1" t="s">
        <v>192</v>
      </c>
      <c r="FW1668" s="1" t="s">
        <v>290</v>
      </c>
      <c r="FX1668" s="1" t="s">
        <v>246</v>
      </c>
      <c r="FZ1668" s="1" t="s">
        <v>229</v>
      </c>
      <c r="GA1668" s="1" t="s">
        <v>291</v>
      </c>
      <c r="GB1668" s="2">
        <v>42067.0</v>
      </c>
      <c r="GC1668" s="1" t="s">
        <v>16593</v>
      </c>
    </row>
    <row r="1669">
      <c r="A1669" s="1">
        <v>160000.0</v>
      </c>
      <c r="B1669" s="1" t="s">
        <v>185</v>
      </c>
      <c r="C1669" s="1" t="str">
        <f>"08699313"</f>
        <v>08699313</v>
      </c>
      <c r="D1669" s="1" t="s">
        <v>186</v>
      </c>
      <c r="F1669" s="1" t="str">
        <f>"8044"</f>
        <v>8044</v>
      </c>
      <c r="G1669" s="2">
        <v>41863.0</v>
      </c>
      <c r="H1669" s="1">
        <v>170000.0</v>
      </c>
      <c r="I1669" s="1">
        <v>92.0</v>
      </c>
      <c r="J1669" s="1">
        <v>170000.0</v>
      </c>
      <c r="K1669" s="2">
        <v>41954.0</v>
      </c>
      <c r="L1669" s="1">
        <v>92.0</v>
      </c>
      <c r="M1669" s="2">
        <v>41954.0</v>
      </c>
      <c r="N1669" s="1" t="s">
        <v>356</v>
      </c>
      <c r="O1669" s="2">
        <v>41996.0</v>
      </c>
      <c r="P1669" s="1">
        <v>135240.0</v>
      </c>
      <c r="Q1669" s="1">
        <v>12925.0</v>
      </c>
      <c r="R1669" s="1">
        <v>4400.0</v>
      </c>
      <c r="S1669" s="1">
        <v>8436.0</v>
      </c>
      <c r="T1669" s="1" t="s">
        <v>10763</v>
      </c>
      <c r="U1669" s="1" t="s">
        <v>189</v>
      </c>
      <c r="V1669" s="1" t="s">
        <v>190</v>
      </c>
      <c r="W1669" s="1">
        <v>60619.0</v>
      </c>
      <c r="Y1669" s="1" t="s">
        <v>16594</v>
      </c>
      <c r="Z1669" s="1">
        <v>1940.0</v>
      </c>
      <c r="AA1669" s="1" t="s">
        <v>192</v>
      </c>
      <c r="AB1669" s="1" t="s">
        <v>193</v>
      </c>
      <c r="AD1669" s="1" t="s">
        <v>194</v>
      </c>
      <c r="AE1669" s="1" t="s">
        <v>195</v>
      </c>
      <c r="AF1669" s="1" t="s">
        <v>637</v>
      </c>
      <c r="AH1669" s="1" t="s">
        <v>16595</v>
      </c>
      <c r="AK1669" s="1">
        <v>9.0</v>
      </c>
      <c r="AL1669" s="1">
        <v>4.0</v>
      </c>
      <c r="AM1669" s="1">
        <v>3.0</v>
      </c>
      <c r="AN1669" s="1">
        <v>0.0</v>
      </c>
      <c r="AO1669" s="1" t="s">
        <v>229</v>
      </c>
      <c r="AP1669" s="1">
        <v>1.0</v>
      </c>
      <c r="AQ1669" s="1" t="s">
        <v>198</v>
      </c>
      <c r="AR1669" s="1" t="s">
        <v>192</v>
      </c>
      <c r="AS1669" s="1" t="s">
        <v>199</v>
      </c>
      <c r="AT1669" s="1">
        <v>2.0</v>
      </c>
      <c r="AV1669" s="1" t="s">
        <v>200</v>
      </c>
      <c r="AW1669" s="1">
        <v>2451.97</v>
      </c>
      <c r="AX1669" s="1">
        <v>2012.0</v>
      </c>
      <c r="AY1669" s="1" t="s">
        <v>229</v>
      </c>
      <c r="AZ1669" s="1" t="s">
        <v>200</v>
      </c>
      <c r="BA1669" s="1" t="str">
        <f>"20343070330000"</f>
        <v>20343070330000</v>
      </c>
      <c r="BB1669" s="1" t="s">
        <v>200</v>
      </c>
      <c r="BC1669" s="1">
        <v>1356.0</v>
      </c>
      <c r="BD1669" s="1">
        <v>160000.0</v>
      </c>
      <c r="BE1669" s="2">
        <v>41863.0</v>
      </c>
      <c r="BF1669" s="2" t="s">
        <v>16596</v>
      </c>
      <c r="BH1669" s="1">
        <v>0.0</v>
      </c>
      <c r="BK1669" s="1" t="s">
        <v>204</v>
      </c>
      <c r="BL1669" s="1" t="str">
        <f t="shared" ref="BL1669:BL1670" si="1095">"0"</f>
        <v>0</v>
      </c>
      <c r="BM1669" s="1" t="str">
        <f>"100"</f>
        <v>100</v>
      </c>
      <c r="BN1669" s="1">
        <v>0.0</v>
      </c>
      <c r="BO1669" s="1">
        <v>8436.0</v>
      </c>
      <c r="BQ1669" s="1">
        <v>299.0</v>
      </c>
      <c r="BR1669" s="1">
        <v>299.0</v>
      </c>
      <c r="BS1669" s="1">
        <v>299.0</v>
      </c>
      <c r="BU1669" s="1" t="s">
        <v>213</v>
      </c>
      <c r="BV1669" s="1" t="s">
        <v>206</v>
      </c>
      <c r="BW1669" s="1" t="s">
        <v>210</v>
      </c>
      <c r="BY1669" s="1" t="s">
        <v>925</v>
      </c>
      <c r="BZ1669" s="1" t="s">
        <v>206</v>
      </c>
      <c r="CA1669" s="1" t="s">
        <v>210</v>
      </c>
      <c r="CC1669" s="1" t="s">
        <v>497</v>
      </c>
      <c r="CD1669" s="1" t="s">
        <v>206</v>
      </c>
      <c r="CE1669" s="1" t="s">
        <v>210</v>
      </c>
      <c r="CG1669" s="1" t="s">
        <v>582</v>
      </c>
      <c r="CH1669" s="1" t="s">
        <v>206</v>
      </c>
      <c r="CI1669" s="1" t="s">
        <v>617</v>
      </c>
      <c r="CK1669" s="1" t="s">
        <v>582</v>
      </c>
      <c r="CL1669" s="1" t="s">
        <v>209</v>
      </c>
      <c r="CM1669" s="1" t="s">
        <v>210</v>
      </c>
      <c r="CO1669" s="1" t="s">
        <v>2082</v>
      </c>
      <c r="CP1669" s="1" t="s">
        <v>209</v>
      </c>
      <c r="CQ1669" s="1" t="s">
        <v>210</v>
      </c>
      <c r="CS1669" s="1" t="s">
        <v>263</v>
      </c>
      <c r="CT1669" s="1" t="s">
        <v>206</v>
      </c>
      <c r="CU1669" s="1" t="s">
        <v>617</v>
      </c>
      <c r="CW1669" s="1" t="s">
        <v>16597</v>
      </c>
      <c r="CX1669" s="1" t="s">
        <v>267</v>
      </c>
      <c r="CY1669" s="1" t="s">
        <v>617</v>
      </c>
      <c r="DA1669" s="1" t="s">
        <v>200</v>
      </c>
      <c r="DC1669" s="1" t="s">
        <v>1399</v>
      </c>
      <c r="DD1669" s="1" t="s">
        <v>518</v>
      </c>
      <c r="DE1669" s="1" t="s">
        <v>273</v>
      </c>
      <c r="DF1669" s="1" t="s">
        <v>619</v>
      </c>
      <c r="DH1669" s="1" t="s">
        <v>365</v>
      </c>
      <c r="DI1669" s="1" t="s">
        <v>1223</v>
      </c>
      <c r="DJ1669" s="1" t="s">
        <v>222</v>
      </c>
      <c r="DL1669" s="1" t="s">
        <v>224</v>
      </c>
      <c r="DM1669" s="1" t="s">
        <v>229</v>
      </c>
      <c r="DP1669" s="1" t="s">
        <v>340</v>
      </c>
      <c r="DQ1669" s="1" t="s">
        <v>228</v>
      </c>
      <c r="DR1669" s="1" t="s">
        <v>229</v>
      </c>
      <c r="DV1669" s="1" t="s">
        <v>11969</v>
      </c>
      <c r="DW1669" s="1" t="s">
        <v>279</v>
      </c>
      <c r="DX1669" s="1" t="s">
        <v>234</v>
      </c>
      <c r="DY1669" s="1" t="s">
        <v>16598</v>
      </c>
      <c r="EB1669" s="1" t="s">
        <v>345</v>
      </c>
      <c r="EC1669" s="1" t="s">
        <v>237</v>
      </c>
      <c r="ED1669" s="1" t="s">
        <v>407</v>
      </c>
      <c r="EH1669" s="1" t="s">
        <v>556</v>
      </c>
      <c r="EI1669" s="1" t="s">
        <v>408</v>
      </c>
      <c r="EM1669" s="1" t="s">
        <v>238</v>
      </c>
      <c r="EP1669" s="1" t="s">
        <v>4153</v>
      </c>
      <c r="EQ1669" s="1" t="s">
        <v>206</v>
      </c>
      <c r="ER1669" s="1" t="s">
        <v>617</v>
      </c>
      <c r="ET1669" s="1" t="s">
        <v>1795</v>
      </c>
      <c r="EU1669" s="1" t="s">
        <v>206</v>
      </c>
      <c r="EV1669" s="1" t="s">
        <v>210</v>
      </c>
      <c r="EY1669" s="1" t="s">
        <v>238</v>
      </c>
      <c r="FC1669" s="1" t="s">
        <v>238</v>
      </c>
      <c r="FF1669" s="1" t="s">
        <v>239</v>
      </c>
      <c r="FG1669" s="1" t="s">
        <v>192</v>
      </c>
      <c r="FH1669" s="1" t="s">
        <v>192</v>
      </c>
      <c r="FJ1669" s="1" t="s">
        <v>524</v>
      </c>
      <c r="FK1669" s="1" t="s">
        <v>229</v>
      </c>
      <c r="FL1669" s="1" t="s">
        <v>1358</v>
      </c>
      <c r="FM1669" s="1">
        <v>51102.0</v>
      </c>
      <c r="FN1669" s="1" t="s">
        <v>3246</v>
      </c>
      <c r="FO1669" s="1" t="s">
        <v>16599</v>
      </c>
      <c r="FP1669" s="1">
        <v>242392.0</v>
      </c>
      <c r="FU1669" s="1" t="s">
        <v>16600</v>
      </c>
      <c r="FV1669" s="1" t="s">
        <v>200</v>
      </c>
      <c r="FW1669" s="1" t="s">
        <v>530</v>
      </c>
      <c r="FX1669" s="1" t="s">
        <v>655</v>
      </c>
      <c r="FZ1669" s="1" t="s">
        <v>229</v>
      </c>
      <c r="GA1669" s="1" t="s">
        <v>291</v>
      </c>
      <c r="GB1669" s="2">
        <v>42012.0</v>
      </c>
    </row>
    <row r="1670">
      <c r="A1670" s="1">
        <v>10000.0</v>
      </c>
      <c r="B1670" s="1" t="s">
        <v>185</v>
      </c>
      <c r="C1670" s="1" t="str">
        <f>"08691212"</f>
        <v>08691212</v>
      </c>
      <c r="D1670" s="1" t="s">
        <v>186</v>
      </c>
      <c r="F1670" s="1" t="str">
        <f>"8066"</f>
        <v>8066</v>
      </c>
      <c r="G1670" s="2">
        <v>41854.0</v>
      </c>
      <c r="H1670" s="1">
        <v>9999.0</v>
      </c>
      <c r="I1670" s="1">
        <v>96.0</v>
      </c>
      <c r="J1670" s="1">
        <v>9999.0</v>
      </c>
      <c r="K1670" s="2">
        <v>41949.0</v>
      </c>
      <c r="L1670" s="1">
        <v>96.0</v>
      </c>
      <c r="M1670" s="2">
        <v>41949.0</v>
      </c>
      <c r="N1670" s="1" t="s">
        <v>249</v>
      </c>
      <c r="O1670" s="2">
        <v>41981.0</v>
      </c>
      <c r="P1670" s="1">
        <v>117713.0</v>
      </c>
      <c r="Q1670" s="1">
        <v>15123.0</v>
      </c>
      <c r="S1670" s="1">
        <v>6503.0</v>
      </c>
      <c r="T1670" s="1" t="s">
        <v>6991</v>
      </c>
      <c r="U1670" s="1" t="s">
        <v>189</v>
      </c>
      <c r="V1670" s="1" t="s">
        <v>190</v>
      </c>
      <c r="W1670" s="1">
        <v>60636.0</v>
      </c>
      <c r="Y1670" s="1" t="s">
        <v>16601</v>
      </c>
      <c r="Z1670" s="1">
        <v>1912.0</v>
      </c>
      <c r="AA1670" s="1" t="s">
        <v>192</v>
      </c>
      <c r="AB1670" s="1" t="s">
        <v>193</v>
      </c>
      <c r="AD1670" s="1" t="s">
        <v>194</v>
      </c>
      <c r="AE1670" s="1" t="s">
        <v>195</v>
      </c>
      <c r="AF1670" s="1" t="s">
        <v>1154</v>
      </c>
      <c r="AH1670" s="1" t="s">
        <v>741</v>
      </c>
      <c r="AK1670" s="1">
        <v>7.0</v>
      </c>
      <c r="AL1670" s="1">
        <v>4.0</v>
      </c>
      <c r="AM1670" s="1">
        <v>2.0</v>
      </c>
      <c r="AN1670" s="1">
        <v>0.0</v>
      </c>
      <c r="AO1670" s="1" t="s">
        <v>229</v>
      </c>
      <c r="AQ1670" s="1" t="s">
        <v>198</v>
      </c>
      <c r="AR1670" s="1" t="s">
        <v>200</v>
      </c>
      <c r="AS1670" s="1" t="s">
        <v>229</v>
      </c>
      <c r="AV1670" s="1" t="s">
        <v>200</v>
      </c>
      <c r="AW1670" s="1">
        <v>1437.0</v>
      </c>
      <c r="AX1670" s="1">
        <v>2012.0</v>
      </c>
      <c r="AY1670" s="1" t="s">
        <v>229</v>
      </c>
      <c r="AZ1670" s="1" t="s">
        <v>200</v>
      </c>
      <c r="BA1670" s="1" t="str">
        <f>"20191160020000"</f>
        <v>20191160020000</v>
      </c>
      <c r="BB1670" s="1" t="s">
        <v>200</v>
      </c>
      <c r="BC1670" s="1">
        <v>1300.0</v>
      </c>
      <c r="BD1670" s="1">
        <v>10000.0</v>
      </c>
      <c r="BE1670" s="2">
        <v>41854.0</v>
      </c>
      <c r="BF1670" s="1" t="s">
        <v>16602</v>
      </c>
      <c r="BH1670" s="1">
        <v>0.0</v>
      </c>
      <c r="BK1670" s="1" t="s">
        <v>204</v>
      </c>
      <c r="BL1670" s="1" t="str">
        <f t="shared" si="1095"/>
        <v>0</v>
      </c>
      <c r="BM1670" s="1" t="str">
        <f>"0"</f>
        <v>0</v>
      </c>
      <c r="BN1670" s="1">
        <v>2300.0</v>
      </c>
      <c r="BO1670" s="1">
        <v>6503.0</v>
      </c>
      <c r="BQ1670" s="1">
        <v>299.0</v>
      </c>
      <c r="BR1670" s="1">
        <v>299.0</v>
      </c>
      <c r="BS1670" s="1">
        <v>299.0</v>
      </c>
      <c r="BU1670" s="1" t="s">
        <v>1483</v>
      </c>
      <c r="BV1670" s="1" t="s">
        <v>206</v>
      </c>
      <c r="BW1670" s="1" t="s">
        <v>210</v>
      </c>
      <c r="BX1670" s="1" t="s">
        <v>229</v>
      </c>
      <c r="BY1670" s="1" t="s">
        <v>1483</v>
      </c>
      <c r="BZ1670" s="1" t="s">
        <v>209</v>
      </c>
      <c r="CC1670" s="1" t="s">
        <v>647</v>
      </c>
      <c r="CD1670" s="1" t="s">
        <v>206</v>
      </c>
      <c r="CE1670" s="1" t="s">
        <v>210</v>
      </c>
      <c r="CF1670" s="1" t="s">
        <v>229</v>
      </c>
      <c r="CG1670" s="1" t="s">
        <v>264</v>
      </c>
      <c r="CH1670" s="1" t="s">
        <v>209</v>
      </c>
      <c r="CI1670" s="1" t="s">
        <v>210</v>
      </c>
      <c r="CJ1670" s="1" t="s">
        <v>229</v>
      </c>
      <c r="CK1670" s="1" t="s">
        <v>264</v>
      </c>
      <c r="CL1670" s="1" t="s">
        <v>209</v>
      </c>
      <c r="CM1670" s="1" t="s">
        <v>210</v>
      </c>
      <c r="CN1670" s="1" t="s">
        <v>229</v>
      </c>
      <c r="CO1670" s="1" t="s">
        <v>663</v>
      </c>
      <c r="CP1670" s="1" t="s">
        <v>206</v>
      </c>
      <c r="CQ1670" s="1" t="s">
        <v>210</v>
      </c>
      <c r="CR1670" s="1" t="s">
        <v>229</v>
      </c>
      <c r="CS1670" s="1" t="s">
        <v>544</v>
      </c>
      <c r="CT1670" s="1" t="s">
        <v>206</v>
      </c>
      <c r="CU1670" s="1" t="s">
        <v>268</v>
      </c>
      <c r="CX1670" s="1" t="s">
        <v>204</v>
      </c>
      <c r="DA1670" s="1" t="s">
        <v>200</v>
      </c>
      <c r="DC1670" s="1" t="s">
        <v>642</v>
      </c>
      <c r="DE1670" s="1" t="s">
        <v>229</v>
      </c>
      <c r="DF1670" s="1" t="s">
        <v>229</v>
      </c>
      <c r="DH1670" s="1" t="s">
        <v>220</v>
      </c>
      <c r="DJ1670" s="1" t="s">
        <v>222</v>
      </c>
      <c r="DL1670" s="1" t="s">
        <v>223</v>
      </c>
      <c r="DM1670" s="1" t="s">
        <v>229</v>
      </c>
      <c r="DQ1670" s="1" t="s">
        <v>228</v>
      </c>
      <c r="DR1670" s="1" t="s">
        <v>229</v>
      </c>
      <c r="DS1670" s="1" t="s">
        <v>277</v>
      </c>
      <c r="DU1670" s="1" t="s">
        <v>16603</v>
      </c>
      <c r="DV1670" s="1" t="s">
        <v>232</v>
      </c>
      <c r="DW1670" s="1" t="s">
        <v>667</v>
      </c>
      <c r="DX1670" s="1" t="s">
        <v>234</v>
      </c>
      <c r="EA1670" s="1" t="s">
        <v>344</v>
      </c>
      <c r="EC1670" s="1" t="s">
        <v>237</v>
      </c>
      <c r="EM1670" s="1" t="s">
        <v>238</v>
      </c>
      <c r="EQ1670" s="1" t="s">
        <v>238</v>
      </c>
      <c r="EU1670" s="1" t="s">
        <v>238</v>
      </c>
      <c r="EY1670" s="1" t="s">
        <v>238</v>
      </c>
      <c r="FC1670" s="1" t="s">
        <v>238</v>
      </c>
      <c r="FF1670" s="1" t="s">
        <v>239</v>
      </c>
      <c r="FG1670" s="1" t="s">
        <v>192</v>
      </c>
      <c r="FH1670" s="1" t="s">
        <v>192</v>
      </c>
      <c r="FJ1670" s="1" t="s">
        <v>16604</v>
      </c>
      <c r="FK1670" s="1" t="s">
        <v>229</v>
      </c>
      <c r="FL1670" s="1" t="s">
        <v>16605</v>
      </c>
      <c r="FM1670" s="1">
        <v>16165.0</v>
      </c>
      <c r="FN1670" s="1" t="s">
        <v>16606</v>
      </c>
      <c r="FO1670" s="1" t="s">
        <v>16607</v>
      </c>
      <c r="FP1670" s="1">
        <v>171061.0</v>
      </c>
      <c r="FU1670" s="1" t="s">
        <v>16608</v>
      </c>
      <c r="FV1670" s="1" t="s">
        <v>200</v>
      </c>
      <c r="FW1670" s="1" t="s">
        <v>290</v>
      </c>
      <c r="FX1670" s="1" t="s">
        <v>655</v>
      </c>
      <c r="FZ1670" s="1" t="s">
        <v>229</v>
      </c>
      <c r="GA1670" s="1" t="s">
        <v>291</v>
      </c>
      <c r="GB1670" s="2">
        <v>41990.0</v>
      </c>
      <c r="GC1670" s="1" t="s">
        <v>16609</v>
      </c>
    </row>
    <row r="1671">
      <c r="A1671" s="1">
        <v>299900.0</v>
      </c>
      <c r="B1671" s="1" t="s">
        <v>185</v>
      </c>
      <c r="C1671" s="1" t="str">
        <f>"08694297"</f>
        <v>08694297</v>
      </c>
      <c r="D1671" s="1" t="s">
        <v>186</v>
      </c>
      <c r="F1671" s="1" t="str">
        <f>"543"</f>
        <v>543</v>
      </c>
      <c r="G1671" s="2">
        <v>41857.0</v>
      </c>
      <c r="H1671" s="1">
        <v>313877.0</v>
      </c>
      <c r="I1671" s="1">
        <v>207.0</v>
      </c>
      <c r="J1671" s="1">
        <v>299900.0</v>
      </c>
      <c r="K1671" s="2">
        <v>42063.0</v>
      </c>
      <c r="L1671" s="1">
        <v>207.0</v>
      </c>
      <c r="M1671" s="2">
        <v>42063.0</v>
      </c>
      <c r="N1671" s="1" t="s">
        <v>187</v>
      </c>
      <c r="O1671" s="2">
        <v>42124.0</v>
      </c>
      <c r="P1671" s="1">
        <v>223770.0</v>
      </c>
      <c r="Q1671" s="1">
        <v>20001.0</v>
      </c>
      <c r="S1671" s="1">
        <v>505.0</v>
      </c>
      <c r="T1671" s="1" t="s">
        <v>16610</v>
      </c>
      <c r="U1671" s="1" t="s">
        <v>420</v>
      </c>
      <c r="V1671" s="1" t="s">
        <v>1527</v>
      </c>
      <c r="W1671" s="1">
        <v>60543.0</v>
      </c>
      <c r="Y1671" s="1" t="s">
        <v>16611</v>
      </c>
      <c r="Z1671" s="1">
        <v>2013.0</v>
      </c>
      <c r="AA1671" s="1" t="s">
        <v>200</v>
      </c>
      <c r="AB1671" s="1" t="s">
        <v>467</v>
      </c>
      <c r="AC1671" s="1" t="s">
        <v>10402</v>
      </c>
      <c r="AD1671" s="1" t="s">
        <v>1529</v>
      </c>
      <c r="AE1671" s="1" t="s">
        <v>849</v>
      </c>
      <c r="AF1671" s="1" t="s">
        <v>1529</v>
      </c>
      <c r="AG1671" s="1" t="s">
        <v>8118</v>
      </c>
      <c r="AH1671" s="1" t="s">
        <v>16612</v>
      </c>
      <c r="AK1671" s="1">
        <v>10.0</v>
      </c>
      <c r="AL1671" s="1">
        <v>4.0</v>
      </c>
      <c r="AM1671" s="1">
        <v>2.0</v>
      </c>
      <c r="AN1671" s="1">
        <v>1.0</v>
      </c>
      <c r="AO1671" s="1" t="s">
        <v>198</v>
      </c>
      <c r="AQ1671" s="1" t="s">
        <v>198</v>
      </c>
      <c r="AR1671" s="1" t="s">
        <v>200</v>
      </c>
      <c r="AS1671" s="1" t="s">
        <v>199</v>
      </c>
      <c r="AT1671" s="1">
        <v>3.0</v>
      </c>
      <c r="AV1671" s="1" t="s">
        <v>200</v>
      </c>
      <c r="AW1671" s="1" t="s">
        <v>575</v>
      </c>
      <c r="AX1671" s="1">
        <v>2013.0</v>
      </c>
      <c r="AZ1671" s="1" t="s">
        <v>200</v>
      </c>
      <c r="BA1671" s="1" t="str">
        <f>"0316330009"</f>
        <v>0316330009</v>
      </c>
      <c r="BB1671" s="1" t="s">
        <v>200</v>
      </c>
      <c r="BC1671" s="1">
        <v>2700.0</v>
      </c>
      <c r="BD1671" s="1">
        <v>299900.0</v>
      </c>
      <c r="BE1671" s="2">
        <v>41857.0</v>
      </c>
      <c r="BF1671" s="2" t="s">
        <v>16613</v>
      </c>
      <c r="BG1671" s="1" t="s">
        <v>8200</v>
      </c>
      <c r="BH1671" s="1">
        <v>140.0</v>
      </c>
      <c r="BI1671" s="1" t="s">
        <v>1533</v>
      </c>
      <c r="BJ1671" s="1" t="s">
        <v>1349</v>
      </c>
      <c r="BK1671" s="1" t="s">
        <v>1952</v>
      </c>
      <c r="BL1671" s="1" t="str">
        <f t="shared" ref="BL1671:BM1671" si="1096">""</f>
        <v/>
      </c>
      <c r="BM1671" s="1" t="str">
        <f t="shared" si="1096"/>
        <v/>
      </c>
      <c r="BQ1671" s="1">
        <v>308.0</v>
      </c>
      <c r="BR1671" s="1">
        <v>308.0</v>
      </c>
      <c r="BS1671" s="1">
        <v>308.0</v>
      </c>
      <c r="BV1671" s="1" t="s">
        <v>204</v>
      </c>
      <c r="BY1671" s="1" t="s">
        <v>662</v>
      </c>
      <c r="BZ1671" s="1" t="s">
        <v>209</v>
      </c>
      <c r="CA1671" s="1" t="s">
        <v>210</v>
      </c>
      <c r="CB1671" s="1" t="s">
        <v>229</v>
      </c>
      <c r="CC1671" s="1" t="s">
        <v>1351</v>
      </c>
      <c r="CD1671" s="1" t="s">
        <v>206</v>
      </c>
      <c r="CF1671" s="1" t="s">
        <v>229</v>
      </c>
      <c r="CG1671" s="1" t="s">
        <v>1351</v>
      </c>
      <c r="CH1671" s="1" t="s">
        <v>209</v>
      </c>
      <c r="CI1671" s="1" t="s">
        <v>210</v>
      </c>
      <c r="CJ1671" s="1" t="s">
        <v>229</v>
      </c>
      <c r="CK1671" s="1" t="s">
        <v>302</v>
      </c>
      <c r="CL1671" s="1" t="s">
        <v>209</v>
      </c>
      <c r="CM1671" s="1" t="s">
        <v>210</v>
      </c>
      <c r="CO1671" s="1" t="s">
        <v>212</v>
      </c>
      <c r="CP1671" s="1" t="s">
        <v>209</v>
      </c>
      <c r="CQ1671" s="1" t="s">
        <v>210</v>
      </c>
      <c r="CR1671" s="1" t="s">
        <v>229</v>
      </c>
      <c r="CS1671" s="1" t="s">
        <v>262</v>
      </c>
      <c r="CT1671" s="1" t="s">
        <v>206</v>
      </c>
      <c r="CU1671" s="1" t="s">
        <v>207</v>
      </c>
      <c r="CV1671" s="1" t="s">
        <v>229</v>
      </c>
      <c r="CW1671" s="1" t="s">
        <v>214</v>
      </c>
      <c r="CX1671" s="1" t="s">
        <v>206</v>
      </c>
      <c r="CY1671" s="1" t="s">
        <v>210</v>
      </c>
      <c r="CZ1671" s="1" t="s">
        <v>229</v>
      </c>
      <c r="DA1671" s="1" t="s">
        <v>200</v>
      </c>
      <c r="DC1671" s="1" t="s">
        <v>1046</v>
      </c>
      <c r="DD1671" s="1" t="s">
        <v>4137</v>
      </c>
      <c r="DE1671" s="1" t="s">
        <v>273</v>
      </c>
      <c r="DF1671" s="1" t="s">
        <v>219</v>
      </c>
      <c r="DG1671" s="1" t="s">
        <v>6030</v>
      </c>
      <c r="DH1671" s="1" t="s">
        <v>220</v>
      </c>
      <c r="DI1671" s="1" t="s">
        <v>589</v>
      </c>
      <c r="DJ1671" s="1" t="s">
        <v>222</v>
      </c>
      <c r="DL1671" s="1" t="s">
        <v>223</v>
      </c>
      <c r="DM1671" s="1" t="s">
        <v>338</v>
      </c>
      <c r="DN1671" s="1" t="s">
        <v>485</v>
      </c>
      <c r="DO1671" s="1" t="s">
        <v>440</v>
      </c>
      <c r="DP1671" s="1" t="s">
        <v>340</v>
      </c>
      <c r="DQ1671" s="1" t="s">
        <v>441</v>
      </c>
      <c r="DR1671" s="1" t="s">
        <v>1980</v>
      </c>
      <c r="DS1671" s="1" t="s">
        <v>591</v>
      </c>
      <c r="DU1671" s="1" t="s">
        <v>550</v>
      </c>
      <c r="DV1671" s="1" t="s">
        <v>1841</v>
      </c>
      <c r="DW1671" s="1" t="s">
        <v>233</v>
      </c>
      <c r="DX1671" s="1" t="s">
        <v>234</v>
      </c>
      <c r="DY1671" s="1" t="s">
        <v>1051</v>
      </c>
      <c r="EA1671" s="1" t="s">
        <v>344</v>
      </c>
      <c r="EC1671" s="1" t="s">
        <v>237</v>
      </c>
      <c r="EE1671" s="1" t="s">
        <v>493</v>
      </c>
      <c r="EG1671" s="1" t="s">
        <v>556</v>
      </c>
      <c r="EI1671" s="1" t="s">
        <v>341</v>
      </c>
      <c r="EJ1671" s="1" t="s">
        <v>494</v>
      </c>
      <c r="EL1671" s="1" t="s">
        <v>212</v>
      </c>
      <c r="EM1671" s="1" t="s">
        <v>206</v>
      </c>
      <c r="EN1671" s="1" t="s">
        <v>207</v>
      </c>
      <c r="EO1671" s="1" t="s">
        <v>229</v>
      </c>
      <c r="EQ1671" s="1" t="s">
        <v>238</v>
      </c>
      <c r="ET1671" s="1" t="s">
        <v>211</v>
      </c>
      <c r="EU1671" s="1" t="s">
        <v>209</v>
      </c>
      <c r="EV1671" s="1" t="s">
        <v>210</v>
      </c>
      <c r="EW1671" s="1" t="s">
        <v>229</v>
      </c>
      <c r="EX1671" s="1" t="s">
        <v>212</v>
      </c>
      <c r="EY1671" s="1" t="s">
        <v>206</v>
      </c>
      <c r="FC1671" s="1" t="s">
        <v>238</v>
      </c>
      <c r="FF1671" s="1" t="s">
        <v>239</v>
      </c>
      <c r="FG1671" s="1" t="s">
        <v>192</v>
      </c>
      <c r="FH1671" s="1" t="s">
        <v>192</v>
      </c>
      <c r="FJ1671" s="1" t="s">
        <v>347</v>
      </c>
      <c r="FK1671" s="1" t="s">
        <v>229</v>
      </c>
      <c r="FL1671" s="1" t="s">
        <v>2448</v>
      </c>
      <c r="FM1671" s="1">
        <v>92038.0</v>
      </c>
      <c r="FN1671" s="1" t="s">
        <v>2449</v>
      </c>
      <c r="FO1671" s="1" t="s">
        <v>2450</v>
      </c>
      <c r="FP1671" s="1">
        <v>21137.0</v>
      </c>
      <c r="FQ1671" s="1" t="s">
        <v>2451</v>
      </c>
      <c r="FU1671" s="1" t="s">
        <v>16614</v>
      </c>
      <c r="FV1671" s="1" t="s">
        <v>200</v>
      </c>
      <c r="FW1671" s="1" t="s">
        <v>10410</v>
      </c>
      <c r="FZ1671" s="1" t="s">
        <v>229</v>
      </c>
      <c r="GA1671" s="1" t="s">
        <v>291</v>
      </c>
      <c r="GB1671" s="2">
        <v>42126.0</v>
      </c>
      <c r="GC1671" s="1" t="s">
        <v>16615</v>
      </c>
    </row>
    <row r="1672">
      <c r="A1672" s="1">
        <v>82000.0</v>
      </c>
      <c r="B1672" s="1" t="s">
        <v>185</v>
      </c>
      <c r="C1672" s="1" t="str">
        <f>"08684405"</f>
        <v>08684405</v>
      </c>
      <c r="D1672" s="1" t="s">
        <v>186</v>
      </c>
      <c r="F1672" s="1" t="str">
        <f>"8070"</f>
        <v>8070</v>
      </c>
      <c r="G1672" s="2">
        <v>41846.0</v>
      </c>
      <c r="H1672" s="1">
        <v>99999.0</v>
      </c>
      <c r="I1672" s="1">
        <v>56.0</v>
      </c>
      <c r="J1672" s="1">
        <v>89999.0</v>
      </c>
      <c r="K1672" s="2">
        <v>41901.0</v>
      </c>
      <c r="L1672" s="1">
        <v>56.0</v>
      </c>
      <c r="M1672" s="2">
        <v>41901.0</v>
      </c>
      <c r="N1672" s="1" t="s">
        <v>249</v>
      </c>
      <c r="O1672" s="2">
        <v>42101.0</v>
      </c>
      <c r="P1672" s="1">
        <v>144565.0</v>
      </c>
      <c r="Q1672" s="1">
        <v>14652.0</v>
      </c>
      <c r="S1672" s="1">
        <v>8035.0</v>
      </c>
      <c r="T1672" s="1" t="s">
        <v>11751</v>
      </c>
      <c r="U1672" s="1" t="s">
        <v>320</v>
      </c>
      <c r="V1672" s="1" t="s">
        <v>190</v>
      </c>
      <c r="W1672" s="1">
        <v>60652.0</v>
      </c>
      <c r="Y1672" s="1" t="s">
        <v>16616</v>
      </c>
      <c r="Z1672" s="1">
        <v>1947.0</v>
      </c>
      <c r="AA1672" s="1" t="s">
        <v>192</v>
      </c>
      <c r="AB1672" s="1" t="s">
        <v>193</v>
      </c>
      <c r="AD1672" s="1" t="s">
        <v>194</v>
      </c>
      <c r="AE1672" s="1" t="s">
        <v>195</v>
      </c>
      <c r="AF1672" s="1" t="s">
        <v>659</v>
      </c>
      <c r="AH1672" s="1" t="s">
        <v>359</v>
      </c>
      <c r="AI1672" s="1">
        <v>0.0868</v>
      </c>
      <c r="AK1672" s="1">
        <v>7.0</v>
      </c>
      <c r="AL1672" s="1">
        <v>4.0</v>
      </c>
      <c r="AM1672" s="1">
        <v>1.0</v>
      </c>
      <c r="AN1672" s="1">
        <v>0.0</v>
      </c>
      <c r="AO1672" s="1" t="s">
        <v>229</v>
      </c>
      <c r="AQ1672" s="1" t="s">
        <v>198</v>
      </c>
      <c r="AR1672" s="1" t="s">
        <v>200</v>
      </c>
      <c r="AS1672" s="1" t="s">
        <v>199</v>
      </c>
      <c r="AT1672" s="1">
        <v>2.0</v>
      </c>
      <c r="AV1672" s="1" t="s">
        <v>200</v>
      </c>
      <c r="AW1672" s="1">
        <v>2017.73</v>
      </c>
      <c r="AX1672" s="1">
        <v>2013.0</v>
      </c>
      <c r="AZ1672" s="1" t="s">
        <v>200</v>
      </c>
      <c r="BA1672" s="1" t="str">
        <f>"19361130120000"</f>
        <v>19361130120000</v>
      </c>
      <c r="BC1672" s="1">
        <v>1150.0</v>
      </c>
      <c r="BD1672" s="1">
        <v>82000.0</v>
      </c>
      <c r="BE1672" s="2">
        <v>41846.0</v>
      </c>
      <c r="BF1672" s="1" t="s">
        <v>16617</v>
      </c>
      <c r="BH1672" s="1">
        <v>0.0</v>
      </c>
      <c r="BK1672" s="1" t="s">
        <v>204</v>
      </c>
      <c r="BL1672" s="1" t="str">
        <f t="shared" ref="BL1672:BM1672" si="1097">"0"</f>
        <v>0</v>
      </c>
      <c r="BM1672" s="1" t="str">
        <f t="shared" si="1097"/>
        <v>0</v>
      </c>
      <c r="BN1672" s="1">
        <v>2900.0</v>
      </c>
      <c r="BO1672" s="1">
        <v>8035.0</v>
      </c>
      <c r="BQ1672" s="1">
        <v>299.0</v>
      </c>
      <c r="BR1672" s="1">
        <v>299.0</v>
      </c>
      <c r="BS1672" s="1">
        <v>299.0</v>
      </c>
      <c r="BU1672" s="1" t="s">
        <v>363</v>
      </c>
      <c r="BV1672" s="1" t="s">
        <v>206</v>
      </c>
      <c r="BW1672" s="1" t="s">
        <v>207</v>
      </c>
      <c r="BX1672" s="1" t="s">
        <v>239</v>
      </c>
      <c r="BY1672" s="1" t="s">
        <v>212</v>
      </c>
      <c r="BZ1672" s="1" t="s">
        <v>206</v>
      </c>
      <c r="CA1672" s="1" t="s">
        <v>207</v>
      </c>
      <c r="CB1672" s="1" t="s">
        <v>239</v>
      </c>
      <c r="CD1672" s="1" t="s">
        <v>204</v>
      </c>
      <c r="CG1672" s="1" t="s">
        <v>699</v>
      </c>
      <c r="CH1672" s="1" t="s">
        <v>206</v>
      </c>
      <c r="CI1672" s="1" t="s">
        <v>207</v>
      </c>
      <c r="CJ1672" s="1" t="s">
        <v>239</v>
      </c>
      <c r="CK1672" s="1" t="s">
        <v>264</v>
      </c>
      <c r="CL1672" s="1" t="s">
        <v>209</v>
      </c>
      <c r="CM1672" s="1" t="s">
        <v>210</v>
      </c>
      <c r="CN1672" s="1" t="s">
        <v>239</v>
      </c>
      <c r="CO1672" s="1" t="s">
        <v>495</v>
      </c>
      <c r="CP1672" s="1" t="s">
        <v>209</v>
      </c>
      <c r="CQ1672" s="1" t="s">
        <v>210</v>
      </c>
      <c r="CR1672" s="1" t="s">
        <v>239</v>
      </c>
      <c r="CS1672" s="1" t="s">
        <v>363</v>
      </c>
      <c r="CT1672" s="1" t="s">
        <v>206</v>
      </c>
      <c r="CU1672" s="1" t="s">
        <v>301</v>
      </c>
      <c r="CV1672" s="1" t="s">
        <v>239</v>
      </c>
      <c r="CW1672" s="1" t="s">
        <v>362</v>
      </c>
      <c r="CX1672" s="1" t="s">
        <v>42</v>
      </c>
      <c r="CY1672" s="1" t="s">
        <v>588</v>
      </c>
      <c r="CZ1672" s="1" t="s">
        <v>239</v>
      </c>
      <c r="DA1672" s="1" t="s">
        <v>200</v>
      </c>
      <c r="DC1672" s="1" t="s">
        <v>702</v>
      </c>
      <c r="DE1672" s="1" t="s">
        <v>1300</v>
      </c>
      <c r="DF1672" s="1" t="s">
        <v>905</v>
      </c>
      <c r="DH1672" s="1" t="s">
        <v>307</v>
      </c>
      <c r="DJ1672" s="1" t="s">
        <v>1048</v>
      </c>
      <c r="DL1672" s="1" t="s">
        <v>223</v>
      </c>
      <c r="DM1672" s="1" t="s">
        <v>229</v>
      </c>
      <c r="DQ1672" s="1" t="s">
        <v>228</v>
      </c>
      <c r="DR1672" s="1" t="s">
        <v>229</v>
      </c>
      <c r="DS1672" s="1" t="s">
        <v>230</v>
      </c>
      <c r="DV1672" s="1" t="s">
        <v>232</v>
      </c>
      <c r="DW1672" s="1" t="s">
        <v>279</v>
      </c>
      <c r="DX1672" s="1" t="s">
        <v>234</v>
      </c>
      <c r="EC1672" s="1" t="s">
        <v>645</v>
      </c>
      <c r="EE1672" s="1" t="s">
        <v>522</v>
      </c>
      <c r="EM1672" s="1" t="s">
        <v>238</v>
      </c>
      <c r="EQ1672" s="1" t="s">
        <v>238</v>
      </c>
      <c r="EU1672" s="1" t="s">
        <v>238</v>
      </c>
      <c r="EY1672" s="1" t="s">
        <v>238</v>
      </c>
      <c r="FC1672" s="1" t="s">
        <v>238</v>
      </c>
      <c r="FF1672" s="1" t="s">
        <v>239</v>
      </c>
      <c r="FG1672" s="1" t="s">
        <v>192</v>
      </c>
      <c r="FH1672" s="1" t="s">
        <v>192</v>
      </c>
      <c r="FJ1672" s="1" t="s">
        <v>524</v>
      </c>
      <c r="FK1672" s="1" t="s">
        <v>1586</v>
      </c>
      <c r="FL1672" s="1" t="s">
        <v>16618</v>
      </c>
      <c r="FM1672" s="1">
        <v>17966.0</v>
      </c>
      <c r="FN1672" s="1" t="s">
        <v>16619</v>
      </c>
      <c r="FO1672" s="1" t="s">
        <v>16620</v>
      </c>
      <c r="FP1672" s="1">
        <v>166819.0</v>
      </c>
      <c r="FQ1672" s="1" t="s">
        <v>16621</v>
      </c>
      <c r="FU1672" s="1" t="s">
        <v>16622</v>
      </c>
      <c r="FV1672" s="1" t="s">
        <v>200</v>
      </c>
      <c r="FW1672" s="1" t="s">
        <v>1411</v>
      </c>
      <c r="FX1672" s="1" t="s">
        <v>655</v>
      </c>
      <c r="FZ1672" s="1" t="s">
        <v>229</v>
      </c>
      <c r="GA1672" s="1" t="s">
        <v>247</v>
      </c>
      <c r="GB1672" s="2">
        <v>42102.0</v>
      </c>
      <c r="GC1672" s="1" t="s">
        <v>3170</v>
      </c>
    </row>
    <row r="1673">
      <c r="A1673" s="1">
        <v>550000.0</v>
      </c>
      <c r="B1673" s="1" t="s">
        <v>185</v>
      </c>
      <c r="C1673" s="1" t="str">
        <f>"08686048"</f>
        <v>08686048</v>
      </c>
      <c r="D1673" s="1" t="s">
        <v>186</v>
      </c>
      <c r="F1673" s="1" t="str">
        <f>"8016"</f>
        <v>8016</v>
      </c>
      <c r="G1673" s="2">
        <v>41849.0</v>
      </c>
      <c r="H1673" s="1">
        <v>650000.0</v>
      </c>
      <c r="I1673" s="1">
        <v>214.0</v>
      </c>
      <c r="J1673" s="1">
        <v>600000.0</v>
      </c>
      <c r="K1673" s="2">
        <v>42062.0</v>
      </c>
      <c r="L1673" s="1">
        <v>214.0</v>
      </c>
      <c r="M1673" s="2">
        <v>42062.0</v>
      </c>
      <c r="N1673" s="1" t="s">
        <v>187</v>
      </c>
      <c r="O1673" s="2">
        <v>42108.0</v>
      </c>
      <c r="P1673" s="1">
        <v>115146.0</v>
      </c>
      <c r="Q1673" s="1">
        <v>10115.0</v>
      </c>
      <c r="S1673" s="1">
        <v>4103.0</v>
      </c>
      <c r="T1673" s="1" t="s">
        <v>5274</v>
      </c>
      <c r="U1673" s="1" t="s">
        <v>189</v>
      </c>
      <c r="V1673" s="1" t="s">
        <v>190</v>
      </c>
      <c r="W1673" s="1">
        <v>60618.0</v>
      </c>
      <c r="Y1673" s="1" t="s">
        <v>16623</v>
      </c>
      <c r="Z1673" s="1" t="s">
        <v>296</v>
      </c>
      <c r="AA1673" s="1" t="s">
        <v>192</v>
      </c>
      <c r="AB1673" s="1" t="s">
        <v>193</v>
      </c>
      <c r="AD1673" s="1" t="s">
        <v>194</v>
      </c>
      <c r="AE1673" s="1" t="s">
        <v>195</v>
      </c>
      <c r="AF1673" s="1" t="s">
        <v>196</v>
      </c>
      <c r="AH1673" s="1" t="s">
        <v>1133</v>
      </c>
      <c r="AI1673" s="1">
        <v>0.1427</v>
      </c>
      <c r="AK1673" s="1">
        <v>8.0</v>
      </c>
      <c r="AL1673" s="1">
        <v>4.0</v>
      </c>
      <c r="AM1673" s="1">
        <v>2.0</v>
      </c>
      <c r="AN1673" s="1">
        <v>0.0</v>
      </c>
      <c r="AO1673" s="1" t="s">
        <v>229</v>
      </c>
      <c r="AP1673" s="1">
        <v>1.0</v>
      </c>
      <c r="AQ1673" s="1" t="s">
        <v>198</v>
      </c>
      <c r="AR1673" s="1" t="s">
        <v>200</v>
      </c>
      <c r="AS1673" s="1" t="s">
        <v>199</v>
      </c>
      <c r="AT1673" s="1">
        <v>2.1</v>
      </c>
      <c r="AV1673" s="1" t="s">
        <v>200</v>
      </c>
      <c r="AW1673" s="1">
        <v>6247.48</v>
      </c>
      <c r="AX1673" s="1">
        <v>2013.0</v>
      </c>
      <c r="AY1673" s="1" t="s">
        <v>1179</v>
      </c>
      <c r="AZ1673" s="1" t="s">
        <v>200</v>
      </c>
      <c r="BA1673" s="1" t="str">
        <f>"13143180160000"</f>
        <v>13143180160000</v>
      </c>
      <c r="BB1673" s="1" t="s">
        <v>200</v>
      </c>
      <c r="BC1673" s="1">
        <v>0.0</v>
      </c>
      <c r="BD1673" s="1">
        <v>550000.0</v>
      </c>
      <c r="BE1673" s="2">
        <v>41849.0</v>
      </c>
      <c r="BF1673" s="2" t="s">
        <v>16624</v>
      </c>
      <c r="BH1673" s="1">
        <v>0.0</v>
      </c>
      <c r="BK1673" s="1" t="s">
        <v>204</v>
      </c>
      <c r="BL1673" s="1" t="str">
        <f>"4103"</f>
        <v>4103</v>
      </c>
      <c r="BM1673" s="1" t="str">
        <f>"0"</f>
        <v>0</v>
      </c>
      <c r="BN1673" s="1">
        <v>3940.0</v>
      </c>
      <c r="BO1673" s="1">
        <v>0.0</v>
      </c>
      <c r="BQ1673" s="1">
        <v>299.0</v>
      </c>
      <c r="BR1673" s="1">
        <v>299.0</v>
      </c>
      <c r="BS1673" s="1">
        <v>299.0</v>
      </c>
      <c r="BU1673" s="1" t="s">
        <v>434</v>
      </c>
      <c r="BV1673" s="1" t="s">
        <v>206</v>
      </c>
      <c r="BW1673" s="1" t="s">
        <v>207</v>
      </c>
      <c r="BX1673" s="1" t="s">
        <v>1118</v>
      </c>
      <c r="BY1673" s="1" t="s">
        <v>758</v>
      </c>
      <c r="BZ1673" s="1" t="s">
        <v>209</v>
      </c>
      <c r="CA1673" s="1" t="s">
        <v>207</v>
      </c>
      <c r="CB1673" s="1" t="s">
        <v>431</v>
      </c>
      <c r="CC1673" s="1" t="s">
        <v>262</v>
      </c>
      <c r="CD1673" s="1" t="s">
        <v>206</v>
      </c>
      <c r="CE1673" s="1" t="s">
        <v>207</v>
      </c>
      <c r="CG1673" s="1" t="s">
        <v>2800</v>
      </c>
      <c r="CH1673" s="1" t="s">
        <v>209</v>
      </c>
      <c r="CI1673" s="1" t="s">
        <v>207</v>
      </c>
      <c r="CJ1673" s="1" t="s">
        <v>431</v>
      </c>
      <c r="CK1673" s="1" t="s">
        <v>1119</v>
      </c>
      <c r="CL1673" s="1" t="s">
        <v>206</v>
      </c>
      <c r="CM1673" s="1" t="s">
        <v>207</v>
      </c>
      <c r="CN1673" s="1" t="s">
        <v>431</v>
      </c>
      <c r="CO1673" s="1" t="s">
        <v>331</v>
      </c>
      <c r="CP1673" s="1" t="s">
        <v>206</v>
      </c>
      <c r="CQ1673" s="1" t="s">
        <v>207</v>
      </c>
      <c r="CR1673" s="1" t="s">
        <v>431</v>
      </c>
      <c r="CS1673" s="1" t="s">
        <v>211</v>
      </c>
      <c r="CT1673" s="1" t="s">
        <v>206</v>
      </c>
      <c r="CU1673" s="1" t="s">
        <v>207</v>
      </c>
      <c r="CW1673" s="1" t="s">
        <v>16625</v>
      </c>
      <c r="CX1673" s="1" t="s">
        <v>42</v>
      </c>
      <c r="CY1673" s="1" t="s">
        <v>1715</v>
      </c>
      <c r="DA1673" s="1" t="s">
        <v>200</v>
      </c>
      <c r="DC1673" s="1" t="s">
        <v>545</v>
      </c>
      <c r="DE1673" s="1" t="s">
        <v>273</v>
      </c>
      <c r="DF1673" s="1" t="s">
        <v>219</v>
      </c>
      <c r="DH1673" s="1" t="s">
        <v>365</v>
      </c>
      <c r="DI1673" s="1" t="s">
        <v>519</v>
      </c>
      <c r="DJ1673" s="1" t="s">
        <v>222</v>
      </c>
      <c r="DL1673" s="1" t="s">
        <v>858</v>
      </c>
      <c r="DM1673" s="1" t="s">
        <v>229</v>
      </c>
      <c r="DP1673" s="1" t="s">
        <v>340</v>
      </c>
      <c r="DQ1673" s="1" t="s">
        <v>794</v>
      </c>
      <c r="DR1673" s="1" t="s">
        <v>229</v>
      </c>
      <c r="DS1673" s="1" t="s">
        <v>230</v>
      </c>
      <c r="DV1673" s="1" t="s">
        <v>16626</v>
      </c>
      <c r="DW1673" s="1" t="s">
        <v>3576</v>
      </c>
      <c r="DX1673" s="1" t="s">
        <v>234</v>
      </c>
      <c r="DY1673" s="1" t="s">
        <v>5703</v>
      </c>
      <c r="DZ1673" s="1" t="s">
        <v>16627</v>
      </c>
      <c r="EA1673" s="1" t="s">
        <v>3112</v>
      </c>
      <c r="EB1673" s="1" t="s">
        <v>345</v>
      </c>
      <c r="EC1673" s="1" t="s">
        <v>237</v>
      </c>
      <c r="ED1673" s="1" t="s">
        <v>555</v>
      </c>
      <c r="EE1673" s="1" t="s">
        <v>187</v>
      </c>
      <c r="EG1673" s="1" t="s">
        <v>310</v>
      </c>
      <c r="EH1673" s="1" t="s">
        <v>2129</v>
      </c>
      <c r="EI1673" s="1" t="s">
        <v>374</v>
      </c>
      <c r="EL1673" s="1" t="s">
        <v>16628</v>
      </c>
      <c r="EM1673" s="1" t="s">
        <v>206</v>
      </c>
      <c r="EP1673" s="1" t="s">
        <v>16629</v>
      </c>
      <c r="EQ1673" s="1" t="s">
        <v>206</v>
      </c>
      <c r="ET1673" s="1" t="s">
        <v>1119</v>
      </c>
      <c r="EU1673" s="1" t="s">
        <v>206</v>
      </c>
      <c r="EY1673" s="1" t="s">
        <v>238</v>
      </c>
      <c r="FC1673" s="1" t="s">
        <v>238</v>
      </c>
      <c r="FF1673" s="1" t="s">
        <v>239</v>
      </c>
      <c r="FG1673" s="1" t="s">
        <v>192</v>
      </c>
      <c r="FH1673" s="1" t="s">
        <v>192</v>
      </c>
      <c r="FJ1673" s="1" t="s">
        <v>2285</v>
      </c>
      <c r="FK1673" s="1" t="s">
        <v>229</v>
      </c>
      <c r="FL1673" s="1" t="s">
        <v>1358</v>
      </c>
      <c r="FM1673" s="1">
        <v>10115.0</v>
      </c>
      <c r="FN1673" s="1" t="s">
        <v>2286</v>
      </c>
      <c r="FO1673" s="1" t="s">
        <v>16630</v>
      </c>
      <c r="FP1673" s="1">
        <v>115146.0</v>
      </c>
      <c r="FQ1673" s="1" t="s">
        <v>16631</v>
      </c>
      <c r="FU1673" s="1" t="s">
        <v>16632</v>
      </c>
      <c r="FV1673" s="1" t="s">
        <v>200</v>
      </c>
      <c r="FW1673" s="1" t="s">
        <v>567</v>
      </c>
      <c r="FX1673" s="1" t="s">
        <v>238</v>
      </c>
      <c r="FZ1673" s="1" t="s">
        <v>229</v>
      </c>
      <c r="GA1673" s="1" t="s">
        <v>291</v>
      </c>
      <c r="GB1673" s="2">
        <v>42108.0</v>
      </c>
      <c r="GC1673" s="1" t="s">
        <v>16633</v>
      </c>
    </row>
    <row r="1674">
      <c r="A1674" s="1">
        <v>290000.0</v>
      </c>
      <c r="B1674" s="1" t="s">
        <v>185</v>
      </c>
      <c r="C1674" s="1" t="str">
        <f>"08685011"</f>
        <v>08685011</v>
      </c>
      <c r="D1674" s="1" t="s">
        <v>186</v>
      </c>
      <c r="F1674" s="1" t="str">
        <f>"8073"</f>
        <v>8073</v>
      </c>
      <c r="G1674" s="2">
        <v>41848.0</v>
      </c>
      <c r="H1674" s="1">
        <v>315000.0</v>
      </c>
      <c r="I1674" s="1">
        <v>67.0</v>
      </c>
      <c r="J1674" s="1">
        <v>315000.0</v>
      </c>
      <c r="K1674" s="2">
        <v>41914.0</v>
      </c>
      <c r="L1674" s="1">
        <v>67.0</v>
      </c>
      <c r="M1674" s="2">
        <v>41914.0</v>
      </c>
      <c r="N1674" s="1" t="s">
        <v>187</v>
      </c>
      <c r="O1674" s="2">
        <v>42003.0</v>
      </c>
      <c r="P1674" s="1">
        <v>876234.0</v>
      </c>
      <c r="Q1674" s="1">
        <v>17665.0</v>
      </c>
      <c r="S1674" s="1">
        <v>1314.0</v>
      </c>
      <c r="T1674" s="1" t="s">
        <v>11707</v>
      </c>
      <c r="U1674" s="1" t="s">
        <v>694</v>
      </c>
      <c r="V1674" s="1" t="s">
        <v>190</v>
      </c>
      <c r="W1674" s="1">
        <v>60643.0</v>
      </c>
      <c r="Y1674" s="1" t="s">
        <v>16634</v>
      </c>
      <c r="Z1674" s="1">
        <v>2014.0</v>
      </c>
      <c r="AA1674" s="1" t="s">
        <v>200</v>
      </c>
      <c r="AB1674" s="1" t="s">
        <v>193</v>
      </c>
      <c r="AD1674" s="1" t="s">
        <v>194</v>
      </c>
      <c r="AE1674" s="1" t="s">
        <v>195</v>
      </c>
      <c r="AF1674" s="1" t="s">
        <v>659</v>
      </c>
      <c r="AG1674" s="1" t="s">
        <v>6071</v>
      </c>
      <c r="AH1674" s="1" t="s">
        <v>359</v>
      </c>
      <c r="AK1674" s="1">
        <v>9.0</v>
      </c>
      <c r="AL1674" s="1">
        <v>4.0</v>
      </c>
      <c r="AM1674" s="1">
        <v>3.0</v>
      </c>
      <c r="AN1674" s="1">
        <v>1.0</v>
      </c>
      <c r="AO1674" s="1" t="s">
        <v>198</v>
      </c>
      <c r="AQ1674" s="1" t="s">
        <v>198</v>
      </c>
      <c r="AR1674" s="1" t="s">
        <v>200</v>
      </c>
      <c r="AS1674" s="1" t="s">
        <v>199</v>
      </c>
      <c r="AT1674" s="1">
        <v>2.0</v>
      </c>
      <c r="AV1674" s="1" t="s">
        <v>200</v>
      </c>
      <c r="AW1674" s="1" t="s">
        <v>575</v>
      </c>
      <c r="AX1674" s="1">
        <v>2013.0</v>
      </c>
      <c r="AY1674" s="1" t="s">
        <v>229</v>
      </c>
      <c r="AZ1674" s="1" t="s">
        <v>200</v>
      </c>
      <c r="BA1674" s="1" t="str">
        <f>"25171210040000"</f>
        <v>25171210040000</v>
      </c>
      <c r="BC1674" s="1">
        <v>2438.0</v>
      </c>
      <c r="BD1674" s="1">
        <v>290000.0</v>
      </c>
      <c r="BE1674" s="2">
        <v>41848.0</v>
      </c>
      <c r="BF1674" s="2" t="s">
        <v>16635</v>
      </c>
      <c r="BH1674" s="1">
        <v>0.0</v>
      </c>
      <c r="BK1674" s="1" t="s">
        <v>204</v>
      </c>
      <c r="BL1674" s="1" t="str">
        <f t="shared" ref="BL1674:BM1674" si="1098">"0"</f>
        <v>0</v>
      </c>
      <c r="BM1674" s="1" t="str">
        <f t="shared" si="1098"/>
        <v>0</v>
      </c>
      <c r="BN1674" s="1">
        <v>1314.0</v>
      </c>
      <c r="BO1674" s="1">
        <v>10500.0</v>
      </c>
      <c r="BQ1674" s="1">
        <v>299.0</v>
      </c>
      <c r="BR1674" s="1">
        <v>299.0</v>
      </c>
      <c r="BS1674" s="1">
        <v>299.0</v>
      </c>
      <c r="BU1674" s="1" t="s">
        <v>454</v>
      </c>
      <c r="BV1674" s="1" t="s">
        <v>206</v>
      </c>
      <c r="BW1674" s="1" t="s">
        <v>207</v>
      </c>
      <c r="BY1674" s="1" t="s">
        <v>743</v>
      </c>
      <c r="BZ1674" s="1" t="s">
        <v>209</v>
      </c>
      <c r="CA1674" s="1" t="s">
        <v>210</v>
      </c>
      <c r="CC1674" s="1" t="s">
        <v>264</v>
      </c>
      <c r="CD1674" s="1" t="s">
        <v>206</v>
      </c>
      <c r="CE1674" s="1" t="s">
        <v>207</v>
      </c>
      <c r="CG1674" s="1" t="s">
        <v>212</v>
      </c>
      <c r="CH1674" s="1" t="s">
        <v>209</v>
      </c>
      <c r="CI1674" s="1" t="s">
        <v>210</v>
      </c>
      <c r="CK1674" s="1" t="s">
        <v>264</v>
      </c>
      <c r="CL1674" s="1" t="s">
        <v>209</v>
      </c>
      <c r="CM1674" s="1" t="s">
        <v>210</v>
      </c>
      <c r="CO1674" s="1" t="s">
        <v>495</v>
      </c>
      <c r="CP1674" s="1" t="s">
        <v>209</v>
      </c>
      <c r="CQ1674" s="1" t="s">
        <v>210</v>
      </c>
      <c r="CS1674" s="1" t="s">
        <v>332</v>
      </c>
      <c r="CT1674" s="1" t="s">
        <v>206</v>
      </c>
      <c r="CU1674" s="1" t="s">
        <v>268</v>
      </c>
      <c r="CW1674" s="1" t="s">
        <v>454</v>
      </c>
      <c r="CX1674" s="1" t="s">
        <v>206</v>
      </c>
      <c r="CY1674" s="1" t="s">
        <v>268</v>
      </c>
      <c r="DA1674" s="1" t="s">
        <v>192</v>
      </c>
      <c r="DB1674" s="2">
        <v>41880.0</v>
      </c>
      <c r="DC1674" s="1" t="s">
        <v>744</v>
      </c>
      <c r="DD1674" s="1" t="s">
        <v>16636</v>
      </c>
      <c r="DE1674" s="1" t="s">
        <v>273</v>
      </c>
      <c r="DF1674" s="1" t="s">
        <v>219</v>
      </c>
      <c r="DG1674" s="1" t="s">
        <v>337</v>
      </c>
      <c r="DH1674" s="1" t="s">
        <v>307</v>
      </c>
      <c r="DI1674" s="1" t="s">
        <v>366</v>
      </c>
      <c r="DJ1674" s="1" t="s">
        <v>222</v>
      </c>
      <c r="DL1674" s="1" t="s">
        <v>858</v>
      </c>
      <c r="DM1674" s="1" t="s">
        <v>229</v>
      </c>
      <c r="DN1674" s="1" t="s">
        <v>399</v>
      </c>
      <c r="DO1674" s="1" t="s">
        <v>486</v>
      </c>
      <c r="DP1674" s="1" t="s">
        <v>276</v>
      </c>
      <c r="DQ1674" s="1" t="s">
        <v>441</v>
      </c>
      <c r="DR1674" s="1" t="s">
        <v>229</v>
      </c>
      <c r="DS1674" s="1" t="s">
        <v>13572</v>
      </c>
      <c r="DV1674" s="1" t="s">
        <v>1961</v>
      </c>
      <c r="DW1674" s="1" t="s">
        <v>444</v>
      </c>
      <c r="DX1674" s="1" t="s">
        <v>234</v>
      </c>
      <c r="DY1674" s="1" t="s">
        <v>1936</v>
      </c>
      <c r="DZ1674" s="1" t="s">
        <v>236</v>
      </c>
      <c r="EA1674" s="1" t="s">
        <v>5294</v>
      </c>
      <c r="EC1674" s="1" t="s">
        <v>237</v>
      </c>
      <c r="ED1674" s="1" t="s">
        <v>407</v>
      </c>
      <c r="EE1674" s="1" t="s">
        <v>493</v>
      </c>
      <c r="EG1674" s="1" t="s">
        <v>1961</v>
      </c>
      <c r="EL1674" s="1" t="s">
        <v>265</v>
      </c>
      <c r="EM1674" s="1" t="s">
        <v>206</v>
      </c>
      <c r="EN1674" s="1" t="s">
        <v>207</v>
      </c>
      <c r="EO1674" s="1" t="s">
        <v>229</v>
      </c>
      <c r="EQ1674" s="1" t="s">
        <v>238</v>
      </c>
      <c r="EU1674" s="1" t="s">
        <v>238</v>
      </c>
      <c r="EY1674" s="1" t="s">
        <v>238</v>
      </c>
      <c r="FC1674" s="1" t="s">
        <v>238</v>
      </c>
      <c r="FF1674" s="1" t="s">
        <v>239</v>
      </c>
      <c r="FG1674" s="1" t="s">
        <v>192</v>
      </c>
      <c r="FH1674" s="1" t="s">
        <v>192</v>
      </c>
      <c r="FJ1674" s="1" t="s">
        <v>799</v>
      </c>
      <c r="FK1674" s="1" t="s">
        <v>229</v>
      </c>
      <c r="FL1674" s="1" t="s">
        <v>562</v>
      </c>
      <c r="FM1674" s="1">
        <v>17665.0</v>
      </c>
      <c r="FN1674" s="1" t="s">
        <v>2998</v>
      </c>
      <c r="FO1674" s="1" t="s">
        <v>16637</v>
      </c>
      <c r="FP1674" s="1">
        <v>183147.0</v>
      </c>
      <c r="FQ1674" s="1" t="s">
        <v>16638</v>
      </c>
      <c r="FU1674" s="1" t="s">
        <v>16639</v>
      </c>
      <c r="FV1674" s="1" t="s">
        <v>200</v>
      </c>
      <c r="FW1674" s="1" t="s">
        <v>290</v>
      </c>
      <c r="FX1674" s="1" t="s">
        <v>246</v>
      </c>
      <c r="FZ1674" s="1" t="s">
        <v>229</v>
      </c>
      <c r="GA1674" s="1" t="s">
        <v>291</v>
      </c>
      <c r="GB1674" s="2">
        <v>42005.0</v>
      </c>
    </row>
    <row r="1675">
      <c r="A1675" s="1">
        <v>280000.0</v>
      </c>
      <c r="B1675" s="1" t="s">
        <v>185</v>
      </c>
      <c r="C1675" s="1" t="str">
        <f>"08690111"</f>
        <v>08690111</v>
      </c>
      <c r="D1675" s="1" t="s">
        <v>186</v>
      </c>
      <c r="F1675" s="1" t="str">
        <f>"174"</f>
        <v>174</v>
      </c>
      <c r="G1675" s="2">
        <v>41852.0</v>
      </c>
      <c r="H1675" s="1">
        <v>338500.0</v>
      </c>
      <c r="I1675" s="1">
        <v>103.0</v>
      </c>
      <c r="J1675" s="1">
        <v>294900.0</v>
      </c>
      <c r="K1675" s="2">
        <v>41954.0</v>
      </c>
      <c r="L1675" s="1">
        <v>103.0</v>
      </c>
      <c r="M1675" s="2">
        <v>41954.0</v>
      </c>
      <c r="N1675" s="1" t="s">
        <v>187</v>
      </c>
      <c r="O1675" s="2">
        <v>41989.0</v>
      </c>
      <c r="P1675" s="1">
        <v>234211.0</v>
      </c>
      <c r="Q1675" s="1">
        <v>23156.0</v>
      </c>
      <c r="S1675" s="1" t="s">
        <v>16640</v>
      </c>
      <c r="T1675" s="1" t="s">
        <v>7109</v>
      </c>
      <c r="U1675" s="1" t="s">
        <v>1174</v>
      </c>
      <c r="V1675" s="1" t="s">
        <v>1200</v>
      </c>
      <c r="W1675" s="1">
        <v>60175.0</v>
      </c>
      <c r="Y1675" s="1" t="s">
        <v>16641</v>
      </c>
      <c r="Z1675" s="1">
        <v>1973.0</v>
      </c>
      <c r="AA1675" s="1" t="s">
        <v>192</v>
      </c>
      <c r="AB1675" s="1" t="s">
        <v>193</v>
      </c>
      <c r="AD1675" s="1" t="s">
        <v>1089</v>
      </c>
      <c r="AE1675" s="1" t="s">
        <v>325</v>
      </c>
      <c r="AF1675" s="1" t="s">
        <v>1203</v>
      </c>
      <c r="AH1675" s="1" t="s">
        <v>16642</v>
      </c>
      <c r="AI1675" s="1">
        <v>1.3</v>
      </c>
      <c r="AK1675" s="1">
        <v>9.0</v>
      </c>
      <c r="AL1675" s="1">
        <v>4.0</v>
      </c>
      <c r="AM1675" s="1">
        <v>3.0</v>
      </c>
      <c r="AN1675" s="1">
        <v>0.0</v>
      </c>
      <c r="AO1675" s="1" t="s">
        <v>198</v>
      </c>
      <c r="AP1675" s="1">
        <v>2.0</v>
      </c>
      <c r="AQ1675" s="1" t="s">
        <v>1314</v>
      </c>
      <c r="AR1675" s="1" t="s">
        <v>200</v>
      </c>
      <c r="AS1675" s="1" t="s">
        <v>199</v>
      </c>
      <c r="AT1675" s="1">
        <v>3.0</v>
      </c>
      <c r="AV1675" s="1" t="s">
        <v>200</v>
      </c>
      <c r="AW1675" s="1">
        <v>8988.16</v>
      </c>
      <c r="AX1675" s="1">
        <v>2013.0</v>
      </c>
      <c r="AY1675" s="1" t="s">
        <v>387</v>
      </c>
      <c r="AZ1675" s="1" t="s">
        <v>200</v>
      </c>
      <c r="BA1675" s="1" t="str">
        <f>"0920301004"</f>
        <v>0920301004</v>
      </c>
      <c r="BC1675" s="1">
        <v>2319.0</v>
      </c>
      <c r="BD1675" s="1">
        <v>280000.0</v>
      </c>
      <c r="BE1675" s="2">
        <v>41852.0</v>
      </c>
      <c r="BF1675" s="2" t="s">
        <v>16643</v>
      </c>
      <c r="BH1675" s="1">
        <v>0.0</v>
      </c>
      <c r="BK1675" s="1" t="s">
        <v>204</v>
      </c>
      <c r="BL1675" s="1" t="str">
        <f>"4"</f>
        <v>4</v>
      </c>
      <c r="BM1675" s="1" t="str">
        <f>""</f>
        <v/>
      </c>
      <c r="BN1675" s="1">
        <v>37.0</v>
      </c>
      <c r="BQ1675" s="1">
        <v>303.0</v>
      </c>
      <c r="BR1675" s="1">
        <v>303.0</v>
      </c>
      <c r="BS1675" s="1">
        <v>303.0</v>
      </c>
      <c r="BU1675" s="1" t="s">
        <v>434</v>
      </c>
      <c r="BV1675" s="1" t="s">
        <v>206</v>
      </c>
      <c r="BW1675" s="1" t="s">
        <v>210</v>
      </c>
      <c r="BY1675" s="1" t="s">
        <v>758</v>
      </c>
      <c r="BZ1675" s="1" t="s">
        <v>206</v>
      </c>
      <c r="CA1675" s="1" t="s">
        <v>210</v>
      </c>
      <c r="CC1675" s="1" t="s">
        <v>393</v>
      </c>
      <c r="CD1675" s="1" t="s">
        <v>206</v>
      </c>
      <c r="CE1675" s="1" t="s">
        <v>210</v>
      </c>
      <c r="CG1675" s="1" t="s">
        <v>264</v>
      </c>
      <c r="CH1675" s="1" t="s">
        <v>206</v>
      </c>
      <c r="CI1675" s="1" t="s">
        <v>210</v>
      </c>
      <c r="CK1675" s="1" t="s">
        <v>215</v>
      </c>
      <c r="CL1675" s="1" t="s">
        <v>206</v>
      </c>
      <c r="CM1675" s="1" t="s">
        <v>210</v>
      </c>
      <c r="CO1675" s="1" t="s">
        <v>495</v>
      </c>
      <c r="CP1675" s="1" t="s">
        <v>206</v>
      </c>
      <c r="CQ1675" s="1" t="s">
        <v>210</v>
      </c>
      <c r="CS1675" s="1" t="s">
        <v>333</v>
      </c>
      <c r="CT1675" s="1" t="s">
        <v>206</v>
      </c>
      <c r="CU1675" s="1" t="s">
        <v>617</v>
      </c>
      <c r="CW1675" s="1" t="s">
        <v>434</v>
      </c>
      <c r="CX1675" s="1" t="s">
        <v>206</v>
      </c>
      <c r="CY1675" s="1" t="s">
        <v>207</v>
      </c>
      <c r="DA1675" s="1" t="s">
        <v>200</v>
      </c>
      <c r="DC1675" s="1" t="s">
        <v>517</v>
      </c>
      <c r="DD1675" s="1" t="s">
        <v>396</v>
      </c>
      <c r="DE1675" s="1" t="s">
        <v>273</v>
      </c>
      <c r="DF1675" s="1" t="s">
        <v>219</v>
      </c>
      <c r="DH1675" s="1" t="s">
        <v>856</v>
      </c>
      <c r="DI1675" s="1" t="s">
        <v>1223</v>
      </c>
      <c r="DJ1675" s="1" t="s">
        <v>857</v>
      </c>
      <c r="DK1675" s="1" t="s">
        <v>3740</v>
      </c>
      <c r="DL1675" s="1" t="s">
        <v>438</v>
      </c>
      <c r="DM1675" s="1" t="s">
        <v>229</v>
      </c>
      <c r="DO1675" s="1" t="s">
        <v>16644</v>
      </c>
      <c r="DP1675" s="1" t="s">
        <v>276</v>
      </c>
      <c r="DQ1675" s="1" t="s">
        <v>931</v>
      </c>
      <c r="DR1675" s="1" t="s">
        <v>229</v>
      </c>
      <c r="DU1675" s="1" t="s">
        <v>16645</v>
      </c>
      <c r="DV1675" s="1" t="s">
        <v>763</v>
      </c>
      <c r="DW1675" s="1" t="s">
        <v>764</v>
      </c>
      <c r="DX1675" s="1" t="s">
        <v>234</v>
      </c>
      <c r="DY1675" s="1" t="s">
        <v>6595</v>
      </c>
      <c r="DZ1675" s="1" t="s">
        <v>766</v>
      </c>
      <c r="EA1675" s="1" t="s">
        <v>683</v>
      </c>
      <c r="EB1675" s="1" t="s">
        <v>937</v>
      </c>
      <c r="EC1675" s="1" t="s">
        <v>685</v>
      </c>
      <c r="ED1675" s="1" t="s">
        <v>407</v>
      </c>
      <c r="EE1675" s="1" t="s">
        <v>493</v>
      </c>
      <c r="EG1675" s="1" t="s">
        <v>408</v>
      </c>
      <c r="EH1675" s="1" t="s">
        <v>450</v>
      </c>
      <c r="EL1675" s="1" t="s">
        <v>16646</v>
      </c>
      <c r="EM1675" s="1" t="s">
        <v>206</v>
      </c>
      <c r="EN1675" s="1" t="s">
        <v>268</v>
      </c>
      <c r="EP1675" s="1" t="s">
        <v>16647</v>
      </c>
      <c r="EQ1675" s="1" t="s">
        <v>267</v>
      </c>
      <c r="ER1675" s="1" t="s">
        <v>210</v>
      </c>
      <c r="EU1675" s="1" t="s">
        <v>238</v>
      </c>
      <c r="EY1675" s="1" t="s">
        <v>238</v>
      </c>
      <c r="FC1675" s="1" t="s">
        <v>238</v>
      </c>
      <c r="FF1675" s="1" t="s">
        <v>239</v>
      </c>
      <c r="FG1675" s="1" t="s">
        <v>192</v>
      </c>
      <c r="FH1675" s="1" t="s">
        <v>192</v>
      </c>
      <c r="FJ1675" s="1" t="s">
        <v>347</v>
      </c>
      <c r="FK1675" s="1" t="s">
        <v>229</v>
      </c>
      <c r="FL1675" s="1" t="s">
        <v>2263</v>
      </c>
      <c r="FM1675" s="1">
        <v>890.0</v>
      </c>
      <c r="FN1675" s="1" t="s">
        <v>5199</v>
      </c>
      <c r="FO1675" s="1" t="s">
        <v>5200</v>
      </c>
      <c r="FP1675" s="1">
        <v>290.0</v>
      </c>
      <c r="FQ1675" s="1" t="s">
        <v>5201</v>
      </c>
      <c r="FR1675" s="1">
        <v>235512.0</v>
      </c>
      <c r="FS1675" s="1" t="s">
        <v>16648</v>
      </c>
      <c r="FU1675" s="1" t="s">
        <v>16649</v>
      </c>
      <c r="FV1675" s="1" t="s">
        <v>200</v>
      </c>
      <c r="FW1675" s="1" t="s">
        <v>16650</v>
      </c>
      <c r="FZ1675" s="1" t="s">
        <v>229</v>
      </c>
      <c r="GA1675" s="1" t="s">
        <v>291</v>
      </c>
      <c r="GB1675" s="2">
        <v>41989.0</v>
      </c>
      <c r="GC1675" s="1" t="s">
        <v>16651</v>
      </c>
    </row>
    <row r="1676">
      <c r="A1676" s="1">
        <v>159900.0</v>
      </c>
      <c r="B1676" s="1" t="s">
        <v>185</v>
      </c>
      <c r="C1676" s="1" t="str">
        <f>"08683381"</f>
        <v>08683381</v>
      </c>
      <c r="D1676" s="1" t="s">
        <v>186</v>
      </c>
      <c r="F1676" s="1" t="str">
        <f>"145"</f>
        <v>145</v>
      </c>
      <c r="G1676" s="2">
        <v>41845.0</v>
      </c>
      <c r="H1676" s="1">
        <v>197900.0</v>
      </c>
      <c r="I1676" s="1">
        <v>201.0</v>
      </c>
      <c r="J1676" s="1">
        <v>169900.0</v>
      </c>
      <c r="K1676" s="2">
        <v>41963.0</v>
      </c>
      <c r="L1676" s="1">
        <v>120.0</v>
      </c>
      <c r="M1676" s="2">
        <v>41963.0</v>
      </c>
      <c r="N1676" s="1" t="s">
        <v>187</v>
      </c>
      <c r="O1676" s="2">
        <v>42025.0</v>
      </c>
      <c r="P1676" s="1">
        <v>930008.0</v>
      </c>
      <c r="Q1676" s="1">
        <v>93008.0</v>
      </c>
      <c r="R1676" s="1">
        <v>3000.0</v>
      </c>
      <c r="S1676" s="1">
        <v>33522.0</v>
      </c>
      <c r="T1676" s="1" t="s">
        <v>1782</v>
      </c>
      <c r="U1676" s="1" t="s">
        <v>464</v>
      </c>
      <c r="V1676" s="1" t="s">
        <v>1782</v>
      </c>
      <c r="W1676" s="1">
        <v>60145.0</v>
      </c>
      <c r="Y1676" s="1" t="s">
        <v>16652</v>
      </c>
      <c r="Z1676" s="1">
        <v>1996.0</v>
      </c>
      <c r="AA1676" s="1" t="s">
        <v>200</v>
      </c>
      <c r="AB1676" s="1" t="s">
        <v>193</v>
      </c>
      <c r="AD1676" s="1" t="s">
        <v>1089</v>
      </c>
      <c r="AE1676" s="1" t="s">
        <v>613</v>
      </c>
      <c r="AF1676" s="1" t="s">
        <v>1785</v>
      </c>
      <c r="AH1676" s="1" t="s">
        <v>16653</v>
      </c>
      <c r="AI1676" s="1">
        <v>1.22</v>
      </c>
      <c r="AK1676" s="1">
        <v>7.0</v>
      </c>
      <c r="AL1676" s="1">
        <v>4.0</v>
      </c>
      <c r="AM1676" s="1">
        <v>2.0</v>
      </c>
      <c r="AN1676" s="1">
        <v>1.0</v>
      </c>
      <c r="AO1676" s="1" t="s">
        <v>198</v>
      </c>
      <c r="AP1676" s="1">
        <v>1.0</v>
      </c>
      <c r="AQ1676" s="1" t="s">
        <v>1314</v>
      </c>
      <c r="AR1676" s="1" t="s">
        <v>200</v>
      </c>
      <c r="AS1676" s="1" t="s">
        <v>199</v>
      </c>
      <c r="AT1676" s="1">
        <v>3.0</v>
      </c>
      <c r="AV1676" s="1" t="s">
        <v>200</v>
      </c>
      <c r="AW1676" s="1">
        <v>6261.74</v>
      </c>
      <c r="AX1676" s="1">
        <v>2013.0</v>
      </c>
      <c r="AZ1676" s="1" t="s">
        <v>200</v>
      </c>
      <c r="BA1676" s="1" t="str">
        <f>"0216200026"</f>
        <v>0216200026</v>
      </c>
      <c r="BC1676" s="1">
        <v>1927.0</v>
      </c>
      <c r="BD1676" s="1">
        <v>159900.0</v>
      </c>
      <c r="BE1676" s="2">
        <v>41844.0</v>
      </c>
      <c r="BF1676" s="1" t="s">
        <v>16654</v>
      </c>
      <c r="BH1676" s="1">
        <v>0.0</v>
      </c>
      <c r="BK1676" s="1" t="s">
        <v>204</v>
      </c>
      <c r="BL1676" s="1" t="str">
        <f t="shared" ref="BL1676:BM1676" si="1099">"0"</f>
        <v>0</v>
      </c>
      <c r="BM1676" s="1" t="str">
        <f t="shared" si="1099"/>
        <v>0</v>
      </c>
      <c r="BN1676" s="1">
        <v>0.0</v>
      </c>
      <c r="BO1676" s="1">
        <v>0.0</v>
      </c>
      <c r="BQ1676" s="1">
        <v>424.0</v>
      </c>
      <c r="BR1676" s="1">
        <v>424.0</v>
      </c>
      <c r="BS1676" s="1">
        <v>424.0</v>
      </c>
      <c r="BU1676" s="1" t="s">
        <v>432</v>
      </c>
      <c r="BV1676" s="1" t="s">
        <v>206</v>
      </c>
      <c r="BW1676" s="1" t="s">
        <v>210</v>
      </c>
      <c r="BY1676" s="1" t="s">
        <v>478</v>
      </c>
      <c r="BZ1676" s="1" t="s">
        <v>206</v>
      </c>
      <c r="CD1676" s="1" t="s">
        <v>204</v>
      </c>
      <c r="CG1676" s="1" t="s">
        <v>758</v>
      </c>
      <c r="CH1676" s="1" t="s">
        <v>209</v>
      </c>
      <c r="CK1676" s="1" t="s">
        <v>663</v>
      </c>
      <c r="CL1676" s="1" t="s">
        <v>209</v>
      </c>
      <c r="CO1676" s="1" t="s">
        <v>1351</v>
      </c>
      <c r="CP1676" s="1" t="s">
        <v>209</v>
      </c>
      <c r="CS1676" s="1" t="s">
        <v>663</v>
      </c>
      <c r="CT1676" s="1" t="s">
        <v>206</v>
      </c>
      <c r="CW1676" s="1" t="s">
        <v>3307</v>
      </c>
      <c r="CX1676" s="1" t="s">
        <v>206</v>
      </c>
      <c r="DA1676" s="1" t="s">
        <v>200</v>
      </c>
      <c r="DC1676" s="1" t="s">
        <v>678</v>
      </c>
      <c r="DE1676" s="1" t="s">
        <v>273</v>
      </c>
      <c r="DF1676" s="1" t="s">
        <v>619</v>
      </c>
      <c r="DH1676" s="1" t="s">
        <v>856</v>
      </c>
      <c r="DJ1676" s="1" t="s">
        <v>857</v>
      </c>
      <c r="DL1676" s="1" t="s">
        <v>223</v>
      </c>
      <c r="DM1676" s="1" t="s">
        <v>338</v>
      </c>
      <c r="DQ1676" s="1" t="s">
        <v>931</v>
      </c>
      <c r="DR1676" s="1" t="s">
        <v>229</v>
      </c>
      <c r="DV1676" s="1" t="s">
        <v>232</v>
      </c>
      <c r="DW1676" s="1" t="s">
        <v>370</v>
      </c>
      <c r="DX1676" s="1" t="s">
        <v>234</v>
      </c>
      <c r="DY1676" s="1" t="s">
        <v>1371</v>
      </c>
      <c r="DZ1676" s="1" t="s">
        <v>2204</v>
      </c>
      <c r="EC1676" s="1" t="s">
        <v>237</v>
      </c>
      <c r="EM1676" s="1" t="s">
        <v>238</v>
      </c>
      <c r="EQ1676" s="1" t="s">
        <v>238</v>
      </c>
      <c r="EU1676" s="1" t="s">
        <v>238</v>
      </c>
      <c r="EY1676" s="1" t="s">
        <v>238</v>
      </c>
      <c r="FC1676" s="1" t="s">
        <v>238</v>
      </c>
      <c r="FF1676" s="1" t="s">
        <v>239</v>
      </c>
      <c r="FG1676" s="1" t="s">
        <v>192</v>
      </c>
      <c r="FH1676" s="1" t="s">
        <v>192</v>
      </c>
      <c r="FJ1676" s="1" t="s">
        <v>347</v>
      </c>
      <c r="FK1676" s="1" t="s">
        <v>229</v>
      </c>
      <c r="FL1676" s="1" t="s">
        <v>6233</v>
      </c>
      <c r="FM1676" s="1">
        <v>7630.0</v>
      </c>
      <c r="FN1676" s="1" t="s">
        <v>6234</v>
      </c>
      <c r="FO1676" s="1" t="s">
        <v>9855</v>
      </c>
      <c r="FP1676" s="1">
        <v>77822.0</v>
      </c>
      <c r="FQ1676" s="1" t="s">
        <v>9856</v>
      </c>
      <c r="FU1676" s="1" t="s">
        <v>3447</v>
      </c>
      <c r="FV1676" s="1" t="s">
        <v>200</v>
      </c>
      <c r="FW1676" s="1" t="s">
        <v>1307</v>
      </c>
      <c r="FZ1676" s="1" t="s">
        <v>229</v>
      </c>
      <c r="GA1676" s="1" t="s">
        <v>291</v>
      </c>
      <c r="GB1676" s="2">
        <v>42026.0</v>
      </c>
      <c r="GC1676" s="1" t="s">
        <v>16655</v>
      </c>
    </row>
    <row r="1677">
      <c r="A1677" s="1">
        <v>60000.0</v>
      </c>
      <c r="B1677" s="1" t="s">
        <v>185</v>
      </c>
      <c r="C1677" s="1" t="str">
        <f>"08684245"</f>
        <v>08684245</v>
      </c>
      <c r="D1677" s="1" t="s">
        <v>186</v>
      </c>
      <c r="F1677" s="1" t="str">
        <f>"8052"</f>
        <v>8052</v>
      </c>
      <c r="G1677" s="2">
        <v>41846.0</v>
      </c>
      <c r="H1677" s="1">
        <v>73100.0</v>
      </c>
      <c r="I1677" s="1">
        <v>105.0</v>
      </c>
      <c r="J1677" s="1">
        <v>65000.0</v>
      </c>
      <c r="K1677" s="2">
        <v>41950.0</v>
      </c>
      <c r="L1677" s="1">
        <v>105.0</v>
      </c>
      <c r="M1677" s="2">
        <v>41950.0</v>
      </c>
      <c r="N1677" s="1" t="s">
        <v>249</v>
      </c>
      <c r="O1677" s="2">
        <v>41969.0</v>
      </c>
      <c r="P1677" s="1">
        <v>863814.0</v>
      </c>
      <c r="Q1677" s="1">
        <v>16734.0</v>
      </c>
      <c r="S1677" s="1">
        <v>10415.0</v>
      </c>
      <c r="T1677" s="1" t="s">
        <v>16656</v>
      </c>
      <c r="V1677" s="1" t="s">
        <v>190</v>
      </c>
      <c r="W1677" s="1">
        <v>60617.0</v>
      </c>
      <c r="Y1677" s="1" t="s">
        <v>16657</v>
      </c>
      <c r="Z1677" s="1">
        <v>1922.0</v>
      </c>
      <c r="AA1677" s="1" t="s">
        <v>192</v>
      </c>
      <c r="AB1677" s="1" t="s">
        <v>193</v>
      </c>
      <c r="AD1677" s="1" t="s">
        <v>194</v>
      </c>
      <c r="AE1677" s="1" t="s">
        <v>195</v>
      </c>
      <c r="AF1677" s="1" t="s">
        <v>637</v>
      </c>
      <c r="AH1677" s="1" t="s">
        <v>16658</v>
      </c>
      <c r="AI1677" s="1">
        <v>0.105</v>
      </c>
      <c r="AK1677" s="1">
        <v>8.0</v>
      </c>
      <c r="AL1677" s="1">
        <v>4.0</v>
      </c>
      <c r="AM1677" s="1">
        <v>2.0</v>
      </c>
      <c r="AN1677" s="1">
        <v>0.0</v>
      </c>
      <c r="AO1677" s="1" t="s">
        <v>229</v>
      </c>
      <c r="AQ1677" s="1" t="s">
        <v>198</v>
      </c>
      <c r="AR1677" s="1" t="s">
        <v>192</v>
      </c>
      <c r="AS1677" s="1" t="s">
        <v>229</v>
      </c>
      <c r="AV1677" s="1" t="s">
        <v>200</v>
      </c>
      <c r="AW1677" s="1">
        <v>1636.4</v>
      </c>
      <c r="AX1677" s="1">
        <v>2013.0</v>
      </c>
      <c r="AY1677" s="1" t="s">
        <v>387</v>
      </c>
      <c r="AZ1677" s="1" t="s">
        <v>200</v>
      </c>
      <c r="BA1677" s="1" t="str">
        <f>"26083250050000"</f>
        <v>26083250050000</v>
      </c>
      <c r="BC1677" s="1">
        <v>1292.0</v>
      </c>
      <c r="BD1677" s="1">
        <v>60000.0</v>
      </c>
      <c r="BE1677" s="2">
        <v>41846.0</v>
      </c>
      <c r="BF1677" s="1" t="s">
        <v>16659</v>
      </c>
      <c r="BH1677" s="1">
        <v>0.0</v>
      </c>
      <c r="BK1677" s="1" t="s">
        <v>204</v>
      </c>
      <c r="BL1677" s="1" t="str">
        <f t="shared" ref="BL1677:BL1678" si="1100">"0"</f>
        <v>0</v>
      </c>
      <c r="BM1677" s="1" t="str">
        <f>"3400"</f>
        <v>3400</v>
      </c>
      <c r="BN1677" s="1">
        <v>0.0</v>
      </c>
      <c r="BO1677" s="1">
        <v>10400.0</v>
      </c>
      <c r="BQ1677" s="1">
        <v>299.0</v>
      </c>
      <c r="BR1677" s="1">
        <v>29.0</v>
      </c>
      <c r="BS1677" s="1">
        <v>299.0</v>
      </c>
      <c r="BU1677" s="1" t="s">
        <v>208</v>
      </c>
      <c r="BV1677" s="1" t="s">
        <v>206</v>
      </c>
      <c r="BY1677" s="1" t="s">
        <v>332</v>
      </c>
      <c r="BZ1677" s="1" t="s">
        <v>206</v>
      </c>
      <c r="CC1677" s="1" t="s">
        <v>393</v>
      </c>
      <c r="CD1677" s="1" t="s">
        <v>206</v>
      </c>
      <c r="CG1677" s="1" t="s">
        <v>212</v>
      </c>
      <c r="CH1677" s="1" t="s">
        <v>206</v>
      </c>
      <c r="CK1677" s="1" t="s">
        <v>390</v>
      </c>
      <c r="CL1677" s="1" t="s">
        <v>209</v>
      </c>
      <c r="CO1677" s="1" t="s">
        <v>329</v>
      </c>
      <c r="CP1677" s="1" t="s">
        <v>209</v>
      </c>
      <c r="CS1677" s="1" t="s">
        <v>393</v>
      </c>
      <c r="CT1677" s="1" t="s">
        <v>206</v>
      </c>
      <c r="CW1677" s="1" t="s">
        <v>453</v>
      </c>
      <c r="CX1677" s="1" t="s">
        <v>209</v>
      </c>
      <c r="DA1677" s="1" t="s">
        <v>200</v>
      </c>
      <c r="DC1677" s="1" t="s">
        <v>216</v>
      </c>
      <c r="DE1677" s="1" t="s">
        <v>229</v>
      </c>
      <c r="DF1677" s="1" t="s">
        <v>619</v>
      </c>
      <c r="DH1677" s="1" t="s">
        <v>365</v>
      </c>
      <c r="DJ1677" s="1" t="s">
        <v>222</v>
      </c>
      <c r="DL1677" s="1" t="s">
        <v>224</v>
      </c>
      <c r="DM1677" s="1" t="s">
        <v>229</v>
      </c>
      <c r="DQ1677" s="1" t="s">
        <v>228</v>
      </c>
      <c r="DR1677" s="1" t="s">
        <v>229</v>
      </c>
      <c r="DV1677" s="1" t="s">
        <v>588</v>
      </c>
      <c r="DW1677" s="1" t="s">
        <v>279</v>
      </c>
      <c r="DX1677" s="1" t="s">
        <v>234</v>
      </c>
      <c r="EA1677" s="1" t="s">
        <v>644</v>
      </c>
      <c r="EC1677" s="1" t="s">
        <v>237</v>
      </c>
      <c r="EG1677" s="1" t="s">
        <v>588</v>
      </c>
      <c r="EL1677" s="1" t="s">
        <v>332</v>
      </c>
      <c r="EM1677" s="1" t="s">
        <v>42</v>
      </c>
      <c r="EQ1677" s="1" t="s">
        <v>238</v>
      </c>
      <c r="EU1677" s="1" t="s">
        <v>238</v>
      </c>
      <c r="EY1677" s="1" t="s">
        <v>238</v>
      </c>
      <c r="FC1677" s="1" t="s">
        <v>238</v>
      </c>
      <c r="FF1677" s="1" t="s">
        <v>239</v>
      </c>
      <c r="FG1677" s="1" t="s">
        <v>192</v>
      </c>
      <c r="FH1677" s="1" t="s">
        <v>192</v>
      </c>
      <c r="FJ1677" s="1" t="s">
        <v>16660</v>
      </c>
      <c r="FK1677" s="1" t="s">
        <v>229</v>
      </c>
      <c r="FL1677" s="1" t="s">
        <v>3794</v>
      </c>
      <c r="FM1677" s="1">
        <v>16734.0</v>
      </c>
      <c r="FN1677" s="1" t="s">
        <v>6021</v>
      </c>
      <c r="FO1677" s="1" t="s">
        <v>16661</v>
      </c>
      <c r="FP1677" s="1">
        <v>111741.0</v>
      </c>
      <c r="FQ1677" s="1" t="s">
        <v>16662</v>
      </c>
      <c r="FU1677" s="1" t="s">
        <v>16663</v>
      </c>
      <c r="FV1677" s="1" t="s">
        <v>200</v>
      </c>
      <c r="FW1677" s="1" t="s">
        <v>354</v>
      </c>
      <c r="FX1677" s="1" t="s">
        <v>655</v>
      </c>
      <c r="FZ1677" s="1" t="s">
        <v>229</v>
      </c>
      <c r="GA1677" s="1" t="s">
        <v>291</v>
      </c>
      <c r="GB1677" s="2">
        <v>41969.0</v>
      </c>
      <c r="GC1677" s="1" t="s">
        <v>16664</v>
      </c>
    </row>
    <row r="1678">
      <c r="A1678" s="1">
        <v>295000.0</v>
      </c>
      <c r="B1678" s="1" t="s">
        <v>185</v>
      </c>
      <c r="C1678" s="1" t="str">
        <f>"08685053"</f>
        <v>08685053</v>
      </c>
      <c r="D1678" s="1" t="s">
        <v>186</v>
      </c>
      <c r="F1678" s="1" t="str">
        <f>"8073"</f>
        <v>8073</v>
      </c>
      <c r="G1678" s="2">
        <v>41848.0</v>
      </c>
      <c r="H1678" s="1">
        <v>315000.0</v>
      </c>
      <c r="I1678" s="1">
        <v>173.0</v>
      </c>
      <c r="J1678" s="1">
        <v>315000.0</v>
      </c>
      <c r="K1678" s="2">
        <v>42020.0</v>
      </c>
      <c r="L1678" s="1">
        <v>173.0</v>
      </c>
      <c r="M1678" s="2">
        <v>42020.0</v>
      </c>
      <c r="N1678" s="1" t="s">
        <v>356</v>
      </c>
      <c r="O1678" s="2">
        <v>42086.0</v>
      </c>
      <c r="P1678" s="1">
        <v>231871.0</v>
      </c>
      <c r="Q1678" s="1">
        <v>23741.0</v>
      </c>
      <c r="S1678" s="1">
        <v>1305.0</v>
      </c>
      <c r="T1678" s="1" t="s">
        <v>16665</v>
      </c>
      <c r="U1678" s="1" t="s">
        <v>694</v>
      </c>
      <c r="V1678" s="1" t="s">
        <v>190</v>
      </c>
      <c r="W1678" s="1">
        <v>60643.0</v>
      </c>
      <c r="Y1678" s="1" t="s">
        <v>16634</v>
      </c>
      <c r="Z1678" s="1">
        <v>2014.0</v>
      </c>
      <c r="AA1678" s="1" t="s">
        <v>200</v>
      </c>
      <c r="AB1678" s="1" t="s">
        <v>193</v>
      </c>
      <c r="AD1678" s="1" t="s">
        <v>194</v>
      </c>
      <c r="AE1678" s="1" t="s">
        <v>195</v>
      </c>
      <c r="AF1678" s="1" t="s">
        <v>659</v>
      </c>
      <c r="AG1678" s="1" t="s">
        <v>6071</v>
      </c>
      <c r="AH1678" s="1" t="s">
        <v>359</v>
      </c>
      <c r="AK1678" s="1">
        <v>9.0</v>
      </c>
      <c r="AL1678" s="1">
        <v>4.0</v>
      </c>
      <c r="AM1678" s="1">
        <v>3.0</v>
      </c>
      <c r="AN1678" s="1">
        <v>1.0</v>
      </c>
      <c r="AO1678" s="1" t="s">
        <v>198</v>
      </c>
      <c r="AQ1678" s="1" t="s">
        <v>198</v>
      </c>
      <c r="AR1678" s="1" t="s">
        <v>200</v>
      </c>
      <c r="AS1678" s="1" t="s">
        <v>199</v>
      </c>
      <c r="AT1678" s="1">
        <v>2.0</v>
      </c>
      <c r="AV1678" s="1" t="s">
        <v>200</v>
      </c>
      <c r="AW1678" s="1" t="s">
        <v>575</v>
      </c>
      <c r="AX1678" s="1">
        <v>2013.0</v>
      </c>
      <c r="AY1678" s="1" t="s">
        <v>229</v>
      </c>
      <c r="AZ1678" s="1" t="s">
        <v>200</v>
      </c>
      <c r="BA1678" s="1" t="str">
        <f>"25171240270000"</f>
        <v>25171240270000</v>
      </c>
      <c r="BC1678" s="1">
        <v>2438.0</v>
      </c>
      <c r="BD1678" s="1">
        <v>295000.0</v>
      </c>
      <c r="BE1678" s="2">
        <v>41848.0</v>
      </c>
      <c r="BF1678" s="2" t="s">
        <v>16635</v>
      </c>
      <c r="BH1678" s="1">
        <v>0.0</v>
      </c>
      <c r="BK1678" s="1" t="s">
        <v>204</v>
      </c>
      <c r="BL1678" s="1" t="str">
        <f t="shared" si="1100"/>
        <v>0</v>
      </c>
      <c r="BM1678" s="1" t="str">
        <f t="shared" ref="BM1678:BM1679" si="1101">"0"</f>
        <v>0</v>
      </c>
      <c r="BN1678" s="1">
        <v>1305.0</v>
      </c>
      <c r="BO1678" s="1">
        <v>10600.0</v>
      </c>
      <c r="BQ1678" s="1">
        <v>299.0</v>
      </c>
      <c r="BR1678" s="1">
        <v>299.0</v>
      </c>
      <c r="BS1678" s="1">
        <v>299.0</v>
      </c>
      <c r="BU1678" s="1" t="s">
        <v>454</v>
      </c>
      <c r="BV1678" s="1" t="s">
        <v>206</v>
      </c>
      <c r="BW1678" s="1" t="s">
        <v>207</v>
      </c>
      <c r="BY1678" s="1" t="s">
        <v>743</v>
      </c>
      <c r="BZ1678" s="1" t="s">
        <v>209</v>
      </c>
      <c r="CA1678" s="1" t="s">
        <v>210</v>
      </c>
      <c r="CC1678" s="1" t="s">
        <v>264</v>
      </c>
      <c r="CD1678" s="1" t="s">
        <v>206</v>
      </c>
      <c r="CE1678" s="1" t="s">
        <v>207</v>
      </c>
      <c r="CG1678" s="1" t="s">
        <v>212</v>
      </c>
      <c r="CH1678" s="1" t="s">
        <v>209</v>
      </c>
      <c r="CI1678" s="1" t="s">
        <v>210</v>
      </c>
      <c r="CK1678" s="1" t="s">
        <v>264</v>
      </c>
      <c r="CL1678" s="1" t="s">
        <v>209</v>
      </c>
      <c r="CM1678" s="1" t="s">
        <v>210</v>
      </c>
      <c r="CO1678" s="1" t="s">
        <v>495</v>
      </c>
      <c r="CP1678" s="1" t="s">
        <v>209</v>
      </c>
      <c r="CQ1678" s="1" t="s">
        <v>210</v>
      </c>
      <c r="CS1678" s="1" t="s">
        <v>332</v>
      </c>
      <c r="CT1678" s="1" t="s">
        <v>206</v>
      </c>
      <c r="CU1678" s="1" t="s">
        <v>268</v>
      </c>
      <c r="CW1678" s="1" t="s">
        <v>454</v>
      </c>
      <c r="CX1678" s="1" t="s">
        <v>206</v>
      </c>
      <c r="CY1678" s="1" t="s">
        <v>268</v>
      </c>
      <c r="DA1678" s="1" t="s">
        <v>192</v>
      </c>
      <c r="DB1678" s="2">
        <v>41880.0</v>
      </c>
      <c r="DC1678" s="1" t="s">
        <v>744</v>
      </c>
      <c r="DD1678" s="1" t="s">
        <v>16636</v>
      </c>
      <c r="DE1678" s="1" t="s">
        <v>273</v>
      </c>
      <c r="DF1678" s="1" t="s">
        <v>219</v>
      </c>
      <c r="DG1678" s="1" t="s">
        <v>337</v>
      </c>
      <c r="DH1678" s="1" t="s">
        <v>307</v>
      </c>
      <c r="DI1678" s="1" t="s">
        <v>366</v>
      </c>
      <c r="DJ1678" s="1" t="s">
        <v>222</v>
      </c>
      <c r="DL1678" s="1" t="s">
        <v>858</v>
      </c>
      <c r="DM1678" s="1" t="s">
        <v>229</v>
      </c>
      <c r="DN1678" s="1" t="s">
        <v>399</v>
      </c>
      <c r="DO1678" s="1" t="s">
        <v>486</v>
      </c>
      <c r="DP1678" s="1" t="s">
        <v>276</v>
      </c>
      <c r="DQ1678" s="1" t="s">
        <v>441</v>
      </c>
      <c r="DR1678" s="1" t="s">
        <v>229</v>
      </c>
      <c r="DS1678" s="1" t="s">
        <v>13572</v>
      </c>
      <c r="DV1678" s="1" t="s">
        <v>1961</v>
      </c>
      <c r="DW1678" s="1" t="s">
        <v>444</v>
      </c>
      <c r="DX1678" s="1" t="s">
        <v>234</v>
      </c>
      <c r="DY1678" s="1" t="s">
        <v>1936</v>
      </c>
      <c r="DZ1678" s="1" t="s">
        <v>236</v>
      </c>
      <c r="EA1678" s="1" t="s">
        <v>5294</v>
      </c>
      <c r="EC1678" s="1" t="s">
        <v>237</v>
      </c>
      <c r="ED1678" s="1" t="s">
        <v>407</v>
      </c>
      <c r="EE1678" s="1" t="s">
        <v>493</v>
      </c>
      <c r="EG1678" s="1" t="s">
        <v>1961</v>
      </c>
      <c r="EL1678" s="1" t="s">
        <v>265</v>
      </c>
      <c r="EM1678" s="1" t="s">
        <v>206</v>
      </c>
      <c r="EN1678" s="1" t="s">
        <v>207</v>
      </c>
      <c r="EO1678" s="1" t="s">
        <v>229</v>
      </c>
      <c r="EQ1678" s="1" t="s">
        <v>238</v>
      </c>
      <c r="EU1678" s="1" t="s">
        <v>238</v>
      </c>
      <c r="EY1678" s="1" t="s">
        <v>238</v>
      </c>
      <c r="FC1678" s="1" t="s">
        <v>238</v>
      </c>
      <c r="FF1678" s="1" t="s">
        <v>239</v>
      </c>
      <c r="FG1678" s="1" t="s">
        <v>192</v>
      </c>
      <c r="FH1678" s="1" t="s">
        <v>192</v>
      </c>
      <c r="FJ1678" s="1" t="s">
        <v>799</v>
      </c>
      <c r="FK1678" s="1" t="s">
        <v>229</v>
      </c>
      <c r="FL1678" s="1" t="s">
        <v>562</v>
      </c>
      <c r="FM1678" s="1">
        <v>17665.0</v>
      </c>
      <c r="FN1678" s="1" t="s">
        <v>2998</v>
      </c>
      <c r="FO1678" s="1" t="s">
        <v>16637</v>
      </c>
      <c r="FP1678" s="1">
        <v>183147.0</v>
      </c>
      <c r="FQ1678" s="1" t="s">
        <v>16638</v>
      </c>
      <c r="FU1678" s="1" t="s">
        <v>16639</v>
      </c>
      <c r="FV1678" s="1" t="s">
        <v>200</v>
      </c>
      <c r="FW1678" s="1" t="s">
        <v>290</v>
      </c>
      <c r="FX1678" s="1" t="s">
        <v>246</v>
      </c>
      <c r="FZ1678" s="1" t="s">
        <v>229</v>
      </c>
      <c r="GA1678" s="1" t="s">
        <v>291</v>
      </c>
      <c r="GB1678" s="2">
        <v>42087.0</v>
      </c>
      <c r="GC1678" s="1" t="s">
        <v>1438</v>
      </c>
    </row>
    <row r="1679">
      <c r="A1679" s="1">
        <v>847500.0</v>
      </c>
      <c r="B1679" s="1" t="s">
        <v>185</v>
      </c>
      <c r="C1679" s="1" t="str">
        <f>"08693808"</f>
        <v>08693808</v>
      </c>
      <c r="D1679" s="1" t="s">
        <v>186</v>
      </c>
      <c r="F1679" s="1" t="str">
        <f>"8024"</f>
        <v>8024</v>
      </c>
      <c r="G1679" s="2">
        <v>41857.0</v>
      </c>
      <c r="H1679" s="1">
        <v>859900.0</v>
      </c>
      <c r="I1679" s="1">
        <v>390.0</v>
      </c>
      <c r="J1679" s="1">
        <v>849900.0</v>
      </c>
      <c r="K1679" s="2">
        <v>41934.0</v>
      </c>
      <c r="L1679" s="1">
        <v>78.0</v>
      </c>
      <c r="M1679" s="2">
        <v>41934.0</v>
      </c>
      <c r="N1679" s="1" t="s">
        <v>187</v>
      </c>
      <c r="O1679" s="2">
        <v>41992.0</v>
      </c>
      <c r="P1679" s="1">
        <v>156598.0</v>
      </c>
      <c r="Q1679" s="1">
        <v>11062.0</v>
      </c>
      <c r="S1679" s="1">
        <v>511.0</v>
      </c>
      <c r="T1679" s="1" t="s">
        <v>6444</v>
      </c>
      <c r="U1679" s="1" t="s">
        <v>1442</v>
      </c>
      <c r="V1679" s="1" t="s">
        <v>190</v>
      </c>
      <c r="W1679" s="1">
        <v>60612.0</v>
      </c>
      <c r="Y1679" s="1" t="s">
        <v>16666</v>
      </c>
      <c r="Z1679" s="1">
        <v>2013.0</v>
      </c>
      <c r="AA1679" s="1" t="s">
        <v>200</v>
      </c>
      <c r="AB1679" s="1" t="s">
        <v>193</v>
      </c>
      <c r="AD1679" s="1" t="s">
        <v>194</v>
      </c>
      <c r="AE1679" s="1" t="s">
        <v>195</v>
      </c>
      <c r="AF1679" s="1" t="s">
        <v>827</v>
      </c>
      <c r="AH1679" s="1" t="s">
        <v>16667</v>
      </c>
      <c r="AK1679" s="1">
        <v>10.0</v>
      </c>
      <c r="AL1679" s="1">
        <v>4.0</v>
      </c>
      <c r="AM1679" s="1">
        <v>3.0</v>
      </c>
      <c r="AN1679" s="1">
        <v>1.0</v>
      </c>
      <c r="AO1679" s="1" t="s">
        <v>198</v>
      </c>
      <c r="AQ1679" s="1" t="s">
        <v>198</v>
      </c>
      <c r="AR1679" s="1" t="s">
        <v>192</v>
      </c>
      <c r="AS1679" s="1" t="s">
        <v>199</v>
      </c>
      <c r="AT1679" s="1">
        <v>2.5</v>
      </c>
      <c r="AV1679" s="1" t="s">
        <v>200</v>
      </c>
      <c r="AW1679" s="1" t="s">
        <v>575</v>
      </c>
      <c r="AX1679" s="1">
        <v>2013.0</v>
      </c>
      <c r="AY1679" s="1" t="s">
        <v>229</v>
      </c>
      <c r="AZ1679" s="1" t="s">
        <v>200</v>
      </c>
      <c r="BA1679" s="1" t="str">
        <f>"17071220040000"</f>
        <v>17071220040000</v>
      </c>
      <c r="BC1679" s="1">
        <v>0.0</v>
      </c>
      <c r="BD1679" s="1">
        <v>847500.0</v>
      </c>
      <c r="BE1679" s="2">
        <v>41857.0</v>
      </c>
      <c r="BF1679" s="2" t="s">
        <v>16668</v>
      </c>
      <c r="BG1679" s="1" t="s">
        <v>9353</v>
      </c>
      <c r="BH1679" s="1">
        <v>0.0</v>
      </c>
      <c r="BK1679" s="1" t="s">
        <v>204</v>
      </c>
      <c r="BL1679" s="1" t="str">
        <f>"511"</f>
        <v>511</v>
      </c>
      <c r="BM1679" s="1" t="str">
        <f t="shared" si="1101"/>
        <v>0</v>
      </c>
      <c r="BN1679" s="1">
        <v>2300.0</v>
      </c>
      <c r="BO1679" s="1">
        <v>0.0</v>
      </c>
      <c r="BQ1679" s="1">
        <v>299.0</v>
      </c>
      <c r="BR1679" s="1">
        <v>299.0</v>
      </c>
      <c r="BS1679" s="1">
        <v>299.0</v>
      </c>
      <c r="BU1679" s="1" t="s">
        <v>480</v>
      </c>
      <c r="BV1679" s="1" t="s">
        <v>206</v>
      </c>
      <c r="BW1679" s="1" t="s">
        <v>207</v>
      </c>
      <c r="BY1679" s="1" t="s">
        <v>2120</v>
      </c>
      <c r="BZ1679" s="1" t="s">
        <v>209</v>
      </c>
      <c r="CA1679" s="1" t="s">
        <v>207</v>
      </c>
      <c r="CC1679" s="1" t="s">
        <v>211</v>
      </c>
      <c r="CD1679" s="1" t="s">
        <v>206</v>
      </c>
      <c r="CE1679" s="1" t="s">
        <v>207</v>
      </c>
      <c r="CG1679" s="1" t="s">
        <v>699</v>
      </c>
      <c r="CH1679" s="1" t="s">
        <v>209</v>
      </c>
      <c r="CI1679" s="1" t="s">
        <v>207</v>
      </c>
      <c r="CK1679" s="1" t="s">
        <v>331</v>
      </c>
      <c r="CL1679" s="1" t="s">
        <v>209</v>
      </c>
      <c r="CM1679" s="1" t="s">
        <v>207</v>
      </c>
      <c r="CO1679" s="1" t="s">
        <v>361</v>
      </c>
      <c r="CP1679" s="1" t="s">
        <v>267</v>
      </c>
      <c r="CQ1679" s="1" t="s">
        <v>210</v>
      </c>
      <c r="CS1679" s="1" t="s">
        <v>616</v>
      </c>
      <c r="CT1679" s="1" t="s">
        <v>206</v>
      </c>
      <c r="CU1679" s="1" t="s">
        <v>207</v>
      </c>
      <c r="CW1679" s="1" t="s">
        <v>2119</v>
      </c>
      <c r="CX1679" s="1" t="s">
        <v>267</v>
      </c>
      <c r="CY1679" s="1" t="s">
        <v>210</v>
      </c>
      <c r="DA1679" s="1" t="s">
        <v>192</v>
      </c>
      <c r="DB1679" s="2">
        <v>41848.0</v>
      </c>
      <c r="DC1679" s="1" t="s">
        <v>1353</v>
      </c>
      <c r="DD1679" s="1" t="s">
        <v>731</v>
      </c>
      <c r="DE1679" s="1" t="s">
        <v>273</v>
      </c>
      <c r="DF1679" s="1" t="s">
        <v>619</v>
      </c>
      <c r="DG1679" s="1" t="s">
        <v>9249</v>
      </c>
      <c r="DH1679" s="1" t="s">
        <v>307</v>
      </c>
      <c r="DI1679" s="1" t="s">
        <v>2329</v>
      </c>
      <c r="DJ1679" s="1" t="s">
        <v>222</v>
      </c>
      <c r="DL1679" s="1" t="s">
        <v>224</v>
      </c>
      <c r="DM1679" s="1" t="s">
        <v>1402</v>
      </c>
      <c r="DN1679" s="1" t="s">
        <v>485</v>
      </c>
      <c r="DP1679" s="1" t="s">
        <v>340</v>
      </c>
      <c r="DQ1679" s="1" t="s">
        <v>228</v>
      </c>
      <c r="DR1679" s="1" t="s">
        <v>229</v>
      </c>
      <c r="DS1679" s="1" t="s">
        <v>591</v>
      </c>
      <c r="DT1679" s="1" t="s">
        <v>16669</v>
      </c>
      <c r="DU1679" s="1" t="s">
        <v>16670</v>
      </c>
      <c r="DV1679" s="1" t="s">
        <v>16671</v>
      </c>
      <c r="DW1679" s="1" t="s">
        <v>3465</v>
      </c>
      <c r="DX1679" s="1" t="s">
        <v>234</v>
      </c>
      <c r="DY1679" s="1" t="s">
        <v>2972</v>
      </c>
      <c r="DZ1679" s="1" t="s">
        <v>1100</v>
      </c>
      <c r="EA1679" s="1" t="s">
        <v>1027</v>
      </c>
      <c r="EC1679" s="1" t="s">
        <v>406</v>
      </c>
      <c r="ED1679" s="1" t="s">
        <v>407</v>
      </c>
      <c r="EH1679" s="1" t="s">
        <v>598</v>
      </c>
      <c r="EI1679" s="1" t="s">
        <v>1270</v>
      </c>
      <c r="EK1679" s="1" t="s">
        <v>557</v>
      </c>
      <c r="EM1679" s="1" t="s">
        <v>238</v>
      </c>
      <c r="EP1679" s="1" t="s">
        <v>1746</v>
      </c>
      <c r="EQ1679" s="1" t="s">
        <v>206</v>
      </c>
      <c r="ER1679" s="1" t="s">
        <v>207</v>
      </c>
      <c r="ET1679" s="1" t="s">
        <v>1449</v>
      </c>
      <c r="EU1679" s="1" t="s">
        <v>267</v>
      </c>
      <c r="EV1679" s="1" t="s">
        <v>268</v>
      </c>
      <c r="EY1679" s="1" t="s">
        <v>238</v>
      </c>
      <c r="FB1679" s="1" t="s">
        <v>3663</v>
      </c>
      <c r="FC1679" s="1" t="s">
        <v>7446</v>
      </c>
      <c r="FF1679" s="1" t="s">
        <v>239</v>
      </c>
      <c r="FG1679" s="1" t="s">
        <v>192</v>
      </c>
      <c r="FH1679" s="1" t="s">
        <v>192</v>
      </c>
      <c r="FJ1679" s="1" t="s">
        <v>16672</v>
      </c>
      <c r="FK1679" s="1" t="s">
        <v>229</v>
      </c>
      <c r="FL1679" s="1" t="s">
        <v>974</v>
      </c>
      <c r="FM1679" s="1">
        <v>10900.0</v>
      </c>
      <c r="FN1679" s="1" t="s">
        <v>1435</v>
      </c>
      <c r="FO1679" s="1" t="s">
        <v>16673</v>
      </c>
      <c r="FP1679" s="1">
        <v>170067.0</v>
      </c>
      <c r="FQ1679" s="1" t="s">
        <v>16674</v>
      </c>
      <c r="FU1679" s="1" t="s">
        <v>16675</v>
      </c>
      <c r="FV1679" s="1" t="s">
        <v>192</v>
      </c>
      <c r="FW1679" s="1" t="s">
        <v>290</v>
      </c>
      <c r="FX1679" s="1" t="s">
        <v>238</v>
      </c>
      <c r="FZ1679" s="1" t="s">
        <v>229</v>
      </c>
      <c r="GA1679" s="1" t="s">
        <v>291</v>
      </c>
      <c r="GB1679" s="2">
        <v>41995.0</v>
      </c>
      <c r="GC1679" s="1" t="s">
        <v>16676</v>
      </c>
    </row>
    <row r="1680">
      <c r="A1680" s="1">
        <v>365000.0</v>
      </c>
      <c r="B1680" s="1" t="s">
        <v>185</v>
      </c>
      <c r="C1680" s="1" t="str">
        <f>"08704212"</f>
        <v>08704212</v>
      </c>
      <c r="D1680" s="1" t="s">
        <v>186</v>
      </c>
      <c r="F1680" s="1" t="str">
        <f>"8035"</f>
        <v>8035</v>
      </c>
      <c r="G1680" s="2">
        <v>41869.0</v>
      </c>
      <c r="H1680" s="1">
        <v>405000.0</v>
      </c>
      <c r="I1680" s="1">
        <v>76.0</v>
      </c>
      <c r="J1680" s="1">
        <v>379900.0</v>
      </c>
      <c r="K1680" s="2">
        <v>41944.0</v>
      </c>
      <c r="L1680" s="1">
        <v>76.0</v>
      </c>
      <c r="M1680" s="2">
        <v>41944.0</v>
      </c>
      <c r="N1680" s="1" t="s">
        <v>187</v>
      </c>
      <c r="O1680" s="2">
        <v>42004.0</v>
      </c>
      <c r="P1680" s="1">
        <v>923424.0</v>
      </c>
      <c r="Q1680" s="1">
        <v>25494.0</v>
      </c>
      <c r="R1680" s="1">
        <v>1000.0</v>
      </c>
      <c r="S1680" s="1">
        <v>3632.0</v>
      </c>
      <c r="T1680" s="1" t="s">
        <v>1326</v>
      </c>
      <c r="U1680" s="1" t="s">
        <v>189</v>
      </c>
      <c r="V1680" s="1" t="s">
        <v>190</v>
      </c>
      <c r="W1680" s="1">
        <v>60653.0</v>
      </c>
      <c r="Y1680" s="1" t="s">
        <v>16677</v>
      </c>
      <c r="Z1680" s="1">
        <v>1998.0</v>
      </c>
      <c r="AA1680" s="1" t="s">
        <v>200</v>
      </c>
      <c r="AB1680" s="1" t="s">
        <v>193</v>
      </c>
      <c r="AD1680" s="1" t="s">
        <v>194</v>
      </c>
      <c r="AE1680" s="1" t="s">
        <v>195</v>
      </c>
      <c r="AF1680" s="1" t="s">
        <v>637</v>
      </c>
      <c r="AH1680" s="1" t="s">
        <v>359</v>
      </c>
      <c r="AK1680" s="1">
        <v>8.0</v>
      </c>
      <c r="AL1680" s="1">
        <v>4.0</v>
      </c>
      <c r="AM1680" s="1">
        <v>3.0</v>
      </c>
      <c r="AN1680" s="1">
        <v>1.0</v>
      </c>
      <c r="AO1680" s="1" t="s">
        <v>198</v>
      </c>
      <c r="AP1680" s="1">
        <v>1.0</v>
      </c>
      <c r="AQ1680" s="1" t="s">
        <v>198</v>
      </c>
      <c r="AR1680" s="1" t="s">
        <v>192</v>
      </c>
      <c r="AS1680" s="1" t="s">
        <v>199</v>
      </c>
      <c r="AT1680" s="1">
        <v>2.0</v>
      </c>
      <c r="AV1680" s="1" t="s">
        <v>200</v>
      </c>
      <c r="AW1680" s="1">
        <v>4817.93</v>
      </c>
      <c r="AX1680" s="1">
        <v>2013.0</v>
      </c>
      <c r="AY1680" s="1" t="s">
        <v>387</v>
      </c>
      <c r="AZ1680" s="1" t="s">
        <v>200</v>
      </c>
      <c r="BA1680" s="1" t="str">
        <f>"17343091170000"</f>
        <v>17343091170000</v>
      </c>
      <c r="BB1680" s="1" t="s">
        <v>200</v>
      </c>
      <c r="BC1680" s="1">
        <v>0.0</v>
      </c>
      <c r="BD1680" s="1">
        <v>365000.0</v>
      </c>
      <c r="BE1680" s="2">
        <v>41869.0</v>
      </c>
      <c r="BF1680" s="2" t="s">
        <v>16678</v>
      </c>
      <c r="BH1680" s="1">
        <v>0.0</v>
      </c>
      <c r="BK1680" s="1" t="s">
        <v>204</v>
      </c>
      <c r="BL1680" s="1" t="str">
        <f t="shared" ref="BL1680:BL1681" si="1102">"0"</f>
        <v>0</v>
      </c>
      <c r="BM1680" s="1" t="str">
        <f>"400"</f>
        <v>400</v>
      </c>
      <c r="BN1680" s="1">
        <v>0.0</v>
      </c>
      <c r="BO1680" s="1">
        <v>3632.0</v>
      </c>
      <c r="BQ1680" s="1">
        <v>299.0</v>
      </c>
      <c r="BR1680" s="1">
        <v>299.0</v>
      </c>
      <c r="BS1680" s="1">
        <v>299.0</v>
      </c>
      <c r="BU1680" s="1" t="s">
        <v>616</v>
      </c>
      <c r="BV1680" s="1" t="s">
        <v>206</v>
      </c>
      <c r="BW1680" s="1" t="s">
        <v>207</v>
      </c>
      <c r="BX1680" s="1" t="s">
        <v>431</v>
      </c>
      <c r="BY1680" s="1" t="s">
        <v>758</v>
      </c>
      <c r="BZ1680" s="1" t="s">
        <v>209</v>
      </c>
      <c r="CA1680" s="1" t="s">
        <v>210</v>
      </c>
      <c r="CB1680" s="1" t="s">
        <v>431</v>
      </c>
      <c r="CC1680" s="1" t="s">
        <v>647</v>
      </c>
      <c r="CD1680" s="1" t="s">
        <v>206</v>
      </c>
      <c r="CE1680" s="1" t="s">
        <v>207</v>
      </c>
      <c r="CF1680" s="1" t="s">
        <v>431</v>
      </c>
      <c r="CG1680" s="1" t="s">
        <v>212</v>
      </c>
      <c r="CH1680" s="1" t="s">
        <v>209</v>
      </c>
      <c r="CI1680" s="1" t="s">
        <v>210</v>
      </c>
      <c r="CJ1680" s="1" t="s">
        <v>431</v>
      </c>
      <c r="CK1680" s="1" t="s">
        <v>495</v>
      </c>
      <c r="CL1680" s="1" t="s">
        <v>209</v>
      </c>
      <c r="CM1680" s="1" t="s">
        <v>210</v>
      </c>
      <c r="CN1680" s="1" t="s">
        <v>431</v>
      </c>
      <c r="CO1680" s="1" t="s">
        <v>331</v>
      </c>
      <c r="CP1680" s="1" t="s">
        <v>267</v>
      </c>
      <c r="CQ1680" s="1" t="s">
        <v>210</v>
      </c>
      <c r="CR1680" s="1" t="s">
        <v>431</v>
      </c>
      <c r="CS1680" s="1" t="s">
        <v>331</v>
      </c>
      <c r="CT1680" s="1" t="s">
        <v>206</v>
      </c>
      <c r="CU1680" s="1" t="s">
        <v>207</v>
      </c>
      <c r="CW1680" s="1" t="s">
        <v>2120</v>
      </c>
      <c r="CX1680" s="1" t="s">
        <v>267</v>
      </c>
      <c r="CY1680" s="1" t="s">
        <v>210</v>
      </c>
      <c r="CZ1680" s="1" t="s">
        <v>431</v>
      </c>
      <c r="DA1680" s="1" t="s">
        <v>200</v>
      </c>
      <c r="DC1680" s="1" t="s">
        <v>678</v>
      </c>
      <c r="DD1680" s="1" t="s">
        <v>3633</v>
      </c>
      <c r="DE1680" s="1" t="s">
        <v>273</v>
      </c>
      <c r="DF1680" s="1" t="s">
        <v>219</v>
      </c>
      <c r="DH1680" s="1" t="s">
        <v>365</v>
      </c>
      <c r="DI1680" s="1" t="s">
        <v>2057</v>
      </c>
      <c r="DJ1680" s="1" t="s">
        <v>222</v>
      </c>
      <c r="DK1680" s="1" t="s">
        <v>3740</v>
      </c>
      <c r="DL1680" s="1" t="s">
        <v>1161</v>
      </c>
      <c r="DM1680" s="1" t="s">
        <v>229</v>
      </c>
      <c r="DO1680" s="1" t="s">
        <v>549</v>
      </c>
      <c r="DP1680" s="1" t="s">
        <v>340</v>
      </c>
      <c r="DQ1680" s="1" t="s">
        <v>718</v>
      </c>
      <c r="DR1680" s="1" t="s">
        <v>229</v>
      </c>
      <c r="DU1680" s="1" t="s">
        <v>16679</v>
      </c>
      <c r="DV1680" s="1" t="s">
        <v>10630</v>
      </c>
      <c r="DW1680" s="1" t="s">
        <v>2284</v>
      </c>
      <c r="DX1680" s="1" t="s">
        <v>234</v>
      </c>
      <c r="DY1680" s="1" t="s">
        <v>704</v>
      </c>
      <c r="DZ1680" s="1" t="s">
        <v>1661</v>
      </c>
      <c r="EB1680" s="1" t="s">
        <v>3699</v>
      </c>
      <c r="EC1680" s="1" t="s">
        <v>237</v>
      </c>
      <c r="ED1680" s="1" t="s">
        <v>555</v>
      </c>
      <c r="EG1680" s="1" t="s">
        <v>408</v>
      </c>
      <c r="EH1680" s="1" t="s">
        <v>1103</v>
      </c>
      <c r="EL1680" s="1" t="s">
        <v>266</v>
      </c>
      <c r="EM1680" s="1" t="s">
        <v>206</v>
      </c>
      <c r="EP1680" s="1" t="s">
        <v>721</v>
      </c>
      <c r="EQ1680" s="1" t="s">
        <v>267</v>
      </c>
      <c r="ER1680" s="1" t="s">
        <v>268</v>
      </c>
      <c r="EU1680" s="1" t="s">
        <v>238</v>
      </c>
      <c r="EY1680" s="1" t="s">
        <v>238</v>
      </c>
      <c r="FC1680" s="1" t="s">
        <v>238</v>
      </c>
      <c r="FF1680" s="1" t="s">
        <v>239</v>
      </c>
      <c r="FG1680" s="1" t="s">
        <v>192</v>
      </c>
      <c r="FH1680" s="1" t="s">
        <v>192</v>
      </c>
      <c r="FJ1680" s="1" t="s">
        <v>799</v>
      </c>
      <c r="FK1680" s="1" t="s">
        <v>229</v>
      </c>
      <c r="FL1680" s="1" t="s">
        <v>562</v>
      </c>
      <c r="FM1680" s="1">
        <v>16379.0</v>
      </c>
      <c r="FN1680" s="1" t="s">
        <v>563</v>
      </c>
      <c r="FO1680" s="1" t="s">
        <v>16680</v>
      </c>
      <c r="FP1680" s="1">
        <v>164010.0</v>
      </c>
      <c r="FQ1680" s="1" t="s">
        <v>16681</v>
      </c>
      <c r="FU1680" s="1" t="s">
        <v>16682</v>
      </c>
      <c r="FV1680" s="1" t="s">
        <v>192</v>
      </c>
      <c r="FW1680" s="1" t="s">
        <v>16683</v>
      </c>
      <c r="FX1680" s="1" t="s">
        <v>655</v>
      </c>
      <c r="FZ1680" s="1" t="s">
        <v>229</v>
      </c>
      <c r="GA1680" s="1" t="s">
        <v>291</v>
      </c>
      <c r="GB1680" s="2">
        <v>42006.0</v>
      </c>
      <c r="GC1680" s="1" t="s">
        <v>16684</v>
      </c>
    </row>
    <row r="1681">
      <c r="A1681" s="1">
        <v>56000.0</v>
      </c>
      <c r="B1681" s="1" t="s">
        <v>185</v>
      </c>
      <c r="C1681" s="1" t="str">
        <f>"08689883"</f>
        <v>08689883</v>
      </c>
      <c r="D1681" s="1" t="s">
        <v>186</v>
      </c>
      <c r="F1681" s="1" t="str">
        <f>"8052"</f>
        <v>8052</v>
      </c>
      <c r="G1681" s="2">
        <v>41852.0</v>
      </c>
      <c r="H1681" s="1">
        <v>74000.0</v>
      </c>
      <c r="I1681" s="1">
        <v>194.0</v>
      </c>
      <c r="J1681" s="1">
        <v>68000.0</v>
      </c>
      <c r="K1681" s="2">
        <v>41953.0</v>
      </c>
      <c r="L1681" s="1">
        <v>103.0</v>
      </c>
      <c r="M1681" s="2">
        <v>41953.0</v>
      </c>
      <c r="N1681" s="1" t="s">
        <v>356</v>
      </c>
      <c r="O1681" s="2">
        <v>41990.0</v>
      </c>
      <c r="P1681" s="1">
        <v>180949.0</v>
      </c>
      <c r="Q1681" s="1">
        <v>15391.0</v>
      </c>
      <c r="S1681" s="1">
        <v>10313.0</v>
      </c>
      <c r="T1681" s="1" t="s">
        <v>10000</v>
      </c>
      <c r="V1681" s="1" t="s">
        <v>190</v>
      </c>
      <c r="W1681" s="1">
        <v>60617.0</v>
      </c>
      <c r="Y1681" s="1" t="s">
        <v>16685</v>
      </c>
      <c r="Z1681" s="1">
        <v>1966.0</v>
      </c>
      <c r="AA1681" s="1" t="s">
        <v>192</v>
      </c>
      <c r="AB1681" s="1" t="s">
        <v>193</v>
      </c>
      <c r="AD1681" s="1" t="s">
        <v>194</v>
      </c>
      <c r="AE1681" s="1" t="s">
        <v>195</v>
      </c>
      <c r="AF1681" s="1" t="s">
        <v>637</v>
      </c>
      <c r="AH1681" s="1" t="s">
        <v>359</v>
      </c>
      <c r="AI1681" s="1">
        <v>0.0717</v>
      </c>
      <c r="AK1681" s="1">
        <v>7.0</v>
      </c>
      <c r="AL1681" s="1">
        <v>3.0</v>
      </c>
      <c r="AM1681" s="1">
        <v>1.0</v>
      </c>
      <c r="AN1681" s="1">
        <v>0.0</v>
      </c>
      <c r="AO1681" s="1" t="s">
        <v>229</v>
      </c>
      <c r="AQ1681" s="1" t="s">
        <v>198</v>
      </c>
      <c r="AR1681" s="1" t="s">
        <v>200</v>
      </c>
      <c r="AS1681" s="1" t="s">
        <v>199</v>
      </c>
      <c r="AT1681" s="1">
        <v>2.0</v>
      </c>
      <c r="AV1681" s="1" t="s">
        <v>200</v>
      </c>
      <c r="AW1681" s="6">
        <v>1380.0</v>
      </c>
      <c r="AX1681" s="1">
        <v>2012.0</v>
      </c>
      <c r="AY1681" s="1" t="s">
        <v>387</v>
      </c>
      <c r="AZ1681" s="1" t="s">
        <v>200</v>
      </c>
      <c r="BA1681" s="1" t="str">
        <f>"26083100550000"</f>
        <v>26083100550000</v>
      </c>
      <c r="BC1681" s="1">
        <v>984.0</v>
      </c>
      <c r="BD1681" s="1">
        <v>56000.0</v>
      </c>
      <c r="BE1681" s="2">
        <v>41851.0</v>
      </c>
      <c r="BF1681" s="1" t="s">
        <v>16686</v>
      </c>
      <c r="BH1681" s="1">
        <v>0.0</v>
      </c>
      <c r="BK1681" s="1" t="s">
        <v>204</v>
      </c>
      <c r="BL1681" s="1" t="str">
        <f t="shared" si="1102"/>
        <v>0</v>
      </c>
      <c r="BM1681" s="1" t="str">
        <f>"3400"</f>
        <v>3400</v>
      </c>
      <c r="BN1681" s="1">
        <v>0.0</v>
      </c>
      <c r="BO1681" s="1">
        <v>10300.0</v>
      </c>
      <c r="BQ1681" s="1">
        <v>299.0</v>
      </c>
      <c r="BR1681" s="1">
        <v>299.0</v>
      </c>
      <c r="BS1681" s="1">
        <v>299.0</v>
      </c>
      <c r="BU1681" s="1" t="s">
        <v>1426</v>
      </c>
      <c r="BV1681" s="1" t="s">
        <v>206</v>
      </c>
      <c r="BW1681" s="1" t="s">
        <v>268</v>
      </c>
      <c r="BY1681" s="1" t="s">
        <v>647</v>
      </c>
      <c r="BZ1681" s="1" t="s">
        <v>206</v>
      </c>
      <c r="CA1681" s="1" t="s">
        <v>301</v>
      </c>
      <c r="CC1681" s="1" t="s">
        <v>542</v>
      </c>
      <c r="CD1681" s="1" t="s">
        <v>206</v>
      </c>
      <c r="CG1681" s="1" t="s">
        <v>543</v>
      </c>
      <c r="CH1681" s="1" t="s">
        <v>206</v>
      </c>
      <c r="CI1681" s="1" t="s">
        <v>301</v>
      </c>
      <c r="CK1681" s="1" t="s">
        <v>495</v>
      </c>
      <c r="CL1681" s="1" t="s">
        <v>206</v>
      </c>
      <c r="CO1681" s="1" t="s">
        <v>1229</v>
      </c>
      <c r="CP1681" s="1" t="s">
        <v>42</v>
      </c>
      <c r="CS1681" s="1" t="s">
        <v>211</v>
      </c>
      <c r="CT1681" s="1" t="s">
        <v>206</v>
      </c>
      <c r="CX1681" s="1" t="s">
        <v>204</v>
      </c>
      <c r="DA1681" s="1" t="s">
        <v>200</v>
      </c>
      <c r="DC1681" s="1" t="s">
        <v>517</v>
      </c>
      <c r="DE1681" s="1" t="s">
        <v>273</v>
      </c>
      <c r="DF1681" s="1" t="s">
        <v>219</v>
      </c>
      <c r="DH1681" s="1" t="s">
        <v>307</v>
      </c>
      <c r="DJ1681" s="1" t="s">
        <v>222</v>
      </c>
      <c r="DL1681" s="1" t="s">
        <v>858</v>
      </c>
      <c r="DM1681" s="1" t="s">
        <v>229</v>
      </c>
      <c r="DQ1681" s="1" t="s">
        <v>718</v>
      </c>
      <c r="DR1681" s="1" t="s">
        <v>229</v>
      </c>
      <c r="DS1681" s="1" t="s">
        <v>230</v>
      </c>
      <c r="DV1681" s="1" t="s">
        <v>232</v>
      </c>
      <c r="DW1681" s="1" t="s">
        <v>279</v>
      </c>
      <c r="DX1681" s="1" t="s">
        <v>234</v>
      </c>
      <c r="DZ1681" s="1" t="s">
        <v>282</v>
      </c>
      <c r="EA1681" s="1" t="s">
        <v>683</v>
      </c>
      <c r="EC1681" s="1" t="s">
        <v>685</v>
      </c>
      <c r="ED1681" s="1" t="s">
        <v>4163</v>
      </c>
      <c r="EM1681" s="1" t="s">
        <v>238</v>
      </c>
      <c r="EQ1681" s="1" t="s">
        <v>238</v>
      </c>
      <c r="EU1681" s="1" t="s">
        <v>238</v>
      </c>
      <c r="EY1681" s="1" t="s">
        <v>238</v>
      </c>
      <c r="FC1681" s="1" t="s">
        <v>238</v>
      </c>
      <c r="FF1681" s="1" t="s">
        <v>239</v>
      </c>
      <c r="FG1681" s="1" t="s">
        <v>192</v>
      </c>
      <c r="FH1681" s="1" t="s">
        <v>192</v>
      </c>
      <c r="FJ1681" s="1" t="s">
        <v>1248</v>
      </c>
      <c r="FK1681" s="1" t="s">
        <v>229</v>
      </c>
      <c r="FL1681" s="1" t="s">
        <v>7536</v>
      </c>
      <c r="FM1681" s="1">
        <v>22994.0</v>
      </c>
      <c r="FN1681" s="1" t="s">
        <v>7537</v>
      </c>
      <c r="FO1681" s="1" t="s">
        <v>16687</v>
      </c>
      <c r="FP1681" s="1">
        <v>603979.0</v>
      </c>
      <c r="FQ1681" s="1" t="s">
        <v>7537</v>
      </c>
      <c r="FU1681" s="1" t="s">
        <v>1751</v>
      </c>
      <c r="FV1681" s="1" t="s">
        <v>200</v>
      </c>
      <c r="FW1681" s="1" t="s">
        <v>1411</v>
      </c>
      <c r="FX1681" s="1" t="s">
        <v>655</v>
      </c>
      <c r="FZ1681" s="1" t="s">
        <v>229</v>
      </c>
      <c r="GA1681" s="1" t="s">
        <v>291</v>
      </c>
      <c r="GB1681" s="2">
        <v>41992.0</v>
      </c>
    </row>
    <row r="1682">
      <c r="A1682" s="1">
        <v>258000.0</v>
      </c>
      <c r="B1682" s="1" t="s">
        <v>185</v>
      </c>
      <c r="C1682" s="1" t="str">
        <f>"08689686"</f>
        <v>08689686</v>
      </c>
      <c r="D1682" s="1" t="s">
        <v>186</v>
      </c>
      <c r="F1682" s="1" t="str">
        <f t="shared" ref="F1682:F1683" si="1104">"543"</f>
        <v>543</v>
      </c>
      <c r="G1682" s="2">
        <v>41852.0</v>
      </c>
      <c r="H1682" s="1">
        <v>329900.0</v>
      </c>
      <c r="I1682" s="1">
        <v>163.0</v>
      </c>
      <c r="J1682" s="1">
        <v>260000.0</v>
      </c>
      <c r="K1682" s="2">
        <v>42013.0</v>
      </c>
      <c r="L1682" s="1">
        <v>163.0</v>
      </c>
      <c r="M1682" s="2">
        <v>42013.0</v>
      </c>
      <c r="N1682" s="1" t="s">
        <v>187</v>
      </c>
      <c r="O1682" s="2">
        <v>42034.0</v>
      </c>
      <c r="P1682" s="1">
        <v>300059.0</v>
      </c>
      <c r="Q1682" s="1">
        <v>349.0</v>
      </c>
      <c r="R1682" s="1">
        <v>3560.0</v>
      </c>
      <c r="S1682" s="1">
        <v>142.0</v>
      </c>
      <c r="T1682" s="1" t="s">
        <v>5745</v>
      </c>
      <c r="U1682" s="1" t="s">
        <v>569</v>
      </c>
      <c r="V1682" s="1" t="s">
        <v>1527</v>
      </c>
      <c r="W1682" s="1">
        <v>60543.0</v>
      </c>
      <c r="Y1682" s="1" t="s">
        <v>16688</v>
      </c>
      <c r="Z1682" s="1">
        <v>2004.0</v>
      </c>
      <c r="AA1682" s="1" t="s">
        <v>200</v>
      </c>
      <c r="AB1682" s="1" t="s">
        <v>193</v>
      </c>
      <c r="AC1682" s="1" t="s">
        <v>16689</v>
      </c>
      <c r="AD1682" s="1" t="s">
        <v>1529</v>
      </c>
      <c r="AE1682" s="1" t="s">
        <v>849</v>
      </c>
      <c r="AF1682" s="1" t="s">
        <v>1312</v>
      </c>
      <c r="AH1682" s="1" t="s">
        <v>5748</v>
      </c>
      <c r="AI1682" s="1">
        <v>0.25</v>
      </c>
      <c r="AK1682" s="1">
        <v>9.0</v>
      </c>
      <c r="AL1682" s="1">
        <v>4.0</v>
      </c>
      <c r="AM1682" s="1">
        <v>2.0</v>
      </c>
      <c r="AN1682" s="1">
        <v>1.0</v>
      </c>
      <c r="AO1682" s="1" t="s">
        <v>198</v>
      </c>
      <c r="AP1682" s="1">
        <v>1.0</v>
      </c>
      <c r="AQ1682" s="1" t="s">
        <v>198</v>
      </c>
      <c r="AR1682" s="1" t="s">
        <v>200</v>
      </c>
      <c r="AS1682" s="1" t="s">
        <v>199</v>
      </c>
      <c r="AT1682" s="1">
        <v>3.0</v>
      </c>
      <c r="AV1682" s="1" t="s">
        <v>200</v>
      </c>
      <c r="AW1682" s="1">
        <v>8375.84</v>
      </c>
      <c r="AX1682" s="1">
        <v>2013.0</v>
      </c>
      <c r="AZ1682" s="1" t="s">
        <v>200</v>
      </c>
      <c r="BA1682" s="1" t="str">
        <f>"0213104015"</f>
        <v>0213104015</v>
      </c>
      <c r="BC1682" s="1">
        <v>3297.0</v>
      </c>
      <c r="BD1682" s="1">
        <v>258000.0</v>
      </c>
      <c r="BE1682" s="2">
        <v>41851.0</v>
      </c>
      <c r="BF1682" s="1" t="s">
        <v>16690</v>
      </c>
      <c r="BH1682" s="1">
        <v>210.0</v>
      </c>
      <c r="BK1682" s="1" t="s">
        <v>580</v>
      </c>
      <c r="BL1682" s="1" t="str">
        <f t="shared" ref="BL1682:BM1682" si="1103">""</f>
        <v/>
      </c>
      <c r="BM1682" s="1" t="str">
        <f t="shared" si="1103"/>
        <v/>
      </c>
      <c r="BQ1682" s="1">
        <v>115.0</v>
      </c>
      <c r="BR1682" s="1">
        <v>115.0</v>
      </c>
      <c r="BS1682" s="1">
        <v>115.0</v>
      </c>
      <c r="BU1682" s="1" t="s">
        <v>363</v>
      </c>
      <c r="BV1682" s="1" t="s">
        <v>206</v>
      </c>
      <c r="BY1682" s="1" t="s">
        <v>434</v>
      </c>
      <c r="BZ1682" s="1" t="s">
        <v>209</v>
      </c>
      <c r="CC1682" s="1" t="s">
        <v>1483</v>
      </c>
      <c r="CD1682" s="1" t="s">
        <v>206</v>
      </c>
      <c r="CG1682" s="1" t="s">
        <v>363</v>
      </c>
      <c r="CH1682" s="1" t="s">
        <v>209</v>
      </c>
      <c r="CJ1682" s="1" t="s">
        <v>431</v>
      </c>
      <c r="CK1682" s="1" t="s">
        <v>1395</v>
      </c>
      <c r="CL1682" s="1" t="s">
        <v>209</v>
      </c>
      <c r="CO1682" s="1" t="s">
        <v>300</v>
      </c>
      <c r="CP1682" s="1" t="s">
        <v>209</v>
      </c>
      <c r="CS1682" s="1" t="s">
        <v>1244</v>
      </c>
      <c r="CT1682" s="1" t="s">
        <v>206</v>
      </c>
      <c r="CW1682" s="1" t="s">
        <v>3154</v>
      </c>
      <c r="CX1682" s="1" t="s">
        <v>206</v>
      </c>
      <c r="DA1682" s="1" t="s">
        <v>200</v>
      </c>
      <c r="DC1682" s="1" t="s">
        <v>481</v>
      </c>
      <c r="DE1682" s="1" t="s">
        <v>273</v>
      </c>
      <c r="DF1682" s="1" t="s">
        <v>219</v>
      </c>
      <c r="DH1682" s="1" t="s">
        <v>220</v>
      </c>
      <c r="DJ1682" s="1" t="s">
        <v>222</v>
      </c>
      <c r="DL1682" s="1" t="s">
        <v>223</v>
      </c>
      <c r="DM1682" s="1" t="s">
        <v>229</v>
      </c>
      <c r="DQ1682" s="1" t="s">
        <v>228</v>
      </c>
      <c r="DR1682" s="1" t="s">
        <v>588</v>
      </c>
      <c r="DV1682" s="1" t="s">
        <v>494</v>
      </c>
      <c r="DW1682" s="1" t="s">
        <v>444</v>
      </c>
      <c r="DX1682" s="1" t="s">
        <v>234</v>
      </c>
      <c r="EC1682" s="1" t="s">
        <v>237</v>
      </c>
      <c r="EG1682" s="1" t="s">
        <v>494</v>
      </c>
      <c r="EL1682" s="1" t="s">
        <v>264</v>
      </c>
      <c r="EM1682" s="1" t="s">
        <v>206</v>
      </c>
      <c r="EQ1682" s="1" t="s">
        <v>238</v>
      </c>
      <c r="EU1682" s="1" t="s">
        <v>238</v>
      </c>
      <c r="EY1682" s="1" t="s">
        <v>238</v>
      </c>
      <c r="FC1682" s="1" t="s">
        <v>238</v>
      </c>
      <c r="FF1682" s="1" t="s">
        <v>239</v>
      </c>
      <c r="FG1682" s="1" t="s">
        <v>192</v>
      </c>
      <c r="FH1682" s="1" t="s">
        <v>192</v>
      </c>
      <c r="FJ1682" s="1" t="s">
        <v>347</v>
      </c>
      <c r="FK1682" s="1" t="s">
        <v>229</v>
      </c>
      <c r="FL1682" s="1" t="s">
        <v>1775</v>
      </c>
      <c r="FM1682" s="1">
        <v>31982.0</v>
      </c>
      <c r="FN1682" s="1" t="s">
        <v>1776</v>
      </c>
      <c r="FO1682" s="1" t="s">
        <v>1777</v>
      </c>
      <c r="FP1682" s="1">
        <v>319888.0</v>
      </c>
      <c r="FQ1682" s="1" t="s">
        <v>1778</v>
      </c>
      <c r="FU1682" s="1" t="s">
        <v>6544</v>
      </c>
      <c r="FV1682" s="1" t="s">
        <v>200</v>
      </c>
      <c r="FW1682" s="1" t="s">
        <v>354</v>
      </c>
      <c r="FX1682" s="1" t="s">
        <v>655</v>
      </c>
      <c r="FZ1682" s="1" t="s">
        <v>229</v>
      </c>
      <c r="GA1682" s="1" t="s">
        <v>291</v>
      </c>
      <c r="GB1682" s="2">
        <v>42034.0</v>
      </c>
      <c r="GC1682" s="1" t="s">
        <v>10451</v>
      </c>
    </row>
    <row r="1683">
      <c r="A1683" s="1">
        <v>285000.0</v>
      </c>
      <c r="B1683" s="1" t="s">
        <v>185</v>
      </c>
      <c r="C1683" s="1" t="str">
        <f>"08692672"</f>
        <v>08692672</v>
      </c>
      <c r="D1683" s="1" t="s">
        <v>186</v>
      </c>
      <c r="F1683" s="1" t="str">
        <f t="shared" si="1104"/>
        <v>543</v>
      </c>
      <c r="G1683" s="2">
        <v>41856.0</v>
      </c>
      <c r="H1683" s="1">
        <v>349000.0</v>
      </c>
      <c r="I1683" s="1">
        <v>101.0</v>
      </c>
      <c r="J1683" s="1">
        <v>305000.0</v>
      </c>
      <c r="K1683" s="2">
        <v>41955.0</v>
      </c>
      <c r="L1683" s="1">
        <v>101.0</v>
      </c>
      <c r="M1683" s="2">
        <v>41955.0</v>
      </c>
      <c r="N1683" s="1" t="s">
        <v>187</v>
      </c>
      <c r="O1683" s="2">
        <v>42004.0</v>
      </c>
      <c r="P1683" s="1">
        <v>231219.0</v>
      </c>
      <c r="Q1683" s="1">
        <v>21682.0</v>
      </c>
      <c r="S1683" s="1">
        <v>406.0</v>
      </c>
      <c r="T1683" s="1" t="s">
        <v>16691</v>
      </c>
      <c r="U1683" s="1" t="s">
        <v>420</v>
      </c>
      <c r="V1683" s="1" t="s">
        <v>1527</v>
      </c>
      <c r="W1683" s="1">
        <v>60543.0</v>
      </c>
      <c r="Y1683" s="1" t="s">
        <v>16692</v>
      </c>
      <c r="Z1683" s="1">
        <v>2007.0</v>
      </c>
      <c r="AA1683" s="1" t="s">
        <v>200</v>
      </c>
      <c r="AB1683" s="1" t="s">
        <v>467</v>
      </c>
      <c r="AC1683" s="1" t="s">
        <v>10402</v>
      </c>
      <c r="AD1683" s="1" t="s">
        <v>1529</v>
      </c>
      <c r="AE1683" s="1" t="s">
        <v>849</v>
      </c>
      <c r="AF1683" s="1" t="s">
        <v>1529</v>
      </c>
      <c r="AH1683" s="1" t="s">
        <v>16693</v>
      </c>
      <c r="AI1683" s="1">
        <v>0.0</v>
      </c>
      <c r="AK1683" s="1">
        <v>10.0</v>
      </c>
      <c r="AL1683" s="1">
        <v>4.0</v>
      </c>
      <c r="AM1683" s="1">
        <v>2.0</v>
      </c>
      <c r="AN1683" s="1">
        <v>75.0</v>
      </c>
      <c r="AO1683" s="1" t="s">
        <v>198</v>
      </c>
      <c r="AP1683" s="1">
        <v>1.0</v>
      </c>
      <c r="AQ1683" s="1" t="s">
        <v>198</v>
      </c>
      <c r="AR1683" s="1" t="s">
        <v>200</v>
      </c>
      <c r="AS1683" s="1" t="s">
        <v>199</v>
      </c>
      <c r="AT1683" s="1">
        <v>3.0</v>
      </c>
      <c r="AV1683" s="1" t="s">
        <v>200</v>
      </c>
      <c r="AW1683" s="1">
        <v>9120.0</v>
      </c>
      <c r="AX1683" s="1">
        <v>2012.0</v>
      </c>
      <c r="AY1683" s="1" t="s">
        <v>387</v>
      </c>
      <c r="AZ1683" s="1" t="s">
        <v>200</v>
      </c>
      <c r="BA1683" s="1" t="str">
        <f>"0316182021"</f>
        <v>0316182021</v>
      </c>
      <c r="BB1683" s="1" t="s">
        <v>200</v>
      </c>
      <c r="BC1683" s="1">
        <v>3707.0</v>
      </c>
      <c r="BD1683" s="1">
        <v>285000.0</v>
      </c>
      <c r="BE1683" s="2">
        <v>41855.0</v>
      </c>
      <c r="BF1683" s="2" t="s">
        <v>16694</v>
      </c>
      <c r="BH1683" s="1">
        <v>140.0</v>
      </c>
      <c r="BK1683" s="1" t="s">
        <v>1952</v>
      </c>
      <c r="BL1683" s="1" t="str">
        <f t="shared" ref="BL1683:BM1683" si="1105">"0"</f>
        <v>0</v>
      </c>
      <c r="BM1683" s="1" t="str">
        <f t="shared" si="1105"/>
        <v>0</v>
      </c>
      <c r="BN1683" s="1">
        <v>36.0</v>
      </c>
      <c r="BO1683" s="1">
        <v>12.0</v>
      </c>
      <c r="BQ1683" s="1">
        <v>308.0</v>
      </c>
      <c r="BR1683" s="1">
        <v>308.0</v>
      </c>
      <c r="BS1683" s="1">
        <v>308.0</v>
      </c>
      <c r="BU1683" s="1" t="s">
        <v>758</v>
      </c>
      <c r="BV1683" s="1" t="s">
        <v>206</v>
      </c>
      <c r="BW1683" s="1" t="s">
        <v>210</v>
      </c>
      <c r="BY1683" s="1" t="s">
        <v>260</v>
      </c>
      <c r="BZ1683" s="1" t="s">
        <v>209</v>
      </c>
      <c r="CA1683" s="1" t="s">
        <v>210</v>
      </c>
      <c r="CC1683" s="1" t="s">
        <v>433</v>
      </c>
      <c r="CD1683" s="1" t="s">
        <v>206</v>
      </c>
      <c r="CE1683" s="1" t="s">
        <v>210</v>
      </c>
      <c r="CG1683" s="1" t="s">
        <v>214</v>
      </c>
      <c r="CH1683" s="1" t="s">
        <v>209</v>
      </c>
      <c r="CI1683" s="1" t="s">
        <v>210</v>
      </c>
      <c r="CK1683" s="1" t="s">
        <v>214</v>
      </c>
      <c r="CL1683" s="1" t="s">
        <v>209</v>
      </c>
      <c r="CM1683" s="1" t="s">
        <v>210</v>
      </c>
      <c r="CO1683" s="1" t="s">
        <v>1483</v>
      </c>
      <c r="CP1683" s="1" t="s">
        <v>209</v>
      </c>
      <c r="CQ1683" s="1" t="s">
        <v>210</v>
      </c>
      <c r="CS1683" s="1" t="s">
        <v>584</v>
      </c>
      <c r="CT1683" s="1" t="s">
        <v>206</v>
      </c>
      <c r="CU1683" s="1" t="s">
        <v>268</v>
      </c>
      <c r="CW1683" s="1" t="s">
        <v>782</v>
      </c>
      <c r="CX1683" s="1" t="s">
        <v>206</v>
      </c>
      <c r="CY1683" s="1" t="s">
        <v>210</v>
      </c>
      <c r="DA1683" s="1" t="s">
        <v>200</v>
      </c>
      <c r="DC1683" s="1" t="s">
        <v>481</v>
      </c>
      <c r="DD1683" s="1" t="s">
        <v>518</v>
      </c>
      <c r="DE1683" s="1" t="s">
        <v>218</v>
      </c>
      <c r="DF1683" s="1" t="s">
        <v>745</v>
      </c>
      <c r="DG1683" s="1" t="s">
        <v>337</v>
      </c>
      <c r="DH1683" s="1" t="s">
        <v>220</v>
      </c>
      <c r="DI1683" s="1" t="s">
        <v>1604</v>
      </c>
      <c r="DJ1683" s="1" t="s">
        <v>222</v>
      </c>
      <c r="DK1683" s="1" t="s">
        <v>223</v>
      </c>
      <c r="DL1683" s="1" t="s">
        <v>223</v>
      </c>
      <c r="DM1683" s="1" t="s">
        <v>229</v>
      </c>
      <c r="DN1683" s="1" t="s">
        <v>399</v>
      </c>
      <c r="DO1683" s="1" t="s">
        <v>440</v>
      </c>
      <c r="DP1683" s="1" t="s">
        <v>340</v>
      </c>
      <c r="DQ1683" s="1" t="s">
        <v>441</v>
      </c>
      <c r="DR1683" s="1" t="s">
        <v>2593</v>
      </c>
      <c r="DS1683" s="1" t="s">
        <v>368</v>
      </c>
      <c r="DU1683" s="1" t="s">
        <v>1355</v>
      </c>
      <c r="DV1683" s="1" t="s">
        <v>6535</v>
      </c>
      <c r="DW1683" s="1" t="s">
        <v>1072</v>
      </c>
      <c r="DX1683" s="1" t="s">
        <v>234</v>
      </c>
      <c r="DY1683" s="1" t="s">
        <v>16695</v>
      </c>
      <c r="EB1683" s="1" t="s">
        <v>1639</v>
      </c>
      <c r="EC1683" s="1" t="s">
        <v>237</v>
      </c>
      <c r="ED1683" s="1" t="s">
        <v>555</v>
      </c>
      <c r="EG1683" s="1" t="s">
        <v>598</v>
      </c>
      <c r="EH1683" s="1" t="s">
        <v>341</v>
      </c>
      <c r="EL1683" s="1" t="s">
        <v>363</v>
      </c>
      <c r="EM1683" s="1" t="s">
        <v>206</v>
      </c>
      <c r="EN1683" s="1" t="s">
        <v>210</v>
      </c>
      <c r="EP1683" s="1" t="s">
        <v>2800</v>
      </c>
      <c r="EQ1683" s="1" t="s">
        <v>209</v>
      </c>
      <c r="ER1683" s="1" t="s">
        <v>210</v>
      </c>
      <c r="EU1683" s="1" t="s">
        <v>238</v>
      </c>
      <c r="EY1683" s="1" t="s">
        <v>238</v>
      </c>
      <c r="FC1683" s="1" t="s">
        <v>238</v>
      </c>
      <c r="FF1683" s="1" t="s">
        <v>239</v>
      </c>
      <c r="FG1683" s="1" t="s">
        <v>192</v>
      </c>
      <c r="FH1683" s="1" t="s">
        <v>192</v>
      </c>
      <c r="FJ1683" s="1" t="s">
        <v>1248</v>
      </c>
      <c r="FK1683" s="1" t="s">
        <v>229</v>
      </c>
      <c r="FL1683" s="1" t="s">
        <v>2382</v>
      </c>
      <c r="FM1683" s="1">
        <v>23842.0</v>
      </c>
      <c r="FN1683" s="1" t="s">
        <v>2383</v>
      </c>
      <c r="FO1683" s="1" t="s">
        <v>2384</v>
      </c>
      <c r="FP1683" s="1">
        <v>217273.0</v>
      </c>
      <c r="FQ1683" s="1" t="s">
        <v>2385</v>
      </c>
      <c r="FR1683" s="1">
        <v>235676.0</v>
      </c>
      <c r="FU1683" s="1" t="s">
        <v>16696</v>
      </c>
      <c r="FV1683" s="1" t="s">
        <v>200</v>
      </c>
      <c r="FW1683" s="1" t="s">
        <v>354</v>
      </c>
      <c r="FZ1683" s="1" t="s">
        <v>229</v>
      </c>
      <c r="GA1683" s="1" t="s">
        <v>291</v>
      </c>
      <c r="GB1683" s="2">
        <v>42005.0</v>
      </c>
      <c r="GC1683" s="1" t="s">
        <v>16697</v>
      </c>
    </row>
    <row r="1684">
      <c r="A1684" s="1">
        <v>200000.0</v>
      </c>
      <c r="B1684" s="1" t="s">
        <v>185</v>
      </c>
      <c r="C1684" s="1" t="str">
        <f>"08695918"</f>
        <v>08695918</v>
      </c>
      <c r="D1684" s="1" t="s">
        <v>186</v>
      </c>
      <c r="F1684" s="1" t="str">
        <f>"8011"</f>
        <v>8011</v>
      </c>
      <c r="G1684" s="2">
        <v>41858.0</v>
      </c>
      <c r="H1684" s="1">
        <v>269900.0</v>
      </c>
      <c r="I1684" s="1">
        <v>169.0</v>
      </c>
      <c r="J1684" s="1">
        <v>210000.0</v>
      </c>
      <c r="K1684" s="2">
        <v>42026.0</v>
      </c>
      <c r="L1684" s="1">
        <v>169.0</v>
      </c>
      <c r="M1684" s="2">
        <v>42026.0</v>
      </c>
      <c r="N1684" s="1" t="s">
        <v>249</v>
      </c>
      <c r="O1684" s="2">
        <v>42089.0</v>
      </c>
      <c r="P1684" s="1">
        <v>110916.0</v>
      </c>
      <c r="Q1684" s="1">
        <v>17299.0</v>
      </c>
      <c r="S1684" s="1">
        <v>5441.0</v>
      </c>
      <c r="T1684" s="1" t="s">
        <v>16698</v>
      </c>
      <c r="U1684" s="1" t="s">
        <v>189</v>
      </c>
      <c r="V1684" s="1" t="s">
        <v>190</v>
      </c>
      <c r="W1684" s="1">
        <v>60630.0</v>
      </c>
      <c r="Y1684" s="1" t="s">
        <v>16699</v>
      </c>
      <c r="Z1684" s="1">
        <v>1921.0</v>
      </c>
      <c r="AA1684" s="1" t="s">
        <v>192</v>
      </c>
      <c r="AB1684" s="1" t="s">
        <v>193</v>
      </c>
      <c r="AD1684" s="1" t="s">
        <v>194</v>
      </c>
      <c r="AE1684" s="1" t="s">
        <v>195</v>
      </c>
      <c r="AF1684" s="1" t="s">
        <v>196</v>
      </c>
      <c r="AH1684" s="1" t="s">
        <v>741</v>
      </c>
      <c r="AK1684" s="1">
        <v>10.0</v>
      </c>
      <c r="AL1684" s="1">
        <v>4.0</v>
      </c>
      <c r="AM1684" s="1">
        <v>2.0</v>
      </c>
      <c r="AN1684" s="1">
        <v>1.0</v>
      </c>
      <c r="AO1684" s="1" t="s">
        <v>229</v>
      </c>
      <c r="AQ1684" s="1" t="s">
        <v>198</v>
      </c>
      <c r="AR1684" s="1" t="s">
        <v>192</v>
      </c>
      <c r="AS1684" s="1" t="s">
        <v>199</v>
      </c>
      <c r="AT1684" s="1">
        <v>2.0</v>
      </c>
      <c r="AV1684" s="1" t="s">
        <v>200</v>
      </c>
      <c r="AW1684" s="6">
        <v>6437.0</v>
      </c>
      <c r="AX1684" s="1">
        <v>2013.0</v>
      </c>
      <c r="AY1684" s="1" t="s">
        <v>387</v>
      </c>
      <c r="AZ1684" s="1" t="s">
        <v>200</v>
      </c>
      <c r="BA1684" s="1" t="str">
        <f>"13082140060000"</f>
        <v>13082140060000</v>
      </c>
      <c r="BB1684" s="1" t="s">
        <v>200</v>
      </c>
      <c r="BC1684" s="1">
        <v>0.0</v>
      </c>
      <c r="BD1684" s="1">
        <v>200000.0</v>
      </c>
      <c r="BE1684" s="2">
        <v>41858.0</v>
      </c>
      <c r="BF1684" s="2" t="s">
        <v>16700</v>
      </c>
      <c r="BG1684" s="1" t="s">
        <v>8222</v>
      </c>
      <c r="BH1684" s="1">
        <v>0.0</v>
      </c>
      <c r="BJ1684" s="1" t="s">
        <v>1222</v>
      </c>
      <c r="BK1684" s="1" t="s">
        <v>204</v>
      </c>
      <c r="BL1684" s="1" t="str">
        <f>"5441"</f>
        <v>5441</v>
      </c>
      <c r="BM1684" s="1" t="str">
        <f t="shared" ref="BM1684:BM1685" si="1106">"0"</f>
        <v>0</v>
      </c>
      <c r="BN1684" s="1">
        <v>5700.0</v>
      </c>
      <c r="BO1684" s="1">
        <v>0.0</v>
      </c>
      <c r="BQ1684" s="1">
        <v>299.0</v>
      </c>
      <c r="BR1684" s="1">
        <v>299.0</v>
      </c>
      <c r="BS1684" s="1">
        <v>299.0</v>
      </c>
      <c r="BU1684" s="1" t="s">
        <v>1117</v>
      </c>
      <c r="BV1684" s="1" t="s">
        <v>206</v>
      </c>
      <c r="BW1684" s="1" t="s">
        <v>207</v>
      </c>
      <c r="BY1684" s="1" t="s">
        <v>269</v>
      </c>
      <c r="BZ1684" s="1" t="s">
        <v>206</v>
      </c>
      <c r="CA1684" s="1" t="s">
        <v>210</v>
      </c>
      <c r="CC1684" s="1" t="s">
        <v>2695</v>
      </c>
      <c r="CD1684" s="1" t="s">
        <v>206</v>
      </c>
      <c r="CE1684" s="1" t="s">
        <v>207</v>
      </c>
      <c r="CG1684" s="1" t="s">
        <v>4975</v>
      </c>
      <c r="CH1684" s="1" t="s">
        <v>206</v>
      </c>
      <c r="CI1684" s="1" t="s">
        <v>207</v>
      </c>
      <c r="CK1684" s="1" t="s">
        <v>2505</v>
      </c>
      <c r="CL1684" s="1" t="s">
        <v>209</v>
      </c>
      <c r="CM1684" s="1" t="s">
        <v>301</v>
      </c>
      <c r="CO1684" s="1" t="s">
        <v>2166</v>
      </c>
      <c r="CP1684" s="1" t="s">
        <v>209</v>
      </c>
      <c r="CQ1684" s="1" t="s">
        <v>301</v>
      </c>
      <c r="CS1684" s="1" t="s">
        <v>363</v>
      </c>
      <c r="CT1684" s="1" t="s">
        <v>206</v>
      </c>
      <c r="CU1684" s="1" t="s">
        <v>301</v>
      </c>
      <c r="CX1684" s="1" t="s">
        <v>204</v>
      </c>
      <c r="DA1684" s="1" t="s">
        <v>200</v>
      </c>
      <c r="DC1684" s="1" t="s">
        <v>216</v>
      </c>
      <c r="DD1684" s="1" t="s">
        <v>518</v>
      </c>
      <c r="DE1684" s="1" t="s">
        <v>273</v>
      </c>
      <c r="DF1684" s="1" t="s">
        <v>619</v>
      </c>
      <c r="DH1684" s="1" t="s">
        <v>307</v>
      </c>
      <c r="DI1684" s="1" t="s">
        <v>831</v>
      </c>
      <c r="DJ1684" s="1" t="s">
        <v>222</v>
      </c>
      <c r="DL1684" s="1" t="s">
        <v>223</v>
      </c>
      <c r="DM1684" s="1" t="s">
        <v>1919</v>
      </c>
      <c r="DO1684" s="1" t="s">
        <v>549</v>
      </c>
      <c r="DP1684" s="1" t="s">
        <v>276</v>
      </c>
      <c r="DQ1684" s="1" t="s">
        <v>718</v>
      </c>
      <c r="DR1684" s="1" t="s">
        <v>229</v>
      </c>
      <c r="DS1684" s="1" t="s">
        <v>230</v>
      </c>
      <c r="DV1684" s="1" t="s">
        <v>16701</v>
      </c>
      <c r="DW1684" s="1" t="s">
        <v>7134</v>
      </c>
      <c r="DX1684" s="1" t="s">
        <v>234</v>
      </c>
      <c r="DY1684" s="1" t="s">
        <v>879</v>
      </c>
      <c r="EA1684" s="1" t="s">
        <v>447</v>
      </c>
      <c r="EC1684" s="1" t="s">
        <v>237</v>
      </c>
      <c r="EE1684" s="1" t="s">
        <v>1960</v>
      </c>
      <c r="EG1684" s="1" t="s">
        <v>598</v>
      </c>
      <c r="EH1684" s="1" t="s">
        <v>450</v>
      </c>
      <c r="EI1684" s="1" t="s">
        <v>1407</v>
      </c>
      <c r="EJ1684" s="1" t="s">
        <v>598</v>
      </c>
      <c r="EL1684" s="1" t="s">
        <v>4787</v>
      </c>
      <c r="EM1684" s="1" t="s">
        <v>209</v>
      </c>
      <c r="EN1684" s="1" t="s">
        <v>210</v>
      </c>
      <c r="EP1684" s="1" t="s">
        <v>2224</v>
      </c>
      <c r="EQ1684" s="1" t="s">
        <v>209</v>
      </c>
      <c r="ER1684" s="1" t="s">
        <v>301</v>
      </c>
      <c r="ET1684" s="1" t="s">
        <v>212</v>
      </c>
      <c r="EU1684" s="1" t="s">
        <v>209</v>
      </c>
      <c r="EV1684" s="1" t="s">
        <v>301</v>
      </c>
      <c r="EX1684" s="1" t="s">
        <v>4787</v>
      </c>
      <c r="EY1684" s="1" t="s">
        <v>206</v>
      </c>
      <c r="EZ1684" s="1" t="s">
        <v>301</v>
      </c>
      <c r="FC1684" s="1" t="s">
        <v>238</v>
      </c>
      <c r="FF1684" s="1" t="s">
        <v>239</v>
      </c>
      <c r="FG1684" s="1" t="s">
        <v>192</v>
      </c>
      <c r="FH1684" s="1" t="s">
        <v>192</v>
      </c>
      <c r="FJ1684" s="1" t="s">
        <v>16702</v>
      </c>
      <c r="FK1684" s="1" t="s">
        <v>1586</v>
      </c>
      <c r="FL1684" s="1" t="s">
        <v>1663</v>
      </c>
      <c r="FM1684" s="1">
        <v>17299.0</v>
      </c>
      <c r="FN1684" s="1" t="s">
        <v>1664</v>
      </c>
      <c r="FO1684" s="1" t="s">
        <v>16703</v>
      </c>
      <c r="FP1684" s="1">
        <v>131792.0</v>
      </c>
      <c r="FQ1684" s="1" t="s">
        <v>16704</v>
      </c>
      <c r="FU1684" s="1" t="s">
        <v>16705</v>
      </c>
      <c r="FV1684" s="1" t="s">
        <v>200</v>
      </c>
      <c r="FW1684" s="1" t="s">
        <v>16706</v>
      </c>
      <c r="FX1684" s="1" t="s">
        <v>238</v>
      </c>
      <c r="FZ1684" s="1" t="s">
        <v>632</v>
      </c>
      <c r="GA1684" s="1" t="s">
        <v>291</v>
      </c>
      <c r="GB1684" s="2">
        <v>42089.0</v>
      </c>
      <c r="GC1684" s="1" t="s">
        <v>16707</v>
      </c>
    </row>
    <row r="1685">
      <c r="A1685" s="1">
        <v>136149.0</v>
      </c>
      <c r="B1685" s="1" t="s">
        <v>185</v>
      </c>
      <c r="C1685" s="1" t="str">
        <f>"08691502"</f>
        <v>08691502</v>
      </c>
      <c r="D1685" s="1" t="s">
        <v>186</v>
      </c>
      <c r="F1685" s="1" t="str">
        <f>"103"</f>
        <v>103</v>
      </c>
      <c r="G1685" s="2">
        <v>41855.0</v>
      </c>
      <c r="H1685" s="1">
        <v>165000.0</v>
      </c>
      <c r="I1685" s="1">
        <v>115.0</v>
      </c>
      <c r="J1685" s="1">
        <v>165000.0</v>
      </c>
      <c r="K1685" s="2">
        <v>41969.0</v>
      </c>
      <c r="L1685" s="1">
        <v>115.0</v>
      </c>
      <c r="M1685" s="2">
        <v>41969.0</v>
      </c>
      <c r="N1685" s="1" t="s">
        <v>249</v>
      </c>
      <c r="O1685" s="2">
        <v>41990.0</v>
      </c>
      <c r="P1685" s="1">
        <v>87416.0</v>
      </c>
      <c r="Q1685" s="1">
        <v>8340.0</v>
      </c>
      <c r="S1685" s="1">
        <v>1167.0</v>
      </c>
      <c r="T1685" s="1" t="s">
        <v>16708</v>
      </c>
      <c r="U1685" s="1" t="s">
        <v>1174</v>
      </c>
      <c r="V1685" s="1" t="s">
        <v>251</v>
      </c>
      <c r="W1685" s="1">
        <v>60133.0</v>
      </c>
      <c r="Y1685" s="1" t="s">
        <v>16709</v>
      </c>
      <c r="Z1685" s="1">
        <v>1979.0</v>
      </c>
      <c r="AA1685" s="1" t="s">
        <v>200</v>
      </c>
      <c r="AB1685" s="1" t="s">
        <v>193</v>
      </c>
      <c r="AD1685" s="1" t="s">
        <v>254</v>
      </c>
      <c r="AE1685" s="1" t="s">
        <v>1258</v>
      </c>
      <c r="AF1685" s="1" t="s">
        <v>1259</v>
      </c>
      <c r="AH1685" s="1">
        <v>7422.0</v>
      </c>
      <c r="AI1685" s="1">
        <v>0.1704</v>
      </c>
      <c r="AK1685" s="1">
        <v>8.0</v>
      </c>
      <c r="AL1685" s="1">
        <v>4.0</v>
      </c>
      <c r="AM1685" s="1">
        <v>3.0</v>
      </c>
      <c r="AN1685" s="1">
        <v>0.0</v>
      </c>
      <c r="AO1685" s="1" t="s">
        <v>229</v>
      </c>
      <c r="AQ1685" s="1" t="s">
        <v>1314</v>
      </c>
      <c r="AR1685" s="1" t="s">
        <v>200</v>
      </c>
      <c r="AS1685" s="1" t="s">
        <v>199</v>
      </c>
      <c r="AT1685" s="1">
        <v>2.0</v>
      </c>
      <c r="AV1685" s="1" t="s">
        <v>200</v>
      </c>
      <c r="AW1685" s="1">
        <v>6646.0</v>
      </c>
      <c r="AX1685" s="1">
        <v>2013.0</v>
      </c>
      <c r="AZ1685" s="1" t="s">
        <v>545</v>
      </c>
      <c r="BA1685" s="1" t="str">
        <f>"0207207036"</f>
        <v>0207207036</v>
      </c>
      <c r="BB1685" s="1" t="s">
        <v>200</v>
      </c>
      <c r="BC1685" s="1">
        <v>1911.0</v>
      </c>
      <c r="BD1685" s="1">
        <v>136149.0</v>
      </c>
      <c r="BE1685" s="2">
        <v>41855.0</v>
      </c>
      <c r="BF1685" s="2" t="s">
        <v>3507</v>
      </c>
      <c r="BH1685" s="1">
        <v>0.0</v>
      </c>
      <c r="BK1685" s="1" t="s">
        <v>204</v>
      </c>
      <c r="BL1685" s="1" t="str">
        <f>"6"</f>
        <v>6</v>
      </c>
      <c r="BM1685" s="1" t="str">
        <f t="shared" si="1106"/>
        <v>0</v>
      </c>
      <c r="BN1685" s="1">
        <v>26.0</v>
      </c>
      <c r="BO1685" s="1">
        <v>0.0</v>
      </c>
      <c r="BQ1685" s="1">
        <v>20.0</v>
      </c>
      <c r="BR1685" s="1">
        <v>108.0</v>
      </c>
      <c r="BS1685" s="1">
        <v>20.0</v>
      </c>
      <c r="BU1685" s="1" t="s">
        <v>784</v>
      </c>
      <c r="BV1685" s="1" t="s">
        <v>209</v>
      </c>
      <c r="BY1685" s="1" t="s">
        <v>924</v>
      </c>
      <c r="BZ1685" s="1" t="s">
        <v>209</v>
      </c>
      <c r="CC1685" s="1" t="s">
        <v>495</v>
      </c>
      <c r="CD1685" s="1" t="s">
        <v>209</v>
      </c>
      <c r="CG1685" s="1" t="s">
        <v>262</v>
      </c>
      <c r="CH1685" s="1" t="s">
        <v>209</v>
      </c>
      <c r="CK1685" s="1" t="s">
        <v>212</v>
      </c>
      <c r="CL1685" s="1" t="s">
        <v>209</v>
      </c>
      <c r="CO1685" s="1" t="s">
        <v>303</v>
      </c>
      <c r="CP1685" s="1" t="s">
        <v>267</v>
      </c>
      <c r="CS1685" s="1" t="s">
        <v>2224</v>
      </c>
      <c r="CT1685" s="1" t="s">
        <v>209</v>
      </c>
      <c r="CW1685" s="1" t="s">
        <v>1063</v>
      </c>
      <c r="CX1685" s="1" t="s">
        <v>267</v>
      </c>
      <c r="DA1685" s="1" t="s">
        <v>200</v>
      </c>
      <c r="DC1685" s="1" t="s">
        <v>395</v>
      </c>
      <c r="DE1685" s="1" t="s">
        <v>273</v>
      </c>
      <c r="DF1685" s="1" t="s">
        <v>219</v>
      </c>
      <c r="DH1685" s="1" t="s">
        <v>307</v>
      </c>
      <c r="DJ1685" s="1" t="s">
        <v>222</v>
      </c>
      <c r="DL1685" s="1" t="s">
        <v>223</v>
      </c>
      <c r="DM1685" s="1" t="s">
        <v>229</v>
      </c>
      <c r="DQ1685" s="1" t="s">
        <v>228</v>
      </c>
      <c r="DR1685" s="1" t="s">
        <v>229</v>
      </c>
      <c r="DV1685" s="1" t="s">
        <v>408</v>
      </c>
      <c r="DW1685" s="1" t="s">
        <v>279</v>
      </c>
      <c r="DX1685" s="1" t="s">
        <v>234</v>
      </c>
      <c r="EC1685" s="1" t="s">
        <v>237</v>
      </c>
      <c r="EE1685" s="1" t="s">
        <v>1960</v>
      </c>
      <c r="EG1685" s="1" t="s">
        <v>408</v>
      </c>
      <c r="EL1685" s="1" t="s">
        <v>361</v>
      </c>
      <c r="EM1685" s="1" t="s">
        <v>206</v>
      </c>
      <c r="EQ1685" s="1" t="s">
        <v>238</v>
      </c>
      <c r="EU1685" s="1" t="s">
        <v>238</v>
      </c>
      <c r="EY1685" s="1" t="s">
        <v>238</v>
      </c>
      <c r="FC1685" s="1" t="s">
        <v>238</v>
      </c>
      <c r="FF1685" s="1" t="s">
        <v>239</v>
      </c>
      <c r="FG1685" s="1" t="s">
        <v>192</v>
      </c>
      <c r="FH1685" s="1" t="s">
        <v>192</v>
      </c>
      <c r="FJ1685" s="1" t="s">
        <v>347</v>
      </c>
      <c r="FK1685" s="1" t="s">
        <v>229</v>
      </c>
      <c r="FL1685" s="1" t="s">
        <v>3033</v>
      </c>
      <c r="FM1685" s="1">
        <v>1984.0</v>
      </c>
      <c r="FN1685" s="1" t="s">
        <v>3034</v>
      </c>
      <c r="FO1685" s="1" t="s">
        <v>3035</v>
      </c>
      <c r="FP1685" s="1">
        <v>922950.0</v>
      </c>
      <c r="FU1685" s="1" t="s">
        <v>4334</v>
      </c>
      <c r="FV1685" s="1" t="s">
        <v>200</v>
      </c>
      <c r="FW1685" s="1" t="s">
        <v>4959</v>
      </c>
      <c r="FZ1685" s="1" t="s">
        <v>229</v>
      </c>
      <c r="GA1685" s="1" t="s">
        <v>291</v>
      </c>
      <c r="GB1685" s="2">
        <v>41992.0</v>
      </c>
      <c r="GC1685" s="1" t="s">
        <v>7564</v>
      </c>
    </row>
    <row r="1686">
      <c r="A1686" s="1">
        <v>238000.0</v>
      </c>
      <c r="B1686" s="1" t="s">
        <v>185</v>
      </c>
      <c r="C1686" s="1" t="str">
        <f>"08695406"</f>
        <v>08695406</v>
      </c>
      <c r="D1686" s="1" t="s">
        <v>186</v>
      </c>
      <c r="F1686" s="1" t="str">
        <f>"178"</f>
        <v>178</v>
      </c>
      <c r="G1686" s="2">
        <v>41858.0</v>
      </c>
      <c r="H1686" s="1">
        <v>250000.0</v>
      </c>
      <c r="I1686" s="1">
        <v>124.0</v>
      </c>
      <c r="J1686" s="1">
        <v>249500.0</v>
      </c>
      <c r="K1686" s="2">
        <v>41981.0</v>
      </c>
      <c r="L1686" s="1">
        <v>124.0</v>
      </c>
      <c r="M1686" s="2">
        <v>41981.0</v>
      </c>
      <c r="N1686" s="1" t="s">
        <v>187</v>
      </c>
      <c r="O1686" s="2">
        <v>42053.0</v>
      </c>
      <c r="P1686" s="1">
        <v>930149.0</v>
      </c>
      <c r="Q1686" s="1">
        <v>93043.0</v>
      </c>
      <c r="S1686" s="1">
        <v>926.0</v>
      </c>
      <c r="T1686" s="1" t="s">
        <v>16710</v>
      </c>
      <c r="U1686" s="1" t="s">
        <v>694</v>
      </c>
      <c r="V1686" s="1" t="s">
        <v>994</v>
      </c>
      <c r="W1686" s="1">
        <v>60178.0</v>
      </c>
      <c r="Y1686" s="1" t="s">
        <v>16711</v>
      </c>
      <c r="Z1686" s="1">
        <v>1995.0</v>
      </c>
      <c r="AA1686" s="1" t="s">
        <v>200</v>
      </c>
      <c r="AB1686" s="1" t="s">
        <v>193</v>
      </c>
      <c r="AD1686" s="1" t="s">
        <v>997</v>
      </c>
      <c r="AE1686" s="1" t="s">
        <v>613</v>
      </c>
      <c r="AF1686" s="1" t="s">
        <v>4019</v>
      </c>
      <c r="AH1686" s="1" t="s">
        <v>16712</v>
      </c>
      <c r="AI1686" s="1">
        <v>0.2127</v>
      </c>
      <c r="AK1686" s="1">
        <v>8.0</v>
      </c>
      <c r="AL1686" s="1">
        <v>4.0</v>
      </c>
      <c r="AM1686" s="1">
        <v>3.0</v>
      </c>
      <c r="AN1686" s="1">
        <v>0.0</v>
      </c>
      <c r="AO1686" s="1" t="s">
        <v>198</v>
      </c>
      <c r="AP1686" s="1">
        <v>2.0</v>
      </c>
      <c r="AQ1686" s="1" t="s">
        <v>327</v>
      </c>
      <c r="AR1686" s="1" t="s">
        <v>192</v>
      </c>
      <c r="AS1686" s="1" t="s">
        <v>199</v>
      </c>
      <c r="AT1686" s="1">
        <v>2.0</v>
      </c>
      <c r="AV1686" s="1" t="s">
        <v>200</v>
      </c>
      <c r="AW1686" s="1">
        <v>6465.02</v>
      </c>
      <c r="AX1686" s="1">
        <v>2013.0</v>
      </c>
      <c r="AY1686" s="1" t="s">
        <v>387</v>
      </c>
      <c r="AZ1686" s="1" t="s">
        <v>200</v>
      </c>
      <c r="BA1686" s="1" t="str">
        <f>"0905203021"</f>
        <v>0905203021</v>
      </c>
      <c r="BB1686" s="1" t="s">
        <v>200</v>
      </c>
      <c r="BC1686" s="1">
        <v>1595.0</v>
      </c>
      <c r="BD1686" s="1">
        <v>238000.0</v>
      </c>
      <c r="BE1686" s="2">
        <v>41858.0</v>
      </c>
      <c r="BF1686" s="2" t="s">
        <v>16713</v>
      </c>
      <c r="BH1686" s="1">
        <v>0.0</v>
      </c>
      <c r="BK1686" s="1" t="s">
        <v>204</v>
      </c>
      <c r="BL1686" s="1" t="str">
        <f t="shared" ref="BL1686:BM1686" si="1107">"0"</f>
        <v>0</v>
      </c>
      <c r="BM1686" s="1" t="str">
        <f t="shared" si="1107"/>
        <v>0</v>
      </c>
      <c r="BN1686" s="1">
        <v>0.0</v>
      </c>
      <c r="BO1686" s="1">
        <v>0.0</v>
      </c>
      <c r="BQ1686" s="1">
        <v>427.0</v>
      </c>
      <c r="BR1686" s="1">
        <v>427.0</v>
      </c>
      <c r="BS1686" s="1">
        <v>427.0</v>
      </c>
      <c r="BU1686" s="1" t="s">
        <v>715</v>
      </c>
      <c r="BV1686" s="1" t="s">
        <v>206</v>
      </c>
      <c r="BW1686" s="1" t="s">
        <v>210</v>
      </c>
      <c r="BY1686" s="1" t="s">
        <v>215</v>
      </c>
      <c r="BZ1686" s="1" t="s">
        <v>206</v>
      </c>
      <c r="CA1686" s="1" t="s">
        <v>210</v>
      </c>
      <c r="CC1686" s="1" t="s">
        <v>300</v>
      </c>
      <c r="CD1686" s="1" t="s">
        <v>206</v>
      </c>
      <c r="CE1686" s="1" t="s">
        <v>207</v>
      </c>
      <c r="CG1686" s="1" t="s">
        <v>208</v>
      </c>
      <c r="CH1686" s="1" t="s">
        <v>206</v>
      </c>
      <c r="CI1686" s="1" t="s">
        <v>210</v>
      </c>
      <c r="CK1686" s="1" t="s">
        <v>264</v>
      </c>
      <c r="CL1686" s="1" t="s">
        <v>206</v>
      </c>
      <c r="CM1686" s="1" t="s">
        <v>210</v>
      </c>
      <c r="CO1686" s="1" t="s">
        <v>2155</v>
      </c>
      <c r="CP1686" s="1" t="s">
        <v>1697</v>
      </c>
      <c r="CQ1686" s="1" t="s">
        <v>210</v>
      </c>
      <c r="CS1686" s="1" t="s">
        <v>2181</v>
      </c>
      <c r="CT1686" s="1" t="s">
        <v>206</v>
      </c>
      <c r="CU1686" s="1" t="s">
        <v>207</v>
      </c>
      <c r="CW1686" s="1" t="s">
        <v>16714</v>
      </c>
      <c r="CX1686" s="1" t="s">
        <v>42</v>
      </c>
      <c r="CY1686" s="1" t="s">
        <v>210</v>
      </c>
      <c r="DA1686" s="1" t="s">
        <v>200</v>
      </c>
      <c r="DC1686" s="1" t="s">
        <v>678</v>
      </c>
      <c r="DD1686" s="1" t="s">
        <v>518</v>
      </c>
      <c r="DE1686" s="1" t="s">
        <v>273</v>
      </c>
      <c r="DF1686" s="1" t="s">
        <v>619</v>
      </c>
      <c r="DG1686" s="1" t="s">
        <v>3833</v>
      </c>
      <c r="DH1686" s="1" t="s">
        <v>220</v>
      </c>
      <c r="DI1686" s="1" t="s">
        <v>1003</v>
      </c>
      <c r="DJ1686" s="1" t="s">
        <v>222</v>
      </c>
      <c r="DL1686" s="1" t="s">
        <v>1161</v>
      </c>
      <c r="DM1686" s="1" t="s">
        <v>229</v>
      </c>
      <c r="DO1686" s="1" t="s">
        <v>12603</v>
      </c>
      <c r="DQ1686" s="1" t="s">
        <v>228</v>
      </c>
      <c r="DR1686" s="1" t="s">
        <v>229</v>
      </c>
      <c r="DS1686" s="1" t="s">
        <v>230</v>
      </c>
      <c r="DU1686" s="1" t="s">
        <v>3861</v>
      </c>
      <c r="DV1686" s="1" t="s">
        <v>2129</v>
      </c>
      <c r="DW1686" s="1" t="s">
        <v>1072</v>
      </c>
      <c r="DX1686" s="1" t="s">
        <v>234</v>
      </c>
      <c r="DY1686" s="1" t="s">
        <v>1958</v>
      </c>
      <c r="DZ1686" s="1" t="s">
        <v>16715</v>
      </c>
      <c r="EA1686" s="1" t="s">
        <v>683</v>
      </c>
      <c r="EB1686" s="1" t="s">
        <v>684</v>
      </c>
      <c r="EC1686" s="1" t="s">
        <v>685</v>
      </c>
      <c r="ED1686" s="1" t="s">
        <v>5333</v>
      </c>
      <c r="EG1686" s="1" t="s">
        <v>2129</v>
      </c>
      <c r="EL1686" s="1" t="s">
        <v>1368</v>
      </c>
      <c r="EM1686" s="1" t="s">
        <v>206</v>
      </c>
      <c r="EN1686" s="1" t="s">
        <v>210</v>
      </c>
      <c r="EO1686" s="1" t="s">
        <v>229</v>
      </c>
      <c r="EQ1686" s="1" t="s">
        <v>238</v>
      </c>
      <c r="EU1686" s="1" t="s">
        <v>238</v>
      </c>
      <c r="EY1686" s="1" t="s">
        <v>238</v>
      </c>
      <c r="FC1686" s="1" t="s">
        <v>238</v>
      </c>
      <c r="FF1686" s="1" t="s">
        <v>239</v>
      </c>
      <c r="FG1686" s="1" t="s">
        <v>192</v>
      </c>
      <c r="FH1686" s="1" t="s">
        <v>192</v>
      </c>
      <c r="FJ1686" s="1" t="s">
        <v>16716</v>
      </c>
      <c r="FK1686" s="1" t="s">
        <v>229</v>
      </c>
      <c r="FL1686" s="1" t="s">
        <v>5572</v>
      </c>
      <c r="FM1686" s="1">
        <v>24811.0</v>
      </c>
      <c r="FN1686" s="1" t="s">
        <v>5573</v>
      </c>
      <c r="FO1686" s="1" t="s">
        <v>16717</v>
      </c>
      <c r="FP1686" s="1">
        <v>237445.0</v>
      </c>
      <c r="FS1686" s="1" t="s">
        <v>16718</v>
      </c>
      <c r="FU1686" s="1" t="s">
        <v>16719</v>
      </c>
      <c r="FV1686" s="1" t="s">
        <v>200</v>
      </c>
      <c r="FW1686" s="1" t="s">
        <v>290</v>
      </c>
      <c r="FZ1686" s="1" t="s">
        <v>229</v>
      </c>
      <c r="GA1686" s="1" t="s">
        <v>291</v>
      </c>
      <c r="GB1686" s="2">
        <v>42053.0</v>
      </c>
      <c r="GC1686" s="1" t="s">
        <v>16720</v>
      </c>
    </row>
    <row r="1687">
      <c r="A1687" s="1">
        <v>164900.0</v>
      </c>
      <c r="B1687" s="1" t="s">
        <v>185</v>
      </c>
      <c r="C1687" s="1" t="str">
        <f>"08691935"</f>
        <v>08691935</v>
      </c>
      <c r="D1687" s="1" t="s">
        <v>186</v>
      </c>
      <c r="F1687" s="1" t="str">
        <f>"545"</f>
        <v>545</v>
      </c>
      <c r="G1687" s="2">
        <v>41855.0</v>
      </c>
      <c r="H1687" s="1">
        <v>167900.0</v>
      </c>
      <c r="I1687" s="1">
        <v>691.0</v>
      </c>
      <c r="J1687" s="1">
        <v>164900.0</v>
      </c>
      <c r="K1687" s="2">
        <v>41932.0</v>
      </c>
      <c r="L1687" s="1">
        <v>78.0</v>
      </c>
      <c r="M1687" s="2">
        <v>41932.0</v>
      </c>
      <c r="N1687" s="1" t="s">
        <v>356</v>
      </c>
      <c r="O1687" s="2">
        <v>41992.0</v>
      </c>
      <c r="P1687" s="1">
        <v>8714.0</v>
      </c>
      <c r="Q1687" s="1">
        <v>306.0</v>
      </c>
      <c r="R1687" s="1">
        <v>3500.0</v>
      </c>
      <c r="S1687" s="1">
        <v>210.0</v>
      </c>
      <c r="T1687" s="1" t="s">
        <v>16721</v>
      </c>
      <c r="U1687" s="1" t="s">
        <v>320</v>
      </c>
      <c r="V1687" s="1" t="s">
        <v>3364</v>
      </c>
      <c r="W1687" s="1">
        <v>60545.0</v>
      </c>
      <c r="Y1687" s="1" t="s">
        <v>16722</v>
      </c>
      <c r="Z1687" s="1">
        <v>1960.0</v>
      </c>
      <c r="AA1687" s="1" t="s">
        <v>192</v>
      </c>
      <c r="AB1687" s="1" t="s">
        <v>193</v>
      </c>
      <c r="AD1687" s="1" t="s">
        <v>3366</v>
      </c>
      <c r="AE1687" s="1" t="s">
        <v>849</v>
      </c>
      <c r="AF1687" s="1" t="s">
        <v>3367</v>
      </c>
      <c r="AH1687" s="1" t="s">
        <v>16723</v>
      </c>
      <c r="AK1687" s="1">
        <v>11.0</v>
      </c>
      <c r="AL1687" s="1">
        <v>4.0</v>
      </c>
      <c r="AM1687" s="1">
        <v>3.0</v>
      </c>
      <c r="AN1687" s="1">
        <v>0.0</v>
      </c>
      <c r="AO1687" s="1" t="s">
        <v>198</v>
      </c>
      <c r="AP1687" s="1">
        <v>1.0</v>
      </c>
      <c r="AQ1687" s="1" t="s">
        <v>257</v>
      </c>
      <c r="AR1687" s="1" t="s">
        <v>192</v>
      </c>
      <c r="AS1687" s="1" t="s">
        <v>199</v>
      </c>
      <c r="AT1687" s="1">
        <v>2.0</v>
      </c>
      <c r="AV1687" s="1" t="s">
        <v>200</v>
      </c>
      <c r="AW1687" s="1">
        <v>5136.0</v>
      </c>
      <c r="AX1687" s="1">
        <v>2013.0</v>
      </c>
      <c r="AY1687" s="1" t="s">
        <v>387</v>
      </c>
      <c r="AZ1687" s="1" t="s">
        <v>200</v>
      </c>
      <c r="BA1687" s="1" t="str">
        <f>"0127105015"</f>
        <v>0127105015</v>
      </c>
      <c r="BB1687" s="1" t="s">
        <v>200</v>
      </c>
      <c r="BC1687" s="1">
        <v>2000.0</v>
      </c>
      <c r="BD1687" s="1">
        <v>164900.0</v>
      </c>
      <c r="BE1687" s="2">
        <v>41855.0</v>
      </c>
      <c r="BF1687" s="2" t="s">
        <v>16724</v>
      </c>
      <c r="BH1687" s="1">
        <v>0.0</v>
      </c>
      <c r="BK1687" s="1" t="s">
        <v>204</v>
      </c>
      <c r="BL1687" s="1" t="str">
        <f t="shared" ref="BL1687:BM1687" si="1108">""</f>
        <v/>
      </c>
      <c r="BM1687" s="1" t="str">
        <f t="shared" si="1108"/>
        <v/>
      </c>
      <c r="BQ1687" s="1">
        <v>88.0</v>
      </c>
      <c r="BR1687" s="1">
        <v>88.0</v>
      </c>
      <c r="BS1687" s="1">
        <v>88.0</v>
      </c>
      <c r="BU1687" s="1" t="s">
        <v>334</v>
      </c>
      <c r="BV1687" s="1" t="s">
        <v>206</v>
      </c>
      <c r="BW1687" s="1" t="s">
        <v>207</v>
      </c>
      <c r="BX1687" s="1" t="s">
        <v>239</v>
      </c>
      <c r="BY1687" s="1" t="s">
        <v>2459</v>
      </c>
      <c r="BZ1687" s="1" t="s">
        <v>206</v>
      </c>
      <c r="CA1687" s="1" t="s">
        <v>207</v>
      </c>
      <c r="CC1687" s="1" t="s">
        <v>1417</v>
      </c>
      <c r="CD1687" s="1" t="s">
        <v>267</v>
      </c>
      <c r="CE1687" s="1" t="s">
        <v>617</v>
      </c>
      <c r="CF1687" s="1" t="s">
        <v>239</v>
      </c>
      <c r="CG1687" s="1" t="s">
        <v>478</v>
      </c>
      <c r="CH1687" s="1" t="s">
        <v>206</v>
      </c>
      <c r="CI1687" s="1" t="s">
        <v>207</v>
      </c>
      <c r="CK1687" s="1" t="s">
        <v>303</v>
      </c>
      <c r="CL1687" s="1" t="s">
        <v>206</v>
      </c>
      <c r="CM1687" s="1" t="s">
        <v>207</v>
      </c>
      <c r="CO1687" s="1" t="s">
        <v>495</v>
      </c>
      <c r="CP1687" s="1" t="s">
        <v>267</v>
      </c>
      <c r="CQ1687" s="1" t="s">
        <v>210</v>
      </c>
      <c r="CS1687" s="1" t="s">
        <v>1299</v>
      </c>
      <c r="CT1687" s="1" t="s">
        <v>267</v>
      </c>
      <c r="CU1687" s="1" t="s">
        <v>617</v>
      </c>
      <c r="CW1687" s="1" t="s">
        <v>260</v>
      </c>
      <c r="CX1687" s="1" t="s">
        <v>267</v>
      </c>
      <c r="CY1687" s="1" t="s">
        <v>210</v>
      </c>
      <c r="CZ1687" s="1" t="s">
        <v>239</v>
      </c>
      <c r="DA1687" s="1" t="s">
        <v>200</v>
      </c>
      <c r="DC1687" s="1" t="s">
        <v>271</v>
      </c>
      <c r="DD1687" s="1" t="s">
        <v>16725</v>
      </c>
      <c r="DE1687" s="1" t="s">
        <v>1905</v>
      </c>
      <c r="DF1687" s="1" t="s">
        <v>619</v>
      </c>
      <c r="DG1687" s="1" t="s">
        <v>2311</v>
      </c>
      <c r="DH1687" s="1" t="s">
        <v>220</v>
      </c>
      <c r="DI1687" s="1" t="s">
        <v>1223</v>
      </c>
      <c r="DJ1687" s="1" t="s">
        <v>222</v>
      </c>
      <c r="DK1687" s="1" t="s">
        <v>223</v>
      </c>
      <c r="DL1687" s="1" t="s">
        <v>224</v>
      </c>
      <c r="DM1687" s="1" t="s">
        <v>338</v>
      </c>
      <c r="DO1687" s="1" t="s">
        <v>2297</v>
      </c>
      <c r="DP1687" s="1" t="s">
        <v>340</v>
      </c>
      <c r="DQ1687" s="1" t="s">
        <v>1557</v>
      </c>
      <c r="DR1687" s="1" t="s">
        <v>229</v>
      </c>
      <c r="DS1687" s="1" t="s">
        <v>230</v>
      </c>
      <c r="DU1687" s="1" t="s">
        <v>2070</v>
      </c>
      <c r="DV1687" s="1" t="s">
        <v>16726</v>
      </c>
      <c r="DW1687" s="1" t="s">
        <v>233</v>
      </c>
      <c r="DX1687" s="1" t="s">
        <v>234</v>
      </c>
      <c r="DY1687" s="1" t="s">
        <v>16727</v>
      </c>
      <c r="DZ1687" s="1" t="s">
        <v>9396</v>
      </c>
      <c r="EA1687" s="1" t="s">
        <v>554</v>
      </c>
      <c r="EB1687" s="1" t="s">
        <v>345</v>
      </c>
      <c r="EC1687" s="1" t="s">
        <v>685</v>
      </c>
      <c r="EE1687" s="1" t="s">
        <v>493</v>
      </c>
      <c r="EG1687" s="1" t="s">
        <v>598</v>
      </c>
      <c r="EH1687" s="1" t="s">
        <v>1121</v>
      </c>
      <c r="EI1687" s="1" t="s">
        <v>557</v>
      </c>
      <c r="EL1687" s="1" t="s">
        <v>1852</v>
      </c>
      <c r="EM1687" s="1" t="s">
        <v>206</v>
      </c>
      <c r="EN1687" s="1" t="s">
        <v>207</v>
      </c>
      <c r="EP1687" s="1" t="s">
        <v>1852</v>
      </c>
      <c r="EQ1687" s="1" t="s">
        <v>206</v>
      </c>
      <c r="ET1687" s="1" t="s">
        <v>1760</v>
      </c>
      <c r="EU1687" s="1" t="s">
        <v>267</v>
      </c>
      <c r="EV1687" s="1" t="s">
        <v>210</v>
      </c>
      <c r="EY1687" s="1" t="s">
        <v>238</v>
      </c>
      <c r="FC1687" s="1" t="s">
        <v>238</v>
      </c>
      <c r="FF1687" s="1" t="s">
        <v>239</v>
      </c>
      <c r="FG1687" s="1" t="s">
        <v>192</v>
      </c>
      <c r="FH1687" s="1" t="s">
        <v>192</v>
      </c>
      <c r="FJ1687" s="1" t="s">
        <v>6790</v>
      </c>
      <c r="FK1687" s="1" t="s">
        <v>229</v>
      </c>
      <c r="FL1687" s="1" t="s">
        <v>4309</v>
      </c>
      <c r="FM1687" s="1">
        <v>87.0</v>
      </c>
      <c r="FN1687" s="1" t="s">
        <v>5753</v>
      </c>
      <c r="FO1687" s="1" t="s">
        <v>16728</v>
      </c>
      <c r="FP1687" s="1">
        <v>300054.0</v>
      </c>
      <c r="FQ1687" s="1" t="s">
        <v>16729</v>
      </c>
      <c r="FR1687" s="1">
        <v>300062.0</v>
      </c>
      <c r="FU1687" s="1" t="s">
        <v>16730</v>
      </c>
      <c r="FV1687" s="1" t="s">
        <v>200</v>
      </c>
      <c r="FW1687" s="1" t="s">
        <v>1293</v>
      </c>
      <c r="FX1687" s="1" t="s">
        <v>655</v>
      </c>
      <c r="FZ1687" s="1" t="s">
        <v>229</v>
      </c>
      <c r="GA1687" s="1" t="s">
        <v>291</v>
      </c>
      <c r="GB1687" s="2">
        <v>41992.0</v>
      </c>
      <c r="GC1687" s="1" t="s">
        <v>16731</v>
      </c>
    </row>
    <row r="1688">
      <c r="A1688" s="1">
        <v>350000.0</v>
      </c>
      <c r="B1688" s="1" t="s">
        <v>185</v>
      </c>
      <c r="C1688" s="1" t="str">
        <f>"08690520"</f>
        <v>08690520</v>
      </c>
      <c r="D1688" s="1" t="s">
        <v>186</v>
      </c>
      <c r="F1688" s="1" t="str">
        <f>"10"</f>
        <v>10</v>
      </c>
      <c r="G1688" s="2">
        <v>41852.0</v>
      </c>
      <c r="H1688" s="1">
        <v>389000.0</v>
      </c>
      <c r="I1688" s="1">
        <v>156.0</v>
      </c>
      <c r="J1688" s="1">
        <v>374999.0</v>
      </c>
      <c r="K1688" s="2">
        <v>42006.0</v>
      </c>
      <c r="L1688" s="1">
        <v>156.0</v>
      </c>
      <c r="M1688" s="2">
        <v>42006.0</v>
      </c>
      <c r="N1688" s="1" t="s">
        <v>249</v>
      </c>
      <c r="O1688" s="2">
        <v>42031.0</v>
      </c>
      <c r="P1688" s="1">
        <v>86739.0</v>
      </c>
      <c r="Q1688" s="1">
        <v>8256.0</v>
      </c>
      <c r="R1688" s="1">
        <v>2500.0</v>
      </c>
      <c r="S1688" s="1">
        <v>71.0</v>
      </c>
      <c r="T1688" s="1" t="s">
        <v>16732</v>
      </c>
      <c r="U1688" s="1" t="s">
        <v>569</v>
      </c>
      <c r="V1688" s="1" t="s">
        <v>2004</v>
      </c>
      <c r="W1688" s="1">
        <v>60010.0</v>
      </c>
      <c r="Y1688" s="1" t="s">
        <v>16733</v>
      </c>
      <c r="Z1688" s="1">
        <v>1977.0</v>
      </c>
      <c r="AA1688" s="1" t="s">
        <v>192</v>
      </c>
      <c r="AB1688" s="1" t="s">
        <v>193</v>
      </c>
      <c r="AC1688" s="1" t="s">
        <v>14877</v>
      </c>
      <c r="AD1688" s="1" t="s">
        <v>2007</v>
      </c>
      <c r="AE1688" s="1" t="s">
        <v>917</v>
      </c>
      <c r="AF1688" s="1" t="s">
        <v>2008</v>
      </c>
      <c r="AG1688" s="1" t="s">
        <v>752</v>
      </c>
      <c r="AH1688" s="6">
        <v>41030.0</v>
      </c>
      <c r="AI1688" s="1">
        <v>0.94</v>
      </c>
      <c r="AK1688" s="1">
        <v>12.0</v>
      </c>
      <c r="AL1688" s="1">
        <v>4.0</v>
      </c>
      <c r="AM1688" s="1">
        <v>3.0</v>
      </c>
      <c r="AN1688" s="1">
        <v>0.0</v>
      </c>
      <c r="AO1688" s="1" t="s">
        <v>198</v>
      </c>
      <c r="AP1688" s="1">
        <v>1.0</v>
      </c>
      <c r="AQ1688" s="1" t="s">
        <v>198</v>
      </c>
      <c r="AR1688" s="1" t="s">
        <v>192</v>
      </c>
      <c r="AS1688" s="1" t="s">
        <v>199</v>
      </c>
      <c r="AT1688" s="1">
        <v>2.0</v>
      </c>
      <c r="AV1688" s="1" t="s">
        <v>200</v>
      </c>
      <c r="AW1688" s="1">
        <v>8299.0</v>
      </c>
      <c r="AX1688" s="1">
        <v>2013.0</v>
      </c>
      <c r="AY1688" s="1" t="s">
        <v>387</v>
      </c>
      <c r="AZ1688" s="1" t="s">
        <v>200</v>
      </c>
      <c r="BA1688" s="1" t="str">
        <f>"13153020020000"</f>
        <v>13153020020000</v>
      </c>
      <c r="BB1688" s="1" t="s">
        <v>200</v>
      </c>
      <c r="BC1688" s="1">
        <v>1842.0</v>
      </c>
      <c r="BD1688" s="1">
        <v>350000.0</v>
      </c>
      <c r="BE1688" s="2">
        <v>41851.0</v>
      </c>
      <c r="BF1688" s="2" t="s">
        <v>16734</v>
      </c>
      <c r="BH1688" s="1">
        <v>0.0</v>
      </c>
      <c r="BJ1688" s="1" t="s">
        <v>1714</v>
      </c>
      <c r="BK1688" s="1" t="s">
        <v>204</v>
      </c>
      <c r="BL1688" s="1" t="str">
        <f t="shared" ref="BL1688:BM1688" si="1109">""</f>
        <v/>
      </c>
      <c r="BM1688" s="1" t="str">
        <f t="shared" si="1109"/>
        <v/>
      </c>
      <c r="BQ1688" s="1">
        <v>220.0</v>
      </c>
      <c r="BR1688" s="1">
        <v>220.0</v>
      </c>
      <c r="BS1688" s="1">
        <v>220.0</v>
      </c>
      <c r="BU1688" s="1" t="s">
        <v>616</v>
      </c>
      <c r="BV1688" s="1" t="s">
        <v>206</v>
      </c>
      <c r="BW1688" s="1" t="s">
        <v>210</v>
      </c>
      <c r="BX1688" s="1" t="s">
        <v>261</v>
      </c>
      <c r="BY1688" s="1" t="s">
        <v>300</v>
      </c>
      <c r="BZ1688" s="1" t="s">
        <v>206</v>
      </c>
      <c r="CA1688" s="1" t="s">
        <v>210</v>
      </c>
      <c r="CB1688" s="1" t="s">
        <v>1549</v>
      </c>
      <c r="CC1688" s="1" t="s">
        <v>1351</v>
      </c>
      <c r="CD1688" s="1" t="s">
        <v>206</v>
      </c>
      <c r="CE1688" s="1" t="s">
        <v>210</v>
      </c>
      <c r="CF1688" s="1" t="s">
        <v>261</v>
      </c>
      <c r="CG1688" s="1" t="s">
        <v>497</v>
      </c>
      <c r="CH1688" s="1" t="s">
        <v>206</v>
      </c>
      <c r="CI1688" s="1" t="s">
        <v>210</v>
      </c>
      <c r="CJ1688" s="1" t="s">
        <v>431</v>
      </c>
      <c r="CK1688" s="1" t="s">
        <v>1351</v>
      </c>
      <c r="CL1688" s="1" t="s">
        <v>206</v>
      </c>
      <c r="CM1688" s="1" t="s">
        <v>210</v>
      </c>
      <c r="CN1688" s="1" t="s">
        <v>431</v>
      </c>
      <c r="CO1688" s="1" t="s">
        <v>213</v>
      </c>
      <c r="CP1688" s="1" t="s">
        <v>267</v>
      </c>
      <c r="CQ1688" s="1" t="s">
        <v>210</v>
      </c>
      <c r="CR1688" s="1" t="s">
        <v>229</v>
      </c>
      <c r="CS1688" s="1" t="s">
        <v>363</v>
      </c>
      <c r="CT1688" s="1" t="s">
        <v>206</v>
      </c>
      <c r="CU1688" s="1" t="s">
        <v>207</v>
      </c>
      <c r="CV1688" s="1" t="s">
        <v>229</v>
      </c>
      <c r="CW1688" s="1" t="s">
        <v>2713</v>
      </c>
      <c r="CX1688" s="1" t="s">
        <v>206</v>
      </c>
      <c r="CY1688" s="1" t="s">
        <v>207</v>
      </c>
      <c r="CZ1688" s="1" t="s">
        <v>1549</v>
      </c>
      <c r="DA1688" s="1" t="s">
        <v>200</v>
      </c>
      <c r="DC1688" s="1" t="s">
        <v>395</v>
      </c>
      <c r="DD1688" s="1" t="s">
        <v>518</v>
      </c>
      <c r="DE1688" s="1" t="s">
        <v>273</v>
      </c>
      <c r="DF1688" s="1" t="s">
        <v>219</v>
      </c>
      <c r="DG1688" s="1" t="s">
        <v>1812</v>
      </c>
      <c r="DH1688" s="1" t="s">
        <v>856</v>
      </c>
      <c r="DI1688" s="1" t="s">
        <v>703</v>
      </c>
      <c r="DJ1688" s="1" t="s">
        <v>857</v>
      </c>
      <c r="DL1688" s="1" t="s">
        <v>224</v>
      </c>
      <c r="DM1688" s="1" t="s">
        <v>338</v>
      </c>
      <c r="DO1688" s="1" t="s">
        <v>440</v>
      </c>
      <c r="DP1688" s="1" t="s">
        <v>276</v>
      </c>
      <c r="DQ1688" s="1" t="s">
        <v>1557</v>
      </c>
      <c r="DR1688" s="1" t="s">
        <v>229</v>
      </c>
      <c r="DS1688" s="1" t="s">
        <v>230</v>
      </c>
      <c r="DU1688" s="1" t="s">
        <v>16735</v>
      </c>
      <c r="DV1688" s="1" t="s">
        <v>16736</v>
      </c>
      <c r="DW1688" s="1" t="s">
        <v>279</v>
      </c>
      <c r="DX1688" s="1" t="s">
        <v>234</v>
      </c>
      <c r="DY1688" s="1" t="s">
        <v>6606</v>
      </c>
      <c r="DZ1688" s="1" t="s">
        <v>16737</v>
      </c>
      <c r="EA1688" s="1" t="s">
        <v>683</v>
      </c>
      <c r="EB1688" s="1" t="s">
        <v>937</v>
      </c>
      <c r="EC1688" s="1" t="s">
        <v>685</v>
      </c>
      <c r="ED1688" s="1" t="s">
        <v>407</v>
      </c>
      <c r="EE1688" s="1" t="s">
        <v>493</v>
      </c>
      <c r="EG1688" s="1" t="s">
        <v>449</v>
      </c>
      <c r="EH1688" s="1" t="s">
        <v>450</v>
      </c>
      <c r="EI1688" s="1" t="s">
        <v>1467</v>
      </c>
      <c r="EJ1688" s="1" t="s">
        <v>1491</v>
      </c>
      <c r="EK1688" s="1" t="s">
        <v>310</v>
      </c>
      <c r="EL1688" s="1" t="s">
        <v>1137</v>
      </c>
      <c r="EM1688" s="1" t="s">
        <v>206</v>
      </c>
      <c r="EN1688" s="1" t="s">
        <v>207</v>
      </c>
      <c r="EO1688" s="1" t="s">
        <v>1549</v>
      </c>
      <c r="EP1688" s="1" t="s">
        <v>16738</v>
      </c>
      <c r="EQ1688" s="1" t="s">
        <v>267</v>
      </c>
      <c r="ER1688" s="1" t="s">
        <v>210</v>
      </c>
      <c r="ES1688" s="1" t="s">
        <v>229</v>
      </c>
      <c r="ET1688" s="1" t="s">
        <v>2442</v>
      </c>
      <c r="EU1688" s="1" t="s">
        <v>267</v>
      </c>
      <c r="EV1688" s="1" t="s">
        <v>210</v>
      </c>
      <c r="EW1688" s="1" t="s">
        <v>229</v>
      </c>
      <c r="EX1688" s="1" t="s">
        <v>640</v>
      </c>
      <c r="EY1688" s="1" t="s">
        <v>267</v>
      </c>
      <c r="EZ1688" s="1" t="s">
        <v>588</v>
      </c>
      <c r="FA1688" s="1" t="s">
        <v>229</v>
      </c>
      <c r="FB1688" s="1" t="s">
        <v>1244</v>
      </c>
      <c r="FC1688" s="1" t="s">
        <v>206</v>
      </c>
      <c r="FD1688" s="1" t="s">
        <v>588</v>
      </c>
      <c r="FF1688" s="1" t="s">
        <v>239</v>
      </c>
      <c r="FG1688" s="1" t="s">
        <v>192</v>
      </c>
      <c r="FH1688" s="1" t="s">
        <v>192</v>
      </c>
      <c r="FJ1688" s="1" t="s">
        <v>11053</v>
      </c>
      <c r="FK1688" s="1" t="s">
        <v>229</v>
      </c>
      <c r="FL1688" s="1" t="s">
        <v>1007</v>
      </c>
      <c r="FM1688" s="1">
        <v>5030.0</v>
      </c>
      <c r="FN1688" s="1" t="s">
        <v>12025</v>
      </c>
      <c r="FO1688" s="1" t="s">
        <v>16739</v>
      </c>
      <c r="FP1688" s="1">
        <v>53954.0</v>
      </c>
      <c r="FQ1688" s="1" t="s">
        <v>16740</v>
      </c>
      <c r="FS1688" s="1" t="s">
        <v>16741</v>
      </c>
      <c r="FU1688" s="1" t="s">
        <v>16742</v>
      </c>
      <c r="FV1688" s="1" t="s">
        <v>200</v>
      </c>
      <c r="FW1688" s="1" t="s">
        <v>1411</v>
      </c>
      <c r="FZ1688" s="1" t="s">
        <v>229</v>
      </c>
      <c r="GA1688" s="1" t="s">
        <v>291</v>
      </c>
      <c r="GB1688" s="2">
        <v>42031.0</v>
      </c>
      <c r="GC1688" s="1" t="s">
        <v>16743</v>
      </c>
    </row>
    <row r="1689">
      <c r="A1689" s="1">
        <v>130050.0</v>
      </c>
      <c r="B1689" s="1" t="s">
        <v>185</v>
      </c>
      <c r="C1689" s="1" t="str">
        <f>"08690485"</f>
        <v>08690485</v>
      </c>
      <c r="D1689" s="1" t="s">
        <v>186</v>
      </c>
      <c r="F1689" s="1" t="str">
        <f>"115"</f>
        <v>115</v>
      </c>
      <c r="G1689" s="2">
        <v>41852.0</v>
      </c>
      <c r="H1689" s="1">
        <v>147000.0</v>
      </c>
      <c r="I1689" s="1">
        <v>172.0</v>
      </c>
      <c r="J1689" s="1">
        <v>139800.0</v>
      </c>
      <c r="K1689" s="2">
        <v>42023.0</v>
      </c>
      <c r="L1689" s="1">
        <v>172.0</v>
      </c>
      <c r="M1689" s="2">
        <v>42023.0</v>
      </c>
      <c r="N1689" s="1" t="s">
        <v>187</v>
      </c>
      <c r="O1689" s="2">
        <v>42069.0</v>
      </c>
      <c r="P1689" s="1">
        <v>930132.0</v>
      </c>
      <c r="Q1689" s="1">
        <v>93043.0</v>
      </c>
      <c r="R1689" s="1">
        <v>3500.0</v>
      </c>
      <c r="S1689" s="1">
        <v>1533.0</v>
      </c>
      <c r="T1689" s="1" t="s">
        <v>16744</v>
      </c>
      <c r="U1689" s="1" t="s">
        <v>569</v>
      </c>
      <c r="V1689" s="1" t="s">
        <v>610</v>
      </c>
      <c r="W1689" s="1">
        <v>60115.0</v>
      </c>
      <c r="Y1689" s="1" t="s">
        <v>16745</v>
      </c>
      <c r="Z1689" s="1">
        <v>1960.0</v>
      </c>
      <c r="AA1689" s="1" t="s">
        <v>192</v>
      </c>
      <c r="AB1689" s="1" t="s">
        <v>193</v>
      </c>
      <c r="AD1689" s="1" t="s">
        <v>612</v>
      </c>
      <c r="AE1689" s="1" t="s">
        <v>613</v>
      </c>
      <c r="AF1689" s="1" t="s">
        <v>612</v>
      </c>
      <c r="AH1689" s="1" t="s">
        <v>16746</v>
      </c>
      <c r="AK1689" s="1">
        <v>8.0</v>
      </c>
      <c r="AL1689" s="1">
        <v>4.0</v>
      </c>
      <c r="AM1689" s="1">
        <v>2.0</v>
      </c>
      <c r="AN1689" s="1">
        <v>0.0</v>
      </c>
      <c r="AO1689" s="1" t="s">
        <v>229</v>
      </c>
      <c r="AP1689" s="1">
        <v>1.0</v>
      </c>
      <c r="AQ1689" s="1" t="s">
        <v>229</v>
      </c>
      <c r="AR1689" s="1" t="s">
        <v>200</v>
      </c>
      <c r="AS1689" s="1" t="s">
        <v>199</v>
      </c>
      <c r="AT1689" s="1">
        <v>2.5</v>
      </c>
      <c r="AV1689" s="1" t="s">
        <v>200</v>
      </c>
      <c r="AW1689" s="1">
        <v>5130.46</v>
      </c>
      <c r="AX1689" s="1">
        <v>2013.0</v>
      </c>
      <c r="AY1689" s="1" t="s">
        <v>387</v>
      </c>
      <c r="AZ1689" s="1" t="s">
        <v>200</v>
      </c>
      <c r="BA1689" s="1" t="str">
        <f>"0813305008"</f>
        <v>0813305008</v>
      </c>
      <c r="BB1689" s="1" t="s">
        <v>200</v>
      </c>
      <c r="BC1689" s="1">
        <v>1830.0</v>
      </c>
      <c r="BD1689" s="1">
        <v>130050.0</v>
      </c>
      <c r="BE1689" s="2">
        <v>41852.0</v>
      </c>
      <c r="BF1689" s="2" t="s">
        <v>16747</v>
      </c>
      <c r="BH1689" s="1">
        <v>0.0</v>
      </c>
      <c r="BK1689" s="1" t="s">
        <v>204</v>
      </c>
      <c r="BL1689" s="1" t="str">
        <f t="shared" ref="BL1689:BM1689" si="1110">""</f>
        <v/>
      </c>
      <c r="BM1689" s="1" t="str">
        <f t="shared" si="1110"/>
        <v/>
      </c>
      <c r="BQ1689" s="1">
        <v>428.0</v>
      </c>
      <c r="BR1689" s="1">
        <v>428.0</v>
      </c>
      <c r="BS1689" s="1">
        <v>428.0</v>
      </c>
      <c r="BU1689" s="1" t="s">
        <v>1567</v>
      </c>
      <c r="BV1689" s="1" t="s">
        <v>206</v>
      </c>
      <c r="BW1689" s="1" t="s">
        <v>210</v>
      </c>
      <c r="BX1689" s="1" t="s">
        <v>1549</v>
      </c>
      <c r="BY1689" s="1" t="s">
        <v>331</v>
      </c>
      <c r="BZ1689" s="1" t="s">
        <v>206</v>
      </c>
      <c r="CA1689" s="1" t="s">
        <v>210</v>
      </c>
      <c r="CB1689" s="1" t="s">
        <v>431</v>
      </c>
      <c r="CC1689" s="1" t="s">
        <v>1351</v>
      </c>
      <c r="CD1689" s="1" t="s">
        <v>206</v>
      </c>
      <c r="CE1689" s="1" t="s">
        <v>210</v>
      </c>
      <c r="CF1689" s="1" t="s">
        <v>1549</v>
      </c>
      <c r="CG1689" s="1" t="s">
        <v>212</v>
      </c>
      <c r="CH1689" s="1" t="s">
        <v>206</v>
      </c>
      <c r="CI1689" s="1" t="s">
        <v>210</v>
      </c>
      <c r="CJ1689" s="1" t="s">
        <v>431</v>
      </c>
      <c r="CK1689" s="1" t="s">
        <v>495</v>
      </c>
      <c r="CL1689" s="1" t="s">
        <v>206</v>
      </c>
      <c r="CM1689" s="1" t="s">
        <v>210</v>
      </c>
      <c r="CN1689" s="1" t="s">
        <v>431</v>
      </c>
      <c r="CO1689" s="1" t="s">
        <v>263</v>
      </c>
      <c r="CP1689" s="1" t="s">
        <v>206</v>
      </c>
      <c r="CQ1689" s="1" t="s">
        <v>210</v>
      </c>
      <c r="CR1689" s="1" t="s">
        <v>431</v>
      </c>
      <c r="CS1689" s="1" t="s">
        <v>4045</v>
      </c>
      <c r="CT1689" s="1" t="s">
        <v>206</v>
      </c>
      <c r="CU1689" s="1" t="s">
        <v>588</v>
      </c>
      <c r="CV1689" s="1" t="s">
        <v>1118</v>
      </c>
      <c r="CW1689" s="1" t="s">
        <v>9889</v>
      </c>
      <c r="CX1689" s="1" t="s">
        <v>206</v>
      </c>
      <c r="CY1689" s="1" t="s">
        <v>210</v>
      </c>
      <c r="DA1689" s="1" t="s">
        <v>200</v>
      </c>
      <c r="DC1689" s="1" t="s">
        <v>271</v>
      </c>
      <c r="DD1689" s="1" t="s">
        <v>518</v>
      </c>
      <c r="DE1689" s="1" t="s">
        <v>273</v>
      </c>
      <c r="DF1689" s="1" t="s">
        <v>619</v>
      </c>
      <c r="DG1689" s="1" t="s">
        <v>337</v>
      </c>
      <c r="DH1689" s="1" t="s">
        <v>220</v>
      </c>
      <c r="DI1689" s="1" t="s">
        <v>703</v>
      </c>
      <c r="DJ1689" s="1" t="s">
        <v>222</v>
      </c>
      <c r="DL1689" s="1" t="s">
        <v>229</v>
      </c>
      <c r="DM1689" s="1" t="s">
        <v>1247</v>
      </c>
      <c r="DO1689" s="1" t="s">
        <v>1144</v>
      </c>
      <c r="DP1689" s="1" t="s">
        <v>276</v>
      </c>
      <c r="DQ1689" s="1" t="s">
        <v>441</v>
      </c>
      <c r="DR1689" s="1" t="s">
        <v>229</v>
      </c>
      <c r="DS1689" s="1" t="s">
        <v>230</v>
      </c>
      <c r="DU1689" s="1" t="s">
        <v>9010</v>
      </c>
      <c r="DV1689" s="1" t="s">
        <v>3373</v>
      </c>
      <c r="DW1689" s="1" t="s">
        <v>667</v>
      </c>
      <c r="DX1689" s="1" t="s">
        <v>234</v>
      </c>
      <c r="DY1689" s="1" t="s">
        <v>16748</v>
      </c>
      <c r="DZ1689" s="1" t="s">
        <v>16749</v>
      </c>
      <c r="EA1689" s="1" t="s">
        <v>683</v>
      </c>
      <c r="EB1689" s="1" t="s">
        <v>345</v>
      </c>
      <c r="EC1689" s="1" t="s">
        <v>685</v>
      </c>
      <c r="ED1689" s="1" t="s">
        <v>407</v>
      </c>
      <c r="EG1689" s="1" t="s">
        <v>720</v>
      </c>
      <c r="EH1689" s="1" t="s">
        <v>2129</v>
      </c>
      <c r="EL1689" s="1" t="s">
        <v>1874</v>
      </c>
      <c r="EM1689" s="1" t="s">
        <v>206</v>
      </c>
      <c r="EN1689" s="1" t="s">
        <v>210</v>
      </c>
      <c r="EP1689" s="1" t="s">
        <v>433</v>
      </c>
      <c r="EQ1689" s="1" t="s">
        <v>206</v>
      </c>
      <c r="ER1689" s="1" t="s">
        <v>210</v>
      </c>
      <c r="EU1689" s="1" t="s">
        <v>238</v>
      </c>
      <c r="EY1689" s="1" t="s">
        <v>238</v>
      </c>
      <c r="FC1689" s="1" t="s">
        <v>238</v>
      </c>
      <c r="FF1689" s="1" t="s">
        <v>239</v>
      </c>
      <c r="FG1689" s="1" t="s">
        <v>192</v>
      </c>
      <c r="FH1689" s="1" t="s">
        <v>192</v>
      </c>
      <c r="FJ1689" s="1" t="s">
        <v>624</v>
      </c>
      <c r="FK1689" s="1" t="s">
        <v>348</v>
      </c>
      <c r="FL1689" s="1" t="s">
        <v>2926</v>
      </c>
      <c r="FM1689" s="1">
        <v>24809.0</v>
      </c>
      <c r="FN1689" s="1" t="s">
        <v>2927</v>
      </c>
      <c r="FO1689" s="1" t="s">
        <v>2928</v>
      </c>
      <c r="FP1689" s="1">
        <v>237415.0</v>
      </c>
      <c r="FQ1689" s="1" t="s">
        <v>2929</v>
      </c>
      <c r="FS1689" s="1" t="s">
        <v>16750</v>
      </c>
      <c r="FU1689" s="1" t="s">
        <v>16751</v>
      </c>
      <c r="FV1689" s="1" t="s">
        <v>200</v>
      </c>
      <c r="FW1689" s="1" t="s">
        <v>290</v>
      </c>
      <c r="FZ1689" s="1" t="s">
        <v>229</v>
      </c>
      <c r="GA1689" s="1" t="s">
        <v>291</v>
      </c>
      <c r="GB1689" s="2">
        <v>42069.0</v>
      </c>
      <c r="GC1689" s="1" t="s">
        <v>16752</v>
      </c>
    </row>
    <row r="1690">
      <c r="A1690" s="1">
        <v>244900.0</v>
      </c>
      <c r="B1690" s="1" t="s">
        <v>185</v>
      </c>
      <c r="C1690" s="1" t="str">
        <f>"08697765"</f>
        <v>08697765</v>
      </c>
      <c r="D1690" s="1" t="s">
        <v>186</v>
      </c>
      <c r="F1690" s="1" t="str">
        <f>"560"</f>
        <v>560</v>
      </c>
      <c r="G1690" s="2">
        <v>41861.0</v>
      </c>
      <c r="H1690" s="1">
        <v>274900.0</v>
      </c>
      <c r="I1690" s="1">
        <v>76.0</v>
      </c>
      <c r="J1690" s="1">
        <v>259000.0</v>
      </c>
      <c r="K1690" s="2">
        <v>41936.0</v>
      </c>
      <c r="L1690" s="1">
        <v>76.0</v>
      </c>
      <c r="M1690" s="2">
        <v>41936.0</v>
      </c>
      <c r="N1690" s="1" t="s">
        <v>356</v>
      </c>
      <c r="O1690" s="2">
        <v>41978.0</v>
      </c>
      <c r="P1690" s="1">
        <v>8604.0</v>
      </c>
      <c r="Q1690" s="1">
        <v>300.0</v>
      </c>
      <c r="S1690" s="1">
        <v>2020.0</v>
      </c>
      <c r="T1690" s="1" t="s">
        <v>12381</v>
      </c>
      <c r="U1690" s="1" t="s">
        <v>464</v>
      </c>
      <c r="V1690" s="1" t="s">
        <v>845</v>
      </c>
      <c r="W1690" s="1">
        <v>60560.0</v>
      </c>
      <c r="Y1690" s="1" t="s">
        <v>16753</v>
      </c>
      <c r="Z1690" s="1">
        <v>2004.0</v>
      </c>
      <c r="AA1690" s="1" t="s">
        <v>200</v>
      </c>
      <c r="AB1690" s="1" t="s">
        <v>467</v>
      </c>
      <c r="AC1690" s="1" t="s">
        <v>2375</v>
      </c>
      <c r="AD1690" s="1" t="s">
        <v>848</v>
      </c>
      <c r="AE1690" s="1" t="s">
        <v>849</v>
      </c>
      <c r="AF1690" s="1" t="s">
        <v>2153</v>
      </c>
      <c r="AH1690" s="1" t="s">
        <v>16754</v>
      </c>
      <c r="AI1690" s="1">
        <v>0.47</v>
      </c>
      <c r="AK1690" s="1">
        <v>9.0</v>
      </c>
      <c r="AL1690" s="1">
        <v>4.0</v>
      </c>
      <c r="AM1690" s="1">
        <v>3.0</v>
      </c>
      <c r="AN1690" s="1">
        <v>0.0</v>
      </c>
      <c r="AO1690" s="1" t="s">
        <v>198</v>
      </c>
      <c r="AP1690" s="1">
        <v>1.0</v>
      </c>
      <c r="AQ1690" s="1" t="s">
        <v>198</v>
      </c>
      <c r="AR1690" s="1" t="s">
        <v>200</v>
      </c>
      <c r="AS1690" s="1" t="s">
        <v>199</v>
      </c>
      <c r="AT1690" s="1">
        <v>3.0</v>
      </c>
      <c r="AV1690" s="1" t="s">
        <v>200</v>
      </c>
      <c r="AW1690" s="1">
        <v>10095.34</v>
      </c>
      <c r="AX1690" s="1">
        <v>2013.0</v>
      </c>
      <c r="AY1690" s="1" t="s">
        <v>387</v>
      </c>
      <c r="AZ1690" s="1" t="s">
        <v>192</v>
      </c>
      <c r="BA1690" s="1" t="str">
        <f>"0504405006"</f>
        <v>0504405006</v>
      </c>
      <c r="BB1690" s="1" t="s">
        <v>200</v>
      </c>
      <c r="BC1690" s="1">
        <v>2937.0</v>
      </c>
      <c r="BD1690" s="1">
        <v>244900.0</v>
      </c>
      <c r="BE1690" s="2">
        <v>41861.0</v>
      </c>
      <c r="BF1690" s="2" t="s">
        <v>16755</v>
      </c>
      <c r="BH1690" s="1">
        <v>45.0</v>
      </c>
      <c r="BK1690" s="1" t="s">
        <v>474</v>
      </c>
      <c r="BL1690" s="1" t="str">
        <f t="shared" ref="BL1690:BM1690" si="1111">"0"</f>
        <v>0</v>
      </c>
      <c r="BM1690" s="1" t="str">
        <f t="shared" si="1111"/>
        <v>0</v>
      </c>
      <c r="BN1690" s="1">
        <v>0.0</v>
      </c>
      <c r="BO1690" s="1">
        <v>0.0</v>
      </c>
      <c r="BQ1690" s="1">
        <v>115.0</v>
      </c>
      <c r="BR1690" s="1">
        <v>115.0</v>
      </c>
      <c r="BS1690" s="1">
        <v>115.0</v>
      </c>
      <c r="BU1690" s="1" t="s">
        <v>2082</v>
      </c>
      <c r="BV1690" s="1" t="s">
        <v>206</v>
      </c>
      <c r="BW1690" s="1" t="s">
        <v>210</v>
      </c>
      <c r="BX1690" s="1" t="s">
        <v>261</v>
      </c>
      <c r="BY1690" s="1" t="s">
        <v>1000</v>
      </c>
      <c r="BZ1690" s="1" t="s">
        <v>209</v>
      </c>
      <c r="CA1690" s="1" t="s">
        <v>210</v>
      </c>
      <c r="CB1690" s="1" t="s">
        <v>431</v>
      </c>
      <c r="CC1690" s="1" t="s">
        <v>264</v>
      </c>
      <c r="CD1690" s="1" t="s">
        <v>206</v>
      </c>
      <c r="CE1690" s="1" t="s">
        <v>210</v>
      </c>
      <c r="CF1690" s="1" t="s">
        <v>261</v>
      </c>
      <c r="CG1690" s="1" t="s">
        <v>584</v>
      </c>
      <c r="CH1690" s="1" t="s">
        <v>209</v>
      </c>
      <c r="CI1690" s="1" t="s">
        <v>210</v>
      </c>
      <c r="CJ1690" s="1" t="s">
        <v>431</v>
      </c>
      <c r="CK1690" s="1" t="s">
        <v>332</v>
      </c>
      <c r="CL1690" s="1" t="s">
        <v>209</v>
      </c>
      <c r="CM1690" s="1" t="s">
        <v>210</v>
      </c>
      <c r="CN1690" s="1" t="s">
        <v>431</v>
      </c>
      <c r="CO1690" s="1" t="s">
        <v>1417</v>
      </c>
      <c r="CP1690" s="1" t="s">
        <v>206</v>
      </c>
      <c r="CQ1690" s="1" t="s">
        <v>210</v>
      </c>
      <c r="CR1690" s="1" t="s">
        <v>261</v>
      </c>
      <c r="CS1690" s="1" t="s">
        <v>616</v>
      </c>
      <c r="CT1690" s="1" t="s">
        <v>206</v>
      </c>
      <c r="CU1690" s="1" t="s">
        <v>268</v>
      </c>
      <c r="CV1690" s="1" t="s">
        <v>261</v>
      </c>
      <c r="CW1690" s="1" t="s">
        <v>390</v>
      </c>
      <c r="CX1690" s="1" t="s">
        <v>206</v>
      </c>
      <c r="CY1690" s="1" t="s">
        <v>210</v>
      </c>
      <c r="CZ1690" s="1" t="s">
        <v>261</v>
      </c>
      <c r="DA1690" s="1" t="s">
        <v>200</v>
      </c>
      <c r="DC1690" s="1" t="s">
        <v>481</v>
      </c>
      <c r="DD1690" s="1" t="s">
        <v>436</v>
      </c>
      <c r="DE1690" s="1" t="s">
        <v>273</v>
      </c>
      <c r="DF1690" s="1" t="s">
        <v>219</v>
      </c>
      <c r="DG1690" s="1" t="s">
        <v>2379</v>
      </c>
      <c r="DH1690" s="1" t="s">
        <v>220</v>
      </c>
      <c r="DI1690" s="1" t="s">
        <v>732</v>
      </c>
      <c r="DJ1690" s="1" t="s">
        <v>222</v>
      </c>
      <c r="DL1690" s="1" t="s">
        <v>223</v>
      </c>
      <c r="DM1690" s="1" t="s">
        <v>338</v>
      </c>
      <c r="DN1690" s="1" t="s">
        <v>399</v>
      </c>
      <c r="DO1690" s="1" t="s">
        <v>717</v>
      </c>
      <c r="DP1690" s="1" t="s">
        <v>340</v>
      </c>
      <c r="DQ1690" s="1" t="s">
        <v>441</v>
      </c>
      <c r="DR1690" s="1" t="s">
        <v>3096</v>
      </c>
      <c r="DS1690" s="1" t="s">
        <v>368</v>
      </c>
      <c r="DU1690" s="1" t="s">
        <v>10324</v>
      </c>
      <c r="DV1690" s="1" t="s">
        <v>341</v>
      </c>
      <c r="DW1690" s="1" t="s">
        <v>279</v>
      </c>
      <c r="DX1690" s="1" t="s">
        <v>234</v>
      </c>
      <c r="DY1690" s="1" t="s">
        <v>682</v>
      </c>
      <c r="DZ1690" s="1" t="s">
        <v>282</v>
      </c>
      <c r="EA1690" s="1" t="s">
        <v>344</v>
      </c>
      <c r="EB1690" s="1" t="s">
        <v>492</v>
      </c>
      <c r="EC1690" s="1" t="s">
        <v>237</v>
      </c>
      <c r="ED1690" s="1" t="s">
        <v>407</v>
      </c>
      <c r="EG1690" s="1" t="s">
        <v>341</v>
      </c>
      <c r="EL1690" s="1" t="s">
        <v>332</v>
      </c>
      <c r="EM1690" s="1" t="s">
        <v>209</v>
      </c>
      <c r="EN1690" s="1" t="s">
        <v>210</v>
      </c>
      <c r="EO1690" s="1" t="s">
        <v>261</v>
      </c>
      <c r="EQ1690" s="1" t="s">
        <v>238</v>
      </c>
      <c r="EU1690" s="1" t="s">
        <v>238</v>
      </c>
      <c r="EY1690" s="1" t="s">
        <v>238</v>
      </c>
      <c r="FC1690" s="1" t="s">
        <v>238</v>
      </c>
      <c r="FF1690" s="1" t="s">
        <v>239</v>
      </c>
      <c r="FG1690" s="1" t="s">
        <v>192</v>
      </c>
      <c r="FH1690" s="1" t="s">
        <v>192</v>
      </c>
      <c r="FJ1690" s="1" t="s">
        <v>16756</v>
      </c>
      <c r="FK1690" s="1" t="s">
        <v>229</v>
      </c>
      <c r="FL1690" s="1" t="s">
        <v>4369</v>
      </c>
      <c r="FM1690" s="1">
        <v>23120.0</v>
      </c>
      <c r="FN1690" s="1" t="s">
        <v>4370</v>
      </c>
      <c r="FO1690" s="1" t="s">
        <v>16757</v>
      </c>
      <c r="FP1690" s="1">
        <v>233011.0</v>
      </c>
      <c r="FQ1690" s="1" t="s">
        <v>16758</v>
      </c>
      <c r="FU1690" s="1" t="s">
        <v>16759</v>
      </c>
      <c r="FV1690" s="1" t="s">
        <v>200</v>
      </c>
      <c r="FW1690" s="1" t="s">
        <v>290</v>
      </c>
      <c r="FZ1690" s="1" t="s">
        <v>229</v>
      </c>
      <c r="GA1690" s="1" t="s">
        <v>291</v>
      </c>
      <c r="GB1690" s="2">
        <v>41979.0</v>
      </c>
      <c r="GC1690" s="1" t="s">
        <v>16760</v>
      </c>
    </row>
    <row r="1691">
      <c r="A1691" s="1">
        <v>929500.0</v>
      </c>
      <c r="B1691" s="1" t="s">
        <v>185</v>
      </c>
      <c r="C1691" s="1" t="str">
        <f>"08738468"</f>
        <v>08738468</v>
      </c>
      <c r="D1691" s="1" t="s">
        <v>186</v>
      </c>
      <c r="F1691" s="1" t="str">
        <f>"8004"</f>
        <v>8004</v>
      </c>
      <c r="G1691" s="2">
        <v>41908.0</v>
      </c>
      <c r="H1691" s="1">
        <v>1025000.0</v>
      </c>
      <c r="I1691" s="1">
        <v>35.0</v>
      </c>
      <c r="J1691" s="1">
        <v>1000000.0</v>
      </c>
      <c r="K1691" s="2">
        <v>41942.0</v>
      </c>
      <c r="L1691" s="1">
        <v>35.0</v>
      </c>
      <c r="M1691" s="2">
        <v>41942.0</v>
      </c>
      <c r="N1691" s="1" t="s">
        <v>187</v>
      </c>
      <c r="O1691" s="2">
        <v>42047.0</v>
      </c>
      <c r="P1691" s="1">
        <v>99999.0</v>
      </c>
      <c r="Q1691" s="1" t="s">
        <v>947</v>
      </c>
      <c r="R1691" s="1">
        <v>1500.0</v>
      </c>
      <c r="S1691" s="1">
        <v>4950.0</v>
      </c>
      <c r="T1691" s="1" t="s">
        <v>8951</v>
      </c>
      <c r="U1691" s="1" t="s">
        <v>320</v>
      </c>
      <c r="V1691" s="1" t="s">
        <v>190</v>
      </c>
      <c r="W1691" s="1">
        <v>60625.0</v>
      </c>
      <c r="Y1691" s="1" t="s">
        <v>16761</v>
      </c>
      <c r="Z1691" s="1">
        <v>1949.0</v>
      </c>
      <c r="AA1691" s="1" t="s">
        <v>192</v>
      </c>
      <c r="AB1691" s="1" t="s">
        <v>193</v>
      </c>
      <c r="AD1691" s="1" t="s">
        <v>194</v>
      </c>
      <c r="AE1691" s="1" t="s">
        <v>195</v>
      </c>
      <c r="AF1691" s="1" t="s">
        <v>534</v>
      </c>
      <c r="AH1691" s="1" t="s">
        <v>1501</v>
      </c>
      <c r="AK1691" s="1">
        <v>10.0</v>
      </c>
      <c r="AL1691" s="1">
        <v>3.0</v>
      </c>
      <c r="AM1691" s="1">
        <v>3.0</v>
      </c>
      <c r="AN1691" s="1">
        <v>1.0</v>
      </c>
      <c r="AO1691" s="1" t="s">
        <v>198</v>
      </c>
      <c r="AP1691" s="1">
        <v>2.0</v>
      </c>
      <c r="AQ1691" s="1" t="s">
        <v>198</v>
      </c>
      <c r="AR1691" s="1" t="s">
        <v>192</v>
      </c>
      <c r="AS1691" s="1" t="s">
        <v>199</v>
      </c>
      <c r="AT1691" s="1">
        <v>2.0</v>
      </c>
      <c r="AV1691" s="1" t="s">
        <v>200</v>
      </c>
      <c r="AW1691" s="4">
        <v>6122.16</v>
      </c>
      <c r="AX1691" s="1">
        <v>2013.0</v>
      </c>
      <c r="AY1691" s="1" t="s">
        <v>387</v>
      </c>
      <c r="AZ1691" s="1" t="s">
        <v>200</v>
      </c>
      <c r="BA1691" s="1" t="str">
        <f>"14073130360000"</f>
        <v>14073130360000</v>
      </c>
      <c r="BC1691" s="1">
        <v>3650.0</v>
      </c>
      <c r="BD1691" s="1">
        <v>929500.0</v>
      </c>
      <c r="BE1691" s="2">
        <v>41908.0</v>
      </c>
      <c r="BF1691" s="2" t="s">
        <v>16762</v>
      </c>
      <c r="BG1691" s="1" t="s">
        <v>16763</v>
      </c>
      <c r="BH1691" s="1">
        <v>0.0</v>
      </c>
      <c r="BK1691" s="1" t="s">
        <v>204</v>
      </c>
      <c r="BL1691" s="1" t="str">
        <f>"4950"</f>
        <v>4950</v>
      </c>
      <c r="BM1691" s="1" t="str">
        <f>"0"</f>
        <v>0</v>
      </c>
      <c r="BN1691" s="1">
        <v>2150.0</v>
      </c>
      <c r="BO1691" s="1">
        <v>0.0</v>
      </c>
      <c r="BQ1691" s="1">
        <v>299.0</v>
      </c>
      <c r="BR1691" s="1">
        <v>299.0</v>
      </c>
      <c r="BS1691" s="1">
        <v>299.0</v>
      </c>
      <c r="BU1691" s="1" t="s">
        <v>1158</v>
      </c>
      <c r="BV1691" s="1" t="s">
        <v>206</v>
      </c>
      <c r="BW1691" s="1" t="s">
        <v>207</v>
      </c>
      <c r="BY1691" s="1" t="s">
        <v>854</v>
      </c>
      <c r="BZ1691" s="1" t="s">
        <v>209</v>
      </c>
      <c r="CA1691" s="1" t="s">
        <v>207</v>
      </c>
      <c r="CC1691" s="1" t="s">
        <v>700</v>
      </c>
      <c r="CD1691" s="1" t="s">
        <v>206</v>
      </c>
      <c r="CE1691" s="1" t="s">
        <v>207</v>
      </c>
      <c r="CG1691" s="1" t="s">
        <v>363</v>
      </c>
      <c r="CH1691" s="1" t="s">
        <v>209</v>
      </c>
      <c r="CI1691" s="1" t="s">
        <v>207</v>
      </c>
      <c r="CK1691" s="1" t="s">
        <v>363</v>
      </c>
      <c r="CL1691" s="1" t="s">
        <v>209</v>
      </c>
      <c r="CM1691" s="1" t="s">
        <v>207</v>
      </c>
      <c r="CO1691" s="1" t="s">
        <v>212</v>
      </c>
      <c r="CP1691" s="1" t="s">
        <v>42</v>
      </c>
      <c r="CQ1691" s="1" t="s">
        <v>210</v>
      </c>
      <c r="CS1691" s="1" t="s">
        <v>454</v>
      </c>
      <c r="CT1691" s="1" t="s">
        <v>206</v>
      </c>
      <c r="CU1691" s="1" t="s">
        <v>207</v>
      </c>
      <c r="CW1691" s="1" t="s">
        <v>813</v>
      </c>
      <c r="CX1691" s="1" t="s">
        <v>206</v>
      </c>
      <c r="CY1691" s="1" t="s">
        <v>207</v>
      </c>
      <c r="DA1691" s="1" t="s">
        <v>200</v>
      </c>
      <c r="DC1691" s="1" t="s">
        <v>702</v>
      </c>
      <c r="DD1691" s="1" t="s">
        <v>1601</v>
      </c>
      <c r="DE1691" s="1" t="s">
        <v>3750</v>
      </c>
      <c r="DF1691" s="1" t="s">
        <v>2328</v>
      </c>
      <c r="DG1691" s="1" t="s">
        <v>337</v>
      </c>
      <c r="DH1691" s="1" t="s">
        <v>220</v>
      </c>
      <c r="DI1691" s="1" t="s">
        <v>3659</v>
      </c>
      <c r="DJ1691" s="1" t="s">
        <v>222</v>
      </c>
      <c r="DK1691" s="1" t="s">
        <v>223</v>
      </c>
      <c r="DL1691" s="1" t="s">
        <v>224</v>
      </c>
      <c r="DM1691" s="1" t="s">
        <v>229</v>
      </c>
      <c r="DN1691" s="1" t="s">
        <v>548</v>
      </c>
      <c r="DP1691" s="1" t="s">
        <v>276</v>
      </c>
      <c r="DQ1691" s="1" t="s">
        <v>228</v>
      </c>
      <c r="DR1691" s="1" t="s">
        <v>229</v>
      </c>
      <c r="DU1691" s="1" t="s">
        <v>231</v>
      </c>
      <c r="DV1691" s="1" t="s">
        <v>16764</v>
      </c>
      <c r="DW1691" s="1" t="s">
        <v>8203</v>
      </c>
      <c r="DX1691" s="1" t="s">
        <v>234</v>
      </c>
      <c r="DY1691" s="1" t="s">
        <v>5470</v>
      </c>
      <c r="EB1691" s="1" t="s">
        <v>492</v>
      </c>
      <c r="EC1691" s="1" t="s">
        <v>237</v>
      </c>
      <c r="ED1691" s="1" t="s">
        <v>555</v>
      </c>
      <c r="EG1691" s="1" t="s">
        <v>556</v>
      </c>
      <c r="EH1691" s="1" t="s">
        <v>450</v>
      </c>
      <c r="EI1691" s="1" t="s">
        <v>310</v>
      </c>
      <c r="EL1691" s="1" t="s">
        <v>454</v>
      </c>
      <c r="EM1691" s="1" t="s">
        <v>206</v>
      </c>
      <c r="EN1691" s="1" t="s">
        <v>207</v>
      </c>
      <c r="EP1691" s="1" t="s">
        <v>2592</v>
      </c>
      <c r="EQ1691" s="1" t="s">
        <v>42</v>
      </c>
      <c r="ER1691" s="1" t="s">
        <v>210</v>
      </c>
      <c r="ET1691" s="1" t="s">
        <v>15917</v>
      </c>
      <c r="EU1691" s="1" t="s">
        <v>206</v>
      </c>
      <c r="EV1691" s="1" t="s">
        <v>588</v>
      </c>
      <c r="EY1691" s="1" t="s">
        <v>238</v>
      </c>
      <c r="FC1691" s="1" t="s">
        <v>238</v>
      </c>
      <c r="FF1691" s="1" t="s">
        <v>239</v>
      </c>
      <c r="FG1691" s="1" t="s">
        <v>192</v>
      </c>
      <c r="FH1691" s="1" t="s">
        <v>192</v>
      </c>
      <c r="FJ1691" s="1" t="s">
        <v>733</v>
      </c>
      <c r="FK1691" s="1" t="s">
        <v>229</v>
      </c>
      <c r="FL1691" s="1" t="s">
        <v>734</v>
      </c>
      <c r="FM1691" s="1">
        <v>10646.0</v>
      </c>
      <c r="FN1691" s="1" t="s">
        <v>735</v>
      </c>
      <c r="FO1691" s="1" t="s">
        <v>736</v>
      </c>
      <c r="FP1691" s="1">
        <v>139913.0</v>
      </c>
      <c r="FQ1691" s="1" t="s">
        <v>737</v>
      </c>
      <c r="FU1691" s="1" t="s">
        <v>738</v>
      </c>
      <c r="FV1691" s="1" t="s">
        <v>200</v>
      </c>
      <c r="FW1691" s="1" t="s">
        <v>530</v>
      </c>
      <c r="FX1691" s="1" t="s">
        <v>238</v>
      </c>
      <c r="FZ1691" s="1" t="s">
        <v>229</v>
      </c>
      <c r="GA1691" s="1" t="s">
        <v>291</v>
      </c>
      <c r="GB1691" s="2">
        <v>42054.0</v>
      </c>
    </row>
    <row r="1692">
      <c r="A1692" s="1">
        <v>452000.0</v>
      </c>
      <c r="B1692" s="1" t="s">
        <v>185</v>
      </c>
      <c r="C1692" s="1" t="str">
        <f>"08695420"</f>
        <v>08695420</v>
      </c>
      <c r="D1692" s="1" t="s">
        <v>186</v>
      </c>
      <c r="F1692" s="1" t="str">
        <f>"134"</f>
        <v>134</v>
      </c>
      <c r="G1692" s="2">
        <v>41858.0</v>
      </c>
      <c r="H1692" s="1">
        <v>525000.0</v>
      </c>
      <c r="I1692" s="1">
        <v>103.0</v>
      </c>
      <c r="J1692" s="1">
        <v>480000.0</v>
      </c>
      <c r="K1692" s="2">
        <v>41960.0</v>
      </c>
      <c r="L1692" s="1">
        <v>103.0</v>
      </c>
      <c r="M1692" s="2">
        <v>41960.0</v>
      </c>
      <c r="N1692" s="1" t="s">
        <v>249</v>
      </c>
      <c r="O1692" s="2">
        <v>42013.0</v>
      </c>
      <c r="P1692" s="1">
        <v>221299.0</v>
      </c>
      <c r="Q1692" s="1">
        <v>23591.0</v>
      </c>
      <c r="R1692" s="1">
        <v>1000.0</v>
      </c>
      <c r="S1692" s="1">
        <v>1570.0</v>
      </c>
      <c r="T1692" s="1" t="s">
        <v>16765</v>
      </c>
      <c r="U1692" s="1" t="s">
        <v>420</v>
      </c>
      <c r="V1692" s="1" t="s">
        <v>421</v>
      </c>
      <c r="W1692" s="1">
        <v>60134.0</v>
      </c>
      <c r="Y1692" s="1" t="s">
        <v>16766</v>
      </c>
      <c r="Z1692" s="1">
        <v>1993.0</v>
      </c>
      <c r="AA1692" s="1" t="s">
        <v>200</v>
      </c>
      <c r="AB1692" s="1" t="s">
        <v>193</v>
      </c>
      <c r="AC1692" s="1" t="s">
        <v>3521</v>
      </c>
      <c r="AD1692" s="1" t="s">
        <v>424</v>
      </c>
      <c r="AE1692" s="1" t="s">
        <v>325</v>
      </c>
      <c r="AF1692" s="1" t="s">
        <v>424</v>
      </c>
      <c r="AH1692" s="1" t="s">
        <v>16767</v>
      </c>
      <c r="AK1692" s="1">
        <v>9.0</v>
      </c>
      <c r="AL1692" s="1">
        <v>4.0</v>
      </c>
      <c r="AM1692" s="1">
        <v>3.0</v>
      </c>
      <c r="AN1692" s="1">
        <v>0.0</v>
      </c>
      <c r="AO1692" s="1" t="s">
        <v>198</v>
      </c>
      <c r="AP1692" s="1">
        <v>1.0</v>
      </c>
      <c r="AQ1692" s="1" t="s">
        <v>198</v>
      </c>
      <c r="AR1692" s="1" t="s">
        <v>200</v>
      </c>
      <c r="AS1692" s="1" t="s">
        <v>199</v>
      </c>
      <c r="AT1692" s="1">
        <v>3.0</v>
      </c>
      <c r="AV1692" s="1" t="s">
        <v>200</v>
      </c>
      <c r="AW1692" s="1">
        <v>12943.7</v>
      </c>
      <c r="AX1692" s="1">
        <v>2013.0</v>
      </c>
      <c r="AY1692" s="1" t="s">
        <v>387</v>
      </c>
      <c r="AZ1692" s="1" t="s">
        <v>200</v>
      </c>
      <c r="BA1692" s="1" t="str">
        <f>"1209451030"</f>
        <v>1209451030</v>
      </c>
      <c r="BB1692" s="1" t="s">
        <v>200</v>
      </c>
      <c r="BC1692" s="1">
        <v>3124.0</v>
      </c>
      <c r="BD1692" s="1">
        <v>452000.0</v>
      </c>
      <c r="BE1692" s="2">
        <v>41858.0</v>
      </c>
      <c r="BF1692" s="2" t="s">
        <v>16768</v>
      </c>
      <c r="BG1692" s="1" t="s">
        <v>3524</v>
      </c>
      <c r="BH1692" s="1">
        <v>0.0</v>
      </c>
      <c r="BI1692" s="1" t="s">
        <v>429</v>
      </c>
      <c r="BJ1692" s="1" t="s">
        <v>430</v>
      </c>
      <c r="BK1692" s="1" t="s">
        <v>204</v>
      </c>
      <c r="BL1692" s="1" t="str">
        <f t="shared" ref="BL1692:BM1692" si="1112">"0"</f>
        <v>0</v>
      </c>
      <c r="BM1692" s="1" t="str">
        <f t="shared" si="1112"/>
        <v>0</v>
      </c>
      <c r="BN1692" s="1">
        <v>36.0</v>
      </c>
      <c r="BO1692" s="1">
        <v>0.0</v>
      </c>
      <c r="BQ1692" s="1">
        <v>304.0</v>
      </c>
      <c r="BR1692" s="1">
        <v>304.0</v>
      </c>
      <c r="BS1692" s="1">
        <v>304.0</v>
      </c>
      <c r="BU1692" s="1" t="s">
        <v>213</v>
      </c>
      <c r="BV1692" s="1" t="s">
        <v>206</v>
      </c>
      <c r="BW1692" s="1" t="s">
        <v>210</v>
      </c>
      <c r="BY1692" s="1" t="s">
        <v>260</v>
      </c>
      <c r="BZ1692" s="1" t="s">
        <v>209</v>
      </c>
      <c r="CA1692" s="1" t="s">
        <v>210</v>
      </c>
      <c r="CB1692" s="1" t="s">
        <v>431</v>
      </c>
      <c r="CC1692" s="1" t="s">
        <v>213</v>
      </c>
      <c r="CD1692" s="1" t="s">
        <v>206</v>
      </c>
      <c r="CE1692" s="1" t="s">
        <v>207</v>
      </c>
      <c r="CF1692" s="1" t="s">
        <v>476</v>
      </c>
      <c r="CG1692" s="1" t="s">
        <v>699</v>
      </c>
      <c r="CH1692" s="1" t="s">
        <v>209</v>
      </c>
      <c r="CI1692" s="1" t="s">
        <v>210</v>
      </c>
      <c r="CJ1692" s="1" t="s">
        <v>431</v>
      </c>
      <c r="CK1692" s="1" t="s">
        <v>329</v>
      </c>
      <c r="CL1692" s="1" t="s">
        <v>209</v>
      </c>
      <c r="CM1692" s="1" t="s">
        <v>210</v>
      </c>
      <c r="CN1692" s="1" t="s">
        <v>431</v>
      </c>
      <c r="CO1692" s="1" t="s">
        <v>329</v>
      </c>
      <c r="CP1692" s="1" t="s">
        <v>209</v>
      </c>
      <c r="CQ1692" s="1" t="s">
        <v>210</v>
      </c>
      <c r="CR1692" s="1" t="s">
        <v>431</v>
      </c>
      <c r="CS1692" s="1" t="s">
        <v>5655</v>
      </c>
      <c r="CT1692" s="1" t="s">
        <v>206</v>
      </c>
      <c r="CU1692" s="1" t="s">
        <v>207</v>
      </c>
      <c r="CV1692" s="1" t="s">
        <v>476</v>
      </c>
      <c r="CW1692" s="1" t="s">
        <v>676</v>
      </c>
      <c r="CX1692" s="1" t="s">
        <v>206</v>
      </c>
      <c r="CY1692" s="1" t="s">
        <v>210</v>
      </c>
      <c r="CZ1692" s="1" t="s">
        <v>476</v>
      </c>
      <c r="DA1692" s="1" t="s">
        <v>200</v>
      </c>
      <c r="DC1692" s="1" t="s">
        <v>435</v>
      </c>
      <c r="DD1692" s="1" t="s">
        <v>1838</v>
      </c>
      <c r="DE1692" s="1" t="s">
        <v>218</v>
      </c>
      <c r="DF1692" s="1" t="s">
        <v>745</v>
      </c>
      <c r="DG1692" s="1" t="s">
        <v>482</v>
      </c>
      <c r="DH1692" s="1" t="s">
        <v>220</v>
      </c>
      <c r="DI1692" s="1" t="s">
        <v>1604</v>
      </c>
      <c r="DJ1692" s="1" t="s">
        <v>222</v>
      </c>
      <c r="DK1692" s="1" t="s">
        <v>1555</v>
      </c>
      <c r="DL1692" s="1" t="s">
        <v>3611</v>
      </c>
      <c r="DM1692" s="1" t="s">
        <v>1919</v>
      </c>
      <c r="DN1692" s="1" t="s">
        <v>399</v>
      </c>
      <c r="DO1692" s="1" t="s">
        <v>930</v>
      </c>
      <c r="DP1692" s="1" t="s">
        <v>340</v>
      </c>
      <c r="DQ1692" s="1" t="s">
        <v>441</v>
      </c>
      <c r="DR1692" s="1" t="s">
        <v>229</v>
      </c>
      <c r="DU1692" s="1" t="s">
        <v>12159</v>
      </c>
      <c r="DV1692" s="1" t="s">
        <v>8529</v>
      </c>
      <c r="DW1692" s="1" t="s">
        <v>764</v>
      </c>
      <c r="DX1692" s="1" t="s">
        <v>234</v>
      </c>
      <c r="DY1692" s="1" t="s">
        <v>7470</v>
      </c>
      <c r="DZ1692" s="1" t="s">
        <v>8649</v>
      </c>
      <c r="EA1692" s="1" t="s">
        <v>3308</v>
      </c>
      <c r="EB1692" s="1" t="s">
        <v>492</v>
      </c>
      <c r="EC1692" s="1" t="s">
        <v>237</v>
      </c>
      <c r="ED1692" s="1" t="s">
        <v>407</v>
      </c>
      <c r="EE1692" s="1" t="s">
        <v>16769</v>
      </c>
      <c r="EG1692" s="1" t="s">
        <v>1102</v>
      </c>
      <c r="EH1692" s="1" t="s">
        <v>494</v>
      </c>
      <c r="EL1692" s="1" t="s">
        <v>269</v>
      </c>
      <c r="EM1692" s="1" t="s">
        <v>206</v>
      </c>
      <c r="EN1692" s="1" t="s">
        <v>268</v>
      </c>
      <c r="EO1692" s="1" t="s">
        <v>431</v>
      </c>
      <c r="EP1692" s="1" t="s">
        <v>1417</v>
      </c>
      <c r="EQ1692" s="1" t="s">
        <v>206</v>
      </c>
      <c r="ER1692" s="1" t="s">
        <v>210</v>
      </c>
      <c r="ES1692" s="1" t="s">
        <v>431</v>
      </c>
      <c r="EU1692" s="1" t="s">
        <v>238</v>
      </c>
      <c r="EY1692" s="1" t="s">
        <v>238</v>
      </c>
      <c r="FC1692" s="1" t="s">
        <v>238</v>
      </c>
      <c r="FF1692" s="1" t="s">
        <v>239</v>
      </c>
      <c r="FG1692" s="1" t="s">
        <v>200</v>
      </c>
      <c r="FH1692" s="1" t="s">
        <v>192</v>
      </c>
      <c r="FJ1692" s="1" t="s">
        <v>16770</v>
      </c>
      <c r="FK1692" s="1" t="s">
        <v>229</v>
      </c>
      <c r="FL1692" s="1" t="s">
        <v>4369</v>
      </c>
      <c r="FM1692" s="1">
        <v>23120.0</v>
      </c>
      <c r="FN1692" s="1" t="s">
        <v>4370</v>
      </c>
      <c r="FO1692" s="1" t="s">
        <v>16771</v>
      </c>
      <c r="FP1692" s="1">
        <v>237876.0</v>
      </c>
      <c r="FU1692" s="1" t="s">
        <v>16772</v>
      </c>
      <c r="FV1692" s="1" t="s">
        <v>200</v>
      </c>
      <c r="FW1692" s="1" t="s">
        <v>16773</v>
      </c>
      <c r="FZ1692" s="1" t="s">
        <v>229</v>
      </c>
      <c r="GA1692" s="1" t="s">
        <v>291</v>
      </c>
      <c r="GB1692" s="2">
        <v>42013.0</v>
      </c>
      <c r="GC1692" s="1" t="s">
        <v>16774</v>
      </c>
    </row>
    <row r="1693">
      <c r="A1693" s="1">
        <v>190000.0</v>
      </c>
      <c r="B1693" s="1" t="s">
        <v>185</v>
      </c>
      <c r="C1693" s="1" t="str">
        <f>"08720716"</f>
        <v>08720716</v>
      </c>
      <c r="D1693" s="1" t="s">
        <v>186</v>
      </c>
      <c r="F1693" s="1" t="str">
        <f>"8073"</f>
        <v>8073</v>
      </c>
      <c r="G1693" s="2">
        <v>41887.0</v>
      </c>
      <c r="H1693" s="1">
        <v>194500.0</v>
      </c>
      <c r="I1693" s="1">
        <v>147.0</v>
      </c>
      <c r="J1693" s="1">
        <v>194500.0</v>
      </c>
      <c r="K1693" s="2">
        <v>42033.0</v>
      </c>
      <c r="L1693" s="1">
        <v>147.0</v>
      </c>
      <c r="M1693" s="2">
        <v>42033.0</v>
      </c>
      <c r="N1693" s="1" t="s">
        <v>356</v>
      </c>
      <c r="O1693" s="2">
        <v>42072.0</v>
      </c>
      <c r="P1693" s="1">
        <v>149967.0</v>
      </c>
      <c r="Q1693" s="1">
        <v>16921.0</v>
      </c>
      <c r="R1693" s="1">
        <v>3.0</v>
      </c>
      <c r="S1693" s="1">
        <v>9105.0</v>
      </c>
      <c r="T1693" s="1" t="s">
        <v>948</v>
      </c>
      <c r="U1693" s="1" t="s">
        <v>320</v>
      </c>
      <c r="V1693" s="1" t="s">
        <v>190</v>
      </c>
      <c r="W1693" s="1">
        <v>60620.0</v>
      </c>
      <c r="Y1693" s="1" t="s">
        <v>16775</v>
      </c>
      <c r="Z1693" s="1">
        <v>1923.0</v>
      </c>
      <c r="AA1693" s="1" t="s">
        <v>192</v>
      </c>
      <c r="AB1693" s="1" t="s">
        <v>193</v>
      </c>
      <c r="AD1693" s="1" t="s">
        <v>194</v>
      </c>
      <c r="AE1693" s="1" t="s">
        <v>195</v>
      </c>
      <c r="AF1693" s="1" t="s">
        <v>659</v>
      </c>
      <c r="AH1693" s="1">
        <v>3750.0</v>
      </c>
      <c r="AI1693" s="1">
        <v>0.0861</v>
      </c>
      <c r="AK1693" s="1">
        <v>9.0</v>
      </c>
      <c r="AL1693" s="1">
        <v>4.0</v>
      </c>
      <c r="AM1693" s="1">
        <v>2.0</v>
      </c>
      <c r="AN1693" s="1">
        <v>1.0</v>
      </c>
      <c r="AO1693" s="1" t="s">
        <v>229</v>
      </c>
      <c r="AQ1693" s="1" t="s">
        <v>198</v>
      </c>
      <c r="AR1693" s="1" t="s">
        <v>192</v>
      </c>
      <c r="AS1693" s="1" t="s">
        <v>199</v>
      </c>
      <c r="AT1693" s="1">
        <v>2.0</v>
      </c>
      <c r="AV1693" s="1" t="s">
        <v>200</v>
      </c>
      <c r="AW1693" s="1">
        <v>2248.69</v>
      </c>
      <c r="AX1693" s="1">
        <v>2012.0</v>
      </c>
      <c r="AZ1693" s="1" t="s">
        <v>200</v>
      </c>
      <c r="BA1693" s="1" t="str">
        <f>"25064080020000"</f>
        <v>25064080020000</v>
      </c>
      <c r="BC1693" s="1">
        <v>1700.0</v>
      </c>
      <c r="BD1693" s="1">
        <v>190000.0</v>
      </c>
      <c r="BE1693" s="2">
        <v>41887.0</v>
      </c>
      <c r="BF1693" s="2" t="s">
        <v>16776</v>
      </c>
      <c r="BH1693" s="1">
        <v>0.0</v>
      </c>
      <c r="BK1693" s="1" t="s">
        <v>204</v>
      </c>
      <c r="BL1693" s="1" t="str">
        <f t="shared" ref="BL1693:BM1693" si="1113">"0"</f>
        <v>0</v>
      </c>
      <c r="BM1693" s="1" t="str">
        <f t="shared" si="1113"/>
        <v>0</v>
      </c>
      <c r="BN1693" s="1">
        <v>1700.0</v>
      </c>
      <c r="BO1693" s="1">
        <v>9105.0</v>
      </c>
      <c r="BQ1693" s="1">
        <v>299.0</v>
      </c>
      <c r="BR1693" s="1">
        <v>299.0</v>
      </c>
      <c r="BS1693" s="1">
        <v>299.0</v>
      </c>
      <c r="BU1693" s="1" t="s">
        <v>955</v>
      </c>
      <c r="BV1693" s="1" t="s">
        <v>206</v>
      </c>
      <c r="BW1693" s="1" t="s">
        <v>207</v>
      </c>
      <c r="BY1693" s="1" t="s">
        <v>433</v>
      </c>
      <c r="BZ1693" s="1" t="s">
        <v>209</v>
      </c>
      <c r="CA1693" s="1" t="s">
        <v>210</v>
      </c>
      <c r="CC1693" s="1" t="s">
        <v>262</v>
      </c>
      <c r="CD1693" s="1" t="s">
        <v>206</v>
      </c>
      <c r="CE1693" s="1" t="s">
        <v>207</v>
      </c>
      <c r="CG1693" s="1" t="s">
        <v>215</v>
      </c>
      <c r="CH1693" s="1" t="s">
        <v>209</v>
      </c>
      <c r="CI1693" s="1" t="s">
        <v>210</v>
      </c>
      <c r="CK1693" s="1" t="s">
        <v>392</v>
      </c>
      <c r="CL1693" s="1" t="s">
        <v>206</v>
      </c>
      <c r="CM1693" s="1" t="s">
        <v>207</v>
      </c>
      <c r="CO1693" s="1" t="s">
        <v>215</v>
      </c>
      <c r="CP1693" s="1" t="s">
        <v>206</v>
      </c>
      <c r="CQ1693" s="1" t="s">
        <v>207</v>
      </c>
      <c r="CS1693" s="1" t="s">
        <v>8771</v>
      </c>
      <c r="CT1693" s="1" t="s">
        <v>206</v>
      </c>
      <c r="CU1693" s="1" t="s">
        <v>268</v>
      </c>
      <c r="CW1693" s="1" t="s">
        <v>16777</v>
      </c>
      <c r="CX1693" s="1" t="s">
        <v>42</v>
      </c>
      <c r="CY1693" s="1" t="s">
        <v>268</v>
      </c>
      <c r="DA1693" s="1" t="s">
        <v>200</v>
      </c>
      <c r="DC1693" s="1" t="s">
        <v>216</v>
      </c>
      <c r="DE1693" s="1" t="s">
        <v>273</v>
      </c>
      <c r="DF1693" s="1" t="s">
        <v>219</v>
      </c>
      <c r="DH1693" s="1" t="s">
        <v>365</v>
      </c>
      <c r="DI1693" s="1" t="s">
        <v>366</v>
      </c>
      <c r="DJ1693" s="1" t="s">
        <v>222</v>
      </c>
      <c r="DL1693" s="1" t="s">
        <v>224</v>
      </c>
      <c r="DM1693" s="1" t="s">
        <v>229</v>
      </c>
      <c r="DQ1693" s="1" t="s">
        <v>228</v>
      </c>
      <c r="DR1693" s="1" t="s">
        <v>229</v>
      </c>
      <c r="DS1693" s="1" t="s">
        <v>230</v>
      </c>
      <c r="DV1693" s="1" t="s">
        <v>450</v>
      </c>
      <c r="DW1693" s="1" t="s">
        <v>279</v>
      </c>
      <c r="DX1693" s="1" t="s">
        <v>234</v>
      </c>
      <c r="DY1693" s="1" t="s">
        <v>553</v>
      </c>
      <c r="EA1693" s="1" t="s">
        <v>644</v>
      </c>
      <c r="EC1693" s="1" t="s">
        <v>645</v>
      </c>
      <c r="EE1693" s="1" t="s">
        <v>493</v>
      </c>
      <c r="EG1693" s="1" t="s">
        <v>450</v>
      </c>
      <c r="EL1693" s="1" t="s">
        <v>262</v>
      </c>
      <c r="EM1693" s="1" t="s">
        <v>42</v>
      </c>
      <c r="EN1693" s="1" t="s">
        <v>268</v>
      </c>
      <c r="EQ1693" s="1" t="s">
        <v>238</v>
      </c>
      <c r="EU1693" s="1" t="s">
        <v>238</v>
      </c>
      <c r="EY1693" s="1" t="s">
        <v>238</v>
      </c>
      <c r="FC1693" s="1" t="s">
        <v>238</v>
      </c>
      <c r="FF1693" s="1" t="s">
        <v>239</v>
      </c>
      <c r="FG1693" s="1" t="s">
        <v>192</v>
      </c>
      <c r="FH1693" s="1" t="s">
        <v>192</v>
      </c>
      <c r="FJ1693" s="1" t="s">
        <v>648</v>
      </c>
      <c r="FK1693" s="1" t="s">
        <v>229</v>
      </c>
      <c r="FL1693" s="1" t="s">
        <v>649</v>
      </c>
      <c r="FM1693" s="1">
        <v>60296.0</v>
      </c>
      <c r="FN1693" s="1" t="s">
        <v>650</v>
      </c>
      <c r="FO1693" s="1" t="s">
        <v>651</v>
      </c>
      <c r="FP1693" s="1">
        <v>602837.0</v>
      </c>
      <c r="FQ1693" s="1" t="s">
        <v>652</v>
      </c>
      <c r="FR1693" s="1">
        <v>602442.0</v>
      </c>
      <c r="FU1693" s="1" t="s">
        <v>653</v>
      </c>
      <c r="FV1693" s="1" t="s">
        <v>200</v>
      </c>
      <c r="FW1693" s="1" t="s">
        <v>654</v>
      </c>
      <c r="FX1693" s="1" t="s">
        <v>655</v>
      </c>
      <c r="FZ1693" s="1" t="s">
        <v>229</v>
      </c>
      <c r="GA1693" s="1" t="s">
        <v>291</v>
      </c>
      <c r="GB1693" s="2">
        <v>42074.0</v>
      </c>
      <c r="GC1693" s="1" t="s">
        <v>1372</v>
      </c>
    </row>
    <row r="1694">
      <c r="A1694" s="1">
        <v>350100.0</v>
      </c>
      <c r="B1694" s="1" t="s">
        <v>185</v>
      </c>
      <c r="C1694" s="1" t="str">
        <f>"08701031"</f>
        <v>08701031</v>
      </c>
      <c r="D1694" s="1" t="s">
        <v>186</v>
      </c>
      <c r="F1694" s="1" t="str">
        <f>"8010"</f>
        <v>8010</v>
      </c>
      <c r="G1694" s="2">
        <v>41864.0</v>
      </c>
      <c r="H1694" s="1">
        <v>365000.0</v>
      </c>
      <c r="I1694" s="1">
        <v>209.0</v>
      </c>
      <c r="J1694" s="1">
        <v>350000.0</v>
      </c>
      <c r="K1694" s="2">
        <v>42072.0</v>
      </c>
      <c r="L1694" s="1">
        <v>209.0</v>
      </c>
      <c r="M1694" s="2">
        <v>42072.0</v>
      </c>
      <c r="N1694" s="1" t="s">
        <v>187</v>
      </c>
      <c r="O1694" s="2">
        <v>42104.0</v>
      </c>
      <c r="P1694" s="1">
        <v>186076.0</v>
      </c>
      <c r="Q1694" s="1">
        <v>85240.0</v>
      </c>
      <c r="S1694" s="1">
        <v>4844.0</v>
      </c>
      <c r="T1694" s="1" t="s">
        <v>16778</v>
      </c>
      <c r="U1694" s="1" t="s">
        <v>189</v>
      </c>
      <c r="V1694" s="1" t="s">
        <v>190</v>
      </c>
      <c r="W1694" s="1">
        <v>60656.0</v>
      </c>
      <c r="Y1694" s="1" t="s">
        <v>16779</v>
      </c>
      <c r="Z1694" s="1">
        <v>1958.0</v>
      </c>
      <c r="AA1694" s="1" t="s">
        <v>192</v>
      </c>
      <c r="AB1694" s="1" t="s">
        <v>193</v>
      </c>
      <c r="AD1694" s="1" t="s">
        <v>194</v>
      </c>
      <c r="AE1694" s="1" t="s">
        <v>195</v>
      </c>
      <c r="AF1694" s="1" t="s">
        <v>196</v>
      </c>
      <c r="AH1694" s="1">
        <v>0.0</v>
      </c>
      <c r="AI1694" s="1">
        <v>0.1148</v>
      </c>
      <c r="AK1694" s="1">
        <v>8.0</v>
      </c>
      <c r="AL1694" s="1">
        <v>3.0</v>
      </c>
      <c r="AM1694" s="1">
        <v>2.0</v>
      </c>
      <c r="AN1694" s="1">
        <v>0.0</v>
      </c>
      <c r="AO1694" s="1" t="s">
        <v>198</v>
      </c>
      <c r="AQ1694" s="1" t="s">
        <v>198</v>
      </c>
      <c r="AR1694" s="1" t="s">
        <v>200</v>
      </c>
      <c r="AS1694" s="1" t="s">
        <v>199</v>
      </c>
      <c r="AT1694" s="1">
        <v>2.0</v>
      </c>
      <c r="AV1694" s="1" t="s">
        <v>200</v>
      </c>
      <c r="AW1694" s="5">
        <v>4525.3</v>
      </c>
      <c r="AX1694" s="1">
        <v>2013.0</v>
      </c>
      <c r="AZ1694" s="1" t="s">
        <v>200</v>
      </c>
      <c r="BA1694" s="1" t="str">
        <f>"13073360140000"</f>
        <v>13073360140000</v>
      </c>
      <c r="BC1694" s="1">
        <v>0.0</v>
      </c>
      <c r="BD1694" s="1">
        <v>350100.0</v>
      </c>
      <c r="BE1694" s="2">
        <v>41864.0</v>
      </c>
      <c r="BF1694" s="1" t="s">
        <v>16780</v>
      </c>
      <c r="BH1694" s="1">
        <v>0.0</v>
      </c>
      <c r="BK1694" s="1" t="s">
        <v>204</v>
      </c>
      <c r="BL1694" s="1" t="str">
        <f>"4800"</f>
        <v>4800</v>
      </c>
      <c r="BM1694" s="1" t="str">
        <f>"0"</f>
        <v>0</v>
      </c>
      <c r="BN1694" s="1">
        <v>7100.0</v>
      </c>
      <c r="BO1694" s="1">
        <v>0.0</v>
      </c>
      <c r="BQ1694" s="1">
        <v>299.0</v>
      </c>
      <c r="BR1694" s="1">
        <v>299.0</v>
      </c>
      <c r="BS1694" s="1">
        <v>299.0</v>
      </c>
      <c r="BU1694" s="1" t="s">
        <v>784</v>
      </c>
      <c r="BV1694" s="1" t="s">
        <v>206</v>
      </c>
      <c r="BW1694" s="1" t="s">
        <v>207</v>
      </c>
      <c r="BY1694" s="1" t="s">
        <v>433</v>
      </c>
      <c r="BZ1694" s="1" t="s">
        <v>206</v>
      </c>
      <c r="CA1694" s="1" t="s">
        <v>210</v>
      </c>
      <c r="CC1694" s="1" t="s">
        <v>215</v>
      </c>
      <c r="CD1694" s="1" t="s">
        <v>206</v>
      </c>
      <c r="CE1694" s="1" t="s">
        <v>207</v>
      </c>
      <c r="CG1694" s="1" t="s">
        <v>433</v>
      </c>
      <c r="CH1694" s="1" t="s">
        <v>206</v>
      </c>
      <c r="CI1694" s="1" t="s">
        <v>210</v>
      </c>
      <c r="CK1694" s="1" t="s">
        <v>699</v>
      </c>
      <c r="CL1694" s="1" t="s">
        <v>206</v>
      </c>
      <c r="CM1694" s="1" t="s">
        <v>210</v>
      </c>
      <c r="CO1694" s="1" t="s">
        <v>215</v>
      </c>
      <c r="CP1694" s="1" t="s">
        <v>42</v>
      </c>
      <c r="CQ1694" s="1" t="s">
        <v>268</v>
      </c>
      <c r="CS1694" s="1" t="s">
        <v>363</v>
      </c>
      <c r="CT1694" s="1" t="s">
        <v>206</v>
      </c>
      <c r="CU1694" s="1" t="s">
        <v>268</v>
      </c>
      <c r="CW1694" s="1" t="s">
        <v>743</v>
      </c>
      <c r="CX1694" s="1" t="s">
        <v>206</v>
      </c>
      <c r="CY1694" s="1" t="s">
        <v>207</v>
      </c>
      <c r="DA1694" s="1" t="s">
        <v>200</v>
      </c>
      <c r="DC1694" s="1" t="s">
        <v>271</v>
      </c>
      <c r="DE1694" s="1" t="s">
        <v>273</v>
      </c>
      <c r="DF1694" s="1" t="s">
        <v>619</v>
      </c>
      <c r="DH1694" s="1" t="s">
        <v>220</v>
      </c>
      <c r="DJ1694" s="1" t="s">
        <v>222</v>
      </c>
      <c r="DL1694" s="1" t="s">
        <v>224</v>
      </c>
      <c r="DM1694" s="1" t="s">
        <v>229</v>
      </c>
      <c r="DQ1694" s="1" t="s">
        <v>228</v>
      </c>
      <c r="DR1694" s="1" t="s">
        <v>229</v>
      </c>
      <c r="DV1694" s="1" t="s">
        <v>232</v>
      </c>
      <c r="DW1694" s="1" t="s">
        <v>279</v>
      </c>
      <c r="DX1694" s="1" t="s">
        <v>234</v>
      </c>
      <c r="EC1694" s="1" t="s">
        <v>645</v>
      </c>
      <c r="EM1694" s="1" t="s">
        <v>238</v>
      </c>
      <c r="EQ1694" s="1" t="s">
        <v>238</v>
      </c>
      <c r="EU1694" s="1" t="s">
        <v>238</v>
      </c>
      <c r="EY1694" s="1" t="s">
        <v>238</v>
      </c>
      <c r="FC1694" s="1" t="s">
        <v>238</v>
      </c>
      <c r="FF1694" s="1" t="s">
        <v>239</v>
      </c>
      <c r="FG1694" s="1" t="s">
        <v>192</v>
      </c>
      <c r="FH1694" s="1" t="s">
        <v>192</v>
      </c>
      <c r="FJ1694" s="1" t="s">
        <v>285</v>
      </c>
      <c r="FK1694" s="1" t="s">
        <v>229</v>
      </c>
      <c r="FL1694" s="1" t="s">
        <v>16781</v>
      </c>
      <c r="FM1694" s="1">
        <v>15198.0</v>
      </c>
      <c r="FN1694" s="1" t="s">
        <v>16782</v>
      </c>
      <c r="FO1694" s="1" t="s">
        <v>16783</v>
      </c>
      <c r="FP1694" s="1">
        <v>851564.0</v>
      </c>
      <c r="FS1694" s="1" t="s">
        <v>16784</v>
      </c>
      <c r="FU1694" s="1" t="s">
        <v>16785</v>
      </c>
      <c r="FV1694" s="1" t="s">
        <v>200</v>
      </c>
      <c r="FW1694" s="1" t="s">
        <v>16786</v>
      </c>
      <c r="FX1694" s="1" t="s">
        <v>238</v>
      </c>
      <c r="FZ1694" s="1" t="s">
        <v>229</v>
      </c>
      <c r="GA1694" s="1" t="s">
        <v>291</v>
      </c>
      <c r="GB1694" s="2">
        <v>42107.0</v>
      </c>
      <c r="GC1694" s="1" t="s">
        <v>16787</v>
      </c>
    </row>
    <row r="1695">
      <c r="A1695" s="1">
        <v>360000.0</v>
      </c>
      <c r="B1695" s="1" t="s">
        <v>185</v>
      </c>
      <c r="C1695" s="1" t="str">
        <f>"08864035"</f>
        <v>08864035</v>
      </c>
      <c r="D1695" s="1" t="s">
        <v>186</v>
      </c>
      <c r="F1695" s="1" t="str">
        <f>"8041"</f>
        <v>8041</v>
      </c>
      <c r="G1695" s="2">
        <v>42080.0</v>
      </c>
      <c r="H1695" s="1">
        <v>339000.0</v>
      </c>
      <c r="I1695" s="1">
        <v>3.0</v>
      </c>
      <c r="J1695" s="1">
        <v>339000.0</v>
      </c>
      <c r="K1695" s="2">
        <v>42082.0</v>
      </c>
      <c r="L1695" s="1">
        <v>3.0</v>
      </c>
      <c r="M1695" s="2">
        <v>42082.0</v>
      </c>
      <c r="N1695" s="1" t="s">
        <v>187</v>
      </c>
      <c r="O1695" s="2">
        <v>42132.0</v>
      </c>
      <c r="P1695" s="1">
        <v>148474.0</v>
      </c>
      <c r="Q1695" s="1">
        <v>85110.0</v>
      </c>
      <c r="S1695" s="1">
        <v>5502.0</v>
      </c>
      <c r="T1695" s="1" t="s">
        <v>3105</v>
      </c>
      <c r="U1695" s="1" t="s">
        <v>189</v>
      </c>
      <c r="V1695" s="1" t="s">
        <v>190</v>
      </c>
      <c r="W1695" s="1">
        <v>60637.0</v>
      </c>
      <c r="Y1695" s="1" t="s">
        <v>16788</v>
      </c>
      <c r="Z1695" s="1">
        <v>1964.0</v>
      </c>
      <c r="AA1695" s="1" t="s">
        <v>192</v>
      </c>
      <c r="AB1695" s="1" t="s">
        <v>467</v>
      </c>
      <c r="AD1695" s="1" t="s">
        <v>194</v>
      </c>
      <c r="AE1695" s="1" t="s">
        <v>195</v>
      </c>
      <c r="AF1695" s="1" t="s">
        <v>637</v>
      </c>
      <c r="AG1695" s="1" t="s">
        <v>16789</v>
      </c>
      <c r="AH1695" s="1" t="s">
        <v>14541</v>
      </c>
      <c r="AK1695" s="1">
        <v>8.0</v>
      </c>
      <c r="AL1695" s="1">
        <v>4.0</v>
      </c>
      <c r="AM1695" s="1">
        <v>2.0</v>
      </c>
      <c r="AN1695" s="1">
        <v>1.0</v>
      </c>
      <c r="AO1695" s="1" t="s">
        <v>198</v>
      </c>
      <c r="AQ1695" s="1" t="s">
        <v>229</v>
      </c>
      <c r="AR1695" s="1" t="s">
        <v>200</v>
      </c>
      <c r="AS1695" s="1" t="s">
        <v>828</v>
      </c>
      <c r="AU1695" s="1">
        <v>1.0</v>
      </c>
      <c r="AV1695" s="1" t="s">
        <v>200</v>
      </c>
      <c r="AW1695" s="1">
        <v>7407.0</v>
      </c>
      <c r="AX1695" s="1">
        <v>2013.0</v>
      </c>
      <c r="AY1695" s="1" t="s">
        <v>1179</v>
      </c>
      <c r="AZ1695" s="1" t="s">
        <v>200</v>
      </c>
      <c r="BA1695" s="1" t="str">
        <f>"20142041000000"</f>
        <v>20142041000000</v>
      </c>
      <c r="BC1695" s="1">
        <v>2460.0</v>
      </c>
      <c r="BD1695" s="1">
        <v>360000.0</v>
      </c>
      <c r="BE1695" s="2">
        <v>42080.0</v>
      </c>
      <c r="BF1695" s="2" t="s">
        <v>16790</v>
      </c>
      <c r="BG1695" s="1" t="s">
        <v>16791</v>
      </c>
      <c r="BH1695" s="1">
        <v>400.0</v>
      </c>
      <c r="BI1695" s="1" t="s">
        <v>16792</v>
      </c>
      <c r="BJ1695" s="1" t="s">
        <v>16793</v>
      </c>
      <c r="BK1695" s="1" t="s">
        <v>580</v>
      </c>
      <c r="BL1695" s="1" t="str">
        <f>"0"</f>
        <v>0</v>
      </c>
      <c r="BM1695" s="1" t="str">
        <f>"1500"</f>
        <v>1500</v>
      </c>
      <c r="BN1695" s="1">
        <v>0.0</v>
      </c>
      <c r="BO1695" s="1">
        <v>5400.0</v>
      </c>
      <c r="BQ1695" s="1">
        <v>299.0</v>
      </c>
      <c r="BR1695" s="1">
        <v>299.0</v>
      </c>
      <c r="BS1695" s="1">
        <v>299.0</v>
      </c>
      <c r="BU1695" s="1" t="s">
        <v>877</v>
      </c>
      <c r="BV1695" s="1" t="s">
        <v>206</v>
      </c>
      <c r="BW1695" s="1" t="s">
        <v>207</v>
      </c>
      <c r="BX1695" s="1" t="s">
        <v>229</v>
      </c>
      <c r="BY1695" s="1" t="s">
        <v>432</v>
      </c>
      <c r="BZ1695" s="1" t="s">
        <v>209</v>
      </c>
      <c r="CA1695" s="1" t="s">
        <v>588</v>
      </c>
      <c r="CB1695" s="1" t="s">
        <v>431</v>
      </c>
      <c r="CC1695" s="1" t="s">
        <v>1190</v>
      </c>
      <c r="CD1695" s="1" t="s">
        <v>206</v>
      </c>
      <c r="CE1695" s="1" t="s">
        <v>207</v>
      </c>
      <c r="CF1695" s="1" t="s">
        <v>229</v>
      </c>
      <c r="CG1695" s="1" t="s">
        <v>392</v>
      </c>
      <c r="CH1695" s="1" t="s">
        <v>209</v>
      </c>
      <c r="CI1695" s="1" t="s">
        <v>588</v>
      </c>
      <c r="CJ1695" s="1" t="s">
        <v>229</v>
      </c>
      <c r="CK1695" s="1" t="s">
        <v>543</v>
      </c>
      <c r="CL1695" s="1" t="s">
        <v>209</v>
      </c>
      <c r="CM1695" s="1" t="s">
        <v>588</v>
      </c>
      <c r="CN1695" s="1" t="s">
        <v>229</v>
      </c>
      <c r="CO1695" s="1" t="s">
        <v>1043</v>
      </c>
      <c r="CP1695" s="1" t="s">
        <v>267</v>
      </c>
      <c r="CQ1695" s="1" t="s">
        <v>617</v>
      </c>
      <c r="CR1695" s="1" t="s">
        <v>229</v>
      </c>
      <c r="CS1695" s="1" t="s">
        <v>2425</v>
      </c>
      <c r="CT1695" s="1" t="s">
        <v>206</v>
      </c>
      <c r="CU1695" s="1" t="s">
        <v>617</v>
      </c>
      <c r="CV1695" s="1" t="s">
        <v>229</v>
      </c>
      <c r="CW1695" s="1" t="s">
        <v>664</v>
      </c>
      <c r="CX1695" s="1" t="s">
        <v>267</v>
      </c>
      <c r="CY1695" s="1" t="s">
        <v>617</v>
      </c>
      <c r="CZ1695" s="1" t="s">
        <v>229</v>
      </c>
      <c r="DA1695" s="1" t="s">
        <v>200</v>
      </c>
      <c r="DC1695" s="1" t="s">
        <v>271</v>
      </c>
      <c r="DD1695" s="1" t="s">
        <v>731</v>
      </c>
      <c r="DE1695" s="1" t="s">
        <v>273</v>
      </c>
      <c r="DF1695" s="1" t="s">
        <v>619</v>
      </c>
      <c r="DG1695" s="1" t="s">
        <v>482</v>
      </c>
      <c r="DH1695" s="1" t="s">
        <v>220</v>
      </c>
      <c r="DI1695" s="1" t="s">
        <v>2420</v>
      </c>
      <c r="DJ1695" s="1" t="s">
        <v>222</v>
      </c>
      <c r="DL1695" s="1" t="s">
        <v>229</v>
      </c>
      <c r="DM1695" s="1" t="s">
        <v>229</v>
      </c>
      <c r="DO1695" s="1" t="s">
        <v>549</v>
      </c>
      <c r="DP1695" s="1" t="s">
        <v>340</v>
      </c>
      <c r="DQ1695" s="1" t="s">
        <v>228</v>
      </c>
      <c r="DR1695" s="1" t="s">
        <v>16794</v>
      </c>
      <c r="DS1695" s="1" t="s">
        <v>401</v>
      </c>
      <c r="DV1695" s="1" t="s">
        <v>1270</v>
      </c>
      <c r="DW1695" s="1" t="s">
        <v>279</v>
      </c>
      <c r="DX1695" s="1" t="s">
        <v>234</v>
      </c>
      <c r="DY1695" s="1" t="s">
        <v>16795</v>
      </c>
      <c r="DZ1695" s="1" t="s">
        <v>282</v>
      </c>
      <c r="EA1695" s="1" t="s">
        <v>2466</v>
      </c>
      <c r="EC1695" s="1" t="s">
        <v>406</v>
      </c>
      <c r="EE1695" s="1" t="s">
        <v>187</v>
      </c>
      <c r="EF1695" s="1" t="s">
        <v>16796</v>
      </c>
      <c r="EG1695" s="1" t="s">
        <v>1270</v>
      </c>
      <c r="EL1695" s="1" t="s">
        <v>263</v>
      </c>
      <c r="EM1695" s="1" t="s">
        <v>267</v>
      </c>
      <c r="EN1695" s="1" t="s">
        <v>588</v>
      </c>
      <c r="EQ1695" s="1" t="s">
        <v>238</v>
      </c>
      <c r="EU1695" s="1" t="s">
        <v>238</v>
      </c>
      <c r="EY1695" s="1" t="s">
        <v>238</v>
      </c>
      <c r="FC1695" s="1" t="s">
        <v>238</v>
      </c>
      <c r="FF1695" s="1" t="s">
        <v>239</v>
      </c>
      <c r="FG1695" s="1" t="s">
        <v>192</v>
      </c>
      <c r="FH1695" s="1" t="s">
        <v>192</v>
      </c>
      <c r="FJ1695" s="1" t="s">
        <v>799</v>
      </c>
      <c r="FK1695" s="1" t="s">
        <v>229</v>
      </c>
      <c r="FL1695" s="1" t="s">
        <v>562</v>
      </c>
      <c r="FM1695" s="1">
        <v>14703.0</v>
      </c>
      <c r="FN1695" s="1" t="s">
        <v>2570</v>
      </c>
      <c r="FO1695" s="1" t="s">
        <v>3113</v>
      </c>
      <c r="FP1695" s="1">
        <v>188925.0</v>
      </c>
      <c r="FQ1695" s="1" t="s">
        <v>3114</v>
      </c>
      <c r="FU1695" s="1" t="s">
        <v>16797</v>
      </c>
      <c r="FV1695" s="1" t="s">
        <v>200</v>
      </c>
      <c r="FW1695" s="1" t="s">
        <v>290</v>
      </c>
      <c r="FX1695" s="1" t="s">
        <v>655</v>
      </c>
      <c r="FZ1695" s="1" t="s">
        <v>229</v>
      </c>
      <c r="GA1695" s="1" t="s">
        <v>291</v>
      </c>
      <c r="GB1695" s="2">
        <v>42132.0</v>
      </c>
      <c r="GC1695" s="1" t="s">
        <v>16798</v>
      </c>
    </row>
    <row r="1696">
      <c r="A1696" s="1">
        <v>252489.0</v>
      </c>
      <c r="B1696" s="1" t="s">
        <v>185</v>
      </c>
      <c r="C1696" s="1" t="str">
        <f>"08694486"</f>
        <v>08694486</v>
      </c>
      <c r="D1696" s="1" t="s">
        <v>186</v>
      </c>
      <c r="F1696" s="1" t="str">
        <f>"140"</f>
        <v>140</v>
      </c>
      <c r="G1696" s="2">
        <v>41857.0</v>
      </c>
      <c r="H1696" s="1">
        <v>269990.0</v>
      </c>
      <c r="I1696" s="1">
        <v>102.0</v>
      </c>
      <c r="J1696" s="1">
        <v>250990.0</v>
      </c>
      <c r="K1696" s="2">
        <v>41958.0</v>
      </c>
      <c r="L1696" s="1">
        <v>102.0</v>
      </c>
      <c r="M1696" s="2">
        <v>41958.0</v>
      </c>
      <c r="N1696" s="1" t="s">
        <v>634</v>
      </c>
      <c r="O1696" s="2">
        <v>42002.0</v>
      </c>
      <c r="P1696" s="1">
        <v>99995.0</v>
      </c>
      <c r="Q1696" s="1" t="s">
        <v>947</v>
      </c>
      <c r="S1696" s="1">
        <v>1085.0</v>
      </c>
      <c r="T1696" s="1" t="s">
        <v>11638</v>
      </c>
      <c r="U1696" s="1" t="s">
        <v>569</v>
      </c>
      <c r="V1696" s="1" t="s">
        <v>4858</v>
      </c>
      <c r="W1696" s="1">
        <v>60140.0</v>
      </c>
      <c r="Y1696" s="1" t="s">
        <v>11639</v>
      </c>
      <c r="Z1696" s="1">
        <v>2014.0</v>
      </c>
      <c r="AA1696" s="1" t="s">
        <v>200</v>
      </c>
      <c r="AB1696" s="1" t="s">
        <v>193</v>
      </c>
      <c r="AC1696" s="1" t="s">
        <v>6189</v>
      </c>
      <c r="AD1696" s="1" t="s">
        <v>4860</v>
      </c>
      <c r="AE1696" s="1" t="s">
        <v>325</v>
      </c>
      <c r="AF1696" s="1" t="s">
        <v>3429</v>
      </c>
      <c r="AG1696" s="1" t="s">
        <v>11640</v>
      </c>
      <c r="AH1696" s="1" t="s">
        <v>11641</v>
      </c>
      <c r="AK1696" s="1">
        <v>11.0</v>
      </c>
      <c r="AL1696" s="1">
        <v>4.0</v>
      </c>
      <c r="AM1696" s="1">
        <v>2.0</v>
      </c>
      <c r="AN1696" s="1">
        <v>1.0</v>
      </c>
      <c r="AO1696" s="1" t="s">
        <v>198</v>
      </c>
      <c r="AQ1696" s="1" t="s">
        <v>198</v>
      </c>
      <c r="AR1696" s="1" t="s">
        <v>200</v>
      </c>
      <c r="AS1696" s="1" t="s">
        <v>199</v>
      </c>
      <c r="AT1696" s="1">
        <v>2.0</v>
      </c>
      <c r="AV1696" s="1" t="s">
        <v>200</v>
      </c>
      <c r="AW1696" s="1" t="s">
        <v>575</v>
      </c>
      <c r="AX1696" s="1">
        <v>2013.0</v>
      </c>
      <c r="AY1696" s="1" t="s">
        <v>229</v>
      </c>
      <c r="AZ1696" s="1" t="s">
        <v>200</v>
      </c>
      <c r="BA1696" s="1" t="str">
        <f>"0229453012"</f>
        <v>0229453012</v>
      </c>
      <c r="BB1696" s="1" t="s">
        <v>200</v>
      </c>
      <c r="BC1696" s="1">
        <v>2799.0</v>
      </c>
      <c r="BD1696" s="1">
        <v>252489.0</v>
      </c>
      <c r="BE1696" s="2">
        <v>41857.0</v>
      </c>
      <c r="BF1696" s="2" t="s">
        <v>16799</v>
      </c>
      <c r="BG1696" s="1" t="s">
        <v>6193</v>
      </c>
      <c r="BH1696" s="1">
        <v>62.0</v>
      </c>
      <c r="BI1696" s="1" t="s">
        <v>5040</v>
      </c>
      <c r="BJ1696" s="1" t="s">
        <v>1182</v>
      </c>
      <c r="BK1696" s="1" t="s">
        <v>474</v>
      </c>
      <c r="BL1696" s="1" t="str">
        <f t="shared" ref="BL1696:BM1696" si="1114">""</f>
        <v/>
      </c>
      <c r="BM1696" s="1" t="str">
        <f t="shared" si="1114"/>
        <v/>
      </c>
      <c r="BP1696" s="1" t="s">
        <v>11643</v>
      </c>
      <c r="BQ1696" s="1">
        <v>300.0</v>
      </c>
      <c r="BR1696" s="1">
        <v>300.0</v>
      </c>
      <c r="BS1696" s="1">
        <v>300.0</v>
      </c>
      <c r="BU1696" s="1" t="s">
        <v>1492</v>
      </c>
      <c r="BV1696" s="1" t="s">
        <v>206</v>
      </c>
      <c r="BW1696" s="1" t="s">
        <v>210</v>
      </c>
      <c r="BX1696" s="1" t="s">
        <v>229</v>
      </c>
      <c r="BY1696" s="1" t="s">
        <v>616</v>
      </c>
      <c r="BZ1696" s="1" t="s">
        <v>209</v>
      </c>
      <c r="CA1696" s="1" t="s">
        <v>210</v>
      </c>
      <c r="CC1696" s="1" t="s">
        <v>542</v>
      </c>
      <c r="CD1696" s="1" t="s">
        <v>206</v>
      </c>
      <c r="CE1696" s="1" t="s">
        <v>210</v>
      </c>
      <c r="CF1696" s="1" t="s">
        <v>229</v>
      </c>
      <c r="CG1696" s="1" t="s">
        <v>497</v>
      </c>
      <c r="CH1696" s="1" t="s">
        <v>209</v>
      </c>
      <c r="CI1696" s="1" t="s">
        <v>210</v>
      </c>
      <c r="CK1696" s="1" t="s">
        <v>830</v>
      </c>
      <c r="CL1696" s="1" t="s">
        <v>209</v>
      </c>
      <c r="CM1696" s="1" t="s">
        <v>210</v>
      </c>
      <c r="CO1696" s="1" t="s">
        <v>1064</v>
      </c>
      <c r="CP1696" s="1" t="s">
        <v>209</v>
      </c>
      <c r="CQ1696" s="1" t="s">
        <v>210</v>
      </c>
      <c r="CS1696" s="1" t="s">
        <v>1190</v>
      </c>
      <c r="CT1696" s="1" t="s">
        <v>206</v>
      </c>
      <c r="CU1696" s="1" t="s">
        <v>301</v>
      </c>
      <c r="CV1696" s="1" t="s">
        <v>229</v>
      </c>
      <c r="CW1696" s="1" t="s">
        <v>1063</v>
      </c>
      <c r="CX1696" s="1" t="s">
        <v>206</v>
      </c>
      <c r="CY1696" s="1" t="s">
        <v>210</v>
      </c>
      <c r="DA1696" s="1" t="s">
        <v>192</v>
      </c>
      <c r="DB1696" s="2">
        <v>41883.0</v>
      </c>
      <c r="DC1696" s="1" t="s">
        <v>744</v>
      </c>
      <c r="DD1696" s="1" t="s">
        <v>436</v>
      </c>
      <c r="DE1696" s="1" t="s">
        <v>273</v>
      </c>
      <c r="DF1696" s="1" t="s">
        <v>219</v>
      </c>
      <c r="DG1696" s="1" t="s">
        <v>2379</v>
      </c>
      <c r="DH1696" s="1" t="s">
        <v>220</v>
      </c>
      <c r="DI1696" s="1" t="s">
        <v>366</v>
      </c>
      <c r="DJ1696" s="1" t="s">
        <v>222</v>
      </c>
      <c r="DL1696" s="1" t="s">
        <v>223</v>
      </c>
      <c r="DM1696" s="1" t="s">
        <v>1022</v>
      </c>
      <c r="DN1696" s="1" t="s">
        <v>548</v>
      </c>
      <c r="DP1696" s="1" t="s">
        <v>276</v>
      </c>
      <c r="DQ1696" s="1" t="s">
        <v>228</v>
      </c>
      <c r="DR1696" s="1" t="s">
        <v>1980</v>
      </c>
      <c r="DS1696" s="1" t="s">
        <v>591</v>
      </c>
      <c r="DT1696" s="1" t="s">
        <v>11644</v>
      </c>
      <c r="DV1696" s="1" t="s">
        <v>11645</v>
      </c>
      <c r="DW1696" s="1" t="s">
        <v>233</v>
      </c>
      <c r="DX1696" s="1" t="s">
        <v>234</v>
      </c>
      <c r="DY1696" s="1" t="s">
        <v>2446</v>
      </c>
      <c r="EA1696" s="1" t="s">
        <v>344</v>
      </c>
      <c r="EC1696" s="1" t="s">
        <v>237</v>
      </c>
      <c r="ED1696" s="1" t="s">
        <v>5333</v>
      </c>
      <c r="EE1696" s="1" t="s">
        <v>493</v>
      </c>
      <c r="EG1696" s="1" t="s">
        <v>557</v>
      </c>
      <c r="EH1696" s="1" t="s">
        <v>449</v>
      </c>
      <c r="EI1696" s="1" t="s">
        <v>494</v>
      </c>
      <c r="EL1696" s="1" t="s">
        <v>2273</v>
      </c>
      <c r="EM1696" s="1" t="s">
        <v>209</v>
      </c>
      <c r="EN1696" s="1" t="s">
        <v>210</v>
      </c>
      <c r="EP1696" s="1" t="s">
        <v>1418</v>
      </c>
      <c r="EQ1696" s="1" t="s">
        <v>206</v>
      </c>
      <c r="ER1696" s="1" t="s">
        <v>301</v>
      </c>
      <c r="ET1696" s="1" t="s">
        <v>303</v>
      </c>
      <c r="EU1696" s="1" t="s">
        <v>206</v>
      </c>
      <c r="EV1696" s="1" t="s">
        <v>210</v>
      </c>
      <c r="EY1696" s="1" t="s">
        <v>238</v>
      </c>
      <c r="FC1696" s="1" t="s">
        <v>238</v>
      </c>
      <c r="FF1696" s="1" t="s">
        <v>239</v>
      </c>
      <c r="FG1696" s="1" t="s">
        <v>192</v>
      </c>
      <c r="FH1696" s="1" t="s">
        <v>192</v>
      </c>
      <c r="FJ1696" s="1" t="s">
        <v>347</v>
      </c>
      <c r="FK1696" s="1" t="s">
        <v>229</v>
      </c>
      <c r="FL1696" s="1" t="s">
        <v>2448</v>
      </c>
      <c r="FM1696" s="1">
        <v>92038.0</v>
      </c>
      <c r="FN1696" s="1" t="s">
        <v>2449</v>
      </c>
      <c r="FO1696" s="1" t="s">
        <v>2450</v>
      </c>
      <c r="FP1696" s="1">
        <v>21137.0</v>
      </c>
      <c r="FQ1696" s="1" t="s">
        <v>2451</v>
      </c>
      <c r="FS1696" s="1" t="s">
        <v>12259</v>
      </c>
      <c r="FT1696" s="1" t="s">
        <v>6199</v>
      </c>
      <c r="FU1696" s="1" t="s">
        <v>16800</v>
      </c>
      <c r="FV1696" s="1" t="s">
        <v>200</v>
      </c>
      <c r="FW1696" s="1" t="s">
        <v>16801</v>
      </c>
      <c r="FZ1696" s="1" t="s">
        <v>229</v>
      </c>
      <c r="GA1696" s="1" t="s">
        <v>291</v>
      </c>
      <c r="GB1696" s="2">
        <v>42025.0</v>
      </c>
      <c r="GC1696" s="1" t="s">
        <v>16802</v>
      </c>
    </row>
    <row r="1697">
      <c r="A1697" s="1">
        <v>230000.0</v>
      </c>
      <c r="B1697" s="1" t="s">
        <v>185</v>
      </c>
      <c r="C1697" s="1" t="str">
        <f>"08696553"</f>
        <v>08696553</v>
      </c>
      <c r="D1697" s="1" t="s">
        <v>186</v>
      </c>
      <c r="F1697" s="1" t="str">
        <f>"8015"</f>
        <v>8015</v>
      </c>
      <c r="G1697" s="2">
        <v>41859.0</v>
      </c>
      <c r="H1697" s="1">
        <v>249900.0</v>
      </c>
      <c r="I1697" s="1">
        <v>50.0</v>
      </c>
      <c r="J1697" s="1">
        <v>249900.0</v>
      </c>
      <c r="K1697" s="2">
        <v>41897.0</v>
      </c>
      <c r="L1697" s="1">
        <v>39.0</v>
      </c>
      <c r="M1697" s="2">
        <v>41897.0</v>
      </c>
      <c r="N1697" s="1" t="s">
        <v>187</v>
      </c>
      <c r="O1697" s="2">
        <v>42006.0</v>
      </c>
      <c r="P1697" s="1">
        <v>147299.0</v>
      </c>
      <c r="Q1697" s="1">
        <v>84237.0</v>
      </c>
      <c r="S1697" s="1">
        <v>5030.0</v>
      </c>
      <c r="T1697" s="1" t="s">
        <v>16803</v>
      </c>
      <c r="U1697" s="1" t="s">
        <v>189</v>
      </c>
      <c r="V1697" s="1" t="s">
        <v>190</v>
      </c>
      <c r="W1697" s="1">
        <v>60641.0</v>
      </c>
      <c r="Y1697" s="1" t="s">
        <v>16804</v>
      </c>
      <c r="Z1697" s="1">
        <v>1903.0</v>
      </c>
      <c r="AA1697" s="1" t="s">
        <v>192</v>
      </c>
      <c r="AB1697" s="1" t="s">
        <v>193</v>
      </c>
      <c r="AD1697" s="1" t="s">
        <v>194</v>
      </c>
      <c r="AE1697" s="1" t="s">
        <v>195</v>
      </c>
      <c r="AF1697" s="1" t="s">
        <v>196</v>
      </c>
      <c r="AH1697" s="1" t="s">
        <v>16805</v>
      </c>
      <c r="AK1697" s="1">
        <v>7.0</v>
      </c>
      <c r="AL1697" s="1">
        <v>4.0</v>
      </c>
      <c r="AM1697" s="1">
        <v>1.0</v>
      </c>
      <c r="AN1697" s="1">
        <v>1.0</v>
      </c>
      <c r="AO1697" s="1" t="s">
        <v>229</v>
      </c>
      <c r="AP1697" s="1">
        <v>0.0</v>
      </c>
      <c r="AQ1697" s="1" t="s">
        <v>198</v>
      </c>
      <c r="AR1697" s="1" t="s">
        <v>192</v>
      </c>
      <c r="AS1697" s="1" t="s">
        <v>199</v>
      </c>
      <c r="AT1697" s="1">
        <v>2.0</v>
      </c>
      <c r="AV1697" s="1" t="s">
        <v>200</v>
      </c>
      <c r="AW1697" s="1">
        <v>5131.77</v>
      </c>
      <c r="AX1697" s="1">
        <v>2013.0</v>
      </c>
      <c r="AY1697" s="1" t="s">
        <v>1179</v>
      </c>
      <c r="AZ1697" s="1" t="s">
        <v>200</v>
      </c>
      <c r="BA1697" s="1" t="str">
        <f>"13162260190000"</f>
        <v>13162260190000</v>
      </c>
      <c r="BC1697" s="1">
        <v>1696.0</v>
      </c>
      <c r="BD1697" s="1">
        <v>230000.0</v>
      </c>
      <c r="BE1697" s="2">
        <v>41859.0</v>
      </c>
      <c r="BF1697" s="2" t="s">
        <v>16806</v>
      </c>
      <c r="BG1697" s="1" t="s">
        <v>781</v>
      </c>
      <c r="BH1697" s="1">
        <v>0.0</v>
      </c>
      <c r="BI1697" s="1" t="s">
        <v>781</v>
      </c>
      <c r="BJ1697" s="1" t="s">
        <v>203</v>
      </c>
      <c r="BK1697" s="1" t="s">
        <v>204</v>
      </c>
      <c r="BL1697" s="1" t="str">
        <f>"4400"</f>
        <v>4400</v>
      </c>
      <c r="BM1697" s="1" t="str">
        <f>"0"</f>
        <v>0</v>
      </c>
      <c r="BN1697" s="1">
        <v>5016.0</v>
      </c>
      <c r="BO1697" s="1">
        <v>0.0</v>
      </c>
      <c r="BQ1697" s="1">
        <v>299.0</v>
      </c>
      <c r="BR1697" s="1">
        <v>299.0</v>
      </c>
      <c r="BS1697" s="1">
        <v>299.0</v>
      </c>
      <c r="BU1697" s="1" t="s">
        <v>208</v>
      </c>
      <c r="BV1697" s="1" t="s">
        <v>206</v>
      </c>
      <c r="BW1697" s="1" t="s">
        <v>207</v>
      </c>
      <c r="BY1697" s="1" t="s">
        <v>215</v>
      </c>
      <c r="BZ1697" s="1" t="s">
        <v>209</v>
      </c>
      <c r="CC1697" s="1" t="s">
        <v>361</v>
      </c>
      <c r="CD1697" s="1" t="s">
        <v>206</v>
      </c>
      <c r="CE1697" s="1" t="s">
        <v>207</v>
      </c>
      <c r="CG1697" s="1" t="s">
        <v>264</v>
      </c>
      <c r="CH1697" s="1" t="s">
        <v>209</v>
      </c>
      <c r="CK1697" s="1" t="s">
        <v>264</v>
      </c>
      <c r="CL1697" s="1" t="s">
        <v>209</v>
      </c>
      <c r="CO1697" s="1" t="s">
        <v>1745</v>
      </c>
      <c r="CP1697" s="1" t="s">
        <v>209</v>
      </c>
      <c r="CS1697" s="1" t="s">
        <v>433</v>
      </c>
      <c r="CT1697" s="1" t="s">
        <v>206</v>
      </c>
      <c r="CX1697" s="1" t="s">
        <v>204</v>
      </c>
      <c r="DA1697" s="1" t="s">
        <v>200</v>
      </c>
      <c r="DC1697" s="1" t="s">
        <v>642</v>
      </c>
      <c r="DE1697" s="1" t="s">
        <v>273</v>
      </c>
      <c r="DF1697" s="1" t="s">
        <v>219</v>
      </c>
      <c r="DG1697" s="1" t="s">
        <v>1317</v>
      </c>
      <c r="DH1697" s="1" t="s">
        <v>307</v>
      </c>
      <c r="DI1697" s="1" t="s">
        <v>9434</v>
      </c>
      <c r="DJ1697" s="1" t="s">
        <v>222</v>
      </c>
      <c r="DK1697" s="1" t="s">
        <v>2312</v>
      </c>
      <c r="DL1697" s="1" t="s">
        <v>223</v>
      </c>
      <c r="DM1697" s="1" t="s">
        <v>1143</v>
      </c>
      <c r="DN1697" s="1" t="s">
        <v>439</v>
      </c>
      <c r="DO1697" s="1" t="s">
        <v>549</v>
      </c>
      <c r="DP1697" s="1" t="s">
        <v>340</v>
      </c>
      <c r="DQ1697" s="1" t="s">
        <v>794</v>
      </c>
      <c r="DR1697" s="1" t="s">
        <v>229</v>
      </c>
      <c r="DS1697" s="1" t="s">
        <v>401</v>
      </c>
      <c r="DU1697" s="1" t="s">
        <v>7519</v>
      </c>
      <c r="DV1697" s="1" t="s">
        <v>232</v>
      </c>
      <c r="DW1697" s="1" t="s">
        <v>934</v>
      </c>
      <c r="DX1697" s="1" t="s">
        <v>234</v>
      </c>
      <c r="DY1697" s="1" t="s">
        <v>704</v>
      </c>
      <c r="EA1697" s="1" t="s">
        <v>3577</v>
      </c>
      <c r="EC1697" s="1" t="s">
        <v>237</v>
      </c>
      <c r="EM1697" s="1" t="s">
        <v>238</v>
      </c>
      <c r="EQ1697" s="1" t="s">
        <v>238</v>
      </c>
      <c r="EU1697" s="1" t="s">
        <v>238</v>
      </c>
      <c r="EY1697" s="1" t="s">
        <v>238</v>
      </c>
      <c r="FC1697" s="1" t="s">
        <v>238</v>
      </c>
      <c r="FF1697" s="1" t="s">
        <v>239</v>
      </c>
      <c r="FG1697" s="1" t="s">
        <v>192</v>
      </c>
      <c r="FH1697" s="1" t="s">
        <v>192</v>
      </c>
      <c r="FJ1697" s="1" t="s">
        <v>561</v>
      </c>
      <c r="FK1697" s="1" t="s">
        <v>229</v>
      </c>
      <c r="FL1697" s="1" t="s">
        <v>1124</v>
      </c>
      <c r="FM1697" s="1">
        <v>10267.0</v>
      </c>
      <c r="FN1697" s="1" t="s">
        <v>3908</v>
      </c>
      <c r="FO1697" s="1" t="s">
        <v>6128</v>
      </c>
      <c r="FP1697" s="1">
        <v>103409.0</v>
      </c>
      <c r="FQ1697" s="1" t="s">
        <v>6129</v>
      </c>
      <c r="FU1697" s="1" t="s">
        <v>16807</v>
      </c>
      <c r="FV1697" s="1" t="s">
        <v>200</v>
      </c>
      <c r="FW1697" s="1" t="s">
        <v>567</v>
      </c>
      <c r="FX1697" s="1" t="s">
        <v>246</v>
      </c>
      <c r="FZ1697" s="1" t="s">
        <v>229</v>
      </c>
      <c r="GA1697" s="1" t="s">
        <v>291</v>
      </c>
      <c r="GB1697" s="2">
        <v>42009.0</v>
      </c>
    </row>
    <row r="1698">
      <c r="A1698" s="1">
        <v>240990.0</v>
      </c>
      <c r="B1698" s="1" t="s">
        <v>185</v>
      </c>
      <c r="C1698" s="1" t="str">
        <f>"08692984"</f>
        <v>08692984</v>
      </c>
      <c r="D1698" s="1" t="s">
        <v>186</v>
      </c>
      <c r="F1698" s="1" t="str">
        <f>"140"</f>
        <v>140</v>
      </c>
      <c r="G1698" s="2">
        <v>41856.0</v>
      </c>
      <c r="H1698" s="1">
        <v>256990.0</v>
      </c>
      <c r="I1698" s="1">
        <v>89.0</v>
      </c>
      <c r="J1698" s="1">
        <v>241990.0</v>
      </c>
      <c r="K1698" s="2">
        <v>41944.0</v>
      </c>
      <c r="L1698" s="1">
        <v>89.0</v>
      </c>
      <c r="M1698" s="2">
        <v>41944.0</v>
      </c>
      <c r="N1698" s="1" t="s">
        <v>356</v>
      </c>
      <c r="O1698" s="2">
        <v>41992.0</v>
      </c>
      <c r="P1698" s="1">
        <v>99995.0</v>
      </c>
      <c r="Q1698" s="1" t="s">
        <v>947</v>
      </c>
      <c r="S1698" s="1">
        <v>1415.0</v>
      </c>
      <c r="T1698" s="1" t="s">
        <v>12256</v>
      </c>
      <c r="U1698" s="1" t="s">
        <v>569</v>
      </c>
      <c r="V1698" s="1" t="s">
        <v>4858</v>
      </c>
      <c r="W1698" s="1">
        <v>60140.0</v>
      </c>
      <c r="Y1698" s="1" t="s">
        <v>16808</v>
      </c>
      <c r="Z1698" s="1">
        <v>2014.0</v>
      </c>
      <c r="AA1698" s="1" t="s">
        <v>200</v>
      </c>
      <c r="AB1698" s="1" t="s">
        <v>193</v>
      </c>
      <c r="AC1698" s="1" t="s">
        <v>8130</v>
      </c>
      <c r="AD1698" s="1" t="s">
        <v>4860</v>
      </c>
      <c r="AE1698" s="1" t="s">
        <v>325</v>
      </c>
      <c r="AF1698" s="1" t="s">
        <v>3429</v>
      </c>
      <c r="AG1698" s="1" t="s">
        <v>11640</v>
      </c>
      <c r="AH1698" s="1" t="s">
        <v>16809</v>
      </c>
      <c r="AK1698" s="1">
        <v>10.0</v>
      </c>
      <c r="AL1698" s="1">
        <v>4.0</v>
      </c>
      <c r="AM1698" s="1">
        <v>2.0</v>
      </c>
      <c r="AN1698" s="1">
        <v>1.0</v>
      </c>
      <c r="AO1698" s="1" t="s">
        <v>198</v>
      </c>
      <c r="AQ1698" s="1" t="s">
        <v>229</v>
      </c>
      <c r="AR1698" s="1" t="s">
        <v>200</v>
      </c>
      <c r="AS1698" s="1" t="s">
        <v>199</v>
      </c>
      <c r="AT1698" s="1">
        <v>3.0</v>
      </c>
      <c r="AV1698" s="1" t="s">
        <v>200</v>
      </c>
      <c r="AW1698" s="1" t="s">
        <v>575</v>
      </c>
      <c r="AX1698" s="1">
        <v>2013.0</v>
      </c>
      <c r="AY1698" s="1" t="s">
        <v>387</v>
      </c>
      <c r="AZ1698" s="1" t="s">
        <v>200</v>
      </c>
      <c r="BA1698" s="1" t="str">
        <f>"0229326023"</f>
        <v>0229326023</v>
      </c>
      <c r="BC1698" s="1">
        <v>2799.0</v>
      </c>
      <c r="BD1698" s="1">
        <v>240990.0</v>
      </c>
      <c r="BE1698" s="2">
        <v>41856.0</v>
      </c>
      <c r="BF1698" s="2" t="s">
        <v>16810</v>
      </c>
      <c r="BG1698" s="1" t="s">
        <v>6193</v>
      </c>
      <c r="BH1698" s="1">
        <v>62.0</v>
      </c>
      <c r="BI1698" s="1" t="s">
        <v>5040</v>
      </c>
      <c r="BJ1698" s="1" t="s">
        <v>1182</v>
      </c>
      <c r="BK1698" s="1" t="s">
        <v>474</v>
      </c>
      <c r="BL1698" s="1" t="str">
        <f t="shared" ref="BL1698:BM1698" si="1115">""</f>
        <v/>
      </c>
      <c r="BM1698" s="1" t="str">
        <f t="shared" si="1115"/>
        <v/>
      </c>
      <c r="BP1698" s="1" t="s">
        <v>11667</v>
      </c>
      <c r="BQ1698" s="1">
        <v>300.0</v>
      </c>
      <c r="BR1698" s="1">
        <v>300.0</v>
      </c>
      <c r="BS1698" s="1">
        <v>300.0</v>
      </c>
      <c r="BU1698" s="1" t="s">
        <v>3307</v>
      </c>
      <c r="BV1698" s="1" t="s">
        <v>206</v>
      </c>
      <c r="BW1698" s="1" t="s">
        <v>210</v>
      </c>
      <c r="BY1698" s="1" t="s">
        <v>616</v>
      </c>
      <c r="BZ1698" s="1" t="s">
        <v>209</v>
      </c>
      <c r="CA1698" s="1" t="s">
        <v>210</v>
      </c>
      <c r="CC1698" s="1" t="s">
        <v>542</v>
      </c>
      <c r="CD1698" s="1" t="s">
        <v>206</v>
      </c>
      <c r="CE1698" s="1" t="s">
        <v>210</v>
      </c>
      <c r="CG1698" s="1" t="s">
        <v>264</v>
      </c>
      <c r="CH1698" s="1" t="s">
        <v>209</v>
      </c>
      <c r="CI1698" s="1" t="s">
        <v>210</v>
      </c>
      <c r="CK1698" s="1" t="s">
        <v>329</v>
      </c>
      <c r="CL1698" s="1" t="s">
        <v>209</v>
      </c>
      <c r="CM1698" s="1" t="s">
        <v>210</v>
      </c>
      <c r="CO1698" s="1" t="s">
        <v>329</v>
      </c>
      <c r="CP1698" s="1" t="s">
        <v>209</v>
      </c>
      <c r="CQ1698" s="1" t="s">
        <v>210</v>
      </c>
      <c r="CS1698" s="1" t="s">
        <v>262</v>
      </c>
      <c r="CT1698" s="1" t="s">
        <v>206</v>
      </c>
      <c r="CU1698" s="1" t="s">
        <v>301</v>
      </c>
      <c r="CW1698" s="1" t="s">
        <v>208</v>
      </c>
      <c r="CX1698" s="1" t="s">
        <v>206</v>
      </c>
      <c r="CY1698" s="1" t="s">
        <v>210</v>
      </c>
      <c r="DA1698" s="1" t="s">
        <v>192</v>
      </c>
      <c r="DB1698" s="2">
        <v>41888.0</v>
      </c>
      <c r="DC1698" s="1" t="s">
        <v>744</v>
      </c>
      <c r="DD1698" s="1" t="s">
        <v>1976</v>
      </c>
      <c r="DE1698" s="1" t="s">
        <v>273</v>
      </c>
      <c r="DF1698" s="1" t="s">
        <v>219</v>
      </c>
      <c r="DH1698" s="1" t="s">
        <v>220</v>
      </c>
      <c r="DI1698" s="1" t="s">
        <v>732</v>
      </c>
      <c r="DJ1698" s="1" t="s">
        <v>222</v>
      </c>
      <c r="DL1698" s="1" t="s">
        <v>520</v>
      </c>
      <c r="DM1698" s="1" t="s">
        <v>1022</v>
      </c>
      <c r="DN1698" s="1" t="s">
        <v>1023</v>
      </c>
      <c r="DP1698" s="1" t="s">
        <v>276</v>
      </c>
      <c r="DQ1698" s="1" t="s">
        <v>228</v>
      </c>
      <c r="DR1698" s="1" t="s">
        <v>1980</v>
      </c>
      <c r="DS1698" s="1" t="s">
        <v>591</v>
      </c>
      <c r="DT1698" s="1" t="s">
        <v>16811</v>
      </c>
      <c r="DV1698" s="1" t="s">
        <v>11669</v>
      </c>
      <c r="DW1698" s="1" t="s">
        <v>233</v>
      </c>
      <c r="DX1698" s="1" t="s">
        <v>309</v>
      </c>
      <c r="DY1698" s="1" t="s">
        <v>2446</v>
      </c>
      <c r="EA1698" s="1" t="s">
        <v>344</v>
      </c>
      <c r="EC1698" s="1" t="s">
        <v>237</v>
      </c>
      <c r="EG1698" s="1" t="s">
        <v>449</v>
      </c>
      <c r="EH1698" s="1" t="s">
        <v>557</v>
      </c>
      <c r="EL1698" s="1" t="s">
        <v>215</v>
      </c>
      <c r="EM1698" s="1" t="s">
        <v>206</v>
      </c>
      <c r="EN1698" s="1" t="s">
        <v>301</v>
      </c>
      <c r="EP1698" s="1" t="s">
        <v>743</v>
      </c>
      <c r="EQ1698" s="1" t="s">
        <v>209</v>
      </c>
      <c r="ER1698" s="1" t="s">
        <v>210</v>
      </c>
      <c r="EU1698" s="1" t="s">
        <v>238</v>
      </c>
      <c r="EY1698" s="1" t="s">
        <v>238</v>
      </c>
      <c r="FC1698" s="1" t="s">
        <v>238</v>
      </c>
      <c r="FF1698" s="1" t="s">
        <v>2447</v>
      </c>
      <c r="FG1698" s="1" t="s">
        <v>192</v>
      </c>
      <c r="FH1698" s="1" t="s">
        <v>192</v>
      </c>
      <c r="FJ1698" s="1" t="s">
        <v>3673</v>
      </c>
      <c r="FK1698" s="1" t="s">
        <v>229</v>
      </c>
      <c r="FL1698" s="1" t="s">
        <v>2448</v>
      </c>
      <c r="FM1698" s="1">
        <v>92038.0</v>
      </c>
      <c r="FN1698" s="1" t="s">
        <v>2449</v>
      </c>
      <c r="FO1698" s="1" t="s">
        <v>2450</v>
      </c>
      <c r="FP1698" s="1">
        <v>21137.0</v>
      </c>
      <c r="FQ1698" s="1" t="s">
        <v>2451</v>
      </c>
      <c r="FU1698" s="1" t="s">
        <v>16812</v>
      </c>
      <c r="FV1698" s="1" t="s">
        <v>200</v>
      </c>
      <c r="FW1698" s="1" t="s">
        <v>2453</v>
      </c>
      <c r="FZ1698" s="1" t="s">
        <v>229</v>
      </c>
      <c r="GA1698" s="1" t="s">
        <v>291</v>
      </c>
      <c r="GB1698" s="2">
        <v>41994.0</v>
      </c>
    </row>
    <row r="1699">
      <c r="A1699" s="1">
        <v>785000.0</v>
      </c>
      <c r="B1699" s="1" t="s">
        <v>185</v>
      </c>
      <c r="C1699" s="1" t="str">
        <f>"08797085"</f>
        <v>08797085</v>
      </c>
      <c r="D1699" s="1" t="s">
        <v>186</v>
      </c>
      <c r="F1699" s="1" t="str">
        <f>"8022"</f>
        <v>8022</v>
      </c>
      <c r="G1699" s="2">
        <v>41977.0</v>
      </c>
      <c r="H1699" s="1">
        <v>799900.0</v>
      </c>
      <c r="I1699" s="1">
        <v>84.0</v>
      </c>
      <c r="J1699" s="1">
        <v>799900.0</v>
      </c>
      <c r="K1699" s="2">
        <v>42060.0</v>
      </c>
      <c r="L1699" s="1">
        <v>84.0</v>
      </c>
      <c r="M1699" s="2">
        <v>42060.0</v>
      </c>
      <c r="N1699" s="1" t="s">
        <v>187</v>
      </c>
      <c r="O1699" s="2">
        <v>42094.0</v>
      </c>
      <c r="P1699" s="1">
        <v>110627.0</v>
      </c>
      <c r="Q1699" s="1">
        <v>18705.0</v>
      </c>
      <c r="S1699" s="1">
        <v>2222.0</v>
      </c>
      <c r="T1699" s="1" t="s">
        <v>1513</v>
      </c>
      <c r="U1699" s="1" t="s">
        <v>189</v>
      </c>
      <c r="V1699" s="1" t="s">
        <v>190</v>
      </c>
      <c r="W1699" s="1">
        <v>60647.0</v>
      </c>
      <c r="Y1699" s="1" t="s">
        <v>16813</v>
      </c>
      <c r="Z1699" s="1">
        <v>2014.0</v>
      </c>
      <c r="AA1699" s="1" t="s">
        <v>200</v>
      </c>
      <c r="AB1699" s="1" t="s">
        <v>193</v>
      </c>
      <c r="AD1699" s="1" t="s">
        <v>194</v>
      </c>
      <c r="AE1699" s="1" t="s">
        <v>195</v>
      </c>
      <c r="AF1699" s="1" t="s">
        <v>827</v>
      </c>
      <c r="AH1699" s="1" t="s">
        <v>14255</v>
      </c>
      <c r="AI1699" s="1">
        <v>0.0733</v>
      </c>
      <c r="AK1699" s="1">
        <v>9.0</v>
      </c>
      <c r="AL1699" s="1">
        <v>4.0</v>
      </c>
      <c r="AM1699" s="1">
        <v>3.0</v>
      </c>
      <c r="AN1699" s="1">
        <v>0.0</v>
      </c>
      <c r="AO1699" s="1" t="s">
        <v>198</v>
      </c>
      <c r="AQ1699" s="1" t="s">
        <v>198</v>
      </c>
      <c r="AR1699" s="1" t="s">
        <v>200</v>
      </c>
      <c r="AS1699" s="1" t="s">
        <v>199</v>
      </c>
      <c r="AT1699" s="1">
        <v>2.0</v>
      </c>
      <c r="AV1699" s="1" t="s">
        <v>200</v>
      </c>
      <c r="AW1699" s="1">
        <v>1170.0</v>
      </c>
      <c r="AX1699" s="1">
        <v>2013.0</v>
      </c>
      <c r="AY1699" s="1" t="s">
        <v>229</v>
      </c>
      <c r="AZ1699" s="1" t="s">
        <v>200</v>
      </c>
      <c r="BA1699" s="1" t="str">
        <f>"13362150130000"</f>
        <v>13362150130000</v>
      </c>
      <c r="BB1699" s="1" t="s">
        <v>200</v>
      </c>
      <c r="BC1699" s="1">
        <v>0.0</v>
      </c>
      <c r="BD1699" s="1">
        <v>785000.0</v>
      </c>
      <c r="BE1699" s="2">
        <v>41977.0</v>
      </c>
      <c r="BF1699" s="1" t="s">
        <v>16814</v>
      </c>
      <c r="BH1699" s="1">
        <v>0.0</v>
      </c>
      <c r="BK1699" s="1" t="s">
        <v>204</v>
      </c>
      <c r="BL1699" s="1" t="str">
        <f>"2222"</f>
        <v>2222</v>
      </c>
      <c r="BM1699" s="1" t="str">
        <f>"0"</f>
        <v>0</v>
      </c>
      <c r="BN1699" s="1">
        <v>2632.0</v>
      </c>
      <c r="BO1699" s="1">
        <v>0.0</v>
      </c>
      <c r="BQ1699" s="1">
        <v>299.0</v>
      </c>
      <c r="BR1699" s="1">
        <v>299.0</v>
      </c>
      <c r="BS1699" s="1">
        <v>299.0</v>
      </c>
      <c r="BU1699" s="1" t="s">
        <v>1623</v>
      </c>
      <c r="BV1699" s="1" t="s">
        <v>209</v>
      </c>
      <c r="BW1699" s="1" t="s">
        <v>207</v>
      </c>
      <c r="BY1699" s="1" t="s">
        <v>260</v>
      </c>
      <c r="BZ1699" s="1" t="s">
        <v>391</v>
      </c>
      <c r="CA1699" s="1" t="s">
        <v>210</v>
      </c>
      <c r="CC1699" s="1" t="s">
        <v>1158</v>
      </c>
      <c r="CD1699" s="1" t="s">
        <v>209</v>
      </c>
      <c r="CE1699" s="1" t="s">
        <v>207</v>
      </c>
      <c r="CG1699" s="1" t="s">
        <v>478</v>
      </c>
      <c r="CH1699" s="1" t="s">
        <v>391</v>
      </c>
      <c r="CI1699" s="1" t="s">
        <v>210</v>
      </c>
      <c r="CK1699" s="1" t="s">
        <v>582</v>
      </c>
      <c r="CL1699" s="1" t="s">
        <v>206</v>
      </c>
      <c r="CM1699" s="1" t="s">
        <v>210</v>
      </c>
      <c r="CO1699" s="1" t="s">
        <v>331</v>
      </c>
      <c r="CP1699" s="1" t="s">
        <v>206</v>
      </c>
      <c r="CQ1699" s="1" t="s">
        <v>210</v>
      </c>
      <c r="CS1699" s="1" t="s">
        <v>1395</v>
      </c>
      <c r="CT1699" s="1" t="s">
        <v>209</v>
      </c>
      <c r="CU1699" s="1" t="s">
        <v>207</v>
      </c>
      <c r="CV1699" s="1" t="s">
        <v>431</v>
      </c>
      <c r="CW1699" s="1" t="s">
        <v>5515</v>
      </c>
      <c r="CX1699" s="1" t="s">
        <v>206</v>
      </c>
      <c r="CY1699" s="1" t="s">
        <v>210</v>
      </c>
      <c r="DA1699" s="1" t="s">
        <v>192</v>
      </c>
      <c r="DB1699" s="2">
        <v>41977.0</v>
      </c>
      <c r="DC1699" s="1" t="s">
        <v>1353</v>
      </c>
      <c r="DD1699" s="1" t="s">
        <v>306</v>
      </c>
      <c r="DE1699" s="1" t="s">
        <v>1810</v>
      </c>
      <c r="DF1699" s="1" t="s">
        <v>1811</v>
      </c>
      <c r="DH1699" s="1" t="s">
        <v>307</v>
      </c>
      <c r="DI1699" s="1" t="s">
        <v>12969</v>
      </c>
      <c r="DJ1699" s="1" t="s">
        <v>1048</v>
      </c>
      <c r="DL1699" s="1" t="s">
        <v>224</v>
      </c>
      <c r="DM1699" s="1" t="s">
        <v>229</v>
      </c>
      <c r="DP1699" s="1" t="s">
        <v>340</v>
      </c>
      <c r="DQ1699" s="1" t="s">
        <v>228</v>
      </c>
      <c r="DR1699" s="1" t="s">
        <v>229</v>
      </c>
      <c r="DT1699" s="1" t="s">
        <v>16815</v>
      </c>
      <c r="DV1699" s="1" t="s">
        <v>557</v>
      </c>
      <c r="DW1699" s="1" t="s">
        <v>16816</v>
      </c>
      <c r="DX1699" s="1" t="s">
        <v>234</v>
      </c>
      <c r="EA1699" s="1" t="s">
        <v>1027</v>
      </c>
      <c r="EC1699" s="1" t="s">
        <v>406</v>
      </c>
      <c r="EE1699" s="1" t="s">
        <v>187</v>
      </c>
      <c r="EG1699" s="1" t="s">
        <v>557</v>
      </c>
      <c r="EL1699" s="1" t="s">
        <v>784</v>
      </c>
      <c r="EM1699" s="1" t="s">
        <v>42</v>
      </c>
      <c r="EN1699" s="1" t="s">
        <v>210</v>
      </c>
      <c r="EQ1699" s="1" t="s">
        <v>238</v>
      </c>
      <c r="EU1699" s="1" t="s">
        <v>238</v>
      </c>
      <c r="EY1699" s="1" t="s">
        <v>238</v>
      </c>
      <c r="FC1699" s="1" t="s">
        <v>238</v>
      </c>
      <c r="FF1699" s="1" t="s">
        <v>239</v>
      </c>
      <c r="FG1699" s="1" t="s">
        <v>192</v>
      </c>
      <c r="FH1699" s="1" t="s">
        <v>192</v>
      </c>
      <c r="FJ1699" s="1" t="s">
        <v>13455</v>
      </c>
      <c r="FK1699" s="1" t="s">
        <v>229</v>
      </c>
      <c r="FL1699" s="1" t="s">
        <v>10276</v>
      </c>
      <c r="FM1699" s="1">
        <v>23737.0</v>
      </c>
      <c r="FN1699" s="1" t="s">
        <v>10277</v>
      </c>
      <c r="FO1699" s="1" t="s">
        <v>10278</v>
      </c>
      <c r="FP1699" s="1">
        <v>231568.0</v>
      </c>
      <c r="FQ1699" s="1" t="s">
        <v>10277</v>
      </c>
      <c r="FU1699" s="1" t="s">
        <v>16817</v>
      </c>
      <c r="FV1699" s="1" t="s">
        <v>192</v>
      </c>
      <c r="FW1699" s="1" t="s">
        <v>290</v>
      </c>
      <c r="FX1699" s="1" t="s">
        <v>238</v>
      </c>
      <c r="FZ1699" s="1" t="s">
        <v>229</v>
      </c>
      <c r="GA1699" s="1" t="s">
        <v>291</v>
      </c>
      <c r="GB1699" s="2">
        <v>42096.0</v>
      </c>
      <c r="GC1699" s="1" t="s">
        <v>16818</v>
      </c>
    </row>
    <row r="1700">
      <c r="A1700" s="1">
        <v>440000.0</v>
      </c>
      <c r="B1700" s="1" t="s">
        <v>185</v>
      </c>
      <c r="C1700" s="1" t="str">
        <f>"08687782"</f>
        <v>08687782</v>
      </c>
      <c r="D1700" s="1" t="s">
        <v>186</v>
      </c>
      <c r="F1700" s="1" t="str">
        <f>"174"</f>
        <v>174</v>
      </c>
      <c r="G1700" s="2">
        <v>41850.0</v>
      </c>
      <c r="H1700" s="1">
        <v>449000.0</v>
      </c>
      <c r="I1700" s="1">
        <v>191.0</v>
      </c>
      <c r="J1700" s="1">
        <v>440000.0</v>
      </c>
      <c r="K1700" s="2">
        <v>41919.0</v>
      </c>
      <c r="L1700" s="1">
        <v>70.0</v>
      </c>
      <c r="M1700" s="2">
        <v>41919.0</v>
      </c>
      <c r="N1700" s="1" t="s">
        <v>187</v>
      </c>
      <c r="O1700" s="2">
        <v>42117.0</v>
      </c>
      <c r="P1700" s="1">
        <v>223034.0</v>
      </c>
      <c r="Q1700" s="1">
        <v>22739.0</v>
      </c>
      <c r="S1700" s="1" t="s">
        <v>16819</v>
      </c>
      <c r="T1700" s="1" t="s">
        <v>16820</v>
      </c>
      <c r="U1700" s="1" t="s">
        <v>420</v>
      </c>
      <c r="V1700" s="1" t="s">
        <v>1200</v>
      </c>
      <c r="W1700" s="1">
        <v>60175.0</v>
      </c>
      <c r="Y1700" s="1" t="s">
        <v>16821</v>
      </c>
      <c r="Z1700" s="1">
        <v>1996.0</v>
      </c>
      <c r="AA1700" s="1" t="s">
        <v>200</v>
      </c>
      <c r="AB1700" s="1" t="s">
        <v>193</v>
      </c>
      <c r="AC1700" s="1" t="s">
        <v>16822</v>
      </c>
      <c r="AD1700" s="1" t="s">
        <v>1203</v>
      </c>
      <c r="AE1700" s="1" t="s">
        <v>325</v>
      </c>
      <c r="AF1700" s="1" t="s">
        <v>1203</v>
      </c>
      <c r="AH1700" s="1" t="s">
        <v>16823</v>
      </c>
      <c r="AI1700" s="1">
        <v>1.025</v>
      </c>
      <c r="AK1700" s="1">
        <v>9.0</v>
      </c>
      <c r="AL1700" s="1">
        <v>4.0</v>
      </c>
      <c r="AM1700" s="1">
        <v>3.0</v>
      </c>
      <c r="AN1700" s="1">
        <v>1.0</v>
      </c>
      <c r="AO1700" s="1" t="s">
        <v>198</v>
      </c>
      <c r="AP1700" s="1">
        <v>1.0</v>
      </c>
      <c r="AQ1700" s="1" t="s">
        <v>198</v>
      </c>
      <c r="AR1700" s="1" t="s">
        <v>200</v>
      </c>
      <c r="AS1700" s="1" t="s">
        <v>199</v>
      </c>
      <c r="AT1700" s="1">
        <v>3.0</v>
      </c>
      <c r="AV1700" s="1" t="s">
        <v>200</v>
      </c>
      <c r="AW1700" s="1">
        <v>11612.2</v>
      </c>
      <c r="AX1700" s="1">
        <v>2013.0</v>
      </c>
      <c r="AY1700" s="1" t="s">
        <v>387</v>
      </c>
      <c r="AZ1700" s="1" t="s">
        <v>200</v>
      </c>
      <c r="BA1700" s="1" t="str">
        <f>"0909302015"</f>
        <v>0909302015</v>
      </c>
      <c r="BC1700" s="1">
        <v>3496.0</v>
      </c>
      <c r="BD1700" s="1">
        <v>440000.0</v>
      </c>
      <c r="BE1700" s="2">
        <v>41850.0</v>
      </c>
      <c r="BF1700" s="2" t="s">
        <v>16824</v>
      </c>
      <c r="BH1700" s="1">
        <v>315.0</v>
      </c>
      <c r="BK1700" s="1" t="s">
        <v>580</v>
      </c>
      <c r="BL1700" s="1" t="str">
        <f t="shared" ref="BL1700:BM1700" si="1116">""</f>
        <v/>
      </c>
      <c r="BM1700" s="1" t="str">
        <f t="shared" si="1116"/>
        <v/>
      </c>
      <c r="BQ1700" s="1">
        <v>303.0</v>
      </c>
      <c r="BR1700" s="1">
        <v>303.0</v>
      </c>
      <c r="BS1700" s="1">
        <v>303.0</v>
      </c>
      <c r="BU1700" s="1" t="s">
        <v>390</v>
      </c>
      <c r="BV1700" s="1" t="s">
        <v>206</v>
      </c>
      <c r="BW1700" s="1" t="s">
        <v>210</v>
      </c>
      <c r="BX1700" s="1" t="s">
        <v>431</v>
      </c>
      <c r="BY1700" s="1" t="s">
        <v>434</v>
      </c>
      <c r="BZ1700" s="1" t="s">
        <v>209</v>
      </c>
      <c r="CA1700" s="1" t="s">
        <v>210</v>
      </c>
      <c r="CB1700" s="1" t="s">
        <v>431</v>
      </c>
      <c r="CC1700" s="1" t="s">
        <v>432</v>
      </c>
      <c r="CD1700" s="1" t="s">
        <v>206</v>
      </c>
      <c r="CE1700" s="1" t="s">
        <v>210</v>
      </c>
      <c r="CF1700" s="1" t="s">
        <v>431</v>
      </c>
      <c r="CG1700" s="1" t="s">
        <v>433</v>
      </c>
      <c r="CH1700" s="1" t="s">
        <v>209</v>
      </c>
      <c r="CI1700" s="1" t="s">
        <v>210</v>
      </c>
      <c r="CJ1700" s="1" t="s">
        <v>431</v>
      </c>
      <c r="CK1700" s="1" t="s">
        <v>329</v>
      </c>
      <c r="CL1700" s="1" t="s">
        <v>209</v>
      </c>
      <c r="CM1700" s="1" t="s">
        <v>210</v>
      </c>
      <c r="CN1700" s="1" t="s">
        <v>1549</v>
      </c>
      <c r="CO1700" s="1" t="s">
        <v>478</v>
      </c>
      <c r="CP1700" s="1" t="s">
        <v>209</v>
      </c>
      <c r="CQ1700" s="1" t="s">
        <v>210</v>
      </c>
      <c r="CR1700" s="1" t="s">
        <v>431</v>
      </c>
      <c r="CS1700" s="1" t="s">
        <v>205</v>
      </c>
      <c r="CT1700" s="1" t="s">
        <v>206</v>
      </c>
      <c r="CU1700" s="1" t="s">
        <v>207</v>
      </c>
      <c r="CW1700" s="1" t="s">
        <v>7715</v>
      </c>
      <c r="CX1700" s="1" t="s">
        <v>206</v>
      </c>
      <c r="CY1700" s="1" t="s">
        <v>210</v>
      </c>
      <c r="CZ1700" s="1" t="s">
        <v>431</v>
      </c>
      <c r="DA1700" s="1" t="s">
        <v>200</v>
      </c>
      <c r="DC1700" s="1" t="s">
        <v>678</v>
      </c>
      <c r="DD1700" s="1" t="s">
        <v>1838</v>
      </c>
      <c r="DE1700" s="1" t="s">
        <v>273</v>
      </c>
      <c r="DF1700" s="1" t="s">
        <v>219</v>
      </c>
      <c r="DG1700" s="1" t="s">
        <v>2747</v>
      </c>
      <c r="DH1700" s="1" t="s">
        <v>856</v>
      </c>
      <c r="DI1700" s="1" t="s">
        <v>1003</v>
      </c>
      <c r="DJ1700" s="1" t="s">
        <v>857</v>
      </c>
      <c r="DL1700" s="1" t="s">
        <v>484</v>
      </c>
      <c r="DM1700" s="1" t="s">
        <v>338</v>
      </c>
      <c r="DN1700" s="1" t="s">
        <v>399</v>
      </c>
      <c r="DP1700" s="1" t="s">
        <v>340</v>
      </c>
      <c r="DQ1700" s="1" t="s">
        <v>931</v>
      </c>
      <c r="DR1700" s="1" t="s">
        <v>229</v>
      </c>
      <c r="DU1700" s="1" t="s">
        <v>550</v>
      </c>
      <c r="DV1700" s="1" t="s">
        <v>594</v>
      </c>
      <c r="DW1700" s="1" t="s">
        <v>1210</v>
      </c>
      <c r="DX1700" s="1" t="s">
        <v>234</v>
      </c>
      <c r="DY1700" s="1" t="s">
        <v>1559</v>
      </c>
      <c r="EB1700" s="1" t="s">
        <v>492</v>
      </c>
      <c r="EC1700" s="1" t="s">
        <v>237</v>
      </c>
      <c r="ED1700" s="1" t="s">
        <v>407</v>
      </c>
      <c r="EG1700" s="1" t="s">
        <v>598</v>
      </c>
      <c r="EH1700" s="1" t="s">
        <v>408</v>
      </c>
      <c r="EL1700" s="1" t="s">
        <v>212</v>
      </c>
      <c r="EM1700" s="1" t="s">
        <v>206</v>
      </c>
      <c r="EN1700" s="1" t="s">
        <v>210</v>
      </c>
      <c r="EO1700" s="1" t="s">
        <v>431</v>
      </c>
      <c r="EP1700" s="1" t="s">
        <v>211</v>
      </c>
      <c r="EQ1700" s="1" t="s">
        <v>206</v>
      </c>
      <c r="EU1700" s="1" t="s">
        <v>238</v>
      </c>
      <c r="EY1700" s="1" t="s">
        <v>238</v>
      </c>
      <c r="FC1700" s="1" t="s">
        <v>238</v>
      </c>
      <c r="FF1700" s="1" t="s">
        <v>239</v>
      </c>
      <c r="FG1700" s="1" t="s">
        <v>192</v>
      </c>
      <c r="FH1700" s="1" t="s">
        <v>192</v>
      </c>
      <c r="FJ1700" s="1" t="s">
        <v>2427</v>
      </c>
      <c r="FK1700" s="1" t="s">
        <v>1586</v>
      </c>
      <c r="FL1700" s="1" t="s">
        <v>1289</v>
      </c>
      <c r="FM1700" s="1">
        <v>349.0</v>
      </c>
      <c r="FN1700" s="1" t="s">
        <v>4164</v>
      </c>
      <c r="FO1700" s="1" t="s">
        <v>4165</v>
      </c>
      <c r="FP1700" s="1">
        <v>8087.0</v>
      </c>
      <c r="FQ1700" s="1" t="s">
        <v>4166</v>
      </c>
      <c r="FR1700" s="1">
        <v>8846.0</v>
      </c>
      <c r="FU1700" s="1" t="s">
        <v>16825</v>
      </c>
      <c r="FV1700" s="1" t="s">
        <v>200</v>
      </c>
      <c r="FW1700" s="1" t="s">
        <v>16826</v>
      </c>
      <c r="FZ1700" s="1" t="s">
        <v>229</v>
      </c>
      <c r="GA1700" s="1" t="s">
        <v>291</v>
      </c>
      <c r="GB1700" s="2">
        <v>42118.0</v>
      </c>
      <c r="GC1700" s="1" t="s">
        <v>3170</v>
      </c>
    </row>
    <row r="1701">
      <c r="A1701" s="1">
        <v>295000.0</v>
      </c>
      <c r="B1701" s="1" t="s">
        <v>185</v>
      </c>
      <c r="C1701" s="1" t="str">
        <f>"08687026"</f>
        <v>08687026</v>
      </c>
      <c r="D1701" s="1" t="s">
        <v>186</v>
      </c>
      <c r="F1701" s="1" t="str">
        <f>"178"</f>
        <v>178</v>
      </c>
      <c r="G1701" s="2">
        <v>41850.0</v>
      </c>
      <c r="H1701" s="1">
        <v>299900.0</v>
      </c>
      <c r="I1701" s="1">
        <v>95.0</v>
      </c>
      <c r="J1701" s="1">
        <v>299900.0</v>
      </c>
      <c r="K1701" s="2">
        <v>41942.0</v>
      </c>
      <c r="L1701" s="1">
        <v>95.0</v>
      </c>
      <c r="M1701" s="2">
        <v>41942.0</v>
      </c>
      <c r="N1701" s="1" t="s">
        <v>187</v>
      </c>
      <c r="O1701" s="2">
        <v>41983.0</v>
      </c>
      <c r="P1701" s="1">
        <v>237448.0</v>
      </c>
      <c r="Q1701" s="1">
        <v>24811.0</v>
      </c>
      <c r="S1701" s="1">
        <v>2349.0</v>
      </c>
      <c r="T1701" s="1" t="s">
        <v>12030</v>
      </c>
      <c r="U1701" s="1" t="s">
        <v>844</v>
      </c>
      <c r="V1701" s="1" t="s">
        <v>994</v>
      </c>
      <c r="W1701" s="1">
        <v>60178.0</v>
      </c>
      <c r="Y1701" s="1" t="s">
        <v>16827</v>
      </c>
      <c r="Z1701" s="1">
        <v>2014.0</v>
      </c>
      <c r="AA1701" s="1" t="s">
        <v>200</v>
      </c>
      <c r="AB1701" s="1" t="s">
        <v>467</v>
      </c>
      <c r="AC1701" s="1" t="s">
        <v>16828</v>
      </c>
      <c r="AD1701" s="1" t="s">
        <v>997</v>
      </c>
      <c r="AE1701" s="1" t="s">
        <v>613</v>
      </c>
      <c r="AF1701" s="1" t="s">
        <v>997</v>
      </c>
      <c r="AG1701" s="1" t="s">
        <v>16829</v>
      </c>
      <c r="AH1701" s="1" t="s">
        <v>16830</v>
      </c>
      <c r="AI1701" s="1">
        <v>0.23</v>
      </c>
      <c r="AK1701" s="1">
        <v>7.0</v>
      </c>
      <c r="AL1701" s="1">
        <v>4.0</v>
      </c>
      <c r="AM1701" s="1">
        <v>2.0</v>
      </c>
      <c r="AN1701" s="1">
        <v>1.0</v>
      </c>
      <c r="AO1701" s="1" t="s">
        <v>198</v>
      </c>
      <c r="AP1701" s="1">
        <v>1.0</v>
      </c>
      <c r="AQ1701" s="1" t="s">
        <v>198</v>
      </c>
      <c r="AR1701" s="1" t="s">
        <v>200</v>
      </c>
      <c r="AS1701" s="1" t="s">
        <v>199</v>
      </c>
      <c r="AT1701" s="1">
        <v>3.0</v>
      </c>
      <c r="AV1701" s="1" t="s">
        <v>200</v>
      </c>
      <c r="AW1701" s="1" t="s">
        <v>16831</v>
      </c>
      <c r="AX1701" s="1">
        <v>2013.0</v>
      </c>
      <c r="AY1701" s="1" t="s">
        <v>229</v>
      </c>
      <c r="AZ1701" s="1" t="s">
        <v>200</v>
      </c>
      <c r="BA1701" s="1" t="str">
        <f>"0621201007"</f>
        <v>0621201007</v>
      </c>
      <c r="BC1701" s="1">
        <v>2559.0</v>
      </c>
      <c r="BD1701" s="1">
        <v>295000.0</v>
      </c>
      <c r="BE1701" s="2">
        <v>41848.0</v>
      </c>
      <c r="BF1701" s="2" t="s">
        <v>16832</v>
      </c>
      <c r="BH1701" s="1">
        <v>80.0</v>
      </c>
      <c r="BK1701" s="1" t="s">
        <v>1952</v>
      </c>
      <c r="BL1701" s="1" t="str">
        <f t="shared" ref="BL1701:BM1701" si="1117">""</f>
        <v/>
      </c>
      <c r="BM1701" s="1" t="str">
        <f t="shared" si="1117"/>
        <v/>
      </c>
      <c r="BQ1701" s="1">
        <v>427.0</v>
      </c>
      <c r="BR1701" s="1">
        <v>427.0</v>
      </c>
      <c r="BS1701" s="1">
        <v>427.0</v>
      </c>
      <c r="BU1701" s="1" t="s">
        <v>333</v>
      </c>
      <c r="BV1701" s="1" t="s">
        <v>206</v>
      </c>
      <c r="BW1701" s="1" t="s">
        <v>207</v>
      </c>
      <c r="BY1701" s="1" t="s">
        <v>333</v>
      </c>
      <c r="BZ1701" s="1" t="s">
        <v>209</v>
      </c>
      <c r="CA1701" s="1" t="s">
        <v>210</v>
      </c>
      <c r="CC1701" s="1" t="s">
        <v>213</v>
      </c>
      <c r="CD1701" s="1" t="s">
        <v>206</v>
      </c>
      <c r="CE1701" s="1" t="s">
        <v>207</v>
      </c>
      <c r="CG1701" s="1" t="s">
        <v>208</v>
      </c>
      <c r="CH1701" s="1" t="s">
        <v>209</v>
      </c>
      <c r="CI1701" s="1" t="s">
        <v>210</v>
      </c>
      <c r="CK1701" s="1" t="s">
        <v>212</v>
      </c>
      <c r="CL1701" s="1" t="s">
        <v>209</v>
      </c>
      <c r="CM1701" s="1" t="s">
        <v>210</v>
      </c>
      <c r="CO1701" s="1" t="s">
        <v>212</v>
      </c>
      <c r="CP1701" s="1" t="s">
        <v>209</v>
      </c>
      <c r="CQ1701" s="1" t="s">
        <v>210</v>
      </c>
      <c r="CS1701" s="1" t="s">
        <v>544</v>
      </c>
      <c r="CT1701" s="1" t="s">
        <v>206</v>
      </c>
      <c r="CU1701" s="1" t="s">
        <v>207</v>
      </c>
      <c r="CX1701" s="1" t="s">
        <v>204</v>
      </c>
      <c r="DA1701" s="1" t="s">
        <v>192</v>
      </c>
      <c r="DB1701" s="2">
        <v>41913.0</v>
      </c>
      <c r="DC1701" s="1" t="s">
        <v>1353</v>
      </c>
      <c r="DD1701" s="1" t="s">
        <v>759</v>
      </c>
      <c r="DE1701" s="1" t="s">
        <v>273</v>
      </c>
      <c r="DF1701" s="1" t="s">
        <v>219</v>
      </c>
      <c r="DG1701" s="1" t="s">
        <v>337</v>
      </c>
      <c r="DH1701" s="1" t="s">
        <v>220</v>
      </c>
      <c r="DI1701" s="1" t="s">
        <v>589</v>
      </c>
      <c r="DJ1701" s="1" t="s">
        <v>222</v>
      </c>
      <c r="DL1701" s="1" t="s">
        <v>223</v>
      </c>
      <c r="DM1701" s="1" t="s">
        <v>1268</v>
      </c>
      <c r="DN1701" s="1" t="s">
        <v>485</v>
      </c>
      <c r="DP1701" s="1" t="s">
        <v>340</v>
      </c>
      <c r="DQ1701" s="1" t="s">
        <v>228</v>
      </c>
      <c r="DR1701" s="1" t="s">
        <v>588</v>
      </c>
      <c r="DS1701" s="1" t="s">
        <v>368</v>
      </c>
      <c r="DT1701" s="1" t="s">
        <v>16833</v>
      </c>
      <c r="DU1701" s="1" t="s">
        <v>487</v>
      </c>
      <c r="DV1701" s="1" t="s">
        <v>232</v>
      </c>
      <c r="DW1701" s="1" t="s">
        <v>1072</v>
      </c>
      <c r="DX1701" s="1" t="s">
        <v>588</v>
      </c>
      <c r="DY1701" s="1" t="s">
        <v>596</v>
      </c>
      <c r="DZ1701" s="1" t="s">
        <v>405</v>
      </c>
      <c r="EB1701" s="1" t="s">
        <v>684</v>
      </c>
      <c r="EC1701" s="1" t="s">
        <v>645</v>
      </c>
      <c r="ED1701" s="1" t="s">
        <v>407</v>
      </c>
      <c r="EE1701" s="1" t="s">
        <v>588</v>
      </c>
      <c r="EM1701" s="1" t="s">
        <v>238</v>
      </c>
      <c r="EQ1701" s="1" t="s">
        <v>238</v>
      </c>
      <c r="EU1701" s="1" t="s">
        <v>238</v>
      </c>
      <c r="EY1701" s="1" t="s">
        <v>238</v>
      </c>
      <c r="FC1701" s="1" t="s">
        <v>238</v>
      </c>
      <c r="FF1701" s="1" t="s">
        <v>239</v>
      </c>
      <c r="FG1701" s="1" t="s">
        <v>192</v>
      </c>
      <c r="FH1701" s="1" t="s">
        <v>192</v>
      </c>
      <c r="FJ1701" s="1" t="s">
        <v>285</v>
      </c>
      <c r="FK1701" s="1" t="s">
        <v>229</v>
      </c>
      <c r="FL1701" s="1" t="s">
        <v>1007</v>
      </c>
      <c r="FM1701" s="1">
        <v>93043.0</v>
      </c>
      <c r="FN1701" s="1" t="s">
        <v>1008</v>
      </c>
      <c r="FO1701" s="1" t="s">
        <v>12036</v>
      </c>
      <c r="FP1701" s="1">
        <v>930150.0</v>
      </c>
      <c r="FQ1701" s="1" t="s">
        <v>12037</v>
      </c>
      <c r="FR1701" s="1">
        <v>931575.0</v>
      </c>
      <c r="FU1701" s="1" t="s">
        <v>1438</v>
      </c>
      <c r="FV1701" s="1" t="s">
        <v>200</v>
      </c>
      <c r="FW1701" s="1" t="s">
        <v>16834</v>
      </c>
      <c r="FZ1701" s="1" t="s">
        <v>229</v>
      </c>
      <c r="GA1701" s="1" t="s">
        <v>247</v>
      </c>
      <c r="GB1701" s="2">
        <v>41984.0</v>
      </c>
      <c r="GC1701" s="1" t="s">
        <v>16835</v>
      </c>
    </row>
    <row r="1702">
      <c r="A1702" s="1">
        <v>225000.0</v>
      </c>
      <c r="B1702" s="1" t="s">
        <v>185</v>
      </c>
      <c r="C1702" s="1" t="str">
        <f>"08687230"</f>
        <v>08687230</v>
      </c>
      <c r="D1702" s="1" t="s">
        <v>186</v>
      </c>
      <c r="F1702" s="1" t="str">
        <f>"8074"</f>
        <v>8074</v>
      </c>
      <c r="G1702" s="2">
        <v>41850.0</v>
      </c>
      <c r="H1702" s="1">
        <v>249900.0</v>
      </c>
      <c r="I1702" s="1">
        <v>143.0</v>
      </c>
      <c r="J1702" s="1">
        <v>239900.0</v>
      </c>
      <c r="K1702" s="2">
        <v>41992.0</v>
      </c>
      <c r="L1702" s="1">
        <v>143.0</v>
      </c>
      <c r="M1702" s="2">
        <v>41992.0</v>
      </c>
      <c r="N1702" s="1" t="s">
        <v>356</v>
      </c>
      <c r="O1702" s="2">
        <v>41996.0</v>
      </c>
      <c r="P1702" s="1">
        <v>840919.0</v>
      </c>
      <c r="Q1702" s="1">
        <v>12293.0</v>
      </c>
      <c r="R1702" s="1">
        <v>5500.0</v>
      </c>
      <c r="S1702" s="1">
        <v>10629.0</v>
      </c>
      <c r="T1702" s="1" t="s">
        <v>2983</v>
      </c>
      <c r="U1702" s="1" t="s">
        <v>189</v>
      </c>
      <c r="V1702" s="1" t="s">
        <v>190</v>
      </c>
      <c r="W1702" s="1">
        <v>60655.0</v>
      </c>
      <c r="Y1702" s="1" t="s">
        <v>16836</v>
      </c>
      <c r="Z1702" s="1">
        <v>1960.0</v>
      </c>
      <c r="AA1702" s="1" t="s">
        <v>192</v>
      </c>
      <c r="AB1702" s="1" t="s">
        <v>193</v>
      </c>
      <c r="AD1702" s="1" t="s">
        <v>194</v>
      </c>
      <c r="AE1702" s="1" t="s">
        <v>195</v>
      </c>
      <c r="AF1702" s="1" t="s">
        <v>659</v>
      </c>
      <c r="AH1702" s="1" t="s">
        <v>16837</v>
      </c>
      <c r="AI1702" s="1">
        <v>0.062</v>
      </c>
      <c r="AK1702" s="1">
        <v>8.0</v>
      </c>
      <c r="AL1702" s="1">
        <v>3.0</v>
      </c>
      <c r="AM1702" s="1">
        <v>2.0</v>
      </c>
      <c r="AN1702" s="1">
        <v>0.0</v>
      </c>
      <c r="AO1702" s="1" t="s">
        <v>229</v>
      </c>
      <c r="AQ1702" s="1" t="s">
        <v>198</v>
      </c>
      <c r="AR1702" s="1" t="s">
        <v>192</v>
      </c>
      <c r="AS1702" s="1" t="s">
        <v>199</v>
      </c>
      <c r="AT1702" s="1">
        <v>2.0</v>
      </c>
      <c r="AV1702" s="1" t="s">
        <v>200</v>
      </c>
      <c r="AW1702" s="1">
        <v>2778.44</v>
      </c>
      <c r="AX1702" s="1">
        <v>2013.0</v>
      </c>
      <c r="AY1702" s="1" t="s">
        <v>229</v>
      </c>
      <c r="AZ1702" s="1" t="s">
        <v>200</v>
      </c>
      <c r="BA1702" s="1" t="str">
        <f>"24131120680000"</f>
        <v>24131120680000</v>
      </c>
      <c r="BC1702" s="1">
        <v>1060.0</v>
      </c>
      <c r="BD1702" s="1">
        <v>225000.0</v>
      </c>
      <c r="BE1702" s="2">
        <v>41850.0</v>
      </c>
      <c r="BH1702" s="1">
        <v>0.0</v>
      </c>
      <c r="BK1702" s="1" t="s">
        <v>204</v>
      </c>
      <c r="BL1702" s="1" t="str">
        <f t="shared" ref="BL1702:BM1702" si="1118">"0"</f>
        <v>0</v>
      </c>
      <c r="BM1702" s="1" t="str">
        <f t="shared" si="1118"/>
        <v>0</v>
      </c>
      <c r="BN1702" s="1">
        <v>3200.0</v>
      </c>
      <c r="BO1702" s="1">
        <v>10600.0</v>
      </c>
      <c r="BQ1702" s="1">
        <v>299.0</v>
      </c>
      <c r="BR1702" s="1">
        <v>299.0</v>
      </c>
      <c r="BS1702" s="1">
        <v>299.0</v>
      </c>
      <c r="BU1702" s="1" t="s">
        <v>1426</v>
      </c>
      <c r="BV1702" s="1" t="s">
        <v>206</v>
      </c>
      <c r="BW1702" s="1" t="s">
        <v>207</v>
      </c>
      <c r="BY1702" s="1" t="s">
        <v>262</v>
      </c>
      <c r="BZ1702" s="1" t="s">
        <v>206</v>
      </c>
      <c r="CA1702" s="1" t="s">
        <v>207</v>
      </c>
      <c r="CC1702" s="1" t="s">
        <v>798</v>
      </c>
      <c r="CD1702" s="1" t="s">
        <v>206</v>
      </c>
      <c r="CE1702" s="1" t="s">
        <v>207</v>
      </c>
      <c r="CG1702" s="1" t="s">
        <v>266</v>
      </c>
      <c r="CH1702" s="1" t="s">
        <v>206</v>
      </c>
      <c r="CI1702" s="1" t="s">
        <v>207</v>
      </c>
      <c r="CK1702" s="1" t="s">
        <v>543</v>
      </c>
      <c r="CL1702" s="1" t="s">
        <v>206</v>
      </c>
      <c r="CM1702" s="1" t="s">
        <v>207</v>
      </c>
      <c r="CO1702" s="1" t="s">
        <v>334</v>
      </c>
      <c r="CP1702" s="1" t="s">
        <v>42</v>
      </c>
      <c r="CQ1702" s="1" t="s">
        <v>268</v>
      </c>
      <c r="CS1702" s="1" t="s">
        <v>495</v>
      </c>
      <c r="CT1702" s="1" t="s">
        <v>206</v>
      </c>
      <c r="CU1702" s="1" t="s">
        <v>207</v>
      </c>
      <c r="CW1702" s="1" t="s">
        <v>10676</v>
      </c>
      <c r="CX1702" s="1" t="s">
        <v>42</v>
      </c>
      <c r="CY1702" s="1" t="s">
        <v>268</v>
      </c>
      <c r="DA1702" s="1" t="s">
        <v>200</v>
      </c>
      <c r="DC1702" s="1" t="s">
        <v>271</v>
      </c>
      <c r="DD1702" s="1" t="s">
        <v>306</v>
      </c>
      <c r="DE1702" s="1" t="s">
        <v>273</v>
      </c>
      <c r="DF1702" s="1" t="s">
        <v>219</v>
      </c>
      <c r="DG1702" s="1" t="s">
        <v>482</v>
      </c>
      <c r="DH1702" s="1" t="s">
        <v>220</v>
      </c>
      <c r="DI1702" s="1" t="s">
        <v>366</v>
      </c>
      <c r="DJ1702" s="1" t="s">
        <v>222</v>
      </c>
      <c r="DL1702" s="1" t="s">
        <v>224</v>
      </c>
      <c r="DM1702" s="1" t="s">
        <v>1143</v>
      </c>
      <c r="DO1702" s="1" t="s">
        <v>486</v>
      </c>
      <c r="DP1702" s="1" t="s">
        <v>400</v>
      </c>
      <c r="DQ1702" s="1" t="s">
        <v>228</v>
      </c>
      <c r="DR1702" s="1" t="s">
        <v>229</v>
      </c>
      <c r="DU1702" s="1" t="s">
        <v>681</v>
      </c>
      <c r="DV1702" s="1" t="s">
        <v>232</v>
      </c>
      <c r="DW1702" s="1" t="s">
        <v>279</v>
      </c>
      <c r="DX1702" s="1" t="s">
        <v>234</v>
      </c>
      <c r="DY1702" s="1" t="s">
        <v>553</v>
      </c>
      <c r="DZ1702" s="1" t="s">
        <v>343</v>
      </c>
      <c r="EA1702" s="1" t="s">
        <v>644</v>
      </c>
      <c r="EC1702" s="1" t="s">
        <v>311</v>
      </c>
      <c r="EE1702" s="1" t="s">
        <v>493</v>
      </c>
      <c r="EM1702" s="1" t="s">
        <v>238</v>
      </c>
      <c r="EQ1702" s="1" t="s">
        <v>238</v>
      </c>
      <c r="EU1702" s="1" t="s">
        <v>238</v>
      </c>
      <c r="EY1702" s="1" t="s">
        <v>238</v>
      </c>
      <c r="FC1702" s="1" t="s">
        <v>238</v>
      </c>
      <c r="FF1702" s="1" t="s">
        <v>239</v>
      </c>
      <c r="FG1702" s="1" t="s">
        <v>192</v>
      </c>
      <c r="FH1702" s="1" t="s">
        <v>192</v>
      </c>
      <c r="FJ1702" s="1" t="s">
        <v>2988</v>
      </c>
      <c r="FK1702" s="1" t="s">
        <v>229</v>
      </c>
      <c r="FL1702" s="1" t="s">
        <v>2989</v>
      </c>
      <c r="FM1702" s="1">
        <v>25888.0</v>
      </c>
      <c r="FN1702" s="1" t="s">
        <v>2990</v>
      </c>
      <c r="FO1702" s="1" t="s">
        <v>2991</v>
      </c>
      <c r="FP1702" s="1">
        <v>226116.0</v>
      </c>
      <c r="FQ1702" s="1" t="s">
        <v>2990</v>
      </c>
      <c r="FR1702" s="1">
        <v>241561.0</v>
      </c>
      <c r="FU1702" s="1" t="s">
        <v>2992</v>
      </c>
      <c r="FV1702" s="1" t="s">
        <v>200</v>
      </c>
      <c r="FW1702" s="1" t="s">
        <v>290</v>
      </c>
      <c r="FX1702" s="1" t="s">
        <v>655</v>
      </c>
      <c r="FZ1702" s="1" t="s">
        <v>2993</v>
      </c>
      <c r="GA1702" s="1" t="s">
        <v>291</v>
      </c>
      <c r="GB1702" s="2">
        <v>41996.0</v>
      </c>
    </row>
    <row r="1703">
      <c r="A1703" s="1">
        <v>113000.0</v>
      </c>
      <c r="B1703" s="1" t="s">
        <v>185</v>
      </c>
      <c r="C1703" s="1" t="str">
        <f>"08687300"</f>
        <v>08687300</v>
      </c>
      <c r="D1703" s="1" t="s">
        <v>186</v>
      </c>
      <c r="F1703" s="1" t="str">
        <f>"545"</f>
        <v>545</v>
      </c>
      <c r="G1703" s="2">
        <v>41850.0</v>
      </c>
      <c r="H1703" s="1">
        <v>109900.0</v>
      </c>
      <c r="I1703" s="1">
        <v>92.0</v>
      </c>
      <c r="J1703" s="1">
        <v>109900.0</v>
      </c>
      <c r="K1703" s="2">
        <v>41939.0</v>
      </c>
      <c r="L1703" s="1">
        <v>92.0</v>
      </c>
      <c r="M1703" s="2">
        <v>41939.0</v>
      </c>
      <c r="N1703" s="1" t="s">
        <v>356</v>
      </c>
      <c r="O1703" s="2">
        <v>41978.0</v>
      </c>
      <c r="P1703" s="1">
        <v>8543.0</v>
      </c>
      <c r="Q1703" s="1">
        <v>31360.0</v>
      </c>
      <c r="R1703" s="1">
        <v>2200.0</v>
      </c>
      <c r="S1703" s="1">
        <v>707.0</v>
      </c>
      <c r="T1703" s="1" t="s">
        <v>16838</v>
      </c>
      <c r="U1703" s="1" t="s">
        <v>320</v>
      </c>
      <c r="V1703" s="1" t="s">
        <v>3364</v>
      </c>
      <c r="W1703" s="1">
        <v>60545.0</v>
      </c>
      <c r="Y1703" s="1" t="s">
        <v>16839</v>
      </c>
      <c r="Z1703" s="1">
        <v>1976.0</v>
      </c>
      <c r="AA1703" s="1" t="s">
        <v>192</v>
      </c>
      <c r="AB1703" s="1" t="s">
        <v>193</v>
      </c>
      <c r="AD1703" s="1" t="s">
        <v>3366</v>
      </c>
      <c r="AE1703" s="1" t="s">
        <v>849</v>
      </c>
      <c r="AF1703" s="1" t="s">
        <v>3367</v>
      </c>
      <c r="AH1703" s="1" t="s">
        <v>3421</v>
      </c>
      <c r="AI1703" s="1">
        <v>0.22</v>
      </c>
      <c r="AK1703" s="1">
        <v>8.0</v>
      </c>
      <c r="AL1703" s="1">
        <v>3.0</v>
      </c>
      <c r="AM1703" s="1">
        <v>2.0</v>
      </c>
      <c r="AN1703" s="1">
        <v>1.0</v>
      </c>
      <c r="AO1703" s="1" t="s">
        <v>229</v>
      </c>
      <c r="AP1703" s="1">
        <v>1.0</v>
      </c>
      <c r="AQ1703" s="1" t="s">
        <v>198</v>
      </c>
      <c r="AR1703" s="1" t="s">
        <v>192</v>
      </c>
      <c r="AS1703" s="1" t="s">
        <v>199</v>
      </c>
      <c r="AT1703" s="1">
        <v>1.0</v>
      </c>
      <c r="AV1703" s="1" t="s">
        <v>200</v>
      </c>
      <c r="AW1703" s="1">
        <v>4267.0</v>
      </c>
      <c r="AX1703" s="1">
        <v>2013.0</v>
      </c>
      <c r="AY1703" s="1" t="s">
        <v>387</v>
      </c>
      <c r="AZ1703" s="1" t="s">
        <v>200</v>
      </c>
      <c r="BA1703" s="1" t="str">
        <f>"0122276006"</f>
        <v>0122276006</v>
      </c>
      <c r="BC1703" s="1">
        <v>1200.0</v>
      </c>
      <c r="BD1703" s="1">
        <v>113000.0</v>
      </c>
      <c r="BE1703" s="2">
        <v>41848.0</v>
      </c>
      <c r="BF1703" s="1" t="s">
        <v>16840</v>
      </c>
      <c r="BH1703" s="1">
        <v>0.0</v>
      </c>
      <c r="BK1703" s="1" t="s">
        <v>204</v>
      </c>
      <c r="BL1703" s="1" t="str">
        <f t="shared" ref="BL1703:BM1703" si="1119">""</f>
        <v/>
      </c>
      <c r="BM1703" s="1" t="str">
        <f t="shared" si="1119"/>
        <v/>
      </c>
      <c r="BQ1703" s="1">
        <v>88.0</v>
      </c>
      <c r="BR1703" s="1">
        <v>88.0</v>
      </c>
      <c r="BS1703" s="1">
        <v>88.0</v>
      </c>
      <c r="BU1703" s="1" t="s">
        <v>12565</v>
      </c>
      <c r="BV1703" s="1" t="s">
        <v>206</v>
      </c>
      <c r="BW1703" s="1" t="s">
        <v>210</v>
      </c>
      <c r="BX1703" s="1" t="s">
        <v>229</v>
      </c>
      <c r="BY1703" s="1" t="s">
        <v>1351</v>
      </c>
      <c r="BZ1703" s="1" t="s">
        <v>206</v>
      </c>
      <c r="CA1703" s="1" t="s">
        <v>207</v>
      </c>
      <c r="CB1703" s="1" t="s">
        <v>229</v>
      </c>
      <c r="CC1703" s="1" t="s">
        <v>266</v>
      </c>
      <c r="CD1703" s="1" t="s">
        <v>206</v>
      </c>
      <c r="CE1703" s="1" t="s">
        <v>617</v>
      </c>
      <c r="CF1703" s="1" t="s">
        <v>229</v>
      </c>
      <c r="CG1703" s="1" t="s">
        <v>303</v>
      </c>
      <c r="CH1703" s="1" t="s">
        <v>206</v>
      </c>
      <c r="CI1703" s="1" t="s">
        <v>207</v>
      </c>
      <c r="CJ1703" s="1" t="s">
        <v>229</v>
      </c>
      <c r="CK1703" s="1" t="s">
        <v>266</v>
      </c>
      <c r="CL1703" s="1" t="s">
        <v>206</v>
      </c>
      <c r="CM1703" s="1" t="s">
        <v>207</v>
      </c>
      <c r="CN1703" s="1" t="s">
        <v>229</v>
      </c>
      <c r="CO1703" s="1" t="s">
        <v>1351</v>
      </c>
      <c r="CP1703" s="1" t="s">
        <v>42</v>
      </c>
      <c r="CQ1703" s="1" t="s">
        <v>210</v>
      </c>
      <c r="CR1703" s="1" t="s">
        <v>229</v>
      </c>
      <c r="CS1703" s="1" t="s">
        <v>269</v>
      </c>
      <c r="CT1703" s="1" t="s">
        <v>206</v>
      </c>
      <c r="CU1703" s="1" t="s">
        <v>617</v>
      </c>
      <c r="CV1703" s="1" t="s">
        <v>229</v>
      </c>
      <c r="CW1703" s="1" t="s">
        <v>3893</v>
      </c>
      <c r="CX1703" s="1" t="s">
        <v>42</v>
      </c>
      <c r="CY1703" s="1" t="s">
        <v>210</v>
      </c>
      <c r="CZ1703" s="1" t="s">
        <v>229</v>
      </c>
      <c r="DA1703" s="1" t="s">
        <v>200</v>
      </c>
      <c r="DC1703" s="1" t="s">
        <v>395</v>
      </c>
      <c r="DD1703" s="1" t="s">
        <v>306</v>
      </c>
      <c r="DE1703" s="1" t="s">
        <v>273</v>
      </c>
      <c r="DF1703" s="1" t="s">
        <v>219</v>
      </c>
      <c r="DH1703" s="1" t="s">
        <v>220</v>
      </c>
      <c r="DJ1703" s="1" t="s">
        <v>222</v>
      </c>
      <c r="DK1703" s="1" t="s">
        <v>223</v>
      </c>
      <c r="DL1703" s="1" t="s">
        <v>858</v>
      </c>
      <c r="DM1703" s="1" t="s">
        <v>338</v>
      </c>
      <c r="DP1703" s="1" t="s">
        <v>340</v>
      </c>
      <c r="DQ1703" s="1" t="s">
        <v>228</v>
      </c>
      <c r="DR1703" s="1" t="s">
        <v>229</v>
      </c>
      <c r="DV1703" s="1" t="s">
        <v>232</v>
      </c>
      <c r="DW1703" s="1" t="s">
        <v>667</v>
      </c>
      <c r="DX1703" s="1" t="s">
        <v>234</v>
      </c>
      <c r="EA1703" s="1" t="s">
        <v>683</v>
      </c>
      <c r="EB1703" s="1" t="s">
        <v>863</v>
      </c>
      <c r="EC1703" s="1" t="s">
        <v>685</v>
      </c>
      <c r="EM1703" s="1" t="s">
        <v>238</v>
      </c>
      <c r="EQ1703" s="1" t="s">
        <v>238</v>
      </c>
      <c r="EU1703" s="1" t="s">
        <v>238</v>
      </c>
      <c r="EY1703" s="1" t="s">
        <v>238</v>
      </c>
      <c r="FC1703" s="1" t="s">
        <v>238</v>
      </c>
      <c r="FF1703" s="1" t="s">
        <v>239</v>
      </c>
      <c r="FG1703" s="1" t="s">
        <v>192</v>
      </c>
      <c r="FH1703" s="1" t="s">
        <v>192</v>
      </c>
      <c r="FJ1703" s="1" t="s">
        <v>770</v>
      </c>
      <c r="FK1703" s="1" t="s">
        <v>229</v>
      </c>
      <c r="FL1703" s="1" t="s">
        <v>7436</v>
      </c>
      <c r="FM1703" s="1">
        <v>79988.0</v>
      </c>
      <c r="FN1703" s="1" t="s">
        <v>7437</v>
      </c>
      <c r="FO1703" s="1" t="s">
        <v>7438</v>
      </c>
      <c r="FP1703" s="1">
        <v>703106.0</v>
      </c>
      <c r="FQ1703" s="1" t="s">
        <v>7439</v>
      </c>
      <c r="FU1703" s="1" t="s">
        <v>710</v>
      </c>
      <c r="FV1703" s="1" t="s">
        <v>200</v>
      </c>
      <c r="FW1703" s="1" t="s">
        <v>3734</v>
      </c>
      <c r="FX1703" s="1" t="s">
        <v>1739</v>
      </c>
      <c r="FZ1703" s="1" t="s">
        <v>229</v>
      </c>
      <c r="GA1703" s="1" t="s">
        <v>291</v>
      </c>
      <c r="GB1703" s="2">
        <v>41981.0</v>
      </c>
      <c r="GC1703" s="1" t="s">
        <v>16841</v>
      </c>
    </row>
    <row r="1704">
      <c r="A1704" s="1">
        <v>61000.0</v>
      </c>
      <c r="B1704" s="1" t="s">
        <v>185</v>
      </c>
      <c r="C1704" s="1" t="str">
        <f>"08688112"</f>
        <v>08688112</v>
      </c>
      <c r="D1704" s="1" t="s">
        <v>186</v>
      </c>
      <c r="F1704" s="1" t="str">
        <f>"115"</f>
        <v>115</v>
      </c>
      <c r="G1704" s="2">
        <v>41850.0</v>
      </c>
      <c r="H1704" s="1">
        <v>64000.0</v>
      </c>
      <c r="I1704" s="1">
        <v>24.0</v>
      </c>
      <c r="J1704" s="1">
        <v>64000.0</v>
      </c>
      <c r="K1704" s="2">
        <v>41873.0</v>
      </c>
      <c r="L1704" s="1">
        <v>24.0</v>
      </c>
      <c r="M1704" s="2">
        <v>41873.0</v>
      </c>
      <c r="N1704" s="1" t="s">
        <v>356</v>
      </c>
      <c r="O1704" s="2">
        <v>41992.0</v>
      </c>
      <c r="P1704" s="1">
        <v>930256.0</v>
      </c>
      <c r="Q1704" s="1">
        <v>93094.0</v>
      </c>
      <c r="S1704" s="1">
        <v>621.0</v>
      </c>
      <c r="T1704" s="1" t="s">
        <v>14601</v>
      </c>
      <c r="U1704" s="1" t="s">
        <v>320</v>
      </c>
      <c r="V1704" s="1" t="s">
        <v>610</v>
      </c>
      <c r="W1704" s="1">
        <v>60115.0</v>
      </c>
      <c r="Y1704" s="1" t="s">
        <v>16842</v>
      </c>
      <c r="Z1704" s="1">
        <v>1928.0</v>
      </c>
      <c r="AA1704" s="1" t="s">
        <v>192</v>
      </c>
      <c r="AB1704" s="1" t="s">
        <v>193</v>
      </c>
      <c r="AD1704" s="1" t="s">
        <v>612</v>
      </c>
      <c r="AE1704" s="1" t="s">
        <v>613</v>
      </c>
      <c r="AF1704" s="1" t="s">
        <v>612</v>
      </c>
      <c r="AH1704" s="1" t="s">
        <v>7981</v>
      </c>
      <c r="AI1704" s="1">
        <v>0.1722</v>
      </c>
      <c r="AK1704" s="1">
        <v>8.0</v>
      </c>
      <c r="AL1704" s="1">
        <v>4.0</v>
      </c>
      <c r="AM1704" s="1">
        <v>2.0</v>
      </c>
      <c r="AN1704" s="1">
        <v>0.0</v>
      </c>
      <c r="AO1704" s="1" t="s">
        <v>198</v>
      </c>
      <c r="AP1704" s="1">
        <v>1.0</v>
      </c>
      <c r="AQ1704" s="1" t="s">
        <v>198</v>
      </c>
      <c r="AR1704" s="1" t="s">
        <v>200</v>
      </c>
      <c r="AS1704" s="1" t="s">
        <v>199</v>
      </c>
      <c r="AT1704" s="1">
        <v>2.0</v>
      </c>
      <c r="AV1704" s="1" t="s">
        <v>200</v>
      </c>
      <c r="AW1704" s="1">
        <v>6125.0</v>
      </c>
      <c r="AX1704" s="1">
        <v>2013.0</v>
      </c>
      <c r="AY1704" s="1" t="s">
        <v>229</v>
      </c>
      <c r="AZ1704" s="1" t="s">
        <v>545</v>
      </c>
      <c r="BA1704" s="1" t="str">
        <f>"0823205011"</f>
        <v>0823205011</v>
      </c>
      <c r="BB1704" s="1" t="s">
        <v>200</v>
      </c>
      <c r="BC1704" s="1">
        <v>1764.0</v>
      </c>
      <c r="BD1704" s="1">
        <v>61000.0</v>
      </c>
      <c r="BE1704" s="2">
        <v>41850.0</v>
      </c>
      <c r="BF1704" s="2" t="s">
        <v>16843</v>
      </c>
      <c r="BH1704" s="1">
        <v>0.0</v>
      </c>
      <c r="BK1704" s="1" t="s">
        <v>204</v>
      </c>
      <c r="BL1704" s="1" t="str">
        <f t="shared" ref="BL1704:BM1704" si="1120">""</f>
        <v/>
      </c>
      <c r="BM1704" s="1" t="str">
        <f t="shared" si="1120"/>
        <v/>
      </c>
      <c r="BQ1704" s="1">
        <v>428.0</v>
      </c>
      <c r="BR1704" s="1">
        <v>428.0</v>
      </c>
      <c r="BS1704" s="1">
        <v>428.0</v>
      </c>
      <c r="BU1704" s="1" t="s">
        <v>2849</v>
      </c>
      <c r="BV1704" s="1" t="s">
        <v>206</v>
      </c>
      <c r="BW1704" s="1" t="s">
        <v>207</v>
      </c>
      <c r="BY1704" s="1" t="s">
        <v>3045</v>
      </c>
      <c r="BZ1704" s="1" t="s">
        <v>209</v>
      </c>
      <c r="CA1704" s="1" t="s">
        <v>210</v>
      </c>
      <c r="CC1704" s="1" t="s">
        <v>699</v>
      </c>
      <c r="CD1704" s="1" t="s">
        <v>206</v>
      </c>
      <c r="CE1704" s="1" t="s">
        <v>268</v>
      </c>
      <c r="CG1704" s="1" t="s">
        <v>663</v>
      </c>
      <c r="CH1704" s="1" t="s">
        <v>209</v>
      </c>
      <c r="CI1704" s="1" t="s">
        <v>207</v>
      </c>
      <c r="CK1704" s="1" t="s">
        <v>663</v>
      </c>
      <c r="CL1704" s="1" t="s">
        <v>209</v>
      </c>
      <c r="CM1704" s="1" t="s">
        <v>207</v>
      </c>
      <c r="CO1704" s="1" t="s">
        <v>1183</v>
      </c>
      <c r="CP1704" s="1" t="s">
        <v>206</v>
      </c>
      <c r="CQ1704" s="1" t="s">
        <v>207</v>
      </c>
      <c r="CS1704" s="1" t="s">
        <v>925</v>
      </c>
      <c r="CT1704" s="1" t="s">
        <v>206</v>
      </c>
      <c r="CU1704" s="1" t="s">
        <v>268</v>
      </c>
      <c r="CW1704" s="1" t="s">
        <v>3271</v>
      </c>
      <c r="CX1704" s="1" t="s">
        <v>42</v>
      </c>
      <c r="DA1704" s="1" t="s">
        <v>200</v>
      </c>
      <c r="DC1704" s="1" t="s">
        <v>785</v>
      </c>
      <c r="DD1704" s="1" t="s">
        <v>518</v>
      </c>
      <c r="DE1704" s="1" t="s">
        <v>273</v>
      </c>
      <c r="DF1704" s="1" t="s">
        <v>219</v>
      </c>
      <c r="DH1704" s="1" t="s">
        <v>220</v>
      </c>
      <c r="DJ1704" s="1" t="s">
        <v>222</v>
      </c>
      <c r="DL1704" s="1" t="s">
        <v>858</v>
      </c>
      <c r="DM1704" s="1" t="s">
        <v>229</v>
      </c>
      <c r="DQ1704" s="1" t="s">
        <v>441</v>
      </c>
      <c r="DR1704" s="1" t="s">
        <v>229</v>
      </c>
      <c r="DU1704" s="1" t="s">
        <v>2550</v>
      </c>
      <c r="DV1704" s="1" t="s">
        <v>232</v>
      </c>
      <c r="DW1704" s="1" t="s">
        <v>279</v>
      </c>
      <c r="DX1704" s="1" t="s">
        <v>234</v>
      </c>
      <c r="DY1704" s="1" t="s">
        <v>987</v>
      </c>
      <c r="EC1704" s="1" t="s">
        <v>237</v>
      </c>
      <c r="EM1704" s="1" t="s">
        <v>238</v>
      </c>
      <c r="EQ1704" s="1" t="s">
        <v>238</v>
      </c>
      <c r="EU1704" s="1" t="s">
        <v>238</v>
      </c>
      <c r="EY1704" s="1" t="s">
        <v>238</v>
      </c>
      <c r="FC1704" s="1" t="s">
        <v>238</v>
      </c>
      <c r="FF1704" s="1" t="s">
        <v>239</v>
      </c>
      <c r="FG1704" s="1" t="s">
        <v>192</v>
      </c>
      <c r="FH1704" s="1" t="s">
        <v>192</v>
      </c>
      <c r="FJ1704" s="1" t="s">
        <v>16844</v>
      </c>
      <c r="FK1704" s="1" t="s">
        <v>229</v>
      </c>
      <c r="FL1704" s="1" t="s">
        <v>3578</v>
      </c>
      <c r="FM1704" s="1">
        <v>25401.0</v>
      </c>
      <c r="FN1704" s="1" t="s">
        <v>3579</v>
      </c>
      <c r="FO1704" s="1" t="s">
        <v>3580</v>
      </c>
      <c r="FP1704" s="1">
        <v>231228.0</v>
      </c>
      <c r="FQ1704" s="1" t="s">
        <v>3579</v>
      </c>
      <c r="FR1704" s="1">
        <v>228582.0</v>
      </c>
      <c r="FU1704" s="1" t="s">
        <v>16845</v>
      </c>
      <c r="FV1704" s="1" t="s">
        <v>200</v>
      </c>
      <c r="FW1704" s="1" t="s">
        <v>16846</v>
      </c>
      <c r="FX1704" s="1" t="s">
        <v>238</v>
      </c>
      <c r="FZ1704" s="1" t="s">
        <v>229</v>
      </c>
      <c r="GA1704" s="1" t="s">
        <v>291</v>
      </c>
      <c r="GB1704" s="2">
        <v>41995.0</v>
      </c>
      <c r="GC1704" s="1" t="s">
        <v>16847</v>
      </c>
    </row>
    <row r="1705">
      <c r="A1705" s="1">
        <v>324500.0</v>
      </c>
      <c r="B1705" s="1" t="s">
        <v>185</v>
      </c>
      <c r="C1705" s="1" t="str">
        <f>"08694638"</f>
        <v>08694638</v>
      </c>
      <c r="D1705" s="1" t="s">
        <v>186</v>
      </c>
      <c r="F1705" s="1" t="str">
        <f>"174"</f>
        <v>174</v>
      </c>
      <c r="G1705" s="2">
        <v>41857.0</v>
      </c>
      <c r="H1705" s="1">
        <v>339500.0</v>
      </c>
      <c r="I1705" s="1">
        <v>109.0</v>
      </c>
      <c r="J1705" s="1">
        <v>335000.0</v>
      </c>
      <c r="K1705" s="2">
        <v>41965.0</v>
      </c>
      <c r="L1705" s="1">
        <v>109.0</v>
      </c>
      <c r="M1705" s="2">
        <v>41965.0</v>
      </c>
      <c r="N1705" s="1" t="s">
        <v>187</v>
      </c>
      <c r="O1705" s="2">
        <v>42052.0</v>
      </c>
      <c r="P1705" s="1">
        <v>254114.0</v>
      </c>
      <c r="Q1705" s="1">
        <v>25005.0</v>
      </c>
      <c r="S1705" s="1" t="s">
        <v>16848</v>
      </c>
      <c r="T1705" s="1" t="s">
        <v>16849</v>
      </c>
      <c r="U1705" s="1" t="s">
        <v>420</v>
      </c>
      <c r="V1705" s="1" t="s">
        <v>1200</v>
      </c>
      <c r="W1705" s="1">
        <v>60175.0</v>
      </c>
      <c r="Y1705" s="1" t="s">
        <v>16850</v>
      </c>
      <c r="Z1705" s="1">
        <v>1979.0</v>
      </c>
      <c r="AA1705" s="1" t="s">
        <v>200</v>
      </c>
      <c r="AB1705" s="1" t="s">
        <v>467</v>
      </c>
      <c r="AC1705" s="1" t="s">
        <v>7845</v>
      </c>
      <c r="AD1705" s="1" t="s">
        <v>1089</v>
      </c>
      <c r="AE1705" s="1" t="s">
        <v>325</v>
      </c>
      <c r="AF1705" s="1" t="s">
        <v>1632</v>
      </c>
      <c r="AG1705" s="1" t="s">
        <v>752</v>
      </c>
      <c r="AH1705" s="1" t="s">
        <v>16851</v>
      </c>
      <c r="AI1705" s="1">
        <v>0.61</v>
      </c>
      <c r="AK1705" s="1">
        <v>10.0</v>
      </c>
      <c r="AL1705" s="1">
        <v>4.0</v>
      </c>
      <c r="AM1705" s="1">
        <v>2.0</v>
      </c>
      <c r="AN1705" s="1">
        <v>1.0</v>
      </c>
      <c r="AO1705" s="1" t="s">
        <v>198</v>
      </c>
      <c r="AP1705" s="1">
        <v>2.0</v>
      </c>
      <c r="AQ1705" s="1" t="s">
        <v>1314</v>
      </c>
      <c r="AR1705" s="1" t="s">
        <v>200</v>
      </c>
      <c r="AS1705" s="1" t="s">
        <v>199</v>
      </c>
      <c r="AT1705" s="1">
        <v>2.0</v>
      </c>
      <c r="AV1705" s="1" t="s">
        <v>200</v>
      </c>
      <c r="AW1705" s="1">
        <v>10638.0</v>
      </c>
      <c r="AX1705" s="1">
        <v>2013.0</v>
      </c>
      <c r="AY1705" s="1" t="s">
        <v>387</v>
      </c>
      <c r="AZ1705" s="1" t="s">
        <v>200</v>
      </c>
      <c r="BA1705" s="1" t="str">
        <f>"0816155001"</f>
        <v>0816155001</v>
      </c>
      <c r="BB1705" s="1" t="s">
        <v>200</v>
      </c>
      <c r="BC1705" s="1">
        <v>3391.0</v>
      </c>
      <c r="BD1705" s="1">
        <v>324500.0</v>
      </c>
      <c r="BE1705" s="2">
        <v>41857.0</v>
      </c>
      <c r="BF1705" s="2" t="s">
        <v>16852</v>
      </c>
      <c r="BG1705" s="1" t="s">
        <v>7848</v>
      </c>
      <c r="BH1705" s="1">
        <v>375.0</v>
      </c>
      <c r="BI1705" s="1" t="s">
        <v>1975</v>
      </c>
      <c r="BJ1705" s="1" t="s">
        <v>579</v>
      </c>
      <c r="BK1705" s="1" t="s">
        <v>580</v>
      </c>
      <c r="BL1705" s="1" t="str">
        <f>"5"</f>
        <v>5</v>
      </c>
      <c r="BM1705" s="1" t="str">
        <f>""</f>
        <v/>
      </c>
      <c r="BN1705" s="1">
        <v>40.0</v>
      </c>
      <c r="BQ1705" s="1">
        <v>301.0</v>
      </c>
      <c r="BR1705" s="1">
        <v>301.0</v>
      </c>
      <c r="BS1705" s="1">
        <v>301.0</v>
      </c>
      <c r="BU1705" s="1" t="s">
        <v>515</v>
      </c>
      <c r="BV1705" s="1" t="s">
        <v>206</v>
      </c>
      <c r="BW1705" s="1" t="s">
        <v>210</v>
      </c>
      <c r="BY1705" s="1" t="s">
        <v>1000</v>
      </c>
      <c r="BZ1705" s="1" t="s">
        <v>206</v>
      </c>
      <c r="CA1705" s="1" t="s">
        <v>207</v>
      </c>
      <c r="CC1705" s="1" t="s">
        <v>260</v>
      </c>
      <c r="CD1705" s="1" t="s">
        <v>206</v>
      </c>
      <c r="CE1705" s="1" t="s">
        <v>207</v>
      </c>
      <c r="CF1705" s="1" t="s">
        <v>229</v>
      </c>
      <c r="CG1705" s="1" t="s">
        <v>1068</v>
      </c>
      <c r="CH1705" s="1" t="s">
        <v>209</v>
      </c>
      <c r="CI1705" s="1" t="s">
        <v>210</v>
      </c>
      <c r="CK1705" s="1" t="s">
        <v>2900</v>
      </c>
      <c r="CL1705" s="1" t="s">
        <v>209</v>
      </c>
      <c r="CM1705" s="1" t="s">
        <v>210</v>
      </c>
      <c r="CO1705" s="1" t="s">
        <v>1483</v>
      </c>
      <c r="CP1705" s="1" t="s">
        <v>209</v>
      </c>
      <c r="CQ1705" s="1" t="s">
        <v>210</v>
      </c>
      <c r="CS1705" s="1" t="s">
        <v>6797</v>
      </c>
      <c r="CT1705" s="1" t="s">
        <v>206</v>
      </c>
      <c r="CU1705" s="1" t="s">
        <v>268</v>
      </c>
      <c r="CX1705" s="1" t="s">
        <v>204</v>
      </c>
      <c r="DA1705" s="1" t="s">
        <v>200</v>
      </c>
      <c r="DC1705" s="1" t="s">
        <v>395</v>
      </c>
      <c r="DD1705" s="1" t="s">
        <v>926</v>
      </c>
      <c r="DE1705" s="1" t="s">
        <v>1810</v>
      </c>
      <c r="DF1705" s="1" t="s">
        <v>1811</v>
      </c>
      <c r="DG1705" s="1" t="s">
        <v>4561</v>
      </c>
      <c r="DH1705" s="1" t="s">
        <v>16853</v>
      </c>
      <c r="DI1705" s="1" t="s">
        <v>16854</v>
      </c>
      <c r="DJ1705" s="1" t="s">
        <v>222</v>
      </c>
      <c r="DK1705" s="1" t="s">
        <v>223</v>
      </c>
      <c r="DL1705" s="1" t="s">
        <v>438</v>
      </c>
      <c r="DM1705" s="1" t="s">
        <v>929</v>
      </c>
      <c r="DN1705" s="1" t="s">
        <v>2463</v>
      </c>
      <c r="DO1705" s="1" t="s">
        <v>16855</v>
      </c>
      <c r="DP1705" s="1" t="s">
        <v>340</v>
      </c>
      <c r="DQ1705" s="1" t="s">
        <v>1557</v>
      </c>
      <c r="DR1705" s="1" t="s">
        <v>16856</v>
      </c>
      <c r="DS1705" s="1" t="s">
        <v>368</v>
      </c>
      <c r="DU1705" s="1" t="s">
        <v>16857</v>
      </c>
      <c r="DV1705" s="1" t="s">
        <v>16858</v>
      </c>
      <c r="DW1705" s="1" t="s">
        <v>964</v>
      </c>
      <c r="DX1705" s="1" t="s">
        <v>234</v>
      </c>
      <c r="DY1705" s="1" t="s">
        <v>2841</v>
      </c>
      <c r="DZ1705" s="1" t="s">
        <v>7573</v>
      </c>
      <c r="EB1705" s="1" t="s">
        <v>937</v>
      </c>
      <c r="EC1705" s="1" t="s">
        <v>237</v>
      </c>
      <c r="ED1705" s="1" t="s">
        <v>407</v>
      </c>
      <c r="EE1705" s="1" t="s">
        <v>493</v>
      </c>
      <c r="EH1705" s="1" t="s">
        <v>341</v>
      </c>
      <c r="EI1705" s="1" t="s">
        <v>1164</v>
      </c>
      <c r="EJ1705" s="1" t="s">
        <v>494</v>
      </c>
      <c r="EK1705" s="1" t="s">
        <v>408</v>
      </c>
      <c r="EM1705" s="1" t="s">
        <v>238</v>
      </c>
      <c r="EP1705" s="1" t="s">
        <v>1483</v>
      </c>
      <c r="EQ1705" s="1" t="s">
        <v>209</v>
      </c>
      <c r="ER1705" s="1" t="s">
        <v>210</v>
      </c>
      <c r="ET1705" s="1" t="s">
        <v>716</v>
      </c>
      <c r="EU1705" s="1" t="s">
        <v>206</v>
      </c>
      <c r="EV1705" s="1" t="s">
        <v>207</v>
      </c>
      <c r="EW1705" s="1" t="s">
        <v>431</v>
      </c>
      <c r="EX1705" s="1" t="s">
        <v>716</v>
      </c>
      <c r="EY1705" s="1" t="s">
        <v>42</v>
      </c>
      <c r="EZ1705" s="1" t="s">
        <v>210</v>
      </c>
      <c r="FA1705" s="1" t="s">
        <v>431</v>
      </c>
      <c r="FB1705" s="1" t="s">
        <v>1246</v>
      </c>
      <c r="FC1705" s="1" t="s">
        <v>206</v>
      </c>
      <c r="FD1705" s="1" t="s">
        <v>268</v>
      </c>
      <c r="FF1705" s="1" t="s">
        <v>239</v>
      </c>
      <c r="FG1705" s="1" t="s">
        <v>192</v>
      </c>
      <c r="FH1705" s="1" t="s">
        <v>192</v>
      </c>
      <c r="FJ1705" s="1" t="s">
        <v>3062</v>
      </c>
      <c r="FK1705" s="1" t="s">
        <v>229</v>
      </c>
      <c r="FL1705" s="1" t="s">
        <v>456</v>
      </c>
      <c r="FM1705" s="1">
        <v>49.0</v>
      </c>
      <c r="FN1705" s="1" t="s">
        <v>457</v>
      </c>
      <c r="FO1705" s="1" t="s">
        <v>16859</v>
      </c>
      <c r="FP1705" s="1">
        <v>8442.0</v>
      </c>
      <c r="FQ1705" s="1" t="s">
        <v>16860</v>
      </c>
      <c r="FS1705" s="1" t="s">
        <v>16861</v>
      </c>
      <c r="FU1705" s="1" t="s">
        <v>16862</v>
      </c>
      <c r="FV1705" s="1" t="s">
        <v>200</v>
      </c>
      <c r="FW1705" s="1" t="s">
        <v>290</v>
      </c>
      <c r="FZ1705" s="1" t="s">
        <v>229</v>
      </c>
      <c r="GA1705" s="1" t="s">
        <v>291</v>
      </c>
      <c r="GB1705" s="2">
        <v>42053.0</v>
      </c>
      <c r="GC1705" s="1" t="s">
        <v>16863</v>
      </c>
    </row>
    <row r="1706">
      <c r="A1706" s="1">
        <v>207900.0</v>
      </c>
      <c r="B1706" s="1" t="s">
        <v>185</v>
      </c>
      <c r="C1706" s="1" t="str">
        <f>"08708779"</f>
        <v>08708779</v>
      </c>
      <c r="D1706" s="1" t="s">
        <v>186</v>
      </c>
      <c r="F1706" s="1" t="str">
        <f>"554"</f>
        <v>554</v>
      </c>
      <c r="G1706" s="2">
        <v>41873.0</v>
      </c>
      <c r="H1706" s="1">
        <v>259900.0</v>
      </c>
      <c r="I1706" s="1">
        <v>104.0</v>
      </c>
      <c r="J1706" s="1">
        <v>199900.0</v>
      </c>
      <c r="K1706" s="2">
        <v>41976.0</v>
      </c>
      <c r="L1706" s="1">
        <v>104.0</v>
      </c>
      <c r="M1706" s="2">
        <v>41976.0</v>
      </c>
      <c r="N1706" s="1" t="s">
        <v>187</v>
      </c>
      <c r="O1706" s="2">
        <v>42097.0</v>
      </c>
      <c r="P1706" s="1">
        <v>7939.0</v>
      </c>
      <c r="Q1706" s="1">
        <v>771.0</v>
      </c>
      <c r="S1706" s="1">
        <v>1196.0</v>
      </c>
      <c r="T1706" s="1" t="s">
        <v>16864</v>
      </c>
      <c r="U1706" s="1" t="s">
        <v>569</v>
      </c>
      <c r="V1706" s="1" t="s">
        <v>2212</v>
      </c>
      <c r="W1706" s="1">
        <v>60554.0</v>
      </c>
      <c r="X1706" s="1">
        <v>5458.0</v>
      </c>
      <c r="Y1706" s="1" t="s">
        <v>16865</v>
      </c>
      <c r="Z1706" s="1">
        <v>2006.0</v>
      </c>
      <c r="AA1706" s="1" t="s">
        <v>200</v>
      </c>
      <c r="AB1706" s="1" t="s">
        <v>193</v>
      </c>
      <c r="AC1706" s="1" t="s">
        <v>2214</v>
      </c>
      <c r="AD1706" s="1" t="s">
        <v>1887</v>
      </c>
      <c r="AE1706" s="1" t="s">
        <v>325</v>
      </c>
      <c r="AF1706" s="1" t="s">
        <v>1887</v>
      </c>
      <c r="AH1706" s="1" t="s">
        <v>16866</v>
      </c>
      <c r="AI1706" s="1">
        <v>0.0</v>
      </c>
      <c r="AK1706" s="1">
        <v>10.0</v>
      </c>
      <c r="AL1706" s="1">
        <v>4.0</v>
      </c>
      <c r="AM1706" s="1">
        <v>2.0</v>
      </c>
      <c r="AN1706" s="1">
        <v>1.0</v>
      </c>
      <c r="AO1706" s="1" t="s">
        <v>198</v>
      </c>
      <c r="AP1706" s="1">
        <v>1.0</v>
      </c>
      <c r="AQ1706" s="1" t="s">
        <v>198</v>
      </c>
      <c r="AR1706" s="1" t="s">
        <v>200</v>
      </c>
      <c r="AS1706" s="1" t="s">
        <v>199</v>
      </c>
      <c r="AT1706" s="1">
        <v>2.0</v>
      </c>
      <c r="AV1706" s="1" t="s">
        <v>200</v>
      </c>
      <c r="AW1706" s="1">
        <v>7598.62</v>
      </c>
      <c r="AX1706" s="1">
        <v>2013.0</v>
      </c>
      <c r="AZ1706" s="1" t="s">
        <v>200</v>
      </c>
      <c r="BA1706" s="1" t="str">
        <f>"1411129009"</f>
        <v>1411129009</v>
      </c>
      <c r="BC1706" s="1">
        <v>2392.0</v>
      </c>
      <c r="BD1706" s="1">
        <v>207900.0</v>
      </c>
      <c r="BE1706" s="2">
        <v>41873.0</v>
      </c>
      <c r="BF1706" s="2" t="s">
        <v>16867</v>
      </c>
      <c r="BG1706" s="1" t="s">
        <v>16868</v>
      </c>
      <c r="BH1706" s="1">
        <v>240.0</v>
      </c>
      <c r="BI1706" s="1" t="s">
        <v>4352</v>
      </c>
      <c r="BJ1706" s="1" t="s">
        <v>1636</v>
      </c>
      <c r="BK1706" s="1" t="s">
        <v>580</v>
      </c>
      <c r="BL1706" s="1" t="str">
        <f t="shared" ref="BL1706:BM1706" si="1121">""</f>
        <v/>
      </c>
      <c r="BM1706" s="1" t="str">
        <f t="shared" si="1121"/>
        <v/>
      </c>
      <c r="BQ1706" s="1">
        <v>302.0</v>
      </c>
      <c r="BR1706" s="1">
        <v>302.0</v>
      </c>
      <c r="BS1706" s="1">
        <v>302.0</v>
      </c>
      <c r="BU1706" s="1" t="s">
        <v>393</v>
      </c>
      <c r="BV1706" s="1" t="s">
        <v>206</v>
      </c>
      <c r="BW1706" s="1" t="s">
        <v>210</v>
      </c>
      <c r="BY1706" s="1" t="s">
        <v>1600</v>
      </c>
      <c r="BZ1706" s="1" t="s">
        <v>209</v>
      </c>
      <c r="CA1706" s="1" t="s">
        <v>210</v>
      </c>
      <c r="CB1706" s="1" t="s">
        <v>229</v>
      </c>
      <c r="CC1706" s="1" t="s">
        <v>478</v>
      </c>
      <c r="CD1706" s="1" t="s">
        <v>206</v>
      </c>
      <c r="CE1706" s="1" t="s">
        <v>210</v>
      </c>
      <c r="CG1706" s="1" t="s">
        <v>302</v>
      </c>
      <c r="CH1706" s="1" t="s">
        <v>209</v>
      </c>
      <c r="CI1706" s="1" t="s">
        <v>210</v>
      </c>
      <c r="CK1706" s="1" t="s">
        <v>302</v>
      </c>
      <c r="CL1706" s="1" t="s">
        <v>209</v>
      </c>
      <c r="CM1706" s="1" t="s">
        <v>210</v>
      </c>
      <c r="CO1706" s="1" t="s">
        <v>497</v>
      </c>
      <c r="CP1706" s="1" t="s">
        <v>209</v>
      </c>
      <c r="CQ1706" s="1" t="s">
        <v>210</v>
      </c>
      <c r="CS1706" s="1" t="s">
        <v>300</v>
      </c>
      <c r="CT1706" s="1" t="s">
        <v>206</v>
      </c>
      <c r="CV1706" s="1" t="s">
        <v>229</v>
      </c>
      <c r="CW1706" s="1" t="s">
        <v>1892</v>
      </c>
      <c r="CX1706" s="1" t="s">
        <v>206</v>
      </c>
      <c r="CY1706" s="1" t="s">
        <v>210</v>
      </c>
      <c r="CZ1706" s="1" t="s">
        <v>229</v>
      </c>
      <c r="DA1706" s="1" t="s">
        <v>200</v>
      </c>
      <c r="DC1706" s="1" t="s">
        <v>481</v>
      </c>
      <c r="DE1706" s="1" t="s">
        <v>273</v>
      </c>
      <c r="DF1706" s="1" t="s">
        <v>219</v>
      </c>
      <c r="DG1706" s="1" t="s">
        <v>1020</v>
      </c>
      <c r="DH1706" s="1" t="s">
        <v>220</v>
      </c>
      <c r="DI1706" s="1" t="s">
        <v>275</v>
      </c>
      <c r="DJ1706" s="1" t="s">
        <v>222</v>
      </c>
      <c r="DL1706" s="1" t="s">
        <v>223</v>
      </c>
      <c r="DM1706" s="1" t="s">
        <v>229</v>
      </c>
      <c r="DN1706" s="1" t="s">
        <v>1486</v>
      </c>
      <c r="DQ1706" s="1" t="s">
        <v>228</v>
      </c>
      <c r="DR1706" s="1" t="s">
        <v>229</v>
      </c>
      <c r="DV1706" s="1" t="s">
        <v>4513</v>
      </c>
      <c r="DW1706" s="1" t="s">
        <v>279</v>
      </c>
      <c r="DX1706" s="1" t="s">
        <v>234</v>
      </c>
      <c r="DZ1706" s="1" t="s">
        <v>1661</v>
      </c>
      <c r="EA1706" s="1" t="s">
        <v>344</v>
      </c>
      <c r="EC1706" s="1" t="s">
        <v>237</v>
      </c>
      <c r="ED1706" s="1" t="s">
        <v>407</v>
      </c>
      <c r="EG1706" s="1" t="s">
        <v>494</v>
      </c>
      <c r="EH1706" s="1" t="s">
        <v>449</v>
      </c>
      <c r="EL1706" s="1" t="s">
        <v>302</v>
      </c>
      <c r="EM1706" s="1" t="s">
        <v>206</v>
      </c>
      <c r="EN1706" s="1" t="s">
        <v>210</v>
      </c>
      <c r="EP1706" s="1" t="s">
        <v>2459</v>
      </c>
      <c r="EQ1706" s="1" t="s">
        <v>206</v>
      </c>
      <c r="EU1706" s="1" t="s">
        <v>238</v>
      </c>
      <c r="EY1706" s="1" t="s">
        <v>238</v>
      </c>
      <c r="FC1706" s="1" t="s">
        <v>238</v>
      </c>
      <c r="FF1706" s="1" t="s">
        <v>239</v>
      </c>
      <c r="FG1706" s="1" t="s">
        <v>192</v>
      </c>
      <c r="FH1706" s="1" t="s">
        <v>192</v>
      </c>
      <c r="FJ1706" s="1" t="s">
        <v>14653</v>
      </c>
      <c r="FK1706" s="1" t="s">
        <v>1586</v>
      </c>
      <c r="FL1706" s="1" t="s">
        <v>2580</v>
      </c>
      <c r="FM1706" s="1">
        <v>23265.0</v>
      </c>
      <c r="FN1706" s="1" t="s">
        <v>2581</v>
      </c>
      <c r="FO1706" s="1" t="s">
        <v>16869</v>
      </c>
      <c r="FP1706" s="1">
        <v>218055.0</v>
      </c>
      <c r="FQ1706" s="1" t="s">
        <v>16870</v>
      </c>
      <c r="FS1706" s="1" t="s">
        <v>16871</v>
      </c>
      <c r="FU1706" s="1" t="s">
        <v>16872</v>
      </c>
      <c r="FV1706" s="1" t="s">
        <v>200</v>
      </c>
      <c r="FW1706" s="1" t="s">
        <v>290</v>
      </c>
      <c r="FZ1706" s="1" t="s">
        <v>229</v>
      </c>
      <c r="GA1706" s="1" t="s">
        <v>291</v>
      </c>
      <c r="GB1706" s="2">
        <v>42097.0</v>
      </c>
      <c r="GC1706" s="2" t="s">
        <v>16873</v>
      </c>
    </row>
    <row r="1707">
      <c r="A1707" s="1">
        <v>210000.0</v>
      </c>
      <c r="B1707" s="1" t="s">
        <v>185</v>
      </c>
      <c r="C1707" s="1" t="str">
        <f>"08722561"</f>
        <v>08722561</v>
      </c>
      <c r="D1707" s="1" t="s">
        <v>186</v>
      </c>
      <c r="F1707" s="1" t="str">
        <f>"134"</f>
        <v>134</v>
      </c>
      <c r="G1707" s="2">
        <v>41890.0</v>
      </c>
      <c r="H1707" s="1">
        <v>269900.0</v>
      </c>
      <c r="I1707" s="1">
        <v>120.0</v>
      </c>
      <c r="J1707" s="1">
        <v>225000.0</v>
      </c>
      <c r="K1707" s="2">
        <v>42009.0</v>
      </c>
      <c r="L1707" s="1">
        <v>120.0</v>
      </c>
      <c r="M1707" s="2">
        <v>42009.0</v>
      </c>
      <c r="N1707" s="1" t="s">
        <v>356</v>
      </c>
      <c r="O1707" s="2">
        <v>42054.0</v>
      </c>
      <c r="P1707" s="1">
        <v>219533.0</v>
      </c>
      <c r="Q1707" s="1">
        <v>25088.0</v>
      </c>
      <c r="R1707" s="1">
        <v>5000.0</v>
      </c>
      <c r="S1707" s="1">
        <v>653.0</v>
      </c>
      <c r="T1707" s="1" t="s">
        <v>16874</v>
      </c>
      <c r="U1707" s="1" t="s">
        <v>1174</v>
      </c>
      <c r="V1707" s="1" t="s">
        <v>421</v>
      </c>
      <c r="W1707" s="1">
        <v>60134.0</v>
      </c>
      <c r="Y1707" s="1" t="s">
        <v>16875</v>
      </c>
      <c r="Z1707" s="1">
        <v>1993.0</v>
      </c>
      <c r="AA1707" s="1" t="s">
        <v>200</v>
      </c>
      <c r="AB1707" s="1" t="s">
        <v>193</v>
      </c>
      <c r="AC1707" s="1" t="s">
        <v>16876</v>
      </c>
      <c r="AD1707" s="1" t="s">
        <v>424</v>
      </c>
      <c r="AE1707" s="1" t="s">
        <v>325</v>
      </c>
      <c r="AF1707" s="1" t="s">
        <v>424</v>
      </c>
      <c r="AG1707" s="1" t="s">
        <v>16877</v>
      </c>
      <c r="AH1707" s="1" t="s">
        <v>16878</v>
      </c>
      <c r="AK1707" s="1">
        <v>10.0</v>
      </c>
      <c r="AL1707" s="1">
        <v>4.0</v>
      </c>
      <c r="AM1707" s="1">
        <v>2.0</v>
      </c>
      <c r="AN1707" s="1">
        <v>1.0</v>
      </c>
      <c r="AO1707" s="1" t="s">
        <v>198</v>
      </c>
      <c r="AP1707" s="1">
        <v>1.0</v>
      </c>
      <c r="AQ1707" s="1" t="s">
        <v>198</v>
      </c>
      <c r="AR1707" s="1" t="s">
        <v>200</v>
      </c>
      <c r="AS1707" s="1" t="s">
        <v>199</v>
      </c>
      <c r="AT1707" s="1">
        <v>2.0</v>
      </c>
      <c r="AV1707" s="1" t="s">
        <v>200</v>
      </c>
      <c r="AW1707" s="1">
        <v>7263.04</v>
      </c>
      <c r="AX1707" s="1">
        <v>2012.0</v>
      </c>
      <c r="AY1707" s="1" t="s">
        <v>387</v>
      </c>
      <c r="AZ1707" s="1" t="s">
        <v>200</v>
      </c>
      <c r="BA1707" s="1" t="str">
        <f>"1201103020"</f>
        <v>1201103020</v>
      </c>
      <c r="BB1707" s="1" t="s">
        <v>200</v>
      </c>
      <c r="BC1707" s="1">
        <v>1834.0</v>
      </c>
      <c r="BD1707" s="1">
        <v>210000.0</v>
      </c>
      <c r="BE1707" s="2">
        <v>41890.0</v>
      </c>
      <c r="BF1707" s="2" t="s">
        <v>16879</v>
      </c>
      <c r="BH1707" s="1">
        <v>0.0</v>
      </c>
      <c r="BK1707" s="1" t="s">
        <v>204</v>
      </c>
      <c r="BL1707" s="1" t="str">
        <f>"1"</f>
        <v>1</v>
      </c>
      <c r="BM1707" s="1" t="str">
        <f t="shared" ref="BM1707:BM1708" si="1122">"0"</f>
        <v>0</v>
      </c>
      <c r="BN1707" s="1">
        <v>33.0</v>
      </c>
      <c r="BO1707" s="1">
        <v>0.0</v>
      </c>
      <c r="BQ1707" s="1">
        <v>304.0</v>
      </c>
      <c r="BR1707" s="1">
        <v>304.0</v>
      </c>
      <c r="BS1707" s="1">
        <v>304.0</v>
      </c>
      <c r="BU1707" s="1" t="s">
        <v>390</v>
      </c>
      <c r="BV1707" s="1" t="s">
        <v>206</v>
      </c>
      <c r="BW1707" s="1" t="s">
        <v>207</v>
      </c>
      <c r="BY1707" s="1" t="s">
        <v>433</v>
      </c>
      <c r="BZ1707" s="1" t="s">
        <v>209</v>
      </c>
      <c r="CA1707" s="1" t="s">
        <v>210</v>
      </c>
      <c r="CC1707" s="1" t="s">
        <v>516</v>
      </c>
      <c r="CD1707" s="1" t="s">
        <v>206</v>
      </c>
      <c r="CE1707" s="1" t="s">
        <v>207</v>
      </c>
      <c r="CG1707" s="1" t="s">
        <v>699</v>
      </c>
      <c r="CH1707" s="1" t="s">
        <v>209</v>
      </c>
      <c r="CI1707" s="1" t="s">
        <v>210</v>
      </c>
      <c r="CK1707" s="1" t="s">
        <v>269</v>
      </c>
      <c r="CL1707" s="1" t="s">
        <v>209</v>
      </c>
      <c r="CM1707" s="1" t="s">
        <v>210</v>
      </c>
      <c r="CO1707" s="1" t="s">
        <v>814</v>
      </c>
      <c r="CP1707" s="1" t="s">
        <v>209</v>
      </c>
      <c r="CQ1707" s="1" t="s">
        <v>210</v>
      </c>
      <c r="CS1707" s="1" t="s">
        <v>262</v>
      </c>
      <c r="CT1707" s="1" t="s">
        <v>206</v>
      </c>
      <c r="CU1707" s="1" t="s">
        <v>268</v>
      </c>
      <c r="CW1707" s="1" t="s">
        <v>616</v>
      </c>
      <c r="CX1707" s="1" t="s">
        <v>206</v>
      </c>
      <c r="CY1707" s="1" t="s">
        <v>207</v>
      </c>
      <c r="DA1707" s="1" t="s">
        <v>200</v>
      </c>
      <c r="DC1707" s="1" t="s">
        <v>435</v>
      </c>
      <c r="DD1707" s="1" t="s">
        <v>518</v>
      </c>
      <c r="DE1707" s="1" t="s">
        <v>273</v>
      </c>
      <c r="DF1707" s="1" t="s">
        <v>219</v>
      </c>
      <c r="DG1707" s="1" t="s">
        <v>482</v>
      </c>
      <c r="DH1707" s="1" t="s">
        <v>220</v>
      </c>
      <c r="DI1707" s="1" t="s">
        <v>9740</v>
      </c>
      <c r="DJ1707" s="1" t="s">
        <v>222</v>
      </c>
      <c r="DK1707" s="1" t="s">
        <v>223</v>
      </c>
      <c r="DL1707" s="1" t="s">
        <v>224</v>
      </c>
      <c r="DM1707" s="1" t="s">
        <v>3697</v>
      </c>
      <c r="DN1707" s="1" t="s">
        <v>367</v>
      </c>
      <c r="DO1707" s="1" t="s">
        <v>486</v>
      </c>
      <c r="DP1707" s="1" t="s">
        <v>340</v>
      </c>
      <c r="DQ1707" s="1" t="s">
        <v>228</v>
      </c>
      <c r="DR1707" s="1" t="s">
        <v>229</v>
      </c>
      <c r="DS1707" s="1" t="s">
        <v>230</v>
      </c>
      <c r="DU1707" s="1" t="s">
        <v>16880</v>
      </c>
      <c r="DV1707" s="1" t="s">
        <v>2692</v>
      </c>
      <c r="DW1707" s="1" t="s">
        <v>233</v>
      </c>
      <c r="DX1707" s="1" t="s">
        <v>234</v>
      </c>
      <c r="DY1707" s="1" t="s">
        <v>16881</v>
      </c>
      <c r="DZ1707" s="1" t="s">
        <v>282</v>
      </c>
      <c r="EA1707" s="1" t="s">
        <v>1027</v>
      </c>
      <c r="EB1707" s="1" t="s">
        <v>2915</v>
      </c>
      <c r="EC1707" s="1" t="s">
        <v>237</v>
      </c>
      <c r="ED1707" s="1" t="s">
        <v>407</v>
      </c>
      <c r="EG1707" s="1" t="s">
        <v>598</v>
      </c>
      <c r="EH1707" s="1" t="s">
        <v>450</v>
      </c>
      <c r="EL1707" s="1" t="s">
        <v>814</v>
      </c>
      <c r="EM1707" s="1" t="s">
        <v>42</v>
      </c>
      <c r="EN1707" s="1" t="s">
        <v>617</v>
      </c>
      <c r="EP1707" s="1" t="s">
        <v>213</v>
      </c>
      <c r="EQ1707" s="1" t="s">
        <v>42</v>
      </c>
      <c r="ER1707" s="1" t="s">
        <v>210</v>
      </c>
      <c r="EU1707" s="1" t="s">
        <v>238</v>
      </c>
      <c r="EY1707" s="1" t="s">
        <v>238</v>
      </c>
      <c r="FC1707" s="1" t="s">
        <v>238</v>
      </c>
      <c r="FF1707" s="1" t="s">
        <v>239</v>
      </c>
      <c r="FG1707" s="1" t="s">
        <v>192</v>
      </c>
      <c r="FH1707" s="1" t="s">
        <v>192</v>
      </c>
      <c r="FJ1707" s="1" t="s">
        <v>347</v>
      </c>
      <c r="FK1707" s="1" t="s">
        <v>229</v>
      </c>
      <c r="FL1707" s="1" t="s">
        <v>1855</v>
      </c>
      <c r="FM1707" s="1">
        <v>41.0</v>
      </c>
      <c r="FN1707" s="1" t="s">
        <v>1856</v>
      </c>
      <c r="FO1707" s="1" t="s">
        <v>1857</v>
      </c>
      <c r="FP1707" s="1">
        <v>8483.0</v>
      </c>
      <c r="FQ1707" s="1" t="s">
        <v>1858</v>
      </c>
      <c r="FS1707" s="1" t="s">
        <v>16882</v>
      </c>
      <c r="FT1707" s="1" t="s">
        <v>1860</v>
      </c>
      <c r="FU1707" s="1" t="s">
        <v>1861</v>
      </c>
      <c r="FV1707" s="1" t="s">
        <v>192</v>
      </c>
      <c r="FW1707" s="1" t="s">
        <v>1307</v>
      </c>
      <c r="FZ1707" s="1" t="s">
        <v>229</v>
      </c>
      <c r="GA1707" s="1" t="s">
        <v>291</v>
      </c>
      <c r="GB1707" s="2">
        <v>42054.0</v>
      </c>
      <c r="GC1707" s="1" t="s">
        <v>16883</v>
      </c>
    </row>
    <row r="1708">
      <c r="A1708" s="1">
        <v>240000.0</v>
      </c>
      <c r="B1708" s="1" t="s">
        <v>185</v>
      </c>
      <c r="C1708" s="1" t="str">
        <f>"08696430"</f>
        <v>08696430</v>
      </c>
      <c r="D1708" s="1" t="s">
        <v>186</v>
      </c>
      <c r="F1708" s="1" t="str">
        <f>"107"</f>
        <v>107</v>
      </c>
      <c r="G1708" s="2">
        <v>41859.0</v>
      </c>
      <c r="H1708" s="1">
        <v>259900.0</v>
      </c>
      <c r="I1708" s="1">
        <v>267.0</v>
      </c>
      <c r="J1708" s="1">
        <v>259900.0</v>
      </c>
      <c r="K1708" s="2">
        <v>41933.0</v>
      </c>
      <c r="L1708" s="1">
        <v>75.0</v>
      </c>
      <c r="M1708" s="2">
        <v>41933.0</v>
      </c>
      <c r="N1708" s="1" t="s">
        <v>356</v>
      </c>
      <c r="O1708" s="2">
        <v>41983.0</v>
      </c>
      <c r="P1708" s="1">
        <v>920884.0</v>
      </c>
      <c r="Q1708" s="1">
        <v>8079.0</v>
      </c>
      <c r="S1708" s="1">
        <v>1119.0</v>
      </c>
      <c r="T1708" s="1" t="s">
        <v>16884</v>
      </c>
      <c r="U1708" s="1" t="s">
        <v>569</v>
      </c>
      <c r="V1708" s="1" t="s">
        <v>294</v>
      </c>
      <c r="W1708" s="1">
        <v>60107.0</v>
      </c>
      <c r="Y1708" s="1" t="s">
        <v>16885</v>
      </c>
      <c r="Z1708" s="1">
        <v>1990.0</v>
      </c>
      <c r="AA1708" s="1" t="s">
        <v>200</v>
      </c>
      <c r="AB1708" s="1" t="s">
        <v>193</v>
      </c>
      <c r="AC1708" s="1" t="s">
        <v>16886</v>
      </c>
      <c r="AD1708" s="1" t="s">
        <v>297</v>
      </c>
      <c r="AE1708" s="1" t="s">
        <v>195</v>
      </c>
      <c r="AF1708" s="1" t="s">
        <v>298</v>
      </c>
      <c r="AH1708" s="1" t="s">
        <v>16887</v>
      </c>
      <c r="AK1708" s="1">
        <v>9.0</v>
      </c>
      <c r="AL1708" s="1">
        <v>4.0</v>
      </c>
      <c r="AM1708" s="1">
        <v>2.0</v>
      </c>
      <c r="AN1708" s="1">
        <v>1.0</v>
      </c>
      <c r="AO1708" s="1" t="s">
        <v>198</v>
      </c>
      <c r="AP1708" s="1">
        <v>1.0</v>
      </c>
      <c r="AQ1708" s="1" t="s">
        <v>198</v>
      </c>
      <c r="AR1708" s="1" t="s">
        <v>200</v>
      </c>
      <c r="AS1708" s="1" t="s">
        <v>199</v>
      </c>
      <c r="AT1708" s="1">
        <v>2.0</v>
      </c>
      <c r="AV1708" s="1" t="s">
        <v>200</v>
      </c>
      <c r="AW1708" s="1">
        <v>9438.0</v>
      </c>
      <c r="AX1708" s="1">
        <v>2013.0</v>
      </c>
      <c r="AY1708" s="1" t="s">
        <v>229</v>
      </c>
      <c r="AZ1708" s="1" t="s">
        <v>200</v>
      </c>
      <c r="BA1708" s="1" t="str">
        <f>"06271110090000"</f>
        <v>06271110090000</v>
      </c>
      <c r="BB1708" s="1" t="s">
        <v>200</v>
      </c>
      <c r="BC1708" s="1">
        <v>2599.0</v>
      </c>
      <c r="BD1708" s="1">
        <v>240000.0</v>
      </c>
      <c r="BE1708" s="2">
        <v>41859.0</v>
      </c>
      <c r="BF1708" s="2" t="s">
        <v>16888</v>
      </c>
      <c r="BG1708" s="1" t="s">
        <v>2746</v>
      </c>
      <c r="BH1708" s="1">
        <v>0.0</v>
      </c>
      <c r="BI1708" s="1" t="s">
        <v>513</v>
      </c>
      <c r="BJ1708" s="1" t="s">
        <v>757</v>
      </c>
      <c r="BK1708" s="1" t="s">
        <v>204</v>
      </c>
      <c r="BL1708" s="1" t="str">
        <f>"9"</f>
        <v>9</v>
      </c>
      <c r="BM1708" s="1" t="str">
        <f t="shared" si="1122"/>
        <v>0</v>
      </c>
      <c r="BN1708" s="1">
        <v>29.0</v>
      </c>
      <c r="BO1708" s="1">
        <v>0.0</v>
      </c>
      <c r="BQ1708" s="1">
        <v>46.0</v>
      </c>
      <c r="BR1708" s="1">
        <v>46.0</v>
      </c>
      <c r="BS1708" s="1">
        <v>46.0</v>
      </c>
      <c r="BU1708" s="1" t="s">
        <v>211</v>
      </c>
      <c r="BV1708" s="1" t="s">
        <v>206</v>
      </c>
      <c r="BW1708" s="1" t="s">
        <v>210</v>
      </c>
      <c r="BY1708" s="1" t="s">
        <v>211</v>
      </c>
      <c r="BZ1708" s="1" t="s">
        <v>206</v>
      </c>
      <c r="CA1708" s="1" t="s">
        <v>210</v>
      </c>
      <c r="CC1708" s="1" t="s">
        <v>215</v>
      </c>
      <c r="CD1708" s="1" t="s">
        <v>206</v>
      </c>
      <c r="CE1708" s="1" t="s">
        <v>210</v>
      </c>
      <c r="CG1708" s="1" t="s">
        <v>454</v>
      </c>
      <c r="CH1708" s="1" t="s">
        <v>209</v>
      </c>
      <c r="CI1708" s="1" t="s">
        <v>210</v>
      </c>
      <c r="CK1708" s="1" t="s">
        <v>264</v>
      </c>
      <c r="CL1708" s="1" t="s">
        <v>209</v>
      </c>
      <c r="CM1708" s="1" t="s">
        <v>210</v>
      </c>
      <c r="CO1708" s="1" t="s">
        <v>699</v>
      </c>
      <c r="CP1708" s="1" t="s">
        <v>209</v>
      </c>
      <c r="CQ1708" s="1" t="s">
        <v>210</v>
      </c>
      <c r="CS1708" s="1" t="s">
        <v>375</v>
      </c>
      <c r="CT1708" s="1" t="s">
        <v>206</v>
      </c>
      <c r="CU1708" s="1" t="s">
        <v>301</v>
      </c>
      <c r="CW1708" s="1" t="s">
        <v>924</v>
      </c>
      <c r="CX1708" s="1" t="s">
        <v>206</v>
      </c>
      <c r="CY1708" s="1" t="s">
        <v>210</v>
      </c>
      <c r="DA1708" s="1" t="s">
        <v>200</v>
      </c>
      <c r="DC1708" s="1" t="s">
        <v>435</v>
      </c>
      <c r="DD1708" s="1" t="s">
        <v>518</v>
      </c>
      <c r="DE1708" s="1" t="s">
        <v>273</v>
      </c>
      <c r="DF1708" s="1" t="s">
        <v>219</v>
      </c>
      <c r="DG1708" s="1" t="s">
        <v>2237</v>
      </c>
      <c r="DH1708" s="1" t="s">
        <v>220</v>
      </c>
      <c r="DI1708" s="1" t="s">
        <v>9233</v>
      </c>
      <c r="DJ1708" s="1" t="s">
        <v>222</v>
      </c>
      <c r="DL1708" s="1" t="s">
        <v>223</v>
      </c>
      <c r="DM1708" s="1" t="s">
        <v>229</v>
      </c>
      <c r="DN1708" s="1" t="s">
        <v>548</v>
      </c>
      <c r="DO1708" s="1" t="s">
        <v>1208</v>
      </c>
      <c r="DP1708" s="1" t="s">
        <v>276</v>
      </c>
      <c r="DQ1708" s="1" t="s">
        <v>441</v>
      </c>
      <c r="DR1708" s="1" t="s">
        <v>229</v>
      </c>
      <c r="DS1708" s="1" t="s">
        <v>230</v>
      </c>
      <c r="DU1708" s="1" t="s">
        <v>16889</v>
      </c>
      <c r="DV1708" s="1" t="s">
        <v>449</v>
      </c>
      <c r="DW1708" s="1" t="s">
        <v>16890</v>
      </c>
      <c r="DX1708" s="1" t="s">
        <v>234</v>
      </c>
      <c r="DY1708" s="1" t="s">
        <v>9546</v>
      </c>
      <c r="DZ1708" s="1" t="s">
        <v>13370</v>
      </c>
      <c r="EA1708" s="1" t="s">
        <v>344</v>
      </c>
      <c r="EB1708" s="1" t="s">
        <v>4251</v>
      </c>
      <c r="EC1708" s="1" t="s">
        <v>237</v>
      </c>
      <c r="ED1708" s="1" t="s">
        <v>1794</v>
      </c>
      <c r="EG1708" s="1" t="s">
        <v>449</v>
      </c>
      <c r="EL1708" s="1" t="s">
        <v>816</v>
      </c>
      <c r="EM1708" s="1" t="s">
        <v>206</v>
      </c>
      <c r="EN1708" s="1" t="s">
        <v>301</v>
      </c>
      <c r="EQ1708" s="1" t="s">
        <v>238</v>
      </c>
      <c r="EU1708" s="1" t="s">
        <v>238</v>
      </c>
      <c r="EY1708" s="1" t="s">
        <v>238</v>
      </c>
      <c r="FC1708" s="1" t="s">
        <v>238</v>
      </c>
      <c r="FF1708" s="1" t="s">
        <v>239</v>
      </c>
      <c r="FG1708" s="1" t="s">
        <v>192</v>
      </c>
      <c r="FH1708" s="1" t="s">
        <v>192</v>
      </c>
      <c r="FJ1708" s="1" t="s">
        <v>1450</v>
      </c>
      <c r="FK1708" s="1" t="s">
        <v>348</v>
      </c>
      <c r="FL1708" s="1" t="s">
        <v>5530</v>
      </c>
      <c r="FM1708" s="1">
        <v>8079.0</v>
      </c>
      <c r="FN1708" s="1" t="s">
        <v>5531</v>
      </c>
      <c r="FO1708" s="1" t="s">
        <v>5532</v>
      </c>
      <c r="FP1708" s="1">
        <v>920884.0</v>
      </c>
      <c r="FQ1708" s="1" t="s">
        <v>5533</v>
      </c>
      <c r="FU1708" s="1" t="s">
        <v>5534</v>
      </c>
      <c r="FV1708" s="1" t="s">
        <v>200</v>
      </c>
      <c r="FW1708" s="1" t="s">
        <v>290</v>
      </c>
      <c r="FZ1708" s="1" t="s">
        <v>632</v>
      </c>
      <c r="GA1708" s="1" t="s">
        <v>291</v>
      </c>
      <c r="GB1708" s="2">
        <v>41984.0</v>
      </c>
    </row>
    <row r="1709">
      <c r="A1709" s="1">
        <v>130000.0</v>
      </c>
      <c r="B1709" s="1" t="s">
        <v>185</v>
      </c>
      <c r="C1709" s="1" t="str">
        <f>"08693496"</f>
        <v>08693496</v>
      </c>
      <c r="D1709" s="1" t="s">
        <v>186</v>
      </c>
      <c r="F1709" s="1" t="str">
        <f>"8065"</f>
        <v>8065</v>
      </c>
      <c r="G1709" s="2">
        <v>41856.0</v>
      </c>
      <c r="H1709" s="1">
        <v>129900.0</v>
      </c>
      <c r="I1709" s="1">
        <v>11.0</v>
      </c>
      <c r="J1709" s="1">
        <v>129900.0</v>
      </c>
      <c r="K1709" s="2">
        <v>41866.0</v>
      </c>
      <c r="L1709" s="1">
        <v>11.0</v>
      </c>
      <c r="M1709" s="2">
        <v>41866.0</v>
      </c>
      <c r="N1709" s="1" t="s">
        <v>356</v>
      </c>
      <c r="O1709" s="2">
        <v>41969.0</v>
      </c>
      <c r="P1709" s="1">
        <v>146443.0</v>
      </c>
      <c r="Q1709" s="1">
        <v>14856.0</v>
      </c>
      <c r="R1709" s="1">
        <v>4000.0</v>
      </c>
      <c r="S1709" s="1">
        <v>3804.0</v>
      </c>
      <c r="T1709" s="1" t="s">
        <v>15609</v>
      </c>
      <c r="U1709" s="1" t="s">
        <v>694</v>
      </c>
      <c r="V1709" s="1" t="s">
        <v>190</v>
      </c>
      <c r="W1709" s="1">
        <v>60629.0</v>
      </c>
      <c r="X1709" s="1">
        <v>4134.0</v>
      </c>
      <c r="Y1709" s="1" t="s">
        <v>16891</v>
      </c>
      <c r="Z1709" s="1">
        <v>1948.0</v>
      </c>
      <c r="AA1709" s="1" t="s">
        <v>192</v>
      </c>
      <c r="AB1709" s="1" t="s">
        <v>193</v>
      </c>
      <c r="AD1709" s="1" t="s">
        <v>194</v>
      </c>
      <c r="AE1709" s="1" t="s">
        <v>195</v>
      </c>
      <c r="AF1709" s="1" t="s">
        <v>659</v>
      </c>
      <c r="AG1709" s="1" t="s">
        <v>1392</v>
      </c>
      <c r="AH1709" s="1" t="s">
        <v>15611</v>
      </c>
      <c r="AI1709" s="1">
        <v>0.0947</v>
      </c>
      <c r="AK1709" s="1">
        <v>7.0</v>
      </c>
      <c r="AL1709" s="1">
        <v>4.0</v>
      </c>
      <c r="AM1709" s="1">
        <v>1.0</v>
      </c>
      <c r="AN1709" s="1">
        <v>2.0</v>
      </c>
      <c r="AO1709" s="1" t="s">
        <v>229</v>
      </c>
      <c r="AQ1709" s="1" t="s">
        <v>198</v>
      </c>
      <c r="AR1709" s="1" t="s">
        <v>192</v>
      </c>
      <c r="AS1709" s="1" t="s">
        <v>199</v>
      </c>
      <c r="AT1709" s="1">
        <v>2.0</v>
      </c>
      <c r="AV1709" s="1" t="s">
        <v>200</v>
      </c>
      <c r="AW1709" s="1">
        <v>2716.09</v>
      </c>
      <c r="AX1709" s="1">
        <v>2012.0</v>
      </c>
      <c r="AZ1709" s="1" t="s">
        <v>200</v>
      </c>
      <c r="BA1709" s="1" t="str">
        <f>"19233010350000"</f>
        <v>19233010350000</v>
      </c>
      <c r="BC1709" s="1">
        <v>943.0</v>
      </c>
      <c r="BD1709" s="1">
        <v>130000.0</v>
      </c>
      <c r="BE1709" s="2">
        <v>41856.0</v>
      </c>
      <c r="BF1709" s="1" t="s">
        <v>16892</v>
      </c>
      <c r="BH1709" s="1">
        <v>0.0</v>
      </c>
      <c r="BK1709" s="1" t="s">
        <v>204</v>
      </c>
      <c r="BL1709" s="1" t="str">
        <f t="shared" ref="BL1709:BM1709" si="1123">"0"</f>
        <v>0</v>
      </c>
      <c r="BM1709" s="1" t="str">
        <f t="shared" si="1123"/>
        <v>0</v>
      </c>
      <c r="BN1709" s="1">
        <v>3800.0</v>
      </c>
      <c r="BO1709" s="1">
        <v>6700.0</v>
      </c>
      <c r="BQ1709" s="1">
        <v>299.0</v>
      </c>
      <c r="BR1709" s="1">
        <v>299.0</v>
      </c>
      <c r="BS1709" s="1">
        <v>299.0</v>
      </c>
      <c r="BU1709" s="1" t="s">
        <v>270</v>
      </c>
      <c r="BV1709" s="1" t="s">
        <v>206</v>
      </c>
      <c r="BY1709" s="1" t="s">
        <v>699</v>
      </c>
      <c r="BZ1709" s="1" t="s">
        <v>206</v>
      </c>
      <c r="CD1709" s="1" t="s">
        <v>204</v>
      </c>
      <c r="CG1709" s="1" t="s">
        <v>699</v>
      </c>
      <c r="CH1709" s="1" t="s">
        <v>206</v>
      </c>
      <c r="CK1709" s="1" t="s">
        <v>211</v>
      </c>
      <c r="CL1709" s="1" t="s">
        <v>209</v>
      </c>
      <c r="CO1709" s="1" t="s">
        <v>302</v>
      </c>
      <c r="CP1709" s="1" t="s">
        <v>209</v>
      </c>
      <c r="CS1709" s="1" t="s">
        <v>1329</v>
      </c>
      <c r="CT1709" s="1" t="s">
        <v>206</v>
      </c>
      <c r="CW1709" s="1" t="s">
        <v>12531</v>
      </c>
      <c r="CX1709" s="1" t="s">
        <v>42</v>
      </c>
      <c r="DA1709" s="1" t="s">
        <v>200</v>
      </c>
      <c r="DC1709" s="1" t="s">
        <v>702</v>
      </c>
      <c r="DE1709" s="1" t="s">
        <v>273</v>
      </c>
      <c r="DF1709" s="1" t="s">
        <v>219</v>
      </c>
      <c r="DH1709" s="1" t="s">
        <v>220</v>
      </c>
      <c r="DJ1709" s="1" t="s">
        <v>222</v>
      </c>
      <c r="DK1709" s="1" t="s">
        <v>224</v>
      </c>
      <c r="DL1709" s="1" t="s">
        <v>858</v>
      </c>
      <c r="DM1709" s="1" t="s">
        <v>229</v>
      </c>
      <c r="DQ1709" s="1" t="s">
        <v>718</v>
      </c>
      <c r="DR1709" s="1" t="s">
        <v>229</v>
      </c>
      <c r="DV1709" s="1" t="s">
        <v>232</v>
      </c>
      <c r="DW1709" s="1" t="s">
        <v>279</v>
      </c>
      <c r="DX1709" s="1" t="s">
        <v>234</v>
      </c>
      <c r="EA1709" s="1" t="s">
        <v>1075</v>
      </c>
      <c r="EC1709" s="1" t="s">
        <v>645</v>
      </c>
      <c r="EM1709" s="1" t="s">
        <v>238</v>
      </c>
      <c r="EQ1709" s="1" t="s">
        <v>238</v>
      </c>
      <c r="EU1709" s="1" t="s">
        <v>238</v>
      </c>
      <c r="EY1709" s="1" t="s">
        <v>238</v>
      </c>
      <c r="FC1709" s="1" t="s">
        <v>238</v>
      </c>
      <c r="FF1709" s="1" t="s">
        <v>239</v>
      </c>
      <c r="FG1709" s="1" t="s">
        <v>192</v>
      </c>
      <c r="FH1709" s="1" t="s">
        <v>192</v>
      </c>
      <c r="FJ1709" s="1" t="s">
        <v>3514</v>
      </c>
      <c r="FK1709" s="1" t="s">
        <v>1586</v>
      </c>
      <c r="FL1709" s="1" t="s">
        <v>3455</v>
      </c>
      <c r="FM1709" s="1">
        <v>14856.0</v>
      </c>
      <c r="FN1709" s="1" t="s">
        <v>3456</v>
      </c>
      <c r="FO1709" s="1" t="s">
        <v>16893</v>
      </c>
      <c r="FP1709" s="1">
        <v>127815.0</v>
      </c>
      <c r="FQ1709" s="1" t="s">
        <v>16894</v>
      </c>
      <c r="FU1709" s="1" t="s">
        <v>16895</v>
      </c>
      <c r="FV1709" s="1" t="s">
        <v>200</v>
      </c>
      <c r="FW1709" s="1" t="s">
        <v>567</v>
      </c>
      <c r="FX1709" s="1" t="s">
        <v>246</v>
      </c>
      <c r="FZ1709" s="1" t="s">
        <v>229</v>
      </c>
      <c r="GA1709" s="1" t="s">
        <v>291</v>
      </c>
      <c r="GB1709" s="2">
        <v>41969.0</v>
      </c>
      <c r="GC1709" s="1" t="s">
        <v>3170</v>
      </c>
    </row>
    <row r="1710">
      <c r="A1710" s="1">
        <v>10099.0</v>
      </c>
      <c r="B1710" s="1" t="s">
        <v>185</v>
      </c>
      <c r="C1710" s="1" t="str">
        <f>"08686675"</f>
        <v>08686675</v>
      </c>
      <c r="D1710" s="1" t="s">
        <v>186</v>
      </c>
      <c r="F1710" s="1" t="str">
        <f>"8069"</f>
        <v>8069</v>
      </c>
      <c r="G1710" s="2">
        <v>41849.0</v>
      </c>
      <c r="H1710" s="1">
        <v>35000.0</v>
      </c>
      <c r="I1710" s="1">
        <v>268.0</v>
      </c>
      <c r="J1710" s="1">
        <v>16200.0</v>
      </c>
      <c r="K1710" s="2">
        <v>42025.0</v>
      </c>
      <c r="L1710" s="1">
        <v>177.0</v>
      </c>
      <c r="M1710" s="2">
        <v>42025.0</v>
      </c>
      <c r="N1710" s="1" t="s">
        <v>249</v>
      </c>
      <c r="O1710" s="2">
        <v>42076.0</v>
      </c>
      <c r="P1710" s="1">
        <v>230376.0</v>
      </c>
      <c r="Q1710" s="1">
        <v>23579.0</v>
      </c>
      <c r="S1710" s="1">
        <v>6832.0</v>
      </c>
      <c r="T1710" s="1" t="s">
        <v>16896</v>
      </c>
      <c r="U1710" s="1" t="s">
        <v>569</v>
      </c>
      <c r="V1710" s="1" t="s">
        <v>190</v>
      </c>
      <c r="W1710" s="1">
        <v>60637.0</v>
      </c>
      <c r="Y1710" s="1" t="s">
        <v>16897</v>
      </c>
      <c r="Z1710" s="1">
        <v>1890.0</v>
      </c>
      <c r="AA1710" s="1" t="s">
        <v>192</v>
      </c>
      <c r="AB1710" s="1" t="s">
        <v>193</v>
      </c>
      <c r="AD1710" s="1" t="s">
        <v>194</v>
      </c>
      <c r="AE1710" s="1" t="s">
        <v>195</v>
      </c>
      <c r="AF1710" s="1" t="s">
        <v>637</v>
      </c>
      <c r="AH1710" s="1" t="s">
        <v>359</v>
      </c>
      <c r="AI1710" s="1">
        <v>0.0981</v>
      </c>
      <c r="AK1710" s="1">
        <v>8.0</v>
      </c>
      <c r="AL1710" s="1">
        <v>4.0</v>
      </c>
      <c r="AM1710" s="1">
        <v>2.0</v>
      </c>
      <c r="AN1710" s="1">
        <v>0.0</v>
      </c>
      <c r="AO1710" s="1" t="s">
        <v>198</v>
      </c>
      <c r="AQ1710" s="1" t="s">
        <v>198</v>
      </c>
      <c r="AR1710" s="1" t="s">
        <v>192</v>
      </c>
      <c r="AS1710" s="1" t="s">
        <v>199</v>
      </c>
      <c r="AT1710" s="1">
        <v>2.0</v>
      </c>
      <c r="AV1710" s="1" t="s">
        <v>200</v>
      </c>
      <c r="AW1710" s="1">
        <v>2073.31</v>
      </c>
      <c r="AX1710" s="1">
        <v>2013.0</v>
      </c>
      <c r="AY1710" s="1" t="s">
        <v>387</v>
      </c>
      <c r="AZ1710" s="1" t="s">
        <v>200</v>
      </c>
      <c r="BA1710" s="1" t="str">
        <f>"20223110530000"</f>
        <v>20223110530000</v>
      </c>
      <c r="BB1710" s="1" t="s">
        <v>200</v>
      </c>
      <c r="BC1710" s="1">
        <v>2201.0</v>
      </c>
      <c r="BD1710" s="1">
        <v>10099.0</v>
      </c>
      <c r="BE1710" s="2">
        <v>41849.0</v>
      </c>
      <c r="BF1710" s="2" t="s">
        <v>16898</v>
      </c>
      <c r="BH1710" s="1">
        <v>0.0</v>
      </c>
      <c r="BK1710" s="1" t="s">
        <v>204</v>
      </c>
      <c r="BL1710" s="1" t="str">
        <f>"0"</f>
        <v>0</v>
      </c>
      <c r="BM1710" s="1" t="str">
        <f>"400"</f>
        <v>400</v>
      </c>
      <c r="BN1710" s="1">
        <v>0.0</v>
      </c>
      <c r="BO1710" s="1">
        <v>6800.0</v>
      </c>
      <c r="BQ1710" s="1">
        <v>299.0</v>
      </c>
      <c r="BR1710" s="1">
        <v>299.0</v>
      </c>
      <c r="BS1710" s="1">
        <v>299.0</v>
      </c>
      <c r="BU1710" s="1" t="s">
        <v>1043</v>
      </c>
      <c r="BV1710" s="1" t="s">
        <v>206</v>
      </c>
      <c r="BY1710" s="1" t="s">
        <v>214</v>
      </c>
      <c r="BZ1710" s="1" t="s">
        <v>209</v>
      </c>
      <c r="CC1710" s="1" t="s">
        <v>1600</v>
      </c>
      <c r="CD1710" s="1" t="s">
        <v>206</v>
      </c>
      <c r="CG1710" s="1" t="s">
        <v>215</v>
      </c>
      <c r="CH1710" s="1" t="s">
        <v>209</v>
      </c>
      <c r="CK1710" s="1" t="s">
        <v>495</v>
      </c>
      <c r="CL1710" s="1" t="s">
        <v>209</v>
      </c>
      <c r="CO1710" s="1" t="s">
        <v>1417</v>
      </c>
      <c r="CP1710" s="1" t="s">
        <v>209</v>
      </c>
      <c r="CS1710" s="1" t="s">
        <v>663</v>
      </c>
      <c r="CT1710" s="1" t="s">
        <v>206</v>
      </c>
      <c r="CX1710" s="1" t="s">
        <v>204</v>
      </c>
      <c r="DA1710" s="1" t="s">
        <v>200</v>
      </c>
      <c r="DC1710" s="1" t="s">
        <v>642</v>
      </c>
      <c r="DE1710" s="1" t="s">
        <v>229</v>
      </c>
      <c r="DF1710" s="1" t="s">
        <v>787</v>
      </c>
      <c r="DH1710" s="1" t="s">
        <v>220</v>
      </c>
      <c r="DJ1710" s="1" t="s">
        <v>222</v>
      </c>
      <c r="DL1710" s="1" t="s">
        <v>223</v>
      </c>
      <c r="DM1710" s="1" t="s">
        <v>229</v>
      </c>
      <c r="DQ1710" s="1" t="s">
        <v>718</v>
      </c>
      <c r="DR1710" s="1" t="s">
        <v>229</v>
      </c>
      <c r="DS1710" s="1" t="s">
        <v>230</v>
      </c>
      <c r="DV1710" s="1" t="s">
        <v>449</v>
      </c>
      <c r="DW1710" s="1" t="s">
        <v>279</v>
      </c>
      <c r="DX1710" s="1" t="s">
        <v>234</v>
      </c>
      <c r="DZ1710" s="1" t="s">
        <v>310</v>
      </c>
      <c r="EC1710" s="1" t="s">
        <v>237</v>
      </c>
      <c r="EG1710" s="1" t="s">
        <v>449</v>
      </c>
      <c r="EL1710" s="1" t="s">
        <v>302</v>
      </c>
      <c r="EM1710" s="1" t="s">
        <v>206</v>
      </c>
      <c r="EQ1710" s="1" t="s">
        <v>238</v>
      </c>
      <c r="EU1710" s="1" t="s">
        <v>238</v>
      </c>
      <c r="EY1710" s="1" t="s">
        <v>238</v>
      </c>
      <c r="FC1710" s="1" t="s">
        <v>238</v>
      </c>
      <c r="FF1710" s="1" t="s">
        <v>239</v>
      </c>
      <c r="FG1710" s="1" t="s">
        <v>192</v>
      </c>
      <c r="FH1710" s="1" t="s">
        <v>192</v>
      </c>
      <c r="FJ1710" s="1" t="s">
        <v>1248</v>
      </c>
      <c r="FK1710" s="1" t="s">
        <v>229</v>
      </c>
      <c r="FL1710" s="1" t="s">
        <v>16899</v>
      </c>
      <c r="FM1710" s="1">
        <v>25054.0</v>
      </c>
      <c r="FN1710" s="1" t="s">
        <v>16900</v>
      </c>
      <c r="FO1710" s="1" t="s">
        <v>16901</v>
      </c>
      <c r="FP1710" s="1">
        <v>238323.0</v>
      </c>
      <c r="FU1710" s="1" t="s">
        <v>16902</v>
      </c>
      <c r="FV1710" s="1" t="s">
        <v>200</v>
      </c>
      <c r="FW1710" s="1" t="s">
        <v>16903</v>
      </c>
      <c r="FX1710" s="1" t="s">
        <v>655</v>
      </c>
      <c r="FZ1710" s="1" t="s">
        <v>229</v>
      </c>
      <c r="GA1710" s="1" t="s">
        <v>291</v>
      </c>
      <c r="GB1710" s="2">
        <v>42080.0</v>
      </c>
      <c r="GC1710" s="1" t="s">
        <v>16904</v>
      </c>
    </row>
    <row r="1711">
      <c r="A1711" s="1">
        <v>130000.0</v>
      </c>
      <c r="B1711" s="1" t="s">
        <v>185</v>
      </c>
      <c r="C1711" s="1" t="str">
        <f>"08686066"</f>
        <v>08686066</v>
      </c>
      <c r="D1711" s="1" t="s">
        <v>186</v>
      </c>
      <c r="F1711" s="1" t="str">
        <f>"103"</f>
        <v>103</v>
      </c>
      <c r="G1711" s="2">
        <v>41849.0</v>
      </c>
      <c r="H1711" s="1">
        <v>145900.0</v>
      </c>
      <c r="I1711" s="1">
        <v>134.0</v>
      </c>
      <c r="J1711" s="1">
        <v>140000.0</v>
      </c>
      <c r="K1711" s="2">
        <v>41901.0</v>
      </c>
      <c r="L1711" s="1">
        <v>53.0</v>
      </c>
      <c r="M1711" s="2">
        <v>41901.0</v>
      </c>
      <c r="N1711" s="1" t="s">
        <v>249</v>
      </c>
      <c r="O1711" s="2">
        <v>41989.0</v>
      </c>
      <c r="P1711" s="1">
        <v>26283.0</v>
      </c>
      <c r="Q1711" s="1">
        <v>8089.0</v>
      </c>
      <c r="S1711" s="1">
        <v>1468.0</v>
      </c>
      <c r="T1711" s="1" t="s">
        <v>2918</v>
      </c>
      <c r="U1711" s="1" t="s">
        <v>569</v>
      </c>
      <c r="V1711" s="1" t="s">
        <v>251</v>
      </c>
      <c r="W1711" s="1">
        <v>60133.0</v>
      </c>
      <c r="Y1711" s="1" t="s">
        <v>16905</v>
      </c>
      <c r="Z1711" s="1">
        <v>1970.0</v>
      </c>
      <c r="AA1711" s="1" t="s">
        <v>192</v>
      </c>
      <c r="AB1711" s="1" t="s">
        <v>193</v>
      </c>
      <c r="AD1711" s="1" t="s">
        <v>254</v>
      </c>
      <c r="AE1711" s="1" t="s">
        <v>195</v>
      </c>
      <c r="AF1711" s="1" t="s">
        <v>255</v>
      </c>
      <c r="AH1711" s="1" t="s">
        <v>16906</v>
      </c>
      <c r="AI1711" s="1">
        <v>0.1791</v>
      </c>
      <c r="AK1711" s="1">
        <v>6.0</v>
      </c>
      <c r="AL1711" s="1">
        <v>4.0</v>
      </c>
      <c r="AM1711" s="1">
        <v>2.0</v>
      </c>
      <c r="AN1711" s="1">
        <v>0.0</v>
      </c>
      <c r="AO1711" s="1" t="s">
        <v>229</v>
      </c>
      <c r="AQ1711" s="1" t="s">
        <v>1314</v>
      </c>
      <c r="AR1711" s="1" t="s">
        <v>192</v>
      </c>
      <c r="AS1711" s="1" t="s">
        <v>199</v>
      </c>
      <c r="AT1711" s="1">
        <v>2.0</v>
      </c>
      <c r="AV1711" s="1" t="s">
        <v>200</v>
      </c>
      <c r="AW1711" s="1">
        <v>5512.46</v>
      </c>
      <c r="AX1711" s="1">
        <v>2012.0</v>
      </c>
      <c r="AZ1711" s="1" t="s">
        <v>200</v>
      </c>
      <c r="BA1711" s="1" t="str">
        <f>"07301070110000"</f>
        <v>07301070110000</v>
      </c>
      <c r="BC1711" s="1">
        <v>1149.0</v>
      </c>
      <c r="BD1711" s="1">
        <v>130000.0</v>
      </c>
      <c r="BE1711" s="2">
        <v>41849.0</v>
      </c>
      <c r="BF1711" s="1" t="s">
        <v>16907</v>
      </c>
      <c r="BH1711" s="1">
        <v>0.0</v>
      </c>
      <c r="BK1711" s="1" t="s">
        <v>204</v>
      </c>
      <c r="BL1711" s="1" t="str">
        <f>"9"</f>
        <v>9</v>
      </c>
      <c r="BM1711" s="1" t="str">
        <f>""</f>
        <v/>
      </c>
      <c r="BN1711" s="1">
        <v>26.0</v>
      </c>
      <c r="BQ1711" s="1">
        <v>54.0</v>
      </c>
      <c r="BR1711" s="1">
        <v>211.0</v>
      </c>
      <c r="BS1711" s="1">
        <v>54.0</v>
      </c>
      <c r="BU1711" s="1" t="s">
        <v>544</v>
      </c>
      <c r="BV1711" s="1" t="s">
        <v>206</v>
      </c>
      <c r="BW1711" s="1" t="s">
        <v>210</v>
      </c>
      <c r="BX1711" s="1" t="s">
        <v>261</v>
      </c>
      <c r="BY1711" s="1" t="s">
        <v>262</v>
      </c>
      <c r="BZ1711" s="1" t="s">
        <v>209</v>
      </c>
      <c r="CA1711" s="1" t="s">
        <v>210</v>
      </c>
      <c r="CB1711" s="1" t="s">
        <v>431</v>
      </c>
      <c r="CD1711" s="1" t="s">
        <v>204</v>
      </c>
      <c r="CG1711" s="1" t="s">
        <v>264</v>
      </c>
      <c r="CH1711" s="1" t="s">
        <v>209</v>
      </c>
      <c r="CI1711" s="1" t="s">
        <v>210</v>
      </c>
      <c r="CJ1711" s="1" t="s">
        <v>431</v>
      </c>
      <c r="CK1711" s="1" t="s">
        <v>516</v>
      </c>
      <c r="CL1711" s="1" t="s">
        <v>209</v>
      </c>
      <c r="CM1711" s="1" t="s">
        <v>210</v>
      </c>
      <c r="CN1711" s="1" t="s">
        <v>431</v>
      </c>
      <c r="CO1711" s="1" t="s">
        <v>582</v>
      </c>
      <c r="CP1711" s="1" t="s">
        <v>267</v>
      </c>
      <c r="CQ1711" s="1" t="s">
        <v>268</v>
      </c>
      <c r="CR1711" s="1" t="s">
        <v>431</v>
      </c>
      <c r="CS1711" s="1" t="s">
        <v>541</v>
      </c>
      <c r="CT1711" s="1" t="s">
        <v>206</v>
      </c>
      <c r="CU1711" s="1" t="s">
        <v>588</v>
      </c>
      <c r="CX1711" s="1" t="s">
        <v>204</v>
      </c>
      <c r="DA1711" s="1" t="s">
        <v>200</v>
      </c>
      <c r="DC1711" s="1" t="s">
        <v>517</v>
      </c>
      <c r="DE1711" s="1" t="s">
        <v>273</v>
      </c>
      <c r="DF1711" s="1" t="s">
        <v>219</v>
      </c>
      <c r="DH1711" s="1" t="s">
        <v>365</v>
      </c>
      <c r="DJ1711" s="1" t="s">
        <v>222</v>
      </c>
      <c r="DL1711" s="1" t="s">
        <v>224</v>
      </c>
      <c r="DM1711" s="1" t="s">
        <v>229</v>
      </c>
      <c r="DQ1711" s="1" t="s">
        <v>228</v>
      </c>
      <c r="DR1711" s="1" t="s">
        <v>229</v>
      </c>
      <c r="DV1711" s="1" t="s">
        <v>232</v>
      </c>
      <c r="DW1711" s="1" t="s">
        <v>444</v>
      </c>
      <c r="DX1711" s="1" t="s">
        <v>234</v>
      </c>
      <c r="DZ1711" s="1" t="s">
        <v>282</v>
      </c>
      <c r="EA1711" s="1" t="s">
        <v>283</v>
      </c>
      <c r="EC1711" s="1" t="s">
        <v>284</v>
      </c>
      <c r="EM1711" s="1" t="s">
        <v>238</v>
      </c>
      <c r="EQ1711" s="1" t="s">
        <v>238</v>
      </c>
      <c r="EU1711" s="1" t="s">
        <v>238</v>
      </c>
      <c r="EY1711" s="1" t="s">
        <v>238</v>
      </c>
      <c r="FC1711" s="1" t="s">
        <v>238</v>
      </c>
      <c r="FF1711" s="1" t="s">
        <v>239</v>
      </c>
      <c r="FG1711" s="1" t="s">
        <v>192</v>
      </c>
      <c r="FH1711" s="1" t="s">
        <v>192</v>
      </c>
      <c r="FJ1711" s="1" t="s">
        <v>2156</v>
      </c>
      <c r="FK1711" s="1" t="s">
        <v>229</v>
      </c>
      <c r="FL1711" s="1" t="s">
        <v>16908</v>
      </c>
      <c r="FM1711" s="1">
        <v>24946.0</v>
      </c>
      <c r="FN1711" s="1" t="s">
        <v>16909</v>
      </c>
      <c r="FO1711" s="1" t="s">
        <v>16910</v>
      </c>
      <c r="FP1711" s="1">
        <v>220970.0</v>
      </c>
      <c r="FS1711" s="1" t="s">
        <v>16911</v>
      </c>
      <c r="FU1711" s="1" t="s">
        <v>16912</v>
      </c>
      <c r="FV1711" s="1" t="s">
        <v>200</v>
      </c>
      <c r="FW1711" s="1" t="s">
        <v>290</v>
      </c>
      <c r="FZ1711" s="1" t="s">
        <v>229</v>
      </c>
      <c r="GA1711" s="1" t="s">
        <v>291</v>
      </c>
      <c r="GB1711" s="2">
        <v>42020.0</v>
      </c>
      <c r="GC1711" s="1" t="s">
        <v>16913</v>
      </c>
    </row>
    <row r="1712">
      <c r="A1712" s="1">
        <v>65000.0</v>
      </c>
      <c r="B1712" s="1" t="s">
        <v>185</v>
      </c>
      <c r="C1712" s="1" t="str">
        <f>"08691880"</f>
        <v>08691880</v>
      </c>
      <c r="D1712" s="1" t="s">
        <v>186</v>
      </c>
      <c r="F1712" s="1" t="str">
        <f>"8023"</f>
        <v>8023</v>
      </c>
      <c r="G1712" s="2">
        <v>41855.0</v>
      </c>
      <c r="H1712" s="1">
        <v>70900.0</v>
      </c>
      <c r="I1712" s="1">
        <v>144.0</v>
      </c>
      <c r="J1712" s="1">
        <v>59900.0</v>
      </c>
      <c r="K1712" s="2">
        <v>41995.0</v>
      </c>
      <c r="L1712" s="1">
        <v>144.0</v>
      </c>
      <c r="M1712" s="2">
        <v>41995.0</v>
      </c>
      <c r="N1712" s="1" t="s">
        <v>249</v>
      </c>
      <c r="O1712" s="2">
        <v>42025.0</v>
      </c>
      <c r="P1712" s="1">
        <v>172827.0</v>
      </c>
      <c r="Q1712" s="1">
        <v>84301.0</v>
      </c>
      <c r="S1712" s="1">
        <v>4312.0</v>
      </c>
      <c r="T1712" s="1" t="s">
        <v>16914</v>
      </c>
      <c r="U1712" s="1" t="s">
        <v>189</v>
      </c>
      <c r="V1712" s="1" t="s">
        <v>190</v>
      </c>
      <c r="W1712" s="1">
        <v>60651.0</v>
      </c>
      <c r="Y1712" s="1" t="s">
        <v>16915</v>
      </c>
      <c r="Z1712" s="1">
        <v>1900.0</v>
      </c>
      <c r="AA1712" s="1" t="s">
        <v>192</v>
      </c>
      <c r="AB1712" s="1" t="s">
        <v>193</v>
      </c>
      <c r="AD1712" s="1" t="s">
        <v>194</v>
      </c>
      <c r="AE1712" s="1" t="s">
        <v>195</v>
      </c>
      <c r="AF1712" s="1" t="s">
        <v>2645</v>
      </c>
      <c r="AH1712" s="1" t="s">
        <v>12597</v>
      </c>
      <c r="AI1712" s="1">
        <v>0.0712</v>
      </c>
      <c r="AK1712" s="1">
        <v>7.0</v>
      </c>
      <c r="AL1712" s="1">
        <v>4.0</v>
      </c>
      <c r="AM1712" s="1">
        <v>2.0</v>
      </c>
      <c r="AN1712" s="1">
        <v>0.0</v>
      </c>
      <c r="AO1712" s="1" t="s">
        <v>229</v>
      </c>
      <c r="AQ1712" s="1" t="s">
        <v>198</v>
      </c>
      <c r="AR1712" s="1" t="s">
        <v>200</v>
      </c>
      <c r="AS1712" s="1" t="s">
        <v>199</v>
      </c>
      <c r="AT1712" s="1">
        <v>2.0</v>
      </c>
      <c r="AV1712" s="1" t="s">
        <v>200</v>
      </c>
      <c r="AW1712" s="1">
        <v>2411.93</v>
      </c>
      <c r="AX1712" s="1">
        <v>2012.0</v>
      </c>
      <c r="AZ1712" s="1" t="s">
        <v>200</v>
      </c>
      <c r="BA1712" s="1" t="str">
        <f>"16032200350000"</f>
        <v>16032200350000</v>
      </c>
      <c r="BC1712" s="1">
        <v>1500.0</v>
      </c>
      <c r="BD1712" s="1">
        <v>65000.0</v>
      </c>
      <c r="BE1712" s="2">
        <v>41852.0</v>
      </c>
      <c r="BF1712" s="1" t="s">
        <v>16916</v>
      </c>
      <c r="BH1712" s="1">
        <v>0.0</v>
      </c>
      <c r="BK1712" s="1" t="s">
        <v>204</v>
      </c>
      <c r="BL1712" s="1" t="str">
        <f>"1332"</f>
        <v>1332</v>
      </c>
      <c r="BM1712" s="1" t="str">
        <f>"0"</f>
        <v>0</v>
      </c>
      <c r="BN1712" s="1">
        <v>4312.0</v>
      </c>
      <c r="BO1712" s="1">
        <v>0.0</v>
      </c>
      <c r="BQ1712" s="1">
        <v>299.0</v>
      </c>
      <c r="BR1712" s="1">
        <v>299.0</v>
      </c>
      <c r="BS1712" s="1">
        <v>299.0</v>
      </c>
      <c r="BU1712" s="1" t="s">
        <v>433</v>
      </c>
      <c r="BV1712" s="1" t="s">
        <v>206</v>
      </c>
      <c r="BW1712" s="1" t="s">
        <v>207</v>
      </c>
      <c r="BY1712" s="1" t="s">
        <v>663</v>
      </c>
      <c r="BZ1712" s="1" t="s">
        <v>206</v>
      </c>
      <c r="CA1712" s="1" t="s">
        <v>207</v>
      </c>
      <c r="CC1712" s="1" t="s">
        <v>264</v>
      </c>
      <c r="CD1712" s="1" t="s">
        <v>206</v>
      </c>
      <c r="CE1712" s="1" t="s">
        <v>207</v>
      </c>
      <c r="CG1712" s="1" t="s">
        <v>269</v>
      </c>
      <c r="CH1712" s="1" t="s">
        <v>206</v>
      </c>
      <c r="CI1712" s="1" t="s">
        <v>207</v>
      </c>
      <c r="CK1712" s="1" t="s">
        <v>392</v>
      </c>
      <c r="CL1712" s="1" t="s">
        <v>209</v>
      </c>
      <c r="CO1712" s="1" t="s">
        <v>269</v>
      </c>
      <c r="CP1712" s="1" t="s">
        <v>209</v>
      </c>
      <c r="CS1712" s="1" t="s">
        <v>516</v>
      </c>
      <c r="CT1712" s="1" t="s">
        <v>206</v>
      </c>
      <c r="CU1712" s="1" t="s">
        <v>617</v>
      </c>
      <c r="CX1712" s="1" t="s">
        <v>204</v>
      </c>
      <c r="DA1712" s="1" t="s">
        <v>200</v>
      </c>
      <c r="DC1712" s="1" t="s">
        <v>642</v>
      </c>
      <c r="DE1712" s="1" t="s">
        <v>273</v>
      </c>
      <c r="DF1712" s="1" t="s">
        <v>619</v>
      </c>
      <c r="DH1712" s="1" t="s">
        <v>365</v>
      </c>
      <c r="DJ1712" s="1" t="s">
        <v>222</v>
      </c>
      <c r="DL1712" s="1" t="s">
        <v>858</v>
      </c>
      <c r="DM1712" s="1" t="s">
        <v>229</v>
      </c>
      <c r="DQ1712" s="1" t="s">
        <v>718</v>
      </c>
      <c r="DR1712" s="1" t="s">
        <v>229</v>
      </c>
      <c r="DV1712" s="1" t="s">
        <v>232</v>
      </c>
      <c r="DW1712" s="1" t="s">
        <v>233</v>
      </c>
      <c r="DX1712" s="1" t="s">
        <v>1287</v>
      </c>
      <c r="EC1712" s="1" t="s">
        <v>237</v>
      </c>
      <c r="EM1712" s="1" t="s">
        <v>238</v>
      </c>
      <c r="EQ1712" s="1" t="s">
        <v>238</v>
      </c>
      <c r="EU1712" s="1" t="s">
        <v>238</v>
      </c>
      <c r="EY1712" s="1" t="s">
        <v>238</v>
      </c>
      <c r="FC1712" s="1" t="s">
        <v>238</v>
      </c>
      <c r="FF1712" s="1" t="s">
        <v>239</v>
      </c>
      <c r="FG1712" s="1" t="s">
        <v>192</v>
      </c>
      <c r="FH1712" s="1" t="s">
        <v>192</v>
      </c>
      <c r="FJ1712" s="1" t="s">
        <v>1248</v>
      </c>
      <c r="FK1712" s="1" t="s">
        <v>229</v>
      </c>
      <c r="FL1712" s="1" t="s">
        <v>5360</v>
      </c>
      <c r="FM1712" s="1">
        <v>15213.0</v>
      </c>
      <c r="FN1712" s="1" t="s">
        <v>5361</v>
      </c>
      <c r="FO1712" s="1" t="s">
        <v>16917</v>
      </c>
      <c r="FP1712" s="1">
        <v>133305.0</v>
      </c>
      <c r="FQ1712" s="1" t="s">
        <v>16918</v>
      </c>
      <c r="FR1712" s="1">
        <v>157163.0</v>
      </c>
      <c r="FU1712" s="1" t="s">
        <v>8680</v>
      </c>
      <c r="FV1712" s="1" t="s">
        <v>200</v>
      </c>
      <c r="FW1712" s="1" t="s">
        <v>354</v>
      </c>
      <c r="FX1712" s="1" t="s">
        <v>246</v>
      </c>
      <c r="FZ1712" s="1" t="s">
        <v>229</v>
      </c>
      <c r="GA1712" s="1" t="s">
        <v>291</v>
      </c>
      <c r="GB1712" s="2">
        <v>42026.0</v>
      </c>
      <c r="GC1712" s="1" t="s">
        <v>16919</v>
      </c>
    </row>
    <row r="1713">
      <c r="A1713" s="1">
        <v>715000.0</v>
      </c>
      <c r="B1713" s="1" t="s">
        <v>185</v>
      </c>
      <c r="C1713" s="1" t="str">
        <f>"08701996"</f>
        <v>08701996</v>
      </c>
      <c r="D1713" s="1" t="s">
        <v>186</v>
      </c>
      <c r="F1713" s="1" t="str">
        <f>"10"</f>
        <v>10</v>
      </c>
      <c r="G1713" s="2">
        <v>41865.0</v>
      </c>
      <c r="H1713" s="1">
        <v>750000.0</v>
      </c>
      <c r="I1713" s="1">
        <v>131.0</v>
      </c>
      <c r="J1713" s="1">
        <v>750000.0</v>
      </c>
      <c r="K1713" s="2">
        <v>41995.0</v>
      </c>
      <c r="L1713" s="1">
        <v>131.0</v>
      </c>
      <c r="M1713" s="2">
        <v>41995.0</v>
      </c>
      <c r="N1713" s="1" t="s">
        <v>187</v>
      </c>
      <c r="O1713" s="2">
        <v>42069.0</v>
      </c>
      <c r="P1713" s="1">
        <v>144274.0</v>
      </c>
      <c r="Q1713" s="1">
        <v>17090.0</v>
      </c>
      <c r="S1713" s="1">
        <v>33.0</v>
      </c>
      <c r="T1713" s="1" t="s">
        <v>16920</v>
      </c>
      <c r="U1713" s="1" t="s">
        <v>1174</v>
      </c>
      <c r="V1713" s="1" t="s">
        <v>11508</v>
      </c>
      <c r="W1713" s="1">
        <v>60010.0</v>
      </c>
      <c r="Y1713" s="1" t="s">
        <v>16921</v>
      </c>
      <c r="Z1713" s="1">
        <v>2001.0</v>
      </c>
      <c r="AA1713" s="1" t="s">
        <v>200</v>
      </c>
      <c r="AB1713" s="1" t="s">
        <v>467</v>
      </c>
      <c r="AC1713" s="1" t="s">
        <v>15168</v>
      </c>
      <c r="AD1713" s="1" t="s">
        <v>11511</v>
      </c>
      <c r="AE1713" s="1" t="s">
        <v>917</v>
      </c>
      <c r="AF1713" s="1" t="s">
        <v>918</v>
      </c>
      <c r="AG1713" s="1" t="s">
        <v>16922</v>
      </c>
      <c r="AH1713" s="1" t="s">
        <v>16923</v>
      </c>
      <c r="AI1713" s="1">
        <v>0.37</v>
      </c>
      <c r="AK1713" s="1">
        <v>11.0</v>
      </c>
      <c r="AL1713" s="1">
        <v>3.0</v>
      </c>
      <c r="AM1713" s="1">
        <v>4.0</v>
      </c>
      <c r="AN1713" s="1">
        <v>1.0</v>
      </c>
      <c r="AO1713" s="1" t="s">
        <v>198</v>
      </c>
      <c r="AP1713" s="1">
        <v>1.0</v>
      </c>
      <c r="AQ1713" s="1" t="s">
        <v>198</v>
      </c>
      <c r="AR1713" s="1" t="s">
        <v>192</v>
      </c>
      <c r="AS1713" s="1" t="s">
        <v>199</v>
      </c>
      <c r="AT1713" s="1">
        <v>3.0</v>
      </c>
      <c r="AV1713" s="1" t="s">
        <v>200</v>
      </c>
      <c r="AW1713" s="1">
        <v>12260.26</v>
      </c>
      <c r="AX1713" s="1">
        <v>2013.0</v>
      </c>
      <c r="AY1713" s="1" t="s">
        <v>229</v>
      </c>
      <c r="AZ1713" s="1" t="s">
        <v>200</v>
      </c>
      <c r="BA1713" s="1" t="str">
        <f>"14073010670000"</f>
        <v>14073010670000</v>
      </c>
      <c r="BC1713" s="1">
        <v>4004.0</v>
      </c>
      <c r="BD1713" s="1">
        <v>715000.0</v>
      </c>
      <c r="BE1713" s="2">
        <v>41865.0</v>
      </c>
      <c r="BF1713" s="2" t="s">
        <v>16924</v>
      </c>
      <c r="BH1713" s="1">
        <v>200.0</v>
      </c>
      <c r="BK1713" s="1" t="s">
        <v>474</v>
      </c>
      <c r="BL1713" s="1" t="str">
        <f t="shared" ref="BL1713:BM1713" si="1124">""</f>
        <v/>
      </c>
      <c r="BM1713" s="1" t="str">
        <f t="shared" si="1124"/>
        <v/>
      </c>
      <c r="BQ1713" s="1">
        <v>95.0</v>
      </c>
      <c r="BR1713" s="1">
        <v>95.0</v>
      </c>
      <c r="BS1713" s="1">
        <v>95.0</v>
      </c>
      <c r="BV1713" s="1" t="s">
        <v>204</v>
      </c>
      <c r="BY1713" s="1" t="s">
        <v>715</v>
      </c>
      <c r="BZ1713" s="1" t="s">
        <v>206</v>
      </c>
      <c r="CA1713" s="1" t="s">
        <v>210</v>
      </c>
      <c r="CB1713" s="1" t="s">
        <v>239</v>
      </c>
      <c r="CC1713" s="1" t="s">
        <v>211</v>
      </c>
      <c r="CD1713" s="1" t="s">
        <v>206</v>
      </c>
      <c r="CE1713" s="1" t="s">
        <v>207</v>
      </c>
      <c r="CF1713" s="1" t="s">
        <v>431</v>
      </c>
      <c r="CG1713" s="1" t="s">
        <v>758</v>
      </c>
      <c r="CH1713" s="1" t="s">
        <v>209</v>
      </c>
      <c r="CI1713" s="1" t="s">
        <v>210</v>
      </c>
      <c r="CJ1713" s="1" t="s">
        <v>431</v>
      </c>
      <c r="CK1713" s="1" t="s">
        <v>515</v>
      </c>
      <c r="CL1713" s="1" t="s">
        <v>209</v>
      </c>
      <c r="CM1713" s="1" t="s">
        <v>210</v>
      </c>
      <c r="CN1713" s="1" t="s">
        <v>431</v>
      </c>
      <c r="CO1713" s="1" t="s">
        <v>211</v>
      </c>
      <c r="CP1713" s="1" t="s">
        <v>42</v>
      </c>
      <c r="CQ1713" s="1" t="s">
        <v>210</v>
      </c>
      <c r="CR1713" s="1" t="s">
        <v>431</v>
      </c>
      <c r="CS1713" s="1" t="s">
        <v>813</v>
      </c>
      <c r="CT1713" s="1" t="s">
        <v>206</v>
      </c>
      <c r="CU1713" s="1" t="s">
        <v>1065</v>
      </c>
      <c r="CV1713" s="1" t="s">
        <v>229</v>
      </c>
      <c r="CX1713" s="1" t="s">
        <v>204</v>
      </c>
      <c r="DA1713" s="1" t="s">
        <v>200</v>
      </c>
      <c r="DC1713" s="1" t="s">
        <v>335</v>
      </c>
      <c r="DD1713" s="1" t="s">
        <v>586</v>
      </c>
      <c r="DE1713" s="1" t="s">
        <v>3750</v>
      </c>
      <c r="DF1713" s="1" t="s">
        <v>2328</v>
      </c>
      <c r="DG1713" s="1" t="s">
        <v>16925</v>
      </c>
      <c r="DH1713" s="1" t="s">
        <v>10690</v>
      </c>
      <c r="DI1713" s="1" t="s">
        <v>16926</v>
      </c>
      <c r="DJ1713" s="1" t="s">
        <v>16927</v>
      </c>
      <c r="DK1713" s="1" t="s">
        <v>223</v>
      </c>
      <c r="DL1713" s="1" t="s">
        <v>224</v>
      </c>
      <c r="DM1713" s="1" t="s">
        <v>338</v>
      </c>
      <c r="DN1713" s="1" t="s">
        <v>399</v>
      </c>
      <c r="DO1713" s="1" t="s">
        <v>16928</v>
      </c>
      <c r="DP1713" s="1" t="s">
        <v>340</v>
      </c>
      <c r="DQ1713" s="1" t="s">
        <v>441</v>
      </c>
      <c r="DR1713" s="1" t="s">
        <v>16929</v>
      </c>
      <c r="DS1713" s="1" t="s">
        <v>368</v>
      </c>
      <c r="DU1713" s="1" t="s">
        <v>16930</v>
      </c>
      <c r="DV1713" s="1" t="s">
        <v>16931</v>
      </c>
      <c r="DW1713" s="1" t="s">
        <v>1820</v>
      </c>
      <c r="DX1713" s="1" t="s">
        <v>3205</v>
      </c>
      <c r="DY1713" s="1" t="s">
        <v>9915</v>
      </c>
      <c r="DZ1713" s="1" t="s">
        <v>16932</v>
      </c>
      <c r="EA1713" s="1" t="s">
        <v>1075</v>
      </c>
      <c r="EB1713" s="1" t="s">
        <v>1639</v>
      </c>
      <c r="EC1713" s="1" t="s">
        <v>237</v>
      </c>
      <c r="ED1713" s="1" t="s">
        <v>407</v>
      </c>
      <c r="EE1713" s="1" t="s">
        <v>187</v>
      </c>
      <c r="EG1713" s="1" t="s">
        <v>1961</v>
      </c>
      <c r="EH1713" s="1" t="s">
        <v>1164</v>
      </c>
      <c r="EI1713" s="1" t="s">
        <v>450</v>
      </c>
      <c r="EJ1713" s="1" t="s">
        <v>1729</v>
      </c>
      <c r="EK1713" s="1" t="s">
        <v>341</v>
      </c>
      <c r="EL1713" s="1" t="s">
        <v>260</v>
      </c>
      <c r="EM1713" s="1" t="s">
        <v>206</v>
      </c>
      <c r="EN1713" s="1" t="s">
        <v>207</v>
      </c>
      <c r="EO1713" s="1" t="s">
        <v>431</v>
      </c>
      <c r="EP1713" s="1" t="s">
        <v>1279</v>
      </c>
      <c r="EQ1713" s="1" t="s">
        <v>206</v>
      </c>
      <c r="ER1713" s="1" t="s">
        <v>207</v>
      </c>
      <c r="ES1713" s="1" t="s">
        <v>229</v>
      </c>
      <c r="ET1713" s="1" t="s">
        <v>16933</v>
      </c>
      <c r="EU1713" s="1" t="s">
        <v>42</v>
      </c>
      <c r="EV1713" s="1" t="s">
        <v>210</v>
      </c>
      <c r="EW1713" s="1" t="s">
        <v>229</v>
      </c>
      <c r="EX1713" s="1" t="s">
        <v>262</v>
      </c>
      <c r="EY1713" s="1" t="s">
        <v>206</v>
      </c>
      <c r="EZ1713" s="1" t="s">
        <v>1065</v>
      </c>
      <c r="FA1713" s="1" t="s">
        <v>431</v>
      </c>
      <c r="FB1713" s="1" t="s">
        <v>211</v>
      </c>
      <c r="FC1713" s="1" t="s">
        <v>209</v>
      </c>
      <c r="FD1713" s="1" t="s">
        <v>210</v>
      </c>
      <c r="FE1713" s="1" t="s">
        <v>229</v>
      </c>
      <c r="FF1713" s="1" t="s">
        <v>239</v>
      </c>
      <c r="FG1713" s="1" t="s">
        <v>200</v>
      </c>
      <c r="FH1713" s="1" t="s">
        <v>192</v>
      </c>
      <c r="FJ1713" s="1" t="s">
        <v>7102</v>
      </c>
      <c r="FK1713" s="1" t="s">
        <v>348</v>
      </c>
      <c r="FL1713" s="1" t="s">
        <v>10171</v>
      </c>
      <c r="FM1713" s="1">
        <v>6094.0</v>
      </c>
      <c r="FN1713" s="1" t="s">
        <v>16934</v>
      </c>
      <c r="FO1713" s="1" t="s">
        <v>16935</v>
      </c>
      <c r="FP1713" s="1">
        <v>38283.0</v>
      </c>
      <c r="FQ1713" s="1" t="s">
        <v>16936</v>
      </c>
      <c r="FS1713" s="1" t="s">
        <v>16937</v>
      </c>
      <c r="FU1713" s="1" t="s">
        <v>16938</v>
      </c>
      <c r="FV1713" s="1" t="s">
        <v>200</v>
      </c>
      <c r="FW1713" s="1" t="s">
        <v>530</v>
      </c>
      <c r="FZ1713" s="1" t="s">
        <v>229</v>
      </c>
      <c r="GA1713" s="1" t="s">
        <v>291</v>
      </c>
      <c r="GB1713" s="2">
        <v>42069.0</v>
      </c>
      <c r="GC1713" s="1" t="s">
        <v>16939</v>
      </c>
    </row>
    <row r="1714">
      <c r="A1714" s="1">
        <v>335000.0</v>
      </c>
      <c r="B1714" s="1" t="s">
        <v>185</v>
      </c>
      <c r="C1714" s="1" t="str">
        <f>"08691784"</f>
        <v>08691784</v>
      </c>
      <c r="D1714" s="1" t="s">
        <v>186</v>
      </c>
      <c r="F1714" s="1" t="str">
        <f>"115"</f>
        <v>115</v>
      </c>
      <c r="G1714" s="2">
        <v>41855.0</v>
      </c>
      <c r="H1714" s="1">
        <v>375000.0</v>
      </c>
      <c r="I1714" s="1">
        <v>119.0</v>
      </c>
      <c r="J1714" s="1">
        <v>365000.0</v>
      </c>
      <c r="K1714" s="2">
        <v>41943.0</v>
      </c>
      <c r="L1714" s="1">
        <v>89.0</v>
      </c>
      <c r="M1714" s="2">
        <v>41943.0</v>
      </c>
      <c r="N1714" s="1" t="s">
        <v>187</v>
      </c>
      <c r="O1714" s="2">
        <v>41969.0</v>
      </c>
      <c r="P1714" s="1">
        <v>237448.0</v>
      </c>
      <c r="Q1714" s="1">
        <v>24811.0</v>
      </c>
      <c r="S1714" s="1">
        <v>8442.0</v>
      </c>
      <c r="T1714" s="1" t="s">
        <v>16940</v>
      </c>
      <c r="U1714" s="1" t="s">
        <v>464</v>
      </c>
      <c r="V1714" s="1" t="s">
        <v>610</v>
      </c>
      <c r="W1714" s="1">
        <v>60115.0</v>
      </c>
      <c r="Y1714" s="1" t="s">
        <v>16941</v>
      </c>
      <c r="Z1714" s="1" t="s">
        <v>296</v>
      </c>
      <c r="AA1714" s="1" t="s">
        <v>192</v>
      </c>
      <c r="AB1714" s="1" t="s">
        <v>193</v>
      </c>
      <c r="AD1714" s="1" t="s">
        <v>612</v>
      </c>
      <c r="AE1714" s="1" t="s">
        <v>613</v>
      </c>
      <c r="AF1714" s="1" t="s">
        <v>612</v>
      </c>
      <c r="AH1714" s="1" t="s">
        <v>16942</v>
      </c>
      <c r="AI1714" s="1">
        <v>3.7</v>
      </c>
      <c r="AK1714" s="1">
        <v>10.0</v>
      </c>
      <c r="AL1714" s="1">
        <v>4.0</v>
      </c>
      <c r="AM1714" s="1">
        <v>3.0</v>
      </c>
      <c r="AN1714" s="1">
        <v>1.0</v>
      </c>
      <c r="AO1714" s="1" t="s">
        <v>198</v>
      </c>
      <c r="AP1714" s="1">
        <v>2.0</v>
      </c>
      <c r="AQ1714" s="1" t="s">
        <v>472</v>
      </c>
      <c r="AR1714" s="1" t="s">
        <v>192</v>
      </c>
      <c r="AS1714" s="1" t="s">
        <v>199</v>
      </c>
      <c r="AT1714" s="1">
        <v>3.0</v>
      </c>
      <c r="AV1714" s="1" t="s">
        <v>200</v>
      </c>
      <c r="AW1714" s="1">
        <v>6404.92</v>
      </c>
      <c r="AX1714" s="1">
        <v>2013.0</v>
      </c>
      <c r="AY1714" s="1" t="s">
        <v>387</v>
      </c>
      <c r="AZ1714" s="1" t="s">
        <v>200</v>
      </c>
      <c r="BA1714" s="1" t="str">
        <f>"0804300002"</f>
        <v>0804300002</v>
      </c>
      <c r="BC1714" s="1">
        <v>2901.0</v>
      </c>
      <c r="BD1714" s="1">
        <v>335000.0</v>
      </c>
      <c r="BE1714" s="2">
        <v>41855.0</v>
      </c>
      <c r="BF1714" s="2" t="s">
        <v>16943</v>
      </c>
      <c r="BH1714" s="1">
        <v>0.0</v>
      </c>
      <c r="BK1714" s="1" t="s">
        <v>204</v>
      </c>
      <c r="BL1714" s="1" t="str">
        <f t="shared" ref="BL1714:BM1714" si="1125">""</f>
        <v/>
      </c>
      <c r="BM1714" s="1" t="str">
        <f t="shared" si="1125"/>
        <v/>
      </c>
      <c r="BQ1714" s="1">
        <v>428.0</v>
      </c>
      <c r="BR1714" s="1">
        <v>428.0</v>
      </c>
      <c r="BS1714" s="1">
        <v>428.0</v>
      </c>
      <c r="BU1714" s="1" t="s">
        <v>361</v>
      </c>
      <c r="BV1714" s="1" t="s">
        <v>206</v>
      </c>
      <c r="BW1714" s="1" t="s">
        <v>210</v>
      </c>
      <c r="BY1714" s="1" t="s">
        <v>6146</v>
      </c>
      <c r="BZ1714" s="1" t="s">
        <v>209</v>
      </c>
      <c r="CA1714" s="1" t="s">
        <v>210</v>
      </c>
      <c r="CC1714" s="1" t="s">
        <v>260</v>
      </c>
      <c r="CD1714" s="1" t="s">
        <v>206</v>
      </c>
      <c r="CE1714" s="1" t="s">
        <v>210</v>
      </c>
      <c r="CG1714" s="1" t="s">
        <v>433</v>
      </c>
      <c r="CH1714" s="1" t="s">
        <v>209</v>
      </c>
      <c r="CI1714" s="1" t="s">
        <v>210</v>
      </c>
      <c r="CK1714" s="1" t="s">
        <v>332</v>
      </c>
      <c r="CL1714" s="1" t="s">
        <v>209</v>
      </c>
      <c r="CM1714" s="1" t="s">
        <v>207</v>
      </c>
      <c r="CO1714" s="1" t="s">
        <v>264</v>
      </c>
      <c r="CP1714" s="1" t="s">
        <v>206</v>
      </c>
      <c r="CQ1714" s="1" t="s">
        <v>207</v>
      </c>
      <c r="CS1714" s="1" t="s">
        <v>1483</v>
      </c>
      <c r="CT1714" s="1" t="s">
        <v>206</v>
      </c>
      <c r="CU1714" s="1" t="s">
        <v>617</v>
      </c>
      <c r="CW1714" s="1" t="s">
        <v>4568</v>
      </c>
      <c r="CX1714" s="1" t="s">
        <v>206</v>
      </c>
      <c r="CY1714" s="1" t="s">
        <v>210</v>
      </c>
      <c r="DA1714" s="1" t="s">
        <v>200</v>
      </c>
      <c r="DC1714" s="1" t="s">
        <v>545</v>
      </c>
      <c r="DD1714" s="1" t="s">
        <v>3633</v>
      </c>
      <c r="DE1714" s="1" t="s">
        <v>273</v>
      </c>
      <c r="DF1714" s="1" t="s">
        <v>16944</v>
      </c>
      <c r="DG1714" s="1" t="s">
        <v>1553</v>
      </c>
      <c r="DH1714" s="1" t="s">
        <v>856</v>
      </c>
      <c r="DI1714" s="1" t="s">
        <v>732</v>
      </c>
      <c r="DJ1714" s="1" t="s">
        <v>857</v>
      </c>
      <c r="DK1714" s="1" t="s">
        <v>7069</v>
      </c>
      <c r="DL1714" s="1" t="s">
        <v>223</v>
      </c>
      <c r="DM1714" s="1" t="s">
        <v>338</v>
      </c>
      <c r="DN1714" s="1" t="s">
        <v>439</v>
      </c>
      <c r="DP1714" s="1" t="s">
        <v>340</v>
      </c>
      <c r="DQ1714" s="1" t="s">
        <v>4389</v>
      </c>
      <c r="DR1714" s="1" t="s">
        <v>229</v>
      </c>
      <c r="DS1714" s="1" t="s">
        <v>230</v>
      </c>
      <c r="DU1714" s="1" t="s">
        <v>16945</v>
      </c>
      <c r="DV1714" s="1" t="s">
        <v>16946</v>
      </c>
      <c r="DW1714" s="1" t="s">
        <v>233</v>
      </c>
      <c r="DX1714" s="1" t="s">
        <v>234</v>
      </c>
      <c r="DY1714" s="1" t="s">
        <v>16947</v>
      </c>
      <c r="DZ1714" s="1" t="s">
        <v>13440</v>
      </c>
      <c r="EA1714" s="1" t="s">
        <v>3577</v>
      </c>
      <c r="EB1714" s="1" t="s">
        <v>684</v>
      </c>
      <c r="EC1714" s="1" t="s">
        <v>237</v>
      </c>
      <c r="ED1714" s="1" t="s">
        <v>312</v>
      </c>
      <c r="EG1714" s="1" t="s">
        <v>408</v>
      </c>
      <c r="EH1714" s="1" t="s">
        <v>114</v>
      </c>
      <c r="EI1714" s="1" t="s">
        <v>598</v>
      </c>
      <c r="EL1714" s="1" t="s">
        <v>3596</v>
      </c>
      <c r="EM1714" s="1" t="s">
        <v>206</v>
      </c>
      <c r="EN1714" s="1" t="s">
        <v>268</v>
      </c>
      <c r="EP1714" s="1" t="s">
        <v>16948</v>
      </c>
      <c r="EQ1714" s="1" t="s">
        <v>391</v>
      </c>
      <c r="ER1714" s="1" t="s">
        <v>588</v>
      </c>
      <c r="ET1714" s="1" t="s">
        <v>269</v>
      </c>
      <c r="EU1714" s="1" t="s">
        <v>206</v>
      </c>
      <c r="EV1714" s="1" t="s">
        <v>210</v>
      </c>
      <c r="EY1714" s="1" t="s">
        <v>238</v>
      </c>
      <c r="FC1714" s="1" t="s">
        <v>238</v>
      </c>
      <c r="FF1714" s="1" t="s">
        <v>239</v>
      </c>
      <c r="FG1714" s="1" t="s">
        <v>192</v>
      </c>
      <c r="FH1714" s="1" t="s">
        <v>192</v>
      </c>
      <c r="FJ1714" s="1" t="s">
        <v>285</v>
      </c>
      <c r="FK1714" s="1" t="s">
        <v>229</v>
      </c>
      <c r="FL1714" s="1" t="s">
        <v>456</v>
      </c>
      <c r="FM1714" s="1">
        <v>49.0</v>
      </c>
      <c r="FN1714" s="1" t="s">
        <v>457</v>
      </c>
      <c r="FO1714" s="1" t="s">
        <v>7305</v>
      </c>
      <c r="FP1714" s="1">
        <v>7198.0</v>
      </c>
      <c r="FQ1714" s="1" t="s">
        <v>7306</v>
      </c>
      <c r="FU1714" s="1" t="s">
        <v>16949</v>
      </c>
      <c r="FV1714" s="1" t="s">
        <v>200</v>
      </c>
      <c r="FW1714" s="1" t="s">
        <v>290</v>
      </c>
      <c r="FZ1714" s="1" t="s">
        <v>229</v>
      </c>
      <c r="GA1714" s="1" t="s">
        <v>291</v>
      </c>
      <c r="GB1714" s="2">
        <v>41969.0</v>
      </c>
      <c r="GC1714" s="1" t="s">
        <v>16950</v>
      </c>
    </row>
    <row r="1715">
      <c r="A1715" s="1">
        <v>107300.0</v>
      </c>
      <c r="B1715" s="1" t="s">
        <v>185</v>
      </c>
      <c r="C1715" s="1" t="str">
        <f>"08692991"</f>
        <v>08692991</v>
      </c>
      <c r="D1715" s="1" t="s">
        <v>186</v>
      </c>
      <c r="F1715" s="1" t="str">
        <f>"8065"</f>
        <v>8065</v>
      </c>
      <c r="G1715" s="2">
        <v>41856.0</v>
      </c>
      <c r="H1715" s="1">
        <v>161700.0</v>
      </c>
      <c r="I1715" s="1">
        <v>148.0</v>
      </c>
      <c r="J1715" s="1">
        <v>119900.0</v>
      </c>
      <c r="K1715" s="2">
        <v>42003.0</v>
      </c>
      <c r="L1715" s="1">
        <v>148.0</v>
      </c>
      <c r="M1715" s="2">
        <v>42003.0</v>
      </c>
      <c r="N1715" s="1" t="s">
        <v>249</v>
      </c>
      <c r="O1715" s="2">
        <v>42031.0</v>
      </c>
      <c r="P1715" s="1">
        <v>185746.0</v>
      </c>
      <c r="Q1715" s="1">
        <v>12511.0</v>
      </c>
      <c r="S1715" s="1">
        <v>6619.0</v>
      </c>
      <c r="T1715" s="1" t="s">
        <v>16951</v>
      </c>
      <c r="U1715" s="1" t="s">
        <v>189</v>
      </c>
      <c r="V1715" s="1" t="s">
        <v>190</v>
      </c>
      <c r="W1715" s="1">
        <v>60629.0</v>
      </c>
      <c r="Y1715" s="1" t="s">
        <v>16952</v>
      </c>
      <c r="Z1715" s="1">
        <v>1951.0</v>
      </c>
      <c r="AA1715" s="1" t="s">
        <v>192</v>
      </c>
      <c r="AB1715" s="1" t="s">
        <v>193</v>
      </c>
      <c r="AD1715" s="1" t="s">
        <v>194</v>
      </c>
      <c r="AE1715" s="1" t="s">
        <v>195</v>
      </c>
      <c r="AF1715" s="1" t="s">
        <v>659</v>
      </c>
      <c r="AH1715" s="1">
        <v>3750.0</v>
      </c>
      <c r="AI1715" s="1">
        <v>0.0861</v>
      </c>
      <c r="AK1715" s="1">
        <v>7.0</v>
      </c>
      <c r="AL1715" s="1">
        <v>4.0</v>
      </c>
      <c r="AM1715" s="1">
        <v>2.0</v>
      </c>
      <c r="AN1715" s="1">
        <v>0.0</v>
      </c>
      <c r="AO1715" s="1" t="s">
        <v>229</v>
      </c>
      <c r="AQ1715" s="1" t="s">
        <v>198</v>
      </c>
      <c r="AR1715" s="1" t="s">
        <v>200</v>
      </c>
      <c r="AS1715" s="1" t="s">
        <v>199</v>
      </c>
      <c r="AT1715" s="1">
        <v>2.0</v>
      </c>
      <c r="AV1715" s="1" t="s">
        <v>200</v>
      </c>
      <c r="AW1715" s="1">
        <v>2128.16</v>
      </c>
      <c r="AX1715" s="1">
        <v>2012.0</v>
      </c>
      <c r="AZ1715" s="1" t="s">
        <v>200</v>
      </c>
      <c r="BA1715" s="1" t="str">
        <f>"19221260070000"</f>
        <v>19221260070000</v>
      </c>
      <c r="BC1715" s="1">
        <v>0.0</v>
      </c>
      <c r="BD1715" s="1">
        <v>107300.0</v>
      </c>
      <c r="BE1715" s="2">
        <v>41856.0</v>
      </c>
      <c r="BF1715" s="1" t="s">
        <v>16953</v>
      </c>
      <c r="BH1715" s="1">
        <v>0.0</v>
      </c>
      <c r="BK1715" s="1" t="s">
        <v>204</v>
      </c>
      <c r="BL1715" s="1" t="str">
        <f t="shared" ref="BL1715:BM1715" si="1126">"0"</f>
        <v>0</v>
      </c>
      <c r="BM1715" s="1" t="str">
        <f t="shared" si="1126"/>
        <v>0</v>
      </c>
      <c r="BN1715" s="1">
        <v>4500.0</v>
      </c>
      <c r="BO1715" s="1">
        <v>6619.0</v>
      </c>
      <c r="BQ1715" s="1">
        <v>299.0</v>
      </c>
      <c r="BR1715" s="1">
        <v>299.0</v>
      </c>
      <c r="BS1715" s="1">
        <v>299.0</v>
      </c>
      <c r="BU1715" s="1" t="s">
        <v>647</v>
      </c>
      <c r="BV1715" s="1" t="s">
        <v>206</v>
      </c>
      <c r="BY1715" s="1" t="s">
        <v>363</v>
      </c>
      <c r="BZ1715" s="1" t="s">
        <v>206</v>
      </c>
      <c r="CD1715" s="1" t="s">
        <v>204</v>
      </c>
      <c r="CG1715" s="1" t="s">
        <v>495</v>
      </c>
      <c r="CH1715" s="1" t="s">
        <v>206</v>
      </c>
      <c r="CK1715" s="1" t="s">
        <v>363</v>
      </c>
      <c r="CL1715" s="1" t="s">
        <v>209</v>
      </c>
      <c r="CO1715" s="1" t="s">
        <v>454</v>
      </c>
      <c r="CP1715" s="1" t="s">
        <v>209</v>
      </c>
      <c r="CS1715" s="1" t="s">
        <v>264</v>
      </c>
      <c r="CT1715" s="1" t="s">
        <v>206</v>
      </c>
      <c r="CW1715" s="1" t="s">
        <v>1398</v>
      </c>
      <c r="CX1715" s="1" t="s">
        <v>42</v>
      </c>
      <c r="DA1715" s="1" t="s">
        <v>200</v>
      </c>
      <c r="DC1715" s="1" t="s">
        <v>702</v>
      </c>
      <c r="DE1715" s="1" t="s">
        <v>273</v>
      </c>
      <c r="DF1715" s="1" t="s">
        <v>619</v>
      </c>
      <c r="DH1715" s="1" t="s">
        <v>220</v>
      </c>
      <c r="DJ1715" s="1" t="s">
        <v>222</v>
      </c>
      <c r="DL1715" s="1" t="s">
        <v>224</v>
      </c>
      <c r="DM1715" s="1" t="s">
        <v>229</v>
      </c>
      <c r="DQ1715" s="1" t="s">
        <v>228</v>
      </c>
      <c r="DR1715" s="1" t="s">
        <v>229</v>
      </c>
      <c r="DV1715" s="1" t="s">
        <v>232</v>
      </c>
      <c r="DW1715" s="1" t="s">
        <v>279</v>
      </c>
      <c r="DX1715" s="1" t="s">
        <v>588</v>
      </c>
      <c r="EC1715" s="1" t="s">
        <v>645</v>
      </c>
      <c r="EM1715" s="1" t="s">
        <v>238</v>
      </c>
      <c r="EQ1715" s="1" t="s">
        <v>238</v>
      </c>
      <c r="EU1715" s="1" t="s">
        <v>238</v>
      </c>
      <c r="EY1715" s="1" t="s">
        <v>238</v>
      </c>
      <c r="FC1715" s="1" t="s">
        <v>238</v>
      </c>
      <c r="FF1715" s="1" t="s">
        <v>239</v>
      </c>
      <c r="FG1715" s="1" t="s">
        <v>192</v>
      </c>
      <c r="FH1715" s="1" t="s">
        <v>192</v>
      </c>
      <c r="FJ1715" s="1" t="s">
        <v>1248</v>
      </c>
      <c r="FK1715" s="1" t="s">
        <v>229</v>
      </c>
      <c r="FL1715" s="1" t="s">
        <v>3272</v>
      </c>
      <c r="FM1715" s="1">
        <v>12511.0</v>
      </c>
      <c r="FN1715" s="1" t="s">
        <v>3273</v>
      </c>
      <c r="FO1715" s="1" t="s">
        <v>3274</v>
      </c>
      <c r="FP1715" s="1">
        <v>121408.0</v>
      </c>
      <c r="FQ1715" s="1" t="s">
        <v>3275</v>
      </c>
      <c r="FU1715" s="1" t="s">
        <v>4572</v>
      </c>
      <c r="FV1715" s="1" t="s">
        <v>200</v>
      </c>
      <c r="FW1715" s="1" t="s">
        <v>1411</v>
      </c>
      <c r="FX1715" s="1" t="s">
        <v>655</v>
      </c>
      <c r="FZ1715" s="1" t="s">
        <v>229</v>
      </c>
      <c r="GA1715" s="1" t="s">
        <v>291</v>
      </c>
      <c r="GB1715" s="2">
        <v>42031.0</v>
      </c>
      <c r="GC1715" s="1" t="s">
        <v>10824</v>
      </c>
    </row>
    <row r="1716">
      <c r="A1716" s="1">
        <v>311465.0</v>
      </c>
      <c r="B1716" s="1" t="s">
        <v>185</v>
      </c>
      <c r="C1716" s="1" t="str">
        <f>"08692994"</f>
        <v>08692994</v>
      </c>
      <c r="D1716" s="1" t="s">
        <v>186</v>
      </c>
      <c r="F1716" s="1" t="str">
        <f>"560"</f>
        <v>560</v>
      </c>
      <c r="G1716" s="2">
        <v>41856.0</v>
      </c>
      <c r="H1716" s="1">
        <v>276271.0</v>
      </c>
      <c r="I1716" s="1">
        <v>47.0</v>
      </c>
      <c r="J1716" s="1">
        <v>276271.0</v>
      </c>
      <c r="K1716" s="2">
        <v>41902.0</v>
      </c>
      <c r="L1716" s="1">
        <v>47.0</v>
      </c>
      <c r="M1716" s="2">
        <v>41902.0</v>
      </c>
      <c r="N1716" s="1" t="s">
        <v>187</v>
      </c>
      <c r="O1716" s="2">
        <v>42059.0</v>
      </c>
      <c r="P1716" s="1">
        <v>99995.0</v>
      </c>
      <c r="Q1716" s="1" t="s">
        <v>947</v>
      </c>
      <c r="S1716" s="1">
        <v>2393.0</v>
      </c>
      <c r="T1716" s="1" t="s">
        <v>16954</v>
      </c>
      <c r="U1716" s="1" t="s">
        <v>1442</v>
      </c>
      <c r="V1716" s="1" t="s">
        <v>845</v>
      </c>
      <c r="W1716" s="1">
        <v>60560.0</v>
      </c>
      <c r="Y1716" s="1" t="s">
        <v>16955</v>
      </c>
      <c r="Z1716" s="1">
        <v>2014.0</v>
      </c>
      <c r="AA1716" s="1" t="s">
        <v>200</v>
      </c>
      <c r="AB1716" s="1" t="s">
        <v>467</v>
      </c>
      <c r="AC1716" s="1" t="s">
        <v>16954</v>
      </c>
      <c r="AD1716" s="1" t="s">
        <v>848</v>
      </c>
      <c r="AE1716" s="1" t="s">
        <v>849</v>
      </c>
      <c r="AF1716" s="1" t="s">
        <v>1312</v>
      </c>
      <c r="AG1716" s="1" t="s">
        <v>4440</v>
      </c>
      <c r="AH1716" s="1" t="s">
        <v>16956</v>
      </c>
      <c r="AI1716" s="1">
        <v>0.0</v>
      </c>
      <c r="AK1716" s="1">
        <v>10.0</v>
      </c>
      <c r="AL1716" s="1">
        <v>4.0</v>
      </c>
      <c r="AM1716" s="1">
        <v>2.0</v>
      </c>
      <c r="AN1716" s="1">
        <v>1.0</v>
      </c>
      <c r="AO1716" s="1" t="s">
        <v>198</v>
      </c>
      <c r="AQ1716" s="1" t="s">
        <v>257</v>
      </c>
      <c r="AR1716" s="1" t="s">
        <v>200</v>
      </c>
      <c r="AS1716" s="1" t="s">
        <v>199</v>
      </c>
      <c r="AT1716" s="1">
        <v>3.0</v>
      </c>
      <c r="AV1716" s="1" t="s">
        <v>200</v>
      </c>
      <c r="AW1716" s="1" t="s">
        <v>575</v>
      </c>
      <c r="AX1716" s="1">
        <v>2012.0</v>
      </c>
      <c r="AY1716" s="1" t="s">
        <v>387</v>
      </c>
      <c r="AZ1716" s="1" t="s">
        <v>192</v>
      </c>
      <c r="BA1716" s="1" t="str">
        <f>"0222175006"</f>
        <v>0222175006</v>
      </c>
      <c r="BC1716" s="1">
        <v>2875.0</v>
      </c>
      <c r="BD1716" s="1">
        <v>311465.0</v>
      </c>
      <c r="BE1716" s="2">
        <v>41856.0</v>
      </c>
      <c r="BF1716" s="2" t="s">
        <v>16957</v>
      </c>
      <c r="BG1716" s="1" t="s">
        <v>16958</v>
      </c>
      <c r="BH1716" s="1">
        <v>228.0</v>
      </c>
      <c r="BI1716" s="1" t="s">
        <v>3052</v>
      </c>
      <c r="BJ1716" s="1" t="s">
        <v>3053</v>
      </c>
      <c r="BK1716" s="1" t="s">
        <v>580</v>
      </c>
      <c r="BL1716" s="1" t="str">
        <f t="shared" ref="BL1716:BM1716" si="1127">"0"</f>
        <v>0</v>
      </c>
      <c r="BM1716" s="1" t="str">
        <f t="shared" si="1127"/>
        <v>0</v>
      </c>
      <c r="BN1716" s="1">
        <v>45.0</v>
      </c>
      <c r="BO1716" s="1">
        <v>14.0</v>
      </c>
      <c r="BQ1716" s="1">
        <v>115.0</v>
      </c>
      <c r="BR1716" s="1">
        <v>115.0</v>
      </c>
      <c r="BS1716" s="1">
        <v>115.0</v>
      </c>
      <c r="BV1716" s="1" t="s">
        <v>204</v>
      </c>
      <c r="BY1716" s="1" t="s">
        <v>1063</v>
      </c>
      <c r="BZ1716" s="1" t="s">
        <v>209</v>
      </c>
      <c r="CA1716" s="1" t="s">
        <v>210</v>
      </c>
      <c r="CB1716" s="1" t="s">
        <v>229</v>
      </c>
      <c r="CC1716" s="1" t="s">
        <v>1351</v>
      </c>
      <c r="CD1716" s="1" t="s">
        <v>206</v>
      </c>
      <c r="CE1716" s="1" t="s">
        <v>210</v>
      </c>
      <c r="CF1716" s="1" t="s">
        <v>229</v>
      </c>
      <c r="CG1716" s="1" t="s">
        <v>302</v>
      </c>
      <c r="CH1716" s="1" t="s">
        <v>209</v>
      </c>
      <c r="CI1716" s="1" t="s">
        <v>210</v>
      </c>
      <c r="CJ1716" s="1" t="s">
        <v>229</v>
      </c>
      <c r="CK1716" s="1" t="s">
        <v>699</v>
      </c>
      <c r="CL1716" s="1" t="s">
        <v>209</v>
      </c>
      <c r="CM1716" s="1" t="s">
        <v>210</v>
      </c>
      <c r="CN1716" s="1" t="s">
        <v>229</v>
      </c>
      <c r="CO1716" s="1" t="s">
        <v>332</v>
      </c>
      <c r="CP1716" s="1" t="s">
        <v>209</v>
      </c>
      <c r="CQ1716" s="1" t="s">
        <v>210</v>
      </c>
      <c r="CR1716" s="1" t="s">
        <v>229</v>
      </c>
      <c r="CS1716" s="1" t="s">
        <v>4045</v>
      </c>
      <c r="CT1716" s="1" t="s">
        <v>206</v>
      </c>
      <c r="CU1716" s="1" t="s">
        <v>207</v>
      </c>
      <c r="CV1716" s="1" t="s">
        <v>229</v>
      </c>
      <c r="CX1716" s="1" t="s">
        <v>204</v>
      </c>
      <c r="DA1716" s="1" t="s">
        <v>192</v>
      </c>
      <c r="DB1716" s="2">
        <v>42034.0</v>
      </c>
      <c r="DC1716" s="1" t="s">
        <v>585</v>
      </c>
      <c r="DD1716" s="1" t="s">
        <v>4137</v>
      </c>
      <c r="DE1716" s="1" t="s">
        <v>273</v>
      </c>
      <c r="DF1716" s="1" t="s">
        <v>219</v>
      </c>
      <c r="DG1716" s="1" t="s">
        <v>482</v>
      </c>
      <c r="DH1716" s="1" t="s">
        <v>220</v>
      </c>
      <c r="DI1716" s="1" t="s">
        <v>275</v>
      </c>
      <c r="DJ1716" s="1" t="s">
        <v>222</v>
      </c>
      <c r="DK1716" s="1" t="s">
        <v>223</v>
      </c>
      <c r="DL1716" s="1" t="s">
        <v>1870</v>
      </c>
      <c r="DM1716" s="1" t="s">
        <v>338</v>
      </c>
      <c r="DP1716" s="1" t="s">
        <v>340</v>
      </c>
      <c r="DQ1716" s="1" t="s">
        <v>441</v>
      </c>
      <c r="DR1716" s="1" t="s">
        <v>588</v>
      </c>
      <c r="DS1716" s="1" t="s">
        <v>591</v>
      </c>
      <c r="DU1716" s="1" t="s">
        <v>12035</v>
      </c>
      <c r="DV1716" s="1" t="s">
        <v>16959</v>
      </c>
      <c r="DW1716" s="1" t="s">
        <v>444</v>
      </c>
      <c r="DX1716" s="1" t="s">
        <v>234</v>
      </c>
      <c r="DY1716" s="1" t="s">
        <v>1051</v>
      </c>
      <c r="EA1716" s="1" t="s">
        <v>344</v>
      </c>
      <c r="EC1716" s="1" t="s">
        <v>237</v>
      </c>
      <c r="ED1716" s="1" t="s">
        <v>6543</v>
      </c>
      <c r="EG1716" s="1" t="s">
        <v>494</v>
      </c>
      <c r="EH1716" s="1" t="s">
        <v>1164</v>
      </c>
      <c r="EI1716" s="1" t="s">
        <v>341</v>
      </c>
      <c r="EJ1716" s="1" t="s">
        <v>1729</v>
      </c>
      <c r="EL1716" s="1" t="s">
        <v>699</v>
      </c>
      <c r="EM1716" s="1" t="s">
        <v>206</v>
      </c>
      <c r="EN1716" s="1" t="s">
        <v>210</v>
      </c>
      <c r="EO1716" s="1" t="s">
        <v>229</v>
      </c>
      <c r="EP1716" s="1" t="s">
        <v>1350</v>
      </c>
      <c r="EQ1716" s="1" t="s">
        <v>206</v>
      </c>
      <c r="ER1716" s="1" t="s">
        <v>210</v>
      </c>
      <c r="ES1716" s="1" t="s">
        <v>229</v>
      </c>
      <c r="ET1716" s="1" t="s">
        <v>1068</v>
      </c>
      <c r="EU1716" s="1" t="s">
        <v>209</v>
      </c>
      <c r="EV1716" s="1" t="s">
        <v>210</v>
      </c>
      <c r="EW1716" s="1" t="s">
        <v>229</v>
      </c>
      <c r="EX1716" s="1" t="s">
        <v>699</v>
      </c>
      <c r="EY1716" s="1" t="s">
        <v>206</v>
      </c>
      <c r="EZ1716" s="1" t="s">
        <v>617</v>
      </c>
      <c r="FA1716" s="1" t="s">
        <v>229</v>
      </c>
      <c r="FC1716" s="1" t="s">
        <v>238</v>
      </c>
      <c r="FF1716" s="1" t="s">
        <v>239</v>
      </c>
      <c r="FG1716" s="1" t="s">
        <v>192</v>
      </c>
      <c r="FH1716" s="1" t="s">
        <v>192</v>
      </c>
      <c r="FJ1716" s="1" t="s">
        <v>14367</v>
      </c>
      <c r="FK1716" s="1" t="s">
        <v>229</v>
      </c>
      <c r="FL1716" s="1" t="s">
        <v>1192</v>
      </c>
      <c r="FM1716" s="1">
        <v>8702.0</v>
      </c>
      <c r="FN1716" s="1" t="s">
        <v>1193</v>
      </c>
      <c r="FO1716" s="1" t="s">
        <v>1194</v>
      </c>
      <c r="FP1716" s="1">
        <v>21163.0</v>
      </c>
      <c r="FQ1716" s="1" t="s">
        <v>1195</v>
      </c>
      <c r="FU1716" s="1" t="s">
        <v>16960</v>
      </c>
      <c r="FV1716" s="1" t="s">
        <v>200</v>
      </c>
      <c r="FW1716" s="1" t="s">
        <v>1197</v>
      </c>
      <c r="FZ1716" s="1" t="s">
        <v>229</v>
      </c>
      <c r="GA1716" s="1" t="s">
        <v>291</v>
      </c>
      <c r="GB1716" s="2">
        <v>42061.0</v>
      </c>
      <c r="GC1716" s="1" t="s">
        <v>16961</v>
      </c>
    </row>
    <row r="1717">
      <c r="A1717" s="1">
        <v>262500.0</v>
      </c>
      <c r="B1717" s="1" t="s">
        <v>185</v>
      </c>
      <c r="C1717" s="1" t="str">
        <f>"08695864"</f>
        <v>08695864</v>
      </c>
      <c r="D1717" s="1" t="s">
        <v>186</v>
      </c>
      <c r="F1717" s="1" t="str">
        <f>"543"</f>
        <v>543</v>
      </c>
      <c r="G1717" s="2">
        <v>41858.0</v>
      </c>
      <c r="H1717" s="1">
        <v>279000.0</v>
      </c>
      <c r="I1717" s="1">
        <v>247.0</v>
      </c>
      <c r="J1717" s="1">
        <v>269000.0</v>
      </c>
      <c r="K1717" s="2">
        <v>42089.0</v>
      </c>
      <c r="L1717" s="1">
        <v>232.0</v>
      </c>
      <c r="M1717" s="2">
        <v>42089.0</v>
      </c>
      <c r="N1717" s="1" t="s">
        <v>187</v>
      </c>
      <c r="O1717" s="2">
        <v>42132.0</v>
      </c>
      <c r="P1717" s="1">
        <v>1040.0</v>
      </c>
      <c r="Q1717" s="1">
        <v>28.0</v>
      </c>
      <c r="R1717" s="1">
        <v>2500.0</v>
      </c>
      <c r="S1717" s="1">
        <v>282.0</v>
      </c>
      <c r="T1717" s="1" t="s">
        <v>16962</v>
      </c>
      <c r="U1717" s="1" t="s">
        <v>569</v>
      </c>
      <c r="V1717" s="1" t="s">
        <v>1527</v>
      </c>
      <c r="W1717" s="1">
        <v>60543.0</v>
      </c>
      <c r="Y1717" s="1" t="s">
        <v>16963</v>
      </c>
      <c r="Z1717" s="1">
        <v>1998.0</v>
      </c>
      <c r="AA1717" s="1" t="s">
        <v>200</v>
      </c>
      <c r="AB1717" s="1" t="s">
        <v>193</v>
      </c>
      <c r="AC1717" s="1" t="s">
        <v>16964</v>
      </c>
      <c r="AD1717" s="1" t="s">
        <v>1529</v>
      </c>
      <c r="AE1717" s="1" t="s">
        <v>849</v>
      </c>
      <c r="AF1717" s="1" t="s">
        <v>1529</v>
      </c>
      <c r="AH1717" s="1" t="s">
        <v>3256</v>
      </c>
      <c r="AI1717" s="1">
        <v>0.2755</v>
      </c>
      <c r="AK1717" s="1">
        <v>8.0</v>
      </c>
      <c r="AL1717" s="1">
        <v>4.0</v>
      </c>
      <c r="AM1717" s="1">
        <v>2.0</v>
      </c>
      <c r="AN1717" s="1">
        <v>1.0</v>
      </c>
      <c r="AO1717" s="1" t="s">
        <v>198</v>
      </c>
      <c r="AP1717" s="1">
        <v>1.0</v>
      </c>
      <c r="AQ1717" s="1" t="s">
        <v>198</v>
      </c>
      <c r="AR1717" s="1" t="s">
        <v>200</v>
      </c>
      <c r="AS1717" s="1" t="s">
        <v>199</v>
      </c>
      <c r="AT1717" s="1">
        <v>2.0</v>
      </c>
      <c r="AV1717" s="1" t="s">
        <v>192</v>
      </c>
      <c r="AW1717" s="1">
        <v>7818.0</v>
      </c>
      <c r="AX1717" s="1">
        <v>2013.0</v>
      </c>
      <c r="AY1717" s="1" t="s">
        <v>387</v>
      </c>
      <c r="AZ1717" s="1" t="s">
        <v>200</v>
      </c>
      <c r="BA1717" s="1" t="str">
        <f>"0329252009"</f>
        <v>0329252009</v>
      </c>
      <c r="BB1717" s="1" t="s">
        <v>200</v>
      </c>
      <c r="BC1717" s="1">
        <v>2500.0</v>
      </c>
      <c r="BD1717" s="1">
        <v>262500.0</v>
      </c>
      <c r="BE1717" s="2">
        <v>41858.0</v>
      </c>
      <c r="BF1717" s="2" t="s">
        <v>16965</v>
      </c>
      <c r="BG1717" s="1" t="s">
        <v>1532</v>
      </c>
      <c r="BH1717" s="1">
        <v>231.0</v>
      </c>
      <c r="BI1717" s="1" t="s">
        <v>1533</v>
      </c>
      <c r="BJ1717" s="1" t="s">
        <v>1349</v>
      </c>
      <c r="BK1717" s="1" t="s">
        <v>580</v>
      </c>
      <c r="BL1717" s="1" t="str">
        <f t="shared" ref="BL1717:BM1717" si="1128">"0"</f>
        <v>0</v>
      </c>
      <c r="BM1717" s="1" t="str">
        <f t="shared" si="1128"/>
        <v>0</v>
      </c>
      <c r="BN1717" s="1">
        <v>37.0</v>
      </c>
      <c r="BO1717" s="1">
        <v>14.0</v>
      </c>
      <c r="BQ1717" s="1">
        <v>308.0</v>
      </c>
      <c r="BR1717" s="1">
        <v>308.0</v>
      </c>
      <c r="BS1717" s="1">
        <v>308.0</v>
      </c>
      <c r="BU1717" s="1" t="s">
        <v>329</v>
      </c>
      <c r="BV1717" s="1" t="s">
        <v>206</v>
      </c>
      <c r="BW1717" s="1" t="s">
        <v>210</v>
      </c>
      <c r="BY1717" s="1" t="s">
        <v>361</v>
      </c>
      <c r="BZ1717" s="1" t="s">
        <v>209</v>
      </c>
      <c r="CA1717" s="1" t="s">
        <v>210</v>
      </c>
      <c r="CC1717" s="1" t="s">
        <v>215</v>
      </c>
      <c r="CD1717" s="1" t="s">
        <v>206</v>
      </c>
      <c r="CE1717" s="1" t="s">
        <v>207</v>
      </c>
      <c r="CG1717" s="1" t="s">
        <v>497</v>
      </c>
      <c r="CH1717" s="1" t="s">
        <v>209</v>
      </c>
      <c r="CI1717" s="1" t="s">
        <v>210</v>
      </c>
      <c r="CK1717" s="1" t="s">
        <v>433</v>
      </c>
      <c r="CL1717" s="1" t="s">
        <v>209</v>
      </c>
      <c r="CM1717" s="1" t="s">
        <v>210</v>
      </c>
      <c r="CO1717" s="1" t="s">
        <v>1825</v>
      </c>
      <c r="CP1717" s="1" t="s">
        <v>209</v>
      </c>
      <c r="CQ1717" s="1" t="s">
        <v>210</v>
      </c>
      <c r="CS1717" s="1" t="s">
        <v>214</v>
      </c>
      <c r="CT1717" s="1" t="s">
        <v>206</v>
      </c>
      <c r="CU1717" s="1" t="s">
        <v>207</v>
      </c>
      <c r="CW1717" s="1" t="s">
        <v>260</v>
      </c>
      <c r="CX1717" s="1" t="s">
        <v>206</v>
      </c>
      <c r="CY1717" s="1" t="s">
        <v>207</v>
      </c>
      <c r="DA1717" s="1" t="s">
        <v>200</v>
      </c>
      <c r="DC1717" s="1" t="s">
        <v>678</v>
      </c>
      <c r="DD1717" s="1" t="s">
        <v>926</v>
      </c>
      <c r="DE1717" s="1" t="s">
        <v>273</v>
      </c>
      <c r="DF1717" s="1" t="s">
        <v>219</v>
      </c>
      <c r="DG1717" s="1" t="s">
        <v>1020</v>
      </c>
      <c r="DH1717" s="1" t="s">
        <v>220</v>
      </c>
      <c r="DI1717" s="1" t="s">
        <v>275</v>
      </c>
      <c r="DJ1717" s="1" t="s">
        <v>222</v>
      </c>
      <c r="DK1717" s="1" t="s">
        <v>223</v>
      </c>
      <c r="DL1717" s="1" t="s">
        <v>858</v>
      </c>
      <c r="DM1717" s="1" t="s">
        <v>338</v>
      </c>
      <c r="DN1717" s="1" t="s">
        <v>1721</v>
      </c>
      <c r="DO1717" s="1" t="s">
        <v>6843</v>
      </c>
      <c r="DP1717" s="1" t="s">
        <v>340</v>
      </c>
      <c r="DQ1717" s="1" t="s">
        <v>228</v>
      </c>
      <c r="DR1717" s="1" t="s">
        <v>229</v>
      </c>
      <c r="DS1717" s="1" t="s">
        <v>368</v>
      </c>
      <c r="DU1717" s="1" t="s">
        <v>442</v>
      </c>
      <c r="DV1717" s="1" t="s">
        <v>232</v>
      </c>
      <c r="DW1717" s="1" t="s">
        <v>233</v>
      </c>
      <c r="DX1717" s="1" t="s">
        <v>280</v>
      </c>
      <c r="DY1717" s="1" t="s">
        <v>490</v>
      </c>
      <c r="DZ1717" s="1" t="s">
        <v>310</v>
      </c>
      <c r="EA1717" s="1" t="s">
        <v>344</v>
      </c>
      <c r="EB1717" s="1" t="s">
        <v>2915</v>
      </c>
      <c r="EC1717" s="1" t="s">
        <v>237</v>
      </c>
      <c r="ED1717" s="1" t="s">
        <v>407</v>
      </c>
      <c r="EE1717" s="1" t="s">
        <v>493</v>
      </c>
      <c r="EM1717" s="1" t="s">
        <v>238</v>
      </c>
      <c r="EQ1717" s="1" t="s">
        <v>238</v>
      </c>
      <c r="EU1717" s="1" t="s">
        <v>238</v>
      </c>
      <c r="EY1717" s="1" t="s">
        <v>238</v>
      </c>
      <c r="FC1717" s="1" t="s">
        <v>238</v>
      </c>
      <c r="FF1717" s="1" t="s">
        <v>239</v>
      </c>
      <c r="FG1717" s="1" t="s">
        <v>192</v>
      </c>
      <c r="FH1717" s="1" t="s">
        <v>192</v>
      </c>
      <c r="FJ1717" s="1" t="s">
        <v>624</v>
      </c>
      <c r="FK1717" s="1" t="s">
        <v>229</v>
      </c>
      <c r="FL1717" s="1" t="s">
        <v>1007</v>
      </c>
      <c r="FM1717" s="1">
        <v>23196.0</v>
      </c>
      <c r="FN1717" s="1" t="s">
        <v>3741</v>
      </c>
      <c r="FO1717" s="1" t="s">
        <v>11878</v>
      </c>
      <c r="FP1717" s="1">
        <v>231054.0</v>
      </c>
      <c r="FQ1717" s="1" t="s">
        <v>11879</v>
      </c>
      <c r="FU1717" s="1" t="s">
        <v>16966</v>
      </c>
      <c r="FV1717" s="1" t="s">
        <v>200</v>
      </c>
      <c r="FW1717" s="1" t="s">
        <v>290</v>
      </c>
      <c r="FZ1717" s="1" t="s">
        <v>229</v>
      </c>
      <c r="GA1717" s="1" t="s">
        <v>291</v>
      </c>
      <c r="GB1717" s="2">
        <v>42132.0</v>
      </c>
      <c r="GC1717" s="1" t="s">
        <v>16967</v>
      </c>
    </row>
    <row r="1718">
      <c r="A1718" s="1">
        <v>215000.0</v>
      </c>
      <c r="B1718" s="1" t="s">
        <v>185</v>
      </c>
      <c r="C1718" s="1" t="str">
        <f>"08694988"</f>
        <v>08694988</v>
      </c>
      <c r="D1718" s="1" t="s">
        <v>186</v>
      </c>
      <c r="F1718" s="1" t="str">
        <f>"542"</f>
        <v>542</v>
      </c>
      <c r="G1718" s="2">
        <v>41858.0</v>
      </c>
      <c r="H1718" s="1">
        <v>235000.0</v>
      </c>
      <c r="I1718" s="1">
        <v>96.0</v>
      </c>
      <c r="J1718" s="1">
        <v>225000.0</v>
      </c>
      <c r="K1718" s="2">
        <v>41953.0</v>
      </c>
      <c r="L1718" s="1">
        <v>96.0</v>
      </c>
      <c r="M1718" s="2">
        <v>41953.0</v>
      </c>
      <c r="N1718" s="1" t="s">
        <v>187</v>
      </c>
      <c r="O1718" s="2">
        <v>41983.0</v>
      </c>
      <c r="P1718" s="1">
        <v>231618.0</v>
      </c>
      <c r="Q1718" s="1">
        <v>23030.0</v>
      </c>
      <c r="S1718" s="1">
        <v>363.0</v>
      </c>
      <c r="T1718" s="1" t="s">
        <v>16968</v>
      </c>
      <c r="U1718" s="1" t="s">
        <v>569</v>
      </c>
      <c r="V1718" s="1" t="s">
        <v>3984</v>
      </c>
      <c r="W1718" s="1">
        <v>60542.0</v>
      </c>
      <c r="Y1718" s="1" t="s">
        <v>16969</v>
      </c>
      <c r="Z1718" s="1">
        <v>1991.0</v>
      </c>
      <c r="AA1718" s="1" t="s">
        <v>200</v>
      </c>
      <c r="AB1718" s="1" t="s">
        <v>193</v>
      </c>
      <c r="AC1718" s="1" t="s">
        <v>16970</v>
      </c>
      <c r="AD1718" s="1" t="s">
        <v>3986</v>
      </c>
      <c r="AE1718" s="1" t="s">
        <v>325</v>
      </c>
      <c r="AF1718" s="1" t="s">
        <v>2702</v>
      </c>
      <c r="AG1718" s="1" t="s">
        <v>16971</v>
      </c>
      <c r="AH1718" s="1" t="s">
        <v>16972</v>
      </c>
      <c r="AI1718" s="1">
        <v>0.25</v>
      </c>
      <c r="AK1718" s="1">
        <v>10.0</v>
      </c>
      <c r="AL1718" s="1">
        <v>4.0</v>
      </c>
      <c r="AM1718" s="1">
        <v>2.0</v>
      </c>
      <c r="AN1718" s="1">
        <v>1.0</v>
      </c>
      <c r="AO1718" s="1" t="s">
        <v>198</v>
      </c>
      <c r="AQ1718" s="1" t="s">
        <v>327</v>
      </c>
      <c r="AR1718" s="1" t="s">
        <v>200</v>
      </c>
      <c r="AS1718" s="1" t="s">
        <v>199</v>
      </c>
      <c r="AT1718" s="1">
        <v>2.0</v>
      </c>
      <c r="AV1718" s="1" t="s">
        <v>200</v>
      </c>
      <c r="AW1718" s="1">
        <v>6955.32</v>
      </c>
      <c r="AX1718" s="1">
        <v>2013.0</v>
      </c>
      <c r="AY1718" s="1" t="s">
        <v>387</v>
      </c>
      <c r="AZ1718" s="1" t="s">
        <v>200</v>
      </c>
      <c r="BA1718" s="1" t="str">
        <f>"1233330001"</f>
        <v>1233330001</v>
      </c>
      <c r="BB1718" s="1" t="s">
        <v>200</v>
      </c>
      <c r="BC1718" s="1">
        <v>2262.0</v>
      </c>
      <c r="BD1718" s="1">
        <v>215000.0</v>
      </c>
      <c r="BE1718" s="2">
        <v>41858.0</v>
      </c>
      <c r="BF1718" s="2" t="s">
        <v>16973</v>
      </c>
      <c r="BG1718" s="1" t="s">
        <v>15688</v>
      </c>
      <c r="BH1718" s="1">
        <v>0.0</v>
      </c>
      <c r="BI1718" s="1" t="s">
        <v>9543</v>
      </c>
      <c r="BJ1718" s="1" t="s">
        <v>3831</v>
      </c>
      <c r="BK1718" s="1" t="s">
        <v>204</v>
      </c>
      <c r="BL1718" s="1" t="str">
        <f t="shared" ref="BL1718:BM1718" si="1129">"0"</f>
        <v>0</v>
      </c>
      <c r="BM1718" s="1" t="str">
        <f t="shared" si="1129"/>
        <v>0</v>
      </c>
      <c r="BN1718" s="1">
        <v>36.0</v>
      </c>
      <c r="BO1718" s="1">
        <v>4.0</v>
      </c>
      <c r="BQ1718" s="1">
        <v>129.0</v>
      </c>
      <c r="BR1718" s="1">
        <v>129.0</v>
      </c>
      <c r="BS1718" s="1">
        <v>129.0</v>
      </c>
      <c r="BU1718" s="1" t="s">
        <v>213</v>
      </c>
      <c r="BV1718" s="1" t="s">
        <v>206</v>
      </c>
      <c r="BW1718" s="1" t="s">
        <v>210</v>
      </c>
      <c r="BY1718" s="1" t="s">
        <v>1117</v>
      </c>
      <c r="BZ1718" s="1" t="s">
        <v>209</v>
      </c>
      <c r="CA1718" s="1" t="s">
        <v>210</v>
      </c>
      <c r="CC1718" s="1" t="s">
        <v>1351</v>
      </c>
      <c r="CD1718" s="1" t="s">
        <v>206</v>
      </c>
      <c r="CE1718" s="1" t="s">
        <v>210</v>
      </c>
      <c r="CG1718" s="1" t="s">
        <v>269</v>
      </c>
      <c r="CH1718" s="1" t="s">
        <v>209</v>
      </c>
      <c r="CI1718" s="1" t="s">
        <v>210</v>
      </c>
      <c r="CK1718" s="1" t="s">
        <v>1417</v>
      </c>
      <c r="CL1718" s="1" t="s">
        <v>209</v>
      </c>
      <c r="CM1718" s="1" t="s">
        <v>210</v>
      </c>
      <c r="CO1718" s="1" t="s">
        <v>212</v>
      </c>
      <c r="CP1718" s="1" t="s">
        <v>209</v>
      </c>
      <c r="CQ1718" s="1" t="s">
        <v>210</v>
      </c>
      <c r="CS1718" s="1" t="s">
        <v>815</v>
      </c>
      <c r="CT1718" s="1" t="s">
        <v>206</v>
      </c>
      <c r="CU1718" s="1" t="s">
        <v>301</v>
      </c>
      <c r="CW1718" s="1" t="s">
        <v>205</v>
      </c>
      <c r="CX1718" s="1" t="s">
        <v>206</v>
      </c>
      <c r="CY1718" s="1" t="s">
        <v>210</v>
      </c>
      <c r="DA1718" s="1" t="s">
        <v>200</v>
      </c>
      <c r="DC1718" s="1" t="s">
        <v>435</v>
      </c>
      <c r="DD1718" s="1" t="s">
        <v>957</v>
      </c>
      <c r="DE1718" s="1" t="s">
        <v>273</v>
      </c>
      <c r="DF1718" s="1" t="s">
        <v>219</v>
      </c>
      <c r="DG1718" s="1" t="s">
        <v>16974</v>
      </c>
      <c r="DH1718" s="1" t="s">
        <v>220</v>
      </c>
      <c r="DI1718" s="1" t="s">
        <v>221</v>
      </c>
      <c r="DJ1718" s="1" t="s">
        <v>222</v>
      </c>
      <c r="DK1718" s="1" t="s">
        <v>3740</v>
      </c>
      <c r="DL1718" s="1" t="s">
        <v>223</v>
      </c>
      <c r="DM1718" s="1" t="s">
        <v>229</v>
      </c>
      <c r="DO1718" s="1" t="s">
        <v>1004</v>
      </c>
      <c r="DP1718" s="1" t="s">
        <v>340</v>
      </c>
      <c r="DQ1718" s="1" t="s">
        <v>228</v>
      </c>
      <c r="DR1718" s="1" t="s">
        <v>229</v>
      </c>
      <c r="DS1718" s="1" t="s">
        <v>230</v>
      </c>
      <c r="DU1718" s="1" t="s">
        <v>1637</v>
      </c>
      <c r="DV1718" s="1" t="s">
        <v>16975</v>
      </c>
      <c r="DW1718" s="1" t="s">
        <v>233</v>
      </c>
      <c r="DX1718" s="1" t="s">
        <v>5015</v>
      </c>
      <c r="DY1718" s="1" t="s">
        <v>1006</v>
      </c>
      <c r="DZ1718" s="1" t="s">
        <v>14662</v>
      </c>
      <c r="EA1718" s="1" t="s">
        <v>447</v>
      </c>
      <c r="EC1718" s="1" t="s">
        <v>237</v>
      </c>
      <c r="EE1718" s="1" t="s">
        <v>493</v>
      </c>
      <c r="EG1718" s="1" t="s">
        <v>556</v>
      </c>
      <c r="EH1718" s="1" t="s">
        <v>408</v>
      </c>
      <c r="EI1718" s="1" t="s">
        <v>341</v>
      </c>
      <c r="EL1718" s="1" t="s">
        <v>1584</v>
      </c>
      <c r="EM1718" s="1" t="s">
        <v>206</v>
      </c>
      <c r="EN1718" s="1" t="s">
        <v>301</v>
      </c>
      <c r="EP1718" s="1" t="s">
        <v>560</v>
      </c>
      <c r="EQ1718" s="1" t="s">
        <v>206</v>
      </c>
      <c r="ER1718" s="1" t="s">
        <v>301</v>
      </c>
      <c r="ES1718" s="1" t="s">
        <v>229</v>
      </c>
      <c r="ET1718" s="1" t="s">
        <v>623</v>
      </c>
      <c r="EU1718" s="1" t="s">
        <v>209</v>
      </c>
      <c r="EV1718" s="1" t="s">
        <v>210</v>
      </c>
      <c r="EY1718" s="1" t="s">
        <v>238</v>
      </c>
      <c r="FC1718" s="1" t="s">
        <v>238</v>
      </c>
      <c r="FF1718" s="1" t="s">
        <v>239</v>
      </c>
      <c r="FG1718" s="1" t="s">
        <v>192</v>
      </c>
      <c r="FH1718" s="1" t="s">
        <v>192</v>
      </c>
      <c r="FJ1718" s="1" t="s">
        <v>14504</v>
      </c>
      <c r="FK1718" s="1" t="s">
        <v>348</v>
      </c>
      <c r="FL1718" s="1" t="s">
        <v>456</v>
      </c>
      <c r="FM1718" s="1">
        <v>23156.0</v>
      </c>
      <c r="FN1718" s="1" t="s">
        <v>2553</v>
      </c>
      <c r="FO1718" s="1" t="s">
        <v>16976</v>
      </c>
      <c r="FP1718" s="1">
        <v>217201.0</v>
      </c>
      <c r="FQ1718" s="1" t="s">
        <v>16977</v>
      </c>
      <c r="FS1718" s="1" t="s">
        <v>16978</v>
      </c>
      <c r="FU1718" s="1" t="s">
        <v>16979</v>
      </c>
      <c r="FV1718" s="1" t="s">
        <v>200</v>
      </c>
      <c r="FW1718" s="1" t="s">
        <v>16980</v>
      </c>
      <c r="FZ1718" s="1" t="s">
        <v>229</v>
      </c>
      <c r="GA1718" s="1" t="s">
        <v>291</v>
      </c>
      <c r="GB1718" s="2">
        <v>41983.0</v>
      </c>
      <c r="GC1718" s="1" t="s">
        <v>16981</v>
      </c>
    </row>
    <row r="1719">
      <c r="A1719" s="1">
        <v>574000.0</v>
      </c>
      <c r="B1719" s="1" t="s">
        <v>185</v>
      </c>
      <c r="C1719" s="1" t="str">
        <f>"08697150"</f>
        <v>08697150</v>
      </c>
      <c r="D1719" s="1" t="s">
        <v>186</v>
      </c>
      <c r="F1719" s="1" t="str">
        <f>"8022"</f>
        <v>8022</v>
      </c>
      <c r="G1719" s="2">
        <v>41859.0</v>
      </c>
      <c r="H1719" s="1">
        <v>614900.0</v>
      </c>
      <c r="I1719" s="1">
        <v>273.0</v>
      </c>
      <c r="J1719" s="1">
        <v>574000.0</v>
      </c>
      <c r="K1719" s="2">
        <v>42053.0</v>
      </c>
      <c r="L1719" s="1">
        <v>195.0</v>
      </c>
      <c r="M1719" s="2">
        <v>42053.0</v>
      </c>
      <c r="N1719" s="1" t="s">
        <v>187</v>
      </c>
      <c r="O1719" s="2">
        <v>42104.0</v>
      </c>
      <c r="P1719" s="1">
        <v>111468.0</v>
      </c>
      <c r="Q1719" s="1">
        <v>16898.0</v>
      </c>
      <c r="S1719" s="1">
        <v>2723.0</v>
      </c>
      <c r="T1719" s="1" t="s">
        <v>16982</v>
      </c>
      <c r="U1719" s="1" t="s">
        <v>420</v>
      </c>
      <c r="V1719" s="1" t="s">
        <v>190</v>
      </c>
      <c r="W1719" s="1">
        <v>60647.0</v>
      </c>
      <c r="Y1719" s="1" t="s">
        <v>16983</v>
      </c>
      <c r="Z1719" s="1">
        <v>2014.0</v>
      </c>
      <c r="AA1719" s="1" t="s">
        <v>200</v>
      </c>
      <c r="AB1719" s="1" t="s">
        <v>193</v>
      </c>
      <c r="AD1719" s="1" t="s">
        <v>194</v>
      </c>
      <c r="AE1719" s="1" t="s">
        <v>195</v>
      </c>
      <c r="AF1719" s="1" t="s">
        <v>827</v>
      </c>
      <c r="AH1719" s="1" t="s">
        <v>16984</v>
      </c>
      <c r="AK1719" s="1">
        <v>8.0</v>
      </c>
      <c r="AL1719" s="1">
        <v>3.0</v>
      </c>
      <c r="AM1719" s="1">
        <v>3.0</v>
      </c>
      <c r="AN1719" s="1">
        <v>1.0</v>
      </c>
      <c r="AO1719" s="1" t="s">
        <v>198</v>
      </c>
      <c r="AQ1719" s="1" t="s">
        <v>198</v>
      </c>
      <c r="AR1719" s="1" t="s">
        <v>192</v>
      </c>
      <c r="AS1719" s="1" t="s">
        <v>510</v>
      </c>
      <c r="AT1719" s="1">
        <v>2.0</v>
      </c>
      <c r="AU1719" s="1">
        <v>2.0</v>
      </c>
      <c r="AV1719" s="1" t="s">
        <v>200</v>
      </c>
      <c r="AW1719" s="1" t="s">
        <v>575</v>
      </c>
      <c r="AX1719" s="1">
        <v>2013.0</v>
      </c>
      <c r="AY1719" s="1" t="s">
        <v>229</v>
      </c>
      <c r="AZ1719" s="1" t="s">
        <v>200</v>
      </c>
      <c r="BA1719" s="1" t="str">
        <f>"13362180110000"</f>
        <v>13362180110000</v>
      </c>
      <c r="BB1719" s="1" t="s">
        <v>200</v>
      </c>
      <c r="BC1719" s="1">
        <v>2716.0</v>
      </c>
      <c r="BD1719" s="1">
        <v>574000.0</v>
      </c>
      <c r="BE1719" s="2">
        <v>41859.0</v>
      </c>
      <c r="BF1719" s="2" t="s">
        <v>16985</v>
      </c>
      <c r="BH1719" s="1">
        <v>0.0</v>
      </c>
      <c r="BK1719" s="1" t="s">
        <v>204</v>
      </c>
      <c r="BL1719" s="1" t="str">
        <f>"2160"</f>
        <v>2160</v>
      </c>
      <c r="BM1719" s="1" t="str">
        <f>"0"</f>
        <v>0</v>
      </c>
      <c r="BN1719" s="1">
        <v>2723.0</v>
      </c>
      <c r="BO1719" s="1">
        <v>0.0</v>
      </c>
      <c r="BQ1719" s="1">
        <v>299.0</v>
      </c>
      <c r="BR1719" s="1">
        <v>299.0</v>
      </c>
      <c r="BS1719" s="1">
        <v>299.0</v>
      </c>
      <c r="BU1719" s="1" t="s">
        <v>784</v>
      </c>
      <c r="BV1719" s="1" t="s">
        <v>206</v>
      </c>
      <c r="BW1719" s="1" t="s">
        <v>207</v>
      </c>
      <c r="BY1719" s="1" t="s">
        <v>213</v>
      </c>
      <c r="BZ1719" s="1" t="s">
        <v>209</v>
      </c>
      <c r="CA1719" s="1" t="s">
        <v>210</v>
      </c>
      <c r="CC1719" s="1" t="s">
        <v>329</v>
      </c>
      <c r="CD1719" s="1" t="s">
        <v>206</v>
      </c>
      <c r="CE1719" s="1" t="s">
        <v>207</v>
      </c>
      <c r="CG1719" s="1" t="s">
        <v>647</v>
      </c>
      <c r="CH1719" s="1" t="s">
        <v>209</v>
      </c>
      <c r="CI1719" s="1" t="s">
        <v>210</v>
      </c>
      <c r="CK1719" s="1" t="s">
        <v>495</v>
      </c>
      <c r="CL1719" s="1" t="s">
        <v>209</v>
      </c>
      <c r="CM1719" s="1" t="s">
        <v>210</v>
      </c>
      <c r="CO1719" s="1" t="s">
        <v>2047</v>
      </c>
      <c r="CP1719" s="1" t="s">
        <v>42</v>
      </c>
      <c r="CQ1719" s="1" t="s">
        <v>210</v>
      </c>
      <c r="CS1719" s="1" t="s">
        <v>1567</v>
      </c>
      <c r="CT1719" s="1" t="s">
        <v>206</v>
      </c>
      <c r="CW1719" s="1" t="s">
        <v>1064</v>
      </c>
      <c r="CX1719" s="1" t="s">
        <v>42</v>
      </c>
      <c r="CY1719" s="1" t="s">
        <v>210</v>
      </c>
      <c r="DA1719" s="1" t="s">
        <v>192</v>
      </c>
      <c r="DB1719" s="2">
        <v>41859.0</v>
      </c>
      <c r="DC1719" s="1" t="s">
        <v>1353</v>
      </c>
      <c r="DD1719" s="1" t="s">
        <v>759</v>
      </c>
      <c r="DE1719" s="1" t="s">
        <v>273</v>
      </c>
      <c r="DF1719" s="1" t="s">
        <v>219</v>
      </c>
      <c r="DG1719" s="1" t="s">
        <v>3175</v>
      </c>
      <c r="DH1719" s="1" t="s">
        <v>220</v>
      </c>
      <c r="DI1719" s="1" t="s">
        <v>519</v>
      </c>
      <c r="DJ1719" s="1" t="s">
        <v>222</v>
      </c>
      <c r="DL1719" s="1" t="s">
        <v>224</v>
      </c>
      <c r="DM1719" s="1" t="s">
        <v>1464</v>
      </c>
      <c r="DN1719" s="1" t="s">
        <v>2715</v>
      </c>
      <c r="DO1719" s="1" t="s">
        <v>717</v>
      </c>
      <c r="DP1719" s="1" t="s">
        <v>340</v>
      </c>
      <c r="DQ1719" s="1" t="s">
        <v>228</v>
      </c>
      <c r="DR1719" s="1" t="s">
        <v>229</v>
      </c>
      <c r="DS1719" s="1" t="s">
        <v>368</v>
      </c>
      <c r="DU1719" s="1" t="s">
        <v>278</v>
      </c>
      <c r="DV1719" s="1" t="s">
        <v>968</v>
      </c>
      <c r="DW1719" s="1" t="s">
        <v>667</v>
      </c>
      <c r="DX1719" s="1" t="s">
        <v>309</v>
      </c>
      <c r="DY1719" s="1" t="s">
        <v>747</v>
      </c>
      <c r="DZ1719" s="1" t="s">
        <v>4491</v>
      </c>
      <c r="EA1719" s="1" t="s">
        <v>1027</v>
      </c>
      <c r="EC1719" s="1" t="s">
        <v>237</v>
      </c>
      <c r="ED1719" s="1" t="s">
        <v>1794</v>
      </c>
      <c r="EE1719" s="1" t="s">
        <v>493</v>
      </c>
      <c r="EF1719" s="1" t="s">
        <v>523</v>
      </c>
      <c r="EG1719" s="1" t="s">
        <v>968</v>
      </c>
      <c r="EL1719" s="1" t="s">
        <v>16986</v>
      </c>
      <c r="EM1719" s="1" t="s">
        <v>206</v>
      </c>
      <c r="EN1719" s="1" t="s">
        <v>588</v>
      </c>
      <c r="EQ1719" s="1" t="s">
        <v>238</v>
      </c>
      <c r="EU1719" s="1" t="s">
        <v>238</v>
      </c>
      <c r="EY1719" s="1" t="s">
        <v>238</v>
      </c>
      <c r="FC1719" s="1" t="s">
        <v>238</v>
      </c>
      <c r="FF1719" s="1" t="s">
        <v>239</v>
      </c>
      <c r="FG1719" s="1" t="s">
        <v>192</v>
      </c>
      <c r="FH1719" s="1" t="s">
        <v>192</v>
      </c>
      <c r="FJ1719" s="1" t="s">
        <v>524</v>
      </c>
      <c r="FK1719" s="1" t="s">
        <v>557</v>
      </c>
      <c r="FL1719" s="1" t="s">
        <v>771</v>
      </c>
      <c r="FM1719" s="1">
        <v>16636.0</v>
      </c>
      <c r="FN1719" s="1" t="s">
        <v>526</v>
      </c>
      <c r="FO1719" s="1" t="s">
        <v>5472</v>
      </c>
      <c r="FP1719" s="1">
        <v>106356.0</v>
      </c>
      <c r="FQ1719" s="1" t="s">
        <v>5473</v>
      </c>
      <c r="FS1719" s="1" t="s">
        <v>5474</v>
      </c>
      <c r="FU1719" s="1" t="s">
        <v>16987</v>
      </c>
      <c r="FV1719" s="1" t="s">
        <v>192</v>
      </c>
      <c r="FW1719" s="1" t="s">
        <v>530</v>
      </c>
      <c r="FX1719" s="1" t="s">
        <v>246</v>
      </c>
      <c r="FZ1719" s="1" t="s">
        <v>229</v>
      </c>
      <c r="GA1719" s="1" t="s">
        <v>247</v>
      </c>
      <c r="GB1719" s="2">
        <v>42109.0</v>
      </c>
      <c r="GC1719" s="1" t="s">
        <v>16988</v>
      </c>
    </row>
    <row r="1720">
      <c r="A1720" s="1">
        <v>218000.0</v>
      </c>
      <c r="B1720" s="1" t="s">
        <v>185</v>
      </c>
      <c r="C1720" s="1" t="str">
        <f>"08695835"</f>
        <v>08695835</v>
      </c>
      <c r="D1720" s="1" t="s">
        <v>186</v>
      </c>
      <c r="F1720" s="1" t="str">
        <f>"543"</f>
        <v>543</v>
      </c>
      <c r="G1720" s="2">
        <v>41858.0</v>
      </c>
      <c r="H1720" s="1">
        <v>265000.0</v>
      </c>
      <c r="I1720" s="1">
        <v>132.0</v>
      </c>
      <c r="J1720" s="1">
        <v>225000.0</v>
      </c>
      <c r="K1720" s="2">
        <v>41989.0</v>
      </c>
      <c r="L1720" s="1">
        <v>132.0</v>
      </c>
      <c r="M1720" s="2">
        <v>41989.0</v>
      </c>
      <c r="N1720" s="1" t="s">
        <v>356</v>
      </c>
      <c r="O1720" s="2">
        <v>42059.0</v>
      </c>
      <c r="P1720" s="1">
        <v>233015.0</v>
      </c>
      <c r="Q1720" s="1">
        <v>23196.0</v>
      </c>
      <c r="S1720" s="1">
        <v>230.0</v>
      </c>
      <c r="T1720" s="1" t="s">
        <v>16989</v>
      </c>
      <c r="V1720" s="1" t="s">
        <v>1527</v>
      </c>
      <c r="W1720" s="1">
        <v>60543.0</v>
      </c>
      <c r="Y1720" s="1" t="s">
        <v>16990</v>
      </c>
      <c r="Z1720" s="1">
        <v>1993.0</v>
      </c>
      <c r="AA1720" s="1" t="s">
        <v>200</v>
      </c>
      <c r="AB1720" s="1" t="s">
        <v>193</v>
      </c>
      <c r="AC1720" s="1" t="s">
        <v>4982</v>
      </c>
      <c r="AD1720" s="1" t="s">
        <v>1529</v>
      </c>
      <c r="AE1720" s="1" t="s">
        <v>849</v>
      </c>
      <c r="AF1720" s="1" t="s">
        <v>1529</v>
      </c>
      <c r="AH1720" s="1" t="s">
        <v>16991</v>
      </c>
      <c r="AI1720" s="1">
        <v>0.25</v>
      </c>
      <c r="AK1720" s="1">
        <v>8.0</v>
      </c>
      <c r="AL1720" s="1">
        <v>4.0</v>
      </c>
      <c r="AM1720" s="1">
        <v>2.0</v>
      </c>
      <c r="AN1720" s="1">
        <v>1.0</v>
      </c>
      <c r="AO1720" s="1" t="s">
        <v>198</v>
      </c>
      <c r="AP1720" s="1">
        <v>1.0</v>
      </c>
      <c r="AQ1720" s="1" t="s">
        <v>1314</v>
      </c>
      <c r="AR1720" s="1" t="s">
        <v>200</v>
      </c>
      <c r="AS1720" s="1" t="s">
        <v>199</v>
      </c>
      <c r="AT1720" s="1">
        <v>2.0</v>
      </c>
      <c r="AV1720" s="1" t="s">
        <v>200</v>
      </c>
      <c r="AW1720" s="1">
        <v>6488.0</v>
      </c>
      <c r="AX1720" s="1">
        <v>2013.0</v>
      </c>
      <c r="AZ1720" s="1" t="s">
        <v>200</v>
      </c>
      <c r="BA1720" s="1" t="str">
        <f>"0308351020"</f>
        <v>0308351020</v>
      </c>
      <c r="BB1720" s="1" t="s">
        <v>200</v>
      </c>
      <c r="BC1720" s="1">
        <v>2400.0</v>
      </c>
      <c r="BD1720" s="1">
        <v>218000.0</v>
      </c>
      <c r="BE1720" s="2">
        <v>41858.0</v>
      </c>
      <c r="BH1720" s="1">
        <v>0.0</v>
      </c>
      <c r="BK1720" s="1" t="s">
        <v>204</v>
      </c>
      <c r="BL1720" s="1" t="str">
        <f t="shared" ref="BL1720:BM1720" si="1130">""</f>
        <v/>
      </c>
      <c r="BM1720" s="1" t="str">
        <f t="shared" si="1130"/>
        <v/>
      </c>
      <c r="BQ1720" s="1">
        <v>308.0</v>
      </c>
      <c r="BR1720" s="1">
        <v>308.0</v>
      </c>
      <c r="BS1720" s="1">
        <v>308.0</v>
      </c>
      <c r="BV1720" s="1" t="s">
        <v>204</v>
      </c>
      <c r="BY1720" s="1" t="s">
        <v>639</v>
      </c>
      <c r="BZ1720" s="1" t="s">
        <v>209</v>
      </c>
      <c r="CA1720" s="1" t="s">
        <v>210</v>
      </c>
      <c r="CB1720" s="1" t="s">
        <v>239</v>
      </c>
      <c r="CC1720" s="1" t="s">
        <v>454</v>
      </c>
      <c r="CD1720" s="1" t="s">
        <v>206</v>
      </c>
      <c r="CE1720" s="1" t="s">
        <v>210</v>
      </c>
      <c r="CF1720" s="1" t="s">
        <v>239</v>
      </c>
      <c r="CG1720" s="1" t="s">
        <v>264</v>
      </c>
      <c r="CH1720" s="1" t="s">
        <v>209</v>
      </c>
      <c r="CI1720" s="1" t="s">
        <v>210</v>
      </c>
      <c r="CJ1720" s="1" t="s">
        <v>239</v>
      </c>
      <c r="CK1720" s="1" t="s">
        <v>361</v>
      </c>
      <c r="CL1720" s="1" t="s">
        <v>209</v>
      </c>
      <c r="CM1720" s="1" t="s">
        <v>210</v>
      </c>
      <c r="CN1720" s="1" t="s">
        <v>239</v>
      </c>
      <c r="CO1720" s="1" t="s">
        <v>331</v>
      </c>
      <c r="CP1720" s="1" t="s">
        <v>209</v>
      </c>
      <c r="CQ1720" s="1" t="s">
        <v>210</v>
      </c>
      <c r="CR1720" s="1" t="s">
        <v>239</v>
      </c>
      <c r="CS1720" s="1" t="s">
        <v>330</v>
      </c>
      <c r="CT1720" s="1" t="s">
        <v>206</v>
      </c>
      <c r="CU1720" s="1" t="s">
        <v>207</v>
      </c>
      <c r="CV1720" s="1" t="s">
        <v>239</v>
      </c>
      <c r="CW1720" s="1" t="s">
        <v>769</v>
      </c>
      <c r="CX1720" s="1" t="s">
        <v>206</v>
      </c>
      <c r="CY1720" s="1" t="s">
        <v>207</v>
      </c>
      <c r="CZ1720" s="1" t="s">
        <v>239</v>
      </c>
      <c r="DA1720" s="1" t="s">
        <v>200</v>
      </c>
      <c r="DC1720" s="1" t="s">
        <v>435</v>
      </c>
      <c r="DD1720" s="1" t="s">
        <v>957</v>
      </c>
      <c r="DE1720" s="1" t="s">
        <v>273</v>
      </c>
      <c r="DF1720" s="1" t="s">
        <v>619</v>
      </c>
      <c r="DG1720" s="1" t="s">
        <v>3175</v>
      </c>
      <c r="DH1720" s="1" t="s">
        <v>220</v>
      </c>
      <c r="DI1720" s="1" t="s">
        <v>275</v>
      </c>
      <c r="DJ1720" s="1" t="s">
        <v>222</v>
      </c>
      <c r="DL1720" s="1" t="s">
        <v>224</v>
      </c>
      <c r="DM1720" s="1" t="s">
        <v>1268</v>
      </c>
      <c r="DN1720" s="1" t="s">
        <v>12824</v>
      </c>
      <c r="DO1720" s="1" t="s">
        <v>6883</v>
      </c>
      <c r="DP1720" s="1" t="s">
        <v>340</v>
      </c>
      <c r="DQ1720" s="1" t="s">
        <v>441</v>
      </c>
      <c r="DR1720" s="1" t="s">
        <v>229</v>
      </c>
      <c r="DV1720" s="1" t="s">
        <v>450</v>
      </c>
      <c r="DW1720" s="1" t="s">
        <v>444</v>
      </c>
      <c r="DX1720" s="1" t="s">
        <v>5015</v>
      </c>
      <c r="DY1720" s="1" t="s">
        <v>404</v>
      </c>
      <c r="DZ1720" s="1" t="s">
        <v>1490</v>
      </c>
      <c r="EC1720" s="1" t="s">
        <v>237</v>
      </c>
      <c r="ED1720" s="1" t="s">
        <v>407</v>
      </c>
      <c r="EE1720" s="1" t="s">
        <v>493</v>
      </c>
      <c r="EG1720" s="1" t="s">
        <v>450</v>
      </c>
      <c r="EL1720" s="1" t="s">
        <v>7715</v>
      </c>
      <c r="EM1720" s="1" t="s">
        <v>42</v>
      </c>
      <c r="EN1720" s="1" t="s">
        <v>210</v>
      </c>
      <c r="EQ1720" s="1" t="s">
        <v>238</v>
      </c>
      <c r="EU1720" s="1" t="s">
        <v>238</v>
      </c>
      <c r="EY1720" s="1" t="s">
        <v>238</v>
      </c>
      <c r="FC1720" s="1" t="s">
        <v>238</v>
      </c>
      <c r="FF1720" s="1" t="s">
        <v>239</v>
      </c>
      <c r="FG1720" s="1" t="s">
        <v>192</v>
      </c>
      <c r="FH1720" s="1" t="s">
        <v>192</v>
      </c>
      <c r="FJ1720" s="1" t="s">
        <v>624</v>
      </c>
      <c r="FK1720" s="1" t="s">
        <v>229</v>
      </c>
      <c r="FL1720" s="1" t="s">
        <v>1007</v>
      </c>
      <c r="FM1720" s="1">
        <v>23196.0</v>
      </c>
      <c r="FN1720" s="1" t="s">
        <v>3741</v>
      </c>
      <c r="FO1720" s="1" t="s">
        <v>11878</v>
      </c>
      <c r="FP1720" s="1">
        <v>231054.0</v>
      </c>
      <c r="FQ1720" s="1" t="s">
        <v>11879</v>
      </c>
      <c r="FU1720" s="1" t="s">
        <v>16966</v>
      </c>
      <c r="FV1720" s="1" t="s">
        <v>200</v>
      </c>
      <c r="FW1720" s="1" t="s">
        <v>290</v>
      </c>
      <c r="FZ1720" s="1" t="s">
        <v>229</v>
      </c>
      <c r="GA1720" s="1" t="s">
        <v>291</v>
      </c>
      <c r="GB1720" s="2">
        <v>42060.0</v>
      </c>
      <c r="GC1720" s="1" t="s">
        <v>16992</v>
      </c>
    </row>
    <row r="1721">
      <c r="A1721" s="1">
        <v>162000.0</v>
      </c>
      <c r="B1721" s="1" t="s">
        <v>185</v>
      </c>
      <c r="C1721" s="1" t="str">
        <f>"08818491"</f>
        <v>08818491</v>
      </c>
      <c r="D1721" s="1" t="s">
        <v>186</v>
      </c>
      <c r="F1721" s="1" t="str">
        <f>"8070"</f>
        <v>8070</v>
      </c>
      <c r="G1721" s="2">
        <v>42021.0</v>
      </c>
      <c r="H1721" s="1">
        <v>174900.0</v>
      </c>
      <c r="I1721" s="1">
        <v>47.0</v>
      </c>
      <c r="J1721" s="1">
        <v>169900.0</v>
      </c>
      <c r="K1721" s="2">
        <v>42067.0</v>
      </c>
      <c r="L1721" s="1">
        <v>47.0</v>
      </c>
      <c r="M1721" s="2">
        <v>42067.0</v>
      </c>
      <c r="N1721" s="1" t="s">
        <v>356</v>
      </c>
      <c r="O1721" s="2">
        <v>42121.0</v>
      </c>
      <c r="P1721" s="1">
        <v>606827.0</v>
      </c>
      <c r="Q1721" s="1">
        <v>60120.0</v>
      </c>
      <c r="R1721" s="1">
        <v>4860.0</v>
      </c>
      <c r="S1721" s="1">
        <v>8026.0</v>
      </c>
      <c r="T1721" s="1" t="s">
        <v>12208</v>
      </c>
      <c r="U1721" s="1" t="s">
        <v>189</v>
      </c>
      <c r="V1721" s="1" t="s">
        <v>190</v>
      </c>
      <c r="W1721" s="1">
        <v>60652.0</v>
      </c>
      <c r="Y1721" s="1" t="s">
        <v>16993</v>
      </c>
      <c r="Z1721" s="1">
        <v>1950.0</v>
      </c>
      <c r="AA1721" s="1" t="s">
        <v>192</v>
      </c>
      <c r="AB1721" s="1" t="s">
        <v>193</v>
      </c>
      <c r="AD1721" s="1" t="s">
        <v>194</v>
      </c>
      <c r="AE1721" s="1" t="s">
        <v>195</v>
      </c>
      <c r="AF1721" s="1" t="s">
        <v>1154</v>
      </c>
      <c r="AH1721" s="1" t="s">
        <v>5314</v>
      </c>
      <c r="AK1721" s="1">
        <v>7.0</v>
      </c>
      <c r="AL1721" s="1">
        <v>4.0</v>
      </c>
      <c r="AM1721" s="1">
        <v>2.0</v>
      </c>
      <c r="AN1721" s="1">
        <v>0.0</v>
      </c>
      <c r="AO1721" s="1" t="s">
        <v>198</v>
      </c>
      <c r="AQ1721" s="1" t="s">
        <v>198</v>
      </c>
      <c r="AR1721" s="1" t="s">
        <v>200</v>
      </c>
      <c r="AS1721" s="1" t="s">
        <v>199</v>
      </c>
      <c r="AT1721" s="1">
        <v>1.0</v>
      </c>
      <c r="AV1721" s="1" t="s">
        <v>200</v>
      </c>
      <c r="AW1721" s="1">
        <v>1621.42</v>
      </c>
      <c r="AX1721" s="1">
        <v>2013.0</v>
      </c>
      <c r="AZ1721" s="1" t="s">
        <v>200</v>
      </c>
      <c r="BA1721" s="1" t="str">
        <f>"19352090260000"</f>
        <v>19352090260000</v>
      </c>
      <c r="BB1721" s="1" t="s">
        <v>200</v>
      </c>
      <c r="BC1721" s="1">
        <v>0.0</v>
      </c>
      <c r="BD1721" s="1">
        <v>162000.0</v>
      </c>
      <c r="BE1721" s="2">
        <v>42021.0</v>
      </c>
      <c r="BF1721" s="2" t="s">
        <v>16994</v>
      </c>
      <c r="BH1721" s="1">
        <v>0.0</v>
      </c>
      <c r="BK1721" s="1" t="s">
        <v>204</v>
      </c>
      <c r="BL1721" s="1" t="str">
        <f t="shared" ref="BL1721:BM1721" si="1131">"0"</f>
        <v>0</v>
      </c>
      <c r="BM1721" s="1" t="str">
        <f t="shared" si="1131"/>
        <v>0</v>
      </c>
      <c r="BN1721" s="1">
        <v>4.0</v>
      </c>
      <c r="BO1721" s="1">
        <v>9.0</v>
      </c>
      <c r="BQ1721" s="1">
        <v>299.0</v>
      </c>
      <c r="BR1721" s="1">
        <v>299.0</v>
      </c>
      <c r="BS1721" s="1">
        <v>299.0</v>
      </c>
      <c r="BU1721" s="1" t="s">
        <v>544</v>
      </c>
      <c r="BV1721" s="1" t="s">
        <v>206</v>
      </c>
      <c r="BW1721" s="1" t="s">
        <v>207</v>
      </c>
      <c r="BY1721" s="1" t="s">
        <v>1483</v>
      </c>
      <c r="BZ1721" s="1" t="s">
        <v>206</v>
      </c>
      <c r="CA1721" s="1" t="s">
        <v>207</v>
      </c>
      <c r="CC1721" s="1" t="s">
        <v>542</v>
      </c>
      <c r="CD1721" s="1" t="s">
        <v>206</v>
      </c>
      <c r="CE1721" s="1" t="s">
        <v>207</v>
      </c>
      <c r="CG1721" s="1" t="s">
        <v>1483</v>
      </c>
      <c r="CH1721" s="1" t="s">
        <v>206</v>
      </c>
      <c r="CI1721" s="1" t="s">
        <v>207</v>
      </c>
      <c r="CK1721" s="1" t="s">
        <v>454</v>
      </c>
      <c r="CL1721" s="1" t="s">
        <v>209</v>
      </c>
      <c r="CM1721" s="1" t="s">
        <v>210</v>
      </c>
      <c r="CO1721" s="1" t="s">
        <v>454</v>
      </c>
      <c r="CP1721" s="1" t="s">
        <v>209</v>
      </c>
      <c r="CQ1721" s="1" t="s">
        <v>210</v>
      </c>
      <c r="CS1721" s="1" t="s">
        <v>1483</v>
      </c>
      <c r="CT1721" s="1" t="s">
        <v>206</v>
      </c>
      <c r="CX1721" s="1" t="s">
        <v>204</v>
      </c>
      <c r="DA1721" s="1" t="s">
        <v>200</v>
      </c>
      <c r="DC1721" s="1" t="s">
        <v>702</v>
      </c>
      <c r="DD1721" s="1" t="s">
        <v>518</v>
      </c>
      <c r="DE1721" s="1" t="s">
        <v>273</v>
      </c>
      <c r="DF1721" s="1" t="s">
        <v>219</v>
      </c>
      <c r="DG1721" s="1" t="s">
        <v>337</v>
      </c>
      <c r="DH1721" s="1" t="s">
        <v>365</v>
      </c>
      <c r="DI1721" s="1" t="s">
        <v>366</v>
      </c>
      <c r="DJ1721" s="1" t="s">
        <v>1379</v>
      </c>
      <c r="DL1721" s="1" t="s">
        <v>224</v>
      </c>
      <c r="DM1721" s="1" t="s">
        <v>229</v>
      </c>
      <c r="DN1721" s="1" t="s">
        <v>367</v>
      </c>
      <c r="DO1721" s="1" t="s">
        <v>549</v>
      </c>
      <c r="DP1721" s="1" t="s">
        <v>276</v>
      </c>
      <c r="DQ1721" s="1" t="s">
        <v>228</v>
      </c>
      <c r="DR1721" s="1" t="s">
        <v>229</v>
      </c>
      <c r="DV1721" s="1" t="s">
        <v>232</v>
      </c>
      <c r="DW1721" s="1" t="s">
        <v>279</v>
      </c>
      <c r="DX1721" s="1" t="s">
        <v>234</v>
      </c>
      <c r="DY1721" s="1" t="s">
        <v>704</v>
      </c>
      <c r="DZ1721" s="1" t="s">
        <v>1466</v>
      </c>
      <c r="EA1721" s="1" t="s">
        <v>1075</v>
      </c>
      <c r="EC1721" s="1" t="s">
        <v>237</v>
      </c>
      <c r="EE1721" s="1" t="s">
        <v>493</v>
      </c>
      <c r="EM1721" s="1" t="s">
        <v>238</v>
      </c>
      <c r="EQ1721" s="1" t="s">
        <v>238</v>
      </c>
      <c r="EU1721" s="1" t="s">
        <v>238</v>
      </c>
      <c r="EY1721" s="1" t="s">
        <v>238</v>
      </c>
      <c r="FC1721" s="1" t="s">
        <v>238</v>
      </c>
      <c r="FF1721" s="1" t="s">
        <v>239</v>
      </c>
      <c r="FG1721" s="1" t="s">
        <v>192</v>
      </c>
      <c r="FH1721" s="1" t="s">
        <v>192</v>
      </c>
      <c r="FJ1721" s="1" t="s">
        <v>770</v>
      </c>
      <c r="FK1721" s="1" t="s">
        <v>348</v>
      </c>
      <c r="FL1721" s="1" t="s">
        <v>3553</v>
      </c>
      <c r="FM1721" s="1">
        <v>22993.0</v>
      </c>
      <c r="FN1721" s="1" t="s">
        <v>3554</v>
      </c>
      <c r="FO1721" s="1" t="s">
        <v>3555</v>
      </c>
      <c r="FP1721" s="1">
        <v>235152.0</v>
      </c>
      <c r="FQ1721" s="1" t="s">
        <v>3556</v>
      </c>
      <c r="FR1721" s="1">
        <v>241601.0</v>
      </c>
      <c r="FU1721" s="1" t="s">
        <v>3557</v>
      </c>
      <c r="FV1721" s="1" t="s">
        <v>200</v>
      </c>
      <c r="FW1721" s="1" t="s">
        <v>290</v>
      </c>
      <c r="FX1721" s="1" t="s">
        <v>655</v>
      </c>
      <c r="FZ1721" s="1" t="s">
        <v>229</v>
      </c>
      <c r="GA1721" s="1" t="s">
        <v>291</v>
      </c>
      <c r="GB1721" s="2">
        <v>42121.0</v>
      </c>
      <c r="GC1721" s="1" t="s">
        <v>16995</v>
      </c>
    </row>
    <row r="1722">
      <c r="A1722" s="1">
        <v>205000.0</v>
      </c>
      <c r="B1722" s="1" t="s">
        <v>185</v>
      </c>
      <c r="C1722" s="1" t="str">
        <f>"08696062"</f>
        <v>08696062</v>
      </c>
      <c r="D1722" s="1" t="s">
        <v>186</v>
      </c>
      <c r="F1722" s="1" t="str">
        <f>"560"</f>
        <v>560</v>
      </c>
      <c r="G1722" s="2">
        <v>41859.0</v>
      </c>
      <c r="H1722" s="1">
        <v>237000.0</v>
      </c>
      <c r="I1722" s="1">
        <v>258.0</v>
      </c>
      <c r="J1722" s="1">
        <v>215200.0</v>
      </c>
      <c r="K1722" s="2">
        <v>42024.0</v>
      </c>
      <c r="L1722" s="1">
        <v>166.0</v>
      </c>
      <c r="M1722" s="2">
        <v>42024.0</v>
      </c>
      <c r="N1722" s="1" t="s">
        <v>187</v>
      </c>
      <c r="O1722" s="2">
        <v>42061.0</v>
      </c>
      <c r="P1722" s="1">
        <v>245363.0</v>
      </c>
      <c r="Q1722" s="1">
        <v>22029.0</v>
      </c>
      <c r="S1722" s="1">
        <v>1814.0</v>
      </c>
      <c r="T1722" s="1" t="s">
        <v>16996</v>
      </c>
      <c r="U1722" s="1" t="s">
        <v>569</v>
      </c>
      <c r="V1722" s="1" t="s">
        <v>845</v>
      </c>
      <c r="W1722" s="1">
        <v>60560.0</v>
      </c>
      <c r="Y1722" s="1" t="s">
        <v>16997</v>
      </c>
      <c r="Z1722" s="1">
        <v>1997.0</v>
      </c>
      <c r="AA1722" s="1" t="s">
        <v>200</v>
      </c>
      <c r="AB1722" s="1" t="s">
        <v>193</v>
      </c>
      <c r="AC1722" s="1" t="s">
        <v>16996</v>
      </c>
      <c r="AD1722" s="1" t="s">
        <v>848</v>
      </c>
      <c r="AE1722" s="1" t="s">
        <v>849</v>
      </c>
      <c r="AF1722" s="1" t="s">
        <v>2153</v>
      </c>
      <c r="AG1722" s="1" t="s">
        <v>3711</v>
      </c>
      <c r="AH1722" s="1" t="s">
        <v>16998</v>
      </c>
      <c r="AI1722" s="1">
        <v>0.27</v>
      </c>
      <c r="AK1722" s="1">
        <v>8.0</v>
      </c>
      <c r="AL1722" s="1">
        <v>4.0</v>
      </c>
      <c r="AM1722" s="1">
        <v>2.0</v>
      </c>
      <c r="AN1722" s="1">
        <v>1.0</v>
      </c>
      <c r="AO1722" s="1" t="s">
        <v>198</v>
      </c>
      <c r="AP1722" s="1">
        <v>1.0</v>
      </c>
      <c r="AQ1722" s="1" t="s">
        <v>198</v>
      </c>
      <c r="AR1722" s="1" t="s">
        <v>200</v>
      </c>
      <c r="AS1722" s="1" t="s">
        <v>199</v>
      </c>
      <c r="AT1722" s="1">
        <v>2.0</v>
      </c>
      <c r="AV1722" s="1" t="s">
        <v>200</v>
      </c>
      <c r="AW1722" s="1">
        <v>7210.0</v>
      </c>
      <c r="AX1722" s="1">
        <v>2013.0</v>
      </c>
      <c r="AY1722" s="1" t="s">
        <v>387</v>
      </c>
      <c r="AZ1722" s="1" t="s">
        <v>200</v>
      </c>
      <c r="BA1722" s="1" t="str">
        <f>"0504430009"</f>
        <v>0504430009</v>
      </c>
      <c r="BB1722" s="1" t="s">
        <v>200</v>
      </c>
      <c r="BC1722" s="1">
        <v>0.0</v>
      </c>
      <c r="BD1722" s="1">
        <v>205000.0</v>
      </c>
      <c r="BE1722" s="2">
        <v>41859.0</v>
      </c>
      <c r="BF1722" s="2" t="s">
        <v>16999</v>
      </c>
      <c r="BH1722" s="1">
        <v>0.0</v>
      </c>
      <c r="BI1722" s="1" t="s">
        <v>3052</v>
      </c>
      <c r="BJ1722" s="1" t="s">
        <v>3053</v>
      </c>
      <c r="BK1722" s="1" t="s">
        <v>204</v>
      </c>
      <c r="BL1722" s="1" t="str">
        <f t="shared" ref="BL1722:BM1722" si="1132">"0"</f>
        <v>0</v>
      </c>
      <c r="BM1722" s="1" t="str">
        <f t="shared" si="1132"/>
        <v>0</v>
      </c>
      <c r="BN1722" s="1">
        <v>42.0</v>
      </c>
      <c r="BO1722" s="1">
        <v>16.0</v>
      </c>
      <c r="BQ1722" s="1">
        <v>115.0</v>
      </c>
      <c r="BR1722" s="1">
        <v>115.0</v>
      </c>
      <c r="BS1722" s="1">
        <v>115.0</v>
      </c>
      <c r="BU1722" s="1" t="s">
        <v>1000</v>
      </c>
      <c r="BV1722" s="1" t="s">
        <v>267</v>
      </c>
      <c r="BW1722" s="1" t="s">
        <v>210</v>
      </c>
      <c r="BX1722" s="1" t="s">
        <v>239</v>
      </c>
      <c r="BY1722" s="1" t="s">
        <v>1426</v>
      </c>
      <c r="BZ1722" s="1" t="s">
        <v>209</v>
      </c>
      <c r="CA1722" s="1" t="s">
        <v>210</v>
      </c>
      <c r="CB1722" s="1" t="s">
        <v>239</v>
      </c>
      <c r="CC1722" s="1" t="s">
        <v>363</v>
      </c>
      <c r="CD1722" s="1" t="s">
        <v>206</v>
      </c>
      <c r="CE1722" s="1" t="s">
        <v>210</v>
      </c>
      <c r="CF1722" s="1" t="s">
        <v>239</v>
      </c>
      <c r="CG1722" s="1" t="s">
        <v>215</v>
      </c>
      <c r="CH1722" s="1" t="s">
        <v>209</v>
      </c>
      <c r="CI1722" s="1" t="s">
        <v>210</v>
      </c>
      <c r="CJ1722" s="1" t="s">
        <v>239</v>
      </c>
      <c r="CK1722" s="1" t="s">
        <v>699</v>
      </c>
      <c r="CL1722" s="1" t="s">
        <v>209</v>
      </c>
      <c r="CM1722" s="1" t="s">
        <v>210</v>
      </c>
      <c r="CN1722" s="1" t="s">
        <v>239</v>
      </c>
      <c r="CO1722" s="1" t="s">
        <v>699</v>
      </c>
      <c r="CP1722" s="1" t="s">
        <v>209</v>
      </c>
      <c r="CQ1722" s="1" t="s">
        <v>210</v>
      </c>
      <c r="CR1722" s="1" t="s">
        <v>239</v>
      </c>
      <c r="CS1722" s="1" t="s">
        <v>1891</v>
      </c>
      <c r="CT1722" s="1" t="s">
        <v>206</v>
      </c>
      <c r="CU1722" s="1" t="s">
        <v>617</v>
      </c>
      <c r="CV1722" s="1" t="s">
        <v>239</v>
      </c>
      <c r="CW1722" s="1" t="s">
        <v>12443</v>
      </c>
      <c r="CX1722" s="1" t="s">
        <v>42</v>
      </c>
      <c r="CY1722" s="1" t="s">
        <v>210</v>
      </c>
      <c r="CZ1722" s="1" t="s">
        <v>239</v>
      </c>
      <c r="DA1722" s="1" t="s">
        <v>200</v>
      </c>
      <c r="DC1722" s="1" t="s">
        <v>678</v>
      </c>
      <c r="DD1722" s="1" t="s">
        <v>396</v>
      </c>
      <c r="DE1722" s="1" t="s">
        <v>273</v>
      </c>
      <c r="DF1722" s="1" t="s">
        <v>219</v>
      </c>
      <c r="DG1722" s="1" t="s">
        <v>482</v>
      </c>
      <c r="DH1722" s="1" t="s">
        <v>220</v>
      </c>
      <c r="DI1722" s="1" t="s">
        <v>1003</v>
      </c>
      <c r="DJ1722" s="1" t="s">
        <v>222</v>
      </c>
      <c r="DK1722" s="1" t="s">
        <v>223</v>
      </c>
      <c r="DL1722" s="1" t="s">
        <v>858</v>
      </c>
      <c r="DM1722" s="1" t="s">
        <v>229</v>
      </c>
      <c r="DN1722" s="1" t="s">
        <v>399</v>
      </c>
      <c r="DO1722" s="1" t="s">
        <v>486</v>
      </c>
      <c r="DP1722" s="1" t="s">
        <v>340</v>
      </c>
      <c r="DQ1722" s="1" t="s">
        <v>441</v>
      </c>
      <c r="DR1722" s="1" t="s">
        <v>229</v>
      </c>
      <c r="DS1722" s="1" t="s">
        <v>368</v>
      </c>
      <c r="DU1722" s="1" t="s">
        <v>17000</v>
      </c>
      <c r="DV1722" s="1" t="s">
        <v>232</v>
      </c>
      <c r="DW1722" s="1" t="s">
        <v>444</v>
      </c>
      <c r="DX1722" s="1" t="s">
        <v>309</v>
      </c>
      <c r="DY1722" s="1" t="s">
        <v>3846</v>
      </c>
      <c r="DZ1722" s="1" t="s">
        <v>862</v>
      </c>
      <c r="EA1722" s="1" t="s">
        <v>344</v>
      </c>
      <c r="EB1722" s="1" t="s">
        <v>492</v>
      </c>
      <c r="EC1722" s="1" t="s">
        <v>237</v>
      </c>
      <c r="ED1722" s="1" t="s">
        <v>407</v>
      </c>
      <c r="EE1722" s="1" t="s">
        <v>493</v>
      </c>
      <c r="EM1722" s="1" t="s">
        <v>238</v>
      </c>
      <c r="EQ1722" s="1" t="s">
        <v>238</v>
      </c>
      <c r="EU1722" s="1" t="s">
        <v>238</v>
      </c>
      <c r="EY1722" s="1" t="s">
        <v>238</v>
      </c>
      <c r="FC1722" s="1" t="s">
        <v>238</v>
      </c>
      <c r="FF1722" s="1" t="s">
        <v>239</v>
      </c>
      <c r="FG1722" s="1" t="s">
        <v>192</v>
      </c>
      <c r="FH1722" s="1" t="s">
        <v>192</v>
      </c>
      <c r="FJ1722" s="1" t="s">
        <v>1248</v>
      </c>
      <c r="FK1722" s="1" t="s">
        <v>229</v>
      </c>
      <c r="FL1722" s="1" t="s">
        <v>1007</v>
      </c>
      <c r="FM1722" s="1">
        <v>22588.0</v>
      </c>
      <c r="FN1722" s="1" t="s">
        <v>1321</v>
      </c>
      <c r="FO1722" s="1" t="s">
        <v>3063</v>
      </c>
      <c r="FP1722" s="1">
        <v>222996.0</v>
      </c>
      <c r="FQ1722" s="1" t="s">
        <v>3064</v>
      </c>
      <c r="FR1722" s="1">
        <v>242902.0</v>
      </c>
      <c r="FS1722" s="1" t="s">
        <v>3065</v>
      </c>
      <c r="FU1722" s="1" t="s">
        <v>17001</v>
      </c>
      <c r="FV1722" s="1" t="s">
        <v>200</v>
      </c>
      <c r="FW1722" s="1" t="s">
        <v>290</v>
      </c>
      <c r="FZ1722" s="1" t="s">
        <v>229</v>
      </c>
      <c r="GA1722" s="1" t="s">
        <v>291</v>
      </c>
      <c r="GB1722" s="2">
        <v>42061.0</v>
      </c>
    </row>
    <row r="1723">
      <c r="A1723" s="1">
        <v>111000.0</v>
      </c>
      <c r="B1723" s="1" t="s">
        <v>185</v>
      </c>
      <c r="C1723" s="1" t="str">
        <f>"08687917"</f>
        <v>08687917</v>
      </c>
      <c r="D1723" s="1" t="s">
        <v>186</v>
      </c>
      <c r="F1723" s="1" t="str">
        <f>"8044"</f>
        <v>8044</v>
      </c>
      <c r="G1723" s="2">
        <v>41850.0</v>
      </c>
      <c r="H1723" s="1">
        <v>129900.0</v>
      </c>
      <c r="I1723" s="1">
        <v>559.0</v>
      </c>
      <c r="J1723" s="1">
        <v>111900.0</v>
      </c>
      <c r="K1723" s="2">
        <v>41982.0</v>
      </c>
      <c r="L1723" s="1">
        <v>135.0</v>
      </c>
      <c r="M1723" s="2">
        <v>41982.0</v>
      </c>
      <c r="N1723" s="1" t="s">
        <v>356</v>
      </c>
      <c r="O1723" s="2">
        <v>42114.0</v>
      </c>
      <c r="P1723" s="1">
        <v>164862.0</v>
      </c>
      <c r="Q1723" s="1">
        <v>16938.0</v>
      </c>
      <c r="R1723" s="1">
        <v>3.0</v>
      </c>
      <c r="S1723" s="1">
        <v>717.0</v>
      </c>
      <c r="T1723" s="1" t="s">
        <v>14489</v>
      </c>
      <c r="U1723" s="1" t="s">
        <v>694</v>
      </c>
      <c r="V1723" s="1" t="s">
        <v>190</v>
      </c>
      <c r="W1723" s="1">
        <v>60619.0</v>
      </c>
      <c r="Y1723" s="1" t="s">
        <v>17002</v>
      </c>
      <c r="Z1723" s="1">
        <v>2008.0</v>
      </c>
      <c r="AA1723" s="1" t="s">
        <v>200</v>
      </c>
      <c r="AB1723" s="1" t="s">
        <v>193</v>
      </c>
      <c r="AD1723" s="1" t="s">
        <v>194</v>
      </c>
      <c r="AE1723" s="1" t="s">
        <v>195</v>
      </c>
      <c r="AF1723" s="1" t="s">
        <v>637</v>
      </c>
      <c r="AH1723" s="1" t="s">
        <v>359</v>
      </c>
      <c r="AI1723" s="1">
        <v>0.0717</v>
      </c>
      <c r="AK1723" s="1">
        <v>7.0</v>
      </c>
      <c r="AL1723" s="1">
        <v>4.0</v>
      </c>
      <c r="AM1723" s="1">
        <v>3.0</v>
      </c>
      <c r="AN1723" s="1">
        <v>1.0</v>
      </c>
      <c r="AO1723" s="1" t="s">
        <v>198</v>
      </c>
      <c r="AP1723" s="1">
        <v>1.0</v>
      </c>
      <c r="AQ1723" s="1" t="s">
        <v>198</v>
      </c>
      <c r="AR1723" s="1" t="s">
        <v>192</v>
      </c>
      <c r="AS1723" s="1" t="s">
        <v>199</v>
      </c>
      <c r="AT1723" s="1">
        <v>2.0</v>
      </c>
      <c r="AV1723" s="1" t="s">
        <v>200</v>
      </c>
      <c r="AW1723" s="1">
        <v>3509.46</v>
      </c>
      <c r="AX1723" s="1">
        <v>2013.0</v>
      </c>
      <c r="AZ1723" s="1" t="s">
        <v>200</v>
      </c>
      <c r="BA1723" s="1" t="str">
        <f>"25034160070000"</f>
        <v>25034160070000</v>
      </c>
      <c r="BC1723" s="1">
        <v>2000.0</v>
      </c>
      <c r="BD1723" s="1">
        <v>111000.0</v>
      </c>
      <c r="BE1723" s="2">
        <v>41848.0</v>
      </c>
      <c r="BF1723" s="1" t="s">
        <v>17003</v>
      </c>
      <c r="BH1723" s="1">
        <v>0.0</v>
      </c>
      <c r="BK1723" s="1" t="s">
        <v>204</v>
      </c>
      <c r="BL1723" s="1" t="str">
        <f>"0"</f>
        <v>0</v>
      </c>
      <c r="BM1723" s="1" t="str">
        <f>"717"</f>
        <v>717</v>
      </c>
      <c r="BN1723" s="1">
        <v>0.0</v>
      </c>
      <c r="BO1723" s="1">
        <v>9250.0</v>
      </c>
      <c r="BQ1723" s="1">
        <v>299.0</v>
      </c>
      <c r="BR1723" s="1">
        <v>299.0</v>
      </c>
      <c r="BS1723" s="1">
        <v>299.0</v>
      </c>
      <c r="BU1723" s="1" t="s">
        <v>769</v>
      </c>
      <c r="BV1723" s="1" t="s">
        <v>206</v>
      </c>
      <c r="BW1723" s="1" t="s">
        <v>207</v>
      </c>
      <c r="BY1723" s="1" t="s">
        <v>924</v>
      </c>
      <c r="BZ1723" s="1" t="s">
        <v>209</v>
      </c>
      <c r="CC1723" s="1" t="s">
        <v>542</v>
      </c>
      <c r="CD1723" s="1" t="s">
        <v>206</v>
      </c>
      <c r="CG1723" s="1" t="s">
        <v>1426</v>
      </c>
      <c r="CH1723" s="1" t="s">
        <v>209</v>
      </c>
      <c r="CK1723" s="1" t="s">
        <v>699</v>
      </c>
      <c r="CL1723" s="1" t="s">
        <v>209</v>
      </c>
      <c r="CO1723" s="1" t="s">
        <v>663</v>
      </c>
      <c r="CP1723" s="1" t="s">
        <v>209</v>
      </c>
      <c r="CS1723" s="1" t="s">
        <v>5291</v>
      </c>
      <c r="CT1723" s="1" t="s">
        <v>206</v>
      </c>
      <c r="CU1723" s="1" t="s">
        <v>207</v>
      </c>
      <c r="CX1723" s="1" t="s">
        <v>204</v>
      </c>
      <c r="DA1723" s="1" t="s">
        <v>200</v>
      </c>
      <c r="DC1723" s="1" t="s">
        <v>481</v>
      </c>
      <c r="DE1723" s="1" t="s">
        <v>273</v>
      </c>
      <c r="DF1723" s="1" t="s">
        <v>619</v>
      </c>
      <c r="DH1723" s="1" t="s">
        <v>365</v>
      </c>
      <c r="DJ1723" s="1" t="s">
        <v>222</v>
      </c>
      <c r="DL1723" s="1" t="s">
        <v>224</v>
      </c>
      <c r="DM1723" s="1" t="s">
        <v>229</v>
      </c>
      <c r="DQ1723" s="1" t="s">
        <v>228</v>
      </c>
      <c r="DR1723" s="1" t="s">
        <v>229</v>
      </c>
      <c r="DV1723" s="1" t="s">
        <v>232</v>
      </c>
      <c r="DW1723" s="1" t="s">
        <v>489</v>
      </c>
      <c r="DX1723" s="1" t="s">
        <v>234</v>
      </c>
      <c r="EC1723" s="1" t="s">
        <v>237</v>
      </c>
      <c r="EE1723" s="1" t="s">
        <v>522</v>
      </c>
      <c r="EM1723" s="1" t="s">
        <v>238</v>
      </c>
      <c r="EQ1723" s="1" t="s">
        <v>238</v>
      </c>
      <c r="EU1723" s="1" t="s">
        <v>238</v>
      </c>
      <c r="EY1723" s="1" t="s">
        <v>238</v>
      </c>
      <c r="FC1723" s="1" t="s">
        <v>238</v>
      </c>
      <c r="FF1723" s="1" t="s">
        <v>239</v>
      </c>
      <c r="FG1723" s="1" t="s">
        <v>192</v>
      </c>
      <c r="FH1723" s="1" t="s">
        <v>192</v>
      </c>
      <c r="FJ1723" s="1" t="s">
        <v>3334</v>
      </c>
      <c r="FK1723" s="1" t="s">
        <v>229</v>
      </c>
      <c r="FL1723" s="1" t="s">
        <v>15112</v>
      </c>
      <c r="FM1723" s="1">
        <v>16496.0</v>
      </c>
      <c r="FN1723" s="1" t="s">
        <v>15113</v>
      </c>
      <c r="FO1723" s="1" t="s">
        <v>15114</v>
      </c>
      <c r="FP1723" s="1">
        <v>246035.0</v>
      </c>
      <c r="FR1723" s="1">
        <v>108887.0</v>
      </c>
      <c r="FU1723" s="1" t="s">
        <v>17004</v>
      </c>
      <c r="FV1723" s="1" t="s">
        <v>200</v>
      </c>
      <c r="FW1723" s="1" t="s">
        <v>290</v>
      </c>
      <c r="FX1723" s="1" t="s">
        <v>1739</v>
      </c>
      <c r="FZ1723" s="1" t="s">
        <v>229</v>
      </c>
      <c r="GA1723" s="1" t="s">
        <v>291</v>
      </c>
      <c r="GB1723" s="2">
        <v>42118.0</v>
      </c>
      <c r="GC1723" s="1" t="s">
        <v>17005</v>
      </c>
    </row>
    <row r="1724">
      <c r="A1724" s="1">
        <v>102500.0</v>
      </c>
      <c r="B1724" s="1" t="s">
        <v>185</v>
      </c>
      <c r="C1724" s="1" t="str">
        <f>"08694626"</f>
        <v>08694626</v>
      </c>
      <c r="D1724" s="1" t="s">
        <v>186</v>
      </c>
      <c r="F1724" s="1" t="str">
        <f>"123"</f>
        <v>123</v>
      </c>
      <c r="G1724" s="2">
        <v>41857.0</v>
      </c>
      <c r="H1724" s="1">
        <v>139900.0</v>
      </c>
      <c r="I1724" s="1">
        <v>272.0</v>
      </c>
      <c r="J1724" s="1">
        <v>110900.0</v>
      </c>
      <c r="K1724" s="2">
        <v>42128.0</v>
      </c>
      <c r="L1724" s="1">
        <v>272.0</v>
      </c>
      <c r="M1724" s="2">
        <v>42128.0</v>
      </c>
      <c r="N1724" s="1" t="s">
        <v>249</v>
      </c>
      <c r="O1724" s="2">
        <v>42143.0</v>
      </c>
      <c r="P1724" s="1">
        <v>8909.0</v>
      </c>
      <c r="Q1724" s="1">
        <v>41.0</v>
      </c>
      <c r="S1724" s="1">
        <v>822.0</v>
      </c>
      <c r="T1724" s="1" t="s">
        <v>9349</v>
      </c>
      <c r="U1724" s="1" t="s">
        <v>189</v>
      </c>
      <c r="V1724" s="1" t="s">
        <v>465</v>
      </c>
      <c r="W1724" s="1">
        <v>60123.0</v>
      </c>
      <c r="Y1724" s="1" t="s">
        <v>17006</v>
      </c>
      <c r="Z1724" s="1" t="s">
        <v>296</v>
      </c>
      <c r="AA1724" s="1" t="s">
        <v>200</v>
      </c>
      <c r="AB1724" s="1" t="s">
        <v>193</v>
      </c>
      <c r="AD1724" s="1" t="s">
        <v>469</v>
      </c>
      <c r="AE1724" s="1" t="s">
        <v>325</v>
      </c>
      <c r="AF1724" s="1" t="s">
        <v>469</v>
      </c>
      <c r="AH1724" s="1" t="s">
        <v>17007</v>
      </c>
      <c r="AK1724" s="1">
        <v>9.0</v>
      </c>
      <c r="AL1724" s="1">
        <v>4.0</v>
      </c>
      <c r="AM1724" s="1">
        <v>1.0</v>
      </c>
      <c r="AN1724" s="1">
        <v>1.0</v>
      </c>
      <c r="AO1724" s="1" t="s">
        <v>229</v>
      </c>
      <c r="AP1724" s="1">
        <v>2.0</v>
      </c>
      <c r="AQ1724" s="1" t="s">
        <v>198</v>
      </c>
      <c r="AR1724" s="1" t="s">
        <v>200</v>
      </c>
      <c r="AS1724" s="1" t="s">
        <v>199</v>
      </c>
      <c r="AT1724" s="1">
        <v>1.0</v>
      </c>
      <c r="AV1724" s="1" t="s">
        <v>200</v>
      </c>
      <c r="AW1724" s="1">
        <v>5679.0</v>
      </c>
      <c r="AX1724" s="1">
        <v>2012.0</v>
      </c>
      <c r="AZ1724" s="1" t="s">
        <v>200</v>
      </c>
      <c r="BA1724" s="1" t="str">
        <f>"0614102007"</f>
        <v>0614102007</v>
      </c>
      <c r="BC1724" s="1">
        <v>0.0</v>
      </c>
      <c r="BD1724" s="1">
        <v>102500.0</v>
      </c>
      <c r="BE1724" s="2">
        <v>41857.0</v>
      </c>
      <c r="BF1724" s="2" t="s">
        <v>17008</v>
      </c>
      <c r="BH1724" s="1">
        <v>0.0</v>
      </c>
      <c r="BK1724" s="1" t="s">
        <v>204</v>
      </c>
      <c r="BL1724" s="1" t="str">
        <f t="shared" ref="BL1724:BM1724" si="1133">""</f>
        <v/>
      </c>
      <c r="BM1724" s="1" t="str">
        <f t="shared" si="1133"/>
        <v/>
      </c>
      <c r="BQ1724" s="1">
        <v>46.0</v>
      </c>
      <c r="BR1724" s="1">
        <v>46.0</v>
      </c>
      <c r="BS1724" s="1">
        <v>46.0</v>
      </c>
      <c r="BU1724" s="1" t="s">
        <v>1000</v>
      </c>
      <c r="BV1724" s="1" t="s">
        <v>206</v>
      </c>
      <c r="BW1724" s="1" t="s">
        <v>207</v>
      </c>
      <c r="BY1724" s="1" t="s">
        <v>208</v>
      </c>
      <c r="BZ1724" s="1" t="s">
        <v>209</v>
      </c>
      <c r="CC1724" s="1" t="s">
        <v>331</v>
      </c>
      <c r="CD1724" s="1" t="s">
        <v>206</v>
      </c>
      <c r="CE1724" s="1" t="s">
        <v>207</v>
      </c>
      <c r="CG1724" s="1" t="s">
        <v>208</v>
      </c>
      <c r="CH1724" s="1" t="s">
        <v>209</v>
      </c>
      <c r="CK1724" s="1" t="s">
        <v>329</v>
      </c>
      <c r="CL1724" s="1" t="s">
        <v>209</v>
      </c>
      <c r="CO1724" s="1" t="s">
        <v>743</v>
      </c>
      <c r="CP1724" s="1" t="s">
        <v>209</v>
      </c>
      <c r="CS1724" s="1" t="s">
        <v>647</v>
      </c>
      <c r="CT1724" s="1" t="s">
        <v>206</v>
      </c>
      <c r="CW1724" s="1" t="s">
        <v>434</v>
      </c>
      <c r="CX1724" s="1" t="s">
        <v>206</v>
      </c>
      <c r="CY1724" s="1" t="s">
        <v>207</v>
      </c>
      <c r="DA1724" s="1" t="s">
        <v>200</v>
      </c>
      <c r="DC1724" s="1" t="s">
        <v>545</v>
      </c>
      <c r="DD1724" s="1" t="s">
        <v>518</v>
      </c>
      <c r="DE1724" s="1" t="s">
        <v>273</v>
      </c>
      <c r="DF1724" s="1" t="s">
        <v>219</v>
      </c>
      <c r="DH1724" s="1" t="s">
        <v>365</v>
      </c>
      <c r="DJ1724" s="1" t="s">
        <v>222</v>
      </c>
      <c r="DL1724" s="1" t="s">
        <v>224</v>
      </c>
      <c r="DM1724" s="1" t="s">
        <v>229</v>
      </c>
      <c r="DP1724" s="1" t="s">
        <v>227</v>
      </c>
      <c r="DQ1724" s="1" t="s">
        <v>228</v>
      </c>
      <c r="DR1724" s="1" t="s">
        <v>229</v>
      </c>
      <c r="DV1724" s="1" t="s">
        <v>4611</v>
      </c>
      <c r="DW1724" s="1" t="s">
        <v>934</v>
      </c>
      <c r="DX1724" s="1" t="s">
        <v>309</v>
      </c>
      <c r="DY1724" s="1" t="s">
        <v>704</v>
      </c>
      <c r="EC1724" s="1" t="s">
        <v>237</v>
      </c>
      <c r="EG1724" s="1" t="s">
        <v>450</v>
      </c>
      <c r="EH1724" s="1" t="s">
        <v>2129</v>
      </c>
      <c r="EL1724" s="1" t="s">
        <v>1534</v>
      </c>
      <c r="EM1724" s="1" t="s">
        <v>42</v>
      </c>
      <c r="EP1724" s="1" t="s">
        <v>497</v>
      </c>
      <c r="EQ1724" s="1" t="s">
        <v>206</v>
      </c>
      <c r="EU1724" s="1" t="s">
        <v>238</v>
      </c>
      <c r="EY1724" s="1" t="s">
        <v>238</v>
      </c>
      <c r="FC1724" s="1" t="s">
        <v>238</v>
      </c>
      <c r="FF1724" s="1" t="s">
        <v>239</v>
      </c>
      <c r="FG1724" s="1" t="s">
        <v>192</v>
      </c>
      <c r="FH1724" s="1" t="s">
        <v>192</v>
      </c>
      <c r="FJ1724" s="1" t="s">
        <v>347</v>
      </c>
      <c r="FK1724" s="1" t="s">
        <v>229</v>
      </c>
      <c r="FL1724" s="1" t="s">
        <v>974</v>
      </c>
      <c r="FM1724" s="1">
        <v>23871.0</v>
      </c>
      <c r="FN1724" s="1" t="s">
        <v>17009</v>
      </c>
      <c r="FO1724" s="1" t="s">
        <v>17010</v>
      </c>
      <c r="FP1724" s="1">
        <v>82766.0</v>
      </c>
      <c r="FQ1724" s="1" t="s">
        <v>17011</v>
      </c>
      <c r="FU1724" s="1" t="s">
        <v>17012</v>
      </c>
      <c r="FV1724" s="1" t="s">
        <v>200</v>
      </c>
      <c r="FW1724" s="1" t="s">
        <v>567</v>
      </c>
      <c r="FZ1724" s="1" t="s">
        <v>229</v>
      </c>
      <c r="GA1724" s="1" t="s">
        <v>291</v>
      </c>
      <c r="GB1724" s="2">
        <v>42146.0</v>
      </c>
      <c r="GC1724" s="1" t="s">
        <v>17013</v>
      </c>
    </row>
    <row r="1725">
      <c r="A1725" s="1">
        <v>30000.0</v>
      </c>
      <c r="B1725" s="1" t="s">
        <v>185</v>
      </c>
      <c r="C1725" s="1" t="str">
        <f>"08700850"</f>
        <v>08700850</v>
      </c>
      <c r="D1725" s="1" t="s">
        <v>186</v>
      </c>
      <c r="F1725" s="1" t="str">
        <f>"8073"</f>
        <v>8073</v>
      </c>
      <c r="G1725" s="2">
        <v>41864.0</v>
      </c>
      <c r="H1725" s="1">
        <v>45000.0</v>
      </c>
      <c r="I1725" s="1">
        <v>218.0</v>
      </c>
      <c r="J1725" s="1">
        <v>29900.0</v>
      </c>
      <c r="K1725" s="2">
        <v>42081.0</v>
      </c>
      <c r="L1725" s="1">
        <v>218.0</v>
      </c>
      <c r="M1725" s="2">
        <v>42081.0</v>
      </c>
      <c r="N1725" s="1" t="s">
        <v>249</v>
      </c>
      <c r="O1725" s="2">
        <v>42124.0</v>
      </c>
      <c r="P1725" s="1">
        <v>225685.0</v>
      </c>
      <c r="Q1725" s="1">
        <v>51041.0</v>
      </c>
      <c r="S1725" s="1">
        <v>10229.0</v>
      </c>
      <c r="T1725" s="1" t="s">
        <v>3171</v>
      </c>
      <c r="U1725" s="1" t="s">
        <v>320</v>
      </c>
      <c r="V1725" s="1" t="s">
        <v>190</v>
      </c>
      <c r="W1725" s="1">
        <v>60643.0</v>
      </c>
      <c r="Y1725" s="1" t="s">
        <v>17014</v>
      </c>
      <c r="Z1725" s="1">
        <v>1908.0</v>
      </c>
      <c r="AA1725" s="1" t="s">
        <v>192</v>
      </c>
      <c r="AB1725" s="1" t="s">
        <v>193</v>
      </c>
      <c r="AD1725" s="1" t="s">
        <v>194</v>
      </c>
      <c r="AE1725" s="1" t="s">
        <v>195</v>
      </c>
      <c r="AF1725" s="1" t="s">
        <v>659</v>
      </c>
      <c r="AH1725" s="1">
        <v>3863.0</v>
      </c>
      <c r="AK1725" s="1">
        <v>7.0</v>
      </c>
      <c r="AL1725" s="1">
        <v>4.0</v>
      </c>
      <c r="AM1725" s="1">
        <v>2.0</v>
      </c>
      <c r="AN1725" s="1">
        <v>0.0</v>
      </c>
      <c r="AO1725" s="1" t="s">
        <v>198</v>
      </c>
      <c r="AQ1725" s="1" t="s">
        <v>198</v>
      </c>
      <c r="AR1725" s="1" t="s">
        <v>192</v>
      </c>
      <c r="AS1725" s="1" t="s">
        <v>199</v>
      </c>
      <c r="AT1725" s="1">
        <v>1.5</v>
      </c>
      <c r="AV1725" s="1" t="s">
        <v>200</v>
      </c>
      <c r="AW1725" s="1">
        <v>2072.2</v>
      </c>
      <c r="AX1725" s="1">
        <v>2013.0</v>
      </c>
      <c r="AZ1725" s="1" t="s">
        <v>200</v>
      </c>
      <c r="BA1725" s="1" t="str">
        <f>"25084270470000"</f>
        <v>25084270470000</v>
      </c>
      <c r="BC1725" s="1">
        <v>1320.0</v>
      </c>
      <c r="BD1725" s="1">
        <v>30000.0</v>
      </c>
      <c r="BE1725" s="2">
        <v>41864.0</v>
      </c>
      <c r="BF1725" s="1" t="s">
        <v>17015</v>
      </c>
      <c r="BH1725" s="1">
        <v>0.0</v>
      </c>
      <c r="BK1725" s="1" t="s">
        <v>204</v>
      </c>
      <c r="BL1725" s="1" t="str">
        <f t="shared" ref="BL1725:BM1725" si="1134">"0"</f>
        <v>0</v>
      </c>
      <c r="BM1725" s="1" t="str">
        <f t="shared" si="1134"/>
        <v>0</v>
      </c>
      <c r="BN1725" s="1">
        <v>1032.0</v>
      </c>
      <c r="BO1725" s="1">
        <v>10229.0</v>
      </c>
      <c r="BQ1725" s="1">
        <v>299.0</v>
      </c>
      <c r="BR1725" s="1">
        <v>299.0</v>
      </c>
      <c r="BS1725" s="1">
        <v>299.0</v>
      </c>
      <c r="BU1725" s="1" t="s">
        <v>878</v>
      </c>
      <c r="BV1725" s="1" t="s">
        <v>206</v>
      </c>
      <c r="BY1725" s="1" t="s">
        <v>647</v>
      </c>
      <c r="BZ1725" s="1" t="s">
        <v>209</v>
      </c>
      <c r="CC1725" s="1" t="s">
        <v>269</v>
      </c>
      <c r="CD1725" s="1" t="s">
        <v>206</v>
      </c>
      <c r="CG1725" s="1" t="s">
        <v>269</v>
      </c>
      <c r="CH1725" s="1" t="s">
        <v>206</v>
      </c>
      <c r="CK1725" s="1" t="s">
        <v>269</v>
      </c>
      <c r="CL1725" s="1" t="s">
        <v>209</v>
      </c>
      <c r="CO1725" s="1" t="s">
        <v>363</v>
      </c>
      <c r="CP1725" s="1" t="s">
        <v>209</v>
      </c>
      <c r="CS1725" s="1" t="s">
        <v>363</v>
      </c>
      <c r="CT1725" s="1" t="s">
        <v>206</v>
      </c>
      <c r="CX1725" s="1" t="s">
        <v>204</v>
      </c>
      <c r="DA1725" s="1" t="s">
        <v>200</v>
      </c>
      <c r="DC1725" s="1" t="s">
        <v>642</v>
      </c>
      <c r="DE1725" s="1" t="s">
        <v>229</v>
      </c>
      <c r="DF1725" s="1" t="s">
        <v>619</v>
      </c>
      <c r="DH1725" s="1" t="s">
        <v>220</v>
      </c>
      <c r="DJ1725" s="1" t="s">
        <v>222</v>
      </c>
      <c r="DL1725" s="1" t="s">
        <v>223</v>
      </c>
      <c r="DM1725" s="1" t="s">
        <v>229</v>
      </c>
      <c r="DQ1725" s="1" t="s">
        <v>228</v>
      </c>
      <c r="DR1725" s="1" t="s">
        <v>229</v>
      </c>
      <c r="DV1725" s="1" t="s">
        <v>232</v>
      </c>
      <c r="DW1725" s="1" t="s">
        <v>667</v>
      </c>
      <c r="DX1725" s="1" t="s">
        <v>234</v>
      </c>
      <c r="EC1725" s="1" t="s">
        <v>645</v>
      </c>
      <c r="EM1725" s="1" t="s">
        <v>238</v>
      </c>
      <c r="EQ1725" s="1" t="s">
        <v>238</v>
      </c>
      <c r="EU1725" s="1" t="s">
        <v>238</v>
      </c>
      <c r="EY1725" s="1" t="s">
        <v>238</v>
      </c>
      <c r="FC1725" s="1" t="s">
        <v>238</v>
      </c>
      <c r="FF1725" s="1" t="s">
        <v>239</v>
      </c>
      <c r="FG1725" s="1" t="s">
        <v>192</v>
      </c>
      <c r="FH1725" s="1" t="s">
        <v>192</v>
      </c>
      <c r="FJ1725" s="1" t="s">
        <v>2552</v>
      </c>
      <c r="FK1725" s="1" t="s">
        <v>229</v>
      </c>
      <c r="FL1725" s="1" t="s">
        <v>11622</v>
      </c>
      <c r="FM1725" s="1">
        <v>16339.0</v>
      </c>
      <c r="FN1725" s="1" t="s">
        <v>11623</v>
      </c>
      <c r="FO1725" s="1" t="s">
        <v>11624</v>
      </c>
      <c r="FP1725" s="1">
        <v>106496.0</v>
      </c>
      <c r="FR1725" s="1">
        <v>165879.0</v>
      </c>
      <c r="FU1725" s="1" t="s">
        <v>15607</v>
      </c>
      <c r="FV1725" s="1" t="s">
        <v>200</v>
      </c>
      <c r="FW1725" s="1" t="s">
        <v>567</v>
      </c>
      <c r="FX1725" s="1" t="s">
        <v>655</v>
      </c>
      <c r="FZ1725" s="1" t="s">
        <v>229</v>
      </c>
      <c r="GA1725" s="1" t="s">
        <v>291</v>
      </c>
      <c r="GB1725" s="2">
        <v>42125.0</v>
      </c>
      <c r="GC1725" s="1" t="s">
        <v>17016</v>
      </c>
    </row>
    <row r="1726">
      <c r="A1726" s="1">
        <v>224500.0</v>
      </c>
      <c r="B1726" s="1" t="s">
        <v>185</v>
      </c>
      <c r="C1726" s="1" t="str">
        <f>"08705031"</f>
        <v>08705031</v>
      </c>
      <c r="D1726" s="1" t="s">
        <v>186</v>
      </c>
      <c r="F1726" s="1" t="str">
        <f>"174"</f>
        <v>174</v>
      </c>
      <c r="G1726" s="2">
        <v>41869.0</v>
      </c>
      <c r="H1726" s="1">
        <v>257900.0</v>
      </c>
      <c r="I1726" s="1">
        <v>106.0</v>
      </c>
      <c r="J1726" s="1">
        <v>249900.0</v>
      </c>
      <c r="K1726" s="2">
        <v>41974.0</v>
      </c>
      <c r="L1726" s="1">
        <v>106.0</v>
      </c>
      <c r="M1726" s="2">
        <v>41974.0</v>
      </c>
      <c r="N1726" s="1" t="s">
        <v>187</v>
      </c>
      <c r="O1726" s="2">
        <v>42016.0</v>
      </c>
      <c r="P1726" s="1">
        <v>252187.0</v>
      </c>
      <c r="Q1726" s="1">
        <v>25200.0</v>
      </c>
      <c r="S1726" s="1">
        <v>530.0</v>
      </c>
      <c r="T1726" s="1" t="s">
        <v>8542</v>
      </c>
      <c r="U1726" s="1" t="s">
        <v>320</v>
      </c>
      <c r="V1726" s="1" t="s">
        <v>1200</v>
      </c>
      <c r="W1726" s="1">
        <v>60174.0</v>
      </c>
      <c r="X1726" s="1">
        <v>3651.0</v>
      </c>
      <c r="Y1726" s="1" t="s">
        <v>17017</v>
      </c>
      <c r="Z1726" s="1">
        <v>1970.0</v>
      </c>
      <c r="AA1726" s="1" t="s">
        <v>192</v>
      </c>
      <c r="AB1726" s="1" t="s">
        <v>193</v>
      </c>
      <c r="AC1726" s="1" t="s">
        <v>17018</v>
      </c>
      <c r="AD1726" s="1" t="s">
        <v>1203</v>
      </c>
      <c r="AE1726" s="1" t="s">
        <v>325</v>
      </c>
      <c r="AF1726" s="1" t="s">
        <v>1203</v>
      </c>
      <c r="AH1726" s="1" t="s">
        <v>17019</v>
      </c>
      <c r="AI1726" s="1">
        <v>0.242</v>
      </c>
      <c r="AK1726" s="1">
        <v>8.0</v>
      </c>
      <c r="AL1726" s="1">
        <v>4.0</v>
      </c>
      <c r="AM1726" s="1">
        <v>1.0</v>
      </c>
      <c r="AN1726" s="1">
        <v>1.0</v>
      </c>
      <c r="AO1726" s="1" t="s">
        <v>229</v>
      </c>
      <c r="AP1726" s="1">
        <v>1.0</v>
      </c>
      <c r="AQ1726" s="1" t="s">
        <v>198</v>
      </c>
      <c r="AR1726" s="1" t="s">
        <v>200</v>
      </c>
      <c r="AS1726" s="1" t="s">
        <v>199</v>
      </c>
      <c r="AT1726" s="1">
        <v>2.0</v>
      </c>
      <c r="AV1726" s="1" t="s">
        <v>200</v>
      </c>
      <c r="AW1726" s="1">
        <v>6068.0</v>
      </c>
      <c r="AX1726" s="1">
        <v>2013.0</v>
      </c>
      <c r="AY1726" s="1" t="s">
        <v>387</v>
      </c>
      <c r="AZ1726" s="1" t="s">
        <v>200</v>
      </c>
      <c r="BA1726" s="1" t="str">
        <f>"0933328010"</f>
        <v>0933328010</v>
      </c>
      <c r="BC1726" s="1">
        <v>1930.0</v>
      </c>
      <c r="BD1726" s="1">
        <v>224500.0</v>
      </c>
      <c r="BE1726" s="2">
        <v>41869.0</v>
      </c>
      <c r="BF1726" s="2" t="s">
        <v>17020</v>
      </c>
      <c r="BG1726" s="1" t="s">
        <v>5991</v>
      </c>
      <c r="BH1726" s="1">
        <v>0.0</v>
      </c>
      <c r="BI1726" s="1" t="s">
        <v>2199</v>
      </c>
      <c r="BJ1726" s="1" t="s">
        <v>2144</v>
      </c>
      <c r="BK1726" s="1" t="s">
        <v>204</v>
      </c>
      <c r="BL1726" s="1" t="str">
        <f t="shared" ref="BL1726:BM1726" si="1135">""</f>
        <v/>
      </c>
      <c r="BM1726" s="1" t="str">
        <f t="shared" si="1135"/>
        <v/>
      </c>
      <c r="BQ1726" s="1">
        <v>303.0</v>
      </c>
      <c r="BR1726" s="1">
        <v>303.0</v>
      </c>
      <c r="BS1726" s="1">
        <v>303.0</v>
      </c>
      <c r="BU1726" s="1" t="s">
        <v>1891</v>
      </c>
      <c r="BV1726" s="1" t="s">
        <v>206</v>
      </c>
      <c r="BW1726" s="1" t="s">
        <v>301</v>
      </c>
      <c r="BX1726" s="1" t="s">
        <v>239</v>
      </c>
      <c r="BY1726" s="1" t="s">
        <v>454</v>
      </c>
      <c r="BZ1726" s="1" t="s">
        <v>209</v>
      </c>
      <c r="CA1726" s="1" t="s">
        <v>207</v>
      </c>
      <c r="CB1726" s="1" t="s">
        <v>239</v>
      </c>
      <c r="CC1726" s="1" t="s">
        <v>495</v>
      </c>
      <c r="CD1726" s="1" t="s">
        <v>206</v>
      </c>
      <c r="CE1726" s="1" t="s">
        <v>301</v>
      </c>
      <c r="CF1726" s="1" t="s">
        <v>431</v>
      </c>
      <c r="CG1726" s="1" t="s">
        <v>264</v>
      </c>
      <c r="CH1726" s="1" t="s">
        <v>209</v>
      </c>
      <c r="CI1726" s="1" t="s">
        <v>207</v>
      </c>
      <c r="CJ1726" s="1" t="s">
        <v>239</v>
      </c>
      <c r="CK1726" s="1" t="s">
        <v>302</v>
      </c>
      <c r="CL1726" s="1" t="s">
        <v>209</v>
      </c>
      <c r="CM1726" s="1" t="s">
        <v>207</v>
      </c>
      <c r="CN1726" s="1" t="s">
        <v>239</v>
      </c>
      <c r="CO1726" s="1" t="s">
        <v>269</v>
      </c>
      <c r="CP1726" s="1" t="s">
        <v>209</v>
      </c>
      <c r="CQ1726" s="1" t="s">
        <v>207</v>
      </c>
      <c r="CR1726" s="1" t="s">
        <v>239</v>
      </c>
      <c r="CS1726" s="1" t="s">
        <v>433</v>
      </c>
      <c r="CT1726" s="1" t="s">
        <v>206</v>
      </c>
      <c r="CU1726" s="1" t="s">
        <v>617</v>
      </c>
      <c r="CV1726" s="1" t="s">
        <v>239</v>
      </c>
      <c r="CW1726" s="1" t="s">
        <v>334</v>
      </c>
      <c r="CX1726" s="1" t="s">
        <v>206</v>
      </c>
      <c r="CY1726" s="1" t="s">
        <v>210</v>
      </c>
      <c r="CZ1726" s="1" t="s">
        <v>239</v>
      </c>
      <c r="DA1726" s="1" t="s">
        <v>200</v>
      </c>
      <c r="DC1726" s="1" t="s">
        <v>517</v>
      </c>
      <c r="DD1726" s="1" t="s">
        <v>396</v>
      </c>
      <c r="DE1726" s="1" t="s">
        <v>273</v>
      </c>
      <c r="DF1726" s="1" t="s">
        <v>219</v>
      </c>
      <c r="DG1726" s="1" t="s">
        <v>337</v>
      </c>
      <c r="DH1726" s="1" t="s">
        <v>220</v>
      </c>
      <c r="DI1726" s="1" t="s">
        <v>703</v>
      </c>
      <c r="DJ1726" s="1" t="s">
        <v>222</v>
      </c>
      <c r="DK1726" s="1" t="s">
        <v>223</v>
      </c>
      <c r="DL1726" s="1" t="s">
        <v>858</v>
      </c>
      <c r="DM1726" s="1" t="s">
        <v>929</v>
      </c>
      <c r="DO1726" s="1" t="s">
        <v>1979</v>
      </c>
      <c r="DP1726" s="1" t="s">
        <v>400</v>
      </c>
      <c r="DQ1726" s="1" t="s">
        <v>228</v>
      </c>
      <c r="DR1726" s="1" t="s">
        <v>229</v>
      </c>
      <c r="DS1726" s="1" t="s">
        <v>230</v>
      </c>
      <c r="DU1726" s="1" t="s">
        <v>17021</v>
      </c>
      <c r="DV1726" s="1" t="s">
        <v>232</v>
      </c>
      <c r="DW1726" s="1" t="s">
        <v>764</v>
      </c>
      <c r="DX1726" s="1" t="s">
        <v>234</v>
      </c>
      <c r="DY1726" s="1" t="s">
        <v>704</v>
      </c>
      <c r="DZ1726" s="1" t="s">
        <v>1661</v>
      </c>
      <c r="EA1726" s="1" t="s">
        <v>447</v>
      </c>
      <c r="EB1726" s="1" t="s">
        <v>684</v>
      </c>
      <c r="EC1726" s="1" t="s">
        <v>237</v>
      </c>
      <c r="ED1726" s="1" t="s">
        <v>407</v>
      </c>
      <c r="EM1726" s="1" t="s">
        <v>238</v>
      </c>
      <c r="EQ1726" s="1" t="s">
        <v>238</v>
      </c>
      <c r="EU1726" s="1" t="s">
        <v>238</v>
      </c>
      <c r="EY1726" s="1" t="s">
        <v>238</v>
      </c>
      <c r="FC1726" s="1" t="s">
        <v>238</v>
      </c>
      <c r="FF1726" s="1" t="s">
        <v>239</v>
      </c>
      <c r="FG1726" s="1" t="s">
        <v>200</v>
      </c>
      <c r="FH1726" s="1" t="s">
        <v>192</v>
      </c>
      <c r="FJ1726" s="1" t="s">
        <v>648</v>
      </c>
      <c r="FK1726" s="1" t="s">
        <v>229</v>
      </c>
      <c r="FL1726" s="1" t="s">
        <v>17022</v>
      </c>
      <c r="FM1726" s="1">
        <v>25240.0</v>
      </c>
      <c r="FN1726" s="1" t="s">
        <v>17023</v>
      </c>
      <c r="FO1726" s="1" t="s">
        <v>17024</v>
      </c>
      <c r="FP1726" s="1">
        <v>253812.0</v>
      </c>
      <c r="FQ1726" s="1" t="s">
        <v>17023</v>
      </c>
      <c r="FT1726" s="1" t="s">
        <v>17025</v>
      </c>
      <c r="FU1726" s="1" t="s">
        <v>17026</v>
      </c>
      <c r="FV1726" s="1" t="s">
        <v>200</v>
      </c>
      <c r="FW1726" s="1" t="s">
        <v>530</v>
      </c>
      <c r="FX1726" s="1" t="s">
        <v>655</v>
      </c>
      <c r="FZ1726" s="1" t="s">
        <v>229</v>
      </c>
      <c r="GA1726" s="1" t="s">
        <v>291</v>
      </c>
      <c r="GB1726" s="2">
        <v>42016.0</v>
      </c>
    </row>
    <row r="1727">
      <c r="A1727" s="1">
        <v>275000.0</v>
      </c>
      <c r="B1727" s="1" t="s">
        <v>185</v>
      </c>
      <c r="C1727" s="1" t="str">
        <f>"08698484"</f>
        <v>08698484</v>
      </c>
      <c r="D1727" s="1" t="s">
        <v>186</v>
      </c>
      <c r="F1727" s="1" t="str">
        <f>"543"</f>
        <v>543</v>
      </c>
      <c r="G1727" s="2">
        <v>41862.0</v>
      </c>
      <c r="H1727" s="1">
        <v>329900.0</v>
      </c>
      <c r="I1727" s="1">
        <v>173.0</v>
      </c>
      <c r="J1727" s="1">
        <v>279900.0</v>
      </c>
      <c r="K1727" s="2">
        <v>42034.0</v>
      </c>
      <c r="L1727" s="1">
        <v>173.0</v>
      </c>
      <c r="M1727" s="2">
        <v>42034.0</v>
      </c>
      <c r="N1727" s="1" t="s">
        <v>249</v>
      </c>
      <c r="O1727" s="2">
        <v>42046.0</v>
      </c>
      <c r="P1727" s="1">
        <v>236423.0</v>
      </c>
      <c r="Q1727" s="1">
        <v>23265.0</v>
      </c>
      <c r="S1727" s="1">
        <v>2800.0</v>
      </c>
      <c r="T1727" s="1" t="s">
        <v>17027</v>
      </c>
      <c r="U1727" s="1" t="s">
        <v>464</v>
      </c>
      <c r="V1727" s="1" t="s">
        <v>1527</v>
      </c>
      <c r="W1727" s="1">
        <v>60543.0</v>
      </c>
      <c r="Y1727" s="1" t="s">
        <v>17028</v>
      </c>
      <c r="Z1727" s="1">
        <v>1974.0</v>
      </c>
      <c r="AA1727" s="1" t="s">
        <v>192</v>
      </c>
      <c r="AB1727" s="1" t="s">
        <v>193</v>
      </c>
      <c r="AD1727" s="1" t="s">
        <v>1089</v>
      </c>
      <c r="AE1727" s="1" t="s">
        <v>849</v>
      </c>
      <c r="AF1727" s="1" t="s">
        <v>1529</v>
      </c>
      <c r="AH1727" s="1">
        <v>130680.0</v>
      </c>
      <c r="AI1727" s="1">
        <v>3.0</v>
      </c>
      <c r="AK1727" s="1">
        <v>8.0</v>
      </c>
      <c r="AL1727" s="1">
        <v>4.0</v>
      </c>
      <c r="AM1727" s="1">
        <v>2.0</v>
      </c>
      <c r="AN1727" s="1">
        <v>1.0</v>
      </c>
      <c r="AO1727" s="1" t="s">
        <v>198</v>
      </c>
      <c r="AP1727" s="1">
        <v>1.0</v>
      </c>
      <c r="AQ1727" s="1" t="s">
        <v>198</v>
      </c>
      <c r="AR1727" s="1" t="s">
        <v>200</v>
      </c>
      <c r="AS1727" s="1" t="s">
        <v>199</v>
      </c>
      <c r="AT1727" s="1">
        <v>3.0</v>
      </c>
      <c r="AV1727" s="1" t="s">
        <v>200</v>
      </c>
      <c r="AW1727" s="1">
        <v>10386.22</v>
      </c>
      <c r="AX1727" s="1">
        <v>2012.0</v>
      </c>
      <c r="AZ1727" s="1" t="s">
        <v>200</v>
      </c>
      <c r="BA1727" s="1" t="str">
        <f>"0313300007"</f>
        <v>0313300007</v>
      </c>
      <c r="BC1727" s="1">
        <v>2648.0</v>
      </c>
      <c r="BD1727" s="1">
        <v>275000.0</v>
      </c>
      <c r="BE1727" s="2">
        <v>41862.0</v>
      </c>
      <c r="BF1727" s="2" t="s">
        <v>17029</v>
      </c>
      <c r="BH1727" s="1">
        <v>0.0</v>
      </c>
      <c r="BK1727" s="1" t="s">
        <v>204</v>
      </c>
      <c r="BL1727" s="1" t="str">
        <f t="shared" ref="BL1727:BM1727" si="1136">""</f>
        <v/>
      </c>
      <c r="BM1727" s="1" t="str">
        <f t="shared" si="1136"/>
        <v/>
      </c>
      <c r="BQ1727" s="1">
        <v>308.0</v>
      </c>
      <c r="BR1727" s="1">
        <v>308.0</v>
      </c>
      <c r="BS1727" s="1">
        <v>308.0</v>
      </c>
      <c r="BU1727" s="1" t="s">
        <v>924</v>
      </c>
      <c r="BV1727" s="1" t="s">
        <v>206</v>
      </c>
      <c r="BY1727" s="1" t="s">
        <v>616</v>
      </c>
      <c r="BZ1727" s="1" t="s">
        <v>206</v>
      </c>
      <c r="CC1727" s="1" t="s">
        <v>584</v>
      </c>
      <c r="CD1727" s="1" t="s">
        <v>206</v>
      </c>
      <c r="CG1727" s="1" t="s">
        <v>262</v>
      </c>
      <c r="CH1727" s="1" t="s">
        <v>206</v>
      </c>
      <c r="CK1727" s="1" t="s">
        <v>543</v>
      </c>
      <c r="CL1727" s="1" t="s">
        <v>206</v>
      </c>
      <c r="CO1727" s="1" t="s">
        <v>264</v>
      </c>
      <c r="CP1727" s="1" t="s">
        <v>206</v>
      </c>
      <c r="CS1727" s="1" t="s">
        <v>623</v>
      </c>
      <c r="CT1727" s="1" t="s">
        <v>206</v>
      </c>
      <c r="CW1727" s="1" t="s">
        <v>479</v>
      </c>
      <c r="CX1727" s="1" t="s">
        <v>206</v>
      </c>
      <c r="DA1727" s="1" t="s">
        <v>200</v>
      </c>
      <c r="DC1727" s="1" t="s">
        <v>517</v>
      </c>
      <c r="DE1727" s="1" t="s">
        <v>273</v>
      </c>
      <c r="DF1727" s="1" t="s">
        <v>17030</v>
      </c>
      <c r="DH1727" s="1" t="s">
        <v>856</v>
      </c>
      <c r="DJ1727" s="1" t="s">
        <v>857</v>
      </c>
      <c r="DL1727" s="1" t="s">
        <v>223</v>
      </c>
      <c r="DM1727" s="1" t="s">
        <v>338</v>
      </c>
      <c r="DQ1727" s="1" t="s">
        <v>4389</v>
      </c>
      <c r="DR1727" s="1" t="s">
        <v>229</v>
      </c>
      <c r="DV1727" s="1" t="s">
        <v>232</v>
      </c>
      <c r="DW1727" s="1" t="s">
        <v>964</v>
      </c>
      <c r="DX1727" s="1" t="s">
        <v>234</v>
      </c>
      <c r="DZ1727" s="1" t="s">
        <v>12568</v>
      </c>
      <c r="EC1727" s="1" t="s">
        <v>685</v>
      </c>
      <c r="EM1727" s="1" t="s">
        <v>238</v>
      </c>
      <c r="EQ1727" s="1" t="s">
        <v>238</v>
      </c>
      <c r="EU1727" s="1" t="s">
        <v>238</v>
      </c>
      <c r="EY1727" s="1" t="s">
        <v>238</v>
      </c>
      <c r="FC1727" s="1" t="s">
        <v>238</v>
      </c>
      <c r="FF1727" s="1" t="s">
        <v>239</v>
      </c>
      <c r="FG1727" s="1" t="s">
        <v>192</v>
      </c>
      <c r="FH1727" s="1" t="s">
        <v>192</v>
      </c>
      <c r="FJ1727" s="1" t="s">
        <v>347</v>
      </c>
      <c r="FK1727" s="1" t="s">
        <v>229</v>
      </c>
      <c r="FL1727" s="1" t="s">
        <v>10439</v>
      </c>
      <c r="FM1727" s="1">
        <v>24199.0</v>
      </c>
      <c r="FN1727" s="1" t="s">
        <v>10440</v>
      </c>
      <c r="FO1727" s="1" t="s">
        <v>10441</v>
      </c>
      <c r="FP1727" s="1">
        <v>235607.0</v>
      </c>
      <c r="FQ1727" s="1" t="s">
        <v>10442</v>
      </c>
      <c r="FR1727" s="1">
        <v>237175.0</v>
      </c>
      <c r="FU1727" s="1" t="s">
        <v>10443</v>
      </c>
      <c r="FV1727" s="1" t="s">
        <v>200</v>
      </c>
      <c r="FW1727" s="1" t="s">
        <v>354</v>
      </c>
      <c r="FZ1727" s="1" t="s">
        <v>229</v>
      </c>
      <c r="GA1727" s="1" t="s">
        <v>291</v>
      </c>
      <c r="GB1727" s="2">
        <v>42052.0</v>
      </c>
      <c r="GC1727" s="1" t="s">
        <v>17031</v>
      </c>
    </row>
    <row r="1728">
      <c r="A1728" s="1">
        <v>209000.0</v>
      </c>
      <c r="B1728" s="1" t="s">
        <v>185</v>
      </c>
      <c r="C1728" s="1" t="str">
        <f>"08703563"</f>
        <v>08703563</v>
      </c>
      <c r="D1728" s="1" t="s">
        <v>186</v>
      </c>
      <c r="F1728" s="1" t="str">
        <f>"8070"</f>
        <v>8070</v>
      </c>
      <c r="G1728" s="2">
        <v>41867.0</v>
      </c>
      <c r="H1728" s="1">
        <v>209000.0</v>
      </c>
      <c r="I1728" s="1">
        <v>15.0</v>
      </c>
      <c r="J1728" s="1">
        <v>209000.0</v>
      </c>
      <c r="K1728" s="2">
        <v>41881.0</v>
      </c>
      <c r="L1728" s="1">
        <v>15.0</v>
      </c>
      <c r="M1728" s="2">
        <v>41881.0</v>
      </c>
      <c r="N1728" s="1" t="s">
        <v>356</v>
      </c>
      <c r="O1728" s="2">
        <v>41999.0</v>
      </c>
      <c r="P1728" s="1">
        <v>186095.0</v>
      </c>
      <c r="Q1728" s="1">
        <v>14090.0</v>
      </c>
      <c r="R1728" s="1">
        <v>6270.0</v>
      </c>
      <c r="S1728" s="1">
        <v>3645.0</v>
      </c>
      <c r="T1728" s="1" t="s">
        <v>17032</v>
      </c>
      <c r="U1728" s="1" t="s">
        <v>694</v>
      </c>
      <c r="V1728" s="1" t="s">
        <v>190</v>
      </c>
      <c r="W1728" s="1">
        <v>60652.0</v>
      </c>
      <c r="X1728" s="1">
        <v>2417.0</v>
      </c>
      <c r="Y1728" s="1" t="s">
        <v>17033</v>
      </c>
      <c r="Z1728" s="1">
        <v>1949.0</v>
      </c>
      <c r="AA1728" s="1" t="s">
        <v>192</v>
      </c>
      <c r="AB1728" s="1" t="s">
        <v>193</v>
      </c>
      <c r="AD1728" s="1" t="s">
        <v>194</v>
      </c>
      <c r="AE1728" s="1" t="s">
        <v>195</v>
      </c>
      <c r="AF1728" s="1" t="s">
        <v>659</v>
      </c>
      <c r="AH1728" s="1" t="s">
        <v>7998</v>
      </c>
      <c r="AI1728" s="1">
        <v>0.0964</v>
      </c>
      <c r="AK1728" s="1">
        <v>7.0</v>
      </c>
      <c r="AL1728" s="1">
        <v>3.0</v>
      </c>
      <c r="AM1728" s="1">
        <v>2.0</v>
      </c>
      <c r="AN1728" s="1">
        <v>0.0</v>
      </c>
      <c r="AO1728" s="1" t="s">
        <v>229</v>
      </c>
      <c r="AQ1728" s="1" t="s">
        <v>198</v>
      </c>
      <c r="AR1728" s="1" t="s">
        <v>192</v>
      </c>
      <c r="AS1728" s="1" t="s">
        <v>199</v>
      </c>
      <c r="AT1728" s="1">
        <v>2.0</v>
      </c>
      <c r="AV1728" s="1" t="s">
        <v>200</v>
      </c>
      <c r="AW1728" s="1">
        <v>1931.56</v>
      </c>
      <c r="AX1728" s="1">
        <v>2012.0</v>
      </c>
      <c r="AZ1728" s="1" t="s">
        <v>200</v>
      </c>
      <c r="BA1728" s="1" t="str">
        <f>"19351120490000"</f>
        <v>19351120490000</v>
      </c>
      <c r="BB1728" s="1" t="s">
        <v>200</v>
      </c>
      <c r="BC1728" s="1">
        <v>1230.0</v>
      </c>
      <c r="BD1728" s="1">
        <v>209000.0</v>
      </c>
      <c r="BE1728" s="2">
        <v>41867.0</v>
      </c>
      <c r="BF1728" s="2" t="s">
        <v>17034</v>
      </c>
      <c r="BH1728" s="1">
        <v>0.0</v>
      </c>
      <c r="BK1728" s="1" t="s">
        <v>204</v>
      </c>
      <c r="BL1728" s="1" t="str">
        <f t="shared" ref="BL1728:BM1728" si="1137">"0"</f>
        <v>0</v>
      </c>
      <c r="BM1728" s="1" t="str">
        <f t="shared" si="1137"/>
        <v>0</v>
      </c>
      <c r="BN1728" s="1">
        <v>3645.0</v>
      </c>
      <c r="BO1728" s="1">
        <v>8000.0</v>
      </c>
      <c r="BQ1728" s="1">
        <v>299.0</v>
      </c>
      <c r="BR1728" s="1">
        <v>299.0</v>
      </c>
      <c r="BS1728" s="1">
        <v>299.0</v>
      </c>
      <c r="BU1728" s="1" t="s">
        <v>1279</v>
      </c>
      <c r="BV1728" s="1" t="s">
        <v>206</v>
      </c>
      <c r="BW1728" s="1" t="s">
        <v>207</v>
      </c>
      <c r="BY1728" s="1" t="s">
        <v>329</v>
      </c>
      <c r="BZ1728" s="1" t="s">
        <v>206</v>
      </c>
      <c r="CA1728" s="1" t="s">
        <v>207</v>
      </c>
      <c r="CD1728" s="1" t="s">
        <v>204</v>
      </c>
      <c r="CG1728" s="1" t="s">
        <v>212</v>
      </c>
      <c r="CH1728" s="1" t="s">
        <v>206</v>
      </c>
      <c r="CI1728" s="1" t="s">
        <v>207</v>
      </c>
      <c r="CK1728" s="1" t="s">
        <v>212</v>
      </c>
      <c r="CL1728" s="1" t="s">
        <v>206</v>
      </c>
      <c r="CM1728" s="1" t="s">
        <v>207</v>
      </c>
      <c r="CO1728" s="1" t="s">
        <v>303</v>
      </c>
      <c r="CP1728" s="1" t="s">
        <v>42</v>
      </c>
      <c r="CS1728" s="1" t="s">
        <v>264</v>
      </c>
      <c r="CT1728" s="1" t="s">
        <v>206</v>
      </c>
      <c r="CU1728" s="1" t="s">
        <v>207</v>
      </c>
      <c r="CW1728" s="1" t="s">
        <v>9202</v>
      </c>
      <c r="CX1728" s="1" t="s">
        <v>42</v>
      </c>
      <c r="CY1728" s="1" t="s">
        <v>268</v>
      </c>
      <c r="DA1728" s="1" t="s">
        <v>200</v>
      </c>
      <c r="DC1728" s="1" t="s">
        <v>702</v>
      </c>
      <c r="DD1728" s="1" t="s">
        <v>518</v>
      </c>
      <c r="DE1728" s="1" t="s">
        <v>273</v>
      </c>
      <c r="DF1728" s="1" t="s">
        <v>219</v>
      </c>
      <c r="DG1728" s="1" t="s">
        <v>337</v>
      </c>
      <c r="DH1728" s="1" t="s">
        <v>365</v>
      </c>
      <c r="DI1728" s="1" t="s">
        <v>1003</v>
      </c>
      <c r="DJ1728" s="1" t="s">
        <v>222</v>
      </c>
      <c r="DK1728" s="1" t="s">
        <v>223</v>
      </c>
      <c r="DL1728" s="1" t="s">
        <v>224</v>
      </c>
      <c r="DM1728" s="1" t="s">
        <v>225</v>
      </c>
      <c r="DO1728" s="1" t="s">
        <v>549</v>
      </c>
      <c r="DQ1728" s="1" t="s">
        <v>228</v>
      </c>
      <c r="DR1728" s="1" t="s">
        <v>229</v>
      </c>
      <c r="DS1728" s="1" t="s">
        <v>401</v>
      </c>
      <c r="DU1728" s="1" t="s">
        <v>1355</v>
      </c>
      <c r="DV1728" s="1" t="s">
        <v>232</v>
      </c>
      <c r="DW1728" s="1" t="s">
        <v>279</v>
      </c>
      <c r="DX1728" s="1" t="s">
        <v>234</v>
      </c>
      <c r="EA1728" s="1" t="s">
        <v>644</v>
      </c>
      <c r="EC1728" s="1" t="s">
        <v>685</v>
      </c>
      <c r="EM1728" s="1" t="s">
        <v>238</v>
      </c>
      <c r="EQ1728" s="1" t="s">
        <v>238</v>
      </c>
      <c r="EU1728" s="1" t="s">
        <v>238</v>
      </c>
      <c r="EY1728" s="1" t="s">
        <v>238</v>
      </c>
      <c r="FC1728" s="1" t="s">
        <v>238</v>
      </c>
      <c r="FF1728" s="1" t="s">
        <v>239</v>
      </c>
      <c r="FG1728" s="1" t="s">
        <v>192</v>
      </c>
      <c r="FH1728" s="1" t="s">
        <v>192</v>
      </c>
      <c r="FJ1728" s="1" t="s">
        <v>17035</v>
      </c>
      <c r="FK1728" s="1" t="s">
        <v>229</v>
      </c>
      <c r="FL1728" s="1" t="s">
        <v>8326</v>
      </c>
      <c r="FM1728" s="1">
        <v>23391.0</v>
      </c>
      <c r="FN1728" s="1" t="s">
        <v>8327</v>
      </c>
      <c r="FO1728" s="1" t="s">
        <v>17036</v>
      </c>
      <c r="FP1728" s="1">
        <v>220590.0</v>
      </c>
      <c r="FQ1728" s="1" t="s">
        <v>17037</v>
      </c>
      <c r="FU1728" s="1" t="s">
        <v>3760</v>
      </c>
      <c r="FV1728" s="1" t="s">
        <v>192</v>
      </c>
      <c r="FW1728" s="1" t="s">
        <v>1411</v>
      </c>
      <c r="FX1728" s="1" t="s">
        <v>246</v>
      </c>
      <c r="FZ1728" s="1" t="s">
        <v>229</v>
      </c>
      <c r="GA1728" s="1" t="s">
        <v>291</v>
      </c>
      <c r="GB1728" s="2">
        <v>42001.0</v>
      </c>
      <c r="GC1728" s="1" t="s">
        <v>17038</v>
      </c>
    </row>
    <row r="1729">
      <c r="A1729" s="1">
        <v>248000.0</v>
      </c>
      <c r="B1729" s="1" t="s">
        <v>185</v>
      </c>
      <c r="C1729" s="1" t="str">
        <f>"08699804"</f>
        <v>08699804</v>
      </c>
      <c r="D1729" s="1" t="s">
        <v>186</v>
      </c>
      <c r="F1729" s="1" t="str">
        <f>"140"</f>
        <v>140</v>
      </c>
      <c r="G1729" s="2">
        <v>41863.0</v>
      </c>
      <c r="H1729" s="1">
        <v>299900.0</v>
      </c>
      <c r="I1729" s="1">
        <v>84.0</v>
      </c>
      <c r="J1729" s="1">
        <v>245000.0</v>
      </c>
      <c r="K1729" s="2">
        <v>41946.0</v>
      </c>
      <c r="L1729" s="1">
        <v>84.0</v>
      </c>
      <c r="M1729" s="2">
        <v>41946.0</v>
      </c>
      <c r="N1729" s="1" t="s">
        <v>187</v>
      </c>
      <c r="O1729" s="2">
        <v>42069.0</v>
      </c>
      <c r="P1729" s="1">
        <v>923439.0</v>
      </c>
      <c r="Q1729" s="1">
        <v>25015.0</v>
      </c>
      <c r="S1729" s="1">
        <v>720.0</v>
      </c>
      <c r="T1729" s="1" t="s">
        <v>17039</v>
      </c>
      <c r="U1729" s="1" t="s">
        <v>569</v>
      </c>
      <c r="V1729" s="1" t="s">
        <v>321</v>
      </c>
      <c r="W1729" s="1">
        <v>60140.0</v>
      </c>
      <c r="Y1729" s="1" t="s">
        <v>17040</v>
      </c>
      <c r="Z1729" s="1">
        <v>2006.0</v>
      </c>
      <c r="AA1729" s="1" t="s">
        <v>200</v>
      </c>
      <c r="AB1729" s="1" t="s">
        <v>193</v>
      </c>
      <c r="AC1729" s="1" t="s">
        <v>17041</v>
      </c>
      <c r="AD1729" s="1" t="s">
        <v>324</v>
      </c>
      <c r="AE1729" s="1" t="s">
        <v>325</v>
      </c>
      <c r="AF1729" s="1" t="s">
        <v>324</v>
      </c>
      <c r="AG1729" s="1" t="s">
        <v>17042</v>
      </c>
      <c r="AH1729" s="1">
        <v>14400.0</v>
      </c>
      <c r="AI1729" s="1">
        <v>0.33</v>
      </c>
      <c r="AK1729" s="1">
        <v>9.0</v>
      </c>
      <c r="AL1729" s="1">
        <v>4.0</v>
      </c>
      <c r="AM1729" s="1">
        <v>2.0</v>
      </c>
      <c r="AN1729" s="1">
        <v>1.0</v>
      </c>
      <c r="AO1729" s="1" t="s">
        <v>198</v>
      </c>
      <c r="AP1729" s="1">
        <v>1.0</v>
      </c>
      <c r="AQ1729" s="1" t="s">
        <v>198</v>
      </c>
      <c r="AR1729" s="1" t="s">
        <v>200</v>
      </c>
      <c r="AS1729" s="1" t="s">
        <v>199</v>
      </c>
      <c r="AT1729" s="1">
        <v>3.0</v>
      </c>
      <c r="AV1729" s="1" t="s">
        <v>200</v>
      </c>
      <c r="AW1729" s="1">
        <v>7978.0</v>
      </c>
      <c r="AX1729" s="1">
        <v>2013.0</v>
      </c>
      <c r="AY1729" s="1" t="s">
        <v>387</v>
      </c>
      <c r="AZ1729" s="1" t="s">
        <v>200</v>
      </c>
      <c r="BA1729" s="1" t="str">
        <f>"0127226010"</f>
        <v>0127226010</v>
      </c>
      <c r="BB1729" s="1" t="s">
        <v>200</v>
      </c>
      <c r="BC1729" s="1">
        <v>3183.0</v>
      </c>
      <c r="BD1729" s="1">
        <v>248000.0</v>
      </c>
      <c r="BE1729" s="2">
        <v>41863.0</v>
      </c>
      <c r="BF1729" s="2" t="s">
        <v>17043</v>
      </c>
      <c r="BG1729" s="1" t="s">
        <v>7518</v>
      </c>
      <c r="BH1729" s="1">
        <v>0.0</v>
      </c>
      <c r="BI1729" s="1" t="s">
        <v>5040</v>
      </c>
      <c r="BJ1729" s="1" t="s">
        <v>1182</v>
      </c>
      <c r="BK1729" s="1" t="s">
        <v>204</v>
      </c>
      <c r="BL1729" s="1" t="str">
        <f t="shared" ref="BL1729:BM1729" si="1138">""</f>
        <v/>
      </c>
      <c r="BM1729" s="1" t="str">
        <f t="shared" si="1138"/>
        <v/>
      </c>
      <c r="BQ1729" s="1">
        <v>300.0</v>
      </c>
      <c r="BR1729" s="1">
        <v>300.0</v>
      </c>
      <c r="BS1729" s="1">
        <v>300.0</v>
      </c>
      <c r="BU1729" s="1" t="s">
        <v>264</v>
      </c>
      <c r="BV1729" s="1" t="s">
        <v>206</v>
      </c>
      <c r="BW1729" s="1" t="s">
        <v>210</v>
      </c>
      <c r="BY1729" s="1" t="s">
        <v>17044</v>
      </c>
      <c r="BZ1729" s="1" t="s">
        <v>209</v>
      </c>
      <c r="CA1729" s="1" t="s">
        <v>210</v>
      </c>
      <c r="CC1729" s="1" t="s">
        <v>212</v>
      </c>
      <c r="CD1729" s="1" t="s">
        <v>206</v>
      </c>
      <c r="CE1729" s="1" t="s">
        <v>210</v>
      </c>
      <c r="CG1729" s="1" t="s">
        <v>332</v>
      </c>
      <c r="CH1729" s="1" t="s">
        <v>209</v>
      </c>
      <c r="CI1729" s="1" t="s">
        <v>210</v>
      </c>
      <c r="CK1729" s="1" t="s">
        <v>211</v>
      </c>
      <c r="CL1729" s="1" t="s">
        <v>209</v>
      </c>
      <c r="CM1729" s="1" t="s">
        <v>210</v>
      </c>
      <c r="CO1729" s="1" t="s">
        <v>211</v>
      </c>
      <c r="CP1729" s="1" t="s">
        <v>209</v>
      </c>
      <c r="CQ1729" s="1" t="s">
        <v>210</v>
      </c>
      <c r="CS1729" s="1" t="s">
        <v>1892</v>
      </c>
      <c r="CT1729" s="1" t="s">
        <v>206</v>
      </c>
      <c r="CU1729" s="1" t="s">
        <v>207</v>
      </c>
      <c r="CW1729" s="1" t="s">
        <v>434</v>
      </c>
      <c r="CX1729" s="1" t="s">
        <v>206</v>
      </c>
      <c r="CY1729" s="1" t="s">
        <v>210</v>
      </c>
      <c r="DA1729" s="1" t="s">
        <v>200</v>
      </c>
      <c r="DC1729" s="1" t="s">
        <v>481</v>
      </c>
      <c r="DD1729" s="1" t="s">
        <v>586</v>
      </c>
      <c r="DE1729" s="1" t="s">
        <v>273</v>
      </c>
      <c r="DF1729" s="1" t="s">
        <v>219</v>
      </c>
      <c r="DG1729" s="1" t="s">
        <v>1400</v>
      </c>
      <c r="DH1729" s="1" t="s">
        <v>220</v>
      </c>
      <c r="DI1729" s="1" t="s">
        <v>221</v>
      </c>
      <c r="DJ1729" s="1" t="s">
        <v>222</v>
      </c>
      <c r="DK1729" s="1" t="s">
        <v>223</v>
      </c>
      <c r="DL1729" s="1" t="s">
        <v>223</v>
      </c>
      <c r="DM1729" s="1" t="s">
        <v>338</v>
      </c>
      <c r="DN1729" s="1" t="s">
        <v>548</v>
      </c>
      <c r="DP1729" s="1" t="s">
        <v>340</v>
      </c>
      <c r="DQ1729" s="1" t="s">
        <v>441</v>
      </c>
      <c r="DR1729" s="1" t="s">
        <v>229</v>
      </c>
      <c r="DS1729" s="1" t="s">
        <v>230</v>
      </c>
      <c r="DU1729" s="1" t="s">
        <v>550</v>
      </c>
      <c r="DV1729" s="1" t="s">
        <v>494</v>
      </c>
      <c r="DW1729" s="1" t="s">
        <v>233</v>
      </c>
      <c r="DX1729" s="1" t="s">
        <v>234</v>
      </c>
      <c r="DY1729" s="1" t="s">
        <v>235</v>
      </c>
      <c r="DZ1729" s="1" t="s">
        <v>236</v>
      </c>
      <c r="EA1729" s="1" t="s">
        <v>1027</v>
      </c>
      <c r="EB1729" s="1" t="s">
        <v>1639</v>
      </c>
      <c r="EC1729" s="1" t="s">
        <v>237</v>
      </c>
      <c r="ED1729" s="1" t="s">
        <v>407</v>
      </c>
      <c r="EH1729" s="1" t="s">
        <v>494</v>
      </c>
      <c r="EM1729" s="1" t="s">
        <v>238</v>
      </c>
      <c r="EP1729" s="1" t="s">
        <v>212</v>
      </c>
      <c r="EQ1729" s="1" t="s">
        <v>206</v>
      </c>
      <c r="EU1729" s="1" t="s">
        <v>238</v>
      </c>
      <c r="EY1729" s="1" t="s">
        <v>238</v>
      </c>
      <c r="FC1729" s="1" t="s">
        <v>238</v>
      </c>
      <c r="FF1729" s="1" t="s">
        <v>239</v>
      </c>
      <c r="FG1729" s="1" t="s">
        <v>192</v>
      </c>
      <c r="FH1729" s="1" t="s">
        <v>192</v>
      </c>
      <c r="FJ1729" s="1" t="s">
        <v>1450</v>
      </c>
      <c r="FK1729" s="1" t="s">
        <v>1586</v>
      </c>
      <c r="FL1729" s="1" t="s">
        <v>5530</v>
      </c>
      <c r="FM1729" s="1">
        <v>8079.0</v>
      </c>
      <c r="FN1729" s="1" t="s">
        <v>5531</v>
      </c>
      <c r="FO1729" s="1" t="s">
        <v>5532</v>
      </c>
      <c r="FP1729" s="1">
        <v>920884.0</v>
      </c>
      <c r="FQ1729" s="1" t="s">
        <v>5533</v>
      </c>
      <c r="FU1729" s="1" t="s">
        <v>5534</v>
      </c>
      <c r="FV1729" s="1" t="s">
        <v>200</v>
      </c>
      <c r="FW1729" s="1" t="s">
        <v>290</v>
      </c>
      <c r="FZ1729" s="1" t="s">
        <v>632</v>
      </c>
      <c r="GA1729" s="1" t="s">
        <v>291</v>
      </c>
      <c r="GB1729" s="2">
        <v>42069.0</v>
      </c>
      <c r="GC1729" s="1" t="s">
        <v>3170</v>
      </c>
    </row>
    <row r="1730">
      <c r="A1730" s="1">
        <v>110000.0</v>
      </c>
      <c r="B1730" s="1" t="s">
        <v>185</v>
      </c>
      <c r="C1730" s="1" t="str">
        <f>"08700486"</f>
        <v>08700486</v>
      </c>
      <c r="D1730" s="1" t="s">
        <v>186</v>
      </c>
      <c r="F1730" s="1" t="str">
        <f>"8052"</f>
        <v>8052</v>
      </c>
      <c r="G1730" s="2">
        <v>41864.0</v>
      </c>
      <c r="H1730" s="1">
        <v>139000.0</v>
      </c>
      <c r="I1730" s="1">
        <v>216.0</v>
      </c>
      <c r="J1730" s="1">
        <v>125000.0</v>
      </c>
      <c r="K1730" s="2">
        <v>42079.0</v>
      </c>
      <c r="L1730" s="1">
        <v>216.0</v>
      </c>
      <c r="M1730" s="2">
        <v>42079.0</v>
      </c>
      <c r="N1730" s="1" t="s">
        <v>249</v>
      </c>
      <c r="O1730" s="2">
        <v>42122.0</v>
      </c>
      <c r="P1730" s="1">
        <v>175084.0</v>
      </c>
      <c r="Q1730" s="1">
        <v>85731.0</v>
      </c>
      <c r="S1730" s="1">
        <v>10649.0</v>
      </c>
      <c r="T1730" s="1" t="s">
        <v>17045</v>
      </c>
      <c r="V1730" s="1" t="s">
        <v>190</v>
      </c>
      <c r="W1730" s="1">
        <v>60617.0</v>
      </c>
      <c r="Y1730" s="1" t="s">
        <v>17046</v>
      </c>
      <c r="Z1730" s="1" t="s">
        <v>296</v>
      </c>
      <c r="AA1730" s="1" t="s">
        <v>192</v>
      </c>
      <c r="AB1730" s="1" t="s">
        <v>193</v>
      </c>
      <c r="AD1730" s="1" t="s">
        <v>194</v>
      </c>
      <c r="AE1730" s="1" t="s">
        <v>195</v>
      </c>
      <c r="AF1730" s="1" t="s">
        <v>637</v>
      </c>
      <c r="AH1730" s="1" t="s">
        <v>359</v>
      </c>
      <c r="AI1730" s="1">
        <v>0.0854</v>
      </c>
      <c r="AK1730" s="1">
        <v>8.0</v>
      </c>
      <c r="AL1730" s="1">
        <v>3.0</v>
      </c>
      <c r="AM1730" s="1">
        <v>2.0</v>
      </c>
      <c r="AN1730" s="1">
        <v>0.0</v>
      </c>
      <c r="AO1730" s="1" t="s">
        <v>229</v>
      </c>
      <c r="AQ1730" s="1" t="s">
        <v>198</v>
      </c>
      <c r="AR1730" s="1" t="s">
        <v>192</v>
      </c>
      <c r="AS1730" s="1" t="s">
        <v>199</v>
      </c>
      <c r="AT1730" s="1">
        <v>2.0</v>
      </c>
      <c r="AV1730" s="1" t="s">
        <v>200</v>
      </c>
      <c r="AW1730" s="1">
        <v>1481.0</v>
      </c>
      <c r="AX1730" s="1">
        <v>2013.0</v>
      </c>
      <c r="AY1730" s="1" t="s">
        <v>387</v>
      </c>
      <c r="AZ1730" s="1" t="s">
        <v>200</v>
      </c>
      <c r="BA1730" s="1" t="str">
        <f>"26171060140000"</f>
        <v>26171060140000</v>
      </c>
      <c r="BC1730" s="1">
        <v>1500.0</v>
      </c>
      <c r="BD1730" s="1">
        <v>110000.0</v>
      </c>
      <c r="BE1730" s="2">
        <v>41864.0</v>
      </c>
      <c r="BF1730" s="2" t="s">
        <v>17047</v>
      </c>
      <c r="BH1730" s="1">
        <v>0.0</v>
      </c>
      <c r="BK1730" s="1" t="s">
        <v>204</v>
      </c>
      <c r="BL1730" s="1" t="str">
        <f t="shared" ref="BL1730:BL1731" si="1139">"0"</f>
        <v>0</v>
      </c>
      <c r="BM1730" s="1" t="str">
        <f>"3600"</f>
        <v>3600</v>
      </c>
      <c r="BN1730" s="1">
        <v>0.0</v>
      </c>
      <c r="BO1730" s="1">
        <v>10700.0</v>
      </c>
      <c r="BQ1730" s="1">
        <v>299.0</v>
      </c>
      <c r="BR1730" s="1">
        <v>299.0</v>
      </c>
      <c r="BS1730" s="1">
        <v>299.0</v>
      </c>
      <c r="BU1730" s="1" t="s">
        <v>211</v>
      </c>
      <c r="BV1730" s="1" t="s">
        <v>206</v>
      </c>
      <c r="BW1730" s="1" t="s">
        <v>207</v>
      </c>
      <c r="BY1730" s="1" t="s">
        <v>647</v>
      </c>
      <c r="BZ1730" s="1" t="s">
        <v>206</v>
      </c>
      <c r="CC1730" s="1" t="s">
        <v>211</v>
      </c>
      <c r="CD1730" s="1" t="s">
        <v>206</v>
      </c>
      <c r="CE1730" s="1" t="s">
        <v>207</v>
      </c>
      <c r="CG1730" s="1" t="s">
        <v>264</v>
      </c>
      <c r="CH1730" s="1" t="s">
        <v>206</v>
      </c>
      <c r="CK1730" s="1" t="s">
        <v>495</v>
      </c>
      <c r="CL1730" s="1" t="s">
        <v>206</v>
      </c>
      <c r="CO1730" s="1" t="s">
        <v>2403</v>
      </c>
      <c r="CP1730" s="1" t="s">
        <v>42</v>
      </c>
      <c r="CS1730" s="1" t="s">
        <v>433</v>
      </c>
      <c r="CT1730" s="1" t="s">
        <v>206</v>
      </c>
      <c r="CU1730" s="1" t="s">
        <v>268</v>
      </c>
      <c r="CW1730" s="1" t="s">
        <v>14047</v>
      </c>
      <c r="CX1730" s="1" t="s">
        <v>42</v>
      </c>
      <c r="DA1730" s="1" t="s">
        <v>200</v>
      </c>
      <c r="DC1730" s="1" t="s">
        <v>642</v>
      </c>
      <c r="DE1730" s="1" t="s">
        <v>273</v>
      </c>
      <c r="DF1730" s="1" t="s">
        <v>219</v>
      </c>
      <c r="DG1730" s="1" t="s">
        <v>8104</v>
      </c>
      <c r="DH1730" s="1" t="s">
        <v>307</v>
      </c>
      <c r="DJ1730" s="1" t="s">
        <v>222</v>
      </c>
      <c r="DK1730" s="1" t="s">
        <v>1555</v>
      </c>
      <c r="DL1730" s="1" t="s">
        <v>224</v>
      </c>
      <c r="DM1730" s="1" t="s">
        <v>229</v>
      </c>
      <c r="DQ1730" s="1" t="s">
        <v>718</v>
      </c>
      <c r="DR1730" s="1" t="s">
        <v>229</v>
      </c>
      <c r="DS1730" s="1" t="s">
        <v>230</v>
      </c>
      <c r="DV1730" s="1" t="s">
        <v>232</v>
      </c>
      <c r="DW1730" s="1" t="s">
        <v>370</v>
      </c>
      <c r="DX1730" s="1" t="s">
        <v>1287</v>
      </c>
      <c r="DY1730" s="1" t="s">
        <v>704</v>
      </c>
      <c r="EA1730" s="1" t="s">
        <v>644</v>
      </c>
      <c r="EC1730" s="1" t="s">
        <v>685</v>
      </c>
      <c r="ED1730" s="1" t="s">
        <v>407</v>
      </c>
      <c r="EE1730" s="1" t="s">
        <v>522</v>
      </c>
      <c r="EM1730" s="1" t="s">
        <v>238</v>
      </c>
      <c r="EQ1730" s="1" t="s">
        <v>238</v>
      </c>
      <c r="EU1730" s="1" t="s">
        <v>238</v>
      </c>
      <c r="EY1730" s="1" t="s">
        <v>238</v>
      </c>
      <c r="FC1730" s="1" t="s">
        <v>238</v>
      </c>
      <c r="FF1730" s="1" t="s">
        <v>239</v>
      </c>
      <c r="FG1730" s="1" t="s">
        <v>192</v>
      </c>
      <c r="FH1730" s="1" t="s">
        <v>192</v>
      </c>
      <c r="FJ1730" s="1" t="s">
        <v>770</v>
      </c>
      <c r="FK1730" s="1" t="s">
        <v>229</v>
      </c>
      <c r="FL1730" s="1" t="s">
        <v>7447</v>
      </c>
      <c r="FM1730" s="1">
        <v>14066.0</v>
      </c>
      <c r="FN1730" s="1" t="s">
        <v>7448</v>
      </c>
      <c r="FO1730" s="1" t="s">
        <v>7449</v>
      </c>
      <c r="FP1730" s="1">
        <v>129751.0</v>
      </c>
      <c r="FQ1730" s="1" t="s">
        <v>7448</v>
      </c>
      <c r="FS1730" s="1" t="s">
        <v>7450</v>
      </c>
      <c r="FU1730" s="1" t="s">
        <v>17048</v>
      </c>
      <c r="FV1730" s="1" t="s">
        <v>200</v>
      </c>
      <c r="FW1730" s="1" t="s">
        <v>1511</v>
      </c>
      <c r="FX1730" s="1" t="s">
        <v>655</v>
      </c>
      <c r="FZ1730" s="1" t="s">
        <v>229</v>
      </c>
      <c r="GA1730" s="1" t="s">
        <v>291</v>
      </c>
      <c r="GB1730" s="2">
        <v>42122.0</v>
      </c>
    </row>
    <row r="1731">
      <c r="A1731" s="1">
        <v>200000.0</v>
      </c>
      <c r="B1731" s="1" t="s">
        <v>185</v>
      </c>
      <c r="C1731" s="1" t="str">
        <f>"08698693"</f>
        <v>08698693</v>
      </c>
      <c r="D1731" s="1" t="s">
        <v>186</v>
      </c>
      <c r="F1731" s="1" t="str">
        <f>"545"</f>
        <v>545</v>
      </c>
      <c r="G1731" s="2">
        <v>41862.0</v>
      </c>
      <c r="H1731" s="1">
        <v>199900.0</v>
      </c>
      <c r="I1731" s="1">
        <v>66.0</v>
      </c>
      <c r="J1731" s="1">
        <v>185000.0</v>
      </c>
      <c r="K1731" s="2">
        <v>41927.0</v>
      </c>
      <c r="L1731" s="1">
        <v>66.0</v>
      </c>
      <c r="M1731" s="2">
        <v>41927.0</v>
      </c>
      <c r="N1731" s="1" t="s">
        <v>187</v>
      </c>
      <c r="O1731" s="2">
        <v>41995.0</v>
      </c>
      <c r="P1731" s="1">
        <v>932.0</v>
      </c>
      <c r="Q1731" s="1">
        <v>49.0</v>
      </c>
      <c r="S1731" s="1">
        <v>3305.0</v>
      </c>
      <c r="T1731" s="1" t="s">
        <v>17049</v>
      </c>
      <c r="U1731" s="1" t="s">
        <v>320</v>
      </c>
      <c r="V1731" s="1" t="s">
        <v>3364</v>
      </c>
      <c r="W1731" s="1">
        <v>60545.0</v>
      </c>
      <c r="Y1731" s="1" t="s">
        <v>17050</v>
      </c>
      <c r="Z1731" s="1">
        <v>2005.0</v>
      </c>
      <c r="AA1731" s="1" t="s">
        <v>200</v>
      </c>
      <c r="AB1731" s="1" t="s">
        <v>467</v>
      </c>
      <c r="AC1731" s="1" t="s">
        <v>6092</v>
      </c>
      <c r="AD1731" s="1" t="s">
        <v>3366</v>
      </c>
      <c r="AE1731" s="1" t="s">
        <v>849</v>
      </c>
      <c r="AF1731" s="1" t="s">
        <v>3367</v>
      </c>
      <c r="AG1731" s="1" t="s">
        <v>1018</v>
      </c>
      <c r="AH1731" s="1" t="s">
        <v>17051</v>
      </c>
      <c r="AI1731" s="1">
        <v>0.0</v>
      </c>
      <c r="AK1731" s="1">
        <v>11.0</v>
      </c>
      <c r="AL1731" s="1">
        <v>4.0</v>
      </c>
      <c r="AM1731" s="1">
        <v>2.0</v>
      </c>
      <c r="AN1731" s="1">
        <v>1.0</v>
      </c>
      <c r="AO1731" s="1" t="s">
        <v>198</v>
      </c>
      <c r="AQ1731" s="1" t="s">
        <v>198</v>
      </c>
      <c r="AR1731" s="1" t="s">
        <v>200</v>
      </c>
      <c r="AS1731" s="1" t="s">
        <v>199</v>
      </c>
      <c r="AT1731" s="1">
        <v>3.0</v>
      </c>
      <c r="AV1731" s="1" t="s">
        <v>200</v>
      </c>
      <c r="AW1731" s="1">
        <v>6315.0</v>
      </c>
      <c r="AX1731" s="1">
        <v>2012.0</v>
      </c>
      <c r="AZ1731" s="1" t="s">
        <v>200</v>
      </c>
      <c r="BA1731" s="1" t="str">
        <f>"0125109016"</f>
        <v>0125109016</v>
      </c>
      <c r="BC1731" s="1">
        <v>3355.0</v>
      </c>
      <c r="BD1731" s="1">
        <v>200000.0</v>
      </c>
      <c r="BE1731" s="2">
        <v>41862.0</v>
      </c>
      <c r="BF1731" s="2" t="s">
        <v>17052</v>
      </c>
      <c r="BH1731" s="1">
        <v>35.0</v>
      </c>
      <c r="BK1731" s="1" t="s">
        <v>474</v>
      </c>
      <c r="BL1731" s="1" t="str">
        <f t="shared" si="1139"/>
        <v>0</v>
      </c>
      <c r="BM1731" s="1" t="str">
        <f>"0"</f>
        <v>0</v>
      </c>
      <c r="BN1731" s="1">
        <v>45.0</v>
      </c>
      <c r="BO1731" s="1">
        <v>14.0</v>
      </c>
      <c r="BQ1731" s="1">
        <v>115.0</v>
      </c>
      <c r="BR1731" s="1">
        <v>115.0</v>
      </c>
      <c r="BS1731" s="1">
        <v>115.0</v>
      </c>
      <c r="BU1731" s="1" t="s">
        <v>262</v>
      </c>
      <c r="BV1731" s="1" t="s">
        <v>206</v>
      </c>
      <c r="BW1731" s="1" t="s">
        <v>210</v>
      </c>
      <c r="BY1731" s="1" t="s">
        <v>743</v>
      </c>
      <c r="BZ1731" s="1" t="s">
        <v>209</v>
      </c>
      <c r="CA1731" s="1" t="s">
        <v>210</v>
      </c>
      <c r="CC1731" s="1" t="s">
        <v>758</v>
      </c>
      <c r="CD1731" s="1" t="s">
        <v>206</v>
      </c>
      <c r="CE1731" s="1" t="s">
        <v>210</v>
      </c>
      <c r="CG1731" s="1" t="s">
        <v>211</v>
      </c>
      <c r="CH1731" s="1" t="s">
        <v>209</v>
      </c>
      <c r="CI1731" s="1" t="s">
        <v>210</v>
      </c>
      <c r="CK1731" s="1" t="s">
        <v>784</v>
      </c>
      <c r="CL1731" s="1" t="s">
        <v>209</v>
      </c>
      <c r="CM1731" s="1" t="s">
        <v>210</v>
      </c>
      <c r="CO1731" s="1" t="s">
        <v>361</v>
      </c>
      <c r="CP1731" s="1" t="s">
        <v>209</v>
      </c>
      <c r="CQ1731" s="1" t="s">
        <v>210</v>
      </c>
      <c r="CS1731" s="1" t="s">
        <v>480</v>
      </c>
      <c r="CT1731" s="1" t="s">
        <v>206</v>
      </c>
      <c r="CU1731" s="1" t="s">
        <v>617</v>
      </c>
      <c r="CW1731" s="1" t="s">
        <v>480</v>
      </c>
      <c r="CX1731" s="1" t="s">
        <v>206</v>
      </c>
      <c r="CY1731" s="1" t="s">
        <v>210</v>
      </c>
      <c r="DA1731" s="1" t="s">
        <v>200</v>
      </c>
      <c r="DC1731" s="1" t="s">
        <v>481</v>
      </c>
      <c r="DD1731" s="1" t="s">
        <v>586</v>
      </c>
      <c r="DE1731" s="1" t="s">
        <v>17053</v>
      </c>
      <c r="DF1731" s="1" t="s">
        <v>219</v>
      </c>
      <c r="DG1731" s="1" t="s">
        <v>14223</v>
      </c>
      <c r="DH1731" s="1" t="s">
        <v>220</v>
      </c>
      <c r="DJ1731" s="1" t="s">
        <v>222</v>
      </c>
      <c r="DK1731" s="1" t="s">
        <v>223</v>
      </c>
      <c r="DL1731" s="1" t="s">
        <v>223</v>
      </c>
      <c r="DM1731" s="1" t="s">
        <v>338</v>
      </c>
      <c r="DN1731" s="1" t="s">
        <v>548</v>
      </c>
      <c r="DO1731" s="1" t="s">
        <v>549</v>
      </c>
      <c r="DP1731" s="1" t="s">
        <v>276</v>
      </c>
      <c r="DQ1731" s="1" t="s">
        <v>228</v>
      </c>
      <c r="DR1731" s="1" t="s">
        <v>17054</v>
      </c>
      <c r="DS1731" s="1" t="s">
        <v>368</v>
      </c>
      <c r="DU1731" s="1" t="s">
        <v>17055</v>
      </c>
      <c r="DV1731" s="1" t="s">
        <v>17056</v>
      </c>
      <c r="DW1731" s="1" t="s">
        <v>233</v>
      </c>
      <c r="DX1731" s="1" t="s">
        <v>234</v>
      </c>
      <c r="DY1731" s="1" t="s">
        <v>6716</v>
      </c>
      <c r="DZ1731" s="1" t="s">
        <v>11452</v>
      </c>
      <c r="EC1731" s="1" t="s">
        <v>237</v>
      </c>
      <c r="ED1731" s="1" t="s">
        <v>407</v>
      </c>
      <c r="EG1731" s="1" t="s">
        <v>494</v>
      </c>
      <c r="EH1731" s="1" t="s">
        <v>341</v>
      </c>
      <c r="EI1731" s="1" t="s">
        <v>1121</v>
      </c>
      <c r="EL1731" s="1" t="s">
        <v>331</v>
      </c>
      <c r="EM1731" s="1" t="s">
        <v>206</v>
      </c>
      <c r="EN1731" s="1" t="s">
        <v>210</v>
      </c>
      <c r="EP1731" s="1" t="s">
        <v>616</v>
      </c>
      <c r="EQ1731" s="1" t="s">
        <v>209</v>
      </c>
      <c r="ER1731" s="1" t="s">
        <v>210</v>
      </c>
      <c r="ET1731" s="1" t="s">
        <v>303</v>
      </c>
      <c r="EU1731" s="1" t="s">
        <v>209</v>
      </c>
      <c r="EV1731" s="1" t="s">
        <v>210</v>
      </c>
      <c r="EY1731" s="1" t="s">
        <v>238</v>
      </c>
      <c r="FC1731" s="1" t="s">
        <v>238</v>
      </c>
      <c r="FF1731" s="1" t="s">
        <v>239</v>
      </c>
      <c r="FG1731" s="1" t="s">
        <v>192</v>
      </c>
      <c r="FH1731" s="1" t="s">
        <v>192</v>
      </c>
      <c r="FJ1731" s="1" t="s">
        <v>4863</v>
      </c>
      <c r="FK1731" s="1" t="s">
        <v>229</v>
      </c>
      <c r="FL1731" s="1" t="s">
        <v>2263</v>
      </c>
      <c r="FM1731" s="1">
        <v>8094.0</v>
      </c>
      <c r="FN1731" s="1" t="s">
        <v>2264</v>
      </c>
      <c r="FO1731" s="1" t="s">
        <v>5270</v>
      </c>
      <c r="FP1731" s="1">
        <v>232535.0</v>
      </c>
      <c r="FQ1731" s="1" t="s">
        <v>5271</v>
      </c>
      <c r="FU1731" s="1" t="s">
        <v>17057</v>
      </c>
      <c r="FV1731" s="1" t="s">
        <v>200</v>
      </c>
      <c r="FW1731" s="1" t="s">
        <v>1307</v>
      </c>
      <c r="FZ1731" s="1" t="s">
        <v>229</v>
      </c>
      <c r="GA1731" s="1" t="s">
        <v>291</v>
      </c>
      <c r="GB1731" s="2">
        <v>41995.0</v>
      </c>
      <c r="GC1731" s="1" t="s">
        <v>17058</v>
      </c>
    </row>
    <row r="1732">
      <c r="A1732" s="1">
        <v>705000.0</v>
      </c>
      <c r="B1732" s="1" t="s">
        <v>185</v>
      </c>
      <c r="C1732" s="1" t="str">
        <f>"08701000"</f>
        <v>08701000</v>
      </c>
      <c r="D1732" s="1" t="s">
        <v>186</v>
      </c>
      <c r="F1732" s="1" t="str">
        <f>"10"</f>
        <v>10</v>
      </c>
      <c r="G1732" s="2">
        <v>41864.0</v>
      </c>
      <c r="H1732" s="1">
        <v>899000.0</v>
      </c>
      <c r="I1732" s="1">
        <v>569.0</v>
      </c>
      <c r="J1732" s="1">
        <v>795000.0</v>
      </c>
      <c r="K1732" s="2">
        <v>41930.0</v>
      </c>
      <c r="L1732" s="1">
        <v>68.0</v>
      </c>
      <c r="M1732" s="2">
        <v>41930.0</v>
      </c>
      <c r="N1732" s="1" t="s">
        <v>187</v>
      </c>
      <c r="O1732" s="2">
        <v>41975.0</v>
      </c>
      <c r="P1732" s="1">
        <v>241314.0</v>
      </c>
      <c r="Q1732" s="1">
        <v>25752.0</v>
      </c>
      <c r="S1732" s="1">
        <v>117.0</v>
      </c>
      <c r="T1732" s="1" t="s">
        <v>17059</v>
      </c>
      <c r="U1732" s="1" t="s">
        <v>569</v>
      </c>
      <c r="V1732" s="1" t="s">
        <v>11508</v>
      </c>
      <c r="W1732" s="1">
        <v>60010.0</v>
      </c>
      <c r="Y1732" s="1" t="s">
        <v>17060</v>
      </c>
      <c r="Z1732" s="1">
        <v>2009.0</v>
      </c>
      <c r="AA1732" s="1" t="s">
        <v>200</v>
      </c>
      <c r="AB1732" s="1" t="s">
        <v>193</v>
      </c>
      <c r="AC1732" s="1" t="s">
        <v>15166</v>
      </c>
      <c r="AD1732" s="1" t="s">
        <v>11511</v>
      </c>
      <c r="AE1732" s="1" t="s">
        <v>917</v>
      </c>
      <c r="AF1732" s="1" t="s">
        <v>918</v>
      </c>
      <c r="AG1732" s="1" t="s">
        <v>752</v>
      </c>
      <c r="AH1732" s="1" t="s">
        <v>17061</v>
      </c>
      <c r="AI1732" s="1">
        <v>1.2</v>
      </c>
      <c r="AK1732" s="1">
        <v>13.0</v>
      </c>
      <c r="AL1732" s="1">
        <v>4.0</v>
      </c>
      <c r="AM1732" s="1">
        <v>3.0</v>
      </c>
      <c r="AN1732" s="1">
        <v>2.0</v>
      </c>
      <c r="AO1732" s="1" t="s">
        <v>198</v>
      </c>
      <c r="AP1732" s="1">
        <v>3.0</v>
      </c>
      <c r="AQ1732" s="1" t="s">
        <v>257</v>
      </c>
      <c r="AR1732" s="1" t="s">
        <v>200</v>
      </c>
      <c r="AS1732" s="1" t="s">
        <v>199</v>
      </c>
      <c r="AT1732" s="1">
        <v>3.0</v>
      </c>
      <c r="AV1732" s="1" t="s">
        <v>200</v>
      </c>
      <c r="AW1732" s="1">
        <v>24904.39</v>
      </c>
      <c r="AX1732" s="1">
        <v>2012.0</v>
      </c>
      <c r="AY1732" s="1" t="s">
        <v>229</v>
      </c>
      <c r="AZ1732" s="1" t="s">
        <v>545</v>
      </c>
      <c r="BA1732" s="1" t="str">
        <f>"14071010500000"</f>
        <v>14071010500000</v>
      </c>
      <c r="BB1732" s="1" t="s">
        <v>200</v>
      </c>
      <c r="BC1732" s="1">
        <v>5811.0</v>
      </c>
      <c r="BD1732" s="1">
        <v>705000.0</v>
      </c>
      <c r="BE1732" s="2">
        <v>41863.0</v>
      </c>
      <c r="BF1732" s="2" t="s">
        <v>17062</v>
      </c>
      <c r="BG1732" s="1" t="s">
        <v>17063</v>
      </c>
      <c r="BH1732" s="1">
        <v>0.0</v>
      </c>
      <c r="BI1732" s="1" t="s">
        <v>15441</v>
      </c>
      <c r="BJ1732" s="1" t="s">
        <v>923</v>
      </c>
      <c r="BK1732" s="1" t="s">
        <v>204</v>
      </c>
      <c r="BL1732" s="1" t="str">
        <f t="shared" ref="BL1732:BM1732" si="1140">""</f>
        <v/>
      </c>
      <c r="BM1732" s="1" t="str">
        <f t="shared" si="1140"/>
        <v/>
      </c>
      <c r="BQ1732" s="1">
        <v>95.0</v>
      </c>
      <c r="BR1732" s="1">
        <v>95.0</v>
      </c>
      <c r="BS1732" s="1">
        <v>95.0</v>
      </c>
      <c r="BU1732" s="1" t="s">
        <v>2749</v>
      </c>
      <c r="BV1732" s="1" t="s">
        <v>206</v>
      </c>
      <c r="BW1732" s="1" t="s">
        <v>207</v>
      </c>
      <c r="BX1732" s="1" t="s">
        <v>229</v>
      </c>
      <c r="BY1732" s="1" t="s">
        <v>3475</v>
      </c>
      <c r="BZ1732" s="1" t="s">
        <v>206</v>
      </c>
      <c r="CA1732" s="1" t="s">
        <v>207</v>
      </c>
      <c r="CB1732" s="1" t="s">
        <v>229</v>
      </c>
      <c r="CC1732" s="1" t="s">
        <v>205</v>
      </c>
      <c r="CD1732" s="1" t="s">
        <v>206</v>
      </c>
      <c r="CE1732" s="1" t="s">
        <v>207</v>
      </c>
      <c r="CF1732" s="1" t="s">
        <v>229</v>
      </c>
      <c r="CG1732" s="1" t="s">
        <v>205</v>
      </c>
      <c r="CH1732" s="1" t="s">
        <v>209</v>
      </c>
      <c r="CI1732" s="1" t="s">
        <v>210</v>
      </c>
      <c r="CJ1732" s="1" t="s">
        <v>229</v>
      </c>
      <c r="CK1732" s="1" t="s">
        <v>453</v>
      </c>
      <c r="CL1732" s="1" t="s">
        <v>209</v>
      </c>
      <c r="CM1732" s="1" t="s">
        <v>210</v>
      </c>
      <c r="CN1732" s="1" t="s">
        <v>229</v>
      </c>
      <c r="CO1732" s="1" t="s">
        <v>3539</v>
      </c>
      <c r="CP1732" s="1" t="s">
        <v>209</v>
      </c>
      <c r="CQ1732" s="1" t="s">
        <v>210</v>
      </c>
      <c r="CR1732" s="1" t="s">
        <v>229</v>
      </c>
      <c r="CS1732" s="1" t="s">
        <v>454</v>
      </c>
      <c r="CT1732" s="1" t="s">
        <v>206</v>
      </c>
      <c r="CU1732" s="1" t="s">
        <v>207</v>
      </c>
      <c r="CV1732" s="1" t="s">
        <v>229</v>
      </c>
      <c r="CW1732" s="1" t="s">
        <v>16045</v>
      </c>
      <c r="CX1732" s="1" t="s">
        <v>206</v>
      </c>
      <c r="CY1732" s="1" t="s">
        <v>207</v>
      </c>
      <c r="CZ1732" s="1" t="s">
        <v>229</v>
      </c>
      <c r="DA1732" s="1" t="s">
        <v>200</v>
      </c>
      <c r="DC1732" s="1" t="s">
        <v>1046</v>
      </c>
      <c r="DD1732" s="1" t="s">
        <v>3633</v>
      </c>
      <c r="DE1732" s="1" t="s">
        <v>3750</v>
      </c>
      <c r="DF1732" s="1" t="s">
        <v>219</v>
      </c>
      <c r="DG1732" s="1" t="s">
        <v>17064</v>
      </c>
      <c r="DH1732" s="1" t="s">
        <v>1603</v>
      </c>
      <c r="DI1732" s="1" t="s">
        <v>17065</v>
      </c>
      <c r="DJ1732" s="1" t="s">
        <v>588</v>
      </c>
      <c r="DK1732" s="1" t="s">
        <v>2312</v>
      </c>
      <c r="DL1732" s="1" t="s">
        <v>223</v>
      </c>
      <c r="DM1732" s="1" t="s">
        <v>929</v>
      </c>
      <c r="DN1732" s="1" t="s">
        <v>399</v>
      </c>
      <c r="DO1732" s="1" t="s">
        <v>12667</v>
      </c>
      <c r="DP1732" s="1" t="s">
        <v>340</v>
      </c>
      <c r="DQ1732" s="1" t="s">
        <v>931</v>
      </c>
      <c r="DR1732" s="1" t="s">
        <v>229</v>
      </c>
      <c r="DS1732" s="1" t="s">
        <v>11426</v>
      </c>
      <c r="DU1732" s="1" t="s">
        <v>1187</v>
      </c>
      <c r="DV1732" s="1" t="s">
        <v>17066</v>
      </c>
      <c r="DW1732" s="1" t="s">
        <v>1145</v>
      </c>
      <c r="DX1732" s="1" t="s">
        <v>5015</v>
      </c>
      <c r="DY1732" s="1" t="s">
        <v>9915</v>
      </c>
      <c r="DZ1732" s="1" t="s">
        <v>310</v>
      </c>
      <c r="EA1732" s="1" t="s">
        <v>3308</v>
      </c>
      <c r="EB1732" s="1" t="s">
        <v>937</v>
      </c>
      <c r="EC1732" s="1" t="s">
        <v>237</v>
      </c>
      <c r="ED1732" s="1" t="s">
        <v>407</v>
      </c>
      <c r="EE1732" s="1" t="s">
        <v>187</v>
      </c>
      <c r="EG1732" s="1" t="s">
        <v>557</v>
      </c>
      <c r="EH1732" s="1" t="s">
        <v>556</v>
      </c>
      <c r="EI1732" s="1" t="s">
        <v>598</v>
      </c>
      <c r="EJ1732" s="1" t="s">
        <v>1121</v>
      </c>
      <c r="EK1732" s="1" t="s">
        <v>2023</v>
      </c>
      <c r="EL1732" s="1" t="s">
        <v>10189</v>
      </c>
      <c r="EM1732" s="1" t="s">
        <v>209</v>
      </c>
      <c r="EN1732" s="1" t="s">
        <v>210</v>
      </c>
      <c r="EO1732" s="1" t="s">
        <v>229</v>
      </c>
      <c r="EP1732" s="1" t="s">
        <v>362</v>
      </c>
      <c r="EQ1732" s="1" t="s">
        <v>206</v>
      </c>
      <c r="ER1732" s="1" t="s">
        <v>207</v>
      </c>
      <c r="ES1732" s="1" t="s">
        <v>229</v>
      </c>
      <c r="ET1732" s="1" t="s">
        <v>454</v>
      </c>
      <c r="EU1732" s="1" t="s">
        <v>206</v>
      </c>
      <c r="EV1732" s="1" t="s">
        <v>207</v>
      </c>
      <c r="EW1732" s="1" t="s">
        <v>229</v>
      </c>
      <c r="EX1732" s="1" t="s">
        <v>699</v>
      </c>
      <c r="EY1732" s="1" t="s">
        <v>206</v>
      </c>
      <c r="EZ1732" s="1" t="s">
        <v>207</v>
      </c>
      <c r="FA1732" s="1" t="s">
        <v>229</v>
      </c>
      <c r="FB1732" s="1" t="s">
        <v>769</v>
      </c>
      <c r="FC1732" s="1" t="s">
        <v>209</v>
      </c>
      <c r="FD1732" s="1" t="s">
        <v>207</v>
      </c>
      <c r="FE1732" s="1" t="s">
        <v>229</v>
      </c>
      <c r="FF1732" s="1" t="s">
        <v>239</v>
      </c>
      <c r="FG1732" s="1" t="s">
        <v>192</v>
      </c>
      <c r="FH1732" s="1" t="s">
        <v>192</v>
      </c>
      <c r="FJ1732" s="1" t="s">
        <v>17067</v>
      </c>
      <c r="FK1732" s="1" t="s">
        <v>229</v>
      </c>
      <c r="FL1732" s="1" t="s">
        <v>17068</v>
      </c>
      <c r="FM1732" s="1">
        <v>25059.0</v>
      </c>
      <c r="FN1732" s="1" t="s">
        <v>17069</v>
      </c>
      <c r="FO1732" s="1" t="s">
        <v>17070</v>
      </c>
      <c r="FP1732" s="1">
        <v>82429.0</v>
      </c>
      <c r="FQ1732" s="1" t="s">
        <v>17071</v>
      </c>
      <c r="FS1732" s="1" t="s">
        <v>17072</v>
      </c>
      <c r="FT1732" s="1" t="s">
        <v>17073</v>
      </c>
      <c r="FU1732" s="1" t="s">
        <v>17074</v>
      </c>
      <c r="FV1732" s="1" t="s">
        <v>200</v>
      </c>
      <c r="FW1732" s="1" t="s">
        <v>6367</v>
      </c>
      <c r="FX1732" s="1" t="s">
        <v>238</v>
      </c>
      <c r="FZ1732" s="1" t="s">
        <v>504</v>
      </c>
      <c r="GA1732" s="1" t="s">
        <v>291</v>
      </c>
      <c r="GB1732" s="2">
        <v>41976.0</v>
      </c>
      <c r="GC1732" s="1" t="s">
        <v>17075</v>
      </c>
    </row>
    <row r="1733">
      <c r="A1733" s="1">
        <v>312000.0</v>
      </c>
      <c r="B1733" s="1" t="s">
        <v>185</v>
      </c>
      <c r="C1733" s="1" t="str">
        <f>"08703900"</f>
        <v>08703900</v>
      </c>
      <c r="D1733" s="1" t="s">
        <v>186</v>
      </c>
      <c r="F1733" s="1" t="str">
        <f>"174"</f>
        <v>174</v>
      </c>
      <c r="G1733" s="2">
        <v>41868.0</v>
      </c>
      <c r="H1733" s="1">
        <v>349900.0</v>
      </c>
      <c r="I1733" s="1">
        <v>94.0</v>
      </c>
      <c r="J1733" s="1">
        <v>325000.0</v>
      </c>
      <c r="K1733" s="2">
        <v>41960.0</v>
      </c>
      <c r="L1733" s="1">
        <v>94.0</v>
      </c>
      <c r="M1733" s="2">
        <v>41960.0</v>
      </c>
      <c r="N1733" s="1" t="s">
        <v>187</v>
      </c>
      <c r="O1733" s="2">
        <v>41988.0</v>
      </c>
      <c r="P1733" s="1">
        <v>8405.0</v>
      </c>
      <c r="Q1733" s="1">
        <v>49.0</v>
      </c>
      <c r="S1733" s="1" t="s">
        <v>17076</v>
      </c>
      <c r="T1733" s="1" t="s">
        <v>17077</v>
      </c>
      <c r="U1733" s="1" t="s">
        <v>464</v>
      </c>
      <c r="V1733" s="1" t="s">
        <v>1200</v>
      </c>
      <c r="W1733" s="1">
        <v>60175.0</v>
      </c>
      <c r="Y1733" s="1" t="s">
        <v>17078</v>
      </c>
      <c r="Z1733" s="1">
        <v>1978.0</v>
      </c>
      <c r="AA1733" s="1" t="s">
        <v>200</v>
      </c>
      <c r="AB1733" s="1" t="s">
        <v>193</v>
      </c>
      <c r="AC1733" s="1" t="s">
        <v>17079</v>
      </c>
      <c r="AD1733" s="1" t="s">
        <v>1089</v>
      </c>
      <c r="AE1733" s="1" t="s">
        <v>325</v>
      </c>
      <c r="AF1733" s="1" t="s">
        <v>1203</v>
      </c>
      <c r="AH1733" s="1" t="s">
        <v>17080</v>
      </c>
      <c r="AI1733" s="1">
        <v>1.0</v>
      </c>
      <c r="AK1733" s="1">
        <v>10.0</v>
      </c>
      <c r="AL1733" s="1">
        <v>4.0</v>
      </c>
      <c r="AM1733" s="1">
        <v>2.0</v>
      </c>
      <c r="AN1733" s="1">
        <v>1.0</v>
      </c>
      <c r="AO1733" s="1" t="s">
        <v>198</v>
      </c>
      <c r="AP1733" s="1">
        <v>2.0</v>
      </c>
      <c r="AQ1733" s="1" t="s">
        <v>198</v>
      </c>
      <c r="AR1733" s="1" t="s">
        <v>200</v>
      </c>
      <c r="AS1733" s="1" t="s">
        <v>199</v>
      </c>
      <c r="AT1733" s="1">
        <v>2.0</v>
      </c>
      <c r="AV1733" s="1" t="s">
        <v>200</v>
      </c>
      <c r="AW1733" s="1">
        <v>6778.96</v>
      </c>
      <c r="AX1733" s="1">
        <v>2012.0</v>
      </c>
      <c r="AY1733" s="1" t="s">
        <v>387</v>
      </c>
      <c r="AZ1733" s="1" t="s">
        <v>200</v>
      </c>
      <c r="BA1733" s="1" t="str">
        <f>"0909252002"</f>
        <v>0909252002</v>
      </c>
      <c r="BC1733" s="1">
        <v>2384.0</v>
      </c>
      <c r="BD1733" s="1">
        <v>312000.0</v>
      </c>
      <c r="BE1733" s="2">
        <v>41867.0</v>
      </c>
      <c r="BF1733" s="2" t="s">
        <v>17081</v>
      </c>
      <c r="BH1733" s="1">
        <v>0.0</v>
      </c>
      <c r="BJ1733" s="1" t="s">
        <v>2200</v>
      </c>
      <c r="BK1733" s="1" t="s">
        <v>204</v>
      </c>
      <c r="BL1733" s="1" t="str">
        <f t="shared" ref="BL1733:BM1733" si="1141">""</f>
        <v/>
      </c>
      <c r="BM1733" s="1" t="str">
        <f t="shared" si="1141"/>
        <v/>
      </c>
      <c r="BQ1733" s="1">
        <v>303.0</v>
      </c>
      <c r="BR1733" s="1">
        <v>303.0</v>
      </c>
      <c r="BS1733" s="1">
        <v>303.0</v>
      </c>
      <c r="BU1733" s="1" t="s">
        <v>361</v>
      </c>
      <c r="BV1733" s="1" t="s">
        <v>206</v>
      </c>
      <c r="BW1733" s="1" t="s">
        <v>210</v>
      </c>
      <c r="BY1733" s="1" t="s">
        <v>582</v>
      </c>
      <c r="BZ1733" s="1" t="s">
        <v>209</v>
      </c>
      <c r="CA1733" s="1" t="s">
        <v>210</v>
      </c>
      <c r="CC1733" s="1" t="s">
        <v>433</v>
      </c>
      <c r="CD1733" s="1" t="s">
        <v>206</v>
      </c>
      <c r="CE1733" s="1" t="s">
        <v>210</v>
      </c>
      <c r="CG1733" s="1" t="s">
        <v>331</v>
      </c>
      <c r="CH1733" s="1" t="s">
        <v>209</v>
      </c>
      <c r="CI1733" s="1" t="s">
        <v>210</v>
      </c>
      <c r="CK1733" s="1" t="s">
        <v>331</v>
      </c>
      <c r="CL1733" s="1" t="s">
        <v>209</v>
      </c>
      <c r="CM1733" s="1" t="s">
        <v>210</v>
      </c>
      <c r="CO1733" s="1" t="s">
        <v>212</v>
      </c>
      <c r="CP1733" s="1" t="s">
        <v>209</v>
      </c>
      <c r="CQ1733" s="1" t="s">
        <v>210</v>
      </c>
      <c r="CS1733" s="1" t="s">
        <v>4387</v>
      </c>
      <c r="CT1733" s="1" t="s">
        <v>206</v>
      </c>
      <c r="CU1733" s="1" t="s">
        <v>301</v>
      </c>
      <c r="CW1733" s="1" t="s">
        <v>2013</v>
      </c>
      <c r="CX1733" s="1" t="s">
        <v>206</v>
      </c>
      <c r="CY1733" s="1" t="s">
        <v>210</v>
      </c>
      <c r="DA1733" s="1" t="s">
        <v>200</v>
      </c>
      <c r="DC1733" s="1" t="s">
        <v>395</v>
      </c>
      <c r="DD1733" s="1" t="s">
        <v>396</v>
      </c>
      <c r="DE1733" s="1" t="s">
        <v>273</v>
      </c>
      <c r="DF1733" s="1" t="s">
        <v>1656</v>
      </c>
      <c r="DG1733" s="1" t="s">
        <v>1553</v>
      </c>
      <c r="DH1733" s="1" t="s">
        <v>856</v>
      </c>
      <c r="DI1733" s="1" t="s">
        <v>703</v>
      </c>
      <c r="DJ1733" s="1" t="s">
        <v>857</v>
      </c>
      <c r="DK1733" s="1" t="s">
        <v>198</v>
      </c>
      <c r="DL1733" s="1" t="s">
        <v>224</v>
      </c>
      <c r="DM1733" s="1" t="s">
        <v>338</v>
      </c>
      <c r="DN1733" s="1" t="s">
        <v>17082</v>
      </c>
      <c r="DO1733" s="1" t="s">
        <v>4060</v>
      </c>
      <c r="DP1733" s="1" t="s">
        <v>340</v>
      </c>
      <c r="DQ1733" s="1" t="s">
        <v>931</v>
      </c>
      <c r="DR1733" s="1" t="s">
        <v>229</v>
      </c>
      <c r="DS1733" s="1" t="s">
        <v>230</v>
      </c>
      <c r="DU1733" s="1" t="s">
        <v>12467</v>
      </c>
      <c r="DV1733" s="1" t="s">
        <v>17083</v>
      </c>
      <c r="DW1733" s="1" t="s">
        <v>370</v>
      </c>
      <c r="DX1733" s="1" t="s">
        <v>234</v>
      </c>
      <c r="DY1733" s="1" t="s">
        <v>4449</v>
      </c>
      <c r="DZ1733" s="1" t="s">
        <v>17084</v>
      </c>
      <c r="EA1733" s="1" t="s">
        <v>344</v>
      </c>
      <c r="EB1733" s="1" t="s">
        <v>4251</v>
      </c>
      <c r="EC1733" s="1" t="s">
        <v>237</v>
      </c>
      <c r="ED1733" s="1" t="s">
        <v>312</v>
      </c>
      <c r="EG1733" s="1" t="s">
        <v>598</v>
      </c>
      <c r="EH1733" s="1" t="s">
        <v>450</v>
      </c>
      <c r="EI1733" s="1" t="s">
        <v>310</v>
      </c>
      <c r="EJ1733" s="1" t="s">
        <v>2129</v>
      </c>
      <c r="EK1733" s="1" t="s">
        <v>588</v>
      </c>
      <c r="EL1733" s="1" t="s">
        <v>212</v>
      </c>
      <c r="EM1733" s="1" t="s">
        <v>42</v>
      </c>
      <c r="EN1733" s="1" t="s">
        <v>210</v>
      </c>
      <c r="EP1733" s="1" t="s">
        <v>583</v>
      </c>
      <c r="EQ1733" s="1" t="s">
        <v>42</v>
      </c>
      <c r="ER1733" s="1" t="s">
        <v>210</v>
      </c>
      <c r="ET1733" s="1" t="s">
        <v>329</v>
      </c>
      <c r="EU1733" s="1" t="s">
        <v>206</v>
      </c>
      <c r="EV1733" s="1" t="s">
        <v>588</v>
      </c>
      <c r="EX1733" s="1" t="s">
        <v>699</v>
      </c>
      <c r="EY1733" s="1" t="s">
        <v>206</v>
      </c>
      <c r="EZ1733" s="1" t="s">
        <v>588</v>
      </c>
      <c r="FB1733" s="1" t="s">
        <v>393</v>
      </c>
      <c r="FC1733" s="1" t="s">
        <v>206</v>
      </c>
      <c r="FD1733" s="1" t="s">
        <v>210</v>
      </c>
      <c r="FF1733" s="1" t="s">
        <v>239</v>
      </c>
      <c r="FG1733" s="1" t="s">
        <v>192</v>
      </c>
      <c r="FH1733" s="1" t="s">
        <v>192</v>
      </c>
      <c r="FJ1733" s="1" t="s">
        <v>498</v>
      </c>
      <c r="FK1733" s="1" t="s">
        <v>229</v>
      </c>
      <c r="FL1733" s="1" t="s">
        <v>1358</v>
      </c>
      <c r="FM1733" s="1">
        <v>23591.0</v>
      </c>
      <c r="FN1733" s="1" t="s">
        <v>2134</v>
      </c>
      <c r="FO1733" s="1" t="s">
        <v>2843</v>
      </c>
      <c r="FP1733" s="1">
        <v>230482.0</v>
      </c>
      <c r="FQ1733" s="1" t="s">
        <v>2844</v>
      </c>
      <c r="FS1733" s="1" t="s">
        <v>8183</v>
      </c>
      <c r="FU1733" s="1" t="s">
        <v>17085</v>
      </c>
      <c r="FV1733" s="1" t="s">
        <v>200</v>
      </c>
      <c r="FW1733" s="1" t="s">
        <v>1511</v>
      </c>
      <c r="FZ1733" s="1" t="s">
        <v>229</v>
      </c>
      <c r="GA1733" s="1" t="s">
        <v>291</v>
      </c>
      <c r="GB1733" s="2">
        <v>41989.0</v>
      </c>
    </row>
    <row r="1734">
      <c r="A1734" s="1">
        <v>103500.0</v>
      </c>
      <c r="B1734" s="1" t="s">
        <v>185</v>
      </c>
      <c r="C1734" s="1" t="str">
        <f>"08700676"</f>
        <v>08700676</v>
      </c>
      <c r="D1734" s="1" t="s">
        <v>186</v>
      </c>
      <c r="F1734" s="1" t="str">
        <f>"123"</f>
        <v>123</v>
      </c>
      <c r="G1734" s="2">
        <v>41864.0</v>
      </c>
      <c r="H1734" s="1">
        <v>112350.0</v>
      </c>
      <c r="I1734" s="1">
        <v>91.0</v>
      </c>
      <c r="J1734" s="1">
        <v>104900.0</v>
      </c>
      <c r="K1734" s="2">
        <v>41954.0</v>
      </c>
      <c r="L1734" s="1">
        <v>91.0</v>
      </c>
      <c r="M1734" s="2">
        <v>41954.0</v>
      </c>
      <c r="N1734" s="1" t="s">
        <v>249</v>
      </c>
      <c r="O1734" s="2">
        <v>41969.0</v>
      </c>
      <c r="P1734" s="1">
        <v>62592.0</v>
      </c>
      <c r="Q1734" s="1">
        <v>6097.0</v>
      </c>
      <c r="S1734" s="1">
        <v>688.0</v>
      </c>
      <c r="T1734" s="1" t="s">
        <v>7142</v>
      </c>
      <c r="U1734" s="1" t="s">
        <v>189</v>
      </c>
      <c r="V1734" s="1" t="s">
        <v>465</v>
      </c>
      <c r="W1734" s="1">
        <v>60120.0</v>
      </c>
      <c r="Y1734" s="1" t="s">
        <v>17086</v>
      </c>
      <c r="Z1734" s="1">
        <v>1975.0</v>
      </c>
      <c r="AA1734" s="1" t="s">
        <v>192</v>
      </c>
      <c r="AB1734" s="1" t="s">
        <v>193</v>
      </c>
      <c r="AD1734" s="1" t="s">
        <v>469</v>
      </c>
      <c r="AE1734" s="1" t="s">
        <v>325</v>
      </c>
      <c r="AF1734" s="1" t="s">
        <v>469</v>
      </c>
      <c r="AH1734" s="1" t="s">
        <v>17087</v>
      </c>
      <c r="AI1734" s="1">
        <v>0.1047</v>
      </c>
      <c r="AK1734" s="1">
        <v>8.0</v>
      </c>
      <c r="AL1734" s="1">
        <v>4.0</v>
      </c>
      <c r="AM1734" s="1">
        <v>2.0</v>
      </c>
      <c r="AN1734" s="1">
        <v>0.0</v>
      </c>
      <c r="AO1734" s="1" t="s">
        <v>229</v>
      </c>
      <c r="AQ1734" s="1" t="s">
        <v>1314</v>
      </c>
      <c r="AR1734" s="1" t="s">
        <v>200</v>
      </c>
      <c r="AS1734" s="1" t="s">
        <v>199</v>
      </c>
      <c r="AT1734" s="1">
        <v>3.0</v>
      </c>
      <c r="AV1734" s="1" t="s">
        <v>200</v>
      </c>
      <c r="AW1734" s="1">
        <v>5539.0</v>
      </c>
      <c r="AX1734" s="1">
        <v>2013.0</v>
      </c>
      <c r="AZ1734" s="1" t="s">
        <v>200</v>
      </c>
      <c r="BA1734" s="1" t="str">
        <f>"0601481023"</f>
        <v>0601481023</v>
      </c>
      <c r="BB1734" s="1" t="s">
        <v>200</v>
      </c>
      <c r="BC1734" s="1">
        <v>1800.0</v>
      </c>
      <c r="BD1734" s="1">
        <v>103500.0</v>
      </c>
      <c r="BE1734" s="2">
        <v>41864.0</v>
      </c>
      <c r="BF1734" s="1" t="s">
        <v>17088</v>
      </c>
      <c r="BH1734" s="1">
        <v>0.0</v>
      </c>
      <c r="BK1734" s="1" t="s">
        <v>204</v>
      </c>
      <c r="BL1734" s="1" t="str">
        <f t="shared" ref="BL1734:BM1734" si="1142">""</f>
        <v/>
      </c>
      <c r="BM1734" s="1" t="str">
        <f t="shared" si="1142"/>
        <v/>
      </c>
      <c r="BQ1734" s="1">
        <v>46.0</v>
      </c>
      <c r="BR1734" s="1">
        <v>46.0</v>
      </c>
      <c r="BS1734" s="1">
        <v>46.0</v>
      </c>
      <c r="BU1734" s="1" t="s">
        <v>2224</v>
      </c>
      <c r="BV1734" s="1" t="s">
        <v>206</v>
      </c>
      <c r="BY1734" s="1" t="s">
        <v>699</v>
      </c>
      <c r="BZ1734" s="1" t="s">
        <v>209</v>
      </c>
      <c r="CD1734" s="1" t="s">
        <v>204</v>
      </c>
      <c r="CG1734" s="1" t="s">
        <v>2695</v>
      </c>
      <c r="CH1734" s="1" t="s">
        <v>209</v>
      </c>
      <c r="CK1734" s="1" t="s">
        <v>516</v>
      </c>
      <c r="CL1734" s="1" t="s">
        <v>206</v>
      </c>
      <c r="CO1734" s="1" t="s">
        <v>269</v>
      </c>
      <c r="CP1734" s="1" t="s">
        <v>206</v>
      </c>
      <c r="CS1734" s="1" t="s">
        <v>1745</v>
      </c>
      <c r="CT1734" s="1" t="s">
        <v>206</v>
      </c>
      <c r="CW1734" s="1" t="s">
        <v>1158</v>
      </c>
      <c r="CX1734" s="1" t="s">
        <v>209</v>
      </c>
      <c r="DA1734" s="1" t="s">
        <v>200</v>
      </c>
      <c r="DC1734" s="1" t="s">
        <v>395</v>
      </c>
      <c r="DE1734" s="1" t="s">
        <v>273</v>
      </c>
      <c r="DF1734" s="1" t="s">
        <v>619</v>
      </c>
      <c r="DH1734" s="1" t="s">
        <v>220</v>
      </c>
      <c r="DJ1734" s="1" t="s">
        <v>222</v>
      </c>
      <c r="DL1734" s="1" t="s">
        <v>223</v>
      </c>
      <c r="DM1734" s="1" t="s">
        <v>229</v>
      </c>
      <c r="DQ1734" s="1" t="s">
        <v>228</v>
      </c>
      <c r="DR1734" s="1" t="s">
        <v>229</v>
      </c>
      <c r="DV1734" s="1" t="s">
        <v>1407</v>
      </c>
      <c r="DW1734" s="1" t="s">
        <v>370</v>
      </c>
      <c r="DX1734" s="1" t="s">
        <v>234</v>
      </c>
      <c r="EC1734" s="1" t="s">
        <v>237</v>
      </c>
      <c r="EG1734" s="1" t="s">
        <v>1407</v>
      </c>
      <c r="EL1734" s="1" t="s">
        <v>5334</v>
      </c>
      <c r="EM1734" s="1" t="s">
        <v>209</v>
      </c>
      <c r="EQ1734" s="1" t="s">
        <v>238</v>
      </c>
      <c r="EU1734" s="1" t="s">
        <v>238</v>
      </c>
      <c r="EY1734" s="1" t="s">
        <v>238</v>
      </c>
      <c r="FC1734" s="1" t="s">
        <v>238</v>
      </c>
      <c r="FF1734" s="1" t="s">
        <v>239</v>
      </c>
      <c r="FG1734" s="1" t="s">
        <v>192</v>
      </c>
      <c r="FH1734" s="1" t="s">
        <v>192</v>
      </c>
      <c r="FJ1734" s="1" t="s">
        <v>17089</v>
      </c>
      <c r="FK1734" s="1" t="s">
        <v>348</v>
      </c>
      <c r="FL1734" s="1" t="s">
        <v>1907</v>
      </c>
      <c r="FM1734" s="1">
        <v>140.0</v>
      </c>
      <c r="FN1734" s="1" t="s">
        <v>1908</v>
      </c>
      <c r="FO1734" s="1" t="s">
        <v>17090</v>
      </c>
      <c r="FP1734" s="1">
        <v>1653.0</v>
      </c>
      <c r="FQ1734" s="1" t="s">
        <v>17091</v>
      </c>
      <c r="FR1734" s="1">
        <v>1654.0</v>
      </c>
      <c r="FU1734" s="1" t="s">
        <v>710</v>
      </c>
      <c r="FV1734" s="1" t="s">
        <v>200</v>
      </c>
      <c r="FW1734" s="1" t="s">
        <v>290</v>
      </c>
      <c r="FZ1734" s="1" t="s">
        <v>229</v>
      </c>
      <c r="GA1734" s="1" t="s">
        <v>291</v>
      </c>
      <c r="GB1734" s="2">
        <v>41983.0</v>
      </c>
      <c r="GC1734" s="1" t="s">
        <v>17092</v>
      </c>
    </row>
    <row r="1735">
      <c r="A1735" s="1">
        <v>375000.0</v>
      </c>
      <c r="B1735" s="1" t="s">
        <v>185</v>
      </c>
      <c r="C1735" s="1" t="str">
        <f>"08710748"</f>
        <v>08710748</v>
      </c>
      <c r="D1735" s="1" t="s">
        <v>186</v>
      </c>
      <c r="F1735" s="1" t="str">
        <f>"8012"</f>
        <v>8012</v>
      </c>
      <c r="G1735" s="2">
        <v>41876.0</v>
      </c>
      <c r="H1735" s="1">
        <v>419000.0</v>
      </c>
      <c r="I1735" s="1">
        <v>129.0</v>
      </c>
      <c r="J1735" s="1">
        <v>385000.0</v>
      </c>
      <c r="K1735" s="2">
        <v>42004.0</v>
      </c>
      <c r="L1735" s="1">
        <v>129.0</v>
      </c>
      <c r="M1735" s="2">
        <v>42004.0</v>
      </c>
      <c r="N1735" s="1" t="s">
        <v>187</v>
      </c>
      <c r="O1735" s="2">
        <v>42081.0</v>
      </c>
      <c r="P1735" s="1">
        <v>187432.0</v>
      </c>
      <c r="Q1735" s="1">
        <v>85693.0</v>
      </c>
      <c r="S1735" s="1">
        <v>6751.0</v>
      </c>
      <c r="T1735" s="1" t="s">
        <v>17093</v>
      </c>
      <c r="U1735" s="1" t="s">
        <v>189</v>
      </c>
      <c r="V1735" s="1" t="s">
        <v>190</v>
      </c>
      <c r="W1735" s="1">
        <v>60646.0</v>
      </c>
      <c r="Y1735" s="1" t="s">
        <v>17094</v>
      </c>
      <c r="Z1735" s="1">
        <v>1973.0</v>
      </c>
      <c r="AA1735" s="1" t="s">
        <v>192</v>
      </c>
      <c r="AB1735" s="1" t="s">
        <v>193</v>
      </c>
      <c r="AD1735" s="1" t="s">
        <v>194</v>
      </c>
      <c r="AE1735" s="1" t="s">
        <v>195</v>
      </c>
      <c r="AF1735" s="1" t="s">
        <v>196</v>
      </c>
      <c r="AH1735" s="1" t="s">
        <v>779</v>
      </c>
      <c r="AI1735" s="1">
        <v>0.1075</v>
      </c>
      <c r="AK1735" s="1">
        <v>8.0</v>
      </c>
      <c r="AL1735" s="1">
        <v>3.0</v>
      </c>
      <c r="AM1735" s="1">
        <v>1.0</v>
      </c>
      <c r="AN1735" s="1">
        <v>1.0</v>
      </c>
      <c r="AO1735" s="1" t="s">
        <v>229</v>
      </c>
      <c r="AQ1735" s="1" t="s">
        <v>198</v>
      </c>
      <c r="AR1735" s="1" t="s">
        <v>200</v>
      </c>
      <c r="AS1735" s="1" t="s">
        <v>199</v>
      </c>
      <c r="AT1735" s="1">
        <v>2.5</v>
      </c>
      <c r="AV1735" s="1" t="s">
        <v>200</v>
      </c>
      <c r="AW1735" s="1">
        <v>5304.07</v>
      </c>
      <c r="AX1735" s="1">
        <v>2012.0</v>
      </c>
      <c r="AZ1735" s="1" t="s">
        <v>200</v>
      </c>
      <c r="BA1735" s="1" t="str">
        <f>"10331190530000"</f>
        <v>10331190530000</v>
      </c>
      <c r="BC1735" s="1">
        <v>1325.0</v>
      </c>
      <c r="BD1735" s="1">
        <v>375000.0</v>
      </c>
      <c r="BE1735" s="2">
        <v>41876.0</v>
      </c>
      <c r="BF1735" s="2" t="s">
        <v>17095</v>
      </c>
      <c r="BG1735" s="1" t="s">
        <v>9269</v>
      </c>
      <c r="BH1735" s="1">
        <v>0.0</v>
      </c>
      <c r="BK1735" s="1" t="s">
        <v>204</v>
      </c>
      <c r="BL1735" s="1" t="str">
        <f>"6700"</f>
        <v>6700</v>
      </c>
      <c r="BM1735" s="1" t="str">
        <f>"0"</f>
        <v>0</v>
      </c>
      <c r="BN1735" s="1">
        <v>5600.0</v>
      </c>
      <c r="BO1735" s="1">
        <v>0.0</v>
      </c>
      <c r="BQ1735" s="1">
        <v>299.0</v>
      </c>
      <c r="BR1735" s="1">
        <v>299.0</v>
      </c>
      <c r="BS1735" s="1">
        <v>299.0</v>
      </c>
      <c r="BU1735" s="1" t="s">
        <v>1892</v>
      </c>
      <c r="BV1735" s="1" t="s">
        <v>206</v>
      </c>
      <c r="BW1735" s="1" t="s">
        <v>207</v>
      </c>
      <c r="BX1735" s="1" t="s">
        <v>476</v>
      </c>
      <c r="BY1735" s="1" t="s">
        <v>433</v>
      </c>
      <c r="BZ1735" s="1" t="s">
        <v>206</v>
      </c>
      <c r="CA1735" s="1" t="s">
        <v>207</v>
      </c>
      <c r="CB1735" s="1" t="s">
        <v>1549</v>
      </c>
      <c r="CC1735" s="1" t="s">
        <v>303</v>
      </c>
      <c r="CD1735" s="1" t="s">
        <v>206</v>
      </c>
      <c r="CE1735" s="1" t="s">
        <v>207</v>
      </c>
      <c r="CF1735" s="1" t="s">
        <v>476</v>
      </c>
      <c r="CG1735" s="1" t="s">
        <v>332</v>
      </c>
      <c r="CH1735" s="1" t="s">
        <v>206</v>
      </c>
      <c r="CI1735" s="1" t="s">
        <v>207</v>
      </c>
      <c r="CJ1735" s="1" t="s">
        <v>1549</v>
      </c>
      <c r="CK1735" s="1" t="s">
        <v>332</v>
      </c>
      <c r="CL1735" s="1" t="s">
        <v>206</v>
      </c>
      <c r="CM1735" s="1" t="s">
        <v>207</v>
      </c>
      <c r="CN1735" s="1" t="s">
        <v>1549</v>
      </c>
      <c r="CO1735" s="1" t="s">
        <v>830</v>
      </c>
      <c r="CP1735" s="1" t="s">
        <v>42</v>
      </c>
      <c r="CQ1735" s="1" t="s">
        <v>617</v>
      </c>
      <c r="CR1735" s="1" t="s">
        <v>229</v>
      </c>
      <c r="CS1735" s="1" t="s">
        <v>1397</v>
      </c>
      <c r="CT1735" s="1" t="s">
        <v>206</v>
      </c>
      <c r="CU1735" s="1" t="s">
        <v>5126</v>
      </c>
      <c r="CV1735" s="1" t="s">
        <v>476</v>
      </c>
      <c r="CW1735" s="1" t="s">
        <v>11480</v>
      </c>
      <c r="CX1735" s="1" t="s">
        <v>42</v>
      </c>
      <c r="CY1735" s="1" t="s">
        <v>210</v>
      </c>
      <c r="CZ1735" s="1" t="s">
        <v>229</v>
      </c>
      <c r="DA1735" s="1" t="s">
        <v>200</v>
      </c>
      <c r="DC1735" s="1" t="s">
        <v>517</v>
      </c>
      <c r="DD1735" s="1" t="s">
        <v>518</v>
      </c>
      <c r="DE1735" s="1" t="s">
        <v>273</v>
      </c>
      <c r="DF1735" s="1" t="s">
        <v>219</v>
      </c>
      <c r="DH1735" s="1" t="s">
        <v>307</v>
      </c>
      <c r="DI1735" s="1" t="s">
        <v>1318</v>
      </c>
      <c r="DJ1735" s="1" t="s">
        <v>222</v>
      </c>
      <c r="DL1735" s="1" t="s">
        <v>224</v>
      </c>
      <c r="DM1735" s="1" t="s">
        <v>229</v>
      </c>
      <c r="DN1735" s="1" t="s">
        <v>666</v>
      </c>
      <c r="DP1735" s="1" t="s">
        <v>340</v>
      </c>
      <c r="DQ1735" s="1" t="s">
        <v>228</v>
      </c>
      <c r="DR1735" s="1" t="s">
        <v>229</v>
      </c>
      <c r="DS1735" s="1" t="s">
        <v>230</v>
      </c>
      <c r="DV1735" s="1" t="s">
        <v>1103</v>
      </c>
      <c r="DW1735" s="1" t="s">
        <v>279</v>
      </c>
      <c r="DX1735" s="1" t="s">
        <v>234</v>
      </c>
      <c r="DY1735" s="1" t="s">
        <v>281</v>
      </c>
      <c r="EC1735" s="1" t="s">
        <v>685</v>
      </c>
      <c r="EG1735" s="1" t="s">
        <v>1103</v>
      </c>
      <c r="EL1735" s="1" t="s">
        <v>17096</v>
      </c>
      <c r="EM1735" s="1" t="s">
        <v>42</v>
      </c>
      <c r="EN1735" s="1" t="s">
        <v>588</v>
      </c>
      <c r="EO1735" s="1" t="s">
        <v>229</v>
      </c>
      <c r="EQ1735" s="1" t="s">
        <v>238</v>
      </c>
      <c r="EU1735" s="1" t="s">
        <v>238</v>
      </c>
      <c r="EY1735" s="1" t="s">
        <v>238</v>
      </c>
      <c r="FC1735" s="1" t="s">
        <v>238</v>
      </c>
      <c r="FF1735" s="1" t="s">
        <v>239</v>
      </c>
      <c r="FG1735" s="1" t="s">
        <v>192</v>
      </c>
      <c r="FH1735" s="1" t="s">
        <v>192</v>
      </c>
      <c r="FJ1735" s="1" t="s">
        <v>17097</v>
      </c>
      <c r="FK1735" s="1" t="s">
        <v>229</v>
      </c>
      <c r="FL1735" s="1" t="s">
        <v>17098</v>
      </c>
      <c r="FM1735" s="1">
        <v>14618.0</v>
      </c>
      <c r="FN1735" s="1" t="s">
        <v>17099</v>
      </c>
      <c r="FO1735" s="1" t="s">
        <v>17100</v>
      </c>
      <c r="FP1735" s="1">
        <v>139776.0</v>
      </c>
      <c r="FQ1735" s="1" t="s">
        <v>17101</v>
      </c>
      <c r="FU1735" s="1" t="s">
        <v>17102</v>
      </c>
      <c r="FV1735" s="1" t="s">
        <v>200</v>
      </c>
      <c r="FW1735" s="1" t="s">
        <v>530</v>
      </c>
      <c r="FX1735" s="1" t="s">
        <v>238</v>
      </c>
      <c r="FZ1735" s="1" t="s">
        <v>229</v>
      </c>
      <c r="GA1735" s="1" t="s">
        <v>291</v>
      </c>
      <c r="GB1735" s="2">
        <v>42082.0</v>
      </c>
    </row>
    <row r="1736">
      <c r="A1736" s="1">
        <v>85000.0</v>
      </c>
      <c r="B1736" s="1" t="s">
        <v>185</v>
      </c>
      <c r="C1736" s="1" t="str">
        <f>"08703758"</f>
        <v>08703758</v>
      </c>
      <c r="D1736" s="1" t="s">
        <v>186</v>
      </c>
      <c r="F1736" s="1" t="str">
        <f>"8053"</f>
        <v>8053</v>
      </c>
      <c r="G1736" s="2">
        <v>41867.0</v>
      </c>
      <c r="H1736" s="1">
        <v>95000.0</v>
      </c>
      <c r="I1736" s="1">
        <v>158.0</v>
      </c>
      <c r="J1736" s="1">
        <v>85000.0</v>
      </c>
      <c r="K1736" s="2">
        <v>42024.0</v>
      </c>
      <c r="L1736" s="1">
        <v>158.0</v>
      </c>
      <c r="M1736" s="2">
        <v>42024.0</v>
      </c>
      <c r="N1736" s="1" t="s">
        <v>187</v>
      </c>
      <c r="O1736" s="2">
        <v>42095.0</v>
      </c>
      <c r="P1736" s="1">
        <v>145617.0</v>
      </c>
      <c r="Q1736" s="1">
        <v>16734.0</v>
      </c>
      <c r="S1736" s="1">
        <v>11548.0</v>
      </c>
      <c r="T1736" s="1" t="s">
        <v>4089</v>
      </c>
      <c r="U1736" s="1" t="s">
        <v>320</v>
      </c>
      <c r="V1736" s="1" t="s">
        <v>190</v>
      </c>
      <c r="W1736" s="1">
        <v>60643.0</v>
      </c>
      <c r="Y1736" s="1" t="s">
        <v>17103</v>
      </c>
      <c r="Z1736" s="1">
        <v>1961.0</v>
      </c>
      <c r="AA1736" s="1" t="s">
        <v>192</v>
      </c>
      <c r="AB1736" s="1" t="s">
        <v>193</v>
      </c>
      <c r="AD1736" s="1" t="s">
        <v>194</v>
      </c>
      <c r="AE1736" s="1" t="s">
        <v>195</v>
      </c>
      <c r="AF1736" s="1" t="s">
        <v>659</v>
      </c>
      <c r="AH1736" s="1" t="s">
        <v>779</v>
      </c>
      <c r="AI1736" s="1">
        <v>0.0861</v>
      </c>
      <c r="AK1736" s="1">
        <v>6.0</v>
      </c>
      <c r="AL1736" s="1">
        <v>4.0</v>
      </c>
      <c r="AM1736" s="1">
        <v>2.0</v>
      </c>
      <c r="AN1736" s="1">
        <v>0.0</v>
      </c>
      <c r="AO1736" s="1" t="s">
        <v>1261</v>
      </c>
      <c r="AQ1736" s="1" t="s">
        <v>198</v>
      </c>
      <c r="AR1736" s="1" t="s">
        <v>192</v>
      </c>
      <c r="AS1736" s="1" t="s">
        <v>199</v>
      </c>
      <c r="AT1736" s="1">
        <v>2.0</v>
      </c>
      <c r="AV1736" s="1" t="s">
        <v>200</v>
      </c>
      <c r="AW1736" s="1">
        <v>1734.0</v>
      </c>
      <c r="AX1736" s="1">
        <v>2012.0</v>
      </c>
      <c r="AY1736" s="1" t="s">
        <v>229</v>
      </c>
      <c r="AZ1736" s="1" t="s">
        <v>200</v>
      </c>
      <c r="BA1736" s="1" t="str">
        <f>"25204030370000"</f>
        <v>25204030370000</v>
      </c>
      <c r="BC1736" s="1">
        <v>0.0</v>
      </c>
      <c r="BD1736" s="1">
        <v>85000.0</v>
      </c>
      <c r="BE1736" s="2">
        <v>41867.0</v>
      </c>
      <c r="BF1736" s="2" t="s">
        <v>17104</v>
      </c>
      <c r="BH1736" s="1">
        <v>0.0</v>
      </c>
      <c r="BK1736" s="1" t="s">
        <v>204</v>
      </c>
      <c r="BL1736" s="1" t="str">
        <f t="shared" ref="BL1736:BM1736" si="1143">"0"</f>
        <v>0</v>
      </c>
      <c r="BM1736" s="1" t="str">
        <f t="shared" si="1143"/>
        <v>0</v>
      </c>
      <c r="BN1736" s="1">
        <v>1000.0</v>
      </c>
      <c r="BO1736" s="1">
        <v>11548.0</v>
      </c>
      <c r="BQ1736" s="1">
        <v>299.0</v>
      </c>
      <c r="BR1736" s="1">
        <v>299.0</v>
      </c>
      <c r="BS1736" s="1">
        <v>299.0</v>
      </c>
      <c r="BU1736" s="1" t="s">
        <v>3817</v>
      </c>
      <c r="BV1736" s="1" t="s">
        <v>206</v>
      </c>
      <c r="BW1736" s="1" t="s">
        <v>207</v>
      </c>
      <c r="BY1736" s="1" t="s">
        <v>12670</v>
      </c>
      <c r="BZ1736" s="1" t="s">
        <v>206</v>
      </c>
      <c r="CA1736" s="1" t="s">
        <v>210</v>
      </c>
      <c r="CD1736" s="1" t="s">
        <v>204</v>
      </c>
      <c r="CG1736" s="1" t="s">
        <v>2880</v>
      </c>
      <c r="CH1736" s="1" t="s">
        <v>206</v>
      </c>
      <c r="CI1736" s="1" t="s">
        <v>210</v>
      </c>
      <c r="CK1736" s="1" t="s">
        <v>816</v>
      </c>
      <c r="CL1736" s="1" t="s">
        <v>267</v>
      </c>
      <c r="CM1736" s="1" t="s">
        <v>210</v>
      </c>
      <c r="CO1736" s="1" t="s">
        <v>12670</v>
      </c>
      <c r="CP1736" s="1" t="s">
        <v>267</v>
      </c>
      <c r="CQ1736" s="1" t="s">
        <v>210</v>
      </c>
      <c r="CS1736" s="1" t="s">
        <v>453</v>
      </c>
      <c r="CT1736" s="1" t="s">
        <v>206</v>
      </c>
      <c r="CU1736" s="1" t="s">
        <v>207</v>
      </c>
      <c r="CX1736" s="1" t="s">
        <v>204</v>
      </c>
      <c r="DA1736" s="1" t="s">
        <v>200</v>
      </c>
      <c r="DC1736" s="1" t="s">
        <v>271</v>
      </c>
      <c r="DE1736" s="1" t="s">
        <v>229</v>
      </c>
      <c r="DF1736" s="1" t="s">
        <v>219</v>
      </c>
      <c r="DH1736" s="1" t="s">
        <v>220</v>
      </c>
      <c r="DJ1736" s="1" t="s">
        <v>222</v>
      </c>
      <c r="DL1736" s="1" t="s">
        <v>224</v>
      </c>
      <c r="DM1736" s="1" t="s">
        <v>229</v>
      </c>
      <c r="DQ1736" s="1" t="s">
        <v>794</v>
      </c>
      <c r="DR1736" s="1" t="s">
        <v>229</v>
      </c>
      <c r="DV1736" s="1" t="s">
        <v>232</v>
      </c>
      <c r="DW1736" s="1" t="s">
        <v>279</v>
      </c>
      <c r="DX1736" s="1" t="s">
        <v>234</v>
      </c>
      <c r="EC1736" s="1" t="s">
        <v>685</v>
      </c>
      <c r="EM1736" s="1" t="s">
        <v>238</v>
      </c>
      <c r="EQ1736" s="1" t="s">
        <v>238</v>
      </c>
      <c r="EU1736" s="1" t="s">
        <v>238</v>
      </c>
      <c r="EY1736" s="1" t="s">
        <v>238</v>
      </c>
      <c r="FC1736" s="1" t="s">
        <v>238</v>
      </c>
      <c r="FF1736" s="1" t="s">
        <v>239</v>
      </c>
      <c r="FG1736" s="1" t="s">
        <v>192</v>
      </c>
      <c r="FH1736" s="1" t="s">
        <v>192</v>
      </c>
      <c r="FJ1736" s="1" t="s">
        <v>524</v>
      </c>
      <c r="FK1736" s="1" t="s">
        <v>229</v>
      </c>
      <c r="FL1736" s="1" t="s">
        <v>3794</v>
      </c>
      <c r="FM1736" s="1">
        <v>24073.0</v>
      </c>
      <c r="FN1736" s="1" t="s">
        <v>6021</v>
      </c>
      <c r="FO1736" s="1" t="s">
        <v>6638</v>
      </c>
      <c r="FP1736" s="1">
        <v>243589.0</v>
      </c>
      <c r="FR1736" s="1">
        <v>145617.0</v>
      </c>
      <c r="FU1736" s="1" t="s">
        <v>17105</v>
      </c>
      <c r="FV1736" s="1" t="s">
        <v>200</v>
      </c>
      <c r="FW1736" s="1" t="s">
        <v>290</v>
      </c>
      <c r="FX1736" s="1" t="s">
        <v>655</v>
      </c>
      <c r="FZ1736" s="1" t="s">
        <v>229</v>
      </c>
      <c r="GA1736" s="1" t="s">
        <v>291</v>
      </c>
      <c r="GB1736" s="2">
        <v>42095.0</v>
      </c>
      <c r="GC1736" s="1" t="s">
        <v>17106</v>
      </c>
    </row>
    <row r="1737">
      <c r="A1737" s="1">
        <v>145000.0</v>
      </c>
      <c r="B1737" s="1" t="s">
        <v>185</v>
      </c>
      <c r="C1737" s="1" t="str">
        <f>"08705643"</f>
        <v>08705643</v>
      </c>
      <c r="D1737" s="1" t="s">
        <v>186</v>
      </c>
      <c r="F1737" s="1" t="str">
        <f>"8017"</f>
        <v>8017</v>
      </c>
      <c r="G1737" s="2">
        <v>41870.0</v>
      </c>
      <c r="H1737" s="1">
        <v>194900.0</v>
      </c>
      <c r="I1737" s="1">
        <v>186.0</v>
      </c>
      <c r="J1737" s="1">
        <v>149900.0</v>
      </c>
      <c r="K1737" s="2">
        <v>42055.0</v>
      </c>
      <c r="L1737" s="1">
        <v>186.0</v>
      </c>
      <c r="M1737" s="2">
        <v>42055.0</v>
      </c>
      <c r="N1737" s="1" t="s">
        <v>249</v>
      </c>
      <c r="O1737" s="2">
        <v>42069.0</v>
      </c>
      <c r="P1737" s="1">
        <v>124549.0</v>
      </c>
      <c r="Q1737" s="1">
        <v>12569.0</v>
      </c>
      <c r="S1737" s="1">
        <v>3736.0</v>
      </c>
      <c r="T1737" s="1" t="s">
        <v>3330</v>
      </c>
      <c r="U1737" s="1" t="s">
        <v>189</v>
      </c>
      <c r="V1737" s="1" t="s">
        <v>190</v>
      </c>
      <c r="W1737" s="1">
        <v>60634.0</v>
      </c>
      <c r="Y1737" s="1" t="s">
        <v>17107</v>
      </c>
      <c r="Z1737" s="1">
        <v>1924.0</v>
      </c>
      <c r="AA1737" s="1" t="s">
        <v>192</v>
      </c>
      <c r="AB1737" s="1" t="s">
        <v>193</v>
      </c>
      <c r="AD1737" s="1" t="s">
        <v>194</v>
      </c>
      <c r="AE1737" s="1" t="s">
        <v>195</v>
      </c>
      <c r="AF1737" s="1" t="s">
        <v>196</v>
      </c>
      <c r="AH1737" s="1" t="s">
        <v>17108</v>
      </c>
      <c r="AI1737" s="1">
        <v>0.0848</v>
      </c>
      <c r="AK1737" s="1">
        <v>7.0</v>
      </c>
      <c r="AL1737" s="1">
        <v>4.0</v>
      </c>
      <c r="AM1737" s="1">
        <v>2.0</v>
      </c>
      <c r="AN1737" s="1">
        <v>0.0</v>
      </c>
      <c r="AO1737" s="1" t="s">
        <v>229</v>
      </c>
      <c r="AQ1737" s="1" t="s">
        <v>198</v>
      </c>
      <c r="AR1737" s="1" t="s">
        <v>192</v>
      </c>
      <c r="AS1737" s="1" t="s">
        <v>199</v>
      </c>
      <c r="AT1737" s="1">
        <v>2.0</v>
      </c>
      <c r="AV1737" s="1" t="s">
        <v>200</v>
      </c>
      <c r="AW1737" s="1">
        <v>3294.0</v>
      </c>
      <c r="AX1737" s="1">
        <v>2013.0</v>
      </c>
      <c r="AY1737" s="1" t="s">
        <v>387</v>
      </c>
      <c r="AZ1737" s="1" t="s">
        <v>200</v>
      </c>
      <c r="BA1737" s="1" t="str">
        <f>"13191260200000"</f>
        <v>13191260200000</v>
      </c>
      <c r="BC1737" s="1">
        <v>1044.0</v>
      </c>
      <c r="BD1737" s="1">
        <v>145000.0</v>
      </c>
      <c r="BE1737" s="2">
        <v>41870.0</v>
      </c>
      <c r="BF1737" s="2" t="s">
        <v>17109</v>
      </c>
      <c r="BH1737" s="1">
        <v>0.0</v>
      </c>
      <c r="BK1737" s="1" t="s">
        <v>204</v>
      </c>
      <c r="BL1737" s="1" t="str">
        <f>"3736"</f>
        <v>3736</v>
      </c>
      <c r="BM1737" s="1" t="str">
        <f>"0"</f>
        <v>0</v>
      </c>
      <c r="BN1737" s="1">
        <v>6800.0</v>
      </c>
      <c r="BO1737" s="1">
        <v>0.0</v>
      </c>
      <c r="BQ1737" s="1">
        <v>299.0</v>
      </c>
      <c r="BR1737" s="1">
        <v>299.0</v>
      </c>
      <c r="BS1737" s="1">
        <v>299.0</v>
      </c>
      <c r="BU1737" s="1" t="s">
        <v>1395</v>
      </c>
      <c r="BV1737" s="1" t="s">
        <v>206</v>
      </c>
      <c r="BY1737" s="1" t="s">
        <v>392</v>
      </c>
      <c r="BZ1737" s="1" t="s">
        <v>206</v>
      </c>
      <c r="CC1737" s="1" t="s">
        <v>663</v>
      </c>
      <c r="CD1737" s="1" t="s">
        <v>206</v>
      </c>
      <c r="CG1737" s="1" t="s">
        <v>497</v>
      </c>
      <c r="CH1737" s="1" t="s">
        <v>206</v>
      </c>
      <c r="CK1737" s="1" t="s">
        <v>1426</v>
      </c>
      <c r="CL1737" s="1" t="s">
        <v>209</v>
      </c>
      <c r="CO1737" s="1" t="s">
        <v>264</v>
      </c>
      <c r="CP1737" s="1" t="s">
        <v>209</v>
      </c>
      <c r="CS1737" s="1" t="s">
        <v>331</v>
      </c>
      <c r="CT1737" s="1" t="s">
        <v>206</v>
      </c>
      <c r="CX1737" s="1" t="s">
        <v>204</v>
      </c>
      <c r="DA1737" s="1" t="s">
        <v>200</v>
      </c>
      <c r="DC1737" s="1" t="s">
        <v>216</v>
      </c>
      <c r="DE1737" s="1" t="s">
        <v>229</v>
      </c>
      <c r="DF1737" s="1" t="s">
        <v>4120</v>
      </c>
      <c r="DH1737" s="1" t="s">
        <v>365</v>
      </c>
      <c r="DJ1737" s="1" t="s">
        <v>222</v>
      </c>
      <c r="DL1737" s="1" t="s">
        <v>223</v>
      </c>
      <c r="DM1737" s="1" t="s">
        <v>229</v>
      </c>
      <c r="DQ1737" s="1" t="s">
        <v>228</v>
      </c>
      <c r="DR1737" s="1" t="s">
        <v>229</v>
      </c>
      <c r="DV1737" s="1" t="s">
        <v>232</v>
      </c>
      <c r="DW1737" s="1" t="s">
        <v>279</v>
      </c>
      <c r="DX1737" s="1" t="s">
        <v>234</v>
      </c>
      <c r="EC1737" s="1" t="s">
        <v>645</v>
      </c>
      <c r="EE1737" s="1" t="s">
        <v>1673</v>
      </c>
      <c r="EM1737" s="1" t="s">
        <v>238</v>
      </c>
      <c r="EQ1737" s="1" t="s">
        <v>238</v>
      </c>
      <c r="EU1737" s="1" t="s">
        <v>238</v>
      </c>
      <c r="EY1737" s="1" t="s">
        <v>238</v>
      </c>
      <c r="FC1737" s="1" t="s">
        <v>238</v>
      </c>
      <c r="FF1737" s="1" t="s">
        <v>239</v>
      </c>
      <c r="FG1737" s="1" t="s">
        <v>192</v>
      </c>
      <c r="FH1737" s="1" t="s">
        <v>192</v>
      </c>
      <c r="FJ1737" s="1" t="s">
        <v>17110</v>
      </c>
      <c r="FK1737" s="1" t="s">
        <v>229</v>
      </c>
      <c r="FL1737" s="1" t="s">
        <v>7366</v>
      </c>
      <c r="FM1737" s="1">
        <v>84674.0</v>
      </c>
      <c r="FN1737" s="1" t="s">
        <v>7367</v>
      </c>
      <c r="FO1737" s="1" t="s">
        <v>7368</v>
      </c>
      <c r="FP1737" s="1">
        <v>109817.0</v>
      </c>
      <c r="FQ1737" s="1" t="s">
        <v>7369</v>
      </c>
      <c r="FR1737" s="1">
        <v>181685.0</v>
      </c>
      <c r="FU1737" s="1" t="s">
        <v>710</v>
      </c>
      <c r="FV1737" s="1" t="s">
        <v>200</v>
      </c>
      <c r="FW1737" s="1" t="s">
        <v>1897</v>
      </c>
      <c r="FX1737" s="1" t="s">
        <v>238</v>
      </c>
      <c r="FZ1737" s="1" t="s">
        <v>229</v>
      </c>
      <c r="GA1737" s="1" t="s">
        <v>291</v>
      </c>
      <c r="GB1737" s="2">
        <v>42072.0</v>
      </c>
      <c r="GC1737" s="1" t="s">
        <v>17111</v>
      </c>
    </row>
    <row r="1738">
      <c r="A1738" s="1">
        <v>400000.0</v>
      </c>
      <c r="B1738" s="1" t="s">
        <v>185</v>
      </c>
      <c r="C1738" s="1" t="str">
        <f>"08705794"</f>
        <v>08705794</v>
      </c>
      <c r="D1738" s="1" t="s">
        <v>186</v>
      </c>
      <c r="F1738" s="1" t="str">
        <f>"174"</f>
        <v>174</v>
      </c>
      <c r="G1738" s="2">
        <v>41870.0</v>
      </c>
      <c r="H1738" s="1">
        <v>440000.0</v>
      </c>
      <c r="I1738" s="1">
        <v>53.0</v>
      </c>
      <c r="J1738" s="1">
        <v>424900.0</v>
      </c>
      <c r="K1738" s="2">
        <v>41922.0</v>
      </c>
      <c r="L1738" s="1">
        <v>53.0</v>
      </c>
      <c r="M1738" s="2">
        <v>41922.0</v>
      </c>
      <c r="N1738" s="1" t="s">
        <v>187</v>
      </c>
      <c r="O1738" s="2">
        <v>41988.0</v>
      </c>
      <c r="P1738" s="1">
        <v>704635.0</v>
      </c>
      <c r="Q1738" s="1">
        <v>72501.0</v>
      </c>
      <c r="S1738" s="1" t="s">
        <v>17112</v>
      </c>
      <c r="T1738" s="1" t="s">
        <v>16820</v>
      </c>
      <c r="U1738" s="1" t="s">
        <v>464</v>
      </c>
      <c r="V1738" s="1" t="s">
        <v>1200</v>
      </c>
      <c r="W1738" s="1">
        <v>60175.0</v>
      </c>
      <c r="Y1738" s="1" t="s">
        <v>17113</v>
      </c>
      <c r="Z1738" s="1">
        <v>2003.0</v>
      </c>
      <c r="AA1738" s="1" t="s">
        <v>200</v>
      </c>
      <c r="AB1738" s="1" t="s">
        <v>193</v>
      </c>
      <c r="AC1738" s="1" t="s">
        <v>17114</v>
      </c>
      <c r="AD1738" s="1" t="s">
        <v>1089</v>
      </c>
      <c r="AE1738" s="1" t="s">
        <v>325</v>
      </c>
      <c r="AF1738" s="1" t="s">
        <v>1203</v>
      </c>
      <c r="AH1738" s="6">
        <v>54615.0</v>
      </c>
      <c r="AI1738" s="1">
        <v>1.253</v>
      </c>
      <c r="AK1738" s="1">
        <v>12.0</v>
      </c>
      <c r="AL1738" s="1">
        <v>4.0</v>
      </c>
      <c r="AM1738" s="1">
        <v>4.0</v>
      </c>
      <c r="AN1738" s="1">
        <v>2.0</v>
      </c>
      <c r="AO1738" s="1" t="s">
        <v>198</v>
      </c>
      <c r="AP1738" s="1">
        <v>1.0</v>
      </c>
      <c r="AQ1738" s="1" t="s">
        <v>327</v>
      </c>
      <c r="AR1738" s="1" t="s">
        <v>192</v>
      </c>
      <c r="AS1738" s="1" t="s">
        <v>199</v>
      </c>
      <c r="AT1738" s="1">
        <v>3.0</v>
      </c>
      <c r="AV1738" s="1" t="s">
        <v>200</v>
      </c>
      <c r="AW1738" s="1">
        <v>11986.24</v>
      </c>
      <c r="AX1738" s="1">
        <v>2013.0</v>
      </c>
      <c r="AZ1738" s="1" t="s">
        <v>200</v>
      </c>
      <c r="BA1738" s="1" t="str">
        <f>"0917202005"</f>
        <v>0917202005</v>
      </c>
      <c r="BB1738" s="1" t="s">
        <v>200</v>
      </c>
      <c r="BC1738" s="1">
        <v>3567.0</v>
      </c>
      <c r="BD1738" s="1">
        <v>400000.0</v>
      </c>
      <c r="BE1738" s="2">
        <v>41870.0</v>
      </c>
      <c r="BF1738" s="2" t="s">
        <v>17115</v>
      </c>
      <c r="BH1738" s="1">
        <v>300.0</v>
      </c>
      <c r="BK1738" s="1" t="s">
        <v>580</v>
      </c>
      <c r="BL1738" s="1" t="str">
        <f t="shared" ref="BL1738:BM1738" si="1144">""</f>
        <v/>
      </c>
      <c r="BM1738" s="1" t="str">
        <f t="shared" si="1144"/>
        <v/>
      </c>
      <c r="BQ1738" s="1">
        <v>303.0</v>
      </c>
      <c r="BR1738" s="1">
        <v>303.0</v>
      </c>
      <c r="BS1738" s="1">
        <v>303.0</v>
      </c>
      <c r="BU1738" s="1" t="s">
        <v>454</v>
      </c>
      <c r="BV1738" s="1" t="s">
        <v>206</v>
      </c>
      <c r="BW1738" s="1" t="s">
        <v>210</v>
      </c>
      <c r="BY1738" s="1" t="s">
        <v>333</v>
      </c>
      <c r="BZ1738" s="1" t="s">
        <v>209</v>
      </c>
      <c r="CA1738" s="1" t="s">
        <v>210</v>
      </c>
      <c r="CC1738" s="1" t="s">
        <v>211</v>
      </c>
      <c r="CD1738" s="1" t="s">
        <v>206</v>
      </c>
      <c r="CE1738" s="1" t="s">
        <v>210</v>
      </c>
      <c r="CG1738" s="1" t="s">
        <v>390</v>
      </c>
      <c r="CH1738" s="1" t="s">
        <v>209</v>
      </c>
      <c r="CI1738" s="1" t="s">
        <v>210</v>
      </c>
      <c r="CK1738" s="1" t="s">
        <v>211</v>
      </c>
      <c r="CL1738" s="1" t="s">
        <v>209</v>
      </c>
      <c r="CM1738" s="1" t="s">
        <v>210</v>
      </c>
      <c r="CO1738" s="1" t="s">
        <v>454</v>
      </c>
      <c r="CP1738" s="1" t="s">
        <v>209</v>
      </c>
      <c r="CQ1738" s="1" t="s">
        <v>210</v>
      </c>
      <c r="CS1738" s="1" t="s">
        <v>211</v>
      </c>
      <c r="CT1738" s="1" t="s">
        <v>206</v>
      </c>
      <c r="CU1738" s="1" t="s">
        <v>207</v>
      </c>
      <c r="CW1738" s="1" t="s">
        <v>583</v>
      </c>
      <c r="CX1738" s="1" t="s">
        <v>206</v>
      </c>
      <c r="CY1738" s="1" t="s">
        <v>210</v>
      </c>
      <c r="DA1738" s="1" t="s">
        <v>200</v>
      </c>
      <c r="DC1738" s="1" t="s">
        <v>335</v>
      </c>
      <c r="DD1738" s="1" t="s">
        <v>518</v>
      </c>
      <c r="DE1738" s="1" t="s">
        <v>273</v>
      </c>
      <c r="DF1738" s="1" t="s">
        <v>219</v>
      </c>
      <c r="DH1738" s="1" t="s">
        <v>856</v>
      </c>
      <c r="DI1738" s="1" t="s">
        <v>366</v>
      </c>
      <c r="DJ1738" s="1" t="s">
        <v>857</v>
      </c>
      <c r="DL1738" s="1" t="s">
        <v>1161</v>
      </c>
      <c r="DM1738" s="1" t="s">
        <v>229</v>
      </c>
      <c r="DN1738" s="1" t="s">
        <v>399</v>
      </c>
      <c r="DP1738" s="1" t="s">
        <v>340</v>
      </c>
      <c r="DQ1738" s="1" t="s">
        <v>931</v>
      </c>
      <c r="DR1738" s="1" t="s">
        <v>229</v>
      </c>
      <c r="DV1738" s="1" t="s">
        <v>9925</v>
      </c>
      <c r="DW1738" s="1" t="s">
        <v>934</v>
      </c>
      <c r="DX1738" s="1" t="s">
        <v>234</v>
      </c>
      <c r="DY1738" s="1" t="s">
        <v>2803</v>
      </c>
      <c r="DZ1738" s="1" t="s">
        <v>4077</v>
      </c>
      <c r="EA1738" s="1" t="s">
        <v>447</v>
      </c>
      <c r="EC1738" s="1" t="s">
        <v>237</v>
      </c>
      <c r="EG1738" s="1" t="s">
        <v>449</v>
      </c>
      <c r="EH1738" s="1" t="s">
        <v>494</v>
      </c>
      <c r="EI1738" s="1" t="s">
        <v>1824</v>
      </c>
      <c r="EJ1738" s="1" t="s">
        <v>450</v>
      </c>
      <c r="EL1738" s="1" t="s">
        <v>332</v>
      </c>
      <c r="EM1738" s="1" t="s">
        <v>206</v>
      </c>
      <c r="EN1738" s="1" t="s">
        <v>207</v>
      </c>
      <c r="EP1738" s="1" t="s">
        <v>758</v>
      </c>
      <c r="EQ1738" s="1" t="s">
        <v>206</v>
      </c>
      <c r="ER1738" s="1" t="s">
        <v>210</v>
      </c>
      <c r="ET1738" s="1" t="s">
        <v>1534</v>
      </c>
      <c r="EU1738" s="1" t="s">
        <v>1697</v>
      </c>
      <c r="EV1738" s="1" t="s">
        <v>210</v>
      </c>
      <c r="EX1738" s="1" t="s">
        <v>8706</v>
      </c>
      <c r="EY1738" s="1" t="s">
        <v>1697</v>
      </c>
      <c r="EZ1738" s="1" t="s">
        <v>210</v>
      </c>
      <c r="FC1738" s="1" t="s">
        <v>238</v>
      </c>
      <c r="FF1738" s="1" t="s">
        <v>239</v>
      </c>
      <c r="FG1738" s="1" t="s">
        <v>192</v>
      </c>
      <c r="FH1738" s="1" t="s">
        <v>192</v>
      </c>
      <c r="FJ1738" s="1" t="s">
        <v>5764</v>
      </c>
      <c r="FK1738" s="1" t="s">
        <v>229</v>
      </c>
      <c r="FL1738" s="1" t="s">
        <v>1855</v>
      </c>
      <c r="FM1738" s="1">
        <v>41.0</v>
      </c>
      <c r="FN1738" s="1" t="s">
        <v>1856</v>
      </c>
      <c r="FO1738" s="1" t="s">
        <v>1857</v>
      </c>
      <c r="FP1738" s="1">
        <v>8483.0</v>
      </c>
      <c r="FQ1738" s="1" t="s">
        <v>1858</v>
      </c>
      <c r="FS1738" s="1" t="s">
        <v>7114</v>
      </c>
      <c r="FT1738" s="1" t="s">
        <v>1860</v>
      </c>
      <c r="FU1738" s="1" t="s">
        <v>10218</v>
      </c>
      <c r="FV1738" s="1" t="s">
        <v>200</v>
      </c>
      <c r="FW1738" s="1" t="s">
        <v>17116</v>
      </c>
      <c r="FZ1738" s="1" t="s">
        <v>229</v>
      </c>
      <c r="GA1738" s="1" t="s">
        <v>291</v>
      </c>
      <c r="GB1738" s="2">
        <v>41988.0</v>
      </c>
      <c r="GC1738" s="1" t="s">
        <v>17117</v>
      </c>
    </row>
    <row r="1739">
      <c r="A1739" s="1">
        <v>280900.0</v>
      </c>
      <c r="B1739" s="1" t="s">
        <v>185</v>
      </c>
      <c r="C1739" s="1" t="str">
        <f>"08718641"</f>
        <v>08718641</v>
      </c>
      <c r="D1739" s="1" t="s">
        <v>186</v>
      </c>
      <c r="F1739" s="1" t="str">
        <f>"8010"</f>
        <v>8010</v>
      </c>
      <c r="G1739" s="2">
        <v>41886.0</v>
      </c>
      <c r="H1739" s="1">
        <v>350000.0</v>
      </c>
      <c r="I1739" s="1">
        <v>177.0</v>
      </c>
      <c r="J1739" s="1">
        <v>299000.0</v>
      </c>
      <c r="K1739" s="2">
        <v>41936.0</v>
      </c>
      <c r="L1739" s="1">
        <v>51.0</v>
      </c>
      <c r="M1739" s="2">
        <v>41936.0</v>
      </c>
      <c r="N1739" s="1" t="s">
        <v>187</v>
      </c>
      <c r="O1739" s="2">
        <v>41983.0</v>
      </c>
      <c r="P1739" s="1">
        <v>607779.0</v>
      </c>
      <c r="Q1739" s="1">
        <v>23099.0</v>
      </c>
      <c r="S1739" s="1">
        <v>6310.0</v>
      </c>
      <c r="T1739" s="1" t="s">
        <v>17118</v>
      </c>
      <c r="U1739" s="1" t="s">
        <v>189</v>
      </c>
      <c r="V1739" s="1" t="s">
        <v>190</v>
      </c>
      <c r="W1739" s="1">
        <v>60646.0</v>
      </c>
      <c r="Y1739" s="1" t="s">
        <v>17119</v>
      </c>
      <c r="Z1739" s="1">
        <v>1924.0</v>
      </c>
      <c r="AA1739" s="1" t="s">
        <v>192</v>
      </c>
      <c r="AB1739" s="1" t="s">
        <v>193</v>
      </c>
      <c r="AD1739" s="1" t="s">
        <v>194</v>
      </c>
      <c r="AE1739" s="1" t="s">
        <v>195</v>
      </c>
      <c r="AF1739" s="1" t="s">
        <v>196</v>
      </c>
      <c r="AG1739" s="1" t="s">
        <v>752</v>
      </c>
      <c r="AH1739" s="1" t="s">
        <v>17120</v>
      </c>
      <c r="AI1739" s="1">
        <v>0.12</v>
      </c>
      <c r="AK1739" s="1">
        <v>9.0</v>
      </c>
      <c r="AL1739" s="1">
        <v>4.0</v>
      </c>
      <c r="AM1739" s="1">
        <v>2.0</v>
      </c>
      <c r="AN1739" s="1">
        <v>1.0</v>
      </c>
      <c r="AO1739" s="1" t="s">
        <v>229</v>
      </c>
      <c r="AQ1739" s="1" t="s">
        <v>198</v>
      </c>
      <c r="AR1739" s="1" t="s">
        <v>192</v>
      </c>
      <c r="AS1739" s="1" t="s">
        <v>510</v>
      </c>
      <c r="AT1739" s="1">
        <v>1.0</v>
      </c>
      <c r="AU1739" s="1">
        <v>3.0</v>
      </c>
      <c r="AV1739" s="1" t="s">
        <v>200</v>
      </c>
      <c r="AW1739" s="1">
        <v>3813.42</v>
      </c>
      <c r="AX1739" s="1">
        <v>2013.0</v>
      </c>
      <c r="AY1739" s="1" t="s">
        <v>1179</v>
      </c>
      <c r="AZ1739" s="1" t="s">
        <v>200</v>
      </c>
      <c r="BA1739" s="1" t="str">
        <f>"13051220210000"</f>
        <v>13051220210000</v>
      </c>
      <c r="BB1739" s="1" t="s">
        <v>200</v>
      </c>
      <c r="BC1739" s="1">
        <v>0.0</v>
      </c>
      <c r="BD1739" s="1">
        <v>280900.0</v>
      </c>
      <c r="BE1739" s="2">
        <v>41886.0</v>
      </c>
      <c r="BF1739" s="2" t="s">
        <v>17121</v>
      </c>
      <c r="BG1739" s="1" t="s">
        <v>13854</v>
      </c>
      <c r="BH1739" s="1">
        <v>0.0</v>
      </c>
      <c r="BI1739" s="1" t="s">
        <v>13854</v>
      </c>
      <c r="BJ1739" s="1" t="s">
        <v>1222</v>
      </c>
      <c r="BK1739" s="1" t="s">
        <v>204</v>
      </c>
      <c r="BL1739" s="1" t="str">
        <f>"6000"</f>
        <v>6000</v>
      </c>
      <c r="BM1739" s="1" t="str">
        <f>"0"</f>
        <v>0</v>
      </c>
      <c r="BN1739" s="1">
        <v>6310.0</v>
      </c>
      <c r="BO1739" s="1">
        <v>0.0</v>
      </c>
      <c r="BQ1739" s="1">
        <v>299.0</v>
      </c>
      <c r="BR1739" s="1">
        <v>299.0</v>
      </c>
      <c r="BS1739" s="1">
        <v>299.0</v>
      </c>
      <c r="BU1739" s="1" t="s">
        <v>924</v>
      </c>
      <c r="BV1739" s="1" t="s">
        <v>206</v>
      </c>
      <c r="BW1739" s="1" t="s">
        <v>207</v>
      </c>
      <c r="BY1739" s="1" t="s">
        <v>497</v>
      </c>
      <c r="BZ1739" s="1" t="s">
        <v>206</v>
      </c>
      <c r="CA1739" s="1" t="s">
        <v>207</v>
      </c>
      <c r="CB1739" s="1" t="s">
        <v>431</v>
      </c>
      <c r="CC1739" s="1" t="s">
        <v>215</v>
      </c>
      <c r="CD1739" s="1" t="s">
        <v>206</v>
      </c>
      <c r="CE1739" s="1" t="s">
        <v>207</v>
      </c>
      <c r="CG1739" s="1" t="s">
        <v>269</v>
      </c>
      <c r="CH1739" s="1" t="s">
        <v>206</v>
      </c>
      <c r="CI1739" s="1" t="s">
        <v>207</v>
      </c>
      <c r="CJ1739" s="1" t="s">
        <v>431</v>
      </c>
      <c r="CK1739" s="1" t="s">
        <v>1535</v>
      </c>
      <c r="CL1739" s="1" t="s">
        <v>209</v>
      </c>
      <c r="CM1739" s="1" t="s">
        <v>210</v>
      </c>
      <c r="CN1739" s="1" t="s">
        <v>431</v>
      </c>
      <c r="CO1739" s="1" t="s">
        <v>924</v>
      </c>
      <c r="CP1739" s="1" t="s">
        <v>209</v>
      </c>
      <c r="CQ1739" s="1" t="s">
        <v>210</v>
      </c>
      <c r="CR1739" s="1" t="s">
        <v>431</v>
      </c>
      <c r="CS1739" s="1" t="s">
        <v>497</v>
      </c>
      <c r="CT1739" s="1" t="s">
        <v>206</v>
      </c>
      <c r="CU1739" s="1" t="s">
        <v>617</v>
      </c>
      <c r="CV1739" s="1" t="s">
        <v>431</v>
      </c>
      <c r="CX1739" s="1" t="s">
        <v>204</v>
      </c>
      <c r="DA1739" s="1" t="s">
        <v>200</v>
      </c>
      <c r="DC1739" s="1" t="s">
        <v>785</v>
      </c>
      <c r="DE1739" s="1" t="s">
        <v>1905</v>
      </c>
      <c r="DF1739" s="1" t="s">
        <v>787</v>
      </c>
      <c r="DG1739" s="1" t="s">
        <v>337</v>
      </c>
      <c r="DH1739" s="1" t="s">
        <v>365</v>
      </c>
      <c r="DI1739" s="1" t="s">
        <v>6629</v>
      </c>
      <c r="DJ1739" s="1" t="s">
        <v>222</v>
      </c>
      <c r="DL1739" s="1" t="s">
        <v>986</v>
      </c>
      <c r="DM1739" s="1" t="s">
        <v>229</v>
      </c>
      <c r="DO1739" s="1" t="s">
        <v>13521</v>
      </c>
      <c r="DP1739" s="1" t="s">
        <v>340</v>
      </c>
      <c r="DQ1739" s="1" t="s">
        <v>228</v>
      </c>
      <c r="DR1739" s="1" t="s">
        <v>229</v>
      </c>
      <c r="DV1739" s="1" t="s">
        <v>3592</v>
      </c>
      <c r="DW1739" s="1" t="s">
        <v>279</v>
      </c>
      <c r="DX1739" s="1" t="s">
        <v>234</v>
      </c>
      <c r="DY1739" s="1" t="s">
        <v>371</v>
      </c>
      <c r="DZ1739" s="1" t="s">
        <v>446</v>
      </c>
      <c r="EA1739" s="1" t="s">
        <v>644</v>
      </c>
      <c r="EC1739" s="1" t="s">
        <v>237</v>
      </c>
      <c r="ED1739" s="1" t="s">
        <v>407</v>
      </c>
      <c r="EG1739" s="1" t="s">
        <v>450</v>
      </c>
      <c r="EH1739" s="1" t="s">
        <v>598</v>
      </c>
      <c r="EI1739" s="1" t="s">
        <v>408</v>
      </c>
      <c r="EL1739" s="1" t="s">
        <v>2014</v>
      </c>
      <c r="EM1739" s="1" t="s">
        <v>42</v>
      </c>
      <c r="EN1739" s="1" t="s">
        <v>210</v>
      </c>
      <c r="EP1739" s="1" t="s">
        <v>1029</v>
      </c>
      <c r="EQ1739" s="1" t="s">
        <v>206</v>
      </c>
      <c r="ER1739" s="1" t="s">
        <v>207</v>
      </c>
      <c r="ES1739" s="1" t="s">
        <v>431</v>
      </c>
      <c r="ET1739" s="1" t="s">
        <v>2337</v>
      </c>
      <c r="EU1739" s="1" t="s">
        <v>206</v>
      </c>
      <c r="EV1739" s="1" t="s">
        <v>268</v>
      </c>
      <c r="EY1739" s="1" t="s">
        <v>238</v>
      </c>
      <c r="FC1739" s="1" t="s">
        <v>238</v>
      </c>
      <c r="FF1739" s="1" t="s">
        <v>239</v>
      </c>
      <c r="FG1739" s="1" t="s">
        <v>192</v>
      </c>
      <c r="FH1739" s="1" t="s">
        <v>192</v>
      </c>
      <c r="FJ1739" s="1" t="s">
        <v>17122</v>
      </c>
      <c r="FK1739" s="1" t="s">
        <v>557</v>
      </c>
      <c r="FL1739" s="1" t="s">
        <v>456</v>
      </c>
      <c r="FM1739" s="1">
        <v>10013.0</v>
      </c>
      <c r="FN1739" s="1" t="s">
        <v>2428</v>
      </c>
      <c r="FO1739" s="1" t="s">
        <v>17123</v>
      </c>
      <c r="FP1739" s="1">
        <v>176348.0</v>
      </c>
      <c r="FQ1739" s="1" t="s">
        <v>17124</v>
      </c>
      <c r="FU1739" s="1" t="s">
        <v>17125</v>
      </c>
      <c r="FV1739" s="1" t="s">
        <v>200</v>
      </c>
      <c r="FW1739" s="1" t="s">
        <v>530</v>
      </c>
      <c r="FX1739" s="1" t="s">
        <v>246</v>
      </c>
      <c r="FZ1739" s="1" t="s">
        <v>229</v>
      </c>
      <c r="GA1739" s="1" t="s">
        <v>291</v>
      </c>
      <c r="GB1739" s="2">
        <v>41983.0</v>
      </c>
    </row>
    <row r="1740">
      <c r="A1740" s="1">
        <v>175000.0</v>
      </c>
      <c r="B1740" s="1" t="s">
        <v>185</v>
      </c>
      <c r="C1740" s="1" t="str">
        <f>"08707322"</f>
        <v>08707322</v>
      </c>
      <c r="D1740" s="1" t="s">
        <v>186</v>
      </c>
      <c r="F1740" s="1" t="str">
        <f>"8072"</f>
        <v>8072</v>
      </c>
      <c r="G1740" s="2">
        <v>41871.0</v>
      </c>
      <c r="H1740" s="1">
        <v>220000.0</v>
      </c>
      <c r="I1740" s="1">
        <v>167.0</v>
      </c>
      <c r="J1740" s="1">
        <v>185000.0</v>
      </c>
      <c r="K1740" s="2">
        <v>42037.0</v>
      </c>
      <c r="L1740" s="1">
        <v>167.0</v>
      </c>
      <c r="M1740" s="2">
        <v>42037.0</v>
      </c>
      <c r="N1740" s="1" t="s">
        <v>634</v>
      </c>
      <c r="O1740" s="2">
        <v>42116.0</v>
      </c>
      <c r="P1740" s="1">
        <v>600779.0</v>
      </c>
      <c r="Q1740" s="1">
        <v>60035.0</v>
      </c>
      <c r="S1740" s="1">
        <v>10111.0</v>
      </c>
      <c r="T1740" s="1" t="s">
        <v>3619</v>
      </c>
      <c r="U1740" s="1" t="s">
        <v>189</v>
      </c>
      <c r="V1740" s="1" t="s">
        <v>190</v>
      </c>
      <c r="W1740" s="1">
        <v>60655.0</v>
      </c>
      <c r="Y1740" s="1" t="s">
        <v>17126</v>
      </c>
      <c r="Z1740" s="1">
        <v>1943.0</v>
      </c>
      <c r="AA1740" s="1" t="s">
        <v>192</v>
      </c>
      <c r="AB1740" s="1" t="s">
        <v>193</v>
      </c>
      <c r="AD1740" s="1" t="s">
        <v>194</v>
      </c>
      <c r="AE1740" s="1" t="s">
        <v>195</v>
      </c>
      <c r="AF1740" s="1" t="s">
        <v>659</v>
      </c>
      <c r="AH1740" s="1" t="s">
        <v>17127</v>
      </c>
      <c r="AK1740" s="1">
        <v>9.0</v>
      </c>
      <c r="AL1740" s="1">
        <v>4.0</v>
      </c>
      <c r="AM1740" s="1">
        <v>2.0</v>
      </c>
      <c r="AN1740" s="1">
        <v>0.0</v>
      </c>
      <c r="AO1740" s="1" t="s">
        <v>229</v>
      </c>
      <c r="AP1740" s="1">
        <v>1.0</v>
      </c>
      <c r="AQ1740" s="1" t="s">
        <v>198</v>
      </c>
      <c r="AR1740" s="1" t="s">
        <v>200</v>
      </c>
      <c r="AS1740" s="1" t="s">
        <v>828</v>
      </c>
      <c r="AU1740" s="1">
        <v>2.0</v>
      </c>
      <c r="AV1740" s="1" t="s">
        <v>200</v>
      </c>
      <c r="AW1740" s="1">
        <v>3162.47</v>
      </c>
      <c r="AX1740" s="1">
        <v>2013.0</v>
      </c>
      <c r="AY1740" s="1" t="s">
        <v>387</v>
      </c>
      <c r="AZ1740" s="1" t="s">
        <v>200</v>
      </c>
      <c r="BA1740" s="1" t="str">
        <f>"24124220140000"</f>
        <v>24124220140000</v>
      </c>
      <c r="BC1740" s="1">
        <v>1941.0</v>
      </c>
      <c r="BD1740" s="1">
        <v>175000.0</v>
      </c>
      <c r="BE1740" s="2">
        <v>41871.0</v>
      </c>
      <c r="BF1740" s="2" t="s">
        <v>17128</v>
      </c>
      <c r="BH1740" s="1">
        <v>0.0</v>
      </c>
      <c r="BK1740" s="1" t="s">
        <v>204</v>
      </c>
      <c r="BL1740" s="1" t="str">
        <f t="shared" ref="BL1740:BM1740" si="1145">"0"</f>
        <v>0</v>
      </c>
      <c r="BM1740" s="1" t="str">
        <f t="shared" si="1145"/>
        <v>0</v>
      </c>
      <c r="BN1740" s="1">
        <v>2632.0</v>
      </c>
      <c r="BO1740" s="1">
        <v>10111.0</v>
      </c>
      <c r="BQ1740" s="1">
        <v>299.0</v>
      </c>
      <c r="BR1740" s="1">
        <v>299.0</v>
      </c>
      <c r="BS1740" s="1">
        <v>299.0</v>
      </c>
      <c r="BU1740" s="1" t="s">
        <v>475</v>
      </c>
      <c r="BV1740" s="1" t="s">
        <v>206</v>
      </c>
      <c r="BW1740" s="1" t="s">
        <v>207</v>
      </c>
      <c r="BY1740" s="1" t="s">
        <v>393</v>
      </c>
      <c r="BZ1740" s="1" t="s">
        <v>209</v>
      </c>
      <c r="CA1740" s="1" t="s">
        <v>210</v>
      </c>
      <c r="CB1740" s="1" t="s">
        <v>239</v>
      </c>
      <c r="CC1740" s="1" t="s">
        <v>729</v>
      </c>
      <c r="CD1740" s="1" t="s">
        <v>206</v>
      </c>
      <c r="CE1740" s="1" t="s">
        <v>207</v>
      </c>
      <c r="CG1740" s="1" t="s">
        <v>647</v>
      </c>
      <c r="CH1740" s="1" t="s">
        <v>209</v>
      </c>
      <c r="CI1740" s="1" t="s">
        <v>207</v>
      </c>
      <c r="CJ1740" s="1" t="s">
        <v>239</v>
      </c>
      <c r="CK1740" s="1" t="s">
        <v>1760</v>
      </c>
      <c r="CL1740" s="1" t="s">
        <v>209</v>
      </c>
      <c r="CM1740" s="1" t="s">
        <v>207</v>
      </c>
      <c r="CN1740" s="1" t="s">
        <v>239</v>
      </c>
      <c r="CO1740" s="1" t="s">
        <v>1351</v>
      </c>
      <c r="CP1740" s="1" t="s">
        <v>206</v>
      </c>
      <c r="CQ1740" s="1" t="s">
        <v>1790</v>
      </c>
      <c r="CR1740" s="1" t="s">
        <v>239</v>
      </c>
      <c r="CS1740" s="1" t="s">
        <v>5640</v>
      </c>
      <c r="CT1740" s="1" t="s">
        <v>206</v>
      </c>
      <c r="CU1740" s="1" t="s">
        <v>207</v>
      </c>
      <c r="CW1740" s="1" t="s">
        <v>854</v>
      </c>
      <c r="CX1740" s="1" t="s">
        <v>206</v>
      </c>
      <c r="CY1740" s="1" t="s">
        <v>210</v>
      </c>
      <c r="DA1740" s="1" t="s">
        <v>200</v>
      </c>
      <c r="DC1740" s="1" t="s">
        <v>1399</v>
      </c>
      <c r="DD1740" s="1" t="s">
        <v>306</v>
      </c>
      <c r="DE1740" s="1" t="s">
        <v>273</v>
      </c>
      <c r="DF1740" s="1" t="s">
        <v>219</v>
      </c>
      <c r="DH1740" s="1" t="s">
        <v>307</v>
      </c>
      <c r="DI1740" s="1" t="s">
        <v>8120</v>
      </c>
      <c r="DJ1740" s="1" t="s">
        <v>222</v>
      </c>
      <c r="DL1740" s="1" t="s">
        <v>858</v>
      </c>
      <c r="DM1740" s="1" t="s">
        <v>225</v>
      </c>
      <c r="DP1740" s="1" t="s">
        <v>340</v>
      </c>
      <c r="DQ1740" s="1" t="s">
        <v>794</v>
      </c>
      <c r="DR1740" s="1" t="s">
        <v>229</v>
      </c>
      <c r="DS1740" s="1" t="s">
        <v>230</v>
      </c>
      <c r="DV1740" s="1" t="s">
        <v>450</v>
      </c>
      <c r="DW1740" s="1" t="s">
        <v>279</v>
      </c>
      <c r="DX1740" s="1" t="s">
        <v>1287</v>
      </c>
      <c r="DY1740" s="1" t="s">
        <v>2423</v>
      </c>
      <c r="EA1740" s="1" t="s">
        <v>3308</v>
      </c>
      <c r="EC1740" s="1" t="s">
        <v>237</v>
      </c>
      <c r="EF1740" s="1" t="s">
        <v>523</v>
      </c>
      <c r="EG1740" s="1" t="s">
        <v>450</v>
      </c>
      <c r="EL1740" s="1" t="s">
        <v>475</v>
      </c>
      <c r="EM1740" s="1" t="s">
        <v>42</v>
      </c>
      <c r="EN1740" s="1" t="s">
        <v>617</v>
      </c>
      <c r="EQ1740" s="1" t="s">
        <v>238</v>
      </c>
      <c r="EU1740" s="1" t="s">
        <v>238</v>
      </c>
      <c r="EY1740" s="1" t="s">
        <v>238</v>
      </c>
      <c r="FC1740" s="1" t="s">
        <v>238</v>
      </c>
      <c r="FF1740" s="1" t="s">
        <v>239</v>
      </c>
      <c r="FG1740" s="1" t="s">
        <v>192</v>
      </c>
      <c r="FH1740" s="1" t="s">
        <v>192</v>
      </c>
      <c r="FJ1740" s="1" t="s">
        <v>498</v>
      </c>
      <c r="FK1740" s="1" t="s">
        <v>11327</v>
      </c>
      <c r="FL1740" s="1" t="s">
        <v>4804</v>
      </c>
      <c r="FM1740" s="1">
        <v>60035.0</v>
      </c>
      <c r="FN1740" s="1" t="s">
        <v>4805</v>
      </c>
      <c r="FO1740" s="1" t="s">
        <v>16004</v>
      </c>
      <c r="FP1740" s="1">
        <v>601752.0</v>
      </c>
      <c r="FQ1740" s="1" t="s">
        <v>16005</v>
      </c>
      <c r="FU1740" s="1" t="s">
        <v>16006</v>
      </c>
      <c r="FV1740" s="1" t="s">
        <v>200</v>
      </c>
      <c r="FW1740" s="1" t="s">
        <v>567</v>
      </c>
      <c r="FX1740" s="1" t="s">
        <v>655</v>
      </c>
      <c r="FZ1740" s="1" t="s">
        <v>229</v>
      </c>
      <c r="GA1740" s="1" t="s">
        <v>291</v>
      </c>
      <c r="GB1740" s="2">
        <v>42116.0</v>
      </c>
      <c r="GC1740" s="1" t="s">
        <v>17129</v>
      </c>
    </row>
    <row r="1741">
      <c r="A1741" s="1">
        <v>200000.0</v>
      </c>
      <c r="B1741" s="1" t="s">
        <v>185</v>
      </c>
      <c r="C1741" s="1" t="str">
        <f>"08708832"</f>
        <v>08708832</v>
      </c>
      <c r="D1741" s="1" t="s">
        <v>186</v>
      </c>
      <c r="F1741" s="1" t="str">
        <f>"110"</f>
        <v>110</v>
      </c>
      <c r="G1741" s="2">
        <v>41873.0</v>
      </c>
      <c r="H1741" s="1">
        <v>249900.0</v>
      </c>
      <c r="I1741" s="1">
        <v>117.0</v>
      </c>
      <c r="J1741" s="1">
        <v>199900.0</v>
      </c>
      <c r="K1741" s="2">
        <v>41988.0</v>
      </c>
      <c r="L1741" s="1">
        <v>117.0</v>
      </c>
      <c r="M1741" s="2">
        <v>41988.0</v>
      </c>
      <c r="N1741" s="1" t="s">
        <v>187</v>
      </c>
      <c r="O1741" s="2">
        <v>42020.0</v>
      </c>
      <c r="P1741" s="1">
        <v>84713.0</v>
      </c>
      <c r="Q1741" s="1">
        <v>1109.0</v>
      </c>
      <c r="S1741" s="1">
        <v>6835.0</v>
      </c>
      <c r="T1741" s="1" t="s">
        <v>17130</v>
      </c>
      <c r="U1741" s="1" t="s">
        <v>464</v>
      </c>
      <c r="V1741" s="1" t="s">
        <v>807</v>
      </c>
      <c r="W1741" s="1">
        <v>60110.0</v>
      </c>
      <c r="Y1741" s="1" t="s">
        <v>17131</v>
      </c>
      <c r="Z1741" s="1">
        <v>1998.0</v>
      </c>
      <c r="AA1741" s="1" t="s">
        <v>200</v>
      </c>
      <c r="AB1741" s="1" t="s">
        <v>467</v>
      </c>
      <c r="AC1741" s="1" t="s">
        <v>17132</v>
      </c>
      <c r="AD1741" s="1" t="s">
        <v>809</v>
      </c>
      <c r="AE1741" s="1" t="s">
        <v>325</v>
      </c>
      <c r="AF1741" s="1" t="s">
        <v>810</v>
      </c>
      <c r="AH1741" s="1">
        <v>8712.0</v>
      </c>
      <c r="AK1741" s="1">
        <v>9.0</v>
      </c>
      <c r="AL1741" s="1">
        <v>4.0</v>
      </c>
      <c r="AM1741" s="1">
        <v>2.0</v>
      </c>
      <c r="AN1741" s="1">
        <v>1.0</v>
      </c>
      <c r="AO1741" s="1" t="s">
        <v>198</v>
      </c>
      <c r="AQ1741" s="1" t="s">
        <v>198</v>
      </c>
      <c r="AR1741" s="1" t="s">
        <v>200</v>
      </c>
      <c r="AS1741" s="1" t="s">
        <v>199</v>
      </c>
      <c r="AT1741" s="1">
        <v>2.0</v>
      </c>
      <c r="AV1741" s="1" t="s">
        <v>200</v>
      </c>
      <c r="AW1741" s="1">
        <v>6427.78</v>
      </c>
      <c r="AX1741" s="1">
        <v>2013.0</v>
      </c>
      <c r="AZ1741" s="1" t="s">
        <v>200</v>
      </c>
      <c r="BA1741" s="1" t="str">
        <f>"0308328041"</f>
        <v>0308328041</v>
      </c>
      <c r="BC1741" s="1">
        <v>2100.0</v>
      </c>
      <c r="BD1741" s="1">
        <v>200000.0</v>
      </c>
      <c r="BE1741" s="2">
        <v>41872.0</v>
      </c>
      <c r="BF1741" s="2" t="s">
        <v>17133</v>
      </c>
      <c r="BH1741" s="1">
        <v>177.0</v>
      </c>
      <c r="BK1741" s="1" t="s">
        <v>580</v>
      </c>
      <c r="BL1741" s="1" t="str">
        <f t="shared" ref="BL1741:BM1741" si="1146">""</f>
        <v/>
      </c>
      <c r="BM1741" s="1" t="str">
        <f t="shared" si="1146"/>
        <v/>
      </c>
      <c r="BQ1741" s="1">
        <v>300.0</v>
      </c>
      <c r="BR1741" s="1">
        <v>300.0</v>
      </c>
      <c r="BS1741" s="1">
        <v>300.0</v>
      </c>
      <c r="BU1741" s="1" t="s">
        <v>215</v>
      </c>
      <c r="BV1741" s="1" t="s">
        <v>206</v>
      </c>
      <c r="BY1741" s="1" t="s">
        <v>1426</v>
      </c>
      <c r="BZ1741" s="1" t="s">
        <v>209</v>
      </c>
      <c r="CC1741" s="1" t="s">
        <v>215</v>
      </c>
      <c r="CD1741" s="1" t="s">
        <v>206</v>
      </c>
      <c r="CG1741" s="1" t="s">
        <v>699</v>
      </c>
      <c r="CH1741" s="1" t="s">
        <v>209</v>
      </c>
      <c r="CK1741" s="1" t="s">
        <v>495</v>
      </c>
      <c r="CL1741" s="1" t="s">
        <v>209</v>
      </c>
      <c r="CO1741" s="1" t="s">
        <v>495</v>
      </c>
      <c r="CP1741" s="1" t="s">
        <v>209</v>
      </c>
      <c r="CS1741" s="1" t="s">
        <v>1352</v>
      </c>
      <c r="CT1741" s="1" t="s">
        <v>206</v>
      </c>
      <c r="CW1741" s="1" t="s">
        <v>333</v>
      </c>
      <c r="CX1741" s="1" t="s">
        <v>206</v>
      </c>
      <c r="DA1741" s="1" t="s">
        <v>200</v>
      </c>
      <c r="DC1741" s="1" t="s">
        <v>678</v>
      </c>
      <c r="DD1741" s="1" t="s">
        <v>272</v>
      </c>
      <c r="DE1741" s="1" t="s">
        <v>273</v>
      </c>
      <c r="DF1741" s="1" t="s">
        <v>219</v>
      </c>
      <c r="DH1741" s="1" t="s">
        <v>220</v>
      </c>
      <c r="DJ1741" s="1" t="s">
        <v>222</v>
      </c>
      <c r="DL1741" s="1" t="s">
        <v>223</v>
      </c>
      <c r="DM1741" s="1" t="s">
        <v>229</v>
      </c>
      <c r="DP1741" s="1" t="s">
        <v>340</v>
      </c>
      <c r="DQ1741" s="1" t="s">
        <v>228</v>
      </c>
      <c r="DR1741" s="1" t="s">
        <v>588</v>
      </c>
      <c r="DV1741" s="1" t="s">
        <v>449</v>
      </c>
      <c r="DW1741" s="1" t="s">
        <v>233</v>
      </c>
      <c r="DX1741" s="1" t="s">
        <v>234</v>
      </c>
      <c r="EA1741" s="1" t="s">
        <v>344</v>
      </c>
      <c r="EC1741" s="1" t="s">
        <v>237</v>
      </c>
      <c r="EG1741" s="1" t="s">
        <v>449</v>
      </c>
      <c r="EL1741" s="1" t="s">
        <v>264</v>
      </c>
      <c r="EM1741" s="1" t="s">
        <v>206</v>
      </c>
      <c r="EQ1741" s="1" t="s">
        <v>238</v>
      </c>
      <c r="EU1741" s="1" t="s">
        <v>238</v>
      </c>
      <c r="EY1741" s="1" t="s">
        <v>238</v>
      </c>
      <c r="FC1741" s="1" t="s">
        <v>238</v>
      </c>
      <c r="FF1741" s="1" t="s">
        <v>239</v>
      </c>
      <c r="FG1741" s="1" t="s">
        <v>192</v>
      </c>
      <c r="FH1741" s="1" t="s">
        <v>192</v>
      </c>
      <c r="FJ1741" s="1" t="s">
        <v>770</v>
      </c>
      <c r="FK1741" s="1" t="s">
        <v>229</v>
      </c>
      <c r="FL1741" s="1" t="s">
        <v>1383</v>
      </c>
      <c r="FM1741" s="1">
        <v>24370.0</v>
      </c>
      <c r="FN1741" s="1" t="s">
        <v>1384</v>
      </c>
      <c r="FO1741" s="1" t="s">
        <v>1385</v>
      </c>
      <c r="FP1741" s="1">
        <v>244997.0</v>
      </c>
      <c r="FQ1741" s="1" t="s">
        <v>1386</v>
      </c>
      <c r="FR1741" s="1">
        <v>259338.0</v>
      </c>
      <c r="FS1741" s="1" t="s">
        <v>17134</v>
      </c>
      <c r="FU1741" s="1" t="s">
        <v>17135</v>
      </c>
      <c r="FV1741" s="1" t="s">
        <v>200</v>
      </c>
      <c r="FW1741" s="1" t="s">
        <v>290</v>
      </c>
      <c r="FZ1741" s="1" t="s">
        <v>229</v>
      </c>
      <c r="GA1741" s="1" t="s">
        <v>291</v>
      </c>
      <c r="GB1741" s="2">
        <v>42020.0</v>
      </c>
      <c r="GC1741" s="1" t="s">
        <v>17136</v>
      </c>
    </row>
    <row r="1742">
      <c r="A1742" s="1">
        <v>184000.0</v>
      </c>
      <c r="B1742" s="1" t="s">
        <v>185</v>
      </c>
      <c r="C1742" s="1" t="str">
        <f>"08729348"</f>
        <v>08729348</v>
      </c>
      <c r="D1742" s="1" t="s">
        <v>186</v>
      </c>
      <c r="F1742" s="1" t="str">
        <f>"174"</f>
        <v>174</v>
      </c>
      <c r="G1742" s="2">
        <v>41898.0</v>
      </c>
      <c r="H1742" s="1">
        <v>210000.0</v>
      </c>
      <c r="I1742" s="1">
        <v>143.0</v>
      </c>
      <c r="J1742" s="1">
        <v>181000.0</v>
      </c>
      <c r="K1742" s="2">
        <v>42039.0</v>
      </c>
      <c r="L1742" s="1">
        <v>143.0</v>
      </c>
      <c r="M1742" s="2">
        <v>42039.0</v>
      </c>
      <c r="N1742" s="1" t="s">
        <v>187</v>
      </c>
      <c r="O1742" s="2">
        <v>42083.0</v>
      </c>
      <c r="P1742" s="1">
        <v>55897.0</v>
      </c>
      <c r="Q1742" s="1">
        <v>5093.0</v>
      </c>
      <c r="S1742" s="1">
        <v>1805.0</v>
      </c>
      <c r="T1742" s="1" t="s">
        <v>17137</v>
      </c>
      <c r="U1742" s="1" t="s">
        <v>189</v>
      </c>
      <c r="V1742" s="1" t="s">
        <v>1200</v>
      </c>
      <c r="W1742" s="1">
        <v>60174.0</v>
      </c>
      <c r="Y1742" s="1" t="s">
        <v>17138</v>
      </c>
      <c r="Z1742" s="1">
        <v>1986.0</v>
      </c>
      <c r="AA1742" s="1" t="s">
        <v>200</v>
      </c>
      <c r="AB1742" s="1" t="s">
        <v>193</v>
      </c>
      <c r="AD1742" s="1" t="s">
        <v>1203</v>
      </c>
      <c r="AE1742" s="1" t="s">
        <v>325</v>
      </c>
      <c r="AF1742" s="1" t="s">
        <v>1203</v>
      </c>
      <c r="AH1742" s="1" t="s">
        <v>17139</v>
      </c>
      <c r="AK1742" s="1">
        <v>8.0</v>
      </c>
      <c r="AL1742" s="1">
        <v>4.0</v>
      </c>
      <c r="AM1742" s="1">
        <v>2.0</v>
      </c>
      <c r="AN1742" s="1">
        <v>0.0</v>
      </c>
      <c r="AO1742" s="1" t="s">
        <v>1261</v>
      </c>
      <c r="AQ1742" s="1" t="s">
        <v>257</v>
      </c>
      <c r="AR1742" s="1" t="s">
        <v>192</v>
      </c>
      <c r="AS1742" s="1" t="s">
        <v>510</v>
      </c>
      <c r="AT1742" s="1">
        <v>2.0</v>
      </c>
      <c r="AU1742" s="1">
        <v>4.0</v>
      </c>
      <c r="AV1742" s="1" t="s">
        <v>200</v>
      </c>
      <c r="AW1742" s="1">
        <v>6295.0</v>
      </c>
      <c r="AX1742" s="1">
        <v>2012.0</v>
      </c>
      <c r="AY1742" s="1" t="s">
        <v>229</v>
      </c>
      <c r="AZ1742" s="1" t="s">
        <v>200</v>
      </c>
      <c r="BA1742" s="1" t="str">
        <f>"0935408009"</f>
        <v>0935408009</v>
      </c>
      <c r="BB1742" s="1" t="s">
        <v>200</v>
      </c>
      <c r="BC1742" s="1">
        <v>2018.0</v>
      </c>
      <c r="BD1742" s="1">
        <v>184000.0</v>
      </c>
      <c r="BE1742" s="2">
        <v>41897.0</v>
      </c>
      <c r="BF1742" s="2" t="s">
        <v>17140</v>
      </c>
      <c r="BH1742" s="1">
        <v>0.0</v>
      </c>
      <c r="BJ1742" s="1" t="s">
        <v>2144</v>
      </c>
      <c r="BK1742" s="1" t="s">
        <v>204</v>
      </c>
      <c r="BL1742" s="1" t="str">
        <f t="shared" ref="BL1742:BM1742" si="1147">""</f>
        <v/>
      </c>
      <c r="BM1742" s="1" t="str">
        <f t="shared" si="1147"/>
        <v/>
      </c>
      <c r="BQ1742" s="1">
        <v>303.0</v>
      </c>
      <c r="BR1742" s="1">
        <v>303.0</v>
      </c>
      <c r="BS1742" s="1">
        <v>303.0</v>
      </c>
      <c r="BU1742" s="1" t="s">
        <v>784</v>
      </c>
      <c r="BV1742" s="1" t="s">
        <v>206</v>
      </c>
      <c r="BW1742" s="1" t="s">
        <v>210</v>
      </c>
      <c r="BY1742" s="1" t="s">
        <v>729</v>
      </c>
      <c r="BZ1742" s="1" t="s">
        <v>206</v>
      </c>
      <c r="CA1742" s="1" t="s">
        <v>210</v>
      </c>
      <c r="CC1742" s="1" t="s">
        <v>647</v>
      </c>
      <c r="CD1742" s="1" t="s">
        <v>206</v>
      </c>
      <c r="CE1742" s="1" t="s">
        <v>210</v>
      </c>
      <c r="CG1742" s="1" t="s">
        <v>940</v>
      </c>
      <c r="CH1742" s="1" t="s">
        <v>206</v>
      </c>
      <c r="CI1742" s="1" t="s">
        <v>210</v>
      </c>
      <c r="CK1742" s="1" t="s">
        <v>433</v>
      </c>
      <c r="CL1742" s="1" t="s">
        <v>267</v>
      </c>
      <c r="CM1742" s="1" t="s">
        <v>210</v>
      </c>
      <c r="CO1742" s="1" t="s">
        <v>262</v>
      </c>
      <c r="CP1742" s="1" t="s">
        <v>267</v>
      </c>
      <c r="CQ1742" s="1" t="s">
        <v>210</v>
      </c>
      <c r="CS1742" s="1" t="s">
        <v>497</v>
      </c>
      <c r="CT1742" s="1" t="s">
        <v>206</v>
      </c>
      <c r="CW1742" s="1" t="s">
        <v>1279</v>
      </c>
      <c r="CX1742" s="1" t="s">
        <v>267</v>
      </c>
      <c r="CY1742" s="1" t="s">
        <v>210</v>
      </c>
      <c r="DA1742" s="1" t="s">
        <v>200</v>
      </c>
      <c r="DC1742" s="1" t="s">
        <v>305</v>
      </c>
      <c r="DD1742" s="1" t="s">
        <v>518</v>
      </c>
      <c r="DE1742" s="1" t="s">
        <v>273</v>
      </c>
      <c r="DF1742" s="1" t="s">
        <v>219</v>
      </c>
      <c r="DG1742" s="1" t="s">
        <v>337</v>
      </c>
      <c r="DH1742" s="1" t="s">
        <v>220</v>
      </c>
      <c r="DI1742" s="1" t="s">
        <v>680</v>
      </c>
      <c r="DJ1742" s="1" t="s">
        <v>222</v>
      </c>
      <c r="DL1742" s="1" t="s">
        <v>224</v>
      </c>
      <c r="DM1742" s="1" t="s">
        <v>1919</v>
      </c>
      <c r="DO1742" s="1" t="s">
        <v>549</v>
      </c>
      <c r="DQ1742" s="1" t="s">
        <v>228</v>
      </c>
      <c r="DR1742" s="1" t="s">
        <v>229</v>
      </c>
      <c r="DU1742" s="1" t="s">
        <v>1840</v>
      </c>
      <c r="DV1742" s="1" t="s">
        <v>17141</v>
      </c>
      <c r="DW1742" s="1" t="s">
        <v>370</v>
      </c>
      <c r="DX1742" s="1" t="s">
        <v>234</v>
      </c>
      <c r="DY1742" s="1" t="s">
        <v>1371</v>
      </c>
      <c r="DZ1742" s="1" t="s">
        <v>310</v>
      </c>
      <c r="EC1742" s="1" t="s">
        <v>284</v>
      </c>
      <c r="ED1742" s="1" t="s">
        <v>555</v>
      </c>
      <c r="EF1742" s="1" t="s">
        <v>7505</v>
      </c>
      <c r="EG1742" s="1" t="s">
        <v>408</v>
      </c>
      <c r="EH1742" s="1" t="s">
        <v>1270</v>
      </c>
      <c r="EL1742" s="1" t="s">
        <v>1874</v>
      </c>
      <c r="EM1742" s="1" t="s">
        <v>206</v>
      </c>
      <c r="EP1742" s="1" t="s">
        <v>265</v>
      </c>
      <c r="EQ1742" s="1" t="s">
        <v>267</v>
      </c>
      <c r="EU1742" s="1" t="s">
        <v>238</v>
      </c>
      <c r="EY1742" s="1" t="s">
        <v>238</v>
      </c>
      <c r="FC1742" s="1" t="s">
        <v>238</v>
      </c>
      <c r="FF1742" s="1" t="s">
        <v>239</v>
      </c>
      <c r="FG1742" s="1" t="s">
        <v>192</v>
      </c>
      <c r="FH1742" s="1" t="s">
        <v>192</v>
      </c>
      <c r="FJ1742" s="1" t="s">
        <v>4404</v>
      </c>
      <c r="FK1742" s="1" t="s">
        <v>348</v>
      </c>
      <c r="FL1742" s="1" t="s">
        <v>11800</v>
      </c>
      <c r="FM1742" s="1">
        <v>25769.0</v>
      </c>
      <c r="FN1742" s="1" t="s">
        <v>11801</v>
      </c>
      <c r="FO1742" s="1" t="s">
        <v>17142</v>
      </c>
      <c r="FP1742" s="1">
        <v>242794.0</v>
      </c>
      <c r="FQ1742" s="1" t="s">
        <v>17143</v>
      </c>
      <c r="FS1742" s="1" t="s">
        <v>17144</v>
      </c>
      <c r="FU1742" s="1" t="s">
        <v>4897</v>
      </c>
      <c r="FV1742" s="1" t="s">
        <v>200</v>
      </c>
      <c r="FW1742" s="1" t="s">
        <v>631</v>
      </c>
      <c r="FZ1742" s="1" t="s">
        <v>229</v>
      </c>
      <c r="GA1742" s="1" t="s">
        <v>291</v>
      </c>
      <c r="GB1742" s="2">
        <v>42083.0</v>
      </c>
      <c r="GC1742" s="1" t="s">
        <v>17145</v>
      </c>
    </row>
    <row r="1743">
      <c r="A1743" s="1">
        <v>296500.0</v>
      </c>
      <c r="B1743" s="1" t="s">
        <v>185</v>
      </c>
      <c r="C1743" s="1" t="str">
        <f>"08716376"</f>
        <v>08716376</v>
      </c>
      <c r="D1743" s="1" t="s">
        <v>186</v>
      </c>
      <c r="F1743" s="1" t="str">
        <f>"135"</f>
        <v>135</v>
      </c>
      <c r="G1743" s="2">
        <v>41884.0</v>
      </c>
      <c r="H1743" s="1">
        <v>299999.0</v>
      </c>
      <c r="I1743" s="1">
        <v>556.0</v>
      </c>
      <c r="J1743" s="1">
        <v>299999.0</v>
      </c>
      <c r="K1743" s="2">
        <v>42055.0</v>
      </c>
      <c r="L1743" s="1">
        <v>172.0</v>
      </c>
      <c r="M1743" s="2">
        <v>42055.0</v>
      </c>
      <c r="N1743" s="1" t="s">
        <v>187</v>
      </c>
      <c r="O1743" s="2">
        <v>42116.0</v>
      </c>
      <c r="P1743" s="1">
        <v>237448.0</v>
      </c>
      <c r="Q1743" s="1">
        <v>24811.0</v>
      </c>
      <c r="S1743" s="1">
        <v>1008.0</v>
      </c>
      <c r="T1743" s="1" t="s">
        <v>17146</v>
      </c>
      <c r="U1743" s="1" t="s">
        <v>1174</v>
      </c>
      <c r="V1743" s="1" t="s">
        <v>10122</v>
      </c>
      <c r="W1743" s="1">
        <v>60135.0</v>
      </c>
      <c r="Y1743" s="1" t="s">
        <v>17147</v>
      </c>
      <c r="Z1743" s="1">
        <v>2005.0</v>
      </c>
      <c r="AA1743" s="1" t="s">
        <v>200</v>
      </c>
      <c r="AB1743" s="1" t="s">
        <v>193</v>
      </c>
      <c r="AC1743" s="1" t="s">
        <v>17148</v>
      </c>
      <c r="AD1743" s="1" t="s">
        <v>10124</v>
      </c>
      <c r="AE1743" s="1" t="s">
        <v>613</v>
      </c>
      <c r="AF1743" s="1" t="s">
        <v>10124</v>
      </c>
      <c r="AG1743" s="1" t="s">
        <v>4668</v>
      </c>
      <c r="AH1743" s="1" t="s">
        <v>17149</v>
      </c>
      <c r="AI1743" s="1">
        <v>0.69</v>
      </c>
      <c r="AK1743" s="1">
        <v>9.0</v>
      </c>
      <c r="AL1743" s="1">
        <v>4.0</v>
      </c>
      <c r="AM1743" s="1">
        <v>2.0</v>
      </c>
      <c r="AN1743" s="1">
        <v>1.0</v>
      </c>
      <c r="AO1743" s="1" t="s">
        <v>198</v>
      </c>
      <c r="AP1743" s="1">
        <v>1.0</v>
      </c>
      <c r="AQ1743" s="1" t="s">
        <v>198</v>
      </c>
      <c r="AR1743" s="1" t="s">
        <v>200</v>
      </c>
      <c r="AS1743" s="1" t="s">
        <v>199</v>
      </c>
      <c r="AT1743" s="1">
        <v>3.0</v>
      </c>
      <c r="AV1743" s="1" t="s">
        <v>200</v>
      </c>
      <c r="AW1743" s="1">
        <v>8549.02</v>
      </c>
      <c r="AX1743" s="1">
        <v>2013.0</v>
      </c>
      <c r="AY1743" s="1" t="s">
        <v>387</v>
      </c>
      <c r="AZ1743" s="1" t="s">
        <v>200</v>
      </c>
      <c r="BA1743" s="1" t="str">
        <f>"0331102005"</f>
        <v>0331102005</v>
      </c>
      <c r="BB1743" s="1" t="s">
        <v>200</v>
      </c>
      <c r="BC1743" s="1">
        <v>3200.0</v>
      </c>
      <c r="BD1743" s="1">
        <v>296500.0</v>
      </c>
      <c r="BE1743" s="2">
        <v>41884.0</v>
      </c>
      <c r="BF1743" s="2" t="s">
        <v>17150</v>
      </c>
      <c r="BH1743" s="1">
        <v>0.0</v>
      </c>
      <c r="BK1743" s="1" t="s">
        <v>204</v>
      </c>
      <c r="BL1743" s="1" t="str">
        <f t="shared" ref="BL1743:BM1743" si="1148">"0"</f>
        <v>0</v>
      </c>
      <c r="BM1743" s="1" t="str">
        <f t="shared" si="1148"/>
        <v>0</v>
      </c>
      <c r="BN1743" s="1">
        <v>0.0</v>
      </c>
      <c r="BO1743" s="1">
        <v>0.0</v>
      </c>
      <c r="BQ1743" s="1">
        <v>424.0</v>
      </c>
      <c r="BR1743" s="1">
        <v>424.0</v>
      </c>
      <c r="BS1743" s="1">
        <v>424.0</v>
      </c>
      <c r="BU1743" s="1" t="s">
        <v>393</v>
      </c>
      <c r="BV1743" s="1" t="s">
        <v>206</v>
      </c>
      <c r="BW1743" s="1" t="s">
        <v>207</v>
      </c>
      <c r="BX1743" s="1" t="s">
        <v>229</v>
      </c>
      <c r="BY1743" s="1" t="s">
        <v>662</v>
      </c>
      <c r="BZ1743" s="1" t="s">
        <v>209</v>
      </c>
      <c r="CA1743" s="1" t="s">
        <v>210</v>
      </c>
      <c r="CB1743" s="1" t="s">
        <v>229</v>
      </c>
      <c r="CC1743" s="1" t="s">
        <v>300</v>
      </c>
      <c r="CD1743" s="1" t="s">
        <v>206</v>
      </c>
      <c r="CE1743" s="1" t="s">
        <v>207</v>
      </c>
      <c r="CF1743" s="1" t="s">
        <v>229</v>
      </c>
      <c r="CG1743" s="1" t="s">
        <v>478</v>
      </c>
      <c r="CH1743" s="1" t="s">
        <v>209</v>
      </c>
      <c r="CI1743" s="1" t="s">
        <v>210</v>
      </c>
      <c r="CJ1743" s="1" t="s">
        <v>229</v>
      </c>
      <c r="CK1743" s="1" t="s">
        <v>215</v>
      </c>
      <c r="CL1743" s="1" t="s">
        <v>209</v>
      </c>
      <c r="CM1743" s="1" t="s">
        <v>210</v>
      </c>
      <c r="CN1743" s="1" t="s">
        <v>229</v>
      </c>
      <c r="CO1743" s="1" t="s">
        <v>2082</v>
      </c>
      <c r="CP1743" s="1" t="s">
        <v>209</v>
      </c>
      <c r="CQ1743" s="1" t="s">
        <v>210</v>
      </c>
      <c r="CR1743" s="1" t="s">
        <v>229</v>
      </c>
      <c r="CS1743" s="1" t="s">
        <v>854</v>
      </c>
      <c r="CT1743" s="1" t="s">
        <v>206</v>
      </c>
      <c r="CU1743" s="1" t="s">
        <v>268</v>
      </c>
      <c r="CV1743" s="1" t="s">
        <v>229</v>
      </c>
      <c r="CW1743" s="1" t="s">
        <v>854</v>
      </c>
      <c r="CX1743" s="1" t="s">
        <v>206</v>
      </c>
      <c r="CY1743" s="1" t="s">
        <v>207</v>
      </c>
      <c r="DA1743" s="1" t="s">
        <v>200</v>
      </c>
      <c r="DC1743" s="1" t="s">
        <v>481</v>
      </c>
      <c r="DD1743" s="1" t="s">
        <v>336</v>
      </c>
      <c r="DE1743" s="1" t="s">
        <v>273</v>
      </c>
      <c r="DF1743" s="1" t="s">
        <v>219</v>
      </c>
      <c r="DG1743" s="1" t="s">
        <v>3833</v>
      </c>
      <c r="DH1743" s="1" t="s">
        <v>220</v>
      </c>
      <c r="DI1743" s="1" t="s">
        <v>17151</v>
      </c>
      <c r="DJ1743" s="1" t="s">
        <v>1048</v>
      </c>
      <c r="DK1743" s="1" t="s">
        <v>223</v>
      </c>
      <c r="DL1743" s="1" t="s">
        <v>223</v>
      </c>
      <c r="DM1743" s="1" t="s">
        <v>338</v>
      </c>
      <c r="DN1743" s="1" t="s">
        <v>399</v>
      </c>
      <c r="DO1743" s="1" t="s">
        <v>859</v>
      </c>
      <c r="DP1743" s="1" t="s">
        <v>340</v>
      </c>
      <c r="DQ1743" s="1" t="s">
        <v>1557</v>
      </c>
      <c r="DR1743" s="1" t="s">
        <v>229</v>
      </c>
      <c r="DU1743" s="1" t="s">
        <v>3021</v>
      </c>
      <c r="DV1743" s="1" t="s">
        <v>17152</v>
      </c>
      <c r="DW1743" s="1" t="s">
        <v>3142</v>
      </c>
      <c r="DX1743" s="1" t="s">
        <v>234</v>
      </c>
      <c r="DY1743" s="1" t="s">
        <v>1936</v>
      </c>
      <c r="DZ1743" s="1" t="s">
        <v>1854</v>
      </c>
      <c r="EB1743" s="1" t="s">
        <v>684</v>
      </c>
      <c r="EC1743" s="1" t="s">
        <v>237</v>
      </c>
      <c r="ED1743" s="1" t="s">
        <v>1406</v>
      </c>
      <c r="EE1743" s="1" t="s">
        <v>493</v>
      </c>
      <c r="EG1743" s="1" t="s">
        <v>374</v>
      </c>
      <c r="EH1743" s="1" t="s">
        <v>341</v>
      </c>
      <c r="EI1743" s="1" t="s">
        <v>408</v>
      </c>
      <c r="EL1743" s="1" t="s">
        <v>454</v>
      </c>
      <c r="EM1743" s="1" t="s">
        <v>206</v>
      </c>
      <c r="EP1743" s="1" t="s">
        <v>1796</v>
      </c>
      <c r="EQ1743" s="1" t="s">
        <v>209</v>
      </c>
      <c r="ER1743" s="1" t="s">
        <v>210</v>
      </c>
      <c r="ET1743" s="1" t="s">
        <v>971</v>
      </c>
      <c r="EU1743" s="1" t="s">
        <v>206</v>
      </c>
      <c r="EV1743" s="1" t="s">
        <v>268</v>
      </c>
      <c r="EW1743" s="1" t="s">
        <v>229</v>
      </c>
      <c r="EY1743" s="1" t="s">
        <v>238</v>
      </c>
      <c r="FC1743" s="1" t="s">
        <v>238</v>
      </c>
      <c r="FF1743" s="1" t="s">
        <v>239</v>
      </c>
      <c r="FG1743" s="1" t="s">
        <v>192</v>
      </c>
      <c r="FH1743" s="1" t="s">
        <v>192</v>
      </c>
      <c r="FJ1743" s="1" t="s">
        <v>624</v>
      </c>
      <c r="FK1743" s="1" t="s">
        <v>229</v>
      </c>
      <c r="FL1743" s="1" t="s">
        <v>456</v>
      </c>
      <c r="FM1743" s="1">
        <v>49.0</v>
      </c>
      <c r="FN1743" s="1" t="s">
        <v>457</v>
      </c>
      <c r="FO1743" s="1" t="s">
        <v>7305</v>
      </c>
      <c r="FP1743" s="1">
        <v>7198.0</v>
      </c>
      <c r="FQ1743" s="1" t="s">
        <v>7306</v>
      </c>
      <c r="FS1743" s="1" t="s">
        <v>17153</v>
      </c>
      <c r="FU1743" s="1" t="s">
        <v>17154</v>
      </c>
      <c r="FV1743" s="1" t="s">
        <v>200</v>
      </c>
      <c r="FW1743" s="1" t="s">
        <v>290</v>
      </c>
      <c r="FZ1743" s="1" t="s">
        <v>229</v>
      </c>
      <c r="GA1743" s="1" t="s">
        <v>291</v>
      </c>
      <c r="GB1743" s="2">
        <v>42116.0</v>
      </c>
      <c r="GC1743" s="1" t="s">
        <v>17155</v>
      </c>
    </row>
    <row r="1744">
      <c r="A1744" s="1">
        <v>309765.0</v>
      </c>
      <c r="B1744" s="1" t="s">
        <v>185</v>
      </c>
      <c r="C1744" s="1" t="str">
        <f>"08709784"</f>
        <v>08709784</v>
      </c>
      <c r="D1744" s="1" t="s">
        <v>186</v>
      </c>
      <c r="F1744" s="1" t="str">
        <f>"110"</f>
        <v>110</v>
      </c>
      <c r="G1744" s="2">
        <v>41874.0</v>
      </c>
      <c r="H1744" s="1">
        <v>309765.0</v>
      </c>
      <c r="I1744" s="1">
        <v>1.0</v>
      </c>
      <c r="J1744" s="1">
        <v>309765.0</v>
      </c>
      <c r="K1744" s="2">
        <v>41874.0</v>
      </c>
      <c r="L1744" s="1">
        <v>1.0</v>
      </c>
      <c r="M1744" s="2">
        <v>41874.0</v>
      </c>
      <c r="N1744" s="1" t="s">
        <v>187</v>
      </c>
      <c r="O1744" s="2">
        <v>41991.0</v>
      </c>
      <c r="P1744" s="1">
        <v>99995.0</v>
      </c>
      <c r="Q1744" s="1" t="s">
        <v>947</v>
      </c>
      <c r="S1744" s="1">
        <v>2390.0</v>
      </c>
      <c r="T1744" s="1" t="s">
        <v>17156</v>
      </c>
      <c r="U1744" s="1" t="s">
        <v>569</v>
      </c>
      <c r="V1744" s="1" t="s">
        <v>807</v>
      </c>
      <c r="W1744" s="1">
        <v>60110.0</v>
      </c>
      <c r="Y1744" s="1" t="s">
        <v>1175</v>
      </c>
      <c r="Z1744" s="1">
        <v>2014.0</v>
      </c>
      <c r="AA1744" s="1" t="s">
        <v>200</v>
      </c>
      <c r="AB1744" s="1" t="s">
        <v>467</v>
      </c>
      <c r="AC1744" s="1" t="s">
        <v>1176</v>
      </c>
      <c r="AD1744" s="1" t="s">
        <v>809</v>
      </c>
      <c r="AE1744" s="1" t="s">
        <v>325</v>
      </c>
      <c r="AF1744" s="1" t="s">
        <v>810</v>
      </c>
      <c r="AG1744" s="1" t="s">
        <v>4440</v>
      </c>
      <c r="AH1744" s="1" t="s">
        <v>1178</v>
      </c>
      <c r="AK1744" s="1">
        <v>9.0</v>
      </c>
      <c r="AL1744" s="1">
        <v>4.0</v>
      </c>
      <c r="AM1744" s="1">
        <v>2.0</v>
      </c>
      <c r="AN1744" s="1">
        <v>1.0</v>
      </c>
      <c r="AO1744" s="1" t="s">
        <v>198</v>
      </c>
      <c r="AP1744" s="1">
        <v>0.0</v>
      </c>
      <c r="AQ1744" s="1" t="s">
        <v>198</v>
      </c>
      <c r="AR1744" s="1" t="s">
        <v>200</v>
      </c>
      <c r="AS1744" s="1" t="s">
        <v>199</v>
      </c>
      <c r="AT1744" s="1">
        <v>2.0</v>
      </c>
      <c r="AV1744" s="1" t="s">
        <v>200</v>
      </c>
      <c r="AW1744" s="1" t="s">
        <v>575</v>
      </c>
      <c r="AX1744" s="1">
        <v>2012.0</v>
      </c>
      <c r="AY1744" s="1" t="s">
        <v>1179</v>
      </c>
      <c r="AZ1744" s="1" t="s">
        <v>200</v>
      </c>
      <c r="BA1744" s="1" t="str">
        <f>"0307130011"</f>
        <v>0307130011</v>
      </c>
      <c r="BC1744" s="1">
        <v>2875.0</v>
      </c>
      <c r="BD1744" s="1">
        <v>309765.0</v>
      </c>
      <c r="BE1744" s="2">
        <v>41874.0</v>
      </c>
      <c r="BF1744" s="1" t="s">
        <v>14365</v>
      </c>
      <c r="BG1744" s="1" t="s">
        <v>1181</v>
      </c>
      <c r="BH1744" s="1">
        <v>112.0</v>
      </c>
      <c r="BI1744" s="1" t="s">
        <v>1093</v>
      </c>
      <c r="BJ1744" s="1" t="s">
        <v>1182</v>
      </c>
      <c r="BK1744" s="1" t="s">
        <v>1952</v>
      </c>
      <c r="BL1744" s="1" t="str">
        <f>"18"</f>
        <v>18</v>
      </c>
      <c r="BM1744" s="1" t="str">
        <f t="shared" ref="BM1744:BM1745" si="1149">"0"</f>
        <v>0</v>
      </c>
      <c r="BN1744" s="1">
        <v>37.0</v>
      </c>
      <c r="BO1744" s="1">
        <v>0.0</v>
      </c>
      <c r="BQ1744" s="1">
        <v>300.0</v>
      </c>
      <c r="BR1744" s="1">
        <v>300.0</v>
      </c>
      <c r="BS1744" s="1">
        <v>300.0</v>
      </c>
      <c r="BV1744" s="1" t="s">
        <v>204</v>
      </c>
      <c r="BY1744" s="1" t="s">
        <v>1063</v>
      </c>
      <c r="BZ1744" s="1" t="s">
        <v>209</v>
      </c>
      <c r="CA1744" s="1" t="s">
        <v>210</v>
      </c>
      <c r="CB1744" s="1" t="s">
        <v>229</v>
      </c>
      <c r="CC1744" s="1" t="s">
        <v>1417</v>
      </c>
      <c r="CD1744" s="1" t="s">
        <v>206</v>
      </c>
      <c r="CE1744" s="1" t="s">
        <v>617</v>
      </c>
      <c r="CF1744" s="1" t="s">
        <v>229</v>
      </c>
      <c r="CG1744" s="1" t="s">
        <v>363</v>
      </c>
      <c r="CH1744" s="1" t="s">
        <v>209</v>
      </c>
      <c r="CI1744" s="1" t="s">
        <v>210</v>
      </c>
      <c r="CJ1744" s="1" t="s">
        <v>229</v>
      </c>
      <c r="CK1744" s="1" t="s">
        <v>699</v>
      </c>
      <c r="CL1744" s="1" t="s">
        <v>209</v>
      </c>
      <c r="CM1744" s="1" t="s">
        <v>210</v>
      </c>
      <c r="CN1744" s="1" t="s">
        <v>229</v>
      </c>
      <c r="CO1744" s="1" t="s">
        <v>331</v>
      </c>
      <c r="CP1744" s="1" t="s">
        <v>209</v>
      </c>
      <c r="CQ1744" s="1" t="s">
        <v>210</v>
      </c>
      <c r="CR1744" s="1" t="s">
        <v>229</v>
      </c>
      <c r="CS1744" s="1" t="s">
        <v>729</v>
      </c>
      <c r="CT1744" s="1" t="s">
        <v>206</v>
      </c>
      <c r="CU1744" s="1" t="s">
        <v>617</v>
      </c>
      <c r="CV1744" s="1" t="s">
        <v>229</v>
      </c>
      <c r="CW1744" s="1" t="s">
        <v>1350</v>
      </c>
      <c r="CX1744" s="1" t="s">
        <v>206</v>
      </c>
      <c r="CY1744" s="1" t="s">
        <v>210</v>
      </c>
      <c r="CZ1744" s="1" t="s">
        <v>229</v>
      </c>
      <c r="DA1744" s="1" t="s">
        <v>192</v>
      </c>
      <c r="DB1744" s="2">
        <v>42050.0</v>
      </c>
      <c r="DC1744" s="1" t="s">
        <v>744</v>
      </c>
      <c r="DD1744" s="1" t="s">
        <v>306</v>
      </c>
      <c r="DE1744" s="1" t="s">
        <v>273</v>
      </c>
      <c r="DF1744" s="1" t="s">
        <v>219</v>
      </c>
      <c r="DG1744" s="1" t="s">
        <v>482</v>
      </c>
      <c r="DH1744" s="1" t="s">
        <v>220</v>
      </c>
      <c r="DI1744" s="1" t="s">
        <v>1021</v>
      </c>
      <c r="DJ1744" s="1" t="s">
        <v>222</v>
      </c>
      <c r="DK1744" s="1" t="s">
        <v>223</v>
      </c>
      <c r="DL1744" s="1" t="s">
        <v>223</v>
      </c>
      <c r="DM1744" s="1" t="s">
        <v>338</v>
      </c>
      <c r="DN1744" s="1" t="s">
        <v>548</v>
      </c>
      <c r="DP1744" s="1" t="s">
        <v>227</v>
      </c>
      <c r="DQ1744" s="1" t="s">
        <v>441</v>
      </c>
      <c r="DR1744" s="1" t="s">
        <v>1185</v>
      </c>
      <c r="DS1744" s="1" t="s">
        <v>591</v>
      </c>
      <c r="DT1744" s="1" t="s">
        <v>1186</v>
      </c>
      <c r="DU1744" s="1" t="s">
        <v>1187</v>
      </c>
      <c r="DV1744" s="1" t="s">
        <v>1188</v>
      </c>
      <c r="DW1744" s="1" t="s">
        <v>444</v>
      </c>
      <c r="DX1744" s="1" t="s">
        <v>234</v>
      </c>
      <c r="DY1744" s="1" t="s">
        <v>1189</v>
      </c>
      <c r="EA1744" s="1" t="s">
        <v>344</v>
      </c>
      <c r="EC1744" s="1" t="s">
        <v>237</v>
      </c>
      <c r="EH1744" s="1" t="s">
        <v>341</v>
      </c>
      <c r="EJ1744" s="1" t="s">
        <v>494</v>
      </c>
      <c r="EM1744" s="1" t="s">
        <v>238</v>
      </c>
      <c r="EP1744" s="1" t="s">
        <v>1068</v>
      </c>
      <c r="EQ1744" s="1" t="s">
        <v>209</v>
      </c>
      <c r="ER1744" s="1" t="s">
        <v>210</v>
      </c>
      <c r="ES1744" s="1" t="s">
        <v>229</v>
      </c>
      <c r="EU1744" s="1" t="s">
        <v>238</v>
      </c>
      <c r="EX1744" s="1" t="s">
        <v>303</v>
      </c>
      <c r="EY1744" s="1" t="s">
        <v>206</v>
      </c>
      <c r="EZ1744" s="1" t="s">
        <v>210</v>
      </c>
      <c r="FA1744" s="1" t="s">
        <v>229</v>
      </c>
      <c r="FC1744" s="1" t="s">
        <v>238</v>
      </c>
      <c r="FF1744" s="1" t="s">
        <v>239</v>
      </c>
      <c r="FG1744" s="1" t="s">
        <v>192</v>
      </c>
      <c r="FH1744" s="1" t="s">
        <v>192</v>
      </c>
      <c r="FJ1744" s="1" t="s">
        <v>14367</v>
      </c>
      <c r="FK1744" s="1" t="s">
        <v>229</v>
      </c>
      <c r="FL1744" s="1" t="s">
        <v>1192</v>
      </c>
      <c r="FM1744" s="1">
        <v>8702.0</v>
      </c>
      <c r="FN1744" s="1" t="s">
        <v>1193</v>
      </c>
      <c r="FO1744" s="1" t="s">
        <v>1194</v>
      </c>
      <c r="FP1744" s="1">
        <v>21163.0</v>
      </c>
      <c r="FQ1744" s="1" t="s">
        <v>1195</v>
      </c>
      <c r="FU1744" s="1" t="s">
        <v>17157</v>
      </c>
      <c r="FV1744" s="1" t="s">
        <v>200</v>
      </c>
      <c r="FW1744" s="1" t="s">
        <v>1197</v>
      </c>
      <c r="FZ1744" s="1" t="s">
        <v>229</v>
      </c>
      <c r="GA1744" s="1" t="s">
        <v>291</v>
      </c>
      <c r="GB1744" s="2">
        <v>41992.0</v>
      </c>
      <c r="GC1744" s="1" t="s">
        <v>17158</v>
      </c>
    </row>
    <row r="1745">
      <c r="A1745" s="1">
        <v>409900.0</v>
      </c>
      <c r="B1745" s="1" t="s">
        <v>185</v>
      </c>
      <c r="C1745" s="1" t="str">
        <f>"08706806"</f>
        <v>08706806</v>
      </c>
      <c r="D1745" s="1" t="s">
        <v>186</v>
      </c>
      <c r="F1745" s="1" t="str">
        <f>"8003"</f>
        <v>8003</v>
      </c>
      <c r="G1745" s="2">
        <v>41871.0</v>
      </c>
      <c r="H1745" s="1">
        <v>572900.0</v>
      </c>
      <c r="I1745" s="1">
        <v>132.0</v>
      </c>
      <c r="J1745" s="1">
        <v>419900.0</v>
      </c>
      <c r="K1745" s="2">
        <v>42002.0</v>
      </c>
      <c r="L1745" s="1">
        <v>132.0</v>
      </c>
      <c r="M1745" s="2">
        <v>42002.0</v>
      </c>
      <c r="N1745" s="1" t="s">
        <v>249</v>
      </c>
      <c r="O1745" s="2">
        <v>42060.0</v>
      </c>
      <c r="P1745" s="1">
        <v>109193.0</v>
      </c>
      <c r="Q1745" s="1">
        <v>10793.0</v>
      </c>
      <c r="S1745" s="1">
        <v>4547.0</v>
      </c>
      <c r="T1745" s="1" t="s">
        <v>17159</v>
      </c>
      <c r="U1745" s="1" t="s">
        <v>189</v>
      </c>
      <c r="V1745" s="1" t="s">
        <v>190</v>
      </c>
      <c r="W1745" s="1">
        <v>60640.0</v>
      </c>
      <c r="X1745" s="1">
        <v>5408.0</v>
      </c>
      <c r="Y1745" s="1" t="s">
        <v>17160</v>
      </c>
      <c r="Z1745" s="1">
        <v>1896.0</v>
      </c>
      <c r="AA1745" s="1" t="s">
        <v>192</v>
      </c>
      <c r="AB1745" s="1" t="s">
        <v>193</v>
      </c>
      <c r="AD1745" s="1" t="s">
        <v>194</v>
      </c>
      <c r="AE1745" s="1" t="s">
        <v>195</v>
      </c>
      <c r="AF1745" s="1" t="s">
        <v>534</v>
      </c>
      <c r="AH1745" s="1" t="s">
        <v>17161</v>
      </c>
      <c r="AI1745" s="1">
        <v>0.0918</v>
      </c>
      <c r="AK1745" s="1">
        <v>8.0</v>
      </c>
      <c r="AL1745" s="1">
        <v>4.0</v>
      </c>
      <c r="AM1745" s="1">
        <v>2.0</v>
      </c>
      <c r="AN1745" s="1">
        <v>0.0</v>
      </c>
      <c r="AO1745" s="1" t="s">
        <v>229</v>
      </c>
      <c r="AQ1745" s="1" t="s">
        <v>198</v>
      </c>
      <c r="AR1745" s="1" t="s">
        <v>200</v>
      </c>
      <c r="AS1745" s="1" t="s">
        <v>199</v>
      </c>
      <c r="AT1745" s="1">
        <v>2.0</v>
      </c>
      <c r="AV1745" s="1" t="s">
        <v>200</v>
      </c>
      <c r="AW1745" s="1">
        <v>9662.44</v>
      </c>
      <c r="AX1745" s="1">
        <v>2012.0</v>
      </c>
      <c r="AY1745" s="1" t="s">
        <v>229</v>
      </c>
      <c r="AZ1745" s="1" t="s">
        <v>200</v>
      </c>
      <c r="BA1745" s="1" t="str">
        <f>"14171130060000"</f>
        <v>14171130060000</v>
      </c>
      <c r="BC1745" s="1">
        <v>0.0</v>
      </c>
      <c r="BD1745" s="1">
        <v>409900.0</v>
      </c>
      <c r="BE1745" s="2">
        <v>41871.0</v>
      </c>
      <c r="BF1745" s="2" t="s">
        <v>17162</v>
      </c>
      <c r="BH1745" s="1">
        <v>0.0</v>
      </c>
      <c r="BK1745" s="1" t="s">
        <v>204</v>
      </c>
      <c r="BL1745" s="1" t="str">
        <f>"4547"</f>
        <v>4547</v>
      </c>
      <c r="BM1745" s="1" t="str">
        <f t="shared" si="1149"/>
        <v>0</v>
      </c>
      <c r="BN1745" s="1">
        <v>1550.0</v>
      </c>
      <c r="BO1745" s="1">
        <v>0.0</v>
      </c>
      <c r="BQ1745" s="1">
        <v>299.0</v>
      </c>
      <c r="BR1745" s="1">
        <v>299.0</v>
      </c>
      <c r="BS1745" s="1">
        <v>299.0</v>
      </c>
      <c r="BU1745" s="1" t="s">
        <v>699</v>
      </c>
      <c r="BV1745" s="1" t="s">
        <v>206</v>
      </c>
      <c r="BW1745" s="1" t="s">
        <v>207</v>
      </c>
      <c r="BY1745" s="1" t="s">
        <v>269</v>
      </c>
      <c r="BZ1745" s="1" t="s">
        <v>206</v>
      </c>
      <c r="CA1745" s="1" t="s">
        <v>210</v>
      </c>
      <c r="CC1745" s="1" t="s">
        <v>940</v>
      </c>
      <c r="CD1745" s="1" t="s">
        <v>206</v>
      </c>
      <c r="CE1745" s="1" t="s">
        <v>207</v>
      </c>
      <c r="CG1745" s="1" t="s">
        <v>269</v>
      </c>
      <c r="CH1745" s="1" t="s">
        <v>209</v>
      </c>
      <c r="CI1745" s="1" t="s">
        <v>210</v>
      </c>
      <c r="CK1745" s="1" t="s">
        <v>269</v>
      </c>
      <c r="CL1745" s="1" t="s">
        <v>209</v>
      </c>
      <c r="CM1745" s="1" t="s">
        <v>207</v>
      </c>
      <c r="CO1745" s="1" t="s">
        <v>269</v>
      </c>
      <c r="CP1745" s="1" t="s">
        <v>209</v>
      </c>
      <c r="CQ1745" s="1" t="s">
        <v>207</v>
      </c>
      <c r="CS1745" s="1" t="s">
        <v>663</v>
      </c>
      <c r="CT1745" s="1" t="s">
        <v>206</v>
      </c>
      <c r="CU1745" s="1" t="s">
        <v>207</v>
      </c>
      <c r="CX1745" s="1" t="s">
        <v>204</v>
      </c>
      <c r="DA1745" s="1" t="s">
        <v>200</v>
      </c>
      <c r="DC1745" s="1" t="s">
        <v>642</v>
      </c>
      <c r="DE1745" s="1" t="s">
        <v>229</v>
      </c>
      <c r="DF1745" s="1" t="s">
        <v>219</v>
      </c>
      <c r="DH1745" s="1" t="s">
        <v>220</v>
      </c>
      <c r="DJ1745" s="1" t="s">
        <v>222</v>
      </c>
      <c r="DL1745" s="1" t="s">
        <v>223</v>
      </c>
      <c r="DM1745" s="1" t="s">
        <v>229</v>
      </c>
      <c r="DQ1745" s="1" t="s">
        <v>228</v>
      </c>
      <c r="DR1745" s="1" t="s">
        <v>229</v>
      </c>
      <c r="DV1745" s="1" t="s">
        <v>557</v>
      </c>
      <c r="DW1745" s="1" t="s">
        <v>667</v>
      </c>
      <c r="DX1745" s="1" t="s">
        <v>234</v>
      </c>
      <c r="EC1745" s="1" t="s">
        <v>237</v>
      </c>
      <c r="EG1745" s="1" t="s">
        <v>557</v>
      </c>
      <c r="EL1745" s="1" t="s">
        <v>663</v>
      </c>
      <c r="EM1745" s="1" t="s">
        <v>209</v>
      </c>
      <c r="EN1745" s="1" t="s">
        <v>207</v>
      </c>
      <c r="EQ1745" s="1" t="s">
        <v>238</v>
      </c>
      <c r="EU1745" s="1" t="s">
        <v>238</v>
      </c>
      <c r="EY1745" s="1" t="s">
        <v>238</v>
      </c>
      <c r="FC1745" s="1" t="s">
        <v>238</v>
      </c>
      <c r="FF1745" s="1" t="s">
        <v>239</v>
      </c>
      <c r="FG1745" s="1" t="s">
        <v>192</v>
      </c>
      <c r="FH1745" s="1" t="s">
        <v>192</v>
      </c>
      <c r="FJ1745" s="1" t="s">
        <v>1248</v>
      </c>
      <c r="FK1745" s="1" t="s">
        <v>229</v>
      </c>
      <c r="FL1745" s="1" t="s">
        <v>734</v>
      </c>
      <c r="FM1745" s="1">
        <v>10646.0</v>
      </c>
      <c r="FN1745" s="1" t="s">
        <v>735</v>
      </c>
      <c r="FO1745" s="1" t="s">
        <v>5446</v>
      </c>
      <c r="FP1745" s="1">
        <v>166674.0</v>
      </c>
      <c r="FQ1745" s="1" t="s">
        <v>5447</v>
      </c>
      <c r="FR1745" s="1">
        <v>130124.0</v>
      </c>
      <c r="FU1745" s="1" t="s">
        <v>1438</v>
      </c>
      <c r="FV1745" s="1" t="s">
        <v>200</v>
      </c>
      <c r="FW1745" s="1" t="s">
        <v>1307</v>
      </c>
      <c r="FX1745" s="1" t="s">
        <v>238</v>
      </c>
      <c r="FZ1745" s="1" t="s">
        <v>229</v>
      </c>
      <c r="GA1745" s="1" t="s">
        <v>291</v>
      </c>
      <c r="GB1745" s="2">
        <v>42061.0</v>
      </c>
      <c r="GC1745" s="1" t="s">
        <v>17163</v>
      </c>
    </row>
    <row r="1746">
      <c r="A1746" s="1">
        <v>75000.0</v>
      </c>
      <c r="B1746" s="1" t="s">
        <v>185</v>
      </c>
      <c r="C1746" s="1" t="str">
        <f>"08708448"</f>
        <v>08708448</v>
      </c>
      <c r="D1746" s="1" t="s">
        <v>186</v>
      </c>
      <c r="F1746" s="1" t="str">
        <f>"8066"</f>
        <v>8066</v>
      </c>
      <c r="G1746" s="2">
        <v>41872.0</v>
      </c>
      <c r="H1746" s="1">
        <v>72000.0</v>
      </c>
      <c r="I1746" s="1">
        <v>59.0</v>
      </c>
      <c r="J1746" s="1">
        <v>72000.0</v>
      </c>
      <c r="K1746" s="2">
        <v>41930.0</v>
      </c>
      <c r="L1746" s="1">
        <v>59.0</v>
      </c>
      <c r="M1746" s="2">
        <v>41930.0</v>
      </c>
      <c r="N1746" s="1" t="s">
        <v>187</v>
      </c>
      <c r="O1746" s="2">
        <v>42024.0</v>
      </c>
      <c r="P1746" s="1">
        <v>143680.0</v>
      </c>
      <c r="Q1746" s="1">
        <v>12555.0</v>
      </c>
      <c r="R1746" s="1">
        <v>2.0</v>
      </c>
      <c r="S1746" s="1">
        <v>6146.0</v>
      </c>
      <c r="T1746" s="1" t="s">
        <v>8505</v>
      </c>
      <c r="U1746" s="1" t="s">
        <v>320</v>
      </c>
      <c r="V1746" s="1" t="s">
        <v>190</v>
      </c>
      <c r="W1746" s="1">
        <v>60629.0</v>
      </c>
      <c r="X1746" s="1">
        <v>2334.0</v>
      </c>
      <c r="Y1746" s="1" t="s">
        <v>17164</v>
      </c>
      <c r="Z1746" s="1">
        <v>1919.0</v>
      </c>
      <c r="AA1746" s="1" t="s">
        <v>192</v>
      </c>
      <c r="AB1746" s="1" t="s">
        <v>193</v>
      </c>
      <c r="AD1746" s="1" t="s">
        <v>194</v>
      </c>
      <c r="AE1746" s="1" t="s">
        <v>195</v>
      </c>
      <c r="AF1746" s="1" t="s">
        <v>659</v>
      </c>
      <c r="AH1746" s="1" t="s">
        <v>359</v>
      </c>
      <c r="AI1746" s="1">
        <v>0.0861</v>
      </c>
      <c r="AK1746" s="1">
        <v>9.0</v>
      </c>
      <c r="AL1746" s="1">
        <v>4.0</v>
      </c>
      <c r="AM1746" s="1">
        <v>2.0</v>
      </c>
      <c r="AN1746" s="1">
        <v>0.0</v>
      </c>
      <c r="AO1746" s="1" t="s">
        <v>229</v>
      </c>
      <c r="AQ1746" s="1" t="s">
        <v>327</v>
      </c>
      <c r="AR1746" s="1" t="s">
        <v>192</v>
      </c>
      <c r="AS1746" s="1" t="s">
        <v>199</v>
      </c>
      <c r="AT1746" s="1">
        <v>2.0</v>
      </c>
      <c r="AV1746" s="1" t="s">
        <v>200</v>
      </c>
      <c r="AW1746" s="1">
        <v>2250.29</v>
      </c>
      <c r="AX1746" s="1">
        <v>2012.0</v>
      </c>
      <c r="AY1746" s="1" t="s">
        <v>1179</v>
      </c>
      <c r="AZ1746" s="1" t="s">
        <v>200</v>
      </c>
      <c r="BA1746" s="1" t="str">
        <f>"19133220350000"</f>
        <v>19133220350000</v>
      </c>
      <c r="BB1746" s="1" t="s">
        <v>200</v>
      </c>
      <c r="BC1746" s="1">
        <v>1260.0</v>
      </c>
      <c r="BD1746" s="1">
        <v>75000.0</v>
      </c>
      <c r="BE1746" s="2">
        <v>41872.0</v>
      </c>
      <c r="BF1746" s="2" t="s">
        <v>17165</v>
      </c>
      <c r="BH1746" s="1">
        <v>0.0</v>
      </c>
      <c r="BK1746" s="1" t="s">
        <v>204</v>
      </c>
      <c r="BL1746" s="1" t="str">
        <f t="shared" ref="BL1746:BM1746" si="1150">"0"</f>
        <v>0</v>
      </c>
      <c r="BM1746" s="1" t="str">
        <f t="shared" si="1150"/>
        <v>0</v>
      </c>
      <c r="BN1746" s="1">
        <v>2832.0</v>
      </c>
      <c r="BO1746" s="1">
        <v>6146.0</v>
      </c>
      <c r="BQ1746" s="1">
        <v>299.0</v>
      </c>
      <c r="BR1746" s="1">
        <v>299.0</v>
      </c>
      <c r="BS1746" s="1">
        <v>299.0</v>
      </c>
      <c r="BU1746" s="1" t="s">
        <v>266</v>
      </c>
      <c r="BV1746" s="1" t="s">
        <v>206</v>
      </c>
      <c r="BW1746" s="1" t="s">
        <v>207</v>
      </c>
      <c r="BY1746" s="1" t="s">
        <v>1796</v>
      </c>
      <c r="BZ1746" s="1" t="s">
        <v>206</v>
      </c>
      <c r="CA1746" s="1" t="s">
        <v>207</v>
      </c>
      <c r="CC1746" s="1" t="s">
        <v>269</v>
      </c>
      <c r="CD1746" s="1" t="s">
        <v>206</v>
      </c>
      <c r="CE1746" s="1" t="s">
        <v>207</v>
      </c>
      <c r="CG1746" s="1" t="s">
        <v>1796</v>
      </c>
      <c r="CH1746" s="1" t="s">
        <v>206</v>
      </c>
      <c r="CI1746" s="1" t="s">
        <v>207</v>
      </c>
      <c r="CK1746" s="1" t="s">
        <v>1796</v>
      </c>
      <c r="CL1746" s="1" t="s">
        <v>206</v>
      </c>
      <c r="CM1746" s="1" t="s">
        <v>207</v>
      </c>
      <c r="CO1746" s="1" t="s">
        <v>269</v>
      </c>
      <c r="CP1746" s="1" t="s">
        <v>209</v>
      </c>
      <c r="CQ1746" s="1" t="s">
        <v>588</v>
      </c>
      <c r="CS1746" s="1" t="s">
        <v>2047</v>
      </c>
      <c r="CT1746" s="1" t="s">
        <v>206</v>
      </c>
      <c r="CU1746" s="1" t="s">
        <v>588</v>
      </c>
      <c r="CX1746" s="1" t="s">
        <v>204</v>
      </c>
      <c r="DA1746" s="1" t="s">
        <v>200</v>
      </c>
      <c r="DC1746" s="1" t="s">
        <v>216</v>
      </c>
      <c r="DD1746" s="1" t="s">
        <v>855</v>
      </c>
      <c r="DE1746" s="1" t="s">
        <v>229</v>
      </c>
      <c r="DF1746" s="1" t="s">
        <v>619</v>
      </c>
      <c r="DH1746" s="1" t="s">
        <v>307</v>
      </c>
      <c r="DI1746" s="1" t="s">
        <v>2096</v>
      </c>
      <c r="DJ1746" s="1" t="s">
        <v>222</v>
      </c>
      <c r="DL1746" s="1" t="s">
        <v>858</v>
      </c>
      <c r="DM1746" s="1" t="s">
        <v>229</v>
      </c>
      <c r="DP1746" s="1" t="s">
        <v>340</v>
      </c>
      <c r="DQ1746" s="1" t="s">
        <v>228</v>
      </c>
      <c r="DR1746" s="1" t="s">
        <v>229</v>
      </c>
      <c r="DS1746" s="1" t="s">
        <v>230</v>
      </c>
      <c r="DV1746" s="1" t="s">
        <v>17166</v>
      </c>
      <c r="DW1746" s="1" t="s">
        <v>279</v>
      </c>
      <c r="DX1746" s="1" t="s">
        <v>309</v>
      </c>
      <c r="DY1746" s="1" t="s">
        <v>704</v>
      </c>
      <c r="EA1746" s="1" t="s">
        <v>644</v>
      </c>
      <c r="EC1746" s="1" t="s">
        <v>645</v>
      </c>
      <c r="ED1746" s="1" t="s">
        <v>1761</v>
      </c>
      <c r="EE1746" s="1" t="s">
        <v>1960</v>
      </c>
      <c r="EG1746" s="1" t="s">
        <v>557</v>
      </c>
      <c r="EH1746" s="1" t="s">
        <v>1228</v>
      </c>
      <c r="EI1746" s="1" t="s">
        <v>374</v>
      </c>
      <c r="EL1746" s="1" t="s">
        <v>265</v>
      </c>
      <c r="EM1746" s="1" t="s">
        <v>42</v>
      </c>
      <c r="EP1746" s="1" t="s">
        <v>265</v>
      </c>
      <c r="EQ1746" s="1" t="s">
        <v>42</v>
      </c>
      <c r="ER1746" s="1" t="s">
        <v>588</v>
      </c>
      <c r="ET1746" s="1" t="s">
        <v>4153</v>
      </c>
      <c r="EU1746" s="1" t="s">
        <v>206</v>
      </c>
      <c r="EV1746" s="1" t="s">
        <v>588</v>
      </c>
      <c r="EY1746" s="1" t="s">
        <v>238</v>
      </c>
      <c r="FC1746" s="1" t="s">
        <v>238</v>
      </c>
      <c r="FF1746" s="1" t="s">
        <v>239</v>
      </c>
      <c r="FG1746" s="1" t="s">
        <v>192</v>
      </c>
      <c r="FH1746" s="1" t="s">
        <v>192</v>
      </c>
      <c r="FJ1746" s="1" t="s">
        <v>17167</v>
      </c>
      <c r="FK1746" s="1" t="s">
        <v>229</v>
      </c>
      <c r="FL1746" s="1" t="s">
        <v>17168</v>
      </c>
      <c r="FM1746" s="1">
        <v>25982.0</v>
      </c>
      <c r="FN1746" s="1" t="s">
        <v>17169</v>
      </c>
      <c r="FO1746" s="1" t="s">
        <v>17170</v>
      </c>
      <c r="FP1746" s="1">
        <v>229744.0</v>
      </c>
      <c r="FQ1746" s="1" t="s">
        <v>17171</v>
      </c>
      <c r="FS1746" s="1" t="s">
        <v>17172</v>
      </c>
      <c r="FU1746" s="1" t="s">
        <v>885</v>
      </c>
      <c r="FV1746" s="1" t="s">
        <v>200</v>
      </c>
      <c r="FW1746" s="1" t="s">
        <v>290</v>
      </c>
      <c r="FX1746" s="1" t="s">
        <v>655</v>
      </c>
      <c r="FZ1746" s="1" t="s">
        <v>229</v>
      </c>
      <c r="GA1746" s="1" t="s">
        <v>291</v>
      </c>
      <c r="GB1746" s="2">
        <v>42024.0</v>
      </c>
      <c r="GC1746" s="1" t="s">
        <v>17173</v>
      </c>
    </row>
    <row r="1747">
      <c r="A1747" s="1">
        <v>160000.0</v>
      </c>
      <c r="B1747" s="1" t="s">
        <v>185</v>
      </c>
      <c r="C1747" s="1" t="str">
        <f>"08709253"</f>
        <v>08709253</v>
      </c>
      <c r="D1747" s="1" t="s">
        <v>186</v>
      </c>
      <c r="F1747" s="1" t="str">
        <f>"543"</f>
        <v>543</v>
      </c>
      <c r="G1747" s="2">
        <v>41873.0</v>
      </c>
      <c r="H1747" s="1">
        <v>204900.0</v>
      </c>
      <c r="I1747" s="1">
        <v>81.0</v>
      </c>
      <c r="J1747" s="1">
        <v>164500.0</v>
      </c>
      <c r="K1747" s="2">
        <v>41953.0</v>
      </c>
      <c r="L1747" s="1">
        <v>81.0</v>
      </c>
      <c r="M1747" s="2">
        <v>41953.0</v>
      </c>
      <c r="N1747" s="1" t="s">
        <v>249</v>
      </c>
      <c r="O1747" s="2">
        <v>41969.0</v>
      </c>
      <c r="P1747" s="1">
        <v>300079.0</v>
      </c>
      <c r="Q1747" s="1">
        <v>31580.0</v>
      </c>
      <c r="S1747" s="1">
        <v>713.0</v>
      </c>
      <c r="T1747" s="1" t="s">
        <v>12378</v>
      </c>
      <c r="U1747" s="1" t="s">
        <v>420</v>
      </c>
      <c r="V1747" s="1" t="s">
        <v>1527</v>
      </c>
      <c r="W1747" s="1">
        <v>60543.0</v>
      </c>
      <c r="Y1747" s="1" t="s">
        <v>12379</v>
      </c>
      <c r="Z1747" s="1">
        <v>2000.0</v>
      </c>
      <c r="AA1747" s="1" t="s">
        <v>200</v>
      </c>
      <c r="AB1747" s="1" t="s">
        <v>467</v>
      </c>
      <c r="AD1747" s="1" t="s">
        <v>1529</v>
      </c>
      <c r="AE1747" s="1" t="s">
        <v>849</v>
      </c>
      <c r="AF1747" s="1" t="s">
        <v>1529</v>
      </c>
      <c r="AH1747" s="1" t="s">
        <v>17174</v>
      </c>
      <c r="AI1747" s="1">
        <v>0.2716</v>
      </c>
      <c r="AK1747" s="1">
        <v>8.0</v>
      </c>
      <c r="AL1747" s="1">
        <v>4.0</v>
      </c>
      <c r="AM1747" s="1">
        <v>2.0</v>
      </c>
      <c r="AN1747" s="1">
        <v>1.0</v>
      </c>
      <c r="AO1747" s="1" t="s">
        <v>198</v>
      </c>
      <c r="AP1747" s="1">
        <v>1.0</v>
      </c>
      <c r="AQ1747" s="1" t="s">
        <v>198</v>
      </c>
      <c r="AR1747" s="1" t="s">
        <v>200</v>
      </c>
      <c r="AS1747" s="1" t="s">
        <v>199</v>
      </c>
      <c r="AT1747" s="1">
        <v>2.0</v>
      </c>
      <c r="AV1747" s="1" t="s">
        <v>200</v>
      </c>
      <c r="AW1747" s="1">
        <v>8080.64</v>
      </c>
      <c r="AX1747" s="1">
        <v>2012.0</v>
      </c>
      <c r="AZ1747" s="1" t="s">
        <v>200</v>
      </c>
      <c r="BA1747" s="1" t="str">
        <f>"0319452033"</f>
        <v>0319452033</v>
      </c>
      <c r="BC1747" s="1">
        <v>2694.0</v>
      </c>
      <c r="BD1747" s="1">
        <v>160000.0</v>
      </c>
      <c r="BE1747" s="2">
        <v>41873.0</v>
      </c>
      <c r="BF1747" s="2" t="s">
        <v>17175</v>
      </c>
      <c r="BH1747" s="1">
        <v>190.0</v>
      </c>
      <c r="BK1747" s="1" t="s">
        <v>580</v>
      </c>
      <c r="BL1747" s="1" t="str">
        <f t="shared" ref="BL1747:BM1747" si="1151">""</f>
        <v/>
      </c>
      <c r="BM1747" s="1" t="str">
        <f t="shared" si="1151"/>
        <v/>
      </c>
      <c r="BQ1747" s="1">
        <v>308.0</v>
      </c>
      <c r="BR1747" s="1">
        <v>308.0</v>
      </c>
      <c r="BS1747" s="1">
        <v>308.0</v>
      </c>
      <c r="BU1747" s="1" t="s">
        <v>743</v>
      </c>
      <c r="BV1747" s="1" t="s">
        <v>206</v>
      </c>
      <c r="BW1747" s="1" t="s">
        <v>588</v>
      </c>
      <c r="BY1747" s="1" t="s">
        <v>2800</v>
      </c>
      <c r="BZ1747" s="1" t="s">
        <v>206</v>
      </c>
      <c r="CC1747" s="1" t="s">
        <v>393</v>
      </c>
      <c r="CD1747" s="1" t="s">
        <v>206</v>
      </c>
      <c r="CG1747" s="1" t="s">
        <v>332</v>
      </c>
      <c r="CH1747" s="1" t="s">
        <v>206</v>
      </c>
      <c r="CK1747" s="1" t="s">
        <v>699</v>
      </c>
      <c r="CL1747" s="1" t="s">
        <v>206</v>
      </c>
      <c r="CO1747" s="1" t="s">
        <v>433</v>
      </c>
      <c r="CP1747" s="1" t="s">
        <v>206</v>
      </c>
      <c r="CS1747" s="1" t="s">
        <v>784</v>
      </c>
      <c r="CT1747" s="1" t="s">
        <v>206</v>
      </c>
      <c r="CW1747" s="1" t="s">
        <v>260</v>
      </c>
      <c r="CX1747" s="1" t="s">
        <v>206</v>
      </c>
      <c r="DA1747" s="1" t="s">
        <v>200</v>
      </c>
      <c r="DC1747" s="1" t="s">
        <v>335</v>
      </c>
      <c r="DE1747" s="1" t="s">
        <v>229</v>
      </c>
      <c r="DF1747" s="1" t="s">
        <v>619</v>
      </c>
      <c r="DH1747" s="1" t="s">
        <v>220</v>
      </c>
      <c r="DJ1747" s="1" t="s">
        <v>222</v>
      </c>
      <c r="DL1747" s="1" t="s">
        <v>223</v>
      </c>
      <c r="DM1747" s="1" t="s">
        <v>229</v>
      </c>
      <c r="DQ1747" s="1" t="s">
        <v>441</v>
      </c>
      <c r="DR1747" s="1" t="s">
        <v>229</v>
      </c>
      <c r="DV1747" s="1" t="s">
        <v>232</v>
      </c>
      <c r="DW1747" s="1" t="s">
        <v>2602</v>
      </c>
      <c r="DX1747" s="1" t="s">
        <v>234</v>
      </c>
      <c r="EA1747" s="1" t="s">
        <v>344</v>
      </c>
      <c r="EC1747" s="1" t="s">
        <v>237</v>
      </c>
      <c r="EM1747" s="1" t="s">
        <v>238</v>
      </c>
      <c r="EQ1747" s="1" t="s">
        <v>238</v>
      </c>
      <c r="EU1747" s="1" t="s">
        <v>238</v>
      </c>
      <c r="EY1747" s="1" t="s">
        <v>238</v>
      </c>
      <c r="FC1747" s="1" t="s">
        <v>238</v>
      </c>
      <c r="FF1747" s="1" t="s">
        <v>239</v>
      </c>
      <c r="FG1747" s="1" t="s">
        <v>192</v>
      </c>
      <c r="FH1747" s="1" t="s">
        <v>192</v>
      </c>
      <c r="FJ1747" s="1" t="s">
        <v>1248</v>
      </c>
      <c r="FK1747" s="1" t="s">
        <v>229</v>
      </c>
      <c r="FL1747" s="1" t="s">
        <v>2263</v>
      </c>
      <c r="FM1747" s="1">
        <v>8094.0</v>
      </c>
      <c r="FN1747" s="1" t="s">
        <v>2264</v>
      </c>
      <c r="FO1747" s="1" t="s">
        <v>5270</v>
      </c>
      <c r="FP1747" s="1">
        <v>232535.0</v>
      </c>
      <c r="FQ1747" s="1" t="s">
        <v>5271</v>
      </c>
      <c r="FU1747" s="1" t="s">
        <v>17176</v>
      </c>
      <c r="FV1747" s="1" t="s">
        <v>200</v>
      </c>
      <c r="FW1747" s="1" t="s">
        <v>1307</v>
      </c>
      <c r="FZ1747" s="1" t="s">
        <v>229</v>
      </c>
      <c r="GA1747" s="1" t="s">
        <v>291</v>
      </c>
      <c r="GB1747" s="2">
        <v>41969.0</v>
      </c>
      <c r="GC1747" s="1" t="s">
        <v>17177</v>
      </c>
    </row>
    <row r="1748">
      <c r="A1748" s="1">
        <v>245000.0</v>
      </c>
      <c r="B1748" s="1" t="s">
        <v>185</v>
      </c>
      <c r="C1748" s="1" t="str">
        <f>"08709669"</f>
        <v>08709669</v>
      </c>
      <c r="D1748" s="1" t="s">
        <v>186</v>
      </c>
      <c r="F1748" s="1" t="str">
        <f>"123"</f>
        <v>123</v>
      </c>
      <c r="G1748" s="2">
        <v>41874.0</v>
      </c>
      <c r="H1748" s="1">
        <v>264900.0</v>
      </c>
      <c r="I1748" s="1">
        <v>156.0</v>
      </c>
      <c r="J1748" s="1">
        <v>249900.0</v>
      </c>
      <c r="K1748" s="2">
        <v>42029.0</v>
      </c>
      <c r="L1748" s="1">
        <v>156.0</v>
      </c>
      <c r="M1748" s="2">
        <v>42029.0</v>
      </c>
      <c r="N1748" s="1" t="s">
        <v>187</v>
      </c>
      <c r="O1748" s="2">
        <v>42086.0</v>
      </c>
      <c r="P1748" s="1">
        <v>215959.0</v>
      </c>
      <c r="Q1748" s="1">
        <v>23312.0</v>
      </c>
      <c r="S1748" s="1">
        <v>1156.0</v>
      </c>
      <c r="T1748" s="1" t="s">
        <v>6524</v>
      </c>
      <c r="U1748" s="1" t="s">
        <v>1174</v>
      </c>
      <c r="V1748" s="1" t="s">
        <v>465</v>
      </c>
      <c r="W1748" s="1">
        <v>60120.0</v>
      </c>
      <c r="Y1748" s="1" t="s">
        <v>17178</v>
      </c>
      <c r="Z1748" s="1">
        <v>1992.0</v>
      </c>
      <c r="AA1748" s="1" t="s">
        <v>200</v>
      </c>
      <c r="AB1748" s="1" t="s">
        <v>193</v>
      </c>
      <c r="AC1748" s="1" t="s">
        <v>6396</v>
      </c>
      <c r="AD1748" s="1" t="s">
        <v>469</v>
      </c>
      <c r="AE1748" s="1" t="s">
        <v>195</v>
      </c>
      <c r="AF1748" s="1" t="s">
        <v>298</v>
      </c>
      <c r="AG1748" s="1" t="s">
        <v>17179</v>
      </c>
      <c r="AH1748" s="1" t="s">
        <v>4038</v>
      </c>
      <c r="AK1748" s="1">
        <v>9.0</v>
      </c>
      <c r="AL1748" s="1">
        <v>4.0</v>
      </c>
      <c r="AM1748" s="1">
        <v>2.0</v>
      </c>
      <c r="AN1748" s="1">
        <v>2.0</v>
      </c>
      <c r="AO1748" s="1" t="s">
        <v>198</v>
      </c>
      <c r="AQ1748" s="1" t="s">
        <v>1314</v>
      </c>
      <c r="AR1748" s="1" t="s">
        <v>192</v>
      </c>
      <c r="AS1748" s="1" t="s">
        <v>199</v>
      </c>
      <c r="AT1748" s="1">
        <v>2.0</v>
      </c>
      <c r="AV1748" s="1" t="s">
        <v>200</v>
      </c>
      <c r="AW1748" s="1">
        <v>6994.0</v>
      </c>
      <c r="AX1748" s="1">
        <v>2013.0</v>
      </c>
      <c r="AY1748" s="1" t="s">
        <v>387</v>
      </c>
      <c r="AZ1748" s="1" t="s">
        <v>200</v>
      </c>
      <c r="BA1748" s="1" t="str">
        <f>"06072100090000"</f>
        <v>06072100090000</v>
      </c>
      <c r="BC1748" s="1">
        <v>2358.0</v>
      </c>
      <c r="BD1748" s="1">
        <v>245000.0</v>
      </c>
      <c r="BE1748" s="2">
        <v>41874.0</v>
      </c>
      <c r="BF1748" s="2" t="s">
        <v>17180</v>
      </c>
      <c r="BH1748" s="1">
        <v>180.0</v>
      </c>
      <c r="BK1748" s="1" t="s">
        <v>580</v>
      </c>
      <c r="BL1748" s="1" t="str">
        <f>"12"</f>
        <v>12</v>
      </c>
      <c r="BM1748" s="1" t="str">
        <f>""</f>
        <v/>
      </c>
      <c r="BN1748" s="1">
        <v>32.0</v>
      </c>
      <c r="BQ1748" s="1">
        <v>46.0</v>
      </c>
      <c r="BR1748" s="1">
        <v>46.0</v>
      </c>
      <c r="BS1748" s="1">
        <v>46.0</v>
      </c>
      <c r="BU1748" s="1" t="s">
        <v>211</v>
      </c>
      <c r="BV1748" s="1" t="s">
        <v>206</v>
      </c>
      <c r="BW1748" s="1" t="s">
        <v>210</v>
      </c>
      <c r="BX1748" s="1" t="s">
        <v>239</v>
      </c>
      <c r="BY1748" s="1" t="s">
        <v>434</v>
      </c>
      <c r="BZ1748" s="1" t="s">
        <v>209</v>
      </c>
      <c r="CA1748" s="1" t="s">
        <v>210</v>
      </c>
      <c r="CB1748" s="1" t="s">
        <v>239</v>
      </c>
      <c r="CC1748" s="1" t="s">
        <v>215</v>
      </c>
      <c r="CD1748" s="1" t="s">
        <v>206</v>
      </c>
      <c r="CE1748" s="1" t="s">
        <v>210</v>
      </c>
      <c r="CF1748" s="1" t="s">
        <v>239</v>
      </c>
      <c r="CG1748" s="1" t="s">
        <v>212</v>
      </c>
      <c r="CH1748" s="1" t="s">
        <v>209</v>
      </c>
      <c r="CI1748" s="1" t="s">
        <v>210</v>
      </c>
      <c r="CJ1748" s="1" t="s">
        <v>239</v>
      </c>
      <c r="CK1748" s="1" t="s">
        <v>264</v>
      </c>
      <c r="CL1748" s="1" t="s">
        <v>209</v>
      </c>
      <c r="CM1748" s="1" t="s">
        <v>210</v>
      </c>
      <c r="CN1748" s="1" t="s">
        <v>239</v>
      </c>
      <c r="CO1748" s="1" t="s">
        <v>264</v>
      </c>
      <c r="CP1748" s="1" t="s">
        <v>209</v>
      </c>
      <c r="CQ1748" s="1" t="s">
        <v>210</v>
      </c>
      <c r="CR1748" s="1" t="s">
        <v>239</v>
      </c>
      <c r="CS1748" s="1" t="s">
        <v>1138</v>
      </c>
      <c r="CT1748" s="1" t="s">
        <v>206</v>
      </c>
      <c r="CU1748" s="1" t="s">
        <v>268</v>
      </c>
      <c r="CV1748" s="1" t="s">
        <v>239</v>
      </c>
      <c r="CW1748" s="1" t="s">
        <v>4387</v>
      </c>
      <c r="CX1748" s="1" t="s">
        <v>206</v>
      </c>
      <c r="CY1748" s="1" t="s">
        <v>210</v>
      </c>
      <c r="CZ1748" s="1" t="s">
        <v>239</v>
      </c>
      <c r="DA1748" s="1" t="s">
        <v>200</v>
      </c>
      <c r="DC1748" s="1" t="s">
        <v>435</v>
      </c>
      <c r="DD1748" s="1" t="s">
        <v>217</v>
      </c>
      <c r="DE1748" s="1" t="s">
        <v>273</v>
      </c>
      <c r="DF1748" s="1" t="s">
        <v>219</v>
      </c>
      <c r="DG1748" s="1" t="s">
        <v>3020</v>
      </c>
      <c r="DH1748" s="1" t="s">
        <v>220</v>
      </c>
      <c r="DI1748" s="1" t="s">
        <v>703</v>
      </c>
      <c r="DJ1748" s="1" t="s">
        <v>222</v>
      </c>
      <c r="DL1748" s="1" t="s">
        <v>1267</v>
      </c>
      <c r="DM1748" s="1" t="s">
        <v>1268</v>
      </c>
      <c r="DP1748" s="1" t="s">
        <v>276</v>
      </c>
      <c r="DQ1748" s="1" t="s">
        <v>228</v>
      </c>
      <c r="DR1748" s="1" t="s">
        <v>1724</v>
      </c>
      <c r="DV1748" s="1" t="s">
        <v>15442</v>
      </c>
      <c r="DW1748" s="1" t="s">
        <v>444</v>
      </c>
      <c r="DX1748" s="1" t="s">
        <v>309</v>
      </c>
      <c r="EA1748" s="1" t="s">
        <v>344</v>
      </c>
      <c r="EC1748" s="1" t="s">
        <v>237</v>
      </c>
      <c r="ED1748" s="1" t="s">
        <v>555</v>
      </c>
      <c r="EE1748" s="1" t="s">
        <v>493</v>
      </c>
      <c r="EG1748" s="1" t="s">
        <v>450</v>
      </c>
      <c r="EH1748" s="1" t="s">
        <v>408</v>
      </c>
      <c r="EI1748" s="1" t="s">
        <v>588</v>
      </c>
      <c r="EL1748" s="1" t="s">
        <v>17181</v>
      </c>
      <c r="EM1748" s="1" t="s">
        <v>42</v>
      </c>
      <c r="EN1748" s="1" t="s">
        <v>210</v>
      </c>
      <c r="EO1748" s="1" t="s">
        <v>229</v>
      </c>
      <c r="EP1748" s="1" t="s">
        <v>1688</v>
      </c>
      <c r="EQ1748" s="1" t="s">
        <v>206</v>
      </c>
      <c r="ER1748" s="1" t="s">
        <v>268</v>
      </c>
      <c r="ES1748" s="1" t="s">
        <v>229</v>
      </c>
      <c r="ET1748" s="1" t="s">
        <v>264</v>
      </c>
      <c r="EU1748" s="1" t="s">
        <v>42</v>
      </c>
      <c r="EV1748" s="1" t="s">
        <v>588</v>
      </c>
      <c r="EW1748" s="1" t="s">
        <v>229</v>
      </c>
      <c r="EY1748" s="1" t="s">
        <v>238</v>
      </c>
      <c r="FC1748" s="1" t="s">
        <v>238</v>
      </c>
      <c r="FF1748" s="1" t="s">
        <v>239</v>
      </c>
      <c r="FG1748" s="1" t="s">
        <v>192</v>
      </c>
      <c r="FH1748" s="1" t="s">
        <v>192</v>
      </c>
      <c r="FJ1748" s="1" t="s">
        <v>1698</v>
      </c>
      <c r="FK1748" s="1" t="s">
        <v>229</v>
      </c>
      <c r="FL1748" s="1" t="s">
        <v>17182</v>
      </c>
      <c r="FM1748" s="1">
        <v>2216.0</v>
      </c>
      <c r="FN1748" s="1" t="s">
        <v>17183</v>
      </c>
      <c r="FO1748" s="1" t="s">
        <v>17184</v>
      </c>
      <c r="FP1748" s="1">
        <v>83501.0</v>
      </c>
      <c r="FQ1748" s="1" t="s">
        <v>17185</v>
      </c>
      <c r="FU1748" s="1" t="s">
        <v>17186</v>
      </c>
      <c r="FV1748" s="1" t="s">
        <v>200</v>
      </c>
      <c r="FW1748" s="1" t="s">
        <v>9744</v>
      </c>
      <c r="FZ1748" s="1" t="s">
        <v>229</v>
      </c>
      <c r="GA1748" s="1" t="s">
        <v>291</v>
      </c>
      <c r="GB1748" s="2">
        <v>42087.0</v>
      </c>
      <c r="GC1748" s="1" t="s">
        <v>17187</v>
      </c>
    </row>
    <row r="1749">
      <c r="A1749" s="1">
        <v>338000.0</v>
      </c>
      <c r="B1749" s="1" t="s">
        <v>185</v>
      </c>
      <c r="C1749" s="1" t="str">
        <f>"08714593"</f>
        <v>08714593</v>
      </c>
      <c r="D1749" s="1" t="s">
        <v>186</v>
      </c>
      <c r="F1749" s="1" t="str">
        <f>"8015"</f>
        <v>8015</v>
      </c>
      <c r="G1749" s="2">
        <v>41880.0</v>
      </c>
      <c r="H1749" s="1">
        <v>365000.0</v>
      </c>
      <c r="I1749" s="1">
        <v>28.0</v>
      </c>
      <c r="J1749" s="1">
        <v>365000.0</v>
      </c>
      <c r="K1749" s="2">
        <v>41907.0</v>
      </c>
      <c r="L1749" s="1">
        <v>28.0</v>
      </c>
      <c r="M1749" s="2">
        <v>41907.0</v>
      </c>
      <c r="N1749" s="1" t="s">
        <v>187</v>
      </c>
      <c r="O1749" s="2">
        <v>41978.0</v>
      </c>
      <c r="P1749" s="1">
        <v>107040.0</v>
      </c>
      <c r="Q1749" s="1">
        <v>17299.0</v>
      </c>
      <c r="S1749" s="1">
        <v>5018.0</v>
      </c>
      <c r="T1749" s="1" t="s">
        <v>12302</v>
      </c>
      <c r="U1749" s="1" t="s">
        <v>189</v>
      </c>
      <c r="V1749" s="1" t="s">
        <v>190</v>
      </c>
      <c r="W1749" s="1">
        <v>60630.0</v>
      </c>
      <c r="Y1749" s="1" t="s">
        <v>17188</v>
      </c>
      <c r="Z1749" s="1">
        <v>1914.0</v>
      </c>
      <c r="AA1749" s="1" t="s">
        <v>192</v>
      </c>
      <c r="AB1749" s="1" t="s">
        <v>193</v>
      </c>
      <c r="AD1749" s="1" t="s">
        <v>194</v>
      </c>
      <c r="AE1749" s="1" t="s">
        <v>195</v>
      </c>
      <c r="AF1749" s="1" t="s">
        <v>196</v>
      </c>
      <c r="AG1749" s="1" t="s">
        <v>778</v>
      </c>
      <c r="AH1749" s="1" t="s">
        <v>17189</v>
      </c>
      <c r="AI1749" s="1">
        <v>0.0947</v>
      </c>
      <c r="AK1749" s="1">
        <v>9.0</v>
      </c>
      <c r="AL1749" s="1">
        <v>4.0</v>
      </c>
      <c r="AM1749" s="1">
        <v>2.0</v>
      </c>
      <c r="AN1749" s="1">
        <v>1.0</v>
      </c>
      <c r="AO1749" s="1" t="s">
        <v>229</v>
      </c>
      <c r="AP1749" s="1">
        <v>1.0</v>
      </c>
      <c r="AQ1749" s="1" t="s">
        <v>198</v>
      </c>
      <c r="AR1749" s="1" t="s">
        <v>192</v>
      </c>
      <c r="AS1749" s="1" t="s">
        <v>199</v>
      </c>
      <c r="AT1749" s="1">
        <v>3.0</v>
      </c>
      <c r="AV1749" s="1" t="s">
        <v>200</v>
      </c>
      <c r="AW1749" s="1">
        <v>5150.72</v>
      </c>
      <c r="AX1749" s="1">
        <v>2013.0</v>
      </c>
      <c r="AY1749" s="1" t="s">
        <v>387</v>
      </c>
      <c r="AZ1749" s="1" t="s">
        <v>200</v>
      </c>
      <c r="BA1749" s="1" t="str">
        <f>"13162110190000"</f>
        <v>13162110190000</v>
      </c>
      <c r="BB1749" s="1" t="s">
        <v>200</v>
      </c>
      <c r="BC1749" s="1">
        <v>1796.0</v>
      </c>
      <c r="BD1749" s="1">
        <v>338000.0</v>
      </c>
      <c r="BE1749" s="2">
        <v>41880.0</v>
      </c>
      <c r="BF1749" s="2" t="s">
        <v>17190</v>
      </c>
      <c r="BH1749" s="1">
        <v>0.0</v>
      </c>
      <c r="BK1749" s="1" t="s">
        <v>204</v>
      </c>
      <c r="BL1749" s="1" t="str">
        <f>"4600"</f>
        <v>4600</v>
      </c>
      <c r="BM1749" s="1" t="str">
        <f>"0"</f>
        <v>0</v>
      </c>
      <c r="BN1749" s="1">
        <v>5018.0</v>
      </c>
      <c r="BO1749" s="1">
        <v>0.0</v>
      </c>
      <c r="BQ1749" s="1">
        <v>299.0</v>
      </c>
      <c r="BR1749" s="1">
        <v>299.0</v>
      </c>
      <c r="BS1749" s="1">
        <v>299.0</v>
      </c>
      <c r="BU1749" s="1" t="s">
        <v>3539</v>
      </c>
      <c r="BV1749" s="1" t="s">
        <v>206</v>
      </c>
      <c r="BW1749" s="1" t="s">
        <v>207</v>
      </c>
      <c r="BY1749" s="1" t="s">
        <v>16629</v>
      </c>
      <c r="BZ1749" s="1" t="s">
        <v>209</v>
      </c>
      <c r="CA1749" s="1" t="s">
        <v>210</v>
      </c>
      <c r="CC1749" s="1" t="s">
        <v>215</v>
      </c>
      <c r="CD1749" s="1" t="s">
        <v>206</v>
      </c>
      <c r="CE1749" s="1" t="s">
        <v>207</v>
      </c>
      <c r="CG1749" s="1" t="s">
        <v>264</v>
      </c>
      <c r="CH1749" s="1" t="s">
        <v>206</v>
      </c>
      <c r="CI1749" s="1" t="s">
        <v>210</v>
      </c>
      <c r="CK1749" s="1" t="s">
        <v>495</v>
      </c>
      <c r="CL1749" s="1" t="s">
        <v>206</v>
      </c>
      <c r="CM1749" s="1" t="s">
        <v>207</v>
      </c>
      <c r="CO1749" s="1" t="s">
        <v>2505</v>
      </c>
      <c r="CP1749" s="1" t="s">
        <v>209</v>
      </c>
      <c r="CQ1749" s="1" t="s">
        <v>210</v>
      </c>
      <c r="CS1749" s="1" t="s">
        <v>1298</v>
      </c>
      <c r="CT1749" s="1" t="s">
        <v>206</v>
      </c>
      <c r="CU1749" s="1" t="s">
        <v>207</v>
      </c>
      <c r="CX1749" s="1" t="s">
        <v>204</v>
      </c>
      <c r="DA1749" s="1" t="s">
        <v>200</v>
      </c>
      <c r="DC1749" s="1" t="s">
        <v>216</v>
      </c>
      <c r="DD1749" s="1" t="s">
        <v>518</v>
      </c>
      <c r="DE1749" s="1" t="s">
        <v>273</v>
      </c>
      <c r="DF1749" s="1" t="s">
        <v>219</v>
      </c>
      <c r="DG1749" s="1" t="s">
        <v>17191</v>
      </c>
      <c r="DH1749" s="1" t="s">
        <v>307</v>
      </c>
      <c r="DJ1749" s="1" t="s">
        <v>222</v>
      </c>
      <c r="DK1749" s="1" t="s">
        <v>790</v>
      </c>
      <c r="DL1749" s="1" t="s">
        <v>1224</v>
      </c>
      <c r="DM1749" s="1" t="s">
        <v>1464</v>
      </c>
      <c r="DO1749" s="1" t="s">
        <v>549</v>
      </c>
      <c r="DP1749" s="1" t="s">
        <v>340</v>
      </c>
      <c r="DQ1749" s="1" t="s">
        <v>794</v>
      </c>
      <c r="DR1749" s="1" t="s">
        <v>229</v>
      </c>
      <c r="DS1749" s="1" t="s">
        <v>230</v>
      </c>
      <c r="DV1749" s="1" t="s">
        <v>8342</v>
      </c>
      <c r="DW1749" s="1" t="s">
        <v>279</v>
      </c>
      <c r="DX1749" s="1" t="s">
        <v>1287</v>
      </c>
      <c r="DY1749" s="1" t="s">
        <v>553</v>
      </c>
      <c r="DZ1749" s="1" t="s">
        <v>1333</v>
      </c>
      <c r="EA1749" s="1" t="s">
        <v>644</v>
      </c>
      <c r="EB1749" s="1" t="s">
        <v>345</v>
      </c>
      <c r="EC1749" s="1" t="s">
        <v>237</v>
      </c>
      <c r="ED1749" s="1" t="s">
        <v>407</v>
      </c>
      <c r="EG1749" s="1" t="s">
        <v>1729</v>
      </c>
      <c r="EH1749" s="1" t="s">
        <v>598</v>
      </c>
      <c r="EL1749" s="1" t="s">
        <v>5211</v>
      </c>
      <c r="EM1749" s="1" t="s">
        <v>206</v>
      </c>
      <c r="EN1749" s="1" t="s">
        <v>207</v>
      </c>
      <c r="EP1749" s="1" t="s">
        <v>2505</v>
      </c>
      <c r="EQ1749" s="1" t="s">
        <v>209</v>
      </c>
      <c r="ER1749" s="1" t="s">
        <v>210</v>
      </c>
      <c r="EU1749" s="1" t="s">
        <v>238</v>
      </c>
      <c r="EY1749" s="1" t="s">
        <v>238</v>
      </c>
      <c r="FC1749" s="1" t="s">
        <v>238</v>
      </c>
      <c r="FF1749" s="1" t="s">
        <v>239</v>
      </c>
      <c r="FG1749" s="1" t="s">
        <v>192</v>
      </c>
      <c r="FH1749" s="1" t="s">
        <v>192</v>
      </c>
      <c r="FJ1749" s="1" t="s">
        <v>17192</v>
      </c>
      <c r="FK1749" s="1" t="s">
        <v>229</v>
      </c>
      <c r="FL1749" s="1" t="s">
        <v>1663</v>
      </c>
      <c r="FM1749" s="1">
        <v>17299.0</v>
      </c>
      <c r="FN1749" s="1" t="s">
        <v>1664</v>
      </c>
      <c r="FO1749" s="1" t="s">
        <v>17193</v>
      </c>
      <c r="FP1749" s="1">
        <v>107040.0</v>
      </c>
      <c r="FQ1749" s="1" t="s">
        <v>17194</v>
      </c>
      <c r="FU1749" s="1" t="s">
        <v>17195</v>
      </c>
      <c r="FV1749" s="1" t="s">
        <v>200</v>
      </c>
      <c r="FW1749" s="1" t="s">
        <v>17196</v>
      </c>
      <c r="FX1749" s="1" t="s">
        <v>246</v>
      </c>
      <c r="FZ1749" s="1" t="s">
        <v>632</v>
      </c>
      <c r="GA1749" s="1" t="s">
        <v>291</v>
      </c>
      <c r="GB1749" s="2">
        <v>41978.0</v>
      </c>
      <c r="GC1749" s="1" t="s">
        <v>17197</v>
      </c>
    </row>
    <row r="1750">
      <c r="A1750" s="1">
        <v>315000.0</v>
      </c>
      <c r="B1750" s="1" t="s">
        <v>185</v>
      </c>
      <c r="C1750" s="1" t="str">
        <f>"08710517"</f>
        <v>08710517</v>
      </c>
      <c r="D1750" s="1" t="s">
        <v>186</v>
      </c>
      <c r="F1750" s="1" t="str">
        <f>"8061"</f>
        <v>8061</v>
      </c>
      <c r="G1750" s="2">
        <v>41876.0</v>
      </c>
      <c r="H1750" s="1">
        <v>325000.0</v>
      </c>
      <c r="I1750" s="1">
        <v>75.0</v>
      </c>
      <c r="J1750" s="1">
        <v>335000.0</v>
      </c>
      <c r="K1750" s="2">
        <v>41950.0</v>
      </c>
      <c r="L1750" s="1">
        <v>75.0</v>
      </c>
      <c r="M1750" s="2">
        <v>41950.0</v>
      </c>
      <c r="N1750" s="1" t="s">
        <v>187</v>
      </c>
      <c r="O1750" s="2">
        <v>42031.0</v>
      </c>
      <c r="P1750" s="1">
        <v>874710.0</v>
      </c>
      <c r="Q1750" s="1">
        <v>85685.0</v>
      </c>
      <c r="S1750" s="1">
        <v>4525.0</v>
      </c>
      <c r="T1750" s="1" t="s">
        <v>17198</v>
      </c>
      <c r="U1750" s="1" t="s">
        <v>320</v>
      </c>
      <c r="V1750" s="1" t="s">
        <v>190</v>
      </c>
      <c r="W1750" s="1">
        <v>60609.0</v>
      </c>
      <c r="Y1750" s="1" t="s">
        <v>17199</v>
      </c>
      <c r="Z1750" s="1">
        <v>2014.0</v>
      </c>
      <c r="AA1750" s="1" t="s">
        <v>200</v>
      </c>
      <c r="AB1750" s="1" t="s">
        <v>193</v>
      </c>
      <c r="AD1750" s="1" t="s">
        <v>194</v>
      </c>
      <c r="AE1750" s="1" t="s">
        <v>195</v>
      </c>
      <c r="AF1750" s="1" t="s">
        <v>659</v>
      </c>
      <c r="AG1750" s="1" t="s">
        <v>17200</v>
      </c>
      <c r="AH1750" s="1" t="s">
        <v>741</v>
      </c>
      <c r="AK1750" s="1">
        <v>7.0</v>
      </c>
      <c r="AL1750" s="1">
        <v>2.0</v>
      </c>
      <c r="AM1750" s="1">
        <v>3.0</v>
      </c>
      <c r="AN1750" s="1">
        <v>0.0</v>
      </c>
      <c r="AO1750" s="1" t="s">
        <v>229</v>
      </c>
      <c r="AQ1750" s="1" t="s">
        <v>198</v>
      </c>
      <c r="AR1750" s="1" t="s">
        <v>192</v>
      </c>
      <c r="AS1750" s="1" t="s">
        <v>199</v>
      </c>
      <c r="AT1750" s="1">
        <v>2.0</v>
      </c>
      <c r="AV1750" s="1" t="s">
        <v>200</v>
      </c>
      <c r="AW1750" s="1">
        <v>500.0</v>
      </c>
      <c r="AX1750" s="1">
        <v>2012.0</v>
      </c>
      <c r="AY1750" s="1" t="s">
        <v>229</v>
      </c>
      <c r="AZ1750" s="1" t="s">
        <v>200</v>
      </c>
      <c r="BA1750" s="1" t="str">
        <f>"20043220260000"</f>
        <v>20043220260000</v>
      </c>
      <c r="BB1750" s="1" t="s">
        <v>200</v>
      </c>
      <c r="BC1750" s="1">
        <v>2500.0</v>
      </c>
      <c r="BD1750" s="1">
        <v>315000.0</v>
      </c>
      <c r="BE1750" s="2">
        <v>41876.0</v>
      </c>
      <c r="BF1750" s="2" t="s">
        <v>17201</v>
      </c>
      <c r="BH1750" s="1">
        <v>0.0</v>
      </c>
      <c r="BK1750" s="1" t="s">
        <v>204</v>
      </c>
      <c r="BL1750" s="1" t="str">
        <f t="shared" ref="BL1750:BM1750" si="1152">"0"</f>
        <v>0</v>
      </c>
      <c r="BM1750" s="1" t="str">
        <f t="shared" si="1152"/>
        <v>0</v>
      </c>
      <c r="BN1750" s="1">
        <v>600.0</v>
      </c>
      <c r="BO1750" s="1">
        <v>4525.0</v>
      </c>
      <c r="BQ1750" s="1">
        <v>299.0</v>
      </c>
      <c r="BR1750" s="1">
        <v>299.0</v>
      </c>
      <c r="BS1750" s="1">
        <v>299.0</v>
      </c>
      <c r="BU1750" s="1" t="s">
        <v>784</v>
      </c>
      <c r="BV1750" s="1" t="s">
        <v>206</v>
      </c>
      <c r="BW1750" s="1" t="s">
        <v>207</v>
      </c>
      <c r="BX1750" s="1" t="s">
        <v>229</v>
      </c>
      <c r="BY1750" s="1" t="s">
        <v>1426</v>
      </c>
      <c r="BZ1750" s="1" t="s">
        <v>206</v>
      </c>
      <c r="CA1750" s="1" t="s">
        <v>207</v>
      </c>
      <c r="CD1750" s="1" t="s">
        <v>204</v>
      </c>
      <c r="CG1750" s="1" t="s">
        <v>663</v>
      </c>
      <c r="CH1750" s="1" t="s">
        <v>206</v>
      </c>
      <c r="CI1750" s="1" t="s">
        <v>588</v>
      </c>
      <c r="CK1750" s="1" t="s">
        <v>433</v>
      </c>
      <c r="CL1750" s="1" t="s">
        <v>42</v>
      </c>
      <c r="CO1750" s="1" t="s">
        <v>363</v>
      </c>
      <c r="CP1750" s="1" t="s">
        <v>42</v>
      </c>
      <c r="CS1750" s="1" t="s">
        <v>211</v>
      </c>
      <c r="CT1750" s="1" t="s">
        <v>206</v>
      </c>
      <c r="CU1750" s="1" t="s">
        <v>207</v>
      </c>
      <c r="CW1750" s="1" t="s">
        <v>2441</v>
      </c>
      <c r="CX1750" s="1" t="s">
        <v>42</v>
      </c>
      <c r="CY1750" s="1" t="s">
        <v>210</v>
      </c>
      <c r="DA1750" s="1" t="s">
        <v>192</v>
      </c>
      <c r="DB1750" s="2">
        <v>41943.0</v>
      </c>
      <c r="DC1750" s="1" t="s">
        <v>744</v>
      </c>
      <c r="DD1750" s="1" t="s">
        <v>518</v>
      </c>
      <c r="DE1750" s="1" t="s">
        <v>273</v>
      </c>
      <c r="DF1750" s="1" t="s">
        <v>905</v>
      </c>
      <c r="DH1750" s="1" t="s">
        <v>365</v>
      </c>
      <c r="DJ1750" s="1" t="s">
        <v>222</v>
      </c>
      <c r="DL1750" s="1" t="s">
        <v>224</v>
      </c>
      <c r="DM1750" s="1" t="s">
        <v>229</v>
      </c>
      <c r="DO1750" s="1" t="s">
        <v>590</v>
      </c>
      <c r="DQ1750" s="1" t="s">
        <v>228</v>
      </c>
      <c r="DR1750" s="1" t="s">
        <v>229</v>
      </c>
      <c r="DT1750" s="1" t="s">
        <v>17202</v>
      </c>
      <c r="DV1750" s="1" t="s">
        <v>232</v>
      </c>
      <c r="DW1750" s="1" t="s">
        <v>279</v>
      </c>
      <c r="DX1750" s="1" t="s">
        <v>1287</v>
      </c>
      <c r="DY1750" s="1" t="s">
        <v>13201</v>
      </c>
      <c r="EA1750" s="1" t="s">
        <v>588</v>
      </c>
      <c r="EC1750" s="1" t="s">
        <v>685</v>
      </c>
      <c r="ED1750" s="1" t="s">
        <v>555</v>
      </c>
      <c r="EM1750" s="1" t="s">
        <v>238</v>
      </c>
      <c r="EQ1750" s="1" t="s">
        <v>238</v>
      </c>
      <c r="EU1750" s="1" t="s">
        <v>238</v>
      </c>
      <c r="EY1750" s="1" t="s">
        <v>238</v>
      </c>
      <c r="FC1750" s="1" t="s">
        <v>238</v>
      </c>
      <c r="FF1750" s="1" t="s">
        <v>239</v>
      </c>
      <c r="FG1750" s="1" t="s">
        <v>192</v>
      </c>
      <c r="FH1750" s="1" t="s">
        <v>192</v>
      </c>
      <c r="FJ1750" s="1" t="s">
        <v>1469</v>
      </c>
      <c r="FK1750" s="1" t="s">
        <v>229</v>
      </c>
      <c r="FL1750" s="1" t="s">
        <v>17203</v>
      </c>
      <c r="FM1750" s="1">
        <v>18410.0</v>
      </c>
      <c r="FN1750" s="1" t="s">
        <v>17204</v>
      </c>
      <c r="FO1750" s="1" t="s">
        <v>17205</v>
      </c>
      <c r="FP1750" s="1">
        <v>129854.0</v>
      </c>
      <c r="FQ1750" s="1" t="s">
        <v>17206</v>
      </c>
      <c r="FU1750" s="1" t="s">
        <v>17207</v>
      </c>
      <c r="FV1750" s="1" t="s">
        <v>200</v>
      </c>
      <c r="FW1750" s="1" t="s">
        <v>17208</v>
      </c>
      <c r="FX1750" s="1" t="s">
        <v>655</v>
      </c>
      <c r="FZ1750" s="1" t="s">
        <v>229</v>
      </c>
      <c r="GA1750" s="1" t="s">
        <v>247</v>
      </c>
      <c r="GB1750" s="2">
        <v>42031.0</v>
      </c>
      <c r="GC1750" s="1" t="s">
        <v>17209</v>
      </c>
    </row>
    <row r="1751">
      <c r="A1751" s="1">
        <v>350000.0</v>
      </c>
      <c r="B1751" s="1" t="s">
        <v>185</v>
      </c>
      <c r="C1751" s="1" t="str">
        <f>"08700730"</f>
        <v>08700730</v>
      </c>
      <c r="D1751" s="1" t="s">
        <v>186</v>
      </c>
      <c r="F1751" s="1" t="str">
        <f>"123"</f>
        <v>123</v>
      </c>
      <c r="G1751" s="2">
        <v>41864.0</v>
      </c>
      <c r="H1751" s="1">
        <v>409900.0</v>
      </c>
      <c r="I1751" s="1">
        <v>191.0</v>
      </c>
      <c r="J1751" s="1">
        <v>359900.0</v>
      </c>
      <c r="K1751" s="2">
        <v>42053.0</v>
      </c>
      <c r="L1751" s="1">
        <v>191.0</v>
      </c>
      <c r="M1751" s="2">
        <v>42053.0</v>
      </c>
      <c r="N1751" s="1" t="s">
        <v>187</v>
      </c>
      <c r="O1751" s="2">
        <v>42103.0</v>
      </c>
      <c r="P1751" s="1">
        <v>240478.0</v>
      </c>
      <c r="Q1751" s="1">
        <v>25695.0</v>
      </c>
      <c r="S1751" s="1">
        <v>301.0</v>
      </c>
      <c r="T1751" s="1" t="s">
        <v>17210</v>
      </c>
      <c r="U1751" s="1" t="s">
        <v>569</v>
      </c>
      <c r="V1751" s="1" t="s">
        <v>465</v>
      </c>
      <c r="W1751" s="1">
        <v>60124.0</v>
      </c>
      <c r="Y1751" s="1" t="s">
        <v>17211</v>
      </c>
      <c r="Z1751" s="1">
        <v>2006.0</v>
      </c>
      <c r="AA1751" s="1" t="s">
        <v>200</v>
      </c>
      <c r="AB1751" s="1" t="s">
        <v>467</v>
      </c>
      <c r="AC1751" s="1" t="s">
        <v>13378</v>
      </c>
      <c r="AD1751" s="1" t="s">
        <v>469</v>
      </c>
      <c r="AE1751" s="1" t="s">
        <v>325</v>
      </c>
      <c r="AF1751" s="1" t="s">
        <v>572</v>
      </c>
      <c r="AG1751" s="1" t="s">
        <v>7246</v>
      </c>
      <c r="AH1751" s="1" t="s">
        <v>17212</v>
      </c>
      <c r="AI1751" s="1">
        <v>0.266</v>
      </c>
      <c r="AK1751" s="1">
        <v>14.0</v>
      </c>
      <c r="AL1751" s="1">
        <v>4.0</v>
      </c>
      <c r="AM1751" s="1">
        <v>3.0</v>
      </c>
      <c r="AN1751" s="1">
        <v>1.0</v>
      </c>
      <c r="AO1751" s="1" t="s">
        <v>198</v>
      </c>
      <c r="AP1751" s="1">
        <v>1.0</v>
      </c>
      <c r="AQ1751" s="1" t="s">
        <v>327</v>
      </c>
      <c r="AR1751" s="1" t="s">
        <v>192</v>
      </c>
      <c r="AS1751" s="1" t="s">
        <v>199</v>
      </c>
      <c r="AT1751" s="1">
        <v>3.0</v>
      </c>
      <c r="AV1751" s="1" t="s">
        <v>200</v>
      </c>
      <c r="AW1751" s="1">
        <v>11018.0</v>
      </c>
      <c r="AX1751" s="1">
        <v>2013.0</v>
      </c>
      <c r="AY1751" s="1" t="s">
        <v>387</v>
      </c>
      <c r="AZ1751" s="1" t="s">
        <v>200</v>
      </c>
      <c r="BA1751" s="1" t="str">
        <f>"0524284002"</f>
        <v>0524284002</v>
      </c>
      <c r="BC1751" s="1">
        <v>3122.0</v>
      </c>
      <c r="BD1751" s="1">
        <v>350000.0</v>
      </c>
      <c r="BE1751" s="2">
        <v>41863.0</v>
      </c>
      <c r="BF1751" s="2" t="s">
        <v>17213</v>
      </c>
      <c r="BG1751" s="1" t="s">
        <v>3686</v>
      </c>
      <c r="BH1751" s="1">
        <v>35.0</v>
      </c>
      <c r="BI1751" s="1" t="s">
        <v>578</v>
      </c>
      <c r="BJ1751" s="1" t="s">
        <v>579</v>
      </c>
      <c r="BK1751" s="1" t="s">
        <v>474</v>
      </c>
      <c r="BL1751" s="1" t="str">
        <f>"11"</f>
        <v>11</v>
      </c>
      <c r="BM1751" s="1" t="str">
        <f>""</f>
        <v/>
      </c>
      <c r="BN1751" s="1">
        <v>38.0</v>
      </c>
      <c r="BQ1751" s="1">
        <v>301.0</v>
      </c>
      <c r="BR1751" s="1">
        <v>301.0</v>
      </c>
      <c r="BS1751" s="1">
        <v>301.0</v>
      </c>
      <c r="BU1751" s="1" t="s">
        <v>332</v>
      </c>
      <c r="BV1751" s="1" t="s">
        <v>206</v>
      </c>
      <c r="BW1751" s="1" t="s">
        <v>210</v>
      </c>
      <c r="BY1751" s="1" t="s">
        <v>782</v>
      </c>
      <c r="BZ1751" s="1" t="s">
        <v>209</v>
      </c>
      <c r="CA1751" s="1" t="s">
        <v>210</v>
      </c>
      <c r="CB1751" s="1" t="s">
        <v>1118</v>
      </c>
      <c r="CC1751" s="1" t="s">
        <v>212</v>
      </c>
      <c r="CD1751" s="1" t="s">
        <v>206</v>
      </c>
      <c r="CE1751" s="1" t="s">
        <v>210</v>
      </c>
      <c r="CG1751" s="1" t="s">
        <v>495</v>
      </c>
      <c r="CH1751" s="1" t="s">
        <v>209</v>
      </c>
      <c r="CI1751" s="1" t="s">
        <v>210</v>
      </c>
      <c r="CJ1751" s="1" t="s">
        <v>431</v>
      </c>
      <c r="CK1751" s="1" t="s">
        <v>495</v>
      </c>
      <c r="CL1751" s="1" t="s">
        <v>209</v>
      </c>
      <c r="CM1751" s="1" t="s">
        <v>210</v>
      </c>
      <c r="CN1751" s="1" t="s">
        <v>431</v>
      </c>
      <c r="CO1751" s="1" t="s">
        <v>331</v>
      </c>
      <c r="CP1751" s="1" t="s">
        <v>209</v>
      </c>
      <c r="CQ1751" s="1" t="s">
        <v>210</v>
      </c>
      <c r="CR1751" s="1" t="s">
        <v>431</v>
      </c>
      <c r="CS1751" s="1" t="s">
        <v>208</v>
      </c>
      <c r="CT1751" s="1" t="s">
        <v>206</v>
      </c>
      <c r="CU1751" s="1" t="s">
        <v>207</v>
      </c>
      <c r="CW1751" s="1" t="s">
        <v>477</v>
      </c>
      <c r="CX1751" s="1" t="s">
        <v>206</v>
      </c>
      <c r="CY1751" s="1" t="s">
        <v>210</v>
      </c>
      <c r="CZ1751" s="1" t="s">
        <v>1118</v>
      </c>
      <c r="DA1751" s="1" t="s">
        <v>200</v>
      </c>
      <c r="DC1751" s="1" t="s">
        <v>481</v>
      </c>
      <c r="DD1751" s="1" t="s">
        <v>1838</v>
      </c>
      <c r="DE1751" s="1" t="s">
        <v>273</v>
      </c>
      <c r="DF1751" s="1" t="s">
        <v>219</v>
      </c>
      <c r="DG1751" s="1" t="s">
        <v>2237</v>
      </c>
      <c r="DH1751" s="1" t="s">
        <v>220</v>
      </c>
      <c r="DI1751" s="1" t="s">
        <v>1003</v>
      </c>
      <c r="DJ1751" s="1" t="s">
        <v>1048</v>
      </c>
      <c r="DL1751" s="1" t="s">
        <v>1161</v>
      </c>
      <c r="DM1751" s="1" t="s">
        <v>229</v>
      </c>
      <c r="DN1751" s="1" t="s">
        <v>399</v>
      </c>
      <c r="DP1751" s="1" t="s">
        <v>276</v>
      </c>
      <c r="DQ1751" s="1" t="s">
        <v>441</v>
      </c>
      <c r="DR1751" s="1" t="s">
        <v>588</v>
      </c>
      <c r="DS1751" s="1" t="s">
        <v>230</v>
      </c>
      <c r="DV1751" s="1" t="s">
        <v>17214</v>
      </c>
      <c r="DW1751" s="1" t="s">
        <v>588</v>
      </c>
      <c r="DX1751" s="1" t="s">
        <v>234</v>
      </c>
      <c r="DY1751" s="1" t="s">
        <v>490</v>
      </c>
      <c r="DZ1751" s="1" t="s">
        <v>12950</v>
      </c>
      <c r="EA1751" s="1" t="s">
        <v>447</v>
      </c>
      <c r="EB1751" s="1" t="s">
        <v>684</v>
      </c>
      <c r="EC1751" s="1" t="s">
        <v>237</v>
      </c>
      <c r="ED1751" s="1" t="s">
        <v>407</v>
      </c>
      <c r="EG1751" s="1" t="s">
        <v>449</v>
      </c>
      <c r="EH1751" s="1" t="s">
        <v>598</v>
      </c>
      <c r="EI1751" s="1" t="s">
        <v>341</v>
      </c>
      <c r="EJ1751" s="1" t="s">
        <v>450</v>
      </c>
      <c r="EK1751" s="1" t="s">
        <v>1824</v>
      </c>
      <c r="EL1751" s="1" t="s">
        <v>972</v>
      </c>
      <c r="EM1751" s="1" t="s">
        <v>206</v>
      </c>
      <c r="EN1751" s="1" t="s">
        <v>207</v>
      </c>
      <c r="EP1751" s="1" t="s">
        <v>269</v>
      </c>
      <c r="EQ1751" s="1" t="s">
        <v>206</v>
      </c>
      <c r="ER1751" s="1" t="s">
        <v>210</v>
      </c>
      <c r="ES1751" s="1" t="s">
        <v>431</v>
      </c>
      <c r="ET1751" s="1" t="s">
        <v>433</v>
      </c>
      <c r="EU1751" s="1" t="s">
        <v>209</v>
      </c>
      <c r="EV1751" s="1" t="s">
        <v>210</v>
      </c>
      <c r="EW1751" s="1" t="s">
        <v>431</v>
      </c>
      <c r="EX1751" s="1" t="s">
        <v>17215</v>
      </c>
      <c r="EY1751" s="1" t="s">
        <v>1697</v>
      </c>
      <c r="EZ1751" s="1" t="s">
        <v>268</v>
      </c>
      <c r="FA1751" s="1" t="s">
        <v>431</v>
      </c>
      <c r="FB1751" s="1" t="s">
        <v>15917</v>
      </c>
      <c r="FC1751" s="1" t="s">
        <v>1697</v>
      </c>
      <c r="FD1751" s="1" t="s">
        <v>210</v>
      </c>
      <c r="FE1751" s="1" t="s">
        <v>431</v>
      </c>
      <c r="FF1751" s="1" t="s">
        <v>239</v>
      </c>
      <c r="FG1751" s="1" t="s">
        <v>192</v>
      </c>
      <c r="FH1751" s="1" t="s">
        <v>192</v>
      </c>
      <c r="FJ1751" s="1" t="s">
        <v>1123</v>
      </c>
      <c r="FK1751" s="1" t="s">
        <v>229</v>
      </c>
      <c r="FL1751" s="1" t="s">
        <v>1124</v>
      </c>
      <c r="FM1751" s="1">
        <v>8059.0</v>
      </c>
      <c r="FN1751" s="1" t="s">
        <v>7340</v>
      </c>
      <c r="FO1751" s="1" t="s">
        <v>17216</v>
      </c>
      <c r="FP1751" s="1">
        <v>83446.0</v>
      </c>
      <c r="FQ1751" s="1" t="s">
        <v>17217</v>
      </c>
      <c r="FU1751" s="1" t="s">
        <v>17218</v>
      </c>
      <c r="FV1751" s="1" t="s">
        <v>200</v>
      </c>
      <c r="FW1751" s="1" t="s">
        <v>17219</v>
      </c>
      <c r="FZ1751" s="1" t="s">
        <v>229</v>
      </c>
      <c r="GA1751" s="1" t="s">
        <v>291</v>
      </c>
      <c r="GB1751" s="2">
        <v>42103.0</v>
      </c>
      <c r="GC1751" s="1" t="s">
        <v>17220</v>
      </c>
    </row>
    <row r="1752">
      <c r="A1752" s="1">
        <v>199900.0</v>
      </c>
      <c r="B1752" s="1" t="s">
        <v>185</v>
      </c>
      <c r="C1752" s="1" t="str">
        <f>"08699811"</f>
        <v>08699811</v>
      </c>
      <c r="D1752" s="1" t="s">
        <v>186</v>
      </c>
      <c r="F1752" s="1" t="str">
        <f t="shared" ref="F1752:F1753" si="1154">"560"</f>
        <v>560</v>
      </c>
      <c r="G1752" s="2">
        <v>41863.0</v>
      </c>
      <c r="H1752" s="1">
        <v>281900.0</v>
      </c>
      <c r="I1752" s="1">
        <v>161.0</v>
      </c>
      <c r="J1752" s="1">
        <v>214900.0</v>
      </c>
      <c r="K1752" s="2">
        <v>42022.0</v>
      </c>
      <c r="L1752" s="1">
        <v>161.0</v>
      </c>
      <c r="M1752" s="2">
        <v>42022.0</v>
      </c>
      <c r="N1752" s="1" t="s">
        <v>249</v>
      </c>
      <c r="O1752" s="2">
        <v>42041.0</v>
      </c>
      <c r="P1752" s="1">
        <v>245363.0</v>
      </c>
      <c r="Q1752" s="1">
        <v>22029.0</v>
      </c>
      <c r="S1752" s="1">
        <v>2743.0</v>
      </c>
      <c r="T1752" s="1" t="s">
        <v>6835</v>
      </c>
      <c r="U1752" s="1" t="s">
        <v>569</v>
      </c>
      <c r="V1752" s="1" t="s">
        <v>845</v>
      </c>
      <c r="W1752" s="1">
        <v>60560.0</v>
      </c>
      <c r="Y1752" s="1" t="s">
        <v>17221</v>
      </c>
      <c r="Z1752" s="1">
        <v>2006.0</v>
      </c>
      <c r="AA1752" s="1" t="s">
        <v>200</v>
      </c>
      <c r="AB1752" s="1" t="s">
        <v>467</v>
      </c>
      <c r="AD1752" s="1" t="s">
        <v>848</v>
      </c>
      <c r="AE1752" s="1" t="s">
        <v>849</v>
      </c>
      <c r="AF1752" s="1" t="s">
        <v>1312</v>
      </c>
      <c r="AH1752" s="1" t="s">
        <v>12986</v>
      </c>
      <c r="AI1752" s="1">
        <v>0.2947</v>
      </c>
      <c r="AK1752" s="1">
        <v>10.0</v>
      </c>
      <c r="AL1752" s="1">
        <v>4.0</v>
      </c>
      <c r="AM1752" s="1">
        <v>3.0</v>
      </c>
      <c r="AN1752" s="1">
        <v>0.0</v>
      </c>
      <c r="AO1752" s="1" t="s">
        <v>198</v>
      </c>
      <c r="AP1752" s="1">
        <v>1.0</v>
      </c>
      <c r="AQ1752" s="1" t="s">
        <v>198</v>
      </c>
      <c r="AR1752" s="1" t="s">
        <v>200</v>
      </c>
      <c r="AS1752" s="1" t="s">
        <v>199</v>
      </c>
      <c r="AT1752" s="1">
        <v>2.0</v>
      </c>
      <c r="AV1752" s="1" t="s">
        <v>200</v>
      </c>
      <c r="AW1752" s="1">
        <v>7234.48</v>
      </c>
      <c r="AX1752" s="1">
        <v>2013.0</v>
      </c>
      <c r="AZ1752" s="1" t="s">
        <v>200</v>
      </c>
      <c r="BA1752" s="1" t="str">
        <f>"0217452016"</f>
        <v>0217452016</v>
      </c>
      <c r="BC1752" s="1">
        <v>2996.0</v>
      </c>
      <c r="BD1752" s="1">
        <v>199900.0</v>
      </c>
      <c r="BE1752" s="2">
        <v>41862.0</v>
      </c>
      <c r="BF1752" s="2" t="s">
        <v>17222</v>
      </c>
      <c r="BH1752" s="1">
        <v>55.0</v>
      </c>
      <c r="BK1752" s="1" t="s">
        <v>474</v>
      </c>
      <c r="BL1752" s="1" t="str">
        <f t="shared" ref="BL1752:BM1752" si="1153">""</f>
        <v/>
      </c>
      <c r="BM1752" s="1" t="str">
        <f t="shared" si="1153"/>
        <v/>
      </c>
      <c r="BQ1752" s="1">
        <v>115.0</v>
      </c>
      <c r="BR1752" s="1">
        <v>115.0</v>
      </c>
      <c r="BS1752" s="1">
        <v>115.0</v>
      </c>
      <c r="BU1752" s="1" t="s">
        <v>433</v>
      </c>
      <c r="BV1752" s="1" t="s">
        <v>206</v>
      </c>
      <c r="BW1752" s="1" t="s">
        <v>210</v>
      </c>
      <c r="BY1752" s="1" t="s">
        <v>3539</v>
      </c>
      <c r="BZ1752" s="1" t="s">
        <v>209</v>
      </c>
      <c r="CA1752" s="1" t="s">
        <v>210</v>
      </c>
      <c r="CC1752" s="1" t="s">
        <v>699</v>
      </c>
      <c r="CD1752" s="1" t="s">
        <v>206</v>
      </c>
      <c r="CE1752" s="1" t="s">
        <v>210</v>
      </c>
      <c r="CG1752" s="1" t="s">
        <v>582</v>
      </c>
      <c r="CH1752" s="1" t="s">
        <v>209</v>
      </c>
      <c r="CI1752" s="1" t="s">
        <v>210</v>
      </c>
      <c r="CK1752" s="1" t="s">
        <v>454</v>
      </c>
      <c r="CL1752" s="1" t="s">
        <v>209</v>
      </c>
      <c r="CM1752" s="1" t="s">
        <v>210</v>
      </c>
      <c r="CO1752" s="1" t="s">
        <v>331</v>
      </c>
      <c r="CP1752" s="1" t="s">
        <v>209</v>
      </c>
      <c r="CQ1752" s="1" t="s">
        <v>210</v>
      </c>
      <c r="CS1752" s="1" t="s">
        <v>205</v>
      </c>
      <c r="CT1752" s="1" t="s">
        <v>206</v>
      </c>
      <c r="CU1752" s="1" t="s">
        <v>617</v>
      </c>
      <c r="CW1752" s="1" t="s">
        <v>477</v>
      </c>
      <c r="CX1752" s="1" t="s">
        <v>206</v>
      </c>
      <c r="CY1752" s="1" t="s">
        <v>210</v>
      </c>
      <c r="DA1752" s="1" t="s">
        <v>200</v>
      </c>
      <c r="DC1752" s="1" t="s">
        <v>481</v>
      </c>
      <c r="DD1752" s="1" t="s">
        <v>336</v>
      </c>
      <c r="DE1752" s="1" t="s">
        <v>273</v>
      </c>
      <c r="DF1752" s="1" t="s">
        <v>219</v>
      </c>
      <c r="DG1752" s="1" t="s">
        <v>10620</v>
      </c>
      <c r="DH1752" s="1" t="s">
        <v>220</v>
      </c>
      <c r="DJ1752" s="1" t="s">
        <v>222</v>
      </c>
      <c r="DL1752" s="1" t="s">
        <v>3611</v>
      </c>
      <c r="DM1752" s="1" t="s">
        <v>229</v>
      </c>
      <c r="DN1752" s="1" t="s">
        <v>485</v>
      </c>
      <c r="DP1752" s="1" t="s">
        <v>340</v>
      </c>
      <c r="DQ1752" s="1" t="s">
        <v>441</v>
      </c>
      <c r="DR1752" s="1" t="s">
        <v>4273</v>
      </c>
      <c r="DS1752" s="1" t="s">
        <v>230</v>
      </c>
      <c r="DV1752" s="1" t="s">
        <v>6535</v>
      </c>
      <c r="DW1752" s="1" t="s">
        <v>233</v>
      </c>
      <c r="DX1752" s="1" t="s">
        <v>234</v>
      </c>
      <c r="DY1752" s="1" t="s">
        <v>17223</v>
      </c>
      <c r="DZ1752" s="1" t="s">
        <v>343</v>
      </c>
      <c r="EB1752" s="1" t="s">
        <v>1639</v>
      </c>
      <c r="EC1752" s="1" t="s">
        <v>237</v>
      </c>
      <c r="EE1752" s="1" t="s">
        <v>493</v>
      </c>
      <c r="EG1752" s="1" t="s">
        <v>341</v>
      </c>
      <c r="EH1752" s="1" t="s">
        <v>598</v>
      </c>
      <c r="EL1752" s="1" t="s">
        <v>729</v>
      </c>
      <c r="EM1752" s="1" t="s">
        <v>209</v>
      </c>
      <c r="EN1752" s="1" t="s">
        <v>210</v>
      </c>
      <c r="EP1752" s="1" t="s">
        <v>212</v>
      </c>
      <c r="EQ1752" s="1" t="s">
        <v>206</v>
      </c>
      <c r="ER1752" s="1" t="s">
        <v>210</v>
      </c>
      <c r="EU1752" s="1" t="s">
        <v>238</v>
      </c>
      <c r="EY1752" s="1" t="s">
        <v>238</v>
      </c>
      <c r="FC1752" s="1" t="s">
        <v>238</v>
      </c>
      <c r="FF1752" s="1" t="s">
        <v>239</v>
      </c>
      <c r="FG1752" s="1" t="s">
        <v>192</v>
      </c>
      <c r="FH1752" s="1" t="s">
        <v>192</v>
      </c>
      <c r="FJ1752" s="1" t="s">
        <v>16255</v>
      </c>
      <c r="FK1752" s="1" t="s">
        <v>557</v>
      </c>
      <c r="FL1752" s="1" t="s">
        <v>1007</v>
      </c>
      <c r="FM1752" s="1">
        <v>22588.0</v>
      </c>
      <c r="FN1752" s="1" t="s">
        <v>1321</v>
      </c>
      <c r="FO1752" s="1" t="s">
        <v>3635</v>
      </c>
      <c r="FP1752" s="1">
        <v>222152.0</v>
      </c>
      <c r="FQ1752" s="1" t="s">
        <v>3636</v>
      </c>
      <c r="FR1752" s="1">
        <v>226878.0</v>
      </c>
      <c r="FS1752" s="1" t="s">
        <v>3637</v>
      </c>
      <c r="FU1752" s="1" t="s">
        <v>3638</v>
      </c>
      <c r="FV1752" s="1" t="s">
        <v>200</v>
      </c>
      <c r="FW1752" s="1" t="s">
        <v>354</v>
      </c>
      <c r="FZ1752" s="1" t="s">
        <v>229</v>
      </c>
      <c r="GA1752" s="1" t="s">
        <v>291</v>
      </c>
      <c r="GB1752" s="2">
        <v>42041.0</v>
      </c>
      <c r="GC1752" s="1" t="s">
        <v>17224</v>
      </c>
    </row>
    <row r="1753">
      <c r="A1753" s="1">
        <v>215599.0</v>
      </c>
      <c r="B1753" s="1" t="s">
        <v>185</v>
      </c>
      <c r="C1753" s="1" t="str">
        <f>"08700807"</f>
        <v>08700807</v>
      </c>
      <c r="D1753" s="1" t="s">
        <v>186</v>
      </c>
      <c r="F1753" s="1" t="str">
        <f t="shared" si="1154"/>
        <v>560</v>
      </c>
      <c r="G1753" s="2">
        <v>41864.0</v>
      </c>
      <c r="H1753" s="1">
        <v>296800.0</v>
      </c>
      <c r="I1753" s="1">
        <v>221.0</v>
      </c>
      <c r="J1753" s="1">
        <v>230000.0</v>
      </c>
      <c r="K1753" s="2">
        <v>42083.0</v>
      </c>
      <c r="L1753" s="1">
        <v>221.0</v>
      </c>
      <c r="M1753" s="2">
        <v>42083.0</v>
      </c>
      <c r="N1753" s="1" t="s">
        <v>249</v>
      </c>
      <c r="O1753" s="2">
        <v>42094.0</v>
      </c>
      <c r="P1753" s="1">
        <v>233998.0</v>
      </c>
      <c r="Q1753" s="1">
        <v>23279.0</v>
      </c>
      <c r="S1753" s="1">
        <v>330.0</v>
      </c>
      <c r="T1753" s="1" t="s">
        <v>10575</v>
      </c>
      <c r="U1753" s="1" t="s">
        <v>420</v>
      </c>
      <c r="V1753" s="1" t="s">
        <v>845</v>
      </c>
      <c r="W1753" s="1">
        <v>60560.0</v>
      </c>
      <c r="Y1753" s="1" t="s">
        <v>11569</v>
      </c>
      <c r="Z1753" s="1">
        <v>2001.0</v>
      </c>
      <c r="AA1753" s="1" t="s">
        <v>200</v>
      </c>
      <c r="AB1753" s="1" t="s">
        <v>467</v>
      </c>
      <c r="AC1753" s="1" t="s">
        <v>5549</v>
      </c>
      <c r="AD1753" s="1" t="s">
        <v>848</v>
      </c>
      <c r="AE1753" s="1" t="s">
        <v>849</v>
      </c>
      <c r="AF1753" s="1" t="s">
        <v>1529</v>
      </c>
      <c r="AH1753" s="1" t="s">
        <v>17225</v>
      </c>
      <c r="AI1753" s="1">
        <v>1.1891</v>
      </c>
      <c r="AK1753" s="1">
        <v>8.0</v>
      </c>
      <c r="AL1753" s="1">
        <v>4.0</v>
      </c>
      <c r="AM1753" s="1">
        <v>2.0</v>
      </c>
      <c r="AN1753" s="1">
        <v>1.0</v>
      </c>
      <c r="AO1753" s="1" t="s">
        <v>198</v>
      </c>
      <c r="AP1753" s="1">
        <v>1.0</v>
      </c>
      <c r="AQ1753" s="1" t="s">
        <v>1314</v>
      </c>
      <c r="AR1753" s="1" t="s">
        <v>192</v>
      </c>
      <c r="AS1753" s="1" t="s">
        <v>199</v>
      </c>
      <c r="AT1753" s="1">
        <v>3.0</v>
      </c>
      <c r="AV1753" s="1" t="s">
        <v>200</v>
      </c>
      <c r="AW1753" s="1">
        <v>9184.58</v>
      </c>
      <c r="AX1753" s="1">
        <v>2012.0</v>
      </c>
      <c r="AZ1753" s="1" t="s">
        <v>545</v>
      </c>
      <c r="BA1753" s="1" t="str">
        <f>"0235301001"</f>
        <v>0235301001</v>
      </c>
      <c r="BC1753" s="1">
        <v>2438.0</v>
      </c>
      <c r="BD1753" s="1">
        <v>215599.0</v>
      </c>
      <c r="BE1753" s="2">
        <v>41863.0</v>
      </c>
      <c r="BF1753" s="1" t="s">
        <v>17226</v>
      </c>
      <c r="BH1753" s="1">
        <v>360.0</v>
      </c>
      <c r="BK1753" s="1" t="s">
        <v>580</v>
      </c>
      <c r="BL1753" s="1" t="str">
        <f t="shared" ref="BL1753:BM1753" si="1155">""</f>
        <v/>
      </c>
      <c r="BM1753" s="1" t="str">
        <f t="shared" si="1155"/>
        <v/>
      </c>
      <c r="BQ1753" s="1">
        <v>115.0</v>
      </c>
      <c r="BR1753" s="1">
        <v>115.0</v>
      </c>
      <c r="BS1753" s="1">
        <v>115.0</v>
      </c>
      <c r="BU1753" s="1" t="s">
        <v>362</v>
      </c>
      <c r="BV1753" s="1" t="s">
        <v>206</v>
      </c>
      <c r="BW1753" s="1" t="s">
        <v>210</v>
      </c>
      <c r="BY1753" s="1" t="s">
        <v>677</v>
      </c>
      <c r="BZ1753" s="1" t="s">
        <v>209</v>
      </c>
      <c r="CA1753" s="1" t="s">
        <v>617</v>
      </c>
      <c r="CC1753" s="1" t="s">
        <v>212</v>
      </c>
      <c r="CD1753" s="1" t="s">
        <v>206</v>
      </c>
      <c r="CE1753" s="1" t="s">
        <v>210</v>
      </c>
      <c r="CG1753" s="1" t="s">
        <v>1426</v>
      </c>
      <c r="CH1753" s="1" t="s">
        <v>209</v>
      </c>
      <c r="CI1753" s="1" t="s">
        <v>210</v>
      </c>
      <c r="CK1753" s="1" t="s">
        <v>2219</v>
      </c>
      <c r="CL1753" s="1" t="s">
        <v>209</v>
      </c>
      <c r="CM1753" s="1" t="s">
        <v>210</v>
      </c>
      <c r="CO1753" s="1" t="s">
        <v>363</v>
      </c>
      <c r="CP1753" s="1" t="s">
        <v>1697</v>
      </c>
      <c r="CQ1753" s="1" t="s">
        <v>210</v>
      </c>
      <c r="CS1753" s="1" t="s">
        <v>2261</v>
      </c>
      <c r="CT1753" s="1" t="s">
        <v>206</v>
      </c>
      <c r="CU1753" s="1" t="s">
        <v>617</v>
      </c>
      <c r="CW1753" s="1" t="s">
        <v>212</v>
      </c>
      <c r="CX1753" s="1" t="s">
        <v>206</v>
      </c>
      <c r="CY1753" s="1" t="s">
        <v>210</v>
      </c>
      <c r="DA1753" s="1" t="s">
        <v>200</v>
      </c>
      <c r="DC1753" s="1" t="s">
        <v>335</v>
      </c>
      <c r="DE1753" s="1" t="s">
        <v>273</v>
      </c>
      <c r="DF1753" s="1" t="s">
        <v>619</v>
      </c>
      <c r="DH1753" s="1" t="s">
        <v>856</v>
      </c>
      <c r="DJ1753" s="1" t="s">
        <v>857</v>
      </c>
      <c r="DL1753" s="1" t="s">
        <v>223</v>
      </c>
      <c r="DM1753" s="1" t="s">
        <v>229</v>
      </c>
      <c r="DO1753" s="1" t="s">
        <v>440</v>
      </c>
      <c r="DQ1753" s="1" t="s">
        <v>931</v>
      </c>
      <c r="DR1753" s="1" t="s">
        <v>229</v>
      </c>
      <c r="DV1753" s="1" t="s">
        <v>968</v>
      </c>
      <c r="DW1753" s="1" t="s">
        <v>233</v>
      </c>
      <c r="DX1753" s="1" t="s">
        <v>234</v>
      </c>
      <c r="EC1753" s="1" t="s">
        <v>237</v>
      </c>
      <c r="EE1753" s="1" t="s">
        <v>187</v>
      </c>
      <c r="EG1753" s="1" t="s">
        <v>968</v>
      </c>
      <c r="EL1753" s="1" t="s">
        <v>17227</v>
      </c>
      <c r="EM1753" s="1" t="s">
        <v>206</v>
      </c>
      <c r="EQ1753" s="1" t="s">
        <v>238</v>
      </c>
      <c r="EU1753" s="1" t="s">
        <v>238</v>
      </c>
      <c r="EY1753" s="1" t="s">
        <v>238</v>
      </c>
      <c r="FC1753" s="1" t="s">
        <v>238</v>
      </c>
      <c r="FF1753" s="1" t="s">
        <v>239</v>
      </c>
      <c r="FG1753" s="1" t="s">
        <v>192</v>
      </c>
      <c r="FH1753" s="1" t="s">
        <v>192</v>
      </c>
      <c r="FJ1753" s="1" t="s">
        <v>524</v>
      </c>
      <c r="FK1753" s="1" t="s">
        <v>229</v>
      </c>
      <c r="FL1753" s="1" t="s">
        <v>4954</v>
      </c>
      <c r="FM1753" s="1">
        <v>25558.0</v>
      </c>
      <c r="FN1753" s="1" t="s">
        <v>1998</v>
      </c>
      <c r="FO1753" s="1" t="s">
        <v>17228</v>
      </c>
      <c r="FP1753" s="1">
        <v>238896.0</v>
      </c>
      <c r="FQ1753" s="1" t="s">
        <v>17229</v>
      </c>
      <c r="FS1753" s="1" t="s">
        <v>17230</v>
      </c>
      <c r="FU1753" s="1" t="s">
        <v>7160</v>
      </c>
      <c r="FV1753" s="1" t="s">
        <v>200</v>
      </c>
      <c r="FW1753" s="1" t="s">
        <v>290</v>
      </c>
      <c r="FZ1753" s="1" t="s">
        <v>229</v>
      </c>
      <c r="GA1753" s="1" t="s">
        <v>291</v>
      </c>
      <c r="GB1753" s="2">
        <v>42097.0</v>
      </c>
      <c r="GC1753" s="1" t="s">
        <v>17231</v>
      </c>
    </row>
    <row r="1754">
      <c r="A1754" s="1">
        <v>455000.0</v>
      </c>
      <c r="B1754" s="1" t="s">
        <v>185</v>
      </c>
      <c r="C1754" s="1" t="str">
        <f>"08699323"</f>
        <v>08699323</v>
      </c>
      <c r="D1754" s="1" t="s">
        <v>186</v>
      </c>
      <c r="F1754" s="1" t="str">
        <f>"8001"</f>
        <v>8001</v>
      </c>
      <c r="G1754" s="2">
        <v>41863.0</v>
      </c>
      <c r="H1754" s="1">
        <v>499900.0</v>
      </c>
      <c r="I1754" s="1">
        <v>141.0</v>
      </c>
      <c r="J1754" s="1">
        <v>475000.0</v>
      </c>
      <c r="K1754" s="2">
        <v>41947.0</v>
      </c>
      <c r="L1754" s="1">
        <v>85.0</v>
      </c>
      <c r="M1754" s="2">
        <v>41947.0</v>
      </c>
      <c r="N1754" s="1" t="s">
        <v>187</v>
      </c>
      <c r="O1754" s="2">
        <v>42003.0</v>
      </c>
      <c r="P1754" s="1">
        <v>112102.0</v>
      </c>
      <c r="Q1754" s="1">
        <v>18705.0</v>
      </c>
      <c r="S1754" s="1">
        <v>6723.0</v>
      </c>
      <c r="T1754" s="1" t="s">
        <v>17232</v>
      </c>
      <c r="U1754" s="1" t="s">
        <v>189</v>
      </c>
      <c r="V1754" s="1" t="s">
        <v>190</v>
      </c>
      <c r="W1754" s="1">
        <v>60626.0</v>
      </c>
      <c r="Y1754" s="1" t="s">
        <v>17233</v>
      </c>
      <c r="Z1754" s="1">
        <v>1900.0</v>
      </c>
      <c r="AA1754" s="1" t="s">
        <v>192</v>
      </c>
      <c r="AB1754" s="1" t="s">
        <v>193</v>
      </c>
      <c r="AD1754" s="1" t="s">
        <v>194</v>
      </c>
      <c r="AE1754" s="1" t="s">
        <v>195</v>
      </c>
      <c r="AF1754" s="1" t="s">
        <v>2323</v>
      </c>
      <c r="AH1754" s="1" t="s">
        <v>7981</v>
      </c>
      <c r="AK1754" s="1">
        <v>8.0</v>
      </c>
      <c r="AL1754" s="1">
        <v>4.0</v>
      </c>
      <c r="AM1754" s="1">
        <v>2.0</v>
      </c>
      <c r="AN1754" s="1">
        <v>0.0</v>
      </c>
      <c r="AO1754" s="1" t="s">
        <v>198</v>
      </c>
      <c r="AP1754" s="1">
        <v>1.0</v>
      </c>
      <c r="AQ1754" s="1" t="s">
        <v>198</v>
      </c>
      <c r="AR1754" s="1" t="s">
        <v>200</v>
      </c>
      <c r="AS1754" s="1" t="s">
        <v>510</v>
      </c>
      <c r="AT1754" s="1">
        <v>2.0</v>
      </c>
      <c r="AU1754" s="1">
        <v>1.0</v>
      </c>
      <c r="AV1754" s="1" t="s">
        <v>200</v>
      </c>
      <c r="AW1754" s="1">
        <v>5159.87</v>
      </c>
      <c r="AX1754" s="1">
        <v>2013.0</v>
      </c>
      <c r="AY1754" s="1" t="s">
        <v>387</v>
      </c>
      <c r="AZ1754" s="1" t="s">
        <v>200</v>
      </c>
      <c r="BA1754" s="1" t="str">
        <f>"11323000100000"</f>
        <v>11323000100000</v>
      </c>
      <c r="BC1754" s="1">
        <v>0.0</v>
      </c>
      <c r="BD1754" s="1">
        <v>455000.0</v>
      </c>
      <c r="BE1754" s="2">
        <v>41863.0</v>
      </c>
      <c r="BF1754" s="2" t="s">
        <v>17234</v>
      </c>
      <c r="BH1754" s="1">
        <v>0.0</v>
      </c>
      <c r="BK1754" s="1" t="s">
        <v>204</v>
      </c>
      <c r="BL1754" s="1" t="str">
        <f>"6723"</f>
        <v>6723</v>
      </c>
      <c r="BM1754" s="1" t="str">
        <f>"0"</f>
        <v>0</v>
      </c>
      <c r="BN1754" s="1">
        <v>1600.0</v>
      </c>
      <c r="BO1754" s="1">
        <v>0.0</v>
      </c>
      <c r="BQ1754" s="1">
        <v>299.0</v>
      </c>
      <c r="BR1754" s="1">
        <v>299.0</v>
      </c>
      <c r="BS1754" s="1">
        <v>299.0</v>
      </c>
      <c r="BU1754" s="1" t="s">
        <v>1244</v>
      </c>
      <c r="BV1754" s="1" t="s">
        <v>206</v>
      </c>
      <c r="BW1754" s="1" t="s">
        <v>207</v>
      </c>
      <c r="BY1754" s="1" t="s">
        <v>16045</v>
      </c>
      <c r="BZ1754" s="1" t="s">
        <v>391</v>
      </c>
      <c r="CA1754" s="1" t="s">
        <v>210</v>
      </c>
      <c r="CC1754" s="1" t="s">
        <v>363</v>
      </c>
      <c r="CD1754" s="1" t="s">
        <v>206</v>
      </c>
      <c r="CE1754" s="1" t="s">
        <v>207</v>
      </c>
      <c r="CG1754" s="1" t="s">
        <v>262</v>
      </c>
      <c r="CH1754" s="1" t="s">
        <v>209</v>
      </c>
      <c r="CI1754" s="1" t="s">
        <v>210</v>
      </c>
      <c r="CK1754" s="1" t="s">
        <v>264</v>
      </c>
      <c r="CL1754" s="1" t="s">
        <v>209</v>
      </c>
      <c r="CM1754" s="1" t="s">
        <v>210</v>
      </c>
      <c r="CO1754" s="1" t="s">
        <v>264</v>
      </c>
      <c r="CP1754" s="1" t="s">
        <v>209</v>
      </c>
      <c r="CQ1754" s="1" t="s">
        <v>210</v>
      </c>
      <c r="CS1754" s="1" t="s">
        <v>2924</v>
      </c>
      <c r="CT1754" s="1" t="s">
        <v>206</v>
      </c>
      <c r="CU1754" s="1" t="s">
        <v>207</v>
      </c>
      <c r="CW1754" s="1" t="s">
        <v>12830</v>
      </c>
      <c r="CX1754" s="1" t="s">
        <v>42</v>
      </c>
      <c r="CY1754" s="1" t="s">
        <v>588</v>
      </c>
      <c r="DA1754" s="1" t="s">
        <v>200</v>
      </c>
      <c r="DC1754" s="1" t="s">
        <v>642</v>
      </c>
      <c r="DD1754" s="1" t="s">
        <v>518</v>
      </c>
      <c r="DE1754" s="1" t="s">
        <v>6485</v>
      </c>
      <c r="DF1754" s="1" t="s">
        <v>1811</v>
      </c>
      <c r="DH1754" s="1" t="s">
        <v>220</v>
      </c>
      <c r="DI1754" s="1" t="s">
        <v>959</v>
      </c>
      <c r="DJ1754" s="1" t="s">
        <v>222</v>
      </c>
      <c r="DK1754" s="1" t="s">
        <v>1380</v>
      </c>
      <c r="DL1754" s="1" t="s">
        <v>986</v>
      </c>
      <c r="DM1754" s="1" t="s">
        <v>229</v>
      </c>
      <c r="DO1754" s="1" t="s">
        <v>549</v>
      </c>
      <c r="DP1754" s="1" t="s">
        <v>340</v>
      </c>
      <c r="DQ1754" s="1" t="s">
        <v>441</v>
      </c>
      <c r="DR1754" s="1" t="s">
        <v>229</v>
      </c>
      <c r="DS1754" s="1" t="s">
        <v>401</v>
      </c>
      <c r="DV1754" s="1" t="s">
        <v>17235</v>
      </c>
      <c r="DW1754" s="1" t="s">
        <v>233</v>
      </c>
      <c r="DX1754" s="1" t="s">
        <v>234</v>
      </c>
      <c r="DY1754" s="1" t="s">
        <v>235</v>
      </c>
      <c r="DZ1754" s="1" t="s">
        <v>310</v>
      </c>
      <c r="EA1754" s="1" t="s">
        <v>1326</v>
      </c>
      <c r="EB1754" s="1" t="s">
        <v>345</v>
      </c>
      <c r="EC1754" s="1" t="s">
        <v>406</v>
      </c>
      <c r="ED1754" s="1" t="s">
        <v>555</v>
      </c>
      <c r="EG1754" s="1" t="s">
        <v>1102</v>
      </c>
      <c r="EH1754" s="1" t="s">
        <v>408</v>
      </c>
      <c r="EI1754" s="1" t="s">
        <v>1103</v>
      </c>
      <c r="EJ1754" s="1" t="s">
        <v>310</v>
      </c>
      <c r="EL1754" s="1" t="s">
        <v>17236</v>
      </c>
      <c r="EM1754" s="1" t="s">
        <v>206</v>
      </c>
      <c r="EN1754" s="1" t="s">
        <v>1790</v>
      </c>
      <c r="EP1754" s="1" t="s">
        <v>3663</v>
      </c>
      <c r="EQ1754" s="1" t="s">
        <v>206</v>
      </c>
      <c r="ER1754" s="1" t="s">
        <v>207</v>
      </c>
      <c r="ET1754" s="1" t="s">
        <v>699</v>
      </c>
      <c r="EU1754" s="1" t="s">
        <v>42</v>
      </c>
      <c r="EV1754" s="1" t="s">
        <v>588</v>
      </c>
      <c r="EX1754" s="1" t="s">
        <v>854</v>
      </c>
      <c r="EY1754" s="1" t="s">
        <v>206</v>
      </c>
      <c r="FC1754" s="1" t="s">
        <v>238</v>
      </c>
      <c r="FF1754" s="1" t="s">
        <v>239</v>
      </c>
      <c r="FG1754" s="1" t="s">
        <v>192</v>
      </c>
      <c r="FH1754" s="1" t="s">
        <v>192</v>
      </c>
      <c r="FJ1754" s="1" t="s">
        <v>561</v>
      </c>
      <c r="FK1754" s="1" t="s">
        <v>229</v>
      </c>
      <c r="FL1754" s="1" t="s">
        <v>17237</v>
      </c>
      <c r="FM1754" s="1">
        <v>85154.0</v>
      </c>
      <c r="FN1754" s="1" t="s">
        <v>17238</v>
      </c>
      <c r="FO1754" s="1" t="s">
        <v>17239</v>
      </c>
      <c r="FP1754" s="1">
        <v>185844.0</v>
      </c>
      <c r="FU1754" s="1" t="s">
        <v>17240</v>
      </c>
      <c r="FV1754" s="1" t="s">
        <v>192</v>
      </c>
      <c r="FW1754" s="1" t="s">
        <v>290</v>
      </c>
      <c r="FX1754" s="1" t="s">
        <v>238</v>
      </c>
      <c r="FZ1754" s="1" t="s">
        <v>229</v>
      </c>
      <c r="GA1754" s="1" t="s">
        <v>291</v>
      </c>
      <c r="GB1754" s="2">
        <v>42004.0</v>
      </c>
      <c r="GC1754" s="1" t="s">
        <v>17241</v>
      </c>
    </row>
    <row r="1755">
      <c r="A1755" s="1">
        <v>120000.0</v>
      </c>
      <c r="B1755" s="1" t="s">
        <v>185</v>
      </c>
      <c r="C1755" s="1" t="str">
        <f>"08700718"</f>
        <v>08700718</v>
      </c>
      <c r="D1755" s="1" t="s">
        <v>186</v>
      </c>
      <c r="F1755" s="1" t="str">
        <f>"178"</f>
        <v>178</v>
      </c>
      <c r="G1755" s="2">
        <v>41864.0</v>
      </c>
      <c r="H1755" s="1">
        <v>159900.0</v>
      </c>
      <c r="I1755" s="1">
        <v>97.0</v>
      </c>
      <c r="J1755" s="1">
        <v>129900.0</v>
      </c>
      <c r="K1755" s="2">
        <v>41960.0</v>
      </c>
      <c r="L1755" s="1">
        <v>97.0</v>
      </c>
      <c r="M1755" s="2">
        <v>41960.0</v>
      </c>
      <c r="N1755" s="1" t="s">
        <v>187</v>
      </c>
      <c r="O1755" s="2">
        <v>42074.0</v>
      </c>
      <c r="P1755" s="1">
        <v>2141.0</v>
      </c>
      <c r="Q1755" s="1">
        <v>49.0</v>
      </c>
      <c r="S1755" s="1">
        <v>23577.0</v>
      </c>
      <c r="T1755" s="1" t="s">
        <v>17242</v>
      </c>
      <c r="U1755" s="1" t="s">
        <v>464</v>
      </c>
      <c r="V1755" s="1" t="s">
        <v>994</v>
      </c>
      <c r="W1755" s="1">
        <v>60178.0</v>
      </c>
      <c r="Y1755" s="1" t="s">
        <v>17243</v>
      </c>
      <c r="Z1755" s="1">
        <v>1964.0</v>
      </c>
      <c r="AA1755" s="1" t="s">
        <v>192</v>
      </c>
      <c r="AB1755" s="1" t="s">
        <v>193</v>
      </c>
      <c r="AD1755" s="1" t="s">
        <v>1089</v>
      </c>
      <c r="AE1755" s="1" t="s">
        <v>613</v>
      </c>
      <c r="AF1755" s="1" t="s">
        <v>4019</v>
      </c>
      <c r="AH1755" s="1" t="s">
        <v>17244</v>
      </c>
      <c r="AI1755" s="1">
        <v>0.51</v>
      </c>
      <c r="AK1755" s="1">
        <v>7.0</v>
      </c>
      <c r="AL1755" s="1">
        <v>4.0</v>
      </c>
      <c r="AM1755" s="1">
        <v>2.0</v>
      </c>
      <c r="AN1755" s="1">
        <v>0.0</v>
      </c>
      <c r="AO1755" s="1" t="s">
        <v>229</v>
      </c>
      <c r="AP1755" s="1">
        <v>1.0</v>
      </c>
      <c r="AQ1755" s="1" t="s">
        <v>1314</v>
      </c>
      <c r="AR1755" s="1" t="s">
        <v>192</v>
      </c>
      <c r="AS1755" s="1" t="s">
        <v>199</v>
      </c>
      <c r="AT1755" s="1">
        <v>1.0</v>
      </c>
      <c r="AV1755" s="1" t="s">
        <v>200</v>
      </c>
      <c r="AW1755" s="1">
        <v>4235.0</v>
      </c>
      <c r="AX1755" s="1">
        <v>2013.0</v>
      </c>
      <c r="AY1755" s="1" t="s">
        <v>387</v>
      </c>
      <c r="AZ1755" s="1" t="s">
        <v>200</v>
      </c>
      <c r="BA1755" s="1" t="str">
        <f>"0903301003"</f>
        <v>0903301003</v>
      </c>
      <c r="BB1755" s="1" t="s">
        <v>200</v>
      </c>
      <c r="BC1755" s="1">
        <v>0.0</v>
      </c>
      <c r="BD1755" s="1">
        <v>120000.0</v>
      </c>
      <c r="BE1755" s="2">
        <v>41864.0</v>
      </c>
      <c r="BF1755" s="2" t="s">
        <v>17245</v>
      </c>
      <c r="BH1755" s="1">
        <v>0.0</v>
      </c>
      <c r="BK1755" s="1" t="s">
        <v>204</v>
      </c>
      <c r="BL1755" s="1" t="str">
        <f t="shared" ref="BL1755:BM1755" si="1156">""</f>
        <v/>
      </c>
      <c r="BM1755" s="1" t="str">
        <f t="shared" si="1156"/>
        <v/>
      </c>
      <c r="BQ1755" s="1">
        <v>427.0</v>
      </c>
      <c r="BR1755" s="1">
        <v>427.0</v>
      </c>
      <c r="BS1755" s="1">
        <v>427.0</v>
      </c>
      <c r="BU1755" s="1" t="s">
        <v>1517</v>
      </c>
      <c r="BV1755" s="1" t="s">
        <v>206</v>
      </c>
      <c r="BW1755" s="1" t="s">
        <v>207</v>
      </c>
      <c r="BY1755" s="1" t="s">
        <v>699</v>
      </c>
      <c r="BZ1755" s="1" t="s">
        <v>209</v>
      </c>
      <c r="CA1755" s="1" t="s">
        <v>210</v>
      </c>
      <c r="CD1755" s="1" t="s">
        <v>204</v>
      </c>
      <c r="CG1755" s="1" t="s">
        <v>266</v>
      </c>
      <c r="CH1755" s="1" t="s">
        <v>209</v>
      </c>
      <c r="CI1755" s="1" t="s">
        <v>210</v>
      </c>
      <c r="CK1755" s="1" t="s">
        <v>265</v>
      </c>
      <c r="CL1755" s="1" t="s">
        <v>209</v>
      </c>
      <c r="CM1755" s="1" t="s">
        <v>210</v>
      </c>
      <c r="CO1755" s="1" t="s">
        <v>4045</v>
      </c>
      <c r="CP1755" s="1" t="s">
        <v>267</v>
      </c>
      <c r="CQ1755" s="1" t="s">
        <v>588</v>
      </c>
      <c r="CS1755" s="1" t="s">
        <v>3672</v>
      </c>
      <c r="CT1755" s="1" t="s">
        <v>206</v>
      </c>
      <c r="CU1755" s="1" t="s">
        <v>617</v>
      </c>
      <c r="CW1755" s="1" t="s">
        <v>3888</v>
      </c>
      <c r="CX1755" s="1" t="s">
        <v>267</v>
      </c>
      <c r="CY1755" s="1" t="s">
        <v>210</v>
      </c>
      <c r="CZ1755" s="1" t="s">
        <v>229</v>
      </c>
      <c r="DA1755" s="1" t="s">
        <v>200</v>
      </c>
      <c r="DC1755" s="1" t="s">
        <v>517</v>
      </c>
      <c r="DD1755" s="1" t="s">
        <v>518</v>
      </c>
      <c r="DE1755" s="1" t="s">
        <v>273</v>
      </c>
      <c r="DF1755" s="1" t="s">
        <v>219</v>
      </c>
      <c r="DG1755" s="1" t="s">
        <v>1553</v>
      </c>
      <c r="DH1755" s="1" t="s">
        <v>856</v>
      </c>
      <c r="DI1755" s="1" t="s">
        <v>1318</v>
      </c>
      <c r="DJ1755" s="1" t="s">
        <v>857</v>
      </c>
      <c r="DL1755" s="1" t="s">
        <v>588</v>
      </c>
      <c r="DM1755" s="1" t="s">
        <v>229</v>
      </c>
      <c r="DO1755" s="1" t="s">
        <v>549</v>
      </c>
      <c r="DQ1755" s="1" t="s">
        <v>1557</v>
      </c>
      <c r="DR1755" s="1" t="s">
        <v>229</v>
      </c>
      <c r="DS1755" s="1" t="s">
        <v>591</v>
      </c>
      <c r="DU1755" s="1" t="s">
        <v>17246</v>
      </c>
      <c r="DV1755" s="1" t="s">
        <v>1102</v>
      </c>
      <c r="DW1755" s="1" t="s">
        <v>370</v>
      </c>
      <c r="DX1755" s="1" t="s">
        <v>309</v>
      </c>
      <c r="DZ1755" s="1" t="s">
        <v>2204</v>
      </c>
      <c r="EA1755" s="1" t="s">
        <v>283</v>
      </c>
      <c r="EC1755" s="1" t="s">
        <v>284</v>
      </c>
      <c r="EH1755" s="1" t="s">
        <v>1102</v>
      </c>
      <c r="EM1755" s="1" t="s">
        <v>238</v>
      </c>
      <c r="EP1755" s="1" t="s">
        <v>2613</v>
      </c>
      <c r="EQ1755" s="1" t="s">
        <v>206</v>
      </c>
      <c r="ER1755" s="1" t="s">
        <v>210</v>
      </c>
      <c r="ES1755" s="1" t="s">
        <v>229</v>
      </c>
      <c r="EU1755" s="1" t="s">
        <v>238</v>
      </c>
      <c r="EY1755" s="1" t="s">
        <v>238</v>
      </c>
      <c r="FC1755" s="1" t="s">
        <v>238</v>
      </c>
      <c r="FF1755" s="1" t="s">
        <v>2447</v>
      </c>
      <c r="FG1755" s="1" t="s">
        <v>192</v>
      </c>
      <c r="FH1755" s="1" t="s">
        <v>200</v>
      </c>
      <c r="FJ1755" s="1" t="s">
        <v>9630</v>
      </c>
      <c r="FK1755" s="1" t="s">
        <v>1586</v>
      </c>
      <c r="FL1755" s="1" t="s">
        <v>11831</v>
      </c>
      <c r="FM1755" s="1">
        <v>93181.0</v>
      </c>
      <c r="FN1755" s="1" t="s">
        <v>11832</v>
      </c>
      <c r="FO1755" s="1" t="s">
        <v>11833</v>
      </c>
      <c r="FP1755" s="1">
        <v>931586.0</v>
      </c>
      <c r="FU1755" s="1" t="s">
        <v>17247</v>
      </c>
      <c r="FV1755" s="1" t="s">
        <v>200</v>
      </c>
      <c r="FW1755" s="1" t="s">
        <v>567</v>
      </c>
      <c r="FZ1755" s="1" t="s">
        <v>229</v>
      </c>
      <c r="GA1755" s="1" t="s">
        <v>291</v>
      </c>
      <c r="GB1755" s="2">
        <v>42075.0</v>
      </c>
      <c r="GC1755" s="1" t="s">
        <v>17248</v>
      </c>
    </row>
    <row r="1756">
      <c r="A1756" s="1">
        <v>221000.0</v>
      </c>
      <c r="B1756" s="1" t="s">
        <v>185</v>
      </c>
      <c r="C1756" s="1" t="str">
        <f>"08701442"</f>
        <v>08701442</v>
      </c>
      <c r="D1756" s="1" t="s">
        <v>186</v>
      </c>
      <c r="F1756" s="1" t="str">
        <f>"510"</f>
        <v>510</v>
      </c>
      <c r="G1756" s="2">
        <v>41865.0</v>
      </c>
      <c r="H1756" s="1">
        <v>307900.0</v>
      </c>
      <c r="I1756" s="1">
        <v>154.0</v>
      </c>
      <c r="J1756" s="1">
        <v>239600.0</v>
      </c>
      <c r="K1756" s="2">
        <v>42017.0</v>
      </c>
      <c r="L1756" s="1">
        <v>154.0</v>
      </c>
      <c r="M1756" s="2">
        <v>42017.0</v>
      </c>
      <c r="N1756" s="1" t="s">
        <v>187</v>
      </c>
      <c r="O1756" s="2">
        <v>42076.0</v>
      </c>
      <c r="P1756" s="1">
        <v>848734.0</v>
      </c>
      <c r="Q1756" s="1">
        <v>85464.0</v>
      </c>
      <c r="S1756" s="1">
        <v>1155.0</v>
      </c>
      <c r="T1756" s="1" t="s">
        <v>8371</v>
      </c>
      <c r="U1756" s="1" t="s">
        <v>464</v>
      </c>
      <c r="V1756" s="1" t="s">
        <v>2700</v>
      </c>
      <c r="W1756" s="1">
        <v>60510.0</v>
      </c>
      <c r="Y1756" s="1" t="s">
        <v>17249</v>
      </c>
      <c r="Z1756" s="1">
        <v>1984.0</v>
      </c>
      <c r="AA1756" s="1" t="s">
        <v>200</v>
      </c>
      <c r="AB1756" s="1" t="s">
        <v>193</v>
      </c>
      <c r="AC1756" s="1" t="s">
        <v>8867</v>
      </c>
      <c r="AD1756" s="1" t="s">
        <v>2702</v>
      </c>
      <c r="AE1756" s="1" t="s">
        <v>325</v>
      </c>
      <c r="AF1756" s="1" t="s">
        <v>2702</v>
      </c>
      <c r="AH1756" s="1" t="s">
        <v>17250</v>
      </c>
      <c r="AK1756" s="1">
        <v>8.0</v>
      </c>
      <c r="AL1756" s="1">
        <v>4.0</v>
      </c>
      <c r="AM1756" s="1">
        <v>2.0</v>
      </c>
      <c r="AN1756" s="1">
        <v>1.0</v>
      </c>
      <c r="AO1756" s="1" t="s">
        <v>198</v>
      </c>
      <c r="AP1756" s="1">
        <v>1.0</v>
      </c>
      <c r="AQ1756" s="1" t="s">
        <v>198</v>
      </c>
      <c r="AR1756" s="1" t="s">
        <v>200</v>
      </c>
      <c r="AS1756" s="1" t="s">
        <v>199</v>
      </c>
      <c r="AT1756" s="1">
        <v>2.0</v>
      </c>
      <c r="AV1756" s="1" t="s">
        <v>200</v>
      </c>
      <c r="AW1756" s="1">
        <v>7384.02</v>
      </c>
      <c r="AX1756" s="1">
        <v>2013.0</v>
      </c>
      <c r="AZ1756" s="1" t="s">
        <v>200</v>
      </c>
      <c r="BA1756" s="1" t="str">
        <f>"1226277014"</f>
        <v>1226277014</v>
      </c>
      <c r="BC1756" s="1">
        <v>2114.0</v>
      </c>
      <c r="BD1756" s="1">
        <v>221000.0</v>
      </c>
      <c r="BE1756" s="2">
        <v>41864.0</v>
      </c>
      <c r="BF1756" s="2" t="s">
        <v>17251</v>
      </c>
      <c r="BH1756" s="1">
        <v>0.0</v>
      </c>
      <c r="BK1756" s="1" t="s">
        <v>204</v>
      </c>
      <c r="BL1756" s="1" t="str">
        <f t="shared" ref="BL1756:BM1756" si="1157">""</f>
        <v/>
      </c>
      <c r="BM1756" s="1" t="str">
        <f t="shared" si="1157"/>
        <v/>
      </c>
      <c r="BQ1756" s="1">
        <v>101.0</v>
      </c>
      <c r="BR1756" s="1">
        <v>101.0</v>
      </c>
      <c r="BS1756" s="1">
        <v>101.0</v>
      </c>
      <c r="BU1756" s="1" t="s">
        <v>664</v>
      </c>
      <c r="BV1756" s="1" t="s">
        <v>206</v>
      </c>
      <c r="BY1756" s="1" t="s">
        <v>1068</v>
      </c>
      <c r="BZ1756" s="1" t="s">
        <v>209</v>
      </c>
      <c r="CC1756" s="1" t="s">
        <v>543</v>
      </c>
      <c r="CD1756" s="1" t="s">
        <v>206</v>
      </c>
      <c r="CG1756" s="1" t="s">
        <v>541</v>
      </c>
      <c r="CH1756" s="1" t="s">
        <v>209</v>
      </c>
      <c r="CK1756" s="1" t="s">
        <v>543</v>
      </c>
      <c r="CL1756" s="1" t="s">
        <v>209</v>
      </c>
      <c r="CO1756" s="1" t="s">
        <v>262</v>
      </c>
      <c r="CP1756" s="1" t="s">
        <v>209</v>
      </c>
      <c r="CS1756" s="1" t="s">
        <v>454</v>
      </c>
      <c r="CT1756" s="1" t="s">
        <v>206</v>
      </c>
      <c r="CW1756" s="1" t="s">
        <v>730</v>
      </c>
      <c r="CX1756" s="1" t="s">
        <v>206</v>
      </c>
      <c r="DA1756" s="1" t="s">
        <v>200</v>
      </c>
      <c r="DC1756" s="1" t="s">
        <v>305</v>
      </c>
      <c r="DE1756" s="1" t="s">
        <v>273</v>
      </c>
      <c r="DF1756" s="1" t="s">
        <v>219</v>
      </c>
      <c r="DH1756" s="1" t="s">
        <v>220</v>
      </c>
      <c r="DJ1756" s="1" t="s">
        <v>222</v>
      </c>
      <c r="DL1756" s="1" t="s">
        <v>1267</v>
      </c>
      <c r="DM1756" s="1" t="s">
        <v>229</v>
      </c>
      <c r="DP1756" s="1" t="s">
        <v>340</v>
      </c>
      <c r="DQ1756" s="1" t="s">
        <v>441</v>
      </c>
      <c r="DR1756" s="1" t="s">
        <v>229</v>
      </c>
      <c r="DV1756" s="1" t="s">
        <v>374</v>
      </c>
      <c r="DW1756" s="1" t="s">
        <v>2602</v>
      </c>
      <c r="DX1756" s="1" t="s">
        <v>234</v>
      </c>
      <c r="EC1756" s="1" t="s">
        <v>237</v>
      </c>
      <c r="EG1756" s="1" t="s">
        <v>374</v>
      </c>
      <c r="EL1756" s="1" t="s">
        <v>1567</v>
      </c>
      <c r="EM1756" s="1" t="s">
        <v>206</v>
      </c>
      <c r="EQ1756" s="1" t="s">
        <v>238</v>
      </c>
      <c r="EU1756" s="1" t="s">
        <v>238</v>
      </c>
      <c r="EY1756" s="1" t="s">
        <v>238</v>
      </c>
      <c r="FC1756" s="1" t="s">
        <v>238</v>
      </c>
      <c r="FF1756" s="1" t="s">
        <v>239</v>
      </c>
      <c r="FG1756" s="1" t="s">
        <v>192</v>
      </c>
      <c r="FH1756" s="1" t="s">
        <v>192</v>
      </c>
      <c r="FJ1756" s="1" t="s">
        <v>347</v>
      </c>
      <c r="FK1756" s="1" t="s">
        <v>229</v>
      </c>
      <c r="FL1756" s="1" t="s">
        <v>1775</v>
      </c>
      <c r="FM1756" s="1">
        <v>31982.0</v>
      </c>
      <c r="FN1756" s="1" t="s">
        <v>1776</v>
      </c>
      <c r="FO1756" s="1" t="s">
        <v>1777</v>
      </c>
      <c r="FP1756" s="1">
        <v>319888.0</v>
      </c>
      <c r="FQ1756" s="1" t="s">
        <v>1778</v>
      </c>
      <c r="FU1756" s="1" t="s">
        <v>6544</v>
      </c>
      <c r="FV1756" s="1" t="s">
        <v>200</v>
      </c>
      <c r="FW1756" s="1" t="s">
        <v>354</v>
      </c>
      <c r="FZ1756" s="1" t="s">
        <v>229</v>
      </c>
      <c r="GA1756" s="1" t="s">
        <v>291</v>
      </c>
      <c r="GB1756" s="2">
        <v>42076.0</v>
      </c>
      <c r="GC1756" s="1" t="s">
        <v>10451</v>
      </c>
    </row>
    <row r="1757">
      <c r="A1757" s="1">
        <v>310082.0</v>
      </c>
      <c r="B1757" s="1" t="s">
        <v>185</v>
      </c>
      <c r="C1757" s="1" t="str">
        <f>"08716303"</f>
        <v>08716303</v>
      </c>
      <c r="D1757" s="1" t="s">
        <v>186</v>
      </c>
      <c r="F1757" s="1" t="str">
        <f>"110"</f>
        <v>110</v>
      </c>
      <c r="G1757" s="2">
        <v>41884.0</v>
      </c>
      <c r="H1757" s="1">
        <v>286490.0</v>
      </c>
      <c r="I1757" s="1">
        <v>30.0</v>
      </c>
      <c r="J1757" s="1">
        <v>286490.0</v>
      </c>
      <c r="K1757" s="2">
        <v>41913.0</v>
      </c>
      <c r="L1757" s="1">
        <v>30.0</v>
      </c>
      <c r="M1757" s="2">
        <v>41913.0</v>
      </c>
      <c r="N1757" s="1" t="s">
        <v>187</v>
      </c>
      <c r="O1757" s="2">
        <v>42104.0</v>
      </c>
      <c r="P1757" s="1">
        <v>99995.0</v>
      </c>
      <c r="Q1757" s="1" t="s">
        <v>947</v>
      </c>
      <c r="S1757" s="1">
        <v>2384.0</v>
      </c>
      <c r="T1757" s="1" t="s">
        <v>17156</v>
      </c>
      <c r="U1757" s="1" t="s">
        <v>569</v>
      </c>
      <c r="V1757" s="1" t="s">
        <v>807</v>
      </c>
      <c r="W1757" s="1">
        <v>60110.0</v>
      </c>
      <c r="Y1757" s="1" t="s">
        <v>1175</v>
      </c>
      <c r="Z1757" s="1">
        <v>2014.0</v>
      </c>
      <c r="AA1757" s="1" t="s">
        <v>200</v>
      </c>
      <c r="AB1757" s="1" t="s">
        <v>467</v>
      </c>
      <c r="AC1757" s="1" t="s">
        <v>1176</v>
      </c>
      <c r="AD1757" s="1" t="s">
        <v>809</v>
      </c>
      <c r="AE1757" s="1" t="s">
        <v>325</v>
      </c>
      <c r="AF1757" s="1" t="s">
        <v>810</v>
      </c>
      <c r="AG1757" s="1" t="s">
        <v>4440</v>
      </c>
      <c r="AH1757" s="1" t="s">
        <v>1178</v>
      </c>
      <c r="AK1757" s="1">
        <v>9.0</v>
      </c>
      <c r="AL1757" s="1">
        <v>4.0</v>
      </c>
      <c r="AM1757" s="1">
        <v>2.0</v>
      </c>
      <c r="AN1757" s="1">
        <v>1.0</v>
      </c>
      <c r="AO1757" s="1" t="s">
        <v>198</v>
      </c>
      <c r="AP1757" s="1">
        <v>0.0</v>
      </c>
      <c r="AQ1757" s="1" t="s">
        <v>472</v>
      </c>
      <c r="AR1757" s="1" t="s">
        <v>200</v>
      </c>
      <c r="AS1757" s="1" t="s">
        <v>199</v>
      </c>
      <c r="AT1757" s="1">
        <v>2.0</v>
      </c>
      <c r="AV1757" s="1" t="s">
        <v>200</v>
      </c>
      <c r="AW1757" s="1" t="s">
        <v>575</v>
      </c>
      <c r="AX1757" s="1">
        <v>2012.0</v>
      </c>
      <c r="AY1757" s="1" t="s">
        <v>1179</v>
      </c>
      <c r="AZ1757" s="1" t="s">
        <v>200</v>
      </c>
      <c r="BA1757" s="1" t="str">
        <f>"0307376024"</f>
        <v>0307376024</v>
      </c>
      <c r="BC1757" s="1">
        <v>2875.0</v>
      </c>
      <c r="BD1757" s="1">
        <v>310082.0</v>
      </c>
      <c r="BE1757" s="2">
        <v>41884.0</v>
      </c>
      <c r="BF1757" s="2" t="s">
        <v>17252</v>
      </c>
      <c r="BG1757" s="1" t="s">
        <v>1181</v>
      </c>
      <c r="BH1757" s="1">
        <v>37.0</v>
      </c>
      <c r="BI1757" s="1" t="s">
        <v>1093</v>
      </c>
      <c r="BJ1757" s="1" t="s">
        <v>1182</v>
      </c>
      <c r="BK1757" s="1" t="s">
        <v>474</v>
      </c>
      <c r="BL1757" s="1" t="str">
        <f>"18"</f>
        <v>18</v>
      </c>
      <c r="BM1757" s="1" t="str">
        <f t="shared" ref="BM1757:BM1758" si="1158">"0"</f>
        <v>0</v>
      </c>
      <c r="BN1757" s="1">
        <v>37.0</v>
      </c>
      <c r="BO1757" s="1">
        <v>0.0</v>
      </c>
      <c r="BQ1757" s="1">
        <v>300.0</v>
      </c>
      <c r="BR1757" s="1">
        <v>300.0</v>
      </c>
      <c r="BS1757" s="1">
        <v>300.0</v>
      </c>
      <c r="BV1757" s="1" t="s">
        <v>204</v>
      </c>
      <c r="BY1757" s="1" t="s">
        <v>1063</v>
      </c>
      <c r="BZ1757" s="1" t="s">
        <v>209</v>
      </c>
      <c r="CA1757" s="1" t="s">
        <v>210</v>
      </c>
      <c r="CB1757" s="1" t="s">
        <v>229</v>
      </c>
      <c r="CC1757" s="1" t="s">
        <v>1417</v>
      </c>
      <c r="CD1757" s="1" t="s">
        <v>206</v>
      </c>
      <c r="CE1757" s="1" t="s">
        <v>617</v>
      </c>
      <c r="CF1757" s="1" t="s">
        <v>229</v>
      </c>
      <c r="CG1757" s="1" t="s">
        <v>363</v>
      </c>
      <c r="CH1757" s="1" t="s">
        <v>209</v>
      </c>
      <c r="CI1757" s="1" t="s">
        <v>210</v>
      </c>
      <c r="CJ1757" s="1" t="s">
        <v>229</v>
      </c>
      <c r="CK1757" s="1" t="s">
        <v>699</v>
      </c>
      <c r="CL1757" s="1" t="s">
        <v>209</v>
      </c>
      <c r="CM1757" s="1" t="s">
        <v>210</v>
      </c>
      <c r="CN1757" s="1" t="s">
        <v>229</v>
      </c>
      <c r="CO1757" s="1" t="s">
        <v>331</v>
      </c>
      <c r="CP1757" s="1" t="s">
        <v>209</v>
      </c>
      <c r="CQ1757" s="1" t="s">
        <v>210</v>
      </c>
      <c r="CR1757" s="1" t="s">
        <v>229</v>
      </c>
      <c r="CS1757" s="1" t="s">
        <v>729</v>
      </c>
      <c r="CT1757" s="1" t="s">
        <v>206</v>
      </c>
      <c r="CU1757" s="1" t="s">
        <v>617</v>
      </c>
      <c r="CV1757" s="1" t="s">
        <v>229</v>
      </c>
      <c r="CW1757" s="1" t="s">
        <v>1350</v>
      </c>
      <c r="CX1757" s="1" t="s">
        <v>206</v>
      </c>
      <c r="CY1757" s="1" t="s">
        <v>210</v>
      </c>
      <c r="CZ1757" s="1" t="s">
        <v>229</v>
      </c>
      <c r="DA1757" s="1" t="s">
        <v>192</v>
      </c>
      <c r="DB1757" s="2">
        <v>42035.0</v>
      </c>
      <c r="DC1757" s="1" t="s">
        <v>585</v>
      </c>
      <c r="DD1757" s="1" t="s">
        <v>306</v>
      </c>
      <c r="DE1757" s="1" t="s">
        <v>273</v>
      </c>
      <c r="DF1757" s="1" t="s">
        <v>219</v>
      </c>
      <c r="DG1757" s="1" t="s">
        <v>482</v>
      </c>
      <c r="DH1757" s="1" t="s">
        <v>220</v>
      </c>
      <c r="DI1757" s="1" t="s">
        <v>1021</v>
      </c>
      <c r="DJ1757" s="1" t="s">
        <v>222</v>
      </c>
      <c r="DK1757" s="1" t="s">
        <v>223</v>
      </c>
      <c r="DL1757" s="1" t="s">
        <v>223</v>
      </c>
      <c r="DM1757" s="1" t="s">
        <v>338</v>
      </c>
      <c r="DN1757" s="1" t="s">
        <v>548</v>
      </c>
      <c r="DP1757" s="1" t="s">
        <v>227</v>
      </c>
      <c r="DQ1757" s="1" t="s">
        <v>441</v>
      </c>
      <c r="DR1757" s="1" t="s">
        <v>1185</v>
      </c>
      <c r="DS1757" s="1" t="s">
        <v>591</v>
      </c>
      <c r="DT1757" s="1" t="s">
        <v>1186</v>
      </c>
      <c r="DU1757" s="1" t="s">
        <v>1187</v>
      </c>
      <c r="DV1757" s="1" t="s">
        <v>1188</v>
      </c>
      <c r="DW1757" s="1" t="s">
        <v>444</v>
      </c>
      <c r="DX1757" s="1" t="s">
        <v>234</v>
      </c>
      <c r="DY1757" s="1" t="s">
        <v>1189</v>
      </c>
      <c r="EA1757" s="1" t="s">
        <v>344</v>
      </c>
      <c r="EC1757" s="1" t="s">
        <v>237</v>
      </c>
      <c r="EH1757" s="1" t="s">
        <v>341</v>
      </c>
      <c r="EJ1757" s="1" t="s">
        <v>494</v>
      </c>
      <c r="EM1757" s="1" t="s">
        <v>238</v>
      </c>
      <c r="EP1757" s="1" t="s">
        <v>1068</v>
      </c>
      <c r="EQ1757" s="1" t="s">
        <v>209</v>
      </c>
      <c r="ER1757" s="1" t="s">
        <v>210</v>
      </c>
      <c r="ES1757" s="1" t="s">
        <v>229</v>
      </c>
      <c r="EU1757" s="1" t="s">
        <v>238</v>
      </c>
      <c r="EX1757" s="1" t="s">
        <v>303</v>
      </c>
      <c r="EY1757" s="1" t="s">
        <v>206</v>
      </c>
      <c r="EZ1757" s="1" t="s">
        <v>210</v>
      </c>
      <c r="FA1757" s="1" t="s">
        <v>229</v>
      </c>
      <c r="FC1757" s="1" t="s">
        <v>238</v>
      </c>
      <c r="FF1757" s="1" t="s">
        <v>239</v>
      </c>
      <c r="FG1757" s="1" t="s">
        <v>192</v>
      </c>
      <c r="FH1757" s="1" t="s">
        <v>192</v>
      </c>
      <c r="FJ1757" s="1" t="s">
        <v>14367</v>
      </c>
      <c r="FK1757" s="1" t="s">
        <v>229</v>
      </c>
      <c r="FL1757" s="1" t="s">
        <v>1192</v>
      </c>
      <c r="FM1757" s="1">
        <v>8702.0</v>
      </c>
      <c r="FN1757" s="1" t="s">
        <v>1193</v>
      </c>
      <c r="FO1757" s="1" t="s">
        <v>1194</v>
      </c>
      <c r="FP1757" s="1">
        <v>21163.0</v>
      </c>
      <c r="FQ1757" s="1" t="s">
        <v>1195</v>
      </c>
      <c r="FU1757" s="1" t="s">
        <v>17253</v>
      </c>
      <c r="FV1757" s="1" t="s">
        <v>200</v>
      </c>
      <c r="FW1757" s="1" t="s">
        <v>1197</v>
      </c>
      <c r="FZ1757" s="1" t="s">
        <v>229</v>
      </c>
      <c r="GA1757" s="1" t="s">
        <v>291</v>
      </c>
      <c r="GB1757" s="2">
        <v>42108.0</v>
      </c>
      <c r="GC1757" s="1" t="s">
        <v>17254</v>
      </c>
    </row>
    <row r="1758">
      <c r="A1758" s="1">
        <v>271000.0</v>
      </c>
      <c r="B1758" s="1" t="s">
        <v>185</v>
      </c>
      <c r="C1758" s="1" t="str">
        <f>"08700582"</f>
        <v>08700582</v>
      </c>
      <c r="D1758" s="1" t="s">
        <v>186</v>
      </c>
      <c r="F1758" s="1" t="str">
        <f>"8015"</f>
        <v>8015</v>
      </c>
      <c r="G1758" s="2">
        <v>41864.0</v>
      </c>
      <c r="H1758" s="1">
        <v>319900.0</v>
      </c>
      <c r="I1758" s="1">
        <v>194.0</v>
      </c>
      <c r="J1758" s="1">
        <v>298900.0</v>
      </c>
      <c r="K1758" s="2">
        <v>41972.0</v>
      </c>
      <c r="L1758" s="1">
        <v>109.0</v>
      </c>
      <c r="M1758" s="2">
        <v>41972.0</v>
      </c>
      <c r="N1758" s="1" t="s">
        <v>187</v>
      </c>
      <c r="O1758" s="2">
        <v>42026.0</v>
      </c>
      <c r="P1758" s="1">
        <v>161998.0</v>
      </c>
      <c r="Q1758" s="1">
        <v>84818.0</v>
      </c>
      <c r="S1758" s="1">
        <v>6215.0</v>
      </c>
      <c r="T1758" s="1" t="s">
        <v>14450</v>
      </c>
      <c r="U1758" s="1" t="s">
        <v>189</v>
      </c>
      <c r="V1758" s="1" t="s">
        <v>190</v>
      </c>
      <c r="W1758" s="1">
        <v>60634.0</v>
      </c>
      <c r="Y1758" s="1" t="s">
        <v>17255</v>
      </c>
      <c r="Z1758" s="1">
        <v>1952.0</v>
      </c>
      <c r="AA1758" s="1" t="s">
        <v>192</v>
      </c>
      <c r="AB1758" s="1" t="s">
        <v>193</v>
      </c>
      <c r="AD1758" s="1" t="s">
        <v>194</v>
      </c>
      <c r="AE1758" s="1" t="s">
        <v>195</v>
      </c>
      <c r="AF1758" s="1" t="s">
        <v>196</v>
      </c>
      <c r="AH1758" s="1">
        <v>3390.0</v>
      </c>
      <c r="AI1758" s="1">
        <v>0.0778</v>
      </c>
      <c r="AK1758" s="1">
        <v>9.0</v>
      </c>
      <c r="AL1758" s="1">
        <v>3.0</v>
      </c>
      <c r="AM1758" s="1">
        <v>3.0</v>
      </c>
      <c r="AN1758" s="1">
        <v>0.0</v>
      </c>
      <c r="AO1758" s="1" t="s">
        <v>229</v>
      </c>
      <c r="AQ1758" s="1" t="s">
        <v>198</v>
      </c>
      <c r="AR1758" s="1" t="s">
        <v>192</v>
      </c>
      <c r="AS1758" s="1" t="s">
        <v>199</v>
      </c>
      <c r="AT1758" s="1">
        <v>2.0</v>
      </c>
      <c r="AV1758" s="1" t="s">
        <v>200</v>
      </c>
      <c r="AW1758" s="1">
        <v>4613.05</v>
      </c>
      <c r="AX1758" s="1">
        <v>2012.0</v>
      </c>
      <c r="AY1758" s="1" t="s">
        <v>387</v>
      </c>
      <c r="AZ1758" s="1" t="s">
        <v>200</v>
      </c>
      <c r="BA1758" s="1" t="str">
        <f>"13173100800000"</f>
        <v>13173100800000</v>
      </c>
      <c r="BC1758" s="1">
        <v>1800.0</v>
      </c>
      <c r="BD1758" s="1">
        <v>271000.0</v>
      </c>
      <c r="BE1758" s="2">
        <v>41864.0</v>
      </c>
      <c r="BF1758" s="2" t="s">
        <v>17256</v>
      </c>
      <c r="BH1758" s="1">
        <v>0.0</v>
      </c>
      <c r="BK1758" s="1" t="s">
        <v>204</v>
      </c>
      <c r="BL1758" s="1" t="str">
        <f>"4200"</f>
        <v>4200</v>
      </c>
      <c r="BM1758" s="1" t="str">
        <f t="shared" si="1158"/>
        <v>0</v>
      </c>
      <c r="BN1758" s="1">
        <v>6215.0</v>
      </c>
      <c r="BO1758" s="1">
        <v>0.0</v>
      </c>
      <c r="BQ1758" s="1">
        <v>299.0</v>
      </c>
      <c r="BR1758" s="1">
        <v>299.0</v>
      </c>
      <c r="BS1758" s="1">
        <v>299.0</v>
      </c>
      <c r="BU1758" s="1" t="s">
        <v>205</v>
      </c>
      <c r="BV1758" s="1" t="s">
        <v>206</v>
      </c>
      <c r="BW1758" s="1" t="s">
        <v>207</v>
      </c>
      <c r="BX1758" s="1" t="s">
        <v>1549</v>
      </c>
      <c r="BY1758" s="1" t="s">
        <v>333</v>
      </c>
      <c r="BZ1758" s="1" t="s">
        <v>209</v>
      </c>
      <c r="CA1758" s="1" t="s">
        <v>210</v>
      </c>
      <c r="CC1758" s="1" t="s">
        <v>582</v>
      </c>
      <c r="CD1758" s="1" t="s">
        <v>206</v>
      </c>
      <c r="CE1758" s="1" t="s">
        <v>207</v>
      </c>
      <c r="CF1758" s="1" t="s">
        <v>1549</v>
      </c>
      <c r="CG1758" s="1" t="s">
        <v>639</v>
      </c>
      <c r="CH1758" s="1" t="s">
        <v>209</v>
      </c>
      <c r="CI1758" s="1" t="s">
        <v>210</v>
      </c>
      <c r="CK1758" s="1" t="s">
        <v>699</v>
      </c>
      <c r="CL1758" s="1" t="s">
        <v>206</v>
      </c>
      <c r="CM1758" s="1" t="s">
        <v>207</v>
      </c>
      <c r="CO1758" s="1" t="s">
        <v>205</v>
      </c>
      <c r="CP1758" s="1" t="s">
        <v>42</v>
      </c>
      <c r="CS1758" s="1" t="s">
        <v>1158</v>
      </c>
      <c r="CT1758" s="1" t="s">
        <v>206</v>
      </c>
      <c r="CU1758" s="1" t="s">
        <v>207</v>
      </c>
      <c r="CW1758" s="1" t="s">
        <v>2181</v>
      </c>
      <c r="CX1758" s="1" t="s">
        <v>42</v>
      </c>
      <c r="CY1758" s="1" t="s">
        <v>210</v>
      </c>
      <c r="DA1758" s="1" t="s">
        <v>200</v>
      </c>
      <c r="DC1758" s="1" t="s">
        <v>702</v>
      </c>
      <c r="DD1758" s="1" t="s">
        <v>518</v>
      </c>
      <c r="DE1758" s="1" t="s">
        <v>273</v>
      </c>
      <c r="DF1758" s="1" t="s">
        <v>219</v>
      </c>
      <c r="DH1758" s="1" t="s">
        <v>365</v>
      </c>
      <c r="DI1758" s="1" t="s">
        <v>1223</v>
      </c>
      <c r="DJ1758" s="1" t="s">
        <v>222</v>
      </c>
      <c r="DK1758" s="1" t="s">
        <v>9115</v>
      </c>
      <c r="DL1758" s="1" t="s">
        <v>224</v>
      </c>
      <c r="DM1758" s="1" t="s">
        <v>229</v>
      </c>
      <c r="DP1758" s="1" t="s">
        <v>276</v>
      </c>
      <c r="DQ1758" s="1" t="s">
        <v>228</v>
      </c>
      <c r="DR1758" s="1" t="s">
        <v>229</v>
      </c>
      <c r="DS1758" s="1" t="s">
        <v>230</v>
      </c>
      <c r="DV1758" s="1" t="s">
        <v>1407</v>
      </c>
      <c r="DW1758" s="1" t="s">
        <v>279</v>
      </c>
      <c r="DX1758" s="1" t="s">
        <v>234</v>
      </c>
      <c r="DY1758" s="1" t="s">
        <v>17257</v>
      </c>
      <c r="DZ1758" s="1" t="s">
        <v>405</v>
      </c>
      <c r="EA1758" s="1" t="s">
        <v>257</v>
      </c>
      <c r="EC1758" s="1" t="s">
        <v>237</v>
      </c>
      <c r="ED1758" s="1" t="s">
        <v>407</v>
      </c>
      <c r="EG1758" s="1" t="s">
        <v>1407</v>
      </c>
      <c r="EL1758" s="1" t="s">
        <v>495</v>
      </c>
      <c r="EM1758" s="1" t="s">
        <v>42</v>
      </c>
      <c r="EN1758" s="1" t="s">
        <v>617</v>
      </c>
      <c r="EO1758" s="1" t="s">
        <v>1549</v>
      </c>
      <c r="EQ1758" s="1" t="s">
        <v>238</v>
      </c>
      <c r="EU1758" s="1" t="s">
        <v>238</v>
      </c>
      <c r="EY1758" s="1" t="s">
        <v>238</v>
      </c>
      <c r="FC1758" s="1" t="s">
        <v>238</v>
      </c>
      <c r="FF1758" s="1" t="s">
        <v>239</v>
      </c>
      <c r="FG1758" s="1" t="s">
        <v>192</v>
      </c>
      <c r="FH1758" s="1" t="s">
        <v>192</v>
      </c>
      <c r="FJ1758" s="1" t="s">
        <v>7339</v>
      </c>
      <c r="FK1758" s="1" t="s">
        <v>229</v>
      </c>
      <c r="FL1758" s="1" t="s">
        <v>1124</v>
      </c>
      <c r="FM1758" s="1">
        <v>8058.0</v>
      </c>
      <c r="FN1758" s="1" t="s">
        <v>1125</v>
      </c>
      <c r="FO1758" s="1" t="s">
        <v>17258</v>
      </c>
      <c r="FP1758" s="1">
        <v>922556.0</v>
      </c>
      <c r="FS1758" s="1" t="s">
        <v>17259</v>
      </c>
      <c r="FU1758" s="1" t="s">
        <v>17260</v>
      </c>
      <c r="FV1758" s="1" t="s">
        <v>200</v>
      </c>
      <c r="FW1758" s="1" t="s">
        <v>530</v>
      </c>
      <c r="FX1758" s="1" t="s">
        <v>246</v>
      </c>
      <c r="FZ1758" s="1" t="s">
        <v>229</v>
      </c>
      <c r="GA1758" s="1" t="s">
        <v>291</v>
      </c>
      <c r="GB1758" s="2">
        <v>42026.0</v>
      </c>
    </row>
    <row r="1759">
      <c r="A1759" s="1">
        <v>226000.0</v>
      </c>
      <c r="B1759" s="1" t="s">
        <v>185</v>
      </c>
      <c r="C1759" s="1" t="str">
        <f>"08703609"</f>
        <v>08703609</v>
      </c>
      <c r="D1759" s="1" t="s">
        <v>186</v>
      </c>
      <c r="F1759" s="1" t="str">
        <f>"8056"</f>
        <v>8056</v>
      </c>
      <c r="G1759" s="2">
        <v>41867.0</v>
      </c>
      <c r="H1759" s="1">
        <v>244900.0</v>
      </c>
      <c r="I1759" s="1">
        <v>91.0</v>
      </c>
      <c r="J1759" s="1">
        <v>235900.0</v>
      </c>
      <c r="K1759" s="2">
        <v>41957.0</v>
      </c>
      <c r="L1759" s="1">
        <v>91.0</v>
      </c>
      <c r="M1759" s="2">
        <v>41957.0</v>
      </c>
      <c r="N1759" s="1" t="s">
        <v>187</v>
      </c>
      <c r="O1759" s="2">
        <v>42069.0</v>
      </c>
      <c r="P1759" s="1">
        <v>20691.0</v>
      </c>
      <c r="Q1759" s="1">
        <v>24695.0</v>
      </c>
      <c r="S1759" s="1">
        <v>5343.0</v>
      </c>
      <c r="T1759" s="1" t="s">
        <v>17261</v>
      </c>
      <c r="U1759" s="1" t="s">
        <v>189</v>
      </c>
      <c r="V1759" s="1" t="s">
        <v>190</v>
      </c>
      <c r="W1759" s="1">
        <v>60638.0</v>
      </c>
      <c r="Y1759" s="1" t="s">
        <v>17262</v>
      </c>
      <c r="Z1759" s="1">
        <v>1952.0</v>
      </c>
      <c r="AA1759" s="1" t="s">
        <v>192</v>
      </c>
      <c r="AB1759" s="1" t="s">
        <v>193</v>
      </c>
      <c r="AD1759" s="1" t="s">
        <v>194</v>
      </c>
      <c r="AE1759" s="1" t="s">
        <v>195</v>
      </c>
      <c r="AF1759" s="1" t="s">
        <v>659</v>
      </c>
      <c r="AH1759" s="1" t="s">
        <v>17263</v>
      </c>
      <c r="AK1759" s="1">
        <v>8.0</v>
      </c>
      <c r="AL1759" s="1">
        <v>4.0</v>
      </c>
      <c r="AM1759" s="1">
        <v>2.0</v>
      </c>
      <c r="AN1759" s="1">
        <v>1.0</v>
      </c>
      <c r="AO1759" s="1" t="s">
        <v>229</v>
      </c>
      <c r="AQ1759" s="1" t="s">
        <v>198</v>
      </c>
      <c r="AR1759" s="1" t="s">
        <v>192</v>
      </c>
      <c r="AS1759" s="1" t="s">
        <v>199</v>
      </c>
      <c r="AT1759" s="1">
        <v>2.0</v>
      </c>
      <c r="AV1759" s="1" t="s">
        <v>200</v>
      </c>
      <c r="AW1759" s="1">
        <v>718.0</v>
      </c>
      <c r="AX1759" s="1">
        <v>2013.0</v>
      </c>
      <c r="AY1759" s="1" t="s">
        <v>13207</v>
      </c>
      <c r="AZ1759" s="1" t="s">
        <v>200</v>
      </c>
      <c r="BA1759" s="1" t="str">
        <f>"19074170420000"</f>
        <v>19074170420000</v>
      </c>
      <c r="BB1759" s="1" t="s">
        <v>200</v>
      </c>
      <c r="BC1759" s="1">
        <v>1400.0</v>
      </c>
      <c r="BD1759" s="1">
        <v>226000.0</v>
      </c>
      <c r="BE1759" s="2">
        <v>41867.0</v>
      </c>
      <c r="BF1759" s="2" t="s">
        <v>17264</v>
      </c>
      <c r="BH1759" s="1">
        <v>0.0</v>
      </c>
      <c r="BK1759" s="1" t="s">
        <v>204</v>
      </c>
      <c r="BL1759" s="1" t="str">
        <f t="shared" ref="BL1759:BM1759" si="1159">"0"</f>
        <v>0</v>
      </c>
      <c r="BM1759" s="1" t="str">
        <f t="shared" si="1159"/>
        <v>0</v>
      </c>
      <c r="BN1759" s="1">
        <v>6700.0</v>
      </c>
      <c r="BO1759" s="1">
        <v>5343.0</v>
      </c>
      <c r="BQ1759" s="1">
        <v>299.0</v>
      </c>
      <c r="BR1759" s="1">
        <v>299.0</v>
      </c>
      <c r="BS1759" s="1">
        <v>299.0</v>
      </c>
      <c r="BU1759" s="1" t="s">
        <v>3888</v>
      </c>
      <c r="BV1759" s="1" t="s">
        <v>206</v>
      </c>
      <c r="BW1759" s="1" t="s">
        <v>207</v>
      </c>
      <c r="BX1759" s="1" t="s">
        <v>239</v>
      </c>
      <c r="BY1759" s="1" t="s">
        <v>9889</v>
      </c>
      <c r="BZ1759" s="1" t="s">
        <v>209</v>
      </c>
      <c r="CA1759" s="1" t="s">
        <v>207</v>
      </c>
      <c r="CB1759" s="1" t="s">
        <v>431</v>
      </c>
      <c r="CC1759" s="1" t="s">
        <v>302</v>
      </c>
      <c r="CD1759" s="1" t="s">
        <v>206</v>
      </c>
      <c r="CE1759" s="1" t="s">
        <v>207</v>
      </c>
      <c r="CF1759" s="1" t="s">
        <v>239</v>
      </c>
      <c r="CG1759" s="1" t="s">
        <v>699</v>
      </c>
      <c r="CH1759" s="1" t="s">
        <v>209</v>
      </c>
      <c r="CI1759" s="1" t="s">
        <v>207</v>
      </c>
      <c r="CJ1759" s="1" t="s">
        <v>229</v>
      </c>
      <c r="CK1759" s="1" t="s">
        <v>1760</v>
      </c>
      <c r="CL1759" s="1" t="s">
        <v>209</v>
      </c>
      <c r="CM1759" s="1" t="s">
        <v>207</v>
      </c>
      <c r="CN1759" s="1" t="s">
        <v>229</v>
      </c>
      <c r="CO1759" s="1" t="s">
        <v>3805</v>
      </c>
      <c r="CP1759" s="1" t="s">
        <v>206</v>
      </c>
      <c r="CQ1759" s="1" t="s">
        <v>207</v>
      </c>
      <c r="CR1759" s="1" t="s">
        <v>1549</v>
      </c>
      <c r="CS1759" s="1" t="s">
        <v>3508</v>
      </c>
      <c r="CT1759" s="1" t="s">
        <v>206</v>
      </c>
      <c r="CU1759" s="1" t="s">
        <v>588</v>
      </c>
      <c r="CV1759" s="1" t="s">
        <v>431</v>
      </c>
      <c r="CW1759" s="1" t="s">
        <v>10619</v>
      </c>
      <c r="CX1759" s="1" t="s">
        <v>42</v>
      </c>
      <c r="CY1759" s="1" t="s">
        <v>588</v>
      </c>
      <c r="CZ1759" s="1" t="s">
        <v>229</v>
      </c>
      <c r="DA1759" s="1" t="s">
        <v>200</v>
      </c>
      <c r="DC1759" s="1" t="s">
        <v>702</v>
      </c>
      <c r="DD1759" s="1" t="s">
        <v>518</v>
      </c>
      <c r="DE1759" s="1" t="s">
        <v>273</v>
      </c>
      <c r="DF1759" s="1" t="s">
        <v>219</v>
      </c>
      <c r="DG1759" s="1" t="s">
        <v>337</v>
      </c>
      <c r="DH1759" s="1" t="s">
        <v>365</v>
      </c>
      <c r="DI1759" s="1" t="s">
        <v>1401</v>
      </c>
      <c r="DJ1759" s="1" t="s">
        <v>1379</v>
      </c>
      <c r="DK1759" s="1" t="s">
        <v>224</v>
      </c>
      <c r="DL1759" s="1" t="s">
        <v>858</v>
      </c>
      <c r="DM1759" s="1" t="s">
        <v>1464</v>
      </c>
      <c r="DP1759" s="1" t="s">
        <v>340</v>
      </c>
      <c r="DQ1759" s="1" t="s">
        <v>794</v>
      </c>
      <c r="DR1759" s="1" t="s">
        <v>229</v>
      </c>
      <c r="DS1759" s="1" t="s">
        <v>368</v>
      </c>
      <c r="DU1759" s="1" t="s">
        <v>681</v>
      </c>
      <c r="DV1759" s="1" t="s">
        <v>1270</v>
      </c>
      <c r="DW1759" s="1" t="s">
        <v>279</v>
      </c>
      <c r="DX1759" s="1" t="s">
        <v>234</v>
      </c>
      <c r="DY1759" s="1" t="s">
        <v>281</v>
      </c>
      <c r="DZ1759" s="1" t="s">
        <v>405</v>
      </c>
      <c r="EC1759" s="1" t="s">
        <v>645</v>
      </c>
      <c r="EE1759" s="1" t="s">
        <v>493</v>
      </c>
      <c r="EG1759" s="1" t="s">
        <v>1270</v>
      </c>
      <c r="EL1759" s="1" t="s">
        <v>1351</v>
      </c>
      <c r="EM1759" s="1" t="s">
        <v>42</v>
      </c>
      <c r="EN1759" s="1" t="s">
        <v>588</v>
      </c>
      <c r="EO1759" s="1" t="s">
        <v>229</v>
      </c>
      <c r="EQ1759" s="1" t="s">
        <v>238</v>
      </c>
      <c r="EU1759" s="1" t="s">
        <v>238</v>
      </c>
      <c r="EY1759" s="1" t="s">
        <v>238</v>
      </c>
      <c r="FC1759" s="1" t="s">
        <v>238</v>
      </c>
      <c r="FF1759" s="1" t="s">
        <v>2447</v>
      </c>
      <c r="FG1759" s="1" t="s">
        <v>192</v>
      </c>
      <c r="FH1759" s="1" t="s">
        <v>192</v>
      </c>
      <c r="FJ1759" s="1" t="s">
        <v>6821</v>
      </c>
      <c r="FK1759" s="1" t="s">
        <v>229</v>
      </c>
      <c r="FL1759" s="1" t="s">
        <v>13212</v>
      </c>
      <c r="FM1759" s="1">
        <v>60227.0</v>
      </c>
      <c r="FN1759" s="1" t="s">
        <v>13213</v>
      </c>
      <c r="FO1759" s="1" t="s">
        <v>13214</v>
      </c>
      <c r="FP1759" s="1">
        <v>600728.0</v>
      </c>
      <c r="FQ1759" s="1" t="s">
        <v>13213</v>
      </c>
      <c r="FS1759" s="1" t="s">
        <v>13215</v>
      </c>
      <c r="FU1759" s="1" t="s">
        <v>17265</v>
      </c>
      <c r="FV1759" s="1" t="s">
        <v>200</v>
      </c>
      <c r="FW1759" s="1" t="s">
        <v>17266</v>
      </c>
      <c r="FX1759" s="1" t="s">
        <v>655</v>
      </c>
      <c r="FZ1759" s="1" t="s">
        <v>229</v>
      </c>
      <c r="GA1759" s="1" t="s">
        <v>291</v>
      </c>
      <c r="GB1759" s="2">
        <v>42069.0</v>
      </c>
      <c r="GC1759" s="1" t="s">
        <v>17267</v>
      </c>
    </row>
    <row r="1760">
      <c r="A1760" s="1">
        <v>80000.0</v>
      </c>
      <c r="B1760" s="1" t="s">
        <v>185</v>
      </c>
      <c r="C1760" s="1" t="str">
        <f>"08703038"</f>
        <v>08703038</v>
      </c>
      <c r="D1760" s="1" t="s">
        <v>186</v>
      </c>
      <c r="F1760" s="1" t="str">
        <f>"8063"</f>
        <v>8063</v>
      </c>
      <c r="G1760" s="2">
        <v>41866.0</v>
      </c>
      <c r="H1760" s="1">
        <v>109000.0</v>
      </c>
      <c r="I1760" s="1">
        <v>147.0</v>
      </c>
      <c r="J1760" s="1">
        <v>80000.0</v>
      </c>
      <c r="K1760" s="2">
        <v>42012.0</v>
      </c>
      <c r="L1760" s="1">
        <v>147.0</v>
      </c>
      <c r="M1760" s="2">
        <v>42012.0</v>
      </c>
      <c r="N1760" s="1" t="s">
        <v>356</v>
      </c>
      <c r="O1760" s="2">
        <v>42094.0</v>
      </c>
      <c r="P1760" s="1">
        <v>153399.0</v>
      </c>
      <c r="Q1760" s="1">
        <v>12555.0</v>
      </c>
      <c r="S1760" s="1">
        <v>5806.0</v>
      </c>
      <c r="T1760" s="1" t="s">
        <v>2162</v>
      </c>
      <c r="U1760" s="1" t="s">
        <v>189</v>
      </c>
      <c r="V1760" s="1" t="s">
        <v>190</v>
      </c>
      <c r="W1760" s="1">
        <v>60629.0</v>
      </c>
      <c r="Y1760" s="1" t="s">
        <v>17268</v>
      </c>
      <c r="Z1760" s="1">
        <v>1919.0</v>
      </c>
      <c r="AA1760" s="1" t="s">
        <v>192</v>
      </c>
      <c r="AB1760" s="1" t="s">
        <v>193</v>
      </c>
      <c r="AD1760" s="1" t="s">
        <v>194</v>
      </c>
      <c r="AE1760" s="1" t="s">
        <v>195</v>
      </c>
      <c r="AF1760" s="1" t="s">
        <v>659</v>
      </c>
      <c r="AH1760" s="1" t="s">
        <v>1501</v>
      </c>
      <c r="AI1760" s="1">
        <v>0.0861</v>
      </c>
      <c r="AK1760" s="1">
        <v>7.0</v>
      </c>
      <c r="AL1760" s="1">
        <v>4.0</v>
      </c>
      <c r="AM1760" s="1">
        <v>1.0</v>
      </c>
      <c r="AN1760" s="1">
        <v>0.0</v>
      </c>
      <c r="AO1760" s="1" t="s">
        <v>229</v>
      </c>
      <c r="AQ1760" s="1" t="s">
        <v>198</v>
      </c>
      <c r="AR1760" s="1" t="s">
        <v>200</v>
      </c>
      <c r="AS1760" s="1" t="s">
        <v>199</v>
      </c>
      <c r="AT1760" s="1">
        <v>2.0</v>
      </c>
      <c r="AV1760" s="1" t="s">
        <v>200</v>
      </c>
      <c r="AW1760" s="1">
        <v>1835.81</v>
      </c>
      <c r="AX1760" s="1">
        <v>2012.0</v>
      </c>
      <c r="AY1760" s="1" t="s">
        <v>229</v>
      </c>
      <c r="AZ1760" s="1" t="s">
        <v>200</v>
      </c>
      <c r="BA1760" s="1" t="str">
        <f>"19131250170000"</f>
        <v>19131250170000</v>
      </c>
      <c r="BC1760" s="1">
        <v>0.0</v>
      </c>
      <c r="BD1760" s="1">
        <v>80000.0</v>
      </c>
      <c r="BE1760" s="2">
        <v>41866.0</v>
      </c>
      <c r="BF1760" s="2" t="s">
        <v>17269</v>
      </c>
      <c r="BH1760" s="1">
        <v>0.0</v>
      </c>
      <c r="BK1760" s="1" t="s">
        <v>204</v>
      </c>
      <c r="BL1760" s="1" t="str">
        <f t="shared" ref="BL1760:BM1760" si="1160">"0"</f>
        <v>0</v>
      </c>
      <c r="BM1760" s="1" t="str">
        <f t="shared" si="1160"/>
        <v>0</v>
      </c>
      <c r="BN1760" s="1">
        <v>3100.0</v>
      </c>
      <c r="BO1760" s="1">
        <v>5806.0</v>
      </c>
      <c r="BQ1760" s="1">
        <v>299.0</v>
      </c>
      <c r="BR1760" s="1">
        <v>299.0</v>
      </c>
      <c r="BS1760" s="1">
        <v>299.0</v>
      </c>
      <c r="BU1760" s="1" t="s">
        <v>264</v>
      </c>
      <c r="BV1760" s="1" t="s">
        <v>206</v>
      </c>
      <c r="BW1760" s="1" t="s">
        <v>207</v>
      </c>
      <c r="BY1760" s="1" t="s">
        <v>269</v>
      </c>
      <c r="BZ1760" s="1" t="s">
        <v>206</v>
      </c>
      <c r="CA1760" s="1" t="s">
        <v>207</v>
      </c>
      <c r="CC1760" s="1" t="s">
        <v>264</v>
      </c>
      <c r="CD1760" s="1" t="s">
        <v>206</v>
      </c>
      <c r="CE1760" s="1" t="s">
        <v>207</v>
      </c>
      <c r="CG1760" s="1" t="s">
        <v>269</v>
      </c>
      <c r="CH1760" s="1" t="s">
        <v>206</v>
      </c>
      <c r="CI1760" s="1" t="s">
        <v>207</v>
      </c>
      <c r="CK1760" s="1" t="s">
        <v>269</v>
      </c>
      <c r="CL1760" s="1" t="s">
        <v>209</v>
      </c>
      <c r="CM1760" s="1" t="s">
        <v>210</v>
      </c>
      <c r="CO1760" s="1" t="s">
        <v>269</v>
      </c>
      <c r="CP1760" s="1" t="s">
        <v>209</v>
      </c>
      <c r="CQ1760" s="1" t="s">
        <v>210</v>
      </c>
      <c r="CS1760" s="1" t="s">
        <v>269</v>
      </c>
      <c r="CT1760" s="1" t="s">
        <v>206</v>
      </c>
      <c r="CU1760" s="1" t="s">
        <v>268</v>
      </c>
      <c r="CX1760" s="1" t="s">
        <v>204</v>
      </c>
      <c r="DA1760" s="1" t="s">
        <v>200</v>
      </c>
      <c r="DC1760" s="1" t="s">
        <v>216</v>
      </c>
      <c r="DE1760" s="1" t="s">
        <v>229</v>
      </c>
      <c r="DF1760" s="1" t="s">
        <v>219</v>
      </c>
      <c r="DH1760" s="1" t="s">
        <v>220</v>
      </c>
      <c r="DJ1760" s="1" t="s">
        <v>222</v>
      </c>
      <c r="DL1760" s="1" t="s">
        <v>858</v>
      </c>
      <c r="DM1760" s="1" t="s">
        <v>229</v>
      </c>
      <c r="DQ1760" s="1" t="s">
        <v>228</v>
      </c>
      <c r="DR1760" s="1" t="s">
        <v>229</v>
      </c>
      <c r="DV1760" s="1" t="s">
        <v>232</v>
      </c>
      <c r="DW1760" s="1" t="s">
        <v>279</v>
      </c>
      <c r="DX1760" s="1" t="s">
        <v>234</v>
      </c>
      <c r="EC1760" s="1" t="s">
        <v>645</v>
      </c>
      <c r="EM1760" s="1" t="s">
        <v>238</v>
      </c>
      <c r="EQ1760" s="1" t="s">
        <v>238</v>
      </c>
      <c r="EU1760" s="1" t="s">
        <v>238</v>
      </c>
      <c r="EY1760" s="1" t="s">
        <v>238</v>
      </c>
      <c r="FC1760" s="1" t="s">
        <v>238</v>
      </c>
      <c r="FF1760" s="1" t="s">
        <v>239</v>
      </c>
      <c r="FG1760" s="1" t="s">
        <v>192</v>
      </c>
      <c r="FH1760" s="1" t="s">
        <v>192</v>
      </c>
      <c r="FJ1760" s="1" t="s">
        <v>1248</v>
      </c>
      <c r="FK1760" s="1" t="s">
        <v>229</v>
      </c>
      <c r="FL1760" s="1" t="s">
        <v>734</v>
      </c>
      <c r="FM1760" s="1">
        <v>10646.0</v>
      </c>
      <c r="FN1760" s="1" t="s">
        <v>735</v>
      </c>
      <c r="FO1760" s="1" t="s">
        <v>5446</v>
      </c>
      <c r="FP1760" s="1">
        <v>166674.0</v>
      </c>
      <c r="FQ1760" s="1" t="s">
        <v>5447</v>
      </c>
      <c r="FR1760" s="1">
        <v>130124.0</v>
      </c>
      <c r="FU1760" s="1" t="s">
        <v>1438</v>
      </c>
      <c r="FV1760" s="1" t="s">
        <v>200</v>
      </c>
      <c r="FW1760" s="1" t="s">
        <v>1307</v>
      </c>
      <c r="FX1760" s="1" t="s">
        <v>655</v>
      </c>
      <c r="FZ1760" s="1" t="s">
        <v>229</v>
      </c>
      <c r="GA1760" s="1" t="s">
        <v>291</v>
      </c>
      <c r="GB1760" s="2">
        <v>42094.0</v>
      </c>
      <c r="GC1760" s="1" t="s">
        <v>17270</v>
      </c>
    </row>
    <row r="1761">
      <c r="A1761" s="1">
        <v>255000.0</v>
      </c>
      <c r="B1761" s="1" t="s">
        <v>185</v>
      </c>
      <c r="C1761" s="1" t="str">
        <f>"08702199"</f>
        <v>08702199</v>
      </c>
      <c r="D1761" s="1" t="s">
        <v>186</v>
      </c>
      <c r="F1761" s="1" t="str">
        <f>"174"</f>
        <v>174</v>
      </c>
      <c r="G1761" s="2">
        <v>41865.0</v>
      </c>
      <c r="H1761" s="1">
        <v>275000.0</v>
      </c>
      <c r="I1761" s="1">
        <v>97.0</v>
      </c>
      <c r="J1761" s="1">
        <v>275000.0</v>
      </c>
      <c r="K1761" s="2">
        <v>41960.0</v>
      </c>
      <c r="L1761" s="1">
        <v>97.0</v>
      </c>
      <c r="M1761" s="2">
        <v>41960.0</v>
      </c>
      <c r="N1761" s="1" t="s">
        <v>187</v>
      </c>
      <c r="O1761" s="2">
        <v>42009.0</v>
      </c>
      <c r="P1761" s="1">
        <v>87416.0</v>
      </c>
      <c r="Q1761" s="1">
        <v>8340.0</v>
      </c>
      <c r="S1761" s="1">
        <v>1110.0</v>
      </c>
      <c r="T1761" s="1" t="s">
        <v>17271</v>
      </c>
      <c r="U1761" s="1" t="s">
        <v>320</v>
      </c>
      <c r="V1761" s="1" t="s">
        <v>1200</v>
      </c>
      <c r="W1761" s="1">
        <v>60174.0</v>
      </c>
      <c r="Y1761" s="1" t="s">
        <v>17272</v>
      </c>
      <c r="Z1761" s="1">
        <v>1969.0</v>
      </c>
      <c r="AA1761" s="1" t="s">
        <v>192</v>
      </c>
      <c r="AB1761" s="1" t="s">
        <v>193</v>
      </c>
      <c r="AD1761" s="1" t="s">
        <v>1203</v>
      </c>
      <c r="AE1761" s="1" t="s">
        <v>325</v>
      </c>
      <c r="AF1761" s="1" t="s">
        <v>1203</v>
      </c>
      <c r="AH1761" s="1" t="s">
        <v>17273</v>
      </c>
      <c r="AI1761" s="1">
        <v>0.27</v>
      </c>
      <c r="AK1761" s="1">
        <v>9.0</v>
      </c>
      <c r="AL1761" s="1">
        <v>4.0</v>
      </c>
      <c r="AM1761" s="1">
        <v>3.0</v>
      </c>
      <c r="AN1761" s="1">
        <v>0.0</v>
      </c>
      <c r="AO1761" s="1" t="s">
        <v>198</v>
      </c>
      <c r="AQ1761" s="1" t="s">
        <v>327</v>
      </c>
      <c r="AR1761" s="1" t="s">
        <v>192</v>
      </c>
      <c r="AS1761" s="1" t="s">
        <v>199</v>
      </c>
      <c r="AT1761" s="1">
        <v>2.0</v>
      </c>
      <c r="AV1761" s="1" t="s">
        <v>200</v>
      </c>
      <c r="AW1761" s="1">
        <v>6239.0</v>
      </c>
      <c r="AX1761" s="1">
        <v>2013.0</v>
      </c>
      <c r="AY1761" s="1" t="s">
        <v>387</v>
      </c>
      <c r="AZ1761" s="1" t="s">
        <v>200</v>
      </c>
      <c r="BA1761" s="1" t="str">
        <f>"0933406001"</f>
        <v>0933406001</v>
      </c>
      <c r="BC1761" s="1">
        <v>2750.0</v>
      </c>
      <c r="BD1761" s="1">
        <v>255000.0</v>
      </c>
      <c r="BE1761" s="2">
        <v>41864.0</v>
      </c>
      <c r="BF1761" s="2" t="s">
        <v>17274</v>
      </c>
      <c r="BG1761" s="1" t="s">
        <v>5991</v>
      </c>
      <c r="BH1761" s="1">
        <v>0.0</v>
      </c>
      <c r="BK1761" s="1" t="s">
        <v>204</v>
      </c>
      <c r="BL1761" s="1" t="str">
        <f t="shared" ref="BL1761:BM1761" si="1161">""</f>
        <v/>
      </c>
      <c r="BM1761" s="1" t="str">
        <f t="shared" si="1161"/>
        <v/>
      </c>
      <c r="BQ1761" s="1">
        <v>303.0</v>
      </c>
      <c r="BR1761" s="1">
        <v>303.0</v>
      </c>
      <c r="BS1761" s="1">
        <v>303.0</v>
      </c>
      <c r="BU1761" s="1" t="s">
        <v>2181</v>
      </c>
      <c r="BV1761" s="1" t="s">
        <v>206</v>
      </c>
      <c r="BW1761" s="1" t="s">
        <v>207</v>
      </c>
      <c r="BX1761" s="1" t="s">
        <v>239</v>
      </c>
      <c r="BY1761" s="1" t="s">
        <v>758</v>
      </c>
      <c r="BZ1761" s="1" t="s">
        <v>206</v>
      </c>
      <c r="CA1761" s="1" t="s">
        <v>207</v>
      </c>
      <c r="CB1761" s="1" t="s">
        <v>239</v>
      </c>
      <c r="CC1761" s="1" t="s">
        <v>542</v>
      </c>
      <c r="CD1761" s="1" t="s">
        <v>206</v>
      </c>
      <c r="CE1761" s="1" t="s">
        <v>207</v>
      </c>
      <c r="CF1761" s="1" t="s">
        <v>239</v>
      </c>
      <c r="CG1761" s="1" t="s">
        <v>433</v>
      </c>
      <c r="CH1761" s="1" t="s">
        <v>206</v>
      </c>
      <c r="CI1761" s="1" t="s">
        <v>207</v>
      </c>
      <c r="CJ1761" s="1" t="s">
        <v>239</v>
      </c>
      <c r="CK1761" s="1" t="s">
        <v>363</v>
      </c>
      <c r="CL1761" s="1" t="s">
        <v>206</v>
      </c>
      <c r="CM1761" s="1" t="s">
        <v>207</v>
      </c>
      <c r="CN1761" s="1" t="s">
        <v>239</v>
      </c>
      <c r="CO1761" s="1" t="s">
        <v>4387</v>
      </c>
      <c r="CP1761" s="1" t="s">
        <v>267</v>
      </c>
      <c r="CQ1761" s="1" t="s">
        <v>210</v>
      </c>
      <c r="CR1761" s="1" t="s">
        <v>239</v>
      </c>
      <c r="CS1761" s="1" t="s">
        <v>813</v>
      </c>
      <c r="CT1761" s="1" t="s">
        <v>206</v>
      </c>
      <c r="CU1761" s="1" t="s">
        <v>301</v>
      </c>
      <c r="CV1761" s="1" t="s">
        <v>239</v>
      </c>
      <c r="CW1761" s="1" t="s">
        <v>17275</v>
      </c>
      <c r="CX1761" s="1" t="s">
        <v>267</v>
      </c>
      <c r="CY1761" s="1" t="s">
        <v>210</v>
      </c>
      <c r="CZ1761" s="1" t="s">
        <v>239</v>
      </c>
      <c r="DA1761" s="1" t="s">
        <v>200</v>
      </c>
      <c r="DC1761" s="1" t="s">
        <v>517</v>
      </c>
      <c r="DD1761" s="1" t="s">
        <v>336</v>
      </c>
      <c r="DE1761" s="1" t="s">
        <v>273</v>
      </c>
      <c r="DF1761" s="1" t="s">
        <v>219</v>
      </c>
      <c r="DG1761" s="1" t="s">
        <v>337</v>
      </c>
      <c r="DH1761" s="1" t="s">
        <v>220</v>
      </c>
      <c r="DI1761" s="1" t="s">
        <v>17276</v>
      </c>
      <c r="DJ1761" s="1" t="s">
        <v>222</v>
      </c>
      <c r="DK1761" s="1" t="s">
        <v>198</v>
      </c>
      <c r="DL1761" s="1" t="s">
        <v>224</v>
      </c>
      <c r="DM1761" s="1" t="s">
        <v>229</v>
      </c>
      <c r="DO1761" s="1" t="s">
        <v>717</v>
      </c>
      <c r="DP1761" s="1" t="s">
        <v>276</v>
      </c>
      <c r="DQ1761" s="1" t="s">
        <v>441</v>
      </c>
      <c r="DR1761" s="1" t="s">
        <v>229</v>
      </c>
      <c r="DS1761" s="1" t="s">
        <v>230</v>
      </c>
      <c r="DU1761" s="1" t="s">
        <v>1637</v>
      </c>
      <c r="DV1761" s="1" t="s">
        <v>17277</v>
      </c>
      <c r="DW1761" s="1" t="s">
        <v>444</v>
      </c>
      <c r="DX1761" s="1" t="s">
        <v>234</v>
      </c>
      <c r="DY1761" s="1" t="s">
        <v>17278</v>
      </c>
      <c r="DZ1761" s="1" t="s">
        <v>17279</v>
      </c>
      <c r="EA1761" s="1" t="s">
        <v>1302</v>
      </c>
      <c r="EC1761" s="1" t="s">
        <v>284</v>
      </c>
      <c r="ED1761" s="1" t="s">
        <v>312</v>
      </c>
      <c r="EH1761" s="1" t="s">
        <v>408</v>
      </c>
      <c r="EI1761" s="1" t="s">
        <v>598</v>
      </c>
      <c r="EJ1761" s="1" t="s">
        <v>310</v>
      </c>
      <c r="EM1761" s="1" t="s">
        <v>238</v>
      </c>
      <c r="EP1761" s="1" t="s">
        <v>3023</v>
      </c>
      <c r="EQ1761" s="1" t="s">
        <v>206</v>
      </c>
      <c r="ER1761" s="1" t="s">
        <v>268</v>
      </c>
      <c r="ES1761" s="1" t="s">
        <v>239</v>
      </c>
      <c r="ET1761" s="1" t="s">
        <v>331</v>
      </c>
      <c r="EU1761" s="1" t="s">
        <v>267</v>
      </c>
      <c r="EV1761" s="1" t="s">
        <v>210</v>
      </c>
      <c r="EX1761" s="1" t="s">
        <v>2979</v>
      </c>
      <c r="EY1761" s="1" t="s">
        <v>206</v>
      </c>
      <c r="EZ1761" s="1" t="s">
        <v>588</v>
      </c>
      <c r="FC1761" s="1" t="s">
        <v>238</v>
      </c>
      <c r="FF1761" s="1" t="s">
        <v>239</v>
      </c>
      <c r="FG1761" s="1" t="s">
        <v>192</v>
      </c>
      <c r="FH1761" s="1" t="s">
        <v>192</v>
      </c>
      <c r="FJ1761" s="1" t="s">
        <v>498</v>
      </c>
      <c r="FK1761" s="1" t="s">
        <v>229</v>
      </c>
      <c r="FL1761" s="1" t="s">
        <v>1358</v>
      </c>
      <c r="FM1761" s="1">
        <v>23591.0</v>
      </c>
      <c r="FN1761" s="1" t="s">
        <v>2134</v>
      </c>
      <c r="FO1761" s="1" t="s">
        <v>2843</v>
      </c>
      <c r="FP1761" s="1">
        <v>230482.0</v>
      </c>
      <c r="FQ1761" s="1" t="s">
        <v>2844</v>
      </c>
      <c r="FS1761" s="1" t="s">
        <v>8183</v>
      </c>
      <c r="FU1761" s="1" t="s">
        <v>17280</v>
      </c>
      <c r="FV1761" s="1" t="s">
        <v>200</v>
      </c>
      <c r="FW1761" s="1" t="s">
        <v>17281</v>
      </c>
      <c r="FX1761" s="1" t="s">
        <v>655</v>
      </c>
      <c r="FZ1761" s="1" t="s">
        <v>229</v>
      </c>
      <c r="GA1761" s="1" t="s">
        <v>291</v>
      </c>
      <c r="GB1761" s="2">
        <v>42010.0</v>
      </c>
    </row>
    <row r="1762">
      <c r="A1762" s="1">
        <v>202000.0</v>
      </c>
      <c r="B1762" s="1" t="s">
        <v>185</v>
      </c>
      <c r="C1762" s="1" t="str">
        <f>"08707722"</f>
        <v>08707722</v>
      </c>
      <c r="D1762" s="1" t="s">
        <v>186</v>
      </c>
      <c r="F1762" s="1" t="str">
        <f>"510"</f>
        <v>510</v>
      </c>
      <c r="G1762" s="2">
        <v>41872.0</v>
      </c>
      <c r="H1762" s="1">
        <v>225000.0</v>
      </c>
      <c r="I1762" s="1">
        <v>71.0</v>
      </c>
      <c r="J1762" s="1">
        <v>208000.0</v>
      </c>
      <c r="K1762" s="2">
        <v>41942.0</v>
      </c>
      <c r="L1762" s="1">
        <v>71.0</v>
      </c>
      <c r="M1762" s="2">
        <v>41942.0</v>
      </c>
      <c r="N1762" s="1" t="s">
        <v>187</v>
      </c>
      <c r="O1762" s="2">
        <v>41971.0</v>
      </c>
      <c r="P1762" s="1">
        <v>237567.0</v>
      </c>
      <c r="Q1762" s="1">
        <v>22029.0</v>
      </c>
      <c r="S1762" s="1">
        <v>1445.0</v>
      </c>
      <c r="T1762" s="1" t="s">
        <v>13410</v>
      </c>
      <c r="U1762" s="1" t="s">
        <v>464</v>
      </c>
      <c r="V1762" s="1" t="s">
        <v>2700</v>
      </c>
      <c r="W1762" s="1">
        <v>60510.0</v>
      </c>
      <c r="Y1762" s="1" t="s">
        <v>17282</v>
      </c>
      <c r="Z1762" s="1">
        <v>1972.0</v>
      </c>
      <c r="AA1762" s="1" t="s">
        <v>192</v>
      </c>
      <c r="AB1762" s="1" t="s">
        <v>193</v>
      </c>
      <c r="AC1762" s="1" t="s">
        <v>4911</v>
      </c>
      <c r="AD1762" s="1" t="s">
        <v>1089</v>
      </c>
      <c r="AE1762" s="1" t="s">
        <v>325</v>
      </c>
      <c r="AF1762" s="1" t="s">
        <v>424</v>
      </c>
      <c r="AH1762" s="1" t="s">
        <v>17283</v>
      </c>
      <c r="AK1762" s="1">
        <v>10.0</v>
      </c>
      <c r="AL1762" s="1">
        <v>4.0</v>
      </c>
      <c r="AM1762" s="1">
        <v>2.0</v>
      </c>
      <c r="AN1762" s="1">
        <v>0.0</v>
      </c>
      <c r="AO1762" s="1" t="s">
        <v>198</v>
      </c>
      <c r="AQ1762" s="1" t="s">
        <v>198</v>
      </c>
      <c r="AR1762" s="1" t="s">
        <v>200</v>
      </c>
      <c r="AS1762" s="1" t="s">
        <v>199</v>
      </c>
      <c r="AT1762" s="1">
        <v>2.0</v>
      </c>
      <c r="AV1762" s="1" t="s">
        <v>200</v>
      </c>
      <c r="AW1762" s="1">
        <v>3637.18</v>
      </c>
      <c r="AX1762" s="1">
        <v>2013.0</v>
      </c>
      <c r="AY1762" s="1" t="s">
        <v>1179</v>
      </c>
      <c r="AZ1762" s="1" t="s">
        <v>200</v>
      </c>
      <c r="BA1762" s="1" t="str">
        <f>"1215276016"</f>
        <v>1215276016</v>
      </c>
      <c r="BC1762" s="1">
        <v>1438.0</v>
      </c>
      <c r="BD1762" s="1">
        <v>202000.0</v>
      </c>
      <c r="BE1762" s="2">
        <v>41872.0</v>
      </c>
      <c r="BF1762" s="1" t="s">
        <v>17284</v>
      </c>
      <c r="BH1762" s="1">
        <v>0.0</v>
      </c>
      <c r="BK1762" s="1" t="s">
        <v>204</v>
      </c>
      <c r="BL1762" s="1" t="str">
        <f t="shared" ref="BL1762:BM1762" si="1162">""</f>
        <v/>
      </c>
      <c r="BM1762" s="1" t="str">
        <f t="shared" si="1162"/>
        <v/>
      </c>
      <c r="BQ1762" s="1">
        <v>304.0</v>
      </c>
      <c r="BR1762" s="1">
        <v>304.0</v>
      </c>
      <c r="BS1762" s="1">
        <v>304.0</v>
      </c>
      <c r="BU1762" s="1" t="s">
        <v>677</v>
      </c>
      <c r="BV1762" s="1" t="s">
        <v>206</v>
      </c>
      <c r="BW1762" s="1" t="s">
        <v>210</v>
      </c>
      <c r="BY1762" s="1" t="s">
        <v>392</v>
      </c>
      <c r="BZ1762" s="1" t="s">
        <v>206</v>
      </c>
      <c r="CA1762" s="1" t="s">
        <v>210</v>
      </c>
      <c r="CC1762" s="1" t="s">
        <v>3672</v>
      </c>
      <c r="CD1762" s="1" t="s">
        <v>206</v>
      </c>
      <c r="CE1762" s="1" t="s">
        <v>210</v>
      </c>
      <c r="CG1762" s="1" t="s">
        <v>303</v>
      </c>
      <c r="CH1762" s="1" t="s">
        <v>206</v>
      </c>
      <c r="CI1762" s="1" t="s">
        <v>210</v>
      </c>
      <c r="CK1762" s="1" t="s">
        <v>303</v>
      </c>
      <c r="CL1762" s="1" t="s">
        <v>206</v>
      </c>
      <c r="CM1762" s="1" t="s">
        <v>210</v>
      </c>
      <c r="CO1762" s="1" t="s">
        <v>1760</v>
      </c>
      <c r="CP1762" s="1" t="s">
        <v>206</v>
      </c>
      <c r="CQ1762" s="1" t="s">
        <v>210</v>
      </c>
      <c r="CS1762" s="1" t="s">
        <v>663</v>
      </c>
      <c r="CT1762" s="1" t="s">
        <v>206</v>
      </c>
      <c r="CU1762" s="1" t="s">
        <v>617</v>
      </c>
      <c r="CW1762" s="1" t="s">
        <v>2872</v>
      </c>
      <c r="CX1762" s="1" t="s">
        <v>42</v>
      </c>
      <c r="CY1762" s="1" t="s">
        <v>210</v>
      </c>
      <c r="DA1762" s="1" t="s">
        <v>200</v>
      </c>
      <c r="DC1762" s="1" t="s">
        <v>517</v>
      </c>
      <c r="DE1762" s="1" t="s">
        <v>273</v>
      </c>
      <c r="DF1762" s="1" t="s">
        <v>219</v>
      </c>
      <c r="DH1762" s="1" t="s">
        <v>856</v>
      </c>
      <c r="DJ1762" s="1" t="s">
        <v>857</v>
      </c>
      <c r="DL1762" s="1" t="s">
        <v>224</v>
      </c>
      <c r="DM1762" s="1" t="s">
        <v>229</v>
      </c>
      <c r="DQ1762" s="1" t="s">
        <v>441</v>
      </c>
      <c r="DR1762" s="1" t="s">
        <v>229</v>
      </c>
      <c r="DV1762" s="1" t="s">
        <v>7291</v>
      </c>
      <c r="DW1762" s="1" t="s">
        <v>233</v>
      </c>
      <c r="DX1762" s="1" t="s">
        <v>234</v>
      </c>
      <c r="EC1762" s="1" t="s">
        <v>685</v>
      </c>
      <c r="EG1762" s="1" t="s">
        <v>450</v>
      </c>
      <c r="EH1762" s="1" t="s">
        <v>494</v>
      </c>
      <c r="EL1762" s="1" t="s">
        <v>329</v>
      </c>
      <c r="EM1762" s="1" t="s">
        <v>42</v>
      </c>
      <c r="EN1762" s="1" t="s">
        <v>210</v>
      </c>
      <c r="EP1762" s="1" t="s">
        <v>1688</v>
      </c>
      <c r="EQ1762" s="1" t="s">
        <v>42</v>
      </c>
      <c r="ER1762" s="1" t="s">
        <v>617</v>
      </c>
      <c r="EU1762" s="1" t="s">
        <v>238</v>
      </c>
      <c r="EY1762" s="1" t="s">
        <v>238</v>
      </c>
      <c r="FC1762" s="1" t="s">
        <v>238</v>
      </c>
      <c r="FF1762" s="1" t="s">
        <v>239</v>
      </c>
      <c r="FG1762" s="1" t="s">
        <v>192</v>
      </c>
      <c r="FH1762" s="1" t="s">
        <v>192</v>
      </c>
      <c r="FJ1762" s="1" t="s">
        <v>14653</v>
      </c>
      <c r="FK1762" s="1" t="s">
        <v>229</v>
      </c>
      <c r="FL1762" s="1" t="s">
        <v>2263</v>
      </c>
      <c r="FM1762" s="1">
        <v>7661.0</v>
      </c>
      <c r="FN1762" s="1" t="s">
        <v>4356</v>
      </c>
      <c r="FO1762" s="1" t="s">
        <v>15782</v>
      </c>
      <c r="FP1762" s="1">
        <v>77366.0</v>
      </c>
      <c r="FQ1762" s="1" t="s">
        <v>15783</v>
      </c>
      <c r="FR1762" s="1">
        <v>8512.0</v>
      </c>
      <c r="FU1762" s="1" t="s">
        <v>17285</v>
      </c>
      <c r="FV1762" s="1" t="s">
        <v>200</v>
      </c>
      <c r="FW1762" s="1" t="s">
        <v>567</v>
      </c>
      <c r="FZ1762" s="1" t="s">
        <v>229</v>
      </c>
      <c r="GA1762" s="1" t="s">
        <v>291</v>
      </c>
      <c r="GB1762" s="2">
        <v>41974.0</v>
      </c>
      <c r="GC1762" s="1" t="s">
        <v>17286</v>
      </c>
    </row>
    <row r="1763">
      <c r="A1763" s="1">
        <v>239000.0</v>
      </c>
      <c r="B1763" s="1" t="s">
        <v>185</v>
      </c>
      <c r="C1763" s="1" t="str">
        <f>"08705372"</f>
        <v>08705372</v>
      </c>
      <c r="D1763" s="1" t="s">
        <v>186</v>
      </c>
      <c r="F1763" s="1" t="str">
        <f>"560"</f>
        <v>560</v>
      </c>
      <c r="G1763" s="2">
        <v>41870.0</v>
      </c>
      <c r="H1763" s="1">
        <v>289000.0</v>
      </c>
      <c r="I1763" s="1">
        <v>614.0</v>
      </c>
      <c r="J1763" s="1">
        <v>249000.0</v>
      </c>
      <c r="K1763" s="2">
        <v>41984.0</v>
      </c>
      <c r="L1763" s="1">
        <v>115.0</v>
      </c>
      <c r="M1763" s="2">
        <v>41984.0</v>
      </c>
      <c r="N1763" s="1" t="s">
        <v>187</v>
      </c>
      <c r="O1763" s="2">
        <v>42046.0</v>
      </c>
      <c r="P1763" s="1">
        <v>235740.0</v>
      </c>
      <c r="Q1763" s="1">
        <v>23279.0</v>
      </c>
      <c r="S1763" s="1">
        <v>1545.0</v>
      </c>
      <c r="T1763" s="1" t="s">
        <v>17287</v>
      </c>
      <c r="U1763" s="1" t="s">
        <v>569</v>
      </c>
      <c r="V1763" s="1" t="s">
        <v>845</v>
      </c>
      <c r="W1763" s="1">
        <v>60560.0</v>
      </c>
      <c r="Y1763" s="1" t="s">
        <v>17288</v>
      </c>
      <c r="Z1763" s="1">
        <v>2007.0</v>
      </c>
      <c r="AA1763" s="1" t="s">
        <v>200</v>
      </c>
      <c r="AB1763" s="1" t="s">
        <v>467</v>
      </c>
      <c r="AC1763" s="1" t="s">
        <v>16954</v>
      </c>
      <c r="AD1763" s="1" t="s">
        <v>848</v>
      </c>
      <c r="AE1763" s="1" t="s">
        <v>849</v>
      </c>
      <c r="AF1763" s="1" t="s">
        <v>1312</v>
      </c>
      <c r="AH1763" s="1" t="s">
        <v>17289</v>
      </c>
      <c r="AI1763" s="1">
        <v>0.2855</v>
      </c>
      <c r="AK1763" s="1">
        <v>9.0</v>
      </c>
      <c r="AL1763" s="1">
        <v>4.0</v>
      </c>
      <c r="AM1763" s="1">
        <v>2.0</v>
      </c>
      <c r="AN1763" s="1">
        <v>1.0</v>
      </c>
      <c r="AO1763" s="1" t="s">
        <v>198</v>
      </c>
      <c r="AQ1763" s="1" t="s">
        <v>198</v>
      </c>
      <c r="AR1763" s="1" t="s">
        <v>200</v>
      </c>
      <c r="AS1763" s="1" t="s">
        <v>199</v>
      </c>
      <c r="AT1763" s="1">
        <v>2.0</v>
      </c>
      <c r="AV1763" s="1" t="s">
        <v>200</v>
      </c>
      <c r="AW1763" s="1">
        <v>8867.76</v>
      </c>
      <c r="AX1763" s="1">
        <v>2012.0</v>
      </c>
      <c r="AY1763" s="1" t="s">
        <v>387</v>
      </c>
      <c r="AZ1763" s="1" t="s">
        <v>545</v>
      </c>
      <c r="BA1763" s="1" t="str">
        <f>"0222257012"</f>
        <v>0222257012</v>
      </c>
      <c r="BC1763" s="1">
        <v>2766.0</v>
      </c>
      <c r="BD1763" s="1">
        <v>239000.0</v>
      </c>
      <c r="BE1763" s="2">
        <v>41870.0</v>
      </c>
      <c r="BF1763" s="2" t="s">
        <v>17290</v>
      </c>
      <c r="BH1763" s="1">
        <v>250.0</v>
      </c>
      <c r="BK1763" s="1" t="s">
        <v>580</v>
      </c>
      <c r="BL1763" s="1" t="str">
        <f t="shared" ref="BL1763:BM1763" si="1163">""</f>
        <v/>
      </c>
      <c r="BM1763" s="1" t="str">
        <f t="shared" si="1163"/>
        <v/>
      </c>
      <c r="BQ1763" s="1">
        <v>115.0</v>
      </c>
      <c r="BR1763" s="1">
        <v>115.0</v>
      </c>
      <c r="BS1763" s="1">
        <v>115.0</v>
      </c>
      <c r="BU1763" s="1" t="s">
        <v>1417</v>
      </c>
      <c r="BV1763" s="1" t="s">
        <v>206</v>
      </c>
      <c r="BW1763" s="1" t="s">
        <v>210</v>
      </c>
      <c r="BY1763" s="1" t="s">
        <v>758</v>
      </c>
      <c r="BZ1763" s="1" t="s">
        <v>209</v>
      </c>
      <c r="CA1763" s="1" t="s">
        <v>210</v>
      </c>
      <c r="CC1763" s="1" t="s">
        <v>332</v>
      </c>
      <c r="CD1763" s="1" t="s">
        <v>206</v>
      </c>
      <c r="CE1763" s="1" t="s">
        <v>210</v>
      </c>
      <c r="CG1763" s="1" t="s">
        <v>303</v>
      </c>
      <c r="CH1763" s="1" t="s">
        <v>209</v>
      </c>
      <c r="CI1763" s="1" t="s">
        <v>210</v>
      </c>
      <c r="CK1763" s="1" t="s">
        <v>303</v>
      </c>
      <c r="CL1763" s="1" t="s">
        <v>209</v>
      </c>
      <c r="CM1763" s="1" t="s">
        <v>210</v>
      </c>
      <c r="CO1763" s="1" t="s">
        <v>1351</v>
      </c>
      <c r="CP1763" s="1" t="s">
        <v>209</v>
      </c>
      <c r="CQ1763" s="1" t="s">
        <v>210</v>
      </c>
      <c r="CS1763" s="1" t="s">
        <v>730</v>
      </c>
      <c r="CT1763" s="1" t="s">
        <v>206</v>
      </c>
      <c r="CU1763" s="1" t="s">
        <v>207</v>
      </c>
      <c r="CW1763" s="1" t="s">
        <v>480</v>
      </c>
      <c r="CX1763" s="1" t="s">
        <v>206</v>
      </c>
      <c r="CY1763" s="1" t="s">
        <v>210</v>
      </c>
      <c r="DA1763" s="1" t="s">
        <v>200</v>
      </c>
      <c r="DC1763" s="1" t="s">
        <v>481</v>
      </c>
      <c r="DD1763" s="1" t="s">
        <v>336</v>
      </c>
      <c r="DE1763" s="1" t="s">
        <v>273</v>
      </c>
      <c r="DF1763" s="1" t="s">
        <v>219</v>
      </c>
      <c r="DH1763" s="1" t="s">
        <v>220</v>
      </c>
      <c r="DJ1763" s="1" t="s">
        <v>222</v>
      </c>
      <c r="DL1763" s="1" t="s">
        <v>484</v>
      </c>
      <c r="DM1763" s="1" t="s">
        <v>229</v>
      </c>
      <c r="DN1763" s="1" t="s">
        <v>485</v>
      </c>
      <c r="DP1763" s="1" t="s">
        <v>340</v>
      </c>
      <c r="DQ1763" s="1" t="s">
        <v>441</v>
      </c>
      <c r="DR1763" s="1" t="s">
        <v>588</v>
      </c>
      <c r="DU1763" s="1" t="s">
        <v>2785</v>
      </c>
      <c r="DV1763" s="1" t="s">
        <v>494</v>
      </c>
      <c r="DW1763" s="1" t="s">
        <v>934</v>
      </c>
      <c r="DX1763" s="1" t="s">
        <v>309</v>
      </c>
      <c r="DY1763" s="1" t="s">
        <v>490</v>
      </c>
      <c r="EC1763" s="1" t="s">
        <v>237</v>
      </c>
      <c r="ED1763" s="1" t="s">
        <v>407</v>
      </c>
      <c r="EG1763" s="1" t="s">
        <v>494</v>
      </c>
      <c r="EL1763" s="1" t="s">
        <v>1183</v>
      </c>
      <c r="EM1763" s="1" t="s">
        <v>206</v>
      </c>
      <c r="EN1763" s="1" t="s">
        <v>210</v>
      </c>
      <c r="EQ1763" s="1" t="s">
        <v>238</v>
      </c>
      <c r="EU1763" s="1" t="s">
        <v>238</v>
      </c>
      <c r="EY1763" s="1" t="s">
        <v>238</v>
      </c>
      <c r="FC1763" s="1" t="s">
        <v>238</v>
      </c>
      <c r="FF1763" s="1" t="s">
        <v>239</v>
      </c>
      <c r="FG1763" s="1" t="s">
        <v>192</v>
      </c>
      <c r="FH1763" s="1" t="s">
        <v>192</v>
      </c>
      <c r="FJ1763" s="1" t="s">
        <v>498</v>
      </c>
      <c r="FK1763" s="1" t="s">
        <v>229</v>
      </c>
      <c r="FL1763" s="1" t="s">
        <v>2815</v>
      </c>
      <c r="FM1763" s="1">
        <v>12235.0</v>
      </c>
      <c r="FN1763" s="1" t="s">
        <v>2816</v>
      </c>
      <c r="FO1763" s="1" t="s">
        <v>2817</v>
      </c>
      <c r="FP1763" s="1">
        <v>121649.0</v>
      </c>
      <c r="FQ1763" s="1" t="s">
        <v>2818</v>
      </c>
      <c r="FU1763" s="1" t="s">
        <v>710</v>
      </c>
      <c r="FV1763" s="1" t="s">
        <v>200</v>
      </c>
      <c r="FW1763" s="1" t="s">
        <v>2820</v>
      </c>
      <c r="FZ1763" s="1" t="s">
        <v>229</v>
      </c>
      <c r="GA1763" s="1" t="s">
        <v>291</v>
      </c>
      <c r="GB1763" s="2">
        <v>42048.0</v>
      </c>
      <c r="GC1763" s="1" t="s">
        <v>17291</v>
      </c>
    </row>
    <row r="1764">
      <c r="A1764" s="1">
        <v>91500.0</v>
      </c>
      <c r="B1764" s="1" t="s">
        <v>185</v>
      </c>
      <c r="C1764" s="1" t="str">
        <f>"08706002"</f>
        <v>08706002</v>
      </c>
      <c r="D1764" s="1" t="s">
        <v>186</v>
      </c>
      <c r="F1764" s="1" t="str">
        <f>"8066"</f>
        <v>8066</v>
      </c>
      <c r="G1764" s="2">
        <v>41870.0</v>
      </c>
      <c r="H1764" s="1">
        <v>98500.0</v>
      </c>
      <c r="I1764" s="1">
        <v>120.0</v>
      </c>
      <c r="J1764" s="1">
        <v>90000.0</v>
      </c>
      <c r="K1764" s="2">
        <v>41988.0</v>
      </c>
      <c r="L1764" s="1">
        <v>120.0</v>
      </c>
      <c r="M1764" s="2">
        <v>41988.0</v>
      </c>
      <c r="N1764" s="1" t="s">
        <v>187</v>
      </c>
      <c r="O1764" s="2">
        <v>42003.0</v>
      </c>
      <c r="P1764" s="1">
        <v>876209.0</v>
      </c>
      <c r="Q1764" s="1">
        <v>84036.0</v>
      </c>
      <c r="R1764" s="1">
        <v>2745.0</v>
      </c>
      <c r="S1764" s="1">
        <v>7210.0</v>
      </c>
      <c r="T1764" s="1" t="s">
        <v>2106</v>
      </c>
      <c r="U1764" s="1" t="s">
        <v>189</v>
      </c>
      <c r="V1764" s="1" t="s">
        <v>190</v>
      </c>
      <c r="W1764" s="1">
        <v>60629.0</v>
      </c>
      <c r="Y1764" s="1" t="s">
        <v>17292</v>
      </c>
      <c r="Z1764" s="1">
        <v>1947.0</v>
      </c>
      <c r="AA1764" s="1" t="s">
        <v>192</v>
      </c>
      <c r="AB1764" s="1" t="s">
        <v>193</v>
      </c>
      <c r="AD1764" s="1" t="s">
        <v>194</v>
      </c>
      <c r="AE1764" s="1" t="s">
        <v>195</v>
      </c>
      <c r="AF1764" s="1" t="s">
        <v>637</v>
      </c>
      <c r="AH1764" s="1" t="s">
        <v>359</v>
      </c>
      <c r="AI1764" s="1">
        <v>0.0868</v>
      </c>
      <c r="AK1764" s="1">
        <v>7.0</v>
      </c>
      <c r="AL1764" s="1">
        <v>4.0</v>
      </c>
      <c r="AM1764" s="1">
        <v>1.0</v>
      </c>
      <c r="AN1764" s="1">
        <v>0.0</v>
      </c>
      <c r="AO1764" s="1" t="s">
        <v>229</v>
      </c>
      <c r="AQ1764" s="1" t="s">
        <v>198</v>
      </c>
      <c r="AR1764" s="1" t="s">
        <v>200</v>
      </c>
      <c r="AS1764" s="1" t="s">
        <v>199</v>
      </c>
      <c r="AT1764" s="1">
        <v>2.0</v>
      </c>
      <c r="AV1764" s="1" t="s">
        <v>200</v>
      </c>
      <c r="AW1764" s="1">
        <v>1453.78</v>
      </c>
      <c r="AX1764" s="1">
        <v>2013.0</v>
      </c>
      <c r="AY1764" s="1" t="s">
        <v>387</v>
      </c>
      <c r="AZ1764" s="1" t="s">
        <v>200</v>
      </c>
      <c r="BA1764" s="1" t="str">
        <f>"19262140240000"</f>
        <v>19262140240000</v>
      </c>
      <c r="BC1764" s="1">
        <v>1300.0</v>
      </c>
      <c r="BD1764" s="1">
        <v>91500.0</v>
      </c>
      <c r="BE1764" s="2">
        <v>41869.0</v>
      </c>
      <c r="BF1764" s="1" t="s">
        <v>17293</v>
      </c>
      <c r="BH1764" s="1">
        <v>0.0</v>
      </c>
      <c r="BK1764" s="1" t="s">
        <v>204</v>
      </c>
      <c r="BL1764" s="1" t="str">
        <f t="shared" ref="BL1764:BM1764" si="1164">"0"</f>
        <v>0</v>
      </c>
      <c r="BM1764" s="1" t="str">
        <f t="shared" si="1164"/>
        <v>0</v>
      </c>
      <c r="BN1764" s="1">
        <v>3250.0</v>
      </c>
      <c r="BO1764" s="1">
        <v>7210.0</v>
      </c>
      <c r="BQ1764" s="1">
        <v>299.0</v>
      </c>
      <c r="BR1764" s="1">
        <v>299.0</v>
      </c>
      <c r="BS1764" s="1">
        <v>299.0</v>
      </c>
      <c r="BU1764" s="1" t="s">
        <v>1426</v>
      </c>
      <c r="BV1764" s="1" t="s">
        <v>206</v>
      </c>
      <c r="BW1764" s="1" t="s">
        <v>207</v>
      </c>
      <c r="BY1764" s="1" t="s">
        <v>433</v>
      </c>
      <c r="BZ1764" s="1" t="s">
        <v>206</v>
      </c>
      <c r="CC1764" s="1" t="s">
        <v>542</v>
      </c>
      <c r="CD1764" s="1" t="s">
        <v>206</v>
      </c>
      <c r="CG1764" s="1" t="s">
        <v>495</v>
      </c>
      <c r="CH1764" s="1" t="s">
        <v>206</v>
      </c>
      <c r="CK1764" s="1" t="s">
        <v>264</v>
      </c>
      <c r="CL1764" s="1" t="s">
        <v>209</v>
      </c>
      <c r="CO1764" s="1" t="s">
        <v>264</v>
      </c>
      <c r="CP1764" s="1" t="s">
        <v>209</v>
      </c>
      <c r="CS1764" s="1" t="s">
        <v>495</v>
      </c>
      <c r="CT1764" s="1" t="s">
        <v>206</v>
      </c>
      <c r="CX1764" s="1" t="s">
        <v>204</v>
      </c>
      <c r="DA1764" s="1" t="s">
        <v>200</v>
      </c>
      <c r="DC1764" s="1" t="s">
        <v>702</v>
      </c>
      <c r="DE1764" s="1" t="s">
        <v>273</v>
      </c>
      <c r="DF1764" s="1" t="s">
        <v>905</v>
      </c>
      <c r="DH1764" s="1" t="s">
        <v>220</v>
      </c>
      <c r="DJ1764" s="1" t="s">
        <v>222</v>
      </c>
      <c r="DL1764" s="1" t="s">
        <v>858</v>
      </c>
      <c r="DM1764" s="1" t="s">
        <v>229</v>
      </c>
      <c r="DQ1764" s="1" t="s">
        <v>228</v>
      </c>
      <c r="DR1764" s="1" t="s">
        <v>229</v>
      </c>
      <c r="DV1764" s="1" t="s">
        <v>232</v>
      </c>
      <c r="DW1764" s="1" t="s">
        <v>279</v>
      </c>
      <c r="DX1764" s="1" t="s">
        <v>234</v>
      </c>
      <c r="EA1764" s="1" t="s">
        <v>1302</v>
      </c>
      <c r="EC1764" s="1" t="s">
        <v>645</v>
      </c>
      <c r="EM1764" s="1" t="s">
        <v>238</v>
      </c>
      <c r="EQ1764" s="1" t="s">
        <v>238</v>
      </c>
      <c r="EU1764" s="1" t="s">
        <v>238</v>
      </c>
      <c r="EY1764" s="1" t="s">
        <v>238</v>
      </c>
      <c r="FC1764" s="1" t="s">
        <v>238</v>
      </c>
      <c r="FF1764" s="1" t="s">
        <v>239</v>
      </c>
      <c r="FG1764" s="1" t="s">
        <v>192</v>
      </c>
      <c r="FH1764" s="1" t="s">
        <v>192</v>
      </c>
      <c r="FJ1764" s="1" t="s">
        <v>9713</v>
      </c>
      <c r="FK1764" s="1" t="s">
        <v>229</v>
      </c>
      <c r="FL1764" s="1" t="s">
        <v>7366</v>
      </c>
      <c r="FM1764" s="1">
        <v>84674.0</v>
      </c>
      <c r="FN1764" s="1" t="s">
        <v>7367</v>
      </c>
      <c r="FO1764" s="1" t="s">
        <v>7368</v>
      </c>
      <c r="FP1764" s="1">
        <v>109817.0</v>
      </c>
      <c r="FQ1764" s="1" t="s">
        <v>7369</v>
      </c>
      <c r="FR1764" s="1">
        <v>178784.0</v>
      </c>
      <c r="FU1764" s="1" t="s">
        <v>17294</v>
      </c>
      <c r="FV1764" s="1" t="s">
        <v>200</v>
      </c>
      <c r="FW1764" s="1" t="s">
        <v>1307</v>
      </c>
      <c r="FX1764" s="1" t="s">
        <v>655</v>
      </c>
      <c r="FZ1764" s="1" t="s">
        <v>229</v>
      </c>
      <c r="GA1764" s="1" t="s">
        <v>291</v>
      </c>
      <c r="GB1764" s="2">
        <v>42004.0</v>
      </c>
      <c r="GC1764" s="1" t="s">
        <v>17295</v>
      </c>
    </row>
    <row r="1765">
      <c r="A1765" s="1">
        <v>187000.0</v>
      </c>
      <c r="B1765" s="1" t="s">
        <v>185</v>
      </c>
      <c r="C1765" s="1" t="str">
        <f>"08704834"</f>
        <v>08704834</v>
      </c>
      <c r="D1765" s="1" t="s">
        <v>186</v>
      </c>
      <c r="F1765" s="1" t="str">
        <f>"543"</f>
        <v>543</v>
      </c>
      <c r="G1765" s="2">
        <v>41869.0</v>
      </c>
      <c r="H1765" s="1">
        <v>234900.0</v>
      </c>
      <c r="I1765" s="1">
        <v>145.0</v>
      </c>
      <c r="J1765" s="1">
        <v>189900.0</v>
      </c>
      <c r="K1765" s="2">
        <v>42013.0</v>
      </c>
      <c r="L1765" s="1">
        <v>145.0</v>
      </c>
      <c r="M1765" s="2">
        <v>42013.0</v>
      </c>
      <c r="N1765" s="1" t="s">
        <v>249</v>
      </c>
      <c r="O1765" s="2">
        <v>42060.0</v>
      </c>
      <c r="P1765" s="1">
        <v>34577.0</v>
      </c>
      <c r="Q1765" s="1">
        <v>3600.0</v>
      </c>
      <c r="S1765" s="1">
        <v>53.0</v>
      </c>
      <c r="T1765" s="1" t="s">
        <v>17296</v>
      </c>
      <c r="U1765" s="1" t="s">
        <v>569</v>
      </c>
      <c r="V1765" s="1" t="s">
        <v>1527</v>
      </c>
      <c r="W1765" s="1">
        <v>60543.0</v>
      </c>
      <c r="Y1765" s="1" t="s">
        <v>17297</v>
      </c>
      <c r="Z1765" s="1">
        <v>1977.0</v>
      </c>
      <c r="AA1765" s="1" t="s">
        <v>192</v>
      </c>
      <c r="AB1765" s="1" t="s">
        <v>193</v>
      </c>
      <c r="AD1765" s="1" t="s">
        <v>1089</v>
      </c>
      <c r="AE1765" s="1" t="s">
        <v>849</v>
      </c>
      <c r="AF1765" s="1" t="s">
        <v>1529</v>
      </c>
      <c r="AH1765" s="1" t="s">
        <v>17298</v>
      </c>
      <c r="AI1765" s="1">
        <v>3.5</v>
      </c>
      <c r="AK1765" s="1">
        <v>7.0</v>
      </c>
      <c r="AL1765" s="1">
        <v>4.0</v>
      </c>
      <c r="AM1765" s="1">
        <v>2.0</v>
      </c>
      <c r="AN1765" s="1">
        <v>1.0</v>
      </c>
      <c r="AO1765" s="1" t="s">
        <v>198</v>
      </c>
      <c r="AP1765" s="1">
        <v>1.0</v>
      </c>
      <c r="AQ1765" s="1" t="s">
        <v>198</v>
      </c>
      <c r="AR1765" s="1" t="s">
        <v>200</v>
      </c>
      <c r="AS1765" s="1" t="s">
        <v>199</v>
      </c>
      <c r="AT1765" s="1">
        <v>2.0</v>
      </c>
      <c r="AV1765" s="1" t="s">
        <v>200</v>
      </c>
      <c r="AW1765" s="1">
        <v>9386.0</v>
      </c>
      <c r="AX1765" s="1">
        <v>2012.0</v>
      </c>
      <c r="AZ1765" s="1" t="s">
        <v>200</v>
      </c>
      <c r="BA1765" s="1" t="str">
        <f>"0315251011"</f>
        <v>0315251011</v>
      </c>
      <c r="BB1765" s="1" t="s">
        <v>200</v>
      </c>
      <c r="BC1765" s="1">
        <v>2228.0</v>
      </c>
      <c r="BD1765" s="1">
        <v>187000.0</v>
      </c>
      <c r="BE1765" s="2">
        <v>41869.0</v>
      </c>
      <c r="BF1765" s="2" t="s">
        <v>17299</v>
      </c>
      <c r="BH1765" s="1">
        <v>0.0</v>
      </c>
      <c r="BK1765" s="1" t="s">
        <v>204</v>
      </c>
      <c r="BL1765" s="1" t="str">
        <f t="shared" ref="BL1765:BM1765" si="1165">""</f>
        <v/>
      </c>
      <c r="BM1765" s="1" t="str">
        <f t="shared" si="1165"/>
        <v/>
      </c>
      <c r="BQ1765" s="1">
        <v>308.0</v>
      </c>
      <c r="BR1765" s="1">
        <v>308.0</v>
      </c>
      <c r="BS1765" s="1">
        <v>308.0</v>
      </c>
      <c r="BU1765" s="1" t="s">
        <v>333</v>
      </c>
      <c r="BV1765" s="1" t="s">
        <v>206</v>
      </c>
      <c r="BY1765" s="1" t="s">
        <v>1426</v>
      </c>
      <c r="BZ1765" s="1" t="s">
        <v>209</v>
      </c>
      <c r="CD1765" s="1" t="s">
        <v>204</v>
      </c>
      <c r="CG1765" s="1" t="s">
        <v>1064</v>
      </c>
      <c r="CH1765" s="1" t="s">
        <v>209</v>
      </c>
      <c r="CK1765" s="1" t="s">
        <v>264</v>
      </c>
      <c r="CL1765" s="1" t="s">
        <v>209</v>
      </c>
      <c r="CO1765" s="1" t="s">
        <v>495</v>
      </c>
      <c r="CP1765" s="1" t="s">
        <v>209</v>
      </c>
      <c r="CS1765" s="1" t="s">
        <v>4387</v>
      </c>
      <c r="CT1765" s="1" t="s">
        <v>206</v>
      </c>
      <c r="CW1765" s="1" t="s">
        <v>453</v>
      </c>
      <c r="CX1765" s="1" t="s">
        <v>206</v>
      </c>
      <c r="DA1765" s="1" t="s">
        <v>200</v>
      </c>
      <c r="DC1765" s="1" t="s">
        <v>395</v>
      </c>
      <c r="DD1765" s="1" t="s">
        <v>518</v>
      </c>
      <c r="DE1765" s="1" t="s">
        <v>273</v>
      </c>
      <c r="DF1765" s="1" t="s">
        <v>219</v>
      </c>
      <c r="DH1765" s="1" t="s">
        <v>856</v>
      </c>
      <c r="DJ1765" s="1" t="s">
        <v>857</v>
      </c>
      <c r="DL1765" s="1" t="s">
        <v>223</v>
      </c>
      <c r="DM1765" s="1" t="s">
        <v>229</v>
      </c>
      <c r="DO1765" s="1" t="s">
        <v>10052</v>
      </c>
      <c r="DQ1765" s="1" t="s">
        <v>441</v>
      </c>
      <c r="DR1765" s="1" t="s">
        <v>229</v>
      </c>
      <c r="DV1765" s="1" t="s">
        <v>17300</v>
      </c>
      <c r="DW1765" s="1" t="s">
        <v>279</v>
      </c>
      <c r="DX1765" s="1" t="s">
        <v>234</v>
      </c>
      <c r="DY1765" s="1" t="s">
        <v>4102</v>
      </c>
      <c r="DZ1765" s="1" t="s">
        <v>17301</v>
      </c>
      <c r="EC1765" s="1" t="s">
        <v>237</v>
      </c>
      <c r="EE1765" s="1" t="s">
        <v>522</v>
      </c>
      <c r="EH1765" s="1" t="s">
        <v>588</v>
      </c>
      <c r="EI1765" s="1" t="s">
        <v>1102</v>
      </c>
      <c r="EM1765" s="1" t="s">
        <v>238</v>
      </c>
      <c r="EP1765" s="1" t="s">
        <v>1689</v>
      </c>
      <c r="EQ1765" s="1" t="s">
        <v>206</v>
      </c>
      <c r="ET1765" s="1" t="s">
        <v>543</v>
      </c>
      <c r="EU1765" s="1" t="s">
        <v>206</v>
      </c>
      <c r="EY1765" s="1" t="s">
        <v>238</v>
      </c>
      <c r="FC1765" s="1" t="s">
        <v>238</v>
      </c>
      <c r="FF1765" s="1" t="s">
        <v>239</v>
      </c>
      <c r="FG1765" s="1" t="s">
        <v>192</v>
      </c>
      <c r="FH1765" s="1" t="s">
        <v>192</v>
      </c>
      <c r="FJ1765" s="1" t="s">
        <v>17302</v>
      </c>
      <c r="FK1765" s="1" t="s">
        <v>229</v>
      </c>
      <c r="FL1765" s="1" t="s">
        <v>17303</v>
      </c>
      <c r="FM1765" s="1">
        <v>24918.0</v>
      </c>
      <c r="FN1765" s="1" t="s">
        <v>17304</v>
      </c>
      <c r="FO1765" s="1" t="s">
        <v>17305</v>
      </c>
      <c r="FP1765" s="1">
        <v>601697.0</v>
      </c>
      <c r="FQ1765" s="1" t="s">
        <v>17306</v>
      </c>
      <c r="FS1765" s="1" t="s">
        <v>17307</v>
      </c>
      <c r="FU1765" s="1" t="s">
        <v>3678</v>
      </c>
      <c r="FV1765" s="1" t="s">
        <v>200</v>
      </c>
      <c r="FW1765" s="1" t="s">
        <v>6450</v>
      </c>
      <c r="FZ1765" s="1" t="s">
        <v>229</v>
      </c>
      <c r="GA1765" s="1" t="s">
        <v>291</v>
      </c>
      <c r="GB1765" s="2">
        <v>42061.0</v>
      </c>
      <c r="GC1765" s="1" t="s">
        <v>17308</v>
      </c>
    </row>
    <row r="1766">
      <c r="A1766" s="1">
        <v>300000.0</v>
      </c>
      <c r="B1766" s="1" t="s">
        <v>185</v>
      </c>
      <c r="C1766" s="1" t="str">
        <f>"08739335"</f>
        <v>08739335</v>
      </c>
      <c r="D1766" s="1" t="s">
        <v>186</v>
      </c>
      <c r="F1766" s="1" t="str">
        <f>"510"</f>
        <v>510</v>
      </c>
      <c r="G1766" s="2">
        <v>41909.0</v>
      </c>
      <c r="H1766" s="1">
        <v>325000.0</v>
      </c>
      <c r="I1766" s="1">
        <v>40.0</v>
      </c>
      <c r="J1766" s="1">
        <v>309500.0</v>
      </c>
      <c r="K1766" s="2">
        <v>41947.0</v>
      </c>
      <c r="L1766" s="1">
        <v>40.0</v>
      </c>
      <c r="M1766" s="2">
        <v>41947.0</v>
      </c>
      <c r="N1766" s="1" t="s">
        <v>187</v>
      </c>
      <c r="O1766" s="2">
        <v>41985.0</v>
      </c>
      <c r="P1766" s="1">
        <v>234023.0</v>
      </c>
      <c r="Q1766" s="1">
        <v>24695.0</v>
      </c>
      <c r="S1766" s="1">
        <v>1339.0</v>
      </c>
      <c r="T1766" s="1" t="s">
        <v>5449</v>
      </c>
      <c r="U1766" s="1" t="s">
        <v>1174</v>
      </c>
      <c r="V1766" s="1" t="s">
        <v>2700</v>
      </c>
      <c r="W1766" s="1">
        <v>60510.0</v>
      </c>
      <c r="Y1766" s="1" t="s">
        <v>17309</v>
      </c>
      <c r="Z1766" s="1">
        <v>1987.0</v>
      </c>
      <c r="AA1766" s="1" t="s">
        <v>200</v>
      </c>
      <c r="AB1766" s="1" t="s">
        <v>193</v>
      </c>
      <c r="AC1766" s="1" t="s">
        <v>17310</v>
      </c>
      <c r="AD1766" s="1" t="s">
        <v>2702</v>
      </c>
      <c r="AE1766" s="1" t="s">
        <v>325</v>
      </c>
      <c r="AF1766" s="1" t="s">
        <v>2702</v>
      </c>
      <c r="AH1766" s="1" t="s">
        <v>17311</v>
      </c>
      <c r="AI1766" s="1">
        <v>0.2935</v>
      </c>
      <c r="AK1766" s="1">
        <v>9.0</v>
      </c>
      <c r="AL1766" s="1">
        <v>4.0</v>
      </c>
      <c r="AM1766" s="1">
        <v>2.0</v>
      </c>
      <c r="AN1766" s="1">
        <v>1.0</v>
      </c>
      <c r="AO1766" s="1" t="s">
        <v>198</v>
      </c>
      <c r="AP1766" s="1">
        <v>1.0</v>
      </c>
      <c r="AQ1766" s="1" t="s">
        <v>1314</v>
      </c>
      <c r="AR1766" s="1" t="s">
        <v>200</v>
      </c>
      <c r="AS1766" s="1" t="s">
        <v>199</v>
      </c>
      <c r="AT1766" s="1">
        <v>2.0</v>
      </c>
      <c r="AV1766" s="1" t="s">
        <v>200</v>
      </c>
      <c r="AW1766" s="1">
        <v>7991.44</v>
      </c>
      <c r="AX1766" s="1">
        <v>2013.0</v>
      </c>
      <c r="AY1766" s="1" t="s">
        <v>387</v>
      </c>
      <c r="AZ1766" s="1" t="s">
        <v>200</v>
      </c>
      <c r="BA1766" s="1" t="str">
        <f>"1226280007"</f>
        <v>1226280007</v>
      </c>
      <c r="BC1766" s="1">
        <v>2500.0</v>
      </c>
      <c r="BD1766" s="1">
        <v>300000.0</v>
      </c>
      <c r="BE1766" s="2">
        <v>41908.0</v>
      </c>
      <c r="BF1766" s="2" t="s">
        <v>17312</v>
      </c>
      <c r="BG1766" s="1" t="s">
        <v>17313</v>
      </c>
      <c r="BH1766" s="1">
        <v>0.0</v>
      </c>
      <c r="BI1766" s="1" t="s">
        <v>3090</v>
      </c>
      <c r="BJ1766" s="1" t="s">
        <v>3091</v>
      </c>
      <c r="BK1766" s="1" t="s">
        <v>204</v>
      </c>
      <c r="BL1766" s="1" t="str">
        <f t="shared" ref="BL1766:BM1766" si="1166">""</f>
        <v/>
      </c>
      <c r="BM1766" s="1" t="str">
        <f t="shared" si="1166"/>
        <v/>
      </c>
      <c r="BQ1766" s="1">
        <v>101.0</v>
      </c>
      <c r="BR1766" s="1">
        <v>101.0</v>
      </c>
      <c r="BS1766" s="1">
        <v>101.0</v>
      </c>
      <c r="BU1766" s="1" t="s">
        <v>1063</v>
      </c>
      <c r="BV1766" s="1" t="s">
        <v>206</v>
      </c>
      <c r="BW1766" s="1" t="s">
        <v>210</v>
      </c>
      <c r="BX1766" s="1" t="s">
        <v>239</v>
      </c>
      <c r="BY1766" s="1" t="s">
        <v>1067</v>
      </c>
      <c r="BZ1766" s="1" t="s">
        <v>209</v>
      </c>
      <c r="CA1766" s="1" t="s">
        <v>210</v>
      </c>
      <c r="CB1766" s="1" t="s">
        <v>239</v>
      </c>
      <c r="CC1766" s="1" t="s">
        <v>495</v>
      </c>
      <c r="CD1766" s="1" t="s">
        <v>206</v>
      </c>
      <c r="CE1766" s="1" t="s">
        <v>207</v>
      </c>
      <c r="CF1766" s="1" t="s">
        <v>239</v>
      </c>
      <c r="CG1766" s="1" t="s">
        <v>303</v>
      </c>
      <c r="CH1766" s="1" t="s">
        <v>209</v>
      </c>
      <c r="CK1766" s="1" t="s">
        <v>1329</v>
      </c>
      <c r="CL1766" s="1" t="s">
        <v>209</v>
      </c>
      <c r="CM1766" s="1" t="s">
        <v>210</v>
      </c>
      <c r="CN1766" s="1" t="s">
        <v>239</v>
      </c>
      <c r="CO1766" s="1" t="s">
        <v>2459</v>
      </c>
      <c r="CP1766" s="1" t="s">
        <v>209</v>
      </c>
      <c r="CQ1766" s="1" t="s">
        <v>210</v>
      </c>
      <c r="CR1766" s="1" t="s">
        <v>239</v>
      </c>
      <c r="CS1766" s="1" t="s">
        <v>302</v>
      </c>
      <c r="CT1766" s="1" t="s">
        <v>206</v>
      </c>
      <c r="CU1766" s="1" t="s">
        <v>207</v>
      </c>
      <c r="CV1766" s="1" t="s">
        <v>239</v>
      </c>
      <c r="CW1766" s="1" t="s">
        <v>477</v>
      </c>
      <c r="CX1766" s="1" t="s">
        <v>206</v>
      </c>
      <c r="CY1766" s="1" t="s">
        <v>207</v>
      </c>
      <c r="CZ1766" s="1" t="s">
        <v>239</v>
      </c>
      <c r="DA1766" s="1" t="s">
        <v>200</v>
      </c>
      <c r="DC1766" s="1" t="s">
        <v>305</v>
      </c>
      <c r="DD1766" s="1" t="s">
        <v>957</v>
      </c>
      <c r="DE1766" s="1" t="s">
        <v>273</v>
      </c>
      <c r="DF1766" s="1" t="s">
        <v>619</v>
      </c>
      <c r="DH1766" s="1" t="s">
        <v>220</v>
      </c>
      <c r="DI1766" s="1" t="s">
        <v>17314</v>
      </c>
      <c r="DJ1766" s="1" t="s">
        <v>222</v>
      </c>
      <c r="DK1766" s="1" t="s">
        <v>223</v>
      </c>
      <c r="DL1766" s="1" t="s">
        <v>1267</v>
      </c>
      <c r="DM1766" s="1" t="s">
        <v>1268</v>
      </c>
      <c r="DO1766" s="1" t="s">
        <v>1979</v>
      </c>
      <c r="DP1766" s="1" t="s">
        <v>340</v>
      </c>
      <c r="DQ1766" s="1" t="s">
        <v>441</v>
      </c>
      <c r="DR1766" s="1" t="s">
        <v>229</v>
      </c>
      <c r="DS1766" s="1" t="s">
        <v>591</v>
      </c>
      <c r="DU1766" s="1" t="s">
        <v>3890</v>
      </c>
      <c r="DV1766" s="1" t="s">
        <v>763</v>
      </c>
      <c r="DW1766" s="1" t="s">
        <v>934</v>
      </c>
      <c r="DX1766" s="1" t="s">
        <v>234</v>
      </c>
      <c r="DY1766" s="1" t="s">
        <v>1051</v>
      </c>
      <c r="DZ1766" s="1" t="s">
        <v>17315</v>
      </c>
      <c r="EB1766" s="1" t="s">
        <v>937</v>
      </c>
      <c r="EC1766" s="1" t="s">
        <v>237</v>
      </c>
      <c r="ED1766" s="1" t="s">
        <v>407</v>
      </c>
      <c r="EG1766" s="1" t="s">
        <v>408</v>
      </c>
      <c r="EH1766" s="1" t="s">
        <v>450</v>
      </c>
      <c r="EL1766" s="1" t="s">
        <v>3596</v>
      </c>
      <c r="EM1766" s="1" t="s">
        <v>206</v>
      </c>
      <c r="EN1766" s="1" t="s">
        <v>207</v>
      </c>
      <c r="EO1766" s="1" t="s">
        <v>239</v>
      </c>
      <c r="EP1766" s="1" t="s">
        <v>2013</v>
      </c>
      <c r="EQ1766" s="1" t="s">
        <v>42</v>
      </c>
      <c r="ER1766" s="1" t="s">
        <v>210</v>
      </c>
      <c r="ES1766" s="1" t="s">
        <v>239</v>
      </c>
      <c r="EU1766" s="1" t="s">
        <v>238</v>
      </c>
      <c r="EY1766" s="1" t="s">
        <v>238</v>
      </c>
      <c r="FC1766" s="1" t="s">
        <v>238</v>
      </c>
      <c r="FF1766" s="1" t="s">
        <v>239</v>
      </c>
      <c r="FG1766" s="1" t="s">
        <v>192</v>
      </c>
      <c r="FH1766" s="1" t="s">
        <v>192</v>
      </c>
      <c r="FJ1766" s="1" t="s">
        <v>686</v>
      </c>
      <c r="FK1766" s="1" t="s">
        <v>229</v>
      </c>
      <c r="FL1766" s="1" t="s">
        <v>456</v>
      </c>
      <c r="FM1766" s="1">
        <v>49.0</v>
      </c>
      <c r="FN1766" s="1" t="s">
        <v>457</v>
      </c>
      <c r="FO1766" s="1" t="s">
        <v>11415</v>
      </c>
      <c r="FP1766" s="1">
        <v>8134.0</v>
      </c>
      <c r="FQ1766" s="1" t="s">
        <v>11416</v>
      </c>
      <c r="FR1766" s="1">
        <v>8835.0</v>
      </c>
      <c r="FU1766" s="1" t="s">
        <v>17316</v>
      </c>
      <c r="FV1766" s="1" t="s">
        <v>200</v>
      </c>
      <c r="FW1766" s="1" t="s">
        <v>290</v>
      </c>
      <c r="FZ1766" s="1" t="s">
        <v>229</v>
      </c>
      <c r="GA1766" s="1" t="s">
        <v>291</v>
      </c>
      <c r="GB1766" s="2">
        <v>41988.0</v>
      </c>
      <c r="GC1766" s="1" t="s">
        <v>17317</v>
      </c>
    </row>
    <row r="1767">
      <c r="A1767" s="1">
        <v>212500.0</v>
      </c>
      <c r="B1767" s="1" t="s">
        <v>185</v>
      </c>
      <c r="C1767" s="1" t="str">
        <f>"08710064"</f>
        <v>08710064</v>
      </c>
      <c r="D1767" s="1" t="s">
        <v>186</v>
      </c>
      <c r="F1767" s="1" t="str">
        <f>"554"</f>
        <v>554</v>
      </c>
      <c r="G1767" s="2">
        <v>41875.0</v>
      </c>
      <c r="H1767" s="1">
        <v>224900.0</v>
      </c>
      <c r="I1767" s="1">
        <v>222.0</v>
      </c>
      <c r="J1767" s="1">
        <v>214900.0</v>
      </c>
      <c r="K1767" s="2">
        <v>42096.0</v>
      </c>
      <c r="L1767" s="1">
        <v>222.0</v>
      </c>
      <c r="M1767" s="2">
        <v>42096.0</v>
      </c>
      <c r="N1767" s="1" t="s">
        <v>187</v>
      </c>
      <c r="O1767" s="2">
        <v>42139.0</v>
      </c>
      <c r="P1767" s="1">
        <v>381.0</v>
      </c>
      <c r="Q1767" s="1">
        <v>604.0</v>
      </c>
      <c r="S1767" s="1" t="s">
        <v>17318</v>
      </c>
      <c r="T1767" s="1" t="s">
        <v>17319</v>
      </c>
      <c r="U1767" s="1" t="s">
        <v>464</v>
      </c>
      <c r="V1767" s="1" t="s">
        <v>2212</v>
      </c>
      <c r="W1767" s="1">
        <v>60554.0</v>
      </c>
      <c r="Y1767" s="1" t="s">
        <v>17320</v>
      </c>
      <c r="Z1767" s="1">
        <v>1944.0</v>
      </c>
      <c r="AA1767" s="1" t="s">
        <v>192</v>
      </c>
      <c r="AB1767" s="1" t="s">
        <v>193</v>
      </c>
      <c r="AD1767" s="1" t="s">
        <v>1089</v>
      </c>
      <c r="AE1767" s="1" t="s">
        <v>325</v>
      </c>
      <c r="AF1767" s="1" t="s">
        <v>1479</v>
      </c>
      <c r="AH1767" s="1" t="s">
        <v>17321</v>
      </c>
      <c r="AI1767" s="1">
        <v>0.81</v>
      </c>
      <c r="AK1767" s="1">
        <v>7.0</v>
      </c>
      <c r="AL1767" s="1">
        <v>4.0</v>
      </c>
      <c r="AM1767" s="1">
        <v>2.0</v>
      </c>
      <c r="AN1767" s="1">
        <v>1.0</v>
      </c>
      <c r="AO1767" s="1" t="s">
        <v>198</v>
      </c>
      <c r="AP1767" s="1">
        <v>1.0</v>
      </c>
      <c r="AQ1767" s="1" t="s">
        <v>198</v>
      </c>
      <c r="AR1767" s="1" t="s">
        <v>200</v>
      </c>
      <c r="AS1767" s="1" t="s">
        <v>199</v>
      </c>
      <c r="AT1767" s="1">
        <v>2.0</v>
      </c>
      <c r="AV1767" s="1" t="s">
        <v>200</v>
      </c>
      <c r="AW1767" s="1">
        <v>7307.0</v>
      </c>
      <c r="AX1767" s="1">
        <v>2013.0</v>
      </c>
      <c r="AY1767" s="1" t="s">
        <v>387</v>
      </c>
      <c r="AZ1767" s="1" t="s">
        <v>200</v>
      </c>
      <c r="BA1767" s="1" t="str">
        <f>"1126303012"</f>
        <v>1126303012</v>
      </c>
      <c r="BB1767" s="1" t="s">
        <v>200</v>
      </c>
      <c r="BC1767" s="1">
        <v>2170.0</v>
      </c>
      <c r="BD1767" s="1">
        <v>212500.0</v>
      </c>
      <c r="BE1767" s="2">
        <v>41875.0</v>
      </c>
      <c r="BF1767" s="2" t="s">
        <v>17322</v>
      </c>
      <c r="BH1767" s="1">
        <v>0.0</v>
      </c>
      <c r="BK1767" s="1" t="s">
        <v>204</v>
      </c>
      <c r="BL1767" s="1" t="str">
        <f t="shared" ref="BL1767:BM1767" si="1167">"0"</f>
        <v>0</v>
      </c>
      <c r="BM1767" s="1" t="str">
        <f t="shared" si="1167"/>
        <v>0</v>
      </c>
      <c r="BN1767" s="1">
        <v>42.0</v>
      </c>
      <c r="BO1767" s="1">
        <v>2.0</v>
      </c>
      <c r="BQ1767" s="1">
        <v>302.0</v>
      </c>
      <c r="BR1767" s="1">
        <v>302.0</v>
      </c>
      <c r="BS1767" s="1">
        <v>302.0</v>
      </c>
      <c r="BU1767" s="1" t="s">
        <v>924</v>
      </c>
      <c r="BV1767" s="1" t="s">
        <v>206</v>
      </c>
      <c r="BW1767" s="1" t="s">
        <v>207</v>
      </c>
      <c r="BY1767" s="1" t="s">
        <v>260</v>
      </c>
      <c r="BZ1767" s="1" t="s">
        <v>209</v>
      </c>
      <c r="CA1767" s="1" t="s">
        <v>207</v>
      </c>
      <c r="CC1767" s="1" t="s">
        <v>205</v>
      </c>
      <c r="CD1767" s="1" t="s">
        <v>206</v>
      </c>
      <c r="CE1767" s="1" t="s">
        <v>207</v>
      </c>
      <c r="CG1767" s="1" t="s">
        <v>1382</v>
      </c>
      <c r="CH1767" s="1" t="s">
        <v>206</v>
      </c>
      <c r="CI1767" s="1" t="s">
        <v>207</v>
      </c>
      <c r="CK1767" s="1" t="s">
        <v>392</v>
      </c>
      <c r="CL1767" s="1" t="s">
        <v>209</v>
      </c>
      <c r="CM1767" s="1" t="s">
        <v>207</v>
      </c>
      <c r="CO1767" s="1" t="s">
        <v>1939</v>
      </c>
      <c r="CP1767" s="1" t="s">
        <v>209</v>
      </c>
      <c r="CQ1767" s="1" t="s">
        <v>207</v>
      </c>
      <c r="CS1767" s="1" t="s">
        <v>2224</v>
      </c>
      <c r="CT1767" s="1" t="s">
        <v>206</v>
      </c>
      <c r="CU1767" s="1" t="s">
        <v>207</v>
      </c>
      <c r="CX1767" s="1" t="s">
        <v>204</v>
      </c>
      <c r="DA1767" s="1" t="s">
        <v>200</v>
      </c>
      <c r="DC1767" s="1" t="s">
        <v>702</v>
      </c>
      <c r="DD1767" s="1" t="s">
        <v>731</v>
      </c>
      <c r="DE1767" s="1" t="s">
        <v>273</v>
      </c>
      <c r="DF1767" s="1" t="s">
        <v>219</v>
      </c>
      <c r="DH1767" s="1" t="s">
        <v>856</v>
      </c>
      <c r="DI1767" s="1" t="s">
        <v>732</v>
      </c>
      <c r="DJ1767" s="1" t="s">
        <v>857</v>
      </c>
      <c r="DK1767" s="1" t="s">
        <v>2312</v>
      </c>
      <c r="DL1767" s="1" t="s">
        <v>223</v>
      </c>
      <c r="DM1767" s="1" t="s">
        <v>338</v>
      </c>
      <c r="DO1767" s="1" t="s">
        <v>17323</v>
      </c>
      <c r="DP1767" s="1" t="s">
        <v>340</v>
      </c>
      <c r="DQ1767" s="1" t="s">
        <v>1557</v>
      </c>
      <c r="DR1767" s="1" t="s">
        <v>229</v>
      </c>
      <c r="DU1767" s="1" t="s">
        <v>5670</v>
      </c>
      <c r="DV1767" s="1" t="s">
        <v>374</v>
      </c>
      <c r="DW1767" s="1" t="s">
        <v>233</v>
      </c>
      <c r="DX1767" s="1" t="s">
        <v>234</v>
      </c>
      <c r="DY1767" s="1" t="s">
        <v>9546</v>
      </c>
      <c r="DZ1767" s="1" t="s">
        <v>17324</v>
      </c>
      <c r="EB1767" s="1" t="s">
        <v>863</v>
      </c>
      <c r="EC1767" s="1" t="s">
        <v>237</v>
      </c>
      <c r="ED1767" s="1" t="s">
        <v>407</v>
      </c>
      <c r="EG1767" s="1" t="s">
        <v>374</v>
      </c>
      <c r="EL1767" s="1" t="s">
        <v>1246</v>
      </c>
      <c r="EM1767" s="1" t="s">
        <v>206</v>
      </c>
      <c r="EN1767" s="1" t="s">
        <v>268</v>
      </c>
      <c r="EQ1767" s="1" t="s">
        <v>238</v>
      </c>
      <c r="EU1767" s="1" t="s">
        <v>238</v>
      </c>
      <c r="EY1767" s="1" t="s">
        <v>238</v>
      </c>
      <c r="FC1767" s="1" t="s">
        <v>238</v>
      </c>
      <c r="FF1767" s="1" t="s">
        <v>239</v>
      </c>
      <c r="FG1767" s="1" t="s">
        <v>192</v>
      </c>
      <c r="FH1767" s="1" t="s">
        <v>192</v>
      </c>
      <c r="FJ1767" s="1" t="s">
        <v>1469</v>
      </c>
      <c r="FK1767" s="1" t="s">
        <v>229</v>
      </c>
      <c r="FL1767" s="1" t="s">
        <v>893</v>
      </c>
      <c r="FM1767" s="1">
        <v>604.0</v>
      </c>
      <c r="FN1767" s="1" t="s">
        <v>894</v>
      </c>
      <c r="FO1767" s="1" t="s">
        <v>895</v>
      </c>
      <c r="FP1767" s="1">
        <v>381.0</v>
      </c>
      <c r="FQ1767" s="1" t="s">
        <v>896</v>
      </c>
      <c r="FU1767" s="1" t="s">
        <v>15072</v>
      </c>
      <c r="FV1767" s="1" t="s">
        <v>200</v>
      </c>
      <c r="FW1767" s="1" t="s">
        <v>290</v>
      </c>
      <c r="FZ1767" s="1" t="s">
        <v>229</v>
      </c>
      <c r="GA1767" s="1" t="s">
        <v>291</v>
      </c>
      <c r="GB1767" s="2">
        <v>42139.0</v>
      </c>
    </row>
    <row r="1768">
      <c r="A1768" s="1">
        <v>125000.0</v>
      </c>
      <c r="B1768" s="1" t="s">
        <v>185</v>
      </c>
      <c r="C1768" s="1" t="str">
        <f>"08709220"</f>
        <v>08709220</v>
      </c>
      <c r="D1768" s="1" t="s">
        <v>186</v>
      </c>
      <c r="F1768" s="1" t="str">
        <f>"115"</f>
        <v>115</v>
      </c>
      <c r="G1768" s="2">
        <v>41873.0</v>
      </c>
      <c r="H1768" s="1">
        <v>157900.0</v>
      </c>
      <c r="I1768" s="1">
        <v>148.0</v>
      </c>
      <c r="J1768" s="1">
        <v>125000.0</v>
      </c>
      <c r="K1768" s="2">
        <v>42020.0</v>
      </c>
      <c r="L1768" s="1">
        <v>148.0</v>
      </c>
      <c r="M1768" s="2">
        <v>42020.0</v>
      </c>
      <c r="N1768" s="1" t="s">
        <v>187</v>
      </c>
      <c r="O1768" s="2">
        <v>42083.0</v>
      </c>
      <c r="P1768" s="1">
        <v>931576.0</v>
      </c>
      <c r="Q1768" s="1">
        <v>93094.0</v>
      </c>
      <c r="R1768" s="1">
        <v>2000.0</v>
      </c>
      <c r="S1768" s="1">
        <v>1102.0</v>
      </c>
      <c r="T1768" s="1" t="s">
        <v>2884</v>
      </c>
      <c r="U1768" s="1" t="s">
        <v>464</v>
      </c>
      <c r="V1768" s="1" t="s">
        <v>610</v>
      </c>
      <c r="W1768" s="1">
        <v>60115.0</v>
      </c>
      <c r="Y1768" s="1" t="s">
        <v>17325</v>
      </c>
      <c r="Z1768" s="1">
        <v>1966.0</v>
      </c>
      <c r="AA1768" s="1" t="s">
        <v>192</v>
      </c>
      <c r="AB1768" s="1" t="s">
        <v>193</v>
      </c>
      <c r="AD1768" s="1" t="s">
        <v>612</v>
      </c>
      <c r="AE1768" s="1" t="s">
        <v>613</v>
      </c>
      <c r="AF1768" s="1" t="s">
        <v>612</v>
      </c>
      <c r="AH1768" s="1" t="s">
        <v>17326</v>
      </c>
      <c r="AI1768" s="1">
        <v>0.24</v>
      </c>
      <c r="AK1768" s="1">
        <v>9.0</v>
      </c>
      <c r="AL1768" s="1">
        <v>4.0</v>
      </c>
      <c r="AM1768" s="1">
        <v>3.0</v>
      </c>
      <c r="AN1768" s="1">
        <v>0.0</v>
      </c>
      <c r="AO1768" s="1" t="s">
        <v>198</v>
      </c>
      <c r="AP1768" s="1">
        <v>1.0</v>
      </c>
      <c r="AQ1768" s="1" t="s">
        <v>198</v>
      </c>
      <c r="AR1768" s="1" t="s">
        <v>192</v>
      </c>
      <c r="AS1768" s="1" t="s">
        <v>199</v>
      </c>
      <c r="AT1768" s="1">
        <v>2.0</v>
      </c>
      <c r="AV1768" s="1" t="s">
        <v>200</v>
      </c>
      <c r="AW1768" s="1">
        <v>5604.16</v>
      </c>
      <c r="AX1768" s="1">
        <v>2013.0</v>
      </c>
      <c r="AZ1768" s="1" t="s">
        <v>200</v>
      </c>
      <c r="BA1768" s="1" t="str">
        <f>"0815181001"</f>
        <v>0815181001</v>
      </c>
      <c r="BB1768" s="1" t="s">
        <v>200</v>
      </c>
      <c r="BC1768" s="1">
        <v>2520.0</v>
      </c>
      <c r="BD1768" s="1">
        <v>125000.0</v>
      </c>
      <c r="BE1768" s="2">
        <v>41873.0</v>
      </c>
      <c r="BF1768" s="2" t="s">
        <v>17327</v>
      </c>
      <c r="BH1768" s="1">
        <v>0.0</v>
      </c>
      <c r="BK1768" s="1" t="s">
        <v>204</v>
      </c>
      <c r="BL1768" s="1" t="str">
        <f t="shared" ref="BL1768:BM1768" si="1168">""</f>
        <v/>
      </c>
      <c r="BM1768" s="1" t="str">
        <f t="shared" si="1168"/>
        <v/>
      </c>
      <c r="BQ1768" s="1">
        <v>428.0</v>
      </c>
      <c r="BR1768" s="1">
        <v>428.0</v>
      </c>
      <c r="BS1768" s="1">
        <v>428.0</v>
      </c>
      <c r="BU1768" s="1" t="s">
        <v>304</v>
      </c>
      <c r="BV1768" s="1" t="s">
        <v>209</v>
      </c>
      <c r="BW1768" s="1" t="s">
        <v>210</v>
      </c>
      <c r="BY1768" s="1" t="s">
        <v>14015</v>
      </c>
      <c r="BZ1768" s="1" t="s">
        <v>391</v>
      </c>
      <c r="CA1768" s="1" t="s">
        <v>210</v>
      </c>
      <c r="CC1768" s="1" t="s">
        <v>478</v>
      </c>
      <c r="CD1768" s="1" t="s">
        <v>209</v>
      </c>
      <c r="CE1768" s="1" t="s">
        <v>210</v>
      </c>
      <c r="CG1768" s="1" t="s">
        <v>663</v>
      </c>
      <c r="CH1768" s="1" t="s">
        <v>391</v>
      </c>
      <c r="CI1768" s="1" t="s">
        <v>210</v>
      </c>
      <c r="CK1768" s="1" t="s">
        <v>663</v>
      </c>
      <c r="CL1768" s="1" t="s">
        <v>391</v>
      </c>
      <c r="CM1768" s="1" t="s">
        <v>210</v>
      </c>
      <c r="CO1768" s="1" t="s">
        <v>1760</v>
      </c>
      <c r="CP1768" s="1" t="s">
        <v>391</v>
      </c>
      <c r="CQ1768" s="1" t="s">
        <v>210</v>
      </c>
      <c r="CS1768" s="1" t="s">
        <v>300</v>
      </c>
      <c r="CT1768" s="1" t="s">
        <v>209</v>
      </c>
      <c r="CU1768" s="1" t="s">
        <v>617</v>
      </c>
      <c r="CW1768" s="1" t="s">
        <v>1519</v>
      </c>
      <c r="CX1768" s="1" t="s">
        <v>206</v>
      </c>
      <c r="CY1768" s="1" t="s">
        <v>210</v>
      </c>
      <c r="DA1768" s="1" t="s">
        <v>200</v>
      </c>
      <c r="DC1768" s="1" t="s">
        <v>517</v>
      </c>
      <c r="DE1768" s="1" t="s">
        <v>273</v>
      </c>
      <c r="DF1768" s="1" t="s">
        <v>619</v>
      </c>
      <c r="DH1768" s="1" t="s">
        <v>220</v>
      </c>
      <c r="DJ1768" s="1" t="s">
        <v>222</v>
      </c>
      <c r="DL1768" s="1" t="s">
        <v>224</v>
      </c>
      <c r="DM1768" s="1" t="s">
        <v>229</v>
      </c>
      <c r="DQ1768" s="1" t="s">
        <v>228</v>
      </c>
      <c r="DR1768" s="1" t="s">
        <v>229</v>
      </c>
      <c r="DV1768" s="1" t="s">
        <v>557</v>
      </c>
      <c r="DW1768" s="1" t="s">
        <v>370</v>
      </c>
      <c r="DX1768" s="1" t="s">
        <v>234</v>
      </c>
      <c r="EA1768" s="1" t="s">
        <v>283</v>
      </c>
      <c r="EC1768" s="1" t="s">
        <v>406</v>
      </c>
      <c r="EG1768" s="1" t="s">
        <v>557</v>
      </c>
      <c r="EL1768" s="1" t="s">
        <v>300</v>
      </c>
      <c r="EM1768" s="1" t="s">
        <v>206</v>
      </c>
      <c r="EQ1768" s="1" t="s">
        <v>238</v>
      </c>
      <c r="EU1768" s="1" t="s">
        <v>238</v>
      </c>
      <c r="EY1768" s="1" t="s">
        <v>238</v>
      </c>
      <c r="FC1768" s="1" t="s">
        <v>238</v>
      </c>
      <c r="FF1768" s="1" t="s">
        <v>239</v>
      </c>
      <c r="FG1768" s="1" t="s">
        <v>192</v>
      </c>
      <c r="FH1768" s="1" t="s">
        <v>192</v>
      </c>
      <c r="FJ1768" s="1" t="s">
        <v>347</v>
      </c>
      <c r="FK1768" s="1" t="s">
        <v>348</v>
      </c>
      <c r="FL1768" s="1" t="s">
        <v>349</v>
      </c>
      <c r="FM1768" s="1">
        <v>93162.0</v>
      </c>
      <c r="FN1768" s="1" t="s">
        <v>350</v>
      </c>
      <c r="FO1768" s="1" t="s">
        <v>351</v>
      </c>
      <c r="FP1768" s="1">
        <v>931530.0</v>
      </c>
      <c r="FS1768" s="1" t="s">
        <v>352</v>
      </c>
      <c r="FU1768" s="1" t="s">
        <v>353</v>
      </c>
      <c r="FV1768" s="1" t="s">
        <v>200</v>
      </c>
      <c r="FW1768" s="1" t="s">
        <v>1307</v>
      </c>
      <c r="FZ1768" s="1" t="s">
        <v>229</v>
      </c>
      <c r="GA1768" s="1" t="s">
        <v>291</v>
      </c>
      <c r="GB1768" s="2">
        <v>42083.0</v>
      </c>
      <c r="GC1768" s="1" t="s">
        <v>17328</v>
      </c>
    </row>
    <row r="1769">
      <c r="A1769" s="1">
        <v>293500.0</v>
      </c>
      <c r="B1769" s="1" t="s">
        <v>185</v>
      </c>
      <c r="C1769" s="1" t="str">
        <f>"08708978"</f>
        <v>08708978</v>
      </c>
      <c r="D1769" s="1" t="s">
        <v>186</v>
      </c>
      <c r="F1769" s="1" t="str">
        <f>"543"</f>
        <v>543</v>
      </c>
      <c r="G1769" s="2">
        <v>41873.0</v>
      </c>
      <c r="H1769" s="1">
        <v>329900.0</v>
      </c>
      <c r="I1769" s="1">
        <v>97.0</v>
      </c>
      <c r="J1769" s="1">
        <v>300000.0</v>
      </c>
      <c r="K1769" s="2">
        <v>41969.0</v>
      </c>
      <c r="L1769" s="1">
        <v>97.0</v>
      </c>
      <c r="M1769" s="2">
        <v>41969.0</v>
      </c>
      <c r="N1769" s="1" t="s">
        <v>187</v>
      </c>
      <c r="O1769" s="2">
        <v>42002.0</v>
      </c>
      <c r="P1769" s="1">
        <v>233761.0</v>
      </c>
      <c r="Q1769" s="1">
        <v>23177.0</v>
      </c>
      <c r="S1769" s="1">
        <v>100.0</v>
      </c>
      <c r="T1769" s="1" t="s">
        <v>12163</v>
      </c>
      <c r="U1769" s="1" t="s">
        <v>844</v>
      </c>
      <c r="V1769" s="1" t="s">
        <v>1527</v>
      </c>
      <c r="W1769" s="1">
        <v>60543.0</v>
      </c>
      <c r="Y1769" s="1" t="s">
        <v>17329</v>
      </c>
      <c r="Z1769" s="1">
        <v>2010.0</v>
      </c>
      <c r="AA1769" s="1" t="s">
        <v>200</v>
      </c>
      <c r="AB1769" s="1" t="s">
        <v>193</v>
      </c>
      <c r="AC1769" s="1" t="s">
        <v>12165</v>
      </c>
      <c r="AD1769" s="1" t="s">
        <v>1529</v>
      </c>
      <c r="AE1769" s="1" t="s">
        <v>849</v>
      </c>
      <c r="AF1769" s="1" t="s">
        <v>1529</v>
      </c>
      <c r="AH1769" s="1" t="s">
        <v>15316</v>
      </c>
      <c r="AI1769" s="1">
        <v>0.2482</v>
      </c>
      <c r="AK1769" s="1">
        <v>9.0</v>
      </c>
      <c r="AL1769" s="1">
        <v>4.0</v>
      </c>
      <c r="AM1769" s="1">
        <v>2.0</v>
      </c>
      <c r="AN1769" s="1">
        <v>1.0</v>
      </c>
      <c r="AO1769" s="1" t="s">
        <v>198</v>
      </c>
      <c r="AP1769" s="1">
        <v>1.0</v>
      </c>
      <c r="AQ1769" s="1" t="s">
        <v>198</v>
      </c>
      <c r="AR1769" s="1" t="s">
        <v>200</v>
      </c>
      <c r="AS1769" s="1" t="s">
        <v>199</v>
      </c>
      <c r="AT1769" s="1">
        <v>2.0</v>
      </c>
      <c r="AV1769" s="1" t="s">
        <v>200</v>
      </c>
      <c r="AW1769" s="1">
        <v>10800.0</v>
      </c>
      <c r="AX1769" s="1">
        <v>2013.0</v>
      </c>
      <c r="AZ1769" s="1" t="s">
        <v>200</v>
      </c>
      <c r="BA1769" s="1" t="str">
        <f>"0312352016"</f>
        <v>0312352016</v>
      </c>
      <c r="BC1769" s="1">
        <v>3226.0</v>
      </c>
      <c r="BD1769" s="1">
        <v>293500.0</v>
      </c>
      <c r="BE1769" s="2">
        <v>41873.0</v>
      </c>
      <c r="BF1769" s="2" t="s">
        <v>17330</v>
      </c>
      <c r="BH1769" s="1">
        <v>460.0</v>
      </c>
      <c r="BK1769" s="1" t="s">
        <v>580</v>
      </c>
      <c r="BL1769" s="1" t="str">
        <f t="shared" ref="BL1769:BM1769" si="1169">""</f>
        <v/>
      </c>
      <c r="BM1769" s="1" t="str">
        <f t="shared" si="1169"/>
        <v/>
      </c>
      <c r="BQ1769" s="1">
        <v>308.0</v>
      </c>
      <c r="BR1769" s="1">
        <v>308.0</v>
      </c>
      <c r="BS1769" s="1">
        <v>308.0</v>
      </c>
      <c r="BU1769" s="1" t="s">
        <v>584</v>
      </c>
      <c r="BV1769" s="1" t="s">
        <v>206</v>
      </c>
      <c r="BW1769" s="1" t="s">
        <v>210</v>
      </c>
      <c r="BY1769" s="1" t="s">
        <v>1534</v>
      </c>
      <c r="BZ1769" s="1" t="s">
        <v>209</v>
      </c>
      <c r="CA1769" s="1" t="s">
        <v>210</v>
      </c>
      <c r="CC1769" s="1" t="s">
        <v>454</v>
      </c>
      <c r="CD1769" s="1" t="s">
        <v>206</v>
      </c>
      <c r="CG1769" s="1" t="s">
        <v>215</v>
      </c>
      <c r="CH1769" s="1" t="s">
        <v>209</v>
      </c>
      <c r="CI1769" s="1" t="s">
        <v>210</v>
      </c>
      <c r="CK1769" s="1" t="s">
        <v>215</v>
      </c>
      <c r="CL1769" s="1" t="s">
        <v>209</v>
      </c>
      <c r="CO1769" s="1" t="s">
        <v>215</v>
      </c>
      <c r="CP1769" s="1" t="s">
        <v>209</v>
      </c>
      <c r="CQ1769" s="1" t="s">
        <v>210</v>
      </c>
      <c r="CS1769" s="1" t="s">
        <v>1244</v>
      </c>
      <c r="CT1769" s="1" t="s">
        <v>206</v>
      </c>
      <c r="CU1769" s="1" t="s">
        <v>207</v>
      </c>
      <c r="CW1769" s="1" t="s">
        <v>211</v>
      </c>
      <c r="CX1769" s="1" t="s">
        <v>206</v>
      </c>
      <c r="CY1769" s="1" t="s">
        <v>210</v>
      </c>
      <c r="DA1769" s="1" t="s">
        <v>200</v>
      </c>
      <c r="DC1769" s="1" t="s">
        <v>1046</v>
      </c>
      <c r="DD1769" s="1" t="s">
        <v>786</v>
      </c>
      <c r="DE1769" s="1" t="s">
        <v>273</v>
      </c>
      <c r="DF1769" s="1" t="s">
        <v>219</v>
      </c>
      <c r="DH1769" s="1" t="s">
        <v>220</v>
      </c>
      <c r="DI1769" s="1" t="s">
        <v>366</v>
      </c>
      <c r="DJ1769" s="1" t="s">
        <v>222</v>
      </c>
      <c r="DL1769" s="1" t="s">
        <v>223</v>
      </c>
      <c r="DM1769" s="1" t="s">
        <v>229</v>
      </c>
      <c r="DO1769" s="1" t="s">
        <v>549</v>
      </c>
      <c r="DP1769" s="1" t="s">
        <v>340</v>
      </c>
      <c r="DQ1769" s="1" t="s">
        <v>441</v>
      </c>
      <c r="DR1769" s="1" t="s">
        <v>229</v>
      </c>
      <c r="DV1769" s="1" t="s">
        <v>5014</v>
      </c>
      <c r="DW1769" s="1" t="s">
        <v>444</v>
      </c>
      <c r="DX1769" s="1" t="s">
        <v>234</v>
      </c>
      <c r="DY1769" s="1" t="s">
        <v>490</v>
      </c>
      <c r="EC1769" s="1" t="s">
        <v>237</v>
      </c>
      <c r="EG1769" s="1" t="s">
        <v>494</v>
      </c>
      <c r="EH1769" s="1" t="s">
        <v>408</v>
      </c>
      <c r="EL1769" s="1" t="s">
        <v>211</v>
      </c>
      <c r="EM1769" s="1" t="s">
        <v>206</v>
      </c>
      <c r="EN1769" s="1" t="s">
        <v>210</v>
      </c>
      <c r="EP1769" s="1" t="s">
        <v>1745</v>
      </c>
      <c r="EQ1769" s="1" t="s">
        <v>206</v>
      </c>
      <c r="ER1769" s="1" t="s">
        <v>207</v>
      </c>
      <c r="EU1769" s="1" t="s">
        <v>238</v>
      </c>
      <c r="EY1769" s="1" t="s">
        <v>238</v>
      </c>
      <c r="FC1769" s="1" t="s">
        <v>238</v>
      </c>
      <c r="FF1769" s="1" t="s">
        <v>239</v>
      </c>
      <c r="FG1769" s="1" t="s">
        <v>192</v>
      </c>
      <c r="FH1769" s="1" t="s">
        <v>192</v>
      </c>
      <c r="FJ1769" s="1" t="s">
        <v>17331</v>
      </c>
      <c r="FK1769" s="1" t="s">
        <v>229</v>
      </c>
      <c r="FL1769" s="1" t="s">
        <v>6689</v>
      </c>
      <c r="FM1769" s="1">
        <v>74002.0</v>
      </c>
      <c r="FN1769" s="1" t="s">
        <v>6690</v>
      </c>
      <c r="FO1769" s="1" t="s">
        <v>6691</v>
      </c>
      <c r="FP1769" s="1">
        <v>702404.0</v>
      </c>
      <c r="FQ1769" s="1" t="s">
        <v>6690</v>
      </c>
      <c r="FR1769" s="1">
        <v>701227.0</v>
      </c>
      <c r="FU1769" s="1" t="s">
        <v>6692</v>
      </c>
      <c r="FV1769" s="1" t="s">
        <v>192</v>
      </c>
      <c r="FW1769" s="1" t="s">
        <v>461</v>
      </c>
      <c r="FZ1769" s="1" t="s">
        <v>229</v>
      </c>
      <c r="GA1769" s="1" t="s">
        <v>291</v>
      </c>
      <c r="GB1769" s="2">
        <v>42003.0</v>
      </c>
      <c r="GC1769" s="1" t="s">
        <v>17332</v>
      </c>
    </row>
    <row r="1770">
      <c r="A1770" s="1">
        <v>252000.0</v>
      </c>
      <c r="B1770" s="1" t="s">
        <v>185</v>
      </c>
      <c r="C1770" s="1" t="str">
        <f>"08706246"</f>
        <v>08706246</v>
      </c>
      <c r="D1770" s="1" t="s">
        <v>186</v>
      </c>
      <c r="F1770" s="1" t="str">
        <f>"178"</f>
        <v>178</v>
      </c>
      <c r="G1770" s="2">
        <v>41870.0</v>
      </c>
      <c r="H1770" s="1">
        <v>249900.0</v>
      </c>
      <c r="I1770" s="1">
        <v>112.0</v>
      </c>
      <c r="J1770" s="1">
        <v>249900.0</v>
      </c>
      <c r="K1770" s="2">
        <v>41937.0</v>
      </c>
      <c r="L1770" s="1">
        <v>68.0</v>
      </c>
      <c r="M1770" s="2">
        <v>41937.0</v>
      </c>
      <c r="N1770" s="1" t="s">
        <v>356</v>
      </c>
      <c r="O1770" s="2">
        <v>41975.0</v>
      </c>
      <c r="P1770" s="1">
        <v>930088.0</v>
      </c>
      <c r="Q1770" s="1">
        <v>93043.0</v>
      </c>
      <c r="S1770" s="1">
        <v>1917.0</v>
      </c>
      <c r="T1770" s="1" t="s">
        <v>7142</v>
      </c>
      <c r="U1770" s="1" t="s">
        <v>320</v>
      </c>
      <c r="V1770" s="1" t="s">
        <v>994</v>
      </c>
      <c r="W1770" s="1">
        <v>60178.0</v>
      </c>
      <c r="Y1770" s="1" t="s">
        <v>17333</v>
      </c>
      <c r="Z1770" s="1">
        <v>2011.0</v>
      </c>
      <c r="AA1770" s="1" t="s">
        <v>200</v>
      </c>
      <c r="AB1770" s="1" t="s">
        <v>467</v>
      </c>
      <c r="AD1770" s="1" t="s">
        <v>997</v>
      </c>
      <c r="AE1770" s="1" t="s">
        <v>613</v>
      </c>
      <c r="AF1770" s="1" t="s">
        <v>997</v>
      </c>
      <c r="AH1770" s="1" t="s">
        <v>5193</v>
      </c>
      <c r="AK1770" s="1">
        <v>9.0</v>
      </c>
      <c r="AL1770" s="1">
        <v>3.0</v>
      </c>
      <c r="AM1770" s="1">
        <v>3.0</v>
      </c>
      <c r="AN1770" s="1">
        <v>0.0</v>
      </c>
      <c r="AO1770" s="1" t="s">
        <v>198</v>
      </c>
      <c r="AP1770" s="1">
        <v>1.0</v>
      </c>
      <c r="AQ1770" s="1" t="s">
        <v>472</v>
      </c>
      <c r="AR1770" s="1" t="s">
        <v>192</v>
      </c>
      <c r="AS1770" s="1" t="s">
        <v>199</v>
      </c>
      <c r="AT1770" s="1">
        <v>3.0</v>
      </c>
      <c r="AV1770" s="1" t="s">
        <v>200</v>
      </c>
      <c r="AW1770" s="1">
        <v>6499.24</v>
      </c>
      <c r="AX1770" s="1">
        <v>2013.0</v>
      </c>
      <c r="AY1770" s="1" t="s">
        <v>387</v>
      </c>
      <c r="AZ1770" s="1" t="s">
        <v>200</v>
      </c>
      <c r="BA1770" s="1" t="str">
        <f>"0622330010"</f>
        <v>0622330010</v>
      </c>
      <c r="BC1770" s="1">
        <v>3038.0</v>
      </c>
      <c r="BD1770" s="1">
        <v>252000.0</v>
      </c>
      <c r="BE1770" s="2">
        <v>41870.0</v>
      </c>
      <c r="BF1770" s="2" t="s">
        <v>17334</v>
      </c>
      <c r="BH1770" s="1">
        <v>450.0</v>
      </c>
      <c r="BK1770" s="1" t="s">
        <v>580</v>
      </c>
      <c r="BL1770" s="1" t="str">
        <f t="shared" ref="BL1770:BM1770" si="1170">""</f>
        <v/>
      </c>
      <c r="BM1770" s="1" t="str">
        <f t="shared" si="1170"/>
        <v/>
      </c>
      <c r="BQ1770" s="1">
        <v>427.0</v>
      </c>
      <c r="BR1770" s="1">
        <v>427.0</v>
      </c>
      <c r="BS1770" s="1">
        <v>427.0</v>
      </c>
      <c r="BV1770" s="1" t="s">
        <v>204</v>
      </c>
      <c r="BY1770" s="1" t="s">
        <v>1044</v>
      </c>
      <c r="BZ1770" s="1" t="s">
        <v>206</v>
      </c>
      <c r="CA1770" s="1" t="s">
        <v>210</v>
      </c>
      <c r="CB1770" s="1" t="s">
        <v>431</v>
      </c>
      <c r="CC1770" s="1" t="s">
        <v>1417</v>
      </c>
      <c r="CD1770" s="1" t="s">
        <v>206</v>
      </c>
      <c r="CE1770" s="1" t="s">
        <v>268</v>
      </c>
      <c r="CF1770" s="1" t="s">
        <v>431</v>
      </c>
      <c r="CG1770" s="1" t="s">
        <v>478</v>
      </c>
      <c r="CH1770" s="1" t="s">
        <v>206</v>
      </c>
      <c r="CI1770" s="1" t="s">
        <v>210</v>
      </c>
      <c r="CJ1770" s="1" t="s">
        <v>431</v>
      </c>
      <c r="CK1770" s="1" t="s">
        <v>302</v>
      </c>
      <c r="CL1770" s="1" t="s">
        <v>206</v>
      </c>
      <c r="CM1770" s="1" t="s">
        <v>210</v>
      </c>
      <c r="CN1770" s="1" t="s">
        <v>431</v>
      </c>
      <c r="CO1770" s="1" t="s">
        <v>584</v>
      </c>
      <c r="CP1770" s="1" t="s">
        <v>42</v>
      </c>
      <c r="CQ1770" s="1" t="s">
        <v>210</v>
      </c>
      <c r="CR1770" s="1" t="s">
        <v>431</v>
      </c>
      <c r="CS1770" s="1" t="s">
        <v>478</v>
      </c>
      <c r="CT1770" s="1" t="s">
        <v>206</v>
      </c>
      <c r="CU1770" s="1" t="s">
        <v>268</v>
      </c>
      <c r="CV1770" s="1" t="s">
        <v>229</v>
      </c>
      <c r="CW1770" s="1" t="s">
        <v>9202</v>
      </c>
      <c r="CX1770" s="1" t="s">
        <v>206</v>
      </c>
      <c r="CY1770" s="1" t="s">
        <v>210</v>
      </c>
      <c r="CZ1770" s="1" t="s">
        <v>431</v>
      </c>
      <c r="DA1770" s="1" t="s">
        <v>200</v>
      </c>
      <c r="DC1770" s="1" t="s">
        <v>1046</v>
      </c>
      <c r="DD1770" s="1" t="s">
        <v>679</v>
      </c>
      <c r="DE1770" s="1" t="s">
        <v>273</v>
      </c>
      <c r="DF1770" s="1" t="s">
        <v>619</v>
      </c>
      <c r="DH1770" s="1" t="s">
        <v>220</v>
      </c>
      <c r="DI1770" s="1" t="s">
        <v>732</v>
      </c>
      <c r="DJ1770" s="1" t="s">
        <v>222</v>
      </c>
      <c r="DL1770" s="1" t="s">
        <v>224</v>
      </c>
      <c r="DM1770" s="1" t="s">
        <v>229</v>
      </c>
      <c r="DN1770" s="1" t="s">
        <v>485</v>
      </c>
      <c r="DO1770" s="1" t="s">
        <v>486</v>
      </c>
      <c r="DP1770" s="1" t="s">
        <v>227</v>
      </c>
      <c r="DQ1770" s="1" t="s">
        <v>228</v>
      </c>
      <c r="DR1770" s="1" t="s">
        <v>229</v>
      </c>
      <c r="DS1770" s="1" t="s">
        <v>368</v>
      </c>
      <c r="DU1770" s="1" t="s">
        <v>17335</v>
      </c>
      <c r="DV1770" s="1" t="s">
        <v>14006</v>
      </c>
      <c r="DW1770" s="1" t="s">
        <v>16031</v>
      </c>
      <c r="DX1770" s="1" t="s">
        <v>234</v>
      </c>
      <c r="DY1770" s="1" t="s">
        <v>682</v>
      </c>
      <c r="DZ1770" s="1" t="s">
        <v>310</v>
      </c>
      <c r="EB1770" s="1" t="s">
        <v>597</v>
      </c>
      <c r="EC1770" s="1" t="s">
        <v>685</v>
      </c>
      <c r="ED1770" s="1" t="s">
        <v>1794</v>
      </c>
      <c r="EE1770" s="1" t="s">
        <v>493</v>
      </c>
      <c r="EG1770" s="1" t="s">
        <v>598</v>
      </c>
      <c r="EH1770" s="1" t="s">
        <v>450</v>
      </c>
      <c r="EI1770" s="1" t="s">
        <v>408</v>
      </c>
      <c r="EJ1770" s="1" t="s">
        <v>310</v>
      </c>
      <c r="EL1770" s="1" t="s">
        <v>1584</v>
      </c>
      <c r="EM1770" s="1" t="s">
        <v>42</v>
      </c>
      <c r="EN1770" s="1" t="s">
        <v>210</v>
      </c>
      <c r="EO1770" s="1" t="s">
        <v>229</v>
      </c>
      <c r="EP1770" s="1" t="s">
        <v>17336</v>
      </c>
      <c r="EQ1770" s="1" t="s">
        <v>42</v>
      </c>
      <c r="ER1770" s="1" t="s">
        <v>210</v>
      </c>
      <c r="ES1770" s="1" t="s">
        <v>431</v>
      </c>
      <c r="ET1770" s="1" t="s">
        <v>6147</v>
      </c>
      <c r="EU1770" s="1" t="s">
        <v>206</v>
      </c>
      <c r="EV1770" s="1" t="s">
        <v>268</v>
      </c>
      <c r="EW1770" s="1" t="s">
        <v>229</v>
      </c>
      <c r="EX1770" s="1" t="s">
        <v>1483</v>
      </c>
      <c r="EY1770" s="1" t="s">
        <v>206</v>
      </c>
      <c r="FC1770" s="1" t="s">
        <v>238</v>
      </c>
      <c r="FF1770" s="1" t="s">
        <v>2447</v>
      </c>
      <c r="FG1770" s="1" t="s">
        <v>192</v>
      </c>
      <c r="FH1770" s="1" t="s">
        <v>200</v>
      </c>
      <c r="FJ1770" s="1" t="s">
        <v>648</v>
      </c>
      <c r="FK1770" s="1" t="s">
        <v>229</v>
      </c>
      <c r="FL1770" s="1" t="s">
        <v>525</v>
      </c>
      <c r="FM1770" s="1">
        <v>22029.0</v>
      </c>
      <c r="FN1770" s="1" t="s">
        <v>526</v>
      </c>
      <c r="FO1770" s="1" t="s">
        <v>17337</v>
      </c>
      <c r="FP1770" s="1">
        <v>237933.0</v>
      </c>
      <c r="FS1770" s="1" t="s">
        <v>17338</v>
      </c>
      <c r="FU1770" s="1" t="s">
        <v>17339</v>
      </c>
      <c r="FV1770" s="1" t="s">
        <v>200</v>
      </c>
      <c r="FW1770" s="1" t="s">
        <v>290</v>
      </c>
      <c r="FZ1770" s="1" t="s">
        <v>504</v>
      </c>
      <c r="GA1770" s="1" t="s">
        <v>291</v>
      </c>
      <c r="GB1770" s="2">
        <v>41977.0</v>
      </c>
      <c r="GC1770" s="1" t="s">
        <v>17340</v>
      </c>
    </row>
    <row r="1771">
      <c r="A1771" s="1">
        <v>185000.0</v>
      </c>
      <c r="B1771" s="1" t="s">
        <v>185</v>
      </c>
      <c r="C1771" s="1" t="str">
        <f>"08769825"</f>
        <v>08769825</v>
      </c>
      <c r="D1771" s="1" t="s">
        <v>186</v>
      </c>
      <c r="F1771" s="1" t="str">
        <f>"8019"</f>
        <v>8019</v>
      </c>
      <c r="G1771" s="2">
        <v>41948.0</v>
      </c>
      <c r="H1771" s="1">
        <v>199900.0</v>
      </c>
      <c r="I1771" s="1">
        <v>81.0</v>
      </c>
      <c r="J1771" s="1">
        <v>199900.0</v>
      </c>
      <c r="K1771" s="2">
        <v>42028.0</v>
      </c>
      <c r="L1771" s="1">
        <v>81.0</v>
      </c>
      <c r="M1771" s="2">
        <v>42028.0</v>
      </c>
      <c r="N1771" s="1" t="s">
        <v>249</v>
      </c>
      <c r="O1771" s="2">
        <v>42055.0</v>
      </c>
      <c r="P1771" s="1">
        <v>161306.0</v>
      </c>
      <c r="Q1771" s="1">
        <v>18235.0</v>
      </c>
      <c r="S1771" s="1">
        <v>3123.0</v>
      </c>
      <c r="T1771" s="1" t="s">
        <v>1458</v>
      </c>
      <c r="U1771" s="1" t="s">
        <v>189</v>
      </c>
      <c r="V1771" s="1" t="s">
        <v>190</v>
      </c>
      <c r="W1771" s="1">
        <v>60634.0</v>
      </c>
      <c r="Y1771" s="1" t="s">
        <v>17341</v>
      </c>
      <c r="Z1771" s="1">
        <v>1924.0</v>
      </c>
      <c r="AA1771" s="1" t="s">
        <v>192</v>
      </c>
      <c r="AB1771" s="1" t="s">
        <v>193</v>
      </c>
      <c r="AC1771" s="1" t="s">
        <v>17342</v>
      </c>
      <c r="AD1771" s="1" t="s">
        <v>194</v>
      </c>
      <c r="AE1771" s="1" t="s">
        <v>195</v>
      </c>
      <c r="AF1771" s="1" t="s">
        <v>196</v>
      </c>
      <c r="AH1771" s="1" t="s">
        <v>17343</v>
      </c>
      <c r="AI1771" s="1">
        <v>0.0854</v>
      </c>
      <c r="AK1771" s="1">
        <v>10.0</v>
      </c>
      <c r="AL1771" s="1">
        <v>3.0</v>
      </c>
      <c r="AM1771" s="1">
        <v>1.0</v>
      </c>
      <c r="AN1771" s="1">
        <v>1.0</v>
      </c>
      <c r="AO1771" s="1" t="s">
        <v>229</v>
      </c>
      <c r="AQ1771" s="1" t="s">
        <v>198</v>
      </c>
      <c r="AR1771" s="1" t="s">
        <v>192</v>
      </c>
      <c r="AS1771" s="1" t="s">
        <v>199</v>
      </c>
      <c r="AT1771" s="1">
        <v>1.5</v>
      </c>
      <c r="AV1771" s="1" t="s">
        <v>200</v>
      </c>
      <c r="AW1771" s="1">
        <v>2773.0</v>
      </c>
      <c r="AX1771" s="1">
        <v>2012.0</v>
      </c>
      <c r="AY1771" s="1" t="s">
        <v>387</v>
      </c>
      <c r="AZ1771" s="1" t="s">
        <v>200</v>
      </c>
      <c r="BA1771" s="1" t="str">
        <f>"13292060180000"</f>
        <v>13292060180000</v>
      </c>
      <c r="BC1771" s="1">
        <v>1230.0</v>
      </c>
      <c r="BD1771" s="1">
        <v>185000.0</v>
      </c>
      <c r="BE1771" s="2">
        <v>41948.0</v>
      </c>
      <c r="BF1771" s="2" t="s">
        <v>17344</v>
      </c>
      <c r="BH1771" s="1">
        <v>0.0</v>
      </c>
      <c r="BK1771" s="1" t="s">
        <v>204</v>
      </c>
      <c r="BL1771" s="1" t="str">
        <f>"3100"</f>
        <v>3100</v>
      </c>
      <c r="BM1771" s="1" t="str">
        <f>"0"</f>
        <v>0</v>
      </c>
      <c r="BN1771" s="1">
        <v>5700.0</v>
      </c>
      <c r="BO1771" s="1">
        <v>0.0</v>
      </c>
      <c r="BQ1771" s="1">
        <v>299.0</v>
      </c>
      <c r="BR1771" s="1">
        <v>299.0</v>
      </c>
      <c r="BS1771" s="1">
        <v>299.0</v>
      </c>
      <c r="BU1771" s="1" t="s">
        <v>2120</v>
      </c>
      <c r="BV1771" s="1" t="s">
        <v>206</v>
      </c>
      <c r="BW1771" s="1" t="s">
        <v>207</v>
      </c>
      <c r="BY1771" s="1" t="s">
        <v>2713</v>
      </c>
      <c r="BZ1771" s="1" t="s">
        <v>209</v>
      </c>
      <c r="CC1771" s="1" t="s">
        <v>2459</v>
      </c>
      <c r="CD1771" s="1" t="s">
        <v>206</v>
      </c>
      <c r="CE1771" s="1" t="s">
        <v>207</v>
      </c>
      <c r="CG1771" s="1" t="s">
        <v>497</v>
      </c>
      <c r="CH1771" s="1" t="s">
        <v>206</v>
      </c>
      <c r="CI1771" s="1" t="s">
        <v>207</v>
      </c>
      <c r="CK1771" s="1" t="s">
        <v>1746</v>
      </c>
      <c r="CL1771" s="1" t="s">
        <v>42</v>
      </c>
      <c r="CO1771" s="1" t="s">
        <v>497</v>
      </c>
      <c r="CP1771" s="1" t="s">
        <v>206</v>
      </c>
      <c r="CQ1771" s="1" t="s">
        <v>207</v>
      </c>
      <c r="CS1771" s="1" t="s">
        <v>3594</v>
      </c>
      <c r="CT1771" s="1" t="s">
        <v>206</v>
      </c>
      <c r="CX1771" s="1" t="s">
        <v>204</v>
      </c>
      <c r="DA1771" s="1" t="s">
        <v>200</v>
      </c>
      <c r="DC1771" s="1" t="s">
        <v>785</v>
      </c>
      <c r="DE1771" s="1" t="s">
        <v>1139</v>
      </c>
      <c r="DF1771" s="1" t="s">
        <v>619</v>
      </c>
      <c r="DH1771" s="1" t="s">
        <v>220</v>
      </c>
      <c r="DJ1771" s="1" t="s">
        <v>222</v>
      </c>
      <c r="DK1771" s="1" t="s">
        <v>224</v>
      </c>
      <c r="DL1771" s="1" t="s">
        <v>858</v>
      </c>
      <c r="DM1771" s="1" t="s">
        <v>229</v>
      </c>
      <c r="DP1771" s="1" t="s">
        <v>340</v>
      </c>
      <c r="DQ1771" s="1" t="s">
        <v>228</v>
      </c>
      <c r="DR1771" s="1" t="s">
        <v>229</v>
      </c>
      <c r="DS1771" s="1" t="s">
        <v>230</v>
      </c>
      <c r="DV1771" s="1" t="s">
        <v>17345</v>
      </c>
      <c r="DW1771" s="1" t="s">
        <v>279</v>
      </c>
      <c r="DX1771" s="1" t="s">
        <v>234</v>
      </c>
      <c r="DY1771" s="1" t="s">
        <v>2579</v>
      </c>
      <c r="EC1771" s="1" t="s">
        <v>685</v>
      </c>
      <c r="EG1771" s="1" t="s">
        <v>494</v>
      </c>
      <c r="EJ1771" s="1" t="s">
        <v>1121</v>
      </c>
      <c r="EK1771" s="1" t="s">
        <v>1407</v>
      </c>
      <c r="EL1771" s="1" t="s">
        <v>663</v>
      </c>
      <c r="EM1771" s="1" t="s">
        <v>209</v>
      </c>
      <c r="EQ1771" s="1" t="s">
        <v>238</v>
      </c>
      <c r="EU1771" s="1" t="s">
        <v>238</v>
      </c>
      <c r="EX1771" s="1" t="s">
        <v>495</v>
      </c>
      <c r="EY1771" s="1" t="s">
        <v>209</v>
      </c>
      <c r="FB1771" s="1" t="s">
        <v>1183</v>
      </c>
      <c r="FC1771" s="1" t="s">
        <v>42</v>
      </c>
      <c r="FF1771" s="1" t="s">
        <v>229</v>
      </c>
      <c r="FG1771" s="1" t="s">
        <v>200</v>
      </c>
      <c r="FH1771" s="1" t="s">
        <v>200</v>
      </c>
      <c r="FJ1771" s="1" t="s">
        <v>1493</v>
      </c>
      <c r="FK1771" s="1" t="s">
        <v>229</v>
      </c>
      <c r="FL1771" s="1" t="s">
        <v>17346</v>
      </c>
      <c r="FM1771" s="1">
        <v>18455.0</v>
      </c>
      <c r="FN1771" s="1" t="s">
        <v>17347</v>
      </c>
      <c r="FO1771" s="1" t="s">
        <v>17348</v>
      </c>
      <c r="FP1771" s="1">
        <v>152517.0</v>
      </c>
      <c r="FQ1771" s="1" t="s">
        <v>17349</v>
      </c>
      <c r="FU1771" s="1" t="s">
        <v>17350</v>
      </c>
      <c r="FV1771" s="1" t="s">
        <v>200</v>
      </c>
      <c r="FW1771" s="1" t="s">
        <v>654</v>
      </c>
      <c r="FX1771" s="1" t="s">
        <v>238</v>
      </c>
      <c r="FZ1771" s="1" t="s">
        <v>229</v>
      </c>
      <c r="GA1771" s="1" t="s">
        <v>291</v>
      </c>
      <c r="GB1771" s="2">
        <v>42057.0</v>
      </c>
    </row>
    <row r="1772">
      <c r="A1772" s="1">
        <v>622000.0</v>
      </c>
      <c r="B1772" s="1" t="s">
        <v>185</v>
      </c>
      <c r="C1772" s="1" t="str">
        <f>"08710986"</f>
        <v>08710986</v>
      </c>
      <c r="D1772" s="1" t="s">
        <v>186</v>
      </c>
      <c r="F1772" s="1" t="str">
        <f>"174"</f>
        <v>174</v>
      </c>
      <c r="G1772" s="2">
        <v>41876.0</v>
      </c>
      <c r="H1772" s="1">
        <v>739900.0</v>
      </c>
      <c r="I1772" s="1">
        <v>156.0</v>
      </c>
      <c r="J1772" s="1">
        <v>650000.0</v>
      </c>
      <c r="K1772" s="2">
        <v>42031.0</v>
      </c>
      <c r="L1772" s="1">
        <v>156.0</v>
      </c>
      <c r="M1772" s="2">
        <v>42031.0</v>
      </c>
      <c r="N1772" s="1" t="s">
        <v>249</v>
      </c>
      <c r="O1772" s="2">
        <v>42121.0</v>
      </c>
      <c r="P1772" s="1">
        <v>228780.0</v>
      </c>
      <c r="Q1772" s="1">
        <v>21947.0</v>
      </c>
      <c r="S1772" s="1">
        <v>1250.0</v>
      </c>
      <c r="T1772" s="1" t="s">
        <v>14754</v>
      </c>
      <c r="U1772" s="1" t="s">
        <v>569</v>
      </c>
      <c r="V1772" s="1" t="s">
        <v>1200</v>
      </c>
      <c r="W1772" s="1">
        <v>60174.0</v>
      </c>
      <c r="Y1772" s="1" t="s">
        <v>17351</v>
      </c>
      <c r="Z1772" s="1">
        <v>1988.0</v>
      </c>
      <c r="AA1772" s="1" t="s">
        <v>200</v>
      </c>
      <c r="AB1772" s="1" t="s">
        <v>467</v>
      </c>
      <c r="AC1772" s="1" t="s">
        <v>17352</v>
      </c>
      <c r="AD1772" s="1" t="s">
        <v>1203</v>
      </c>
      <c r="AE1772" s="1" t="s">
        <v>325</v>
      </c>
      <c r="AF1772" s="1" t="s">
        <v>1203</v>
      </c>
      <c r="AH1772" s="1" t="s">
        <v>17353</v>
      </c>
      <c r="AI1772" s="1">
        <v>0.84</v>
      </c>
      <c r="AK1772" s="1">
        <v>10.0</v>
      </c>
      <c r="AL1772" s="1">
        <v>4.0</v>
      </c>
      <c r="AM1772" s="1">
        <v>2.0</v>
      </c>
      <c r="AN1772" s="1">
        <v>1.0</v>
      </c>
      <c r="AO1772" s="1" t="s">
        <v>198</v>
      </c>
      <c r="AP1772" s="1">
        <v>2.0</v>
      </c>
      <c r="AQ1772" s="1" t="s">
        <v>198</v>
      </c>
      <c r="AR1772" s="1" t="s">
        <v>200</v>
      </c>
      <c r="AS1772" s="1" t="s">
        <v>199</v>
      </c>
      <c r="AT1772" s="1">
        <v>3.0</v>
      </c>
      <c r="AV1772" s="1" t="s">
        <v>200</v>
      </c>
      <c r="AW1772" s="1">
        <v>14280.2</v>
      </c>
      <c r="AX1772" s="1">
        <v>2014.0</v>
      </c>
      <c r="AY1772" s="1" t="s">
        <v>229</v>
      </c>
      <c r="AZ1772" s="1" t="s">
        <v>200</v>
      </c>
      <c r="BA1772" s="1" t="str">
        <f>"0922453005"</f>
        <v>0922453005</v>
      </c>
      <c r="BC1772" s="1">
        <v>3535.0</v>
      </c>
      <c r="BD1772" s="1">
        <v>622000.0</v>
      </c>
      <c r="BE1772" s="2">
        <v>41876.0</v>
      </c>
      <c r="BF1772" s="2" t="s">
        <v>17354</v>
      </c>
      <c r="BH1772" s="1">
        <v>275.0</v>
      </c>
      <c r="BK1772" s="1" t="s">
        <v>580</v>
      </c>
      <c r="BL1772" s="1" t="str">
        <f t="shared" ref="BL1772:BM1772" si="1171">""</f>
        <v/>
      </c>
      <c r="BM1772" s="1" t="str">
        <f t="shared" si="1171"/>
        <v/>
      </c>
      <c r="BQ1772" s="1">
        <v>303.0</v>
      </c>
      <c r="BR1772" s="1">
        <v>303.0</v>
      </c>
      <c r="BS1772" s="1">
        <v>303.0</v>
      </c>
      <c r="BU1772" s="1" t="s">
        <v>1892</v>
      </c>
      <c r="BV1772" s="1" t="s">
        <v>206</v>
      </c>
      <c r="BW1772" s="1" t="s">
        <v>210</v>
      </c>
      <c r="BY1772" s="1" t="s">
        <v>782</v>
      </c>
      <c r="BZ1772" s="1" t="s">
        <v>206</v>
      </c>
      <c r="CA1772" s="1" t="s">
        <v>210</v>
      </c>
      <c r="CC1772" s="1" t="s">
        <v>329</v>
      </c>
      <c r="CD1772" s="1" t="s">
        <v>206</v>
      </c>
      <c r="CE1772" s="1" t="s">
        <v>207</v>
      </c>
      <c r="CG1772" s="1" t="s">
        <v>329</v>
      </c>
      <c r="CH1772" s="1" t="s">
        <v>209</v>
      </c>
      <c r="CI1772" s="1" t="s">
        <v>210</v>
      </c>
      <c r="CK1772" s="1" t="s">
        <v>329</v>
      </c>
      <c r="CL1772" s="1" t="s">
        <v>209</v>
      </c>
      <c r="CM1772" s="1" t="s">
        <v>210</v>
      </c>
      <c r="CO1772" s="1" t="s">
        <v>390</v>
      </c>
      <c r="CP1772" s="1" t="s">
        <v>209</v>
      </c>
      <c r="CQ1772" s="1" t="s">
        <v>210</v>
      </c>
      <c r="CS1772" s="1" t="s">
        <v>215</v>
      </c>
      <c r="CT1772" s="1" t="s">
        <v>206</v>
      </c>
      <c r="CU1772" s="1" t="s">
        <v>207</v>
      </c>
      <c r="CW1772" s="1" t="s">
        <v>1244</v>
      </c>
      <c r="CX1772" s="1" t="s">
        <v>206</v>
      </c>
      <c r="CY1772" s="1" t="s">
        <v>207</v>
      </c>
      <c r="DA1772" s="1" t="s">
        <v>200</v>
      </c>
      <c r="DC1772" s="1" t="s">
        <v>305</v>
      </c>
      <c r="DD1772" s="1" t="s">
        <v>759</v>
      </c>
      <c r="DE1772" s="1" t="s">
        <v>273</v>
      </c>
      <c r="DF1772" s="1" t="s">
        <v>619</v>
      </c>
      <c r="DH1772" s="1" t="s">
        <v>220</v>
      </c>
      <c r="DI1772" s="1" t="s">
        <v>17355</v>
      </c>
      <c r="DJ1772" s="1" t="s">
        <v>222</v>
      </c>
      <c r="DL1772" s="1" t="s">
        <v>223</v>
      </c>
      <c r="DM1772" s="1" t="s">
        <v>229</v>
      </c>
      <c r="DN1772" s="1" t="s">
        <v>548</v>
      </c>
      <c r="DP1772" s="1" t="s">
        <v>340</v>
      </c>
      <c r="DQ1772" s="1" t="s">
        <v>1557</v>
      </c>
      <c r="DR1772" s="1" t="s">
        <v>588</v>
      </c>
      <c r="DU1772" s="1" t="s">
        <v>442</v>
      </c>
      <c r="DV1772" s="1" t="s">
        <v>17356</v>
      </c>
      <c r="DW1772" s="1" t="s">
        <v>595</v>
      </c>
      <c r="DX1772" s="1" t="s">
        <v>234</v>
      </c>
      <c r="DY1772" s="1" t="s">
        <v>13069</v>
      </c>
      <c r="EA1772" s="1" t="s">
        <v>344</v>
      </c>
      <c r="EB1772" s="1" t="s">
        <v>767</v>
      </c>
      <c r="EC1772" s="1" t="s">
        <v>237</v>
      </c>
      <c r="ED1772" s="1" t="s">
        <v>407</v>
      </c>
      <c r="EG1772" s="1" t="s">
        <v>556</v>
      </c>
      <c r="EH1772" s="1" t="s">
        <v>598</v>
      </c>
      <c r="EI1772" s="1" t="s">
        <v>408</v>
      </c>
      <c r="EJ1772" s="1" t="s">
        <v>8378</v>
      </c>
      <c r="EL1772" s="1" t="s">
        <v>1745</v>
      </c>
      <c r="EM1772" s="1" t="s">
        <v>206</v>
      </c>
      <c r="EN1772" s="1" t="s">
        <v>207</v>
      </c>
      <c r="EP1772" s="1" t="s">
        <v>215</v>
      </c>
      <c r="EQ1772" s="1" t="s">
        <v>206</v>
      </c>
      <c r="ER1772" s="1" t="s">
        <v>207</v>
      </c>
      <c r="ET1772" s="1" t="s">
        <v>303</v>
      </c>
      <c r="EU1772" s="1" t="s">
        <v>206</v>
      </c>
      <c r="EV1772" s="1" t="s">
        <v>268</v>
      </c>
      <c r="EX1772" s="1" t="s">
        <v>433</v>
      </c>
      <c r="EY1772" s="1" t="s">
        <v>206</v>
      </c>
      <c r="EZ1772" s="1" t="s">
        <v>268</v>
      </c>
      <c r="FC1772" s="1" t="s">
        <v>238</v>
      </c>
      <c r="FF1772" s="1" t="s">
        <v>239</v>
      </c>
      <c r="FG1772" s="1" t="s">
        <v>192</v>
      </c>
      <c r="FH1772" s="1" t="s">
        <v>192</v>
      </c>
      <c r="FJ1772" s="1" t="s">
        <v>313</v>
      </c>
      <c r="FK1772" s="1" t="s">
        <v>229</v>
      </c>
      <c r="FL1772" s="1" t="s">
        <v>456</v>
      </c>
      <c r="FM1772" s="1">
        <v>49.0</v>
      </c>
      <c r="FN1772" s="1" t="s">
        <v>457</v>
      </c>
      <c r="FO1772" s="1" t="s">
        <v>17357</v>
      </c>
      <c r="FP1772" s="1">
        <v>974.0</v>
      </c>
      <c r="FQ1772" s="1" t="s">
        <v>17358</v>
      </c>
      <c r="FR1772" s="1">
        <v>1091.0</v>
      </c>
      <c r="FS1772" s="1" t="s">
        <v>17359</v>
      </c>
      <c r="FU1772" s="1" t="s">
        <v>17360</v>
      </c>
      <c r="FV1772" s="1" t="s">
        <v>200</v>
      </c>
      <c r="FW1772" s="1" t="s">
        <v>530</v>
      </c>
      <c r="FZ1772" s="1" t="s">
        <v>229</v>
      </c>
      <c r="GA1772" s="1" t="s">
        <v>291</v>
      </c>
      <c r="GB1772" s="2">
        <v>42121.0</v>
      </c>
      <c r="GC1772" s="1" t="s">
        <v>17361</v>
      </c>
    </row>
    <row r="1773">
      <c r="A1773" s="1">
        <v>130000.0</v>
      </c>
      <c r="B1773" s="1" t="s">
        <v>185</v>
      </c>
      <c r="C1773" s="1" t="str">
        <f>"08732628"</f>
        <v>08732628</v>
      </c>
      <c r="D1773" s="1" t="s">
        <v>186</v>
      </c>
      <c r="F1773" s="1" t="str">
        <f>"545"</f>
        <v>545</v>
      </c>
      <c r="G1773" s="2">
        <v>41901.0</v>
      </c>
      <c r="H1773" s="1">
        <v>150000.0</v>
      </c>
      <c r="I1773" s="1">
        <v>141.0</v>
      </c>
      <c r="J1773" s="1">
        <v>135000.0</v>
      </c>
      <c r="K1773" s="2">
        <v>42041.0</v>
      </c>
      <c r="L1773" s="1">
        <v>141.0</v>
      </c>
      <c r="M1773" s="2">
        <v>42041.0</v>
      </c>
      <c r="N1773" s="1" t="s">
        <v>356</v>
      </c>
      <c r="O1773" s="2">
        <v>42093.0</v>
      </c>
      <c r="P1773" s="1">
        <v>705685.0</v>
      </c>
      <c r="Q1773" s="1">
        <v>70310.0</v>
      </c>
      <c r="S1773" s="1">
        <v>116.0</v>
      </c>
      <c r="T1773" s="1" t="s">
        <v>17362</v>
      </c>
      <c r="U1773" s="1" t="s">
        <v>320</v>
      </c>
      <c r="V1773" s="1" t="s">
        <v>3364</v>
      </c>
      <c r="W1773" s="1">
        <v>60545.0</v>
      </c>
      <c r="Y1773" s="1" t="s">
        <v>17363</v>
      </c>
      <c r="Z1773" s="1" t="s">
        <v>296</v>
      </c>
      <c r="AA1773" s="1" t="s">
        <v>192</v>
      </c>
      <c r="AB1773" s="1" t="s">
        <v>193</v>
      </c>
      <c r="AD1773" s="1" t="s">
        <v>3366</v>
      </c>
      <c r="AE1773" s="1" t="s">
        <v>849</v>
      </c>
      <c r="AF1773" s="1" t="s">
        <v>3367</v>
      </c>
      <c r="AH1773" s="1" t="s">
        <v>17364</v>
      </c>
      <c r="AI1773" s="1">
        <v>0.2348</v>
      </c>
      <c r="AK1773" s="1">
        <v>7.0</v>
      </c>
      <c r="AL1773" s="1">
        <v>4.0</v>
      </c>
      <c r="AM1773" s="1">
        <v>2.0</v>
      </c>
      <c r="AN1773" s="1">
        <v>1.0</v>
      </c>
      <c r="AO1773" s="1" t="s">
        <v>198</v>
      </c>
      <c r="AQ1773" s="1" t="s">
        <v>198</v>
      </c>
      <c r="AR1773" s="1" t="s">
        <v>200</v>
      </c>
      <c r="AS1773" s="1" t="s">
        <v>199</v>
      </c>
      <c r="AT1773" s="1">
        <v>2.0</v>
      </c>
      <c r="AV1773" s="1" t="s">
        <v>200</v>
      </c>
      <c r="AW1773" s="1">
        <v>7173.38</v>
      </c>
      <c r="AX1773" s="1">
        <v>2012.0</v>
      </c>
      <c r="AZ1773" s="1" t="s">
        <v>200</v>
      </c>
      <c r="BA1773" s="1" t="str">
        <f>"0124462034"</f>
        <v>0124462034</v>
      </c>
      <c r="BC1773" s="1">
        <v>0.0</v>
      </c>
      <c r="BD1773" s="1">
        <v>130000.0</v>
      </c>
      <c r="BE1773" s="2">
        <v>41901.0</v>
      </c>
      <c r="BF1773" s="1" t="s">
        <v>17365</v>
      </c>
      <c r="BH1773" s="1">
        <v>0.0</v>
      </c>
      <c r="BK1773" s="1" t="s">
        <v>204</v>
      </c>
      <c r="BL1773" s="1" t="str">
        <f t="shared" ref="BL1773:BM1773" si="1172">""</f>
        <v/>
      </c>
      <c r="BM1773" s="1" t="str">
        <f t="shared" si="1172"/>
        <v/>
      </c>
      <c r="BQ1773" s="1">
        <v>88.0</v>
      </c>
      <c r="BR1773" s="1">
        <v>88.0</v>
      </c>
      <c r="BS1773" s="1">
        <v>88.0</v>
      </c>
      <c r="BU1773" s="1" t="s">
        <v>3817</v>
      </c>
      <c r="BV1773" s="1" t="s">
        <v>206</v>
      </c>
      <c r="BY1773" s="1" t="s">
        <v>1534</v>
      </c>
      <c r="BZ1773" s="1" t="s">
        <v>209</v>
      </c>
      <c r="CC1773" s="1" t="s">
        <v>212</v>
      </c>
      <c r="CD1773" s="1" t="s">
        <v>206</v>
      </c>
      <c r="CG1773" s="1" t="s">
        <v>647</v>
      </c>
      <c r="CH1773" s="1" t="s">
        <v>209</v>
      </c>
      <c r="CK1773" s="1" t="s">
        <v>264</v>
      </c>
      <c r="CL1773" s="1" t="s">
        <v>209</v>
      </c>
      <c r="CO1773" s="1" t="s">
        <v>264</v>
      </c>
      <c r="CP1773" s="1" t="s">
        <v>209</v>
      </c>
      <c r="CS1773" s="1" t="s">
        <v>1534</v>
      </c>
      <c r="CT1773" s="1" t="s">
        <v>206</v>
      </c>
      <c r="CX1773" s="1" t="s">
        <v>204</v>
      </c>
      <c r="DA1773" s="1" t="s">
        <v>200</v>
      </c>
      <c r="DC1773" s="1" t="s">
        <v>545</v>
      </c>
      <c r="DE1773" s="1" t="s">
        <v>273</v>
      </c>
      <c r="DF1773" s="1" t="s">
        <v>219</v>
      </c>
      <c r="DH1773" s="1" t="s">
        <v>220</v>
      </c>
      <c r="DJ1773" s="1" t="s">
        <v>222</v>
      </c>
      <c r="DL1773" s="1" t="s">
        <v>223</v>
      </c>
      <c r="DM1773" s="1" t="s">
        <v>229</v>
      </c>
      <c r="DQ1773" s="1" t="s">
        <v>228</v>
      </c>
      <c r="DR1773" s="1" t="s">
        <v>229</v>
      </c>
      <c r="DV1773" s="1" t="s">
        <v>232</v>
      </c>
      <c r="DW1773" s="1" t="s">
        <v>934</v>
      </c>
      <c r="DX1773" s="1" t="s">
        <v>234</v>
      </c>
      <c r="EC1773" s="1" t="s">
        <v>237</v>
      </c>
      <c r="EM1773" s="1" t="s">
        <v>238</v>
      </c>
      <c r="EQ1773" s="1" t="s">
        <v>238</v>
      </c>
      <c r="EU1773" s="1" t="s">
        <v>238</v>
      </c>
      <c r="EY1773" s="1" t="s">
        <v>238</v>
      </c>
      <c r="FC1773" s="1" t="s">
        <v>238</v>
      </c>
      <c r="FF1773" s="1" t="s">
        <v>239</v>
      </c>
      <c r="FG1773" s="1" t="s">
        <v>192</v>
      </c>
      <c r="FH1773" s="1" t="s">
        <v>192</v>
      </c>
      <c r="FJ1773" s="1" t="s">
        <v>524</v>
      </c>
      <c r="FK1773" s="1" t="s">
        <v>1586</v>
      </c>
      <c r="FL1773" s="1" t="s">
        <v>771</v>
      </c>
      <c r="FM1773" s="1">
        <v>16636.0</v>
      </c>
      <c r="FN1773" s="1" t="s">
        <v>526</v>
      </c>
      <c r="FO1773" s="1" t="s">
        <v>9812</v>
      </c>
      <c r="FP1773" s="1">
        <v>168274.0</v>
      </c>
      <c r="FQ1773" s="1" t="s">
        <v>9813</v>
      </c>
      <c r="FU1773" s="1" t="s">
        <v>17366</v>
      </c>
      <c r="FV1773" s="1" t="s">
        <v>200</v>
      </c>
      <c r="FW1773" s="1" t="s">
        <v>654</v>
      </c>
      <c r="FZ1773" s="1" t="s">
        <v>229</v>
      </c>
      <c r="GA1773" s="1" t="s">
        <v>291</v>
      </c>
      <c r="GB1773" s="2">
        <v>42093.0</v>
      </c>
      <c r="GC1773" s="1" t="s">
        <v>17367</v>
      </c>
    </row>
    <row r="1774">
      <c r="A1774" s="1">
        <v>235000.0</v>
      </c>
      <c r="B1774" s="1" t="s">
        <v>185</v>
      </c>
      <c r="C1774" s="1" t="str">
        <f>"08700212"</f>
        <v>08700212</v>
      </c>
      <c r="D1774" s="1" t="s">
        <v>186</v>
      </c>
      <c r="F1774" s="1" t="str">
        <f>"8014"</f>
        <v>8014</v>
      </c>
      <c r="G1774" s="2">
        <v>41864.0</v>
      </c>
      <c r="H1774" s="1">
        <v>249000.0</v>
      </c>
      <c r="I1774" s="1">
        <v>50.0</v>
      </c>
      <c r="J1774" s="1">
        <v>249000.0</v>
      </c>
      <c r="K1774" s="2">
        <v>41912.0</v>
      </c>
      <c r="L1774" s="1">
        <v>50.0</v>
      </c>
      <c r="M1774" s="2">
        <v>41912.0</v>
      </c>
      <c r="N1774" s="1" t="s">
        <v>187</v>
      </c>
      <c r="O1774" s="2">
        <v>41974.0</v>
      </c>
      <c r="P1774" s="1">
        <v>185400.0</v>
      </c>
      <c r="Q1774" s="1">
        <v>14695.0</v>
      </c>
      <c r="S1774" s="1">
        <v>4917.0</v>
      </c>
      <c r="T1774" s="1" t="s">
        <v>17368</v>
      </c>
      <c r="U1774" s="1" t="s">
        <v>189</v>
      </c>
      <c r="V1774" s="1" t="s">
        <v>190</v>
      </c>
      <c r="W1774" s="1">
        <v>60630.0</v>
      </c>
      <c r="Y1774" s="1" t="s">
        <v>17369</v>
      </c>
      <c r="Z1774" s="1">
        <v>1920.0</v>
      </c>
      <c r="AA1774" s="1" t="s">
        <v>192</v>
      </c>
      <c r="AB1774" s="1" t="s">
        <v>193</v>
      </c>
      <c r="AD1774" s="1" t="s">
        <v>194</v>
      </c>
      <c r="AE1774" s="1" t="s">
        <v>195</v>
      </c>
      <c r="AF1774" s="1" t="s">
        <v>196</v>
      </c>
      <c r="AH1774" s="1" t="s">
        <v>779</v>
      </c>
      <c r="AK1774" s="1">
        <v>8.0</v>
      </c>
      <c r="AL1774" s="1">
        <v>4.0</v>
      </c>
      <c r="AM1774" s="1">
        <v>2.0</v>
      </c>
      <c r="AN1774" s="1">
        <v>0.0</v>
      </c>
      <c r="AO1774" s="1" t="s">
        <v>229</v>
      </c>
      <c r="AQ1774" s="1" t="s">
        <v>198</v>
      </c>
      <c r="AR1774" s="1" t="s">
        <v>192</v>
      </c>
      <c r="AS1774" s="1" t="s">
        <v>199</v>
      </c>
      <c r="AT1774" s="1">
        <v>2.0</v>
      </c>
      <c r="AV1774" s="1" t="s">
        <v>200</v>
      </c>
      <c r="AW1774" s="1">
        <v>3389.0</v>
      </c>
      <c r="AX1774" s="1">
        <v>2013.0</v>
      </c>
      <c r="AY1774" s="1" t="s">
        <v>1179</v>
      </c>
      <c r="AZ1774" s="1" t="s">
        <v>200</v>
      </c>
      <c r="BA1774" s="1" t="str">
        <f>"13104130140000"</f>
        <v>13104130140000</v>
      </c>
      <c r="BC1774" s="1">
        <v>1400.0</v>
      </c>
      <c r="BD1774" s="1">
        <v>235000.0</v>
      </c>
      <c r="BE1774" s="2">
        <v>41863.0</v>
      </c>
      <c r="BF1774" s="2" t="s">
        <v>17370</v>
      </c>
      <c r="BH1774" s="1">
        <v>0.0</v>
      </c>
      <c r="BK1774" s="1" t="s">
        <v>204</v>
      </c>
      <c r="BL1774" s="1" t="str">
        <f>"4900"</f>
        <v>4900</v>
      </c>
      <c r="BM1774" s="1" t="str">
        <f t="shared" ref="BM1774:BM1776" si="1173">"0"</f>
        <v>0</v>
      </c>
      <c r="BN1774" s="1">
        <v>4400.0</v>
      </c>
      <c r="BO1774" s="1">
        <v>0.0</v>
      </c>
      <c r="BQ1774" s="1">
        <v>299.0</v>
      </c>
      <c r="BR1774" s="1">
        <v>299.0</v>
      </c>
      <c r="BS1774" s="1">
        <v>299.0</v>
      </c>
      <c r="BU1774" s="1" t="s">
        <v>925</v>
      </c>
      <c r="BV1774" s="1" t="s">
        <v>206</v>
      </c>
      <c r="BW1774" s="1" t="s">
        <v>207</v>
      </c>
      <c r="BY1774" s="1" t="s">
        <v>495</v>
      </c>
      <c r="BZ1774" s="1" t="s">
        <v>206</v>
      </c>
      <c r="CA1774" s="1" t="s">
        <v>207</v>
      </c>
      <c r="CC1774" s="1" t="s">
        <v>1417</v>
      </c>
      <c r="CD1774" s="1" t="s">
        <v>206</v>
      </c>
      <c r="CE1774" s="1" t="s">
        <v>207</v>
      </c>
      <c r="CG1774" s="1" t="s">
        <v>265</v>
      </c>
      <c r="CH1774" s="1" t="s">
        <v>206</v>
      </c>
      <c r="CI1774" s="1" t="s">
        <v>207</v>
      </c>
      <c r="CK1774" s="1" t="s">
        <v>215</v>
      </c>
      <c r="CL1774" s="1" t="s">
        <v>209</v>
      </c>
      <c r="CM1774" s="1" t="s">
        <v>207</v>
      </c>
      <c r="CO1774" s="1" t="s">
        <v>663</v>
      </c>
      <c r="CP1774" s="1" t="s">
        <v>209</v>
      </c>
      <c r="CQ1774" s="1" t="s">
        <v>207</v>
      </c>
      <c r="CS1774" s="1" t="s">
        <v>699</v>
      </c>
      <c r="CT1774" s="1" t="s">
        <v>206</v>
      </c>
      <c r="CU1774" s="1" t="s">
        <v>617</v>
      </c>
      <c r="CX1774" s="1" t="s">
        <v>204</v>
      </c>
      <c r="DA1774" s="1" t="s">
        <v>200</v>
      </c>
      <c r="DC1774" s="1" t="s">
        <v>216</v>
      </c>
      <c r="DE1774" s="1" t="s">
        <v>1300</v>
      </c>
      <c r="DF1774" s="1" t="s">
        <v>619</v>
      </c>
      <c r="DH1774" s="1" t="s">
        <v>307</v>
      </c>
      <c r="DJ1774" s="1" t="s">
        <v>222</v>
      </c>
      <c r="DK1774" s="1" t="s">
        <v>198</v>
      </c>
      <c r="DL1774" s="1" t="s">
        <v>224</v>
      </c>
      <c r="DM1774" s="1" t="s">
        <v>229</v>
      </c>
      <c r="DQ1774" s="1" t="s">
        <v>228</v>
      </c>
      <c r="DR1774" s="1" t="s">
        <v>229</v>
      </c>
      <c r="DV1774" s="1" t="s">
        <v>17371</v>
      </c>
      <c r="DW1774" s="1" t="s">
        <v>279</v>
      </c>
      <c r="DX1774" s="1" t="s">
        <v>234</v>
      </c>
      <c r="EA1774" s="1" t="s">
        <v>644</v>
      </c>
      <c r="EC1774" s="1" t="s">
        <v>237</v>
      </c>
      <c r="EG1774" s="1" t="s">
        <v>408</v>
      </c>
      <c r="EH1774" s="1" t="s">
        <v>2877</v>
      </c>
      <c r="EI1774" s="1" t="s">
        <v>374</v>
      </c>
      <c r="EJ1774" s="1" t="s">
        <v>1121</v>
      </c>
      <c r="EL1774" s="1" t="s">
        <v>4450</v>
      </c>
      <c r="EM1774" s="1" t="s">
        <v>206</v>
      </c>
      <c r="EN1774" s="1" t="s">
        <v>207</v>
      </c>
      <c r="EP1774" s="1" t="s">
        <v>17372</v>
      </c>
      <c r="EQ1774" s="1" t="s">
        <v>206</v>
      </c>
      <c r="ER1774" s="1" t="s">
        <v>617</v>
      </c>
      <c r="ET1774" s="1" t="s">
        <v>904</v>
      </c>
      <c r="EU1774" s="1" t="s">
        <v>206</v>
      </c>
      <c r="EV1774" s="1" t="s">
        <v>210</v>
      </c>
      <c r="EX1774" s="1" t="s">
        <v>663</v>
      </c>
      <c r="EY1774" s="1" t="s">
        <v>209</v>
      </c>
      <c r="EZ1774" s="1" t="s">
        <v>207</v>
      </c>
      <c r="FC1774" s="1" t="s">
        <v>238</v>
      </c>
      <c r="FF1774" s="1" t="s">
        <v>239</v>
      </c>
      <c r="FG1774" s="1" t="s">
        <v>192</v>
      </c>
      <c r="FH1774" s="1" t="s">
        <v>192</v>
      </c>
      <c r="FJ1774" s="1" t="s">
        <v>498</v>
      </c>
      <c r="FK1774" s="1" t="s">
        <v>229</v>
      </c>
      <c r="FL1774" s="1" t="s">
        <v>8224</v>
      </c>
      <c r="FM1774" s="1">
        <v>8405.0</v>
      </c>
      <c r="FN1774" s="1" t="s">
        <v>8225</v>
      </c>
      <c r="FO1774" s="1" t="s">
        <v>17373</v>
      </c>
      <c r="FP1774" s="1">
        <v>88258.0</v>
      </c>
      <c r="FQ1774" s="1" t="s">
        <v>17374</v>
      </c>
      <c r="FU1774" s="1" t="s">
        <v>17375</v>
      </c>
      <c r="FV1774" s="1" t="s">
        <v>200</v>
      </c>
      <c r="FW1774" s="1" t="s">
        <v>567</v>
      </c>
      <c r="FX1774" s="1" t="s">
        <v>238</v>
      </c>
      <c r="FZ1774" s="1" t="s">
        <v>229</v>
      </c>
      <c r="GA1774" s="1" t="s">
        <v>291</v>
      </c>
      <c r="GB1774" s="2">
        <v>41974.0</v>
      </c>
    </row>
    <row r="1775">
      <c r="A1775" s="1">
        <v>950000.0</v>
      </c>
      <c r="B1775" s="1" t="s">
        <v>185</v>
      </c>
      <c r="C1775" s="1" t="str">
        <f>"08699356"</f>
        <v>08699356</v>
      </c>
      <c r="D1775" s="1" t="s">
        <v>186</v>
      </c>
      <c r="F1775" s="1" t="str">
        <f>"8007"</f>
        <v>8007</v>
      </c>
      <c r="G1775" s="2">
        <v>41863.0</v>
      </c>
      <c r="H1775" s="1">
        <v>1180000.0</v>
      </c>
      <c r="I1775" s="1">
        <v>91.0</v>
      </c>
      <c r="J1775" s="1">
        <v>1060000.0</v>
      </c>
      <c r="K1775" s="2">
        <v>41953.0</v>
      </c>
      <c r="L1775" s="1">
        <v>91.0</v>
      </c>
      <c r="M1775" s="2">
        <v>41953.0</v>
      </c>
      <c r="N1775" s="1" t="s">
        <v>249</v>
      </c>
      <c r="O1775" s="2">
        <v>41991.0</v>
      </c>
      <c r="P1775" s="1">
        <v>188423.0</v>
      </c>
      <c r="Q1775" s="1">
        <v>84968.0</v>
      </c>
      <c r="R1775" s="1">
        <v>14500.0</v>
      </c>
      <c r="S1775" s="1">
        <v>1147.0</v>
      </c>
      <c r="T1775" s="1" t="s">
        <v>17376</v>
      </c>
      <c r="U1775" s="1" t="s">
        <v>189</v>
      </c>
      <c r="V1775" s="1" t="s">
        <v>190</v>
      </c>
      <c r="W1775" s="1">
        <v>60614.0</v>
      </c>
      <c r="Y1775" s="1" t="s">
        <v>17377</v>
      </c>
      <c r="Z1775" s="1">
        <v>1921.0</v>
      </c>
      <c r="AA1775" s="1" t="s">
        <v>192</v>
      </c>
      <c r="AB1775" s="1" t="s">
        <v>193</v>
      </c>
      <c r="AD1775" s="1" t="s">
        <v>194</v>
      </c>
      <c r="AE1775" s="1" t="s">
        <v>195</v>
      </c>
      <c r="AF1775" s="1" t="s">
        <v>2645</v>
      </c>
      <c r="AG1775" s="1" t="s">
        <v>752</v>
      </c>
      <c r="AH1775" s="1" t="s">
        <v>2726</v>
      </c>
      <c r="AI1775" s="1">
        <v>0.0689</v>
      </c>
      <c r="AK1775" s="1">
        <v>10.0</v>
      </c>
      <c r="AL1775" s="1">
        <v>4.0</v>
      </c>
      <c r="AM1775" s="1">
        <v>3.0</v>
      </c>
      <c r="AN1775" s="1">
        <v>2.0</v>
      </c>
      <c r="AO1775" s="1" t="s">
        <v>198</v>
      </c>
      <c r="AP1775" s="1">
        <v>5.0</v>
      </c>
      <c r="AQ1775" s="1" t="s">
        <v>198</v>
      </c>
      <c r="AR1775" s="1" t="s">
        <v>192</v>
      </c>
      <c r="AS1775" s="1" t="s">
        <v>199</v>
      </c>
      <c r="AT1775" s="1">
        <v>2.0</v>
      </c>
      <c r="AV1775" s="1" t="s">
        <v>200</v>
      </c>
      <c r="AW1775" s="1">
        <v>23923.27</v>
      </c>
      <c r="AX1775" s="1">
        <v>2013.0</v>
      </c>
      <c r="AY1775" s="1" t="s">
        <v>229</v>
      </c>
      <c r="AZ1775" s="1" t="s">
        <v>200</v>
      </c>
      <c r="BA1775" s="1" t="str">
        <f>"14322130050000"</f>
        <v>14322130050000</v>
      </c>
      <c r="BB1775" s="1" t="s">
        <v>200</v>
      </c>
      <c r="BC1775" s="1">
        <v>3784.0</v>
      </c>
      <c r="BD1775" s="1">
        <v>950000.0</v>
      </c>
      <c r="BE1775" s="2">
        <v>41863.0</v>
      </c>
      <c r="BF1775" s="2" t="s">
        <v>17378</v>
      </c>
      <c r="BH1775" s="1">
        <v>0.0</v>
      </c>
      <c r="BK1775" s="1" t="s">
        <v>204</v>
      </c>
      <c r="BL1775" s="1" t="str">
        <f>"2200"</f>
        <v>2200</v>
      </c>
      <c r="BM1775" s="1" t="str">
        <f t="shared" si="1173"/>
        <v>0</v>
      </c>
      <c r="BN1775" s="1">
        <v>1147.0</v>
      </c>
      <c r="BO1775" s="1">
        <v>0.0</v>
      </c>
      <c r="BQ1775" s="1">
        <v>299.0</v>
      </c>
      <c r="BR1775" s="1">
        <v>299.0</v>
      </c>
      <c r="BS1775" s="1">
        <v>299.0</v>
      </c>
      <c r="BU1775" s="1" t="s">
        <v>1534</v>
      </c>
      <c r="BV1775" s="1" t="s">
        <v>206</v>
      </c>
      <c r="BY1775" s="1" t="s">
        <v>9052</v>
      </c>
      <c r="BZ1775" s="1" t="s">
        <v>209</v>
      </c>
      <c r="CD1775" s="1" t="s">
        <v>204</v>
      </c>
      <c r="CG1775" s="1" t="s">
        <v>664</v>
      </c>
      <c r="CH1775" s="1" t="s">
        <v>209</v>
      </c>
      <c r="CK1775" s="1" t="s">
        <v>924</v>
      </c>
      <c r="CL1775" s="1" t="s">
        <v>206</v>
      </c>
      <c r="CO1775" s="1" t="s">
        <v>647</v>
      </c>
      <c r="CP1775" s="1" t="s">
        <v>206</v>
      </c>
      <c r="CS1775" s="1" t="s">
        <v>3154</v>
      </c>
      <c r="CT1775" s="1" t="s">
        <v>209</v>
      </c>
      <c r="CW1775" s="1" t="s">
        <v>4469</v>
      </c>
      <c r="CX1775" s="1" t="s">
        <v>206</v>
      </c>
      <c r="DA1775" s="1" t="s">
        <v>200</v>
      </c>
      <c r="DC1775" s="1" t="s">
        <v>216</v>
      </c>
      <c r="DD1775" s="1" t="s">
        <v>1838</v>
      </c>
      <c r="DE1775" s="1" t="s">
        <v>273</v>
      </c>
      <c r="DF1775" s="1" t="s">
        <v>619</v>
      </c>
      <c r="DG1775" s="1" t="s">
        <v>1160</v>
      </c>
      <c r="DH1775" s="1" t="s">
        <v>365</v>
      </c>
      <c r="DI1775" s="1" t="s">
        <v>17379</v>
      </c>
      <c r="DJ1775" s="1" t="s">
        <v>222</v>
      </c>
      <c r="DL1775" s="1" t="s">
        <v>858</v>
      </c>
      <c r="DM1775" s="1" t="s">
        <v>229</v>
      </c>
      <c r="DN1775" s="1" t="s">
        <v>12763</v>
      </c>
      <c r="DP1775" s="1" t="s">
        <v>340</v>
      </c>
      <c r="DQ1775" s="1" t="s">
        <v>228</v>
      </c>
      <c r="DR1775" s="1" t="s">
        <v>229</v>
      </c>
      <c r="DU1775" s="1" t="s">
        <v>17380</v>
      </c>
      <c r="DV1775" s="1" t="s">
        <v>17381</v>
      </c>
      <c r="DW1775" s="1" t="s">
        <v>279</v>
      </c>
      <c r="DX1775" s="1" t="s">
        <v>234</v>
      </c>
      <c r="DY1775" s="1" t="s">
        <v>17382</v>
      </c>
      <c r="EA1775" s="1" t="s">
        <v>1027</v>
      </c>
      <c r="EB1775" s="1" t="s">
        <v>767</v>
      </c>
      <c r="EC1775" s="1" t="s">
        <v>237</v>
      </c>
      <c r="EG1775" s="1" t="s">
        <v>449</v>
      </c>
      <c r="EH1775" s="1" t="s">
        <v>408</v>
      </c>
      <c r="EI1775" s="1" t="s">
        <v>557</v>
      </c>
      <c r="EJ1775" s="1" t="s">
        <v>341</v>
      </c>
      <c r="EL1775" s="1" t="s">
        <v>452</v>
      </c>
      <c r="EM1775" s="1" t="s">
        <v>209</v>
      </c>
      <c r="EN1775" s="1" t="s">
        <v>207</v>
      </c>
      <c r="EO1775" s="1" t="s">
        <v>431</v>
      </c>
      <c r="EP1775" s="1" t="s">
        <v>11491</v>
      </c>
      <c r="EQ1775" s="1" t="s">
        <v>206</v>
      </c>
      <c r="ER1775" s="1" t="s">
        <v>210</v>
      </c>
      <c r="ET1775" s="1" t="s">
        <v>1892</v>
      </c>
      <c r="EU1775" s="1" t="s">
        <v>267</v>
      </c>
      <c r="EX1775" s="1" t="s">
        <v>6890</v>
      </c>
      <c r="EY1775" s="1" t="s">
        <v>209</v>
      </c>
      <c r="FC1775" s="1" t="s">
        <v>238</v>
      </c>
      <c r="FF1775" s="1" t="s">
        <v>239</v>
      </c>
      <c r="FG1775" s="1" t="s">
        <v>192</v>
      </c>
      <c r="FH1775" s="1" t="s">
        <v>192</v>
      </c>
      <c r="FJ1775" s="1" t="s">
        <v>3334</v>
      </c>
      <c r="FK1775" s="1" t="s">
        <v>229</v>
      </c>
      <c r="FL1775" s="1" t="s">
        <v>3794</v>
      </c>
      <c r="FM1775" s="1">
        <v>3592.0</v>
      </c>
      <c r="FN1775" s="1" t="s">
        <v>3795</v>
      </c>
      <c r="FO1775" s="1" t="s">
        <v>3796</v>
      </c>
      <c r="FP1775" s="1">
        <v>35051.0</v>
      </c>
      <c r="FQ1775" s="1" t="s">
        <v>3797</v>
      </c>
      <c r="FU1775" s="1" t="s">
        <v>3798</v>
      </c>
      <c r="FV1775" s="1" t="s">
        <v>200</v>
      </c>
      <c r="FW1775" s="1" t="s">
        <v>290</v>
      </c>
      <c r="FX1775" s="1" t="s">
        <v>246</v>
      </c>
      <c r="FZ1775" s="1" t="s">
        <v>229</v>
      </c>
      <c r="GA1775" s="1" t="s">
        <v>291</v>
      </c>
      <c r="GB1775" s="2">
        <v>41991.0</v>
      </c>
      <c r="GC1775" s="1" t="s">
        <v>17383</v>
      </c>
    </row>
    <row r="1776">
      <c r="A1776" s="1">
        <v>600000.0</v>
      </c>
      <c r="B1776" s="1" t="s">
        <v>185</v>
      </c>
      <c r="C1776" s="1" t="str">
        <f>"08698769"</f>
        <v>08698769</v>
      </c>
      <c r="D1776" s="1" t="s">
        <v>186</v>
      </c>
      <c r="F1776" s="1" t="str">
        <f>"10"</f>
        <v>10</v>
      </c>
      <c r="G1776" s="2">
        <v>41862.0</v>
      </c>
      <c r="H1776" s="1">
        <v>650000.0</v>
      </c>
      <c r="I1776" s="1">
        <v>573.0</v>
      </c>
      <c r="J1776" s="1">
        <v>650000.0</v>
      </c>
      <c r="K1776" s="2">
        <v>41934.0</v>
      </c>
      <c r="L1776" s="1">
        <v>73.0</v>
      </c>
      <c r="M1776" s="2">
        <v>41934.0</v>
      </c>
      <c r="N1776" s="1" t="s">
        <v>249</v>
      </c>
      <c r="O1776" s="2">
        <v>41977.0</v>
      </c>
      <c r="P1776" s="1">
        <v>62251.0</v>
      </c>
      <c r="Q1776" s="1">
        <v>6025.0</v>
      </c>
      <c r="S1776" s="1">
        <v>11.0</v>
      </c>
      <c r="T1776" s="1" t="s">
        <v>16920</v>
      </c>
      <c r="U1776" s="1" t="s">
        <v>1174</v>
      </c>
      <c r="V1776" s="1" t="s">
        <v>11508</v>
      </c>
      <c r="W1776" s="1">
        <v>60010.0</v>
      </c>
      <c r="Y1776" s="1" t="s">
        <v>17384</v>
      </c>
      <c r="Z1776" s="1">
        <v>2000.0</v>
      </c>
      <c r="AA1776" s="1" t="s">
        <v>200</v>
      </c>
      <c r="AB1776" s="1" t="s">
        <v>193</v>
      </c>
      <c r="AC1776" s="1" t="s">
        <v>15168</v>
      </c>
      <c r="AD1776" s="1" t="s">
        <v>11511</v>
      </c>
      <c r="AE1776" s="1" t="s">
        <v>917</v>
      </c>
      <c r="AF1776" s="1" t="s">
        <v>918</v>
      </c>
      <c r="AG1776" s="1" t="s">
        <v>752</v>
      </c>
      <c r="AH1776" s="1" t="s">
        <v>17385</v>
      </c>
      <c r="AI1776" s="1">
        <v>0.28</v>
      </c>
      <c r="AK1776" s="1">
        <v>10.0</v>
      </c>
      <c r="AL1776" s="1">
        <v>4.0</v>
      </c>
      <c r="AM1776" s="1">
        <v>3.0</v>
      </c>
      <c r="AN1776" s="1">
        <v>1.0</v>
      </c>
      <c r="AO1776" s="1" t="s">
        <v>198</v>
      </c>
      <c r="AP1776" s="1">
        <v>2.0</v>
      </c>
      <c r="AQ1776" s="1" t="s">
        <v>472</v>
      </c>
      <c r="AR1776" s="1" t="s">
        <v>192</v>
      </c>
      <c r="AS1776" s="1" t="s">
        <v>199</v>
      </c>
      <c r="AT1776" s="1">
        <v>3.0</v>
      </c>
      <c r="AV1776" s="1" t="s">
        <v>200</v>
      </c>
      <c r="AW1776" s="1">
        <v>13830.0</v>
      </c>
      <c r="AX1776" s="1">
        <v>2012.0</v>
      </c>
      <c r="AY1776" s="1" t="s">
        <v>387</v>
      </c>
      <c r="AZ1776" s="1" t="s">
        <v>200</v>
      </c>
      <c r="BA1776" s="1" t="str">
        <f>"14073010570000"</f>
        <v>14073010570000</v>
      </c>
      <c r="BB1776" s="1" t="s">
        <v>200</v>
      </c>
      <c r="BC1776" s="1">
        <v>3285.0</v>
      </c>
      <c r="BD1776" s="1">
        <v>600000.0</v>
      </c>
      <c r="BE1776" s="2">
        <v>41862.0</v>
      </c>
      <c r="BF1776" s="2" t="s">
        <v>17386</v>
      </c>
      <c r="BG1776" s="1" t="s">
        <v>17063</v>
      </c>
      <c r="BH1776" s="1">
        <v>4850.0</v>
      </c>
      <c r="BI1776" s="1" t="s">
        <v>15441</v>
      </c>
      <c r="BJ1776" s="1" t="s">
        <v>923</v>
      </c>
      <c r="BK1776" s="1" t="s">
        <v>580</v>
      </c>
      <c r="BL1776" s="1" t="str">
        <f>"24"</f>
        <v>24</v>
      </c>
      <c r="BM1776" s="1" t="str">
        <f t="shared" si="1173"/>
        <v>0</v>
      </c>
      <c r="BN1776" s="1">
        <v>26.0</v>
      </c>
      <c r="BO1776" s="1">
        <v>0.0</v>
      </c>
      <c r="BQ1776" s="1">
        <v>95.0</v>
      </c>
      <c r="BR1776" s="1">
        <v>95.0</v>
      </c>
      <c r="BS1776" s="1">
        <v>95.0</v>
      </c>
      <c r="BU1776" s="1" t="s">
        <v>2181</v>
      </c>
      <c r="BV1776" s="1" t="s">
        <v>206</v>
      </c>
      <c r="BW1776" s="1" t="s">
        <v>207</v>
      </c>
      <c r="BY1776" s="1" t="s">
        <v>480</v>
      </c>
      <c r="BZ1776" s="1" t="s">
        <v>209</v>
      </c>
      <c r="CA1776" s="1" t="s">
        <v>207</v>
      </c>
      <c r="CC1776" s="1" t="s">
        <v>331</v>
      </c>
      <c r="CD1776" s="1" t="s">
        <v>206</v>
      </c>
      <c r="CE1776" s="1" t="s">
        <v>207</v>
      </c>
      <c r="CG1776" s="1" t="s">
        <v>332</v>
      </c>
      <c r="CH1776" s="1" t="s">
        <v>209</v>
      </c>
      <c r="CI1776" s="1" t="s">
        <v>210</v>
      </c>
      <c r="CK1776" s="1" t="s">
        <v>433</v>
      </c>
      <c r="CL1776" s="1" t="s">
        <v>209</v>
      </c>
      <c r="CM1776" s="1" t="s">
        <v>207</v>
      </c>
      <c r="CO1776" s="1" t="s">
        <v>362</v>
      </c>
      <c r="CP1776" s="1" t="s">
        <v>267</v>
      </c>
      <c r="CQ1776" s="1" t="s">
        <v>210</v>
      </c>
      <c r="CS1776" s="1" t="s">
        <v>479</v>
      </c>
      <c r="CT1776" s="1" t="s">
        <v>206</v>
      </c>
      <c r="CU1776" s="1" t="s">
        <v>207</v>
      </c>
      <c r="CX1776" s="1" t="s">
        <v>204</v>
      </c>
      <c r="DA1776" s="1" t="s">
        <v>200</v>
      </c>
      <c r="DC1776" s="1" t="s">
        <v>335</v>
      </c>
      <c r="DD1776" s="1" t="s">
        <v>436</v>
      </c>
      <c r="DE1776" s="1" t="s">
        <v>273</v>
      </c>
      <c r="DF1776" s="1" t="s">
        <v>6592</v>
      </c>
      <c r="DG1776" s="1" t="s">
        <v>17387</v>
      </c>
      <c r="DH1776" s="1" t="s">
        <v>1603</v>
      </c>
      <c r="DI1776" s="1" t="s">
        <v>17388</v>
      </c>
      <c r="DJ1776" s="1" t="s">
        <v>13210</v>
      </c>
      <c r="DK1776" s="1" t="s">
        <v>223</v>
      </c>
      <c r="DL1776" s="1" t="s">
        <v>224</v>
      </c>
      <c r="DM1776" s="1" t="s">
        <v>338</v>
      </c>
      <c r="DN1776" s="1" t="s">
        <v>399</v>
      </c>
      <c r="DO1776" s="1" t="s">
        <v>930</v>
      </c>
      <c r="DP1776" s="1" t="s">
        <v>340</v>
      </c>
      <c r="DQ1776" s="1" t="s">
        <v>441</v>
      </c>
      <c r="DR1776" s="1" t="s">
        <v>16929</v>
      </c>
      <c r="DS1776" s="1" t="s">
        <v>591</v>
      </c>
      <c r="DU1776" s="1" t="s">
        <v>17389</v>
      </c>
      <c r="DV1776" s="1" t="s">
        <v>17390</v>
      </c>
      <c r="DW1776" s="1" t="s">
        <v>1820</v>
      </c>
      <c r="DX1776" s="1" t="s">
        <v>234</v>
      </c>
      <c r="DY1776" s="1" t="s">
        <v>7081</v>
      </c>
      <c r="DZ1776" s="1" t="s">
        <v>1854</v>
      </c>
      <c r="EB1776" s="1" t="s">
        <v>2915</v>
      </c>
      <c r="EC1776" s="1" t="s">
        <v>237</v>
      </c>
      <c r="EG1776" s="1" t="s">
        <v>1961</v>
      </c>
      <c r="EH1776" s="1" t="s">
        <v>450</v>
      </c>
      <c r="EI1776" s="1" t="s">
        <v>2129</v>
      </c>
      <c r="EJ1776" s="1" t="s">
        <v>451</v>
      </c>
      <c r="EL1776" s="1" t="s">
        <v>208</v>
      </c>
      <c r="EM1776" s="1" t="s">
        <v>206</v>
      </c>
      <c r="EN1776" s="1" t="s">
        <v>207</v>
      </c>
      <c r="EP1776" s="1" t="s">
        <v>2181</v>
      </c>
      <c r="EQ1776" s="1" t="s">
        <v>267</v>
      </c>
      <c r="ER1776" s="1" t="s">
        <v>210</v>
      </c>
      <c r="ET1776" s="1" t="s">
        <v>729</v>
      </c>
      <c r="EU1776" s="1" t="s">
        <v>206</v>
      </c>
      <c r="EV1776" s="1" t="s">
        <v>588</v>
      </c>
      <c r="EW1776" s="1" t="s">
        <v>229</v>
      </c>
      <c r="EX1776" s="1" t="s">
        <v>213</v>
      </c>
      <c r="EY1776" s="1" t="s">
        <v>267</v>
      </c>
      <c r="EZ1776" s="1" t="s">
        <v>210</v>
      </c>
      <c r="FC1776" s="1" t="s">
        <v>238</v>
      </c>
      <c r="FF1776" s="1" t="s">
        <v>239</v>
      </c>
      <c r="FG1776" s="1" t="s">
        <v>192</v>
      </c>
      <c r="FH1776" s="1" t="s">
        <v>192</v>
      </c>
      <c r="FJ1776" s="1" t="s">
        <v>799</v>
      </c>
      <c r="FK1776" s="1" t="s">
        <v>229</v>
      </c>
      <c r="FL1776" s="1" t="s">
        <v>562</v>
      </c>
      <c r="FM1776" s="1">
        <v>4777.0</v>
      </c>
      <c r="FN1776" s="1" t="s">
        <v>6112</v>
      </c>
      <c r="FO1776" s="1" t="s">
        <v>17391</v>
      </c>
      <c r="FP1776" s="1">
        <v>62011.0</v>
      </c>
      <c r="FQ1776" s="1" t="s">
        <v>17392</v>
      </c>
      <c r="FU1776" s="1" t="s">
        <v>6115</v>
      </c>
      <c r="FV1776" s="1" t="s">
        <v>200</v>
      </c>
      <c r="FW1776" s="1" t="s">
        <v>290</v>
      </c>
      <c r="FZ1776" s="1" t="s">
        <v>229</v>
      </c>
      <c r="GA1776" s="1" t="s">
        <v>291</v>
      </c>
      <c r="GB1776" s="2">
        <v>41977.0</v>
      </c>
      <c r="GC1776" s="1" t="s">
        <v>17393</v>
      </c>
    </row>
    <row r="1777">
      <c r="A1777" s="1">
        <v>130000.0</v>
      </c>
      <c r="B1777" s="1" t="s">
        <v>185</v>
      </c>
      <c r="C1777" s="1" t="str">
        <f>"08701024"</f>
        <v>08701024</v>
      </c>
      <c r="D1777" s="1" t="s">
        <v>186</v>
      </c>
      <c r="F1777" s="1" t="str">
        <f>"123"</f>
        <v>123</v>
      </c>
      <c r="G1777" s="2">
        <v>41864.0</v>
      </c>
      <c r="H1777" s="1">
        <v>149900.0</v>
      </c>
      <c r="I1777" s="1">
        <v>84.0</v>
      </c>
      <c r="J1777" s="1">
        <v>139900.0</v>
      </c>
      <c r="K1777" s="2">
        <v>41947.0</v>
      </c>
      <c r="L1777" s="1">
        <v>84.0</v>
      </c>
      <c r="M1777" s="2">
        <v>41947.0</v>
      </c>
      <c r="N1777" s="1" t="s">
        <v>187</v>
      </c>
      <c r="O1777" s="2">
        <v>41982.0</v>
      </c>
      <c r="P1777" s="1">
        <v>241328.0</v>
      </c>
      <c r="Q1777" s="1">
        <v>25015.0</v>
      </c>
      <c r="S1777" s="1">
        <v>432.0</v>
      </c>
      <c r="T1777" s="1" t="s">
        <v>15212</v>
      </c>
      <c r="U1777" s="1" t="s">
        <v>320</v>
      </c>
      <c r="V1777" s="1" t="s">
        <v>465</v>
      </c>
      <c r="W1777" s="1">
        <v>60123.0</v>
      </c>
      <c r="Y1777" s="1" t="s">
        <v>15213</v>
      </c>
      <c r="Z1777" s="1" t="s">
        <v>296</v>
      </c>
      <c r="AA1777" s="1" t="s">
        <v>192</v>
      </c>
      <c r="AB1777" s="1" t="s">
        <v>193</v>
      </c>
      <c r="AD1777" s="1" t="s">
        <v>469</v>
      </c>
      <c r="AE1777" s="1" t="s">
        <v>325</v>
      </c>
      <c r="AF1777" s="1" t="s">
        <v>469</v>
      </c>
      <c r="AH1777" s="1" t="s">
        <v>15214</v>
      </c>
      <c r="AK1777" s="1">
        <v>7.0</v>
      </c>
      <c r="AL1777" s="1">
        <v>4.0</v>
      </c>
      <c r="AM1777" s="1">
        <v>2.0</v>
      </c>
      <c r="AN1777" s="1">
        <v>0.0</v>
      </c>
      <c r="AO1777" s="1" t="s">
        <v>198</v>
      </c>
      <c r="AQ1777" s="1" t="s">
        <v>198</v>
      </c>
      <c r="AR1777" s="1" t="s">
        <v>200</v>
      </c>
      <c r="AS1777" s="1" t="s">
        <v>199</v>
      </c>
      <c r="AT1777" s="1">
        <v>2.0</v>
      </c>
      <c r="AV1777" s="1" t="s">
        <v>200</v>
      </c>
      <c r="AW1777" s="6">
        <v>3849.0</v>
      </c>
      <c r="AX1777" s="1">
        <v>2013.0</v>
      </c>
      <c r="AZ1777" s="1" t="s">
        <v>200</v>
      </c>
      <c r="BA1777" s="1" t="str">
        <f>"0624156013"</f>
        <v>0624156013</v>
      </c>
      <c r="BC1777" s="1">
        <v>0.0</v>
      </c>
      <c r="BD1777" s="1">
        <v>130000.0</v>
      </c>
      <c r="BE1777" s="2">
        <v>41864.0</v>
      </c>
      <c r="BF1777" s="1" t="s">
        <v>17394</v>
      </c>
      <c r="BH1777" s="1">
        <v>0.0</v>
      </c>
      <c r="BK1777" s="1" t="s">
        <v>204</v>
      </c>
      <c r="BL1777" s="1" t="str">
        <f t="shared" ref="BL1777:BM1777" si="1174">""</f>
        <v/>
      </c>
      <c r="BM1777" s="1" t="str">
        <f t="shared" si="1174"/>
        <v/>
      </c>
      <c r="BQ1777" s="1">
        <v>46.0</v>
      </c>
      <c r="BR1777" s="1">
        <v>46.0</v>
      </c>
      <c r="BS1777" s="1">
        <v>46.0</v>
      </c>
      <c r="BU1777" s="1" t="s">
        <v>452</v>
      </c>
      <c r="BV1777" s="1" t="s">
        <v>206</v>
      </c>
      <c r="BY1777" s="1" t="s">
        <v>15216</v>
      </c>
      <c r="BZ1777" s="1" t="s">
        <v>209</v>
      </c>
      <c r="CC1777" s="1" t="s">
        <v>392</v>
      </c>
      <c r="CD1777" s="1" t="s">
        <v>206</v>
      </c>
      <c r="CG1777" s="1" t="s">
        <v>392</v>
      </c>
      <c r="CH1777" s="1" t="s">
        <v>206</v>
      </c>
      <c r="CK1777" s="1" t="s">
        <v>265</v>
      </c>
      <c r="CL1777" s="1" t="s">
        <v>206</v>
      </c>
      <c r="CO1777" s="1" t="s">
        <v>495</v>
      </c>
      <c r="CP1777" s="1" t="s">
        <v>206</v>
      </c>
      <c r="CS1777" s="1" t="s">
        <v>264</v>
      </c>
      <c r="CT1777" s="1" t="s">
        <v>206</v>
      </c>
      <c r="CX1777" s="1" t="s">
        <v>204</v>
      </c>
      <c r="DA1777" s="1" t="s">
        <v>200</v>
      </c>
      <c r="DC1777" s="1" t="s">
        <v>517</v>
      </c>
      <c r="DE1777" s="1" t="s">
        <v>273</v>
      </c>
      <c r="DF1777" s="1" t="s">
        <v>219</v>
      </c>
      <c r="DH1777" s="1" t="s">
        <v>220</v>
      </c>
      <c r="DJ1777" s="1" t="s">
        <v>222</v>
      </c>
      <c r="DL1777" s="1" t="s">
        <v>223</v>
      </c>
      <c r="DM1777" s="1" t="s">
        <v>229</v>
      </c>
      <c r="DQ1777" s="1" t="s">
        <v>228</v>
      </c>
      <c r="DR1777" s="1" t="s">
        <v>229</v>
      </c>
      <c r="DV1777" s="1" t="s">
        <v>232</v>
      </c>
      <c r="DW1777" s="1" t="s">
        <v>233</v>
      </c>
      <c r="DX1777" s="1" t="s">
        <v>234</v>
      </c>
      <c r="EC1777" s="1" t="s">
        <v>237</v>
      </c>
      <c r="EM1777" s="1" t="s">
        <v>238</v>
      </c>
      <c r="EQ1777" s="1" t="s">
        <v>238</v>
      </c>
      <c r="EU1777" s="1" t="s">
        <v>238</v>
      </c>
      <c r="EY1777" s="1" t="s">
        <v>238</v>
      </c>
      <c r="FC1777" s="1" t="s">
        <v>238</v>
      </c>
      <c r="FF1777" s="1" t="s">
        <v>239</v>
      </c>
      <c r="FG1777" s="1" t="s">
        <v>192</v>
      </c>
      <c r="FH1777" s="1" t="s">
        <v>192</v>
      </c>
      <c r="FJ1777" s="1" t="s">
        <v>2853</v>
      </c>
      <c r="FK1777" s="1" t="s">
        <v>229</v>
      </c>
      <c r="FL1777" s="1" t="s">
        <v>7033</v>
      </c>
      <c r="FM1777" s="1">
        <v>226.0</v>
      </c>
      <c r="FN1777" s="1" t="s">
        <v>7034</v>
      </c>
      <c r="FO1777" s="1" t="s">
        <v>17395</v>
      </c>
      <c r="FP1777" s="1">
        <v>8636.0</v>
      </c>
      <c r="FQ1777" s="1" t="s">
        <v>17396</v>
      </c>
      <c r="FU1777" s="1" t="s">
        <v>17397</v>
      </c>
      <c r="FV1777" s="1" t="s">
        <v>192</v>
      </c>
      <c r="FW1777" s="1" t="s">
        <v>290</v>
      </c>
      <c r="FZ1777" s="1" t="s">
        <v>229</v>
      </c>
      <c r="GA1777" s="1" t="s">
        <v>291</v>
      </c>
      <c r="GB1777" s="2">
        <v>42001.0</v>
      </c>
      <c r="GC1777" s="1" t="s">
        <v>17398</v>
      </c>
    </row>
    <row r="1778">
      <c r="A1778" s="1">
        <v>585000.0</v>
      </c>
      <c r="B1778" s="1" t="s">
        <v>185</v>
      </c>
      <c r="C1778" s="1" t="str">
        <f>"08710498"</f>
        <v>08710498</v>
      </c>
      <c r="D1778" s="1" t="s">
        <v>186</v>
      </c>
      <c r="F1778" s="1" t="str">
        <f>"10"</f>
        <v>10</v>
      </c>
      <c r="G1778" s="2">
        <v>41876.0</v>
      </c>
      <c r="H1778" s="1">
        <v>650000.0</v>
      </c>
      <c r="I1778" s="1">
        <v>214.0</v>
      </c>
      <c r="J1778" s="1">
        <v>609000.0</v>
      </c>
      <c r="K1778" s="2">
        <v>42068.0</v>
      </c>
      <c r="L1778" s="1">
        <v>193.0</v>
      </c>
      <c r="M1778" s="2">
        <v>42068.0</v>
      </c>
      <c r="N1778" s="1" t="s">
        <v>187</v>
      </c>
      <c r="O1778" s="2">
        <v>42132.0</v>
      </c>
      <c r="P1778" s="1">
        <v>866234.0</v>
      </c>
      <c r="Q1778" s="1">
        <v>85464.0</v>
      </c>
      <c r="S1778" s="1">
        <v>23900.0</v>
      </c>
      <c r="T1778" s="1" t="s">
        <v>17399</v>
      </c>
      <c r="U1778" s="1" t="s">
        <v>420</v>
      </c>
      <c r="V1778" s="1" t="s">
        <v>2004</v>
      </c>
      <c r="W1778" s="1">
        <v>60010.0</v>
      </c>
      <c r="Y1778" s="1" t="s">
        <v>17400</v>
      </c>
      <c r="Z1778" s="1">
        <v>2001.0</v>
      </c>
      <c r="AA1778" s="1" t="s">
        <v>200</v>
      </c>
      <c r="AB1778" s="1" t="s">
        <v>193</v>
      </c>
      <c r="AC1778" s="1" t="s">
        <v>17401</v>
      </c>
      <c r="AD1778" s="1" t="s">
        <v>2007</v>
      </c>
      <c r="AE1778" s="1" t="s">
        <v>917</v>
      </c>
      <c r="AF1778" s="1" t="s">
        <v>2008</v>
      </c>
      <c r="AH1778" s="1" t="s">
        <v>17402</v>
      </c>
      <c r="AI1778" s="1">
        <v>1.01</v>
      </c>
      <c r="AK1778" s="1">
        <v>11.0</v>
      </c>
      <c r="AL1778" s="1">
        <v>4.0</v>
      </c>
      <c r="AM1778" s="1">
        <v>3.0</v>
      </c>
      <c r="AN1778" s="1">
        <v>1.0</v>
      </c>
      <c r="AO1778" s="1" t="s">
        <v>198</v>
      </c>
      <c r="AP1778" s="1">
        <v>1.0</v>
      </c>
      <c r="AQ1778" s="1" t="s">
        <v>472</v>
      </c>
      <c r="AR1778" s="1" t="s">
        <v>200</v>
      </c>
      <c r="AS1778" s="1" t="s">
        <v>199</v>
      </c>
      <c r="AT1778" s="1">
        <v>3.0</v>
      </c>
      <c r="AV1778" s="1" t="s">
        <v>200</v>
      </c>
      <c r="AW1778" s="1">
        <v>13516.0</v>
      </c>
      <c r="AX1778" s="1">
        <v>2013.0</v>
      </c>
      <c r="AY1778" s="1" t="s">
        <v>387</v>
      </c>
      <c r="AZ1778" s="1" t="s">
        <v>200</v>
      </c>
      <c r="BA1778" s="1" t="str">
        <f>"13151050010000"</f>
        <v>13151050010000</v>
      </c>
      <c r="BC1778" s="1">
        <v>4281.0</v>
      </c>
      <c r="BD1778" s="1">
        <v>585000.0</v>
      </c>
      <c r="BE1778" s="2">
        <v>41876.0</v>
      </c>
      <c r="BF1778" s="2" t="s">
        <v>17403</v>
      </c>
      <c r="BG1778" s="1" t="s">
        <v>10354</v>
      </c>
      <c r="BH1778" s="1">
        <v>1150.0</v>
      </c>
      <c r="BI1778" s="1" t="s">
        <v>11276</v>
      </c>
      <c r="BJ1778" s="1" t="s">
        <v>1714</v>
      </c>
      <c r="BK1778" s="1" t="s">
        <v>580</v>
      </c>
      <c r="BL1778" s="1" t="str">
        <f>"23"</f>
        <v>23</v>
      </c>
      <c r="BM1778" s="1" t="str">
        <f t="shared" ref="BM1778:BM1780" si="1175">"0"</f>
        <v>0</v>
      </c>
      <c r="BN1778" s="1">
        <v>27.0</v>
      </c>
      <c r="BO1778" s="1">
        <v>0.0</v>
      </c>
      <c r="BQ1778" s="1">
        <v>220.0</v>
      </c>
      <c r="BR1778" s="1">
        <v>220.0</v>
      </c>
      <c r="BS1778" s="1">
        <v>220.0</v>
      </c>
      <c r="BU1778" s="1" t="s">
        <v>208</v>
      </c>
      <c r="BV1778" s="1" t="s">
        <v>206</v>
      </c>
      <c r="BW1778" s="1" t="s">
        <v>210</v>
      </c>
      <c r="BX1778" s="1" t="s">
        <v>1118</v>
      </c>
      <c r="BY1778" s="1" t="s">
        <v>639</v>
      </c>
      <c r="BZ1778" s="1" t="s">
        <v>209</v>
      </c>
      <c r="CA1778" s="1" t="s">
        <v>210</v>
      </c>
      <c r="CB1778" s="1" t="s">
        <v>1550</v>
      </c>
      <c r="CC1778" s="1" t="s">
        <v>260</v>
      </c>
      <c r="CD1778" s="1" t="s">
        <v>206</v>
      </c>
      <c r="CE1778" s="1" t="s">
        <v>207</v>
      </c>
      <c r="CG1778" s="1" t="s">
        <v>758</v>
      </c>
      <c r="CH1778" s="1" t="s">
        <v>209</v>
      </c>
      <c r="CI1778" s="1" t="s">
        <v>210</v>
      </c>
      <c r="CJ1778" s="1" t="s">
        <v>1550</v>
      </c>
      <c r="CK1778" s="1" t="s">
        <v>454</v>
      </c>
      <c r="CL1778" s="1" t="s">
        <v>209</v>
      </c>
      <c r="CM1778" s="1" t="s">
        <v>210</v>
      </c>
      <c r="CN1778" s="1" t="s">
        <v>1550</v>
      </c>
      <c r="CO1778" s="1" t="s">
        <v>454</v>
      </c>
      <c r="CP1778" s="1" t="s">
        <v>209</v>
      </c>
      <c r="CQ1778" s="1" t="s">
        <v>210</v>
      </c>
      <c r="CR1778" s="1" t="s">
        <v>1550</v>
      </c>
      <c r="CS1778" s="1" t="s">
        <v>924</v>
      </c>
      <c r="CT1778" s="1" t="s">
        <v>206</v>
      </c>
      <c r="CU1778" s="1" t="s">
        <v>207</v>
      </c>
      <c r="CV1778" s="1" t="s">
        <v>1118</v>
      </c>
      <c r="CW1778" s="1" t="s">
        <v>5223</v>
      </c>
      <c r="CX1778" s="1" t="s">
        <v>206</v>
      </c>
      <c r="CY1778" s="1" t="s">
        <v>210</v>
      </c>
      <c r="DA1778" s="1" t="s">
        <v>200</v>
      </c>
      <c r="DC1778" s="1" t="s">
        <v>335</v>
      </c>
      <c r="DD1778" s="1" t="s">
        <v>586</v>
      </c>
      <c r="DE1778" s="1" t="s">
        <v>273</v>
      </c>
      <c r="DF1778" s="1" t="s">
        <v>219</v>
      </c>
      <c r="DH1778" s="1" t="s">
        <v>856</v>
      </c>
      <c r="DI1778" s="1" t="s">
        <v>2420</v>
      </c>
      <c r="DJ1778" s="1" t="s">
        <v>857</v>
      </c>
      <c r="DK1778" s="1" t="s">
        <v>223</v>
      </c>
      <c r="DL1778" s="1" t="s">
        <v>223</v>
      </c>
      <c r="DM1778" s="1" t="s">
        <v>338</v>
      </c>
      <c r="DN1778" s="1" t="s">
        <v>399</v>
      </c>
      <c r="DO1778" s="1" t="s">
        <v>859</v>
      </c>
      <c r="DP1778" s="1" t="s">
        <v>340</v>
      </c>
      <c r="DQ1778" s="1" t="s">
        <v>931</v>
      </c>
      <c r="DR1778" s="1" t="s">
        <v>1487</v>
      </c>
      <c r="DS1778" s="1" t="s">
        <v>368</v>
      </c>
      <c r="DU1778" s="1" t="s">
        <v>17404</v>
      </c>
      <c r="DV1778" s="1" t="s">
        <v>17405</v>
      </c>
      <c r="DW1778" s="1" t="s">
        <v>1026</v>
      </c>
      <c r="DX1778" s="1" t="s">
        <v>234</v>
      </c>
      <c r="DY1778" s="1" t="s">
        <v>490</v>
      </c>
      <c r="DZ1778" s="1" t="s">
        <v>310</v>
      </c>
      <c r="EA1778" s="1" t="s">
        <v>447</v>
      </c>
      <c r="EB1778" s="1" t="s">
        <v>937</v>
      </c>
      <c r="EC1778" s="1" t="s">
        <v>237</v>
      </c>
      <c r="ED1778" s="1" t="s">
        <v>555</v>
      </c>
      <c r="EG1778" s="1" t="s">
        <v>556</v>
      </c>
      <c r="EH1778" s="1" t="s">
        <v>494</v>
      </c>
      <c r="EI1778" s="1" t="s">
        <v>1121</v>
      </c>
      <c r="EJ1778" s="1" t="s">
        <v>408</v>
      </c>
      <c r="EL1778" s="1" t="s">
        <v>329</v>
      </c>
      <c r="EM1778" s="1" t="s">
        <v>206</v>
      </c>
      <c r="EN1778" s="1" t="s">
        <v>207</v>
      </c>
      <c r="EP1778" s="1" t="s">
        <v>332</v>
      </c>
      <c r="EQ1778" s="1" t="s">
        <v>206</v>
      </c>
      <c r="ER1778" s="1" t="s">
        <v>210</v>
      </c>
      <c r="ET1778" s="1" t="s">
        <v>699</v>
      </c>
      <c r="EU1778" s="1" t="s">
        <v>209</v>
      </c>
      <c r="EV1778" s="1" t="s">
        <v>210</v>
      </c>
      <c r="EX1778" s="1" t="s">
        <v>329</v>
      </c>
      <c r="EY1778" s="1" t="s">
        <v>206</v>
      </c>
      <c r="EZ1778" s="1" t="s">
        <v>207</v>
      </c>
      <c r="FA1778" s="1" t="s">
        <v>1549</v>
      </c>
      <c r="FC1778" s="1" t="s">
        <v>238</v>
      </c>
      <c r="FF1778" s="1" t="s">
        <v>239</v>
      </c>
      <c r="FG1778" s="1" t="s">
        <v>192</v>
      </c>
      <c r="FH1778" s="1" t="s">
        <v>192</v>
      </c>
      <c r="FJ1778" s="1" t="s">
        <v>799</v>
      </c>
      <c r="FK1778" s="1" t="s">
        <v>229</v>
      </c>
      <c r="FL1778" s="1" t="s">
        <v>562</v>
      </c>
      <c r="FM1778" s="1">
        <v>4777.0</v>
      </c>
      <c r="FN1778" s="1" t="s">
        <v>6112</v>
      </c>
      <c r="FO1778" s="1" t="s">
        <v>17406</v>
      </c>
      <c r="FP1778" s="1">
        <v>62531.0</v>
      </c>
      <c r="FQ1778" s="1" t="s">
        <v>17407</v>
      </c>
      <c r="FU1778" s="1" t="s">
        <v>17408</v>
      </c>
      <c r="FV1778" s="1" t="s">
        <v>200</v>
      </c>
      <c r="FW1778" s="1" t="s">
        <v>290</v>
      </c>
      <c r="FX1778" s="1" t="s">
        <v>238</v>
      </c>
      <c r="FZ1778" s="1" t="s">
        <v>229</v>
      </c>
      <c r="GA1778" s="1" t="s">
        <v>291</v>
      </c>
      <c r="GB1778" s="2">
        <v>42132.0</v>
      </c>
    </row>
    <row r="1779">
      <c r="A1779" s="1">
        <v>362500.0</v>
      </c>
      <c r="B1779" s="1" t="s">
        <v>185</v>
      </c>
      <c r="C1779" s="1" t="str">
        <f>"08702154"</f>
        <v>08702154</v>
      </c>
      <c r="D1779" s="1" t="s">
        <v>186</v>
      </c>
      <c r="F1779" s="1" t="str">
        <f>"8016"</f>
        <v>8016</v>
      </c>
      <c r="G1779" s="2">
        <v>41865.0</v>
      </c>
      <c r="H1779" s="1">
        <v>379000.0</v>
      </c>
      <c r="I1779" s="1">
        <v>84.0</v>
      </c>
      <c r="J1779" s="1">
        <v>379000.0</v>
      </c>
      <c r="K1779" s="2">
        <v>41948.0</v>
      </c>
      <c r="L1779" s="1">
        <v>84.0</v>
      </c>
      <c r="M1779" s="2">
        <v>41948.0</v>
      </c>
      <c r="N1779" s="1" t="s">
        <v>187</v>
      </c>
      <c r="O1779" s="2">
        <v>41996.0</v>
      </c>
      <c r="P1779" s="1">
        <v>108944.0</v>
      </c>
      <c r="Q1779" s="1">
        <v>10900.0</v>
      </c>
      <c r="S1779" s="1">
        <v>4322.0</v>
      </c>
      <c r="T1779" s="1" t="s">
        <v>2106</v>
      </c>
      <c r="U1779" s="1" t="s">
        <v>189</v>
      </c>
      <c r="V1779" s="1" t="s">
        <v>190</v>
      </c>
      <c r="W1779" s="1">
        <v>60618.0</v>
      </c>
      <c r="Y1779" s="1" t="s">
        <v>17409</v>
      </c>
      <c r="Z1779" s="1" t="s">
        <v>296</v>
      </c>
      <c r="AA1779" s="1" t="s">
        <v>192</v>
      </c>
      <c r="AB1779" s="1" t="s">
        <v>193</v>
      </c>
      <c r="AD1779" s="1" t="s">
        <v>194</v>
      </c>
      <c r="AE1779" s="1" t="s">
        <v>195</v>
      </c>
      <c r="AF1779" s="1" t="s">
        <v>196</v>
      </c>
      <c r="AH1779" s="1" t="s">
        <v>779</v>
      </c>
      <c r="AK1779" s="1">
        <v>7.0</v>
      </c>
      <c r="AL1779" s="1">
        <v>4.0</v>
      </c>
      <c r="AM1779" s="1">
        <v>2.0</v>
      </c>
      <c r="AN1779" s="1">
        <v>0.0</v>
      </c>
      <c r="AO1779" s="1" t="s">
        <v>229</v>
      </c>
      <c r="AQ1779" s="1" t="s">
        <v>198</v>
      </c>
      <c r="AR1779" s="1" t="s">
        <v>192</v>
      </c>
      <c r="AS1779" s="1" t="s">
        <v>199</v>
      </c>
      <c r="AT1779" s="1">
        <v>1.0</v>
      </c>
      <c r="AV1779" s="1" t="s">
        <v>200</v>
      </c>
      <c r="AW1779" s="1">
        <v>4196.69</v>
      </c>
      <c r="AX1779" s="1">
        <v>2013.0</v>
      </c>
      <c r="AY1779" s="1" t="s">
        <v>229</v>
      </c>
      <c r="AZ1779" s="1" t="s">
        <v>200</v>
      </c>
      <c r="BA1779" s="1" t="str">
        <f>"13144060300000"</f>
        <v>13144060300000</v>
      </c>
      <c r="BC1779" s="1">
        <v>0.0</v>
      </c>
      <c r="BD1779" s="1">
        <v>362500.0</v>
      </c>
      <c r="BE1779" s="2">
        <v>41865.0</v>
      </c>
      <c r="BF1779" s="2" t="s">
        <v>17410</v>
      </c>
      <c r="BH1779" s="1">
        <v>0.0</v>
      </c>
      <c r="BK1779" s="1" t="s">
        <v>204</v>
      </c>
      <c r="BL1779" s="1" t="str">
        <f>"4322"</f>
        <v>4322</v>
      </c>
      <c r="BM1779" s="1" t="str">
        <f t="shared" si="1175"/>
        <v>0</v>
      </c>
      <c r="BN1779" s="1">
        <v>3250.0</v>
      </c>
      <c r="BO1779" s="1">
        <v>0.0</v>
      </c>
      <c r="BQ1779" s="1">
        <v>299.0</v>
      </c>
      <c r="BR1779" s="1">
        <v>299.0</v>
      </c>
      <c r="BS1779" s="1">
        <v>299.0</v>
      </c>
      <c r="BU1779" s="1" t="s">
        <v>2459</v>
      </c>
      <c r="BV1779" s="1" t="s">
        <v>206</v>
      </c>
      <c r="BW1779" s="1" t="s">
        <v>207</v>
      </c>
      <c r="BY1779" s="1" t="s">
        <v>1584</v>
      </c>
      <c r="BZ1779" s="1" t="s">
        <v>206</v>
      </c>
      <c r="CA1779" s="1" t="s">
        <v>210</v>
      </c>
      <c r="CC1779" s="1" t="s">
        <v>478</v>
      </c>
      <c r="CD1779" s="1" t="s">
        <v>206</v>
      </c>
      <c r="CE1779" s="1" t="s">
        <v>207</v>
      </c>
      <c r="CG1779" s="1" t="s">
        <v>1760</v>
      </c>
      <c r="CH1779" s="1" t="s">
        <v>206</v>
      </c>
      <c r="CI1779" s="1" t="s">
        <v>210</v>
      </c>
      <c r="CK1779" s="1" t="s">
        <v>798</v>
      </c>
      <c r="CL1779" s="1" t="s">
        <v>206</v>
      </c>
      <c r="CM1779" s="1" t="s">
        <v>210</v>
      </c>
      <c r="CO1779" s="1" t="s">
        <v>269</v>
      </c>
      <c r="CP1779" s="1" t="s">
        <v>114</v>
      </c>
      <c r="CQ1779" s="1" t="s">
        <v>210</v>
      </c>
      <c r="CS1779" s="1" t="s">
        <v>302</v>
      </c>
      <c r="CT1779" s="1" t="s">
        <v>206</v>
      </c>
      <c r="CU1779" s="1" t="s">
        <v>268</v>
      </c>
      <c r="CX1779" s="1" t="s">
        <v>204</v>
      </c>
      <c r="DA1779" s="1" t="s">
        <v>200</v>
      </c>
      <c r="DC1779" s="1" t="s">
        <v>545</v>
      </c>
      <c r="DE1779" s="1" t="s">
        <v>273</v>
      </c>
      <c r="DF1779" s="1" t="s">
        <v>219</v>
      </c>
      <c r="DH1779" s="1" t="s">
        <v>307</v>
      </c>
      <c r="DJ1779" s="1" t="s">
        <v>222</v>
      </c>
      <c r="DL1779" s="1" t="s">
        <v>1161</v>
      </c>
      <c r="DM1779" s="1" t="s">
        <v>229</v>
      </c>
      <c r="DO1779" s="1" t="s">
        <v>549</v>
      </c>
      <c r="DQ1779" s="1" t="s">
        <v>718</v>
      </c>
      <c r="DR1779" s="1" t="s">
        <v>229</v>
      </c>
      <c r="DS1779" s="1" t="s">
        <v>230</v>
      </c>
      <c r="DU1779" s="1" t="s">
        <v>17411</v>
      </c>
      <c r="DV1779" s="1" t="s">
        <v>374</v>
      </c>
      <c r="DW1779" s="1" t="s">
        <v>279</v>
      </c>
      <c r="DX1779" s="1" t="s">
        <v>234</v>
      </c>
      <c r="EC1779" s="1" t="s">
        <v>645</v>
      </c>
      <c r="ED1779" s="1" t="s">
        <v>17412</v>
      </c>
      <c r="EG1779" s="1" t="s">
        <v>374</v>
      </c>
      <c r="EL1779" s="1" t="s">
        <v>6657</v>
      </c>
      <c r="EM1779" s="1" t="s">
        <v>206</v>
      </c>
      <c r="EN1779" s="1" t="s">
        <v>588</v>
      </c>
      <c r="EO1779" s="1" t="s">
        <v>229</v>
      </c>
      <c r="EQ1779" s="1" t="s">
        <v>238</v>
      </c>
      <c r="EU1779" s="1" t="s">
        <v>238</v>
      </c>
      <c r="EY1779" s="1" t="s">
        <v>238</v>
      </c>
      <c r="FC1779" s="1" t="s">
        <v>238</v>
      </c>
      <c r="FF1779" s="1" t="s">
        <v>239</v>
      </c>
      <c r="FG1779" s="1" t="s">
        <v>192</v>
      </c>
      <c r="FH1779" s="1" t="s">
        <v>192</v>
      </c>
      <c r="FJ1779" s="1" t="s">
        <v>285</v>
      </c>
      <c r="FK1779" s="1" t="s">
        <v>229</v>
      </c>
      <c r="FL1779" s="1" t="s">
        <v>16781</v>
      </c>
      <c r="FM1779" s="1">
        <v>15198.0</v>
      </c>
      <c r="FN1779" s="1" t="s">
        <v>16782</v>
      </c>
      <c r="FO1779" s="1" t="s">
        <v>16783</v>
      </c>
      <c r="FP1779" s="1">
        <v>851564.0</v>
      </c>
      <c r="FS1779" s="1" t="s">
        <v>16784</v>
      </c>
      <c r="FT1779" s="1" t="s">
        <v>17413</v>
      </c>
      <c r="FU1779" s="1" t="s">
        <v>16785</v>
      </c>
      <c r="FV1779" s="1" t="s">
        <v>200</v>
      </c>
      <c r="FW1779" s="1" t="s">
        <v>16786</v>
      </c>
      <c r="FX1779" s="1" t="s">
        <v>238</v>
      </c>
      <c r="FZ1779" s="1" t="s">
        <v>229</v>
      </c>
      <c r="GA1779" s="1" t="s">
        <v>291</v>
      </c>
      <c r="GB1779" s="2">
        <v>42004.0</v>
      </c>
      <c r="GC1779" s="1" t="s">
        <v>17414</v>
      </c>
    </row>
    <row r="1780">
      <c r="A1780" s="1">
        <v>42000.0</v>
      </c>
      <c r="B1780" s="1" t="s">
        <v>185</v>
      </c>
      <c r="C1780" s="1" t="str">
        <f>"08701977"</f>
        <v>08701977</v>
      </c>
      <c r="D1780" s="1" t="s">
        <v>186</v>
      </c>
      <c r="F1780" s="1" t="str">
        <f>"8023"</f>
        <v>8023</v>
      </c>
      <c r="G1780" s="2">
        <v>41865.0</v>
      </c>
      <c r="H1780" s="1">
        <v>42000.0</v>
      </c>
      <c r="I1780" s="1">
        <v>9.0</v>
      </c>
      <c r="J1780" s="1">
        <v>42000.0</v>
      </c>
      <c r="K1780" s="2">
        <v>41873.0</v>
      </c>
      <c r="L1780" s="1">
        <v>9.0</v>
      </c>
      <c r="M1780" s="2">
        <v>41873.0</v>
      </c>
      <c r="N1780" s="1" t="s">
        <v>249</v>
      </c>
      <c r="O1780" s="2">
        <v>41984.0</v>
      </c>
      <c r="P1780" s="1">
        <v>239948.0</v>
      </c>
      <c r="Q1780" s="1">
        <v>25914.0</v>
      </c>
      <c r="S1780" s="1">
        <v>548.0</v>
      </c>
      <c r="T1780" s="1" t="s">
        <v>5970</v>
      </c>
      <c r="U1780" s="1" t="s">
        <v>189</v>
      </c>
      <c r="V1780" s="1" t="s">
        <v>190</v>
      </c>
      <c r="W1780" s="1">
        <v>60624.0</v>
      </c>
      <c r="Y1780" s="1" t="s">
        <v>17415</v>
      </c>
      <c r="Z1780" s="1">
        <v>1905.0</v>
      </c>
      <c r="AA1780" s="1" t="s">
        <v>192</v>
      </c>
      <c r="AB1780" s="1" t="s">
        <v>193</v>
      </c>
      <c r="AD1780" s="1" t="s">
        <v>194</v>
      </c>
      <c r="AE1780" s="1" t="s">
        <v>195</v>
      </c>
      <c r="AF1780" s="1" t="s">
        <v>827</v>
      </c>
      <c r="AH1780" s="1" t="s">
        <v>17416</v>
      </c>
      <c r="AI1780" s="1">
        <v>0.0766</v>
      </c>
      <c r="AK1780" s="1">
        <v>9.0</v>
      </c>
      <c r="AL1780" s="1">
        <v>4.0</v>
      </c>
      <c r="AM1780" s="1">
        <v>2.0</v>
      </c>
      <c r="AN1780" s="1">
        <v>0.0</v>
      </c>
      <c r="AO1780" s="1" t="s">
        <v>229</v>
      </c>
      <c r="AQ1780" s="1" t="s">
        <v>198</v>
      </c>
      <c r="AR1780" s="1" t="s">
        <v>192</v>
      </c>
      <c r="AS1780" s="1" t="s">
        <v>199</v>
      </c>
      <c r="AT1780" s="1">
        <v>2.0</v>
      </c>
      <c r="AV1780" s="1" t="s">
        <v>200</v>
      </c>
      <c r="AW1780" s="1">
        <v>1624.52</v>
      </c>
      <c r="AX1780" s="1">
        <v>2012.0</v>
      </c>
      <c r="AZ1780" s="1" t="s">
        <v>200</v>
      </c>
      <c r="BA1780" s="1" t="str">
        <f>"16112160110000"</f>
        <v>16112160110000</v>
      </c>
      <c r="BC1780" s="1">
        <v>1008.0</v>
      </c>
      <c r="BD1780" s="1">
        <v>42000.0</v>
      </c>
      <c r="BE1780" s="2">
        <v>41865.0</v>
      </c>
      <c r="BF1780" s="2" t="s">
        <v>17417</v>
      </c>
      <c r="BH1780" s="1">
        <v>0.0</v>
      </c>
      <c r="BK1780" s="1" t="s">
        <v>204</v>
      </c>
      <c r="BL1780" s="1" t="str">
        <f>"548"</f>
        <v>548</v>
      </c>
      <c r="BM1780" s="1" t="str">
        <f t="shared" si="1175"/>
        <v>0</v>
      </c>
      <c r="BN1780" s="1">
        <v>3500.0</v>
      </c>
      <c r="BO1780" s="1">
        <v>0.0</v>
      </c>
      <c r="BQ1780" s="1">
        <v>299.0</v>
      </c>
      <c r="BR1780" s="1">
        <v>299.0</v>
      </c>
      <c r="BS1780" s="1">
        <v>299.0</v>
      </c>
      <c r="BU1780" s="1" t="s">
        <v>1417</v>
      </c>
      <c r="BV1780" s="1" t="s">
        <v>206</v>
      </c>
      <c r="BY1780" s="1" t="s">
        <v>375</v>
      </c>
      <c r="BZ1780" s="1" t="s">
        <v>206</v>
      </c>
      <c r="CC1780" s="1" t="s">
        <v>302</v>
      </c>
      <c r="CD1780" s="1" t="s">
        <v>206</v>
      </c>
      <c r="CG1780" s="1" t="s">
        <v>623</v>
      </c>
      <c r="CH1780" s="1" t="s">
        <v>206</v>
      </c>
      <c r="CK1780" s="1" t="s">
        <v>263</v>
      </c>
      <c r="CL1780" s="1" t="s">
        <v>206</v>
      </c>
      <c r="CO1780" s="1" t="s">
        <v>495</v>
      </c>
      <c r="CP1780" s="1" t="s">
        <v>209</v>
      </c>
      <c r="CS1780" s="1" t="s">
        <v>433</v>
      </c>
      <c r="CT1780" s="1" t="s">
        <v>206</v>
      </c>
      <c r="CW1780" s="1" t="s">
        <v>302</v>
      </c>
      <c r="CX1780" s="1" t="s">
        <v>209</v>
      </c>
      <c r="DA1780" s="1" t="s">
        <v>200</v>
      </c>
      <c r="DC1780" s="1" t="s">
        <v>642</v>
      </c>
      <c r="DE1780" s="1" t="s">
        <v>1300</v>
      </c>
      <c r="DF1780" s="1" t="s">
        <v>219</v>
      </c>
      <c r="DH1780" s="1" t="s">
        <v>365</v>
      </c>
      <c r="DJ1780" s="1" t="s">
        <v>222</v>
      </c>
      <c r="DL1780" s="1" t="s">
        <v>223</v>
      </c>
      <c r="DM1780" s="1" t="s">
        <v>229</v>
      </c>
      <c r="DQ1780" s="1" t="s">
        <v>228</v>
      </c>
      <c r="DR1780" s="1" t="s">
        <v>229</v>
      </c>
      <c r="DV1780" s="1" t="s">
        <v>1407</v>
      </c>
      <c r="DW1780" s="1" t="s">
        <v>444</v>
      </c>
      <c r="DX1780" s="1" t="s">
        <v>234</v>
      </c>
      <c r="EC1780" s="1" t="s">
        <v>685</v>
      </c>
      <c r="EG1780" s="1" t="s">
        <v>1407</v>
      </c>
      <c r="EL1780" s="1" t="s">
        <v>1417</v>
      </c>
      <c r="EM1780" s="1" t="s">
        <v>209</v>
      </c>
      <c r="EQ1780" s="1" t="s">
        <v>238</v>
      </c>
      <c r="EU1780" s="1" t="s">
        <v>238</v>
      </c>
      <c r="EY1780" s="1" t="s">
        <v>238</v>
      </c>
      <c r="FC1780" s="1" t="s">
        <v>238</v>
      </c>
      <c r="FF1780" s="1" t="s">
        <v>239</v>
      </c>
      <c r="FG1780" s="1" t="s">
        <v>192</v>
      </c>
      <c r="FH1780" s="1" t="s">
        <v>192</v>
      </c>
      <c r="FJ1780" s="1" t="s">
        <v>524</v>
      </c>
      <c r="FK1780" s="1" t="s">
        <v>229</v>
      </c>
      <c r="FL1780" s="1" t="s">
        <v>3818</v>
      </c>
      <c r="FM1780" s="1">
        <v>23959.0</v>
      </c>
      <c r="FN1780" s="1" t="s">
        <v>3819</v>
      </c>
      <c r="FO1780" s="1" t="s">
        <v>3820</v>
      </c>
      <c r="FP1780" s="1">
        <v>220868.0</v>
      </c>
      <c r="FQ1780" s="1" t="s">
        <v>3819</v>
      </c>
      <c r="FU1780" s="1" t="s">
        <v>3821</v>
      </c>
      <c r="FV1780" s="1" t="s">
        <v>200</v>
      </c>
      <c r="FW1780" s="1" t="s">
        <v>354</v>
      </c>
      <c r="FX1780" s="1" t="s">
        <v>238</v>
      </c>
      <c r="FZ1780" s="1" t="s">
        <v>229</v>
      </c>
      <c r="GA1780" s="1" t="s">
        <v>291</v>
      </c>
      <c r="GB1780" s="2">
        <v>41984.0</v>
      </c>
      <c r="GC1780" s="1" t="s">
        <v>17418</v>
      </c>
    </row>
    <row r="1781">
      <c r="A1781" s="1">
        <v>200000.0</v>
      </c>
      <c r="B1781" s="1" t="s">
        <v>185</v>
      </c>
      <c r="C1781" s="1" t="str">
        <f>"08704302"</f>
        <v>08704302</v>
      </c>
      <c r="D1781" s="1" t="s">
        <v>186</v>
      </c>
      <c r="F1781" s="1" t="str">
        <f>"177"</f>
        <v>177</v>
      </c>
      <c r="G1781" s="2">
        <v>41869.0</v>
      </c>
      <c r="H1781" s="1">
        <v>220000.0</v>
      </c>
      <c r="I1781" s="1">
        <v>522.0</v>
      </c>
      <c r="J1781" s="1">
        <v>210000.0</v>
      </c>
      <c r="K1781" s="2">
        <v>41962.0</v>
      </c>
      <c r="L1781" s="1">
        <v>94.0</v>
      </c>
      <c r="M1781" s="2">
        <v>41962.0</v>
      </c>
      <c r="N1781" s="1" t="s">
        <v>187</v>
      </c>
      <c r="O1781" s="2">
        <v>42081.0</v>
      </c>
      <c r="P1781" s="1">
        <v>1988.0</v>
      </c>
      <c r="Q1781" s="1">
        <v>41.0</v>
      </c>
      <c r="S1781" s="1">
        <v>19.0</v>
      </c>
      <c r="T1781" s="1" t="s">
        <v>15876</v>
      </c>
      <c r="U1781" s="1" t="s">
        <v>420</v>
      </c>
      <c r="V1781" s="1" t="s">
        <v>2249</v>
      </c>
      <c r="W1781" s="1">
        <v>60177.0</v>
      </c>
      <c r="Y1781" s="1" t="s">
        <v>17419</v>
      </c>
      <c r="Z1781" s="1">
        <v>1991.0</v>
      </c>
      <c r="AA1781" s="1" t="s">
        <v>200</v>
      </c>
      <c r="AB1781" s="1" t="s">
        <v>193</v>
      </c>
      <c r="AD1781" s="1" t="s">
        <v>2252</v>
      </c>
      <c r="AE1781" s="1" t="s">
        <v>325</v>
      </c>
      <c r="AF1781" s="1" t="s">
        <v>1203</v>
      </c>
      <c r="AH1781" s="1" t="s">
        <v>17420</v>
      </c>
      <c r="AK1781" s="1">
        <v>8.0</v>
      </c>
      <c r="AL1781" s="1">
        <v>4.0</v>
      </c>
      <c r="AM1781" s="1">
        <v>2.0</v>
      </c>
      <c r="AN1781" s="1">
        <v>1.0</v>
      </c>
      <c r="AO1781" s="1" t="s">
        <v>198</v>
      </c>
      <c r="AQ1781" s="1" t="s">
        <v>198</v>
      </c>
      <c r="AR1781" s="1" t="s">
        <v>200</v>
      </c>
      <c r="AS1781" s="1" t="s">
        <v>199</v>
      </c>
      <c r="AT1781" s="1">
        <v>2.0</v>
      </c>
      <c r="AV1781" s="1" t="s">
        <v>200</v>
      </c>
      <c r="AW1781" s="1">
        <v>5990.0</v>
      </c>
      <c r="AX1781" s="1">
        <v>2012.0</v>
      </c>
      <c r="AZ1781" s="1" t="s">
        <v>200</v>
      </c>
      <c r="BA1781" s="1" t="str">
        <f>"0903134011"</f>
        <v>0903134011</v>
      </c>
      <c r="BC1781" s="1">
        <v>2200.0</v>
      </c>
      <c r="BD1781" s="1">
        <v>200000.0</v>
      </c>
      <c r="BE1781" s="2">
        <v>41869.0</v>
      </c>
      <c r="BF1781" s="1" t="s">
        <v>17421</v>
      </c>
      <c r="BH1781" s="1">
        <v>0.0</v>
      </c>
      <c r="BK1781" s="1" t="s">
        <v>204</v>
      </c>
      <c r="BL1781" s="1" t="str">
        <f t="shared" ref="BL1781:BM1781" si="1176">""</f>
        <v/>
      </c>
      <c r="BM1781" s="1" t="str">
        <f t="shared" si="1176"/>
        <v/>
      </c>
      <c r="BQ1781" s="1">
        <v>303.0</v>
      </c>
      <c r="BR1781" s="1">
        <v>303.0</v>
      </c>
      <c r="BS1781" s="1">
        <v>303.0</v>
      </c>
      <c r="BU1781" s="1" t="s">
        <v>664</v>
      </c>
      <c r="BV1781" s="1" t="s">
        <v>206</v>
      </c>
      <c r="BW1781" s="1" t="s">
        <v>207</v>
      </c>
      <c r="BY1781" s="1" t="s">
        <v>331</v>
      </c>
      <c r="BZ1781" s="1" t="s">
        <v>209</v>
      </c>
      <c r="CA1781" s="1" t="s">
        <v>210</v>
      </c>
      <c r="CC1781" s="1" t="s">
        <v>495</v>
      </c>
      <c r="CD1781" s="1" t="s">
        <v>206</v>
      </c>
      <c r="CE1781" s="1" t="s">
        <v>207</v>
      </c>
      <c r="CG1781" s="1" t="s">
        <v>699</v>
      </c>
      <c r="CH1781" s="1" t="s">
        <v>206</v>
      </c>
      <c r="CI1781" s="1" t="s">
        <v>210</v>
      </c>
      <c r="CK1781" s="1" t="s">
        <v>265</v>
      </c>
      <c r="CL1781" s="1" t="s">
        <v>209</v>
      </c>
      <c r="CM1781" s="1" t="s">
        <v>210</v>
      </c>
      <c r="CO1781" s="1" t="s">
        <v>269</v>
      </c>
      <c r="CP1781" s="1" t="s">
        <v>209</v>
      </c>
      <c r="CQ1781" s="1" t="s">
        <v>210</v>
      </c>
      <c r="CS1781" s="1" t="s">
        <v>331</v>
      </c>
      <c r="CT1781" s="1" t="s">
        <v>206</v>
      </c>
      <c r="CU1781" s="1" t="s">
        <v>268</v>
      </c>
      <c r="CW1781" s="1" t="s">
        <v>925</v>
      </c>
      <c r="CX1781" s="1" t="s">
        <v>206</v>
      </c>
      <c r="CY1781" s="1" t="s">
        <v>207</v>
      </c>
      <c r="DA1781" s="1" t="s">
        <v>200</v>
      </c>
      <c r="DC1781" s="1" t="s">
        <v>435</v>
      </c>
      <c r="DD1781" s="1" t="s">
        <v>518</v>
      </c>
      <c r="DE1781" s="1" t="s">
        <v>273</v>
      </c>
      <c r="DF1781" s="1" t="s">
        <v>219</v>
      </c>
      <c r="DH1781" s="1" t="s">
        <v>1603</v>
      </c>
      <c r="DJ1781" s="1" t="s">
        <v>1048</v>
      </c>
      <c r="DL1781" s="1" t="s">
        <v>223</v>
      </c>
      <c r="DM1781" s="1" t="s">
        <v>338</v>
      </c>
      <c r="DO1781" s="1" t="s">
        <v>761</v>
      </c>
      <c r="DP1781" s="1" t="s">
        <v>340</v>
      </c>
      <c r="DQ1781" s="1" t="s">
        <v>228</v>
      </c>
      <c r="DR1781" s="1" t="s">
        <v>229</v>
      </c>
      <c r="DV1781" s="1" t="s">
        <v>232</v>
      </c>
      <c r="DW1781" s="1" t="s">
        <v>12222</v>
      </c>
      <c r="DX1781" s="1" t="s">
        <v>234</v>
      </c>
      <c r="DZ1781" s="1" t="s">
        <v>446</v>
      </c>
      <c r="EC1781" s="1" t="s">
        <v>237</v>
      </c>
      <c r="EM1781" s="1" t="s">
        <v>238</v>
      </c>
      <c r="EQ1781" s="1" t="s">
        <v>238</v>
      </c>
      <c r="EU1781" s="1" t="s">
        <v>238</v>
      </c>
      <c r="EY1781" s="1" t="s">
        <v>238</v>
      </c>
      <c r="FC1781" s="1" t="s">
        <v>238</v>
      </c>
      <c r="FF1781" s="1" t="s">
        <v>239</v>
      </c>
      <c r="FG1781" s="1" t="s">
        <v>192</v>
      </c>
      <c r="FH1781" s="1" t="s">
        <v>192</v>
      </c>
      <c r="FJ1781" s="1" t="s">
        <v>1450</v>
      </c>
      <c r="FK1781" s="1" t="s">
        <v>1586</v>
      </c>
      <c r="FL1781" s="1" t="s">
        <v>8240</v>
      </c>
      <c r="FM1781" s="1">
        <v>8340.0</v>
      </c>
      <c r="FN1781" s="1" t="s">
        <v>8241</v>
      </c>
      <c r="FO1781" s="1" t="s">
        <v>17422</v>
      </c>
      <c r="FP1781" s="1">
        <v>82507.0</v>
      </c>
      <c r="FQ1781" s="1" t="s">
        <v>17423</v>
      </c>
      <c r="FU1781" s="1" t="s">
        <v>17424</v>
      </c>
      <c r="FV1781" s="1" t="s">
        <v>200</v>
      </c>
      <c r="FW1781" s="1" t="s">
        <v>290</v>
      </c>
      <c r="FZ1781" s="1" t="s">
        <v>229</v>
      </c>
      <c r="GA1781" s="1" t="s">
        <v>291</v>
      </c>
      <c r="GB1781" s="2">
        <v>42083.0</v>
      </c>
      <c r="GC1781" s="1" t="s">
        <v>17425</v>
      </c>
    </row>
    <row r="1782">
      <c r="A1782" s="1">
        <v>196500.0</v>
      </c>
      <c r="B1782" s="1" t="s">
        <v>185</v>
      </c>
      <c r="C1782" s="1" t="str">
        <f>"08702371"</f>
        <v>08702371</v>
      </c>
      <c r="D1782" s="1" t="s">
        <v>186</v>
      </c>
      <c r="F1782" s="1" t="str">
        <f>"538"</f>
        <v>538</v>
      </c>
      <c r="G1782" s="2">
        <v>41866.0</v>
      </c>
      <c r="H1782" s="1">
        <v>225000.0</v>
      </c>
      <c r="I1782" s="1">
        <v>72.0</v>
      </c>
      <c r="J1782" s="1">
        <v>194900.0</v>
      </c>
      <c r="K1782" s="2">
        <v>41937.0</v>
      </c>
      <c r="L1782" s="1">
        <v>72.0</v>
      </c>
      <c r="M1782" s="2">
        <v>41937.0</v>
      </c>
      <c r="N1782" s="1" t="s">
        <v>356</v>
      </c>
      <c r="O1782" s="2">
        <v>42075.0</v>
      </c>
      <c r="P1782" s="1">
        <v>300064.0</v>
      </c>
      <c r="Q1782" s="1">
        <v>300.0</v>
      </c>
      <c r="S1782" s="1">
        <v>2862.0</v>
      </c>
      <c r="T1782" s="1" t="s">
        <v>17426</v>
      </c>
      <c r="U1782" s="1" t="s">
        <v>569</v>
      </c>
      <c r="V1782" s="1" t="s">
        <v>1340</v>
      </c>
      <c r="W1782" s="1">
        <v>60538.0</v>
      </c>
      <c r="Y1782" s="1" t="s">
        <v>17427</v>
      </c>
      <c r="Z1782" s="1">
        <v>2005.0</v>
      </c>
      <c r="AA1782" s="1" t="s">
        <v>200</v>
      </c>
      <c r="AB1782" s="1" t="s">
        <v>193</v>
      </c>
      <c r="AD1782" s="1" t="s">
        <v>1343</v>
      </c>
      <c r="AE1782" s="1" t="s">
        <v>849</v>
      </c>
      <c r="AF1782" s="1" t="s">
        <v>1312</v>
      </c>
      <c r="AH1782" s="1" t="s">
        <v>1345</v>
      </c>
      <c r="AI1782" s="1">
        <v>0.1639</v>
      </c>
      <c r="AK1782" s="1">
        <v>9.0</v>
      </c>
      <c r="AL1782" s="1">
        <v>4.0</v>
      </c>
      <c r="AM1782" s="1">
        <v>2.0</v>
      </c>
      <c r="AN1782" s="1">
        <v>1.0</v>
      </c>
      <c r="AO1782" s="1" t="s">
        <v>198</v>
      </c>
      <c r="AQ1782" s="1" t="s">
        <v>198</v>
      </c>
      <c r="AR1782" s="1" t="s">
        <v>200</v>
      </c>
      <c r="AS1782" s="1" t="s">
        <v>199</v>
      </c>
      <c r="AT1782" s="1">
        <v>2.0</v>
      </c>
      <c r="AV1782" s="1" t="s">
        <v>200</v>
      </c>
      <c r="AW1782" s="1">
        <v>7120.08</v>
      </c>
      <c r="AX1782" s="1">
        <v>2013.0</v>
      </c>
      <c r="AZ1782" s="1" t="s">
        <v>200</v>
      </c>
      <c r="BA1782" s="1" t="str">
        <f>"0202130017"</f>
        <v>0202130017</v>
      </c>
      <c r="BC1782" s="1">
        <v>2726.0</v>
      </c>
      <c r="BD1782" s="1">
        <v>196500.0</v>
      </c>
      <c r="BE1782" s="2">
        <v>41866.0</v>
      </c>
      <c r="BF1782" s="1" t="s">
        <v>17428</v>
      </c>
      <c r="BH1782" s="1">
        <v>44.0</v>
      </c>
      <c r="BK1782" s="1" t="s">
        <v>474</v>
      </c>
      <c r="BL1782" s="1" t="str">
        <f t="shared" ref="BL1782:BM1782" si="1177">""</f>
        <v/>
      </c>
      <c r="BM1782" s="1" t="str">
        <f t="shared" si="1177"/>
        <v/>
      </c>
      <c r="BQ1782" s="1">
        <v>308.0</v>
      </c>
      <c r="BR1782" s="1">
        <v>308.0</v>
      </c>
      <c r="BS1782" s="1">
        <v>308.0</v>
      </c>
      <c r="BU1782" s="1" t="s">
        <v>454</v>
      </c>
      <c r="BV1782" s="1" t="s">
        <v>206</v>
      </c>
      <c r="BY1782" s="1" t="s">
        <v>362</v>
      </c>
      <c r="BZ1782" s="1" t="s">
        <v>209</v>
      </c>
      <c r="CC1782" s="1" t="s">
        <v>302</v>
      </c>
      <c r="CD1782" s="1" t="s">
        <v>206</v>
      </c>
      <c r="CG1782" s="1" t="s">
        <v>363</v>
      </c>
      <c r="CH1782" s="1" t="s">
        <v>209</v>
      </c>
      <c r="CK1782" s="1" t="s">
        <v>215</v>
      </c>
      <c r="CL1782" s="1" t="s">
        <v>206</v>
      </c>
      <c r="CO1782" s="1" t="s">
        <v>215</v>
      </c>
      <c r="CP1782" s="1" t="s">
        <v>209</v>
      </c>
      <c r="CS1782" s="1" t="s">
        <v>480</v>
      </c>
      <c r="CT1782" s="1" t="s">
        <v>206</v>
      </c>
      <c r="CW1782" s="1" t="s">
        <v>5955</v>
      </c>
      <c r="CX1782" s="1" t="s">
        <v>206</v>
      </c>
      <c r="DA1782" s="1" t="s">
        <v>200</v>
      </c>
      <c r="DC1782" s="1" t="s">
        <v>481</v>
      </c>
      <c r="DE1782" s="1" t="s">
        <v>273</v>
      </c>
      <c r="DF1782" s="1" t="s">
        <v>219</v>
      </c>
      <c r="DH1782" s="1" t="s">
        <v>220</v>
      </c>
      <c r="DJ1782" s="1" t="s">
        <v>222</v>
      </c>
      <c r="DL1782" s="1" t="s">
        <v>223</v>
      </c>
      <c r="DM1782" s="1" t="s">
        <v>338</v>
      </c>
      <c r="DQ1782" s="1" t="s">
        <v>228</v>
      </c>
      <c r="DR1782" s="1" t="s">
        <v>17429</v>
      </c>
      <c r="DV1782" s="1" t="s">
        <v>341</v>
      </c>
      <c r="DW1782" s="1" t="s">
        <v>891</v>
      </c>
      <c r="DX1782" s="1" t="s">
        <v>234</v>
      </c>
      <c r="EC1782" s="1" t="s">
        <v>237</v>
      </c>
      <c r="EE1782" s="1" t="s">
        <v>522</v>
      </c>
      <c r="EG1782" s="1" t="s">
        <v>341</v>
      </c>
      <c r="EL1782" s="1" t="s">
        <v>1395</v>
      </c>
      <c r="EM1782" s="1" t="s">
        <v>209</v>
      </c>
      <c r="EQ1782" s="1" t="s">
        <v>238</v>
      </c>
      <c r="EU1782" s="1" t="s">
        <v>238</v>
      </c>
      <c r="EY1782" s="1" t="s">
        <v>238</v>
      </c>
      <c r="FC1782" s="1" t="s">
        <v>238</v>
      </c>
      <c r="FF1782" s="1" t="s">
        <v>239</v>
      </c>
      <c r="FG1782" s="1" t="s">
        <v>192</v>
      </c>
      <c r="FH1782" s="1" t="s">
        <v>192</v>
      </c>
      <c r="FJ1782" s="1" t="s">
        <v>3062</v>
      </c>
      <c r="FK1782" s="1" t="s">
        <v>1586</v>
      </c>
      <c r="FL1782" s="1" t="s">
        <v>1007</v>
      </c>
      <c r="FM1782" s="1">
        <v>23196.0</v>
      </c>
      <c r="FN1782" s="1" t="s">
        <v>3741</v>
      </c>
      <c r="FO1782" s="1" t="s">
        <v>9234</v>
      </c>
      <c r="FP1782" s="1">
        <v>225759.0</v>
      </c>
      <c r="FQ1782" s="1" t="s">
        <v>9235</v>
      </c>
      <c r="FS1782" s="1" t="s">
        <v>9236</v>
      </c>
      <c r="FU1782" s="1" t="s">
        <v>17430</v>
      </c>
      <c r="FV1782" s="1" t="s">
        <v>200</v>
      </c>
      <c r="FW1782" s="1" t="s">
        <v>290</v>
      </c>
      <c r="FZ1782" s="1" t="s">
        <v>632</v>
      </c>
      <c r="GA1782" s="1" t="s">
        <v>291</v>
      </c>
      <c r="GB1782" s="2">
        <v>42076.0</v>
      </c>
      <c r="GC1782" s="1" t="s">
        <v>17431</v>
      </c>
    </row>
    <row r="1783">
      <c r="A1783" s="1">
        <v>353141.0</v>
      </c>
      <c r="B1783" s="1" t="s">
        <v>185</v>
      </c>
      <c r="C1783" s="1" t="str">
        <f>"08702552"</f>
        <v>08702552</v>
      </c>
      <c r="D1783" s="1" t="s">
        <v>186</v>
      </c>
      <c r="F1783" s="1" t="str">
        <f>"177"</f>
        <v>177</v>
      </c>
      <c r="G1783" s="2">
        <v>41866.0</v>
      </c>
      <c r="H1783" s="1">
        <v>293106.0</v>
      </c>
      <c r="I1783" s="1">
        <v>2.0</v>
      </c>
      <c r="J1783" s="1">
        <v>293106.0</v>
      </c>
      <c r="K1783" s="2">
        <v>41866.0</v>
      </c>
      <c r="L1783" s="1">
        <v>2.0</v>
      </c>
      <c r="M1783" s="2">
        <v>41866.0</v>
      </c>
      <c r="N1783" s="1" t="s">
        <v>187</v>
      </c>
      <c r="O1783" s="2">
        <v>42047.0</v>
      </c>
      <c r="P1783" s="1">
        <v>1767.0</v>
      </c>
      <c r="Q1783" s="1">
        <v>605.0</v>
      </c>
      <c r="S1783" s="1">
        <v>15.0</v>
      </c>
      <c r="T1783" s="1" t="s">
        <v>17432</v>
      </c>
      <c r="U1783" s="1" t="s">
        <v>1015</v>
      </c>
      <c r="V1783" s="1" t="s">
        <v>2249</v>
      </c>
      <c r="W1783" s="1">
        <v>60177.0</v>
      </c>
      <c r="Y1783" s="1" t="s">
        <v>11123</v>
      </c>
      <c r="Z1783" s="1">
        <v>2014.0</v>
      </c>
      <c r="AA1783" s="1" t="s">
        <v>200</v>
      </c>
      <c r="AB1783" s="1" t="s">
        <v>193</v>
      </c>
      <c r="AC1783" s="1" t="s">
        <v>11124</v>
      </c>
      <c r="AD1783" s="1" t="s">
        <v>2252</v>
      </c>
      <c r="AE1783" s="1" t="s">
        <v>325</v>
      </c>
      <c r="AF1783" s="1" t="s">
        <v>469</v>
      </c>
      <c r="AG1783" s="1" t="s">
        <v>17433</v>
      </c>
      <c r="AH1783" s="1" t="s">
        <v>11126</v>
      </c>
      <c r="AK1783" s="1">
        <v>9.0</v>
      </c>
      <c r="AL1783" s="1">
        <v>4.0</v>
      </c>
      <c r="AM1783" s="1">
        <v>2.0</v>
      </c>
      <c r="AN1783" s="1">
        <v>1.0</v>
      </c>
      <c r="AO1783" s="1" t="s">
        <v>198</v>
      </c>
      <c r="AQ1783" s="1" t="s">
        <v>1314</v>
      </c>
      <c r="AR1783" s="1" t="s">
        <v>200</v>
      </c>
      <c r="AS1783" s="1" t="s">
        <v>199</v>
      </c>
      <c r="AT1783" s="1">
        <v>3.0</v>
      </c>
      <c r="AV1783" s="1" t="s">
        <v>200</v>
      </c>
      <c r="AW1783" s="1" t="s">
        <v>575</v>
      </c>
      <c r="AX1783" s="1">
        <v>2013.0</v>
      </c>
      <c r="AZ1783" s="1" t="s">
        <v>200</v>
      </c>
      <c r="BA1783" s="1" t="str">
        <f>"0625340007"</f>
        <v>0625340007</v>
      </c>
      <c r="BC1783" s="1">
        <v>3145.0</v>
      </c>
      <c r="BD1783" s="1">
        <v>353141.0</v>
      </c>
      <c r="BE1783" s="2">
        <v>41865.0</v>
      </c>
      <c r="BF1783" s="2" t="s">
        <v>17434</v>
      </c>
      <c r="BG1783" s="1" t="s">
        <v>11128</v>
      </c>
      <c r="BH1783" s="1">
        <v>200.0</v>
      </c>
      <c r="BI1783" s="1" t="s">
        <v>11129</v>
      </c>
      <c r="BJ1783" s="1" t="s">
        <v>11130</v>
      </c>
      <c r="BK1783" s="1" t="s">
        <v>580</v>
      </c>
      <c r="BL1783" s="1" t="str">
        <f t="shared" ref="BL1783:BM1783" si="1178">""</f>
        <v/>
      </c>
      <c r="BM1783" s="1" t="str">
        <f t="shared" si="1178"/>
        <v/>
      </c>
      <c r="BQ1783" s="1">
        <v>46.0</v>
      </c>
      <c r="BR1783" s="1">
        <v>46.0</v>
      </c>
      <c r="BS1783" s="1">
        <v>46.0</v>
      </c>
      <c r="BV1783" s="1" t="s">
        <v>204</v>
      </c>
      <c r="BY1783" s="1" t="s">
        <v>676</v>
      </c>
      <c r="BZ1783" s="1" t="s">
        <v>209</v>
      </c>
      <c r="CA1783" s="1" t="s">
        <v>210</v>
      </c>
      <c r="CC1783" s="1" t="s">
        <v>584</v>
      </c>
      <c r="CD1783" s="1" t="s">
        <v>206</v>
      </c>
      <c r="CE1783" s="1" t="s">
        <v>210</v>
      </c>
      <c r="CG1783" s="1" t="s">
        <v>1329</v>
      </c>
      <c r="CH1783" s="1" t="s">
        <v>209</v>
      </c>
      <c r="CI1783" s="1" t="s">
        <v>210</v>
      </c>
      <c r="CK1783" s="1" t="s">
        <v>478</v>
      </c>
      <c r="CL1783" s="1" t="s">
        <v>209</v>
      </c>
      <c r="CM1783" s="1" t="s">
        <v>210</v>
      </c>
      <c r="CO1783" s="1" t="s">
        <v>478</v>
      </c>
      <c r="CP1783" s="1" t="s">
        <v>209</v>
      </c>
      <c r="CQ1783" s="1" t="s">
        <v>210</v>
      </c>
      <c r="CS1783" s="1" t="s">
        <v>1068</v>
      </c>
      <c r="CT1783" s="1" t="s">
        <v>206</v>
      </c>
      <c r="CU1783" s="1" t="s">
        <v>617</v>
      </c>
      <c r="CW1783" s="1" t="s">
        <v>5291</v>
      </c>
      <c r="CX1783" s="1" t="s">
        <v>206</v>
      </c>
      <c r="CY1783" s="1" t="s">
        <v>210</v>
      </c>
      <c r="DA1783" s="1" t="s">
        <v>192</v>
      </c>
      <c r="DB1783" s="2">
        <v>42035.0</v>
      </c>
      <c r="DC1783" s="1" t="s">
        <v>585</v>
      </c>
      <c r="DD1783" s="1" t="s">
        <v>855</v>
      </c>
      <c r="DE1783" s="1" t="s">
        <v>273</v>
      </c>
      <c r="DF1783" s="1" t="s">
        <v>219</v>
      </c>
      <c r="DH1783" s="1" t="s">
        <v>220</v>
      </c>
      <c r="DI1783" s="1" t="s">
        <v>1021</v>
      </c>
      <c r="DJ1783" s="1" t="s">
        <v>222</v>
      </c>
      <c r="DL1783" s="1" t="s">
        <v>223</v>
      </c>
      <c r="DM1783" s="1" t="s">
        <v>229</v>
      </c>
      <c r="DP1783" s="1" t="s">
        <v>340</v>
      </c>
      <c r="DQ1783" s="1" t="s">
        <v>228</v>
      </c>
      <c r="DR1783" s="1" t="s">
        <v>229</v>
      </c>
      <c r="DS1783" s="1" t="s">
        <v>591</v>
      </c>
      <c r="DU1783" s="1" t="s">
        <v>550</v>
      </c>
      <c r="DV1783" s="1" t="s">
        <v>2445</v>
      </c>
      <c r="DW1783" s="1" t="s">
        <v>233</v>
      </c>
      <c r="DX1783" s="1" t="s">
        <v>234</v>
      </c>
      <c r="DY1783" s="1" t="s">
        <v>3075</v>
      </c>
      <c r="EA1783" s="1" t="s">
        <v>344</v>
      </c>
      <c r="EC1783" s="1" t="s">
        <v>237</v>
      </c>
      <c r="ED1783" s="1" t="s">
        <v>6543</v>
      </c>
      <c r="EG1783" s="1" t="s">
        <v>556</v>
      </c>
      <c r="EH1783" s="1" t="s">
        <v>557</v>
      </c>
      <c r="EL1783" s="1" t="s">
        <v>1417</v>
      </c>
      <c r="EM1783" s="1" t="s">
        <v>206</v>
      </c>
      <c r="EN1783" s="1" t="s">
        <v>617</v>
      </c>
      <c r="EP1783" s="1" t="s">
        <v>1518</v>
      </c>
      <c r="EQ1783" s="1" t="s">
        <v>209</v>
      </c>
      <c r="ER1783" s="1" t="s">
        <v>210</v>
      </c>
      <c r="EU1783" s="1" t="s">
        <v>238</v>
      </c>
      <c r="EY1783" s="1" t="s">
        <v>238</v>
      </c>
      <c r="FC1783" s="1" t="s">
        <v>238</v>
      </c>
      <c r="FF1783" s="1" t="s">
        <v>239</v>
      </c>
      <c r="FG1783" s="1" t="s">
        <v>192</v>
      </c>
      <c r="FH1783" s="1" t="s">
        <v>192</v>
      </c>
      <c r="FJ1783" s="1" t="s">
        <v>1450</v>
      </c>
      <c r="FK1783" s="1" t="s">
        <v>229</v>
      </c>
      <c r="FL1783" s="1" t="s">
        <v>1358</v>
      </c>
      <c r="FM1783" s="1">
        <v>23591.0</v>
      </c>
      <c r="FN1783" s="1" t="s">
        <v>2134</v>
      </c>
      <c r="FO1783" s="1" t="s">
        <v>11054</v>
      </c>
      <c r="FP1783" s="1">
        <v>221299.0</v>
      </c>
      <c r="FQ1783" s="1" t="s">
        <v>11055</v>
      </c>
      <c r="FU1783" s="1" t="s">
        <v>11733</v>
      </c>
      <c r="FV1783" s="1" t="s">
        <v>200</v>
      </c>
      <c r="FW1783" s="1" t="s">
        <v>11132</v>
      </c>
      <c r="FZ1783" s="1" t="s">
        <v>229</v>
      </c>
      <c r="GA1783" s="1" t="s">
        <v>291</v>
      </c>
      <c r="GB1783" s="2">
        <v>42050.0</v>
      </c>
      <c r="GC1783" s="1" t="s">
        <v>17435</v>
      </c>
    </row>
    <row r="1784">
      <c r="A1784" s="1">
        <v>143500.0</v>
      </c>
      <c r="B1784" s="1" t="s">
        <v>185</v>
      </c>
      <c r="C1784" s="1" t="str">
        <f>"08703908"</f>
        <v>08703908</v>
      </c>
      <c r="D1784" s="1" t="s">
        <v>186</v>
      </c>
      <c r="F1784" s="1" t="str">
        <f>"8056"</f>
        <v>8056</v>
      </c>
      <c r="G1784" s="2">
        <v>41868.0</v>
      </c>
      <c r="H1784" s="1">
        <v>149900.0</v>
      </c>
      <c r="I1784" s="1">
        <v>62.0</v>
      </c>
      <c r="J1784" s="1">
        <v>145900.0</v>
      </c>
      <c r="K1784" s="2">
        <v>41929.0</v>
      </c>
      <c r="L1784" s="1">
        <v>62.0</v>
      </c>
      <c r="M1784" s="2">
        <v>41929.0</v>
      </c>
      <c r="N1784" s="1" t="s">
        <v>356</v>
      </c>
      <c r="O1784" s="2">
        <v>41985.0</v>
      </c>
      <c r="P1784" s="1">
        <v>229813.0</v>
      </c>
      <c r="Q1784" s="1">
        <v>60476.0</v>
      </c>
      <c r="S1784" s="1">
        <v>5755.0</v>
      </c>
      <c r="T1784" s="1" t="s">
        <v>2995</v>
      </c>
      <c r="U1784" s="1" t="s">
        <v>189</v>
      </c>
      <c r="V1784" s="1" t="s">
        <v>190</v>
      </c>
      <c r="W1784" s="1">
        <v>60638.0</v>
      </c>
      <c r="Y1784" s="1" t="s">
        <v>17436</v>
      </c>
      <c r="Z1784" s="1">
        <v>1950.0</v>
      </c>
      <c r="AA1784" s="1" t="s">
        <v>192</v>
      </c>
      <c r="AB1784" s="1" t="s">
        <v>193</v>
      </c>
      <c r="AD1784" s="1" t="s">
        <v>194</v>
      </c>
      <c r="AE1784" s="1" t="s">
        <v>195</v>
      </c>
      <c r="AF1784" s="1" t="s">
        <v>659</v>
      </c>
      <c r="AH1784" s="1" t="s">
        <v>17437</v>
      </c>
      <c r="AK1784" s="1">
        <v>6.0</v>
      </c>
      <c r="AL1784" s="1">
        <v>4.0</v>
      </c>
      <c r="AM1784" s="1">
        <v>1.0</v>
      </c>
      <c r="AN1784" s="1">
        <v>0.0</v>
      </c>
      <c r="AO1784" s="1" t="s">
        <v>229</v>
      </c>
      <c r="AQ1784" s="1" t="s">
        <v>229</v>
      </c>
      <c r="AS1784" s="1" t="s">
        <v>199</v>
      </c>
      <c r="AT1784" s="1">
        <v>2.0</v>
      </c>
      <c r="AV1784" s="1" t="s">
        <v>200</v>
      </c>
      <c r="AW1784" s="3">
        <v>419.0</v>
      </c>
      <c r="AX1784" s="1">
        <v>2012.0</v>
      </c>
      <c r="AZ1784" s="1" t="s">
        <v>200</v>
      </c>
      <c r="BA1784" s="1" t="str">
        <f>"19172170500000"</f>
        <v>19172170500000</v>
      </c>
      <c r="BB1784" s="1" t="s">
        <v>200</v>
      </c>
      <c r="BC1784" s="1">
        <v>934.0</v>
      </c>
      <c r="BD1784" s="1">
        <v>143500.0</v>
      </c>
      <c r="BE1784" s="2">
        <v>41868.0</v>
      </c>
      <c r="BF1784" s="2" t="s">
        <v>17438</v>
      </c>
      <c r="BH1784" s="1">
        <v>0.0</v>
      </c>
      <c r="BK1784" s="1" t="s">
        <v>204</v>
      </c>
      <c r="BL1784" s="1" t="str">
        <f t="shared" ref="BL1784:BM1784" si="1179">"0"</f>
        <v>0</v>
      </c>
      <c r="BM1784" s="1" t="str">
        <f t="shared" si="1179"/>
        <v>0</v>
      </c>
      <c r="BN1784" s="1">
        <v>5932.0</v>
      </c>
      <c r="BO1784" s="1">
        <v>5755.0</v>
      </c>
      <c r="BQ1784" s="1">
        <v>299.0</v>
      </c>
      <c r="BR1784" s="1">
        <v>299.0</v>
      </c>
      <c r="BS1784" s="1">
        <v>299.0</v>
      </c>
      <c r="BU1784" s="1" t="s">
        <v>211</v>
      </c>
      <c r="BV1784" s="1" t="s">
        <v>206</v>
      </c>
      <c r="BW1784" s="1" t="s">
        <v>210</v>
      </c>
      <c r="BX1784" s="1" t="s">
        <v>239</v>
      </c>
      <c r="BY1784" s="1" t="s">
        <v>699</v>
      </c>
      <c r="BZ1784" s="1" t="s">
        <v>206</v>
      </c>
      <c r="CA1784" s="1" t="s">
        <v>207</v>
      </c>
      <c r="CB1784" s="1" t="s">
        <v>239</v>
      </c>
      <c r="CD1784" s="1" t="s">
        <v>204</v>
      </c>
      <c r="CG1784" s="1" t="s">
        <v>212</v>
      </c>
      <c r="CH1784" s="1" t="s">
        <v>206</v>
      </c>
      <c r="CI1784" s="1" t="s">
        <v>207</v>
      </c>
      <c r="CJ1784" s="1" t="s">
        <v>239</v>
      </c>
      <c r="CK1784" s="1" t="s">
        <v>433</v>
      </c>
      <c r="CL1784" s="1" t="s">
        <v>209</v>
      </c>
      <c r="CM1784" s="1" t="s">
        <v>617</v>
      </c>
      <c r="CN1784" s="1" t="s">
        <v>239</v>
      </c>
      <c r="CO1784" s="1" t="s">
        <v>1158</v>
      </c>
      <c r="CP1784" s="1" t="s">
        <v>209</v>
      </c>
      <c r="CQ1784" s="1" t="s">
        <v>617</v>
      </c>
      <c r="CR1784" s="1" t="s">
        <v>239</v>
      </c>
      <c r="CS1784" s="1" t="s">
        <v>729</v>
      </c>
      <c r="CT1784" s="1" t="s">
        <v>206</v>
      </c>
      <c r="CU1784" s="1" t="s">
        <v>617</v>
      </c>
      <c r="CV1784" s="1" t="s">
        <v>239</v>
      </c>
      <c r="CX1784" s="1" t="s">
        <v>204</v>
      </c>
      <c r="DA1784" s="1" t="s">
        <v>200</v>
      </c>
      <c r="DC1784" s="1" t="s">
        <v>702</v>
      </c>
      <c r="DD1784" s="1" t="s">
        <v>518</v>
      </c>
      <c r="DE1784" s="1" t="s">
        <v>273</v>
      </c>
      <c r="DF1784" s="1" t="s">
        <v>219</v>
      </c>
      <c r="DH1784" s="1" t="s">
        <v>365</v>
      </c>
      <c r="DI1784" s="1" t="s">
        <v>831</v>
      </c>
      <c r="DJ1784" s="1" t="s">
        <v>222</v>
      </c>
      <c r="DL1784" s="1" t="s">
        <v>1853</v>
      </c>
      <c r="DM1784" s="1" t="s">
        <v>229</v>
      </c>
      <c r="DQ1784" s="1" t="s">
        <v>228</v>
      </c>
      <c r="DR1784" s="1" t="s">
        <v>229</v>
      </c>
      <c r="DV1784" s="1" t="s">
        <v>232</v>
      </c>
      <c r="DW1784" s="1" t="s">
        <v>279</v>
      </c>
      <c r="DX1784" s="1" t="s">
        <v>309</v>
      </c>
      <c r="EA1784" s="1" t="s">
        <v>683</v>
      </c>
      <c r="EC1784" s="1" t="s">
        <v>645</v>
      </c>
      <c r="EM1784" s="1" t="s">
        <v>238</v>
      </c>
      <c r="EQ1784" s="1" t="s">
        <v>238</v>
      </c>
      <c r="EU1784" s="1" t="s">
        <v>238</v>
      </c>
      <c r="EY1784" s="1" t="s">
        <v>238</v>
      </c>
      <c r="FC1784" s="1" t="s">
        <v>238</v>
      </c>
      <c r="FF1784" s="1" t="s">
        <v>239</v>
      </c>
      <c r="FG1784" s="1" t="s">
        <v>192</v>
      </c>
      <c r="FH1784" s="1" t="s">
        <v>192</v>
      </c>
      <c r="FJ1784" s="1" t="s">
        <v>17439</v>
      </c>
      <c r="FK1784" s="1" t="s">
        <v>348</v>
      </c>
      <c r="FL1784" s="1" t="s">
        <v>17440</v>
      </c>
      <c r="FM1784" s="1">
        <v>60356.0</v>
      </c>
      <c r="FN1784" s="1" t="s">
        <v>17441</v>
      </c>
      <c r="FO1784" s="1" t="s">
        <v>17442</v>
      </c>
      <c r="FP1784" s="1">
        <v>600921.0</v>
      </c>
      <c r="FQ1784" s="1" t="s">
        <v>17441</v>
      </c>
      <c r="FU1784" s="1" t="s">
        <v>2030</v>
      </c>
      <c r="FV1784" s="1" t="s">
        <v>200</v>
      </c>
      <c r="FW1784" s="1" t="s">
        <v>530</v>
      </c>
      <c r="FX1784" s="1" t="s">
        <v>655</v>
      </c>
      <c r="FZ1784" s="1" t="s">
        <v>229</v>
      </c>
      <c r="GA1784" s="1" t="s">
        <v>291</v>
      </c>
      <c r="GB1784" s="2">
        <v>41985.0</v>
      </c>
      <c r="GC1784" s="1" t="s">
        <v>17443</v>
      </c>
    </row>
    <row r="1785">
      <c r="A1785" s="1">
        <v>305990.0</v>
      </c>
      <c r="B1785" s="1" t="s">
        <v>185</v>
      </c>
      <c r="C1785" s="1" t="str">
        <f>"08703948"</f>
        <v>08703948</v>
      </c>
      <c r="D1785" s="1" t="s">
        <v>186</v>
      </c>
      <c r="F1785" s="1" t="str">
        <f>"543"</f>
        <v>543</v>
      </c>
      <c r="G1785" s="2">
        <v>41868.0</v>
      </c>
      <c r="H1785" s="1">
        <v>316970.0</v>
      </c>
      <c r="I1785" s="1">
        <v>197.0</v>
      </c>
      <c r="J1785" s="1">
        <v>305900.0</v>
      </c>
      <c r="K1785" s="2">
        <v>42064.0</v>
      </c>
      <c r="L1785" s="1">
        <v>197.0</v>
      </c>
      <c r="M1785" s="2">
        <v>42064.0</v>
      </c>
      <c r="N1785" s="1" t="s">
        <v>187</v>
      </c>
      <c r="O1785" s="2">
        <v>42121.0</v>
      </c>
      <c r="P1785" s="1">
        <v>99999.0</v>
      </c>
      <c r="Q1785" s="1" t="s">
        <v>947</v>
      </c>
      <c r="S1785" s="1">
        <v>328.0</v>
      </c>
      <c r="T1785" s="1" t="s">
        <v>10527</v>
      </c>
      <c r="U1785" s="1" t="s">
        <v>569</v>
      </c>
      <c r="V1785" s="1" t="s">
        <v>1527</v>
      </c>
      <c r="W1785" s="1">
        <v>60543.0</v>
      </c>
      <c r="Y1785" s="1" t="s">
        <v>17444</v>
      </c>
      <c r="Z1785" s="1">
        <v>2014.0</v>
      </c>
      <c r="AA1785" s="1" t="s">
        <v>200</v>
      </c>
      <c r="AB1785" s="1" t="s">
        <v>467</v>
      </c>
      <c r="AC1785" s="1" t="s">
        <v>10402</v>
      </c>
      <c r="AD1785" s="1" t="s">
        <v>1529</v>
      </c>
      <c r="AE1785" s="1" t="s">
        <v>849</v>
      </c>
      <c r="AF1785" s="1" t="s">
        <v>1529</v>
      </c>
      <c r="AG1785" s="1" t="s">
        <v>8118</v>
      </c>
      <c r="AH1785" s="1" t="s">
        <v>17445</v>
      </c>
      <c r="AK1785" s="1">
        <v>10.0</v>
      </c>
      <c r="AL1785" s="1">
        <v>4.0</v>
      </c>
      <c r="AM1785" s="1">
        <v>2.0</v>
      </c>
      <c r="AN1785" s="1">
        <v>1.0</v>
      </c>
      <c r="AO1785" s="1" t="s">
        <v>198</v>
      </c>
      <c r="AQ1785" s="1" t="s">
        <v>198</v>
      </c>
      <c r="AR1785" s="1" t="s">
        <v>200</v>
      </c>
      <c r="AS1785" s="1" t="s">
        <v>199</v>
      </c>
      <c r="AT1785" s="1">
        <v>3.0</v>
      </c>
      <c r="AV1785" s="1" t="s">
        <v>200</v>
      </c>
      <c r="AW1785" s="1" t="s">
        <v>575</v>
      </c>
      <c r="AX1785" s="1">
        <v>2013.0</v>
      </c>
      <c r="AZ1785" s="1" t="s">
        <v>200</v>
      </c>
      <c r="BA1785" s="1" t="str">
        <f>"0316333004"</f>
        <v>0316333004</v>
      </c>
      <c r="BB1785" s="1" t="s">
        <v>200</v>
      </c>
      <c r="BC1785" s="1">
        <v>2700.0</v>
      </c>
      <c r="BD1785" s="1">
        <v>305990.0</v>
      </c>
      <c r="BE1785" s="2">
        <v>41868.0</v>
      </c>
      <c r="BF1785" s="2" t="s">
        <v>17446</v>
      </c>
      <c r="BG1785" s="1" t="s">
        <v>8200</v>
      </c>
      <c r="BH1785" s="1">
        <v>140.0</v>
      </c>
      <c r="BI1785" s="1" t="s">
        <v>1533</v>
      </c>
      <c r="BJ1785" s="1" t="s">
        <v>1349</v>
      </c>
      <c r="BK1785" s="1" t="s">
        <v>1952</v>
      </c>
      <c r="BL1785" s="1" t="str">
        <f t="shared" ref="BL1785:BM1785" si="1180">""</f>
        <v/>
      </c>
      <c r="BM1785" s="1" t="str">
        <f t="shared" si="1180"/>
        <v/>
      </c>
      <c r="BQ1785" s="1">
        <v>308.0</v>
      </c>
      <c r="BR1785" s="1">
        <v>308.0</v>
      </c>
      <c r="BS1785" s="1">
        <v>308.0</v>
      </c>
      <c r="BU1785" s="1" t="s">
        <v>212</v>
      </c>
      <c r="BV1785" s="1" t="s">
        <v>206</v>
      </c>
      <c r="BX1785" s="1" t="s">
        <v>229</v>
      </c>
      <c r="BY1785" s="1" t="s">
        <v>662</v>
      </c>
      <c r="BZ1785" s="1" t="s">
        <v>209</v>
      </c>
      <c r="CA1785" s="1" t="s">
        <v>210</v>
      </c>
      <c r="CB1785" s="1" t="s">
        <v>229</v>
      </c>
      <c r="CC1785" s="1" t="s">
        <v>1351</v>
      </c>
      <c r="CD1785" s="1" t="s">
        <v>206</v>
      </c>
      <c r="CF1785" s="1" t="s">
        <v>229</v>
      </c>
      <c r="CG1785" s="1" t="s">
        <v>1351</v>
      </c>
      <c r="CH1785" s="1" t="s">
        <v>209</v>
      </c>
      <c r="CI1785" s="1" t="s">
        <v>210</v>
      </c>
      <c r="CJ1785" s="1" t="s">
        <v>229</v>
      </c>
      <c r="CK1785" s="1" t="s">
        <v>302</v>
      </c>
      <c r="CL1785" s="1" t="s">
        <v>209</v>
      </c>
      <c r="CM1785" s="1" t="s">
        <v>210</v>
      </c>
      <c r="CO1785" s="1" t="s">
        <v>212</v>
      </c>
      <c r="CP1785" s="1" t="s">
        <v>209</v>
      </c>
      <c r="CQ1785" s="1" t="s">
        <v>210</v>
      </c>
      <c r="CR1785" s="1" t="s">
        <v>229</v>
      </c>
      <c r="CS1785" s="1" t="s">
        <v>262</v>
      </c>
      <c r="CT1785" s="1" t="s">
        <v>206</v>
      </c>
      <c r="CU1785" s="1" t="s">
        <v>207</v>
      </c>
      <c r="CV1785" s="1" t="s">
        <v>229</v>
      </c>
      <c r="CW1785" s="1" t="s">
        <v>214</v>
      </c>
      <c r="CX1785" s="1" t="s">
        <v>206</v>
      </c>
      <c r="CZ1785" s="1" t="s">
        <v>229</v>
      </c>
      <c r="DA1785" s="1" t="s">
        <v>192</v>
      </c>
      <c r="DB1785" s="2">
        <v>41971.0</v>
      </c>
      <c r="DC1785" s="1" t="s">
        <v>744</v>
      </c>
      <c r="DD1785" s="1" t="s">
        <v>4137</v>
      </c>
      <c r="DE1785" s="1" t="s">
        <v>273</v>
      </c>
      <c r="DF1785" s="1" t="s">
        <v>219</v>
      </c>
      <c r="DG1785" s="1" t="s">
        <v>6030</v>
      </c>
      <c r="DH1785" s="1" t="s">
        <v>220</v>
      </c>
      <c r="DI1785" s="1" t="s">
        <v>589</v>
      </c>
      <c r="DJ1785" s="1" t="s">
        <v>222</v>
      </c>
      <c r="DL1785" s="1" t="s">
        <v>223</v>
      </c>
      <c r="DM1785" s="1" t="s">
        <v>338</v>
      </c>
      <c r="DN1785" s="1" t="s">
        <v>548</v>
      </c>
      <c r="DP1785" s="1" t="s">
        <v>340</v>
      </c>
      <c r="DQ1785" s="1" t="s">
        <v>441</v>
      </c>
      <c r="DR1785" s="1" t="s">
        <v>1980</v>
      </c>
      <c r="DS1785" s="1" t="s">
        <v>591</v>
      </c>
      <c r="DU1785" s="1" t="s">
        <v>550</v>
      </c>
      <c r="DV1785" s="1" t="s">
        <v>8941</v>
      </c>
      <c r="DW1785" s="1" t="s">
        <v>233</v>
      </c>
      <c r="DX1785" s="1" t="s">
        <v>234</v>
      </c>
      <c r="DY1785" s="1" t="s">
        <v>1051</v>
      </c>
      <c r="EA1785" s="1" t="s">
        <v>344</v>
      </c>
      <c r="EC1785" s="1" t="s">
        <v>237</v>
      </c>
      <c r="EE1785" s="1" t="s">
        <v>493</v>
      </c>
      <c r="EG1785" s="1" t="s">
        <v>556</v>
      </c>
      <c r="EI1785" s="1" t="s">
        <v>341</v>
      </c>
      <c r="EL1785" s="1" t="s">
        <v>212</v>
      </c>
      <c r="EM1785" s="1" t="s">
        <v>206</v>
      </c>
      <c r="EN1785" s="1" t="s">
        <v>207</v>
      </c>
      <c r="EO1785" s="1" t="s">
        <v>229</v>
      </c>
      <c r="EQ1785" s="1" t="s">
        <v>238</v>
      </c>
      <c r="ET1785" s="1" t="s">
        <v>211</v>
      </c>
      <c r="EU1785" s="1" t="s">
        <v>209</v>
      </c>
      <c r="EV1785" s="1" t="s">
        <v>210</v>
      </c>
      <c r="EW1785" s="1" t="s">
        <v>229</v>
      </c>
      <c r="EY1785" s="1" t="s">
        <v>238</v>
      </c>
      <c r="FC1785" s="1" t="s">
        <v>238</v>
      </c>
      <c r="FF1785" s="1" t="s">
        <v>239</v>
      </c>
      <c r="FG1785" s="1" t="s">
        <v>192</v>
      </c>
      <c r="FH1785" s="1" t="s">
        <v>192</v>
      </c>
      <c r="FJ1785" s="1" t="s">
        <v>347</v>
      </c>
      <c r="FK1785" s="1" t="s">
        <v>229</v>
      </c>
      <c r="FL1785" s="1" t="s">
        <v>2448</v>
      </c>
      <c r="FM1785" s="1">
        <v>92038.0</v>
      </c>
      <c r="FN1785" s="1" t="s">
        <v>2449</v>
      </c>
      <c r="FO1785" s="1" t="s">
        <v>2450</v>
      </c>
      <c r="FP1785" s="1">
        <v>21137.0</v>
      </c>
      <c r="FQ1785" s="1" t="s">
        <v>2451</v>
      </c>
      <c r="FU1785" s="1" t="s">
        <v>17447</v>
      </c>
      <c r="FV1785" s="1" t="s">
        <v>200</v>
      </c>
      <c r="FW1785" s="1" t="s">
        <v>10410</v>
      </c>
      <c r="FZ1785" s="1" t="s">
        <v>229</v>
      </c>
      <c r="GA1785" s="1" t="s">
        <v>291</v>
      </c>
      <c r="GB1785" s="2">
        <v>42122.0</v>
      </c>
      <c r="GC1785" s="1" t="s">
        <v>17448</v>
      </c>
    </row>
    <row r="1786">
      <c r="A1786" s="1">
        <v>169000.0</v>
      </c>
      <c r="B1786" s="1" t="s">
        <v>185</v>
      </c>
      <c r="C1786" s="1" t="str">
        <f>"08705165"</f>
        <v>08705165</v>
      </c>
      <c r="D1786" s="1" t="s">
        <v>186</v>
      </c>
      <c r="F1786" s="1" t="str">
        <f>"8065"</f>
        <v>8065</v>
      </c>
      <c r="G1786" s="2">
        <v>41869.0</v>
      </c>
      <c r="H1786" s="1">
        <v>179900.0</v>
      </c>
      <c r="I1786" s="1">
        <v>156.0</v>
      </c>
      <c r="J1786" s="1">
        <v>169900.0</v>
      </c>
      <c r="K1786" s="2">
        <v>41961.0</v>
      </c>
      <c r="L1786" s="1">
        <v>93.0</v>
      </c>
      <c r="M1786" s="2">
        <v>41961.0</v>
      </c>
      <c r="N1786" s="1" t="s">
        <v>356</v>
      </c>
      <c r="O1786" s="2">
        <v>42003.0</v>
      </c>
      <c r="P1786" s="1">
        <v>170336.0</v>
      </c>
      <c r="Q1786" s="1">
        <v>12555.0</v>
      </c>
      <c r="R1786" s="1">
        <v>3.0</v>
      </c>
      <c r="S1786" s="1">
        <v>6604.0</v>
      </c>
      <c r="T1786" s="1" t="s">
        <v>10427</v>
      </c>
      <c r="U1786" s="1" t="s">
        <v>189</v>
      </c>
      <c r="V1786" s="1" t="s">
        <v>190</v>
      </c>
      <c r="W1786" s="1">
        <v>60629.0</v>
      </c>
      <c r="Y1786" s="1" t="s">
        <v>17449</v>
      </c>
      <c r="Z1786" s="1">
        <v>1953.0</v>
      </c>
      <c r="AA1786" s="1" t="s">
        <v>192</v>
      </c>
      <c r="AB1786" s="1" t="s">
        <v>193</v>
      </c>
      <c r="AD1786" s="1" t="s">
        <v>194</v>
      </c>
      <c r="AE1786" s="1" t="s">
        <v>195</v>
      </c>
      <c r="AF1786" s="1" t="s">
        <v>1154</v>
      </c>
      <c r="AH1786" s="1" t="s">
        <v>779</v>
      </c>
      <c r="AI1786" s="1">
        <v>0.0861</v>
      </c>
      <c r="AK1786" s="1">
        <v>7.0</v>
      </c>
      <c r="AL1786" s="1">
        <v>4.0</v>
      </c>
      <c r="AM1786" s="1">
        <v>2.0</v>
      </c>
      <c r="AN1786" s="1">
        <v>1.0</v>
      </c>
      <c r="AO1786" s="1" t="s">
        <v>229</v>
      </c>
      <c r="AQ1786" s="1" t="s">
        <v>198</v>
      </c>
      <c r="AR1786" s="1" t="s">
        <v>192</v>
      </c>
      <c r="AS1786" s="1" t="s">
        <v>199</v>
      </c>
      <c r="AT1786" s="1">
        <v>2.0</v>
      </c>
      <c r="AV1786" s="1" t="s">
        <v>200</v>
      </c>
      <c r="AW1786" s="1">
        <v>2898.12</v>
      </c>
      <c r="AX1786" s="1">
        <v>2012.0</v>
      </c>
      <c r="AY1786" s="1" t="s">
        <v>229</v>
      </c>
      <c r="AZ1786" s="1" t="s">
        <v>545</v>
      </c>
      <c r="BA1786" s="1" t="str">
        <f>"19222220220000"</f>
        <v>19222220220000</v>
      </c>
      <c r="BB1786" s="1" t="s">
        <v>200</v>
      </c>
      <c r="BC1786" s="1">
        <v>1400.0</v>
      </c>
      <c r="BD1786" s="1">
        <v>169000.0</v>
      </c>
      <c r="BE1786" s="2">
        <v>41869.0</v>
      </c>
      <c r="BF1786" s="1" t="s">
        <v>17450</v>
      </c>
      <c r="BH1786" s="1">
        <v>0.0</v>
      </c>
      <c r="BK1786" s="1" t="s">
        <v>204</v>
      </c>
      <c r="BL1786" s="1" t="str">
        <f t="shared" ref="BL1786:BM1786" si="1181">"0"</f>
        <v>0</v>
      </c>
      <c r="BM1786" s="1" t="str">
        <f t="shared" si="1181"/>
        <v>0</v>
      </c>
      <c r="BN1786" s="1">
        <v>4100.0</v>
      </c>
      <c r="BO1786" s="1">
        <v>6604.0</v>
      </c>
      <c r="BQ1786" s="1">
        <v>299.0</v>
      </c>
      <c r="BR1786" s="1">
        <v>299.0</v>
      </c>
      <c r="BS1786" s="1">
        <v>299.0</v>
      </c>
      <c r="BU1786" s="1" t="s">
        <v>478</v>
      </c>
      <c r="BV1786" s="1" t="s">
        <v>206</v>
      </c>
      <c r="BW1786" s="1" t="s">
        <v>207</v>
      </c>
      <c r="BX1786" s="1" t="s">
        <v>431</v>
      </c>
      <c r="BY1786" s="1" t="s">
        <v>495</v>
      </c>
      <c r="BZ1786" s="1" t="s">
        <v>206</v>
      </c>
      <c r="CA1786" s="1" t="s">
        <v>207</v>
      </c>
      <c r="CB1786" s="1" t="s">
        <v>431</v>
      </c>
      <c r="CC1786" s="1" t="s">
        <v>212</v>
      </c>
      <c r="CD1786" s="1" t="s">
        <v>206</v>
      </c>
      <c r="CE1786" s="1" t="s">
        <v>207</v>
      </c>
      <c r="CF1786" s="1" t="s">
        <v>431</v>
      </c>
      <c r="CG1786" s="1" t="s">
        <v>269</v>
      </c>
      <c r="CH1786" s="1" t="s">
        <v>206</v>
      </c>
      <c r="CI1786" s="1" t="s">
        <v>207</v>
      </c>
      <c r="CJ1786" s="1" t="s">
        <v>431</v>
      </c>
      <c r="CK1786" s="1" t="s">
        <v>300</v>
      </c>
      <c r="CL1786" s="1" t="s">
        <v>209</v>
      </c>
      <c r="CM1786" s="1" t="s">
        <v>210</v>
      </c>
      <c r="CO1786" s="1" t="s">
        <v>269</v>
      </c>
      <c r="CP1786" s="1" t="s">
        <v>209</v>
      </c>
      <c r="CQ1786" s="1" t="s">
        <v>210</v>
      </c>
      <c r="CS1786" s="1" t="s">
        <v>699</v>
      </c>
      <c r="CT1786" s="1" t="s">
        <v>206</v>
      </c>
      <c r="CU1786" s="1" t="s">
        <v>268</v>
      </c>
      <c r="CV1786" s="1" t="s">
        <v>431</v>
      </c>
      <c r="CX1786" s="1" t="s">
        <v>204</v>
      </c>
      <c r="DA1786" s="1" t="s">
        <v>200</v>
      </c>
      <c r="DC1786" s="1" t="s">
        <v>702</v>
      </c>
      <c r="DE1786" s="1" t="s">
        <v>273</v>
      </c>
      <c r="DF1786" s="1" t="s">
        <v>619</v>
      </c>
      <c r="DG1786" s="1" t="s">
        <v>2311</v>
      </c>
      <c r="DH1786" s="1" t="s">
        <v>220</v>
      </c>
      <c r="DI1786" s="1" t="s">
        <v>1223</v>
      </c>
      <c r="DJ1786" s="1" t="s">
        <v>222</v>
      </c>
      <c r="DK1786" s="1" t="s">
        <v>224</v>
      </c>
      <c r="DL1786" s="1" t="s">
        <v>858</v>
      </c>
      <c r="DM1786" s="1" t="s">
        <v>229</v>
      </c>
      <c r="DQ1786" s="1" t="s">
        <v>228</v>
      </c>
      <c r="DR1786" s="1" t="s">
        <v>229</v>
      </c>
      <c r="DS1786" s="1" t="s">
        <v>230</v>
      </c>
      <c r="DV1786" s="1" t="s">
        <v>374</v>
      </c>
      <c r="DW1786" s="1" t="s">
        <v>279</v>
      </c>
      <c r="DX1786" s="1" t="s">
        <v>234</v>
      </c>
      <c r="DY1786" s="1" t="s">
        <v>704</v>
      </c>
      <c r="EA1786" s="1" t="s">
        <v>2535</v>
      </c>
      <c r="EC1786" s="1" t="s">
        <v>645</v>
      </c>
      <c r="ED1786" s="1" t="s">
        <v>555</v>
      </c>
      <c r="EH1786" s="1" t="s">
        <v>374</v>
      </c>
      <c r="EM1786" s="1" t="s">
        <v>238</v>
      </c>
      <c r="EP1786" s="1" t="s">
        <v>6147</v>
      </c>
      <c r="EQ1786" s="1" t="s">
        <v>206</v>
      </c>
      <c r="ER1786" s="1" t="s">
        <v>210</v>
      </c>
      <c r="EU1786" s="1" t="s">
        <v>238</v>
      </c>
      <c r="EY1786" s="1" t="s">
        <v>238</v>
      </c>
      <c r="FC1786" s="1" t="s">
        <v>238</v>
      </c>
      <c r="FF1786" s="1" t="s">
        <v>239</v>
      </c>
      <c r="FG1786" s="1" t="s">
        <v>192</v>
      </c>
      <c r="FH1786" s="1" t="s">
        <v>192</v>
      </c>
      <c r="FJ1786" s="1" t="s">
        <v>1573</v>
      </c>
      <c r="FK1786" s="1" t="s">
        <v>229</v>
      </c>
      <c r="FL1786" s="1" t="s">
        <v>17451</v>
      </c>
      <c r="FM1786" s="1">
        <v>23493.0</v>
      </c>
      <c r="FN1786" s="1" t="s">
        <v>17452</v>
      </c>
      <c r="FO1786" s="1" t="s">
        <v>17453</v>
      </c>
      <c r="FP1786" s="1">
        <v>229760.0</v>
      </c>
      <c r="FQ1786" s="1" t="s">
        <v>17452</v>
      </c>
      <c r="FU1786" s="1" t="s">
        <v>17454</v>
      </c>
      <c r="FV1786" s="1" t="s">
        <v>200</v>
      </c>
      <c r="FW1786" s="1" t="s">
        <v>290</v>
      </c>
      <c r="FX1786" s="1" t="s">
        <v>655</v>
      </c>
      <c r="FZ1786" s="1" t="s">
        <v>229</v>
      </c>
      <c r="GA1786" s="1" t="s">
        <v>291</v>
      </c>
      <c r="GB1786" s="2">
        <v>42007.0</v>
      </c>
      <c r="GC1786" s="1" t="s">
        <v>17455</v>
      </c>
    </row>
    <row r="1787">
      <c r="A1787" s="1">
        <v>400000.0</v>
      </c>
      <c r="B1787" s="1" t="s">
        <v>185</v>
      </c>
      <c r="C1787" s="1" t="str">
        <f>"08762175"</f>
        <v>08762175</v>
      </c>
      <c r="D1787" s="1" t="s">
        <v>186</v>
      </c>
      <c r="F1787" s="1" t="str">
        <f>"134"</f>
        <v>134</v>
      </c>
      <c r="G1787" s="2">
        <v>41939.0</v>
      </c>
      <c r="H1787" s="1">
        <v>465000.0</v>
      </c>
      <c r="I1787" s="1">
        <v>64.0</v>
      </c>
      <c r="J1787" s="1">
        <v>440900.0</v>
      </c>
      <c r="K1787" s="2">
        <v>42002.0</v>
      </c>
      <c r="L1787" s="1">
        <v>64.0</v>
      </c>
      <c r="M1787" s="2">
        <v>42002.0</v>
      </c>
      <c r="N1787" s="1" t="s">
        <v>249</v>
      </c>
      <c r="O1787" s="2">
        <v>42062.0</v>
      </c>
      <c r="P1787" s="1">
        <v>1615.0</v>
      </c>
      <c r="Q1787" s="1">
        <v>387.0</v>
      </c>
      <c r="S1787" s="1">
        <v>1858.0</v>
      </c>
      <c r="T1787" s="1" t="s">
        <v>17456</v>
      </c>
      <c r="U1787" s="1" t="s">
        <v>1442</v>
      </c>
      <c r="V1787" s="1" t="s">
        <v>421</v>
      </c>
      <c r="W1787" s="1">
        <v>60134.0</v>
      </c>
      <c r="Y1787" s="1" t="s">
        <v>17457</v>
      </c>
      <c r="Z1787" s="1">
        <v>1997.0</v>
      </c>
      <c r="AA1787" s="1" t="s">
        <v>200</v>
      </c>
      <c r="AB1787" s="1" t="s">
        <v>193</v>
      </c>
      <c r="AC1787" s="1" t="s">
        <v>17458</v>
      </c>
      <c r="AD1787" s="1" t="s">
        <v>424</v>
      </c>
      <c r="AE1787" s="1" t="s">
        <v>325</v>
      </c>
      <c r="AF1787" s="1" t="s">
        <v>424</v>
      </c>
      <c r="AH1787" s="1" t="s">
        <v>17459</v>
      </c>
      <c r="AK1787" s="1">
        <v>11.0</v>
      </c>
      <c r="AL1787" s="1">
        <v>4.0</v>
      </c>
      <c r="AM1787" s="1">
        <v>3.0</v>
      </c>
      <c r="AN1787" s="1">
        <v>1.0</v>
      </c>
      <c r="AO1787" s="1" t="s">
        <v>198</v>
      </c>
      <c r="AP1787" s="1">
        <v>1.0</v>
      </c>
      <c r="AQ1787" s="1" t="s">
        <v>198</v>
      </c>
      <c r="AR1787" s="1" t="s">
        <v>192</v>
      </c>
      <c r="AS1787" s="1" t="s">
        <v>199</v>
      </c>
      <c r="AT1787" s="1">
        <v>3.0</v>
      </c>
      <c r="AV1787" s="1" t="s">
        <v>200</v>
      </c>
      <c r="AW1787" s="1">
        <v>12749.32</v>
      </c>
      <c r="AX1787" s="1">
        <v>2013.0</v>
      </c>
      <c r="AY1787" s="1" t="s">
        <v>387</v>
      </c>
      <c r="AZ1787" s="1" t="s">
        <v>200</v>
      </c>
      <c r="BA1787" s="1" t="str">
        <f>"1209179006"</f>
        <v>1209179006</v>
      </c>
      <c r="BC1787" s="1">
        <v>3260.0</v>
      </c>
      <c r="BD1787" s="1">
        <v>400000.0</v>
      </c>
      <c r="BE1787" s="2">
        <v>41939.0</v>
      </c>
      <c r="BF1787" s="2" t="s">
        <v>17460</v>
      </c>
      <c r="BH1787" s="1">
        <v>0.0</v>
      </c>
      <c r="BK1787" s="1" t="s">
        <v>204</v>
      </c>
      <c r="BL1787" s="1" t="str">
        <f t="shared" ref="BL1787:BM1787" si="1182">""</f>
        <v/>
      </c>
      <c r="BM1787" s="1" t="str">
        <f t="shared" si="1182"/>
        <v/>
      </c>
      <c r="BQ1787" s="1">
        <v>304.0</v>
      </c>
      <c r="BR1787" s="1">
        <v>304.0</v>
      </c>
      <c r="BS1787" s="1">
        <v>304.0</v>
      </c>
      <c r="BU1787" s="1" t="s">
        <v>262</v>
      </c>
      <c r="BV1787" s="1" t="s">
        <v>206</v>
      </c>
      <c r="BW1787" s="1" t="s">
        <v>210</v>
      </c>
      <c r="BY1787" s="1" t="s">
        <v>616</v>
      </c>
      <c r="BZ1787" s="1" t="s">
        <v>209</v>
      </c>
      <c r="CA1787" s="1" t="s">
        <v>210</v>
      </c>
      <c r="CC1787" s="1" t="s">
        <v>454</v>
      </c>
      <c r="CD1787" s="1" t="s">
        <v>206</v>
      </c>
      <c r="CE1787" s="1" t="s">
        <v>210</v>
      </c>
      <c r="CG1787" s="1" t="s">
        <v>433</v>
      </c>
      <c r="CH1787" s="1" t="s">
        <v>209</v>
      </c>
      <c r="CI1787" s="1" t="s">
        <v>210</v>
      </c>
      <c r="CK1787" s="1" t="s">
        <v>215</v>
      </c>
      <c r="CL1787" s="1" t="s">
        <v>209</v>
      </c>
      <c r="CM1787" s="1" t="s">
        <v>210</v>
      </c>
      <c r="CO1787" s="1" t="s">
        <v>332</v>
      </c>
      <c r="CP1787" s="1" t="s">
        <v>209</v>
      </c>
      <c r="CQ1787" s="1" t="s">
        <v>210</v>
      </c>
      <c r="CS1787" s="1" t="s">
        <v>479</v>
      </c>
      <c r="CT1787" s="1" t="s">
        <v>206</v>
      </c>
      <c r="CU1787" s="1" t="s">
        <v>207</v>
      </c>
      <c r="CW1787" s="1" t="s">
        <v>3475</v>
      </c>
      <c r="CX1787" s="1" t="s">
        <v>206</v>
      </c>
      <c r="CY1787" s="1" t="s">
        <v>207</v>
      </c>
      <c r="DA1787" s="1" t="s">
        <v>200</v>
      </c>
      <c r="DC1787" s="1" t="s">
        <v>678</v>
      </c>
      <c r="DD1787" s="1" t="s">
        <v>336</v>
      </c>
      <c r="DE1787" s="1" t="s">
        <v>218</v>
      </c>
      <c r="DF1787" s="1" t="s">
        <v>219</v>
      </c>
      <c r="DG1787" s="1" t="s">
        <v>3259</v>
      </c>
      <c r="DH1787" s="1" t="s">
        <v>220</v>
      </c>
      <c r="DI1787" s="1" t="s">
        <v>10035</v>
      </c>
      <c r="DJ1787" s="1" t="s">
        <v>222</v>
      </c>
      <c r="DL1787" s="1" t="s">
        <v>224</v>
      </c>
      <c r="DM1787" s="1" t="s">
        <v>929</v>
      </c>
      <c r="DN1787" s="1" t="s">
        <v>399</v>
      </c>
      <c r="DO1787" s="1" t="s">
        <v>3889</v>
      </c>
      <c r="DP1787" s="1" t="s">
        <v>340</v>
      </c>
      <c r="DQ1787" s="1" t="s">
        <v>441</v>
      </c>
      <c r="DR1787" s="1" t="s">
        <v>229</v>
      </c>
      <c r="DS1787" s="1" t="s">
        <v>368</v>
      </c>
      <c r="DU1787" s="1" t="s">
        <v>17461</v>
      </c>
      <c r="DV1787" s="1" t="s">
        <v>17462</v>
      </c>
      <c r="DW1787" s="1" t="s">
        <v>764</v>
      </c>
      <c r="DX1787" s="1" t="s">
        <v>234</v>
      </c>
      <c r="DY1787" s="1" t="s">
        <v>5197</v>
      </c>
      <c r="DZ1787" s="1" t="s">
        <v>17463</v>
      </c>
      <c r="EA1787" s="1" t="s">
        <v>344</v>
      </c>
      <c r="EB1787" s="1" t="s">
        <v>492</v>
      </c>
      <c r="EC1787" s="1" t="s">
        <v>237</v>
      </c>
      <c r="ED1787" s="1" t="s">
        <v>407</v>
      </c>
      <c r="EE1787" s="1" t="s">
        <v>493</v>
      </c>
      <c r="EG1787" s="1" t="s">
        <v>450</v>
      </c>
      <c r="EH1787" s="1" t="s">
        <v>451</v>
      </c>
      <c r="EI1787" s="1" t="s">
        <v>1824</v>
      </c>
      <c r="EL1787" s="1" t="s">
        <v>3475</v>
      </c>
      <c r="EM1787" s="1" t="s">
        <v>42</v>
      </c>
      <c r="EN1787" s="1" t="s">
        <v>210</v>
      </c>
      <c r="EP1787" s="1" t="s">
        <v>12927</v>
      </c>
      <c r="EQ1787" s="1" t="s">
        <v>42</v>
      </c>
      <c r="ER1787" s="1" t="s">
        <v>210</v>
      </c>
      <c r="ET1787" s="1" t="s">
        <v>269</v>
      </c>
      <c r="EU1787" s="1" t="s">
        <v>42</v>
      </c>
      <c r="EV1787" s="1" t="s">
        <v>210</v>
      </c>
      <c r="EY1787" s="1" t="s">
        <v>238</v>
      </c>
      <c r="FC1787" s="1" t="s">
        <v>238</v>
      </c>
      <c r="FF1787" s="1" t="s">
        <v>239</v>
      </c>
      <c r="FG1787" s="1" t="s">
        <v>192</v>
      </c>
      <c r="FH1787" s="1" t="s">
        <v>192</v>
      </c>
      <c r="FJ1787" s="1" t="s">
        <v>686</v>
      </c>
      <c r="FK1787" s="1" t="s">
        <v>1586</v>
      </c>
      <c r="FL1787" s="1" t="s">
        <v>456</v>
      </c>
      <c r="FM1787" s="1">
        <v>49.0</v>
      </c>
      <c r="FN1787" s="1" t="s">
        <v>457</v>
      </c>
      <c r="FO1787" s="1" t="s">
        <v>17357</v>
      </c>
      <c r="FP1787" s="1">
        <v>974.0</v>
      </c>
      <c r="FQ1787" s="1" t="s">
        <v>17358</v>
      </c>
      <c r="FR1787" s="1">
        <v>2045.0</v>
      </c>
      <c r="FS1787" s="1" t="s">
        <v>17359</v>
      </c>
      <c r="FU1787" s="1" t="s">
        <v>17464</v>
      </c>
      <c r="FV1787" s="1" t="s">
        <v>200</v>
      </c>
      <c r="FW1787" s="1" t="s">
        <v>530</v>
      </c>
      <c r="FZ1787" s="1" t="s">
        <v>229</v>
      </c>
      <c r="GA1787" s="1" t="s">
        <v>291</v>
      </c>
      <c r="GB1787" s="2">
        <v>42062.0</v>
      </c>
      <c r="GC1787" s="1" t="s">
        <v>17465</v>
      </c>
    </row>
    <row r="1788">
      <c r="A1788" s="1">
        <v>265000.0</v>
      </c>
      <c r="B1788" s="1" t="s">
        <v>185</v>
      </c>
      <c r="C1788" s="1" t="str">
        <f>"08704095"</f>
        <v>08704095</v>
      </c>
      <c r="D1788" s="1" t="s">
        <v>186</v>
      </c>
      <c r="F1788" s="1" t="str">
        <f>"110"</f>
        <v>110</v>
      </c>
      <c r="G1788" s="2">
        <v>41868.0</v>
      </c>
      <c r="H1788" s="1">
        <v>289900.0</v>
      </c>
      <c r="I1788" s="1">
        <v>137.0</v>
      </c>
      <c r="J1788" s="1">
        <v>278900.0</v>
      </c>
      <c r="K1788" s="2">
        <v>41932.0</v>
      </c>
      <c r="L1788" s="1">
        <v>65.0</v>
      </c>
      <c r="M1788" s="2">
        <v>41932.0</v>
      </c>
      <c r="N1788" s="1" t="s">
        <v>187</v>
      </c>
      <c r="O1788" s="2">
        <v>42004.0</v>
      </c>
      <c r="P1788" s="1">
        <v>63137.0</v>
      </c>
      <c r="Q1788" s="1">
        <v>4777.0</v>
      </c>
      <c r="R1788" s="1">
        <v>3800.0</v>
      </c>
      <c r="S1788" s="1">
        <v>6615.0</v>
      </c>
      <c r="T1788" s="1" t="s">
        <v>17466</v>
      </c>
      <c r="U1788" s="1" t="s">
        <v>844</v>
      </c>
      <c r="V1788" s="1" t="s">
        <v>807</v>
      </c>
      <c r="W1788" s="1">
        <v>60110.0</v>
      </c>
      <c r="Y1788" s="1" t="s">
        <v>17467</v>
      </c>
      <c r="Z1788" s="1">
        <v>2003.0</v>
      </c>
      <c r="AA1788" s="1" t="s">
        <v>200</v>
      </c>
      <c r="AB1788" s="1" t="s">
        <v>193</v>
      </c>
      <c r="AD1788" s="1" t="s">
        <v>809</v>
      </c>
      <c r="AE1788" s="1" t="s">
        <v>325</v>
      </c>
      <c r="AF1788" s="1" t="s">
        <v>810</v>
      </c>
      <c r="AH1788" s="1" t="s">
        <v>17468</v>
      </c>
      <c r="AI1788" s="1">
        <v>0.1767</v>
      </c>
      <c r="AK1788" s="1">
        <v>9.0</v>
      </c>
      <c r="AL1788" s="1">
        <v>4.0</v>
      </c>
      <c r="AM1788" s="1">
        <v>2.0</v>
      </c>
      <c r="AN1788" s="1">
        <v>1.0</v>
      </c>
      <c r="AO1788" s="1" t="s">
        <v>198</v>
      </c>
      <c r="AP1788" s="1">
        <v>1.0</v>
      </c>
      <c r="AQ1788" s="1" t="s">
        <v>198</v>
      </c>
      <c r="AR1788" s="1" t="s">
        <v>200</v>
      </c>
      <c r="AS1788" s="1" t="s">
        <v>199</v>
      </c>
      <c r="AT1788" s="1">
        <v>2.0</v>
      </c>
      <c r="AV1788" s="1" t="s">
        <v>192</v>
      </c>
      <c r="AW1788" s="1">
        <v>8290.06</v>
      </c>
      <c r="AX1788" s="1">
        <v>2013.0</v>
      </c>
      <c r="AY1788" s="1" t="s">
        <v>1179</v>
      </c>
      <c r="AZ1788" s="1" t="s">
        <v>200</v>
      </c>
      <c r="BA1788" s="1" t="str">
        <f>"0308251017"</f>
        <v>0308251017</v>
      </c>
      <c r="BC1788" s="1">
        <v>2686.0</v>
      </c>
      <c r="BD1788" s="1">
        <v>265000.0</v>
      </c>
      <c r="BE1788" s="2">
        <v>41868.0</v>
      </c>
      <c r="BF1788" s="2" t="s">
        <v>17469</v>
      </c>
      <c r="BG1788" s="1" t="s">
        <v>5651</v>
      </c>
      <c r="BH1788" s="1">
        <v>175.0</v>
      </c>
      <c r="BI1788" s="1" t="s">
        <v>5651</v>
      </c>
      <c r="BJ1788" s="1" t="s">
        <v>1759</v>
      </c>
      <c r="BK1788" s="1" t="s">
        <v>580</v>
      </c>
      <c r="BL1788" s="1" t="str">
        <f t="shared" ref="BL1788:BM1788" si="1183">""</f>
        <v/>
      </c>
      <c r="BM1788" s="1" t="str">
        <f t="shared" si="1183"/>
        <v/>
      </c>
      <c r="BQ1788" s="1">
        <v>300.0</v>
      </c>
      <c r="BR1788" s="1">
        <v>300.0</v>
      </c>
      <c r="BS1788" s="1">
        <v>300.0</v>
      </c>
      <c r="BU1788" s="1" t="s">
        <v>329</v>
      </c>
      <c r="BV1788" s="1" t="s">
        <v>206</v>
      </c>
      <c r="BW1788" s="1" t="s">
        <v>210</v>
      </c>
      <c r="BX1788" s="1" t="s">
        <v>431</v>
      </c>
      <c r="BY1788" s="1" t="s">
        <v>3271</v>
      </c>
      <c r="BZ1788" s="1" t="s">
        <v>209</v>
      </c>
      <c r="CA1788" s="1" t="s">
        <v>210</v>
      </c>
      <c r="CB1788" s="1" t="s">
        <v>431</v>
      </c>
      <c r="CC1788" s="1" t="s">
        <v>212</v>
      </c>
      <c r="CD1788" s="1" t="s">
        <v>206</v>
      </c>
      <c r="CE1788" s="1" t="s">
        <v>210</v>
      </c>
      <c r="CF1788" s="1" t="s">
        <v>431</v>
      </c>
      <c r="CG1788" s="1" t="s">
        <v>729</v>
      </c>
      <c r="CH1788" s="1" t="s">
        <v>209</v>
      </c>
      <c r="CI1788" s="1" t="s">
        <v>210</v>
      </c>
      <c r="CJ1788" s="1" t="s">
        <v>431</v>
      </c>
      <c r="CK1788" s="1" t="s">
        <v>495</v>
      </c>
      <c r="CL1788" s="1" t="s">
        <v>209</v>
      </c>
      <c r="CM1788" s="1" t="s">
        <v>210</v>
      </c>
      <c r="CN1788" s="1" t="s">
        <v>431</v>
      </c>
      <c r="CO1788" s="1" t="s">
        <v>214</v>
      </c>
      <c r="CP1788" s="1" t="s">
        <v>209</v>
      </c>
      <c r="CQ1788" s="1" t="s">
        <v>210</v>
      </c>
      <c r="CR1788" s="1" t="s">
        <v>431</v>
      </c>
      <c r="CS1788" s="1" t="s">
        <v>543</v>
      </c>
      <c r="CT1788" s="1" t="s">
        <v>206</v>
      </c>
      <c r="CU1788" s="1" t="s">
        <v>207</v>
      </c>
      <c r="CV1788" s="1" t="s">
        <v>431</v>
      </c>
      <c r="CW1788" s="1" t="s">
        <v>1623</v>
      </c>
      <c r="CX1788" s="1" t="s">
        <v>206</v>
      </c>
      <c r="CY1788" s="1" t="s">
        <v>210</v>
      </c>
      <c r="CZ1788" s="1" t="s">
        <v>431</v>
      </c>
      <c r="DA1788" s="1" t="s">
        <v>200</v>
      </c>
      <c r="DC1788" s="1" t="s">
        <v>335</v>
      </c>
      <c r="DD1788" s="1" t="s">
        <v>1838</v>
      </c>
      <c r="DE1788" s="1" t="s">
        <v>273</v>
      </c>
      <c r="DF1788" s="1" t="s">
        <v>619</v>
      </c>
      <c r="DG1788" s="1" t="s">
        <v>17470</v>
      </c>
      <c r="DH1788" s="1" t="s">
        <v>220</v>
      </c>
      <c r="DI1788" s="1" t="s">
        <v>221</v>
      </c>
      <c r="DJ1788" s="1" t="s">
        <v>222</v>
      </c>
      <c r="DL1788" s="1" t="s">
        <v>223</v>
      </c>
      <c r="DM1788" s="1" t="s">
        <v>229</v>
      </c>
      <c r="DN1788" s="1" t="s">
        <v>1023</v>
      </c>
      <c r="DO1788" s="1" t="s">
        <v>17471</v>
      </c>
      <c r="DP1788" s="1" t="s">
        <v>340</v>
      </c>
      <c r="DQ1788" s="1" t="s">
        <v>228</v>
      </c>
      <c r="DR1788" s="1" t="s">
        <v>229</v>
      </c>
      <c r="DS1788" s="1" t="s">
        <v>591</v>
      </c>
      <c r="DU1788" s="1" t="s">
        <v>17472</v>
      </c>
      <c r="DV1788" s="1" t="s">
        <v>6844</v>
      </c>
      <c r="DW1788" s="1" t="s">
        <v>370</v>
      </c>
      <c r="DX1788" s="1" t="s">
        <v>234</v>
      </c>
      <c r="DY1788" s="1" t="s">
        <v>8670</v>
      </c>
      <c r="EA1788" s="1" t="s">
        <v>447</v>
      </c>
      <c r="EB1788" s="1" t="s">
        <v>1639</v>
      </c>
      <c r="EC1788" s="1" t="s">
        <v>237</v>
      </c>
      <c r="ED1788" s="1" t="s">
        <v>407</v>
      </c>
      <c r="EE1788" s="1" t="s">
        <v>493</v>
      </c>
      <c r="EG1788" s="1" t="s">
        <v>1028</v>
      </c>
      <c r="EH1788" s="1" t="s">
        <v>408</v>
      </c>
      <c r="EL1788" s="1" t="s">
        <v>211</v>
      </c>
      <c r="EM1788" s="1" t="s">
        <v>206</v>
      </c>
      <c r="EN1788" s="1" t="s">
        <v>210</v>
      </c>
      <c r="EO1788" s="1" t="s">
        <v>431</v>
      </c>
      <c r="EP1788" s="1" t="s">
        <v>263</v>
      </c>
      <c r="EQ1788" s="1" t="s">
        <v>206</v>
      </c>
      <c r="ER1788" s="1" t="s">
        <v>207</v>
      </c>
      <c r="ES1788" s="1" t="s">
        <v>229</v>
      </c>
      <c r="EU1788" s="1" t="s">
        <v>238</v>
      </c>
      <c r="EY1788" s="1" t="s">
        <v>238</v>
      </c>
      <c r="FC1788" s="1" t="s">
        <v>238</v>
      </c>
      <c r="FF1788" s="1" t="s">
        <v>239</v>
      </c>
      <c r="FG1788" s="1" t="s">
        <v>192</v>
      </c>
      <c r="FH1788" s="1" t="s">
        <v>192</v>
      </c>
      <c r="FJ1788" s="1" t="s">
        <v>347</v>
      </c>
      <c r="FK1788" s="1" t="s">
        <v>229</v>
      </c>
      <c r="FL1788" s="1" t="s">
        <v>17473</v>
      </c>
      <c r="FM1788" s="1">
        <v>7480.0</v>
      </c>
      <c r="FN1788" s="1" t="s">
        <v>17474</v>
      </c>
      <c r="FO1788" s="1" t="s">
        <v>17475</v>
      </c>
      <c r="FP1788" s="1">
        <v>70383.0</v>
      </c>
      <c r="FQ1788" s="1" t="s">
        <v>17476</v>
      </c>
      <c r="FS1788" s="1" t="s">
        <v>17477</v>
      </c>
      <c r="FU1788" s="1" t="s">
        <v>17478</v>
      </c>
      <c r="FV1788" s="1" t="s">
        <v>200</v>
      </c>
      <c r="FW1788" s="1" t="s">
        <v>290</v>
      </c>
      <c r="FZ1788" s="1" t="s">
        <v>229</v>
      </c>
      <c r="GA1788" s="1" t="s">
        <v>291</v>
      </c>
      <c r="GB1788" s="2">
        <v>42004.0</v>
      </c>
      <c r="GC1788" s="1" t="s">
        <v>17479</v>
      </c>
    </row>
    <row r="1789">
      <c r="A1789" s="1">
        <v>319240.0</v>
      </c>
      <c r="B1789" s="1" t="s">
        <v>185</v>
      </c>
      <c r="C1789" s="1" t="str">
        <f>"08705724"</f>
        <v>08705724</v>
      </c>
      <c r="D1789" s="1" t="s">
        <v>186</v>
      </c>
      <c r="F1789" s="1" t="str">
        <f t="shared" ref="F1789:F1790" si="1185">"123"</f>
        <v>123</v>
      </c>
      <c r="G1789" s="2">
        <v>41870.0</v>
      </c>
      <c r="H1789" s="1">
        <v>331100.0</v>
      </c>
      <c r="I1789" s="1">
        <v>1.0</v>
      </c>
      <c r="J1789" s="1">
        <v>331100.0</v>
      </c>
      <c r="K1789" s="2">
        <v>41870.0</v>
      </c>
      <c r="L1789" s="1">
        <v>1.0</v>
      </c>
      <c r="M1789" s="2">
        <v>41870.0</v>
      </c>
      <c r="N1789" s="1" t="s">
        <v>187</v>
      </c>
      <c r="O1789" s="2">
        <v>42048.0</v>
      </c>
      <c r="P1789" s="1">
        <v>99995.0</v>
      </c>
      <c r="Q1789" s="1" t="s">
        <v>947</v>
      </c>
      <c r="S1789" s="1">
        <v>3007.0</v>
      </c>
      <c r="T1789" s="1" t="s">
        <v>17480</v>
      </c>
      <c r="U1789" s="1" t="s">
        <v>464</v>
      </c>
      <c r="V1789" s="1" t="s">
        <v>465</v>
      </c>
      <c r="W1789" s="1">
        <v>60124.0</v>
      </c>
      <c r="Y1789" s="1" t="s">
        <v>17481</v>
      </c>
      <c r="Z1789" s="1">
        <v>2014.0</v>
      </c>
      <c r="AA1789" s="1" t="s">
        <v>200</v>
      </c>
      <c r="AB1789" s="1" t="s">
        <v>467</v>
      </c>
      <c r="AC1789" s="1" t="s">
        <v>13378</v>
      </c>
      <c r="AD1789" s="1" t="s">
        <v>469</v>
      </c>
      <c r="AE1789" s="1" t="s">
        <v>325</v>
      </c>
      <c r="AF1789" s="1" t="s">
        <v>469</v>
      </c>
      <c r="AG1789" s="1" t="s">
        <v>1177</v>
      </c>
      <c r="AH1789" s="1" t="s">
        <v>13380</v>
      </c>
      <c r="AK1789" s="1">
        <v>8.0</v>
      </c>
      <c r="AL1789" s="1">
        <v>4.0</v>
      </c>
      <c r="AM1789" s="1">
        <v>2.0</v>
      </c>
      <c r="AN1789" s="1">
        <v>1.0</v>
      </c>
      <c r="AO1789" s="1" t="s">
        <v>198</v>
      </c>
      <c r="AQ1789" s="1" t="s">
        <v>198</v>
      </c>
      <c r="AR1789" s="1" t="s">
        <v>200</v>
      </c>
      <c r="AS1789" s="1" t="s">
        <v>199</v>
      </c>
      <c r="AT1789" s="1">
        <v>3.0</v>
      </c>
      <c r="AV1789" s="1" t="s">
        <v>200</v>
      </c>
      <c r="AW1789" s="1" t="s">
        <v>575</v>
      </c>
      <c r="AX1789" s="1">
        <v>2012.0</v>
      </c>
      <c r="AZ1789" s="1" t="s">
        <v>200</v>
      </c>
      <c r="BA1789" s="1" t="str">
        <f>"0619179005"</f>
        <v>0619179005</v>
      </c>
      <c r="BC1789" s="1">
        <v>2614.0</v>
      </c>
      <c r="BD1789" s="1">
        <v>319240.0</v>
      </c>
      <c r="BE1789" s="2">
        <v>41870.0</v>
      </c>
      <c r="BF1789" s="1" t="s">
        <v>17482</v>
      </c>
      <c r="BG1789" s="1" t="s">
        <v>3686</v>
      </c>
      <c r="BH1789" s="1">
        <v>276.0</v>
      </c>
      <c r="BI1789" s="1" t="s">
        <v>578</v>
      </c>
      <c r="BJ1789" s="1" t="s">
        <v>579</v>
      </c>
      <c r="BK1789" s="1" t="s">
        <v>580</v>
      </c>
      <c r="BL1789" s="1" t="str">
        <f t="shared" ref="BL1789:BM1789" si="1184">""</f>
        <v/>
      </c>
      <c r="BM1789" s="1" t="str">
        <f t="shared" si="1184"/>
        <v/>
      </c>
      <c r="BQ1789" s="1">
        <v>301.0</v>
      </c>
      <c r="BR1789" s="1">
        <v>301.0</v>
      </c>
      <c r="BS1789" s="1">
        <v>301.0</v>
      </c>
      <c r="BV1789" s="1" t="s">
        <v>204</v>
      </c>
      <c r="BY1789" s="1" t="s">
        <v>329</v>
      </c>
      <c r="BZ1789" s="1" t="s">
        <v>209</v>
      </c>
      <c r="CA1789" s="1" t="s">
        <v>210</v>
      </c>
      <c r="CB1789" s="1" t="s">
        <v>229</v>
      </c>
      <c r="CD1789" s="1" t="s">
        <v>204</v>
      </c>
      <c r="CG1789" s="1" t="s">
        <v>302</v>
      </c>
      <c r="CH1789" s="1" t="s">
        <v>209</v>
      </c>
      <c r="CI1789" s="1" t="s">
        <v>210</v>
      </c>
      <c r="CJ1789" s="1" t="s">
        <v>229</v>
      </c>
      <c r="CK1789" s="1" t="s">
        <v>663</v>
      </c>
      <c r="CL1789" s="1" t="s">
        <v>209</v>
      </c>
      <c r="CM1789" s="1" t="s">
        <v>210</v>
      </c>
      <c r="CN1789" s="1" t="s">
        <v>229</v>
      </c>
      <c r="CO1789" s="1" t="s">
        <v>212</v>
      </c>
      <c r="CP1789" s="1" t="s">
        <v>209</v>
      </c>
      <c r="CQ1789" s="1" t="s">
        <v>210</v>
      </c>
      <c r="CR1789" s="1" t="s">
        <v>229</v>
      </c>
      <c r="CS1789" s="1" t="s">
        <v>647</v>
      </c>
      <c r="CT1789" s="1" t="s">
        <v>206</v>
      </c>
      <c r="CU1789" s="1" t="s">
        <v>617</v>
      </c>
      <c r="CV1789" s="1" t="s">
        <v>229</v>
      </c>
      <c r="CX1789" s="1" t="s">
        <v>204</v>
      </c>
      <c r="DA1789" s="1" t="s">
        <v>192</v>
      </c>
      <c r="DB1789" s="2">
        <v>42050.0</v>
      </c>
      <c r="DC1789" s="1" t="s">
        <v>744</v>
      </c>
      <c r="DE1789" s="1" t="s">
        <v>273</v>
      </c>
      <c r="DF1789" s="1" t="s">
        <v>619</v>
      </c>
      <c r="DH1789" s="1" t="s">
        <v>220</v>
      </c>
      <c r="DI1789" s="1" t="s">
        <v>1021</v>
      </c>
      <c r="DJ1789" s="1" t="s">
        <v>222</v>
      </c>
      <c r="DL1789" s="1" t="s">
        <v>223</v>
      </c>
      <c r="DM1789" s="1" t="s">
        <v>338</v>
      </c>
      <c r="DQ1789" s="1" t="s">
        <v>228</v>
      </c>
      <c r="DR1789" s="1" t="s">
        <v>588</v>
      </c>
      <c r="DV1789" s="1" t="s">
        <v>17483</v>
      </c>
      <c r="DW1789" s="1" t="s">
        <v>17484</v>
      </c>
      <c r="DX1789" s="1" t="s">
        <v>234</v>
      </c>
      <c r="EC1789" s="1" t="s">
        <v>237</v>
      </c>
      <c r="EG1789" s="1" t="s">
        <v>1164</v>
      </c>
      <c r="EH1789" s="1" t="s">
        <v>341</v>
      </c>
      <c r="EI1789" s="1" t="s">
        <v>494</v>
      </c>
      <c r="EL1789" s="1" t="s">
        <v>2120</v>
      </c>
      <c r="EM1789" s="1" t="s">
        <v>206</v>
      </c>
      <c r="EN1789" s="1" t="s">
        <v>210</v>
      </c>
      <c r="EO1789" s="1" t="s">
        <v>229</v>
      </c>
      <c r="EP1789" s="1" t="s">
        <v>699</v>
      </c>
      <c r="EQ1789" s="1" t="s">
        <v>209</v>
      </c>
      <c r="ER1789" s="1" t="s">
        <v>210</v>
      </c>
      <c r="ES1789" s="1" t="s">
        <v>229</v>
      </c>
      <c r="ET1789" s="1" t="s">
        <v>1190</v>
      </c>
      <c r="EU1789" s="1" t="s">
        <v>206</v>
      </c>
      <c r="EV1789" s="1" t="s">
        <v>210</v>
      </c>
      <c r="EW1789" s="1" t="s">
        <v>229</v>
      </c>
      <c r="EY1789" s="1" t="s">
        <v>238</v>
      </c>
      <c r="FC1789" s="1" t="s">
        <v>238</v>
      </c>
      <c r="FF1789" s="1" t="s">
        <v>239</v>
      </c>
      <c r="FG1789" s="1" t="s">
        <v>192</v>
      </c>
      <c r="FH1789" s="1" t="s">
        <v>192</v>
      </c>
      <c r="FJ1789" s="1" t="s">
        <v>14367</v>
      </c>
      <c r="FK1789" s="1" t="s">
        <v>229</v>
      </c>
      <c r="FL1789" s="1" t="s">
        <v>1192</v>
      </c>
      <c r="FM1789" s="1">
        <v>8702.0</v>
      </c>
      <c r="FN1789" s="1" t="s">
        <v>1193</v>
      </c>
      <c r="FO1789" s="1" t="s">
        <v>1194</v>
      </c>
      <c r="FP1789" s="1">
        <v>21163.0</v>
      </c>
      <c r="FQ1789" s="1" t="s">
        <v>1195</v>
      </c>
      <c r="FU1789" s="1" t="s">
        <v>17485</v>
      </c>
      <c r="FV1789" s="1" t="s">
        <v>200</v>
      </c>
      <c r="FW1789" s="1" t="s">
        <v>1197</v>
      </c>
      <c r="FZ1789" s="1" t="s">
        <v>229</v>
      </c>
      <c r="GA1789" s="1" t="s">
        <v>291</v>
      </c>
      <c r="GB1789" s="2">
        <v>42051.0</v>
      </c>
      <c r="GC1789" s="1" t="s">
        <v>17486</v>
      </c>
    </row>
    <row r="1790">
      <c r="A1790" s="1">
        <v>369225.0</v>
      </c>
      <c r="B1790" s="1" t="s">
        <v>185</v>
      </c>
      <c r="C1790" s="1" t="str">
        <f>"08705947"</f>
        <v>08705947</v>
      </c>
      <c r="D1790" s="1" t="s">
        <v>186</v>
      </c>
      <c r="F1790" s="1" t="str">
        <f t="shared" si="1185"/>
        <v>123</v>
      </c>
      <c r="G1790" s="2">
        <v>41870.0</v>
      </c>
      <c r="H1790" s="1">
        <v>360100.0</v>
      </c>
      <c r="I1790" s="1">
        <v>1.0</v>
      </c>
      <c r="J1790" s="1">
        <v>360100.0</v>
      </c>
      <c r="K1790" s="2">
        <v>41870.0</v>
      </c>
      <c r="L1790" s="1">
        <v>1.0</v>
      </c>
      <c r="M1790" s="2">
        <v>41870.0</v>
      </c>
      <c r="N1790" s="1" t="s">
        <v>187</v>
      </c>
      <c r="O1790" s="2">
        <v>42031.0</v>
      </c>
      <c r="P1790" s="1">
        <v>99995.0</v>
      </c>
      <c r="Q1790" s="1" t="s">
        <v>947</v>
      </c>
      <c r="S1790" s="1">
        <v>3003.0</v>
      </c>
      <c r="T1790" s="1" t="s">
        <v>17480</v>
      </c>
      <c r="U1790" s="1" t="s">
        <v>464</v>
      </c>
      <c r="V1790" s="1" t="s">
        <v>465</v>
      </c>
      <c r="W1790" s="1">
        <v>60124.0</v>
      </c>
      <c r="Y1790" s="1" t="s">
        <v>13377</v>
      </c>
      <c r="Z1790" s="1">
        <v>2014.0</v>
      </c>
      <c r="AA1790" s="1" t="s">
        <v>200</v>
      </c>
      <c r="AB1790" s="1" t="s">
        <v>467</v>
      </c>
      <c r="AC1790" s="1" t="s">
        <v>13378</v>
      </c>
      <c r="AD1790" s="1" t="s">
        <v>469</v>
      </c>
      <c r="AE1790" s="1" t="s">
        <v>325</v>
      </c>
      <c r="AF1790" s="1" t="s">
        <v>469</v>
      </c>
      <c r="AG1790" s="1" t="s">
        <v>13379</v>
      </c>
      <c r="AH1790" s="1" t="s">
        <v>13380</v>
      </c>
      <c r="AK1790" s="1">
        <v>11.0</v>
      </c>
      <c r="AL1790" s="1">
        <v>4.0</v>
      </c>
      <c r="AM1790" s="1">
        <v>2.0</v>
      </c>
      <c r="AN1790" s="1">
        <v>1.0</v>
      </c>
      <c r="AO1790" s="1" t="s">
        <v>198</v>
      </c>
      <c r="AQ1790" s="1" t="s">
        <v>198</v>
      </c>
      <c r="AR1790" s="1" t="s">
        <v>200</v>
      </c>
      <c r="AS1790" s="1" t="s">
        <v>199</v>
      </c>
      <c r="AT1790" s="1">
        <v>3.0</v>
      </c>
      <c r="AV1790" s="1" t="s">
        <v>200</v>
      </c>
      <c r="AW1790" s="1" t="s">
        <v>575</v>
      </c>
      <c r="AX1790" s="1">
        <v>2012.0</v>
      </c>
      <c r="AZ1790" s="1" t="s">
        <v>200</v>
      </c>
      <c r="BA1790" s="1" t="str">
        <f>"0619179007"</f>
        <v>0619179007</v>
      </c>
      <c r="BC1790" s="1">
        <v>3127.0</v>
      </c>
      <c r="BD1790" s="1">
        <v>369225.0</v>
      </c>
      <c r="BE1790" s="2">
        <v>41870.0</v>
      </c>
      <c r="BF1790" s="1" t="s">
        <v>17487</v>
      </c>
      <c r="BG1790" s="1" t="s">
        <v>3686</v>
      </c>
      <c r="BH1790" s="1">
        <v>276.0</v>
      </c>
      <c r="BI1790" s="1" t="s">
        <v>578</v>
      </c>
      <c r="BJ1790" s="1" t="s">
        <v>579</v>
      </c>
      <c r="BK1790" s="1" t="s">
        <v>580</v>
      </c>
      <c r="BL1790" s="1" t="str">
        <f t="shared" ref="BL1790:BM1790" si="1186">""</f>
        <v/>
      </c>
      <c r="BM1790" s="1" t="str">
        <f t="shared" si="1186"/>
        <v/>
      </c>
      <c r="BQ1790" s="1">
        <v>301.0</v>
      </c>
      <c r="BR1790" s="1">
        <v>301.0</v>
      </c>
      <c r="BS1790" s="1">
        <v>301.0</v>
      </c>
      <c r="BV1790" s="1" t="s">
        <v>204</v>
      </c>
      <c r="BY1790" s="1" t="s">
        <v>1063</v>
      </c>
      <c r="BZ1790" s="1" t="s">
        <v>209</v>
      </c>
      <c r="CA1790" s="1" t="s">
        <v>210</v>
      </c>
      <c r="CB1790" s="1" t="s">
        <v>229</v>
      </c>
      <c r="CC1790" s="1" t="s">
        <v>2459</v>
      </c>
      <c r="CD1790" s="1" t="s">
        <v>206</v>
      </c>
      <c r="CE1790" s="1" t="s">
        <v>210</v>
      </c>
      <c r="CG1790" s="1" t="s">
        <v>332</v>
      </c>
      <c r="CH1790" s="1" t="s">
        <v>209</v>
      </c>
      <c r="CI1790" s="1" t="s">
        <v>210</v>
      </c>
      <c r="CJ1790" s="1" t="s">
        <v>229</v>
      </c>
      <c r="CK1790" s="1" t="s">
        <v>331</v>
      </c>
      <c r="CL1790" s="1" t="s">
        <v>209</v>
      </c>
      <c r="CM1790" s="1" t="s">
        <v>210</v>
      </c>
      <c r="CN1790" s="1" t="s">
        <v>229</v>
      </c>
      <c r="CO1790" s="1" t="s">
        <v>331</v>
      </c>
      <c r="CP1790" s="1" t="s">
        <v>209</v>
      </c>
      <c r="CQ1790" s="1" t="s">
        <v>210</v>
      </c>
      <c r="CR1790" s="1" t="s">
        <v>229</v>
      </c>
      <c r="CS1790" s="1" t="s">
        <v>647</v>
      </c>
      <c r="CT1790" s="1" t="s">
        <v>206</v>
      </c>
      <c r="CU1790" s="1" t="s">
        <v>617</v>
      </c>
      <c r="CV1790" s="1" t="s">
        <v>229</v>
      </c>
      <c r="CW1790" s="1" t="s">
        <v>6175</v>
      </c>
      <c r="CX1790" s="1" t="s">
        <v>206</v>
      </c>
      <c r="CY1790" s="1" t="s">
        <v>210</v>
      </c>
      <c r="CZ1790" s="1" t="s">
        <v>229</v>
      </c>
      <c r="DA1790" s="1" t="s">
        <v>192</v>
      </c>
      <c r="DB1790" s="2">
        <v>42050.0</v>
      </c>
      <c r="DC1790" s="1" t="s">
        <v>744</v>
      </c>
      <c r="DD1790" s="1" t="s">
        <v>1930</v>
      </c>
      <c r="DE1790" s="1" t="s">
        <v>273</v>
      </c>
      <c r="DF1790" s="1" t="s">
        <v>619</v>
      </c>
      <c r="DH1790" s="1" t="s">
        <v>220</v>
      </c>
      <c r="DI1790" s="1" t="s">
        <v>275</v>
      </c>
      <c r="DJ1790" s="1" t="s">
        <v>222</v>
      </c>
      <c r="DL1790" s="1" t="s">
        <v>223</v>
      </c>
      <c r="DM1790" s="1" t="s">
        <v>338</v>
      </c>
      <c r="DN1790" s="1" t="s">
        <v>339</v>
      </c>
      <c r="DP1790" s="1" t="s">
        <v>227</v>
      </c>
      <c r="DQ1790" s="1" t="s">
        <v>228</v>
      </c>
      <c r="DR1790" s="1" t="s">
        <v>588</v>
      </c>
      <c r="DV1790" s="1" t="s">
        <v>13382</v>
      </c>
      <c r="DW1790" s="1" t="s">
        <v>17484</v>
      </c>
      <c r="DX1790" s="1" t="s">
        <v>234</v>
      </c>
      <c r="DY1790" s="1" t="s">
        <v>3075</v>
      </c>
      <c r="EC1790" s="1" t="s">
        <v>237</v>
      </c>
      <c r="ED1790" s="1" t="s">
        <v>6543</v>
      </c>
      <c r="EG1790" s="1" t="s">
        <v>1164</v>
      </c>
      <c r="EH1790" s="1" t="s">
        <v>341</v>
      </c>
      <c r="EI1790" s="1" t="s">
        <v>494</v>
      </c>
      <c r="EJ1790" s="1" t="s">
        <v>556</v>
      </c>
      <c r="EL1790" s="1" t="s">
        <v>924</v>
      </c>
      <c r="EM1790" s="1" t="s">
        <v>206</v>
      </c>
      <c r="EN1790" s="1" t="s">
        <v>210</v>
      </c>
      <c r="EO1790" s="1" t="s">
        <v>229</v>
      </c>
      <c r="EP1790" s="1" t="s">
        <v>262</v>
      </c>
      <c r="EQ1790" s="1" t="s">
        <v>209</v>
      </c>
      <c r="ER1790" s="1" t="s">
        <v>210</v>
      </c>
      <c r="ES1790" s="1" t="s">
        <v>229</v>
      </c>
      <c r="ET1790" s="1" t="s">
        <v>663</v>
      </c>
      <c r="EU1790" s="1" t="s">
        <v>206</v>
      </c>
      <c r="EV1790" s="1" t="s">
        <v>210</v>
      </c>
      <c r="EX1790" s="1" t="s">
        <v>475</v>
      </c>
      <c r="EY1790" s="1" t="s">
        <v>206</v>
      </c>
      <c r="EZ1790" s="1" t="s">
        <v>210</v>
      </c>
      <c r="FC1790" s="1" t="s">
        <v>238</v>
      </c>
      <c r="FF1790" s="1" t="s">
        <v>239</v>
      </c>
      <c r="FG1790" s="1" t="s">
        <v>192</v>
      </c>
      <c r="FH1790" s="1" t="s">
        <v>192</v>
      </c>
      <c r="FJ1790" s="1" t="s">
        <v>14367</v>
      </c>
      <c r="FK1790" s="1" t="s">
        <v>229</v>
      </c>
      <c r="FL1790" s="1" t="s">
        <v>1192</v>
      </c>
      <c r="FM1790" s="1">
        <v>8702.0</v>
      </c>
      <c r="FN1790" s="1" t="s">
        <v>1193</v>
      </c>
      <c r="FO1790" s="1" t="s">
        <v>1194</v>
      </c>
      <c r="FP1790" s="1">
        <v>21163.0</v>
      </c>
      <c r="FQ1790" s="1" t="s">
        <v>1195</v>
      </c>
      <c r="FU1790" s="1" t="s">
        <v>17488</v>
      </c>
      <c r="FV1790" s="1" t="s">
        <v>200</v>
      </c>
      <c r="FW1790" s="1" t="s">
        <v>17489</v>
      </c>
      <c r="FZ1790" s="1" t="s">
        <v>229</v>
      </c>
      <c r="GA1790" s="1" t="s">
        <v>291</v>
      </c>
      <c r="GB1790" s="2">
        <v>42033.0</v>
      </c>
      <c r="GC1790" s="1" t="s">
        <v>17490</v>
      </c>
    </row>
    <row r="1791">
      <c r="A1791" s="1">
        <v>253000.0</v>
      </c>
      <c r="B1791" s="1" t="s">
        <v>185</v>
      </c>
      <c r="C1791" s="1" t="str">
        <f>"08704167"</f>
        <v>08704167</v>
      </c>
      <c r="D1791" s="1" t="s">
        <v>186</v>
      </c>
      <c r="F1791" s="1" t="str">
        <f>"8017"</f>
        <v>8017</v>
      </c>
      <c r="G1791" s="2">
        <v>41869.0</v>
      </c>
      <c r="H1791" s="1">
        <v>269000.0</v>
      </c>
      <c r="I1791" s="1">
        <v>213.0</v>
      </c>
      <c r="J1791" s="1">
        <v>269000.0</v>
      </c>
      <c r="K1791" s="2">
        <v>42080.0</v>
      </c>
      <c r="L1791" s="1">
        <v>213.0</v>
      </c>
      <c r="M1791" s="2">
        <v>42080.0</v>
      </c>
      <c r="N1791" s="1" t="s">
        <v>187</v>
      </c>
      <c r="O1791" s="2">
        <v>42123.0</v>
      </c>
      <c r="P1791" s="1">
        <v>137965.0</v>
      </c>
      <c r="Q1791" s="1">
        <v>85382.0</v>
      </c>
      <c r="S1791" s="1">
        <v>3543.0</v>
      </c>
      <c r="T1791" s="1" t="s">
        <v>17491</v>
      </c>
      <c r="U1791" s="1" t="s">
        <v>189</v>
      </c>
      <c r="V1791" s="1" t="s">
        <v>190</v>
      </c>
      <c r="W1791" s="1">
        <v>60634.0</v>
      </c>
      <c r="Y1791" s="1" t="s">
        <v>17492</v>
      </c>
      <c r="Z1791" s="1">
        <v>1967.0</v>
      </c>
      <c r="AA1791" s="1" t="s">
        <v>192</v>
      </c>
      <c r="AB1791" s="1" t="s">
        <v>193</v>
      </c>
      <c r="AD1791" s="1" t="s">
        <v>194</v>
      </c>
      <c r="AE1791" s="1" t="s">
        <v>195</v>
      </c>
      <c r="AF1791" s="1" t="s">
        <v>196</v>
      </c>
      <c r="AH1791" s="1" t="s">
        <v>1115</v>
      </c>
      <c r="AK1791" s="1">
        <v>7.0</v>
      </c>
      <c r="AL1791" s="1">
        <v>3.0</v>
      </c>
      <c r="AM1791" s="1">
        <v>2.0</v>
      </c>
      <c r="AN1791" s="1">
        <v>0.0</v>
      </c>
      <c r="AO1791" s="1" t="s">
        <v>1261</v>
      </c>
      <c r="AQ1791" s="1" t="s">
        <v>327</v>
      </c>
      <c r="AR1791" s="1" t="s">
        <v>192</v>
      </c>
      <c r="AS1791" s="1" t="s">
        <v>199</v>
      </c>
      <c r="AT1791" s="1">
        <v>2.0</v>
      </c>
      <c r="AV1791" s="1" t="s">
        <v>200</v>
      </c>
      <c r="AW1791" s="1">
        <v>3851.56</v>
      </c>
      <c r="AX1791" s="1">
        <v>2013.0</v>
      </c>
      <c r="AY1791" s="1" t="s">
        <v>387</v>
      </c>
      <c r="AZ1791" s="1" t="s">
        <v>200</v>
      </c>
      <c r="BA1791" s="1" t="str">
        <f>"12243050140000"</f>
        <v>12243050140000</v>
      </c>
      <c r="BB1791" s="1" t="s">
        <v>200</v>
      </c>
      <c r="BC1791" s="1">
        <v>1600.0</v>
      </c>
      <c r="BD1791" s="1">
        <v>253000.0</v>
      </c>
      <c r="BE1791" s="2">
        <v>41868.0</v>
      </c>
      <c r="BF1791" s="2" t="s">
        <v>17493</v>
      </c>
      <c r="BH1791" s="1">
        <v>0.0</v>
      </c>
      <c r="BK1791" s="1" t="s">
        <v>204</v>
      </c>
      <c r="BL1791" s="1" t="str">
        <f>"3543"</f>
        <v>3543</v>
      </c>
      <c r="BM1791" s="1" t="str">
        <f>"0"</f>
        <v>0</v>
      </c>
      <c r="BN1791" s="1">
        <v>7700.0</v>
      </c>
      <c r="BO1791" s="1">
        <v>0.0</v>
      </c>
      <c r="BQ1791" s="1">
        <v>299.0</v>
      </c>
      <c r="BR1791" s="1">
        <v>299.0</v>
      </c>
      <c r="BS1791" s="1">
        <v>299.0</v>
      </c>
      <c r="BU1791" s="1" t="s">
        <v>1043</v>
      </c>
      <c r="BV1791" s="1" t="s">
        <v>206</v>
      </c>
      <c r="BW1791" s="1" t="s">
        <v>207</v>
      </c>
      <c r="BX1791" s="1" t="s">
        <v>239</v>
      </c>
      <c r="BY1791" s="1" t="s">
        <v>1417</v>
      </c>
      <c r="BZ1791" s="1" t="s">
        <v>206</v>
      </c>
      <c r="CA1791" s="1" t="s">
        <v>207</v>
      </c>
      <c r="CB1791" s="1" t="s">
        <v>239</v>
      </c>
      <c r="CD1791" s="1" t="s">
        <v>204</v>
      </c>
      <c r="CG1791" s="1" t="s">
        <v>663</v>
      </c>
      <c r="CH1791" s="1" t="s">
        <v>206</v>
      </c>
      <c r="CI1791" s="1" t="s">
        <v>207</v>
      </c>
      <c r="CJ1791" s="1" t="s">
        <v>239</v>
      </c>
      <c r="CK1791" s="1" t="s">
        <v>303</v>
      </c>
      <c r="CL1791" s="1" t="s">
        <v>206</v>
      </c>
      <c r="CM1791" s="1" t="s">
        <v>207</v>
      </c>
      <c r="CN1791" s="1" t="s">
        <v>239</v>
      </c>
      <c r="CO1791" s="1" t="s">
        <v>264</v>
      </c>
      <c r="CP1791" s="1" t="s">
        <v>42</v>
      </c>
      <c r="CQ1791" s="1" t="s">
        <v>268</v>
      </c>
      <c r="CR1791" s="1" t="s">
        <v>229</v>
      </c>
      <c r="CS1791" s="1" t="s">
        <v>3672</v>
      </c>
      <c r="CT1791" s="1" t="s">
        <v>206</v>
      </c>
      <c r="CU1791" s="1" t="s">
        <v>1136</v>
      </c>
      <c r="CV1791" s="1" t="s">
        <v>239</v>
      </c>
      <c r="CX1791" s="1" t="s">
        <v>204</v>
      </c>
      <c r="DA1791" s="1" t="s">
        <v>200</v>
      </c>
      <c r="DC1791" s="1" t="s">
        <v>517</v>
      </c>
      <c r="DD1791" s="1" t="s">
        <v>518</v>
      </c>
      <c r="DE1791" s="1" t="s">
        <v>273</v>
      </c>
      <c r="DF1791" s="1" t="s">
        <v>219</v>
      </c>
      <c r="DG1791" s="1" t="s">
        <v>1400</v>
      </c>
      <c r="DH1791" s="1" t="s">
        <v>307</v>
      </c>
      <c r="DI1791" s="1" t="s">
        <v>3203</v>
      </c>
      <c r="DJ1791" s="1" t="s">
        <v>13210</v>
      </c>
      <c r="DK1791" s="1" t="s">
        <v>1555</v>
      </c>
      <c r="DL1791" s="1" t="s">
        <v>1161</v>
      </c>
      <c r="DM1791" s="1" t="s">
        <v>1143</v>
      </c>
      <c r="DO1791" s="1" t="s">
        <v>549</v>
      </c>
      <c r="DQ1791" s="1" t="s">
        <v>228</v>
      </c>
      <c r="DR1791" s="1" t="s">
        <v>229</v>
      </c>
      <c r="DS1791" s="1" t="s">
        <v>401</v>
      </c>
      <c r="DU1791" s="1" t="s">
        <v>14660</v>
      </c>
      <c r="DV1791" s="1" t="s">
        <v>14336</v>
      </c>
      <c r="DW1791" s="1" t="s">
        <v>279</v>
      </c>
      <c r="DX1791" s="1" t="s">
        <v>234</v>
      </c>
      <c r="DZ1791" s="1" t="s">
        <v>9128</v>
      </c>
      <c r="EA1791" s="1" t="s">
        <v>1302</v>
      </c>
      <c r="EC1791" s="1" t="s">
        <v>685</v>
      </c>
      <c r="ED1791" s="1" t="s">
        <v>407</v>
      </c>
      <c r="EG1791" s="1" t="s">
        <v>1407</v>
      </c>
      <c r="EH1791" s="1" t="s">
        <v>374</v>
      </c>
      <c r="EL1791" s="1" t="s">
        <v>363</v>
      </c>
      <c r="EM1791" s="1" t="s">
        <v>42</v>
      </c>
      <c r="EN1791" s="1" t="s">
        <v>268</v>
      </c>
      <c r="EP1791" s="1" t="s">
        <v>1852</v>
      </c>
      <c r="EQ1791" s="1" t="s">
        <v>206</v>
      </c>
      <c r="ER1791" s="1" t="s">
        <v>617</v>
      </c>
      <c r="EU1791" s="1" t="s">
        <v>238</v>
      </c>
      <c r="EY1791" s="1" t="s">
        <v>238</v>
      </c>
      <c r="FC1791" s="1" t="s">
        <v>238</v>
      </c>
      <c r="FF1791" s="1" t="s">
        <v>239</v>
      </c>
      <c r="FG1791" s="1" t="s">
        <v>192</v>
      </c>
      <c r="FH1791" s="1" t="s">
        <v>192</v>
      </c>
      <c r="FJ1791" s="1" t="s">
        <v>524</v>
      </c>
      <c r="FK1791" s="1" t="s">
        <v>229</v>
      </c>
      <c r="FL1791" s="1" t="s">
        <v>17494</v>
      </c>
      <c r="FM1791" s="1">
        <v>85477.0</v>
      </c>
      <c r="FN1791" s="1" t="s">
        <v>17495</v>
      </c>
      <c r="FO1791" s="1" t="s">
        <v>17496</v>
      </c>
      <c r="FP1791" s="1">
        <v>106895.0</v>
      </c>
      <c r="FQ1791" s="1" t="s">
        <v>17495</v>
      </c>
      <c r="FT1791" s="1" t="s">
        <v>6367</v>
      </c>
      <c r="FU1791" s="1" t="s">
        <v>17497</v>
      </c>
      <c r="FV1791" s="1" t="s">
        <v>200</v>
      </c>
      <c r="FW1791" s="1" t="s">
        <v>567</v>
      </c>
      <c r="FX1791" s="1" t="s">
        <v>238</v>
      </c>
      <c r="FZ1791" s="1" t="s">
        <v>229</v>
      </c>
      <c r="GA1791" s="1" t="s">
        <v>291</v>
      </c>
      <c r="GB1791" s="2">
        <v>42128.0</v>
      </c>
      <c r="GC1791" s="1" t="s">
        <v>17498</v>
      </c>
    </row>
    <row r="1792">
      <c r="A1792" s="1">
        <v>338083.0</v>
      </c>
      <c r="B1792" s="1" t="s">
        <v>185</v>
      </c>
      <c r="C1792" s="1" t="str">
        <f>"08702596"</f>
        <v>08702596</v>
      </c>
      <c r="D1792" s="1" t="s">
        <v>186</v>
      </c>
      <c r="F1792" s="1" t="str">
        <f>"177"</f>
        <v>177</v>
      </c>
      <c r="G1792" s="2">
        <v>41866.0</v>
      </c>
      <c r="H1792" s="1">
        <v>298430.0</v>
      </c>
      <c r="I1792" s="1">
        <v>2.0</v>
      </c>
      <c r="J1792" s="1">
        <v>298430.0</v>
      </c>
      <c r="K1792" s="2">
        <v>41866.0</v>
      </c>
      <c r="L1792" s="1">
        <v>2.0</v>
      </c>
      <c r="M1792" s="2">
        <v>41866.0</v>
      </c>
      <c r="N1792" s="1" t="s">
        <v>187</v>
      </c>
      <c r="O1792" s="2">
        <v>42073.0</v>
      </c>
      <c r="P1792" s="1">
        <v>244526.0</v>
      </c>
      <c r="Q1792" s="1">
        <v>24007.0</v>
      </c>
      <c r="S1792" s="1">
        <v>3.0</v>
      </c>
      <c r="T1792" s="1" t="s">
        <v>17499</v>
      </c>
      <c r="U1792" s="1" t="s">
        <v>1015</v>
      </c>
      <c r="V1792" s="1" t="s">
        <v>2249</v>
      </c>
      <c r="W1792" s="1">
        <v>60177.0</v>
      </c>
      <c r="Y1792" s="1" t="s">
        <v>11123</v>
      </c>
      <c r="Z1792" s="1">
        <v>2014.0</v>
      </c>
      <c r="AA1792" s="1" t="s">
        <v>200</v>
      </c>
      <c r="AB1792" s="1" t="s">
        <v>193</v>
      </c>
      <c r="AC1792" s="1" t="s">
        <v>11124</v>
      </c>
      <c r="AD1792" s="1" t="s">
        <v>2252</v>
      </c>
      <c r="AE1792" s="1" t="s">
        <v>325</v>
      </c>
      <c r="AF1792" s="1" t="s">
        <v>469</v>
      </c>
      <c r="AG1792" s="1" t="s">
        <v>17500</v>
      </c>
      <c r="AH1792" s="1" t="s">
        <v>11126</v>
      </c>
      <c r="AK1792" s="1">
        <v>11.0</v>
      </c>
      <c r="AL1792" s="1">
        <v>4.0</v>
      </c>
      <c r="AM1792" s="1">
        <v>2.0</v>
      </c>
      <c r="AN1792" s="1">
        <v>1.0</v>
      </c>
      <c r="AO1792" s="1" t="s">
        <v>198</v>
      </c>
      <c r="AQ1792" s="1" t="s">
        <v>198</v>
      </c>
      <c r="AR1792" s="1" t="s">
        <v>192</v>
      </c>
      <c r="AS1792" s="1" t="s">
        <v>199</v>
      </c>
      <c r="AT1792" s="1">
        <v>3.0</v>
      </c>
      <c r="AV1792" s="1" t="s">
        <v>200</v>
      </c>
      <c r="AW1792" s="1" t="s">
        <v>575</v>
      </c>
      <c r="AX1792" s="1">
        <v>2013.0</v>
      </c>
      <c r="AZ1792" s="1" t="s">
        <v>200</v>
      </c>
      <c r="BA1792" s="1" t="str">
        <f>"0000000000"</f>
        <v>0000000000</v>
      </c>
      <c r="BC1792" s="1">
        <v>3208.0</v>
      </c>
      <c r="BD1792" s="1">
        <v>338083.0</v>
      </c>
      <c r="BE1792" s="2">
        <v>41865.0</v>
      </c>
      <c r="BF1792" s="2" t="s">
        <v>17501</v>
      </c>
      <c r="BG1792" s="1" t="s">
        <v>11128</v>
      </c>
      <c r="BH1792" s="1">
        <v>200.0</v>
      </c>
      <c r="BI1792" s="1" t="s">
        <v>11129</v>
      </c>
      <c r="BJ1792" s="1" t="s">
        <v>11130</v>
      </c>
      <c r="BK1792" s="1" t="s">
        <v>580</v>
      </c>
      <c r="BL1792" s="1" t="str">
        <f t="shared" ref="BL1792:BM1792" si="1187">""</f>
        <v/>
      </c>
      <c r="BM1792" s="1" t="str">
        <f t="shared" si="1187"/>
        <v/>
      </c>
      <c r="BQ1792" s="1">
        <v>46.0</v>
      </c>
      <c r="BR1792" s="1">
        <v>46.0</v>
      </c>
      <c r="BS1792" s="1">
        <v>46.0</v>
      </c>
      <c r="BU1792" s="1" t="s">
        <v>212</v>
      </c>
      <c r="BV1792" s="1" t="s">
        <v>206</v>
      </c>
      <c r="BW1792" s="1" t="s">
        <v>210</v>
      </c>
      <c r="BY1792" s="1" t="s">
        <v>924</v>
      </c>
      <c r="BZ1792" s="1" t="s">
        <v>209</v>
      </c>
      <c r="CA1792" s="1" t="s">
        <v>210</v>
      </c>
      <c r="CC1792" s="1" t="s">
        <v>212</v>
      </c>
      <c r="CD1792" s="1" t="s">
        <v>206</v>
      </c>
      <c r="CE1792" s="1" t="s">
        <v>210</v>
      </c>
      <c r="CG1792" s="1" t="s">
        <v>1395</v>
      </c>
      <c r="CH1792" s="1" t="s">
        <v>209</v>
      </c>
      <c r="CI1792" s="1" t="s">
        <v>210</v>
      </c>
      <c r="CK1792" s="1" t="s">
        <v>433</v>
      </c>
      <c r="CL1792" s="1" t="s">
        <v>209</v>
      </c>
      <c r="CM1792" s="1" t="s">
        <v>210</v>
      </c>
      <c r="CO1792" s="1" t="s">
        <v>215</v>
      </c>
      <c r="CP1792" s="1" t="s">
        <v>209</v>
      </c>
      <c r="CQ1792" s="1" t="s">
        <v>210</v>
      </c>
      <c r="CS1792" s="1" t="s">
        <v>1352</v>
      </c>
      <c r="CT1792" s="1" t="s">
        <v>206</v>
      </c>
      <c r="CU1792" s="1" t="s">
        <v>617</v>
      </c>
      <c r="CW1792" s="1" t="s">
        <v>924</v>
      </c>
      <c r="CX1792" s="1" t="s">
        <v>206</v>
      </c>
      <c r="CY1792" s="1" t="s">
        <v>210</v>
      </c>
      <c r="DA1792" s="1" t="s">
        <v>192</v>
      </c>
      <c r="DB1792" s="2">
        <v>42035.0</v>
      </c>
      <c r="DC1792" s="1" t="s">
        <v>585</v>
      </c>
      <c r="DD1792" s="1" t="s">
        <v>2094</v>
      </c>
      <c r="DE1792" s="1" t="s">
        <v>273</v>
      </c>
      <c r="DF1792" s="1" t="s">
        <v>219</v>
      </c>
      <c r="DH1792" s="1" t="s">
        <v>220</v>
      </c>
      <c r="DI1792" s="1" t="s">
        <v>1021</v>
      </c>
      <c r="DJ1792" s="1" t="s">
        <v>222</v>
      </c>
      <c r="DL1792" s="1" t="s">
        <v>223</v>
      </c>
      <c r="DM1792" s="1" t="s">
        <v>229</v>
      </c>
      <c r="DP1792" s="1" t="s">
        <v>276</v>
      </c>
      <c r="DQ1792" s="1" t="s">
        <v>228</v>
      </c>
      <c r="DR1792" s="1" t="s">
        <v>229</v>
      </c>
      <c r="DS1792" s="1" t="s">
        <v>591</v>
      </c>
      <c r="DU1792" s="1" t="s">
        <v>550</v>
      </c>
      <c r="DV1792" s="1" t="s">
        <v>3022</v>
      </c>
      <c r="DW1792" s="1" t="s">
        <v>233</v>
      </c>
      <c r="DX1792" s="1" t="s">
        <v>234</v>
      </c>
      <c r="DY1792" s="1" t="s">
        <v>3075</v>
      </c>
      <c r="EA1792" s="1" t="s">
        <v>344</v>
      </c>
      <c r="EC1792" s="1" t="s">
        <v>237</v>
      </c>
      <c r="EG1792" s="1" t="s">
        <v>556</v>
      </c>
      <c r="EH1792" s="1" t="s">
        <v>494</v>
      </c>
      <c r="EI1792" s="1" t="s">
        <v>557</v>
      </c>
      <c r="EL1792" s="1" t="s">
        <v>8357</v>
      </c>
      <c r="EM1792" s="1" t="s">
        <v>206</v>
      </c>
      <c r="EN1792" s="1" t="s">
        <v>617</v>
      </c>
      <c r="EP1792" s="1" t="s">
        <v>1417</v>
      </c>
      <c r="EQ1792" s="1" t="s">
        <v>206</v>
      </c>
      <c r="ER1792" s="1" t="s">
        <v>210</v>
      </c>
      <c r="ET1792" s="1" t="s">
        <v>1045</v>
      </c>
      <c r="EU1792" s="1" t="s">
        <v>209</v>
      </c>
      <c r="EV1792" s="1" t="s">
        <v>210</v>
      </c>
      <c r="EY1792" s="1" t="s">
        <v>238</v>
      </c>
      <c r="FC1792" s="1" t="s">
        <v>238</v>
      </c>
      <c r="FF1792" s="1" t="s">
        <v>239</v>
      </c>
      <c r="FG1792" s="1" t="s">
        <v>192</v>
      </c>
      <c r="FH1792" s="1" t="s">
        <v>192</v>
      </c>
      <c r="FJ1792" s="1" t="s">
        <v>2262</v>
      </c>
      <c r="FK1792" s="1" t="s">
        <v>229</v>
      </c>
      <c r="FL1792" s="1" t="s">
        <v>1358</v>
      </c>
      <c r="FM1792" s="1">
        <v>23591.0</v>
      </c>
      <c r="FN1792" s="1" t="s">
        <v>2134</v>
      </c>
      <c r="FO1792" s="1" t="s">
        <v>11054</v>
      </c>
      <c r="FP1792" s="1">
        <v>221299.0</v>
      </c>
      <c r="FQ1792" s="1" t="s">
        <v>11055</v>
      </c>
      <c r="FU1792" s="1" t="s">
        <v>17502</v>
      </c>
      <c r="FV1792" s="1" t="s">
        <v>200</v>
      </c>
      <c r="FW1792" s="1" t="s">
        <v>11132</v>
      </c>
      <c r="FZ1792" s="1" t="s">
        <v>229</v>
      </c>
      <c r="GA1792" s="1" t="s">
        <v>291</v>
      </c>
      <c r="GB1792" s="2">
        <v>42075.0</v>
      </c>
      <c r="GC1792" s="1" t="s">
        <v>11133</v>
      </c>
    </row>
    <row r="1793">
      <c r="A1793" s="1">
        <v>410000.0</v>
      </c>
      <c r="B1793" s="1" t="s">
        <v>185</v>
      </c>
      <c r="C1793" s="1" t="str">
        <f>"08727747"</f>
        <v>08727747</v>
      </c>
      <c r="D1793" s="1" t="s">
        <v>186</v>
      </c>
      <c r="F1793" s="1" t="str">
        <f>"8014"</f>
        <v>8014</v>
      </c>
      <c r="G1793" s="2">
        <v>41896.0</v>
      </c>
      <c r="H1793" s="1">
        <v>479900.0</v>
      </c>
      <c r="I1793" s="1">
        <v>143.0</v>
      </c>
      <c r="J1793" s="1">
        <v>439900.0</v>
      </c>
      <c r="K1793" s="2">
        <v>42038.0</v>
      </c>
      <c r="L1793" s="1">
        <v>143.0</v>
      </c>
      <c r="M1793" s="2">
        <v>42038.0</v>
      </c>
      <c r="N1793" s="1" t="s">
        <v>187</v>
      </c>
      <c r="O1793" s="2">
        <v>42093.0</v>
      </c>
      <c r="P1793" s="1">
        <v>132910.0</v>
      </c>
      <c r="Q1793" s="1">
        <v>16379.0</v>
      </c>
      <c r="R1793" s="1">
        <v>8500.0</v>
      </c>
      <c r="S1793" s="1">
        <v>4726.0</v>
      </c>
      <c r="T1793" s="1" t="s">
        <v>17503</v>
      </c>
      <c r="U1793" s="1" t="s">
        <v>189</v>
      </c>
      <c r="V1793" s="1" t="s">
        <v>190</v>
      </c>
      <c r="W1793" s="1">
        <v>60625.0</v>
      </c>
      <c r="Y1793" s="1" t="s">
        <v>17504</v>
      </c>
      <c r="Z1793" s="1">
        <v>1917.0</v>
      </c>
      <c r="AA1793" s="1" t="s">
        <v>192</v>
      </c>
      <c r="AB1793" s="1" t="s">
        <v>193</v>
      </c>
      <c r="AD1793" s="1" t="s">
        <v>194</v>
      </c>
      <c r="AE1793" s="1" t="s">
        <v>195</v>
      </c>
      <c r="AF1793" s="1" t="s">
        <v>196</v>
      </c>
      <c r="AH1793" s="1" t="s">
        <v>1501</v>
      </c>
      <c r="AK1793" s="1">
        <v>7.0</v>
      </c>
      <c r="AL1793" s="1">
        <v>3.0</v>
      </c>
      <c r="AM1793" s="1">
        <v>3.0</v>
      </c>
      <c r="AN1793" s="1">
        <v>1.0</v>
      </c>
      <c r="AO1793" s="1" t="s">
        <v>198</v>
      </c>
      <c r="AP1793" s="1">
        <v>1.0</v>
      </c>
      <c r="AQ1793" s="1" t="s">
        <v>198</v>
      </c>
      <c r="AR1793" s="1" t="s">
        <v>192</v>
      </c>
      <c r="AS1793" s="1" t="s">
        <v>828</v>
      </c>
      <c r="AU1793" s="1">
        <v>2.0</v>
      </c>
      <c r="AV1793" s="1" t="s">
        <v>200</v>
      </c>
      <c r="AW1793" s="1">
        <v>3922.51</v>
      </c>
      <c r="AX1793" s="1">
        <v>2013.0</v>
      </c>
      <c r="AY1793" s="1" t="s">
        <v>229</v>
      </c>
      <c r="AZ1793" s="1" t="s">
        <v>200</v>
      </c>
      <c r="BA1793" s="1" t="str">
        <f>"13142000190000"</f>
        <v>13142000190000</v>
      </c>
      <c r="BB1793" s="1" t="s">
        <v>200</v>
      </c>
      <c r="BC1793" s="1">
        <v>1908.0</v>
      </c>
      <c r="BD1793" s="1">
        <v>410000.0</v>
      </c>
      <c r="BE1793" s="2">
        <v>41896.0</v>
      </c>
      <c r="BF1793" s="2" t="s">
        <v>17505</v>
      </c>
      <c r="BH1793" s="1">
        <v>0.0</v>
      </c>
      <c r="BK1793" s="1" t="s">
        <v>204</v>
      </c>
      <c r="BL1793" s="1" t="str">
        <f>"4700"</f>
        <v>4700</v>
      </c>
      <c r="BM1793" s="1" t="str">
        <f>"0"</f>
        <v>0</v>
      </c>
      <c r="BN1793" s="1">
        <v>3500.0</v>
      </c>
      <c r="BO1793" s="1">
        <v>0.0</v>
      </c>
      <c r="BQ1793" s="1">
        <v>299.0</v>
      </c>
      <c r="BR1793" s="1">
        <v>299.0</v>
      </c>
      <c r="BS1793" s="1">
        <v>299.0</v>
      </c>
      <c r="BU1793" s="1" t="s">
        <v>17506</v>
      </c>
      <c r="BV1793" s="1" t="s">
        <v>206</v>
      </c>
      <c r="BW1793" s="1" t="s">
        <v>207</v>
      </c>
      <c r="BY1793" s="1" t="s">
        <v>1044</v>
      </c>
      <c r="BZ1793" s="1" t="s">
        <v>209</v>
      </c>
      <c r="CA1793" s="1" t="s">
        <v>207</v>
      </c>
      <c r="CD1793" s="1" t="s">
        <v>204</v>
      </c>
      <c r="CG1793" s="1" t="s">
        <v>1064</v>
      </c>
      <c r="CH1793" s="1" t="s">
        <v>209</v>
      </c>
      <c r="CI1793" s="1" t="s">
        <v>207</v>
      </c>
      <c r="CK1793" s="1" t="s">
        <v>497</v>
      </c>
      <c r="CL1793" s="1" t="s">
        <v>209</v>
      </c>
      <c r="CM1793" s="1" t="s">
        <v>207</v>
      </c>
      <c r="CO1793" s="1" t="s">
        <v>815</v>
      </c>
      <c r="CP1793" s="1" t="s">
        <v>42</v>
      </c>
      <c r="CQ1793" s="1" t="s">
        <v>210</v>
      </c>
      <c r="CS1793" s="1" t="s">
        <v>364</v>
      </c>
      <c r="CT1793" s="1" t="s">
        <v>206</v>
      </c>
      <c r="CU1793" s="1" t="s">
        <v>207</v>
      </c>
      <c r="CW1793" s="1" t="s">
        <v>2852</v>
      </c>
      <c r="CX1793" s="1" t="s">
        <v>42</v>
      </c>
      <c r="DA1793" s="1" t="s">
        <v>200</v>
      </c>
      <c r="DC1793" s="1" t="s">
        <v>216</v>
      </c>
      <c r="DE1793" s="1" t="s">
        <v>273</v>
      </c>
      <c r="DF1793" s="1" t="s">
        <v>219</v>
      </c>
      <c r="DH1793" s="1" t="s">
        <v>365</v>
      </c>
      <c r="DI1793" s="1" t="s">
        <v>1003</v>
      </c>
      <c r="DJ1793" s="1" t="s">
        <v>222</v>
      </c>
      <c r="DL1793" s="1" t="s">
        <v>224</v>
      </c>
      <c r="DM1793" s="1" t="s">
        <v>229</v>
      </c>
      <c r="DP1793" s="1" t="s">
        <v>276</v>
      </c>
      <c r="DQ1793" s="1" t="s">
        <v>718</v>
      </c>
      <c r="DR1793" s="1" t="s">
        <v>229</v>
      </c>
      <c r="DV1793" s="1" t="s">
        <v>17507</v>
      </c>
      <c r="DW1793" s="1" t="s">
        <v>667</v>
      </c>
      <c r="DX1793" s="1" t="s">
        <v>234</v>
      </c>
      <c r="EC1793" s="1" t="s">
        <v>237</v>
      </c>
      <c r="EG1793" s="1" t="s">
        <v>1270</v>
      </c>
      <c r="EH1793" s="1" t="s">
        <v>409</v>
      </c>
      <c r="EI1793" s="1" t="s">
        <v>374</v>
      </c>
      <c r="EL1793" s="1" t="s">
        <v>3894</v>
      </c>
      <c r="EM1793" s="1" t="s">
        <v>42</v>
      </c>
      <c r="EP1793" s="1" t="s">
        <v>6414</v>
      </c>
      <c r="EQ1793" s="1" t="s">
        <v>209</v>
      </c>
      <c r="ER1793" s="1" t="s">
        <v>207</v>
      </c>
      <c r="ET1793" s="1" t="s">
        <v>1449</v>
      </c>
      <c r="EU1793" s="1" t="s">
        <v>206</v>
      </c>
      <c r="EY1793" s="1" t="s">
        <v>238</v>
      </c>
      <c r="FC1793" s="1" t="s">
        <v>238</v>
      </c>
      <c r="FF1793" s="1" t="s">
        <v>239</v>
      </c>
      <c r="FG1793" s="1" t="s">
        <v>192</v>
      </c>
      <c r="FH1793" s="1" t="s">
        <v>192</v>
      </c>
      <c r="FJ1793" s="1" t="s">
        <v>7646</v>
      </c>
      <c r="FK1793" s="1" t="s">
        <v>229</v>
      </c>
      <c r="FL1793" s="1" t="s">
        <v>10232</v>
      </c>
      <c r="FM1793" s="1">
        <v>11009.0</v>
      </c>
      <c r="FN1793" s="1" t="s">
        <v>10233</v>
      </c>
      <c r="FO1793" s="1" t="s">
        <v>13878</v>
      </c>
      <c r="FP1793" s="1">
        <v>155894.0</v>
      </c>
      <c r="FQ1793" s="1" t="s">
        <v>13879</v>
      </c>
      <c r="FU1793" s="1" t="s">
        <v>13880</v>
      </c>
      <c r="FV1793" s="1" t="s">
        <v>192</v>
      </c>
      <c r="FW1793" s="1" t="s">
        <v>290</v>
      </c>
      <c r="FX1793" s="1" t="s">
        <v>238</v>
      </c>
      <c r="FZ1793" s="1" t="s">
        <v>229</v>
      </c>
      <c r="GA1793" s="1" t="s">
        <v>291</v>
      </c>
      <c r="GB1793" s="2">
        <v>42093.0</v>
      </c>
      <c r="GC1793" s="1" t="s">
        <v>17508</v>
      </c>
    </row>
    <row r="1794">
      <c r="A1794" s="1">
        <v>385000.0</v>
      </c>
      <c r="B1794" s="1" t="s">
        <v>185</v>
      </c>
      <c r="C1794" s="1" t="str">
        <f>"08706756"</f>
        <v>08706756</v>
      </c>
      <c r="D1794" s="1" t="s">
        <v>186</v>
      </c>
      <c r="F1794" s="1" t="str">
        <f>"10"</f>
        <v>10</v>
      </c>
      <c r="G1794" s="2">
        <v>41871.0</v>
      </c>
      <c r="H1794" s="1">
        <v>399900.0</v>
      </c>
      <c r="I1794" s="1">
        <v>219.0</v>
      </c>
      <c r="J1794" s="1">
        <v>399900.0</v>
      </c>
      <c r="K1794" s="2">
        <v>42088.0</v>
      </c>
      <c r="L1794" s="1">
        <v>219.0</v>
      </c>
      <c r="M1794" s="2">
        <v>42088.0</v>
      </c>
      <c r="N1794" s="1" t="s">
        <v>187</v>
      </c>
      <c r="O1794" s="2">
        <v>42117.0</v>
      </c>
      <c r="P1794" s="1">
        <v>99999.0</v>
      </c>
      <c r="Q1794" s="1" t="s">
        <v>947</v>
      </c>
      <c r="S1794" s="1">
        <v>38.0</v>
      </c>
      <c r="T1794" s="1" t="s">
        <v>14875</v>
      </c>
      <c r="U1794" s="1" t="s">
        <v>569</v>
      </c>
      <c r="V1794" s="1" t="s">
        <v>2004</v>
      </c>
      <c r="W1794" s="1">
        <v>60010.0</v>
      </c>
      <c r="Y1794" s="1" t="s">
        <v>17509</v>
      </c>
      <c r="Z1794" s="1">
        <v>1976.0</v>
      </c>
      <c r="AA1794" s="1" t="s">
        <v>192</v>
      </c>
      <c r="AB1794" s="1" t="s">
        <v>193</v>
      </c>
      <c r="AC1794" s="1" t="s">
        <v>14877</v>
      </c>
      <c r="AD1794" s="1" t="s">
        <v>2007</v>
      </c>
      <c r="AE1794" s="1" t="s">
        <v>917</v>
      </c>
      <c r="AF1794" s="1" t="s">
        <v>2008</v>
      </c>
      <c r="AH1794" s="1" t="s">
        <v>17510</v>
      </c>
      <c r="AK1794" s="1">
        <v>9.0</v>
      </c>
      <c r="AL1794" s="1">
        <v>4.0</v>
      </c>
      <c r="AM1794" s="1">
        <v>3.0</v>
      </c>
      <c r="AN1794" s="1">
        <v>0.0</v>
      </c>
      <c r="AO1794" s="1" t="s">
        <v>198</v>
      </c>
      <c r="AP1794" s="1">
        <v>2.0</v>
      </c>
      <c r="AQ1794" s="1" t="s">
        <v>198</v>
      </c>
      <c r="AR1794" s="1" t="s">
        <v>200</v>
      </c>
      <c r="AS1794" s="1" t="s">
        <v>199</v>
      </c>
      <c r="AT1794" s="1">
        <v>2.0</v>
      </c>
      <c r="AV1794" s="1" t="s">
        <v>200</v>
      </c>
      <c r="AW1794" s="1">
        <v>8470.0</v>
      </c>
      <c r="AX1794" s="1">
        <v>2013.0</v>
      </c>
      <c r="AY1794" s="1" t="s">
        <v>229</v>
      </c>
      <c r="AZ1794" s="1" t="s">
        <v>200</v>
      </c>
      <c r="BA1794" s="1" t="str">
        <f>"13154010210000"</f>
        <v>13154010210000</v>
      </c>
      <c r="BC1794" s="1">
        <v>2547.0</v>
      </c>
      <c r="BD1794" s="1">
        <v>385000.0</v>
      </c>
      <c r="BE1794" s="2">
        <v>41870.0</v>
      </c>
      <c r="BF1794" s="2" t="s">
        <v>17511</v>
      </c>
      <c r="BG1794" s="1" t="s">
        <v>10354</v>
      </c>
      <c r="BH1794" s="1">
        <v>0.0</v>
      </c>
      <c r="BI1794" s="1" t="s">
        <v>11276</v>
      </c>
      <c r="BJ1794" s="1" t="s">
        <v>1714</v>
      </c>
      <c r="BK1794" s="1" t="s">
        <v>204</v>
      </c>
      <c r="BL1794" s="1" t="str">
        <f t="shared" ref="BL1794:BM1794" si="1188">""</f>
        <v/>
      </c>
      <c r="BM1794" s="1" t="str">
        <f t="shared" si="1188"/>
        <v/>
      </c>
      <c r="BQ1794" s="1">
        <v>220.0</v>
      </c>
      <c r="BR1794" s="1">
        <v>220.0</v>
      </c>
      <c r="BS1794" s="1">
        <v>220.0</v>
      </c>
      <c r="BU1794" s="1" t="s">
        <v>2749</v>
      </c>
      <c r="BV1794" s="1" t="s">
        <v>206</v>
      </c>
      <c r="BW1794" s="1" t="s">
        <v>207</v>
      </c>
      <c r="BY1794" s="1" t="s">
        <v>1063</v>
      </c>
      <c r="BZ1794" s="1" t="s">
        <v>206</v>
      </c>
      <c r="CA1794" s="1" t="s">
        <v>210</v>
      </c>
      <c r="CC1794" s="1" t="s">
        <v>433</v>
      </c>
      <c r="CD1794" s="1" t="s">
        <v>206</v>
      </c>
      <c r="CE1794" s="1" t="s">
        <v>207</v>
      </c>
      <c r="CG1794" s="1" t="s">
        <v>454</v>
      </c>
      <c r="CH1794" s="1" t="s">
        <v>206</v>
      </c>
      <c r="CI1794" s="1" t="s">
        <v>210</v>
      </c>
      <c r="CK1794" s="1" t="s">
        <v>264</v>
      </c>
      <c r="CL1794" s="1" t="s">
        <v>206</v>
      </c>
      <c r="CM1794" s="1" t="s">
        <v>210</v>
      </c>
      <c r="CO1794" s="1" t="s">
        <v>497</v>
      </c>
      <c r="CP1794" s="1" t="s">
        <v>206</v>
      </c>
      <c r="CQ1794" s="1" t="s">
        <v>210</v>
      </c>
      <c r="CS1794" s="1" t="s">
        <v>495</v>
      </c>
      <c r="CT1794" s="1" t="s">
        <v>206</v>
      </c>
      <c r="CU1794" s="1" t="s">
        <v>207</v>
      </c>
      <c r="CW1794" s="1" t="s">
        <v>3539</v>
      </c>
      <c r="CX1794" s="1" t="s">
        <v>206</v>
      </c>
      <c r="CY1794" s="1" t="s">
        <v>207</v>
      </c>
      <c r="DA1794" s="1" t="s">
        <v>200</v>
      </c>
      <c r="DC1794" s="1" t="s">
        <v>395</v>
      </c>
      <c r="DD1794" s="1" t="s">
        <v>855</v>
      </c>
      <c r="DE1794" s="1" t="s">
        <v>218</v>
      </c>
      <c r="DF1794" s="1" t="s">
        <v>745</v>
      </c>
      <c r="DG1794" s="1" t="s">
        <v>11842</v>
      </c>
      <c r="DH1794" s="1" t="s">
        <v>856</v>
      </c>
      <c r="DI1794" s="1" t="s">
        <v>275</v>
      </c>
      <c r="DJ1794" s="1" t="s">
        <v>857</v>
      </c>
      <c r="DK1794" s="1" t="s">
        <v>1555</v>
      </c>
      <c r="DL1794" s="1" t="s">
        <v>438</v>
      </c>
      <c r="DM1794" s="1" t="s">
        <v>929</v>
      </c>
      <c r="DO1794" s="1" t="s">
        <v>17512</v>
      </c>
      <c r="DP1794" s="1" t="s">
        <v>340</v>
      </c>
      <c r="DQ1794" s="1" t="s">
        <v>1557</v>
      </c>
      <c r="DR1794" s="1" t="s">
        <v>229</v>
      </c>
      <c r="DS1794" s="1" t="s">
        <v>368</v>
      </c>
      <c r="DU1794" s="1" t="s">
        <v>17513</v>
      </c>
      <c r="DV1794" s="1" t="s">
        <v>450</v>
      </c>
      <c r="DW1794" s="1" t="s">
        <v>9914</v>
      </c>
      <c r="DX1794" s="1" t="s">
        <v>234</v>
      </c>
      <c r="DY1794" s="1" t="s">
        <v>17514</v>
      </c>
      <c r="DZ1794" s="1" t="s">
        <v>236</v>
      </c>
      <c r="EA1794" s="1" t="s">
        <v>683</v>
      </c>
      <c r="EC1794" s="1" t="s">
        <v>685</v>
      </c>
      <c r="EH1794" s="1" t="s">
        <v>450</v>
      </c>
      <c r="EM1794" s="1" t="s">
        <v>238</v>
      </c>
      <c r="EP1794" s="1" t="s">
        <v>14950</v>
      </c>
      <c r="EQ1794" s="1" t="s">
        <v>42</v>
      </c>
      <c r="ER1794" s="1" t="s">
        <v>210</v>
      </c>
      <c r="EU1794" s="1" t="s">
        <v>238</v>
      </c>
      <c r="EY1794" s="1" t="s">
        <v>238</v>
      </c>
      <c r="FC1794" s="1" t="s">
        <v>238</v>
      </c>
      <c r="FF1794" s="1" t="s">
        <v>239</v>
      </c>
      <c r="FG1794" s="1" t="s">
        <v>192</v>
      </c>
      <c r="FH1794" s="1" t="s">
        <v>192</v>
      </c>
      <c r="FJ1794" s="1" t="s">
        <v>17515</v>
      </c>
      <c r="FK1794" s="1" t="s">
        <v>229</v>
      </c>
      <c r="FL1794" s="1" t="s">
        <v>241</v>
      </c>
      <c r="FM1794" s="1">
        <v>15358.0</v>
      </c>
      <c r="FN1794" s="1" t="s">
        <v>242</v>
      </c>
      <c r="FO1794" s="1" t="s">
        <v>243</v>
      </c>
      <c r="FP1794" s="1">
        <v>114479.0</v>
      </c>
      <c r="FQ1794" s="1" t="s">
        <v>242</v>
      </c>
      <c r="FU1794" s="1" t="s">
        <v>17516</v>
      </c>
      <c r="FV1794" s="1" t="s">
        <v>200</v>
      </c>
      <c r="FW1794" s="1" t="s">
        <v>17517</v>
      </c>
      <c r="FZ1794" s="1" t="s">
        <v>229</v>
      </c>
      <c r="GA1794" s="1" t="s">
        <v>247</v>
      </c>
      <c r="GB1794" s="2">
        <v>42139.0</v>
      </c>
      <c r="GC1794" s="1" t="s">
        <v>17518</v>
      </c>
    </row>
    <row r="1795">
      <c r="A1795" s="1">
        <v>399900.0</v>
      </c>
      <c r="B1795" s="1" t="s">
        <v>185</v>
      </c>
      <c r="C1795" s="1" t="str">
        <f>"08708214"</f>
        <v>08708214</v>
      </c>
      <c r="D1795" s="1" t="s">
        <v>186</v>
      </c>
      <c r="F1795" s="1" t="str">
        <f>"8016"</f>
        <v>8016</v>
      </c>
      <c r="G1795" s="2">
        <v>41872.0</v>
      </c>
      <c r="H1795" s="1">
        <v>399900.0</v>
      </c>
      <c r="I1795" s="1">
        <v>5.0</v>
      </c>
      <c r="J1795" s="1">
        <v>399900.0</v>
      </c>
      <c r="K1795" s="2">
        <v>41876.0</v>
      </c>
      <c r="L1795" s="1">
        <v>5.0</v>
      </c>
      <c r="M1795" s="2">
        <v>41876.0</v>
      </c>
      <c r="N1795" s="1" t="s">
        <v>187</v>
      </c>
      <c r="O1795" s="2">
        <v>42019.0</v>
      </c>
      <c r="P1795" s="1">
        <v>853944.0</v>
      </c>
      <c r="Q1795" s="1">
        <v>10900.0</v>
      </c>
      <c r="S1795" s="1">
        <v>4106.0</v>
      </c>
      <c r="T1795" s="1" t="s">
        <v>5970</v>
      </c>
      <c r="U1795" s="1" t="s">
        <v>189</v>
      </c>
      <c r="V1795" s="1" t="s">
        <v>190</v>
      </c>
      <c r="W1795" s="1">
        <v>60618.0</v>
      </c>
      <c r="Y1795" s="1" t="s">
        <v>17519</v>
      </c>
      <c r="Z1795" s="1">
        <v>1902.0</v>
      </c>
      <c r="AA1795" s="1" t="s">
        <v>192</v>
      </c>
      <c r="AB1795" s="1" t="s">
        <v>193</v>
      </c>
      <c r="AC1795" s="1" t="s">
        <v>17520</v>
      </c>
      <c r="AD1795" s="1" t="s">
        <v>194</v>
      </c>
      <c r="AE1795" s="1" t="s">
        <v>195</v>
      </c>
      <c r="AF1795" s="1" t="s">
        <v>196</v>
      </c>
      <c r="AH1795" s="1" t="s">
        <v>741</v>
      </c>
      <c r="AI1795" s="1">
        <v>0.0723</v>
      </c>
      <c r="AK1795" s="1">
        <v>9.0</v>
      </c>
      <c r="AL1795" s="1">
        <v>3.0</v>
      </c>
      <c r="AM1795" s="1">
        <v>3.0</v>
      </c>
      <c r="AN1795" s="1">
        <v>0.0</v>
      </c>
      <c r="AO1795" s="1" t="s">
        <v>1261</v>
      </c>
      <c r="AQ1795" s="1" t="s">
        <v>198</v>
      </c>
      <c r="AR1795" s="1" t="s">
        <v>192</v>
      </c>
      <c r="AS1795" s="1" t="s">
        <v>199</v>
      </c>
      <c r="AT1795" s="1">
        <v>2.0</v>
      </c>
      <c r="AV1795" s="1" t="s">
        <v>200</v>
      </c>
      <c r="AW1795" s="1">
        <v>3761.61</v>
      </c>
      <c r="AX1795" s="1">
        <v>2013.0</v>
      </c>
      <c r="AZ1795" s="1" t="s">
        <v>200</v>
      </c>
      <c r="BA1795" s="1" t="str">
        <f>"13144160380000"</f>
        <v>13144160380000</v>
      </c>
      <c r="BC1795" s="1">
        <v>0.0</v>
      </c>
      <c r="BD1795" s="1">
        <v>399900.0</v>
      </c>
      <c r="BE1795" s="2">
        <v>41872.0</v>
      </c>
      <c r="BF1795" s="2" t="s">
        <v>17521</v>
      </c>
      <c r="BH1795" s="1">
        <v>0.0</v>
      </c>
      <c r="BI1795" s="1" t="s">
        <v>17522</v>
      </c>
      <c r="BJ1795" s="1" t="s">
        <v>12316</v>
      </c>
      <c r="BK1795" s="1" t="s">
        <v>204</v>
      </c>
      <c r="BL1795" s="1" t="str">
        <f>"4106"</f>
        <v>4106</v>
      </c>
      <c r="BM1795" s="1" t="str">
        <f t="shared" ref="BM1795:BM1796" si="1189">"0"</f>
        <v>0</v>
      </c>
      <c r="BN1795" s="1">
        <v>3500.0</v>
      </c>
      <c r="BO1795" s="1">
        <v>0.0</v>
      </c>
      <c r="BQ1795" s="1">
        <v>299.0</v>
      </c>
      <c r="BR1795" s="1">
        <v>299.0</v>
      </c>
      <c r="BS1795" s="1">
        <v>299.0</v>
      </c>
      <c r="BU1795" s="1" t="s">
        <v>392</v>
      </c>
      <c r="BV1795" s="1" t="s">
        <v>206</v>
      </c>
      <c r="BW1795" s="1" t="s">
        <v>207</v>
      </c>
      <c r="BX1795" s="1" t="s">
        <v>1549</v>
      </c>
      <c r="BY1795" s="1" t="s">
        <v>213</v>
      </c>
      <c r="BZ1795" s="1" t="s">
        <v>209</v>
      </c>
      <c r="CA1795" s="1" t="s">
        <v>210</v>
      </c>
      <c r="CB1795" s="1" t="s">
        <v>1549</v>
      </c>
      <c r="CC1795" s="1" t="s">
        <v>264</v>
      </c>
      <c r="CD1795" s="1" t="s">
        <v>206</v>
      </c>
      <c r="CE1795" s="1" t="s">
        <v>207</v>
      </c>
      <c r="CF1795" s="1" t="s">
        <v>1549</v>
      </c>
      <c r="CG1795" s="1" t="s">
        <v>215</v>
      </c>
      <c r="CH1795" s="1" t="s">
        <v>209</v>
      </c>
      <c r="CI1795" s="1" t="s">
        <v>210</v>
      </c>
      <c r="CJ1795" s="1" t="s">
        <v>229</v>
      </c>
      <c r="CK1795" s="1" t="s">
        <v>495</v>
      </c>
      <c r="CL1795" s="1" t="s">
        <v>206</v>
      </c>
      <c r="CM1795" s="1" t="s">
        <v>207</v>
      </c>
      <c r="CN1795" s="1" t="s">
        <v>229</v>
      </c>
      <c r="CO1795" s="1" t="s">
        <v>516</v>
      </c>
      <c r="CP1795" s="1" t="s">
        <v>42</v>
      </c>
      <c r="CQ1795" s="1" t="s">
        <v>210</v>
      </c>
      <c r="CR1795" s="1" t="s">
        <v>229</v>
      </c>
      <c r="CS1795" s="1" t="s">
        <v>3054</v>
      </c>
      <c r="CT1795" s="1" t="s">
        <v>206</v>
      </c>
      <c r="CU1795" s="1" t="s">
        <v>207</v>
      </c>
      <c r="CV1795" s="1" t="s">
        <v>431</v>
      </c>
      <c r="CW1795" s="1" t="s">
        <v>782</v>
      </c>
      <c r="CX1795" s="1" t="s">
        <v>267</v>
      </c>
      <c r="CY1795" s="1" t="s">
        <v>210</v>
      </c>
      <c r="CZ1795" s="1" t="s">
        <v>229</v>
      </c>
      <c r="DA1795" s="1" t="s">
        <v>200</v>
      </c>
      <c r="DC1795" s="1" t="s">
        <v>642</v>
      </c>
      <c r="DD1795" s="1" t="s">
        <v>306</v>
      </c>
      <c r="DE1795" s="1" t="s">
        <v>273</v>
      </c>
      <c r="DF1795" s="1" t="s">
        <v>219</v>
      </c>
      <c r="DG1795" s="1" t="s">
        <v>1657</v>
      </c>
      <c r="DH1795" s="1" t="s">
        <v>365</v>
      </c>
      <c r="DI1795" s="1" t="s">
        <v>519</v>
      </c>
      <c r="DJ1795" s="1" t="s">
        <v>222</v>
      </c>
      <c r="DL1795" s="1" t="s">
        <v>1161</v>
      </c>
      <c r="DM1795" s="1" t="s">
        <v>229</v>
      </c>
      <c r="DN1795" s="1" t="s">
        <v>439</v>
      </c>
      <c r="DO1795" s="1" t="s">
        <v>717</v>
      </c>
      <c r="DP1795" s="1" t="s">
        <v>340</v>
      </c>
      <c r="DQ1795" s="1" t="s">
        <v>718</v>
      </c>
      <c r="DR1795" s="1" t="s">
        <v>229</v>
      </c>
      <c r="DU1795" s="1" t="s">
        <v>1840</v>
      </c>
      <c r="DV1795" s="1" t="s">
        <v>17523</v>
      </c>
      <c r="DW1795" s="1" t="s">
        <v>233</v>
      </c>
      <c r="DX1795" s="1" t="s">
        <v>234</v>
      </c>
      <c r="DY1795" s="1" t="s">
        <v>704</v>
      </c>
      <c r="DZ1795" s="1" t="s">
        <v>491</v>
      </c>
      <c r="EC1795" s="1" t="s">
        <v>237</v>
      </c>
      <c r="EG1795" s="1" t="s">
        <v>598</v>
      </c>
      <c r="EH1795" s="1" t="s">
        <v>310</v>
      </c>
      <c r="EL1795" s="1" t="s">
        <v>558</v>
      </c>
      <c r="EM1795" s="1" t="s">
        <v>209</v>
      </c>
      <c r="EN1795" s="1" t="s">
        <v>210</v>
      </c>
      <c r="EP1795" s="1" t="s">
        <v>1229</v>
      </c>
      <c r="EQ1795" s="1" t="s">
        <v>206</v>
      </c>
      <c r="ER1795" s="1" t="s">
        <v>588</v>
      </c>
      <c r="EU1795" s="1" t="s">
        <v>238</v>
      </c>
      <c r="EY1795" s="1" t="s">
        <v>238</v>
      </c>
      <c r="FC1795" s="1" t="s">
        <v>238</v>
      </c>
      <c r="FF1795" s="1" t="s">
        <v>239</v>
      </c>
      <c r="FG1795" s="1" t="s">
        <v>192</v>
      </c>
      <c r="FH1795" s="1" t="s">
        <v>192</v>
      </c>
      <c r="FJ1795" s="1" t="s">
        <v>2285</v>
      </c>
      <c r="FK1795" s="1" t="s">
        <v>229</v>
      </c>
      <c r="FL1795" s="1" t="s">
        <v>1358</v>
      </c>
      <c r="FM1795" s="1">
        <v>10115.0</v>
      </c>
      <c r="FN1795" s="1" t="s">
        <v>2286</v>
      </c>
      <c r="FO1795" s="1" t="s">
        <v>17524</v>
      </c>
      <c r="FP1795" s="1">
        <v>121190.0</v>
      </c>
      <c r="FQ1795" s="1" t="s">
        <v>17525</v>
      </c>
      <c r="FR1795" s="1">
        <v>176088.0</v>
      </c>
      <c r="FU1795" s="1" t="s">
        <v>710</v>
      </c>
      <c r="FV1795" s="1" t="s">
        <v>200</v>
      </c>
      <c r="FW1795" s="1" t="s">
        <v>567</v>
      </c>
      <c r="FX1795" s="1" t="s">
        <v>238</v>
      </c>
      <c r="FZ1795" s="1" t="s">
        <v>229</v>
      </c>
      <c r="GA1795" s="1" t="s">
        <v>291</v>
      </c>
      <c r="GB1795" s="2">
        <v>42020.0</v>
      </c>
    </row>
    <row r="1796">
      <c r="A1796" s="1">
        <v>240000.0</v>
      </c>
      <c r="B1796" s="1" t="s">
        <v>185</v>
      </c>
      <c r="C1796" s="1" t="str">
        <f>"08707326"</f>
        <v>08707326</v>
      </c>
      <c r="D1796" s="1" t="s">
        <v>186</v>
      </c>
      <c r="F1796" s="1" t="str">
        <f>"8011"</f>
        <v>8011</v>
      </c>
      <c r="G1796" s="2">
        <v>41871.0</v>
      </c>
      <c r="H1796" s="1">
        <v>285000.0</v>
      </c>
      <c r="I1796" s="1">
        <v>32.0</v>
      </c>
      <c r="J1796" s="1">
        <v>249000.0</v>
      </c>
      <c r="K1796" s="2">
        <v>41900.0</v>
      </c>
      <c r="L1796" s="1">
        <v>32.0</v>
      </c>
      <c r="M1796" s="2">
        <v>41900.0</v>
      </c>
      <c r="N1796" s="1" t="s">
        <v>249</v>
      </c>
      <c r="O1796" s="2">
        <v>42002.0</v>
      </c>
      <c r="P1796" s="1">
        <v>125581.0</v>
      </c>
      <c r="Q1796" s="1">
        <v>12664.0</v>
      </c>
      <c r="S1796" s="1">
        <v>4926.0</v>
      </c>
      <c r="T1796" s="1" t="s">
        <v>2995</v>
      </c>
      <c r="U1796" s="1" t="s">
        <v>189</v>
      </c>
      <c r="V1796" s="1" t="s">
        <v>190</v>
      </c>
      <c r="W1796" s="1">
        <v>60630.0</v>
      </c>
      <c r="Y1796" s="1" t="s">
        <v>17526</v>
      </c>
      <c r="Z1796" s="1">
        <v>1945.0</v>
      </c>
      <c r="AA1796" s="1" t="s">
        <v>192</v>
      </c>
      <c r="AB1796" s="1" t="s">
        <v>193</v>
      </c>
      <c r="AD1796" s="1" t="s">
        <v>194</v>
      </c>
      <c r="AE1796" s="1" t="s">
        <v>195</v>
      </c>
      <c r="AF1796" s="1" t="s">
        <v>196</v>
      </c>
      <c r="AH1796" s="1" t="s">
        <v>17343</v>
      </c>
      <c r="AK1796" s="1">
        <v>11.0</v>
      </c>
      <c r="AL1796" s="1">
        <v>4.0</v>
      </c>
      <c r="AM1796" s="1">
        <v>2.0</v>
      </c>
      <c r="AN1796" s="1">
        <v>0.0</v>
      </c>
      <c r="AO1796" s="1" t="s">
        <v>229</v>
      </c>
      <c r="AQ1796" s="1" t="s">
        <v>198</v>
      </c>
      <c r="AR1796" s="1" t="s">
        <v>200</v>
      </c>
      <c r="AS1796" s="1" t="s">
        <v>199</v>
      </c>
      <c r="AT1796" s="1">
        <v>2.0</v>
      </c>
      <c r="AV1796" s="1" t="s">
        <v>200</v>
      </c>
      <c r="AW1796" s="1">
        <v>5111.0</v>
      </c>
      <c r="AX1796" s="1">
        <v>2012.0</v>
      </c>
      <c r="AY1796" s="1" t="s">
        <v>387</v>
      </c>
      <c r="AZ1796" s="1" t="s">
        <v>200</v>
      </c>
      <c r="BA1796" s="1" t="str">
        <f>"13084170550000"</f>
        <v>13084170550000</v>
      </c>
      <c r="BB1796" s="1" t="s">
        <v>200</v>
      </c>
      <c r="BC1796" s="1">
        <v>0.0</v>
      </c>
      <c r="BD1796" s="1">
        <v>240000.0</v>
      </c>
      <c r="BE1796" s="2">
        <v>41869.0</v>
      </c>
      <c r="BF1796" s="2" t="s">
        <v>17527</v>
      </c>
      <c r="BH1796" s="1">
        <v>0.0</v>
      </c>
      <c r="BK1796" s="1" t="s">
        <v>204</v>
      </c>
      <c r="BL1796" s="1" t="str">
        <f>"4926"</f>
        <v>4926</v>
      </c>
      <c r="BM1796" s="1" t="str">
        <f t="shared" si="1189"/>
        <v>0</v>
      </c>
      <c r="BN1796" s="1">
        <v>5934.0</v>
      </c>
      <c r="BO1796" s="1">
        <v>0.0</v>
      </c>
      <c r="BQ1796" s="1">
        <v>299.0</v>
      </c>
      <c r="BR1796" s="1">
        <v>299.0</v>
      </c>
      <c r="BS1796" s="1">
        <v>299.0</v>
      </c>
      <c r="BU1796" s="1" t="s">
        <v>582</v>
      </c>
      <c r="BV1796" s="1" t="s">
        <v>206</v>
      </c>
      <c r="BW1796" s="1" t="s">
        <v>207</v>
      </c>
      <c r="BY1796" s="1" t="s">
        <v>212</v>
      </c>
      <c r="BZ1796" s="1" t="s">
        <v>206</v>
      </c>
      <c r="CA1796" s="1" t="s">
        <v>207</v>
      </c>
      <c r="CC1796" s="1" t="s">
        <v>331</v>
      </c>
      <c r="CD1796" s="1" t="s">
        <v>206</v>
      </c>
      <c r="CE1796" s="1" t="s">
        <v>207</v>
      </c>
      <c r="CG1796" s="1" t="s">
        <v>264</v>
      </c>
      <c r="CH1796" s="1" t="s">
        <v>206</v>
      </c>
      <c r="CI1796" s="1" t="s">
        <v>207</v>
      </c>
      <c r="CK1796" s="1" t="s">
        <v>495</v>
      </c>
      <c r="CL1796" s="1" t="s">
        <v>209</v>
      </c>
      <c r="CM1796" s="1" t="s">
        <v>207</v>
      </c>
      <c r="CO1796" s="1" t="s">
        <v>699</v>
      </c>
      <c r="CP1796" s="1" t="s">
        <v>209</v>
      </c>
      <c r="CQ1796" s="1" t="s">
        <v>207</v>
      </c>
      <c r="CS1796" s="1" t="s">
        <v>212</v>
      </c>
      <c r="CT1796" s="1" t="s">
        <v>206</v>
      </c>
      <c r="CU1796" s="1" t="s">
        <v>207</v>
      </c>
      <c r="CW1796" s="1" t="s">
        <v>8981</v>
      </c>
      <c r="CX1796" s="1" t="s">
        <v>206</v>
      </c>
      <c r="CY1796" s="1" t="s">
        <v>207</v>
      </c>
      <c r="DA1796" s="1" t="s">
        <v>200</v>
      </c>
      <c r="DC1796" s="1" t="s">
        <v>702</v>
      </c>
      <c r="DD1796" s="1" t="s">
        <v>518</v>
      </c>
      <c r="DE1796" s="1" t="s">
        <v>1905</v>
      </c>
      <c r="DF1796" s="1" t="s">
        <v>787</v>
      </c>
      <c r="DH1796" s="1" t="s">
        <v>365</v>
      </c>
      <c r="DI1796" s="1" t="s">
        <v>17528</v>
      </c>
      <c r="DJ1796" s="1" t="s">
        <v>1048</v>
      </c>
      <c r="DL1796" s="1" t="s">
        <v>223</v>
      </c>
      <c r="DM1796" s="1" t="s">
        <v>229</v>
      </c>
      <c r="DP1796" s="1" t="s">
        <v>340</v>
      </c>
      <c r="DQ1796" s="1" t="s">
        <v>718</v>
      </c>
      <c r="DR1796" s="1" t="s">
        <v>229</v>
      </c>
      <c r="DS1796" s="1" t="s">
        <v>368</v>
      </c>
      <c r="DU1796" s="1" t="s">
        <v>2070</v>
      </c>
      <c r="DV1796" s="1" t="s">
        <v>17529</v>
      </c>
      <c r="DW1796" s="1" t="s">
        <v>279</v>
      </c>
      <c r="DX1796" s="1" t="s">
        <v>234</v>
      </c>
      <c r="DY1796" s="1" t="s">
        <v>833</v>
      </c>
      <c r="DZ1796" s="1" t="s">
        <v>9283</v>
      </c>
      <c r="EA1796" s="1" t="s">
        <v>2535</v>
      </c>
      <c r="EC1796" s="1" t="s">
        <v>237</v>
      </c>
      <c r="ED1796" s="1" t="s">
        <v>407</v>
      </c>
      <c r="EH1796" s="1" t="s">
        <v>1121</v>
      </c>
      <c r="EI1796" s="1" t="s">
        <v>449</v>
      </c>
      <c r="EJ1796" s="1" t="s">
        <v>1407</v>
      </c>
      <c r="EM1796" s="1" t="s">
        <v>238</v>
      </c>
      <c r="EP1796" s="1" t="s">
        <v>454</v>
      </c>
      <c r="EQ1796" s="1" t="s">
        <v>209</v>
      </c>
      <c r="ER1796" s="1" t="s">
        <v>210</v>
      </c>
      <c r="ET1796" s="1" t="s">
        <v>5359</v>
      </c>
      <c r="EU1796" s="1" t="s">
        <v>209</v>
      </c>
      <c r="EV1796" s="1" t="s">
        <v>210</v>
      </c>
      <c r="EX1796" s="1" t="s">
        <v>940</v>
      </c>
      <c r="EY1796" s="1" t="s">
        <v>209</v>
      </c>
      <c r="EZ1796" s="1" t="s">
        <v>301</v>
      </c>
      <c r="FC1796" s="1" t="s">
        <v>238</v>
      </c>
      <c r="FF1796" s="1" t="s">
        <v>239</v>
      </c>
      <c r="FG1796" s="1" t="s">
        <v>192</v>
      </c>
      <c r="FH1796" s="1" t="s">
        <v>192</v>
      </c>
      <c r="FJ1796" s="1" t="s">
        <v>12089</v>
      </c>
      <c r="FK1796" s="1" t="s">
        <v>1586</v>
      </c>
      <c r="FL1796" s="1" t="s">
        <v>17530</v>
      </c>
      <c r="FM1796" s="1">
        <v>4475.0</v>
      </c>
      <c r="FN1796" s="1" t="s">
        <v>17531</v>
      </c>
      <c r="FO1796" s="1" t="s">
        <v>17532</v>
      </c>
      <c r="FP1796" s="1">
        <v>41185.0</v>
      </c>
      <c r="FQ1796" s="1" t="s">
        <v>17533</v>
      </c>
      <c r="FR1796" s="1">
        <v>38351.0</v>
      </c>
      <c r="FS1796" s="1" t="s">
        <v>17534</v>
      </c>
      <c r="FU1796" s="1" t="s">
        <v>15312</v>
      </c>
      <c r="FV1796" s="1" t="s">
        <v>200</v>
      </c>
      <c r="FW1796" s="1" t="s">
        <v>530</v>
      </c>
      <c r="FX1796" s="1" t="s">
        <v>238</v>
      </c>
      <c r="FZ1796" s="1" t="s">
        <v>229</v>
      </c>
      <c r="GA1796" s="1" t="s">
        <v>291</v>
      </c>
      <c r="GB1796" s="2">
        <v>42002.0</v>
      </c>
      <c r="GC1796" s="1" t="s">
        <v>17535</v>
      </c>
    </row>
    <row r="1797">
      <c r="A1797" s="1">
        <v>1825000.0</v>
      </c>
      <c r="B1797" s="1" t="s">
        <v>185</v>
      </c>
      <c r="C1797" s="1" t="str">
        <f>"08711327"</f>
        <v>08711327</v>
      </c>
      <c r="D1797" s="1" t="s">
        <v>186</v>
      </c>
      <c r="F1797" s="1" t="str">
        <f>"8008"</f>
        <v>8008</v>
      </c>
      <c r="G1797" s="2">
        <v>41877.0</v>
      </c>
      <c r="H1797" s="1">
        <v>1999900.0</v>
      </c>
      <c r="I1797" s="1">
        <v>65.0</v>
      </c>
      <c r="J1797" s="1">
        <v>1899950.0</v>
      </c>
      <c r="K1797" s="2">
        <v>41941.0</v>
      </c>
      <c r="L1797" s="1">
        <v>65.0</v>
      </c>
      <c r="M1797" s="2">
        <v>41941.0</v>
      </c>
      <c r="N1797" s="1" t="s">
        <v>187</v>
      </c>
      <c r="O1797" s="2">
        <v>42003.0</v>
      </c>
      <c r="P1797" s="1">
        <v>124168.0</v>
      </c>
      <c r="Q1797" s="1">
        <v>10115.0</v>
      </c>
      <c r="S1797" s="1">
        <v>1218.0</v>
      </c>
      <c r="T1797" s="1" t="s">
        <v>17536</v>
      </c>
      <c r="U1797" s="1" t="s">
        <v>320</v>
      </c>
      <c r="V1797" s="1" t="s">
        <v>190</v>
      </c>
      <c r="W1797" s="1">
        <v>60610.0</v>
      </c>
      <c r="Y1797" s="1" t="s">
        <v>17537</v>
      </c>
      <c r="Z1797" s="1">
        <v>1900.0</v>
      </c>
      <c r="AA1797" s="1" t="s">
        <v>192</v>
      </c>
      <c r="AB1797" s="1" t="s">
        <v>193</v>
      </c>
      <c r="AD1797" s="1" t="s">
        <v>194</v>
      </c>
      <c r="AE1797" s="1" t="s">
        <v>195</v>
      </c>
      <c r="AF1797" s="1" t="s">
        <v>2645</v>
      </c>
      <c r="AH1797" s="1" t="s">
        <v>17538</v>
      </c>
      <c r="AK1797" s="1">
        <v>11.0</v>
      </c>
      <c r="AL1797" s="1">
        <v>4.0</v>
      </c>
      <c r="AM1797" s="1">
        <v>4.0</v>
      </c>
      <c r="AN1797" s="1">
        <v>1.0</v>
      </c>
      <c r="AO1797" s="1" t="s">
        <v>198</v>
      </c>
      <c r="AP1797" s="1">
        <v>2.0</v>
      </c>
      <c r="AQ1797" s="1" t="s">
        <v>327</v>
      </c>
      <c r="AR1797" s="1" t="s">
        <v>192</v>
      </c>
      <c r="AS1797" s="1" t="s">
        <v>199</v>
      </c>
      <c r="AT1797" s="1">
        <v>1.0</v>
      </c>
      <c r="AV1797" s="1" t="s">
        <v>200</v>
      </c>
      <c r="AW1797" s="1">
        <v>50095.0</v>
      </c>
      <c r="AX1797" s="1">
        <v>2013.0</v>
      </c>
      <c r="AY1797" s="1" t="s">
        <v>229</v>
      </c>
      <c r="AZ1797" s="1" t="s">
        <v>200</v>
      </c>
      <c r="BA1797" s="1" t="str">
        <f>"17031120390000"</f>
        <v>17031120390000</v>
      </c>
      <c r="BB1797" s="1" t="s">
        <v>200</v>
      </c>
      <c r="BC1797" s="1">
        <v>5000.0</v>
      </c>
      <c r="BD1797" s="1">
        <v>1825000.0</v>
      </c>
      <c r="BE1797" s="2">
        <v>41877.0</v>
      </c>
      <c r="BF1797" s="2" t="s">
        <v>17539</v>
      </c>
      <c r="BG1797" s="1" t="s">
        <v>17540</v>
      </c>
      <c r="BH1797" s="1">
        <v>0.0</v>
      </c>
      <c r="BJ1797" s="1" t="s">
        <v>2871</v>
      </c>
      <c r="BK1797" s="1" t="s">
        <v>204</v>
      </c>
      <c r="BL1797" s="1" t="str">
        <f>"1218"</f>
        <v>1218</v>
      </c>
      <c r="BM1797" s="1" t="str">
        <f>"50"</f>
        <v>50</v>
      </c>
      <c r="BN1797" s="1">
        <v>0.0</v>
      </c>
      <c r="BO1797" s="1">
        <v>0.0</v>
      </c>
      <c r="BQ1797" s="1">
        <v>299.0</v>
      </c>
      <c r="BR1797" s="1">
        <v>299.0</v>
      </c>
      <c r="BS1797" s="1">
        <v>299.0</v>
      </c>
      <c r="BU1797" s="1" t="s">
        <v>4568</v>
      </c>
      <c r="BV1797" s="1" t="s">
        <v>206</v>
      </c>
      <c r="BW1797" s="1" t="s">
        <v>207</v>
      </c>
      <c r="BY1797" s="1" t="s">
        <v>17541</v>
      </c>
      <c r="BZ1797" s="1" t="s">
        <v>209</v>
      </c>
      <c r="CA1797" s="1" t="s">
        <v>207</v>
      </c>
      <c r="CC1797" s="1" t="s">
        <v>2219</v>
      </c>
      <c r="CD1797" s="1" t="s">
        <v>206</v>
      </c>
      <c r="CE1797" s="1" t="s">
        <v>207</v>
      </c>
      <c r="CG1797" s="1" t="s">
        <v>4403</v>
      </c>
      <c r="CH1797" s="1" t="s">
        <v>391</v>
      </c>
      <c r="CI1797" s="1" t="s">
        <v>210</v>
      </c>
      <c r="CK1797" s="1" t="s">
        <v>17542</v>
      </c>
      <c r="CL1797" s="1" t="s">
        <v>391</v>
      </c>
      <c r="CM1797" s="1" t="s">
        <v>210</v>
      </c>
      <c r="CO1797" s="1" t="s">
        <v>1351</v>
      </c>
      <c r="CP1797" s="1" t="s">
        <v>391</v>
      </c>
      <c r="CQ1797" s="1" t="s">
        <v>210</v>
      </c>
      <c r="CS1797" s="1" t="s">
        <v>433</v>
      </c>
      <c r="CT1797" s="1" t="s">
        <v>206</v>
      </c>
      <c r="CU1797" s="1" t="s">
        <v>588</v>
      </c>
      <c r="CW1797" s="1" t="s">
        <v>17543</v>
      </c>
      <c r="CX1797" s="1" t="s">
        <v>267</v>
      </c>
      <c r="CY1797" s="1" t="s">
        <v>210</v>
      </c>
      <c r="DA1797" s="1" t="s">
        <v>200</v>
      </c>
      <c r="DC1797" s="1" t="s">
        <v>642</v>
      </c>
      <c r="DD1797" s="1" t="s">
        <v>5601</v>
      </c>
      <c r="DE1797" s="1" t="s">
        <v>218</v>
      </c>
      <c r="DF1797" s="1" t="s">
        <v>745</v>
      </c>
      <c r="DH1797" s="1" t="s">
        <v>365</v>
      </c>
      <c r="DI1797" s="1" t="s">
        <v>221</v>
      </c>
      <c r="DJ1797" s="1" t="s">
        <v>222</v>
      </c>
      <c r="DL1797" s="1" t="s">
        <v>1161</v>
      </c>
      <c r="DM1797" s="1" t="s">
        <v>229</v>
      </c>
      <c r="DN1797" s="1" t="s">
        <v>339</v>
      </c>
      <c r="DO1797" s="1" t="s">
        <v>549</v>
      </c>
      <c r="DP1797" s="1" t="s">
        <v>340</v>
      </c>
      <c r="DQ1797" s="1" t="s">
        <v>718</v>
      </c>
      <c r="DR1797" s="1" t="s">
        <v>229</v>
      </c>
      <c r="DU1797" s="1" t="s">
        <v>4671</v>
      </c>
      <c r="DV1797" s="1" t="s">
        <v>17544</v>
      </c>
      <c r="DW1797" s="1" t="s">
        <v>279</v>
      </c>
      <c r="DX1797" s="1" t="s">
        <v>309</v>
      </c>
      <c r="DZ1797" s="1" t="s">
        <v>310</v>
      </c>
      <c r="EA1797" s="1" t="s">
        <v>344</v>
      </c>
      <c r="EB1797" s="1" t="s">
        <v>345</v>
      </c>
      <c r="EC1797" s="1" t="s">
        <v>4792</v>
      </c>
      <c r="ED1797" s="1" t="s">
        <v>1761</v>
      </c>
      <c r="EE1797" s="1" t="s">
        <v>187</v>
      </c>
      <c r="EG1797" s="1" t="s">
        <v>1121</v>
      </c>
      <c r="EH1797" s="1" t="s">
        <v>494</v>
      </c>
      <c r="EI1797" s="1" t="s">
        <v>1961</v>
      </c>
      <c r="EJ1797" s="1" t="s">
        <v>2313</v>
      </c>
      <c r="EL1797" s="1" t="s">
        <v>262</v>
      </c>
      <c r="EM1797" s="1" t="s">
        <v>209</v>
      </c>
      <c r="EN1797" s="1" t="s">
        <v>207</v>
      </c>
      <c r="EP1797" s="1" t="s">
        <v>1825</v>
      </c>
      <c r="EQ1797" s="1" t="s">
        <v>209</v>
      </c>
      <c r="ER1797" s="1" t="s">
        <v>207</v>
      </c>
      <c r="ET1797" s="1" t="s">
        <v>454</v>
      </c>
      <c r="EU1797" s="1" t="s">
        <v>209</v>
      </c>
      <c r="EV1797" s="1" t="s">
        <v>207</v>
      </c>
      <c r="EX1797" s="1" t="s">
        <v>1623</v>
      </c>
      <c r="EY1797" s="1" t="s">
        <v>267</v>
      </c>
      <c r="EZ1797" s="1" t="s">
        <v>588</v>
      </c>
      <c r="FC1797" s="1" t="s">
        <v>238</v>
      </c>
      <c r="FF1797" s="1" t="s">
        <v>239</v>
      </c>
      <c r="FG1797" s="1" t="s">
        <v>192</v>
      </c>
      <c r="FH1797" s="1" t="s">
        <v>192</v>
      </c>
      <c r="FJ1797" s="1" t="s">
        <v>17545</v>
      </c>
      <c r="FK1797" s="1" t="s">
        <v>229</v>
      </c>
      <c r="FL1797" s="1" t="s">
        <v>1358</v>
      </c>
      <c r="FM1797" s="1">
        <v>10115.0</v>
      </c>
      <c r="FN1797" s="1" t="s">
        <v>2286</v>
      </c>
      <c r="FO1797" s="1" t="s">
        <v>2881</v>
      </c>
      <c r="FP1797" s="1">
        <v>124168.0</v>
      </c>
      <c r="FQ1797" s="1" t="s">
        <v>2882</v>
      </c>
      <c r="FU1797" s="1" t="s">
        <v>17546</v>
      </c>
      <c r="FV1797" s="1" t="s">
        <v>200</v>
      </c>
      <c r="FW1797" s="1" t="s">
        <v>17547</v>
      </c>
      <c r="FX1797" s="1" t="s">
        <v>238</v>
      </c>
      <c r="FZ1797" s="1" t="s">
        <v>229</v>
      </c>
      <c r="GA1797" s="1" t="s">
        <v>291</v>
      </c>
      <c r="GB1797" s="2">
        <v>42004.0</v>
      </c>
      <c r="GC1797" s="1" t="s">
        <v>17548</v>
      </c>
    </row>
    <row r="1798">
      <c r="A1798" s="1">
        <v>485000.0</v>
      </c>
      <c r="B1798" s="1" t="s">
        <v>185</v>
      </c>
      <c r="C1798" s="1" t="str">
        <f>"08717818"</f>
        <v>08717818</v>
      </c>
      <c r="D1798" s="1" t="s">
        <v>186</v>
      </c>
      <c r="F1798" s="1" t="str">
        <f>"8060"</f>
        <v>8060</v>
      </c>
      <c r="G1798" s="2">
        <v>41885.0</v>
      </c>
      <c r="H1798" s="1">
        <v>529000.0</v>
      </c>
      <c r="I1798" s="1">
        <v>17.0</v>
      </c>
      <c r="J1798" s="1">
        <v>529000.0</v>
      </c>
      <c r="K1798" s="2">
        <v>41901.0</v>
      </c>
      <c r="L1798" s="1">
        <v>17.0</v>
      </c>
      <c r="M1798" s="2">
        <v>41901.0</v>
      </c>
      <c r="N1798" s="1" t="s">
        <v>249</v>
      </c>
      <c r="O1798" s="2">
        <v>41969.0</v>
      </c>
      <c r="P1798" s="1">
        <v>178515.0</v>
      </c>
      <c r="Q1798" s="1">
        <v>14165.0</v>
      </c>
      <c r="S1798" s="1">
        <v>3623.0</v>
      </c>
      <c r="T1798" s="1" t="s">
        <v>14917</v>
      </c>
      <c r="U1798" s="1" t="s">
        <v>189</v>
      </c>
      <c r="V1798" s="1" t="s">
        <v>190</v>
      </c>
      <c r="W1798" s="1">
        <v>60609.0</v>
      </c>
      <c r="Y1798" s="1" t="s">
        <v>17549</v>
      </c>
      <c r="Z1798" s="1">
        <v>2014.0</v>
      </c>
      <c r="AA1798" s="1" t="s">
        <v>200</v>
      </c>
      <c r="AB1798" s="1" t="s">
        <v>193</v>
      </c>
      <c r="AD1798" s="1" t="s">
        <v>194</v>
      </c>
      <c r="AE1798" s="1" t="s">
        <v>195</v>
      </c>
      <c r="AF1798" s="1" t="s">
        <v>1154</v>
      </c>
      <c r="AH1798" s="1" t="s">
        <v>359</v>
      </c>
      <c r="AK1798" s="1">
        <v>8.0</v>
      </c>
      <c r="AL1798" s="1">
        <v>3.0</v>
      </c>
      <c r="AM1798" s="1">
        <v>3.0</v>
      </c>
      <c r="AN1798" s="1">
        <v>1.0</v>
      </c>
      <c r="AO1798" s="1" t="s">
        <v>198</v>
      </c>
      <c r="AP1798" s="1">
        <v>1.0</v>
      </c>
      <c r="AQ1798" s="1" t="s">
        <v>198</v>
      </c>
      <c r="AR1798" s="1" t="s">
        <v>192</v>
      </c>
      <c r="AS1798" s="1" t="s">
        <v>199</v>
      </c>
      <c r="AT1798" s="1">
        <v>2.0</v>
      </c>
      <c r="AV1798" s="1" t="s">
        <v>200</v>
      </c>
      <c r="AW1798" s="1" t="s">
        <v>575</v>
      </c>
      <c r="AX1798" s="1">
        <v>2013.0</v>
      </c>
      <c r="AZ1798" s="1" t="s">
        <v>200</v>
      </c>
      <c r="BA1798" s="1" t="str">
        <f>"00000000000000"</f>
        <v>00000000000000</v>
      </c>
      <c r="BC1798" s="1">
        <v>3000.0</v>
      </c>
      <c r="BD1798" s="1">
        <v>485000.0</v>
      </c>
      <c r="BE1798" s="2">
        <v>41885.0</v>
      </c>
      <c r="BF1798" s="2" t="s">
        <v>17550</v>
      </c>
      <c r="BH1798" s="1">
        <v>0.0</v>
      </c>
      <c r="BK1798" s="1" t="s">
        <v>204</v>
      </c>
      <c r="BL1798" s="1" t="str">
        <f t="shared" ref="BL1798:BM1798" si="1190">"0"</f>
        <v>0</v>
      </c>
      <c r="BM1798" s="1" t="str">
        <f t="shared" si="1190"/>
        <v>0</v>
      </c>
      <c r="BN1798" s="1">
        <v>500.0</v>
      </c>
      <c r="BO1798" s="1">
        <v>3623.0</v>
      </c>
      <c r="BQ1798" s="1">
        <v>299.0</v>
      </c>
      <c r="BR1798" s="1">
        <v>299.0</v>
      </c>
      <c r="BS1798" s="1">
        <v>299.0</v>
      </c>
      <c r="BU1798" s="1" t="s">
        <v>676</v>
      </c>
      <c r="BV1798" s="1" t="s">
        <v>206</v>
      </c>
      <c r="BY1798" s="1" t="s">
        <v>1043</v>
      </c>
      <c r="BZ1798" s="1" t="s">
        <v>209</v>
      </c>
      <c r="CC1798" s="1" t="s">
        <v>542</v>
      </c>
      <c r="CD1798" s="1" t="s">
        <v>206</v>
      </c>
      <c r="CG1798" s="1" t="s">
        <v>2460</v>
      </c>
      <c r="CH1798" s="1" t="s">
        <v>209</v>
      </c>
      <c r="CK1798" s="1" t="s">
        <v>798</v>
      </c>
      <c r="CL1798" s="1" t="s">
        <v>209</v>
      </c>
      <c r="CO1798" s="1" t="s">
        <v>2047</v>
      </c>
      <c r="CP1798" s="1" t="s">
        <v>42</v>
      </c>
      <c r="CS1798" s="1" t="s">
        <v>1043</v>
      </c>
      <c r="CT1798" s="1" t="s">
        <v>206</v>
      </c>
      <c r="CW1798" s="1" t="s">
        <v>3817</v>
      </c>
      <c r="CX1798" s="1" t="s">
        <v>267</v>
      </c>
      <c r="DA1798" s="1" t="s">
        <v>192</v>
      </c>
      <c r="DB1798" s="2">
        <v>41912.0</v>
      </c>
      <c r="DC1798" s="1" t="s">
        <v>1353</v>
      </c>
      <c r="DE1798" s="1" t="s">
        <v>273</v>
      </c>
      <c r="DF1798" s="1" t="s">
        <v>219</v>
      </c>
      <c r="DH1798" s="1" t="s">
        <v>365</v>
      </c>
      <c r="DJ1798" s="1" t="s">
        <v>222</v>
      </c>
      <c r="DL1798" s="1" t="s">
        <v>224</v>
      </c>
      <c r="DM1798" s="1" t="s">
        <v>229</v>
      </c>
      <c r="DQ1798" s="1" t="s">
        <v>228</v>
      </c>
      <c r="DR1798" s="1" t="s">
        <v>229</v>
      </c>
      <c r="DV1798" s="1" t="s">
        <v>232</v>
      </c>
      <c r="DW1798" s="1" t="s">
        <v>279</v>
      </c>
      <c r="DX1798" s="1" t="s">
        <v>234</v>
      </c>
      <c r="EC1798" s="1" t="s">
        <v>406</v>
      </c>
      <c r="EM1798" s="1" t="s">
        <v>238</v>
      </c>
      <c r="EQ1798" s="1" t="s">
        <v>238</v>
      </c>
      <c r="EU1798" s="1" t="s">
        <v>238</v>
      </c>
      <c r="EY1798" s="1" t="s">
        <v>238</v>
      </c>
      <c r="FC1798" s="1" t="s">
        <v>238</v>
      </c>
      <c r="FF1798" s="1" t="s">
        <v>239</v>
      </c>
      <c r="FG1798" s="1" t="s">
        <v>200</v>
      </c>
      <c r="FH1798" s="1" t="s">
        <v>192</v>
      </c>
      <c r="FJ1798" s="1" t="s">
        <v>12395</v>
      </c>
      <c r="FK1798" s="1" t="s">
        <v>229</v>
      </c>
      <c r="FL1798" s="1" t="s">
        <v>1168</v>
      </c>
      <c r="FM1798" s="1">
        <v>14165.0</v>
      </c>
      <c r="FN1798" s="1" t="s">
        <v>1169</v>
      </c>
      <c r="FO1798" s="1" t="s">
        <v>12396</v>
      </c>
      <c r="FP1798" s="1">
        <v>130234.0</v>
      </c>
      <c r="FU1798" s="1" t="s">
        <v>17551</v>
      </c>
      <c r="FV1798" s="1" t="s">
        <v>200</v>
      </c>
      <c r="FW1798" s="1" t="s">
        <v>290</v>
      </c>
      <c r="FX1798" s="1" t="s">
        <v>655</v>
      </c>
      <c r="FZ1798" s="1" t="s">
        <v>229</v>
      </c>
      <c r="GA1798" s="1" t="s">
        <v>291</v>
      </c>
      <c r="GB1798" s="2">
        <v>41969.0</v>
      </c>
    </row>
    <row r="1799">
      <c r="A1799" s="1">
        <v>207000.0</v>
      </c>
      <c r="B1799" s="1" t="s">
        <v>185</v>
      </c>
      <c r="C1799" s="1" t="str">
        <f>"08710439"</f>
        <v>08710439</v>
      </c>
      <c r="D1799" s="1" t="s">
        <v>186</v>
      </c>
      <c r="F1799" s="1" t="str">
        <f>"174"</f>
        <v>174</v>
      </c>
      <c r="G1799" s="2">
        <v>41876.0</v>
      </c>
      <c r="H1799" s="1">
        <v>218900.0</v>
      </c>
      <c r="I1799" s="1">
        <v>71.0</v>
      </c>
      <c r="J1799" s="1">
        <v>214900.0</v>
      </c>
      <c r="K1799" s="2">
        <v>41946.0</v>
      </c>
      <c r="L1799" s="1">
        <v>71.0</v>
      </c>
      <c r="M1799" s="2">
        <v>41946.0</v>
      </c>
      <c r="N1799" s="1" t="s">
        <v>187</v>
      </c>
      <c r="O1799" s="2">
        <v>41985.0</v>
      </c>
      <c r="P1799" s="1">
        <v>1931.0</v>
      </c>
      <c r="Q1799" s="1">
        <v>328.0</v>
      </c>
      <c r="S1799" s="1">
        <v>1515.0</v>
      </c>
      <c r="T1799" s="1" t="s">
        <v>5710</v>
      </c>
      <c r="U1799" s="1" t="s">
        <v>189</v>
      </c>
      <c r="V1799" s="1" t="s">
        <v>1200</v>
      </c>
      <c r="W1799" s="1">
        <v>60174.0</v>
      </c>
      <c r="Y1799" s="1" t="s">
        <v>17552</v>
      </c>
      <c r="Z1799" s="1">
        <v>1984.0</v>
      </c>
      <c r="AA1799" s="1" t="s">
        <v>200</v>
      </c>
      <c r="AB1799" s="1" t="s">
        <v>193</v>
      </c>
      <c r="AC1799" s="1" t="s">
        <v>17553</v>
      </c>
      <c r="AD1799" s="1" t="s">
        <v>1203</v>
      </c>
      <c r="AE1799" s="1" t="s">
        <v>325</v>
      </c>
      <c r="AF1799" s="1" t="s">
        <v>1203</v>
      </c>
      <c r="AG1799" s="1" t="s">
        <v>17554</v>
      </c>
      <c r="AH1799" s="1" t="s">
        <v>17555</v>
      </c>
      <c r="AK1799" s="1">
        <v>9.0</v>
      </c>
      <c r="AL1799" s="1">
        <v>3.0</v>
      </c>
      <c r="AM1799" s="1">
        <v>2.0</v>
      </c>
      <c r="AN1799" s="1">
        <v>0.0</v>
      </c>
      <c r="AO1799" s="1" t="s">
        <v>1261</v>
      </c>
      <c r="AQ1799" s="1" t="s">
        <v>198</v>
      </c>
      <c r="AR1799" s="1" t="s">
        <v>192</v>
      </c>
      <c r="AS1799" s="1" t="s">
        <v>199</v>
      </c>
      <c r="AT1799" s="1">
        <v>2.0</v>
      </c>
      <c r="AV1799" s="1" t="s">
        <v>200</v>
      </c>
      <c r="AW1799" s="1">
        <v>5712.86</v>
      </c>
      <c r="AX1799" s="1">
        <v>2013.0</v>
      </c>
      <c r="AY1799" s="1" t="s">
        <v>387</v>
      </c>
      <c r="AZ1799" s="1" t="s">
        <v>200</v>
      </c>
      <c r="BA1799" s="1" t="str">
        <f>"0935255005"</f>
        <v>0935255005</v>
      </c>
      <c r="BB1799" s="1" t="s">
        <v>200</v>
      </c>
      <c r="BC1799" s="1">
        <v>1008.0</v>
      </c>
      <c r="BD1799" s="1">
        <v>207000.0</v>
      </c>
      <c r="BE1799" s="2">
        <v>41876.0</v>
      </c>
      <c r="BF1799" s="2" t="s">
        <v>17556</v>
      </c>
      <c r="BG1799" s="1" t="s">
        <v>3610</v>
      </c>
      <c r="BH1799" s="1">
        <v>0.0</v>
      </c>
      <c r="BI1799" s="1" t="s">
        <v>2143</v>
      </c>
      <c r="BJ1799" s="1" t="s">
        <v>2144</v>
      </c>
      <c r="BK1799" s="1" t="s">
        <v>204</v>
      </c>
      <c r="BL1799" s="1" t="str">
        <f>"2"</f>
        <v>2</v>
      </c>
      <c r="BM1799" s="1" t="str">
        <f t="shared" ref="BM1799:BM1800" si="1191">"0"</f>
        <v>0</v>
      </c>
      <c r="BN1799" s="1">
        <v>34.0</v>
      </c>
      <c r="BO1799" s="1">
        <v>0.0</v>
      </c>
      <c r="BQ1799" s="1">
        <v>303.0</v>
      </c>
      <c r="BR1799" s="1">
        <v>303.0</v>
      </c>
      <c r="BS1799" s="1">
        <v>303.0</v>
      </c>
      <c r="BU1799" s="1" t="s">
        <v>390</v>
      </c>
      <c r="BV1799" s="1" t="s">
        <v>206</v>
      </c>
      <c r="BW1799" s="1" t="s">
        <v>210</v>
      </c>
      <c r="BX1799" s="1" t="s">
        <v>239</v>
      </c>
      <c r="BY1799" s="1" t="s">
        <v>215</v>
      </c>
      <c r="BZ1799" s="1" t="s">
        <v>206</v>
      </c>
      <c r="CA1799" s="1" t="s">
        <v>210</v>
      </c>
      <c r="CB1799" s="1" t="s">
        <v>239</v>
      </c>
      <c r="CC1799" s="1" t="s">
        <v>516</v>
      </c>
      <c r="CD1799" s="1" t="s">
        <v>206</v>
      </c>
      <c r="CE1799" s="1" t="s">
        <v>210</v>
      </c>
      <c r="CG1799" s="1" t="s">
        <v>816</v>
      </c>
      <c r="CH1799" s="1" t="s">
        <v>206</v>
      </c>
      <c r="CI1799" s="1" t="s">
        <v>210</v>
      </c>
      <c r="CJ1799" s="1" t="s">
        <v>239</v>
      </c>
      <c r="CK1799" s="1" t="s">
        <v>816</v>
      </c>
      <c r="CL1799" s="1" t="s">
        <v>206</v>
      </c>
      <c r="CM1799" s="1" t="s">
        <v>210</v>
      </c>
      <c r="CN1799" s="1" t="s">
        <v>239</v>
      </c>
      <c r="CO1799" s="1" t="s">
        <v>16628</v>
      </c>
      <c r="CP1799" s="1" t="s">
        <v>42</v>
      </c>
      <c r="CQ1799" s="1" t="s">
        <v>210</v>
      </c>
      <c r="CS1799" s="1" t="s">
        <v>516</v>
      </c>
      <c r="CT1799" s="1" t="s">
        <v>206</v>
      </c>
      <c r="CU1799" s="1" t="s">
        <v>617</v>
      </c>
      <c r="CX1799" s="1" t="s">
        <v>204</v>
      </c>
      <c r="DA1799" s="1" t="s">
        <v>200</v>
      </c>
      <c r="DC1799" s="1" t="s">
        <v>305</v>
      </c>
      <c r="DD1799" s="1" t="s">
        <v>518</v>
      </c>
      <c r="DE1799" s="1" t="s">
        <v>273</v>
      </c>
      <c r="DF1799" s="1" t="s">
        <v>219</v>
      </c>
      <c r="DG1799" s="1" t="s">
        <v>2237</v>
      </c>
      <c r="DH1799" s="1" t="s">
        <v>220</v>
      </c>
      <c r="DI1799" s="1" t="s">
        <v>221</v>
      </c>
      <c r="DJ1799" s="1" t="s">
        <v>222</v>
      </c>
      <c r="DL1799" s="1" t="s">
        <v>224</v>
      </c>
      <c r="DM1799" s="1" t="s">
        <v>338</v>
      </c>
      <c r="DO1799" s="1" t="s">
        <v>549</v>
      </c>
      <c r="DQ1799" s="1" t="s">
        <v>228</v>
      </c>
      <c r="DR1799" s="1" t="s">
        <v>229</v>
      </c>
      <c r="DS1799" s="1" t="s">
        <v>401</v>
      </c>
      <c r="DU1799" s="1" t="s">
        <v>17557</v>
      </c>
      <c r="DV1799" s="1" t="s">
        <v>4425</v>
      </c>
      <c r="DW1799" s="1" t="s">
        <v>233</v>
      </c>
      <c r="DX1799" s="1" t="s">
        <v>234</v>
      </c>
      <c r="DY1799" s="1" t="s">
        <v>6341</v>
      </c>
      <c r="DZ1799" s="1" t="s">
        <v>310</v>
      </c>
      <c r="EA1799" s="1" t="s">
        <v>683</v>
      </c>
      <c r="EC1799" s="1" t="s">
        <v>685</v>
      </c>
      <c r="ED1799" s="1" t="s">
        <v>555</v>
      </c>
      <c r="EE1799" s="1" t="s">
        <v>493</v>
      </c>
      <c r="EG1799" s="1" t="s">
        <v>450</v>
      </c>
      <c r="EH1799" s="1" t="s">
        <v>451</v>
      </c>
      <c r="EL1799" s="1" t="s">
        <v>329</v>
      </c>
      <c r="EM1799" s="1" t="s">
        <v>42</v>
      </c>
      <c r="EN1799" s="1" t="s">
        <v>210</v>
      </c>
      <c r="EP1799" s="1" t="s">
        <v>329</v>
      </c>
      <c r="EQ1799" s="1" t="s">
        <v>42</v>
      </c>
      <c r="ER1799" s="1" t="s">
        <v>617</v>
      </c>
      <c r="EU1799" s="1" t="s">
        <v>238</v>
      </c>
      <c r="EY1799" s="1" t="s">
        <v>238</v>
      </c>
      <c r="FC1799" s="1" t="s">
        <v>238</v>
      </c>
      <c r="FF1799" s="1" t="s">
        <v>239</v>
      </c>
      <c r="FG1799" s="1" t="s">
        <v>192</v>
      </c>
      <c r="FH1799" s="1" t="s">
        <v>192</v>
      </c>
      <c r="FJ1799" s="1" t="s">
        <v>624</v>
      </c>
      <c r="FK1799" s="1" t="s">
        <v>229</v>
      </c>
      <c r="FL1799" s="1" t="s">
        <v>1212</v>
      </c>
      <c r="FM1799" s="1">
        <v>30.0</v>
      </c>
      <c r="FN1799" s="1" t="s">
        <v>1213</v>
      </c>
      <c r="FO1799" s="1" t="s">
        <v>3614</v>
      </c>
      <c r="FP1799" s="1">
        <v>1405.0</v>
      </c>
      <c r="FQ1799" s="1" t="s">
        <v>3615</v>
      </c>
      <c r="FS1799" s="1" t="s">
        <v>3616</v>
      </c>
      <c r="FT1799" s="1" t="s">
        <v>17558</v>
      </c>
      <c r="FU1799" s="1" t="s">
        <v>17559</v>
      </c>
      <c r="FV1799" s="1" t="s">
        <v>200</v>
      </c>
      <c r="FW1799" s="1" t="s">
        <v>2754</v>
      </c>
      <c r="FZ1799" s="1" t="s">
        <v>229</v>
      </c>
      <c r="GA1799" s="1" t="s">
        <v>291</v>
      </c>
      <c r="GB1799" s="2">
        <v>41985.0</v>
      </c>
      <c r="GC1799" s="1" t="s">
        <v>17560</v>
      </c>
    </row>
    <row r="1800">
      <c r="A1800" s="1">
        <v>377325.0</v>
      </c>
      <c r="B1800" s="1" t="s">
        <v>185</v>
      </c>
      <c r="C1800" s="1" t="str">
        <f>"08709778"</f>
        <v>08709778</v>
      </c>
      <c r="D1800" s="1" t="s">
        <v>186</v>
      </c>
      <c r="F1800" s="1" t="str">
        <f>"110"</f>
        <v>110</v>
      </c>
      <c r="G1800" s="2">
        <v>41874.0</v>
      </c>
      <c r="H1800" s="1">
        <v>376685.0</v>
      </c>
      <c r="I1800" s="1">
        <v>1.0</v>
      </c>
      <c r="J1800" s="1">
        <v>376685.0</v>
      </c>
      <c r="K1800" s="2">
        <v>41874.0</v>
      </c>
      <c r="L1800" s="1">
        <v>1.0</v>
      </c>
      <c r="M1800" s="2">
        <v>41874.0</v>
      </c>
      <c r="N1800" s="1" t="s">
        <v>187</v>
      </c>
      <c r="O1800" s="2">
        <v>42003.0</v>
      </c>
      <c r="P1800" s="1">
        <v>99995.0</v>
      </c>
      <c r="Q1800" s="1" t="s">
        <v>947</v>
      </c>
      <c r="S1800" s="1">
        <v>3595.0</v>
      </c>
      <c r="T1800" s="1" t="s">
        <v>4439</v>
      </c>
      <c r="U1800" s="1" t="s">
        <v>1174</v>
      </c>
      <c r="V1800" s="1" t="s">
        <v>807</v>
      </c>
      <c r="W1800" s="1">
        <v>60110.0</v>
      </c>
      <c r="Y1800" s="1" t="s">
        <v>13841</v>
      </c>
      <c r="Z1800" s="1">
        <v>2014.0</v>
      </c>
      <c r="AA1800" s="1" t="s">
        <v>200</v>
      </c>
      <c r="AB1800" s="1" t="s">
        <v>467</v>
      </c>
      <c r="AC1800" s="1" t="s">
        <v>1176</v>
      </c>
      <c r="AD1800" s="1" t="s">
        <v>809</v>
      </c>
      <c r="AE1800" s="1" t="s">
        <v>325</v>
      </c>
      <c r="AF1800" s="1" t="s">
        <v>810</v>
      </c>
      <c r="AG1800" s="1" t="s">
        <v>13842</v>
      </c>
      <c r="AH1800" s="1" t="s">
        <v>13843</v>
      </c>
      <c r="AI1800" s="1">
        <v>0.25</v>
      </c>
      <c r="AK1800" s="1">
        <v>7.0</v>
      </c>
      <c r="AL1800" s="1">
        <v>4.0</v>
      </c>
      <c r="AM1800" s="1">
        <v>2.0</v>
      </c>
      <c r="AN1800" s="1">
        <v>1.0</v>
      </c>
      <c r="AO1800" s="1" t="s">
        <v>198</v>
      </c>
      <c r="AQ1800" s="1" t="s">
        <v>198</v>
      </c>
      <c r="AR1800" s="1" t="s">
        <v>200</v>
      </c>
      <c r="AS1800" s="1" t="s">
        <v>199</v>
      </c>
      <c r="AT1800" s="1">
        <v>3.0</v>
      </c>
      <c r="AV1800" s="1" t="s">
        <v>200</v>
      </c>
      <c r="AW1800" s="1" t="s">
        <v>575</v>
      </c>
      <c r="AX1800" s="1">
        <v>2012.0</v>
      </c>
      <c r="AY1800" s="1" t="s">
        <v>387</v>
      </c>
      <c r="AZ1800" s="1" t="s">
        <v>200</v>
      </c>
      <c r="BA1800" s="1" t="str">
        <f>"0307376022"</f>
        <v>0307376022</v>
      </c>
      <c r="BB1800" s="1" t="s">
        <v>200</v>
      </c>
      <c r="BC1800" s="1">
        <v>3295.0</v>
      </c>
      <c r="BD1800" s="1">
        <v>377325.0</v>
      </c>
      <c r="BE1800" s="2">
        <v>41874.0</v>
      </c>
      <c r="BF1800" s="1" t="s">
        <v>14365</v>
      </c>
      <c r="BG1800" s="1" t="s">
        <v>1181</v>
      </c>
      <c r="BH1800" s="1">
        <v>112.0</v>
      </c>
      <c r="BI1800" s="1" t="s">
        <v>1093</v>
      </c>
      <c r="BJ1800" s="1" t="s">
        <v>1182</v>
      </c>
      <c r="BK1800" s="1" t="s">
        <v>1952</v>
      </c>
      <c r="BL1800" s="1" t="str">
        <f>"18"</f>
        <v>18</v>
      </c>
      <c r="BM1800" s="1" t="str">
        <f t="shared" si="1191"/>
        <v>0</v>
      </c>
      <c r="BN1800" s="1">
        <v>37.0</v>
      </c>
      <c r="BO1800" s="1">
        <v>0.0</v>
      </c>
      <c r="BQ1800" s="1">
        <v>300.0</v>
      </c>
      <c r="BR1800" s="1">
        <v>300.0</v>
      </c>
      <c r="BS1800" s="1">
        <v>300.0</v>
      </c>
      <c r="BV1800" s="1" t="s">
        <v>204</v>
      </c>
      <c r="BY1800" s="1" t="s">
        <v>830</v>
      </c>
      <c r="BZ1800" s="1" t="s">
        <v>209</v>
      </c>
      <c r="CA1800" s="1" t="s">
        <v>210</v>
      </c>
      <c r="CB1800" s="1" t="s">
        <v>229</v>
      </c>
      <c r="CD1800" s="1" t="s">
        <v>204</v>
      </c>
      <c r="CG1800" s="1" t="s">
        <v>302</v>
      </c>
      <c r="CH1800" s="1" t="s">
        <v>209</v>
      </c>
      <c r="CI1800" s="1" t="s">
        <v>210</v>
      </c>
      <c r="CJ1800" s="1" t="s">
        <v>229</v>
      </c>
      <c r="CK1800" s="1" t="s">
        <v>1417</v>
      </c>
      <c r="CL1800" s="1" t="s">
        <v>209</v>
      </c>
      <c r="CM1800" s="1" t="s">
        <v>210</v>
      </c>
      <c r="CO1800" s="1" t="s">
        <v>2459</v>
      </c>
      <c r="CP1800" s="1" t="s">
        <v>209</v>
      </c>
      <c r="CQ1800" s="1" t="s">
        <v>210</v>
      </c>
      <c r="CS1800" s="1" t="s">
        <v>1612</v>
      </c>
      <c r="CT1800" s="1" t="s">
        <v>206</v>
      </c>
      <c r="CU1800" s="1" t="s">
        <v>207</v>
      </c>
      <c r="CV1800" s="1" t="s">
        <v>229</v>
      </c>
      <c r="CX1800" s="1" t="s">
        <v>204</v>
      </c>
      <c r="DA1800" s="1" t="s">
        <v>192</v>
      </c>
      <c r="DB1800" s="2">
        <v>42050.0</v>
      </c>
      <c r="DC1800" s="1" t="s">
        <v>744</v>
      </c>
      <c r="DD1800" s="1" t="s">
        <v>1484</v>
      </c>
      <c r="DE1800" s="1" t="s">
        <v>273</v>
      </c>
      <c r="DF1800" s="1" t="s">
        <v>619</v>
      </c>
      <c r="DG1800" s="1" t="s">
        <v>482</v>
      </c>
      <c r="DH1800" s="1" t="s">
        <v>220</v>
      </c>
      <c r="DI1800" s="1" t="s">
        <v>275</v>
      </c>
      <c r="DJ1800" s="1" t="s">
        <v>1048</v>
      </c>
      <c r="DK1800" s="1" t="s">
        <v>223</v>
      </c>
      <c r="DL1800" s="1" t="s">
        <v>223</v>
      </c>
      <c r="DM1800" s="1" t="s">
        <v>338</v>
      </c>
      <c r="DN1800" s="1" t="s">
        <v>548</v>
      </c>
      <c r="DP1800" s="1" t="s">
        <v>340</v>
      </c>
      <c r="DQ1800" s="1" t="s">
        <v>228</v>
      </c>
      <c r="DR1800" s="1" t="s">
        <v>588</v>
      </c>
      <c r="DS1800" s="1" t="s">
        <v>368</v>
      </c>
      <c r="DV1800" s="1" t="s">
        <v>14366</v>
      </c>
      <c r="DW1800" s="1" t="s">
        <v>279</v>
      </c>
      <c r="DX1800" s="1" t="s">
        <v>234</v>
      </c>
      <c r="EA1800" s="1" t="s">
        <v>344</v>
      </c>
      <c r="EC1800" s="1" t="s">
        <v>237</v>
      </c>
      <c r="EG1800" s="1" t="s">
        <v>341</v>
      </c>
      <c r="EI1800" s="1" t="s">
        <v>1164</v>
      </c>
      <c r="EL1800" s="1" t="s">
        <v>2647</v>
      </c>
      <c r="EM1800" s="1" t="s">
        <v>209</v>
      </c>
      <c r="EN1800" s="1" t="s">
        <v>210</v>
      </c>
      <c r="EO1800" s="1" t="s">
        <v>229</v>
      </c>
      <c r="EQ1800" s="1" t="s">
        <v>238</v>
      </c>
      <c r="ET1800" s="1" t="s">
        <v>364</v>
      </c>
      <c r="EU1800" s="1" t="s">
        <v>206</v>
      </c>
      <c r="EV1800" s="1" t="s">
        <v>210</v>
      </c>
      <c r="EW1800" s="1" t="s">
        <v>229</v>
      </c>
      <c r="EY1800" s="1" t="s">
        <v>238</v>
      </c>
      <c r="FC1800" s="1" t="s">
        <v>238</v>
      </c>
      <c r="FF1800" s="1" t="s">
        <v>239</v>
      </c>
      <c r="FG1800" s="1" t="s">
        <v>192</v>
      </c>
      <c r="FH1800" s="1" t="s">
        <v>192</v>
      </c>
      <c r="FJ1800" s="1" t="s">
        <v>14367</v>
      </c>
      <c r="FK1800" s="1" t="s">
        <v>229</v>
      </c>
      <c r="FL1800" s="1" t="s">
        <v>1192</v>
      </c>
      <c r="FM1800" s="1">
        <v>8702.0</v>
      </c>
      <c r="FN1800" s="1" t="s">
        <v>1193</v>
      </c>
      <c r="FO1800" s="1" t="s">
        <v>1194</v>
      </c>
      <c r="FP1800" s="1">
        <v>21163.0</v>
      </c>
      <c r="FQ1800" s="1" t="s">
        <v>1195</v>
      </c>
      <c r="FU1800" s="1" t="s">
        <v>17561</v>
      </c>
      <c r="FV1800" s="1" t="s">
        <v>200</v>
      </c>
      <c r="FW1800" s="1" t="s">
        <v>1197</v>
      </c>
      <c r="FZ1800" s="1" t="s">
        <v>229</v>
      </c>
      <c r="GA1800" s="1" t="s">
        <v>291</v>
      </c>
      <c r="GB1800" s="2">
        <v>42003.0</v>
      </c>
      <c r="GC1800" s="1" t="s">
        <v>17562</v>
      </c>
    </row>
    <row r="1801">
      <c r="A1801" s="1">
        <v>364860.0</v>
      </c>
      <c r="B1801" s="1" t="s">
        <v>185</v>
      </c>
      <c r="C1801" s="1" t="str">
        <f>"08705777"</f>
        <v>08705777</v>
      </c>
      <c r="D1801" s="1" t="s">
        <v>186</v>
      </c>
      <c r="F1801" s="1" t="str">
        <f>"123"</f>
        <v>123</v>
      </c>
      <c r="G1801" s="2">
        <v>41870.0</v>
      </c>
      <c r="H1801" s="1">
        <v>319990.0</v>
      </c>
      <c r="I1801" s="1">
        <v>67.0</v>
      </c>
      <c r="J1801" s="1">
        <v>319990.0</v>
      </c>
      <c r="K1801" s="2">
        <v>41936.0</v>
      </c>
      <c r="L1801" s="1">
        <v>67.0</v>
      </c>
      <c r="M1801" s="2">
        <v>41936.0</v>
      </c>
      <c r="N1801" s="1" t="s">
        <v>187</v>
      </c>
      <c r="O1801" s="2">
        <v>42121.0</v>
      </c>
      <c r="P1801" s="1">
        <v>99995.0</v>
      </c>
      <c r="Q1801" s="1" t="s">
        <v>947</v>
      </c>
      <c r="S1801" s="1">
        <v>3011.0</v>
      </c>
      <c r="T1801" s="1" t="s">
        <v>17480</v>
      </c>
      <c r="U1801" s="1" t="s">
        <v>464</v>
      </c>
      <c r="V1801" s="1" t="s">
        <v>465</v>
      </c>
      <c r="W1801" s="1">
        <v>60124.0</v>
      </c>
      <c r="Y1801" s="1" t="s">
        <v>17563</v>
      </c>
      <c r="Z1801" s="1">
        <v>2014.0</v>
      </c>
      <c r="AA1801" s="1" t="s">
        <v>200</v>
      </c>
      <c r="AB1801" s="1" t="s">
        <v>467</v>
      </c>
      <c r="AC1801" s="1" t="s">
        <v>13378</v>
      </c>
      <c r="AD1801" s="1" t="s">
        <v>469</v>
      </c>
      <c r="AE1801" s="1" t="s">
        <v>325</v>
      </c>
      <c r="AF1801" s="1" t="s">
        <v>469</v>
      </c>
      <c r="AG1801" s="1" t="s">
        <v>13842</v>
      </c>
      <c r="AH1801" s="1" t="s">
        <v>13380</v>
      </c>
      <c r="AK1801" s="1">
        <v>8.0</v>
      </c>
      <c r="AL1801" s="1">
        <v>4.0</v>
      </c>
      <c r="AM1801" s="1">
        <v>2.0</v>
      </c>
      <c r="AN1801" s="1">
        <v>1.0</v>
      </c>
      <c r="AO1801" s="1" t="s">
        <v>198</v>
      </c>
      <c r="AQ1801" s="1" t="s">
        <v>198</v>
      </c>
      <c r="AR1801" s="1" t="s">
        <v>200</v>
      </c>
      <c r="AS1801" s="1" t="s">
        <v>199</v>
      </c>
      <c r="AT1801" s="1">
        <v>2.0</v>
      </c>
      <c r="AV1801" s="1" t="s">
        <v>200</v>
      </c>
      <c r="AW1801" s="1" t="s">
        <v>575</v>
      </c>
      <c r="AX1801" s="1">
        <v>2012.0</v>
      </c>
      <c r="AZ1801" s="1" t="s">
        <v>200</v>
      </c>
      <c r="BA1801" s="1" t="str">
        <f>"0619178002"</f>
        <v>0619178002</v>
      </c>
      <c r="BC1801" s="1">
        <v>3295.0</v>
      </c>
      <c r="BD1801" s="1">
        <v>364860.0</v>
      </c>
      <c r="BE1801" s="2">
        <v>41870.0</v>
      </c>
      <c r="BF1801" s="2" t="s">
        <v>17564</v>
      </c>
      <c r="BG1801" s="1" t="s">
        <v>3686</v>
      </c>
      <c r="BH1801" s="1">
        <v>276.0</v>
      </c>
      <c r="BI1801" s="1" t="s">
        <v>578</v>
      </c>
      <c r="BJ1801" s="1" t="s">
        <v>579</v>
      </c>
      <c r="BK1801" s="1" t="s">
        <v>580</v>
      </c>
      <c r="BL1801" s="1" t="str">
        <f t="shared" ref="BL1801:BM1801" si="1192">""</f>
        <v/>
      </c>
      <c r="BM1801" s="1" t="str">
        <f t="shared" si="1192"/>
        <v/>
      </c>
      <c r="BQ1801" s="1">
        <v>301.0</v>
      </c>
      <c r="BR1801" s="1">
        <v>301.0</v>
      </c>
      <c r="BS1801" s="1">
        <v>301.0</v>
      </c>
      <c r="BV1801" s="1" t="s">
        <v>204</v>
      </c>
      <c r="BY1801" s="1" t="s">
        <v>677</v>
      </c>
      <c r="BZ1801" s="1" t="s">
        <v>209</v>
      </c>
      <c r="CA1801" s="1" t="s">
        <v>210</v>
      </c>
      <c r="CB1801" s="1" t="s">
        <v>229</v>
      </c>
      <c r="CC1801" s="1" t="s">
        <v>9108</v>
      </c>
      <c r="CD1801" s="1" t="s">
        <v>206</v>
      </c>
      <c r="CE1801" s="1" t="s">
        <v>210</v>
      </c>
      <c r="CF1801" s="1" t="s">
        <v>229</v>
      </c>
      <c r="CG1801" s="1" t="s">
        <v>302</v>
      </c>
      <c r="CH1801" s="1" t="s">
        <v>209</v>
      </c>
      <c r="CI1801" s="1" t="s">
        <v>210</v>
      </c>
      <c r="CJ1801" s="1" t="s">
        <v>229</v>
      </c>
      <c r="CK1801" s="1" t="s">
        <v>1417</v>
      </c>
      <c r="CL1801" s="1" t="s">
        <v>209</v>
      </c>
      <c r="CM1801" s="1" t="s">
        <v>210</v>
      </c>
      <c r="CN1801" s="1" t="s">
        <v>229</v>
      </c>
      <c r="CO1801" s="1" t="s">
        <v>331</v>
      </c>
      <c r="CP1801" s="1" t="s">
        <v>209</v>
      </c>
      <c r="CQ1801" s="1" t="s">
        <v>210</v>
      </c>
      <c r="CR1801" s="1" t="s">
        <v>229</v>
      </c>
      <c r="CS1801" s="1" t="s">
        <v>647</v>
      </c>
      <c r="CT1801" s="1" t="s">
        <v>206</v>
      </c>
      <c r="CU1801" s="1" t="s">
        <v>617</v>
      </c>
      <c r="CV1801" s="1" t="s">
        <v>229</v>
      </c>
      <c r="CX1801" s="1" t="s">
        <v>204</v>
      </c>
      <c r="DA1801" s="1" t="s">
        <v>192</v>
      </c>
      <c r="DB1801" s="2">
        <v>42139.0</v>
      </c>
      <c r="DC1801" s="1" t="s">
        <v>585</v>
      </c>
      <c r="DD1801" s="1" t="s">
        <v>1930</v>
      </c>
      <c r="DE1801" s="1" t="s">
        <v>273</v>
      </c>
      <c r="DF1801" s="1" t="s">
        <v>619</v>
      </c>
      <c r="DH1801" s="1" t="s">
        <v>220</v>
      </c>
      <c r="DI1801" s="1" t="s">
        <v>275</v>
      </c>
      <c r="DJ1801" s="1" t="s">
        <v>222</v>
      </c>
      <c r="DL1801" s="1" t="s">
        <v>223</v>
      </c>
      <c r="DM1801" s="1" t="s">
        <v>338</v>
      </c>
      <c r="DN1801" s="1" t="s">
        <v>367</v>
      </c>
      <c r="DP1801" s="1" t="s">
        <v>276</v>
      </c>
      <c r="DQ1801" s="1" t="s">
        <v>228</v>
      </c>
      <c r="DR1801" s="1" t="s">
        <v>588</v>
      </c>
      <c r="DV1801" s="1" t="s">
        <v>14366</v>
      </c>
      <c r="DW1801" s="1" t="s">
        <v>17484</v>
      </c>
      <c r="DX1801" s="1" t="s">
        <v>234</v>
      </c>
      <c r="DY1801" s="1" t="s">
        <v>3075</v>
      </c>
      <c r="EC1801" s="1" t="s">
        <v>237</v>
      </c>
      <c r="EG1801" s="1" t="s">
        <v>1164</v>
      </c>
      <c r="EH1801" s="1" t="s">
        <v>341</v>
      </c>
      <c r="EL1801" s="1" t="s">
        <v>544</v>
      </c>
      <c r="EM1801" s="1" t="s">
        <v>206</v>
      </c>
      <c r="EN1801" s="1" t="s">
        <v>210</v>
      </c>
      <c r="EO1801" s="1" t="s">
        <v>229</v>
      </c>
      <c r="EP1801" s="1" t="s">
        <v>1426</v>
      </c>
      <c r="EQ1801" s="1" t="s">
        <v>209</v>
      </c>
      <c r="ER1801" s="1" t="s">
        <v>210</v>
      </c>
      <c r="ES1801" s="1" t="s">
        <v>229</v>
      </c>
      <c r="EU1801" s="1" t="s">
        <v>238</v>
      </c>
      <c r="EY1801" s="1" t="s">
        <v>238</v>
      </c>
      <c r="FC1801" s="1" t="s">
        <v>238</v>
      </c>
      <c r="FF1801" s="1" t="s">
        <v>239</v>
      </c>
      <c r="FG1801" s="1" t="s">
        <v>192</v>
      </c>
      <c r="FH1801" s="1" t="s">
        <v>192</v>
      </c>
      <c r="FJ1801" s="1" t="s">
        <v>14367</v>
      </c>
      <c r="FK1801" s="1" t="s">
        <v>229</v>
      </c>
      <c r="FL1801" s="1" t="s">
        <v>1192</v>
      </c>
      <c r="FM1801" s="1">
        <v>8702.0</v>
      </c>
      <c r="FN1801" s="1" t="s">
        <v>1193</v>
      </c>
      <c r="FO1801" s="1" t="s">
        <v>1194</v>
      </c>
      <c r="FP1801" s="1">
        <v>21163.0</v>
      </c>
      <c r="FQ1801" s="1" t="s">
        <v>1195</v>
      </c>
      <c r="FU1801" s="1" t="s">
        <v>17488</v>
      </c>
      <c r="FV1801" s="1" t="s">
        <v>200</v>
      </c>
      <c r="FW1801" s="1" t="s">
        <v>1197</v>
      </c>
      <c r="FZ1801" s="1" t="s">
        <v>229</v>
      </c>
      <c r="GA1801" s="1" t="s">
        <v>291</v>
      </c>
      <c r="GB1801" s="2">
        <v>42123.0</v>
      </c>
      <c r="GC1801" s="1" t="s">
        <v>17565</v>
      </c>
    </row>
    <row r="1802">
      <c r="A1802" s="1">
        <v>515000.0</v>
      </c>
      <c r="B1802" s="1" t="s">
        <v>185</v>
      </c>
      <c r="C1802" s="1" t="str">
        <f>"08710600"</f>
        <v>08710600</v>
      </c>
      <c r="D1802" s="1" t="s">
        <v>186</v>
      </c>
      <c r="F1802" s="1" t="str">
        <f>"10"</f>
        <v>10</v>
      </c>
      <c r="G1802" s="2">
        <v>41876.0</v>
      </c>
      <c r="H1802" s="1">
        <v>549000.0</v>
      </c>
      <c r="I1802" s="1">
        <v>98.0</v>
      </c>
      <c r="J1802" s="1">
        <v>549000.0</v>
      </c>
      <c r="K1802" s="2">
        <v>41913.0</v>
      </c>
      <c r="L1802" s="1">
        <v>38.0</v>
      </c>
      <c r="M1802" s="2">
        <v>41913.0</v>
      </c>
      <c r="N1802" s="1" t="s">
        <v>187</v>
      </c>
      <c r="O1802" s="2">
        <v>41969.0</v>
      </c>
      <c r="P1802" s="1">
        <v>60263.0</v>
      </c>
      <c r="Q1802" s="1">
        <v>6022.0</v>
      </c>
      <c r="S1802" s="1">
        <v>445.0</v>
      </c>
      <c r="T1802" s="1" t="s">
        <v>17566</v>
      </c>
      <c r="U1802" s="1" t="s">
        <v>1174</v>
      </c>
      <c r="V1802" s="1" t="s">
        <v>1706</v>
      </c>
      <c r="W1802" s="1">
        <v>60010.0</v>
      </c>
      <c r="Y1802" s="1" t="s">
        <v>17567</v>
      </c>
      <c r="Z1802" s="1">
        <v>1972.0</v>
      </c>
      <c r="AA1802" s="1" t="s">
        <v>192</v>
      </c>
      <c r="AB1802" s="1" t="s">
        <v>193</v>
      </c>
      <c r="AC1802" s="1" t="s">
        <v>17568</v>
      </c>
      <c r="AD1802" s="1" t="s">
        <v>1948</v>
      </c>
      <c r="AE1802" s="1" t="s">
        <v>195</v>
      </c>
      <c r="AF1802" s="1" t="s">
        <v>1948</v>
      </c>
      <c r="AG1802" s="1" t="s">
        <v>752</v>
      </c>
      <c r="AH1802" s="1" t="s">
        <v>17569</v>
      </c>
      <c r="AI1802" s="1">
        <v>0.45</v>
      </c>
      <c r="AK1802" s="1">
        <v>11.0</v>
      </c>
      <c r="AL1802" s="1">
        <v>4.0</v>
      </c>
      <c r="AM1802" s="1">
        <v>2.0</v>
      </c>
      <c r="AN1802" s="1">
        <v>1.0</v>
      </c>
      <c r="AO1802" s="1" t="s">
        <v>198</v>
      </c>
      <c r="AP1802" s="1">
        <v>1.0</v>
      </c>
      <c r="AQ1802" s="1" t="s">
        <v>1314</v>
      </c>
      <c r="AR1802" s="1" t="s">
        <v>200</v>
      </c>
      <c r="AS1802" s="1" t="s">
        <v>199</v>
      </c>
      <c r="AT1802" s="1">
        <v>2.0</v>
      </c>
      <c r="AV1802" s="1" t="s">
        <v>200</v>
      </c>
      <c r="AW1802" s="1">
        <v>10530.0</v>
      </c>
      <c r="AX1802" s="1">
        <v>2012.0</v>
      </c>
      <c r="AY1802" s="1" t="s">
        <v>387</v>
      </c>
      <c r="AZ1802" s="1" t="s">
        <v>200</v>
      </c>
      <c r="BA1802" s="1" t="str">
        <f>"01024060030000"</f>
        <v>01024060030000</v>
      </c>
      <c r="BB1802" s="1" t="s">
        <v>200</v>
      </c>
      <c r="BC1802" s="1">
        <v>3600.0</v>
      </c>
      <c r="BD1802" s="1">
        <v>515000.0</v>
      </c>
      <c r="BE1802" s="2">
        <v>41876.0</v>
      </c>
      <c r="BF1802" s="2" t="s">
        <v>17570</v>
      </c>
      <c r="BG1802" s="1" t="s">
        <v>6174</v>
      </c>
      <c r="BH1802" s="1">
        <v>0.0</v>
      </c>
      <c r="BI1802" s="1" t="s">
        <v>1713</v>
      </c>
      <c r="BJ1802" s="1" t="s">
        <v>1714</v>
      </c>
      <c r="BK1802" s="1" t="s">
        <v>204</v>
      </c>
      <c r="BL1802" s="1" t="str">
        <f>"18"</f>
        <v>18</v>
      </c>
      <c r="BM1802" s="1" t="str">
        <f>""</f>
        <v/>
      </c>
      <c r="BN1802" s="1">
        <v>26.0</v>
      </c>
      <c r="BQ1802" s="1">
        <v>220.0</v>
      </c>
      <c r="BR1802" s="1">
        <v>220.0</v>
      </c>
      <c r="BS1802" s="1">
        <v>220.0</v>
      </c>
      <c r="BU1802" s="1" t="s">
        <v>432</v>
      </c>
      <c r="BV1802" s="1" t="s">
        <v>206</v>
      </c>
      <c r="BW1802" s="1" t="s">
        <v>207</v>
      </c>
      <c r="BX1802" s="1" t="s">
        <v>1549</v>
      </c>
      <c r="BY1802" s="1" t="s">
        <v>664</v>
      </c>
      <c r="BZ1802" s="1" t="s">
        <v>209</v>
      </c>
      <c r="CA1802" s="1" t="s">
        <v>210</v>
      </c>
      <c r="CB1802" s="1" t="s">
        <v>431</v>
      </c>
      <c r="CC1802" s="1" t="s">
        <v>616</v>
      </c>
      <c r="CD1802" s="1" t="s">
        <v>206</v>
      </c>
      <c r="CE1802" s="1" t="s">
        <v>207</v>
      </c>
      <c r="CF1802" s="1" t="s">
        <v>1549</v>
      </c>
      <c r="CG1802" s="1" t="s">
        <v>213</v>
      </c>
      <c r="CH1802" s="1" t="s">
        <v>209</v>
      </c>
      <c r="CI1802" s="1" t="s">
        <v>210</v>
      </c>
      <c r="CJ1802" s="1" t="s">
        <v>431</v>
      </c>
      <c r="CK1802" s="1" t="s">
        <v>215</v>
      </c>
      <c r="CL1802" s="1" t="s">
        <v>209</v>
      </c>
      <c r="CM1802" s="1" t="s">
        <v>210</v>
      </c>
      <c r="CN1802" s="1" t="s">
        <v>431</v>
      </c>
      <c r="CO1802" s="1" t="s">
        <v>262</v>
      </c>
      <c r="CP1802" s="1" t="s">
        <v>209</v>
      </c>
      <c r="CQ1802" s="1" t="s">
        <v>210</v>
      </c>
      <c r="CR1802" s="1" t="s">
        <v>431</v>
      </c>
      <c r="CS1802" s="1" t="s">
        <v>1891</v>
      </c>
      <c r="CT1802" s="1" t="s">
        <v>206</v>
      </c>
      <c r="CU1802" s="1" t="s">
        <v>268</v>
      </c>
      <c r="CW1802" s="1" t="s">
        <v>4560</v>
      </c>
      <c r="CX1802" s="1" t="s">
        <v>206</v>
      </c>
      <c r="CY1802" s="1" t="s">
        <v>207</v>
      </c>
      <c r="DA1802" s="1" t="s">
        <v>200</v>
      </c>
      <c r="DC1802" s="1" t="s">
        <v>517</v>
      </c>
      <c r="DD1802" s="1" t="s">
        <v>396</v>
      </c>
      <c r="DE1802" s="1" t="s">
        <v>273</v>
      </c>
      <c r="DF1802" s="1" t="s">
        <v>219</v>
      </c>
      <c r="DG1802" s="1" t="s">
        <v>11277</v>
      </c>
      <c r="DH1802" s="1" t="s">
        <v>220</v>
      </c>
      <c r="DI1802" s="1" t="s">
        <v>1003</v>
      </c>
      <c r="DJ1802" s="1" t="s">
        <v>222</v>
      </c>
      <c r="DK1802" s="1" t="s">
        <v>223</v>
      </c>
      <c r="DL1802" s="1" t="s">
        <v>3611</v>
      </c>
      <c r="DM1802" s="1" t="s">
        <v>929</v>
      </c>
      <c r="DN1802" s="1" t="s">
        <v>548</v>
      </c>
      <c r="DP1802" s="1" t="s">
        <v>340</v>
      </c>
      <c r="DQ1802" s="1" t="s">
        <v>441</v>
      </c>
      <c r="DR1802" s="1" t="s">
        <v>229</v>
      </c>
      <c r="DS1802" s="1" t="s">
        <v>368</v>
      </c>
      <c r="DU1802" s="1" t="s">
        <v>7655</v>
      </c>
      <c r="DV1802" s="1" t="s">
        <v>17571</v>
      </c>
      <c r="DW1802" s="1" t="s">
        <v>667</v>
      </c>
      <c r="DX1802" s="1" t="s">
        <v>234</v>
      </c>
      <c r="DY1802" s="1" t="s">
        <v>1559</v>
      </c>
      <c r="DZ1802" s="1" t="s">
        <v>2648</v>
      </c>
      <c r="EA1802" s="1" t="s">
        <v>447</v>
      </c>
      <c r="EB1802" s="1" t="s">
        <v>5995</v>
      </c>
      <c r="EC1802" s="1" t="s">
        <v>237</v>
      </c>
      <c r="ED1802" s="1" t="s">
        <v>407</v>
      </c>
      <c r="EG1802" s="1" t="s">
        <v>449</v>
      </c>
      <c r="EH1802" s="1" t="s">
        <v>494</v>
      </c>
      <c r="EI1802" s="1" t="s">
        <v>1729</v>
      </c>
      <c r="EJ1802" s="1" t="s">
        <v>408</v>
      </c>
      <c r="EL1802" s="1" t="s">
        <v>2613</v>
      </c>
      <c r="EM1802" s="1" t="s">
        <v>206</v>
      </c>
      <c r="EN1802" s="1" t="s">
        <v>268</v>
      </c>
      <c r="EP1802" s="1" t="s">
        <v>332</v>
      </c>
      <c r="EQ1802" s="1" t="s">
        <v>206</v>
      </c>
      <c r="ER1802" s="1" t="s">
        <v>210</v>
      </c>
      <c r="ET1802" s="1" t="s">
        <v>1426</v>
      </c>
      <c r="EU1802" s="1" t="s">
        <v>206</v>
      </c>
      <c r="EV1802" s="1" t="s">
        <v>268</v>
      </c>
      <c r="EX1802" s="1" t="s">
        <v>263</v>
      </c>
      <c r="EY1802" s="1" t="s">
        <v>206</v>
      </c>
      <c r="EZ1802" s="1" t="s">
        <v>268</v>
      </c>
      <c r="FC1802" s="1" t="s">
        <v>238</v>
      </c>
      <c r="FF1802" s="1" t="s">
        <v>239</v>
      </c>
      <c r="FG1802" s="1" t="s">
        <v>192</v>
      </c>
      <c r="FH1802" s="1" t="s">
        <v>192</v>
      </c>
      <c r="FJ1802" s="1" t="s">
        <v>1123</v>
      </c>
      <c r="FK1802" s="1" t="s">
        <v>229</v>
      </c>
      <c r="FL1802" s="1" t="s">
        <v>1358</v>
      </c>
      <c r="FM1802" s="1">
        <v>6022.0</v>
      </c>
      <c r="FN1802" s="1" t="s">
        <v>11515</v>
      </c>
      <c r="FO1802" s="1" t="s">
        <v>17572</v>
      </c>
      <c r="FP1802" s="1">
        <v>60263.0</v>
      </c>
      <c r="FQ1802" s="1" t="s">
        <v>17573</v>
      </c>
      <c r="FU1802" s="1" t="s">
        <v>11518</v>
      </c>
      <c r="FV1802" s="1" t="s">
        <v>200</v>
      </c>
      <c r="FW1802" s="1" t="s">
        <v>290</v>
      </c>
      <c r="FX1802" s="1" t="s">
        <v>246</v>
      </c>
      <c r="FZ1802" s="1" t="s">
        <v>229</v>
      </c>
      <c r="GA1802" s="1" t="s">
        <v>291</v>
      </c>
      <c r="GB1802" s="2">
        <v>41974.0</v>
      </c>
      <c r="GC1802" s="1" t="s">
        <v>17574</v>
      </c>
    </row>
    <row r="1803">
      <c r="A1803" s="1">
        <v>225000.0</v>
      </c>
      <c r="B1803" s="1" t="s">
        <v>185</v>
      </c>
      <c r="C1803" s="1" t="str">
        <f>"08710903"</f>
        <v>08710903</v>
      </c>
      <c r="D1803" s="1" t="s">
        <v>186</v>
      </c>
      <c r="F1803" s="1" t="str">
        <f>"8061"</f>
        <v>8061</v>
      </c>
      <c r="G1803" s="2">
        <v>41876.0</v>
      </c>
      <c r="H1803" s="1">
        <v>257900.0</v>
      </c>
      <c r="I1803" s="1">
        <v>152.0</v>
      </c>
      <c r="J1803" s="1">
        <v>232900.0</v>
      </c>
      <c r="K1803" s="2">
        <v>41919.0</v>
      </c>
      <c r="L1803" s="1">
        <v>45.0</v>
      </c>
      <c r="M1803" s="2">
        <v>41919.0</v>
      </c>
      <c r="N1803" s="1" t="s">
        <v>187</v>
      </c>
      <c r="O1803" s="2">
        <v>42034.0</v>
      </c>
      <c r="P1803" s="1">
        <v>157572.0</v>
      </c>
      <c r="Q1803" s="1">
        <v>85453.0</v>
      </c>
      <c r="S1803" s="1">
        <v>654.0</v>
      </c>
      <c r="T1803" s="1" t="s">
        <v>17575</v>
      </c>
      <c r="U1803" s="1" t="s">
        <v>694</v>
      </c>
      <c r="V1803" s="1" t="s">
        <v>190</v>
      </c>
      <c r="W1803" s="1">
        <v>60609.0</v>
      </c>
      <c r="Y1803" s="1" t="s">
        <v>17576</v>
      </c>
      <c r="Z1803" s="1">
        <v>2007.0</v>
      </c>
      <c r="AA1803" s="1" t="s">
        <v>200</v>
      </c>
      <c r="AB1803" s="1" t="s">
        <v>193</v>
      </c>
      <c r="AD1803" s="1" t="s">
        <v>194</v>
      </c>
      <c r="AE1803" s="1" t="s">
        <v>195</v>
      </c>
      <c r="AF1803" s="1" t="s">
        <v>637</v>
      </c>
      <c r="AH1803" s="1" t="s">
        <v>359</v>
      </c>
      <c r="AI1803" s="1">
        <v>0.0726</v>
      </c>
      <c r="AK1803" s="1">
        <v>8.0</v>
      </c>
      <c r="AL1803" s="1">
        <v>2.0</v>
      </c>
      <c r="AM1803" s="1">
        <v>3.0</v>
      </c>
      <c r="AN1803" s="1">
        <v>0.0</v>
      </c>
      <c r="AO1803" s="1" t="s">
        <v>198</v>
      </c>
      <c r="AQ1803" s="1" t="s">
        <v>198</v>
      </c>
      <c r="AR1803" s="1" t="s">
        <v>192</v>
      </c>
      <c r="AS1803" s="1" t="s">
        <v>199</v>
      </c>
      <c r="AT1803" s="1">
        <v>2.0</v>
      </c>
      <c r="AV1803" s="1" t="s">
        <v>192</v>
      </c>
      <c r="AW1803" s="1">
        <v>3000.0</v>
      </c>
      <c r="AX1803" s="1">
        <v>2012.0</v>
      </c>
      <c r="AY1803" s="1" t="s">
        <v>387</v>
      </c>
      <c r="AZ1803" s="1" t="s">
        <v>200</v>
      </c>
      <c r="BA1803" s="1" t="str">
        <f>"20043020410000"</f>
        <v>20043020410000</v>
      </c>
      <c r="BC1803" s="1">
        <v>1800.0</v>
      </c>
      <c r="BD1803" s="1">
        <v>225000.0</v>
      </c>
      <c r="BE1803" s="2">
        <v>41875.0</v>
      </c>
      <c r="BF1803" s="1" t="s">
        <v>17577</v>
      </c>
      <c r="BH1803" s="1">
        <v>0.0</v>
      </c>
      <c r="BK1803" s="1" t="s">
        <v>204</v>
      </c>
      <c r="BL1803" s="1" t="str">
        <f t="shared" ref="BL1803:BM1803" si="1193">"0"</f>
        <v>0</v>
      </c>
      <c r="BM1803" s="1" t="str">
        <f t="shared" si="1193"/>
        <v>0</v>
      </c>
      <c r="BN1803" s="1">
        <v>654.0</v>
      </c>
      <c r="BO1803" s="1">
        <v>4300.0</v>
      </c>
      <c r="BQ1803" s="1">
        <v>299.0</v>
      </c>
      <c r="BR1803" s="1">
        <v>299.0</v>
      </c>
      <c r="BS1803" s="1">
        <v>299.0</v>
      </c>
      <c r="BU1803" s="1" t="s">
        <v>208</v>
      </c>
      <c r="BV1803" s="1" t="s">
        <v>206</v>
      </c>
      <c r="BY1803" s="1" t="s">
        <v>266</v>
      </c>
      <c r="BZ1803" s="1" t="s">
        <v>267</v>
      </c>
      <c r="CC1803" s="1" t="s">
        <v>205</v>
      </c>
      <c r="CD1803" s="1" t="s">
        <v>206</v>
      </c>
      <c r="CG1803" s="1" t="s">
        <v>265</v>
      </c>
      <c r="CH1803" s="1" t="s">
        <v>206</v>
      </c>
      <c r="CK1803" s="1" t="s">
        <v>266</v>
      </c>
      <c r="CL1803" s="1" t="s">
        <v>42</v>
      </c>
      <c r="CO1803" s="1" t="s">
        <v>543</v>
      </c>
      <c r="CP1803" s="1" t="s">
        <v>42</v>
      </c>
      <c r="CS1803" s="1" t="s">
        <v>266</v>
      </c>
      <c r="CT1803" s="1" t="s">
        <v>206</v>
      </c>
      <c r="CW1803" s="1" t="s">
        <v>17578</v>
      </c>
      <c r="CX1803" s="1" t="s">
        <v>42</v>
      </c>
      <c r="DA1803" s="1" t="s">
        <v>200</v>
      </c>
      <c r="DC1803" s="1" t="s">
        <v>481</v>
      </c>
      <c r="DE1803" s="1" t="s">
        <v>273</v>
      </c>
      <c r="DF1803" s="1" t="s">
        <v>619</v>
      </c>
      <c r="DH1803" s="1" t="s">
        <v>220</v>
      </c>
      <c r="DJ1803" s="1" t="s">
        <v>222</v>
      </c>
      <c r="DL1803" s="1" t="s">
        <v>224</v>
      </c>
      <c r="DM1803" s="1" t="s">
        <v>229</v>
      </c>
      <c r="DQ1803" s="1" t="s">
        <v>441</v>
      </c>
      <c r="DR1803" s="1" t="s">
        <v>229</v>
      </c>
      <c r="DV1803" s="1" t="s">
        <v>232</v>
      </c>
      <c r="DW1803" s="1" t="s">
        <v>279</v>
      </c>
      <c r="DX1803" s="1" t="s">
        <v>234</v>
      </c>
      <c r="EC1803" s="1" t="s">
        <v>311</v>
      </c>
      <c r="EM1803" s="1" t="s">
        <v>238</v>
      </c>
      <c r="EQ1803" s="1" t="s">
        <v>238</v>
      </c>
      <c r="EU1803" s="1" t="s">
        <v>238</v>
      </c>
      <c r="EY1803" s="1" t="s">
        <v>238</v>
      </c>
      <c r="FC1803" s="1" t="s">
        <v>238</v>
      </c>
      <c r="FF1803" s="1" t="s">
        <v>239</v>
      </c>
      <c r="FG1803" s="1" t="s">
        <v>192</v>
      </c>
      <c r="FH1803" s="1" t="s">
        <v>192</v>
      </c>
      <c r="FJ1803" s="1" t="s">
        <v>347</v>
      </c>
      <c r="FK1803" s="1" t="s">
        <v>229</v>
      </c>
      <c r="FL1803" s="1" t="s">
        <v>1997</v>
      </c>
      <c r="FM1803" s="1">
        <v>84124.0</v>
      </c>
      <c r="FN1803" s="1" t="s">
        <v>3335</v>
      </c>
      <c r="FO1803" s="1" t="s">
        <v>17579</v>
      </c>
      <c r="FP1803" s="1">
        <v>140006.0</v>
      </c>
      <c r="FQ1803" s="1" t="s">
        <v>17580</v>
      </c>
      <c r="FU1803" s="1" t="s">
        <v>17581</v>
      </c>
      <c r="FV1803" s="1" t="s">
        <v>200</v>
      </c>
      <c r="FW1803" s="1" t="s">
        <v>17582</v>
      </c>
      <c r="FX1803" s="1" t="s">
        <v>246</v>
      </c>
      <c r="FZ1803" s="1" t="s">
        <v>229</v>
      </c>
      <c r="GA1803" s="1" t="s">
        <v>291</v>
      </c>
      <c r="GB1803" s="2">
        <v>42046.0</v>
      </c>
      <c r="GC1803" s="1" t="s">
        <v>17583</v>
      </c>
    </row>
    <row r="1804">
      <c r="A1804" s="1">
        <v>330000.0</v>
      </c>
      <c r="B1804" s="1" t="s">
        <v>185</v>
      </c>
      <c r="C1804" s="1" t="str">
        <f>"08711472"</f>
        <v>08711472</v>
      </c>
      <c r="D1804" s="1" t="s">
        <v>186</v>
      </c>
      <c r="F1804" s="1" t="str">
        <f>"656"</f>
        <v>656</v>
      </c>
      <c r="G1804" s="2">
        <v>41877.0</v>
      </c>
      <c r="H1804" s="1">
        <v>399000.0</v>
      </c>
      <c r="I1804" s="1">
        <v>83.0</v>
      </c>
      <c r="J1804" s="1">
        <v>360000.0</v>
      </c>
      <c r="K1804" s="2">
        <v>41959.0</v>
      </c>
      <c r="L1804" s="1">
        <v>83.0</v>
      </c>
      <c r="M1804" s="2">
        <v>41959.0</v>
      </c>
      <c r="N1804" s="1" t="s">
        <v>187</v>
      </c>
      <c r="O1804" s="2">
        <v>41996.0</v>
      </c>
      <c r="P1804" s="1">
        <v>87474.0</v>
      </c>
      <c r="Q1804" s="1">
        <v>8902.0</v>
      </c>
      <c r="S1804" s="1">
        <v>7413.0</v>
      </c>
      <c r="T1804" s="1" t="s">
        <v>17584</v>
      </c>
      <c r="U1804" s="1" t="s">
        <v>189</v>
      </c>
      <c r="V1804" s="1" t="s">
        <v>2344</v>
      </c>
      <c r="W1804" s="1">
        <v>60706.0</v>
      </c>
      <c r="Y1804" s="1" t="s">
        <v>17585</v>
      </c>
      <c r="Z1804" s="1">
        <v>1947.0</v>
      </c>
      <c r="AA1804" s="1" t="s">
        <v>192</v>
      </c>
      <c r="AB1804" s="1" t="s">
        <v>193</v>
      </c>
      <c r="AD1804" s="1" t="s">
        <v>2346</v>
      </c>
      <c r="AE1804" s="1" t="s">
        <v>195</v>
      </c>
      <c r="AF1804" s="1" t="s">
        <v>2347</v>
      </c>
      <c r="AH1804" s="1" t="s">
        <v>17586</v>
      </c>
      <c r="AI1804" s="1">
        <v>0.1212</v>
      </c>
      <c r="AK1804" s="1">
        <v>9.0</v>
      </c>
      <c r="AL1804" s="1">
        <v>4.0</v>
      </c>
      <c r="AM1804" s="1">
        <v>3.0</v>
      </c>
      <c r="AN1804" s="1">
        <v>0.0</v>
      </c>
      <c r="AO1804" s="1" t="s">
        <v>229</v>
      </c>
      <c r="AP1804" s="1">
        <v>0.0</v>
      </c>
      <c r="AQ1804" s="1" t="s">
        <v>198</v>
      </c>
      <c r="AR1804" s="1" t="s">
        <v>192</v>
      </c>
      <c r="AS1804" s="1" t="s">
        <v>199</v>
      </c>
      <c r="AT1804" s="1">
        <v>2.5</v>
      </c>
      <c r="AV1804" s="1" t="s">
        <v>200</v>
      </c>
      <c r="AW1804" s="1">
        <v>6799.0</v>
      </c>
      <c r="AX1804" s="1">
        <v>2013.0</v>
      </c>
      <c r="AY1804" s="1" t="s">
        <v>387</v>
      </c>
      <c r="AZ1804" s="1" t="s">
        <v>200</v>
      </c>
      <c r="BA1804" s="1" t="str">
        <f>"12124100150000"</f>
        <v>12124100150000</v>
      </c>
      <c r="BB1804" s="1" t="s">
        <v>200</v>
      </c>
      <c r="BC1804" s="1">
        <v>2010.0</v>
      </c>
      <c r="BD1804" s="1">
        <v>330000.0</v>
      </c>
      <c r="BE1804" s="2">
        <v>41877.0</v>
      </c>
      <c r="BF1804" s="1" t="s">
        <v>17587</v>
      </c>
      <c r="BG1804" s="1" t="s">
        <v>17588</v>
      </c>
      <c r="BH1804" s="1">
        <v>0.0</v>
      </c>
      <c r="BI1804" s="1" t="s">
        <v>17588</v>
      </c>
      <c r="BJ1804" s="1" t="s">
        <v>17589</v>
      </c>
      <c r="BK1804" s="1" t="s">
        <v>204</v>
      </c>
      <c r="BL1804" s="1" t="str">
        <f t="shared" ref="BL1804:BM1804" si="1194">""</f>
        <v/>
      </c>
      <c r="BM1804" s="1" t="str">
        <f t="shared" si="1194"/>
        <v/>
      </c>
      <c r="BQ1804" s="1">
        <v>79.0</v>
      </c>
      <c r="BR1804" s="1">
        <v>207.0</v>
      </c>
      <c r="BS1804" s="1">
        <v>79.0</v>
      </c>
      <c r="BU1804" s="1" t="s">
        <v>1064</v>
      </c>
      <c r="BV1804" s="1" t="s">
        <v>206</v>
      </c>
      <c r="BW1804" s="1" t="s">
        <v>207</v>
      </c>
      <c r="BX1804" s="1" t="s">
        <v>431</v>
      </c>
      <c r="BY1804" s="1" t="s">
        <v>17590</v>
      </c>
      <c r="BZ1804" s="1" t="s">
        <v>206</v>
      </c>
      <c r="CA1804" s="1" t="s">
        <v>207</v>
      </c>
      <c r="CB1804" s="1" t="s">
        <v>431</v>
      </c>
      <c r="CC1804" s="1" t="s">
        <v>303</v>
      </c>
      <c r="CD1804" s="1" t="s">
        <v>206</v>
      </c>
      <c r="CE1804" s="1" t="s">
        <v>207</v>
      </c>
      <c r="CG1804" s="1" t="s">
        <v>300</v>
      </c>
      <c r="CH1804" s="1" t="s">
        <v>209</v>
      </c>
      <c r="CI1804" s="1" t="s">
        <v>210</v>
      </c>
      <c r="CJ1804" s="1" t="s">
        <v>431</v>
      </c>
      <c r="CK1804" s="1" t="s">
        <v>300</v>
      </c>
      <c r="CL1804" s="1" t="s">
        <v>209</v>
      </c>
      <c r="CM1804" s="1" t="s">
        <v>210</v>
      </c>
      <c r="CN1804" s="1" t="s">
        <v>431</v>
      </c>
      <c r="CO1804" s="1" t="s">
        <v>1190</v>
      </c>
      <c r="CP1804" s="1" t="s">
        <v>209</v>
      </c>
      <c r="CQ1804" s="1" t="s">
        <v>210</v>
      </c>
      <c r="CR1804" s="1" t="s">
        <v>431</v>
      </c>
      <c r="CS1804" s="1" t="s">
        <v>1904</v>
      </c>
      <c r="CT1804" s="1" t="s">
        <v>206</v>
      </c>
      <c r="CU1804" s="1" t="s">
        <v>268</v>
      </c>
      <c r="CV1804" s="1" t="s">
        <v>431</v>
      </c>
      <c r="CW1804" s="1" t="s">
        <v>1398</v>
      </c>
      <c r="CX1804" s="1" t="s">
        <v>42</v>
      </c>
      <c r="CY1804" s="1" t="s">
        <v>210</v>
      </c>
      <c r="DA1804" s="1" t="s">
        <v>200</v>
      </c>
      <c r="DC1804" s="1" t="s">
        <v>702</v>
      </c>
      <c r="DE1804" s="1" t="s">
        <v>17591</v>
      </c>
      <c r="DF1804" s="1" t="s">
        <v>619</v>
      </c>
      <c r="DG1804" s="1" t="s">
        <v>2311</v>
      </c>
      <c r="DH1804" s="1" t="s">
        <v>307</v>
      </c>
      <c r="DJ1804" s="1" t="s">
        <v>222</v>
      </c>
      <c r="DL1804" s="1" t="s">
        <v>224</v>
      </c>
      <c r="DM1804" s="1" t="s">
        <v>3697</v>
      </c>
      <c r="DN1804" s="1" t="s">
        <v>666</v>
      </c>
      <c r="DQ1804" s="1" t="s">
        <v>228</v>
      </c>
      <c r="DR1804" s="1" t="s">
        <v>229</v>
      </c>
      <c r="DS1804" s="1" t="s">
        <v>368</v>
      </c>
      <c r="DU1804" s="1" t="s">
        <v>6209</v>
      </c>
      <c r="DV1804" s="1" t="s">
        <v>15301</v>
      </c>
      <c r="DW1804" s="1" t="s">
        <v>370</v>
      </c>
      <c r="DX1804" s="1" t="s">
        <v>234</v>
      </c>
      <c r="DY1804" s="1" t="s">
        <v>2240</v>
      </c>
      <c r="DZ1804" s="1" t="s">
        <v>282</v>
      </c>
      <c r="EA1804" s="1" t="s">
        <v>344</v>
      </c>
      <c r="EC1804" s="1" t="s">
        <v>237</v>
      </c>
      <c r="ED1804" s="1" t="s">
        <v>312</v>
      </c>
      <c r="EE1804" s="1" t="s">
        <v>187</v>
      </c>
      <c r="EG1804" s="1" t="s">
        <v>449</v>
      </c>
      <c r="EH1804" s="1" t="s">
        <v>1270</v>
      </c>
      <c r="EL1804" s="1" t="s">
        <v>1796</v>
      </c>
      <c r="EM1804" s="1" t="s">
        <v>206</v>
      </c>
      <c r="EN1804" s="1" t="s">
        <v>210</v>
      </c>
      <c r="EO1804" s="1" t="s">
        <v>431</v>
      </c>
      <c r="EP1804" s="1" t="s">
        <v>8357</v>
      </c>
      <c r="EQ1804" s="1" t="s">
        <v>42</v>
      </c>
      <c r="ER1804" s="1" t="s">
        <v>588</v>
      </c>
      <c r="EU1804" s="1" t="s">
        <v>238</v>
      </c>
      <c r="EY1804" s="1" t="s">
        <v>238</v>
      </c>
      <c r="FC1804" s="1" t="s">
        <v>238</v>
      </c>
      <c r="FF1804" s="1" t="s">
        <v>239</v>
      </c>
      <c r="FG1804" s="1" t="s">
        <v>192</v>
      </c>
      <c r="FH1804" s="1" t="s">
        <v>192</v>
      </c>
      <c r="FJ1804" s="1" t="s">
        <v>14518</v>
      </c>
      <c r="FK1804" s="1" t="s">
        <v>229</v>
      </c>
      <c r="FL1804" s="1" t="s">
        <v>17592</v>
      </c>
      <c r="FM1804" s="1">
        <v>8089.0</v>
      </c>
      <c r="FN1804" s="1" t="s">
        <v>17593</v>
      </c>
      <c r="FO1804" s="1" t="s">
        <v>17594</v>
      </c>
      <c r="FP1804" s="1">
        <v>923044.0</v>
      </c>
      <c r="FU1804" s="1" t="s">
        <v>17595</v>
      </c>
      <c r="FV1804" s="1" t="s">
        <v>200</v>
      </c>
      <c r="FW1804" s="1" t="s">
        <v>530</v>
      </c>
      <c r="FX1804" s="1" t="s">
        <v>246</v>
      </c>
      <c r="FZ1804" s="1" t="s">
        <v>229</v>
      </c>
      <c r="GA1804" s="1" t="s">
        <v>291</v>
      </c>
      <c r="GB1804" s="2">
        <v>41999.0</v>
      </c>
      <c r="GC1804" s="1" t="s">
        <v>17596</v>
      </c>
    </row>
    <row r="1805">
      <c r="A1805" s="1">
        <v>218900.0</v>
      </c>
      <c r="B1805" s="1" t="s">
        <v>185</v>
      </c>
      <c r="C1805" s="1" t="str">
        <f>"08708122"</f>
        <v>08708122</v>
      </c>
      <c r="D1805" s="1" t="s">
        <v>186</v>
      </c>
      <c r="F1805" s="1" t="str">
        <f>"538"</f>
        <v>538</v>
      </c>
      <c r="G1805" s="2">
        <v>41872.0</v>
      </c>
      <c r="H1805" s="1">
        <v>234900.0</v>
      </c>
      <c r="I1805" s="1">
        <v>173.0</v>
      </c>
      <c r="J1805" s="1">
        <v>229990.0</v>
      </c>
      <c r="K1805" s="2">
        <v>42044.0</v>
      </c>
      <c r="L1805" s="1">
        <v>173.0</v>
      </c>
      <c r="M1805" s="2">
        <v>42044.0</v>
      </c>
      <c r="N1805" s="1" t="s">
        <v>187</v>
      </c>
      <c r="O1805" s="2">
        <v>42089.0</v>
      </c>
      <c r="P1805" s="1">
        <v>227338.0</v>
      </c>
      <c r="Q1805" s="1">
        <v>25621.0</v>
      </c>
      <c r="S1805" s="1">
        <v>1697.0</v>
      </c>
      <c r="T1805" s="1" t="s">
        <v>17597</v>
      </c>
      <c r="U1805" s="1" t="s">
        <v>420</v>
      </c>
      <c r="V1805" s="1" t="s">
        <v>1340</v>
      </c>
      <c r="W1805" s="1">
        <v>60538.0</v>
      </c>
      <c r="Y1805" s="1" t="s">
        <v>17598</v>
      </c>
      <c r="Z1805" s="1">
        <v>1989.0</v>
      </c>
      <c r="AA1805" s="1" t="s">
        <v>200</v>
      </c>
      <c r="AB1805" s="1" t="s">
        <v>193</v>
      </c>
      <c r="AC1805" s="1" t="s">
        <v>5391</v>
      </c>
      <c r="AD1805" s="1" t="s">
        <v>1343</v>
      </c>
      <c r="AE1805" s="1" t="s">
        <v>849</v>
      </c>
      <c r="AF1805" s="1" t="s">
        <v>1529</v>
      </c>
      <c r="AH1805" s="1" t="s">
        <v>17599</v>
      </c>
      <c r="AI1805" s="1">
        <v>0.3283</v>
      </c>
      <c r="AK1805" s="1">
        <v>10.0</v>
      </c>
      <c r="AL1805" s="1">
        <v>4.0</v>
      </c>
      <c r="AM1805" s="1">
        <v>2.0</v>
      </c>
      <c r="AN1805" s="1">
        <v>1.0</v>
      </c>
      <c r="AO1805" s="1" t="s">
        <v>198</v>
      </c>
      <c r="AP1805" s="1">
        <v>1.0</v>
      </c>
      <c r="AQ1805" s="1" t="s">
        <v>198</v>
      </c>
      <c r="AR1805" s="1" t="s">
        <v>200</v>
      </c>
      <c r="AS1805" s="1" t="s">
        <v>199</v>
      </c>
      <c r="AT1805" s="1">
        <v>2.0</v>
      </c>
      <c r="AV1805" s="1" t="s">
        <v>200</v>
      </c>
      <c r="AW1805" s="1">
        <v>9748.0</v>
      </c>
      <c r="AX1805" s="1">
        <v>2013.0</v>
      </c>
      <c r="AZ1805" s="1" t="s">
        <v>200</v>
      </c>
      <c r="BA1805" s="1" t="str">
        <f>"0304101006"</f>
        <v>0304101006</v>
      </c>
      <c r="BC1805" s="1">
        <v>2456.0</v>
      </c>
      <c r="BD1805" s="1">
        <v>218900.0</v>
      </c>
      <c r="BE1805" s="2">
        <v>41872.0</v>
      </c>
      <c r="BF1805" s="2" t="s">
        <v>17600</v>
      </c>
      <c r="BG1805" s="1" t="s">
        <v>1347</v>
      </c>
      <c r="BH1805" s="1">
        <v>0.0</v>
      </c>
      <c r="BI1805" s="1" t="s">
        <v>3647</v>
      </c>
      <c r="BJ1805" s="1" t="s">
        <v>2546</v>
      </c>
      <c r="BK1805" s="1" t="s">
        <v>204</v>
      </c>
      <c r="BL1805" s="1" t="str">
        <f t="shared" ref="BL1805:BM1805" si="1195">""</f>
        <v/>
      </c>
      <c r="BM1805" s="1" t="str">
        <f t="shared" si="1195"/>
        <v/>
      </c>
      <c r="BQ1805" s="1">
        <v>308.0</v>
      </c>
      <c r="BR1805" s="1">
        <v>308.0</v>
      </c>
      <c r="BS1805" s="1">
        <v>308.0</v>
      </c>
      <c r="BU1805" s="1" t="s">
        <v>743</v>
      </c>
      <c r="BV1805" s="1" t="s">
        <v>206</v>
      </c>
      <c r="BW1805" s="1" t="s">
        <v>210</v>
      </c>
      <c r="BX1805" s="1" t="s">
        <v>239</v>
      </c>
      <c r="BY1805" s="1" t="s">
        <v>924</v>
      </c>
      <c r="BZ1805" s="1" t="s">
        <v>209</v>
      </c>
      <c r="CA1805" s="1" t="s">
        <v>210</v>
      </c>
      <c r="CB1805" s="1" t="s">
        <v>239</v>
      </c>
      <c r="CC1805" s="1" t="s">
        <v>758</v>
      </c>
      <c r="CD1805" s="1" t="s">
        <v>206</v>
      </c>
      <c r="CE1805" s="1" t="s">
        <v>210</v>
      </c>
      <c r="CF1805" s="1" t="s">
        <v>239</v>
      </c>
      <c r="CG1805" s="1" t="s">
        <v>361</v>
      </c>
      <c r="CH1805" s="1" t="s">
        <v>209</v>
      </c>
      <c r="CI1805" s="1" t="s">
        <v>210</v>
      </c>
      <c r="CJ1805" s="1" t="s">
        <v>239</v>
      </c>
      <c r="CK1805" s="1" t="s">
        <v>433</v>
      </c>
      <c r="CL1805" s="1" t="s">
        <v>209</v>
      </c>
      <c r="CM1805" s="1" t="s">
        <v>210</v>
      </c>
      <c r="CN1805" s="1" t="s">
        <v>239</v>
      </c>
      <c r="CO1805" s="1" t="s">
        <v>363</v>
      </c>
      <c r="CP1805" s="1" t="s">
        <v>209</v>
      </c>
      <c r="CQ1805" s="1" t="s">
        <v>210</v>
      </c>
      <c r="CR1805" s="1" t="s">
        <v>239</v>
      </c>
      <c r="CS1805" s="1" t="s">
        <v>784</v>
      </c>
      <c r="CT1805" s="1" t="s">
        <v>206</v>
      </c>
      <c r="CU1805" s="1" t="s">
        <v>207</v>
      </c>
      <c r="CV1805" s="1" t="s">
        <v>239</v>
      </c>
      <c r="CW1805" s="1" t="s">
        <v>208</v>
      </c>
      <c r="CX1805" s="1" t="s">
        <v>206</v>
      </c>
      <c r="CY1805" s="1" t="s">
        <v>207</v>
      </c>
      <c r="CZ1805" s="1" t="s">
        <v>239</v>
      </c>
      <c r="DA1805" s="1" t="s">
        <v>200</v>
      </c>
      <c r="DC1805" s="1" t="s">
        <v>435</v>
      </c>
      <c r="DD1805" s="1" t="s">
        <v>336</v>
      </c>
      <c r="DE1805" s="1" t="s">
        <v>273</v>
      </c>
      <c r="DF1805" s="1" t="s">
        <v>219</v>
      </c>
      <c r="DH1805" s="1" t="s">
        <v>220</v>
      </c>
      <c r="DJ1805" s="1" t="s">
        <v>222</v>
      </c>
      <c r="DL1805" s="1" t="s">
        <v>858</v>
      </c>
      <c r="DM1805" s="1" t="s">
        <v>229</v>
      </c>
      <c r="DN1805" s="1" t="s">
        <v>367</v>
      </c>
      <c r="DO1805" s="1" t="s">
        <v>440</v>
      </c>
      <c r="DP1805" s="1" t="s">
        <v>340</v>
      </c>
      <c r="DQ1805" s="1" t="s">
        <v>441</v>
      </c>
      <c r="DR1805" s="1" t="s">
        <v>229</v>
      </c>
      <c r="DV1805" s="1" t="s">
        <v>11151</v>
      </c>
      <c r="DW1805" s="1" t="s">
        <v>764</v>
      </c>
      <c r="DX1805" s="1" t="s">
        <v>234</v>
      </c>
      <c r="DY1805" s="1" t="s">
        <v>1006</v>
      </c>
      <c r="EB1805" s="1" t="s">
        <v>684</v>
      </c>
      <c r="EC1805" s="1" t="s">
        <v>237</v>
      </c>
      <c r="EG1805" s="1" t="s">
        <v>450</v>
      </c>
      <c r="EH1805" s="1" t="s">
        <v>1824</v>
      </c>
      <c r="EL1805" s="1" t="s">
        <v>784</v>
      </c>
      <c r="EM1805" s="1" t="s">
        <v>42</v>
      </c>
      <c r="EN1805" s="1" t="s">
        <v>588</v>
      </c>
      <c r="EO1805" s="1" t="s">
        <v>239</v>
      </c>
      <c r="EP1805" s="1" t="s">
        <v>393</v>
      </c>
      <c r="EQ1805" s="1" t="s">
        <v>42</v>
      </c>
      <c r="ER1805" s="1" t="s">
        <v>588</v>
      </c>
      <c r="ES1805" s="1" t="s">
        <v>239</v>
      </c>
      <c r="EU1805" s="1" t="s">
        <v>238</v>
      </c>
      <c r="EY1805" s="1" t="s">
        <v>238</v>
      </c>
      <c r="FC1805" s="1" t="s">
        <v>238</v>
      </c>
      <c r="FF1805" s="1" t="s">
        <v>239</v>
      </c>
      <c r="FG1805" s="1" t="s">
        <v>192</v>
      </c>
      <c r="FH1805" s="1" t="s">
        <v>192</v>
      </c>
      <c r="FJ1805" s="1" t="s">
        <v>770</v>
      </c>
      <c r="FK1805" s="1" t="s">
        <v>229</v>
      </c>
      <c r="FL1805" s="1" t="s">
        <v>6918</v>
      </c>
      <c r="FM1805" s="1">
        <v>31580.0</v>
      </c>
      <c r="FN1805" s="1" t="s">
        <v>6919</v>
      </c>
      <c r="FO1805" s="1" t="s">
        <v>17601</v>
      </c>
      <c r="FP1805" s="1">
        <v>315844.0</v>
      </c>
      <c r="FQ1805" s="1" t="s">
        <v>17602</v>
      </c>
      <c r="FS1805" s="1" t="s">
        <v>17603</v>
      </c>
      <c r="FU1805" s="1" t="s">
        <v>1845</v>
      </c>
      <c r="FV1805" s="1" t="s">
        <v>200</v>
      </c>
      <c r="FW1805" s="1" t="s">
        <v>290</v>
      </c>
      <c r="FZ1805" s="1" t="s">
        <v>229</v>
      </c>
      <c r="GA1805" s="1" t="s">
        <v>291</v>
      </c>
      <c r="GB1805" s="2">
        <v>42089.0</v>
      </c>
      <c r="GC1805" s="1" t="s">
        <v>17604</v>
      </c>
    </row>
    <row r="1806">
      <c r="A1806" s="1">
        <v>13900.0</v>
      </c>
      <c r="B1806" s="1" t="s">
        <v>185</v>
      </c>
      <c r="C1806" s="1" t="str">
        <f>"08702261"</f>
        <v>08702261</v>
      </c>
      <c r="D1806" s="1" t="s">
        <v>186</v>
      </c>
      <c r="F1806" s="1" t="str">
        <f>"8071"</f>
        <v>8071</v>
      </c>
      <c r="G1806" s="2">
        <v>41865.0</v>
      </c>
      <c r="H1806" s="1">
        <v>51800.0</v>
      </c>
      <c r="I1806" s="1">
        <v>168.0</v>
      </c>
      <c r="J1806" s="1">
        <v>34000.0</v>
      </c>
      <c r="K1806" s="2">
        <v>42030.0</v>
      </c>
      <c r="L1806" s="1">
        <v>168.0</v>
      </c>
      <c r="M1806" s="2">
        <v>42030.0</v>
      </c>
      <c r="N1806" s="1" t="s">
        <v>249</v>
      </c>
      <c r="O1806" s="2">
        <v>42062.0</v>
      </c>
      <c r="P1806" s="1">
        <v>238323.0</v>
      </c>
      <c r="Q1806" s="1">
        <v>25054.0</v>
      </c>
      <c r="S1806" s="1">
        <v>8736.0</v>
      </c>
      <c r="T1806" s="1" t="s">
        <v>17605</v>
      </c>
      <c r="U1806" s="1" t="s">
        <v>320</v>
      </c>
      <c r="V1806" s="1" t="s">
        <v>190</v>
      </c>
      <c r="W1806" s="1">
        <v>60620.0</v>
      </c>
      <c r="Y1806" s="1" t="s">
        <v>17606</v>
      </c>
      <c r="Z1806" s="1" t="s">
        <v>296</v>
      </c>
      <c r="AA1806" s="1" t="s">
        <v>192</v>
      </c>
      <c r="AB1806" s="1" t="s">
        <v>193</v>
      </c>
      <c r="AD1806" s="1" t="s">
        <v>194</v>
      </c>
      <c r="AE1806" s="1" t="s">
        <v>195</v>
      </c>
      <c r="AF1806" s="1" t="s">
        <v>1154</v>
      </c>
      <c r="AG1806" s="1" t="s">
        <v>778</v>
      </c>
      <c r="AH1806" s="1" t="s">
        <v>359</v>
      </c>
      <c r="AK1806" s="1">
        <v>7.0</v>
      </c>
      <c r="AL1806" s="1">
        <v>4.0</v>
      </c>
      <c r="AM1806" s="1">
        <v>1.0</v>
      </c>
      <c r="AN1806" s="1">
        <v>1.0</v>
      </c>
      <c r="AO1806" s="1" t="s">
        <v>229</v>
      </c>
      <c r="AQ1806" s="1" t="s">
        <v>327</v>
      </c>
      <c r="AR1806" s="1" t="s">
        <v>192</v>
      </c>
      <c r="AS1806" s="1" t="s">
        <v>229</v>
      </c>
      <c r="AV1806" s="1" t="s">
        <v>200</v>
      </c>
      <c r="AW1806" s="1">
        <v>1785.0</v>
      </c>
      <c r="AX1806" s="1">
        <v>2013.0</v>
      </c>
      <c r="AY1806" s="1" t="s">
        <v>229</v>
      </c>
      <c r="AZ1806" s="1" t="s">
        <v>200</v>
      </c>
      <c r="BA1806" s="1" t="str">
        <f>"25062010480000"</f>
        <v>25062010480000</v>
      </c>
      <c r="BB1806" s="1" t="s">
        <v>200</v>
      </c>
      <c r="BC1806" s="1">
        <v>1000.0</v>
      </c>
      <c r="BD1806" s="1">
        <v>13900.0</v>
      </c>
      <c r="BE1806" s="2">
        <v>41863.0</v>
      </c>
      <c r="BF1806" s="2" t="s">
        <v>17607</v>
      </c>
      <c r="BH1806" s="1">
        <v>0.0</v>
      </c>
      <c r="BK1806" s="1" t="s">
        <v>204</v>
      </c>
      <c r="BL1806" s="1" t="str">
        <f t="shared" ref="BL1806:BM1806" si="1196">"0"</f>
        <v>0</v>
      </c>
      <c r="BM1806" s="1" t="str">
        <f t="shared" si="1196"/>
        <v>0</v>
      </c>
      <c r="BN1806" s="1">
        <v>1800.0</v>
      </c>
      <c r="BO1806" s="1">
        <v>8700.0</v>
      </c>
      <c r="BQ1806" s="1">
        <v>299.0</v>
      </c>
      <c r="BR1806" s="1">
        <v>299.0</v>
      </c>
      <c r="BS1806" s="1">
        <v>299.0</v>
      </c>
      <c r="BU1806" s="1" t="s">
        <v>433</v>
      </c>
      <c r="BV1806" s="1" t="s">
        <v>206</v>
      </c>
      <c r="BY1806" s="1" t="s">
        <v>264</v>
      </c>
      <c r="BZ1806" s="1" t="s">
        <v>206</v>
      </c>
      <c r="CC1806" s="1" t="s">
        <v>264</v>
      </c>
      <c r="CD1806" s="1" t="s">
        <v>206</v>
      </c>
      <c r="CG1806" s="1" t="s">
        <v>264</v>
      </c>
      <c r="CH1806" s="1" t="s">
        <v>206</v>
      </c>
      <c r="CK1806" s="1" t="s">
        <v>269</v>
      </c>
      <c r="CL1806" s="1" t="s">
        <v>209</v>
      </c>
      <c r="CO1806" s="1" t="s">
        <v>516</v>
      </c>
      <c r="CP1806" s="1" t="s">
        <v>209</v>
      </c>
      <c r="CS1806" s="1" t="s">
        <v>798</v>
      </c>
      <c r="CT1806" s="1" t="s">
        <v>206</v>
      </c>
      <c r="CX1806" s="1" t="s">
        <v>204</v>
      </c>
      <c r="DA1806" s="1" t="s">
        <v>200</v>
      </c>
      <c r="DC1806" s="1" t="s">
        <v>785</v>
      </c>
      <c r="DD1806" s="1" t="s">
        <v>518</v>
      </c>
      <c r="DE1806" s="1" t="s">
        <v>229</v>
      </c>
      <c r="DF1806" s="1" t="s">
        <v>619</v>
      </c>
      <c r="DH1806" s="1" t="s">
        <v>365</v>
      </c>
      <c r="DJ1806" s="1" t="s">
        <v>222</v>
      </c>
      <c r="DK1806" s="1" t="s">
        <v>2506</v>
      </c>
      <c r="DL1806" s="1" t="s">
        <v>223</v>
      </c>
      <c r="DM1806" s="1" t="s">
        <v>1464</v>
      </c>
      <c r="DP1806" s="1" t="s">
        <v>340</v>
      </c>
      <c r="DQ1806" s="1" t="s">
        <v>718</v>
      </c>
      <c r="DR1806" s="1" t="s">
        <v>229</v>
      </c>
      <c r="DV1806" s="1" t="s">
        <v>232</v>
      </c>
      <c r="DW1806" s="1" t="s">
        <v>279</v>
      </c>
      <c r="DX1806" s="1" t="s">
        <v>234</v>
      </c>
      <c r="DY1806" s="1" t="s">
        <v>1371</v>
      </c>
      <c r="EA1806" s="1" t="s">
        <v>644</v>
      </c>
      <c r="EC1806" s="1" t="s">
        <v>645</v>
      </c>
      <c r="EM1806" s="1" t="s">
        <v>238</v>
      </c>
      <c r="EQ1806" s="1" t="s">
        <v>238</v>
      </c>
      <c r="EU1806" s="1" t="s">
        <v>238</v>
      </c>
      <c r="EY1806" s="1" t="s">
        <v>238</v>
      </c>
      <c r="FC1806" s="1" t="s">
        <v>238</v>
      </c>
      <c r="FF1806" s="1" t="s">
        <v>239</v>
      </c>
      <c r="FG1806" s="1" t="s">
        <v>192</v>
      </c>
      <c r="FH1806" s="1" t="s">
        <v>192</v>
      </c>
      <c r="FJ1806" s="1" t="s">
        <v>17608</v>
      </c>
      <c r="FK1806" s="1" t="s">
        <v>229</v>
      </c>
      <c r="FL1806" s="1" t="s">
        <v>12937</v>
      </c>
      <c r="FM1806" s="1">
        <v>24050.0</v>
      </c>
      <c r="FN1806" s="1" t="s">
        <v>12938</v>
      </c>
      <c r="FO1806" s="1" t="s">
        <v>12939</v>
      </c>
      <c r="FP1806" s="1">
        <v>217706.0</v>
      </c>
      <c r="FQ1806" s="1" t="s">
        <v>12940</v>
      </c>
      <c r="FU1806" s="1" t="s">
        <v>4733</v>
      </c>
      <c r="FV1806" s="1" t="s">
        <v>200</v>
      </c>
      <c r="FW1806" s="1" t="s">
        <v>17609</v>
      </c>
      <c r="FX1806" s="1" t="s">
        <v>655</v>
      </c>
      <c r="FZ1806" s="1" t="s">
        <v>229</v>
      </c>
      <c r="GA1806" s="1" t="s">
        <v>291</v>
      </c>
      <c r="GB1806" s="2">
        <v>42064.0</v>
      </c>
      <c r="GC1806" s="1" t="s">
        <v>17610</v>
      </c>
    </row>
    <row r="1807">
      <c r="A1807" s="1">
        <v>439000.0</v>
      </c>
      <c r="B1807" s="1" t="s">
        <v>185</v>
      </c>
      <c r="C1807" s="1" t="str">
        <f>"08700723"</f>
        <v>08700723</v>
      </c>
      <c r="D1807" s="1" t="s">
        <v>186</v>
      </c>
      <c r="F1807" s="1" t="str">
        <f>"174"</f>
        <v>174</v>
      </c>
      <c r="G1807" s="2">
        <v>41864.0</v>
      </c>
      <c r="H1807" s="1">
        <v>464900.0</v>
      </c>
      <c r="I1807" s="1">
        <v>232.0</v>
      </c>
      <c r="J1807" s="1">
        <v>449000.0</v>
      </c>
      <c r="K1807" s="2">
        <v>41974.0</v>
      </c>
      <c r="L1807" s="1">
        <v>111.0</v>
      </c>
      <c r="M1807" s="2">
        <v>41974.0</v>
      </c>
      <c r="N1807" s="1" t="s">
        <v>187</v>
      </c>
      <c r="O1807" s="2">
        <v>42009.0</v>
      </c>
      <c r="P1807" s="1">
        <v>89212.0</v>
      </c>
      <c r="Q1807" s="1">
        <v>8059.0</v>
      </c>
      <c r="S1807" s="1">
        <v>1302.0</v>
      </c>
      <c r="T1807" s="1" t="s">
        <v>17611</v>
      </c>
      <c r="U1807" s="1" t="s">
        <v>4857</v>
      </c>
      <c r="V1807" s="1" t="s">
        <v>1200</v>
      </c>
      <c r="W1807" s="1">
        <v>60174.0</v>
      </c>
      <c r="Y1807" s="1" t="s">
        <v>17612</v>
      </c>
      <c r="Z1807" s="1">
        <v>1992.0</v>
      </c>
      <c r="AA1807" s="1" t="s">
        <v>200</v>
      </c>
      <c r="AB1807" s="1" t="s">
        <v>193</v>
      </c>
      <c r="AC1807" s="1" t="s">
        <v>17613</v>
      </c>
      <c r="AD1807" s="1" t="s">
        <v>1203</v>
      </c>
      <c r="AE1807" s="1" t="s">
        <v>325</v>
      </c>
      <c r="AF1807" s="1" t="s">
        <v>1203</v>
      </c>
      <c r="AG1807" s="1" t="s">
        <v>752</v>
      </c>
      <c r="AH1807" s="1" t="s">
        <v>17614</v>
      </c>
      <c r="AI1807" s="1">
        <v>0.38</v>
      </c>
      <c r="AK1807" s="1">
        <v>9.0</v>
      </c>
      <c r="AL1807" s="1">
        <v>4.0</v>
      </c>
      <c r="AM1807" s="1">
        <v>2.0</v>
      </c>
      <c r="AN1807" s="1">
        <v>1.0</v>
      </c>
      <c r="AO1807" s="1" t="s">
        <v>198</v>
      </c>
      <c r="AP1807" s="1">
        <v>1.0</v>
      </c>
      <c r="AQ1807" s="1" t="s">
        <v>198</v>
      </c>
      <c r="AR1807" s="1" t="s">
        <v>200</v>
      </c>
      <c r="AS1807" s="1" t="s">
        <v>199</v>
      </c>
      <c r="AT1807" s="1">
        <v>3.0</v>
      </c>
      <c r="AV1807" s="1" t="s">
        <v>200</v>
      </c>
      <c r="AW1807" s="1">
        <v>14850.32</v>
      </c>
      <c r="AX1807" s="1">
        <v>2013.0</v>
      </c>
      <c r="AY1807" s="1" t="s">
        <v>387</v>
      </c>
      <c r="AZ1807" s="1" t="s">
        <v>200</v>
      </c>
      <c r="BA1807" s="1" t="str">
        <f>"0923377026"</f>
        <v>0923377026</v>
      </c>
      <c r="BC1807" s="1">
        <v>3363.0</v>
      </c>
      <c r="BD1807" s="1">
        <v>439000.0</v>
      </c>
      <c r="BE1807" s="2">
        <v>41864.0</v>
      </c>
      <c r="BF1807" s="2" t="s">
        <v>17615</v>
      </c>
      <c r="BH1807" s="1">
        <v>0.0</v>
      </c>
      <c r="BJ1807" s="1" t="s">
        <v>2144</v>
      </c>
      <c r="BK1807" s="1" t="s">
        <v>204</v>
      </c>
      <c r="BL1807" s="1" t="str">
        <f>"4"</f>
        <v>4</v>
      </c>
      <c r="BM1807" s="1" t="str">
        <f>"0"</f>
        <v>0</v>
      </c>
      <c r="BN1807" s="1">
        <v>34.0</v>
      </c>
      <c r="BO1807" s="1">
        <v>0.0</v>
      </c>
      <c r="BQ1807" s="1">
        <v>303.0</v>
      </c>
      <c r="BR1807" s="1">
        <v>303.0</v>
      </c>
      <c r="BS1807" s="1">
        <v>303.0</v>
      </c>
      <c r="BU1807" s="1" t="s">
        <v>758</v>
      </c>
      <c r="BV1807" s="1" t="s">
        <v>206</v>
      </c>
      <c r="BW1807" s="1" t="s">
        <v>207</v>
      </c>
      <c r="BY1807" s="1" t="s">
        <v>616</v>
      </c>
      <c r="BZ1807" s="1" t="s">
        <v>209</v>
      </c>
      <c r="CA1807" s="1" t="s">
        <v>210</v>
      </c>
      <c r="CC1807" s="1" t="s">
        <v>584</v>
      </c>
      <c r="CD1807" s="1" t="s">
        <v>206</v>
      </c>
      <c r="CE1807" s="1" t="s">
        <v>207</v>
      </c>
      <c r="CG1807" s="1" t="s">
        <v>215</v>
      </c>
      <c r="CH1807" s="1" t="s">
        <v>209</v>
      </c>
      <c r="CI1807" s="1" t="s">
        <v>210</v>
      </c>
      <c r="CK1807" s="1" t="s">
        <v>433</v>
      </c>
      <c r="CL1807" s="1" t="s">
        <v>209</v>
      </c>
      <c r="CM1807" s="1" t="s">
        <v>210</v>
      </c>
      <c r="CO1807" s="1" t="s">
        <v>715</v>
      </c>
      <c r="CP1807" s="1" t="s">
        <v>209</v>
      </c>
      <c r="CQ1807" s="1" t="s">
        <v>210</v>
      </c>
      <c r="CS1807" s="1" t="s">
        <v>515</v>
      </c>
      <c r="CT1807" s="1" t="s">
        <v>206</v>
      </c>
      <c r="CU1807" s="1" t="s">
        <v>207</v>
      </c>
      <c r="CW1807" s="1" t="s">
        <v>2182</v>
      </c>
      <c r="CX1807" s="1" t="s">
        <v>206</v>
      </c>
      <c r="CY1807" s="1" t="s">
        <v>210</v>
      </c>
      <c r="DA1807" s="1" t="s">
        <v>200</v>
      </c>
      <c r="DC1807" s="1" t="s">
        <v>435</v>
      </c>
      <c r="DD1807" s="1" t="s">
        <v>272</v>
      </c>
      <c r="DE1807" s="1" t="s">
        <v>273</v>
      </c>
      <c r="DF1807" s="1" t="s">
        <v>219</v>
      </c>
      <c r="DG1807" s="1" t="s">
        <v>482</v>
      </c>
      <c r="DH1807" s="1" t="s">
        <v>220</v>
      </c>
      <c r="DI1807" s="1" t="s">
        <v>1141</v>
      </c>
      <c r="DJ1807" s="1" t="s">
        <v>222</v>
      </c>
      <c r="DL1807" s="1" t="s">
        <v>224</v>
      </c>
      <c r="DM1807" s="1" t="s">
        <v>338</v>
      </c>
      <c r="DN1807" s="1" t="s">
        <v>3844</v>
      </c>
      <c r="DO1807" s="1" t="s">
        <v>1556</v>
      </c>
      <c r="DP1807" s="1" t="s">
        <v>340</v>
      </c>
      <c r="DQ1807" s="1" t="s">
        <v>441</v>
      </c>
      <c r="DR1807" s="1" t="s">
        <v>229</v>
      </c>
      <c r="DS1807" s="1" t="s">
        <v>230</v>
      </c>
      <c r="DU1807" s="1" t="s">
        <v>7655</v>
      </c>
      <c r="DV1807" s="1" t="s">
        <v>494</v>
      </c>
      <c r="DW1807" s="1" t="s">
        <v>764</v>
      </c>
      <c r="DX1807" s="1" t="s">
        <v>280</v>
      </c>
      <c r="DY1807" s="1" t="s">
        <v>3772</v>
      </c>
      <c r="DZ1807" s="1" t="s">
        <v>10242</v>
      </c>
      <c r="EA1807" s="1" t="s">
        <v>344</v>
      </c>
      <c r="EB1807" s="1" t="s">
        <v>492</v>
      </c>
      <c r="EC1807" s="1" t="s">
        <v>237</v>
      </c>
      <c r="ED1807" s="1" t="s">
        <v>555</v>
      </c>
      <c r="EG1807" s="1" t="s">
        <v>494</v>
      </c>
      <c r="EL1807" s="1" t="s">
        <v>332</v>
      </c>
      <c r="EM1807" s="1" t="s">
        <v>206</v>
      </c>
      <c r="EN1807" s="1" t="s">
        <v>207</v>
      </c>
      <c r="EQ1807" s="1" t="s">
        <v>238</v>
      </c>
      <c r="EU1807" s="1" t="s">
        <v>238</v>
      </c>
      <c r="EY1807" s="1" t="s">
        <v>238</v>
      </c>
      <c r="FC1807" s="1" t="s">
        <v>238</v>
      </c>
      <c r="FF1807" s="1" t="s">
        <v>239</v>
      </c>
      <c r="FG1807" s="1" t="s">
        <v>192</v>
      </c>
      <c r="FH1807" s="1" t="s">
        <v>192</v>
      </c>
      <c r="FJ1807" s="1" t="s">
        <v>498</v>
      </c>
      <c r="FK1807" s="1" t="s">
        <v>229</v>
      </c>
      <c r="FL1807" s="1" t="s">
        <v>1358</v>
      </c>
      <c r="FM1807" s="1">
        <v>23591.0</v>
      </c>
      <c r="FN1807" s="1" t="s">
        <v>2134</v>
      </c>
      <c r="FO1807" s="1" t="s">
        <v>2135</v>
      </c>
      <c r="FP1807" s="1">
        <v>230500.0</v>
      </c>
      <c r="FQ1807" s="1" t="s">
        <v>2136</v>
      </c>
      <c r="FU1807" s="1" t="s">
        <v>17616</v>
      </c>
      <c r="FV1807" s="1" t="s">
        <v>200</v>
      </c>
      <c r="FW1807" s="1" t="s">
        <v>290</v>
      </c>
      <c r="FZ1807" s="1" t="s">
        <v>229</v>
      </c>
      <c r="GA1807" s="1" t="s">
        <v>291</v>
      </c>
      <c r="GB1807" s="2">
        <v>42009.0</v>
      </c>
      <c r="GC1807" s="1" t="s">
        <v>17617</v>
      </c>
    </row>
    <row r="1808">
      <c r="A1808" s="1">
        <v>185000.0</v>
      </c>
      <c r="B1808" s="1" t="s">
        <v>185</v>
      </c>
      <c r="C1808" s="1" t="str">
        <f>"08699144"</f>
        <v>08699144</v>
      </c>
      <c r="D1808" s="1" t="s">
        <v>186</v>
      </c>
      <c r="F1808" s="1" t="str">
        <f>"511"</f>
        <v>511</v>
      </c>
      <c r="G1808" s="2">
        <v>41863.0</v>
      </c>
      <c r="H1808" s="1">
        <v>219900.0</v>
      </c>
      <c r="I1808" s="1">
        <v>121.0</v>
      </c>
      <c r="J1808" s="1">
        <v>219900.0</v>
      </c>
      <c r="K1808" s="2">
        <v>41983.0</v>
      </c>
      <c r="L1808" s="1">
        <v>121.0</v>
      </c>
      <c r="M1808" s="2">
        <v>41983.0</v>
      </c>
      <c r="N1808" s="1" t="s">
        <v>17618</v>
      </c>
      <c r="O1808" s="2">
        <v>41996.0</v>
      </c>
      <c r="P1808" s="1">
        <v>99999.0</v>
      </c>
      <c r="Q1808" s="1" t="s">
        <v>947</v>
      </c>
      <c r="S1808" s="1">
        <v>202.0</v>
      </c>
      <c r="T1808" s="1" t="s">
        <v>17619</v>
      </c>
      <c r="U1808" s="1" t="s">
        <v>1442</v>
      </c>
      <c r="V1808" s="1" t="s">
        <v>17620</v>
      </c>
      <c r="W1808" s="1">
        <v>60511.0</v>
      </c>
      <c r="Y1808" s="1" t="s">
        <v>17621</v>
      </c>
      <c r="Z1808" s="1" t="s">
        <v>296</v>
      </c>
      <c r="AA1808" s="1" t="s">
        <v>192</v>
      </c>
      <c r="AB1808" s="1" t="s">
        <v>193</v>
      </c>
      <c r="AD1808" s="1" t="s">
        <v>17622</v>
      </c>
      <c r="AE1808" s="1" t="s">
        <v>325</v>
      </c>
      <c r="AF1808" s="1" t="s">
        <v>17622</v>
      </c>
      <c r="AH1808" s="1" t="s">
        <v>17623</v>
      </c>
      <c r="AI1808" s="1">
        <v>1.44</v>
      </c>
      <c r="AK1808" s="1">
        <v>11.0</v>
      </c>
      <c r="AL1808" s="1">
        <v>4.0</v>
      </c>
      <c r="AM1808" s="1">
        <v>3.0</v>
      </c>
      <c r="AN1808" s="1">
        <v>0.0</v>
      </c>
      <c r="AO1808" s="1" t="s">
        <v>229</v>
      </c>
      <c r="AQ1808" s="1" t="s">
        <v>198</v>
      </c>
      <c r="AR1808" s="1" t="s">
        <v>200</v>
      </c>
      <c r="AS1808" s="1" t="s">
        <v>199</v>
      </c>
      <c r="AT1808" s="1">
        <v>3.0</v>
      </c>
      <c r="AV1808" s="1" t="s">
        <v>200</v>
      </c>
      <c r="AW1808" s="1">
        <v>7460.1</v>
      </c>
      <c r="AX1808" s="1">
        <v>2013.0</v>
      </c>
      <c r="AY1808" s="1" t="s">
        <v>229</v>
      </c>
      <c r="AZ1808" s="1" t="s">
        <v>192</v>
      </c>
      <c r="BA1808" s="1" t="str">
        <f>"1315300021"</f>
        <v>1315300021</v>
      </c>
      <c r="BC1808" s="1">
        <v>3054.0</v>
      </c>
      <c r="BD1808" s="1">
        <v>185000.0</v>
      </c>
      <c r="BE1808" s="2">
        <v>41863.0</v>
      </c>
      <c r="BF1808" s="2" t="s">
        <v>17624</v>
      </c>
      <c r="BH1808" s="1">
        <v>0.0</v>
      </c>
      <c r="BK1808" s="1" t="s">
        <v>204</v>
      </c>
      <c r="BL1808" s="1" t="str">
        <f t="shared" ref="BL1808:BM1808" si="1197">""</f>
        <v/>
      </c>
      <c r="BM1808" s="1" t="str">
        <f t="shared" si="1197"/>
        <v/>
      </c>
      <c r="BQ1808" s="1">
        <v>429.0</v>
      </c>
      <c r="BR1808" s="1">
        <v>429.0</v>
      </c>
      <c r="BS1808" s="1">
        <v>429.0</v>
      </c>
      <c r="BU1808" s="1" t="s">
        <v>1483</v>
      </c>
      <c r="BV1808" s="1" t="s">
        <v>206</v>
      </c>
      <c r="BW1808" s="1" t="s">
        <v>207</v>
      </c>
      <c r="BX1808" s="1" t="s">
        <v>239</v>
      </c>
      <c r="BY1808" s="1" t="s">
        <v>1244</v>
      </c>
      <c r="BZ1808" s="1" t="s">
        <v>209</v>
      </c>
      <c r="CA1808" s="1" t="s">
        <v>210</v>
      </c>
      <c r="CB1808" s="1" t="s">
        <v>239</v>
      </c>
      <c r="CC1808" s="1" t="s">
        <v>363</v>
      </c>
      <c r="CD1808" s="1" t="s">
        <v>206</v>
      </c>
      <c r="CE1808" s="1" t="s">
        <v>207</v>
      </c>
      <c r="CF1808" s="1" t="s">
        <v>239</v>
      </c>
      <c r="CG1808" s="1" t="s">
        <v>454</v>
      </c>
      <c r="CH1808" s="1" t="s">
        <v>206</v>
      </c>
      <c r="CI1808" s="1" t="s">
        <v>207</v>
      </c>
      <c r="CJ1808" s="1" t="s">
        <v>239</v>
      </c>
      <c r="CK1808" s="1" t="s">
        <v>699</v>
      </c>
      <c r="CL1808" s="1" t="s">
        <v>209</v>
      </c>
      <c r="CM1808" s="1" t="s">
        <v>210</v>
      </c>
      <c r="CN1808" s="1" t="s">
        <v>239</v>
      </c>
      <c r="CO1808" s="1" t="s">
        <v>433</v>
      </c>
      <c r="CP1808" s="1" t="s">
        <v>209</v>
      </c>
      <c r="CQ1808" s="1" t="s">
        <v>210</v>
      </c>
      <c r="CR1808" s="1" t="s">
        <v>239</v>
      </c>
      <c r="CS1808" s="1" t="s">
        <v>454</v>
      </c>
      <c r="CT1808" s="1" t="s">
        <v>206</v>
      </c>
      <c r="CU1808" s="1" t="s">
        <v>617</v>
      </c>
      <c r="CV1808" s="1" t="s">
        <v>239</v>
      </c>
      <c r="CW1808" s="1" t="s">
        <v>214</v>
      </c>
      <c r="CX1808" s="1" t="s">
        <v>206</v>
      </c>
      <c r="CY1808" s="1" t="s">
        <v>207</v>
      </c>
      <c r="CZ1808" s="1" t="s">
        <v>239</v>
      </c>
      <c r="DA1808" s="1" t="s">
        <v>200</v>
      </c>
      <c r="DC1808" s="1" t="s">
        <v>216</v>
      </c>
      <c r="DD1808" s="1" t="s">
        <v>957</v>
      </c>
      <c r="DE1808" s="1" t="s">
        <v>273</v>
      </c>
      <c r="DF1808" s="1" t="s">
        <v>619</v>
      </c>
      <c r="DG1808" s="1" t="s">
        <v>482</v>
      </c>
      <c r="DH1808" s="1" t="s">
        <v>856</v>
      </c>
      <c r="DJ1808" s="1" t="s">
        <v>222</v>
      </c>
      <c r="DL1808" s="1" t="s">
        <v>223</v>
      </c>
      <c r="DM1808" s="1" t="s">
        <v>229</v>
      </c>
      <c r="DP1808" s="1" t="s">
        <v>340</v>
      </c>
      <c r="DQ1808" s="1" t="s">
        <v>931</v>
      </c>
      <c r="DR1808" s="1" t="s">
        <v>229</v>
      </c>
      <c r="DV1808" s="1" t="s">
        <v>17625</v>
      </c>
      <c r="DW1808" s="1" t="s">
        <v>233</v>
      </c>
      <c r="DX1808" s="1" t="s">
        <v>234</v>
      </c>
      <c r="DY1808" s="1" t="s">
        <v>2579</v>
      </c>
      <c r="DZ1808" s="1" t="s">
        <v>17626</v>
      </c>
      <c r="EA1808" s="1" t="s">
        <v>3112</v>
      </c>
      <c r="EC1808" s="1" t="s">
        <v>237</v>
      </c>
      <c r="ED1808" s="1" t="s">
        <v>1761</v>
      </c>
      <c r="EG1808" s="1" t="s">
        <v>1121</v>
      </c>
      <c r="EH1808" s="1" t="s">
        <v>1407</v>
      </c>
      <c r="EI1808" s="1" t="s">
        <v>408</v>
      </c>
      <c r="EL1808" s="1" t="s">
        <v>331</v>
      </c>
      <c r="EM1808" s="1" t="s">
        <v>206</v>
      </c>
      <c r="EN1808" s="1" t="s">
        <v>207</v>
      </c>
      <c r="EO1808" s="1" t="s">
        <v>239</v>
      </c>
      <c r="EP1808" s="1" t="s">
        <v>433</v>
      </c>
      <c r="EQ1808" s="1" t="s">
        <v>209</v>
      </c>
      <c r="ET1808" s="1" t="s">
        <v>1874</v>
      </c>
      <c r="EU1808" s="1" t="s">
        <v>206</v>
      </c>
      <c r="EV1808" s="1" t="s">
        <v>207</v>
      </c>
      <c r="EY1808" s="1" t="s">
        <v>238</v>
      </c>
      <c r="FC1808" s="1" t="s">
        <v>238</v>
      </c>
      <c r="FF1808" s="1" t="s">
        <v>239</v>
      </c>
      <c r="FG1808" s="1" t="s">
        <v>192</v>
      </c>
      <c r="FH1808" s="1" t="s">
        <v>192</v>
      </c>
      <c r="FJ1808" s="1" t="s">
        <v>3613</v>
      </c>
      <c r="FK1808" s="1" t="s">
        <v>229</v>
      </c>
      <c r="FL1808" s="1" t="s">
        <v>9398</v>
      </c>
      <c r="FM1808" s="1">
        <v>93094.0</v>
      </c>
      <c r="FN1808" s="1" t="s">
        <v>9399</v>
      </c>
      <c r="FO1808" s="1" t="s">
        <v>17627</v>
      </c>
      <c r="FP1808" s="1">
        <v>930255.0</v>
      </c>
      <c r="FQ1808" s="1" t="s">
        <v>17628</v>
      </c>
      <c r="FS1808" s="1" t="s">
        <v>17629</v>
      </c>
      <c r="FU1808" s="1" t="s">
        <v>17630</v>
      </c>
      <c r="FV1808" s="1" t="s">
        <v>192</v>
      </c>
      <c r="FW1808" s="1" t="s">
        <v>17631</v>
      </c>
      <c r="FX1808" s="1" t="s">
        <v>1739</v>
      </c>
      <c r="FZ1808" s="1" t="s">
        <v>229</v>
      </c>
      <c r="GA1808" s="1" t="s">
        <v>291</v>
      </c>
      <c r="GB1808" s="2">
        <v>41996.0</v>
      </c>
      <c r="GC1808" s="1" t="s">
        <v>17632</v>
      </c>
    </row>
    <row r="1809">
      <c r="A1809" s="1">
        <v>428000.0</v>
      </c>
      <c r="B1809" s="1" t="s">
        <v>185</v>
      </c>
      <c r="C1809" s="1" t="str">
        <f>"08700566"</f>
        <v>08700566</v>
      </c>
      <c r="D1809" s="1" t="s">
        <v>186</v>
      </c>
      <c r="F1809" s="1" t="str">
        <f>"8016"</f>
        <v>8016</v>
      </c>
      <c r="G1809" s="2">
        <v>41864.0</v>
      </c>
      <c r="H1809" s="1">
        <v>475000.0</v>
      </c>
      <c r="I1809" s="1">
        <v>103.0</v>
      </c>
      <c r="J1809" s="1">
        <v>449000.0</v>
      </c>
      <c r="K1809" s="2">
        <v>41966.0</v>
      </c>
      <c r="L1809" s="1">
        <v>103.0</v>
      </c>
      <c r="M1809" s="2">
        <v>41966.0</v>
      </c>
      <c r="N1809" s="1" t="s">
        <v>187</v>
      </c>
      <c r="O1809" s="2">
        <v>42019.0</v>
      </c>
      <c r="P1809" s="1">
        <v>176341.0</v>
      </c>
      <c r="Q1809" s="1">
        <v>18705.0</v>
      </c>
      <c r="S1809" s="1">
        <v>3905.0</v>
      </c>
      <c r="T1809" s="1" t="s">
        <v>3314</v>
      </c>
      <c r="U1809" s="1" t="s">
        <v>189</v>
      </c>
      <c r="V1809" s="1" t="s">
        <v>190</v>
      </c>
      <c r="W1809" s="1">
        <v>60641.0</v>
      </c>
      <c r="Y1809" s="1" t="s">
        <v>17633</v>
      </c>
      <c r="Z1809" s="1">
        <v>1901.0</v>
      </c>
      <c r="AA1809" s="1" t="s">
        <v>192</v>
      </c>
      <c r="AB1809" s="1" t="s">
        <v>193</v>
      </c>
      <c r="AD1809" s="1" t="s">
        <v>194</v>
      </c>
      <c r="AE1809" s="1" t="s">
        <v>195</v>
      </c>
      <c r="AF1809" s="1" t="s">
        <v>196</v>
      </c>
      <c r="AH1809" s="1" t="s">
        <v>1460</v>
      </c>
      <c r="AK1809" s="1">
        <v>7.0</v>
      </c>
      <c r="AL1809" s="1">
        <v>4.0</v>
      </c>
      <c r="AM1809" s="1">
        <v>2.0</v>
      </c>
      <c r="AN1809" s="1">
        <v>0.0</v>
      </c>
      <c r="AO1809" s="1" t="s">
        <v>229</v>
      </c>
      <c r="AQ1809" s="1" t="s">
        <v>198</v>
      </c>
      <c r="AR1809" s="1" t="s">
        <v>200</v>
      </c>
      <c r="AS1809" s="1" t="s">
        <v>229</v>
      </c>
      <c r="AV1809" s="1" t="s">
        <v>200</v>
      </c>
      <c r="AW1809" s="6">
        <v>5932.0</v>
      </c>
      <c r="AX1809" s="1">
        <v>2013.0</v>
      </c>
      <c r="AY1809" s="1" t="s">
        <v>387</v>
      </c>
      <c r="AZ1809" s="1" t="s">
        <v>200</v>
      </c>
      <c r="BA1809" s="1" t="str">
        <f>"13222030080000"</f>
        <v>13222030080000</v>
      </c>
      <c r="BC1809" s="1">
        <v>0.0</v>
      </c>
      <c r="BD1809" s="1">
        <v>428000.0</v>
      </c>
      <c r="BE1809" s="2">
        <v>41864.0</v>
      </c>
      <c r="BF1809" s="2" t="s">
        <v>17634</v>
      </c>
      <c r="BH1809" s="1">
        <v>0.0</v>
      </c>
      <c r="BK1809" s="1" t="s">
        <v>204</v>
      </c>
      <c r="BL1809" s="1" t="str">
        <f>"3905"</f>
        <v>3905</v>
      </c>
      <c r="BM1809" s="1" t="str">
        <f>"0"</f>
        <v>0</v>
      </c>
      <c r="BN1809" s="1">
        <v>4200.0</v>
      </c>
      <c r="BO1809" s="1">
        <v>0.0</v>
      </c>
      <c r="BQ1809" s="1">
        <v>299.0</v>
      </c>
      <c r="BR1809" s="1">
        <v>299.0</v>
      </c>
      <c r="BS1809" s="1">
        <v>299.0</v>
      </c>
      <c r="BU1809" s="1" t="s">
        <v>1535</v>
      </c>
      <c r="BV1809" s="1" t="s">
        <v>206</v>
      </c>
      <c r="BW1809" s="1" t="s">
        <v>207</v>
      </c>
      <c r="BX1809" s="1" t="s">
        <v>431</v>
      </c>
      <c r="BY1809" s="1" t="s">
        <v>1426</v>
      </c>
      <c r="BZ1809" s="1" t="s">
        <v>209</v>
      </c>
      <c r="CA1809" s="1" t="s">
        <v>207</v>
      </c>
      <c r="CB1809" s="1" t="s">
        <v>431</v>
      </c>
      <c r="CC1809" s="1" t="s">
        <v>433</v>
      </c>
      <c r="CD1809" s="1" t="s">
        <v>206</v>
      </c>
      <c r="CE1809" s="1" t="s">
        <v>207</v>
      </c>
      <c r="CF1809" s="1" t="s">
        <v>431</v>
      </c>
      <c r="CG1809" s="1" t="s">
        <v>329</v>
      </c>
      <c r="CH1809" s="1" t="s">
        <v>209</v>
      </c>
      <c r="CI1809" s="1" t="s">
        <v>207</v>
      </c>
      <c r="CJ1809" s="1" t="s">
        <v>431</v>
      </c>
      <c r="CK1809" s="1" t="s">
        <v>495</v>
      </c>
      <c r="CL1809" s="1" t="s">
        <v>209</v>
      </c>
      <c r="CM1809" s="1" t="s">
        <v>207</v>
      </c>
      <c r="CN1809" s="1" t="s">
        <v>431</v>
      </c>
      <c r="CO1809" s="1" t="s">
        <v>495</v>
      </c>
      <c r="CP1809" s="1" t="s">
        <v>209</v>
      </c>
      <c r="CQ1809" s="1" t="s">
        <v>207</v>
      </c>
      <c r="CR1809" s="1" t="s">
        <v>431</v>
      </c>
      <c r="CS1809" s="1" t="s">
        <v>205</v>
      </c>
      <c r="CT1809" s="1" t="s">
        <v>206</v>
      </c>
      <c r="CU1809" s="1" t="s">
        <v>207</v>
      </c>
      <c r="CV1809" s="1" t="s">
        <v>431</v>
      </c>
      <c r="CX1809" s="1" t="s">
        <v>204</v>
      </c>
      <c r="DA1809" s="1" t="s">
        <v>200</v>
      </c>
      <c r="DC1809" s="1" t="s">
        <v>642</v>
      </c>
      <c r="DE1809" s="1" t="s">
        <v>1905</v>
      </c>
      <c r="DF1809" s="1" t="s">
        <v>4120</v>
      </c>
      <c r="DH1809" s="1" t="s">
        <v>365</v>
      </c>
      <c r="DJ1809" s="1" t="s">
        <v>222</v>
      </c>
      <c r="DL1809" s="1" t="s">
        <v>791</v>
      </c>
      <c r="DM1809" s="1" t="s">
        <v>229</v>
      </c>
      <c r="DP1809" s="1" t="s">
        <v>340</v>
      </c>
      <c r="DQ1809" s="1" t="s">
        <v>228</v>
      </c>
      <c r="DR1809" s="1" t="s">
        <v>229</v>
      </c>
      <c r="DS1809" s="1" t="s">
        <v>591</v>
      </c>
      <c r="DV1809" s="1" t="s">
        <v>232</v>
      </c>
      <c r="DW1809" s="1" t="s">
        <v>667</v>
      </c>
      <c r="DX1809" s="1" t="s">
        <v>234</v>
      </c>
      <c r="DZ1809" s="1" t="s">
        <v>236</v>
      </c>
      <c r="EC1809" s="1" t="s">
        <v>237</v>
      </c>
      <c r="EM1809" s="1" t="s">
        <v>238</v>
      </c>
      <c r="EQ1809" s="1" t="s">
        <v>238</v>
      </c>
      <c r="EU1809" s="1" t="s">
        <v>238</v>
      </c>
      <c r="EY1809" s="1" t="s">
        <v>238</v>
      </c>
      <c r="FC1809" s="1" t="s">
        <v>238</v>
      </c>
      <c r="FF1809" s="1" t="s">
        <v>239</v>
      </c>
      <c r="FG1809" s="1" t="s">
        <v>192</v>
      </c>
      <c r="FH1809" s="1" t="s">
        <v>192</v>
      </c>
      <c r="FJ1809" s="1" t="s">
        <v>17635</v>
      </c>
      <c r="FK1809" s="1" t="s">
        <v>229</v>
      </c>
      <c r="FL1809" s="1" t="s">
        <v>3156</v>
      </c>
      <c r="FM1809" s="1">
        <v>14090.0</v>
      </c>
      <c r="FN1809" s="1" t="s">
        <v>12476</v>
      </c>
      <c r="FO1809" s="1" t="s">
        <v>17636</v>
      </c>
      <c r="FP1809" s="1">
        <v>122677.0</v>
      </c>
      <c r="FQ1809" s="1" t="s">
        <v>17637</v>
      </c>
      <c r="FU1809" s="1" t="s">
        <v>17638</v>
      </c>
      <c r="FV1809" s="1" t="s">
        <v>200</v>
      </c>
      <c r="FW1809" s="1" t="s">
        <v>530</v>
      </c>
      <c r="FX1809" s="1" t="s">
        <v>238</v>
      </c>
      <c r="FZ1809" s="1" t="s">
        <v>229</v>
      </c>
      <c r="GA1809" s="1" t="s">
        <v>291</v>
      </c>
      <c r="GB1809" s="2">
        <v>42020.0</v>
      </c>
      <c r="GC1809" s="1" t="s">
        <v>17639</v>
      </c>
    </row>
    <row r="1810">
      <c r="A1810" s="1">
        <v>455000.0</v>
      </c>
      <c r="B1810" s="1" t="s">
        <v>185</v>
      </c>
      <c r="C1810" s="1" t="str">
        <f>"08729586"</f>
        <v>08729586</v>
      </c>
      <c r="D1810" s="1" t="s">
        <v>186</v>
      </c>
      <c r="F1810" s="1" t="str">
        <f>"151"</f>
        <v>151</v>
      </c>
      <c r="G1810" s="2">
        <v>41898.0</v>
      </c>
      <c r="H1810" s="1">
        <v>468000.0</v>
      </c>
      <c r="I1810" s="1">
        <v>83.0</v>
      </c>
      <c r="J1810" s="1">
        <v>468000.0</v>
      </c>
      <c r="K1810" s="2">
        <v>41980.0</v>
      </c>
      <c r="L1810" s="1">
        <v>83.0</v>
      </c>
      <c r="M1810" s="2">
        <v>41980.0</v>
      </c>
      <c r="N1810" s="1" t="s">
        <v>588</v>
      </c>
      <c r="O1810" s="2">
        <v>42048.0</v>
      </c>
      <c r="P1810" s="1">
        <v>230507.0</v>
      </c>
      <c r="Q1810" s="1">
        <v>23591.0</v>
      </c>
      <c r="S1810" s="1" t="s">
        <v>17640</v>
      </c>
      <c r="T1810" s="1" t="s">
        <v>17641</v>
      </c>
      <c r="U1810" s="1" t="s">
        <v>1174</v>
      </c>
      <c r="V1810" s="1" t="s">
        <v>8905</v>
      </c>
      <c r="W1810" s="1">
        <v>60151.0</v>
      </c>
      <c r="Y1810" s="1" t="s">
        <v>17642</v>
      </c>
      <c r="Z1810" s="1">
        <v>1995.0</v>
      </c>
      <c r="AA1810" s="1" t="s">
        <v>200</v>
      </c>
      <c r="AB1810" s="1" t="s">
        <v>193</v>
      </c>
      <c r="AD1810" s="1" t="s">
        <v>1089</v>
      </c>
      <c r="AE1810" s="1" t="s">
        <v>325</v>
      </c>
      <c r="AF1810" s="1" t="s">
        <v>17643</v>
      </c>
      <c r="AH1810" s="1" t="s">
        <v>17644</v>
      </c>
      <c r="AI1810" s="1">
        <v>9.99</v>
      </c>
      <c r="AK1810" s="1">
        <v>10.0</v>
      </c>
      <c r="AL1810" s="1">
        <v>4.0</v>
      </c>
      <c r="AM1810" s="1">
        <v>3.0</v>
      </c>
      <c r="AN1810" s="1">
        <v>0.0</v>
      </c>
      <c r="AO1810" s="1" t="s">
        <v>198</v>
      </c>
      <c r="AP1810" s="1">
        <v>2.0</v>
      </c>
      <c r="AQ1810" s="1" t="s">
        <v>198</v>
      </c>
      <c r="AR1810" s="1" t="s">
        <v>200</v>
      </c>
      <c r="AS1810" s="1" t="s">
        <v>199</v>
      </c>
      <c r="AT1810" s="1">
        <v>5.0</v>
      </c>
      <c r="AV1810" s="1" t="s">
        <v>200</v>
      </c>
      <c r="AW1810" s="1">
        <v>12904.36</v>
      </c>
      <c r="AX1810" s="1">
        <v>2013.0</v>
      </c>
      <c r="AY1810" s="1" t="s">
        <v>1179</v>
      </c>
      <c r="AZ1810" s="1" t="s">
        <v>200</v>
      </c>
      <c r="BA1810" s="1" t="str">
        <f>"1004200011"</f>
        <v>1004200011</v>
      </c>
      <c r="BB1810" s="1" t="s">
        <v>200</v>
      </c>
      <c r="BC1810" s="1">
        <v>4270.0</v>
      </c>
      <c r="BD1810" s="1">
        <v>455000.0</v>
      </c>
      <c r="BE1810" s="2">
        <v>41898.0</v>
      </c>
      <c r="BF1810" s="2" t="s">
        <v>17645</v>
      </c>
      <c r="BH1810" s="1">
        <v>0.0</v>
      </c>
      <c r="BI1810" s="1" t="s">
        <v>4352</v>
      </c>
      <c r="BJ1810" s="1" t="s">
        <v>1636</v>
      </c>
      <c r="BK1810" s="1" t="s">
        <v>204</v>
      </c>
      <c r="BL1810" s="1" t="str">
        <f t="shared" ref="BL1810:BM1810" si="1198">""</f>
        <v/>
      </c>
      <c r="BM1810" s="1" t="str">
        <f t="shared" si="1198"/>
        <v/>
      </c>
      <c r="BQ1810" s="1">
        <v>302.0</v>
      </c>
      <c r="BR1810" s="1">
        <v>302.0</v>
      </c>
      <c r="BS1810" s="1">
        <v>302.0</v>
      </c>
      <c r="BU1810" s="1" t="s">
        <v>362</v>
      </c>
      <c r="BV1810" s="1" t="s">
        <v>206</v>
      </c>
      <c r="BW1810" s="1" t="s">
        <v>210</v>
      </c>
      <c r="BX1810" s="1" t="s">
        <v>239</v>
      </c>
      <c r="BY1810" s="1" t="s">
        <v>2219</v>
      </c>
      <c r="BZ1810" s="1" t="s">
        <v>209</v>
      </c>
      <c r="CA1810" s="1" t="s">
        <v>210</v>
      </c>
      <c r="CB1810" s="1" t="s">
        <v>239</v>
      </c>
      <c r="CC1810" s="1" t="s">
        <v>830</v>
      </c>
      <c r="CD1810" s="1" t="s">
        <v>206</v>
      </c>
      <c r="CE1810" s="1" t="s">
        <v>210</v>
      </c>
      <c r="CF1810" s="1" t="s">
        <v>239</v>
      </c>
      <c r="CG1810" s="1" t="s">
        <v>1567</v>
      </c>
      <c r="CH1810" s="1" t="s">
        <v>209</v>
      </c>
      <c r="CI1810" s="1" t="s">
        <v>210</v>
      </c>
      <c r="CJ1810" s="1" t="s">
        <v>239</v>
      </c>
      <c r="CK1810" s="1" t="s">
        <v>302</v>
      </c>
      <c r="CL1810" s="1" t="s">
        <v>209</v>
      </c>
      <c r="CM1810" s="1" t="s">
        <v>210</v>
      </c>
      <c r="CN1810" s="1" t="s">
        <v>239</v>
      </c>
      <c r="CO1810" s="1" t="s">
        <v>478</v>
      </c>
      <c r="CP1810" s="1" t="s">
        <v>209</v>
      </c>
      <c r="CQ1810" s="1" t="s">
        <v>210</v>
      </c>
      <c r="CR1810" s="1" t="s">
        <v>239</v>
      </c>
      <c r="CS1810" s="1" t="s">
        <v>17646</v>
      </c>
      <c r="CT1810" s="1" t="s">
        <v>206</v>
      </c>
      <c r="CU1810" s="1" t="s">
        <v>207</v>
      </c>
      <c r="CW1810" s="1" t="s">
        <v>17647</v>
      </c>
      <c r="CX1810" s="1" t="s">
        <v>206</v>
      </c>
      <c r="CY1810" s="1" t="s">
        <v>210</v>
      </c>
      <c r="DA1810" s="1" t="s">
        <v>200</v>
      </c>
      <c r="DC1810" s="1" t="s">
        <v>678</v>
      </c>
      <c r="DD1810" s="1" t="s">
        <v>1838</v>
      </c>
      <c r="DE1810" s="1" t="s">
        <v>273</v>
      </c>
      <c r="DF1810" s="1" t="s">
        <v>619</v>
      </c>
      <c r="DG1810" s="1" t="s">
        <v>1553</v>
      </c>
      <c r="DH1810" s="1" t="s">
        <v>856</v>
      </c>
      <c r="DI1810" s="1" t="s">
        <v>789</v>
      </c>
      <c r="DJ1810" s="1" t="s">
        <v>857</v>
      </c>
      <c r="DL1810" s="1" t="s">
        <v>223</v>
      </c>
      <c r="DM1810" s="1" t="s">
        <v>338</v>
      </c>
      <c r="DN1810" s="1" t="s">
        <v>399</v>
      </c>
      <c r="DO1810" s="1" t="s">
        <v>1208</v>
      </c>
      <c r="DP1810" s="1" t="s">
        <v>340</v>
      </c>
      <c r="DQ1810" s="1" t="s">
        <v>17648</v>
      </c>
      <c r="DR1810" s="1" t="s">
        <v>229</v>
      </c>
      <c r="DS1810" s="1" t="s">
        <v>230</v>
      </c>
      <c r="DU1810" s="1" t="s">
        <v>1355</v>
      </c>
      <c r="DV1810" s="1" t="s">
        <v>17649</v>
      </c>
      <c r="DW1810" s="1" t="s">
        <v>1026</v>
      </c>
      <c r="DX1810" s="1" t="s">
        <v>309</v>
      </c>
      <c r="DY1810" s="1" t="s">
        <v>7470</v>
      </c>
      <c r="EB1810" s="1" t="s">
        <v>492</v>
      </c>
      <c r="EC1810" s="1" t="s">
        <v>237</v>
      </c>
      <c r="ED1810" s="1" t="s">
        <v>407</v>
      </c>
      <c r="EG1810" s="1" t="s">
        <v>494</v>
      </c>
      <c r="EH1810" s="1" t="s">
        <v>341</v>
      </c>
      <c r="EI1810" s="1" t="s">
        <v>408</v>
      </c>
      <c r="EJ1810" s="1" t="s">
        <v>2129</v>
      </c>
      <c r="EL1810" s="1" t="s">
        <v>1395</v>
      </c>
      <c r="EM1810" s="1" t="s">
        <v>206</v>
      </c>
      <c r="EN1810" s="1" t="s">
        <v>210</v>
      </c>
      <c r="EO1810" s="1" t="s">
        <v>239</v>
      </c>
      <c r="EP1810" s="1" t="s">
        <v>3663</v>
      </c>
      <c r="EQ1810" s="1" t="s">
        <v>209</v>
      </c>
      <c r="ER1810" s="1" t="s">
        <v>210</v>
      </c>
      <c r="ET1810" s="1" t="s">
        <v>215</v>
      </c>
      <c r="EU1810" s="1" t="s">
        <v>206</v>
      </c>
      <c r="EV1810" s="1" t="s">
        <v>207</v>
      </c>
      <c r="EX1810" s="1" t="s">
        <v>4919</v>
      </c>
      <c r="EY1810" s="1" t="s">
        <v>206</v>
      </c>
      <c r="EZ1810" s="1" t="s">
        <v>588</v>
      </c>
      <c r="FC1810" s="1" t="s">
        <v>238</v>
      </c>
      <c r="FF1810" s="1" t="s">
        <v>239</v>
      </c>
      <c r="FG1810" s="1" t="s">
        <v>192</v>
      </c>
      <c r="FH1810" s="1" t="s">
        <v>192</v>
      </c>
      <c r="FJ1810" s="1" t="s">
        <v>624</v>
      </c>
      <c r="FK1810" s="1" t="s">
        <v>229</v>
      </c>
      <c r="FL1810" s="1" t="s">
        <v>456</v>
      </c>
      <c r="FM1810" s="1">
        <v>49.0</v>
      </c>
      <c r="FN1810" s="1" t="s">
        <v>457</v>
      </c>
      <c r="FO1810" s="1" t="s">
        <v>17650</v>
      </c>
      <c r="FP1810" s="1">
        <v>1038.0</v>
      </c>
      <c r="FQ1810" s="1" t="s">
        <v>17651</v>
      </c>
      <c r="FS1810" s="1" t="s">
        <v>17652</v>
      </c>
      <c r="FU1810" s="1" t="s">
        <v>13396</v>
      </c>
      <c r="FV1810" s="1" t="s">
        <v>200</v>
      </c>
      <c r="FW1810" s="1" t="s">
        <v>631</v>
      </c>
      <c r="FZ1810" s="1" t="s">
        <v>229</v>
      </c>
      <c r="GA1810" s="1" t="s">
        <v>291</v>
      </c>
      <c r="GB1810" s="2">
        <v>42048.0</v>
      </c>
      <c r="GC1810" s="1" t="s">
        <v>17653</v>
      </c>
    </row>
    <row r="1811">
      <c r="A1811" s="1">
        <v>220000.0</v>
      </c>
      <c r="B1811" s="1" t="s">
        <v>185</v>
      </c>
      <c r="C1811" s="1" t="str">
        <f>"08700759"</f>
        <v>08700759</v>
      </c>
      <c r="D1811" s="1" t="s">
        <v>186</v>
      </c>
      <c r="F1811" s="1" t="str">
        <f>"123"</f>
        <v>123</v>
      </c>
      <c r="G1811" s="2">
        <v>41864.0</v>
      </c>
      <c r="H1811" s="1">
        <v>249900.0</v>
      </c>
      <c r="I1811" s="1">
        <v>118.0</v>
      </c>
      <c r="J1811" s="1">
        <v>239900.0</v>
      </c>
      <c r="K1811" s="2">
        <v>41980.0</v>
      </c>
      <c r="L1811" s="1">
        <v>118.0</v>
      </c>
      <c r="M1811" s="2">
        <v>41980.0</v>
      </c>
      <c r="N1811" s="1" t="s">
        <v>187</v>
      </c>
      <c r="O1811" s="2">
        <v>42020.0</v>
      </c>
      <c r="P1811" s="1">
        <v>219453.0</v>
      </c>
      <c r="Q1811" s="1">
        <v>22739.0</v>
      </c>
      <c r="S1811" s="1">
        <v>605.0</v>
      </c>
      <c r="T1811" s="1" t="s">
        <v>6379</v>
      </c>
      <c r="U1811" s="1" t="s">
        <v>17654</v>
      </c>
      <c r="V1811" s="1" t="s">
        <v>465</v>
      </c>
      <c r="W1811" s="1">
        <v>60123.0</v>
      </c>
      <c r="Y1811" s="1" t="s">
        <v>17655</v>
      </c>
      <c r="Z1811" s="1">
        <v>1988.0</v>
      </c>
      <c r="AA1811" s="1" t="s">
        <v>200</v>
      </c>
      <c r="AB1811" s="1" t="s">
        <v>193</v>
      </c>
      <c r="AC1811" s="1" t="s">
        <v>17656</v>
      </c>
      <c r="AD1811" s="1" t="s">
        <v>469</v>
      </c>
      <c r="AE1811" s="1" t="s">
        <v>325</v>
      </c>
      <c r="AF1811" s="1" t="s">
        <v>469</v>
      </c>
      <c r="AH1811" s="1" t="s">
        <v>17657</v>
      </c>
      <c r="AK1811" s="1">
        <v>10.0</v>
      </c>
      <c r="AL1811" s="1">
        <v>4.0</v>
      </c>
      <c r="AM1811" s="1">
        <v>2.0</v>
      </c>
      <c r="AN1811" s="1">
        <v>1.0</v>
      </c>
      <c r="AO1811" s="1" t="s">
        <v>198</v>
      </c>
      <c r="AP1811" s="1">
        <v>1.0</v>
      </c>
      <c r="AQ1811" s="1" t="s">
        <v>198</v>
      </c>
      <c r="AR1811" s="1" t="s">
        <v>200</v>
      </c>
      <c r="AS1811" s="1" t="s">
        <v>199</v>
      </c>
      <c r="AT1811" s="1">
        <v>2.0</v>
      </c>
      <c r="AV1811" s="1" t="s">
        <v>200</v>
      </c>
      <c r="AW1811" s="1">
        <v>7758.34</v>
      </c>
      <c r="AX1811" s="1">
        <v>2013.0</v>
      </c>
      <c r="AY1811" s="1" t="s">
        <v>229</v>
      </c>
      <c r="AZ1811" s="1" t="s">
        <v>200</v>
      </c>
      <c r="BA1811" s="1" t="str">
        <f>"0602376086"</f>
        <v>0602376086</v>
      </c>
      <c r="BC1811" s="1">
        <v>2131.0</v>
      </c>
      <c r="BD1811" s="1">
        <v>220000.0</v>
      </c>
      <c r="BE1811" s="2">
        <v>41863.0</v>
      </c>
      <c r="BF1811" s="2" t="s">
        <v>17658</v>
      </c>
      <c r="BH1811" s="1">
        <v>0.0</v>
      </c>
      <c r="BK1811" s="1" t="s">
        <v>204</v>
      </c>
      <c r="BL1811" s="1" t="str">
        <f>"13"</f>
        <v>13</v>
      </c>
      <c r="BM1811" s="1" t="str">
        <f>""</f>
        <v/>
      </c>
      <c r="BN1811" s="1">
        <v>34.0</v>
      </c>
      <c r="BQ1811" s="1">
        <v>46.0</v>
      </c>
      <c r="BR1811" s="1">
        <v>46.0</v>
      </c>
      <c r="BS1811" s="1">
        <v>46.0</v>
      </c>
      <c r="BU1811" s="1" t="s">
        <v>1426</v>
      </c>
      <c r="BV1811" s="1" t="s">
        <v>206</v>
      </c>
      <c r="BW1811" s="1" t="s">
        <v>207</v>
      </c>
      <c r="BY1811" s="1" t="s">
        <v>333</v>
      </c>
      <c r="BZ1811" s="1" t="s">
        <v>209</v>
      </c>
      <c r="CA1811" s="1" t="s">
        <v>207</v>
      </c>
      <c r="CC1811" s="1" t="s">
        <v>495</v>
      </c>
      <c r="CD1811" s="1" t="s">
        <v>206</v>
      </c>
      <c r="CE1811" s="1" t="s">
        <v>207</v>
      </c>
      <c r="CG1811" s="1" t="s">
        <v>332</v>
      </c>
      <c r="CH1811" s="1" t="s">
        <v>209</v>
      </c>
      <c r="CI1811" s="1" t="s">
        <v>210</v>
      </c>
      <c r="CK1811" s="1" t="s">
        <v>262</v>
      </c>
      <c r="CL1811" s="1" t="s">
        <v>209</v>
      </c>
      <c r="CM1811" s="1" t="s">
        <v>210</v>
      </c>
      <c r="CO1811" s="1" t="s">
        <v>363</v>
      </c>
      <c r="CP1811" s="1" t="s">
        <v>209</v>
      </c>
      <c r="CQ1811" s="1" t="s">
        <v>210</v>
      </c>
      <c r="CS1811" s="1" t="s">
        <v>212</v>
      </c>
      <c r="CT1811" s="1" t="s">
        <v>206</v>
      </c>
      <c r="CU1811" s="1" t="s">
        <v>268</v>
      </c>
      <c r="CW1811" s="1" t="s">
        <v>433</v>
      </c>
      <c r="CX1811" s="1" t="s">
        <v>206</v>
      </c>
      <c r="CY1811" s="1" t="s">
        <v>207</v>
      </c>
      <c r="DA1811" s="1" t="s">
        <v>200</v>
      </c>
      <c r="DC1811" s="1" t="s">
        <v>305</v>
      </c>
      <c r="DD1811" s="1" t="s">
        <v>306</v>
      </c>
      <c r="DE1811" s="1" t="s">
        <v>273</v>
      </c>
      <c r="DF1811" s="1" t="s">
        <v>219</v>
      </c>
      <c r="DG1811" s="1" t="s">
        <v>1553</v>
      </c>
      <c r="DH1811" s="1" t="s">
        <v>220</v>
      </c>
      <c r="DI1811" s="1" t="s">
        <v>221</v>
      </c>
      <c r="DJ1811" s="1" t="s">
        <v>222</v>
      </c>
      <c r="DL1811" s="1" t="s">
        <v>858</v>
      </c>
      <c r="DM1811" s="1" t="s">
        <v>229</v>
      </c>
      <c r="DN1811" s="1" t="s">
        <v>548</v>
      </c>
      <c r="DO1811" s="1" t="s">
        <v>17659</v>
      </c>
      <c r="DP1811" s="1" t="s">
        <v>340</v>
      </c>
      <c r="DQ1811" s="1" t="s">
        <v>441</v>
      </c>
      <c r="DR1811" s="1" t="s">
        <v>229</v>
      </c>
      <c r="DV1811" s="1" t="s">
        <v>2692</v>
      </c>
      <c r="DW1811" s="1" t="s">
        <v>370</v>
      </c>
      <c r="DX1811" s="1" t="s">
        <v>234</v>
      </c>
      <c r="DY1811" s="1" t="s">
        <v>704</v>
      </c>
      <c r="DZ1811" s="1" t="s">
        <v>236</v>
      </c>
      <c r="EA1811" s="1" t="s">
        <v>447</v>
      </c>
      <c r="EB1811" s="1" t="s">
        <v>597</v>
      </c>
      <c r="EC1811" s="1" t="s">
        <v>237</v>
      </c>
      <c r="ED1811" s="1" t="s">
        <v>407</v>
      </c>
      <c r="EG1811" s="1" t="s">
        <v>598</v>
      </c>
      <c r="EH1811" s="1" t="s">
        <v>450</v>
      </c>
      <c r="EL1811" s="1" t="s">
        <v>4205</v>
      </c>
      <c r="EM1811" s="1" t="s">
        <v>267</v>
      </c>
      <c r="EN1811" s="1" t="s">
        <v>301</v>
      </c>
      <c r="EP1811" s="1" t="s">
        <v>17660</v>
      </c>
      <c r="EQ1811" s="1" t="s">
        <v>267</v>
      </c>
      <c r="ER1811" s="1" t="s">
        <v>301</v>
      </c>
      <c r="EU1811" s="1" t="s">
        <v>238</v>
      </c>
      <c r="EY1811" s="1" t="s">
        <v>238</v>
      </c>
      <c r="FC1811" s="1" t="s">
        <v>238</v>
      </c>
      <c r="FF1811" s="1" t="s">
        <v>239</v>
      </c>
      <c r="FG1811" s="1" t="s">
        <v>192</v>
      </c>
      <c r="FH1811" s="1" t="s">
        <v>192</v>
      </c>
      <c r="FJ1811" s="1" t="s">
        <v>2133</v>
      </c>
      <c r="FK1811" s="1" t="s">
        <v>229</v>
      </c>
      <c r="FL1811" s="1" t="s">
        <v>1212</v>
      </c>
      <c r="FM1811" s="1">
        <v>30.0</v>
      </c>
      <c r="FN1811" s="1" t="s">
        <v>1213</v>
      </c>
      <c r="FO1811" s="1" t="s">
        <v>8470</v>
      </c>
      <c r="FP1811" s="1">
        <v>497.0</v>
      </c>
      <c r="FQ1811" s="1" t="s">
        <v>8471</v>
      </c>
      <c r="FR1811" s="1">
        <v>8177.0</v>
      </c>
      <c r="FS1811" s="1">
        <v>8177.0</v>
      </c>
      <c r="FU1811" s="1" t="s">
        <v>8472</v>
      </c>
      <c r="FV1811" s="1" t="s">
        <v>200</v>
      </c>
      <c r="FW1811" s="1" t="s">
        <v>290</v>
      </c>
      <c r="FZ1811" s="1" t="s">
        <v>229</v>
      </c>
      <c r="GA1811" s="1" t="s">
        <v>291</v>
      </c>
      <c r="GB1811" s="2">
        <v>42020.0</v>
      </c>
    </row>
    <row r="1812">
      <c r="A1812" s="1">
        <v>295000.0</v>
      </c>
      <c r="B1812" s="1" t="s">
        <v>185</v>
      </c>
      <c r="C1812" s="1" t="str">
        <f>"08700846"</f>
        <v>08700846</v>
      </c>
      <c r="D1812" s="1" t="s">
        <v>186</v>
      </c>
      <c r="F1812" s="1" t="str">
        <f>"542"</f>
        <v>542</v>
      </c>
      <c r="G1812" s="2">
        <v>41864.0</v>
      </c>
      <c r="H1812" s="1">
        <v>398000.0</v>
      </c>
      <c r="I1812" s="1">
        <v>189.0</v>
      </c>
      <c r="J1812" s="1">
        <v>294900.0</v>
      </c>
      <c r="K1812" s="2">
        <v>42051.0</v>
      </c>
      <c r="L1812" s="1">
        <v>189.0</v>
      </c>
      <c r="M1812" s="2">
        <v>42051.0</v>
      </c>
      <c r="N1812" s="1" t="s">
        <v>187</v>
      </c>
      <c r="O1812" s="2">
        <v>42109.0</v>
      </c>
      <c r="P1812" s="1">
        <v>212209.0</v>
      </c>
      <c r="Q1812" s="1">
        <v>24002.0</v>
      </c>
      <c r="S1812" s="1">
        <v>398.0</v>
      </c>
      <c r="T1812" s="1" t="s">
        <v>17661</v>
      </c>
      <c r="U1812" s="1" t="s">
        <v>569</v>
      </c>
      <c r="V1812" s="1" t="s">
        <v>3984</v>
      </c>
      <c r="W1812" s="1">
        <v>60542.0</v>
      </c>
      <c r="Y1812" s="1" t="s">
        <v>17662</v>
      </c>
      <c r="Z1812" s="1">
        <v>2005.0</v>
      </c>
      <c r="AA1812" s="1" t="s">
        <v>200</v>
      </c>
      <c r="AB1812" s="1" t="s">
        <v>467</v>
      </c>
      <c r="AD1812" s="1" t="s">
        <v>3986</v>
      </c>
      <c r="AE1812" s="1" t="s">
        <v>325</v>
      </c>
      <c r="AF1812" s="1" t="s">
        <v>2702</v>
      </c>
      <c r="AH1812" s="1" t="s">
        <v>17663</v>
      </c>
      <c r="AI1812" s="1">
        <v>0.3412</v>
      </c>
      <c r="AK1812" s="1">
        <v>10.0</v>
      </c>
      <c r="AL1812" s="1">
        <v>4.0</v>
      </c>
      <c r="AM1812" s="1">
        <v>2.0</v>
      </c>
      <c r="AN1812" s="1">
        <v>1.0</v>
      </c>
      <c r="AO1812" s="1" t="s">
        <v>198</v>
      </c>
      <c r="AP1812" s="1">
        <v>1.0</v>
      </c>
      <c r="AQ1812" s="1" t="s">
        <v>198</v>
      </c>
      <c r="AR1812" s="1" t="s">
        <v>200</v>
      </c>
      <c r="AS1812" s="1" t="s">
        <v>199</v>
      </c>
      <c r="AT1812" s="1">
        <v>3.0</v>
      </c>
      <c r="AV1812" s="1" t="s">
        <v>200</v>
      </c>
      <c r="AW1812" s="1">
        <v>11420.16</v>
      </c>
      <c r="AX1812" s="1">
        <v>2013.0</v>
      </c>
      <c r="AZ1812" s="1" t="s">
        <v>200</v>
      </c>
      <c r="BA1812" s="1" t="str">
        <f>"1233332023"</f>
        <v>1233332023</v>
      </c>
      <c r="BC1812" s="1">
        <v>4016.0</v>
      </c>
      <c r="BD1812" s="1">
        <v>295000.0</v>
      </c>
      <c r="BE1812" s="2">
        <v>41863.0</v>
      </c>
      <c r="BF1812" s="2" t="s">
        <v>17664</v>
      </c>
      <c r="BH1812" s="1">
        <v>200.0</v>
      </c>
      <c r="BK1812" s="1" t="s">
        <v>580</v>
      </c>
      <c r="BL1812" s="1" t="str">
        <f t="shared" ref="BL1812:BM1812" si="1199">""</f>
        <v/>
      </c>
      <c r="BM1812" s="1" t="str">
        <f t="shared" si="1199"/>
        <v/>
      </c>
      <c r="BQ1812" s="1">
        <v>129.0</v>
      </c>
      <c r="BR1812" s="1">
        <v>129.0</v>
      </c>
      <c r="BS1812" s="1">
        <v>129.0</v>
      </c>
      <c r="BU1812" s="1" t="s">
        <v>361</v>
      </c>
      <c r="BV1812" s="1" t="s">
        <v>206</v>
      </c>
      <c r="BW1812" s="1" t="s">
        <v>210</v>
      </c>
      <c r="BY1812" s="1" t="s">
        <v>330</v>
      </c>
      <c r="BZ1812" s="1" t="s">
        <v>209</v>
      </c>
      <c r="CA1812" s="1" t="s">
        <v>210</v>
      </c>
      <c r="CC1812" s="1" t="s">
        <v>393</v>
      </c>
      <c r="CD1812" s="1" t="s">
        <v>206</v>
      </c>
      <c r="CE1812" s="1" t="s">
        <v>210</v>
      </c>
      <c r="CG1812" s="1" t="s">
        <v>1534</v>
      </c>
      <c r="CH1812" s="1" t="s">
        <v>209</v>
      </c>
      <c r="CI1812" s="1" t="s">
        <v>210</v>
      </c>
      <c r="CK1812" s="1" t="s">
        <v>215</v>
      </c>
      <c r="CL1812" s="1" t="s">
        <v>209</v>
      </c>
      <c r="CM1812" s="1" t="s">
        <v>210</v>
      </c>
      <c r="CO1812" s="1" t="s">
        <v>433</v>
      </c>
      <c r="CP1812" s="1" t="s">
        <v>209</v>
      </c>
      <c r="CQ1812" s="1" t="s">
        <v>210</v>
      </c>
      <c r="CS1812" s="1" t="s">
        <v>211</v>
      </c>
      <c r="CT1812" s="1" t="s">
        <v>206</v>
      </c>
      <c r="CU1812" s="1" t="s">
        <v>207</v>
      </c>
      <c r="CW1812" s="1" t="s">
        <v>1206</v>
      </c>
      <c r="CX1812" s="1" t="s">
        <v>206</v>
      </c>
      <c r="CY1812" s="1" t="s">
        <v>210</v>
      </c>
      <c r="DA1812" s="1" t="s">
        <v>200</v>
      </c>
      <c r="DC1812" s="1" t="s">
        <v>481</v>
      </c>
      <c r="DD1812" s="1" t="s">
        <v>731</v>
      </c>
      <c r="DE1812" s="1" t="s">
        <v>273</v>
      </c>
      <c r="DF1812" s="1" t="s">
        <v>219</v>
      </c>
      <c r="DG1812" s="1" t="s">
        <v>5528</v>
      </c>
      <c r="DH1812" s="1" t="s">
        <v>220</v>
      </c>
      <c r="DJ1812" s="1" t="s">
        <v>222</v>
      </c>
      <c r="DL1812" s="1" t="s">
        <v>223</v>
      </c>
      <c r="DM1812" s="1" t="s">
        <v>1268</v>
      </c>
      <c r="DN1812" s="1" t="s">
        <v>399</v>
      </c>
      <c r="DP1812" s="1" t="s">
        <v>340</v>
      </c>
      <c r="DQ1812" s="1" t="s">
        <v>441</v>
      </c>
      <c r="DR1812" s="1" t="s">
        <v>1487</v>
      </c>
      <c r="DV1812" s="1" t="s">
        <v>17665</v>
      </c>
      <c r="DW1812" s="1" t="s">
        <v>1026</v>
      </c>
      <c r="DX1812" s="1" t="s">
        <v>234</v>
      </c>
      <c r="DY1812" s="1" t="s">
        <v>1559</v>
      </c>
      <c r="DZ1812" s="1" t="s">
        <v>282</v>
      </c>
      <c r="EB1812" s="1" t="s">
        <v>345</v>
      </c>
      <c r="EC1812" s="1" t="s">
        <v>237</v>
      </c>
      <c r="EG1812" s="1" t="s">
        <v>449</v>
      </c>
      <c r="EH1812" s="1" t="s">
        <v>598</v>
      </c>
      <c r="EJ1812" s="1" t="s">
        <v>409</v>
      </c>
      <c r="EL1812" s="1" t="s">
        <v>758</v>
      </c>
      <c r="EM1812" s="1" t="s">
        <v>206</v>
      </c>
      <c r="EN1812" s="1" t="s">
        <v>207</v>
      </c>
      <c r="EP1812" s="1" t="s">
        <v>331</v>
      </c>
      <c r="EQ1812" s="1" t="s">
        <v>206</v>
      </c>
      <c r="ER1812" s="1" t="s">
        <v>210</v>
      </c>
      <c r="EU1812" s="1" t="s">
        <v>238</v>
      </c>
      <c r="EX1812" s="1" t="s">
        <v>1137</v>
      </c>
      <c r="EY1812" s="1" t="s">
        <v>209</v>
      </c>
      <c r="EZ1812" s="1" t="s">
        <v>210</v>
      </c>
      <c r="FC1812" s="1" t="s">
        <v>238</v>
      </c>
      <c r="FF1812" s="1" t="s">
        <v>239</v>
      </c>
      <c r="FG1812" s="1" t="s">
        <v>192</v>
      </c>
      <c r="FH1812" s="1" t="s">
        <v>192</v>
      </c>
      <c r="FJ1812" s="1" t="s">
        <v>1248</v>
      </c>
      <c r="FK1812" s="1" t="s">
        <v>229</v>
      </c>
      <c r="FL1812" s="1" t="s">
        <v>2184</v>
      </c>
      <c r="FM1812" s="1">
        <v>605.0</v>
      </c>
      <c r="FN1812" s="1" t="s">
        <v>2185</v>
      </c>
      <c r="FO1812" s="1" t="s">
        <v>1738</v>
      </c>
      <c r="FP1812" s="1">
        <v>170.0</v>
      </c>
      <c r="FQ1812" s="1" t="s">
        <v>2185</v>
      </c>
      <c r="FS1812" s="1" t="s">
        <v>3468</v>
      </c>
      <c r="FU1812" s="1" t="s">
        <v>17666</v>
      </c>
      <c r="FV1812" s="1" t="s">
        <v>200</v>
      </c>
      <c r="FW1812" s="1" t="s">
        <v>354</v>
      </c>
      <c r="FZ1812" s="1" t="s">
        <v>229</v>
      </c>
      <c r="GA1812" s="1" t="s">
        <v>291</v>
      </c>
      <c r="GB1812" s="2">
        <v>42109.0</v>
      </c>
      <c r="GC1812" s="1" t="s">
        <v>17667</v>
      </c>
    </row>
    <row r="1813">
      <c r="A1813" s="1">
        <v>181500.0</v>
      </c>
      <c r="B1813" s="1" t="s">
        <v>185</v>
      </c>
      <c r="C1813" s="1" t="str">
        <f>"08705255"</f>
        <v>08705255</v>
      </c>
      <c r="D1813" s="1" t="s">
        <v>186</v>
      </c>
      <c r="F1813" s="1" t="str">
        <f>"103"</f>
        <v>103</v>
      </c>
      <c r="G1813" s="2">
        <v>41870.0</v>
      </c>
      <c r="H1813" s="1">
        <v>219900.0</v>
      </c>
      <c r="I1813" s="1">
        <v>129.0</v>
      </c>
      <c r="J1813" s="1">
        <v>184900.0</v>
      </c>
      <c r="K1813" s="2">
        <v>41997.0</v>
      </c>
      <c r="L1813" s="1">
        <v>129.0</v>
      </c>
      <c r="M1813" s="2">
        <v>41997.0</v>
      </c>
      <c r="N1813" s="1" t="s">
        <v>187</v>
      </c>
      <c r="O1813" s="2">
        <v>42034.0</v>
      </c>
      <c r="P1813" s="1">
        <v>606787.0</v>
      </c>
      <c r="Q1813" s="1">
        <v>60945.0</v>
      </c>
      <c r="S1813" s="1">
        <v>8237.0</v>
      </c>
      <c r="T1813" s="1" t="s">
        <v>17668</v>
      </c>
      <c r="U1813" s="1" t="s">
        <v>569</v>
      </c>
      <c r="V1813" s="1" t="s">
        <v>251</v>
      </c>
      <c r="W1813" s="1">
        <v>60133.0</v>
      </c>
      <c r="Y1813" s="1" t="s">
        <v>17669</v>
      </c>
      <c r="Z1813" s="1">
        <v>1972.0</v>
      </c>
      <c r="AA1813" s="1" t="s">
        <v>192</v>
      </c>
      <c r="AB1813" s="1" t="s">
        <v>193</v>
      </c>
      <c r="AC1813" s="1" t="s">
        <v>3214</v>
      </c>
      <c r="AD1813" s="1" t="s">
        <v>254</v>
      </c>
      <c r="AE1813" s="1" t="s">
        <v>195</v>
      </c>
      <c r="AF1813" s="1" t="s">
        <v>255</v>
      </c>
      <c r="AH1813" s="1" t="s">
        <v>17670</v>
      </c>
      <c r="AK1813" s="1">
        <v>9.0</v>
      </c>
      <c r="AL1813" s="1">
        <v>4.0</v>
      </c>
      <c r="AM1813" s="1">
        <v>2.0</v>
      </c>
      <c r="AN1813" s="1">
        <v>1.0</v>
      </c>
      <c r="AO1813" s="1" t="s">
        <v>198</v>
      </c>
      <c r="AQ1813" s="1" t="s">
        <v>229</v>
      </c>
      <c r="AR1813" s="1" t="s">
        <v>200</v>
      </c>
      <c r="AS1813" s="1" t="s">
        <v>199</v>
      </c>
      <c r="AT1813" s="1">
        <v>2.0</v>
      </c>
      <c r="AV1813" s="1" t="s">
        <v>192</v>
      </c>
      <c r="AW1813" s="1">
        <v>6465.0</v>
      </c>
      <c r="AX1813" s="1">
        <v>2012.0</v>
      </c>
      <c r="AY1813" s="1" t="s">
        <v>229</v>
      </c>
      <c r="AZ1813" s="1" t="s">
        <v>200</v>
      </c>
      <c r="BA1813" s="1" t="str">
        <f>"07301120350000"</f>
        <v>07301120350000</v>
      </c>
      <c r="BB1813" s="1" t="s">
        <v>192</v>
      </c>
      <c r="BC1813" s="1">
        <v>1852.0</v>
      </c>
      <c r="BD1813" s="1">
        <v>181500.0</v>
      </c>
      <c r="BE1813" s="2">
        <v>41869.0</v>
      </c>
      <c r="BF1813" s="1" t="s">
        <v>17671</v>
      </c>
      <c r="BG1813" s="1" t="s">
        <v>8446</v>
      </c>
      <c r="BH1813" s="1">
        <v>0.0</v>
      </c>
      <c r="BI1813" s="1" t="s">
        <v>8447</v>
      </c>
      <c r="BJ1813" s="1" t="s">
        <v>8448</v>
      </c>
      <c r="BK1813" s="1" t="s">
        <v>204</v>
      </c>
      <c r="BL1813" s="1" t="str">
        <f>"9"</f>
        <v>9</v>
      </c>
      <c r="BM1813" s="1" t="str">
        <f t="shared" ref="BM1813:BM1814" si="1200">"0"</f>
        <v>0</v>
      </c>
      <c r="BN1813" s="1">
        <v>26.0</v>
      </c>
      <c r="BO1813" s="1">
        <v>0.0</v>
      </c>
      <c r="BQ1813" s="1">
        <v>54.0</v>
      </c>
      <c r="BR1813" s="1">
        <v>211.0</v>
      </c>
      <c r="BS1813" s="1">
        <v>54.0</v>
      </c>
      <c r="BU1813" s="1" t="s">
        <v>541</v>
      </c>
      <c r="BV1813" s="1" t="s">
        <v>206</v>
      </c>
      <c r="BW1813" s="1" t="s">
        <v>210</v>
      </c>
      <c r="BY1813" s="1" t="s">
        <v>332</v>
      </c>
      <c r="BZ1813" s="1" t="s">
        <v>209</v>
      </c>
      <c r="CA1813" s="1" t="s">
        <v>617</v>
      </c>
      <c r="CC1813" s="1" t="s">
        <v>363</v>
      </c>
      <c r="CD1813" s="1" t="s">
        <v>206</v>
      </c>
      <c r="CE1813" s="1" t="s">
        <v>207</v>
      </c>
      <c r="CF1813" s="1" t="s">
        <v>229</v>
      </c>
      <c r="CG1813" s="1" t="s">
        <v>269</v>
      </c>
      <c r="CH1813" s="1" t="s">
        <v>209</v>
      </c>
      <c r="CI1813" s="1" t="s">
        <v>617</v>
      </c>
      <c r="CK1813" s="1" t="s">
        <v>269</v>
      </c>
      <c r="CL1813" s="1" t="s">
        <v>209</v>
      </c>
      <c r="CM1813" s="1" t="s">
        <v>617</v>
      </c>
      <c r="CO1813" s="1" t="s">
        <v>516</v>
      </c>
      <c r="CP1813" s="1" t="s">
        <v>209</v>
      </c>
      <c r="CQ1813" s="1" t="s">
        <v>617</v>
      </c>
      <c r="CS1813" s="1" t="s">
        <v>300</v>
      </c>
      <c r="CT1813" s="1" t="s">
        <v>206</v>
      </c>
      <c r="CU1813" s="1" t="s">
        <v>207</v>
      </c>
      <c r="CV1813" s="1" t="s">
        <v>229</v>
      </c>
      <c r="CW1813" s="1" t="s">
        <v>6591</v>
      </c>
      <c r="CX1813" s="1" t="s">
        <v>206</v>
      </c>
      <c r="CY1813" s="1" t="s">
        <v>210</v>
      </c>
      <c r="DA1813" s="1" t="s">
        <v>200</v>
      </c>
      <c r="DC1813" s="1" t="s">
        <v>517</v>
      </c>
      <c r="DE1813" s="1" t="s">
        <v>273</v>
      </c>
      <c r="DF1813" s="1" t="s">
        <v>219</v>
      </c>
      <c r="DH1813" s="1" t="s">
        <v>365</v>
      </c>
      <c r="DJ1813" s="1" t="s">
        <v>222</v>
      </c>
      <c r="DL1813" s="1" t="s">
        <v>229</v>
      </c>
      <c r="DM1813" s="1" t="s">
        <v>229</v>
      </c>
      <c r="DQ1813" s="1" t="s">
        <v>441</v>
      </c>
      <c r="DR1813" s="1" t="s">
        <v>229</v>
      </c>
      <c r="DU1813" s="1" t="s">
        <v>12035</v>
      </c>
      <c r="DV1813" s="1" t="s">
        <v>494</v>
      </c>
      <c r="DW1813" s="1" t="s">
        <v>279</v>
      </c>
      <c r="DX1813" s="1" t="s">
        <v>234</v>
      </c>
      <c r="EC1813" s="1" t="s">
        <v>237</v>
      </c>
      <c r="EG1813" s="1" t="s">
        <v>494</v>
      </c>
      <c r="EL1813" s="1" t="s">
        <v>1688</v>
      </c>
      <c r="EM1813" s="1" t="s">
        <v>206</v>
      </c>
      <c r="EN1813" s="1" t="s">
        <v>617</v>
      </c>
      <c r="EO1813" s="1" t="s">
        <v>229</v>
      </c>
      <c r="EQ1813" s="1" t="s">
        <v>238</v>
      </c>
      <c r="EU1813" s="1" t="s">
        <v>238</v>
      </c>
      <c r="EY1813" s="1" t="s">
        <v>238</v>
      </c>
      <c r="FC1813" s="1" t="s">
        <v>238</v>
      </c>
      <c r="FF1813" s="1" t="s">
        <v>239</v>
      </c>
      <c r="FG1813" s="1" t="s">
        <v>192</v>
      </c>
      <c r="FH1813" s="1" t="s">
        <v>192</v>
      </c>
      <c r="FJ1813" s="1" t="s">
        <v>4863</v>
      </c>
      <c r="FK1813" s="1" t="s">
        <v>229</v>
      </c>
      <c r="FL1813" s="1" t="s">
        <v>2263</v>
      </c>
      <c r="FM1813" s="1">
        <v>8094.0</v>
      </c>
      <c r="FN1813" s="1" t="s">
        <v>2264</v>
      </c>
      <c r="FO1813" s="1" t="s">
        <v>4111</v>
      </c>
      <c r="FP1813" s="1">
        <v>28736.0</v>
      </c>
      <c r="FQ1813" s="1" t="s">
        <v>4112</v>
      </c>
      <c r="FU1813" s="1" t="s">
        <v>17672</v>
      </c>
      <c r="FV1813" s="1" t="s">
        <v>200</v>
      </c>
      <c r="FW1813" s="1" t="s">
        <v>1307</v>
      </c>
      <c r="FZ1813" s="1" t="s">
        <v>229</v>
      </c>
      <c r="GA1813" s="1" t="s">
        <v>291</v>
      </c>
      <c r="GB1813" s="2">
        <v>42034.0</v>
      </c>
      <c r="GC1813" s="1" t="s">
        <v>10386</v>
      </c>
    </row>
    <row r="1814">
      <c r="A1814" s="1">
        <v>250000.0</v>
      </c>
      <c r="B1814" s="1" t="s">
        <v>185</v>
      </c>
      <c r="C1814" s="1" t="str">
        <f>"08710336"</f>
        <v>08710336</v>
      </c>
      <c r="D1814" s="1" t="s">
        <v>186</v>
      </c>
      <c r="F1814" s="1" t="str">
        <f>"136"</f>
        <v>136</v>
      </c>
      <c r="G1814" s="2">
        <v>41876.0</v>
      </c>
      <c r="H1814" s="1">
        <v>269900.0</v>
      </c>
      <c r="I1814" s="1">
        <v>153.0</v>
      </c>
      <c r="J1814" s="1">
        <v>259900.0</v>
      </c>
      <c r="K1814" s="2">
        <v>42028.0</v>
      </c>
      <c r="L1814" s="1">
        <v>153.0</v>
      </c>
      <c r="M1814" s="2">
        <v>42028.0</v>
      </c>
      <c r="N1814" s="1" t="s">
        <v>634</v>
      </c>
      <c r="O1814" s="2">
        <v>42084.0</v>
      </c>
      <c r="P1814" s="1">
        <v>222134.0</v>
      </c>
      <c r="Q1814" s="1">
        <v>24383.0</v>
      </c>
      <c r="R1814" s="1">
        <v>3000.0</v>
      </c>
      <c r="S1814" s="1">
        <v>74.0</v>
      </c>
      <c r="T1814" s="1" t="s">
        <v>17673</v>
      </c>
      <c r="U1814" s="1" t="s">
        <v>1174</v>
      </c>
      <c r="V1814" s="1" t="s">
        <v>5032</v>
      </c>
      <c r="W1814" s="1">
        <v>60136.0</v>
      </c>
      <c r="Y1814" s="1" t="s">
        <v>17674</v>
      </c>
      <c r="Z1814" s="1">
        <v>2002.0</v>
      </c>
      <c r="AA1814" s="1" t="s">
        <v>200</v>
      </c>
      <c r="AB1814" s="1" t="s">
        <v>193</v>
      </c>
      <c r="AC1814" s="1" t="s">
        <v>7742</v>
      </c>
      <c r="AD1814" s="1" t="s">
        <v>5035</v>
      </c>
      <c r="AE1814" s="1" t="s">
        <v>325</v>
      </c>
      <c r="AF1814" s="1" t="s">
        <v>3429</v>
      </c>
      <c r="AG1814" s="1" t="s">
        <v>17675</v>
      </c>
      <c r="AH1814" s="1" t="s">
        <v>17676</v>
      </c>
      <c r="AK1814" s="1">
        <v>11.0</v>
      </c>
      <c r="AL1814" s="1">
        <v>4.0</v>
      </c>
      <c r="AM1814" s="1">
        <v>2.0</v>
      </c>
      <c r="AN1814" s="1">
        <v>1.0</v>
      </c>
      <c r="AO1814" s="1" t="s">
        <v>198</v>
      </c>
      <c r="AQ1814" s="1" t="s">
        <v>198</v>
      </c>
      <c r="AR1814" s="1" t="s">
        <v>200</v>
      </c>
      <c r="AS1814" s="1" t="s">
        <v>199</v>
      </c>
      <c r="AT1814" s="1">
        <v>2.0</v>
      </c>
      <c r="AV1814" s="1" t="s">
        <v>200</v>
      </c>
      <c r="AW1814" s="1">
        <v>6400.0</v>
      </c>
      <c r="AX1814" s="1">
        <v>2013.0</v>
      </c>
      <c r="AY1814" s="1" t="s">
        <v>387</v>
      </c>
      <c r="AZ1814" s="1" t="s">
        <v>200</v>
      </c>
      <c r="BA1814" s="1" t="str">
        <f>"0236128025"</f>
        <v>0236128025</v>
      </c>
      <c r="BB1814" s="1" t="s">
        <v>200</v>
      </c>
      <c r="BC1814" s="1">
        <v>2308.0</v>
      </c>
      <c r="BD1814" s="1">
        <v>250000.0</v>
      </c>
      <c r="BE1814" s="2">
        <v>41876.0</v>
      </c>
      <c r="BF1814" s="2" t="s">
        <v>17677</v>
      </c>
      <c r="BG1814" s="1" t="s">
        <v>5039</v>
      </c>
      <c r="BH1814" s="1">
        <v>327.0</v>
      </c>
      <c r="BI1814" s="1" t="s">
        <v>5040</v>
      </c>
      <c r="BJ1814" s="1" t="s">
        <v>1182</v>
      </c>
      <c r="BK1814" s="1" t="s">
        <v>580</v>
      </c>
      <c r="BL1814" s="1" t="str">
        <f>"15"</f>
        <v>15</v>
      </c>
      <c r="BM1814" s="1" t="str">
        <f t="shared" si="1200"/>
        <v>0</v>
      </c>
      <c r="BN1814" s="1">
        <v>39.0</v>
      </c>
      <c r="BO1814" s="1">
        <v>0.0</v>
      </c>
      <c r="BQ1814" s="1">
        <v>300.0</v>
      </c>
      <c r="BR1814" s="1">
        <v>300.0</v>
      </c>
      <c r="BS1814" s="1">
        <v>300.0</v>
      </c>
      <c r="BU1814" s="1" t="s">
        <v>332</v>
      </c>
      <c r="BV1814" s="1" t="s">
        <v>206</v>
      </c>
      <c r="BW1814" s="1" t="s">
        <v>210</v>
      </c>
      <c r="BX1814" s="1" t="s">
        <v>239</v>
      </c>
      <c r="BY1814" s="1" t="s">
        <v>214</v>
      </c>
      <c r="BZ1814" s="1" t="s">
        <v>209</v>
      </c>
      <c r="CA1814" s="1" t="s">
        <v>210</v>
      </c>
      <c r="CB1814" s="1" t="s">
        <v>239</v>
      </c>
      <c r="CC1814" s="1" t="s">
        <v>215</v>
      </c>
      <c r="CD1814" s="1" t="s">
        <v>206</v>
      </c>
      <c r="CE1814" s="1" t="s">
        <v>210</v>
      </c>
      <c r="CF1814" s="1" t="s">
        <v>239</v>
      </c>
      <c r="CG1814" s="1" t="s">
        <v>332</v>
      </c>
      <c r="CH1814" s="1" t="s">
        <v>209</v>
      </c>
      <c r="CI1814" s="1" t="s">
        <v>210</v>
      </c>
      <c r="CJ1814" s="1" t="s">
        <v>239</v>
      </c>
      <c r="CK1814" s="1" t="s">
        <v>212</v>
      </c>
      <c r="CL1814" s="1" t="s">
        <v>209</v>
      </c>
      <c r="CM1814" s="1" t="s">
        <v>210</v>
      </c>
      <c r="CN1814" s="1" t="s">
        <v>239</v>
      </c>
      <c r="CO1814" s="1" t="s">
        <v>495</v>
      </c>
      <c r="CP1814" s="1" t="s">
        <v>209</v>
      </c>
      <c r="CQ1814" s="1" t="s">
        <v>210</v>
      </c>
      <c r="CR1814" s="1" t="s">
        <v>239</v>
      </c>
      <c r="CS1814" s="1" t="s">
        <v>497</v>
      </c>
      <c r="CT1814" s="1" t="s">
        <v>206</v>
      </c>
      <c r="CU1814" s="1" t="s">
        <v>617</v>
      </c>
      <c r="CV1814" s="1" t="s">
        <v>239</v>
      </c>
      <c r="CW1814" s="1" t="s">
        <v>2120</v>
      </c>
      <c r="CX1814" s="1" t="s">
        <v>206</v>
      </c>
      <c r="CY1814" s="1" t="s">
        <v>210</v>
      </c>
      <c r="CZ1814" s="1" t="s">
        <v>239</v>
      </c>
      <c r="DA1814" s="1" t="s">
        <v>200</v>
      </c>
      <c r="DC1814" s="1" t="s">
        <v>335</v>
      </c>
      <c r="DD1814" s="1" t="s">
        <v>336</v>
      </c>
      <c r="DE1814" s="1" t="s">
        <v>273</v>
      </c>
      <c r="DF1814" s="1" t="s">
        <v>219</v>
      </c>
      <c r="DG1814" s="1" t="s">
        <v>482</v>
      </c>
      <c r="DH1814" s="1" t="s">
        <v>220</v>
      </c>
      <c r="DI1814" s="1" t="s">
        <v>221</v>
      </c>
      <c r="DJ1814" s="1" t="s">
        <v>222</v>
      </c>
      <c r="DK1814" s="1" t="s">
        <v>223</v>
      </c>
      <c r="DL1814" s="1" t="s">
        <v>224</v>
      </c>
      <c r="DM1814" s="1" t="s">
        <v>1268</v>
      </c>
      <c r="DN1814" s="1" t="s">
        <v>485</v>
      </c>
      <c r="DO1814" s="1" t="s">
        <v>13521</v>
      </c>
      <c r="DP1814" s="1" t="s">
        <v>276</v>
      </c>
      <c r="DQ1814" s="1" t="s">
        <v>441</v>
      </c>
      <c r="DR1814" s="1" t="s">
        <v>588</v>
      </c>
      <c r="DU1814" s="1" t="s">
        <v>9530</v>
      </c>
      <c r="DV1814" s="1" t="s">
        <v>17678</v>
      </c>
      <c r="DW1814" s="1" t="s">
        <v>233</v>
      </c>
      <c r="DX1814" s="1" t="s">
        <v>234</v>
      </c>
      <c r="DY1814" s="1" t="s">
        <v>1189</v>
      </c>
      <c r="DZ1814" s="1" t="s">
        <v>17679</v>
      </c>
      <c r="EA1814" s="1" t="s">
        <v>344</v>
      </c>
      <c r="EC1814" s="1" t="s">
        <v>237</v>
      </c>
      <c r="ED1814" s="1" t="s">
        <v>407</v>
      </c>
      <c r="EG1814" s="1" t="s">
        <v>408</v>
      </c>
      <c r="EH1814" s="1" t="s">
        <v>557</v>
      </c>
      <c r="EI1814" s="1" t="s">
        <v>494</v>
      </c>
      <c r="EJ1814" s="1" t="s">
        <v>450</v>
      </c>
      <c r="EL1814" s="1" t="s">
        <v>584</v>
      </c>
      <c r="EM1814" s="1" t="s">
        <v>206</v>
      </c>
      <c r="EN1814" s="1" t="s">
        <v>617</v>
      </c>
      <c r="EO1814" s="1" t="s">
        <v>229</v>
      </c>
      <c r="EP1814" s="1" t="s">
        <v>264</v>
      </c>
      <c r="EQ1814" s="1" t="s">
        <v>42</v>
      </c>
      <c r="ET1814" s="1" t="s">
        <v>269</v>
      </c>
      <c r="EU1814" s="1" t="s">
        <v>206</v>
      </c>
      <c r="EV1814" s="1" t="s">
        <v>210</v>
      </c>
      <c r="EX1814" s="1" t="s">
        <v>3817</v>
      </c>
      <c r="EY1814" s="1" t="s">
        <v>42</v>
      </c>
      <c r="EZ1814" s="1" t="s">
        <v>210</v>
      </c>
      <c r="FA1814" s="1" t="s">
        <v>431</v>
      </c>
      <c r="FC1814" s="1" t="s">
        <v>238</v>
      </c>
      <c r="FF1814" s="1" t="s">
        <v>239</v>
      </c>
      <c r="FG1814" s="1" t="s">
        <v>192</v>
      </c>
      <c r="FH1814" s="1" t="s">
        <v>192</v>
      </c>
      <c r="FJ1814" s="1" t="s">
        <v>1123</v>
      </c>
      <c r="FK1814" s="1" t="s">
        <v>229</v>
      </c>
      <c r="FL1814" s="1" t="s">
        <v>1124</v>
      </c>
      <c r="FM1814" s="1">
        <v>8059.0</v>
      </c>
      <c r="FN1814" s="1" t="s">
        <v>7340</v>
      </c>
      <c r="FO1814" s="1" t="s">
        <v>17680</v>
      </c>
      <c r="FP1814" s="1">
        <v>256681.0</v>
      </c>
      <c r="FQ1814" s="1" t="s">
        <v>17681</v>
      </c>
      <c r="FU1814" s="1" t="s">
        <v>17682</v>
      </c>
      <c r="FV1814" s="1" t="s">
        <v>200</v>
      </c>
      <c r="FW1814" s="1" t="s">
        <v>631</v>
      </c>
      <c r="FZ1814" s="1" t="s">
        <v>229</v>
      </c>
      <c r="GA1814" s="1" t="s">
        <v>291</v>
      </c>
      <c r="GB1814" s="2">
        <v>42084.0</v>
      </c>
      <c r="GC1814" s="1" t="s">
        <v>17683</v>
      </c>
    </row>
    <row r="1815">
      <c r="A1815" s="1">
        <v>55000.0</v>
      </c>
      <c r="B1815" s="1" t="s">
        <v>185</v>
      </c>
      <c r="C1815" s="1" t="str">
        <f>"08700506"</f>
        <v>08700506</v>
      </c>
      <c r="D1815" s="1" t="s">
        <v>186</v>
      </c>
      <c r="F1815" s="1" t="str">
        <f>"8044"</f>
        <v>8044</v>
      </c>
      <c r="G1815" s="2">
        <v>41864.0</v>
      </c>
      <c r="H1815" s="1">
        <v>55000.0</v>
      </c>
      <c r="I1815" s="1">
        <v>47.0</v>
      </c>
      <c r="J1815" s="1">
        <v>55000.0</v>
      </c>
      <c r="K1815" s="2">
        <v>41910.0</v>
      </c>
      <c r="L1815" s="1">
        <v>47.0</v>
      </c>
      <c r="M1815" s="2">
        <v>41910.0</v>
      </c>
      <c r="N1815" s="1" t="s">
        <v>249</v>
      </c>
      <c r="O1815" s="2">
        <v>42034.0</v>
      </c>
      <c r="P1815" s="1">
        <v>122915.0</v>
      </c>
      <c r="Q1815" s="1">
        <v>12555.0</v>
      </c>
      <c r="S1815" s="1">
        <v>611.0</v>
      </c>
      <c r="T1815" s="1" t="s">
        <v>3288</v>
      </c>
      <c r="U1815" s="1" t="s">
        <v>694</v>
      </c>
      <c r="V1815" s="1" t="s">
        <v>190</v>
      </c>
      <c r="W1815" s="1">
        <v>60619.0</v>
      </c>
      <c r="X1815" s="1">
        <v>6833.0</v>
      </c>
      <c r="Y1815" s="1" t="s">
        <v>17684</v>
      </c>
      <c r="Z1815" s="1">
        <v>1911.0</v>
      </c>
      <c r="AA1815" s="1" t="s">
        <v>192</v>
      </c>
      <c r="AB1815" s="1" t="s">
        <v>193</v>
      </c>
      <c r="AD1815" s="1" t="s">
        <v>194</v>
      </c>
      <c r="AE1815" s="1" t="s">
        <v>195</v>
      </c>
      <c r="AF1815" s="1" t="s">
        <v>637</v>
      </c>
      <c r="AH1815" s="1" t="s">
        <v>17685</v>
      </c>
      <c r="AI1815" s="1">
        <v>0.07</v>
      </c>
      <c r="AK1815" s="1">
        <v>8.0</v>
      </c>
      <c r="AL1815" s="1">
        <v>2.0</v>
      </c>
      <c r="AM1815" s="1">
        <v>2.0</v>
      </c>
      <c r="AN1815" s="1">
        <v>0.0</v>
      </c>
      <c r="AO1815" s="1" t="s">
        <v>229</v>
      </c>
      <c r="AP1815" s="1">
        <v>0.0</v>
      </c>
      <c r="AQ1815" s="1" t="s">
        <v>198</v>
      </c>
      <c r="AR1815" s="1" t="s">
        <v>192</v>
      </c>
      <c r="AS1815" s="1" t="s">
        <v>229</v>
      </c>
      <c r="AV1815" s="1" t="s">
        <v>200</v>
      </c>
      <c r="AW1815" s="1">
        <v>1385.89</v>
      </c>
      <c r="AX1815" s="1">
        <v>2012.0</v>
      </c>
      <c r="AY1815" s="1" t="s">
        <v>229</v>
      </c>
      <c r="AZ1815" s="1" t="s">
        <v>200</v>
      </c>
      <c r="BA1815" s="1" t="str">
        <f>"25032220040000"</f>
        <v>25032220040000</v>
      </c>
      <c r="BB1815" s="1" t="s">
        <v>200</v>
      </c>
      <c r="BC1815" s="1">
        <v>1700.0</v>
      </c>
      <c r="BD1815" s="1">
        <v>55000.0</v>
      </c>
      <c r="BE1815" s="2">
        <v>41864.0</v>
      </c>
      <c r="BF1815" s="1" t="s">
        <v>17686</v>
      </c>
      <c r="BH1815" s="1">
        <v>0.0</v>
      </c>
      <c r="BK1815" s="1" t="s">
        <v>204</v>
      </c>
      <c r="BL1815" s="1" t="str">
        <f>"0"</f>
        <v>0</v>
      </c>
      <c r="BM1815" s="1" t="str">
        <f>"611"</f>
        <v>611</v>
      </c>
      <c r="BN1815" s="1">
        <v>0.0</v>
      </c>
      <c r="BO1815" s="1">
        <v>8900.0</v>
      </c>
      <c r="BQ1815" s="1">
        <v>299.0</v>
      </c>
      <c r="BR1815" s="1">
        <v>299.0</v>
      </c>
      <c r="BS1815" s="1">
        <v>299.0</v>
      </c>
      <c r="BU1815" s="1" t="s">
        <v>1190</v>
      </c>
      <c r="BV1815" s="1" t="s">
        <v>206</v>
      </c>
      <c r="BY1815" s="1" t="s">
        <v>1351</v>
      </c>
      <c r="BZ1815" s="1" t="s">
        <v>206</v>
      </c>
      <c r="CC1815" s="1" t="s">
        <v>699</v>
      </c>
      <c r="CD1815" s="1" t="s">
        <v>206</v>
      </c>
      <c r="CG1815" s="1" t="s">
        <v>495</v>
      </c>
      <c r="CH1815" s="1" t="s">
        <v>206</v>
      </c>
      <c r="CK1815" s="1" t="s">
        <v>15653</v>
      </c>
      <c r="CL1815" s="1" t="s">
        <v>42</v>
      </c>
      <c r="CO1815" s="1" t="s">
        <v>2460</v>
      </c>
      <c r="CP1815" s="1" t="s">
        <v>42</v>
      </c>
      <c r="CS1815" s="1" t="s">
        <v>302</v>
      </c>
      <c r="CT1815" s="1" t="s">
        <v>206</v>
      </c>
      <c r="CW1815" s="1" t="s">
        <v>1064</v>
      </c>
      <c r="CX1815" s="1" t="s">
        <v>42</v>
      </c>
      <c r="DA1815" s="1" t="s">
        <v>200</v>
      </c>
      <c r="DC1815" s="1" t="s">
        <v>642</v>
      </c>
      <c r="DD1815" s="1" t="s">
        <v>518</v>
      </c>
      <c r="DE1815" s="1" t="s">
        <v>273</v>
      </c>
      <c r="DF1815" s="1" t="s">
        <v>619</v>
      </c>
      <c r="DH1815" s="1" t="s">
        <v>220</v>
      </c>
      <c r="DJ1815" s="1" t="s">
        <v>222</v>
      </c>
      <c r="DL1815" s="1" t="s">
        <v>224</v>
      </c>
      <c r="DM1815" s="1" t="s">
        <v>229</v>
      </c>
      <c r="DP1815" s="1" t="s">
        <v>340</v>
      </c>
      <c r="DQ1815" s="1" t="s">
        <v>718</v>
      </c>
      <c r="DR1815" s="1" t="s">
        <v>229</v>
      </c>
      <c r="DV1815" s="1" t="s">
        <v>232</v>
      </c>
      <c r="DW1815" s="1" t="s">
        <v>279</v>
      </c>
      <c r="DX1815" s="1" t="s">
        <v>234</v>
      </c>
      <c r="EA1815" s="1" t="s">
        <v>644</v>
      </c>
      <c r="EC1815" s="1" t="s">
        <v>685</v>
      </c>
      <c r="EM1815" s="1" t="s">
        <v>238</v>
      </c>
      <c r="EQ1815" s="1" t="s">
        <v>238</v>
      </c>
      <c r="EU1815" s="1" t="s">
        <v>238</v>
      </c>
      <c r="EY1815" s="1" t="s">
        <v>238</v>
      </c>
      <c r="FC1815" s="1" t="s">
        <v>238</v>
      </c>
      <c r="FF1815" s="1" t="s">
        <v>239</v>
      </c>
      <c r="FG1815" s="1" t="s">
        <v>192</v>
      </c>
      <c r="FH1815" s="1" t="s">
        <v>192</v>
      </c>
      <c r="FJ1815" s="1" t="s">
        <v>524</v>
      </c>
      <c r="FK1815" s="1" t="s">
        <v>1586</v>
      </c>
      <c r="FL1815" s="1" t="s">
        <v>771</v>
      </c>
      <c r="FM1815" s="1">
        <v>16636.0</v>
      </c>
      <c r="FN1815" s="1" t="s">
        <v>526</v>
      </c>
      <c r="FO1815" s="1" t="s">
        <v>9812</v>
      </c>
      <c r="FP1815" s="1">
        <v>168274.0</v>
      </c>
      <c r="FQ1815" s="1" t="s">
        <v>9813</v>
      </c>
      <c r="FU1815" s="1" t="s">
        <v>17687</v>
      </c>
      <c r="FV1815" s="1" t="s">
        <v>200</v>
      </c>
      <c r="FW1815" s="1" t="s">
        <v>17688</v>
      </c>
      <c r="FX1815" s="1" t="s">
        <v>1739</v>
      </c>
      <c r="FZ1815" s="1" t="s">
        <v>229</v>
      </c>
      <c r="GA1815" s="1" t="s">
        <v>291</v>
      </c>
      <c r="GB1815" s="2">
        <v>42034.0</v>
      </c>
      <c r="GC1815" s="1" t="s">
        <v>17689</v>
      </c>
    </row>
    <row r="1816">
      <c r="A1816" s="1">
        <v>320000.0</v>
      </c>
      <c r="B1816" s="1" t="s">
        <v>185</v>
      </c>
      <c r="C1816" s="1" t="str">
        <f>"08701289"</f>
        <v>08701289</v>
      </c>
      <c r="D1816" s="1" t="s">
        <v>186</v>
      </c>
      <c r="F1816" s="1" t="str">
        <f>"8016"</f>
        <v>8016</v>
      </c>
      <c r="G1816" s="2">
        <v>41865.0</v>
      </c>
      <c r="H1816" s="1">
        <v>299000.0</v>
      </c>
      <c r="I1816" s="1">
        <v>251.0</v>
      </c>
      <c r="J1816" s="1">
        <v>299000.0</v>
      </c>
      <c r="K1816" s="2">
        <v>41884.0</v>
      </c>
      <c r="L1816" s="1">
        <v>20.0</v>
      </c>
      <c r="M1816" s="2">
        <v>41884.0</v>
      </c>
      <c r="N1816" s="1" t="s">
        <v>187</v>
      </c>
      <c r="O1816" s="2">
        <v>42094.0</v>
      </c>
      <c r="P1816" s="1">
        <v>105872.0</v>
      </c>
      <c r="Q1816" s="1">
        <v>10988.0</v>
      </c>
      <c r="S1816" s="1">
        <v>3640.0</v>
      </c>
      <c r="T1816" s="1" t="s">
        <v>2106</v>
      </c>
      <c r="U1816" s="1" t="s">
        <v>189</v>
      </c>
      <c r="V1816" s="1" t="s">
        <v>190</v>
      </c>
      <c r="W1816" s="1">
        <v>60618.0</v>
      </c>
      <c r="Y1816" s="1" t="s">
        <v>17690</v>
      </c>
      <c r="Z1816" s="1">
        <v>1909.0</v>
      </c>
      <c r="AA1816" s="1" t="s">
        <v>192</v>
      </c>
      <c r="AB1816" s="1" t="s">
        <v>193</v>
      </c>
      <c r="AD1816" s="1" t="s">
        <v>194</v>
      </c>
      <c r="AE1816" s="1" t="s">
        <v>195</v>
      </c>
      <c r="AF1816" s="1" t="s">
        <v>2645</v>
      </c>
      <c r="AH1816" s="1" t="s">
        <v>17691</v>
      </c>
      <c r="AK1816" s="1">
        <v>8.0</v>
      </c>
      <c r="AL1816" s="1">
        <v>4.0</v>
      </c>
      <c r="AM1816" s="1">
        <v>2.0</v>
      </c>
      <c r="AN1816" s="1">
        <v>0.0</v>
      </c>
      <c r="AO1816" s="1" t="s">
        <v>229</v>
      </c>
      <c r="AQ1816" s="1" t="s">
        <v>1314</v>
      </c>
      <c r="AR1816" s="1" t="s">
        <v>200</v>
      </c>
      <c r="AS1816" s="1" t="s">
        <v>199</v>
      </c>
      <c r="AT1816" s="1">
        <v>1.5</v>
      </c>
      <c r="AV1816" s="1" t="s">
        <v>200</v>
      </c>
      <c r="AW1816" s="1">
        <v>3565.58</v>
      </c>
      <c r="AX1816" s="1">
        <v>2012.0</v>
      </c>
      <c r="AY1816" s="1" t="s">
        <v>229</v>
      </c>
      <c r="AZ1816" s="1" t="s">
        <v>200</v>
      </c>
      <c r="BA1816" s="1" t="str">
        <f>"13232330240000"</f>
        <v>13232330240000</v>
      </c>
      <c r="BC1816" s="1">
        <v>0.0</v>
      </c>
      <c r="BD1816" s="1">
        <v>320000.0</v>
      </c>
      <c r="BE1816" s="2">
        <v>41865.0</v>
      </c>
      <c r="BF1816" s="2" t="s">
        <v>17692</v>
      </c>
      <c r="BH1816" s="1">
        <v>0.0</v>
      </c>
      <c r="BK1816" s="1" t="s">
        <v>204</v>
      </c>
      <c r="BL1816" s="1" t="str">
        <f>"3640"</f>
        <v>3640</v>
      </c>
      <c r="BM1816" s="1" t="str">
        <f>"0"</f>
        <v>0</v>
      </c>
      <c r="BN1816" s="1">
        <v>3200.0</v>
      </c>
      <c r="BO1816" s="1">
        <v>0.0</v>
      </c>
      <c r="BQ1816" s="1">
        <v>299.0</v>
      </c>
      <c r="BR1816" s="1">
        <v>299.0</v>
      </c>
      <c r="BS1816" s="1">
        <v>299.0</v>
      </c>
      <c r="BU1816" s="1" t="s">
        <v>769</v>
      </c>
      <c r="BV1816" s="1" t="s">
        <v>206</v>
      </c>
      <c r="BW1816" s="1" t="s">
        <v>207</v>
      </c>
      <c r="BX1816" s="1" t="s">
        <v>1549</v>
      </c>
      <c r="BY1816" s="1" t="s">
        <v>211</v>
      </c>
      <c r="BZ1816" s="1" t="s">
        <v>209</v>
      </c>
      <c r="CA1816" s="1" t="s">
        <v>210</v>
      </c>
      <c r="CC1816" s="1" t="s">
        <v>542</v>
      </c>
      <c r="CD1816" s="1" t="s">
        <v>206</v>
      </c>
      <c r="CE1816" s="1" t="s">
        <v>207</v>
      </c>
      <c r="CG1816" s="1" t="s">
        <v>212</v>
      </c>
      <c r="CH1816" s="1" t="s">
        <v>209</v>
      </c>
      <c r="CI1816" s="1" t="s">
        <v>207</v>
      </c>
      <c r="CJ1816" s="1" t="s">
        <v>431</v>
      </c>
      <c r="CK1816" s="1" t="s">
        <v>816</v>
      </c>
      <c r="CL1816" s="1" t="s">
        <v>209</v>
      </c>
      <c r="CM1816" s="1" t="s">
        <v>207</v>
      </c>
      <c r="CN1816" s="1" t="s">
        <v>431</v>
      </c>
      <c r="CO1816" s="1" t="s">
        <v>16436</v>
      </c>
      <c r="CP1816" s="1" t="s">
        <v>209</v>
      </c>
      <c r="CQ1816" s="1" t="s">
        <v>207</v>
      </c>
      <c r="CR1816" s="1" t="s">
        <v>431</v>
      </c>
      <c r="CS1816" s="1" t="s">
        <v>1158</v>
      </c>
      <c r="CT1816" s="1" t="s">
        <v>206</v>
      </c>
      <c r="CU1816" s="1" t="s">
        <v>207</v>
      </c>
      <c r="CV1816" s="1" t="s">
        <v>431</v>
      </c>
      <c r="CW1816" s="1" t="s">
        <v>2120</v>
      </c>
      <c r="CX1816" s="1" t="s">
        <v>267</v>
      </c>
      <c r="CY1816" s="1" t="s">
        <v>268</v>
      </c>
      <c r="DA1816" s="1" t="s">
        <v>200</v>
      </c>
      <c r="DC1816" s="1" t="s">
        <v>642</v>
      </c>
      <c r="DD1816" s="1" t="s">
        <v>6260</v>
      </c>
      <c r="DE1816" s="1" t="s">
        <v>273</v>
      </c>
      <c r="DF1816" s="1" t="s">
        <v>219</v>
      </c>
      <c r="DH1816" s="1" t="s">
        <v>307</v>
      </c>
      <c r="DI1816" s="1" t="s">
        <v>8963</v>
      </c>
      <c r="DJ1816" s="1" t="s">
        <v>222</v>
      </c>
      <c r="DL1816" s="1" t="s">
        <v>858</v>
      </c>
      <c r="DM1816" s="1" t="s">
        <v>229</v>
      </c>
      <c r="DO1816" s="1" t="s">
        <v>4234</v>
      </c>
      <c r="DP1816" s="1" t="s">
        <v>276</v>
      </c>
      <c r="DQ1816" s="1" t="s">
        <v>228</v>
      </c>
      <c r="DR1816" s="1" t="s">
        <v>229</v>
      </c>
      <c r="DS1816" s="1" t="s">
        <v>401</v>
      </c>
      <c r="DV1816" s="1" t="s">
        <v>17693</v>
      </c>
      <c r="DW1816" s="1" t="s">
        <v>891</v>
      </c>
      <c r="DX1816" s="1" t="s">
        <v>234</v>
      </c>
      <c r="DY1816" s="1" t="s">
        <v>1122</v>
      </c>
      <c r="DZ1816" s="1" t="s">
        <v>282</v>
      </c>
      <c r="EA1816" s="1" t="s">
        <v>622</v>
      </c>
      <c r="EC1816" s="1" t="s">
        <v>237</v>
      </c>
      <c r="EG1816" s="1" t="s">
        <v>408</v>
      </c>
      <c r="EH1816" s="1" t="s">
        <v>720</v>
      </c>
      <c r="EL1816" s="1" t="s">
        <v>17694</v>
      </c>
      <c r="EM1816" s="1" t="s">
        <v>206</v>
      </c>
      <c r="EN1816" s="1" t="s">
        <v>207</v>
      </c>
      <c r="EP1816" s="1" t="s">
        <v>940</v>
      </c>
      <c r="EQ1816" s="1" t="s">
        <v>206</v>
      </c>
      <c r="ER1816" s="1" t="s">
        <v>268</v>
      </c>
      <c r="ES1816" s="1" t="s">
        <v>431</v>
      </c>
      <c r="EU1816" s="1" t="s">
        <v>238</v>
      </c>
      <c r="EY1816" s="1" t="s">
        <v>238</v>
      </c>
      <c r="FC1816" s="1" t="s">
        <v>238</v>
      </c>
      <c r="FF1816" s="1" t="s">
        <v>239</v>
      </c>
      <c r="FG1816" s="1" t="s">
        <v>192</v>
      </c>
      <c r="FH1816" s="1" t="s">
        <v>192</v>
      </c>
      <c r="FJ1816" s="1" t="s">
        <v>799</v>
      </c>
      <c r="FK1816" s="1" t="s">
        <v>1586</v>
      </c>
      <c r="FL1816" s="1" t="s">
        <v>562</v>
      </c>
      <c r="FM1816" s="1">
        <v>85774.0</v>
      </c>
      <c r="FN1816" s="1" t="s">
        <v>2369</v>
      </c>
      <c r="FO1816" s="1" t="s">
        <v>17695</v>
      </c>
      <c r="FP1816" s="1">
        <v>108077.0</v>
      </c>
      <c r="FQ1816" s="1" t="s">
        <v>17696</v>
      </c>
      <c r="FU1816" s="1" t="s">
        <v>17697</v>
      </c>
      <c r="FV1816" s="1" t="s">
        <v>200</v>
      </c>
      <c r="FW1816" s="1" t="s">
        <v>530</v>
      </c>
      <c r="FX1816" s="1" t="s">
        <v>238</v>
      </c>
      <c r="FZ1816" s="1" t="s">
        <v>229</v>
      </c>
      <c r="GA1816" s="1" t="s">
        <v>291</v>
      </c>
      <c r="GB1816" s="2">
        <v>42094.0</v>
      </c>
      <c r="GC1816" s="1" t="s">
        <v>17698</v>
      </c>
    </row>
    <row r="1817">
      <c r="A1817" s="1">
        <v>198500.0</v>
      </c>
      <c r="B1817" s="1" t="s">
        <v>185</v>
      </c>
      <c r="C1817" s="1" t="str">
        <f>"08700764"</f>
        <v>08700764</v>
      </c>
      <c r="D1817" s="1" t="s">
        <v>186</v>
      </c>
      <c r="F1817" s="1" t="str">
        <f>"110"</f>
        <v>110</v>
      </c>
      <c r="G1817" s="2">
        <v>41864.0</v>
      </c>
      <c r="H1817" s="1">
        <v>264900.0</v>
      </c>
      <c r="I1817" s="1">
        <v>111.0</v>
      </c>
      <c r="J1817" s="1">
        <v>230000.0</v>
      </c>
      <c r="K1817" s="2">
        <v>41974.0</v>
      </c>
      <c r="L1817" s="1">
        <v>111.0</v>
      </c>
      <c r="M1817" s="2">
        <v>41974.0</v>
      </c>
      <c r="N1817" s="1" t="s">
        <v>249</v>
      </c>
      <c r="O1817" s="2">
        <v>42003.0</v>
      </c>
      <c r="P1817" s="1">
        <v>841321.0</v>
      </c>
      <c r="Q1817" s="1">
        <v>18752.0</v>
      </c>
      <c r="S1817" s="1">
        <v>3126.0</v>
      </c>
      <c r="T1817" s="1" t="s">
        <v>17699</v>
      </c>
      <c r="U1817" s="1" t="s">
        <v>420</v>
      </c>
      <c r="V1817" s="1" t="s">
        <v>807</v>
      </c>
      <c r="W1817" s="1">
        <v>60110.0</v>
      </c>
      <c r="Y1817" s="1" t="s">
        <v>17700</v>
      </c>
      <c r="Z1817" s="1" t="s">
        <v>296</v>
      </c>
      <c r="AA1817" s="1" t="s">
        <v>200</v>
      </c>
      <c r="AB1817" s="1" t="s">
        <v>193</v>
      </c>
      <c r="AD1817" s="1" t="s">
        <v>809</v>
      </c>
      <c r="AE1817" s="1" t="s">
        <v>325</v>
      </c>
      <c r="AF1817" s="1" t="s">
        <v>810</v>
      </c>
      <c r="AH1817" s="1" t="s">
        <v>17701</v>
      </c>
      <c r="AI1817" s="1">
        <v>0.2144</v>
      </c>
      <c r="AK1817" s="1">
        <v>8.0</v>
      </c>
      <c r="AL1817" s="1">
        <v>4.0</v>
      </c>
      <c r="AM1817" s="1">
        <v>3.0</v>
      </c>
      <c r="AN1817" s="1">
        <v>1.0</v>
      </c>
      <c r="AO1817" s="1" t="s">
        <v>198</v>
      </c>
      <c r="AQ1817" s="1" t="s">
        <v>198</v>
      </c>
      <c r="AR1817" s="1" t="s">
        <v>192</v>
      </c>
      <c r="AS1817" s="1" t="s">
        <v>199</v>
      </c>
      <c r="AT1817" s="1">
        <v>2.0</v>
      </c>
      <c r="AV1817" s="1" t="s">
        <v>200</v>
      </c>
      <c r="AW1817" s="1">
        <v>7647.11</v>
      </c>
      <c r="AX1817" s="1">
        <v>2013.0</v>
      </c>
      <c r="AZ1817" s="1" t="s">
        <v>545</v>
      </c>
      <c r="BA1817" s="1" t="str">
        <f>"0308328028"</f>
        <v>0308328028</v>
      </c>
      <c r="BC1817" s="1">
        <v>2188.0</v>
      </c>
      <c r="BD1817" s="1">
        <v>198500.0</v>
      </c>
      <c r="BE1817" s="2">
        <v>41864.0</v>
      </c>
      <c r="BF1817" s="2" t="s">
        <v>17702</v>
      </c>
      <c r="BH1817" s="1">
        <v>0.0</v>
      </c>
      <c r="BK1817" s="1" t="s">
        <v>204</v>
      </c>
      <c r="BL1817" s="1" t="str">
        <f t="shared" ref="BL1817:BM1817" si="1201">""</f>
        <v/>
      </c>
      <c r="BM1817" s="1" t="str">
        <f t="shared" si="1201"/>
        <v/>
      </c>
      <c r="BQ1817" s="1">
        <v>300.0</v>
      </c>
      <c r="BR1817" s="1">
        <v>300.0</v>
      </c>
      <c r="BS1817" s="1">
        <v>300.0</v>
      </c>
      <c r="BU1817" s="1" t="s">
        <v>478</v>
      </c>
      <c r="BV1817" s="1" t="s">
        <v>206</v>
      </c>
      <c r="BY1817" s="1" t="s">
        <v>1395</v>
      </c>
      <c r="BZ1817" s="1" t="s">
        <v>209</v>
      </c>
      <c r="CC1817" s="1" t="s">
        <v>699</v>
      </c>
      <c r="CD1817" s="1" t="s">
        <v>206</v>
      </c>
      <c r="CG1817" s="1" t="s">
        <v>699</v>
      </c>
      <c r="CH1817" s="1" t="s">
        <v>209</v>
      </c>
      <c r="CK1817" s="1" t="s">
        <v>264</v>
      </c>
      <c r="CL1817" s="1" t="s">
        <v>209</v>
      </c>
      <c r="CO1817" s="1" t="s">
        <v>302</v>
      </c>
      <c r="CP1817" s="1" t="s">
        <v>209</v>
      </c>
      <c r="CS1817" s="1" t="s">
        <v>392</v>
      </c>
      <c r="CT1817" s="1" t="s">
        <v>206</v>
      </c>
      <c r="CW1817" s="1" t="s">
        <v>1063</v>
      </c>
      <c r="CX1817" s="1" t="s">
        <v>206</v>
      </c>
      <c r="DA1817" s="1" t="s">
        <v>200</v>
      </c>
      <c r="DC1817" s="1" t="s">
        <v>545</v>
      </c>
      <c r="DE1817" s="1" t="s">
        <v>273</v>
      </c>
      <c r="DF1817" s="1" t="s">
        <v>219</v>
      </c>
      <c r="DH1817" s="1" t="s">
        <v>220</v>
      </c>
      <c r="DJ1817" s="1" t="s">
        <v>222</v>
      </c>
      <c r="DL1817" s="1" t="s">
        <v>224</v>
      </c>
      <c r="DM1817" s="1" t="s">
        <v>229</v>
      </c>
      <c r="DQ1817" s="1" t="s">
        <v>228</v>
      </c>
      <c r="DR1817" s="1" t="s">
        <v>229</v>
      </c>
      <c r="DV1817" s="1" t="s">
        <v>232</v>
      </c>
      <c r="DW1817" s="1" t="s">
        <v>279</v>
      </c>
      <c r="DX1817" s="1" t="s">
        <v>234</v>
      </c>
      <c r="EC1817" s="1" t="s">
        <v>237</v>
      </c>
      <c r="EM1817" s="1" t="s">
        <v>238</v>
      </c>
      <c r="EQ1817" s="1" t="s">
        <v>238</v>
      </c>
      <c r="EU1817" s="1" t="s">
        <v>238</v>
      </c>
      <c r="EY1817" s="1" t="s">
        <v>238</v>
      </c>
      <c r="FC1817" s="1" t="s">
        <v>238</v>
      </c>
      <c r="FF1817" s="1" t="s">
        <v>239</v>
      </c>
      <c r="FG1817" s="1" t="s">
        <v>192</v>
      </c>
      <c r="FH1817" s="1" t="s">
        <v>192</v>
      </c>
      <c r="FJ1817" s="1" t="s">
        <v>1248</v>
      </c>
      <c r="FK1817" s="1" t="s">
        <v>229</v>
      </c>
      <c r="FL1817" s="1" t="s">
        <v>17703</v>
      </c>
      <c r="FM1817" s="1">
        <v>20114.0</v>
      </c>
      <c r="FN1817" s="1" t="s">
        <v>17704</v>
      </c>
      <c r="FO1817" s="1" t="s">
        <v>17705</v>
      </c>
      <c r="FP1817" s="1">
        <v>216033.0</v>
      </c>
      <c r="FQ1817" s="1" t="s">
        <v>17706</v>
      </c>
      <c r="FS1817" s="1" t="s">
        <v>17707</v>
      </c>
      <c r="FU1817" s="1" t="s">
        <v>17708</v>
      </c>
      <c r="FV1817" s="1" t="s">
        <v>200</v>
      </c>
      <c r="FW1817" s="1" t="s">
        <v>567</v>
      </c>
      <c r="FZ1817" s="1" t="s">
        <v>632</v>
      </c>
      <c r="GA1817" s="1" t="s">
        <v>291</v>
      </c>
      <c r="GB1817" s="2">
        <v>42003.0</v>
      </c>
      <c r="GC1817" s="1" t="s">
        <v>17709</v>
      </c>
    </row>
    <row r="1818">
      <c r="A1818" s="1">
        <v>250000.0</v>
      </c>
      <c r="B1818" s="1" t="s">
        <v>185</v>
      </c>
      <c r="C1818" s="1" t="str">
        <f>"08705761"</f>
        <v>08705761</v>
      </c>
      <c r="D1818" s="1" t="s">
        <v>186</v>
      </c>
      <c r="F1818" s="1" t="str">
        <f>"119"</f>
        <v>119</v>
      </c>
      <c r="G1818" s="2">
        <v>41870.0</v>
      </c>
      <c r="H1818" s="1">
        <v>319900.0</v>
      </c>
      <c r="I1818" s="1">
        <v>323.0</v>
      </c>
      <c r="J1818" s="1">
        <v>250000.0</v>
      </c>
      <c r="K1818" s="2">
        <v>42047.0</v>
      </c>
      <c r="L1818" s="1">
        <v>178.0</v>
      </c>
      <c r="M1818" s="2">
        <v>42047.0</v>
      </c>
      <c r="N1818" s="1" t="s">
        <v>187</v>
      </c>
      <c r="O1818" s="2">
        <v>42139.0</v>
      </c>
      <c r="P1818" s="1">
        <v>21045.0</v>
      </c>
      <c r="Q1818" s="1">
        <v>2644.0</v>
      </c>
      <c r="S1818" s="1">
        <v>1037.0</v>
      </c>
      <c r="T1818" s="1" t="s">
        <v>17710</v>
      </c>
      <c r="U1818" s="1" t="s">
        <v>569</v>
      </c>
      <c r="V1818" s="1" t="s">
        <v>1476</v>
      </c>
      <c r="W1818" s="1">
        <v>60119.0</v>
      </c>
      <c r="Y1818" s="1" t="s">
        <v>17711</v>
      </c>
      <c r="Z1818" s="1">
        <v>2003.0</v>
      </c>
      <c r="AA1818" s="1" t="s">
        <v>200</v>
      </c>
      <c r="AB1818" s="1" t="s">
        <v>193</v>
      </c>
      <c r="AC1818" s="1" t="s">
        <v>4349</v>
      </c>
      <c r="AD1818" s="1" t="s">
        <v>1478</v>
      </c>
      <c r="AE1818" s="1" t="s">
        <v>325</v>
      </c>
      <c r="AF1818" s="1" t="s">
        <v>1479</v>
      </c>
      <c r="AH1818" s="1" t="s">
        <v>17712</v>
      </c>
      <c r="AK1818" s="1">
        <v>10.0</v>
      </c>
      <c r="AL1818" s="1">
        <v>4.0</v>
      </c>
      <c r="AM1818" s="1">
        <v>2.0</v>
      </c>
      <c r="AN1818" s="1">
        <v>1.0</v>
      </c>
      <c r="AO1818" s="1" t="s">
        <v>198</v>
      </c>
      <c r="AP1818" s="1">
        <v>2.0</v>
      </c>
      <c r="AQ1818" s="1" t="s">
        <v>198</v>
      </c>
      <c r="AR1818" s="1" t="s">
        <v>200</v>
      </c>
      <c r="AS1818" s="1" t="s">
        <v>199</v>
      </c>
      <c r="AT1818" s="1">
        <v>3.0</v>
      </c>
      <c r="AV1818" s="1" t="s">
        <v>192</v>
      </c>
      <c r="AW1818" s="1">
        <v>7482.0</v>
      </c>
      <c r="AX1818" s="1">
        <v>2013.0</v>
      </c>
      <c r="AY1818" s="1" t="s">
        <v>387</v>
      </c>
      <c r="AZ1818" s="1" t="s">
        <v>545</v>
      </c>
      <c r="BA1818" s="1" t="str">
        <f>"1108206004"</f>
        <v>1108206004</v>
      </c>
      <c r="BC1818" s="1">
        <v>3450.0</v>
      </c>
      <c r="BD1818" s="1">
        <v>250000.0</v>
      </c>
      <c r="BE1818" s="2">
        <v>41870.0</v>
      </c>
      <c r="BF1818" s="2" t="s">
        <v>17713</v>
      </c>
      <c r="BH1818" s="1">
        <v>0.0</v>
      </c>
      <c r="BK1818" s="1" t="s">
        <v>204</v>
      </c>
      <c r="BL1818" s="1" t="str">
        <f t="shared" ref="BL1818:BM1818" si="1202">"0"</f>
        <v>0</v>
      </c>
      <c r="BM1818" s="1" t="str">
        <f t="shared" si="1202"/>
        <v>0</v>
      </c>
      <c r="BN1818" s="1">
        <v>42.0</v>
      </c>
      <c r="BO1818" s="1">
        <v>0.0</v>
      </c>
      <c r="BQ1818" s="1">
        <v>302.0</v>
      </c>
      <c r="BR1818" s="1">
        <v>302.0</v>
      </c>
      <c r="BS1818" s="1">
        <v>302.0</v>
      </c>
      <c r="BU1818" s="1" t="s">
        <v>361</v>
      </c>
      <c r="BV1818" s="1" t="s">
        <v>206</v>
      </c>
      <c r="BW1818" s="1" t="s">
        <v>301</v>
      </c>
      <c r="BY1818" s="1" t="s">
        <v>1244</v>
      </c>
      <c r="BZ1818" s="1" t="s">
        <v>209</v>
      </c>
      <c r="CA1818" s="1" t="s">
        <v>1065</v>
      </c>
      <c r="CC1818" s="1" t="s">
        <v>332</v>
      </c>
      <c r="CD1818" s="1" t="s">
        <v>206</v>
      </c>
      <c r="CE1818" s="1" t="s">
        <v>301</v>
      </c>
      <c r="CG1818" s="1" t="s">
        <v>331</v>
      </c>
      <c r="CH1818" s="1" t="s">
        <v>209</v>
      </c>
      <c r="CI1818" s="1" t="s">
        <v>210</v>
      </c>
      <c r="CK1818" s="1" t="s">
        <v>332</v>
      </c>
      <c r="CL1818" s="1" t="s">
        <v>209</v>
      </c>
      <c r="CM1818" s="1" t="s">
        <v>210</v>
      </c>
      <c r="CO1818" s="1" t="s">
        <v>215</v>
      </c>
      <c r="CP1818" s="1" t="s">
        <v>209</v>
      </c>
      <c r="CQ1818" s="1" t="s">
        <v>210</v>
      </c>
      <c r="CS1818" s="1" t="s">
        <v>3387</v>
      </c>
      <c r="CT1818" s="1" t="s">
        <v>206</v>
      </c>
      <c r="CU1818" s="1" t="s">
        <v>8497</v>
      </c>
      <c r="CW1818" s="1" t="s">
        <v>334</v>
      </c>
      <c r="CX1818" s="1" t="s">
        <v>206</v>
      </c>
      <c r="CY1818" s="1" t="s">
        <v>301</v>
      </c>
      <c r="DA1818" s="1" t="s">
        <v>200</v>
      </c>
      <c r="DC1818" s="1" t="s">
        <v>335</v>
      </c>
      <c r="DD1818" s="1" t="s">
        <v>4137</v>
      </c>
      <c r="DE1818" s="1" t="s">
        <v>273</v>
      </c>
      <c r="DF1818" s="1" t="s">
        <v>219</v>
      </c>
      <c r="DG1818" s="1" t="s">
        <v>16974</v>
      </c>
      <c r="DH1818" s="1" t="s">
        <v>220</v>
      </c>
      <c r="DI1818" s="1" t="s">
        <v>17714</v>
      </c>
      <c r="DJ1818" s="1" t="s">
        <v>222</v>
      </c>
      <c r="DL1818" s="1" t="s">
        <v>223</v>
      </c>
      <c r="DM1818" s="1" t="s">
        <v>929</v>
      </c>
      <c r="DN1818" s="1" t="s">
        <v>399</v>
      </c>
      <c r="DO1818" s="1" t="s">
        <v>6843</v>
      </c>
      <c r="DP1818" s="1" t="s">
        <v>340</v>
      </c>
      <c r="DQ1818" s="1" t="s">
        <v>228</v>
      </c>
      <c r="DR1818" s="1" t="s">
        <v>229</v>
      </c>
      <c r="DU1818" s="1" t="s">
        <v>8669</v>
      </c>
      <c r="DV1818" s="1" t="s">
        <v>6306</v>
      </c>
      <c r="DW1818" s="1" t="s">
        <v>444</v>
      </c>
      <c r="DX1818" s="1" t="s">
        <v>234</v>
      </c>
      <c r="DY1818" s="1" t="s">
        <v>596</v>
      </c>
      <c r="DZ1818" s="1" t="s">
        <v>17715</v>
      </c>
      <c r="EC1818" s="1" t="s">
        <v>237</v>
      </c>
      <c r="ED1818" s="1" t="s">
        <v>407</v>
      </c>
      <c r="EG1818" s="1" t="s">
        <v>341</v>
      </c>
      <c r="EH1818" s="1" t="s">
        <v>1121</v>
      </c>
      <c r="EL1818" s="1" t="s">
        <v>333</v>
      </c>
      <c r="EM1818" s="1" t="s">
        <v>209</v>
      </c>
      <c r="EN1818" s="1" t="s">
        <v>210</v>
      </c>
      <c r="EP1818" s="1" t="s">
        <v>940</v>
      </c>
      <c r="EQ1818" s="1" t="s">
        <v>209</v>
      </c>
      <c r="ER1818" s="1" t="s">
        <v>1065</v>
      </c>
      <c r="EU1818" s="1" t="s">
        <v>238</v>
      </c>
      <c r="EY1818" s="1" t="s">
        <v>238</v>
      </c>
      <c r="FC1818" s="1" t="s">
        <v>238</v>
      </c>
      <c r="FF1818" s="1" t="s">
        <v>239</v>
      </c>
      <c r="FG1818" s="1" t="s">
        <v>192</v>
      </c>
      <c r="FH1818" s="1" t="s">
        <v>192</v>
      </c>
      <c r="FJ1818" s="1" t="s">
        <v>7414</v>
      </c>
      <c r="FK1818" s="1" t="s">
        <v>1586</v>
      </c>
      <c r="FL1818" s="1" t="s">
        <v>1212</v>
      </c>
      <c r="FM1818" s="1">
        <v>30.0</v>
      </c>
      <c r="FN1818" s="1" t="s">
        <v>1213</v>
      </c>
      <c r="FO1818" s="1" t="s">
        <v>8470</v>
      </c>
      <c r="FP1818" s="1">
        <v>497.0</v>
      </c>
      <c r="FQ1818" s="1" t="s">
        <v>8471</v>
      </c>
      <c r="FR1818" s="1">
        <v>8177.0</v>
      </c>
      <c r="FS1818" s="1">
        <v>8177.0</v>
      </c>
      <c r="FU1818" s="1" t="s">
        <v>10211</v>
      </c>
      <c r="FV1818" s="1" t="s">
        <v>200</v>
      </c>
      <c r="FW1818" s="1" t="s">
        <v>290</v>
      </c>
      <c r="FZ1818" s="1" t="s">
        <v>229</v>
      </c>
      <c r="GA1818" s="1" t="s">
        <v>291</v>
      </c>
      <c r="GB1818" s="2">
        <v>42140.0</v>
      </c>
      <c r="GC1818" s="1" t="s">
        <v>17716</v>
      </c>
    </row>
    <row r="1819">
      <c r="A1819" s="1">
        <v>360000.0</v>
      </c>
      <c r="B1819" s="1" t="s">
        <v>185</v>
      </c>
      <c r="C1819" s="1" t="str">
        <f>"08703724"</f>
        <v>08703724</v>
      </c>
      <c r="D1819" s="1" t="s">
        <v>186</v>
      </c>
      <c r="F1819" s="1" t="str">
        <f>"554"</f>
        <v>554</v>
      </c>
      <c r="G1819" s="2">
        <v>41867.0</v>
      </c>
      <c r="H1819" s="1">
        <v>389000.0</v>
      </c>
      <c r="I1819" s="1">
        <v>313.0</v>
      </c>
      <c r="J1819" s="1">
        <v>369000.0</v>
      </c>
      <c r="K1819" s="2">
        <v>42015.0</v>
      </c>
      <c r="L1819" s="1">
        <v>149.0</v>
      </c>
      <c r="M1819" s="2">
        <v>42015.0</v>
      </c>
      <c r="N1819" s="1" t="s">
        <v>187</v>
      </c>
      <c r="O1819" s="2">
        <v>42065.0</v>
      </c>
      <c r="P1819" s="1">
        <v>225492.0</v>
      </c>
      <c r="Q1819" s="1">
        <v>23076.0</v>
      </c>
      <c r="S1819" s="1">
        <v>920.0</v>
      </c>
      <c r="T1819" s="1" t="s">
        <v>10364</v>
      </c>
      <c r="U1819" s="1" t="s">
        <v>320</v>
      </c>
      <c r="V1819" s="1" t="s">
        <v>2212</v>
      </c>
      <c r="W1819" s="1">
        <v>60554.0</v>
      </c>
      <c r="Y1819" s="1" t="s">
        <v>17717</v>
      </c>
      <c r="Z1819" s="1">
        <v>2001.0</v>
      </c>
      <c r="AA1819" s="1" t="s">
        <v>200</v>
      </c>
      <c r="AB1819" s="1" t="s">
        <v>467</v>
      </c>
      <c r="AC1819" s="1" t="s">
        <v>17718</v>
      </c>
      <c r="AD1819" s="1" t="s">
        <v>1887</v>
      </c>
      <c r="AE1819" s="1" t="s">
        <v>325</v>
      </c>
      <c r="AF1819" s="1" t="s">
        <v>1887</v>
      </c>
      <c r="AH1819" s="6">
        <v>20786.0</v>
      </c>
      <c r="AI1819" s="1">
        <v>0.48</v>
      </c>
      <c r="AK1819" s="1">
        <v>9.0</v>
      </c>
      <c r="AL1819" s="1">
        <v>3.0</v>
      </c>
      <c r="AM1819" s="1">
        <v>3.0</v>
      </c>
      <c r="AN1819" s="1">
        <v>0.0</v>
      </c>
      <c r="AO1819" s="1" t="s">
        <v>198</v>
      </c>
      <c r="AP1819" s="1">
        <v>1.0</v>
      </c>
      <c r="AQ1819" s="1" t="s">
        <v>198</v>
      </c>
      <c r="AR1819" s="1" t="s">
        <v>192</v>
      </c>
      <c r="AS1819" s="1" t="s">
        <v>199</v>
      </c>
      <c r="AT1819" s="1">
        <v>2.0</v>
      </c>
      <c r="AV1819" s="1" t="s">
        <v>200</v>
      </c>
      <c r="AW1819" s="1">
        <v>9561.58</v>
      </c>
      <c r="AX1819" s="1">
        <v>2013.0</v>
      </c>
      <c r="AY1819" s="1" t="s">
        <v>387</v>
      </c>
      <c r="AZ1819" s="1" t="s">
        <v>200</v>
      </c>
      <c r="BA1819" s="1" t="str">
        <f>"1403351005"</f>
        <v>1403351005</v>
      </c>
      <c r="BC1819" s="1">
        <v>2800.0</v>
      </c>
      <c r="BD1819" s="1">
        <v>360000.0</v>
      </c>
      <c r="BE1819" s="2">
        <v>41867.0</v>
      </c>
      <c r="BF1819" s="2" t="s">
        <v>17719</v>
      </c>
      <c r="BG1819" s="1" t="s">
        <v>2218</v>
      </c>
      <c r="BH1819" s="1">
        <v>425.0</v>
      </c>
      <c r="BI1819" s="1" t="s">
        <v>1635</v>
      </c>
      <c r="BJ1819" s="1" t="s">
        <v>1636</v>
      </c>
      <c r="BK1819" s="1" t="s">
        <v>580</v>
      </c>
      <c r="BL1819" s="1" t="str">
        <f t="shared" ref="BL1819:BM1819" si="1203">""</f>
        <v/>
      </c>
      <c r="BM1819" s="1" t="str">
        <f t="shared" si="1203"/>
        <v/>
      </c>
      <c r="BQ1819" s="1">
        <v>302.0</v>
      </c>
      <c r="BR1819" s="1">
        <v>302.0</v>
      </c>
      <c r="BS1819" s="1">
        <v>302.0</v>
      </c>
      <c r="BV1819" s="1" t="s">
        <v>204</v>
      </c>
      <c r="BY1819" s="1" t="s">
        <v>208</v>
      </c>
      <c r="BZ1819" s="1" t="s">
        <v>206</v>
      </c>
      <c r="CA1819" s="1" t="s">
        <v>210</v>
      </c>
      <c r="CB1819" s="1" t="s">
        <v>239</v>
      </c>
      <c r="CC1819" s="1" t="s">
        <v>363</v>
      </c>
      <c r="CD1819" s="1" t="s">
        <v>206</v>
      </c>
      <c r="CE1819" s="1" t="s">
        <v>210</v>
      </c>
      <c r="CF1819" s="1" t="s">
        <v>239</v>
      </c>
      <c r="CG1819" s="1" t="s">
        <v>302</v>
      </c>
      <c r="CH1819" s="1" t="s">
        <v>206</v>
      </c>
      <c r="CI1819" s="1" t="s">
        <v>210</v>
      </c>
      <c r="CJ1819" s="1" t="s">
        <v>239</v>
      </c>
      <c r="CK1819" s="1" t="s">
        <v>584</v>
      </c>
      <c r="CL1819" s="1" t="s">
        <v>206</v>
      </c>
      <c r="CM1819" s="1" t="s">
        <v>210</v>
      </c>
      <c r="CN1819" s="1" t="s">
        <v>239</v>
      </c>
      <c r="CO1819" s="1" t="s">
        <v>212</v>
      </c>
      <c r="CP1819" s="1" t="s">
        <v>42</v>
      </c>
      <c r="CQ1819" s="1" t="s">
        <v>210</v>
      </c>
      <c r="CR1819" s="1" t="s">
        <v>239</v>
      </c>
      <c r="CS1819" s="1" t="s">
        <v>1117</v>
      </c>
      <c r="CT1819" s="1" t="s">
        <v>206</v>
      </c>
      <c r="CU1819" s="1" t="s">
        <v>617</v>
      </c>
      <c r="CV1819" s="1" t="s">
        <v>239</v>
      </c>
      <c r="CW1819" s="1" t="s">
        <v>6316</v>
      </c>
      <c r="CX1819" s="1" t="s">
        <v>206</v>
      </c>
      <c r="CY1819" s="1" t="s">
        <v>301</v>
      </c>
      <c r="CZ1819" s="1" t="s">
        <v>239</v>
      </c>
      <c r="DA1819" s="1" t="s">
        <v>200</v>
      </c>
      <c r="DC1819" s="1" t="s">
        <v>335</v>
      </c>
      <c r="DD1819" s="1" t="s">
        <v>926</v>
      </c>
      <c r="DE1819" s="1" t="s">
        <v>273</v>
      </c>
      <c r="DF1819" s="1" t="s">
        <v>219</v>
      </c>
      <c r="DG1819" s="1" t="s">
        <v>5528</v>
      </c>
      <c r="DH1819" s="1" t="s">
        <v>220</v>
      </c>
      <c r="DI1819" s="1" t="s">
        <v>17720</v>
      </c>
      <c r="DJ1819" s="1" t="s">
        <v>222</v>
      </c>
      <c r="DK1819" s="1" t="s">
        <v>223</v>
      </c>
      <c r="DL1819" s="1" t="s">
        <v>224</v>
      </c>
      <c r="DM1819" s="1" t="s">
        <v>338</v>
      </c>
      <c r="DN1819" s="1" t="s">
        <v>399</v>
      </c>
      <c r="DO1819" s="1" t="s">
        <v>17471</v>
      </c>
      <c r="DQ1819" s="1" t="s">
        <v>441</v>
      </c>
      <c r="DR1819" s="1" t="s">
        <v>588</v>
      </c>
      <c r="DS1819" s="1" t="s">
        <v>368</v>
      </c>
      <c r="DU1819" s="1" t="s">
        <v>442</v>
      </c>
      <c r="DV1819" s="1" t="s">
        <v>17721</v>
      </c>
      <c r="DW1819" s="1" t="s">
        <v>1820</v>
      </c>
      <c r="DX1819" s="1" t="s">
        <v>234</v>
      </c>
      <c r="DY1819" s="1" t="s">
        <v>17722</v>
      </c>
      <c r="DZ1819" s="1" t="s">
        <v>282</v>
      </c>
      <c r="EA1819" s="1" t="s">
        <v>1075</v>
      </c>
      <c r="EB1819" s="1" t="s">
        <v>345</v>
      </c>
      <c r="EC1819" s="1" t="s">
        <v>237</v>
      </c>
      <c r="ED1819" s="1" t="s">
        <v>555</v>
      </c>
      <c r="EE1819" s="1" t="s">
        <v>493</v>
      </c>
      <c r="EG1819" s="1" t="s">
        <v>557</v>
      </c>
      <c r="EH1819" s="1" t="s">
        <v>2971</v>
      </c>
      <c r="EI1819" s="1" t="s">
        <v>1164</v>
      </c>
      <c r="EK1819" s="1" t="s">
        <v>408</v>
      </c>
      <c r="EL1819" s="1" t="s">
        <v>1891</v>
      </c>
      <c r="EM1819" s="1" t="s">
        <v>209</v>
      </c>
      <c r="EN1819" s="1" t="s">
        <v>210</v>
      </c>
      <c r="EO1819" s="1" t="s">
        <v>239</v>
      </c>
      <c r="EP1819" s="1" t="s">
        <v>677</v>
      </c>
      <c r="EQ1819" s="1" t="s">
        <v>42</v>
      </c>
      <c r="ER1819" s="1" t="s">
        <v>1065</v>
      </c>
      <c r="ES1819" s="1" t="s">
        <v>229</v>
      </c>
      <c r="ET1819" s="1" t="s">
        <v>15085</v>
      </c>
      <c r="EU1819" s="1" t="s">
        <v>42</v>
      </c>
      <c r="EV1819" s="1" t="s">
        <v>210</v>
      </c>
      <c r="EW1819" s="1" t="s">
        <v>229</v>
      </c>
      <c r="EY1819" s="1" t="s">
        <v>238</v>
      </c>
      <c r="FB1819" s="1" t="s">
        <v>2083</v>
      </c>
      <c r="FC1819" s="1" t="s">
        <v>206</v>
      </c>
      <c r="FD1819" s="1" t="s">
        <v>301</v>
      </c>
      <c r="FE1819" s="1" t="s">
        <v>229</v>
      </c>
      <c r="FF1819" s="1" t="s">
        <v>239</v>
      </c>
      <c r="FG1819" s="1" t="s">
        <v>192</v>
      </c>
      <c r="FH1819" s="1" t="s">
        <v>192</v>
      </c>
      <c r="FJ1819" s="1" t="s">
        <v>17723</v>
      </c>
      <c r="FK1819" s="1" t="s">
        <v>229</v>
      </c>
      <c r="FL1819" s="1" t="s">
        <v>17724</v>
      </c>
      <c r="FM1819" s="1">
        <v>23705.0</v>
      </c>
      <c r="FN1819" s="1" t="s">
        <v>17725</v>
      </c>
      <c r="FO1819" s="1" t="s">
        <v>17726</v>
      </c>
      <c r="FP1819" s="1">
        <v>238198.0</v>
      </c>
      <c r="FQ1819" s="1" t="s">
        <v>17727</v>
      </c>
      <c r="FS1819" s="1" t="s">
        <v>17728</v>
      </c>
      <c r="FU1819" s="1" t="s">
        <v>17729</v>
      </c>
      <c r="FV1819" s="1" t="s">
        <v>200</v>
      </c>
      <c r="FW1819" s="1" t="s">
        <v>290</v>
      </c>
      <c r="FZ1819" s="1" t="s">
        <v>229</v>
      </c>
      <c r="GA1819" s="1" t="s">
        <v>291</v>
      </c>
      <c r="GB1819" s="2">
        <v>42065.0</v>
      </c>
      <c r="GC1819" s="1" t="s">
        <v>17730</v>
      </c>
    </row>
    <row r="1820">
      <c r="A1820" s="1">
        <v>410000.0</v>
      </c>
      <c r="B1820" s="1" t="s">
        <v>185</v>
      </c>
      <c r="C1820" s="1" t="str">
        <f>"08702888"</f>
        <v>08702888</v>
      </c>
      <c r="D1820" s="1" t="s">
        <v>186</v>
      </c>
      <c r="F1820" s="1" t="str">
        <f>"174"</f>
        <v>174</v>
      </c>
      <c r="G1820" s="2">
        <v>41866.0</v>
      </c>
      <c r="H1820" s="1">
        <v>434500.0</v>
      </c>
      <c r="I1820" s="1">
        <v>90.0</v>
      </c>
      <c r="J1820" s="1">
        <v>434500.0</v>
      </c>
      <c r="K1820" s="2">
        <v>41955.0</v>
      </c>
      <c r="L1820" s="1">
        <v>90.0</v>
      </c>
      <c r="M1820" s="2">
        <v>41955.0</v>
      </c>
      <c r="N1820" s="1" t="s">
        <v>356</v>
      </c>
      <c r="O1820" s="2">
        <v>42033.0</v>
      </c>
      <c r="P1820" s="1">
        <v>347.0</v>
      </c>
      <c r="Q1820" s="1">
        <v>358.0</v>
      </c>
      <c r="R1820" s="1">
        <v>13000.0</v>
      </c>
      <c r="S1820" s="1" t="s">
        <v>17731</v>
      </c>
      <c r="T1820" s="1" t="s">
        <v>17732</v>
      </c>
      <c r="U1820" s="1" t="s">
        <v>464</v>
      </c>
      <c r="V1820" s="1" t="s">
        <v>1200</v>
      </c>
      <c r="W1820" s="1">
        <v>60175.0</v>
      </c>
      <c r="Y1820" s="1" t="s">
        <v>17733</v>
      </c>
      <c r="Z1820" s="1">
        <v>1996.0</v>
      </c>
      <c r="AA1820" s="1" t="s">
        <v>200</v>
      </c>
      <c r="AB1820" s="1" t="s">
        <v>193</v>
      </c>
      <c r="AD1820" s="1" t="s">
        <v>1203</v>
      </c>
      <c r="AE1820" s="1" t="s">
        <v>325</v>
      </c>
      <c r="AF1820" s="1" t="s">
        <v>1203</v>
      </c>
      <c r="AH1820" s="1">
        <v>54450.0</v>
      </c>
      <c r="AI1820" s="1">
        <v>1.25</v>
      </c>
      <c r="AK1820" s="1">
        <v>11.0</v>
      </c>
      <c r="AL1820" s="1">
        <v>4.0</v>
      </c>
      <c r="AM1820" s="1">
        <v>4.0</v>
      </c>
      <c r="AN1820" s="1">
        <v>0.0</v>
      </c>
      <c r="AO1820" s="1" t="s">
        <v>198</v>
      </c>
      <c r="AP1820" s="1">
        <v>2.0</v>
      </c>
      <c r="AQ1820" s="1" t="s">
        <v>198</v>
      </c>
      <c r="AR1820" s="1" t="s">
        <v>200</v>
      </c>
      <c r="AS1820" s="1" t="s">
        <v>199</v>
      </c>
      <c r="AT1820" s="1">
        <v>3.0</v>
      </c>
      <c r="AV1820" s="1" t="s">
        <v>200</v>
      </c>
      <c r="AW1820" s="1">
        <v>14034.0</v>
      </c>
      <c r="AX1820" s="1">
        <v>2012.0</v>
      </c>
      <c r="AZ1820" s="1" t="s">
        <v>200</v>
      </c>
      <c r="BA1820" s="1" t="str">
        <f>"0908151001"</f>
        <v>0908151001</v>
      </c>
      <c r="BB1820" s="1" t="s">
        <v>200</v>
      </c>
      <c r="BC1820" s="1">
        <v>3956.0</v>
      </c>
      <c r="BD1820" s="1">
        <v>410000.0</v>
      </c>
      <c r="BE1820" s="2">
        <v>41866.0</v>
      </c>
      <c r="BF1820" s="2" t="s">
        <v>17734</v>
      </c>
      <c r="BH1820" s="1">
        <v>0.0</v>
      </c>
      <c r="BK1820" s="1" t="s">
        <v>204</v>
      </c>
      <c r="BL1820" s="1" t="str">
        <f>"36"</f>
        <v>36</v>
      </c>
      <c r="BM1820" s="1" t="str">
        <f t="shared" ref="BM1820:BM1823" si="1204">"0"</f>
        <v>0</v>
      </c>
      <c r="BN1820" s="1">
        <v>12.0</v>
      </c>
      <c r="BO1820" s="1">
        <v>0.0</v>
      </c>
      <c r="BQ1820" s="1">
        <v>303.0</v>
      </c>
      <c r="BR1820" s="1">
        <v>303.0</v>
      </c>
      <c r="BS1820" s="1">
        <v>303.0</v>
      </c>
      <c r="BU1820" s="1" t="s">
        <v>3045</v>
      </c>
      <c r="BV1820" s="1" t="s">
        <v>206</v>
      </c>
      <c r="BW1820" s="1" t="s">
        <v>207</v>
      </c>
      <c r="BY1820" s="1" t="s">
        <v>1534</v>
      </c>
      <c r="BZ1820" s="1" t="s">
        <v>206</v>
      </c>
      <c r="CA1820" s="1" t="s">
        <v>210</v>
      </c>
      <c r="CC1820" s="1" t="s">
        <v>2900</v>
      </c>
      <c r="CD1820" s="1" t="s">
        <v>206</v>
      </c>
      <c r="CE1820" s="1" t="s">
        <v>207</v>
      </c>
      <c r="CG1820" s="1" t="s">
        <v>264</v>
      </c>
      <c r="CH1820" s="1" t="s">
        <v>209</v>
      </c>
      <c r="CI1820" s="1" t="s">
        <v>210</v>
      </c>
      <c r="CK1820" s="1" t="s">
        <v>3888</v>
      </c>
      <c r="CL1820" s="1" t="s">
        <v>209</v>
      </c>
      <c r="CM1820" s="1" t="s">
        <v>210</v>
      </c>
      <c r="CO1820" s="1" t="s">
        <v>4919</v>
      </c>
      <c r="CP1820" s="1" t="s">
        <v>209</v>
      </c>
      <c r="CQ1820" s="1" t="s">
        <v>210</v>
      </c>
      <c r="CS1820" s="1" t="s">
        <v>480</v>
      </c>
      <c r="CT1820" s="1" t="s">
        <v>206</v>
      </c>
      <c r="CU1820" s="1" t="s">
        <v>207</v>
      </c>
      <c r="CW1820" s="1" t="s">
        <v>3202</v>
      </c>
      <c r="CX1820" s="1" t="s">
        <v>206</v>
      </c>
      <c r="CY1820" s="1" t="s">
        <v>207</v>
      </c>
      <c r="DA1820" s="1" t="s">
        <v>200</v>
      </c>
      <c r="DC1820" s="1" t="s">
        <v>678</v>
      </c>
      <c r="DE1820" s="1" t="s">
        <v>273</v>
      </c>
      <c r="DF1820" s="1" t="s">
        <v>745</v>
      </c>
      <c r="DH1820" s="1" t="s">
        <v>856</v>
      </c>
      <c r="DJ1820" s="1" t="s">
        <v>857</v>
      </c>
      <c r="DL1820" s="1" t="s">
        <v>484</v>
      </c>
      <c r="DM1820" s="1" t="s">
        <v>229</v>
      </c>
      <c r="DN1820" s="1" t="s">
        <v>367</v>
      </c>
      <c r="DQ1820" s="1" t="s">
        <v>931</v>
      </c>
      <c r="DR1820" s="1" t="s">
        <v>229</v>
      </c>
      <c r="DS1820" s="1" t="s">
        <v>368</v>
      </c>
      <c r="DU1820" s="1" t="s">
        <v>17735</v>
      </c>
      <c r="DV1820" s="1" t="s">
        <v>17736</v>
      </c>
      <c r="DW1820" s="1" t="s">
        <v>1210</v>
      </c>
      <c r="DX1820" s="1" t="s">
        <v>234</v>
      </c>
      <c r="DY1820" s="1" t="s">
        <v>9915</v>
      </c>
      <c r="DZ1820" s="1" t="s">
        <v>17737</v>
      </c>
      <c r="EB1820" s="1" t="s">
        <v>9273</v>
      </c>
      <c r="EC1820" s="1" t="s">
        <v>237</v>
      </c>
      <c r="EG1820" s="1" t="s">
        <v>341</v>
      </c>
      <c r="EH1820" s="1" t="s">
        <v>1228</v>
      </c>
      <c r="EI1820" s="1" t="s">
        <v>1102</v>
      </c>
      <c r="EJ1820" s="1" t="s">
        <v>720</v>
      </c>
      <c r="EK1820" s="1" t="s">
        <v>408</v>
      </c>
      <c r="EL1820" s="1" t="s">
        <v>1352</v>
      </c>
      <c r="EM1820" s="1" t="s">
        <v>209</v>
      </c>
      <c r="EN1820" s="1" t="s">
        <v>207</v>
      </c>
      <c r="EP1820" s="1" t="s">
        <v>1483</v>
      </c>
      <c r="EQ1820" s="1" t="s">
        <v>206</v>
      </c>
      <c r="ER1820" s="1" t="s">
        <v>207</v>
      </c>
      <c r="ET1820" s="1" t="s">
        <v>393</v>
      </c>
      <c r="EU1820" s="1" t="s">
        <v>206</v>
      </c>
      <c r="EV1820" s="1" t="s">
        <v>207</v>
      </c>
      <c r="EX1820" s="1" t="s">
        <v>1746</v>
      </c>
      <c r="EY1820" s="1" t="s">
        <v>206</v>
      </c>
      <c r="EZ1820" s="1" t="s">
        <v>268</v>
      </c>
      <c r="FB1820" s="1" t="s">
        <v>1352</v>
      </c>
      <c r="FC1820" s="1" t="s">
        <v>206</v>
      </c>
      <c r="FD1820" s="1" t="s">
        <v>207</v>
      </c>
      <c r="FF1820" s="1" t="s">
        <v>239</v>
      </c>
      <c r="FG1820" s="1" t="s">
        <v>192</v>
      </c>
      <c r="FH1820" s="1" t="s">
        <v>192</v>
      </c>
      <c r="FJ1820" s="1" t="s">
        <v>524</v>
      </c>
      <c r="FK1820" s="1" t="s">
        <v>229</v>
      </c>
      <c r="FL1820" s="1" t="s">
        <v>15880</v>
      </c>
      <c r="FM1820" s="1">
        <v>534.0</v>
      </c>
      <c r="FN1820" s="1" t="s">
        <v>11801</v>
      </c>
      <c r="FO1820" s="1" t="s">
        <v>15881</v>
      </c>
      <c r="FP1820" s="1">
        <v>2190.0</v>
      </c>
      <c r="FQ1820" s="1" t="s">
        <v>15882</v>
      </c>
      <c r="FU1820" s="1" t="s">
        <v>17738</v>
      </c>
      <c r="FV1820" s="1" t="s">
        <v>200</v>
      </c>
      <c r="FW1820" s="1" t="s">
        <v>461</v>
      </c>
      <c r="FZ1820" s="1" t="s">
        <v>229</v>
      </c>
      <c r="GA1820" s="1" t="s">
        <v>291</v>
      </c>
      <c r="GB1820" s="2">
        <v>42034.0</v>
      </c>
      <c r="GC1820" s="1" t="s">
        <v>17739</v>
      </c>
    </row>
    <row r="1821">
      <c r="A1821" s="1">
        <v>338580.0</v>
      </c>
      <c r="B1821" s="1" t="s">
        <v>185</v>
      </c>
      <c r="C1821" s="1" t="str">
        <f>"08716311"</f>
        <v>08716311</v>
      </c>
      <c r="D1821" s="1" t="s">
        <v>186</v>
      </c>
      <c r="F1821" s="1" t="str">
        <f>"110"</f>
        <v>110</v>
      </c>
      <c r="G1821" s="2">
        <v>41884.0</v>
      </c>
      <c r="H1821" s="1">
        <v>305690.0</v>
      </c>
      <c r="I1821" s="1">
        <v>12.0</v>
      </c>
      <c r="J1821" s="1">
        <v>305690.0</v>
      </c>
      <c r="K1821" s="2">
        <v>41895.0</v>
      </c>
      <c r="L1821" s="1">
        <v>12.0</v>
      </c>
      <c r="M1821" s="2">
        <v>41895.0</v>
      </c>
      <c r="N1821" s="1" t="s">
        <v>187</v>
      </c>
      <c r="O1821" s="2">
        <v>42033.0</v>
      </c>
      <c r="P1821" s="1">
        <v>99995.0</v>
      </c>
      <c r="Q1821" s="1" t="s">
        <v>947</v>
      </c>
      <c r="S1821" s="1">
        <v>3597.0</v>
      </c>
      <c r="T1821" s="1" t="s">
        <v>4439</v>
      </c>
      <c r="U1821" s="1" t="s">
        <v>1174</v>
      </c>
      <c r="V1821" s="1" t="s">
        <v>807</v>
      </c>
      <c r="W1821" s="1">
        <v>60110.0</v>
      </c>
      <c r="Y1821" s="1" t="s">
        <v>13841</v>
      </c>
      <c r="Z1821" s="1">
        <v>2014.0</v>
      </c>
      <c r="AA1821" s="1" t="s">
        <v>200</v>
      </c>
      <c r="AB1821" s="1" t="s">
        <v>467</v>
      </c>
      <c r="AC1821" s="1" t="s">
        <v>1176</v>
      </c>
      <c r="AD1821" s="1" t="s">
        <v>809</v>
      </c>
      <c r="AE1821" s="1" t="s">
        <v>325</v>
      </c>
      <c r="AF1821" s="1" t="s">
        <v>810</v>
      </c>
      <c r="AG1821" s="1" t="s">
        <v>13842</v>
      </c>
      <c r="AH1821" s="1" t="s">
        <v>13843</v>
      </c>
      <c r="AI1821" s="1">
        <v>0.25</v>
      </c>
      <c r="AK1821" s="1">
        <v>7.0</v>
      </c>
      <c r="AL1821" s="1">
        <v>4.0</v>
      </c>
      <c r="AM1821" s="1">
        <v>2.0</v>
      </c>
      <c r="AN1821" s="1">
        <v>1.0</v>
      </c>
      <c r="AO1821" s="1" t="s">
        <v>198</v>
      </c>
      <c r="AQ1821" s="1" t="s">
        <v>198</v>
      </c>
      <c r="AR1821" s="1" t="s">
        <v>200</v>
      </c>
      <c r="AS1821" s="1" t="s">
        <v>199</v>
      </c>
      <c r="AT1821" s="1">
        <v>3.0</v>
      </c>
      <c r="AV1821" s="1" t="s">
        <v>200</v>
      </c>
      <c r="AW1821" s="1" t="s">
        <v>575</v>
      </c>
      <c r="AX1821" s="1">
        <v>2013.0</v>
      </c>
      <c r="AY1821" s="1" t="s">
        <v>387</v>
      </c>
      <c r="AZ1821" s="1" t="s">
        <v>200</v>
      </c>
      <c r="BA1821" s="1" t="str">
        <f>"0212430006"</f>
        <v>0212430006</v>
      </c>
      <c r="BB1821" s="1" t="s">
        <v>200</v>
      </c>
      <c r="BC1821" s="1">
        <v>3295.0</v>
      </c>
      <c r="BD1821" s="1">
        <v>338580.0</v>
      </c>
      <c r="BE1821" s="2">
        <v>41884.0</v>
      </c>
      <c r="BF1821" s="2" t="s">
        <v>17740</v>
      </c>
      <c r="BG1821" s="1" t="s">
        <v>1181</v>
      </c>
      <c r="BH1821" s="1">
        <v>37.0</v>
      </c>
      <c r="BI1821" s="1" t="s">
        <v>1093</v>
      </c>
      <c r="BJ1821" s="1" t="s">
        <v>1182</v>
      </c>
      <c r="BK1821" s="1" t="s">
        <v>474</v>
      </c>
      <c r="BL1821" s="1" t="str">
        <f>"18"</f>
        <v>18</v>
      </c>
      <c r="BM1821" s="1" t="str">
        <f t="shared" si="1204"/>
        <v>0</v>
      </c>
      <c r="BN1821" s="1">
        <v>37.0</v>
      </c>
      <c r="BO1821" s="1">
        <v>0.0</v>
      </c>
      <c r="BQ1821" s="1">
        <v>300.0</v>
      </c>
      <c r="BR1821" s="1">
        <v>300.0</v>
      </c>
      <c r="BS1821" s="1">
        <v>300.0</v>
      </c>
      <c r="BV1821" s="1" t="s">
        <v>204</v>
      </c>
      <c r="BY1821" s="1" t="s">
        <v>830</v>
      </c>
      <c r="BZ1821" s="1" t="s">
        <v>209</v>
      </c>
      <c r="CA1821" s="1" t="s">
        <v>210</v>
      </c>
      <c r="CB1821" s="1" t="s">
        <v>229</v>
      </c>
      <c r="CD1821" s="1" t="s">
        <v>204</v>
      </c>
      <c r="CG1821" s="1" t="s">
        <v>302</v>
      </c>
      <c r="CH1821" s="1" t="s">
        <v>209</v>
      </c>
      <c r="CI1821" s="1" t="s">
        <v>210</v>
      </c>
      <c r="CJ1821" s="1" t="s">
        <v>229</v>
      </c>
      <c r="CK1821" s="1" t="s">
        <v>1417</v>
      </c>
      <c r="CL1821" s="1" t="s">
        <v>209</v>
      </c>
      <c r="CM1821" s="1" t="s">
        <v>210</v>
      </c>
      <c r="CO1821" s="1" t="s">
        <v>2459</v>
      </c>
      <c r="CP1821" s="1" t="s">
        <v>209</v>
      </c>
      <c r="CQ1821" s="1" t="s">
        <v>210</v>
      </c>
      <c r="CS1821" s="1" t="s">
        <v>1612</v>
      </c>
      <c r="CT1821" s="1" t="s">
        <v>206</v>
      </c>
      <c r="CU1821" s="1" t="s">
        <v>617</v>
      </c>
      <c r="CV1821" s="1" t="s">
        <v>229</v>
      </c>
      <c r="CX1821" s="1" t="s">
        <v>204</v>
      </c>
      <c r="DA1821" s="1" t="s">
        <v>192</v>
      </c>
      <c r="DB1821" s="2">
        <v>42035.0</v>
      </c>
      <c r="DC1821" s="1" t="s">
        <v>585</v>
      </c>
      <c r="DD1821" s="1" t="s">
        <v>1484</v>
      </c>
      <c r="DE1821" s="1" t="s">
        <v>273</v>
      </c>
      <c r="DF1821" s="1" t="s">
        <v>619</v>
      </c>
      <c r="DG1821" s="1" t="s">
        <v>482</v>
      </c>
      <c r="DH1821" s="1" t="s">
        <v>220</v>
      </c>
      <c r="DI1821" s="1" t="s">
        <v>275</v>
      </c>
      <c r="DJ1821" s="1" t="s">
        <v>1048</v>
      </c>
      <c r="DK1821" s="1" t="s">
        <v>223</v>
      </c>
      <c r="DL1821" s="1" t="s">
        <v>223</v>
      </c>
      <c r="DM1821" s="1" t="s">
        <v>338</v>
      </c>
      <c r="DN1821" s="1" t="s">
        <v>548</v>
      </c>
      <c r="DP1821" s="1" t="s">
        <v>340</v>
      </c>
      <c r="DQ1821" s="1" t="s">
        <v>228</v>
      </c>
      <c r="DR1821" s="1" t="s">
        <v>588</v>
      </c>
      <c r="DS1821" s="1" t="s">
        <v>368</v>
      </c>
      <c r="DV1821" s="1" t="s">
        <v>14366</v>
      </c>
      <c r="DW1821" s="1" t="s">
        <v>279</v>
      </c>
      <c r="DX1821" s="1" t="s">
        <v>234</v>
      </c>
      <c r="EA1821" s="1" t="s">
        <v>344</v>
      </c>
      <c r="EC1821" s="1" t="s">
        <v>237</v>
      </c>
      <c r="EG1821" s="1" t="s">
        <v>341</v>
      </c>
      <c r="EI1821" s="1" t="s">
        <v>1164</v>
      </c>
      <c r="EL1821" s="1" t="s">
        <v>2647</v>
      </c>
      <c r="EM1821" s="1" t="s">
        <v>209</v>
      </c>
      <c r="EN1821" s="1" t="s">
        <v>210</v>
      </c>
      <c r="EO1821" s="1" t="s">
        <v>229</v>
      </c>
      <c r="EQ1821" s="1" t="s">
        <v>238</v>
      </c>
      <c r="ET1821" s="1" t="s">
        <v>364</v>
      </c>
      <c r="EU1821" s="1" t="s">
        <v>206</v>
      </c>
      <c r="EV1821" s="1" t="s">
        <v>210</v>
      </c>
      <c r="EW1821" s="1" t="s">
        <v>229</v>
      </c>
      <c r="EY1821" s="1" t="s">
        <v>238</v>
      </c>
      <c r="FC1821" s="1" t="s">
        <v>238</v>
      </c>
      <c r="FF1821" s="1" t="s">
        <v>239</v>
      </c>
      <c r="FG1821" s="1" t="s">
        <v>192</v>
      </c>
      <c r="FH1821" s="1" t="s">
        <v>192</v>
      </c>
      <c r="FJ1821" s="1" t="s">
        <v>14367</v>
      </c>
      <c r="FK1821" s="1" t="s">
        <v>229</v>
      </c>
      <c r="FL1821" s="1" t="s">
        <v>1192</v>
      </c>
      <c r="FM1821" s="1">
        <v>8702.0</v>
      </c>
      <c r="FN1821" s="1" t="s">
        <v>1193</v>
      </c>
      <c r="FO1821" s="1" t="s">
        <v>1194</v>
      </c>
      <c r="FP1821" s="1">
        <v>21163.0</v>
      </c>
      <c r="FQ1821" s="1" t="s">
        <v>1195</v>
      </c>
      <c r="FU1821" s="1" t="s">
        <v>17741</v>
      </c>
      <c r="FV1821" s="1" t="s">
        <v>200</v>
      </c>
      <c r="FW1821" s="1" t="s">
        <v>1197</v>
      </c>
      <c r="FZ1821" s="1" t="s">
        <v>229</v>
      </c>
      <c r="GA1821" s="1" t="s">
        <v>291</v>
      </c>
      <c r="GB1821" s="2">
        <v>42037.0</v>
      </c>
      <c r="GC1821" s="1" t="s">
        <v>17742</v>
      </c>
    </row>
    <row r="1822">
      <c r="A1822" s="1">
        <v>300000.0</v>
      </c>
      <c r="B1822" s="1" t="s">
        <v>185</v>
      </c>
      <c r="C1822" s="1" t="str">
        <f>"08710636"</f>
        <v>08710636</v>
      </c>
      <c r="D1822" s="1" t="s">
        <v>186</v>
      </c>
      <c r="F1822" s="1" t="str">
        <f>"8017"</f>
        <v>8017</v>
      </c>
      <c r="G1822" s="2">
        <v>41876.0</v>
      </c>
      <c r="H1822" s="1">
        <v>319000.0</v>
      </c>
      <c r="I1822" s="1">
        <v>105.0</v>
      </c>
      <c r="J1822" s="1">
        <v>307500.0</v>
      </c>
      <c r="K1822" s="2">
        <v>41939.0</v>
      </c>
      <c r="L1822" s="1">
        <v>64.0</v>
      </c>
      <c r="M1822" s="2">
        <v>41939.0</v>
      </c>
      <c r="N1822" s="1" t="s">
        <v>187</v>
      </c>
      <c r="O1822" s="2">
        <v>41974.0</v>
      </c>
      <c r="P1822" s="1">
        <v>168945.0</v>
      </c>
      <c r="Q1822" s="1">
        <v>14210.0</v>
      </c>
      <c r="S1822" s="1">
        <v>3658.0</v>
      </c>
      <c r="T1822" s="1" t="s">
        <v>6152</v>
      </c>
      <c r="U1822" s="1" t="s">
        <v>189</v>
      </c>
      <c r="V1822" s="1" t="s">
        <v>190</v>
      </c>
      <c r="W1822" s="1">
        <v>60634.0</v>
      </c>
      <c r="Y1822" s="1" t="s">
        <v>17743</v>
      </c>
      <c r="Z1822" s="1">
        <v>1949.0</v>
      </c>
      <c r="AA1822" s="1" t="s">
        <v>192</v>
      </c>
      <c r="AB1822" s="1" t="s">
        <v>193</v>
      </c>
      <c r="AD1822" s="1" t="s">
        <v>194</v>
      </c>
      <c r="AE1822" s="1" t="s">
        <v>195</v>
      </c>
      <c r="AF1822" s="1" t="s">
        <v>196</v>
      </c>
      <c r="AG1822" s="1" t="s">
        <v>11691</v>
      </c>
      <c r="AH1822" s="1" t="s">
        <v>4084</v>
      </c>
      <c r="AI1822" s="1">
        <v>0.0843</v>
      </c>
      <c r="AK1822" s="1">
        <v>8.0</v>
      </c>
      <c r="AL1822" s="1">
        <v>3.0</v>
      </c>
      <c r="AM1822" s="1">
        <v>2.0</v>
      </c>
      <c r="AN1822" s="1">
        <v>0.0</v>
      </c>
      <c r="AO1822" s="1" t="s">
        <v>229</v>
      </c>
      <c r="AP1822" s="1">
        <v>1.0</v>
      </c>
      <c r="AQ1822" s="1" t="s">
        <v>198</v>
      </c>
      <c r="AR1822" s="1" t="s">
        <v>192</v>
      </c>
      <c r="AS1822" s="1" t="s">
        <v>510</v>
      </c>
      <c r="AT1822" s="1">
        <v>2.1</v>
      </c>
      <c r="AU1822" s="1">
        <v>1.0</v>
      </c>
      <c r="AV1822" s="1" t="s">
        <v>200</v>
      </c>
      <c r="AW1822" s="1">
        <v>3917.0</v>
      </c>
      <c r="AX1822" s="1">
        <v>2013.0</v>
      </c>
      <c r="AY1822" s="1" t="s">
        <v>387</v>
      </c>
      <c r="AZ1822" s="1" t="s">
        <v>200</v>
      </c>
      <c r="BA1822" s="1" t="str">
        <f>"13191320310000"</f>
        <v>13191320310000</v>
      </c>
      <c r="BB1822" s="1" t="s">
        <v>200</v>
      </c>
      <c r="BC1822" s="1">
        <v>1350.0</v>
      </c>
      <c r="BD1822" s="1">
        <v>300000.0</v>
      </c>
      <c r="BE1822" s="2">
        <v>41876.0</v>
      </c>
      <c r="BF1822" s="2" t="s">
        <v>17744</v>
      </c>
      <c r="BG1822" s="1" t="s">
        <v>12861</v>
      </c>
      <c r="BH1822" s="1">
        <v>0.0</v>
      </c>
      <c r="BI1822" s="1" t="s">
        <v>12861</v>
      </c>
      <c r="BJ1822" s="1" t="s">
        <v>13963</v>
      </c>
      <c r="BK1822" s="1" t="s">
        <v>204</v>
      </c>
      <c r="BL1822" s="1" t="str">
        <f>"3658"</f>
        <v>3658</v>
      </c>
      <c r="BM1822" s="1" t="str">
        <f t="shared" si="1204"/>
        <v>0</v>
      </c>
      <c r="BN1822" s="1">
        <v>6932.0</v>
      </c>
      <c r="BO1822" s="1">
        <v>0.0</v>
      </c>
      <c r="BQ1822" s="1">
        <v>299.0</v>
      </c>
      <c r="BR1822" s="1">
        <v>299.0</v>
      </c>
      <c r="BS1822" s="1">
        <v>299.0</v>
      </c>
      <c r="BU1822" s="1" t="s">
        <v>211</v>
      </c>
      <c r="BV1822" s="1" t="s">
        <v>206</v>
      </c>
      <c r="BW1822" s="1" t="s">
        <v>207</v>
      </c>
      <c r="BY1822" s="1" t="s">
        <v>212</v>
      </c>
      <c r="BZ1822" s="1" t="s">
        <v>206</v>
      </c>
      <c r="CA1822" s="1" t="s">
        <v>207</v>
      </c>
      <c r="CC1822" s="1" t="s">
        <v>699</v>
      </c>
      <c r="CD1822" s="1" t="s">
        <v>206</v>
      </c>
      <c r="CE1822" s="1" t="s">
        <v>207</v>
      </c>
      <c r="CG1822" s="1" t="s">
        <v>454</v>
      </c>
      <c r="CH1822" s="1" t="s">
        <v>209</v>
      </c>
      <c r="CI1822" s="1" t="s">
        <v>210</v>
      </c>
      <c r="CK1822" s="1" t="s">
        <v>433</v>
      </c>
      <c r="CL1822" s="1" t="s">
        <v>209</v>
      </c>
      <c r="CM1822" s="1" t="s">
        <v>210</v>
      </c>
      <c r="CO1822" s="1" t="s">
        <v>1298</v>
      </c>
      <c r="CP1822" s="1" t="s">
        <v>42</v>
      </c>
      <c r="CQ1822" s="1" t="s">
        <v>268</v>
      </c>
      <c r="CS1822" s="1" t="s">
        <v>211</v>
      </c>
      <c r="CT1822" s="1" t="s">
        <v>206</v>
      </c>
      <c r="CU1822" s="1" t="s">
        <v>207</v>
      </c>
      <c r="CW1822" s="1" t="s">
        <v>784</v>
      </c>
      <c r="CX1822" s="1" t="s">
        <v>42</v>
      </c>
      <c r="CY1822" s="1" t="s">
        <v>268</v>
      </c>
      <c r="DA1822" s="1" t="s">
        <v>200</v>
      </c>
      <c r="DC1822" s="1" t="s">
        <v>702</v>
      </c>
      <c r="DD1822" s="1" t="s">
        <v>926</v>
      </c>
      <c r="DE1822" s="1" t="s">
        <v>273</v>
      </c>
      <c r="DF1822" s="1" t="s">
        <v>219</v>
      </c>
      <c r="DG1822" s="1" t="s">
        <v>1400</v>
      </c>
      <c r="DH1822" s="1" t="s">
        <v>365</v>
      </c>
      <c r="DI1822" s="1" t="s">
        <v>17745</v>
      </c>
      <c r="DJ1822" s="1" t="s">
        <v>3345</v>
      </c>
      <c r="DL1822" s="1" t="s">
        <v>1161</v>
      </c>
      <c r="DM1822" s="1" t="s">
        <v>229</v>
      </c>
      <c r="DO1822" s="1" t="s">
        <v>1004</v>
      </c>
      <c r="DP1822" s="1" t="s">
        <v>340</v>
      </c>
      <c r="DQ1822" s="1" t="s">
        <v>718</v>
      </c>
      <c r="DR1822" s="1" t="s">
        <v>229</v>
      </c>
      <c r="DS1822" s="1" t="s">
        <v>401</v>
      </c>
      <c r="DU1822" s="1" t="s">
        <v>17746</v>
      </c>
      <c r="DV1822" s="1" t="s">
        <v>9507</v>
      </c>
      <c r="DW1822" s="1" t="s">
        <v>279</v>
      </c>
      <c r="DX1822" s="1" t="s">
        <v>234</v>
      </c>
      <c r="DY1822" s="1" t="s">
        <v>553</v>
      </c>
      <c r="DZ1822" s="1" t="s">
        <v>1100</v>
      </c>
      <c r="EA1822" s="1" t="s">
        <v>257</v>
      </c>
      <c r="EB1822" s="1" t="s">
        <v>2915</v>
      </c>
      <c r="EC1822" s="1" t="s">
        <v>645</v>
      </c>
      <c r="ED1822" s="1" t="s">
        <v>407</v>
      </c>
      <c r="EF1822" s="1" t="s">
        <v>523</v>
      </c>
      <c r="EG1822" s="1" t="s">
        <v>1270</v>
      </c>
      <c r="EH1822" s="1" t="s">
        <v>310</v>
      </c>
      <c r="EL1822" s="1" t="s">
        <v>2508</v>
      </c>
      <c r="EM1822" s="1" t="s">
        <v>42</v>
      </c>
      <c r="EN1822" s="1" t="s">
        <v>588</v>
      </c>
      <c r="EP1822" s="1" t="s">
        <v>392</v>
      </c>
      <c r="EQ1822" s="1" t="s">
        <v>206</v>
      </c>
      <c r="ER1822" s="1" t="s">
        <v>588</v>
      </c>
      <c r="EU1822" s="1" t="s">
        <v>238</v>
      </c>
      <c r="EY1822" s="1" t="s">
        <v>238</v>
      </c>
      <c r="FC1822" s="1" t="s">
        <v>238</v>
      </c>
      <c r="FF1822" s="1" t="s">
        <v>239</v>
      </c>
      <c r="FG1822" s="1" t="s">
        <v>192</v>
      </c>
      <c r="FH1822" s="1" t="s">
        <v>192</v>
      </c>
      <c r="FJ1822" s="1" t="s">
        <v>412</v>
      </c>
      <c r="FK1822" s="1" t="s">
        <v>229</v>
      </c>
      <c r="FL1822" s="1" t="s">
        <v>413</v>
      </c>
      <c r="FM1822" s="1">
        <v>13691.0</v>
      </c>
      <c r="FN1822" s="1" t="s">
        <v>414</v>
      </c>
      <c r="FO1822" s="1" t="s">
        <v>17747</v>
      </c>
      <c r="FP1822" s="1">
        <v>110924.0</v>
      </c>
      <c r="FQ1822" s="1" t="s">
        <v>17748</v>
      </c>
      <c r="FU1822" s="1" t="s">
        <v>710</v>
      </c>
      <c r="FV1822" s="1" t="s">
        <v>192</v>
      </c>
      <c r="FW1822" s="1" t="s">
        <v>567</v>
      </c>
      <c r="FX1822" s="1" t="s">
        <v>238</v>
      </c>
      <c r="FZ1822" s="1" t="s">
        <v>229</v>
      </c>
      <c r="GA1822" s="1" t="s">
        <v>291</v>
      </c>
      <c r="GB1822" s="2">
        <v>41975.0</v>
      </c>
      <c r="GC1822" s="1" t="s">
        <v>17749</v>
      </c>
    </row>
    <row r="1823">
      <c r="A1823" s="1">
        <v>119900.0</v>
      </c>
      <c r="B1823" s="1" t="s">
        <v>185</v>
      </c>
      <c r="C1823" s="1" t="str">
        <f>"08709425"</f>
        <v>08709425</v>
      </c>
      <c r="D1823" s="1" t="s">
        <v>186</v>
      </c>
      <c r="F1823" s="1" t="str">
        <f>"123"</f>
        <v>123</v>
      </c>
      <c r="G1823" s="2">
        <v>41873.0</v>
      </c>
      <c r="H1823" s="1">
        <v>119900.0</v>
      </c>
      <c r="I1823" s="1">
        <v>49.0</v>
      </c>
      <c r="J1823" s="1">
        <v>119900.0</v>
      </c>
      <c r="K1823" s="2">
        <v>41921.0</v>
      </c>
      <c r="L1823" s="1">
        <v>49.0</v>
      </c>
      <c r="M1823" s="2">
        <v>41921.0</v>
      </c>
      <c r="N1823" s="1" t="s">
        <v>187</v>
      </c>
      <c r="O1823" s="2">
        <v>42107.0</v>
      </c>
      <c r="P1823" s="1">
        <v>8848.0</v>
      </c>
      <c r="Q1823" s="1">
        <v>372.0</v>
      </c>
      <c r="S1823" s="1">
        <v>471.0</v>
      </c>
      <c r="T1823" s="1" t="s">
        <v>2436</v>
      </c>
      <c r="U1823" s="1" t="s">
        <v>189</v>
      </c>
      <c r="V1823" s="1" t="s">
        <v>465</v>
      </c>
      <c r="W1823" s="1">
        <v>60120.0</v>
      </c>
      <c r="Y1823" s="1" t="s">
        <v>17750</v>
      </c>
      <c r="Z1823" s="1">
        <v>1916.0</v>
      </c>
      <c r="AA1823" s="1" t="s">
        <v>192</v>
      </c>
      <c r="AB1823" s="1" t="s">
        <v>193</v>
      </c>
      <c r="AD1823" s="1" t="s">
        <v>469</v>
      </c>
      <c r="AE1823" s="1" t="s">
        <v>325</v>
      </c>
      <c r="AF1823" s="1" t="s">
        <v>469</v>
      </c>
      <c r="AH1823" s="1" t="s">
        <v>17751</v>
      </c>
      <c r="AI1823" s="1">
        <v>0.0</v>
      </c>
      <c r="AK1823" s="1">
        <v>9.0</v>
      </c>
      <c r="AL1823" s="1">
        <v>4.0</v>
      </c>
      <c r="AM1823" s="1">
        <v>1.0</v>
      </c>
      <c r="AN1823" s="1">
        <v>1.0</v>
      </c>
      <c r="AO1823" s="1" t="s">
        <v>229</v>
      </c>
      <c r="AP1823" s="1">
        <v>0.0</v>
      </c>
      <c r="AQ1823" s="1" t="s">
        <v>198</v>
      </c>
      <c r="AR1823" s="1" t="s">
        <v>192</v>
      </c>
      <c r="AS1823" s="1" t="s">
        <v>199</v>
      </c>
      <c r="AT1823" s="1">
        <v>2.0</v>
      </c>
      <c r="AV1823" s="1" t="s">
        <v>200</v>
      </c>
      <c r="AW1823" s="1">
        <v>1663.0</v>
      </c>
      <c r="AX1823" s="1">
        <v>2012.0</v>
      </c>
      <c r="AY1823" s="1" t="s">
        <v>387</v>
      </c>
      <c r="AZ1823" s="1" t="s">
        <v>200</v>
      </c>
      <c r="BA1823" s="1" t="str">
        <f>"0624208006"</f>
        <v>0624208006</v>
      </c>
      <c r="BC1823" s="1">
        <v>1663.0</v>
      </c>
      <c r="BD1823" s="1">
        <v>119900.0</v>
      </c>
      <c r="BE1823" s="2">
        <v>41873.0</v>
      </c>
      <c r="BF1823" s="2" t="s">
        <v>17752</v>
      </c>
      <c r="BH1823" s="1">
        <v>0.0</v>
      </c>
      <c r="BK1823" s="1" t="s">
        <v>204</v>
      </c>
      <c r="BL1823" s="1" t="str">
        <f>"11"</f>
        <v>11</v>
      </c>
      <c r="BM1823" s="1" t="str">
        <f t="shared" si="1204"/>
        <v>0</v>
      </c>
      <c r="BN1823" s="1">
        <v>33.0</v>
      </c>
      <c r="BO1823" s="1">
        <v>0.0</v>
      </c>
      <c r="BQ1823" s="1">
        <v>46.0</v>
      </c>
      <c r="BR1823" s="1">
        <v>46.0</v>
      </c>
      <c r="BS1823" s="1">
        <v>46.0</v>
      </c>
      <c r="BU1823" s="1" t="s">
        <v>205</v>
      </c>
      <c r="BV1823" s="1" t="s">
        <v>206</v>
      </c>
      <c r="BW1823" s="1" t="s">
        <v>210</v>
      </c>
      <c r="BX1823" s="1" t="s">
        <v>239</v>
      </c>
      <c r="BY1823" s="1" t="s">
        <v>331</v>
      </c>
      <c r="BZ1823" s="1" t="s">
        <v>209</v>
      </c>
      <c r="CA1823" s="1" t="s">
        <v>207</v>
      </c>
      <c r="CC1823" s="1" t="s">
        <v>212</v>
      </c>
      <c r="CD1823" s="1" t="s">
        <v>206</v>
      </c>
      <c r="CE1823" s="1" t="s">
        <v>207</v>
      </c>
      <c r="CF1823" s="1" t="s">
        <v>239</v>
      </c>
      <c r="CG1823" s="1" t="s">
        <v>212</v>
      </c>
      <c r="CH1823" s="1" t="s">
        <v>209</v>
      </c>
      <c r="CI1823" s="1" t="s">
        <v>207</v>
      </c>
      <c r="CK1823" s="1" t="s">
        <v>264</v>
      </c>
      <c r="CL1823" s="1" t="s">
        <v>209</v>
      </c>
      <c r="CM1823" s="1" t="s">
        <v>210</v>
      </c>
      <c r="CO1823" s="1" t="s">
        <v>212</v>
      </c>
      <c r="CP1823" s="1" t="s">
        <v>209</v>
      </c>
      <c r="CQ1823" s="1" t="s">
        <v>210</v>
      </c>
      <c r="CS1823" s="1" t="s">
        <v>433</v>
      </c>
      <c r="CT1823" s="1" t="s">
        <v>206</v>
      </c>
      <c r="CU1823" s="1" t="s">
        <v>268</v>
      </c>
      <c r="CV1823" s="1" t="s">
        <v>239</v>
      </c>
      <c r="CX1823" s="1" t="s">
        <v>204</v>
      </c>
      <c r="CZ1823" s="1" t="s">
        <v>229</v>
      </c>
      <c r="DA1823" s="1" t="s">
        <v>200</v>
      </c>
      <c r="DC1823" s="1" t="s">
        <v>216</v>
      </c>
      <c r="DD1823" s="1" t="s">
        <v>786</v>
      </c>
      <c r="DE1823" s="1" t="s">
        <v>273</v>
      </c>
      <c r="DF1823" s="1" t="s">
        <v>219</v>
      </c>
      <c r="DG1823" s="1" t="s">
        <v>337</v>
      </c>
      <c r="DH1823" s="1" t="s">
        <v>220</v>
      </c>
      <c r="DI1823" s="1" t="s">
        <v>680</v>
      </c>
      <c r="DJ1823" s="1" t="s">
        <v>1048</v>
      </c>
      <c r="DK1823" s="1" t="s">
        <v>1555</v>
      </c>
      <c r="DL1823" s="1" t="s">
        <v>858</v>
      </c>
      <c r="DM1823" s="1" t="s">
        <v>229</v>
      </c>
      <c r="DO1823" s="1" t="s">
        <v>549</v>
      </c>
      <c r="DP1823" s="1" t="s">
        <v>340</v>
      </c>
      <c r="DQ1823" s="1" t="s">
        <v>228</v>
      </c>
      <c r="DR1823" s="1" t="s">
        <v>229</v>
      </c>
      <c r="DS1823" s="1" t="s">
        <v>230</v>
      </c>
      <c r="DU1823" s="1" t="s">
        <v>7519</v>
      </c>
      <c r="DV1823" s="1" t="s">
        <v>17753</v>
      </c>
      <c r="DW1823" s="1" t="s">
        <v>667</v>
      </c>
      <c r="DX1823" s="1" t="s">
        <v>234</v>
      </c>
      <c r="DY1823" s="1" t="s">
        <v>704</v>
      </c>
      <c r="EC1823" s="1" t="s">
        <v>237</v>
      </c>
      <c r="ED1823" s="1" t="s">
        <v>555</v>
      </c>
      <c r="EE1823" s="1" t="s">
        <v>187</v>
      </c>
      <c r="EG1823" s="1" t="s">
        <v>450</v>
      </c>
      <c r="EH1823" s="1" t="s">
        <v>494</v>
      </c>
      <c r="EI1823" s="1" t="s">
        <v>374</v>
      </c>
      <c r="EL1823" s="1" t="s">
        <v>11906</v>
      </c>
      <c r="EM1823" s="1" t="s">
        <v>42</v>
      </c>
      <c r="EP1823" s="1" t="s">
        <v>516</v>
      </c>
      <c r="EQ1823" s="1" t="s">
        <v>206</v>
      </c>
      <c r="ER1823" s="1" t="s">
        <v>207</v>
      </c>
      <c r="ES1823" s="1" t="s">
        <v>229</v>
      </c>
      <c r="ET1823" s="1" t="s">
        <v>1688</v>
      </c>
      <c r="EU1823" s="1" t="s">
        <v>206</v>
      </c>
      <c r="EV1823" s="1" t="s">
        <v>588</v>
      </c>
      <c r="EW1823" s="1" t="s">
        <v>229</v>
      </c>
      <c r="EY1823" s="1" t="s">
        <v>238</v>
      </c>
      <c r="FC1823" s="1" t="s">
        <v>238</v>
      </c>
      <c r="FF1823" s="1" t="s">
        <v>239</v>
      </c>
      <c r="FG1823" s="1" t="s">
        <v>192</v>
      </c>
      <c r="FH1823" s="1" t="s">
        <v>192</v>
      </c>
      <c r="FJ1823" s="1" t="s">
        <v>1506</v>
      </c>
      <c r="FK1823" s="1" t="s">
        <v>1586</v>
      </c>
      <c r="FL1823" s="1" t="s">
        <v>1451</v>
      </c>
      <c r="FM1823" s="1">
        <v>7450.0</v>
      </c>
      <c r="FN1823" s="1" t="s">
        <v>1452</v>
      </c>
      <c r="FO1823" s="1" t="s">
        <v>17754</v>
      </c>
      <c r="FP1823" s="1">
        <v>77234.0</v>
      </c>
      <c r="FQ1823" s="1" t="s">
        <v>17755</v>
      </c>
      <c r="FU1823" s="1" t="s">
        <v>17756</v>
      </c>
      <c r="FV1823" s="1" t="s">
        <v>200</v>
      </c>
      <c r="FW1823" s="1" t="s">
        <v>530</v>
      </c>
      <c r="FZ1823" s="1" t="s">
        <v>229</v>
      </c>
      <c r="GA1823" s="1" t="s">
        <v>291</v>
      </c>
      <c r="GB1823" s="2">
        <v>42107.0</v>
      </c>
      <c r="GC1823" s="1" t="s">
        <v>17757</v>
      </c>
    </row>
    <row r="1824">
      <c r="A1824" s="1">
        <v>241000.0</v>
      </c>
      <c r="B1824" s="1" t="s">
        <v>185</v>
      </c>
      <c r="C1824" s="1" t="str">
        <f>"08710202"</f>
        <v>08710202</v>
      </c>
      <c r="D1824" s="1" t="s">
        <v>186</v>
      </c>
      <c r="F1824" s="1" t="str">
        <f>"140"</f>
        <v>140</v>
      </c>
      <c r="G1824" s="2">
        <v>41875.0</v>
      </c>
      <c r="H1824" s="1">
        <v>269900.0</v>
      </c>
      <c r="I1824" s="1">
        <v>514.0</v>
      </c>
      <c r="J1824" s="1">
        <v>248900.0</v>
      </c>
      <c r="K1824" s="2">
        <v>42051.0</v>
      </c>
      <c r="L1824" s="1">
        <v>177.0</v>
      </c>
      <c r="M1824" s="2">
        <v>42051.0</v>
      </c>
      <c r="N1824" s="1" t="s">
        <v>249</v>
      </c>
      <c r="O1824" s="2">
        <v>42066.0</v>
      </c>
      <c r="P1824" s="1">
        <v>238581.0</v>
      </c>
      <c r="Q1824" s="1">
        <v>25050.0</v>
      </c>
      <c r="S1824" s="1">
        <v>688.0</v>
      </c>
      <c r="T1824" s="1" t="s">
        <v>11664</v>
      </c>
      <c r="U1824" s="1" t="s">
        <v>569</v>
      </c>
      <c r="V1824" s="1" t="s">
        <v>4858</v>
      </c>
      <c r="W1824" s="1">
        <v>60140.0</v>
      </c>
      <c r="Y1824" s="1" t="s">
        <v>17758</v>
      </c>
      <c r="Z1824" s="1">
        <v>2008.0</v>
      </c>
      <c r="AA1824" s="1" t="s">
        <v>200</v>
      </c>
      <c r="AB1824" s="1" t="s">
        <v>193</v>
      </c>
      <c r="AC1824" s="1" t="s">
        <v>6189</v>
      </c>
      <c r="AD1824" s="1" t="s">
        <v>4860</v>
      </c>
      <c r="AE1824" s="1" t="s">
        <v>325</v>
      </c>
      <c r="AF1824" s="1" t="s">
        <v>3429</v>
      </c>
      <c r="AG1824" s="1" t="s">
        <v>11640</v>
      </c>
      <c r="AH1824" s="1" t="s">
        <v>17759</v>
      </c>
      <c r="AI1824" s="1">
        <v>0.1606</v>
      </c>
      <c r="AK1824" s="1">
        <v>10.0</v>
      </c>
      <c r="AL1824" s="1">
        <v>4.0</v>
      </c>
      <c r="AM1824" s="1">
        <v>2.0</v>
      </c>
      <c r="AN1824" s="1">
        <v>1.0</v>
      </c>
      <c r="AO1824" s="1" t="s">
        <v>198</v>
      </c>
      <c r="AP1824" s="1">
        <v>1.0</v>
      </c>
      <c r="AQ1824" s="1" t="s">
        <v>1314</v>
      </c>
      <c r="AR1824" s="1" t="s">
        <v>200</v>
      </c>
      <c r="AS1824" s="1" t="s">
        <v>199</v>
      </c>
      <c r="AT1824" s="1">
        <v>2.0</v>
      </c>
      <c r="AV1824" s="1" t="s">
        <v>200</v>
      </c>
      <c r="AW1824" s="1">
        <v>6772.0</v>
      </c>
      <c r="AX1824" s="1">
        <v>2013.0</v>
      </c>
      <c r="AZ1824" s="1" t="s">
        <v>200</v>
      </c>
      <c r="BA1824" s="1" t="str">
        <f>"0233160015"</f>
        <v>0233160015</v>
      </c>
      <c r="BB1824" s="1" t="s">
        <v>200</v>
      </c>
      <c r="BC1824" s="1">
        <v>2831.0</v>
      </c>
      <c r="BD1824" s="1">
        <v>241000.0</v>
      </c>
      <c r="BE1824" s="2">
        <v>41875.0</v>
      </c>
      <c r="BF1824" s="2" t="s">
        <v>17760</v>
      </c>
      <c r="BG1824" s="1" t="s">
        <v>6193</v>
      </c>
      <c r="BH1824" s="1">
        <v>60.0</v>
      </c>
      <c r="BI1824" s="1" t="s">
        <v>5040</v>
      </c>
      <c r="BJ1824" s="1" t="s">
        <v>1182</v>
      </c>
      <c r="BK1824" s="1" t="s">
        <v>474</v>
      </c>
      <c r="BL1824" s="1" t="str">
        <f t="shared" ref="BL1824:BM1824" si="1205">""</f>
        <v/>
      </c>
      <c r="BM1824" s="1" t="str">
        <f t="shared" si="1205"/>
        <v/>
      </c>
      <c r="BP1824" s="1" t="s">
        <v>17761</v>
      </c>
      <c r="BQ1824" s="1">
        <v>300.0</v>
      </c>
      <c r="BR1824" s="1">
        <v>300.0</v>
      </c>
      <c r="BS1824" s="1">
        <v>300.0</v>
      </c>
      <c r="BT1824" s="1">
        <v>300.0</v>
      </c>
      <c r="BU1824" s="1" t="s">
        <v>3817</v>
      </c>
      <c r="BV1824" s="1" t="s">
        <v>206</v>
      </c>
      <c r="BW1824" s="1" t="s">
        <v>210</v>
      </c>
      <c r="BY1824" s="1" t="s">
        <v>616</v>
      </c>
      <c r="BZ1824" s="1" t="s">
        <v>209</v>
      </c>
      <c r="CA1824" s="1" t="s">
        <v>210</v>
      </c>
      <c r="CC1824" s="1" t="s">
        <v>542</v>
      </c>
      <c r="CD1824" s="1" t="s">
        <v>206</v>
      </c>
      <c r="CE1824" s="1" t="s">
        <v>210</v>
      </c>
      <c r="CG1824" s="1" t="s">
        <v>497</v>
      </c>
      <c r="CH1824" s="1" t="s">
        <v>209</v>
      </c>
      <c r="CI1824" s="1" t="s">
        <v>210</v>
      </c>
      <c r="CK1824" s="1" t="s">
        <v>758</v>
      </c>
      <c r="CL1824" s="1" t="s">
        <v>209</v>
      </c>
      <c r="CM1824" s="1" t="s">
        <v>210</v>
      </c>
      <c r="CO1824" s="1" t="s">
        <v>329</v>
      </c>
      <c r="CP1824" s="1" t="s">
        <v>209</v>
      </c>
      <c r="CQ1824" s="1" t="s">
        <v>210</v>
      </c>
      <c r="CS1824" s="1" t="s">
        <v>208</v>
      </c>
      <c r="CT1824" s="1" t="s">
        <v>206</v>
      </c>
      <c r="CU1824" s="1" t="s">
        <v>268</v>
      </c>
      <c r="CW1824" s="1" t="s">
        <v>208</v>
      </c>
      <c r="CX1824" s="1" t="s">
        <v>206</v>
      </c>
      <c r="CY1824" s="1" t="s">
        <v>210</v>
      </c>
      <c r="DA1824" s="1" t="s">
        <v>200</v>
      </c>
      <c r="DC1824" s="1" t="s">
        <v>481</v>
      </c>
      <c r="DD1824" s="1" t="s">
        <v>336</v>
      </c>
      <c r="DE1824" s="1" t="s">
        <v>273</v>
      </c>
      <c r="DF1824" s="1" t="s">
        <v>219</v>
      </c>
      <c r="DG1824" s="1" t="s">
        <v>17762</v>
      </c>
      <c r="DH1824" s="1" t="s">
        <v>220</v>
      </c>
      <c r="DI1824" s="1" t="s">
        <v>366</v>
      </c>
      <c r="DJ1824" s="1" t="s">
        <v>222</v>
      </c>
      <c r="DK1824" s="1" t="s">
        <v>223</v>
      </c>
      <c r="DL1824" s="1" t="s">
        <v>223</v>
      </c>
      <c r="DM1824" s="1" t="s">
        <v>338</v>
      </c>
      <c r="DN1824" s="1" t="s">
        <v>339</v>
      </c>
      <c r="DO1824" s="1" t="s">
        <v>4172</v>
      </c>
      <c r="DP1824" s="1" t="s">
        <v>276</v>
      </c>
      <c r="DQ1824" s="1" t="s">
        <v>228</v>
      </c>
      <c r="DR1824" s="1" t="s">
        <v>6095</v>
      </c>
      <c r="DS1824" s="1" t="s">
        <v>368</v>
      </c>
      <c r="DU1824" s="1" t="s">
        <v>1840</v>
      </c>
      <c r="DV1824" s="1" t="s">
        <v>1188</v>
      </c>
      <c r="DW1824" s="1" t="s">
        <v>444</v>
      </c>
      <c r="DX1824" s="1" t="s">
        <v>234</v>
      </c>
      <c r="DY1824" s="1" t="s">
        <v>10889</v>
      </c>
      <c r="DZ1824" s="1" t="s">
        <v>2648</v>
      </c>
      <c r="EB1824" s="1" t="s">
        <v>5230</v>
      </c>
      <c r="EC1824" s="1" t="s">
        <v>237</v>
      </c>
      <c r="ED1824" s="1" t="s">
        <v>555</v>
      </c>
      <c r="EG1824" s="1" t="s">
        <v>494</v>
      </c>
      <c r="EH1824" s="1" t="s">
        <v>341</v>
      </c>
      <c r="EL1824" s="1" t="s">
        <v>495</v>
      </c>
      <c r="EM1824" s="1" t="s">
        <v>206</v>
      </c>
      <c r="EN1824" s="1" t="s">
        <v>210</v>
      </c>
      <c r="EP1824" s="1" t="s">
        <v>515</v>
      </c>
      <c r="EQ1824" s="1" t="s">
        <v>209</v>
      </c>
      <c r="ER1824" s="1" t="s">
        <v>210</v>
      </c>
      <c r="EU1824" s="1" t="s">
        <v>238</v>
      </c>
      <c r="EY1824" s="1" t="s">
        <v>238</v>
      </c>
      <c r="FC1824" s="1" t="s">
        <v>238</v>
      </c>
      <c r="FF1824" s="1" t="s">
        <v>239</v>
      </c>
      <c r="FG1824" s="1" t="s">
        <v>192</v>
      </c>
      <c r="FH1824" s="1" t="s">
        <v>192</v>
      </c>
      <c r="FJ1824" s="1" t="s">
        <v>17763</v>
      </c>
      <c r="FK1824" s="1" t="s">
        <v>229</v>
      </c>
      <c r="FL1824" s="1" t="s">
        <v>6689</v>
      </c>
      <c r="FM1824" s="1">
        <v>74002.0</v>
      </c>
      <c r="FN1824" s="1" t="s">
        <v>6690</v>
      </c>
      <c r="FO1824" s="1" t="s">
        <v>6691</v>
      </c>
      <c r="FP1824" s="1">
        <v>702404.0</v>
      </c>
      <c r="FQ1824" s="1" t="s">
        <v>6690</v>
      </c>
      <c r="FR1824" s="1">
        <v>701227.0</v>
      </c>
      <c r="FU1824" s="1" t="s">
        <v>6692</v>
      </c>
      <c r="FV1824" s="1" t="s">
        <v>192</v>
      </c>
      <c r="FW1824" s="1" t="s">
        <v>461</v>
      </c>
      <c r="FZ1824" s="1" t="s">
        <v>229</v>
      </c>
      <c r="GA1824" s="1" t="s">
        <v>291</v>
      </c>
      <c r="GB1824" s="2">
        <v>42067.0</v>
      </c>
      <c r="GC1824" s="1" t="s">
        <v>17764</v>
      </c>
    </row>
    <row r="1825">
      <c r="A1825" s="1">
        <v>199900.0</v>
      </c>
      <c r="B1825" s="1" t="s">
        <v>185</v>
      </c>
      <c r="C1825" s="1" t="str">
        <f>"08708696"</f>
        <v>08708696</v>
      </c>
      <c r="D1825" s="1" t="s">
        <v>186</v>
      </c>
      <c r="F1825" s="1" t="str">
        <f>"123"</f>
        <v>123</v>
      </c>
      <c r="G1825" s="2">
        <v>41873.0</v>
      </c>
      <c r="H1825" s="1">
        <v>209900.0</v>
      </c>
      <c r="I1825" s="1">
        <v>86.0</v>
      </c>
      <c r="J1825" s="1">
        <v>199900.0</v>
      </c>
      <c r="K1825" s="2">
        <v>41958.0</v>
      </c>
      <c r="L1825" s="1">
        <v>86.0</v>
      </c>
      <c r="M1825" s="2">
        <v>41958.0</v>
      </c>
      <c r="N1825" s="1" t="s">
        <v>187</v>
      </c>
      <c r="O1825" s="2">
        <v>41999.0</v>
      </c>
      <c r="P1825" s="1">
        <v>55592.0</v>
      </c>
      <c r="Q1825" s="1">
        <v>5293.0</v>
      </c>
      <c r="S1825" s="1">
        <v>2030.0</v>
      </c>
      <c r="T1825" s="1" t="s">
        <v>1444</v>
      </c>
      <c r="U1825" s="1" t="s">
        <v>569</v>
      </c>
      <c r="V1825" s="1" t="s">
        <v>465</v>
      </c>
      <c r="W1825" s="1">
        <v>60123.0</v>
      </c>
      <c r="Y1825" s="1" t="s">
        <v>17765</v>
      </c>
      <c r="Z1825" s="1">
        <v>1991.0</v>
      </c>
      <c r="AA1825" s="1" t="s">
        <v>200</v>
      </c>
      <c r="AB1825" s="1" t="s">
        <v>193</v>
      </c>
      <c r="AC1825" s="1" t="s">
        <v>1444</v>
      </c>
      <c r="AD1825" s="1" t="s">
        <v>469</v>
      </c>
      <c r="AE1825" s="1" t="s">
        <v>325</v>
      </c>
      <c r="AF1825" s="1" t="s">
        <v>469</v>
      </c>
      <c r="AG1825" s="1" t="s">
        <v>5899</v>
      </c>
      <c r="AH1825" s="1" t="s">
        <v>17766</v>
      </c>
      <c r="AI1825" s="1">
        <v>0.25</v>
      </c>
      <c r="AK1825" s="1">
        <v>9.0</v>
      </c>
      <c r="AL1825" s="1">
        <v>4.0</v>
      </c>
      <c r="AM1825" s="1">
        <v>2.0</v>
      </c>
      <c r="AN1825" s="1">
        <v>1.0</v>
      </c>
      <c r="AO1825" s="1" t="s">
        <v>198</v>
      </c>
      <c r="AP1825" s="1">
        <v>1.0</v>
      </c>
      <c r="AQ1825" s="1" t="s">
        <v>198</v>
      </c>
      <c r="AR1825" s="1" t="s">
        <v>200</v>
      </c>
      <c r="AS1825" s="1" t="s">
        <v>199</v>
      </c>
      <c r="AT1825" s="1">
        <v>2.0</v>
      </c>
      <c r="AV1825" s="1" t="s">
        <v>200</v>
      </c>
      <c r="AW1825" s="1">
        <v>6418.68</v>
      </c>
      <c r="AX1825" s="1">
        <v>2012.0</v>
      </c>
      <c r="AZ1825" s="1" t="s">
        <v>200</v>
      </c>
      <c r="BA1825" s="1" t="str">
        <f>"0609484008"</f>
        <v>0609484008</v>
      </c>
      <c r="BC1825" s="1">
        <v>2276.0</v>
      </c>
      <c r="BD1825" s="1">
        <v>199900.0</v>
      </c>
      <c r="BE1825" s="2">
        <v>41873.0</v>
      </c>
      <c r="BF1825" s="2" t="s">
        <v>17767</v>
      </c>
      <c r="BH1825" s="1">
        <v>0.0</v>
      </c>
      <c r="BK1825" s="1" t="s">
        <v>204</v>
      </c>
      <c r="BL1825" s="1" t="str">
        <f t="shared" ref="BL1825:BM1825" si="1206">""</f>
        <v/>
      </c>
      <c r="BM1825" s="1" t="str">
        <f t="shared" si="1206"/>
        <v/>
      </c>
      <c r="BQ1825" s="1">
        <v>46.0</v>
      </c>
      <c r="BR1825" s="1">
        <v>46.0</v>
      </c>
      <c r="BS1825" s="1">
        <v>46.0</v>
      </c>
      <c r="BU1825" s="1" t="s">
        <v>205</v>
      </c>
      <c r="BV1825" s="1" t="s">
        <v>206</v>
      </c>
      <c r="BY1825" s="1" t="s">
        <v>784</v>
      </c>
      <c r="BZ1825" s="1" t="s">
        <v>209</v>
      </c>
      <c r="CC1825" s="1" t="s">
        <v>454</v>
      </c>
      <c r="CD1825" s="1" t="s">
        <v>206</v>
      </c>
      <c r="CG1825" s="1" t="s">
        <v>730</v>
      </c>
      <c r="CH1825" s="1" t="s">
        <v>206</v>
      </c>
      <c r="CK1825" s="1" t="s">
        <v>2224</v>
      </c>
      <c r="CL1825" s="1" t="s">
        <v>209</v>
      </c>
      <c r="CO1825" s="1" t="s">
        <v>215</v>
      </c>
      <c r="CP1825" s="1" t="s">
        <v>209</v>
      </c>
      <c r="CS1825" s="1" t="s">
        <v>497</v>
      </c>
      <c r="CT1825" s="1" t="s">
        <v>206</v>
      </c>
      <c r="CW1825" s="1" t="s">
        <v>743</v>
      </c>
      <c r="CX1825" s="1" t="s">
        <v>206</v>
      </c>
      <c r="DA1825" s="1" t="s">
        <v>200</v>
      </c>
      <c r="DC1825" s="1" t="s">
        <v>435</v>
      </c>
      <c r="DE1825" s="1" t="s">
        <v>229</v>
      </c>
      <c r="DF1825" s="1" t="s">
        <v>219</v>
      </c>
      <c r="DH1825" s="1" t="s">
        <v>365</v>
      </c>
      <c r="DJ1825" s="1" t="s">
        <v>222</v>
      </c>
      <c r="DL1825" s="1" t="s">
        <v>223</v>
      </c>
      <c r="DM1825" s="1" t="s">
        <v>229</v>
      </c>
      <c r="DO1825" s="1" t="s">
        <v>440</v>
      </c>
      <c r="DQ1825" s="1" t="s">
        <v>228</v>
      </c>
      <c r="DR1825" s="1" t="s">
        <v>229</v>
      </c>
      <c r="DV1825" s="1" t="s">
        <v>449</v>
      </c>
      <c r="DW1825" s="1" t="s">
        <v>891</v>
      </c>
      <c r="DX1825" s="1" t="s">
        <v>234</v>
      </c>
      <c r="EA1825" s="1" t="s">
        <v>447</v>
      </c>
      <c r="EC1825" s="1" t="s">
        <v>237</v>
      </c>
      <c r="EG1825" s="1" t="s">
        <v>449</v>
      </c>
      <c r="EL1825" s="1" t="s">
        <v>516</v>
      </c>
      <c r="EM1825" s="1" t="s">
        <v>206</v>
      </c>
      <c r="EQ1825" s="1" t="s">
        <v>238</v>
      </c>
      <c r="EU1825" s="1" t="s">
        <v>238</v>
      </c>
      <c r="EY1825" s="1" t="s">
        <v>238</v>
      </c>
      <c r="FC1825" s="1" t="s">
        <v>238</v>
      </c>
      <c r="FF1825" s="1" t="s">
        <v>239</v>
      </c>
      <c r="FG1825" s="1" t="s">
        <v>192</v>
      </c>
      <c r="FH1825" s="1" t="s">
        <v>192</v>
      </c>
      <c r="FJ1825" s="1" t="s">
        <v>524</v>
      </c>
      <c r="FK1825" s="1" t="s">
        <v>229</v>
      </c>
      <c r="FL1825" s="1" t="s">
        <v>17768</v>
      </c>
      <c r="FM1825" s="1">
        <v>25881.0</v>
      </c>
      <c r="FN1825" s="1" t="s">
        <v>17769</v>
      </c>
      <c r="FO1825" s="1" t="s">
        <v>17770</v>
      </c>
      <c r="FP1825" s="1">
        <v>80935.0</v>
      </c>
      <c r="FQ1825" s="1" t="s">
        <v>17769</v>
      </c>
      <c r="FU1825" s="1" t="s">
        <v>17771</v>
      </c>
      <c r="FV1825" s="1" t="s">
        <v>200</v>
      </c>
      <c r="FW1825" s="1" t="s">
        <v>290</v>
      </c>
      <c r="FZ1825" s="1" t="s">
        <v>229</v>
      </c>
      <c r="GA1825" s="1" t="s">
        <v>291</v>
      </c>
      <c r="GB1825" s="2">
        <v>42002.0</v>
      </c>
      <c r="GC1825" s="1" t="s">
        <v>17772</v>
      </c>
    </row>
    <row r="1826">
      <c r="A1826" s="1">
        <v>405000.0</v>
      </c>
      <c r="B1826" s="1" t="s">
        <v>185</v>
      </c>
      <c r="C1826" s="1" t="str">
        <f>"08704827"</f>
        <v>08704827</v>
      </c>
      <c r="D1826" s="1" t="s">
        <v>186</v>
      </c>
      <c r="F1826" s="1" t="str">
        <f>"174"</f>
        <v>174</v>
      </c>
      <c r="G1826" s="2">
        <v>41869.0</v>
      </c>
      <c r="H1826" s="1">
        <v>475000.0</v>
      </c>
      <c r="I1826" s="1">
        <v>157.0</v>
      </c>
      <c r="J1826" s="1">
        <v>475000.0</v>
      </c>
      <c r="K1826" s="2">
        <v>42025.0</v>
      </c>
      <c r="L1826" s="1">
        <v>157.0</v>
      </c>
      <c r="M1826" s="2">
        <v>42025.0</v>
      </c>
      <c r="N1826" s="1" t="s">
        <v>187</v>
      </c>
      <c r="O1826" s="2">
        <v>42055.0</v>
      </c>
      <c r="P1826" s="1">
        <v>215823.0</v>
      </c>
      <c r="Q1826" s="1">
        <v>21289.0</v>
      </c>
      <c r="S1826" s="1" t="s">
        <v>17773</v>
      </c>
      <c r="T1826" s="1" t="s">
        <v>17774</v>
      </c>
      <c r="U1826" s="1" t="s">
        <v>569</v>
      </c>
      <c r="V1826" s="1" t="s">
        <v>1200</v>
      </c>
      <c r="W1826" s="1">
        <v>60175.0</v>
      </c>
      <c r="Y1826" s="1" t="s">
        <v>17775</v>
      </c>
      <c r="Z1826" s="1">
        <v>1970.0</v>
      </c>
      <c r="AA1826" s="1" t="s">
        <v>192</v>
      </c>
      <c r="AB1826" s="1" t="s">
        <v>193</v>
      </c>
      <c r="AD1826" s="1" t="s">
        <v>1089</v>
      </c>
      <c r="AE1826" s="1" t="s">
        <v>325</v>
      </c>
      <c r="AF1826" s="1" t="s">
        <v>1203</v>
      </c>
      <c r="AH1826" s="1" t="s">
        <v>17776</v>
      </c>
      <c r="AI1826" s="1">
        <v>6.8</v>
      </c>
      <c r="AK1826" s="1">
        <v>7.0</v>
      </c>
      <c r="AL1826" s="1">
        <v>4.0</v>
      </c>
      <c r="AM1826" s="1">
        <v>3.0</v>
      </c>
      <c r="AN1826" s="1">
        <v>1.0</v>
      </c>
      <c r="AO1826" s="1" t="s">
        <v>198</v>
      </c>
      <c r="AP1826" s="1">
        <v>1.0</v>
      </c>
      <c r="AQ1826" s="1" t="s">
        <v>229</v>
      </c>
      <c r="AR1826" s="1" t="s">
        <v>200</v>
      </c>
      <c r="AS1826" s="1" t="s">
        <v>199</v>
      </c>
      <c r="AT1826" s="1">
        <v>3.0</v>
      </c>
      <c r="AV1826" s="1" t="s">
        <v>200</v>
      </c>
      <c r="AW1826" s="1">
        <v>16565.0</v>
      </c>
      <c r="AX1826" s="1">
        <v>2013.0</v>
      </c>
      <c r="AY1826" s="1" t="s">
        <v>387</v>
      </c>
      <c r="AZ1826" s="1" t="s">
        <v>200</v>
      </c>
      <c r="BA1826" s="1" t="str">
        <f>"0919100002"</f>
        <v>0919100002</v>
      </c>
      <c r="BC1826" s="1">
        <v>3284.0</v>
      </c>
      <c r="BD1826" s="1">
        <v>405000.0</v>
      </c>
      <c r="BE1826" s="2">
        <v>41869.0</v>
      </c>
      <c r="BF1826" s="2" t="s">
        <v>17777</v>
      </c>
      <c r="BH1826" s="1">
        <v>0.0</v>
      </c>
      <c r="BK1826" s="1" t="s">
        <v>204</v>
      </c>
      <c r="BL1826" s="1" t="str">
        <f>"4"</f>
        <v>4</v>
      </c>
      <c r="BM1826" s="1" t="str">
        <f>"0"</f>
        <v>0</v>
      </c>
      <c r="BN1826" s="1">
        <v>39.0</v>
      </c>
      <c r="BO1826" s="1">
        <v>0.0</v>
      </c>
      <c r="BQ1826" s="1">
        <v>303.0</v>
      </c>
      <c r="BR1826" s="1">
        <v>303.0</v>
      </c>
      <c r="BS1826" s="1">
        <v>303.0</v>
      </c>
      <c r="BV1826" s="1" t="s">
        <v>204</v>
      </c>
      <c r="BY1826" s="1" t="s">
        <v>3539</v>
      </c>
      <c r="BZ1826" s="1" t="s">
        <v>206</v>
      </c>
      <c r="CA1826" s="1" t="s">
        <v>207</v>
      </c>
      <c r="CC1826" s="1" t="s">
        <v>2647</v>
      </c>
      <c r="CD1826" s="1" t="s">
        <v>206</v>
      </c>
      <c r="CE1826" s="1" t="s">
        <v>207</v>
      </c>
      <c r="CG1826" s="1" t="s">
        <v>433</v>
      </c>
      <c r="CH1826" s="1" t="s">
        <v>267</v>
      </c>
      <c r="CI1826" s="1" t="s">
        <v>210</v>
      </c>
      <c r="CK1826" s="1" t="s">
        <v>215</v>
      </c>
      <c r="CL1826" s="1" t="s">
        <v>267</v>
      </c>
      <c r="CM1826" s="1" t="s">
        <v>210</v>
      </c>
      <c r="CO1826" s="1" t="s">
        <v>262</v>
      </c>
      <c r="CP1826" s="1" t="s">
        <v>267</v>
      </c>
      <c r="CQ1826" s="1" t="s">
        <v>210</v>
      </c>
      <c r="CS1826" s="1" t="s">
        <v>215</v>
      </c>
      <c r="CT1826" s="1" t="s">
        <v>206</v>
      </c>
      <c r="CU1826" s="1" t="s">
        <v>588</v>
      </c>
      <c r="CX1826" s="1" t="s">
        <v>204</v>
      </c>
      <c r="DA1826" s="1" t="s">
        <v>200</v>
      </c>
      <c r="DC1826" s="1" t="s">
        <v>517</v>
      </c>
      <c r="DD1826" s="1" t="s">
        <v>786</v>
      </c>
      <c r="DE1826" s="1" t="s">
        <v>273</v>
      </c>
      <c r="DF1826" s="1" t="s">
        <v>219</v>
      </c>
      <c r="DH1826" s="1" t="s">
        <v>856</v>
      </c>
      <c r="DI1826" s="1" t="s">
        <v>1223</v>
      </c>
      <c r="DJ1826" s="1" t="s">
        <v>857</v>
      </c>
      <c r="DL1826" s="1" t="s">
        <v>229</v>
      </c>
      <c r="DM1826" s="1" t="s">
        <v>338</v>
      </c>
      <c r="DO1826" s="1" t="s">
        <v>14211</v>
      </c>
      <c r="DP1826" s="1" t="s">
        <v>340</v>
      </c>
      <c r="DQ1826" s="1" t="s">
        <v>1723</v>
      </c>
      <c r="DR1826" s="1" t="s">
        <v>229</v>
      </c>
      <c r="DV1826" s="1" t="s">
        <v>17778</v>
      </c>
      <c r="DW1826" s="1" t="s">
        <v>964</v>
      </c>
      <c r="DX1826" s="1" t="s">
        <v>234</v>
      </c>
      <c r="DY1826" s="1" t="s">
        <v>2423</v>
      </c>
      <c r="EC1826" s="1" t="s">
        <v>237</v>
      </c>
      <c r="ED1826" s="1" t="s">
        <v>555</v>
      </c>
      <c r="EG1826" s="1" t="s">
        <v>1103</v>
      </c>
      <c r="EH1826" s="1" t="s">
        <v>2129</v>
      </c>
      <c r="EI1826" s="1" t="s">
        <v>1491</v>
      </c>
      <c r="EL1826" s="1" t="s">
        <v>1063</v>
      </c>
      <c r="EM1826" s="1" t="s">
        <v>267</v>
      </c>
      <c r="EP1826" s="1" t="s">
        <v>1138</v>
      </c>
      <c r="EQ1826" s="1" t="s">
        <v>206</v>
      </c>
      <c r="ET1826" s="1" t="s">
        <v>784</v>
      </c>
      <c r="EU1826" s="1" t="s">
        <v>267</v>
      </c>
      <c r="EY1826" s="1" t="s">
        <v>238</v>
      </c>
      <c r="FC1826" s="1" t="s">
        <v>238</v>
      </c>
      <c r="FF1826" s="1" t="s">
        <v>239</v>
      </c>
      <c r="FG1826" s="1" t="s">
        <v>192</v>
      </c>
      <c r="FH1826" s="1" t="s">
        <v>192</v>
      </c>
      <c r="FJ1826" s="1" t="s">
        <v>2206</v>
      </c>
      <c r="FK1826" s="1" t="s">
        <v>229</v>
      </c>
      <c r="FL1826" s="1" t="s">
        <v>1212</v>
      </c>
      <c r="FM1826" s="1">
        <v>30.0</v>
      </c>
      <c r="FN1826" s="1" t="s">
        <v>1213</v>
      </c>
      <c r="FO1826" s="1" t="s">
        <v>8470</v>
      </c>
      <c r="FP1826" s="1">
        <v>497.0</v>
      </c>
      <c r="FQ1826" s="1" t="s">
        <v>8471</v>
      </c>
      <c r="FR1826" s="1">
        <v>8177.0</v>
      </c>
      <c r="FS1826" s="1">
        <v>8177.0</v>
      </c>
      <c r="FU1826" s="1" t="s">
        <v>10211</v>
      </c>
      <c r="FV1826" s="1" t="s">
        <v>200</v>
      </c>
      <c r="FW1826" s="1" t="s">
        <v>290</v>
      </c>
      <c r="FZ1826" s="1" t="s">
        <v>229</v>
      </c>
      <c r="GA1826" s="1" t="s">
        <v>291</v>
      </c>
      <c r="GB1826" s="2">
        <v>42058.0</v>
      </c>
    </row>
    <row r="1827">
      <c r="A1827" s="1">
        <v>200000.0</v>
      </c>
      <c r="B1827" s="1" t="s">
        <v>185</v>
      </c>
      <c r="C1827" s="1" t="str">
        <f>"08711025"</f>
        <v>08711025</v>
      </c>
      <c r="D1827" s="1" t="s">
        <v>186</v>
      </c>
      <c r="F1827" s="1" t="str">
        <f>"140"</f>
        <v>140</v>
      </c>
      <c r="G1827" s="2">
        <v>41876.0</v>
      </c>
      <c r="H1827" s="1">
        <v>259900.0</v>
      </c>
      <c r="I1827" s="1">
        <v>101.0</v>
      </c>
      <c r="J1827" s="1">
        <v>207900.0</v>
      </c>
      <c r="K1827" s="2">
        <v>41976.0</v>
      </c>
      <c r="L1827" s="1">
        <v>101.0</v>
      </c>
      <c r="M1827" s="2">
        <v>41976.0</v>
      </c>
      <c r="N1827" s="1" t="s">
        <v>187</v>
      </c>
      <c r="O1827" s="2">
        <v>42032.0</v>
      </c>
      <c r="P1827" s="1">
        <v>240840.0</v>
      </c>
      <c r="Q1827" s="1">
        <v>25097.0</v>
      </c>
      <c r="S1827" s="1">
        <v>1100.0</v>
      </c>
      <c r="T1827" s="1" t="s">
        <v>5449</v>
      </c>
      <c r="U1827" s="1" t="s">
        <v>320</v>
      </c>
      <c r="V1827" s="1" t="s">
        <v>4858</v>
      </c>
      <c r="W1827" s="1">
        <v>60140.0</v>
      </c>
      <c r="Y1827" s="1" t="s">
        <v>17779</v>
      </c>
      <c r="Z1827" s="1">
        <v>2005.0</v>
      </c>
      <c r="AA1827" s="1" t="s">
        <v>200</v>
      </c>
      <c r="AB1827" s="1" t="s">
        <v>193</v>
      </c>
      <c r="AD1827" s="1" t="s">
        <v>4860</v>
      </c>
      <c r="AE1827" s="1" t="s">
        <v>325</v>
      </c>
      <c r="AF1827" s="1" t="s">
        <v>3429</v>
      </c>
      <c r="AH1827" s="1" t="s">
        <v>2309</v>
      </c>
      <c r="AI1827" s="1">
        <v>0.2169</v>
      </c>
      <c r="AK1827" s="1">
        <v>7.0</v>
      </c>
      <c r="AL1827" s="1">
        <v>4.0</v>
      </c>
      <c r="AM1827" s="1">
        <v>2.0</v>
      </c>
      <c r="AN1827" s="1">
        <v>1.0</v>
      </c>
      <c r="AO1827" s="1" t="s">
        <v>198</v>
      </c>
      <c r="AQ1827" s="1" t="s">
        <v>198</v>
      </c>
      <c r="AR1827" s="1" t="s">
        <v>192</v>
      </c>
      <c r="AS1827" s="1" t="s">
        <v>199</v>
      </c>
      <c r="AT1827" s="1">
        <v>3.0</v>
      </c>
      <c r="AV1827" s="1" t="s">
        <v>200</v>
      </c>
      <c r="AW1827" s="1">
        <v>7566.5</v>
      </c>
      <c r="AX1827" s="1">
        <v>2012.0</v>
      </c>
      <c r="AZ1827" s="1" t="s">
        <v>200</v>
      </c>
      <c r="BA1827" s="1" t="str">
        <f>"0228357020"</f>
        <v>0228357020</v>
      </c>
      <c r="BC1827" s="1">
        <v>3076.0</v>
      </c>
      <c r="BD1827" s="1">
        <v>200000.0</v>
      </c>
      <c r="BE1827" s="2">
        <v>41876.0</v>
      </c>
      <c r="BF1827" s="1" t="s">
        <v>17780</v>
      </c>
      <c r="BH1827" s="1">
        <v>62.0</v>
      </c>
      <c r="BK1827" s="1" t="s">
        <v>474</v>
      </c>
      <c r="BL1827" s="1" t="str">
        <f t="shared" ref="BL1827:BM1827" si="1207">""</f>
        <v/>
      </c>
      <c r="BM1827" s="1" t="str">
        <f t="shared" si="1207"/>
        <v/>
      </c>
      <c r="BQ1827" s="1">
        <v>300.0</v>
      </c>
      <c r="BR1827" s="1">
        <v>300.0</v>
      </c>
      <c r="BS1827" s="1">
        <v>300.0</v>
      </c>
      <c r="BU1827" s="1" t="s">
        <v>758</v>
      </c>
      <c r="BV1827" s="1" t="s">
        <v>206</v>
      </c>
      <c r="BY1827" s="1" t="s">
        <v>260</v>
      </c>
      <c r="BZ1827" s="1" t="s">
        <v>209</v>
      </c>
      <c r="CC1827" s="1" t="s">
        <v>647</v>
      </c>
      <c r="CD1827" s="1" t="s">
        <v>206</v>
      </c>
      <c r="CG1827" s="1" t="s">
        <v>214</v>
      </c>
      <c r="CH1827" s="1" t="s">
        <v>209</v>
      </c>
      <c r="CK1827" s="1" t="s">
        <v>331</v>
      </c>
      <c r="CL1827" s="1" t="s">
        <v>209</v>
      </c>
      <c r="CO1827" s="1" t="s">
        <v>584</v>
      </c>
      <c r="CP1827" s="1" t="s">
        <v>209</v>
      </c>
      <c r="CS1827" s="1" t="s">
        <v>329</v>
      </c>
      <c r="CT1827" s="1" t="s">
        <v>206</v>
      </c>
      <c r="CX1827" s="1" t="s">
        <v>204</v>
      </c>
      <c r="DA1827" s="1" t="s">
        <v>200</v>
      </c>
      <c r="DC1827" s="1" t="s">
        <v>481</v>
      </c>
      <c r="DE1827" s="1" t="s">
        <v>273</v>
      </c>
      <c r="DF1827" s="1" t="s">
        <v>619</v>
      </c>
      <c r="DH1827" s="1" t="s">
        <v>220</v>
      </c>
      <c r="DJ1827" s="1" t="s">
        <v>222</v>
      </c>
      <c r="DL1827" s="1" t="s">
        <v>858</v>
      </c>
      <c r="DM1827" s="1" t="s">
        <v>229</v>
      </c>
      <c r="DQ1827" s="1" t="s">
        <v>228</v>
      </c>
      <c r="DR1827" s="1" t="s">
        <v>588</v>
      </c>
      <c r="DV1827" s="1" t="s">
        <v>232</v>
      </c>
      <c r="DW1827" s="1" t="s">
        <v>444</v>
      </c>
      <c r="DX1827" s="1" t="s">
        <v>234</v>
      </c>
      <c r="EC1827" s="1" t="s">
        <v>237</v>
      </c>
      <c r="EE1827" s="1" t="s">
        <v>1960</v>
      </c>
      <c r="EM1827" s="1" t="s">
        <v>238</v>
      </c>
      <c r="EQ1827" s="1" t="s">
        <v>238</v>
      </c>
      <c r="EU1827" s="1" t="s">
        <v>238</v>
      </c>
      <c r="EY1827" s="1" t="s">
        <v>238</v>
      </c>
      <c r="FC1827" s="1" t="s">
        <v>238</v>
      </c>
      <c r="FF1827" s="1" t="s">
        <v>239</v>
      </c>
      <c r="FG1827" s="1" t="s">
        <v>192</v>
      </c>
      <c r="FH1827" s="1" t="s">
        <v>192</v>
      </c>
      <c r="FJ1827" s="1" t="s">
        <v>2156</v>
      </c>
      <c r="FK1827" s="1" t="s">
        <v>229</v>
      </c>
      <c r="FL1827" s="1" t="s">
        <v>3443</v>
      </c>
      <c r="FM1827" s="1">
        <v>8658.0</v>
      </c>
      <c r="FN1827" s="1" t="s">
        <v>3444</v>
      </c>
      <c r="FO1827" s="1" t="s">
        <v>3445</v>
      </c>
      <c r="FP1827" s="1">
        <v>84760.0</v>
      </c>
      <c r="FQ1827" s="1" t="s">
        <v>3444</v>
      </c>
      <c r="FU1827" s="1" t="s">
        <v>3447</v>
      </c>
      <c r="FV1827" s="1" t="s">
        <v>200</v>
      </c>
      <c r="FW1827" s="1" t="s">
        <v>290</v>
      </c>
      <c r="FZ1827" s="1" t="s">
        <v>229</v>
      </c>
      <c r="GA1827" s="1" t="s">
        <v>291</v>
      </c>
      <c r="GB1827" s="2">
        <v>42033.0</v>
      </c>
      <c r="GC1827" s="1" t="s">
        <v>17781</v>
      </c>
    </row>
    <row r="1828">
      <c r="A1828" s="1">
        <v>224000.0</v>
      </c>
      <c r="B1828" s="1" t="s">
        <v>185</v>
      </c>
      <c r="C1828" s="1" t="str">
        <f>"08707348"</f>
        <v>08707348</v>
      </c>
      <c r="D1828" s="1" t="s">
        <v>186</v>
      </c>
      <c r="F1828" s="1" t="str">
        <f>"110"</f>
        <v>110</v>
      </c>
      <c r="G1828" s="2">
        <v>41871.0</v>
      </c>
      <c r="H1828" s="1">
        <v>279900.0</v>
      </c>
      <c r="I1828" s="1">
        <v>115.0</v>
      </c>
      <c r="J1828" s="1">
        <v>229900.0</v>
      </c>
      <c r="K1828" s="2">
        <v>41985.0</v>
      </c>
      <c r="L1828" s="1">
        <v>115.0</v>
      </c>
      <c r="M1828" s="2">
        <v>41985.0</v>
      </c>
      <c r="N1828" s="1" t="s">
        <v>187</v>
      </c>
      <c r="O1828" s="2">
        <v>42027.0</v>
      </c>
      <c r="P1828" s="1">
        <v>237394.0</v>
      </c>
      <c r="Q1828" s="1">
        <v>23948.0</v>
      </c>
      <c r="R1828" s="1">
        <v>1500.0</v>
      </c>
      <c r="S1828" s="1">
        <v>2911.0</v>
      </c>
      <c r="T1828" s="1" t="s">
        <v>17782</v>
      </c>
      <c r="U1828" s="1" t="s">
        <v>569</v>
      </c>
      <c r="V1828" s="1" t="s">
        <v>807</v>
      </c>
      <c r="W1828" s="1">
        <v>60110.0</v>
      </c>
      <c r="Y1828" s="1" t="s">
        <v>17783</v>
      </c>
      <c r="Z1828" s="1">
        <v>2000.0</v>
      </c>
      <c r="AA1828" s="1" t="s">
        <v>200</v>
      </c>
      <c r="AB1828" s="1" t="s">
        <v>193</v>
      </c>
      <c r="AD1828" s="1" t="s">
        <v>809</v>
      </c>
      <c r="AE1828" s="1" t="s">
        <v>325</v>
      </c>
      <c r="AF1828" s="1" t="s">
        <v>810</v>
      </c>
      <c r="AH1828" s="1">
        <v>9148.0</v>
      </c>
      <c r="AK1828" s="1">
        <v>8.0</v>
      </c>
      <c r="AL1828" s="1">
        <v>4.0</v>
      </c>
      <c r="AM1828" s="1">
        <v>2.0</v>
      </c>
      <c r="AN1828" s="1">
        <v>1.0</v>
      </c>
      <c r="AO1828" s="1" t="s">
        <v>198</v>
      </c>
      <c r="AQ1828" s="1" t="s">
        <v>198</v>
      </c>
      <c r="AR1828" s="1" t="s">
        <v>200</v>
      </c>
      <c r="AS1828" s="1" t="s">
        <v>199</v>
      </c>
      <c r="AT1828" s="1">
        <v>2.0</v>
      </c>
      <c r="AV1828" s="1" t="s">
        <v>200</v>
      </c>
      <c r="AW1828" s="1">
        <v>7820.34</v>
      </c>
      <c r="AX1828" s="1">
        <v>2013.0</v>
      </c>
      <c r="AY1828" s="1" t="s">
        <v>387</v>
      </c>
      <c r="AZ1828" s="1" t="s">
        <v>200</v>
      </c>
      <c r="BA1828" s="1" t="str">
        <f>"0317226027"</f>
        <v>0317226027</v>
      </c>
      <c r="BC1828" s="1">
        <v>2508.0</v>
      </c>
      <c r="BD1828" s="1">
        <v>224000.0</v>
      </c>
      <c r="BE1828" s="2">
        <v>41871.0</v>
      </c>
      <c r="BF1828" s="2" t="s">
        <v>17784</v>
      </c>
      <c r="BH1828" s="1">
        <v>250.0</v>
      </c>
      <c r="BK1828" s="1" t="s">
        <v>580</v>
      </c>
      <c r="BL1828" s="1" t="str">
        <f t="shared" ref="BL1828:BM1828" si="1208">""</f>
        <v/>
      </c>
      <c r="BM1828" s="1" t="str">
        <f t="shared" si="1208"/>
        <v/>
      </c>
      <c r="BQ1828" s="1">
        <v>300.0</v>
      </c>
      <c r="BR1828" s="1">
        <v>300.0</v>
      </c>
      <c r="BS1828" s="1">
        <v>300.0</v>
      </c>
      <c r="BU1828" s="1" t="s">
        <v>212</v>
      </c>
      <c r="BV1828" s="1" t="s">
        <v>206</v>
      </c>
      <c r="BW1828" s="1" t="s">
        <v>210</v>
      </c>
      <c r="BY1828" s="1" t="s">
        <v>924</v>
      </c>
      <c r="BZ1828" s="1" t="s">
        <v>209</v>
      </c>
      <c r="CA1828" s="1" t="s">
        <v>210</v>
      </c>
      <c r="CC1828" s="1" t="s">
        <v>264</v>
      </c>
      <c r="CD1828" s="1" t="s">
        <v>206</v>
      </c>
      <c r="CE1828" s="1" t="s">
        <v>210</v>
      </c>
      <c r="CG1828" s="1" t="s">
        <v>454</v>
      </c>
      <c r="CH1828" s="1" t="s">
        <v>209</v>
      </c>
      <c r="CI1828" s="1" t="s">
        <v>210</v>
      </c>
      <c r="CK1828" s="1" t="s">
        <v>215</v>
      </c>
      <c r="CL1828" s="1" t="s">
        <v>209</v>
      </c>
      <c r="CM1828" s="1" t="s">
        <v>210</v>
      </c>
      <c r="CO1828" s="1" t="s">
        <v>212</v>
      </c>
      <c r="CP1828" s="1" t="s">
        <v>209</v>
      </c>
      <c r="CQ1828" s="1" t="s">
        <v>210</v>
      </c>
      <c r="CS1828" s="1" t="s">
        <v>432</v>
      </c>
      <c r="CT1828" s="1" t="s">
        <v>206</v>
      </c>
      <c r="CU1828" s="1" t="s">
        <v>617</v>
      </c>
      <c r="CW1828" s="1" t="s">
        <v>2800</v>
      </c>
      <c r="CX1828" s="1" t="s">
        <v>206</v>
      </c>
      <c r="CY1828" s="1" t="s">
        <v>210</v>
      </c>
      <c r="DA1828" s="1" t="s">
        <v>200</v>
      </c>
      <c r="DC1828" s="1" t="s">
        <v>335</v>
      </c>
      <c r="DD1828" s="1" t="s">
        <v>518</v>
      </c>
      <c r="DE1828" s="1" t="s">
        <v>273</v>
      </c>
      <c r="DF1828" s="1" t="s">
        <v>219</v>
      </c>
      <c r="DH1828" s="1" t="s">
        <v>220</v>
      </c>
      <c r="DJ1828" s="1" t="s">
        <v>222</v>
      </c>
      <c r="DL1828" s="1" t="s">
        <v>223</v>
      </c>
      <c r="DM1828" s="1" t="s">
        <v>229</v>
      </c>
      <c r="DN1828" s="1" t="s">
        <v>367</v>
      </c>
      <c r="DP1828" s="1" t="s">
        <v>340</v>
      </c>
      <c r="DQ1828" s="1" t="s">
        <v>228</v>
      </c>
      <c r="DR1828" s="1" t="s">
        <v>229</v>
      </c>
      <c r="DV1828" s="1" t="s">
        <v>232</v>
      </c>
      <c r="DW1828" s="1" t="s">
        <v>2602</v>
      </c>
      <c r="DX1828" s="1" t="s">
        <v>234</v>
      </c>
      <c r="DY1828" s="1" t="s">
        <v>3846</v>
      </c>
      <c r="DZ1828" s="1" t="s">
        <v>310</v>
      </c>
      <c r="EC1828" s="1" t="s">
        <v>237</v>
      </c>
      <c r="EM1828" s="1" t="s">
        <v>238</v>
      </c>
      <c r="EQ1828" s="1" t="s">
        <v>238</v>
      </c>
      <c r="EU1828" s="1" t="s">
        <v>238</v>
      </c>
      <c r="EY1828" s="1" t="s">
        <v>238</v>
      </c>
      <c r="FC1828" s="1" t="s">
        <v>238</v>
      </c>
      <c r="FF1828" s="1" t="s">
        <v>239</v>
      </c>
      <c r="FG1828" s="1" t="s">
        <v>192</v>
      </c>
      <c r="FH1828" s="1" t="s">
        <v>192</v>
      </c>
      <c r="FJ1828" s="1" t="s">
        <v>11681</v>
      </c>
      <c r="FK1828" s="1" t="s">
        <v>229</v>
      </c>
      <c r="FL1828" s="1" t="s">
        <v>819</v>
      </c>
      <c r="FM1828" s="1">
        <v>6267.0</v>
      </c>
      <c r="FN1828" s="1" t="s">
        <v>820</v>
      </c>
      <c r="FO1828" s="1" t="s">
        <v>7907</v>
      </c>
      <c r="FP1828" s="1">
        <v>38359.0</v>
      </c>
      <c r="FQ1828" s="1" t="s">
        <v>7908</v>
      </c>
      <c r="FU1828" s="1" t="s">
        <v>7909</v>
      </c>
      <c r="FV1828" s="1" t="s">
        <v>200</v>
      </c>
      <c r="FW1828" s="1" t="s">
        <v>354</v>
      </c>
      <c r="FZ1828" s="1" t="s">
        <v>229</v>
      </c>
      <c r="GA1828" s="1" t="s">
        <v>291</v>
      </c>
      <c r="GB1828" s="2">
        <v>42027.0</v>
      </c>
      <c r="GC1828" s="1" t="s">
        <v>17785</v>
      </c>
    </row>
    <row r="1829">
      <c r="A1829" s="1">
        <v>192490.0</v>
      </c>
      <c r="B1829" s="1" t="s">
        <v>185</v>
      </c>
      <c r="C1829" s="1" t="str">
        <f>"08712475"</f>
        <v>08712475</v>
      </c>
      <c r="D1829" s="1" t="s">
        <v>186</v>
      </c>
      <c r="F1829" s="1" t="str">
        <f>"8018"</f>
        <v>8018</v>
      </c>
      <c r="G1829" s="2">
        <v>41878.0</v>
      </c>
      <c r="H1829" s="1">
        <v>204900.0</v>
      </c>
      <c r="I1829" s="1">
        <v>110.0</v>
      </c>
      <c r="J1829" s="1">
        <v>194900.0</v>
      </c>
      <c r="K1829" s="2">
        <v>41987.0</v>
      </c>
      <c r="L1829" s="1">
        <v>110.0</v>
      </c>
      <c r="M1829" s="2">
        <v>41987.0</v>
      </c>
      <c r="N1829" s="1" t="s">
        <v>187</v>
      </c>
      <c r="O1829" s="2">
        <v>42033.0</v>
      </c>
      <c r="P1829" s="1">
        <v>240854.0</v>
      </c>
      <c r="Q1829" s="1">
        <v>1693.0</v>
      </c>
      <c r="S1829" s="1">
        <v>3101.0</v>
      </c>
      <c r="T1829" s="1" t="s">
        <v>17786</v>
      </c>
      <c r="U1829" s="1" t="s">
        <v>189</v>
      </c>
      <c r="V1829" s="1" t="s">
        <v>190</v>
      </c>
      <c r="W1829" s="1">
        <v>60634.0</v>
      </c>
      <c r="Y1829" s="1" t="s">
        <v>17787</v>
      </c>
      <c r="Z1829" s="1">
        <v>1948.0</v>
      </c>
      <c r="AA1829" s="1" t="s">
        <v>192</v>
      </c>
      <c r="AB1829" s="1" t="s">
        <v>193</v>
      </c>
      <c r="AC1829" s="1" t="s">
        <v>17788</v>
      </c>
      <c r="AD1829" s="1" t="s">
        <v>194</v>
      </c>
      <c r="AE1829" s="1" t="s">
        <v>195</v>
      </c>
      <c r="AF1829" s="1" t="s">
        <v>196</v>
      </c>
      <c r="AH1829" s="1">
        <v>0.11</v>
      </c>
      <c r="AI1829" s="1">
        <v>0.11</v>
      </c>
      <c r="AK1829" s="1">
        <v>9.0</v>
      </c>
      <c r="AL1829" s="1">
        <v>2.0</v>
      </c>
      <c r="AM1829" s="1">
        <v>2.0</v>
      </c>
      <c r="AN1829" s="1">
        <v>0.0</v>
      </c>
      <c r="AO1829" s="1" t="s">
        <v>229</v>
      </c>
      <c r="AP1829" s="1">
        <v>1.0</v>
      </c>
      <c r="AQ1829" s="1" t="s">
        <v>198</v>
      </c>
      <c r="AR1829" s="1" t="s">
        <v>192</v>
      </c>
      <c r="AS1829" s="1" t="s">
        <v>199</v>
      </c>
      <c r="AT1829" s="1">
        <v>2.0</v>
      </c>
      <c r="AV1829" s="1" t="s">
        <v>200</v>
      </c>
      <c r="AW1829" s="1">
        <v>4378.0</v>
      </c>
      <c r="AX1829" s="1">
        <v>2012.0</v>
      </c>
      <c r="AZ1829" s="1" t="s">
        <v>200</v>
      </c>
      <c r="BA1829" s="1" t="str">
        <f>"13301070300000"</f>
        <v>13301070300000</v>
      </c>
      <c r="BB1829" s="1" t="s">
        <v>200</v>
      </c>
      <c r="BC1829" s="1">
        <v>1693.0</v>
      </c>
      <c r="BD1829" s="1">
        <v>192490.0</v>
      </c>
      <c r="BE1829" s="2">
        <v>41878.0</v>
      </c>
      <c r="BF1829" s="1" t="s">
        <v>17789</v>
      </c>
      <c r="BH1829" s="1">
        <v>0.0</v>
      </c>
      <c r="BK1829" s="1" t="s">
        <v>204</v>
      </c>
      <c r="BL1829" s="1" t="str">
        <f>"3112"</f>
        <v>3112</v>
      </c>
      <c r="BM1829" s="1" t="str">
        <f t="shared" ref="BM1829:BM1830" si="1209">"0"</f>
        <v>0</v>
      </c>
      <c r="BN1829" s="1">
        <v>6900.0</v>
      </c>
      <c r="BO1829" s="1">
        <v>0.0</v>
      </c>
      <c r="BQ1829" s="1">
        <v>299.0</v>
      </c>
      <c r="BR1829" s="1">
        <v>299.0</v>
      </c>
      <c r="BS1829" s="1">
        <v>299.0</v>
      </c>
      <c r="BU1829" s="1" t="s">
        <v>3989</v>
      </c>
      <c r="BV1829" s="1" t="s">
        <v>206</v>
      </c>
      <c r="BY1829" s="1" t="s">
        <v>300</v>
      </c>
      <c r="BZ1829" s="1" t="s">
        <v>206</v>
      </c>
      <c r="CC1829" s="1" t="s">
        <v>542</v>
      </c>
      <c r="CD1829" s="1" t="s">
        <v>206</v>
      </c>
      <c r="CG1829" s="1" t="s">
        <v>264</v>
      </c>
      <c r="CH1829" s="1" t="s">
        <v>206</v>
      </c>
      <c r="CK1829" s="1" t="s">
        <v>269</v>
      </c>
      <c r="CL1829" s="1" t="s">
        <v>42</v>
      </c>
      <c r="CO1829" s="1" t="s">
        <v>269</v>
      </c>
      <c r="CP1829" s="1" t="s">
        <v>42</v>
      </c>
      <c r="CS1829" s="1" t="s">
        <v>2082</v>
      </c>
      <c r="CT1829" s="1" t="s">
        <v>206</v>
      </c>
      <c r="CW1829" s="1" t="s">
        <v>1426</v>
      </c>
      <c r="CX1829" s="1" t="s">
        <v>42</v>
      </c>
      <c r="DA1829" s="1" t="s">
        <v>200</v>
      </c>
      <c r="DC1829" s="1" t="s">
        <v>702</v>
      </c>
      <c r="DE1829" s="1" t="s">
        <v>273</v>
      </c>
      <c r="DF1829" s="1" t="s">
        <v>219</v>
      </c>
      <c r="DH1829" s="1" t="s">
        <v>365</v>
      </c>
      <c r="DJ1829" s="1" t="s">
        <v>222</v>
      </c>
      <c r="DL1829" s="1" t="s">
        <v>224</v>
      </c>
      <c r="DM1829" s="1" t="s">
        <v>229</v>
      </c>
      <c r="DQ1829" s="1" t="s">
        <v>228</v>
      </c>
      <c r="DR1829" s="1" t="s">
        <v>229</v>
      </c>
      <c r="DV1829" s="1" t="s">
        <v>557</v>
      </c>
      <c r="DW1829" s="1" t="s">
        <v>279</v>
      </c>
      <c r="DX1829" s="1" t="s">
        <v>234</v>
      </c>
      <c r="DZ1829" s="1" t="s">
        <v>310</v>
      </c>
      <c r="EC1829" s="1" t="s">
        <v>645</v>
      </c>
      <c r="EJ1829" s="1" t="s">
        <v>557</v>
      </c>
      <c r="EM1829" s="1" t="s">
        <v>238</v>
      </c>
      <c r="EQ1829" s="1" t="s">
        <v>238</v>
      </c>
      <c r="EU1829" s="1" t="s">
        <v>238</v>
      </c>
      <c r="EX1829" s="1" t="s">
        <v>1746</v>
      </c>
      <c r="EY1829" s="1" t="s">
        <v>42</v>
      </c>
      <c r="FC1829" s="1" t="s">
        <v>238</v>
      </c>
      <c r="FF1829" s="1" t="s">
        <v>239</v>
      </c>
      <c r="FG1829" s="1" t="s">
        <v>192</v>
      </c>
      <c r="FH1829" s="1" t="s">
        <v>192</v>
      </c>
      <c r="FJ1829" s="1" t="s">
        <v>347</v>
      </c>
      <c r="FK1829" s="1" t="s">
        <v>229</v>
      </c>
      <c r="FL1829" s="1" t="s">
        <v>17790</v>
      </c>
      <c r="FM1829" s="1">
        <v>1693.0</v>
      </c>
      <c r="FN1829" s="1" t="s">
        <v>17791</v>
      </c>
      <c r="FO1829" s="1" t="s">
        <v>17792</v>
      </c>
      <c r="FP1829" s="1">
        <v>88121.0</v>
      </c>
      <c r="FQ1829" s="1" t="s">
        <v>17791</v>
      </c>
      <c r="FR1829" s="1">
        <v>240854.0</v>
      </c>
      <c r="FS1829" s="1" t="s">
        <v>17793</v>
      </c>
      <c r="FU1829" s="1" t="s">
        <v>17794</v>
      </c>
      <c r="FV1829" s="1" t="s">
        <v>200</v>
      </c>
      <c r="FW1829" s="1" t="s">
        <v>290</v>
      </c>
      <c r="FX1829" s="1" t="s">
        <v>238</v>
      </c>
      <c r="FZ1829" s="1" t="s">
        <v>229</v>
      </c>
      <c r="GA1829" s="1" t="s">
        <v>291</v>
      </c>
      <c r="GB1829" s="2">
        <v>42038.0</v>
      </c>
      <c r="GC1829" s="1" t="s">
        <v>17795</v>
      </c>
    </row>
    <row r="1830">
      <c r="A1830" s="1">
        <v>319900.0</v>
      </c>
      <c r="B1830" s="1" t="s">
        <v>185</v>
      </c>
      <c r="C1830" s="1" t="str">
        <f>"08734168"</f>
        <v>08734168</v>
      </c>
      <c r="D1830" s="1" t="s">
        <v>186</v>
      </c>
      <c r="F1830" s="1" t="str">
        <f>"123"</f>
        <v>123</v>
      </c>
      <c r="G1830" s="2">
        <v>41904.0</v>
      </c>
      <c r="H1830" s="1">
        <v>369900.0</v>
      </c>
      <c r="I1830" s="1">
        <v>94.0</v>
      </c>
      <c r="J1830" s="1">
        <v>334900.0</v>
      </c>
      <c r="K1830" s="2">
        <v>41996.0</v>
      </c>
      <c r="L1830" s="1">
        <v>94.0</v>
      </c>
      <c r="M1830" s="2">
        <v>41996.0</v>
      </c>
      <c r="N1830" s="1" t="s">
        <v>187</v>
      </c>
      <c r="O1830" s="2">
        <v>42027.0</v>
      </c>
      <c r="P1830" s="1">
        <v>54311.0</v>
      </c>
      <c r="Q1830" s="1">
        <v>5040.0</v>
      </c>
      <c r="S1830" s="1">
        <v>310.0</v>
      </c>
      <c r="T1830" s="1" t="s">
        <v>17796</v>
      </c>
      <c r="U1830" s="1" t="s">
        <v>1174</v>
      </c>
      <c r="V1830" s="1" t="s">
        <v>465</v>
      </c>
      <c r="W1830" s="1">
        <v>60124.0</v>
      </c>
      <c r="Y1830" s="1" t="s">
        <v>17797</v>
      </c>
      <c r="Z1830" s="1">
        <v>2005.0</v>
      </c>
      <c r="AA1830" s="1" t="s">
        <v>200</v>
      </c>
      <c r="AB1830" s="1" t="s">
        <v>467</v>
      </c>
      <c r="AC1830" s="1" t="s">
        <v>13378</v>
      </c>
      <c r="AD1830" s="1" t="s">
        <v>469</v>
      </c>
      <c r="AE1830" s="1" t="s">
        <v>325</v>
      </c>
      <c r="AF1830" s="1" t="s">
        <v>572</v>
      </c>
      <c r="AG1830" s="1" t="s">
        <v>11536</v>
      </c>
      <c r="AH1830" s="1" t="s">
        <v>17798</v>
      </c>
      <c r="AI1830" s="1">
        <v>0.3253</v>
      </c>
      <c r="AK1830" s="1">
        <v>10.0</v>
      </c>
      <c r="AL1830" s="1">
        <v>4.0</v>
      </c>
      <c r="AM1830" s="1">
        <v>2.0</v>
      </c>
      <c r="AN1830" s="1">
        <v>1.0</v>
      </c>
      <c r="AO1830" s="1" t="s">
        <v>198</v>
      </c>
      <c r="AP1830" s="1">
        <v>1.0</v>
      </c>
      <c r="AQ1830" s="1" t="s">
        <v>198</v>
      </c>
      <c r="AR1830" s="1" t="s">
        <v>200</v>
      </c>
      <c r="AS1830" s="1" t="s">
        <v>199</v>
      </c>
      <c r="AT1830" s="1">
        <v>3.0</v>
      </c>
      <c r="AV1830" s="1" t="s">
        <v>200</v>
      </c>
      <c r="AW1830" s="1">
        <v>11140.48</v>
      </c>
      <c r="AX1830" s="1">
        <v>2013.0</v>
      </c>
      <c r="AZ1830" s="1" t="s">
        <v>200</v>
      </c>
      <c r="BA1830" s="1" t="str">
        <f>"0524431017"</f>
        <v>0524431017</v>
      </c>
      <c r="BB1830" s="1" t="s">
        <v>200</v>
      </c>
      <c r="BC1830" s="1">
        <v>3606.0</v>
      </c>
      <c r="BD1830" s="1">
        <v>319900.0</v>
      </c>
      <c r="BE1830" s="2">
        <v>41903.0</v>
      </c>
      <c r="BF1830" s="2" t="s">
        <v>17799</v>
      </c>
      <c r="BG1830" s="1" t="s">
        <v>3686</v>
      </c>
      <c r="BH1830" s="1">
        <v>35.0</v>
      </c>
      <c r="BI1830" s="1" t="s">
        <v>578</v>
      </c>
      <c r="BJ1830" s="1" t="s">
        <v>579</v>
      </c>
      <c r="BK1830" s="1" t="s">
        <v>474</v>
      </c>
      <c r="BL1830" s="1" t="str">
        <f>"11"</f>
        <v>11</v>
      </c>
      <c r="BM1830" s="1" t="str">
        <f t="shared" si="1209"/>
        <v>0</v>
      </c>
      <c r="BN1830" s="1">
        <v>38.0</v>
      </c>
      <c r="BO1830" s="1">
        <v>0.0</v>
      </c>
      <c r="BQ1830" s="1">
        <v>301.0</v>
      </c>
      <c r="BR1830" s="1">
        <v>301.0</v>
      </c>
      <c r="BS1830" s="1">
        <v>301.0</v>
      </c>
      <c r="BU1830" s="1" t="s">
        <v>329</v>
      </c>
      <c r="BV1830" s="1" t="s">
        <v>206</v>
      </c>
      <c r="BW1830" s="1" t="s">
        <v>210</v>
      </c>
      <c r="BX1830" s="1" t="s">
        <v>229</v>
      </c>
      <c r="BY1830" s="1" t="s">
        <v>1825</v>
      </c>
      <c r="BZ1830" s="1" t="s">
        <v>209</v>
      </c>
      <c r="CA1830" s="1" t="s">
        <v>210</v>
      </c>
      <c r="CB1830" s="1" t="s">
        <v>229</v>
      </c>
      <c r="CC1830" s="1" t="s">
        <v>329</v>
      </c>
      <c r="CD1830" s="1" t="s">
        <v>206</v>
      </c>
      <c r="CE1830" s="1" t="s">
        <v>210</v>
      </c>
      <c r="CF1830" s="1" t="s">
        <v>229</v>
      </c>
      <c r="CG1830" s="1" t="s">
        <v>433</v>
      </c>
      <c r="CH1830" s="1" t="s">
        <v>209</v>
      </c>
      <c r="CI1830" s="1" t="s">
        <v>210</v>
      </c>
      <c r="CJ1830" s="1" t="s">
        <v>229</v>
      </c>
      <c r="CK1830" s="1" t="s">
        <v>433</v>
      </c>
      <c r="CL1830" s="1" t="s">
        <v>209</v>
      </c>
      <c r="CM1830" s="1" t="s">
        <v>210</v>
      </c>
      <c r="CN1830" s="1" t="s">
        <v>229</v>
      </c>
      <c r="CO1830" s="1" t="s">
        <v>363</v>
      </c>
      <c r="CP1830" s="1" t="s">
        <v>209</v>
      </c>
      <c r="CQ1830" s="1" t="s">
        <v>210</v>
      </c>
      <c r="CR1830" s="1" t="s">
        <v>229</v>
      </c>
      <c r="CS1830" s="1" t="s">
        <v>1534</v>
      </c>
      <c r="CT1830" s="1" t="s">
        <v>206</v>
      </c>
      <c r="CU1830" s="1" t="s">
        <v>268</v>
      </c>
      <c r="CV1830" s="1" t="s">
        <v>229</v>
      </c>
      <c r="CW1830" s="1" t="s">
        <v>477</v>
      </c>
      <c r="CX1830" s="1" t="s">
        <v>206</v>
      </c>
      <c r="CY1830" s="1" t="s">
        <v>210</v>
      </c>
      <c r="CZ1830" s="1" t="s">
        <v>229</v>
      </c>
      <c r="DA1830" s="1" t="s">
        <v>200</v>
      </c>
      <c r="DC1830" s="1" t="s">
        <v>481</v>
      </c>
      <c r="DD1830" s="1" t="s">
        <v>926</v>
      </c>
      <c r="DE1830" s="1" t="s">
        <v>1810</v>
      </c>
      <c r="DF1830" s="1" t="s">
        <v>1811</v>
      </c>
      <c r="DG1830" s="1" t="s">
        <v>337</v>
      </c>
      <c r="DH1830" s="1" t="s">
        <v>220</v>
      </c>
      <c r="DI1830" s="1" t="s">
        <v>2201</v>
      </c>
      <c r="DJ1830" s="1" t="s">
        <v>222</v>
      </c>
      <c r="DK1830" s="1" t="s">
        <v>223</v>
      </c>
      <c r="DL1830" s="1" t="s">
        <v>223</v>
      </c>
      <c r="DM1830" s="1" t="s">
        <v>929</v>
      </c>
      <c r="DN1830" s="1" t="s">
        <v>485</v>
      </c>
      <c r="DO1830" s="1" t="s">
        <v>486</v>
      </c>
      <c r="DP1830" s="1" t="s">
        <v>340</v>
      </c>
      <c r="DQ1830" s="1" t="s">
        <v>441</v>
      </c>
      <c r="DR1830" s="1" t="s">
        <v>229</v>
      </c>
      <c r="DS1830" s="1" t="s">
        <v>368</v>
      </c>
      <c r="DU1830" s="1" t="s">
        <v>5397</v>
      </c>
      <c r="DV1830" s="1" t="s">
        <v>4513</v>
      </c>
      <c r="DW1830" s="1" t="s">
        <v>8871</v>
      </c>
      <c r="DX1830" s="1" t="s">
        <v>234</v>
      </c>
      <c r="DY1830" s="1" t="s">
        <v>3846</v>
      </c>
      <c r="DZ1830" s="1" t="s">
        <v>796</v>
      </c>
      <c r="EA1830" s="1" t="s">
        <v>344</v>
      </c>
      <c r="EB1830" s="1" t="s">
        <v>937</v>
      </c>
      <c r="EC1830" s="1" t="s">
        <v>237</v>
      </c>
      <c r="EE1830" s="1" t="s">
        <v>493</v>
      </c>
      <c r="EG1830" s="1" t="s">
        <v>494</v>
      </c>
      <c r="EH1830" s="1" t="s">
        <v>449</v>
      </c>
      <c r="EL1830" s="1" t="s">
        <v>332</v>
      </c>
      <c r="EM1830" s="1" t="s">
        <v>206</v>
      </c>
      <c r="EN1830" s="1" t="s">
        <v>210</v>
      </c>
      <c r="EO1830" s="1" t="s">
        <v>229</v>
      </c>
      <c r="EP1830" s="1" t="s">
        <v>729</v>
      </c>
      <c r="EQ1830" s="1" t="s">
        <v>206</v>
      </c>
      <c r="ER1830" s="1" t="s">
        <v>268</v>
      </c>
      <c r="ES1830" s="1" t="s">
        <v>229</v>
      </c>
      <c r="EU1830" s="1" t="s">
        <v>238</v>
      </c>
      <c r="EY1830" s="1" t="s">
        <v>238</v>
      </c>
      <c r="FC1830" s="1" t="s">
        <v>238</v>
      </c>
      <c r="FF1830" s="1" t="s">
        <v>239</v>
      </c>
      <c r="FG1830" s="1" t="s">
        <v>192</v>
      </c>
      <c r="FH1830" s="1" t="s">
        <v>192</v>
      </c>
      <c r="FJ1830" s="1" t="s">
        <v>1248</v>
      </c>
      <c r="FK1830" s="1" t="s">
        <v>229</v>
      </c>
      <c r="FL1830" s="1" t="s">
        <v>3077</v>
      </c>
      <c r="FM1830" s="1">
        <v>5575.0</v>
      </c>
      <c r="FN1830" s="1" t="s">
        <v>3078</v>
      </c>
      <c r="FO1830" s="1" t="s">
        <v>3079</v>
      </c>
      <c r="FP1830" s="1">
        <v>50852.0</v>
      </c>
      <c r="FQ1830" s="1" t="s">
        <v>3080</v>
      </c>
      <c r="FR1830" s="1">
        <v>54802.0</v>
      </c>
      <c r="FS1830" s="1" t="s">
        <v>17800</v>
      </c>
      <c r="FU1830" s="1" t="s">
        <v>2697</v>
      </c>
      <c r="FV1830" s="1" t="s">
        <v>200</v>
      </c>
      <c r="FW1830" s="1" t="s">
        <v>354</v>
      </c>
      <c r="FZ1830" s="1" t="s">
        <v>632</v>
      </c>
      <c r="GA1830" s="1" t="s">
        <v>291</v>
      </c>
      <c r="GB1830" s="2">
        <v>42027.0</v>
      </c>
      <c r="GC1830" s="1" t="s">
        <v>17801</v>
      </c>
    </row>
    <row r="1831">
      <c r="A1831" s="1">
        <v>9057.0</v>
      </c>
      <c r="B1831" s="1" t="s">
        <v>185</v>
      </c>
      <c r="C1831" s="1" t="str">
        <f>"08707254"</f>
        <v>08707254</v>
      </c>
      <c r="D1831" s="1" t="s">
        <v>186</v>
      </c>
      <c r="F1831" s="1" t="str">
        <f>"8073"</f>
        <v>8073</v>
      </c>
      <c r="G1831" s="2">
        <v>41871.0</v>
      </c>
      <c r="H1831" s="1">
        <v>24900.0</v>
      </c>
      <c r="I1831" s="1">
        <v>168.0</v>
      </c>
      <c r="J1831" s="1">
        <v>8900.0</v>
      </c>
      <c r="K1831" s="2">
        <v>42038.0</v>
      </c>
      <c r="L1831" s="1">
        <v>168.0</v>
      </c>
      <c r="M1831" s="2">
        <v>42038.0</v>
      </c>
      <c r="N1831" s="1" t="s">
        <v>249</v>
      </c>
      <c r="O1831" s="2">
        <v>42065.0</v>
      </c>
      <c r="P1831" s="1">
        <v>130711.0</v>
      </c>
      <c r="Q1831" s="1">
        <v>14267.0</v>
      </c>
      <c r="S1831" s="1">
        <v>9115.0</v>
      </c>
      <c r="T1831" s="1" t="s">
        <v>17802</v>
      </c>
      <c r="U1831" s="1" t="s">
        <v>189</v>
      </c>
      <c r="V1831" s="1" t="s">
        <v>190</v>
      </c>
      <c r="W1831" s="1">
        <v>60620.0</v>
      </c>
      <c r="Y1831" s="1" t="s">
        <v>17803</v>
      </c>
      <c r="Z1831" s="1">
        <v>1909.0</v>
      </c>
      <c r="AA1831" s="1" t="s">
        <v>192</v>
      </c>
      <c r="AB1831" s="1" t="s">
        <v>193</v>
      </c>
      <c r="AD1831" s="1" t="s">
        <v>194</v>
      </c>
      <c r="AE1831" s="1" t="s">
        <v>195</v>
      </c>
      <c r="AF1831" s="1" t="s">
        <v>659</v>
      </c>
      <c r="AH1831" s="1">
        <v>3125.0</v>
      </c>
      <c r="AK1831" s="1">
        <v>8.0</v>
      </c>
      <c r="AL1831" s="1">
        <v>4.0</v>
      </c>
      <c r="AM1831" s="1">
        <v>2.0</v>
      </c>
      <c r="AN1831" s="1">
        <v>0.0</v>
      </c>
      <c r="AO1831" s="1" t="s">
        <v>229</v>
      </c>
      <c r="AQ1831" s="1" t="s">
        <v>229</v>
      </c>
      <c r="AS1831" s="1" t="s">
        <v>199</v>
      </c>
      <c r="AT1831" s="1">
        <v>2.0</v>
      </c>
      <c r="AV1831" s="1" t="s">
        <v>200</v>
      </c>
      <c r="AW1831" s="1">
        <v>1699.0</v>
      </c>
      <c r="AX1831" s="1">
        <v>2012.0</v>
      </c>
      <c r="AZ1831" s="1" t="s">
        <v>200</v>
      </c>
      <c r="BA1831" s="1" t="str">
        <f>"25043060060000"</f>
        <v>25043060060000</v>
      </c>
      <c r="BC1831" s="1">
        <v>1274.0</v>
      </c>
      <c r="BD1831" s="1">
        <v>9057.0</v>
      </c>
      <c r="BE1831" s="2">
        <v>41871.0</v>
      </c>
      <c r="BF1831" s="1" t="s">
        <v>17804</v>
      </c>
      <c r="BH1831" s="1">
        <v>0.0</v>
      </c>
      <c r="BK1831" s="1" t="s">
        <v>204</v>
      </c>
      <c r="BL1831" s="1" t="str">
        <f t="shared" ref="BL1831:BM1831" si="1210">"0"</f>
        <v>0</v>
      </c>
      <c r="BM1831" s="1" t="str">
        <f t="shared" si="1210"/>
        <v>0</v>
      </c>
      <c r="BN1831" s="1">
        <v>500.0</v>
      </c>
      <c r="BO1831" s="1">
        <v>9115.0</v>
      </c>
      <c r="BQ1831" s="1">
        <v>299.0</v>
      </c>
      <c r="BR1831" s="1">
        <v>299.0</v>
      </c>
      <c r="BS1831" s="1">
        <v>299.0</v>
      </c>
      <c r="BU1831" s="1" t="s">
        <v>433</v>
      </c>
      <c r="BV1831" s="1" t="s">
        <v>209</v>
      </c>
      <c r="BY1831" s="1" t="s">
        <v>495</v>
      </c>
      <c r="BZ1831" s="1" t="s">
        <v>206</v>
      </c>
      <c r="CC1831" s="1" t="s">
        <v>699</v>
      </c>
      <c r="CD1831" s="1" t="s">
        <v>209</v>
      </c>
      <c r="CG1831" s="1" t="s">
        <v>269</v>
      </c>
      <c r="CH1831" s="1" t="s">
        <v>206</v>
      </c>
      <c r="CK1831" s="1" t="s">
        <v>269</v>
      </c>
      <c r="CL1831" s="1" t="s">
        <v>209</v>
      </c>
      <c r="CO1831" s="1" t="s">
        <v>269</v>
      </c>
      <c r="CP1831" s="1" t="s">
        <v>209</v>
      </c>
      <c r="CS1831" s="1" t="s">
        <v>269</v>
      </c>
      <c r="CT1831" s="1" t="s">
        <v>209</v>
      </c>
      <c r="CW1831" s="1" t="s">
        <v>1483</v>
      </c>
      <c r="CX1831" s="1" t="s">
        <v>206</v>
      </c>
      <c r="DA1831" s="1" t="s">
        <v>200</v>
      </c>
      <c r="DC1831" s="1" t="s">
        <v>642</v>
      </c>
      <c r="DE1831" s="1" t="s">
        <v>229</v>
      </c>
      <c r="DF1831" s="1" t="s">
        <v>619</v>
      </c>
      <c r="DH1831" s="1" t="s">
        <v>365</v>
      </c>
      <c r="DJ1831" s="1" t="s">
        <v>222</v>
      </c>
      <c r="DL1831" s="1" t="s">
        <v>229</v>
      </c>
      <c r="DM1831" s="1" t="s">
        <v>229</v>
      </c>
      <c r="DQ1831" s="1" t="s">
        <v>228</v>
      </c>
      <c r="DR1831" s="1" t="s">
        <v>229</v>
      </c>
      <c r="DV1831" s="1" t="s">
        <v>232</v>
      </c>
      <c r="DW1831" s="1" t="s">
        <v>279</v>
      </c>
      <c r="DX1831" s="1" t="s">
        <v>309</v>
      </c>
      <c r="EC1831" s="1" t="s">
        <v>237</v>
      </c>
      <c r="EM1831" s="1" t="s">
        <v>238</v>
      </c>
      <c r="EQ1831" s="1" t="s">
        <v>238</v>
      </c>
      <c r="EU1831" s="1" t="s">
        <v>238</v>
      </c>
      <c r="EY1831" s="1" t="s">
        <v>238</v>
      </c>
      <c r="FC1831" s="1" t="s">
        <v>238</v>
      </c>
      <c r="FF1831" s="1" t="s">
        <v>239</v>
      </c>
      <c r="FG1831" s="1" t="s">
        <v>192</v>
      </c>
      <c r="FH1831" s="1" t="s">
        <v>192</v>
      </c>
      <c r="FJ1831" s="1" t="s">
        <v>6038</v>
      </c>
      <c r="FK1831" s="1" t="s">
        <v>229</v>
      </c>
      <c r="FL1831" s="1" t="s">
        <v>6039</v>
      </c>
      <c r="FM1831" s="1">
        <v>12278.0</v>
      </c>
      <c r="FN1831" s="1" t="s">
        <v>6040</v>
      </c>
      <c r="FO1831" s="1" t="s">
        <v>6041</v>
      </c>
      <c r="FP1831" s="1">
        <v>119957.0</v>
      </c>
      <c r="FQ1831" s="1" t="s">
        <v>6040</v>
      </c>
      <c r="FU1831" s="1" t="s">
        <v>6042</v>
      </c>
      <c r="FV1831" s="1" t="s">
        <v>200</v>
      </c>
      <c r="FW1831" s="1" t="s">
        <v>567</v>
      </c>
      <c r="FX1831" s="1" t="s">
        <v>655</v>
      </c>
      <c r="FZ1831" s="1" t="s">
        <v>229</v>
      </c>
      <c r="GA1831" s="1" t="s">
        <v>291</v>
      </c>
      <c r="GB1831" s="2">
        <v>42069.0</v>
      </c>
    </row>
    <row r="1832">
      <c r="A1832" s="1">
        <v>438000.0</v>
      </c>
      <c r="B1832" s="1" t="s">
        <v>185</v>
      </c>
      <c r="C1832" s="1" t="str">
        <f>"08710406"</f>
        <v>08710406</v>
      </c>
      <c r="D1832" s="1" t="s">
        <v>186</v>
      </c>
      <c r="F1832" s="1" t="str">
        <f>"174"</f>
        <v>174</v>
      </c>
      <c r="G1832" s="2">
        <v>41876.0</v>
      </c>
      <c r="H1832" s="1">
        <v>459900.0</v>
      </c>
      <c r="I1832" s="1">
        <v>296.0</v>
      </c>
      <c r="J1832" s="1">
        <v>449900.0</v>
      </c>
      <c r="K1832" s="2">
        <v>41988.0</v>
      </c>
      <c r="L1832" s="1">
        <v>113.0</v>
      </c>
      <c r="M1832" s="2">
        <v>41988.0</v>
      </c>
      <c r="N1832" s="1" t="s">
        <v>187</v>
      </c>
      <c r="O1832" s="2">
        <v>42055.0</v>
      </c>
      <c r="P1832" s="1">
        <v>257000.0</v>
      </c>
      <c r="Q1832" s="1">
        <v>23591.0</v>
      </c>
      <c r="S1832" s="1" t="s">
        <v>17805</v>
      </c>
      <c r="T1832" s="1" t="s">
        <v>5356</v>
      </c>
      <c r="U1832" s="1" t="s">
        <v>464</v>
      </c>
      <c r="V1832" s="1" t="s">
        <v>1200</v>
      </c>
      <c r="W1832" s="1">
        <v>60175.0</v>
      </c>
      <c r="Y1832" s="1" t="s">
        <v>17806</v>
      </c>
      <c r="Z1832" s="1">
        <v>2002.0</v>
      </c>
      <c r="AA1832" s="1" t="s">
        <v>200</v>
      </c>
      <c r="AB1832" s="1" t="s">
        <v>193</v>
      </c>
      <c r="AC1832" s="1" t="s">
        <v>17807</v>
      </c>
      <c r="AD1832" s="1" t="s">
        <v>1089</v>
      </c>
      <c r="AE1832" s="1" t="s">
        <v>325</v>
      </c>
      <c r="AF1832" s="1" t="s">
        <v>1632</v>
      </c>
      <c r="AH1832" s="1" t="s">
        <v>17808</v>
      </c>
      <c r="AI1832" s="1">
        <v>0.26</v>
      </c>
      <c r="AK1832" s="1">
        <v>13.0</v>
      </c>
      <c r="AL1832" s="1">
        <v>4.0</v>
      </c>
      <c r="AM1832" s="1">
        <v>4.0</v>
      </c>
      <c r="AN1832" s="1">
        <v>0.0</v>
      </c>
      <c r="AO1832" s="1" t="s">
        <v>198</v>
      </c>
      <c r="AP1832" s="1">
        <v>1.0</v>
      </c>
      <c r="AQ1832" s="1" t="s">
        <v>198</v>
      </c>
      <c r="AR1832" s="1" t="s">
        <v>192</v>
      </c>
      <c r="AS1832" s="1" t="s">
        <v>199</v>
      </c>
      <c r="AT1832" s="1">
        <v>3.0</v>
      </c>
      <c r="AV1832" s="1" t="s">
        <v>200</v>
      </c>
      <c r="AW1832" s="1">
        <v>10149.0</v>
      </c>
      <c r="AX1832" s="1">
        <v>2013.0</v>
      </c>
      <c r="AY1832" s="1" t="s">
        <v>387</v>
      </c>
      <c r="AZ1832" s="1" t="s">
        <v>200</v>
      </c>
      <c r="BA1832" s="1" t="str">
        <f>"0823426006"</f>
        <v>0823426006</v>
      </c>
      <c r="BB1832" s="1" t="s">
        <v>200</v>
      </c>
      <c r="BC1832" s="1">
        <v>3000.0</v>
      </c>
      <c r="BD1832" s="1">
        <v>438000.0</v>
      </c>
      <c r="BE1832" s="2">
        <v>41876.0</v>
      </c>
      <c r="BF1832" s="2" t="s">
        <v>17809</v>
      </c>
      <c r="BH1832" s="1">
        <v>290.0</v>
      </c>
      <c r="BK1832" s="1" t="s">
        <v>1952</v>
      </c>
      <c r="BL1832" s="1" t="str">
        <f>"4"</f>
        <v>4</v>
      </c>
      <c r="BM1832" s="1" t="str">
        <f t="shared" ref="BM1832:BM1833" si="1211">"0"</f>
        <v>0</v>
      </c>
      <c r="BN1832" s="1">
        <v>40.0</v>
      </c>
      <c r="BO1832" s="1">
        <v>0.0</v>
      </c>
      <c r="BQ1832" s="1">
        <v>303.0</v>
      </c>
      <c r="BR1832" s="1">
        <v>303.0</v>
      </c>
      <c r="BS1832" s="1">
        <v>303.0</v>
      </c>
      <c r="BU1832" s="1" t="s">
        <v>332</v>
      </c>
      <c r="BV1832" s="1" t="s">
        <v>206</v>
      </c>
      <c r="BW1832" s="1" t="s">
        <v>210</v>
      </c>
      <c r="BY1832" s="1" t="s">
        <v>390</v>
      </c>
      <c r="BZ1832" s="1" t="s">
        <v>209</v>
      </c>
      <c r="CA1832" s="1" t="s">
        <v>210</v>
      </c>
      <c r="CC1832" s="1" t="s">
        <v>215</v>
      </c>
      <c r="CD1832" s="1" t="s">
        <v>206</v>
      </c>
      <c r="CE1832" s="1" t="s">
        <v>210</v>
      </c>
      <c r="CG1832" s="1" t="s">
        <v>582</v>
      </c>
      <c r="CH1832" s="1" t="s">
        <v>209</v>
      </c>
      <c r="CI1832" s="1" t="s">
        <v>210</v>
      </c>
      <c r="CK1832" s="1" t="s">
        <v>392</v>
      </c>
      <c r="CL1832" s="1" t="s">
        <v>209</v>
      </c>
      <c r="CM1832" s="1" t="s">
        <v>210</v>
      </c>
      <c r="CO1832" s="1" t="s">
        <v>215</v>
      </c>
      <c r="CP1832" s="1" t="s">
        <v>209</v>
      </c>
      <c r="CQ1832" s="1" t="s">
        <v>210</v>
      </c>
      <c r="CS1832" s="1" t="s">
        <v>1892</v>
      </c>
      <c r="CT1832" s="1" t="s">
        <v>206</v>
      </c>
      <c r="CU1832" s="1" t="s">
        <v>207</v>
      </c>
      <c r="CW1832" s="1" t="s">
        <v>2120</v>
      </c>
      <c r="CX1832" s="1" t="s">
        <v>206</v>
      </c>
      <c r="CY1832" s="1" t="s">
        <v>210</v>
      </c>
      <c r="DA1832" s="1" t="s">
        <v>200</v>
      </c>
      <c r="DC1832" s="1" t="s">
        <v>335</v>
      </c>
      <c r="DD1832" s="1" t="s">
        <v>1838</v>
      </c>
      <c r="DE1832" s="1" t="s">
        <v>273</v>
      </c>
      <c r="DF1832" s="1" t="s">
        <v>2328</v>
      </c>
      <c r="DG1832" s="1" t="s">
        <v>10620</v>
      </c>
      <c r="DH1832" s="1" t="s">
        <v>1603</v>
      </c>
      <c r="DI1832" s="1" t="s">
        <v>519</v>
      </c>
      <c r="DJ1832" s="1" t="s">
        <v>222</v>
      </c>
      <c r="DK1832" s="1" t="s">
        <v>223</v>
      </c>
      <c r="DL1832" s="1" t="s">
        <v>224</v>
      </c>
      <c r="DM1832" s="1" t="s">
        <v>338</v>
      </c>
      <c r="DN1832" s="1" t="s">
        <v>399</v>
      </c>
      <c r="DO1832" s="1" t="s">
        <v>3095</v>
      </c>
      <c r="DP1832" s="1" t="s">
        <v>340</v>
      </c>
      <c r="DQ1832" s="1" t="s">
        <v>441</v>
      </c>
      <c r="DR1832" s="1" t="s">
        <v>3096</v>
      </c>
      <c r="DU1832" s="1" t="s">
        <v>17810</v>
      </c>
      <c r="DV1832" s="1" t="s">
        <v>17811</v>
      </c>
      <c r="DW1832" s="1" t="s">
        <v>1026</v>
      </c>
      <c r="DX1832" s="1" t="s">
        <v>234</v>
      </c>
      <c r="DY1832" s="1" t="s">
        <v>2803</v>
      </c>
      <c r="DZ1832" s="1" t="s">
        <v>9547</v>
      </c>
      <c r="EA1832" s="1" t="s">
        <v>3308</v>
      </c>
      <c r="EB1832" s="1" t="s">
        <v>937</v>
      </c>
      <c r="EC1832" s="1" t="s">
        <v>237</v>
      </c>
      <c r="ED1832" s="1" t="s">
        <v>555</v>
      </c>
      <c r="EG1832" s="1" t="s">
        <v>494</v>
      </c>
      <c r="EI1832" s="1" t="s">
        <v>450</v>
      </c>
      <c r="EJ1832" s="1" t="s">
        <v>451</v>
      </c>
      <c r="EK1832" s="1" t="s">
        <v>1121</v>
      </c>
      <c r="EL1832" s="1" t="s">
        <v>331</v>
      </c>
      <c r="EM1832" s="1" t="s">
        <v>206</v>
      </c>
      <c r="EN1832" s="1" t="s">
        <v>210</v>
      </c>
      <c r="EQ1832" s="1" t="s">
        <v>238</v>
      </c>
      <c r="ET1832" s="1" t="s">
        <v>2414</v>
      </c>
      <c r="EU1832" s="1" t="s">
        <v>42</v>
      </c>
      <c r="EV1832" s="1" t="s">
        <v>210</v>
      </c>
      <c r="EX1832" s="1" t="s">
        <v>1117</v>
      </c>
      <c r="EY1832" s="1" t="s">
        <v>42</v>
      </c>
      <c r="EZ1832" s="1" t="s">
        <v>210</v>
      </c>
      <c r="FB1832" s="1" t="s">
        <v>332</v>
      </c>
      <c r="FC1832" s="1" t="s">
        <v>42</v>
      </c>
      <c r="FD1832" s="1" t="s">
        <v>210</v>
      </c>
      <c r="FF1832" s="1" t="s">
        <v>239</v>
      </c>
      <c r="FG1832" s="1" t="s">
        <v>192</v>
      </c>
      <c r="FH1832" s="1" t="s">
        <v>192</v>
      </c>
      <c r="FJ1832" s="1" t="s">
        <v>1469</v>
      </c>
      <c r="FK1832" s="1" t="s">
        <v>229</v>
      </c>
      <c r="FL1832" s="1" t="s">
        <v>893</v>
      </c>
      <c r="FM1832" s="1">
        <v>604.0</v>
      </c>
      <c r="FN1832" s="1" t="s">
        <v>894</v>
      </c>
      <c r="FO1832" s="1" t="s">
        <v>895</v>
      </c>
      <c r="FP1832" s="1">
        <v>381.0</v>
      </c>
      <c r="FQ1832" s="1" t="s">
        <v>896</v>
      </c>
      <c r="FU1832" s="1" t="s">
        <v>17812</v>
      </c>
      <c r="FV1832" s="1" t="s">
        <v>200</v>
      </c>
      <c r="FW1832" s="1" t="s">
        <v>290</v>
      </c>
      <c r="FZ1832" s="1" t="s">
        <v>229</v>
      </c>
      <c r="GA1832" s="1" t="s">
        <v>291</v>
      </c>
      <c r="GB1832" s="2">
        <v>42055.0</v>
      </c>
      <c r="GC1832" s="1" t="s">
        <v>17813</v>
      </c>
    </row>
    <row r="1833">
      <c r="A1833" s="1">
        <v>196000.0</v>
      </c>
      <c r="B1833" s="1" t="s">
        <v>185</v>
      </c>
      <c r="C1833" s="1" t="str">
        <f>"08710714"</f>
        <v>08710714</v>
      </c>
      <c r="D1833" s="1" t="s">
        <v>186</v>
      </c>
      <c r="F1833" s="1" t="str">
        <f>"110"</f>
        <v>110</v>
      </c>
      <c r="G1833" s="2">
        <v>41876.0</v>
      </c>
      <c r="H1833" s="1">
        <v>209500.0</v>
      </c>
      <c r="I1833" s="1">
        <v>91.0</v>
      </c>
      <c r="J1833" s="1">
        <v>199900.0</v>
      </c>
      <c r="K1833" s="2">
        <v>41965.0</v>
      </c>
      <c r="L1833" s="1">
        <v>91.0</v>
      </c>
      <c r="M1833" s="2">
        <v>41965.0</v>
      </c>
      <c r="N1833" s="1" t="s">
        <v>356</v>
      </c>
      <c r="O1833" s="2">
        <v>41997.0</v>
      </c>
      <c r="P1833" s="1">
        <v>239026.0</v>
      </c>
      <c r="Q1833" s="1">
        <v>23871.0</v>
      </c>
      <c r="S1833" s="1">
        <v>534.0</v>
      </c>
      <c r="T1833" s="1" t="s">
        <v>4632</v>
      </c>
      <c r="U1833" s="1" t="s">
        <v>189</v>
      </c>
      <c r="V1833" s="1" t="s">
        <v>807</v>
      </c>
      <c r="W1833" s="1">
        <v>60110.0</v>
      </c>
      <c r="Y1833" s="1" t="s">
        <v>17814</v>
      </c>
      <c r="Z1833" s="1">
        <v>1970.0</v>
      </c>
      <c r="AA1833" s="1" t="s">
        <v>192</v>
      </c>
      <c r="AB1833" s="1" t="s">
        <v>193</v>
      </c>
      <c r="AC1833" s="1" t="s">
        <v>17815</v>
      </c>
      <c r="AD1833" s="1" t="s">
        <v>809</v>
      </c>
      <c r="AE1833" s="1" t="s">
        <v>325</v>
      </c>
      <c r="AF1833" s="1" t="s">
        <v>810</v>
      </c>
      <c r="AH1833" s="1" t="s">
        <v>17816</v>
      </c>
      <c r="AI1833" s="1">
        <v>0.29</v>
      </c>
      <c r="AK1833" s="1">
        <v>10.0</v>
      </c>
      <c r="AL1833" s="1">
        <v>4.0</v>
      </c>
      <c r="AM1833" s="1">
        <v>2.0</v>
      </c>
      <c r="AN1833" s="1">
        <v>0.0</v>
      </c>
      <c r="AO1833" s="1" t="s">
        <v>1261</v>
      </c>
      <c r="AP1833" s="1">
        <v>1.0</v>
      </c>
      <c r="AQ1833" s="1" t="s">
        <v>6771</v>
      </c>
      <c r="AR1833" s="1" t="s">
        <v>192</v>
      </c>
      <c r="AS1833" s="1" t="s">
        <v>199</v>
      </c>
      <c r="AT1833" s="1">
        <v>2.5</v>
      </c>
      <c r="AV1833" s="1" t="s">
        <v>200</v>
      </c>
      <c r="AW1833" s="1">
        <v>6299.62</v>
      </c>
      <c r="AX1833" s="1">
        <v>2013.0</v>
      </c>
      <c r="AY1833" s="1" t="s">
        <v>387</v>
      </c>
      <c r="AZ1833" s="1" t="s">
        <v>200</v>
      </c>
      <c r="BA1833" s="1" t="str">
        <f>"0314376077"</f>
        <v>0314376077</v>
      </c>
      <c r="BB1833" s="1" t="s">
        <v>192</v>
      </c>
      <c r="BC1833" s="1">
        <v>2812.0</v>
      </c>
      <c r="BD1833" s="1">
        <v>196000.0</v>
      </c>
      <c r="BE1833" s="2">
        <v>41875.0</v>
      </c>
      <c r="BF1833" s="2" t="s">
        <v>17817</v>
      </c>
      <c r="BG1833" s="1" t="s">
        <v>17818</v>
      </c>
      <c r="BH1833" s="1">
        <v>0.0</v>
      </c>
      <c r="BI1833" s="1" t="s">
        <v>7665</v>
      </c>
      <c r="BJ1833" s="1" t="s">
        <v>1094</v>
      </c>
      <c r="BK1833" s="1" t="s">
        <v>204</v>
      </c>
      <c r="BL1833" s="1" t="str">
        <f>"17"</f>
        <v>17</v>
      </c>
      <c r="BM1833" s="1" t="str">
        <f t="shared" si="1211"/>
        <v>0</v>
      </c>
      <c r="BN1833" s="1">
        <v>33.0</v>
      </c>
      <c r="BO1833" s="1">
        <v>0.0</v>
      </c>
      <c r="BQ1833" s="1">
        <v>300.0</v>
      </c>
      <c r="BR1833" s="1">
        <v>300.0</v>
      </c>
      <c r="BS1833" s="1">
        <v>300.0</v>
      </c>
      <c r="BU1833" s="1" t="s">
        <v>3475</v>
      </c>
      <c r="BV1833" s="1" t="s">
        <v>206</v>
      </c>
      <c r="BW1833" s="1" t="s">
        <v>210</v>
      </c>
      <c r="BX1833" s="1" t="s">
        <v>431</v>
      </c>
      <c r="BY1833" s="1" t="s">
        <v>361</v>
      </c>
      <c r="BZ1833" s="1" t="s">
        <v>206</v>
      </c>
      <c r="CA1833" s="1" t="s">
        <v>301</v>
      </c>
      <c r="CC1833" s="1" t="s">
        <v>331</v>
      </c>
      <c r="CD1833" s="1" t="s">
        <v>206</v>
      </c>
      <c r="CE1833" s="1" t="s">
        <v>210</v>
      </c>
      <c r="CF1833" s="1" t="s">
        <v>431</v>
      </c>
      <c r="CG1833" s="1" t="s">
        <v>332</v>
      </c>
      <c r="CH1833" s="1" t="s">
        <v>206</v>
      </c>
      <c r="CI1833" s="1" t="s">
        <v>210</v>
      </c>
      <c r="CK1833" s="1" t="s">
        <v>265</v>
      </c>
      <c r="CL1833" s="1" t="s">
        <v>206</v>
      </c>
      <c r="CM1833" s="1" t="s">
        <v>210</v>
      </c>
      <c r="CN1833" s="1" t="s">
        <v>229</v>
      </c>
      <c r="CO1833" s="1" t="s">
        <v>392</v>
      </c>
      <c r="CP1833" s="1" t="s">
        <v>267</v>
      </c>
      <c r="CQ1833" s="1" t="s">
        <v>210</v>
      </c>
      <c r="CS1833" s="1" t="s">
        <v>361</v>
      </c>
      <c r="CT1833" s="1" t="s">
        <v>206</v>
      </c>
      <c r="CU1833" s="1" t="s">
        <v>617</v>
      </c>
      <c r="CV1833" s="1" t="s">
        <v>431</v>
      </c>
      <c r="CW1833" s="1" t="s">
        <v>5582</v>
      </c>
      <c r="CX1833" s="1" t="s">
        <v>267</v>
      </c>
      <c r="CY1833" s="1" t="s">
        <v>210</v>
      </c>
      <c r="CZ1833" s="1" t="s">
        <v>431</v>
      </c>
      <c r="DA1833" s="1" t="s">
        <v>200</v>
      </c>
      <c r="DC1833" s="1" t="s">
        <v>517</v>
      </c>
      <c r="DD1833" s="1" t="s">
        <v>1838</v>
      </c>
      <c r="DE1833" s="1" t="s">
        <v>273</v>
      </c>
      <c r="DF1833" s="1" t="s">
        <v>219</v>
      </c>
      <c r="DG1833" s="1" t="s">
        <v>4915</v>
      </c>
      <c r="DH1833" s="1" t="s">
        <v>220</v>
      </c>
      <c r="DI1833" s="1" t="s">
        <v>221</v>
      </c>
      <c r="DJ1833" s="1" t="s">
        <v>222</v>
      </c>
      <c r="DK1833" s="1" t="s">
        <v>223</v>
      </c>
      <c r="DL1833" s="1" t="s">
        <v>1161</v>
      </c>
      <c r="DM1833" s="1" t="s">
        <v>338</v>
      </c>
      <c r="DO1833" s="1" t="s">
        <v>1208</v>
      </c>
      <c r="DP1833" s="1" t="s">
        <v>340</v>
      </c>
      <c r="DQ1833" s="1" t="s">
        <v>441</v>
      </c>
      <c r="DR1833" s="1" t="s">
        <v>229</v>
      </c>
      <c r="DS1833" s="1" t="s">
        <v>230</v>
      </c>
      <c r="DU1833" s="1" t="s">
        <v>2728</v>
      </c>
      <c r="DV1833" s="1" t="s">
        <v>17819</v>
      </c>
      <c r="DW1833" s="1" t="s">
        <v>444</v>
      </c>
      <c r="DX1833" s="1" t="s">
        <v>234</v>
      </c>
      <c r="DZ1833" s="1" t="s">
        <v>1405</v>
      </c>
      <c r="EB1833" s="1" t="s">
        <v>345</v>
      </c>
      <c r="EC1833" s="1" t="s">
        <v>311</v>
      </c>
      <c r="ED1833" s="1" t="s">
        <v>407</v>
      </c>
      <c r="EE1833" s="1" t="s">
        <v>493</v>
      </c>
      <c r="EG1833" s="1" t="s">
        <v>408</v>
      </c>
      <c r="EH1833" s="1" t="s">
        <v>494</v>
      </c>
      <c r="EI1833" s="1" t="s">
        <v>1491</v>
      </c>
      <c r="EL1833" s="1" t="s">
        <v>269</v>
      </c>
      <c r="EM1833" s="1" t="s">
        <v>206</v>
      </c>
      <c r="EN1833" s="1" t="s">
        <v>268</v>
      </c>
      <c r="EP1833" s="1" t="s">
        <v>269</v>
      </c>
      <c r="EQ1833" s="1" t="s">
        <v>267</v>
      </c>
      <c r="ER1833" s="1" t="s">
        <v>210</v>
      </c>
      <c r="ES1833" s="1" t="s">
        <v>431</v>
      </c>
      <c r="ET1833" s="1" t="s">
        <v>269</v>
      </c>
      <c r="EU1833" s="1" t="s">
        <v>267</v>
      </c>
      <c r="EY1833" s="1" t="s">
        <v>238</v>
      </c>
      <c r="FC1833" s="1" t="s">
        <v>238</v>
      </c>
      <c r="FF1833" s="1" t="s">
        <v>239</v>
      </c>
      <c r="FG1833" s="1" t="s">
        <v>192</v>
      </c>
      <c r="FH1833" s="1" t="s">
        <v>192</v>
      </c>
      <c r="FJ1833" s="1" t="s">
        <v>1450</v>
      </c>
      <c r="FK1833" s="1" t="s">
        <v>229</v>
      </c>
      <c r="FL1833" s="1" t="s">
        <v>3218</v>
      </c>
      <c r="FM1833" s="1">
        <v>5042.0</v>
      </c>
      <c r="FN1833" s="1" t="s">
        <v>17820</v>
      </c>
      <c r="FO1833" s="1" t="s">
        <v>17821</v>
      </c>
      <c r="FP1833" s="1">
        <v>52187.0</v>
      </c>
      <c r="FQ1833" s="1" t="s">
        <v>17822</v>
      </c>
      <c r="FS1833" s="1" t="s">
        <v>17823</v>
      </c>
      <c r="FU1833" s="1" t="s">
        <v>17824</v>
      </c>
      <c r="FV1833" s="1" t="s">
        <v>200</v>
      </c>
      <c r="FW1833" s="1" t="s">
        <v>290</v>
      </c>
      <c r="FZ1833" s="1" t="s">
        <v>229</v>
      </c>
      <c r="GA1833" s="1" t="s">
        <v>291</v>
      </c>
      <c r="GB1833" s="2">
        <v>42000.0</v>
      </c>
      <c r="GC1833" s="1" t="s">
        <v>17825</v>
      </c>
    </row>
    <row r="1834">
      <c r="A1834" s="1">
        <v>577490.0</v>
      </c>
      <c r="B1834" s="1" t="s">
        <v>185</v>
      </c>
      <c r="C1834" s="1" t="str">
        <f>"08724654"</f>
        <v>08724654</v>
      </c>
      <c r="D1834" s="1" t="s">
        <v>186</v>
      </c>
      <c r="F1834" s="1" t="str">
        <f>"134"</f>
        <v>134</v>
      </c>
      <c r="G1834" s="2">
        <v>41892.0</v>
      </c>
      <c r="H1834" s="1">
        <v>614407.0</v>
      </c>
      <c r="I1834" s="1">
        <v>192.0</v>
      </c>
      <c r="J1834" s="1">
        <v>599407.0</v>
      </c>
      <c r="K1834" s="2">
        <v>42083.0</v>
      </c>
      <c r="L1834" s="1">
        <v>192.0</v>
      </c>
      <c r="M1834" s="2">
        <v>42083.0</v>
      </c>
      <c r="N1834" s="1" t="s">
        <v>187</v>
      </c>
      <c r="O1834" s="2">
        <v>42125.0</v>
      </c>
      <c r="P1834" s="1">
        <v>329.0</v>
      </c>
      <c r="Q1834" s="1">
        <v>30.0</v>
      </c>
      <c r="S1834" s="1" t="s">
        <v>17826</v>
      </c>
      <c r="T1834" s="1" t="s">
        <v>17827</v>
      </c>
      <c r="U1834" s="1" t="s">
        <v>1174</v>
      </c>
      <c r="V1834" s="1" t="s">
        <v>421</v>
      </c>
      <c r="W1834" s="1">
        <v>60134.0</v>
      </c>
      <c r="Y1834" s="1" t="s">
        <v>17828</v>
      </c>
      <c r="Z1834" s="1">
        <v>2014.0</v>
      </c>
      <c r="AA1834" s="1" t="s">
        <v>200</v>
      </c>
      <c r="AB1834" s="1" t="s">
        <v>467</v>
      </c>
      <c r="AC1834" s="1" t="s">
        <v>7406</v>
      </c>
      <c r="AD1834" s="1" t="s">
        <v>1089</v>
      </c>
      <c r="AE1834" s="1" t="s">
        <v>325</v>
      </c>
      <c r="AF1834" s="1" t="s">
        <v>1479</v>
      </c>
      <c r="AG1834" s="1" t="s">
        <v>17829</v>
      </c>
      <c r="AH1834" s="1" t="s">
        <v>7938</v>
      </c>
      <c r="AK1834" s="1">
        <v>10.0</v>
      </c>
      <c r="AL1834" s="1">
        <v>4.0</v>
      </c>
      <c r="AM1834" s="1">
        <v>4.0</v>
      </c>
      <c r="AN1834" s="1">
        <v>1.0</v>
      </c>
      <c r="AO1834" s="1" t="s">
        <v>198</v>
      </c>
      <c r="AP1834" s="1">
        <v>1.0</v>
      </c>
      <c r="AQ1834" s="1" t="s">
        <v>198</v>
      </c>
      <c r="AR1834" s="1" t="s">
        <v>192</v>
      </c>
      <c r="AS1834" s="1" t="s">
        <v>199</v>
      </c>
      <c r="AT1834" s="1">
        <v>3.0</v>
      </c>
      <c r="AV1834" s="1" t="s">
        <v>200</v>
      </c>
      <c r="AW1834" s="1">
        <v>207.94</v>
      </c>
      <c r="AX1834" s="1">
        <v>2013.0</v>
      </c>
      <c r="AY1834" s="1" t="s">
        <v>229</v>
      </c>
      <c r="AZ1834" s="1" t="s">
        <v>192</v>
      </c>
      <c r="BA1834" s="1" t="str">
        <f>"1113104005"</f>
        <v>1113104005</v>
      </c>
      <c r="BC1834" s="1">
        <v>3370.0</v>
      </c>
      <c r="BD1834" s="1">
        <v>577490.0</v>
      </c>
      <c r="BE1834" s="2">
        <v>41892.0</v>
      </c>
      <c r="BF1834" s="2" t="s">
        <v>17830</v>
      </c>
      <c r="BH1834" s="1">
        <v>0.0</v>
      </c>
      <c r="BK1834" s="1" t="s">
        <v>204</v>
      </c>
      <c r="BL1834" s="1" t="str">
        <f t="shared" ref="BL1834:BM1834" si="1212">""</f>
        <v/>
      </c>
      <c r="BM1834" s="1" t="str">
        <f t="shared" si="1212"/>
        <v/>
      </c>
      <c r="BQ1834" s="1">
        <v>304.0</v>
      </c>
      <c r="BR1834" s="1">
        <v>304.0</v>
      </c>
      <c r="BS1834" s="1">
        <v>304.0</v>
      </c>
      <c r="BV1834" s="1" t="s">
        <v>204</v>
      </c>
      <c r="BY1834" s="1" t="s">
        <v>639</v>
      </c>
      <c r="BZ1834" s="1" t="s">
        <v>209</v>
      </c>
      <c r="CA1834" s="1" t="s">
        <v>210</v>
      </c>
      <c r="CB1834" s="1" t="s">
        <v>229</v>
      </c>
      <c r="CC1834" s="1" t="s">
        <v>300</v>
      </c>
      <c r="CD1834" s="1" t="s">
        <v>206</v>
      </c>
      <c r="CE1834" s="1" t="s">
        <v>207</v>
      </c>
      <c r="CF1834" s="1" t="s">
        <v>229</v>
      </c>
      <c r="CG1834" s="1" t="s">
        <v>212</v>
      </c>
      <c r="CH1834" s="1" t="s">
        <v>209</v>
      </c>
      <c r="CI1834" s="1" t="s">
        <v>210</v>
      </c>
      <c r="CJ1834" s="1" t="s">
        <v>229</v>
      </c>
      <c r="CK1834" s="1" t="s">
        <v>212</v>
      </c>
      <c r="CL1834" s="1" t="s">
        <v>209</v>
      </c>
      <c r="CM1834" s="1" t="s">
        <v>210</v>
      </c>
      <c r="CN1834" s="1" t="s">
        <v>229</v>
      </c>
      <c r="CO1834" s="1" t="s">
        <v>300</v>
      </c>
      <c r="CP1834" s="1" t="s">
        <v>209</v>
      </c>
      <c r="CQ1834" s="1" t="s">
        <v>210</v>
      </c>
      <c r="CR1834" s="1" t="s">
        <v>229</v>
      </c>
      <c r="CS1834" s="1" t="s">
        <v>584</v>
      </c>
      <c r="CT1834" s="1" t="s">
        <v>206</v>
      </c>
      <c r="CU1834" s="1" t="s">
        <v>207</v>
      </c>
      <c r="CV1834" s="1" t="s">
        <v>229</v>
      </c>
      <c r="CW1834" s="1" t="s">
        <v>17831</v>
      </c>
      <c r="CX1834" s="1" t="s">
        <v>206</v>
      </c>
      <c r="CY1834" s="1" t="s">
        <v>207</v>
      </c>
      <c r="CZ1834" s="1" t="s">
        <v>229</v>
      </c>
      <c r="DA1834" s="1" t="s">
        <v>192</v>
      </c>
      <c r="DB1834" s="2">
        <v>41942.0</v>
      </c>
      <c r="DC1834" s="1" t="s">
        <v>744</v>
      </c>
      <c r="DD1834" s="1" t="s">
        <v>586</v>
      </c>
      <c r="DE1834" s="1" t="s">
        <v>273</v>
      </c>
      <c r="DF1834" s="1" t="s">
        <v>619</v>
      </c>
      <c r="DG1834" s="1" t="s">
        <v>12862</v>
      </c>
      <c r="DH1834" s="1" t="s">
        <v>1603</v>
      </c>
      <c r="DI1834" s="1" t="s">
        <v>11630</v>
      </c>
      <c r="DJ1834" s="1" t="s">
        <v>222</v>
      </c>
      <c r="DL1834" s="1" t="s">
        <v>224</v>
      </c>
      <c r="DM1834" s="1" t="s">
        <v>929</v>
      </c>
      <c r="DN1834" s="1" t="s">
        <v>1023</v>
      </c>
      <c r="DP1834" s="1" t="s">
        <v>340</v>
      </c>
      <c r="DQ1834" s="1" t="s">
        <v>441</v>
      </c>
      <c r="DR1834" s="1" t="s">
        <v>229</v>
      </c>
      <c r="DS1834" s="1" t="s">
        <v>591</v>
      </c>
      <c r="DT1834" s="1" t="s">
        <v>1607</v>
      </c>
      <c r="DU1834" s="1" t="s">
        <v>17832</v>
      </c>
      <c r="DV1834" s="1" t="s">
        <v>17833</v>
      </c>
      <c r="DW1834" s="1" t="s">
        <v>233</v>
      </c>
      <c r="DX1834" s="1" t="s">
        <v>234</v>
      </c>
      <c r="DY1834" s="1" t="s">
        <v>1051</v>
      </c>
      <c r="EA1834" s="1" t="s">
        <v>344</v>
      </c>
      <c r="EB1834" s="1" t="s">
        <v>15551</v>
      </c>
      <c r="EC1834" s="1" t="s">
        <v>237</v>
      </c>
      <c r="ED1834" s="1" t="s">
        <v>407</v>
      </c>
      <c r="EE1834" s="1" t="s">
        <v>493</v>
      </c>
      <c r="EG1834" s="1" t="s">
        <v>449</v>
      </c>
      <c r="EH1834" s="1" t="s">
        <v>1028</v>
      </c>
      <c r="EI1834" s="1" t="s">
        <v>557</v>
      </c>
      <c r="EL1834" s="1" t="s">
        <v>584</v>
      </c>
      <c r="EM1834" s="1" t="s">
        <v>206</v>
      </c>
      <c r="EN1834" s="1" t="s">
        <v>207</v>
      </c>
      <c r="EO1834" s="1" t="s">
        <v>229</v>
      </c>
      <c r="EP1834" s="1" t="s">
        <v>478</v>
      </c>
      <c r="EQ1834" s="1" t="s">
        <v>206</v>
      </c>
      <c r="ER1834" s="1" t="s">
        <v>210</v>
      </c>
      <c r="ES1834" s="1" t="s">
        <v>229</v>
      </c>
      <c r="ET1834" s="1" t="s">
        <v>1299</v>
      </c>
      <c r="EU1834" s="1" t="s">
        <v>209</v>
      </c>
      <c r="EV1834" s="1" t="s">
        <v>210</v>
      </c>
      <c r="EY1834" s="1" t="s">
        <v>238</v>
      </c>
      <c r="FC1834" s="1" t="s">
        <v>238</v>
      </c>
      <c r="FF1834" s="1" t="s">
        <v>229</v>
      </c>
      <c r="FG1834" s="1" t="s">
        <v>200</v>
      </c>
      <c r="FH1834" s="1" t="s">
        <v>200</v>
      </c>
      <c r="FJ1834" s="1" t="s">
        <v>524</v>
      </c>
      <c r="FK1834" s="1" t="s">
        <v>557</v>
      </c>
      <c r="FL1834" s="1" t="s">
        <v>1614</v>
      </c>
      <c r="FM1834" s="1">
        <v>85399.0</v>
      </c>
      <c r="FN1834" s="1" t="s">
        <v>1615</v>
      </c>
      <c r="FO1834" s="1" t="s">
        <v>1616</v>
      </c>
      <c r="FP1834" s="1">
        <v>189649.0</v>
      </c>
      <c r="FQ1834" s="1" t="s">
        <v>1615</v>
      </c>
      <c r="FT1834" s="1" t="s">
        <v>17834</v>
      </c>
      <c r="FU1834" s="1" t="s">
        <v>17835</v>
      </c>
      <c r="FV1834" s="1" t="s">
        <v>200</v>
      </c>
      <c r="FW1834" s="1" t="s">
        <v>1618</v>
      </c>
      <c r="FX1834" s="1" t="s">
        <v>238</v>
      </c>
      <c r="FZ1834" s="1" t="s">
        <v>229</v>
      </c>
      <c r="GA1834" s="1" t="s">
        <v>247</v>
      </c>
      <c r="GB1834" s="2">
        <v>42126.0</v>
      </c>
      <c r="GC1834" s="1" t="s">
        <v>16216</v>
      </c>
    </row>
    <row r="1835">
      <c r="A1835" s="1">
        <v>240000.0</v>
      </c>
      <c r="B1835" s="1" t="s">
        <v>185</v>
      </c>
      <c r="C1835" s="1" t="str">
        <f>"08708960"</f>
        <v>08708960</v>
      </c>
      <c r="D1835" s="1" t="s">
        <v>186</v>
      </c>
      <c r="F1835" s="1" t="str">
        <f>"8056"</f>
        <v>8056</v>
      </c>
      <c r="G1835" s="2">
        <v>41873.0</v>
      </c>
      <c r="H1835" s="1">
        <v>254900.0</v>
      </c>
      <c r="I1835" s="1">
        <v>116.0</v>
      </c>
      <c r="J1835" s="1">
        <v>244900.0</v>
      </c>
      <c r="K1835" s="2">
        <v>41988.0</v>
      </c>
      <c r="L1835" s="1">
        <v>116.0</v>
      </c>
      <c r="M1835" s="2">
        <v>41988.0</v>
      </c>
      <c r="N1835" s="1" t="s">
        <v>187</v>
      </c>
      <c r="O1835" s="2">
        <v>42034.0</v>
      </c>
      <c r="P1835" s="1">
        <v>141732.0</v>
      </c>
      <c r="Q1835" s="1">
        <v>12555.0</v>
      </c>
      <c r="R1835" s="1">
        <v>7000.0</v>
      </c>
      <c r="S1835" s="1">
        <v>5623.0</v>
      </c>
      <c r="T1835" s="1" t="s">
        <v>17836</v>
      </c>
      <c r="U1835" s="1" t="s">
        <v>189</v>
      </c>
      <c r="V1835" s="1" t="s">
        <v>190</v>
      </c>
      <c r="W1835" s="1">
        <v>60638.0</v>
      </c>
      <c r="X1835" s="1">
        <v>3604.0</v>
      </c>
      <c r="Y1835" s="1" t="s">
        <v>17837</v>
      </c>
      <c r="Z1835" s="1">
        <v>1958.0</v>
      </c>
      <c r="AA1835" s="1" t="s">
        <v>192</v>
      </c>
      <c r="AB1835" s="1" t="s">
        <v>193</v>
      </c>
      <c r="AD1835" s="1" t="s">
        <v>194</v>
      </c>
      <c r="AE1835" s="1" t="s">
        <v>195</v>
      </c>
      <c r="AF1835" s="1" t="s">
        <v>659</v>
      </c>
      <c r="AG1835" s="1" t="s">
        <v>5899</v>
      </c>
      <c r="AH1835" s="1" t="s">
        <v>12630</v>
      </c>
      <c r="AI1835" s="1">
        <v>0.1076</v>
      </c>
      <c r="AK1835" s="1">
        <v>8.0</v>
      </c>
      <c r="AL1835" s="1">
        <v>4.0</v>
      </c>
      <c r="AM1835" s="1">
        <v>2.0</v>
      </c>
      <c r="AN1835" s="1">
        <v>0.0</v>
      </c>
      <c r="AO1835" s="1" t="s">
        <v>229</v>
      </c>
      <c r="AQ1835" s="1" t="s">
        <v>327</v>
      </c>
      <c r="AR1835" s="1" t="s">
        <v>200</v>
      </c>
      <c r="AS1835" s="1" t="s">
        <v>510</v>
      </c>
      <c r="AT1835" s="1">
        <v>2.0</v>
      </c>
      <c r="AU1835" s="1">
        <v>2.0</v>
      </c>
      <c r="AV1835" s="1" t="s">
        <v>200</v>
      </c>
      <c r="AW1835" s="1">
        <v>3939.85</v>
      </c>
      <c r="AX1835" s="1">
        <v>2013.0</v>
      </c>
      <c r="AY1835" s="1" t="s">
        <v>1179</v>
      </c>
      <c r="AZ1835" s="1" t="s">
        <v>200</v>
      </c>
      <c r="BA1835" s="1" t="str">
        <f>"19172090700000"</f>
        <v>19172090700000</v>
      </c>
      <c r="BB1835" s="1" t="s">
        <v>200</v>
      </c>
      <c r="BC1835" s="1">
        <v>1834.0</v>
      </c>
      <c r="BD1835" s="1">
        <v>240000.0</v>
      </c>
      <c r="BE1835" s="2">
        <v>41873.0</v>
      </c>
      <c r="BF1835" s="2" t="s">
        <v>17838</v>
      </c>
      <c r="BH1835" s="1">
        <v>0.0</v>
      </c>
      <c r="BK1835" s="1" t="s">
        <v>204</v>
      </c>
      <c r="BL1835" s="1" t="str">
        <f t="shared" ref="BL1835:BM1835" si="1213">"0"</f>
        <v>0</v>
      </c>
      <c r="BM1835" s="1" t="str">
        <f t="shared" si="1213"/>
        <v>0</v>
      </c>
      <c r="BN1835" s="1">
        <v>5932.0</v>
      </c>
      <c r="BO1835" s="1">
        <v>5623.0</v>
      </c>
      <c r="BQ1835" s="1">
        <v>299.0</v>
      </c>
      <c r="BR1835" s="1">
        <v>299.0</v>
      </c>
      <c r="BS1835" s="1">
        <v>299.0</v>
      </c>
      <c r="BU1835" s="1" t="s">
        <v>925</v>
      </c>
      <c r="BV1835" s="1" t="s">
        <v>206</v>
      </c>
      <c r="BW1835" s="1" t="s">
        <v>207</v>
      </c>
      <c r="BX1835" s="1" t="s">
        <v>1549</v>
      </c>
      <c r="BY1835" s="1" t="s">
        <v>212</v>
      </c>
      <c r="BZ1835" s="1" t="s">
        <v>206</v>
      </c>
      <c r="CA1835" s="1" t="s">
        <v>207</v>
      </c>
      <c r="CB1835" s="1" t="s">
        <v>431</v>
      </c>
      <c r="CD1835" s="1" t="s">
        <v>204</v>
      </c>
      <c r="CG1835" s="1" t="s">
        <v>699</v>
      </c>
      <c r="CH1835" s="1" t="s">
        <v>206</v>
      </c>
      <c r="CI1835" s="1" t="s">
        <v>207</v>
      </c>
      <c r="CJ1835" s="1" t="s">
        <v>431</v>
      </c>
      <c r="CK1835" s="1" t="s">
        <v>212</v>
      </c>
      <c r="CL1835" s="1" t="s">
        <v>206</v>
      </c>
      <c r="CM1835" s="1" t="s">
        <v>207</v>
      </c>
      <c r="CN1835" s="1" t="s">
        <v>431</v>
      </c>
      <c r="CO1835" s="1" t="s">
        <v>495</v>
      </c>
      <c r="CP1835" s="1" t="s">
        <v>209</v>
      </c>
      <c r="CQ1835" s="1" t="s">
        <v>207</v>
      </c>
      <c r="CR1835" s="1" t="s">
        <v>431</v>
      </c>
      <c r="CS1835" s="1" t="s">
        <v>541</v>
      </c>
      <c r="CT1835" s="1" t="s">
        <v>206</v>
      </c>
      <c r="CU1835" s="1" t="s">
        <v>617</v>
      </c>
      <c r="CV1835" s="1" t="s">
        <v>1118</v>
      </c>
      <c r="CW1835" s="1" t="s">
        <v>1043</v>
      </c>
      <c r="CX1835" s="1" t="s">
        <v>209</v>
      </c>
      <c r="CY1835" s="1" t="s">
        <v>210</v>
      </c>
      <c r="CZ1835" s="1" t="s">
        <v>1549</v>
      </c>
      <c r="DA1835" s="1" t="s">
        <v>200</v>
      </c>
      <c r="DC1835" s="1" t="s">
        <v>271</v>
      </c>
      <c r="DD1835" s="1" t="s">
        <v>518</v>
      </c>
      <c r="DE1835" s="1" t="s">
        <v>273</v>
      </c>
      <c r="DF1835" s="1" t="s">
        <v>219</v>
      </c>
      <c r="DG1835" s="1" t="s">
        <v>337</v>
      </c>
      <c r="DH1835" s="1" t="s">
        <v>365</v>
      </c>
      <c r="DI1835" s="1" t="s">
        <v>1401</v>
      </c>
      <c r="DJ1835" s="1" t="s">
        <v>13210</v>
      </c>
      <c r="DL1835" s="1" t="s">
        <v>791</v>
      </c>
      <c r="DM1835" s="1" t="s">
        <v>225</v>
      </c>
      <c r="DO1835" s="1" t="s">
        <v>549</v>
      </c>
      <c r="DQ1835" s="1" t="s">
        <v>228</v>
      </c>
      <c r="DR1835" s="1" t="s">
        <v>229</v>
      </c>
      <c r="DS1835" s="1" t="s">
        <v>401</v>
      </c>
      <c r="DU1835" s="1" t="s">
        <v>17380</v>
      </c>
      <c r="DV1835" s="1" t="s">
        <v>14336</v>
      </c>
      <c r="DW1835" s="1" t="s">
        <v>279</v>
      </c>
      <c r="DX1835" s="1" t="s">
        <v>234</v>
      </c>
      <c r="DY1835" s="1" t="s">
        <v>2579</v>
      </c>
      <c r="DZ1835" s="1" t="s">
        <v>1333</v>
      </c>
      <c r="EA1835" s="1" t="s">
        <v>1075</v>
      </c>
      <c r="EC1835" s="1" t="s">
        <v>237</v>
      </c>
      <c r="ED1835" s="1" t="s">
        <v>407</v>
      </c>
      <c r="EE1835" s="1" t="s">
        <v>187</v>
      </c>
      <c r="EF1835" s="1" t="s">
        <v>17839</v>
      </c>
      <c r="EG1835" s="1" t="s">
        <v>1407</v>
      </c>
      <c r="EH1835" s="1" t="s">
        <v>374</v>
      </c>
      <c r="EL1835" s="1" t="s">
        <v>3244</v>
      </c>
      <c r="EM1835" s="1" t="s">
        <v>209</v>
      </c>
      <c r="EN1835" s="1" t="s">
        <v>588</v>
      </c>
      <c r="EP1835" s="1" t="s">
        <v>4028</v>
      </c>
      <c r="EQ1835" s="1" t="s">
        <v>209</v>
      </c>
      <c r="ER1835" s="1" t="s">
        <v>588</v>
      </c>
      <c r="EU1835" s="1" t="s">
        <v>238</v>
      </c>
      <c r="EY1835" s="1" t="s">
        <v>238</v>
      </c>
      <c r="FC1835" s="1" t="s">
        <v>238</v>
      </c>
      <c r="FF1835" s="1" t="s">
        <v>239</v>
      </c>
      <c r="FG1835" s="1" t="s">
        <v>192</v>
      </c>
      <c r="FH1835" s="1" t="s">
        <v>192</v>
      </c>
      <c r="FJ1835" s="1" t="s">
        <v>313</v>
      </c>
      <c r="FK1835" s="1" t="s">
        <v>229</v>
      </c>
      <c r="FL1835" s="1" t="s">
        <v>2037</v>
      </c>
      <c r="FM1835" s="1">
        <v>60321.0</v>
      </c>
      <c r="FN1835" s="1" t="s">
        <v>2038</v>
      </c>
      <c r="FO1835" s="1" t="s">
        <v>17840</v>
      </c>
      <c r="FP1835" s="1">
        <v>607618.0</v>
      </c>
      <c r="FQ1835" s="1" t="s">
        <v>17841</v>
      </c>
      <c r="FR1835" s="1">
        <v>607707.0</v>
      </c>
      <c r="FS1835" s="1" t="s">
        <v>17842</v>
      </c>
      <c r="FU1835" s="1" t="s">
        <v>17843</v>
      </c>
      <c r="FV1835" s="1" t="s">
        <v>192</v>
      </c>
      <c r="FW1835" s="1" t="s">
        <v>567</v>
      </c>
      <c r="FX1835" s="1" t="s">
        <v>655</v>
      </c>
      <c r="FZ1835" s="1" t="s">
        <v>229</v>
      </c>
      <c r="GA1835" s="1" t="s">
        <v>291</v>
      </c>
      <c r="GB1835" s="2">
        <v>42034.0</v>
      </c>
      <c r="GC1835" s="1" t="s">
        <v>17844</v>
      </c>
    </row>
    <row r="1836">
      <c r="A1836" s="1">
        <v>19500.0</v>
      </c>
      <c r="B1836" s="1" t="s">
        <v>185</v>
      </c>
      <c r="C1836" s="1" t="str">
        <f>"08708255"</f>
        <v>08708255</v>
      </c>
      <c r="D1836" s="1" t="s">
        <v>186</v>
      </c>
      <c r="F1836" s="1" t="str">
        <f>"8025"</f>
        <v>8025</v>
      </c>
      <c r="G1836" s="2">
        <v>41872.0</v>
      </c>
      <c r="H1836" s="1">
        <v>29900.0</v>
      </c>
      <c r="I1836" s="1">
        <v>117.0</v>
      </c>
      <c r="J1836" s="1">
        <v>24900.0</v>
      </c>
      <c r="K1836" s="2">
        <v>41988.0</v>
      </c>
      <c r="L1836" s="1">
        <v>117.0</v>
      </c>
      <c r="M1836" s="2">
        <v>41988.0</v>
      </c>
      <c r="N1836" s="1" t="s">
        <v>249</v>
      </c>
      <c r="O1836" s="2">
        <v>42003.0</v>
      </c>
      <c r="P1836" s="1">
        <v>923091.0</v>
      </c>
      <c r="Q1836" s="1">
        <v>25563.0</v>
      </c>
      <c r="S1836" s="1">
        <v>544.0</v>
      </c>
      <c r="T1836" s="1" t="s">
        <v>8352</v>
      </c>
      <c r="U1836" s="1" t="s">
        <v>189</v>
      </c>
      <c r="V1836" s="1" t="s">
        <v>190</v>
      </c>
      <c r="W1836" s="1">
        <v>60644.0</v>
      </c>
      <c r="Y1836" s="1" t="s">
        <v>17845</v>
      </c>
      <c r="Z1836" s="1">
        <v>1890.0</v>
      </c>
      <c r="AA1836" s="1" t="s">
        <v>192</v>
      </c>
      <c r="AB1836" s="1" t="s">
        <v>193</v>
      </c>
      <c r="AD1836" s="1" t="s">
        <v>194</v>
      </c>
      <c r="AE1836" s="1" t="s">
        <v>195</v>
      </c>
      <c r="AF1836" s="1" t="s">
        <v>659</v>
      </c>
      <c r="AH1836" s="1" t="s">
        <v>359</v>
      </c>
      <c r="AI1836" s="1">
        <v>0.0937</v>
      </c>
      <c r="AK1836" s="1">
        <v>7.0</v>
      </c>
      <c r="AL1836" s="1">
        <v>4.0</v>
      </c>
      <c r="AM1836" s="1">
        <v>2.0</v>
      </c>
      <c r="AN1836" s="1">
        <v>0.0</v>
      </c>
      <c r="AO1836" s="1" t="s">
        <v>229</v>
      </c>
      <c r="AQ1836" s="1" t="s">
        <v>198</v>
      </c>
      <c r="AR1836" s="1" t="s">
        <v>192</v>
      </c>
      <c r="AS1836" s="1" t="s">
        <v>229</v>
      </c>
      <c r="AV1836" s="1" t="s">
        <v>200</v>
      </c>
      <c r="AW1836" s="1">
        <v>1863.92</v>
      </c>
      <c r="AX1836" s="1">
        <v>2012.0</v>
      </c>
      <c r="AZ1836" s="1" t="s">
        <v>200</v>
      </c>
      <c r="BA1836" s="1" t="str">
        <f>"16091160430000"</f>
        <v>16091160430000</v>
      </c>
      <c r="BC1836" s="1">
        <v>1589.0</v>
      </c>
      <c r="BD1836" s="1">
        <v>19500.0</v>
      </c>
      <c r="BE1836" s="2">
        <v>41872.0</v>
      </c>
      <c r="BF1836" s="2" t="s">
        <v>17846</v>
      </c>
      <c r="BH1836" s="1">
        <v>0.0</v>
      </c>
      <c r="BK1836" s="1" t="s">
        <v>204</v>
      </c>
      <c r="BL1836" s="1" t="str">
        <f>"544"</f>
        <v>544</v>
      </c>
      <c r="BM1836" s="1" t="str">
        <f>"0"</f>
        <v>0</v>
      </c>
      <c r="BN1836" s="1">
        <v>5800.0</v>
      </c>
      <c r="BO1836" s="1">
        <v>0.0</v>
      </c>
      <c r="BQ1836" s="1">
        <v>299.0</v>
      </c>
      <c r="BR1836" s="1">
        <v>299.0</v>
      </c>
      <c r="BS1836" s="1">
        <v>299.0</v>
      </c>
      <c r="BU1836" s="1" t="s">
        <v>215</v>
      </c>
      <c r="BV1836" s="1" t="s">
        <v>206</v>
      </c>
      <c r="BY1836" s="1" t="s">
        <v>363</v>
      </c>
      <c r="BZ1836" s="1" t="s">
        <v>209</v>
      </c>
      <c r="CC1836" s="1" t="s">
        <v>215</v>
      </c>
      <c r="CD1836" s="1" t="s">
        <v>206</v>
      </c>
      <c r="CG1836" s="1" t="s">
        <v>495</v>
      </c>
      <c r="CH1836" s="1" t="s">
        <v>206</v>
      </c>
      <c r="CK1836" s="1" t="s">
        <v>363</v>
      </c>
      <c r="CL1836" s="1" t="s">
        <v>209</v>
      </c>
      <c r="CO1836" s="1" t="s">
        <v>363</v>
      </c>
      <c r="CP1836" s="1" t="s">
        <v>209</v>
      </c>
      <c r="CS1836" s="1" t="s">
        <v>664</v>
      </c>
      <c r="CT1836" s="1" t="s">
        <v>206</v>
      </c>
      <c r="CX1836" s="1" t="s">
        <v>204</v>
      </c>
      <c r="DA1836" s="1" t="s">
        <v>200</v>
      </c>
      <c r="DC1836" s="1" t="s">
        <v>642</v>
      </c>
      <c r="DE1836" s="1" t="s">
        <v>229</v>
      </c>
      <c r="DF1836" s="1" t="s">
        <v>619</v>
      </c>
      <c r="DH1836" s="1" t="s">
        <v>220</v>
      </c>
      <c r="DJ1836" s="1" t="s">
        <v>222</v>
      </c>
      <c r="DL1836" s="1" t="s">
        <v>858</v>
      </c>
      <c r="DM1836" s="1" t="s">
        <v>229</v>
      </c>
      <c r="DQ1836" s="1" t="s">
        <v>228</v>
      </c>
      <c r="DR1836" s="1" t="s">
        <v>229</v>
      </c>
      <c r="DV1836" s="1" t="s">
        <v>232</v>
      </c>
      <c r="DW1836" s="1" t="s">
        <v>667</v>
      </c>
      <c r="DX1836" s="1" t="s">
        <v>234</v>
      </c>
      <c r="EC1836" s="1" t="s">
        <v>237</v>
      </c>
      <c r="EM1836" s="1" t="s">
        <v>238</v>
      </c>
      <c r="EQ1836" s="1" t="s">
        <v>238</v>
      </c>
      <c r="EU1836" s="1" t="s">
        <v>238</v>
      </c>
      <c r="EY1836" s="1" t="s">
        <v>238</v>
      </c>
      <c r="FC1836" s="1" t="s">
        <v>238</v>
      </c>
      <c r="FF1836" s="1" t="s">
        <v>239</v>
      </c>
      <c r="FG1836" s="1" t="s">
        <v>192</v>
      </c>
      <c r="FH1836" s="1" t="s">
        <v>192</v>
      </c>
      <c r="FJ1836" s="1" t="s">
        <v>17847</v>
      </c>
      <c r="FK1836" s="1" t="s">
        <v>229</v>
      </c>
      <c r="FL1836" s="1" t="s">
        <v>17848</v>
      </c>
      <c r="FM1836" s="1">
        <v>24522.0</v>
      </c>
      <c r="FN1836" s="1" t="s">
        <v>17849</v>
      </c>
      <c r="FO1836" s="1" t="s">
        <v>17850</v>
      </c>
      <c r="FP1836" s="1">
        <v>235951.0</v>
      </c>
      <c r="FQ1836" s="1" t="s">
        <v>17851</v>
      </c>
      <c r="FU1836" s="1" t="s">
        <v>353</v>
      </c>
      <c r="FV1836" s="1" t="s">
        <v>200</v>
      </c>
      <c r="FW1836" s="1" t="s">
        <v>290</v>
      </c>
      <c r="FX1836" s="1" t="s">
        <v>238</v>
      </c>
      <c r="FZ1836" s="1" t="s">
        <v>229</v>
      </c>
      <c r="GA1836" s="1" t="s">
        <v>291</v>
      </c>
      <c r="GB1836" s="2">
        <v>42004.0</v>
      </c>
      <c r="GC1836" s="1" t="s">
        <v>17852</v>
      </c>
    </row>
    <row r="1837">
      <c r="A1837" s="1">
        <v>250000.0</v>
      </c>
      <c r="B1837" s="1" t="s">
        <v>185</v>
      </c>
      <c r="C1837" s="1" t="str">
        <f>"08815247"</f>
        <v>08815247</v>
      </c>
      <c r="D1837" s="1" t="s">
        <v>186</v>
      </c>
      <c r="F1837" s="1" t="str">
        <f>"123"</f>
        <v>123</v>
      </c>
      <c r="G1837" s="2">
        <v>42017.0</v>
      </c>
      <c r="H1837" s="1">
        <v>279900.0</v>
      </c>
      <c r="I1837" s="1">
        <v>67.0</v>
      </c>
      <c r="J1837" s="1">
        <v>254900.0</v>
      </c>
      <c r="K1837" s="2">
        <v>42083.0</v>
      </c>
      <c r="L1837" s="1">
        <v>67.0</v>
      </c>
      <c r="M1837" s="2">
        <v>42083.0</v>
      </c>
      <c r="N1837" s="1" t="s">
        <v>187</v>
      </c>
      <c r="O1837" s="2">
        <v>42121.0</v>
      </c>
      <c r="P1837" s="1">
        <v>230500.0</v>
      </c>
      <c r="Q1837" s="1">
        <v>23591.0</v>
      </c>
      <c r="S1837" s="1">
        <v>414.0</v>
      </c>
      <c r="T1837" s="1" t="s">
        <v>17853</v>
      </c>
      <c r="U1837" s="1" t="s">
        <v>320</v>
      </c>
      <c r="V1837" s="1" t="s">
        <v>465</v>
      </c>
      <c r="W1837" s="1">
        <v>60124.0</v>
      </c>
      <c r="Y1837" s="1" t="s">
        <v>17854</v>
      </c>
      <c r="Z1837" s="1">
        <v>2006.0</v>
      </c>
      <c r="AA1837" s="1" t="s">
        <v>200</v>
      </c>
      <c r="AB1837" s="1" t="s">
        <v>467</v>
      </c>
      <c r="AC1837" s="1" t="s">
        <v>3682</v>
      </c>
      <c r="AD1837" s="1" t="s">
        <v>469</v>
      </c>
      <c r="AE1837" s="1" t="s">
        <v>325</v>
      </c>
      <c r="AF1837" s="1" t="s">
        <v>469</v>
      </c>
      <c r="AG1837" s="1" t="s">
        <v>17855</v>
      </c>
      <c r="AH1837" s="1" t="s">
        <v>15057</v>
      </c>
      <c r="AI1837" s="1">
        <v>0.1915</v>
      </c>
      <c r="AK1837" s="1">
        <v>10.0</v>
      </c>
      <c r="AL1837" s="1">
        <v>4.0</v>
      </c>
      <c r="AM1837" s="1">
        <v>2.0</v>
      </c>
      <c r="AN1837" s="1">
        <v>1.0</v>
      </c>
      <c r="AO1837" s="1" t="s">
        <v>198</v>
      </c>
      <c r="AQ1837" s="1" t="s">
        <v>198</v>
      </c>
      <c r="AR1837" s="1" t="s">
        <v>200</v>
      </c>
      <c r="AS1837" s="1" t="s">
        <v>199</v>
      </c>
      <c r="AT1837" s="1">
        <v>2.0</v>
      </c>
      <c r="AV1837" s="1" t="s">
        <v>200</v>
      </c>
      <c r="AW1837" s="1">
        <v>8074.14</v>
      </c>
      <c r="AX1837" s="1">
        <v>2013.0</v>
      </c>
      <c r="AY1837" s="1" t="s">
        <v>387</v>
      </c>
      <c r="AZ1837" s="1" t="s">
        <v>200</v>
      </c>
      <c r="BA1837" s="1" t="str">
        <f>"0619401005"</f>
        <v>0619401005</v>
      </c>
      <c r="BC1837" s="1">
        <v>2766.0</v>
      </c>
      <c r="BD1837" s="1">
        <v>250000.0</v>
      </c>
      <c r="BE1837" s="2">
        <v>42017.0</v>
      </c>
      <c r="BF1837" s="2" t="s">
        <v>17856</v>
      </c>
      <c r="BH1837" s="1">
        <v>275.0</v>
      </c>
      <c r="BK1837" s="1" t="s">
        <v>580</v>
      </c>
      <c r="BL1837" s="1" t="str">
        <f t="shared" ref="BL1837:BM1837" si="1214">""</f>
        <v/>
      </c>
      <c r="BM1837" s="1" t="str">
        <f t="shared" si="1214"/>
        <v/>
      </c>
      <c r="BQ1837" s="1">
        <v>301.0</v>
      </c>
      <c r="BR1837" s="1">
        <v>301.0</v>
      </c>
      <c r="BS1837" s="1">
        <v>301.0</v>
      </c>
      <c r="BU1837" s="1" t="s">
        <v>361</v>
      </c>
      <c r="BV1837" s="1" t="s">
        <v>206</v>
      </c>
      <c r="BW1837" s="1" t="s">
        <v>210</v>
      </c>
      <c r="BY1837" s="1" t="s">
        <v>432</v>
      </c>
      <c r="BZ1837" s="1" t="s">
        <v>209</v>
      </c>
      <c r="CA1837" s="1" t="s">
        <v>210</v>
      </c>
      <c r="CC1837" s="1" t="s">
        <v>215</v>
      </c>
      <c r="CD1837" s="1" t="s">
        <v>206</v>
      </c>
      <c r="CE1837" s="1" t="s">
        <v>210</v>
      </c>
      <c r="CG1837" s="1" t="s">
        <v>269</v>
      </c>
      <c r="CH1837" s="1" t="s">
        <v>209</v>
      </c>
      <c r="CI1837" s="1" t="s">
        <v>210</v>
      </c>
      <c r="CK1837" s="1" t="s">
        <v>332</v>
      </c>
      <c r="CL1837" s="1" t="s">
        <v>209</v>
      </c>
      <c r="CM1837" s="1" t="s">
        <v>210</v>
      </c>
      <c r="CO1837" s="1" t="s">
        <v>212</v>
      </c>
      <c r="CP1837" s="1" t="s">
        <v>209</v>
      </c>
      <c r="CQ1837" s="1" t="s">
        <v>210</v>
      </c>
      <c r="CS1837" s="1" t="s">
        <v>729</v>
      </c>
      <c r="CT1837" s="1" t="s">
        <v>206</v>
      </c>
      <c r="CU1837" s="1" t="s">
        <v>268</v>
      </c>
      <c r="CW1837" s="1" t="s">
        <v>453</v>
      </c>
      <c r="CX1837" s="1" t="s">
        <v>206</v>
      </c>
      <c r="CY1837" s="1" t="s">
        <v>210</v>
      </c>
      <c r="DA1837" s="1" t="s">
        <v>200</v>
      </c>
      <c r="DC1837" s="1" t="s">
        <v>481</v>
      </c>
      <c r="DD1837" s="1" t="s">
        <v>11205</v>
      </c>
      <c r="DE1837" s="1" t="s">
        <v>273</v>
      </c>
      <c r="DF1837" s="1" t="s">
        <v>219</v>
      </c>
      <c r="DG1837" s="1" t="s">
        <v>2311</v>
      </c>
      <c r="DH1837" s="1" t="s">
        <v>220</v>
      </c>
      <c r="DJ1837" s="1" t="s">
        <v>222</v>
      </c>
      <c r="DL1837" s="1" t="s">
        <v>223</v>
      </c>
      <c r="DM1837" s="1" t="s">
        <v>338</v>
      </c>
      <c r="DN1837" s="1" t="s">
        <v>548</v>
      </c>
      <c r="DO1837" s="1" t="s">
        <v>6032</v>
      </c>
      <c r="DP1837" s="1" t="s">
        <v>340</v>
      </c>
      <c r="DQ1837" s="1" t="s">
        <v>228</v>
      </c>
      <c r="DR1837" s="1" t="s">
        <v>588</v>
      </c>
      <c r="DS1837" s="1" t="s">
        <v>368</v>
      </c>
      <c r="DU1837" s="1" t="s">
        <v>1840</v>
      </c>
      <c r="DV1837" s="1" t="s">
        <v>17857</v>
      </c>
      <c r="DW1837" s="1" t="s">
        <v>233</v>
      </c>
      <c r="DX1837" s="1" t="s">
        <v>234</v>
      </c>
      <c r="DY1837" s="1" t="s">
        <v>1189</v>
      </c>
      <c r="DZ1837" s="1" t="s">
        <v>1146</v>
      </c>
      <c r="EA1837" s="1" t="s">
        <v>344</v>
      </c>
      <c r="EC1837" s="1" t="s">
        <v>237</v>
      </c>
      <c r="ED1837" s="1" t="s">
        <v>555</v>
      </c>
      <c r="EG1837" s="1" t="s">
        <v>449</v>
      </c>
      <c r="EH1837" s="1" t="s">
        <v>1121</v>
      </c>
      <c r="EI1837" s="1" t="s">
        <v>409</v>
      </c>
      <c r="EL1837" s="1" t="s">
        <v>729</v>
      </c>
      <c r="EM1837" s="1" t="s">
        <v>206</v>
      </c>
      <c r="EN1837" s="1" t="s">
        <v>268</v>
      </c>
      <c r="EP1837" s="1" t="s">
        <v>495</v>
      </c>
      <c r="EQ1837" s="1" t="s">
        <v>206</v>
      </c>
      <c r="ER1837" s="1" t="s">
        <v>210</v>
      </c>
      <c r="ET1837" s="1" t="s">
        <v>560</v>
      </c>
      <c r="EU1837" s="1" t="s">
        <v>209</v>
      </c>
      <c r="EV1837" s="1" t="s">
        <v>210</v>
      </c>
      <c r="EY1837" s="1" t="s">
        <v>238</v>
      </c>
      <c r="FC1837" s="1" t="s">
        <v>238</v>
      </c>
      <c r="FF1837" s="1" t="s">
        <v>239</v>
      </c>
      <c r="FG1837" s="1" t="s">
        <v>192</v>
      </c>
      <c r="FH1837" s="1" t="s">
        <v>192</v>
      </c>
      <c r="FJ1837" s="1" t="s">
        <v>770</v>
      </c>
      <c r="FK1837" s="1" t="s">
        <v>229</v>
      </c>
      <c r="FL1837" s="1" t="s">
        <v>456</v>
      </c>
      <c r="FM1837" s="1">
        <v>49.0</v>
      </c>
      <c r="FN1837" s="1" t="s">
        <v>457</v>
      </c>
      <c r="FO1837" s="1" t="s">
        <v>7305</v>
      </c>
      <c r="FP1837" s="1">
        <v>7198.0</v>
      </c>
      <c r="FQ1837" s="1" t="s">
        <v>7306</v>
      </c>
      <c r="FR1837" s="1">
        <v>35055.0</v>
      </c>
      <c r="FU1837" s="1" t="s">
        <v>10669</v>
      </c>
      <c r="FV1837" s="1" t="s">
        <v>200</v>
      </c>
      <c r="FW1837" s="1" t="s">
        <v>17858</v>
      </c>
      <c r="FZ1837" s="1" t="s">
        <v>229</v>
      </c>
      <c r="GA1837" s="1" t="s">
        <v>291</v>
      </c>
      <c r="GB1837" s="2">
        <v>42121.0</v>
      </c>
      <c r="GC1837" s="1" t="s">
        <v>17859</v>
      </c>
    </row>
    <row r="1838">
      <c r="A1838" s="1">
        <v>225000.0</v>
      </c>
      <c r="B1838" s="1" t="s">
        <v>185</v>
      </c>
      <c r="C1838" s="1" t="str">
        <f>"08709446"</f>
        <v>08709446</v>
      </c>
      <c r="D1838" s="1" t="s">
        <v>186</v>
      </c>
      <c r="F1838" s="1" t="str">
        <f>"543"</f>
        <v>543</v>
      </c>
      <c r="G1838" s="2">
        <v>41873.0</v>
      </c>
      <c r="H1838" s="1">
        <v>235000.0</v>
      </c>
      <c r="I1838" s="1">
        <v>91.0</v>
      </c>
      <c r="J1838" s="1">
        <v>229000.0</v>
      </c>
      <c r="K1838" s="2">
        <v>41963.0</v>
      </c>
      <c r="L1838" s="1">
        <v>91.0</v>
      </c>
      <c r="M1838" s="2">
        <v>41963.0</v>
      </c>
      <c r="N1838" s="1" t="s">
        <v>187</v>
      </c>
      <c r="O1838" s="2">
        <v>42003.0</v>
      </c>
      <c r="P1838" s="1">
        <v>1490.0</v>
      </c>
      <c r="Q1838" s="1">
        <v>30.0</v>
      </c>
      <c r="R1838" s="1">
        <v>3.0</v>
      </c>
      <c r="S1838" s="1">
        <v>228.0</v>
      </c>
      <c r="T1838" s="1" t="s">
        <v>16069</v>
      </c>
      <c r="U1838" s="1" t="s">
        <v>982</v>
      </c>
      <c r="V1838" s="1" t="s">
        <v>1527</v>
      </c>
      <c r="W1838" s="1">
        <v>60543.0</v>
      </c>
      <c r="Y1838" s="1" t="s">
        <v>17860</v>
      </c>
      <c r="Z1838" s="1">
        <v>2001.0</v>
      </c>
      <c r="AA1838" s="1" t="s">
        <v>200</v>
      </c>
      <c r="AB1838" s="1" t="s">
        <v>193</v>
      </c>
      <c r="AC1838" s="1" t="s">
        <v>9316</v>
      </c>
      <c r="AD1838" s="1" t="s">
        <v>1529</v>
      </c>
      <c r="AE1838" s="1" t="s">
        <v>849</v>
      </c>
      <c r="AF1838" s="1" t="s">
        <v>1529</v>
      </c>
      <c r="AH1838" s="1" t="s">
        <v>17861</v>
      </c>
      <c r="AI1838" s="1">
        <v>0.27</v>
      </c>
      <c r="AK1838" s="1">
        <v>9.0</v>
      </c>
      <c r="AL1838" s="1">
        <v>4.0</v>
      </c>
      <c r="AM1838" s="1">
        <v>2.0</v>
      </c>
      <c r="AN1838" s="1">
        <v>1.0</v>
      </c>
      <c r="AO1838" s="1" t="s">
        <v>198</v>
      </c>
      <c r="AP1838" s="1">
        <v>1.0</v>
      </c>
      <c r="AQ1838" s="1" t="s">
        <v>198</v>
      </c>
      <c r="AR1838" s="1" t="s">
        <v>200</v>
      </c>
      <c r="AS1838" s="1" t="s">
        <v>199</v>
      </c>
      <c r="AT1838" s="1">
        <v>2.0</v>
      </c>
      <c r="AV1838" s="1" t="s">
        <v>200</v>
      </c>
      <c r="AW1838" s="4">
        <v>7556.0</v>
      </c>
      <c r="AX1838" s="1">
        <v>2013.0</v>
      </c>
      <c r="AY1838" s="1" t="s">
        <v>387</v>
      </c>
      <c r="AZ1838" s="1" t="s">
        <v>545</v>
      </c>
      <c r="BA1838" s="1" t="str">
        <f>"0319401010"</f>
        <v>0319401010</v>
      </c>
      <c r="BB1838" s="1" t="s">
        <v>200</v>
      </c>
      <c r="BC1838" s="1">
        <v>2775.0</v>
      </c>
      <c r="BD1838" s="1">
        <v>225000.0</v>
      </c>
      <c r="BE1838" s="2">
        <v>41873.0</v>
      </c>
      <c r="BF1838" s="2" t="s">
        <v>17862</v>
      </c>
      <c r="BH1838" s="1">
        <v>190.0</v>
      </c>
      <c r="BK1838" s="1" t="s">
        <v>580</v>
      </c>
      <c r="BL1838" s="1" t="str">
        <f t="shared" ref="BL1838:BM1838" si="1215">"0"</f>
        <v>0</v>
      </c>
      <c r="BM1838" s="1" t="str">
        <f t="shared" si="1215"/>
        <v>0</v>
      </c>
      <c r="BN1838" s="1">
        <v>38.0</v>
      </c>
      <c r="BO1838" s="1">
        <v>13.0</v>
      </c>
      <c r="BQ1838" s="1">
        <v>308.0</v>
      </c>
      <c r="BR1838" s="1">
        <v>308.0</v>
      </c>
      <c r="BS1838" s="1">
        <v>308.0</v>
      </c>
      <c r="BU1838" s="1" t="s">
        <v>743</v>
      </c>
      <c r="BV1838" s="1" t="s">
        <v>206</v>
      </c>
      <c r="BY1838" s="1" t="s">
        <v>480</v>
      </c>
      <c r="BZ1838" s="1" t="s">
        <v>209</v>
      </c>
      <c r="CC1838" s="1" t="s">
        <v>215</v>
      </c>
      <c r="CD1838" s="1" t="s">
        <v>206</v>
      </c>
      <c r="CG1838" s="1" t="s">
        <v>332</v>
      </c>
      <c r="CH1838" s="1" t="s">
        <v>209</v>
      </c>
      <c r="CK1838" s="1" t="s">
        <v>495</v>
      </c>
      <c r="CL1838" s="1" t="s">
        <v>209</v>
      </c>
      <c r="CO1838" s="1" t="s">
        <v>262</v>
      </c>
      <c r="CP1838" s="1" t="s">
        <v>209</v>
      </c>
      <c r="CS1838" s="1" t="s">
        <v>205</v>
      </c>
      <c r="CT1838" s="1" t="s">
        <v>206</v>
      </c>
      <c r="CW1838" s="1" t="s">
        <v>784</v>
      </c>
      <c r="CX1838" s="1" t="s">
        <v>206</v>
      </c>
      <c r="DA1838" s="1" t="s">
        <v>200</v>
      </c>
      <c r="DC1838" s="1" t="s">
        <v>335</v>
      </c>
      <c r="DE1838" s="1" t="s">
        <v>273</v>
      </c>
      <c r="DF1838" s="1" t="s">
        <v>219</v>
      </c>
      <c r="DH1838" s="1" t="s">
        <v>220</v>
      </c>
      <c r="DJ1838" s="1" t="s">
        <v>222</v>
      </c>
      <c r="DL1838" s="1" t="s">
        <v>224</v>
      </c>
      <c r="DM1838" s="1" t="s">
        <v>229</v>
      </c>
      <c r="DQ1838" s="1" t="s">
        <v>441</v>
      </c>
      <c r="DR1838" s="1" t="s">
        <v>229</v>
      </c>
      <c r="DS1838" s="1" t="s">
        <v>230</v>
      </c>
      <c r="DU1838" s="1" t="s">
        <v>5397</v>
      </c>
      <c r="DV1838" s="1" t="s">
        <v>494</v>
      </c>
      <c r="DW1838" s="1" t="s">
        <v>233</v>
      </c>
      <c r="DX1838" s="1" t="s">
        <v>234</v>
      </c>
      <c r="DY1838" s="1" t="s">
        <v>5581</v>
      </c>
      <c r="DZ1838" s="1" t="s">
        <v>282</v>
      </c>
      <c r="EB1838" s="1" t="s">
        <v>345</v>
      </c>
      <c r="EC1838" s="1" t="s">
        <v>237</v>
      </c>
      <c r="ED1838" s="1" t="s">
        <v>555</v>
      </c>
      <c r="EG1838" s="1" t="s">
        <v>494</v>
      </c>
      <c r="EL1838" s="1" t="s">
        <v>495</v>
      </c>
      <c r="EM1838" s="1" t="s">
        <v>206</v>
      </c>
      <c r="EQ1838" s="1" t="s">
        <v>238</v>
      </c>
      <c r="EU1838" s="1" t="s">
        <v>238</v>
      </c>
      <c r="EY1838" s="1" t="s">
        <v>238</v>
      </c>
      <c r="FC1838" s="1" t="s">
        <v>238</v>
      </c>
      <c r="FF1838" s="1" t="s">
        <v>239</v>
      </c>
      <c r="FG1838" s="1" t="s">
        <v>192</v>
      </c>
      <c r="FH1838" s="1" t="s">
        <v>192</v>
      </c>
      <c r="FJ1838" s="1" t="s">
        <v>1469</v>
      </c>
      <c r="FK1838" s="1" t="s">
        <v>229</v>
      </c>
      <c r="FL1838" s="1" t="s">
        <v>6918</v>
      </c>
      <c r="FM1838" s="1">
        <v>31580.0</v>
      </c>
      <c r="FN1838" s="1" t="s">
        <v>6919</v>
      </c>
      <c r="FO1838" s="1" t="s">
        <v>9139</v>
      </c>
      <c r="FP1838" s="1">
        <v>300079.0</v>
      </c>
      <c r="FS1838" s="1" t="s">
        <v>9140</v>
      </c>
      <c r="FU1838" s="1" t="s">
        <v>17863</v>
      </c>
      <c r="FV1838" s="1" t="s">
        <v>192</v>
      </c>
      <c r="FW1838" s="1" t="s">
        <v>290</v>
      </c>
      <c r="FZ1838" s="1" t="s">
        <v>229</v>
      </c>
      <c r="GA1838" s="1" t="s">
        <v>291</v>
      </c>
      <c r="GB1838" s="2">
        <v>42003.0</v>
      </c>
      <c r="GC1838" s="1" t="s">
        <v>17864</v>
      </c>
    </row>
    <row r="1839">
      <c r="A1839" s="1">
        <v>260500.0</v>
      </c>
      <c r="B1839" s="1" t="s">
        <v>185</v>
      </c>
      <c r="C1839" s="1" t="str">
        <f>"08710018"</f>
        <v>08710018</v>
      </c>
      <c r="D1839" s="1" t="s">
        <v>186</v>
      </c>
      <c r="F1839" s="1" t="str">
        <f>"174"</f>
        <v>174</v>
      </c>
      <c r="G1839" s="2">
        <v>41875.0</v>
      </c>
      <c r="H1839" s="1">
        <v>299900.0</v>
      </c>
      <c r="I1839" s="1">
        <v>76.0</v>
      </c>
      <c r="J1839" s="1">
        <v>274900.0</v>
      </c>
      <c r="K1839" s="2">
        <v>41950.0</v>
      </c>
      <c r="L1839" s="1">
        <v>76.0</v>
      </c>
      <c r="M1839" s="2">
        <v>41950.0</v>
      </c>
      <c r="N1839" s="1" t="s">
        <v>356</v>
      </c>
      <c r="O1839" s="2">
        <v>41999.0</v>
      </c>
      <c r="P1839" s="1">
        <v>77100.0</v>
      </c>
      <c r="Q1839" s="1">
        <v>37.0</v>
      </c>
      <c r="R1839" s="1">
        <v>3000.0</v>
      </c>
      <c r="S1839" s="1" t="s">
        <v>17865</v>
      </c>
      <c r="T1839" s="1" t="s">
        <v>14499</v>
      </c>
      <c r="U1839" s="1" t="s">
        <v>420</v>
      </c>
      <c r="V1839" s="1" t="s">
        <v>1200</v>
      </c>
      <c r="W1839" s="1">
        <v>60175.0</v>
      </c>
      <c r="Y1839" s="1" t="s">
        <v>17866</v>
      </c>
      <c r="Z1839" s="1">
        <v>1978.0</v>
      </c>
      <c r="AA1839" s="1" t="s">
        <v>200</v>
      </c>
      <c r="AB1839" s="1" t="s">
        <v>467</v>
      </c>
      <c r="AC1839" s="1" t="s">
        <v>7845</v>
      </c>
      <c r="AD1839" s="1" t="s">
        <v>1089</v>
      </c>
      <c r="AE1839" s="1" t="s">
        <v>325</v>
      </c>
      <c r="AF1839" s="1" t="s">
        <v>1632</v>
      </c>
      <c r="AG1839" s="1" t="s">
        <v>874</v>
      </c>
      <c r="AH1839" s="1" t="s">
        <v>17867</v>
      </c>
      <c r="AI1839" s="1">
        <v>0.56</v>
      </c>
      <c r="AK1839" s="1">
        <v>11.0</v>
      </c>
      <c r="AL1839" s="1">
        <v>4.0</v>
      </c>
      <c r="AM1839" s="1">
        <v>3.0</v>
      </c>
      <c r="AN1839" s="1">
        <v>0.0</v>
      </c>
      <c r="AO1839" s="1" t="s">
        <v>198</v>
      </c>
      <c r="AP1839" s="1">
        <v>3.0</v>
      </c>
      <c r="AQ1839" s="1" t="s">
        <v>327</v>
      </c>
      <c r="AR1839" s="1" t="s">
        <v>192</v>
      </c>
      <c r="AS1839" s="1" t="s">
        <v>199</v>
      </c>
      <c r="AT1839" s="1">
        <v>2.0</v>
      </c>
      <c r="AV1839" s="1" t="s">
        <v>200</v>
      </c>
      <c r="AW1839" s="1">
        <v>10192.72</v>
      </c>
      <c r="AX1839" s="1">
        <v>2013.0</v>
      </c>
      <c r="AZ1839" s="1" t="s">
        <v>200</v>
      </c>
      <c r="BA1839" s="1" t="str">
        <f>"0816326006"</f>
        <v>0816326006</v>
      </c>
      <c r="BC1839" s="1">
        <v>3200.0</v>
      </c>
      <c r="BD1839" s="1">
        <v>260500.0</v>
      </c>
      <c r="BE1839" s="2">
        <v>41875.0</v>
      </c>
      <c r="BF1839" s="2" t="s">
        <v>17868</v>
      </c>
      <c r="BH1839" s="1">
        <v>375.0</v>
      </c>
      <c r="BK1839" s="1" t="s">
        <v>580</v>
      </c>
      <c r="BL1839" s="1" t="str">
        <f>"5"</f>
        <v>5</v>
      </c>
      <c r="BM1839" s="1" t="str">
        <f t="shared" ref="BM1839:BM1841" si="1216">"0"</f>
        <v>0</v>
      </c>
      <c r="BN1839" s="1">
        <v>42.0</v>
      </c>
      <c r="BO1839" s="1">
        <v>0.0</v>
      </c>
      <c r="BQ1839" s="1">
        <v>301.0</v>
      </c>
      <c r="BR1839" s="1">
        <v>301.0</v>
      </c>
      <c r="BS1839" s="1">
        <v>301.0</v>
      </c>
      <c r="BU1839" s="1" t="s">
        <v>479</v>
      </c>
      <c r="BV1839" s="1" t="s">
        <v>206</v>
      </c>
      <c r="BW1839" s="1" t="s">
        <v>210</v>
      </c>
      <c r="BY1839" s="1" t="s">
        <v>214</v>
      </c>
      <c r="BZ1839" s="1" t="s">
        <v>206</v>
      </c>
      <c r="CA1839" s="1" t="s">
        <v>301</v>
      </c>
      <c r="CC1839" s="1" t="s">
        <v>925</v>
      </c>
      <c r="CD1839" s="1" t="s">
        <v>206</v>
      </c>
      <c r="CE1839" s="1" t="s">
        <v>210</v>
      </c>
      <c r="CG1839" s="1" t="s">
        <v>211</v>
      </c>
      <c r="CH1839" s="1" t="s">
        <v>206</v>
      </c>
      <c r="CI1839" s="1" t="s">
        <v>301</v>
      </c>
      <c r="CK1839" s="1" t="s">
        <v>433</v>
      </c>
      <c r="CL1839" s="1" t="s">
        <v>206</v>
      </c>
      <c r="CM1839" s="1" t="s">
        <v>301</v>
      </c>
      <c r="CO1839" s="1" t="s">
        <v>361</v>
      </c>
      <c r="CP1839" s="1" t="s">
        <v>1697</v>
      </c>
      <c r="CQ1839" s="1" t="s">
        <v>210</v>
      </c>
      <c r="CS1839" s="1" t="s">
        <v>262</v>
      </c>
      <c r="CT1839" s="1" t="s">
        <v>206</v>
      </c>
      <c r="CU1839" s="1" t="s">
        <v>301</v>
      </c>
      <c r="CW1839" s="1" t="s">
        <v>1000</v>
      </c>
      <c r="CX1839" s="1" t="s">
        <v>206</v>
      </c>
      <c r="CY1839" s="1" t="s">
        <v>301</v>
      </c>
      <c r="DA1839" s="1" t="s">
        <v>200</v>
      </c>
      <c r="DC1839" s="1" t="s">
        <v>395</v>
      </c>
      <c r="DD1839" s="1" t="s">
        <v>855</v>
      </c>
      <c r="DE1839" s="1" t="s">
        <v>273</v>
      </c>
      <c r="DF1839" s="1" t="s">
        <v>546</v>
      </c>
      <c r="DG1839" s="1" t="s">
        <v>4422</v>
      </c>
      <c r="DH1839" s="1" t="s">
        <v>220</v>
      </c>
      <c r="DI1839" s="1" t="s">
        <v>703</v>
      </c>
      <c r="DJ1839" s="1" t="s">
        <v>1048</v>
      </c>
      <c r="DK1839" s="1" t="s">
        <v>198</v>
      </c>
      <c r="DL1839" s="1" t="s">
        <v>7836</v>
      </c>
      <c r="DM1839" s="1" t="s">
        <v>338</v>
      </c>
      <c r="DN1839" s="1" t="s">
        <v>339</v>
      </c>
      <c r="DO1839" s="1" t="s">
        <v>859</v>
      </c>
      <c r="DP1839" s="1" t="s">
        <v>340</v>
      </c>
      <c r="DQ1839" s="1" t="s">
        <v>1557</v>
      </c>
      <c r="DR1839" s="1" t="s">
        <v>3096</v>
      </c>
      <c r="DS1839" s="1" t="s">
        <v>368</v>
      </c>
      <c r="DU1839" s="1" t="s">
        <v>17869</v>
      </c>
      <c r="DV1839" s="1" t="s">
        <v>17870</v>
      </c>
      <c r="DW1839" s="1" t="s">
        <v>233</v>
      </c>
      <c r="DX1839" s="1" t="s">
        <v>234</v>
      </c>
      <c r="DY1839" s="1" t="s">
        <v>17871</v>
      </c>
      <c r="DZ1839" s="1" t="s">
        <v>766</v>
      </c>
      <c r="EA1839" s="1" t="s">
        <v>683</v>
      </c>
      <c r="EB1839" s="1" t="s">
        <v>17872</v>
      </c>
      <c r="EC1839" s="1" t="s">
        <v>685</v>
      </c>
      <c r="ED1839" s="1" t="s">
        <v>555</v>
      </c>
      <c r="EE1839" s="1" t="s">
        <v>493</v>
      </c>
      <c r="EG1839" s="1" t="s">
        <v>450</v>
      </c>
      <c r="EH1839" s="1" t="s">
        <v>2971</v>
      </c>
      <c r="EI1839" s="1" t="s">
        <v>1824</v>
      </c>
      <c r="EJ1839" s="1" t="s">
        <v>408</v>
      </c>
      <c r="EK1839" s="1" t="s">
        <v>1491</v>
      </c>
      <c r="EL1839" s="1" t="s">
        <v>17873</v>
      </c>
      <c r="EM1839" s="1" t="s">
        <v>1697</v>
      </c>
      <c r="EN1839" s="1" t="s">
        <v>210</v>
      </c>
      <c r="EP1839" s="1" t="s">
        <v>410</v>
      </c>
      <c r="EQ1839" s="1" t="s">
        <v>1697</v>
      </c>
      <c r="ER1839" s="1" t="s">
        <v>210</v>
      </c>
      <c r="ET1839" s="1" t="s">
        <v>582</v>
      </c>
      <c r="EU1839" s="1" t="s">
        <v>1697</v>
      </c>
      <c r="EV1839" s="1" t="s">
        <v>301</v>
      </c>
      <c r="EX1839" s="1" t="s">
        <v>5211</v>
      </c>
      <c r="EY1839" s="1" t="s">
        <v>206</v>
      </c>
      <c r="EZ1839" s="1" t="s">
        <v>268</v>
      </c>
      <c r="FB1839" s="1" t="s">
        <v>17874</v>
      </c>
      <c r="FC1839" s="1" t="s">
        <v>1697</v>
      </c>
      <c r="FD1839" s="1" t="s">
        <v>588</v>
      </c>
      <c r="FF1839" s="1" t="s">
        <v>239</v>
      </c>
      <c r="FG1839" s="1" t="s">
        <v>192</v>
      </c>
      <c r="FH1839" s="1" t="s">
        <v>192</v>
      </c>
      <c r="FJ1839" s="1" t="s">
        <v>498</v>
      </c>
      <c r="FK1839" s="1" t="s">
        <v>229</v>
      </c>
      <c r="FL1839" s="1" t="s">
        <v>2184</v>
      </c>
      <c r="FM1839" s="1">
        <v>605.0</v>
      </c>
      <c r="FN1839" s="1" t="s">
        <v>2185</v>
      </c>
      <c r="FO1839" s="1" t="s">
        <v>2186</v>
      </c>
      <c r="FP1839" s="1">
        <v>40.0</v>
      </c>
      <c r="FQ1839" s="1" t="s">
        <v>2187</v>
      </c>
      <c r="FR1839" s="1">
        <v>1509.0</v>
      </c>
      <c r="FS1839" s="1" t="s">
        <v>2188</v>
      </c>
      <c r="FU1839" s="1" t="s">
        <v>17875</v>
      </c>
      <c r="FV1839" s="1" t="s">
        <v>200</v>
      </c>
      <c r="FW1839" s="1" t="s">
        <v>290</v>
      </c>
      <c r="FZ1839" s="1" t="s">
        <v>229</v>
      </c>
      <c r="GA1839" s="1" t="s">
        <v>291</v>
      </c>
      <c r="GB1839" s="2">
        <v>41999.0</v>
      </c>
      <c r="GC1839" s="1" t="s">
        <v>17876</v>
      </c>
    </row>
    <row r="1840">
      <c r="A1840" s="1">
        <v>314214.0</v>
      </c>
      <c r="B1840" s="1" t="s">
        <v>185</v>
      </c>
      <c r="C1840" s="1" t="str">
        <f>"08709788"</f>
        <v>08709788</v>
      </c>
      <c r="D1840" s="1" t="s">
        <v>186</v>
      </c>
      <c r="F1840" s="1" t="str">
        <f>"110"</f>
        <v>110</v>
      </c>
      <c r="G1840" s="2">
        <v>41874.0</v>
      </c>
      <c r="H1840" s="1">
        <v>312104.0</v>
      </c>
      <c r="I1840" s="1">
        <v>1.0</v>
      </c>
      <c r="J1840" s="1">
        <v>312104.0</v>
      </c>
      <c r="K1840" s="2">
        <v>41874.0</v>
      </c>
      <c r="L1840" s="1">
        <v>1.0</v>
      </c>
      <c r="M1840" s="2">
        <v>41874.0</v>
      </c>
      <c r="N1840" s="1" t="s">
        <v>187</v>
      </c>
      <c r="O1840" s="2">
        <v>41996.0</v>
      </c>
      <c r="P1840" s="1">
        <v>83446.0</v>
      </c>
      <c r="Q1840" s="1">
        <v>8059.0</v>
      </c>
      <c r="S1840" s="1">
        <v>3530.0</v>
      </c>
      <c r="T1840" s="1" t="s">
        <v>1173</v>
      </c>
      <c r="U1840" s="1" t="s">
        <v>1174</v>
      </c>
      <c r="V1840" s="1" t="s">
        <v>807</v>
      </c>
      <c r="W1840" s="1">
        <v>60110.0</v>
      </c>
      <c r="Y1840" s="1" t="s">
        <v>1175</v>
      </c>
      <c r="Z1840" s="1">
        <v>2014.0</v>
      </c>
      <c r="AA1840" s="1" t="s">
        <v>200</v>
      </c>
      <c r="AB1840" s="1" t="s">
        <v>467</v>
      </c>
      <c r="AC1840" s="1" t="s">
        <v>1176</v>
      </c>
      <c r="AD1840" s="1" t="s">
        <v>809</v>
      </c>
      <c r="AE1840" s="1" t="s">
        <v>325</v>
      </c>
      <c r="AF1840" s="1" t="s">
        <v>810</v>
      </c>
      <c r="AG1840" s="1" t="s">
        <v>1177</v>
      </c>
      <c r="AH1840" s="1" t="s">
        <v>1178</v>
      </c>
      <c r="AK1840" s="1">
        <v>9.0</v>
      </c>
      <c r="AL1840" s="1">
        <v>4.0</v>
      </c>
      <c r="AM1840" s="1">
        <v>2.0</v>
      </c>
      <c r="AN1840" s="1">
        <v>1.0</v>
      </c>
      <c r="AO1840" s="1" t="s">
        <v>198</v>
      </c>
      <c r="AP1840" s="1">
        <v>0.0</v>
      </c>
      <c r="AQ1840" s="1" t="s">
        <v>198</v>
      </c>
      <c r="AR1840" s="1" t="s">
        <v>200</v>
      </c>
      <c r="AS1840" s="1" t="s">
        <v>199</v>
      </c>
      <c r="AT1840" s="1">
        <v>2.0</v>
      </c>
      <c r="AV1840" s="1" t="s">
        <v>200</v>
      </c>
      <c r="AW1840" s="1" t="s">
        <v>575</v>
      </c>
      <c r="AX1840" s="1">
        <v>2012.0</v>
      </c>
      <c r="AY1840" s="1" t="s">
        <v>1179</v>
      </c>
      <c r="AZ1840" s="1" t="s">
        <v>200</v>
      </c>
      <c r="BA1840" s="1" t="str">
        <f>"0212431011"</f>
        <v>0212431011</v>
      </c>
      <c r="BC1840" s="1">
        <v>2614.0</v>
      </c>
      <c r="BD1840" s="1">
        <v>314214.0</v>
      </c>
      <c r="BE1840" s="2">
        <v>41874.0</v>
      </c>
      <c r="BF1840" s="1" t="s">
        <v>14629</v>
      </c>
      <c r="BG1840" s="1" t="s">
        <v>1181</v>
      </c>
      <c r="BH1840" s="1">
        <v>112.0</v>
      </c>
      <c r="BI1840" s="1" t="s">
        <v>1093</v>
      </c>
      <c r="BJ1840" s="1" t="s">
        <v>1182</v>
      </c>
      <c r="BK1840" s="1" t="s">
        <v>1952</v>
      </c>
      <c r="BL1840" s="1" t="str">
        <f>"18"</f>
        <v>18</v>
      </c>
      <c r="BM1840" s="1" t="str">
        <f t="shared" si="1216"/>
        <v>0</v>
      </c>
      <c r="BN1840" s="1">
        <v>37.0</v>
      </c>
      <c r="BO1840" s="1">
        <v>0.0</v>
      </c>
      <c r="BQ1840" s="1">
        <v>300.0</v>
      </c>
      <c r="BR1840" s="1">
        <v>300.0</v>
      </c>
      <c r="BS1840" s="1">
        <v>300.0</v>
      </c>
      <c r="BV1840" s="1" t="s">
        <v>204</v>
      </c>
      <c r="BY1840" s="1" t="s">
        <v>830</v>
      </c>
      <c r="BZ1840" s="1" t="s">
        <v>209</v>
      </c>
      <c r="CA1840" s="1" t="s">
        <v>210</v>
      </c>
      <c r="CB1840" s="1" t="s">
        <v>229</v>
      </c>
      <c r="CC1840" s="1" t="s">
        <v>1183</v>
      </c>
      <c r="CD1840" s="1" t="s">
        <v>206</v>
      </c>
      <c r="CE1840" s="1" t="s">
        <v>617</v>
      </c>
      <c r="CF1840" s="1" t="s">
        <v>229</v>
      </c>
      <c r="CG1840" s="1" t="s">
        <v>302</v>
      </c>
      <c r="CH1840" s="1" t="s">
        <v>209</v>
      </c>
      <c r="CI1840" s="1" t="s">
        <v>210</v>
      </c>
      <c r="CJ1840" s="1" t="s">
        <v>229</v>
      </c>
      <c r="CK1840" s="1" t="s">
        <v>497</v>
      </c>
      <c r="CL1840" s="1" t="s">
        <v>209</v>
      </c>
      <c r="CM1840" s="1" t="s">
        <v>210</v>
      </c>
      <c r="CN1840" s="1" t="s">
        <v>229</v>
      </c>
      <c r="CO1840" s="1" t="s">
        <v>212</v>
      </c>
      <c r="CP1840" s="1" t="s">
        <v>209</v>
      </c>
      <c r="CQ1840" s="1" t="s">
        <v>210</v>
      </c>
      <c r="CR1840" s="1" t="s">
        <v>229</v>
      </c>
      <c r="CS1840" s="1" t="s">
        <v>332</v>
      </c>
      <c r="CT1840" s="1" t="s">
        <v>206</v>
      </c>
      <c r="CU1840" s="1" t="s">
        <v>617</v>
      </c>
      <c r="CV1840" s="1" t="s">
        <v>229</v>
      </c>
      <c r="CW1840" s="1" t="s">
        <v>1184</v>
      </c>
      <c r="CX1840" s="1" t="s">
        <v>206</v>
      </c>
      <c r="CY1840" s="1" t="s">
        <v>210</v>
      </c>
      <c r="CZ1840" s="1" t="s">
        <v>229</v>
      </c>
      <c r="DA1840" s="1" t="s">
        <v>192</v>
      </c>
      <c r="DB1840" s="2">
        <v>42050.0</v>
      </c>
      <c r="DC1840" s="1" t="s">
        <v>744</v>
      </c>
      <c r="DD1840" s="1" t="s">
        <v>306</v>
      </c>
      <c r="DE1840" s="1" t="s">
        <v>273</v>
      </c>
      <c r="DF1840" s="1" t="s">
        <v>219</v>
      </c>
      <c r="DG1840" s="1" t="s">
        <v>482</v>
      </c>
      <c r="DH1840" s="1" t="s">
        <v>220</v>
      </c>
      <c r="DI1840" s="1" t="s">
        <v>1021</v>
      </c>
      <c r="DJ1840" s="1" t="s">
        <v>222</v>
      </c>
      <c r="DK1840" s="1" t="s">
        <v>223</v>
      </c>
      <c r="DL1840" s="1" t="s">
        <v>223</v>
      </c>
      <c r="DM1840" s="1" t="s">
        <v>338</v>
      </c>
      <c r="DN1840" s="1" t="s">
        <v>548</v>
      </c>
      <c r="DP1840" s="1" t="s">
        <v>227</v>
      </c>
      <c r="DQ1840" s="1" t="s">
        <v>441</v>
      </c>
      <c r="DR1840" s="1" t="s">
        <v>1185</v>
      </c>
      <c r="DS1840" s="1" t="s">
        <v>591</v>
      </c>
      <c r="DT1840" s="1" t="s">
        <v>1186</v>
      </c>
      <c r="DU1840" s="1" t="s">
        <v>1187</v>
      </c>
      <c r="DV1840" s="1" t="s">
        <v>1188</v>
      </c>
      <c r="DW1840" s="1" t="s">
        <v>444</v>
      </c>
      <c r="DX1840" s="1" t="s">
        <v>234</v>
      </c>
      <c r="DY1840" s="1" t="s">
        <v>1189</v>
      </c>
      <c r="EA1840" s="1" t="s">
        <v>344</v>
      </c>
      <c r="EC1840" s="1" t="s">
        <v>237</v>
      </c>
      <c r="EG1840" s="1" t="s">
        <v>494</v>
      </c>
      <c r="EH1840" s="1" t="s">
        <v>341</v>
      </c>
      <c r="EL1840" s="1" t="s">
        <v>1190</v>
      </c>
      <c r="EM1840" s="1" t="s">
        <v>206</v>
      </c>
      <c r="EN1840" s="1" t="s">
        <v>210</v>
      </c>
      <c r="EO1840" s="1" t="s">
        <v>229</v>
      </c>
      <c r="EP1840" s="1" t="s">
        <v>302</v>
      </c>
      <c r="EQ1840" s="1" t="s">
        <v>209</v>
      </c>
      <c r="ER1840" s="1" t="s">
        <v>210</v>
      </c>
      <c r="ES1840" s="1" t="s">
        <v>229</v>
      </c>
      <c r="EU1840" s="1" t="s">
        <v>238</v>
      </c>
      <c r="EY1840" s="1" t="s">
        <v>238</v>
      </c>
      <c r="FC1840" s="1" t="s">
        <v>238</v>
      </c>
      <c r="FF1840" s="1" t="s">
        <v>239</v>
      </c>
      <c r="FG1840" s="1" t="s">
        <v>192</v>
      </c>
      <c r="FH1840" s="1" t="s">
        <v>192</v>
      </c>
      <c r="FJ1840" s="1" t="s">
        <v>14367</v>
      </c>
      <c r="FK1840" s="1" t="s">
        <v>229</v>
      </c>
      <c r="FL1840" s="1" t="s">
        <v>1192</v>
      </c>
      <c r="FM1840" s="1">
        <v>8702.0</v>
      </c>
      <c r="FN1840" s="1" t="s">
        <v>1193</v>
      </c>
      <c r="FO1840" s="1" t="s">
        <v>1194</v>
      </c>
      <c r="FP1840" s="1">
        <v>21163.0</v>
      </c>
      <c r="FQ1840" s="1" t="s">
        <v>1195</v>
      </c>
      <c r="FU1840" s="1" t="s">
        <v>17877</v>
      </c>
      <c r="FV1840" s="1" t="s">
        <v>200</v>
      </c>
      <c r="FW1840" s="1" t="s">
        <v>1197</v>
      </c>
      <c r="FZ1840" s="1" t="s">
        <v>229</v>
      </c>
      <c r="GA1840" s="1" t="s">
        <v>291</v>
      </c>
      <c r="GB1840" s="2">
        <v>42000.0</v>
      </c>
      <c r="GC1840" s="1" t="s">
        <v>17878</v>
      </c>
    </row>
    <row r="1841">
      <c r="A1841" s="1">
        <v>555000.0</v>
      </c>
      <c r="B1841" s="1" t="s">
        <v>185</v>
      </c>
      <c r="C1841" s="1" t="str">
        <f>"08710199"</f>
        <v>08710199</v>
      </c>
      <c r="D1841" s="1" t="s">
        <v>186</v>
      </c>
      <c r="F1841" s="1" t="str">
        <f>"8016"</f>
        <v>8016</v>
      </c>
      <c r="G1841" s="2">
        <v>41875.0</v>
      </c>
      <c r="H1841" s="1">
        <v>579000.0</v>
      </c>
      <c r="I1841" s="1">
        <v>101.0</v>
      </c>
      <c r="J1841" s="1">
        <v>579000.0</v>
      </c>
      <c r="K1841" s="2">
        <v>41975.0</v>
      </c>
      <c r="L1841" s="1">
        <v>101.0</v>
      </c>
      <c r="M1841" s="2">
        <v>41975.0</v>
      </c>
      <c r="N1841" s="1" t="s">
        <v>187</v>
      </c>
      <c r="O1841" s="2">
        <v>41996.0</v>
      </c>
      <c r="P1841" s="1">
        <v>145003.0</v>
      </c>
      <c r="Q1841" s="1">
        <v>10646.0</v>
      </c>
      <c r="S1841" s="1">
        <v>3833.0</v>
      </c>
      <c r="T1841" s="1" t="s">
        <v>5251</v>
      </c>
      <c r="U1841" s="1" t="s">
        <v>189</v>
      </c>
      <c r="V1841" s="1" t="s">
        <v>190</v>
      </c>
      <c r="W1841" s="1">
        <v>60641.0</v>
      </c>
      <c r="X1841" s="1">
        <v>2818.0</v>
      </c>
      <c r="Y1841" s="1" t="s">
        <v>17879</v>
      </c>
      <c r="Z1841" s="1">
        <v>1902.0</v>
      </c>
      <c r="AA1841" s="1" t="s">
        <v>192</v>
      </c>
      <c r="AB1841" s="1" t="s">
        <v>193</v>
      </c>
      <c r="AD1841" s="1" t="s">
        <v>194</v>
      </c>
      <c r="AE1841" s="1" t="s">
        <v>195</v>
      </c>
      <c r="AF1841" s="1" t="s">
        <v>2645</v>
      </c>
      <c r="AH1841" s="1" t="s">
        <v>7981</v>
      </c>
      <c r="AK1841" s="1">
        <v>9.0</v>
      </c>
      <c r="AL1841" s="1">
        <v>3.0</v>
      </c>
      <c r="AM1841" s="1">
        <v>3.0</v>
      </c>
      <c r="AN1841" s="1">
        <v>0.0</v>
      </c>
      <c r="AO1841" s="1" t="s">
        <v>229</v>
      </c>
      <c r="AP1841" s="1">
        <v>0.0</v>
      </c>
      <c r="AQ1841" s="1" t="s">
        <v>198</v>
      </c>
      <c r="AR1841" s="1" t="s">
        <v>200</v>
      </c>
      <c r="AS1841" s="1" t="s">
        <v>199</v>
      </c>
      <c r="AT1841" s="1">
        <v>2.0</v>
      </c>
      <c r="AV1841" s="1" t="s">
        <v>200</v>
      </c>
      <c r="AW1841" s="1">
        <v>6427.57</v>
      </c>
      <c r="AX1841" s="1">
        <v>2013.0</v>
      </c>
      <c r="AY1841" s="1" t="s">
        <v>387</v>
      </c>
      <c r="AZ1841" s="1" t="s">
        <v>200</v>
      </c>
      <c r="BA1841" s="1" t="str">
        <f>"13221090070000"</f>
        <v>13221090070000</v>
      </c>
      <c r="BB1841" s="1" t="s">
        <v>200</v>
      </c>
      <c r="BC1841" s="1">
        <v>1633.0</v>
      </c>
      <c r="BD1841" s="1">
        <v>555000.0</v>
      </c>
      <c r="BE1841" s="2">
        <v>41875.0</v>
      </c>
      <c r="BF1841" s="2" t="s">
        <v>17880</v>
      </c>
      <c r="BH1841" s="1">
        <v>0.0</v>
      </c>
      <c r="BK1841" s="1" t="s">
        <v>204</v>
      </c>
      <c r="BL1841" s="1" t="str">
        <f>"3833"</f>
        <v>3833</v>
      </c>
      <c r="BM1841" s="1" t="str">
        <f t="shared" si="1216"/>
        <v>0</v>
      </c>
      <c r="BN1841" s="1">
        <v>4500.0</v>
      </c>
      <c r="BO1841" s="1">
        <v>0.0</v>
      </c>
      <c r="BQ1841" s="1">
        <v>299.0</v>
      </c>
      <c r="BR1841" s="1">
        <v>299.0</v>
      </c>
      <c r="BS1841" s="1">
        <v>299.0</v>
      </c>
      <c r="BU1841" s="1" t="s">
        <v>1067</v>
      </c>
      <c r="BV1841" s="1" t="s">
        <v>206</v>
      </c>
      <c r="BW1841" s="1" t="s">
        <v>207</v>
      </c>
      <c r="BY1841" s="1" t="s">
        <v>478</v>
      </c>
      <c r="BZ1841" s="1" t="s">
        <v>209</v>
      </c>
      <c r="CA1841" s="1" t="s">
        <v>207</v>
      </c>
      <c r="CC1841" s="1" t="s">
        <v>7119</v>
      </c>
      <c r="CD1841" s="1" t="s">
        <v>206</v>
      </c>
      <c r="CE1841" s="1" t="s">
        <v>210</v>
      </c>
      <c r="CG1841" s="1" t="s">
        <v>1417</v>
      </c>
      <c r="CH1841" s="1" t="s">
        <v>209</v>
      </c>
      <c r="CI1841" s="1" t="s">
        <v>207</v>
      </c>
      <c r="CK1841" s="1" t="s">
        <v>663</v>
      </c>
      <c r="CL1841" s="1" t="s">
        <v>206</v>
      </c>
      <c r="CM1841" s="1" t="s">
        <v>207</v>
      </c>
      <c r="CO1841" s="1" t="s">
        <v>663</v>
      </c>
      <c r="CP1841" s="1" t="s">
        <v>42</v>
      </c>
      <c r="CS1841" s="1" t="s">
        <v>1351</v>
      </c>
      <c r="CT1841" s="1" t="s">
        <v>206</v>
      </c>
      <c r="CU1841" s="1" t="s">
        <v>207</v>
      </c>
      <c r="CV1841" s="1" t="s">
        <v>229</v>
      </c>
      <c r="CW1841" s="1" t="s">
        <v>1567</v>
      </c>
      <c r="CX1841" s="1" t="s">
        <v>206</v>
      </c>
      <c r="CY1841" s="1" t="s">
        <v>210</v>
      </c>
      <c r="DA1841" s="1" t="s">
        <v>200</v>
      </c>
      <c r="DC1841" s="1" t="s">
        <v>642</v>
      </c>
      <c r="DE1841" s="1" t="s">
        <v>273</v>
      </c>
      <c r="DF1841" s="1" t="s">
        <v>17881</v>
      </c>
      <c r="DG1841" s="1" t="s">
        <v>337</v>
      </c>
      <c r="DH1841" s="1" t="s">
        <v>365</v>
      </c>
      <c r="DI1841" s="1" t="s">
        <v>703</v>
      </c>
      <c r="DJ1841" s="1" t="s">
        <v>1048</v>
      </c>
      <c r="DK1841" s="1" t="s">
        <v>223</v>
      </c>
      <c r="DL1841" s="1" t="s">
        <v>224</v>
      </c>
      <c r="DM1841" s="1" t="s">
        <v>229</v>
      </c>
      <c r="DO1841" s="1" t="s">
        <v>549</v>
      </c>
      <c r="DP1841" s="1" t="s">
        <v>340</v>
      </c>
      <c r="DQ1841" s="1" t="s">
        <v>794</v>
      </c>
      <c r="DR1841" s="1" t="s">
        <v>229</v>
      </c>
      <c r="DS1841" s="1" t="s">
        <v>9464</v>
      </c>
      <c r="DU1841" s="1" t="s">
        <v>9010</v>
      </c>
      <c r="DV1841" s="1" t="s">
        <v>598</v>
      </c>
      <c r="DW1841" s="1" t="s">
        <v>279</v>
      </c>
      <c r="DX1841" s="1" t="s">
        <v>234</v>
      </c>
      <c r="DZ1841" s="1" t="s">
        <v>766</v>
      </c>
      <c r="EA1841" s="1" t="s">
        <v>2099</v>
      </c>
      <c r="EC1841" s="1" t="s">
        <v>237</v>
      </c>
      <c r="EG1841" s="1" t="s">
        <v>598</v>
      </c>
      <c r="EL1841" s="1" t="s">
        <v>4975</v>
      </c>
      <c r="EM1841" s="1" t="s">
        <v>209</v>
      </c>
      <c r="EN1841" s="1" t="s">
        <v>207</v>
      </c>
      <c r="EQ1841" s="1" t="s">
        <v>238</v>
      </c>
      <c r="EU1841" s="1" t="s">
        <v>238</v>
      </c>
      <c r="EY1841" s="1" t="s">
        <v>238</v>
      </c>
      <c r="FC1841" s="1" t="s">
        <v>238</v>
      </c>
      <c r="FF1841" s="1" t="s">
        <v>239</v>
      </c>
      <c r="FG1841" s="1" t="s">
        <v>192</v>
      </c>
      <c r="FH1841" s="1" t="s">
        <v>192</v>
      </c>
      <c r="FJ1841" s="1" t="s">
        <v>313</v>
      </c>
      <c r="FK1841" s="1" t="s">
        <v>229</v>
      </c>
      <c r="FL1841" s="1" t="s">
        <v>17882</v>
      </c>
      <c r="FM1841" s="1">
        <v>14158.0</v>
      </c>
      <c r="FN1841" s="1" t="s">
        <v>17883</v>
      </c>
      <c r="FO1841" s="1" t="s">
        <v>17884</v>
      </c>
      <c r="FP1841" s="1">
        <v>126311.0</v>
      </c>
      <c r="FQ1841" s="1" t="s">
        <v>17885</v>
      </c>
      <c r="FU1841" s="1" t="s">
        <v>17886</v>
      </c>
      <c r="FV1841" s="1" t="s">
        <v>192</v>
      </c>
      <c r="FW1841" s="1" t="s">
        <v>290</v>
      </c>
      <c r="FX1841" s="1" t="s">
        <v>238</v>
      </c>
      <c r="FZ1841" s="1" t="s">
        <v>229</v>
      </c>
      <c r="GA1841" s="1" t="s">
        <v>291</v>
      </c>
      <c r="GB1841" s="2">
        <v>41996.0</v>
      </c>
    </row>
    <row r="1842">
      <c r="A1842" s="1">
        <v>139900.0</v>
      </c>
      <c r="B1842" s="1" t="s">
        <v>185</v>
      </c>
      <c r="C1842" s="1" t="str">
        <f>"08712197"</f>
        <v>08712197</v>
      </c>
      <c r="D1842" s="1" t="s">
        <v>186</v>
      </c>
      <c r="F1842" s="1" t="str">
        <f>"8071"</f>
        <v>8071</v>
      </c>
      <c r="G1842" s="2">
        <v>41877.0</v>
      </c>
      <c r="H1842" s="1">
        <v>144900.0</v>
      </c>
      <c r="I1842" s="1">
        <v>42.0</v>
      </c>
      <c r="J1842" s="1">
        <v>139900.0</v>
      </c>
      <c r="K1842" s="2">
        <v>41918.0</v>
      </c>
      <c r="L1842" s="1">
        <v>42.0</v>
      </c>
      <c r="M1842" s="2">
        <v>41918.0</v>
      </c>
      <c r="N1842" s="1" t="s">
        <v>356</v>
      </c>
      <c r="O1842" s="2">
        <v>41996.0</v>
      </c>
      <c r="P1842" s="1">
        <v>184681.0</v>
      </c>
      <c r="Q1842" s="1">
        <v>84555.0</v>
      </c>
      <c r="R1842" s="1">
        <v>4.0</v>
      </c>
      <c r="S1842" s="1">
        <v>8453.0</v>
      </c>
      <c r="T1842" s="1" t="s">
        <v>6006</v>
      </c>
      <c r="U1842" s="1" t="s">
        <v>320</v>
      </c>
      <c r="V1842" s="1" t="s">
        <v>190</v>
      </c>
      <c r="W1842" s="1">
        <v>60620.0</v>
      </c>
      <c r="Y1842" s="1" t="s">
        <v>17887</v>
      </c>
      <c r="Z1842" s="1">
        <v>1938.0</v>
      </c>
      <c r="AA1842" s="1" t="s">
        <v>192</v>
      </c>
      <c r="AB1842" s="1" t="s">
        <v>193</v>
      </c>
      <c r="AD1842" s="1" t="s">
        <v>194</v>
      </c>
      <c r="AE1842" s="1" t="s">
        <v>195</v>
      </c>
      <c r="AF1842" s="1" t="s">
        <v>659</v>
      </c>
      <c r="AH1842" s="1" t="s">
        <v>17888</v>
      </c>
      <c r="AI1842" s="1">
        <v>0.0955</v>
      </c>
      <c r="AK1842" s="1">
        <v>8.0</v>
      </c>
      <c r="AL1842" s="1">
        <v>4.0</v>
      </c>
      <c r="AM1842" s="1">
        <v>2.0</v>
      </c>
      <c r="AN1842" s="1">
        <v>1.0</v>
      </c>
      <c r="AO1842" s="1" t="s">
        <v>229</v>
      </c>
      <c r="AQ1842" s="1" t="s">
        <v>198</v>
      </c>
      <c r="AR1842" s="1" t="s">
        <v>192</v>
      </c>
      <c r="AS1842" s="1" t="s">
        <v>828</v>
      </c>
      <c r="AU1842" s="1">
        <v>1.0</v>
      </c>
      <c r="AV1842" s="1" t="s">
        <v>200</v>
      </c>
      <c r="AW1842" s="1">
        <v>1835.01</v>
      </c>
      <c r="AX1842" s="1">
        <v>2013.0</v>
      </c>
      <c r="AY1842" s="1" t="s">
        <v>229</v>
      </c>
      <c r="AZ1842" s="1" t="s">
        <v>200</v>
      </c>
      <c r="BA1842" s="1" t="str">
        <f>"20323130440000"</f>
        <v>20323130440000</v>
      </c>
      <c r="BC1842" s="1">
        <v>2100.0</v>
      </c>
      <c r="BD1842" s="1">
        <v>139900.0</v>
      </c>
      <c r="BE1842" s="2">
        <v>41877.0</v>
      </c>
      <c r="BF1842" s="2" t="s">
        <v>17889</v>
      </c>
      <c r="BH1842" s="1">
        <v>0.0</v>
      </c>
      <c r="BK1842" s="1" t="s">
        <v>204</v>
      </c>
      <c r="BL1842" s="1" t="str">
        <f t="shared" ref="BL1842:BM1842" si="1217">"0"</f>
        <v>0</v>
      </c>
      <c r="BM1842" s="1" t="str">
        <f t="shared" si="1217"/>
        <v>0</v>
      </c>
      <c r="BN1842" s="1">
        <v>1300.0</v>
      </c>
      <c r="BO1842" s="1">
        <v>8453.0</v>
      </c>
      <c r="BQ1842" s="1">
        <v>299.0</v>
      </c>
      <c r="BR1842" s="1">
        <v>299.0</v>
      </c>
      <c r="BS1842" s="1">
        <v>299.0</v>
      </c>
      <c r="BU1842" s="1" t="s">
        <v>616</v>
      </c>
      <c r="BV1842" s="1" t="s">
        <v>206</v>
      </c>
      <c r="BW1842" s="1" t="s">
        <v>207</v>
      </c>
      <c r="BY1842" s="1" t="s">
        <v>477</v>
      </c>
      <c r="BZ1842" s="1" t="s">
        <v>209</v>
      </c>
      <c r="CA1842" s="1" t="s">
        <v>207</v>
      </c>
      <c r="CC1842" s="1" t="s">
        <v>392</v>
      </c>
      <c r="CD1842" s="1" t="s">
        <v>206</v>
      </c>
      <c r="CE1842" s="1" t="s">
        <v>207</v>
      </c>
      <c r="CG1842" s="1" t="s">
        <v>495</v>
      </c>
      <c r="CH1842" s="1" t="s">
        <v>209</v>
      </c>
      <c r="CI1842" s="1" t="s">
        <v>207</v>
      </c>
      <c r="CK1842" s="1" t="s">
        <v>1745</v>
      </c>
      <c r="CL1842" s="1" t="s">
        <v>209</v>
      </c>
      <c r="CM1842" s="1" t="s">
        <v>207</v>
      </c>
      <c r="CO1842" s="1" t="s">
        <v>363</v>
      </c>
      <c r="CP1842" s="1" t="s">
        <v>267</v>
      </c>
      <c r="CQ1842" s="1" t="s">
        <v>268</v>
      </c>
      <c r="CS1842" s="1" t="s">
        <v>332</v>
      </c>
      <c r="CT1842" s="1" t="s">
        <v>206</v>
      </c>
      <c r="CU1842" s="1" t="s">
        <v>207</v>
      </c>
      <c r="CX1842" s="1" t="s">
        <v>204</v>
      </c>
      <c r="DA1842" s="1" t="s">
        <v>200</v>
      </c>
      <c r="DC1842" s="1" t="s">
        <v>1399</v>
      </c>
      <c r="DE1842" s="1" t="s">
        <v>273</v>
      </c>
      <c r="DF1842" s="1" t="s">
        <v>219</v>
      </c>
      <c r="DG1842" s="1" t="s">
        <v>337</v>
      </c>
      <c r="DH1842" s="1" t="s">
        <v>365</v>
      </c>
      <c r="DJ1842" s="1" t="s">
        <v>222</v>
      </c>
      <c r="DL1842" s="1" t="s">
        <v>224</v>
      </c>
      <c r="DM1842" s="1" t="s">
        <v>229</v>
      </c>
      <c r="DN1842" s="1" t="s">
        <v>1486</v>
      </c>
      <c r="DQ1842" s="1" t="s">
        <v>228</v>
      </c>
      <c r="DR1842" s="1" t="s">
        <v>229</v>
      </c>
      <c r="DV1842" s="1" t="s">
        <v>450</v>
      </c>
      <c r="DW1842" s="1" t="s">
        <v>279</v>
      </c>
      <c r="DX1842" s="1" t="s">
        <v>309</v>
      </c>
      <c r="DY1842" s="1" t="s">
        <v>281</v>
      </c>
      <c r="DZ1842" s="1" t="s">
        <v>310</v>
      </c>
      <c r="EA1842" s="1" t="s">
        <v>3308</v>
      </c>
      <c r="EC1842" s="1" t="s">
        <v>237</v>
      </c>
      <c r="EE1842" s="1" t="s">
        <v>493</v>
      </c>
      <c r="EF1842" s="1" t="s">
        <v>834</v>
      </c>
      <c r="EG1842" s="1" t="s">
        <v>450</v>
      </c>
      <c r="EL1842" s="1" t="s">
        <v>1534</v>
      </c>
      <c r="EM1842" s="1" t="s">
        <v>267</v>
      </c>
      <c r="EN1842" s="1" t="s">
        <v>268</v>
      </c>
      <c r="EQ1842" s="1" t="s">
        <v>238</v>
      </c>
      <c r="EU1842" s="1" t="s">
        <v>238</v>
      </c>
      <c r="EY1842" s="1" t="s">
        <v>238</v>
      </c>
      <c r="FC1842" s="1" t="s">
        <v>238</v>
      </c>
      <c r="FF1842" s="1" t="s">
        <v>239</v>
      </c>
      <c r="FG1842" s="1" t="s">
        <v>192</v>
      </c>
      <c r="FH1842" s="1" t="s">
        <v>192</v>
      </c>
      <c r="FJ1842" s="1" t="s">
        <v>347</v>
      </c>
      <c r="FK1842" s="1" t="s">
        <v>229</v>
      </c>
      <c r="FL1842" s="1" t="s">
        <v>17890</v>
      </c>
      <c r="FM1842" s="1">
        <v>18960.0</v>
      </c>
      <c r="FN1842" s="1" t="s">
        <v>17891</v>
      </c>
      <c r="FO1842" s="1" t="s">
        <v>17892</v>
      </c>
      <c r="FP1842" s="1">
        <v>168060.0</v>
      </c>
      <c r="FQ1842" s="1" t="s">
        <v>17893</v>
      </c>
      <c r="FR1842" s="1">
        <v>153744.0</v>
      </c>
      <c r="FU1842" s="1" t="s">
        <v>17894</v>
      </c>
      <c r="FV1842" s="1" t="s">
        <v>192</v>
      </c>
      <c r="FW1842" s="1" t="s">
        <v>290</v>
      </c>
      <c r="FX1842" s="1" t="s">
        <v>655</v>
      </c>
      <c r="FZ1842" s="1" t="s">
        <v>229</v>
      </c>
      <c r="GA1842" s="1" t="s">
        <v>247</v>
      </c>
      <c r="GB1842" s="2">
        <v>41997.0</v>
      </c>
      <c r="GC1842" s="1" t="s">
        <v>17895</v>
      </c>
    </row>
    <row r="1843">
      <c r="A1843" s="1">
        <v>195000.0</v>
      </c>
      <c r="B1843" s="1" t="s">
        <v>185</v>
      </c>
      <c r="C1843" s="1" t="str">
        <f>"08710918"</f>
        <v>08710918</v>
      </c>
      <c r="D1843" s="1" t="s">
        <v>186</v>
      </c>
      <c r="F1843" s="1" t="str">
        <f>"8045"</f>
        <v>8045</v>
      </c>
      <c r="G1843" s="2">
        <v>41876.0</v>
      </c>
      <c r="H1843" s="1">
        <v>250000.0</v>
      </c>
      <c r="I1843" s="1">
        <v>109.0</v>
      </c>
      <c r="J1843" s="1">
        <v>250000.0</v>
      </c>
      <c r="K1843" s="2">
        <v>41983.0</v>
      </c>
      <c r="L1843" s="1">
        <v>109.0</v>
      </c>
      <c r="M1843" s="2">
        <v>41983.0</v>
      </c>
      <c r="N1843" s="1" t="s">
        <v>356</v>
      </c>
      <c r="O1843" s="2">
        <v>42124.0</v>
      </c>
      <c r="P1843" s="1">
        <v>105356.0</v>
      </c>
      <c r="Q1843" s="1">
        <v>18833.0</v>
      </c>
      <c r="S1843" s="1">
        <v>1133.0</v>
      </c>
      <c r="T1843" s="1" t="s">
        <v>4526</v>
      </c>
      <c r="U1843" s="1" t="s">
        <v>320</v>
      </c>
      <c r="V1843" s="1" t="s">
        <v>190</v>
      </c>
      <c r="W1843" s="1">
        <v>60619.0</v>
      </c>
      <c r="Y1843" s="1" t="s">
        <v>17896</v>
      </c>
      <c r="Z1843" s="1">
        <v>1995.0</v>
      </c>
      <c r="AA1843" s="1" t="s">
        <v>200</v>
      </c>
      <c r="AB1843" s="1" t="s">
        <v>467</v>
      </c>
      <c r="AC1843" s="1" t="s">
        <v>17897</v>
      </c>
      <c r="AD1843" s="1" t="s">
        <v>194</v>
      </c>
      <c r="AE1843" s="1" t="s">
        <v>195</v>
      </c>
      <c r="AF1843" s="1" t="s">
        <v>637</v>
      </c>
      <c r="AH1843" s="1" t="s">
        <v>13288</v>
      </c>
      <c r="AK1843" s="1">
        <v>8.0</v>
      </c>
      <c r="AL1843" s="1">
        <v>4.0</v>
      </c>
      <c r="AM1843" s="1">
        <v>3.0</v>
      </c>
      <c r="AN1843" s="1">
        <v>0.0</v>
      </c>
      <c r="AO1843" s="1" t="s">
        <v>198</v>
      </c>
      <c r="AP1843" s="1">
        <v>1.0</v>
      </c>
      <c r="AQ1843" s="1" t="s">
        <v>198</v>
      </c>
      <c r="AR1843" s="1" t="s">
        <v>200</v>
      </c>
      <c r="AS1843" s="1" t="s">
        <v>199</v>
      </c>
      <c r="AT1843" s="1">
        <v>2.0</v>
      </c>
      <c r="AV1843" s="1" t="s">
        <v>200</v>
      </c>
      <c r="AW1843" s="1">
        <v>4050.0</v>
      </c>
      <c r="AX1843" s="1">
        <v>2013.0</v>
      </c>
      <c r="AY1843" s="1" t="s">
        <v>387</v>
      </c>
      <c r="AZ1843" s="1" t="s">
        <v>192</v>
      </c>
      <c r="BA1843" s="1" t="str">
        <f>"20353211260000"</f>
        <v>20353211260000</v>
      </c>
      <c r="BB1843" s="1" t="s">
        <v>200</v>
      </c>
      <c r="BC1843" s="1">
        <v>3500.0</v>
      </c>
      <c r="BD1843" s="1">
        <v>195000.0</v>
      </c>
      <c r="BE1843" s="2">
        <v>41875.0</v>
      </c>
      <c r="BF1843" s="2" t="s">
        <v>17898</v>
      </c>
      <c r="BH1843" s="1">
        <v>240.0</v>
      </c>
      <c r="BK1843" s="1" t="s">
        <v>204</v>
      </c>
      <c r="BL1843" s="1" t="str">
        <f t="shared" ref="BL1843:BL1844" si="1218">"0"</f>
        <v>0</v>
      </c>
      <c r="BM1843" s="1" t="str">
        <f>"1100"</f>
        <v>1100</v>
      </c>
      <c r="BN1843" s="1">
        <v>0.0</v>
      </c>
      <c r="BO1843" s="1">
        <v>8300.0</v>
      </c>
      <c r="BQ1843" s="1">
        <v>299.0</v>
      </c>
      <c r="BR1843" s="1">
        <v>299.0</v>
      </c>
      <c r="BS1843" s="1">
        <v>299.0</v>
      </c>
      <c r="BU1843" s="1" t="s">
        <v>2130</v>
      </c>
      <c r="BV1843" s="1" t="s">
        <v>206</v>
      </c>
      <c r="BW1843" s="1" t="s">
        <v>210</v>
      </c>
      <c r="BX1843" s="1" t="s">
        <v>431</v>
      </c>
      <c r="BY1843" s="1" t="s">
        <v>330</v>
      </c>
      <c r="BZ1843" s="1" t="s">
        <v>209</v>
      </c>
      <c r="CA1843" s="1" t="s">
        <v>210</v>
      </c>
      <c r="CB1843" s="1" t="s">
        <v>431</v>
      </c>
      <c r="CC1843" s="1" t="s">
        <v>542</v>
      </c>
      <c r="CD1843" s="1" t="s">
        <v>206</v>
      </c>
      <c r="CE1843" s="1" t="s">
        <v>210</v>
      </c>
      <c r="CG1843" s="1" t="s">
        <v>363</v>
      </c>
      <c r="CH1843" s="1" t="s">
        <v>209</v>
      </c>
      <c r="CI1843" s="1" t="s">
        <v>210</v>
      </c>
      <c r="CJ1843" s="1" t="s">
        <v>431</v>
      </c>
      <c r="CK1843" s="1" t="s">
        <v>363</v>
      </c>
      <c r="CL1843" s="1" t="s">
        <v>209</v>
      </c>
      <c r="CM1843" s="1" t="s">
        <v>210</v>
      </c>
      <c r="CN1843" s="1" t="s">
        <v>431</v>
      </c>
      <c r="CO1843" s="1" t="s">
        <v>699</v>
      </c>
      <c r="CP1843" s="1" t="s">
        <v>206</v>
      </c>
      <c r="CQ1843" s="1" t="s">
        <v>210</v>
      </c>
      <c r="CR1843" s="1" t="s">
        <v>431</v>
      </c>
      <c r="CS1843" s="1" t="s">
        <v>1483</v>
      </c>
      <c r="CT1843" s="1" t="s">
        <v>206</v>
      </c>
      <c r="CU1843" s="1" t="s">
        <v>268</v>
      </c>
      <c r="CV1843" s="1" t="s">
        <v>431</v>
      </c>
      <c r="CW1843" s="1" t="s">
        <v>2130</v>
      </c>
      <c r="CX1843" s="1" t="s">
        <v>209</v>
      </c>
      <c r="CY1843" s="1" t="s">
        <v>210</v>
      </c>
      <c r="CZ1843" s="1" t="s">
        <v>431</v>
      </c>
      <c r="DA1843" s="1" t="s">
        <v>200</v>
      </c>
      <c r="DC1843" s="1" t="s">
        <v>678</v>
      </c>
      <c r="DD1843" s="1" t="s">
        <v>518</v>
      </c>
      <c r="DE1843" s="1" t="s">
        <v>273</v>
      </c>
      <c r="DF1843" s="1" t="s">
        <v>219</v>
      </c>
      <c r="DG1843" s="1" t="s">
        <v>17899</v>
      </c>
      <c r="DH1843" s="1" t="s">
        <v>307</v>
      </c>
      <c r="DI1843" s="1" t="s">
        <v>17900</v>
      </c>
      <c r="DJ1843" s="1" t="s">
        <v>1048</v>
      </c>
      <c r="DK1843" s="1" t="s">
        <v>223</v>
      </c>
      <c r="DL1843" s="1" t="s">
        <v>223</v>
      </c>
      <c r="DM1843" s="1" t="s">
        <v>1919</v>
      </c>
      <c r="DN1843" s="1" t="s">
        <v>399</v>
      </c>
      <c r="DP1843" s="1" t="s">
        <v>276</v>
      </c>
      <c r="DQ1843" s="1" t="s">
        <v>228</v>
      </c>
      <c r="DR1843" s="1" t="s">
        <v>17901</v>
      </c>
      <c r="DV1843" s="1" t="s">
        <v>2971</v>
      </c>
      <c r="DW1843" s="1" t="s">
        <v>934</v>
      </c>
      <c r="DX1843" s="1" t="s">
        <v>1287</v>
      </c>
      <c r="DY1843" s="1" t="s">
        <v>17902</v>
      </c>
      <c r="EA1843" s="1" t="s">
        <v>1027</v>
      </c>
      <c r="EB1843" s="1" t="s">
        <v>1639</v>
      </c>
      <c r="EC1843" s="1" t="s">
        <v>237</v>
      </c>
      <c r="EH1843" s="1" t="s">
        <v>2971</v>
      </c>
      <c r="EM1843" s="1" t="s">
        <v>238</v>
      </c>
      <c r="EP1843" s="1" t="s">
        <v>10225</v>
      </c>
      <c r="EQ1843" s="1" t="s">
        <v>209</v>
      </c>
      <c r="EU1843" s="1" t="s">
        <v>238</v>
      </c>
      <c r="EY1843" s="1" t="s">
        <v>238</v>
      </c>
      <c r="FC1843" s="1" t="s">
        <v>238</v>
      </c>
      <c r="FF1843" s="1" t="s">
        <v>239</v>
      </c>
      <c r="FG1843" s="1" t="s">
        <v>192</v>
      </c>
      <c r="FH1843" s="1" t="s">
        <v>192</v>
      </c>
      <c r="FJ1843" s="1" t="s">
        <v>4626</v>
      </c>
      <c r="FK1843" s="1" t="s">
        <v>1586</v>
      </c>
      <c r="FL1843" s="1" t="s">
        <v>771</v>
      </c>
      <c r="FM1843" s="1">
        <v>16636.0</v>
      </c>
      <c r="FN1843" s="1" t="s">
        <v>526</v>
      </c>
      <c r="FO1843" s="1" t="s">
        <v>17903</v>
      </c>
      <c r="FP1843" s="1">
        <v>121339.0</v>
      </c>
      <c r="FQ1843" s="1" t="s">
        <v>17904</v>
      </c>
      <c r="FU1843" s="1" t="s">
        <v>3313</v>
      </c>
      <c r="FV1843" s="1" t="s">
        <v>200</v>
      </c>
      <c r="FW1843" s="1" t="s">
        <v>17905</v>
      </c>
      <c r="FX1843" s="1" t="s">
        <v>1739</v>
      </c>
      <c r="FZ1843" s="1" t="s">
        <v>229</v>
      </c>
      <c r="GA1843" s="1" t="s">
        <v>291</v>
      </c>
      <c r="GB1843" s="2">
        <v>42124.0</v>
      </c>
      <c r="GC1843" s="1" t="s">
        <v>17906</v>
      </c>
    </row>
    <row r="1844">
      <c r="A1844" s="1">
        <v>10500.0</v>
      </c>
      <c r="B1844" s="1" t="s">
        <v>185</v>
      </c>
      <c r="C1844" s="1" t="str">
        <f>"08715523"</f>
        <v>08715523</v>
      </c>
      <c r="D1844" s="1" t="s">
        <v>186</v>
      </c>
      <c r="F1844" s="1" t="str">
        <f>"8053"</f>
        <v>8053</v>
      </c>
      <c r="G1844" s="2">
        <v>41882.0</v>
      </c>
      <c r="H1844" s="1">
        <v>27400.0</v>
      </c>
      <c r="I1844" s="1">
        <v>180.0</v>
      </c>
      <c r="J1844" s="1">
        <v>0.0</v>
      </c>
      <c r="K1844" s="2">
        <v>42060.0</v>
      </c>
      <c r="L1844" s="1">
        <v>180.0</v>
      </c>
      <c r="M1844" s="2">
        <v>42060.0</v>
      </c>
      <c r="N1844" s="1" t="s">
        <v>249</v>
      </c>
      <c r="O1844" s="2">
        <v>42061.0</v>
      </c>
      <c r="P1844" s="1">
        <v>99999.0</v>
      </c>
      <c r="Q1844" s="1" t="s">
        <v>947</v>
      </c>
      <c r="S1844" s="1">
        <v>301.0</v>
      </c>
      <c r="T1844" s="1" t="s">
        <v>17907</v>
      </c>
      <c r="U1844" s="1" t="s">
        <v>320</v>
      </c>
      <c r="V1844" s="1" t="s">
        <v>190</v>
      </c>
      <c r="W1844" s="1">
        <v>60628.0</v>
      </c>
      <c r="Y1844" s="1" t="s">
        <v>17908</v>
      </c>
      <c r="Z1844" s="1">
        <v>1948.0</v>
      </c>
      <c r="AA1844" s="1" t="s">
        <v>192</v>
      </c>
      <c r="AB1844" s="1" t="s">
        <v>193</v>
      </c>
      <c r="AD1844" s="1" t="s">
        <v>194</v>
      </c>
      <c r="AE1844" s="1" t="s">
        <v>195</v>
      </c>
      <c r="AF1844" s="1" t="s">
        <v>659</v>
      </c>
      <c r="AH1844" s="1" t="s">
        <v>8721</v>
      </c>
      <c r="AI1844" s="1">
        <v>0.1148</v>
      </c>
      <c r="AK1844" s="1">
        <v>7.0</v>
      </c>
      <c r="AL1844" s="1">
        <v>4.0</v>
      </c>
      <c r="AM1844" s="1">
        <v>1.0</v>
      </c>
      <c r="AN1844" s="1">
        <v>0.0</v>
      </c>
      <c r="AO1844" s="1" t="s">
        <v>229</v>
      </c>
      <c r="AQ1844" s="1" t="s">
        <v>229</v>
      </c>
      <c r="AR1844" s="1" t="s">
        <v>200</v>
      </c>
      <c r="AS1844" s="1" t="s">
        <v>199</v>
      </c>
      <c r="AT1844" s="1">
        <v>2.0</v>
      </c>
      <c r="AV1844" s="1" t="s">
        <v>200</v>
      </c>
      <c r="AW1844" s="1">
        <v>1914.0</v>
      </c>
      <c r="AX1844" s="1">
        <v>2012.0</v>
      </c>
      <c r="AZ1844" s="1" t="s">
        <v>545</v>
      </c>
      <c r="BA1844" s="1" t="str">
        <f>"25214090430000"</f>
        <v>25214090430000</v>
      </c>
      <c r="BC1844" s="1">
        <v>800.0</v>
      </c>
      <c r="BD1844" s="1">
        <v>10500.0</v>
      </c>
      <c r="BE1844" s="2">
        <v>41881.0</v>
      </c>
      <c r="BF1844" s="2" t="s">
        <v>17909</v>
      </c>
      <c r="BH1844" s="1">
        <v>0.0</v>
      </c>
      <c r="BK1844" s="1" t="s">
        <v>204</v>
      </c>
      <c r="BL1844" s="1" t="str">
        <f t="shared" si="1218"/>
        <v>0</v>
      </c>
      <c r="BM1844" s="1" t="str">
        <f>"0"</f>
        <v>0</v>
      </c>
      <c r="BN1844" s="1">
        <v>301.0</v>
      </c>
      <c r="BO1844" s="1">
        <v>116.0</v>
      </c>
      <c r="BQ1844" s="1">
        <v>299.0</v>
      </c>
      <c r="BR1844" s="1">
        <v>299.0</v>
      </c>
      <c r="BS1844" s="1">
        <v>299.0</v>
      </c>
      <c r="BU1844" s="1" t="s">
        <v>433</v>
      </c>
      <c r="BV1844" s="1" t="s">
        <v>206</v>
      </c>
      <c r="BY1844" s="1" t="s">
        <v>433</v>
      </c>
      <c r="BZ1844" s="1" t="s">
        <v>206</v>
      </c>
      <c r="CC1844" s="1" t="s">
        <v>542</v>
      </c>
      <c r="CD1844" s="1" t="s">
        <v>206</v>
      </c>
      <c r="CG1844" s="1" t="s">
        <v>495</v>
      </c>
      <c r="CH1844" s="1" t="s">
        <v>206</v>
      </c>
      <c r="CK1844" s="1" t="s">
        <v>495</v>
      </c>
      <c r="CL1844" s="1" t="s">
        <v>206</v>
      </c>
      <c r="CO1844" s="1" t="s">
        <v>269</v>
      </c>
      <c r="CP1844" s="1" t="s">
        <v>206</v>
      </c>
      <c r="CS1844" s="1" t="s">
        <v>363</v>
      </c>
      <c r="CT1844" s="1" t="s">
        <v>206</v>
      </c>
      <c r="CX1844" s="1" t="s">
        <v>204</v>
      </c>
      <c r="DA1844" s="1" t="s">
        <v>200</v>
      </c>
      <c r="DC1844" s="1" t="s">
        <v>702</v>
      </c>
      <c r="DE1844" s="1" t="s">
        <v>229</v>
      </c>
      <c r="DF1844" s="1" t="s">
        <v>619</v>
      </c>
      <c r="DH1844" s="1" t="s">
        <v>365</v>
      </c>
      <c r="DJ1844" s="1" t="s">
        <v>222</v>
      </c>
      <c r="DL1844" s="1" t="s">
        <v>229</v>
      </c>
      <c r="DM1844" s="1" t="s">
        <v>229</v>
      </c>
      <c r="DQ1844" s="1" t="s">
        <v>228</v>
      </c>
      <c r="DR1844" s="1" t="s">
        <v>229</v>
      </c>
      <c r="DV1844" s="1" t="s">
        <v>232</v>
      </c>
      <c r="DW1844" s="1" t="s">
        <v>279</v>
      </c>
      <c r="DX1844" s="1" t="s">
        <v>234</v>
      </c>
      <c r="EC1844" s="1" t="s">
        <v>685</v>
      </c>
      <c r="EM1844" s="1" t="s">
        <v>238</v>
      </c>
      <c r="EQ1844" s="1" t="s">
        <v>238</v>
      </c>
      <c r="EU1844" s="1" t="s">
        <v>238</v>
      </c>
      <c r="EY1844" s="1" t="s">
        <v>238</v>
      </c>
      <c r="FC1844" s="1" t="s">
        <v>238</v>
      </c>
      <c r="FF1844" s="1" t="s">
        <v>239</v>
      </c>
      <c r="FG1844" s="1" t="s">
        <v>192</v>
      </c>
      <c r="FH1844" s="1" t="s">
        <v>192</v>
      </c>
      <c r="FJ1844" s="1" t="s">
        <v>6372</v>
      </c>
      <c r="FK1844" s="1" t="s">
        <v>229</v>
      </c>
      <c r="FL1844" s="1" t="s">
        <v>4730</v>
      </c>
      <c r="FM1844" s="1">
        <v>18712.0</v>
      </c>
      <c r="FN1844" s="1" t="s">
        <v>4731</v>
      </c>
      <c r="FO1844" s="1" t="s">
        <v>4732</v>
      </c>
      <c r="FP1844" s="1">
        <v>113736.0</v>
      </c>
      <c r="FQ1844" s="1" t="s">
        <v>4731</v>
      </c>
      <c r="FU1844" s="1" t="s">
        <v>4733</v>
      </c>
      <c r="FV1844" s="1" t="s">
        <v>200</v>
      </c>
      <c r="FW1844" s="1" t="s">
        <v>290</v>
      </c>
      <c r="FX1844" s="1" t="s">
        <v>246</v>
      </c>
      <c r="FZ1844" s="1" t="s">
        <v>229</v>
      </c>
      <c r="GA1844" s="1" t="s">
        <v>291</v>
      </c>
      <c r="GB1844" s="2">
        <v>42062.0</v>
      </c>
      <c r="GC1844" s="1" t="s">
        <v>17910</v>
      </c>
    </row>
    <row r="1845">
      <c r="A1845" s="1">
        <v>265000.0</v>
      </c>
      <c r="B1845" s="1" t="s">
        <v>185</v>
      </c>
      <c r="C1845" s="1" t="str">
        <f>"08713177"</f>
        <v>08713177</v>
      </c>
      <c r="D1845" s="1" t="s">
        <v>186</v>
      </c>
      <c r="F1845" s="1" t="str">
        <f>"560"</f>
        <v>560</v>
      </c>
      <c r="G1845" s="2">
        <v>41879.0</v>
      </c>
      <c r="H1845" s="1">
        <v>289900.0</v>
      </c>
      <c r="I1845" s="1">
        <v>673.0</v>
      </c>
      <c r="J1845" s="1">
        <v>269900.0</v>
      </c>
      <c r="K1845" s="2">
        <v>42060.0</v>
      </c>
      <c r="L1845" s="1">
        <v>182.0</v>
      </c>
      <c r="M1845" s="2">
        <v>42060.0</v>
      </c>
      <c r="N1845" s="1" t="s">
        <v>187</v>
      </c>
      <c r="O1845" s="2">
        <v>42094.0</v>
      </c>
      <c r="P1845" s="1">
        <v>314000.0</v>
      </c>
      <c r="Q1845" s="1">
        <v>31400.0</v>
      </c>
      <c r="R1845" s="1">
        <v>2500.0</v>
      </c>
      <c r="S1845" s="1">
        <v>27.0</v>
      </c>
      <c r="T1845" s="1" t="s">
        <v>6299</v>
      </c>
      <c r="U1845" s="1" t="s">
        <v>569</v>
      </c>
      <c r="V1845" s="1" t="s">
        <v>845</v>
      </c>
      <c r="W1845" s="1">
        <v>60560.0</v>
      </c>
      <c r="Y1845" s="1" t="s">
        <v>17911</v>
      </c>
      <c r="Z1845" s="1">
        <v>2004.0</v>
      </c>
      <c r="AA1845" s="1" t="s">
        <v>200</v>
      </c>
      <c r="AB1845" s="1" t="s">
        <v>193</v>
      </c>
      <c r="AC1845" s="1" t="s">
        <v>17912</v>
      </c>
      <c r="AD1845" s="1" t="s">
        <v>1089</v>
      </c>
      <c r="AE1845" s="1" t="s">
        <v>849</v>
      </c>
      <c r="AF1845" s="1" t="s">
        <v>2153</v>
      </c>
      <c r="AH1845" s="1" t="s">
        <v>17913</v>
      </c>
      <c r="AI1845" s="1">
        <v>1.023</v>
      </c>
      <c r="AK1845" s="1">
        <v>10.0</v>
      </c>
      <c r="AL1845" s="1">
        <v>3.0</v>
      </c>
      <c r="AM1845" s="1">
        <v>3.0</v>
      </c>
      <c r="AN1845" s="1">
        <v>0.0</v>
      </c>
      <c r="AO1845" s="1" t="s">
        <v>198</v>
      </c>
      <c r="AP1845" s="1">
        <v>2.0</v>
      </c>
      <c r="AQ1845" s="1" t="s">
        <v>198</v>
      </c>
      <c r="AR1845" s="1" t="s">
        <v>192</v>
      </c>
      <c r="AS1845" s="1" t="s">
        <v>199</v>
      </c>
      <c r="AT1845" s="1">
        <v>3.0</v>
      </c>
      <c r="AV1845" s="1" t="s">
        <v>200</v>
      </c>
      <c r="AW1845" s="1">
        <v>6920.0</v>
      </c>
      <c r="AX1845" s="1">
        <v>2013.0</v>
      </c>
      <c r="AY1845" s="1" t="s">
        <v>1179</v>
      </c>
      <c r="AZ1845" s="1" t="s">
        <v>200</v>
      </c>
      <c r="BA1845" s="1" t="str">
        <f>"0507176007"</f>
        <v>0507176007</v>
      </c>
      <c r="BC1845" s="1">
        <v>2000.0</v>
      </c>
      <c r="BD1845" s="1">
        <v>265000.0</v>
      </c>
      <c r="BE1845" s="2">
        <v>41879.0</v>
      </c>
      <c r="BF1845" s="2" t="s">
        <v>17914</v>
      </c>
      <c r="BH1845" s="1">
        <v>0.0</v>
      </c>
      <c r="BK1845" s="1" t="s">
        <v>204</v>
      </c>
      <c r="BL1845" s="1" t="str">
        <f t="shared" ref="BL1845:BM1845" si="1219">""</f>
        <v/>
      </c>
      <c r="BM1845" s="1" t="str">
        <f t="shared" si="1219"/>
        <v/>
      </c>
      <c r="BQ1845" s="1">
        <v>115.0</v>
      </c>
      <c r="BR1845" s="1">
        <v>115.0</v>
      </c>
      <c r="BS1845" s="1">
        <v>115.0</v>
      </c>
      <c r="BU1845" s="1" t="s">
        <v>2800</v>
      </c>
      <c r="BV1845" s="1" t="s">
        <v>206</v>
      </c>
      <c r="BW1845" s="1" t="s">
        <v>207</v>
      </c>
      <c r="BX1845" s="1" t="s">
        <v>431</v>
      </c>
      <c r="BY1845" s="1" t="s">
        <v>329</v>
      </c>
      <c r="BZ1845" s="1" t="s">
        <v>206</v>
      </c>
      <c r="CA1845" s="1" t="s">
        <v>210</v>
      </c>
      <c r="CB1845" s="1" t="s">
        <v>431</v>
      </c>
      <c r="CC1845" s="1" t="s">
        <v>265</v>
      </c>
      <c r="CD1845" s="1" t="s">
        <v>206</v>
      </c>
      <c r="CE1845" s="1" t="s">
        <v>207</v>
      </c>
      <c r="CF1845" s="1" t="s">
        <v>431</v>
      </c>
      <c r="CG1845" s="1" t="s">
        <v>264</v>
      </c>
      <c r="CH1845" s="1" t="s">
        <v>206</v>
      </c>
      <c r="CI1845" s="1" t="s">
        <v>210</v>
      </c>
      <c r="CJ1845" s="1" t="s">
        <v>431</v>
      </c>
      <c r="CK1845" s="1" t="s">
        <v>269</v>
      </c>
      <c r="CL1845" s="1" t="s">
        <v>206</v>
      </c>
      <c r="CM1845" s="1" t="s">
        <v>210</v>
      </c>
      <c r="CN1845" s="1" t="s">
        <v>431</v>
      </c>
      <c r="CO1845" s="1" t="s">
        <v>699</v>
      </c>
      <c r="CP1845" s="1" t="s">
        <v>42</v>
      </c>
      <c r="CQ1845" s="1" t="s">
        <v>210</v>
      </c>
      <c r="CS1845" s="1" t="s">
        <v>584</v>
      </c>
      <c r="CT1845" s="1" t="s">
        <v>206</v>
      </c>
      <c r="CU1845" s="1" t="s">
        <v>207</v>
      </c>
      <c r="CV1845" s="1" t="s">
        <v>229</v>
      </c>
      <c r="CW1845" s="1" t="s">
        <v>4877</v>
      </c>
      <c r="CX1845" s="1" t="s">
        <v>42</v>
      </c>
      <c r="CY1845" s="1" t="s">
        <v>210</v>
      </c>
      <c r="DA1845" s="1" t="s">
        <v>200</v>
      </c>
      <c r="DC1845" s="1" t="s">
        <v>335</v>
      </c>
      <c r="DD1845" s="1" t="s">
        <v>11948</v>
      </c>
      <c r="DE1845" s="1" t="s">
        <v>273</v>
      </c>
      <c r="DF1845" s="1" t="s">
        <v>219</v>
      </c>
      <c r="DG1845" s="1" t="s">
        <v>11277</v>
      </c>
      <c r="DH1845" s="1" t="s">
        <v>856</v>
      </c>
      <c r="DI1845" s="1" t="s">
        <v>366</v>
      </c>
      <c r="DJ1845" s="1" t="s">
        <v>857</v>
      </c>
      <c r="DL1845" s="1" t="s">
        <v>224</v>
      </c>
      <c r="DM1845" s="1" t="s">
        <v>338</v>
      </c>
      <c r="DN1845" s="1" t="s">
        <v>439</v>
      </c>
      <c r="DO1845" s="1" t="s">
        <v>1208</v>
      </c>
      <c r="DP1845" s="1" t="s">
        <v>340</v>
      </c>
      <c r="DQ1845" s="1" t="s">
        <v>931</v>
      </c>
      <c r="DR1845" s="1" t="s">
        <v>229</v>
      </c>
      <c r="DS1845" s="1" t="s">
        <v>368</v>
      </c>
      <c r="DU1845" s="1" t="s">
        <v>17915</v>
      </c>
      <c r="DV1845" s="1" t="s">
        <v>17916</v>
      </c>
      <c r="DW1845" s="1" t="s">
        <v>17917</v>
      </c>
      <c r="DX1845" s="1" t="s">
        <v>234</v>
      </c>
      <c r="DY1845" s="1" t="s">
        <v>9915</v>
      </c>
      <c r="DZ1845" s="1" t="s">
        <v>17918</v>
      </c>
      <c r="EA1845" s="1" t="s">
        <v>683</v>
      </c>
      <c r="EB1845" s="1" t="s">
        <v>17919</v>
      </c>
      <c r="EC1845" s="1" t="s">
        <v>685</v>
      </c>
      <c r="ED1845" s="1" t="s">
        <v>407</v>
      </c>
      <c r="EG1845" s="1" t="s">
        <v>494</v>
      </c>
      <c r="EH1845" s="1" t="s">
        <v>1102</v>
      </c>
      <c r="EI1845" s="1" t="s">
        <v>557</v>
      </c>
      <c r="EL1845" s="1" t="s">
        <v>212</v>
      </c>
      <c r="EM1845" s="1" t="s">
        <v>206</v>
      </c>
      <c r="EN1845" s="1" t="s">
        <v>207</v>
      </c>
      <c r="EO1845" s="1" t="s">
        <v>431</v>
      </c>
      <c r="EP1845" s="1" t="s">
        <v>783</v>
      </c>
      <c r="EQ1845" s="1" t="s">
        <v>206</v>
      </c>
      <c r="ER1845" s="1" t="s">
        <v>210</v>
      </c>
      <c r="ES1845" s="1" t="s">
        <v>431</v>
      </c>
      <c r="ET1845" s="1" t="s">
        <v>375</v>
      </c>
      <c r="EU1845" s="1" t="s">
        <v>42</v>
      </c>
      <c r="EY1845" s="1" t="s">
        <v>238</v>
      </c>
      <c r="FC1845" s="1" t="s">
        <v>238</v>
      </c>
      <c r="FF1845" s="1" t="s">
        <v>239</v>
      </c>
      <c r="FG1845" s="1" t="s">
        <v>192</v>
      </c>
      <c r="FH1845" s="1" t="s">
        <v>192</v>
      </c>
      <c r="FJ1845" s="1" t="s">
        <v>686</v>
      </c>
      <c r="FK1845" s="1" t="s">
        <v>229</v>
      </c>
      <c r="FL1845" s="1" t="s">
        <v>1007</v>
      </c>
      <c r="FM1845" s="1">
        <v>22588.0</v>
      </c>
      <c r="FN1845" s="1" t="s">
        <v>1321</v>
      </c>
      <c r="FO1845" s="1" t="s">
        <v>17920</v>
      </c>
      <c r="FP1845" s="1">
        <v>233903.0</v>
      </c>
      <c r="FQ1845" s="1" t="s">
        <v>17921</v>
      </c>
      <c r="FU1845" s="1" t="s">
        <v>17922</v>
      </c>
      <c r="FV1845" s="1" t="s">
        <v>200</v>
      </c>
      <c r="FW1845" s="1" t="s">
        <v>1293</v>
      </c>
      <c r="FZ1845" s="1" t="s">
        <v>229</v>
      </c>
      <c r="GA1845" s="1" t="s">
        <v>291</v>
      </c>
      <c r="GB1845" s="2">
        <v>42094.0</v>
      </c>
      <c r="GC1845" s="1" t="s">
        <v>17923</v>
      </c>
    </row>
    <row r="1846">
      <c r="A1846" s="1">
        <v>65178.0</v>
      </c>
      <c r="B1846" s="1" t="s">
        <v>185</v>
      </c>
      <c r="C1846" s="1" t="str">
        <f>"08712790"</f>
        <v>08712790</v>
      </c>
      <c r="D1846" s="1" t="s">
        <v>186</v>
      </c>
      <c r="F1846" s="1" t="str">
        <f>"8073"</f>
        <v>8073</v>
      </c>
      <c r="G1846" s="2">
        <v>41878.0</v>
      </c>
      <c r="H1846" s="1">
        <v>72000.0</v>
      </c>
      <c r="I1846" s="1">
        <v>97.0</v>
      </c>
      <c r="J1846" s="1">
        <v>72000.0</v>
      </c>
      <c r="K1846" s="2">
        <v>41974.0</v>
      </c>
      <c r="L1846" s="1">
        <v>97.0</v>
      </c>
      <c r="M1846" s="2">
        <v>41974.0</v>
      </c>
      <c r="N1846" s="1" t="s">
        <v>249</v>
      </c>
      <c r="O1846" s="2">
        <v>41995.0</v>
      </c>
      <c r="P1846" s="1">
        <v>226116.0</v>
      </c>
      <c r="Q1846" s="1">
        <v>25888.0</v>
      </c>
      <c r="S1846" s="1">
        <v>9433.0</v>
      </c>
      <c r="T1846" s="1" t="s">
        <v>12142</v>
      </c>
      <c r="U1846" s="1" t="s">
        <v>320</v>
      </c>
      <c r="V1846" s="1" t="s">
        <v>190</v>
      </c>
      <c r="W1846" s="1">
        <v>60620.0</v>
      </c>
      <c r="Y1846" s="1" t="s">
        <v>17924</v>
      </c>
      <c r="Z1846" s="1">
        <v>1923.0</v>
      </c>
      <c r="AA1846" s="1" t="s">
        <v>192</v>
      </c>
      <c r="AB1846" s="1" t="s">
        <v>193</v>
      </c>
      <c r="AD1846" s="1" t="s">
        <v>194</v>
      </c>
      <c r="AE1846" s="1" t="s">
        <v>195</v>
      </c>
      <c r="AF1846" s="1" t="s">
        <v>659</v>
      </c>
      <c r="AG1846" s="1" t="s">
        <v>778</v>
      </c>
      <c r="AH1846" s="1">
        <v>4743.0</v>
      </c>
      <c r="AK1846" s="1">
        <v>7.0</v>
      </c>
      <c r="AL1846" s="1">
        <v>4.0</v>
      </c>
      <c r="AM1846" s="1">
        <v>2.0</v>
      </c>
      <c r="AN1846" s="1">
        <v>0.0</v>
      </c>
      <c r="AO1846" s="1" t="s">
        <v>229</v>
      </c>
      <c r="AQ1846" s="1" t="s">
        <v>198</v>
      </c>
      <c r="AR1846" s="1" t="s">
        <v>200</v>
      </c>
      <c r="AS1846" s="1" t="s">
        <v>229</v>
      </c>
      <c r="AV1846" s="1" t="s">
        <v>200</v>
      </c>
      <c r="AW1846" s="1">
        <v>1869.0</v>
      </c>
      <c r="AX1846" s="1">
        <v>2012.0</v>
      </c>
      <c r="AY1846" s="1" t="s">
        <v>3108</v>
      </c>
      <c r="AZ1846" s="1" t="s">
        <v>200</v>
      </c>
      <c r="BA1846" s="1" t="str">
        <f>"25054210190000"</f>
        <v>25054210190000</v>
      </c>
      <c r="BB1846" s="1" t="s">
        <v>200</v>
      </c>
      <c r="BC1846" s="1">
        <v>1866.0</v>
      </c>
      <c r="BD1846" s="1">
        <v>65178.0</v>
      </c>
      <c r="BE1846" s="2">
        <v>41878.0</v>
      </c>
      <c r="BF1846" s="1" t="s">
        <v>17925</v>
      </c>
      <c r="BH1846" s="1">
        <v>0.0</v>
      </c>
      <c r="BK1846" s="1" t="s">
        <v>204</v>
      </c>
      <c r="BL1846" s="1" t="str">
        <f t="shared" ref="BL1846:BM1846" si="1220">"0"</f>
        <v>0</v>
      </c>
      <c r="BM1846" s="1" t="str">
        <f t="shared" si="1220"/>
        <v>0</v>
      </c>
      <c r="BN1846" s="1">
        <v>1200.0</v>
      </c>
      <c r="BO1846" s="1">
        <v>9433.0</v>
      </c>
      <c r="BQ1846" s="1">
        <v>299.0</v>
      </c>
      <c r="BR1846" s="1">
        <v>299.0</v>
      </c>
      <c r="BS1846" s="1">
        <v>299.0</v>
      </c>
      <c r="BU1846" s="1" t="s">
        <v>784</v>
      </c>
      <c r="BV1846" s="1" t="s">
        <v>206</v>
      </c>
      <c r="BW1846" s="1" t="s">
        <v>210</v>
      </c>
      <c r="BX1846" s="1" t="s">
        <v>229</v>
      </c>
      <c r="BY1846" s="1" t="s">
        <v>361</v>
      </c>
      <c r="BZ1846" s="1" t="s">
        <v>206</v>
      </c>
      <c r="CA1846" s="1" t="s">
        <v>210</v>
      </c>
      <c r="CB1846" s="1" t="s">
        <v>229</v>
      </c>
      <c r="CC1846" s="1" t="s">
        <v>361</v>
      </c>
      <c r="CD1846" s="1" t="s">
        <v>206</v>
      </c>
      <c r="CE1846" s="1" t="s">
        <v>210</v>
      </c>
      <c r="CF1846" s="1" t="s">
        <v>229</v>
      </c>
      <c r="CG1846" s="1" t="s">
        <v>433</v>
      </c>
      <c r="CH1846" s="1" t="s">
        <v>206</v>
      </c>
      <c r="CI1846" s="1" t="s">
        <v>617</v>
      </c>
      <c r="CJ1846" s="1" t="s">
        <v>229</v>
      </c>
      <c r="CK1846" s="1" t="s">
        <v>363</v>
      </c>
      <c r="CL1846" s="1" t="s">
        <v>206</v>
      </c>
      <c r="CM1846" s="1" t="s">
        <v>588</v>
      </c>
      <c r="CN1846" s="1" t="s">
        <v>229</v>
      </c>
      <c r="CO1846" s="1" t="s">
        <v>1426</v>
      </c>
      <c r="CP1846" s="1" t="s">
        <v>209</v>
      </c>
      <c r="CQ1846" s="1" t="s">
        <v>617</v>
      </c>
      <c r="CR1846" s="1" t="s">
        <v>229</v>
      </c>
      <c r="CS1846" s="1" t="s">
        <v>758</v>
      </c>
      <c r="CT1846" s="1" t="s">
        <v>206</v>
      </c>
      <c r="CU1846" s="1" t="s">
        <v>617</v>
      </c>
      <c r="CV1846" s="1" t="s">
        <v>229</v>
      </c>
      <c r="CX1846" s="1" t="s">
        <v>204</v>
      </c>
      <c r="DA1846" s="1" t="s">
        <v>200</v>
      </c>
      <c r="DC1846" s="1" t="s">
        <v>216</v>
      </c>
      <c r="DE1846" s="1" t="s">
        <v>229</v>
      </c>
      <c r="DF1846" s="1" t="s">
        <v>10756</v>
      </c>
      <c r="DH1846" s="1" t="s">
        <v>307</v>
      </c>
      <c r="DJ1846" s="1" t="s">
        <v>222</v>
      </c>
      <c r="DK1846" s="1" t="s">
        <v>9115</v>
      </c>
      <c r="DL1846" s="1" t="s">
        <v>223</v>
      </c>
      <c r="DM1846" s="1" t="s">
        <v>229</v>
      </c>
      <c r="DQ1846" s="1" t="s">
        <v>228</v>
      </c>
      <c r="DR1846" s="1" t="s">
        <v>229</v>
      </c>
      <c r="DS1846" s="1" t="s">
        <v>3008</v>
      </c>
      <c r="DV1846" s="1" t="s">
        <v>232</v>
      </c>
      <c r="DW1846" s="1" t="s">
        <v>279</v>
      </c>
      <c r="DX1846" s="1" t="s">
        <v>234</v>
      </c>
      <c r="EA1846" s="1" t="s">
        <v>644</v>
      </c>
      <c r="EC1846" s="1" t="s">
        <v>685</v>
      </c>
      <c r="EM1846" s="1" t="s">
        <v>238</v>
      </c>
      <c r="EQ1846" s="1" t="s">
        <v>238</v>
      </c>
      <c r="EU1846" s="1" t="s">
        <v>238</v>
      </c>
      <c r="EY1846" s="1" t="s">
        <v>238</v>
      </c>
      <c r="FC1846" s="1" t="s">
        <v>238</v>
      </c>
      <c r="FF1846" s="1" t="s">
        <v>239</v>
      </c>
      <c r="FG1846" s="1" t="s">
        <v>192</v>
      </c>
      <c r="FH1846" s="1" t="s">
        <v>192</v>
      </c>
      <c r="FJ1846" s="1" t="s">
        <v>2156</v>
      </c>
      <c r="FK1846" s="1" t="s">
        <v>229</v>
      </c>
      <c r="FL1846" s="1" t="s">
        <v>10766</v>
      </c>
      <c r="FM1846" s="1">
        <v>13909.0</v>
      </c>
      <c r="FN1846" s="1" t="s">
        <v>10767</v>
      </c>
      <c r="FO1846" s="1" t="s">
        <v>10768</v>
      </c>
      <c r="FP1846" s="1">
        <v>126761.0</v>
      </c>
      <c r="FQ1846" s="1" t="s">
        <v>10767</v>
      </c>
      <c r="FU1846" s="1" t="s">
        <v>17926</v>
      </c>
      <c r="FV1846" s="1" t="s">
        <v>200</v>
      </c>
      <c r="FW1846" s="1" t="s">
        <v>290</v>
      </c>
      <c r="FX1846" s="1" t="s">
        <v>655</v>
      </c>
      <c r="FZ1846" s="1" t="s">
        <v>229</v>
      </c>
      <c r="GA1846" s="1" t="s">
        <v>291</v>
      </c>
      <c r="GB1846" s="2">
        <v>42000.0</v>
      </c>
      <c r="GC1846" s="1" t="s">
        <v>17927</v>
      </c>
    </row>
    <row r="1847">
      <c r="A1847" s="1">
        <v>250000.0</v>
      </c>
      <c r="B1847" s="1" t="s">
        <v>185</v>
      </c>
      <c r="C1847" s="1" t="str">
        <f>"08715150"</f>
        <v>08715150</v>
      </c>
      <c r="D1847" s="1" t="s">
        <v>186</v>
      </c>
      <c r="F1847" s="1" t="str">
        <f>"543"</f>
        <v>543</v>
      </c>
      <c r="G1847" s="2">
        <v>41881.0</v>
      </c>
      <c r="H1847" s="1">
        <v>289900.0</v>
      </c>
      <c r="I1847" s="1">
        <v>656.0</v>
      </c>
      <c r="J1847" s="1">
        <v>254900.0</v>
      </c>
      <c r="K1847" s="2">
        <v>42043.0</v>
      </c>
      <c r="L1847" s="1">
        <v>163.0</v>
      </c>
      <c r="M1847" s="2">
        <v>42043.0</v>
      </c>
      <c r="N1847" s="1" t="s">
        <v>187</v>
      </c>
      <c r="O1847" s="2">
        <v>42081.0</v>
      </c>
      <c r="P1847" s="1">
        <v>234230.0</v>
      </c>
      <c r="Q1847" s="1">
        <v>23156.0</v>
      </c>
      <c r="R1847" s="1">
        <v>1250.0</v>
      </c>
      <c r="S1847" s="1">
        <v>449.0</v>
      </c>
      <c r="T1847" s="1" t="s">
        <v>17928</v>
      </c>
      <c r="U1847" s="1" t="s">
        <v>982</v>
      </c>
      <c r="V1847" s="1" t="s">
        <v>1527</v>
      </c>
      <c r="W1847" s="1">
        <v>60543.0</v>
      </c>
      <c r="Y1847" s="1" t="s">
        <v>17929</v>
      </c>
      <c r="Z1847" s="1">
        <v>2008.0</v>
      </c>
      <c r="AA1847" s="1" t="s">
        <v>200</v>
      </c>
      <c r="AB1847" s="1" t="s">
        <v>193</v>
      </c>
      <c r="AC1847" s="1" t="s">
        <v>5769</v>
      </c>
      <c r="AD1847" s="1" t="s">
        <v>1529</v>
      </c>
      <c r="AE1847" s="1" t="s">
        <v>849</v>
      </c>
      <c r="AF1847" s="1" t="s">
        <v>1529</v>
      </c>
      <c r="AG1847" s="1" t="s">
        <v>17930</v>
      </c>
      <c r="AH1847" s="1" t="s">
        <v>17931</v>
      </c>
      <c r="AK1847" s="1">
        <v>9.0</v>
      </c>
      <c r="AL1847" s="1">
        <v>4.0</v>
      </c>
      <c r="AM1847" s="1">
        <v>2.0</v>
      </c>
      <c r="AN1847" s="1">
        <v>1.0</v>
      </c>
      <c r="AO1847" s="1" t="s">
        <v>198</v>
      </c>
      <c r="AP1847" s="1">
        <v>1.0</v>
      </c>
      <c r="AQ1847" s="1" t="s">
        <v>327</v>
      </c>
      <c r="AR1847" s="1" t="s">
        <v>192</v>
      </c>
      <c r="AS1847" s="1" t="s">
        <v>199</v>
      </c>
      <c r="AT1847" s="1">
        <v>2.0</v>
      </c>
      <c r="AV1847" s="1" t="s">
        <v>200</v>
      </c>
      <c r="AW1847" s="1">
        <v>9376.36</v>
      </c>
      <c r="AX1847" s="1">
        <v>2013.0</v>
      </c>
      <c r="AZ1847" s="1" t="s">
        <v>200</v>
      </c>
      <c r="BA1847" s="1" t="str">
        <f>"0311189014"</f>
        <v>0311189014</v>
      </c>
      <c r="BC1847" s="1">
        <v>2784.0</v>
      </c>
      <c r="BD1847" s="1">
        <v>250000.0</v>
      </c>
      <c r="BE1847" s="2">
        <v>41881.0</v>
      </c>
      <c r="BF1847" s="2" t="s">
        <v>17932</v>
      </c>
      <c r="BG1847" s="1" t="s">
        <v>4271</v>
      </c>
      <c r="BH1847" s="1">
        <v>18.0</v>
      </c>
      <c r="BI1847" s="1" t="s">
        <v>3647</v>
      </c>
      <c r="BJ1847" s="1" t="s">
        <v>2546</v>
      </c>
      <c r="BK1847" s="1" t="s">
        <v>474</v>
      </c>
      <c r="BL1847" s="1" t="str">
        <f t="shared" ref="BL1847:BM1847" si="1221">""</f>
        <v/>
      </c>
      <c r="BM1847" s="1" t="str">
        <f t="shared" si="1221"/>
        <v/>
      </c>
      <c r="BQ1847" s="1">
        <v>308.0</v>
      </c>
      <c r="BR1847" s="1">
        <v>308.0</v>
      </c>
      <c r="BS1847" s="1">
        <v>308.0</v>
      </c>
      <c r="BU1847" s="1" t="s">
        <v>433</v>
      </c>
      <c r="BV1847" s="1" t="s">
        <v>206</v>
      </c>
      <c r="BW1847" s="1" t="s">
        <v>210</v>
      </c>
      <c r="BX1847" s="1" t="s">
        <v>229</v>
      </c>
      <c r="BY1847" s="1" t="s">
        <v>213</v>
      </c>
      <c r="BZ1847" s="1" t="s">
        <v>209</v>
      </c>
      <c r="CA1847" s="1" t="s">
        <v>210</v>
      </c>
      <c r="CB1847" s="1" t="s">
        <v>229</v>
      </c>
      <c r="CC1847" s="1" t="s">
        <v>454</v>
      </c>
      <c r="CD1847" s="1" t="s">
        <v>206</v>
      </c>
      <c r="CE1847" s="1" t="s">
        <v>210</v>
      </c>
      <c r="CF1847" s="1" t="s">
        <v>229</v>
      </c>
      <c r="CG1847" s="1" t="s">
        <v>363</v>
      </c>
      <c r="CH1847" s="1" t="s">
        <v>209</v>
      </c>
      <c r="CI1847" s="1" t="s">
        <v>210</v>
      </c>
      <c r="CJ1847" s="1" t="s">
        <v>229</v>
      </c>
      <c r="CK1847" s="1" t="s">
        <v>264</v>
      </c>
      <c r="CL1847" s="1" t="s">
        <v>209</v>
      </c>
      <c r="CM1847" s="1" t="s">
        <v>210</v>
      </c>
      <c r="CN1847" s="1" t="s">
        <v>229</v>
      </c>
      <c r="CO1847" s="1" t="s">
        <v>264</v>
      </c>
      <c r="CP1847" s="1" t="s">
        <v>209</v>
      </c>
      <c r="CQ1847" s="1" t="s">
        <v>210</v>
      </c>
      <c r="CR1847" s="1" t="s">
        <v>229</v>
      </c>
      <c r="CS1847" s="1" t="s">
        <v>390</v>
      </c>
      <c r="CT1847" s="1" t="s">
        <v>206</v>
      </c>
      <c r="CU1847" s="1" t="s">
        <v>268</v>
      </c>
      <c r="CV1847" s="1" t="s">
        <v>229</v>
      </c>
      <c r="CW1847" s="1" t="s">
        <v>390</v>
      </c>
      <c r="CX1847" s="1" t="s">
        <v>206</v>
      </c>
      <c r="CY1847" s="1" t="s">
        <v>210</v>
      </c>
      <c r="CZ1847" s="1" t="s">
        <v>229</v>
      </c>
      <c r="DA1847" s="1" t="s">
        <v>200</v>
      </c>
      <c r="DC1847" s="1" t="s">
        <v>481</v>
      </c>
      <c r="DD1847" s="1" t="s">
        <v>5553</v>
      </c>
      <c r="DE1847" s="1" t="s">
        <v>229</v>
      </c>
      <c r="DF1847" s="1" t="s">
        <v>219</v>
      </c>
      <c r="DG1847" s="1" t="s">
        <v>17933</v>
      </c>
      <c r="DH1847" s="1" t="s">
        <v>220</v>
      </c>
      <c r="DI1847" s="1" t="s">
        <v>366</v>
      </c>
      <c r="DJ1847" s="1" t="s">
        <v>222</v>
      </c>
      <c r="DL1847" s="1" t="s">
        <v>484</v>
      </c>
      <c r="DM1847" s="1" t="s">
        <v>338</v>
      </c>
      <c r="DN1847" s="1" t="s">
        <v>485</v>
      </c>
      <c r="DP1847" s="1" t="s">
        <v>340</v>
      </c>
      <c r="DQ1847" s="1" t="s">
        <v>441</v>
      </c>
      <c r="DR1847" s="1" t="s">
        <v>1980</v>
      </c>
      <c r="DS1847" s="1" t="s">
        <v>230</v>
      </c>
      <c r="DV1847" s="1" t="s">
        <v>598</v>
      </c>
      <c r="DW1847" s="1" t="s">
        <v>444</v>
      </c>
      <c r="DX1847" s="1" t="s">
        <v>234</v>
      </c>
      <c r="DY1847" s="1" t="s">
        <v>17934</v>
      </c>
      <c r="DZ1847" s="1" t="s">
        <v>310</v>
      </c>
      <c r="EA1847" s="1" t="s">
        <v>3308</v>
      </c>
      <c r="EB1847" s="1" t="s">
        <v>937</v>
      </c>
      <c r="EC1847" s="1" t="s">
        <v>237</v>
      </c>
      <c r="ED1847" s="1" t="s">
        <v>407</v>
      </c>
      <c r="EH1847" s="1" t="s">
        <v>598</v>
      </c>
      <c r="EM1847" s="1" t="s">
        <v>238</v>
      </c>
      <c r="EP1847" s="1" t="s">
        <v>663</v>
      </c>
      <c r="EQ1847" s="1" t="s">
        <v>206</v>
      </c>
      <c r="ER1847" s="1" t="s">
        <v>210</v>
      </c>
      <c r="EU1847" s="1" t="s">
        <v>238</v>
      </c>
      <c r="EY1847" s="1" t="s">
        <v>238</v>
      </c>
      <c r="FC1847" s="1" t="s">
        <v>238</v>
      </c>
      <c r="FF1847" s="1" t="s">
        <v>239</v>
      </c>
      <c r="FG1847" s="1" t="s">
        <v>192</v>
      </c>
      <c r="FH1847" s="1" t="s">
        <v>192</v>
      </c>
      <c r="FJ1847" s="1" t="s">
        <v>17935</v>
      </c>
      <c r="FK1847" s="1" t="s">
        <v>229</v>
      </c>
      <c r="FL1847" s="1" t="s">
        <v>7473</v>
      </c>
      <c r="FM1847" s="1">
        <v>303.0</v>
      </c>
      <c r="FN1847" s="1" t="s">
        <v>7474</v>
      </c>
      <c r="FO1847" s="1" t="s">
        <v>7475</v>
      </c>
      <c r="FP1847" s="1">
        <v>8523.0</v>
      </c>
      <c r="FQ1847" s="1" t="s">
        <v>7476</v>
      </c>
      <c r="FU1847" s="1" t="s">
        <v>7477</v>
      </c>
      <c r="FV1847" s="1" t="s">
        <v>200</v>
      </c>
      <c r="FW1847" s="1" t="s">
        <v>290</v>
      </c>
      <c r="FZ1847" s="1" t="s">
        <v>229</v>
      </c>
      <c r="GA1847" s="1" t="s">
        <v>291</v>
      </c>
      <c r="GB1847" s="2">
        <v>42087.0</v>
      </c>
      <c r="GC1847" s="1" t="s">
        <v>17936</v>
      </c>
    </row>
    <row r="1848">
      <c r="A1848" s="1">
        <v>117000.0</v>
      </c>
      <c r="B1848" s="1" t="s">
        <v>185</v>
      </c>
      <c r="C1848" s="1" t="str">
        <f>"08716947"</f>
        <v>08716947</v>
      </c>
      <c r="D1848" s="1" t="s">
        <v>186</v>
      </c>
      <c r="F1848" s="1" t="str">
        <f>"145"</f>
        <v>145</v>
      </c>
      <c r="G1848" s="2">
        <v>41884.0</v>
      </c>
      <c r="H1848" s="1">
        <v>127500.0</v>
      </c>
      <c r="I1848" s="1">
        <v>161.0</v>
      </c>
      <c r="J1848" s="1">
        <v>125000.0</v>
      </c>
      <c r="K1848" s="2">
        <v>42044.0</v>
      </c>
      <c r="L1848" s="1">
        <v>161.0</v>
      </c>
      <c r="M1848" s="2">
        <v>42044.0</v>
      </c>
      <c r="N1848" s="1" t="s">
        <v>249</v>
      </c>
      <c r="O1848" s="2">
        <v>42054.0</v>
      </c>
      <c r="P1848" s="1">
        <v>930161.0</v>
      </c>
      <c r="Q1848" s="1">
        <v>93044.0</v>
      </c>
      <c r="S1848" s="1">
        <v>33616.0</v>
      </c>
      <c r="T1848" s="1" t="s">
        <v>17937</v>
      </c>
      <c r="U1848" s="1" t="s">
        <v>464</v>
      </c>
      <c r="V1848" s="1" t="s">
        <v>1782</v>
      </c>
      <c r="W1848" s="1">
        <v>60145.0</v>
      </c>
      <c r="Y1848" s="1" t="s">
        <v>17938</v>
      </c>
      <c r="Z1848" s="1">
        <v>1977.0</v>
      </c>
      <c r="AA1848" s="1" t="s">
        <v>192</v>
      </c>
      <c r="AB1848" s="1" t="s">
        <v>193</v>
      </c>
      <c r="AD1848" s="1" t="s">
        <v>1089</v>
      </c>
      <c r="AE1848" s="1" t="s">
        <v>613</v>
      </c>
      <c r="AF1848" s="1" t="s">
        <v>1785</v>
      </c>
      <c r="AH1848" s="1" t="s">
        <v>17939</v>
      </c>
      <c r="AI1848" s="1">
        <v>0.69</v>
      </c>
      <c r="AK1848" s="1">
        <v>8.0</v>
      </c>
      <c r="AL1848" s="1">
        <v>4.0</v>
      </c>
      <c r="AM1848" s="1">
        <v>2.0</v>
      </c>
      <c r="AN1848" s="1">
        <v>0.0</v>
      </c>
      <c r="AO1848" s="1" t="s">
        <v>229</v>
      </c>
      <c r="AQ1848" s="1" t="s">
        <v>229</v>
      </c>
      <c r="AR1848" s="1" t="s">
        <v>200</v>
      </c>
      <c r="AS1848" s="1" t="s">
        <v>199</v>
      </c>
      <c r="AT1848" s="1">
        <v>2.0</v>
      </c>
      <c r="AV1848" s="1" t="s">
        <v>200</v>
      </c>
      <c r="AW1848" s="1">
        <v>2578.72</v>
      </c>
      <c r="AX1848" s="1">
        <v>2013.0</v>
      </c>
      <c r="AY1848" s="1" t="s">
        <v>387</v>
      </c>
      <c r="AZ1848" s="1" t="s">
        <v>200</v>
      </c>
      <c r="BA1848" s="1" t="str">
        <f>"0215176001"</f>
        <v>0215176001</v>
      </c>
      <c r="BB1848" s="1" t="s">
        <v>200</v>
      </c>
      <c r="BC1848" s="1">
        <v>1824.0</v>
      </c>
      <c r="BD1848" s="1">
        <v>117000.0</v>
      </c>
      <c r="BE1848" s="2">
        <v>41884.0</v>
      </c>
      <c r="BF1848" s="2" t="s">
        <v>17940</v>
      </c>
      <c r="BH1848" s="1">
        <v>0.0</v>
      </c>
      <c r="BK1848" s="1" t="s">
        <v>204</v>
      </c>
      <c r="BL1848" s="1" t="str">
        <f t="shared" ref="BL1848:BM1848" si="1222">""</f>
        <v/>
      </c>
      <c r="BM1848" s="1" t="str">
        <f t="shared" si="1222"/>
        <v/>
      </c>
      <c r="BQ1848" s="1">
        <v>424.0</v>
      </c>
      <c r="BR1848" s="1">
        <v>424.0</v>
      </c>
      <c r="BS1848" s="1">
        <v>424.0</v>
      </c>
      <c r="BU1848" s="1" t="s">
        <v>211</v>
      </c>
      <c r="BV1848" s="1" t="s">
        <v>206</v>
      </c>
      <c r="BW1848" s="1" t="s">
        <v>210</v>
      </c>
      <c r="BX1848" s="1" t="s">
        <v>239</v>
      </c>
      <c r="BY1848" s="1" t="s">
        <v>363</v>
      </c>
      <c r="BZ1848" s="1" t="s">
        <v>206</v>
      </c>
      <c r="CA1848" s="1" t="s">
        <v>210</v>
      </c>
      <c r="CB1848" s="1" t="s">
        <v>239</v>
      </c>
      <c r="CC1848" s="1" t="s">
        <v>543</v>
      </c>
      <c r="CD1848" s="1" t="s">
        <v>206</v>
      </c>
      <c r="CE1848" s="1" t="s">
        <v>617</v>
      </c>
      <c r="CF1848" s="1" t="s">
        <v>239</v>
      </c>
      <c r="CG1848" s="1" t="s">
        <v>495</v>
      </c>
      <c r="CH1848" s="1" t="s">
        <v>206</v>
      </c>
      <c r="CI1848" s="1" t="s">
        <v>210</v>
      </c>
      <c r="CJ1848" s="1" t="s">
        <v>239</v>
      </c>
      <c r="CK1848" s="1" t="s">
        <v>332</v>
      </c>
      <c r="CL1848" s="1" t="s">
        <v>267</v>
      </c>
      <c r="CM1848" s="1" t="s">
        <v>210</v>
      </c>
      <c r="CN1848" s="1" t="s">
        <v>239</v>
      </c>
      <c r="CO1848" s="1" t="s">
        <v>699</v>
      </c>
      <c r="CP1848" s="1" t="s">
        <v>267</v>
      </c>
      <c r="CQ1848" s="1" t="s">
        <v>210</v>
      </c>
      <c r="CR1848" s="1" t="s">
        <v>239</v>
      </c>
      <c r="CS1848" s="1" t="s">
        <v>543</v>
      </c>
      <c r="CT1848" s="1" t="s">
        <v>206</v>
      </c>
      <c r="CU1848" s="1" t="s">
        <v>617</v>
      </c>
      <c r="CV1848" s="1" t="s">
        <v>229</v>
      </c>
      <c r="CW1848" s="1" t="s">
        <v>3475</v>
      </c>
      <c r="CX1848" s="1" t="s">
        <v>267</v>
      </c>
      <c r="CY1848" s="1" t="s">
        <v>210</v>
      </c>
      <c r="CZ1848" s="1" t="s">
        <v>239</v>
      </c>
      <c r="DA1848" s="1" t="s">
        <v>200</v>
      </c>
      <c r="DC1848" s="1" t="s">
        <v>395</v>
      </c>
      <c r="DE1848" s="1" t="s">
        <v>1139</v>
      </c>
      <c r="DF1848" s="1" t="s">
        <v>372</v>
      </c>
      <c r="DG1848" s="1" t="s">
        <v>1553</v>
      </c>
      <c r="DH1848" s="1" t="s">
        <v>856</v>
      </c>
      <c r="DI1848" s="1" t="s">
        <v>1463</v>
      </c>
      <c r="DJ1848" s="1" t="s">
        <v>857</v>
      </c>
      <c r="DL1848" s="1" t="s">
        <v>229</v>
      </c>
      <c r="DM1848" s="1" t="s">
        <v>338</v>
      </c>
      <c r="DO1848" s="1" t="s">
        <v>590</v>
      </c>
      <c r="DP1848" s="1" t="s">
        <v>340</v>
      </c>
      <c r="DQ1848" s="1" t="s">
        <v>1557</v>
      </c>
      <c r="DR1848" s="1" t="s">
        <v>229</v>
      </c>
      <c r="DV1848" s="1" t="s">
        <v>232</v>
      </c>
      <c r="DW1848" s="1" t="s">
        <v>233</v>
      </c>
      <c r="DX1848" s="1" t="s">
        <v>234</v>
      </c>
      <c r="DZ1848" s="1" t="s">
        <v>310</v>
      </c>
      <c r="EC1848" s="1" t="s">
        <v>311</v>
      </c>
      <c r="ED1848" s="1" t="s">
        <v>407</v>
      </c>
      <c r="EM1848" s="1" t="s">
        <v>238</v>
      </c>
      <c r="EQ1848" s="1" t="s">
        <v>238</v>
      </c>
      <c r="EU1848" s="1" t="s">
        <v>238</v>
      </c>
      <c r="EY1848" s="1" t="s">
        <v>238</v>
      </c>
      <c r="FC1848" s="1" t="s">
        <v>238</v>
      </c>
      <c r="FF1848" s="1" t="s">
        <v>239</v>
      </c>
      <c r="FG1848" s="1" t="s">
        <v>192</v>
      </c>
      <c r="FH1848" s="1" t="s">
        <v>192</v>
      </c>
      <c r="FJ1848" s="1" t="s">
        <v>3613</v>
      </c>
      <c r="FK1848" s="1" t="s">
        <v>229</v>
      </c>
      <c r="FL1848" s="1" t="s">
        <v>1007</v>
      </c>
      <c r="FM1848" s="1">
        <v>93044.0</v>
      </c>
      <c r="FN1848" s="1" t="s">
        <v>10130</v>
      </c>
      <c r="FO1848" s="1" t="s">
        <v>17941</v>
      </c>
      <c r="FP1848" s="1">
        <v>930168.0</v>
      </c>
      <c r="FU1848" s="1" t="s">
        <v>17942</v>
      </c>
      <c r="FV1848" s="1" t="s">
        <v>200</v>
      </c>
      <c r="FW1848" s="1" t="s">
        <v>17943</v>
      </c>
      <c r="FZ1848" s="1" t="s">
        <v>229</v>
      </c>
      <c r="GA1848" s="1" t="s">
        <v>291</v>
      </c>
      <c r="GB1848" s="2">
        <v>42055.0</v>
      </c>
      <c r="GC1848" s="1" t="s">
        <v>17944</v>
      </c>
    </row>
    <row r="1849">
      <c r="A1849" s="1">
        <v>620000.0</v>
      </c>
      <c r="B1849" s="1" t="s">
        <v>185</v>
      </c>
      <c r="C1849" s="1" t="str">
        <f>"08712903"</f>
        <v>08712903</v>
      </c>
      <c r="D1849" s="1" t="s">
        <v>186</v>
      </c>
      <c r="F1849" s="1" t="str">
        <f>"134"</f>
        <v>134</v>
      </c>
      <c r="G1849" s="2">
        <v>41878.0</v>
      </c>
      <c r="H1849" s="1">
        <v>799999.0</v>
      </c>
      <c r="I1849" s="1">
        <v>614.0</v>
      </c>
      <c r="J1849" s="1">
        <v>699999.0</v>
      </c>
      <c r="K1849" s="2">
        <v>41963.0</v>
      </c>
      <c r="L1849" s="1">
        <v>86.0</v>
      </c>
      <c r="M1849" s="2">
        <v>41963.0</v>
      </c>
      <c r="N1849" s="1" t="s">
        <v>249</v>
      </c>
      <c r="O1849" s="2">
        <v>41996.0</v>
      </c>
      <c r="P1849" s="1">
        <v>7810.0</v>
      </c>
      <c r="Q1849" s="1">
        <v>280.0</v>
      </c>
      <c r="S1849" s="1">
        <v>198.0</v>
      </c>
      <c r="T1849" s="1" t="s">
        <v>17945</v>
      </c>
      <c r="U1849" s="1" t="s">
        <v>1174</v>
      </c>
      <c r="V1849" s="1" t="s">
        <v>421</v>
      </c>
      <c r="W1849" s="1">
        <v>60134.0</v>
      </c>
      <c r="Y1849" s="1" t="s">
        <v>17946</v>
      </c>
      <c r="Z1849" s="1">
        <v>1996.0</v>
      </c>
      <c r="AA1849" s="1" t="s">
        <v>200</v>
      </c>
      <c r="AB1849" s="1" t="s">
        <v>193</v>
      </c>
      <c r="AD1849" s="1" t="s">
        <v>424</v>
      </c>
      <c r="AE1849" s="1" t="s">
        <v>325</v>
      </c>
      <c r="AF1849" s="1" t="s">
        <v>424</v>
      </c>
      <c r="AH1849" s="1" t="s">
        <v>17947</v>
      </c>
      <c r="AI1849" s="1">
        <v>0.56</v>
      </c>
      <c r="AK1849" s="1">
        <v>13.0</v>
      </c>
      <c r="AL1849" s="1">
        <v>4.0</v>
      </c>
      <c r="AM1849" s="1">
        <v>5.0</v>
      </c>
      <c r="AN1849" s="1">
        <v>1.0</v>
      </c>
      <c r="AO1849" s="1" t="s">
        <v>198</v>
      </c>
      <c r="AP1849" s="1">
        <v>2.0</v>
      </c>
      <c r="AQ1849" s="1" t="s">
        <v>472</v>
      </c>
      <c r="AR1849" s="1" t="s">
        <v>192</v>
      </c>
      <c r="AS1849" s="1" t="s">
        <v>199</v>
      </c>
      <c r="AT1849" s="1">
        <v>4.0</v>
      </c>
      <c r="AV1849" s="1" t="s">
        <v>200</v>
      </c>
      <c r="AW1849" s="1">
        <v>25729.46</v>
      </c>
      <c r="AX1849" s="1">
        <v>2013.0</v>
      </c>
      <c r="AY1849" s="1" t="s">
        <v>229</v>
      </c>
      <c r="AZ1849" s="1" t="s">
        <v>200</v>
      </c>
      <c r="BA1849" s="1" t="str">
        <f>"1210401039"</f>
        <v>1210401039</v>
      </c>
      <c r="BC1849" s="1">
        <v>4115.0</v>
      </c>
      <c r="BD1849" s="1">
        <v>620000.0</v>
      </c>
      <c r="BE1849" s="2">
        <v>41878.0</v>
      </c>
      <c r="BF1849" s="2" t="s">
        <v>17948</v>
      </c>
      <c r="BH1849" s="1">
        <v>0.0</v>
      </c>
      <c r="BK1849" s="1" t="s">
        <v>204</v>
      </c>
      <c r="BL1849" s="1" t="str">
        <f t="shared" ref="BL1849:BM1849" si="1223">"0"</f>
        <v>0</v>
      </c>
      <c r="BM1849" s="1" t="str">
        <f t="shared" si="1223"/>
        <v>0</v>
      </c>
      <c r="BN1849" s="1">
        <v>35.0</v>
      </c>
      <c r="BO1849" s="1">
        <v>0.0</v>
      </c>
      <c r="BQ1849" s="1">
        <v>304.0</v>
      </c>
      <c r="BR1849" s="1">
        <v>304.0</v>
      </c>
      <c r="BS1849" s="1">
        <v>304.0</v>
      </c>
      <c r="BU1849" s="1" t="s">
        <v>1064</v>
      </c>
      <c r="BV1849" s="1" t="s">
        <v>206</v>
      </c>
      <c r="BW1849" s="1" t="s">
        <v>207</v>
      </c>
      <c r="BY1849" s="1" t="s">
        <v>544</v>
      </c>
      <c r="BZ1849" s="1" t="s">
        <v>209</v>
      </c>
      <c r="CA1849" s="1" t="s">
        <v>207</v>
      </c>
      <c r="CC1849" s="1" t="s">
        <v>1064</v>
      </c>
      <c r="CD1849" s="1" t="s">
        <v>206</v>
      </c>
      <c r="CE1849" s="1" t="s">
        <v>207</v>
      </c>
      <c r="CG1849" s="1" t="s">
        <v>213</v>
      </c>
      <c r="CH1849" s="1" t="s">
        <v>209</v>
      </c>
      <c r="CI1849" s="1" t="s">
        <v>207</v>
      </c>
      <c r="CK1849" s="1" t="s">
        <v>478</v>
      </c>
      <c r="CL1849" s="1" t="s">
        <v>209</v>
      </c>
      <c r="CM1849" s="1" t="s">
        <v>207</v>
      </c>
      <c r="CO1849" s="1" t="s">
        <v>1183</v>
      </c>
      <c r="CP1849" s="1" t="s">
        <v>209</v>
      </c>
      <c r="CQ1849" s="1" t="s">
        <v>207</v>
      </c>
      <c r="CS1849" s="1" t="s">
        <v>664</v>
      </c>
      <c r="CT1849" s="1" t="s">
        <v>206</v>
      </c>
      <c r="CU1849" s="1" t="s">
        <v>207</v>
      </c>
      <c r="CW1849" s="1" t="s">
        <v>8668</v>
      </c>
      <c r="CX1849" s="1" t="s">
        <v>206</v>
      </c>
      <c r="CY1849" s="1" t="s">
        <v>207</v>
      </c>
      <c r="DA1849" s="1" t="s">
        <v>200</v>
      </c>
      <c r="DC1849" s="1" t="s">
        <v>678</v>
      </c>
      <c r="DD1849" s="1" t="s">
        <v>4023</v>
      </c>
      <c r="DE1849" s="1" t="s">
        <v>1810</v>
      </c>
      <c r="DF1849" s="1" t="s">
        <v>219</v>
      </c>
      <c r="DG1849" s="1" t="s">
        <v>1553</v>
      </c>
      <c r="DH1849" s="1" t="s">
        <v>220</v>
      </c>
      <c r="DI1849" s="1" t="s">
        <v>17949</v>
      </c>
      <c r="DJ1849" s="1" t="s">
        <v>222</v>
      </c>
      <c r="DK1849" s="1" t="s">
        <v>198</v>
      </c>
      <c r="DL1849" s="1" t="s">
        <v>224</v>
      </c>
      <c r="DM1849" s="1" t="s">
        <v>1022</v>
      </c>
      <c r="DN1849" s="1" t="s">
        <v>1659</v>
      </c>
      <c r="DO1849" s="1" t="s">
        <v>1556</v>
      </c>
      <c r="DP1849" s="1" t="s">
        <v>340</v>
      </c>
      <c r="DQ1849" s="1" t="s">
        <v>1557</v>
      </c>
      <c r="DR1849" s="1" t="s">
        <v>229</v>
      </c>
      <c r="DS1849" s="1" t="s">
        <v>230</v>
      </c>
      <c r="DU1849" s="1" t="s">
        <v>17950</v>
      </c>
      <c r="DV1849" s="1" t="s">
        <v>17951</v>
      </c>
      <c r="DW1849" s="1" t="s">
        <v>279</v>
      </c>
      <c r="DX1849" s="1" t="s">
        <v>280</v>
      </c>
      <c r="DY1849" s="1" t="s">
        <v>16298</v>
      </c>
      <c r="DZ1849" s="1" t="s">
        <v>12804</v>
      </c>
      <c r="EA1849" s="1" t="s">
        <v>3308</v>
      </c>
      <c r="EB1849" s="1" t="s">
        <v>767</v>
      </c>
      <c r="EC1849" s="1" t="s">
        <v>237</v>
      </c>
      <c r="ED1849" s="1" t="s">
        <v>1406</v>
      </c>
      <c r="EG1849" s="1" t="s">
        <v>494</v>
      </c>
      <c r="EH1849" s="1" t="s">
        <v>408</v>
      </c>
      <c r="EI1849" s="1" t="s">
        <v>449</v>
      </c>
      <c r="EK1849" s="1" t="s">
        <v>450</v>
      </c>
      <c r="EL1849" s="1" t="s">
        <v>584</v>
      </c>
      <c r="EM1849" s="1" t="s">
        <v>206</v>
      </c>
      <c r="EN1849" s="1" t="s">
        <v>207</v>
      </c>
      <c r="EP1849" s="1" t="s">
        <v>1044</v>
      </c>
      <c r="EQ1849" s="1" t="s">
        <v>206</v>
      </c>
      <c r="ER1849" s="1" t="s">
        <v>5126</v>
      </c>
      <c r="ET1849" s="1" t="s">
        <v>1584</v>
      </c>
      <c r="EU1849" s="1" t="s">
        <v>206</v>
      </c>
      <c r="EV1849" s="1" t="s">
        <v>207</v>
      </c>
      <c r="EY1849" s="1" t="s">
        <v>238</v>
      </c>
      <c r="FB1849" s="1" t="s">
        <v>17952</v>
      </c>
      <c r="FC1849" s="1" t="s">
        <v>267</v>
      </c>
      <c r="FD1849" s="1" t="s">
        <v>210</v>
      </c>
      <c r="FE1849" s="1" t="s">
        <v>476</v>
      </c>
      <c r="FF1849" s="1" t="s">
        <v>239</v>
      </c>
      <c r="FG1849" s="1" t="s">
        <v>192</v>
      </c>
      <c r="FH1849" s="1" t="s">
        <v>192</v>
      </c>
      <c r="FJ1849" s="1" t="s">
        <v>498</v>
      </c>
      <c r="FK1849" s="1" t="s">
        <v>229</v>
      </c>
      <c r="FL1849" s="1" t="s">
        <v>1358</v>
      </c>
      <c r="FM1849" s="1">
        <v>23591.0</v>
      </c>
      <c r="FN1849" s="1" t="s">
        <v>2134</v>
      </c>
      <c r="FO1849" s="1" t="s">
        <v>2135</v>
      </c>
      <c r="FP1849" s="1">
        <v>230500.0</v>
      </c>
      <c r="FQ1849" s="1" t="s">
        <v>2136</v>
      </c>
      <c r="FU1849" s="1" t="s">
        <v>17953</v>
      </c>
      <c r="FV1849" s="1" t="s">
        <v>200</v>
      </c>
      <c r="FW1849" s="1" t="s">
        <v>290</v>
      </c>
      <c r="FZ1849" s="1" t="s">
        <v>229</v>
      </c>
      <c r="GA1849" s="1" t="s">
        <v>291</v>
      </c>
      <c r="GB1849" s="2">
        <v>41996.0</v>
      </c>
    </row>
    <row r="1850">
      <c r="A1850" s="1">
        <v>189000.0</v>
      </c>
      <c r="B1850" s="1" t="s">
        <v>185</v>
      </c>
      <c r="C1850" s="1" t="str">
        <f>"08713875"</f>
        <v>08713875</v>
      </c>
      <c r="D1850" s="1" t="s">
        <v>186</v>
      </c>
      <c r="F1850" s="1" t="str">
        <f>"8044"</f>
        <v>8044</v>
      </c>
      <c r="G1850" s="2">
        <v>41879.0</v>
      </c>
      <c r="H1850" s="1">
        <v>204900.0</v>
      </c>
      <c r="I1850" s="1">
        <v>143.0</v>
      </c>
      <c r="J1850" s="1">
        <v>199900.0</v>
      </c>
      <c r="K1850" s="2">
        <v>41977.0</v>
      </c>
      <c r="L1850" s="1">
        <v>99.0</v>
      </c>
      <c r="M1850" s="2">
        <v>41977.0</v>
      </c>
      <c r="N1850" s="1" t="s">
        <v>634</v>
      </c>
      <c r="O1850" s="2">
        <v>42024.0</v>
      </c>
      <c r="P1850" s="1">
        <v>142735.0</v>
      </c>
      <c r="Q1850" s="1">
        <v>18426.0</v>
      </c>
      <c r="S1850" s="1">
        <v>8614.0</v>
      </c>
      <c r="T1850" s="1" t="s">
        <v>3995</v>
      </c>
      <c r="U1850" s="1" t="s">
        <v>189</v>
      </c>
      <c r="V1850" s="1" t="s">
        <v>190</v>
      </c>
      <c r="W1850" s="1">
        <v>60619.0</v>
      </c>
      <c r="Y1850" s="1" t="s">
        <v>17954</v>
      </c>
      <c r="Z1850" s="1">
        <v>1923.0</v>
      </c>
      <c r="AA1850" s="1" t="s">
        <v>192</v>
      </c>
      <c r="AB1850" s="1" t="s">
        <v>193</v>
      </c>
      <c r="AD1850" s="1" t="s">
        <v>194</v>
      </c>
      <c r="AE1850" s="1" t="s">
        <v>195</v>
      </c>
      <c r="AF1850" s="1" t="s">
        <v>637</v>
      </c>
      <c r="AH1850" s="1">
        <v>5040.0</v>
      </c>
      <c r="AI1850" s="1">
        <v>0.1157</v>
      </c>
      <c r="AK1850" s="1">
        <v>9.0</v>
      </c>
      <c r="AL1850" s="1">
        <v>3.0</v>
      </c>
      <c r="AM1850" s="1">
        <v>3.0</v>
      </c>
      <c r="AN1850" s="1">
        <v>0.0</v>
      </c>
      <c r="AO1850" s="1" t="s">
        <v>198</v>
      </c>
      <c r="AQ1850" s="1" t="s">
        <v>198</v>
      </c>
      <c r="AR1850" s="1" t="s">
        <v>192</v>
      </c>
      <c r="AS1850" s="1" t="s">
        <v>199</v>
      </c>
      <c r="AT1850" s="1">
        <v>2.0</v>
      </c>
      <c r="AV1850" s="1" t="s">
        <v>200</v>
      </c>
      <c r="AW1850" s="1">
        <v>1984.87</v>
      </c>
      <c r="AX1850" s="1">
        <v>2012.0</v>
      </c>
      <c r="AZ1850" s="1" t="s">
        <v>200</v>
      </c>
      <c r="BA1850" s="1" t="str">
        <f>"20344090200000"</f>
        <v>20344090200000</v>
      </c>
      <c r="BC1850" s="1">
        <v>2500.0</v>
      </c>
      <c r="BD1850" s="1">
        <v>189000.0</v>
      </c>
      <c r="BE1850" s="2">
        <v>41879.0</v>
      </c>
      <c r="BF1850" s="2" t="s">
        <v>17955</v>
      </c>
      <c r="BH1850" s="1">
        <v>0.0</v>
      </c>
      <c r="BK1850" s="1" t="s">
        <v>204</v>
      </c>
      <c r="BL1850" s="1" t="str">
        <f>"0"</f>
        <v>0</v>
      </c>
      <c r="BM1850" s="1" t="str">
        <f>"432"</f>
        <v>432</v>
      </c>
      <c r="BN1850" s="1">
        <v>0.0</v>
      </c>
      <c r="BO1850" s="1">
        <v>8614.0</v>
      </c>
      <c r="BQ1850" s="1">
        <v>299.0</v>
      </c>
      <c r="BR1850" s="1">
        <v>299.0</v>
      </c>
      <c r="BS1850" s="1">
        <v>299.0</v>
      </c>
      <c r="BU1850" s="1" t="s">
        <v>758</v>
      </c>
      <c r="BV1850" s="1" t="s">
        <v>206</v>
      </c>
      <c r="BW1850" s="1" t="s">
        <v>207</v>
      </c>
      <c r="BY1850" s="1" t="s">
        <v>1000</v>
      </c>
      <c r="BZ1850" s="1" t="s">
        <v>209</v>
      </c>
      <c r="CA1850" s="1" t="s">
        <v>210</v>
      </c>
      <c r="CC1850" s="1" t="s">
        <v>212</v>
      </c>
      <c r="CD1850" s="1" t="s">
        <v>206</v>
      </c>
      <c r="CE1850" s="1" t="s">
        <v>207</v>
      </c>
      <c r="CG1850" s="1" t="s">
        <v>329</v>
      </c>
      <c r="CH1850" s="1" t="s">
        <v>206</v>
      </c>
      <c r="CI1850" s="1" t="s">
        <v>210</v>
      </c>
      <c r="CK1850" s="1" t="s">
        <v>543</v>
      </c>
      <c r="CL1850" s="1" t="s">
        <v>206</v>
      </c>
      <c r="CM1850" s="1" t="s">
        <v>207</v>
      </c>
      <c r="CO1850" s="1" t="s">
        <v>1939</v>
      </c>
      <c r="CP1850" s="1" t="s">
        <v>42</v>
      </c>
      <c r="CQ1850" s="1" t="s">
        <v>268</v>
      </c>
      <c r="CS1850" s="1" t="s">
        <v>432</v>
      </c>
      <c r="CT1850" s="1" t="s">
        <v>206</v>
      </c>
      <c r="CU1850" s="1" t="s">
        <v>207</v>
      </c>
      <c r="CW1850" s="1" t="s">
        <v>4353</v>
      </c>
      <c r="CX1850" s="1" t="s">
        <v>42</v>
      </c>
      <c r="CY1850" s="1" t="s">
        <v>268</v>
      </c>
      <c r="DA1850" s="1" t="s">
        <v>200</v>
      </c>
      <c r="DC1850" s="1" t="s">
        <v>216</v>
      </c>
      <c r="DE1850" s="1" t="s">
        <v>273</v>
      </c>
      <c r="DF1850" s="1" t="s">
        <v>219</v>
      </c>
      <c r="DH1850" s="1" t="s">
        <v>365</v>
      </c>
      <c r="DI1850" s="1" t="s">
        <v>366</v>
      </c>
      <c r="DJ1850" s="1" t="s">
        <v>222</v>
      </c>
      <c r="DL1850" s="1" t="s">
        <v>224</v>
      </c>
      <c r="DM1850" s="1" t="s">
        <v>229</v>
      </c>
      <c r="DQ1850" s="1" t="s">
        <v>718</v>
      </c>
      <c r="DR1850" s="1" t="s">
        <v>229</v>
      </c>
      <c r="DS1850" s="1" t="s">
        <v>230</v>
      </c>
      <c r="DV1850" s="1" t="s">
        <v>598</v>
      </c>
      <c r="DW1850" s="1" t="s">
        <v>279</v>
      </c>
      <c r="DX1850" s="1" t="s">
        <v>234</v>
      </c>
      <c r="DY1850" s="1" t="s">
        <v>553</v>
      </c>
      <c r="EA1850" s="1" t="s">
        <v>644</v>
      </c>
      <c r="EC1850" s="1" t="s">
        <v>645</v>
      </c>
      <c r="EG1850" s="1" t="s">
        <v>598</v>
      </c>
      <c r="EL1850" s="1" t="s">
        <v>1688</v>
      </c>
      <c r="EM1850" s="1" t="s">
        <v>206</v>
      </c>
      <c r="EN1850" s="1" t="s">
        <v>268</v>
      </c>
      <c r="EQ1850" s="1" t="s">
        <v>238</v>
      </c>
      <c r="EU1850" s="1" t="s">
        <v>238</v>
      </c>
      <c r="EY1850" s="1" t="s">
        <v>238</v>
      </c>
      <c r="FC1850" s="1" t="s">
        <v>238</v>
      </c>
      <c r="FF1850" s="1" t="s">
        <v>239</v>
      </c>
      <c r="FG1850" s="1" t="s">
        <v>192</v>
      </c>
      <c r="FH1850" s="1" t="s">
        <v>192</v>
      </c>
      <c r="FJ1850" s="1" t="s">
        <v>648</v>
      </c>
      <c r="FK1850" s="1" t="s">
        <v>229</v>
      </c>
      <c r="FL1850" s="1" t="s">
        <v>649</v>
      </c>
      <c r="FM1850" s="1">
        <v>60296.0</v>
      </c>
      <c r="FN1850" s="1" t="s">
        <v>650</v>
      </c>
      <c r="FO1850" s="1" t="s">
        <v>651</v>
      </c>
      <c r="FP1850" s="1">
        <v>602837.0</v>
      </c>
      <c r="FQ1850" s="1" t="s">
        <v>652</v>
      </c>
      <c r="FR1850" s="1">
        <v>602442.0</v>
      </c>
      <c r="FU1850" s="1" t="s">
        <v>11342</v>
      </c>
      <c r="FV1850" s="1" t="s">
        <v>200</v>
      </c>
      <c r="FW1850" s="1" t="s">
        <v>530</v>
      </c>
      <c r="FX1850" s="1" t="s">
        <v>655</v>
      </c>
      <c r="FZ1850" s="1" t="s">
        <v>229</v>
      </c>
      <c r="GA1850" s="1" t="s">
        <v>291</v>
      </c>
      <c r="GB1850" s="2">
        <v>42025.0</v>
      </c>
      <c r="GC1850" s="1" t="s">
        <v>17956</v>
      </c>
    </row>
    <row r="1851">
      <c r="A1851" s="1">
        <v>445000.0</v>
      </c>
      <c r="B1851" s="1" t="s">
        <v>185</v>
      </c>
      <c r="C1851" s="1" t="str">
        <f>"08712987"</f>
        <v>08712987</v>
      </c>
      <c r="D1851" s="1" t="s">
        <v>186</v>
      </c>
      <c r="F1851" s="1" t="str">
        <f t="shared" ref="F1851:F1853" si="1224">"174"</f>
        <v>174</v>
      </c>
      <c r="G1851" s="2">
        <v>41878.0</v>
      </c>
      <c r="H1851" s="1">
        <v>469000.0</v>
      </c>
      <c r="I1851" s="1">
        <v>232.0</v>
      </c>
      <c r="J1851" s="1">
        <v>454900.0</v>
      </c>
      <c r="K1851" s="2">
        <v>42010.0</v>
      </c>
      <c r="L1851" s="1">
        <v>133.0</v>
      </c>
      <c r="M1851" s="2">
        <v>42010.0</v>
      </c>
      <c r="N1851" s="1" t="s">
        <v>249</v>
      </c>
      <c r="O1851" s="2">
        <v>42033.0</v>
      </c>
      <c r="P1851" s="1">
        <v>1040.0</v>
      </c>
      <c r="Q1851" s="1">
        <v>28.0</v>
      </c>
      <c r="S1851" s="1" t="s">
        <v>17957</v>
      </c>
      <c r="T1851" s="1" t="s">
        <v>17958</v>
      </c>
      <c r="U1851" s="1" t="s">
        <v>1015</v>
      </c>
      <c r="V1851" s="1" t="s">
        <v>1200</v>
      </c>
      <c r="W1851" s="1">
        <v>60175.0</v>
      </c>
      <c r="Y1851" s="1" t="s">
        <v>17959</v>
      </c>
      <c r="Z1851" s="1">
        <v>1996.0</v>
      </c>
      <c r="AA1851" s="1" t="s">
        <v>200</v>
      </c>
      <c r="AB1851" s="1" t="s">
        <v>467</v>
      </c>
      <c r="AC1851" s="1" t="s">
        <v>17807</v>
      </c>
      <c r="AD1851" s="1" t="s">
        <v>3766</v>
      </c>
      <c r="AE1851" s="1" t="s">
        <v>325</v>
      </c>
      <c r="AF1851" s="1" t="s">
        <v>1632</v>
      </c>
      <c r="AH1851" s="1" t="s">
        <v>17960</v>
      </c>
      <c r="AI1851" s="1">
        <v>0.37</v>
      </c>
      <c r="AK1851" s="1">
        <v>10.0</v>
      </c>
      <c r="AL1851" s="1">
        <v>4.0</v>
      </c>
      <c r="AM1851" s="1">
        <v>4.0</v>
      </c>
      <c r="AN1851" s="1">
        <v>1.0</v>
      </c>
      <c r="AO1851" s="1" t="s">
        <v>198</v>
      </c>
      <c r="AP1851" s="1">
        <v>2.0</v>
      </c>
      <c r="AQ1851" s="1" t="s">
        <v>198</v>
      </c>
      <c r="AR1851" s="1" t="s">
        <v>192</v>
      </c>
      <c r="AS1851" s="1" t="s">
        <v>199</v>
      </c>
      <c r="AT1851" s="1">
        <v>3.5</v>
      </c>
      <c r="AV1851" s="1" t="s">
        <v>200</v>
      </c>
      <c r="AW1851" s="1">
        <v>10733.0</v>
      </c>
      <c r="AX1851" s="1">
        <v>2013.0</v>
      </c>
      <c r="AY1851" s="1" t="s">
        <v>1179</v>
      </c>
      <c r="AZ1851" s="1" t="s">
        <v>200</v>
      </c>
      <c r="BA1851" s="1" t="str">
        <f>"0824301004"</f>
        <v>0824301004</v>
      </c>
      <c r="BB1851" s="1" t="s">
        <v>200</v>
      </c>
      <c r="BC1851" s="1">
        <v>3512.0</v>
      </c>
      <c r="BD1851" s="1">
        <v>445000.0</v>
      </c>
      <c r="BE1851" s="2">
        <v>41878.0</v>
      </c>
      <c r="BF1851" s="2" t="s">
        <v>17961</v>
      </c>
      <c r="BH1851" s="1">
        <v>1180.0</v>
      </c>
      <c r="BK1851" s="1" t="s">
        <v>580</v>
      </c>
      <c r="BL1851" s="1" t="str">
        <f>"4"</f>
        <v>4</v>
      </c>
      <c r="BM1851" s="1" t="str">
        <f t="shared" ref="BM1851:BM1853" si="1225">"0"</f>
        <v>0</v>
      </c>
      <c r="BN1851" s="1">
        <v>39.0</v>
      </c>
      <c r="BO1851" s="1">
        <v>0.0</v>
      </c>
      <c r="BQ1851" s="1">
        <v>303.0</v>
      </c>
      <c r="BR1851" s="1">
        <v>303.0</v>
      </c>
      <c r="BS1851" s="1">
        <v>303.0</v>
      </c>
      <c r="BU1851" s="1" t="s">
        <v>1377</v>
      </c>
      <c r="BV1851" s="1" t="s">
        <v>206</v>
      </c>
      <c r="BW1851" s="1" t="s">
        <v>210</v>
      </c>
      <c r="BY1851" s="1" t="s">
        <v>434</v>
      </c>
      <c r="BZ1851" s="1" t="s">
        <v>206</v>
      </c>
      <c r="CA1851" s="1" t="s">
        <v>207</v>
      </c>
      <c r="CC1851" s="1" t="s">
        <v>542</v>
      </c>
      <c r="CD1851" s="1" t="s">
        <v>206</v>
      </c>
      <c r="CE1851" s="1" t="s">
        <v>210</v>
      </c>
      <c r="CG1851" s="1" t="s">
        <v>215</v>
      </c>
      <c r="CH1851" s="1" t="s">
        <v>209</v>
      </c>
      <c r="CI1851" s="1" t="s">
        <v>210</v>
      </c>
      <c r="CK1851" s="1" t="s">
        <v>215</v>
      </c>
      <c r="CL1851" s="1" t="s">
        <v>209</v>
      </c>
      <c r="CM1851" s="1" t="s">
        <v>210</v>
      </c>
      <c r="CO1851" s="1" t="s">
        <v>641</v>
      </c>
      <c r="CP1851" s="1" t="s">
        <v>209</v>
      </c>
      <c r="CQ1851" s="1" t="s">
        <v>210</v>
      </c>
      <c r="CS1851" s="1" t="s">
        <v>1892</v>
      </c>
      <c r="CT1851" s="1" t="s">
        <v>206</v>
      </c>
      <c r="CU1851" s="1" t="s">
        <v>207</v>
      </c>
      <c r="CW1851" s="1" t="s">
        <v>3538</v>
      </c>
      <c r="CX1851" s="1" t="s">
        <v>206</v>
      </c>
      <c r="CY1851" s="1" t="s">
        <v>207</v>
      </c>
      <c r="DA1851" s="1" t="s">
        <v>200</v>
      </c>
      <c r="DC1851" s="1" t="s">
        <v>678</v>
      </c>
      <c r="DD1851" s="1" t="s">
        <v>5326</v>
      </c>
      <c r="DE1851" s="1" t="s">
        <v>273</v>
      </c>
      <c r="DF1851" s="1" t="s">
        <v>219</v>
      </c>
      <c r="DG1851" s="1" t="s">
        <v>2379</v>
      </c>
      <c r="DH1851" s="1" t="s">
        <v>1603</v>
      </c>
      <c r="DI1851" s="1" t="s">
        <v>1978</v>
      </c>
      <c r="DJ1851" s="1" t="s">
        <v>222</v>
      </c>
      <c r="DK1851" s="1" t="s">
        <v>223</v>
      </c>
      <c r="DL1851" s="1" t="s">
        <v>224</v>
      </c>
      <c r="DM1851" s="1" t="s">
        <v>338</v>
      </c>
      <c r="DN1851" s="1" t="s">
        <v>399</v>
      </c>
      <c r="DO1851" s="1" t="s">
        <v>12169</v>
      </c>
      <c r="DP1851" s="1" t="s">
        <v>276</v>
      </c>
      <c r="DQ1851" s="1" t="s">
        <v>441</v>
      </c>
      <c r="DR1851" s="1" t="s">
        <v>17962</v>
      </c>
      <c r="DU1851" s="1" t="s">
        <v>14280</v>
      </c>
      <c r="DV1851" s="1" t="s">
        <v>4076</v>
      </c>
      <c r="DW1851" s="1" t="s">
        <v>964</v>
      </c>
      <c r="DX1851" s="1" t="s">
        <v>234</v>
      </c>
      <c r="DY1851" s="1" t="s">
        <v>1099</v>
      </c>
      <c r="DZ1851" s="1" t="s">
        <v>1100</v>
      </c>
      <c r="EB1851" s="1" t="s">
        <v>492</v>
      </c>
      <c r="EC1851" s="1" t="s">
        <v>237</v>
      </c>
      <c r="ED1851" s="1" t="s">
        <v>407</v>
      </c>
      <c r="EG1851" s="1" t="s">
        <v>341</v>
      </c>
      <c r="EH1851" s="1" t="s">
        <v>450</v>
      </c>
      <c r="EL1851" s="1" t="s">
        <v>264</v>
      </c>
      <c r="EM1851" s="1" t="s">
        <v>209</v>
      </c>
      <c r="EN1851" s="1" t="s">
        <v>210</v>
      </c>
      <c r="EP1851" s="1" t="s">
        <v>17963</v>
      </c>
      <c r="EQ1851" s="1" t="s">
        <v>42</v>
      </c>
      <c r="ER1851" s="1" t="s">
        <v>210</v>
      </c>
      <c r="EU1851" s="1" t="s">
        <v>238</v>
      </c>
      <c r="EY1851" s="1" t="s">
        <v>238</v>
      </c>
      <c r="FC1851" s="1" t="s">
        <v>238</v>
      </c>
      <c r="FF1851" s="1" t="s">
        <v>239</v>
      </c>
      <c r="FG1851" s="1" t="s">
        <v>192</v>
      </c>
      <c r="FH1851" s="1" t="s">
        <v>192</v>
      </c>
      <c r="FJ1851" s="1" t="s">
        <v>498</v>
      </c>
      <c r="FK1851" s="1" t="s">
        <v>229</v>
      </c>
      <c r="FL1851" s="1" t="s">
        <v>893</v>
      </c>
      <c r="FM1851" s="1">
        <v>604.0</v>
      </c>
      <c r="FN1851" s="1" t="s">
        <v>894</v>
      </c>
      <c r="FO1851" s="1" t="s">
        <v>895</v>
      </c>
      <c r="FP1851" s="1">
        <v>381.0</v>
      </c>
      <c r="FQ1851" s="1" t="s">
        <v>896</v>
      </c>
      <c r="FU1851" s="1" t="s">
        <v>15072</v>
      </c>
      <c r="FV1851" s="1" t="s">
        <v>200</v>
      </c>
      <c r="FW1851" s="1" t="s">
        <v>290</v>
      </c>
      <c r="FX1851" s="1" t="s">
        <v>655</v>
      </c>
      <c r="FZ1851" s="1" t="s">
        <v>229</v>
      </c>
      <c r="GA1851" s="1" t="s">
        <v>291</v>
      </c>
      <c r="GB1851" s="2">
        <v>42033.0</v>
      </c>
    </row>
    <row r="1852">
      <c r="A1852" s="1">
        <v>610000.0</v>
      </c>
      <c r="B1852" s="1" t="s">
        <v>185</v>
      </c>
      <c r="C1852" s="1" t="str">
        <f>"08755495"</f>
        <v>08755495</v>
      </c>
      <c r="D1852" s="1" t="s">
        <v>186</v>
      </c>
      <c r="F1852" s="1" t="str">
        <f t="shared" si="1224"/>
        <v>174</v>
      </c>
      <c r="G1852" s="2">
        <v>41929.0</v>
      </c>
      <c r="H1852" s="1">
        <v>649900.0</v>
      </c>
      <c r="I1852" s="1">
        <v>334.0</v>
      </c>
      <c r="J1852" s="1">
        <v>634900.0</v>
      </c>
      <c r="K1852" s="2">
        <v>42105.0</v>
      </c>
      <c r="L1852" s="1">
        <v>177.0</v>
      </c>
      <c r="M1852" s="2">
        <v>42105.0</v>
      </c>
      <c r="N1852" s="1" t="s">
        <v>634</v>
      </c>
      <c r="O1852" s="2">
        <v>42142.0</v>
      </c>
      <c r="P1852" s="1">
        <v>878.0</v>
      </c>
      <c r="Q1852" s="1">
        <v>30.0</v>
      </c>
      <c r="S1852" s="1" t="s">
        <v>17964</v>
      </c>
      <c r="T1852" s="1" t="s">
        <v>17965</v>
      </c>
      <c r="U1852" s="1" t="s">
        <v>569</v>
      </c>
      <c r="V1852" s="1" t="s">
        <v>1200</v>
      </c>
      <c r="W1852" s="1">
        <v>60175.0</v>
      </c>
      <c r="Y1852" s="1" t="s">
        <v>17966</v>
      </c>
      <c r="Z1852" s="1">
        <v>2010.0</v>
      </c>
      <c r="AA1852" s="1" t="s">
        <v>200</v>
      </c>
      <c r="AB1852" s="1" t="s">
        <v>193</v>
      </c>
      <c r="AC1852" s="1" t="s">
        <v>17965</v>
      </c>
      <c r="AD1852" s="1" t="s">
        <v>1089</v>
      </c>
      <c r="AE1852" s="1" t="s">
        <v>325</v>
      </c>
      <c r="AF1852" s="1" t="s">
        <v>1203</v>
      </c>
      <c r="AG1852" s="1" t="s">
        <v>752</v>
      </c>
      <c r="AH1852" s="1" t="s">
        <v>17967</v>
      </c>
      <c r="AI1852" s="1">
        <v>1.59</v>
      </c>
      <c r="AK1852" s="1">
        <v>10.0</v>
      </c>
      <c r="AL1852" s="1">
        <v>4.0</v>
      </c>
      <c r="AM1852" s="1">
        <v>3.0</v>
      </c>
      <c r="AN1852" s="1">
        <v>1.0</v>
      </c>
      <c r="AO1852" s="1" t="s">
        <v>198</v>
      </c>
      <c r="AP1852" s="1">
        <v>1.0</v>
      </c>
      <c r="AQ1852" s="1" t="s">
        <v>198</v>
      </c>
      <c r="AR1852" s="1" t="s">
        <v>200</v>
      </c>
      <c r="AS1852" s="1" t="s">
        <v>199</v>
      </c>
      <c r="AT1852" s="1">
        <v>3.0</v>
      </c>
      <c r="AV1852" s="1" t="s">
        <v>200</v>
      </c>
      <c r="AW1852" s="1">
        <v>17533.0</v>
      </c>
      <c r="AX1852" s="1">
        <v>2014.0</v>
      </c>
      <c r="AY1852" s="1" t="s">
        <v>229</v>
      </c>
      <c r="AZ1852" s="1" t="s">
        <v>200</v>
      </c>
      <c r="BA1852" s="1" t="str">
        <f>"0908407002"</f>
        <v>0908407002</v>
      </c>
      <c r="BB1852" s="1" t="s">
        <v>200</v>
      </c>
      <c r="BC1852" s="1">
        <v>4390.0</v>
      </c>
      <c r="BD1852" s="1">
        <v>610000.0</v>
      </c>
      <c r="BE1852" s="2">
        <v>41929.0</v>
      </c>
      <c r="BF1852" s="2" t="s">
        <v>17968</v>
      </c>
      <c r="BG1852" s="1" t="s">
        <v>4510</v>
      </c>
      <c r="BH1852" s="1">
        <v>400.0</v>
      </c>
      <c r="BI1852" s="1" t="s">
        <v>4511</v>
      </c>
      <c r="BJ1852" s="1" t="s">
        <v>2200</v>
      </c>
      <c r="BK1852" s="1" t="s">
        <v>580</v>
      </c>
      <c r="BL1852" s="1" t="str">
        <f>"6"</f>
        <v>6</v>
      </c>
      <c r="BM1852" s="1" t="str">
        <f t="shared" si="1225"/>
        <v>0</v>
      </c>
      <c r="BN1852" s="1">
        <v>37.0</v>
      </c>
      <c r="BO1852" s="1">
        <v>0.0</v>
      </c>
      <c r="BQ1852" s="1">
        <v>303.0</v>
      </c>
      <c r="BR1852" s="1">
        <v>303.0</v>
      </c>
      <c r="BS1852" s="1">
        <v>303.0</v>
      </c>
      <c r="BU1852" s="1" t="s">
        <v>361</v>
      </c>
      <c r="BV1852" s="1" t="s">
        <v>206</v>
      </c>
      <c r="BW1852" s="1" t="s">
        <v>210</v>
      </c>
      <c r="BX1852" s="1" t="s">
        <v>229</v>
      </c>
      <c r="BY1852" s="1" t="s">
        <v>2592</v>
      </c>
      <c r="BZ1852" s="1" t="s">
        <v>209</v>
      </c>
      <c r="CA1852" s="1" t="s">
        <v>210</v>
      </c>
      <c r="CB1852" s="1" t="s">
        <v>229</v>
      </c>
      <c r="CC1852" s="1" t="s">
        <v>758</v>
      </c>
      <c r="CD1852" s="1" t="s">
        <v>206</v>
      </c>
      <c r="CE1852" s="1" t="s">
        <v>210</v>
      </c>
      <c r="CF1852" s="1" t="s">
        <v>229</v>
      </c>
      <c r="CG1852" s="1" t="s">
        <v>433</v>
      </c>
      <c r="CH1852" s="1" t="s">
        <v>209</v>
      </c>
      <c r="CI1852" s="1" t="s">
        <v>210</v>
      </c>
      <c r="CJ1852" s="1" t="s">
        <v>229</v>
      </c>
      <c r="CK1852" s="1" t="s">
        <v>393</v>
      </c>
      <c r="CL1852" s="1" t="s">
        <v>209</v>
      </c>
      <c r="CM1852" s="1" t="s">
        <v>210</v>
      </c>
      <c r="CN1852" s="1" t="s">
        <v>229</v>
      </c>
      <c r="CO1852" s="1" t="s">
        <v>758</v>
      </c>
      <c r="CP1852" s="1" t="s">
        <v>209</v>
      </c>
      <c r="CQ1852" s="1" t="s">
        <v>210</v>
      </c>
      <c r="CR1852" s="1" t="s">
        <v>229</v>
      </c>
      <c r="CS1852" s="1" t="s">
        <v>2592</v>
      </c>
      <c r="CT1852" s="1" t="s">
        <v>206</v>
      </c>
      <c r="CU1852" s="1" t="s">
        <v>207</v>
      </c>
      <c r="CV1852" s="1" t="s">
        <v>229</v>
      </c>
      <c r="CW1852" s="1" t="s">
        <v>1206</v>
      </c>
      <c r="CX1852" s="1" t="s">
        <v>206</v>
      </c>
      <c r="CY1852" s="1" t="s">
        <v>207</v>
      </c>
      <c r="CZ1852" s="1" t="s">
        <v>229</v>
      </c>
      <c r="DA1852" s="1" t="s">
        <v>200</v>
      </c>
      <c r="DC1852" s="1" t="s">
        <v>1046</v>
      </c>
      <c r="DD1852" s="1" t="s">
        <v>1428</v>
      </c>
      <c r="DE1852" s="1" t="s">
        <v>218</v>
      </c>
      <c r="DF1852" s="1" t="s">
        <v>745</v>
      </c>
      <c r="DG1852" s="1" t="s">
        <v>1553</v>
      </c>
      <c r="DH1852" s="1" t="s">
        <v>856</v>
      </c>
      <c r="DI1852" s="1" t="s">
        <v>1318</v>
      </c>
      <c r="DJ1852" s="1" t="s">
        <v>857</v>
      </c>
      <c r="DK1852" s="1" t="s">
        <v>223</v>
      </c>
      <c r="DL1852" s="1" t="s">
        <v>223</v>
      </c>
      <c r="DM1852" s="1" t="s">
        <v>338</v>
      </c>
      <c r="DN1852" s="1" t="s">
        <v>399</v>
      </c>
      <c r="DO1852" s="1" t="s">
        <v>5000</v>
      </c>
      <c r="DP1852" s="1" t="s">
        <v>340</v>
      </c>
      <c r="DQ1852" s="1" t="s">
        <v>931</v>
      </c>
      <c r="DR1852" s="1" t="s">
        <v>229</v>
      </c>
      <c r="DS1852" s="1" t="s">
        <v>368</v>
      </c>
      <c r="DU1852" s="1" t="s">
        <v>550</v>
      </c>
      <c r="DV1852" s="1" t="s">
        <v>17969</v>
      </c>
      <c r="DW1852" s="1" t="s">
        <v>1957</v>
      </c>
      <c r="DX1852" s="1" t="s">
        <v>234</v>
      </c>
      <c r="DZ1852" s="1" t="s">
        <v>310</v>
      </c>
      <c r="EA1852" s="1" t="s">
        <v>344</v>
      </c>
      <c r="EB1852" s="1" t="s">
        <v>937</v>
      </c>
      <c r="EC1852" s="1" t="s">
        <v>237</v>
      </c>
      <c r="EG1852" s="1" t="s">
        <v>1961</v>
      </c>
      <c r="EH1852" s="1" t="s">
        <v>557</v>
      </c>
      <c r="EL1852" s="1" t="s">
        <v>743</v>
      </c>
      <c r="EM1852" s="1" t="s">
        <v>206</v>
      </c>
      <c r="EN1852" s="1" t="s">
        <v>210</v>
      </c>
      <c r="EO1852" s="1" t="s">
        <v>229</v>
      </c>
      <c r="EP1852" s="1" t="s">
        <v>715</v>
      </c>
      <c r="EQ1852" s="1" t="s">
        <v>209</v>
      </c>
      <c r="ER1852" s="1" t="s">
        <v>210</v>
      </c>
      <c r="ES1852" s="1" t="s">
        <v>229</v>
      </c>
      <c r="EU1852" s="1" t="s">
        <v>238</v>
      </c>
      <c r="EY1852" s="1" t="s">
        <v>238</v>
      </c>
      <c r="FC1852" s="1" t="s">
        <v>238</v>
      </c>
      <c r="FF1852" s="1" t="s">
        <v>239</v>
      </c>
      <c r="FG1852" s="1" t="s">
        <v>192</v>
      </c>
      <c r="FH1852" s="1" t="s">
        <v>192</v>
      </c>
      <c r="FJ1852" s="1" t="s">
        <v>524</v>
      </c>
      <c r="FK1852" s="1" t="s">
        <v>229</v>
      </c>
      <c r="FL1852" s="1" t="s">
        <v>1212</v>
      </c>
      <c r="FM1852" s="1">
        <v>30.0</v>
      </c>
      <c r="FN1852" s="1" t="s">
        <v>1213</v>
      </c>
      <c r="FO1852" s="1" t="s">
        <v>17970</v>
      </c>
      <c r="FP1852" s="1">
        <v>1204.0</v>
      </c>
      <c r="FQ1852" s="1" t="s">
        <v>17971</v>
      </c>
      <c r="FU1852" s="1" t="s">
        <v>17972</v>
      </c>
      <c r="FV1852" s="1" t="s">
        <v>200</v>
      </c>
      <c r="FW1852" s="1" t="s">
        <v>290</v>
      </c>
      <c r="FZ1852" s="1" t="s">
        <v>229</v>
      </c>
      <c r="GA1852" s="1" t="s">
        <v>291</v>
      </c>
      <c r="GB1852" s="2">
        <v>42142.0</v>
      </c>
    </row>
    <row r="1853">
      <c r="A1853" s="1">
        <v>372000.0</v>
      </c>
      <c r="B1853" s="1" t="s">
        <v>185</v>
      </c>
      <c r="C1853" s="1" t="str">
        <f>"08720337"</f>
        <v>08720337</v>
      </c>
      <c r="D1853" s="1" t="s">
        <v>186</v>
      </c>
      <c r="F1853" s="1" t="str">
        <f t="shared" si="1224"/>
        <v>174</v>
      </c>
      <c r="G1853" s="2">
        <v>41887.0</v>
      </c>
      <c r="H1853" s="1">
        <v>400000.0</v>
      </c>
      <c r="I1853" s="1">
        <v>459.0</v>
      </c>
      <c r="J1853" s="1">
        <v>390000.0</v>
      </c>
      <c r="K1853" s="2">
        <v>41996.0</v>
      </c>
      <c r="L1853" s="1">
        <v>110.0</v>
      </c>
      <c r="M1853" s="2">
        <v>41996.0</v>
      </c>
      <c r="N1853" s="1" t="s">
        <v>187</v>
      </c>
      <c r="O1853" s="2">
        <v>42065.0</v>
      </c>
      <c r="P1853" s="1">
        <v>523.0</v>
      </c>
      <c r="Q1853" s="1">
        <v>30.0</v>
      </c>
      <c r="S1853" s="1" t="s">
        <v>17973</v>
      </c>
      <c r="T1853" s="1" t="s">
        <v>9907</v>
      </c>
      <c r="U1853" s="1" t="s">
        <v>1015</v>
      </c>
      <c r="V1853" s="1" t="s">
        <v>1200</v>
      </c>
      <c r="W1853" s="1">
        <v>60175.0</v>
      </c>
      <c r="Y1853" s="1" t="s">
        <v>17974</v>
      </c>
      <c r="Z1853" s="1">
        <v>1988.0</v>
      </c>
      <c r="AA1853" s="1" t="s">
        <v>200</v>
      </c>
      <c r="AB1853" s="1" t="s">
        <v>193</v>
      </c>
      <c r="AC1853" s="1" t="s">
        <v>17975</v>
      </c>
      <c r="AD1853" s="1" t="s">
        <v>1089</v>
      </c>
      <c r="AE1853" s="1" t="s">
        <v>325</v>
      </c>
      <c r="AF1853" s="1" t="s">
        <v>1632</v>
      </c>
      <c r="AH1853" s="1" t="s">
        <v>17976</v>
      </c>
      <c r="AI1853" s="1">
        <v>1.33</v>
      </c>
      <c r="AK1853" s="1">
        <v>8.0</v>
      </c>
      <c r="AL1853" s="1">
        <v>4.0</v>
      </c>
      <c r="AM1853" s="1">
        <v>3.0</v>
      </c>
      <c r="AN1853" s="1">
        <v>0.0</v>
      </c>
      <c r="AO1853" s="1" t="s">
        <v>198</v>
      </c>
      <c r="AP1853" s="1">
        <v>2.0</v>
      </c>
      <c r="AQ1853" s="1" t="s">
        <v>198</v>
      </c>
      <c r="AR1853" s="1" t="s">
        <v>200</v>
      </c>
      <c r="AS1853" s="1" t="s">
        <v>199</v>
      </c>
      <c r="AT1853" s="1">
        <v>3.0</v>
      </c>
      <c r="AV1853" s="1" t="s">
        <v>200</v>
      </c>
      <c r="AW1853" s="1">
        <v>10977.52</v>
      </c>
      <c r="AX1853" s="1">
        <v>2013.0</v>
      </c>
      <c r="AY1853" s="1" t="s">
        <v>387</v>
      </c>
      <c r="AZ1853" s="1" t="s">
        <v>200</v>
      </c>
      <c r="BA1853" s="1" t="str">
        <f>"0801276005"</f>
        <v>0801276005</v>
      </c>
      <c r="BB1853" s="1" t="s">
        <v>200</v>
      </c>
      <c r="BC1853" s="1">
        <v>3355.0</v>
      </c>
      <c r="BD1853" s="1">
        <v>372000.0</v>
      </c>
      <c r="BE1853" s="2">
        <v>41887.0</v>
      </c>
      <c r="BF1853" s="2" t="s">
        <v>17977</v>
      </c>
      <c r="BG1853" s="1" t="s">
        <v>4510</v>
      </c>
      <c r="BH1853" s="1">
        <v>0.0</v>
      </c>
      <c r="BI1853" s="1" t="s">
        <v>4511</v>
      </c>
      <c r="BJ1853" s="1" t="s">
        <v>2200</v>
      </c>
      <c r="BK1853" s="1" t="s">
        <v>204</v>
      </c>
      <c r="BL1853" s="1" t="str">
        <f>"7"</f>
        <v>7</v>
      </c>
      <c r="BM1853" s="1" t="str">
        <f t="shared" si="1225"/>
        <v>0</v>
      </c>
      <c r="BN1853" s="1">
        <v>39.0</v>
      </c>
      <c r="BO1853" s="1">
        <v>0.0</v>
      </c>
      <c r="BQ1853" s="1">
        <v>303.0</v>
      </c>
      <c r="BR1853" s="1">
        <v>303.0</v>
      </c>
      <c r="BS1853" s="1">
        <v>303.0</v>
      </c>
      <c r="BV1853" s="1" t="s">
        <v>204</v>
      </c>
      <c r="BY1853" s="1" t="s">
        <v>2014</v>
      </c>
      <c r="BZ1853" s="1" t="s">
        <v>209</v>
      </c>
      <c r="CA1853" s="1" t="s">
        <v>210</v>
      </c>
      <c r="CB1853" s="1" t="s">
        <v>239</v>
      </c>
      <c r="CC1853" s="1" t="s">
        <v>584</v>
      </c>
      <c r="CD1853" s="1" t="s">
        <v>206</v>
      </c>
      <c r="CE1853" s="1" t="s">
        <v>210</v>
      </c>
      <c r="CF1853" s="1" t="s">
        <v>239</v>
      </c>
      <c r="CG1853" s="1" t="s">
        <v>584</v>
      </c>
      <c r="CH1853" s="1" t="s">
        <v>209</v>
      </c>
      <c r="CI1853" s="1" t="s">
        <v>210</v>
      </c>
      <c r="CJ1853" s="1" t="s">
        <v>239</v>
      </c>
      <c r="CK1853" s="1" t="s">
        <v>2695</v>
      </c>
      <c r="CL1853" s="1" t="s">
        <v>209</v>
      </c>
      <c r="CM1853" s="1" t="s">
        <v>210</v>
      </c>
      <c r="CN1853" s="1" t="s">
        <v>239</v>
      </c>
      <c r="CO1853" s="1" t="s">
        <v>212</v>
      </c>
      <c r="CP1853" s="1" t="s">
        <v>206</v>
      </c>
      <c r="CQ1853" s="1" t="s">
        <v>210</v>
      </c>
      <c r="CR1853" s="1" t="s">
        <v>239</v>
      </c>
      <c r="CS1853" s="1" t="s">
        <v>3387</v>
      </c>
      <c r="CT1853" s="1" t="s">
        <v>206</v>
      </c>
      <c r="CU1853" s="1" t="s">
        <v>207</v>
      </c>
      <c r="CV1853" s="1" t="s">
        <v>239</v>
      </c>
      <c r="CW1853" s="1" t="s">
        <v>2014</v>
      </c>
      <c r="CX1853" s="1" t="s">
        <v>206</v>
      </c>
      <c r="CY1853" s="1" t="s">
        <v>210</v>
      </c>
      <c r="CZ1853" s="1" t="s">
        <v>239</v>
      </c>
      <c r="DA1853" s="1" t="s">
        <v>200</v>
      </c>
      <c r="DC1853" s="1" t="s">
        <v>305</v>
      </c>
      <c r="DD1853" s="1" t="s">
        <v>436</v>
      </c>
      <c r="DE1853" s="1" t="s">
        <v>273</v>
      </c>
      <c r="DF1853" s="1" t="s">
        <v>219</v>
      </c>
      <c r="DG1853" s="1" t="s">
        <v>1553</v>
      </c>
      <c r="DH1853" s="1" t="s">
        <v>856</v>
      </c>
      <c r="DI1853" s="1" t="s">
        <v>9680</v>
      </c>
      <c r="DJ1853" s="1" t="s">
        <v>857</v>
      </c>
      <c r="DL1853" s="1" t="s">
        <v>223</v>
      </c>
      <c r="DM1853" s="1" t="s">
        <v>338</v>
      </c>
      <c r="DN1853" s="1" t="s">
        <v>399</v>
      </c>
      <c r="DO1853" s="1" t="s">
        <v>17978</v>
      </c>
      <c r="DP1853" s="1" t="s">
        <v>340</v>
      </c>
      <c r="DQ1853" s="1" t="s">
        <v>931</v>
      </c>
      <c r="DR1853" s="1" t="s">
        <v>229</v>
      </c>
      <c r="DS1853" s="1" t="s">
        <v>591</v>
      </c>
      <c r="DU1853" s="1" t="s">
        <v>17979</v>
      </c>
      <c r="DV1853" s="1" t="s">
        <v>450</v>
      </c>
      <c r="DW1853" s="1" t="s">
        <v>964</v>
      </c>
      <c r="DX1853" s="1" t="s">
        <v>234</v>
      </c>
      <c r="DY1853" s="1" t="s">
        <v>9546</v>
      </c>
      <c r="DZ1853" s="1" t="s">
        <v>310</v>
      </c>
      <c r="EA1853" s="1" t="s">
        <v>447</v>
      </c>
      <c r="EB1853" s="1" t="s">
        <v>492</v>
      </c>
      <c r="EC1853" s="1" t="s">
        <v>237</v>
      </c>
      <c r="ED1853" s="1" t="s">
        <v>407</v>
      </c>
      <c r="EG1853" s="1" t="s">
        <v>450</v>
      </c>
      <c r="EL1853" s="1" t="s">
        <v>2182</v>
      </c>
      <c r="EM1853" s="1" t="s">
        <v>209</v>
      </c>
      <c r="EN1853" s="1" t="s">
        <v>210</v>
      </c>
      <c r="EO1853" s="1" t="s">
        <v>239</v>
      </c>
      <c r="EQ1853" s="1" t="s">
        <v>238</v>
      </c>
      <c r="EU1853" s="1" t="s">
        <v>238</v>
      </c>
      <c r="EY1853" s="1" t="s">
        <v>238</v>
      </c>
      <c r="FC1853" s="1" t="s">
        <v>238</v>
      </c>
      <c r="FF1853" s="1" t="s">
        <v>239</v>
      </c>
      <c r="FG1853" s="1" t="s">
        <v>192</v>
      </c>
      <c r="FH1853" s="1" t="s">
        <v>192</v>
      </c>
      <c r="FJ1853" s="1" t="s">
        <v>1493</v>
      </c>
      <c r="FK1853" s="1" t="s">
        <v>229</v>
      </c>
      <c r="FL1853" s="1" t="s">
        <v>456</v>
      </c>
      <c r="FM1853" s="1">
        <v>49.0</v>
      </c>
      <c r="FN1853" s="1" t="s">
        <v>457</v>
      </c>
      <c r="FO1853" s="1" t="s">
        <v>17357</v>
      </c>
      <c r="FP1853" s="1">
        <v>974.0</v>
      </c>
      <c r="FQ1853" s="1" t="s">
        <v>17358</v>
      </c>
      <c r="FR1853" s="1">
        <v>1091.0</v>
      </c>
      <c r="FS1853" s="1" t="s">
        <v>17359</v>
      </c>
      <c r="FU1853" s="1" t="s">
        <v>17980</v>
      </c>
      <c r="FV1853" s="1" t="s">
        <v>200</v>
      </c>
      <c r="FW1853" s="1" t="s">
        <v>530</v>
      </c>
      <c r="FZ1853" s="1" t="s">
        <v>229</v>
      </c>
      <c r="GA1853" s="1" t="s">
        <v>291</v>
      </c>
      <c r="GB1853" s="2">
        <v>42065.0</v>
      </c>
      <c r="GC1853" s="1" t="s">
        <v>17653</v>
      </c>
    </row>
    <row r="1854">
      <c r="A1854" s="1">
        <v>346500.0</v>
      </c>
      <c r="B1854" s="1" t="s">
        <v>185</v>
      </c>
      <c r="C1854" s="1" t="str">
        <f>"08715833"</f>
        <v>08715833</v>
      </c>
      <c r="D1854" s="1" t="s">
        <v>186</v>
      </c>
      <c r="F1854" s="1" t="str">
        <f>"510"</f>
        <v>510</v>
      </c>
      <c r="G1854" s="2">
        <v>41883.0</v>
      </c>
      <c r="H1854" s="1">
        <v>409000.0</v>
      </c>
      <c r="I1854" s="1">
        <v>160.0</v>
      </c>
      <c r="J1854" s="1">
        <v>349900.0</v>
      </c>
      <c r="K1854" s="2">
        <v>42027.0</v>
      </c>
      <c r="L1854" s="1">
        <v>145.0</v>
      </c>
      <c r="M1854" s="2">
        <v>42027.0</v>
      </c>
      <c r="N1854" s="1" t="s">
        <v>187</v>
      </c>
      <c r="O1854" s="2">
        <v>42065.0</v>
      </c>
      <c r="P1854" s="1">
        <v>77100.0</v>
      </c>
      <c r="Q1854" s="1">
        <v>37.0</v>
      </c>
      <c r="S1854" s="1">
        <v>2005.0</v>
      </c>
      <c r="T1854" s="1" t="s">
        <v>17981</v>
      </c>
      <c r="U1854" s="1" t="s">
        <v>320</v>
      </c>
      <c r="V1854" s="1" t="s">
        <v>2700</v>
      </c>
      <c r="W1854" s="1">
        <v>60510.0</v>
      </c>
      <c r="Y1854" s="1" t="s">
        <v>17982</v>
      </c>
      <c r="Z1854" s="1">
        <v>2001.0</v>
      </c>
      <c r="AA1854" s="1" t="s">
        <v>200</v>
      </c>
      <c r="AB1854" s="1" t="s">
        <v>193</v>
      </c>
      <c r="AC1854" s="1" t="s">
        <v>17983</v>
      </c>
      <c r="AD1854" s="1" t="s">
        <v>2702</v>
      </c>
      <c r="AE1854" s="1" t="s">
        <v>325</v>
      </c>
      <c r="AF1854" s="1" t="s">
        <v>2702</v>
      </c>
      <c r="AG1854" s="1" t="s">
        <v>752</v>
      </c>
      <c r="AH1854" s="1" t="s">
        <v>17984</v>
      </c>
      <c r="AI1854" s="1">
        <v>0.25</v>
      </c>
      <c r="AK1854" s="1">
        <v>10.0</v>
      </c>
      <c r="AL1854" s="1">
        <v>4.0</v>
      </c>
      <c r="AM1854" s="1">
        <v>3.0</v>
      </c>
      <c r="AN1854" s="1">
        <v>0.0</v>
      </c>
      <c r="AO1854" s="1" t="s">
        <v>198</v>
      </c>
      <c r="AP1854" s="1">
        <v>1.0</v>
      </c>
      <c r="AQ1854" s="1" t="s">
        <v>198</v>
      </c>
      <c r="AR1854" s="1" t="s">
        <v>200</v>
      </c>
      <c r="AS1854" s="1" t="s">
        <v>199</v>
      </c>
      <c r="AT1854" s="1">
        <v>3.0</v>
      </c>
      <c r="AV1854" s="1" t="s">
        <v>200</v>
      </c>
      <c r="AW1854" s="1">
        <v>11239.54</v>
      </c>
      <c r="AX1854" s="1">
        <v>2013.0</v>
      </c>
      <c r="AY1854" s="1" t="s">
        <v>387</v>
      </c>
      <c r="AZ1854" s="1" t="s">
        <v>200</v>
      </c>
      <c r="BA1854" s="1" t="str">
        <f>"1235229023"</f>
        <v>1235229023</v>
      </c>
      <c r="BB1854" s="1" t="s">
        <v>200</v>
      </c>
      <c r="BC1854" s="1">
        <v>2725.0</v>
      </c>
      <c r="BD1854" s="1">
        <v>346500.0</v>
      </c>
      <c r="BE1854" s="2">
        <v>41883.0</v>
      </c>
      <c r="BF1854" s="2" t="s">
        <v>17985</v>
      </c>
      <c r="BG1854" s="1" t="s">
        <v>17313</v>
      </c>
      <c r="BH1854" s="1">
        <v>80.0</v>
      </c>
      <c r="BI1854" s="1" t="s">
        <v>3090</v>
      </c>
      <c r="BJ1854" s="1" t="s">
        <v>3091</v>
      </c>
      <c r="BK1854" s="1" t="s">
        <v>580</v>
      </c>
      <c r="BL1854" s="1" t="str">
        <f t="shared" ref="BL1854:BM1854" si="1226">"0"</f>
        <v>0</v>
      </c>
      <c r="BM1854" s="1" t="str">
        <f t="shared" si="1226"/>
        <v>0</v>
      </c>
      <c r="BN1854" s="1">
        <v>34.0</v>
      </c>
      <c r="BO1854" s="1">
        <v>3.0</v>
      </c>
      <c r="BQ1854" s="1">
        <v>101.0</v>
      </c>
      <c r="BR1854" s="1">
        <v>101.0</v>
      </c>
      <c r="BS1854" s="1">
        <v>101.0</v>
      </c>
      <c r="BU1854" s="1" t="s">
        <v>584</v>
      </c>
      <c r="BV1854" s="1" t="s">
        <v>206</v>
      </c>
      <c r="BW1854" s="1" t="s">
        <v>207</v>
      </c>
      <c r="BY1854" s="1" t="s">
        <v>434</v>
      </c>
      <c r="BZ1854" s="1" t="s">
        <v>209</v>
      </c>
      <c r="CA1854" s="1" t="s">
        <v>210</v>
      </c>
      <c r="CC1854" s="1" t="s">
        <v>211</v>
      </c>
      <c r="CD1854" s="1" t="s">
        <v>206</v>
      </c>
      <c r="CE1854" s="1" t="s">
        <v>207</v>
      </c>
      <c r="CG1854" s="1" t="s">
        <v>478</v>
      </c>
      <c r="CH1854" s="1" t="s">
        <v>209</v>
      </c>
      <c r="CI1854" s="1" t="s">
        <v>210</v>
      </c>
      <c r="CK1854" s="1" t="s">
        <v>363</v>
      </c>
      <c r="CL1854" s="1" t="s">
        <v>209</v>
      </c>
      <c r="CM1854" s="1" t="s">
        <v>210</v>
      </c>
      <c r="CO1854" s="1" t="s">
        <v>269</v>
      </c>
      <c r="CP1854" s="1" t="s">
        <v>209</v>
      </c>
      <c r="CQ1854" s="1" t="s">
        <v>210</v>
      </c>
      <c r="CS1854" s="1" t="s">
        <v>433</v>
      </c>
      <c r="CT1854" s="1" t="s">
        <v>206</v>
      </c>
      <c r="CU1854" s="1" t="s">
        <v>207</v>
      </c>
      <c r="CW1854" s="1" t="s">
        <v>260</v>
      </c>
      <c r="CX1854" s="1" t="s">
        <v>206</v>
      </c>
      <c r="CY1854" s="1" t="s">
        <v>207</v>
      </c>
      <c r="DA1854" s="1" t="s">
        <v>200</v>
      </c>
      <c r="DC1854" s="1" t="s">
        <v>335</v>
      </c>
      <c r="DD1854" s="1" t="s">
        <v>1838</v>
      </c>
      <c r="DE1854" s="1" t="s">
        <v>273</v>
      </c>
      <c r="DF1854" s="1" t="s">
        <v>219</v>
      </c>
      <c r="DG1854" s="1" t="s">
        <v>482</v>
      </c>
      <c r="DH1854" s="1" t="s">
        <v>220</v>
      </c>
      <c r="DI1854" s="1" t="s">
        <v>1003</v>
      </c>
      <c r="DJ1854" s="1" t="s">
        <v>222</v>
      </c>
      <c r="DK1854" s="1" t="s">
        <v>223</v>
      </c>
      <c r="DL1854" s="1" t="s">
        <v>3611</v>
      </c>
      <c r="DM1854" s="1" t="s">
        <v>338</v>
      </c>
      <c r="DN1854" s="1" t="s">
        <v>17986</v>
      </c>
      <c r="DO1854" s="1" t="s">
        <v>717</v>
      </c>
      <c r="DP1854" s="1" t="s">
        <v>340</v>
      </c>
      <c r="DQ1854" s="1" t="s">
        <v>441</v>
      </c>
      <c r="DR1854" s="1" t="s">
        <v>1487</v>
      </c>
      <c r="DS1854" s="1" t="s">
        <v>368</v>
      </c>
      <c r="DU1854" s="1" t="s">
        <v>17987</v>
      </c>
      <c r="DV1854" s="1" t="s">
        <v>11895</v>
      </c>
      <c r="DW1854" s="1" t="s">
        <v>489</v>
      </c>
      <c r="DX1854" s="1" t="s">
        <v>234</v>
      </c>
      <c r="DY1854" s="1" t="s">
        <v>2803</v>
      </c>
      <c r="DZ1854" s="1" t="s">
        <v>282</v>
      </c>
      <c r="EA1854" s="1" t="s">
        <v>344</v>
      </c>
      <c r="EB1854" s="1" t="s">
        <v>4251</v>
      </c>
      <c r="EC1854" s="1" t="s">
        <v>237</v>
      </c>
      <c r="ED1854" s="1" t="s">
        <v>407</v>
      </c>
      <c r="EE1854" s="1" t="s">
        <v>493</v>
      </c>
      <c r="EG1854" s="1" t="s">
        <v>449</v>
      </c>
      <c r="EH1854" s="1" t="s">
        <v>408</v>
      </c>
      <c r="EJ1854" s="1" t="s">
        <v>598</v>
      </c>
      <c r="EL1854" s="1" t="s">
        <v>452</v>
      </c>
      <c r="EM1854" s="1" t="s">
        <v>206</v>
      </c>
      <c r="EN1854" s="1" t="s">
        <v>207</v>
      </c>
      <c r="EP1854" s="1" t="s">
        <v>17988</v>
      </c>
      <c r="EQ1854" s="1" t="s">
        <v>206</v>
      </c>
      <c r="ER1854" s="1" t="s">
        <v>207</v>
      </c>
      <c r="EU1854" s="1" t="s">
        <v>238</v>
      </c>
      <c r="EX1854" s="1" t="s">
        <v>269</v>
      </c>
      <c r="EY1854" s="1" t="s">
        <v>206</v>
      </c>
      <c r="EZ1854" s="1" t="s">
        <v>207</v>
      </c>
      <c r="FC1854" s="1" t="s">
        <v>238</v>
      </c>
      <c r="FF1854" s="1" t="s">
        <v>239</v>
      </c>
      <c r="FG1854" s="1" t="s">
        <v>192</v>
      </c>
      <c r="FH1854" s="1" t="s">
        <v>192</v>
      </c>
      <c r="FJ1854" s="1" t="s">
        <v>498</v>
      </c>
      <c r="FK1854" s="1" t="s">
        <v>229</v>
      </c>
      <c r="FL1854" s="1" t="s">
        <v>13696</v>
      </c>
      <c r="FM1854" s="1">
        <v>21324.0</v>
      </c>
      <c r="FN1854" s="1" t="s">
        <v>17989</v>
      </c>
      <c r="FO1854" s="1" t="s">
        <v>17990</v>
      </c>
      <c r="FP1854" s="1">
        <v>234577.0</v>
      </c>
      <c r="FQ1854" s="1" t="s">
        <v>17991</v>
      </c>
      <c r="FU1854" s="1" t="s">
        <v>17992</v>
      </c>
      <c r="FV1854" s="1" t="s">
        <v>200</v>
      </c>
      <c r="FW1854" s="1" t="s">
        <v>8260</v>
      </c>
      <c r="FZ1854" s="1" t="s">
        <v>229</v>
      </c>
      <c r="GA1854" s="1" t="s">
        <v>291</v>
      </c>
      <c r="GB1854" s="2">
        <v>42065.0</v>
      </c>
      <c r="GC1854" s="1" t="s">
        <v>17993</v>
      </c>
    </row>
    <row r="1855">
      <c r="A1855" s="1">
        <v>171000.0</v>
      </c>
      <c r="B1855" s="1" t="s">
        <v>185</v>
      </c>
      <c r="C1855" s="1" t="str">
        <f>"08715351"</f>
        <v>08715351</v>
      </c>
      <c r="D1855" s="1" t="s">
        <v>186</v>
      </c>
      <c r="F1855" s="1" t="str">
        <f>"8065"</f>
        <v>8065</v>
      </c>
      <c r="G1855" s="2">
        <v>41881.0</v>
      </c>
      <c r="H1855" s="1">
        <v>189900.0</v>
      </c>
      <c r="I1855" s="1">
        <v>74.0</v>
      </c>
      <c r="J1855" s="1">
        <v>176900.0</v>
      </c>
      <c r="K1855" s="2">
        <v>41954.0</v>
      </c>
      <c r="L1855" s="1">
        <v>74.0</v>
      </c>
      <c r="M1855" s="2">
        <v>41954.0</v>
      </c>
      <c r="N1855" s="1" t="s">
        <v>356</v>
      </c>
      <c r="O1855" s="2">
        <v>42006.0</v>
      </c>
      <c r="P1855" s="1">
        <v>866454.0</v>
      </c>
      <c r="Q1855" s="1">
        <v>40335.0</v>
      </c>
      <c r="R1855" s="1">
        <v>4000.0</v>
      </c>
      <c r="S1855" s="1">
        <v>3719.0</v>
      </c>
      <c r="T1855" s="1" t="s">
        <v>4941</v>
      </c>
      <c r="U1855" s="1" t="s">
        <v>320</v>
      </c>
      <c r="V1855" s="1" t="s">
        <v>190</v>
      </c>
      <c r="W1855" s="1">
        <v>60629.0</v>
      </c>
      <c r="Y1855" s="1" t="s">
        <v>17994</v>
      </c>
      <c r="Z1855" s="1">
        <v>1905.0</v>
      </c>
      <c r="AA1855" s="1" t="s">
        <v>192</v>
      </c>
      <c r="AB1855" s="1" t="s">
        <v>193</v>
      </c>
      <c r="AD1855" s="1" t="s">
        <v>194</v>
      </c>
      <c r="AE1855" s="1" t="s">
        <v>195</v>
      </c>
      <c r="AF1855" s="1" t="s">
        <v>827</v>
      </c>
      <c r="AH1855" s="1" t="s">
        <v>359</v>
      </c>
      <c r="AI1855" s="1">
        <v>0.0717</v>
      </c>
      <c r="AK1855" s="1">
        <v>8.0</v>
      </c>
      <c r="AL1855" s="1">
        <v>4.0</v>
      </c>
      <c r="AM1855" s="1">
        <v>2.0</v>
      </c>
      <c r="AN1855" s="1">
        <v>1.0</v>
      </c>
      <c r="AO1855" s="1" t="s">
        <v>229</v>
      </c>
      <c r="AQ1855" s="1" t="s">
        <v>198</v>
      </c>
      <c r="AR1855" s="1" t="s">
        <v>192</v>
      </c>
      <c r="AS1855" s="1" t="s">
        <v>199</v>
      </c>
      <c r="AT1855" s="1">
        <v>2.0</v>
      </c>
      <c r="AV1855" s="1" t="s">
        <v>200</v>
      </c>
      <c r="AW1855" s="1">
        <v>1937.11</v>
      </c>
      <c r="AX1855" s="1">
        <v>2012.0</v>
      </c>
      <c r="AZ1855" s="1" t="s">
        <v>200</v>
      </c>
      <c r="BA1855" s="1" t="str">
        <f>"19143180130000"</f>
        <v>19143180130000</v>
      </c>
      <c r="BC1855" s="1">
        <v>1200.0</v>
      </c>
      <c r="BD1855" s="1">
        <v>171000.0</v>
      </c>
      <c r="BE1855" s="2">
        <v>41881.0</v>
      </c>
      <c r="BF1855" s="1" t="s">
        <v>17995</v>
      </c>
      <c r="BH1855" s="1">
        <v>0.0</v>
      </c>
      <c r="BK1855" s="1" t="s">
        <v>204</v>
      </c>
      <c r="BL1855" s="1" t="str">
        <f t="shared" ref="BL1855:BM1855" si="1227">"0"</f>
        <v>0</v>
      </c>
      <c r="BM1855" s="1" t="str">
        <f t="shared" si="1227"/>
        <v>0</v>
      </c>
      <c r="BN1855" s="1">
        <v>3719.0</v>
      </c>
      <c r="BO1855" s="1">
        <v>6100.0</v>
      </c>
      <c r="BQ1855" s="1">
        <v>299.0</v>
      </c>
      <c r="BR1855" s="1">
        <v>299.0</v>
      </c>
      <c r="BS1855" s="1">
        <v>299.0</v>
      </c>
      <c r="BU1855" s="1" t="s">
        <v>1351</v>
      </c>
      <c r="BV1855" s="1" t="s">
        <v>206</v>
      </c>
      <c r="BW1855" s="1" t="s">
        <v>207</v>
      </c>
      <c r="BX1855" s="1" t="s">
        <v>229</v>
      </c>
      <c r="BY1855" s="1" t="s">
        <v>454</v>
      </c>
      <c r="BZ1855" s="1" t="s">
        <v>209</v>
      </c>
      <c r="CA1855" s="1" t="s">
        <v>210</v>
      </c>
      <c r="CB1855" s="1" t="s">
        <v>229</v>
      </c>
      <c r="CC1855" s="1" t="s">
        <v>332</v>
      </c>
      <c r="CD1855" s="1" t="s">
        <v>206</v>
      </c>
      <c r="CE1855" s="1" t="s">
        <v>207</v>
      </c>
      <c r="CF1855" s="1" t="s">
        <v>229</v>
      </c>
      <c r="CG1855" s="1" t="s">
        <v>212</v>
      </c>
      <c r="CH1855" s="1" t="s">
        <v>209</v>
      </c>
      <c r="CI1855" s="1" t="s">
        <v>210</v>
      </c>
      <c r="CJ1855" s="1" t="s">
        <v>229</v>
      </c>
      <c r="CK1855" s="1" t="s">
        <v>269</v>
      </c>
      <c r="CL1855" s="1" t="s">
        <v>206</v>
      </c>
      <c r="CM1855" s="1" t="s">
        <v>617</v>
      </c>
      <c r="CN1855" s="1" t="s">
        <v>229</v>
      </c>
      <c r="CO1855" s="1" t="s">
        <v>1904</v>
      </c>
      <c r="CP1855" s="1" t="s">
        <v>206</v>
      </c>
      <c r="CQ1855" s="1" t="s">
        <v>207</v>
      </c>
      <c r="CR1855" s="1" t="s">
        <v>229</v>
      </c>
      <c r="CS1855" s="1" t="s">
        <v>1672</v>
      </c>
      <c r="CT1855" s="1" t="s">
        <v>206</v>
      </c>
      <c r="CU1855" s="1" t="s">
        <v>268</v>
      </c>
      <c r="CV1855" s="1" t="s">
        <v>229</v>
      </c>
      <c r="CW1855" s="1" t="s">
        <v>7203</v>
      </c>
      <c r="CX1855" s="1" t="s">
        <v>42</v>
      </c>
      <c r="CY1855" s="1" t="s">
        <v>588</v>
      </c>
      <c r="DA1855" s="1" t="s">
        <v>200</v>
      </c>
      <c r="DC1855" s="1" t="s">
        <v>642</v>
      </c>
      <c r="DE1855" s="1" t="s">
        <v>273</v>
      </c>
      <c r="DF1855" s="1" t="s">
        <v>219</v>
      </c>
      <c r="DH1855" s="1" t="s">
        <v>220</v>
      </c>
      <c r="DJ1855" s="1" t="s">
        <v>222</v>
      </c>
      <c r="DL1855" s="1" t="s">
        <v>858</v>
      </c>
      <c r="DM1855" s="1" t="s">
        <v>229</v>
      </c>
      <c r="DP1855" s="1" t="s">
        <v>340</v>
      </c>
      <c r="DQ1855" s="1" t="s">
        <v>228</v>
      </c>
      <c r="DR1855" s="1" t="s">
        <v>229</v>
      </c>
      <c r="DV1855" s="1" t="s">
        <v>232</v>
      </c>
      <c r="DW1855" s="1" t="s">
        <v>279</v>
      </c>
      <c r="DX1855" s="1" t="s">
        <v>234</v>
      </c>
      <c r="EC1855" s="1" t="s">
        <v>645</v>
      </c>
      <c r="EM1855" s="1" t="s">
        <v>238</v>
      </c>
      <c r="EQ1855" s="1" t="s">
        <v>238</v>
      </c>
      <c r="EU1855" s="1" t="s">
        <v>238</v>
      </c>
      <c r="EY1855" s="1" t="s">
        <v>238</v>
      </c>
      <c r="FC1855" s="1" t="s">
        <v>238</v>
      </c>
      <c r="FF1855" s="1" t="s">
        <v>239</v>
      </c>
      <c r="FG1855" s="1" t="s">
        <v>192</v>
      </c>
      <c r="FH1855" s="1" t="s">
        <v>192</v>
      </c>
      <c r="FJ1855" s="1" t="s">
        <v>3514</v>
      </c>
      <c r="FK1855" s="1" t="s">
        <v>229</v>
      </c>
      <c r="FL1855" s="1" t="s">
        <v>3358</v>
      </c>
      <c r="FM1855" s="1">
        <v>84818.0</v>
      </c>
      <c r="FN1855" s="1" t="s">
        <v>3359</v>
      </c>
      <c r="FO1855" s="1" t="s">
        <v>3515</v>
      </c>
      <c r="FP1855" s="1">
        <v>110478.0</v>
      </c>
      <c r="FQ1855" s="1" t="s">
        <v>3359</v>
      </c>
      <c r="FU1855" s="1" t="s">
        <v>17996</v>
      </c>
      <c r="FV1855" s="1" t="s">
        <v>200</v>
      </c>
      <c r="FW1855" s="1" t="s">
        <v>654</v>
      </c>
      <c r="FX1855" s="1" t="s">
        <v>246</v>
      </c>
      <c r="FZ1855" s="1" t="s">
        <v>229</v>
      </c>
      <c r="GA1855" s="1" t="s">
        <v>291</v>
      </c>
      <c r="GB1855" s="2">
        <v>42006.0</v>
      </c>
      <c r="GC1855" s="1" t="s">
        <v>17997</v>
      </c>
    </row>
    <row r="1856">
      <c r="A1856" s="1">
        <v>314900.0</v>
      </c>
      <c r="B1856" s="1" t="s">
        <v>185</v>
      </c>
      <c r="C1856" s="1" t="str">
        <f>"08716401"</f>
        <v>08716401</v>
      </c>
      <c r="D1856" s="1" t="s">
        <v>186</v>
      </c>
      <c r="F1856" s="1" t="str">
        <f>"8072"</f>
        <v>8072</v>
      </c>
      <c r="G1856" s="2">
        <v>41884.0</v>
      </c>
      <c r="H1856" s="1">
        <v>314900.0</v>
      </c>
      <c r="I1856" s="1">
        <v>189.0</v>
      </c>
      <c r="J1856" s="1">
        <v>314900.0</v>
      </c>
      <c r="K1856" s="2">
        <v>41890.0</v>
      </c>
      <c r="L1856" s="1">
        <v>7.0</v>
      </c>
      <c r="M1856" s="2">
        <v>41890.0</v>
      </c>
      <c r="N1856" s="1" t="s">
        <v>356</v>
      </c>
      <c r="O1856" s="2">
        <v>41996.0</v>
      </c>
      <c r="P1856" s="1">
        <v>143766.0</v>
      </c>
      <c r="Q1856" s="1">
        <v>14625.0</v>
      </c>
      <c r="R1856" s="1">
        <v>6298.0</v>
      </c>
      <c r="S1856" s="1">
        <v>9400.0</v>
      </c>
      <c r="T1856" s="1" t="s">
        <v>6991</v>
      </c>
      <c r="U1856" s="1" t="s">
        <v>189</v>
      </c>
      <c r="V1856" s="1" t="s">
        <v>190</v>
      </c>
      <c r="W1856" s="1">
        <v>60643.0</v>
      </c>
      <c r="Y1856" s="1" t="s">
        <v>17998</v>
      </c>
      <c r="Z1856" s="1">
        <v>1958.0</v>
      </c>
      <c r="AA1856" s="1" t="s">
        <v>192</v>
      </c>
      <c r="AB1856" s="1" t="s">
        <v>193</v>
      </c>
      <c r="AD1856" s="1" t="s">
        <v>194</v>
      </c>
      <c r="AE1856" s="1" t="s">
        <v>195</v>
      </c>
      <c r="AF1856" s="1" t="s">
        <v>659</v>
      </c>
      <c r="AH1856" s="1" t="s">
        <v>17999</v>
      </c>
      <c r="AI1856" s="1">
        <v>0.1174</v>
      </c>
      <c r="AK1856" s="1">
        <v>10.0</v>
      </c>
      <c r="AL1856" s="1">
        <v>4.0</v>
      </c>
      <c r="AM1856" s="1">
        <v>3.0</v>
      </c>
      <c r="AN1856" s="1">
        <v>0.0</v>
      </c>
      <c r="AO1856" s="1" t="s">
        <v>229</v>
      </c>
      <c r="AP1856" s="1">
        <v>1.0</v>
      </c>
      <c r="AQ1856" s="1" t="s">
        <v>327</v>
      </c>
      <c r="AR1856" s="1" t="s">
        <v>192</v>
      </c>
      <c r="AS1856" s="1" t="s">
        <v>199</v>
      </c>
      <c r="AT1856" s="1">
        <v>2.0</v>
      </c>
      <c r="AV1856" s="1" t="s">
        <v>200</v>
      </c>
      <c r="AW1856" s="1">
        <v>5993.0</v>
      </c>
      <c r="AX1856" s="1">
        <v>2012.0</v>
      </c>
      <c r="AY1856" s="1" t="s">
        <v>387</v>
      </c>
      <c r="AZ1856" s="1" t="s">
        <v>545</v>
      </c>
      <c r="BA1856" s="1" t="str">
        <f>"25063170070000"</f>
        <v>25063170070000</v>
      </c>
      <c r="BB1856" s="1" t="s">
        <v>200</v>
      </c>
      <c r="BC1856" s="1">
        <v>2000.0</v>
      </c>
      <c r="BD1856" s="1">
        <v>314900.0</v>
      </c>
      <c r="BE1856" s="2">
        <v>41884.0</v>
      </c>
      <c r="BF1856" s="2" t="s">
        <v>18000</v>
      </c>
      <c r="BH1856" s="1">
        <v>0.0</v>
      </c>
      <c r="BK1856" s="1" t="s">
        <v>204</v>
      </c>
      <c r="BL1856" s="1" t="str">
        <f t="shared" ref="BL1856:BM1856" si="1228">"0"</f>
        <v>0</v>
      </c>
      <c r="BM1856" s="1" t="str">
        <f t="shared" si="1228"/>
        <v>0</v>
      </c>
      <c r="BN1856" s="1">
        <v>2300.0</v>
      </c>
      <c r="BO1856" s="1">
        <v>9400.0</v>
      </c>
      <c r="BQ1856" s="1">
        <v>299.0</v>
      </c>
      <c r="BR1856" s="1">
        <v>299.0</v>
      </c>
      <c r="BS1856" s="1">
        <v>299.0</v>
      </c>
      <c r="BU1856" s="1" t="s">
        <v>583</v>
      </c>
      <c r="BV1856" s="1" t="s">
        <v>206</v>
      </c>
      <c r="BW1856" s="1" t="s">
        <v>210</v>
      </c>
      <c r="BX1856" s="1" t="s">
        <v>1549</v>
      </c>
      <c r="BY1856" s="1" t="s">
        <v>213</v>
      </c>
      <c r="BZ1856" s="1" t="s">
        <v>206</v>
      </c>
      <c r="CA1856" s="1" t="s">
        <v>210</v>
      </c>
      <c r="CB1856" s="1" t="s">
        <v>431</v>
      </c>
      <c r="CC1856" s="1" t="s">
        <v>433</v>
      </c>
      <c r="CD1856" s="1" t="s">
        <v>206</v>
      </c>
      <c r="CE1856" s="1" t="s">
        <v>210</v>
      </c>
      <c r="CF1856" s="1" t="s">
        <v>1549</v>
      </c>
      <c r="CG1856" s="1" t="s">
        <v>758</v>
      </c>
      <c r="CH1856" s="1" t="s">
        <v>206</v>
      </c>
      <c r="CI1856" s="1" t="s">
        <v>210</v>
      </c>
      <c r="CJ1856" s="1" t="s">
        <v>431</v>
      </c>
      <c r="CK1856" s="1" t="s">
        <v>758</v>
      </c>
      <c r="CL1856" s="1" t="s">
        <v>206</v>
      </c>
      <c r="CM1856" s="1" t="s">
        <v>210</v>
      </c>
      <c r="CN1856" s="1" t="s">
        <v>431</v>
      </c>
      <c r="CO1856" s="1" t="s">
        <v>433</v>
      </c>
      <c r="CP1856" s="1" t="s">
        <v>206</v>
      </c>
      <c r="CQ1856" s="1" t="s">
        <v>210</v>
      </c>
      <c r="CR1856" s="1" t="s">
        <v>431</v>
      </c>
      <c r="CS1856" s="1" t="s">
        <v>955</v>
      </c>
      <c r="CT1856" s="1" t="s">
        <v>206</v>
      </c>
      <c r="CU1856" s="1" t="s">
        <v>268</v>
      </c>
      <c r="CV1856" s="1" t="s">
        <v>431</v>
      </c>
      <c r="CW1856" s="1" t="s">
        <v>2842</v>
      </c>
      <c r="CX1856" s="1" t="s">
        <v>42</v>
      </c>
      <c r="CY1856" s="1" t="s">
        <v>268</v>
      </c>
      <c r="DA1856" s="1" t="s">
        <v>200</v>
      </c>
      <c r="DC1856" s="1" t="s">
        <v>271</v>
      </c>
      <c r="DD1856" s="1" t="s">
        <v>396</v>
      </c>
      <c r="DE1856" s="1" t="s">
        <v>273</v>
      </c>
      <c r="DF1856" s="1" t="s">
        <v>619</v>
      </c>
      <c r="DG1856" s="1" t="s">
        <v>482</v>
      </c>
      <c r="DH1856" s="1" t="s">
        <v>365</v>
      </c>
      <c r="DI1856" s="1" t="s">
        <v>6881</v>
      </c>
      <c r="DJ1856" s="1" t="s">
        <v>222</v>
      </c>
      <c r="DL1856" s="1" t="s">
        <v>1161</v>
      </c>
      <c r="DM1856" s="1" t="s">
        <v>1464</v>
      </c>
      <c r="DN1856" s="1" t="s">
        <v>367</v>
      </c>
      <c r="DO1856" s="1" t="s">
        <v>590</v>
      </c>
      <c r="DP1856" s="1" t="s">
        <v>340</v>
      </c>
      <c r="DQ1856" s="1" t="s">
        <v>794</v>
      </c>
      <c r="DR1856" s="1" t="s">
        <v>229</v>
      </c>
      <c r="DS1856" s="1" t="s">
        <v>230</v>
      </c>
      <c r="DU1856" s="1" t="s">
        <v>18001</v>
      </c>
      <c r="DV1856" s="1" t="s">
        <v>18002</v>
      </c>
      <c r="DW1856" s="1" t="s">
        <v>279</v>
      </c>
      <c r="DX1856" s="1" t="s">
        <v>234</v>
      </c>
      <c r="DY1856" s="1" t="s">
        <v>371</v>
      </c>
      <c r="DZ1856" s="1" t="s">
        <v>405</v>
      </c>
      <c r="EA1856" s="1" t="s">
        <v>683</v>
      </c>
      <c r="EB1856" s="1" t="s">
        <v>345</v>
      </c>
      <c r="EC1856" s="1" t="s">
        <v>311</v>
      </c>
      <c r="ED1856" s="1" t="s">
        <v>555</v>
      </c>
      <c r="EG1856" s="1" t="s">
        <v>557</v>
      </c>
      <c r="EH1856" s="1" t="s">
        <v>450</v>
      </c>
      <c r="EI1856" s="1" t="s">
        <v>1270</v>
      </c>
      <c r="EJ1856" s="1" t="s">
        <v>1103</v>
      </c>
      <c r="EK1856" s="1" t="s">
        <v>2971</v>
      </c>
      <c r="EL1856" s="1" t="s">
        <v>264</v>
      </c>
      <c r="EM1856" s="1" t="s">
        <v>1697</v>
      </c>
      <c r="EN1856" s="1" t="s">
        <v>268</v>
      </c>
      <c r="EO1856" s="1" t="s">
        <v>229</v>
      </c>
      <c r="EP1856" s="1" t="s">
        <v>18003</v>
      </c>
      <c r="EQ1856" s="1" t="s">
        <v>1697</v>
      </c>
      <c r="ER1856" s="1" t="s">
        <v>268</v>
      </c>
      <c r="ES1856" s="1" t="s">
        <v>431</v>
      </c>
      <c r="ET1856" s="1" t="s">
        <v>331</v>
      </c>
      <c r="EU1856" s="1" t="s">
        <v>1697</v>
      </c>
      <c r="EV1856" s="1" t="s">
        <v>588</v>
      </c>
      <c r="EW1856" s="1" t="s">
        <v>229</v>
      </c>
      <c r="EX1856" s="1" t="s">
        <v>331</v>
      </c>
      <c r="EY1856" s="1" t="s">
        <v>1697</v>
      </c>
      <c r="EZ1856" s="1" t="s">
        <v>617</v>
      </c>
      <c r="FA1856" s="1" t="s">
        <v>229</v>
      </c>
      <c r="FB1856" s="1" t="s">
        <v>559</v>
      </c>
      <c r="FC1856" s="1" t="s">
        <v>1697</v>
      </c>
      <c r="FD1856" s="1" t="s">
        <v>268</v>
      </c>
      <c r="FE1856" s="1" t="s">
        <v>229</v>
      </c>
      <c r="FF1856" s="1" t="s">
        <v>239</v>
      </c>
      <c r="FG1856" s="1" t="s">
        <v>192</v>
      </c>
      <c r="FH1856" s="1" t="s">
        <v>192</v>
      </c>
      <c r="FJ1856" s="1" t="s">
        <v>2552</v>
      </c>
      <c r="FK1856" s="1" t="s">
        <v>229</v>
      </c>
      <c r="FL1856" s="1" t="s">
        <v>2718</v>
      </c>
      <c r="FM1856" s="1">
        <v>61080.0</v>
      </c>
      <c r="FN1856" s="1" t="s">
        <v>2719</v>
      </c>
      <c r="FO1856" s="1" t="s">
        <v>2720</v>
      </c>
      <c r="FP1856" s="1">
        <v>506455.0</v>
      </c>
      <c r="FQ1856" s="1" t="s">
        <v>2721</v>
      </c>
      <c r="FU1856" s="1" t="s">
        <v>2722</v>
      </c>
      <c r="FV1856" s="1" t="s">
        <v>200</v>
      </c>
      <c r="FW1856" s="1" t="s">
        <v>290</v>
      </c>
      <c r="FX1856" s="1" t="s">
        <v>655</v>
      </c>
      <c r="FZ1856" s="1" t="s">
        <v>229</v>
      </c>
      <c r="GA1856" s="1" t="s">
        <v>291</v>
      </c>
      <c r="GB1856" s="2">
        <v>42002.0</v>
      </c>
    </row>
    <row r="1857">
      <c r="A1857" s="1">
        <v>294000.0</v>
      </c>
      <c r="B1857" s="1" t="s">
        <v>185</v>
      </c>
      <c r="C1857" s="1" t="str">
        <f>"08719273"</f>
        <v>08719273</v>
      </c>
      <c r="D1857" s="1" t="s">
        <v>186</v>
      </c>
      <c r="F1857" s="1" t="str">
        <f>"174"</f>
        <v>174</v>
      </c>
      <c r="G1857" s="2">
        <v>41886.0</v>
      </c>
      <c r="H1857" s="1">
        <v>423200.0</v>
      </c>
      <c r="I1857" s="1">
        <v>192.0</v>
      </c>
      <c r="J1857" s="1">
        <v>367700.0</v>
      </c>
      <c r="K1857" s="2">
        <v>42076.0</v>
      </c>
      <c r="L1857" s="1">
        <v>191.0</v>
      </c>
      <c r="M1857" s="2">
        <v>42076.0</v>
      </c>
      <c r="N1857" s="1" t="s">
        <v>249</v>
      </c>
      <c r="O1857" s="2">
        <v>42114.0</v>
      </c>
      <c r="P1857" s="1">
        <v>879051.0</v>
      </c>
      <c r="Q1857" s="1">
        <v>86011.0</v>
      </c>
      <c r="S1857" s="1">
        <v>2815.0</v>
      </c>
      <c r="T1857" s="1" t="s">
        <v>18004</v>
      </c>
      <c r="U1857" s="1" t="s">
        <v>420</v>
      </c>
      <c r="V1857" s="1" t="s">
        <v>1200</v>
      </c>
      <c r="W1857" s="1">
        <v>60174.0</v>
      </c>
      <c r="Y1857" s="1" t="s">
        <v>18005</v>
      </c>
      <c r="Z1857" s="1">
        <v>1994.0</v>
      </c>
      <c r="AA1857" s="1" t="s">
        <v>200</v>
      </c>
      <c r="AB1857" s="1" t="s">
        <v>467</v>
      </c>
      <c r="AD1857" s="1" t="s">
        <v>1203</v>
      </c>
      <c r="AE1857" s="1" t="s">
        <v>325</v>
      </c>
      <c r="AF1857" s="1" t="s">
        <v>1203</v>
      </c>
      <c r="AH1857" s="1" t="s">
        <v>18006</v>
      </c>
      <c r="AI1857" s="1">
        <v>0.3541</v>
      </c>
      <c r="AK1857" s="1">
        <v>8.0</v>
      </c>
      <c r="AL1857" s="1">
        <v>4.0</v>
      </c>
      <c r="AM1857" s="1">
        <v>2.0</v>
      </c>
      <c r="AN1857" s="1">
        <v>1.0</v>
      </c>
      <c r="AO1857" s="1" t="s">
        <v>198</v>
      </c>
      <c r="AQ1857" s="1" t="s">
        <v>198</v>
      </c>
      <c r="AR1857" s="1" t="s">
        <v>200</v>
      </c>
      <c r="AS1857" s="1" t="s">
        <v>199</v>
      </c>
      <c r="AT1857" s="1">
        <v>3.0</v>
      </c>
      <c r="AV1857" s="1" t="s">
        <v>200</v>
      </c>
      <c r="AW1857" s="1">
        <v>11660.38</v>
      </c>
      <c r="AX1857" s="1">
        <v>2012.0</v>
      </c>
      <c r="AZ1857" s="1" t="s">
        <v>200</v>
      </c>
      <c r="BA1857" s="1" t="str">
        <f>"0924327004"</f>
        <v>0924327004</v>
      </c>
      <c r="BC1857" s="1">
        <v>3448.0</v>
      </c>
      <c r="BD1857" s="1">
        <v>294000.0</v>
      </c>
      <c r="BE1857" s="2">
        <v>41886.0</v>
      </c>
      <c r="BF1857" s="2" t="s">
        <v>18007</v>
      </c>
      <c r="BH1857" s="1">
        <v>250.0</v>
      </c>
      <c r="BK1857" s="1" t="s">
        <v>580</v>
      </c>
      <c r="BL1857" s="1" t="str">
        <f>"4"</f>
        <v>4</v>
      </c>
      <c r="BM1857" s="1" t="str">
        <f>""</f>
        <v/>
      </c>
      <c r="BN1857" s="1">
        <v>33.0</v>
      </c>
      <c r="BQ1857" s="1">
        <v>303.0</v>
      </c>
      <c r="BR1857" s="1">
        <v>303.0</v>
      </c>
      <c r="BS1857" s="1">
        <v>303.0</v>
      </c>
      <c r="BU1857" s="1" t="s">
        <v>830</v>
      </c>
      <c r="BV1857" s="1" t="s">
        <v>206</v>
      </c>
      <c r="BY1857" s="1" t="s">
        <v>2442</v>
      </c>
      <c r="BZ1857" s="1" t="s">
        <v>209</v>
      </c>
      <c r="CC1857" s="1" t="s">
        <v>478</v>
      </c>
      <c r="CD1857" s="1" t="s">
        <v>206</v>
      </c>
      <c r="CG1857" s="1" t="s">
        <v>1395</v>
      </c>
      <c r="CH1857" s="1" t="s">
        <v>209</v>
      </c>
      <c r="CK1857" s="1" t="s">
        <v>1190</v>
      </c>
      <c r="CL1857" s="1" t="s">
        <v>209</v>
      </c>
      <c r="CO1857" s="1" t="s">
        <v>215</v>
      </c>
      <c r="CP1857" s="1" t="s">
        <v>209</v>
      </c>
      <c r="CS1857" s="1" t="s">
        <v>4919</v>
      </c>
      <c r="CT1857" s="1" t="s">
        <v>206</v>
      </c>
      <c r="CW1857" s="1" t="s">
        <v>1518</v>
      </c>
      <c r="CX1857" s="1" t="s">
        <v>206</v>
      </c>
      <c r="DA1857" s="1" t="s">
        <v>200</v>
      </c>
      <c r="DC1857" s="1" t="s">
        <v>435</v>
      </c>
      <c r="DE1857" s="1" t="s">
        <v>273</v>
      </c>
      <c r="DF1857" s="1" t="s">
        <v>619</v>
      </c>
      <c r="DH1857" s="1" t="s">
        <v>220</v>
      </c>
      <c r="DJ1857" s="1" t="s">
        <v>222</v>
      </c>
      <c r="DL1857" s="1" t="s">
        <v>223</v>
      </c>
      <c r="DM1857" s="1" t="s">
        <v>229</v>
      </c>
      <c r="DQ1857" s="1" t="s">
        <v>441</v>
      </c>
      <c r="DR1857" s="1" t="s">
        <v>588</v>
      </c>
      <c r="DV1857" s="1" t="s">
        <v>232</v>
      </c>
      <c r="DW1857" s="1" t="s">
        <v>1210</v>
      </c>
      <c r="DX1857" s="1" t="s">
        <v>234</v>
      </c>
      <c r="EC1857" s="1" t="s">
        <v>237</v>
      </c>
      <c r="EM1857" s="1" t="s">
        <v>238</v>
      </c>
      <c r="EQ1857" s="1" t="s">
        <v>238</v>
      </c>
      <c r="EU1857" s="1" t="s">
        <v>238</v>
      </c>
      <c r="EY1857" s="1" t="s">
        <v>238</v>
      </c>
      <c r="FC1857" s="1" t="s">
        <v>238</v>
      </c>
      <c r="FF1857" s="1" t="s">
        <v>239</v>
      </c>
      <c r="FG1857" s="1" t="s">
        <v>192</v>
      </c>
      <c r="FH1857" s="1" t="s">
        <v>192</v>
      </c>
      <c r="FJ1857" s="1" t="s">
        <v>18008</v>
      </c>
      <c r="FK1857" s="1" t="s">
        <v>229</v>
      </c>
      <c r="FL1857" s="1" t="s">
        <v>4954</v>
      </c>
      <c r="FM1857" s="1">
        <v>25558.0</v>
      </c>
      <c r="FN1857" s="1" t="s">
        <v>1998</v>
      </c>
      <c r="FO1857" s="1" t="s">
        <v>7158</v>
      </c>
      <c r="FP1857" s="1">
        <v>241068.0</v>
      </c>
      <c r="FQ1857" s="1" t="s">
        <v>7159</v>
      </c>
      <c r="FU1857" s="1" t="s">
        <v>7160</v>
      </c>
      <c r="FV1857" s="1" t="s">
        <v>200</v>
      </c>
      <c r="FW1857" s="1" t="s">
        <v>290</v>
      </c>
      <c r="FZ1857" s="1" t="s">
        <v>229</v>
      </c>
      <c r="GA1857" s="1" t="s">
        <v>291</v>
      </c>
      <c r="GB1857" s="2">
        <v>42116.0</v>
      </c>
      <c r="GC1857" s="1" t="s">
        <v>18009</v>
      </c>
    </row>
    <row r="1858">
      <c r="A1858" s="1">
        <v>1100000.0</v>
      </c>
      <c r="B1858" s="1" t="s">
        <v>185</v>
      </c>
      <c r="C1858" s="1" t="str">
        <f>"08714644"</f>
        <v>08714644</v>
      </c>
      <c r="D1858" s="1" t="s">
        <v>186</v>
      </c>
      <c r="F1858" s="1" t="str">
        <f>"8008"</f>
        <v>8008</v>
      </c>
      <c r="G1858" s="2">
        <v>41880.0</v>
      </c>
      <c r="H1858" s="1">
        <v>1000000.0</v>
      </c>
      <c r="I1858" s="1">
        <v>6.0</v>
      </c>
      <c r="J1858" s="1">
        <v>1800000.0</v>
      </c>
      <c r="K1858" s="2">
        <v>41885.0</v>
      </c>
      <c r="L1858" s="1">
        <v>6.0</v>
      </c>
      <c r="M1858" s="2">
        <v>41885.0</v>
      </c>
      <c r="N1858" s="1" t="s">
        <v>5859</v>
      </c>
      <c r="O1858" s="2">
        <v>42082.0</v>
      </c>
      <c r="P1858" s="1">
        <v>180162.0</v>
      </c>
      <c r="Q1858" s="1">
        <v>85391.0</v>
      </c>
      <c r="S1858" s="1">
        <v>34.0</v>
      </c>
      <c r="T1858" s="1" t="s">
        <v>18010</v>
      </c>
      <c r="U1858" s="1" t="s">
        <v>694</v>
      </c>
      <c r="V1858" s="1" t="s">
        <v>190</v>
      </c>
      <c r="W1858" s="1">
        <v>60611.0</v>
      </c>
      <c r="Y1858" s="1" t="s">
        <v>18011</v>
      </c>
      <c r="Z1858" s="1" t="s">
        <v>296</v>
      </c>
      <c r="AA1858" s="1" t="s">
        <v>192</v>
      </c>
      <c r="AB1858" s="1" t="s">
        <v>193</v>
      </c>
      <c r="AD1858" s="1" t="s">
        <v>194</v>
      </c>
      <c r="AE1858" s="1" t="s">
        <v>195</v>
      </c>
      <c r="AF1858" s="1" t="s">
        <v>2645</v>
      </c>
      <c r="AH1858" s="1" t="s">
        <v>18012</v>
      </c>
      <c r="AK1858" s="1">
        <v>4.0</v>
      </c>
      <c r="AL1858" s="1">
        <v>4.0</v>
      </c>
      <c r="AM1858" s="1">
        <v>3.0</v>
      </c>
      <c r="AN1858" s="1">
        <v>0.0</v>
      </c>
      <c r="AO1858" s="1" t="s">
        <v>229</v>
      </c>
      <c r="AQ1858" s="1" t="s">
        <v>951</v>
      </c>
      <c r="AR1858" s="1" t="s">
        <v>192</v>
      </c>
      <c r="AS1858" s="1" t="s">
        <v>828</v>
      </c>
      <c r="AU1858" s="1">
        <v>2.0</v>
      </c>
      <c r="AV1858" s="1" t="s">
        <v>200</v>
      </c>
      <c r="AW1858" s="1">
        <v>31183.71</v>
      </c>
      <c r="AX1858" s="1">
        <v>2013.0</v>
      </c>
      <c r="AZ1858" s="1" t="s">
        <v>200</v>
      </c>
      <c r="BA1858" s="1" t="str">
        <f>"17032020330000"</f>
        <v>17032020330000</v>
      </c>
      <c r="BC1858" s="1">
        <v>0.0</v>
      </c>
      <c r="BD1858" s="1">
        <v>1100000.0</v>
      </c>
      <c r="BE1858" s="2">
        <v>41880.0</v>
      </c>
      <c r="BH1858" s="1">
        <v>0.0</v>
      </c>
      <c r="BK1858" s="1" t="s">
        <v>204</v>
      </c>
      <c r="BL1858" s="1" t="str">
        <f>"1031"</f>
        <v>1031</v>
      </c>
      <c r="BM1858" s="1" t="str">
        <f>"34"</f>
        <v>34</v>
      </c>
      <c r="BN1858" s="1">
        <v>0.0</v>
      </c>
      <c r="BO1858" s="1">
        <v>0.0</v>
      </c>
      <c r="BQ1858" s="1">
        <v>299.0</v>
      </c>
      <c r="BR1858" s="1">
        <v>299.0</v>
      </c>
      <c r="BS1858" s="1">
        <v>299.0</v>
      </c>
      <c r="BV1858" s="1" t="s">
        <v>204</v>
      </c>
      <c r="BY1858" s="1" t="s">
        <v>3453</v>
      </c>
      <c r="BZ1858" s="1" t="s">
        <v>206</v>
      </c>
      <c r="CD1858" s="1" t="s">
        <v>204</v>
      </c>
      <c r="CG1858" s="1" t="s">
        <v>3453</v>
      </c>
      <c r="CH1858" s="1" t="s">
        <v>206</v>
      </c>
      <c r="CK1858" s="1" t="s">
        <v>3453</v>
      </c>
      <c r="CL1858" s="1" t="s">
        <v>209</v>
      </c>
      <c r="CO1858" s="1" t="s">
        <v>3453</v>
      </c>
      <c r="CP1858" s="1" t="s">
        <v>209</v>
      </c>
      <c r="CT1858" s="1" t="s">
        <v>204</v>
      </c>
      <c r="CX1858" s="1" t="s">
        <v>204</v>
      </c>
      <c r="DA1858" s="1" t="s">
        <v>200</v>
      </c>
      <c r="DC1858" s="1" t="s">
        <v>702</v>
      </c>
      <c r="DE1858" s="1" t="s">
        <v>273</v>
      </c>
      <c r="DF1858" s="1" t="s">
        <v>619</v>
      </c>
      <c r="DH1858" s="1" t="s">
        <v>365</v>
      </c>
      <c r="DJ1858" s="1" t="s">
        <v>222</v>
      </c>
      <c r="DL1858" s="1" t="s">
        <v>858</v>
      </c>
      <c r="DM1858" s="1" t="s">
        <v>1464</v>
      </c>
      <c r="DQ1858" s="1" t="s">
        <v>228</v>
      </c>
      <c r="DR1858" s="1" t="s">
        <v>229</v>
      </c>
      <c r="DV1858" s="1" t="s">
        <v>232</v>
      </c>
      <c r="DW1858" s="1" t="s">
        <v>2128</v>
      </c>
      <c r="DX1858" s="1" t="s">
        <v>234</v>
      </c>
      <c r="EC1858" s="1" t="s">
        <v>406</v>
      </c>
      <c r="EM1858" s="1" t="s">
        <v>238</v>
      </c>
      <c r="EQ1858" s="1" t="s">
        <v>238</v>
      </c>
      <c r="EU1858" s="1" t="s">
        <v>238</v>
      </c>
      <c r="EY1858" s="1" t="s">
        <v>238</v>
      </c>
      <c r="FC1858" s="1" t="s">
        <v>238</v>
      </c>
      <c r="FF1858" s="1" t="s">
        <v>239</v>
      </c>
      <c r="FG1858" s="1" t="s">
        <v>192</v>
      </c>
      <c r="FH1858" s="1" t="s">
        <v>200</v>
      </c>
      <c r="FJ1858" s="1" t="s">
        <v>18013</v>
      </c>
      <c r="FK1858" s="1" t="s">
        <v>1586</v>
      </c>
      <c r="FL1858" s="1" t="s">
        <v>18014</v>
      </c>
      <c r="FM1858" s="1">
        <v>85391.0</v>
      </c>
      <c r="FN1858" s="1" t="s">
        <v>18015</v>
      </c>
      <c r="FO1858" s="1" t="s">
        <v>18016</v>
      </c>
      <c r="FP1858" s="1">
        <v>180162.0</v>
      </c>
      <c r="FQ1858" s="1" t="s">
        <v>18017</v>
      </c>
      <c r="FU1858" s="1" t="s">
        <v>417</v>
      </c>
      <c r="FV1858" s="1" t="s">
        <v>200</v>
      </c>
      <c r="FW1858" s="1" t="s">
        <v>290</v>
      </c>
      <c r="FX1858" s="1" t="s">
        <v>1739</v>
      </c>
      <c r="FZ1858" s="1" t="s">
        <v>229</v>
      </c>
      <c r="GA1858" s="1" t="s">
        <v>291</v>
      </c>
      <c r="GB1858" s="2">
        <v>42088.0</v>
      </c>
      <c r="GC1858" s="1" t="s">
        <v>18018</v>
      </c>
    </row>
    <row r="1859">
      <c r="A1859" s="1">
        <v>204500.0</v>
      </c>
      <c r="B1859" s="1" t="s">
        <v>185</v>
      </c>
      <c r="C1859" s="1" t="str">
        <f>"08721468"</f>
        <v>08721468</v>
      </c>
      <c r="D1859" s="1" t="s">
        <v>186</v>
      </c>
      <c r="F1859" s="1" t="str">
        <f>"118"</f>
        <v>118</v>
      </c>
      <c r="G1859" s="2">
        <v>41889.0</v>
      </c>
      <c r="H1859" s="1">
        <v>239900.0</v>
      </c>
      <c r="I1859" s="1">
        <v>46.0</v>
      </c>
      <c r="J1859" s="1">
        <v>219900.0</v>
      </c>
      <c r="K1859" s="2">
        <v>41934.0</v>
      </c>
      <c r="L1859" s="1">
        <v>46.0</v>
      </c>
      <c r="M1859" s="2">
        <v>41934.0</v>
      </c>
      <c r="N1859" s="1" t="s">
        <v>187</v>
      </c>
      <c r="O1859" s="2">
        <v>41981.0</v>
      </c>
      <c r="P1859" s="1">
        <v>42168.0</v>
      </c>
      <c r="Q1859" s="1">
        <v>6026.0</v>
      </c>
      <c r="R1859" s="1">
        <v>5000.0</v>
      </c>
      <c r="S1859" s="1">
        <v>691.0</v>
      </c>
      <c r="T1859" s="1" t="s">
        <v>18019</v>
      </c>
      <c r="U1859" s="1" t="s">
        <v>1174</v>
      </c>
      <c r="V1859" s="1" t="s">
        <v>1086</v>
      </c>
      <c r="W1859" s="1">
        <v>60118.0</v>
      </c>
      <c r="X1859" s="1">
        <v>3338.0</v>
      </c>
      <c r="Y1859" s="1" t="s">
        <v>18020</v>
      </c>
      <c r="Z1859" s="1">
        <v>1988.0</v>
      </c>
      <c r="AA1859" s="1" t="s">
        <v>200</v>
      </c>
      <c r="AB1859" s="1" t="s">
        <v>193</v>
      </c>
      <c r="AC1859" s="1" t="s">
        <v>18021</v>
      </c>
      <c r="AD1859" s="1" t="s">
        <v>3394</v>
      </c>
      <c r="AE1859" s="1" t="s">
        <v>325</v>
      </c>
      <c r="AF1859" s="1" t="s">
        <v>810</v>
      </c>
      <c r="AG1859" s="1" t="s">
        <v>18022</v>
      </c>
      <c r="AH1859" s="1" t="s">
        <v>18023</v>
      </c>
      <c r="AI1859" s="1">
        <v>0.3812</v>
      </c>
      <c r="AK1859" s="1">
        <v>8.0</v>
      </c>
      <c r="AL1859" s="1">
        <v>4.0</v>
      </c>
      <c r="AM1859" s="1">
        <v>2.0</v>
      </c>
      <c r="AN1859" s="1">
        <v>1.0</v>
      </c>
      <c r="AO1859" s="1" t="s">
        <v>198</v>
      </c>
      <c r="AP1859" s="1">
        <v>1.0</v>
      </c>
      <c r="AQ1859" s="1" t="s">
        <v>198</v>
      </c>
      <c r="AR1859" s="1" t="s">
        <v>200</v>
      </c>
      <c r="AS1859" s="1" t="s">
        <v>199</v>
      </c>
      <c r="AT1859" s="1">
        <v>3.0</v>
      </c>
      <c r="AV1859" s="1" t="s">
        <v>200</v>
      </c>
      <c r="AW1859" s="1">
        <v>5200.0</v>
      </c>
      <c r="AX1859" s="1">
        <v>2013.0</v>
      </c>
      <c r="AY1859" s="1" t="s">
        <v>387</v>
      </c>
      <c r="AZ1859" s="1" t="s">
        <v>200</v>
      </c>
      <c r="BA1859" s="1" t="str">
        <f>"0321277001"</f>
        <v>0321277001</v>
      </c>
      <c r="BC1859" s="1">
        <v>2560.0</v>
      </c>
      <c r="BD1859" s="1">
        <v>204500.0</v>
      </c>
      <c r="BE1859" s="2">
        <v>41889.0</v>
      </c>
      <c r="BF1859" s="2" t="s">
        <v>18024</v>
      </c>
      <c r="BG1859" s="1" t="s">
        <v>3486</v>
      </c>
      <c r="BH1859" s="1">
        <v>0.0</v>
      </c>
      <c r="BI1859" s="1" t="s">
        <v>1093</v>
      </c>
      <c r="BJ1859" s="1" t="s">
        <v>1759</v>
      </c>
      <c r="BK1859" s="1" t="s">
        <v>204</v>
      </c>
      <c r="BL1859" s="1" t="str">
        <f>"16"</f>
        <v>16</v>
      </c>
      <c r="BM1859" s="1" t="str">
        <f>"0"</f>
        <v>0</v>
      </c>
      <c r="BN1859" s="1">
        <v>35.0</v>
      </c>
      <c r="BO1859" s="1">
        <v>0.0</v>
      </c>
      <c r="BQ1859" s="1">
        <v>300.0</v>
      </c>
      <c r="BR1859" s="1">
        <v>300.0</v>
      </c>
      <c r="BS1859" s="1">
        <v>300.0</v>
      </c>
      <c r="BU1859" s="1" t="s">
        <v>213</v>
      </c>
      <c r="BV1859" s="1" t="s">
        <v>206</v>
      </c>
      <c r="BW1859" s="1" t="s">
        <v>210</v>
      </c>
      <c r="BX1859" s="1" t="s">
        <v>431</v>
      </c>
      <c r="BY1859" s="1" t="s">
        <v>639</v>
      </c>
      <c r="BZ1859" s="1" t="s">
        <v>209</v>
      </c>
      <c r="CA1859" s="1" t="s">
        <v>210</v>
      </c>
      <c r="CB1859" s="1" t="s">
        <v>431</v>
      </c>
      <c r="CC1859" s="1" t="s">
        <v>332</v>
      </c>
      <c r="CD1859" s="1" t="s">
        <v>206</v>
      </c>
      <c r="CE1859" s="1" t="s">
        <v>210</v>
      </c>
      <c r="CF1859" s="1" t="s">
        <v>431</v>
      </c>
      <c r="CG1859" s="1" t="s">
        <v>332</v>
      </c>
      <c r="CH1859" s="1" t="s">
        <v>209</v>
      </c>
      <c r="CI1859" s="1" t="s">
        <v>210</v>
      </c>
      <c r="CJ1859" s="1" t="s">
        <v>431</v>
      </c>
      <c r="CK1859" s="1" t="s">
        <v>212</v>
      </c>
      <c r="CL1859" s="1" t="s">
        <v>209</v>
      </c>
      <c r="CM1859" s="1" t="s">
        <v>210</v>
      </c>
      <c r="CN1859" s="1" t="s">
        <v>431</v>
      </c>
      <c r="CO1859" s="1" t="s">
        <v>699</v>
      </c>
      <c r="CP1859" s="1" t="s">
        <v>209</v>
      </c>
      <c r="CQ1859" s="1" t="s">
        <v>210</v>
      </c>
      <c r="CR1859" s="1" t="s">
        <v>431</v>
      </c>
      <c r="CS1859" s="1" t="s">
        <v>925</v>
      </c>
      <c r="CT1859" s="1" t="s">
        <v>206</v>
      </c>
      <c r="CU1859" s="1" t="s">
        <v>617</v>
      </c>
      <c r="CV1859" s="1" t="s">
        <v>431</v>
      </c>
      <c r="CW1859" s="1" t="s">
        <v>616</v>
      </c>
      <c r="CX1859" s="1" t="s">
        <v>206</v>
      </c>
      <c r="CY1859" s="1" t="s">
        <v>210</v>
      </c>
      <c r="CZ1859" s="1" t="s">
        <v>431</v>
      </c>
      <c r="DA1859" s="1" t="s">
        <v>200</v>
      </c>
      <c r="DC1859" s="1" t="s">
        <v>305</v>
      </c>
      <c r="DD1859" s="1" t="s">
        <v>518</v>
      </c>
      <c r="DE1859" s="1" t="s">
        <v>273</v>
      </c>
      <c r="DF1859" s="1" t="s">
        <v>219</v>
      </c>
      <c r="DG1859" s="1" t="s">
        <v>1140</v>
      </c>
      <c r="DH1859" s="1" t="s">
        <v>220</v>
      </c>
      <c r="DI1859" s="1" t="s">
        <v>1223</v>
      </c>
      <c r="DJ1859" s="1" t="s">
        <v>222</v>
      </c>
      <c r="DK1859" s="1" t="s">
        <v>223</v>
      </c>
      <c r="DL1859" s="1" t="s">
        <v>223</v>
      </c>
      <c r="DM1859" s="1" t="s">
        <v>338</v>
      </c>
      <c r="DN1859" s="1" t="s">
        <v>399</v>
      </c>
      <c r="DO1859" s="1" t="s">
        <v>440</v>
      </c>
      <c r="DP1859" s="1" t="s">
        <v>400</v>
      </c>
      <c r="DQ1859" s="1" t="s">
        <v>441</v>
      </c>
      <c r="DR1859" s="1" t="s">
        <v>229</v>
      </c>
      <c r="DV1859" s="1" t="s">
        <v>1102</v>
      </c>
      <c r="DW1859" s="1" t="s">
        <v>370</v>
      </c>
      <c r="DX1859" s="1" t="s">
        <v>234</v>
      </c>
      <c r="DY1859" s="1" t="s">
        <v>18025</v>
      </c>
      <c r="DZ1859" s="1" t="s">
        <v>1100</v>
      </c>
      <c r="EA1859" s="1" t="s">
        <v>1027</v>
      </c>
      <c r="EB1859" s="1" t="s">
        <v>5230</v>
      </c>
      <c r="EC1859" s="1" t="s">
        <v>237</v>
      </c>
      <c r="ED1859" s="1" t="s">
        <v>407</v>
      </c>
      <c r="EE1859" s="1" t="s">
        <v>187</v>
      </c>
      <c r="EG1859" s="1" t="s">
        <v>1102</v>
      </c>
      <c r="EL1859" s="1" t="s">
        <v>3539</v>
      </c>
      <c r="EM1859" s="1" t="s">
        <v>206</v>
      </c>
      <c r="EN1859" s="1" t="s">
        <v>617</v>
      </c>
      <c r="EO1859" s="1" t="s">
        <v>431</v>
      </c>
      <c r="EQ1859" s="1" t="s">
        <v>238</v>
      </c>
      <c r="EU1859" s="1" t="s">
        <v>238</v>
      </c>
      <c r="EY1859" s="1" t="s">
        <v>238</v>
      </c>
      <c r="FC1859" s="1" t="s">
        <v>238</v>
      </c>
      <c r="FF1859" s="1" t="s">
        <v>239</v>
      </c>
      <c r="FG1859" s="1" t="s">
        <v>192</v>
      </c>
      <c r="FH1859" s="1" t="s">
        <v>192</v>
      </c>
      <c r="FJ1859" s="1" t="s">
        <v>4471</v>
      </c>
      <c r="FK1859" s="1" t="s">
        <v>229</v>
      </c>
      <c r="FL1859" s="1" t="s">
        <v>3218</v>
      </c>
      <c r="FM1859" s="1">
        <v>8081.0</v>
      </c>
      <c r="FN1859" s="1" t="s">
        <v>18026</v>
      </c>
      <c r="FO1859" s="1" t="s">
        <v>18027</v>
      </c>
      <c r="FP1859" s="1">
        <v>81239.0</v>
      </c>
      <c r="FQ1859" s="1" t="s">
        <v>18028</v>
      </c>
      <c r="FR1859" s="1">
        <v>81738.0</v>
      </c>
      <c r="FS1859" s="1" t="s">
        <v>18029</v>
      </c>
      <c r="FT1859" s="1" t="s">
        <v>18030</v>
      </c>
      <c r="FU1859" s="1" t="s">
        <v>6531</v>
      </c>
      <c r="FV1859" s="1" t="s">
        <v>200</v>
      </c>
      <c r="FW1859" s="1" t="s">
        <v>461</v>
      </c>
      <c r="FZ1859" s="1" t="s">
        <v>229</v>
      </c>
      <c r="GA1859" s="1" t="s">
        <v>291</v>
      </c>
      <c r="GB1859" s="2">
        <v>41981.0</v>
      </c>
      <c r="GC1859" s="1" t="s">
        <v>18031</v>
      </c>
    </row>
    <row r="1860">
      <c r="A1860" s="1">
        <v>395000.0</v>
      </c>
      <c r="B1860" s="1" t="s">
        <v>185</v>
      </c>
      <c r="C1860" s="1" t="str">
        <f>"08724780"</f>
        <v>08724780</v>
      </c>
      <c r="D1860" s="1" t="s">
        <v>186</v>
      </c>
      <c r="F1860" s="1" t="str">
        <f>"174"</f>
        <v>174</v>
      </c>
      <c r="G1860" s="2">
        <v>41892.0</v>
      </c>
      <c r="H1860" s="1">
        <v>425000.0</v>
      </c>
      <c r="I1860" s="1">
        <v>63.0</v>
      </c>
      <c r="J1860" s="1">
        <v>425000.0</v>
      </c>
      <c r="K1860" s="2">
        <v>41954.0</v>
      </c>
      <c r="L1860" s="1">
        <v>63.0</v>
      </c>
      <c r="M1860" s="2">
        <v>41954.0</v>
      </c>
      <c r="N1860" s="1" t="s">
        <v>187</v>
      </c>
      <c r="O1860" s="2">
        <v>41989.0</v>
      </c>
      <c r="P1860" s="1">
        <v>30.0</v>
      </c>
      <c r="Q1860" s="1">
        <v>49.0</v>
      </c>
      <c r="S1860" s="1" t="s">
        <v>18032</v>
      </c>
      <c r="T1860" s="1" t="s">
        <v>18033</v>
      </c>
      <c r="U1860" s="1" t="s">
        <v>1015</v>
      </c>
      <c r="V1860" s="1" t="s">
        <v>11389</v>
      </c>
      <c r="W1860" s="1">
        <v>60124.0</v>
      </c>
      <c r="Y1860" s="1" t="s">
        <v>18034</v>
      </c>
      <c r="Z1860" s="1">
        <v>1995.0</v>
      </c>
      <c r="AA1860" s="1" t="s">
        <v>200</v>
      </c>
      <c r="AB1860" s="1" t="s">
        <v>193</v>
      </c>
      <c r="AD1860" s="1" t="s">
        <v>1089</v>
      </c>
      <c r="AE1860" s="1" t="s">
        <v>325</v>
      </c>
      <c r="AF1860" s="1" t="s">
        <v>572</v>
      </c>
      <c r="AH1860" s="1" t="s">
        <v>18035</v>
      </c>
      <c r="AI1860" s="1">
        <v>1.29</v>
      </c>
      <c r="AK1860" s="1">
        <v>12.0</v>
      </c>
      <c r="AL1860" s="1">
        <v>4.0</v>
      </c>
      <c r="AM1860" s="1">
        <v>2.0</v>
      </c>
      <c r="AN1860" s="1">
        <v>2.0</v>
      </c>
      <c r="AO1860" s="1" t="s">
        <v>198</v>
      </c>
      <c r="AP1860" s="1">
        <v>2.0</v>
      </c>
      <c r="AQ1860" s="1" t="s">
        <v>472</v>
      </c>
      <c r="AR1860" s="1" t="s">
        <v>192</v>
      </c>
      <c r="AS1860" s="1" t="s">
        <v>199</v>
      </c>
      <c r="AT1860" s="1">
        <v>3.0</v>
      </c>
      <c r="AV1860" s="1" t="s">
        <v>200</v>
      </c>
      <c r="AW1860" s="1">
        <v>10032.94</v>
      </c>
      <c r="AX1860" s="1">
        <v>2013.0</v>
      </c>
      <c r="AY1860" s="1" t="s">
        <v>387</v>
      </c>
      <c r="AZ1860" s="1" t="s">
        <v>200</v>
      </c>
      <c r="BA1860" s="1" t="str">
        <f>"0532426013"</f>
        <v>0532426013</v>
      </c>
      <c r="BC1860" s="1">
        <v>3113.0</v>
      </c>
      <c r="BD1860" s="1">
        <v>395000.0</v>
      </c>
      <c r="BE1860" s="2">
        <v>41892.0</v>
      </c>
      <c r="BF1860" s="2" t="s">
        <v>18036</v>
      </c>
      <c r="BH1860" s="1">
        <v>0.0</v>
      </c>
      <c r="BK1860" s="1" t="s">
        <v>204</v>
      </c>
      <c r="BL1860" s="1" t="str">
        <f t="shared" ref="BL1860:BM1860" si="1229">""</f>
        <v/>
      </c>
      <c r="BM1860" s="1" t="str">
        <f t="shared" si="1229"/>
        <v/>
      </c>
      <c r="BQ1860" s="1">
        <v>301.0</v>
      </c>
      <c r="BR1860" s="1">
        <v>301.0</v>
      </c>
      <c r="BS1860" s="1">
        <v>301.0</v>
      </c>
      <c r="BU1860" s="1" t="s">
        <v>213</v>
      </c>
      <c r="BV1860" s="1" t="s">
        <v>206</v>
      </c>
      <c r="BW1860" s="1" t="s">
        <v>210</v>
      </c>
      <c r="BX1860" s="1" t="s">
        <v>1549</v>
      </c>
      <c r="BY1860" s="1" t="s">
        <v>784</v>
      </c>
      <c r="BZ1860" s="1" t="s">
        <v>209</v>
      </c>
      <c r="CA1860" s="1" t="s">
        <v>210</v>
      </c>
      <c r="CB1860" s="1" t="s">
        <v>261</v>
      </c>
      <c r="CC1860" s="1" t="s">
        <v>329</v>
      </c>
      <c r="CD1860" s="1" t="s">
        <v>206</v>
      </c>
      <c r="CE1860" s="1" t="s">
        <v>210</v>
      </c>
      <c r="CF1860" s="1" t="s">
        <v>1549</v>
      </c>
      <c r="CG1860" s="1" t="s">
        <v>212</v>
      </c>
      <c r="CH1860" s="1" t="s">
        <v>209</v>
      </c>
      <c r="CI1860" s="1" t="s">
        <v>210</v>
      </c>
      <c r="CJ1860" s="1" t="s">
        <v>261</v>
      </c>
      <c r="CK1860" s="1" t="s">
        <v>332</v>
      </c>
      <c r="CL1860" s="1" t="s">
        <v>209</v>
      </c>
      <c r="CM1860" s="1" t="s">
        <v>210</v>
      </c>
      <c r="CN1860" s="1" t="s">
        <v>261</v>
      </c>
      <c r="CO1860" s="1" t="s">
        <v>332</v>
      </c>
      <c r="CP1860" s="1" t="s">
        <v>209</v>
      </c>
      <c r="CQ1860" s="1" t="s">
        <v>210</v>
      </c>
      <c r="CR1860" s="1" t="s">
        <v>261</v>
      </c>
      <c r="CS1860" s="1" t="s">
        <v>215</v>
      </c>
      <c r="CT1860" s="1" t="s">
        <v>206</v>
      </c>
      <c r="CU1860" s="1" t="s">
        <v>207</v>
      </c>
      <c r="CV1860" s="1" t="s">
        <v>229</v>
      </c>
      <c r="CW1860" s="1" t="s">
        <v>1892</v>
      </c>
      <c r="CX1860" s="1" t="s">
        <v>206</v>
      </c>
      <c r="CY1860" s="1" t="s">
        <v>210</v>
      </c>
      <c r="CZ1860" s="1" t="s">
        <v>1549</v>
      </c>
      <c r="DA1860" s="1" t="s">
        <v>200</v>
      </c>
      <c r="DC1860" s="1" t="s">
        <v>678</v>
      </c>
      <c r="DD1860" s="1" t="s">
        <v>1838</v>
      </c>
      <c r="DE1860" s="1" t="s">
        <v>273</v>
      </c>
      <c r="DF1860" s="1" t="s">
        <v>219</v>
      </c>
      <c r="DG1860" s="1" t="s">
        <v>1553</v>
      </c>
      <c r="DH1860" s="1" t="s">
        <v>856</v>
      </c>
      <c r="DI1860" s="1" t="s">
        <v>703</v>
      </c>
      <c r="DJ1860" s="1" t="s">
        <v>857</v>
      </c>
      <c r="DL1860" s="1" t="s">
        <v>224</v>
      </c>
      <c r="DM1860" s="1" t="s">
        <v>338</v>
      </c>
      <c r="DN1860" s="1" t="s">
        <v>548</v>
      </c>
      <c r="DO1860" s="1" t="s">
        <v>18037</v>
      </c>
      <c r="DP1860" s="1" t="s">
        <v>340</v>
      </c>
      <c r="DQ1860" s="1" t="s">
        <v>931</v>
      </c>
      <c r="DR1860" s="1" t="s">
        <v>229</v>
      </c>
      <c r="DU1860" s="1" t="s">
        <v>18038</v>
      </c>
      <c r="DV1860" s="1" t="s">
        <v>18039</v>
      </c>
      <c r="DW1860" s="1" t="s">
        <v>764</v>
      </c>
      <c r="DX1860" s="1" t="s">
        <v>234</v>
      </c>
      <c r="DY1860" s="1" t="s">
        <v>1821</v>
      </c>
      <c r="DZ1860" s="1" t="s">
        <v>2424</v>
      </c>
      <c r="EA1860" s="1" t="s">
        <v>344</v>
      </c>
      <c r="EB1860" s="1" t="s">
        <v>1639</v>
      </c>
      <c r="EC1860" s="1" t="s">
        <v>237</v>
      </c>
      <c r="ED1860" s="1" t="s">
        <v>407</v>
      </c>
      <c r="EH1860" s="1" t="s">
        <v>494</v>
      </c>
      <c r="EI1860" s="1" t="s">
        <v>450</v>
      </c>
      <c r="EJ1860" s="1" t="s">
        <v>451</v>
      </c>
      <c r="EM1860" s="1" t="s">
        <v>238</v>
      </c>
      <c r="EP1860" s="1" t="s">
        <v>264</v>
      </c>
      <c r="EQ1860" s="1" t="s">
        <v>206</v>
      </c>
      <c r="ER1860" s="1" t="s">
        <v>210</v>
      </c>
      <c r="ES1860" s="1" t="s">
        <v>261</v>
      </c>
      <c r="ET1860" s="1" t="s">
        <v>2132</v>
      </c>
      <c r="EU1860" s="1" t="s">
        <v>42</v>
      </c>
      <c r="EV1860" s="1" t="s">
        <v>210</v>
      </c>
      <c r="EW1860" s="1" t="s">
        <v>431</v>
      </c>
      <c r="EX1860" s="1" t="s">
        <v>640</v>
      </c>
      <c r="EY1860" s="1" t="s">
        <v>42</v>
      </c>
      <c r="EZ1860" s="1" t="s">
        <v>268</v>
      </c>
      <c r="FA1860" s="1" t="s">
        <v>431</v>
      </c>
      <c r="FC1860" s="1" t="s">
        <v>238</v>
      </c>
      <c r="FF1860" s="1" t="s">
        <v>239</v>
      </c>
      <c r="FG1860" s="1" t="s">
        <v>192</v>
      </c>
      <c r="FH1860" s="1" t="s">
        <v>192</v>
      </c>
      <c r="FJ1860" s="1" t="s">
        <v>2206</v>
      </c>
      <c r="FK1860" s="1" t="s">
        <v>229</v>
      </c>
      <c r="FL1860" s="1" t="s">
        <v>1212</v>
      </c>
      <c r="FM1860" s="1">
        <v>30.0</v>
      </c>
      <c r="FN1860" s="1" t="s">
        <v>1213</v>
      </c>
      <c r="FO1860" s="1" t="s">
        <v>10026</v>
      </c>
      <c r="FP1860" s="1">
        <v>7679.0</v>
      </c>
      <c r="FQ1860" s="1" t="s">
        <v>10027</v>
      </c>
      <c r="FU1860" s="1" t="s">
        <v>18040</v>
      </c>
      <c r="FV1860" s="1" t="s">
        <v>200</v>
      </c>
      <c r="FW1860" s="1" t="s">
        <v>290</v>
      </c>
      <c r="FZ1860" s="1" t="s">
        <v>229</v>
      </c>
      <c r="GA1860" s="1" t="s">
        <v>291</v>
      </c>
      <c r="GB1860" s="2">
        <v>41989.0</v>
      </c>
      <c r="GC1860" s="1" t="s">
        <v>18041</v>
      </c>
    </row>
    <row r="1861">
      <c r="A1861" s="1">
        <v>430000.0</v>
      </c>
      <c r="B1861" s="1" t="s">
        <v>185</v>
      </c>
      <c r="C1861" s="1" t="str">
        <f>"08716335"</f>
        <v>08716335</v>
      </c>
      <c r="D1861" s="1" t="s">
        <v>186</v>
      </c>
      <c r="F1861" s="1" t="str">
        <f>"8022"</f>
        <v>8022</v>
      </c>
      <c r="G1861" s="2">
        <v>41884.0</v>
      </c>
      <c r="H1861" s="1">
        <v>474900.0</v>
      </c>
      <c r="I1861" s="1">
        <v>112.0</v>
      </c>
      <c r="J1861" s="1">
        <v>454900.0</v>
      </c>
      <c r="K1861" s="2">
        <v>41995.0</v>
      </c>
      <c r="L1861" s="1">
        <v>112.0</v>
      </c>
      <c r="M1861" s="2">
        <v>41995.0</v>
      </c>
      <c r="N1861" s="1" t="s">
        <v>187</v>
      </c>
      <c r="O1861" s="2">
        <v>42045.0</v>
      </c>
      <c r="P1861" s="1">
        <v>874288.0</v>
      </c>
      <c r="Q1861" s="1">
        <v>17665.0</v>
      </c>
      <c r="S1861" s="1">
        <v>2639.0</v>
      </c>
      <c r="T1861" s="1" t="s">
        <v>5893</v>
      </c>
      <c r="U1861" s="1" t="s">
        <v>189</v>
      </c>
      <c r="V1861" s="1" t="s">
        <v>190</v>
      </c>
      <c r="W1861" s="1">
        <v>60647.0</v>
      </c>
      <c r="Y1861" s="1" t="s">
        <v>18042</v>
      </c>
      <c r="Z1861" s="1">
        <v>1886.0</v>
      </c>
      <c r="AA1861" s="1" t="s">
        <v>192</v>
      </c>
      <c r="AB1861" s="1" t="s">
        <v>193</v>
      </c>
      <c r="AD1861" s="1" t="s">
        <v>194</v>
      </c>
      <c r="AE1861" s="1" t="s">
        <v>195</v>
      </c>
      <c r="AF1861" s="1" t="s">
        <v>2645</v>
      </c>
      <c r="AH1861" s="1">
        <v>3125.0</v>
      </c>
      <c r="AI1861" s="1">
        <v>0.0717</v>
      </c>
      <c r="AK1861" s="1">
        <v>8.0</v>
      </c>
      <c r="AL1861" s="1">
        <v>3.0</v>
      </c>
      <c r="AM1861" s="1">
        <v>3.0</v>
      </c>
      <c r="AN1861" s="1">
        <v>1.0</v>
      </c>
      <c r="AO1861" s="1" t="s">
        <v>198</v>
      </c>
      <c r="AQ1861" s="1" t="s">
        <v>198</v>
      </c>
      <c r="AR1861" s="1" t="s">
        <v>192</v>
      </c>
      <c r="AS1861" s="1" t="s">
        <v>199</v>
      </c>
      <c r="AT1861" s="1">
        <v>2.0</v>
      </c>
      <c r="AV1861" s="1" t="s">
        <v>200</v>
      </c>
      <c r="AW1861" s="1">
        <v>1865.52</v>
      </c>
      <c r="AX1861" s="1">
        <v>2013.0</v>
      </c>
      <c r="AY1861" s="1" t="s">
        <v>229</v>
      </c>
      <c r="AZ1861" s="1" t="s">
        <v>200</v>
      </c>
      <c r="BA1861" s="1" t="str">
        <f>"13263120090000"</f>
        <v>13263120090000</v>
      </c>
      <c r="BC1861" s="1">
        <v>2604.0</v>
      </c>
      <c r="BD1861" s="1">
        <v>430000.0</v>
      </c>
      <c r="BE1861" s="2">
        <v>41884.0</v>
      </c>
      <c r="BF1861" s="2" t="s">
        <v>18043</v>
      </c>
      <c r="BH1861" s="1">
        <v>0.0</v>
      </c>
      <c r="BK1861" s="1" t="s">
        <v>204</v>
      </c>
      <c r="BL1861" s="1" t="str">
        <f>"2639"</f>
        <v>2639</v>
      </c>
      <c r="BM1861" s="1" t="str">
        <f t="shared" ref="BM1861:BM1862" si="1230">"0"</f>
        <v>0</v>
      </c>
      <c r="BN1861" s="1">
        <v>3750.0</v>
      </c>
      <c r="BO1861" s="1">
        <v>0.0</v>
      </c>
      <c r="BQ1861" s="1">
        <v>299.0</v>
      </c>
      <c r="BR1861" s="1">
        <v>299.0</v>
      </c>
      <c r="BS1861" s="1">
        <v>299.0</v>
      </c>
      <c r="BU1861" s="1" t="s">
        <v>434</v>
      </c>
      <c r="BV1861" s="1" t="s">
        <v>206</v>
      </c>
      <c r="BW1861" s="1" t="s">
        <v>207</v>
      </c>
      <c r="BY1861" s="1" t="s">
        <v>1000</v>
      </c>
      <c r="BZ1861" s="1" t="s">
        <v>209</v>
      </c>
      <c r="CA1861" s="1" t="s">
        <v>210</v>
      </c>
      <c r="CC1861" s="1" t="s">
        <v>1426</v>
      </c>
      <c r="CD1861" s="1" t="s">
        <v>206</v>
      </c>
      <c r="CE1861" s="1" t="s">
        <v>207</v>
      </c>
      <c r="CG1861" s="1" t="s">
        <v>303</v>
      </c>
      <c r="CH1861" s="1" t="s">
        <v>209</v>
      </c>
      <c r="CI1861" s="1" t="s">
        <v>210</v>
      </c>
      <c r="CK1861" s="1" t="s">
        <v>264</v>
      </c>
      <c r="CL1861" s="1" t="s">
        <v>209</v>
      </c>
      <c r="CM1861" s="1" t="s">
        <v>210</v>
      </c>
      <c r="CO1861" s="1" t="s">
        <v>212</v>
      </c>
      <c r="CP1861" s="1" t="s">
        <v>42</v>
      </c>
      <c r="CQ1861" s="1" t="s">
        <v>2128</v>
      </c>
      <c r="CS1861" s="1" t="s">
        <v>1382</v>
      </c>
      <c r="CT1861" s="1" t="s">
        <v>206</v>
      </c>
      <c r="CU1861" s="1" t="s">
        <v>207</v>
      </c>
      <c r="CW1861" s="1" t="s">
        <v>6890</v>
      </c>
      <c r="CX1861" s="1" t="s">
        <v>42</v>
      </c>
      <c r="CY1861" s="1" t="s">
        <v>2128</v>
      </c>
      <c r="DA1861" s="1" t="s">
        <v>200</v>
      </c>
      <c r="DC1861" s="1" t="s">
        <v>642</v>
      </c>
      <c r="DD1861" s="1" t="s">
        <v>306</v>
      </c>
      <c r="DE1861" s="1" t="s">
        <v>273</v>
      </c>
      <c r="DF1861" s="1" t="s">
        <v>219</v>
      </c>
      <c r="DH1861" s="1" t="s">
        <v>307</v>
      </c>
      <c r="DI1861" s="1" t="s">
        <v>366</v>
      </c>
      <c r="DJ1861" s="1" t="s">
        <v>222</v>
      </c>
      <c r="DL1861" s="1" t="s">
        <v>224</v>
      </c>
      <c r="DM1861" s="1" t="s">
        <v>229</v>
      </c>
      <c r="DN1861" s="1" t="s">
        <v>339</v>
      </c>
      <c r="DP1861" s="1" t="s">
        <v>340</v>
      </c>
      <c r="DQ1861" s="1" t="s">
        <v>718</v>
      </c>
      <c r="DR1861" s="1" t="s">
        <v>229</v>
      </c>
      <c r="DS1861" s="1" t="s">
        <v>277</v>
      </c>
      <c r="DV1861" s="1" t="s">
        <v>403</v>
      </c>
      <c r="DW1861" s="1" t="s">
        <v>667</v>
      </c>
      <c r="DX1861" s="1" t="s">
        <v>234</v>
      </c>
      <c r="DY1861" s="1" t="s">
        <v>3075</v>
      </c>
      <c r="EC1861" s="1" t="s">
        <v>237</v>
      </c>
      <c r="EG1861" s="1" t="s">
        <v>408</v>
      </c>
      <c r="EH1861" s="1" t="s">
        <v>409</v>
      </c>
      <c r="EL1861" s="1" t="s">
        <v>3296</v>
      </c>
      <c r="EM1861" s="1" t="s">
        <v>206</v>
      </c>
      <c r="EN1861" s="1" t="s">
        <v>207</v>
      </c>
      <c r="EP1861" s="1" t="s">
        <v>1052</v>
      </c>
      <c r="EQ1861" s="1" t="s">
        <v>209</v>
      </c>
      <c r="ER1861" s="1" t="s">
        <v>210</v>
      </c>
      <c r="EU1861" s="1" t="s">
        <v>238</v>
      </c>
      <c r="EY1861" s="1" t="s">
        <v>238</v>
      </c>
      <c r="FC1861" s="1" t="s">
        <v>238</v>
      </c>
      <c r="FF1861" s="1" t="s">
        <v>239</v>
      </c>
      <c r="FG1861" s="1" t="s">
        <v>192</v>
      </c>
      <c r="FH1861" s="1" t="s">
        <v>192</v>
      </c>
      <c r="FJ1861" s="1" t="s">
        <v>3755</v>
      </c>
      <c r="FK1861" s="1" t="s">
        <v>229</v>
      </c>
      <c r="FL1861" s="1" t="s">
        <v>562</v>
      </c>
      <c r="FM1861" s="1">
        <v>85774.0</v>
      </c>
      <c r="FN1861" s="1" t="s">
        <v>2369</v>
      </c>
      <c r="FO1861" s="1" t="s">
        <v>2370</v>
      </c>
      <c r="FP1861" s="1">
        <v>182174.0</v>
      </c>
      <c r="FQ1861" s="1" t="s">
        <v>2371</v>
      </c>
      <c r="FU1861" s="1" t="s">
        <v>18044</v>
      </c>
      <c r="FV1861" s="1" t="s">
        <v>200</v>
      </c>
      <c r="FW1861" s="1" t="s">
        <v>18045</v>
      </c>
      <c r="FX1861" s="1" t="s">
        <v>238</v>
      </c>
      <c r="FZ1861" s="1" t="s">
        <v>229</v>
      </c>
      <c r="GA1861" s="1" t="s">
        <v>291</v>
      </c>
      <c r="GB1861" s="2">
        <v>42046.0</v>
      </c>
      <c r="GC1861" s="1" t="s">
        <v>18046</v>
      </c>
    </row>
    <row r="1862">
      <c r="A1862" s="1">
        <v>100000.0</v>
      </c>
      <c r="B1862" s="1" t="s">
        <v>185</v>
      </c>
      <c r="C1862" s="1" t="str">
        <f>"08719677"</f>
        <v>08719677</v>
      </c>
      <c r="D1862" s="1" t="s">
        <v>186</v>
      </c>
      <c r="F1862" s="1" t="str">
        <f>"8018"</f>
        <v>8018</v>
      </c>
      <c r="G1862" s="2">
        <v>41886.0</v>
      </c>
      <c r="H1862" s="1">
        <v>104500.0</v>
      </c>
      <c r="I1862" s="1">
        <v>6.0</v>
      </c>
      <c r="J1862" s="1">
        <v>104500.0</v>
      </c>
      <c r="K1862" s="2">
        <v>41891.0</v>
      </c>
      <c r="L1862" s="1">
        <v>6.0</v>
      </c>
      <c r="M1862" s="2">
        <v>41891.0</v>
      </c>
      <c r="N1862" s="1" t="s">
        <v>249</v>
      </c>
      <c r="O1862" s="2">
        <v>41996.0</v>
      </c>
      <c r="P1862" s="1">
        <v>137663.0</v>
      </c>
      <c r="Q1862" s="1">
        <v>14316.0</v>
      </c>
      <c r="S1862" s="1">
        <v>2754.0</v>
      </c>
      <c r="T1862" s="1" t="s">
        <v>14608</v>
      </c>
      <c r="U1862" s="1" t="s">
        <v>189</v>
      </c>
      <c r="V1862" s="1" t="s">
        <v>190</v>
      </c>
      <c r="W1862" s="1">
        <v>60707.0</v>
      </c>
      <c r="Y1862" s="1" t="s">
        <v>18047</v>
      </c>
      <c r="Z1862" s="1">
        <v>1923.0</v>
      </c>
      <c r="AA1862" s="1" t="s">
        <v>192</v>
      </c>
      <c r="AB1862" s="1" t="s">
        <v>193</v>
      </c>
      <c r="AD1862" s="1" t="s">
        <v>194</v>
      </c>
      <c r="AE1862" s="1" t="s">
        <v>195</v>
      </c>
      <c r="AF1862" s="1" t="s">
        <v>196</v>
      </c>
      <c r="AH1862" s="1" t="s">
        <v>12756</v>
      </c>
      <c r="AK1862" s="1">
        <v>8.0</v>
      </c>
      <c r="AL1862" s="1">
        <v>4.0</v>
      </c>
      <c r="AM1862" s="1">
        <v>2.0</v>
      </c>
      <c r="AN1862" s="1">
        <v>0.0</v>
      </c>
      <c r="AO1862" s="1" t="s">
        <v>229</v>
      </c>
      <c r="AQ1862" s="1" t="s">
        <v>198</v>
      </c>
      <c r="AR1862" s="1" t="s">
        <v>200</v>
      </c>
      <c r="AS1862" s="1" t="s">
        <v>199</v>
      </c>
      <c r="AT1862" s="1">
        <v>2.0</v>
      </c>
      <c r="AV1862" s="1" t="s">
        <v>200</v>
      </c>
      <c r="AW1862" s="1">
        <v>730.0</v>
      </c>
      <c r="AX1862" s="1">
        <v>2012.0</v>
      </c>
      <c r="AY1862" s="1" t="s">
        <v>1179</v>
      </c>
      <c r="AZ1862" s="1" t="s">
        <v>200</v>
      </c>
      <c r="BA1862" s="1" t="str">
        <f>"13303060220000"</f>
        <v>13303060220000</v>
      </c>
      <c r="BC1862" s="1">
        <v>1408.0</v>
      </c>
      <c r="BD1862" s="1">
        <v>100000.0</v>
      </c>
      <c r="BE1862" s="2">
        <v>41886.0</v>
      </c>
      <c r="BF1862" s="1" t="s">
        <v>18048</v>
      </c>
      <c r="BH1862" s="1">
        <v>0.0</v>
      </c>
      <c r="BK1862" s="1" t="s">
        <v>204</v>
      </c>
      <c r="BL1862" s="1" t="str">
        <f>"2700"</f>
        <v>2700</v>
      </c>
      <c r="BM1862" s="1" t="str">
        <f t="shared" si="1230"/>
        <v>0</v>
      </c>
      <c r="BN1862" s="1">
        <v>6000.0</v>
      </c>
      <c r="BO1862" s="1">
        <v>0.0</v>
      </c>
      <c r="BQ1862" s="1">
        <v>299.0</v>
      </c>
      <c r="BR1862" s="1">
        <v>299.0</v>
      </c>
      <c r="BS1862" s="1">
        <v>299.0</v>
      </c>
      <c r="BU1862" s="1" t="s">
        <v>433</v>
      </c>
      <c r="BV1862" s="1" t="s">
        <v>206</v>
      </c>
      <c r="BW1862" s="1" t="s">
        <v>207</v>
      </c>
      <c r="BY1862" s="1" t="s">
        <v>212</v>
      </c>
      <c r="BZ1862" s="1" t="s">
        <v>206</v>
      </c>
      <c r="CA1862" s="1" t="s">
        <v>207</v>
      </c>
      <c r="CC1862" s="1" t="s">
        <v>433</v>
      </c>
      <c r="CD1862" s="1" t="s">
        <v>206</v>
      </c>
      <c r="CE1862" s="1" t="s">
        <v>207</v>
      </c>
      <c r="CG1862" s="1" t="s">
        <v>495</v>
      </c>
      <c r="CH1862" s="1" t="s">
        <v>206</v>
      </c>
      <c r="CI1862" s="1" t="s">
        <v>207</v>
      </c>
      <c r="CK1862" s="1" t="s">
        <v>516</v>
      </c>
      <c r="CL1862" s="1" t="s">
        <v>209</v>
      </c>
      <c r="CM1862" s="1" t="s">
        <v>207</v>
      </c>
      <c r="CO1862" s="1" t="s">
        <v>516</v>
      </c>
      <c r="CP1862" s="1" t="s">
        <v>209</v>
      </c>
      <c r="CQ1862" s="1" t="s">
        <v>207</v>
      </c>
      <c r="CS1862" s="1" t="s">
        <v>212</v>
      </c>
      <c r="CT1862" s="1" t="s">
        <v>206</v>
      </c>
      <c r="CU1862" s="1" t="s">
        <v>617</v>
      </c>
      <c r="CX1862" s="1" t="s">
        <v>204</v>
      </c>
      <c r="DA1862" s="1" t="s">
        <v>200</v>
      </c>
      <c r="DC1862" s="1" t="s">
        <v>216</v>
      </c>
      <c r="DE1862" s="1" t="s">
        <v>1139</v>
      </c>
      <c r="DF1862" s="1" t="s">
        <v>905</v>
      </c>
      <c r="DH1862" s="1" t="s">
        <v>220</v>
      </c>
      <c r="DJ1862" s="1" t="s">
        <v>222</v>
      </c>
      <c r="DL1862" s="1" t="s">
        <v>223</v>
      </c>
      <c r="DM1862" s="1" t="s">
        <v>229</v>
      </c>
      <c r="DQ1862" s="1" t="s">
        <v>228</v>
      </c>
      <c r="DR1862" s="1" t="s">
        <v>229</v>
      </c>
      <c r="DV1862" s="1" t="s">
        <v>1407</v>
      </c>
      <c r="DW1862" s="1" t="s">
        <v>667</v>
      </c>
      <c r="DX1862" s="1" t="s">
        <v>234</v>
      </c>
      <c r="EC1862" s="1" t="s">
        <v>645</v>
      </c>
      <c r="ED1862" s="1" t="s">
        <v>4163</v>
      </c>
      <c r="EG1862" s="1" t="s">
        <v>1407</v>
      </c>
      <c r="EL1862" s="1" t="s">
        <v>263</v>
      </c>
      <c r="EM1862" s="1" t="s">
        <v>209</v>
      </c>
      <c r="EQ1862" s="1" t="s">
        <v>238</v>
      </c>
      <c r="EU1862" s="1" t="s">
        <v>238</v>
      </c>
      <c r="EY1862" s="1" t="s">
        <v>238</v>
      </c>
      <c r="FC1862" s="1" t="s">
        <v>238</v>
      </c>
      <c r="FF1862" s="1" t="s">
        <v>239</v>
      </c>
      <c r="FG1862" s="1" t="s">
        <v>192</v>
      </c>
      <c r="FH1862" s="1" t="s">
        <v>192</v>
      </c>
      <c r="FJ1862" s="1" t="s">
        <v>18049</v>
      </c>
      <c r="FK1862" s="1" t="s">
        <v>229</v>
      </c>
      <c r="FL1862" s="1" t="s">
        <v>18050</v>
      </c>
      <c r="FM1862" s="1">
        <v>8495.0</v>
      </c>
      <c r="FN1862" s="1" t="s">
        <v>18051</v>
      </c>
      <c r="FO1862" s="1" t="s">
        <v>18052</v>
      </c>
      <c r="FP1862" s="1">
        <v>80249.0</v>
      </c>
      <c r="FU1862" s="1" t="s">
        <v>18053</v>
      </c>
      <c r="FV1862" s="1" t="s">
        <v>200</v>
      </c>
      <c r="FW1862" s="1" t="s">
        <v>1293</v>
      </c>
      <c r="FX1862" s="1" t="s">
        <v>238</v>
      </c>
      <c r="FZ1862" s="1" t="s">
        <v>229</v>
      </c>
      <c r="GA1862" s="1" t="s">
        <v>291</v>
      </c>
      <c r="GB1862" s="2">
        <v>42002.0</v>
      </c>
      <c r="GC1862" s="1" t="s">
        <v>18054</v>
      </c>
    </row>
    <row r="1863">
      <c r="A1863" s="1">
        <v>195000.0</v>
      </c>
      <c r="B1863" s="1" t="s">
        <v>185</v>
      </c>
      <c r="C1863" s="1" t="str">
        <f>"08720656"</f>
        <v>08720656</v>
      </c>
      <c r="D1863" s="1" t="s">
        <v>186</v>
      </c>
      <c r="F1863" s="1" t="str">
        <f>"8069"</f>
        <v>8069</v>
      </c>
      <c r="G1863" s="2">
        <v>41887.0</v>
      </c>
      <c r="H1863" s="1">
        <v>199000.0</v>
      </c>
      <c r="I1863" s="1">
        <v>1.0</v>
      </c>
      <c r="J1863" s="1">
        <v>199000.0</v>
      </c>
      <c r="K1863" s="2">
        <v>41887.0</v>
      </c>
      <c r="L1863" s="1">
        <v>1.0</v>
      </c>
      <c r="M1863" s="2">
        <v>41887.0</v>
      </c>
      <c r="N1863" s="1" t="s">
        <v>356</v>
      </c>
      <c r="O1863" s="2">
        <v>41981.0</v>
      </c>
      <c r="P1863" s="1">
        <v>86206.0</v>
      </c>
      <c r="Q1863" s="1">
        <v>8654.0</v>
      </c>
      <c r="R1863" s="1">
        <v>5000.0</v>
      </c>
      <c r="S1863" s="1">
        <v>7646.0</v>
      </c>
      <c r="T1863" s="1" t="s">
        <v>9864</v>
      </c>
      <c r="U1863" s="1" t="s">
        <v>189</v>
      </c>
      <c r="V1863" s="1" t="s">
        <v>190</v>
      </c>
      <c r="W1863" s="1">
        <v>60619.0</v>
      </c>
      <c r="Y1863" s="1" t="s">
        <v>18055</v>
      </c>
      <c r="Z1863" s="1">
        <v>1921.0</v>
      </c>
      <c r="AA1863" s="1" t="s">
        <v>192</v>
      </c>
      <c r="AB1863" s="1" t="s">
        <v>193</v>
      </c>
      <c r="AD1863" s="1" t="s">
        <v>194</v>
      </c>
      <c r="AE1863" s="1" t="s">
        <v>195</v>
      </c>
      <c r="AF1863" s="1" t="s">
        <v>534</v>
      </c>
      <c r="AH1863" s="1">
        <v>4830.0</v>
      </c>
      <c r="AI1863" s="1">
        <v>0.1109</v>
      </c>
      <c r="AK1863" s="1">
        <v>7.0</v>
      </c>
      <c r="AL1863" s="1">
        <v>3.0</v>
      </c>
      <c r="AM1863" s="1">
        <v>3.0</v>
      </c>
      <c r="AN1863" s="1">
        <v>0.0</v>
      </c>
      <c r="AO1863" s="1" t="s">
        <v>198</v>
      </c>
      <c r="AQ1863" s="1" t="s">
        <v>198</v>
      </c>
      <c r="AR1863" s="1" t="s">
        <v>192</v>
      </c>
      <c r="AS1863" s="1" t="s">
        <v>199</v>
      </c>
      <c r="AT1863" s="1">
        <v>2.0</v>
      </c>
      <c r="AV1863" s="1" t="s">
        <v>200</v>
      </c>
      <c r="AW1863" s="1">
        <v>1838.08</v>
      </c>
      <c r="AX1863" s="1">
        <v>2012.0</v>
      </c>
      <c r="AZ1863" s="1" t="s">
        <v>200</v>
      </c>
      <c r="BA1863" s="1" t="str">
        <f>"20273060180000"</f>
        <v>20273060180000</v>
      </c>
      <c r="BC1863" s="1">
        <v>1500.0</v>
      </c>
      <c r="BD1863" s="1">
        <v>195000.0</v>
      </c>
      <c r="BE1863" s="2">
        <v>41887.0</v>
      </c>
      <c r="BF1863" s="2" t="s">
        <v>18056</v>
      </c>
      <c r="BH1863" s="1">
        <v>0.0</v>
      </c>
      <c r="BK1863" s="1" t="s">
        <v>204</v>
      </c>
      <c r="BL1863" s="1" t="str">
        <f t="shared" ref="BL1863:BL1866" si="1231">"0"</f>
        <v>0</v>
      </c>
      <c r="BM1863" s="1" t="str">
        <f>"200"</f>
        <v>200</v>
      </c>
      <c r="BN1863" s="1">
        <v>0.0</v>
      </c>
      <c r="BO1863" s="1">
        <v>7600.0</v>
      </c>
      <c r="BQ1863" s="1">
        <v>299.0</v>
      </c>
      <c r="BR1863" s="1">
        <v>299.0</v>
      </c>
      <c r="BS1863" s="1">
        <v>299.0</v>
      </c>
      <c r="BU1863" s="1" t="s">
        <v>363</v>
      </c>
      <c r="BV1863" s="1" t="s">
        <v>206</v>
      </c>
      <c r="BY1863" s="1" t="s">
        <v>830</v>
      </c>
      <c r="BZ1863" s="1" t="s">
        <v>209</v>
      </c>
      <c r="CC1863" s="1" t="s">
        <v>363</v>
      </c>
      <c r="CD1863" s="1" t="s">
        <v>206</v>
      </c>
      <c r="CG1863" s="1" t="s">
        <v>212</v>
      </c>
      <c r="CH1863" s="1" t="s">
        <v>206</v>
      </c>
      <c r="CK1863" s="1" t="s">
        <v>212</v>
      </c>
      <c r="CL1863" s="1" t="s">
        <v>206</v>
      </c>
      <c r="CO1863" s="1" t="s">
        <v>363</v>
      </c>
      <c r="CP1863" s="1" t="s">
        <v>42</v>
      </c>
      <c r="CS1863" s="1" t="s">
        <v>363</v>
      </c>
      <c r="CT1863" s="1" t="s">
        <v>206</v>
      </c>
      <c r="CX1863" s="1" t="s">
        <v>204</v>
      </c>
      <c r="DA1863" s="1" t="s">
        <v>200</v>
      </c>
      <c r="DC1863" s="1" t="s">
        <v>216</v>
      </c>
      <c r="DE1863" s="1" t="s">
        <v>273</v>
      </c>
      <c r="DF1863" s="1" t="s">
        <v>619</v>
      </c>
      <c r="DH1863" s="1" t="s">
        <v>220</v>
      </c>
      <c r="DJ1863" s="1" t="s">
        <v>222</v>
      </c>
      <c r="DL1863" s="1" t="s">
        <v>224</v>
      </c>
      <c r="DM1863" s="1" t="s">
        <v>229</v>
      </c>
      <c r="DQ1863" s="1" t="s">
        <v>228</v>
      </c>
      <c r="DR1863" s="1" t="s">
        <v>229</v>
      </c>
      <c r="DV1863" s="1" t="s">
        <v>232</v>
      </c>
      <c r="DW1863" s="1" t="s">
        <v>279</v>
      </c>
      <c r="DX1863" s="1" t="s">
        <v>234</v>
      </c>
      <c r="EC1863" s="1" t="s">
        <v>645</v>
      </c>
      <c r="EM1863" s="1" t="s">
        <v>238</v>
      </c>
      <c r="EQ1863" s="1" t="s">
        <v>238</v>
      </c>
      <c r="EU1863" s="1" t="s">
        <v>238</v>
      </c>
      <c r="EY1863" s="1" t="s">
        <v>238</v>
      </c>
      <c r="FC1863" s="1" t="s">
        <v>238</v>
      </c>
      <c r="FF1863" s="1" t="s">
        <v>239</v>
      </c>
      <c r="FG1863" s="1" t="s">
        <v>192</v>
      </c>
      <c r="FH1863" s="1" t="s">
        <v>192</v>
      </c>
      <c r="FJ1863" s="1" t="s">
        <v>648</v>
      </c>
      <c r="FK1863" s="1" t="s">
        <v>229</v>
      </c>
      <c r="FL1863" s="1" t="s">
        <v>649</v>
      </c>
      <c r="FM1863" s="1">
        <v>60296.0</v>
      </c>
      <c r="FN1863" s="1" t="s">
        <v>650</v>
      </c>
      <c r="FO1863" s="1" t="s">
        <v>651</v>
      </c>
      <c r="FP1863" s="1">
        <v>602837.0</v>
      </c>
      <c r="FQ1863" s="1" t="s">
        <v>652</v>
      </c>
      <c r="FR1863" s="1">
        <v>602442.0</v>
      </c>
      <c r="FU1863" s="1" t="s">
        <v>11342</v>
      </c>
      <c r="FV1863" s="1" t="s">
        <v>200</v>
      </c>
      <c r="FW1863" s="1" t="s">
        <v>530</v>
      </c>
      <c r="FX1863" s="1" t="s">
        <v>655</v>
      </c>
      <c r="FZ1863" s="1" t="s">
        <v>229</v>
      </c>
      <c r="GA1863" s="1" t="s">
        <v>291</v>
      </c>
      <c r="GB1863" s="2">
        <v>41982.0</v>
      </c>
      <c r="GC1863" s="1" t="s">
        <v>11343</v>
      </c>
    </row>
    <row r="1864">
      <c r="A1864" s="1">
        <v>190000.0</v>
      </c>
      <c r="B1864" s="1" t="s">
        <v>185</v>
      </c>
      <c r="C1864" s="1" t="str">
        <f>"08723697"</f>
        <v>08723697</v>
      </c>
      <c r="D1864" s="1" t="s">
        <v>186</v>
      </c>
      <c r="F1864" s="1" t="str">
        <f>"8065"</f>
        <v>8065</v>
      </c>
      <c r="G1864" s="2">
        <v>41891.0</v>
      </c>
      <c r="H1864" s="1">
        <v>215900.0</v>
      </c>
      <c r="I1864" s="1">
        <v>252.0</v>
      </c>
      <c r="J1864" s="1">
        <v>190900.0</v>
      </c>
      <c r="K1864" s="2">
        <v>41947.0</v>
      </c>
      <c r="L1864" s="1">
        <v>57.0</v>
      </c>
      <c r="M1864" s="2">
        <v>41947.0</v>
      </c>
      <c r="N1864" s="1" t="s">
        <v>356</v>
      </c>
      <c r="O1864" s="2">
        <v>42018.0</v>
      </c>
      <c r="P1864" s="1">
        <v>239445.0</v>
      </c>
      <c r="Q1864" s="1">
        <v>23615.0</v>
      </c>
      <c r="S1864" s="1">
        <v>6007.0</v>
      </c>
      <c r="T1864" s="1" t="s">
        <v>6369</v>
      </c>
      <c r="U1864" s="1" t="s">
        <v>189</v>
      </c>
      <c r="V1864" s="1" t="s">
        <v>190</v>
      </c>
      <c r="W1864" s="1">
        <v>60629.0</v>
      </c>
      <c r="X1864" s="1" t="s">
        <v>9164</v>
      </c>
      <c r="Y1864" s="1" t="s">
        <v>18057</v>
      </c>
      <c r="Z1864" s="1">
        <v>1939.0</v>
      </c>
      <c r="AA1864" s="1" t="s">
        <v>192</v>
      </c>
      <c r="AB1864" s="1" t="s">
        <v>193</v>
      </c>
      <c r="AD1864" s="1" t="s">
        <v>194</v>
      </c>
      <c r="AE1864" s="1" t="s">
        <v>195</v>
      </c>
      <c r="AF1864" s="1" t="s">
        <v>659</v>
      </c>
      <c r="AH1864" s="1" t="s">
        <v>359</v>
      </c>
      <c r="AI1864" s="1">
        <v>0.0868</v>
      </c>
      <c r="AK1864" s="1">
        <v>9.0</v>
      </c>
      <c r="AL1864" s="1">
        <v>3.0</v>
      </c>
      <c r="AM1864" s="1">
        <v>3.0</v>
      </c>
      <c r="AN1864" s="1">
        <v>0.0</v>
      </c>
      <c r="AO1864" s="1" t="s">
        <v>229</v>
      </c>
      <c r="AQ1864" s="1" t="s">
        <v>327</v>
      </c>
      <c r="AR1864" s="1" t="s">
        <v>192</v>
      </c>
      <c r="AS1864" s="1" t="s">
        <v>199</v>
      </c>
      <c r="AT1864" s="1">
        <v>2.0</v>
      </c>
      <c r="AV1864" s="1" t="s">
        <v>200</v>
      </c>
      <c r="AW1864" s="1">
        <v>2474.94</v>
      </c>
      <c r="AX1864" s="1">
        <v>2012.0</v>
      </c>
      <c r="AY1864" s="1" t="s">
        <v>229</v>
      </c>
      <c r="AZ1864" s="1" t="s">
        <v>200</v>
      </c>
      <c r="BA1864" s="1" t="str">
        <f>"19153140340000"</f>
        <v>19153140340000</v>
      </c>
      <c r="BB1864" s="1" t="s">
        <v>200</v>
      </c>
      <c r="BC1864" s="1">
        <v>2000.0</v>
      </c>
      <c r="BD1864" s="1">
        <v>190000.0</v>
      </c>
      <c r="BE1864" s="2">
        <v>41891.0</v>
      </c>
      <c r="BF1864" s="1" t="s">
        <v>18058</v>
      </c>
      <c r="BH1864" s="1">
        <v>0.0</v>
      </c>
      <c r="BK1864" s="1" t="s">
        <v>204</v>
      </c>
      <c r="BL1864" s="1" t="str">
        <f t="shared" si="1231"/>
        <v>0</v>
      </c>
      <c r="BM1864" s="1" t="str">
        <f t="shared" ref="BM1864:BM1868" si="1232">"0"</f>
        <v>0</v>
      </c>
      <c r="BN1864" s="1">
        <v>4432.0</v>
      </c>
      <c r="BO1864" s="1">
        <v>6007.0</v>
      </c>
      <c r="BQ1864" s="1">
        <v>299.0</v>
      </c>
      <c r="BR1864" s="1">
        <v>299.0</v>
      </c>
      <c r="BS1864" s="1">
        <v>299.0</v>
      </c>
      <c r="BU1864" s="1" t="s">
        <v>211</v>
      </c>
      <c r="BV1864" s="1" t="s">
        <v>206</v>
      </c>
      <c r="BW1864" s="1" t="s">
        <v>207</v>
      </c>
      <c r="BY1864" s="1" t="s">
        <v>433</v>
      </c>
      <c r="BZ1864" s="1" t="s">
        <v>209</v>
      </c>
      <c r="CA1864" s="1" t="s">
        <v>210</v>
      </c>
      <c r="CC1864" s="1" t="s">
        <v>663</v>
      </c>
      <c r="CD1864" s="1" t="s">
        <v>206</v>
      </c>
      <c r="CE1864" s="1" t="s">
        <v>207</v>
      </c>
      <c r="CG1864" s="1" t="s">
        <v>212</v>
      </c>
      <c r="CH1864" s="1" t="s">
        <v>209</v>
      </c>
      <c r="CI1864" s="1" t="s">
        <v>210</v>
      </c>
      <c r="CK1864" s="1" t="s">
        <v>663</v>
      </c>
      <c r="CL1864" s="1" t="s">
        <v>206</v>
      </c>
      <c r="CM1864" s="1" t="s">
        <v>207</v>
      </c>
      <c r="CO1864" s="1" t="s">
        <v>263</v>
      </c>
      <c r="CP1864" s="1" t="s">
        <v>42</v>
      </c>
      <c r="CQ1864" s="1" t="s">
        <v>207</v>
      </c>
      <c r="CS1864" s="1" t="s">
        <v>699</v>
      </c>
      <c r="CT1864" s="1" t="s">
        <v>206</v>
      </c>
      <c r="CU1864" s="1" t="s">
        <v>207</v>
      </c>
      <c r="CW1864" s="1" t="s">
        <v>2182</v>
      </c>
      <c r="CX1864" s="1" t="s">
        <v>42</v>
      </c>
      <c r="CY1864" s="1" t="s">
        <v>210</v>
      </c>
      <c r="DA1864" s="1" t="s">
        <v>200</v>
      </c>
      <c r="DC1864" s="1" t="s">
        <v>1399</v>
      </c>
      <c r="DD1864" s="1" t="s">
        <v>518</v>
      </c>
      <c r="DE1864" s="1" t="s">
        <v>273</v>
      </c>
      <c r="DF1864" s="1" t="s">
        <v>219</v>
      </c>
      <c r="DH1864" s="1" t="s">
        <v>365</v>
      </c>
      <c r="DI1864" s="1" t="s">
        <v>18059</v>
      </c>
      <c r="DJ1864" s="1" t="s">
        <v>222</v>
      </c>
      <c r="DK1864" s="1" t="s">
        <v>790</v>
      </c>
      <c r="DL1864" s="1" t="s">
        <v>1161</v>
      </c>
      <c r="DM1864" s="1" t="s">
        <v>225</v>
      </c>
      <c r="DO1864" s="1" t="s">
        <v>549</v>
      </c>
      <c r="DQ1864" s="1" t="s">
        <v>718</v>
      </c>
      <c r="DR1864" s="1" t="s">
        <v>229</v>
      </c>
      <c r="DU1864" s="1" t="s">
        <v>18060</v>
      </c>
      <c r="DV1864" s="1" t="s">
        <v>451</v>
      </c>
      <c r="DW1864" s="1" t="s">
        <v>279</v>
      </c>
      <c r="DX1864" s="1" t="s">
        <v>234</v>
      </c>
      <c r="DY1864" s="1" t="s">
        <v>553</v>
      </c>
      <c r="EA1864" s="1" t="s">
        <v>1075</v>
      </c>
      <c r="EC1864" s="1" t="s">
        <v>645</v>
      </c>
      <c r="EG1864" s="1" t="s">
        <v>451</v>
      </c>
      <c r="EL1864" s="1" t="s">
        <v>264</v>
      </c>
      <c r="EM1864" s="1" t="s">
        <v>42</v>
      </c>
      <c r="EN1864" s="1" t="s">
        <v>210</v>
      </c>
      <c r="EQ1864" s="1" t="s">
        <v>238</v>
      </c>
      <c r="EU1864" s="1" t="s">
        <v>238</v>
      </c>
      <c r="EY1864" s="1" t="s">
        <v>238</v>
      </c>
      <c r="FC1864" s="1" t="s">
        <v>238</v>
      </c>
      <c r="FF1864" s="1" t="s">
        <v>239</v>
      </c>
      <c r="FG1864" s="1" t="s">
        <v>192</v>
      </c>
      <c r="FH1864" s="1" t="s">
        <v>192</v>
      </c>
      <c r="FJ1864" s="1" t="s">
        <v>561</v>
      </c>
      <c r="FK1864" s="1" t="s">
        <v>229</v>
      </c>
      <c r="FL1864" s="1" t="s">
        <v>562</v>
      </c>
      <c r="FM1864" s="1">
        <v>14703.0</v>
      </c>
      <c r="FN1864" s="1" t="s">
        <v>2570</v>
      </c>
      <c r="FO1864" s="1" t="s">
        <v>4198</v>
      </c>
      <c r="FP1864" s="1">
        <v>110847.0</v>
      </c>
      <c r="FQ1864" s="1" t="s">
        <v>4199</v>
      </c>
      <c r="FU1864" s="1" t="s">
        <v>18061</v>
      </c>
      <c r="FV1864" s="1" t="s">
        <v>192</v>
      </c>
      <c r="FW1864" s="1" t="s">
        <v>631</v>
      </c>
      <c r="FX1864" s="1" t="s">
        <v>655</v>
      </c>
      <c r="FZ1864" s="1" t="s">
        <v>229</v>
      </c>
      <c r="GA1864" s="1" t="s">
        <v>291</v>
      </c>
      <c r="GB1864" s="2">
        <v>42031.0</v>
      </c>
      <c r="GC1864" s="1" t="s">
        <v>18062</v>
      </c>
    </row>
    <row r="1865">
      <c r="A1865" s="1">
        <v>183700.0</v>
      </c>
      <c r="B1865" s="1" t="s">
        <v>185</v>
      </c>
      <c r="C1865" s="1" t="str">
        <f>"08724185"</f>
        <v>08724185</v>
      </c>
      <c r="D1865" s="1" t="s">
        <v>186</v>
      </c>
      <c r="F1865" s="1" t="str">
        <f>"543"</f>
        <v>543</v>
      </c>
      <c r="G1865" s="2">
        <v>41892.0</v>
      </c>
      <c r="H1865" s="1">
        <v>219000.0</v>
      </c>
      <c r="I1865" s="1">
        <v>21.0</v>
      </c>
      <c r="J1865" s="1">
        <v>189000.0</v>
      </c>
      <c r="K1865" s="2">
        <v>41912.0</v>
      </c>
      <c r="L1865" s="1">
        <v>21.0</v>
      </c>
      <c r="M1865" s="2">
        <v>41912.0</v>
      </c>
      <c r="N1865" s="1" t="s">
        <v>187</v>
      </c>
      <c r="O1865" s="2">
        <v>42074.0</v>
      </c>
      <c r="P1865" s="1">
        <v>40885.0</v>
      </c>
      <c r="Q1865" s="1">
        <v>4466.0</v>
      </c>
      <c r="S1865" s="1">
        <v>395.0</v>
      </c>
      <c r="T1865" s="1" t="s">
        <v>18063</v>
      </c>
      <c r="U1865" s="1" t="s">
        <v>4857</v>
      </c>
      <c r="V1865" s="1" t="s">
        <v>1527</v>
      </c>
      <c r="W1865" s="1">
        <v>60543.0</v>
      </c>
      <c r="Y1865" s="1" t="s">
        <v>18064</v>
      </c>
      <c r="Z1865" s="1">
        <v>2005.0</v>
      </c>
      <c r="AA1865" s="1" t="s">
        <v>200</v>
      </c>
      <c r="AB1865" s="1" t="s">
        <v>193</v>
      </c>
      <c r="AC1865" s="1" t="s">
        <v>18065</v>
      </c>
      <c r="AD1865" s="1" t="s">
        <v>1529</v>
      </c>
      <c r="AE1865" s="1" t="s">
        <v>849</v>
      </c>
      <c r="AF1865" s="1" t="s">
        <v>1312</v>
      </c>
      <c r="AH1865" s="1" t="s">
        <v>18066</v>
      </c>
      <c r="AI1865" s="1">
        <v>0.25</v>
      </c>
      <c r="AK1865" s="1">
        <v>8.0</v>
      </c>
      <c r="AL1865" s="1">
        <v>4.0</v>
      </c>
      <c r="AM1865" s="1">
        <v>2.0</v>
      </c>
      <c r="AN1865" s="1">
        <v>1.0</v>
      </c>
      <c r="AO1865" s="1" t="s">
        <v>198</v>
      </c>
      <c r="AQ1865" s="1" t="s">
        <v>198</v>
      </c>
      <c r="AR1865" s="1" t="s">
        <v>200</v>
      </c>
      <c r="AS1865" s="1" t="s">
        <v>199</v>
      </c>
      <c r="AT1865" s="1">
        <v>2.0</v>
      </c>
      <c r="AV1865" s="1" t="s">
        <v>200</v>
      </c>
      <c r="AW1865" s="1">
        <v>5917.0</v>
      </c>
      <c r="AX1865" s="1">
        <v>2012.0</v>
      </c>
      <c r="AZ1865" s="1" t="s">
        <v>200</v>
      </c>
      <c r="BA1865" s="1" t="str">
        <f>"0212103010"</f>
        <v>0212103010</v>
      </c>
      <c r="BB1865" s="1" t="s">
        <v>200</v>
      </c>
      <c r="BC1865" s="1">
        <v>2200.0</v>
      </c>
      <c r="BD1865" s="1">
        <v>183700.0</v>
      </c>
      <c r="BE1865" s="2">
        <v>41892.0</v>
      </c>
      <c r="BF1865" s="2" t="s">
        <v>18067</v>
      </c>
      <c r="BH1865" s="1">
        <v>0.0</v>
      </c>
      <c r="BK1865" s="1" t="s">
        <v>204</v>
      </c>
      <c r="BL1865" s="1" t="str">
        <f t="shared" si="1231"/>
        <v>0</v>
      </c>
      <c r="BM1865" s="1" t="str">
        <f t="shared" si="1232"/>
        <v>0</v>
      </c>
      <c r="BN1865" s="1">
        <v>39.0</v>
      </c>
      <c r="BO1865" s="1">
        <v>10.0</v>
      </c>
      <c r="BQ1865" s="1">
        <v>308.0</v>
      </c>
      <c r="BR1865" s="1">
        <v>308.0</v>
      </c>
      <c r="BS1865" s="1">
        <v>308.0</v>
      </c>
      <c r="BU1865" s="1" t="s">
        <v>1064</v>
      </c>
      <c r="BV1865" s="1" t="s">
        <v>206</v>
      </c>
      <c r="BW1865" s="1" t="s">
        <v>210</v>
      </c>
      <c r="BX1865" s="1" t="s">
        <v>431</v>
      </c>
      <c r="BY1865" s="1" t="s">
        <v>758</v>
      </c>
      <c r="BZ1865" s="1" t="s">
        <v>209</v>
      </c>
      <c r="CA1865" s="1" t="s">
        <v>210</v>
      </c>
      <c r="CB1865" s="1" t="s">
        <v>431</v>
      </c>
      <c r="CC1865" s="1" t="s">
        <v>2459</v>
      </c>
      <c r="CD1865" s="1" t="s">
        <v>206</v>
      </c>
      <c r="CE1865" s="1" t="s">
        <v>210</v>
      </c>
      <c r="CF1865" s="1" t="s">
        <v>431</v>
      </c>
      <c r="CG1865" s="1" t="s">
        <v>332</v>
      </c>
      <c r="CH1865" s="1" t="s">
        <v>209</v>
      </c>
      <c r="CI1865" s="1" t="s">
        <v>210</v>
      </c>
      <c r="CJ1865" s="1" t="s">
        <v>431</v>
      </c>
      <c r="CK1865" s="1" t="s">
        <v>264</v>
      </c>
      <c r="CL1865" s="1" t="s">
        <v>209</v>
      </c>
      <c r="CM1865" s="1" t="s">
        <v>210</v>
      </c>
      <c r="CN1865" s="1" t="s">
        <v>431</v>
      </c>
      <c r="CO1865" s="1" t="s">
        <v>264</v>
      </c>
      <c r="CP1865" s="1" t="s">
        <v>209</v>
      </c>
      <c r="CQ1865" s="1" t="s">
        <v>210</v>
      </c>
      <c r="CR1865" s="1" t="s">
        <v>431</v>
      </c>
      <c r="CS1865" s="1" t="s">
        <v>363</v>
      </c>
      <c r="CT1865" s="1" t="s">
        <v>206</v>
      </c>
      <c r="CU1865" s="1" t="s">
        <v>207</v>
      </c>
      <c r="CV1865" s="1" t="s">
        <v>476</v>
      </c>
      <c r="CW1865" s="1" t="s">
        <v>1351</v>
      </c>
      <c r="CX1865" s="1" t="s">
        <v>206</v>
      </c>
      <c r="CY1865" s="1" t="s">
        <v>207</v>
      </c>
      <c r="DA1865" s="1" t="s">
        <v>200</v>
      </c>
      <c r="DC1865" s="1" t="s">
        <v>481</v>
      </c>
      <c r="DD1865" s="1" t="s">
        <v>396</v>
      </c>
      <c r="DE1865" s="1" t="s">
        <v>273</v>
      </c>
      <c r="DF1865" s="1" t="s">
        <v>219</v>
      </c>
      <c r="DH1865" s="1" t="s">
        <v>220</v>
      </c>
      <c r="DI1865" s="1" t="s">
        <v>703</v>
      </c>
      <c r="DJ1865" s="1" t="s">
        <v>222</v>
      </c>
      <c r="DL1865" s="1" t="s">
        <v>223</v>
      </c>
      <c r="DM1865" s="1" t="s">
        <v>229</v>
      </c>
      <c r="DP1865" s="1" t="s">
        <v>340</v>
      </c>
      <c r="DQ1865" s="1" t="s">
        <v>441</v>
      </c>
      <c r="DR1865" s="1" t="s">
        <v>229</v>
      </c>
      <c r="DV1865" s="1" t="s">
        <v>232</v>
      </c>
      <c r="DW1865" s="1" t="s">
        <v>667</v>
      </c>
      <c r="DX1865" s="1" t="s">
        <v>1287</v>
      </c>
      <c r="EA1865" s="1" t="s">
        <v>344</v>
      </c>
      <c r="EC1865" s="1" t="s">
        <v>237</v>
      </c>
      <c r="EE1865" s="1" t="s">
        <v>187</v>
      </c>
      <c r="EM1865" s="1" t="s">
        <v>238</v>
      </c>
      <c r="EQ1865" s="1" t="s">
        <v>238</v>
      </c>
      <c r="EU1865" s="1" t="s">
        <v>238</v>
      </c>
      <c r="EY1865" s="1" t="s">
        <v>238</v>
      </c>
      <c r="FC1865" s="1" t="s">
        <v>238</v>
      </c>
      <c r="FF1865" s="1" t="s">
        <v>239</v>
      </c>
      <c r="FG1865" s="1" t="s">
        <v>192</v>
      </c>
      <c r="FH1865" s="1" t="s">
        <v>192</v>
      </c>
      <c r="FJ1865" s="1" t="s">
        <v>561</v>
      </c>
      <c r="FK1865" s="1" t="s">
        <v>1586</v>
      </c>
      <c r="FL1865" s="1" t="s">
        <v>562</v>
      </c>
      <c r="FM1865" s="1">
        <v>14703.0</v>
      </c>
      <c r="FN1865" s="1" t="s">
        <v>2570</v>
      </c>
      <c r="FO1865" s="1" t="s">
        <v>18068</v>
      </c>
      <c r="FP1865" s="1">
        <v>150136.0</v>
      </c>
      <c r="FQ1865" s="1" t="s">
        <v>18069</v>
      </c>
      <c r="FR1865" s="1">
        <v>867074.0</v>
      </c>
      <c r="FU1865" s="1" t="s">
        <v>18070</v>
      </c>
      <c r="FV1865" s="1" t="s">
        <v>200</v>
      </c>
      <c r="FW1865" s="1" t="s">
        <v>290</v>
      </c>
      <c r="FZ1865" s="1" t="s">
        <v>229</v>
      </c>
      <c r="GA1865" s="1" t="s">
        <v>291</v>
      </c>
      <c r="GB1865" s="2">
        <v>42074.0</v>
      </c>
      <c r="GC1865" s="1" t="s">
        <v>18071</v>
      </c>
    </row>
    <row r="1866">
      <c r="A1866" s="1">
        <v>89000.0</v>
      </c>
      <c r="B1866" s="1" t="s">
        <v>185</v>
      </c>
      <c r="C1866" s="1" t="str">
        <f>"08712162"</f>
        <v>08712162</v>
      </c>
      <c r="D1866" s="1" t="s">
        <v>186</v>
      </c>
      <c r="F1866" s="1" t="str">
        <f>"8025"</f>
        <v>8025</v>
      </c>
      <c r="G1866" s="2">
        <v>41877.0</v>
      </c>
      <c r="H1866" s="1">
        <v>129900.0</v>
      </c>
      <c r="I1866" s="1">
        <v>121.0</v>
      </c>
      <c r="J1866" s="1">
        <v>105000.0</v>
      </c>
      <c r="K1866" s="2">
        <v>41996.0</v>
      </c>
      <c r="L1866" s="1">
        <v>121.0</v>
      </c>
      <c r="M1866" s="2">
        <v>41996.0</v>
      </c>
      <c r="N1866" s="1" t="s">
        <v>1512</v>
      </c>
      <c r="O1866" s="2">
        <v>42060.0</v>
      </c>
      <c r="P1866" s="1">
        <v>847374.0</v>
      </c>
      <c r="Q1866" s="1">
        <v>84627.0</v>
      </c>
      <c r="R1866" s="1">
        <v>2670.0</v>
      </c>
      <c r="S1866" s="1">
        <v>1042.0</v>
      </c>
      <c r="T1866" s="1" t="s">
        <v>1282</v>
      </c>
      <c r="U1866" s="1" t="s">
        <v>189</v>
      </c>
      <c r="V1866" s="1" t="s">
        <v>190</v>
      </c>
      <c r="W1866" s="1">
        <v>60644.0</v>
      </c>
      <c r="Y1866" s="1" t="s">
        <v>18072</v>
      </c>
      <c r="Z1866" s="1">
        <v>1921.0</v>
      </c>
      <c r="AA1866" s="1" t="s">
        <v>192</v>
      </c>
      <c r="AB1866" s="1" t="s">
        <v>193</v>
      </c>
      <c r="AD1866" s="1" t="s">
        <v>194</v>
      </c>
      <c r="AE1866" s="1" t="s">
        <v>195</v>
      </c>
      <c r="AF1866" s="1" t="s">
        <v>2645</v>
      </c>
      <c r="AH1866" s="1" t="s">
        <v>359</v>
      </c>
      <c r="AI1866" s="1">
        <v>0.0868</v>
      </c>
      <c r="AK1866" s="1">
        <v>8.0</v>
      </c>
      <c r="AL1866" s="1">
        <v>4.0</v>
      </c>
      <c r="AM1866" s="1">
        <v>2.0</v>
      </c>
      <c r="AN1866" s="1">
        <v>0.0</v>
      </c>
      <c r="AO1866" s="1" t="s">
        <v>229</v>
      </c>
      <c r="AQ1866" s="1" t="s">
        <v>198</v>
      </c>
      <c r="AR1866" s="1" t="s">
        <v>192</v>
      </c>
      <c r="AS1866" s="1" t="s">
        <v>199</v>
      </c>
      <c r="AT1866" s="1">
        <v>2.0</v>
      </c>
      <c r="AV1866" s="1" t="s">
        <v>200</v>
      </c>
      <c r="AW1866" s="1">
        <v>2609.62</v>
      </c>
      <c r="AX1866" s="1">
        <v>2013.0</v>
      </c>
      <c r="AZ1866" s="1" t="s">
        <v>200</v>
      </c>
      <c r="BA1866" s="1" t="str">
        <f>"16174070290000"</f>
        <v>16174070290000</v>
      </c>
      <c r="BC1866" s="1">
        <v>1200.0</v>
      </c>
      <c r="BD1866" s="1">
        <v>89000.0</v>
      </c>
      <c r="BE1866" s="2">
        <v>41876.0</v>
      </c>
      <c r="BF1866" s="2" t="s">
        <v>18073</v>
      </c>
      <c r="BH1866" s="1">
        <v>0.0</v>
      </c>
      <c r="BK1866" s="1" t="s">
        <v>204</v>
      </c>
      <c r="BL1866" s="1" t="str">
        <f t="shared" si="1231"/>
        <v>0</v>
      </c>
      <c r="BM1866" s="1" t="str">
        <f t="shared" si="1232"/>
        <v>0</v>
      </c>
      <c r="BN1866" s="1">
        <v>5900.0</v>
      </c>
      <c r="BO1866" s="1">
        <v>1000.0</v>
      </c>
      <c r="BQ1866" s="1">
        <v>299.0</v>
      </c>
      <c r="BR1866" s="1">
        <v>299.0</v>
      </c>
      <c r="BS1866" s="1">
        <v>299.0</v>
      </c>
      <c r="BU1866" s="1" t="s">
        <v>205</v>
      </c>
      <c r="BV1866" s="1" t="s">
        <v>206</v>
      </c>
      <c r="BY1866" s="1" t="s">
        <v>497</v>
      </c>
      <c r="BZ1866" s="1" t="s">
        <v>206</v>
      </c>
      <c r="CC1866" s="1" t="s">
        <v>582</v>
      </c>
      <c r="CD1866" s="1" t="s">
        <v>206</v>
      </c>
      <c r="CG1866" s="1" t="s">
        <v>392</v>
      </c>
      <c r="CH1866" s="1" t="s">
        <v>206</v>
      </c>
      <c r="CK1866" s="1" t="s">
        <v>332</v>
      </c>
      <c r="CL1866" s="1" t="s">
        <v>209</v>
      </c>
      <c r="CO1866" s="1" t="s">
        <v>758</v>
      </c>
      <c r="CP1866" s="1" t="s">
        <v>209</v>
      </c>
      <c r="CS1866" s="1" t="s">
        <v>582</v>
      </c>
      <c r="CT1866" s="1" t="s">
        <v>206</v>
      </c>
      <c r="CW1866" s="1" t="s">
        <v>6146</v>
      </c>
      <c r="CX1866" s="1" t="s">
        <v>209</v>
      </c>
      <c r="DA1866" s="1" t="s">
        <v>200</v>
      </c>
      <c r="DC1866" s="1" t="s">
        <v>216</v>
      </c>
      <c r="DE1866" s="1" t="s">
        <v>1300</v>
      </c>
      <c r="DF1866" s="1" t="s">
        <v>219</v>
      </c>
      <c r="DH1866" s="1" t="s">
        <v>365</v>
      </c>
      <c r="DJ1866" s="1" t="s">
        <v>222</v>
      </c>
      <c r="DL1866" s="1" t="s">
        <v>858</v>
      </c>
      <c r="DM1866" s="1" t="s">
        <v>229</v>
      </c>
      <c r="DQ1866" s="1" t="s">
        <v>228</v>
      </c>
      <c r="DR1866" s="1" t="s">
        <v>229</v>
      </c>
      <c r="DV1866" s="1" t="s">
        <v>232</v>
      </c>
      <c r="DW1866" s="1" t="s">
        <v>279</v>
      </c>
      <c r="DX1866" s="1" t="s">
        <v>234</v>
      </c>
      <c r="EC1866" s="1" t="s">
        <v>645</v>
      </c>
      <c r="EM1866" s="1" t="s">
        <v>238</v>
      </c>
      <c r="EQ1866" s="1" t="s">
        <v>238</v>
      </c>
      <c r="EU1866" s="1" t="s">
        <v>238</v>
      </c>
      <c r="EY1866" s="1" t="s">
        <v>238</v>
      </c>
      <c r="FC1866" s="1" t="s">
        <v>238</v>
      </c>
      <c r="FF1866" s="1" t="s">
        <v>239</v>
      </c>
      <c r="FG1866" s="1" t="s">
        <v>192</v>
      </c>
      <c r="FH1866" s="1" t="s">
        <v>192</v>
      </c>
      <c r="FJ1866" s="1" t="s">
        <v>1248</v>
      </c>
      <c r="FK1866" s="1" t="s">
        <v>229</v>
      </c>
      <c r="FL1866" s="1" t="s">
        <v>18074</v>
      </c>
      <c r="FM1866" s="1">
        <v>8758.0</v>
      </c>
      <c r="FN1866" s="1" t="s">
        <v>5976</v>
      </c>
      <c r="FO1866" s="1" t="s">
        <v>18075</v>
      </c>
      <c r="FP1866" s="1">
        <v>29594.0</v>
      </c>
      <c r="FQ1866" s="1" t="s">
        <v>18076</v>
      </c>
      <c r="FU1866" s="1" t="s">
        <v>18077</v>
      </c>
      <c r="FV1866" s="1" t="s">
        <v>200</v>
      </c>
      <c r="FW1866" s="1" t="s">
        <v>354</v>
      </c>
      <c r="FX1866" s="1" t="s">
        <v>655</v>
      </c>
      <c r="FZ1866" s="1" t="s">
        <v>229</v>
      </c>
      <c r="GA1866" s="1" t="s">
        <v>291</v>
      </c>
      <c r="GB1866" s="2">
        <v>42060.0</v>
      </c>
      <c r="GC1866" s="1" t="s">
        <v>18078</v>
      </c>
    </row>
    <row r="1867">
      <c r="A1867" s="1">
        <v>425000.0</v>
      </c>
      <c r="B1867" s="1" t="s">
        <v>185</v>
      </c>
      <c r="C1867" s="1" t="str">
        <f>"08724325"</f>
        <v>08724325</v>
      </c>
      <c r="D1867" s="1" t="s">
        <v>186</v>
      </c>
      <c r="F1867" s="1" t="str">
        <f>"8010"</f>
        <v>8010</v>
      </c>
      <c r="G1867" s="2">
        <v>41892.0</v>
      </c>
      <c r="H1867" s="1">
        <v>479900.0</v>
      </c>
      <c r="I1867" s="1">
        <v>122.0</v>
      </c>
      <c r="J1867" s="1">
        <v>438900.0</v>
      </c>
      <c r="K1867" s="2">
        <v>42013.0</v>
      </c>
      <c r="L1867" s="1">
        <v>122.0</v>
      </c>
      <c r="M1867" s="2">
        <v>42013.0</v>
      </c>
      <c r="N1867" s="1" t="s">
        <v>187</v>
      </c>
      <c r="O1867" s="2">
        <v>42048.0</v>
      </c>
      <c r="P1867" s="1">
        <v>188192.0</v>
      </c>
      <c r="Q1867" s="1">
        <v>16240.0</v>
      </c>
      <c r="S1867" s="1">
        <v>6426.0</v>
      </c>
      <c r="T1867" s="1" t="s">
        <v>12384</v>
      </c>
      <c r="U1867" s="1" t="s">
        <v>189</v>
      </c>
      <c r="V1867" s="1" t="s">
        <v>190</v>
      </c>
      <c r="W1867" s="1">
        <v>60631.0</v>
      </c>
      <c r="Y1867" s="1" t="s">
        <v>18079</v>
      </c>
      <c r="Z1867" s="1">
        <v>1927.0</v>
      </c>
      <c r="AA1867" s="1" t="s">
        <v>192</v>
      </c>
      <c r="AB1867" s="1" t="s">
        <v>193</v>
      </c>
      <c r="AD1867" s="1" t="s">
        <v>194</v>
      </c>
      <c r="AE1867" s="1" t="s">
        <v>195</v>
      </c>
      <c r="AF1867" s="1" t="s">
        <v>196</v>
      </c>
      <c r="AH1867" s="1" t="s">
        <v>8355</v>
      </c>
      <c r="AK1867" s="1">
        <v>8.0</v>
      </c>
      <c r="AL1867" s="1">
        <v>4.0</v>
      </c>
      <c r="AM1867" s="1">
        <v>3.0</v>
      </c>
      <c r="AN1867" s="1">
        <v>0.0</v>
      </c>
      <c r="AO1867" s="1" t="s">
        <v>198</v>
      </c>
      <c r="AQ1867" s="1" t="s">
        <v>198</v>
      </c>
      <c r="AR1867" s="1" t="s">
        <v>192</v>
      </c>
      <c r="AS1867" s="1" t="s">
        <v>199</v>
      </c>
      <c r="AT1867" s="1">
        <v>2.5</v>
      </c>
      <c r="AV1867" s="1" t="s">
        <v>200</v>
      </c>
      <c r="AW1867" s="1">
        <v>4160.0</v>
      </c>
      <c r="AX1867" s="1">
        <v>2012.0</v>
      </c>
      <c r="AZ1867" s="1" t="s">
        <v>200</v>
      </c>
      <c r="BA1867" s="1" t="str">
        <f>"10313110190000"</f>
        <v>10313110190000</v>
      </c>
      <c r="BC1867" s="1">
        <v>0.0</v>
      </c>
      <c r="BD1867" s="1">
        <v>425000.0</v>
      </c>
      <c r="BE1867" s="2">
        <v>41892.0</v>
      </c>
      <c r="BF1867" s="2" t="s">
        <v>18080</v>
      </c>
      <c r="BG1867" s="1" t="s">
        <v>13854</v>
      </c>
      <c r="BH1867" s="1">
        <v>0.0</v>
      </c>
      <c r="BI1867" s="1" t="s">
        <v>13854</v>
      </c>
      <c r="BJ1867" s="1" t="s">
        <v>1222</v>
      </c>
      <c r="BK1867" s="1" t="s">
        <v>204</v>
      </c>
      <c r="BL1867" s="1" t="str">
        <f>"6426"</f>
        <v>6426</v>
      </c>
      <c r="BM1867" s="1" t="str">
        <f t="shared" si="1232"/>
        <v>0</v>
      </c>
      <c r="BN1867" s="1">
        <v>6930.0</v>
      </c>
      <c r="BO1867" s="1">
        <v>0.0</v>
      </c>
      <c r="BQ1867" s="1">
        <v>299.0</v>
      </c>
      <c r="BR1867" s="1">
        <v>299.0</v>
      </c>
      <c r="BS1867" s="1">
        <v>299.0</v>
      </c>
      <c r="BU1867" s="1" t="s">
        <v>8988</v>
      </c>
      <c r="BV1867" s="1" t="s">
        <v>206</v>
      </c>
      <c r="BW1867" s="1" t="s">
        <v>207</v>
      </c>
      <c r="BY1867" s="1" t="s">
        <v>543</v>
      </c>
      <c r="BZ1867" s="1" t="s">
        <v>209</v>
      </c>
      <c r="CA1867" s="1" t="s">
        <v>210</v>
      </c>
      <c r="CC1867" s="1" t="s">
        <v>1229</v>
      </c>
      <c r="CD1867" s="1" t="s">
        <v>206</v>
      </c>
      <c r="CE1867" s="1" t="s">
        <v>207</v>
      </c>
      <c r="CG1867" s="1" t="s">
        <v>516</v>
      </c>
      <c r="CH1867" s="1" t="s">
        <v>209</v>
      </c>
      <c r="CI1867" s="1" t="s">
        <v>210</v>
      </c>
      <c r="CK1867" s="1" t="s">
        <v>798</v>
      </c>
      <c r="CL1867" s="1" t="s">
        <v>206</v>
      </c>
      <c r="CM1867" s="1" t="s">
        <v>207</v>
      </c>
      <c r="CO1867" s="1" t="s">
        <v>798</v>
      </c>
      <c r="CP1867" s="1" t="s">
        <v>206</v>
      </c>
      <c r="CQ1867" s="1" t="s">
        <v>207</v>
      </c>
      <c r="CS1867" s="1" t="s">
        <v>1875</v>
      </c>
      <c r="CT1867" s="1" t="s">
        <v>206</v>
      </c>
      <c r="CU1867" s="1" t="s">
        <v>207</v>
      </c>
      <c r="CW1867" s="1" t="s">
        <v>1953</v>
      </c>
      <c r="CX1867" s="1" t="s">
        <v>42</v>
      </c>
      <c r="CY1867" s="1" t="s">
        <v>1136</v>
      </c>
      <c r="DA1867" s="1" t="s">
        <v>200</v>
      </c>
      <c r="DC1867" s="1" t="s">
        <v>785</v>
      </c>
      <c r="DE1867" s="1" t="s">
        <v>273</v>
      </c>
      <c r="DF1867" s="1" t="s">
        <v>219</v>
      </c>
      <c r="DH1867" s="1" t="s">
        <v>365</v>
      </c>
      <c r="DJ1867" s="1" t="s">
        <v>222</v>
      </c>
      <c r="DL1867" s="1" t="s">
        <v>858</v>
      </c>
      <c r="DM1867" s="1" t="s">
        <v>229</v>
      </c>
      <c r="DQ1867" s="1" t="s">
        <v>441</v>
      </c>
      <c r="DR1867" s="1" t="s">
        <v>229</v>
      </c>
      <c r="DV1867" s="1" t="s">
        <v>232</v>
      </c>
      <c r="DW1867" s="1" t="s">
        <v>279</v>
      </c>
      <c r="DX1867" s="1" t="s">
        <v>234</v>
      </c>
      <c r="EC1867" s="1" t="s">
        <v>237</v>
      </c>
      <c r="EM1867" s="1" t="s">
        <v>238</v>
      </c>
      <c r="EQ1867" s="1" t="s">
        <v>238</v>
      </c>
      <c r="EU1867" s="1" t="s">
        <v>238</v>
      </c>
      <c r="EY1867" s="1" t="s">
        <v>238</v>
      </c>
      <c r="FC1867" s="1" t="s">
        <v>238</v>
      </c>
      <c r="FF1867" s="1" t="s">
        <v>239</v>
      </c>
      <c r="FG1867" s="1" t="s">
        <v>192</v>
      </c>
      <c r="FH1867" s="1" t="s">
        <v>192</v>
      </c>
      <c r="FJ1867" s="1" t="s">
        <v>14016</v>
      </c>
      <c r="FK1867" s="1" t="s">
        <v>348</v>
      </c>
      <c r="FL1867" s="1" t="s">
        <v>456</v>
      </c>
      <c r="FM1867" s="1">
        <v>10013.0</v>
      </c>
      <c r="FN1867" s="1" t="s">
        <v>2428</v>
      </c>
      <c r="FO1867" s="1" t="s">
        <v>18081</v>
      </c>
      <c r="FP1867" s="1">
        <v>120274.0</v>
      </c>
      <c r="FQ1867" s="1" t="s">
        <v>18082</v>
      </c>
      <c r="FU1867" s="1" t="s">
        <v>18083</v>
      </c>
      <c r="FV1867" s="1" t="s">
        <v>200</v>
      </c>
      <c r="FW1867" s="1" t="s">
        <v>567</v>
      </c>
      <c r="FX1867" s="1" t="s">
        <v>238</v>
      </c>
      <c r="FZ1867" s="1" t="s">
        <v>229</v>
      </c>
      <c r="GA1867" s="1" t="s">
        <v>291</v>
      </c>
      <c r="GB1867" s="2">
        <v>42048.0</v>
      </c>
    </row>
    <row r="1868">
      <c r="A1868" s="1">
        <v>159900.0</v>
      </c>
      <c r="B1868" s="1" t="s">
        <v>185</v>
      </c>
      <c r="C1868" s="1" t="str">
        <f>"08712710"</f>
        <v>08712710</v>
      </c>
      <c r="D1868" s="1" t="s">
        <v>186</v>
      </c>
      <c r="F1868" s="1" t="str">
        <f>"110"</f>
        <v>110</v>
      </c>
      <c r="G1868" s="2">
        <v>41878.0</v>
      </c>
      <c r="H1868" s="1">
        <v>164900.0</v>
      </c>
      <c r="I1868" s="1">
        <v>49.0</v>
      </c>
      <c r="J1868" s="1">
        <v>159900.0</v>
      </c>
      <c r="K1868" s="2">
        <v>41926.0</v>
      </c>
      <c r="L1868" s="1">
        <v>49.0</v>
      </c>
      <c r="M1868" s="2">
        <v>41926.0</v>
      </c>
      <c r="N1868" s="1" t="s">
        <v>356</v>
      </c>
      <c r="O1868" s="2">
        <v>41977.0</v>
      </c>
      <c r="P1868" s="1">
        <v>563.0</v>
      </c>
      <c r="Q1868" s="1">
        <v>466.0</v>
      </c>
      <c r="R1868" s="1">
        <v>4000.0</v>
      </c>
      <c r="S1868" s="1">
        <v>1148.0</v>
      </c>
      <c r="T1868" s="1" t="s">
        <v>18084</v>
      </c>
      <c r="U1868" s="1" t="s">
        <v>569</v>
      </c>
      <c r="V1868" s="1" t="s">
        <v>807</v>
      </c>
      <c r="W1868" s="1">
        <v>60110.0</v>
      </c>
      <c r="Y1868" s="1" t="s">
        <v>18085</v>
      </c>
      <c r="Z1868" s="1">
        <v>1957.0</v>
      </c>
      <c r="AA1868" s="1" t="s">
        <v>192</v>
      </c>
      <c r="AB1868" s="1" t="s">
        <v>193</v>
      </c>
      <c r="AD1868" s="1" t="s">
        <v>809</v>
      </c>
      <c r="AE1868" s="1" t="s">
        <v>325</v>
      </c>
      <c r="AF1868" s="1" t="s">
        <v>810</v>
      </c>
      <c r="AH1868" s="6">
        <v>13645.0</v>
      </c>
      <c r="AK1868" s="1">
        <v>8.0</v>
      </c>
      <c r="AL1868" s="1">
        <v>4.0</v>
      </c>
      <c r="AM1868" s="1">
        <v>2.0</v>
      </c>
      <c r="AN1868" s="1">
        <v>0.0</v>
      </c>
      <c r="AO1868" s="1" t="s">
        <v>229</v>
      </c>
      <c r="AQ1868" s="1" t="s">
        <v>198</v>
      </c>
      <c r="AR1868" s="1" t="s">
        <v>200</v>
      </c>
      <c r="AS1868" s="1" t="s">
        <v>199</v>
      </c>
      <c r="AT1868" s="1">
        <v>2.0</v>
      </c>
      <c r="AV1868" s="1" t="s">
        <v>200</v>
      </c>
      <c r="AW1868" s="4">
        <v>4310.54</v>
      </c>
      <c r="AX1868" s="1">
        <v>2013.0</v>
      </c>
      <c r="AY1868" s="1" t="s">
        <v>387</v>
      </c>
      <c r="AZ1868" s="1" t="s">
        <v>200</v>
      </c>
      <c r="BA1868" s="1" t="str">
        <f>"0311481008"</f>
        <v>0311481008</v>
      </c>
      <c r="BB1868" s="1" t="s">
        <v>192</v>
      </c>
      <c r="BC1868" s="1">
        <v>2119.0</v>
      </c>
      <c r="BD1868" s="1">
        <v>159900.0</v>
      </c>
      <c r="BE1868" s="2">
        <v>41878.0</v>
      </c>
      <c r="BF1868" s="2" t="s">
        <v>18086</v>
      </c>
      <c r="BG1868" s="1" t="s">
        <v>13790</v>
      </c>
      <c r="BH1868" s="1">
        <v>0.0</v>
      </c>
      <c r="BI1868" s="1" t="s">
        <v>7665</v>
      </c>
      <c r="BJ1868" s="1" t="s">
        <v>1094</v>
      </c>
      <c r="BK1868" s="1" t="s">
        <v>204</v>
      </c>
      <c r="BL1868" s="1" t="str">
        <f>"18"</f>
        <v>18</v>
      </c>
      <c r="BM1868" s="1" t="str">
        <f t="shared" si="1232"/>
        <v>0</v>
      </c>
      <c r="BN1868" s="1">
        <v>33.0</v>
      </c>
      <c r="BO1868" s="1">
        <v>0.0</v>
      </c>
      <c r="BQ1868" s="1">
        <v>300.0</v>
      </c>
      <c r="BR1868" s="1">
        <v>300.0</v>
      </c>
      <c r="BS1868" s="1">
        <v>300.0</v>
      </c>
      <c r="BU1868" s="1" t="s">
        <v>1378</v>
      </c>
      <c r="BV1868" s="1" t="s">
        <v>206</v>
      </c>
      <c r="BW1868" s="1" t="s">
        <v>210</v>
      </c>
      <c r="BX1868" s="1" t="s">
        <v>229</v>
      </c>
      <c r="BY1868" s="1" t="s">
        <v>331</v>
      </c>
      <c r="BZ1868" s="1" t="s">
        <v>209</v>
      </c>
      <c r="CA1868" s="1" t="s">
        <v>210</v>
      </c>
      <c r="CB1868" s="1" t="s">
        <v>431</v>
      </c>
      <c r="CD1868" s="1" t="s">
        <v>204</v>
      </c>
      <c r="CG1868" s="1" t="s">
        <v>495</v>
      </c>
      <c r="CH1868" s="1" t="s">
        <v>209</v>
      </c>
      <c r="CI1868" s="1" t="s">
        <v>210</v>
      </c>
      <c r="CJ1868" s="1" t="s">
        <v>431</v>
      </c>
      <c r="CK1868" s="1" t="s">
        <v>495</v>
      </c>
      <c r="CL1868" s="1" t="s">
        <v>209</v>
      </c>
      <c r="CM1868" s="1" t="s">
        <v>210</v>
      </c>
      <c r="CN1868" s="1" t="s">
        <v>431</v>
      </c>
      <c r="CO1868" s="1" t="s">
        <v>699</v>
      </c>
      <c r="CP1868" s="1" t="s">
        <v>267</v>
      </c>
      <c r="CQ1868" s="1" t="s">
        <v>301</v>
      </c>
      <c r="CR1868" s="1" t="s">
        <v>431</v>
      </c>
      <c r="CS1868" s="1" t="s">
        <v>1427</v>
      </c>
      <c r="CT1868" s="1" t="s">
        <v>206</v>
      </c>
      <c r="CU1868" s="1" t="s">
        <v>301</v>
      </c>
      <c r="CV1868" s="1" t="s">
        <v>431</v>
      </c>
      <c r="CW1868" s="1" t="s">
        <v>616</v>
      </c>
      <c r="CX1868" s="1" t="s">
        <v>206</v>
      </c>
      <c r="CY1868" s="1" t="s">
        <v>268</v>
      </c>
      <c r="CZ1868" s="1" t="s">
        <v>431</v>
      </c>
      <c r="DA1868" s="1" t="s">
        <v>200</v>
      </c>
      <c r="DC1868" s="1" t="s">
        <v>271</v>
      </c>
      <c r="DD1868" s="1" t="s">
        <v>518</v>
      </c>
      <c r="DE1868" s="1" t="s">
        <v>273</v>
      </c>
      <c r="DF1868" s="1" t="s">
        <v>219</v>
      </c>
      <c r="DG1868" s="1" t="s">
        <v>337</v>
      </c>
      <c r="DH1868" s="1" t="s">
        <v>220</v>
      </c>
      <c r="DI1868" s="1" t="s">
        <v>703</v>
      </c>
      <c r="DJ1868" s="1" t="s">
        <v>1048</v>
      </c>
      <c r="DK1868" s="1" t="s">
        <v>198</v>
      </c>
      <c r="DL1868" s="1" t="s">
        <v>224</v>
      </c>
      <c r="DM1868" s="1" t="s">
        <v>338</v>
      </c>
      <c r="DQ1868" s="1" t="s">
        <v>441</v>
      </c>
      <c r="DR1868" s="1" t="s">
        <v>229</v>
      </c>
      <c r="DS1868" s="1" t="s">
        <v>277</v>
      </c>
      <c r="DU1868" s="1" t="s">
        <v>550</v>
      </c>
      <c r="DV1868" s="1" t="s">
        <v>451</v>
      </c>
      <c r="DW1868" s="1" t="s">
        <v>233</v>
      </c>
      <c r="DX1868" s="1" t="s">
        <v>234</v>
      </c>
      <c r="DY1868" s="1" t="s">
        <v>18087</v>
      </c>
      <c r="DZ1868" s="1" t="s">
        <v>1100</v>
      </c>
      <c r="EA1868" s="1" t="s">
        <v>554</v>
      </c>
      <c r="EC1868" s="1" t="s">
        <v>284</v>
      </c>
      <c r="ED1868" s="1" t="s">
        <v>1406</v>
      </c>
      <c r="EE1868" s="1" t="s">
        <v>493</v>
      </c>
      <c r="EG1868" s="1" t="s">
        <v>451</v>
      </c>
      <c r="EL1868" s="1" t="s">
        <v>390</v>
      </c>
      <c r="EM1868" s="1" t="s">
        <v>267</v>
      </c>
      <c r="EN1868" s="1" t="s">
        <v>301</v>
      </c>
      <c r="EO1868" s="1" t="s">
        <v>431</v>
      </c>
      <c r="EQ1868" s="1" t="s">
        <v>238</v>
      </c>
      <c r="EU1868" s="1" t="s">
        <v>238</v>
      </c>
      <c r="EY1868" s="1" t="s">
        <v>238</v>
      </c>
      <c r="FC1868" s="1" t="s">
        <v>238</v>
      </c>
      <c r="FF1868" s="1" t="s">
        <v>239</v>
      </c>
      <c r="FG1868" s="1" t="s">
        <v>192</v>
      </c>
      <c r="FH1868" s="1" t="s">
        <v>192</v>
      </c>
      <c r="FJ1868" s="1" t="s">
        <v>376</v>
      </c>
      <c r="FK1868" s="1" t="s">
        <v>229</v>
      </c>
      <c r="FL1868" s="1" t="s">
        <v>1031</v>
      </c>
      <c r="FM1868" s="1">
        <v>222.0</v>
      </c>
      <c r="FN1868" s="1" t="s">
        <v>1032</v>
      </c>
      <c r="FO1868" s="1" t="s">
        <v>18088</v>
      </c>
      <c r="FP1868" s="1">
        <v>77308.0</v>
      </c>
      <c r="FQ1868" s="1" t="s">
        <v>18089</v>
      </c>
      <c r="FS1868" s="1" t="s">
        <v>18090</v>
      </c>
      <c r="FU1868" s="1" t="s">
        <v>6922</v>
      </c>
      <c r="FV1868" s="1" t="s">
        <v>200</v>
      </c>
      <c r="FW1868" s="1" t="s">
        <v>18091</v>
      </c>
      <c r="FZ1868" s="1" t="s">
        <v>229</v>
      </c>
      <c r="GA1868" s="1" t="s">
        <v>291</v>
      </c>
      <c r="GB1868" s="2">
        <v>41977.0</v>
      </c>
      <c r="GC1868" s="1" t="s">
        <v>18092</v>
      </c>
    </row>
    <row r="1869">
      <c r="A1869" s="1">
        <v>385700.0</v>
      </c>
      <c r="B1869" s="1" t="s">
        <v>185</v>
      </c>
      <c r="C1869" s="1" t="str">
        <f>"08715243"</f>
        <v>08715243</v>
      </c>
      <c r="D1869" s="1" t="s">
        <v>186</v>
      </c>
      <c r="F1869" s="1" t="str">
        <f>"177"</f>
        <v>177</v>
      </c>
      <c r="G1869" s="2">
        <v>41881.0</v>
      </c>
      <c r="H1869" s="1">
        <v>419900.0</v>
      </c>
      <c r="I1869" s="1">
        <v>186.0</v>
      </c>
      <c r="J1869" s="1">
        <v>409900.0</v>
      </c>
      <c r="K1869" s="2">
        <v>41978.0</v>
      </c>
      <c r="L1869" s="1">
        <v>98.0</v>
      </c>
      <c r="M1869" s="2">
        <v>41978.0</v>
      </c>
      <c r="N1869" s="1" t="s">
        <v>187</v>
      </c>
      <c r="O1869" s="2">
        <v>42069.0</v>
      </c>
      <c r="P1869" s="1">
        <v>236297.0</v>
      </c>
      <c r="Q1869" s="1">
        <v>25718.0</v>
      </c>
      <c r="S1869" s="1">
        <v>693.0</v>
      </c>
      <c r="T1869" s="1" t="s">
        <v>18093</v>
      </c>
      <c r="U1869" s="1" t="s">
        <v>844</v>
      </c>
      <c r="V1869" s="1" t="s">
        <v>2249</v>
      </c>
      <c r="W1869" s="1">
        <v>60177.0</v>
      </c>
      <c r="Y1869" s="1" t="s">
        <v>18094</v>
      </c>
      <c r="Z1869" s="1">
        <v>2001.0</v>
      </c>
      <c r="AA1869" s="1" t="s">
        <v>200</v>
      </c>
      <c r="AB1869" s="1" t="s">
        <v>467</v>
      </c>
      <c r="AC1869" s="1" t="s">
        <v>5341</v>
      </c>
      <c r="AD1869" s="1" t="s">
        <v>2252</v>
      </c>
      <c r="AE1869" s="1" t="s">
        <v>325</v>
      </c>
      <c r="AF1869" s="1" t="s">
        <v>1203</v>
      </c>
      <c r="AH1869" s="1">
        <v>10000.0</v>
      </c>
      <c r="AK1869" s="1">
        <v>10.0</v>
      </c>
      <c r="AL1869" s="1">
        <v>4.0</v>
      </c>
      <c r="AM1869" s="1">
        <v>3.0</v>
      </c>
      <c r="AN1869" s="1">
        <v>0.0</v>
      </c>
      <c r="AO1869" s="1" t="s">
        <v>198</v>
      </c>
      <c r="AP1869" s="1">
        <v>1.0</v>
      </c>
      <c r="AQ1869" s="1" t="s">
        <v>198</v>
      </c>
      <c r="AR1869" s="1" t="s">
        <v>200</v>
      </c>
      <c r="AS1869" s="1" t="s">
        <v>199</v>
      </c>
      <c r="AT1869" s="1">
        <v>3.0</v>
      </c>
      <c r="AV1869" s="1" t="s">
        <v>200</v>
      </c>
      <c r="AW1869" s="1">
        <v>12925.16</v>
      </c>
      <c r="AX1869" s="1">
        <v>2013.0</v>
      </c>
      <c r="AY1869" s="1" t="s">
        <v>387</v>
      </c>
      <c r="AZ1869" s="1" t="s">
        <v>200</v>
      </c>
      <c r="BA1869" s="1" t="str">
        <f>"0905331002"</f>
        <v>0905331002</v>
      </c>
      <c r="BB1869" s="1" t="s">
        <v>200</v>
      </c>
      <c r="BC1869" s="1">
        <v>3997.0</v>
      </c>
      <c r="BD1869" s="1">
        <v>385700.0</v>
      </c>
      <c r="BE1869" s="2">
        <v>41881.0</v>
      </c>
      <c r="BF1869" s="2" t="s">
        <v>18095</v>
      </c>
      <c r="BG1869" s="1" t="s">
        <v>4510</v>
      </c>
      <c r="BH1869" s="1">
        <v>117.0</v>
      </c>
      <c r="BI1869" s="1" t="s">
        <v>4511</v>
      </c>
      <c r="BJ1869" s="1" t="s">
        <v>2200</v>
      </c>
      <c r="BK1869" s="1" t="s">
        <v>1952</v>
      </c>
      <c r="BL1869" s="1" t="str">
        <f t="shared" ref="BL1869:BM1869" si="1233">""</f>
        <v/>
      </c>
      <c r="BM1869" s="1" t="str">
        <f t="shared" si="1233"/>
        <v/>
      </c>
      <c r="BQ1869" s="1">
        <v>303.0</v>
      </c>
      <c r="BR1869" s="1">
        <v>303.0</v>
      </c>
      <c r="BS1869" s="1">
        <v>303.0</v>
      </c>
      <c r="BU1869" s="1" t="s">
        <v>1567</v>
      </c>
      <c r="BV1869" s="1" t="s">
        <v>206</v>
      </c>
      <c r="BW1869" s="1" t="s">
        <v>210</v>
      </c>
      <c r="BX1869" s="1" t="s">
        <v>431</v>
      </c>
      <c r="BY1869" s="1" t="s">
        <v>3092</v>
      </c>
      <c r="BZ1869" s="1" t="s">
        <v>209</v>
      </c>
      <c r="CA1869" s="1" t="s">
        <v>210</v>
      </c>
      <c r="CC1869" s="1" t="s">
        <v>1567</v>
      </c>
      <c r="CD1869" s="1" t="s">
        <v>206</v>
      </c>
      <c r="CE1869" s="1" t="s">
        <v>210</v>
      </c>
      <c r="CF1869" s="1" t="s">
        <v>431</v>
      </c>
      <c r="CG1869" s="1" t="s">
        <v>300</v>
      </c>
      <c r="CH1869" s="1" t="s">
        <v>209</v>
      </c>
      <c r="CI1869" s="1" t="s">
        <v>210</v>
      </c>
      <c r="CK1869" s="1" t="s">
        <v>393</v>
      </c>
      <c r="CL1869" s="1" t="s">
        <v>209</v>
      </c>
      <c r="CM1869" s="1" t="s">
        <v>210</v>
      </c>
      <c r="CO1869" s="1" t="s">
        <v>433</v>
      </c>
      <c r="CP1869" s="1" t="s">
        <v>209</v>
      </c>
      <c r="CQ1869" s="1" t="s">
        <v>210</v>
      </c>
      <c r="CS1869" s="1" t="s">
        <v>214</v>
      </c>
      <c r="CT1869" s="1" t="s">
        <v>206</v>
      </c>
      <c r="CU1869" s="1" t="s">
        <v>207</v>
      </c>
      <c r="CW1869" s="1" t="s">
        <v>3817</v>
      </c>
      <c r="CX1869" s="1" t="s">
        <v>206</v>
      </c>
      <c r="CY1869" s="1" t="s">
        <v>210</v>
      </c>
      <c r="CZ1869" s="1" t="s">
        <v>431</v>
      </c>
      <c r="DA1869" s="1" t="s">
        <v>200</v>
      </c>
      <c r="DC1869" s="1" t="s">
        <v>335</v>
      </c>
      <c r="DD1869" s="1" t="s">
        <v>272</v>
      </c>
      <c r="DE1869" s="1" t="s">
        <v>218</v>
      </c>
      <c r="DF1869" s="1" t="s">
        <v>619</v>
      </c>
      <c r="DG1869" s="1" t="s">
        <v>1602</v>
      </c>
      <c r="DH1869" s="1" t="s">
        <v>220</v>
      </c>
      <c r="DI1869" s="1" t="s">
        <v>1003</v>
      </c>
      <c r="DJ1869" s="1" t="s">
        <v>222</v>
      </c>
      <c r="DL1869" s="1" t="s">
        <v>484</v>
      </c>
      <c r="DM1869" s="1" t="s">
        <v>338</v>
      </c>
      <c r="DP1869" s="1" t="s">
        <v>276</v>
      </c>
      <c r="DQ1869" s="1" t="s">
        <v>228</v>
      </c>
      <c r="DR1869" s="1" t="s">
        <v>2593</v>
      </c>
      <c r="DU1869" s="1" t="s">
        <v>3021</v>
      </c>
      <c r="DV1869" s="1" t="s">
        <v>4513</v>
      </c>
      <c r="DW1869" s="1" t="s">
        <v>444</v>
      </c>
      <c r="DX1869" s="1" t="s">
        <v>234</v>
      </c>
      <c r="DY1869" s="1" t="s">
        <v>1958</v>
      </c>
      <c r="DZ1869" s="1" t="s">
        <v>2424</v>
      </c>
      <c r="EB1869" s="1" t="s">
        <v>14281</v>
      </c>
      <c r="EC1869" s="1" t="s">
        <v>237</v>
      </c>
      <c r="EG1869" s="1" t="s">
        <v>494</v>
      </c>
      <c r="EH1869" s="1" t="s">
        <v>449</v>
      </c>
      <c r="EL1869" s="1" t="s">
        <v>1395</v>
      </c>
      <c r="EM1869" s="1" t="s">
        <v>206</v>
      </c>
      <c r="EN1869" s="1" t="s">
        <v>210</v>
      </c>
      <c r="EP1869" s="1" t="s">
        <v>1190</v>
      </c>
      <c r="EQ1869" s="1" t="s">
        <v>206</v>
      </c>
      <c r="ER1869" s="1" t="s">
        <v>207</v>
      </c>
      <c r="EU1869" s="1" t="s">
        <v>238</v>
      </c>
      <c r="EY1869" s="1" t="s">
        <v>238</v>
      </c>
      <c r="FC1869" s="1" t="s">
        <v>238</v>
      </c>
      <c r="FF1869" s="1" t="s">
        <v>239</v>
      </c>
      <c r="FG1869" s="1" t="s">
        <v>192</v>
      </c>
      <c r="FH1869" s="1" t="s">
        <v>192</v>
      </c>
      <c r="FJ1869" s="1" t="s">
        <v>624</v>
      </c>
      <c r="FK1869" s="1" t="s">
        <v>229</v>
      </c>
      <c r="FL1869" s="1" t="s">
        <v>456</v>
      </c>
      <c r="FM1869" s="1">
        <v>49.0</v>
      </c>
      <c r="FN1869" s="1" t="s">
        <v>457</v>
      </c>
      <c r="FO1869" s="1" t="s">
        <v>4515</v>
      </c>
      <c r="FP1869" s="1">
        <v>8249.0</v>
      </c>
      <c r="FQ1869" s="1" t="s">
        <v>4516</v>
      </c>
      <c r="FU1869" s="1" t="s">
        <v>4517</v>
      </c>
      <c r="FV1869" s="1" t="s">
        <v>200</v>
      </c>
      <c r="FW1869" s="1" t="s">
        <v>290</v>
      </c>
      <c r="FZ1869" s="1" t="s">
        <v>229</v>
      </c>
      <c r="GA1869" s="1" t="s">
        <v>291</v>
      </c>
      <c r="GB1869" s="2">
        <v>42069.0</v>
      </c>
      <c r="GC1869" s="1" t="s">
        <v>17653</v>
      </c>
    </row>
    <row r="1870">
      <c r="A1870" s="1">
        <v>750000.0</v>
      </c>
      <c r="B1870" s="1" t="s">
        <v>185</v>
      </c>
      <c r="C1870" s="1" t="str">
        <f>"08716967"</f>
        <v>08716967</v>
      </c>
      <c r="D1870" s="1" t="s">
        <v>186</v>
      </c>
      <c r="F1870" s="1" t="str">
        <f>"8006"</f>
        <v>8006</v>
      </c>
      <c r="G1870" s="2">
        <v>41884.0</v>
      </c>
      <c r="H1870" s="1">
        <v>850000.0</v>
      </c>
      <c r="I1870" s="1">
        <v>197.0</v>
      </c>
      <c r="J1870" s="1">
        <v>825000.0</v>
      </c>
      <c r="K1870" s="2">
        <v>42080.0</v>
      </c>
      <c r="L1870" s="1">
        <v>197.0</v>
      </c>
      <c r="M1870" s="2">
        <v>42080.0</v>
      </c>
      <c r="N1870" s="1" t="s">
        <v>187</v>
      </c>
      <c r="O1870" s="2">
        <v>42145.0</v>
      </c>
      <c r="P1870" s="1">
        <v>38285.0</v>
      </c>
      <c r="Q1870" s="1">
        <v>4459.0</v>
      </c>
      <c r="R1870" s="1">
        <v>7500.0</v>
      </c>
      <c r="S1870" s="1">
        <v>3619.0</v>
      </c>
      <c r="T1870" s="1" t="s">
        <v>18096</v>
      </c>
      <c r="U1870" s="1" t="s">
        <v>189</v>
      </c>
      <c r="V1870" s="1" t="s">
        <v>190</v>
      </c>
      <c r="W1870" s="1">
        <v>60613.0</v>
      </c>
      <c r="Y1870" s="1" t="s">
        <v>18097</v>
      </c>
      <c r="Z1870" s="1">
        <v>2000.0</v>
      </c>
      <c r="AA1870" s="1" t="s">
        <v>200</v>
      </c>
      <c r="AB1870" s="1" t="s">
        <v>193</v>
      </c>
      <c r="AD1870" s="1" t="s">
        <v>194</v>
      </c>
      <c r="AE1870" s="1" t="s">
        <v>195</v>
      </c>
      <c r="AF1870" s="1" t="s">
        <v>2645</v>
      </c>
      <c r="AH1870" s="1" t="s">
        <v>18098</v>
      </c>
      <c r="AK1870" s="1">
        <v>8.0</v>
      </c>
      <c r="AL1870" s="1">
        <v>4.0</v>
      </c>
      <c r="AM1870" s="1">
        <v>3.0</v>
      </c>
      <c r="AN1870" s="1">
        <v>1.0</v>
      </c>
      <c r="AO1870" s="1" t="s">
        <v>198</v>
      </c>
      <c r="AP1870" s="1">
        <v>2.0</v>
      </c>
      <c r="AQ1870" s="1" t="s">
        <v>472</v>
      </c>
      <c r="AR1870" s="1" t="s">
        <v>192</v>
      </c>
      <c r="AS1870" s="1" t="s">
        <v>199</v>
      </c>
      <c r="AT1870" s="1">
        <v>2.0</v>
      </c>
      <c r="AV1870" s="1" t="s">
        <v>200</v>
      </c>
      <c r="AW1870" s="1">
        <v>15559.68</v>
      </c>
      <c r="AX1870" s="1">
        <v>2013.0</v>
      </c>
      <c r="AY1870" s="1" t="s">
        <v>387</v>
      </c>
      <c r="AZ1870" s="1" t="s">
        <v>200</v>
      </c>
      <c r="BA1870" s="1" t="str">
        <f>"14192290180000"</f>
        <v>14192290180000</v>
      </c>
      <c r="BC1870" s="1">
        <v>3200.0</v>
      </c>
      <c r="BD1870" s="1">
        <v>750000.0</v>
      </c>
      <c r="BE1870" s="2">
        <v>41884.0</v>
      </c>
      <c r="BF1870" s="2" t="s">
        <v>18099</v>
      </c>
      <c r="BG1870" s="1" t="s">
        <v>3227</v>
      </c>
      <c r="BH1870" s="1">
        <v>0.0</v>
      </c>
      <c r="BJ1870" s="1" t="s">
        <v>538</v>
      </c>
      <c r="BK1870" s="1" t="s">
        <v>204</v>
      </c>
      <c r="BL1870" s="1" t="str">
        <f>"3619"</f>
        <v>3619</v>
      </c>
      <c r="BM1870" s="1" t="str">
        <f t="shared" ref="BM1870:BM1873" si="1234">"0"</f>
        <v>0</v>
      </c>
      <c r="BN1870" s="1">
        <v>1755.0</v>
      </c>
      <c r="BO1870" s="1">
        <v>0.0</v>
      </c>
      <c r="BQ1870" s="1">
        <v>299.0</v>
      </c>
      <c r="BR1870" s="1">
        <v>299.0</v>
      </c>
      <c r="BS1870" s="1">
        <v>299.0</v>
      </c>
      <c r="BU1870" s="1" t="s">
        <v>1448</v>
      </c>
      <c r="BV1870" s="1" t="s">
        <v>206</v>
      </c>
      <c r="BW1870" s="1" t="s">
        <v>207</v>
      </c>
      <c r="BY1870" s="1" t="s">
        <v>260</v>
      </c>
      <c r="BZ1870" s="1" t="s">
        <v>209</v>
      </c>
      <c r="CA1870" s="1" t="s">
        <v>207</v>
      </c>
      <c r="CC1870" s="1" t="s">
        <v>542</v>
      </c>
      <c r="CD1870" s="1" t="s">
        <v>206</v>
      </c>
      <c r="CE1870" s="1" t="s">
        <v>207</v>
      </c>
      <c r="CG1870" s="1" t="s">
        <v>362</v>
      </c>
      <c r="CH1870" s="1" t="s">
        <v>209</v>
      </c>
      <c r="CI1870" s="1" t="s">
        <v>207</v>
      </c>
      <c r="CK1870" s="1" t="s">
        <v>699</v>
      </c>
      <c r="CL1870" s="1" t="s">
        <v>209</v>
      </c>
      <c r="CM1870" s="1" t="s">
        <v>207</v>
      </c>
      <c r="CO1870" s="1" t="s">
        <v>1158</v>
      </c>
      <c r="CP1870" s="1" t="s">
        <v>267</v>
      </c>
      <c r="CQ1870" s="1" t="s">
        <v>210</v>
      </c>
      <c r="CS1870" s="1" t="s">
        <v>3538</v>
      </c>
      <c r="CT1870" s="1" t="s">
        <v>206</v>
      </c>
      <c r="CU1870" s="1" t="s">
        <v>207</v>
      </c>
      <c r="CW1870" s="1" t="s">
        <v>4387</v>
      </c>
      <c r="CX1870" s="1" t="s">
        <v>267</v>
      </c>
      <c r="CY1870" s="1" t="s">
        <v>210</v>
      </c>
      <c r="DA1870" s="1" t="s">
        <v>200</v>
      </c>
      <c r="DC1870" s="1" t="s">
        <v>335</v>
      </c>
      <c r="DD1870" s="1" t="s">
        <v>926</v>
      </c>
      <c r="DE1870" s="1" t="s">
        <v>273</v>
      </c>
      <c r="DF1870" s="1" t="s">
        <v>219</v>
      </c>
      <c r="DH1870" s="1" t="s">
        <v>365</v>
      </c>
      <c r="DI1870" s="1" t="s">
        <v>1047</v>
      </c>
      <c r="DJ1870" s="1" t="s">
        <v>222</v>
      </c>
      <c r="DL1870" s="1" t="s">
        <v>224</v>
      </c>
      <c r="DM1870" s="1" t="s">
        <v>229</v>
      </c>
      <c r="DN1870" s="1" t="s">
        <v>548</v>
      </c>
      <c r="DP1870" s="1" t="s">
        <v>276</v>
      </c>
      <c r="DQ1870" s="1" t="s">
        <v>718</v>
      </c>
      <c r="DR1870" s="1" t="s">
        <v>229</v>
      </c>
      <c r="DS1870" s="1" t="s">
        <v>230</v>
      </c>
      <c r="DU1870" s="1" t="s">
        <v>7519</v>
      </c>
      <c r="DV1870" s="1" t="s">
        <v>18100</v>
      </c>
      <c r="DW1870" s="1" t="s">
        <v>2602</v>
      </c>
      <c r="DX1870" s="1" t="s">
        <v>234</v>
      </c>
      <c r="DY1870" s="1" t="s">
        <v>6560</v>
      </c>
      <c r="EB1870" s="1" t="s">
        <v>684</v>
      </c>
      <c r="EC1870" s="1" t="s">
        <v>237</v>
      </c>
      <c r="EG1870" s="1" t="s">
        <v>1270</v>
      </c>
      <c r="EH1870" s="1" t="s">
        <v>2877</v>
      </c>
      <c r="EI1870" s="1" t="s">
        <v>310</v>
      </c>
      <c r="EJ1870" s="1" t="s">
        <v>5618</v>
      </c>
      <c r="EK1870" s="1" t="s">
        <v>310</v>
      </c>
      <c r="EL1870" s="1" t="s">
        <v>814</v>
      </c>
      <c r="EM1870" s="1" t="s">
        <v>267</v>
      </c>
      <c r="EP1870" s="1" t="s">
        <v>6286</v>
      </c>
      <c r="EQ1870" s="1" t="s">
        <v>206</v>
      </c>
      <c r="ER1870" s="1" t="s">
        <v>207</v>
      </c>
      <c r="ET1870" s="1" t="s">
        <v>1623</v>
      </c>
      <c r="EU1870" s="1" t="s">
        <v>209</v>
      </c>
      <c r="EX1870" s="1" t="s">
        <v>4787</v>
      </c>
      <c r="EY1870" s="1" t="s">
        <v>209</v>
      </c>
      <c r="FB1870" s="1" t="s">
        <v>7821</v>
      </c>
      <c r="FC1870" s="1" t="s">
        <v>206</v>
      </c>
      <c r="FF1870" s="1" t="s">
        <v>239</v>
      </c>
      <c r="FG1870" s="1" t="s">
        <v>192</v>
      </c>
      <c r="FH1870" s="1" t="s">
        <v>192</v>
      </c>
      <c r="FJ1870" s="1" t="s">
        <v>561</v>
      </c>
      <c r="FK1870" s="1" t="s">
        <v>229</v>
      </c>
      <c r="FL1870" s="1" t="s">
        <v>562</v>
      </c>
      <c r="FM1870" s="1">
        <v>16379.0</v>
      </c>
      <c r="FN1870" s="1" t="s">
        <v>563</v>
      </c>
      <c r="FO1870" s="1" t="s">
        <v>9204</v>
      </c>
      <c r="FP1870" s="1">
        <v>155485.0</v>
      </c>
      <c r="FQ1870" s="1" t="s">
        <v>9205</v>
      </c>
      <c r="FT1870" s="1" t="s">
        <v>6367</v>
      </c>
      <c r="FU1870" s="1" t="s">
        <v>18101</v>
      </c>
      <c r="FV1870" s="1" t="s">
        <v>200</v>
      </c>
      <c r="FW1870" s="1" t="s">
        <v>290</v>
      </c>
      <c r="FX1870" s="1" t="s">
        <v>238</v>
      </c>
      <c r="FZ1870" s="1" t="s">
        <v>229</v>
      </c>
      <c r="GA1870" s="1" t="s">
        <v>291</v>
      </c>
      <c r="GB1870" s="2">
        <v>42146.0</v>
      </c>
    </row>
    <row r="1871">
      <c r="A1871" s="1">
        <v>812500.0</v>
      </c>
      <c r="B1871" s="1" t="s">
        <v>185</v>
      </c>
      <c r="C1871" s="1" t="str">
        <f>"08747069"</f>
        <v>08747069</v>
      </c>
      <c r="D1871" s="1" t="s">
        <v>186</v>
      </c>
      <c r="F1871" s="1" t="str">
        <f>"8004"</f>
        <v>8004</v>
      </c>
      <c r="G1871" s="2">
        <v>41919.0</v>
      </c>
      <c r="H1871" s="1">
        <v>825000.0</v>
      </c>
      <c r="I1871" s="1">
        <v>108.0</v>
      </c>
      <c r="J1871" s="1">
        <v>825000.0</v>
      </c>
      <c r="K1871" s="2">
        <v>42026.0</v>
      </c>
      <c r="L1871" s="1">
        <v>108.0</v>
      </c>
      <c r="M1871" s="2">
        <v>42026.0</v>
      </c>
      <c r="N1871" s="1" t="s">
        <v>187</v>
      </c>
      <c r="O1871" s="2">
        <v>42069.0</v>
      </c>
      <c r="P1871" s="1">
        <v>114438.0</v>
      </c>
      <c r="Q1871" s="1">
        <v>10317.0</v>
      </c>
      <c r="S1871" s="1">
        <v>1815.0</v>
      </c>
      <c r="T1871" s="1" t="s">
        <v>18102</v>
      </c>
      <c r="U1871" s="1" t="s">
        <v>189</v>
      </c>
      <c r="V1871" s="1" t="s">
        <v>190</v>
      </c>
      <c r="W1871" s="1">
        <v>60640.0</v>
      </c>
      <c r="Y1871" s="1" t="s">
        <v>18103</v>
      </c>
      <c r="Z1871" s="1">
        <v>1901.0</v>
      </c>
      <c r="AA1871" s="1" t="s">
        <v>192</v>
      </c>
      <c r="AB1871" s="1" t="s">
        <v>193</v>
      </c>
      <c r="AD1871" s="1" t="s">
        <v>194</v>
      </c>
      <c r="AE1871" s="1" t="s">
        <v>195</v>
      </c>
      <c r="AF1871" s="1" t="s">
        <v>534</v>
      </c>
      <c r="AH1871" s="1" t="s">
        <v>18104</v>
      </c>
      <c r="AK1871" s="1">
        <v>9.0</v>
      </c>
      <c r="AL1871" s="1">
        <v>3.0</v>
      </c>
      <c r="AM1871" s="1">
        <v>3.0</v>
      </c>
      <c r="AN1871" s="1">
        <v>1.0</v>
      </c>
      <c r="AO1871" s="1" t="s">
        <v>198</v>
      </c>
      <c r="AP1871" s="1">
        <v>1.0</v>
      </c>
      <c r="AQ1871" s="1" t="s">
        <v>198</v>
      </c>
      <c r="AR1871" s="1" t="s">
        <v>192</v>
      </c>
      <c r="AS1871" s="1" t="s">
        <v>199</v>
      </c>
      <c r="AT1871" s="1">
        <v>2.0</v>
      </c>
      <c r="AV1871" s="1" t="s">
        <v>200</v>
      </c>
      <c r="AW1871" s="1">
        <v>6412.0</v>
      </c>
      <c r="AX1871" s="1">
        <v>2013.0</v>
      </c>
      <c r="AY1871" s="1" t="s">
        <v>229</v>
      </c>
      <c r="AZ1871" s="1" t="s">
        <v>200</v>
      </c>
      <c r="BA1871" s="1" t="str">
        <f>"14072220100000"</f>
        <v>14072220100000</v>
      </c>
      <c r="BB1871" s="1" t="s">
        <v>200</v>
      </c>
      <c r="BC1871" s="1">
        <v>3270.0</v>
      </c>
      <c r="BD1871" s="1">
        <v>812500.0</v>
      </c>
      <c r="BE1871" s="2">
        <v>41919.0</v>
      </c>
      <c r="BF1871" s="2" t="s">
        <v>18105</v>
      </c>
      <c r="BG1871" s="1" t="s">
        <v>953</v>
      </c>
      <c r="BH1871" s="1">
        <v>0.0</v>
      </c>
      <c r="BI1871" s="1" t="s">
        <v>953</v>
      </c>
      <c r="BJ1871" s="1" t="s">
        <v>954</v>
      </c>
      <c r="BK1871" s="1" t="s">
        <v>204</v>
      </c>
      <c r="BL1871" s="1" t="str">
        <f>"5300"</f>
        <v>5300</v>
      </c>
      <c r="BM1871" s="1" t="str">
        <f t="shared" si="1234"/>
        <v>0</v>
      </c>
      <c r="BN1871" s="1">
        <v>1815.0</v>
      </c>
      <c r="BO1871" s="1">
        <v>0.0</v>
      </c>
      <c r="BQ1871" s="1">
        <v>299.0</v>
      </c>
      <c r="BR1871" s="1">
        <v>299.0</v>
      </c>
      <c r="BS1871" s="1">
        <v>299.0</v>
      </c>
      <c r="BU1871" s="1" t="s">
        <v>393</v>
      </c>
      <c r="BV1871" s="1" t="s">
        <v>206</v>
      </c>
      <c r="BW1871" s="1" t="s">
        <v>207</v>
      </c>
      <c r="BY1871" s="1" t="s">
        <v>329</v>
      </c>
      <c r="BZ1871" s="1" t="s">
        <v>209</v>
      </c>
      <c r="CA1871" s="1" t="s">
        <v>207</v>
      </c>
      <c r="CC1871" s="1" t="s">
        <v>542</v>
      </c>
      <c r="CD1871" s="1" t="s">
        <v>206</v>
      </c>
      <c r="CE1871" s="1" t="s">
        <v>207</v>
      </c>
      <c r="CG1871" s="1" t="s">
        <v>1352</v>
      </c>
      <c r="CH1871" s="1" t="s">
        <v>209</v>
      </c>
      <c r="CI1871" s="1" t="s">
        <v>207</v>
      </c>
      <c r="CK1871" s="1" t="s">
        <v>1352</v>
      </c>
      <c r="CL1871" s="1" t="s">
        <v>209</v>
      </c>
      <c r="CM1871" s="1" t="s">
        <v>207</v>
      </c>
      <c r="CO1871" s="1" t="s">
        <v>815</v>
      </c>
      <c r="CP1871" s="1" t="s">
        <v>42</v>
      </c>
      <c r="CQ1871" s="1" t="s">
        <v>210</v>
      </c>
      <c r="CS1871" s="1" t="s">
        <v>362</v>
      </c>
      <c r="CT1871" s="1" t="s">
        <v>206</v>
      </c>
      <c r="CU1871" s="1" t="s">
        <v>207</v>
      </c>
      <c r="CW1871" s="1" t="s">
        <v>1518</v>
      </c>
      <c r="CX1871" s="1" t="s">
        <v>206</v>
      </c>
      <c r="CY1871" s="1" t="s">
        <v>207</v>
      </c>
      <c r="DA1871" s="1" t="s">
        <v>200</v>
      </c>
      <c r="DC1871" s="1" t="s">
        <v>642</v>
      </c>
      <c r="DD1871" s="1" t="s">
        <v>217</v>
      </c>
      <c r="DE1871" s="1" t="s">
        <v>273</v>
      </c>
      <c r="DF1871" s="1" t="s">
        <v>219</v>
      </c>
      <c r="DH1871" s="1" t="s">
        <v>365</v>
      </c>
      <c r="DI1871" s="1" t="s">
        <v>519</v>
      </c>
      <c r="DJ1871" s="1" t="s">
        <v>222</v>
      </c>
      <c r="DL1871" s="1" t="s">
        <v>224</v>
      </c>
      <c r="DM1871" s="1" t="s">
        <v>229</v>
      </c>
      <c r="DN1871" s="1" t="s">
        <v>485</v>
      </c>
      <c r="DP1871" s="1" t="s">
        <v>227</v>
      </c>
      <c r="DQ1871" s="1" t="s">
        <v>228</v>
      </c>
      <c r="DR1871" s="1" t="s">
        <v>229</v>
      </c>
      <c r="DV1871" s="1" t="s">
        <v>18106</v>
      </c>
      <c r="DW1871" s="1" t="s">
        <v>667</v>
      </c>
      <c r="DX1871" s="1" t="s">
        <v>234</v>
      </c>
      <c r="DY1871" s="1" t="s">
        <v>1051</v>
      </c>
      <c r="EB1871" s="1" t="s">
        <v>6551</v>
      </c>
      <c r="EC1871" s="1" t="s">
        <v>237</v>
      </c>
      <c r="EG1871" s="1" t="s">
        <v>450</v>
      </c>
      <c r="EH1871" s="1" t="s">
        <v>1270</v>
      </c>
      <c r="EI1871" s="1" t="s">
        <v>310</v>
      </c>
      <c r="EL1871" s="1" t="s">
        <v>1503</v>
      </c>
      <c r="EM1871" s="1" t="s">
        <v>42</v>
      </c>
      <c r="EN1871" s="1" t="s">
        <v>210</v>
      </c>
      <c r="EP1871" s="1" t="s">
        <v>14611</v>
      </c>
      <c r="EQ1871" s="1" t="s">
        <v>42</v>
      </c>
      <c r="ER1871" s="1" t="s">
        <v>268</v>
      </c>
      <c r="ET1871" s="1" t="s">
        <v>729</v>
      </c>
      <c r="EU1871" s="1" t="s">
        <v>206</v>
      </c>
      <c r="EV1871" s="1" t="s">
        <v>588</v>
      </c>
      <c r="EY1871" s="1" t="s">
        <v>238</v>
      </c>
      <c r="FC1871" s="1" t="s">
        <v>238</v>
      </c>
      <c r="FF1871" s="1" t="s">
        <v>239</v>
      </c>
      <c r="FG1871" s="1" t="s">
        <v>192</v>
      </c>
      <c r="FH1871" s="1" t="s">
        <v>192</v>
      </c>
      <c r="FJ1871" s="1" t="s">
        <v>799</v>
      </c>
      <c r="FK1871" s="1" t="s">
        <v>229</v>
      </c>
      <c r="FL1871" s="1" t="s">
        <v>13982</v>
      </c>
      <c r="FM1871" s="1">
        <v>18064.0</v>
      </c>
      <c r="FN1871" s="1" t="s">
        <v>13983</v>
      </c>
      <c r="FO1871" s="1" t="s">
        <v>13984</v>
      </c>
      <c r="FP1871" s="1">
        <v>129783.0</v>
      </c>
      <c r="FQ1871" s="1" t="s">
        <v>13985</v>
      </c>
      <c r="FU1871" s="1" t="s">
        <v>13986</v>
      </c>
      <c r="FV1871" s="1" t="s">
        <v>200</v>
      </c>
      <c r="FW1871" s="1" t="s">
        <v>461</v>
      </c>
      <c r="FX1871" s="1" t="s">
        <v>246</v>
      </c>
      <c r="FZ1871" s="1" t="s">
        <v>229</v>
      </c>
      <c r="GA1871" s="1" t="s">
        <v>291</v>
      </c>
      <c r="GB1871" s="2">
        <v>42070.0</v>
      </c>
      <c r="GC1871" s="1" t="s">
        <v>18107</v>
      </c>
    </row>
    <row r="1872">
      <c r="A1872" s="1">
        <v>273000.0</v>
      </c>
      <c r="B1872" s="1" t="s">
        <v>185</v>
      </c>
      <c r="C1872" s="1" t="str">
        <f>"08715607"</f>
        <v>08715607</v>
      </c>
      <c r="D1872" s="1" t="s">
        <v>186</v>
      </c>
      <c r="F1872" s="1" t="str">
        <f>"8010"</f>
        <v>8010</v>
      </c>
      <c r="G1872" s="2">
        <v>41882.0</v>
      </c>
      <c r="H1872" s="1">
        <v>299700.0</v>
      </c>
      <c r="I1872" s="1">
        <v>95.0</v>
      </c>
      <c r="J1872" s="1">
        <v>279700.0</v>
      </c>
      <c r="K1872" s="2">
        <v>41976.0</v>
      </c>
      <c r="L1872" s="1">
        <v>95.0</v>
      </c>
      <c r="M1872" s="2">
        <v>41976.0</v>
      </c>
      <c r="N1872" s="1" t="s">
        <v>187</v>
      </c>
      <c r="O1872" s="2">
        <v>42025.0</v>
      </c>
      <c r="P1872" s="1">
        <v>131378.0</v>
      </c>
      <c r="Q1872" s="1">
        <v>14856.0</v>
      </c>
      <c r="S1872" s="1">
        <v>4800.0</v>
      </c>
      <c r="T1872" s="1" t="s">
        <v>16778</v>
      </c>
      <c r="U1872" s="1" t="s">
        <v>189</v>
      </c>
      <c r="V1872" s="1" t="s">
        <v>190</v>
      </c>
      <c r="W1872" s="1">
        <v>60656.0</v>
      </c>
      <c r="Y1872" s="1" t="s">
        <v>18108</v>
      </c>
      <c r="Z1872" s="1">
        <v>1960.0</v>
      </c>
      <c r="AA1872" s="1" t="s">
        <v>192</v>
      </c>
      <c r="AB1872" s="1" t="s">
        <v>193</v>
      </c>
      <c r="AC1872" s="1" t="s">
        <v>18109</v>
      </c>
      <c r="AD1872" s="1" t="s">
        <v>194</v>
      </c>
      <c r="AE1872" s="1" t="s">
        <v>195</v>
      </c>
      <c r="AF1872" s="1" t="s">
        <v>196</v>
      </c>
      <c r="AH1872" s="1" t="s">
        <v>18110</v>
      </c>
      <c r="AK1872" s="1">
        <v>7.0</v>
      </c>
      <c r="AL1872" s="1">
        <v>3.0</v>
      </c>
      <c r="AM1872" s="1">
        <v>2.0</v>
      </c>
      <c r="AN1872" s="1">
        <v>1.0</v>
      </c>
      <c r="AO1872" s="1" t="s">
        <v>2068</v>
      </c>
      <c r="AQ1872" s="1" t="s">
        <v>198</v>
      </c>
      <c r="AR1872" s="1" t="s">
        <v>192</v>
      </c>
      <c r="AS1872" s="1" t="s">
        <v>199</v>
      </c>
      <c r="AT1872" s="1">
        <v>2.5</v>
      </c>
      <c r="AV1872" s="1" t="s">
        <v>200</v>
      </c>
      <c r="AW1872" s="1">
        <v>3865.0</v>
      </c>
      <c r="AX1872" s="1">
        <v>2013.0</v>
      </c>
      <c r="AY1872" s="1" t="s">
        <v>1179</v>
      </c>
      <c r="AZ1872" s="1" t="s">
        <v>200</v>
      </c>
      <c r="BA1872" s="1" t="str">
        <f>"13073360250000"</f>
        <v>13073360250000</v>
      </c>
      <c r="BC1872" s="1">
        <v>1228.0</v>
      </c>
      <c r="BD1872" s="1">
        <v>273000.0</v>
      </c>
      <c r="BE1872" s="2">
        <v>41882.0</v>
      </c>
      <c r="BF1872" s="2" t="s">
        <v>18111</v>
      </c>
      <c r="BG1872" s="1" t="s">
        <v>10629</v>
      </c>
      <c r="BH1872" s="1">
        <v>0.0</v>
      </c>
      <c r="BJ1872" s="1" t="s">
        <v>1222</v>
      </c>
      <c r="BK1872" s="1" t="s">
        <v>204</v>
      </c>
      <c r="BL1872" s="1" t="str">
        <f>"4800"</f>
        <v>4800</v>
      </c>
      <c r="BM1872" s="1" t="str">
        <f t="shared" si="1234"/>
        <v>0</v>
      </c>
      <c r="BN1872" s="1">
        <v>7150.0</v>
      </c>
      <c r="BO1872" s="1">
        <v>0.0</v>
      </c>
      <c r="BQ1872" s="1">
        <v>299.0</v>
      </c>
      <c r="BR1872" s="1">
        <v>299.0</v>
      </c>
      <c r="BS1872" s="1">
        <v>299.0</v>
      </c>
      <c r="BU1872" s="1" t="s">
        <v>432</v>
      </c>
      <c r="BV1872" s="1" t="s">
        <v>206</v>
      </c>
      <c r="BW1872" s="1" t="s">
        <v>207</v>
      </c>
      <c r="BY1872" s="1" t="s">
        <v>332</v>
      </c>
      <c r="BZ1872" s="1" t="s">
        <v>206</v>
      </c>
      <c r="CA1872" s="1" t="s">
        <v>207</v>
      </c>
      <c r="CD1872" s="1" t="s">
        <v>204</v>
      </c>
      <c r="CG1872" s="1" t="s">
        <v>332</v>
      </c>
      <c r="CH1872" s="1" t="s">
        <v>206</v>
      </c>
      <c r="CI1872" s="1" t="s">
        <v>207</v>
      </c>
      <c r="CK1872" s="1" t="s">
        <v>269</v>
      </c>
      <c r="CL1872" s="1" t="s">
        <v>206</v>
      </c>
      <c r="CM1872" s="1" t="s">
        <v>207</v>
      </c>
      <c r="CO1872" s="1" t="s">
        <v>699</v>
      </c>
      <c r="CP1872" s="1" t="s">
        <v>42</v>
      </c>
      <c r="CQ1872" s="1" t="s">
        <v>210</v>
      </c>
      <c r="CS1872" s="1" t="s">
        <v>1426</v>
      </c>
      <c r="CT1872" s="1" t="s">
        <v>206</v>
      </c>
      <c r="CU1872" s="1" t="s">
        <v>268</v>
      </c>
      <c r="CW1872" s="1" t="s">
        <v>497</v>
      </c>
      <c r="CX1872" s="1" t="s">
        <v>42</v>
      </c>
      <c r="CY1872" s="1" t="s">
        <v>210</v>
      </c>
      <c r="DA1872" s="1" t="s">
        <v>200</v>
      </c>
      <c r="DC1872" s="1" t="s">
        <v>271</v>
      </c>
      <c r="DE1872" s="1" t="s">
        <v>273</v>
      </c>
      <c r="DF1872" s="1" t="s">
        <v>619</v>
      </c>
      <c r="DH1872" s="1" t="s">
        <v>365</v>
      </c>
      <c r="DJ1872" s="1" t="s">
        <v>222</v>
      </c>
      <c r="DL1872" s="1" t="s">
        <v>1161</v>
      </c>
      <c r="DM1872" s="1" t="s">
        <v>225</v>
      </c>
      <c r="DO1872" s="1" t="s">
        <v>590</v>
      </c>
      <c r="DQ1872" s="1" t="s">
        <v>228</v>
      </c>
      <c r="DR1872" s="1" t="s">
        <v>229</v>
      </c>
      <c r="DU1872" s="1" t="s">
        <v>18112</v>
      </c>
      <c r="DV1872" s="1" t="s">
        <v>18113</v>
      </c>
      <c r="DW1872" s="1" t="s">
        <v>279</v>
      </c>
      <c r="DX1872" s="1" t="s">
        <v>234</v>
      </c>
      <c r="DY1872" s="1" t="s">
        <v>371</v>
      </c>
      <c r="EA1872" s="1" t="s">
        <v>1302</v>
      </c>
      <c r="EC1872" s="1" t="s">
        <v>685</v>
      </c>
      <c r="ED1872" s="1" t="s">
        <v>407</v>
      </c>
      <c r="EG1872" s="1" t="s">
        <v>374</v>
      </c>
      <c r="EH1872" s="1" t="s">
        <v>2971</v>
      </c>
      <c r="EL1872" s="1" t="s">
        <v>4153</v>
      </c>
      <c r="EM1872" s="1" t="s">
        <v>206</v>
      </c>
      <c r="EN1872" s="1" t="s">
        <v>210</v>
      </c>
      <c r="EP1872" s="1" t="s">
        <v>215</v>
      </c>
      <c r="EQ1872" s="1" t="s">
        <v>42</v>
      </c>
      <c r="ER1872" s="1" t="s">
        <v>617</v>
      </c>
      <c r="EU1872" s="1" t="s">
        <v>238</v>
      </c>
      <c r="EY1872" s="1" t="s">
        <v>238</v>
      </c>
      <c r="FC1872" s="1" t="s">
        <v>238</v>
      </c>
      <c r="FF1872" s="1" t="s">
        <v>239</v>
      </c>
      <c r="FG1872" s="1" t="s">
        <v>192</v>
      </c>
      <c r="FH1872" s="1" t="s">
        <v>192</v>
      </c>
      <c r="FJ1872" s="1" t="s">
        <v>7339</v>
      </c>
      <c r="FK1872" s="1" t="s">
        <v>229</v>
      </c>
      <c r="FL1872" s="1" t="s">
        <v>16096</v>
      </c>
      <c r="FM1872" s="1">
        <v>15483.0</v>
      </c>
      <c r="FN1872" s="1" t="s">
        <v>16097</v>
      </c>
      <c r="FO1872" s="1" t="s">
        <v>16098</v>
      </c>
      <c r="FP1872" s="1">
        <v>127406.0</v>
      </c>
      <c r="FQ1872" s="1" t="s">
        <v>16099</v>
      </c>
      <c r="FS1872" s="1" t="s">
        <v>18114</v>
      </c>
      <c r="FU1872" s="1" t="s">
        <v>18115</v>
      </c>
      <c r="FV1872" s="1" t="s">
        <v>200</v>
      </c>
      <c r="FW1872" s="1" t="s">
        <v>290</v>
      </c>
      <c r="FX1872" s="1" t="s">
        <v>238</v>
      </c>
      <c r="FZ1872" s="1" t="s">
        <v>229</v>
      </c>
      <c r="GA1872" s="1" t="s">
        <v>291</v>
      </c>
      <c r="GB1872" s="2">
        <v>42025.0</v>
      </c>
      <c r="GC1872" s="1" t="s">
        <v>18116</v>
      </c>
    </row>
    <row r="1873">
      <c r="A1873" s="1">
        <v>365000.0</v>
      </c>
      <c r="B1873" s="1" t="s">
        <v>185</v>
      </c>
      <c r="C1873" s="1" t="str">
        <f>"08728486"</f>
        <v>08728486</v>
      </c>
      <c r="D1873" s="1" t="s">
        <v>186</v>
      </c>
      <c r="F1873" s="1" t="str">
        <f>"8015"</f>
        <v>8015</v>
      </c>
      <c r="G1873" s="2">
        <v>41897.0</v>
      </c>
      <c r="H1873" s="1">
        <v>398000.0</v>
      </c>
      <c r="I1873" s="1">
        <v>78.0</v>
      </c>
      <c r="J1873" s="1">
        <v>383000.0</v>
      </c>
      <c r="K1873" s="2">
        <v>41972.0</v>
      </c>
      <c r="L1873" s="1">
        <v>78.0</v>
      </c>
      <c r="M1873" s="2">
        <v>41972.0</v>
      </c>
      <c r="N1873" s="1" t="s">
        <v>187</v>
      </c>
      <c r="O1873" s="2">
        <v>42033.0</v>
      </c>
      <c r="P1873" s="1">
        <v>110955.0</v>
      </c>
      <c r="Q1873" s="1">
        <v>13691.0</v>
      </c>
      <c r="S1873" s="1">
        <v>5744.0</v>
      </c>
      <c r="T1873" s="1" t="s">
        <v>18117</v>
      </c>
      <c r="U1873" s="1" t="s">
        <v>189</v>
      </c>
      <c r="V1873" s="1" t="s">
        <v>190</v>
      </c>
      <c r="W1873" s="1">
        <v>60630.0</v>
      </c>
      <c r="Y1873" s="1" t="s">
        <v>18118</v>
      </c>
      <c r="Z1873" s="1">
        <v>1951.0</v>
      </c>
      <c r="AA1873" s="1" t="s">
        <v>192</v>
      </c>
      <c r="AB1873" s="1" t="s">
        <v>193</v>
      </c>
      <c r="AD1873" s="1" t="s">
        <v>194</v>
      </c>
      <c r="AE1873" s="1" t="s">
        <v>195</v>
      </c>
      <c r="AF1873" s="1" t="s">
        <v>196</v>
      </c>
      <c r="AH1873" s="1" t="s">
        <v>18119</v>
      </c>
      <c r="AI1873" s="1">
        <v>0.1</v>
      </c>
      <c r="AK1873" s="1">
        <v>8.0</v>
      </c>
      <c r="AL1873" s="1">
        <v>4.0</v>
      </c>
      <c r="AM1873" s="1">
        <v>3.0</v>
      </c>
      <c r="AN1873" s="1">
        <v>0.0</v>
      </c>
      <c r="AO1873" s="1" t="s">
        <v>1261</v>
      </c>
      <c r="AQ1873" s="1" t="s">
        <v>198</v>
      </c>
      <c r="AR1873" s="1" t="s">
        <v>192</v>
      </c>
      <c r="AS1873" s="1" t="s">
        <v>199</v>
      </c>
      <c r="AT1873" s="1">
        <v>2.5</v>
      </c>
      <c r="AV1873" s="1" t="s">
        <v>200</v>
      </c>
      <c r="AW1873" s="1">
        <v>4651.0</v>
      </c>
      <c r="AX1873" s="1">
        <v>2013.0</v>
      </c>
      <c r="AY1873" s="1" t="s">
        <v>387</v>
      </c>
      <c r="AZ1873" s="1" t="s">
        <v>200</v>
      </c>
      <c r="BA1873" s="1" t="str">
        <f>"13172230280000"</f>
        <v>13172230280000</v>
      </c>
      <c r="BC1873" s="1">
        <v>2224.0</v>
      </c>
      <c r="BD1873" s="1">
        <v>365000.0</v>
      </c>
      <c r="BE1873" s="2">
        <v>41895.0</v>
      </c>
      <c r="BF1873" s="2" t="s">
        <v>18120</v>
      </c>
      <c r="BG1873" s="1" t="s">
        <v>2531</v>
      </c>
      <c r="BH1873" s="1">
        <v>0.0</v>
      </c>
      <c r="BJ1873" s="1" t="s">
        <v>1222</v>
      </c>
      <c r="BK1873" s="1" t="s">
        <v>204</v>
      </c>
      <c r="BL1873" s="1" t="str">
        <f>"4500"</f>
        <v>4500</v>
      </c>
      <c r="BM1873" s="1" t="str">
        <f t="shared" si="1234"/>
        <v>0</v>
      </c>
      <c r="BN1873" s="1">
        <v>5744.0</v>
      </c>
      <c r="BO1873" s="1">
        <v>0.0</v>
      </c>
      <c r="BQ1873" s="1">
        <v>299.0</v>
      </c>
      <c r="BR1873" s="1">
        <v>299.0</v>
      </c>
      <c r="BS1873" s="1">
        <v>299.0</v>
      </c>
      <c r="BU1873" s="1" t="s">
        <v>2219</v>
      </c>
      <c r="BV1873" s="1" t="s">
        <v>206</v>
      </c>
      <c r="BW1873" s="1" t="s">
        <v>207</v>
      </c>
      <c r="BX1873" s="1" t="s">
        <v>1118</v>
      </c>
      <c r="BY1873" s="1" t="s">
        <v>304</v>
      </c>
      <c r="BZ1873" s="1" t="s">
        <v>209</v>
      </c>
      <c r="CA1873" s="1" t="s">
        <v>210</v>
      </c>
      <c r="CB1873" s="1" t="s">
        <v>431</v>
      </c>
      <c r="CC1873" s="1" t="s">
        <v>363</v>
      </c>
      <c r="CD1873" s="1" t="s">
        <v>206</v>
      </c>
      <c r="CE1873" s="1" t="s">
        <v>207</v>
      </c>
      <c r="CF1873" s="1" t="s">
        <v>1118</v>
      </c>
      <c r="CG1873" s="1" t="s">
        <v>262</v>
      </c>
      <c r="CH1873" s="1" t="s">
        <v>209</v>
      </c>
      <c r="CI1873" s="1" t="s">
        <v>210</v>
      </c>
      <c r="CJ1873" s="1" t="s">
        <v>431</v>
      </c>
      <c r="CK1873" s="1" t="s">
        <v>815</v>
      </c>
      <c r="CL1873" s="1" t="s">
        <v>209</v>
      </c>
      <c r="CM1873" s="1" t="s">
        <v>210</v>
      </c>
      <c r="CN1873" s="1" t="s">
        <v>431</v>
      </c>
      <c r="CO1873" s="1" t="s">
        <v>302</v>
      </c>
      <c r="CP1873" s="1" t="s">
        <v>206</v>
      </c>
      <c r="CQ1873" s="1" t="s">
        <v>207</v>
      </c>
      <c r="CR1873" s="1" t="s">
        <v>431</v>
      </c>
      <c r="CS1873" s="1" t="s">
        <v>1001</v>
      </c>
      <c r="CT1873" s="1" t="s">
        <v>206</v>
      </c>
      <c r="CU1873" s="1" t="s">
        <v>207</v>
      </c>
      <c r="CV1873" s="1" t="s">
        <v>431</v>
      </c>
      <c r="CX1873" s="1" t="s">
        <v>204</v>
      </c>
      <c r="DA1873" s="1" t="s">
        <v>200</v>
      </c>
      <c r="DC1873" s="1" t="s">
        <v>702</v>
      </c>
      <c r="DD1873" s="1" t="s">
        <v>436</v>
      </c>
      <c r="DE1873" s="1" t="s">
        <v>3750</v>
      </c>
      <c r="DF1873" s="1" t="s">
        <v>2328</v>
      </c>
      <c r="DG1873" s="1" t="s">
        <v>482</v>
      </c>
      <c r="DH1873" s="1" t="s">
        <v>365</v>
      </c>
      <c r="DI1873" s="1" t="s">
        <v>732</v>
      </c>
      <c r="DJ1873" s="1" t="s">
        <v>222</v>
      </c>
      <c r="DK1873" s="1" t="s">
        <v>223</v>
      </c>
      <c r="DL1873" s="1" t="s">
        <v>224</v>
      </c>
      <c r="DM1873" s="1" t="s">
        <v>225</v>
      </c>
      <c r="DN1873" s="1" t="s">
        <v>793</v>
      </c>
      <c r="DO1873" s="1" t="s">
        <v>549</v>
      </c>
      <c r="DP1873" s="1" t="s">
        <v>340</v>
      </c>
      <c r="DQ1873" s="1" t="s">
        <v>228</v>
      </c>
      <c r="DR1873" s="1" t="s">
        <v>229</v>
      </c>
      <c r="DS1873" s="1" t="s">
        <v>368</v>
      </c>
      <c r="DV1873" s="1" t="s">
        <v>4466</v>
      </c>
      <c r="DW1873" s="1" t="s">
        <v>279</v>
      </c>
      <c r="DX1873" s="1" t="s">
        <v>234</v>
      </c>
      <c r="DY1873" s="1" t="s">
        <v>371</v>
      </c>
      <c r="DZ1873" s="1" t="s">
        <v>310</v>
      </c>
      <c r="EA1873" s="1" t="s">
        <v>257</v>
      </c>
      <c r="EC1873" s="1" t="s">
        <v>237</v>
      </c>
      <c r="ED1873" s="1" t="s">
        <v>864</v>
      </c>
      <c r="EE1873" s="1" t="s">
        <v>493</v>
      </c>
      <c r="EG1873" s="1" t="s">
        <v>450</v>
      </c>
      <c r="EH1873" s="1" t="s">
        <v>1270</v>
      </c>
      <c r="EL1873" s="1" t="s">
        <v>6801</v>
      </c>
      <c r="EM1873" s="1" t="s">
        <v>42</v>
      </c>
      <c r="EN1873" s="1" t="s">
        <v>210</v>
      </c>
      <c r="EO1873" s="1" t="s">
        <v>431</v>
      </c>
      <c r="EP1873" s="1" t="s">
        <v>647</v>
      </c>
      <c r="EQ1873" s="1" t="s">
        <v>42</v>
      </c>
      <c r="ER1873" s="1" t="s">
        <v>268</v>
      </c>
      <c r="ES1873" s="1" t="s">
        <v>229</v>
      </c>
      <c r="EU1873" s="1" t="s">
        <v>238</v>
      </c>
      <c r="EY1873" s="1" t="s">
        <v>238</v>
      </c>
      <c r="FC1873" s="1" t="s">
        <v>238</v>
      </c>
      <c r="FF1873" s="1" t="s">
        <v>239</v>
      </c>
      <c r="FG1873" s="1" t="s">
        <v>192</v>
      </c>
      <c r="FH1873" s="1" t="s">
        <v>192</v>
      </c>
      <c r="FJ1873" s="1" t="s">
        <v>10539</v>
      </c>
      <c r="FK1873" s="1" t="s">
        <v>229</v>
      </c>
      <c r="FL1873" s="1" t="s">
        <v>2263</v>
      </c>
      <c r="FM1873" s="1">
        <v>8093.0</v>
      </c>
      <c r="FN1873" s="1" t="s">
        <v>18121</v>
      </c>
      <c r="FO1873" s="1" t="s">
        <v>18122</v>
      </c>
      <c r="FP1873" s="1">
        <v>242891.0</v>
      </c>
      <c r="FS1873" s="1" t="s">
        <v>18123</v>
      </c>
      <c r="FU1873" s="1" t="s">
        <v>18124</v>
      </c>
      <c r="FV1873" s="1" t="s">
        <v>200</v>
      </c>
      <c r="FW1873" s="1" t="s">
        <v>290</v>
      </c>
      <c r="FX1873" s="1" t="s">
        <v>246</v>
      </c>
      <c r="FZ1873" s="1" t="s">
        <v>632</v>
      </c>
      <c r="GA1873" s="1" t="s">
        <v>291</v>
      </c>
      <c r="GB1873" s="2">
        <v>42034.0</v>
      </c>
      <c r="GC1873" s="1" t="s">
        <v>18125</v>
      </c>
    </row>
    <row r="1874">
      <c r="A1874" s="1">
        <v>240000.0</v>
      </c>
      <c r="B1874" s="1" t="s">
        <v>185</v>
      </c>
      <c r="C1874" s="1" t="str">
        <f>"08717834"</f>
        <v>08717834</v>
      </c>
      <c r="D1874" s="1" t="s">
        <v>186</v>
      </c>
      <c r="F1874" s="1" t="str">
        <f>"8052"</f>
        <v>8052</v>
      </c>
      <c r="G1874" s="2">
        <v>41885.0</v>
      </c>
      <c r="H1874" s="1">
        <v>249900.0</v>
      </c>
      <c r="I1874" s="1">
        <v>295.0</v>
      </c>
      <c r="J1874" s="1">
        <v>249900.0</v>
      </c>
      <c r="K1874" s="2">
        <v>42052.0</v>
      </c>
      <c r="L1874" s="1">
        <v>169.0</v>
      </c>
      <c r="M1874" s="2">
        <v>42052.0</v>
      </c>
      <c r="N1874" s="1" t="s">
        <v>356</v>
      </c>
      <c r="O1874" s="2">
        <v>42086.0</v>
      </c>
      <c r="P1874" s="1">
        <v>34384.0</v>
      </c>
      <c r="Q1874" s="1">
        <v>4474.0</v>
      </c>
      <c r="R1874" s="1">
        <v>5000.0</v>
      </c>
      <c r="S1874" s="1">
        <v>10848.0</v>
      </c>
      <c r="T1874" s="1" t="s">
        <v>18126</v>
      </c>
      <c r="V1874" s="1" t="s">
        <v>190</v>
      </c>
      <c r="W1874" s="1">
        <v>60617.0</v>
      </c>
      <c r="Y1874" s="1" t="s">
        <v>18127</v>
      </c>
      <c r="Z1874" s="1">
        <v>1996.0</v>
      </c>
      <c r="AA1874" s="1" t="s">
        <v>200</v>
      </c>
      <c r="AB1874" s="1" t="s">
        <v>193</v>
      </c>
      <c r="AD1874" s="1" t="s">
        <v>194</v>
      </c>
      <c r="AE1874" s="1" t="s">
        <v>195</v>
      </c>
      <c r="AF1874" s="1" t="s">
        <v>637</v>
      </c>
      <c r="AH1874" s="1" t="s">
        <v>2164</v>
      </c>
      <c r="AI1874" s="1">
        <v>0.1139</v>
      </c>
      <c r="AK1874" s="1">
        <v>8.0</v>
      </c>
      <c r="AL1874" s="1">
        <v>4.0</v>
      </c>
      <c r="AM1874" s="1">
        <v>2.0</v>
      </c>
      <c r="AN1874" s="1">
        <v>0.0</v>
      </c>
      <c r="AO1874" s="1" t="s">
        <v>3903</v>
      </c>
      <c r="AP1874" s="1">
        <v>1.0</v>
      </c>
      <c r="AQ1874" s="1" t="s">
        <v>198</v>
      </c>
      <c r="AR1874" s="1" t="s">
        <v>200</v>
      </c>
      <c r="AS1874" s="1" t="s">
        <v>199</v>
      </c>
      <c r="AT1874" s="1">
        <v>2.0</v>
      </c>
      <c r="AV1874" s="1" t="s">
        <v>200</v>
      </c>
      <c r="AW1874" s="1">
        <v>4138.42</v>
      </c>
      <c r="AX1874" s="1">
        <v>2012.0</v>
      </c>
      <c r="AY1874" s="1" t="s">
        <v>387</v>
      </c>
      <c r="AZ1874" s="1" t="s">
        <v>200</v>
      </c>
      <c r="BA1874" s="1" t="str">
        <f>"26172180500000"</f>
        <v>26172180500000</v>
      </c>
      <c r="BB1874" s="1" t="s">
        <v>200</v>
      </c>
      <c r="BC1874" s="1">
        <v>2200.0</v>
      </c>
      <c r="BD1874" s="1">
        <v>240000.0</v>
      </c>
      <c r="BE1874" s="2">
        <v>41884.0</v>
      </c>
      <c r="BF1874" s="2" t="s">
        <v>18128</v>
      </c>
      <c r="BH1874" s="1">
        <v>0.0</v>
      </c>
      <c r="BK1874" s="1" t="s">
        <v>204</v>
      </c>
      <c r="BL1874" s="1" t="str">
        <f>"0"</f>
        <v>0</v>
      </c>
      <c r="BM1874" s="1" t="str">
        <f>"3700"</f>
        <v>3700</v>
      </c>
      <c r="BN1874" s="1">
        <v>0.0</v>
      </c>
      <c r="BO1874" s="1">
        <v>10800.0</v>
      </c>
      <c r="BQ1874" s="1">
        <v>299.0</v>
      </c>
      <c r="BR1874" s="1">
        <v>299.0</v>
      </c>
      <c r="BS1874" s="1">
        <v>299.0</v>
      </c>
      <c r="BU1874" s="1" t="s">
        <v>496</v>
      </c>
      <c r="BV1874" s="1" t="s">
        <v>206</v>
      </c>
      <c r="BW1874" s="1" t="s">
        <v>210</v>
      </c>
      <c r="BX1874" s="1" t="s">
        <v>239</v>
      </c>
      <c r="BY1874" s="1" t="s">
        <v>362</v>
      </c>
      <c r="BZ1874" s="1" t="s">
        <v>209</v>
      </c>
      <c r="CA1874" s="1" t="s">
        <v>210</v>
      </c>
      <c r="CB1874" s="1" t="s">
        <v>239</v>
      </c>
      <c r="CC1874" s="1" t="s">
        <v>363</v>
      </c>
      <c r="CD1874" s="1" t="s">
        <v>206</v>
      </c>
      <c r="CE1874" s="1" t="s">
        <v>210</v>
      </c>
      <c r="CF1874" s="1" t="s">
        <v>239</v>
      </c>
      <c r="CG1874" s="1" t="s">
        <v>363</v>
      </c>
      <c r="CH1874" s="1" t="s">
        <v>209</v>
      </c>
      <c r="CI1874" s="1" t="s">
        <v>301</v>
      </c>
      <c r="CJ1874" s="1" t="s">
        <v>239</v>
      </c>
      <c r="CK1874" s="1" t="s">
        <v>363</v>
      </c>
      <c r="CL1874" s="1" t="s">
        <v>209</v>
      </c>
      <c r="CM1874" s="1" t="s">
        <v>301</v>
      </c>
      <c r="CN1874" s="1" t="s">
        <v>239</v>
      </c>
      <c r="CO1874" s="1" t="s">
        <v>212</v>
      </c>
      <c r="CP1874" s="1" t="s">
        <v>267</v>
      </c>
      <c r="CQ1874" s="1" t="s">
        <v>301</v>
      </c>
      <c r="CR1874" s="1" t="s">
        <v>239</v>
      </c>
      <c r="CS1874" s="1" t="s">
        <v>363</v>
      </c>
      <c r="CT1874" s="1" t="s">
        <v>206</v>
      </c>
      <c r="CU1874" s="1" t="s">
        <v>301</v>
      </c>
      <c r="CV1874" s="1" t="s">
        <v>239</v>
      </c>
      <c r="CW1874" s="1" t="s">
        <v>9889</v>
      </c>
      <c r="CX1874" s="1" t="s">
        <v>267</v>
      </c>
      <c r="CY1874" s="1" t="s">
        <v>301</v>
      </c>
      <c r="CZ1874" s="1" t="s">
        <v>239</v>
      </c>
      <c r="DA1874" s="1" t="s">
        <v>200</v>
      </c>
      <c r="DC1874" s="1" t="s">
        <v>678</v>
      </c>
      <c r="DD1874" s="1" t="s">
        <v>518</v>
      </c>
      <c r="DE1874" s="1" t="s">
        <v>273</v>
      </c>
      <c r="DF1874" s="1" t="s">
        <v>219</v>
      </c>
      <c r="DG1874" s="1" t="s">
        <v>3175</v>
      </c>
      <c r="DH1874" s="1" t="s">
        <v>307</v>
      </c>
      <c r="DI1874" s="1" t="s">
        <v>789</v>
      </c>
      <c r="DJ1874" s="1" t="s">
        <v>222</v>
      </c>
      <c r="DK1874" s="1" t="s">
        <v>223</v>
      </c>
      <c r="DL1874" s="1" t="s">
        <v>18129</v>
      </c>
      <c r="DM1874" s="1" t="s">
        <v>225</v>
      </c>
      <c r="DN1874" s="1" t="s">
        <v>439</v>
      </c>
      <c r="DO1874" s="1" t="s">
        <v>549</v>
      </c>
      <c r="DP1874" s="1" t="s">
        <v>400</v>
      </c>
      <c r="DQ1874" s="1" t="s">
        <v>794</v>
      </c>
      <c r="DR1874" s="1" t="s">
        <v>229</v>
      </c>
      <c r="DS1874" s="1" t="s">
        <v>230</v>
      </c>
      <c r="DU1874" s="1" t="s">
        <v>487</v>
      </c>
      <c r="DV1874" s="1" t="s">
        <v>232</v>
      </c>
      <c r="DW1874" s="1" t="s">
        <v>279</v>
      </c>
      <c r="DX1874" s="1" t="s">
        <v>280</v>
      </c>
      <c r="DY1874" s="1" t="s">
        <v>18130</v>
      </c>
      <c r="DZ1874" s="1" t="s">
        <v>1661</v>
      </c>
      <c r="EA1874" s="1" t="s">
        <v>5604</v>
      </c>
      <c r="EB1874" s="1" t="s">
        <v>448</v>
      </c>
      <c r="EC1874" s="1" t="s">
        <v>4613</v>
      </c>
      <c r="ED1874" s="1" t="s">
        <v>555</v>
      </c>
      <c r="EE1874" s="1" t="s">
        <v>493</v>
      </c>
      <c r="EM1874" s="1" t="s">
        <v>238</v>
      </c>
      <c r="EQ1874" s="1" t="s">
        <v>238</v>
      </c>
      <c r="EU1874" s="1" t="s">
        <v>238</v>
      </c>
      <c r="EY1874" s="1" t="s">
        <v>238</v>
      </c>
      <c r="FC1874" s="1" t="s">
        <v>238</v>
      </c>
      <c r="FF1874" s="1" t="s">
        <v>239</v>
      </c>
      <c r="FG1874" s="1" t="s">
        <v>192</v>
      </c>
      <c r="FH1874" s="1" t="s">
        <v>192</v>
      </c>
      <c r="FJ1874" s="1" t="s">
        <v>770</v>
      </c>
      <c r="FK1874" s="1" t="s">
        <v>229</v>
      </c>
      <c r="FL1874" s="1" t="s">
        <v>1358</v>
      </c>
      <c r="FM1874" s="1">
        <v>51100.0</v>
      </c>
      <c r="FN1874" s="1" t="s">
        <v>7763</v>
      </c>
      <c r="FO1874" s="1" t="s">
        <v>18131</v>
      </c>
      <c r="FP1874" s="1">
        <v>501443.0</v>
      </c>
      <c r="FQ1874" s="1" t="s">
        <v>18132</v>
      </c>
      <c r="FS1874" s="1" t="s">
        <v>18133</v>
      </c>
      <c r="FU1874" s="1" t="s">
        <v>18134</v>
      </c>
      <c r="FV1874" s="1" t="s">
        <v>200</v>
      </c>
      <c r="FW1874" s="1" t="s">
        <v>567</v>
      </c>
      <c r="FX1874" s="1" t="s">
        <v>655</v>
      </c>
      <c r="FZ1874" s="1" t="s">
        <v>229</v>
      </c>
      <c r="GA1874" s="1" t="s">
        <v>291</v>
      </c>
      <c r="GB1874" s="2">
        <v>42086.0</v>
      </c>
      <c r="GC1874" s="1" t="s">
        <v>18135</v>
      </c>
    </row>
    <row r="1875">
      <c r="A1875" s="1">
        <v>215000.0</v>
      </c>
      <c r="B1875" s="1" t="s">
        <v>185</v>
      </c>
      <c r="C1875" s="1" t="str">
        <f>"08721342"</f>
        <v>08721342</v>
      </c>
      <c r="D1875" s="1" t="s">
        <v>186</v>
      </c>
      <c r="F1875" s="1" t="str">
        <f>"123"</f>
        <v>123</v>
      </c>
      <c r="G1875" s="2">
        <v>41888.0</v>
      </c>
      <c r="H1875" s="1">
        <v>344000.0</v>
      </c>
      <c r="I1875" s="1">
        <v>155.0</v>
      </c>
      <c r="J1875" s="1">
        <v>229000.0</v>
      </c>
      <c r="K1875" s="2">
        <v>42041.0</v>
      </c>
      <c r="L1875" s="1">
        <v>155.0</v>
      </c>
      <c r="M1875" s="2">
        <v>42041.0</v>
      </c>
      <c r="N1875" s="1" t="s">
        <v>249</v>
      </c>
      <c r="O1875" s="2">
        <v>42115.0</v>
      </c>
      <c r="P1875" s="1">
        <v>21045.0</v>
      </c>
      <c r="Q1875" s="1">
        <v>2644.0</v>
      </c>
      <c r="S1875" s="1" t="s">
        <v>18136</v>
      </c>
      <c r="T1875" s="1" t="s">
        <v>18137</v>
      </c>
      <c r="U1875" s="1" t="s">
        <v>569</v>
      </c>
      <c r="V1875" s="1" t="s">
        <v>465</v>
      </c>
      <c r="W1875" s="1">
        <v>60124.0</v>
      </c>
      <c r="Y1875" s="1" t="s">
        <v>18138</v>
      </c>
      <c r="Z1875" s="1" t="s">
        <v>296</v>
      </c>
      <c r="AA1875" s="1" t="s">
        <v>200</v>
      </c>
      <c r="AB1875" s="1" t="s">
        <v>193</v>
      </c>
      <c r="AD1875" s="1" t="s">
        <v>469</v>
      </c>
      <c r="AE1875" s="1" t="s">
        <v>325</v>
      </c>
      <c r="AF1875" s="1" t="s">
        <v>572</v>
      </c>
      <c r="AH1875" s="1" t="s">
        <v>18139</v>
      </c>
      <c r="AI1875" s="1">
        <v>1.0965</v>
      </c>
      <c r="AK1875" s="1">
        <v>10.0</v>
      </c>
      <c r="AL1875" s="1">
        <v>3.0</v>
      </c>
      <c r="AM1875" s="1">
        <v>3.0</v>
      </c>
      <c r="AN1875" s="1">
        <v>0.0</v>
      </c>
      <c r="AO1875" s="1" t="s">
        <v>198</v>
      </c>
      <c r="AP1875" s="1">
        <v>1.0</v>
      </c>
      <c r="AQ1875" s="1" t="s">
        <v>198</v>
      </c>
      <c r="AR1875" s="1" t="s">
        <v>192</v>
      </c>
      <c r="AS1875" s="1" t="s">
        <v>510</v>
      </c>
      <c r="AT1875" s="1">
        <v>5.0</v>
      </c>
      <c r="AU1875" s="1">
        <v>10.0</v>
      </c>
      <c r="AV1875" s="1" t="s">
        <v>200</v>
      </c>
      <c r="AW1875" s="1">
        <v>9053.74</v>
      </c>
      <c r="AX1875" s="1">
        <v>2012.0</v>
      </c>
      <c r="AZ1875" s="1" t="s">
        <v>200</v>
      </c>
      <c r="BA1875" s="1" t="str">
        <f>"0527476006"</f>
        <v>0527476006</v>
      </c>
      <c r="BC1875" s="1">
        <v>2000.0</v>
      </c>
      <c r="BD1875" s="1">
        <v>215000.0</v>
      </c>
      <c r="BE1875" s="2">
        <v>41887.0</v>
      </c>
      <c r="BF1875" s="2" t="s">
        <v>18140</v>
      </c>
      <c r="BH1875" s="1">
        <v>0.0</v>
      </c>
      <c r="BK1875" s="1" t="s">
        <v>204</v>
      </c>
      <c r="BL1875" s="1" t="str">
        <f t="shared" ref="BL1875:BM1875" si="1235">""</f>
        <v/>
      </c>
      <c r="BM1875" s="1" t="str">
        <f t="shared" si="1235"/>
        <v/>
      </c>
      <c r="BQ1875" s="1">
        <v>301.0</v>
      </c>
      <c r="BR1875" s="1">
        <v>301.0</v>
      </c>
      <c r="BS1875" s="1">
        <v>301.0</v>
      </c>
      <c r="BU1875" s="1" t="s">
        <v>1063</v>
      </c>
      <c r="BV1875" s="1" t="s">
        <v>206</v>
      </c>
      <c r="BY1875" s="1" t="s">
        <v>1567</v>
      </c>
      <c r="BZ1875" s="1" t="s">
        <v>206</v>
      </c>
      <c r="CC1875" s="1" t="s">
        <v>1417</v>
      </c>
      <c r="CD1875" s="1" t="s">
        <v>206</v>
      </c>
      <c r="CG1875" s="1" t="s">
        <v>478</v>
      </c>
      <c r="CH1875" s="1" t="s">
        <v>206</v>
      </c>
      <c r="CK1875" s="1" t="s">
        <v>363</v>
      </c>
      <c r="CL1875" s="1" t="s">
        <v>206</v>
      </c>
      <c r="CO1875" s="1" t="s">
        <v>1519</v>
      </c>
      <c r="CP1875" s="1" t="s">
        <v>42</v>
      </c>
      <c r="CS1875" s="1" t="s">
        <v>1519</v>
      </c>
      <c r="CT1875" s="1" t="s">
        <v>206</v>
      </c>
      <c r="CW1875" s="1" t="s">
        <v>496</v>
      </c>
      <c r="CX1875" s="1" t="s">
        <v>206</v>
      </c>
      <c r="DA1875" s="1" t="s">
        <v>200</v>
      </c>
      <c r="DC1875" s="1" t="s">
        <v>678</v>
      </c>
      <c r="DD1875" s="1" t="s">
        <v>518</v>
      </c>
      <c r="DE1875" s="1" t="s">
        <v>273</v>
      </c>
      <c r="DF1875" s="1" t="s">
        <v>219</v>
      </c>
      <c r="DH1875" s="1" t="s">
        <v>856</v>
      </c>
      <c r="DI1875" s="1" t="s">
        <v>308</v>
      </c>
      <c r="DJ1875" s="1" t="s">
        <v>857</v>
      </c>
      <c r="DL1875" s="1" t="s">
        <v>224</v>
      </c>
      <c r="DM1875" s="1" t="s">
        <v>338</v>
      </c>
      <c r="DP1875" s="1" t="s">
        <v>340</v>
      </c>
      <c r="DQ1875" s="1" t="s">
        <v>931</v>
      </c>
      <c r="DR1875" s="1" t="s">
        <v>229</v>
      </c>
      <c r="DV1875" s="1" t="s">
        <v>18141</v>
      </c>
      <c r="DW1875" s="1" t="s">
        <v>964</v>
      </c>
      <c r="DX1875" s="1" t="s">
        <v>234</v>
      </c>
      <c r="DY1875" s="1" t="s">
        <v>16881</v>
      </c>
      <c r="EC1875" s="1" t="s">
        <v>685</v>
      </c>
      <c r="EG1875" s="1" t="s">
        <v>450</v>
      </c>
      <c r="EH1875" s="1" t="s">
        <v>451</v>
      </c>
      <c r="EI1875" s="1" t="s">
        <v>310</v>
      </c>
      <c r="EL1875" s="1" t="s">
        <v>17541</v>
      </c>
      <c r="EM1875" s="1" t="s">
        <v>42</v>
      </c>
      <c r="EP1875" s="1" t="s">
        <v>2900</v>
      </c>
      <c r="EQ1875" s="1" t="s">
        <v>42</v>
      </c>
      <c r="ET1875" s="1" t="s">
        <v>10149</v>
      </c>
      <c r="EU1875" s="1" t="s">
        <v>206</v>
      </c>
      <c r="EY1875" s="1" t="s">
        <v>238</v>
      </c>
      <c r="FC1875" s="1" t="s">
        <v>238</v>
      </c>
      <c r="FF1875" s="1" t="s">
        <v>2447</v>
      </c>
      <c r="FG1875" s="1" t="s">
        <v>200</v>
      </c>
      <c r="FH1875" s="1" t="s">
        <v>192</v>
      </c>
      <c r="FJ1875" s="1" t="s">
        <v>3755</v>
      </c>
      <c r="FK1875" s="1" t="s">
        <v>1586</v>
      </c>
      <c r="FL1875" s="1" t="s">
        <v>14842</v>
      </c>
      <c r="FM1875" s="1">
        <v>25042.0</v>
      </c>
      <c r="FN1875" s="1" t="s">
        <v>2316</v>
      </c>
      <c r="FO1875" s="1" t="s">
        <v>18142</v>
      </c>
      <c r="FP1875" s="1">
        <v>81654.0</v>
      </c>
      <c r="FQ1875" s="1" t="s">
        <v>18143</v>
      </c>
      <c r="FU1875" s="1" t="s">
        <v>18144</v>
      </c>
      <c r="FV1875" s="1" t="s">
        <v>200</v>
      </c>
      <c r="FW1875" s="1" t="s">
        <v>290</v>
      </c>
      <c r="FZ1875" s="1" t="s">
        <v>229</v>
      </c>
      <c r="GA1875" s="1" t="s">
        <v>291</v>
      </c>
      <c r="GB1875" s="2">
        <v>42116.0</v>
      </c>
      <c r="GC1875" s="2" t="s">
        <v>18145</v>
      </c>
    </row>
    <row r="1876">
      <c r="A1876" s="1">
        <v>995000.0</v>
      </c>
      <c r="B1876" s="1" t="s">
        <v>185</v>
      </c>
      <c r="C1876" s="1" t="str">
        <f>"08718036"</f>
        <v>08718036</v>
      </c>
      <c r="D1876" s="1" t="s">
        <v>186</v>
      </c>
      <c r="F1876" s="1" t="str">
        <f>"8022"</f>
        <v>8022</v>
      </c>
      <c r="G1876" s="2">
        <v>41885.0</v>
      </c>
      <c r="H1876" s="1">
        <v>1075000.0</v>
      </c>
      <c r="I1876" s="1">
        <v>38.0</v>
      </c>
      <c r="J1876" s="1">
        <v>1075000.0</v>
      </c>
      <c r="K1876" s="2">
        <v>41921.0</v>
      </c>
      <c r="L1876" s="1">
        <v>38.0</v>
      </c>
      <c r="M1876" s="2">
        <v>41921.0</v>
      </c>
      <c r="N1876" s="1" t="s">
        <v>187</v>
      </c>
      <c r="O1876" s="2">
        <v>41974.0</v>
      </c>
      <c r="P1876" s="1">
        <v>122959.0</v>
      </c>
      <c r="Q1876" s="1">
        <v>15694.0</v>
      </c>
      <c r="S1876" s="1">
        <v>2122.0</v>
      </c>
      <c r="T1876" s="1" t="s">
        <v>3029</v>
      </c>
      <c r="U1876" s="1" t="s">
        <v>320</v>
      </c>
      <c r="V1876" s="1" t="s">
        <v>190</v>
      </c>
      <c r="W1876" s="1">
        <v>60647.0</v>
      </c>
      <c r="Y1876" s="1" t="s">
        <v>18146</v>
      </c>
      <c r="Z1876" s="1">
        <v>2003.0</v>
      </c>
      <c r="AA1876" s="1" t="s">
        <v>200</v>
      </c>
      <c r="AB1876" s="1" t="s">
        <v>193</v>
      </c>
      <c r="AD1876" s="1" t="s">
        <v>194</v>
      </c>
      <c r="AE1876" s="1" t="s">
        <v>195</v>
      </c>
      <c r="AF1876" s="1" t="s">
        <v>827</v>
      </c>
      <c r="AH1876" s="1" t="s">
        <v>5462</v>
      </c>
      <c r="AI1876" s="1">
        <v>0.06</v>
      </c>
      <c r="AK1876" s="1">
        <v>8.0</v>
      </c>
      <c r="AL1876" s="1">
        <v>4.0</v>
      </c>
      <c r="AM1876" s="1">
        <v>3.0</v>
      </c>
      <c r="AN1876" s="1">
        <v>1.0</v>
      </c>
      <c r="AO1876" s="1" t="s">
        <v>198</v>
      </c>
      <c r="AP1876" s="1">
        <v>2.0</v>
      </c>
      <c r="AQ1876" s="1" t="s">
        <v>472</v>
      </c>
      <c r="AR1876" s="1" t="s">
        <v>192</v>
      </c>
      <c r="AS1876" s="1" t="s">
        <v>199</v>
      </c>
      <c r="AT1876" s="1">
        <v>2.0</v>
      </c>
      <c r="AV1876" s="1" t="s">
        <v>200</v>
      </c>
      <c r="AW1876" s="1">
        <v>13319.12</v>
      </c>
      <c r="AX1876" s="1">
        <v>2013.0</v>
      </c>
      <c r="AY1876" s="1" t="s">
        <v>387</v>
      </c>
      <c r="AZ1876" s="1" t="s">
        <v>200</v>
      </c>
      <c r="BA1876" s="1" t="str">
        <f>"14313160330000"</f>
        <v>14313160330000</v>
      </c>
      <c r="BC1876" s="1">
        <v>3500.0</v>
      </c>
      <c r="BD1876" s="1">
        <v>995000.0</v>
      </c>
      <c r="BE1876" s="2">
        <v>41884.0</v>
      </c>
      <c r="BF1876" s="2" t="s">
        <v>18147</v>
      </c>
      <c r="BH1876" s="1">
        <v>0.0</v>
      </c>
      <c r="BK1876" s="1" t="s">
        <v>204</v>
      </c>
      <c r="BL1876" s="1" t="str">
        <f>"1800"</f>
        <v>1800</v>
      </c>
      <c r="BM1876" s="1" t="str">
        <f>"0"</f>
        <v>0</v>
      </c>
      <c r="BN1876" s="1">
        <v>2122.0</v>
      </c>
      <c r="BO1876" s="1">
        <v>0.0</v>
      </c>
      <c r="BQ1876" s="1">
        <v>299.0</v>
      </c>
      <c r="BR1876" s="1">
        <v>299.0</v>
      </c>
      <c r="BS1876" s="1">
        <v>299.0</v>
      </c>
      <c r="BU1876" s="1" t="s">
        <v>2800</v>
      </c>
      <c r="BV1876" s="1" t="s">
        <v>206</v>
      </c>
      <c r="BW1876" s="1" t="s">
        <v>207</v>
      </c>
      <c r="BY1876" s="1" t="s">
        <v>205</v>
      </c>
      <c r="BZ1876" s="1" t="s">
        <v>209</v>
      </c>
      <c r="CA1876" s="1" t="s">
        <v>207</v>
      </c>
      <c r="CC1876" s="1" t="s">
        <v>205</v>
      </c>
      <c r="CD1876" s="1" t="s">
        <v>206</v>
      </c>
      <c r="CE1876" s="1" t="s">
        <v>207</v>
      </c>
      <c r="CG1876" s="1" t="s">
        <v>205</v>
      </c>
      <c r="CH1876" s="1" t="s">
        <v>209</v>
      </c>
      <c r="CI1876" s="1" t="s">
        <v>207</v>
      </c>
      <c r="CK1876" s="1" t="s">
        <v>7133</v>
      </c>
      <c r="CL1876" s="1" t="s">
        <v>209</v>
      </c>
      <c r="CM1876" s="1" t="s">
        <v>207</v>
      </c>
      <c r="CO1876" s="1" t="s">
        <v>497</v>
      </c>
      <c r="CP1876" s="1" t="s">
        <v>267</v>
      </c>
      <c r="CQ1876" s="1" t="s">
        <v>210</v>
      </c>
      <c r="CS1876" s="1" t="s">
        <v>8668</v>
      </c>
      <c r="CT1876" s="1" t="s">
        <v>206</v>
      </c>
      <c r="CU1876" s="1" t="s">
        <v>207</v>
      </c>
      <c r="CW1876" s="1" t="s">
        <v>18148</v>
      </c>
      <c r="CX1876" s="1" t="s">
        <v>267</v>
      </c>
      <c r="CY1876" s="1" t="s">
        <v>210</v>
      </c>
      <c r="DA1876" s="1" t="s">
        <v>200</v>
      </c>
      <c r="DC1876" s="1" t="s">
        <v>335</v>
      </c>
      <c r="DD1876" s="1" t="s">
        <v>926</v>
      </c>
      <c r="DE1876" s="1" t="s">
        <v>218</v>
      </c>
      <c r="DF1876" s="1" t="s">
        <v>745</v>
      </c>
      <c r="DG1876" s="1" t="s">
        <v>337</v>
      </c>
      <c r="DH1876" s="1" t="s">
        <v>365</v>
      </c>
      <c r="DI1876" s="1" t="s">
        <v>2329</v>
      </c>
      <c r="DJ1876" s="1" t="s">
        <v>222</v>
      </c>
      <c r="DL1876" s="1" t="s">
        <v>224</v>
      </c>
      <c r="DM1876" s="1" t="s">
        <v>1464</v>
      </c>
      <c r="DN1876" s="1" t="s">
        <v>2873</v>
      </c>
      <c r="DP1876" s="1" t="s">
        <v>276</v>
      </c>
      <c r="DQ1876" s="1" t="s">
        <v>228</v>
      </c>
      <c r="DR1876" s="1" t="s">
        <v>229</v>
      </c>
      <c r="DU1876" s="1" t="s">
        <v>7122</v>
      </c>
      <c r="DV1876" s="1" t="s">
        <v>232</v>
      </c>
      <c r="DW1876" s="1" t="s">
        <v>2284</v>
      </c>
      <c r="DX1876" s="1" t="s">
        <v>234</v>
      </c>
      <c r="DY1876" s="1" t="s">
        <v>6560</v>
      </c>
      <c r="DZ1876" s="1" t="s">
        <v>18149</v>
      </c>
      <c r="EA1876" s="1" t="s">
        <v>344</v>
      </c>
      <c r="EB1876" s="1" t="s">
        <v>684</v>
      </c>
      <c r="EC1876" s="1" t="s">
        <v>237</v>
      </c>
      <c r="EM1876" s="1" t="s">
        <v>238</v>
      </c>
      <c r="EQ1876" s="1" t="s">
        <v>238</v>
      </c>
      <c r="EU1876" s="1" t="s">
        <v>238</v>
      </c>
      <c r="EY1876" s="1" t="s">
        <v>238</v>
      </c>
      <c r="FC1876" s="1" t="s">
        <v>238</v>
      </c>
      <c r="FF1876" s="1" t="s">
        <v>239</v>
      </c>
      <c r="FG1876" s="1" t="s">
        <v>192</v>
      </c>
      <c r="FH1876" s="1" t="s">
        <v>192</v>
      </c>
      <c r="FJ1876" s="1" t="s">
        <v>561</v>
      </c>
      <c r="FK1876" s="1" t="s">
        <v>229</v>
      </c>
      <c r="FL1876" s="1" t="s">
        <v>562</v>
      </c>
      <c r="FM1876" s="1">
        <v>85774.0</v>
      </c>
      <c r="FN1876" s="1" t="s">
        <v>2369</v>
      </c>
      <c r="FO1876" s="1" t="s">
        <v>13335</v>
      </c>
      <c r="FP1876" s="1">
        <v>128632.0</v>
      </c>
      <c r="FQ1876" s="1" t="s">
        <v>13336</v>
      </c>
      <c r="FR1876" s="1">
        <v>150232.0</v>
      </c>
      <c r="FS1876" s="1" t="s">
        <v>18150</v>
      </c>
      <c r="FU1876" s="1" t="s">
        <v>18151</v>
      </c>
      <c r="FV1876" s="1" t="s">
        <v>200</v>
      </c>
      <c r="FW1876" s="1" t="s">
        <v>530</v>
      </c>
      <c r="FX1876" s="1" t="s">
        <v>246</v>
      </c>
      <c r="FZ1876" s="1" t="s">
        <v>229</v>
      </c>
      <c r="GA1876" s="1" t="s">
        <v>291</v>
      </c>
      <c r="GB1876" s="2">
        <v>41983.0</v>
      </c>
    </row>
    <row r="1877">
      <c r="A1877" s="1">
        <v>399051.0</v>
      </c>
      <c r="B1877" s="1" t="s">
        <v>185</v>
      </c>
      <c r="C1877" s="1" t="str">
        <f>"08722709"</f>
        <v>08722709</v>
      </c>
      <c r="D1877" s="1" t="s">
        <v>186</v>
      </c>
      <c r="F1877" s="1" t="str">
        <f>"123"</f>
        <v>123</v>
      </c>
      <c r="G1877" s="2">
        <v>41890.0</v>
      </c>
      <c r="H1877" s="1">
        <v>366906.0</v>
      </c>
      <c r="I1877" s="1">
        <v>1.0</v>
      </c>
      <c r="J1877" s="1">
        <v>366906.0</v>
      </c>
      <c r="K1877" s="2">
        <v>41888.0</v>
      </c>
      <c r="L1877" s="1">
        <v>1.0</v>
      </c>
      <c r="M1877" s="2">
        <v>41888.0</v>
      </c>
      <c r="N1877" s="1" t="s">
        <v>187</v>
      </c>
      <c r="O1877" s="2">
        <v>41992.0</v>
      </c>
      <c r="P1877" s="1">
        <v>99999.0</v>
      </c>
      <c r="Q1877" s="1" t="s">
        <v>947</v>
      </c>
      <c r="R1877" s="1">
        <v>3465.0</v>
      </c>
      <c r="S1877" s="1">
        <v>4085.0</v>
      </c>
      <c r="T1877" s="1" t="s">
        <v>18152</v>
      </c>
      <c r="U1877" s="1" t="s">
        <v>569</v>
      </c>
      <c r="V1877" s="1" t="s">
        <v>465</v>
      </c>
      <c r="W1877" s="1">
        <v>60124.0</v>
      </c>
      <c r="Y1877" s="1" t="s">
        <v>1016</v>
      </c>
      <c r="Z1877" s="1">
        <v>2014.0</v>
      </c>
      <c r="AA1877" s="1" t="s">
        <v>200</v>
      </c>
      <c r="AB1877" s="1" t="s">
        <v>193</v>
      </c>
      <c r="AC1877" s="1" t="s">
        <v>1017</v>
      </c>
      <c r="AD1877" s="1" t="s">
        <v>469</v>
      </c>
      <c r="AE1877" s="1" t="s">
        <v>325</v>
      </c>
      <c r="AF1877" s="1" t="s">
        <v>572</v>
      </c>
      <c r="AG1877" s="1" t="s">
        <v>1018</v>
      </c>
      <c r="AH1877" s="1" t="s">
        <v>10792</v>
      </c>
      <c r="AI1877" s="1">
        <v>0.28</v>
      </c>
      <c r="AK1877" s="1">
        <v>11.0</v>
      </c>
      <c r="AL1877" s="1">
        <v>4.0</v>
      </c>
      <c r="AM1877" s="1">
        <v>4.0</v>
      </c>
      <c r="AN1877" s="1">
        <v>0.0</v>
      </c>
      <c r="AO1877" s="1" t="s">
        <v>198</v>
      </c>
      <c r="AP1877" s="1">
        <v>0.0</v>
      </c>
      <c r="AQ1877" s="1" t="s">
        <v>198</v>
      </c>
      <c r="AR1877" s="1" t="s">
        <v>200</v>
      </c>
      <c r="AS1877" s="1" t="s">
        <v>199</v>
      </c>
      <c r="AT1877" s="1">
        <v>3.0</v>
      </c>
      <c r="AV1877" s="1" t="s">
        <v>200</v>
      </c>
      <c r="AW1877" s="1">
        <v>0.0</v>
      </c>
      <c r="AX1877" s="1">
        <v>2013.0</v>
      </c>
      <c r="AY1877" s="1" t="s">
        <v>229</v>
      </c>
      <c r="AZ1877" s="1" t="s">
        <v>200</v>
      </c>
      <c r="BA1877" s="1" t="str">
        <f>"0111111111"</f>
        <v>0111111111</v>
      </c>
      <c r="BB1877" s="1" t="s">
        <v>200</v>
      </c>
      <c r="BC1877" s="1">
        <v>3800.0</v>
      </c>
      <c r="BD1877" s="1">
        <v>399051.0</v>
      </c>
      <c r="BE1877" s="2">
        <v>41888.0</v>
      </c>
      <c r="BF1877" s="1" t="s">
        <v>1019</v>
      </c>
      <c r="BG1877" s="1" t="s">
        <v>577</v>
      </c>
      <c r="BH1877" s="1">
        <v>45.0</v>
      </c>
      <c r="BI1877" s="1" t="s">
        <v>578</v>
      </c>
      <c r="BJ1877" s="1" t="s">
        <v>579</v>
      </c>
      <c r="BK1877" s="1" t="s">
        <v>474</v>
      </c>
      <c r="BL1877" s="1" t="str">
        <f t="shared" ref="BL1877:BM1877" si="1236">""</f>
        <v/>
      </c>
      <c r="BM1877" s="1" t="str">
        <f t="shared" si="1236"/>
        <v/>
      </c>
      <c r="BQ1877" s="1">
        <v>301.0</v>
      </c>
      <c r="BR1877" s="1">
        <v>301.0</v>
      </c>
      <c r="BS1877" s="1">
        <v>301.0</v>
      </c>
      <c r="BU1877" s="1" t="s">
        <v>332</v>
      </c>
      <c r="BV1877" s="1" t="s">
        <v>206</v>
      </c>
      <c r="BW1877" s="1" t="s">
        <v>210</v>
      </c>
      <c r="BY1877" s="1" t="s">
        <v>676</v>
      </c>
      <c r="BZ1877" s="1" t="s">
        <v>209</v>
      </c>
      <c r="CA1877" s="1" t="s">
        <v>210</v>
      </c>
      <c r="CC1877" s="1" t="s">
        <v>215</v>
      </c>
      <c r="CD1877" s="1" t="s">
        <v>206</v>
      </c>
      <c r="CE1877" s="1" t="s">
        <v>210</v>
      </c>
      <c r="CG1877" s="1" t="s">
        <v>361</v>
      </c>
      <c r="CH1877" s="1" t="s">
        <v>209</v>
      </c>
      <c r="CI1877" s="1" t="s">
        <v>210</v>
      </c>
      <c r="CK1877" s="1" t="s">
        <v>302</v>
      </c>
      <c r="CL1877" s="1" t="s">
        <v>209</v>
      </c>
      <c r="CM1877" s="1" t="s">
        <v>210</v>
      </c>
      <c r="CO1877" s="1" t="s">
        <v>212</v>
      </c>
      <c r="CP1877" s="1" t="s">
        <v>209</v>
      </c>
      <c r="CQ1877" s="1" t="s">
        <v>210</v>
      </c>
      <c r="CS1877" s="1" t="s">
        <v>214</v>
      </c>
      <c r="CT1877" s="1" t="s">
        <v>206</v>
      </c>
      <c r="CU1877" s="1" t="s">
        <v>617</v>
      </c>
      <c r="CW1877" s="1" t="s">
        <v>334</v>
      </c>
      <c r="CX1877" s="1" t="s">
        <v>206</v>
      </c>
      <c r="CY1877" s="1" t="s">
        <v>210</v>
      </c>
      <c r="DA1877" s="1" t="s">
        <v>192</v>
      </c>
      <c r="DB1877" s="2">
        <v>42004.0</v>
      </c>
      <c r="DC1877" s="1" t="s">
        <v>744</v>
      </c>
      <c r="DD1877" s="1" t="s">
        <v>336</v>
      </c>
      <c r="DE1877" s="1" t="s">
        <v>273</v>
      </c>
      <c r="DF1877" s="1" t="s">
        <v>219</v>
      </c>
      <c r="DG1877" s="1" t="s">
        <v>1020</v>
      </c>
      <c r="DH1877" s="1" t="s">
        <v>220</v>
      </c>
      <c r="DI1877" s="1" t="s">
        <v>1021</v>
      </c>
      <c r="DJ1877" s="1" t="s">
        <v>222</v>
      </c>
      <c r="DK1877" s="1" t="s">
        <v>223</v>
      </c>
      <c r="DL1877" s="1" t="s">
        <v>223</v>
      </c>
      <c r="DM1877" s="1" t="s">
        <v>1022</v>
      </c>
      <c r="DN1877" s="1" t="s">
        <v>1023</v>
      </c>
      <c r="DO1877" s="1" t="s">
        <v>486</v>
      </c>
      <c r="DP1877" s="1" t="s">
        <v>276</v>
      </c>
      <c r="DQ1877" s="1" t="s">
        <v>441</v>
      </c>
      <c r="DR1877" s="1" t="s">
        <v>229</v>
      </c>
      <c r="DS1877" s="1" t="s">
        <v>368</v>
      </c>
      <c r="DU1877" s="1" t="s">
        <v>1024</v>
      </c>
      <c r="DV1877" s="1" t="s">
        <v>1025</v>
      </c>
      <c r="DW1877" s="1" t="s">
        <v>444</v>
      </c>
      <c r="DX1877" s="1" t="s">
        <v>234</v>
      </c>
      <c r="DY1877" s="1" t="s">
        <v>1006</v>
      </c>
      <c r="DZ1877" s="1" t="s">
        <v>310</v>
      </c>
      <c r="EA1877" s="1" t="s">
        <v>1027</v>
      </c>
      <c r="EC1877" s="1" t="s">
        <v>237</v>
      </c>
      <c r="EG1877" s="1" t="s">
        <v>556</v>
      </c>
      <c r="EH1877" s="1" t="s">
        <v>1028</v>
      </c>
      <c r="EI1877" s="1" t="s">
        <v>598</v>
      </c>
      <c r="EL1877" s="1" t="s">
        <v>582</v>
      </c>
      <c r="EM1877" s="1" t="s">
        <v>206</v>
      </c>
      <c r="EN1877" s="1" t="s">
        <v>617</v>
      </c>
      <c r="EP1877" s="1" t="s">
        <v>331</v>
      </c>
      <c r="EQ1877" s="1" t="s">
        <v>206</v>
      </c>
      <c r="ER1877" s="1" t="s">
        <v>210</v>
      </c>
      <c r="ET1877" s="1" t="s">
        <v>1029</v>
      </c>
      <c r="EU1877" s="1" t="s">
        <v>206</v>
      </c>
      <c r="EV1877" s="1" t="s">
        <v>210</v>
      </c>
      <c r="EY1877" s="1" t="s">
        <v>238</v>
      </c>
      <c r="FC1877" s="1" t="s">
        <v>238</v>
      </c>
      <c r="FF1877" s="1" t="s">
        <v>239</v>
      </c>
      <c r="FG1877" s="1" t="s">
        <v>192</v>
      </c>
      <c r="FH1877" s="1" t="s">
        <v>192</v>
      </c>
      <c r="FJ1877" s="1" t="s">
        <v>18153</v>
      </c>
      <c r="FK1877" s="1" t="s">
        <v>229</v>
      </c>
      <c r="FL1877" s="1" t="s">
        <v>1031</v>
      </c>
      <c r="FM1877" s="1">
        <v>222.0</v>
      </c>
      <c r="FN1877" s="1" t="s">
        <v>1032</v>
      </c>
      <c r="FO1877" s="1" t="s">
        <v>1033</v>
      </c>
      <c r="FP1877" s="1">
        <v>1305.0</v>
      </c>
      <c r="FQ1877" s="1" t="s">
        <v>1034</v>
      </c>
      <c r="FT1877" s="1" t="s">
        <v>1035</v>
      </c>
      <c r="FU1877" s="1" t="s">
        <v>1036</v>
      </c>
      <c r="FV1877" s="1" t="s">
        <v>200</v>
      </c>
      <c r="FW1877" s="1" t="s">
        <v>1037</v>
      </c>
      <c r="FZ1877" s="1" t="s">
        <v>229</v>
      </c>
      <c r="GA1877" s="1" t="s">
        <v>291</v>
      </c>
      <c r="GB1877" s="2">
        <v>42004.0</v>
      </c>
      <c r="GC1877" s="1" t="s">
        <v>1038</v>
      </c>
    </row>
    <row r="1878">
      <c r="A1878" s="1">
        <v>300000.0</v>
      </c>
      <c r="B1878" s="1" t="s">
        <v>185</v>
      </c>
      <c r="C1878" s="1" t="str">
        <f>"08732000"</f>
        <v>08732000</v>
      </c>
      <c r="D1878" s="1" t="s">
        <v>186</v>
      </c>
      <c r="F1878" s="1" t="str">
        <f>"656"</f>
        <v>656</v>
      </c>
      <c r="G1878" s="2">
        <v>41900.0</v>
      </c>
      <c r="H1878" s="1">
        <v>319000.0</v>
      </c>
      <c r="I1878" s="1">
        <v>74.0</v>
      </c>
      <c r="J1878" s="1">
        <v>315000.0</v>
      </c>
      <c r="K1878" s="2">
        <v>41973.0</v>
      </c>
      <c r="L1878" s="1">
        <v>74.0</v>
      </c>
      <c r="M1878" s="2">
        <v>41973.0</v>
      </c>
      <c r="N1878" s="1" t="s">
        <v>187</v>
      </c>
      <c r="O1878" s="2">
        <v>42033.0</v>
      </c>
      <c r="P1878" s="1">
        <v>105097.0</v>
      </c>
      <c r="Q1878" s="1">
        <v>10272.0</v>
      </c>
      <c r="S1878" s="1">
        <v>7520.0</v>
      </c>
      <c r="T1878" s="1" t="s">
        <v>6267</v>
      </c>
      <c r="U1878" s="1" t="s">
        <v>320</v>
      </c>
      <c r="V1878" s="1" t="s">
        <v>2344</v>
      </c>
      <c r="W1878" s="1">
        <v>60706.0</v>
      </c>
      <c r="Y1878" s="1" t="s">
        <v>18154</v>
      </c>
      <c r="Z1878" s="1">
        <v>1948.0</v>
      </c>
      <c r="AA1878" s="1" t="s">
        <v>192</v>
      </c>
      <c r="AB1878" s="1" t="s">
        <v>193</v>
      </c>
      <c r="AD1878" s="1" t="s">
        <v>2346</v>
      </c>
      <c r="AE1878" s="1" t="s">
        <v>195</v>
      </c>
      <c r="AF1878" s="1" t="s">
        <v>2347</v>
      </c>
      <c r="AH1878" s="1" t="s">
        <v>779</v>
      </c>
      <c r="AK1878" s="1">
        <v>8.0</v>
      </c>
      <c r="AL1878" s="1">
        <v>4.0</v>
      </c>
      <c r="AM1878" s="1">
        <v>2.0</v>
      </c>
      <c r="AN1878" s="1">
        <v>0.0</v>
      </c>
      <c r="AO1878" s="1" t="s">
        <v>229</v>
      </c>
      <c r="AP1878" s="1">
        <v>1.0</v>
      </c>
      <c r="AQ1878" s="1" t="s">
        <v>198</v>
      </c>
      <c r="AR1878" s="1" t="s">
        <v>200</v>
      </c>
      <c r="AS1878" s="1" t="s">
        <v>199</v>
      </c>
      <c r="AT1878" s="1">
        <v>2.0</v>
      </c>
      <c r="AV1878" s="1" t="s">
        <v>200</v>
      </c>
      <c r="AW1878" s="1">
        <v>4747.32</v>
      </c>
      <c r="AX1878" s="1">
        <v>2013.0</v>
      </c>
      <c r="AZ1878" s="1" t="s">
        <v>200</v>
      </c>
      <c r="BA1878" s="1" t="str">
        <f>"12124000360000"</f>
        <v>12124000360000</v>
      </c>
      <c r="BB1878" s="1" t="s">
        <v>200</v>
      </c>
      <c r="BC1878" s="1">
        <v>1600.0</v>
      </c>
      <c r="BD1878" s="1">
        <v>300000.0</v>
      </c>
      <c r="BE1878" s="2">
        <v>41900.0</v>
      </c>
      <c r="BF1878" s="2" t="s">
        <v>18155</v>
      </c>
      <c r="BG1878" s="1" t="s">
        <v>17588</v>
      </c>
      <c r="BH1878" s="1">
        <v>0.0</v>
      </c>
      <c r="BI1878" s="1" t="s">
        <v>17588</v>
      </c>
      <c r="BJ1878" s="1" t="s">
        <v>17589</v>
      </c>
      <c r="BK1878" s="1" t="s">
        <v>204</v>
      </c>
      <c r="BL1878" s="1" t="str">
        <f>"5100"</f>
        <v>5100</v>
      </c>
      <c r="BM1878" s="1" t="str">
        <f>"0"</f>
        <v>0</v>
      </c>
      <c r="BN1878" s="1">
        <v>7520.0</v>
      </c>
      <c r="BO1878" s="1">
        <v>0.0</v>
      </c>
      <c r="BQ1878" s="1">
        <v>79.0</v>
      </c>
      <c r="BR1878" s="1">
        <v>207.0</v>
      </c>
      <c r="BS1878" s="1">
        <v>79.0</v>
      </c>
      <c r="BU1878" s="1" t="s">
        <v>2460</v>
      </c>
      <c r="BV1878" s="1" t="s">
        <v>206</v>
      </c>
      <c r="BW1878" s="1" t="s">
        <v>207</v>
      </c>
      <c r="BX1878" s="1" t="s">
        <v>431</v>
      </c>
      <c r="BY1878" s="1" t="s">
        <v>331</v>
      </c>
      <c r="BZ1878" s="1" t="s">
        <v>209</v>
      </c>
      <c r="CA1878" s="1" t="s">
        <v>210</v>
      </c>
      <c r="CB1878" s="1" t="s">
        <v>431</v>
      </c>
      <c r="CC1878" s="1" t="s">
        <v>6656</v>
      </c>
      <c r="CD1878" s="1" t="s">
        <v>206</v>
      </c>
      <c r="CE1878" s="1" t="s">
        <v>207</v>
      </c>
      <c r="CF1878" s="1" t="s">
        <v>431</v>
      </c>
      <c r="CG1878" s="1" t="s">
        <v>5334</v>
      </c>
      <c r="CH1878" s="1" t="s">
        <v>209</v>
      </c>
      <c r="CI1878" s="1" t="s">
        <v>210</v>
      </c>
      <c r="CJ1878" s="1" t="s">
        <v>431</v>
      </c>
      <c r="CK1878" s="1" t="s">
        <v>646</v>
      </c>
      <c r="CL1878" s="1" t="s">
        <v>209</v>
      </c>
      <c r="CM1878" s="1" t="s">
        <v>207</v>
      </c>
      <c r="CN1878" s="1" t="s">
        <v>431</v>
      </c>
      <c r="CO1878" s="1" t="s">
        <v>269</v>
      </c>
      <c r="CP1878" s="1" t="s">
        <v>209</v>
      </c>
      <c r="CQ1878" s="1" t="s">
        <v>210</v>
      </c>
      <c r="CS1878" s="1" t="s">
        <v>300</v>
      </c>
      <c r="CT1878" s="1" t="s">
        <v>206</v>
      </c>
      <c r="CU1878" s="1" t="s">
        <v>207</v>
      </c>
      <c r="CV1878" s="1" t="s">
        <v>229</v>
      </c>
      <c r="CW1878" s="1" t="s">
        <v>454</v>
      </c>
      <c r="CX1878" s="1" t="s">
        <v>206</v>
      </c>
      <c r="CY1878" s="1" t="s">
        <v>207</v>
      </c>
      <c r="CZ1878" s="1" t="s">
        <v>261</v>
      </c>
      <c r="DA1878" s="1" t="s">
        <v>200</v>
      </c>
      <c r="DC1878" s="1" t="s">
        <v>702</v>
      </c>
      <c r="DD1878" s="1" t="s">
        <v>3633</v>
      </c>
      <c r="DE1878" s="1" t="s">
        <v>273</v>
      </c>
      <c r="DF1878" s="1" t="s">
        <v>619</v>
      </c>
      <c r="DG1878" s="1" t="s">
        <v>2311</v>
      </c>
      <c r="DH1878" s="1" t="s">
        <v>365</v>
      </c>
      <c r="DI1878" s="1" t="s">
        <v>308</v>
      </c>
      <c r="DJ1878" s="1" t="s">
        <v>222</v>
      </c>
      <c r="DL1878" s="1" t="s">
        <v>223</v>
      </c>
      <c r="DM1878" s="1" t="s">
        <v>1658</v>
      </c>
      <c r="DO1878" s="1" t="s">
        <v>717</v>
      </c>
      <c r="DP1878" s="1" t="s">
        <v>340</v>
      </c>
      <c r="DQ1878" s="1" t="s">
        <v>718</v>
      </c>
      <c r="DR1878" s="1" t="s">
        <v>229</v>
      </c>
      <c r="DS1878" s="1" t="s">
        <v>401</v>
      </c>
      <c r="DV1878" s="1" t="s">
        <v>232</v>
      </c>
      <c r="DW1878" s="1" t="s">
        <v>233</v>
      </c>
      <c r="DX1878" s="1" t="s">
        <v>234</v>
      </c>
      <c r="DY1878" s="1" t="s">
        <v>1122</v>
      </c>
      <c r="EA1878" s="1" t="s">
        <v>1075</v>
      </c>
      <c r="EB1878" s="1" t="s">
        <v>684</v>
      </c>
      <c r="EC1878" s="1" t="s">
        <v>237</v>
      </c>
      <c r="ED1878" s="1" t="s">
        <v>555</v>
      </c>
      <c r="EM1878" s="1" t="s">
        <v>238</v>
      </c>
      <c r="EQ1878" s="1" t="s">
        <v>238</v>
      </c>
      <c r="EU1878" s="1" t="s">
        <v>238</v>
      </c>
      <c r="EY1878" s="1" t="s">
        <v>238</v>
      </c>
      <c r="FC1878" s="1" t="s">
        <v>238</v>
      </c>
      <c r="FF1878" s="1" t="s">
        <v>239</v>
      </c>
      <c r="FG1878" s="1" t="s">
        <v>192</v>
      </c>
      <c r="FH1878" s="1" t="s">
        <v>192</v>
      </c>
      <c r="FJ1878" s="1" t="s">
        <v>799</v>
      </c>
      <c r="FK1878" s="1" t="s">
        <v>229</v>
      </c>
      <c r="FL1878" s="1" t="s">
        <v>456</v>
      </c>
      <c r="FM1878" s="1">
        <v>3110.0</v>
      </c>
      <c r="FN1878" s="1" t="s">
        <v>18156</v>
      </c>
      <c r="FO1878" s="1" t="s">
        <v>18157</v>
      </c>
      <c r="FP1878" s="1">
        <v>40576.0</v>
      </c>
      <c r="FU1878" s="1" t="s">
        <v>18158</v>
      </c>
      <c r="FV1878" s="1" t="s">
        <v>200</v>
      </c>
      <c r="FW1878" s="1" t="s">
        <v>290</v>
      </c>
      <c r="FX1878" s="1" t="s">
        <v>246</v>
      </c>
      <c r="FZ1878" s="1" t="s">
        <v>229</v>
      </c>
      <c r="GA1878" s="1" t="s">
        <v>291</v>
      </c>
      <c r="GB1878" s="2">
        <v>42033.0</v>
      </c>
      <c r="GC1878" s="1" t="s">
        <v>18159</v>
      </c>
    </row>
    <row r="1879">
      <c r="A1879" s="1">
        <v>310000.0</v>
      </c>
      <c r="B1879" s="1" t="s">
        <v>185</v>
      </c>
      <c r="C1879" s="1" t="str">
        <f>"08722801"</f>
        <v>08722801</v>
      </c>
      <c r="D1879" s="1" t="s">
        <v>186</v>
      </c>
      <c r="F1879" s="1" t="str">
        <f>"118"</f>
        <v>118</v>
      </c>
      <c r="G1879" s="2">
        <v>41890.0</v>
      </c>
      <c r="H1879" s="1">
        <v>350000.0</v>
      </c>
      <c r="I1879" s="1">
        <v>176.0</v>
      </c>
      <c r="J1879" s="1">
        <v>330000.0</v>
      </c>
      <c r="K1879" s="2">
        <v>42065.0</v>
      </c>
      <c r="L1879" s="1">
        <v>176.0</v>
      </c>
      <c r="M1879" s="2">
        <v>42065.0</v>
      </c>
      <c r="N1879" s="1" t="s">
        <v>249</v>
      </c>
      <c r="O1879" s="2">
        <v>42075.0</v>
      </c>
      <c r="P1879" s="1">
        <v>61639.0</v>
      </c>
      <c r="Q1879" s="1">
        <v>6018.0</v>
      </c>
      <c r="S1879" s="1">
        <v>2721.0</v>
      </c>
      <c r="T1879" s="1" t="s">
        <v>18160</v>
      </c>
      <c r="U1879" s="1" t="s">
        <v>569</v>
      </c>
      <c r="V1879" s="1" t="s">
        <v>1086</v>
      </c>
      <c r="W1879" s="1">
        <v>60118.0</v>
      </c>
      <c r="Y1879" s="1" t="s">
        <v>18161</v>
      </c>
      <c r="Z1879" s="1">
        <v>2002.0</v>
      </c>
      <c r="AA1879" s="1" t="s">
        <v>200</v>
      </c>
      <c r="AB1879" s="1" t="s">
        <v>467</v>
      </c>
      <c r="AC1879" s="1" t="s">
        <v>8563</v>
      </c>
      <c r="AD1879" s="1" t="s">
        <v>810</v>
      </c>
      <c r="AE1879" s="1" t="s">
        <v>325</v>
      </c>
      <c r="AF1879" s="1" t="s">
        <v>810</v>
      </c>
      <c r="AG1879" s="1" t="s">
        <v>18162</v>
      </c>
      <c r="AH1879" s="1" t="s">
        <v>18163</v>
      </c>
      <c r="AI1879" s="1">
        <v>0.1812</v>
      </c>
      <c r="AK1879" s="1">
        <v>10.0</v>
      </c>
      <c r="AL1879" s="1">
        <v>3.0</v>
      </c>
      <c r="AM1879" s="1">
        <v>2.0</v>
      </c>
      <c r="AN1879" s="1">
        <v>2.0</v>
      </c>
      <c r="AO1879" s="1" t="s">
        <v>198</v>
      </c>
      <c r="AP1879" s="1">
        <v>1.0</v>
      </c>
      <c r="AQ1879" s="1" t="s">
        <v>472</v>
      </c>
      <c r="AR1879" s="1" t="s">
        <v>192</v>
      </c>
      <c r="AS1879" s="1" t="s">
        <v>199</v>
      </c>
      <c r="AT1879" s="1">
        <v>2.0</v>
      </c>
      <c r="AV1879" s="1" t="s">
        <v>200</v>
      </c>
      <c r="AW1879" s="1">
        <v>9712.32</v>
      </c>
      <c r="AX1879" s="1">
        <v>2013.0</v>
      </c>
      <c r="AY1879" s="1" t="s">
        <v>1179</v>
      </c>
      <c r="AZ1879" s="1" t="s">
        <v>200</v>
      </c>
      <c r="BA1879" s="1" t="str">
        <f>"0320427001"</f>
        <v>0320427001</v>
      </c>
      <c r="BB1879" s="1" t="s">
        <v>200</v>
      </c>
      <c r="BC1879" s="1">
        <v>2640.0</v>
      </c>
      <c r="BD1879" s="1">
        <v>310000.0</v>
      </c>
      <c r="BE1879" s="2">
        <v>41890.0</v>
      </c>
      <c r="BF1879" s="2" t="s">
        <v>18164</v>
      </c>
      <c r="BG1879" s="1" t="s">
        <v>1092</v>
      </c>
      <c r="BH1879" s="1">
        <v>102.0</v>
      </c>
      <c r="BI1879" s="1" t="s">
        <v>1093</v>
      </c>
      <c r="BJ1879" s="1" t="s">
        <v>1094</v>
      </c>
      <c r="BK1879" s="1" t="s">
        <v>474</v>
      </c>
      <c r="BL1879" s="1" t="str">
        <f t="shared" ref="BL1879:BM1879" si="1237">""</f>
        <v/>
      </c>
      <c r="BM1879" s="1" t="str">
        <f t="shared" si="1237"/>
        <v/>
      </c>
      <c r="BQ1879" s="1">
        <v>300.0</v>
      </c>
      <c r="BR1879" s="1">
        <v>300.0</v>
      </c>
      <c r="BS1879" s="1">
        <v>300.0</v>
      </c>
      <c r="BU1879" s="1" t="s">
        <v>433</v>
      </c>
      <c r="BV1879" s="1" t="s">
        <v>206</v>
      </c>
      <c r="BW1879" s="1" t="s">
        <v>210</v>
      </c>
      <c r="BX1879" s="1" t="s">
        <v>1118</v>
      </c>
      <c r="BY1879" s="1" t="s">
        <v>784</v>
      </c>
      <c r="BZ1879" s="1" t="s">
        <v>206</v>
      </c>
      <c r="CA1879" s="1" t="s">
        <v>210</v>
      </c>
      <c r="CB1879" s="1" t="s">
        <v>1118</v>
      </c>
      <c r="CC1879" s="1" t="s">
        <v>433</v>
      </c>
      <c r="CD1879" s="1" t="s">
        <v>206</v>
      </c>
      <c r="CE1879" s="1" t="s">
        <v>210</v>
      </c>
      <c r="CF1879" s="1" t="s">
        <v>1118</v>
      </c>
      <c r="CG1879" s="1" t="s">
        <v>212</v>
      </c>
      <c r="CH1879" s="1" t="s">
        <v>209</v>
      </c>
      <c r="CI1879" s="1" t="s">
        <v>210</v>
      </c>
      <c r="CJ1879" s="1" t="s">
        <v>431</v>
      </c>
      <c r="CK1879" s="1" t="s">
        <v>212</v>
      </c>
      <c r="CL1879" s="1" t="s">
        <v>209</v>
      </c>
      <c r="CM1879" s="1" t="s">
        <v>210</v>
      </c>
      <c r="CN1879" s="1" t="s">
        <v>431</v>
      </c>
      <c r="CO1879" s="1" t="s">
        <v>1426</v>
      </c>
      <c r="CP1879" s="1" t="s">
        <v>42</v>
      </c>
      <c r="CQ1879" s="1" t="s">
        <v>617</v>
      </c>
      <c r="CR1879" s="1" t="s">
        <v>431</v>
      </c>
      <c r="CS1879" s="1" t="s">
        <v>264</v>
      </c>
      <c r="CT1879" s="1" t="s">
        <v>206</v>
      </c>
      <c r="CU1879" s="1" t="s">
        <v>207</v>
      </c>
      <c r="CV1879" s="1" t="s">
        <v>229</v>
      </c>
      <c r="CW1879" s="1" t="s">
        <v>639</v>
      </c>
      <c r="CX1879" s="1" t="s">
        <v>206</v>
      </c>
      <c r="CY1879" s="1" t="s">
        <v>207</v>
      </c>
      <c r="CZ1879" s="1" t="s">
        <v>1118</v>
      </c>
      <c r="DA1879" s="1" t="s">
        <v>200</v>
      </c>
      <c r="DC1879" s="1" t="s">
        <v>335</v>
      </c>
      <c r="DD1879" s="1" t="s">
        <v>336</v>
      </c>
      <c r="DE1879" s="1" t="s">
        <v>273</v>
      </c>
      <c r="DF1879" s="1" t="s">
        <v>219</v>
      </c>
      <c r="DG1879" s="1" t="s">
        <v>337</v>
      </c>
      <c r="DH1879" s="1" t="s">
        <v>220</v>
      </c>
      <c r="DI1879" s="1" t="s">
        <v>18165</v>
      </c>
      <c r="DJ1879" s="1" t="s">
        <v>222</v>
      </c>
      <c r="DK1879" s="1" t="s">
        <v>223</v>
      </c>
      <c r="DL1879" s="1" t="s">
        <v>224</v>
      </c>
      <c r="DM1879" s="1" t="s">
        <v>1022</v>
      </c>
      <c r="DN1879" s="1" t="s">
        <v>399</v>
      </c>
      <c r="DO1879" s="1" t="s">
        <v>1606</v>
      </c>
      <c r="DP1879" s="1" t="s">
        <v>276</v>
      </c>
      <c r="DQ1879" s="1" t="s">
        <v>228</v>
      </c>
      <c r="DR1879" s="1" t="s">
        <v>10152</v>
      </c>
      <c r="DS1879" s="1" t="s">
        <v>368</v>
      </c>
      <c r="DU1879" s="1" t="s">
        <v>18166</v>
      </c>
      <c r="DV1879" s="1" t="s">
        <v>18167</v>
      </c>
      <c r="DW1879" s="1" t="s">
        <v>1072</v>
      </c>
      <c r="DX1879" s="1" t="s">
        <v>234</v>
      </c>
      <c r="DY1879" s="1" t="s">
        <v>7854</v>
      </c>
      <c r="DZ1879" s="1" t="s">
        <v>4077</v>
      </c>
      <c r="EB1879" s="1" t="s">
        <v>8570</v>
      </c>
      <c r="EC1879" s="1" t="s">
        <v>237</v>
      </c>
      <c r="EE1879" s="1" t="s">
        <v>493</v>
      </c>
      <c r="EG1879" s="1" t="s">
        <v>449</v>
      </c>
      <c r="EH1879" s="1" t="s">
        <v>1961</v>
      </c>
      <c r="EJ1879" s="1" t="s">
        <v>408</v>
      </c>
      <c r="EK1879" s="1" t="s">
        <v>1102</v>
      </c>
      <c r="EL1879" s="1" t="s">
        <v>814</v>
      </c>
      <c r="EM1879" s="1" t="s">
        <v>206</v>
      </c>
      <c r="EN1879" s="1" t="s">
        <v>207</v>
      </c>
      <c r="EO1879" s="1" t="s">
        <v>229</v>
      </c>
      <c r="EP1879" s="1" t="s">
        <v>212</v>
      </c>
      <c r="EQ1879" s="1" t="s">
        <v>206</v>
      </c>
      <c r="ER1879" s="1" t="s">
        <v>207</v>
      </c>
      <c r="ES1879" s="1" t="s">
        <v>1118</v>
      </c>
      <c r="EU1879" s="1" t="s">
        <v>238</v>
      </c>
      <c r="EX1879" s="1" t="s">
        <v>4153</v>
      </c>
      <c r="EY1879" s="1" t="s">
        <v>206</v>
      </c>
      <c r="EZ1879" s="1" t="s">
        <v>207</v>
      </c>
      <c r="FA1879" s="1" t="s">
        <v>229</v>
      </c>
      <c r="FB1879" s="1" t="s">
        <v>264</v>
      </c>
      <c r="FC1879" s="1" t="s">
        <v>206</v>
      </c>
      <c r="FD1879" s="1" t="s">
        <v>207</v>
      </c>
      <c r="FE1879" s="1" t="s">
        <v>1118</v>
      </c>
      <c r="FF1879" s="1" t="s">
        <v>239</v>
      </c>
      <c r="FG1879" s="1" t="s">
        <v>192</v>
      </c>
      <c r="FH1879" s="1" t="s">
        <v>192</v>
      </c>
      <c r="FJ1879" s="1" t="s">
        <v>2493</v>
      </c>
      <c r="FK1879" s="1" t="s">
        <v>229</v>
      </c>
      <c r="FL1879" s="1" t="s">
        <v>456</v>
      </c>
      <c r="FM1879" s="1">
        <v>8012.0</v>
      </c>
      <c r="FN1879" s="1" t="s">
        <v>6869</v>
      </c>
      <c r="FO1879" s="1" t="s">
        <v>18168</v>
      </c>
      <c r="FP1879" s="1">
        <v>81566.0</v>
      </c>
      <c r="FQ1879" s="1" t="s">
        <v>18169</v>
      </c>
      <c r="FS1879" s="1" t="s">
        <v>18170</v>
      </c>
      <c r="FT1879" s="1" t="s">
        <v>18171</v>
      </c>
      <c r="FU1879" s="1" t="s">
        <v>18172</v>
      </c>
      <c r="FV1879" s="1" t="s">
        <v>200</v>
      </c>
      <c r="FW1879" s="1" t="s">
        <v>530</v>
      </c>
      <c r="FZ1879" s="1" t="s">
        <v>229</v>
      </c>
      <c r="GA1879" s="1" t="s">
        <v>291</v>
      </c>
      <c r="GB1879" s="2">
        <v>42076.0</v>
      </c>
      <c r="GC1879" s="1" t="s">
        <v>18173</v>
      </c>
    </row>
    <row r="1880">
      <c r="A1880" s="1">
        <v>134000.0</v>
      </c>
      <c r="B1880" s="1" t="s">
        <v>185</v>
      </c>
      <c r="C1880" s="1" t="str">
        <f>"08722691"</f>
        <v>08722691</v>
      </c>
      <c r="D1880" s="1" t="s">
        <v>186</v>
      </c>
      <c r="F1880" s="1" t="str">
        <f>"107"</f>
        <v>107</v>
      </c>
      <c r="G1880" s="2">
        <v>41890.0</v>
      </c>
      <c r="H1880" s="1">
        <v>134900.0</v>
      </c>
      <c r="I1880" s="1">
        <v>61.0</v>
      </c>
      <c r="J1880" s="1">
        <v>134800.0</v>
      </c>
      <c r="K1880" s="2">
        <v>41950.0</v>
      </c>
      <c r="L1880" s="1">
        <v>61.0</v>
      </c>
      <c r="M1880" s="2">
        <v>41950.0</v>
      </c>
      <c r="N1880" s="1" t="s">
        <v>356</v>
      </c>
      <c r="O1880" s="2">
        <v>42006.0</v>
      </c>
      <c r="P1880" s="1">
        <v>214678.0</v>
      </c>
      <c r="Q1880" s="1">
        <v>24229.0</v>
      </c>
      <c r="R1880" s="1">
        <v>3500.0</v>
      </c>
      <c r="S1880" s="1">
        <v>10.0</v>
      </c>
      <c r="T1880" s="1" t="s">
        <v>18174</v>
      </c>
      <c r="U1880" s="1" t="s">
        <v>464</v>
      </c>
      <c r="V1880" s="1" t="s">
        <v>294</v>
      </c>
      <c r="W1880" s="1">
        <v>60107.0</v>
      </c>
      <c r="Y1880" s="1" t="s">
        <v>18175</v>
      </c>
      <c r="Z1880" s="1">
        <v>1957.0</v>
      </c>
      <c r="AA1880" s="1" t="s">
        <v>192</v>
      </c>
      <c r="AB1880" s="1" t="s">
        <v>193</v>
      </c>
      <c r="AD1880" s="1" t="s">
        <v>297</v>
      </c>
      <c r="AE1880" s="1" t="s">
        <v>195</v>
      </c>
      <c r="AF1880" s="1" t="s">
        <v>298</v>
      </c>
      <c r="AH1880" s="1" t="s">
        <v>18176</v>
      </c>
      <c r="AK1880" s="1">
        <v>7.0</v>
      </c>
      <c r="AL1880" s="1">
        <v>4.0</v>
      </c>
      <c r="AM1880" s="1">
        <v>1.0</v>
      </c>
      <c r="AN1880" s="1">
        <v>1.0</v>
      </c>
      <c r="AO1880" s="1" t="s">
        <v>229</v>
      </c>
      <c r="AQ1880" s="1" t="s">
        <v>229</v>
      </c>
      <c r="AR1880" s="1" t="s">
        <v>200</v>
      </c>
      <c r="AS1880" s="1" t="s">
        <v>199</v>
      </c>
      <c r="AT1880" s="1">
        <v>1.5</v>
      </c>
      <c r="AV1880" s="1" t="s">
        <v>200</v>
      </c>
      <c r="AW1880" s="1">
        <v>4152.03</v>
      </c>
      <c r="AX1880" s="1">
        <v>2013.0</v>
      </c>
      <c r="AY1880" s="1" t="s">
        <v>387</v>
      </c>
      <c r="AZ1880" s="1" t="s">
        <v>200</v>
      </c>
      <c r="BA1880" s="1" t="str">
        <f>"06231040340000"</f>
        <v>06231040340000</v>
      </c>
      <c r="BC1880" s="1">
        <v>1540.0</v>
      </c>
      <c r="BD1880" s="1">
        <v>134000.0</v>
      </c>
      <c r="BE1880" s="2">
        <v>41890.0</v>
      </c>
      <c r="BF1880" s="1" t="s">
        <v>18177</v>
      </c>
      <c r="BH1880" s="1">
        <v>0.0</v>
      </c>
      <c r="BK1880" s="1" t="s">
        <v>204</v>
      </c>
      <c r="BL1880" s="1" t="str">
        <f t="shared" ref="BL1880:BM1880" si="1238">""</f>
        <v/>
      </c>
      <c r="BM1880" s="1" t="str">
        <f t="shared" si="1238"/>
        <v/>
      </c>
      <c r="BQ1880" s="1">
        <v>46.0</v>
      </c>
      <c r="BR1880" s="1">
        <v>46.0</v>
      </c>
      <c r="BS1880" s="1">
        <v>46.0</v>
      </c>
      <c r="BU1880" s="1" t="s">
        <v>743</v>
      </c>
      <c r="BV1880" s="1" t="s">
        <v>206</v>
      </c>
      <c r="BY1880" s="1" t="s">
        <v>363</v>
      </c>
      <c r="BZ1880" s="1" t="s">
        <v>206</v>
      </c>
      <c r="CD1880" s="1" t="s">
        <v>204</v>
      </c>
      <c r="CG1880" s="1" t="s">
        <v>332</v>
      </c>
      <c r="CH1880" s="1" t="s">
        <v>206</v>
      </c>
      <c r="CK1880" s="1" t="s">
        <v>495</v>
      </c>
      <c r="CL1880" s="1" t="s">
        <v>206</v>
      </c>
      <c r="CO1880" s="1" t="s">
        <v>816</v>
      </c>
      <c r="CP1880" s="1" t="s">
        <v>206</v>
      </c>
      <c r="CS1880" s="1" t="s">
        <v>211</v>
      </c>
      <c r="CT1880" s="1" t="s">
        <v>206</v>
      </c>
      <c r="CW1880" s="1" t="s">
        <v>3475</v>
      </c>
      <c r="CX1880" s="1" t="s">
        <v>206</v>
      </c>
      <c r="DA1880" s="1" t="s">
        <v>200</v>
      </c>
      <c r="DC1880" s="1" t="s">
        <v>271</v>
      </c>
      <c r="DE1880" s="1" t="s">
        <v>1300</v>
      </c>
      <c r="DF1880" s="1" t="s">
        <v>619</v>
      </c>
      <c r="DH1880" s="1" t="s">
        <v>220</v>
      </c>
      <c r="DJ1880" s="1" t="s">
        <v>588</v>
      </c>
      <c r="DL1880" s="1" t="s">
        <v>1853</v>
      </c>
      <c r="DM1880" s="1" t="s">
        <v>229</v>
      </c>
      <c r="DQ1880" s="1" t="s">
        <v>441</v>
      </c>
      <c r="DR1880" s="1" t="s">
        <v>229</v>
      </c>
      <c r="DV1880" s="1" t="s">
        <v>232</v>
      </c>
      <c r="DW1880" s="1" t="s">
        <v>891</v>
      </c>
      <c r="DX1880" s="1" t="s">
        <v>309</v>
      </c>
      <c r="EC1880" s="1" t="s">
        <v>685</v>
      </c>
      <c r="EE1880" s="1" t="s">
        <v>522</v>
      </c>
      <c r="EM1880" s="1" t="s">
        <v>238</v>
      </c>
      <c r="EQ1880" s="1" t="s">
        <v>238</v>
      </c>
      <c r="EU1880" s="1" t="s">
        <v>238</v>
      </c>
      <c r="EY1880" s="1" t="s">
        <v>238</v>
      </c>
      <c r="FC1880" s="1" t="s">
        <v>238</v>
      </c>
      <c r="FF1880" s="1" t="s">
        <v>239</v>
      </c>
      <c r="FG1880" s="1" t="s">
        <v>192</v>
      </c>
      <c r="FH1880" s="1" t="s">
        <v>192</v>
      </c>
      <c r="FJ1880" s="1" t="s">
        <v>1469</v>
      </c>
      <c r="FK1880" s="1" t="s">
        <v>229</v>
      </c>
      <c r="FL1880" s="1" t="s">
        <v>10914</v>
      </c>
      <c r="FM1880" s="1">
        <v>143.0</v>
      </c>
      <c r="FN1880" s="1" t="s">
        <v>10915</v>
      </c>
      <c r="FO1880" s="1" t="s">
        <v>18178</v>
      </c>
      <c r="FP1880" s="1">
        <v>78168.0</v>
      </c>
      <c r="FQ1880" s="1" t="s">
        <v>18179</v>
      </c>
      <c r="FS1880" s="1" t="s">
        <v>18180</v>
      </c>
      <c r="FU1880" s="1" t="s">
        <v>3993</v>
      </c>
      <c r="FV1880" s="1" t="s">
        <v>200</v>
      </c>
      <c r="FW1880" s="1" t="s">
        <v>18181</v>
      </c>
      <c r="FX1880" s="1" t="s">
        <v>655</v>
      </c>
      <c r="FZ1880" s="1" t="s">
        <v>229</v>
      </c>
      <c r="GA1880" s="1" t="s">
        <v>291</v>
      </c>
      <c r="GB1880" s="2">
        <v>42007.0</v>
      </c>
      <c r="GC1880" s="1" t="s">
        <v>18182</v>
      </c>
    </row>
    <row r="1881">
      <c r="A1881" s="1">
        <v>312500.0</v>
      </c>
      <c r="B1881" s="1" t="s">
        <v>185</v>
      </c>
      <c r="C1881" s="1" t="str">
        <f>"08720489"</f>
        <v>08720489</v>
      </c>
      <c r="D1881" s="1" t="s">
        <v>186</v>
      </c>
      <c r="F1881" s="1" t="str">
        <f>"543"</f>
        <v>543</v>
      </c>
      <c r="G1881" s="2">
        <v>41887.0</v>
      </c>
      <c r="H1881" s="1">
        <v>385000.0</v>
      </c>
      <c r="I1881" s="1">
        <v>269.0</v>
      </c>
      <c r="J1881" s="1">
        <v>319500.0</v>
      </c>
      <c r="K1881" s="2">
        <v>42021.0</v>
      </c>
      <c r="L1881" s="1">
        <v>135.0</v>
      </c>
      <c r="M1881" s="2">
        <v>42021.0</v>
      </c>
      <c r="N1881" s="1" t="s">
        <v>356</v>
      </c>
      <c r="O1881" s="2">
        <v>42062.0</v>
      </c>
      <c r="P1881" s="1">
        <v>235446.0</v>
      </c>
      <c r="Q1881" s="1">
        <v>22029.0</v>
      </c>
      <c r="S1881" s="1">
        <v>4710.0</v>
      </c>
      <c r="T1881" s="1" t="s">
        <v>18183</v>
      </c>
      <c r="U1881" s="1" t="s">
        <v>189</v>
      </c>
      <c r="V1881" s="1" t="s">
        <v>1527</v>
      </c>
      <c r="W1881" s="1">
        <v>60543.0</v>
      </c>
      <c r="Y1881" s="1" t="s">
        <v>18184</v>
      </c>
      <c r="Z1881" s="1">
        <v>2013.0</v>
      </c>
      <c r="AA1881" s="1" t="s">
        <v>200</v>
      </c>
      <c r="AB1881" s="1" t="s">
        <v>193</v>
      </c>
      <c r="AC1881" s="1" t="s">
        <v>8934</v>
      </c>
      <c r="AD1881" s="1" t="s">
        <v>1529</v>
      </c>
      <c r="AE1881" s="1" t="s">
        <v>849</v>
      </c>
      <c r="AF1881" s="1" t="s">
        <v>1529</v>
      </c>
      <c r="AG1881" s="1" t="s">
        <v>10309</v>
      </c>
      <c r="AH1881" s="1" t="s">
        <v>10310</v>
      </c>
      <c r="AK1881" s="1">
        <v>11.0</v>
      </c>
      <c r="AL1881" s="1">
        <v>4.0</v>
      </c>
      <c r="AM1881" s="1">
        <v>2.0</v>
      </c>
      <c r="AN1881" s="1">
        <v>1.0</v>
      </c>
      <c r="AO1881" s="1" t="s">
        <v>198</v>
      </c>
      <c r="AP1881" s="1">
        <v>1.0</v>
      </c>
      <c r="AQ1881" s="1" t="s">
        <v>257</v>
      </c>
      <c r="AR1881" s="1" t="s">
        <v>200</v>
      </c>
      <c r="AS1881" s="1" t="s">
        <v>199</v>
      </c>
      <c r="AT1881" s="1">
        <v>3.0</v>
      </c>
      <c r="AV1881" s="1" t="s">
        <v>200</v>
      </c>
      <c r="AW1881" s="1" t="s">
        <v>575</v>
      </c>
      <c r="AX1881" s="1">
        <v>2012.0</v>
      </c>
      <c r="AZ1881" s="1" t="s">
        <v>200</v>
      </c>
      <c r="BA1881" s="1" t="str">
        <f>"0339400001"</f>
        <v>0339400001</v>
      </c>
      <c r="BC1881" s="1">
        <v>3238.0</v>
      </c>
      <c r="BD1881" s="1">
        <v>312500.0</v>
      </c>
      <c r="BE1881" s="2">
        <v>41887.0</v>
      </c>
      <c r="BF1881" s="2" t="s">
        <v>18185</v>
      </c>
      <c r="BG1881" s="1" t="s">
        <v>8939</v>
      </c>
      <c r="BH1881" s="1">
        <v>66.0</v>
      </c>
      <c r="BI1881" s="1" t="s">
        <v>1533</v>
      </c>
      <c r="BJ1881" s="1" t="s">
        <v>1349</v>
      </c>
      <c r="BK1881" s="1" t="s">
        <v>474</v>
      </c>
      <c r="BL1881" s="1" t="str">
        <f t="shared" ref="BL1881:BM1881" si="1239">"0"</f>
        <v>0</v>
      </c>
      <c r="BM1881" s="1" t="str">
        <f t="shared" si="1239"/>
        <v>0</v>
      </c>
      <c r="BN1881" s="1">
        <v>36.0</v>
      </c>
      <c r="BO1881" s="1">
        <v>12.0</v>
      </c>
      <c r="BQ1881" s="1">
        <v>308.0</v>
      </c>
      <c r="BR1881" s="1">
        <v>308.0</v>
      </c>
      <c r="BS1881" s="1">
        <v>308.0</v>
      </c>
      <c r="BU1881" s="1" t="s">
        <v>331</v>
      </c>
      <c r="BV1881" s="1" t="s">
        <v>206</v>
      </c>
      <c r="BW1881" s="1" t="s">
        <v>207</v>
      </c>
      <c r="BY1881" s="1" t="s">
        <v>2120</v>
      </c>
      <c r="BZ1881" s="1" t="s">
        <v>209</v>
      </c>
      <c r="CA1881" s="1" t="s">
        <v>210</v>
      </c>
      <c r="CC1881" s="1" t="s">
        <v>331</v>
      </c>
      <c r="CD1881" s="1" t="s">
        <v>206</v>
      </c>
      <c r="CE1881" s="1" t="s">
        <v>207</v>
      </c>
      <c r="CG1881" s="1" t="s">
        <v>1395</v>
      </c>
      <c r="CH1881" s="1" t="s">
        <v>209</v>
      </c>
      <c r="CI1881" s="1" t="s">
        <v>210</v>
      </c>
      <c r="CK1881" s="1" t="s">
        <v>363</v>
      </c>
      <c r="CL1881" s="1" t="s">
        <v>209</v>
      </c>
      <c r="CM1881" s="1" t="s">
        <v>210</v>
      </c>
      <c r="CO1881" s="1" t="s">
        <v>433</v>
      </c>
      <c r="CP1881" s="1" t="s">
        <v>209</v>
      </c>
      <c r="CQ1881" s="1" t="s">
        <v>210</v>
      </c>
      <c r="CS1881" s="1" t="s">
        <v>1183</v>
      </c>
      <c r="CT1881" s="1" t="s">
        <v>206</v>
      </c>
      <c r="CU1881" s="1" t="s">
        <v>207</v>
      </c>
      <c r="CW1881" s="1" t="s">
        <v>2120</v>
      </c>
      <c r="CX1881" s="1" t="s">
        <v>206</v>
      </c>
      <c r="CY1881" s="1" t="s">
        <v>207</v>
      </c>
      <c r="DA1881" s="1" t="s">
        <v>200</v>
      </c>
      <c r="DC1881" s="1" t="s">
        <v>1046</v>
      </c>
      <c r="DD1881" s="1" t="s">
        <v>396</v>
      </c>
      <c r="DE1881" s="1" t="s">
        <v>273</v>
      </c>
      <c r="DF1881" s="1" t="s">
        <v>219</v>
      </c>
      <c r="DG1881" s="1" t="s">
        <v>3634</v>
      </c>
      <c r="DH1881" s="1" t="s">
        <v>220</v>
      </c>
      <c r="DI1881" s="1" t="s">
        <v>1021</v>
      </c>
      <c r="DJ1881" s="1" t="s">
        <v>1048</v>
      </c>
      <c r="DL1881" s="1" t="s">
        <v>223</v>
      </c>
      <c r="DM1881" s="1" t="s">
        <v>229</v>
      </c>
      <c r="DN1881" s="1" t="s">
        <v>485</v>
      </c>
      <c r="DO1881" s="1" t="s">
        <v>6032</v>
      </c>
      <c r="DP1881" s="1" t="s">
        <v>340</v>
      </c>
      <c r="DQ1881" s="1" t="s">
        <v>228</v>
      </c>
      <c r="DR1881" s="1" t="s">
        <v>1980</v>
      </c>
      <c r="DS1881" s="1" t="s">
        <v>230</v>
      </c>
      <c r="DU1881" s="1" t="s">
        <v>1355</v>
      </c>
      <c r="DV1881" s="1" t="s">
        <v>3022</v>
      </c>
      <c r="DW1881" s="1" t="s">
        <v>233</v>
      </c>
      <c r="DX1881" s="1" t="s">
        <v>234</v>
      </c>
      <c r="DY1881" s="1" t="s">
        <v>596</v>
      </c>
      <c r="EA1881" s="1" t="s">
        <v>344</v>
      </c>
      <c r="EB1881" s="1" t="s">
        <v>937</v>
      </c>
      <c r="EC1881" s="1" t="s">
        <v>237</v>
      </c>
      <c r="EG1881" s="1" t="s">
        <v>557</v>
      </c>
      <c r="EH1881" s="1" t="s">
        <v>556</v>
      </c>
      <c r="EI1881" s="1" t="s">
        <v>494</v>
      </c>
      <c r="EL1881" s="1" t="s">
        <v>878</v>
      </c>
      <c r="EM1881" s="1" t="s">
        <v>209</v>
      </c>
      <c r="EN1881" s="1" t="s">
        <v>210</v>
      </c>
      <c r="EP1881" s="1" t="s">
        <v>1316</v>
      </c>
      <c r="EQ1881" s="1" t="s">
        <v>206</v>
      </c>
      <c r="ER1881" s="1" t="s">
        <v>207</v>
      </c>
      <c r="ET1881" s="1" t="s">
        <v>2459</v>
      </c>
      <c r="EU1881" s="1" t="s">
        <v>206</v>
      </c>
      <c r="EV1881" s="1" t="s">
        <v>207</v>
      </c>
      <c r="EY1881" s="1" t="s">
        <v>238</v>
      </c>
      <c r="FC1881" s="1" t="s">
        <v>238</v>
      </c>
      <c r="FF1881" s="1" t="s">
        <v>239</v>
      </c>
      <c r="FG1881" s="1" t="s">
        <v>192</v>
      </c>
      <c r="FH1881" s="1" t="s">
        <v>192</v>
      </c>
      <c r="FJ1881" s="1" t="s">
        <v>18186</v>
      </c>
      <c r="FK1881" s="1" t="s">
        <v>557</v>
      </c>
      <c r="FL1881" s="1" t="s">
        <v>1358</v>
      </c>
      <c r="FM1881" s="1">
        <v>23076.0</v>
      </c>
      <c r="FN1881" s="1" t="s">
        <v>1359</v>
      </c>
      <c r="FO1881" s="1" t="s">
        <v>18187</v>
      </c>
      <c r="FP1881" s="1">
        <v>215489.0</v>
      </c>
      <c r="FQ1881" s="1" t="s">
        <v>18188</v>
      </c>
      <c r="FS1881" s="1" t="s">
        <v>18189</v>
      </c>
      <c r="FT1881" s="1" t="s">
        <v>18190</v>
      </c>
      <c r="FU1881" s="1" t="s">
        <v>18191</v>
      </c>
      <c r="FV1881" s="1" t="s">
        <v>200</v>
      </c>
      <c r="FW1881" s="1" t="s">
        <v>18192</v>
      </c>
      <c r="FZ1881" s="1" t="s">
        <v>229</v>
      </c>
      <c r="GA1881" s="1" t="s">
        <v>247</v>
      </c>
      <c r="GB1881" s="2">
        <v>42063.0</v>
      </c>
      <c r="GC1881" s="1" t="s">
        <v>18193</v>
      </c>
    </row>
    <row r="1882">
      <c r="A1882" s="1">
        <v>208000.0</v>
      </c>
      <c r="B1882" s="1" t="s">
        <v>185</v>
      </c>
      <c r="C1882" s="1" t="str">
        <f>"08719542"</f>
        <v>08719542</v>
      </c>
      <c r="D1882" s="1" t="s">
        <v>186</v>
      </c>
      <c r="F1882" s="1" t="str">
        <f>"538"</f>
        <v>538</v>
      </c>
      <c r="G1882" s="2">
        <v>41886.0</v>
      </c>
      <c r="H1882" s="1">
        <v>229900.0</v>
      </c>
      <c r="I1882" s="1">
        <v>58.0</v>
      </c>
      <c r="J1882" s="1">
        <v>210000.0</v>
      </c>
      <c r="K1882" s="2">
        <v>41943.0</v>
      </c>
      <c r="L1882" s="1">
        <v>58.0</v>
      </c>
      <c r="M1882" s="2">
        <v>41943.0</v>
      </c>
      <c r="N1882" s="1" t="s">
        <v>356</v>
      </c>
      <c r="O1882" s="2">
        <v>41990.0</v>
      </c>
      <c r="P1882" s="1">
        <v>313607.0</v>
      </c>
      <c r="Q1882" s="1">
        <v>31360.0</v>
      </c>
      <c r="R1882" s="1">
        <v>8200.0</v>
      </c>
      <c r="S1882" s="1">
        <v>1721.0</v>
      </c>
      <c r="T1882" s="1" t="s">
        <v>18194</v>
      </c>
      <c r="U1882" s="1" t="s">
        <v>420</v>
      </c>
      <c r="V1882" s="1" t="s">
        <v>1340</v>
      </c>
      <c r="W1882" s="1">
        <v>60538.0</v>
      </c>
      <c r="Y1882" s="1" t="s">
        <v>18195</v>
      </c>
      <c r="Z1882" s="1">
        <v>2005.0</v>
      </c>
      <c r="AA1882" s="1" t="s">
        <v>200</v>
      </c>
      <c r="AB1882" s="1" t="s">
        <v>193</v>
      </c>
      <c r="AC1882" s="1" t="s">
        <v>18196</v>
      </c>
      <c r="AD1882" s="1" t="s">
        <v>1343</v>
      </c>
      <c r="AE1882" s="1" t="s">
        <v>325</v>
      </c>
      <c r="AF1882" s="1" t="s">
        <v>1887</v>
      </c>
      <c r="AG1882" s="1">
        <v>2600.0</v>
      </c>
      <c r="AH1882" s="1">
        <v>7737.0</v>
      </c>
      <c r="AI1882" s="1">
        <v>0.0</v>
      </c>
      <c r="AK1882" s="1">
        <v>9.0</v>
      </c>
      <c r="AL1882" s="1">
        <v>4.0</v>
      </c>
      <c r="AM1882" s="1">
        <v>2.0</v>
      </c>
      <c r="AN1882" s="1">
        <v>1.0</v>
      </c>
      <c r="AO1882" s="1" t="s">
        <v>198</v>
      </c>
      <c r="AQ1882" s="1" t="s">
        <v>472</v>
      </c>
      <c r="AR1882" s="1" t="s">
        <v>200</v>
      </c>
      <c r="AS1882" s="1" t="s">
        <v>199</v>
      </c>
      <c r="AT1882" s="1">
        <v>2.0</v>
      </c>
      <c r="AV1882" s="1" t="s">
        <v>200</v>
      </c>
      <c r="AW1882" s="1">
        <v>5626.0</v>
      </c>
      <c r="AX1882" s="1">
        <v>2012.0</v>
      </c>
      <c r="AZ1882" s="1" t="s">
        <v>200</v>
      </c>
      <c r="BA1882" s="1" t="str">
        <f>"1434428011"</f>
        <v>1434428011</v>
      </c>
      <c r="BC1882" s="1">
        <v>2600.0</v>
      </c>
      <c r="BD1882" s="1">
        <v>208000.0</v>
      </c>
      <c r="BE1882" s="2">
        <v>41886.0</v>
      </c>
      <c r="BF1882" s="1" t="s">
        <v>18197</v>
      </c>
      <c r="BH1882" s="1">
        <v>0.0</v>
      </c>
      <c r="BK1882" s="1" t="s">
        <v>204</v>
      </c>
      <c r="BL1882" s="1" t="str">
        <f t="shared" ref="BL1882:BM1882" si="1240">"0"</f>
        <v>0</v>
      </c>
      <c r="BM1882" s="1" t="str">
        <f t="shared" si="1240"/>
        <v>0</v>
      </c>
      <c r="BN1882" s="1">
        <v>39.0</v>
      </c>
      <c r="BO1882" s="1">
        <v>10.0</v>
      </c>
      <c r="BQ1882" s="1">
        <v>115.0</v>
      </c>
      <c r="BR1882" s="1">
        <v>115.0</v>
      </c>
      <c r="BS1882" s="1">
        <v>115.0</v>
      </c>
      <c r="BU1882" s="1" t="s">
        <v>2749</v>
      </c>
      <c r="BV1882" s="1" t="s">
        <v>206</v>
      </c>
      <c r="BW1882" s="1" t="s">
        <v>210</v>
      </c>
      <c r="BY1882" s="1" t="s">
        <v>1825</v>
      </c>
      <c r="BZ1882" s="1" t="s">
        <v>209</v>
      </c>
      <c r="CA1882" s="1" t="s">
        <v>210</v>
      </c>
      <c r="CC1882" s="1" t="s">
        <v>542</v>
      </c>
      <c r="CD1882" s="1" t="s">
        <v>206</v>
      </c>
      <c r="CE1882" s="1" t="s">
        <v>210</v>
      </c>
      <c r="CG1882" s="1" t="s">
        <v>264</v>
      </c>
      <c r="CH1882" s="1" t="s">
        <v>209</v>
      </c>
      <c r="CI1882" s="1" t="s">
        <v>210</v>
      </c>
      <c r="CK1882" s="1" t="s">
        <v>454</v>
      </c>
      <c r="CL1882" s="1" t="s">
        <v>209</v>
      </c>
      <c r="CM1882" s="1" t="s">
        <v>210</v>
      </c>
      <c r="CO1882" s="1" t="s">
        <v>213</v>
      </c>
      <c r="CP1882" s="1" t="s">
        <v>209</v>
      </c>
      <c r="CS1882" s="1" t="s">
        <v>647</v>
      </c>
      <c r="CT1882" s="1" t="s">
        <v>206</v>
      </c>
      <c r="CU1882" s="1" t="s">
        <v>617</v>
      </c>
      <c r="CW1882" s="1" t="s">
        <v>480</v>
      </c>
      <c r="CX1882" s="1" t="s">
        <v>206</v>
      </c>
      <c r="CY1882" s="1" t="s">
        <v>210</v>
      </c>
      <c r="DA1882" s="1" t="s">
        <v>200</v>
      </c>
      <c r="DC1882" s="1" t="s">
        <v>481</v>
      </c>
      <c r="DD1882" s="1" t="s">
        <v>396</v>
      </c>
      <c r="DE1882" s="1" t="s">
        <v>229</v>
      </c>
      <c r="DF1882" s="1" t="s">
        <v>619</v>
      </c>
      <c r="DH1882" s="1" t="s">
        <v>220</v>
      </c>
      <c r="DJ1882" s="1" t="s">
        <v>222</v>
      </c>
      <c r="DL1882" s="1" t="s">
        <v>223</v>
      </c>
      <c r="DM1882" s="1" t="s">
        <v>229</v>
      </c>
      <c r="DQ1882" s="1" t="s">
        <v>228</v>
      </c>
      <c r="DR1882" s="1" t="s">
        <v>229</v>
      </c>
      <c r="DV1882" s="1" t="s">
        <v>449</v>
      </c>
      <c r="DW1882" s="1" t="s">
        <v>2602</v>
      </c>
      <c r="DX1882" s="1" t="s">
        <v>234</v>
      </c>
      <c r="DY1882" s="1" t="s">
        <v>1006</v>
      </c>
      <c r="DZ1882" s="1" t="s">
        <v>310</v>
      </c>
      <c r="EA1882" s="1" t="s">
        <v>344</v>
      </c>
      <c r="EC1882" s="1" t="s">
        <v>237</v>
      </c>
      <c r="EG1882" s="1" t="s">
        <v>449</v>
      </c>
      <c r="EL1882" s="1" t="s">
        <v>543</v>
      </c>
      <c r="EM1882" s="1" t="s">
        <v>206</v>
      </c>
      <c r="EN1882" s="1" t="s">
        <v>617</v>
      </c>
      <c r="EQ1882" s="1" t="s">
        <v>238</v>
      </c>
      <c r="EU1882" s="1" t="s">
        <v>238</v>
      </c>
      <c r="EY1882" s="1" t="s">
        <v>238</v>
      </c>
      <c r="FC1882" s="1" t="s">
        <v>238</v>
      </c>
      <c r="FF1882" s="1" t="s">
        <v>239</v>
      </c>
      <c r="FG1882" s="1" t="s">
        <v>192</v>
      </c>
      <c r="FH1882" s="1" t="s">
        <v>192</v>
      </c>
      <c r="FJ1882" s="1" t="s">
        <v>1248</v>
      </c>
      <c r="FK1882" s="1" t="s">
        <v>229</v>
      </c>
      <c r="FL1882" s="1" t="s">
        <v>1007</v>
      </c>
      <c r="FM1882" s="1">
        <v>23286.0</v>
      </c>
      <c r="FN1882" s="1" t="s">
        <v>4221</v>
      </c>
      <c r="FO1882" s="1" t="s">
        <v>9318</v>
      </c>
      <c r="FP1882" s="1">
        <v>223647.0</v>
      </c>
      <c r="FQ1882" s="1" t="s">
        <v>9319</v>
      </c>
      <c r="FR1882" s="1">
        <v>230243.0</v>
      </c>
      <c r="FU1882" s="1" t="s">
        <v>3993</v>
      </c>
      <c r="FV1882" s="1" t="s">
        <v>200</v>
      </c>
      <c r="FW1882" s="1" t="s">
        <v>354</v>
      </c>
      <c r="FZ1882" s="1" t="s">
        <v>229</v>
      </c>
      <c r="GA1882" s="1" t="s">
        <v>291</v>
      </c>
      <c r="GB1882" s="2">
        <v>41991.0</v>
      </c>
      <c r="GC1882" s="1" t="s">
        <v>18198</v>
      </c>
    </row>
    <row r="1883">
      <c r="A1883" s="1">
        <v>205000.0</v>
      </c>
      <c r="B1883" s="1" t="s">
        <v>185</v>
      </c>
      <c r="C1883" s="1" t="str">
        <f>"08722003"</f>
        <v>08722003</v>
      </c>
      <c r="D1883" s="1" t="s">
        <v>186</v>
      </c>
      <c r="F1883" s="1" t="str">
        <f>"8015"</f>
        <v>8015</v>
      </c>
      <c r="G1883" s="2">
        <v>41890.0</v>
      </c>
      <c r="H1883" s="1">
        <v>225333.0</v>
      </c>
      <c r="I1883" s="1">
        <v>40.0</v>
      </c>
      <c r="J1883" s="1">
        <v>209333.0</v>
      </c>
      <c r="K1883" s="2">
        <v>41929.0</v>
      </c>
      <c r="L1883" s="1">
        <v>40.0</v>
      </c>
      <c r="M1883" s="2">
        <v>41929.0</v>
      </c>
      <c r="N1883" s="1" t="s">
        <v>187</v>
      </c>
      <c r="O1883" s="2">
        <v>41969.0</v>
      </c>
      <c r="P1883" s="1">
        <v>124085.0</v>
      </c>
      <c r="Q1883" s="1">
        <v>12480.0</v>
      </c>
      <c r="S1883" s="1">
        <v>5758.0</v>
      </c>
      <c r="T1883" s="1" t="s">
        <v>13960</v>
      </c>
      <c r="U1883" s="1" t="s">
        <v>189</v>
      </c>
      <c r="V1883" s="1" t="s">
        <v>190</v>
      </c>
      <c r="W1883" s="1">
        <v>60630.0</v>
      </c>
      <c r="Y1883" s="1" t="s">
        <v>18199</v>
      </c>
      <c r="Z1883" s="1">
        <v>1951.0</v>
      </c>
      <c r="AA1883" s="1" t="s">
        <v>192</v>
      </c>
      <c r="AB1883" s="1" t="s">
        <v>193</v>
      </c>
      <c r="AD1883" s="1" t="s">
        <v>194</v>
      </c>
      <c r="AE1883" s="1" t="s">
        <v>195</v>
      </c>
      <c r="AF1883" s="1" t="s">
        <v>196</v>
      </c>
      <c r="AH1883" s="1" t="s">
        <v>18200</v>
      </c>
      <c r="AI1883" s="1">
        <v>0.0861</v>
      </c>
      <c r="AK1883" s="1">
        <v>7.0</v>
      </c>
      <c r="AL1883" s="1">
        <v>4.0</v>
      </c>
      <c r="AM1883" s="1">
        <v>2.0</v>
      </c>
      <c r="AN1883" s="1">
        <v>0.0</v>
      </c>
      <c r="AO1883" s="1" t="s">
        <v>229</v>
      </c>
      <c r="AP1883" s="1">
        <v>0.0</v>
      </c>
      <c r="AQ1883" s="1" t="s">
        <v>198</v>
      </c>
      <c r="AR1883" s="1" t="s">
        <v>192</v>
      </c>
      <c r="AS1883" s="1" t="s">
        <v>199</v>
      </c>
      <c r="AT1883" s="1">
        <v>2.0</v>
      </c>
      <c r="AV1883" s="1" t="s">
        <v>200</v>
      </c>
      <c r="AW1883" s="1">
        <v>3959.15</v>
      </c>
      <c r="AX1883" s="1">
        <v>2012.0</v>
      </c>
      <c r="AZ1883" s="1" t="s">
        <v>545</v>
      </c>
      <c r="BA1883" s="1" t="str">
        <f>"13172070440000"</f>
        <v>13172070440000</v>
      </c>
      <c r="BC1883" s="1">
        <v>1021.0</v>
      </c>
      <c r="BD1883" s="1">
        <v>205000.0</v>
      </c>
      <c r="BE1883" s="2">
        <v>41890.0</v>
      </c>
      <c r="BF1883" s="2" t="s">
        <v>18201</v>
      </c>
      <c r="BG1883" s="1" t="s">
        <v>2531</v>
      </c>
      <c r="BH1883" s="1">
        <v>0.0</v>
      </c>
      <c r="BJ1883" s="1" t="s">
        <v>1222</v>
      </c>
      <c r="BK1883" s="1" t="s">
        <v>204</v>
      </c>
      <c r="BL1883" s="1" t="str">
        <f>"4700"</f>
        <v>4700</v>
      </c>
      <c r="BM1883" s="1" t="str">
        <f t="shared" ref="BM1883:BM1884" si="1241">"0"</f>
        <v>0</v>
      </c>
      <c r="BN1883" s="1">
        <v>5700.0</v>
      </c>
      <c r="BO1883" s="1">
        <v>0.0</v>
      </c>
      <c r="BQ1883" s="1">
        <v>299.0</v>
      </c>
      <c r="BR1883" s="1">
        <v>299.0</v>
      </c>
      <c r="BS1883" s="1">
        <v>299.0</v>
      </c>
      <c r="BU1883" s="1" t="s">
        <v>2082</v>
      </c>
      <c r="BV1883" s="1" t="s">
        <v>206</v>
      </c>
      <c r="BW1883" s="1" t="s">
        <v>207</v>
      </c>
      <c r="BY1883" s="1" t="s">
        <v>1417</v>
      </c>
      <c r="BZ1883" s="1" t="s">
        <v>206</v>
      </c>
      <c r="CA1883" s="1" t="s">
        <v>207</v>
      </c>
      <c r="CC1883" s="1" t="s">
        <v>263</v>
      </c>
      <c r="CD1883" s="1" t="s">
        <v>206</v>
      </c>
      <c r="CG1883" s="1" t="s">
        <v>303</v>
      </c>
      <c r="CH1883" s="1" t="s">
        <v>206</v>
      </c>
      <c r="CK1883" s="1" t="s">
        <v>303</v>
      </c>
      <c r="CL1883" s="1" t="s">
        <v>206</v>
      </c>
      <c r="CM1883" s="1" t="s">
        <v>207</v>
      </c>
      <c r="CO1883" s="1" t="s">
        <v>815</v>
      </c>
      <c r="CP1883" s="1" t="s">
        <v>206</v>
      </c>
      <c r="CQ1883" s="1" t="s">
        <v>617</v>
      </c>
      <c r="CS1883" s="1" t="s">
        <v>1329</v>
      </c>
      <c r="CT1883" s="1" t="s">
        <v>206</v>
      </c>
      <c r="CX1883" s="1" t="s">
        <v>204</v>
      </c>
      <c r="DA1883" s="1" t="s">
        <v>200</v>
      </c>
      <c r="DC1883" s="1" t="s">
        <v>702</v>
      </c>
      <c r="DE1883" s="1" t="s">
        <v>273</v>
      </c>
      <c r="DF1883" s="1" t="s">
        <v>619</v>
      </c>
      <c r="DG1883" s="1" t="s">
        <v>337</v>
      </c>
      <c r="DH1883" s="1" t="s">
        <v>220</v>
      </c>
      <c r="DJ1883" s="1" t="s">
        <v>222</v>
      </c>
      <c r="DK1883" s="1" t="s">
        <v>223</v>
      </c>
      <c r="DL1883" s="1" t="s">
        <v>7723</v>
      </c>
      <c r="DM1883" s="1" t="s">
        <v>1658</v>
      </c>
      <c r="DO1883" s="1" t="s">
        <v>18202</v>
      </c>
      <c r="DQ1883" s="1" t="s">
        <v>228</v>
      </c>
      <c r="DR1883" s="1" t="s">
        <v>229</v>
      </c>
      <c r="DS1883" s="1" t="s">
        <v>277</v>
      </c>
      <c r="DV1883" s="1" t="s">
        <v>232</v>
      </c>
      <c r="DW1883" s="1" t="s">
        <v>2167</v>
      </c>
      <c r="DX1883" s="1" t="s">
        <v>234</v>
      </c>
      <c r="DY1883" s="1" t="s">
        <v>553</v>
      </c>
      <c r="DZ1883" s="1" t="s">
        <v>766</v>
      </c>
      <c r="EA1883" s="1" t="s">
        <v>644</v>
      </c>
      <c r="EC1883" s="1" t="s">
        <v>685</v>
      </c>
      <c r="EM1883" s="1" t="s">
        <v>238</v>
      </c>
      <c r="EQ1883" s="1" t="s">
        <v>238</v>
      </c>
      <c r="EU1883" s="1" t="s">
        <v>238</v>
      </c>
      <c r="EY1883" s="1" t="s">
        <v>238</v>
      </c>
      <c r="FC1883" s="1" t="s">
        <v>238</v>
      </c>
      <c r="FF1883" s="1" t="s">
        <v>239</v>
      </c>
      <c r="FG1883" s="1" t="s">
        <v>192</v>
      </c>
      <c r="FH1883" s="1" t="s">
        <v>192</v>
      </c>
      <c r="FJ1883" s="1" t="s">
        <v>18203</v>
      </c>
      <c r="FK1883" s="1" t="s">
        <v>229</v>
      </c>
      <c r="FL1883" s="1" t="s">
        <v>1124</v>
      </c>
      <c r="FM1883" s="1">
        <v>2626.0</v>
      </c>
      <c r="FN1883" s="1" t="s">
        <v>18204</v>
      </c>
      <c r="FO1883" s="1" t="s">
        <v>18205</v>
      </c>
      <c r="FP1883" s="1">
        <v>923158.0</v>
      </c>
      <c r="FQ1883" s="1" t="s">
        <v>18206</v>
      </c>
      <c r="FU1883" s="1" t="s">
        <v>18207</v>
      </c>
      <c r="FV1883" s="1" t="s">
        <v>200</v>
      </c>
      <c r="FW1883" s="1" t="s">
        <v>631</v>
      </c>
      <c r="FX1883" s="1" t="s">
        <v>246</v>
      </c>
      <c r="FZ1883" s="1" t="s">
        <v>229</v>
      </c>
      <c r="GA1883" s="1" t="s">
        <v>291</v>
      </c>
      <c r="GB1883" s="2">
        <v>41974.0</v>
      </c>
      <c r="GC1883" s="1" t="s">
        <v>18208</v>
      </c>
    </row>
    <row r="1884">
      <c r="A1884" s="1">
        <v>600000.0</v>
      </c>
      <c r="B1884" s="1" t="s">
        <v>185</v>
      </c>
      <c r="C1884" s="1" t="str">
        <f>"08723993"</f>
        <v>08723993</v>
      </c>
      <c r="D1884" s="1" t="s">
        <v>186</v>
      </c>
      <c r="F1884" s="1" t="str">
        <f>"8024"</f>
        <v>8024</v>
      </c>
      <c r="G1884" s="2">
        <v>41891.0</v>
      </c>
      <c r="H1884" s="1">
        <v>540000.0</v>
      </c>
      <c r="I1884" s="1">
        <v>11.0</v>
      </c>
      <c r="J1884" s="1">
        <v>540000.0</v>
      </c>
      <c r="K1884" s="2">
        <v>41901.0</v>
      </c>
      <c r="L1884" s="1">
        <v>11.0</v>
      </c>
      <c r="M1884" s="2">
        <v>41901.0</v>
      </c>
      <c r="N1884" s="1" t="s">
        <v>249</v>
      </c>
      <c r="O1884" s="2">
        <v>41991.0</v>
      </c>
      <c r="P1884" s="1">
        <v>875971.0</v>
      </c>
      <c r="Q1884" s="1">
        <v>84070.0</v>
      </c>
      <c r="R1884" s="1">
        <v>16500.0</v>
      </c>
      <c r="S1884" s="1">
        <v>2556.0</v>
      </c>
      <c r="T1884" s="1" t="s">
        <v>12439</v>
      </c>
      <c r="U1884" s="1" t="s">
        <v>320</v>
      </c>
      <c r="V1884" s="1" t="s">
        <v>190</v>
      </c>
      <c r="W1884" s="1">
        <v>60612.0</v>
      </c>
      <c r="Y1884" s="1" t="s">
        <v>18209</v>
      </c>
      <c r="Z1884" s="1">
        <v>1996.0</v>
      </c>
      <c r="AA1884" s="1" t="s">
        <v>200</v>
      </c>
      <c r="AB1884" s="1" t="s">
        <v>193</v>
      </c>
      <c r="AD1884" s="1" t="s">
        <v>194</v>
      </c>
      <c r="AE1884" s="1" t="s">
        <v>195</v>
      </c>
      <c r="AF1884" s="1" t="s">
        <v>827</v>
      </c>
      <c r="AH1884" s="1" t="s">
        <v>359</v>
      </c>
      <c r="AI1884" s="1">
        <v>0.0706</v>
      </c>
      <c r="AK1884" s="1">
        <v>8.0</v>
      </c>
      <c r="AL1884" s="1">
        <v>4.0</v>
      </c>
      <c r="AM1884" s="1">
        <v>3.0</v>
      </c>
      <c r="AN1884" s="1">
        <v>2.0</v>
      </c>
      <c r="AO1884" s="1" t="s">
        <v>198</v>
      </c>
      <c r="AQ1884" s="1" t="s">
        <v>198</v>
      </c>
      <c r="AR1884" s="1" t="s">
        <v>192</v>
      </c>
      <c r="AS1884" s="1" t="s">
        <v>199</v>
      </c>
      <c r="AT1884" s="1">
        <v>2.0</v>
      </c>
      <c r="AV1884" s="1" t="s">
        <v>200</v>
      </c>
      <c r="AW1884" s="1">
        <v>15083.21</v>
      </c>
      <c r="AX1884" s="1">
        <v>2013.0</v>
      </c>
      <c r="AZ1884" s="1" t="s">
        <v>200</v>
      </c>
      <c r="BA1884" s="1" t="str">
        <f>"16122060240000"</f>
        <v>16122060240000</v>
      </c>
      <c r="BC1884" s="1">
        <v>5000.0</v>
      </c>
      <c r="BD1884" s="1">
        <v>600000.0</v>
      </c>
      <c r="BE1884" s="2">
        <v>41891.0</v>
      </c>
      <c r="BF1884" s="1" t="s">
        <v>18210</v>
      </c>
      <c r="BH1884" s="1">
        <v>0.0</v>
      </c>
      <c r="BK1884" s="1" t="s">
        <v>204</v>
      </c>
      <c r="BL1884" s="1" t="str">
        <f>"700"</f>
        <v>700</v>
      </c>
      <c r="BM1884" s="1" t="str">
        <f t="shared" si="1241"/>
        <v>0</v>
      </c>
      <c r="BN1884" s="1">
        <v>2556.0</v>
      </c>
      <c r="BO1884" s="1">
        <v>0.0</v>
      </c>
      <c r="BQ1884" s="1">
        <v>299.0</v>
      </c>
      <c r="BR1884" s="1">
        <v>299.0</v>
      </c>
      <c r="BS1884" s="1">
        <v>299.0</v>
      </c>
      <c r="BU1884" s="1" t="s">
        <v>18211</v>
      </c>
      <c r="BV1884" s="1" t="s">
        <v>206</v>
      </c>
      <c r="BY1884" s="1" t="s">
        <v>784</v>
      </c>
      <c r="BZ1884" s="1" t="s">
        <v>209</v>
      </c>
      <c r="CC1884" s="1" t="s">
        <v>542</v>
      </c>
      <c r="CD1884" s="1" t="s">
        <v>206</v>
      </c>
      <c r="CG1884" s="1" t="s">
        <v>334</v>
      </c>
      <c r="CH1884" s="1" t="s">
        <v>209</v>
      </c>
      <c r="CK1884" s="1" t="s">
        <v>264</v>
      </c>
      <c r="CL1884" s="1" t="s">
        <v>209</v>
      </c>
      <c r="CO1884" s="1" t="s">
        <v>1483</v>
      </c>
      <c r="CP1884" s="1" t="s">
        <v>267</v>
      </c>
      <c r="CS1884" s="1" t="s">
        <v>434</v>
      </c>
      <c r="CT1884" s="1" t="s">
        <v>206</v>
      </c>
      <c r="CW1884" s="1" t="s">
        <v>3817</v>
      </c>
      <c r="CX1884" s="1" t="s">
        <v>267</v>
      </c>
      <c r="DA1884" s="1" t="s">
        <v>200</v>
      </c>
      <c r="DC1884" s="1" t="s">
        <v>678</v>
      </c>
      <c r="DE1884" s="1" t="s">
        <v>273</v>
      </c>
      <c r="DF1884" s="1" t="s">
        <v>619</v>
      </c>
      <c r="DH1884" s="1" t="s">
        <v>365</v>
      </c>
      <c r="DJ1884" s="1" t="s">
        <v>222</v>
      </c>
      <c r="DL1884" s="1" t="s">
        <v>858</v>
      </c>
      <c r="DM1884" s="1" t="s">
        <v>229</v>
      </c>
      <c r="DQ1884" s="1" t="s">
        <v>228</v>
      </c>
      <c r="DR1884" s="1" t="s">
        <v>229</v>
      </c>
      <c r="DV1884" s="1" t="s">
        <v>232</v>
      </c>
      <c r="DW1884" s="1" t="s">
        <v>279</v>
      </c>
      <c r="DX1884" s="1" t="s">
        <v>234</v>
      </c>
      <c r="EC1884" s="1" t="s">
        <v>237</v>
      </c>
      <c r="EM1884" s="1" t="s">
        <v>238</v>
      </c>
      <c r="EQ1884" s="1" t="s">
        <v>238</v>
      </c>
      <c r="EU1884" s="1" t="s">
        <v>238</v>
      </c>
      <c r="EY1884" s="1" t="s">
        <v>238</v>
      </c>
      <c r="FC1884" s="1" t="s">
        <v>238</v>
      </c>
      <c r="FF1884" s="1" t="s">
        <v>229</v>
      </c>
      <c r="FG1884" s="1" t="s">
        <v>200</v>
      </c>
      <c r="FH1884" s="1" t="s">
        <v>200</v>
      </c>
      <c r="FJ1884" s="1" t="s">
        <v>18212</v>
      </c>
      <c r="FK1884" s="1" t="s">
        <v>1586</v>
      </c>
      <c r="FL1884" s="1" t="s">
        <v>18213</v>
      </c>
      <c r="FM1884" s="1">
        <v>84070.0</v>
      </c>
      <c r="FN1884" s="1" t="s">
        <v>18214</v>
      </c>
      <c r="FO1884" s="1" t="s">
        <v>18215</v>
      </c>
      <c r="FP1884" s="1">
        <v>169547.0</v>
      </c>
      <c r="FQ1884" s="1" t="s">
        <v>18216</v>
      </c>
      <c r="FU1884" s="1" t="s">
        <v>18217</v>
      </c>
      <c r="FV1884" s="1" t="s">
        <v>200</v>
      </c>
      <c r="FW1884" s="1" t="s">
        <v>290</v>
      </c>
      <c r="FX1884" s="1" t="s">
        <v>246</v>
      </c>
      <c r="FZ1884" s="1" t="s">
        <v>229</v>
      </c>
      <c r="GA1884" s="1" t="s">
        <v>291</v>
      </c>
      <c r="GB1884" s="2">
        <v>42012.0</v>
      </c>
      <c r="GC1884" s="1" t="s">
        <v>3170</v>
      </c>
    </row>
    <row r="1885">
      <c r="A1885" s="1">
        <v>163319.0</v>
      </c>
      <c r="B1885" s="1" t="s">
        <v>185</v>
      </c>
      <c r="C1885" s="1" t="str">
        <f>"08720196"</f>
        <v>08720196</v>
      </c>
      <c r="D1885" s="1" t="s">
        <v>186</v>
      </c>
      <c r="F1885" s="1" t="str">
        <f>"543"</f>
        <v>543</v>
      </c>
      <c r="G1885" s="2">
        <v>41887.0</v>
      </c>
      <c r="H1885" s="1">
        <v>217300.0</v>
      </c>
      <c r="I1885" s="1">
        <v>146.0</v>
      </c>
      <c r="J1885" s="1">
        <v>156000.0</v>
      </c>
      <c r="K1885" s="2">
        <v>42032.0</v>
      </c>
      <c r="L1885" s="1">
        <v>146.0</v>
      </c>
      <c r="M1885" s="2">
        <v>42032.0</v>
      </c>
      <c r="N1885" s="1" t="s">
        <v>249</v>
      </c>
      <c r="O1885" s="2">
        <v>42072.0</v>
      </c>
      <c r="P1885" s="1">
        <v>237970.0</v>
      </c>
      <c r="Q1885" s="1">
        <v>22029.0</v>
      </c>
      <c r="S1885" s="1">
        <v>153.0</v>
      </c>
      <c r="T1885" s="1" t="s">
        <v>5459</v>
      </c>
      <c r="U1885" s="1" t="s">
        <v>569</v>
      </c>
      <c r="V1885" s="1" t="s">
        <v>1527</v>
      </c>
      <c r="W1885" s="1">
        <v>60543.0</v>
      </c>
      <c r="Y1885" s="1" t="s">
        <v>18218</v>
      </c>
      <c r="Z1885" s="1">
        <v>2006.0</v>
      </c>
      <c r="AA1885" s="1" t="s">
        <v>200</v>
      </c>
      <c r="AB1885" s="1" t="s">
        <v>193</v>
      </c>
      <c r="AC1885" s="1" t="s">
        <v>18219</v>
      </c>
      <c r="AD1885" s="1" t="s">
        <v>1529</v>
      </c>
      <c r="AE1885" s="1" t="s">
        <v>849</v>
      </c>
      <c r="AF1885" s="1" t="s">
        <v>1529</v>
      </c>
      <c r="AG1885" s="1" t="s">
        <v>18220</v>
      </c>
      <c r="AH1885" s="1">
        <v>9446.0</v>
      </c>
      <c r="AI1885" s="1">
        <v>0.2168</v>
      </c>
      <c r="AK1885" s="1">
        <v>8.0</v>
      </c>
      <c r="AL1885" s="1">
        <v>4.0</v>
      </c>
      <c r="AM1885" s="1">
        <v>2.0</v>
      </c>
      <c r="AN1885" s="1">
        <v>1.0</v>
      </c>
      <c r="AO1885" s="1" t="s">
        <v>198</v>
      </c>
      <c r="AP1885" s="1">
        <v>1.0</v>
      </c>
      <c r="AQ1885" s="1" t="s">
        <v>1314</v>
      </c>
      <c r="AR1885" s="1" t="s">
        <v>200</v>
      </c>
      <c r="AS1885" s="1" t="s">
        <v>199</v>
      </c>
      <c r="AT1885" s="1">
        <v>2.0</v>
      </c>
      <c r="AV1885" s="1" t="s">
        <v>200</v>
      </c>
      <c r="AW1885" s="1">
        <v>5893.32</v>
      </c>
      <c r="AX1885" s="1">
        <v>2012.0</v>
      </c>
      <c r="AZ1885" s="1" t="s">
        <v>200</v>
      </c>
      <c r="BA1885" s="1" t="str">
        <f>"0201359008"</f>
        <v>0201359008</v>
      </c>
      <c r="BB1885" s="1" t="s">
        <v>200</v>
      </c>
      <c r="BC1885" s="1">
        <v>2040.0</v>
      </c>
      <c r="BD1885" s="1">
        <v>163319.0</v>
      </c>
      <c r="BE1885" s="2">
        <v>41887.0</v>
      </c>
      <c r="BF1885" s="2" t="s">
        <v>3507</v>
      </c>
      <c r="BH1885" s="1">
        <v>0.0</v>
      </c>
      <c r="BK1885" s="1" t="s">
        <v>204</v>
      </c>
      <c r="BL1885" s="1" t="str">
        <f t="shared" ref="BL1885:BM1885" si="1242">"0"</f>
        <v>0</v>
      </c>
      <c r="BM1885" s="1" t="str">
        <f t="shared" si="1242"/>
        <v>0</v>
      </c>
      <c r="BN1885" s="1">
        <v>39.0</v>
      </c>
      <c r="BO1885" s="1">
        <v>10.0</v>
      </c>
      <c r="BQ1885" s="1">
        <v>308.0</v>
      </c>
      <c r="BR1885" s="1">
        <v>308.0</v>
      </c>
      <c r="BS1885" s="1">
        <v>308.0</v>
      </c>
      <c r="BU1885" s="1" t="s">
        <v>215</v>
      </c>
      <c r="BV1885" s="1" t="s">
        <v>206</v>
      </c>
      <c r="BY1885" s="1" t="s">
        <v>758</v>
      </c>
      <c r="BZ1885" s="1" t="s">
        <v>209</v>
      </c>
      <c r="CC1885" s="1" t="s">
        <v>495</v>
      </c>
      <c r="CD1885" s="1" t="s">
        <v>206</v>
      </c>
      <c r="CG1885" s="1" t="s">
        <v>699</v>
      </c>
      <c r="CH1885" s="1" t="s">
        <v>209</v>
      </c>
      <c r="CK1885" s="1" t="s">
        <v>212</v>
      </c>
      <c r="CL1885" s="1" t="s">
        <v>209</v>
      </c>
      <c r="CO1885" s="1" t="s">
        <v>699</v>
      </c>
      <c r="CP1885" s="1" t="s">
        <v>209</v>
      </c>
      <c r="CS1885" s="1" t="s">
        <v>925</v>
      </c>
      <c r="CT1885" s="1" t="s">
        <v>206</v>
      </c>
      <c r="CW1885" s="1" t="s">
        <v>361</v>
      </c>
      <c r="CX1885" s="1" t="s">
        <v>206</v>
      </c>
      <c r="DA1885" s="1" t="s">
        <v>200</v>
      </c>
      <c r="DC1885" s="1" t="s">
        <v>481</v>
      </c>
      <c r="DD1885" s="1" t="s">
        <v>217</v>
      </c>
      <c r="DE1885" s="1" t="s">
        <v>273</v>
      </c>
      <c r="DF1885" s="1" t="s">
        <v>219</v>
      </c>
      <c r="DH1885" s="1" t="s">
        <v>220</v>
      </c>
      <c r="DJ1885" s="1" t="s">
        <v>222</v>
      </c>
      <c r="DK1885" s="1" t="s">
        <v>1555</v>
      </c>
      <c r="DL1885" s="1" t="s">
        <v>223</v>
      </c>
      <c r="DM1885" s="1" t="s">
        <v>229</v>
      </c>
      <c r="DP1885" s="1" t="s">
        <v>276</v>
      </c>
      <c r="DQ1885" s="1" t="s">
        <v>228</v>
      </c>
      <c r="DR1885" s="1" t="s">
        <v>229</v>
      </c>
      <c r="DV1885" s="1" t="s">
        <v>232</v>
      </c>
      <c r="DW1885" s="1" t="s">
        <v>444</v>
      </c>
      <c r="DX1885" s="1" t="s">
        <v>234</v>
      </c>
      <c r="DY1885" s="1" t="s">
        <v>765</v>
      </c>
      <c r="EC1885" s="1" t="s">
        <v>237</v>
      </c>
      <c r="EE1885" s="1" t="s">
        <v>1960</v>
      </c>
      <c r="EM1885" s="1" t="s">
        <v>238</v>
      </c>
      <c r="EQ1885" s="1" t="s">
        <v>238</v>
      </c>
      <c r="EU1885" s="1" t="s">
        <v>238</v>
      </c>
      <c r="EY1885" s="1" t="s">
        <v>238</v>
      </c>
      <c r="FC1885" s="1" t="s">
        <v>238</v>
      </c>
      <c r="FF1885" s="1" t="s">
        <v>239</v>
      </c>
      <c r="FG1885" s="1" t="s">
        <v>192</v>
      </c>
      <c r="FH1885" s="1" t="s">
        <v>192</v>
      </c>
      <c r="FJ1885" s="1" t="s">
        <v>347</v>
      </c>
      <c r="FK1885" s="1" t="s">
        <v>229</v>
      </c>
      <c r="FL1885" s="1" t="s">
        <v>3033</v>
      </c>
      <c r="FM1885" s="1">
        <v>1984.0</v>
      </c>
      <c r="FN1885" s="1" t="s">
        <v>3034</v>
      </c>
      <c r="FO1885" s="1" t="s">
        <v>3035</v>
      </c>
      <c r="FP1885" s="1">
        <v>922950.0</v>
      </c>
      <c r="FU1885" s="1" t="s">
        <v>4334</v>
      </c>
      <c r="FV1885" s="1" t="s">
        <v>200</v>
      </c>
      <c r="FW1885" s="1" t="s">
        <v>3037</v>
      </c>
      <c r="FZ1885" s="1" t="s">
        <v>229</v>
      </c>
      <c r="GA1885" s="1" t="s">
        <v>291</v>
      </c>
      <c r="GB1885" s="2">
        <v>42073.0</v>
      </c>
      <c r="GC1885" s="1" t="s">
        <v>3510</v>
      </c>
    </row>
    <row r="1886">
      <c r="A1886" s="1">
        <v>295000.0</v>
      </c>
      <c r="B1886" s="1" t="s">
        <v>185</v>
      </c>
      <c r="C1886" s="1" t="str">
        <f>"08720665"</f>
        <v>08720665</v>
      </c>
      <c r="D1886" s="1" t="s">
        <v>186</v>
      </c>
      <c r="F1886" s="1" t="str">
        <f t="shared" ref="F1886:F1887" si="1244">"123"</f>
        <v>123</v>
      </c>
      <c r="G1886" s="2">
        <v>41887.0</v>
      </c>
      <c r="H1886" s="1">
        <v>349900.0</v>
      </c>
      <c r="I1886" s="1">
        <v>214.0</v>
      </c>
      <c r="J1886" s="1">
        <v>309900.0</v>
      </c>
      <c r="K1886" s="2">
        <v>42100.0</v>
      </c>
      <c r="L1886" s="1">
        <v>214.0</v>
      </c>
      <c r="M1886" s="2">
        <v>42100.0</v>
      </c>
      <c r="N1886" s="1" t="s">
        <v>356</v>
      </c>
      <c r="O1886" s="2">
        <v>42138.0</v>
      </c>
      <c r="P1886" s="1">
        <v>42168.0</v>
      </c>
      <c r="Q1886" s="1">
        <v>6026.0</v>
      </c>
      <c r="S1886" s="1">
        <v>3311.0</v>
      </c>
      <c r="T1886" s="1" t="s">
        <v>18221</v>
      </c>
      <c r="U1886" s="1" t="s">
        <v>320</v>
      </c>
      <c r="V1886" s="1" t="s">
        <v>465</v>
      </c>
      <c r="W1886" s="1">
        <v>60124.0</v>
      </c>
      <c r="Y1886" s="1" t="s">
        <v>18222</v>
      </c>
      <c r="Z1886" s="1">
        <v>2007.0</v>
      </c>
      <c r="AA1886" s="1" t="s">
        <v>200</v>
      </c>
      <c r="AB1886" s="1" t="s">
        <v>467</v>
      </c>
      <c r="AC1886" s="1" t="s">
        <v>18223</v>
      </c>
      <c r="AD1886" s="1" t="s">
        <v>469</v>
      </c>
      <c r="AE1886" s="1" t="s">
        <v>325</v>
      </c>
      <c r="AF1886" s="1" t="s">
        <v>469</v>
      </c>
      <c r="AH1886" s="1" t="s">
        <v>5193</v>
      </c>
      <c r="AI1886" s="1">
        <v>0.23</v>
      </c>
      <c r="AK1886" s="1">
        <v>9.0</v>
      </c>
      <c r="AL1886" s="1">
        <v>4.0</v>
      </c>
      <c r="AM1886" s="1">
        <v>2.0</v>
      </c>
      <c r="AN1886" s="1">
        <v>1.0</v>
      </c>
      <c r="AO1886" s="1" t="s">
        <v>198</v>
      </c>
      <c r="AP1886" s="1">
        <v>1.0</v>
      </c>
      <c r="AQ1886" s="1" t="s">
        <v>951</v>
      </c>
      <c r="AR1886" s="1" t="s">
        <v>200</v>
      </c>
      <c r="AS1886" s="1" t="s">
        <v>199</v>
      </c>
      <c r="AT1886" s="1">
        <v>2.0</v>
      </c>
      <c r="AV1886" s="1" t="s">
        <v>200</v>
      </c>
      <c r="AW1886" s="4">
        <v>8589.02</v>
      </c>
      <c r="AX1886" s="1">
        <v>2013.0</v>
      </c>
      <c r="AY1886" s="1" t="s">
        <v>387</v>
      </c>
      <c r="AZ1886" s="1" t="s">
        <v>200</v>
      </c>
      <c r="BA1886" s="1" t="str">
        <f>"0618461001"</f>
        <v>0618461001</v>
      </c>
      <c r="BB1886" s="1" t="s">
        <v>200</v>
      </c>
      <c r="BC1886" s="1">
        <v>2763.0</v>
      </c>
      <c r="BD1886" s="1">
        <v>295000.0</v>
      </c>
      <c r="BE1886" s="2">
        <v>41887.0</v>
      </c>
      <c r="BF1886" s="2" t="s">
        <v>18224</v>
      </c>
      <c r="BH1886" s="1">
        <v>300.0</v>
      </c>
      <c r="BK1886" s="1" t="s">
        <v>580</v>
      </c>
      <c r="BL1886" s="1" t="str">
        <f t="shared" ref="BL1886:BM1886" si="1243">""</f>
        <v/>
      </c>
      <c r="BM1886" s="1" t="str">
        <f t="shared" si="1243"/>
        <v/>
      </c>
      <c r="BQ1886" s="1">
        <v>301.0</v>
      </c>
      <c r="BR1886" s="1">
        <v>301.0</v>
      </c>
      <c r="BS1886" s="1">
        <v>301.0</v>
      </c>
      <c r="BV1886" s="1" t="s">
        <v>204</v>
      </c>
      <c r="BY1886" s="1" t="s">
        <v>924</v>
      </c>
      <c r="BZ1886" s="1" t="s">
        <v>209</v>
      </c>
      <c r="CA1886" s="1" t="s">
        <v>210</v>
      </c>
      <c r="CC1886" s="1" t="s">
        <v>332</v>
      </c>
      <c r="CD1886" s="1" t="s">
        <v>206</v>
      </c>
      <c r="CE1886" s="1" t="s">
        <v>210</v>
      </c>
      <c r="CG1886" s="1" t="s">
        <v>699</v>
      </c>
      <c r="CH1886" s="1" t="s">
        <v>209</v>
      </c>
      <c r="CI1886" s="1" t="s">
        <v>210</v>
      </c>
      <c r="CK1886" s="1" t="s">
        <v>212</v>
      </c>
      <c r="CL1886" s="1" t="s">
        <v>209</v>
      </c>
      <c r="CM1886" s="1" t="s">
        <v>210</v>
      </c>
      <c r="CO1886" s="1" t="s">
        <v>699</v>
      </c>
      <c r="CP1886" s="1" t="s">
        <v>209</v>
      </c>
      <c r="CQ1886" s="1" t="s">
        <v>210</v>
      </c>
      <c r="CS1886" s="1" t="s">
        <v>2224</v>
      </c>
      <c r="CT1886" s="1" t="s">
        <v>206</v>
      </c>
      <c r="CU1886" s="1" t="s">
        <v>268</v>
      </c>
      <c r="CW1886" s="1" t="s">
        <v>2800</v>
      </c>
      <c r="CX1886" s="1" t="s">
        <v>206</v>
      </c>
      <c r="CY1886" s="1" t="s">
        <v>207</v>
      </c>
      <c r="DA1886" s="1" t="s">
        <v>200</v>
      </c>
      <c r="DC1886" s="1" t="s">
        <v>481</v>
      </c>
      <c r="DD1886" s="1" t="s">
        <v>518</v>
      </c>
      <c r="DE1886" s="1" t="s">
        <v>273</v>
      </c>
      <c r="DF1886" s="1" t="s">
        <v>219</v>
      </c>
      <c r="DG1886" s="1" t="s">
        <v>1020</v>
      </c>
      <c r="DH1886" s="1" t="s">
        <v>220</v>
      </c>
      <c r="DI1886" s="1" t="s">
        <v>6031</v>
      </c>
      <c r="DJ1886" s="1" t="s">
        <v>222</v>
      </c>
      <c r="DK1886" s="1" t="s">
        <v>223</v>
      </c>
      <c r="DL1886" s="1" t="s">
        <v>1536</v>
      </c>
      <c r="DM1886" s="1" t="s">
        <v>1022</v>
      </c>
      <c r="DN1886" s="1" t="s">
        <v>548</v>
      </c>
      <c r="DO1886" s="1" t="s">
        <v>590</v>
      </c>
      <c r="DP1886" s="1" t="s">
        <v>340</v>
      </c>
      <c r="DQ1886" s="1" t="s">
        <v>228</v>
      </c>
      <c r="DR1886" s="1" t="s">
        <v>588</v>
      </c>
      <c r="DS1886" s="1" t="s">
        <v>591</v>
      </c>
      <c r="DU1886" s="1" t="s">
        <v>4323</v>
      </c>
      <c r="DV1886" s="1" t="s">
        <v>7291</v>
      </c>
      <c r="DW1886" s="1" t="s">
        <v>8203</v>
      </c>
      <c r="DX1886" s="1" t="s">
        <v>234</v>
      </c>
      <c r="DY1886" s="1" t="s">
        <v>596</v>
      </c>
      <c r="DZ1886" s="1" t="s">
        <v>310</v>
      </c>
      <c r="EA1886" s="1" t="s">
        <v>344</v>
      </c>
      <c r="EB1886" s="1" t="s">
        <v>684</v>
      </c>
      <c r="EC1886" s="1" t="s">
        <v>237</v>
      </c>
      <c r="ED1886" s="1" t="s">
        <v>407</v>
      </c>
      <c r="EE1886" s="1" t="s">
        <v>493</v>
      </c>
      <c r="EG1886" s="1" t="s">
        <v>494</v>
      </c>
      <c r="EH1886" s="1" t="s">
        <v>450</v>
      </c>
      <c r="EL1886" s="1" t="s">
        <v>302</v>
      </c>
      <c r="EM1886" s="1" t="s">
        <v>206</v>
      </c>
      <c r="EN1886" s="1" t="s">
        <v>210</v>
      </c>
      <c r="EP1886" s="1" t="s">
        <v>18225</v>
      </c>
      <c r="EQ1886" s="1" t="s">
        <v>1697</v>
      </c>
      <c r="ER1886" s="1" t="s">
        <v>210</v>
      </c>
      <c r="EU1886" s="1" t="s">
        <v>238</v>
      </c>
      <c r="EY1886" s="1" t="s">
        <v>238</v>
      </c>
      <c r="FC1886" s="1" t="s">
        <v>238</v>
      </c>
      <c r="FF1886" s="1" t="s">
        <v>239</v>
      </c>
      <c r="FG1886" s="1" t="s">
        <v>192</v>
      </c>
      <c r="FH1886" s="1" t="s">
        <v>192</v>
      </c>
      <c r="FJ1886" s="1" t="s">
        <v>2552</v>
      </c>
      <c r="FK1886" s="1" t="s">
        <v>18226</v>
      </c>
      <c r="FL1886" s="1" t="s">
        <v>1451</v>
      </c>
      <c r="FM1886" s="1">
        <v>7450.0</v>
      </c>
      <c r="FN1886" s="1" t="s">
        <v>1452</v>
      </c>
      <c r="FO1886" s="1" t="s">
        <v>5583</v>
      </c>
      <c r="FP1886" s="1">
        <v>70036.0</v>
      </c>
      <c r="FQ1886" s="1" t="s">
        <v>5584</v>
      </c>
      <c r="FR1886" s="1">
        <v>77640.0</v>
      </c>
      <c r="FU1886" s="1" t="s">
        <v>11720</v>
      </c>
      <c r="FV1886" s="1" t="s">
        <v>200</v>
      </c>
      <c r="FW1886" s="1" t="s">
        <v>18227</v>
      </c>
      <c r="FZ1886" s="1" t="s">
        <v>632</v>
      </c>
      <c r="GA1886" s="1" t="s">
        <v>291</v>
      </c>
      <c r="GB1886" s="2">
        <v>42139.0</v>
      </c>
      <c r="GC1886" s="1" t="s">
        <v>18228</v>
      </c>
    </row>
    <row r="1887">
      <c r="A1887" s="1">
        <v>306919.0</v>
      </c>
      <c r="B1887" s="1" t="s">
        <v>185</v>
      </c>
      <c r="C1887" s="1" t="str">
        <f>"08722645"</f>
        <v>08722645</v>
      </c>
      <c r="D1887" s="1" t="s">
        <v>186</v>
      </c>
      <c r="F1887" s="1" t="str">
        <f t="shared" si="1244"/>
        <v>123</v>
      </c>
      <c r="G1887" s="2">
        <v>41890.0</v>
      </c>
      <c r="H1887" s="1">
        <v>306919.0</v>
      </c>
      <c r="I1887" s="1">
        <v>1.0</v>
      </c>
      <c r="J1887" s="1">
        <v>306919.0</v>
      </c>
      <c r="K1887" s="2">
        <v>41888.0</v>
      </c>
      <c r="L1887" s="1">
        <v>1.0</v>
      </c>
      <c r="M1887" s="2">
        <v>41888.0</v>
      </c>
      <c r="N1887" s="1" t="s">
        <v>187</v>
      </c>
      <c r="O1887" s="2">
        <v>41985.0</v>
      </c>
      <c r="P1887" s="1">
        <v>923320.0</v>
      </c>
      <c r="Q1887" s="1">
        <v>2700.0</v>
      </c>
      <c r="R1887" s="1">
        <v>5038.74</v>
      </c>
      <c r="S1887" s="1">
        <v>4099.0</v>
      </c>
      <c r="T1887" s="1" t="s">
        <v>18229</v>
      </c>
      <c r="U1887" s="1" t="s">
        <v>189</v>
      </c>
      <c r="V1887" s="1" t="s">
        <v>465</v>
      </c>
      <c r="W1887" s="1">
        <v>60124.0</v>
      </c>
      <c r="Y1887" s="1" t="s">
        <v>1016</v>
      </c>
      <c r="Z1887" s="1">
        <v>2014.0</v>
      </c>
      <c r="AA1887" s="1" t="s">
        <v>200</v>
      </c>
      <c r="AB1887" s="1" t="s">
        <v>193</v>
      </c>
      <c r="AC1887" s="1" t="s">
        <v>1017</v>
      </c>
      <c r="AD1887" s="1" t="s">
        <v>469</v>
      </c>
      <c r="AE1887" s="1" t="s">
        <v>325</v>
      </c>
      <c r="AF1887" s="1" t="s">
        <v>469</v>
      </c>
      <c r="AG1887" s="1" t="s">
        <v>18230</v>
      </c>
      <c r="AH1887" s="1" t="s">
        <v>18231</v>
      </c>
      <c r="AK1887" s="1">
        <v>10.0</v>
      </c>
      <c r="AL1887" s="1">
        <v>4.0</v>
      </c>
      <c r="AM1887" s="1">
        <v>2.0</v>
      </c>
      <c r="AN1887" s="1">
        <v>1.0</v>
      </c>
      <c r="AO1887" s="1" t="s">
        <v>198</v>
      </c>
      <c r="AP1887" s="1">
        <v>1.0</v>
      </c>
      <c r="AQ1887" s="1" t="s">
        <v>198</v>
      </c>
      <c r="AR1887" s="1" t="s">
        <v>200</v>
      </c>
      <c r="AS1887" s="1" t="s">
        <v>199</v>
      </c>
      <c r="AT1887" s="1">
        <v>2.0</v>
      </c>
      <c r="AV1887" s="1" t="s">
        <v>200</v>
      </c>
      <c r="AW1887" s="1">
        <v>0.0</v>
      </c>
      <c r="AX1887" s="1">
        <v>2013.0</v>
      </c>
      <c r="AY1887" s="1" t="s">
        <v>229</v>
      </c>
      <c r="AZ1887" s="1" t="s">
        <v>200</v>
      </c>
      <c r="BA1887" s="1" t="str">
        <f>"0111111111"</f>
        <v>0111111111</v>
      </c>
      <c r="BB1887" s="1" t="s">
        <v>200</v>
      </c>
      <c r="BC1887" s="1">
        <v>2420.0</v>
      </c>
      <c r="BD1887" s="1">
        <v>306919.0</v>
      </c>
      <c r="BE1887" s="2">
        <v>41888.0</v>
      </c>
      <c r="BF1887" s="1" t="s">
        <v>1019</v>
      </c>
      <c r="BG1887" s="1" t="s">
        <v>577</v>
      </c>
      <c r="BH1887" s="1">
        <v>45.0</v>
      </c>
      <c r="BI1887" s="1" t="s">
        <v>578</v>
      </c>
      <c r="BJ1887" s="1" t="s">
        <v>579</v>
      </c>
      <c r="BK1887" s="1" t="s">
        <v>474</v>
      </c>
      <c r="BL1887" s="1" t="str">
        <f>"11"</f>
        <v>11</v>
      </c>
      <c r="BM1887" s="1" t="str">
        <f>"0"</f>
        <v>0</v>
      </c>
      <c r="BN1887" s="1">
        <v>38.0</v>
      </c>
      <c r="BO1887" s="1">
        <v>0.0</v>
      </c>
      <c r="BQ1887" s="1">
        <v>301.0</v>
      </c>
      <c r="BR1887" s="1">
        <v>301.0</v>
      </c>
      <c r="BS1887" s="1">
        <v>301.0</v>
      </c>
      <c r="BU1887" s="1" t="s">
        <v>269</v>
      </c>
      <c r="BV1887" s="1" t="s">
        <v>206</v>
      </c>
      <c r="BW1887" s="1" t="s">
        <v>210</v>
      </c>
      <c r="BY1887" s="1" t="s">
        <v>616</v>
      </c>
      <c r="BZ1887" s="1" t="s">
        <v>209</v>
      </c>
      <c r="CA1887" s="1" t="s">
        <v>210</v>
      </c>
      <c r="CC1887" s="1" t="s">
        <v>516</v>
      </c>
      <c r="CD1887" s="1" t="s">
        <v>206</v>
      </c>
      <c r="CE1887" s="1" t="s">
        <v>210</v>
      </c>
      <c r="CG1887" s="1" t="s">
        <v>392</v>
      </c>
      <c r="CH1887" s="1" t="s">
        <v>209</v>
      </c>
      <c r="CI1887" s="1" t="s">
        <v>210</v>
      </c>
      <c r="CK1887" s="1" t="s">
        <v>269</v>
      </c>
      <c r="CL1887" s="1" t="s">
        <v>209</v>
      </c>
      <c r="CM1887" s="1" t="s">
        <v>210</v>
      </c>
      <c r="CO1887" s="1" t="s">
        <v>497</v>
      </c>
      <c r="CP1887" s="1" t="s">
        <v>209</v>
      </c>
      <c r="CQ1887" s="1" t="s">
        <v>210</v>
      </c>
      <c r="CS1887" s="1" t="s">
        <v>262</v>
      </c>
      <c r="CT1887" s="1" t="s">
        <v>206</v>
      </c>
      <c r="CU1887" s="1" t="s">
        <v>207</v>
      </c>
      <c r="CW1887" s="1" t="s">
        <v>639</v>
      </c>
      <c r="CX1887" s="1" t="s">
        <v>206</v>
      </c>
      <c r="CY1887" s="1" t="s">
        <v>210</v>
      </c>
      <c r="DA1887" s="1" t="s">
        <v>192</v>
      </c>
      <c r="DB1887" s="2">
        <v>42004.0</v>
      </c>
      <c r="DC1887" s="1" t="s">
        <v>744</v>
      </c>
      <c r="DD1887" s="1" t="s">
        <v>336</v>
      </c>
      <c r="DE1887" s="1" t="s">
        <v>273</v>
      </c>
      <c r="DF1887" s="1" t="s">
        <v>219</v>
      </c>
      <c r="DG1887" s="1" t="s">
        <v>482</v>
      </c>
      <c r="DH1887" s="1" t="s">
        <v>220</v>
      </c>
      <c r="DI1887" s="1" t="s">
        <v>2201</v>
      </c>
      <c r="DJ1887" s="1" t="s">
        <v>222</v>
      </c>
      <c r="DL1887" s="1" t="s">
        <v>484</v>
      </c>
      <c r="DM1887" s="1" t="s">
        <v>929</v>
      </c>
      <c r="DN1887" s="1" t="s">
        <v>548</v>
      </c>
      <c r="DO1887" s="1" t="s">
        <v>486</v>
      </c>
      <c r="DP1887" s="1" t="s">
        <v>276</v>
      </c>
      <c r="DQ1887" s="1" t="s">
        <v>228</v>
      </c>
      <c r="DR1887" s="1" t="s">
        <v>588</v>
      </c>
      <c r="DS1887" s="1" t="s">
        <v>230</v>
      </c>
      <c r="DU1887" s="1" t="s">
        <v>17832</v>
      </c>
      <c r="DV1887" s="1" t="s">
        <v>2381</v>
      </c>
      <c r="DW1887" s="1" t="s">
        <v>1026</v>
      </c>
      <c r="DX1887" s="1" t="s">
        <v>234</v>
      </c>
      <c r="DY1887" s="1" t="s">
        <v>596</v>
      </c>
      <c r="DZ1887" s="1" t="s">
        <v>343</v>
      </c>
      <c r="EA1887" s="1" t="s">
        <v>344</v>
      </c>
      <c r="EB1887" s="1" t="s">
        <v>345</v>
      </c>
      <c r="EC1887" s="1" t="s">
        <v>237</v>
      </c>
      <c r="EG1887" s="1" t="s">
        <v>556</v>
      </c>
      <c r="EI1887" s="1" t="s">
        <v>494</v>
      </c>
      <c r="EL1887" s="1" t="s">
        <v>1382</v>
      </c>
      <c r="EM1887" s="1" t="s">
        <v>206</v>
      </c>
      <c r="EN1887" s="1" t="s">
        <v>207</v>
      </c>
      <c r="EQ1887" s="1" t="s">
        <v>238</v>
      </c>
      <c r="ET1887" s="1" t="s">
        <v>495</v>
      </c>
      <c r="EU1887" s="1" t="s">
        <v>206</v>
      </c>
      <c r="EV1887" s="1" t="s">
        <v>210</v>
      </c>
      <c r="EY1887" s="1" t="s">
        <v>238</v>
      </c>
      <c r="FC1887" s="1" t="s">
        <v>238</v>
      </c>
      <c r="FF1887" s="1" t="s">
        <v>239</v>
      </c>
      <c r="FG1887" s="1" t="s">
        <v>192</v>
      </c>
      <c r="FH1887" s="1" t="s">
        <v>192</v>
      </c>
      <c r="FJ1887" s="1" t="s">
        <v>18232</v>
      </c>
      <c r="FK1887" s="1" t="s">
        <v>229</v>
      </c>
      <c r="FL1887" s="1" t="s">
        <v>1031</v>
      </c>
      <c r="FM1887" s="1">
        <v>222.0</v>
      </c>
      <c r="FN1887" s="1" t="s">
        <v>1032</v>
      </c>
      <c r="FO1887" s="1" t="s">
        <v>1033</v>
      </c>
      <c r="FP1887" s="1">
        <v>1305.0</v>
      </c>
      <c r="FQ1887" s="1" t="s">
        <v>1034</v>
      </c>
      <c r="FT1887" s="1" t="s">
        <v>1035</v>
      </c>
      <c r="FU1887" s="1" t="s">
        <v>1036</v>
      </c>
      <c r="FV1887" s="1" t="s">
        <v>200</v>
      </c>
      <c r="FW1887" s="1" t="s">
        <v>1037</v>
      </c>
      <c r="FZ1887" s="1" t="s">
        <v>229</v>
      </c>
      <c r="GA1887" s="1" t="s">
        <v>291</v>
      </c>
      <c r="GB1887" s="2">
        <v>41988.0</v>
      </c>
      <c r="GC1887" s="1" t="s">
        <v>1038</v>
      </c>
    </row>
    <row r="1888">
      <c r="A1888" s="1">
        <v>115000.0</v>
      </c>
      <c r="B1888" s="1" t="s">
        <v>185</v>
      </c>
      <c r="C1888" s="1" t="str">
        <f>"08720746"</f>
        <v>08720746</v>
      </c>
      <c r="D1888" s="1" t="s">
        <v>186</v>
      </c>
      <c r="F1888" s="1" t="str">
        <f>"538"</f>
        <v>538</v>
      </c>
      <c r="G1888" s="2">
        <v>41887.0</v>
      </c>
      <c r="H1888" s="1">
        <v>129900.0</v>
      </c>
      <c r="I1888" s="1">
        <v>65.0</v>
      </c>
      <c r="J1888" s="1">
        <v>115000.0</v>
      </c>
      <c r="K1888" s="2">
        <v>41950.0</v>
      </c>
      <c r="L1888" s="1">
        <v>65.0</v>
      </c>
      <c r="M1888" s="2">
        <v>41950.0</v>
      </c>
      <c r="N1888" s="1" t="s">
        <v>187</v>
      </c>
      <c r="O1888" s="2">
        <v>41996.0</v>
      </c>
      <c r="P1888" s="1">
        <v>310813.0</v>
      </c>
      <c r="Q1888" s="1">
        <v>31580.0</v>
      </c>
      <c r="R1888" s="1">
        <v>3450.0</v>
      </c>
      <c r="S1888" s="1">
        <v>7.0</v>
      </c>
      <c r="T1888" s="1" t="s">
        <v>18233</v>
      </c>
      <c r="U1888" s="1" t="s">
        <v>464</v>
      </c>
      <c r="V1888" s="1" t="s">
        <v>1340</v>
      </c>
      <c r="W1888" s="1">
        <v>60538.0</v>
      </c>
      <c r="Y1888" s="1" t="s">
        <v>18234</v>
      </c>
      <c r="Z1888" s="1">
        <v>1975.0</v>
      </c>
      <c r="AA1888" s="1" t="s">
        <v>192</v>
      </c>
      <c r="AB1888" s="1" t="s">
        <v>193</v>
      </c>
      <c r="AD1888" s="1" t="s">
        <v>1343</v>
      </c>
      <c r="AE1888" s="1" t="s">
        <v>849</v>
      </c>
      <c r="AF1888" s="1" t="s">
        <v>1529</v>
      </c>
      <c r="AH1888" s="1" t="s">
        <v>18235</v>
      </c>
      <c r="AI1888" s="1">
        <v>0.1312</v>
      </c>
      <c r="AK1888" s="1">
        <v>6.0</v>
      </c>
      <c r="AL1888" s="1">
        <v>4.0</v>
      </c>
      <c r="AM1888" s="1">
        <v>1.0</v>
      </c>
      <c r="AN1888" s="1">
        <v>0.0</v>
      </c>
      <c r="AO1888" s="1" t="s">
        <v>229</v>
      </c>
      <c r="AQ1888" s="1" t="s">
        <v>229</v>
      </c>
      <c r="AR1888" s="1" t="s">
        <v>200</v>
      </c>
      <c r="AS1888" s="1" t="s">
        <v>199</v>
      </c>
      <c r="AT1888" s="1">
        <v>1.0</v>
      </c>
      <c r="AV1888" s="1" t="s">
        <v>200</v>
      </c>
      <c r="AW1888" s="1">
        <v>3754.46</v>
      </c>
      <c r="AX1888" s="1">
        <v>2012.0</v>
      </c>
      <c r="AZ1888" s="1" t="s">
        <v>545</v>
      </c>
      <c r="BA1888" s="1" t="str">
        <f>"0304254004"</f>
        <v>0304254004</v>
      </c>
      <c r="BC1888" s="1">
        <v>1232.0</v>
      </c>
      <c r="BD1888" s="1">
        <v>115000.0</v>
      </c>
      <c r="BE1888" s="2">
        <v>41886.0</v>
      </c>
      <c r="BF1888" s="2" t="s">
        <v>18236</v>
      </c>
      <c r="BH1888" s="1">
        <v>0.0</v>
      </c>
      <c r="BK1888" s="1" t="s">
        <v>204</v>
      </c>
      <c r="BL1888" s="1" t="str">
        <f t="shared" ref="BL1888:BM1888" si="1245">""</f>
        <v/>
      </c>
      <c r="BM1888" s="1" t="str">
        <f t="shared" si="1245"/>
        <v/>
      </c>
      <c r="BQ1888" s="1">
        <v>308.0</v>
      </c>
      <c r="BR1888" s="1">
        <v>308.0</v>
      </c>
      <c r="BS1888" s="1">
        <v>308.0</v>
      </c>
      <c r="BU1888" s="1" t="s">
        <v>211</v>
      </c>
      <c r="BV1888" s="1" t="s">
        <v>206</v>
      </c>
      <c r="BW1888" s="1" t="s">
        <v>210</v>
      </c>
      <c r="BY1888" s="1" t="s">
        <v>497</v>
      </c>
      <c r="BZ1888" s="1" t="s">
        <v>206</v>
      </c>
      <c r="CA1888" s="1" t="s">
        <v>210</v>
      </c>
      <c r="CD1888" s="1" t="s">
        <v>204</v>
      </c>
      <c r="CG1888" s="1" t="s">
        <v>814</v>
      </c>
      <c r="CH1888" s="1" t="s">
        <v>206</v>
      </c>
      <c r="CI1888" s="1" t="s">
        <v>210</v>
      </c>
      <c r="CK1888" s="1" t="s">
        <v>5311</v>
      </c>
      <c r="CL1888" s="1" t="s">
        <v>206</v>
      </c>
      <c r="CM1888" s="1" t="s">
        <v>210</v>
      </c>
      <c r="CO1888" s="1" t="s">
        <v>814</v>
      </c>
      <c r="CP1888" s="1" t="s">
        <v>206</v>
      </c>
      <c r="CQ1888" s="1" t="s">
        <v>210</v>
      </c>
      <c r="CS1888" s="1" t="s">
        <v>214</v>
      </c>
      <c r="CT1888" s="1" t="s">
        <v>206</v>
      </c>
      <c r="CU1888" s="1" t="s">
        <v>301</v>
      </c>
      <c r="CX1888" s="1" t="s">
        <v>204</v>
      </c>
      <c r="DA1888" s="1" t="s">
        <v>200</v>
      </c>
      <c r="DC1888" s="1" t="s">
        <v>395</v>
      </c>
      <c r="DD1888" s="1" t="s">
        <v>518</v>
      </c>
      <c r="DE1888" s="1" t="s">
        <v>273</v>
      </c>
      <c r="DF1888" s="1" t="s">
        <v>219</v>
      </c>
      <c r="DH1888" s="1" t="s">
        <v>220</v>
      </c>
      <c r="DJ1888" s="1" t="s">
        <v>222</v>
      </c>
      <c r="DL1888" s="1" t="s">
        <v>520</v>
      </c>
      <c r="DM1888" s="1" t="s">
        <v>229</v>
      </c>
      <c r="DO1888" s="1" t="s">
        <v>549</v>
      </c>
      <c r="DQ1888" s="1" t="s">
        <v>228</v>
      </c>
      <c r="DR1888" s="1" t="s">
        <v>229</v>
      </c>
      <c r="DS1888" s="1" t="s">
        <v>230</v>
      </c>
      <c r="DV1888" s="1" t="s">
        <v>2313</v>
      </c>
      <c r="DW1888" s="1" t="s">
        <v>2602</v>
      </c>
      <c r="DX1888" s="1" t="s">
        <v>234</v>
      </c>
      <c r="EA1888" s="1" t="s">
        <v>683</v>
      </c>
      <c r="EC1888" s="1" t="s">
        <v>685</v>
      </c>
      <c r="EG1888" s="1" t="s">
        <v>2313</v>
      </c>
      <c r="EL1888" s="1" t="s">
        <v>1796</v>
      </c>
      <c r="EM1888" s="1" t="s">
        <v>206</v>
      </c>
      <c r="EN1888" s="1" t="s">
        <v>617</v>
      </c>
      <c r="EQ1888" s="1" t="s">
        <v>238</v>
      </c>
      <c r="EU1888" s="1" t="s">
        <v>238</v>
      </c>
      <c r="EY1888" s="1" t="s">
        <v>238</v>
      </c>
      <c r="FC1888" s="1" t="s">
        <v>238</v>
      </c>
      <c r="FF1888" s="1" t="s">
        <v>229</v>
      </c>
      <c r="FG1888" s="1" t="s">
        <v>200</v>
      </c>
      <c r="FH1888" s="1" t="s">
        <v>200</v>
      </c>
      <c r="FJ1888" s="1" t="s">
        <v>1248</v>
      </c>
      <c r="FK1888" s="1" t="s">
        <v>229</v>
      </c>
      <c r="FL1888" s="1" t="s">
        <v>2263</v>
      </c>
      <c r="FM1888" s="1">
        <v>8094.0</v>
      </c>
      <c r="FN1888" s="1" t="s">
        <v>2264</v>
      </c>
      <c r="FO1888" s="1" t="s">
        <v>5270</v>
      </c>
      <c r="FP1888" s="1">
        <v>232535.0</v>
      </c>
      <c r="FQ1888" s="1" t="s">
        <v>5271</v>
      </c>
      <c r="FU1888" s="1" t="s">
        <v>17176</v>
      </c>
      <c r="FV1888" s="1" t="s">
        <v>200</v>
      </c>
      <c r="FW1888" s="1" t="s">
        <v>1307</v>
      </c>
      <c r="FZ1888" s="1" t="s">
        <v>229</v>
      </c>
      <c r="GA1888" s="1" t="s">
        <v>291</v>
      </c>
      <c r="GB1888" s="2">
        <v>41996.0</v>
      </c>
      <c r="GC1888" s="1" t="s">
        <v>18237</v>
      </c>
    </row>
    <row r="1889">
      <c r="A1889" s="1">
        <v>815000.0</v>
      </c>
      <c r="B1889" s="1" t="s">
        <v>185</v>
      </c>
      <c r="C1889" s="1" t="str">
        <f>"08732897"</f>
        <v>08732897</v>
      </c>
      <c r="D1889" s="1" t="s">
        <v>186</v>
      </c>
      <c r="F1889" s="1" t="str">
        <f>"8024"</f>
        <v>8024</v>
      </c>
      <c r="G1889" s="2">
        <v>41901.0</v>
      </c>
      <c r="H1889" s="1">
        <v>850000.0</v>
      </c>
      <c r="I1889" s="1">
        <v>32.0</v>
      </c>
      <c r="J1889" s="1">
        <v>835000.0</v>
      </c>
      <c r="K1889" s="2">
        <v>41932.0</v>
      </c>
      <c r="L1889" s="1">
        <v>32.0</v>
      </c>
      <c r="M1889" s="2">
        <v>41932.0</v>
      </c>
      <c r="N1889" s="1" t="s">
        <v>187</v>
      </c>
      <c r="O1889" s="2">
        <v>41978.0</v>
      </c>
      <c r="P1889" s="1">
        <v>189418.0</v>
      </c>
      <c r="Q1889" s="1">
        <v>85068.0</v>
      </c>
      <c r="S1889" s="1">
        <v>1632.0</v>
      </c>
      <c r="T1889" s="1" t="s">
        <v>6991</v>
      </c>
      <c r="U1889" s="1" t="s">
        <v>189</v>
      </c>
      <c r="V1889" s="1" t="s">
        <v>190</v>
      </c>
      <c r="W1889" s="1">
        <v>60647.0</v>
      </c>
      <c r="Y1889" s="1" t="s">
        <v>18238</v>
      </c>
      <c r="Z1889" s="1">
        <v>1888.0</v>
      </c>
      <c r="AA1889" s="1" t="s">
        <v>192</v>
      </c>
      <c r="AB1889" s="1" t="s">
        <v>193</v>
      </c>
      <c r="AD1889" s="1" t="s">
        <v>194</v>
      </c>
      <c r="AE1889" s="1" t="s">
        <v>195</v>
      </c>
      <c r="AF1889" s="1" t="s">
        <v>827</v>
      </c>
      <c r="AH1889" s="1" t="s">
        <v>359</v>
      </c>
      <c r="AK1889" s="1">
        <v>8.0</v>
      </c>
      <c r="AL1889" s="1">
        <v>3.0</v>
      </c>
      <c r="AM1889" s="1">
        <v>3.0</v>
      </c>
      <c r="AN1889" s="1">
        <v>1.0</v>
      </c>
      <c r="AO1889" s="1" t="s">
        <v>198</v>
      </c>
      <c r="AQ1889" s="1" t="s">
        <v>198</v>
      </c>
      <c r="AR1889" s="1" t="s">
        <v>192</v>
      </c>
      <c r="AS1889" s="1" t="s">
        <v>199</v>
      </c>
      <c r="AT1889" s="1">
        <v>2.0</v>
      </c>
      <c r="AV1889" s="1" t="s">
        <v>200</v>
      </c>
      <c r="AW1889" s="4">
        <v>7630.25</v>
      </c>
      <c r="AX1889" s="1">
        <v>2013.0</v>
      </c>
      <c r="AZ1889" s="1" t="s">
        <v>200</v>
      </c>
      <c r="BA1889" s="1" t="str">
        <f>"14313260720000"</f>
        <v>14313260720000</v>
      </c>
      <c r="BC1889" s="1">
        <v>3400.0</v>
      </c>
      <c r="BD1889" s="1">
        <v>815000.0</v>
      </c>
      <c r="BE1889" s="2">
        <v>41901.0</v>
      </c>
      <c r="BF1889" s="2" t="s">
        <v>18239</v>
      </c>
      <c r="BH1889" s="1">
        <v>0.0</v>
      </c>
      <c r="BK1889" s="1" t="s">
        <v>204</v>
      </c>
      <c r="BL1889" s="1" t="str">
        <f>"1600"</f>
        <v>1600</v>
      </c>
      <c r="BM1889" s="1" t="str">
        <f>"0"</f>
        <v>0</v>
      </c>
      <c r="BN1889" s="1">
        <v>2332.0</v>
      </c>
      <c r="BO1889" s="1">
        <v>0.0</v>
      </c>
      <c r="BQ1889" s="1">
        <v>299.0</v>
      </c>
      <c r="BR1889" s="1">
        <v>299.0</v>
      </c>
      <c r="BS1889" s="1">
        <v>299.0</v>
      </c>
      <c r="BU1889" s="1" t="s">
        <v>1809</v>
      </c>
      <c r="BV1889" s="1" t="s">
        <v>206</v>
      </c>
      <c r="BY1889" s="1" t="s">
        <v>854</v>
      </c>
      <c r="BZ1889" s="1" t="s">
        <v>209</v>
      </c>
      <c r="CC1889" s="1" t="s">
        <v>543</v>
      </c>
      <c r="CD1889" s="1" t="s">
        <v>206</v>
      </c>
      <c r="CG1889" s="1" t="s">
        <v>361</v>
      </c>
      <c r="CH1889" s="1" t="s">
        <v>209</v>
      </c>
      <c r="CK1889" s="1" t="s">
        <v>1137</v>
      </c>
      <c r="CL1889" s="1" t="s">
        <v>209</v>
      </c>
      <c r="CO1889" s="1" t="s">
        <v>582</v>
      </c>
      <c r="CP1889" s="1" t="s">
        <v>42</v>
      </c>
      <c r="CS1889" s="1" t="s">
        <v>700</v>
      </c>
      <c r="CT1889" s="1" t="s">
        <v>206</v>
      </c>
      <c r="CX1889" s="1" t="s">
        <v>204</v>
      </c>
      <c r="DA1889" s="1" t="s">
        <v>200</v>
      </c>
      <c r="DC1889" s="1" t="s">
        <v>642</v>
      </c>
      <c r="DD1889" s="1" t="s">
        <v>8015</v>
      </c>
      <c r="DE1889" s="1" t="s">
        <v>218</v>
      </c>
      <c r="DF1889" s="1" t="s">
        <v>745</v>
      </c>
      <c r="DH1889" s="1" t="s">
        <v>307</v>
      </c>
      <c r="DI1889" s="1" t="s">
        <v>12466</v>
      </c>
      <c r="DJ1889" s="1" t="s">
        <v>222</v>
      </c>
      <c r="DL1889" s="1" t="s">
        <v>224</v>
      </c>
      <c r="DM1889" s="1" t="s">
        <v>229</v>
      </c>
      <c r="DQ1889" s="1" t="s">
        <v>718</v>
      </c>
      <c r="DR1889" s="1" t="s">
        <v>229</v>
      </c>
      <c r="DV1889" s="1" t="s">
        <v>18240</v>
      </c>
      <c r="DW1889" s="1" t="s">
        <v>279</v>
      </c>
      <c r="DX1889" s="1" t="s">
        <v>234</v>
      </c>
      <c r="EA1889" s="1" t="s">
        <v>2466</v>
      </c>
      <c r="EC1889" s="1" t="s">
        <v>406</v>
      </c>
      <c r="EG1889" s="1" t="s">
        <v>1121</v>
      </c>
      <c r="EH1889" s="1" t="s">
        <v>310</v>
      </c>
      <c r="EJ1889" s="1" t="s">
        <v>5618</v>
      </c>
      <c r="EL1889" s="1" t="s">
        <v>798</v>
      </c>
      <c r="EM1889" s="1" t="s">
        <v>209</v>
      </c>
      <c r="EP1889" s="1" t="s">
        <v>3054</v>
      </c>
      <c r="EQ1889" s="1" t="s">
        <v>206</v>
      </c>
      <c r="EU1889" s="1" t="s">
        <v>238</v>
      </c>
      <c r="EX1889" s="1" t="s">
        <v>1483</v>
      </c>
      <c r="EY1889" s="1" t="s">
        <v>206</v>
      </c>
      <c r="FC1889" s="1" t="s">
        <v>238</v>
      </c>
      <c r="FF1889" s="1" t="s">
        <v>239</v>
      </c>
      <c r="FG1889" s="1" t="s">
        <v>192</v>
      </c>
      <c r="FH1889" s="1" t="s">
        <v>192</v>
      </c>
      <c r="FJ1889" s="1" t="s">
        <v>2100</v>
      </c>
      <c r="FK1889" s="1" t="s">
        <v>229</v>
      </c>
      <c r="FL1889" s="1" t="s">
        <v>456</v>
      </c>
      <c r="FM1889" s="1">
        <v>10274.0</v>
      </c>
      <c r="FN1889" s="1" t="s">
        <v>4794</v>
      </c>
      <c r="FO1889" s="1" t="s">
        <v>4795</v>
      </c>
      <c r="FP1889" s="1">
        <v>131279.0</v>
      </c>
      <c r="FQ1889" s="1" t="s">
        <v>4796</v>
      </c>
      <c r="FU1889" s="1" t="s">
        <v>18241</v>
      </c>
      <c r="FV1889" s="1" t="s">
        <v>200</v>
      </c>
      <c r="FW1889" s="1" t="s">
        <v>290</v>
      </c>
      <c r="FX1889" s="1" t="s">
        <v>238</v>
      </c>
      <c r="FZ1889" s="1" t="s">
        <v>229</v>
      </c>
      <c r="GA1889" s="1" t="s">
        <v>291</v>
      </c>
      <c r="GB1889" s="2">
        <v>41978.0</v>
      </c>
    </row>
    <row r="1890">
      <c r="A1890" s="1">
        <v>295000.0</v>
      </c>
      <c r="B1890" s="1" t="s">
        <v>185</v>
      </c>
      <c r="C1890" s="1" t="str">
        <f>"08711925"</f>
        <v>08711925</v>
      </c>
      <c r="D1890" s="1" t="s">
        <v>186</v>
      </c>
      <c r="F1890" s="1" t="str">
        <f>"542"</f>
        <v>542</v>
      </c>
      <c r="G1890" s="2">
        <v>41877.0</v>
      </c>
      <c r="H1890" s="1">
        <v>339900.0</v>
      </c>
      <c r="I1890" s="1">
        <v>52.0</v>
      </c>
      <c r="J1890" s="1">
        <v>309900.0</v>
      </c>
      <c r="K1890" s="2">
        <v>41928.0</v>
      </c>
      <c r="L1890" s="1">
        <v>52.0</v>
      </c>
      <c r="M1890" s="2">
        <v>41928.0</v>
      </c>
      <c r="N1890" s="1" t="s">
        <v>1512</v>
      </c>
      <c r="O1890" s="2">
        <v>41977.0</v>
      </c>
      <c r="P1890" s="1">
        <v>228983.0</v>
      </c>
      <c r="Q1890" s="1">
        <v>23399.0</v>
      </c>
      <c r="S1890" s="1">
        <v>410.0</v>
      </c>
      <c r="T1890" s="1" t="s">
        <v>15556</v>
      </c>
      <c r="U1890" s="1" t="s">
        <v>1174</v>
      </c>
      <c r="V1890" s="1" t="s">
        <v>3984</v>
      </c>
      <c r="W1890" s="1">
        <v>60542.0</v>
      </c>
      <c r="X1890" s="1">
        <v>1289.0</v>
      </c>
      <c r="Y1890" s="1" t="s">
        <v>18242</v>
      </c>
      <c r="Z1890" s="1">
        <v>2005.0</v>
      </c>
      <c r="AA1890" s="1" t="s">
        <v>200</v>
      </c>
      <c r="AB1890" s="1" t="s">
        <v>467</v>
      </c>
      <c r="AC1890" s="1" t="s">
        <v>18243</v>
      </c>
      <c r="AD1890" s="1" t="s">
        <v>3986</v>
      </c>
      <c r="AE1890" s="1" t="s">
        <v>325</v>
      </c>
      <c r="AF1890" s="1" t="s">
        <v>2702</v>
      </c>
      <c r="AG1890" s="1" t="s">
        <v>18244</v>
      </c>
      <c r="AH1890" s="1" t="s">
        <v>18245</v>
      </c>
      <c r="AI1890" s="1">
        <v>0.3</v>
      </c>
      <c r="AK1890" s="1">
        <v>9.0</v>
      </c>
      <c r="AL1890" s="1">
        <v>4.0</v>
      </c>
      <c r="AM1890" s="1">
        <v>3.0</v>
      </c>
      <c r="AN1890" s="1">
        <v>1.0</v>
      </c>
      <c r="AO1890" s="1" t="s">
        <v>198</v>
      </c>
      <c r="AP1890" s="1">
        <v>1.0</v>
      </c>
      <c r="AQ1890" s="1" t="s">
        <v>198</v>
      </c>
      <c r="AR1890" s="1" t="s">
        <v>200</v>
      </c>
      <c r="AS1890" s="1" t="s">
        <v>199</v>
      </c>
      <c r="AT1890" s="1">
        <v>3.0</v>
      </c>
      <c r="AV1890" s="1" t="s">
        <v>200</v>
      </c>
      <c r="AW1890" s="1">
        <v>10731.34</v>
      </c>
      <c r="AX1890" s="1">
        <v>2012.0</v>
      </c>
      <c r="AY1890" s="1" t="s">
        <v>387</v>
      </c>
      <c r="AZ1890" s="1" t="s">
        <v>545</v>
      </c>
      <c r="BA1890" s="1" t="str">
        <f>"1233359012"</f>
        <v>1233359012</v>
      </c>
      <c r="BB1890" s="1" t="s">
        <v>200</v>
      </c>
      <c r="BC1890" s="1">
        <v>4012.0</v>
      </c>
      <c r="BD1890" s="1">
        <v>295000.0</v>
      </c>
      <c r="BE1890" s="2">
        <v>41877.0</v>
      </c>
      <c r="BF1890" s="2" t="s">
        <v>18246</v>
      </c>
      <c r="BH1890" s="1">
        <v>400.0</v>
      </c>
      <c r="BK1890" s="1" t="s">
        <v>580</v>
      </c>
      <c r="BL1890" s="1" t="str">
        <f t="shared" ref="BL1890:BM1890" si="1246">"0"</f>
        <v>0</v>
      </c>
      <c r="BM1890" s="1" t="str">
        <f t="shared" si="1246"/>
        <v>0</v>
      </c>
      <c r="BN1890" s="1">
        <v>27.0</v>
      </c>
      <c r="BO1890" s="1">
        <v>3.0</v>
      </c>
      <c r="BQ1890" s="1">
        <v>129.0</v>
      </c>
      <c r="BR1890" s="1">
        <v>129.0</v>
      </c>
      <c r="BS1890" s="1">
        <v>129.0</v>
      </c>
      <c r="BU1890" s="1" t="s">
        <v>1567</v>
      </c>
      <c r="BV1890" s="1" t="s">
        <v>206</v>
      </c>
      <c r="BW1890" s="1" t="s">
        <v>207</v>
      </c>
      <c r="BY1890" s="1" t="s">
        <v>1825</v>
      </c>
      <c r="BZ1890" s="1" t="s">
        <v>209</v>
      </c>
      <c r="CA1890" s="1" t="s">
        <v>210</v>
      </c>
      <c r="CC1890" s="1" t="s">
        <v>1567</v>
      </c>
      <c r="CD1890" s="1" t="s">
        <v>206</v>
      </c>
      <c r="CE1890" s="1" t="s">
        <v>207</v>
      </c>
      <c r="CG1890" s="1" t="s">
        <v>480</v>
      </c>
      <c r="CH1890" s="1" t="s">
        <v>209</v>
      </c>
      <c r="CI1890" s="1" t="s">
        <v>210</v>
      </c>
      <c r="CK1890" s="1" t="s">
        <v>215</v>
      </c>
      <c r="CL1890" s="1" t="s">
        <v>209</v>
      </c>
      <c r="CM1890" s="1" t="s">
        <v>210</v>
      </c>
      <c r="CO1890" s="1" t="s">
        <v>215</v>
      </c>
      <c r="CP1890" s="1" t="s">
        <v>209</v>
      </c>
      <c r="CQ1890" s="1" t="s">
        <v>210</v>
      </c>
      <c r="CS1890" s="1" t="s">
        <v>4387</v>
      </c>
      <c r="CT1890" s="1" t="s">
        <v>206</v>
      </c>
      <c r="CU1890" s="1" t="s">
        <v>207</v>
      </c>
      <c r="CW1890" s="1" t="s">
        <v>1653</v>
      </c>
      <c r="CX1890" s="1" t="s">
        <v>206</v>
      </c>
      <c r="CY1890" s="1" t="s">
        <v>207</v>
      </c>
      <c r="DA1890" s="1" t="s">
        <v>200</v>
      </c>
      <c r="DC1890" s="1" t="s">
        <v>481</v>
      </c>
      <c r="DD1890" s="1" t="s">
        <v>12444</v>
      </c>
      <c r="DE1890" s="1" t="s">
        <v>273</v>
      </c>
      <c r="DF1890" s="1" t="s">
        <v>2328</v>
      </c>
      <c r="DG1890" s="1" t="s">
        <v>482</v>
      </c>
      <c r="DH1890" s="1" t="s">
        <v>220</v>
      </c>
      <c r="DI1890" s="1" t="s">
        <v>1003</v>
      </c>
      <c r="DJ1890" s="1" t="s">
        <v>222</v>
      </c>
      <c r="DK1890" s="1" t="s">
        <v>223</v>
      </c>
      <c r="DL1890" s="1" t="s">
        <v>223</v>
      </c>
      <c r="DM1890" s="1" t="s">
        <v>229</v>
      </c>
      <c r="DN1890" s="1" t="s">
        <v>399</v>
      </c>
      <c r="DO1890" s="1" t="s">
        <v>486</v>
      </c>
      <c r="DP1890" s="1" t="s">
        <v>340</v>
      </c>
      <c r="DQ1890" s="1" t="s">
        <v>441</v>
      </c>
      <c r="DR1890" s="1" t="s">
        <v>588</v>
      </c>
      <c r="DS1890" s="1" t="s">
        <v>591</v>
      </c>
      <c r="DU1890" s="1" t="s">
        <v>18247</v>
      </c>
      <c r="DV1890" s="1" t="s">
        <v>5014</v>
      </c>
      <c r="DW1890" s="1" t="s">
        <v>764</v>
      </c>
      <c r="DX1890" s="1" t="s">
        <v>234</v>
      </c>
      <c r="DY1890" s="1" t="s">
        <v>1559</v>
      </c>
      <c r="DZ1890" s="1" t="s">
        <v>2648</v>
      </c>
      <c r="EA1890" s="1" t="s">
        <v>344</v>
      </c>
      <c r="EB1890" s="1" t="s">
        <v>937</v>
      </c>
      <c r="EC1890" s="1" t="s">
        <v>237</v>
      </c>
      <c r="EE1890" s="1" t="s">
        <v>8121</v>
      </c>
      <c r="EH1890" s="1" t="s">
        <v>494</v>
      </c>
      <c r="EJ1890" s="1" t="s">
        <v>408</v>
      </c>
      <c r="EM1890" s="1" t="s">
        <v>238</v>
      </c>
      <c r="EP1890" s="1" t="s">
        <v>300</v>
      </c>
      <c r="EQ1890" s="1" t="s">
        <v>206</v>
      </c>
      <c r="ER1890" s="1" t="s">
        <v>207</v>
      </c>
      <c r="EU1890" s="1" t="s">
        <v>238</v>
      </c>
      <c r="EX1890" s="1" t="s">
        <v>18248</v>
      </c>
      <c r="EY1890" s="1" t="s">
        <v>206</v>
      </c>
      <c r="EZ1890" s="1" t="s">
        <v>207</v>
      </c>
      <c r="FC1890" s="1" t="s">
        <v>238</v>
      </c>
      <c r="FF1890" s="1" t="s">
        <v>239</v>
      </c>
      <c r="FG1890" s="1" t="s">
        <v>192</v>
      </c>
      <c r="FH1890" s="1" t="s">
        <v>192</v>
      </c>
      <c r="FJ1890" s="1" t="s">
        <v>347</v>
      </c>
      <c r="FK1890" s="1" t="s">
        <v>229</v>
      </c>
      <c r="FL1890" s="1" t="s">
        <v>8122</v>
      </c>
      <c r="FM1890" s="1">
        <v>23163.0</v>
      </c>
      <c r="FN1890" s="1" t="s">
        <v>8123</v>
      </c>
      <c r="FO1890" s="1" t="s">
        <v>8124</v>
      </c>
      <c r="FP1890" s="1">
        <v>256811.0</v>
      </c>
      <c r="FQ1890" s="1" t="s">
        <v>8125</v>
      </c>
      <c r="FU1890" s="1" t="s">
        <v>18249</v>
      </c>
      <c r="FV1890" s="1" t="s">
        <v>200</v>
      </c>
      <c r="FW1890" s="1" t="s">
        <v>1511</v>
      </c>
      <c r="FZ1890" s="1" t="s">
        <v>229</v>
      </c>
      <c r="GA1890" s="1" t="s">
        <v>291</v>
      </c>
      <c r="GB1890" s="2">
        <v>41980.0</v>
      </c>
      <c r="GC1890" s="1" t="s">
        <v>18250</v>
      </c>
    </row>
    <row r="1891">
      <c r="A1891" s="1">
        <v>181900.0</v>
      </c>
      <c r="B1891" s="1" t="s">
        <v>185</v>
      </c>
      <c r="C1891" s="1" t="str">
        <f>"08714493"</f>
        <v>08714493</v>
      </c>
      <c r="D1891" s="1" t="s">
        <v>186</v>
      </c>
      <c r="F1891" s="1" t="str">
        <f>"8063"</f>
        <v>8063</v>
      </c>
      <c r="G1891" s="2">
        <v>41880.0</v>
      </c>
      <c r="H1891" s="1">
        <v>184900.0</v>
      </c>
      <c r="I1891" s="1">
        <v>25.0</v>
      </c>
      <c r="J1891" s="1">
        <v>184900.0</v>
      </c>
      <c r="K1891" s="2">
        <v>41904.0</v>
      </c>
      <c r="L1891" s="1">
        <v>25.0</v>
      </c>
      <c r="M1891" s="2">
        <v>41904.0</v>
      </c>
      <c r="N1891" s="1" t="s">
        <v>356</v>
      </c>
      <c r="O1891" s="2">
        <v>41988.0</v>
      </c>
      <c r="P1891" s="1">
        <v>877584.0</v>
      </c>
      <c r="Q1891" s="1">
        <v>17665.0</v>
      </c>
      <c r="S1891" s="1">
        <v>5727.0</v>
      </c>
      <c r="T1891" s="1" t="s">
        <v>12208</v>
      </c>
      <c r="U1891" s="1" t="s">
        <v>189</v>
      </c>
      <c r="V1891" s="1" t="s">
        <v>190</v>
      </c>
      <c r="W1891" s="1">
        <v>60629.0</v>
      </c>
      <c r="Y1891" s="1" t="s">
        <v>18251</v>
      </c>
      <c r="Z1891" s="1" t="s">
        <v>296</v>
      </c>
      <c r="AA1891" s="1" t="s">
        <v>192</v>
      </c>
      <c r="AB1891" s="1" t="s">
        <v>193</v>
      </c>
      <c r="AD1891" s="1" t="s">
        <v>194</v>
      </c>
      <c r="AE1891" s="1" t="s">
        <v>195</v>
      </c>
      <c r="AF1891" s="1" t="s">
        <v>659</v>
      </c>
      <c r="AH1891" s="1" t="s">
        <v>359</v>
      </c>
      <c r="AK1891" s="1">
        <v>8.0</v>
      </c>
      <c r="AL1891" s="1">
        <v>4.0</v>
      </c>
      <c r="AM1891" s="1">
        <v>2.0</v>
      </c>
      <c r="AN1891" s="1">
        <v>0.0</v>
      </c>
      <c r="AO1891" s="1" t="s">
        <v>229</v>
      </c>
      <c r="AQ1891" s="1" t="s">
        <v>327</v>
      </c>
      <c r="AR1891" s="1" t="s">
        <v>192</v>
      </c>
      <c r="AS1891" s="1" t="s">
        <v>828</v>
      </c>
      <c r="AU1891" s="1">
        <v>2.0</v>
      </c>
      <c r="AV1891" s="1" t="s">
        <v>200</v>
      </c>
      <c r="AW1891" s="1">
        <v>1126.0</v>
      </c>
      <c r="AX1891" s="1">
        <v>2012.0</v>
      </c>
      <c r="AY1891" s="1" t="s">
        <v>588</v>
      </c>
      <c r="AZ1891" s="1" t="s">
        <v>200</v>
      </c>
      <c r="BA1891" s="1" t="str">
        <f>"19142160110000"</f>
        <v>19142160110000</v>
      </c>
      <c r="BB1891" s="1" t="s">
        <v>200</v>
      </c>
      <c r="BC1891" s="1">
        <v>1008.0</v>
      </c>
      <c r="BD1891" s="1">
        <v>181900.0</v>
      </c>
      <c r="BE1891" s="2">
        <v>41880.0</v>
      </c>
      <c r="BF1891" s="1" t="s">
        <v>18252</v>
      </c>
      <c r="BH1891" s="1">
        <v>0.0</v>
      </c>
      <c r="BK1891" s="1" t="s">
        <v>204</v>
      </c>
      <c r="BL1891" s="1" t="str">
        <f t="shared" ref="BL1891:BM1891" si="1247">"0"</f>
        <v>0</v>
      </c>
      <c r="BM1891" s="1" t="str">
        <f t="shared" si="1247"/>
        <v>0</v>
      </c>
      <c r="BN1891" s="1">
        <v>3500.0</v>
      </c>
      <c r="BO1891" s="1">
        <v>5727.0</v>
      </c>
      <c r="BQ1891" s="1">
        <v>299.0</v>
      </c>
      <c r="BR1891" s="1">
        <v>299.0</v>
      </c>
      <c r="BS1891" s="1">
        <v>299.0</v>
      </c>
      <c r="BU1891" s="1" t="s">
        <v>215</v>
      </c>
      <c r="BV1891" s="1" t="s">
        <v>206</v>
      </c>
      <c r="BW1891" s="1" t="s">
        <v>207</v>
      </c>
      <c r="BX1891" s="1" t="s">
        <v>239</v>
      </c>
      <c r="BY1891" s="1" t="s">
        <v>212</v>
      </c>
      <c r="BZ1891" s="1" t="s">
        <v>206</v>
      </c>
      <c r="CA1891" s="1" t="s">
        <v>207</v>
      </c>
      <c r="CB1891" s="1" t="s">
        <v>229</v>
      </c>
      <c r="CC1891" s="1" t="s">
        <v>363</v>
      </c>
      <c r="CD1891" s="1" t="s">
        <v>206</v>
      </c>
      <c r="CE1891" s="1" t="s">
        <v>207</v>
      </c>
      <c r="CF1891" s="1" t="s">
        <v>229</v>
      </c>
      <c r="CG1891" s="1" t="s">
        <v>495</v>
      </c>
      <c r="CH1891" s="1" t="s">
        <v>206</v>
      </c>
      <c r="CI1891" s="1" t="s">
        <v>207</v>
      </c>
      <c r="CJ1891" s="1" t="s">
        <v>229</v>
      </c>
      <c r="CK1891" s="1" t="s">
        <v>2047</v>
      </c>
      <c r="CL1891" s="1" t="s">
        <v>209</v>
      </c>
      <c r="CM1891" s="1" t="s">
        <v>210</v>
      </c>
      <c r="CN1891" s="1" t="s">
        <v>229</v>
      </c>
      <c r="CO1891" s="1" t="s">
        <v>2047</v>
      </c>
      <c r="CP1891" s="1" t="s">
        <v>209</v>
      </c>
      <c r="CQ1891" s="1" t="s">
        <v>210</v>
      </c>
      <c r="CR1891" s="1" t="s">
        <v>229</v>
      </c>
      <c r="CS1891" s="1" t="s">
        <v>269</v>
      </c>
      <c r="CT1891" s="1" t="s">
        <v>206</v>
      </c>
      <c r="CU1891" s="1" t="s">
        <v>207</v>
      </c>
      <c r="CV1891" s="1" t="s">
        <v>229</v>
      </c>
      <c r="CW1891" s="1" t="s">
        <v>677</v>
      </c>
      <c r="CX1891" s="1" t="s">
        <v>42</v>
      </c>
      <c r="CY1891" s="1" t="s">
        <v>588</v>
      </c>
      <c r="CZ1891" s="1" t="s">
        <v>229</v>
      </c>
      <c r="DA1891" s="1" t="s">
        <v>200</v>
      </c>
      <c r="DC1891" s="1" t="s">
        <v>545</v>
      </c>
      <c r="DE1891" s="1" t="s">
        <v>229</v>
      </c>
      <c r="DF1891" s="1" t="s">
        <v>219</v>
      </c>
      <c r="DH1891" s="1" t="s">
        <v>307</v>
      </c>
      <c r="DI1891" s="1" t="s">
        <v>18253</v>
      </c>
      <c r="DJ1891" s="1" t="s">
        <v>222</v>
      </c>
      <c r="DL1891" s="1" t="s">
        <v>224</v>
      </c>
      <c r="DM1891" s="1" t="s">
        <v>229</v>
      </c>
      <c r="DP1891" s="1" t="s">
        <v>340</v>
      </c>
      <c r="DQ1891" s="1" t="s">
        <v>228</v>
      </c>
      <c r="DR1891" s="1" t="s">
        <v>229</v>
      </c>
      <c r="DS1891" s="1" t="s">
        <v>230</v>
      </c>
      <c r="DV1891" s="1" t="s">
        <v>232</v>
      </c>
      <c r="DW1891" s="1" t="s">
        <v>279</v>
      </c>
      <c r="DX1891" s="1" t="s">
        <v>234</v>
      </c>
      <c r="DY1891" s="1" t="s">
        <v>704</v>
      </c>
      <c r="EA1891" s="1" t="s">
        <v>644</v>
      </c>
      <c r="EC1891" s="1" t="s">
        <v>645</v>
      </c>
      <c r="EM1891" s="1" t="s">
        <v>238</v>
      </c>
      <c r="EQ1891" s="1" t="s">
        <v>238</v>
      </c>
      <c r="EU1891" s="1" t="s">
        <v>238</v>
      </c>
      <c r="EY1891" s="1" t="s">
        <v>238</v>
      </c>
      <c r="FC1891" s="1" t="s">
        <v>238</v>
      </c>
      <c r="FF1891" s="1" t="s">
        <v>239</v>
      </c>
      <c r="FG1891" s="1" t="s">
        <v>192</v>
      </c>
      <c r="FH1891" s="1" t="s">
        <v>192</v>
      </c>
      <c r="FJ1891" s="1" t="s">
        <v>4404</v>
      </c>
      <c r="FK1891" s="1" t="s">
        <v>229</v>
      </c>
      <c r="FL1891" s="1" t="s">
        <v>562</v>
      </c>
      <c r="FM1891" s="1">
        <v>17665.0</v>
      </c>
      <c r="FN1891" s="1" t="s">
        <v>2998</v>
      </c>
      <c r="FO1891" s="1" t="s">
        <v>18254</v>
      </c>
      <c r="FP1891" s="1">
        <v>877584.0</v>
      </c>
      <c r="FQ1891" s="1" t="s">
        <v>18255</v>
      </c>
      <c r="FU1891" s="1" t="s">
        <v>18256</v>
      </c>
      <c r="FV1891" s="1" t="s">
        <v>200</v>
      </c>
      <c r="FW1891" s="1" t="s">
        <v>530</v>
      </c>
      <c r="FX1891" s="1" t="s">
        <v>655</v>
      </c>
      <c r="FZ1891" s="1" t="s">
        <v>229</v>
      </c>
      <c r="GA1891" s="1" t="s">
        <v>291</v>
      </c>
      <c r="GB1891" s="2">
        <v>41988.0</v>
      </c>
    </row>
    <row r="1892">
      <c r="A1892" s="1">
        <v>97000.0</v>
      </c>
      <c r="B1892" s="1" t="s">
        <v>185</v>
      </c>
      <c r="C1892" s="1" t="str">
        <f>"08712603"</f>
        <v>08712603</v>
      </c>
      <c r="D1892" s="1" t="s">
        <v>186</v>
      </c>
      <c r="F1892" s="1" t="str">
        <f>"8053"</f>
        <v>8053</v>
      </c>
      <c r="G1892" s="2">
        <v>41878.0</v>
      </c>
      <c r="H1892" s="1">
        <v>114900.0</v>
      </c>
      <c r="I1892" s="1">
        <v>79.0</v>
      </c>
      <c r="J1892" s="1">
        <v>99900.0</v>
      </c>
      <c r="K1892" s="2">
        <v>41956.0</v>
      </c>
      <c r="L1892" s="1">
        <v>79.0</v>
      </c>
      <c r="M1892" s="2">
        <v>41956.0</v>
      </c>
      <c r="N1892" s="1" t="s">
        <v>356</v>
      </c>
      <c r="O1892" s="2">
        <v>42006.0</v>
      </c>
      <c r="P1892" s="1">
        <v>120237.0</v>
      </c>
      <c r="Q1892" s="1">
        <v>85073.0</v>
      </c>
      <c r="R1892" s="1">
        <v>4000.0</v>
      </c>
      <c r="S1892" s="1">
        <v>101.0</v>
      </c>
      <c r="T1892" s="1" t="s">
        <v>18257</v>
      </c>
      <c r="U1892" s="1" t="s">
        <v>694</v>
      </c>
      <c r="V1892" s="1" t="s">
        <v>190</v>
      </c>
      <c r="W1892" s="1">
        <v>60628.0</v>
      </c>
      <c r="Y1892" s="1" t="s">
        <v>18258</v>
      </c>
      <c r="Z1892" s="1">
        <v>1952.0</v>
      </c>
      <c r="AA1892" s="1" t="s">
        <v>192</v>
      </c>
      <c r="AB1892" s="1" t="s">
        <v>193</v>
      </c>
      <c r="AD1892" s="1" t="s">
        <v>194</v>
      </c>
      <c r="AE1892" s="1" t="s">
        <v>195</v>
      </c>
      <c r="AF1892" s="1" t="s">
        <v>659</v>
      </c>
      <c r="AH1892" s="1">
        <v>0.099</v>
      </c>
      <c r="AK1892" s="1">
        <v>9.0</v>
      </c>
      <c r="AL1892" s="1">
        <v>3.0</v>
      </c>
      <c r="AM1892" s="1">
        <v>2.0</v>
      </c>
      <c r="AN1892" s="1">
        <v>0.0</v>
      </c>
      <c r="AO1892" s="1" t="s">
        <v>229</v>
      </c>
      <c r="AQ1892" s="1" t="s">
        <v>198</v>
      </c>
      <c r="AR1892" s="1" t="s">
        <v>192</v>
      </c>
      <c r="AS1892" s="1" t="s">
        <v>199</v>
      </c>
      <c r="AT1892" s="1">
        <v>2.0</v>
      </c>
      <c r="AV1892" s="1" t="s">
        <v>200</v>
      </c>
      <c r="AW1892" s="1">
        <v>1504.0</v>
      </c>
      <c r="AX1892" s="1">
        <v>2012.0</v>
      </c>
      <c r="AZ1892" s="1" t="s">
        <v>200</v>
      </c>
      <c r="BA1892" s="1" t="str">
        <f>"25284410160000"</f>
        <v>25284410160000</v>
      </c>
      <c r="BB1892" s="1" t="s">
        <v>200</v>
      </c>
      <c r="BC1892" s="1">
        <v>1400.0</v>
      </c>
      <c r="BD1892" s="1">
        <v>97000.0</v>
      </c>
      <c r="BE1892" s="2">
        <v>41878.0</v>
      </c>
      <c r="BF1892" s="2" t="s">
        <v>18259</v>
      </c>
      <c r="BH1892" s="1">
        <v>0.0</v>
      </c>
      <c r="BK1892" s="1" t="s">
        <v>204</v>
      </c>
      <c r="BL1892" s="1" t="str">
        <f t="shared" ref="BL1892:BM1892" si="1248">"0"</f>
        <v>0</v>
      </c>
      <c r="BM1892" s="1" t="str">
        <f t="shared" si="1248"/>
        <v>0</v>
      </c>
      <c r="BN1892" s="1">
        <v>100.0</v>
      </c>
      <c r="BO1892" s="1">
        <v>126.0</v>
      </c>
      <c r="BQ1892" s="1">
        <v>299.0</v>
      </c>
      <c r="BR1892" s="1">
        <v>299.0</v>
      </c>
      <c r="BS1892" s="1">
        <v>299.0</v>
      </c>
      <c r="BU1892" s="1" t="s">
        <v>211</v>
      </c>
      <c r="BV1892" s="1" t="s">
        <v>206</v>
      </c>
      <c r="BW1892" s="1" t="s">
        <v>210</v>
      </c>
      <c r="BX1892" s="1" t="s">
        <v>431</v>
      </c>
      <c r="BY1892" s="1" t="s">
        <v>433</v>
      </c>
      <c r="BZ1892" s="1" t="s">
        <v>206</v>
      </c>
      <c r="CA1892" s="1" t="s">
        <v>210</v>
      </c>
      <c r="CD1892" s="1" t="s">
        <v>204</v>
      </c>
      <c r="CG1892" s="1" t="s">
        <v>495</v>
      </c>
      <c r="CH1892" s="1" t="s">
        <v>206</v>
      </c>
      <c r="CI1892" s="1" t="s">
        <v>210</v>
      </c>
      <c r="CK1892" s="1" t="s">
        <v>363</v>
      </c>
      <c r="CL1892" s="1" t="s">
        <v>206</v>
      </c>
      <c r="CM1892" s="1" t="s">
        <v>210</v>
      </c>
      <c r="CO1892" s="1" t="s">
        <v>4399</v>
      </c>
      <c r="CP1892" s="1" t="s">
        <v>42</v>
      </c>
      <c r="CQ1892" s="1" t="s">
        <v>268</v>
      </c>
      <c r="CS1892" s="1" t="s">
        <v>363</v>
      </c>
      <c r="CT1892" s="1" t="s">
        <v>206</v>
      </c>
      <c r="CU1892" s="1" t="s">
        <v>268</v>
      </c>
      <c r="CW1892" s="1" t="s">
        <v>515</v>
      </c>
      <c r="CX1892" s="1" t="s">
        <v>206</v>
      </c>
      <c r="CY1892" s="1" t="s">
        <v>210</v>
      </c>
      <c r="DA1892" s="1" t="s">
        <v>200</v>
      </c>
      <c r="DC1892" s="1" t="s">
        <v>702</v>
      </c>
      <c r="DD1892" s="1" t="s">
        <v>518</v>
      </c>
      <c r="DE1892" s="1" t="s">
        <v>6485</v>
      </c>
      <c r="DF1892" s="1" t="s">
        <v>619</v>
      </c>
      <c r="DG1892" s="1" t="s">
        <v>337</v>
      </c>
      <c r="DH1892" s="1" t="s">
        <v>365</v>
      </c>
      <c r="DI1892" s="1" t="s">
        <v>4998</v>
      </c>
      <c r="DJ1892" s="1" t="s">
        <v>222</v>
      </c>
      <c r="DK1892" s="1" t="s">
        <v>223</v>
      </c>
      <c r="DL1892" s="1" t="s">
        <v>224</v>
      </c>
      <c r="DM1892" s="1" t="s">
        <v>1143</v>
      </c>
      <c r="DN1892" s="1" t="s">
        <v>666</v>
      </c>
      <c r="DO1892" s="1" t="s">
        <v>590</v>
      </c>
      <c r="DQ1892" s="1" t="s">
        <v>794</v>
      </c>
      <c r="DR1892" s="1" t="s">
        <v>229</v>
      </c>
      <c r="DS1892" s="1" t="s">
        <v>230</v>
      </c>
      <c r="DV1892" s="1" t="s">
        <v>18260</v>
      </c>
      <c r="DW1892" s="1" t="s">
        <v>279</v>
      </c>
      <c r="DX1892" s="1" t="s">
        <v>234</v>
      </c>
      <c r="DY1892" s="1" t="s">
        <v>18261</v>
      </c>
      <c r="DZ1892" s="1" t="s">
        <v>18262</v>
      </c>
      <c r="EA1892" s="1" t="s">
        <v>1302</v>
      </c>
      <c r="EC1892" s="1" t="s">
        <v>311</v>
      </c>
      <c r="ED1892" s="1" t="s">
        <v>1794</v>
      </c>
      <c r="EG1892" s="1" t="s">
        <v>1407</v>
      </c>
      <c r="EH1892" s="1" t="s">
        <v>450</v>
      </c>
      <c r="EL1892" s="1" t="s">
        <v>496</v>
      </c>
      <c r="EM1892" s="1" t="s">
        <v>42</v>
      </c>
      <c r="EN1892" s="1" t="s">
        <v>268</v>
      </c>
      <c r="EP1892" s="1" t="s">
        <v>333</v>
      </c>
      <c r="EQ1892" s="1" t="s">
        <v>42</v>
      </c>
      <c r="ER1892" s="1" t="s">
        <v>268</v>
      </c>
      <c r="EU1892" s="1" t="s">
        <v>238</v>
      </c>
      <c r="EY1892" s="1" t="s">
        <v>238</v>
      </c>
      <c r="FC1892" s="1" t="s">
        <v>238</v>
      </c>
      <c r="FF1892" s="1" t="s">
        <v>239</v>
      </c>
      <c r="FG1892" s="1" t="s">
        <v>192</v>
      </c>
      <c r="FH1892" s="1" t="s">
        <v>192</v>
      </c>
      <c r="FJ1892" s="1" t="s">
        <v>2552</v>
      </c>
      <c r="FK1892" s="1" t="s">
        <v>229</v>
      </c>
      <c r="FL1892" s="1" t="s">
        <v>2718</v>
      </c>
      <c r="FM1892" s="1">
        <v>61080.0</v>
      </c>
      <c r="FN1892" s="1" t="s">
        <v>2719</v>
      </c>
      <c r="FO1892" s="1" t="s">
        <v>2720</v>
      </c>
      <c r="FP1892" s="1">
        <v>506455.0</v>
      </c>
      <c r="FQ1892" s="1" t="s">
        <v>2721</v>
      </c>
      <c r="FU1892" s="1" t="s">
        <v>2722</v>
      </c>
      <c r="FV1892" s="1" t="s">
        <v>200</v>
      </c>
      <c r="FW1892" s="1" t="s">
        <v>290</v>
      </c>
      <c r="FX1892" s="1" t="s">
        <v>246</v>
      </c>
      <c r="FZ1892" s="1" t="s">
        <v>229</v>
      </c>
      <c r="GA1892" s="1" t="s">
        <v>291</v>
      </c>
      <c r="GB1892" s="2">
        <v>42012.0</v>
      </c>
      <c r="GC1892" s="1" t="s">
        <v>18263</v>
      </c>
    </row>
    <row r="1893">
      <c r="A1893" s="1">
        <v>292500.0</v>
      </c>
      <c r="B1893" s="1" t="s">
        <v>185</v>
      </c>
      <c r="C1893" s="1" t="str">
        <f>"08714938"</f>
        <v>08714938</v>
      </c>
      <c r="D1893" s="1" t="s">
        <v>186</v>
      </c>
      <c r="F1893" s="1" t="str">
        <f>"178"</f>
        <v>178</v>
      </c>
      <c r="G1893" s="2">
        <v>41880.0</v>
      </c>
      <c r="H1893" s="1">
        <v>309900.0</v>
      </c>
      <c r="I1893" s="1">
        <v>520.0</v>
      </c>
      <c r="J1893" s="1">
        <v>305000.0</v>
      </c>
      <c r="K1893" s="2">
        <v>42031.0</v>
      </c>
      <c r="L1893" s="1">
        <v>154.0</v>
      </c>
      <c r="M1893" s="2">
        <v>42031.0</v>
      </c>
      <c r="N1893" s="1" t="s">
        <v>187</v>
      </c>
      <c r="O1893" s="2">
        <v>42067.0</v>
      </c>
      <c r="P1893" s="1">
        <v>500.0</v>
      </c>
      <c r="Q1893" s="1">
        <v>30.0</v>
      </c>
      <c r="S1893" s="1">
        <v>27699.0</v>
      </c>
      <c r="T1893" s="1" t="s">
        <v>11819</v>
      </c>
      <c r="U1893" s="1" t="s">
        <v>1174</v>
      </c>
      <c r="V1893" s="1" t="s">
        <v>994</v>
      </c>
      <c r="W1893" s="1">
        <v>60178.0</v>
      </c>
      <c r="Y1893" s="1" t="s">
        <v>18264</v>
      </c>
      <c r="Z1893" s="1">
        <v>1995.0</v>
      </c>
      <c r="AA1893" s="1" t="s">
        <v>200</v>
      </c>
      <c r="AB1893" s="1" t="s">
        <v>193</v>
      </c>
      <c r="AC1893" s="1" t="s">
        <v>18265</v>
      </c>
      <c r="AD1893" s="1" t="s">
        <v>1089</v>
      </c>
      <c r="AE1893" s="1" t="s">
        <v>613</v>
      </c>
      <c r="AF1893" s="1" t="s">
        <v>997</v>
      </c>
      <c r="AG1893" s="1" t="s">
        <v>752</v>
      </c>
      <c r="AH1893" s="1" t="s">
        <v>18266</v>
      </c>
      <c r="AI1893" s="1">
        <v>1.09</v>
      </c>
      <c r="AK1893" s="1">
        <v>8.0</v>
      </c>
      <c r="AL1893" s="1">
        <v>4.0</v>
      </c>
      <c r="AM1893" s="1">
        <v>2.0</v>
      </c>
      <c r="AN1893" s="1">
        <v>1.0</v>
      </c>
      <c r="AO1893" s="1" t="s">
        <v>198</v>
      </c>
      <c r="AP1893" s="1">
        <v>1.0</v>
      </c>
      <c r="AQ1893" s="1" t="s">
        <v>472</v>
      </c>
      <c r="AR1893" s="1" t="s">
        <v>200</v>
      </c>
      <c r="AS1893" s="1" t="s">
        <v>199</v>
      </c>
      <c r="AT1893" s="1">
        <v>3.0</v>
      </c>
      <c r="AV1893" s="1" t="s">
        <v>200</v>
      </c>
      <c r="AW1893" s="1">
        <v>7140.0</v>
      </c>
      <c r="AX1893" s="1">
        <v>2013.0</v>
      </c>
      <c r="AY1893" s="1" t="s">
        <v>387</v>
      </c>
      <c r="AZ1893" s="1" t="s">
        <v>200</v>
      </c>
      <c r="BA1893" s="1" t="str">
        <f>"0614106001"</f>
        <v>0614106001</v>
      </c>
      <c r="BB1893" s="1" t="s">
        <v>200</v>
      </c>
      <c r="BC1893" s="1">
        <v>2500.0</v>
      </c>
      <c r="BD1893" s="1">
        <v>292500.0</v>
      </c>
      <c r="BE1893" s="2">
        <v>41878.0</v>
      </c>
      <c r="BF1893" s="2" t="s">
        <v>18267</v>
      </c>
      <c r="BG1893" s="1" t="s">
        <v>18268</v>
      </c>
      <c r="BH1893" s="1">
        <v>0.0</v>
      </c>
      <c r="BI1893" s="1" t="s">
        <v>4135</v>
      </c>
      <c r="BJ1893" s="1" t="s">
        <v>4136</v>
      </c>
      <c r="BK1893" s="1" t="s">
        <v>204</v>
      </c>
      <c r="BL1893" s="1" t="str">
        <f t="shared" ref="BL1893:BM1893" si="1249">""</f>
        <v/>
      </c>
      <c r="BM1893" s="1" t="str">
        <f t="shared" si="1249"/>
        <v/>
      </c>
      <c r="BQ1893" s="1">
        <v>427.0</v>
      </c>
      <c r="BR1893" s="1">
        <v>427.0</v>
      </c>
      <c r="BS1893" s="1">
        <v>427.0</v>
      </c>
      <c r="BU1893" s="1" t="s">
        <v>2120</v>
      </c>
      <c r="BV1893" s="1" t="s">
        <v>206</v>
      </c>
      <c r="BW1893" s="1" t="s">
        <v>210</v>
      </c>
      <c r="BX1893" s="1" t="s">
        <v>239</v>
      </c>
      <c r="BY1893" s="1" t="s">
        <v>2800</v>
      </c>
      <c r="BZ1893" s="1" t="s">
        <v>209</v>
      </c>
      <c r="CA1893" s="1" t="s">
        <v>210</v>
      </c>
      <c r="CB1893" s="1" t="s">
        <v>239</v>
      </c>
      <c r="CC1893" s="1" t="s">
        <v>331</v>
      </c>
      <c r="CD1893" s="1" t="s">
        <v>206</v>
      </c>
      <c r="CE1893" s="1" t="s">
        <v>210</v>
      </c>
      <c r="CF1893" s="1" t="s">
        <v>239</v>
      </c>
      <c r="CG1893" s="1" t="s">
        <v>329</v>
      </c>
      <c r="CH1893" s="1" t="s">
        <v>209</v>
      </c>
      <c r="CI1893" s="1" t="s">
        <v>210</v>
      </c>
      <c r="CJ1893" s="1" t="s">
        <v>239</v>
      </c>
      <c r="CK1893" s="1" t="s">
        <v>331</v>
      </c>
      <c r="CL1893" s="1" t="s">
        <v>209</v>
      </c>
      <c r="CM1893" s="1" t="s">
        <v>210</v>
      </c>
      <c r="CN1893" s="1" t="s">
        <v>239</v>
      </c>
      <c r="CO1893" s="1" t="s">
        <v>264</v>
      </c>
      <c r="CP1893" s="1" t="s">
        <v>209</v>
      </c>
      <c r="CQ1893" s="1" t="s">
        <v>210</v>
      </c>
      <c r="CR1893" s="1" t="s">
        <v>239</v>
      </c>
      <c r="CS1893" s="1" t="s">
        <v>434</v>
      </c>
      <c r="CT1893" s="1" t="s">
        <v>206</v>
      </c>
      <c r="CU1893" s="1" t="s">
        <v>207</v>
      </c>
      <c r="CV1893" s="1" t="s">
        <v>229</v>
      </c>
      <c r="CW1893" s="1" t="s">
        <v>333</v>
      </c>
      <c r="CX1893" s="1" t="s">
        <v>206</v>
      </c>
      <c r="CY1893" s="1" t="s">
        <v>210</v>
      </c>
      <c r="CZ1893" s="1" t="s">
        <v>229</v>
      </c>
      <c r="DA1893" s="1" t="s">
        <v>200</v>
      </c>
      <c r="DC1893" s="1" t="s">
        <v>678</v>
      </c>
      <c r="DD1893" s="1" t="s">
        <v>336</v>
      </c>
      <c r="DE1893" s="1" t="s">
        <v>273</v>
      </c>
      <c r="DF1893" s="1" t="s">
        <v>219</v>
      </c>
      <c r="DG1893" s="1" t="s">
        <v>1553</v>
      </c>
      <c r="DH1893" s="1" t="s">
        <v>856</v>
      </c>
      <c r="DI1893" s="1" t="s">
        <v>308</v>
      </c>
      <c r="DJ1893" s="1" t="s">
        <v>18269</v>
      </c>
      <c r="DK1893" s="1" t="s">
        <v>2312</v>
      </c>
      <c r="DL1893" s="1" t="s">
        <v>858</v>
      </c>
      <c r="DM1893" s="1" t="s">
        <v>338</v>
      </c>
      <c r="DN1893" s="1" t="s">
        <v>399</v>
      </c>
      <c r="DO1893" s="1" t="s">
        <v>859</v>
      </c>
      <c r="DP1893" s="1" t="s">
        <v>340</v>
      </c>
      <c r="DQ1893" s="1" t="s">
        <v>931</v>
      </c>
      <c r="DR1893" s="1" t="s">
        <v>229</v>
      </c>
      <c r="DS1893" s="1" t="s">
        <v>368</v>
      </c>
      <c r="DU1893" s="1" t="s">
        <v>18270</v>
      </c>
      <c r="DV1893" s="1" t="s">
        <v>408</v>
      </c>
      <c r="DW1893" s="1" t="s">
        <v>964</v>
      </c>
      <c r="DX1893" s="1" t="s">
        <v>234</v>
      </c>
      <c r="DY1893" s="1" t="s">
        <v>596</v>
      </c>
      <c r="DZ1893" s="1" t="s">
        <v>310</v>
      </c>
      <c r="EA1893" s="1" t="s">
        <v>344</v>
      </c>
      <c r="EB1893" s="1" t="s">
        <v>5995</v>
      </c>
      <c r="EC1893" s="1" t="s">
        <v>237</v>
      </c>
      <c r="ED1893" s="1" t="s">
        <v>407</v>
      </c>
      <c r="EE1893" s="1" t="s">
        <v>493</v>
      </c>
      <c r="EG1893" s="1" t="s">
        <v>408</v>
      </c>
      <c r="EL1893" s="1" t="s">
        <v>3182</v>
      </c>
      <c r="EM1893" s="1" t="s">
        <v>206</v>
      </c>
      <c r="EN1893" s="1" t="s">
        <v>207</v>
      </c>
      <c r="EO1893" s="1" t="s">
        <v>229</v>
      </c>
      <c r="EQ1893" s="1" t="s">
        <v>238</v>
      </c>
      <c r="EU1893" s="1" t="s">
        <v>238</v>
      </c>
      <c r="EY1893" s="1" t="s">
        <v>238</v>
      </c>
      <c r="FC1893" s="1" t="s">
        <v>238</v>
      </c>
      <c r="FF1893" s="1" t="s">
        <v>239</v>
      </c>
      <c r="FG1893" s="1" t="s">
        <v>192</v>
      </c>
      <c r="FH1893" s="1" t="s">
        <v>192</v>
      </c>
      <c r="FJ1893" s="1" t="s">
        <v>498</v>
      </c>
      <c r="FK1893" s="1" t="s">
        <v>348</v>
      </c>
      <c r="FL1893" s="1" t="s">
        <v>6233</v>
      </c>
      <c r="FM1893" s="1">
        <v>7630.0</v>
      </c>
      <c r="FN1893" s="1" t="s">
        <v>6234</v>
      </c>
      <c r="FO1893" s="1" t="s">
        <v>6235</v>
      </c>
      <c r="FP1893" s="1">
        <v>77883.0</v>
      </c>
      <c r="FQ1893" s="1" t="s">
        <v>6236</v>
      </c>
      <c r="FS1893" s="1" t="s">
        <v>6237</v>
      </c>
      <c r="FU1893" s="1" t="s">
        <v>18271</v>
      </c>
      <c r="FV1893" s="1" t="s">
        <v>200</v>
      </c>
      <c r="FW1893" s="1" t="s">
        <v>2754</v>
      </c>
      <c r="FZ1893" s="1" t="s">
        <v>229</v>
      </c>
      <c r="GA1893" s="1" t="s">
        <v>291</v>
      </c>
      <c r="GB1893" s="2">
        <v>42067.0</v>
      </c>
      <c r="GC1893" s="1" t="s">
        <v>18272</v>
      </c>
    </row>
    <row r="1894">
      <c r="A1894" s="1">
        <v>420000.0</v>
      </c>
      <c r="B1894" s="1" t="s">
        <v>185</v>
      </c>
      <c r="C1894" s="1" t="str">
        <f>"08720109"</f>
        <v>08720109</v>
      </c>
      <c r="D1894" s="1" t="s">
        <v>186</v>
      </c>
      <c r="F1894" s="1" t="str">
        <f>"177"</f>
        <v>177</v>
      </c>
      <c r="G1894" s="2">
        <v>41887.0</v>
      </c>
      <c r="H1894" s="1">
        <v>450000.0</v>
      </c>
      <c r="I1894" s="1">
        <v>43.0</v>
      </c>
      <c r="J1894" s="1">
        <v>430000.0</v>
      </c>
      <c r="K1894" s="2">
        <v>41929.0</v>
      </c>
      <c r="L1894" s="1">
        <v>43.0</v>
      </c>
      <c r="M1894" s="2">
        <v>41929.0</v>
      </c>
      <c r="N1894" s="1" t="s">
        <v>187</v>
      </c>
      <c r="O1894" s="2">
        <v>41974.0</v>
      </c>
      <c r="P1894" s="1">
        <v>82909.0</v>
      </c>
      <c r="Q1894" s="1">
        <v>8092.0</v>
      </c>
      <c r="S1894" s="1">
        <v>610.0</v>
      </c>
      <c r="T1894" s="1" t="s">
        <v>5341</v>
      </c>
      <c r="U1894" s="1" t="s">
        <v>844</v>
      </c>
      <c r="V1894" s="1" t="s">
        <v>2249</v>
      </c>
      <c r="W1894" s="1">
        <v>60177.0</v>
      </c>
      <c r="Y1894" s="1" t="s">
        <v>18273</v>
      </c>
      <c r="Z1894" s="1">
        <v>2001.0</v>
      </c>
      <c r="AA1894" s="1" t="s">
        <v>200</v>
      </c>
      <c r="AB1894" s="1" t="s">
        <v>467</v>
      </c>
      <c r="AC1894" s="1" t="s">
        <v>4508</v>
      </c>
      <c r="AD1894" s="1" t="s">
        <v>2252</v>
      </c>
      <c r="AE1894" s="1" t="s">
        <v>325</v>
      </c>
      <c r="AF1894" s="1" t="s">
        <v>1203</v>
      </c>
      <c r="AH1894" s="1" t="s">
        <v>18274</v>
      </c>
      <c r="AI1894" s="1">
        <v>0.2487</v>
      </c>
      <c r="AK1894" s="1">
        <v>10.0</v>
      </c>
      <c r="AL1894" s="1">
        <v>4.0</v>
      </c>
      <c r="AM1894" s="1">
        <v>2.0</v>
      </c>
      <c r="AN1894" s="1">
        <v>1.0</v>
      </c>
      <c r="AO1894" s="1" t="s">
        <v>198</v>
      </c>
      <c r="AP1894" s="1">
        <v>2.0</v>
      </c>
      <c r="AQ1894" s="1" t="s">
        <v>198</v>
      </c>
      <c r="AR1894" s="1" t="s">
        <v>200</v>
      </c>
      <c r="AS1894" s="1" t="s">
        <v>199</v>
      </c>
      <c r="AT1894" s="1">
        <v>3.0</v>
      </c>
      <c r="AV1894" s="1" t="s">
        <v>200</v>
      </c>
      <c r="AW1894" s="1">
        <v>12212.79</v>
      </c>
      <c r="AX1894" s="1">
        <v>2013.0</v>
      </c>
      <c r="AZ1894" s="1" t="s">
        <v>200</v>
      </c>
      <c r="BA1894" s="1" t="str">
        <f>"0905127018"</f>
        <v>0905127018</v>
      </c>
      <c r="BC1894" s="1">
        <v>3600.0</v>
      </c>
      <c r="BD1894" s="1">
        <v>420000.0</v>
      </c>
      <c r="BE1894" s="2">
        <v>41887.0</v>
      </c>
      <c r="BF1894" s="2" t="s">
        <v>18275</v>
      </c>
      <c r="BG1894" s="1" t="s">
        <v>5221</v>
      </c>
      <c r="BH1894" s="1">
        <v>117.0</v>
      </c>
      <c r="BI1894" s="1" t="s">
        <v>4511</v>
      </c>
      <c r="BJ1894" s="1" t="s">
        <v>2200</v>
      </c>
      <c r="BK1894" s="1" t="s">
        <v>1952</v>
      </c>
      <c r="BL1894" s="1" t="str">
        <f>"7"</f>
        <v>7</v>
      </c>
      <c r="BM1894" s="1" t="str">
        <f>"0"</f>
        <v>0</v>
      </c>
      <c r="BN1894" s="1">
        <v>37.0</v>
      </c>
      <c r="BO1894" s="1">
        <v>0.0</v>
      </c>
      <c r="BQ1894" s="1">
        <v>303.0</v>
      </c>
      <c r="BR1894" s="1">
        <v>303.0</v>
      </c>
      <c r="BS1894" s="1">
        <v>303.0</v>
      </c>
      <c r="BU1894" s="1" t="s">
        <v>361</v>
      </c>
      <c r="BV1894" s="1" t="s">
        <v>206</v>
      </c>
      <c r="BW1894" s="1" t="s">
        <v>207</v>
      </c>
      <c r="BX1894" s="1" t="s">
        <v>239</v>
      </c>
      <c r="BY1894" s="1" t="s">
        <v>639</v>
      </c>
      <c r="BZ1894" s="1" t="s">
        <v>209</v>
      </c>
      <c r="CA1894" s="1" t="s">
        <v>210</v>
      </c>
      <c r="CC1894" s="1" t="s">
        <v>262</v>
      </c>
      <c r="CD1894" s="1" t="s">
        <v>206</v>
      </c>
      <c r="CE1894" s="1" t="s">
        <v>207</v>
      </c>
      <c r="CG1894" s="1" t="s">
        <v>393</v>
      </c>
      <c r="CH1894" s="1" t="s">
        <v>209</v>
      </c>
      <c r="CI1894" s="1" t="s">
        <v>210</v>
      </c>
      <c r="CK1894" s="1" t="s">
        <v>393</v>
      </c>
      <c r="CL1894" s="1" t="s">
        <v>209</v>
      </c>
      <c r="CM1894" s="1" t="s">
        <v>210</v>
      </c>
      <c r="CO1894" s="1" t="s">
        <v>215</v>
      </c>
      <c r="CP1894" s="1" t="s">
        <v>209</v>
      </c>
      <c r="CQ1894" s="1" t="s">
        <v>210</v>
      </c>
      <c r="CS1894" s="1" t="s">
        <v>1483</v>
      </c>
      <c r="CT1894" s="1" t="s">
        <v>206</v>
      </c>
      <c r="CV1894" s="1" t="s">
        <v>239</v>
      </c>
      <c r="CW1894" s="1" t="s">
        <v>544</v>
      </c>
      <c r="CX1894" s="1" t="s">
        <v>206</v>
      </c>
      <c r="CY1894" s="1" t="s">
        <v>210</v>
      </c>
      <c r="CZ1894" s="1" t="s">
        <v>239</v>
      </c>
      <c r="DA1894" s="1" t="s">
        <v>200</v>
      </c>
      <c r="DC1894" s="1" t="s">
        <v>335</v>
      </c>
      <c r="DD1894" s="1" t="s">
        <v>957</v>
      </c>
      <c r="DE1894" s="1" t="s">
        <v>273</v>
      </c>
      <c r="DF1894" s="1" t="s">
        <v>219</v>
      </c>
      <c r="DG1894" s="1" t="s">
        <v>6030</v>
      </c>
      <c r="DH1894" s="1" t="s">
        <v>220</v>
      </c>
      <c r="DI1894" s="1" t="s">
        <v>17314</v>
      </c>
      <c r="DJ1894" s="1" t="s">
        <v>222</v>
      </c>
      <c r="DL1894" s="1" t="s">
        <v>224</v>
      </c>
      <c r="DM1894" s="1" t="s">
        <v>338</v>
      </c>
      <c r="DN1894" s="1" t="s">
        <v>399</v>
      </c>
      <c r="DP1894" s="1" t="s">
        <v>340</v>
      </c>
      <c r="DQ1894" s="1" t="s">
        <v>228</v>
      </c>
      <c r="DR1894" s="1" t="s">
        <v>2593</v>
      </c>
      <c r="DS1894" s="1" t="s">
        <v>591</v>
      </c>
      <c r="DU1894" s="1" t="s">
        <v>18276</v>
      </c>
      <c r="DV1894" s="1" t="s">
        <v>2259</v>
      </c>
      <c r="DW1894" s="1" t="s">
        <v>444</v>
      </c>
      <c r="DX1894" s="1" t="s">
        <v>234</v>
      </c>
      <c r="DY1894" s="1" t="s">
        <v>5197</v>
      </c>
      <c r="DZ1894" s="1" t="s">
        <v>2424</v>
      </c>
      <c r="EC1894" s="1" t="s">
        <v>237</v>
      </c>
      <c r="ED1894" s="1" t="s">
        <v>407</v>
      </c>
      <c r="EG1894" s="1" t="s">
        <v>449</v>
      </c>
      <c r="EH1894" s="1" t="s">
        <v>450</v>
      </c>
      <c r="EL1894" s="1" t="s">
        <v>205</v>
      </c>
      <c r="EM1894" s="1" t="s">
        <v>206</v>
      </c>
      <c r="EP1894" s="1" t="s">
        <v>18277</v>
      </c>
      <c r="EQ1894" s="1" t="s">
        <v>42</v>
      </c>
      <c r="EU1894" s="1" t="s">
        <v>238</v>
      </c>
      <c r="EY1894" s="1" t="s">
        <v>238</v>
      </c>
      <c r="FC1894" s="1" t="s">
        <v>238</v>
      </c>
      <c r="FF1894" s="1" t="s">
        <v>239</v>
      </c>
      <c r="FG1894" s="1" t="s">
        <v>192</v>
      </c>
      <c r="FH1894" s="1" t="s">
        <v>192</v>
      </c>
      <c r="FJ1894" s="1" t="s">
        <v>2133</v>
      </c>
      <c r="FK1894" s="1" t="s">
        <v>229</v>
      </c>
      <c r="FL1894" s="1" t="s">
        <v>456</v>
      </c>
      <c r="FM1894" s="1">
        <v>49.0</v>
      </c>
      <c r="FN1894" s="1" t="s">
        <v>457</v>
      </c>
      <c r="FO1894" s="1" t="s">
        <v>5232</v>
      </c>
      <c r="FP1894" s="1">
        <v>7841.0</v>
      </c>
      <c r="FS1894" s="1" t="s">
        <v>18278</v>
      </c>
      <c r="FU1894" s="1" t="s">
        <v>18279</v>
      </c>
      <c r="FV1894" s="1" t="s">
        <v>200</v>
      </c>
      <c r="FW1894" s="1" t="s">
        <v>290</v>
      </c>
      <c r="FZ1894" s="1" t="s">
        <v>229</v>
      </c>
      <c r="GA1894" s="1" t="s">
        <v>291</v>
      </c>
      <c r="GB1894" s="2">
        <v>41974.0</v>
      </c>
      <c r="GC1894" s="1" t="s">
        <v>17653</v>
      </c>
    </row>
    <row r="1895">
      <c r="A1895" s="1">
        <v>243000.0</v>
      </c>
      <c r="B1895" s="1" t="s">
        <v>185</v>
      </c>
      <c r="C1895" s="1" t="str">
        <f>"08714311"</f>
        <v>08714311</v>
      </c>
      <c r="D1895" s="1" t="s">
        <v>186</v>
      </c>
      <c r="F1895" s="1" t="str">
        <f>"542"</f>
        <v>542</v>
      </c>
      <c r="G1895" s="2">
        <v>41880.0</v>
      </c>
      <c r="H1895" s="1">
        <v>309900.0</v>
      </c>
      <c r="I1895" s="1">
        <v>126.0</v>
      </c>
      <c r="J1895" s="1">
        <v>249900.0</v>
      </c>
      <c r="K1895" s="2">
        <v>42004.0</v>
      </c>
      <c r="L1895" s="1">
        <v>126.0</v>
      </c>
      <c r="M1895" s="2">
        <v>42004.0</v>
      </c>
      <c r="N1895" s="1" t="s">
        <v>249</v>
      </c>
      <c r="O1895" s="2">
        <v>42062.0</v>
      </c>
      <c r="P1895" s="1">
        <v>35162.0</v>
      </c>
      <c r="Q1895" s="1">
        <v>3146.0</v>
      </c>
      <c r="R1895" s="1">
        <v>5000.0</v>
      </c>
      <c r="S1895" s="1">
        <v>2828.0</v>
      </c>
      <c r="T1895" s="1" t="s">
        <v>18280</v>
      </c>
      <c r="U1895" s="1" t="s">
        <v>464</v>
      </c>
      <c r="V1895" s="1" t="s">
        <v>3984</v>
      </c>
      <c r="W1895" s="1">
        <v>60542.0</v>
      </c>
      <c r="Y1895" s="1" t="s">
        <v>18281</v>
      </c>
      <c r="Z1895" s="1">
        <v>2002.0</v>
      </c>
      <c r="AA1895" s="1" t="s">
        <v>200</v>
      </c>
      <c r="AB1895" s="1" t="s">
        <v>467</v>
      </c>
      <c r="AC1895" s="1" t="s">
        <v>10447</v>
      </c>
      <c r="AD1895" s="1" t="s">
        <v>3986</v>
      </c>
      <c r="AE1895" s="1" t="s">
        <v>325</v>
      </c>
      <c r="AF1895" s="1" t="s">
        <v>1479</v>
      </c>
      <c r="AH1895" s="1" t="s">
        <v>18282</v>
      </c>
      <c r="AI1895" s="1">
        <v>0.32</v>
      </c>
      <c r="AK1895" s="1">
        <v>8.0</v>
      </c>
      <c r="AL1895" s="1">
        <v>4.0</v>
      </c>
      <c r="AM1895" s="1">
        <v>2.0</v>
      </c>
      <c r="AN1895" s="1">
        <v>1.0</v>
      </c>
      <c r="AO1895" s="1" t="s">
        <v>198</v>
      </c>
      <c r="AP1895" s="1">
        <v>1.0</v>
      </c>
      <c r="AQ1895" s="1" t="s">
        <v>198</v>
      </c>
      <c r="AR1895" s="1" t="s">
        <v>200</v>
      </c>
      <c r="AS1895" s="1" t="s">
        <v>199</v>
      </c>
      <c r="AT1895" s="1">
        <v>3.0</v>
      </c>
      <c r="AV1895" s="1" t="s">
        <v>200</v>
      </c>
      <c r="AW1895" s="1">
        <v>8526.38</v>
      </c>
      <c r="AX1895" s="1">
        <v>2013.0</v>
      </c>
      <c r="AY1895" s="1" t="s">
        <v>387</v>
      </c>
      <c r="AZ1895" s="1" t="s">
        <v>200</v>
      </c>
      <c r="BA1895" s="1" t="str">
        <f>"1136358003"</f>
        <v>1136358003</v>
      </c>
      <c r="BC1895" s="1">
        <v>2308.0</v>
      </c>
      <c r="BD1895" s="1">
        <v>243000.0</v>
      </c>
      <c r="BE1895" s="2">
        <v>41879.0</v>
      </c>
      <c r="BF1895" s="2" t="s">
        <v>18283</v>
      </c>
      <c r="BG1895" s="1" t="s">
        <v>4420</v>
      </c>
      <c r="BH1895" s="1">
        <v>45.0</v>
      </c>
      <c r="BI1895" s="1" t="s">
        <v>4421</v>
      </c>
      <c r="BJ1895" s="1" t="s">
        <v>3831</v>
      </c>
      <c r="BK1895" s="1" t="s">
        <v>1952</v>
      </c>
      <c r="BL1895" s="1" t="str">
        <f t="shared" ref="BL1895:BM1895" si="1250">""</f>
        <v/>
      </c>
      <c r="BM1895" s="1" t="str">
        <f t="shared" si="1250"/>
        <v/>
      </c>
      <c r="BQ1895" s="1">
        <v>129.0</v>
      </c>
      <c r="BR1895" s="1">
        <v>129.0</v>
      </c>
      <c r="BS1895" s="1">
        <v>129.0</v>
      </c>
      <c r="BU1895" s="1" t="s">
        <v>331</v>
      </c>
      <c r="BV1895" s="1" t="s">
        <v>206</v>
      </c>
      <c r="BW1895" s="1" t="s">
        <v>210</v>
      </c>
      <c r="BY1895" s="1" t="s">
        <v>515</v>
      </c>
      <c r="BZ1895" s="1" t="s">
        <v>209</v>
      </c>
      <c r="CA1895" s="1" t="s">
        <v>210</v>
      </c>
      <c r="CC1895" s="1" t="s">
        <v>495</v>
      </c>
      <c r="CD1895" s="1" t="s">
        <v>206</v>
      </c>
      <c r="CE1895" s="1" t="s">
        <v>210</v>
      </c>
      <c r="CG1895" s="1" t="s">
        <v>215</v>
      </c>
      <c r="CH1895" s="1" t="s">
        <v>209</v>
      </c>
      <c r="CI1895" s="1" t="s">
        <v>210</v>
      </c>
      <c r="CK1895" s="1" t="s">
        <v>392</v>
      </c>
      <c r="CL1895" s="1" t="s">
        <v>209</v>
      </c>
      <c r="CM1895" s="1" t="s">
        <v>210</v>
      </c>
      <c r="CO1895" s="1" t="s">
        <v>392</v>
      </c>
      <c r="CP1895" s="1" t="s">
        <v>209</v>
      </c>
      <c r="CQ1895" s="1" t="s">
        <v>210</v>
      </c>
      <c r="CS1895" s="1" t="s">
        <v>1244</v>
      </c>
      <c r="CT1895" s="1" t="s">
        <v>206</v>
      </c>
      <c r="CU1895" s="1" t="s">
        <v>207</v>
      </c>
      <c r="CW1895" s="1" t="s">
        <v>453</v>
      </c>
      <c r="CX1895" s="1" t="s">
        <v>206</v>
      </c>
      <c r="CY1895" s="1" t="s">
        <v>210</v>
      </c>
      <c r="DA1895" s="1" t="s">
        <v>200</v>
      </c>
      <c r="DC1895" s="1" t="s">
        <v>335</v>
      </c>
      <c r="DD1895" s="1" t="s">
        <v>396</v>
      </c>
      <c r="DE1895" s="1" t="s">
        <v>273</v>
      </c>
      <c r="DF1895" s="1" t="s">
        <v>219</v>
      </c>
      <c r="DG1895" s="1" t="s">
        <v>482</v>
      </c>
      <c r="DH1895" s="1" t="s">
        <v>220</v>
      </c>
      <c r="DI1895" s="1" t="s">
        <v>275</v>
      </c>
      <c r="DJ1895" s="1" t="s">
        <v>222</v>
      </c>
      <c r="DL1895" s="1" t="s">
        <v>223</v>
      </c>
      <c r="DM1895" s="1" t="s">
        <v>338</v>
      </c>
      <c r="DN1895" s="1" t="s">
        <v>439</v>
      </c>
      <c r="DO1895" s="1" t="s">
        <v>486</v>
      </c>
      <c r="DP1895" s="1" t="s">
        <v>340</v>
      </c>
      <c r="DQ1895" s="1" t="s">
        <v>441</v>
      </c>
      <c r="DR1895" s="1" t="s">
        <v>588</v>
      </c>
      <c r="DS1895" s="1" t="s">
        <v>368</v>
      </c>
      <c r="DV1895" s="1" t="s">
        <v>232</v>
      </c>
      <c r="DW1895" s="1" t="s">
        <v>444</v>
      </c>
      <c r="DX1895" s="1" t="s">
        <v>234</v>
      </c>
      <c r="DY1895" s="1" t="s">
        <v>490</v>
      </c>
      <c r="DZ1895" s="1" t="s">
        <v>282</v>
      </c>
      <c r="EA1895" s="1" t="s">
        <v>447</v>
      </c>
      <c r="EB1895" s="1" t="s">
        <v>1639</v>
      </c>
      <c r="EC1895" s="1" t="s">
        <v>237</v>
      </c>
      <c r="EM1895" s="1" t="s">
        <v>238</v>
      </c>
      <c r="EQ1895" s="1" t="s">
        <v>238</v>
      </c>
      <c r="EU1895" s="1" t="s">
        <v>238</v>
      </c>
      <c r="EY1895" s="1" t="s">
        <v>238</v>
      </c>
      <c r="FC1895" s="1" t="s">
        <v>238</v>
      </c>
      <c r="FF1895" s="1" t="s">
        <v>239</v>
      </c>
      <c r="FG1895" s="1" t="s">
        <v>192</v>
      </c>
      <c r="FH1895" s="1" t="s">
        <v>192</v>
      </c>
      <c r="FJ1895" s="1" t="s">
        <v>1248</v>
      </c>
      <c r="FK1895" s="1" t="s">
        <v>229</v>
      </c>
      <c r="FL1895" s="1" t="s">
        <v>2184</v>
      </c>
      <c r="FM1895" s="1">
        <v>605.0</v>
      </c>
      <c r="FN1895" s="1" t="s">
        <v>2185</v>
      </c>
      <c r="FO1895" s="1" t="s">
        <v>1738</v>
      </c>
      <c r="FP1895" s="1">
        <v>170.0</v>
      </c>
      <c r="FQ1895" s="1" t="s">
        <v>2185</v>
      </c>
      <c r="FS1895" s="1" t="s">
        <v>3468</v>
      </c>
      <c r="FU1895" s="1" t="s">
        <v>3469</v>
      </c>
      <c r="FV1895" s="1" t="s">
        <v>200</v>
      </c>
      <c r="FW1895" s="1" t="s">
        <v>354</v>
      </c>
      <c r="FZ1895" s="1" t="s">
        <v>229</v>
      </c>
      <c r="GA1895" s="1" t="s">
        <v>291</v>
      </c>
      <c r="GB1895" s="2">
        <v>42062.0</v>
      </c>
      <c r="GC1895" s="1" t="s">
        <v>18284</v>
      </c>
    </row>
    <row r="1896">
      <c r="A1896" s="1">
        <v>104000.0</v>
      </c>
      <c r="B1896" s="1" t="s">
        <v>185</v>
      </c>
      <c r="C1896" s="1" t="str">
        <f>"08717121"</f>
        <v>08717121</v>
      </c>
      <c r="D1896" s="1" t="s">
        <v>186</v>
      </c>
      <c r="F1896" s="1" t="str">
        <f t="shared" ref="F1896:F1897" si="1252">"8070"</f>
        <v>8070</v>
      </c>
      <c r="G1896" s="2">
        <v>41884.0</v>
      </c>
      <c r="H1896" s="1">
        <v>136900.0</v>
      </c>
      <c r="I1896" s="1">
        <v>99.0</v>
      </c>
      <c r="J1896" s="1">
        <v>112900.0</v>
      </c>
      <c r="K1896" s="2">
        <v>41982.0</v>
      </c>
      <c r="L1896" s="1">
        <v>99.0</v>
      </c>
      <c r="M1896" s="2">
        <v>41982.0</v>
      </c>
      <c r="N1896" s="1" t="s">
        <v>249</v>
      </c>
      <c r="O1896" s="2">
        <v>41996.0</v>
      </c>
      <c r="P1896" s="1">
        <v>923473.0</v>
      </c>
      <c r="Q1896" s="1">
        <v>25888.0</v>
      </c>
      <c r="S1896" s="1">
        <v>8125.0</v>
      </c>
      <c r="T1896" s="1" t="s">
        <v>5253</v>
      </c>
      <c r="U1896" s="1" t="s">
        <v>189</v>
      </c>
      <c r="V1896" s="1" t="s">
        <v>190</v>
      </c>
      <c r="W1896" s="1">
        <v>60652.0</v>
      </c>
      <c r="Y1896" s="1" t="s">
        <v>18285</v>
      </c>
      <c r="Z1896" s="1">
        <v>1949.0</v>
      </c>
      <c r="AA1896" s="1" t="s">
        <v>192</v>
      </c>
      <c r="AB1896" s="1" t="s">
        <v>193</v>
      </c>
      <c r="AC1896" s="1" t="s">
        <v>8507</v>
      </c>
      <c r="AD1896" s="1" t="s">
        <v>194</v>
      </c>
      <c r="AE1896" s="1" t="s">
        <v>195</v>
      </c>
      <c r="AF1896" s="1" t="s">
        <v>659</v>
      </c>
      <c r="AG1896" s="1" t="s">
        <v>874</v>
      </c>
      <c r="AH1896" s="1" t="s">
        <v>12296</v>
      </c>
      <c r="AI1896" s="1">
        <v>0.1433</v>
      </c>
      <c r="AK1896" s="1">
        <v>7.0</v>
      </c>
      <c r="AL1896" s="1">
        <v>4.0</v>
      </c>
      <c r="AM1896" s="1">
        <v>2.0</v>
      </c>
      <c r="AN1896" s="1">
        <v>0.0</v>
      </c>
      <c r="AO1896" s="1" t="s">
        <v>229</v>
      </c>
      <c r="AP1896" s="1">
        <v>1.0</v>
      </c>
      <c r="AQ1896" s="1" t="s">
        <v>229</v>
      </c>
      <c r="AR1896" s="1" t="s">
        <v>200</v>
      </c>
      <c r="AS1896" s="1" t="s">
        <v>199</v>
      </c>
      <c r="AT1896" s="1">
        <v>1.0</v>
      </c>
      <c r="AV1896" s="1" t="s">
        <v>200</v>
      </c>
      <c r="AW1896" s="1">
        <v>2151.85</v>
      </c>
      <c r="AX1896" s="1">
        <v>2012.0</v>
      </c>
      <c r="AY1896" s="1" t="s">
        <v>387</v>
      </c>
      <c r="AZ1896" s="1" t="s">
        <v>545</v>
      </c>
      <c r="BA1896" s="1" t="str">
        <f>"19341080110000"</f>
        <v>19341080110000</v>
      </c>
      <c r="BC1896" s="1">
        <v>1716.0</v>
      </c>
      <c r="BD1896" s="1">
        <v>104000.0</v>
      </c>
      <c r="BE1896" s="2">
        <v>41884.0</v>
      </c>
      <c r="BF1896" s="2" t="s">
        <v>18286</v>
      </c>
      <c r="BH1896" s="1">
        <v>0.0</v>
      </c>
      <c r="BK1896" s="1" t="s">
        <v>204</v>
      </c>
      <c r="BL1896" s="1" t="str">
        <f t="shared" ref="BL1896:BM1896" si="1251">"0"</f>
        <v>0</v>
      </c>
      <c r="BM1896" s="1" t="str">
        <f t="shared" si="1251"/>
        <v>0</v>
      </c>
      <c r="BN1896" s="1">
        <v>4630.0</v>
      </c>
      <c r="BO1896" s="1">
        <v>8125.0</v>
      </c>
      <c r="BQ1896" s="1">
        <v>299.0</v>
      </c>
      <c r="BR1896" s="1">
        <v>299.0</v>
      </c>
      <c r="BS1896" s="1">
        <v>299.0</v>
      </c>
      <c r="BU1896" s="1" t="s">
        <v>729</v>
      </c>
      <c r="BV1896" s="1" t="s">
        <v>206</v>
      </c>
      <c r="BW1896" s="1" t="s">
        <v>207</v>
      </c>
      <c r="BY1896" s="1" t="s">
        <v>205</v>
      </c>
      <c r="BZ1896" s="1" t="s">
        <v>206</v>
      </c>
      <c r="CC1896" s="1" t="s">
        <v>2647</v>
      </c>
      <c r="CD1896" s="1" t="s">
        <v>206</v>
      </c>
      <c r="CG1896" s="1" t="s">
        <v>264</v>
      </c>
      <c r="CH1896" s="1" t="s">
        <v>206</v>
      </c>
      <c r="CK1896" s="1" t="s">
        <v>623</v>
      </c>
      <c r="CL1896" s="1" t="s">
        <v>206</v>
      </c>
      <c r="CO1896" s="1" t="s">
        <v>375</v>
      </c>
      <c r="CP1896" s="1" t="s">
        <v>206</v>
      </c>
      <c r="CS1896" s="1" t="s">
        <v>700</v>
      </c>
      <c r="CT1896" s="1" t="s">
        <v>206</v>
      </c>
      <c r="CX1896" s="1" t="s">
        <v>204</v>
      </c>
      <c r="CY1896" s="1" t="s">
        <v>301</v>
      </c>
      <c r="DA1896" s="1" t="s">
        <v>200</v>
      </c>
      <c r="DC1896" s="1" t="s">
        <v>702</v>
      </c>
      <c r="DE1896" s="1" t="s">
        <v>273</v>
      </c>
      <c r="DF1896" s="1" t="s">
        <v>219</v>
      </c>
      <c r="DH1896" s="1" t="s">
        <v>365</v>
      </c>
      <c r="DJ1896" s="1" t="s">
        <v>222</v>
      </c>
      <c r="DL1896" s="1" t="s">
        <v>1853</v>
      </c>
      <c r="DM1896" s="1" t="s">
        <v>229</v>
      </c>
      <c r="DQ1896" s="1" t="s">
        <v>441</v>
      </c>
      <c r="DR1896" s="1" t="s">
        <v>229</v>
      </c>
      <c r="DV1896" s="1" t="s">
        <v>232</v>
      </c>
      <c r="DW1896" s="1" t="s">
        <v>489</v>
      </c>
      <c r="DX1896" s="1" t="s">
        <v>234</v>
      </c>
      <c r="EA1896" s="1" t="s">
        <v>683</v>
      </c>
      <c r="EB1896" s="1" t="s">
        <v>345</v>
      </c>
      <c r="EC1896" s="1" t="s">
        <v>685</v>
      </c>
      <c r="EM1896" s="1" t="s">
        <v>238</v>
      </c>
      <c r="EQ1896" s="1" t="s">
        <v>238</v>
      </c>
      <c r="EU1896" s="1" t="s">
        <v>238</v>
      </c>
      <c r="EY1896" s="1" t="s">
        <v>238</v>
      </c>
      <c r="FC1896" s="1" t="s">
        <v>238</v>
      </c>
      <c r="FF1896" s="1" t="s">
        <v>239</v>
      </c>
      <c r="FG1896" s="1" t="s">
        <v>192</v>
      </c>
      <c r="FH1896" s="1" t="s">
        <v>192</v>
      </c>
      <c r="FJ1896" s="1" t="s">
        <v>18287</v>
      </c>
      <c r="FK1896" s="1" t="s">
        <v>229</v>
      </c>
      <c r="FL1896" s="1" t="s">
        <v>2826</v>
      </c>
      <c r="FM1896" s="1">
        <v>40290.0</v>
      </c>
      <c r="FN1896" s="1" t="s">
        <v>2827</v>
      </c>
      <c r="FO1896" s="1" t="s">
        <v>2828</v>
      </c>
      <c r="FP1896" s="1">
        <v>406061.0</v>
      </c>
      <c r="FQ1896" s="1" t="s">
        <v>2829</v>
      </c>
      <c r="FU1896" s="1" t="s">
        <v>2830</v>
      </c>
      <c r="FV1896" s="1" t="s">
        <v>200</v>
      </c>
      <c r="FW1896" s="1" t="s">
        <v>354</v>
      </c>
      <c r="FX1896" s="1" t="s">
        <v>655</v>
      </c>
      <c r="FZ1896" s="1" t="s">
        <v>229</v>
      </c>
      <c r="GA1896" s="1" t="s">
        <v>291</v>
      </c>
      <c r="GB1896" s="2">
        <v>41996.0</v>
      </c>
      <c r="GC1896" s="1" t="s">
        <v>2831</v>
      </c>
    </row>
    <row r="1897">
      <c r="A1897" s="1">
        <v>170000.0</v>
      </c>
      <c r="B1897" s="1" t="s">
        <v>185</v>
      </c>
      <c r="C1897" s="1" t="str">
        <f>"08716825"</f>
        <v>08716825</v>
      </c>
      <c r="D1897" s="1" t="s">
        <v>186</v>
      </c>
      <c r="F1897" s="1" t="str">
        <f t="shared" si="1252"/>
        <v>8070</v>
      </c>
      <c r="G1897" s="2">
        <v>41884.0</v>
      </c>
      <c r="H1897" s="1">
        <v>179900.0</v>
      </c>
      <c r="I1897" s="1">
        <v>119.0</v>
      </c>
      <c r="J1897" s="1">
        <v>179900.0</v>
      </c>
      <c r="K1897" s="2">
        <v>42002.0</v>
      </c>
      <c r="L1897" s="1">
        <v>119.0</v>
      </c>
      <c r="M1897" s="2">
        <v>42002.0</v>
      </c>
      <c r="N1897" s="1" t="s">
        <v>356</v>
      </c>
      <c r="O1897" s="2">
        <v>42047.0</v>
      </c>
      <c r="P1897" s="1">
        <v>605229.0</v>
      </c>
      <c r="Q1897" s="1">
        <v>23099.0</v>
      </c>
      <c r="S1897" s="1">
        <v>7530.0</v>
      </c>
      <c r="T1897" s="1" t="s">
        <v>12208</v>
      </c>
      <c r="U1897" s="1" t="s">
        <v>189</v>
      </c>
      <c r="V1897" s="1" t="s">
        <v>190</v>
      </c>
      <c r="W1897" s="1">
        <v>60652.0</v>
      </c>
      <c r="Y1897" s="1" t="s">
        <v>18288</v>
      </c>
      <c r="Z1897" s="1">
        <v>1964.0</v>
      </c>
      <c r="AA1897" s="1" t="s">
        <v>192</v>
      </c>
      <c r="AB1897" s="1" t="s">
        <v>193</v>
      </c>
      <c r="AD1897" s="1" t="s">
        <v>194</v>
      </c>
      <c r="AE1897" s="1" t="s">
        <v>195</v>
      </c>
      <c r="AF1897" s="1" t="s">
        <v>659</v>
      </c>
      <c r="AG1897" s="1" t="s">
        <v>874</v>
      </c>
      <c r="AH1897" s="1" t="s">
        <v>18289</v>
      </c>
      <c r="AI1897" s="1">
        <v>0.1212</v>
      </c>
      <c r="AK1897" s="1">
        <v>8.0</v>
      </c>
      <c r="AL1897" s="1">
        <v>3.0</v>
      </c>
      <c r="AM1897" s="1">
        <v>2.0</v>
      </c>
      <c r="AN1897" s="1">
        <v>1.0</v>
      </c>
      <c r="AO1897" s="1" t="s">
        <v>229</v>
      </c>
      <c r="AQ1897" s="1" t="s">
        <v>198</v>
      </c>
      <c r="AR1897" s="1" t="s">
        <v>192</v>
      </c>
      <c r="AS1897" s="1" t="s">
        <v>199</v>
      </c>
      <c r="AT1897" s="1">
        <v>2.0</v>
      </c>
      <c r="AV1897" s="1" t="s">
        <v>200</v>
      </c>
      <c r="AW1897" s="4">
        <v>2360.24</v>
      </c>
      <c r="AX1897" s="1">
        <v>2013.0</v>
      </c>
      <c r="AZ1897" s="1" t="s">
        <v>200</v>
      </c>
      <c r="BA1897" s="1" t="str">
        <f>"19264230050000"</f>
        <v>19264230050000</v>
      </c>
      <c r="BC1897" s="1">
        <v>1251.0</v>
      </c>
      <c r="BD1897" s="1">
        <v>170000.0</v>
      </c>
      <c r="BE1897" s="2">
        <v>41884.0</v>
      </c>
      <c r="BF1897" s="1" t="s">
        <v>18290</v>
      </c>
      <c r="BH1897" s="1">
        <v>0.0</v>
      </c>
      <c r="BK1897" s="1" t="s">
        <v>204</v>
      </c>
      <c r="BL1897" s="1" t="str">
        <f t="shared" ref="BL1897:BM1897" si="1253">"0"</f>
        <v>0</v>
      </c>
      <c r="BM1897" s="1" t="str">
        <f t="shared" si="1253"/>
        <v>0</v>
      </c>
      <c r="BN1897" s="1">
        <v>3500.0</v>
      </c>
      <c r="BO1897" s="1">
        <v>7530.0</v>
      </c>
      <c r="BQ1897" s="1">
        <v>299.0</v>
      </c>
      <c r="BR1897" s="1">
        <v>299.0</v>
      </c>
      <c r="BS1897" s="1">
        <v>299.0</v>
      </c>
      <c r="BU1897" s="1" t="s">
        <v>955</v>
      </c>
      <c r="BV1897" s="1" t="s">
        <v>206</v>
      </c>
      <c r="BY1897" s="1" t="s">
        <v>433</v>
      </c>
      <c r="BZ1897" s="1" t="s">
        <v>206</v>
      </c>
      <c r="CC1897" s="1" t="s">
        <v>266</v>
      </c>
      <c r="CD1897" s="1" t="s">
        <v>206</v>
      </c>
      <c r="CG1897" s="1" t="s">
        <v>495</v>
      </c>
      <c r="CH1897" s="1" t="s">
        <v>206</v>
      </c>
      <c r="CK1897" s="1" t="s">
        <v>495</v>
      </c>
      <c r="CL1897" s="1" t="s">
        <v>206</v>
      </c>
      <c r="CO1897" s="1" t="s">
        <v>495</v>
      </c>
      <c r="CP1897" s="1" t="s">
        <v>42</v>
      </c>
      <c r="CS1897" s="1" t="s">
        <v>497</v>
      </c>
      <c r="CT1897" s="1" t="s">
        <v>206</v>
      </c>
      <c r="CW1897" s="1" t="s">
        <v>18291</v>
      </c>
      <c r="CX1897" s="1" t="s">
        <v>267</v>
      </c>
      <c r="DA1897" s="1" t="s">
        <v>200</v>
      </c>
      <c r="DC1897" s="1" t="s">
        <v>517</v>
      </c>
      <c r="DE1897" s="1" t="s">
        <v>273</v>
      </c>
      <c r="DF1897" s="1" t="s">
        <v>219</v>
      </c>
      <c r="DH1897" s="1" t="s">
        <v>365</v>
      </c>
      <c r="DJ1897" s="1" t="s">
        <v>222</v>
      </c>
      <c r="DL1897" s="1" t="s">
        <v>224</v>
      </c>
      <c r="DM1897" s="1" t="s">
        <v>229</v>
      </c>
      <c r="DQ1897" s="1" t="s">
        <v>794</v>
      </c>
      <c r="DR1897" s="1" t="s">
        <v>229</v>
      </c>
      <c r="DV1897" s="1" t="s">
        <v>232</v>
      </c>
      <c r="DW1897" s="1" t="s">
        <v>279</v>
      </c>
      <c r="DX1897" s="1" t="s">
        <v>1287</v>
      </c>
      <c r="EA1897" s="1" t="s">
        <v>683</v>
      </c>
      <c r="EC1897" s="1" t="s">
        <v>645</v>
      </c>
      <c r="EE1897" s="1" t="s">
        <v>493</v>
      </c>
      <c r="EM1897" s="1" t="s">
        <v>238</v>
      </c>
      <c r="EQ1897" s="1" t="s">
        <v>238</v>
      </c>
      <c r="EU1897" s="1" t="s">
        <v>238</v>
      </c>
      <c r="EY1897" s="1" t="s">
        <v>238</v>
      </c>
      <c r="FC1897" s="1" t="s">
        <v>238</v>
      </c>
      <c r="FF1897" s="1" t="s">
        <v>239</v>
      </c>
      <c r="FG1897" s="1" t="s">
        <v>192</v>
      </c>
      <c r="FH1897" s="1" t="s">
        <v>192</v>
      </c>
      <c r="FJ1897" s="1" t="s">
        <v>9377</v>
      </c>
      <c r="FK1897" s="1" t="s">
        <v>229</v>
      </c>
      <c r="FL1897" s="1" t="s">
        <v>14842</v>
      </c>
      <c r="FM1897" s="1">
        <v>25042.0</v>
      </c>
      <c r="FN1897" s="1" t="s">
        <v>2316</v>
      </c>
      <c r="FO1897" s="1" t="s">
        <v>18292</v>
      </c>
      <c r="FP1897" s="1">
        <v>26449.0</v>
      </c>
      <c r="FQ1897" s="1" t="s">
        <v>18293</v>
      </c>
      <c r="FU1897" s="1" t="s">
        <v>18294</v>
      </c>
      <c r="FV1897" s="1" t="s">
        <v>200</v>
      </c>
      <c r="FW1897" s="1" t="s">
        <v>530</v>
      </c>
      <c r="FX1897" s="1" t="s">
        <v>655</v>
      </c>
      <c r="FZ1897" s="1" t="s">
        <v>229</v>
      </c>
      <c r="GA1897" s="1" t="s">
        <v>291</v>
      </c>
      <c r="GB1897" s="2">
        <v>42048.0</v>
      </c>
      <c r="GC1897" s="1" t="s">
        <v>18295</v>
      </c>
    </row>
    <row r="1898">
      <c r="A1898" s="1">
        <v>205000.0</v>
      </c>
      <c r="B1898" s="1" t="s">
        <v>185</v>
      </c>
      <c r="C1898" s="1" t="str">
        <f>"08713221"</f>
        <v>08713221</v>
      </c>
      <c r="D1898" s="1" t="s">
        <v>186</v>
      </c>
      <c r="F1898" s="1" t="str">
        <f>"560"</f>
        <v>560</v>
      </c>
      <c r="G1898" s="2">
        <v>41879.0</v>
      </c>
      <c r="H1898" s="1">
        <v>225000.0</v>
      </c>
      <c r="I1898" s="1">
        <v>158.0</v>
      </c>
      <c r="J1898" s="1">
        <v>205000.0</v>
      </c>
      <c r="K1898" s="2">
        <v>42035.0</v>
      </c>
      <c r="L1898" s="1">
        <v>158.0</v>
      </c>
      <c r="M1898" s="2">
        <v>42035.0</v>
      </c>
      <c r="N1898" s="1" t="s">
        <v>187</v>
      </c>
      <c r="O1898" s="2">
        <v>42088.0</v>
      </c>
      <c r="P1898" s="1">
        <v>244895.0</v>
      </c>
      <c r="Q1898" s="1">
        <v>20150.0</v>
      </c>
      <c r="S1898" s="1">
        <v>2523.0</v>
      </c>
      <c r="T1898" s="1" t="s">
        <v>10289</v>
      </c>
      <c r="U1898" s="1" t="s">
        <v>420</v>
      </c>
      <c r="V1898" s="1" t="s">
        <v>845</v>
      </c>
      <c r="W1898" s="1">
        <v>60560.0</v>
      </c>
      <c r="Y1898" s="1" t="s">
        <v>18296</v>
      </c>
      <c r="Z1898" s="1">
        <v>2009.0</v>
      </c>
      <c r="AA1898" s="1" t="s">
        <v>200</v>
      </c>
      <c r="AB1898" s="1" t="s">
        <v>467</v>
      </c>
      <c r="AC1898" s="1" t="s">
        <v>16954</v>
      </c>
      <c r="AD1898" s="1" t="s">
        <v>848</v>
      </c>
      <c r="AE1898" s="1" t="s">
        <v>849</v>
      </c>
      <c r="AF1898" s="1" t="s">
        <v>1312</v>
      </c>
      <c r="AH1898" s="1" t="s">
        <v>18297</v>
      </c>
      <c r="AK1898" s="1">
        <v>9.0</v>
      </c>
      <c r="AL1898" s="1">
        <v>4.0</v>
      </c>
      <c r="AM1898" s="1">
        <v>3.0</v>
      </c>
      <c r="AN1898" s="1">
        <v>0.0</v>
      </c>
      <c r="AO1898" s="1" t="s">
        <v>198</v>
      </c>
      <c r="AP1898" s="1">
        <v>1.0</v>
      </c>
      <c r="AQ1898" s="1" t="s">
        <v>198</v>
      </c>
      <c r="AR1898" s="1" t="s">
        <v>200</v>
      </c>
      <c r="AS1898" s="1" t="s">
        <v>199</v>
      </c>
      <c r="AT1898" s="1">
        <v>3.0</v>
      </c>
      <c r="AV1898" s="1" t="s">
        <v>200</v>
      </c>
      <c r="AW1898" s="1">
        <v>9456.7</v>
      </c>
      <c r="AX1898" s="1">
        <v>2013.0</v>
      </c>
      <c r="AY1898" s="1" t="s">
        <v>387</v>
      </c>
      <c r="AZ1898" s="1" t="s">
        <v>200</v>
      </c>
      <c r="BA1898" s="1" t="str">
        <f>"0222254003"</f>
        <v>0222254003</v>
      </c>
      <c r="BC1898" s="1">
        <v>3000.0</v>
      </c>
      <c r="BD1898" s="1">
        <v>205000.0</v>
      </c>
      <c r="BE1898" s="2">
        <v>41878.0</v>
      </c>
      <c r="BF1898" s="2" t="s">
        <v>18298</v>
      </c>
      <c r="BH1898" s="1">
        <v>247.0</v>
      </c>
      <c r="BK1898" s="1" t="s">
        <v>580</v>
      </c>
      <c r="BL1898" s="1" t="str">
        <f t="shared" ref="BL1898:BM1898" si="1254">""</f>
        <v/>
      </c>
      <c r="BM1898" s="1" t="str">
        <f t="shared" si="1254"/>
        <v/>
      </c>
      <c r="BQ1898" s="1">
        <v>115.0</v>
      </c>
      <c r="BR1898" s="1">
        <v>115.0</v>
      </c>
      <c r="BS1898" s="1">
        <v>115.0</v>
      </c>
      <c r="BU1898" s="1" t="s">
        <v>212</v>
      </c>
      <c r="BV1898" s="1" t="s">
        <v>206</v>
      </c>
      <c r="BW1898" s="1" t="s">
        <v>210</v>
      </c>
      <c r="BY1898" s="1" t="s">
        <v>480</v>
      </c>
      <c r="BZ1898" s="1" t="s">
        <v>209</v>
      </c>
      <c r="CA1898" s="1" t="s">
        <v>210</v>
      </c>
      <c r="CC1898" s="1" t="s">
        <v>582</v>
      </c>
      <c r="CD1898" s="1" t="s">
        <v>206</v>
      </c>
      <c r="CE1898" s="1" t="s">
        <v>207</v>
      </c>
      <c r="CG1898" s="1" t="s">
        <v>478</v>
      </c>
      <c r="CH1898" s="1" t="s">
        <v>209</v>
      </c>
      <c r="CI1898" s="1" t="s">
        <v>210</v>
      </c>
      <c r="CK1898" s="1" t="s">
        <v>1064</v>
      </c>
      <c r="CL1898" s="1" t="s">
        <v>209</v>
      </c>
      <c r="CM1898" s="1" t="s">
        <v>210</v>
      </c>
      <c r="CO1898" s="1" t="s">
        <v>332</v>
      </c>
      <c r="CP1898" s="1" t="s">
        <v>209</v>
      </c>
      <c r="CQ1898" s="1" t="s">
        <v>210</v>
      </c>
      <c r="CS1898" s="1" t="s">
        <v>2800</v>
      </c>
      <c r="CT1898" s="1" t="s">
        <v>206</v>
      </c>
      <c r="CU1898" s="1" t="s">
        <v>207</v>
      </c>
      <c r="CW1898" s="1" t="s">
        <v>3202</v>
      </c>
      <c r="CX1898" s="1" t="s">
        <v>206</v>
      </c>
      <c r="CY1898" s="1" t="s">
        <v>210</v>
      </c>
      <c r="DA1898" s="1" t="s">
        <v>200</v>
      </c>
      <c r="DC1898" s="1" t="s">
        <v>1046</v>
      </c>
      <c r="DD1898" s="1" t="s">
        <v>436</v>
      </c>
      <c r="DE1898" s="1" t="s">
        <v>273</v>
      </c>
      <c r="DF1898" s="1" t="s">
        <v>619</v>
      </c>
      <c r="DG1898" s="1" t="s">
        <v>482</v>
      </c>
      <c r="DH1898" s="1" t="s">
        <v>220</v>
      </c>
      <c r="DI1898" s="1" t="s">
        <v>18299</v>
      </c>
      <c r="DJ1898" s="1" t="s">
        <v>222</v>
      </c>
      <c r="DL1898" s="1" t="s">
        <v>223</v>
      </c>
      <c r="DM1898" s="1" t="s">
        <v>229</v>
      </c>
      <c r="DN1898" s="1" t="s">
        <v>399</v>
      </c>
      <c r="DO1898" s="1" t="s">
        <v>8449</v>
      </c>
      <c r="DP1898" s="1" t="s">
        <v>340</v>
      </c>
      <c r="DQ1898" s="1" t="s">
        <v>441</v>
      </c>
      <c r="DR1898" s="1" t="s">
        <v>229</v>
      </c>
      <c r="DS1898" s="1" t="s">
        <v>591</v>
      </c>
      <c r="DU1898" s="1" t="s">
        <v>1355</v>
      </c>
      <c r="DV1898" s="1" t="s">
        <v>598</v>
      </c>
      <c r="DW1898" s="1" t="s">
        <v>444</v>
      </c>
      <c r="DX1898" s="1" t="s">
        <v>234</v>
      </c>
      <c r="DY1898" s="1" t="s">
        <v>1051</v>
      </c>
      <c r="DZ1898" s="1" t="s">
        <v>282</v>
      </c>
      <c r="EB1898" s="1" t="s">
        <v>1639</v>
      </c>
      <c r="EC1898" s="1" t="s">
        <v>237</v>
      </c>
      <c r="EE1898" s="1" t="s">
        <v>522</v>
      </c>
      <c r="EG1898" s="1" t="s">
        <v>598</v>
      </c>
      <c r="EL1898" s="1" t="s">
        <v>2459</v>
      </c>
      <c r="EM1898" s="1" t="s">
        <v>206</v>
      </c>
      <c r="EN1898" s="1" t="s">
        <v>210</v>
      </c>
      <c r="EQ1898" s="1" t="s">
        <v>238</v>
      </c>
      <c r="EU1898" s="1" t="s">
        <v>238</v>
      </c>
      <c r="EY1898" s="1" t="s">
        <v>238</v>
      </c>
      <c r="FC1898" s="1" t="s">
        <v>238</v>
      </c>
      <c r="FF1898" s="1" t="s">
        <v>239</v>
      </c>
      <c r="FG1898" s="1" t="s">
        <v>192</v>
      </c>
      <c r="FH1898" s="1" t="s">
        <v>192</v>
      </c>
      <c r="FJ1898" s="1" t="s">
        <v>9994</v>
      </c>
      <c r="FK1898" s="1" t="s">
        <v>1586</v>
      </c>
      <c r="FL1898" s="1" t="s">
        <v>10344</v>
      </c>
      <c r="FM1898" s="1">
        <v>85115.0</v>
      </c>
      <c r="FN1898" s="1" t="s">
        <v>10345</v>
      </c>
      <c r="FO1898" s="1" t="s">
        <v>10346</v>
      </c>
      <c r="FP1898" s="1">
        <v>168502.0</v>
      </c>
      <c r="FQ1898" s="1" t="s">
        <v>10347</v>
      </c>
      <c r="FU1898" s="1" t="s">
        <v>18300</v>
      </c>
      <c r="FV1898" s="1" t="s">
        <v>200</v>
      </c>
      <c r="FW1898" s="1" t="s">
        <v>290</v>
      </c>
      <c r="FZ1898" s="1" t="s">
        <v>229</v>
      </c>
      <c r="GA1898" s="1" t="s">
        <v>291</v>
      </c>
      <c r="GB1898" s="2">
        <v>42088.0</v>
      </c>
      <c r="GC1898" s="1" t="s">
        <v>18301</v>
      </c>
    </row>
    <row r="1899">
      <c r="A1899" s="1">
        <v>775000.0</v>
      </c>
      <c r="B1899" s="1" t="s">
        <v>185</v>
      </c>
      <c r="C1899" s="1" t="str">
        <f>"08720008"</f>
        <v>08720008</v>
      </c>
      <c r="D1899" s="1" t="s">
        <v>186</v>
      </c>
      <c r="F1899" s="1" t="str">
        <f>"10"</f>
        <v>10</v>
      </c>
      <c r="G1899" s="2">
        <v>41887.0</v>
      </c>
      <c r="H1899" s="1">
        <v>995000.0</v>
      </c>
      <c r="I1899" s="1">
        <v>596.0</v>
      </c>
      <c r="J1899" s="1">
        <v>975000.0</v>
      </c>
      <c r="K1899" s="2">
        <v>42125.0</v>
      </c>
      <c r="L1899" s="1">
        <v>239.0</v>
      </c>
      <c r="M1899" s="2">
        <v>42125.0</v>
      </c>
      <c r="N1899" s="1" t="s">
        <v>249</v>
      </c>
      <c r="O1899" s="2">
        <v>42137.0</v>
      </c>
      <c r="P1899" s="1">
        <v>61970.0</v>
      </c>
      <c r="Q1899" s="1">
        <v>6076.0</v>
      </c>
      <c r="R1899" s="1">
        <v>25000.0</v>
      </c>
      <c r="S1899" s="1">
        <v>136.0</v>
      </c>
      <c r="T1899" s="1" t="s">
        <v>15166</v>
      </c>
      <c r="U1899" s="1" t="s">
        <v>569</v>
      </c>
      <c r="V1899" s="1" t="s">
        <v>11508</v>
      </c>
      <c r="W1899" s="1">
        <v>60010.0</v>
      </c>
      <c r="Y1899" s="1" t="s">
        <v>18302</v>
      </c>
      <c r="Z1899" s="1">
        <v>2000.0</v>
      </c>
      <c r="AA1899" s="1" t="s">
        <v>200</v>
      </c>
      <c r="AB1899" s="1" t="s">
        <v>467</v>
      </c>
      <c r="AC1899" s="1" t="s">
        <v>15168</v>
      </c>
      <c r="AD1899" s="1" t="s">
        <v>11511</v>
      </c>
      <c r="AE1899" s="1" t="s">
        <v>917</v>
      </c>
      <c r="AF1899" s="1" t="s">
        <v>918</v>
      </c>
      <c r="AH1899" s="1" t="s">
        <v>18303</v>
      </c>
      <c r="AI1899" s="1">
        <v>1.44</v>
      </c>
      <c r="AK1899" s="1">
        <v>13.0</v>
      </c>
      <c r="AL1899" s="1">
        <v>3.0</v>
      </c>
      <c r="AM1899" s="1">
        <v>3.0</v>
      </c>
      <c r="AN1899" s="1">
        <v>2.0</v>
      </c>
      <c r="AO1899" s="1" t="s">
        <v>198</v>
      </c>
      <c r="AP1899" s="1">
        <v>5.0</v>
      </c>
      <c r="AQ1899" s="1" t="s">
        <v>198</v>
      </c>
      <c r="AR1899" s="1" t="s">
        <v>192</v>
      </c>
      <c r="AS1899" s="1" t="s">
        <v>199</v>
      </c>
      <c r="AT1899" s="1">
        <v>3.0</v>
      </c>
      <c r="AV1899" s="1" t="s">
        <v>200</v>
      </c>
      <c r="AW1899" s="1">
        <v>24012.0</v>
      </c>
      <c r="AX1899" s="1">
        <v>2013.0</v>
      </c>
      <c r="AY1899" s="1" t="s">
        <v>229</v>
      </c>
      <c r="AZ1899" s="1" t="s">
        <v>200</v>
      </c>
      <c r="BA1899" s="1" t="str">
        <f>"14063010250000"</f>
        <v>14063010250000</v>
      </c>
      <c r="BC1899" s="1">
        <v>6500.0</v>
      </c>
      <c r="BD1899" s="1">
        <v>775000.0</v>
      </c>
      <c r="BE1899" s="2">
        <v>41887.0</v>
      </c>
      <c r="BF1899" s="2" t="s">
        <v>18304</v>
      </c>
      <c r="BG1899" s="1" t="s">
        <v>17063</v>
      </c>
      <c r="BH1899" s="1">
        <v>0.0</v>
      </c>
      <c r="BI1899" s="1" t="s">
        <v>15441</v>
      </c>
      <c r="BJ1899" s="1" t="s">
        <v>923</v>
      </c>
      <c r="BK1899" s="1" t="s">
        <v>204</v>
      </c>
      <c r="BL1899" s="1" t="str">
        <f>"24"</f>
        <v>24</v>
      </c>
      <c r="BM1899" s="1" t="str">
        <f>"0"</f>
        <v>0</v>
      </c>
      <c r="BN1899" s="1">
        <v>25.0</v>
      </c>
      <c r="BO1899" s="1">
        <v>0.0</v>
      </c>
      <c r="BQ1899" s="1">
        <v>95.0</v>
      </c>
      <c r="BR1899" s="1">
        <v>95.0</v>
      </c>
      <c r="BS1899" s="1">
        <v>95.0</v>
      </c>
      <c r="BU1899" s="1" t="s">
        <v>1286</v>
      </c>
      <c r="BV1899" s="1" t="s">
        <v>206</v>
      </c>
      <c r="BW1899" s="1" t="s">
        <v>207</v>
      </c>
      <c r="BY1899" s="1" t="s">
        <v>544</v>
      </c>
      <c r="BZ1899" s="1" t="s">
        <v>209</v>
      </c>
      <c r="CA1899" s="1" t="s">
        <v>210</v>
      </c>
      <c r="CB1899" s="1" t="s">
        <v>1118</v>
      </c>
      <c r="CC1899" s="1" t="s">
        <v>214</v>
      </c>
      <c r="CD1899" s="1" t="s">
        <v>206</v>
      </c>
      <c r="CE1899" s="1" t="s">
        <v>2128</v>
      </c>
      <c r="CG1899" s="1" t="s">
        <v>433</v>
      </c>
      <c r="CH1899" s="1" t="s">
        <v>209</v>
      </c>
      <c r="CI1899" s="1" t="s">
        <v>210</v>
      </c>
      <c r="CJ1899" s="1" t="s">
        <v>1549</v>
      </c>
      <c r="CK1899" s="1" t="s">
        <v>582</v>
      </c>
      <c r="CL1899" s="1" t="s">
        <v>209</v>
      </c>
      <c r="CM1899" s="1" t="s">
        <v>210</v>
      </c>
      <c r="CN1899" s="1" t="s">
        <v>1549</v>
      </c>
      <c r="CO1899" s="1" t="s">
        <v>260</v>
      </c>
      <c r="CP1899" s="1" t="s">
        <v>42</v>
      </c>
      <c r="CQ1899" s="1" t="s">
        <v>210</v>
      </c>
      <c r="CS1899" s="1" t="s">
        <v>3387</v>
      </c>
      <c r="CT1899" s="1" t="s">
        <v>206</v>
      </c>
      <c r="CU1899" s="1" t="s">
        <v>207</v>
      </c>
      <c r="CX1899" s="1" t="s">
        <v>204</v>
      </c>
      <c r="DA1899" s="1" t="s">
        <v>200</v>
      </c>
      <c r="DC1899" s="1" t="s">
        <v>335</v>
      </c>
      <c r="DD1899" s="1" t="s">
        <v>272</v>
      </c>
      <c r="DE1899" s="1" t="s">
        <v>218</v>
      </c>
      <c r="DF1899" s="1" t="s">
        <v>745</v>
      </c>
      <c r="DH1899" s="1" t="s">
        <v>7667</v>
      </c>
      <c r="DI1899" s="1" t="s">
        <v>18305</v>
      </c>
      <c r="DJ1899" s="1" t="s">
        <v>588</v>
      </c>
      <c r="DL1899" s="1" t="s">
        <v>1161</v>
      </c>
      <c r="DM1899" s="1" t="s">
        <v>338</v>
      </c>
      <c r="DN1899" s="1" t="s">
        <v>2676</v>
      </c>
      <c r="DO1899" s="1" t="s">
        <v>3889</v>
      </c>
      <c r="DP1899" s="1" t="s">
        <v>340</v>
      </c>
      <c r="DQ1899" s="1" t="s">
        <v>931</v>
      </c>
      <c r="DR1899" s="1" t="s">
        <v>229</v>
      </c>
      <c r="DS1899" s="1" t="s">
        <v>591</v>
      </c>
      <c r="DU1899" s="1" t="s">
        <v>7494</v>
      </c>
      <c r="DV1899" s="1" t="s">
        <v>18306</v>
      </c>
      <c r="DW1899" s="1" t="s">
        <v>18307</v>
      </c>
      <c r="DX1899" s="1" t="s">
        <v>234</v>
      </c>
      <c r="DY1899" s="1" t="s">
        <v>3125</v>
      </c>
      <c r="DZ1899" s="1" t="s">
        <v>10242</v>
      </c>
      <c r="EA1899" s="1" t="s">
        <v>344</v>
      </c>
      <c r="EB1899" s="1" t="s">
        <v>1639</v>
      </c>
      <c r="EC1899" s="1" t="s">
        <v>237</v>
      </c>
      <c r="ED1899" s="1" t="s">
        <v>1406</v>
      </c>
      <c r="EG1899" s="1" t="s">
        <v>556</v>
      </c>
      <c r="EH1899" s="1" t="s">
        <v>1961</v>
      </c>
      <c r="EI1899" s="1" t="s">
        <v>450</v>
      </c>
      <c r="EJ1899" s="1" t="s">
        <v>451</v>
      </c>
      <c r="EK1899" s="1" t="s">
        <v>1824</v>
      </c>
      <c r="EL1899" s="1" t="s">
        <v>663</v>
      </c>
      <c r="EM1899" s="1" t="s">
        <v>206</v>
      </c>
      <c r="EN1899" s="1" t="s">
        <v>268</v>
      </c>
      <c r="EP1899" s="1" t="s">
        <v>362</v>
      </c>
      <c r="EQ1899" s="1" t="s">
        <v>206</v>
      </c>
      <c r="ER1899" s="1" t="s">
        <v>207</v>
      </c>
      <c r="ET1899" s="1" t="s">
        <v>2130</v>
      </c>
      <c r="EU1899" s="1" t="s">
        <v>42</v>
      </c>
      <c r="EV1899" s="1" t="s">
        <v>588</v>
      </c>
      <c r="EX1899" s="1" t="s">
        <v>784</v>
      </c>
      <c r="EY1899" s="1" t="s">
        <v>42</v>
      </c>
      <c r="EZ1899" s="1" t="s">
        <v>588</v>
      </c>
      <c r="FB1899" s="1" t="s">
        <v>616</v>
      </c>
      <c r="FC1899" s="1" t="s">
        <v>42</v>
      </c>
      <c r="FD1899" s="1" t="s">
        <v>588</v>
      </c>
      <c r="FF1899" s="1" t="s">
        <v>239</v>
      </c>
      <c r="FG1899" s="1" t="s">
        <v>192</v>
      </c>
      <c r="FH1899" s="1" t="s">
        <v>192</v>
      </c>
      <c r="FJ1899" s="1" t="s">
        <v>3755</v>
      </c>
      <c r="FK1899" s="1" t="s">
        <v>229</v>
      </c>
      <c r="FL1899" s="1" t="s">
        <v>562</v>
      </c>
      <c r="FM1899" s="1">
        <v>4777.0</v>
      </c>
      <c r="FN1899" s="1" t="s">
        <v>6112</v>
      </c>
      <c r="FO1899" s="1" t="s">
        <v>17406</v>
      </c>
      <c r="FP1899" s="1">
        <v>62531.0</v>
      </c>
      <c r="FQ1899" s="1" t="s">
        <v>17407</v>
      </c>
      <c r="FS1899" s="1" t="s">
        <v>18308</v>
      </c>
      <c r="FU1899" s="1" t="s">
        <v>18309</v>
      </c>
      <c r="FV1899" s="1" t="s">
        <v>200</v>
      </c>
      <c r="FW1899" s="1" t="s">
        <v>290</v>
      </c>
      <c r="FX1899" s="1" t="s">
        <v>238</v>
      </c>
      <c r="FZ1899" s="1" t="s">
        <v>229</v>
      </c>
      <c r="GA1899" s="1" t="s">
        <v>291</v>
      </c>
      <c r="GB1899" s="2">
        <v>42137.0</v>
      </c>
      <c r="GC1899" s="1" t="s">
        <v>18310</v>
      </c>
    </row>
    <row r="1900">
      <c r="A1900" s="1">
        <v>255000.0</v>
      </c>
      <c r="B1900" s="1" t="s">
        <v>185</v>
      </c>
      <c r="C1900" s="1" t="str">
        <f>"08715036"</f>
        <v>08715036</v>
      </c>
      <c r="D1900" s="1" t="s">
        <v>186</v>
      </c>
      <c r="F1900" s="1" t="str">
        <f>"560"</f>
        <v>560</v>
      </c>
      <c r="G1900" s="2">
        <v>41880.0</v>
      </c>
      <c r="H1900" s="1">
        <v>279900.0</v>
      </c>
      <c r="I1900" s="1">
        <v>497.0</v>
      </c>
      <c r="J1900" s="1">
        <v>269900.0</v>
      </c>
      <c r="K1900" s="2">
        <v>41999.0</v>
      </c>
      <c r="L1900" s="1">
        <v>120.0</v>
      </c>
      <c r="M1900" s="2">
        <v>41999.0</v>
      </c>
      <c r="N1900" s="1" t="s">
        <v>187</v>
      </c>
      <c r="O1900" s="2">
        <v>42034.0</v>
      </c>
      <c r="P1900" s="1">
        <v>242802.0</v>
      </c>
      <c r="Q1900" s="1">
        <v>23312.0</v>
      </c>
      <c r="S1900" s="1">
        <v>661.0</v>
      </c>
      <c r="T1900" s="1" t="s">
        <v>18311</v>
      </c>
      <c r="U1900" s="1" t="s">
        <v>569</v>
      </c>
      <c r="V1900" s="1" t="s">
        <v>845</v>
      </c>
      <c r="W1900" s="1">
        <v>60560.0</v>
      </c>
      <c r="Y1900" s="1" t="s">
        <v>18312</v>
      </c>
      <c r="Z1900" s="1">
        <v>2003.0</v>
      </c>
      <c r="AA1900" s="1" t="s">
        <v>200</v>
      </c>
      <c r="AB1900" s="1" t="s">
        <v>467</v>
      </c>
      <c r="AC1900" s="1" t="s">
        <v>18311</v>
      </c>
      <c r="AD1900" s="1" t="s">
        <v>848</v>
      </c>
      <c r="AE1900" s="1" t="s">
        <v>849</v>
      </c>
      <c r="AF1900" s="1" t="s">
        <v>1312</v>
      </c>
      <c r="AH1900" s="1" t="s">
        <v>3256</v>
      </c>
      <c r="AI1900" s="1">
        <v>0.2755</v>
      </c>
      <c r="AK1900" s="1">
        <v>10.0</v>
      </c>
      <c r="AL1900" s="1">
        <v>4.0</v>
      </c>
      <c r="AM1900" s="1">
        <v>2.0</v>
      </c>
      <c r="AN1900" s="1">
        <v>1.0</v>
      </c>
      <c r="AO1900" s="1" t="s">
        <v>198</v>
      </c>
      <c r="AP1900" s="1">
        <v>1.0</v>
      </c>
      <c r="AQ1900" s="1" t="s">
        <v>198</v>
      </c>
      <c r="AR1900" s="1" t="s">
        <v>200</v>
      </c>
      <c r="AS1900" s="1" t="s">
        <v>199</v>
      </c>
      <c r="AT1900" s="1">
        <v>3.0</v>
      </c>
      <c r="AV1900" s="1" t="s">
        <v>200</v>
      </c>
      <c r="AW1900" s="1">
        <v>8862.0</v>
      </c>
      <c r="AX1900" s="1">
        <v>2013.0</v>
      </c>
      <c r="AY1900" s="1" t="s">
        <v>387</v>
      </c>
      <c r="AZ1900" s="1" t="s">
        <v>200</v>
      </c>
      <c r="BA1900" s="1" t="str">
        <f>"0228402014"</f>
        <v>0228402014</v>
      </c>
      <c r="BB1900" s="1" t="s">
        <v>200</v>
      </c>
      <c r="BC1900" s="1">
        <v>0.0</v>
      </c>
      <c r="BD1900" s="1">
        <v>255000.0</v>
      </c>
      <c r="BE1900" s="2">
        <v>41880.0</v>
      </c>
      <c r="BF1900" s="2" t="s">
        <v>18313</v>
      </c>
      <c r="BH1900" s="1">
        <v>500.0</v>
      </c>
      <c r="BI1900" s="1" t="s">
        <v>3052</v>
      </c>
      <c r="BJ1900" s="1" t="s">
        <v>3053</v>
      </c>
      <c r="BK1900" s="1" t="s">
        <v>580</v>
      </c>
      <c r="BL1900" s="1" t="str">
        <f t="shared" ref="BL1900:BM1900" si="1255">""</f>
        <v/>
      </c>
      <c r="BM1900" s="1" t="str">
        <f t="shared" si="1255"/>
        <v/>
      </c>
      <c r="BQ1900" s="1">
        <v>115.0</v>
      </c>
      <c r="BR1900" s="1">
        <v>115.0</v>
      </c>
      <c r="BS1900" s="1">
        <v>115.0</v>
      </c>
      <c r="BU1900" s="1" t="s">
        <v>758</v>
      </c>
      <c r="BV1900" s="1" t="s">
        <v>206</v>
      </c>
      <c r="BW1900" s="1" t="s">
        <v>210</v>
      </c>
      <c r="BX1900" s="1" t="s">
        <v>239</v>
      </c>
      <c r="BY1900" s="1" t="s">
        <v>664</v>
      </c>
      <c r="BZ1900" s="1" t="s">
        <v>209</v>
      </c>
      <c r="CA1900" s="1" t="s">
        <v>210</v>
      </c>
      <c r="CB1900" s="1" t="s">
        <v>239</v>
      </c>
      <c r="CC1900" s="1" t="s">
        <v>433</v>
      </c>
      <c r="CD1900" s="1" t="s">
        <v>206</v>
      </c>
      <c r="CE1900" s="1" t="s">
        <v>210</v>
      </c>
      <c r="CF1900" s="1" t="s">
        <v>239</v>
      </c>
      <c r="CG1900" s="1" t="s">
        <v>363</v>
      </c>
      <c r="CH1900" s="1" t="s">
        <v>209</v>
      </c>
      <c r="CI1900" s="1" t="s">
        <v>210</v>
      </c>
      <c r="CJ1900" s="1" t="s">
        <v>239</v>
      </c>
      <c r="CK1900" s="1" t="s">
        <v>454</v>
      </c>
      <c r="CL1900" s="1" t="s">
        <v>209</v>
      </c>
      <c r="CM1900" s="1" t="s">
        <v>210</v>
      </c>
      <c r="CN1900" s="1" t="s">
        <v>239</v>
      </c>
      <c r="CO1900" s="1" t="s">
        <v>363</v>
      </c>
      <c r="CP1900" s="1" t="s">
        <v>209</v>
      </c>
      <c r="CQ1900" s="1" t="s">
        <v>210</v>
      </c>
      <c r="CR1900" s="1" t="s">
        <v>239</v>
      </c>
      <c r="CS1900" s="1" t="s">
        <v>454</v>
      </c>
      <c r="CT1900" s="1" t="s">
        <v>206</v>
      </c>
      <c r="CU1900" s="1" t="s">
        <v>207</v>
      </c>
      <c r="CW1900" s="1" t="s">
        <v>544</v>
      </c>
      <c r="CX1900" s="1" t="s">
        <v>206</v>
      </c>
      <c r="CY1900" s="1" t="s">
        <v>210</v>
      </c>
      <c r="CZ1900" s="1" t="s">
        <v>239</v>
      </c>
      <c r="DA1900" s="1" t="s">
        <v>200</v>
      </c>
      <c r="DC1900" s="1" t="s">
        <v>335</v>
      </c>
      <c r="DD1900" s="1" t="s">
        <v>679</v>
      </c>
      <c r="DE1900" s="1" t="s">
        <v>273</v>
      </c>
      <c r="DF1900" s="1" t="s">
        <v>219</v>
      </c>
      <c r="DG1900" s="1" t="s">
        <v>18314</v>
      </c>
      <c r="DH1900" s="1" t="s">
        <v>220</v>
      </c>
      <c r="DI1900" s="1" t="s">
        <v>959</v>
      </c>
      <c r="DJ1900" s="1" t="s">
        <v>222</v>
      </c>
      <c r="DK1900" s="1" t="s">
        <v>223</v>
      </c>
      <c r="DL1900" s="1" t="s">
        <v>223</v>
      </c>
      <c r="DM1900" s="1" t="s">
        <v>338</v>
      </c>
      <c r="DN1900" s="1" t="s">
        <v>399</v>
      </c>
      <c r="DO1900" s="1" t="s">
        <v>486</v>
      </c>
      <c r="DP1900" s="1" t="s">
        <v>340</v>
      </c>
      <c r="DQ1900" s="1" t="s">
        <v>441</v>
      </c>
      <c r="DR1900" s="1" t="s">
        <v>1839</v>
      </c>
      <c r="DS1900" s="1" t="s">
        <v>368</v>
      </c>
      <c r="DU1900" s="1" t="s">
        <v>18315</v>
      </c>
      <c r="DV1900" s="1" t="s">
        <v>2381</v>
      </c>
      <c r="DW1900" s="1" t="s">
        <v>444</v>
      </c>
      <c r="DX1900" s="1" t="s">
        <v>309</v>
      </c>
      <c r="DY1900" s="1" t="s">
        <v>3846</v>
      </c>
      <c r="EA1900" s="1" t="s">
        <v>344</v>
      </c>
      <c r="EB1900" s="1" t="s">
        <v>767</v>
      </c>
      <c r="EC1900" s="1" t="s">
        <v>237</v>
      </c>
      <c r="ED1900" s="1" t="s">
        <v>407</v>
      </c>
      <c r="EE1900" s="1" t="s">
        <v>493</v>
      </c>
      <c r="EG1900" s="1" t="s">
        <v>556</v>
      </c>
      <c r="EH1900" s="1" t="s">
        <v>494</v>
      </c>
      <c r="EL1900" s="1" t="s">
        <v>647</v>
      </c>
      <c r="EM1900" s="1" t="s">
        <v>206</v>
      </c>
      <c r="EN1900" s="1" t="s">
        <v>210</v>
      </c>
      <c r="EO1900" s="1" t="s">
        <v>229</v>
      </c>
      <c r="EP1900" s="1" t="s">
        <v>363</v>
      </c>
      <c r="EQ1900" s="1" t="s">
        <v>206</v>
      </c>
      <c r="ER1900" s="1" t="s">
        <v>210</v>
      </c>
      <c r="ES1900" s="1" t="s">
        <v>239</v>
      </c>
      <c r="EU1900" s="1" t="s">
        <v>238</v>
      </c>
      <c r="EY1900" s="1" t="s">
        <v>238</v>
      </c>
      <c r="FC1900" s="1" t="s">
        <v>238</v>
      </c>
      <c r="FF1900" s="1" t="s">
        <v>239</v>
      </c>
      <c r="FG1900" s="1" t="s">
        <v>192</v>
      </c>
      <c r="FH1900" s="1" t="s">
        <v>192</v>
      </c>
      <c r="FJ1900" s="1" t="s">
        <v>624</v>
      </c>
      <c r="FK1900" s="1" t="s">
        <v>229</v>
      </c>
      <c r="FL1900" s="1" t="s">
        <v>1007</v>
      </c>
      <c r="FM1900" s="1">
        <v>22588.0</v>
      </c>
      <c r="FN1900" s="1" t="s">
        <v>1321</v>
      </c>
      <c r="FO1900" s="1" t="s">
        <v>3063</v>
      </c>
      <c r="FP1900" s="1">
        <v>222996.0</v>
      </c>
      <c r="FQ1900" s="1" t="s">
        <v>3064</v>
      </c>
      <c r="FR1900" s="1">
        <v>242902.0</v>
      </c>
      <c r="FS1900" s="1" t="s">
        <v>3065</v>
      </c>
      <c r="FU1900" s="1" t="s">
        <v>18316</v>
      </c>
      <c r="FV1900" s="1" t="s">
        <v>200</v>
      </c>
      <c r="FW1900" s="1" t="s">
        <v>290</v>
      </c>
      <c r="FZ1900" s="1" t="s">
        <v>229</v>
      </c>
      <c r="GA1900" s="1" t="s">
        <v>291</v>
      </c>
      <c r="GB1900" s="2">
        <v>42034.0</v>
      </c>
      <c r="GC1900" s="1" t="s">
        <v>18317</v>
      </c>
    </row>
    <row r="1901">
      <c r="A1901" s="1">
        <v>365000.0</v>
      </c>
      <c r="B1901" s="1" t="s">
        <v>185</v>
      </c>
      <c r="C1901" s="1" t="str">
        <f>"08715752"</f>
        <v>08715752</v>
      </c>
      <c r="D1901" s="1" t="s">
        <v>186</v>
      </c>
      <c r="F1901" s="1" t="str">
        <f>"8004"</f>
        <v>8004</v>
      </c>
      <c r="G1901" s="2">
        <v>41883.0</v>
      </c>
      <c r="H1901" s="1">
        <v>399900.0</v>
      </c>
      <c r="I1901" s="1">
        <v>139.0</v>
      </c>
      <c r="J1901" s="1">
        <v>399900.0</v>
      </c>
      <c r="K1901" s="2">
        <v>41941.0</v>
      </c>
      <c r="L1901" s="1">
        <v>59.0</v>
      </c>
      <c r="M1901" s="2">
        <v>41941.0</v>
      </c>
      <c r="N1901" s="1" t="s">
        <v>356</v>
      </c>
      <c r="O1901" s="2">
        <v>41989.0</v>
      </c>
      <c r="P1901" s="1">
        <v>162436.0</v>
      </c>
      <c r="Q1901" s="1">
        <v>10115.0</v>
      </c>
      <c r="S1901" s="1">
        <v>4956.0</v>
      </c>
      <c r="T1901" s="1" t="s">
        <v>8984</v>
      </c>
      <c r="U1901" s="1" t="s">
        <v>189</v>
      </c>
      <c r="V1901" s="1" t="s">
        <v>190</v>
      </c>
      <c r="W1901" s="1">
        <v>60625.0</v>
      </c>
      <c r="Y1901" s="1" t="s">
        <v>18318</v>
      </c>
      <c r="Z1901" s="1">
        <v>1902.0</v>
      </c>
      <c r="AA1901" s="1" t="s">
        <v>192</v>
      </c>
      <c r="AB1901" s="1" t="s">
        <v>193</v>
      </c>
      <c r="AD1901" s="1" t="s">
        <v>194</v>
      </c>
      <c r="AE1901" s="1" t="s">
        <v>195</v>
      </c>
      <c r="AF1901" s="1" t="s">
        <v>196</v>
      </c>
      <c r="AH1901" s="1">
        <v>128.0</v>
      </c>
      <c r="AI1901" s="1">
        <v>0.0945</v>
      </c>
      <c r="AK1901" s="1">
        <v>8.0</v>
      </c>
      <c r="AL1901" s="1">
        <v>4.0</v>
      </c>
      <c r="AM1901" s="1">
        <v>1.0</v>
      </c>
      <c r="AN1901" s="1">
        <v>0.0</v>
      </c>
      <c r="AO1901" s="1" t="s">
        <v>229</v>
      </c>
      <c r="AQ1901" s="1" t="s">
        <v>198</v>
      </c>
      <c r="AR1901" s="1" t="s">
        <v>200</v>
      </c>
      <c r="AS1901" s="1" t="s">
        <v>199</v>
      </c>
      <c r="AT1901" s="1">
        <v>2.5</v>
      </c>
      <c r="AV1901" s="1" t="s">
        <v>200</v>
      </c>
      <c r="AW1901" s="1">
        <v>978.59</v>
      </c>
      <c r="AX1901" s="1">
        <v>2012.0</v>
      </c>
      <c r="AY1901" s="1" t="s">
        <v>1917</v>
      </c>
      <c r="AZ1901" s="1" t="s">
        <v>200</v>
      </c>
      <c r="BA1901" s="1" t="str">
        <f>"13124110530000"</f>
        <v>13124110530000</v>
      </c>
      <c r="BC1901" s="1">
        <v>1545.0</v>
      </c>
      <c r="BD1901" s="1">
        <v>365000.0</v>
      </c>
      <c r="BE1901" s="2">
        <v>41883.0</v>
      </c>
      <c r="BF1901" s="2" t="s">
        <v>18319</v>
      </c>
      <c r="BH1901" s="1">
        <v>0.0</v>
      </c>
      <c r="BK1901" s="1" t="s">
        <v>204</v>
      </c>
      <c r="BL1901" s="1" t="str">
        <f>"5200"</f>
        <v>5200</v>
      </c>
      <c r="BM1901" s="1" t="str">
        <f>"0"</f>
        <v>0</v>
      </c>
      <c r="BN1901" s="1">
        <v>2400.0</v>
      </c>
      <c r="BO1901" s="1">
        <v>0.0</v>
      </c>
      <c r="BQ1901" s="1">
        <v>299.0</v>
      </c>
      <c r="BR1901" s="1">
        <v>299.0</v>
      </c>
      <c r="BS1901" s="1">
        <v>299.0</v>
      </c>
      <c r="BU1901" s="1" t="s">
        <v>1069</v>
      </c>
      <c r="BV1901" s="1" t="s">
        <v>206</v>
      </c>
      <c r="BW1901" s="1" t="s">
        <v>207</v>
      </c>
      <c r="BX1901" s="1" t="s">
        <v>431</v>
      </c>
      <c r="BY1901" s="1" t="s">
        <v>4851</v>
      </c>
      <c r="BZ1901" s="1" t="s">
        <v>209</v>
      </c>
      <c r="CA1901" s="1" t="s">
        <v>210</v>
      </c>
      <c r="CB1901" s="1" t="s">
        <v>431</v>
      </c>
      <c r="CC1901" s="1" t="s">
        <v>1069</v>
      </c>
      <c r="CD1901" s="1" t="s">
        <v>206</v>
      </c>
      <c r="CE1901" s="1" t="s">
        <v>207</v>
      </c>
      <c r="CF1901" s="1" t="s">
        <v>431</v>
      </c>
      <c r="CG1901" s="1" t="s">
        <v>1875</v>
      </c>
      <c r="CH1901" s="1" t="s">
        <v>209</v>
      </c>
      <c r="CI1901" s="1" t="s">
        <v>210</v>
      </c>
      <c r="CJ1901" s="1" t="s">
        <v>431</v>
      </c>
      <c r="CK1901" s="1" t="s">
        <v>1245</v>
      </c>
      <c r="CL1901" s="1" t="s">
        <v>206</v>
      </c>
      <c r="CM1901" s="1" t="s">
        <v>207</v>
      </c>
      <c r="CN1901" s="1" t="s">
        <v>431</v>
      </c>
      <c r="CO1901" s="1" t="s">
        <v>263</v>
      </c>
      <c r="CP1901" s="1" t="s">
        <v>206</v>
      </c>
      <c r="CQ1901" s="1" t="s">
        <v>207</v>
      </c>
      <c r="CR1901" s="1" t="s">
        <v>431</v>
      </c>
      <c r="CS1901" s="1" t="s">
        <v>700</v>
      </c>
      <c r="CT1901" s="1" t="s">
        <v>206</v>
      </c>
      <c r="CU1901" s="1" t="s">
        <v>617</v>
      </c>
      <c r="CV1901" s="1" t="s">
        <v>431</v>
      </c>
      <c r="CX1901" s="1" t="s">
        <v>204</v>
      </c>
      <c r="DA1901" s="1" t="s">
        <v>200</v>
      </c>
      <c r="DC1901" s="1" t="s">
        <v>642</v>
      </c>
      <c r="DD1901" s="1" t="s">
        <v>16725</v>
      </c>
      <c r="DE1901" s="1" t="s">
        <v>273</v>
      </c>
      <c r="DF1901" s="1" t="s">
        <v>219</v>
      </c>
      <c r="DH1901" s="1" t="s">
        <v>220</v>
      </c>
      <c r="DJ1901" s="1" t="s">
        <v>222</v>
      </c>
      <c r="DL1901" s="1" t="s">
        <v>791</v>
      </c>
      <c r="DM1901" s="1" t="s">
        <v>229</v>
      </c>
      <c r="DQ1901" s="1" t="s">
        <v>228</v>
      </c>
      <c r="DR1901" s="1" t="s">
        <v>229</v>
      </c>
      <c r="DU1901" s="1" t="s">
        <v>681</v>
      </c>
      <c r="DV1901" s="1" t="s">
        <v>18320</v>
      </c>
      <c r="DW1901" s="1" t="s">
        <v>370</v>
      </c>
      <c r="DX1901" s="1" t="s">
        <v>234</v>
      </c>
      <c r="DY1901" s="1" t="s">
        <v>553</v>
      </c>
      <c r="EC1901" s="1" t="s">
        <v>645</v>
      </c>
      <c r="ED1901" s="1" t="s">
        <v>555</v>
      </c>
      <c r="EG1901" s="1" t="s">
        <v>373</v>
      </c>
      <c r="EH1901" s="1" t="s">
        <v>720</v>
      </c>
      <c r="EI1901" s="1" t="s">
        <v>409</v>
      </c>
      <c r="EL1901" s="1" t="s">
        <v>9899</v>
      </c>
      <c r="EM1901" s="1" t="s">
        <v>206</v>
      </c>
      <c r="EN1901" s="1" t="s">
        <v>617</v>
      </c>
      <c r="EP1901" s="1" t="s">
        <v>558</v>
      </c>
      <c r="EQ1901" s="1" t="s">
        <v>206</v>
      </c>
      <c r="ER1901" s="1" t="s">
        <v>207</v>
      </c>
      <c r="ET1901" s="1" t="s">
        <v>558</v>
      </c>
      <c r="EU1901" s="1" t="s">
        <v>209</v>
      </c>
      <c r="EV1901" s="1" t="s">
        <v>210</v>
      </c>
      <c r="EY1901" s="1" t="s">
        <v>238</v>
      </c>
      <c r="FC1901" s="1" t="s">
        <v>238</v>
      </c>
      <c r="FF1901" s="1" t="s">
        <v>239</v>
      </c>
      <c r="FG1901" s="1" t="s">
        <v>200</v>
      </c>
      <c r="FH1901" s="1" t="s">
        <v>192</v>
      </c>
      <c r="FJ1901" s="1" t="s">
        <v>561</v>
      </c>
      <c r="FK1901" s="1" t="s">
        <v>229</v>
      </c>
      <c r="FL1901" s="1" t="s">
        <v>1289</v>
      </c>
      <c r="FM1901" s="1">
        <v>10560.0</v>
      </c>
      <c r="FN1901" s="1" t="s">
        <v>18321</v>
      </c>
      <c r="FO1901" s="1" t="s">
        <v>18322</v>
      </c>
      <c r="FP1901" s="1">
        <v>158128.0</v>
      </c>
      <c r="FU1901" s="1" t="s">
        <v>18323</v>
      </c>
      <c r="FV1901" s="1" t="s">
        <v>200</v>
      </c>
      <c r="FW1901" s="1" t="s">
        <v>290</v>
      </c>
      <c r="FX1901" s="1" t="s">
        <v>238</v>
      </c>
      <c r="FZ1901" s="1" t="s">
        <v>504</v>
      </c>
      <c r="GA1901" s="1" t="s">
        <v>291</v>
      </c>
      <c r="GB1901" s="2">
        <v>41989.0</v>
      </c>
    </row>
    <row r="1902">
      <c r="A1902" s="1">
        <v>114000.0</v>
      </c>
      <c r="B1902" s="1" t="s">
        <v>185</v>
      </c>
      <c r="C1902" s="1" t="str">
        <f>"08715325"</f>
        <v>08715325</v>
      </c>
      <c r="D1902" s="1" t="s">
        <v>186</v>
      </c>
      <c r="F1902" s="1" t="str">
        <f>"115"</f>
        <v>115</v>
      </c>
      <c r="G1902" s="2">
        <v>41881.0</v>
      </c>
      <c r="H1902" s="1">
        <v>135000.0</v>
      </c>
      <c r="I1902" s="1">
        <v>141.0</v>
      </c>
      <c r="J1902" s="1">
        <v>119500.0</v>
      </c>
      <c r="K1902" s="2">
        <v>42020.0</v>
      </c>
      <c r="L1902" s="1">
        <v>141.0</v>
      </c>
      <c r="M1902" s="2">
        <v>42020.0</v>
      </c>
      <c r="N1902" s="1" t="s">
        <v>356</v>
      </c>
      <c r="O1902" s="2">
        <v>42088.0</v>
      </c>
      <c r="P1902" s="1">
        <v>1195.0</v>
      </c>
      <c r="Q1902" s="1">
        <v>41.0</v>
      </c>
      <c r="S1902" s="1">
        <v>425.0</v>
      </c>
      <c r="T1902" s="1" t="s">
        <v>18324</v>
      </c>
      <c r="U1902" s="1" t="s">
        <v>464</v>
      </c>
      <c r="V1902" s="1" t="s">
        <v>610</v>
      </c>
      <c r="W1902" s="1">
        <v>60115.0</v>
      </c>
      <c r="Y1902" s="1" t="s">
        <v>18325</v>
      </c>
      <c r="Z1902" s="1">
        <v>1955.0</v>
      </c>
      <c r="AA1902" s="1" t="s">
        <v>192</v>
      </c>
      <c r="AB1902" s="1" t="s">
        <v>193</v>
      </c>
      <c r="AC1902" s="1" t="s">
        <v>18326</v>
      </c>
      <c r="AD1902" s="1" t="s">
        <v>612</v>
      </c>
      <c r="AE1902" s="1" t="s">
        <v>613</v>
      </c>
      <c r="AF1902" s="1" t="s">
        <v>612</v>
      </c>
      <c r="AH1902" s="1" t="s">
        <v>4038</v>
      </c>
      <c r="AI1902" s="1">
        <v>0.1928</v>
      </c>
      <c r="AK1902" s="1">
        <v>8.0</v>
      </c>
      <c r="AL1902" s="1">
        <v>3.0</v>
      </c>
      <c r="AM1902" s="1">
        <v>2.0</v>
      </c>
      <c r="AN1902" s="1">
        <v>0.0</v>
      </c>
      <c r="AO1902" s="1" t="s">
        <v>229</v>
      </c>
      <c r="AP1902" s="1">
        <v>0.0</v>
      </c>
      <c r="AQ1902" s="1" t="s">
        <v>198</v>
      </c>
      <c r="AR1902" s="1" t="s">
        <v>192</v>
      </c>
      <c r="AS1902" s="1" t="s">
        <v>199</v>
      </c>
      <c r="AT1902" s="1">
        <v>1.5</v>
      </c>
      <c r="AV1902" s="1" t="s">
        <v>200</v>
      </c>
      <c r="AW1902" s="1">
        <v>4096.7</v>
      </c>
      <c r="AX1902" s="1">
        <v>2013.0</v>
      </c>
      <c r="AY1902" s="1" t="s">
        <v>387</v>
      </c>
      <c r="AZ1902" s="1" t="s">
        <v>200</v>
      </c>
      <c r="BA1902" s="1" t="str">
        <f>"0811458015"</f>
        <v>0811458015</v>
      </c>
      <c r="BB1902" s="1" t="s">
        <v>200</v>
      </c>
      <c r="BC1902" s="1">
        <v>960.0</v>
      </c>
      <c r="BD1902" s="1">
        <v>114000.0</v>
      </c>
      <c r="BE1902" s="2">
        <v>41880.0</v>
      </c>
      <c r="BF1902" s="2" t="s">
        <v>18327</v>
      </c>
      <c r="BH1902" s="1">
        <v>0.0</v>
      </c>
      <c r="BK1902" s="1" t="s">
        <v>204</v>
      </c>
      <c r="BL1902" s="1" t="str">
        <f t="shared" ref="BL1902:BM1902" si="1256">""</f>
        <v/>
      </c>
      <c r="BM1902" s="1" t="str">
        <f t="shared" si="1256"/>
        <v/>
      </c>
      <c r="BQ1902" s="1">
        <v>428.0</v>
      </c>
      <c r="BR1902" s="1">
        <v>428.0</v>
      </c>
      <c r="BS1902" s="1">
        <v>428.0</v>
      </c>
      <c r="BU1902" s="1" t="s">
        <v>390</v>
      </c>
      <c r="BV1902" s="1" t="s">
        <v>206</v>
      </c>
      <c r="BW1902" s="1" t="s">
        <v>207</v>
      </c>
      <c r="BY1902" s="1" t="s">
        <v>212</v>
      </c>
      <c r="BZ1902" s="1" t="s">
        <v>206</v>
      </c>
      <c r="CA1902" s="1" t="s">
        <v>207</v>
      </c>
      <c r="CD1902" s="1" t="s">
        <v>204</v>
      </c>
      <c r="CG1902" s="1" t="s">
        <v>699</v>
      </c>
      <c r="CH1902" s="1" t="s">
        <v>206</v>
      </c>
      <c r="CI1902" s="1" t="s">
        <v>207</v>
      </c>
      <c r="CK1902" s="1" t="s">
        <v>516</v>
      </c>
      <c r="CL1902" s="1" t="s">
        <v>206</v>
      </c>
      <c r="CM1902" s="1" t="s">
        <v>207</v>
      </c>
      <c r="CO1902" s="1" t="s">
        <v>543</v>
      </c>
      <c r="CP1902" s="1" t="s">
        <v>42</v>
      </c>
      <c r="CQ1902" s="1" t="s">
        <v>617</v>
      </c>
      <c r="CS1902" s="1" t="s">
        <v>700</v>
      </c>
      <c r="CT1902" s="1" t="s">
        <v>206</v>
      </c>
      <c r="CU1902" s="1" t="s">
        <v>617</v>
      </c>
      <c r="CX1902" s="1" t="s">
        <v>204</v>
      </c>
      <c r="DA1902" s="1" t="s">
        <v>200</v>
      </c>
      <c r="DC1902" s="1" t="s">
        <v>271</v>
      </c>
      <c r="DD1902" s="1" t="s">
        <v>518</v>
      </c>
      <c r="DE1902" s="1" t="s">
        <v>273</v>
      </c>
      <c r="DF1902" s="1" t="s">
        <v>219</v>
      </c>
      <c r="DG1902" s="1" t="s">
        <v>337</v>
      </c>
      <c r="DH1902" s="1" t="s">
        <v>220</v>
      </c>
      <c r="DI1902" s="1" t="s">
        <v>221</v>
      </c>
      <c r="DJ1902" s="1" t="s">
        <v>222</v>
      </c>
      <c r="DL1902" s="1" t="s">
        <v>224</v>
      </c>
      <c r="DM1902" s="1" t="s">
        <v>338</v>
      </c>
      <c r="DO1902" s="1" t="s">
        <v>1144</v>
      </c>
      <c r="DQ1902" s="1" t="s">
        <v>228</v>
      </c>
      <c r="DR1902" s="1" t="s">
        <v>229</v>
      </c>
      <c r="DU1902" s="1" t="s">
        <v>1226</v>
      </c>
      <c r="DV1902" s="1" t="s">
        <v>2891</v>
      </c>
      <c r="DW1902" s="1" t="s">
        <v>233</v>
      </c>
      <c r="DX1902" s="1" t="s">
        <v>234</v>
      </c>
      <c r="DY1902" s="1" t="s">
        <v>704</v>
      </c>
      <c r="DZ1902" s="1" t="s">
        <v>282</v>
      </c>
      <c r="EC1902" s="1" t="s">
        <v>685</v>
      </c>
      <c r="ED1902" s="1" t="s">
        <v>407</v>
      </c>
      <c r="EE1902" s="1" t="s">
        <v>493</v>
      </c>
      <c r="EG1902" s="1" t="s">
        <v>557</v>
      </c>
      <c r="EH1902" s="1" t="s">
        <v>450</v>
      </c>
      <c r="EL1902" s="1" t="s">
        <v>212</v>
      </c>
      <c r="EM1902" s="1" t="s">
        <v>42</v>
      </c>
      <c r="EN1902" s="1" t="s">
        <v>617</v>
      </c>
      <c r="EP1902" s="1" t="s">
        <v>3271</v>
      </c>
      <c r="EQ1902" s="1" t="s">
        <v>42</v>
      </c>
      <c r="ER1902" s="1" t="s">
        <v>210</v>
      </c>
      <c r="EU1902" s="1" t="s">
        <v>238</v>
      </c>
      <c r="EY1902" s="1" t="s">
        <v>238</v>
      </c>
      <c r="FC1902" s="1" t="s">
        <v>238</v>
      </c>
      <c r="FF1902" s="1" t="s">
        <v>239</v>
      </c>
      <c r="FG1902" s="1" t="s">
        <v>192</v>
      </c>
      <c r="FH1902" s="1" t="s">
        <v>192</v>
      </c>
      <c r="FJ1902" s="1" t="s">
        <v>686</v>
      </c>
      <c r="FK1902" s="1" t="s">
        <v>229</v>
      </c>
      <c r="FL1902" s="1" t="s">
        <v>1007</v>
      </c>
      <c r="FM1902" s="1">
        <v>93043.0</v>
      </c>
      <c r="FN1902" s="1" t="s">
        <v>1008</v>
      </c>
      <c r="FO1902" s="1" t="s">
        <v>1009</v>
      </c>
      <c r="FP1902" s="1">
        <v>930136.0</v>
      </c>
      <c r="FQ1902" s="1" t="s">
        <v>1010</v>
      </c>
      <c r="FU1902" s="1" t="s">
        <v>18328</v>
      </c>
      <c r="FV1902" s="1" t="s">
        <v>200</v>
      </c>
      <c r="FW1902" s="1" t="s">
        <v>18329</v>
      </c>
      <c r="FX1902" s="1" t="s">
        <v>1739</v>
      </c>
      <c r="FZ1902" s="1" t="s">
        <v>229</v>
      </c>
      <c r="GA1902" s="1" t="s">
        <v>291</v>
      </c>
      <c r="GB1902" s="2">
        <v>42089.0</v>
      </c>
    </row>
    <row r="1903">
      <c r="A1903" s="1">
        <v>141000.0</v>
      </c>
      <c r="B1903" s="1" t="s">
        <v>185</v>
      </c>
      <c r="C1903" s="1" t="str">
        <f>"08718345"</f>
        <v>08718345</v>
      </c>
      <c r="D1903" s="1" t="s">
        <v>186</v>
      </c>
      <c r="F1903" s="1" t="str">
        <f>"110"</f>
        <v>110</v>
      </c>
      <c r="G1903" s="2">
        <v>41885.0</v>
      </c>
      <c r="H1903" s="1">
        <v>154900.0</v>
      </c>
      <c r="I1903" s="1">
        <v>64.0</v>
      </c>
      <c r="J1903" s="1">
        <v>144900.0</v>
      </c>
      <c r="K1903" s="2">
        <v>41947.0</v>
      </c>
      <c r="L1903" s="1">
        <v>64.0</v>
      </c>
      <c r="M1903" s="2">
        <v>41947.0</v>
      </c>
      <c r="N1903" s="1" t="s">
        <v>356</v>
      </c>
      <c r="O1903" s="2">
        <v>41984.0</v>
      </c>
      <c r="P1903" s="1">
        <v>70149.0</v>
      </c>
      <c r="Q1903" s="1">
        <v>143.0</v>
      </c>
      <c r="R1903" s="1">
        <v>2000.0</v>
      </c>
      <c r="S1903" s="1">
        <v>1500.0</v>
      </c>
      <c r="T1903" s="1" t="s">
        <v>18330</v>
      </c>
      <c r="U1903" s="1" t="s">
        <v>1015</v>
      </c>
      <c r="V1903" s="1" t="s">
        <v>807</v>
      </c>
      <c r="W1903" s="1">
        <v>60110.0</v>
      </c>
      <c r="Y1903" s="1" t="s">
        <v>18331</v>
      </c>
      <c r="Z1903" s="1" t="s">
        <v>296</v>
      </c>
      <c r="AA1903" s="1" t="s">
        <v>192</v>
      </c>
      <c r="AB1903" s="1" t="s">
        <v>193</v>
      </c>
      <c r="AD1903" s="1" t="s">
        <v>809</v>
      </c>
      <c r="AE1903" s="1" t="s">
        <v>325</v>
      </c>
      <c r="AF1903" s="1" t="s">
        <v>810</v>
      </c>
      <c r="AH1903" s="1" t="s">
        <v>1757</v>
      </c>
      <c r="AK1903" s="1">
        <v>7.0</v>
      </c>
      <c r="AL1903" s="1">
        <v>4.0</v>
      </c>
      <c r="AM1903" s="1">
        <v>2.0</v>
      </c>
      <c r="AN1903" s="1">
        <v>0.0</v>
      </c>
      <c r="AO1903" s="1" t="s">
        <v>229</v>
      </c>
      <c r="AQ1903" s="1" t="s">
        <v>327</v>
      </c>
      <c r="AR1903" s="1" t="s">
        <v>192</v>
      </c>
      <c r="AS1903" s="1" t="s">
        <v>199</v>
      </c>
      <c r="AT1903" s="1">
        <v>2.0</v>
      </c>
      <c r="AV1903" s="1" t="s">
        <v>200</v>
      </c>
      <c r="AW1903" s="1">
        <v>2430.0</v>
      </c>
      <c r="AX1903" s="1">
        <v>2013.0</v>
      </c>
      <c r="AY1903" s="1" t="s">
        <v>1179</v>
      </c>
      <c r="AZ1903" s="1" t="s">
        <v>200</v>
      </c>
      <c r="BA1903" s="1" t="str">
        <f>"0313408042"</f>
        <v>0313408042</v>
      </c>
      <c r="BC1903" s="1">
        <v>2000.0</v>
      </c>
      <c r="BD1903" s="1">
        <v>141000.0</v>
      </c>
      <c r="BE1903" s="2">
        <v>41884.0</v>
      </c>
      <c r="BF1903" s="2" t="s">
        <v>18332</v>
      </c>
      <c r="BH1903" s="1">
        <v>0.0</v>
      </c>
      <c r="BK1903" s="1" t="s">
        <v>204</v>
      </c>
      <c r="BL1903" s="1" t="str">
        <f t="shared" ref="BL1903:BM1903" si="1257">""</f>
        <v/>
      </c>
      <c r="BM1903" s="1" t="str">
        <f t="shared" si="1257"/>
        <v/>
      </c>
      <c r="BQ1903" s="1">
        <v>300.0</v>
      </c>
      <c r="BR1903" s="1">
        <v>300.0</v>
      </c>
      <c r="BS1903" s="1">
        <v>300.0</v>
      </c>
      <c r="BU1903" s="1" t="s">
        <v>1426</v>
      </c>
      <c r="BV1903" s="1" t="s">
        <v>206</v>
      </c>
      <c r="BW1903" s="1" t="s">
        <v>210</v>
      </c>
      <c r="BX1903" s="1" t="s">
        <v>1549</v>
      </c>
      <c r="BY1903" s="1" t="s">
        <v>2505</v>
      </c>
      <c r="BZ1903" s="1" t="s">
        <v>206</v>
      </c>
      <c r="CA1903" s="1" t="s">
        <v>210</v>
      </c>
      <c r="CB1903" s="1" t="s">
        <v>431</v>
      </c>
      <c r="CD1903" s="1" t="s">
        <v>204</v>
      </c>
      <c r="CG1903" s="1" t="s">
        <v>264</v>
      </c>
      <c r="CH1903" s="1" t="s">
        <v>206</v>
      </c>
      <c r="CI1903" s="1" t="s">
        <v>210</v>
      </c>
      <c r="CJ1903" s="1" t="s">
        <v>431</v>
      </c>
      <c r="CK1903" s="1" t="s">
        <v>495</v>
      </c>
      <c r="CL1903" s="1" t="s">
        <v>206</v>
      </c>
      <c r="CM1903" s="1" t="s">
        <v>210</v>
      </c>
      <c r="CN1903" s="1" t="s">
        <v>431</v>
      </c>
      <c r="CO1903" s="1" t="s">
        <v>269</v>
      </c>
      <c r="CP1903" s="1" t="s">
        <v>206</v>
      </c>
      <c r="CQ1903" s="1" t="s">
        <v>210</v>
      </c>
      <c r="CR1903" s="1" t="s">
        <v>431</v>
      </c>
      <c r="CS1903" s="1" t="s">
        <v>432</v>
      </c>
      <c r="CT1903" s="1" t="s">
        <v>267</v>
      </c>
      <c r="CU1903" s="1" t="s">
        <v>617</v>
      </c>
      <c r="CV1903" s="1" t="s">
        <v>431</v>
      </c>
      <c r="CW1903" s="1" t="s">
        <v>2130</v>
      </c>
      <c r="CX1903" s="1" t="s">
        <v>267</v>
      </c>
      <c r="CY1903" s="1" t="s">
        <v>210</v>
      </c>
      <c r="CZ1903" s="1" t="s">
        <v>431</v>
      </c>
      <c r="DA1903" s="1" t="s">
        <v>200</v>
      </c>
      <c r="DC1903" s="1" t="s">
        <v>702</v>
      </c>
      <c r="DD1903" s="1" t="s">
        <v>518</v>
      </c>
      <c r="DE1903" s="1" t="s">
        <v>273</v>
      </c>
      <c r="DF1903" s="1" t="s">
        <v>219</v>
      </c>
      <c r="DH1903" s="1" t="s">
        <v>220</v>
      </c>
      <c r="DI1903" s="1" t="s">
        <v>1223</v>
      </c>
      <c r="DJ1903" s="1" t="s">
        <v>222</v>
      </c>
      <c r="DL1903" s="1" t="s">
        <v>224</v>
      </c>
      <c r="DM1903" s="1" t="s">
        <v>338</v>
      </c>
      <c r="DQ1903" s="1" t="s">
        <v>228</v>
      </c>
      <c r="DR1903" s="1" t="s">
        <v>229</v>
      </c>
      <c r="DS1903" s="1" t="s">
        <v>230</v>
      </c>
      <c r="DV1903" s="1" t="s">
        <v>408</v>
      </c>
      <c r="DW1903" s="1" t="s">
        <v>233</v>
      </c>
      <c r="DX1903" s="1" t="s">
        <v>234</v>
      </c>
      <c r="EC1903" s="1" t="s">
        <v>311</v>
      </c>
      <c r="ED1903" s="1" t="s">
        <v>407</v>
      </c>
      <c r="EG1903" s="1" t="s">
        <v>408</v>
      </c>
      <c r="EL1903" s="1" t="s">
        <v>18333</v>
      </c>
      <c r="EM1903" s="1" t="s">
        <v>206</v>
      </c>
      <c r="EN1903" s="1" t="s">
        <v>617</v>
      </c>
      <c r="EO1903" s="1" t="s">
        <v>229</v>
      </c>
      <c r="EQ1903" s="1" t="s">
        <v>238</v>
      </c>
      <c r="EU1903" s="1" t="s">
        <v>238</v>
      </c>
      <c r="EY1903" s="1" t="s">
        <v>238</v>
      </c>
      <c r="FC1903" s="1" t="s">
        <v>238</v>
      </c>
      <c r="FF1903" s="1" t="s">
        <v>239</v>
      </c>
      <c r="FG1903" s="1" t="s">
        <v>192</v>
      </c>
      <c r="FH1903" s="1" t="s">
        <v>192</v>
      </c>
      <c r="FJ1903" s="1" t="s">
        <v>18334</v>
      </c>
      <c r="FK1903" s="1" t="s">
        <v>229</v>
      </c>
      <c r="FL1903" s="1" t="s">
        <v>12579</v>
      </c>
      <c r="FM1903" s="1">
        <v>7470.0</v>
      </c>
      <c r="FN1903" s="1" t="s">
        <v>12580</v>
      </c>
      <c r="FO1903" s="1" t="s">
        <v>12581</v>
      </c>
      <c r="FP1903" s="1">
        <v>77577.0</v>
      </c>
      <c r="FQ1903" s="1" t="s">
        <v>12582</v>
      </c>
      <c r="FU1903" s="1" t="s">
        <v>12583</v>
      </c>
      <c r="FV1903" s="1" t="s">
        <v>200</v>
      </c>
      <c r="FW1903" s="1" t="s">
        <v>12584</v>
      </c>
      <c r="FZ1903" s="1" t="s">
        <v>229</v>
      </c>
      <c r="GA1903" s="1" t="s">
        <v>291</v>
      </c>
      <c r="GB1903" s="2">
        <v>41984.0</v>
      </c>
      <c r="GC1903" s="1" t="s">
        <v>18335</v>
      </c>
    </row>
    <row r="1904">
      <c r="A1904" s="1">
        <v>394000.0</v>
      </c>
      <c r="B1904" s="1" t="s">
        <v>185</v>
      </c>
      <c r="C1904" s="1" t="str">
        <f>"08717631"</f>
        <v>08717631</v>
      </c>
      <c r="D1904" s="1" t="s">
        <v>186</v>
      </c>
      <c r="F1904" s="1" t="str">
        <f>"8016"</f>
        <v>8016</v>
      </c>
      <c r="G1904" s="2">
        <v>41885.0</v>
      </c>
      <c r="H1904" s="1">
        <v>424900.0</v>
      </c>
      <c r="I1904" s="1">
        <v>65.0</v>
      </c>
      <c r="J1904" s="1">
        <v>413000.0</v>
      </c>
      <c r="K1904" s="2">
        <v>41949.0</v>
      </c>
      <c r="L1904" s="1">
        <v>65.0</v>
      </c>
      <c r="M1904" s="2">
        <v>41949.0</v>
      </c>
      <c r="N1904" s="1" t="s">
        <v>187</v>
      </c>
      <c r="O1904" s="2">
        <v>41996.0</v>
      </c>
      <c r="P1904" s="1">
        <v>140592.0</v>
      </c>
      <c r="Q1904" s="1">
        <v>14856.0</v>
      </c>
      <c r="R1904" s="1">
        <v>7000.0</v>
      </c>
      <c r="S1904" s="1">
        <v>3729.0</v>
      </c>
      <c r="T1904" s="1" t="s">
        <v>7179</v>
      </c>
      <c r="U1904" s="1" t="s">
        <v>189</v>
      </c>
      <c r="V1904" s="1" t="s">
        <v>190</v>
      </c>
      <c r="W1904" s="1">
        <v>60641.0</v>
      </c>
      <c r="Y1904" s="1" t="s">
        <v>18336</v>
      </c>
      <c r="Z1904" s="1">
        <v>1895.0</v>
      </c>
      <c r="AA1904" s="1" t="s">
        <v>192</v>
      </c>
      <c r="AB1904" s="1" t="s">
        <v>193</v>
      </c>
      <c r="AD1904" s="1" t="s">
        <v>194</v>
      </c>
      <c r="AE1904" s="1" t="s">
        <v>195</v>
      </c>
      <c r="AF1904" s="1" t="s">
        <v>196</v>
      </c>
      <c r="AH1904" s="1">
        <v>5850.0</v>
      </c>
      <c r="AI1904" s="1">
        <v>0.1343</v>
      </c>
      <c r="AK1904" s="1">
        <v>8.0</v>
      </c>
      <c r="AL1904" s="1">
        <v>4.0</v>
      </c>
      <c r="AM1904" s="1">
        <v>2.0</v>
      </c>
      <c r="AN1904" s="1">
        <v>1.0</v>
      </c>
      <c r="AO1904" s="1" t="s">
        <v>229</v>
      </c>
      <c r="AQ1904" s="1" t="s">
        <v>198</v>
      </c>
      <c r="AR1904" s="1" t="s">
        <v>192</v>
      </c>
      <c r="AS1904" s="1" t="s">
        <v>199</v>
      </c>
      <c r="AT1904" s="1">
        <v>2.0</v>
      </c>
      <c r="AV1904" s="1" t="s">
        <v>200</v>
      </c>
      <c r="AW1904" s="1">
        <v>3344.0</v>
      </c>
      <c r="AX1904" s="1">
        <v>2013.0</v>
      </c>
      <c r="AY1904" s="1" t="s">
        <v>1917</v>
      </c>
      <c r="AZ1904" s="1" t="s">
        <v>200</v>
      </c>
      <c r="BA1904" s="1" t="str">
        <f>"13222160090000"</f>
        <v>13222160090000</v>
      </c>
      <c r="BC1904" s="1">
        <v>2200.0</v>
      </c>
      <c r="BD1904" s="1">
        <v>394000.0</v>
      </c>
      <c r="BE1904" s="2">
        <v>41885.0</v>
      </c>
      <c r="BF1904" s="2" t="s">
        <v>18337</v>
      </c>
      <c r="BH1904" s="1">
        <v>0.0</v>
      </c>
      <c r="BK1904" s="1" t="s">
        <v>204</v>
      </c>
      <c r="BL1904" s="1" t="str">
        <f>"3700"</f>
        <v>3700</v>
      </c>
      <c r="BM1904" s="1" t="str">
        <f t="shared" ref="BM1904:BM1905" si="1258">"0"</f>
        <v>0</v>
      </c>
      <c r="BN1904" s="1">
        <v>4000.0</v>
      </c>
      <c r="BO1904" s="1">
        <v>0.0</v>
      </c>
      <c r="BP1904" s="1" t="s">
        <v>18338</v>
      </c>
      <c r="BQ1904" s="1">
        <v>299.0</v>
      </c>
      <c r="BR1904" s="1">
        <v>299.0</v>
      </c>
      <c r="BS1904" s="1">
        <v>299.0</v>
      </c>
      <c r="BU1904" s="1" t="s">
        <v>1044</v>
      </c>
      <c r="BV1904" s="1" t="s">
        <v>206</v>
      </c>
      <c r="BW1904" s="1" t="s">
        <v>207</v>
      </c>
      <c r="BY1904" s="1" t="s">
        <v>2082</v>
      </c>
      <c r="BZ1904" s="1" t="s">
        <v>209</v>
      </c>
      <c r="CD1904" s="1" t="s">
        <v>204</v>
      </c>
      <c r="CG1904" s="1" t="s">
        <v>300</v>
      </c>
      <c r="CH1904" s="1" t="s">
        <v>209</v>
      </c>
      <c r="CK1904" s="1" t="s">
        <v>2223</v>
      </c>
      <c r="CL1904" s="1" t="s">
        <v>209</v>
      </c>
      <c r="CO1904" s="1" t="s">
        <v>699</v>
      </c>
      <c r="CP1904" s="1" t="s">
        <v>206</v>
      </c>
      <c r="CS1904" s="1" t="s">
        <v>1584</v>
      </c>
      <c r="CT1904" s="1" t="s">
        <v>206</v>
      </c>
      <c r="CX1904" s="1" t="s">
        <v>204</v>
      </c>
      <c r="DA1904" s="1" t="s">
        <v>200</v>
      </c>
      <c r="DC1904" s="1" t="s">
        <v>642</v>
      </c>
      <c r="DE1904" s="1" t="s">
        <v>273</v>
      </c>
      <c r="DF1904" s="1" t="s">
        <v>619</v>
      </c>
      <c r="DH1904" s="1" t="s">
        <v>220</v>
      </c>
      <c r="DJ1904" s="1" t="s">
        <v>222</v>
      </c>
      <c r="DL1904" s="1" t="s">
        <v>223</v>
      </c>
      <c r="DM1904" s="1" t="s">
        <v>1464</v>
      </c>
      <c r="DQ1904" s="1" t="s">
        <v>228</v>
      </c>
      <c r="DR1904" s="1" t="s">
        <v>229</v>
      </c>
      <c r="DV1904" s="1" t="s">
        <v>18339</v>
      </c>
      <c r="DW1904" s="1" t="s">
        <v>8064</v>
      </c>
      <c r="DX1904" s="1" t="s">
        <v>234</v>
      </c>
      <c r="EC1904" s="1" t="s">
        <v>237</v>
      </c>
      <c r="EG1904" s="1" t="s">
        <v>557</v>
      </c>
      <c r="EH1904" s="1" t="s">
        <v>1407</v>
      </c>
      <c r="EI1904" s="1" t="s">
        <v>374</v>
      </c>
      <c r="EL1904" s="1" t="s">
        <v>699</v>
      </c>
      <c r="EM1904" s="1" t="s">
        <v>206</v>
      </c>
      <c r="EP1904" s="1" t="s">
        <v>516</v>
      </c>
      <c r="EQ1904" s="1" t="s">
        <v>209</v>
      </c>
      <c r="ET1904" s="1" t="s">
        <v>263</v>
      </c>
      <c r="EU1904" s="1" t="s">
        <v>206</v>
      </c>
      <c r="EY1904" s="1" t="s">
        <v>238</v>
      </c>
      <c r="FC1904" s="1" t="s">
        <v>238</v>
      </c>
      <c r="FF1904" s="1" t="s">
        <v>239</v>
      </c>
      <c r="FG1904" s="1" t="s">
        <v>192</v>
      </c>
      <c r="FH1904" s="1" t="s">
        <v>192</v>
      </c>
      <c r="FJ1904" s="1" t="s">
        <v>18340</v>
      </c>
      <c r="FK1904" s="1" t="s">
        <v>229</v>
      </c>
      <c r="FL1904" s="1" t="s">
        <v>18341</v>
      </c>
      <c r="FM1904" s="1">
        <v>18812.0</v>
      </c>
      <c r="FN1904" s="1" t="s">
        <v>18342</v>
      </c>
      <c r="FO1904" s="1" t="s">
        <v>18343</v>
      </c>
      <c r="FP1904" s="1">
        <v>176618.0</v>
      </c>
      <c r="FQ1904" s="1" t="s">
        <v>18342</v>
      </c>
      <c r="FU1904" s="1" t="s">
        <v>18344</v>
      </c>
      <c r="FV1904" s="1" t="s">
        <v>200</v>
      </c>
      <c r="FW1904" s="1" t="s">
        <v>631</v>
      </c>
      <c r="FX1904" s="1" t="s">
        <v>238</v>
      </c>
      <c r="FZ1904" s="1" t="s">
        <v>229</v>
      </c>
      <c r="GA1904" s="1" t="s">
        <v>291</v>
      </c>
      <c r="GB1904" s="2">
        <v>41996.0</v>
      </c>
    </row>
    <row r="1905">
      <c r="A1905" s="1">
        <v>110000.0</v>
      </c>
      <c r="B1905" s="1" t="s">
        <v>185</v>
      </c>
      <c r="C1905" s="1" t="str">
        <f>"08716812"</f>
        <v>08716812</v>
      </c>
      <c r="D1905" s="1" t="s">
        <v>186</v>
      </c>
      <c r="F1905" s="1" t="str">
        <f>"145"</f>
        <v>145</v>
      </c>
      <c r="G1905" s="2">
        <v>41884.0</v>
      </c>
      <c r="H1905" s="1">
        <v>114900.0</v>
      </c>
      <c r="I1905" s="1">
        <v>49.0</v>
      </c>
      <c r="J1905" s="1">
        <v>114900.0</v>
      </c>
      <c r="K1905" s="2">
        <v>41932.0</v>
      </c>
      <c r="L1905" s="1">
        <v>49.0</v>
      </c>
      <c r="M1905" s="2">
        <v>41932.0</v>
      </c>
      <c r="N1905" s="1" t="s">
        <v>356</v>
      </c>
      <c r="O1905" s="2">
        <v>41969.0</v>
      </c>
      <c r="P1905" s="1">
        <v>57.0</v>
      </c>
      <c r="Q1905" s="1">
        <v>352.0</v>
      </c>
      <c r="R1905" s="1">
        <v>2055.31</v>
      </c>
      <c r="S1905" s="1">
        <v>8679.0</v>
      </c>
      <c r="T1905" s="1" t="s">
        <v>8686</v>
      </c>
      <c r="U1905" s="1" t="s">
        <v>464</v>
      </c>
      <c r="V1905" s="1" t="s">
        <v>1782</v>
      </c>
      <c r="W1905" s="1">
        <v>60145.0</v>
      </c>
      <c r="Y1905" s="1" t="s">
        <v>18345</v>
      </c>
      <c r="Z1905" s="1">
        <v>1989.0</v>
      </c>
      <c r="AA1905" s="1" t="s">
        <v>200</v>
      </c>
      <c r="AB1905" s="1" t="s">
        <v>193</v>
      </c>
      <c r="AC1905" s="1" t="s">
        <v>1784</v>
      </c>
      <c r="AD1905" s="1" t="s">
        <v>1089</v>
      </c>
      <c r="AE1905" s="1" t="s">
        <v>613</v>
      </c>
      <c r="AF1905" s="1" t="s">
        <v>1785</v>
      </c>
      <c r="AH1905" s="1" t="s">
        <v>18346</v>
      </c>
      <c r="AI1905" s="1">
        <v>0.4</v>
      </c>
      <c r="AK1905" s="1">
        <v>8.0</v>
      </c>
      <c r="AL1905" s="1">
        <v>4.0</v>
      </c>
      <c r="AM1905" s="1">
        <v>2.0</v>
      </c>
      <c r="AN1905" s="1">
        <v>0.0</v>
      </c>
      <c r="AO1905" s="1" t="s">
        <v>198</v>
      </c>
      <c r="AP1905" s="1">
        <v>1.0</v>
      </c>
      <c r="AQ1905" s="1" t="s">
        <v>257</v>
      </c>
      <c r="AR1905" s="1" t="s">
        <v>200</v>
      </c>
      <c r="AS1905" s="1" t="s">
        <v>199</v>
      </c>
      <c r="AT1905" s="1">
        <v>2.0</v>
      </c>
      <c r="AV1905" s="1" t="s">
        <v>200</v>
      </c>
      <c r="AW1905" s="1">
        <v>2843.64</v>
      </c>
      <c r="AX1905" s="1">
        <v>2013.0</v>
      </c>
      <c r="AY1905" s="1" t="s">
        <v>387</v>
      </c>
      <c r="AZ1905" s="1" t="s">
        <v>200</v>
      </c>
      <c r="BA1905" s="1" t="str">
        <f>"0228101014"</f>
        <v>0228101014</v>
      </c>
      <c r="BB1905" s="1" t="s">
        <v>200</v>
      </c>
      <c r="BC1905" s="1">
        <v>1596.0</v>
      </c>
      <c r="BD1905" s="1">
        <v>110000.0</v>
      </c>
      <c r="BE1905" s="2">
        <v>41884.0</v>
      </c>
      <c r="BF1905" s="2" t="s">
        <v>18347</v>
      </c>
      <c r="BG1905" s="1" t="s">
        <v>1788</v>
      </c>
      <c r="BH1905" s="1">
        <v>45.0</v>
      </c>
      <c r="BI1905" s="1" t="s">
        <v>1789</v>
      </c>
      <c r="BJ1905" s="1" t="s">
        <v>1789</v>
      </c>
      <c r="BK1905" s="1" t="s">
        <v>474</v>
      </c>
      <c r="BL1905" s="1" t="str">
        <f>"33"</f>
        <v>33</v>
      </c>
      <c r="BM1905" s="1" t="str">
        <f t="shared" si="1258"/>
        <v>0</v>
      </c>
      <c r="BN1905" s="1">
        <v>85.0</v>
      </c>
      <c r="BO1905" s="1">
        <v>0.0</v>
      </c>
      <c r="BQ1905" s="1">
        <v>426.0</v>
      </c>
      <c r="BR1905" s="1">
        <v>426.0</v>
      </c>
      <c r="BS1905" s="1">
        <v>426.0</v>
      </c>
      <c r="BU1905" s="1" t="s">
        <v>433</v>
      </c>
      <c r="BV1905" s="1" t="s">
        <v>206</v>
      </c>
      <c r="BW1905" s="1" t="s">
        <v>210</v>
      </c>
      <c r="BX1905" s="1" t="s">
        <v>239</v>
      </c>
      <c r="BY1905" s="1" t="s">
        <v>433</v>
      </c>
      <c r="BZ1905" s="1" t="s">
        <v>209</v>
      </c>
      <c r="CA1905" s="1" t="s">
        <v>210</v>
      </c>
      <c r="CB1905" s="1" t="s">
        <v>239</v>
      </c>
      <c r="CC1905" s="1" t="s">
        <v>212</v>
      </c>
      <c r="CD1905" s="1" t="s">
        <v>206</v>
      </c>
      <c r="CE1905" s="1" t="s">
        <v>210</v>
      </c>
      <c r="CF1905" s="1" t="s">
        <v>239</v>
      </c>
      <c r="CG1905" s="1" t="s">
        <v>363</v>
      </c>
      <c r="CH1905" s="1" t="s">
        <v>209</v>
      </c>
      <c r="CI1905" s="1" t="s">
        <v>210</v>
      </c>
      <c r="CJ1905" s="1" t="s">
        <v>239</v>
      </c>
      <c r="CK1905" s="1" t="s">
        <v>543</v>
      </c>
      <c r="CL1905" s="1" t="s">
        <v>209</v>
      </c>
      <c r="CM1905" s="1" t="s">
        <v>210</v>
      </c>
      <c r="CN1905" s="1" t="s">
        <v>239</v>
      </c>
      <c r="CO1905" s="1" t="s">
        <v>265</v>
      </c>
      <c r="CP1905" s="1" t="s">
        <v>267</v>
      </c>
      <c r="CQ1905" s="1" t="s">
        <v>210</v>
      </c>
      <c r="CR1905" s="1" t="s">
        <v>239</v>
      </c>
      <c r="CS1905" s="1" t="s">
        <v>543</v>
      </c>
      <c r="CT1905" s="1" t="s">
        <v>206</v>
      </c>
      <c r="CU1905" s="1" t="s">
        <v>617</v>
      </c>
      <c r="CW1905" s="1" t="s">
        <v>1000</v>
      </c>
      <c r="CX1905" s="1" t="s">
        <v>267</v>
      </c>
      <c r="CY1905" s="1" t="s">
        <v>210</v>
      </c>
      <c r="CZ1905" s="1" t="s">
        <v>239</v>
      </c>
      <c r="DA1905" s="1" t="s">
        <v>200</v>
      </c>
      <c r="DC1905" s="1" t="s">
        <v>435</v>
      </c>
      <c r="DE1905" s="1" t="s">
        <v>18348</v>
      </c>
      <c r="DF1905" s="1" t="s">
        <v>18349</v>
      </c>
      <c r="DG1905" s="1" t="s">
        <v>1553</v>
      </c>
      <c r="DH1905" s="1" t="s">
        <v>1603</v>
      </c>
      <c r="DI1905" s="1" t="s">
        <v>703</v>
      </c>
      <c r="DJ1905" s="1" t="s">
        <v>857</v>
      </c>
      <c r="DK1905" s="1" t="s">
        <v>1555</v>
      </c>
      <c r="DL1905" s="1" t="s">
        <v>1536</v>
      </c>
      <c r="DM1905" s="1" t="s">
        <v>229</v>
      </c>
      <c r="DO1905" s="1" t="s">
        <v>2520</v>
      </c>
      <c r="DP1905" s="1" t="s">
        <v>340</v>
      </c>
      <c r="DQ1905" s="1" t="s">
        <v>441</v>
      </c>
      <c r="DR1905" s="1" t="s">
        <v>111</v>
      </c>
      <c r="DS1905" s="1" t="s">
        <v>230</v>
      </c>
      <c r="DU1905" s="1" t="s">
        <v>18350</v>
      </c>
      <c r="DV1905" s="1" t="s">
        <v>232</v>
      </c>
      <c r="DW1905" s="1" t="s">
        <v>832</v>
      </c>
      <c r="DX1905" s="1" t="s">
        <v>234</v>
      </c>
      <c r="DZ1905" s="1" t="s">
        <v>2204</v>
      </c>
      <c r="EA1905" s="1" t="s">
        <v>5604</v>
      </c>
      <c r="EB1905" s="1" t="s">
        <v>18351</v>
      </c>
      <c r="EC1905" s="1" t="s">
        <v>284</v>
      </c>
      <c r="ED1905" s="1" t="s">
        <v>407</v>
      </c>
      <c r="EE1905" s="1" t="s">
        <v>493</v>
      </c>
      <c r="EM1905" s="1" t="s">
        <v>238</v>
      </c>
      <c r="EQ1905" s="1" t="s">
        <v>238</v>
      </c>
      <c r="EU1905" s="1" t="s">
        <v>238</v>
      </c>
      <c r="EY1905" s="1" t="s">
        <v>238</v>
      </c>
      <c r="FC1905" s="1" t="s">
        <v>238</v>
      </c>
      <c r="FF1905" s="1" t="s">
        <v>239</v>
      </c>
      <c r="FG1905" s="1" t="s">
        <v>192</v>
      </c>
      <c r="FH1905" s="1" t="s">
        <v>192</v>
      </c>
      <c r="FJ1905" s="1" t="s">
        <v>12591</v>
      </c>
      <c r="FK1905" s="1" t="s">
        <v>229</v>
      </c>
      <c r="FL1905" s="1" t="s">
        <v>2949</v>
      </c>
      <c r="FM1905" s="1">
        <v>93083.0</v>
      </c>
      <c r="FN1905" s="1" t="s">
        <v>2950</v>
      </c>
      <c r="FO1905" s="1" t="s">
        <v>2951</v>
      </c>
      <c r="FP1905" s="1">
        <v>930215.0</v>
      </c>
      <c r="FR1905" s="1">
        <v>930214.0</v>
      </c>
      <c r="FS1905" s="1">
        <v>930217.0</v>
      </c>
      <c r="FU1905" s="1" t="s">
        <v>18352</v>
      </c>
      <c r="FV1905" s="1" t="s">
        <v>200</v>
      </c>
      <c r="FW1905" s="1" t="s">
        <v>290</v>
      </c>
      <c r="FZ1905" s="1" t="s">
        <v>229</v>
      </c>
      <c r="GA1905" s="1" t="s">
        <v>291</v>
      </c>
      <c r="GB1905" s="2">
        <v>41969.0</v>
      </c>
      <c r="GC1905" s="1" t="s">
        <v>18353</v>
      </c>
    </row>
    <row r="1906">
      <c r="A1906" s="1">
        <v>160000.0</v>
      </c>
      <c r="B1906" s="1" t="s">
        <v>185</v>
      </c>
      <c r="C1906" s="1" t="str">
        <f>"08725223"</f>
        <v>08725223</v>
      </c>
      <c r="D1906" s="1" t="s">
        <v>186</v>
      </c>
      <c r="F1906" s="1" t="str">
        <f>"543"</f>
        <v>543</v>
      </c>
      <c r="G1906" s="2">
        <v>41892.0</v>
      </c>
      <c r="H1906" s="1">
        <v>174900.0</v>
      </c>
      <c r="I1906" s="1">
        <v>78.0</v>
      </c>
      <c r="J1906" s="1">
        <v>174900.0</v>
      </c>
      <c r="K1906" s="2">
        <v>41968.0</v>
      </c>
      <c r="L1906" s="1">
        <v>78.0</v>
      </c>
      <c r="M1906" s="2">
        <v>41968.0</v>
      </c>
      <c r="N1906" s="1" t="s">
        <v>187</v>
      </c>
      <c r="O1906" s="2">
        <v>42012.0</v>
      </c>
      <c r="P1906" s="1">
        <v>409737.0</v>
      </c>
      <c r="Q1906" s="1">
        <v>40335.0</v>
      </c>
      <c r="S1906" s="1">
        <v>107.0</v>
      </c>
      <c r="T1906" s="1" t="s">
        <v>18354</v>
      </c>
      <c r="U1906" s="1" t="s">
        <v>320</v>
      </c>
      <c r="V1906" s="1" t="s">
        <v>1527</v>
      </c>
      <c r="W1906" s="1">
        <v>60543.0</v>
      </c>
      <c r="Y1906" s="1" t="s">
        <v>18355</v>
      </c>
      <c r="Z1906" s="1">
        <v>1965.0</v>
      </c>
      <c r="AA1906" s="1" t="s">
        <v>192</v>
      </c>
      <c r="AB1906" s="1" t="s">
        <v>193</v>
      </c>
      <c r="AD1906" s="1" t="s">
        <v>1529</v>
      </c>
      <c r="AE1906" s="1" t="s">
        <v>849</v>
      </c>
      <c r="AF1906" s="1" t="s">
        <v>1529</v>
      </c>
      <c r="AH1906" s="1" t="s">
        <v>3573</v>
      </c>
      <c r="AI1906" s="1">
        <v>0.2</v>
      </c>
      <c r="AK1906" s="1">
        <v>9.0</v>
      </c>
      <c r="AL1906" s="1">
        <v>4.0</v>
      </c>
      <c r="AM1906" s="1">
        <v>2.0</v>
      </c>
      <c r="AN1906" s="1">
        <v>0.0</v>
      </c>
      <c r="AO1906" s="1" t="s">
        <v>229</v>
      </c>
      <c r="AP1906" s="1">
        <v>1.0</v>
      </c>
      <c r="AQ1906" s="1" t="s">
        <v>198</v>
      </c>
      <c r="AR1906" s="1" t="s">
        <v>192</v>
      </c>
      <c r="AS1906" s="1" t="s">
        <v>199</v>
      </c>
      <c r="AT1906" s="1">
        <v>1.0</v>
      </c>
      <c r="AV1906" s="1" t="s">
        <v>200</v>
      </c>
      <c r="AW1906" s="1">
        <v>5818.06</v>
      </c>
      <c r="AX1906" s="1">
        <v>2013.0</v>
      </c>
      <c r="AY1906" s="1" t="s">
        <v>1179</v>
      </c>
      <c r="AZ1906" s="1" t="s">
        <v>200</v>
      </c>
      <c r="BA1906" s="1" t="str">
        <f>"0317386005"</f>
        <v>0317386005</v>
      </c>
      <c r="BB1906" s="1" t="s">
        <v>200</v>
      </c>
      <c r="BC1906" s="1">
        <v>1152.0</v>
      </c>
      <c r="BD1906" s="1">
        <v>160000.0</v>
      </c>
      <c r="BE1906" s="2">
        <v>41891.0</v>
      </c>
      <c r="BF1906" s="2" t="s">
        <v>18356</v>
      </c>
      <c r="BG1906" s="1" t="s">
        <v>8200</v>
      </c>
      <c r="BH1906" s="1">
        <v>0.0</v>
      </c>
      <c r="BI1906" s="1" t="s">
        <v>1348</v>
      </c>
      <c r="BJ1906" s="1" t="s">
        <v>1349</v>
      </c>
      <c r="BK1906" s="1" t="s">
        <v>204</v>
      </c>
      <c r="BL1906" s="1" t="str">
        <f t="shared" ref="BL1906:BM1906" si="1259">"0"</f>
        <v>0</v>
      </c>
      <c r="BM1906" s="1" t="str">
        <f t="shared" si="1259"/>
        <v>0</v>
      </c>
      <c r="BN1906" s="1">
        <v>37.0</v>
      </c>
      <c r="BO1906" s="1">
        <v>12.0</v>
      </c>
      <c r="BQ1906" s="1">
        <v>308.0</v>
      </c>
      <c r="BR1906" s="1">
        <v>308.0</v>
      </c>
      <c r="BS1906" s="1">
        <v>308.0</v>
      </c>
      <c r="BU1906" s="1" t="s">
        <v>329</v>
      </c>
      <c r="BV1906" s="1" t="s">
        <v>206</v>
      </c>
      <c r="BW1906" s="1" t="s">
        <v>210</v>
      </c>
      <c r="BY1906" s="1" t="s">
        <v>1183</v>
      </c>
      <c r="BZ1906" s="1" t="s">
        <v>206</v>
      </c>
      <c r="CA1906" s="1" t="s">
        <v>210</v>
      </c>
      <c r="CC1906" s="1" t="s">
        <v>265</v>
      </c>
      <c r="CD1906" s="1" t="s">
        <v>206</v>
      </c>
      <c r="CE1906" s="1" t="s">
        <v>210</v>
      </c>
      <c r="CG1906" s="1" t="s">
        <v>363</v>
      </c>
      <c r="CH1906" s="1" t="s">
        <v>206</v>
      </c>
      <c r="CI1906" s="1" t="s">
        <v>210</v>
      </c>
      <c r="CK1906" s="1" t="s">
        <v>18357</v>
      </c>
      <c r="CL1906" s="1" t="s">
        <v>267</v>
      </c>
      <c r="CM1906" s="1" t="s">
        <v>210</v>
      </c>
      <c r="CO1906" s="1" t="s">
        <v>363</v>
      </c>
      <c r="CP1906" s="1" t="s">
        <v>267</v>
      </c>
      <c r="CQ1906" s="1" t="s">
        <v>210</v>
      </c>
      <c r="CS1906" s="1" t="s">
        <v>495</v>
      </c>
      <c r="CT1906" s="1" t="s">
        <v>206</v>
      </c>
      <c r="CU1906" s="1" t="s">
        <v>617</v>
      </c>
      <c r="CW1906" s="1" t="s">
        <v>3092</v>
      </c>
      <c r="CX1906" s="1" t="s">
        <v>267</v>
      </c>
      <c r="CY1906" s="1" t="s">
        <v>210</v>
      </c>
      <c r="DA1906" s="1" t="s">
        <v>200</v>
      </c>
      <c r="DC1906" s="1" t="s">
        <v>517</v>
      </c>
      <c r="DD1906" s="1" t="s">
        <v>306</v>
      </c>
      <c r="DE1906" s="1" t="s">
        <v>273</v>
      </c>
      <c r="DF1906" s="1" t="s">
        <v>219</v>
      </c>
      <c r="DG1906" s="1" t="s">
        <v>337</v>
      </c>
      <c r="DH1906" s="1" t="s">
        <v>220</v>
      </c>
      <c r="DI1906" s="1" t="s">
        <v>1401</v>
      </c>
      <c r="DJ1906" s="1" t="s">
        <v>222</v>
      </c>
      <c r="DK1906" s="1" t="s">
        <v>223</v>
      </c>
      <c r="DL1906" s="1" t="s">
        <v>224</v>
      </c>
      <c r="DM1906" s="1" t="s">
        <v>338</v>
      </c>
      <c r="DO1906" s="1" t="s">
        <v>549</v>
      </c>
      <c r="DP1906" s="1" t="s">
        <v>340</v>
      </c>
      <c r="DQ1906" s="1" t="s">
        <v>228</v>
      </c>
      <c r="DR1906" s="1" t="s">
        <v>229</v>
      </c>
      <c r="DS1906" s="1" t="s">
        <v>401</v>
      </c>
      <c r="DU1906" s="1" t="s">
        <v>18358</v>
      </c>
      <c r="DV1906" s="1" t="s">
        <v>5014</v>
      </c>
      <c r="DW1906" s="1" t="s">
        <v>934</v>
      </c>
      <c r="DX1906" s="1" t="s">
        <v>234</v>
      </c>
      <c r="DZ1906" s="1" t="s">
        <v>18359</v>
      </c>
      <c r="EA1906" s="1" t="s">
        <v>554</v>
      </c>
      <c r="EB1906" s="1" t="s">
        <v>684</v>
      </c>
      <c r="EC1906" s="1" t="s">
        <v>311</v>
      </c>
      <c r="ED1906" s="1" t="s">
        <v>407</v>
      </c>
      <c r="EE1906" s="1" t="s">
        <v>493</v>
      </c>
      <c r="EG1906" s="1" t="s">
        <v>494</v>
      </c>
      <c r="EH1906" s="1" t="s">
        <v>408</v>
      </c>
      <c r="EL1906" s="1" t="s">
        <v>363</v>
      </c>
      <c r="EM1906" s="1" t="s">
        <v>42</v>
      </c>
      <c r="EN1906" s="1" t="s">
        <v>210</v>
      </c>
      <c r="EP1906" s="1" t="s">
        <v>5562</v>
      </c>
      <c r="EQ1906" s="1" t="s">
        <v>267</v>
      </c>
      <c r="ER1906" s="1" t="s">
        <v>268</v>
      </c>
      <c r="EU1906" s="1" t="s">
        <v>238</v>
      </c>
      <c r="EY1906" s="1" t="s">
        <v>238</v>
      </c>
      <c r="FC1906" s="1" t="s">
        <v>238</v>
      </c>
      <c r="FF1906" s="1" t="s">
        <v>239</v>
      </c>
      <c r="FG1906" s="1" t="s">
        <v>192</v>
      </c>
      <c r="FH1906" s="1" t="s">
        <v>192</v>
      </c>
      <c r="FJ1906" s="1" t="s">
        <v>524</v>
      </c>
      <c r="FK1906" s="1" t="s">
        <v>229</v>
      </c>
      <c r="FL1906" s="1" t="s">
        <v>525</v>
      </c>
      <c r="FM1906" s="1">
        <v>22029.0</v>
      </c>
      <c r="FN1906" s="1" t="s">
        <v>526</v>
      </c>
      <c r="FO1906" s="1" t="s">
        <v>10621</v>
      </c>
      <c r="FP1906" s="1">
        <v>233509.0</v>
      </c>
      <c r="FQ1906" s="1" t="s">
        <v>10622</v>
      </c>
      <c r="FU1906" s="1" t="s">
        <v>10623</v>
      </c>
      <c r="FV1906" s="1" t="s">
        <v>200</v>
      </c>
      <c r="FW1906" s="1" t="s">
        <v>461</v>
      </c>
      <c r="FX1906" s="1" t="s">
        <v>1739</v>
      </c>
      <c r="FZ1906" s="1" t="s">
        <v>229</v>
      </c>
      <c r="GA1906" s="1" t="s">
        <v>291</v>
      </c>
      <c r="GB1906" s="2">
        <v>42012.0</v>
      </c>
    </row>
    <row r="1907">
      <c r="A1907" s="1">
        <v>280000.0</v>
      </c>
      <c r="B1907" s="1" t="s">
        <v>185</v>
      </c>
      <c r="C1907" s="1" t="str">
        <f>"08741592"</f>
        <v>08741592</v>
      </c>
      <c r="D1907" s="1" t="s">
        <v>186</v>
      </c>
      <c r="F1907" s="1" t="str">
        <f>"8010"</f>
        <v>8010</v>
      </c>
      <c r="G1907" s="2">
        <v>41912.0</v>
      </c>
      <c r="H1907" s="1">
        <v>300000.0</v>
      </c>
      <c r="I1907" s="1">
        <v>141.0</v>
      </c>
      <c r="J1907" s="1">
        <v>300000.0</v>
      </c>
      <c r="K1907" s="2">
        <v>42052.0</v>
      </c>
      <c r="L1907" s="1">
        <v>141.0</v>
      </c>
      <c r="M1907" s="2">
        <v>42052.0</v>
      </c>
      <c r="N1907" s="1" t="s">
        <v>187</v>
      </c>
      <c r="O1907" s="2">
        <v>42087.0</v>
      </c>
      <c r="P1907" s="1">
        <v>114180.0</v>
      </c>
      <c r="Q1907" s="1">
        <v>84025.0</v>
      </c>
      <c r="S1907" s="1">
        <v>6330.0</v>
      </c>
      <c r="T1907" s="1" t="s">
        <v>18360</v>
      </c>
      <c r="U1907" s="1" t="s">
        <v>320</v>
      </c>
      <c r="V1907" s="1" t="s">
        <v>190</v>
      </c>
      <c r="W1907" s="1">
        <v>60646.0</v>
      </c>
      <c r="Y1907" s="1" t="s">
        <v>18361</v>
      </c>
      <c r="Z1907" s="1">
        <v>1917.0</v>
      </c>
      <c r="AA1907" s="1" t="s">
        <v>192</v>
      </c>
      <c r="AB1907" s="1" t="s">
        <v>193</v>
      </c>
      <c r="AD1907" s="1" t="s">
        <v>194</v>
      </c>
      <c r="AE1907" s="1" t="s">
        <v>195</v>
      </c>
      <c r="AF1907" s="1" t="s">
        <v>196</v>
      </c>
      <c r="AH1907" s="1" t="s">
        <v>18362</v>
      </c>
      <c r="AI1907" s="1">
        <v>0.1291</v>
      </c>
      <c r="AK1907" s="1">
        <v>11.0</v>
      </c>
      <c r="AL1907" s="1">
        <v>4.0</v>
      </c>
      <c r="AM1907" s="1">
        <v>2.0</v>
      </c>
      <c r="AN1907" s="1">
        <v>0.0</v>
      </c>
      <c r="AO1907" s="1" t="s">
        <v>229</v>
      </c>
      <c r="AP1907" s="1">
        <v>0.0</v>
      </c>
      <c r="AQ1907" s="1" t="s">
        <v>198</v>
      </c>
      <c r="AR1907" s="1" t="s">
        <v>200</v>
      </c>
      <c r="AS1907" s="1" t="s">
        <v>199</v>
      </c>
      <c r="AT1907" s="1">
        <v>2.0</v>
      </c>
      <c r="AV1907" s="1" t="s">
        <v>200</v>
      </c>
      <c r="AW1907" s="1">
        <v>3038.87</v>
      </c>
      <c r="AX1907" s="1">
        <v>2012.0</v>
      </c>
      <c r="AY1907" s="1" t="s">
        <v>1179</v>
      </c>
      <c r="AZ1907" s="1" t="s">
        <v>545</v>
      </c>
      <c r="BA1907" s="1" t="str">
        <f>"13051110300000"</f>
        <v>13051110300000</v>
      </c>
      <c r="BB1907" s="1" t="s">
        <v>200</v>
      </c>
      <c r="BC1907" s="1">
        <v>2800.0</v>
      </c>
      <c r="BD1907" s="1">
        <v>280000.0</v>
      </c>
      <c r="BE1907" s="2">
        <v>41912.0</v>
      </c>
      <c r="BF1907" s="2" t="s">
        <v>18363</v>
      </c>
      <c r="BH1907" s="1">
        <v>0.0</v>
      </c>
      <c r="BK1907" s="1" t="s">
        <v>204</v>
      </c>
      <c r="BL1907" s="1" t="str">
        <f>"6200"</f>
        <v>6200</v>
      </c>
      <c r="BM1907" s="1" t="str">
        <f>"0"</f>
        <v>0</v>
      </c>
      <c r="BN1907" s="1">
        <v>6300.0</v>
      </c>
      <c r="BO1907" s="1">
        <v>0.0</v>
      </c>
      <c r="BQ1907" s="1">
        <v>299.0</v>
      </c>
      <c r="BR1907" s="1">
        <v>299.0</v>
      </c>
      <c r="BS1907" s="1">
        <v>299.0</v>
      </c>
      <c r="BU1907" s="1" t="s">
        <v>1397</v>
      </c>
      <c r="BV1907" s="1" t="s">
        <v>206</v>
      </c>
      <c r="BW1907" s="1" t="s">
        <v>207</v>
      </c>
      <c r="BX1907" s="1" t="s">
        <v>431</v>
      </c>
      <c r="BY1907" s="1" t="s">
        <v>495</v>
      </c>
      <c r="BZ1907" s="1" t="s">
        <v>206</v>
      </c>
      <c r="CA1907" s="1" t="s">
        <v>210</v>
      </c>
      <c r="CB1907" s="1" t="s">
        <v>1549</v>
      </c>
      <c r="CC1907" s="1" t="s">
        <v>1535</v>
      </c>
      <c r="CD1907" s="1" t="s">
        <v>206</v>
      </c>
      <c r="CE1907" s="1" t="s">
        <v>207</v>
      </c>
      <c r="CF1907" s="1" t="s">
        <v>431</v>
      </c>
      <c r="CG1907" s="1" t="s">
        <v>269</v>
      </c>
      <c r="CH1907" s="1" t="s">
        <v>206</v>
      </c>
      <c r="CI1907" s="1" t="s">
        <v>207</v>
      </c>
      <c r="CJ1907" s="1" t="s">
        <v>1549</v>
      </c>
      <c r="CK1907" s="1" t="s">
        <v>390</v>
      </c>
      <c r="CL1907" s="1" t="s">
        <v>209</v>
      </c>
      <c r="CM1907" s="1" t="s">
        <v>207</v>
      </c>
      <c r="CN1907" s="1" t="s">
        <v>1549</v>
      </c>
      <c r="CO1907" s="1" t="s">
        <v>1417</v>
      </c>
      <c r="CP1907" s="1" t="s">
        <v>209</v>
      </c>
      <c r="CQ1907" s="1" t="s">
        <v>588</v>
      </c>
      <c r="CR1907" s="1" t="s">
        <v>1118</v>
      </c>
      <c r="CS1907" s="1" t="s">
        <v>363</v>
      </c>
      <c r="CT1907" s="1" t="s">
        <v>206</v>
      </c>
      <c r="CU1907" s="1" t="s">
        <v>617</v>
      </c>
      <c r="CV1907" s="1" t="s">
        <v>1549</v>
      </c>
      <c r="CX1907" s="1" t="s">
        <v>204</v>
      </c>
      <c r="DA1907" s="1" t="s">
        <v>200</v>
      </c>
      <c r="DC1907" s="1" t="s">
        <v>216</v>
      </c>
      <c r="DD1907" s="1" t="s">
        <v>518</v>
      </c>
      <c r="DE1907" s="1" t="s">
        <v>273</v>
      </c>
      <c r="DF1907" s="1" t="s">
        <v>905</v>
      </c>
      <c r="DH1907" s="1" t="s">
        <v>365</v>
      </c>
      <c r="DI1907" s="1" t="s">
        <v>3203</v>
      </c>
      <c r="DJ1907" s="1" t="s">
        <v>222</v>
      </c>
      <c r="DK1907" s="1" t="s">
        <v>224</v>
      </c>
      <c r="DL1907" s="1" t="s">
        <v>858</v>
      </c>
      <c r="DM1907" s="1" t="s">
        <v>229</v>
      </c>
      <c r="DP1907" s="1" t="s">
        <v>340</v>
      </c>
      <c r="DQ1907" s="1" t="s">
        <v>441</v>
      </c>
      <c r="DR1907" s="1" t="s">
        <v>229</v>
      </c>
      <c r="DS1907" s="1" t="s">
        <v>3008</v>
      </c>
      <c r="DV1907" s="1" t="s">
        <v>18364</v>
      </c>
      <c r="DW1907" s="1" t="s">
        <v>233</v>
      </c>
      <c r="DX1907" s="1" t="s">
        <v>234</v>
      </c>
      <c r="DY1907" s="1" t="s">
        <v>2240</v>
      </c>
      <c r="DZ1907" s="1" t="s">
        <v>282</v>
      </c>
      <c r="EA1907" s="1" t="s">
        <v>644</v>
      </c>
      <c r="EC1907" s="1" t="s">
        <v>237</v>
      </c>
      <c r="ED1907" s="1" t="s">
        <v>4163</v>
      </c>
      <c r="EG1907" s="1" t="s">
        <v>557</v>
      </c>
      <c r="EH1907" s="1" t="s">
        <v>450</v>
      </c>
      <c r="EI1907" s="1" t="s">
        <v>1228</v>
      </c>
      <c r="EJ1907" s="1" t="s">
        <v>1491</v>
      </c>
      <c r="EK1907" s="1" t="s">
        <v>408</v>
      </c>
      <c r="EL1907" s="1" t="s">
        <v>1382</v>
      </c>
      <c r="EM1907" s="1" t="s">
        <v>209</v>
      </c>
      <c r="EN1907" s="1" t="s">
        <v>588</v>
      </c>
      <c r="EP1907" s="1" t="s">
        <v>8887</v>
      </c>
      <c r="EQ1907" s="1" t="s">
        <v>42</v>
      </c>
      <c r="ER1907" s="1" t="s">
        <v>588</v>
      </c>
      <c r="ES1907" s="1" t="s">
        <v>431</v>
      </c>
      <c r="ET1907" s="1" t="s">
        <v>640</v>
      </c>
      <c r="EU1907" s="1" t="s">
        <v>209</v>
      </c>
      <c r="EV1907" s="1" t="s">
        <v>588</v>
      </c>
      <c r="EX1907" s="1" t="s">
        <v>516</v>
      </c>
      <c r="EY1907" s="1" t="s">
        <v>42</v>
      </c>
      <c r="EZ1907" s="1" t="s">
        <v>588</v>
      </c>
      <c r="FA1907" s="1" t="s">
        <v>229</v>
      </c>
      <c r="FB1907" s="1" t="s">
        <v>4450</v>
      </c>
      <c r="FC1907" s="1" t="s">
        <v>206</v>
      </c>
      <c r="FD1907" s="1" t="s">
        <v>207</v>
      </c>
      <c r="FE1907" s="1" t="s">
        <v>229</v>
      </c>
      <c r="FF1907" s="1" t="s">
        <v>239</v>
      </c>
      <c r="FG1907" s="1" t="s">
        <v>192</v>
      </c>
      <c r="FH1907" s="1" t="s">
        <v>192</v>
      </c>
      <c r="FJ1907" s="1" t="s">
        <v>3184</v>
      </c>
      <c r="FK1907" s="1" t="s">
        <v>229</v>
      </c>
      <c r="FL1907" s="1" t="s">
        <v>1358</v>
      </c>
      <c r="FM1907" s="1">
        <v>3930.0</v>
      </c>
      <c r="FN1907" s="1" t="s">
        <v>18365</v>
      </c>
      <c r="FO1907" s="1" t="s">
        <v>18366</v>
      </c>
      <c r="FP1907" s="1">
        <v>39428.0</v>
      </c>
      <c r="FQ1907" s="1" t="s">
        <v>18367</v>
      </c>
      <c r="FU1907" s="1" t="s">
        <v>18368</v>
      </c>
      <c r="FV1907" s="1" t="s">
        <v>200</v>
      </c>
      <c r="FW1907" s="1" t="s">
        <v>530</v>
      </c>
      <c r="FX1907" s="1" t="s">
        <v>246</v>
      </c>
      <c r="FZ1907" s="1" t="s">
        <v>229</v>
      </c>
      <c r="GA1907" s="1" t="s">
        <v>291</v>
      </c>
      <c r="GB1907" s="2">
        <v>42088.0</v>
      </c>
      <c r="GC1907" s="1" t="s">
        <v>18369</v>
      </c>
    </row>
    <row r="1908">
      <c r="A1908" s="1">
        <v>347955.0</v>
      </c>
      <c r="B1908" s="1" t="s">
        <v>185</v>
      </c>
      <c r="C1908" s="1" t="str">
        <f>"08724554"</f>
        <v>08724554</v>
      </c>
      <c r="D1908" s="1" t="s">
        <v>186</v>
      </c>
      <c r="F1908" s="1" t="str">
        <f>"134"</f>
        <v>134</v>
      </c>
      <c r="G1908" s="2">
        <v>41892.0</v>
      </c>
      <c r="H1908" s="1">
        <v>365955.0</v>
      </c>
      <c r="I1908" s="1">
        <v>73.0</v>
      </c>
      <c r="J1908" s="1">
        <v>349955.0</v>
      </c>
      <c r="K1908" s="2">
        <v>41964.0</v>
      </c>
      <c r="L1908" s="1">
        <v>73.0</v>
      </c>
      <c r="M1908" s="2">
        <v>41964.0</v>
      </c>
      <c r="N1908" s="1" t="s">
        <v>187</v>
      </c>
      <c r="O1908" s="2">
        <v>41985.0</v>
      </c>
      <c r="P1908" s="1">
        <v>233147.0</v>
      </c>
      <c r="Q1908" s="1">
        <v>23025.0</v>
      </c>
      <c r="S1908" s="1" t="s">
        <v>18370</v>
      </c>
      <c r="T1908" s="1" t="s">
        <v>18371</v>
      </c>
      <c r="U1908" s="1" t="s">
        <v>420</v>
      </c>
      <c r="V1908" s="1" t="s">
        <v>421</v>
      </c>
      <c r="W1908" s="1">
        <v>60134.0</v>
      </c>
      <c r="Y1908" s="1" t="s">
        <v>18372</v>
      </c>
      <c r="Z1908" s="1">
        <v>2014.0</v>
      </c>
      <c r="AA1908" s="1" t="s">
        <v>200</v>
      </c>
      <c r="AB1908" s="1" t="s">
        <v>467</v>
      </c>
      <c r="AC1908" s="1" t="s">
        <v>1596</v>
      </c>
      <c r="AD1908" s="1" t="s">
        <v>1089</v>
      </c>
      <c r="AE1908" s="1" t="s">
        <v>325</v>
      </c>
      <c r="AF1908" s="1" t="s">
        <v>1479</v>
      </c>
      <c r="AG1908" s="1" t="s">
        <v>18373</v>
      </c>
      <c r="AH1908" s="1" t="s">
        <v>18374</v>
      </c>
      <c r="AK1908" s="1">
        <v>9.0</v>
      </c>
      <c r="AL1908" s="1">
        <v>4.0</v>
      </c>
      <c r="AM1908" s="1">
        <v>2.0</v>
      </c>
      <c r="AN1908" s="1">
        <v>1.0</v>
      </c>
      <c r="AO1908" s="1" t="s">
        <v>198</v>
      </c>
      <c r="AP1908" s="1">
        <v>1.0</v>
      </c>
      <c r="AQ1908" s="1" t="s">
        <v>198</v>
      </c>
      <c r="AR1908" s="1" t="s">
        <v>200</v>
      </c>
      <c r="AS1908" s="1" t="s">
        <v>199</v>
      </c>
      <c r="AT1908" s="1">
        <v>2.0</v>
      </c>
      <c r="AV1908" s="1" t="s">
        <v>200</v>
      </c>
      <c r="AW1908" s="1">
        <v>270.84</v>
      </c>
      <c r="AX1908" s="1">
        <v>2013.0</v>
      </c>
      <c r="AY1908" s="1" t="s">
        <v>229</v>
      </c>
      <c r="AZ1908" s="1" t="s">
        <v>192</v>
      </c>
      <c r="BA1908" s="1" t="str">
        <f>"1111426023"</f>
        <v>1111426023</v>
      </c>
      <c r="BC1908" s="1">
        <v>2603.0</v>
      </c>
      <c r="BD1908" s="1">
        <v>347955.0</v>
      </c>
      <c r="BE1908" s="2">
        <v>41892.0</v>
      </c>
      <c r="BF1908" s="2" t="s">
        <v>18375</v>
      </c>
      <c r="BH1908" s="1">
        <v>0.0</v>
      </c>
      <c r="BK1908" s="1" t="s">
        <v>204</v>
      </c>
      <c r="BL1908" s="1" t="str">
        <f t="shared" ref="BL1908:BM1908" si="1260">""</f>
        <v/>
      </c>
      <c r="BM1908" s="1" t="str">
        <f t="shared" si="1260"/>
        <v/>
      </c>
      <c r="BQ1908" s="1">
        <v>304.0</v>
      </c>
      <c r="BR1908" s="1">
        <v>304.0</v>
      </c>
      <c r="BS1908" s="1">
        <v>304.0</v>
      </c>
      <c r="BV1908" s="1" t="s">
        <v>204</v>
      </c>
      <c r="BY1908" s="1" t="s">
        <v>1000</v>
      </c>
      <c r="BZ1908" s="1" t="s">
        <v>209</v>
      </c>
      <c r="CA1908" s="1" t="s">
        <v>210</v>
      </c>
      <c r="CB1908" s="1" t="s">
        <v>229</v>
      </c>
      <c r="CC1908" s="1" t="s">
        <v>663</v>
      </c>
      <c r="CD1908" s="1" t="s">
        <v>206</v>
      </c>
      <c r="CE1908" s="1" t="s">
        <v>210</v>
      </c>
      <c r="CF1908" s="1" t="s">
        <v>229</v>
      </c>
      <c r="CG1908" s="1" t="s">
        <v>363</v>
      </c>
      <c r="CH1908" s="1" t="s">
        <v>209</v>
      </c>
      <c r="CI1908" s="1" t="s">
        <v>210</v>
      </c>
      <c r="CJ1908" s="1" t="s">
        <v>229</v>
      </c>
      <c r="CK1908" s="1" t="s">
        <v>1352</v>
      </c>
      <c r="CL1908" s="1" t="s">
        <v>209</v>
      </c>
      <c r="CM1908" s="1" t="s">
        <v>210</v>
      </c>
      <c r="CN1908" s="1" t="s">
        <v>229</v>
      </c>
      <c r="CO1908" s="1" t="s">
        <v>478</v>
      </c>
      <c r="CP1908" s="1" t="s">
        <v>209</v>
      </c>
      <c r="CQ1908" s="1" t="s">
        <v>210</v>
      </c>
      <c r="CR1908" s="1" t="s">
        <v>229</v>
      </c>
      <c r="CS1908" s="1" t="s">
        <v>2460</v>
      </c>
      <c r="CT1908" s="1" t="s">
        <v>206</v>
      </c>
      <c r="CU1908" s="1" t="s">
        <v>207</v>
      </c>
      <c r="CV1908" s="1" t="s">
        <v>229</v>
      </c>
      <c r="CW1908" s="1" t="s">
        <v>362</v>
      </c>
      <c r="CX1908" s="1" t="s">
        <v>206</v>
      </c>
      <c r="CY1908" s="1" t="s">
        <v>210</v>
      </c>
      <c r="CZ1908" s="1" t="s">
        <v>229</v>
      </c>
      <c r="DA1908" s="1" t="s">
        <v>192</v>
      </c>
      <c r="DB1908" s="2">
        <v>41973.0</v>
      </c>
      <c r="DC1908" s="1" t="s">
        <v>744</v>
      </c>
      <c r="DD1908" s="1" t="s">
        <v>336</v>
      </c>
      <c r="DE1908" s="1" t="s">
        <v>273</v>
      </c>
      <c r="DF1908" s="1" t="s">
        <v>619</v>
      </c>
      <c r="DG1908" s="1" t="s">
        <v>1602</v>
      </c>
      <c r="DH1908" s="1" t="s">
        <v>1603</v>
      </c>
      <c r="DI1908" s="1" t="s">
        <v>1003</v>
      </c>
      <c r="DJ1908" s="1" t="s">
        <v>222</v>
      </c>
      <c r="DL1908" s="1" t="s">
        <v>484</v>
      </c>
      <c r="DM1908" s="1" t="s">
        <v>929</v>
      </c>
      <c r="DN1908" s="1" t="s">
        <v>1023</v>
      </c>
      <c r="DO1908" s="1" t="s">
        <v>440</v>
      </c>
      <c r="DP1908" s="1" t="s">
        <v>340</v>
      </c>
      <c r="DQ1908" s="1" t="s">
        <v>228</v>
      </c>
      <c r="DR1908" s="1" t="s">
        <v>229</v>
      </c>
      <c r="DS1908" s="1" t="s">
        <v>591</v>
      </c>
      <c r="DT1908" s="1" t="s">
        <v>16108</v>
      </c>
      <c r="DU1908" s="1" t="s">
        <v>16190</v>
      </c>
      <c r="DV1908" s="1" t="s">
        <v>1356</v>
      </c>
      <c r="DW1908" s="1" t="s">
        <v>233</v>
      </c>
      <c r="DX1908" s="1" t="s">
        <v>234</v>
      </c>
      <c r="DY1908" s="1" t="s">
        <v>1051</v>
      </c>
      <c r="EA1908" s="1" t="s">
        <v>344</v>
      </c>
      <c r="EB1908" s="1" t="s">
        <v>597</v>
      </c>
      <c r="EC1908" s="1" t="s">
        <v>237</v>
      </c>
      <c r="ED1908" s="1" t="s">
        <v>407</v>
      </c>
      <c r="EE1908" s="1" t="s">
        <v>493</v>
      </c>
      <c r="EG1908" s="1" t="s">
        <v>556</v>
      </c>
      <c r="EH1908" s="1" t="s">
        <v>1028</v>
      </c>
      <c r="EL1908" s="1" t="s">
        <v>2460</v>
      </c>
      <c r="EM1908" s="1" t="s">
        <v>206</v>
      </c>
      <c r="EN1908" s="1" t="s">
        <v>207</v>
      </c>
      <c r="EO1908" s="1" t="s">
        <v>229</v>
      </c>
      <c r="EP1908" s="1" t="s">
        <v>2460</v>
      </c>
      <c r="EQ1908" s="1" t="s">
        <v>206</v>
      </c>
      <c r="ER1908" s="1" t="s">
        <v>210</v>
      </c>
      <c r="ES1908" s="1" t="s">
        <v>229</v>
      </c>
      <c r="EU1908" s="1" t="s">
        <v>238</v>
      </c>
      <c r="EY1908" s="1" t="s">
        <v>238</v>
      </c>
      <c r="FC1908" s="1" t="s">
        <v>238</v>
      </c>
      <c r="FF1908" s="1" t="s">
        <v>229</v>
      </c>
      <c r="FG1908" s="1" t="s">
        <v>200</v>
      </c>
      <c r="FH1908" s="1" t="s">
        <v>200</v>
      </c>
      <c r="FJ1908" s="1" t="s">
        <v>524</v>
      </c>
      <c r="FK1908" s="1" t="s">
        <v>229</v>
      </c>
      <c r="FL1908" s="1" t="s">
        <v>1614</v>
      </c>
      <c r="FM1908" s="1">
        <v>85399.0</v>
      </c>
      <c r="FN1908" s="1" t="s">
        <v>1615</v>
      </c>
      <c r="FO1908" s="1" t="s">
        <v>1616</v>
      </c>
      <c r="FP1908" s="1">
        <v>189649.0</v>
      </c>
      <c r="FQ1908" s="1" t="s">
        <v>1615</v>
      </c>
      <c r="FU1908" s="1" t="s">
        <v>18376</v>
      </c>
      <c r="FV1908" s="1" t="s">
        <v>200</v>
      </c>
      <c r="FW1908" s="1" t="s">
        <v>1618</v>
      </c>
      <c r="FZ1908" s="1" t="s">
        <v>229</v>
      </c>
      <c r="GA1908" s="1" t="s">
        <v>247</v>
      </c>
      <c r="GB1908" s="2">
        <v>41994.0</v>
      </c>
      <c r="GC1908" s="1" t="s">
        <v>18377</v>
      </c>
    </row>
    <row r="1909">
      <c r="A1909" s="1">
        <v>1005000.0</v>
      </c>
      <c r="B1909" s="1" t="s">
        <v>185</v>
      </c>
      <c r="C1909" s="1" t="str">
        <f>"08716011"</f>
        <v>08716011</v>
      </c>
      <c r="D1909" s="1" t="s">
        <v>186</v>
      </c>
      <c r="F1909" s="1" t="str">
        <f>"8005"</f>
        <v>8005</v>
      </c>
      <c r="G1909" s="2">
        <v>41884.0</v>
      </c>
      <c r="H1909" s="1">
        <v>1125000.0</v>
      </c>
      <c r="I1909" s="1">
        <v>16.0</v>
      </c>
      <c r="J1909" s="1">
        <v>1075000.0</v>
      </c>
      <c r="K1909" s="2">
        <v>41898.0</v>
      </c>
      <c r="L1909" s="1">
        <v>16.0</v>
      </c>
      <c r="M1909" s="2">
        <v>41898.0</v>
      </c>
      <c r="N1909" s="1" t="s">
        <v>187</v>
      </c>
      <c r="O1909" s="2">
        <v>41974.0</v>
      </c>
      <c r="P1909" s="1">
        <v>110351.0</v>
      </c>
      <c r="Q1909" s="1">
        <v>84025.0</v>
      </c>
      <c r="R1909" s="1">
        <v>2500.0</v>
      </c>
      <c r="S1909" s="1">
        <v>3427.0</v>
      </c>
      <c r="T1909" s="1" t="s">
        <v>6515</v>
      </c>
      <c r="U1909" s="1" t="s">
        <v>189</v>
      </c>
      <c r="V1909" s="1" t="s">
        <v>190</v>
      </c>
      <c r="W1909" s="1">
        <v>60618.0</v>
      </c>
      <c r="Y1909" s="1" t="s">
        <v>18378</v>
      </c>
      <c r="Z1909" s="1">
        <v>1992.0</v>
      </c>
      <c r="AA1909" s="1" t="s">
        <v>200</v>
      </c>
      <c r="AB1909" s="1" t="s">
        <v>193</v>
      </c>
      <c r="AD1909" s="1" t="s">
        <v>194</v>
      </c>
      <c r="AE1909" s="1" t="s">
        <v>195</v>
      </c>
      <c r="AF1909" s="1" t="s">
        <v>534</v>
      </c>
      <c r="AH1909" s="1" t="s">
        <v>359</v>
      </c>
      <c r="AK1909" s="1">
        <v>9.0</v>
      </c>
      <c r="AL1909" s="1">
        <v>4.0</v>
      </c>
      <c r="AM1909" s="1">
        <v>2.0</v>
      </c>
      <c r="AN1909" s="1">
        <v>1.0</v>
      </c>
      <c r="AO1909" s="1" t="s">
        <v>198</v>
      </c>
      <c r="AP1909" s="1">
        <v>1.0</v>
      </c>
      <c r="AQ1909" s="1" t="s">
        <v>472</v>
      </c>
      <c r="AR1909" s="1" t="s">
        <v>200</v>
      </c>
      <c r="AS1909" s="1" t="s">
        <v>199</v>
      </c>
      <c r="AT1909" s="1">
        <v>2.0</v>
      </c>
      <c r="AV1909" s="1" t="s">
        <v>200</v>
      </c>
      <c r="AW1909" s="1">
        <v>12517.0</v>
      </c>
      <c r="AX1909" s="1">
        <v>2013.0</v>
      </c>
      <c r="AZ1909" s="1" t="s">
        <v>200</v>
      </c>
      <c r="BA1909" s="1" t="str">
        <f>"14193110130000"</f>
        <v>14193110130000</v>
      </c>
      <c r="BC1909" s="1">
        <v>0.0</v>
      </c>
      <c r="BD1909" s="1">
        <v>1005000.0</v>
      </c>
      <c r="BE1909" s="2">
        <v>41883.0</v>
      </c>
      <c r="BF1909" s="2" t="s">
        <v>18379</v>
      </c>
      <c r="BG1909" s="1" t="s">
        <v>7118</v>
      </c>
      <c r="BH1909" s="1">
        <v>0.0</v>
      </c>
      <c r="BK1909" s="1" t="s">
        <v>204</v>
      </c>
      <c r="BL1909" s="1" t="str">
        <f>"3427"</f>
        <v>3427</v>
      </c>
      <c r="BM1909" s="1" t="str">
        <f>"0"</f>
        <v>0</v>
      </c>
      <c r="BN1909" s="1">
        <v>2200.0</v>
      </c>
      <c r="BO1909" s="1">
        <v>0.0</v>
      </c>
      <c r="BQ1909" s="1">
        <v>299.0</v>
      </c>
      <c r="BR1909" s="1">
        <v>299.0</v>
      </c>
      <c r="BS1909" s="1">
        <v>299.0</v>
      </c>
      <c r="BU1909" s="1" t="s">
        <v>1396</v>
      </c>
      <c r="BV1909" s="1" t="s">
        <v>206</v>
      </c>
      <c r="BW1909" s="1" t="s">
        <v>207</v>
      </c>
      <c r="BY1909" s="1" t="s">
        <v>1045</v>
      </c>
      <c r="BZ1909" s="1" t="s">
        <v>209</v>
      </c>
      <c r="CA1909" s="1" t="s">
        <v>207</v>
      </c>
      <c r="CC1909" s="1" t="s">
        <v>269</v>
      </c>
      <c r="CD1909" s="1" t="s">
        <v>206</v>
      </c>
      <c r="CE1909" s="1" t="s">
        <v>207</v>
      </c>
      <c r="CG1909" s="1" t="s">
        <v>363</v>
      </c>
      <c r="CH1909" s="1" t="s">
        <v>209</v>
      </c>
      <c r="CI1909" s="1" t="s">
        <v>207</v>
      </c>
      <c r="CK1909" s="1" t="s">
        <v>363</v>
      </c>
      <c r="CL1909" s="1" t="s">
        <v>209</v>
      </c>
      <c r="CM1909" s="1" t="s">
        <v>207</v>
      </c>
      <c r="CO1909" s="1" t="s">
        <v>269</v>
      </c>
      <c r="CP1909" s="1" t="s">
        <v>267</v>
      </c>
      <c r="CS1909" s="1" t="s">
        <v>363</v>
      </c>
      <c r="CT1909" s="1" t="s">
        <v>206</v>
      </c>
      <c r="CU1909" s="1" t="s">
        <v>207</v>
      </c>
      <c r="CW1909" s="1" t="s">
        <v>330</v>
      </c>
      <c r="CX1909" s="1" t="s">
        <v>267</v>
      </c>
      <c r="CY1909" s="1" t="s">
        <v>210</v>
      </c>
      <c r="DA1909" s="1" t="s">
        <v>200</v>
      </c>
      <c r="DC1909" s="1" t="s">
        <v>435</v>
      </c>
      <c r="DD1909" s="1" t="s">
        <v>396</v>
      </c>
      <c r="DE1909" s="1" t="s">
        <v>273</v>
      </c>
      <c r="DF1909" s="1" t="s">
        <v>219</v>
      </c>
      <c r="DG1909" s="1" t="s">
        <v>2311</v>
      </c>
      <c r="DH1909" s="1" t="s">
        <v>220</v>
      </c>
      <c r="DI1909" s="1" t="s">
        <v>1223</v>
      </c>
      <c r="DJ1909" s="1" t="s">
        <v>222</v>
      </c>
      <c r="DL1909" s="1" t="s">
        <v>1161</v>
      </c>
      <c r="DM1909" s="1" t="s">
        <v>1919</v>
      </c>
      <c r="DP1909" s="1" t="s">
        <v>340</v>
      </c>
      <c r="DQ1909" s="1" t="s">
        <v>228</v>
      </c>
      <c r="DR1909" s="1" t="s">
        <v>229</v>
      </c>
      <c r="DV1909" s="1" t="s">
        <v>18380</v>
      </c>
      <c r="DW1909" s="1" t="s">
        <v>667</v>
      </c>
      <c r="DX1909" s="1" t="s">
        <v>234</v>
      </c>
      <c r="DY1909" s="1" t="s">
        <v>404</v>
      </c>
      <c r="EC1909" s="1" t="s">
        <v>237</v>
      </c>
      <c r="EG1909" s="1" t="s">
        <v>449</v>
      </c>
      <c r="EH1909" s="1" t="s">
        <v>310</v>
      </c>
      <c r="EI1909" s="1" t="s">
        <v>588</v>
      </c>
      <c r="EL1909" s="1" t="s">
        <v>3296</v>
      </c>
      <c r="EM1909" s="1" t="s">
        <v>206</v>
      </c>
      <c r="EP1909" s="1" t="s">
        <v>269</v>
      </c>
      <c r="EQ1909" s="1" t="s">
        <v>206</v>
      </c>
      <c r="ET1909" s="1" t="s">
        <v>2394</v>
      </c>
      <c r="EU1909" s="1" t="s">
        <v>206</v>
      </c>
      <c r="EV1909" s="1" t="s">
        <v>207</v>
      </c>
      <c r="EY1909" s="1" t="s">
        <v>238</v>
      </c>
      <c r="FC1909" s="1" t="s">
        <v>238</v>
      </c>
      <c r="FF1909" s="1" t="s">
        <v>239</v>
      </c>
      <c r="FG1909" s="1" t="s">
        <v>192</v>
      </c>
      <c r="FH1909" s="1" t="s">
        <v>192</v>
      </c>
      <c r="FJ1909" s="1" t="s">
        <v>733</v>
      </c>
      <c r="FK1909" s="1" t="s">
        <v>229</v>
      </c>
      <c r="FL1909" s="1" t="s">
        <v>7927</v>
      </c>
      <c r="FM1909" s="1">
        <v>84404.0</v>
      </c>
      <c r="FN1909" s="1" t="s">
        <v>7928</v>
      </c>
      <c r="FO1909" s="1" t="s">
        <v>18381</v>
      </c>
      <c r="FP1909" s="1">
        <v>124487.0</v>
      </c>
      <c r="FQ1909" s="1" t="s">
        <v>18382</v>
      </c>
      <c r="FR1909" s="1">
        <v>152178.0</v>
      </c>
      <c r="FU1909" s="1" t="s">
        <v>18383</v>
      </c>
      <c r="FV1909" s="1" t="s">
        <v>200</v>
      </c>
      <c r="FW1909" s="1" t="s">
        <v>18384</v>
      </c>
      <c r="FX1909" s="1" t="s">
        <v>238</v>
      </c>
      <c r="FZ1909" s="1" t="s">
        <v>229</v>
      </c>
      <c r="GA1909" s="1" t="s">
        <v>291</v>
      </c>
      <c r="GB1909" s="2">
        <v>41974.0</v>
      </c>
      <c r="GC1909" s="1" t="s">
        <v>18385</v>
      </c>
    </row>
    <row r="1910">
      <c r="A1910" s="1">
        <v>110000.0</v>
      </c>
      <c r="B1910" s="1" t="s">
        <v>185</v>
      </c>
      <c r="C1910" s="1" t="str">
        <f>"08717045"</f>
        <v>08717045</v>
      </c>
      <c r="D1910" s="1" t="s">
        <v>186</v>
      </c>
      <c r="F1910" s="1" t="str">
        <f>"8070"</f>
        <v>8070</v>
      </c>
      <c r="G1910" s="2">
        <v>41884.0</v>
      </c>
      <c r="H1910" s="1">
        <v>134900.0</v>
      </c>
      <c r="I1910" s="1">
        <v>167.0</v>
      </c>
      <c r="J1910" s="1">
        <v>109900.0</v>
      </c>
      <c r="K1910" s="2">
        <v>41960.0</v>
      </c>
      <c r="L1910" s="1">
        <v>77.0</v>
      </c>
      <c r="M1910" s="2">
        <v>41960.0</v>
      </c>
      <c r="N1910" s="1" t="s">
        <v>249</v>
      </c>
      <c r="O1910" s="2">
        <v>42004.0</v>
      </c>
      <c r="P1910" s="1">
        <v>185673.0</v>
      </c>
      <c r="Q1910" s="1">
        <v>85088.0</v>
      </c>
      <c r="S1910" s="1">
        <v>8405.0</v>
      </c>
      <c r="T1910" s="1" t="s">
        <v>9037</v>
      </c>
      <c r="U1910" s="1" t="s">
        <v>189</v>
      </c>
      <c r="V1910" s="1" t="s">
        <v>190</v>
      </c>
      <c r="W1910" s="1">
        <v>60652.0</v>
      </c>
      <c r="Y1910" s="1" t="s">
        <v>18386</v>
      </c>
      <c r="Z1910" s="1">
        <v>1957.0</v>
      </c>
      <c r="AA1910" s="1" t="s">
        <v>192</v>
      </c>
      <c r="AB1910" s="1" t="s">
        <v>193</v>
      </c>
      <c r="AD1910" s="1" t="s">
        <v>194</v>
      </c>
      <c r="AE1910" s="1" t="s">
        <v>195</v>
      </c>
      <c r="AF1910" s="1" t="s">
        <v>659</v>
      </c>
      <c r="AH1910" s="1">
        <v>4640.0</v>
      </c>
      <c r="AK1910" s="1">
        <v>8.0</v>
      </c>
      <c r="AL1910" s="1">
        <v>4.0</v>
      </c>
      <c r="AM1910" s="1">
        <v>1.0</v>
      </c>
      <c r="AN1910" s="1">
        <v>1.0</v>
      </c>
      <c r="AO1910" s="1" t="s">
        <v>229</v>
      </c>
      <c r="AQ1910" s="1" t="s">
        <v>229</v>
      </c>
      <c r="AS1910" s="1" t="s">
        <v>199</v>
      </c>
      <c r="AT1910" s="1">
        <v>2.0</v>
      </c>
      <c r="AV1910" s="1" t="s">
        <v>200</v>
      </c>
      <c r="AW1910" s="1">
        <v>2957.0</v>
      </c>
      <c r="AX1910" s="1">
        <v>2012.0</v>
      </c>
      <c r="AZ1910" s="1" t="s">
        <v>200</v>
      </c>
      <c r="BA1910" s="1" t="str">
        <f>"19344150120000"</f>
        <v>19344150120000</v>
      </c>
      <c r="BC1910" s="1">
        <v>1536.0</v>
      </c>
      <c r="BD1910" s="1">
        <v>110000.0</v>
      </c>
      <c r="BE1910" s="2">
        <v>41884.0</v>
      </c>
      <c r="BF1910" s="2" t="s">
        <v>18387</v>
      </c>
      <c r="BH1910" s="1">
        <v>0.0</v>
      </c>
      <c r="BK1910" s="1" t="s">
        <v>204</v>
      </c>
      <c r="BL1910" s="1" t="str">
        <f t="shared" ref="BL1910:BM1910" si="1261">"0"</f>
        <v>0</v>
      </c>
      <c r="BM1910" s="1" t="str">
        <f t="shared" si="1261"/>
        <v>0</v>
      </c>
      <c r="BN1910" s="1">
        <v>4300.0</v>
      </c>
      <c r="BO1910" s="1">
        <v>8405.0</v>
      </c>
      <c r="BQ1910" s="1">
        <v>299.0</v>
      </c>
      <c r="BR1910" s="1">
        <v>299.0</v>
      </c>
      <c r="BS1910" s="1">
        <v>299.0</v>
      </c>
      <c r="BU1910" s="1" t="s">
        <v>454</v>
      </c>
      <c r="BV1910" s="1" t="s">
        <v>206</v>
      </c>
      <c r="BW1910" s="1" t="s">
        <v>207</v>
      </c>
      <c r="BY1910" s="1" t="s">
        <v>215</v>
      </c>
      <c r="BZ1910" s="1" t="s">
        <v>206</v>
      </c>
      <c r="CA1910" s="1" t="s">
        <v>207</v>
      </c>
      <c r="CC1910" s="1" t="s">
        <v>269</v>
      </c>
      <c r="CD1910" s="1" t="s">
        <v>206</v>
      </c>
      <c r="CG1910" s="1" t="s">
        <v>363</v>
      </c>
      <c r="CH1910" s="1" t="s">
        <v>209</v>
      </c>
      <c r="CI1910" s="1" t="s">
        <v>207</v>
      </c>
      <c r="CK1910" s="1" t="s">
        <v>363</v>
      </c>
      <c r="CL1910" s="1" t="s">
        <v>209</v>
      </c>
      <c r="CM1910" s="1" t="s">
        <v>207</v>
      </c>
      <c r="CO1910" s="1" t="s">
        <v>363</v>
      </c>
      <c r="CP1910" s="1" t="s">
        <v>209</v>
      </c>
      <c r="CQ1910" s="1" t="s">
        <v>207</v>
      </c>
      <c r="CS1910" s="1" t="s">
        <v>269</v>
      </c>
      <c r="CT1910" s="1" t="s">
        <v>206</v>
      </c>
      <c r="CU1910" s="1" t="s">
        <v>268</v>
      </c>
      <c r="CW1910" s="1" t="s">
        <v>334</v>
      </c>
      <c r="CX1910" s="1" t="s">
        <v>42</v>
      </c>
      <c r="CY1910" s="1" t="s">
        <v>207</v>
      </c>
      <c r="DA1910" s="1" t="s">
        <v>200</v>
      </c>
      <c r="DC1910" s="1" t="s">
        <v>271</v>
      </c>
      <c r="DE1910" s="1" t="s">
        <v>273</v>
      </c>
      <c r="DF1910" s="1" t="s">
        <v>219</v>
      </c>
      <c r="DH1910" s="1" t="s">
        <v>365</v>
      </c>
      <c r="DJ1910" s="1" t="s">
        <v>222</v>
      </c>
      <c r="DL1910" s="1" t="s">
        <v>1853</v>
      </c>
      <c r="DM1910" s="1" t="s">
        <v>229</v>
      </c>
      <c r="DP1910" s="1" t="s">
        <v>340</v>
      </c>
      <c r="DQ1910" s="1" t="s">
        <v>228</v>
      </c>
      <c r="DR1910" s="1" t="s">
        <v>229</v>
      </c>
      <c r="DV1910" s="1" t="s">
        <v>232</v>
      </c>
      <c r="DW1910" s="1" t="s">
        <v>279</v>
      </c>
      <c r="DX1910" s="1" t="s">
        <v>309</v>
      </c>
      <c r="EA1910" s="1" t="s">
        <v>554</v>
      </c>
      <c r="EC1910" s="1" t="s">
        <v>284</v>
      </c>
      <c r="EE1910" s="1" t="s">
        <v>1960</v>
      </c>
      <c r="EM1910" s="1" t="s">
        <v>238</v>
      </c>
      <c r="EQ1910" s="1" t="s">
        <v>238</v>
      </c>
      <c r="EU1910" s="1" t="s">
        <v>238</v>
      </c>
      <c r="EY1910" s="1" t="s">
        <v>238</v>
      </c>
      <c r="FC1910" s="1" t="s">
        <v>238</v>
      </c>
      <c r="FF1910" s="1" t="s">
        <v>239</v>
      </c>
      <c r="FG1910" s="1" t="s">
        <v>192</v>
      </c>
      <c r="FH1910" s="1" t="s">
        <v>192</v>
      </c>
      <c r="FJ1910" s="1" t="s">
        <v>2156</v>
      </c>
      <c r="FK1910" s="1" t="s">
        <v>229</v>
      </c>
      <c r="FL1910" s="1" t="s">
        <v>6039</v>
      </c>
      <c r="FM1910" s="1">
        <v>12278.0</v>
      </c>
      <c r="FN1910" s="1" t="s">
        <v>6040</v>
      </c>
      <c r="FO1910" s="1" t="s">
        <v>6041</v>
      </c>
      <c r="FP1910" s="1">
        <v>119957.0</v>
      </c>
      <c r="FQ1910" s="1" t="s">
        <v>6040</v>
      </c>
      <c r="FU1910" s="1" t="s">
        <v>6042</v>
      </c>
      <c r="FV1910" s="1" t="s">
        <v>200</v>
      </c>
      <c r="FW1910" s="1" t="s">
        <v>567</v>
      </c>
      <c r="FX1910" s="1" t="s">
        <v>655</v>
      </c>
      <c r="FZ1910" s="1" t="s">
        <v>229</v>
      </c>
      <c r="GA1910" s="1" t="s">
        <v>291</v>
      </c>
      <c r="GB1910" s="2">
        <v>42009.0</v>
      </c>
      <c r="GC1910" s="1" t="s">
        <v>18388</v>
      </c>
    </row>
    <row r="1911">
      <c r="A1911" s="1">
        <v>552000.0</v>
      </c>
      <c r="B1911" s="1" t="s">
        <v>185</v>
      </c>
      <c r="C1911" s="1" t="str">
        <f>"08725376"</f>
        <v>08725376</v>
      </c>
      <c r="D1911" s="1" t="s">
        <v>186</v>
      </c>
      <c r="F1911" s="1" t="str">
        <f>"174"</f>
        <v>174</v>
      </c>
      <c r="G1911" s="2">
        <v>41893.0</v>
      </c>
      <c r="H1911" s="1">
        <v>589000.0</v>
      </c>
      <c r="I1911" s="1">
        <v>259.0</v>
      </c>
      <c r="J1911" s="1">
        <v>554900.0</v>
      </c>
      <c r="K1911" s="2">
        <v>42038.0</v>
      </c>
      <c r="L1911" s="1">
        <v>146.0</v>
      </c>
      <c r="M1911" s="2">
        <v>42038.0</v>
      </c>
      <c r="N1911" s="1" t="s">
        <v>187</v>
      </c>
      <c r="O1911" s="2">
        <v>42074.0</v>
      </c>
      <c r="P1911" s="1">
        <v>7679.0</v>
      </c>
      <c r="Q1911" s="1">
        <v>30.0</v>
      </c>
      <c r="S1911" s="1" t="s">
        <v>18389</v>
      </c>
      <c r="T1911" s="1" t="s">
        <v>18390</v>
      </c>
      <c r="U1911" s="1" t="s">
        <v>464</v>
      </c>
      <c r="V1911" s="1" t="s">
        <v>1200</v>
      </c>
      <c r="W1911" s="1">
        <v>60175.0</v>
      </c>
      <c r="Y1911" s="1" t="s">
        <v>18391</v>
      </c>
      <c r="Z1911" s="1">
        <v>1993.0</v>
      </c>
      <c r="AA1911" s="1" t="s">
        <v>200</v>
      </c>
      <c r="AB1911" s="1" t="s">
        <v>193</v>
      </c>
      <c r="AC1911" s="1" t="s">
        <v>18392</v>
      </c>
      <c r="AD1911" s="1" t="s">
        <v>1089</v>
      </c>
      <c r="AE1911" s="1" t="s">
        <v>325</v>
      </c>
      <c r="AF1911" s="1" t="s">
        <v>1203</v>
      </c>
      <c r="AH1911" s="1" t="s">
        <v>18393</v>
      </c>
      <c r="AI1911" s="1">
        <v>1.22</v>
      </c>
      <c r="AK1911" s="1">
        <v>10.0</v>
      </c>
      <c r="AL1911" s="1">
        <v>4.0</v>
      </c>
      <c r="AM1911" s="1">
        <v>3.0</v>
      </c>
      <c r="AN1911" s="1">
        <v>2.0</v>
      </c>
      <c r="AO1911" s="1" t="s">
        <v>198</v>
      </c>
      <c r="AP1911" s="1">
        <v>1.0</v>
      </c>
      <c r="AQ1911" s="1" t="s">
        <v>198</v>
      </c>
      <c r="AR1911" s="1" t="s">
        <v>200</v>
      </c>
      <c r="AS1911" s="1" t="s">
        <v>199</v>
      </c>
      <c r="AT1911" s="1">
        <v>3.0</v>
      </c>
      <c r="AV1911" s="1" t="s">
        <v>200</v>
      </c>
      <c r="AW1911" s="1">
        <v>14892.2</v>
      </c>
      <c r="AX1911" s="1">
        <v>2013.0</v>
      </c>
      <c r="AY1911" s="1" t="s">
        <v>229</v>
      </c>
      <c r="AZ1911" s="1" t="s">
        <v>545</v>
      </c>
      <c r="BA1911" s="1" t="str">
        <f>"0907251003"</f>
        <v>0907251003</v>
      </c>
      <c r="BB1911" s="1" t="s">
        <v>200</v>
      </c>
      <c r="BC1911" s="1">
        <v>4038.0</v>
      </c>
      <c r="BD1911" s="1">
        <v>552000.0</v>
      </c>
      <c r="BE1911" s="2">
        <v>41893.0</v>
      </c>
      <c r="BF1911" s="2" t="s">
        <v>18394</v>
      </c>
      <c r="BG1911" s="1" t="s">
        <v>4510</v>
      </c>
      <c r="BH1911" s="1">
        <v>200.0</v>
      </c>
      <c r="BI1911" s="1" t="s">
        <v>4511</v>
      </c>
      <c r="BJ1911" s="1" t="s">
        <v>2200</v>
      </c>
      <c r="BK1911" s="1" t="s">
        <v>580</v>
      </c>
      <c r="BL1911" s="1" t="str">
        <f t="shared" ref="BL1911:BM1911" si="1262">""</f>
        <v/>
      </c>
      <c r="BM1911" s="1" t="str">
        <f t="shared" si="1262"/>
        <v/>
      </c>
      <c r="BN1911" s="1">
        <v>3.0</v>
      </c>
      <c r="BQ1911" s="1">
        <v>303.0</v>
      </c>
      <c r="BR1911" s="1">
        <v>303.0</v>
      </c>
      <c r="BS1911" s="1">
        <v>303.0</v>
      </c>
      <c r="BU1911" s="1" t="s">
        <v>454</v>
      </c>
      <c r="BV1911" s="1" t="s">
        <v>206</v>
      </c>
      <c r="BW1911" s="1" t="s">
        <v>210</v>
      </c>
      <c r="BY1911" s="1" t="s">
        <v>477</v>
      </c>
      <c r="BZ1911" s="1" t="s">
        <v>209</v>
      </c>
      <c r="CA1911" s="1" t="s">
        <v>210</v>
      </c>
      <c r="CC1911" s="1" t="s">
        <v>758</v>
      </c>
      <c r="CD1911" s="1" t="s">
        <v>206</v>
      </c>
      <c r="CE1911" s="1" t="s">
        <v>210</v>
      </c>
      <c r="CG1911" s="1" t="s">
        <v>213</v>
      </c>
      <c r="CH1911" s="1" t="s">
        <v>209</v>
      </c>
      <c r="CI1911" s="1" t="s">
        <v>210</v>
      </c>
      <c r="CK1911" s="1" t="s">
        <v>433</v>
      </c>
      <c r="CL1911" s="1" t="s">
        <v>209</v>
      </c>
      <c r="CM1911" s="1" t="s">
        <v>210</v>
      </c>
      <c r="CO1911" s="1" t="s">
        <v>584</v>
      </c>
      <c r="CP1911" s="1" t="s">
        <v>209</v>
      </c>
      <c r="CQ1911" s="1" t="s">
        <v>210</v>
      </c>
      <c r="CS1911" s="1" t="s">
        <v>1534</v>
      </c>
      <c r="CT1911" s="1" t="s">
        <v>206</v>
      </c>
      <c r="CU1911" s="1" t="s">
        <v>268</v>
      </c>
      <c r="CW1911" s="1" t="s">
        <v>3817</v>
      </c>
      <c r="CX1911" s="1" t="s">
        <v>206</v>
      </c>
      <c r="CY1911" s="1" t="s">
        <v>207</v>
      </c>
      <c r="DA1911" s="1" t="s">
        <v>200</v>
      </c>
      <c r="DC1911" s="1" t="s">
        <v>435</v>
      </c>
      <c r="DE1911" s="1" t="s">
        <v>273</v>
      </c>
      <c r="DF1911" s="1" t="s">
        <v>219</v>
      </c>
      <c r="DH1911" s="1" t="s">
        <v>856</v>
      </c>
      <c r="DJ1911" s="1" t="s">
        <v>857</v>
      </c>
      <c r="DL1911" s="1" t="s">
        <v>1267</v>
      </c>
      <c r="DM1911" s="1" t="s">
        <v>338</v>
      </c>
      <c r="DO1911" s="1" t="s">
        <v>1995</v>
      </c>
      <c r="DQ1911" s="1" t="s">
        <v>931</v>
      </c>
      <c r="DR1911" s="1" t="s">
        <v>588</v>
      </c>
      <c r="DV1911" s="1" t="s">
        <v>2692</v>
      </c>
      <c r="DW1911" s="1" t="s">
        <v>1610</v>
      </c>
      <c r="DX1911" s="1" t="s">
        <v>234</v>
      </c>
      <c r="DZ1911" s="1" t="s">
        <v>310</v>
      </c>
      <c r="EC1911" s="1" t="s">
        <v>237</v>
      </c>
      <c r="EG1911" s="1" t="s">
        <v>598</v>
      </c>
      <c r="EI1911" s="1" t="s">
        <v>450</v>
      </c>
      <c r="EL1911" s="1" t="s">
        <v>433</v>
      </c>
      <c r="EM1911" s="1" t="s">
        <v>206</v>
      </c>
      <c r="EN1911" s="1" t="s">
        <v>207</v>
      </c>
      <c r="EQ1911" s="1" t="s">
        <v>238</v>
      </c>
      <c r="ET1911" s="1" t="s">
        <v>18395</v>
      </c>
      <c r="EU1911" s="1" t="s">
        <v>267</v>
      </c>
      <c r="EV1911" s="1" t="s">
        <v>210</v>
      </c>
      <c r="EY1911" s="1" t="s">
        <v>238</v>
      </c>
      <c r="FC1911" s="1" t="s">
        <v>238</v>
      </c>
      <c r="FF1911" s="1" t="s">
        <v>239</v>
      </c>
      <c r="FG1911" s="1" t="s">
        <v>192</v>
      </c>
      <c r="FH1911" s="1" t="s">
        <v>192</v>
      </c>
      <c r="FJ1911" s="1" t="s">
        <v>1469</v>
      </c>
      <c r="FK1911" s="1" t="s">
        <v>229</v>
      </c>
      <c r="FL1911" s="1" t="s">
        <v>893</v>
      </c>
      <c r="FM1911" s="1">
        <v>604.0</v>
      </c>
      <c r="FN1911" s="1" t="s">
        <v>894</v>
      </c>
      <c r="FO1911" s="1" t="s">
        <v>895</v>
      </c>
      <c r="FP1911" s="1">
        <v>381.0</v>
      </c>
      <c r="FQ1911" s="1" t="s">
        <v>896</v>
      </c>
      <c r="FR1911" s="1">
        <v>1954.0</v>
      </c>
      <c r="FU1911" s="1" t="s">
        <v>897</v>
      </c>
      <c r="FV1911" s="1" t="s">
        <v>200</v>
      </c>
      <c r="FW1911" s="1" t="s">
        <v>290</v>
      </c>
      <c r="FZ1911" s="1" t="s">
        <v>229</v>
      </c>
      <c r="GA1911" s="1" t="s">
        <v>291</v>
      </c>
      <c r="GB1911" s="2">
        <v>42074.0</v>
      </c>
      <c r="GC1911" s="1" t="s">
        <v>18396</v>
      </c>
    </row>
    <row r="1912">
      <c r="A1912" s="1">
        <v>80900.0</v>
      </c>
      <c r="B1912" s="1" t="s">
        <v>185</v>
      </c>
      <c r="C1912" s="1" t="str">
        <f>"08720687"</f>
        <v>08720687</v>
      </c>
      <c r="D1912" s="1" t="s">
        <v>186</v>
      </c>
      <c r="F1912" s="1" t="str">
        <f>"8023"</f>
        <v>8023</v>
      </c>
      <c r="G1912" s="2">
        <v>41887.0</v>
      </c>
      <c r="H1912" s="1">
        <v>109900.0</v>
      </c>
      <c r="I1912" s="1">
        <v>96.0</v>
      </c>
      <c r="J1912" s="1">
        <v>99900.0</v>
      </c>
      <c r="K1912" s="2">
        <v>41982.0</v>
      </c>
      <c r="L1912" s="1">
        <v>96.0</v>
      </c>
      <c r="M1912" s="2">
        <v>41982.0</v>
      </c>
      <c r="N1912" s="1" t="s">
        <v>249</v>
      </c>
      <c r="O1912" s="2">
        <v>41985.0</v>
      </c>
      <c r="P1912" s="1">
        <v>116643.0</v>
      </c>
      <c r="Q1912" s="1">
        <v>17299.0</v>
      </c>
      <c r="S1912" s="1">
        <v>1724.0</v>
      </c>
      <c r="T1912" s="1" t="s">
        <v>5893</v>
      </c>
      <c r="U1912" s="1" t="s">
        <v>189</v>
      </c>
      <c r="V1912" s="1" t="s">
        <v>190</v>
      </c>
      <c r="W1912" s="1">
        <v>60647.0</v>
      </c>
      <c r="Y1912" s="1" t="s">
        <v>18397</v>
      </c>
      <c r="Z1912" s="1">
        <v>1896.0</v>
      </c>
      <c r="AA1912" s="1" t="s">
        <v>192</v>
      </c>
      <c r="AB1912" s="1" t="s">
        <v>193</v>
      </c>
      <c r="AD1912" s="1" t="s">
        <v>194</v>
      </c>
      <c r="AE1912" s="1" t="s">
        <v>195</v>
      </c>
      <c r="AF1912" s="1" t="s">
        <v>196</v>
      </c>
      <c r="AH1912" s="1" t="s">
        <v>741</v>
      </c>
      <c r="AK1912" s="1">
        <v>7.0</v>
      </c>
      <c r="AL1912" s="1">
        <v>4.0</v>
      </c>
      <c r="AM1912" s="1">
        <v>2.0</v>
      </c>
      <c r="AN1912" s="1">
        <v>0.0</v>
      </c>
      <c r="AO1912" s="1" t="s">
        <v>229</v>
      </c>
      <c r="AQ1912" s="1" t="s">
        <v>198</v>
      </c>
      <c r="AR1912" s="1" t="s">
        <v>200</v>
      </c>
      <c r="AS1912" s="1" t="s">
        <v>199</v>
      </c>
      <c r="AT1912" s="1">
        <v>2.0</v>
      </c>
      <c r="AV1912" s="1" t="s">
        <v>200</v>
      </c>
      <c r="AW1912" s="1">
        <v>2196.0</v>
      </c>
      <c r="AX1912" s="1">
        <v>2012.0</v>
      </c>
      <c r="AY1912" s="1" t="s">
        <v>229</v>
      </c>
      <c r="AZ1912" s="1" t="s">
        <v>200</v>
      </c>
      <c r="BA1912" s="1" t="str">
        <f>"13353180080000"</f>
        <v>13353180080000</v>
      </c>
      <c r="BB1912" s="1" t="s">
        <v>200</v>
      </c>
      <c r="BC1912" s="1">
        <v>814.0</v>
      </c>
      <c r="BD1912" s="1">
        <v>80900.0</v>
      </c>
      <c r="BE1912" s="2">
        <v>41887.0</v>
      </c>
      <c r="BF1912" s="1" t="s">
        <v>18398</v>
      </c>
      <c r="BH1912" s="1">
        <v>0.0</v>
      </c>
      <c r="BK1912" s="1" t="s">
        <v>204</v>
      </c>
      <c r="BL1912" s="1" t="str">
        <f>"1724"</f>
        <v>1724</v>
      </c>
      <c r="BM1912" s="1" t="str">
        <f t="shared" ref="BM1912:BM1913" si="1263">"0"</f>
        <v>0</v>
      </c>
      <c r="BN1912" s="1">
        <v>3200.0</v>
      </c>
      <c r="BO1912" s="1">
        <v>0.0</v>
      </c>
      <c r="BQ1912" s="1">
        <v>299.0</v>
      </c>
      <c r="BR1912" s="1">
        <v>299.0</v>
      </c>
      <c r="BS1912" s="1">
        <v>299.0</v>
      </c>
      <c r="BU1912" s="1" t="s">
        <v>1378</v>
      </c>
      <c r="BV1912" s="1" t="s">
        <v>206</v>
      </c>
      <c r="BW1912" s="1" t="s">
        <v>301</v>
      </c>
      <c r="BY1912" s="1" t="s">
        <v>743</v>
      </c>
      <c r="BZ1912" s="1" t="s">
        <v>206</v>
      </c>
      <c r="CA1912" s="1" t="s">
        <v>617</v>
      </c>
      <c r="CC1912" s="1" t="s">
        <v>542</v>
      </c>
      <c r="CD1912" s="1" t="s">
        <v>206</v>
      </c>
      <c r="CG1912" s="1" t="s">
        <v>1064</v>
      </c>
      <c r="CH1912" s="1" t="s">
        <v>209</v>
      </c>
      <c r="CI1912" s="1" t="s">
        <v>617</v>
      </c>
      <c r="CK1912" s="1" t="s">
        <v>1745</v>
      </c>
      <c r="CL1912" s="1" t="s">
        <v>206</v>
      </c>
      <c r="CM1912" s="1" t="s">
        <v>617</v>
      </c>
      <c r="CO1912" s="1" t="s">
        <v>1418</v>
      </c>
      <c r="CP1912" s="1" t="s">
        <v>206</v>
      </c>
      <c r="CQ1912" s="1" t="s">
        <v>617</v>
      </c>
      <c r="CS1912" s="1" t="s">
        <v>663</v>
      </c>
      <c r="CT1912" s="1" t="s">
        <v>206</v>
      </c>
      <c r="CU1912" s="1" t="s">
        <v>301</v>
      </c>
      <c r="CX1912" s="1" t="s">
        <v>204</v>
      </c>
      <c r="DA1912" s="1" t="s">
        <v>200</v>
      </c>
      <c r="DC1912" s="1" t="s">
        <v>642</v>
      </c>
      <c r="DE1912" s="1" t="s">
        <v>229</v>
      </c>
      <c r="DF1912" s="1" t="s">
        <v>619</v>
      </c>
      <c r="DH1912" s="1" t="s">
        <v>365</v>
      </c>
      <c r="DJ1912" s="1" t="s">
        <v>222</v>
      </c>
      <c r="DL1912" s="1" t="s">
        <v>224</v>
      </c>
      <c r="DM1912" s="1" t="s">
        <v>229</v>
      </c>
      <c r="DQ1912" s="1" t="s">
        <v>718</v>
      </c>
      <c r="DR1912" s="1" t="s">
        <v>229</v>
      </c>
      <c r="DV1912" s="1" t="s">
        <v>232</v>
      </c>
      <c r="DW1912" s="1" t="s">
        <v>279</v>
      </c>
      <c r="DX1912" s="1" t="s">
        <v>234</v>
      </c>
      <c r="EC1912" s="1" t="s">
        <v>645</v>
      </c>
      <c r="EM1912" s="1" t="s">
        <v>238</v>
      </c>
      <c r="EQ1912" s="1" t="s">
        <v>238</v>
      </c>
      <c r="EU1912" s="1" t="s">
        <v>238</v>
      </c>
      <c r="EY1912" s="1" t="s">
        <v>238</v>
      </c>
      <c r="FC1912" s="1" t="s">
        <v>238</v>
      </c>
      <c r="FF1912" s="1" t="s">
        <v>239</v>
      </c>
      <c r="FG1912" s="1" t="s">
        <v>192</v>
      </c>
      <c r="FH1912" s="1" t="s">
        <v>192</v>
      </c>
      <c r="FJ1912" s="1" t="s">
        <v>1248</v>
      </c>
      <c r="FK1912" s="1" t="s">
        <v>229</v>
      </c>
      <c r="FL1912" s="1" t="s">
        <v>8097</v>
      </c>
      <c r="FM1912" s="1">
        <v>17497.0</v>
      </c>
      <c r="FN1912" s="1" t="s">
        <v>8098</v>
      </c>
      <c r="FO1912" s="1" t="s">
        <v>8989</v>
      </c>
      <c r="FP1912" s="1">
        <v>161285.0</v>
      </c>
      <c r="FQ1912" s="1" t="s">
        <v>8098</v>
      </c>
      <c r="FU1912" s="1" t="s">
        <v>18399</v>
      </c>
      <c r="FV1912" s="1" t="s">
        <v>200</v>
      </c>
      <c r="FW1912" s="1" t="s">
        <v>354</v>
      </c>
      <c r="FX1912" s="1" t="s">
        <v>238</v>
      </c>
      <c r="FZ1912" s="1" t="s">
        <v>229</v>
      </c>
      <c r="GA1912" s="1" t="s">
        <v>291</v>
      </c>
      <c r="GB1912" s="2">
        <v>41985.0</v>
      </c>
      <c r="GC1912" s="1" t="s">
        <v>18400</v>
      </c>
    </row>
    <row r="1913">
      <c r="A1913" s="1">
        <v>600000.0</v>
      </c>
      <c r="B1913" s="1" t="s">
        <v>185</v>
      </c>
      <c r="C1913" s="1" t="str">
        <f>"08721865"</f>
        <v>08721865</v>
      </c>
      <c r="D1913" s="1" t="s">
        <v>186</v>
      </c>
      <c r="F1913" s="1" t="str">
        <f>"8024"</f>
        <v>8024</v>
      </c>
      <c r="G1913" s="2">
        <v>41890.0</v>
      </c>
      <c r="H1913" s="1">
        <v>649900.0</v>
      </c>
      <c r="I1913" s="1">
        <v>71.0</v>
      </c>
      <c r="J1913" s="1">
        <v>624900.0</v>
      </c>
      <c r="K1913" s="2">
        <v>41934.0</v>
      </c>
      <c r="L1913" s="1">
        <v>45.0</v>
      </c>
      <c r="M1913" s="2">
        <v>41934.0</v>
      </c>
      <c r="N1913" s="1" t="s">
        <v>187</v>
      </c>
      <c r="O1913" s="2">
        <v>41977.0</v>
      </c>
      <c r="P1913" s="1">
        <v>101084.0</v>
      </c>
      <c r="Q1913" s="1">
        <v>10646.0</v>
      </c>
      <c r="S1913" s="1">
        <v>2535.0</v>
      </c>
      <c r="T1913" s="1" t="s">
        <v>18401</v>
      </c>
      <c r="U1913" s="1" t="s">
        <v>189</v>
      </c>
      <c r="V1913" s="1" t="s">
        <v>190</v>
      </c>
      <c r="W1913" s="1">
        <v>60622.0</v>
      </c>
      <c r="Y1913" s="1" t="s">
        <v>18402</v>
      </c>
      <c r="Z1913" s="1">
        <v>2014.0</v>
      </c>
      <c r="AA1913" s="1" t="s">
        <v>200</v>
      </c>
      <c r="AB1913" s="1" t="s">
        <v>193</v>
      </c>
      <c r="AD1913" s="1" t="s">
        <v>194</v>
      </c>
      <c r="AE1913" s="1" t="s">
        <v>195</v>
      </c>
      <c r="AF1913" s="1" t="s">
        <v>196</v>
      </c>
      <c r="AH1913" s="1" t="s">
        <v>18403</v>
      </c>
      <c r="AK1913" s="1">
        <v>8.0</v>
      </c>
      <c r="AL1913" s="1">
        <v>3.0</v>
      </c>
      <c r="AM1913" s="1">
        <v>3.0</v>
      </c>
      <c r="AN1913" s="1">
        <v>1.0</v>
      </c>
      <c r="AO1913" s="1" t="s">
        <v>198</v>
      </c>
      <c r="AQ1913" s="1" t="s">
        <v>198</v>
      </c>
      <c r="AR1913" s="1" t="s">
        <v>192</v>
      </c>
      <c r="AS1913" s="1" t="s">
        <v>199</v>
      </c>
      <c r="AT1913" s="1">
        <v>2.0</v>
      </c>
      <c r="AV1913" s="1" t="s">
        <v>200</v>
      </c>
      <c r="AW1913" s="4">
        <v>4690.17</v>
      </c>
      <c r="AX1913" s="1">
        <v>2013.0</v>
      </c>
      <c r="AY1913" s="1" t="s">
        <v>229</v>
      </c>
      <c r="AZ1913" s="1" t="s">
        <v>200</v>
      </c>
      <c r="BA1913" s="1" t="str">
        <f>"16014060110000"</f>
        <v>16014060110000</v>
      </c>
      <c r="BC1913" s="1">
        <v>3000.0</v>
      </c>
      <c r="BD1913" s="1">
        <v>600000.0</v>
      </c>
      <c r="BE1913" s="2">
        <v>41890.0</v>
      </c>
      <c r="BF1913" s="2" t="s">
        <v>18404</v>
      </c>
      <c r="BH1913" s="1">
        <v>0.0</v>
      </c>
      <c r="BK1913" s="1" t="s">
        <v>204</v>
      </c>
      <c r="BL1913" s="1" t="str">
        <f>"1100"</f>
        <v>1100</v>
      </c>
      <c r="BM1913" s="1" t="str">
        <f t="shared" si="1263"/>
        <v>0</v>
      </c>
      <c r="BN1913" s="1">
        <v>2535.0</v>
      </c>
      <c r="BO1913" s="1">
        <v>0.0</v>
      </c>
      <c r="BQ1913" s="1">
        <v>299.0</v>
      </c>
      <c r="BR1913" s="1">
        <v>299.0</v>
      </c>
      <c r="BS1913" s="1">
        <v>299.0</v>
      </c>
      <c r="BU1913" s="1" t="s">
        <v>1426</v>
      </c>
      <c r="BV1913" s="1" t="s">
        <v>206</v>
      </c>
      <c r="BW1913" s="1" t="s">
        <v>207</v>
      </c>
      <c r="BY1913" s="1" t="s">
        <v>213</v>
      </c>
      <c r="BZ1913" s="1" t="s">
        <v>209</v>
      </c>
      <c r="CA1913" s="1" t="s">
        <v>210</v>
      </c>
      <c r="CC1913" s="1" t="s">
        <v>433</v>
      </c>
      <c r="CD1913" s="1" t="s">
        <v>206</v>
      </c>
      <c r="CE1913" s="1" t="s">
        <v>207</v>
      </c>
      <c r="CG1913" s="1" t="s">
        <v>269</v>
      </c>
      <c r="CH1913" s="1" t="s">
        <v>209</v>
      </c>
      <c r="CI1913" s="1" t="s">
        <v>210</v>
      </c>
      <c r="CK1913" s="1" t="s">
        <v>205</v>
      </c>
      <c r="CL1913" s="1" t="s">
        <v>209</v>
      </c>
      <c r="CM1913" s="1" t="s">
        <v>210</v>
      </c>
      <c r="CO1913" s="1" t="s">
        <v>495</v>
      </c>
      <c r="CP1913" s="1" t="s">
        <v>42</v>
      </c>
      <c r="CQ1913" s="1" t="s">
        <v>210</v>
      </c>
      <c r="CS1913" s="1" t="s">
        <v>333</v>
      </c>
      <c r="CT1913" s="1" t="s">
        <v>206</v>
      </c>
      <c r="CU1913" s="1" t="s">
        <v>207</v>
      </c>
      <c r="CX1913" s="1" t="s">
        <v>204</v>
      </c>
      <c r="DA1913" s="1" t="s">
        <v>192</v>
      </c>
      <c r="DB1913" s="2">
        <v>41890.0</v>
      </c>
      <c r="DC1913" s="1" t="s">
        <v>1353</v>
      </c>
      <c r="DE1913" s="1" t="s">
        <v>218</v>
      </c>
      <c r="DF1913" s="1" t="s">
        <v>745</v>
      </c>
      <c r="DG1913" s="1" t="s">
        <v>482</v>
      </c>
      <c r="DH1913" s="1" t="s">
        <v>220</v>
      </c>
      <c r="DI1913" s="1" t="s">
        <v>519</v>
      </c>
      <c r="DJ1913" s="1" t="s">
        <v>222</v>
      </c>
      <c r="DK1913" s="1" t="s">
        <v>223</v>
      </c>
      <c r="DL1913" s="1" t="s">
        <v>224</v>
      </c>
      <c r="DM1913" s="1" t="s">
        <v>229</v>
      </c>
      <c r="DN1913" s="1" t="s">
        <v>3293</v>
      </c>
      <c r="DQ1913" s="1" t="s">
        <v>228</v>
      </c>
      <c r="DR1913" s="1" t="s">
        <v>229</v>
      </c>
      <c r="DV1913" s="1" t="s">
        <v>450</v>
      </c>
      <c r="DW1913" s="1" t="s">
        <v>1026</v>
      </c>
      <c r="DX1913" s="1" t="s">
        <v>234</v>
      </c>
      <c r="DY1913" s="1" t="s">
        <v>596</v>
      </c>
      <c r="DZ1913" s="1" t="s">
        <v>282</v>
      </c>
      <c r="EC1913" s="1" t="s">
        <v>237</v>
      </c>
      <c r="ED1913" s="1" t="s">
        <v>555</v>
      </c>
      <c r="EG1913" s="1" t="s">
        <v>450</v>
      </c>
      <c r="EL1913" s="1" t="s">
        <v>11994</v>
      </c>
      <c r="EM1913" s="1" t="s">
        <v>42</v>
      </c>
      <c r="EN1913" s="1" t="s">
        <v>210</v>
      </c>
      <c r="EQ1913" s="1" t="s">
        <v>238</v>
      </c>
      <c r="EU1913" s="1" t="s">
        <v>238</v>
      </c>
      <c r="EY1913" s="1" t="s">
        <v>238</v>
      </c>
      <c r="FC1913" s="1" t="s">
        <v>238</v>
      </c>
      <c r="FF1913" s="1" t="s">
        <v>239</v>
      </c>
      <c r="FG1913" s="1" t="s">
        <v>192</v>
      </c>
      <c r="FH1913" s="1" t="s">
        <v>192</v>
      </c>
      <c r="FJ1913" s="1" t="s">
        <v>2285</v>
      </c>
      <c r="FK1913" s="1" t="s">
        <v>229</v>
      </c>
      <c r="FL1913" s="1" t="s">
        <v>734</v>
      </c>
      <c r="FM1913" s="1">
        <v>10646.0</v>
      </c>
      <c r="FN1913" s="1" t="s">
        <v>735</v>
      </c>
      <c r="FO1913" s="1" t="s">
        <v>736</v>
      </c>
      <c r="FP1913" s="1">
        <v>139913.0</v>
      </c>
      <c r="FQ1913" s="1" t="s">
        <v>737</v>
      </c>
      <c r="FU1913" s="1" t="s">
        <v>5897</v>
      </c>
      <c r="FV1913" s="1" t="s">
        <v>200</v>
      </c>
      <c r="FW1913" s="1" t="s">
        <v>530</v>
      </c>
      <c r="FX1913" s="1" t="s">
        <v>246</v>
      </c>
      <c r="FZ1913" s="1" t="s">
        <v>229</v>
      </c>
      <c r="GA1913" s="1" t="s">
        <v>291</v>
      </c>
      <c r="GB1913" s="2">
        <v>41978.0</v>
      </c>
    </row>
    <row r="1914">
      <c r="A1914" s="1">
        <v>42000.0</v>
      </c>
      <c r="B1914" s="1" t="s">
        <v>185</v>
      </c>
      <c r="C1914" s="1" t="str">
        <f>"08722078"</f>
        <v>08722078</v>
      </c>
      <c r="D1914" s="1" t="s">
        <v>186</v>
      </c>
      <c r="F1914" s="1" t="str">
        <f>"8069"</f>
        <v>8069</v>
      </c>
      <c r="G1914" s="2">
        <v>41890.0</v>
      </c>
      <c r="H1914" s="1">
        <v>52500.0</v>
      </c>
      <c r="I1914" s="1">
        <v>112.0</v>
      </c>
      <c r="J1914" s="1">
        <v>43500.0</v>
      </c>
      <c r="K1914" s="2">
        <v>41948.0</v>
      </c>
      <c r="L1914" s="1">
        <v>59.0</v>
      </c>
      <c r="M1914" s="2">
        <v>41948.0</v>
      </c>
      <c r="N1914" s="1" t="s">
        <v>249</v>
      </c>
      <c r="O1914" s="2">
        <v>41981.0</v>
      </c>
      <c r="P1914" s="1">
        <v>105437.0</v>
      </c>
      <c r="Q1914" s="1">
        <v>14703.0</v>
      </c>
      <c r="S1914" s="1">
        <v>6919.0</v>
      </c>
      <c r="T1914" s="1" t="s">
        <v>8461</v>
      </c>
      <c r="U1914" s="1" t="s">
        <v>569</v>
      </c>
      <c r="V1914" s="1" t="s">
        <v>190</v>
      </c>
      <c r="W1914" s="1">
        <v>60637.0</v>
      </c>
      <c r="Y1914" s="1" t="s">
        <v>18405</v>
      </c>
      <c r="Z1914" s="1" t="s">
        <v>296</v>
      </c>
      <c r="AA1914" s="1" t="s">
        <v>192</v>
      </c>
      <c r="AB1914" s="1" t="s">
        <v>193</v>
      </c>
      <c r="AD1914" s="1" t="s">
        <v>194</v>
      </c>
      <c r="AE1914" s="1" t="s">
        <v>195</v>
      </c>
      <c r="AF1914" s="1" t="s">
        <v>637</v>
      </c>
      <c r="AH1914" s="1" t="s">
        <v>359</v>
      </c>
      <c r="AK1914" s="1">
        <v>7.0</v>
      </c>
      <c r="AL1914" s="1">
        <v>4.0</v>
      </c>
      <c r="AM1914" s="1">
        <v>1.0</v>
      </c>
      <c r="AN1914" s="1">
        <v>0.0</v>
      </c>
      <c r="AO1914" s="1" t="s">
        <v>229</v>
      </c>
      <c r="AQ1914" s="1" t="s">
        <v>229</v>
      </c>
      <c r="AR1914" s="1" t="s">
        <v>200</v>
      </c>
      <c r="AS1914" s="1" t="s">
        <v>229</v>
      </c>
      <c r="AV1914" s="1" t="s">
        <v>200</v>
      </c>
      <c r="AW1914" s="1">
        <v>2455.0</v>
      </c>
      <c r="AX1914" s="1">
        <v>2013.0</v>
      </c>
      <c r="AZ1914" s="1" t="s">
        <v>200</v>
      </c>
      <c r="BA1914" s="1" t="str">
        <f>"20224140060000"</f>
        <v>20224140060000</v>
      </c>
      <c r="BC1914" s="1">
        <v>1500.0</v>
      </c>
      <c r="BD1914" s="1">
        <v>42000.0</v>
      </c>
      <c r="BE1914" s="2">
        <v>41890.0</v>
      </c>
      <c r="BF1914" s="2" t="s">
        <v>18406</v>
      </c>
      <c r="BH1914" s="1">
        <v>0.0</v>
      </c>
      <c r="BK1914" s="1" t="s">
        <v>204</v>
      </c>
      <c r="BL1914" s="1" t="str">
        <f>"0"</f>
        <v>0</v>
      </c>
      <c r="BM1914" s="1" t="str">
        <f>"400"</f>
        <v>400</v>
      </c>
      <c r="BN1914" s="1">
        <v>0.0</v>
      </c>
      <c r="BO1914" s="1">
        <v>6919.0</v>
      </c>
      <c r="BQ1914" s="1">
        <v>299.0</v>
      </c>
      <c r="BR1914" s="1">
        <v>299.0</v>
      </c>
      <c r="BS1914" s="1">
        <v>299.0</v>
      </c>
      <c r="BU1914" s="1" t="s">
        <v>433</v>
      </c>
      <c r="BV1914" s="1" t="s">
        <v>206</v>
      </c>
      <c r="BY1914" s="1" t="s">
        <v>331</v>
      </c>
      <c r="BZ1914" s="1" t="s">
        <v>206</v>
      </c>
      <c r="CC1914" s="1" t="s">
        <v>331</v>
      </c>
      <c r="CD1914" s="1" t="s">
        <v>206</v>
      </c>
      <c r="CG1914" s="1" t="s">
        <v>816</v>
      </c>
      <c r="CH1914" s="1" t="s">
        <v>206</v>
      </c>
      <c r="CK1914" s="1" t="s">
        <v>331</v>
      </c>
      <c r="CL1914" s="1" t="s">
        <v>206</v>
      </c>
      <c r="CO1914" s="1" t="s">
        <v>816</v>
      </c>
      <c r="CP1914" s="1" t="s">
        <v>206</v>
      </c>
      <c r="CS1914" s="1" t="s">
        <v>1298</v>
      </c>
      <c r="CT1914" s="1" t="s">
        <v>206</v>
      </c>
      <c r="CX1914" s="1" t="s">
        <v>204</v>
      </c>
      <c r="DA1914" s="1" t="s">
        <v>200</v>
      </c>
      <c r="DC1914" s="1" t="s">
        <v>545</v>
      </c>
      <c r="DE1914" s="1" t="s">
        <v>229</v>
      </c>
      <c r="DF1914" s="1" t="s">
        <v>588</v>
      </c>
      <c r="DH1914" s="1" t="s">
        <v>588</v>
      </c>
      <c r="DJ1914" s="1" t="s">
        <v>588</v>
      </c>
      <c r="DL1914" s="1" t="s">
        <v>520</v>
      </c>
      <c r="DM1914" s="1" t="s">
        <v>229</v>
      </c>
      <c r="DQ1914" s="1" t="s">
        <v>718</v>
      </c>
      <c r="DR1914" s="1" t="s">
        <v>229</v>
      </c>
      <c r="DV1914" s="1" t="s">
        <v>232</v>
      </c>
      <c r="DW1914" s="1" t="s">
        <v>279</v>
      </c>
      <c r="DX1914" s="1" t="s">
        <v>234</v>
      </c>
      <c r="EC1914" s="1" t="s">
        <v>237</v>
      </c>
      <c r="EM1914" s="1" t="s">
        <v>238</v>
      </c>
      <c r="EQ1914" s="1" t="s">
        <v>238</v>
      </c>
      <c r="EU1914" s="1" t="s">
        <v>238</v>
      </c>
      <c r="EY1914" s="1" t="s">
        <v>238</v>
      </c>
      <c r="FC1914" s="1" t="s">
        <v>238</v>
      </c>
      <c r="FF1914" s="1" t="s">
        <v>239</v>
      </c>
      <c r="FG1914" s="1" t="s">
        <v>192</v>
      </c>
      <c r="FH1914" s="1" t="s">
        <v>192</v>
      </c>
      <c r="FJ1914" s="1" t="s">
        <v>4863</v>
      </c>
      <c r="FK1914" s="1" t="s">
        <v>229</v>
      </c>
      <c r="FL1914" s="1" t="s">
        <v>7557</v>
      </c>
      <c r="FM1914" s="1">
        <v>84495.0</v>
      </c>
      <c r="FN1914" s="1" t="s">
        <v>7558</v>
      </c>
      <c r="FO1914" s="1" t="s">
        <v>7559</v>
      </c>
      <c r="FP1914" s="1">
        <v>139484.0</v>
      </c>
      <c r="FQ1914" s="1" t="s">
        <v>7558</v>
      </c>
      <c r="FU1914" s="1" t="s">
        <v>3678</v>
      </c>
      <c r="FV1914" s="1" t="s">
        <v>192</v>
      </c>
      <c r="FW1914" s="1" t="s">
        <v>631</v>
      </c>
      <c r="FX1914" s="1" t="s">
        <v>655</v>
      </c>
      <c r="FZ1914" s="1" t="s">
        <v>229</v>
      </c>
      <c r="GA1914" s="1" t="s">
        <v>291</v>
      </c>
      <c r="GB1914" s="2">
        <v>41981.0</v>
      </c>
      <c r="GC1914" s="1" t="s">
        <v>18407</v>
      </c>
    </row>
    <row r="1915">
      <c r="A1915" s="1">
        <v>153700.0</v>
      </c>
      <c r="B1915" s="1" t="s">
        <v>185</v>
      </c>
      <c r="C1915" s="1" t="str">
        <f>"08720084"</f>
        <v>08720084</v>
      </c>
      <c r="D1915" s="1" t="s">
        <v>186</v>
      </c>
      <c r="F1915" s="1" t="str">
        <f>"177"</f>
        <v>177</v>
      </c>
      <c r="G1915" s="2">
        <v>41887.0</v>
      </c>
      <c r="H1915" s="1">
        <v>159900.0</v>
      </c>
      <c r="I1915" s="1">
        <v>36.0</v>
      </c>
      <c r="J1915" s="1">
        <v>159900.0</v>
      </c>
      <c r="K1915" s="2">
        <v>41921.0</v>
      </c>
      <c r="L1915" s="1">
        <v>36.0</v>
      </c>
      <c r="M1915" s="2">
        <v>41921.0</v>
      </c>
      <c r="N1915" s="1" t="s">
        <v>356</v>
      </c>
      <c r="O1915" s="2">
        <v>42047.0</v>
      </c>
      <c r="P1915" s="1">
        <v>70394.0</v>
      </c>
      <c r="Q1915" s="1">
        <v>7450.0</v>
      </c>
      <c r="R1915" s="1">
        <v>4150.0</v>
      </c>
      <c r="S1915" s="1">
        <v>36.0</v>
      </c>
      <c r="T1915" s="1" t="s">
        <v>11654</v>
      </c>
      <c r="U1915" s="1" t="s">
        <v>189</v>
      </c>
      <c r="V1915" s="1" t="s">
        <v>2249</v>
      </c>
      <c r="W1915" s="1">
        <v>60177.0</v>
      </c>
      <c r="Y1915" s="1" t="s">
        <v>18408</v>
      </c>
      <c r="Z1915" s="1">
        <v>1965.0</v>
      </c>
      <c r="AA1915" s="1" t="s">
        <v>192</v>
      </c>
      <c r="AB1915" s="1" t="s">
        <v>193</v>
      </c>
      <c r="AC1915" s="1" t="s">
        <v>18409</v>
      </c>
      <c r="AD1915" s="1" t="s">
        <v>2252</v>
      </c>
      <c r="AE1915" s="1" t="s">
        <v>325</v>
      </c>
      <c r="AF1915" s="1" t="s">
        <v>469</v>
      </c>
      <c r="AH1915" s="1" t="s">
        <v>18410</v>
      </c>
      <c r="AK1915" s="1">
        <v>7.0</v>
      </c>
      <c r="AL1915" s="1">
        <v>4.0</v>
      </c>
      <c r="AM1915" s="1">
        <v>2.0</v>
      </c>
      <c r="AN1915" s="1">
        <v>1.0</v>
      </c>
      <c r="AO1915" s="1" t="s">
        <v>229</v>
      </c>
      <c r="AQ1915" s="1" t="s">
        <v>198</v>
      </c>
      <c r="AR1915" s="1" t="s">
        <v>192</v>
      </c>
      <c r="AS1915" s="1" t="s">
        <v>199</v>
      </c>
      <c r="AT1915" s="1">
        <v>1.0</v>
      </c>
      <c r="AV1915" s="1" t="s">
        <v>200</v>
      </c>
      <c r="AW1915" s="1">
        <v>3885.0</v>
      </c>
      <c r="AX1915" s="1">
        <v>2013.0</v>
      </c>
      <c r="AY1915" s="1" t="s">
        <v>1179</v>
      </c>
      <c r="AZ1915" s="1" t="s">
        <v>200</v>
      </c>
      <c r="BA1915" s="1" t="str">
        <f>"0634276017"</f>
        <v>0634276017</v>
      </c>
      <c r="BC1915" s="1">
        <v>1428.0</v>
      </c>
      <c r="BD1915" s="1">
        <v>153700.0</v>
      </c>
      <c r="BE1915" s="2">
        <v>41886.0</v>
      </c>
      <c r="BF1915" s="1" t="s">
        <v>18411</v>
      </c>
      <c r="BH1915" s="1">
        <v>0.0</v>
      </c>
      <c r="BK1915" s="1" t="s">
        <v>204</v>
      </c>
      <c r="BL1915" s="1" t="str">
        <f t="shared" ref="BL1915:BM1915" si="1264">""</f>
        <v/>
      </c>
      <c r="BM1915" s="1" t="str">
        <f t="shared" si="1264"/>
        <v/>
      </c>
      <c r="BQ1915" s="1">
        <v>46.0</v>
      </c>
      <c r="BR1915" s="1">
        <v>46.0</v>
      </c>
      <c r="BS1915" s="1">
        <v>46.0</v>
      </c>
      <c r="BU1915" s="1" t="s">
        <v>390</v>
      </c>
      <c r="BV1915" s="1" t="s">
        <v>206</v>
      </c>
      <c r="BW1915" s="1" t="s">
        <v>207</v>
      </c>
      <c r="BY1915" s="1" t="s">
        <v>584</v>
      </c>
      <c r="BZ1915" s="1" t="s">
        <v>206</v>
      </c>
      <c r="CA1915" s="1" t="s">
        <v>301</v>
      </c>
      <c r="CD1915" s="1" t="s">
        <v>204</v>
      </c>
      <c r="CG1915" s="1" t="s">
        <v>495</v>
      </c>
      <c r="CH1915" s="1" t="s">
        <v>206</v>
      </c>
      <c r="CI1915" s="1" t="s">
        <v>301</v>
      </c>
      <c r="CK1915" s="1" t="s">
        <v>329</v>
      </c>
      <c r="CL1915" s="1" t="s">
        <v>209</v>
      </c>
      <c r="CM1915" s="1" t="s">
        <v>210</v>
      </c>
      <c r="CO1915" s="1" t="s">
        <v>212</v>
      </c>
      <c r="CP1915" s="1" t="s">
        <v>209</v>
      </c>
      <c r="CQ1915" s="1" t="s">
        <v>210</v>
      </c>
      <c r="CS1915" s="1" t="s">
        <v>616</v>
      </c>
      <c r="CT1915" s="1" t="s">
        <v>206</v>
      </c>
      <c r="CU1915" s="1" t="s">
        <v>268</v>
      </c>
      <c r="CW1915" s="1" t="s">
        <v>6146</v>
      </c>
      <c r="CX1915" s="1" t="s">
        <v>42</v>
      </c>
      <c r="CY1915" s="1" t="s">
        <v>617</v>
      </c>
      <c r="DA1915" s="1" t="s">
        <v>200</v>
      </c>
      <c r="DC1915" s="1" t="s">
        <v>517</v>
      </c>
      <c r="DD1915" s="1" t="s">
        <v>436</v>
      </c>
      <c r="DE1915" s="1" t="s">
        <v>273</v>
      </c>
      <c r="DF1915" s="1" t="s">
        <v>219</v>
      </c>
      <c r="DG1915" s="1" t="s">
        <v>337</v>
      </c>
      <c r="DH1915" s="1" t="s">
        <v>220</v>
      </c>
      <c r="DI1915" s="1" t="s">
        <v>1463</v>
      </c>
      <c r="DJ1915" s="1" t="s">
        <v>1048</v>
      </c>
      <c r="DL1915" s="1" t="s">
        <v>858</v>
      </c>
      <c r="DM1915" s="1" t="s">
        <v>338</v>
      </c>
      <c r="DQ1915" s="1" t="s">
        <v>228</v>
      </c>
      <c r="DR1915" s="1" t="s">
        <v>229</v>
      </c>
      <c r="DS1915" s="1" t="s">
        <v>401</v>
      </c>
      <c r="DU1915" s="1" t="s">
        <v>1355</v>
      </c>
      <c r="DV1915" s="1" t="s">
        <v>232</v>
      </c>
      <c r="DW1915" s="1" t="s">
        <v>279</v>
      </c>
      <c r="DX1915" s="1" t="s">
        <v>234</v>
      </c>
      <c r="DY1915" s="1" t="s">
        <v>10631</v>
      </c>
      <c r="DZ1915" s="1" t="s">
        <v>862</v>
      </c>
      <c r="EA1915" s="1" t="s">
        <v>1075</v>
      </c>
      <c r="EC1915" s="1" t="s">
        <v>645</v>
      </c>
      <c r="ED1915" s="1" t="s">
        <v>407</v>
      </c>
      <c r="EM1915" s="1" t="s">
        <v>238</v>
      </c>
      <c r="EQ1915" s="1" t="s">
        <v>238</v>
      </c>
      <c r="EU1915" s="1" t="s">
        <v>238</v>
      </c>
      <c r="EY1915" s="1" t="s">
        <v>238</v>
      </c>
      <c r="FC1915" s="1" t="s">
        <v>238</v>
      </c>
      <c r="FF1915" s="1" t="s">
        <v>239</v>
      </c>
      <c r="FG1915" s="1" t="s">
        <v>192</v>
      </c>
      <c r="FH1915" s="1" t="s">
        <v>192</v>
      </c>
      <c r="FJ1915" s="1" t="s">
        <v>524</v>
      </c>
      <c r="FK1915" s="1" t="s">
        <v>348</v>
      </c>
      <c r="FL1915" s="1" t="s">
        <v>1451</v>
      </c>
      <c r="FM1915" s="1">
        <v>7450.0</v>
      </c>
      <c r="FN1915" s="1" t="s">
        <v>1452</v>
      </c>
      <c r="FO1915" s="1" t="s">
        <v>9602</v>
      </c>
      <c r="FP1915" s="1">
        <v>70016.0</v>
      </c>
      <c r="FQ1915" s="1" t="s">
        <v>9603</v>
      </c>
      <c r="FU1915" s="1" t="s">
        <v>6385</v>
      </c>
      <c r="FV1915" s="1" t="s">
        <v>200</v>
      </c>
      <c r="FW1915" s="1" t="s">
        <v>567</v>
      </c>
      <c r="FZ1915" s="1" t="s">
        <v>229</v>
      </c>
      <c r="GA1915" s="1" t="s">
        <v>291</v>
      </c>
      <c r="GB1915" s="2">
        <v>42048.0</v>
      </c>
      <c r="GC1915" s="1" t="s">
        <v>6345</v>
      </c>
    </row>
    <row r="1916">
      <c r="A1916" s="1">
        <v>1975000.0</v>
      </c>
      <c r="B1916" s="1" t="s">
        <v>185</v>
      </c>
      <c r="C1916" s="1" t="str">
        <f>"08729428"</f>
        <v>08729428</v>
      </c>
      <c r="D1916" s="1" t="s">
        <v>186</v>
      </c>
      <c r="F1916" s="1" t="str">
        <f>"8007"</f>
        <v>8007</v>
      </c>
      <c r="G1916" s="2">
        <v>41898.0</v>
      </c>
      <c r="H1916" s="1">
        <v>2195000.0</v>
      </c>
      <c r="I1916" s="1">
        <v>23.0</v>
      </c>
      <c r="J1916" s="1">
        <v>2195000.0</v>
      </c>
      <c r="K1916" s="2">
        <v>41920.0</v>
      </c>
      <c r="L1916" s="1">
        <v>23.0</v>
      </c>
      <c r="M1916" s="2">
        <v>41920.0</v>
      </c>
      <c r="N1916" s="1" t="s">
        <v>187</v>
      </c>
      <c r="O1916" s="2">
        <v>42076.0</v>
      </c>
      <c r="P1916" s="1">
        <v>112050.0</v>
      </c>
      <c r="Q1916" s="1">
        <v>14470.0</v>
      </c>
      <c r="S1916" s="1">
        <v>1852.0</v>
      </c>
      <c r="T1916" s="1" t="s">
        <v>18412</v>
      </c>
      <c r="U1916" s="1" t="s">
        <v>320</v>
      </c>
      <c r="V1916" s="1" t="s">
        <v>190</v>
      </c>
      <c r="W1916" s="1">
        <v>60614.0</v>
      </c>
      <c r="Y1916" s="1" t="s">
        <v>18413</v>
      </c>
      <c r="Z1916" s="1">
        <v>2000.0</v>
      </c>
      <c r="AA1916" s="1" t="s">
        <v>200</v>
      </c>
      <c r="AB1916" s="1" t="s">
        <v>193</v>
      </c>
      <c r="AD1916" s="1" t="s">
        <v>194</v>
      </c>
      <c r="AE1916" s="1" t="s">
        <v>195</v>
      </c>
      <c r="AF1916" s="1" t="s">
        <v>534</v>
      </c>
      <c r="AH1916" s="1" t="s">
        <v>2611</v>
      </c>
      <c r="AK1916" s="1">
        <v>8.0</v>
      </c>
      <c r="AL1916" s="1">
        <v>4.0</v>
      </c>
      <c r="AM1916" s="1">
        <v>3.0</v>
      </c>
      <c r="AN1916" s="1">
        <v>1.0</v>
      </c>
      <c r="AO1916" s="1" t="s">
        <v>198</v>
      </c>
      <c r="AP1916" s="1">
        <v>2.0</v>
      </c>
      <c r="AQ1916" s="1" t="s">
        <v>257</v>
      </c>
      <c r="AR1916" s="1" t="s">
        <v>192</v>
      </c>
      <c r="AS1916" s="1" t="s">
        <v>199</v>
      </c>
      <c r="AT1916" s="1">
        <v>2.0</v>
      </c>
      <c r="AV1916" s="1" t="s">
        <v>200</v>
      </c>
      <c r="AW1916" s="1">
        <v>23851.64</v>
      </c>
      <c r="AX1916" s="1">
        <v>2012.0</v>
      </c>
      <c r="AZ1916" s="1" t="s">
        <v>200</v>
      </c>
      <c r="BA1916" s="1" t="str">
        <f>"14333110390000"</f>
        <v>14333110390000</v>
      </c>
      <c r="BC1916" s="1">
        <v>0.0</v>
      </c>
      <c r="BD1916" s="1">
        <v>1975000.0</v>
      </c>
      <c r="BE1916" s="2">
        <v>41898.0</v>
      </c>
      <c r="BF1916" s="2" t="s">
        <v>18414</v>
      </c>
      <c r="BG1916" s="1" t="s">
        <v>2142</v>
      </c>
      <c r="BH1916" s="1">
        <v>0.0</v>
      </c>
      <c r="BJ1916" s="1" t="s">
        <v>2871</v>
      </c>
      <c r="BK1916" s="1" t="s">
        <v>204</v>
      </c>
      <c r="BL1916" s="1" t="str">
        <f>"1800"</f>
        <v>1800</v>
      </c>
      <c r="BM1916" s="1" t="str">
        <f t="shared" ref="BM1916:BM1917" si="1265">"0"</f>
        <v>0</v>
      </c>
      <c r="BN1916" s="1">
        <v>400.0</v>
      </c>
      <c r="BO1916" s="1">
        <v>0.0</v>
      </c>
      <c r="BQ1916" s="1">
        <v>299.0</v>
      </c>
      <c r="BR1916" s="1">
        <v>299.0</v>
      </c>
      <c r="BS1916" s="1">
        <v>299.0</v>
      </c>
      <c r="BU1916" s="1" t="s">
        <v>2120</v>
      </c>
      <c r="BV1916" s="1" t="s">
        <v>206</v>
      </c>
      <c r="BW1916" s="1" t="s">
        <v>207</v>
      </c>
      <c r="BY1916" s="1" t="s">
        <v>784</v>
      </c>
      <c r="BZ1916" s="1" t="s">
        <v>391</v>
      </c>
      <c r="CA1916" s="1" t="s">
        <v>207</v>
      </c>
      <c r="CC1916" s="1" t="s">
        <v>329</v>
      </c>
      <c r="CD1916" s="1" t="s">
        <v>206</v>
      </c>
      <c r="CE1916" s="1" t="s">
        <v>207</v>
      </c>
      <c r="CG1916" s="1" t="s">
        <v>205</v>
      </c>
      <c r="CH1916" s="1" t="s">
        <v>209</v>
      </c>
      <c r="CI1916" s="1" t="s">
        <v>207</v>
      </c>
      <c r="CK1916" s="1" t="s">
        <v>758</v>
      </c>
      <c r="CL1916" s="1" t="s">
        <v>209</v>
      </c>
      <c r="CM1916" s="1" t="s">
        <v>207</v>
      </c>
      <c r="CO1916" s="1" t="s">
        <v>302</v>
      </c>
      <c r="CP1916" s="1" t="s">
        <v>209</v>
      </c>
      <c r="CQ1916" s="1" t="s">
        <v>207</v>
      </c>
      <c r="CS1916" s="1" t="s">
        <v>496</v>
      </c>
      <c r="CT1916" s="1" t="s">
        <v>206</v>
      </c>
      <c r="CU1916" s="1" t="s">
        <v>2128</v>
      </c>
      <c r="CW1916" s="1" t="s">
        <v>924</v>
      </c>
      <c r="CX1916" s="1" t="s">
        <v>267</v>
      </c>
      <c r="CY1916" s="1" t="s">
        <v>207</v>
      </c>
      <c r="DA1916" s="1" t="s">
        <v>200</v>
      </c>
      <c r="DC1916" s="1" t="s">
        <v>335</v>
      </c>
      <c r="DD1916" s="1" t="s">
        <v>272</v>
      </c>
      <c r="DE1916" s="1" t="s">
        <v>273</v>
      </c>
      <c r="DF1916" s="1" t="s">
        <v>219</v>
      </c>
      <c r="DH1916" s="1" t="s">
        <v>365</v>
      </c>
      <c r="DJ1916" s="1" t="s">
        <v>222</v>
      </c>
      <c r="DL1916" s="1" t="s">
        <v>224</v>
      </c>
      <c r="DM1916" s="1" t="s">
        <v>3697</v>
      </c>
      <c r="DN1916" s="1" t="s">
        <v>18415</v>
      </c>
      <c r="DP1916" s="1" t="s">
        <v>340</v>
      </c>
      <c r="DQ1916" s="1" t="s">
        <v>228</v>
      </c>
      <c r="DR1916" s="1" t="s">
        <v>229</v>
      </c>
      <c r="DV1916" s="1" t="s">
        <v>232</v>
      </c>
      <c r="DW1916" s="1" t="s">
        <v>18416</v>
      </c>
      <c r="DX1916" s="1" t="s">
        <v>234</v>
      </c>
      <c r="DY1916" s="1" t="s">
        <v>404</v>
      </c>
      <c r="DZ1916" s="1" t="s">
        <v>18149</v>
      </c>
      <c r="EB1916" s="1" t="s">
        <v>18417</v>
      </c>
      <c r="EC1916" s="1" t="s">
        <v>4792</v>
      </c>
      <c r="EM1916" s="1" t="s">
        <v>238</v>
      </c>
      <c r="EQ1916" s="1" t="s">
        <v>238</v>
      </c>
      <c r="EU1916" s="1" t="s">
        <v>238</v>
      </c>
      <c r="EY1916" s="1" t="s">
        <v>238</v>
      </c>
      <c r="FC1916" s="1" t="s">
        <v>238</v>
      </c>
      <c r="FF1916" s="1" t="s">
        <v>239</v>
      </c>
      <c r="FG1916" s="1" t="s">
        <v>192</v>
      </c>
      <c r="FH1916" s="1" t="s">
        <v>192</v>
      </c>
      <c r="FJ1916" s="1" t="s">
        <v>18418</v>
      </c>
      <c r="FK1916" s="1" t="s">
        <v>229</v>
      </c>
      <c r="FL1916" s="1" t="s">
        <v>974</v>
      </c>
      <c r="FM1916" s="1">
        <v>14470.0</v>
      </c>
      <c r="FN1916" s="1" t="s">
        <v>3407</v>
      </c>
      <c r="FO1916" s="1" t="s">
        <v>18419</v>
      </c>
      <c r="FP1916" s="1">
        <v>112050.0</v>
      </c>
      <c r="FQ1916" s="1" t="s">
        <v>18420</v>
      </c>
      <c r="FU1916" s="1" t="s">
        <v>18421</v>
      </c>
      <c r="FV1916" s="1" t="s">
        <v>200</v>
      </c>
      <c r="FW1916" s="1" t="s">
        <v>290</v>
      </c>
      <c r="FX1916" s="1" t="s">
        <v>238</v>
      </c>
      <c r="FZ1916" s="1" t="s">
        <v>229</v>
      </c>
      <c r="GA1916" s="1" t="s">
        <v>291</v>
      </c>
      <c r="GB1916" s="2">
        <v>42076.0</v>
      </c>
      <c r="GC1916" s="1" t="s">
        <v>18422</v>
      </c>
    </row>
    <row r="1917">
      <c r="A1917" s="1">
        <v>275000.0</v>
      </c>
      <c r="B1917" s="1" t="s">
        <v>185</v>
      </c>
      <c r="C1917" s="1" t="str">
        <f>"08728996"</f>
        <v>08728996</v>
      </c>
      <c r="D1917" s="1" t="s">
        <v>186</v>
      </c>
      <c r="F1917" s="1" t="str">
        <f>"10"</f>
        <v>10</v>
      </c>
      <c r="G1917" s="2">
        <v>41897.0</v>
      </c>
      <c r="H1917" s="1">
        <v>325000.0</v>
      </c>
      <c r="I1917" s="1">
        <v>170.0</v>
      </c>
      <c r="J1917" s="1">
        <v>300000.0</v>
      </c>
      <c r="K1917" s="2">
        <v>42066.0</v>
      </c>
      <c r="L1917" s="1">
        <v>170.0</v>
      </c>
      <c r="M1917" s="2">
        <v>42066.0</v>
      </c>
      <c r="N1917" s="1" t="s">
        <v>187</v>
      </c>
      <c r="O1917" s="2">
        <v>42121.0</v>
      </c>
      <c r="P1917" s="1">
        <v>88033.0</v>
      </c>
      <c r="Q1917" s="1">
        <v>8089.0</v>
      </c>
      <c r="S1917" s="1">
        <v>108.0</v>
      </c>
      <c r="T1917" s="1" t="s">
        <v>18423</v>
      </c>
      <c r="U1917" s="1" t="s">
        <v>1754</v>
      </c>
      <c r="V1917" s="1" t="s">
        <v>1706</v>
      </c>
      <c r="W1917" s="1">
        <v>60010.0</v>
      </c>
      <c r="Y1917" s="1" t="s">
        <v>18424</v>
      </c>
      <c r="Z1917" s="1">
        <v>1954.0</v>
      </c>
      <c r="AA1917" s="1" t="s">
        <v>192</v>
      </c>
      <c r="AB1917" s="1" t="s">
        <v>193</v>
      </c>
      <c r="AC1917" s="1" t="s">
        <v>18425</v>
      </c>
      <c r="AD1917" s="1" t="s">
        <v>1089</v>
      </c>
      <c r="AE1917" s="1" t="s">
        <v>195</v>
      </c>
      <c r="AF1917" s="1" t="s">
        <v>1708</v>
      </c>
      <c r="AH1917" s="1" t="s">
        <v>18426</v>
      </c>
      <c r="AI1917" s="1">
        <v>1.08</v>
      </c>
      <c r="AK1917" s="1">
        <v>9.0</v>
      </c>
      <c r="AL1917" s="1">
        <v>4.0</v>
      </c>
      <c r="AM1917" s="1">
        <v>3.0</v>
      </c>
      <c r="AN1917" s="1">
        <v>0.0</v>
      </c>
      <c r="AO1917" s="1" t="s">
        <v>229</v>
      </c>
      <c r="AP1917" s="1">
        <v>2.0</v>
      </c>
      <c r="AQ1917" s="1" t="s">
        <v>327</v>
      </c>
      <c r="AR1917" s="1" t="s">
        <v>192</v>
      </c>
      <c r="AS1917" s="1" t="s">
        <v>199</v>
      </c>
      <c r="AT1917" s="1">
        <v>2.0</v>
      </c>
      <c r="AV1917" s="1" t="s">
        <v>200</v>
      </c>
      <c r="AW1917" s="1">
        <v>5549.0</v>
      </c>
      <c r="AX1917" s="1">
        <v>2013.0</v>
      </c>
      <c r="AY1917" s="1" t="s">
        <v>229</v>
      </c>
      <c r="AZ1917" s="1" t="s">
        <v>200</v>
      </c>
      <c r="BA1917" s="1" t="str">
        <f>"02062000290000"</f>
        <v>02062000290000</v>
      </c>
      <c r="BB1917" s="1" t="s">
        <v>200</v>
      </c>
      <c r="BC1917" s="1">
        <v>1334.0</v>
      </c>
      <c r="BD1917" s="1">
        <v>275000.0</v>
      </c>
      <c r="BE1917" s="2">
        <v>41897.0</v>
      </c>
      <c r="BF1917" s="2" t="s">
        <v>18427</v>
      </c>
      <c r="BG1917" s="1" t="s">
        <v>1712</v>
      </c>
      <c r="BH1917" s="1">
        <v>0.0</v>
      </c>
      <c r="BI1917" s="1" t="s">
        <v>18428</v>
      </c>
      <c r="BJ1917" s="1" t="s">
        <v>1714</v>
      </c>
      <c r="BK1917" s="1" t="s">
        <v>204</v>
      </c>
      <c r="BL1917" s="1" t="str">
        <f>"18"</f>
        <v>18</v>
      </c>
      <c r="BM1917" s="1" t="str">
        <f t="shared" si="1265"/>
        <v>0</v>
      </c>
      <c r="BN1917" s="1">
        <v>24.0</v>
      </c>
      <c r="BO1917" s="1">
        <v>0.0</v>
      </c>
      <c r="BQ1917" s="1">
        <v>220.0</v>
      </c>
      <c r="BR1917" s="1">
        <v>220.0</v>
      </c>
      <c r="BS1917" s="1">
        <v>220.0</v>
      </c>
      <c r="BU1917" s="1" t="s">
        <v>1000</v>
      </c>
      <c r="BV1917" s="1" t="s">
        <v>206</v>
      </c>
      <c r="BW1917" s="1" t="s">
        <v>207</v>
      </c>
      <c r="BX1917" s="1" t="s">
        <v>229</v>
      </c>
      <c r="BY1917" s="1" t="s">
        <v>647</v>
      </c>
      <c r="BZ1917" s="1" t="s">
        <v>206</v>
      </c>
      <c r="CA1917" s="1" t="s">
        <v>207</v>
      </c>
      <c r="CB1917" s="1" t="s">
        <v>431</v>
      </c>
      <c r="CC1917" s="1" t="s">
        <v>516</v>
      </c>
      <c r="CD1917" s="1" t="s">
        <v>206</v>
      </c>
      <c r="CE1917" s="1" t="s">
        <v>207</v>
      </c>
      <c r="CF1917" s="1" t="s">
        <v>229</v>
      </c>
      <c r="CG1917" s="1" t="s">
        <v>699</v>
      </c>
      <c r="CH1917" s="1" t="s">
        <v>206</v>
      </c>
      <c r="CI1917" s="1" t="s">
        <v>207</v>
      </c>
      <c r="CJ1917" s="1" t="s">
        <v>431</v>
      </c>
      <c r="CK1917" s="1" t="s">
        <v>265</v>
      </c>
      <c r="CL1917" s="1" t="s">
        <v>206</v>
      </c>
      <c r="CM1917" s="1" t="s">
        <v>207</v>
      </c>
      <c r="CN1917" s="1" t="s">
        <v>431</v>
      </c>
      <c r="CO1917" s="1" t="s">
        <v>262</v>
      </c>
      <c r="CP1917" s="1" t="s">
        <v>267</v>
      </c>
      <c r="CQ1917" s="1" t="s">
        <v>210</v>
      </c>
      <c r="CR1917" s="1" t="s">
        <v>431</v>
      </c>
      <c r="CS1917" s="1" t="s">
        <v>392</v>
      </c>
      <c r="CT1917" s="1" t="s">
        <v>206</v>
      </c>
      <c r="CU1917" s="1" t="s">
        <v>617</v>
      </c>
      <c r="CV1917" s="1" t="s">
        <v>229</v>
      </c>
      <c r="CW1917" s="1" t="s">
        <v>15503</v>
      </c>
      <c r="CX1917" s="1" t="s">
        <v>1697</v>
      </c>
      <c r="CY1917" s="1" t="s">
        <v>210</v>
      </c>
      <c r="CZ1917" s="1" t="s">
        <v>431</v>
      </c>
      <c r="DA1917" s="1" t="s">
        <v>200</v>
      </c>
      <c r="DC1917" s="1" t="s">
        <v>702</v>
      </c>
      <c r="DD1917" s="1" t="s">
        <v>396</v>
      </c>
      <c r="DE1917" s="1" t="s">
        <v>1300</v>
      </c>
      <c r="DF1917" s="1" t="s">
        <v>11610</v>
      </c>
      <c r="DG1917" s="1" t="s">
        <v>11277</v>
      </c>
      <c r="DH1917" s="1" t="s">
        <v>856</v>
      </c>
      <c r="DI1917" s="1" t="s">
        <v>18429</v>
      </c>
      <c r="DJ1917" s="1" t="s">
        <v>857</v>
      </c>
      <c r="DK1917" s="1" t="s">
        <v>223</v>
      </c>
      <c r="DL1917" s="1" t="s">
        <v>1161</v>
      </c>
      <c r="DM1917" s="1" t="s">
        <v>338</v>
      </c>
      <c r="DN1917" s="1" t="s">
        <v>367</v>
      </c>
      <c r="DO1917" s="1" t="s">
        <v>6733</v>
      </c>
      <c r="DP1917" s="1" t="s">
        <v>400</v>
      </c>
      <c r="DQ1917" s="1" t="s">
        <v>931</v>
      </c>
      <c r="DR1917" s="1" t="s">
        <v>229</v>
      </c>
      <c r="DS1917" s="1" t="s">
        <v>401</v>
      </c>
      <c r="DU1917" s="1" t="s">
        <v>18430</v>
      </c>
      <c r="DV1917" s="1" t="s">
        <v>494</v>
      </c>
      <c r="DW1917" s="1" t="s">
        <v>667</v>
      </c>
      <c r="DX1917" s="1" t="s">
        <v>234</v>
      </c>
      <c r="DY1917" s="1" t="s">
        <v>2423</v>
      </c>
      <c r="DZ1917" s="1" t="s">
        <v>1661</v>
      </c>
      <c r="EA1917" s="1" t="s">
        <v>2680</v>
      </c>
      <c r="EB1917" s="1" t="s">
        <v>345</v>
      </c>
      <c r="EC1917" s="1" t="s">
        <v>4035</v>
      </c>
      <c r="ED1917" s="1" t="s">
        <v>555</v>
      </c>
      <c r="EE1917" s="1" t="s">
        <v>187</v>
      </c>
      <c r="EG1917" s="1" t="s">
        <v>494</v>
      </c>
      <c r="EL1917" s="1" t="s">
        <v>543</v>
      </c>
      <c r="EM1917" s="1" t="s">
        <v>267</v>
      </c>
      <c r="EN1917" s="1" t="s">
        <v>210</v>
      </c>
      <c r="EO1917" s="1" t="s">
        <v>229</v>
      </c>
      <c r="EQ1917" s="1" t="s">
        <v>238</v>
      </c>
      <c r="EU1917" s="1" t="s">
        <v>238</v>
      </c>
      <c r="EY1917" s="1" t="s">
        <v>238</v>
      </c>
      <c r="FC1917" s="1" t="s">
        <v>238</v>
      </c>
      <c r="FF1917" s="1" t="s">
        <v>239</v>
      </c>
      <c r="FG1917" s="1" t="s">
        <v>192</v>
      </c>
      <c r="FH1917" s="1" t="s">
        <v>192</v>
      </c>
      <c r="FJ1917" s="1" t="s">
        <v>9053</v>
      </c>
      <c r="FK1917" s="1" t="s">
        <v>229</v>
      </c>
      <c r="FL1917" s="1" t="s">
        <v>2026</v>
      </c>
      <c r="FM1917" s="1">
        <v>6018.0</v>
      </c>
      <c r="FN1917" s="1" t="s">
        <v>2027</v>
      </c>
      <c r="FO1917" s="1" t="s">
        <v>18431</v>
      </c>
      <c r="FP1917" s="1">
        <v>60261.0</v>
      </c>
      <c r="FQ1917" s="1" t="s">
        <v>18432</v>
      </c>
      <c r="FS1917" s="1" t="s">
        <v>18433</v>
      </c>
      <c r="FU1917" s="1" t="s">
        <v>18434</v>
      </c>
      <c r="FV1917" s="1" t="s">
        <v>200</v>
      </c>
      <c r="FW1917" s="1" t="s">
        <v>18435</v>
      </c>
      <c r="FZ1917" s="1" t="s">
        <v>229</v>
      </c>
      <c r="GA1917" s="1" t="s">
        <v>291</v>
      </c>
      <c r="GB1917" s="2">
        <v>42124.0</v>
      </c>
      <c r="GC1917" s="1" t="s">
        <v>18436</v>
      </c>
    </row>
    <row r="1918">
      <c r="A1918" s="1">
        <v>154000.0</v>
      </c>
      <c r="B1918" s="1" t="s">
        <v>185</v>
      </c>
      <c r="C1918" s="1" t="str">
        <f>"08722419"</f>
        <v>08722419</v>
      </c>
      <c r="D1918" s="1" t="s">
        <v>186</v>
      </c>
      <c r="F1918" s="1" t="str">
        <f>"538"</f>
        <v>538</v>
      </c>
      <c r="G1918" s="2">
        <v>41890.0</v>
      </c>
      <c r="H1918" s="1">
        <v>179900.0</v>
      </c>
      <c r="I1918" s="1">
        <v>131.0</v>
      </c>
      <c r="J1918" s="1">
        <v>168500.0</v>
      </c>
      <c r="K1918" s="2">
        <v>42020.0</v>
      </c>
      <c r="L1918" s="1">
        <v>131.0</v>
      </c>
      <c r="M1918" s="2">
        <v>42020.0</v>
      </c>
      <c r="N1918" s="1" t="s">
        <v>356</v>
      </c>
      <c r="O1918" s="2">
        <v>42059.0</v>
      </c>
      <c r="P1918" s="1">
        <v>226441.0</v>
      </c>
      <c r="Q1918" s="1">
        <v>25778.0</v>
      </c>
      <c r="R1918" s="1">
        <v>3400.0</v>
      </c>
      <c r="S1918" s="1">
        <v>37.0</v>
      </c>
      <c r="T1918" s="1" t="s">
        <v>18437</v>
      </c>
      <c r="U1918" s="1" t="s">
        <v>464</v>
      </c>
      <c r="V1918" s="1" t="s">
        <v>1340</v>
      </c>
      <c r="W1918" s="1">
        <v>60538.0</v>
      </c>
      <c r="Y1918" s="1" t="s">
        <v>18438</v>
      </c>
      <c r="Z1918" s="1">
        <v>1973.0</v>
      </c>
      <c r="AA1918" s="1" t="s">
        <v>192</v>
      </c>
      <c r="AB1918" s="1" t="s">
        <v>193</v>
      </c>
      <c r="AC1918" s="1" t="s">
        <v>8312</v>
      </c>
      <c r="AD1918" s="1" t="s">
        <v>1089</v>
      </c>
      <c r="AE1918" s="1" t="s">
        <v>849</v>
      </c>
      <c r="AF1918" s="1" t="s">
        <v>1529</v>
      </c>
      <c r="AH1918" s="1" t="s">
        <v>18439</v>
      </c>
      <c r="AI1918" s="1">
        <v>0.2693</v>
      </c>
      <c r="AK1918" s="1">
        <v>9.0</v>
      </c>
      <c r="AL1918" s="1">
        <v>3.0</v>
      </c>
      <c r="AM1918" s="1">
        <v>1.0</v>
      </c>
      <c r="AN1918" s="1">
        <v>1.0</v>
      </c>
      <c r="AO1918" s="1" t="s">
        <v>229</v>
      </c>
      <c r="AP1918" s="1">
        <v>1.0</v>
      </c>
      <c r="AQ1918" s="1" t="s">
        <v>198</v>
      </c>
      <c r="AR1918" s="1" t="s">
        <v>192</v>
      </c>
      <c r="AS1918" s="1" t="s">
        <v>199</v>
      </c>
      <c r="AT1918" s="1">
        <v>2.0</v>
      </c>
      <c r="AV1918" s="1" t="s">
        <v>200</v>
      </c>
      <c r="AW1918" s="1">
        <v>4661.0</v>
      </c>
      <c r="AX1918" s="1">
        <v>2013.0</v>
      </c>
      <c r="AY1918" s="1" t="s">
        <v>387</v>
      </c>
      <c r="AZ1918" s="1" t="s">
        <v>200</v>
      </c>
      <c r="BA1918" s="1" t="str">
        <f>"0309151011"</f>
        <v>0309151011</v>
      </c>
      <c r="BC1918" s="1">
        <v>1420.0</v>
      </c>
      <c r="BD1918" s="1">
        <v>154000.0</v>
      </c>
      <c r="BE1918" s="2">
        <v>41890.0</v>
      </c>
      <c r="BF1918" s="2" t="s">
        <v>18440</v>
      </c>
      <c r="BH1918" s="1">
        <v>0.0</v>
      </c>
      <c r="BK1918" s="1" t="s">
        <v>204</v>
      </c>
      <c r="BL1918" s="1" t="str">
        <f t="shared" ref="BL1918:BM1918" si="1266">""</f>
        <v/>
      </c>
      <c r="BM1918" s="1" t="str">
        <f t="shared" si="1266"/>
        <v/>
      </c>
      <c r="BQ1918" s="1">
        <v>308.0</v>
      </c>
      <c r="BR1918" s="1">
        <v>308.0</v>
      </c>
      <c r="BS1918" s="1">
        <v>308.0</v>
      </c>
      <c r="BU1918" s="1" t="s">
        <v>743</v>
      </c>
      <c r="BV1918" s="1" t="s">
        <v>206</v>
      </c>
      <c r="BW1918" s="1" t="s">
        <v>207</v>
      </c>
      <c r="BX1918" s="1" t="s">
        <v>239</v>
      </c>
      <c r="BY1918" s="1" t="s">
        <v>332</v>
      </c>
      <c r="BZ1918" s="1" t="s">
        <v>206</v>
      </c>
      <c r="CA1918" s="1" t="s">
        <v>210</v>
      </c>
      <c r="CB1918" s="1" t="s">
        <v>239</v>
      </c>
      <c r="CC1918" s="1" t="s">
        <v>2505</v>
      </c>
      <c r="CD1918" s="1" t="s">
        <v>206</v>
      </c>
      <c r="CE1918" s="1" t="s">
        <v>268</v>
      </c>
      <c r="CF1918" s="1" t="s">
        <v>239</v>
      </c>
      <c r="CG1918" s="1" t="s">
        <v>264</v>
      </c>
      <c r="CH1918" s="1" t="s">
        <v>206</v>
      </c>
      <c r="CI1918" s="1" t="s">
        <v>210</v>
      </c>
      <c r="CJ1918" s="1" t="s">
        <v>239</v>
      </c>
      <c r="CK1918" s="1" t="s">
        <v>331</v>
      </c>
      <c r="CL1918" s="1" t="s">
        <v>206</v>
      </c>
      <c r="CM1918" s="1" t="s">
        <v>210</v>
      </c>
      <c r="CN1918" s="1" t="s">
        <v>239</v>
      </c>
      <c r="CO1918" s="1" t="s">
        <v>213</v>
      </c>
      <c r="CP1918" s="1" t="s">
        <v>42</v>
      </c>
      <c r="CQ1918" s="1" t="s">
        <v>210</v>
      </c>
      <c r="CR1918" s="1" t="s">
        <v>239</v>
      </c>
      <c r="CS1918" s="1" t="s">
        <v>1119</v>
      </c>
      <c r="CT1918" s="1" t="s">
        <v>206</v>
      </c>
      <c r="CU1918" s="1" t="s">
        <v>268</v>
      </c>
      <c r="CV1918" s="1" t="s">
        <v>239</v>
      </c>
      <c r="CW1918" s="1" t="s">
        <v>955</v>
      </c>
      <c r="CX1918" s="1" t="s">
        <v>206</v>
      </c>
      <c r="CY1918" s="1" t="s">
        <v>210</v>
      </c>
      <c r="CZ1918" s="1" t="s">
        <v>239</v>
      </c>
      <c r="DA1918" s="1" t="s">
        <v>200</v>
      </c>
      <c r="DC1918" s="1" t="s">
        <v>517</v>
      </c>
      <c r="DE1918" s="1" t="s">
        <v>273</v>
      </c>
      <c r="DF1918" s="1" t="s">
        <v>619</v>
      </c>
      <c r="DH1918" s="1" t="s">
        <v>220</v>
      </c>
      <c r="DI1918" s="1" t="s">
        <v>703</v>
      </c>
      <c r="DJ1918" s="1" t="s">
        <v>222</v>
      </c>
      <c r="DL1918" s="1" t="s">
        <v>224</v>
      </c>
      <c r="DM1918" s="1" t="s">
        <v>338</v>
      </c>
      <c r="DN1918" s="1" t="s">
        <v>666</v>
      </c>
      <c r="DO1918" s="1" t="s">
        <v>549</v>
      </c>
      <c r="DQ1918" s="1" t="s">
        <v>441</v>
      </c>
      <c r="DR1918" s="1" t="s">
        <v>229</v>
      </c>
      <c r="DV1918" s="1" t="s">
        <v>18441</v>
      </c>
      <c r="DW1918" s="1" t="s">
        <v>233</v>
      </c>
      <c r="DX1918" s="1" t="s">
        <v>234</v>
      </c>
      <c r="DY1918" s="1" t="s">
        <v>16598</v>
      </c>
      <c r="EA1918" s="1" t="s">
        <v>683</v>
      </c>
      <c r="EB1918" s="1" t="s">
        <v>345</v>
      </c>
      <c r="EC1918" s="1" t="s">
        <v>685</v>
      </c>
      <c r="ED1918" s="1" t="s">
        <v>407</v>
      </c>
      <c r="EG1918" s="1" t="s">
        <v>450</v>
      </c>
      <c r="EH1918" s="1" t="s">
        <v>2971</v>
      </c>
      <c r="EI1918" s="1" t="s">
        <v>374</v>
      </c>
      <c r="EL1918" s="1" t="s">
        <v>15930</v>
      </c>
      <c r="EM1918" s="1" t="s">
        <v>42</v>
      </c>
      <c r="EN1918" s="1" t="s">
        <v>210</v>
      </c>
      <c r="EO1918" s="1" t="s">
        <v>239</v>
      </c>
      <c r="EP1918" s="1" t="s">
        <v>1117</v>
      </c>
      <c r="EQ1918" s="1" t="s">
        <v>42</v>
      </c>
      <c r="ER1918" s="1" t="s">
        <v>268</v>
      </c>
      <c r="ES1918" s="1" t="s">
        <v>239</v>
      </c>
      <c r="ET1918" s="1" t="s">
        <v>363</v>
      </c>
      <c r="EU1918" s="1" t="s">
        <v>206</v>
      </c>
      <c r="EV1918" s="1" t="s">
        <v>588</v>
      </c>
      <c r="EW1918" s="1" t="s">
        <v>239</v>
      </c>
      <c r="EY1918" s="1" t="s">
        <v>238</v>
      </c>
      <c r="FC1918" s="1" t="s">
        <v>238</v>
      </c>
      <c r="FF1918" s="1" t="s">
        <v>239</v>
      </c>
      <c r="FG1918" s="1" t="s">
        <v>192</v>
      </c>
      <c r="FH1918" s="1" t="s">
        <v>192</v>
      </c>
      <c r="FJ1918" s="1" t="s">
        <v>770</v>
      </c>
      <c r="FK1918" s="1" t="s">
        <v>229</v>
      </c>
      <c r="FL1918" s="1" t="s">
        <v>2226</v>
      </c>
      <c r="FM1918" s="1">
        <v>300.0</v>
      </c>
      <c r="FN1918" s="1" t="s">
        <v>2227</v>
      </c>
      <c r="FO1918" s="1" t="s">
        <v>2682</v>
      </c>
      <c r="FP1918" s="1">
        <v>313804.0</v>
      </c>
      <c r="FQ1918" s="1" t="s">
        <v>2683</v>
      </c>
      <c r="FU1918" s="1" t="s">
        <v>12241</v>
      </c>
      <c r="FV1918" s="1" t="s">
        <v>200</v>
      </c>
      <c r="FW1918" s="1" t="s">
        <v>631</v>
      </c>
      <c r="FZ1918" s="1" t="s">
        <v>632</v>
      </c>
      <c r="GA1918" s="1" t="s">
        <v>291</v>
      </c>
      <c r="GB1918" s="2">
        <v>42059.0</v>
      </c>
      <c r="GC1918" s="1" t="s">
        <v>18442</v>
      </c>
    </row>
    <row r="1919">
      <c r="A1919" s="1">
        <v>230000.0</v>
      </c>
      <c r="B1919" s="1" t="s">
        <v>185</v>
      </c>
      <c r="C1919" s="1" t="str">
        <f>"08715660"</f>
        <v>08715660</v>
      </c>
      <c r="D1919" s="1" t="s">
        <v>186</v>
      </c>
      <c r="F1919" s="1" t="str">
        <f>"542"</f>
        <v>542</v>
      </c>
      <c r="G1919" s="2">
        <v>41882.0</v>
      </c>
      <c r="H1919" s="1">
        <v>240000.0</v>
      </c>
      <c r="I1919" s="1">
        <v>114.0</v>
      </c>
      <c r="J1919" s="1">
        <v>240000.0</v>
      </c>
      <c r="K1919" s="2">
        <v>41995.0</v>
      </c>
      <c r="L1919" s="1">
        <v>114.0</v>
      </c>
      <c r="M1919" s="2">
        <v>41995.0</v>
      </c>
      <c r="N1919" s="1" t="s">
        <v>187</v>
      </c>
      <c r="O1919" s="2">
        <v>42046.0</v>
      </c>
      <c r="P1919" s="1">
        <v>226904.0</v>
      </c>
      <c r="Q1919" s="1">
        <v>23156.0</v>
      </c>
      <c r="R1919" s="1">
        <v>1000.0</v>
      </c>
      <c r="S1919" s="1">
        <v>1403.0</v>
      </c>
      <c r="T1919" s="1" t="s">
        <v>1326</v>
      </c>
      <c r="U1919" s="1" t="s">
        <v>420</v>
      </c>
      <c r="V1919" s="1" t="s">
        <v>3984</v>
      </c>
      <c r="W1919" s="1">
        <v>60542.0</v>
      </c>
      <c r="Y1919" s="1" t="s">
        <v>18443</v>
      </c>
      <c r="Z1919" s="1">
        <v>1998.0</v>
      </c>
      <c r="AA1919" s="1" t="s">
        <v>200</v>
      </c>
      <c r="AB1919" s="1" t="s">
        <v>193</v>
      </c>
      <c r="AC1919" s="1" t="s">
        <v>11985</v>
      </c>
      <c r="AD1919" s="1" t="s">
        <v>3986</v>
      </c>
      <c r="AE1919" s="1" t="s">
        <v>325</v>
      </c>
      <c r="AF1919" s="1" t="s">
        <v>3826</v>
      </c>
      <c r="AG1919" s="1" t="s">
        <v>12166</v>
      </c>
      <c r="AH1919" s="1" t="s">
        <v>18444</v>
      </c>
      <c r="AI1919" s="1">
        <v>0.25</v>
      </c>
      <c r="AK1919" s="1">
        <v>10.0</v>
      </c>
      <c r="AL1919" s="1">
        <v>3.0</v>
      </c>
      <c r="AM1919" s="1">
        <v>2.0</v>
      </c>
      <c r="AN1919" s="1">
        <v>1.0</v>
      </c>
      <c r="AO1919" s="1" t="s">
        <v>198</v>
      </c>
      <c r="AQ1919" s="1" t="s">
        <v>198</v>
      </c>
      <c r="AR1919" s="1" t="s">
        <v>200</v>
      </c>
      <c r="AS1919" s="1" t="s">
        <v>199</v>
      </c>
      <c r="AT1919" s="1">
        <v>2.0</v>
      </c>
      <c r="AV1919" s="1" t="s">
        <v>200</v>
      </c>
      <c r="AW1919" s="1">
        <v>6256.46</v>
      </c>
      <c r="AX1919" s="1">
        <v>2012.0</v>
      </c>
      <c r="AY1919" s="1" t="s">
        <v>387</v>
      </c>
      <c r="AZ1919" s="1" t="s">
        <v>200</v>
      </c>
      <c r="BA1919" s="1" t="str">
        <f>"1505153009"</f>
        <v>1505153009</v>
      </c>
      <c r="BB1919" s="1" t="s">
        <v>200</v>
      </c>
      <c r="BC1919" s="1">
        <v>0.0</v>
      </c>
      <c r="BD1919" s="1">
        <v>230000.0</v>
      </c>
      <c r="BE1919" s="2">
        <v>41882.0</v>
      </c>
      <c r="BF1919" s="2" t="s">
        <v>18445</v>
      </c>
      <c r="BG1919" s="1" t="s">
        <v>15688</v>
      </c>
      <c r="BH1919" s="1">
        <v>40.0</v>
      </c>
      <c r="BI1919" s="1" t="s">
        <v>9543</v>
      </c>
      <c r="BJ1919" s="1" t="s">
        <v>3831</v>
      </c>
      <c r="BK1919" s="1" t="s">
        <v>1952</v>
      </c>
      <c r="BL1919" s="1" t="str">
        <f t="shared" ref="BL1919:BM1919" si="1267">"0"</f>
        <v>0</v>
      </c>
      <c r="BM1919" s="1" t="str">
        <f t="shared" si="1267"/>
        <v>0</v>
      </c>
      <c r="BN1919" s="1">
        <v>38.0</v>
      </c>
      <c r="BO1919" s="1">
        <v>4.0</v>
      </c>
      <c r="BQ1919" s="1">
        <v>129.0</v>
      </c>
      <c r="BR1919" s="1">
        <v>129.0</v>
      </c>
      <c r="BS1919" s="1">
        <v>129.0</v>
      </c>
      <c r="BU1919" s="1" t="s">
        <v>211</v>
      </c>
      <c r="BV1919" s="1" t="s">
        <v>206</v>
      </c>
      <c r="BW1919" s="1" t="s">
        <v>210</v>
      </c>
      <c r="BX1919" s="1" t="s">
        <v>239</v>
      </c>
      <c r="BY1919" s="1" t="s">
        <v>433</v>
      </c>
      <c r="BZ1919" s="1" t="s">
        <v>209</v>
      </c>
      <c r="CA1919" s="1" t="s">
        <v>210</v>
      </c>
      <c r="CB1919" s="1" t="s">
        <v>239</v>
      </c>
      <c r="CC1919" s="1" t="s">
        <v>495</v>
      </c>
      <c r="CD1919" s="1" t="s">
        <v>206</v>
      </c>
      <c r="CE1919" s="1" t="s">
        <v>210</v>
      </c>
      <c r="CF1919" s="1" t="s">
        <v>239</v>
      </c>
      <c r="CG1919" s="1" t="s">
        <v>495</v>
      </c>
      <c r="CH1919" s="1" t="s">
        <v>209</v>
      </c>
      <c r="CI1919" s="1" t="s">
        <v>210</v>
      </c>
      <c r="CJ1919" s="1" t="s">
        <v>239</v>
      </c>
      <c r="CK1919" s="1" t="s">
        <v>269</v>
      </c>
      <c r="CL1919" s="1" t="s">
        <v>209</v>
      </c>
      <c r="CM1919" s="1" t="s">
        <v>210</v>
      </c>
      <c r="CN1919" s="1" t="s">
        <v>239</v>
      </c>
      <c r="CO1919" s="1" t="s">
        <v>699</v>
      </c>
      <c r="CP1919" s="1" t="s">
        <v>42</v>
      </c>
      <c r="CQ1919" s="1" t="s">
        <v>210</v>
      </c>
      <c r="CR1919" s="1" t="s">
        <v>229</v>
      </c>
      <c r="CS1919" s="1" t="s">
        <v>269</v>
      </c>
      <c r="CT1919" s="1" t="s">
        <v>206</v>
      </c>
      <c r="CU1919" s="1" t="s">
        <v>207</v>
      </c>
      <c r="CV1919" s="1" t="s">
        <v>239</v>
      </c>
      <c r="CW1919" s="1" t="s">
        <v>211</v>
      </c>
      <c r="CX1919" s="1" t="s">
        <v>206</v>
      </c>
      <c r="CY1919" s="1" t="s">
        <v>210</v>
      </c>
      <c r="CZ1919" s="1" t="s">
        <v>239</v>
      </c>
      <c r="DA1919" s="1" t="s">
        <v>200</v>
      </c>
      <c r="DC1919" s="1" t="s">
        <v>678</v>
      </c>
      <c r="DD1919" s="1" t="s">
        <v>3633</v>
      </c>
      <c r="DE1919" s="1" t="s">
        <v>273</v>
      </c>
      <c r="DF1919" s="1" t="s">
        <v>219</v>
      </c>
      <c r="DG1919" s="1" t="s">
        <v>337</v>
      </c>
      <c r="DH1919" s="1" t="s">
        <v>220</v>
      </c>
      <c r="DI1919" s="1" t="s">
        <v>221</v>
      </c>
      <c r="DJ1919" s="1" t="s">
        <v>222</v>
      </c>
      <c r="DK1919" s="1" t="s">
        <v>223</v>
      </c>
      <c r="DL1919" s="1" t="s">
        <v>224</v>
      </c>
      <c r="DM1919" s="1" t="s">
        <v>338</v>
      </c>
      <c r="DO1919" s="1" t="s">
        <v>8449</v>
      </c>
      <c r="DP1919" s="1" t="s">
        <v>340</v>
      </c>
      <c r="DQ1919" s="1" t="s">
        <v>228</v>
      </c>
      <c r="DR1919" s="1" t="s">
        <v>588</v>
      </c>
      <c r="DS1919" s="1" t="s">
        <v>230</v>
      </c>
      <c r="DU1919" s="1" t="s">
        <v>3890</v>
      </c>
      <c r="DV1919" s="1" t="s">
        <v>11717</v>
      </c>
      <c r="DW1919" s="1" t="s">
        <v>370</v>
      </c>
      <c r="DX1919" s="1" t="s">
        <v>234</v>
      </c>
      <c r="DY1919" s="1" t="s">
        <v>1006</v>
      </c>
      <c r="DZ1919" s="1" t="s">
        <v>14662</v>
      </c>
      <c r="EA1919" s="1" t="s">
        <v>344</v>
      </c>
      <c r="EC1919" s="1" t="s">
        <v>237</v>
      </c>
      <c r="ED1919" s="1" t="s">
        <v>407</v>
      </c>
      <c r="EE1919" s="1" t="s">
        <v>493</v>
      </c>
      <c r="EG1919" s="1" t="s">
        <v>450</v>
      </c>
      <c r="EH1919" s="1" t="s">
        <v>449</v>
      </c>
      <c r="EI1919" s="1" t="s">
        <v>408</v>
      </c>
      <c r="EL1919" s="1" t="s">
        <v>2681</v>
      </c>
      <c r="EM1919" s="1" t="s">
        <v>42</v>
      </c>
      <c r="EN1919" s="1" t="s">
        <v>210</v>
      </c>
      <c r="EO1919" s="1" t="s">
        <v>229</v>
      </c>
      <c r="EP1919" s="1" t="s">
        <v>663</v>
      </c>
      <c r="EQ1919" s="1" t="s">
        <v>206</v>
      </c>
      <c r="ER1919" s="1" t="s">
        <v>207</v>
      </c>
      <c r="ES1919" s="1" t="s">
        <v>229</v>
      </c>
      <c r="ET1919" s="1" t="s">
        <v>1745</v>
      </c>
      <c r="EU1919" s="1" t="s">
        <v>206</v>
      </c>
      <c r="EV1919" s="1" t="s">
        <v>207</v>
      </c>
      <c r="EW1919" s="1" t="s">
        <v>229</v>
      </c>
      <c r="EY1919" s="1" t="s">
        <v>238</v>
      </c>
      <c r="FC1919" s="1" t="s">
        <v>238</v>
      </c>
      <c r="FF1919" s="1" t="s">
        <v>239</v>
      </c>
      <c r="FG1919" s="1" t="s">
        <v>192</v>
      </c>
      <c r="FH1919" s="1" t="s">
        <v>192</v>
      </c>
      <c r="FJ1919" s="1" t="s">
        <v>1419</v>
      </c>
      <c r="FK1919" s="1" t="s">
        <v>229</v>
      </c>
      <c r="FL1919" s="1" t="s">
        <v>4369</v>
      </c>
      <c r="FM1919" s="1">
        <v>23120.0</v>
      </c>
      <c r="FN1919" s="1" t="s">
        <v>4370</v>
      </c>
      <c r="FO1919" s="1" t="s">
        <v>18446</v>
      </c>
      <c r="FP1919" s="1">
        <v>219411.0</v>
      </c>
      <c r="FQ1919" s="1" t="s">
        <v>18447</v>
      </c>
      <c r="FR1919" s="1">
        <v>242807.0</v>
      </c>
      <c r="FU1919" s="1" t="s">
        <v>1438</v>
      </c>
      <c r="FV1919" s="1" t="s">
        <v>200</v>
      </c>
      <c r="FW1919" s="1" t="s">
        <v>290</v>
      </c>
      <c r="FZ1919" s="1" t="s">
        <v>229</v>
      </c>
      <c r="GA1919" s="1" t="s">
        <v>291</v>
      </c>
      <c r="GB1919" s="2">
        <v>42046.0</v>
      </c>
      <c r="GC1919" s="1" t="s">
        <v>18448</v>
      </c>
    </row>
    <row r="1920">
      <c r="A1920" s="1">
        <v>215000.0</v>
      </c>
      <c r="B1920" s="1" t="s">
        <v>185</v>
      </c>
      <c r="C1920" s="1" t="str">
        <f>"08717088"</f>
        <v>08717088</v>
      </c>
      <c r="D1920" s="1" t="s">
        <v>186</v>
      </c>
      <c r="F1920" s="1" t="str">
        <f>"118"</f>
        <v>118</v>
      </c>
      <c r="G1920" s="2">
        <v>41884.0</v>
      </c>
      <c r="H1920" s="1">
        <v>245000.0</v>
      </c>
      <c r="I1920" s="1">
        <v>72.0</v>
      </c>
      <c r="J1920" s="1">
        <v>220000.0</v>
      </c>
      <c r="K1920" s="2">
        <v>41955.0</v>
      </c>
      <c r="L1920" s="1">
        <v>72.0</v>
      </c>
      <c r="M1920" s="2">
        <v>41955.0</v>
      </c>
      <c r="N1920" s="1" t="s">
        <v>356</v>
      </c>
      <c r="O1920" s="2">
        <v>42038.0</v>
      </c>
      <c r="P1920" s="1">
        <v>42335.0</v>
      </c>
      <c r="Q1920" s="1">
        <v>3940.0</v>
      </c>
      <c r="R1920" s="1">
        <v>3212.0</v>
      </c>
      <c r="S1920" s="1">
        <v>107.0</v>
      </c>
      <c r="T1920" s="1" t="s">
        <v>18449</v>
      </c>
      <c r="U1920" s="1" t="s">
        <v>1174</v>
      </c>
      <c r="V1920" s="1" t="s">
        <v>3438</v>
      </c>
      <c r="W1920" s="1">
        <v>60118.0</v>
      </c>
      <c r="Y1920" s="1" t="s">
        <v>18450</v>
      </c>
      <c r="Z1920" s="1" t="s">
        <v>296</v>
      </c>
      <c r="AA1920" s="1" t="s">
        <v>192</v>
      </c>
      <c r="AB1920" s="1" t="s">
        <v>193</v>
      </c>
      <c r="AD1920" s="1" t="s">
        <v>3440</v>
      </c>
      <c r="AE1920" s="1" t="s">
        <v>325</v>
      </c>
      <c r="AF1920" s="1" t="s">
        <v>810</v>
      </c>
      <c r="AH1920" s="1" t="s">
        <v>18451</v>
      </c>
      <c r="AI1920" s="1">
        <v>0.538</v>
      </c>
      <c r="AK1920" s="1">
        <v>8.0</v>
      </c>
      <c r="AL1920" s="1">
        <v>4.0</v>
      </c>
      <c r="AM1920" s="1">
        <v>2.0</v>
      </c>
      <c r="AN1920" s="1">
        <v>1.0</v>
      </c>
      <c r="AO1920" s="1" t="s">
        <v>198</v>
      </c>
      <c r="AP1920" s="1">
        <v>1.0</v>
      </c>
      <c r="AQ1920" s="1" t="s">
        <v>229</v>
      </c>
      <c r="AR1920" s="1" t="s">
        <v>200</v>
      </c>
      <c r="AS1920" s="1" t="s">
        <v>199</v>
      </c>
      <c r="AT1920" s="1">
        <v>2.5</v>
      </c>
      <c r="AV1920" s="1" t="s">
        <v>200</v>
      </c>
      <c r="AW1920" s="1">
        <v>6269.82</v>
      </c>
      <c r="AX1920" s="1">
        <v>2012.0</v>
      </c>
      <c r="AY1920" s="1" t="s">
        <v>387</v>
      </c>
      <c r="AZ1920" s="1" t="s">
        <v>200</v>
      </c>
      <c r="BA1920" s="1" t="str">
        <f>"0328201004"</f>
        <v>0328201004</v>
      </c>
      <c r="BB1920" s="1" t="s">
        <v>200</v>
      </c>
      <c r="BC1920" s="1">
        <v>0.0</v>
      </c>
      <c r="BD1920" s="1">
        <v>215000.0</v>
      </c>
      <c r="BE1920" s="2">
        <v>41884.0</v>
      </c>
      <c r="BF1920" s="2" t="s">
        <v>18452</v>
      </c>
      <c r="BG1920" s="1" t="s">
        <v>1092</v>
      </c>
      <c r="BH1920" s="1">
        <v>0.0</v>
      </c>
      <c r="BI1920" s="1" t="s">
        <v>1093</v>
      </c>
      <c r="BJ1920" s="1" t="s">
        <v>1094</v>
      </c>
      <c r="BK1920" s="1" t="s">
        <v>204</v>
      </c>
      <c r="BL1920" s="1" t="str">
        <f>"14"</f>
        <v>14</v>
      </c>
      <c r="BM1920" s="1" t="str">
        <f>"0"</f>
        <v>0</v>
      </c>
      <c r="BN1920" s="1">
        <v>34.0</v>
      </c>
      <c r="BO1920" s="1">
        <v>0.0</v>
      </c>
      <c r="BQ1920" s="1">
        <v>300.0</v>
      </c>
      <c r="BR1920" s="1">
        <v>300.0</v>
      </c>
      <c r="BS1920" s="1">
        <v>300.0</v>
      </c>
      <c r="BU1920" s="1" t="s">
        <v>1534</v>
      </c>
      <c r="BV1920" s="1" t="s">
        <v>206</v>
      </c>
      <c r="BW1920" s="1" t="s">
        <v>207</v>
      </c>
      <c r="BX1920" s="1" t="s">
        <v>431</v>
      </c>
      <c r="BY1920" s="1" t="s">
        <v>211</v>
      </c>
      <c r="BZ1920" s="1" t="s">
        <v>206</v>
      </c>
      <c r="CA1920" s="1" t="s">
        <v>210</v>
      </c>
      <c r="CB1920" s="1" t="s">
        <v>261</v>
      </c>
      <c r="CC1920" s="1" t="s">
        <v>212</v>
      </c>
      <c r="CD1920" s="1" t="s">
        <v>206</v>
      </c>
      <c r="CE1920" s="1" t="s">
        <v>207</v>
      </c>
      <c r="CF1920" s="1" t="s">
        <v>431</v>
      </c>
      <c r="CG1920" s="1" t="s">
        <v>331</v>
      </c>
      <c r="CH1920" s="1" t="s">
        <v>206</v>
      </c>
      <c r="CI1920" s="1" t="s">
        <v>210</v>
      </c>
      <c r="CJ1920" s="1" t="s">
        <v>261</v>
      </c>
      <c r="CK1920" s="1" t="s">
        <v>331</v>
      </c>
      <c r="CL1920" s="1" t="s">
        <v>206</v>
      </c>
      <c r="CM1920" s="1" t="s">
        <v>210</v>
      </c>
      <c r="CN1920" s="1" t="s">
        <v>1549</v>
      </c>
      <c r="CO1920" s="1" t="s">
        <v>495</v>
      </c>
      <c r="CP1920" s="1" t="s">
        <v>206</v>
      </c>
      <c r="CQ1920" s="1" t="s">
        <v>617</v>
      </c>
      <c r="CR1920" s="1" t="s">
        <v>1549</v>
      </c>
      <c r="CS1920" s="1" t="s">
        <v>375</v>
      </c>
      <c r="CT1920" s="1" t="s">
        <v>206</v>
      </c>
      <c r="CU1920" s="1" t="s">
        <v>207</v>
      </c>
      <c r="CV1920" s="1" t="s">
        <v>229</v>
      </c>
      <c r="CW1920" s="1" t="s">
        <v>664</v>
      </c>
      <c r="CX1920" s="1" t="s">
        <v>206</v>
      </c>
      <c r="CY1920" s="1" t="s">
        <v>207</v>
      </c>
      <c r="CZ1920" s="1" t="s">
        <v>431</v>
      </c>
      <c r="DA1920" s="1" t="s">
        <v>200</v>
      </c>
      <c r="DC1920" s="1" t="s">
        <v>545</v>
      </c>
      <c r="DD1920" s="1" t="s">
        <v>855</v>
      </c>
      <c r="DE1920" s="1" t="s">
        <v>273</v>
      </c>
      <c r="DF1920" s="1" t="s">
        <v>6423</v>
      </c>
      <c r="DG1920" s="1" t="s">
        <v>1553</v>
      </c>
      <c r="DH1920" s="1" t="s">
        <v>220</v>
      </c>
      <c r="DI1920" s="1" t="s">
        <v>221</v>
      </c>
      <c r="DJ1920" s="1" t="s">
        <v>222</v>
      </c>
      <c r="DL1920" s="1" t="s">
        <v>1853</v>
      </c>
      <c r="DM1920" s="1" t="s">
        <v>229</v>
      </c>
      <c r="DO1920" s="1" t="s">
        <v>486</v>
      </c>
      <c r="DP1920" s="1" t="s">
        <v>340</v>
      </c>
      <c r="DQ1920" s="1" t="s">
        <v>441</v>
      </c>
      <c r="DR1920" s="1" t="s">
        <v>229</v>
      </c>
      <c r="DS1920" s="1" t="s">
        <v>230</v>
      </c>
      <c r="DU1920" s="1" t="s">
        <v>3073</v>
      </c>
      <c r="DV1920" s="1" t="s">
        <v>232</v>
      </c>
      <c r="DW1920" s="1" t="s">
        <v>764</v>
      </c>
      <c r="DX1920" s="1" t="s">
        <v>234</v>
      </c>
      <c r="DY1920" s="1" t="s">
        <v>3183</v>
      </c>
      <c r="DZ1920" s="1" t="s">
        <v>18453</v>
      </c>
      <c r="EA1920" s="1" t="s">
        <v>683</v>
      </c>
      <c r="EC1920" s="1" t="s">
        <v>685</v>
      </c>
      <c r="ED1920" s="1" t="s">
        <v>407</v>
      </c>
      <c r="EE1920" s="1" t="s">
        <v>493</v>
      </c>
      <c r="EM1920" s="1" t="s">
        <v>238</v>
      </c>
      <c r="EQ1920" s="1" t="s">
        <v>238</v>
      </c>
      <c r="EU1920" s="1" t="s">
        <v>238</v>
      </c>
      <c r="EY1920" s="1" t="s">
        <v>238</v>
      </c>
      <c r="FC1920" s="1" t="s">
        <v>238</v>
      </c>
      <c r="FF1920" s="1" t="s">
        <v>239</v>
      </c>
      <c r="FG1920" s="1" t="s">
        <v>200</v>
      </c>
      <c r="FH1920" s="1" t="s">
        <v>192</v>
      </c>
      <c r="FJ1920" s="1" t="s">
        <v>1469</v>
      </c>
      <c r="FK1920" s="1" t="s">
        <v>229</v>
      </c>
      <c r="FL1920" s="1" t="s">
        <v>18454</v>
      </c>
      <c r="FM1920" s="1">
        <v>21962.0</v>
      </c>
      <c r="FN1920" s="1" t="s">
        <v>18455</v>
      </c>
      <c r="FO1920" s="1" t="s">
        <v>18456</v>
      </c>
      <c r="FP1920" s="1">
        <v>220376.0</v>
      </c>
      <c r="FQ1920" s="1" t="s">
        <v>18455</v>
      </c>
      <c r="FU1920" s="1" t="s">
        <v>18457</v>
      </c>
      <c r="FV1920" s="1" t="s">
        <v>200</v>
      </c>
      <c r="FW1920" s="1" t="s">
        <v>290</v>
      </c>
      <c r="FZ1920" s="1" t="s">
        <v>229</v>
      </c>
      <c r="GA1920" s="1" t="s">
        <v>291</v>
      </c>
      <c r="GB1920" s="2">
        <v>42038.0</v>
      </c>
      <c r="GC1920" s="1" t="s">
        <v>18458</v>
      </c>
    </row>
    <row r="1921">
      <c r="A1921" s="1">
        <v>215148.0</v>
      </c>
      <c r="B1921" s="1" t="s">
        <v>185</v>
      </c>
      <c r="C1921" s="1" t="str">
        <f>"08716408"</f>
        <v>08716408</v>
      </c>
      <c r="D1921" s="1" t="s">
        <v>186</v>
      </c>
      <c r="F1921" s="1" t="str">
        <f>"107"</f>
        <v>107</v>
      </c>
      <c r="G1921" s="2">
        <v>41884.0</v>
      </c>
      <c r="H1921" s="1">
        <v>273000.0</v>
      </c>
      <c r="I1921" s="1">
        <v>134.0</v>
      </c>
      <c r="J1921" s="1">
        <v>209900.0</v>
      </c>
      <c r="K1921" s="2">
        <v>42017.0</v>
      </c>
      <c r="L1921" s="1">
        <v>134.0</v>
      </c>
      <c r="M1921" s="2">
        <v>42017.0</v>
      </c>
      <c r="N1921" s="1" t="s">
        <v>187</v>
      </c>
      <c r="O1921" s="2">
        <v>42075.0</v>
      </c>
      <c r="P1921" s="1">
        <v>232748.0</v>
      </c>
      <c r="Q1921" s="1">
        <v>23025.0</v>
      </c>
      <c r="R1921" s="1">
        <v>5248.0</v>
      </c>
      <c r="S1921" s="1">
        <v>503.0</v>
      </c>
      <c r="T1921" s="1" t="s">
        <v>2884</v>
      </c>
      <c r="U1921" s="1" t="s">
        <v>1015</v>
      </c>
      <c r="V1921" s="1" t="s">
        <v>294</v>
      </c>
      <c r="W1921" s="1">
        <v>60107.0</v>
      </c>
      <c r="Y1921" s="1" t="s">
        <v>18459</v>
      </c>
      <c r="Z1921" s="1">
        <v>1990.0</v>
      </c>
      <c r="AA1921" s="1" t="s">
        <v>200</v>
      </c>
      <c r="AB1921" s="1" t="s">
        <v>193</v>
      </c>
      <c r="AD1921" s="1" t="s">
        <v>297</v>
      </c>
      <c r="AE1921" s="1" t="s">
        <v>195</v>
      </c>
      <c r="AF1921" s="1" t="s">
        <v>298</v>
      </c>
      <c r="AH1921" s="1">
        <v>16098.0</v>
      </c>
      <c r="AI1921" s="1">
        <v>0.3696</v>
      </c>
      <c r="AK1921" s="1">
        <v>8.0</v>
      </c>
      <c r="AL1921" s="1">
        <v>4.0</v>
      </c>
      <c r="AM1921" s="1">
        <v>2.0</v>
      </c>
      <c r="AN1921" s="1">
        <v>1.0</v>
      </c>
      <c r="AO1921" s="1" t="s">
        <v>198</v>
      </c>
      <c r="AP1921" s="1">
        <v>1.0</v>
      </c>
      <c r="AQ1921" s="1" t="s">
        <v>198</v>
      </c>
      <c r="AR1921" s="1" t="s">
        <v>200</v>
      </c>
      <c r="AS1921" s="1" t="s">
        <v>199</v>
      </c>
      <c r="AT1921" s="1">
        <v>2.0</v>
      </c>
      <c r="AV1921" s="1" t="s">
        <v>200</v>
      </c>
      <c r="AW1921" s="1">
        <v>6921.87</v>
      </c>
      <c r="AX1921" s="1">
        <v>2012.0</v>
      </c>
      <c r="AZ1921" s="1" t="s">
        <v>200</v>
      </c>
      <c r="BA1921" s="1" t="str">
        <f>"06133170030000"</f>
        <v>06133170030000</v>
      </c>
      <c r="BC1921" s="1">
        <v>1880.0</v>
      </c>
      <c r="BD1921" s="1">
        <v>215148.0</v>
      </c>
      <c r="BE1921" s="2">
        <v>41884.0</v>
      </c>
      <c r="BF1921" s="1" t="s">
        <v>18460</v>
      </c>
      <c r="BH1921" s="1">
        <v>0.0</v>
      </c>
      <c r="BK1921" s="1" t="s">
        <v>204</v>
      </c>
      <c r="BL1921" s="1" t="str">
        <f t="shared" ref="BL1921:BM1921" si="1268">""</f>
        <v/>
      </c>
      <c r="BM1921" s="1" t="str">
        <f t="shared" si="1268"/>
        <v/>
      </c>
      <c r="BQ1921" s="1">
        <v>46.0</v>
      </c>
      <c r="BR1921" s="1">
        <v>46.0</v>
      </c>
      <c r="BS1921" s="1">
        <v>46.0</v>
      </c>
      <c r="BU1921" s="1" t="s">
        <v>205</v>
      </c>
      <c r="BV1921" s="1" t="s">
        <v>206</v>
      </c>
      <c r="BY1921" s="1" t="s">
        <v>758</v>
      </c>
      <c r="BZ1921" s="1" t="s">
        <v>209</v>
      </c>
      <c r="CC1921" s="1" t="s">
        <v>543</v>
      </c>
      <c r="CD1921" s="1" t="s">
        <v>206</v>
      </c>
      <c r="CG1921" s="1" t="s">
        <v>264</v>
      </c>
      <c r="CH1921" s="1" t="s">
        <v>209</v>
      </c>
      <c r="CK1921" s="1" t="s">
        <v>543</v>
      </c>
      <c r="CL1921" s="1" t="s">
        <v>209</v>
      </c>
      <c r="CO1921" s="1" t="s">
        <v>543</v>
      </c>
      <c r="CP1921" s="1" t="s">
        <v>209</v>
      </c>
      <c r="CS1921" s="1" t="s">
        <v>5640</v>
      </c>
      <c r="CT1921" s="1" t="s">
        <v>206</v>
      </c>
      <c r="CW1921" s="1" t="s">
        <v>955</v>
      </c>
      <c r="CX1921" s="1" t="s">
        <v>267</v>
      </c>
      <c r="DA1921" s="1" t="s">
        <v>200</v>
      </c>
      <c r="DC1921" s="1" t="s">
        <v>435</v>
      </c>
      <c r="DE1921" s="1" t="s">
        <v>273</v>
      </c>
      <c r="DF1921" s="1" t="s">
        <v>219</v>
      </c>
      <c r="DH1921" s="1" t="s">
        <v>220</v>
      </c>
      <c r="DJ1921" s="1" t="s">
        <v>222</v>
      </c>
      <c r="DL1921" s="1" t="s">
        <v>224</v>
      </c>
      <c r="DM1921" s="1" t="s">
        <v>229</v>
      </c>
      <c r="DQ1921" s="1" t="s">
        <v>441</v>
      </c>
      <c r="DR1921" s="1" t="s">
        <v>229</v>
      </c>
      <c r="DV1921" s="1" t="s">
        <v>232</v>
      </c>
      <c r="DW1921" s="1" t="s">
        <v>2602</v>
      </c>
      <c r="DX1921" s="1" t="s">
        <v>234</v>
      </c>
      <c r="EC1921" s="1" t="s">
        <v>237</v>
      </c>
      <c r="EM1921" s="1" t="s">
        <v>238</v>
      </c>
      <c r="EQ1921" s="1" t="s">
        <v>238</v>
      </c>
      <c r="EU1921" s="1" t="s">
        <v>238</v>
      </c>
      <c r="EY1921" s="1" t="s">
        <v>238</v>
      </c>
      <c r="FC1921" s="1" t="s">
        <v>238</v>
      </c>
      <c r="FF1921" s="1" t="s">
        <v>239</v>
      </c>
      <c r="FG1921" s="1" t="s">
        <v>192</v>
      </c>
      <c r="FH1921" s="1" t="s">
        <v>192</v>
      </c>
      <c r="FJ1921" s="1" t="s">
        <v>4863</v>
      </c>
      <c r="FK1921" s="1" t="s">
        <v>229</v>
      </c>
      <c r="FL1921" s="1" t="s">
        <v>2263</v>
      </c>
      <c r="FM1921" s="1">
        <v>8094.0</v>
      </c>
      <c r="FN1921" s="1" t="s">
        <v>2264</v>
      </c>
      <c r="FO1921" s="1" t="s">
        <v>4111</v>
      </c>
      <c r="FP1921" s="1">
        <v>28736.0</v>
      </c>
      <c r="FQ1921" s="1" t="s">
        <v>4112</v>
      </c>
      <c r="FU1921" s="1" t="s">
        <v>16499</v>
      </c>
      <c r="FV1921" s="1" t="s">
        <v>200</v>
      </c>
      <c r="FW1921" s="1" t="s">
        <v>1307</v>
      </c>
      <c r="FZ1921" s="1" t="s">
        <v>229</v>
      </c>
      <c r="GA1921" s="1" t="s">
        <v>291</v>
      </c>
      <c r="GB1921" s="2">
        <v>42076.0</v>
      </c>
      <c r="GC1921" s="1" t="s">
        <v>10386</v>
      </c>
    </row>
    <row r="1922">
      <c r="A1922" s="1">
        <v>380000.0</v>
      </c>
      <c r="B1922" s="1" t="s">
        <v>185</v>
      </c>
      <c r="C1922" s="1" t="str">
        <f>"08721777"</f>
        <v>08721777</v>
      </c>
      <c r="D1922" s="1" t="s">
        <v>186</v>
      </c>
      <c r="F1922" s="1" t="str">
        <f>"8009"</f>
        <v>8009</v>
      </c>
      <c r="G1922" s="2">
        <v>41890.0</v>
      </c>
      <c r="H1922" s="1">
        <v>399000.0</v>
      </c>
      <c r="I1922" s="1">
        <v>112.0</v>
      </c>
      <c r="J1922" s="1">
        <v>395000.0</v>
      </c>
      <c r="K1922" s="2">
        <v>41926.0</v>
      </c>
      <c r="L1922" s="1">
        <v>37.0</v>
      </c>
      <c r="M1922" s="2">
        <v>41926.0</v>
      </c>
      <c r="N1922" s="1" t="s">
        <v>187</v>
      </c>
      <c r="O1922" s="2">
        <v>41969.0</v>
      </c>
      <c r="P1922" s="1">
        <v>84590.0</v>
      </c>
      <c r="Q1922" s="1">
        <v>1746.0</v>
      </c>
      <c r="S1922" s="1">
        <v>7738.0</v>
      </c>
      <c r="T1922" s="1" t="s">
        <v>3519</v>
      </c>
      <c r="U1922" s="1" t="s">
        <v>189</v>
      </c>
      <c r="V1922" s="1" t="s">
        <v>190</v>
      </c>
      <c r="W1922" s="1">
        <v>60631.0</v>
      </c>
      <c r="Y1922" s="1" t="s">
        <v>18461</v>
      </c>
      <c r="Z1922" s="1">
        <v>1952.0</v>
      </c>
      <c r="AA1922" s="1" t="s">
        <v>192</v>
      </c>
      <c r="AB1922" s="1" t="s">
        <v>193</v>
      </c>
      <c r="AD1922" s="1" t="s">
        <v>194</v>
      </c>
      <c r="AE1922" s="1" t="s">
        <v>195</v>
      </c>
      <c r="AF1922" s="1" t="s">
        <v>196</v>
      </c>
      <c r="AH1922" s="1" t="s">
        <v>18462</v>
      </c>
      <c r="AK1922" s="1">
        <v>8.0</v>
      </c>
      <c r="AL1922" s="1">
        <v>4.0</v>
      </c>
      <c r="AM1922" s="1">
        <v>2.0</v>
      </c>
      <c r="AN1922" s="1">
        <v>0.0</v>
      </c>
      <c r="AO1922" s="1" t="s">
        <v>229</v>
      </c>
      <c r="AP1922" s="1">
        <v>1.0</v>
      </c>
      <c r="AQ1922" s="1" t="s">
        <v>198</v>
      </c>
      <c r="AR1922" s="1" t="s">
        <v>192</v>
      </c>
      <c r="AS1922" s="1" t="s">
        <v>199</v>
      </c>
      <c r="AT1922" s="1">
        <v>2.5</v>
      </c>
      <c r="AV1922" s="1" t="s">
        <v>200</v>
      </c>
      <c r="AW1922" s="1">
        <v>6073.19</v>
      </c>
      <c r="AX1922" s="1">
        <v>2012.0</v>
      </c>
      <c r="AY1922" s="1" t="s">
        <v>387</v>
      </c>
      <c r="AZ1922" s="1" t="s">
        <v>200</v>
      </c>
      <c r="BA1922" s="1" t="str">
        <f>"09253120400000"</f>
        <v>09253120400000</v>
      </c>
      <c r="BB1922" s="1" t="s">
        <v>200</v>
      </c>
      <c r="BC1922" s="1">
        <v>1942.0</v>
      </c>
      <c r="BD1922" s="1">
        <v>380000.0</v>
      </c>
      <c r="BE1922" s="2">
        <v>41890.0</v>
      </c>
      <c r="BF1922" s="2" t="s">
        <v>18463</v>
      </c>
      <c r="BG1922" s="1" t="s">
        <v>2632</v>
      </c>
      <c r="BH1922" s="1">
        <v>0.0</v>
      </c>
      <c r="BJ1922" s="1" t="s">
        <v>1222</v>
      </c>
      <c r="BK1922" s="1" t="s">
        <v>204</v>
      </c>
      <c r="BL1922" s="1" t="str">
        <f>"7700"</f>
        <v>7700</v>
      </c>
      <c r="BM1922" s="1" t="str">
        <f>"0"</f>
        <v>0</v>
      </c>
      <c r="BN1922" s="1">
        <v>7738.0</v>
      </c>
      <c r="BO1922" s="1">
        <v>0.0</v>
      </c>
      <c r="BQ1922" s="1">
        <v>299.0</v>
      </c>
      <c r="BR1922" s="1">
        <v>299.0</v>
      </c>
      <c r="BS1922" s="1">
        <v>299.0</v>
      </c>
      <c r="BU1922" s="1" t="s">
        <v>496</v>
      </c>
      <c r="BV1922" s="1" t="s">
        <v>206</v>
      </c>
      <c r="BW1922" s="1" t="s">
        <v>207</v>
      </c>
      <c r="BX1922" s="1" t="s">
        <v>261</v>
      </c>
      <c r="BY1922" s="1" t="s">
        <v>215</v>
      </c>
      <c r="BZ1922" s="1" t="s">
        <v>206</v>
      </c>
      <c r="CA1922" s="1" t="s">
        <v>207</v>
      </c>
      <c r="CB1922" s="1" t="s">
        <v>431</v>
      </c>
      <c r="CC1922" s="1" t="s">
        <v>2647</v>
      </c>
      <c r="CD1922" s="1" t="s">
        <v>206</v>
      </c>
      <c r="CE1922" s="1" t="s">
        <v>207</v>
      </c>
      <c r="CF1922" s="1" t="s">
        <v>261</v>
      </c>
      <c r="CG1922" s="1" t="s">
        <v>302</v>
      </c>
      <c r="CH1922" s="1" t="s">
        <v>206</v>
      </c>
      <c r="CI1922" s="1" t="s">
        <v>207</v>
      </c>
      <c r="CJ1922" s="1" t="s">
        <v>431</v>
      </c>
      <c r="CK1922" s="1" t="s">
        <v>392</v>
      </c>
      <c r="CL1922" s="1" t="s">
        <v>206</v>
      </c>
      <c r="CM1922" s="1" t="s">
        <v>207</v>
      </c>
      <c r="CN1922" s="1" t="s">
        <v>431</v>
      </c>
      <c r="CO1922" s="1" t="s">
        <v>1395</v>
      </c>
      <c r="CP1922" s="1" t="s">
        <v>206</v>
      </c>
      <c r="CQ1922" s="1" t="s">
        <v>207</v>
      </c>
      <c r="CR1922" s="1" t="s">
        <v>431</v>
      </c>
      <c r="CS1922" s="1" t="s">
        <v>647</v>
      </c>
      <c r="CT1922" s="1" t="s">
        <v>206</v>
      </c>
      <c r="CU1922" s="1" t="s">
        <v>207</v>
      </c>
      <c r="CV1922" s="1" t="s">
        <v>431</v>
      </c>
      <c r="CW1922" s="1" t="s">
        <v>1519</v>
      </c>
      <c r="CX1922" s="1" t="s">
        <v>206</v>
      </c>
      <c r="CY1922" s="1" t="s">
        <v>207</v>
      </c>
      <c r="CZ1922" s="1" t="s">
        <v>431</v>
      </c>
      <c r="DA1922" s="1" t="s">
        <v>200</v>
      </c>
      <c r="DC1922" s="1" t="s">
        <v>702</v>
      </c>
      <c r="DD1922" s="1" t="s">
        <v>396</v>
      </c>
      <c r="DE1922" s="1" t="s">
        <v>273</v>
      </c>
      <c r="DF1922" s="1" t="s">
        <v>219</v>
      </c>
      <c r="DG1922" s="1" t="s">
        <v>337</v>
      </c>
      <c r="DH1922" s="1" t="s">
        <v>365</v>
      </c>
      <c r="DI1922" s="1" t="s">
        <v>366</v>
      </c>
      <c r="DJ1922" s="1" t="s">
        <v>222</v>
      </c>
      <c r="DL1922" s="1" t="s">
        <v>223</v>
      </c>
      <c r="DM1922" s="1" t="s">
        <v>1143</v>
      </c>
      <c r="DO1922" s="1" t="s">
        <v>717</v>
      </c>
      <c r="DP1922" s="1" t="s">
        <v>340</v>
      </c>
      <c r="DQ1922" s="1" t="s">
        <v>794</v>
      </c>
      <c r="DR1922" s="1" t="s">
        <v>229</v>
      </c>
      <c r="DS1922" s="1" t="s">
        <v>368</v>
      </c>
      <c r="DU1922" s="1" t="s">
        <v>3487</v>
      </c>
      <c r="DV1922" s="1" t="s">
        <v>232</v>
      </c>
      <c r="DW1922" s="1" t="s">
        <v>279</v>
      </c>
      <c r="DX1922" s="1" t="s">
        <v>234</v>
      </c>
      <c r="DY1922" s="1" t="s">
        <v>553</v>
      </c>
      <c r="DZ1922" s="1" t="s">
        <v>282</v>
      </c>
      <c r="EA1922" s="1" t="s">
        <v>683</v>
      </c>
      <c r="EC1922" s="1" t="s">
        <v>685</v>
      </c>
      <c r="ED1922" s="1" t="s">
        <v>407</v>
      </c>
      <c r="EE1922" s="1" t="s">
        <v>493</v>
      </c>
      <c r="EM1922" s="1" t="s">
        <v>238</v>
      </c>
      <c r="EQ1922" s="1" t="s">
        <v>238</v>
      </c>
      <c r="EU1922" s="1" t="s">
        <v>238</v>
      </c>
      <c r="EY1922" s="1" t="s">
        <v>238</v>
      </c>
      <c r="FC1922" s="1" t="s">
        <v>238</v>
      </c>
      <c r="FF1922" s="1" t="s">
        <v>239</v>
      </c>
      <c r="FG1922" s="1" t="s">
        <v>192</v>
      </c>
      <c r="FH1922" s="1" t="s">
        <v>192</v>
      </c>
      <c r="FJ1922" s="1" t="s">
        <v>18464</v>
      </c>
      <c r="FK1922" s="1" t="s">
        <v>229</v>
      </c>
      <c r="FL1922" s="1" t="s">
        <v>974</v>
      </c>
      <c r="FM1922" s="1">
        <v>14470.0</v>
      </c>
      <c r="FN1922" s="1" t="s">
        <v>3407</v>
      </c>
      <c r="FO1922" s="1" t="s">
        <v>18465</v>
      </c>
      <c r="FP1922" s="1">
        <v>186726.0</v>
      </c>
      <c r="FR1922" s="1">
        <v>186774.0</v>
      </c>
      <c r="FU1922" s="1" t="s">
        <v>18466</v>
      </c>
      <c r="FV1922" s="1" t="s">
        <v>192</v>
      </c>
      <c r="FW1922" s="1" t="s">
        <v>290</v>
      </c>
      <c r="FX1922" s="1" t="s">
        <v>246</v>
      </c>
      <c r="FZ1922" s="1" t="s">
        <v>229</v>
      </c>
      <c r="GA1922" s="1" t="s">
        <v>291</v>
      </c>
      <c r="GB1922" s="2">
        <v>41975.0</v>
      </c>
      <c r="GC1922" s="1" t="s">
        <v>18467</v>
      </c>
    </row>
    <row r="1923">
      <c r="A1923" s="1">
        <v>225000.0</v>
      </c>
      <c r="B1923" s="1" t="s">
        <v>185</v>
      </c>
      <c r="C1923" s="1" t="str">
        <f>"08716680"</f>
        <v>08716680</v>
      </c>
      <c r="D1923" s="1" t="s">
        <v>186</v>
      </c>
      <c r="F1923" s="1" t="str">
        <f>"560"</f>
        <v>560</v>
      </c>
      <c r="G1923" s="2">
        <v>41884.0</v>
      </c>
      <c r="H1923" s="1">
        <v>239900.0</v>
      </c>
      <c r="I1923" s="1">
        <v>74.0</v>
      </c>
      <c r="J1923" s="1">
        <v>229900.0</v>
      </c>
      <c r="K1923" s="2">
        <v>41957.0</v>
      </c>
      <c r="L1923" s="1">
        <v>74.0</v>
      </c>
      <c r="M1923" s="2">
        <v>41957.0</v>
      </c>
      <c r="N1923" s="1" t="s">
        <v>634</v>
      </c>
      <c r="O1923" s="2">
        <v>42039.0</v>
      </c>
      <c r="P1923" s="1">
        <v>231926.0</v>
      </c>
      <c r="Q1923" s="1">
        <v>23196.0</v>
      </c>
      <c r="S1923" s="1">
        <v>1902.0</v>
      </c>
      <c r="T1923" s="1" t="s">
        <v>18468</v>
      </c>
      <c r="U1923" s="1" t="s">
        <v>189</v>
      </c>
      <c r="V1923" s="1" t="s">
        <v>845</v>
      </c>
      <c r="W1923" s="1">
        <v>60560.0</v>
      </c>
      <c r="Y1923" s="1" t="s">
        <v>18469</v>
      </c>
      <c r="Z1923" s="1">
        <v>2005.0</v>
      </c>
      <c r="AA1923" s="1" t="s">
        <v>200</v>
      </c>
      <c r="AB1923" s="1" t="s">
        <v>467</v>
      </c>
      <c r="AC1923" s="1" t="s">
        <v>15076</v>
      </c>
      <c r="AD1923" s="1" t="s">
        <v>848</v>
      </c>
      <c r="AE1923" s="1" t="s">
        <v>849</v>
      </c>
      <c r="AF1923" s="1" t="s">
        <v>2153</v>
      </c>
      <c r="AH1923" s="1" t="s">
        <v>18470</v>
      </c>
      <c r="AI1923" s="1">
        <v>0.39</v>
      </c>
      <c r="AK1923" s="1">
        <v>10.0</v>
      </c>
      <c r="AL1923" s="1">
        <v>4.0</v>
      </c>
      <c r="AM1923" s="1">
        <v>2.0</v>
      </c>
      <c r="AN1923" s="1">
        <v>1.0</v>
      </c>
      <c r="AO1923" s="1" t="s">
        <v>198</v>
      </c>
      <c r="AP1923" s="1">
        <v>1.0</v>
      </c>
      <c r="AQ1923" s="1" t="s">
        <v>1314</v>
      </c>
      <c r="AR1923" s="1" t="s">
        <v>200</v>
      </c>
      <c r="AS1923" s="1" t="s">
        <v>199</v>
      </c>
      <c r="AT1923" s="1">
        <v>3.0</v>
      </c>
      <c r="AV1923" s="1" t="s">
        <v>200</v>
      </c>
      <c r="AW1923" s="1">
        <v>9513.9</v>
      </c>
      <c r="AX1923" s="1">
        <v>2013.0</v>
      </c>
      <c r="AY1923" s="1" t="s">
        <v>387</v>
      </c>
      <c r="AZ1923" s="1" t="s">
        <v>192</v>
      </c>
      <c r="BA1923" s="1" t="str">
        <f>"0504381001"</f>
        <v>0504381001</v>
      </c>
      <c r="BB1923" s="1" t="s">
        <v>200</v>
      </c>
      <c r="BC1923" s="1">
        <v>3300.0</v>
      </c>
      <c r="BD1923" s="1">
        <v>225000.0</v>
      </c>
      <c r="BE1923" s="2">
        <v>41884.0</v>
      </c>
      <c r="BF1923" s="2" t="s">
        <v>18471</v>
      </c>
      <c r="BH1923" s="1">
        <v>141.0</v>
      </c>
      <c r="BK1923" s="1" t="s">
        <v>1952</v>
      </c>
      <c r="BL1923" s="1" t="str">
        <f t="shared" ref="BL1923:BM1923" si="1269">""</f>
        <v/>
      </c>
      <c r="BM1923" s="1" t="str">
        <f t="shared" si="1269"/>
        <v/>
      </c>
      <c r="BQ1923" s="1">
        <v>115.0</v>
      </c>
      <c r="BR1923" s="1">
        <v>115.0</v>
      </c>
      <c r="BS1923" s="1">
        <v>115.0</v>
      </c>
      <c r="BU1923" s="1" t="s">
        <v>362</v>
      </c>
      <c r="BV1923" s="1" t="s">
        <v>206</v>
      </c>
      <c r="BW1923" s="1" t="s">
        <v>210</v>
      </c>
      <c r="BY1923" s="1" t="s">
        <v>434</v>
      </c>
      <c r="BZ1923" s="1" t="s">
        <v>209</v>
      </c>
      <c r="CA1923" s="1" t="s">
        <v>210</v>
      </c>
      <c r="CC1923" s="1" t="s">
        <v>924</v>
      </c>
      <c r="CD1923" s="1" t="s">
        <v>206</v>
      </c>
      <c r="CE1923" s="1" t="s">
        <v>210</v>
      </c>
      <c r="CG1923" s="1" t="s">
        <v>331</v>
      </c>
      <c r="CH1923" s="1" t="s">
        <v>209</v>
      </c>
      <c r="CI1923" s="1" t="s">
        <v>210</v>
      </c>
      <c r="CK1923" s="1" t="s">
        <v>392</v>
      </c>
      <c r="CL1923" s="1" t="s">
        <v>209</v>
      </c>
      <c r="CM1923" s="1" t="s">
        <v>210</v>
      </c>
      <c r="CO1923" s="1" t="s">
        <v>584</v>
      </c>
      <c r="CP1923" s="1" t="s">
        <v>209</v>
      </c>
      <c r="CQ1923" s="1" t="s">
        <v>210</v>
      </c>
      <c r="CS1923" s="1" t="s">
        <v>331</v>
      </c>
      <c r="CT1923" s="1" t="s">
        <v>206</v>
      </c>
      <c r="CU1923" s="1" t="s">
        <v>207</v>
      </c>
      <c r="CW1923" s="1" t="s">
        <v>9077</v>
      </c>
      <c r="CX1923" s="1" t="s">
        <v>206</v>
      </c>
      <c r="CY1923" s="1" t="s">
        <v>210</v>
      </c>
      <c r="DA1923" s="1" t="s">
        <v>200</v>
      </c>
      <c r="DC1923" s="1" t="s">
        <v>481</v>
      </c>
      <c r="DD1923" s="1" t="s">
        <v>731</v>
      </c>
      <c r="DE1923" s="1" t="s">
        <v>273</v>
      </c>
      <c r="DF1923" s="1" t="s">
        <v>219</v>
      </c>
      <c r="DH1923" s="1" t="s">
        <v>220</v>
      </c>
      <c r="DI1923" s="1" t="s">
        <v>10709</v>
      </c>
      <c r="DJ1923" s="1" t="s">
        <v>222</v>
      </c>
      <c r="DL1923" s="1" t="s">
        <v>223</v>
      </c>
      <c r="DM1923" s="1" t="s">
        <v>338</v>
      </c>
      <c r="DO1923" s="1" t="s">
        <v>1004</v>
      </c>
      <c r="DP1923" s="1" t="s">
        <v>340</v>
      </c>
      <c r="DQ1923" s="1" t="s">
        <v>441</v>
      </c>
      <c r="DR1923" s="1" t="s">
        <v>229</v>
      </c>
      <c r="DS1923" s="1" t="s">
        <v>230</v>
      </c>
      <c r="DU1923" s="1" t="s">
        <v>1355</v>
      </c>
      <c r="DV1923" s="1" t="s">
        <v>2381</v>
      </c>
      <c r="DW1923" s="1" t="s">
        <v>489</v>
      </c>
      <c r="DX1923" s="1" t="s">
        <v>234</v>
      </c>
      <c r="DY1923" s="1" t="s">
        <v>3488</v>
      </c>
      <c r="DZ1923" s="1" t="s">
        <v>796</v>
      </c>
      <c r="EA1923" s="1" t="s">
        <v>344</v>
      </c>
      <c r="EC1923" s="1" t="s">
        <v>237</v>
      </c>
      <c r="EG1923" s="1" t="s">
        <v>556</v>
      </c>
      <c r="EH1923" s="1" t="s">
        <v>494</v>
      </c>
      <c r="EL1923" s="1" t="s">
        <v>433</v>
      </c>
      <c r="EM1923" s="1" t="s">
        <v>206</v>
      </c>
      <c r="EN1923" s="1" t="s">
        <v>207</v>
      </c>
      <c r="EP1923" s="1" t="s">
        <v>363</v>
      </c>
      <c r="EQ1923" s="1" t="s">
        <v>206</v>
      </c>
      <c r="ER1923" s="1" t="s">
        <v>210</v>
      </c>
      <c r="EU1923" s="1" t="s">
        <v>238</v>
      </c>
      <c r="EY1923" s="1" t="s">
        <v>238</v>
      </c>
      <c r="FC1923" s="1" t="s">
        <v>238</v>
      </c>
      <c r="FF1923" s="1" t="s">
        <v>239</v>
      </c>
      <c r="FG1923" s="1" t="s">
        <v>192</v>
      </c>
      <c r="FH1923" s="1" t="s">
        <v>192</v>
      </c>
      <c r="FJ1923" s="1" t="s">
        <v>18472</v>
      </c>
      <c r="FK1923" s="1" t="s">
        <v>229</v>
      </c>
      <c r="FL1923" s="1" t="s">
        <v>3377</v>
      </c>
      <c r="FM1923" s="1">
        <v>24215.0</v>
      </c>
      <c r="FN1923" s="1" t="s">
        <v>3378</v>
      </c>
      <c r="FO1923" s="1" t="s">
        <v>18473</v>
      </c>
      <c r="FP1923" s="1">
        <v>237716.0</v>
      </c>
      <c r="FQ1923" s="1" t="s">
        <v>18474</v>
      </c>
      <c r="FU1923" s="1" t="s">
        <v>18475</v>
      </c>
      <c r="FV1923" s="1" t="s">
        <v>200</v>
      </c>
      <c r="FW1923" s="1" t="s">
        <v>631</v>
      </c>
      <c r="FZ1923" s="1" t="s">
        <v>229</v>
      </c>
      <c r="GA1923" s="1" t="s">
        <v>291</v>
      </c>
      <c r="GB1923" s="2">
        <v>42039.0</v>
      </c>
    </row>
    <row r="1924">
      <c r="A1924" s="1">
        <v>207000.0</v>
      </c>
      <c r="B1924" s="1" t="s">
        <v>185</v>
      </c>
      <c r="C1924" s="1" t="str">
        <f>"08712638"</f>
        <v>08712638</v>
      </c>
      <c r="D1924" s="1" t="s">
        <v>186</v>
      </c>
      <c r="F1924" s="1" t="str">
        <f>"8019"</f>
        <v>8019</v>
      </c>
      <c r="G1924" s="2">
        <v>41878.0</v>
      </c>
      <c r="H1924" s="1">
        <v>189500.0</v>
      </c>
      <c r="I1924" s="1">
        <v>78.0</v>
      </c>
      <c r="J1924" s="1">
        <v>189500.0</v>
      </c>
      <c r="K1924" s="2">
        <v>41881.0</v>
      </c>
      <c r="L1924" s="1">
        <v>4.0</v>
      </c>
      <c r="M1924" s="2">
        <v>41881.0</v>
      </c>
      <c r="N1924" s="1" t="s">
        <v>356</v>
      </c>
      <c r="O1924" s="2">
        <v>42042.0</v>
      </c>
      <c r="P1924" s="1">
        <v>116817.0</v>
      </c>
      <c r="Q1924" s="1">
        <v>15904.0</v>
      </c>
      <c r="S1924" s="1">
        <v>2617.0</v>
      </c>
      <c r="T1924" s="1" t="s">
        <v>1458</v>
      </c>
      <c r="U1924" s="1" t="s">
        <v>189</v>
      </c>
      <c r="V1924" s="1" t="s">
        <v>190</v>
      </c>
      <c r="W1924" s="1">
        <v>60639.0</v>
      </c>
      <c r="Y1924" s="1" t="s">
        <v>18476</v>
      </c>
      <c r="Z1924" s="1">
        <v>1927.0</v>
      </c>
      <c r="AA1924" s="1" t="s">
        <v>192</v>
      </c>
      <c r="AB1924" s="1" t="s">
        <v>193</v>
      </c>
      <c r="AD1924" s="1" t="s">
        <v>194</v>
      </c>
      <c r="AE1924" s="1" t="s">
        <v>195</v>
      </c>
      <c r="AF1924" s="1" t="s">
        <v>196</v>
      </c>
      <c r="AH1924" s="1" t="s">
        <v>779</v>
      </c>
      <c r="AI1924" s="1">
        <v>0.0854</v>
      </c>
      <c r="AK1924" s="1">
        <v>8.0</v>
      </c>
      <c r="AL1924" s="1">
        <v>3.0</v>
      </c>
      <c r="AM1924" s="1">
        <v>2.0</v>
      </c>
      <c r="AN1924" s="1">
        <v>1.0</v>
      </c>
      <c r="AO1924" s="1" t="s">
        <v>229</v>
      </c>
      <c r="AQ1924" s="1" t="s">
        <v>198</v>
      </c>
      <c r="AR1924" s="1" t="s">
        <v>192</v>
      </c>
      <c r="AS1924" s="1" t="s">
        <v>199</v>
      </c>
      <c r="AT1924" s="1">
        <v>2.0</v>
      </c>
      <c r="AV1924" s="1" t="s">
        <v>200</v>
      </c>
      <c r="AW1924" s="1">
        <v>3204.71</v>
      </c>
      <c r="AX1924" s="1">
        <v>2013.0</v>
      </c>
      <c r="AY1924" s="1" t="s">
        <v>387</v>
      </c>
      <c r="AZ1924" s="1" t="s">
        <v>200</v>
      </c>
      <c r="BA1924" s="1" t="str">
        <f>"13294140150000"</f>
        <v>13294140150000</v>
      </c>
      <c r="BB1924" s="1" t="s">
        <v>200</v>
      </c>
      <c r="BC1924" s="1">
        <v>1600.0</v>
      </c>
      <c r="BD1924" s="1">
        <v>207000.0</v>
      </c>
      <c r="BE1924" s="2">
        <v>41878.0</v>
      </c>
      <c r="BF1924" s="2" t="s">
        <v>18477</v>
      </c>
      <c r="BH1924" s="1">
        <v>0.0</v>
      </c>
      <c r="BK1924" s="1" t="s">
        <v>204</v>
      </c>
      <c r="BL1924" s="1" t="str">
        <f>"2617"</f>
        <v>2617</v>
      </c>
      <c r="BM1924" s="1" t="str">
        <f>"0"</f>
        <v>0</v>
      </c>
      <c r="BN1924" s="1">
        <v>5700.0</v>
      </c>
      <c r="BO1924" s="1">
        <v>0.0</v>
      </c>
      <c r="BQ1924" s="1">
        <v>299.0</v>
      </c>
      <c r="BR1924" s="1">
        <v>299.0</v>
      </c>
      <c r="BS1924" s="1">
        <v>299.0</v>
      </c>
      <c r="BU1924" s="1" t="s">
        <v>390</v>
      </c>
      <c r="BV1924" s="1" t="s">
        <v>206</v>
      </c>
      <c r="BW1924" s="1" t="s">
        <v>207</v>
      </c>
      <c r="BY1924" s="1" t="s">
        <v>729</v>
      </c>
      <c r="BZ1924" s="1" t="s">
        <v>209</v>
      </c>
      <c r="CA1924" s="1" t="s">
        <v>207</v>
      </c>
      <c r="CC1924" s="1" t="s">
        <v>584</v>
      </c>
      <c r="CD1924" s="1" t="s">
        <v>206</v>
      </c>
      <c r="CE1924" s="1" t="s">
        <v>207</v>
      </c>
      <c r="CG1924" s="1" t="s">
        <v>452</v>
      </c>
      <c r="CH1924" s="1" t="s">
        <v>209</v>
      </c>
      <c r="CI1924" s="1" t="s">
        <v>207</v>
      </c>
      <c r="CK1924" s="1" t="s">
        <v>623</v>
      </c>
      <c r="CL1924" s="1" t="s">
        <v>206</v>
      </c>
      <c r="CM1924" s="1" t="s">
        <v>207</v>
      </c>
      <c r="CO1924" s="1" t="s">
        <v>264</v>
      </c>
      <c r="CP1924" s="1" t="s">
        <v>42</v>
      </c>
      <c r="CQ1924" s="1" t="s">
        <v>268</v>
      </c>
      <c r="CS1924" s="1" t="s">
        <v>212</v>
      </c>
      <c r="CT1924" s="1" t="s">
        <v>206</v>
      </c>
      <c r="CW1924" s="1" t="s">
        <v>1939</v>
      </c>
      <c r="CX1924" s="1" t="s">
        <v>206</v>
      </c>
      <c r="DA1924" s="1" t="s">
        <v>200</v>
      </c>
      <c r="DC1924" s="1" t="s">
        <v>785</v>
      </c>
      <c r="DD1924" s="1" t="s">
        <v>518</v>
      </c>
      <c r="DE1924" s="1" t="s">
        <v>229</v>
      </c>
      <c r="DF1924" s="1" t="s">
        <v>787</v>
      </c>
      <c r="DH1924" s="1" t="s">
        <v>365</v>
      </c>
      <c r="DI1924" s="1" t="s">
        <v>1223</v>
      </c>
      <c r="DJ1924" s="1" t="s">
        <v>222</v>
      </c>
      <c r="DL1924" s="1" t="s">
        <v>224</v>
      </c>
      <c r="DM1924" s="1" t="s">
        <v>229</v>
      </c>
      <c r="DP1924" s="1" t="s">
        <v>340</v>
      </c>
      <c r="DQ1924" s="1" t="s">
        <v>794</v>
      </c>
      <c r="DR1924" s="1" t="s">
        <v>229</v>
      </c>
      <c r="DS1924" s="1" t="s">
        <v>230</v>
      </c>
      <c r="DV1924" s="1" t="s">
        <v>409</v>
      </c>
      <c r="DW1924" s="1" t="s">
        <v>279</v>
      </c>
      <c r="DX1924" s="1" t="s">
        <v>18478</v>
      </c>
      <c r="DY1924" s="1" t="s">
        <v>2240</v>
      </c>
      <c r="EA1924" s="1" t="s">
        <v>1695</v>
      </c>
      <c r="EC1924" s="1" t="s">
        <v>237</v>
      </c>
      <c r="ED1924" s="1" t="s">
        <v>18479</v>
      </c>
      <c r="EE1924" s="1" t="s">
        <v>1334</v>
      </c>
      <c r="EG1924" s="1" t="s">
        <v>409</v>
      </c>
      <c r="EL1924" s="1" t="s">
        <v>1746</v>
      </c>
      <c r="EM1924" s="1" t="s">
        <v>209</v>
      </c>
      <c r="EN1924" s="1" t="s">
        <v>207</v>
      </c>
      <c r="EO1924" s="1" t="s">
        <v>239</v>
      </c>
      <c r="EQ1924" s="1" t="s">
        <v>238</v>
      </c>
      <c r="EU1924" s="1" t="s">
        <v>238</v>
      </c>
      <c r="EY1924" s="1" t="s">
        <v>238</v>
      </c>
      <c r="FC1924" s="1" t="s">
        <v>238</v>
      </c>
      <c r="FF1924" s="1" t="s">
        <v>239</v>
      </c>
      <c r="FG1924" s="1" t="s">
        <v>192</v>
      </c>
      <c r="FH1924" s="1" t="s">
        <v>192</v>
      </c>
      <c r="FJ1924" s="1" t="s">
        <v>18480</v>
      </c>
      <c r="FK1924" s="1" t="s">
        <v>1586</v>
      </c>
      <c r="FL1924" s="1" t="s">
        <v>18481</v>
      </c>
      <c r="FM1924" s="1">
        <v>8426.0</v>
      </c>
      <c r="FN1924" s="1" t="s">
        <v>18482</v>
      </c>
      <c r="FO1924" s="1" t="s">
        <v>18483</v>
      </c>
      <c r="FP1924" s="1">
        <v>28990.0</v>
      </c>
      <c r="FQ1924" s="1" t="s">
        <v>18484</v>
      </c>
      <c r="FU1924" s="1" t="s">
        <v>18485</v>
      </c>
      <c r="FV1924" s="1" t="s">
        <v>200</v>
      </c>
      <c r="FW1924" s="1" t="s">
        <v>567</v>
      </c>
      <c r="FX1924" s="1" t="s">
        <v>238</v>
      </c>
      <c r="FZ1924" s="1" t="s">
        <v>229</v>
      </c>
      <c r="GA1924" s="1" t="s">
        <v>291</v>
      </c>
      <c r="GB1924" s="2">
        <v>42042.0</v>
      </c>
      <c r="GC1924" s="1" t="s">
        <v>18486</v>
      </c>
    </row>
    <row r="1925">
      <c r="A1925" s="1">
        <v>177500.0</v>
      </c>
      <c r="B1925" s="1" t="s">
        <v>185</v>
      </c>
      <c r="C1925" s="1" t="str">
        <f>"08713692"</f>
        <v>08713692</v>
      </c>
      <c r="D1925" s="1" t="s">
        <v>186</v>
      </c>
      <c r="F1925" s="1" t="str">
        <f>"118"</f>
        <v>118</v>
      </c>
      <c r="G1925" s="2">
        <v>41879.0</v>
      </c>
      <c r="H1925" s="1">
        <v>200000.0</v>
      </c>
      <c r="I1925" s="1">
        <v>85.0</v>
      </c>
      <c r="J1925" s="1">
        <v>185000.0</v>
      </c>
      <c r="K1925" s="2">
        <v>41963.0</v>
      </c>
      <c r="L1925" s="1">
        <v>85.0</v>
      </c>
      <c r="M1925" s="2">
        <v>41963.0</v>
      </c>
      <c r="N1925" s="1" t="s">
        <v>187</v>
      </c>
      <c r="O1925" s="2">
        <v>41992.0</v>
      </c>
      <c r="P1925" s="1">
        <v>87675.0</v>
      </c>
      <c r="Q1925" s="1">
        <v>8666.0</v>
      </c>
      <c r="S1925" s="1">
        <v>645.0</v>
      </c>
      <c r="T1925" s="1" t="s">
        <v>18487</v>
      </c>
      <c r="U1925" s="1" t="s">
        <v>569</v>
      </c>
      <c r="V1925" s="1" t="s">
        <v>1086</v>
      </c>
      <c r="W1925" s="1">
        <v>60118.0</v>
      </c>
      <c r="Y1925" s="1" t="s">
        <v>18488</v>
      </c>
      <c r="Z1925" s="1">
        <v>1973.0</v>
      </c>
      <c r="AA1925" s="1" t="s">
        <v>192</v>
      </c>
      <c r="AB1925" s="1" t="s">
        <v>193</v>
      </c>
      <c r="AC1925" s="1" t="s">
        <v>18489</v>
      </c>
      <c r="AD1925" s="1" t="s">
        <v>810</v>
      </c>
      <c r="AE1925" s="1" t="s">
        <v>325</v>
      </c>
      <c r="AF1925" s="1" t="s">
        <v>810</v>
      </c>
      <c r="AH1925" s="1" t="s">
        <v>7299</v>
      </c>
      <c r="AI1925" s="1">
        <v>0.225</v>
      </c>
      <c r="AK1925" s="1">
        <v>8.0</v>
      </c>
      <c r="AL1925" s="1">
        <v>4.0</v>
      </c>
      <c r="AM1925" s="1">
        <v>2.0</v>
      </c>
      <c r="AN1925" s="1">
        <v>1.0</v>
      </c>
      <c r="AO1925" s="1" t="s">
        <v>198</v>
      </c>
      <c r="AP1925" s="1">
        <v>1.0</v>
      </c>
      <c r="AQ1925" s="1" t="s">
        <v>472</v>
      </c>
      <c r="AR1925" s="1" t="s">
        <v>192</v>
      </c>
      <c r="AS1925" s="1" t="s">
        <v>199</v>
      </c>
      <c r="AT1925" s="1">
        <v>2.0</v>
      </c>
      <c r="AV1925" s="1" t="s">
        <v>200</v>
      </c>
      <c r="AW1925" s="1">
        <v>6243.28</v>
      </c>
      <c r="AX1925" s="1">
        <v>2012.0</v>
      </c>
      <c r="AZ1925" s="1" t="s">
        <v>200</v>
      </c>
      <c r="BA1925" s="1" t="str">
        <f>"0327253007"</f>
        <v>0327253007</v>
      </c>
      <c r="BC1925" s="1">
        <v>0.0</v>
      </c>
      <c r="BD1925" s="1">
        <v>177500.0</v>
      </c>
      <c r="BE1925" s="2">
        <v>41879.0</v>
      </c>
      <c r="BF1925" s="2" t="s">
        <v>18490</v>
      </c>
      <c r="BH1925" s="1">
        <v>0.0</v>
      </c>
      <c r="BK1925" s="1" t="s">
        <v>204</v>
      </c>
      <c r="BL1925" s="1" t="str">
        <f t="shared" ref="BL1925:BM1925" si="1270">""</f>
        <v/>
      </c>
      <c r="BM1925" s="1" t="str">
        <f t="shared" si="1270"/>
        <v/>
      </c>
      <c r="BQ1925" s="1">
        <v>300.0</v>
      </c>
      <c r="BR1925" s="1">
        <v>300.0</v>
      </c>
      <c r="BS1925" s="1">
        <v>300.0</v>
      </c>
      <c r="BU1925" s="1" t="s">
        <v>955</v>
      </c>
      <c r="BV1925" s="1" t="s">
        <v>206</v>
      </c>
      <c r="BW1925" s="1" t="s">
        <v>210</v>
      </c>
      <c r="BY1925" s="1" t="s">
        <v>331</v>
      </c>
      <c r="BZ1925" s="1" t="s">
        <v>209</v>
      </c>
      <c r="CA1925" s="1" t="s">
        <v>210</v>
      </c>
      <c r="CC1925" s="1" t="s">
        <v>699</v>
      </c>
      <c r="CD1925" s="1" t="s">
        <v>206</v>
      </c>
      <c r="CE1925" s="1" t="s">
        <v>210</v>
      </c>
      <c r="CG1925" s="1" t="s">
        <v>332</v>
      </c>
      <c r="CH1925" s="1" t="s">
        <v>209</v>
      </c>
      <c r="CI1925" s="1" t="s">
        <v>210</v>
      </c>
      <c r="CK1925" s="1" t="s">
        <v>264</v>
      </c>
      <c r="CL1925" s="1" t="s">
        <v>209</v>
      </c>
      <c r="CM1925" s="1" t="s">
        <v>210</v>
      </c>
      <c r="CO1925" s="1" t="s">
        <v>215</v>
      </c>
      <c r="CP1925" s="1" t="s">
        <v>267</v>
      </c>
      <c r="CQ1925" s="1" t="s">
        <v>210</v>
      </c>
      <c r="CS1925" s="1" t="s">
        <v>331</v>
      </c>
      <c r="CT1925" s="1" t="s">
        <v>206</v>
      </c>
      <c r="CU1925" s="1" t="s">
        <v>1790</v>
      </c>
      <c r="CW1925" s="1" t="s">
        <v>1892</v>
      </c>
      <c r="CX1925" s="1" t="s">
        <v>267</v>
      </c>
      <c r="CY1925" s="1" t="s">
        <v>210</v>
      </c>
      <c r="DA1925" s="1" t="s">
        <v>200</v>
      </c>
      <c r="DC1925" s="1" t="s">
        <v>517</v>
      </c>
      <c r="DD1925" s="1" t="s">
        <v>518</v>
      </c>
      <c r="DE1925" s="1" t="s">
        <v>273</v>
      </c>
      <c r="DF1925" s="1" t="s">
        <v>219</v>
      </c>
      <c r="DH1925" s="1" t="s">
        <v>220</v>
      </c>
      <c r="DI1925" s="1" t="s">
        <v>308</v>
      </c>
      <c r="DJ1925" s="1" t="s">
        <v>222</v>
      </c>
      <c r="DL1925" s="1" t="s">
        <v>13677</v>
      </c>
      <c r="DM1925" s="1" t="s">
        <v>338</v>
      </c>
      <c r="DP1925" s="1" t="s">
        <v>340</v>
      </c>
      <c r="DQ1925" s="1" t="s">
        <v>228</v>
      </c>
      <c r="DR1925" s="1" t="s">
        <v>229</v>
      </c>
      <c r="DU1925" s="1" t="s">
        <v>18491</v>
      </c>
      <c r="DV1925" s="1" t="s">
        <v>1270</v>
      </c>
      <c r="DW1925" s="1" t="s">
        <v>588</v>
      </c>
      <c r="DX1925" s="1" t="s">
        <v>234</v>
      </c>
      <c r="DY1925" s="1" t="s">
        <v>6595</v>
      </c>
      <c r="DZ1925" s="1" t="s">
        <v>446</v>
      </c>
      <c r="EB1925" s="1" t="s">
        <v>15551</v>
      </c>
      <c r="EC1925" s="1" t="s">
        <v>4613</v>
      </c>
      <c r="EG1925" s="1" t="s">
        <v>1270</v>
      </c>
      <c r="EL1925" s="1" t="s">
        <v>516</v>
      </c>
      <c r="EM1925" s="1" t="s">
        <v>42</v>
      </c>
      <c r="EQ1925" s="1" t="s">
        <v>238</v>
      </c>
      <c r="EU1925" s="1" t="s">
        <v>238</v>
      </c>
      <c r="EY1925" s="1" t="s">
        <v>238</v>
      </c>
      <c r="FC1925" s="1" t="s">
        <v>238</v>
      </c>
      <c r="FF1925" s="1" t="s">
        <v>239</v>
      </c>
      <c r="FG1925" s="1" t="s">
        <v>192</v>
      </c>
      <c r="FH1925" s="1" t="s">
        <v>192</v>
      </c>
      <c r="FJ1925" s="1" t="s">
        <v>1450</v>
      </c>
      <c r="FK1925" s="1" t="s">
        <v>229</v>
      </c>
      <c r="FL1925" s="1" t="s">
        <v>819</v>
      </c>
      <c r="FM1925" s="1">
        <v>5547.0</v>
      </c>
      <c r="FN1925" s="1" t="s">
        <v>820</v>
      </c>
      <c r="FO1925" s="1" t="s">
        <v>18492</v>
      </c>
      <c r="FP1925" s="1">
        <v>55525.0</v>
      </c>
      <c r="FQ1925" s="1" t="s">
        <v>18493</v>
      </c>
      <c r="FU1925" s="1" t="s">
        <v>18494</v>
      </c>
      <c r="FV1925" s="1" t="s">
        <v>200</v>
      </c>
      <c r="FW1925" s="1" t="s">
        <v>290</v>
      </c>
      <c r="FZ1925" s="1" t="s">
        <v>229</v>
      </c>
      <c r="GA1925" s="1" t="s">
        <v>291</v>
      </c>
      <c r="GB1925" s="2">
        <v>41992.0</v>
      </c>
      <c r="GC1925" s="1" t="s">
        <v>18495</v>
      </c>
    </row>
    <row r="1926">
      <c r="A1926" s="1">
        <v>135000.0</v>
      </c>
      <c r="B1926" s="1" t="s">
        <v>185</v>
      </c>
      <c r="C1926" s="1" t="str">
        <f>"08715416"</f>
        <v>08715416</v>
      </c>
      <c r="D1926" s="1" t="s">
        <v>186</v>
      </c>
      <c r="F1926" s="1" t="str">
        <f>"110"</f>
        <v>110</v>
      </c>
      <c r="G1926" s="2">
        <v>41881.0</v>
      </c>
      <c r="H1926" s="1">
        <v>154900.0</v>
      </c>
      <c r="I1926" s="1">
        <v>139.0</v>
      </c>
      <c r="J1926" s="1">
        <v>133500.0</v>
      </c>
      <c r="K1926" s="2">
        <v>42019.0</v>
      </c>
      <c r="L1926" s="1">
        <v>139.0</v>
      </c>
      <c r="M1926" s="2">
        <v>42019.0</v>
      </c>
      <c r="N1926" s="1" t="s">
        <v>356</v>
      </c>
      <c r="O1926" s="2">
        <v>42053.0</v>
      </c>
      <c r="P1926" s="1">
        <v>84659.0</v>
      </c>
      <c r="Q1926" s="1">
        <v>8074.0</v>
      </c>
      <c r="R1926" s="1">
        <v>4000.0</v>
      </c>
      <c r="S1926" s="1">
        <v>105.0</v>
      </c>
      <c r="T1926" s="1" t="s">
        <v>18496</v>
      </c>
      <c r="U1926" s="1" t="s">
        <v>1174</v>
      </c>
      <c r="V1926" s="1" t="s">
        <v>807</v>
      </c>
      <c r="W1926" s="1">
        <v>60110.0</v>
      </c>
      <c r="Y1926" s="1" t="s">
        <v>18497</v>
      </c>
      <c r="Z1926" s="1" t="s">
        <v>296</v>
      </c>
      <c r="AA1926" s="1" t="s">
        <v>192</v>
      </c>
      <c r="AB1926" s="1" t="s">
        <v>193</v>
      </c>
      <c r="AD1926" s="1" t="s">
        <v>809</v>
      </c>
      <c r="AE1926" s="1" t="s">
        <v>325</v>
      </c>
      <c r="AF1926" s="1" t="s">
        <v>810</v>
      </c>
      <c r="AH1926" s="1" t="s">
        <v>18498</v>
      </c>
      <c r="AK1926" s="1">
        <v>6.0</v>
      </c>
      <c r="AL1926" s="1">
        <v>4.0</v>
      </c>
      <c r="AM1926" s="1">
        <v>2.0</v>
      </c>
      <c r="AN1926" s="1">
        <v>0.0</v>
      </c>
      <c r="AO1926" s="1" t="s">
        <v>198</v>
      </c>
      <c r="AP1926" s="1">
        <v>0.0</v>
      </c>
      <c r="AQ1926" s="1" t="s">
        <v>229</v>
      </c>
      <c r="AS1926" s="1" t="s">
        <v>199</v>
      </c>
      <c r="AT1926" s="1">
        <v>1.5</v>
      </c>
      <c r="AV1926" s="1" t="s">
        <v>200</v>
      </c>
      <c r="AW1926" s="1">
        <v>3031.58</v>
      </c>
      <c r="AX1926" s="1">
        <v>2013.0</v>
      </c>
      <c r="AY1926" s="1" t="s">
        <v>229</v>
      </c>
      <c r="AZ1926" s="1" t="s">
        <v>545</v>
      </c>
      <c r="BA1926" s="1" t="str">
        <f>"0313153005"</f>
        <v>0313153005</v>
      </c>
      <c r="BC1926" s="1">
        <v>1330.0</v>
      </c>
      <c r="BD1926" s="1">
        <v>135000.0</v>
      </c>
      <c r="BE1926" s="2">
        <v>41881.0</v>
      </c>
      <c r="BF1926" s="2" t="s">
        <v>18499</v>
      </c>
      <c r="BG1926" s="1" t="s">
        <v>13790</v>
      </c>
      <c r="BH1926" s="1">
        <v>0.0</v>
      </c>
      <c r="BI1926" s="1" t="s">
        <v>7665</v>
      </c>
      <c r="BJ1926" s="1" t="s">
        <v>1094</v>
      </c>
      <c r="BK1926" s="1" t="s">
        <v>204</v>
      </c>
      <c r="BL1926" s="1" t="str">
        <f>"16"</f>
        <v>16</v>
      </c>
      <c r="BM1926" s="1" t="str">
        <f>"0"</f>
        <v>0</v>
      </c>
      <c r="BN1926" s="1">
        <v>31.0</v>
      </c>
      <c r="BO1926" s="1">
        <v>0.0</v>
      </c>
      <c r="BQ1926" s="1">
        <v>300.0</v>
      </c>
      <c r="BR1926" s="1">
        <v>300.0</v>
      </c>
      <c r="BS1926" s="1">
        <v>300.0</v>
      </c>
      <c r="BU1926" s="1" t="s">
        <v>362</v>
      </c>
      <c r="BV1926" s="1" t="s">
        <v>206</v>
      </c>
      <c r="BW1926" s="1" t="s">
        <v>301</v>
      </c>
      <c r="BX1926" s="1" t="s">
        <v>431</v>
      </c>
      <c r="BY1926" s="1" t="s">
        <v>215</v>
      </c>
      <c r="BZ1926" s="1" t="s">
        <v>206</v>
      </c>
      <c r="CA1926" s="1" t="s">
        <v>210</v>
      </c>
      <c r="CB1926" s="1" t="s">
        <v>229</v>
      </c>
      <c r="CD1926" s="1" t="s">
        <v>204</v>
      </c>
      <c r="CG1926" s="1" t="s">
        <v>266</v>
      </c>
      <c r="CH1926" s="1" t="s">
        <v>206</v>
      </c>
      <c r="CI1926" s="1" t="s">
        <v>210</v>
      </c>
      <c r="CJ1926" s="1" t="s">
        <v>229</v>
      </c>
      <c r="CK1926" s="1" t="s">
        <v>265</v>
      </c>
      <c r="CL1926" s="1" t="s">
        <v>206</v>
      </c>
      <c r="CM1926" s="1" t="s">
        <v>210</v>
      </c>
      <c r="CN1926" s="1" t="s">
        <v>229</v>
      </c>
      <c r="CO1926" s="1" t="s">
        <v>262</v>
      </c>
      <c r="CP1926" s="1" t="s">
        <v>206</v>
      </c>
      <c r="CQ1926" s="1" t="s">
        <v>210</v>
      </c>
      <c r="CS1926" s="1" t="s">
        <v>452</v>
      </c>
      <c r="CT1926" s="1" t="s">
        <v>206</v>
      </c>
      <c r="CU1926" s="1" t="s">
        <v>301</v>
      </c>
      <c r="CV1926" s="1" t="s">
        <v>431</v>
      </c>
      <c r="CX1926" s="1" t="s">
        <v>204</v>
      </c>
      <c r="DA1926" s="1" t="s">
        <v>200</v>
      </c>
      <c r="DC1926" s="1" t="s">
        <v>545</v>
      </c>
      <c r="DE1926" s="1" t="s">
        <v>273</v>
      </c>
      <c r="DF1926" s="1" t="s">
        <v>219</v>
      </c>
      <c r="DH1926" s="1" t="s">
        <v>220</v>
      </c>
      <c r="DJ1926" s="1" t="s">
        <v>222</v>
      </c>
      <c r="DL1926" s="1" t="s">
        <v>1853</v>
      </c>
      <c r="DM1926" s="1" t="s">
        <v>229</v>
      </c>
      <c r="DQ1926" s="1" t="s">
        <v>228</v>
      </c>
      <c r="DR1926" s="1" t="s">
        <v>229</v>
      </c>
      <c r="DS1926" s="1" t="s">
        <v>277</v>
      </c>
      <c r="DU1926" s="1" t="s">
        <v>2070</v>
      </c>
      <c r="DV1926" s="1" t="s">
        <v>232</v>
      </c>
      <c r="DW1926" s="1" t="s">
        <v>233</v>
      </c>
      <c r="DX1926" s="1" t="s">
        <v>234</v>
      </c>
      <c r="DY1926" s="1" t="s">
        <v>1371</v>
      </c>
      <c r="EA1926" s="1" t="s">
        <v>683</v>
      </c>
      <c r="EC1926" s="1" t="s">
        <v>685</v>
      </c>
      <c r="EM1926" s="1" t="s">
        <v>238</v>
      </c>
      <c r="EQ1926" s="1" t="s">
        <v>238</v>
      </c>
      <c r="EU1926" s="1" t="s">
        <v>238</v>
      </c>
      <c r="EY1926" s="1" t="s">
        <v>238</v>
      </c>
      <c r="FC1926" s="1" t="s">
        <v>238</v>
      </c>
      <c r="FF1926" s="1" t="s">
        <v>229</v>
      </c>
      <c r="FG1926" s="1" t="s">
        <v>200</v>
      </c>
      <c r="FH1926" s="1" t="s">
        <v>200</v>
      </c>
      <c r="FJ1926" s="1" t="s">
        <v>313</v>
      </c>
      <c r="FK1926" s="1" t="s">
        <v>229</v>
      </c>
      <c r="FL1926" s="1" t="s">
        <v>12579</v>
      </c>
      <c r="FM1926" s="1">
        <v>7470.0</v>
      </c>
      <c r="FN1926" s="1" t="s">
        <v>12580</v>
      </c>
      <c r="FO1926" s="1" t="s">
        <v>18500</v>
      </c>
      <c r="FP1926" s="1">
        <v>8768.0</v>
      </c>
      <c r="FU1926" s="1" t="s">
        <v>18501</v>
      </c>
      <c r="FV1926" s="1" t="s">
        <v>192</v>
      </c>
      <c r="FW1926" s="1" t="s">
        <v>18502</v>
      </c>
      <c r="FZ1926" s="1" t="s">
        <v>229</v>
      </c>
      <c r="GA1926" s="1" t="s">
        <v>291</v>
      </c>
      <c r="GB1926" s="2">
        <v>42058.0</v>
      </c>
      <c r="GC1926" s="1" t="s">
        <v>18503</v>
      </c>
    </row>
    <row r="1927">
      <c r="A1927" s="1">
        <v>333500.0</v>
      </c>
      <c r="B1927" s="1" t="s">
        <v>185</v>
      </c>
      <c r="C1927" s="1" t="str">
        <f>"08716141"</f>
        <v>08716141</v>
      </c>
      <c r="D1927" s="1" t="s">
        <v>186</v>
      </c>
      <c r="F1927" s="1" t="str">
        <f>"134"</f>
        <v>134</v>
      </c>
      <c r="G1927" s="2">
        <v>41884.0</v>
      </c>
      <c r="H1927" s="1">
        <v>355000.0</v>
      </c>
      <c r="I1927" s="1">
        <v>242.0</v>
      </c>
      <c r="J1927" s="1">
        <v>344900.0</v>
      </c>
      <c r="K1927" s="2">
        <v>42019.0</v>
      </c>
      <c r="L1927" s="1">
        <v>136.0</v>
      </c>
      <c r="M1927" s="2">
        <v>42019.0</v>
      </c>
      <c r="N1927" s="1" t="s">
        <v>187</v>
      </c>
      <c r="O1927" s="2">
        <v>42060.0</v>
      </c>
      <c r="P1927" s="1">
        <v>230481.0</v>
      </c>
      <c r="Q1927" s="1">
        <v>23591.0</v>
      </c>
      <c r="S1927" s="1" t="s">
        <v>18504</v>
      </c>
      <c r="T1927" s="1" t="s">
        <v>18505</v>
      </c>
      <c r="U1927" s="1" t="s">
        <v>464</v>
      </c>
      <c r="V1927" s="1" t="s">
        <v>421</v>
      </c>
      <c r="W1927" s="1">
        <v>60134.0</v>
      </c>
      <c r="Y1927" s="1" t="s">
        <v>18506</v>
      </c>
      <c r="Z1927" s="1">
        <v>1999.0</v>
      </c>
      <c r="AA1927" s="1" t="s">
        <v>200</v>
      </c>
      <c r="AB1927" s="1" t="s">
        <v>193</v>
      </c>
      <c r="AC1927" s="1" t="s">
        <v>1596</v>
      </c>
      <c r="AD1927" s="1" t="s">
        <v>424</v>
      </c>
      <c r="AE1927" s="1" t="s">
        <v>325</v>
      </c>
      <c r="AF1927" s="1" t="s">
        <v>1479</v>
      </c>
      <c r="AG1927" s="1" t="s">
        <v>18507</v>
      </c>
      <c r="AH1927" s="1" t="s">
        <v>18508</v>
      </c>
      <c r="AI1927" s="1">
        <v>0.178</v>
      </c>
      <c r="AK1927" s="1">
        <v>10.0</v>
      </c>
      <c r="AL1927" s="1">
        <v>4.0</v>
      </c>
      <c r="AM1927" s="1">
        <v>2.0</v>
      </c>
      <c r="AN1927" s="1">
        <v>1.0</v>
      </c>
      <c r="AO1927" s="1" t="s">
        <v>198</v>
      </c>
      <c r="AP1927" s="1">
        <v>1.0</v>
      </c>
      <c r="AQ1927" s="1" t="s">
        <v>198</v>
      </c>
      <c r="AR1927" s="1" t="s">
        <v>200</v>
      </c>
      <c r="AS1927" s="1" t="s">
        <v>199</v>
      </c>
      <c r="AT1927" s="1">
        <v>2.0</v>
      </c>
      <c r="AV1927" s="1" t="s">
        <v>200</v>
      </c>
      <c r="AW1927" s="1">
        <v>10389.0</v>
      </c>
      <c r="AX1927" s="1">
        <v>2013.0</v>
      </c>
      <c r="AY1927" s="1" t="s">
        <v>387</v>
      </c>
      <c r="AZ1927" s="1" t="s">
        <v>200</v>
      </c>
      <c r="BA1927" s="1" t="str">
        <f>"1112281002"</f>
        <v>1112281002</v>
      </c>
      <c r="BC1927" s="1">
        <v>2729.0</v>
      </c>
      <c r="BD1927" s="1">
        <v>333500.0</v>
      </c>
      <c r="BE1927" s="2">
        <v>41884.0</v>
      </c>
      <c r="BF1927" s="2" t="s">
        <v>18509</v>
      </c>
      <c r="BG1927" s="1" t="s">
        <v>6713</v>
      </c>
      <c r="BH1927" s="1">
        <v>0.0</v>
      </c>
      <c r="BI1927" s="1" t="s">
        <v>429</v>
      </c>
      <c r="BJ1927" s="1" t="s">
        <v>430</v>
      </c>
      <c r="BK1927" s="1" t="s">
        <v>204</v>
      </c>
      <c r="BL1927" s="1" t="str">
        <f t="shared" ref="BL1927:BM1927" si="1271">""</f>
        <v/>
      </c>
      <c r="BM1927" s="1" t="str">
        <f t="shared" si="1271"/>
        <v/>
      </c>
      <c r="BQ1927" s="1">
        <v>304.0</v>
      </c>
      <c r="BR1927" s="1">
        <v>304.0</v>
      </c>
      <c r="BS1927" s="1">
        <v>304.0</v>
      </c>
      <c r="BU1927" s="1" t="s">
        <v>300</v>
      </c>
      <c r="BV1927" s="1" t="s">
        <v>206</v>
      </c>
      <c r="BW1927" s="1" t="s">
        <v>210</v>
      </c>
      <c r="BX1927" s="1" t="s">
        <v>239</v>
      </c>
      <c r="BY1927" s="1" t="s">
        <v>3989</v>
      </c>
      <c r="BZ1927" s="1" t="s">
        <v>209</v>
      </c>
      <c r="CA1927" s="1" t="s">
        <v>210</v>
      </c>
      <c r="CB1927" s="1" t="s">
        <v>239</v>
      </c>
      <c r="CC1927" s="1" t="s">
        <v>302</v>
      </c>
      <c r="CD1927" s="1" t="s">
        <v>206</v>
      </c>
      <c r="CE1927" s="1" t="s">
        <v>210</v>
      </c>
      <c r="CF1927" s="1" t="s">
        <v>239</v>
      </c>
      <c r="CG1927" s="1" t="s">
        <v>300</v>
      </c>
      <c r="CH1927" s="1" t="s">
        <v>209</v>
      </c>
      <c r="CI1927" s="1" t="s">
        <v>210</v>
      </c>
      <c r="CJ1927" s="1" t="s">
        <v>239</v>
      </c>
      <c r="CK1927" s="1" t="s">
        <v>363</v>
      </c>
      <c r="CL1927" s="1" t="s">
        <v>209</v>
      </c>
      <c r="CM1927" s="1" t="s">
        <v>210</v>
      </c>
      <c r="CN1927" s="1" t="s">
        <v>239</v>
      </c>
      <c r="CO1927" s="1" t="s">
        <v>215</v>
      </c>
      <c r="CP1927" s="1" t="s">
        <v>209</v>
      </c>
      <c r="CQ1927" s="1" t="s">
        <v>210</v>
      </c>
      <c r="CR1927" s="1" t="s">
        <v>239</v>
      </c>
      <c r="CS1927" s="1" t="s">
        <v>1063</v>
      </c>
      <c r="CT1927" s="1" t="s">
        <v>206</v>
      </c>
      <c r="CU1927" s="1" t="s">
        <v>268</v>
      </c>
      <c r="CV1927" s="1" t="s">
        <v>239</v>
      </c>
      <c r="CW1927" s="1" t="s">
        <v>304</v>
      </c>
      <c r="CX1927" s="1" t="s">
        <v>206</v>
      </c>
      <c r="CY1927" s="1" t="s">
        <v>210</v>
      </c>
      <c r="CZ1927" s="1" t="s">
        <v>239</v>
      </c>
      <c r="DA1927" s="1" t="s">
        <v>200</v>
      </c>
      <c r="DC1927" s="1" t="s">
        <v>678</v>
      </c>
      <c r="DD1927" s="1" t="s">
        <v>336</v>
      </c>
      <c r="DE1927" s="1" t="s">
        <v>273</v>
      </c>
      <c r="DF1927" s="1" t="s">
        <v>219</v>
      </c>
      <c r="DG1927" s="1" t="s">
        <v>10620</v>
      </c>
      <c r="DH1927" s="1" t="s">
        <v>220</v>
      </c>
      <c r="DI1927" s="1" t="s">
        <v>1813</v>
      </c>
      <c r="DJ1927" s="1" t="s">
        <v>222</v>
      </c>
      <c r="DL1927" s="1" t="s">
        <v>1536</v>
      </c>
      <c r="DM1927" s="1" t="s">
        <v>338</v>
      </c>
      <c r="DN1927" s="1" t="s">
        <v>399</v>
      </c>
      <c r="DO1927" s="1" t="s">
        <v>18510</v>
      </c>
      <c r="DP1927" s="1" t="s">
        <v>340</v>
      </c>
      <c r="DQ1927" s="1" t="s">
        <v>228</v>
      </c>
      <c r="DR1927" s="1" t="s">
        <v>229</v>
      </c>
      <c r="DU1927" s="1" t="s">
        <v>4274</v>
      </c>
      <c r="DV1927" s="1" t="s">
        <v>18511</v>
      </c>
      <c r="DW1927" s="1" t="s">
        <v>370</v>
      </c>
      <c r="DX1927" s="1" t="s">
        <v>234</v>
      </c>
      <c r="DY1927" s="1" t="s">
        <v>17934</v>
      </c>
      <c r="DZ1927" s="1" t="s">
        <v>491</v>
      </c>
      <c r="EB1927" s="1" t="s">
        <v>2183</v>
      </c>
      <c r="EC1927" s="1" t="s">
        <v>237</v>
      </c>
      <c r="ED1927" s="1" t="s">
        <v>407</v>
      </c>
      <c r="EG1927" s="1" t="s">
        <v>450</v>
      </c>
      <c r="EH1927" s="1" t="s">
        <v>1824</v>
      </c>
      <c r="EI1927" s="1" t="s">
        <v>1103</v>
      </c>
      <c r="EJ1927" s="1" t="s">
        <v>2971</v>
      </c>
      <c r="EL1927" s="1" t="s">
        <v>1519</v>
      </c>
      <c r="EM1927" s="1" t="s">
        <v>42</v>
      </c>
      <c r="EN1927" s="1" t="s">
        <v>210</v>
      </c>
      <c r="EO1927" s="1" t="s">
        <v>229</v>
      </c>
      <c r="EP1927" s="1" t="s">
        <v>1069</v>
      </c>
      <c r="EQ1927" s="1" t="s">
        <v>42</v>
      </c>
      <c r="ER1927" s="1" t="s">
        <v>210</v>
      </c>
      <c r="ES1927" s="1" t="s">
        <v>229</v>
      </c>
      <c r="ET1927" s="1" t="s">
        <v>1043</v>
      </c>
      <c r="EU1927" s="1" t="s">
        <v>42</v>
      </c>
      <c r="EV1927" s="1" t="s">
        <v>588</v>
      </c>
      <c r="EW1927" s="1" t="s">
        <v>229</v>
      </c>
      <c r="EX1927" s="1" t="s">
        <v>208</v>
      </c>
      <c r="EY1927" s="1" t="s">
        <v>42</v>
      </c>
      <c r="EZ1927" s="1" t="s">
        <v>210</v>
      </c>
      <c r="FA1927" s="1" t="s">
        <v>229</v>
      </c>
      <c r="FC1927" s="1" t="s">
        <v>238</v>
      </c>
      <c r="FF1927" s="1" t="s">
        <v>239</v>
      </c>
      <c r="FG1927" s="1" t="s">
        <v>192</v>
      </c>
      <c r="FH1927" s="1" t="s">
        <v>192</v>
      </c>
      <c r="FJ1927" s="1" t="s">
        <v>7102</v>
      </c>
      <c r="FK1927" s="1" t="s">
        <v>229</v>
      </c>
      <c r="FL1927" s="1" t="s">
        <v>18512</v>
      </c>
      <c r="FM1927" s="1">
        <v>21198.0</v>
      </c>
      <c r="FN1927" s="1" t="s">
        <v>18513</v>
      </c>
      <c r="FO1927" s="1" t="s">
        <v>18514</v>
      </c>
      <c r="FP1927" s="1">
        <v>233200.0</v>
      </c>
      <c r="FQ1927" s="1" t="s">
        <v>18515</v>
      </c>
      <c r="FR1927" s="1">
        <v>228334.0</v>
      </c>
      <c r="FU1927" s="1" t="s">
        <v>4733</v>
      </c>
      <c r="FV1927" s="1" t="s">
        <v>200</v>
      </c>
      <c r="FW1927" s="1" t="s">
        <v>290</v>
      </c>
      <c r="FZ1927" s="1" t="s">
        <v>229</v>
      </c>
      <c r="GA1927" s="1" t="s">
        <v>291</v>
      </c>
      <c r="GB1927" s="2">
        <v>42061.0</v>
      </c>
      <c r="GC1927" s="1" t="s">
        <v>18516</v>
      </c>
    </row>
    <row r="1928">
      <c r="A1928" s="1">
        <v>169500.0</v>
      </c>
      <c r="B1928" s="1" t="s">
        <v>185</v>
      </c>
      <c r="C1928" s="1" t="str">
        <f>"08715384"</f>
        <v>08715384</v>
      </c>
      <c r="D1928" s="1" t="s">
        <v>186</v>
      </c>
      <c r="F1928" s="1" t="str">
        <f>"174"</f>
        <v>174</v>
      </c>
      <c r="G1928" s="2">
        <v>41881.0</v>
      </c>
      <c r="H1928" s="1">
        <v>175000.0</v>
      </c>
      <c r="I1928" s="1">
        <v>64.0</v>
      </c>
      <c r="J1928" s="1">
        <v>169500.0</v>
      </c>
      <c r="K1928" s="2">
        <v>41944.0</v>
      </c>
      <c r="L1928" s="1">
        <v>64.0</v>
      </c>
      <c r="M1928" s="2">
        <v>41944.0</v>
      </c>
      <c r="N1928" s="1" t="s">
        <v>356</v>
      </c>
      <c r="O1928" s="2">
        <v>41992.0</v>
      </c>
      <c r="P1928" s="1">
        <v>8715.0</v>
      </c>
      <c r="Q1928" s="1">
        <v>74.0</v>
      </c>
      <c r="R1928" s="1">
        <v>2500.0</v>
      </c>
      <c r="S1928" s="1" t="s">
        <v>18517</v>
      </c>
      <c r="T1928" s="1" t="s">
        <v>18518</v>
      </c>
      <c r="U1928" s="1" t="s">
        <v>464</v>
      </c>
      <c r="V1928" s="1" t="s">
        <v>1200</v>
      </c>
      <c r="W1928" s="1">
        <v>60175.0</v>
      </c>
      <c r="Y1928" s="1" t="s">
        <v>18519</v>
      </c>
      <c r="Z1928" s="1">
        <v>1902.0</v>
      </c>
      <c r="AA1928" s="1" t="s">
        <v>192</v>
      </c>
      <c r="AB1928" s="1" t="s">
        <v>193</v>
      </c>
      <c r="AC1928" s="1" t="s">
        <v>18520</v>
      </c>
      <c r="AD1928" s="1" t="s">
        <v>18521</v>
      </c>
      <c r="AE1928" s="1" t="s">
        <v>325</v>
      </c>
      <c r="AF1928" s="1" t="s">
        <v>1632</v>
      </c>
      <c r="AH1928" s="1" t="s">
        <v>18522</v>
      </c>
      <c r="AI1928" s="1">
        <v>0.92</v>
      </c>
      <c r="AK1928" s="1">
        <v>7.0</v>
      </c>
      <c r="AL1928" s="1">
        <v>4.0</v>
      </c>
      <c r="AM1928" s="1">
        <v>2.0</v>
      </c>
      <c r="AN1928" s="1">
        <v>0.0</v>
      </c>
      <c r="AO1928" s="1" t="s">
        <v>229</v>
      </c>
      <c r="AP1928" s="1">
        <v>0.0</v>
      </c>
      <c r="AQ1928" s="1" t="s">
        <v>1314</v>
      </c>
      <c r="AR1928" s="1" t="s">
        <v>200</v>
      </c>
      <c r="AS1928" s="1" t="s">
        <v>828</v>
      </c>
      <c r="AU1928" s="1">
        <v>2.0</v>
      </c>
      <c r="AV1928" s="1" t="s">
        <v>200</v>
      </c>
      <c r="AW1928" s="1">
        <v>8479.0</v>
      </c>
      <c r="AX1928" s="1">
        <v>2013.0</v>
      </c>
      <c r="AY1928" s="1" t="s">
        <v>387</v>
      </c>
      <c r="AZ1928" s="1" t="s">
        <v>200</v>
      </c>
      <c r="BA1928" s="1" t="str">
        <f>"0817354013"</f>
        <v>0817354013</v>
      </c>
      <c r="BB1928" s="1" t="s">
        <v>200</v>
      </c>
      <c r="BC1928" s="1">
        <v>2268.0</v>
      </c>
      <c r="BD1928" s="1">
        <v>169500.0</v>
      </c>
      <c r="BE1928" s="2">
        <v>41881.0</v>
      </c>
      <c r="BF1928" s="2" t="s">
        <v>18523</v>
      </c>
      <c r="BH1928" s="1">
        <v>0.0</v>
      </c>
      <c r="BK1928" s="1" t="s">
        <v>204</v>
      </c>
      <c r="BL1928" s="1" t="str">
        <f t="shared" ref="BL1928:BM1928" si="1272">""</f>
        <v/>
      </c>
      <c r="BM1928" s="1" t="str">
        <f t="shared" si="1272"/>
        <v/>
      </c>
      <c r="BQ1928" s="1">
        <v>301.0</v>
      </c>
      <c r="BR1928" s="1">
        <v>301.0</v>
      </c>
      <c r="BS1928" s="1">
        <v>301.0</v>
      </c>
      <c r="BU1928" s="1" t="s">
        <v>1377</v>
      </c>
      <c r="BV1928" s="1" t="s">
        <v>206</v>
      </c>
      <c r="BW1928" s="1" t="s">
        <v>210</v>
      </c>
      <c r="BX1928" s="1" t="s">
        <v>1549</v>
      </c>
      <c r="BY1928" s="1" t="s">
        <v>213</v>
      </c>
      <c r="BZ1928" s="1" t="s">
        <v>209</v>
      </c>
      <c r="CA1928" s="1" t="s">
        <v>210</v>
      </c>
      <c r="CB1928" s="1" t="s">
        <v>431</v>
      </c>
      <c r="CC1928" s="1" t="s">
        <v>393</v>
      </c>
      <c r="CD1928" s="1" t="s">
        <v>206</v>
      </c>
      <c r="CE1928" s="1" t="s">
        <v>301</v>
      </c>
      <c r="CF1928" s="1" t="s">
        <v>431</v>
      </c>
      <c r="CG1928" s="1" t="s">
        <v>393</v>
      </c>
      <c r="CH1928" s="1" t="s">
        <v>209</v>
      </c>
      <c r="CI1928" s="1" t="s">
        <v>210</v>
      </c>
      <c r="CJ1928" s="1" t="s">
        <v>431</v>
      </c>
      <c r="CK1928" s="1" t="s">
        <v>331</v>
      </c>
      <c r="CL1928" s="1" t="s">
        <v>209</v>
      </c>
      <c r="CM1928" s="1" t="s">
        <v>210</v>
      </c>
      <c r="CN1928" s="1" t="s">
        <v>431</v>
      </c>
      <c r="CO1928" s="1" t="s">
        <v>392</v>
      </c>
      <c r="CP1928" s="1" t="s">
        <v>209</v>
      </c>
      <c r="CQ1928" s="1" t="s">
        <v>210</v>
      </c>
      <c r="CR1928" s="1" t="s">
        <v>431</v>
      </c>
      <c r="CS1928" s="1" t="s">
        <v>213</v>
      </c>
      <c r="CT1928" s="1" t="s">
        <v>206</v>
      </c>
      <c r="CU1928" s="1" t="s">
        <v>301</v>
      </c>
      <c r="CV1928" s="1" t="s">
        <v>229</v>
      </c>
      <c r="CX1928" s="1" t="s">
        <v>204</v>
      </c>
      <c r="DA1928" s="1" t="s">
        <v>200</v>
      </c>
      <c r="DC1928" s="1" t="s">
        <v>642</v>
      </c>
      <c r="DD1928" s="1" t="s">
        <v>396</v>
      </c>
      <c r="DE1928" s="1" t="s">
        <v>273</v>
      </c>
      <c r="DF1928" s="1" t="s">
        <v>219</v>
      </c>
      <c r="DG1928" s="1" t="s">
        <v>1553</v>
      </c>
      <c r="DH1928" s="1" t="s">
        <v>856</v>
      </c>
      <c r="DI1928" s="1" t="s">
        <v>1141</v>
      </c>
      <c r="DJ1928" s="1" t="s">
        <v>857</v>
      </c>
      <c r="DL1928" s="1" t="s">
        <v>223</v>
      </c>
      <c r="DM1928" s="1" t="s">
        <v>229</v>
      </c>
      <c r="DO1928" s="1" t="s">
        <v>5000</v>
      </c>
      <c r="DP1928" s="1" t="s">
        <v>340</v>
      </c>
      <c r="DQ1928" s="1" t="s">
        <v>1557</v>
      </c>
      <c r="DR1928" s="1" t="s">
        <v>229</v>
      </c>
      <c r="DS1928" s="1" t="s">
        <v>401</v>
      </c>
      <c r="DU1928" s="1" t="s">
        <v>8424</v>
      </c>
      <c r="DV1928" s="1" t="s">
        <v>232</v>
      </c>
      <c r="DW1928" s="1" t="s">
        <v>233</v>
      </c>
      <c r="DX1928" s="1" t="s">
        <v>309</v>
      </c>
      <c r="DY1928" s="1" t="s">
        <v>14014</v>
      </c>
      <c r="DZ1928" s="1" t="s">
        <v>2204</v>
      </c>
      <c r="EC1928" s="1" t="s">
        <v>237</v>
      </c>
      <c r="EF1928" s="1" t="s">
        <v>523</v>
      </c>
      <c r="EM1928" s="1" t="s">
        <v>238</v>
      </c>
      <c r="EQ1928" s="1" t="s">
        <v>238</v>
      </c>
      <c r="EU1928" s="1" t="s">
        <v>238</v>
      </c>
      <c r="EY1928" s="1" t="s">
        <v>238</v>
      </c>
      <c r="FC1928" s="1" t="s">
        <v>238</v>
      </c>
      <c r="FF1928" s="1" t="s">
        <v>239</v>
      </c>
      <c r="FG1928" s="1" t="s">
        <v>192</v>
      </c>
      <c r="FH1928" s="1" t="s">
        <v>192</v>
      </c>
      <c r="FJ1928" s="1" t="s">
        <v>624</v>
      </c>
      <c r="FK1928" s="1" t="s">
        <v>229</v>
      </c>
      <c r="FL1928" s="1" t="s">
        <v>1007</v>
      </c>
      <c r="FM1928" s="1">
        <v>93043.0</v>
      </c>
      <c r="FN1928" s="1" t="s">
        <v>1008</v>
      </c>
      <c r="FO1928" s="1" t="s">
        <v>18524</v>
      </c>
      <c r="FP1928" s="1">
        <v>930143.0</v>
      </c>
      <c r="FQ1928" s="1" t="s">
        <v>18525</v>
      </c>
      <c r="FU1928" s="1" t="s">
        <v>18526</v>
      </c>
      <c r="FV1928" s="1" t="s">
        <v>200</v>
      </c>
      <c r="FW1928" s="1" t="s">
        <v>530</v>
      </c>
      <c r="FZ1928" s="1" t="s">
        <v>2993</v>
      </c>
      <c r="GA1928" s="1" t="s">
        <v>291</v>
      </c>
      <c r="GB1928" s="2">
        <v>41993.0</v>
      </c>
      <c r="GC1928" s="1" t="s">
        <v>18527</v>
      </c>
    </row>
    <row r="1929">
      <c r="A1929" s="1">
        <v>245000.0</v>
      </c>
      <c r="B1929" s="1" t="s">
        <v>185</v>
      </c>
      <c r="C1929" s="1" t="str">
        <f>"08719930"</f>
        <v>08719930</v>
      </c>
      <c r="D1929" s="1" t="s">
        <v>186</v>
      </c>
      <c r="F1929" s="1" t="str">
        <f>"123"</f>
        <v>123</v>
      </c>
      <c r="G1929" s="2">
        <v>41887.0</v>
      </c>
      <c r="H1929" s="1">
        <v>249900.0</v>
      </c>
      <c r="I1929" s="1">
        <v>76.0</v>
      </c>
      <c r="J1929" s="1">
        <v>249900.0</v>
      </c>
      <c r="K1929" s="2">
        <v>41962.0</v>
      </c>
      <c r="L1929" s="1">
        <v>76.0</v>
      </c>
      <c r="M1929" s="2">
        <v>41962.0</v>
      </c>
      <c r="N1929" s="1" t="s">
        <v>187</v>
      </c>
      <c r="O1929" s="2">
        <v>42062.0</v>
      </c>
      <c r="P1929" s="1">
        <v>7683.0</v>
      </c>
      <c r="Q1929" s="1">
        <v>37.0</v>
      </c>
      <c r="S1929" s="1">
        <v>1425.0</v>
      </c>
      <c r="T1929" s="1" t="s">
        <v>4766</v>
      </c>
      <c r="U1929" s="1" t="s">
        <v>464</v>
      </c>
      <c r="V1929" s="1" t="s">
        <v>465</v>
      </c>
      <c r="W1929" s="1">
        <v>60123.0</v>
      </c>
      <c r="Y1929" s="1" t="s">
        <v>18528</v>
      </c>
      <c r="Z1929" s="1">
        <v>1996.0</v>
      </c>
      <c r="AA1929" s="1" t="s">
        <v>200</v>
      </c>
      <c r="AB1929" s="1" t="s">
        <v>193</v>
      </c>
      <c r="AC1929" s="1" t="s">
        <v>18529</v>
      </c>
      <c r="AD1929" s="1" t="s">
        <v>469</v>
      </c>
      <c r="AE1929" s="1" t="s">
        <v>325</v>
      </c>
      <c r="AF1929" s="1" t="s">
        <v>469</v>
      </c>
      <c r="AH1929" s="1" t="s">
        <v>18530</v>
      </c>
      <c r="AI1929" s="1">
        <v>0.2863</v>
      </c>
      <c r="AK1929" s="1">
        <v>11.0</v>
      </c>
      <c r="AL1929" s="1">
        <v>4.0</v>
      </c>
      <c r="AM1929" s="1">
        <v>2.0</v>
      </c>
      <c r="AN1929" s="1">
        <v>1.0</v>
      </c>
      <c r="AO1929" s="1" t="s">
        <v>198</v>
      </c>
      <c r="AP1929" s="1">
        <v>1.0</v>
      </c>
      <c r="AQ1929" s="1" t="s">
        <v>198</v>
      </c>
      <c r="AR1929" s="1" t="s">
        <v>200</v>
      </c>
      <c r="AS1929" s="1" t="s">
        <v>199</v>
      </c>
      <c r="AT1929" s="1">
        <v>2.0</v>
      </c>
      <c r="AV1929" s="1" t="s">
        <v>200</v>
      </c>
      <c r="AW1929" s="4">
        <v>5853.06</v>
      </c>
      <c r="AX1929" s="1">
        <v>2013.0</v>
      </c>
      <c r="AY1929" s="1" t="s">
        <v>387</v>
      </c>
      <c r="AZ1929" s="1" t="s">
        <v>200</v>
      </c>
      <c r="BA1929" s="1" t="str">
        <f>"0633183001"</f>
        <v>0633183001</v>
      </c>
      <c r="BB1929" s="1" t="s">
        <v>200</v>
      </c>
      <c r="BC1929" s="1">
        <v>2222.0</v>
      </c>
      <c r="BD1929" s="1">
        <v>245000.0</v>
      </c>
      <c r="BE1929" s="2">
        <v>41887.0</v>
      </c>
      <c r="BF1929" s="2" t="s">
        <v>18531</v>
      </c>
      <c r="BH1929" s="1">
        <v>100.0</v>
      </c>
      <c r="BK1929" s="1" t="s">
        <v>580</v>
      </c>
      <c r="BL1929" s="1" t="str">
        <f>"8"</f>
        <v>8</v>
      </c>
      <c r="BM1929" s="1" t="str">
        <f>"0"</f>
        <v>0</v>
      </c>
      <c r="BN1929" s="1">
        <v>36.0</v>
      </c>
      <c r="BO1929" s="1">
        <v>0.0</v>
      </c>
      <c r="BQ1929" s="1">
        <v>46.0</v>
      </c>
      <c r="BR1929" s="1">
        <v>46.0</v>
      </c>
      <c r="BS1929" s="1">
        <v>46.0</v>
      </c>
      <c r="BU1929" s="1" t="s">
        <v>584</v>
      </c>
      <c r="BV1929" s="1" t="s">
        <v>206</v>
      </c>
      <c r="BW1929" s="1" t="s">
        <v>207</v>
      </c>
      <c r="BY1929" s="1" t="s">
        <v>1426</v>
      </c>
      <c r="BZ1929" s="1" t="s">
        <v>209</v>
      </c>
      <c r="CA1929" s="1" t="s">
        <v>207</v>
      </c>
      <c r="CC1929" s="1" t="s">
        <v>215</v>
      </c>
      <c r="CD1929" s="1" t="s">
        <v>206</v>
      </c>
      <c r="CE1929" s="1" t="s">
        <v>207</v>
      </c>
      <c r="CG1929" s="1" t="s">
        <v>495</v>
      </c>
      <c r="CH1929" s="1" t="s">
        <v>209</v>
      </c>
      <c r="CI1929" s="1" t="s">
        <v>207</v>
      </c>
      <c r="CK1929" s="1" t="s">
        <v>495</v>
      </c>
      <c r="CL1929" s="1" t="s">
        <v>209</v>
      </c>
      <c r="CM1929" s="1" t="s">
        <v>207</v>
      </c>
      <c r="CO1929" s="1" t="s">
        <v>269</v>
      </c>
      <c r="CP1929" s="1" t="s">
        <v>209</v>
      </c>
      <c r="CQ1929" s="1" t="s">
        <v>207</v>
      </c>
      <c r="CS1929" s="1" t="s">
        <v>212</v>
      </c>
      <c r="CT1929" s="1" t="s">
        <v>206</v>
      </c>
      <c r="CU1929" s="1" t="s">
        <v>268</v>
      </c>
      <c r="CW1929" s="1" t="s">
        <v>784</v>
      </c>
      <c r="CX1929" s="1" t="s">
        <v>206</v>
      </c>
      <c r="CY1929" s="1" t="s">
        <v>207</v>
      </c>
      <c r="DA1929" s="1" t="s">
        <v>200</v>
      </c>
      <c r="DC1929" s="1" t="s">
        <v>678</v>
      </c>
      <c r="DD1929" s="1" t="s">
        <v>957</v>
      </c>
      <c r="DE1929" s="1" t="s">
        <v>273</v>
      </c>
      <c r="DF1929" s="1" t="s">
        <v>219</v>
      </c>
      <c r="DG1929" s="1" t="s">
        <v>337</v>
      </c>
      <c r="DH1929" s="1" t="s">
        <v>220</v>
      </c>
      <c r="DI1929" s="1" t="s">
        <v>519</v>
      </c>
      <c r="DJ1929" s="1" t="s">
        <v>1379</v>
      </c>
      <c r="DK1929" s="1" t="s">
        <v>223</v>
      </c>
      <c r="DL1929" s="1" t="s">
        <v>224</v>
      </c>
      <c r="DM1929" s="1" t="s">
        <v>229</v>
      </c>
      <c r="DN1929" s="1" t="s">
        <v>339</v>
      </c>
      <c r="DP1929" s="1" t="s">
        <v>340</v>
      </c>
      <c r="DQ1929" s="1" t="s">
        <v>441</v>
      </c>
      <c r="DR1929" s="1" t="s">
        <v>229</v>
      </c>
      <c r="DS1929" s="1" t="s">
        <v>230</v>
      </c>
      <c r="DV1929" s="1" t="s">
        <v>2802</v>
      </c>
      <c r="DW1929" s="1" t="s">
        <v>279</v>
      </c>
      <c r="DX1929" s="1" t="s">
        <v>234</v>
      </c>
      <c r="DY1929" s="1" t="s">
        <v>235</v>
      </c>
      <c r="DZ1929" s="1" t="s">
        <v>13370</v>
      </c>
      <c r="EC1929" s="1" t="s">
        <v>237</v>
      </c>
      <c r="ED1929" s="1" t="s">
        <v>407</v>
      </c>
      <c r="EE1929" s="1" t="s">
        <v>493</v>
      </c>
      <c r="EG1929" s="1" t="s">
        <v>449</v>
      </c>
      <c r="EH1929" s="1" t="s">
        <v>450</v>
      </c>
      <c r="EI1929" s="1" t="s">
        <v>2023</v>
      </c>
      <c r="EL1929" s="1" t="s">
        <v>516</v>
      </c>
      <c r="EM1929" s="1" t="s">
        <v>206</v>
      </c>
      <c r="EN1929" s="1" t="s">
        <v>268</v>
      </c>
      <c r="EP1929" s="1" t="s">
        <v>3387</v>
      </c>
      <c r="EQ1929" s="1" t="s">
        <v>267</v>
      </c>
      <c r="ER1929" s="1" t="s">
        <v>268</v>
      </c>
      <c r="ET1929" s="1" t="s">
        <v>1426</v>
      </c>
      <c r="EU1929" s="1" t="s">
        <v>267</v>
      </c>
      <c r="EV1929" s="1" t="s">
        <v>268</v>
      </c>
      <c r="EY1929" s="1" t="s">
        <v>238</v>
      </c>
      <c r="FC1929" s="1" t="s">
        <v>238</v>
      </c>
      <c r="FF1929" s="1" t="s">
        <v>239</v>
      </c>
      <c r="FG1929" s="1" t="s">
        <v>192</v>
      </c>
      <c r="FH1929" s="1" t="s">
        <v>192</v>
      </c>
      <c r="FJ1929" s="1" t="s">
        <v>2552</v>
      </c>
      <c r="FK1929" s="1" t="s">
        <v>348</v>
      </c>
      <c r="FL1929" s="1" t="s">
        <v>1451</v>
      </c>
      <c r="FM1929" s="1">
        <v>7450.0</v>
      </c>
      <c r="FN1929" s="1" t="s">
        <v>1452</v>
      </c>
      <c r="FO1929" s="1" t="s">
        <v>5583</v>
      </c>
      <c r="FP1929" s="1">
        <v>70036.0</v>
      </c>
      <c r="FQ1929" s="1" t="s">
        <v>5584</v>
      </c>
      <c r="FR1929" s="1">
        <v>77640.0</v>
      </c>
      <c r="FU1929" s="1" t="s">
        <v>5585</v>
      </c>
      <c r="FV1929" s="1" t="s">
        <v>200</v>
      </c>
      <c r="FW1929" s="1" t="s">
        <v>290</v>
      </c>
      <c r="FZ1929" s="1" t="s">
        <v>632</v>
      </c>
      <c r="GA1929" s="1" t="s">
        <v>291</v>
      </c>
      <c r="GB1929" s="2">
        <v>42062.0</v>
      </c>
      <c r="GC1929" s="1" t="s">
        <v>18532</v>
      </c>
    </row>
    <row r="1930">
      <c r="A1930" s="1">
        <v>2500.0</v>
      </c>
      <c r="B1930" s="1" t="s">
        <v>185</v>
      </c>
      <c r="C1930" s="1" t="str">
        <f>"08719088"</f>
        <v>08719088</v>
      </c>
      <c r="D1930" s="1" t="s">
        <v>186</v>
      </c>
      <c r="F1930" s="1" t="str">
        <f>"8068"</f>
        <v>8068</v>
      </c>
      <c r="G1930" s="2">
        <v>41886.0</v>
      </c>
      <c r="H1930" s="1">
        <v>9900.0</v>
      </c>
      <c r="I1930" s="1">
        <v>90.0</v>
      </c>
      <c r="J1930" s="1">
        <v>2500.0</v>
      </c>
      <c r="K1930" s="2">
        <v>41975.0</v>
      </c>
      <c r="L1930" s="1">
        <v>90.0</v>
      </c>
      <c r="M1930" s="2">
        <v>41975.0</v>
      </c>
      <c r="N1930" s="1" t="s">
        <v>249</v>
      </c>
      <c r="O1930" s="2">
        <v>41982.0</v>
      </c>
      <c r="P1930" s="1">
        <v>152101.0</v>
      </c>
      <c r="Q1930" s="1">
        <v>85861.0</v>
      </c>
      <c r="S1930" s="1">
        <v>7128.0</v>
      </c>
      <c r="T1930" s="1" t="s">
        <v>12142</v>
      </c>
      <c r="U1930" s="1" t="s">
        <v>320</v>
      </c>
      <c r="V1930" s="1" t="s">
        <v>190</v>
      </c>
      <c r="W1930" s="1">
        <v>60621.0</v>
      </c>
      <c r="Y1930" s="1" t="s">
        <v>18533</v>
      </c>
      <c r="Z1930" s="1">
        <v>1907.0</v>
      </c>
      <c r="AA1930" s="1" t="s">
        <v>192</v>
      </c>
      <c r="AB1930" s="1" t="s">
        <v>193</v>
      </c>
      <c r="AD1930" s="1" t="s">
        <v>194</v>
      </c>
      <c r="AE1930" s="1" t="s">
        <v>195</v>
      </c>
      <c r="AF1930" s="1" t="s">
        <v>659</v>
      </c>
      <c r="AH1930" s="1">
        <v>3125.0</v>
      </c>
      <c r="AK1930" s="1">
        <v>6.0</v>
      </c>
      <c r="AL1930" s="1">
        <v>4.0</v>
      </c>
      <c r="AM1930" s="1">
        <v>2.0</v>
      </c>
      <c r="AN1930" s="1">
        <v>0.0</v>
      </c>
      <c r="AO1930" s="1" t="s">
        <v>229</v>
      </c>
      <c r="AQ1930" s="1" t="s">
        <v>198</v>
      </c>
      <c r="AR1930" s="1" t="s">
        <v>200</v>
      </c>
      <c r="AS1930" s="1" t="s">
        <v>229</v>
      </c>
      <c r="AV1930" s="1" t="s">
        <v>200</v>
      </c>
      <c r="AW1930" s="1">
        <v>999.5</v>
      </c>
      <c r="AX1930" s="1">
        <v>2012.0</v>
      </c>
      <c r="AZ1930" s="1" t="s">
        <v>200</v>
      </c>
      <c r="BA1930" s="1" t="str">
        <f>"20292000300000"</f>
        <v>20292000300000</v>
      </c>
      <c r="BC1930" s="1">
        <v>1260.0</v>
      </c>
      <c r="BD1930" s="1">
        <v>2500.0</v>
      </c>
      <c r="BE1930" s="2">
        <v>41886.0</v>
      </c>
      <c r="BF1930" s="1" t="s">
        <v>18534</v>
      </c>
      <c r="BH1930" s="1">
        <v>0.0</v>
      </c>
      <c r="BK1930" s="1" t="s">
        <v>204</v>
      </c>
      <c r="BL1930" s="1" t="str">
        <f t="shared" ref="BL1930:BM1930" si="1273">"0"</f>
        <v>0</v>
      </c>
      <c r="BM1930" s="1" t="str">
        <f t="shared" si="1273"/>
        <v>0</v>
      </c>
      <c r="BN1930" s="1">
        <v>1132.0</v>
      </c>
      <c r="BO1930" s="1">
        <v>7128.0</v>
      </c>
      <c r="BQ1930" s="1">
        <v>299.0</v>
      </c>
      <c r="BR1930" s="1">
        <v>299.0</v>
      </c>
      <c r="BS1930" s="1">
        <v>299.0</v>
      </c>
      <c r="BU1930" s="1" t="s">
        <v>2459</v>
      </c>
      <c r="BV1930" s="1" t="s">
        <v>206</v>
      </c>
      <c r="BY1930" s="1" t="s">
        <v>300</v>
      </c>
      <c r="BZ1930" s="1" t="s">
        <v>209</v>
      </c>
      <c r="CD1930" s="1" t="s">
        <v>204</v>
      </c>
      <c r="CG1930" s="1" t="s">
        <v>269</v>
      </c>
      <c r="CH1930" s="1" t="s">
        <v>206</v>
      </c>
      <c r="CK1930" s="1" t="s">
        <v>363</v>
      </c>
      <c r="CL1930" s="1" t="s">
        <v>206</v>
      </c>
      <c r="CO1930" s="1" t="s">
        <v>300</v>
      </c>
      <c r="CP1930" s="1" t="s">
        <v>209</v>
      </c>
      <c r="CS1930" s="1" t="s">
        <v>663</v>
      </c>
      <c r="CT1930" s="1" t="s">
        <v>206</v>
      </c>
      <c r="CX1930" s="1" t="s">
        <v>204</v>
      </c>
      <c r="DA1930" s="1" t="s">
        <v>200</v>
      </c>
      <c r="DC1930" s="1" t="s">
        <v>642</v>
      </c>
      <c r="DE1930" s="1" t="s">
        <v>229</v>
      </c>
      <c r="DF1930" s="1" t="s">
        <v>372</v>
      </c>
      <c r="DH1930" s="1" t="s">
        <v>220</v>
      </c>
      <c r="DJ1930" s="1" t="s">
        <v>222</v>
      </c>
      <c r="DL1930" s="1" t="s">
        <v>223</v>
      </c>
      <c r="DM1930" s="1" t="s">
        <v>229</v>
      </c>
      <c r="DQ1930" s="1" t="s">
        <v>228</v>
      </c>
      <c r="DR1930" s="1" t="s">
        <v>229</v>
      </c>
      <c r="DV1930" s="1" t="s">
        <v>232</v>
      </c>
      <c r="DW1930" s="1" t="s">
        <v>667</v>
      </c>
      <c r="DX1930" s="1" t="s">
        <v>234</v>
      </c>
      <c r="EC1930" s="1" t="s">
        <v>645</v>
      </c>
      <c r="EM1930" s="1" t="s">
        <v>238</v>
      </c>
      <c r="EQ1930" s="1" t="s">
        <v>238</v>
      </c>
      <c r="EU1930" s="1" t="s">
        <v>238</v>
      </c>
      <c r="EY1930" s="1" t="s">
        <v>238</v>
      </c>
      <c r="FC1930" s="1" t="s">
        <v>238</v>
      </c>
      <c r="FF1930" s="1" t="s">
        <v>239</v>
      </c>
      <c r="FG1930" s="1" t="s">
        <v>192</v>
      </c>
      <c r="FH1930" s="1" t="s">
        <v>192</v>
      </c>
      <c r="FJ1930" s="1" t="s">
        <v>770</v>
      </c>
      <c r="FK1930" s="1" t="s">
        <v>229</v>
      </c>
      <c r="FL1930" s="1" t="s">
        <v>11622</v>
      </c>
      <c r="FM1930" s="1">
        <v>16339.0</v>
      </c>
      <c r="FN1930" s="1" t="s">
        <v>11623</v>
      </c>
      <c r="FO1930" s="1" t="s">
        <v>11624</v>
      </c>
      <c r="FP1930" s="1">
        <v>106496.0</v>
      </c>
      <c r="FR1930" s="1">
        <v>165879.0</v>
      </c>
      <c r="FU1930" s="1" t="s">
        <v>18535</v>
      </c>
      <c r="FV1930" s="1" t="s">
        <v>200</v>
      </c>
      <c r="FW1930" s="1" t="s">
        <v>7400</v>
      </c>
      <c r="FX1930" s="1" t="s">
        <v>655</v>
      </c>
      <c r="FZ1930" s="1" t="s">
        <v>229</v>
      </c>
      <c r="GA1930" s="1" t="s">
        <v>291</v>
      </c>
      <c r="GB1930" s="2">
        <v>41984.0</v>
      </c>
      <c r="GC1930" s="1" t="s">
        <v>18536</v>
      </c>
    </row>
    <row r="1931">
      <c r="A1931" s="1">
        <v>210000.0</v>
      </c>
      <c r="B1931" s="1" t="s">
        <v>185</v>
      </c>
      <c r="C1931" s="1" t="str">
        <f>"08716148"</f>
        <v>08716148</v>
      </c>
      <c r="D1931" s="1" t="s">
        <v>186</v>
      </c>
      <c r="F1931" s="1" t="str">
        <f>"174"</f>
        <v>174</v>
      </c>
      <c r="G1931" s="2">
        <v>41884.0</v>
      </c>
      <c r="H1931" s="1">
        <v>224900.0</v>
      </c>
      <c r="I1931" s="1">
        <v>98.0</v>
      </c>
      <c r="J1931" s="1">
        <v>224900.0</v>
      </c>
      <c r="K1931" s="2">
        <v>41979.0</v>
      </c>
      <c r="L1931" s="1">
        <v>98.0</v>
      </c>
      <c r="M1931" s="2">
        <v>41979.0</v>
      </c>
      <c r="N1931" s="1" t="s">
        <v>187</v>
      </c>
      <c r="O1931" s="2">
        <v>42030.0</v>
      </c>
      <c r="P1931" s="1">
        <v>222209.0</v>
      </c>
      <c r="Q1931" s="1">
        <v>24269.0</v>
      </c>
      <c r="S1931" s="1">
        <v>512.0</v>
      </c>
      <c r="T1931" s="1" t="s">
        <v>18537</v>
      </c>
      <c r="U1931" s="1" t="s">
        <v>420</v>
      </c>
      <c r="V1931" s="1" t="s">
        <v>1200</v>
      </c>
      <c r="W1931" s="1">
        <v>60174.0</v>
      </c>
      <c r="Y1931" s="1" t="s">
        <v>18538</v>
      </c>
      <c r="Z1931" s="1">
        <v>1970.0</v>
      </c>
      <c r="AA1931" s="1" t="s">
        <v>192</v>
      </c>
      <c r="AB1931" s="1" t="s">
        <v>193</v>
      </c>
      <c r="AD1931" s="1" t="s">
        <v>1203</v>
      </c>
      <c r="AE1931" s="1" t="s">
        <v>325</v>
      </c>
      <c r="AF1931" s="1" t="s">
        <v>1203</v>
      </c>
      <c r="AH1931" s="1" t="s">
        <v>18539</v>
      </c>
      <c r="AK1931" s="1">
        <v>8.0</v>
      </c>
      <c r="AL1931" s="1">
        <v>4.0</v>
      </c>
      <c r="AM1931" s="1">
        <v>2.0</v>
      </c>
      <c r="AN1931" s="1">
        <v>1.0</v>
      </c>
      <c r="AO1931" s="1" t="s">
        <v>198</v>
      </c>
      <c r="AP1931" s="1">
        <v>1.0</v>
      </c>
      <c r="AQ1931" s="1" t="s">
        <v>198</v>
      </c>
      <c r="AR1931" s="1" t="s">
        <v>200</v>
      </c>
      <c r="AS1931" s="1" t="s">
        <v>199</v>
      </c>
      <c r="AT1931" s="1">
        <v>2.0</v>
      </c>
      <c r="AV1931" s="1" t="s">
        <v>200</v>
      </c>
      <c r="AW1931" s="1">
        <v>6062.64</v>
      </c>
      <c r="AX1931" s="1">
        <v>2013.0</v>
      </c>
      <c r="AY1931" s="1" t="s">
        <v>387</v>
      </c>
      <c r="AZ1931" s="1" t="s">
        <v>200</v>
      </c>
      <c r="BA1931" s="1" t="str">
        <f>"0933181013"</f>
        <v>0933181013</v>
      </c>
      <c r="BB1931" s="1" t="s">
        <v>192</v>
      </c>
      <c r="BC1931" s="1">
        <v>1770.0</v>
      </c>
      <c r="BD1931" s="1">
        <v>210000.0</v>
      </c>
      <c r="BE1931" s="2">
        <v>41882.0</v>
      </c>
      <c r="BF1931" s="2" t="s">
        <v>18540</v>
      </c>
      <c r="BG1931" s="1" t="s">
        <v>5991</v>
      </c>
      <c r="BH1931" s="1">
        <v>0.0</v>
      </c>
      <c r="BJ1931" s="1" t="s">
        <v>2144</v>
      </c>
      <c r="BK1931" s="1" t="s">
        <v>204</v>
      </c>
      <c r="BL1931" s="1" t="str">
        <f t="shared" ref="BL1931:BM1931" si="1274">""</f>
        <v/>
      </c>
      <c r="BM1931" s="1" t="str">
        <f t="shared" si="1274"/>
        <v/>
      </c>
      <c r="BQ1931" s="1">
        <v>303.0</v>
      </c>
      <c r="BR1931" s="1">
        <v>303.0</v>
      </c>
      <c r="BS1931" s="1">
        <v>303.0</v>
      </c>
      <c r="BU1931" s="1" t="s">
        <v>1000</v>
      </c>
      <c r="BV1931" s="1" t="s">
        <v>206</v>
      </c>
      <c r="BW1931" s="1" t="s">
        <v>207</v>
      </c>
      <c r="BY1931" s="1" t="s">
        <v>205</v>
      </c>
      <c r="BZ1931" s="1" t="s">
        <v>209</v>
      </c>
      <c r="CA1931" s="1" t="s">
        <v>207</v>
      </c>
      <c r="CC1931" s="1" t="s">
        <v>212</v>
      </c>
      <c r="CD1931" s="1" t="s">
        <v>206</v>
      </c>
      <c r="CE1931" s="1" t="s">
        <v>207</v>
      </c>
      <c r="CG1931" s="1" t="s">
        <v>584</v>
      </c>
      <c r="CH1931" s="1" t="s">
        <v>209</v>
      </c>
      <c r="CI1931" s="1" t="s">
        <v>207</v>
      </c>
      <c r="CK1931" s="1" t="s">
        <v>264</v>
      </c>
      <c r="CL1931" s="1" t="s">
        <v>209</v>
      </c>
      <c r="CM1931" s="1" t="s">
        <v>207</v>
      </c>
      <c r="CO1931" s="1" t="s">
        <v>516</v>
      </c>
      <c r="CP1931" s="1" t="s">
        <v>209</v>
      </c>
      <c r="CQ1931" s="1" t="s">
        <v>207</v>
      </c>
      <c r="CS1931" s="1" t="s">
        <v>332</v>
      </c>
      <c r="CT1931" s="1" t="s">
        <v>206</v>
      </c>
      <c r="CU1931" s="1" t="s">
        <v>268</v>
      </c>
      <c r="CW1931" s="1" t="s">
        <v>582</v>
      </c>
      <c r="CX1931" s="1" t="s">
        <v>206</v>
      </c>
      <c r="CY1931" s="1" t="s">
        <v>588</v>
      </c>
      <c r="DA1931" s="1" t="s">
        <v>200</v>
      </c>
      <c r="DC1931" s="1" t="s">
        <v>517</v>
      </c>
      <c r="DE1931" s="1" t="s">
        <v>273</v>
      </c>
      <c r="DF1931" s="1" t="s">
        <v>219</v>
      </c>
      <c r="DH1931" s="1" t="s">
        <v>220</v>
      </c>
      <c r="DJ1931" s="1" t="s">
        <v>222</v>
      </c>
      <c r="DL1931" s="1" t="s">
        <v>223</v>
      </c>
      <c r="DM1931" s="1" t="s">
        <v>229</v>
      </c>
      <c r="DP1931" s="1" t="s">
        <v>340</v>
      </c>
      <c r="DQ1931" s="1" t="s">
        <v>228</v>
      </c>
      <c r="DR1931" s="1" t="s">
        <v>229</v>
      </c>
      <c r="DV1931" s="1" t="s">
        <v>232</v>
      </c>
      <c r="DW1931" s="1" t="s">
        <v>444</v>
      </c>
      <c r="DX1931" s="1" t="s">
        <v>234</v>
      </c>
      <c r="DY1931" s="1" t="s">
        <v>704</v>
      </c>
      <c r="EB1931" s="1" t="s">
        <v>345</v>
      </c>
      <c r="EC1931" s="1" t="s">
        <v>237</v>
      </c>
      <c r="EE1931" s="1" t="s">
        <v>18541</v>
      </c>
      <c r="EM1931" s="1" t="s">
        <v>238</v>
      </c>
      <c r="EQ1931" s="1" t="s">
        <v>238</v>
      </c>
      <c r="EU1931" s="1" t="s">
        <v>238</v>
      </c>
      <c r="EY1931" s="1" t="s">
        <v>238</v>
      </c>
      <c r="FC1931" s="1" t="s">
        <v>238</v>
      </c>
      <c r="FF1931" s="1" t="s">
        <v>239</v>
      </c>
      <c r="FG1931" s="1" t="s">
        <v>192</v>
      </c>
      <c r="FH1931" s="1" t="s">
        <v>192</v>
      </c>
      <c r="FJ1931" s="1" t="s">
        <v>498</v>
      </c>
      <c r="FK1931" s="1" t="s">
        <v>229</v>
      </c>
      <c r="FL1931" s="1" t="s">
        <v>1358</v>
      </c>
      <c r="FM1931" s="1">
        <v>25088.0</v>
      </c>
      <c r="FN1931" s="1" t="s">
        <v>9413</v>
      </c>
      <c r="FO1931" s="1" t="s">
        <v>18542</v>
      </c>
      <c r="FP1931" s="1">
        <v>254705.0</v>
      </c>
      <c r="FQ1931" s="1" t="s">
        <v>18543</v>
      </c>
      <c r="FS1931" s="1" t="s">
        <v>18544</v>
      </c>
      <c r="FU1931" s="1" t="s">
        <v>710</v>
      </c>
      <c r="FV1931" s="1" t="s">
        <v>200</v>
      </c>
      <c r="FW1931" s="1" t="s">
        <v>18545</v>
      </c>
      <c r="FZ1931" s="1" t="s">
        <v>229</v>
      </c>
      <c r="GA1931" s="1" t="s">
        <v>291</v>
      </c>
      <c r="GB1931" s="2">
        <v>42030.0</v>
      </c>
      <c r="GC1931" s="1" t="s">
        <v>18546</v>
      </c>
    </row>
    <row r="1932">
      <c r="A1932" s="1">
        <v>17500.0</v>
      </c>
      <c r="B1932" s="1" t="s">
        <v>185</v>
      </c>
      <c r="C1932" s="1" t="str">
        <f>"08715641"</f>
        <v>08715641</v>
      </c>
      <c r="D1932" s="1" t="s">
        <v>186</v>
      </c>
      <c r="F1932" s="1" t="str">
        <f>"8067"</f>
        <v>8067</v>
      </c>
      <c r="G1932" s="2">
        <v>41882.0</v>
      </c>
      <c r="H1932" s="1">
        <v>30000.0</v>
      </c>
      <c r="I1932" s="1">
        <v>81.0</v>
      </c>
      <c r="J1932" s="1">
        <v>15000.0</v>
      </c>
      <c r="K1932" s="2">
        <v>41962.0</v>
      </c>
      <c r="L1932" s="1">
        <v>81.0</v>
      </c>
      <c r="M1932" s="2">
        <v>41962.0</v>
      </c>
      <c r="N1932" s="1" t="s">
        <v>249</v>
      </c>
      <c r="O1932" s="2">
        <v>41991.0</v>
      </c>
      <c r="P1932" s="1">
        <v>153279.0</v>
      </c>
      <c r="Q1932" s="1">
        <v>12177.0</v>
      </c>
      <c r="S1932" s="1">
        <v>5950.0</v>
      </c>
      <c r="T1932" s="1" t="s">
        <v>2622</v>
      </c>
      <c r="U1932" s="1" t="s">
        <v>320</v>
      </c>
      <c r="V1932" s="1" t="s">
        <v>190</v>
      </c>
      <c r="W1932" s="1">
        <v>60636.0</v>
      </c>
      <c r="Y1932" s="1" t="s">
        <v>18547</v>
      </c>
      <c r="Z1932" s="1">
        <v>1903.0</v>
      </c>
      <c r="AA1932" s="1" t="s">
        <v>192</v>
      </c>
      <c r="AB1932" s="1" t="s">
        <v>193</v>
      </c>
      <c r="AD1932" s="1" t="s">
        <v>194</v>
      </c>
      <c r="AE1932" s="1" t="s">
        <v>195</v>
      </c>
      <c r="AF1932" s="1" t="s">
        <v>659</v>
      </c>
      <c r="AH1932" s="1" t="s">
        <v>18548</v>
      </c>
      <c r="AI1932" s="1">
        <v>0.0717</v>
      </c>
      <c r="AK1932" s="1">
        <v>7.0</v>
      </c>
      <c r="AL1932" s="1">
        <v>4.0</v>
      </c>
      <c r="AM1932" s="1">
        <v>2.0</v>
      </c>
      <c r="AN1932" s="1">
        <v>0.0</v>
      </c>
      <c r="AO1932" s="1" t="s">
        <v>229</v>
      </c>
      <c r="AQ1932" s="1" t="s">
        <v>198</v>
      </c>
      <c r="AR1932" s="1" t="s">
        <v>200</v>
      </c>
      <c r="AS1932" s="1" t="s">
        <v>199</v>
      </c>
      <c r="AT1932" s="1">
        <v>2.0</v>
      </c>
      <c r="AV1932" s="1" t="s">
        <v>200</v>
      </c>
      <c r="AW1932" s="1">
        <v>1169.96</v>
      </c>
      <c r="AX1932" s="1">
        <v>2012.0</v>
      </c>
      <c r="AY1932" s="1" t="s">
        <v>229</v>
      </c>
      <c r="AZ1932" s="1" t="s">
        <v>200</v>
      </c>
      <c r="BA1932" s="1" t="str">
        <f>"20173060400000"</f>
        <v>20173060400000</v>
      </c>
      <c r="BC1932" s="1">
        <v>1288.0</v>
      </c>
      <c r="BD1932" s="1">
        <v>17500.0</v>
      </c>
      <c r="BE1932" s="2">
        <v>41882.0</v>
      </c>
      <c r="BF1932" s="1" t="s">
        <v>18549</v>
      </c>
      <c r="BH1932" s="1">
        <v>0.0</v>
      </c>
      <c r="BK1932" s="1" t="s">
        <v>204</v>
      </c>
      <c r="BL1932" s="1" t="str">
        <f t="shared" ref="BL1932:BM1932" si="1275">"0"</f>
        <v>0</v>
      </c>
      <c r="BM1932" s="1" t="str">
        <f t="shared" si="1275"/>
        <v>0</v>
      </c>
      <c r="BN1932" s="1">
        <v>1250.0</v>
      </c>
      <c r="BO1932" s="1">
        <v>5900.0</v>
      </c>
      <c r="BQ1932" s="1">
        <v>299.0</v>
      </c>
      <c r="BR1932" s="1">
        <v>299.0</v>
      </c>
      <c r="BS1932" s="1">
        <v>299.0</v>
      </c>
      <c r="BU1932" s="1" t="s">
        <v>331</v>
      </c>
      <c r="BV1932" s="1" t="s">
        <v>206</v>
      </c>
      <c r="BY1932" s="1" t="s">
        <v>363</v>
      </c>
      <c r="BZ1932" s="1" t="s">
        <v>209</v>
      </c>
      <c r="CC1932" s="1" t="s">
        <v>212</v>
      </c>
      <c r="CD1932" s="1" t="s">
        <v>206</v>
      </c>
      <c r="CG1932" s="1" t="s">
        <v>264</v>
      </c>
      <c r="CH1932" s="1" t="s">
        <v>209</v>
      </c>
      <c r="CK1932" s="1" t="s">
        <v>543</v>
      </c>
      <c r="CL1932" s="1" t="s">
        <v>209</v>
      </c>
      <c r="CO1932" s="1" t="s">
        <v>2047</v>
      </c>
      <c r="CP1932" s="1" t="s">
        <v>206</v>
      </c>
      <c r="CS1932" s="1" t="s">
        <v>264</v>
      </c>
      <c r="CT1932" s="1" t="s">
        <v>206</v>
      </c>
      <c r="CX1932" s="1" t="s">
        <v>204</v>
      </c>
      <c r="DA1932" s="1" t="s">
        <v>200</v>
      </c>
      <c r="DC1932" s="1" t="s">
        <v>642</v>
      </c>
      <c r="DD1932" s="1" t="s">
        <v>518</v>
      </c>
      <c r="DE1932" s="1" t="s">
        <v>1139</v>
      </c>
      <c r="DF1932" s="1" t="s">
        <v>905</v>
      </c>
      <c r="DG1932" s="1" t="s">
        <v>337</v>
      </c>
      <c r="DH1932" s="1" t="s">
        <v>365</v>
      </c>
      <c r="DJ1932" s="1" t="s">
        <v>222</v>
      </c>
      <c r="DL1932" s="1" t="s">
        <v>223</v>
      </c>
      <c r="DM1932" s="1" t="s">
        <v>229</v>
      </c>
      <c r="DO1932" s="1" t="s">
        <v>5000</v>
      </c>
      <c r="DP1932" s="1" t="s">
        <v>340</v>
      </c>
      <c r="DQ1932" s="1" t="s">
        <v>228</v>
      </c>
      <c r="DR1932" s="1" t="s">
        <v>229</v>
      </c>
      <c r="DS1932" s="1" t="s">
        <v>230</v>
      </c>
      <c r="DV1932" s="1" t="s">
        <v>232</v>
      </c>
      <c r="DW1932" s="1" t="s">
        <v>279</v>
      </c>
      <c r="DX1932" s="1" t="s">
        <v>234</v>
      </c>
      <c r="EA1932" s="1" t="s">
        <v>1075</v>
      </c>
      <c r="EC1932" s="1" t="s">
        <v>237</v>
      </c>
      <c r="ED1932" s="1" t="s">
        <v>1761</v>
      </c>
      <c r="EE1932" s="1" t="s">
        <v>1673</v>
      </c>
      <c r="EM1932" s="1" t="s">
        <v>238</v>
      </c>
      <c r="EQ1932" s="1" t="s">
        <v>238</v>
      </c>
      <c r="EU1932" s="1" t="s">
        <v>238</v>
      </c>
      <c r="EY1932" s="1" t="s">
        <v>238</v>
      </c>
      <c r="FC1932" s="1" t="s">
        <v>238</v>
      </c>
      <c r="FF1932" s="1" t="s">
        <v>239</v>
      </c>
      <c r="FG1932" s="1" t="s">
        <v>192</v>
      </c>
      <c r="FH1932" s="1" t="s">
        <v>192</v>
      </c>
      <c r="FJ1932" s="1" t="s">
        <v>3786</v>
      </c>
      <c r="FK1932" s="1" t="s">
        <v>229</v>
      </c>
      <c r="FL1932" s="1" t="s">
        <v>2263</v>
      </c>
      <c r="FM1932" s="1">
        <v>8094.0</v>
      </c>
      <c r="FN1932" s="1" t="s">
        <v>2264</v>
      </c>
      <c r="FO1932" s="1" t="s">
        <v>18550</v>
      </c>
      <c r="FP1932" s="1">
        <v>259589.0</v>
      </c>
      <c r="FQ1932" s="1" t="s">
        <v>18551</v>
      </c>
      <c r="FU1932" s="1" t="s">
        <v>18552</v>
      </c>
      <c r="FV1932" s="1" t="s">
        <v>200</v>
      </c>
      <c r="FW1932" s="1" t="s">
        <v>18553</v>
      </c>
      <c r="FX1932" s="1" t="s">
        <v>655</v>
      </c>
      <c r="FZ1932" s="1" t="s">
        <v>229</v>
      </c>
      <c r="GA1932" s="1" t="s">
        <v>291</v>
      </c>
      <c r="GB1932" s="2">
        <v>41995.0</v>
      </c>
      <c r="GC1932" s="1" t="s">
        <v>18554</v>
      </c>
    </row>
    <row r="1933">
      <c r="A1933" s="1">
        <v>104900.0</v>
      </c>
      <c r="B1933" s="1" t="s">
        <v>185</v>
      </c>
      <c r="C1933" s="1" t="str">
        <f>"08725270"</f>
        <v>08725270</v>
      </c>
      <c r="D1933" s="1" t="s">
        <v>186</v>
      </c>
      <c r="F1933" s="1" t="str">
        <f>"103"</f>
        <v>103</v>
      </c>
      <c r="G1933" s="2">
        <v>41893.0</v>
      </c>
      <c r="H1933" s="1">
        <v>114900.0</v>
      </c>
      <c r="I1933" s="1">
        <v>52.0</v>
      </c>
      <c r="J1933" s="1">
        <v>104900.0</v>
      </c>
      <c r="K1933" s="2">
        <v>41942.0</v>
      </c>
      <c r="L1933" s="1">
        <v>52.0</v>
      </c>
      <c r="M1933" s="2">
        <v>41942.0</v>
      </c>
      <c r="N1933" s="1" t="s">
        <v>187</v>
      </c>
      <c r="O1933" s="2">
        <v>42003.0</v>
      </c>
      <c r="P1933" s="1">
        <v>704956.0</v>
      </c>
      <c r="Q1933" s="1">
        <v>70211.0</v>
      </c>
      <c r="S1933" s="1">
        <v>6910.0</v>
      </c>
      <c r="T1933" s="1" t="s">
        <v>18555</v>
      </c>
      <c r="U1933" s="1" t="s">
        <v>464</v>
      </c>
      <c r="V1933" s="1" t="s">
        <v>251</v>
      </c>
      <c r="W1933" s="1">
        <v>60133.0</v>
      </c>
      <c r="Y1933" s="1" t="s">
        <v>18556</v>
      </c>
      <c r="Z1933" s="1">
        <v>1967.0</v>
      </c>
      <c r="AA1933" s="1" t="s">
        <v>192</v>
      </c>
      <c r="AB1933" s="1" t="s">
        <v>193</v>
      </c>
      <c r="AD1933" s="1" t="s">
        <v>254</v>
      </c>
      <c r="AE1933" s="1" t="s">
        <v>195</v>
      </c>
      <c r="AF1933" s="1" t="s">
        <v>255</v>
      </c>
      <c r="AH1933" s="1">
        <v>9100.0</v>
      </c>
      <c r="AI1933" s="1">
        <v>0.2089</v>
      </c>
      <c r="AK1933" s="1">
        <v>7.0</v>
      </c>
      <c r="AL1933" s="1">
        <v>4.0</v>
      </c>
      <c r="AM1933" s="1">
        <v>1.0</v>
      </c>
      <c r="AN1933" s="1">
        <v>1.0</v>
      </c>
      <c r="AO1933" s="1" t="s">
        <v>2068</v>
      </c>
      <c r="AQ1933" s="1" t="s">
        <v>229</v>
      </c>
      <c r="AR1933" s="1" t="s">
        <v>200</v>
      </c>
      <c r="AS1933" s="1" t="s">
        <v>199</v>
      </c>
      <c r="AT1933" s="1">
        <v>1.0</v>
      </c>
      <c r="AV1933" s="1" t="s">
        <v>200</v>
      </c>
      <c r="AW1933" s="1">
        <v>4551.08</v>
      </c>
      <c r="AX1933" s="1">
        <v>2012.0</v>
      </c>
      <c r="AZ1933" s="1" t="s">
        <v>200</v>
      </c>
      <c r="BA1933" s="1" t="str">
        <f>"07311020020000"</f>
        <v>07311020020000</v>
      </c>
      <c r="BC1933" s="1">
        <v>1360.0</v>
      </c>
      <c r="BD1933" s="1">
        <v>104900.0</v>
      </c>
      <c r="BE1933" s="2">
        <v>41891.0</v>
      </c>
      <c r="BF1933" s="1" t="s">
        <v>18557</v>
      </c>
      <c r="BH1933" s="1">
        <v>0.0</v>
      </c>
      <c r="BK1933" s="1" t="s">
        <v>204</v>
      </c>
      <c r="BL1933" s="1" t="str">
        <f t="shared" ref="BL1933:BM1933" si="1276">""</f>
        <v/>
      </c>
      <c r="BM1933" s="1" t="str">
        <f t="shared" si="1276"/>
        <v/>
      </c>
      <c r="BQ1933" s="1">
        <v>54.0</v>
      </c>
      <c r="BR1933" s="1">
        <v>211.0</v>
      </c>
      <c r="BS1933" s="1">
        <v>54.0</v>
      </c>
      <c r="BU1933" s="1" t="s">
        <v>12543</v>
      </c>
      <c r="BV1933" s="1" t="s">
        <v>206</v>
      </c>
      <c r="BY1933" s="1" t="s">
        <v>212</v>
      </c>
      <c r="BZ1933" s="1" t="s">
        <v>206</v>
      </c>
      <c r="CD1933" s="1" t="s">
        <v>204</v>
      </c>
      <c r="CG1933" s="1" t="s">
        <v>303</v>
      </c>
      <c r="CH1933" s="1" t="s">
        <v>206</v>
      </c>
      <c r="CK1933" s="1" t="s">
        <v>269</v>
      </c>
      <c r="CL1933" s="1" t="s">
        <v>206</v>
      </c>
      <c r="CO1933" s="1" t="s">
        <v>972</v>
      </c>
      <c r="CP1933" s="1" t="s">
        <v>206</v>
      </c>
      <c r="CS1933" s="1" t="s">
        <v>495</v>
      </c>
      <c r="CT1933" s="1" t="s">
        <v>206</v>
      </c>
      <c r="CW1933" s="1" t="s">
        <v>1534</v>
      </c>
      <c r="CX1933" s="1" t="s">
        <v>206</v>
      </c>
      <c r="DA1933" s="1" t="s">
        <v>200</v>
      </c>
      <c r="DC1933" s="1" t="s">
        <v>517</v>
      </c>
      <c r="DE1933" s="1" t="s">
        <v>229</v>
      </c>
      <c r="DF1933" s="1" t="s">
        <v>219</v>
      </c>
      <c r="DH1933" s="1" t="s">
        <v>220</v>
      </c>
      <c r="DJ1933" s="1" t="s">
        <v>222</v>
      </c>
      <c r="DL1933" s="1" t="s">
        <v>229</v>
      </c>
      <c r="DM1933" s="1" t="s">
        <v>229</v>
      </c>
      <c r="DQ1933" s="1" t="s">
        <v>228</v>
      </c>
      <c r="DR1933" s="1" t="s">
        <v>229</v>
      </c>
      <c r="DV1933" s="1" t="s">
        <v>232</v>
      </c>
      <c r="DW1933" s="1" t="s">
        <v>2602</v>
      </c>
      <c r="DX1933" s="1" t="s">
        <v>234</v>
      </c>
      <c r="EC1933" s="1" t="s">
        <v>685</v>
      </c>
      <c r="EM1933" s="1" t="s">
        <v>238</v>
      </c>
      <c r="EQ1933" s="1" t="s">
        <v>238</v>
      </c>
      <c r="EU1933" s="1" t="s">
        <v>238</v>
      </c>
      <c r="EY1933" s="1" t="s">
        <v>238</v>
      </c>
      <c r="FC1933" s="1" t="s">
        <v>238</v>
      </c>
      <c r="FF1933" s="1" t="s">
        <v>239</v>
      </c>
      <c r="FG1933" s="1" t="s">
        <v>192</v>
      </c>
      <c r="FH1933" s="1" t="s">
        <v>192</v>
      </c>
      <c r="FJ1933" s="1" t="s">
        <v>4863</v>
      </c>
      <c r="FK1933" s="1" t="s">
        <v>229</v>
      </c>
      <c r="FL1933" s="1" t="s">
        <v>2263</v>
      </c>
      <c r="FM1933" s="1">
        <v>8094.0</v>
      </c>
      <c r="FN1933" s="1" t="s">
        <v>2264</v>
      </c>
      <c r="FO1933" s="1" t="s">
        <v>4111</v>
      </c>
      <c r="FP1933" s="1">
        <v>28736.0</v>
      </c>
      <c r="FQ1933" s="1" t="s">
        <v>4112</v>
      </c>
      <c r="FU1933" s="1" t="s">
        <v>4864</v>
      </c>
      <c r="FV1933" s="1" t="s">
        <v>200</v>
      </c>
      <c r="FW1933" s="1" t="s">
        <v>1307</v>
      </c>
      <c r="FZ1933" s="1" t="s">
        <v>229</v>
      </c>
      <c r="GA1933" s="1" t="s">
        <v>291</v>
      </c>
      <c r="GB1933" s="2">
        <v>42003.0</v>
      </c>
      <c r="GC1933" s="1" t="s">
        <v>18558</v>
      </c>
    </row>
    <row r="1934">
      <c r="A1934" s="1">
        <v>500000.0</v>
      </c>
      <c r="B1934" s="1" t="s">
        <v>185</v>
      </c>
      <c r="C1934" s="1" t="str">
        <f>"08726598"</f>
        <v>08726598</v>
      </c>
      <c r="D1934" s="1" t="s">
        <v>186</v>
      </c>
      <c r="F1934" s="1" t="str">
        <f>"8077"</f>
        <v>8077</v>
      </c>
      <c r="G1934" s="2">
        <v>41894.0</v>
      </c>
      <c r="H1934" s="1">
        <v>585000.0</v>
      </c>
      <c r="I1934" s="1">
        <v>8.0</v>
      </c>
      <c r="J1934" s="1">
        <v>585000.0</v>
      </c>
      <c r="K1934" s="2">
        <v>41901.0</v>
      </c>
      <c r="L1934" s="1">
        <v>8.0</v>
      </c>
      <c r="M1934" s="2">
        <v>41901.0</v>
      </c>
      <c r="N1934" s="1" t="s">
        <v>187</v>
      </c>
      <c r="O1934" s="2">
        <v>42002.0</v>
      </c>
      <c r="P1934" s="1">
        <v>155485.0</v>
      </c>
      <c r="Q1934" s="1">
        <v>16379.0</v>
      </c>
      <c r="S1934" s="1">
        <v>1324.0</v>
      </c>
      <c r="T1934" s="1" t="s">
        <v>18559</v>
      </c>
      <c r="U1934" s="1" t="s">
        <v>189</v>
      </c>
      <c r="V1934" s="1" t="s">
        <v>190</v>
      </c>
      <c r="W1934" s="1">
        <v>60660.0</v>
      </c>
      <c r="Y1934" s="1" t="s">
        <v>18560</v>
      </c>
      <c r="Z1934" s="1">
        <v>1909.0</v>
      </c>
      <c r="AA1934" s="1" t="s">
        <v>192</v>
      </c>
      <c r="AB1934" s="1" t="s">
        <v>193</v>
      </c>
      <c r="AC1934" s="1" t="s">
        <v>18561</v>
      </c>
      <c r="AD1934" s="1" t="s">
        <v>194</v>
      </c>
      <c r="AE1934" s="1" t="s">
        <v>195</v>
      </c>
      <c r="AF1934" s="1" t="s">
        <v>534</v>
      </c>
      <c r="AG1934" s="1" t="s">
        <v>18562</v>
      </c>
      <c r="AH1934" s="1" t="s">
        <v>17888</v>
      </c>
      <c r="AK1934" s="1">
        <v>8.0</v>
      </c>
      <c r="AL1934" s="1">
        <v>4.0</v>
      </c>
      <c r="AM1934" s="1">
        <v>2.0</v>
      </c>
      <c r="AN1934" s="1">
        <v>0.0</v>
      </c>
      <c r="AO1934" s="1" t="s">
        <v>229</v>
      </c>
      <c r="AP1934" s="1">
        <v>0.0</v>
      </c>
      <c r="AQ1934" s="1" t="s">
        <v>198</v>
      </c>
      <c r="AR1934" s="1" t="s">
        <v>200</v>
      </c>
      <c r="AS1934" s="1" t="s">
        <v>199</v>
      </c>
      <c r="AT1934" s="1">
        <v>1.0</v>
      </c>
      <c r="AV1934" s="1" t="s">
        <v>200</v>
      </c>
      <c r="AW1934" s="1">
        <v>5288.0</v>
      </c>
      <c r="AX1934" s="1">
        <v>2013.0</v>
      </c>
      <c r="AY1934" s="1" t="s">
        <v>1917</v>
      </c>
      <c r="AZ1934" s="1" t="s">
        <v>200</v>
      </c>
      <c r="BA1934" s="1" t="str">
        <f>"14051220380000"</f>
        <v>14051220380000</v>
      </c>
      <c r="BC1934" s="1">
        <v>1990.0</v>
      </c>
      <c r="BD1934" s="1">
        <v>500000.0</v>
      </c>
      <c r="BE1934" s="2">
        <v>41894.0</v>
      </c>
      <c r="BF1934" s="2" t="s">
        <v>18563</v>
      </c>
      <c r="BG1934" s="1" t="s">
        <v>4739</v>
      </c>
      <c r="BH1934" s="1">
        <v>0.0</v>
      </c>
      <c r="BJ1934" s="1" t="s">
        <v>2327</v>
      </c>
      <c r="BK1934" s="1" t="s">
        <v>204</v>
      </c>
      <c r="BL1934" s="1" t="str">
        <f>"6060"</f>
        <v>6060</v>
      </c>
      <c r="BM1934" s="1" t="str">
        <f>"0"</f>
        <v>0</v>
      </c>
      <c r="BN1934" s="1">
        <v>1324.0</v>
      </c>
      <c r="BO1934" s="1">
        <v>0.0</v>
      </c>
      <c r="BQ1934" s="1">
        <v>299.0</v>
      </c>
      <c r="BR1934" s="1">
        <v>299.0</v>
      </c>
      <c r="BS1934" s="1">
        <v>299.0</v>
      </c>
      <c r="BU1934" s="1" t="s">
        <v>363</v>
      </c>
      <c r="BV1934" s="1" t="s">
        <v>206</v>
      </c>
      <c r="BW1934" s="1" t="s">
        <v>210</v>
      </c>
      <c r="BX1934" s="1" t="s">
        <v>1549</v>
      </c>
      <c r="BY1934" s="1" t="s">
        <v>582</v>
      </c>
      <c r="BZ1934" s="1" t="s">
        <v>209</v>
      </c>
      <c r="CA1934" s="1" t="s">
        <v>210</v>
      </c>
      <c r="CB1934" s="1" t="s">
        <v>1549</v>
      </c>
      <c r="CC1934" s="1" t="s">
        <v>743</v>
      </c>
      <c r="CD1934" s="1" t="s">
        <v>206</v>
      </c>
      <c r="CE1934" s="1" t="s">
        <v>210</v>
      </c>
      <c r="CF1934" s="1" t="s">
        <v>229</v>
      </c>
      <c r="CG1934" s="1" t="s">
        <v>392</v>
      </c>
      <c r="CH1934" s="1" t="s">
        <v>209</v>
      </c>
      <c r="CI1934" s="1" t="s">
        <v>210</v>
      </c>
      <c r="CJ1934" s="1" t="s">
        <v>431</v>
      </c>
      <c r="CK1934" s="1" t="s">
        <v>699</v>
      </c>
      <c r="CL1934" s="1" t="s">
        <v>209</v>
      </c>
      <c r="CM1934" s="1" t="s">
        <v>210</v>
      </c>
      <c r="CN1934" s="1" t="s">
        <v>431</v>
      </c>
      <c r="CO1934" s="1" t="s">
        <v>699</v>
      </c>
      <c r="CP1934" s="1" t="s">
        <v>209</v>
      </c>
      <c r="CQ1934" s="1" t="s">
        <v>210</v>
      </c>
      <c r="CR1934" s="1" t="s">
        <v>431</v>
      </c>
      <c r="CS1934" s="1" t="s">
        <v>497</v>
      </c>
      <c r="CT1934" s="1" t="s">
        <v>206</v>
      </c>
      <c r="CU1934" s="1" t="s">
        <v>617</v>
      </c>
      <c r="CV1934" s="1" t="s">
        <v>431</v>
      </c>
      <c r="CX1934" s="1" t="s">
        <v>204</v>
      </c>
      <c r="DA1934" s="1" t="s">
        <v>200</v>
      </c>
      <c r="DC1934" s="1" t="s">
        <v>642</v>
      </c>
      <c r="DD1934" s="1" t="s">
        <v>786</v>
      </c>
      <c r="DE1934" s="1" t="s">
        <v>229</v>
      </c>
      <c r="DF1934" s="1" t="s">
        <v>219</v>
      </c>
      <c r="DG1934" s="1" t="s">
        <v>1020</v>
      </c>
      <c r="DH1934" s="1" t="s">
        <v>307</v>
      </c>
      <c r="DI1934" s="1" t="s">
        <v>1318</v>
      </c>
      <c r="DJ1934" s="1" t="s">
        <v>222</v>
      </c>
      <c r="DK1934" s="1" t="s">
        <v>224</v>
      </c>
      <c r="DL1934" s="1" t="s">
        <v>223</v>
      </c>
      <c r="DM1934" s="1" t="s">
        <v>1464</v>
      </c>
      <c r="DP1934" s="1" t="s">
        <v>276</v>
      </c>
      <c r="DQ1934" s="1" t="s">
        <v>1557</v>
      </c>
      <c r="DR1934" s="1" t="s">
        <v>229</v>
      </c>
      <c r="DS1934" s="1" t="s">
        <v>230</v>
      </c>
      <c r="DU1934" s="1" t="s">
        <v>4671</v>
      </c>
      <c r="DV1934" s="1" t="s">
        <v>18564</v>
      </c>
      <c r="DW1934" s="1" t="s">
        <v>667</v>
      </c>
      <c r="DX1934" s="1" t="s">
        <v>309</v>
      </c>
      <c r="DY1934" s="1" t="s">
        <v>1122</v>
      </c>
      <c r="DZ1934" s="1" t="s">
        <v>3374</v>
      </c>
      <c r="EA1934" s="1" t="s">
        <v>3577</v>
      </c>
      <c r="EC1934" s="1" t="s">
        <v>406</v>
      </c>
      <c r="ED1934" s="1" t="s">
        <v>407</v>
      </c>
      <c r="EE1934" s="1" t="s">
        <v>187</v>
      </c>
      <c r="EG1934" s="1" t="s">
        <v>557</v>
      </c>
      <c r="EH1934" s="1" t="s">
        <v>1102</v>
      </c>
      <c r="EI1934" s="1" t="s">
        <v>1103</v>
      </c>
      <c r="EJ1934" s="1" t="s">
        <v>408</v>
      </c>
      <c r="EK1934" s="1" t="s">
        <v>1270</v>
      </c>
      <c r="EL1934" s="1" t="s">
        <v>2749</v>
      </c>
      <c r="EM1934" s="1" t="s">
        <v>391</v>
      </c>
      <c r="EN1934" s="1" t="s">
        <v>210</v>
      </c>
      <c r="EO1934" s="1" t="s">
        <v>1549</v>
      </c>
      <c r="EP1934" s="1" t="s">
        <v>558</v>
      </c>
      <c r="EQ1934" s="1" t="s">
        <v>206</v>
      </c>
      <c r="ER1934" s="1" t="s">
        <v>210</v>
      </c>
      <c r="ES1934" s="1" t="s">
        <v>431</v>
      </c>
      <c r="ET1934" s="1" t="s">
        <v>904</v>
      </c>
      <c r="EU1934" s="1" t="s">
        <v>391</v>
      </c>
      <c r="EX1934" s="1" t="s">
        <v>971</v>
      </c>
      <c r="EY1934" s="1" t="s">
        <v>206</v>
      </c>
      <c r="EZ1934" s="1" t="s">
        <v>210</v>
      </c>
      <c r="FA1934" s="1" t="s">
        <v>1118</v>
      </c>
      <c r="FB1934" s="1" t="s">
        <v>17275</v>
      </c>
      <c r="FC1934" s="1" t="s">
        <v>42</v>
      </c>
      <c r="FF1934" s="1" t="s">
        <v>239</v>
      </c>
      <c r="FG1934" s="1" t="s">
        <v>192</v>
      </c>
      <c r="FH1934" s="1" t="s">
        <v>192</v>
      </c>
      <c r="FJ1934" s="1" t="s">
        <v>799</v>
      </c>
      <c r="FK1934" s="1" t="s">
        <v>229</v>
      </c>
      <c r="FL1934" s="1" t="s">
        <v>1358</v>
      </c>
      <c r="FM1934" s="1">
        <v>3940.0</v>
      </c>
      <c r="FN1934" s="1" t="s">
        <v>18565</v>
      </c>
      <c r="FO1934" s="1" t="s">
        <v>18566</v>
      </c>
      <c r="FP1934" s="1">
        <v>39828.0</v>
      </c>
      <c r="FQ1934" s="1" t="s">
        <v>18567</v>
      </c>
      <c r="FS1934" s="1" t="s">
        <v>18568</v>
      </c>
      <c r="FU1934" s="1" t="s">
        <v>18569</v>
      </c>
      <c r="FV1934" s="1" t="s">
        <v>200</v>
      </c>
      <c r="FW1934" s="1" t="s">
        <v>290</v>
      </c>
      <c r="FX1934" s="1" t="s">
        <v>246</v>
      </c>
      <c r="FZ1934" s="1" t="s">
        <v>632</v>
      </c>
      <c r="GA1934" s="1" t="s">
        <v>291</v>
      </c>
      <c r="GB1934" s="2">
        <v>42002.0</v>
      </c>
      <c r="GC1934" s="1" t="s">
        <v>18570</v>
      </c>
    </row>
    <row r="1935">
      <c r="A1935" s="1">
        <v>360000.0</v>
      </c>
      <c r="B1935" s="1" t="s">
        <v>185</v>
      </c>
      <c r="C1935" s="1" t="str">
        <f>"08725413"</f>
        <v>08725413</v>
      </c>
      <c r="D1935" s="1" t="s">
        <v>186</v>
      </c>
      <c r="F1935" s="1" t="str">
        <f>"543"</f>
        <v>543</v>
      </c>
      <c r="G1935" s="2">
        <v>41893.0</v>
      </c>
      <c r="H1935" s="1">
        <v>389900.0</v>
      </c>
      <c r="I1935" s="1">
        <v>223.0</v>
      </c>
      <c r="J1935" s="1">
        <v>379900.0</v>
      </c>
      <c r="K1935" s="2">
        <v>41983.0</v>
      </c>
      <c r="L1935" s="1">
        <v>91.0</v>
      </c>
      <c r="M1935" s="2">
        <v>41983.0</v>
      </c>
      <c r="N1935" s="1" t="s">
        <v>249</v>
      </c>
      <c r="O1935" s="2">
        <v>42003.0</v>
      </c>
      <c r="P1935" s="1">
        <v>235740.0</v>
      </c>
      <c r="Q1935" s="1">
        <v>23279.0</v>
      </c>
      <c r="S1935" s="1">
        <v>364.0</v>
      </c>
      <c r="T1935" s="1" t="s">
        <v>14796</v>
      </c>
      <c r="U1935" s="1" t="s">
        <v>569</v>
      </c>
      <c r="V1935" s="1" t="s">
        <v>1527</v>
      </c>
      <c r="W1935" s="1">
        <v>60543.0</v>
      </c>
      <c r="Y1935" s="1" t="s">
        <v>18571</v>
      </c>
      <c r="Z1935" s="1">
        <v>2007.0</v>
      </c>
      <c r="AA1935" s="1" t="s">
        <v>200</v>
      </c>
      <c r="AB1935" s="1" t="s">
        <v>467</v>
      </c>
      <c r="AC1935" s="1" t="s">
        <v>18572</v>
      </c>
      <c r="AD1935" s="1" t="s">
        <v>1529</v>
      </c>
      <c r="AE1935" s="1" t="s">
        <v>849</v>
      </c>
      <c r="AF1935" s="1" t="s">
        <v>1529</v>
      </c>
      <c r="AG1935" s="1" t="s">
        <v>752</v>
      </c>
      <c r="AH1935" s="1" t="s">
        <v>18573</v>
      </c>
      <c r="AK1935" s="1">
        <v>10.0</v>
      </c>
      <c r="AL1935" s="1">
        <v>4.0</v>
      </c>
      <c r="AM1935" s="1">
        <v>3.0</v>
      </c>
      <c r="AN1935" s="1">
        <v>1.0</v>
      </c>
      <c r="AO1935" s="1" t="s">
        <v>198</v>
      </c>
      <c r="AP1935" s="1">
        <v>1.0</v>
      </c>
      <c r="AQ1935" s="1" t="s">
        <v>198</v>
      </c>
      <c r="AR1935" s="1" t="s">
        <v>200</v>
      </c>
      <c r="AS1935" s="1" t="s">
        <v>199</v>
      </c>
      <c r="AT1935" s="1">
        <v>4.5</v>
      </c>
      <c r="AV1935" s="1" t="s">
        <v>200</v>
      </c>
      <c r="AW1935" s="1">
        <v>13800.0</v>
      </c>
      <c r="AX1935" s="1">
        <v>2013.0</v>
      </c>
      <c r="AY1935" s="1" t="s">
        <v>387</v>
      </c>
      <c r="AZ1935" s="1" t="s">
        <v>200</v>
      </c>
      <c r="BA1935" s="1" t="str">
        <f>"0329232003"</f>
        <v>0329232003</v>
      </c>
      <c r="BC1935" s="1">
        <v>3600.0</v>
      </c>
      <c r="BD1935" s="1">
        <v>360000.0</v>
      </c>
      <c r="BE1935" s="2">
        <v>41893.0</v>
      </c>
      <c r="BF1935" s="2" t="s">
        <v>18574</v>
      </c>
      <c r="BG1935" s="1" t="s">
        <v>1532</v>
      </c>
      <c r="BH1935" s="1">
        <v>140.0</v>
      </c>
      <c r="BI1935" s="1" t="s">
        <v>1533</v>
      </c>
      <c r="BJ1935" s="1" t="s">
        <v>1349</v>
      </c>
      <c r="BK1935" s="1" t="s">
        <v>580</v>
      </c>
      <c r="BL1935" s="1" t="str">
        <f t="shared" ref="BL1935:BM1935" si="1277">"0"</f>
        <v>0</v>
      </c>
      <c r="BM1935" s="1" t="str">
        <f t="shared" si="1277"/>
        <v>0</v>
      </c>
      <c r="BN1935" s="1">
        <v>14.0</v>
      </c>
      <c r="BO1935" s="1">
        <v>37.0</v>
      </c>
      <c r="BQ1935" s="1">
        <v>308.0</v>
      </c>
      <c r="BR1935" s="1">
        <v>308.0</v>
      </c>
      <c r="BS1935" s="1">
        <v>308.0</v>
      </c>
      <c r="BU1935" s="1" t="s">
        <v>212</v>
      </c>
      <c r="BV1935" s="1" t="s">
        <v>206</v>
      </c>
      <c r="BW1935" s="1" t="s">
        <v>210</v>
      </c>
      <c r="BX1935" s="1" t="s">
        <v>431</v>
      </c>
      <c r="BY1935" s="1" t="s">
        <v>9052</v>
      </c>
      <c r="BZ1935" s="1" t="s">
        <v>209</v>
      </c>
      <c r="CA1935" s="1" t="s">
        <v>210</v>
      </c>
      <c r="CB1935" s="1" t="s">
        <v>431</v>
      </c>
      <c r="CC1935" s="1" t="s">
        <v>392</v>
      </c>
      <c r="CD1935" s="1" t="s">
        <v>206</v>
      </c>
      <c r="CE1935" s="1" t="s">
        <v>207</v>
      </c>
      <c r="CF1935" s="1" t="s">
        <v>431</v>
      </c>
      <c r="CG1935" s="1" t="s">
        <v>331</v>
      </c>
      <c r="CH1935" s="1" t="s">
        <v>209</v>
      </c>
      <c r="CI1935" s="1" t="s">
        <v>210</v>
      </c>
      <c r="CJ1935" s="1" t="s">
        <v>431</v>
      </c>
      <c r="CK1935" s="1" t="s">
        <v>331</v>
      </c>
      <c r="CL1935" s="1" t="s">
        <v>209</v>
      </c>
      <c r="CM1935" s="1" t="s">
        <v>210</v>
      </c>
      <c r="CN1935" s="1" t="s">
        <v>431</v>
      </c>
      <c r="CO1935" s="1" t="s">
        <v>332</v>
      </c>
      <c r="CP1935" s="1" t="s">
        <v>209</v>
      </c>
      <c r="CQ1935" s="1" t="s">
        <v>210</v>
      </c>
      <c r="CR1935" s="1" t="s">
        <v>431</v>
      </c>
      <c r="CS1935" s="1" t="s">
        <v>7468</v>
      </c>
      <c r="CT1935" s="1" t="s">
        <v>206</v>
      </c>
      <c r="CU1935" s="1" t="s">
        <v>207</v>
      </c>
      <c r="CV1935" s="1" t="s">
        <v>431</v>
      </c>
      <c r="CW1935" s="1" t="s">
        <v>924</v>
      </c>
      <c r="CX1935" s="1" t="s">
        <v>206</v>
      </c>
      <c r="CY1935" s="1" t="s">
        <v>210</v>
      </c>
      <c r="CZ1935" s="1" t="s">
        <v>431</v>
      </c>
      <c r="DA1935" s="1" t="s">
        <v>200</v>
      </c>
      <c r="DC1935" s="1" t="s">
        <v>481</v>
      </c>
      <c r="DD1935" s="1" t="s">
        <v>336</v>
      </c>
      <c r="DE1935" s="1" t="s">
        <v>273</v>
      </c>
      <c r="DF1935" s="1" t="s">
        <v>219</v>
      </c>
      <c r="DG1935" s="1" t="s">
        <v>482</v>
      </c>
      <c r="DH1935" s="1" t="s">
        <v>220</v>
      </c>
      <c r="DI1935" s="1" t="s">
        <v>3094</v>
      </c>
      <c r="DJ1935" s="1" t="s">
        <v>222</v>
      </c>
      <c r="DK1935" s="1" t="s">
        <v>1301</v>
      </c>
      <c r="DL1935" s="1" t="s">
        <v>484</v>
      </c>
      <c r="DM1935" s="1" t="s">
        <v>338</v>
      </c>
      <c r="DN1935" s="1" t="s">
        <v>15047</v>
      </c>
      <c r="DO1935" s="1" t="s">
        <v>3688</v>
      </c>
      <c r="DP1935" s="1" t="s">
        <v>340</v>
      </c>
      <c r="DQ1935" s="1" t="s">
        <v>228</v>
      </c>
      <c r="DR1935" s="1" t="s">
        <v>1487</v>
      </c>
      <c r="DS1935" s="1" t="s">
        <v>591</v>
      </c>
      <c r="DU1935" s="1" t="s">
        <v>18575</v>
      </c>
      <c r="DV1935" s="1" t="s">
        <v>18576</v>
      </c>
      <c r="DW1935" s="1" t="s">
        <v>444</v>
      </c>
      <c r="DX1935" s="1" t="s">
        <v>309</v>
      </c>
      <c r="DY1935" s="1" t="s">
        <v>490</v>
      </c>
      <c r="DZ1935" s="1" t="s">
        <v>310</v>
      </c>
      <c r="EA1935" s="1" t="s">
        <v>344</v>
      </c>
      <c r="EB1935" s="1" t="s">
        <v>767</v>
      </c>
      <c r="EC1935" s="1" t="s">
        <v>237</v>
      </c>
      <c r="ED1935" s="1" t="s">
        <v>10039</v>
      </c>
      <c r="EE1935" s="1" t="s">
        <v>493</v>
      </c>
      <c r="EG1935" s="1" t="s">
        <v>598</v>
      </c>
      <c r="EH1935" s="1" t="s">
        <v>557</v>
      </c>
      <c r="EJ1935" s="1" t="s">
        <v>408</v>
      </c>
      <c r="EK1935" s="1" t="s">
        <v>409</v>
      </c>
      <c r="EL1935" s="1" t="s">
        <v>262</v>
      </c>
      <c r="EM1935" s="1" t="s">
        <v>206</v>
      </c>
      <c r="EN1935" s="1" t="s">
        <v>210</v>
      </c>
      <c r="EO1935" s="1" t="s">
        <v>431</v>
      </c>
      <c r="EP1935" s="1" t="s">
        <v>361</v>
      </c>
      <c r="EQ1935" s="1" t="s">
        <v>209</v>
      </c>
      <c r="ER1935" s="1" t="s">
        <v>210</v>
      </c>
      <c r="ES1935" s="1" t="s">
        <v>431</v>
      </c>
      <c r="EU1935" s="1" t="s">
        <v>238</v>
      </c>
      <c r="EX1935" s="1" t="s">
        <v>15942</v>
      </c>
      <c r="EY1935" s="1" t="s">
        <v>206</v>
      </c>
      <c r="EZ1935" s="1" t="s">
        <v>207</v>
      </c>
      <c r="FA1935" s="1" t="s">
        <v>229</v>
      </c>
      <c r="FB1935" s="1" t="s">
        <v>2224</v>
      </c>
      <c r="FC1935" s="1" t="s">
        <v>209</v>
      </c>
      <c r="FD1935" s="1" t="s">
        <v>210</v>
      </c>
      <c r="FE1935" s="1" t="s">
        <v>431</v>
      </c>
      <c r="FF1935" s="1" t="s">
        <v>239</v>
      </c>
      <c r="FG1935" s="1" t="s">
        <v>192</v>
      </c>
      <c r="FH1935" s="1" t="s">
        <v>192</v>
      </c>
      <c r="FJ1935" s="1" t="s">
        <v>18577</v>
      </c>
      <c r="FK1935" s="1" t="s">
        <v>229</v>
      </c>
      <c r="FL1935" s="1" t="s">
        <v>2580</v>
      </c>
      <c r="FM1935" s="1">
        <v>23265.0</v>
      </c>
      <c r="FN1935" s="1" t="s">
        <v>2581</v>
      </c>
      <c r="FO1935" s="1" t="s">
        <v>18578</v>
      </c>
      <c r="FP1935" s="1">
        <v>225977.0</v>
      </c>
      <c r="FQ1935" s="1" t="s">
        <v>18579</v>
      </c>
      <c r="FS1935" s="1" t="s">
        <v>18580</v>
      </c>
      <c r="FT1935" s="1" t="s">
        <v>18581</v>
      </c>
      <c r="FU1935" s="1" t="s">
        <v>18582</v>
      </c>
      <c r="FV1935" s="1" t="s">
        <v>200</v>
      </c>
      <c r="FW1935" s="1" t="s">
        <v>530</v>
      </c>
      <c r="FZ1935" s="1" t="s">
        <v>632</v>
      </c>
      <c r="GA1935" s="1" t="s">
        <v>291</v>
      </c>
      <c r="GB1935" s="2">
        <v>42003.0</v>
      </c>
      <c r="GC1935" s="1" t="s">
        <v>18583</v>
      </c>
    </row>
    <row r="1936">
      <c r="A1936" s="1">
        <v>360000.0</v>
      </c>
      <c r="B1936" s="1" t="s">
        <v>185</v>
      </c>
      <c r="C1936" s="1" t="str">
        <f>"08720782"</f>
        <v>08720782</v>
      </c>
      <c r="D1936" s="1" t="s">
        <v>186</v>
      </c>
      <c r="F1936" s="1" t="str">
        <f>"554"</f>
        <v>554</v>
      </c>
      <c r="G1936" s="2">
        <v>41887.0</v>
      </c>
      <c r="H1936" s="1">
        <v>379500.0</v>
      </c>
      <c r="I1936" s="1">
        <v>180.0</v>
      </c>
      <c r="J1936" s="1">
        <v>369900.0</v>
      </c>
      <c r="K1936" s="2">
        <v>42066.0</v>
      </c>
      <c r="L1936" s="1">
        <v>180.0</v>
      </c>
      <c r="M1936" s="2">
        <v>42066.0</v>
      </c>
      <c r="N1936" s="1" t="s">
        <v>249</v>
      </c>
      <c r="O1936" s="2">
        <v>42109.0</v>
      </c>
      <c r="P1936" s="1">
        <v>8173.0</v>
      </c>
      <c r="Q1936" s="1">
        <v>30.0</v>
      </c>
      <c r="S1936" s="1">
        <v>683.0</v>
      </c>
      <c r="T1936" s="1" t="s">
        <v>1177</v>
      </c>
      <c r="U1936" s="1" t="s">
        <v>464</v>
      </c>
      <c r="V1936" s="1" t="s">
        <v>2212</v>
      </c>
      <c r="W1936" s="1">
        <v>60554.0</v>
      </c>
      <c r="Y1936" s="1" t="s">
        <v>18584</v>
      </c>
      <c r="Z1936" s="1">
        <v>2006.0</v>
      </c>
      <c r="AA1936" s="1" t="s">
        <v>200</v>
      </c>
      <c r="AB1936" s="1" t="s">
        <v>467</v>
      </c>
      <c r="AC1936" s="1" t="s">
        <v>10791</v>
      </c>
      <c r="AD1936" s="1" t="s">
        <v>1887</v>
      </c>
      <c r="AE1936" s="1" t="s">
        <v>325</v>
      </c>
      <c r="AF1936" s="1" t="s">
        <v>1887</v>
      </c>
      <c r="AG1936" s="1" t="s">
        <v>752</v>
      </c>
      <c r="AH1936" s="1" t="s">
        <v>18585</v>
      </c>
      <c r="AK1936" s="1">
        <v>11.0</v>
      </c>
      <c r="AL1936" s="1">
        <v>4.0</v>
      </c>
      <c r="AM1936" s="1">
        <v>3.0</v>
      </c>
      <c r="AN1936" s="1">
        <v>1.0</v>
      </c>
      <c r="AO1936" s="1" t="s">
        <v>198</v>
      </c>
      <c r="AP1936" s="1">
        <v>1.0</v>
      </c>
      <c r="AQ1936" s="1" t="s">
        <v>198</v>
      </c>
      <c r="AR1936" s="1" t="s">
        <v>200</v>
      </c>
      <c r="AS1936" s="1" t="s">
        <v>199</v>
      </c>
      <c r="AT1936" s="1">
        <v>3.0</v>
      </c>
      <c r="AV1936" s="1" t="s">
        <v>200</v>
      </c>
      <c r="AW1936" s="1">
        <v>12350.62</v>
      </c>
      <c r="AX1936" s="1">
        <v>2013.0</v>
      </c>
      <c r="AY1936" s="1" t="s">
        <v>387</v>
      </c>
      <c r="AZ1936" s="1" t="s">
        <v>200</v>
      </c>
      <c r="BA1936" s="1" t="str">
        <f>"1410180021"</f>
        <v>1410180021</v>
      </c>
      <c r="BB1936" s="1" t="s">
        <v>200</v>
      </c>
      <c r="BC1936" s="1">
        <v>3373.0</v>
      </c>
      <c r="BD1936" s="1">
        <v>360000.0</v>
      </c>
      <c r="BE1936" s="2">
        <v>41887.0</v>
      </c>
      <c r="BF1936" s="2" t="s">
        <v>18586</v>
      </c>
      <c r="BG1936" s="1" t="s">
        <v>1890</v>
      </c>
      <c r="BH1936" s="1">
        <v>400.0</v>
      </c>
      <c r="BI1936" s="1" t="s">
        <v>1635</v>
      </c>
      <c r="BJ1936" s="1" t="s">
        <v>1636</v>
      </c>
      <c r="BK1936" s="1" t="s">
        <v>580</v>
      </c>
      <c r="BL1936" s="1" t="str">
        <f t="shared" ref="BL1936:BM1936" si="1278">""</f>
        <v/>
      </c>
      <c r="BM1936" s="1" t="str">
        <f t="shared" si="1278"/>
        <v/>
      </c>
      <c r="BQ1936" s="1">
        <v>302.0</v>
      </c>
      <c r="BR1936" s="1">
        <v>302.0</v>
      </c>
      <c r="BS1936" s="1">
        <v>302.0</v>
      </c>
      <c r="BU1936" s="1" t="s">
        <v>544</v>
      </c>
      <c r="BV1936" s="1" t="s">
        <v>209</v>
      </c>
      <c r="BW1936" s="1" t="s">
        <v>210</v>
      </c>
      <c r="BX1936" s="1" t="s">
        <v>431</v>
      </c>
      <c r="BY1936" s="1" t="s">
        <v>3989</v>
      </c>
      <c r="BZ1936" s="1" t="s">
        <v>206</v>
      </c>
      <c r="CA1936" s="1" t="s">
        <v>11077</v>
      </c>
      <c r="CB1936" s="1" t="s">
        <v>431</v>
      </c>
      <c r="CC1936" s="1" t="s">
        <v>302</v>
      </c>
      <c r="CD1936" s="1" t="s">
        <v>206</v>
      </c>
      <c r="CE1936" s="1" t="s">
        <v>207</v>
      </c>
      <c r="CF1936" s="1" t="s">
        <v>1549</v>
      </c>
      <c r="CG1936" s="1" t="s">
        <v>677</v>
      </c>
      <c r="CH1936" s="1" t="s">
        <v>209</v>
      </c>
      <c r="CI1936" s="1" t="s">
        <v>210</v>
      </c>
      <c r="CJ1936" s="1" t="s">
        <v>431</v>
      </c>
      <c r="CK1936" s="1" t="s">
        <v>300</v>
      </c>
      <c r="CL1936" s="1" t="s">
        <v>209</v>
      </c>
      <c r="CM1936" s="1" t="s">
        <v>210</v>
      </c>
      <c r="CN1936" s="1" t="s">
        <v>431</v>
      </c>
      <c r="CO1936" s="1" t="s">
        <v>300</v>
      </c>
      <c r="CP1936" s="1" t="s">
        <v>209</v>
      </c>
      <c r="CQ1936" s="1" t="s">
        <v>210</v>
      </c>
      <c r="CR1936" s="1" t="s">
        <v>431</v>
      </c>
      <c r="CS1936" s="1" t="s">
        <v>1417</v>
      </c>
      <c r="CT1936" s="1" t="s">
        <v>206</v>
      </c>
      <c r="CU1936" s="1" t="s">
        <v>207</v>
      </c>
      <c r="CV1936" s="1" t="s">
        <v>229</v>
      </c>
      <c r="CW1936" s="1" t="s">
        <v>1517</v>
      </c>
      <c r="CX1936" s="1" t="s">
        <v>206</v>
      </c>
      <c r="CY1936" s="1" t="s">
        <v>207</v>
      </c>
      <c r="CZ1936" s="1" t="s">
        <v>229</v>
      </c>
      <c r="DA1936" s="1" t="s">
        <v>200</v>
      </c>
      <c r="DC1936" s="1" t="s">
        <v>481</v>
      </c>
      <c r="DD1936" s="1" t="s">
        <v>272</v>
      </c>
      <c r="DE1936" s="1" t="s">
        <v>3750</v>
      </c>
      <c r="DF1936" s="1" t="s">
        <v>18587</v>
      </c>
      <c r="DG1936" s="1" t="s">
        <v>5395</v>
      </c>
      <c r="DH1936" s="1" t="s">
        <v>220</v>
      </c>
      <c r="DI1936" s="1" t="s">
        <v>519</v>
      </c>
      <c r="DJ1936" s="1" t="s">
        <v>222</v>
      </c>
      <c r="DK1936" s="1" t="s">
        <v>223</v>
      </c>
      <c r="DL1936" s="1" t="s">
        <v>18588</v>
      </c>
      <c r="DM1936" s="1" t="s">
        <v>1268</v>
      </c>
      <c r="DN1936" s="1" t="s">
        <v>18589</v>
      </c>
      <c r="DP1936" s="1" t="s">
        <v>340</v>
      </c>
      <c r="DQ1936" s="1" t="s">
        <v>441</v>
      </c>
      <c r="DR1936" s="1" t="s">
        <v>1724</v>
      </c>
      <c r="DS1936" s="1" t="s">
        <v>368</v>
      </c>
      <c r="DU1936" s="1" t="s">
        <v>7655</v>
      </c>
      <c r="DV1936" s="1" t="s">
        <v>18590</v>
      </c>
      <c r="DW1936" s="1" t="s">
        <v>1026</v>
      </c>
      <c r="DX1936" s="1" t="s">
        <v>234</v>
      </c>
      <c r="DY1936" s="1" t="s">
        <v>3946</v>
      </c>
      <c r="DZ1936" s="1" t="s">
        <v>1466</v>
      </c>
      <c r="EB1936" s="1" t="s">
        <v>937</v>
      </c>
      <c r="EC1936" s="1" t="s">
        <v>237</v>
      </c>
      <c r="ED1936" s="1" t="s">
        <v>407</v>
      </c>
      <c r="EG1936" s="1" t="s">
        <v>556</v>
      </c>
      <c r="EH1936" s="1" t="s">
        <v>1729</v>
      </c>
      <c r="EI1936" s="1" t="s">
        <v>557</v>
      </c>
      <c r="EL1936" s="1" t="s">
        <v>495</v>
      </c>
      <c r="EM1936" s="1" t="s">
        <v>206</v>
      </c>
      <c r="EN1936" s="1" t="s">
        <v>207</v>
      </c>
      <c r="EO1936" s="1" t="s">
        <v>229</v>
      </c>
      <c r="EP1936" s="1" t="s">
        <v>647</v>
      </c>
      <c r="EQ1936" s="1" t="s">
        <v>206</v>
      </c>
      <c r="ER1936" s="1" t="s">
        <v>268</v>
      </c>
      <c r="ES1936" s="1" t="s">
        <v>431</v>
      </c>
      <c r="ET1936" s="1" t="s">
        <v>798</v>
      </c>
      <c r="EU1936" s="1" t="s">
        <v>209</v>
      </c>
      <c r="EV1936" s="1" t="s">
        <v>268</v>
      </c>
      <c r="EW1936" s="1" t="s">
        <v>229</v>
      </c>
      <c r="EY1936" s="1" t="s">
        <v>238</v>
      </c>
      <c r="FC1936" s="1" t="s">
        <v>238</v>
      </c>
      <c r="FF1936" s="1" t="s">
        <v>239</v>
      </c>
      <c r="FG1936" s="1" t="s">
        <v>192</v>
      </c>
      <c r="FH1936" s="1" t="s">
        <v>192</v>
      </c>
      <c r="FJ1936" s="1" t="s">
        <v>770</v>
      </c>
      <c r="FK1936" s="1" t="s">
        <v>229</v>
      </c>
      <c r="FL1936" s="1" t="s">
        <v>2226</v>
      </c>
      <c r="FM1936" s="1">
        <v>300.0</v>
      </c>
      <c r="FN1936" s="1" t="s">
        <v>2227</v>
      </c>
      <c r="FO1936" s="1" t="s">
        <v>2228</v>
      </c>
      <c r="FP1936" s="1">
        <v>313816.0</v>
      </c>
      <c r="FQ1936" s="1" t="s">
        <v>2229</v>
      </c>
      <c r="FR1936" s="1">
        <v>8490.0</v>
      </c>
      <c r="FS1936" s="1" t="s">
        <v>2230</v>
      </c>
      <c r="FU1936" s="1" t="s">
        <v>18591</v>
      </c>
      <c r="FV1936" s="1" t="s">
        <v>200</v>
      </c>
      <c r="FW1936" s="1" t="s">
        <v>567</v>
      </c>
      <c r="FZ1936" s="1" t="s">
        <v>229</v>
      </c>
      <c r="GA1936" s="1" t="s">
        <v>291</v>
      </c>
      <c r="GB1936" s="2">
        <v>42109.0</v>
      </c>
      <c r="GC1936" s="1" t="s">
        <v>18592</v>
      </c>
    </row>
    <row r="1937">
      <c r="A1937" s="1">
        <v>370000.0</v>
      </c>
      <c r="B1937" s="1" t="s">
        <v>185</v>
      </c>
      <c r="C1937" s="1" t="str">
        <f>"08730408"</f>
        <v>08730408</v>
      </c>
      <c r="D1937" s="1" t="s">
        <v>186</v>
      </c>
      <c r="F1937" s="1" t="str">
        <f>"8014"</f>
        <v>8014</v>
      </c>
      <c r="G1937" s="2">
        <v>41899.0</v>
      </c>
      <c r="H1937" s="1">
        <v>395000.0</v>
      </c>
      <c r="I1937" s="1">
        <v>124.0</v>
      </c>
      <c r="J1937" s="1">
        <v>392000.0</v>
      </c>
      <c r="K1937" s="2">
        <v>42022.0</v>
      </c>
      <c r="L1937" s="1">
        <v>124.0</v>
      </c>
      <c r="M1937" s="2">
        <v>42022.0</v>
      </c>
      <c r="N1937" s="1" t="s">
        <v>187</v>
      </c>
      <c r="O1937" s="2">
        <v>42060.0</v>
      </c>
      <c r="P1937" s="1">
        <v>159088.0</v>
      </c>
      <c r="Q1937" s="1">
        <v>10646.0</v>
      </c>
      <c r="S1937" s="1">
        <v>4922.0</v>
      </c>
      <c r="T1937" s="1" t="s">
        <v>7309</v>
      </c>
      <c r="U1937" s="1" t="s">
        <v>189</v>
      </c>
      <c r="V1937" s="1" t="s">
        <v>190</v>
      </c>
      <c r="W1937" s="1">
        <v>60630.0</v>
      </c>
      <c r="Y1937" s="1" t="s">
        <v>18593</v>
      </c>
      <c r="Z1937" s="1">
        <v>1923.0</v>
      </c>
      <c r="AA1937" s="1" t="s">
        <v>192</v>
      </c>
      <c r="AB1937" s="1" t="s">
        <v>193</v>
      </c>
      <c r="AD1937" s="1" t="s">
        <v>194</v>
      </c>
      <c r="AE1937" s="1" t="s">
        <v>195</v>
      </c>
      <c r="AF1937" s="1" t="s">
        <v>196</v>
      </c>
      <c r="AH1937" s="1" t="s">
        <v>1501</v>
      </c>
      <c r="AK1937" s="1">
        <v>11.0</v>
      </c>
      <c r="AL1937" s="1">
        <v>4.0</v>
      </c>
      <c r="AM1937" s="1">
        <v>2.0</v>
      </c>
      <c r="AN1937" s="1">
        <v>0.0</v>
      </c>
      <c r="AO1937" s="1" t="s">
        <v>229</v>
      </c>
      <c r="AP1937" s="1">
        <v>1.0</v>
      </c>
      <c r="AQ1937" s="1" t="s">
        <v>198</v>
      </c>
      <c r="AR1937" s="1" t="s">
        <v>200</v>
      </c>
      <c r="AS1937" s="1" t="s">
        <v>199</v>
      </c>
      <c r="AT1937" s="1">
        <v>2.5</v>
      </c>
      <c r="AV1937" s="1" t="s">
        <v>200</v>
      </c>
      <c r="AW1937" s="1">
        <v>3462.0</v>
      </c>
      <c r="AX1937" s="1">
        <v>2013.0</v>
      </c>
      <c r="AY1937" s="1" t="s">
        <v>387</v>
      </c>
      <c r="AZ1937" s="1" t="s">
        <v>200</v>
      </c>
      <c r="BA1937" s="1" t="str">
        <f>"13104140280000"</f>
        <v>13104140280000</v>
      </c>
      <c r="BB1937" s="1" t="s">
        <v>200</v>
      </c>
      <c r="BC1937" s="1">
        <v>1880.0</v>
      </c>
      <c r="BD1937" s="1">
        <v>370000.0</v>
      </c>
      <c r="BE1937" s="2">
        <v>41899.0</v>
      </c>
      <c r="BF1937" s="2" t="s">
        <v>18594</v>
      </c>
      <c r="BG1937" s="1" t="s">
        <v>2519</v>
      </c>
      <c r="BH1937" s="1">
        <v>0.0</v>
      </c>
      <c r="BK1937" s="1" t="s">
        <v>204</v>
      </c>
      <c r="BL1937" s="1" t="str">
        <f>"4900"</f>
        <v>4900</v>
      </c>
      <c r="BM1937" s="1" t="str">
        <f t="shared" ref="BM1937:BM1938" si="1279">"0"</f>
        <v>0</v>
      </c>
      <c r="BN1937" s="1">
        <v>4300.0</v>
      </c>
      <c r="BO1937" s="1">
        <v>0.0</v>
      </c>
      <c r="BQ1937" s="1">
        <v>299.0</v>
      </c>
      <c r="BR1937" s="1">
        <v>299.0</v>
      </c>
      <c r="BS1937" s="1">
        <v>299.0</v>
      </c>
      <c r="BU1937" s="1" t="s">
        <v>1891</v>
      </c>
      <c r="BV1937" s="1" t="s">
        <v>206</v>
      </c>
      <c r="BW1937" s="1" t="s">
        <v>207</v>
      </c>
      <c r="BY1937" s="1" t="s">
        <v>432</v>
      </c>
      <c r="BZ1937" s="1" t="s">
        <v>209</v>
      </c>
      <c r="CA1937" s="1" t="s">
        <v>207</v>
      </c>
      <c r="CC1937" s="1" t="s">
        <v>363</v>
      </c>
      <c r="CD1937" s="1" t="s">
        <v>206</v>
      </c>
      <c r="CE1937" s="1" t="s">
        <v>207</v>
      </c>
      <c r="CG1937" s="1" t="s">
        <v>495</v>
      </c>
      <c r="CH1937" s="1" t="s">
        <v>206</v>
      </c>
      <c r="CI1937" s="1" t="s">
        <v>210</v>
      </c>
      <c r="CK1937" s="1" t="s">
        <v>266</v>
      </c>
      <c r="CL1937" s="1" t="s">
        <v>206</v>
      </c>
      <c r="CM1937" s="1" t="s">
        <v>210</v>
      </c>
      <c r="CO1937" s="1" t="s">
        <v>1137</v>
      </c>
      <c r="CP1937" s="1" t="s">
        <v>209</v>
      </c>
      <c r="CQ1937" s="1" t="s">
        <v>210</v>
      </c>
      <c r="CS1937" s="1" t="s">
        <v>332</v>
      </c>
      <c r="CT1937" s="1" t="s">
        <v>206</v>
      </c>
      <c r="CU1937" s="1" t="s">
        <v>207</v>
      </c>
      <c r="CW1937" s="1" t="s">
        <v>1158</v>
      </c>
      <c r="CX1937" s="1" t="s">
        <v>206</v>
      </c>
      <c r="CY1937" s="1" t="s">
        <v>210</v>
      </c>
      <c r="DA1937" s="1" t="s">
        <v>200</v>
      </c>
      <c r="DC1937" s="1" t="s">
        <v>216</v>
      </c>
      <c r="DD1937" s="1" t="s">
        <v>7914</v>
      </c>
      <c r="DE1937" s="1" t="s">
        <v>1139</v>
      </c>
      <c r="DF1937" s="1" t="s">
        <v>18595</v>
      </c>
      <c r="DG1937" s="1" t="s">
        <v>788</v>
      </c>
      <c r="DH1937" s="1" t="s">
        <v>365</v>
      </c>
      <c r="DI1937" s="1" t="s">
        <v>18596</v>
      </c>
      <c r="DJ1937" s="1" t="s">
        <v>222</v>
      </c>
      <c r="DK1937" s="1" t="s">
        <v>224</v>
      </c>
      <c r="DL1937" s="1" t="s">
        <v>224</v>
      </c>
      <c r="DM1937" s="1" t="s">
        <v>1143</v>
      </c>
      <c r="DP1937" s="1" t="s">
        <v>340</v>
      </c>
      <c r="DQ1937" s="1" t="s">
        <v>228</v>
      </c>
      <c r="DR1937" s="1" t="s">
        <v>229</v>
      </c>
      <c r="DS1937" s="1" t="s">
        <v>230</v>
      </c>
      <c r="DU1937" s="1" t="s">
        <v>2070</v>
      </c>
      <c r="DV1937" s="1" t="s">
        <v>18597</v>
      </c>
      <c r="DW1937" s="1" t="s">
        <v>279</v>
      </c>
      <c r="DX1937" s="1" t="s">
        <v>234</v>
      </c>
      <c r="DY1937" s="1" t="s">
        <v>10251</v>
      </c>
      <c r="DZ1937" s="1" t="s">
        <v>282</v>
      </c>
      <c r="EA1937" s="1" t="s">
        <v>644</v>
      </c>
      <c r="EB1937" s="1" t="s">
        <v>797</v>
      </c>
      <c r="EC1937" s="1" t="s">
        <v>645</v>
      </c>
      <c r="ED1937" s="1" t="s">
        <v>407</v>
      </c>
      <c r="EE1937" s="1" t="s">
        <v>493</v>
      </c>
      <c r="EG1937" s="1" t="s">
        <v>1121</v>
      </c>
      <c r="EH1937" s="1" t="s">
        <v>1102</v>
      </c>
      <c r="EI1937" s="1" t="s">
        <v>450</v>
      </c>
      <c r="EJ1937" s="1" t="s">
        <v>2971</v>
      </c>
      <c r="EK1937" s="1" t="s">
        <v>1103</v>
      </c>
      <c r="EL1937" s="1" t="s">
        <v>8591</v>
      </c>
      <c r="EM1937" s="1" t="s">
        <v>209</v>
      </c>
      <c r="EN1937" s="1" t="s">
        <v>207</v>
      </c>
      <c r="EP1937" s="1" t="s">
        <v>543</v>
      </c>
      <c r="EQ1937" s="1" t="s">
        <v>206</v>
      </c>
      <c r="ER1937" s="1" t="s">
        <v>207</v>
      </c>
      <c r="ES1937" s="1" t="s">
        <v>1549</v>
      </c>
      <c r="ET1937" s="1" t="s">
        <v>6162</v>
      </c>
      <c r="EU1937" s="1" t="s">
        <v>42</v>
      </c>
      <c r="EV1937" s="1" t="s">
        <v>588</v>
      </c>
      <c r="EX1937" s="1" t="s">
        <v>1352</v>
      </c>
      <c r="EY1937" s="1" t="s">
        <v>42</v>
      </c>
      <c r="EZ1937" s="1" t="s">
        <v>588</v>
      </c>
      <c r="FB1937" s="1" t="s">
        <v>663</v>
      </c>
      <c r="FC1937" s="1" t="s">
        <v>42</v>
      </c>
      <c r="FF1937" s="1" t="s">
        <v>239</v>
      </c>
      <c r="FG1937" s="1" t="s">
        <v>192</v>
      </c>
      <c r="FH1937" s="1" t="s">
        <v>192</v>
      </c>
      <c r="FJ1937" s="1" t="s">
        <v>686</v>
      </c>
      <c r="FK1937" s="1" t="s">
        <v>229</v>
      </c>
      <c r="FL1937" s="1" t="s">
        <v>456</v>
      </c>
      <c r="FM1937" s="1">
        <v>49.0</v>
      </c>
      <c r="FN1937" s="1" t="s">
        <v>457</v>
      </c>
      <c r="FO1937" s="1" t="s">
        <v>18598</v>
      </c>
      <c r="FP1937" s="1">
        <v>8858.0</v>
      </c>
      <c r="FU1937" s="1" t="s">
        <v>18599</v>
      </c>
      <c r="FV1937" s="1" t="s">
        <v>192</v>
      </c>
      <c r="FW1937" s="1" t="s">
        <v>290</v>
      </c>
      <c r="FX1937" s="1" t="s">
        <v>238</v>
      </c>
      <c r="FZ1937" s="1" t="s">
        <v>229</v>
      </c>
      <c r="GA1937" s="1" t="s">
        <v>291</v>
      </c>
      <c r="GB1937" s="2">
        <v>42065.0</v>
      </c>
      <c r="GC1937" s="1" t="s">
        <v>18600</v>
      </c>
    </row>
    <row r="1938">
      <c r="A1938" s="1">
        <v>660000.0</v>
      </c>
      <c r="B1938" s="1" t="s">
        <v>185</v>
      </c>
      <c r="C1938" s="1" t="str">
        <f>"08720813"</f>
        <v>08720813</v>
      </c>
      <c r="D1938" s="1" t="s">
        <v>186</v>
      </c>
      <c r="F1938" s="1" t="str">
        <f>"10"</f>
        <v>10</v>
      </c>
      <c r="G1938" s="2">
        <v>41887.0</v>
      </c>
      <c r="H1938" s="1">
        <v>695000.0</v>
      </c>
      <c r="I1938" s="1">
        <v>208.0</v>
      </c>
      <c r="J1938" s="1">
        <v>670000.0</v>
      </c>
      <c r="K1938" s="2">
        <v>42018.0</v>
      </c>
      <c r="L1938" s="1">
        <v>134.0</v>
      </c>
      <c r="M1938" s="2">
        <v>42018.0</v>
      </c>
      <c r="N1938" s="1" t="s">
        <v>249</v>
      </c>
      <c r="O1938" s="2">
        <v>42047.0</v>
      </c>
      <c r="P1938" s="1">
        <v>60261.0</v>
      </c>
      <c r="Q1938" s="1">
        <v>6018.0</v>
      </c>
      <c r="S1938" s="1">
        <v>383.0</v>
      </c>
      <c r="T1938" s="1" t="s">
        <v>18601</v>
      </c>
      <c r="U1938" s="1" t="s">
        <v>420</v>
      </c>
      <c r="V1938" s="1" t="s">
        <v>1706</v>
      </c>
      <c r="W1938" s="1">
        <v>60010.0</v>
      </c>
      <c r="Y1938" s="1" t="s">
        <v>18602</v>
      </c>
      <c r="Z1938" s="1">
        <v>1968.0</v>
      </c>
      <c r="AA1938" s="1" t="s">
        <v>192</v>
      </c>
      <c r="AB1938" s="1" t="s">
        <v>193</v>
      </c>
      <c r="AC1938" s="1" t="s">
        <v>5808</v>
      </c>
      <c r="AD1938" s="1" t="s">
        <v>1948</v>
      </c>
      <c r="AE1938" s="1" t="s">
        <v>917</v>
      </c>
      <c r="AF1938" s="1" t="s">
        <v>918</v>
      </c>
      <c r="AH1938" s="1" t="s">
        <v>18603</v>
      </c>
      <c r="AI1938" s="1">
        <v>0.47</v>
      </c>
      <c r="AK1938" s="1">
        <v>12.0</v>
      </c>
      <c r="AL1938" s="1">
        <v>4.0</v>
      </c>
      <c r="AM1938" s="1">
        <v>2.0</v>
      </c>
      <c r="AN1938" s="1">
        <v>1.0</v>
      </c>
      <c r="AO1938" s="1" t="s">
        <v>198</v>
      </c>
      <c r="AP1938" s="1">
        <v>1.0</v>
      </c>
      <c r="AQ1938" s="1" t="s">
        <v>198</v>
      </c>
      <c r="AR1938" s="1" t="s">
        <v>200</v>
      </c>
      <c r="AS1938" s="1" t="s">
        <v>199</v>
      </c>
      <c r="AT1938" s="1">
        <v>2.0</v>
      </c>
      <c r="AV1938" s="1" t="s">
        <v>192</v>
      </c>
      <c r="AW1938" s="1">
        <v>13604.0</v>
      </c>
      <c r="AX1938" s="1">
        <v>2013.0</v>
      </c>
      <c r="AY1938" s="1" t="s">
        <v>387</v>
      </c>
      <c r="AZ1938" s="1" t="s">
        <v>200</v>
      </c>
      <c r="BA1938" s="1" t="str">
        <f>"14313020180000"</f>
        <v>14313020180000</v>
      </c>
      <c r="BB1938" s="1" t="s">
        <v>200</v>
      </c>
      <c r="BC1938" s="1">
        <v>3010.0</v>
      </c>
      <c r="BD1938" s="1">
        <v>660000.0</v>
      </c>
      <c r="BE1938" s="2">
        <v>41885.0</v>
      </c>
      <c r="BF1938" s="2" t="s">
        <v>18604</v>
      </c>
      <c r="BG1938" s="1" t="s">
        <v>1712</v>
      </c>
      <c r="BH1938" s="1">
        <v>882.0</v>
      </c>
      <c r="BI1938" s="1" t="s">
        <v>2012</v>
      </c>
      <c r="BJ1938" s="1" t="s">
        <v>1714</v>
      </c>
      <c r="BK1938" s="1" t="s">
        <v>580</v>
      </c>
      <c r="BL1938" s="1" t="str">
        <f>"20"</f>
        <v>20</v>
      </c>
      <c r="BM1938" s="1" t="str">
        <f t="shared" si="1279"/>
        <v>0</v>
      </c>
      <c r="BN1938" s="1">
        <v>24.0</v>
      </c>
      <c r="BO1938" s="1">
        <v>0.0</v>
      </c>
      <c r="BQ1938" s="1">
        <v>220.0</v>
      </c>
      <c r="BR1938" s="1">
        <v>220.0</v>
      </c>
      <c r="BS1938" s="1">
        <v>220.0</v>
      </c>
      <c r="BU1938" s="1" t="s">
        <v>2181</v>
      </c>
      <c r="BV1938" s="1" t="s">
        <v>206</v>
      </c>
      <c r="BW1938" s="1" t="s">
        <v>207</v>
      </c>
      <c r="BX1938" s="1" t="s">
        <v>229</v>
      </c>
      <c r="BY1938" s="1" t="s">
        <v>260</v>
      </c>
      <c r="BZ1938" s="1" t="s">
        <v>206</v>
      </c>
      <c r="CA1938" s="1" t="s">
        <v>207</v>
      </c>
      <c r="CB1938" s="1" t="s">
        <v>1118</v>
      </c>
      <c r="CC1938" s="1" t="s">
        <v>454</v>
      </c>
      <c r="CD1938" s="1" t="s">
        <v>206</v>
      </c>
      <c r="CE1938" s="1" t="s">
        <v>207</v>
      </c>
      <c r="CF1938" s="1" t="s">
        <v>1549</v>
      </c>
      <c r="CG1938" s="1" t="s">
        <v>215</v>
      </c>
      <c r="CH1938" s="1" t="s">
        <v>206</v>
      </c>
      <c r="CI1938" s="1" t="s">
        <v>210</v>
      </c>
      <c r="CJ1938" s="1" t="s">
        <v>1118</v>
      </c>
      <c r="CK1938" s="1" t="s">
        <v>211</v>
      </c>
      <c r="CL1938" s="1" t="s">
        <v>206</v>
      </c>
      <c r="CM1938" s="1" t="s">
        <v>207</v>
      </c>
      <c r="CN1938" s="1" t="s">
        <v>1118</v>
      </c>
      <c r="CO1938" s="1" t="s">
        <v>433</v>
      </c>
      <c r="CP1938" s="1" t="s">
        <v>206</v>
      </c>
      <c r="CQ1938" s="1" t="s">
        <v>207</v>
      </c>
      <c r="CR1938" s="1" t="s">
        <v>1118</v>
      </c>
      <c r="CS1938" s="1" t="s">
        <v>1483</v>
      </c>
      <c r="CT1938" s="1" t="s">
        <v>206</v>
      </c>
      <c r="CU1938" s="1" t="s">
        <v>207</v>
      </c>
      <c r="CV1938" s="1" t="s">
        <v>1118</v>
      </c>
      <c r="CW1938" s="1" t="s">
        <v>544</v>
      </c>
      <c r="CX1938" s="1" t="s">
        <v>206</v>
      </c>
      <c r="CY1938" s="1" t="s">
        <v>207</v>
      </c>
      <c r="CZ1938" s="1" t="s">
        <v>1549</v>
      </c>
      <c r="DA1938" s="1" t="s">
        <v>200</v>
      </c>
      <c r="DC1938" s="1" t="s">
        <v>517</v>
      </c>
      <c r="DD1938" s="1" t="s">
        <v>336</v>
      </c>
      <c r="DE1938" s="1" t="s">
        <v>273</v>
      </c>
      <c r="DF1938" s="1" t="s">
        <v>219</v>
      </c>
      <c r="DG1938" s="1" t="s">
        <v>18605</v>
      </c>
      <c r="DH1938" s="1" t="s">
        <v>220</v>
      </c>
      <c r="DI1938" s="1" t="s">
        <v>1813</v>
      </c>
      <c r="DJ1938" s="1" t="s">
        <v>222</v>
      </c>
      <c r="DL1938" s="1" t="s">
        <v>224</v>
      </c>
      <c r="DM1938" s="1" t="s">
        <v>338</v>
      </c>
      <c r="DN1938" s="1" t="s">
        <v>18606</v>
      </c>
      <c r="DO1938" s="1" t="s">
        <v>18607</v>
      </c>
      <c r="DP1938" s="1" t="s">
        <v>340</v>
      </c>
      <c r="DQ1938" s="1" t="s">
        <v>1557</v>
      </c>
      <c r="DR1938" s="1" t="s">
        <v>4564</v>
      </c>
      <c r="DS1938" s="1" t="s">
        <v>591</v>
      </c>
      <c r="DU1938" s="1" t="s">
        <v>3890</v>
      </c>
      <c r="DV1938" s="1" t="s">
        <v>18608</v>
      </c>
      <c r="DW1938" s="1" t="s">
        <v>279</v>
      </c>
      <c r="DX1938" s="1" t="s">
        <v>234</v>
      </c>
      <c r="DY1938" s="1" t="s">
        <v>18609</v>
      </c>
      <c r="DZ1938" s="1" t="s">
        <v>18610</v>
      </c>
      <c r="EA1938" s="1" t="s">
        <v>683</v>
      </c>
      <c r="EC1938" s="1" t="s">
        <v>685</v>
      </c>
      <c r="ED1938" s="1" t="s">
        <v>555</v>
      </c>
      <c r="EG1938" s="1" t="s">
        <v>449</v>
      </c>
      <c r="EH1938" s="1" t="s">
        <v>450</v>
      </c>
      <c r="EI1938" s="1" t="s">
        <v>1491</v>
      </c>
      <c r="EJ1938" s="1" t="s">
        <v>1824</v>
      </c>
      <c r="EK1938" s="1" t="s">
        <v>408</v>
      </c>
      <c r="EL1938" s="1" t="s">
        <v>584</v>
      </c>
      <c r="EM1938" s="1" t="s">
        <v>206</v>
      </c>
      <c r="EN1938" s="1" t="s">
        <v>207</v>
      </c>
      <c r="EO1938" s="1" t="s">
        <v>229</v>
      </c>
      <c r="EP1938" s="1" t="s">
        <v>18611</v>
      </c>
      <c r="EQ1938" s="1" t="s">
        <v>42</v>
      </c>
      <c r="ER1938" s="1" t="s">
        <v>210</v>
      </c>
      <c r="ES1938" s="1" t="s">
        <v>229</v>
      </c>
      <c r="ET1938" s="1" t="s">
        <v>1138</v>
      </c>
      <c r="EU1938" s="1" t="s">
        <v>42</v>
      </c>
      <c r="EV1938" s="1" t="s">
        <v>588</v>
      </c>
      <c r="EW1938" s="1" t="s">
        <v>229</v>
      </c>
      <c r="EX1938" s="1" t="s">
        <v>1953</v>
      </c>
      <c r="EY1938" s="1" t="s">
        <v>42</v>
      </c>
      <c r="EZ1938" s="1" t="s">
        <v>210</v>
      </c>
      <c r="FA1938" s="1" t="s">
        <v>229</v>
      </c>
      <c r="FB1938" s="1" t="s">
        <v>363</v>
      </c>
      <c r="FC1938" s="1" t="s">
        <v>206</v>
      </c>
      <c r="FD1938" s="1" t="s">
        <v>268</v>
      </c>
      <c r="FE1938" s="1" t="s">
        <v>229</v>
      </c>
      <c r="FF1938" s="1" t="s">
        <v>239</v>
      </c>
      <c r="FG1938" s="1" t="s">
        <v>192</v>
      </c>
      <c r="FH1938" s="1" t="s">
        <v>192</v>
      </c>
      <c r="FJ1938" s="1" t="s">
        <v>498</v>
      </c>
      <c r="FK1938" s="1" t="s">
        <v>229</v>
      </c>
      <c r="FL1938" s="1" t="s">
        <v>2026</v>
      </c>
      <c r="FM1938" s="1">
        <v>6018.0</v>
      </c>
      <c r="FN1938" s="1" t="s">
        <v>2027</v>
      </c>
      <c r="FO1938" s="1" t="s">
        <v>10944</v>
      </c>
      <c r="FP1938" s="1">
        <v>61461.0</v>
      </c>
      <c r="FS1938" s="1" t="s">
        <v>10945</v>
      </c>
      <c r="FU1938" s="1" t="s">
        <v>18612</v>
      </c>
      <c r="FV1938" s="1" t="s">
        <v>200</v>
      </c>
      <c r="FW1938" s="1" t="s">
        <v>530</v>
      </c>
      <c r="FX1938" s="1" t="s">
        <v>238</v>
      </c>
      <c r="FZ1938" s="1" t="s">
        <v>229</v>
      </c>
      <c r="GA1938" s="1" t="s">
        <v>291</v>
      </c>
      <c r="GB1938" s="2">
        <v>42047.0</v>
      </c>
      <c r="GC1938" s="1" t="s">
        <v>18613</v>
      </c>
    </row>
    <row r="1939">
      <c r="A1939" s="1">
        <v>100000.0</v>
      </c>
      <c r="B1939" s="1" t="s">
        <v>185</v>
      </c>
      <c r="C1939" s="1" t="str">
        <f>"08719883"</f>
        <v>08719883</v>
      </c>
      <c r="D1939" s="1" t="s">
        <v>186</v>
      </c>
      <c r="F1939" s="1" t="str">
        <f>"115"</f>
        <v>115</v>
      </c>
      <c r="G1939" s="2">
        <v>41887.0</v>
      </c>
      <c r="H1939" s="1">
        <v>128500.0</v>
      </c>
      <c r="I1939" s="1">
        <v>173.0</v>
      </c>
      <c r="J1939" s="1">
        <v>97500.0</v>
      </c>
      <c r="K1939" s="2">
        <v>42058.0</v>
      </c>
      <c r="L1939" s="1">
        <v>173.0</v>
      </c>
      <c r="M1939" s="2">
        <v>42058.0</v>
      </c>
      <c r="N1939" s="1" t="s">
        <v>356</v>
      </c>
      <c r="O1939" s="2">
        <v>42094.0</v>
      </c>
      <c r="P1939" s="1">
        <v>237432.0</v>
      </c>
      <c r="Q1939" s="1">
        <v>24809.0</v>
      </c>
      <c r="R1939" s="1">
        <v>2500.0</v>
      </c>
      <c r="S1939" s="1">
        <v>605.0</v>
      </c>
      <c r="T1939" s="1" t="s">
        <v>1899</v>
      </c>
      <c r="U1939" s="1" t="s">
        <v>189</v>
      </c>
      <c r="V1939" s="1" t="s">
        <v>610</v>
      </c>
      <c r="W1939" s="1">
        <v>60115.0</v>
      </c>
      <c r="Y1939" s="1" t="s">
        <v>18614</v>
      </c>
      <c r="Z1939" s="1">
        <v>1965.0</v>
      </c>
      <c r="AA1939" s="1" t="s">
        <v>192</v>
      </c>
      <c r="AB1939" s="1" t="s">
        <v>193</v>
      </c>
      <c r="AD1939" s="1" t="s">
        <v>612</v>
      </c>
      <c r="AE1939" s="1" t="s">
        <v>613</v>
      </c>
      <c r="AF1939" s="1" t="s">
        <v>612</v>
      </c>
      <c r="AH1939" s="1" t="s">
        <v>18615</v>
      </c>
      <c r="AK1939" s="1">
        <v>7.0</v>
      </c>
      <c r="AL1939" s="1">
        <v>4.0</v>
      </c>
      <c r="AM1939" s="1">
        <v>1.0</v>
      </c>
      <c r="AN1939" s="1">
        <v>1.0</v>
      </c>
      <c r="AO1939" s="1" t="s">
        <v>229</v>
      </c>
      <c r="AQ1939" s="1" t="s">
        <v>198</v>
      </c>
      <c r="AR1939" s="1" t="s">
        <v>200</v>
      </c>
      <c r="AS1939" s="1" t="s">
        <v>199</v>
      </c>
      <c r="AT1939" s="1">
        <v>1.0</v>
      </c>
      <c r="AV1939" s="1" t="s">
        <v>200</v>
      </c>
      <c r="AW1939" s="1">
        <v>4822.92</v>
      </c>
      <c r="AX1939" s="1">
        <v>2013.0</v>
      </c>
      <c r="AZ1939" s="1" t="s">
        <v>200</v>
      </c>
      <c r="BA1939" s="1" t="str">
        <f>"0826355015"</f>
        <v>0826355015</v>
      </c>
      <c r="BB1939" s="1" t="s">
        <v>200</v>
      </c>
      <c r="BC1939" s="1">
        <v>1600.0</v>
      </c>
      <c r="BD1939" s="1">
        <v>100000.0</v>
      </c>
      <c r="BE1939" s="2">
        <v>41886.0</v>
      </c>
      <c r="BF1939" s="1" t="s">
        <v>18616</v>
      </c>
      <c r="BH1939" s="1">
        <v>0.0</v>
      </c>
      <c r="BK1939" s="1" t="s">
        <v>204</v>
      </c>
      <c r="BL1939" s="1" t="str">
        <f t="shared" ref="BL1939:BM1939" si="1280">""</f>
        <v/>
      </c>
      <c r="BM1939" s="1" t="str">
        <f t="shared" si="1280"/>
        <v/>
      </c>
      <c r="BQ1939" s="1">
        <v>428.0</v>
      </c>
      <c r="BR1939" s="1">
        <v>428.0</v>
      </c>
      <c r="BS1939" s="1">
        <v>428.0</v>
      </c>
      <c r="BU1939" s="1" t="s">
        <v>2923</v>
      </c>
      <c r="BV1939" s="1" t="s">
        <v>206</v>
      </c>
      <c r="BW1939" s="1" t="s">
        <v>207</v>
      </c>
      <c r="BY1939" s="1" t="s">
        <v>1068</v>
      </c>
      <c r="BZ1939" s="1" t="s">
        <v>209</v>
      </c>
      <c r="CA1939" s="1" t="s">
        <v>207</v>
      </c>
      <c r="CC1939" s="1" t="s">
        <v>300</v>
      </c>
      <c r="CD1939" s="1" t="s">
        <v>206</v>
      </c>
      <c r="CE1939" s="1" t="s">
        <v>207</v>
      </c>
      <c r="CG1939" s="1" t="s">
        <v>2082</v>
      </c>
      <c r="CH1939" s="1" t="s">
        <v>209</v>
      </c>
      <c r="CI1939" s="1" t="s">
        <v>207</v>
      </c>
      <c r="CK1939" s="1" t="s">
        <v>663</v>
      </c>
      <c r="CL1939" s="1" t="s">
        <v>209</v>
      </c>
      <c r="CM1939" s="1" t="s">
        <v>207</v>
      </c>
      <c r="CO1939" s="1" t="s">
        <v>798</v>
      </c>
      <c r="CP1939" s="1" t="s">
        <v>209</v>
      </c>
      <c r="CQ1939" s="1" t="s">
        <v>207</v>
      </c>
      <c r="CS1939" s="1" t="s">
        <v>1329</v>
      </c>
      <c r="CT1939" s="1" t="s">
        <v>206</v>
      </c>
      <c r="CU1939" s="1" t="s">
        <v>268</v>
      </c>
      <c r="CX1939" s="1" t="s">
        <v>204</v>
      </c>
      <c r="DA1939" s="1" t="s">
        <v>200</v>
      </c>
      <c r="DC1939" s="1" t="s">
        <v>517</v>
      </c>
      <c r="DE1939" s="1" t="s">
        <v>273</v>
      </c>
      <c r="DF1939" s="1" t="s">
        <v>619</v>
      </c>
      <c r="DH1939" s="1" t="s">
        <v>220</v>
      </c>
      <c r="DJ1939" s="1" t="s">
        <v>222</v>
      </c>
      <c r="DL1939" s="1" t="s">
        <v>223</v>
      </c>
      <c r="DM1939" s="1" t="s">
        <v>229</v>
      </c>
      <c r="DQ1939" s="1" t="s">
        <v>228</v>
      </c>
      <c r="DR1939" s="1" t="s">
        <v>229</v>
      </c>
      <c r="DV1939" s="1" t="s">
        <v>232</v>
      </c>
      <c r="DW1939" s="1" t="s">
        <v>233</v>
      </c>
      <c r="DX1939" s="1" t="s">
        <v>234</v>
      </c>
      <c r="DY1939" s="1" t="s">
        <v>704</v>
      </c>
      <c r="EA1939" s="1" t="s">
        <v>344</v>
      </c>
      <c r="EC1939" s="1" t="s">
        <v>237</v>
      </c>
      <c r="EM1939" s="1" t="s">
        <v>238</v>
      </c>
      <c r="EQ1939" s="1" t="s">
        <v>238</v>
      </c>
      <c r="EU1939" s="1" t="s">
        <v>238</v>
      </c>
      <c r="EY1939" s="1" t="s">
        <v>238</v>
      </c>
      <c r="FC1939" s="1" t="s">
        <v>238</v>
      </c>
      <c r="FF1939" s="1" t="s">
        <v>239</v>
      </c>
      <c r="FG1939" s="1" t="s">
        <v>192</v>
      </c>
      <c r="FH1939" s="1" t="s">
        <v>192</v>
      </c>
      <c r="FJ1939" s="1" t="s">
        <v>347</v>
      </c>
      <c r="FK1939" s="1" t="s">
        <v>348</v>
      </c>
      <c r="FL1939" s="1" t="s">
        <v>349</v>
      </c>
      <c r="FM1939" s="1">
        <v>93162.0</v>
      </c>
      <c r="FN1939" s="1" t="s">
        <v>350</v>
      </c>
      <c r="FO1939" s="1" t="s">
        <v>351</v>
      </c>
      <c r="FP1939" s="1">
        <v>931530.0</v>
      </c>
      <c r="FS1939" s="1" t="s">
        <v>352</v>
      </c>
      <c r="FU1939" s="1" t="s">
        <v>353</v>
      </c>
      <c r="FV1939" s="1" t="s">
        <v>200</v>
      </c>
      <c r="FW1939" s="1" t="s">
        <v>354</v>
      </c>
      <c r="FZ1939" s="1" t="s">
        <v>229</v>
      </c>
      <c r="GA1939" s="1" t="s">
        <v>291</v>
      </c>
      <c r="GB1939" s="2">
        <v>42094.0</v>
      </c>
      <c r="GC1939" s="1" t="s">
        <v>18617</v>
      </c>
    </row>
    <row r="1940">
      <c r="A1940" s="1">
        <v>825000.0</v>
      </c>
      <c r="B1940" s="1" t="s">
        <v>185</v>
      </c>
      <c r="C1940" s="1" t="str">
        <f>"08716766"</f>
        <v>08716766</v>
      </c>
      <c r="D1940" s="1" t="s">
        <v>186</v>
      </c>
      <c r="F1940" s="1" t="str">
        <f>"8004"</f>
        <v>8004</v>
      </c>
      <c r="G1940" s="2">
        <v>41884.0</v>
      </c>
      <c r="H1940" s="1">
        <v>899000.0</v>
      </c>
      <c r="I1940" s="1">
        <v>345.0</v>
      </c>
      <c r="J1940" s="1">
        <v>850000.0</v>
      </c>
      <c r="K1940" s="2">
        <v>41989.0</v>
      </c>
      <c r="L1940" s="1">
        <v>106.0</v>
      </c>
      <c r="M1940" s="2">
        <v>41989.0</v>
      </c>
      <c r="N1940" s="1" t="s">
        <v>249</v>
      </c>
      <c r="O1940" s="2">
        <v>42027.0</v>
      </c>
      <c r="P1940" s="1">
        <v>104839.0</v>
      </c>
      <c r="Q1940" s="1">
        <v>12198.0</v>
      </c>
      <c r="S1940" s="1">
        <v>5148.0</v>
      </c>
      <c r="T1940" s="1" t="s">
        <v>6991</v>
      </c>
      <c r="U1940" s="1" t="s">
        <v>189</v>
      </c>
      <c r="V1940" s="1" t="s">
        <v>190</v>
      </c>
      <c r="W1940" s="1">
        <v>60625.0</v>
      </c>
      <c r="Y1940" s="1" t="s">
        <v>18618</v>
      </c>
      <c r="Z1940" s="1">
        <v>1905.0</v>
      </c>
      <c r="AA1940" s="1" t="s">
        <v>192</v>
      </c>
      <c r="AB1940" s="1" t="s">
        <v>193</v>
      </c>
      <c r="AD1940" s="1" t="s">
        <v>194</v>
      </c>
      <c r="AE1940" s="1" t="s">
        <v>195</v>
      </c>
      <c r="AF1940" s="1" t="s">
        <v>534</v>
      </c>
      <c r="AH1940" s="1" t="s">
        <v>359</v>
      </c>
      <c r="AK1940" s="1">
        <v>9.0</v>
      </c>
      <c r="AL1940" s="1">
        <v>3.0</v>
      </c>
      <c r="AM1940" s="1">
        <v>3.0</v>
      </c>
      <c r="AN1940" s="1">
        <v>1.0</v>
      </c>
      <c r="AO1940" s="1" t="s">
        <v>198</v>
      </c>
      <c r="AP1940" s="1">
        <v>1.0</v>
      </c>
      <c r="AQ1940" s="1" t="s">
        <v>198</v>
      </c>
      <c r="AR1940" s="1" t="s">
        <v>192</v>
      </c>
      <c r="AS1940" s="1" t="s">
        <v>199</v>
      </c>
      <c r="AT1940" s="1">
        <v>2.0</v>
      </c>
      <c r="AV1940" s="1" t="s">
        <v>200</v>
      </c>
      <c r="AW1940" s="1">
        <v>6146.61</v>
      </c>
      <c r="AX1940" s="1">
        <v>2013.0</v>
      </c>
      <c r="AZ1940" s="1" t="s">
        <v>200</v>
      </c>
      <c r="BA1940" s="1" t="str">
        <f>"14073000160000"</f>
        <v>14073000160000</v>
      </c>
      <c r="BC1940" s="1">
        <v>3600.0</v>
      </c>
      <c r="BD1940" s="1">
        <v>825000.0</v>
      </c>
      <c r="BE1940" s="2">
        <v>41884.0</v>
      </c>
      <c r="BF1940" s="2" t="s">
        <v>18619</v>
      </c>
      <c r="BG1940" s="1" t="s">
        <v>953</v>
      </c>
      <c r="BH1940" s="1">
        <v>0.0</v>
      </c>
      <c r="BK1940" s="1" t="s">
        <v>204</v>
      </c>
      <c r="BL1940" s="1" t="str">
        <f>"5148"</f>
        <v>5148</v>
      </c>
      <c r="BM1940" s="1" t="str">
        <f>"0"</f>
        <v>0</v>
      </c>
      <c r="BN1940" s="1">
        <v>2300.0</v>
      </c>
      <c r="BO1940" s="1">
        <v>0.0</v>
      </c>
      <c r="BQ1940" s="1">
        <v>299.0</v>
      </c>
      <c r="BR1940" s="1">
        <v>299.0</v>
      </c>
      <c r="BS1940" s="1">
        <v>299.0</v>
      </c>
      <c r="BU1940" s="1" t="s">
        <v>924</v>
      </c>
      <c r="BV1940" s="1" t="s">
        <v>206</v>
      </c>
      <c r="BW1940" s="1" t="s">
        <v>207</v>
      </c>
      <c r="BY1940" s="1" t="s">
        <v>3538</v>
      </c>
      <c r="BZ1940" s="1" t="s">
        <v>209</v>
      </c>
      <c r="CA1940" s="1" t="s">
        <v>207</v>
      </c>
      <c r="CC1940" s="1" t="s">
        <v>647</v>
      </c>
      <c r="CD1940" s="1" t="s">
        <v>206</v>
      </c>
      <c r="CE1940" s="1" t="s">
        <v>207</v>
      </c>
      <c r="CG1940" s="1" t="s">
        <v>262</v>
      </c>
      <c r="CH1940" s="1" t="s">
        <v>209</v>
      </c>
      <c r="CI1940" s="1" t="s">
        <v>207</v>
      </c>
      <c r="CK1940" s="1" t="s">
        <v>212</v>
      </c>
      <c r="CL1940" s="1" t="s">
        <v>209</v>
      </c>
      <c r="CM1940" s="1" t="s">
        <v>207</v>
      </c>
      <c r="CO1940" s="1" t="s">
        <v>332</v>
      </c>
      <c r="CP1940" s="1" t="s">
        <v>42</v>
      </c>
      <c r="CQ1940" s="1" t="s">
        <v>210</v>
      </c>
      <c r="CS1940" s="1" t="s">
        <v>390</v>
      </c>
      <c r="CT1940" s="1" t="s">
        <v>206</v>
      </c>
      <c r="CU1940" s="1" t="s">
        <v>207</v>
      </c>
      <c r="CW1940" s="1" t="s">
        <v>6146</v>
      </c>
      <c r="CX1940" s="1" t="s">
        <v>206</v>
      </c>
      <c r="CY1940" s="1" t="s">
        <v>207</v>
      </c>
      <c r="DA1940" s="1" t="s">
        <v>200</v>
      </c>
      <c r="DC1940" s="1" t="s">
        <v>642</v>
      </c>
      <c r="DE1940" s="1" t="s">
        <v>3750</v>
      </c>
      <c r="DF1940" s="1" t="s">
        <v>2328</v>
      </c>
      <c r="DG1940" s="1" t="s">
        <v>482</v>
      </c>
      <c r="DH1940" s="1" t="s">
        <v>220</v>
      </c>
      <c r="DJ1940" s="1" t="s">
        <v>222</v>
      </c>
      <c r="DK1940" s="1" t="s">
        <v>223</v>
      </c>
      <c r="DL1940" s="1" t="s">
        <v>224</v>
      </c>
      <c r="DM1940" s="1" t="s">
        <v>229</v>
      </c>
      <c r="DN1940" s="1" t="s">
        <v>485</v>
      </c>
      <c r="DP1940" s="1" t="s">
        <v>340</v>
      </c>
      <c r="DQ1940" s="1" t="s">
        <v>228</v>
      </c>
      <c r="DR1940" s="1" t="s">
        <v>229</v>
      </c>
      <c r="DU1940" s="1" t="s">
        <v>746</v>
      </c>
      <c r="DV1940" s="1" t="s">
        <v>450</v>
      </c>
      <c r="DW1940" s="1" t="s">
        <v>588</v>
      </c>
      <c r="DX1940" s="1" t="s">
        <v>234</v>
      </c>
      <c r="DY1940" s="1" t="s">
        <v>1431</v>
      </c>
      <c r="DZ1940" s="1" t="s">
        <v>2424</v>
      </c>
      <c r="EB1940" s="1" t="s">
        <v>492</v>
      </c>
      <c r="EC1940" s="1" t="s">
        <v>237</v>
      </c>
      <c r="ED1940" s="1" t="s">
        <v>555</v>
      </c>
      <c r="EG1940" s="1" t="s">
        <v>450</v>
      </c>
      <c r="EL1940" s="1" t="s">
        <v>1369</v>
      </c>
      <c r="EM1940" s="1" t="s">
        <v>42</v>
      </c>
      <c r="EN1940" s="1" t="s">
        <v>210</v>
      </c>
      <c r="EQ1940" s="1" t="s">
        <v>238</v>
      </c>
      <c r="EU1940" s="1" t="s">
        <v>238</v>
      </c>
      <c r="EY1940" s="1" t="s">
        <v>238</v>
      </c>
      <c r="FC1940" s="1" t="s">
        <v>238</v>
      </c>
      <c r="FF1940" s="1" t="s">
        <v>239</v>
      </c>
      <c r="FG1940" s="1" t="s">
        <v>192</v>
      </c>
      <c r="FH1940" s="1" t="s">
        <v>192</v>
      </c>
      <c r="FJ1940" s="1" t="s">
        <v>733</v>
      </c>
      <c r="FK1940" s="1" t="s">
        <v>229</v>
      </c>
      <c r="FL1940" s="1" t="s">
        <v>734</v>
      </c>
      <c r="FM1940" s="1">
        <v>10646.0</v>
      </c>
      <c r="FN1940" s="1" t="s">
        <v>735</v>
      </c>
      <c r="FO1940" s="1" t="s">
        <v>736</v>
      </c>
      <c r="FP1940" s="1">
        <v>139913.0</v>
      </c>
      <c r="FQ1940" s="1" t="s">
        <v>737</v>
      </c>
      <c r="FU1940" s="1" t="s">
        <v>738</v>
      </c>
      <c r="FV1940" s="1" t="s">
        <v>200</v>
      </c>
      <c r="FW1940" s="1" t="s">
        <v>530</v>
      </c>
      <c r="FX1940" s="1" t="s">
        <v>238</v>
      </c>
      <c r="FZ1940" s="1" t="s">
        <v>229</v>
      </c>
      <c r="GA1940" s="1" t="s">
        <v>291</v>
      </c>
      <c r="GB1940" s="2">
        <v>42031.0</v>
      </c>
    </row>
    <row r="1941">
      <c r="A1941" s="1">
        <v>265000.0</v>
      </c>
      <c r="B1941" s="1" t="s">
        <v>185</v>
      </c>
      <c r="C1941" s="1" t="str">
        <f>"08720524"</f>
        <v>08720524</v>
      </c>
      <c r="D1941" s="1" t="s">
        <v>186</v>
      </c>
      <c r="F1941" s="1" t="str">
        <f>"543"</f>
        <v>543</v>
      </c>
      <c r="G1941" s="2">
        <v>41887.0</v>
      </c>
      <c r="H1941" s="1">
        <v>274900.0</v>
      </c>
      <c r="I1941" s="1">
        <v>79.0</v>
      </c>
      <c r="J1941" s="1">
        <v>269900.0</v>
      </c>
      <c r="K1941" s="2">
        <v>41965.0</v>
      </c>
      <c r="L1941" s="1">
        <v>79.0</v>
      </c>
      <c r="M1941" s="2">
        <v>41965.0</v>
      </c>
      <c r="N1941" s="1" t="s">
        <v>356</v>
      </c>
      <c r="O1941" s="2">
        <v>42003.0</v>
      </c>
      <c r="P1941" s="1">
        <v>300079.0</v>
      </c>
      <c r="Q1941" s="1">
        <v>31580.0</v>
      </c>
      <c r="R1941" s="1">
        <v>3.0</v>
      </c>
      <c r="S1941" s="1">
        <v>226.0</v>
      </c>
      <c r="T1941" s="1" t="s">
        <v>18620</v>
      </c>
      <c r="U1941" s="1" t="s">
        <v>1174</v>
      </c>
      <c r="V1941" s="1" t="s">
        <v>1527</v>
      </c>
      <c r="W1941" s="1">
        <v>60543.0</v>
      </c>
      <c r="Y1941" s="1" t="s">
        <v>18621</v>
      </c>
      <c r="Z1941" s="1">
        <v>2003.0</v>
      </c>
      <c r="AA1941" s="1" t="s">
        <v>200</v>
      </c>
      <c r="AB1941" s="1" t="s">
        <v>467</v>
      </c>
      <c r="AC1941" s="1" t="s">
        <v>18622</v>
      </c>
      <c r="AD1941" s="1" t="s">
        <v>1529</v>
      </c>
      <c r="AE1941" s="1" t="s">
        <v>849</v>
      </c>
      <c r="AF1941" s="1" t="s">
        <v>1529</v>
      </c>
      <c r="AG1941" s="1" t="s">
        <v>18623</v>
      </c>
      <c r="AH1941" s="1" t="s">
        <v>18624</v>
      </c>
      <c r="AI1941" s="1">
        <v>0.2299</v>
      </c>
      <c r="AK1941" s="1">
        <v>11.0</v>
      </c>
      <c r="AL1941" s="1">
        <v>4.0</v>
      </c>
      <c r="AM1941" s="1">
        <v>2.0</v>
      </c>
      <c r="AN1941" s="1">
        <v>1.0</v>
      </c>
      <c r="AO1941" s="1" t="s">
        <v>198</v>
      </c>
      <c r="AP1941" s="1">
        <v>1.0</v>
      </c>
      <c r="AQ1941" s="1" t="s">
        <v>472</v>
      </c>
      <c r="AR1941" s="1" t="s">
        <v>200</v>
      </c>
      <c r="AS1941" s="1" t="s">
        <v>199</v>
      </c>
      <c r="AT1941" s="1">
        <v>3.0</v>
      </c>
      <c r="AV1941" s="1" t="s">
        <v>200</v>
      </c>
      <c r="AW1941" s="1">
        <v>8634.38</v>
      </c>
      <c r="AX1941" s="1">
        <v>2013.0</v>
      </c>
      <c r="AY1941" s="1" t="s">
        <v>1179</v>
      </c>
      <c r="AZ1941" s="1" t="s">
        <v>200</v>
      </c>
      <c r="BA1941" s="1" t="str">
        <f>"0320476005"</f>
        <v>0320476005</v>
      </c>
      <c r="BB1941" s="1" t="s">
        <v>200</v>
      </c>
      <c r="BC1941" s="1">
        <v>3381.0</v>
      </c>
      <c r="BD1941" s="1">
        <v>265000.0</v>
      </c>
      <c r="BE1941" s="2">
        <v>41887.0</v>
      </c>
      <c r="BF1941" s="2" t="s">
        <v>18625</v>
      </c>
      <c r="BG1941" s="1" t="s">
        <v>1532</v>
      </c>
      <c r="BH1941" s="1">
        <v>165.0</v>
      </c>
      <c r="BI1941" s="1" t="s">
        <v>1533</v>
      </c>
      <c r="BJ1941" s="1" t="s">
        <v>1349</v>
      </c>
      <c r="BK1941" s="1" t="s">
        <v>580</v>
      </c>
      <c r="BL1941" s="1" t="str">
        <f t="shared" ref="BL1941:BM1941" si="1281">"0"</f>
        <v>0</v>
      </c>
      <c r="BM1941" s="1" t="str">
        <f t="shared" si="1281"/>
        <v>0</v>
      </c>
      <c r="BN1941" s="1">
        <v>37.0</v>
      </c>
      <c r="BO1941" s="1">
        <v>13.0</v>
      </c>
      <c r="BQ1941" s="1">
        <v>308.0</v>
      </c>
      <c r="BR1941" s="1">
        <v>308.0</v>
      </c>
      <c r="BS1941" s="1">
        <v>308.0</v>
      </c>
      <c r="BU1941" s="1" t="s">
        <v>2647</v>
      </c>
      <c r="BV1941" s="1" t="s">
        <v>206</v>
      </c>
      <c r="BW1941" s="1" t="s">
        <v>210</v>
      </c>
      <c r="BY1941" s="1" t="s">
        <v>1377</v>
      </c>
      <c r="BZ1941" s="1" t="s">
        <v>209</v>
      </c>
      <c r="CA1941" s="1" t="s">
        <v>210</v>
      </c>
      <c r="CC1941" s="1" t="s">
        <v>1190</v>
      </c>
      <c r="CD1941" s="1" t="s">
        <v>206</v>
      </c>
      <c r="CE1941" s="1" t="s">
        <v>210</v>
      </c>
      <c r="CG1941" s="1" t="s">
        <v>2460</v>
      </c>
      <c r="CH1941" s="1" t="s">
        <v>209</v>
      </c>
      <c r="CI1941" s="1" t="s">
        <v>210</v>
      </c>
      <c r="CK1941" s="1" t="s">
        <v>1352</v>
      </c>
      <c r="CL1941" s="1" t="s">
        <v>209</v>
      </c>
      <c r="CM1941" s="1" t="s">
        <v>210</v>
      </c>
      <c r="CO1941" s="1" t="s">
        <v>215</v>
      </c>
      <c r="CP1941" s="1" t="s">
        <v>209</v>
      </c>
      <c r="CQ1941" s="1" t="s">
        <v>210</v>
      </c>
      <c r="CS1941" s="1" t="s">
        <v>392</v>
      </c>
      <c r="CT1941" s="1" t="s">
        <v>206</v>
      </c>
      <c r="CU1941" s="1" t="s">
        <v>301</v>
      </c>
      <c r="CW1941" s="1" t="s">
        <v>1244</v>
      </c>
      <c r="CX1941" s="1" t="s">
        <v>206</v>
      </c>
      <c r="CY1941" s="1" t="s">
        <v>301</v>
      </c>
      <c r="DA1941" s="1" t="s">
        <v>200</v>
      </c>
      <c r="DC1941" s="1" t="s">
        <v>335</v>
      </c>
      <c r="DD1941" s="1" t="s">
        <v>1601</v>
      </c>
      <c r="DE1941" s="1" t="s">
        <v>273</v>
      </c>
      <c r="DF1941" s="1" t="s">
        <v>219</v>
      </c>
      <c r="DG1941" s="1" t="s">
        <v>2237</v>
      </c>
      <c r="DH1941" s="1" t="s">
        <v>220</v>
      </c>
      <c r="DI1941" s="1" t="s">
        <v>221</v>
      </c>
      <c r="DJ1941" s="1" t="s">
        <v>1048</v>
      </c>
      <c r="DK1941" s="1" t="s">
        <v>223</v>
      </c>
      <c r="DL1941" s="1" t="s">
        <v>6084</v>
      </c>
      <c r="DM1941" s="1" t="s">
        <v>338</v>
      </c>
      <c r="DN1941" s="1" t="s">
        <v>548</v>
      </c>
      <c r="DO1941" s="1" t="s">
        <v>549</v>
      </c>
      <c r="DP1941" s="1" t="s">
        <v>340</v>
      </c>
      <c r="DQ1941" s="1" t="s">
        <v>228</v>
      </c>
      <c r="DR1941" s="1" t="s">
        <v>588</v>
      </c>
      <c r="DS1941" s="1" t="s">
        <v>368</v>
      </c>
      <c r="DV1941" s="1" t="s">
        <v>18626</v>
      </c>
      <c r="DW1941" s="1" t="s">
        <v>233</v>
      </c>
      <c r="DX1941" s="1" t="s">
        <v>234</v>
      </c>
      <c r="DY1941" s="1" t="s">
        <v>1189</v>
      </c>
      <c r="DZ1941" s="1" t="s">
        <v>18627</v>
      </c>
      <c r="EB1941" s="1" t="s">
        <v>5230</v>
      </c>
      <c r="EC1941" s="1" t="s">
        <v>237</v>
      </c>
      <c r="ED1941" s="1" t="s">
        <v>407</v>
      </c>
      <c r="EE1941" s="1" t="s">
        <v>493</v>
      </c>
      <c r="EG1941" s="1" t="s">
        <v>449</v>
      </c>
      <c r="EH1941" s="1" t="s">
        <v>494</v>
      </c>
      <c r="EI1941" s="1" t="s">
        <v>598</v>
      </c>
      <c r="EL1941" s="1" t="s">
        <v>375</v>
      </c>
      <c r="EM1941" s="1" t="s">
        <v>206</v>
      </c>
      <c r="EN1941" s="1" t="s">
        <v>301</v>
      </c>
      <c r="EP1941" s="1" t="s">
        <v>582</v>
      </c>
      <c r="EQ1941" s="1" t="s">
        <v>209</v>
      </c>
      <c r="ER1941" s="1" t="s">
        <v>210</v>
      </c>
      <c r="ET1941" s="1" t="s">
        <v>392</v>
      </c>
      <c r="EU1941" s="1" t="s">
        <v>42</v>
      </c>
      <c r="EV1941" s="1" t="s">
        <v>301</v>
      </c>
      <c r="EY1941" s="1" t="s">
        <v>238</v>
      </c>
      <c r="FC1941" s="1" t="s">
        <v>238</v>
      </c>
      <c r="FF1941" s="1" t="s">
        <v>239</v>
      </c>
      <c r="FG1941" s="1" t="s">
        <v>192</v>
      </c>
      <c r="FH1941" s="1" t="s">
        <v>192</v>
      </c>
      <c r="FJ1941" s="1" t="s">
        <v>524</v>
      </c>
      <c r="FK1941" s="1" t="s">
        <v>229</v>
      </c>
      <c r="FL1941" s="1" t="s">
        <v>525</v>
      </c>
      <c r="FM1941" s="1">
        <v>22029.0</v>
      </c>
      <c r="FN1941" s="1" t="s">
        <v>526</v>
      </c>
      <c r="FO1941" s="1" t="s">
        <v>10621</v>
      </c>
      <c r="FP1941" s="1">
        <v>233509.0</v>
      </c>
      <c r="FQ1941" s="1" t="s">
        <v>10622</v>
      </c>
      <c r="FU1941" s="1" t="s">
        <v>10623</v>
      </c>
      <c r="FV1941" s="1" t="s">
        <v>200</v>
      </c>
      <c r="FW1941" s="1" t="s">
        <v>631</v>
      </c>
      <c r="FZ1941" s="1" t="s">
        <v>229</v>
      </c>
      <c r="GA1941" s="1" t="s">
        <v>291</v>
      </c>
      <c r="GB1941" s="2">
        <v>42003.0</v>
      </c>
      <c r="GC1941" s="1" t="s">
        <v>18628</v>
      </c>
    </row>
    <row r="1942">
      <c r="A1942" s="1">
        <v>81100.0</v>
      </c>
      <c r="B1942" s="1" t="s">
        <v>185</v>
      </c>
      <c r="C1942" s="1" t="str">
        <f>"08774529"</f>
        <v>08774529</v>
      </c>
      <c r="D1942" s="1" t="s">
        <v>186</v>
      </c>
      <c r="F1942" s="1" t="str">
        <f>"123"</f>
        <v>123</v>
      </c>
      <c r="G1942" s="2">
        <v>41955.0</v>
      </c>
      <c r="H1942" s="1">
        <v>69900.0</v>
      </c>
      <c r="I1942" s="1">
        <v>10.0</v>
      </c>
      <c r="J1942" s="1">
        <v>69900.0</v>
      </c>
      <c r="K1942" s="2">
        <v>41964.0</v>
      </c>
      <c r="L1942" s="1">
        <v>10.0</v>
      </c>
      <c r="M1942" s="2">
        <v>41964.0</v>
      </c>
      <c r="N1942" s="1" t="s">
        <v>249</v>
      </c>
      <c r="O1942" s="2">
        <v>41992.0</v>
      </c>
      <c r="P1942" s="1">
        <v>63193.0</v>
      </c>
      <c r="Q1942" s="1">
        <v>6485.0</v>
      </c>
      <c r="S1942" s="1">
        <v>263.0</v>
      </c>
      <c r="T1942" s="1" t="s">
        <v>18629</v>
      </c>
      <c r="U1942" s="1" t="s">
        <v>320</v>
      </c>
      <c r="V1942" s="1" t="s">
        <v>465</v>
      </c>
      <c r="W1942" s="1">
        <v>60120.0</v>
      </c>
      <c r="Y1942" s="1" t="s">
        <v>18630</v>
      </c>
      <c r="Z1942" s="1">
        <v>1865.0</v>
      </c>
      <c r="AA1942" s="1" t="s">
        <v>192</v>
      </c>
      <c r="AB1942" s="1" t="s">
        <v>193</v>
      </c>
      <c r="AD1942" s="1" t="s">
        <v>469</v>
      </c>
      <c r="AE1942" s="1" t="s">
        <v>325</v>
      </c>
      <c r="AF1942" s="1" t="s">
        <v>469</v>
      </c>
      <c r="AH1942" s="1" t="s">
        <v>18631</v>
      </c>
      <c r="AI1942" s="1">
        <v>0.17</v>
      </c>
      <c r="AK1942" s="1">
        <v>7.0</v>
      </c>
      <c r="AL1942" s="1">
        <v>4.0</v>
      </c>
      <c r="AM1942" s="1">
        <v>1.0</v>
      </c>
      <c r="AN1942" s="1">
        <v>1.0</v>
      </c>
      <c r="AO1942" s="1" t="s">
        <v>229</v>
      </c>
      <c r="AQ1942" s="1" t="s">
        <v>198</v>
      </c>
      <c r="AR1942" s="1" t="s">
        <v>200</v>
      </c>
      <c r="AS1942" s="1" t="s">
        <v>199</v>
      </c>
      <c r="AT1942" s="1">
        <v>2.0</v>
      </c>
      <c r="AV1942" s="1" t="s">
        <v>200</v>
      </c>
      <c r="AW1942" s="1">
        <v>4377.12</v>
      </c>
      <c r="AX1942" s="1">
        <v>2013.0</v>
      </c>
      <c r="AZ1942" s="1" t="s">
        <v>200</v>
      </c>
      <c r="BA1942" s="1" t="str">
        <f>"0613453004"</f>
        <v>0613453004</v>
      </c>
      <c r="BB1942" s="1" t="s">
        <v>200</v>
      </c>
      <c r="BC1942" s="1">
        <v>1950.0</v>
      </c>
      <c r="BD1942" s="1">
        <v>81100.0</v>
      </c>
      <c r="BE1942" s="2">
        <v>41955.0</v>
      </c>
      <c r="BF1942" s="2" t="s">
        <v>18632</v>
      </c>
      <c r="BH1942" s="1">
        <v>0.0</v>
      </c>
      <c r="BK1942" s="1" t="s">
        <v>204</v>
      </c>
      <c r="BL1942" s="1" t="str">
        <f t="shared" ref="BL1942:BM1942" si="1282">""</f>
        <v/>
      </c>
      <c r="BM1942" s="1" t="str">
        <f t="shared" si="1282"/>
        <v/>
      </c>
      <c r="BQ1942" s="1">
        <v>46.0</v>
      </c>
      <c r="BR1942" s="1">
        <v>46.0</v>
      </c>
      <c r="BS1942" s="1">
        <v>46.0</v>
      </c>
      <c r="BU1942" s="1" t="s">
        <v>758</v>
      </c>
      <c r="BV1942" s="1" t="s">
        <v>206</v>
      </c>
      <c r="BW1942" s="1" t="s">
        <v>210</v>
      </c>
      <c r="BY1942" s="1" t="s">
        <v>758</v>
      </c>
      <c r="BZ1942" s="1" t="s">
        <v>209</v>
      </c>
      <c r="CA1942" s="1" t="s">
        <v>210</v>
      </c>
      <c r="CC1942" s="1" t="s">
        <v>329</v>
      </c>
      <c r="CD1942" s="1" t="s">
        <v>206</v>
      </c>
      <c r="CE1942" s="1" t="s">
        <v>207</v>
      </c>
      <c r="CG1942" s="1" t="s">
        <v>478</v>
      </c>
      <c r="CH1942" s="1" t="s">
        <v>209</v>
      </c>
      <c r="CI1942" s="1" t="s">
        <v>210</v>
      </c>
      <c r="CK1942" s="1" t="s">
        <v>1190</v>
      </c>
      <c r="CL1942" s="1" t="s">
        <v>209</v>
      </c>
      <c r="CM1942" s="1" t="s">
        <v>210</v>
      </c>
      <c r="CO1942" s="1" t="s">
        <v>543</v>
      </c>
      <c r="CP1942" s="1" t="s">
        <v>206</v>
      </c>
      <c r="CQ1942" s="1" t="s">
        <v>210</v>
      </c>
      <c r="CS1942" s="1" t="s">
        <v>758</v>
      </c>
      <c r="CT1942" s="1" t="s">
        <v>206</v>
      </c>
      <c r="CU1942" s="1" t="s">
        <v>207</v>
      </c>
      <c r="CX1942" s="1" t="s">
        <v>204</v>
      </c>
      <c r="DA1942" s="1" t="s">
        <v>200</v>
      </c>
      <c r="DC1942" s="1" t="s">
        <v>642</v>
      </c>
      <c r="DD1942" s="1" t="s">
        <v>518</v>
      </c>
      <c r="DE1942" s="1" t="s">
        <v>273</v>
      </c>
      <c r="DF1942" s="1" t="s">
        <v>219</v>
      </c>
      <c r="DG1942" s="1" t="s">
        <v>482</v>
      </c>
      <c r="DH1942" s="1" t="s">
        <v>220</v>
      </c>
      <c r="DJ1942" s="1" t="s">
        <v>222</v>
      </c>
      <c r="DL1942" s="1" t="s">
        <v>223</v>
      </c>
      <c r="DM1942" s="1" t="s">
        <v>3541</v>
      </c>
      <c r="DP1942" s="1" t="s">
        <v>340</v>
      </c>
      <c r="DQ1942" s="1" t="s">
        <v>228</v>
      </c>
      <c r="DR1942" s="1" t="s">
        <v>229</v>
      </c>
      <c r="DV1942" s="1" t="s">
        <v>374</v>
      </c>
      <c r="DW1942" s="1" t="s">
        <v>233</v>
      </c>
      <c r="DX1942" s="1" t="s">
        <v>234</v>
      </c>
      <c r="DY1942" s="1" t="s">
        <v>2240</v>
      </c>
      <c r="EA1942" s="1" t="s">
        <v>622</v>
      </c>
      <c r="EC1942" s="1" t="s">
        <v>237</v>
      </c>
      <c r="EG1942" s="1" t="s">
        <v>374</v>
      </c>
      <c r="EL1942" s="1" t="s">
        <v>6414</v>
      </c>
      <c r="EM1942" s="1" t="s">
        <v>206</v>
      </c>
      <c r="EN1942" s="1" t="s">
        <v>210</v>
      </c>
      <c r="EQ1942" s="1" t="s">
        <v>238</v>
      </c>
      <c r="EU1942" s="1" t="s">
        <v>238</v>
      </c>
      <c r="EY1942" s="1" t="s">
        <v>238</v>
      </c>
      <c r="FC1942" s="1" t="s">
        <v>238</v>
      </c>
      <c r="FF1942" s="1" t="s">
        <v>239</v>
      </c>
      <c r="FG1942" s="1" t="s">
        <v>192</v>
      </c>
      <c r="FH1942" s="1" t="s">
        <v>192</v>
      </c>
      <c r="FJ1942" s="1" t="s">
        <v>770</v>
      </c>
      <c r="FK1942" s="1" t="s">
        <v>229</v>
      </c>
      <c r="FL1942" s="1" t="s">
        <v>456</v>
      </c>
      <c r="FM1942" s="1">
        <v>49.0</v>
      </c>
      <c r="FN1942" s="1" t="s">
        <v>457</v>
      </c>
      <c r="FO1942" s="1" t="s">
        <v>7305</v>
      </c>
      <c r="FP1942" s="1">
        <v>7198.0</v>
      </c>
      <c r="FQ1942" s="1" t="s">
        <v>7306</v>
      </c>
      <c r="FR1942" s="1">
        <v>35055.0</v>
      </c>
      <c r="FU1942" s="1" t="s">
        <v>10669</v>
      </c>
      <c r="FV1942" s="1" t="s">
        <v>200</v>
      </c>
      <c r="FW1942" s="1" t="s">
        <v>10670</v>
      </c>
      <c r="FX1942" s="1" t="s">
        <v>655</v>
      </c>
      <c r="FZ1942" s="1" t="s">
        <v>229</v>
      </c>
      <c r="GA1942" s="1" t="s">
        <v>291</v>
      </c>
      <c r="GB1942" s="2">
        <v>41993.0</v>
      </c>
      <c r="GC1942" s="1" t="s">
        <v>18633</v>
      </c>
    </row>
    <row r="1943">
      <c r="A1943" s="1">
        <v>300000.0</v>
      </c>
      <c r="B1943" s="1" t="s">
        <v>185</v>
      </c>
      <c r="C1943" s="1" t="str">
        <f>"08724883"</f>
        <v>08724883</v>
      </c>
      <c r="D1943" s="1" t="s">
        <v>186</v>
      </c>
      <c r="F1943" s="1" t="str">
        <f>"560"</f>
        <v>560</v>
      </c>
      <c r="G1943" s="2">
        <v>41892.0</v>
      </c>
      <c r="H1943" s="1">
        <v>310000.0</v>
      </c>
      <c r="I1943" s="1">
        <v>113.0</v>
      </c>
      <c r="J1943" s="1">
        <v>305000.0</v>
      </c>
      <c r="K1943" s="2">
        <v>42002.0</v>
      </c>
      <c r="L1943" s="1">
        <v>113.0</v>
      </c>
      <c r="M1943" s="2">
        <v>42002.0</v>
      </c>
      <c r="N1943" s="1" t="s">
        <v>187</v>
      </c>
      <c r="O1943" s="2">
        <v>42047.0</v>
      </c>
      <c r="P1943" s="1">
        <v>703911.0</v>
      </c>
      <c r="Q1943" s="1">
        <v>70268.0</v>
      </c>
      <c r="S1943" s="1">
        <v>12965.0</v>
      </c>
      <c r="T1943" s="1" t="s">
        <v>18634</v>
      </c>
      <c r="U1943" s="1" t="s">
        <v>464</v>
      </c>
      <c r="V1943" s="1" t="s">
        <v>845</v>
      </c>
      <c r="W1943" s="1">
        <v>60560.0</v>
      </c>
      <c r="Y1943" s="1" t="s">
        <v>18635</v>
      </c>
      <c r="Z1943" s="1">
        <v>2002.0</v>
      </c>
      <c r="AA1943" s="1" t="s">
        <v>200</v>
      </c>
      <c r="AB1943" s="1" t="s">
        <v>193</v>
      </c>
      <c r="AD1943" s="1" t="s">
        <v>1089</v>
      </c>
      <c r="AE1943" s="1" t="s">
        <v>849</v>
      </c>
      <c r="AF1943" s="1" t="s">
        <v>18636</v>
      </c>
      <c r="AH1943" s="1" t="s">
        <v>18637</v>
      </c>
      <c r="AI1943" s="1">
        <v>1.1061</v>
      </c>
      <c r="AK1943" s="1">
        <v>8.0</v>
      </c>
      <c r="AL1943" s="1">
        <v>4.0</v>
      </c>
      <c r="AM1943" s="1">
        <v>3.0</v>
      </c>
      <c r="AN1943" s="1">
        <v>1.0</v>
      </c>
      <c r="AO1943" s="1" t="s">
        <v>198</v>
      </c>
      <c r="AP1943" s="1">
        <v>1.0</v>
      </c>
      <c r="AQ1943" s="1" t="s">
        <v>198</v>
      </c>
      <c r="AR1943" s="1" t="s">
        <v>200</v>
      </c>
      <c r="AS1943" s="1" t="s">
        <v>199</v>
      </c>
      <c r="AT1943" s="1">
        <v>3.0</v>
      </c>
      <c r="AV1943" s="1" t="s">
        <v>200</v>
      </c>
      <c r="AW1943" s="1">
        <v>6891.38</v>
      </c>
      <c r="AX1943" s="1">
        <v>2012.0</v>
      </c>
      <c r="AY1943" s="1" t="s">
        <v>387</v>
      </c>
      <c r="AZ1943" s="1" t="s">
        <v>200</v>
      </c>
      <c r="BA1943" s="1" t="str">
        <f>"0802476003"</f>
        <v>0802476003</v>
      </c>
      <c r="BB1943" s="1" t="s">
        <v>200</v>
      </c>
      <c r="BC1943" s="1">
        <v>2938.0</v>
      </c>
      <c r="BD1943" s="1">
        <v>300000.0</v>
      </c>
      <c r="BE1943" s="2">
        <v>41890.0</v>
      </c>
      <c r="BF1943" s="2" t="s">
        <v>18638</v>
      </c>
      <c r="BH1943" s="1">
        <v>0.0</v>
      </c>
      <c r="BK1943" s="1" t="s">
        <v>204</v>
      </c>
      <c r="BL1943" s="1" t="str">
        <f t="shared" ref="BL1943:BM1943" si="1283">""</f>
        <v/>
      </c>
      <c r="BM1943" s="1" t="str">
        <f t="shared" si="1283"/>
        <v/>
      </c>
      <c r="BQ1943" s="1">
        <v>115.0</v>
      </c>
      <c r="BR1943" s="1">
        <v>115.0</v>
      </c>
      <c r="BS1943" s="1">
        <v>115.0</v>
      </c>
      <c r="BU1943" s="1" t="s">
        <v>1069</v>
      </c>
      <c r="BV1943" s="1" t="s">
        <v>206</v>
      </c>
      <c r="BW1943" s="1" t="s">
        <v>210</v>
      </c>
      <c r="BX1943" s="1" t="s">
        <v>239</v>
      </c>
      <c r="BY1943" s="1" t="s">
        <v>432</v>
      </c>
      <c r="BZ1943" s="1" t="s">
        <v>206</v>
      </c>
      <c r="CA1943" s="1" t="s">
        <v>210</v>
      </c>
      <c r="CB1943" s="1" t="s">
        <v>239</v>
      </c>
      <c r="CC1943" s="1" t="s">
        <v>211</v>
      </c>
      <c r="CD1943" s="1" t="s">
        <v>206</v>
      </c>
      <c r="CE1943" s="1" t="s">
        <v>207</v>
      </c>
      <c r="CF1943" s="1" t="s">
        <v>239</v>
      </c>
      <c r="CG1943" s="1" t="s">
        <v>329</v>
      </c>
      <c r="CH1943" s="1" t="s">
        <v>209</v>
      </c>
      <c r="CI1943" s="1" t="s">
        <v>210</v>
      </c>
      <c r="CJ1943" s="1" t="s">
        <v>239</v>
      </c>
      <c r="CK1943" s="1" t="s">
        <v>2713</v>
      </c>
      <c r="CL1943" s="1" t="s">
        <v>209</v>
      </c>
      <c r="CM1943" s="1" t="s">
        <v>210</v>
      </c>
      <c r="CN1943" s="1" t="s">
        <v>239</v>
      </c>
      <c r="CO1943" s="1" t="s">
        <v>1190</v>
      </c>
      <c r="CP1943" s="1" t="s">
        <v>209</v>
      </c>
      <c r="CQ1943" s="1" t="s">
        <v>210</v>
      </c>
      <c r="CR1943" s="1" t="s">
        <v>239</v>
      </c>
      <c r="CS1943" s="1" t="s">
        <v>877</v>
      </c>
      <c r="CT1943" s="1" t="s">
        <v>206</v>
      </c>
      <c r="CU1943" s="1" t="s">
        <v>207</v>
      </c>
      <c r="CV1943" s="1" t="s">
        <v>239</v>
      </c>
      <c r="CX1943" s="1" t="s">
        <v>204</v>
      </c>
      <c r="DA1943" s="1" t="s">
        <v>200</v>
      </c>
      <c r="DC1943" s="1" t="s">
        <v>335</v>
      </c>
      <c r="DE1943" s="1" t="s">
        <v>273</v>
      </c>
      <c r="DF1943" s="1" t="s">
        <v>219</v>
      </c>
      <c r="DH1943" s="1" t="s">
        <v>856</v>
      </c>
      <c r="DJ1943" s="1" t="s">
        <v>857</v>
      </c>
      <c r="DL1943" s="1" t="s">
        <v>223</v>
      </c>
      <c r="DM1943" s="1" t="s">
        <v>229</v>
      </c>
      <c r="DQ1943" s="1" t="s">
        <v>931</v>
      </c>
      <c r="DR1943" s="1" t="s">
        <v>229</v>
      </c>
      <c r="DV1943" s="1" t="s">
        <v>494</v>
      </c>
      <c r="DW1943" s="1" t="s">
        <v>764</v>
      </c>
      <c r="DX1943" s="1" t="s">
        <v>234</v>
      </c>
      <c r="EC1943" s="1" t="s">
        <v>237</v>
      </c>
      <c r="EG1943" s="1" t="s">
        <v>494</v>
      </c>
      <c r="EL1943" s="1" t="s">
        <v>329</v>
      </c>
      <c r="EM1943" s="1" t="s">
        <v>206</v>
      </c>
      <c r="EN1943" s="1" t="s">
        <v>210</v>
      </c>
      <c r="EO1943" s="1" t="s">
        <v>239</v>
      </c>
      <c r="EQ1943" s="1" t="s">
        <v>238</v>
      </c>
      <c r="EU1943" s="1" t="s">
        <v>238</v>
      </c>
      <c r="EY1943" s="1" t="s">
        <v>238</v>
      </c>
      <c r="FC1943" s="1" t="s">
        <v>238</v>
      </c>
      <c r="FF1943" s="1" t="s">
        <v>239</v>
      </c>
      <c r="FG1943" s="1" t="s">
        <v>192</v>
      </c>
      <c r="FH1943" s="1" t="s">
        <v>192</v>
      </c>
      <c r="FJ1943" s="1" t="s">
        <v>18639</v>
      </c>
      <c r="FK1943" s="1" t="s">
        <v>229</v>
      </c>
      <c r="FL1943" s="1" t="s">
        <v>893</v>
      </c>
      <c r="FM1943" s="1">
        <v>604.0</v>
      </c>
      <c r="FN1943" s="1" t="s">
        <v>894</v>
      </c>
      <c r="FO1943" s="1" t="s">
        <v>18640</v>
      </c>
      <c r="FP1943" s="1">
        <v>8176.0</v>
      </c>
      <c r="FQ1943" s="1" t="s">
        <v>18641</v>
      </c>
      <c r="FU1943" s="1" t="s">
        <v>15072</v>
      </c>
      <c r="FV1943" s="1" t="s">
        <v>200</v>
      </c>
      <c r="FW1943" s="1" t="s">
        <v>2754</v>
      </c>
      <c r="FZ1943" s="1" t="s">
        <v>229</v>
      </c>
      <c r="GA1943" s="1" t="s">
        <v>291</v>
      </c>
      <c r="GB1943" s="2">
        <v>42048.0</v>
      </c>
      <c r="GC1943" s="1" t="s">
        <v>18642</v>
      </c>
    </row>
    <row r="1944">
      <c r="A1944" s="1">
        <v>222500.0</v>
      </c>
      <c r="B1944" s="1" t="s">
        <v>185</v>
      </c>
      <c r="C1944" s="1" t="str">
        <f>"08722423"</f>
        <v>08722423</v>
      </c>
      <c r="D1944" s="1" t="s">
        <v>186</v>
      </c>
      <c r="F1944" s="1" t="str">
        <f>"8020"</f>
        <v>8020</v>
      </c>
      <c r="G1944" s="2">
        <v>41890.0</v>
      </c>
      <c r="H1944" s="1">
        <v>260000.0</v>
      </c>
      <c r="I1944" s="1">
        <v>96.0</v>
      </c>
      <c r="J1944" s="1">
        <v>239000.0</v>
      </c>
      <c r="K1944" s="2">
        <v>41985.0</v>
      </c>
      <c r="L1944" s="1">
        <v>96.0</v>
      </c>
      <c r="M1944" s="2">
        <v>41985.0</v>
      </c>
      <c r="N1944" s="1" t="s">
        <v>356</v>
      </c>
      <c r="O1944" s="2">
        <v>42037.0</v>
      </c>
      <c r="P1944" s="1">
        <v>156842.0</v>
      </c>
      <c r="Q1944" s="1">
        <v>10560.0</v>
      </c>
      <c r="S1944" s="1">
        <v>4544.0</v>
      </c>
      <c r="T1944" s="1" t="s">
        <v>4082</v>
      </c>
      <c r="U1944" s="1" t="s">
        <v>694</v>
      </c>
      <c r="V1944" s="1" t="s">
        <v>190</v>
      </c>
      <c r="W1944" s="1">
        <v>60639.0</v>
      </c>
      <c r="Y1944" s="1" t="s">
        <v>18643</v>
      </c>
      <c r="Z1944" s="1">
        <v>1910.0</v>
      </c>
      <c r="AA1944" s="1" t="s">
        <v>192</v>
      </c>
      <c r="AB1944" s="1" t="s">
        <v>193</v>
      </c>
      <c r="AD1944" s="1" t="s">
        <v>194</v>
      </c>
      <c r="AE1944" s="1" t="s">
        <v>195</v>
      </c>
      <c r="AF1944" s="1" t="s">
        <v>196</v>
      </c>
      <c r="AH1944" s="1" t="s">
        <v>741</v>
      </c>
      <c r="AK1944" s="1">
        <v>8.0</v>
      </c>
      <c r="AL1944" s="1">
        <v>4.0</v>
      </c>
      <c r="AM1944" s="1">
        <v>2.0</v>
      </c>
      <c r="AN1944" s="1">
        <v>0.0</v>
      </c>
      <c r="AO1944" s="1" t="s">
        <v>229</v>
      </c>
      <c r="AQ1944" s="1" t="s">
        <v>1314</v>
      </c>
      <c r="AR1944" s="1" t="s">
        <v>200</v>
      </c>
      <c r="AS1944" s="1" t="s">
        <v>199</v>
      </c>
      <c r="AT1944" s="1">
        <v>2.5</v>
      </c>
      <c r="AV1944" s="1" t="s">
        <v>200</v>
      </c>
      <c r="AW1944" s="1">
        <v>2918.0</v>
      </c>
      <c r="AX1944" s="1">
        <v>2012.0</v>
      </c>
      <c r="AY1944" s="1" t="s">
        <v>387</v>
      </c>
      <c r="AZ1944" s="1" t="s">
        <v>200</v>
      </c>
      <c r="BA1944" s="1" t="str">
        <f>"13273140250000"</f>
        <v>13273140250000</v>
      </c>
      <c r="BB1944" s="1" t="s">
        <v>200</v>
      </c>
      <c r="BC1944" s="1">
        <v>1600.0</v>
      </c>
      <c r="BD1944" s="1">
        <v>222500.0</v>
      </c>
      <c r="BE1944" s="2">
        <v>41890.0</v>
      </c>
      <c r="BF1944" s="2" t="s">
        <v>18644</v>
      </c>
      <c r="BH1944" s="1">
        <v>0.0</v>
      </c>
      <c r="BK1944" s="1" t="s">
        <v>204</v>
      </c>
      <c r="BL1944" s="1" t="str">
        <f>"2500"</f>
        <v>2500</v>
      </c>
      <c r="BM1944" s="1" t="str">
        <f t="shared" ref="BM1944:BM1946" si="1284">"0"</f>
        <v>0</v>
      </c>
      <c r="BN1944" s="1">
        <v>4544.0</v>
      </c>
      <c r="BO1944" s="1">
        <v>0.0</v>
      </c>
      <c r="BQ1944" s="1">
        <v>299.0</v>
      </c>
      <c r="BR1944" s="1">
        <v>299.0</v>
      </c>
      <c r="BS1944" s="1">
        <v>299.0</v>
      </c>
      <c r="BU1944" s="1" t="s">
        <v>2082</v>
      </c>
      <c r="BV1944" s="1" t="s">
        <v>206</v>
      </c>
      <c r="BY1944" s="1" t="s">
        <v>2082</v>
      </c>
      <c r="BZ1944" s="1" t="s">
        <v>206</v>
      </c>
      <c r="CC1944" s="1" t="s">
        <v>542</v>
      </c>
      <c r="CD1944" s="1" t="s">
        <v>206</v>
      </c>
      <c r="CG1944" s="1" t="s">
        <v>264</v>
      </c>
      <c r="CH1944" s="1" t="s">
        <v>206</v>
      </c>
      <c r="CK1944" s="1" t="s">
        <v>363</v>
      </c>
      <c r="CL1944" s="1" t="s">
        <v>114</v>
      </c>
      <c r="CO1944" s="1" t="s">
        <v>433</v>
      </c>
      <c r="CP1944" s="1" t="s">
        <v>114</v>
      </c>
      <c r="CS1944" s="1" t="s">
        <v>264</v>
      </c>
      <c r="CT1944" s="1" t="s">
        <v>206</v>
      </c>
      <c r="CX1944" s="1" t="s">
        <v>204</v>
      </c>
      <c r="DA1944" s="1" t="s">
        <v>200</v>
      </c>
      <c r="DC1944" s="1" t="s">
        <v>642</v>
      </c>
      <c r="DE1944" s="1" t="s">
        <v>2851</v>
      </c>
      <c r="DF1944" s="1" t="s">
        <v>905</v>
      </c>
      <c r="DH1944" s="1" t="s">
        <v>365</v>
      </c>
      <c r="DJ1944" s="1" t="s">
        <v>222</v>
      </c>
      <c r="DL1944" s="1" t="s">
        <v>858</v>
      </c>
      <c r="DM1944" s="1" t="s">
        <v>229</v>
      </c>
      <c r="DQ1944" s="1" t="s">
        <v>228</v>
      </c>
      <c r="DR1944" s="1" t="s">
        <v>229</v>
      </c>
      <c r="DV1944" s="1" t="s">
        <v>114</v>
      </c>
      <c r="DW1944" s="1" t="s">
        <v>279</v>
      </c>
      <c r="DX1944" s="1" t="s">
        <v>234</v>
      </c>
      <c r="DY1944" s="1" t="s">
        <v>11169</v>
      </c>
      <c r="EC1944" s="1" t="s">
        <v>645</v>
      </c>
      <c r="EE1944" s="1" t="s">
        <v>493</v>
      </c>
      <c r="EG1944" s="1" t="s">
        <v>114</v>
      </c>
      <c r="EL1944" s="1" t="s">
        <v>300</v>
      </c>
      <c r="EM1944" s="1" t="s">
        <v>114</v>
      </c>
      <c r="EQ1944" s="1" t="s">
        <v>238</v>
      </c>
      <c r="EU1944" s="1" t="s">
        <v>238</v>
      </c>
      <c r="EY1944" s="1" t="s">
        <v>238</v>
      </c>
      <c r="FC1944" s="1" t="s">
        <v>238</v>
      </c>
      <c r="FF1944" s="1" t="s">
        <v>239</v>
      </c>
      <c r="FG1944" s="1" t="s">
        <v>192</v>
      </c>
      <c r="FH1944" s="1" t="s">
        <v>192</v>
      </c>
      <c r="FJ1944" s="1" t="s">
        <v>799</v>
      </c>
      <c r="FK1944" s="1" t="s">
        <v>229</v>
      </c>
      <c r="FL1944" s="1" t="s">
        <v>1358</v>
      </c>
      <c r="FM1944" s="1">
        <v>85317.0</v>
      </c>
      <c r="FN1944" s="1" t="s">
        <v>10814</v>
      </c>
      <c r="FO1944" s="1" t="s">
        <v>18645</v>
      </c>
      <c r="FP1944" s="1">
        <v>171943.0</v>
      </c>
      <c r="FQ1944" s="1" t="s">
        <v>18646</v>
      </c>
      <c r="FU1944" s="1" t="s">
        <v>18647</v>
      </c>
      <c r="FV1944" s="1" t="s">
        <v>200</v>
      </c>
      <c r="FW1944" s="1" t="s">
        <v>290</v>
      </c>
      <c r="FX1944" s="1" t="s">
        <v>246</v>
      </c>
      <c r="FZ1944" s="1" t="s">
        <v>229</v>
      </c>
      <c r="GA1944" s="1" t="s">
        <v>291</v>
      </c>
      <c r="GB1944" s="2">
        <v>42038.0</v>
      </c>
      <c r="GC1944" s="1" t="s">
        <v>18648</v>
      </c>
    </row>
    <row r="1945">
      <c r="A1945" s="1">
        <v>919000.0</v>
      </c>
      <c r="B1945" s="1" t="s">
        <v>185</v>
      </c>
      <c r="C1945" s="1" t="str">
        <f>"08724842"</f>
        <v>08724842</v>
      </c>
      <c r="D1945" s="1" t="s">
        <v>186</v>
      </c>
      <c r="F1945" s="1" t="str">
        <f>"8024"</f>
        <v>8024</v>
      </c>
      <c r="G1945" s="2">
        <v>41892.0</v>
      </c>
      <c r="H1945" s="1">
        <v>919000.0</v>
      </c>
      <c r="I1945" s="1">
        <v>7.0</v>
      </c>
      <c r="J1945" s="1">
        <v>919000.0</v>
      </c>
      <c r="K1945" s="2">
        <v>41898.0</v>
      </c>
      <c r="L1945" s="1">
        <v>7.0</v>
      </c>
      <c r="M1945" s="2">
        <v>41898.0</v>
      </c>
      <c r="N1945" s="1" t="s">
        <v>187</v>
      </c>
      <c r="O1945" s="2">
        <v>41992.0</v>
      </c>
      <c r="P1945" s="1">
        <v>136390.0</v>
      </c>
      <c r="Q1945" s="1">
        <v>14210.0</v>
      </c>
      <c r="S1945" s="1">
        <v>2213.0</v>
      </c>
      <c r="T1945" s="1" t="s">
        <v>15595</v>
      </c>
      <c r="U1945" s="1" t="s">
        <v>189</v>
      </c>
      <c r="V1945" s="1" t="s">
        <v>190</v>
      </c>
      <c r="W1945" s="1">
        <v>60622.0</v>
      </c>
      <c r="Y1945" s="1" t="s">
        <v>18649</v>
      </c>
      <c r="Z1945" s="1">
        <v>2014.0</v>
      </c>
      <c r="AA1945" s="1" t="s">
        <v>200</v>
      </c>
      <c r="AB1945" s="1" t="s">
        <v>193</v>
      </c>
      <c r="AD1945" s="1" t="s">
        <v>194</v>
      </c>
      <c r="AE1945" s="1" t="s">
        <v>195</v>
      </c>
      <c r="AF1945" s="1" t="s">
        <v>827</v>
      </c>
      <c r="AH1945" s="1" t="s">
        <v>18650</v>
      </c>
      <c r="AK1945" s="1">
        <v>10.0</v>
      </c>
      <c r="AL1945" s="1">
        <v>4.0</v>
      </c>
      <c r="AM1945" s="1">
        <v>3.0</v>
      </c>
      <c r="AN1945" s="1">
        <v>1.0</v>
      </c>
      <c r="AO1945" s="1" t="s">
        <v>198</v>
      </c>
      <c r="AP1945" s="1">
        <v>0.0</v>
      </c>
      <c r="AQ1945" s="1" t="s">
        <v>472</v>
      </c>
      <c r="AR1945" s="1" t="s">
        <v>192</v>
      </c>
      <c r="AS1945" s="1" t="s">
        <v>199</v>
      </c>
      <c r="AT1945" s="1">
        <v>2.0</v>
      </c>
      <c r="AV1945" s="1" t="s">
        <v>200</v>
      </c>
      <c r="AW1945" s="1" t="s">
        <v>575</v>
      </c>
      <c r="AX1945" s="1">
        <v>2013.0</v>
      </c>
      <c r="AY1945" s="1" t="s">
        <v>229</v>
      </c>
      <c r="AZ1945" s="1" t="s">
        <v>200</v>
      </c>
      <c r="BA1945" s="1" t="str">
        <f>"17071220180000"</f>
        <v>17071220180000</v>
      </c>
      <c r="BB1945" s="1" t="s">
        <v>200</v>
      </c>
      <c r="BC1945" s="1">
        <v>3300.0</v>
      </c>
      <c r="BD1945" s="1">
        <v>919000.0</v>
      </c>
      <c r="BE1945" s="2">
        <v>41892.0</v>
      </c>
      <c r="BF1945" s="2" t="s">
        <v>18651</v>
      </c>
      <c r="BG1945" s="1" t="s">
        <v>12442</v>
      </c>
      <c r="BH1945" s="1">
        <v>0.0</v>
      </c>
      <c r="BJ1945" s="1" t="s">
        <v>4785</v>
      </c>
      <c r="BK1945" s="1" t="s">
        <v>204</v>
      </c>
      <c r="BL1945" s="1" t="str">
        <f>"550"</f>
        <v>550</v>
      </c>
      <c r="BM1945" s="1" t="str">
        <f t="shared" si="1284"/>
        <v>0</v>
      </c>
      <c r="BN1945" s="1">
        <v>2213.0</v>
      </c>
      <c r="BO1945" s="1">
        <v>0.0</v>
      </c>
      <c r="BQ1945" s="1">
        <v>299.0</v>
      </c>
      <c r="BR1945" s="1">
        <v>299.0</v>
      </c>
      <c r="BS1945" s="1">
        <v>299.0</v>
      </c>
      <c r="BU1945" s="1" t="s">
        <v>2800</v>
      </c>
      <c r="BV1945" s="1" t="s">
        <v>206</v>
      </c>
      <c r="BW1945" s="1" t="s">
        <v>207</v>
      </c>
      <c r="BY1945" s="1" t="s">
        <v>361</v>
      </c>
      <c r="BZ1945" s="1" t="s">
        <v>209</v>
      </c>
      <c r="CA1945" s="1" t="s">
        <v>207</v>
      </c>
      <c r="CC1945" s="1" t="s">
        <v>542</v>
      </c>
      <c r="CD1945" s="1" t="s">
        <v>206</v>
      </c>
      <c r="CE1945" s="1" t="s">
        <v>207</v>
      </c>
      <c r="CG1945" s="1" t="s">
        <v>269</v>
      </c>
      <c r="CH1945" s="1" t="s">
        <v>209</v>
      </c>
      <c r="CI1945" s="1" t="s">
        <v>207</v>
      </c>
      <c r="CK1945" s="1" t="s">
        <v>2224</v>
      </c>
      <c r="CL1945" s="1" t="s">
        <v>209</v>
      </c>
      <c r="CM1945" s="1" t="s">
        <v>207</v>
      </c>
      <c r="CO1945" s="1" t="s">
        <v>640</v>
      </c>
      <c r="CP1945" s="1" t="s">
        <v>267</v>
      </c>
      <c r="CQ1945" s="1" t="s">
        <v>210</v>
      </c>
      <c r="CS1945" s="1" t="s">
        <v>830</v>
      </c>
      <c r="CT1945" s="1" t="s">
        <v>206</v>
      </c>
      <c r="CU1945" s="1" t="s">
        <v>207</v>
      </c>
      <c r="CW1945" s="1" t="s">
        <v>205</v>
      </c>
      <c r="CX1945" s="1" t="s">
        <v>206</v>
      </c>
      <c r="CY1945" s="1" t="s">
        <v>207</v>
      </c>
      <c r="DA1945" s="1" t="s">
        <v>192</v>
      </c>
      <c r="DB1945" s="2">
        <v>41992.0</v>
      </c>
      <c r="DC1945" s="1" t="s">
        <v>744</v>
      </c>
      <c r="DD1945" s="1" t="s">
        <v>272</v>
      </c>
      <c r="DE1945" s="1" t="s">
        <v>218</v>
      </c>
      <c r="DF1945" s="1" t="s">
        <v>745</v>
      </c>
      <c r="DG1945" s="1" t="s">
        <v>18652</v>
      </c>
      <c r="DH1945" s="1" t="s">
        <v>365</v>
      </c>
      <c r="DI1945" s="1" t="s">
        <v>3590</v>
      </c>
      <c r="DJ1945" s="1" t="s">
        <v>222</v>
      </c>
      <c r="DL1945" s="1" t="s">
        <v>224</v>
      </c>
      <c r="DM1945" s="1" t="s">
        <v>229</v>
      </c>
      <c r="DN1945" s="1" t="s">
        <v>1659</v>
      </c>
      <c r="DO1945" s="1" t="s">
        <v>4172</v>
      </c>
      <c r="DP1945" s="1" t="s">
        <v>276</v>
      </c>
      <c r="DQ1945" s="1" t="s">
        <v>228</v>
      </c>
      <c r="DR1945" s="1" t="s">
        <v>229</v>
      </c>
      <c r="DS1945" s="1" t="s">
        <v>368</v>
      </c>
      <c r="DU1945" s="1" t="s">
        <v>18653</v>
      </c>
      <c r="DV1945" s="1" t="s">
        <v>18654</v>
      </c>
      <c r="DW1945" s="1" t="s">
        <v>1026</v>
      </c>
      <c r="DX1945" s="1" t="s">
        <v>234</v>
      </c>
      <c r="DY1945" s="1" t="s">
        <v>2972</v>
      </c>
      <c r="DZ1945" s="1" t="s">
        <v>5293</v>
      </c>
      <c r="EA1945" s="1" t="s">
        <v>1027</v>
      </c>
      <c r="EC1945" s="1" t="s">
        <v>406</v>
      </c>
      <c r="ED1945" s="1" t="s">
        <v>407</v>
      </c>
      <c r="EE1945" s="1" t="s">
        <v>187</v>
      </c>
      <c r="EG1945" s="1" t="s">
        <v>1164</v>
      </c>
      <c r="EH1945" s="1" t="s">
        <v>557</v>
      </c>
      <c r="EL1945" s="1" t="s">
        <v>18655</v>
      </c>
      <c r="EM1945" s="1" t="s">
        <v>267</v>
      </c>
      <c r="EN1945" s="1" t="s">
        <v>210</v>
      </c>
      <c r="EP1945" s="1" t="s">
        <v>433</v>
      </c>
      <c r="EQ1945" s="1" t="s">
        <v>391</v>
      </c>
      <c r="ER1945" s="1" t="s">
        <v>207</v>
      </c>
      <c r="EU1945" s="1" t="s">
        <v>238</v>
      </c>
      <c r="EY1945" s="1" t="s">
        <v>238</v>
      </c>
      <c r="FC1945" s="1" t="s">
        <v>238</v>
      </c>
      <c r="FF1945" s="1" t="s">
        <v>239</v>
      </c>
      <c r="FG1945" s="1" t="s">
        <v>192</v>
      </c>
      <c r="FH1945" s="1" t="s">
        <v>192</v>
      </c>
      <c r="FJ1945" s="1" t="s">
        <v>412</v>
      </c>
      <c r="FK1945" s="1" t="s">
        <v>229</v>
      </c>
      <c r="FL1945" s="1" t="s">
        <v>5070</v>
      </c>
      <c r="FM1945" s="1">
        <v>12604.0</v>
      </c>
      <c r="FN1945" s="1" t="s">
        <v>5071</v>
      </c>
      <c r="FO1945" s="1" t="s">
        <v>5072</v>
      </c>
      <c r="FP1945" s="1">
        <v>125093.0</v>
      </c>
      <c r="FQ1945" s="1" t="s">
        <v>5073</v>
      </c>
      <c r="FR1945" s="1">
        <v>148835.0</v>
      </c>
      <c r="FU1945" s="1" t="s">
        <v>5085</v>
      </c>
      <c r="FV1945" s="1" t="s">
        <v>200</v>
      </c>
      <c r="FW1945" s="1" t="s">
        <v>530</v>
      </c>
      <c r="FX1945" s="1" t="s">
        <v>246</v>
      </c>
      <c r="FZ1945" s="1" t="s">
        <v>229</v>
      </c>
      <c r="GA1945" s="1" t="s">
        <v>291</v>
      </c>
      <c r="GB1945" s="2">
        <v>41995.0</v>
      </c>
      <c r="GC1945" s="1" t="s">
        <v>18656</v>
      </c>
    </row>
    <row r="1946">
      <c r="A1946" s="1">
        <v>405000.0</v>
      </c>
      <c r="B1946" s="1" t="s">
        <v>185</v>
      </c>
      <c r="C1946" s="1" t="str">
        <f>"08740507"</f>
        <v>08740507</v>
      </c>
      <c r="D1946" s="1" t="s">
        <v>186</v>
      </c>
      <c r="F1946" s="1" t="str">
        <f>"8022"</f>
        <v>8022</v>
      </c>
      <c r="G1946" s="2">
        <v>41911.0</v>
      </c>
      <c r="H1946" s="1">
        <v>399900.0</v>
      </c>
      <c r="I1946" s="1">
        <v>81.0</v>
      </c>
      <c r="J1946" s="1">
        <v>399900.0</v>
      </c>
      <c r="K1946" s="2">
        <v>41991.0</v>
      </c>
      <c r="L1946" s="1">
        <v>81.0</v>
      </c>
      <c r="M1946" s="2">
        <v>41991.0</v>
      </c>
      <c r="N1946" s="1" t="s">
        <v>187</v>
      </c>
      <c r="O1946" s="2">
        <v>42048.0</v>
      </c>
      <c r="P1946" s="1">
        <v>105097.0</v>
      </c>
      <c r="Q1946" s="1">
        <v>10272.0</v>
      </c>
      <c r="S1946" s="1">
        <v>2512.0</v>
      </c>
      <c r="T1946" s="1" t="s">
        <v>17503</v>
      </c>
      <c r="U1946" s="1" t="s">
        <v>189</v>
      </c>
      <c r="V1946" s="1" t="s">
        <v>190</v>
      </c>
      <c r="W1946" s="1">
        <v>60647.0</v>
      </c>
      <c r="Y1946" s="1" t="s">
        <v>18657</v>
      </c>
      <c r="Z1946" s="1">
        <v>1896.0</v>
      </c>
      <c r="AA1946" s="1" t="s">
        <v>192</v>
      </c>
      <c r="AB1946" s="1" t="s">
        <v>193</v>
      </c>
      <c r="AD1946" s="1" t="s">
        <v>194</v>
      </c>
      <c r="AE1946" s="1" t="s">
        <v>195</v>
      </c>
      <c r="AF1946" s="1" t="s">
        <v>196</v>
      </c>
      <c r="AH1946" s="1" t="s">
        <v>18658</v>
      </c>
      <c r="AI1946" s="1">
        <v>0.0861</v>
      </c>
      <c r="AK1946" s="1">
        <v>10.0</v>
      </c>
      <c r="AL1946" s="1">
        <v>4.0</v>
      </c>
      <c r="AM1946" s="1">
        <v>3.0</v>
      </c>
      <c r="AN1946" s="1">
        <v>0.0</v>
      </c>
      <c r="AO1946" s="1" t="s">
        <v>198</v>
      </c>
      <c r="AQ1946" s="1" t="s">
        <v>198</v>
      </c>
      <c r="AR1946" s="1" t="s">
        <v>192</v>
      </c>
      <c r="AS1946" s="1" t="s">
        <v>229</v>
      </c>
      <c r="AV1946" s="1" t="s">
        <v>200</v>
      </c>
      <c r="AW1946" s="1">
        <v>6138.11</v>
      </c>
      <c r="AX1946" s="1">
        <v>2012.0</v>
      </c>
      <c r="AZ1946" s="1" t="s">
        <v>200</v>
      </c>
      <c r="BA1946" s="1" t="str">
        <f>"13264160370000"</f>
        <v>13264160370000</v>
      </c>
      <c r="BB1946" s="1" t="s">
        <v>200</v>
      </c>
      <c r="BC1946" s="1">
        <v>1816.0</v>
      </c>
      <c r="BD1946" s="1">
        <v>405000.0</v>
      </c>
      <c r="BE1946" s="2">
        <v>41911.0</v>
      </c>
      <c r="BF1946" s="1" t="s">
        <v>18659</v>
      </c>
      <c r="BH1946" s="1">
        <v>0.0</v>
      </c>
      <c r="BK1946" s="1" t="s">
        <v>204</v>
      </c>
      <c r="BL1946" s="1" t="str">
        <f>"2512"</f>
        <v>2512</v>
      </c>
      <c r="BM1946" s="1" t="str">
        <f t="shared" si="1284"/>
        <v>0</v>
      </c>
      <c r="BN1946" s="1">
        <v>3580.0</v>
      </c>
      <c r="BO1946" s="1">
        <v>0.0</v>
      </c>
      <c r="BQ1946" s="1">
        <v>299.0</v>
      </c>
      <c r="BR1946" s="1">
        <v>299.0</v>
      </c>
      <c r="BS1946" s="1">
        <v>299.0</v>
      </c>
      <c r="BU1946" s="1" t="s">
        <v>432</v>
      </c>
      <c r="BV1946" s="1" t="s">
        <v>206</v>
      </c>
      <c r="BY1946" s="1" t="s">
        <v>2459</v>
      </c>
      <c r="BZ1946" s="1" t="s">
        <v>206</v>
      </c>
      <c r="CC1946" s="1" t="s">
        <v>584</v>
      </c>
      <c r="CD1946" s="1" t="s">
        <v>206</v>
      </c>
      <c r="CG1946" s="1" t="s">
        <v>215</v>
      </c>
      <c r="CH1946" s="1" t="s">
        <v>209</v>
      </c>
      <c r="CK1946" s="1" t="s">
        <v>302</v>
      </c>
      <c r="CL1946" s="1" t="s">
        <v>209</v>
      </c>
      <c r="CO1946" s="1" t="s">
        <v>1417</v>
      </c>
      <c r="CP1946" s="1" t="s">
        <v>206</v>
      </c>
      <c r="CS1946" s="1" t="s">
        <v>302</v>
      </c>
      <c r="CT1946" s="1" t="s">
        <v>206</v>
      </c>
      <c r="CW1946" s="1" t="s">
        <v>2924</v>
      </c>
      <c r="CX1946" s="1" t="s">
        <v>42</v>
      </c>
      <c r="DA1946" s="1" t="s">
        <v>200</v>
      </c>
      <c r="DC1946" s="1" t="s">
        <v>642</v>
      </c>
      <c r="DE1946" s="1" t="s">
        <v>273</v>
      </c>
      <c r="DF1946" s="1" t="s">
        <v>372</v>
      </c>
      <c r="DH1946" s="1" t="s">
        <v>220</v>
      </c>
      <c r="DJ1946" s="1" t="s">
        <v>6699</v>
      </c>
      <c r="DL1946" s="1" t="s">
        <v>224</v>
      </c>
      <c r="DM1946" s="1" t="s">
        <v>1658</v>
      </c>
      <c r="DQ1946" s="1" t="s">
        <v>228</v>
      </c>
      <c r="DR1946" s="1" t="s">
        <v>229</v>
      </c>
      <c r="DV1946" s="1" t="s">
        <v>18660</v>
      </c>
      <c r="DW1946" s="1" t="s">
        <v>370</v>
      </c>
      <c r="DX1946" s="1" t="s">
        <v>234</v>
      </c>
      <c r="EC1946" s="1" t="s">
        <v>237</v>
      </c>
      <c r="EG1946" s="1" t="s">
        <v>494</v>
      </c>
      <c r="EH1946" s="1" t="s">
        <v>557</v>
      </c>
      <c r="EI1946" s="1" t="s">
        <v>720</v>
      </c>
      <c r="EL1946" s="1" t="s">
        <v>6180</v>
      </c>
      <c r="EM1946" s="1" t="s">
        <v>209</v>
      </c>
      <c r="EP1946" s="1" t="s">
        <v>265</v>
      </c>
      <c r="EQ1946" s="1" t="s">
        <v>42</v>
      </c>
      <c r="ET1946" s="1" t="s">
        <v>1316</v>
      </c>
      <c r="EU1946" s="1" t="s">
        <v>42</v>
      </c>
      <c r="EY1946" s="1" t="s">
        <v>238</v>
      </c>
      <c r="FC1946" s="1" t="s">
        <v>238</v>
      </c>
      <c r="FF1946" s="1" t="s">
        <v>239</v>
      </c>
      <c r="FG1946" s="1" t="s">
        <v>192</v>
      </c>
      <c r="FH1946" s="1" t="s">
        <v>192</v>
      </c>
      <c r="FJ1946" s="1" t="s">
        <v>18661</v>
      </c>
      <c r="FK1946" s="1" t="s">
        <v>229</v>
      </c>
      <c r="FL1946" s="1" t="s">
        <v>3185</v>
      </c>
      <c r="FM1946" s="1">
        <v>16240.0</v>
      </c>
      <c r="FN1946" s="1" t="s">
        <v>3186</v>
      </c>
      <c r="FO1946" s="1" t="s">
        <v>18662</v>
      </c>
      <c r="FP1946" s="1">
        <v>163358.0</v>
      </c>
      <c r="FQ1946" s="1" t="s">
        <v>18663</v>
      </c>
      <c r="FU1946" s="1" t="s">
        <v>18664</v>
      </c>
      <c r="FV1946" s="1" t="s">
        <v>200</v>
      </c>
      <c r="FW1946" s="1" t="s">
        <v>530</v>
      </c>
      <c r="FX1946" s="1" t="s">
        <v>238</v>
      </c>
      <c r="FZ1946" s="1" t="s">
        <v>229</v>
      </c>
      <c r="GA1946" s="1" t="s">
        <v>291</v>
      </c>
      <c r="GB1946" s="2">
        <v>42048.0</v>
      </c>
    </row>
    <row r="1947">
      <c r="A1947" s="1">
        <v>40000.0</v>
      </c>
      <c r="B1947" s="1" t="s">
        <v>185</v>
      </c>
      <c r="C1947" s="1" t="str">
        <f>"08718536"</f>
        <v>08718536</v>
      </c>
      <c r="D1947" s="1" t="s">
        <v>186</v>
      </c>
      <c r="F1947" s="1" t="str">
        <f>"8069"</f>
        <v>8069</v>
      </c>
      <c r="G1947" s="2">
        <v>41886.0</v>
      </c>
      <c r="H1947" s="1">
        <v>75000.0</v>
      </c>
      <c r="I1947" s="1">
        <v>41.0</v>
      </c>
      <c r="J1947" s="1">
        <v>75000.0</v>
      </c>
      <c r="K1947" s="2">
        <v>41925.0</v>
      </c>
      <c r="L1947" s="1">
        <v>41.0</v>
      </c>
      <c r="M1947" s="2">
        <v>41925.0</v>
      </c>
      <c r="N1947" s="1" t="s">
        <v>249</v>
      </c>
      <c r="O1947" s="2">
        <v>41985.0</v>
      </c>
      <c r="P1947" s="1">
        <v>602708.0</v>
      </c>
      <c r="Q1947" s="1">
        <v>25066.0</v>
      </c>
      <c r="S1947" s="1">
        <v>7646.0</v>
      </c>
      <c r="T1947" s="1" t="s">
        <v>3384</v>
      </c>
      <c r="U1947" s="1" t="s">
        <v>189</v>
      </c>
      <c r="V1947" s="1" t="s">
        <v>190</v>
      </c>
      <c r="W1947" s="1">
        <v>60620.0</v>
      </c>
      <c r="Y1947" s="1" t="s">
        <v>18665</v>
      </c>
      <c r="Z1947" s="1">
        <v>1922.0</v>
      </c>
      <c r="AA1947" s="1" t="s">
        <v>192</v>
      </c>
      <c r="AB1947" s="1" t="s">
        <v>193</v>
      </c>
      <c r="AD1947" s="1" t="s">
        <v>194</v>
      </c>
      <c r="AE1947" s="1" t="s">
        <v>195</v>
      </c>
      <c r="AF1947" s="1" t="s">
        <v>659</v>
      </c>
      <c r="AH1947" s="1" t="s">
        <v>359</v>
      </c>
      <c r="AI1947" s="1">
        <v>0.088</v>
      </c>
      <c r="AK1947" s="1">
        <v>8.0</v>
      </c>
      <c r="AL1947" s="1">
        <v>4.0</v>
      </c>
      <c r="AM1947" s="1">
        <v>2.0</v>
      </c>
      <c r="AN1947" s="1">
        <v>0.0</v>
      </c>
      <c r="AO1947" s="1" t="s">
        <v>229</v>
      </c>
      <c r="AQ1947" s="1" t="s">
        <v>198</v>
      </c>
      <c r="AR1947" s="1" t="s">
        <v>200</v>
      </c>
      <c r="AS1947" s="1" t="s">
        <v>199</v>
      </c>
      <c r="AT1947" s="1">
        <v>2.0</v>
      </c>
      <c r="AV1947" s="1" t="s">
        <v>200</v>
      </c>
      <c r="AW1947" s="1">
        <v>2067.38</v>
      </c>
      <c r="AX1947" s="1">
        <v>2012.0</v>
      </c>
      <c r="AY1947" s="1" t="s">
        <v>387</v>
      </c>
      <c r="AZ1947" s="1" t="s">
        <v>200</v>
      </c>
      <c r="BA1947" s="1" t="str">
        <f>"20284110440000"</f>
        <v>20284110440000</v>
      </c>
      <c r="BC1947" s="1">
        <v>1681.0</v>
      </c>
      <c r="BD1947" s="1">
        <v>40000.0</v>
      </c>
      <c r="BE1947" s="2">
        <v>41885.0</v>
      </c>
      <c r="BF1947" s="2" t="s">
        <v>18666</v>
      </c>
      <c r="BH1947" s="1">
        <v>0.0</v>
      </c>
      <c r="BK1947" s="1" t="s">
        <v>204</v>
      </c>
      <c r="BL1947" s="1" t="str">
        <f t="shared" ref="BL1947:BM1947" si="1285">"0"</f>
        <v>0</v>
      </c>
      <c r="BM1947" s="1" t="str">
        <f t="shared" si="1285"/>
        <v>0</v>
      </c>
      <c r="BN1947" s="1">
        <v>1600.0</v>
      </c>
      <c r="BO1947" s="1">
        <v>7646.0</v>
      </c>
      <c r="BQ1947" s="1">
        <v>299.0</v>
      </c>
      <c r="BR1947" s="1">
        <v>299.0</v>
      </c>
      <c r="BS1947" s="1">
        <v>299.0</v>
      </c>
      <c r="BU1947" s="1" t="s">
        <v>677</v>
      </c>
      <c r="BV1947" s="1" t="s">
        <v>206</v>
      </c>
      <c r="BW1947" s="1" t="s">
        <v>210</v>
      </c>
      <c r="BY1947" s="1" t="s">
        <v>264</v>
      </c>
      <c r="BZ1947" s="1" t="s">
        <v>206</v>
      </c>
      <c r="CC1947" s="1" t="s">
        <v>300</v>
      </c>
      <c r="CD1947" s="1" t="s">
        <v>206</v>
      </c>
      <c r="CE1947" s="1" t="s">
        <v>210</v>
      </c>
      <c r="CG1947" s="1" t="s">
        <v>264</v>
      </c>
      <c r="CH1947" s="1" t="s">
        <v>206</v>
      </c>
      <c r="CK1947" s="1" t="s">
        <v>264</v>
      </c>
      <c r="CL1947" s="1" t="s">
        <v>209</v>
      </c>
      <c r="CO1947" s="1" t="s">
        <v>264</v>
      </c>
      <c r="CP1947" s="1" t="s">
        <v>209</v>
      </c>
      <c r="CS1947" s="1" t="s">
        <v>814</v>
      </c>
      <c r="CT1947" s="1" t="s">
        <v>206</v>
      </c>
      <c r="CU1947" s="1" t="s">
        <v>617</v>
      </c>
      <c r="CX1947" s="1" t="s">
        <v>204</v>
      </c>
      <c r="DA1947" s="1" t="s">
        <v>200</v>
      </c>
      <c r="DC1947" s="1" t="s">
        <v>216</v>
      </c>
      <c r="DD1947" s="1" t="s">
        <v>518</v>
      </c>
      <c r="DE1947" s="1" t="s">
        <v>229</v>
      </c>
      <c r="DF1947" s="1" t="s">
        <v>4086</v>
      </c>
      <c r="DH1947" s="1" t="s">
        <v>365</v>
      </c>
      <c r="DJ1947" s="1" t="s">
        <v>222</v>
      </c>
      <c r="DK1947" s="1" t="s">
        <v>4233</v>
      </c>
      <c r="DL1947" s="1" t="s">
        <v>588</v>
      </c>
      <c r="DM1947" s="1" t="s">
        <v>229</v>
      </c>
      <c r="DP1947" s="1" t="s">
        <v>340</v>
      </c>
      <c r="DQ1947" s="1" t="s">
        <v>718</v>
      </c>
      <c r="DR1947" s="1" t="s">
        <v>229</v>
      </c>
      <c r="DV1947" s="1" t="s">
        <v>494</v>
      </c>
      <c r="DW1947" s="1" t="s">
        <v>279</v>
      </c>
      <c r="DX1947" s="1" t="s">
        <v>234</v>
      </c>
      <c r="DY1947" s="1" t="s">
        <v>1371</v>
      </c>
      <c r="EC1947" s="1" t="s">
        <v>645</v>
      </c>
      <c r="ED1947" s="1" t="s">
        <v>555</v>
      </c>
      <c r="EE1947" s="1" t="s">
        <v>187</v>
      </c>
      <c r="EG1947" s="1" t="s">
        <v>494</v>
      </c>
      <c r="EL1947" s="1" t="s">
        <v>433</v>
      </c>
      <c r="EM1947" s="1" t="s">
        <v>206</v>
      </c>
      <c r="EQ1947" s="1" t="s">
        <v>238</v>
      </c>
      <c r="EU1947" s="1" t="s">
        <v>238</v>
      </c>
      <c r="EY1947" s="1" t="s">
        <v>238</v>
      </c>
      <c r="FC1947" s="1" t="s">
        <v>238</v>
      </c>
      <c r="FF1947" s="1" t="s">
        <v>239</v>
      </c>
      <c r="FG1947" s="1" t="s">
        <v>192</v>
      </c>
      <c r="FH1947" s="1" t="s">
        <v>192</v>
      </c>
      <c r="FJ1947" s="1" t="s">
        <v>524</v>
      </c>
      <c r="FK1947" s="1" t="s">
        <v>229</v>
      </c>
      <c r="FL1947" s="1" t="s">
        <v>18667</v>
      </c>
      <c r="FM1947" s="1">
        <v>22708.0</v>
      </c>
      <c r="FN1947" s="1" t="s">
        <v>18668</v>
      </c>
      <c r="FO1947" s="1" t="s">
        <v>18669</v>
      </c>
      <c r="FP1947" s="1">
        <v>607890.0</v>
      </c>
      <c r="FQ1947" s="1" t="s">
        <v>18668</v>
      </c>
      <c r="FS1947" s="1">
        <v>7.734918812E9</v>
      </c>
      <c r="FU1947" s="1" t="s">
        <v>18670</v>
      </c>
      <c r="FV1947" s="1" t="s">
        <v>200</v>
      </c>
      <c r="FW1947" s="1" t="s">
        <v>1293</v>
      </c>
      <c r="FX1947" s="1" t="s">
        <v>655</v>
      </c>
      <c r="FZ1947" s="1" t="s">
        <v>229</v>
      </c>
      <c r="GA1947" s="1" t="s">
        <v>291</v>
      </c>
      <c r="GB1947" s="2">
        <v>41985.0</v>
      </c>
      <c r="GC1947" s="1" t="s">
        <v>18671</v>
      </c>
    </row>
    <row r="1948">
      <c r="A1948" s="1">
        <v>227000.0</v>
      </c>
      <c r="B1948" s="1" t="s">
        <v>185</v>
      </c>
      <c r="C1948" s="1" t="str">
        <f>"08718686"</f>
        <v>08718686</v>
      </c>
      <c r="D1948" s="1" t="s">
        <v>186</v>
      </c>
      <c r="F1948" s="1" t="str">
        <f>"8070"</f>
        <v>8070</v>
      </c>
      <c r="G1948" s="2">
        <v>41886.0</v>
      </c>
      <c r="H1948" s="1">
        <v>239000.0</v>
      </c>
      <c r="I1948" s="1">
        <v>54.0</v>
      </c>
      <c r="J1948" s="1">
        <v>234000.0</v>
      </c>
      <c r="K1948" s="2">
        <v>41939.0</v>
      </c>
      <c r="L1948" s="1">
        <v>54.0</v>
      </c>
      <c r="M1948" s="2">
        <v>41939.0</v>
      </c>
      <c r="N1948" s="1" t="s">
        <v>187</v>
      </c>
      <c r="O1948" s="2">
        <v>41988.0</v>
      </c>
      <c r="P1948" s="1">
        <v>602976.0</v>
      </c>
      <c r="Q1948" s="1">
        <v>25826.0</v>
      </c>
      <c r="R1948" s="1">
        <v>5810.0</v>
      </c>
      <c r="S1948" s="1">
        <v>8626.0</v>
      </c>
      <c r="T1948" s="1" t="s">
        <v>9879</v>
      </c>
      <c r="U1948" s="1" t="s">
        <v>189</v>
      </c>
      <c r="V1948" s="1" t="s">
        <v>190</v>
      </c>
      <c r="W1948" s="1">
        <v>60652.0</v>
      </c>
      <c r="Y1948" s="1" t="s">
        <v>18672</v>
      </c>
      <c r="Z1948" s="1">
        <v>1951.0</v>
      </c>
      <c r="AA1948" s="1" t="s">
        <v>192</v>
      </c>
      <c r="AB1948" s="1" t="s">
        <v>193</v>
      </c>
      <c r="AD1948" s="1" t="s">
        <v>194</v>
      </c>
      <c r="AE1948" s="1" t="s">
        <v>195</v>
      </c>
      <c r="AF1948" s="1" t="s">
        <v>659</v>
      </c>
      <c r="AH1948" s="1" t="s">
        <v>18673</v>
      </c>
      <c r="AI1948" s="1">
        <v>0.109</v>
      </c>
      <c r="AK1948" s="1">
        <v>7.0</v>
      </c>
      <c r="AL1948" s="1">
        <v>3.0</v>
      </c>
      <c r="AM1948" s="1">
        <v>2.0</v>
      </c>
      <c r="AN1948" s="1">
        <v>0.0</v>
      </c>
      <c r="AO1948" s="1" t="s">
        <v>229</v>
      </c>
      <c r="AQ1948" s="1" t="s">
        <v>198</v>
      </c>
      <c r="AR1948" s="1" t="s">
        <v>192</v>
      </c>
      <c r="AS1948" s="1" t="s">
        <v>199</v>
      </c>
      <c r="AT1948" s="1">
        <v>1.0</v>
      </c>
      <c r="AV1948" s="1" t="s">
        <v>200</v>
      </c>
      <c r="AW1948" s="1">
        <v>2467.12</v>
      </c>
      <c r="AX1948" s="1">
        <v>2013.0</v>
      </c>
      <c r="AY1948" s="1" t="s">
        <v>387</v>
      </c>
      <c r="AZ1948" s="1" t="s">
        <v>200</v>
      </c>
      <c r="BA1948" s="1" t="str">
        <f>"19343150310000"</f>
        <v>19343150310000</v>
      </c>
      <c r="BB1948" s="1" t="s">
        <v>200</v>
      </c>
      <c r="BC1948" s="1">
        <v>1162.0</v>
      </c>
      <c r="BD1948" s="1">
        <v>227000.0</v>
      </c>
      <c r="BE1948" s="2">
        <v>41886.0</v>
      </c>
      <c r="BF1948" s="2" t="s">
        <v>18674</v>
      </c>
      <c r="BH1948" s="1">
        <v>0.0</v>
      </c>
      <c r="BK1948" s="1" t="s">
        <v>204</v>
      </c>
      <c r="BL1948" s="1" t="str">
        <f t="shared" ref="BL1948:BM1948" si="1286">"0"</f>
        <v>0</v>
      </c>
      <c r="BM1948" s="1" t="str">
        <f t="shared" si="1286"/>
        <v>0</v>
      </c>
      <c r="BN1948" s="1">
        <v>4632.0</v>
      </c>
      <c r="BO1948" s="1">
        <v>8626.0</v>
      </c>
      <c r="BQ1948" s="1">
        <v>299.0</v>
      </c>
      <c r="BR1948" s="1">
        <v>299.0</v>
      </c>
      <c r="BS1948" s="1">
        <v>299.0</v>
      </c>
      <c r="BU1948" s="1" t="s">
        <v>1044</v>
      </c>
      <c r="BV1948" s="1" t="s">
        <v>206</v>
      </c>
      <c r="BW1948" s="1" t="s">
        <v>207</v>
      </c>
      <c r="BX1948" s="1" t="s">
        <v>1549</v>
      </c>
      <c r="BY1948" s="1" t="s">
        <v>1417</v>
      </c>
      <c r="BZ1948" s="1" t="s">
        <v>206</v>
      </c>
      <c r="CA1948" s="1" t="s">
        <v>207</v>
      </c>
      <c r="CB1948" s="1" t="s">
        <v>431</v>
      </c>
      <c r="CD1948" s="1" t="s">
        <v>204</v>
      </c>
      <c r="CG1948" s="1" t="s">
        <v>269</v>
      </c>
      <c r="CH1948" s="1" t="s">
        <v>206</v>
      </c>
      <c r="CI1948" s="1" t="s">
        <v>207</v>
      </c>
      <c r="CJ1948" s="1" t="s">
        <v>431</v>
      </c>
      <c r="CK1948" s="1" t="s">
        <v>212</v>
      </c>
      <c r="CL1948" s="1" t="s">
        <v>206</v>
      </c>
      <c r="CM1948" s="1" t="s">
        <v>207</v>
      </c>
      <c r="CN1948" s="1" t="s">
        <v>431</v>
      </c>
      <c r="CO1948" s="1" t="s">
        <v>269</v>
      </c>
      <c r="CP1948" s="1" t="s">
        <v>42</v>
      </c>
      <c r="CS1948" s="1" t="s">
        <v>4403</v>
      </c>
      <c r="CT1948" s="1" t="s">
        <v>206</v>
      </c>
      <c r="CU1948" s="1" t="s">
        <v>268</v>
      </c>
      <c r="CV1948" s="1" t="s">
        <v>1549</v>
      </c>
      <c r="CW1948" s="1" t="s">
        <v>18675</v>
      </c>
      <c r="CX1948" s="1" t="s">
        <v>42</v>
      </c>
      <c r="CY1948" s="1" t="s">
        <v>617</v>
      </c>
      <c r="DA1948" s="1" t="s">
        <v>200</v>
      </c>
      <c r="DC1948" s="1" t="s">
        <v>702</v>
      </c>
      <c r="DE1948" s="1" t="s">
        <v>273</v>
      </c>
      <c r="DF1948" s="1" t="s">
        <v>219</v>
      </c>
      <c r="DH1948" s="1" t="s">
        <v>365</v>
      </c>
      <c r="DJ1948" s="1" t="s">
        <v>222</v>
      </c>
      <c r="DL1948" s="1" t="s">
        <v>224</v>
      </c>
      <c r="DM1948" s="1" t="s">
        <v>225</v>
      </c>
      <c r="DO1948" s="1" t="s">
        <v>549</v>
      </c>
      <c r="DQ1948" s="1" t="s">
        <v>794</v>
      </c>
      <c r="DR1948" s="1" t="s">
        <v>229</v>
      </c>
      <c r="DS1948" s="1" t="s">
        <v>277</v>
      </c>
      <c r="DV1948" s="1" t="s">
        <v>232</v>
      </c>
      <c r="DW1948" s="1" t="s">
        <v>279</v>
      </c>
      <c r="DX1948" s="1" t="s">
        <v>1287</v>
      </c>
      <c r="DY1948" s="1" t="s">
        <v>18676</v>
      </c>
      <c r="EC1948" s="1" t="s">
        <v>311</v>
      </c>
      <c r="ED1948" s="1" t="s">
        <v>555</v>
      </c>
      <c r="EE1948" s="1" t="s">
        <v>493</v>
      </c>
      <c r="EM1948" s="1" t="s">
        <v>238</v>
      </c>
      <c r="EQ1948" s="1" t="s">
        <v>238</v>
      </c>
      <c r="EU1948" s="1" t="s">
        <v>238</v>
      </c>
      <c r="EY1948" s="1" t="s">
        <v>238</v>
      </c>
      <c r="FC1948" s="1" t="s">
        <v>238</v>
      </c>
      <c r="FF1948" s="1" t="s">
        <v>239</v>
      </c>
      <c r="FG1948" s="1" t="s">
        <v>192</v>
      </c>
      <c r="FH1948" s="1" t="s">
        <v>200</v>
      </c>
      <c r="FJ1948" s="1" t="s">
        <v>18677</v>
      </c>
      <c r="FK1948" s="1" t="s">
        <v>229</v>
      </c>
      <c r="FL1948" s="1" t="s">
        <v>16238</v>
      </c>
      <c r="FM1948" s="1">
        <v>26044.0</v>
      </c>
      <c r="FN1948" s="1" t="s">
        <v>16239</v>
      </c>
      <c r="FO1948" s="1" t="s">
        <v>16240</v>
      </c>
      <c r="FP1948" s="1">
        <v>243534.0</v>
      </c>
      <c r="FU1948" s="1" t="s">
        <v>18678</v>
      </c>
      <c r="FV1948" s="1" t="s">
        <v>200</v>
      </c>
      <c r="FW1948" s="1" t="s">
        <v>290</v>
      </c>
      <c r="FX1948" s="1" t="s">
        <v>655</v>
      </c>
      <c r="FZ1948" s="1" t="s">
        <v>229</v>
      </c>
      <c r="GA1948" s="1" t="s">
        <v>291</v>
      </c>
      <c r="GB1948" s="2">
        <v>41989.0</v>
      </c>
      <c r="GC1948" s="1" t="s">
        <v>18679</v>
      </c>
    </row>
    <row r="1949">
      <c r="A1949" s="1">
        <v>184900.0</v>
      </c>
      <c r="B1949" s="1" t="s">
        <v>185</v>
      </c>
      <c r="C1949" s="1" t="str">
        <f>"08719373"</f>
        <v>08719373</v>
      </c>
      <c r="D1949" s="1" t="s">
        <v>186</v>
      </c>
      <c r="F1949" s="1" t="str">
        <f>"140"</f>
        <v>140</v>
      </c>
      <c r="G1949" s="2">
        <v>41886.0</v>
      </c>
      <c r="H1949" s="1">
        <v>226600.0</v>
      </c>
      <c r="I1949" s="1">
        <v>98.0</v>
      </c>
      <c r="J1949" s="1">
        <v>175950.0</v>
      </c>
      <c r="K1949" s="2">
        <v>41982.0</v>
      </c>
      <c r="L1949" s="1">
        <v>97.0</v>
      </c>
      <c r="M1949" s="2">
        <v>41982.0</v>
      </c>
      <c r="N1949" s="1" t="s">
        <v>249</v>
      </c>
      <c r="O1949" s="2">
        <v>42026.0</v>
      </c>
      <c r="P1949" s="1">
        <v>238472.0</v>
      </c>
      <c r="Q1949" s="1">
        <v>25558.0</v>
      </c>
      <c r="S1949" s="1">
        <v>1390.0</v>
      </c>
      <c r="T1949" s="1" t="s">
        <v>15291</v>
      </c>
      <c r="U1949" s="1" t="s">
        <v>1174</v>
      </c>
      <c r="V1949" s="1" t="s">
        <v>4858</v>
      </c>
      <c r="W1949" s="1">
        <v>60140.0</v>
      </c>
      <c r="Y1949" s="1" t="s">
        <v>15292</v>
      </c>
      <c r="Z1949" s="1">
        <v>2005.0</v>
      </c>
      <c r="AA1949" s="1" t="s">
        <v>200</v>
      </c>
      <c r="AB1949" s="1" t="s">
        <v>467</v>
      </c>
      <c r="AD1949" s="1" t="s">
        <v>4860</v>
      </c>
      <c r="AE1949" s="1" t="s">
        <v>325</v>
      </c>
      <c r="AF1949" s="1" t="s">
        <v>3429</v>
      </c>
      <c r="AG1949" s="1" t="s">
        <v>15293</v>
      </c>
      <c r="AH1949" s="1" t="s">
        <v>15294</v>
      </c>
      <c r="AI1949" s="1">
        <v>0.1748</v>
      </c>
      <c r="AK1949" s="1">
        <v>10.0</v>
      </c>
      <c r="AL1949" s="1">
        <v>4.0</v>
      </c>
      <c r="AM1949" s="1">
        <v>2.0</v>
      </c>
      <c r="AN1949" s="1">
        <v>1.0</v>
      </c>
      <c r="AO1949" s="1" t="s">
        <v>198</v>
      </c>
      <c r="AP1949" s="1">
        <v>1.0</v>
      </c>
      <c r="AQ1949" s="1" t="s">
        <v>1314</v>
      </c>
      <c r="AR1949" s="1" t="s">
        <v>200</v>
      </c>
      <c r="AS1949" s="1" t="s">
        <v>199</v>
      </c>
      <c r="AT1949" s="1">
        <v>2.0</v>
      </c>
      <c r="AV1949" s="1" t="s">
        <v>200</v>
      </c>
      <c r="AW1949" s="1">
        <v>6723.4</v>
      </c>
      <c r="AX1949" s="1">
        <v>2012.0</v>
      </c>
      <c r="AY1949" s="1" t="s">
        <v>387</v>
      </c>
      <c r="AZ1949" s="1" t="s">
        <v>545</v>
      </c>
      <c r="BA1949" s="1" t="str">
        <f>"0229426009"</f>
        <v>0229426009</v>
      </c>
      <c r="BC1949" s="1">
        <v>2800.0</v>
      </c>
      <c r="BD1949" s="1">
        <v>184900.0</v>
      </c>
      <c r="BE1949" s="2">
        <v>41886.0</v>
      </c>
      <c r="BF1949" s="1" t="s">
        <v>18680</v>
      </c>
      <c r="BG1949" s="1" t="s">
        <v>6193</v>
      </c>
      <c r="BH1949" s="1">
        <v>62.0</v>
      </c>
      <c r="BI1949" s="1" t="s">
        <v>5040</v>
      </c>
      <c r="BJ1949" s="1" t="s">
        <v>1182</v>
      </c>
      <c r="BK1949" s="1" t="s">
        <v>474</v>
      </c>
      <c r="BL1949" s="1" t="str">
        <f t="shared" ref="BL1949:BM1949" si="1287">""</f>
        <v/>
      </c>
      <c r="BM1949" s="1" t="str">
        <f t="shared" si="1287"/>
        <v/>
      </c>
      <c r="BP1949" s="1" t="s">
        <v>15296</v>
      </c>
      <c r="BQ1949" s="1">
        <v>300.0</v>
      </c>
      <c r="BR1949" s="1">
        <v>300.0</v>
      </c>
      <c r="BS1949" s="1">
        <v>300.0</v>
      </c>
      <c r="BU1949" s="1" t="s">
        <v>584</v>
      </c>
      <c r="BV1949" s="1" t="s">
        <v>206</v>
      </c>
      <c r="BW1949" s="1" t="s">
        <v>210</v>
      </c>
      <c r="BY1949" s="1" t="s">
        <v>782</v>
      </c>
      <c r="BZ1949" s="1" t="s">
        <v>209</v>
      </c>
      <c r="CA1949" s="1" t="s">
        <v>210</v>
      </c>
      <c r="CC1949" s="1" t="s">
        <v>495</v>
      </c>
      <c r="CD1949" s="1" t="s">
        <v>206</v>
      </c>
      <c r="CE1949" s="1" t="s">
        <v>210</v>
      </c>
      <c r="CG1949" s="1" t="s">
        <v>331</v>
      </c>
      <c r="CH1949" s="1" t="s">
        <v>209</v>
      </c>
      <c r="CI1949" s="1" t="s">
        <v>210</v>
      </c>
      <c r="CK1949" s="1" t="s">
        <v>303</v>
      </c>
      <c r="CL1949" s="1" t="s">
        <v>209</v>
      </c>
      <c r="CM1949" s="1" t="s">
        <v>210</v>
      </c>
      <c r="CO1949" s="1" t="s">
        <v>363</v>
      </c>
      <c r="CP1949" s="1" t="s">
        <v>209</v>
      </c>
      <c r="CQ1949" s="1" t="s">
        <v>210</v>
      </c>
      <c r="CS1949" s="1" t="s">
        <v>497</v>
      </c>
      <c r="CT1949" s="1" t="s">
        <v>206</v>
      </c>
      <c r="CW1949" s="1" t="s">
        <v>1892</v>
      </c>
      <c r="CX1949" s="1" t="s">
        <v>206</v>
      </c>
      <c r="DA1949" s="1" t="s">
        <v>200</v>
      </c>
      <c r="DC1949" s="1" t="s">
        <v>481</v>
      </c>
      <c r="DD1949" s="1" t="s">
        <v>3633</v>
      </c>
      <c r="DE1949" s="1" t="s">
        <v>273</v>
      </c>
      <c r="DF1949" s="1" t="s">
        <v>619</v>
      </c>
      <c r="DH1949" s="1" t="s">
        <v>220</v>
      </c>
      <c r="DJ1949" s="1" t="s">
        <v>1048</v>
      </c>
      <c r="DL1949" s="1" t="s">
        <v>223</v>
      </c>
      <c r="DM1949" s="1" t="s">
        <v>338</v>
      </c>
      <c r="DP1949" s="1" t="s">
        <v>276</v>
      </c>
      <c r="DQ1949" s="1" t="s">
        <v>228</v>
      </c>
      <c r="DR1949" s="1" t="s">
        <v>2593</v>
      </c>
      <c r="DS1949" s="1" t="s">
        <v>230</v>
      </c>
      <c r="DV1949" s="1" t="s">
        <v>8941</v>
      </c>
      <c r="DW1949" s="1" t="s">
        <v>370</v>
      </c>
      <c r="DX1949" s="1" t="s">
        <v>234</v>
      </c>
      <c r="DZ1949" s="1" t="s">
        <v>343</v>
      </c>
      <c r="EA1949" s="1" t="s">
        <v>1027</v>
      </c>
      <c r="EC1949" s="1" t="s">
        <v>237</v>
      </c>
      <c r="EG1949" s="1" t="s">
        <v>556</v>
      </c>
      <c r="EH1949" s="1" t="s">
        <v>341</v>
      </c>
      <c r="EL1949" s="1" t="s">
        <v>699</v>
      </c>
      <c r="EM1949" s="1" t="s">
        <v>206</v>
      </c>
      <c r="EP1949" s="1" t="s">
        <v>495</v>
      </c>
      <c r="EQ1949" s="1" t="s">
        <v>209</v>
      </c>
      <c r="ER1949" s="1" t="s">
        <v>210</v>
      </c>
      <c r="EU1949" s="1" t="s">
        <v>238</v>
      </c>
      <c r="EY1949" s="1" t="s">
        <v>238</v>
      </c>
      <c r="FC1949" s="1" t="s">
        <v>238</v>
      </c>
      <c r="FF1949" s="1" t="s">
        <v>239</v>
      </c>
      <c r="FG1949" s="1" t="s">
        <v>192</v>
      </c>
      <c r="FH1949" s="1" t="s">
        <v>192</v>
      </c>
      <c r="FJ1949" s="1" t="s">
        <v>3334</v>
      </c>
      <c r="FK1949" s="1" t="s">
        <v>229</v>
      </c>
      <c r="FL1949" s="1" t="s">
        <v>4954</v>
      </c>
      <c r="FM1949" s="1">
        <v>25558.0</v>
      </c>
      <c r="FN1949" s="1" t="s">
        <v>1998</v>
      </c>
      <c r="FO1949" s="1" t="s">
        <v>17228</v>
      </c>
      <c r="FP1949" s="1">
        <v>238896.0</v>
      </c>
      <c r="FQ1949" s="1" t="s">
        <v>17229</v>
      </c>
      <c r="FS1949" s="1" t="s">
        <v>17230</v>
      </c>
      <c r="FU1949" s="1" t="s">
        <v>7160</v>
      </c>
      <c r="FV1949" s="1" t="s">
        <v>200</v>
      </c>
      <c r="FW1949" s="1" t="s">
        <v>290</v>
      </c>
      <c r="FZ1949" s="1" t="s">
        <v>229</v>
      </c>
      <c r="GA1949" s="1" t="s">
        <v>291</v>
      </c>
      <c r="GB1949" s="2">
        <v>42026.0</v>
      </c>
      <c r="GC1949" s="1" t="s">
        <v>18681</v>
      </c>
    </row>
    <row r="1950">
      <c r="A1950" s="1">
        <v>460000.0</v>
      </c>
      <c r="B1950" s="1" t="s">
        <v>185</v>
      </c>
      <c r="C1950" s="1" t="str">
        <f>"08719059"</f>
        <v>08719059</v>
      </c>
      <c r="D1950" s="1" t="s">
        <v>186</v>
      </c>
      <c r="F1950" s="1" t="str">
        <f>"8024"</f>
        <v>8024</v>
      </c>
      <c r="G1950" s="2">
        <v>41886.0</v>
      </c>
      <c r="H1950" s="1">
        <v>580000.0</v>
      </c>
      <c r="I1950" s="1">
        <v>188.0</v>
      </c>
      <c r="J1950" s="1">
        <v>525000.0</v>
      </c>
      <c r="K1950" s="2">
        <v>42073.0</v>
      </c>
      <c r="L1950" s="1">
        <v>188.0</v>
      </c>
      <c r="M1950" s="2">
        <v>42073.0</v>
      </c>
      <c r="N1950" s="1" t="s">
        <v>187</v>
      </c>
      <c r="O1950" s="2">
        <v>42093.0</v>
      </c>
      <c r="P1950" s="1">
        <v>104803.0</v>
      </c>
      <c r="Q1950" s="1">
        <v>10272.0</v>
      </c>
      <c r="S1950" s="1">
        <v>1518.0</v>
      </c>
      <c r="T1950" s="1" t="s">
        <v>1294</v>
      </c>
      <c r="U1950" s="1" t="s">
        <v>320</v>
      </c>
      <c r="V1950" s="1" t="s">
        <v>190</v>
      </c>
      <c r="W1950" s="1">
        <v>60622.0</v>
      </c>
      <c r="Y1950" s="1" t="s">
        <v>18682</v>
      </c>
      <c r="Z1950" s="1">
        <v>2002.0</v>
      </c>
      <c r="AA1950" s="1" t="s">
        <v>200</v>
      </c>
      <c r="AB1950" s="1" t="s">
        <v>193</v>
      </c>
      <c r="AD1950" s="1" t="s">
        <v>194</v>
      </c>
      <c r="AE1950" s="1" t="s">
        <v>195</v>
      </c>
      <c r="AF1950" s="1" t="s">
        <v>827</v>
      </c>
      <c r="AH1950" s="1" t="s">
        <v>2080</v>
      </c>
      <c r="AI1950" s="1">
        <v>0.14</v>
      </c>
      <c r="AK1950" s="1">
        <v>8.0</v>
      </c>
      <c r="AL1950" s="1">
        <v>4.0</v>
      </c>
      <c r="AM1950" s="1">
        <v>2.0</v>
      </c>
      <c r="AN1950" s="1">
        <v>0.0</v>
      </c>
      <c r="AO1950" s="1" t="s">
        <v>229</v>
      </c>
      <c r="AQ1950" s="1" t="s">
        <v>229</v>
      </c>
      <c r="AR1950" s="1" t="s">
        <v>200</v>
      </c>
      <c r="AS1950" s="1" t="s">
        <v>828</v>
      </c>
      <c r="AU1950" s="1">
        <v>2.0</v>
      </c>
      <c r="AV1950" s="1" t="s">
        <v>200</v>
      </c>
      <c r="AW1950" s="1" t="s">
        <v>1902</v>
      </c>
      <c r="AX1950" s="1">
        <v>2013.0</v>
      </c>
      <c r="AZ1950" s="1" t="s">
        <v>200</v>
      </c>
      <c r="BA1950" s="1" t="str">
        <f>"16012030370000"</f>
        <v>16012030370000</v>
      </c>
      <c r="BB1950" s="1" t="s">
        <v>200</v>
      </c>
      <c r="BC1950" s="1">
        <v>2500.0</v>
      </c>
      <c r="BD1950" s="1">
        <v>460000.0</v>
      </c>
      <c r="BE1950" s="2">
        <v>41886.0</v>
      </c>
      <c r="BF1950" s="2" t="s">
        <v>18683</v>
      </c>
      <c r="BH1950" s="1">
        <v>0.0</v>
      </c>
      <c r="BK1950" s="1" t="s">
        <v>204</v>
      </c>
      <c r="BL1950" s="1" t="str">
        <f>"1500"</f>
        <v>1500</v>
      </c>
      <c r="BM1950" s="1" t="str">
        <f>"0"</f>
        <v>0</v>
      </c>
      <c r="BN1950" s="1">
        <v>2600.0</v>
      </c>
      <c r="BO1950" s="1">
        <v>0.0</v>
      </c>
      <c r="BQ1950" s="1">
        <v>299.0</v>
      </c>
      <c r="BR1950" s="1">
        <v>299.0</v>
      </c>
      <c r="BS1950" s="1">
        <v>299.0</v>
      </c>
      <c r="BU1950" s="1" t="s">
        <v>215</v>
      </c>
      <c r="BV1950" s="1" t="s">
        <v>206</v>
      </c>
      <c r="BY1950" s="1" t="s">
        <v>2800</v>
      </c>
      <c r="BZ1950" s="1" t="s">
        <v>391</v>
      </c>
      <c r="CC1950" s="1" t="s">
        <v>211</v>
      </c>
      <c r="CD1950" s="1" t="s">
        <v>206</v>
      </c>
      <c r="CG1950" s="1" t="s">
        <v>332</v>
      </c>
      <c r="CH1950" s="1" t="s">
        <v>209</v>
      </c>
      <c r="CK1950" s="1" t="s">
        <v>393</v>
      </c>
      <c r="CL1950" s="1" t="s">
        <v>209</v>
      </c>
      <c r="CO1950" s="1" t="s">
        <v>516</v>
      </c>
      <c r="CP1950" s="1" t="s">
        <v>209</v>
      </c>
      <c r="CS1950" s="1" t="s">
        <v>497</v>
      </c>
      <c r="CT1950" s="1" t="s">
        <v>206</v>
      </c>
      <c r="CW1950" s="1" t="s">
        <v>454</v>
      </c>
      <c r="CX1950" s="1" t="s">
        <v>391</v>
      </c>
      <c r="DA1950" s="1" t="s">
        <v>200</v>
      </c>
      <c r="DC1950" s="1" t="s">
        <v>335</v>
      </c>
      <c r="DE1950" s="1" t="s">
        <v>3750</v>
      </c>
      <c r="DF1950" s="1" t="s">
        <v>2328</v>
      </c>
      <c r="DH1950" s="1" t="s">
        <v>307</v>
      </c>
      <c r="DJ1950" s="1" t="s">
        <v>222</v>
      </c>
      <c r="DL1950" s="1" t="s">
        <v>520</v>
      </c>
      <c r="DM1950" s="1" t="s">
        <v>229</v>
      </c>
      <c r="DQ1950" s="1" t="s">
        <v>228</v>
      </c>
      <c r="DR1950" s="1" t="s">
        <v>229</v>
      </c>
      <c r="DV1950" s="1" t="s">
        <v>232</v>
      </c>
      <c r="DW1950" s="1" t="s">
        <v>18684</v>
      </c>
      <c r="DX1950" s="1" t="s">
        <v>234</v>
      </c>
      <c r="DZ1950" s="1" t="s">
        <v>343</v>
      </c>
      <c r="EC1950" s="1" t="s">
        <v>406</v>
      </c>
      <c r="EE1950" s="1" t="s">
        <v>187</v>
      </c>
      <c r="EF1950" s="1" t="s">
        <v>1761</v>
      </c>
      <c r="EM1950" s="1" t="s">
        <v>238</v>
      </c>
      <c r="EQ1950" s="1" t="s">
        <v>238</v>
      </c>
      <c r="EU1950" s="1" t="s">
        <v>238</v>
      </c>
      <c r="EY1950" s="1" t="s">
        <v>238</v>
      </c>
      <c r="FC1950" s="1" t="s">
        <v>238</v>
      </c>
      <c r="FF1950" s="1" t="s">
        <v>239</v>
      </c>
      <c r="FG1950" s="1" t="s">
        <v>192</v>
      </c>
      <c r="FH1950" s="1" t="s">
        <v>192</v>
      </c>
      <c r="FJ1950" s="1" t="s">
        <v>2427</v>
      </c>
      <c r="FK1950" s="1" t="s">
        <v>229</v>
      </c>
      <c r="FL1950" s="1" t="s">
        <v>456</v>
      </c>
      <c r="FM1950" s="1">
        <v>10013.0</v>
      </c>
      <c r="FN1950" s="1" t="s">
        <v>2428</v>
      </c>
      <c r="FO1950" s="1" t="s">
        <v>18685</v>
      </c>
      <c r="FP1950" s="1">
        <v>109118.0</v>
      </c>
      <c r="FQ1950" s="1" t="s">
        <v>18686</v>
      </c>
      <c r="FU1950" s="1" t="s">
        <v>18687</v>
      </c>
      <c r="FV1950" s="1" t="s">
        <v>200</v>
      </c>
      <c r="FW1950" s="1" t="s">
        <v>530</v>
      </c>
      <c r="FX1950" s="1" t="s">
        <v>238</v>
      </c>
      <c r="FZ1950" s="1" t="s">
        <v>229</v>
      </c>
      <c r="GA1950" s="1" t="s">
        <v>291</v>
      </c>
      <c r="GB1950" s="2">
        <v>42094.0</v>
      </c>
      <c r="GC1950" s="1" t="s">
        <v>18688</v>
      </c>
    </row>
    <row r="1951">
      <c r="A1951" s="1">
        <v>227000.0</v>
      </c>
      <c r="B1951" s="1" t="s">
        <v>185</v>
      </c>
      <c r="C1951" s="1" t="str">
        <f>"08726137"</f>
        <v>08726137</v>
      </c>
      <c r="D1951" s="1" t="s">
        <v>186</v>
      </c>
      <c r="F1951" s="1" t="str">
        <f>"174"</f>
        <v>174</v>
      </c>
      <c r="G1951" s="2">
        <v>41893.0</v>
      </c>
      <c r="H1951" s="1">
        <v>250000.0</v>
      </c>
      <c r="I1951" s="1">
        <v>146.0</v>
      </c>
      <c r="J1951" s="1">
        <v>235000.0</v>
      </c>
      <c r="K1951" s="2">
        <v>42038.0</v>
      </c>
      <c r="L1951" s="1">
        <v>146.0</v>
      </c>
      <c r="M1951" s="2">
        <v>42038.0</v>
      </c>
      <c r="N1951" s="1" t="s">
        <v>356</v>
      </c>
      <c r="O1951" s="2">
        <v>42090.0</v>
      </c>
      <c r="P1951" s="1">
        <v>681.0</v>
      </c>
      <c r="Q1951" s="1">
        <v>604.0</v>
      </c>
      <c r="S1951" s="1">
        <v>735.0</v>
      </c>
      <c r="T1951" s="1" t="s">
        <v>18689</v>
      </c>
      <c r="U1951" s="1" t="s">
        <v>320</v>
      </c>
      <c r="V1951" s="1" t="s">
        <v>1200</v>
      </c>
      <c r="W1951" s="1">
        <v>60174.0</v>
      </c>
      <c r="Y1951" s="1" t="s">
        <v>18690</v>
      </c>
      <c r="Z1951" s="1">
        <v>1972.0</v>
      </c>
      <c r="AA1951" s="1" t="s">
        <v>192</v>
      </c>
      <c r="AB1951" s="1" t="s">
        <v>193</v>
      </c>
      <c r="AD1951" s="1" t="s">
        <v>1203</v>
      </c>
      <c r="AE1951" s="1" t="s">
        <v>325</v>
      </c>
      <c r="AF1951" s="1" t="s">
        <v>1203</v>
      </c>
      <c r="AH1951" s="1">
        <v>12456.0</v>
      </c>
      <c r="AI1951" s="1">
        <v>0.286</v>
      </c>
      <c r="AK1951" s="1">
        <v>7.0</v>
      </c>
      <c r="AL1951" s="1">
        <v>4.0</v>
      </c>
      <c r="AM1951" s="1">
        <v>2.0</v>
      </c>
      <c r="AN1951" s="1">
        <v>0.0</v>
      </c>
      <c r="AO1951" s="1" t="s">
        <v>1261</v>
      </c>
      <c r="AP1951" s="1">
        <v>1.0</v>
      </c>
      <c r="AQ1951" s="1" t="s">
        <v>1314</v>
      </c>
      <c r="AR1951" s="1" t="s">
        <v>192</v>
      </c>
      <c r="AS1951" s="1" t="s">
        <v>199</v>
      </c>
      <c r="AT1951" s="1">
        <v>2.0</v>
      </c>
      <c r="AV1951" s="1" t="s">
        <v>200</v>
      </c>
      <c r="AW1951" s="1">
        <v>6137.0</v>
      </c>
      <c r="AX1951" s="1">
        <v>2013.0</v>
      </c>
      <c r="AY1951" s="1" t="s">
        <v>387</v>
      </c>
      <c r="AZ1951" s="1" t="s">
        <v>200</v>
      </c>
      <c r="BA1951" s="1" t="str">
        <f>"0933478002"</f>
        <v>0933478002</v>
      </c>
      <c r="BB1951" s="1" t="s">
        <v>200</v>
      </c>
      <c r="BC1951" s="1">
        <v>1248.0</v>
      </c>
      <c r="BD1951" s="1">
        <v>227000.0</v>
      </c>
      <c r="BE1951" s="2">
        <v>41893.0</v>
      </c>
      <c r="BF1951" s="2" t="s">
        <v>18691</v>
      </c>
      <c r="BH1951" s="1">
        <v>0.0</v>
      </c>
      <c r="BK1951" s="1" t="s">
        <v>204</v>
      </c>
      <c r="BL1951" s="1" t="str">
        <f t="shared" ref="BL1951:BM1951" si="1288">""</f>
        <v/>
      </c>
      <c r="BM1951" s="1" t="str">
        <f t="shared" si="1288"/>
        <v/>
      </c>
      <c r="BQ1951" s="1">
        <v>303.0</v>
      </c>
      <c r="BR1951" s="1">
        <v>303.0</v>
      </c>
      <c r="BS1951" s="1">
        <v>303.0</v>
      </c>
      <c r="BU1951" s="1" t="s">
        <v>496</v>
      </c>
      <c r="BV1951" s="1" t="s">
        <v>206</v>
      </c>
      <c r="BW1951" s="1" t="s">
        <v>210</v>
      </c>
      <c r="BX1951" s="1" t="s">
        <v>431</v>
      </c>
      <c r="BY1951" s="1" t="s">
        <v>329</v>
      </c>
      <c r="BZ1951" s="1" t="s">
        <v>206</v>
      </c>
      <c r="CA1951" s="1" t="s">
        <v>210</v>
      </c>
      <c r="CD1951" s="1" t="s">
        <v>204</v>
      </c>
      <c r="CG1951" s="1" t="s">
        <v>212</v>
      </c>
      <c r="CH1951" s="1" t="s">
        <v>206</v>
      </c>
      <c r="CI1951" s="1" t="s">
        <v>210</v>
      </c>
      <c r="CK1951" s="1" t="s">
        <v>269</v>
      </c>
      <c r="CL1951" s="1" t="s">
        <v>206</v>
      </c>
      <c r="CM1951" s="1" t="s">
        <v>210</v>
      </c>
      <c r="CO1951" s="1" t="s">
        <v>758</v>
      </c>
      <c r="CP1951" s="1" t="s">
        <v>267</v>
      </c>
      <c r="CQ1951" s="1" t="s">
        <v>301</v>
      </c>
      <c r="CS1951" s="1" t="s">
        <v>2414</v>
      </c>
      <c r="CT1951" s="1" t="s">
        <v>206</v>
      </c>
      <c r="CU1951" s="1" t="s">
        <v>268</v>
      </c>
      <c r="CW1951" s="1" t="s">
        <v>432</v>
      </c>
      <c r="CX1951" s="1" t="s">
        <v>267</v>
      </c>
      <c r="CY1951" s="1" t="s">
        <v>301</v>
      </c>
      <c r="DA1951" s="1" t="s">
        <v>200</v>
      </c>
      <c r="DC1951" s="1" t="s">
        <v>517</v>
      </c>
      <c r="DD1951" s="1" t="s">
        <v>518</v>
      </c>
      <c r="DE1951" s="1" t="s">
        <v>273</v>
      </c>
      <c r="DF1951" s="1" t="s">
        <v>905</v>
      </c>
      <c r="DG1951" s="1" t="s">
        <v>1317</v>
      </c>
      <c r="DH1951" s="1" t="s">
        <v>220</v>
      </c>
      <c r="DI1951" s="1" t="s">
        <v>308</v>
      </c>
      <c r="DJ1951" s="1" t="s">
        <v>222</v>
      </c>
      <c r="DK1951" s="1" t="s">
        <v>223</v>
      </c>
      <c r="DL1951" s="1" t="s">
        <v>224</v>
      </c>
      <c r="DM1951" s="1" t="s">
        <v>229</v>
      </c>
      <c r="DO1951" s="1" t="s">
        <v>549</v>
      </c>
      <c r="DQ1951" s="1" t="s">
        <v>441</v>
      </c>
      <c r="DR1951" s="1" t="s">
        <v>229</v>
      </c>
      <c r="DV1951" s="1" t="s">
        <v>232</v>
      </c>
      <c r="DW1951" s="1" t="s">
        <v>370</v>
      </c>
      <c r="DX1951" s="1" t="s">
        <v>234</v>
      </c>
      <c r="DY1951" s="1" t="s">
        <v>18087</v>
      </c>
      <c r="DZ1951" s="1" t="s">
        <v>18692</v>
      </c>
      <c r="EB1951" s="1" t="s">
        <v>684</v>
      </c>
      <c r="EC1951" s="1" t="s">
        <v>645</v>
      </c>
      <c r="ED1951" s="1" t="s">
        <v>407</v>
      </c>
      <c r="EE1951" s="1" t="s">
        <v>493</v>
      </c>
      <c r="EM1951" s="1" t="s">
        <v>238</v>
      </c>
      <c r="EQ1951" s="1" t="s">
        <v>238</v>
      </c>
      <c r="EU1951" s="1" t="s">
        <v>238</v>
      </c>
      <c r="EY1951" s="1" t="s">
        <v>238</v>
      </c>
      <c r="FC1951" s="1" t="s">
        <v>238</v>
      </c>
      <c r="FF1951" s="1" t="s">
        <v>239</v>
      </c>
      <c r="FG1951" s="1" t="s">
        <v>192</v>
      </c>
      <c r="FH1951" s="1" t="s">
        <v>192</v>
      </c>
      <c r="FJ1951" s="1" t="s">
        <v>624</v>
      </c>
      <c r="FK1951" s="1" t="s">
        <v>229</v>
      </c>
      <c r="FL1951" s="1" t="s">
        <v>456</v>
      </c>
      <c r="FM1951" s="1">
        <v>49.0</v>
      </c>
      <c r="FN1951" s="1" t="s">
        <v>457</v>
      </c>
      <c r="FO1951" s="1" t="s">
        <v>16859</v>
      </c>
      <c r="FP1951" s="1">
        <v>8442.0</v>
      </c>
      <c r="FQ1951" s="1" t="s">
        <v>16860</v>
      </c>
      <c r="FS1951" s="1" t="s">
        <v>16861</v>
      </c>
      <c r="FU1951" s="1" t="s">
        <v>18693</v>
      </c>
      <c r="FV1951" s="1" t="s">
        <v>200</v>
      </c>
      <c r="FW1951" s="1" t="s">
        <v>290</v>
      </c>
      <c r="FZ1951" s="1" t="s">
        <v>229</v>
      </c>
      <c r="GA1951" s="1" t="s">
        <v>291</v>
      </c>
      <c r="GB1951" s="2">
        <v>42090.0</v>
      </c>
      <c r="GC1951" s="1" t="s">
        <v>18694</v>
      </c>
    </row>
    <row r="1952">
      <c r="A1952" s="1">
        <v>157500.0</v>
      </c>
      <c r="B1952" s="1" t="s">
        <v>185</v>
      </c>
      <c r="C1952" s="1" t="str">
        <f>"08745864"</f>
        <v>08745864</v>
      </c>
      <c r="D1952" s="1" t="s">
        <v>186</v>
      </c>
      <c r="F1952" s="1" t="str">
        <f>"8073"</f>
        <v>8073</v>
      </c>
      <c r="G1952" s="2">
        <v>41918.0</v>
      </c>
      <c r="H1952" s="1">
        <v>157500.0</v>
      </c>
      <c r="I1952" s="1">
        <v>4.0</v>
      </c>
      <c r="J1952" s="1">
        <v>157500.0</v>
      </c>
      <c r="K1952" s="2">
        <v>41921.0</v>
      </c>
      <c r="L1952" s="1">
        <v>4.0</v>
      </c>
      <c r="M1952" s="2">
        <v>41921.0</v>
      </c>
      <c r="N1952" s="1" t="s">
        <v>356</v>
      </c>
      <c r="O1952" s="2">
        <v>41992.0</v>
      </c>
      <c r="P1952" s="1">
        <v>112268.0</v>
      </c>
      <c r="Q1952" s="1">
        <v>18235.0</v>
      </c>
      <c r="S1952" s="1">
        <v>10508.0</v>
      </c>
      <c r="T1952" s="1" t="s">
        <v>4544</v>
      </c>
      <c r="U1952" s="1" t="s">
        <v>320</v>
      </c>
      <c r="V1952" s="1" t="s">
        <v>190</v>
      </c>
      <c r="W1952" s="1">
        <v>60643.0</v>
      </c>
      <c r="Y1952" s="1" t="s">
        <v>18695</v>
      </c>
      <c r="Z1952" s="1">
        <v>1951.0</v>
      </c>
      <c r="AA1952" s="1" t="s">
        <v>192</v>
      </c>
      <c r="AB1952" s="1" t="s">
        <v>193</v>
      </c>
      <c r="AD1952" s="1" t="s">
        <v>194</v>
      </c>
      <c r="AE1952" s="1" t="s">
        <v>195</v>
      </c>
      <c r="AF1952" s="1" t="s">
        <v>659</v>
      </c>
      <c r="AH1952" s="1">
        <v>3660.0</v>
      </c>
      <c r="AI1952" s="1">
        <v>0.084</v>
      </c>
      <c r="AK1952" s="1">
        <v>8.0</v>
      </c>
      <c r="AL1952" s="1">
        <v>3.0</v>
      </c>
      <c r="AM1952" s="1">
        <v>2.0</v>
      </c>
      <c r="AN1952" s="1">
        <v>0.0</v>
      </c>
      <c r="AO1952" s="1" t="s">
        <v>229</v>
      </c>
      <c r="AQ1952" s="1" t="s">
        <v>198</v>
      </c>
      <c r="AR1952" s="1" t="s">
        <v>192</v>
      </c>
      <c r="AS1952" s="1" t="s">
        <v>199</v>
      </c>
      <c r="AT1952" s="1">
        <v>2.0</v>
      </c>
      <c r="AV1952" s="1" t="s">
        <v>200</v>
      </c>
      <c r="AW1952" s="1">
        <v>1965.31</v>
      </c>
      <c r="AX1952" s="1">
        <v>2012.0</v>
      </c>
      <c r="AZ1952" s="1" t="s">
        <v>200</v>
      </c>
      <c r="BA1952" s="1" t="str">
        <f>"25172200200000"</f>
        <v>25172200200000</v>
      </c>
      <c r="BC1952" s="1">
        <v>1200.0</v>
      </c>
      <c r="BD1952" s="1">
        <v>157500.0</v>
      </c>
      <c r="BE1952" s="2">
        <v>41918.0</v>
      </c>
      <c r="BF1952" s="2" t="s">
        <v>18696</v>
      </c>
      <c r="BH1952" s="1">
        <v>0.0</v>
      </c>
      <c r="BK1952" s="1" t="s">
        <v>204</v>
      </c>
      <c r="BL1952" s="1" t="str">
        <f t="shared" ref="BL1952:BM1952" si="1289">"0"</f>
        <v>0</v>
      </c>
      <c r="BM1952" s="1" t="str">
        <f t="shared" si="1289"/>
        <v>0</v>
      </c>
      <c r="BN1952" s="1">
        <v>900.0</v>
      </c>
      <c r="BO1952" s="1">
        <v>10508.0</v>
      </c>
      <c r="BQ1952" s="1">
        <v>299.0</v>
      </c>
      <c r="BR1952" s="1">
        <v>299.0</v>
      </c>
      <c r="BS1952" s="1">
        <v>299.0</v>
      </c>
      <c r="BU1952" s="1" t="s">
        <v>582</v>
      </c>
      <c r="BV1952" s="1" t="s">
        <v>206</v>
      </c>
      <c r="BW1952" s="1" t="s">
        <v>207</v>
      </c>
      <c r="BY1952" s="1" t="s">
        <v>264</v>
      </c>
      <c r="BZ1952" s="1" t="s">
        <v>206</v>
      </c>
      <c r="CA1952" s="1" t="s">
        <v>207</v>
      </c>
      <c r="CC1952" s="1" t="s">
        <v>269</v>
      </c>
      <c r="CD1952" s="1" t="s">
        <v>206</v>
      </c>
      <c r="CE1952" s="1" t="s">
        <v>207</v>
      </c>
      <c r="CG1952" s="1" t="s">
        <v>264</v>
      </c>
      <c r="CH1952" s="1" t="s">
        <v>206</v>
      </c>
      <c r="CI1952" s="1" t="s">
        <v>207</v>
      </c>
      <c r="CK1952" s="1" t="s">
        <v>264</v>
      </c>
      <c r="CL1952" s="1" t="s">
        <v>206</v>
      </c>
      <c r="CM1952" s="1" t="s">
        <v>268</v>
      </c>
      <c r="CO1952" s="1" t="s">
        <v>269</v>
      </c>
      <c r="CP1952" s="1" t="s">
        <v>42</v>
      </c>
      <c r="CQ1952" s="1" t="s">
        <v>268</v>
      </c>
      <c r="CS1952" s="1" t="s">
        <v>647</v>
      </c>
      <c r="CT1952" s="1" t="s">
        <v>206</v>
      </c>
      <c r="CU1952" s="1" t="s">
        <v>268</v>
      </c>
      <c r="CW1952" s="1" t="s">
        <v>7202</v>
      </c>
      <c r="CX1952" s="1" t="s">
        <v>42</v>
      </c>
      <c r="CY1952" s="1" t="s">
        <v>268</v>
      </c>
      <c r="DA1952" s="1" t="s">
        <v>200</v>
      </c>
      <c r="DC1952" s="1" t="s">
        <v>702</v>
      </c>
      <c r="DE1952" s="1" t="s">
        <v>273</v>
      </c>
      <c r="DF1952" s="1" t="s">
        <v>219</v>
      </c>
      <c r="DH1952" s="1" t="s">
        <v>220</v>
      </c>
      <c r="DI1952" s="1" t="s">
        <v>366</v>
      </c>
      <c r="DJ1952" s="1" t="s">
        <v>222</v>
      </c>
      <c r="DL1952" s="1" t="s">
        <v>224</v>
      </c>
      <c r="DM1952" s="1" t="s">
        <v>229</v>
      </c>
      <c r="DQ1952" s="1" t="s">
        <v>228</v>
      </c>
      <c r="DR1952" s="1" t="s">
        <v>229</v>
      </c>
      <c r="DV1952" s="1" t="s">
        <v>232</v>
      </c>
      <c r="DW1952" s="1" t="s">
        <v>279</v>
      </c>
      <c r="DX1952" s="1" t="s">
        <v>234</v>
      </c>
      <c r="DY1952" s="1" t="s">
        <v>553</v>
      </c>
      <c r="EC1952" s="1" t="s">
        <v>311</v>
      </c>
      <c r="EE1952" s="1" t="s">
        <v>493</v>
      </c>
      <c r="EM1952" s="1" t="s">
        <v>238</v>
      </c>
      <c r="EQ1952" s="1" t="s">
        <v>238</v>
      </c>
      <c r="EU1952" s="1" t="s">
        <v>238</v>
      </c>
      <c r="EY1952" s="1" t="s">
        <v>238</v>
      </c>
      <c r="FC1952" s="1" t="s">
        <v>238</v>
      </c>
      <c r="FF1952" s="1" t="s">
        <v>239</v>
      </c>
      <c r="FG1952" s="1" t="s">
        <v>192</v>
      </c>
      <c r="FH1952" s="1" t="s">
        <v>192</v>
      </c>
      <c r="FJ1952" s="1" t="s">
        <v>1280</v>
      </c>
      <c r="FK1952" s="1" t="s">
        <v>229</v>
      </c>
      <c r="FL1952" s="1" t="s">
        <v>649</v>
      </c>
      <c r="FM1952" s="1">
        <v>60296.0</v>
      </c>
      <c r="FN1952" s="1" t="s">
        <v>650</v>
      </c>
      <c r="FO1952" s="1" t="s">
        <v>651</v>
      </c>
      <c r="FP1952" s="1">
        <v>602837.0</v>
      </c>
      <c r="FQ1952" s="1" t="s">
        <v>652</v>
      </c>
      <c r="FR1952" s="1">
        <v>602442.0</v>
      </c>
      <c r="FU1952" s="1" t="s">
        <v>3416</v>
      </c>
      <c r="FV1952" s="1" t="s">
        <v>200</v>
      </c>
      <c r="FW1952" s="1" t="s">
        <v>1293</v>
      </c>
      <c r="FX1952" s="1" t="s">
        <v>655</v>
      </c>
      <c r="FZ1952" s="1" t="s">
        <v>229</v>
      </c>
      <c r="GA1952" s="1" t="s">
        <v>291</v>
      </c>
      <c r="GB1952" s="2">
        <v>41995.0</v>
      </c>
      <c r="GC1952" s="1" t="s">
        <v>1372</v>
      </c>
    </row>
    <row r="1953">
      <c r="A1953" s="1">
        <v>278500.0</v>
      </c>
      <c r="B1953" s="1" t="s">
        <v>185</v>
      </c>
      <c r="C1953" s="1" t="str">
        <f>"08721318"</f>
        <v>08721318</v>
      </c>
      <c r="D1953" s="1" t="s">
        <v>186</v>
      </c>
      <c r="F1953" s="1" t="str">
        <f>"123"</f>
        <v>123</v>
      </c>
      <c r="G1953" s="2">
        <v>41888.0</v>
      </c>
      <c r="H1953" s="1">
        <v>324900.0</v>
      </c>
      <c r="I1953" s="1">
        <v>160.0</v>
      </c>
      <c r="J1953" s="1">
        <v>299900.0</v>
      </c>
      <c r="K1953" s="2">
        <v>42047.0</v>
      </c>
      <c r="L1953" s="1">
        <v>160.0</v>
      </c>
      <c r="M1953" s="2">
        <v>42047.0</v>
      </c>
      <c r="N1953" s="1" t="s">
        <v>356</v>
      </c>
      <c r="O1953" s="2">
        <v>42094.0</v>
      </c>
      <c r="P1953" s="1">
        <v>240116.0</v>
      </c>
      <c r="Q1953" s="1">
        <v>8094.0</v>
      </c>
      <c r="R1953" s="1">
        <v>2000.0</v>
      </c>
      <c r="S1953" s="1" t="s">
        <v>18697</v>
      </c>
      <c r="T1953" s="1" t="s">
        <v>18698</v>
      </c>
      <c r="U1953" s="1" t="s">
        <v>1174</v>
      </c>
      <c r="V1953" s="1" t="s">
        <v>465</v>
      </c>
      <c r="W1953" s="1">
        <v>60124.0</v>
      </c>
      <c r="Y1953" s="1" t="s">
        <v>18699</v>
      </c>
      <c r="Z1953" s="1">
        <v>1979.0</v>
      </c>
      <c r="AA1953" s="1" t="s">
        <v>200</v>
      </c>
      <c r="AB1953" s="1" t="s">
        <v>193</v>
      </c>
      <c r="AC1953" s="1" t="s">
        <v>18700</v>
      </c>
      <c r="AD1953" s="1" t="s">
        <v>1089</v>
      </c>
      <c r="AE1953" s="1" t="s">
        <v>325</v>
      </c>
      <c r="AF1953" s="1" t="s">
        <v>469</v>
      </c>
      <c r="AG1953" s="1" t="s">
        <v>18701</v>
      </c>
      <c r="AH1953" s="1" t="s">
        <v>18702</v>
      </c>
      <c r="AK1953" s="1">
        <v>9.0</v>
      </c>
      <c r="AL1953" s="1">
        <v>4.0</v>
      </c>
      <c r="AM1953" s="1">
        <v>4.0</v>
      </c>
      <c r="AN1953" s="1">
        <v>0.0</v>
      </c>
      <c r="AO1953" s="1" t="s">
        <v>198</v>
      </c>
      <c r="AP1953" s="1">
        <v>2.0</v>
      </c>
      <c r="AQ1953" s="1" t="s">
        <v>951</v>
      </c>
      <c r="AR1953" s="1" t="s">
        <v>192</v>
      </c>
      <c r="AS1953" s="1" t="s">
        <v>199</v>
      </c>
      <c r="AT1953" s="1">
        <v>2.0</v>
      </c>
      <c r="AV1953" s="1" t="s">
        <v>200</v>
      </c>
      <c r="AW1953" s="1">
        <v>6677.42</v>
      </c>
      <c r="AX1953" s="1">
        <v>2013.0</v>
      </c>
      <c r="AY1953" s="1" t="s">
        <v>387</v>
      </c>
      <c r="AZ1953" s="1" t="s">
        <v>200</v>
      </c>
      <c r="BA1953" s="1" t="str">
        <f>"0606327001"</f>
        <v>0606327001</v>
      </c>
      <c r="BC1953" s="1">
        <v>2222.0</v>
      </c>
      <c r="BD1953" s="1">
        <v>278500.0</v>
      </c>
      <c r="BE1953" s="2">
        <v>41888.0</v>
      </c>
      <c r="BF1953" s="2" t="s">
        <v>18703</v>
      </c>
      <c r="BH1953" s="1">
        <v>250.0</v>
      </c>
      <c r="BK1953" s="1" t="s">
        <v>580</v>
      </c>
      <c r="BL1953" s="1" t="str">
        <f t="shared" ref="BL1953:BM1953" si="1290">""</f>
        <v/>
      </c>
      <c r="BM1953" s="1" t="str">
        <f t="shared" si="1290"/>
        <v/>
      </c>
      <c r="BQ1953" s="1">
        <v>46.0</v>
      </c>
      <c r="BR1953" s="1">
        <v>46.0</v>
      </c>
      <c r="BS1953" s="1">
        <v>46.0</v>
      </c>
      <c r="BU1953" s="1" t="s">
        <v>362</v>
      </c>
      <c r="BV1953" s="1" t="s">
        <v>206</v>
      </c>
      <c r="BW1953" s="1" t="s">
        <v>207</v>
      </c>
      <c r="BX1953" s="1" t="s">
        <v>476</v>
      </c>
      <c r="BY1953" s="1" t="s">
        <v>262</v>
      </c>
      <c r="BZ1953" s="1" t="s">
        <v>209</v>
      </c>
      <c r="CA1953" s="1" t="s">
        <v>210</v>
      </c>
      <c r="CB1953" s="1" t="s">
        <v>431</v>
      </c>
      <c r="CD1953" s="1" t="s">
        <v>204</v>
      </c>
      <c r="CG1953" s="1" t="s">
        <v>331</v>
      </c>
      <c r="CH1953" s="1" t="s">
        <v>206</v>
      </c>
      <c r="CI1953" s="1" t="s">
        <v>207</v>
      </c>
      <c r="CJ1953" s="1" t="s">
        <v>431</v>
      </c>
      <c r="CK1953" s="1" t="s">
        <v>331</v>
      </c>
      <c r="CL1953" s="1" t="s">
        <v>209</v>
      </c>
      <c r="CM1953" s="1" t="s">
        <v>210</v>
      </c>
      <c r="CN1953" s="1" t="s">
        <v>229</v>
      </c>
      <c r="CO1953" s="1" t="s">
        <v>1329</v>
      </c>
      <c r="CP1953" s="1" t="s">
        <v>1697</v>
      </c>
      <c r="CQ1953" s="1" t="s">
        <v>210</v>
      </c>
      <c r="CR1953" s="1" t="s">
        <v>431</v>
      </c>
      <c r="CS1953" s="1" t="s">
        <v>699</v>
      </c>
      <c r="CT1953" s="1" t="s">
        <v>206</v>
      </c>
      <c r="CU1953" s="1" t="s">
        <v>207</v>
      </c>
      <c r="CV1953" s="1" t="s">
        <v>431</v>
      </c>
      <c r="CW1953" s="1" t="s">
        <v>854</v>
      </c>
      <c r="CX1953" s="1" t="s">
        <v>1697</v>
      </c>
      <c r="CY1953" s="1" t="s">
        <v>210</v>
      </c>
      <c r="CZ1953" s="1" t="s">
        <v>431</v>
      </c>
      <c r="DA1953" s="1" t="s">
        <v>200</v>
      </c>
      <c r="DC1953" s="1" t="s">
        <v>395</v>
      </c>
      <c r="DD1953" s="1" t="s">
        <v>518</v>
      </c>
      <c r="DE1953" s="1" t="s">
        <v>273</v>
      </c>
      <c r="DF1953" s="1" t="s">
        <v>219</v>
      </c>
      <c r="DG1953" s="1" t="s">
        <v>2123</v>
      </c>
      <c r="DH1953" s="1" t="s">
        <v>856</v>
      </c>
      <c r="DI1953" s="1" t="s">
        <v>18704</v>
      </c>
      <c r="DJ1953" s="1" t="s">
        <v>857</v>
      </c>
      <c r="DK1953" s="1" t="s">
        <v>3740</v>
      </c>
      <c r="DL1953" s="1" t="s">
        <v>224</v>
      </c>
      <c r="DM1953" s="1" t="s">
        <v>229</v>
      </c>
      <c r="DN1953" s="1" t="s">
        <v>18606</v>
      </c>
      <c r="DQ1953" s="1" t="s">
        <v>1557</v>
      </c>
      <c r="DR1953" s="1" t="s">
        <v>229</v>
      </c>
      <c r="DS1953" s="1" t="s">
        <v>230</v>
      </c>
      <c r="DU1953" s="1" t="s">
        <v>5944</v>
      </c>
      <c r="DV1953" s="1" t="s">
        <v>18705</v>
      </c>
      <c r="DW1953" s="1" t="s">
        <v>964</v>
      </c>
      <c r="DX1953" s="1" t="s">
        <v>234</v>
      </c>
      <c r="DY1953" s="1" t="s">
        <v>18706</v>
      </c>
      <c r="DZ1953" s="1" t="s">
        <v>18707</v>
      </c>
      <c r="EA1953" s="1" t="s">
        <v>1027</v>
      </c>
      <c r="EB1953" s="1" t="s">
        <v>937</v>
      </c>
      <c r="EC1953" s="1" t="s">
        <v>406</v>
      </c>
      <c r="ED1953" s="1" t="s">
        <v>864</v>
      </c>
      <c r="EE1953" s="1" t="s">
        <v>493</v>
      </c>
      <c r="EG1953" s="1" t="s">
        <v>449</v>
      </c>
      <c r="EH1953" s="1" t="s">
        <v>341</v>
      </c>
      <c r="EI1953" s="1" t="s">
        <v>408</v>
      </c>
      <c r="EJ1953" s="1" t="s">
        <v>2971</v>
      </c>
      <c r="EL1953" s="1" t="s">
        <v>699</v>
      </c>
      <c r="EM1953" s="1" t="s">
        <v>206</v>
      </c>
      <c r="EN1953" s="1" t="s">
        <v>207</v>
      </c>
      <c r="EO1953" s="1" t="s">
        <v>476</v>
      </c>
      <c r="EP1953" s="1" t="s">
        <v>623</v>
      </c>
      <c r="EQ1953" s="1" t="s">
        <v>209</v>
      </c>
      <c r="ER1953" s="1" t="s">
        <v>210</v>
      </c>
      <c r="ES1953" s="1" t="s">
        <v>229</v>
      </c>
      <c r="ET1953" s="1" t="s">
        <v>6414</v>
      </c>
      <c r="EU1953" s="1" t="s">
        <v>206</v>
      </c>
      <c r="EV1953" s="1" t="s">
        <v>207</v>
      </c>
      <c r="EW1953" s="1" t="s">
        <v>229</v>
      </c>
      <c r="EX1953" s="1" t="s">
        <v>798</v>
      </c>
      <c r="EY1953" s="1" t="s">
        <v>1697</v>
      </c>
      <c r="EZ1953" s="1" t="s">
        <v>268</v>
      </c>
      <c r="FA1953" s="1" t="s">
        <v>229</v>
      </c>
      <c r="FC1953" s="1" t="s">
        <v>238</v>
      </c>
      <c r="FF1953" s="1" t="s">
        <v>239</v>
      </c>
      <c r="FG1953" s="1" t="s">
        <v>192</v>
      </c>
      <c r="FH1953" s="1" t="s">
        <v>192</v>
      </c>
      <c r="FJ1953" s="1" t="s">
        <v>1506</v>
      </c>
      <c r="FK1953" s="1" t="s">
        <v>348</v>
      </c>
      <c r="FL1953" s="1" t="s">
        <v>1451</v>
      </c>
      <c r="FM1953" s="1">
        <v>7450.0</v>
      </c>
      <c r="FN1953" s="1" t="s">
        <v>1452</v>
      </c>
      <c r="FO1953" s="1" t="s">
        <v>17754</v>
      </c>
      <c r="FP1953" s="1">
        <v>77234.0</v>
      </c>
      <c r="FQ1953" s="1" t="s">
        <v>17755</v>
      </c>
      <c r="FU1953" s="1" t="s">
        <v>17756</v>
      </c>
      <c r="FV1953" s="1" t="s">
        <v>200</v>
      </c>
      <c r="FW1953" s="1" t="s">
        <v>530</v>
      </c>
      <c r="FZ1953" s="1" t="s">
        <v>229</v>
      </c>
      <c r="GA1953" s="1" t="s">
        <v>291</v>
      </c>
      <c r="GB1953" s="2">
        <v>42094.0</v>
      </c>
      <c r="GC1953" s="1" t="s">
        <v>18708</v>
      </c>
    </row>
    <row r="1954">
      <c r="A1954" s="1">
        <v>350000.0</v>
      </c>
      <c r="B1954" s="1" t="s">
        <v>185</v>
      </c>
      <c r="C1954" s="1" t="str">
        <f>"08722105"</f>
        <v>08722105</v>
      </c>
      <c r="D1954" s="1" t="s">
        <v>186</v>
      </c>
      <c r="F1954" s="1" t="str">
        <f>"10"</f>
        <v>10</v>
      </c>
      <c r="G1954" s="2">
        <v>41890.0</v>
      </c>
      <c r="H1954" s="1">
        <v>425000.0</v>
      </c>
      <c r="I1954" s="1">
        <v>463.0</v>
      </c>
      <c r="J1954" s="1">
        <v>375000.0</v>
      </c>
      <c r="K1954" s="2">
        <v>41955.0</v>
      </c>
      <c r="L1954" s="1">
        <v>66.0</v>
      </c>
      <c r="M1954" s="2">
        <v>41955.0</v>
      </c>
      <c r="N1954" s="1" t="s">
        <v>187</v>
      </c>
      <c r="O1954" s="2">
        <v>42003.0</v>
      </c>
      <c r="P1954" s="1">
        <v>234622.0</v>
      </c>
      <c r="Q1954" s="1">
        <v>23444.0</v>
      </c>
      <c r="S1954" s="1">
        <v>21140.0</v>
      </c>
      <c r="T1954" s="1" t="s">
        <v>18709</v>
      </c>
      <c r="U1954" s="1" t="s">
        <v>4857</v>
      </c>
      <c r="V1954" s="1" t="s">
        <v>914</v>
      </c>
      <c r="W1954" s="1">
        <v>60010.0</v>
      </c>
      <c r="Y1954" s="1" t="s">
        <v>18710</v>
      </c>
      <c r="Z1954" s="1">
        <v>1978.0</v>
      </c>
      <c r="AA1954" s="1" t="s">
        <v>200</v>
      </c>
      <c r="AB1954" s="1" t="s">
        <v>193</v>
      </c>
      <c r="AC1954" s="1" t="s">
        <v>15438</v>
      </c>
      <c r="AD1954" s="1" t="s">
        <v>916</v>
      </c>
      <c r="AE1954" s="1" t="s">
        <v>917</v>
      </c>
      <c r="AF1954" s="1" t="s">
        <v>918</v>
      </c>
      <c r="AG1954" s="1" t="s">
        <v>752</v>
      </c>
      <c r="AH1954" s="1" t="s">
        <v>18711</v>
      </c>
      <c r="AI1954" s="1">
        <v>0.92</v>
      </c>
      <c r="AK1954" s="1">
        <v>9.0</v>
      </c>
      <c r="AL1954" s="1">
        <v>4.0</v>
      </c>
      <c r="AM1954" s="1">
        <v>3.0</v>
      </c>
      <c r="AN1954" s="1">
        <v>1.0</v>
      </c>
      <c r="AO1954" s="1" t="s">
        <v>198</v>
      </c>
      <c r="AP1954" s="1">
        <v>1.0</v>
      </c>
      <c r="AQ1954" s="1" t="s">
        <v>198</v>
      </c>
      <c r="AR1954" s="1" t="s">
        <v>192</v>
      </c>
      <c r="AS1954" s="1" t="s">
        <v>199</v>
      </c>
      <c r="AT1954" s="1">
        <v>2.0</v>
      </c>
      <c r="AV1954" s="1" t="s">
        <v>192</v>
      </c>
      <c r="AW1954" s="1">
        <v>10505.35</v>
      </c>
      <c r="AX1954" s="1">
        <v>2012.0</v>
      </c>
      <c r="AZ1954" s="1" t="s">
        <v>200</v>
      </c>
      <c r="BA1954" s="1" t="str">
        <f>"14294050050000"</f>
        <v>14294050050000</v>
      </c>
      <c r="BB1954" s="1" t="s">
        <v>200</v>
      </c>
      <c r="BC1954" s="1">
        <v>3600.0</v>
      </c>
      <c r="BD1954" s="1">
        <v>350000.0</v>
      </c>
      <c r="BE1954" s="2">
        <v>41890.0</v>
      </c>
      <c r="BF1954" s="2" t="s">
        <v>18712</v>
      </c>
      <c r="BG1954" s="1" t="s">
        <v>921</v>
      </c>
      <c r="BH1954" s="1">
        <v>75.0</v>
      </c>
      <c r="BI1954" s="1" t="s">
        <v>15441</v>
      </c>
      <c r="BJ1954" s="1" t="s">
        <v>923</v>
      </c>
      <c r="BK1954" s="1" t="s">
        <v>580</v>
      </c>
      <c r="BL1954" s="1" t="str">
        <f>"21"</f>
        <v>21</v>
      </c>
      <c r="BM1954" s="1" t="str">
        <f>"0"</f>
        <v>0</v>
      </c>
      <c r="BN1954" s="1">
        <v>23.0</v>
      </c>
      <c r="BO1954" s="1">
        <v>0.0</v>
      </c>
      <c r="BQ1954" s="1">
        <v>95.0</v>
      </c>
      <c r="BR1954" s="1">
        <v>95.0</v>
      </c>
      <c r="BS1954" s="1">
        <v>95.0</v>
      </c>
      <c r="BU1954" s="1" t="s">
        <v>515</v>
      </c>
      <c r="BV1954" s="1" t="s">
        <v>206</v>
      </c>
      <c r="BW1954" s="1" t="s">
        <v>210</v>
      </c>
      <c r="BY1954" s="1" t="s">
        <v>213</v>
      </c>
      <c r="BZ1954" s="1" t="s">
        <v>209</v>
      </c>
      <c r="CA1954" s="1" t="s">
        <v>210</v>
      </c>
      <c r="CC1954" s="1" t="s">
        <v>497</v>
      </c>
      <c r="CD1954" s="1" t="s">
        <v>206</v>
      </c>
      <c r="CE1954" s="1" t="s">
        <v>210</v>
      </c>
      <c r="CG1954" s="1" t="s">
        <v>495</v>
      </c>
      <c r="CH1954" s="1" t="s">
        <v>209</v>
      </c>
      <c r="CI1954" s="1" t="s">
        <v>210</v>
      </c>
      <c r="CK1954" s="1" t="s">
        <v>497</v>
      </c>
      <c r="CL1954" s="1" t="s">
        <v>209</v>
      </c>
      <c r="CM1954" s="1" t="s">
        <v>210</v>
      </c>
      <c r="CO1954" s="1" t="s">
        <v>393</v>
      </c>
      <c r="CP1954" s="1" t="s">
        <v>209</v>
      </c>
      <c r="CQ1954" s="1" t="s">
        <v>210</v>
      </c>
      <c r="CS1954" s="1" t="s">
        <v>215</v>
      </c>
      <c r="CT1954" s="1" t="s">
        <v>206</v>
      </c>
      <c r="CU1954" s="1" t="s">
        <v>301</v>
      </c>
      <c r="CW1954" s="1" t="s">
        <v>3154</v>
      </c>
      <c r="CX1954" s="1" t="s">
        <v>267</v>
      </c>
      <c r="CY1954" s="1" t="s">
        <v>210</v>
      </c>
      <c r="DA1954" s="1" t="s">
        <v>200</v>
      </c>
      <c r="DC1954" s="1" t="s">
        <v>395</v>
      </c>
      <c r="DD1954" s="1" t="s">
        <v>217</v>
      </c>
      <c r="DE1954" s="1" t="s">
        <v>273</v>
      </c>
      <c r="DF1954" s="1" t="s">
        <v>905</v>
      </c>
      <c r="DG1954" s="1" t="s">
        <v>2123</v>
      </c>
      <c r="DH1954" s="1" t="s">
        <v>856</v>
      </c>
      <c r="DJ1954" s="1" t="s">
        <v>857</v>
      </c>
      <c r="DK1954" s="1" t="s">
        <v>198</v>
      </c>
      <c r="DL1954" s="1" t="s">
        <v>224</v>
      </c>
      <c r="DM1954" s="1" t="s">
        <v>229</v>
      </c>
      <c r="DN1954" s="1" t="s">
        <v>548</v>
      </c>
      <c r="DO1954" s="1" t="s">
        <v>18713</v>
      </c>
      <c r="DP1954" s="1" t="s">
        <v>340</v>
      </c>
      <c r="DQ1954" s="1" t="s">
        <v>1557</v>
      </c>
      <c r="DR1954" s="1" t="s">
        <v>229</v>
      </c>
      <c r="DU1954" s="1" t="s">
        <v>1840</v>
      </c>
      <c r="DV1954" s="1" t="s">
        <v>8511</v>
      </c>
      <c r="DW1954" s="1" t="s">
        <v>764</v>
      </c>
      <c r="DX1954" s="1" t="s">
        <v>234</v>
      </c>
      <c r="DY1954" s="1" t="s">
        <v>14014</v>
      </c>
      <c r="DZ1954" s="1" t="s">
        <v>282</v>
      </c>
      <c r="EC1954" s="1" t="s">
        <v>284</v>
      </c>
      <c r="EG1954" s="1" t="s">
        <v>598</v>
      </c>
      <c r="EH1954" s="1" t="s">
        <v>1103</v>
      </c>
      <c r="EL1954" s="1" t="s">
        <v>432</v>
      </c>
      <c r="EM1954" s="1" t="s">
        <v>267</v>
      </c>
      <c r="EN1954" s="1" t="s">
        <v>210</v>
      </c>
      <c r="EP1954" s="1" t="s">
        <v>516</v>
      </c>
      <c r="EQ1954" s="1" t="s">
        <v>267</v>
      </c>
      <c r="EU1954" s="1" t="s">
        <v>238</v>
      </c>
      <c r="EY1954" s="1" t="s">
        <v>238</v>
      </c>
      <c r="FC1954" s="1" t="s">
        <v>238</v>
      </c>
      <c r="FF1954" s="1" t="s">
        <v>239</v>
      </c>
      <c r="FG1954" s="1" t="s">
        <v>192</v>
      </c>
      <c r="FH1954" s="1" t="s">
        <v>192</v>
      </c>
      <c r="FJ1954" s="1" t="s">
        <v>524</v>
      </c>
      <c r="FK1954" s="1" t="s">
        <v>229</v>
      </c>
      <c r="FL1954" s="1" t="s">
        <v>7495</v>
      </c>
      <c r="FM1954" s="1">
        <v>24145.0</v>
      </c>
      <c r="FN1954" s="1" t="s">
        <v>7496</v>
      </c>
      <c r="FO1954" s="1" t="s">
        <v>7497</v>
      </c>
      <c r="FP1954" s="1">
        <v>233839.0</v>
      </c>
      <c r="FQ1954" s="1" t="s">
        <v>7496</v>
      </c>
      <c r="FU1954" s="1" t="s">
        <v>353</v>
      </c>
      <c r="FV1954" s="1" t="s">
        <v>200</v>
      </c>
      <c r="FW1954" s="1" t="s">
        <v>290</v>
      </c>
      <c r="FX1954" s="1" t="s">
        <v>238</v>
      </c>
      <c r="FZ1954" s="1" t="s">
        <v>229</v>
      </c>
      <c r="GA1954" s="1" t="s">
        <v>247</v>
      </c>
      <c r="GB1954" s="2">
        <v>42006.0</v>
      </c>
      <c r="GC1954" s="1" t="s">
        <v>18714</v>
      </c>
    </row>
    <row r="1955">
      <c r="A1955" s="1">
        <v>156000.0</v>
      </c>
      <c r="B1955" s="1" t="s">
        <v>185</v>
      </c>
      <c r="C1955" s="1" t="str">
        <f>"08726142"</f>
        <v>08726142</v>
      </c>
      <c r="D1955" s="1" t="s">
        <v>186</v>
      </c>
      <c r="F1955" s="1" t="str">
        <f>"560"</f>
        <v>560</v>
      </c>
      <c r="G1955" s="2">
        <v>41893.0</v>
      </c>
      <c r="H1955" s="1">
        <v>159900.0</v>
      </c>
      <c r="I1955" s="1">
        <v>36.0</v>
      </c>
      <c r="J1955" s="1">
        <v>159900.0</v>
      </c>
      <c r="K1955" s="2">
        <v>41928.0</v>
      </c>
      <c r="L1955" s="1">
        <v>36.0</v>
      </c>
      <c r="M1955" s="2">
        <v>41928.0</v>
      </c>
      <c r="N1955" s="1" t="s">
        <v>18715</v>
      </c>
      <c r="O1955" s="2">
        <v>41969.0</v>
      </c>
      <c r="P1955" s="1">
        <v>236449.0</v>
      </c>
      <c r="Q1955" s="1">
        <v>23156.0</v>
      </c>
      <c r="R1955" s="1">
        <v>3000.0</v>
      </c>
      <c r="S1955" s="1">
        <v>504.0</v>
      </c>
      <c r="T1955" s="1" t="s">
        <v>4089</v>
      </c>
      <c r="U1955" s="1" t="s">
        <v>320</v>
      </c>
      <c r="V1955" s="1" t="s">
        <v>845</v>
      </c>
      <c r="W1955" s="1">
        <v>60560.0</v>
      </c>
      <c r="Y1955" s="1" t="s">
        <v>18716</v>
      </c>
      <c r="Z1955" s="1">
        <v>1978.0</v>
      </c>
      <c r="AA1955" s="1" t="s">
        <v>200</v>
      </c>
      <c r="AB1955" s="1" t="s">
        <v>193</v>
      </c>
      <c r="AD1955" s="1" t="s">
        <v>848</v>
      </c>
      <c r="AE1955" s="1" t="s">
        <v>849</v>
      </c>
      <c r="AF1955" s="1" t="s">
        <v>2153</v>
      </c>
      <c r="AH1955" s="1" t="s">
        <v>18717</v>
      </c>
      <c r="AK1955" s="1">
        <v>9.0</v>
      </c>
      <c r="AL1955" s="1">
        <v>4.0</v>
      </c>
      <c r="AM1955" s="1">
        <v>2.0</v>
      </c>
      <c r="AN1955" s="1">
        <v>0.0</v>
      </c>
      <c r="AO1955" s="1" t="s">
        <v>229</v>
      </c>
      <c r="AQ1955" s="1" t="s">
        <v>229</v>
      </c>
      <c r="AR1955" s="1" t="s">
        <v>200</v>
      </c>
      <c r="AS1955" s="1" t="s">
        <v>199</v>
      </c>
      <c r="AT1955" s="1">
        <v>2.0</v>
      </c>
      <c r="AV1955" s="1" t="s">
        <v>200</v>
      </c>
      <c r="AW1955" s="1">
        <v>5845.86</v>
      </c>
      <c r="AX1955" s="1">
        <v>2012.0</v>
      </c>
      <c r="AY1955" s="1" t="s">
        <v>229</v>
      </c>
      <c r="AZ1955" s="1" t="s">
        <v>200</v>
      </c>
      <c r="BA1955" s="1" t="str">
        <f>"0232427009"</f>
        <v>0232427009</v>
      </c>
      <c r="BB1955" s="1" t="s">
        <v>200</v>
      </c>
      <c r="BC1955" s="1">
        <v>2194.0</v>
      </c>
      <c r="BD1955" s="1">
        <v>156000.0</v>
      </c>
      <c r="BE1955" s="2">
        <v>41893.0</v>
      </c>
      <c r="BF1955" s="2" t="s">
        <v>18718</v>
      </c>
      <c r="BH1955" s="1">
        <v>0.0</v>
      </c>
      <c r="BJ1955" s="1" t="s">
        <v>3053</v>
      </c>
      <c r="BK1955" s="1" t="s">
        <v>204</v>
      </c>
      <c r="BL1955" s="1" t="str">
        <f t="shared" ref="BL1955:BM1955" si="1291">""</f>
        <v/>
      </c>
      <c r="BM1955" s="1" t="str">
        <f t="shared" si="1291"/>
        <v/>
      </c>
      <c r="BQ1955" s="1">
        <v>115.0</v>
      </c>
      <c r="BR1955" s="1">
        <v>115.0</v>
      </c>
      <c r="BS1955" s="1">
        <v>115.0</v>
      </c>
      <c r="BU1955" s="1" t="s">
        <v>1483</v>
      </c>
      <c r="BV1955" s="1" t="s">
        <v>206</v>
      </c>
      <c r="BW1955" s="1" t="s">
        <v>207</v>
      </c>
      <c r="BY1955" s="1" t="s">
        <v>211</v>
      </c>
      <c r="BZ1955" s="1" t="s">
        <v>206</v>
      </c>
      <c r="CA1955" s="1" t="s">
        <v>207</v>
      </c>
      <c r="CC1955" s="1" t="s">
        <v>332</v>
      </c>
      <c r="CD1955" s="1" t="s">
        <v>206</v>
      </c>
      <c r="CE1955" s="1" t="s">
        <v>207</v>
      </c>
      <c r="CG1955" s="1" t="s">
        <v>495</v>
      </c>
      <c r="CH1955" s="1" t="s">
        <v>206</v>
      </c>
      <c r="CI1955" s="1" t="s">
        <v>207</v>
      </c>
      <c r="CK1955" s="1" t="s">
        <v>516</v>
      </c>
      <c r="CL1955" s="1" t="s">
        <v>206</v>
      </c>
      <c r="CM1955" s="1" t="s">
        <v>207</v>
      </c>
      <c r="CO1955" s="1" t="s">
        <v>393</v>
      </c>
      <c r="CP1955" s="1" t="s">
        <v>267</v>
      </c>
      <c r="CQ1955" s="1" t="s">
        <v>617</v>
      </c>
      <c r="CS1955" s="1" t="s">
        <v>212</v>
      </c>
      <c r="CT1955" s="1" t="s">
        <v>206</v>
      </c>
      <c r="CU1955" s="1" t="s">
        <v>617</v>
      </c>
      <c r="CW1955" s="1" t="s">
        <v>453</v>
      </c>
      <c r="CX1955" s="1" t="s">
        <v>267</v>
      </c>
      <c r="CY1955" s="1" t="s">
        <v>617</v>
      </c>
      <c r="DA1955" s="1" t="s">
        <v>200</v>
      </c>
      <c r="DC1955" s="1" t="s">
        <v>395</v>
      </c>
      <c r="DE1955" s="1" t="s">
        <v>273</v>
      </c>
      <c r="DF1955" s="1" t="s">
        <v>219</v>
      </c>
      <c r="DG1955" s="1" t="s">
        <v>1553</v>
      </c>
      <c r="DH1955" s="1" t="s">
        <v>220</v>
      </c>
      <c r="DJ1955" s="1" t="s">
        <v>222</v>
      </c>
      <c r="DL1955" s="1" t="s">
        <v>229</v>
      </c>
      <c r="DM1955" s="1" t="s">
        <v>229</v>
      </c>
      <c r="DQ1955" s="1" t="s">
        <v>228</v>
      </c>
      <c r="DR1955" s="1" t="s">
        <v>229</v>
      </c>
      <c r="DS1955" s="1" t="s">
        <v>230</v>
      </c>
      <c r="DU1955" s="1" t="s">
        <v>18060</v>
      </c>
      <c r="DV1955" s="1" t="s">
        <v>795</v>
      </c>
      <c r="DW1955" s="1" t="s">
        <v>667</v>
      </c>
      <c r="DX1955" s="1" t="s">
        <v>234</v>
      </c>
      <c r="EC1955" s="1" t="s">
        <v>311</v>
      </c>
      <c r="ED1955" s="1" t="s">
        <v>555</v>
      </c>
      <c r="EG1955" s="1" t="s">
        <v>720</v>
      </c>
      <c r="EH1955" s="1" t="s">
        <v>598</v>
      </c>
      <c r="EL1955" s="1" t="s">
        <v>497</v>
      </c>
      <c r="EM1955" s="1" t="s">
        <v>267</v>
      </c>
      <c r="EN1955" s="1" t="s">
        <v>210</v>
      </c>
      <c r="EP1955" s="1" t="s">
        <v>393</v>
      </c>
      <c r="EQ1955" s="1" t="s">
        <v>267</v>
      </c>
      <c r="ER1955" s="1" t="s">
        <v>617</v>
      </c>
      <c r="EU1955" s="1" t="s">
        <v>238</v>
      </c>
      <c r="EY1955" s="1" t="s">
        <v>238</v>
      </c>
      <c r="FC1955" s="1" t="s">
        <v>238</v>
      </c>
      <c r="FF1955" s="1" t="s">
        <v>239</v>
      </c>
      <c r="FG1955" s="1" t="s">
        <v>200</v>
      </c>
      <c r="FH1955" s="1" t="s">
        <v>200</v>
      </c>
      <c r="FJ1955" s="1" t="s">
        <v>770</v>
      </c>
      <c r="FK1955" s="1" t="s">
        <v>229</v>
      </c>
      <c r="FL1955" s="1" t="s">
        <v>18719</v>
      </c>
      <c r="FM1955" s="1">
        <v>25897.0</v>
      </c>
      <c r="FN1955" s="1" t="s">
        <v>18720</v>
      </c>
      <c r="FO1955" s="1" t="s">
        <v>18719</v>
      </c>
      <c r="FP1955" s="1">
        <v>239683.0</v>
      </c>
      <c r="FQ1955" s="1" t="s">
        <v>18721</v>
      </c>
      <c r="FU1955" s="1" t="s">
        <v>8115</v>
      </c>
      <c r="FV1955" s="1" t="s">
        <v>192</v>
      </c>
      <c r="FW1955" s="1" t="s">
        <v>18722</v>
      </c>
      <c r="FZ1955" s="1" t="s">
        <v>229</v>
      </c>
      <c r="GA1955" s="1" t="s">
        <v>291</v>
      </c>
      <c r="GB1955" s="2">
        <v>41988.0</v>
      </c>
      <c r="GC1955" s="1" t="s">
        <v>18723</v>
      </c>
    </row>
    <row r="1956">
      <c r="A1956" s="1">
        <v>600000.0</v>
      </c>
      <c r="B1956" s="1" t="s">
        <v>185</v>
      </c>
      <c r="C1956" s="1" t="str">
        <f>"08729765"</f>
        <v>08729765</v>
      </c>
      <c r="D1956" s="1" t="s">
        <v>186</v>
      </c>
      <c r="F1956" s="1" t="str">
        <f>"8021"</f>
        <v>8021</v>
      </c>
      <c r="G1956" s="2">
        <v>41898.0</v>
      </c>
      <c r="H1956" s="1">
        <v>650000.0</v>
      </c>
      <c r="I1956" s="1">
        <v>50.0</v>
      </c>
      <c r="J1956" s="1">
        <v>650000.0</v>
      </c>
      <c r="K1956" s="2">
        <v>41947.0</v>
      </c>
      <c r="L1956" s="1">
        <v>50.0</v>
      </c>
      <c r="M1956" s="2">
        <v>41947.0</v>
      </c>
      <c r="N1956" s="1" t="s">
        <v>187</v>
      </c>
      <c r="O1956" s="2">
        <v>41981.0</v>
      </c>
      <c r="P1956" s="1">
        <v>153751.0</v>
      </c>
      <c r="Q1956" s="1">
        <v>11062.0</v>
      </c>
      <c r="S1956" s="1">
        <v>3328.0</v>
      </c>
      <c r="T1956" s="1" t="s">
        <v>2162</v>
      </c>
      <c r="U1956" s="1" t="s">
        <v>189</v>
      </c>
      <c r="V1956" s="1" t="s">
        <v>190</v>
      </c>
      <c r="W1956" s="1">
        <v>60618.0</v>
      </c>
      <c r="Y1956" s="1" t="s">
        <v>18724</v>
      </c>
      <c r="Z1956" s="1">
        <v>1886.0</v>
      </c>
      <c r="AA1956" s="1" t="s">
        <v>192</v>
      </c>
      <c r="AB1956" s="1" t="s">
        <v>193</v>
      </c>
      <c r="AD1956" s="1" t="s">
        <v>194</v>
      </c>
      <c r="AE1956" s="1" t="s">
        <v>195</v>
      </c>
      <c r="AF1956" s="1" t="s">
        <v>196</v>
      </c>
      <c r="AH1956" s="1" t="s">
        <v>18725</v>
      </c>
      <c r="AK1956" s="1">
        <v>8.0</v>
      </c>
      <c r="AL1956" s="1">
        <v>3.0</v>
      </c>
      <c r="AM1956" s="1">
        <v>3.0</v>
      </c>
      <c r="AN1956" s="1">
        <v>1.0</v>
      </c>
      <c r="AO1956" s="1" t="s">
        <v>198</v>
      </c>
      <c r="AP1956" s="1">
        <v>1.0</v>
      </c>
      <c r="AQ1956" s="1" t="s">
        <v>198</v>
      </c>
      <c r="AR1956" s="1" t="s">
        <v>192</v>
      </c>
      <c r="AS1956" s="1" t="s">
        <v>199</v>
      </c>
      <c r="AT1956" s="1">
        <v>2.0</v>
      </c>
      <c r="AV1956" s="1" t="s">
        <v>200</v>
      </c>
      <c r="AW1956" s="4">
        <v>3574.3</v>
      </c>
      <c r="AX1956" s="1">
        <v>2013.0</v>
      </c>
      <c r="AY1956" s="1" t="s">
        <v>387</v>
      </c>
      <c r="AZ1956" s="1" t="s">
        <v>200</v>
      </c>
      <c r="BA1956" s="1" t="str">
        <f>"13243110310000"</f>
        <v>13243110310000</v>
      </c>
      <c r="BC1956" s="1">
        <v>3300.0</v>
      </c>
      <c r="BD1956" s="1">
        <v>600000.0</v>
      </c>
      <c r="BE1956" s="2">
        <v>41898.0</v>
      </c>
      <c r="BF1956" s="2" t="s">
        <v>18726</v>
      </c>
      <c r="BH1956" s="1">
        <v>0.0</v>
      </c>
      <c r="BK1956" s="1" t="s">
        <v>204</v>
      </c>
      <c r="BL1956" s="1" t="str">
        <f>"3328"</f>
        <v>3328</v>
      </c>
      <c r="BM1956" s="1" t="str">
        <f>"0"</f>
        <v>0</v>
      </c>
      <c r="BN1956" s="1">
        <v>3100.0</v>
      </c>
      <c r="BO1956" s="1">
        <v>0.0</v>
      </c>
      <c r="BQ1956" s="1">
        <v>299.0</v>
      </c>
      <c r="BR1956" s="1">
        <v>299.0</v>
      </c>
      <c r="BS1956" s="1">
        <v>299.0</v>
      </c>
      <c r="BU1956" s="1" t="s">
        <v>10300</v>
      </c>
      <c r="BV1956" s="1" t="s">
        <v>206</v>
      </c>
      <c r="BW1956" s="1" t="s">
        <v>207</v>
      </c>
      <c r="BY1956" s="1" t="s">
        <v>743</v>
      </c>
      <c r="BZ1956" s="1" t="s">
        <v>209</v>
      </c>
      <c r="CA1956" s="1" t="s">
        <v>207</v>
      </c>
      <c r="CC1956" s="1" t="s">
        <v>5640</v>
      </c>
      <c r="CD1956" s="1" t="s">
        <v>206</v>
      </c>
      <c r="CE1956" s="1" t="s">
        <v>207</v>
      </c>
      <c r="CG1956" s="1" t="s">
        <v>331</v>
      </c>
      <c r="CH1956" s="1" t="s">
        <v>209</v>
      </c>
      <c r="CI1956" s="1" t="s">
        <v>210</v>
      </c>
      <c r="CK1956" s="1" t="s">
        <v>208</v>
      </c>
      <c r="CL1956" s="1" t="s">
        <v>209</v>
      </c>
      <c r="CM1956" s="1" t="s">
        <v>210</v>
      </c>
      <c r="CO1956" s="1" t="s">
        <v>495</v>
      </c>
      <c r="CP1956" s="1" t="s">
        <v>42</v>
      </c>
      <c r="CQ1956" s="1" t="s">
        <v>210</v>
      </c>
      <c r="CS1956" s="1" t="s">
        <v>925</v>
      </c>
      <c r="CT1956" s="1" t="s">
        <v>206</v>
      </c>
      <c r="CU1956" s="1" t="s">
        <v>207</v>
      </c>
      <c r="CX1956" s="1" t="s">
        <v>204</v>
      </c>
      <c r="DA1956" s="1" t="s">
        <v>200</v>
      </c>
      <c r="DC1956" s="1" t="s">
        <v>642</v>
      </c>
      <c r="DE1956" s="1" t="s">
        <v>218</v>
      </c>
      <c r="DF1956" s="1" t="s">
        <v>745</v>
      </c>
      <c r="DG1956" s="1" t="s">
        <v>337</v>
      </c>
      <c r="DH1956" s="1" t="s">
        <v>220</v>
      </c>
      <c r="DI1956" s="1" t="s">
        <v>2329</v>
      </c>
      <c r="DJ1956" s="1" t="s">
        <v>222</v>
      </c>
      <c r="DK1956" s="1" t="s">
        <v>223</v>
      </c>
      <c r="DL1956" s="1" t="s">
        <v>224</v>
      </c>
      <c r="DM1956" s="1" t="s">
        <v>229</v>
      </c>
      <c r="DN1956" s="1" t="s">
        <v>548</v>
      </c>
      <c r="DQ1956" s="1" t="s">
        <v>228</v>
      </c>
      <c r="DR1956" s="1" t="s">
        <v>229</v>
      </c>
      <c r="DU1956" s="1" t="s">
        <v>746</v>
      </c>
      <c r="DV1956" s="1" t="s">
        <v>2058</v>
      </c>
      <c r="DW1956" s="1" t="s">
        <v>9838</v>
      </c>
      <c r="DX1956" s="1" t="s">
        <v>234</v>
      </c>
      <c r="DY1956" s="1" t="s">
        <v>6019</v>
      </c>
      <c r="DZ1956" s="1" t="s">
        <v>310</v>
      </c>
      <c r="EB1956" s="1" t="s">
        <v>372</v>
      </c>
      <c r="EC1956" s="1" t="s">
        <v>237</v>
      </c>
      <c r="ED1956" s="1" t="s">
        <v>555</v>
      </c>
      <c r="EG1956" s="1" t="s">
        <v>450</v>
      </c>
      <c r="EH1956" s="1" t="s">
        <v>310</v>
      </c>
      <c r="EL1956" s="1" t="s">
        <v>2109</v>
      </c>
      <c r="EM1956" s="1" t="s">
        <v>42</v>
      </c>
      <c r="EN1956" s="1" t="s">
        <v>210</v>
      </c>
      <c r="EP1956" s="1" t="s">
        <v>904</v>
      </c>
      <c r="EQ1956" s="1" t="s">
        <v>206</v>
      </c>
      <c r="EU1956" s="1" t="s">
        <v>238</v>
      </c>
      <c r="EY1956" s="1" t="s">
        <v>238</v>
      </c>
      <c r="FC1956" s="1" t="s">
        <v>238</v>
      </c>
      <c r="FF1956" s="1" t="s">
        <v>239</v>
      </c>
      <c r="FG1956" s="1" t="s">
        <v>192</v>
      </c>
      <c r="FH1956" s="1" t="s">
        <v>192</v>
      </c>
      <c r="FJ1956" s="1" t="s">
        <v>733</v>
      </c>
      <c r="FK1956" s="1" t="s">
        <v>229</v>
      </c>
      <c r="FL1956" s="1" t="s">
        <v>734</v>
      </c>
      <c r="FM1956" s="1">
        <v>10646.0</v>
      </c>
      <c r="FN1956" s="1" t="s">
        <v>735</v>
      </c>
      <c r="FO1956" s="1" t="s">
        <v>736</v>
      </c>
      <c r="FP1956" s="1">
        <v>139913.0</v>
      </c>
      <c r="FQ1956" s="1" t="s">
        <v>737</v>
      </c>
      <c r="FU1956" s="1" t="s">
        <v>738</v>
      </c>
      <c r="FV1956" s="1" t="s">
        <v>200</v>
      </c>
      <c r="FW1956" s="1" t="s">
        <v>530</v>
      </c>
      <c r="FX1956" s="1" t="s">
        <v>238</v>
      </c>
      <c r="FZ1956" s="1" t="s">
        <v>229</v>
      </c>
      <c r="GA1956" s="1" t="s">
        <v>291</v>
      </c>
      <c r="GB1956" s="2">
        <v>41982.0</v>
      </c>
    </row>
    <row r="1957">
      <c r="A1957" s="1">
        <v>145000.0</v>
      </c>
      <c r="B1957" s="1" t="s">
        <v>185</v>
      </c>
      <c r="C1957" s="1" t="str">
        <f>"08723766"</f>
        <v>08723766</v>
      </c>
      <c r="D1957" s="1" t="s">
        <v>186</v>
      </c>
      <c r="F1957" s="1" t="str">
        <f>"8066"</f>
        <v>8066</v>
      </c>
      <c r="G1957" s="2">
        <v>41891.0</v>
      </c>
      <c r="H1957" s="1">
        <v>166000.0</v>
      </c>
      <c r="I1957" s="1">
        <v>136.0</v>
      </c>
      <c r="J1957" s="1">
        <v>166000.0</v>
      </c>
      <c r="K1957" s="2">
        <v>42026.0</v>
      </c>
      <c r="L1957" s="1">
        <v>136.0</v>
      </c>
      <c r="M1957" s="2">
        <v>42026.0</v>
      </c>
      <c r="N1957" s="1" t="s">
        <v>187</v>
      </c>
      <c r="O1957" s="2">
        <v>42033.0</v>
      </c>
      <c r="P1957" s="1">
        <v>99995.0</v>
      </c>
      <c r="Q1957" s="1" t="s">
        <v>947</v>
      </c>
      <c r="R1957" s="1">
        <v>1100.0</v>
      </c>
      <c r="S1957" s="1">
        <v>6820.0</v>
      </c>
      <c r="T1957" s="1" t="s">
        <v>1422</v>
      </c>
      <c r="U1957" s="1" t="s">
        <v>189</v>
      </c>
      <c r="V1957" s="1" t="s">
        <v>190</v>
      </c>
      <c r="W1957" s="1">
        <v>60629.0</v>
      </c>
      <c r="Y1957" s="1" t="s">
        <v>18727</v>
      </c>
      <c r="Z1957" s="1">
        <v>1958.0</v>
      </c>
      <c r="AA1957" s="1" t="s">
        <v>192</v>
      </c>
      <c r="AB1957" s="1" t="s">
        <v>193</v>
      </c>
      <c r="AD1957" s="1" t="s">
        <v>194</v>
      </c>
      <c r="AE1957" s="1" t="s">
        <v>195</v>
      </c>
      <c r="AF1957" s="1" t="s">
        <v>659</v>
      </c>
      <c r="AH1957" s="1" t="s">
        <v>18728</v>
      </c>
      <c r="AI1957" s="1">
        <v>0.0723</v>
      </c>
      <c r="AK1957" s="1">
        <v>8.0</v>
      </c>
      <c r="AL1957" s="1">
        <v>2.0</v>
      </c>
      <c r="AM1957" s="1">
        <v>2.0</v>
      </c>
      <c r="AN1957" s="1">
        <v>0.0</v>
      </c>
      <c r="AO1957" s="1" t="s">
        <v>229</v>
      </c>
      <c r="AQ1957" s="1" t="s">
        <v>198</v>
      </c>
      <c r="AR1957" s="1" t="s">
        <v>192</v>
      </c>
      <c r="AS1957" s="1" t="s">
        <v>199</v>
      </c>
      <c r="AT1957" s="1">
        <v>2.0</v>
      </c>
      <c r="AV1957" s="1" t="s">
        <v>200</v>
      </c>
      <c r="AW1957" s="1">
        <v>1536.0</v>
      </c>
      <c r="AX1957" s="1">
        <v>2013.0</v>
      </c>
      <c r="AY1957" s="1" t="s">
        <v>387</v>
      </c>
      <c r="AZ1957" s="1" t="s">
        <v>200</v>
      </c>
      <c r="BA1957" s="1" t="str">
        <f>"19244090250000"</f>
        <v>19244090250000</v>
      </c>
      <c r="BC1957" s="1">
        <v>1640.0</v>
      </c>
      <c r="BD1957" s="1">
        <v>145000.0</v>
      </c>
      <c r="BE1957" s="2">
        <v>41891.0</v>
      </c>
      <c r="BF1957" s="1" t="s">
        <v>18729</v>
      </c>
      <c r="BH1957" s="1">
        <v>0.0</v>
      </c>
      <c r="BK1957" s="1" t="s">
        <v>204</v>
      </c>
      <c r="BL1957" s="1" t="str">
        <f t="shared" ref="BL1957:BM1957" si="1292">"0"</f>
        <v>0</v>
      </c>
      <c r="BM1957" s="1" t="str">
        <f t="shared" si="1292"/>
        <v>0</v>
      </c>
      <c r="BN1957" s="1">
        <v>2700.0</v>
      </c>
      <c r="BO1957" s="1">
        <v>6820.0</v>
      </c>
      <c r="BQ1957" s="1">
        <v>299.0</v>
      </c>
      <c r="BR1957" s="1">
        <v>299.0</v>
      </c>
      <c r="BS1957" s="1">
        <v>299.0</v>
      </c>
      <c r="BU1957" s="1" t="s">
        <v>211</v>
      </c>
      <c r="BV1957" s="1" t="s">
        <v>206</v>
      </c>
      <c r="BY1957" s="1" t="s">
        <v>302</v>
      </c>
      <c r="BZ1957" s="1" t="s">
        <v>206</v>
      </c>
      <c r="CC1957" s="1" t="s">
        <v>363</v>
      </c>
      <c r="CD1957" s="1" t="s">
        <v>206</v>
      </c>
      <c r="CG1957" s="1" t="s">
        <v>495</v>
      </c>
      <c r="CH1957" s="1" t="s">
        <v>206</v>
      </c>
      <c r="CK1957" s="1" t="s">
        <v>212</v>
      </c>
      <c r="CL1957" s="1" t="s">
        <v>42</v>
      </c>
      <c r="CO1957" s="1" t="s">
        <v>699</v>
      </c>
      <c r="CP1957" s="1" t="s">
        <v>42</v>
      </c>
      <c r="CS1957" s="1" t="s">
        <v>699</v>
      </c>
      <c r="CT1957" s="1" t="s">
        <v>206</v>
      </c>
      <c r="CW1957" s="1" t="s">
        <v>18730</v>
      </c>
      <c r="CX1957" s="1" t="s">
        <v>42</v>
      </c>
      <c r="DA1957" s="1" t="s">
        <v>200</v>
      </c>
      <c r="DC1957" s="1" t="s">
        <v>271</v>
      </c>
      <c r="DE1957" s="1" t="s">
        <v>273</v>
      </c>
      <c r="DF1957" s="1" t="s">
        <v>219</v>
      </c>
      <c r="DH1957" s="1" t="s">
        <v>220</v>
      </c>
      <c r="DJ1957" s="1" t="s">
        <v>222</v>
      </c>
      <c r="DL1957" s="1" t="s">
        <v>224</v>
      </c>
      <c r="DM1957" s="1" t="s">
        <v>229</v>
      </c>
      <c r="DQ1957" s="1" t="s">
        <v>228</v>
      </c>
      <c r="DR1957" s="1" t="s">
        <v>229</v>
      </c>
      <c r="DV1957" s="1" t="s">
        <v>232</v>
      </c>
      <c r="DW1957" s="1" t="s">
        <v>279</v>
      </c>
      <c r="DX1957" s="1" t="s">
        <v>234</v>
      </c>
      <c r="EC1957" s="1" t="s">
        <v>685</v>
      </c>
      <c r="EM1957" s="1" t="s">
        <v>238</v>
      </c>
      <c r="EQ1957" s="1" t="s">
        <v>238</v>
      </c>
      <c r="EU1957" s="1" t="s">
        <v>238</v>
      </c>
      <c r="EY1957" s="1" t="s">
        <v>238</v>
      </c>
      <c r="FC1957" s="1" t="s">
        <v>238</v>
      </c>
      <c r="FF1957" s="1" t="s">
        <v>239</v>
      </c>
      <c r="FG1957" s="1" t="s">
        <v>192</v>
      </c>
      <c r="FH1957" s="1" t="s">
        <v>192</v>
      </c>
      <c r="FJ1957" s="1" t="s">
        <v>2262</v>
      </c>
      <c r="FK1957" s="1" t="s">
        <v>229</v>
      </c>
      <c r="FL1957" s="1" t="s">
        <v>18731</v>
      </c>
      <c r="FM1957" s="1">
        <v>25632.0</v>
      </c>
      <c r="FN1957" s="1" t="s">
        <v>18732</v>
      </c>
      <c r="FO1957" s="1" t="s">
        <v>18733</v>
      </c>
      <c r="FP1957" s="1">
        <v>240231.0</v>
      </c>
      <c r="FQ1957" s="1" t="s">
        <v>18734</v>
      </c>
      <c r="FU1957" s="1" t="s">
        <v>18735</v>
      </c>
      <c r="FV1957" s="1" t="s">
        <v>200</v>
      </c>
      <c r="FW1957" s="1" t="s">
        <v>567</v>
      </c>
      <c r="FX1957" s="1" t="s">
        <v>655</v>
      </c>
      <c r="FZ1957" s="1" t="s">
        <v>229</v>
      </c>
      <c r="GA1957" s="1" t="s">
        <v>291</v>
      </c>
      <c r="GB1957" s="2">
        <v>42039.0</v>
      </c>
      <c r="GC1957" s="1" t="s">
        <v>18736</v>
      </c>
    </row>
    <row r="1958">
      <c r="A1958" s="1">
        <v>770000.0</v>
      </c>
      <c r="B1958" s="1" t="s">
        <v>185</v>
      </c>
      <c r="C1958" s="1" t="str">
        <f>"08729204"</f>
        <v>08729204</v>
      </c>
      <c r="D1958" s="1" t="s">
        <v>186</v>
      </c>
      <c r="F1958" s="1" t="str">
        <f>"8041"</f>
        <v>8041</v>
      </c>
      <c r="G1958" s="2">
        <v>41898.0</v>
      </c>
      <c r="H1958" s="1">
        <v>839000.0</v>
      </c>
      <c r="I1958" s="1">
        <v>191.0</v>
      </c>
      <c r="J1958" s="1">
        <v>839000.0</v>
      </c>
      <c r="K1958" s="2">
        <v>41995.0</v>
      </c>
      <c r="L1958" s="1">
        <v>99.0</v>
      </c>
      <c r="M1958" s="2">
        <v>41995.0</v>
      </c>
      <c r="N1958" s="1" t="s">
        <v>187</v>
      </c>
      <c r="O1958" s="2">
        <v>42031.0</v>
      </c>
      <c r="P1958" s="1">
        <v>133303.0</v>
      </c>
      <c r="Q1958" s="1">
        <v>10317.0</v>
      </c>
      <c r="S1958" s="1">
        <v>5748.0</v>
      </c>
      <c r="T1958" s="1" t="s">
        <v>18737</v>
      </c>
      <c r="U1958" s="1" t="s">
        <v>189</v>
      </c>
      <c r="V1958" s="1" t="s">
        <v>190</v>
      </c>
      <c r="W1958" s="1">
        <v>60637.0</v>
      </c>
      <c r="Y1958" s="1" t="s">
        <v>18738</v>
      </c>
      <c r="Z1958" s="1">
        <v>1970.0</v>
      </c>
      <c r="AA1958" s="1" t="s">
        <v>192</v>
      </c>
      <c r="AB1958" s="1" t="s">
        <v>4117</v>
      </c>
      <c r="AD1958" s="1" t="s">
        <v>194</v>
      </c>
      <c r="AE1958" s="1" t="s">
        <v>195</v>
      </c>
      <c r="AF1958" s="1" t="s">
        <v>637</v>
      </c>
      <c r="AH1958" s="1" t="s">
        <v>12986</v>
      </c>
      <c r="AI1958" s="1">
        <v>0.0</v>
      </c>
      <c r="AK1958" s="1">
        <v>9.0</v>
      </c>
      <c r="AL1958" s="1">
        <v>4.0</v>
      </c>
      <c r="AM1958" s="1">
        <v>3.0</v>
      </c>
      <c r="AN1958" s="1">
        <v>0.0</v>
      </c>
      <c r="AO1958" s="1" t="s">
        <v>198</v>
      </c>
      <c r="AP1958" s="1">
        <v>0.0</v>
      </c>
      <c r="AQ1958" s="1" t="s">
        <v>198</v>
      </c>
      <c r="AR1958" s="1" t="s">
        <v>200</v>
      </c>
      <c r="AS1958" s="1" t="s">
        <v>828</v>
      </c>
      <c r="AU1958" s="1">
        <v>2.0</v>
      </c>
      <c r="AV1958" s="1" t="s">
        <v>200</v>
      </c>
      <c r="AW1958" s="1">
        <v>8137.73</v>
      </c>
      <c r="AX1958" s="1">
        <v>2013.0</v>
      </c>
      <c r="AY1958" s="1" t="s">
        <v>387</v>
      </c>
      <c r="AZ1958" s="1" t="s">
        <v>200</v>
      </c>
      <c r="BA1958" s="1" t="str">
        <f>"20142160501003"</f>
        <v>20142160501003</v>
      </c>
      <c r="BB1958" s="1" t="s">
        <v>200</v>
      </c>
      <c r="BC1958" s="1">
        <v>0.0</v>
      </c>
      <c r="BD1958" s="1">
        <v>770000.0</v>
      </c>
      <c r="BE1958" s="2">
        <v>41897.0</v>
      </c>
      <c r="BF1958" s="2" t="s">
        <v>18739</v>
      </c>
      <c r="BH1958" s="1">
        <v>300.0</v>
      </c>
      <c r="BK1958" s="1" t="s">
        <v>474</v>
      </c>
      <c r="BL1958" s="1" t="str">
        <f>"0"</f>
        <v>0</v>
      </c>
      <c r="BM1958" s="1" t="str">
        <f>"1400"</f>
        <v>1400</v>
      </c>
      <c r="BN1958" s="1">
        <v>0.0</v>
      </c>
      <c r="BO1958" s="1">
        <v>5748.0</v>
      </c>
      <c r="BQ1958" s="1">
        <v>299.0</v>
      </c>
      <c r="BR1958" s="1">
        <v>299.0</v>
      </c>
      <c r="BS1958" s="1">
        <v>299.0</v>
      </c>
      <c r="BU1958" s="1" t="s">
        <v>6760</v>
      </c>
      <c r="BV1958" s="1" t="s">
        <v>206</v>
      </c>
      <c r="BW1958" s="1" t="s">
        <v>207</v>
      </c>
      <c r="BY1958" s="1" t="s">
        <v>582</v>
      </c>
      <c r="BZ1958" s="1" t="s">
        <v>209</v>
      </c>
      <c r="CA1958" s="1" t="s">
        <v>207</v>
      </c>
      <c r="CC1958" s="1" t="s">
        <v>542</v>
      </c>
      <c r="CD1958" s="1" t="s">
        <v>206</v>
      </c>
      <c r="CE1958" s="1" t="s">
        <v>207</v>
      </c>
      <c r="CG1958" s="1" t="s">
        <v>363</v>
      </c>
      <c r="CH1958" s="1" t="s">
        <v>209</v>
      </c>
      <c r="CI1958" s="1" t="s">
        <v>207</v>
      </c>
      <c r="CK1958" s="1" t="s">
        <v>582</v>
      </c>
      <c r="CL1958" s="1" t="s">
        <v>391</v>
      </c>
      <c r="CM1958" s="1" t="s">
        <v>207</v>
      </c>
      <c r="CO1958" s="1" t="s">
        <v>363</v>
      </c>
      <c r="CP1958" s="1" t="s">
        <v>391</v>
      </c>
      <c r="CQ1958" s="1" t="s">
        <v>207</v>
      </c>
      <c r="CS1958" s="1" t="s">
        <v>375</v>
      </c>
      <c r="CT1958" s="1" t="s">
        <v>206</v>
      </c>
      <c r="CU1958" s="1" t="s">
        <v>207</v>
      </c>
      <c r="CW1958" s="1" t="s">
        <v>18740</v>
      </c>
      <c r="CX1958" s="1" t="s">
        <v>267</v>
      </c>
      <c r="CY1958" s="1" t="s">
        <v>210</v>
      </c>
      <c r="DA1958" s="1" t="s">
        <v>200</v>
      </c>
      <c r="DC1958" s="1" t="s">
        <v>517</v>
      </c>
      <c r="DD1958" s="1" t="s">
        <v>518</v>
      </c>
      <c r="DE1958" s="1" t="s">
        <v>273</v>
      </c>
      <c r="DF1958" s="1" t="s">
        <v>219</v>
      </c>
      <c r="DH1958" s="1" t="s">
        <v>365</v>
      </c>
      <c r="DI1958" s="1" t="s">
        <v>221</v>
      </c>
      <c r="DJ1958" s="1" t="s">
        <v>222</v>
      </c>
      <c r="DL1958" s="1" t="s">
        <v>858</v>
      </c>
      <c r="DM1958" s="1" t="s">
        <v>229</v>
      </c>
      <c r="DP1958" s="1" t="s">
        <v>276</v>
      </c>
      <c r="DQ1958" s="1" t="s">
        <v>228</v>
      </c>
      <c r="DR1958" s="1" t="s">
        <v>18741</v>
      </c>
      <c r="DU1958" s="1" t="s">
        <v>4671</v>
      </c>
      <c r="DV1958" s="1" t="s">
        <v>18742</v>
      </c>
      <c r="DW1958" s="1" t="s">
        <v>279</v>
      </c>
      <c r="DX1958" s="1" t="s">
        <v>234</v>
      </c>
      <c r="DZ1958" s="1" t="s">
        <v>5293</v>
      </c>
      <c r="EC1958" s="1" t="s">
        <v>406</v>
      </c>
      <c r="EF1958" s="1" t="s">
        <v>16796</v>
      </c>
      <c r="EG1958" s="1" t="s">
        <v>556</v>
      </c>
      <c r="EH1958" s="1" t="s">
        <v>310</v>
      </c>
      <c r="EL1958" s="1" t="s">
        <v>265</v>
      </c>
      <c r="EM1958" s="1" t="s">
        <v>206</v>
      </c>
      <c r="EN1958" s="1" t="s">
        <v>207</v>
      </c>
      <c r="EP1958" s="1" t="s">
        <v>758</v>
      </c>
      <c r="EQ1958" s="1" t="s">
        <v>209</v>
      </c>
      <c r="ER1958" s="1" t="s">
        <v>588</v>
      </c>
      <c r="EU1958" s="1" t="s">
        <v>238</v>
      </c>
      <c r="EY1958" s="1" t="s">
        <v>238</v>
      </c>
      <c r="FC1958" s="1" t="s">
        <v>238</v>
      </c>
      <c r="FF1958" s="1" t="s">
        <v>239</v>
      </c>
      <c r="FG1958" s="1" t="s">
        <v>192</v>
      </c>
      <c r="FH1958" s="1" t="s">
        <v>192</v>
      </c>
      <c r="FJ1958" s="1" t="s">
        <v>4029</v>
      </c>
      <c r="FK1958" s="1" t="s">
        <v>229</v>
      </c>
      <c r="FL1958" s="1" t="s">
        <v>974</v>
      </c>
      <c r="FM1958" s="1">
        <v>10317.0</v>
      </c>
      <c r="FN1958" s="1" t="s">
        <v>10741</v>
      </c>
      <c r="FO1958" s="1" t="s">
        <v>10742</v>
      </c>
      <c r="FP1958" s="1">
        <v>133303.0</v>
      </c>
      <c r="FQ1958" s="1" t="s">
        <v>10743</v>
      </c>
      <c r="FU1958" s="1" t="s">
        <v>18743</v>
      </c>
      <c r="FV1958" s="1" t="s">
        <v>200</v>
      </c>
      <c r="FW1958" s="1" t="s">
        <v>4583</v>
      </c>
      <c r="FX1958" s="1" t="s">
        <v>655</v>
      </c>
      <c r="FZ1958" s="1" t="s">
        <v>229</v>
      </c>
      <c r="GA1958" s="1" t="s">
        <v>291</v>
      </c>
      <c r="GB1958" s="2">
        <v>42031.0</v>
      </c>
    </row>
    <row r="1959">
      <c r="A1959" s="1">
        <v>90000.0</v>
      </c>
      <c r="B1959" s="1" t="s">
        <v>185</v>
      </c>
      <c r="C1959" s="1" t="str">
        <f>"08724652"</f>
        <v>08724652</v>
      </c>
      <c r="D1959" s="1" t="s">
        <v>186</v>
      </c>
      <c r="F1959" s="1" t="str">
        <f>"8025"</f>
        <v>8025</v>
      </c>
      <c r="G1959" s="2">
        <v>41892.0</v>
      </c>
      <c r="H1959" s="1">
        <v>225000.0</v>
      </c>
      <c r="I1959" s="1">
        <v>118.0</v>
      </c>
      <c r="J1959" s="1">
        <v>89900.0</v>
      </c>
      <c r="K1959" s="2">
        <v>42009.0</v>
      </c>
      <c r="L1959" s="1">
        <v>118.0</v>
      </c>
      <c r="M1959" s="2">
        <v>42009.0</v>
      </c>
      <c r="N1959" s="1" t="s">
        <v>249</v>
      </c>
      <c r="O1959" s="2">
        <v>42124.0</v>
      </c>
      <c r="P1959" s="1">
        <v>144038.0</v>
      </c>
      <c r="Q1959" s="1">
        <v>18625.0</v>
      </c>
      <c r="S1959" s="1">
        <v>1748.0</v>
      </c>
      <c r="T1959" s="1" t="s">
        <v>10041</v>
      </c>
      <c r="U1959" s="1" t="s">
        <v>189</v>
      </c>
      <c r="V1959" s="1" t="s">
        <v>190</v>
      </c>
      <c r="W1959" s="1">
        <v>60639.0</v>
      </c>
      <c r="X1959" s="1">
        <v>4302.0</v>
      </c>
      <c r="Y1959" s="1" t="s">
        <v>18744</v>
      </c>
      <c r="Z1959" s="1">
        <v>1920.0</v>
      </c>
      <c r="AA1959" s="1" t="s">
        <v>192</v>
      </c>
      <c r="AB1959" s="1" t="s">
        <v>193</v>
      </c>
      <c r="AD1959" s="1" t="s">
        <v>194</v>
      </c>
      <c r="AE1959" s="1" t="s">
        <v>195</v>
      </c>
      <c r="AF1959" s="1" t="s">
        <v>196</v>
      </c>
      <c r="AH1959" s="1" t="s">
        <v>359</v>
      </c>
      <c r="AK1959" s="1">
        <v>7.0</v>
      </c>
      <c r="AL1959" s="1">
        <v>3.0</v>
      </c>
      <c r="AM1959" s="1">
        <v>2.0</v>
      </c>
      <c r="AN1959" s="1">
        <v>0.0</v>
      </c>
      <c r="AO1959" s="1" t="s">
        <v>198</v>
      </c>
      <c r="AQ1959" s="1" t="s">
        <v>198</v>
      </c>
      <c r="AR1959" s="1" t="s">
        <v>192</v>
      </c>
      <c r="AS1959" s="1" t="s">
        <v>199</v>
      </c>
      <c r="AT1959" s="1">
        <v>2.0</v>
      </c>
      <c r="AV1959" s="1" t="s">
        <v>200</v>
      </c>
      <c r="AW1959" s="1">
        <v>2343.72</v>
      </c>
      <c r="AX1959" s="1">
        <v>2013.0</v>
      </c>
      <c r="AY1959" s="1" t="s">
        <v>229</v>
      </c>
      <c r="AZ1959" s="1" t="s">
        <v>200</v>
      </c>
      <c r="BA1959" s="1" t="str">
        <f>"13333180240000"</f>
        <v>13333180240000</v>
      </c>
      <c r="BC1959" s="1">
        <v>0.0</v>
      </c>
      <c r="BD1959" s="1">
        <v>90000.0</v>
      </c>
      <c r="BE1959" s="2">
        <v>41892.0</v>
      </c>
      <c r="BF1959" s="1" t="s">
        <v>18745</v>
      </c>
      <c r="BG1959" s="1" t="s">
        <v>8974</v>
      </c>
      <c r="BH1959" s="1">
        <v>0.0</v>
      </c>
      <c r="BI1959" s="1" t="s">
        <v>8974</v>
      </c>
      <c r="BJ1959" s="1" t="s">
        <v>8975</v>
      </c>
      <c r="BK1959" s="1" t="s">
        <v>204</v>
      </c>
      <c r="BL1959" s="1" t="str">
        <f>"1748"</f>
        <v>1748</v>
      </c>
      <c r="BM1959" s="1" t="str">
        <f t="shared" ref="BM1959:BM1960" si="1293">"0"</f>
        <v>0</v>
      </c>
      <c r="BN1959" s="1">
        <v>5200.0</v>
      </c>
      <c r="BO1959" s="1">
        <v>0.0</v>
      </c>
      <c r="BQ1959" s="1">
        <v>299.0</v>
      </c>
      <c r="BR1959" s="1">
        <v>299.0</v>
      </c>
      <c r="BS1959" s="1">
        <v>299.0</v>
      </c>
      <c r="BU1959" s="1" t="s">
        <v>2082</v>
      </c>
      <c r="BV1959" s="1" t="s">
        <v>206</v>
      </c>
      <c r="BW1959" s="1" t="s">
        <v>207</v>
      </c>
      <c r="BY1959" s="1" t="s">
        <v>1158</v>
      </c>
      <c r="BZ1959" s="1" t="s">
        <v>206</v>
      </c>
      <c r="CA1959" s="1" t="s">
        <v>207</v>
      </c>
      <c r="CC1959" s="1" t="s">
        <v>212</v>
      </c>
      <c r="CD1959" s="1" t="s">
        <v>206</v>
      </c>
      <c r="CE1959" s="1" t="s">
        <v>207</v>
      </c>
      <c r="CG1959" s="1" t="s">
        <v>495</v>
      </c>
      <c r="CH1959" s="1" t="s">
        <v>206</v>
      </c>
      <c r="CI1959" s="1" t="s">
        <v>207</v>
      </c>
      <c r="CK1959" s="1" t="s">
        <v>303</v>
      </c>
      <c r="CL1959" s="1" t="s">
        <v>206</v>
      </c>
      <c r="CM1959" s="1" t="s">
        <v>207</v>
      </c>
      <c r="CO1959" s="1" t="s">
        <v>495</v>
      </c>
      <c r="CP1959" s="1" t="s">
        <v>42</v>
      </c>
      <c r="CQ1959" s="1" t="s">
        <v>210</v>
      </c>
      <c r="CS1959" s="1" t="s">
        <v>663</v>
      </c>
      <c r="CT1959" s="1" t="s">
        <v>206</v>
      </c>
      <c r="CU1959" s="1" t="s">
        <v>268</v>
      </c>
      <c r="CX1959" s="1" t="s">
        <v>204</v>
      </c>
      <c r="DA1959" s="1" t="s">
        <v>200</v>
      </c>
      <c r="DC1959" s="1" t="s">
        <v>216</v>
      </c>
      <c r="DD1959" s="1" t="s">
        <v>518</v>
      </c>
      <c r="DE1959" s="1" t="s">
        <v>229</v>
      </c>
      <c r="DF1959" s="1" t="s">
        <v>219</v>
      </c>
      <c r="DG1959" s="1" t="s">
        <v>2237</v>
      </c>
      <c r="DH1959" s="1" t="s">
        <v>220</v>
      </c>
      <c r="DI1959" s="1" t="s">
        <v>1318</v>
      </c>
      <c r="DJ1959" s="1" t="s">
        <v>222</v>
      </c>
      <c r="DL1959" s="1" t="s">
        <v>858</v>
      </c>
      <c r="DM1959" s="1" t="s">
        <v>1402</v>
      </c>
      <c r="DP1959" s="1" t="s">
        <v>276</v>
      </c>
      <c r="DQ1959" s="1" t="s">
        <v>718</v>
      </c>
      <c r="DR1959" s="1" t="s">
        <v>229</v>
      </c>
      <c r="DS1959" s="1" t="s">
        <v>277</v>
      </c>
      <c r="DV1959" s="1" t="s">
        <v>8976</v>
      </c>
      <c r="DW1959" s="1" t="s">
        <v>279</v>
      </c>
      <c r="DX1959" s="1" t="s">
        <v>234</v>
      </c>
      <c r="DZ1959" s="1" t="s">
        <v>343</v>
      </c>
      <c r="EA1959" s="1" t="s">
        <v>644</v>
      </c>
      <c r="EC1959" s="1" t="s">
        <v>685</v>
      </c>
      <c r="EG1959" s="1" t="s">
        <v>1103</v>
      </c>
      <c r="EH1959" s="1" t="s">
        <v>409</v>
      </c>
      <c r="EL1959" s="1" t="s">
        <v>8977</v>
      </c>
      <c r="EM1959" s="1" t="s">
        <v>42</v>
      </c>
      <c r="EN1959" s="1" t="s">
        <v>210</v>
      </c>
      <c r="EP1959" s="1" t="s">
        <v>5562</v>
      </c>
      <c r="EQ1959" s="1" t="s">
        <v>42</v>
      </c>
      <c r="ER1959" s="1" t="s">
        <v>617</v>
      </c>
      <c r="EU1959" s="1" t="s">
        <v>238</v>
      </c>
      <c r="EY1959" s="1" t="s">
        <v>238</v>
      </c>
      <c r="FC1959" s="1" t="s">
        <v>238</v>
      </c>
      <c r="FF1959" s="1" t="s">
        <v>239</v>
      </c>
      <c r="FG1959" s="1" t="s">
        <v>192</v>
      </c>
      <c r="FH1959" s="1" t="s">
        <v>192</v>
      </c>
      <c r="FJ1959" s="1" t="s">
        <v>2133</v>
      </c>
      <c r="FK1959" s="1" t="s">
        <v>1586</v>
      </c>
      <c r="FL1959" s="1" t="s">
        <v>18746</v>
      </c>
      <c r="FM1959" s="1">
        <v>18625.0</v>
      </c>
      <c r="FN1959" s="1" t="s">
        <v>18747</v>
      </c>
      <c r="FO1959" s="1" t="s">
        <v>18748</v>
      </c>
      <c r="FP1959" s="1">
        <v>129650.0</v>
      </c>
      <c r="FQ1959" s="1" t="s">
        <v>18749</v>
      </c>
      <c r="FU1959" s="1" t="s">
        <v>18750</v>
      </c>
      <c r="FV1959" s="1" t="s">
        <v>200</v>
      </c>
      <c r="FW1959" s="1" t="s">
        <v>290</v>
      </c>
      <c r="FX1959" s="1" t="s">
        <v>238</v>
      </c>
      <c r="FZ1959" s="1" t="s">
        <v>229</v>
      </c>
      <c r="GA1959" s="1" t="s">
        <v>291</v>
      </c>
      <c r="GB1959" s="2">
        <v>42137.0</v>
      </c>
      <c r="GC1959" s="1" t="s">
        <v>3170</v>
      </c>
    </row>
    <row r="1960">
      <c r="A1960" s="1">
        <v>285000.0</v>
      </c>
      <c r="B1960" s="1" t="s">
        <v>185</v>
      </c>
      <c r="C1960" s="1" t="str">
        <f>"08726412"</f>
        <v>08726412</v>
      </c>
      <c r="D1960" s="1" t="s">
        <v>186</v>
      </c>
      <c r="F1960" s="1" t="str">
        <f>"174"</f>
        <v>174</v>
      </c>
      <c r="G1960" s="2">
        <v>41894.0</v>
      </c>
      <c r="H1960" s="1">
        <v>295000.0</v>
      </c>
      <c r="I1960" s="1">
        <v>145.0</v>
      </c>
      <c r="J1960" s="1">
        <v>289000.0</v>
      </c>
      <c r="K1960" s="2">
        <v>41932.0</v>
      </c>
      <c r="L1960" s="1">
        <v>39.0</v>
      </c>
      <c r="M1960" s="2">
        <v>41932.0</v>
      </c>
      <c r="N1960" s="1" t="s">
        <v>356</v>
      </c>
      <c r="O1960" s="2">
        <v>41977.0</v>
      </c>
      <c r="P1960" s="1">
        <v>238398.0</v>
      </c>
      <c r="Q1960" s="1">
        <v>8340.0</v>
      </c>
      <c r="R1960" s="1">
        <v>2000.0</v>
      </c>
      <c r="S1960" s="1" t="s">
        <v>18751</v>
      </c>
      <c r="T1960" s="1" t="s">
        <v>18752</v>
      </c>
      <c r="U1960" s="1" t="s">
        <v>420</v>
      </c>
      <c r="V1960" s="1" t="s">
        <v>1200</v>
      </c>
      <c r="W1960" s="1">
        <v>60175.0</v>
      </c>
      <c r="Y1960" s="1" t="s">
        <v>18753</v>
      </c>
      <c r="Z1960" s="1">
        <v>1975.0</v>
      </c>
      <c r="AA1960" s="1" t="s">
        <v>192</v>
      </c>
      <c r="AB1960" s="1" t="s">
        <v>467</v>
      </c>
      <c r="AC1960" s="1" t="s">
        <v>7845</v>
      </c>
      <c r="AD1960" s="1" t="s">
        <v>1089</v>
      </c>
      <c r="AE1960" s="1" t="s">
        <v>325</v>
      </c>
      <c r="AF1960" s="1" t="s">
        <v>1632</v>
      </c>
      <c r="AG1960" s="1" t="s">
        <v>752</v>
      </c>
      <c r="AH1960" s="1" t="s">
        <v>18754</v>
      </c>
      <c r="AI1960" s="1">
        <v>0.52</v>
      </c>
      <c r="AK1960" s="1">
        <v>9.0</v>
      </c>
      <c r="AL1960" s="1">
        <v>4.0</v>
      </c>
      <c r="AM1960" s="1">
        <v>2.0</v>
      </c>
      <c r="AN1960" s="1">
        <v>1.0</v>
      </c>
      <c r="AO1960" s="1" t="s">
        <v>198</v>
      </c>
      <c r="AP1960" s="1">
        <v>1.0</v>
      </c>
      <c r="AQ1960" s="1" t="s">
        <v>198</v>
      </c>
      <c r="AR1960" s="1" t="s">
        <v>200</v>
      </c>
      <c r="AS1960" s="1" t="s">
        <v>199</v>
      </c>
      <c r="AT1960" s="1">
        <v>2.0</v>
      </c>
      <c r="AV1960" s="1" t="s">
        <v>200</v>
      </c>
      <c r="AW1960" s="1">
        <v>8879.24</v>
      </c>
      <c r="AX1960" s="1">
        <v>2013.0</v>
      </c>
      <c r="AY1960" s="1" t="s">
        <v>387</v>
      </c>
      <c r="AZ1960" s="1" t="s">
        <v>200</v>
      </c>
      <c r="BA1960" s="1" t="str">
        <f>"0816177016"</f>
        <v>0816177016</v>
      </c>
      <c r="BB1960" s="1" t="s">
        <v>200</v>
      </c>
      <c r="BC1960" s="1">
        <v>2456.0</v>
      </c>
      <c r="BD1960" s="1">
        <v>285000.0</v>
      </c>
      <c r="BE1960" s="2">
        <v>41894.0</v>
      </c>
      <c r="BF1960" s="2" t="s">
        <v>18755</v>
      </c>
      <c r="BG1960" s="1" t="s">
        <v>7848</v>
      </c>
      <c r="BH1960" s="1">
        <v>375.0</v>
      </c>
      <c r="BJ1960" s="1" t="s">
        <v>579</v>
      </c>
      <c r="BK1960" s="1" t="s">
        <v>580</v>
      </c>
      <c r="BL1960" s="1" t="str">
        <f>"5"</f>
        <v>5</v>
      </c>
      <c r="BM1960" s="1" t="str">
        <f t="shared" si="1293"/>
        <v>0</v>
      </c>
      <c r="BN1960" s="1">
        <v>42.0</v>
      </c>
      <c r="BO1960" s="1">
        <v>0.0</v>
      </c>
      <c r="BQ1960" s="1">
        <v>301.0</v>
      </c>
      <c r="BR1960" s="1">
        <v>301.0</v>
      </c>
      <c r="BS1960" s="1">
        <v>301.0</v>
      </c>
      <c r="BU1960" s="1" t="s">
        <v>3092</v>
      </c>
      <c r="BV1960" s="1" t="s">
        <v>206</v>
      </c>
      <c r="BW1960" s="1" t="s">
        <v>210</v>
      </c>
      <c r="BX1960" s="1" t="s">
        <v>431</v>
      </c>
      <c r="BY1960" s="1" t="s">
        <v>333</v>
      </c>
      <c r="BZ1960" s="1" t="s">
        <v>209</v>
      </c>
      <c r="CA1960" s="1" t="s">
        <v>210</v>
      </c>
      <c r="CC1960" s="1" t="s">
        <v>215</v>
      </c>
      <c r="CD1960" s="1" t="s">
        <v>206</v>
      </c>
      <c r="CE1960" s="1" t="s">
        <v>207</v>
      </c>
      <c r="CG1960" s="1" t="s">
        <v>392</v>
      </c>
      <c r="CH1960" s="1" t="s">
        <v>209</v>
      </c>
      <c r="CI1960" s="1" t="s">
        <v>210</v>
      </c>
      <c r="CK1960" s="1" t="s">
        <v>215</v>
      </c>
      <c r="CL1960" s="1" t="s">
        <v>209</v>
      </c>
      <c r="CM1960" s="1" t="s">
        <v>210</v>
      </c>
      <c r="CO1960" s="1" t="s">
        <v>264</v>
      </c>
      <c r="CP1960" s="1" t="s">
        <v>209</v>
      </c>
      <c r="CQ1960" s="1" t="s">
        <v>210</v>
      </c>
      <c r="CS1960" s="1" t="s">
        <v>2403</v>
      </c>
      <c r="CT1960" s="1" t="s">
        <v>206</v>
      </c>
      <c r="CU1960" s="1" t="s">
        <v>207</v>
      </c>
      <c r="CW1960" s="1" t="s">
        <v>6258</v>
      </c>
      <c r="CX1960" s="1" t="s">
        <v>267</v>
      </c>
      <c r="CY1960" s="1" t="s">
        <v>210</v>
      </c>
      <c r="DA1960" s="1" t="s">
        <v>200</v>
      </c>
      <c r="DC1960" s="1" t="s">
        <v>395</v>
      </c>
      <c r="DD1960" s="1" t="s">
        <v>396</v>
      </c>
      <c r="DE1960" s="1" t="s">
        <v>273</v>
      </c>
      <c r="DF1960" s="1" t="s">
        <v>219</v>
      </c>
      <c r="DG1960" s="1" t="s">
        <v>4422</v>
      </c>
      <c r="DH1960" s="1" t="s">
        <v>1603</v>
      </c>
      <c r="DI1960" s="1" t="s">
        <v>1223</v>
      </c>
      <c r="DJ1960" s="1" t="s">
        <v>222</v>
      </c>
      <c r="DK1960" s="1" t="s">
        <v>1555</v>
      </c>
      <c r="DL1960" s="1" t="s">
        <v>858</v>
      </c>
      <c r="DM1960" s="1" t="s">
        <v>338</v>
      </c>
      <c r="DO1960" s="1" t="s">
        <v>4423</v>
      </c>
      <c r="DP1960" s="1" t="s">
        <v>340</v>
      </c>
      <c r="DQ1960" s="1" t="s">
        <v>1557</v>
      </c>
      <c r="DR1960" s="1" t="s">
        <v>2593</v>
      </c>
      <c r="DS1960" s="1" t="s">
        <v>230</v>
      </c>
      <c r="DU1960" s="1" t="s">
        <v>3021</v>
      </c>
      <c r="DV1960" s="1" t="s">
        <v>5014</v>
      </c>
      <c r="DW1960" s="1" t="s">
        <v>444</v>
      </c>
      <c r="DX1960" s="1" t="s">
        <v>234</v>
      </c>
      <c r="DZ1960" s="1" t="s">
        <v>1466</v>
      </c>
      <c r="EA1960" s="1" t="s">
        <v>447</v>
      </c>
      <c r="EB1960" s="1" t="s">
        <v>2915</v>
      </c>
      <c r="EC1960" s="1" t="s">
        <v>237</v>
      </c>
      <c r="ED1960" s="1" t="s">
        <v>407</v>
      </c>
      <c r="EG1960" s="1" t="s">
        <v>494</v>
      </c>
      <c r="EH1960" s="1" t="s">
        <v>408</v>
      </c>
      <c r="EL1960" s="1" t="s">
        <v>392</v>
      </c>
      <c r="EM1960" s="1" t="s">
        <v>206</v>
      </c>
      <c r="EN1960" s="1" t="s">
        <v>210</v>
      </c>
      <c r="EP1960" s="1" t="s">
        <v>15748</v>
      </c>
      <c r="EQ1960" s="1" t="s">
        <v>206</v>
      </c>
      <c r="ER1960" s="1" t="s">
        <v>207</v>
      </c>
      <c r="EU1960" s="1" t="s">
        <v>238</v>
      </c>
      <c r="EY1960" s="1" t="s">
        <v>238</v>
      </c>
      <c r="FC1960" s="1" t="s">
        <v>238</v>
      </c>
      <c r="FF1960" s="1" t="s">
        <v>239</v>
      </c>
      <c r="FG1960" s="1" t="s">
        <v>192</v>
      </c>
      <c r="FH1960" s="1" t="s">
        <v>192</v>
      </c>
      <c r="FJ1960" s="1" t="s">
        <v>2262</v>
      </c>
      <c r="FK1960" s="1" t="s">
        <v>229</v>
      </c>
      <c r="FL1960" s="1" t="s">
        <v>5349</v>
      </c>
      <c r="FM1960" s="1">
        <v>289.0</v>
      </c>
      <c r="FN1960" s="1" t="s">
        <v>5350</v>
      </c>
      <c r="FO1960" s="1" t="s">
        <v>18756</v>
      </c>
      <c r="FP1960" s="1">
        <v>8589.0</v>
      </c>
      <c r="FQ1960" s="1" t="s">
        <v>5350</v>
      </c>
      <c r="FU1960" s="1" t="s">
        <v>18757</v>
      </c>
      <c r="FV1960" s="1" t="s">
        <v>200</v>
      </c>
      <c r="FW1960" s="1" t="s">
        <v>290</v>
      </c>
      <c r="FZ1960" s="1" t="s">
        <v>229</v>
      </c>
      <c r="GA1960" s="1" t="s">
        <v>291</v>
      </c>
      <c r="GB1960" s="2">
        <v>41978.0</v>
      </c>
      <c r="GC1960" s="1" t="s">
        <v>18758</v>
      </c>
    </row>
    <row r="1961">
      <c r="A1961" s="1">
        <v>220000.0</v>
      </c>
      <c r="B1961" s="1" t="s">
        <v>185</v>
      </c>
      <c r="C1961" s="1" t="str">
        <f>"08721467"</f>
        <v>08721467</v>
      </c>
      <c r="D1961" s="1" t="s">
        <v>186</v>
      </c>
      <c r="F1961" s="1" t="str">
        <f>"8060"</f>
        <v>8060</v>
      </c>
      <c r="G1961" s="2">
        <v>41889.0</v>
      </c>
      <c r="H1961" s="1">
        <v>257000.0</v>
      </c>
      <c r="I1961" s="1">
        <v>150.0</v>
      </c>
      <c r="J1961" s="1">
        <v>249500.0</v>
      </c>
      <c r="K1961" s="2">
        <v>41982.0</v>
      </c>
      <c r="L1961" s="1">
        <v>94.0</v>
      </c>
      <c r="M1961" s="2">
        <v>41982.0</v>
      </c>
      <c r="N1961" s="1" t="s">
        <v>187</v>
      </c>
      <c r="O1961" s="2">
        <v>41992.0</v>
      </c>
      <c r="P1961" s="1">
        <v>183811.0</v>
      </c>
      <c r="Q1961" s="1">
        <v>85107.0</v>
      </c>
      <c r="R1961" s="1">
        <v>5000.0</v>
      </c>
      <c r="S1961" s="1">
        <v>2959.0</v>
      </c>
      <c r="T1961" s="1" t="s">
        <v>9947</v>
      </c>
      <c r="U1961" s="1" t="s">
        <v>189</v>
      </c>
      <c r="V1961" s="1" t="s">
        <v>190</v>
      </c>
      <c r="W1961" s="1">
        <v>60616.0</v>
      </c>
      <c r="Y1961" s="1" t="s">
        <v>18759</v>
      </c>
      <c r="Z1961" s="1" t="s">
        <v>296</v>
      </c>
      <c r="AA1961" s="1" t="s">
        <v>192</v>
      </c>
      <c r="AB1961" s="1" t="s">
        <v>193</v>
      </c>
      <c r="AD1961" s="1" t="s">
        <v>194</v>
      </c>
      <c r="AE1961" s="1" t="s">
        <v>195</v>
      </c>
      <c r="AF1961" s="1" t="s">
        <v>1154</v>
      </c>
      <c r="AH1961" s="1" t="s">
        <v>18760</v>
      </c>
      <c r="AI1961" s="1">
        <v>0.0672</v>
      </c>
      <c r="AK1961" s="1">
        <v>8.0</v>
      </c>
      <c r="AL1961" s="1">
        <v>3.0</v>
      </c>
      <c r="AM1961" s="1">
        <v>3.0</v>
      </c>
      <c r="AN1961" s="1">
        <v>0.0</v>
      </c>
      <c r="AO1961" s="1" t="s">
        <v>1261</v>
      </c>
      <c r="AQ1961" s="1" t="s">
        <v>198</v>
      </c>
      <c r="AR1961" s="1" t="s">
        <v>200</v>
      </c>
      <c r="AS1961" s="1" t="s">
        <v>828</v>
      </c>
      <c r="AU1961" s="1">
        <v>2.0</v>
      </c>
      <c r="AV1961" s="1" t="s">
        <v>200</v>
      </c>
      <c r="AW1961" s="1">
        <v>4021.55</v>
      </c>
      <c r="AX1961" s="1">
        <v>2012.0</v>
      </c>
      <c r="AY1961" s="1" t="s">
        <v>387</v>
      </c>
      <c r="AZ1961" s="1" t="s">
        <v>200</v>
      </c>
      <c r="BA1961" s="1" t="str">
        <f>"17283200240000"</f>
        <v>17283200240000</v>
      </c>
      <c r="BB1961" s="1" t="s">
        <v>200</v>
      </c>
      <c r="BC1961" s="1">
        <v>1400.0</v>
      </c>
      <c r="BD1961" s="1">
        <v>220000.0</v>
      </c>
      <c r="BE1961" s="2">
        <v>41889.0</v>
      </c>
      <c r="BF1961" s="1" t="s">
        <v>18761</v>
      </c>
      <c r="BG1961" s="1" t="s">
        <v>18762</v>
      </c>
      <c r="BH1961" s="1">
        <v>0.0</v>
      </c>
      <c r="BK1961" s="1" t="s">
        <v>204</v>
      </c>
      <c r="BL1961" s="1" t="str">
        <f t="shared" ref="BL1961:BM1961" si="1294">"0"</f>
        <v>0</v>
      </c>
      <c r="BM1961" s="1" t="str">
        <f t="shared" si="1294"/>
        <v>0</v>
      </c>
      <c r="BN1961" s="1">
        <v>700.0</v>
      </c>
      <c r="BO1961" s="1">
        <v>2959.0</v>
      </c>
      <c r="BQ1961" s="1">
        <v>299.0</v>
      </c>
      <c r="BR1961" s="1">
        <v>299.0</v>
      </c>
      <c r="BS1961" s="1">
        <v>299.0</v>
      </c>
      <c r="BU1961" s="1" t="s">
        <v>639</v>
      </c>
      <c r="BV1961" s="1" t="s">
        <v>206</v>
      </c>
      <c r="BW1961" s="1" t="s">
        <v>207</v>
      </c>
      <c r="BY1961" s="1" t="s">
        <v>584</v>
      </c>
      <c r="BZ1961" s="1" t="s">
        <v>209</v>
      </c>
      <c r="CA1961" s="1" t="s">
        <v>210</v>
      </c>
      <c r="CC1961" s="1" t="s">
        <v>542</v>
      </c>
      <c r="CD1961" s="1" t="s">
        <v>206</v>
      </c>
      <c r="CG1961" s="1" t="s">
        <v>584</v>
      </c>
      <c r="CH1961" s="1" t="s">
        <v>209</v>
      </c>
      <c r="CI1961" s="1" t="s">
        <v>210</v>
      </c>
      <c r="CK1961" s="1" t="s">
        <v>4153</v>
      </c>
      <c r="CL1961" s="1" t="s">
        <v>206</v>
      </c>
      <c r="CM1961" s="1" t="s">
        <v>210</v>
      </c>
      <c r="CO1961" s="1" t="s">
        <v>4153</v>
      </c>
      <c r="CP1961" s="1" t="s">
        <v>42</v>
      </c>
      <c r="CS1961" s="1" t="s">
        <v>331</v>
      </c>
      <c r="CT1961" s="1" t="s">
        <v>206</v>
      </c>
      <c r="CU1961" s="1" t="s">
        <v>207</v>
      </c>
      <c r="CX1961" s="1" t="s">
        <v>204</v>
      </c>
      <c r="DA1961" s="1" t="s">
        <v>200</v>
      </c>
      <c r="DC1961" s="1" t="s">
        <v>545</v>
      </c>
      <c r="DD1961" s="1" t="s">
        <v>786</v>
      </c>
      <c r="DE1961" s="1" t="s">
        <v>1300</v>
      </c>
      <c r="DF1961" s="1" t="s">
        <v>2275</v>
      </c>
      <c r="DH1961" s="1" t="s">
        <v>365</v>
      </c>
      <c r="DI1961" s="1" t="s">
        <v>831</v>
      </c>
      <c r="DJ1961" s="1" t="s">
        <v>222</v>
      </c>
      <c r="DL1961" s="1" t="s">
        <v>223</v>
      </c>
      <c r="DM1961" s="1" t="s">
        <v>229</v>
      </c>
      <c r="DQ1961" s="1" t="s">
        <v>228</v>
      </c>
      <c r="DR1961" s="1" t="s">
        <v>229</v>
      </c>
      <c r="DV1961" s="1" t="s">
        <v>18763</v>
      </c>
      <c r="DW1961" s="1" t="s">
        <v>279</v>
      </c>
      <c r="DX1961" s="1" t="s">
        <v>309</v>
      </c>
      <c r="DY1961" s="1" t="s">
        <v>879</v>
      </c>
      <c r="EC1961" s="1" t="s">
        <v>18764</v>
      </c>
      <c r="EG1961" s="1" t="s">
        <v>494</v>
      </c>
      <c r="EH1961" s="1" t="s">
        <v>2877</v>
      </c>
      <c r="EI1961" s="1" t="s">
        <v>409</v>
      </c>
      <c r="EK1961" s="1" t="s">
        <v>1103</v>
      </c>
      <c r="EL1961" s="1" t="s">
        <v>266</v>
      </c>
      <c r="EM1961" s="1" t="s">
        <v>209</v>
      </c>
      <c r="EN1961" s="1" t="s">
        <v>210</v>
      </c>
      <c r="EP1961" s="1" t="s">
        <v>1796</v>
      </c>
      <c r="EQ1961" s="1" t="s">
        <v>206</v>
      </c>
      <c r="ET1961" s="1" t="s">
        <v>6438</v>
      </c>
      <c r="EU1961" s="1" t="s">
        <v>206</v>
      </c>
      <c r="EY1961" s="1" t="s">
        <v>238</v>
      </c>
      <c r="FB1961" s="1" t="s">
        <v>3663</v>
      </c>
      <c r="FC1961" s="1" t="s">
        <v>42</v>
      </c>
      <c r="FF1961" s="1" t="s">
        <v>239</v>
      </c>
      <c r="FG1961" s="1" t="s">
        <v>192</v>
      </c>
      <c r="FH1961" s="1" t="s">
        <v>192</v>
      </c>
      <c r="FJ1961" s="1" t="s">
        <v>18765</v>
      </c>
      <c r="FK1961" s="1" t="s">
        <v>229</v>
      </c>
      <c r="FL1961" s="1" t="s">
        <v>14842</v>
      </c>
      <c r="FM1961" s="1">
        <v>85107.0</v>
      </c>
      <c r="FN1961" s="1" t="s">
        <v>2316</v>
      </c>
      <c r="FO1961" s="1" t="s">
        <v>18766</v>
      </c>
      <c r="FP1961" s="1">
        <v>183811.0</v>
      </c>
      <c r="FQ1961" s="1" t="s">
        <v>18767</v>
      </c>
      <c r="FU1961" s="1" t="s">
        <v>18768</v>
      </c>
      <c r="FV1961" s="1" t="s">
        <v>200</v>
      </c>
      <c r="FW1961" s="1" t="s">
        <v>290</v>
      </c>
      <c r="FX1961" s="1" t="s">
        <v>655</v>
      </c>
      <c r="FZ1961" s="1" t="s">
        <v>229</v>
      </c>
      <c r="GA1961" s="1" t="s">
        <v>291</v>
      </c>
      <c r="GB1961" s="2">
        <v>42002.0</v>
      </c>
      <c r="GC1961" s="1" t="s">
        <v>18769</v>
      </c>
    </row>
    <row r="1962">
      <c r="A1962" s="1">
        <v>255000.0</v>
      </c>
      <c r="B1962" s="1" t="s">
        <v>185</v>
      </c>
      <c r="C1962" s="1" t="str">
        <f>"08731652"</f>
        <v>08731652</v>
      </c>
      <c r="D1962" s="1" t="s">
        <v>186</v>
      </c>
      <c r="F1962" s="1" t="str">
        <f>"510"</f>
        <v>510</v>
      </c>
      <c r="G1962" s="2">
        <v>41900.0</v>
      </c>
      <c r="H1962" s="1">
        <v>265000.0</v>
      </c>
      <c r="I1962" s="1">
        <v>287.0</v>
      </c>
      <c r="J1962" s="1">
        <v>255000.0</v>
      </c>
      <c r="K1962" s="2">
        <v>41996.0</v>
      </c>
      <c r="L1962" s="1">
        <v>97.0</v>
      </c>
      <c r="M1962" s="2">
        <v>41996.0</v>
      </c>
      <c r="N1962" s="1" t="s">
        <v>187</v>
      </c>
      <c r="O1962" s="2">
        <v>42062.0</v>
      </c>
      <c r="P1962" s="1">
        <v>902.0</v>
      </c>
      <c r="Q1962" s="1">
        <v>49.0</v>
      </c>
      <c r="S1962" s="1">
        <v>651.0</v>
      </c>
      <c r="T1962" s="1" t="s">
        <v>18770</v>
      </c>
      <c r="U1962" s="1" t="s">
        <v>420</v>
      </c>
      <c r="V1962" s="1" t="s">
        <v>2700</v>
      </c>
      <c r="W1962" s="1">
        <v>60510.0</v>
      </c>
      <c r="Y1962" s="1" t="s">
        <v>18771</v>
      </c>
      <c r="Z1962" s="1">
        <v>1993.0</v>
      </c>
      <c r="AA1962" s="1" t="s">
        <v>200</v>
      </c>
      <c r="AB1962" s="1" t="s">
        <v>193</v>
      </c>
      <c r="AC1962" s="1" t="s">
        <v>10642</v>
      </c>
      <c r="AD1962" s="1" t="s">
        <v>2702</v>
      </c>
      <c r="AE1962" s="1" t="s">
        <v>325</v>
      </c>
      <c r="AF1962" s="1" t="s">
        <v>424</v>
      </c>
      <c r="AH1962" s="1" t="s">
        <v>18772</v>
      </c>
      <c r="AI1962" s="1">
        <v>0.2709</v>
      </c>
      <c r="AK1962" s="1">
        <v>8.0</v>
      </c>
      <c r="AL1962" s="1">
        <v>4.0</v>
      </c>
      <c r="AM1962" s="1">
        <v>2.0</v>
      </c>
      <c r="AN1962" s="1">
        <v>1.0</v>
      </c>
      <c r="AO1962" s="1" t="s">
        <v>198</v>
      </c>
      <c r="AP1962" s="1">
        <v>2.0</v>
      </c>
      <c r="AQ1962" s="1" t="s">
        <v>198</v>
      </c>
      <c r="AR1962" s="1" t="s">
        <v>200</v>
      </c>
      <c r="AS1962" s="1" t="s">
        <v>199</v>
      </c>
      <c r="AT1962" s="1">
        <v>2.0</v>
      </c>
      <c r="AV1962" s="1" t="s">
        <v>200</v>
      </c>
      <c r="AW1962" s="1">
        <v>7006.42</v>
      </c>
      <c r="AX1962" s="1">
        <v>2013.0</v>
      </c>
      <c r="AY1962" s="1" t="s">
        <v>387</v>
      </c>
      <c r="AZ1962" s="1" t="s">
        <v>200</v>
      </c>
      <c r="BA1962" s="1" t="str">
        <f>"1216327009"</f>
        <v>1216327009</v>
      </c>
      <c r="BB1962" s="1" t="s">
        <v>200</v>
      </c>
      <c r="BC1962" s="1">
        <v>1936.0</v>
      </c>
      <c r="BD1962" s="1">
        <v>255000.0</v>
      </c>
      <c r="BE1962" s="2">
        <v>41900.0</v>
      </c>
      <c r="BF1962" s="2" t="s">
        <v>18773</v>
      </c>
      <c r="BH1962" s="1">
        <v>0.0</v>
      </c>
      <c r="BK1962" s="1" t="s">
        <v>204</v>
      </c>
      <c r="BL1962" s="1" t="str">
        <f t="shared" ref="BL1962:BM1962" si="1295">""</f>
        <v/>
      </c>
      <c r="BM1962" s="1" t="str">
        <f t="shared" si="1295"/>
        <v/>
      </c>
      <c r="BQ1962" s="1">
        <v>101.0</v>
      </c>
      <c r="BR1962" s="1">
        <v>101.0</v>
      </c>
      <c r="BS1962" s="1">
        <v>101.0</v>
      </c>
      <c r="BU1962" s="1" t="s">
        <v>329</v>
      </c>
      <c r="BV1962" s="1" t="s">
        <v>206</v>
      </c>
      <c r="BW1962" s="1" t="s">
        <v>210</v>
      </c>
      <c r="BY1962" s="1" t="s">
        <v>434</v>
      </c>
      <c r="BZ1962" s="1" t="s">
        <v>209</v>
      </c>
      <c r="CA1962" s="1" t="s">
        <v>210</v>
      </c>
      <c r="CC1962" s="1" t="s">
        <v>332</v>
      </c>
      <c r="CD1962" s="1" t="s">
        <v>206</v>
      </c>
      <c r="CE1962" s="1" t="s">
        <v>210</v>
      </c>
      <c r="CG1962" s="1" t="s">
        <v>392</v>
      </c>
      <c r="CH1962" s="1" t="s">
        <v>209</v>
      </c>
      <c r="CI1962" s="1" t="s">
        <v>210</v>
      </c>
      <c r="CK1962" s="1" t="s">
        <v>495</v>
      </c>
      <c r="CL1962" s="1" t="s">
        <v>209</v>
      </c>
      <c r="CM1962" s="1" t="s">
        <v>210</v>
      </c>
      <c r="CO1962" s="1" t="s">
        <v>269</v>
      </c>
      <c r="CP1962" s="1" t="s">
        <v>209</v>
      </c>
      <c r="CQ1962" s="1" t="s">
        <v>210</v>
      </c>
      <c r="CS1962" s="1" t="s">
        <v>1426</v>
      </c>
      <c r="CT1962" s="1" t="s">
        <v>206</v>
      </c>
      <c r="CU1962" s="1" t="s">
        <v>268</v>
      </c>
      <c r="CW1962" s="1" t="s">
        <v>1426</v>
      </c>
      <c r="CX1962" s="1" t="s">
        <v>206</v>
      </c>
      <c r="CY1962" s="1" t="s">
        <v>210</v>
      </c>
      <c r="DA1962" s="1" t="s">
        <v>200</v>
      </c>
      <c r="DC1962" s="1" t="s">
        <v>435</v>
      </c>
      <c r="DD1962" s="1" t="s">
        <v>396</v>
      </c>
      <c r="DE1962" s="1" t="s">
        <v>273</v>
      </c>
      <c r="DF1962" s="1" t="s">
        <v>219</v>
      </c>
      <c r="DG1962" s="1" t="s">
        <v>482</v>
      </c>
      <c r="DH1962" s="1" t="s">
        <v>220</v>
      </c>
      <c r="DI1962" s="1" t="s">
        <v>4695</v>
      </c>
      <c r="DJ1962" s="1" t="s">
        <v>222</v>
      </c>
      <c r="DL1962" s="1" t="s">
        <v>858</v>
      </c>
      <c r="DM1962" s="1" t="s">
        <v>338</v>
      </c>
      <c r="DN1962" s="1" t="s">
        <v>399</v>
      </c>
      <c r="DO1962" s="1" t="s">
        <v>440</v>
      </c>
      <c r="DP1962" s="1" t="s">
        <v>340</v>
      </c>
      <c r="DQ1962" s="1" t="s">
        <v>441</v>
      </c>
      <c r="DR1962" s="1" t="s">
        <v>229</v>
      </c>
      <c r="DS1962" s="1" t="s">
        <v>230</v>
      </c>
      <c r="DU1962" s="1" t="s">
        <v>3890</v>
      </c>
      <c r="DV1962" s="1" t="s">
        <v>2129</v>
      </c>
      <c r="DW1962" s="1" t="s">
        <v>233</v>
      </c>
      <c r="DX1962" s="1" t="s">
        <v>234</v>
      </c>
      <c r="DZ1962" s="1" t="s">
        <v>18774</v>
      </c>
      <c r="EB1962" s="1" t="s">
        <v>684</v>
      </c>
      <c r="EC1962" s="1" t="s">
        <v>237</v>
      </c>
      <c r="ED1962" s="1" t="s">
        <v>407</v>
      </c>
      <c r="EG1962" s="1" t="s">
        <v>2129</v>
      </c>
      <c r="EL1962" s="1" t="s">
        <v>393</v>
      </c>
      <c r="EM1962" s="1" t="s">
        <v>206</v>
      </c>
      <c r="EN1962" s="1" t="s">
        <v>588</v>
      </c>
      <c r="EQ1962" s="1" t="s">
        <v>238</v>
      </c>
      <c r="EU1962" s="1" t="s">
        <v>238</v>
      </c>
      <c r="EY1962" s="1" t="s">
        <v>238</v>
      </c>
      <c r="FC1962" s="1" t="s">
        <v>238</v>
      </c>
      <c r="FF1962" s="1" t="s">
        <v>239</v>
      </c>
      <c r="FG1962" s="1" t="s">
        <v>192</v>
      </c>
      <c r="FH1962" s="1" t="s">
        <v>192</v>
      </c>
      <c r="FJ1962" s="1" t="s">
        <v>624</v>
      </c>
      <c r="FK1962" s="1" t="s">
        <v>229</v>
      </c>
      <c r="FL1962" s="1" t="s">
        <v>456</v>
      </c>
      <c r="FM1962" s="1">
        <v>49.0</v>
      </c>
      <c r="FN1962" s="1" t="s">
        <v>457</v>
      </c>
      <c r="FO1962" s="1" t="s">
        <v>17650</v>
      </c>
      <c r="FP1962" s="1">
        <v>1038.0</v>
      </c>
      <c r="FQ1962" s="1" t="s">
        <v>17651</v>
      </c>
      <c r="FS1962" s="1" t="s">
        <v>18775</v>
      </c>
      <c r="FU1962" s="1" t="s">
        <v>13396</v>
      </c>
      <c r="FV1962" s="1" t="s">
        <v>200</v>
      </c>
      <c r="FW1962" s="1" t="s">
        <v>631</v>
      </c>
      <c r="FZ1962" s="1" t="s">
        <v>229</v>
      </c>
      <c r="GA1962" s="1" t="s">
        <v>291</v>
      </c>
      <c r="GB1962" s="2">
        <v>42062.0</v>
      </c>
      <c r="GC1962" s="1" t="s">
        <v>18776</v>
      </c>
    </row>
    <row r="1963">
      <c r="A1963" s="1">
        <v>34000.0</v>
      </c>
      <c r="B1963" s="1" t="s">
        <v>185</v>
      </c>
      <c r="C1963" s="1" t="str">
        <f>"08729980"</f>
        <v>08729980</v>
      </c>
      <c r="D1963" s="1" t="s">
        <v>186</v>
      </c>
      <c r="F1963" s="1" t="str">
        <f>"8066"</f>
        <v>8066</v>
      </c>
      <c r="G1963" s="2">
        <v>41898.0</v>
      </c>
      <c r="H1963" s="1">
        <v>38500.0</v>
      </c>
      <c r="I1963" s="1">
        <v>11.0</v>
      </c>
      <c r="J1963" s="1">
        <v>38500.0</v>
      </c>
      <c r="K1963" s="2">
        <v>41908.0</v>
      </c>
      <c r="L1963" s="1">
        <v>11.0</v>
      </c>
      <c r="M1963" s="2">
        <v>41908.0</v>
      </c>
      <c r="N1963" s="1" t="s">
        <v>249</v>
      </c>
      <c r="O1963" s="2">
        <v>41992.0</v>
      </c>
      <c r="P1963" s="1">
        <v>180758.0</v>
      </c>
      <c r="Q1963" s="1">
        <v>85186.0</v>
      </c>
      <c r="S1963" s="1">
        <v>6511.0</v>
      </c>
      <c r="T1963" s="1" t="s">
        <v>1513</v>
      </c>
      <c r="U1963" s="1" t="s">
        <v>189</v>
      </c>
      <c r="V1963" s="1" t="s">
        <v>190</v>
      </c>
      <c r="W1963" s="1">
        <v>60629.0</v>
      </c>
      <c r="Y1963" s="1" t="s">
        <v>18777</v>
      </c>
      <c r="Z1963" s="1">
        <v>1911.0</v>
      </c>
      <c r="AA1963" s="1" t="s">
        <v>192</v>
      </c>
      <c r="AB1963" s="1" t="s">
        <v>193</v>
      </c>
      <c r="AD1963" s="1" t="s">
        <v>194</v>
      </c>
      <c r="AE1963" s="1" t="s">
        <v>195</v>
      </c>
      <c r="AF1963" s="1" t="s">
        <v>659</v>
      </c>
      <c r="AH1963" s="1" t="s">
        <v>1501</v>
      </c>
      <c r="AI1963" s="1">
        <v>0.0861</v>
      </c>
      <c r="AK1963" s="1">
        <v>7.0</v>
      </c>
      <c r="AL1963" s="1">
        <v>4.0</v>
      </c>
      <c r="AM1963" s="1">
        <v>2.0</v>
      </c>
      <c r="AN1963" s="1">
        <v>1.0</v>
      </c>
      <c r="AO1963" s="1" t="s">
        <v>229</v>
      </c>
      <c r="AQ1963" s="1" t="s">
        <v>198</v>
      </c>
      <c r="AR1963" s="1" t="s">
        <v>192</v>
      </c>
      <c r="AS1963" s="1" t="s">
        <v>199</v>
      </c>
      <c r="AT1963" s="1">
        <v>2.0</v>
      </c>
      <c r="AV1963" s="1" t="s">
        <v>200</v>
      </c>
      <c r="AW1963" s="1">
        <v>1374.0</v>
      </c>
      <c r="AX1963" s="1">
        <v>2012.0</v>
      </c>
      <c r="AZ1963" s="1" t="s">
        <v>200</v>
      </c>
      <c r="BA1963" s="1" t="str">
        <f>"19242190040000"</f>
        <v>19242190040000</v>
      </c>
      <c r="BC1963" s="1">
        <v>0.0</v>
      </c>
      <c r="BD1963" s="1">
        <v>34000.0</v>
      </c>
      <c r="BE1963" s="2">
        <v>41898.0</v>
      </c>
      <c r="BF1963" s="1" t="s">
        <v>18778</v>
      </c>
      <c r="BH1963" s="1">
        <v>0.0</v>
      </c>
      <c r="BK1963" s="1" t="s">
        <v>204</v>
      </c>
      <c r="BL1963" s="1" t="str">
        <f t="shared" ref="BL1963:BM1963" si="1296">"0"</f>
        <v>0</v>
      </c>
      <c r="BM1963" s="1" t="str">
        <f t="shared" si="1296"/>
        <v>0</v>
      </c>
      <c r="BN1963" s="1">
        <v>2600.0</v>
      </c>
      <c r="BO1963" s="1">
        <v>6500.0</v>
      </c>
      <c r="BQ1963" s="1">
        <v>299.0</v>
      </c>
      <c r="BR1963" s="1">
        <v>299.0</v>
      </c>
      <c r="BS1963" s="1">
        <v>299.0</v>
      </c>
      <c r="BU1963" s="1" t="s">
        <v>215</v>
      </c>
      <c r="BV1963" s="1" t="s">
        <v>206</v>
      </c>
      <c r="BW1963" s="1" t="s">
        <v>207</v>
      </c>
      <c r="BY1963" s="1" t="s">
        <v>647</v>
      </c>
      <c r="BZ1963" s="1" t="s">
        <v>206</v>
      </c>
      <c r="CA1963" s="1" t="s">
        <v>617</v>
      </c>
      <c r="CD1963" s="1" t="s">
        <v>204</v>
      </c>
      <c r="CG1963" s="1" t="s">
        <v>411</v>
      </c>
      <c r="CH1963" s="1" t="s">
        <v>206</v>
      </c>
      <c r="CI1963" s="1" t="s">
        <v>617</v>
      </c>
      <c r="CK1963" s="1" t="s">
        <v>497</v>
      </c>
      <c r="CL1963" s="1" t="s">
        <v>209</v>
      </c>
      <c r="CM1963" s="1" t="s">
        <v>207</v>
      </c>
      <c r="CO1963" s="1" t="s">
        <v>495</v>
      </c>
      <c r="CP1963" s="1" t="s">
        <v>209</v>
      </c>
      <c r="CQ1963" s="1" t="s">
        <v>207</v>
      </c>
      <c r="CS1963" s="1" t="s">
        <v>3054</v>
      </c>
      <c r="CT1963" s="1" t="s">
        <v>206</v>
      </c>
      <c r="CU1963" s="1" t="s">
        <v>268</v>
      </c>
      <c r="CX1963" s="1" t="s">
        <v>204</v>
      </c>
      <c r="DA1963" s="1" t="s">
        <v>200</v>
      </c>
      <c r="DC1963" s="1" t="s">
        <v>642</v>
      </c>
      <c r="DD1963" s="1" t="s">
        <v>518</v>
      </c>
      <c r="DE1963" s="1" t="s">
        <v>229</v>
      </c>
      <c r="DF1963" s="1" t="s">
        <v>3540</v>
      </c>
      <c r="DH1963" s="1" t="s">
        <v>365</v>
      </c>
      <c r="DJ1963" s="1" t="s">
        <v>222</v>
      </c>
      <c r="DL1963" s="1" t="s">
        <v>858</v>
      </c>
      <c r="DM1963" s="1" t="s">
        <v>229</v>
      </c>
      <c r="DQ1963" s="1" t="s">
        <v>718</v>
      </c>
      <c r="DR1963" s="1" t="s">
        <v>229</v>
      </c>
      <c r="DV1963" s="1" t="s">
        <v>450</v>
      </c>
      <c r="DW1963" s="1" t="s">
        <v>3576</v>
      </c>
      <c r="DX1963" s="1" t="s">
        <v>234</v>
      </c>
      <c r="EC1963" s="1" t="s">
        <v>237</v>
      </c>
      <c r="EG1963" s="1" t="s">
        <v>450</v>
      </c>
      <c r="EL1963" s="1" t="s">
        <v>3672</v>
      </c>
      <c r="EM1963" s="1" t="s">
        <v>42</v>
      </c>
      <c r="EQ1963" s="1" t="s">
        <v>238</v>
      </c>
      <c r="EU1963" s="1" t="s">
        <v>238</v>
      </c>
      <c r="EY1963" s="1" t="s">
        <v>238</v>
      </c>
      <c r="FC1963" s="1" t="s">
        <v>238</v>
      </c>
      <c r="FF1963" s="1" t="s">
        <v>239</v>
      </c>
      <c r="FG1963" s="1" t="s">
        <v>192</v>
      </c>
      <c r="FH1963" s="1" t="s">
        <v>192</v>
      </c>
      <c r="FJ1963" s="1" t="s">
        <v>285</v>
      </c>
      <c r="FK1963" s="1" t="s">
        <v>229</v>
      </c>
      <c r="FL1963" s="1" t="s">
        <v>18779</v>
      </c>
      <c r="FM1963" s="1">
        <v>23426.0</v>
      </c>
      <c r="FN1963" s="1" t="s">
        <v>18780</v>
      </c>
      <c r="FO1963" s="1" t="s">
        <v>18781</v>
      </c>
      <c r="FP1963" s="1">
        <v>216793.0</v>
      </c>
      <c r="FQ1963" s="1" t="s">
        <v>18782</v>
      </c>
      <c r="FU1963" s="1" t="s">
        <v>1541</v>
      </c>
      <c r="FV1963" s="1" t="s">
        <v>200</v>
      </c>
      <c r="FW1963" s="1" t="s">
        <v>18783</v>
      </c>
      <c r="FX1963" s="1" t="s">
        <v>655</v>
      </c>
      <c r="FZ1963" s="1" t="s">
        <v>229</v>
      </c>
      <c r="GA1963" s="1" t="s">
        <v>291</v>
      </c>
      <c r="GB1963" s="2">
        <v>41992.0</v>
      </c>
      <c r="GC1963" s="1" t="s">
        <v>18784</v>
      </c>
    </row>
    <row r="1964">
      <c r="A1964" s="1">
        <v>355000.0</v>
      </c>
      <c r="B1964" s="1" t="s">
        <v>185</v>
      </c>
      <c r="C1964" s="1" t="str">
        <f>"08725394"</f>
        <v>08725394</v>
      </c>
      <c r="D1964" s="1" t="s">
        <v>186</v>
      </c>
      <c r="F1964" s="1" t="str">
        <f>"177"</f>
        <v>177</v>
      </c>
      <c r="G1964" s="2">
        <v>41893.0</v>
      </c>
      <c r="H1964" s="1">
        <v>365000.0</v>
      </c>
      <c r="I1964" s="1">
        <v>231.0</v>
      </c>
      <c r="J1964" s="1">
        <v>365000.0</v>
      </c>
      <c r="K1964" s="2">
        <v>41899.0</v>
      </c>
      <c r="L1964" s="1">
        <v>7.0</v>
      </c>
      <c r="M1964" s="2">
        <v>41899.0</v>
      </c>
      <c r="N1964" s="1" t="s">
        <v>187</v>
      </c>
      <c r="O1964" s="2">
        <v>41988.0</v>
      </c>
      <c r="P1964" s="1">
        <v>232525.0</v>
      </c>
      <c r="Q1964" s="1">
        <v>22993.0</v>
      </c>
      <c r="S1964" s="1">
        <v>619.0</v>
      </c>
      <c r="T1964" s="1" t="s">
        <v>18785</v>
      </c>
      <c r="U1964" s="1" t="s">
        <v>569</v>
      </c>
      <c r="V1964" s="1" t="s">
        <v>2249</v>
      </c>
      <c r="W1964" s="1">
        <v>60177.0</v>
      </c>
      <c r="Y1964" s="1" t="s">
        <v>18786</v>
      </c>
      <c r="Z1964" s="1">
        <v>2000.0</v>
      </c>
      <c r="AA1964" s="1" t="s">
        <v>200</v>
      </c>
      <c r="AB1964" s="1" t="s">
        <v>467</v>
      </c>
      <c r="AC1964" s="1" t="s">
        <v>5341</v>
      </c>
      <c r="AD1964" s="1" t="s">
        <v>2252</v>
      </c>
      <c r="AE1964" s="1" t="s">
        <v>325</v>
      </c>
      <c r="AF1964" s="1" t="s">
        <v>1203</v>
      </c>
      <c r="AH1964" s="1" t="s">
        <v>18787</v>
      </c>
      <c r="AK1964" s="1">
        <v>8.0</v>
      </c>
      <c r="AL1964" s="1">
        <v>4.0</v>
      </c>
      <c r="AM1964" s="1">
        <v>2.0</v>
      </c>
      <c r="AN1964" s="1">
        <v>1.0</v>
      </c>
      <c r="AO1964" s="1" t="s">
        <v>198</v>
      </c>
      <c r="AQ1964" s="1" t="s">
        <v>198</v>
      </c>
      <c r="AR1964" s="1" t="s">
        <v>200</v>
      </c>
      <c r="AS1964" s="1" t="s">
        <v>199</v>
      </c>
      <c r="AT1964" s="1">
        <v>3.0</v>
      </c>
      <c r="AV1964" s="1" t="s">
        <v>200</v>
      </c>
      <c r="AW1964" s="1">
        <v>9557.18</v>
      </c>
      <c r="AX1964" s="1">
        <v>2013.0</v>
      </c>
      <c r="AY1964" s="1" t="s">
        <v>387</v>
      </c>
      <c r="AZ1964" s="1" t="s">
        <v>545</v>
      </c>
      <c r="BA1964" s="1" t="str">
        <f>"0905252011"</f>
        <v>0905252011</v>
      </c>
      <c r="BB1964" s="1" t="s">
        <v>200</v>
      </c>
      <c r="BC1964" s="1">
        <v>2778.0</v>
      </c>
      <c r="BD1964" s="1">
        <v>355000.0</v>
      </c>
      <c r="BE1964" s="2">
        <v>41893.0</v>
      </c>
      <c r="BF1964" s="1" t="s">
        <v>18788</v>
      </c>
      <c r="BH1964" s="1">
        <v>118.0</v>
      </c>
      <c r="BK1964" s="1" t="s">
        <v>1952</v>
      </c>
      <c r="BL1964" s="1" t="str">
        <f>"7"</f>
        <v>7</v>
      </c>
      <c r="BM1964" s="1" t="str">
        <f>"0"</f>
        <v>0</v>
      </c>
      <c r="BN1964" s="1">
        <v>37.0</v>
      </c>
      <c r="BO1964" s="1">
        <v>0.0</v>
      </c>
      <c r="BQ1964" s="1">
        <v>303.0</v>
      </c>
      <c r="BR1964" s="1">
        <v>303.0</v>
      </c>
      <c r="BS1964" s="1">
        <v>303.0</v>
      </c>
      <c r="BU1964" s="1" t="s">
        <v>215</v>
      </c>
      <c r="BV1964" s="1" t="s">
        <v>206</v>
      </c>
      <c r="BY1964" s="1" t="s">
        <v>1426</v>
      </c>
      <c r="BZ1964" s="1" t="s">
        <v>209</v>
      </c>
      <c r="CC1964" s="1" t="s">
        <v>264</v>
      </c>
      <c r="CD1964" s="1" t="s">
        <v>206</v>
      </c>
      <c r="CF1964" s="1" t="s">
        <v>229</v>
      </c>
      <c r="CG1964" s="1" t="s">
        <v>262</v>
      </c>
      <c r="CH1964" s="1" t="s">
        <v>209</v>
      </c>
      <c r="CK1964" s="1" t="s">
        <v>212</v>
      </c>
      <c r="CL1964" s="1" t="s">
        <v>209</v>
      </c>
      <c r="CO1964" s="1" t="s">
        <v>264</v>
      </c>
      <c r="CP1964" s="1" t="s">
        <v>209</v>
      </c>
      <c r="CS1964" s="1" t="s">
        <v>329</v>
      </c>
      <c r="CT1964" s="1" t="s">
        <v>206</v>
      </c>
      <c r="CW1964" s="1" t="s">
        <v>434</v>
      </c>
      <c r="CX1964" s="1" t="s">
        <v>206</v>
      </c>
      <c r="DA1964" s="1" t="s">
        <v>200</v>
      </c>
      <c r="DC1964" s="1" t="s">
        <v>335</v>
      </c>
      <c r="DE1964" s="1" t="s">
        <v>273</v>
      </c>
      <c r="DF1964" s="1" t="s">
        <v>219</v>
      </c>
      <c r="DH1964" s="1" t="s">
        <v>220</v>
      </c>
      <c r="DJ1964" s="1" t="s">
        <v>222</v>
      </c>
      <c r="DL1964" s="1" t="s">
        <v>224</v>
      </c>
      <c r="DM1964" s="1" t="s">
        <v>229</v>
      </c>
      <c r="DQ1964" s="1" t="s">
        <v>441</v>
      </c>
      <c r="DR1964" s="1" t="s">
        <v>2593</v>
      </c>
      <c r="DV1964" s="1" t="s">
        <v>232</v>
      </c>
      <c r="DW1964" s="1" t="s">
        <v>279</v>
      </c>
      <c r="DX1964" s="1" t="s">
        <v>234</v>
      </c>
      <c r="DZ1964" s="1" t="s">
        <v>282</v>
      </c>
      <c r="EC1964" s="1" t="s">
        <v>237</v>
      </c>
      <c r="EM1964" s="1" t="s">
        <v>238</v>
      </c>
      <c r="EQ1964" s="1" t="s">
        <v>238</v>
      </c>
      <c r="EU1964" s="1" t="s">
        <v>238</v>
      </c>
      <c r="EY1964" s="1" t="s">
        <v>238</v>
      </c>
      <c r="FC1964" s="1" t="s">
        <v>238</v>
      </c>
      <c r="FF1964" s="1" t="s">
        <v>239</v>
      </c>
      <c r="FG1964" s="1" t="s">
        <v>192</v>
      </c>
      <c r="FH1964" s="1" t="s">
        <v>192</v>
      </c>
      <c r="FJ1964" s="1" t="s">
        <v>498</v>
      </c>
      <c r="FK1964" s="1" t="s">
        <v>229</v>
      </c>
      <c r="FL1964" s="1" t="s">
        <v>893</v>
      </c>
      <c r="FM1964" s="1">
        <v>604.0</v>
      </c>
      <c r="FN1964" s="1" t="s">
        <v>894</v>
      </c>
      <c r="FO1964" s="1" t="s">
        <v>895</v>
      </c>
      <c r="FP1964" s="1">
        <v>381.0</v>
      </c>
      <c r="FQ1964" s="1" t="s">
        <v>896</v>
      </c>
      <c r="FR1964" s="1">
        <v>1954.0</v>
      </c>
      <c r="FU1964" s="1" t="s">
        <v>897</v>
      </c>
      <c r="FV1964" s="1" t="s">
        <v>200</v>
      </c>
      <c r="FW1964" s="1" t="s">
        <v>290</v>
      </c>
      <c r="FZ1964" s="1" t="s">
        <v>229</v>
      </c>
      <c r="GA1964" s="1" t="s">
        <v>291</v>
      </c>
      <c r="GB1964" s="2">
        <v>41988.0</v>
      </c>
      <c r="GC1964" s="1" t="s">
        <v>18396</v>
      </c>
    </row>
    <row r="1965">
      <c r="A1965" s="1">
        <v>77000.0</v>
      </c>
      <c r="B1965" s="1" t="s">
        <v>185</v>
      </c>
      <c r="C1965" s="1" t="str">
        <f>"08737030"</f>
        <v>08737030</v>
      </c>
      <c r="D1965" s="1" t="s">
        <v>186</v>
      </c>
      <c r="F1965" s="1" t="str">
        <f>"8073"</f>
        <v>8073</v>
      </c>
      <c r="G1965" s="2">
        <v>41906.0</v>
      </c>
      <c r="H1965" s="1">
        <v>89500.0</v>
      </c>
      <c r="I1965" s="1">
        <v>90.0</v>
      </c>
      <c r="J1965" s="1">
        <v>85500.0</v>
      </c>
      <c r="K1965" s="2">
        <v>41995.0</v>
      </c>
      <c r="L1965" s="1">
        <v>90.0</v>
      </c>
      <c r="M1965" s="2">
        <v>41995.0</v>
      </c>
      <c r="N1965" s="1" t="s">
        <v>356</v>
      </c>
      <c r="O1965" s="2">
        <v>42083.0</v>
      </c>
      <c r="P1965" s="1">
        <v>153174.0</v>
      </c>
      <c r="Q1965" s="1">
        <v>13691.0</v>
      </c>
      <c r="R1965" s="1">
        <v>2500.0</v>
      </c>
      <c r="S1965" s="1">
        <v>8952.0</v>
      </c>
      <c r="T1965" s="1" t="s">
        <v>6648</v>
      </c>
      <c r="U1965" s="1" t="s">
        <v>189</v>
      </c>
      <c r="V1965" s="1" t="s">
        <v>190</v>
      </c>
      <c r="W1965" s="1">
        <v>60620.0</v>
      </c>
      <c r="Y1965" s="1" t="s">
        <v>18789</v>
      </c>
      <c r="Z1965" s="1">
        <v>1922.0</v>
      </c>
      <c r="AA1965" s="1" t="s">
        <v>192</v>
      </c>
      <c r="AB1965" s="1" t="s">
        <v>193</v>
      </c>
      <c r="AD1965" s="1" t="s">
        <v>194</v>
      </c>
      <c r="AE1965" s="1" t="s">
        <v>195</v>
      </c>
      <c r="AF1965" s="1" t="s">
        <v>659</v>
      </c>
      <c r="AH1965" s="1" t="s">
        <v>741</v>
      </c>
      <c r="AI1965" s="1">
        <v>0.0956</v>
      </c>
      <c r="AK1965" s="1">
        <v>7.0</v>
      </c>
      <c r="AL1965" s="1">
        <v>4.0</v>
      </c>
      <c r="AM1965" s="1">
        <v>1.0</v>
      </c>
      <c r="AN1965" s="1">
        <v>0.0</v>
      </c>
      <c r="AO1965" s="1" t="s">
        <v>229</v>
      </c>
      <c r="AQ1965" s="1" t="s">
        <v>198</v>
      </c>
      <c r="AR1965" s="1" t="s">
        <v>200</v>
      </c>
      <c r="AS1965" s="1" t="s">
        <v>199</v>
      </c>
      <c r="AT1965" s="1">
        <v>2.0</v>
      </c>
      <c r="AV1965" s="1" t="s">
        <v>200</v>
      </c>
      <c r="AW1965" s="1">
        <v>2216.51</v>
      </c>
      <c r="AX1965" s="1">
        <v>2012.0</v>
      </c>
      <c r="AZ1965" s="1" t="s">
        <v>200</v>
      </c>
      <c r="BA1965" s="1" t="str">
        <f>"25062160320000"</f>
        <v>25062160320000</v>
      </c>
      <c r="BC1965" s="1">
        <v>1400.0</v>
      </c>
      <c r="BD1965" s="1">
        <v>77000.0</v>
      </c>
      <c r="BE1965" s="2">
        <v>41906.0</v>
      </c>
      <c r="BF1965" s="1" t="s">
        <v>18790</v>
      </c>
      <c r="BH1965" s="1">
        <v>0.0</v>
      </c>
      <c r="BK1965" s="1" t="s">
        <v>204</v>
      </c>
      <c r="BL1965" s="1" t="str">
        <f t="shared" ref="BL1965:BM1965" si="1297">"0"</f>
        <v>0</v>
      </c>
      <c r="BM1965" s="1" t="str">
        <f t="shared" si="1297"/>
        <v>0</v>
      </c>
      <c r="BN1965" s="1">
        <v>1600.0</v>
      </c>
      <c r="BO1965" s="1">
        <v>8500.0</v>
      </c>
      <c r="BQ1965" s="1">
        <v>299.0</v>
      </c>
      <c r="BR1965" s="1">
        <v>299.0</v>
      </c>
      <c r="BS1965" s="1">
        <v>299.0</v>
      </c>
      <c r="BU1965" s="1" t="s">
        <v>1063</v>
      </c>
      <c r="BV1965" s="1" t="s">
        <v>206</v>
      </c>
      <c r="BW1965" s="1" t="s">
        <v>210</v>
      </c>
      <c r="BY1965" s="1" t="s">
        <v>478</v>
      </c>
      <c r="BZ1965" s="1" t="s">
        <v>206</v>
      </c>
      <c r="CA1965" s="1" t="s">
        <v>210</v>
      </c>
      <c r="CB1965" s="1" t="s">
        <v>229</v>
      </c>
      <c r="CC1965" s="1" t="s">
        <v>1064</v>
      </c>
      <c r="CD1965" s="1" t="s">
        <v>206</v>
      </c>
      <c r="CE1965" s="1" t="s">
        <v>210</v>
      </c>
      <c r="CG1965" s="1" t="s">
        <v>303</v>
      </c>
      <c r="CH1965" s="1" t="s">
        <v>206</v>
      </c>
      <c r="CI1965" s="1" t="s">
        <v>210</v>
      </c>
      <c r="CJ1965" s="1" t="s">
        <v>229</v>
      </c>
      <c r="CK1965" s="1" t="s">
        <v>663</v>
      </c>
      <c r="CL1965" s="1" t="s">
        <v>209</v>
      </c>
      <c r="CM1965" s="1" t="s">
        <v>210</v>
      </c>
      <c r="CN1965" s="1" t="s">
        <v>229</v>
      </c>
      <c r="CO1965" s="1" t="s">
        <v>1068</v>
      </c>
      <c r="CP1965" s="1" t="s">
        <v>209</v>
      </c>
      <c r="CQ1965" s="1" t="s">
        <v>210</v>
      </c>
      <c r="CR1965" s="1" t="s">
        <v>229</v>
      </c>
      <c r="CS1965" s="1" t="s">
        <v>1351</v>
      </c>
      <c r="CT1965" s="1" t="s">
        <v>206</v>
      </c>
      <c r="CU1965" s="1" t="s">
        <v>617</v>
      </c>
      <c r="CX1965" s="1" t="s">
        <v>204</v>
      </c>
      <c r="DA1965" s="1" t="s">
        <v>200</v>
      </c>
      <c r="DC1965" s="1" t="s">
        <v>216</v>
      </c>
      <c r="DD1965" s="1" t="s">
        <v>618</v>
      </c>
      <c r="DE1965" s="1" t="s">
        <v>273</v>
      </c>
      <c r="DF1965" s="1" t="s">
        <v>219</v>
      </c>
      <c r="DH1965" s="1" t="s">
        <v>220</v>
      </c>
      <c r="DJ1965" s="1" t="s">
        <v>222</v>
      </c>
      <c r="DL1965" s="1" t="s">
        <v>223</v>
      </c>
      <c r="DM1965" s="1" t="s">
        <v>229</v>
      </c>
      <c r="DP1965" s="1" t="s">
        <v>340</v>
      </c>
      <c r="DQ1965" s="1" t="s">
        <v>441</v>
      </c>
      <c r="DR1965" s="1" t="s">
        <v>229</v>
      </c>
      <c r="DV1965" s="1" t="s">
        <v>232</v>
      </c>
      <c r="DW1965" s="1" t="s">
        <v>279</v>
      </c>
      <c r="DX1965" s="1" t="s">
        <v>234</v>
      </c>
      <c r="EA1965" s="1" t="s">
        <v>644</v>
      </c>
      <c r="EC1965" s="1" t="s">
        <v>645</v>
      </c>
      <c r="EM1965" s="1" t="s">
        <v>238</v>
      </c>
      <c r="EQ1965" s="1" t="s">
        <v>238</v>
      </c>
      <c r="EU1965" s="1" t="s">
        <v>238</v>
      </c>
      <c r="EY1965" s="1" t="s">
        <v>238</v>
      </c>
      <c r="FC1965" s="1" t="s">
        <v>238</v>
      </c>
      <c r="FF1965" s="1" t="s">
        <v>239</v>
      </c>
      <c r="FG1965" s="1" t="s">
        <v>192</v>
      </c>
      <c r="FH1965" s="1" t="s">
        <v>192</v>
      </c>
      <c r="FJ1965" s="1" t="s">
        <v>18791</v>
      </c>
      <c r="FK1965" s="1" t="s">
        <v>229</v>
      </c>
      <c r="FL1965" s="1" t="s">
        <v>1358</v>
      </c>
      <c r="FM1965" s="1">
        <v>51102.0</v>
      </c>
      <c r="FN1965" s="1" t="s">
        <v>3246</v>
      </c>
      <c r="FO1965" s="1" t="s">
        <v>18792</v>
      </c>
      <c r="FP1965" s="1">
        <v>230614.0</v>
      </c>
      <c r="FQ1965" s="1" t="s">
        <v>18793</v>
      </c>
      <c r="FU1965" s="1" t="s">
        <v>18794</v>
      </c>
      <c r="FV1965" s="1" t="s">
        <v>200</v>
      </c>
      <c r="FW1965" s="1" t="s">
        <v>290</v>
      </c>
      <c r="FX1965" s="1" t="s">
        <v>655</v>
      </c>
      <c r="FZ1965" s="1" t="s">
        <v>229</v>
      </c>
      <c r="GA1965" s="1" t="s">
        <v>291</v>
      </c>
      <c r="GB1965" s="2">
        <v>42095.0</v>
      </c>
      <c r="GC1965" s="1" t="s">
        <v>18795</v>
      </c>
    </row>
    <row r="1966">
      <c r="A1966" s="1">
        <v>421000.0</v>
      </c>
      <c r="B1966" s="1" t="s">
        <v>185</v>
      </c>
      <c r="C1966" s="1" t="str">
        <f>"08727134"</f>
        <v>08727134</v>
      </c>
      <c r="D1966" s="1" t="s">
        <v>186</v>
      </c>
      <c r="F1966" s="1" t="str">
        <f>"119"</f>
        <v>119</v>
      </c>
      <c r="G1966" s="2">
        <v>41894.0</v>
      </c>
      <c r="H1966" s="1">
        <v>455205.0</v>
      </c>
      <c r="I1966" s="1">
        <v>212.0</v>
      </c>
      <c r="J1966" s="1">
        <v>419900.0</v>
      </c>
      <c r="K1966" s="2">
        <v>42105.0</v>
      </c>
      <c r="L1966" s="1">
        <v>212.0</v>
      </c>
      <c r="M1966" s="2">
        <v>42105.0</v>
      </c>
      <c r="N1966" s="1" t="s">
        <v>187</v>
      </c>
      <c r="O1966" s="2">
        <v>42142.0</v>
      </c>
      <c r="P1966" s="1">
        <v>99999.0</v>
      </c>
      <c r="Q1966" s="1" t="s">
        <v>947</v>
      </c>
      <c r="S1966" s="1">
        <v>1545.0</v>
      </c>
      <c r="T1966" s="1" t="s">
        <v>10820</v>
      </c>
      <c r="U1966" s="1" t="s">
        <v>569</v>
      </c>
      <c r="V1966" s="1" t="s">
        <v>1476</v>
      </c>
      <c r="W1966" s="1">
        <v>60119.0</v>
      </c>
      <c r="Y1966" s="1" t="s">
        <v>18796</v>
      </c>
      <c r="Z1966" s="1">
        <v>2014.0</v>
      </c>
      <c r="AA1966" s="1" t="s">
        <v>200</v>
      </c>
      <c r="AB1966" s="1" t="s">
        <v>467</v>
      </c>
      <c r="AC1966" s="1" t="s">
        <v>4349</v>
      </c>
      <c r="AD1966" s="1" t="s">
        <v>1478</v>
      </c>
      <c r="AE1966" s="1" t="s">
        <v>325</v>
      </c>
      <c r="AF1966" s="1" t="s">
        <v>1479</v>
      </c>
      <c r="AG1966" s="1" t="s">
        <v>1884</v>
      </c>
      <c r="AH1966" s="1" t="s">
        <v>18797</v>
      </c>
      <c r="AI1966" s="1">
        <v>0.22</v>
      </c>
      <c r="AK1966" s="1">
        <v>10.0</v>
      </c>
      <c r="AL1966" s="1">
        <v>4.0</v>
      </c>
      <c r="AM1966" s="1">
        <v>3.0</v>
      </c>
      <c r="AN1966" s="1">
        <v>1.0</v>
      </c>
      <c r="AO1966" s="1" t="s">
        <v>198</v>
      </c>
      <c r="AP1966" s="1">
        <v>1.0</v>
      </c>
      <c r="AQ1966" s="1" t="s">
        <v>198</v>
      </c>
      <c r="AR1966" s="1" t="s">
        <v>200</v>
      </c>
      <c r="AS1966" s="1" t="s">
        <v>199</v>
      </c>
      <c r="AT1966" s="1">
        <v>3.0</v>
      </c>
      <c r="AV1966" s="1" t="s">
        <v>200</v>
      </c>
      <c r="AW1966" s="1" t="s">
        <v>575</v>
      </c>
      <c r="AX1966" s="1">
        <v>2013.0</v>
      </c>
      <c r="AZ1966" s="1" t="s">
        <v>200</v>
      </c>
      <c r="BA1966" s="1" t="str">
        <f>"1109350009"</f>
        <v>1109350009</v>
      </c>
      <c r="BB1966" s="1" t="s">
        <v>200</v>
      </c>
      <c r="BC1966" s="1">
        <v>3642.0</v>
      </c>
      <c r="BD1966" s="1">
        <v>421000.0</v>
      </c>
      <c r="BE1966" s="2">
        <v>41894.0</v>
      </c>
      <c r="BF1966" s="2" t="s">
        <v>18798</v>
      </c>
      <c r="BG1966" s="1" t="s">
        <v>4351</v>
      </c>
      <c r="BH1966" s="1">
        <v>295.0</v>
      </c>
      <c r="BI1966" s="1" t="s">
        <v>1635</v>
      </c>
      <c r="BJ1966" s="1" t="s">
        <v>1636</v>
      </c>
      <c r="BK1966" s="1" t="s">
        <v>580</v>
      </c>
      <c r="BL1966" s="1" t="str">
        <f t="shared" ref="BL1966:BM1966" si="1298">""</f>
        <v/>
      </c>
      <c r="BM1966" s="1" t="str">
        <f t="shared" si="1298"/>
        <v/>
      </c>
      <c r="BQ1966" s="1">
        <v>302.0</v>
      </c>
      <c r="BR1966" s="1">
        <v>302.0</v>
      </c>
      <c r="BS1966" s="1">
        <v>302.0</v>
      </c>
      <c r="BU1966" s="1" t="s">
        <v>478</v>
      </c>
      <c r="BV1966" s="1" t="s">
        <v>206</v>
      </c>
      <c r="BW1966" s="1" t="s">
        <v>210</v>
      </c>
      <c r="BX1966" s="1" t="s">
        <v>229</v>
      </c>
      <c r="BY1966" s="1" t="s">
        <v>1045</v>
      </c>
      <c r="BZ1966" s="1" t="s">
        <v>209</v>
      </c>
      <c r="CA1966" s="1" t="s">
        <v>210</v>
      </c>
      <c r="CB1966" s="1" t="s">
        <v>229</v>
      </c>
      <c r="CC1966" s="1" t="s">
        <v>1397</v>
      </c>
      <c r="CD1966" s="1" t="s">
        <v>206</v>
      </c>
      <c r="CE1966" s="1" t="s">
        <v>210</v>
      </c>
      <c r="CF1966" s="1" t="s">
        <v>229</v>
      </c>
      <c r="CG1966" s="1" t="s">
        <v>1190</v>
      </c>
      <c r="CH1966" s="1" t="s">
        <v>209</v>
      </c>
      <c r="CI1966" s="1" t="s">
        <v>210</v>
      </c>
      <c r="CJ1966" s="1" t="s">
        <v>229</v>
      </c>
      <c r="CK1966" s="1" t="s">
        <v>363</v>
      </c>
      <c r="CL1966" s="1" t="s">
        <v>209</v>
      </c>
      <c r="CM1966" s="1" t="s">
        <v>210</v>
      </c>
      <c r="CN1966" s="1" t="s">
        <v>229</v>
      </c>
      <c r="CO1966" s="1" t="s">
        <v>363</v>
      </c>
      <c r="CP1966" s="1" t="s">
        <v>209</v>
      </c>
      <c r="CQ1966" s="1" t="s">
        <v>210</v>
      </c>
      <c r="CR1966" s="1" t="s">
        <v>229</v>
      </c>
      <c r="CS1966" s="1" t="s">
        <v>1117</v>
      </c>
      <c r="CT1966" s="1" t="s">
        <v>206</v>
      </c>
      <c r="CU1966" s="1" t="s">
        <v>207</v>
      </c>
      <c r="CV1966" s="1" t="s">
        <v>229</v>
      </c>
      <c r="CW1966" s="1" t="s">
        <v>1350</v>
      </c>
      <c r="CX1966" s="1" t="s">
        <v>206</v>
      </c>
      <c r="CY1966" s="1" t="s">
        <v>210</v>
      </c>
      <c r="CZ1966" s="1" t="s">
        <v>229</v>
      </c>
      <c r="DA1966" s="1" t="s">
        <v>192</v>
      </c>
      <c r="DB1966" s="2">
        <v>42035.0</v>
      </c>
      <c r="DC1966" s="1" t="s">
        <v>1353</v>
      </c>
      <c r="DD1966" s="1" t="s">
        <v>12444</v>
      </c>
      <c r="DE1966" s="1" t="s">
        <v>273</v>
      </c>
      <c r="DF1966" s="1" t="s">
        <v>219</v>
      </c>
      <c r="DG1966" s="1" t="s">
        <v>2311</v>
      </c>
      <c r="DH1966" s="1" t="s">
        <v>220</v>
      </c>
      <c r="DI1966" s="1" t="s">
        <v>1604</v>
      </c>
      <c r="DJ1966" s="1" t="s">
        <v>222</v>
      </c>
      <c r="DK1966" s="1" t="s">
        <v>223</v>
      </c>
      <c r="DL1966" s="1" t="s">
        <v>484</v>
      </c>
      <c r="DM1966" s="1" t="s">
        <v>929</v>
      </c>
      <c r="DN1966" s="1" t="s">
        <v>485</v>
      </c>
      <c r="DO1966" s="1" t="s">
        <v>6032</v>
      </c>
      <c r="DP1966" s="1" t="s">
        <v>340</v>
      </c>
      <c r="DQ1966" s="1" t="s">
        <v>228</v>
      </c>
      <c r="DR1966" s="1" t="s">
        <v>1185</v>
      </c>
      <c r="DS1966" s="1" t="s">
        <v>591</v>
      </c>
      <c r="DU1966" s="1" t="s">
        <v>1355</v>
      </c>
      <c r="DV1966" s="1" t="s">
        <v>18799</v>
      </c>
      <c r="DW1966" s="1" t="s">
        <v>1072</v>
      </c>
      <c r="DX1966" s="1" t="s">
        <v>234</v>
      </c>
      <c r="DY1966" s="1" t="s">
        <v>1051</v>
      </c>
      <c r="DZ1966" s="1" t="s">
        <v>343</v>
      </c>
      <c r="EA1966" s="1" t="s">
        <v>344</v>
      </c>
      <c r="EB1966" s="1" t="s">
        <v>684</v>
      </c>
      <c r="EC1966" s="1" t="s">
        <v>237</v>
      </c>
      <c r="EG1966" s="1" t="s">
        <v>1121</v>
      </c>
      <c r="EH1966" s="1" t="s">
        <v>1467</v>
      </c>
      <c r="EL1966" s="1" t="s">
        <v>663</v>
      </c>
      <c r="EM1966" s="1" t="s">
        <v>209</v>
      </c>
      <c r="EN1966" s="1" t="s">
        <v>210</v>
      </c>
      <c r="EO1966" s="1" t="s">
        <v>229</v>
      </c>
      <c r="EP1966" s="1" t="s">
        <v>743</v>
      </c>
      <c r="EQ1966" s="1" t="s">
        <v>209</v>
      </c>
      <c r="ER1966" s="1" t="s">
        <v>210</v>
      </c>
      <c r="ES1966" s="1" t="s">
        <v>229</v>
      </c>
      <c r="EU1966" s="1" t="s">
        <v>238</v>
      </c>
      <c r="EY1966" s="1" t="s">
        <v>238</v>
      </c>
      <c r="FC1966" s="1" t="s">
        <v>238</v>
      </c>
      <c r="FF1966" s="1" t="s">
        <v>239</v>
      </c>
      <c r="FG1966" s="1" t="s">
        <v>192</v>
      </c>
      <c r="FH1966" s="1" t="s">
        <v>192</v>
      </c>
      <c r="FJ1966" s="1" t="s">
        <v>18800</v>
      </c>
      <c r="FK1966" s="1" t="s">
        <v>229</v>
      </c>
      <c r="FL1966" s="1" t="s">
        <v>17724</v>
      </c>
      <c r="FM1966" s="1">
        <v>23705.0</v>
      </c>
      <c r="FN1966" s="1" t="s">
        <v>17725</v>
      </c>
      <c r="FO1966" s="1" t="s">
        <v>17726</v>
      </c>
      <c r="FP1966" s="1">
        <v>238198.0</v>
      </c>
      <c r="FQ1966" s="1" t="s">
        <v>17727</v>
      </c>
      <c r="FU1966" s="1" t="s">
        <v>18801</v>
      </c>
      <c r="FV1966" s="1" t="s">
        <v>200</v>
      </c>
      <c r="FW1966" s="1" t="s">
        <v>18802</v>
      </c>
      <c r="FZ1966" s="1" t="s">
        <v>229</v>
      </c>
      <c r="GA1966" s="1" t="s">
        <v>291</v>
      </c>
      <c r="GB1966" s="2">
        <v>42142.0</v>
      </c>
    </row>
    <row r="1967">
      <c r="A1967" s="1">
        <v>592000.0</v>
      </c>
      <c r="B1967" s="1" t="s">
        <v>185</v>
      </c>
      <c r="C1967" s="1" t="str">
        <f>"08725242"</f>
        <v>08725242</v>
      </c>
      <c r="D1967" s="1" t="s">
        <v>186</v>
      </c>
      <c r="F1967" s="1" t="str">
        <f>"8022"</f>
        <v>8022</v>
      </c>
      <c r="G1967" s="2">
        <v>41893.0</v>
      </c>
      <c r="H1967" s="1">
        <v>645000.0</v>
      </c>
      <c r="I1967" s="1">
        <v>207.0</v>
      </c>
      <c r="J1967" s="1">
        <v>609900.0</v>
      </c>
      <c r="K1967" s="2">
        <v>42037.0</v>
      </c>
      <c r="L1967" s="1">
        <v>145.0</v>
      </c>
      <c r="M1967" s="2">
        <v>42037.0</v>
      </c>
      <c r="N1967" s="1" t="s">
        <v>187</v>
      </c>
      <c r="O1967" s="2">
        <v>42082.0</v>
      </c>
      <c r="P1967" s="1">
        <v>179854.0</v>
      </c>
      <c r="Q1967" s="1">
        <v>18705.0</v>
      </c>
      <c r="S1967" s="1">
        <v>2623.0</v>
      </c>
      <c r="T1967" s="1" t="s">
        <v>18803</v>
      </c>
      <c r="U1967" s="1" t="s">
        <v>320</v>
      </c>
      <c r="V1967" s="1" t="s">
        <v>190</v>
      </c>
      <c r="W1967" s="1">
        <v>60647.0</v>
      </c>
      <c r="Y1967" s="1" t="s">
        <v>18804</v>
      </c>
      <c r="Z1967" s="1">
        <v>2014.0</v>
      </c>
      <c r="AA1967" s="1" t="s">
        <v>200</v>
      </c>
      <c r="AB1967" s="1" t="s">
        <v>193</v>
      </c>
      <c r="AD1967" s="1" t="s">
        <v>194</v>
      </c>
      <c r="AE1967" s="1" t="s">
        <v>195</v>
      </c>
      <c r="AF1967" s="1" t="s">
        <v>827</v>
      </c>
      <c r="AG1967" s="1" t="s">
        <v>575</v>
      </c>
      <c r="AH1967" s="1" t="s">
        <v>18805</v>
      </c>
      <c r="AK1967" s="1">
        <v>9.0</v>
      </c>
      <c r="AL1967" s="1">
        <v>3.0</v>
      </c>
      <c r="AM1967" s="1">
        <v>3.0</v>
      </c>
      <c r="AN1967" s="1">
        <v>1.0</v>
      </c>
      <c r="AO1967" s="1" t="s">
        <v>198</v>
      </c>
      <c r="AQ1967" s="1" t="s">
        <v>198</v>
      </c>
      <c r="AR1967" s="1" t="s">
        <v>192</v>
      </c>
      <c r="AS1967" s="1" t="s">
        <v>199</v>
      </c>
      <c r="AT1967" s="1">
        <v>2.0</v>
      </c>
      <c r="AV1967" s="1" t="s">
        <v>200</v>
      </c>
      <c r="AW1967" s="1" t="s">
        <v>575</v>
      </c>
      <c r="AX1967" s="1">
        <v>2013.0</v>
      </c>
      <c r="AY1967" s="1" t="s">
        <v>229</v>
      </c>
      <c r="AZ1967" s="1" t="s">
        <v>200</v>
      </c>
      <c r="BA1967" s="1" t="str">
        <f>"13362200130000"</f>
        <v>13362200130000</v>
      </c>
      <c r="BB1967" s="1" t="s">
        <v>200</v>
      </c>
      <c r="BC1967" s="1">
        <v>2930.0</v>
      </c>
      <c r="BD1967" s="1">
        <v>592000.0</v>
      </c>
      <c r="BE1967" s="2">
        <v>41893.0</v>
      </c>
      <c r="BF1967" s="2" t="s">
        <v>18806</v>
      </c>
      <c r="BG1967" s="1" t="s">
        <v>18807</v>
      </c>
      <c r="BH1967" s="1">
        <v>0.0</v>
      </c>
      <c r="BI1967" s="1" t="s">
        <v>18807</v>
      </c>
      <c r="BJ1967" s="1" t="s">
        <v>13909</v>
      </c>
      <c r="BK1967" s="1" t="s">
        <v>204</v>
      </c>
      <c r="BL1967" s="1" t="str">
        <f>"2150"</f>
        <v>2150</v>
      </c>
      <c r="BM1967" s="1" t="str">
        <f>"0"</f>
        <v>0</v>
      </c>
      <c r="BN1967" s="1">
        <v>2623.0</v>
      </c>
      <c r="BO1967" s="1">
        <v>0.0</v>
      </c>
      <c r="BQ1967" s="1">
        <v>299.0</v>
      </c>
      <c r="BR1967" s="1">
        <v>299.0</v>
      </c>
      <c r="BS1967" s="1">
        <v>299.0</v>
      </c>
      <c r="BU1967" s="1" t="s">
        <v>1892</v>
      </c>
      <c r="BV1967" s="1" t="s">
        <v>206</v>
      </c>
      <c r="BW1967" s="1" t="s">
        <v>207</v>
      </c>
      <c r="BY1967" s="1" t="s">
        <v>454</v>
      </c>
      <c r="BZ1967" s="1" t="s">
        <v>209</v>
      </c>
      <c r="CA1967" s="1" t="s">
        <v>210</v>
      </c>
      <c r="CC1967" s="1" t="s">
        <v>542</v>
      </c>
      <c r="CD1967" s="1" t="s">
        <v>206</v>
      </c>
      <c r="CE1967" s="1" t="s">
        <v>207</v>
      </c>
      <c r="CG1967" s="1" t="s">
        <v>262</v>
      </c>
      <c r="CH1967" s="1" t="s">
        <v>209</v>
      </c>
      <c r="CI1967" s="1" t="s">
        <v>210</v>
      </c>
      <c r="CK1967" s="1" t="s">
        <v>269</v>
      </c>
      <c r="CL1967" s="1" t="s">
        <v>209</v>
      </c>
      <c r="CM1967" s="1" t="s">
        <v>210</v>
      </c>
      <c r="CO1967" s="1" t="s">
        <v>743</v>
      </c>
      <c r="CP1967" s="1" t="s">
        <v>42</v>
      </c>
      <c r="CQ1967" s="1" t="s">
        <v>210</v>
      </c>
      <c r="CS1967" s="1" t="s">
        <v>2461</v>
      </c>
      <c r="CT1967" s="1" t="s">
        <v>206</v>
      </c>
      <c r="CU1967" s="1" t="s">
        <v>207</v>
      </c>
      <c r="CW1967" s="1" t="s">
        <v>616</v>
      </c>
      <c r="CX1967" s="1" t="s">
        <v>206</v>
      </c>
      <c r="CY1967" s="1" t="s">
        <v>207</v>
      </c>
      <c r="DA1967" s="1" t="s">
        <v>192</v>
      </c>
      <c r="DB1967" s="2">
        <v>41893.0</v>
      </c>
      <c r="DC1967" s="1" t="s">
        <v>1353</v>
      </c>
      <c r="DD1967" s="1" t="s">
        <v>217</v>
      </c>
      <c r="DE1967" s="1" t="s">
        <v>218</v>
      </c>
      <c r="DF1967" s="1" t="s">
        <v>12317</v>
      </c>
      <c r="DG1967" s="1" t="s">
        <v>3110</v>
      </c>
      <c r="DH1967" s="1" t="s">
        <v>220</v>
      </c>
      <c r="DI1967" s="1" t="s">
        <v>519</v>
      </c>
      <c r="DJ1967" s="1" t="s">
        <v>222</v>
      </c>
      <c r="DL1967" s="1" t="s">
        <v>224</v>
      </c>
      <c r="DM1967" s="1" t="s">
        <v>1143</v>
      </c>
      <c r="DN1967" s="1" t="s">
        <v>15047</v>
      </c>
      <c r="DO1967" s="1" t="s">
        <v>717</v>
      </c>
      <c r="DP1967" s="1" t="s">
        <v>276</v>
      </c>
      <c r="DQ1967" s="1" t="s">
        <v>794</v>
      </c>
      <c r="DR1967" s="1" t="s">
        <v>229</v>
      </c>
      <c r="DS1967" s="1" t="s">
        <v>368</v>
      </c>
      <c r="DU1967" s="1" t="s">
        <v>3487</v>
      </c>
      <c r="DV1967" s="1" t="s">
        <v>2058</v>
      </c>
      <c r="DW1967" s="1" t="s">
        <v>552</v>
      </c>
      <c r="DX1967" s="1" t="s">
        <v>309</v>
      </c>
      <c r="DY1967" s="1" t="s">
        <v>596</v>
      </c>
      <c r="DZ1967" s="1" t="s">
        <v>1100</v>
      </c>
      <c r="EA1967" s="1" t="s">
        <v>1027</v>
      </c>
      <c r="EC1967" s="1" t="s">
        <v>237</v>
      </c>
      <c r="ED1967" s="1" t="s">
        <v>1794</v>
      </c>
      <c r="EE1967" s="1" t="s">
        <v>493</v>
      </c>
      <c r="EG1967" s="1" t="s">
        <v>450</v>
      </c>
      <c r="EH1967" s="1" t="s">
        <v>310</v>
      </c>
      <c r="EL1967" s="1" t="s">
        <v>6591</v>
      </c>
      <c r="EM1967" s="1" t="s">
        <v>42</v>
      </c>
      <c r="EN1967" s="1" t="s">
        <v>210</v>
      </c>
      <c r="EP1967" s="1" t="s">
        <v>623</v>
      </c>
      <c r="EQ1967" s="1" t="s">
        <v>206</v>
      </c>
      <c r="ER1967" s="1" t="s">
        <v>588</v>
      </c>
      <c r="EU1967" s="1" t="s">
        <v>238</v>
      </c>
      <c r="EY1967" s="1" t="s">
        <v>238</v>
      </c>
      <c r="FC1967" s="1" t="s">
        <v>238</v>
      </c>
      <c r="FF1967" s="1" t="s">
        <v>239</v>
      </c>
      <c r="FG1967" s="1" t="s">
        <v>192</v>
      </c>
      <c r="FH1967" s="1" t="s">
        <v>192</v>
      </c>
      <c r="FJ1967" s="1" t="s">
        <v>524</v>
      </c>
      <c r="FK1967" s="1" t="s">
        <v>557</v>
      </c>
      <c r="FL1967" s="1" t="s">
        <v>771</v>
      </c>
      <c r="FM1967" s="1">
        <v>16636.0</v>
      </c>
      <c r="FN1967" s="1" t="s">
        <v>526</v>
      </c>
      <c r="FO1967" s="1" t="s">
        <v>5472</v>
      </c>
      <c r="FP1967" s="1">
        <v>106356.0</v>
      </c>
      <c r="FQ1967" s="1" t="s">
        <v>5473</v>
      </c>
      <c r="FS1967" s="1" t="s">
        <v>5474</v>
      </c>
      <c r="FU1967" s="1" t="s">
        <v>18808</v>
      </c>
      <c r="FV1967" s="1" t="s">
        <v>192</v>
      </c>
      <c r="FW1967" s="1" t="s">
        <v>530</v>
      </c>
      <c r="FX1967" s="1" t="s">
        <v>246</v>
      </c>
      <c r="FZ1967" s="1" t="s">
        <v>229</v>
      </c>
      <c r="GA1967" s="1" t="s">
        <v>247</v>
      </c>
      <c r="GB1967" s="2">
        <v>42083.0</v>
      </c>
      <c r="GC1967" s="1" t="s">
        <v>18809</v>
      </c>
    </row>
    <row r="1968">
      <c r="A1968" s="1">
        <v>65000.0</v>
      </c>
      <c r="B1968" s="1" t="s">
        <v>185</v>
      </c>
      <c r="C1968" s="1" t="str">
        <f>"08731488"</f>
        <v>08731488</v>
      </c>
      <c r="D1968" s="1" t="s">
        <v>186</v>
      </c>
      <c r="F1968" s="1" t="str">
        <f>"8056"</f>
        <v>8056</v>
      </c>
      <c r="G1968" s="2">
        <v>41900.0</v>
      </c>
      <c r="H1968" s="1">
        <v>74900.0</v>
      </c>
      <c r="I1968" s="1">
        <v>34.0</v>
      </c>
      <c r="J1968" s="1">
        <v>74900.0</v>
      </c>
      <c r="K1968" s="2">
        <v>41932.0</v>
      </c>
      <c r="L1968" s="1">
        <v>34.0</v>
      </c>
      <c r="M1968" s="2">
        <v>41932.0</v>
      </c>
      <c r="N1968" s="1" t="s">
        <v>5859</v>
      </c>
      <c r="O1968" s="2">
        <v>42013.0</v>
      </c>
      <c r="P1968" s="1">
        <v>163358.0</v>
      </c>
      <c r="Q1968" s="1">
        <v>16240.0</v>
      </c>
      <c r="S1968" s="1">
        <v>4555.0</v>
      </c>
      <c r="T1968" s="1" t="s">
        <v>11023</v>
      </c>
      <c r="U1968" s="1" t="s">
        <v>189</v>
      </c>
      <c r="V1968" s="1" t="s">
        <v>190</v>
      </c>
      <c r="W1968" s="1">
        <v>60638.0</v>
      </c>
      <c r="Y1968" s="1" t="s">
        <v>18810</v>
      </c>
      <c r="Z1968" s="1">
        <v>1952.0</v>
      </c>
      <c r="AA1968" s="1" t="s">
        <v>192</v>
      </c>
      <c r="AB1968" s="1" t="s">
        <v>193</v>
      </c>
      <c r="AD1968" s="1" t="s">
        <v>194</v>
      </c>
      <c r="AE1968" s="1" t="s">
        <v>195</v>
      </c>
      <c r="AF1968" s="1" t="s">
        <v>659</v>
      </c>
      <c r="AG1968" s="1" t="s">
        <v>17200</v>
      </c>
      <c r="AH1968" s="1" t="s">
        <v>18811</v>
      </c>
      <c r="AK1968" s="1">
        <v>8.0</v>
      </c>
      <c r="AL1968" s="1">
        <v>3.0</v>
      </c>
      <c r="AM1968" s="1">
        <v>2.0</v>
      </c>
      <c r="AN1968" s="1">
        <v>0.0</v>
      </c>
      <c r="AO1968" s="1" t="s">
        <v>229</v>
      </c>
      <c r="AQ1968" s="1" t="s">
        <v>198</v>
      </c>
      <c r="AR1968" s="1" t="s">
        <v>192</v>
      </c>
      <c r="AS1968" s="1" t="s">
        <v>199</v>
      </c>
      <c r="AT1968" s="1">
        <v>2.0</v>
      </c>
      <c r="AV1968" s="1" t="s">
        <v>200</v>
      </c>
      <c r="AW1968" s="1">
        <v>1278.0</v>
      </c>
      <c r="AX1968" s="1">
        <v>2013.0</v>
      </c>
      <c r="AY1968" s="1" t="s">
        <v>1179</v>
      </c>
      <c r="AZ1968" s="1" t="s">
        <v>200</v>
      </c>
      <c r="BA1968" s="1" t="str">
        <f>"19044180990000"</f>
        <v>19044180990000</v>
      </c>
      <c r="BC1968" s="1">
        <v>1008.0</v>
      </c>
      <c r="BD1968" s="1">
        <v>65000.0</v>
      </c>
      <c r="BE1968" s="2">
        <v>41899.0</v>
      </c>
      <c r="BF1968" s="2" t="s">
        <v>18812</v>
      </c>
      <c r="BH1968" s="1">
        <v>0.0</v>
      </c>
      <c r="BK1968" s="1" t="s">
        <v>204</v>
      </c>
      <c r="BL1968" s="1" t="str">
        <f t="shared" ref="BL1968:BM1968" si="1299">"0"</f>
        <v>0</v>
      </c>
      <c r="BM1968" s="1" t="str">
        <f t="shared" si="1299"/>
        <v>0</v>
      </c>
      <c r="BN1968" s="1">
        <v>6.0</v>
      </c>
      <c r="BO1968" s="1">
        <v>4.0</v>
      </c>
      <c r="BQ1968" s="1">
        <v>299.0</v>
      </c>
      <c r="BR1968" s="1">
        <v>299.0</v>
      </c>
      <c r="BS1968" s="1">
        <v>299.0</v>
      </c>
      <c r="BU1968" s="1" t="s">
        <v>4403</v>
      </c>
      <c r="BV1968" s="1" t="s">
        <v>206</v>
      </c>
      <c r="BW1968" s="1" t="s">
        <v>207</v>
      </c>
      <c r="BX1968" s="1" t="s">
        <v>229</v>
      </c>
      <c r="BY1968" s="1" t="s">
        <v>1316</v>
      </c>
      <c r="BZ1968" s="1" t="s">
        <v>206</v>
      </c>
      <c r="CC1968" s="1" t="s">
        <v>1351</v>
      </c>
      <c r="CD1968" s="1" t="s">
        <v>206</v>
      </c>
      <c r="CE1968" s="1" t="s">
        <v>207</v>
      </c>
      <c r="CG1968" s="1" t="s">
        <v>1672</v>
      </c>
      <c r="CH1968" s="1" t="s">
        <v>206</v>
      </c>
      <c r="CK1968" s="1" t="s">
        <v>663</v>
      </c>
      <c r="CL1968" s="1" t="s">
        <v>42</v>
      </c>
      <c r="CM1968" s="1" t="s">
        <v>617</v>
      </c>
      <c r="CO1968" s="1" t="s">
        <v>3508</v>
      </c>
      <c r="CP1968" s="1" t="s">
        <v>267</v>
      </c>
      <c r="CQ1968" s="1" t="s">
        <v>617</v>
      </c>
      <c r="CS1968" s="1" t="s">
        <v>2459</v>
      </c>
      <c r="CT1968" s="1" t="s">
        <v>206</v>
      </c>
      <c r="CW1968" s="1" t="s">
        <v>1993</v>
      </c>
      <c r="CX1968" s="1" t="s">
        <v>42</v>
      </c>
      <c r="CY1968" s="1" t="s">
        <v>617</v>
      </c>
      <c r="DA1968" s="1" t="s">
        <v>200</v>
      </c>
      <c r="DC1968" s="1" t="s">
        <v>702</v>
      </c>
      <c r="DE1968" s="1" t="s">
        <v>229</v>
      </c>
      <c r="DF1968" s="1" t="s">
        <v>619</v>
      </c>
      <c r="DG1968" s="1" t="s">
        <v>337</v>
      </c>
      <c r="DH1968" s="1" t="s">
        <v>365</v>
      </c>
      <c r="DJ1968" s="1" t="s">
        <v>1048</v>
      </c>
      <c r="DL1968" s="1" t="s">
        <v>986</v>
      </c>
      <c r="DM1968" s="1" t="s">
        <v>1402</v>
      </c>
      <c r="DQ1968" s="1" t="s">
        <v>228</v>
      </c>
      <c r="DR1968" s="1" t="s">
        <v>229</v>
      </c>
      <c r="DV1968" s="1" t="s">
        <v>1270</v>
      </c>
      <c r="DW1968" s="1" t="s">
        <v>279</v>
      </c>
      <c r="DX1968" s="1" t="s">
        <v>309</v>
      </c>
      <c r="DY1968" s="1" t="s">
        <v>2240</v>
      </c>
      <c r="DZ1968" s="1" t="s">
        <v>405</v>
      </c>
      <c r="EA1968" s="1" t="s">
        <v>683</v>
      </c>
      <c r="EC1968" s="1" t="s">
        <v>311</v>
      </c>
      <c r="EE1968" s="1" t="s">
        <v>18813</v>
      </c>
      <c r="EG1968" s="1" t="s">
        <v>1270</v>
      </c>
      <c r="EL1968" s="1" t="s">
        <v>1746</v>
      </c>
      <c r="EM1968" s="1" t="s">
        <v>42</v>
      </c>
      <c r="EQ1968" s="1" t="s">
        <v>238</v>
      </c>
      <c r="EU1968" s="1" t="s">
        <v>238</v>
      </c>
      <c r="EY1968" s="1" t="s">
        <v>238</v>
      </c>
      <c r="FC1968" s="1" t="s">
        <v>238</v>
      </c>
      <c r="FF1968" s="1" t="s">
        <v>239</v>
      </c>
      <c r="FG1968" s="1" t="s">
        <v>192</v>
      </c>
      <c r="FH1968" s="1" t="s">
        <v>192</v>
      </c>
      <c r="FJ1968" s="1" t="s">
        <v>3514</v>
      </c>
      <c r="FK1968" s="1" t="s">
        <v>3714</v>
      </c>
      <c r="FL1968" s="1" t="s">
        <v>18814</v>
      </c>
      <c r="FM1968" s="1">
        <v>60161.0</v>
      </c>
      <c r="FN1968" s="1" t="s">
        <v>18815</v>
      </c>
      <c r="FO1968" s="1" t="s">
        <v>18816</v>
      </c>
      <c r="FP1968" s="1">
        <v>601138.0</v>
      </c>
      <c r="FQ1968" s="1" t="s">
        <v>18815</v>
      </c>
      <c r="FU1968" s="1" t="s">
        <v>18817</v>
      </c>
      <c r="FV1968" s="1" t="s">
        <v>200</v>
      </c>
      <c r="FW1968" s="1" t="s">
        <v>18818</v>
      </c>
      <c r="FX1968" s="1" t="s">
        <v>655</v>
      </c>
      <c r="FZ1968" s="1" t="s">
        <v>229</v>
      </c>
      <c r="GA1968" s="1" t="s">
        <v>291</v>
      </c>
      <c r="GB1968" s="2">
        <v>42016.0</v>
      </c>
      <c r="GC1968" s="1" t="s">
        <v>18819</v>
      </c>
    </row>
    <row r="1969">
      <c r="A1969" s="1">
        <v>144900.0</v>
      </c>
      <c r="B1969" s="1" t="s">
        <v>185</v>
      </c>
      <c r="C1969" s="1" t="str">
        <f>"08727790"</f>
        <v>08727790</v>
      </c>
      <c r="D1969" s="1" t="s">
        <v>186</v>
      </c>
      <c r="F1969" s="1" t="str">
        <f>"8050"</f>
        <v>8050</v>
      </c>
      <c r="G1969" s="2">
        <v>41896.0</v>
      </c>
      <c r="H1969" s="1">
        <v>149900.0</v>
      </c>
      <c r="I1969" s="1">
        <v>34.0</v>
      </c>
      <c r="J1969" s="1">
        <v>144900.0</v>
      </c>
      <c r="K1969" s="2">
        <v>41929.0</v>
      </c>
      <c r="L1969" s="1">
        <v>34.0</v>
      </c>
      <c r="M1969" s="2">
        <v>41929.0</v>
      </c>
      <c r="N1969" s="1" t="s">
        <v>356</v>
      </c>
      <c r="O1969" s="2">
        <v>41982.0</v>
      </c>
      <c r="P1969" s="1">
        <v>116227.0</v>
      </c>
      <c r="Q1969" s="1">
        <v>12293.0</v>
      </c>
      <c r="R1969" s="1">
        <v>4347.0</v>
      </c>
      <c r="S1969" s="1">
        <v>9619.0</v>
      </c>
      <c r="T1969" s="1" t="s">
        <v>3014</v>
      </c>
      <c r="U1969" s="1" t="s">
        <v>189</v>
      </c>
      <c r="V1969" s="1" t="s">
        <v>190</v>
      </c>
      <c r="W1969" s="1">
        <v>60628.0</v>
      </c>
      <c r="Y1969" s="1" t="s">
        <v>18820</v>
      </c>
      <c r="Z1969" s="1">
        <v>1947.0</v>
      </c>
      <c r="AA1969" s="1" t="s">
        <v>192</v>
      </c>
      <c r="AB1969" s="1" t="s">
        <v>193</v>
      </c>
      <c r="AD1969" s="1" t="s">
        <v>194</v>
      </c>
      <c r="AE1969" s="1" t="s">
        <v>195</v>
      </c>
      <c r="AF1969" s="1" t="s">
        <v>637</v>
      </c>
      <c r="AH1969" s="1" t="s">
        <v>359</v>
      </c>
      <c r="AK1969" s="1">
        <v>7.0</v>
      </c>
      <c r="AL1969" s="1">
        <v>3.0</v>
      </c>
      <c r="AM1969" s="1">
        <v>2.0</v>
      </c>
      <c r="AN1969" s="1">
        <v>0.0</v>
      </c>
      <c r="AO1969" s="1" t="s">
        <v>229</v>
      </c>
      <c r="AQ1969" s="1" t="s">
        <v>198</v>
      </c>
      <c r="AR1969" s="1" t="s">
        <v>192</v>
      </c>
      <c r="AS1969" s="1" t="s">
        <v>199</v>
      </c>
      <c r="AT1969" s="1">
        <v>2.0</v>
      </c>
      <c r="AV1969" s="1" t="s">
        <v>200</v>
      </c>
      <c r="AW1969" s="1">
        <v>1617.16</v>
      </c>
      <c r="AX1969" s="1">
        <v>2013.0</v>
      </c>
      <c r="AY1969" s="1" t="s">
        <v>229</v>
      </c>
      <c r="AZ1969" s="1" t="s">
        <v>200</v>
      </c>
      <c r="BA1969" s="1" t="str">
        <f>"25112040400000"</f>
        <v>25112040400000</v>
      </c>
      <c r="BB1969" s="1" t="s">
        <v>200</v>
      </c>
      <c r="BC1969" s="1">
        <v>4960.0</v>
      </c>
      <c r="BD1969" s="1">
        <v>144900.0</v>
      </c>
      <c r="BE1969" s="2">
        <v>41896.0</v>
      </c>
      <c r="BF1969" s="2" t="s">
        <v>18821</v>
      </c>
      <c r="BH1969" s="1">
        <v>0.0</v>
      </c>
      <c r="BK1969" s="1" t="s">
        <v>204</v>
      </c>
      <c r="BL1969" s="1" t="str">
        <f t="shared" ref="BL1969:BL1972" si="1300">"0"</f>
        <v>0</v>
      </c>
      <c r="BM1969" s="1" t="str">
        <f>"1200"</f>
        <v>1200</v>
      </c>
      <c r="BN1969" s="1">
        <v>0.0</v>
      </c>
      <c r="BO1969" s="1">
        <v>9619.0</v>
      </c>
      <c r="BQ1969" s="1">
        <v>299.0</v>
      </c>
      <c r="BR1969" s="1">
        <v>299.0</v>
      </c>
      <c r="BS1969" s="1">
        <v>299.0</v>
      </c>
      <c r="BU1969" s="1" t="s">
        <v>2082</v>
      </c>
      <c r="BV1969" s="1" t="s">
        <v>206</v>
      </c>
      <c r="BW1969" s="1" t="s">
        <v>207</v>
      </c>
      <c r="BY1969" s="1" t="s">
        <v>663</v>
      </c>
      <c r="BZ1969" s="1" t="s">
        <v>206</v>
      </c>
      <c r="CA1969" s="1" t="s">
        <v>207</v>
      </c>
      <c r="CD1969" s="1" t="s">
        <v>204</v>
      </c>
      <c r="CG1969" s="1" t="s">
        <v>663</v>
      </c>
      <c r="CH1969" s="1" t="s">
        <v>206</v>
      </c>
      <c r="CI1969" s="1" t="s">
        <v>207</v>
      </c>
      <c r="CK1969" s="1" t="s">
        <v>269</v>
      </c>
      <c r="CL1969" s="1" t="s">
        <v>206</v>
      </c>
      <c r="CM1969" s="1" t="s">
        <v>207</v>
      </c>
      <c r="CO1969" s="1" t="s">
        <v>269</v>
      </c>
      <c r="CP1969" s="1" t="s">
        <v>42</v>
      </c>
      <c r="CQ1969" s="1" t="s">
        <v>2615</v>
      </c>
      <c r="CS1969" s="1" t="s">
        <v>3594</v>
      </c>
      <c r="CT1969" s="1" t="s">
        <v>206</v>
      </c>
      <c r="CU1969" s="1" t="s">
        <v>207</v>
      </c>
      <c r="CW1969" s="1" t="s">
        <v>18822</v>
      </c>
      <c r="CX1969" s="1" t="s">
        <v>42</v>
      </c>
      <c r="CY1969" s="1" t="s">
        <v>2615</v>
      </c>
      <c r="DA1969" s="1" t="s">
        <v>200</v>
      </c>
      <c r="DC1969" s="1" t="s">
        <v>702</v>
      </c>
      <c r="DE1969" s="1" t="s">
        <v>273</v>
      </c>
      <c r="DF1969" s="1" t="s">
        <v>219</v>
      </c>
      <c r="DH1969" s="1" t="s">
        <v>365</v>
      </c>
      <c r="DI1969" s="1" t="s">
        <v>366</v>
      </c>
      <c r="DJ1969" s="1" t="s">
        <v>222</v>
      </c>
      <c r="DL1969" s="1" t="s">
        <v>224</v>
      </c>
      <c r="DM1969" s="1" t="s">
        <v>229</v>
      </c>
      <c r="DQ1969" s="1" t="s">
        <v>718</v>
      </c>
      <c r="DR1969" s="1" t="s">
        <v>229</v>
      </c>
      <c r="DV1969" s="1" t="s">
        <v>232</v>
      </c>
      <c r="DW1969" s="1" t="s">
        <v>279</v>
      </c>
      <c r="DX1969" s="1" t="s">
        <v>234</v>
      </c>
      <c r="EA1969" s="1" t="s">
        <v>644</v>
      </c>
      <c r="EC1969" s="1" t="s">
        <v>685</v>
      </c>
      <c r="EM1969" s="1" t="s">
        <v>238</v>
      </c>
      <c r="EQ1969" s="1" t="s">
        <v>238</v>
      </c>
      <c r="EU1969" s="1" t="s">
        <v>238</v>
      </c>
      <c r="EY1969" s="1" t="s">
        <v>238</v>
      </c>
      <c r="FC1969" s="1" t="s">
        <v>238</v>
      </c>
      <c r="FF1969" s="1" t="s">
        <v>239</v>
      </c>
      <c r="FG1969" s="1" t="s">
        <v>192</v>
      </c>
      <c r="FH1969" s="1" t="s">
        <v>192</v>
      </c>
      <c r="FJ1969" s="1" t="s">
        <v>7646</v>
      </c>
      <c r="FK1969" s="1" t="s">
        <v>229</v>
      </c>
      <c r="FL1969" s="1" t="s">
        <v>10232</v>
      </c>
      <c r="FM1969" s="1">
        <v>11009.0</v>
      </c>
      <c r="FN1969" s="1" t="s">
        <v>10233</v>
      </c>
      <c r="FO1969" s="1" t="s">
        <v>13878</v>
      </c>
      <c r="FP1969" s="1">
        <v>155894.0</v>
      </c>
      <c r="FQ1969" s="1" t="s">
        <v>13879</v>
      </c>
      <c r="FU1969" s="1" t="s">
        <v>13880</v>
      </c>
      <c r="FV1969" s="1" t="s">
        <v>192</v>
      </c>
      <c r="FW1969" s="1" t="s">
        <v>290</v>
      </c>
      <c r="FX1969" s="1" t="s">
        <v>655</v>
      </c>
      <c r="FZ1969" s="1" t="s">
        <v>229</v>
      </c>
      <c r="GA1969" s="1" t="s">
        <v>291</v>
      </c>
      <c r="GB1969" s="2">
        <v>41988.0</v>
      </c>
      <c r="GC1969" s="1" t="s">
        <v>13881</v>
      </c>
    </row>
    <row r="1970">
      <c r="A1970" s="1">
        <v>100000.0</v>
      </c>
      <c r="B1970" s="1" t="s">
        <v>185</v>
      </c>
      <c r="C1970" s="1" t="str">
        <f>"08725702"</f>
        <v>08725702</v>
      </c>
      <c r="D1970" s="1" t="s">
        <v>186</v>
      </c>
      <c r="F1970" s="1" t="str">
        <f>"8052"</f>
        <v>8052</v>
      </c>
      <c r="G1970" s="2">
        <v>41893.0</v>
      </c>
      <c r="H1970" s="1">
        <v>134900.0</v>
      </c>
      <c r="I1970" s="1">
        <v>175.0</v>
      </c>
      <c r="J1970" s="1">
        <v>114900.0</v>
      </c>
      <c r="K1970" s="2">
        <v>42067.0</v>
      </c>
      <c r="L1970" s="1">
        <v>175.0</v>
      </c>
      <c r="M1970" s="2">
        <v>42067.0</v>
      </c>
      <c r="N1970" s="1" t="s">
        <v>356</v>
      </c>
      <c r="O1970" s="2">
        <v>42096.0</v>
      </c>
      <c r="P1970" s="1">
        <v>878006.0</v>
      </c>
      <c r="Q1970" s="1">
        <v>12811.0</v>
      </c>
      <c r="S1970" s="1">
        <v>10833.0</v>
      </c>
      <c r="T1970" s="1" t="s">
        <v>6329</v>
      </c>
      <c r="V1970" s="1" t="s">
        <v>190</v>
      </c>
      <c r="W1970" s="1">
        <v>60617.0</v>
      </c>
      <c r="Y1970" s="1" t="s">
        <v>18823</v>
      </c>
      <c r="Z1970" s="1">
        <v>1947.0</v>
      </c>
      <c r="AA1970" s="1" t="s">
        <v>192</v>
      </c>
      <c r="AB1970" s="1" t="s">
        <v>193</v>
      </c>
      <c r="AD1970" s="1" t="s">
        <v>194</v>
      </c>
      <c r="AE1970" s="1" t="s">
        <v>195</v>
      </c>
      <c r="AF1970" s="1" t="s">
        <v>1154</v>
      </c>
      <c r="AH1970" s="1" t="s">
        <v>1501</v>
      </c>
      <c r="AI1970" s="1">
        <v>0.0944</v>
      </c>
      <c r="AK1970" s="1">
        <v>6.0</v>
      </c>
      <c r="AL1970" s="1">
        <v>3.0</v>
      </c>
      <c r="AM1970" s="1">
        <v>1.0</v>
      </c>
      <c r="AN1970" s="1">
        <v>0.0</v>
      </c>
      <c r="AO1970" s="1" t="s">
        <v>229</v>
      </c>
      <c r="AQ1970" s="1" t="s">
        <v>198</v>
      </c>
      <c r="AR1970" s="1" t="s">
        <v>200</v>
      </c>
      <c r="AS1970" s="1" t="s">
        <v>199</v>
      </c>
      <c r="AT1970" s="1">
        <v>1.0</v>
      </c>
      <c r="AV1970" s="1" t="s">
        <v>200</v>
      </c>
      <c r="AW1970" s="1">
        <v>228.52</v>
      </c>
      <c r="AX1970" s="1">
        <v>2012.0</v>
      </c>
      <c r="AZ1970" s="1" t="s">
        <v>545</v>
      </c>
      <c r="BA1970" s="1" t="str">
        <f>"26171190310000"</f>
        <v>26171190310000</v>
      </c>
      <c r="BC1970" s="1">
        <v>1100.0</v>
      </c>
      <c r="BD1970" s="1">
        <v>100000.0</v>
      </c>
      <c r="BE1970" s="2">
        <v>41893.0</v>
      </c>
      <c r="BF1970" s="2" t="s">
        <v>18824</v>
      </c>
      <c r="BH1970" s="1">
        <v>0.0</v>
      </c>
      <c r="BK1970" s="1" t="s">
        <v>204</v>
      </c>
      <c r="BL1970" s="1" t="str">
        <f t="shared" si="1300"/>
        <v>0</v>
      </c>
      <c r="BM1970" s="1" t="str">
        <f>"3400"</f>
        <v>3400</v>
      </c>
      <c r="BN1970" s="1">
        <v>0.0</v>
      </c>
      <c r="BO1970" s="1">
        <v>10800.0</v>
      </c>
      <c r="BQ1970" s="1">
        <v>299.0</v>
      </c>
      <c r="BR1970" s="1">
        <v>299.0</v>
      </c>
      <c r="BS1970" s="1">
        <v>299.0</v>
      </c>
      <c r="BU1970" s="1" t="s">
        <v>270</v>
      </c>
      <c r="BV1970" s="1" t="s">
        <v>206</v>
      </c>
      <c r="BW1970" s="1" t="s">
        <v>210</v>
      </c>
      <c r="BX1970" s="1" t="s">
        <v>1549</v>
      </c>
      <c r="BY1970" s="1" t="s">
        <v>1351</v>
      </c>
      <c r="BZ1970" s="1" t="s">
        <v>206</v>
      </c>
      <c r="CA1970" s="1" t="s">
        <v>210</v>
      </c>
      <c r="CB1970" s="1" t="s">
        <v>1549</v>
      </c>
      <c r="CD1970" s="1" t="s">
        <v>204</v>
      </c>
      <c r="CG1970" s="1" t="s">
        <v>303</v>
      </c>
      <c r="CH1970" s="1" t="s">
        <v>206</v>
      </c>
      <c r="CI1970" s="1" t="s">
        <v>210</v>
      </c>
      <c r="CJ1970" s="1" t="s">
        <v>1549</v>
      </c>
      <c r="CK1970" s="1" t="s">
        <v>18825</v>
      </c>
      <c r="CL1970" s="1" t="s">
        <v>114</v>
      </c>
      <c r="CO1970" s="1" t="s">
        <v>303</v>
      </c>
      <c r="CP1970" s="1" t="s">
        <v>42</v>
      </c>
      <c r="CS1970" s="1" t="s">
        <v>1417</v>
      </c>
      <c r="CT1970" s="1" t="s">
        <v>206</v>
      </c>
      <c r="CU1970" s="1" t="s">
        <v>617</v>
      </c>
      <c r="CV1970" s="1" t="s">
        <v>1549</v>
      </c>
      <c r="CX1970" s="1" t="s">
        <v>204</v>
      </c>
      <c r="DA1970" s="1" t="s">
        <v>200</v>
      </c>
      <c r="DC1970" s="1" t="s">
        <v>702</v>
      </c>
      <c r="DE1970" s="1" t="s">
        <v>273</v>
      </c>
      <c r="DF1970" s="1" t="s">
        <v>905</v>
      </c>
      <c r="DH1970" s="1" t="s">
        <v>365</v>
      </c>
      <c r="DJ1970" s="1" t="s">
        <v>222</v>
      </c>
      <c r="DK1970" s="1" t="s">
        <v>224</v>
      </c>
      <c r="DL1970" s="1" t="s">
        <v>224</v>
      </c>
      <c r="DM1970" s="1" t="s">
        <v>225</v>
      </c>
      <c r="DQ1970" s="1" t="s">
        <v>228</v>
      </c>
      <c r="DR1970" s="1" t="s">
        <v>229</v>
      </c>
      <c r="DV1970" s="1" t="s">
        <v>232</v>
      </c>
      <c r="DW1970" s="1" t="s">
        <v>279</v>
      </c>
      <c r="DX1970" s="1" t="s">
        <v>234</v>
      </c>
      <c r="DY1970" s="1" t="s">
        <v>704</v>
      </c>
      <c r="EC1970" s="1" t="s">
        <v>645</v>
      </c>
      <c r="ED1970" s="1" t="s">
        <v>555</v>
      </c>
      <c r="EM1970" s="1" t="s">
        <v>238</v>
      </c>
      <c r="EQ1970" s="1" t="s">
        <v>238</v>
      </c>
      <c r="EU1970" s="1" t="s">
        <v>238</v>
      </c>
      <c r="EY1970" s="1" t="s">
        <v>238</v>
      </c>
      <c r="FC1970" s="1" t="s">
        <v>238</v>
      </c>
      <c r="FF1970" s="1" t="s">
        <v>239</v>
      </c>
      <c r="FG1970" s="1" t="s">
        <v>192</v>
      </c>
      <c r="FH1970" s="1" t="s">
        <v>192</v>
      </c>
      <c r="FJ1970" s="1" t="s">
        <v>524</v>
      </c>
      <c r="FK1970" s="1" t="s">
        <v>229</v>
      </c>
      <c r="FL1970" s="1" t="s">
        <v>3009</v>
      </c>
      <c r="FM1970" s="1">
        <v>12811.0</v>
      </c>
      <c r="FN1970" s="1" t="s">
        <v>3010</v>
      </c>
      <c r="FO1970" s="1" t="s">
        <v>3011</v>
      </c>
      <c r="FP1970" s="1">
        <v>104857.0</v>
      </c>
      <c r="FR1970" s="1">
        <v>878006.0</v>
      </c>
      <c r="FU1970" s="1" t="s">
        <v>18826</v>
      </c>
      <c r="FV1970" s="1" t="s">
        <v>200</v>
      </c>
      <c r="FW1970" s="1" t="s">
        <v>1293</v>
      </c>
      <c r="FX1970" s="1" t="s">
        <v>655</v>
      </c>
      <c r="FZ1970" s="1" t="s">
        <v>229</v>
      </c>
      <c r="GA1970" s="1" t="s">
        <v>291</v>
      </c>
      <c r="GB1970" s="2">
        <v>42096.0</v>
      </c>
      <c r="GC1970" s="1" t="s">
        <v>18827</v>
      </c>
    </row>
    <row r="1971">
      <c r="A1971" s="1">
        <v>158000.0</v>
      </c>
      <c r="B1971" s="1" t="s">
        <v>185</v>
      </c>
      <c r="C1971" s="1" t="str">
        <f>"08726011"</f>
        <v>08726011</v>
      </c>
      <c r="D1971" s="1" t="s">
        <v>186</v>
      </c>
      <c r="F1971" s="1" t="str">
        <f>"8070"</f>
        <v>8070</v>
      </c>
      <c r="G1971" s="2">
        <v>41893.0</v>
      </c>
      <c r="H1971" s="1">
        <v>189900.0</v>
      </c>
      <c r="I1971" s="1">
        <v>59.0</v>
      </c>
      <c r="J1971" s="1">
        <v>159900.0</v>
      </c>
      <c r="K1971" s="2">
        <v>41951.0</v>
      </c>
      <c r="L1971" s="1">
        <v>59.0</v>
      </c>
      <c r="M1971" s="2">
        <v>41951.0</v>
      </c>
      <c r="N1971" s="1" t="s">
        <v>356</v>
      </c>
      <c r="O1971" s="2">
        <v>41992.0</v>
      </c>
      <c r="P1971" s="1">
        <v>135711.0</v>
      </c>
      <c r="Q1971" s="1">
        <v>12555.0</v>
      </c>
      <c r="R1971" s="1">
        <v>4000.0</v>
      </c>
      <c r="S1971" s="1">
        <v>3630.0</v>
      </c>
      <c r="T1971" s="1" t="s">
        <v>3278</v>
      </c>
      <c r="U1971" s="1" t="s">
        <v>320</v>
      </c>
      <c r="V1971" s="1" t="s">
        <v>190</v>
      </c>
      <c r="W1971" s="1">
        <v>60652.0</v>
      </c>
      <c r="Y1971" s="1" t="s">
        <v>18828</v>
      </c>
      <c r="Z1971" s="1">
        <v>1954.0</v>
      </c>
      <c r="AA1971" s="1" t="s">
        <v>192</v>
      </c>
      <c r="AB1971" s="1" t="s">
        <v>193</v>
      </c>
      <c r="AD1971" s="1" t="s">
        <v>194</v>
      </c>
      <c r="AE1971" s="1" t="s">
        <v>195</v>
      </c>
      <c r="AF1971" s="1" t="s">
        <v>659</v>
      </c>
      <c r="AH1971" s="1" t="s">
        <v>9060</v>
      </c>
      <c r="AI1971" s="1">
        <v>0.1085</v>
      </c>
      <c r="AK1971" s="1">
        <v>7.0</v>
      </c>
      <c r="AL1971" s="1">
        <v>3.0</v>
      </c>
      <c r="AM1971" s="1">
        <v>2.0</v>
      </c>
      <c r="AN1971" s="1">
        <v>0.0</v>
      </c>
      <c r="AO1971" s="1" t="s">
        <v>229</v>
      </c>
      <c r="AQ1971" s="1" t="s">
        <v>198</v>
      </c>
      <c r="AR1971" s="1" t="s">
        <v>192</v>
      </c>
      <c r="AS1971" s="1" t="s">
        <v>199</v>
      </c>
      <c r="AT1971" s="1">
        <v>2.0</v>
      </c>
      <c r="AV1971" s="1" t="s">
        <v>200</v>
      </c>
      <c r="AW1971" s="1">
        <v>1866.81</v>
      </c>
      <c r="AX1971" s="1">
        <v>2012.0</v>
      </c>
      <c r="AZ1971" s="1" t="s">
        <v>200</v>
      </c>
      <c r="BA1971" s="1" t="str">
        <f>"19351200740000"</f>
        <v>19351200740000</v>
      </c>
      <c r="BC1971" s="1">
        <v>969.0</v>
      </c>
      <c r="BD1971" s="1">
        <v>158000.0</v>
      </c>
      <c r="BE1971" s="2">
        <v>41893.0</v>
      </c>
      <c r="BF1971" s="1" t="s">
        <v>18829</v>
      </c>
      <c r="BH1971" s="1">
        <v>0.0</v>
      </c>
      <c r="BK1971" s="1" t="s">
        <v>204</v>
      </c>
      <c r="BL1971" s="1" t="str">
        <f t="shared" si="1300"/>
        <v>0</v>
      </c>
      <c r="BM1971" s="1" t="str">
        <f t="shared" ref="BM1971:BM1974" si="1301">"0"</f>
        <v>0</v>
      </c>
      <c r="BN1971" s="1">
        <v>3630.0</v>
      </c>
      <c r="BO1971" s="1">
        <v>8200.0</v>
      </c>
      <c r="BQ1971" s="1">
        <v>299.0</v>
      </c>
      <c r="BR1971" s="1">
        <v>299.0</v>
      </c>
      <c r="BS1971" s="1">
        <v>299.0</v>
      </c>
      <c r="BU1971" s="1" t="s">
        <v>1426</v>
      </c>
      <c r="BV1971" s="1" t="s">
        <v>206</v>
      </c>
      <c r="BY1971" s="1" t="s">
        <v>647</v>
      </c>
      <c r="BZ1971" s="1" t="s">
        <v>206</v>
      </c>
      <c r="CD1971" s="1" t="s">
        <v>204</v>
      </c>
      <c r="CG1971" s="1" t="s">
        <v>497</v>
      </c>
      <c r="CH1971" s="1" t="s">
        <v>206</v>
      </c>
      <c r="CK1971" s="1" t="s">
        <v>264</v>
      </c>
      <c r="CL1971" s="1" t="s">
        <v>206</v>
      </c>
      <c r="CO1971" s="1" t="s">
        <v>454</v>
      </c>
      <c r="CP1971" s="1" t="s">
        <v>42</v>
      </c>
      <c r="CS1971" s="1" t="s">
        <v>8771</v>
      </c>
      <c r="CT1971" s="1" t="s">
        <v>206</v>
      </c>
      <c r="CW1971" s="1" t="s">
        <v>985</v>
      </c>
      <c r="CX1971" s="1" t="s">
        <v>42</v>
      </c>
      <c r="DA1971" s="1" t="s">
        <v>200</v>
      </c>
      <c r="DC1971" s="1" t="s">
        <v>271</v>
      </c>
      <c r="DE1971" s="1" t="s">
        <v>273</v>
      </c>
      <c r="DF1971" s="1" t="s">
        <v>619</v>
      </c>
      <c r="DH1971" s="1" t="s">
        <v>220</v>
      </c>
      <c r="DJ1971" s="1" t="s">
        <v>222</v>
      </c>
      <c r="DL1971" s="1" t="s">
        <v>224</v>
      </c>
      <c r="DM1971" s="1" t="s">
        <v>1402</v>
      </c>
      <c r="DQ1971" s="1" t="s">
        <v>228</v>
      </c>
      <c r="DR1971" s="1" t="s">
        <v>229</v>
      </c>
      <c r="DV1971" s="1" t="s">
        <v>232</v>
      </c>
      <c r="DW1971" s="1" t="s">
        <v>279</v>
      </c>
      <c r="DX1971" s="1" t="s">
        <v>234</v>
      </c>
      <c r="EC1971" s="1" t="s">
        <v>685</v>
      </c>
      <c r="EM1971" s="1" t="s">
        <v>238</v>
      </c>
      <c r="EQ1971" s="1" t="s">
        <v>238</v>
      </c>
      <c r="EU1971" s="1" t="s">
        <v>238</v>
      </c>
      <c r="EY1971" s="1" t="s">
        <v>238</v>
      </c>
      <c r="FC1971" s="1" t="s">
        <v>238</v>
      </c>
      <c r="FF1971" s="1" t="s">
        <v>229</v>
      </c>
      <c r="FG1971" s="1" t="s">
        <v>200</v>
      </c>
      <c r="FH1971" s="1" t="s">
        <v>200</v>
      </c>
      <c r="FJ1971" s="1" t="s">
        <v>524</v>
      </c>
      <c r="FK1971" s="1" t="s">
        <v>229</v>
      </c>
      <c r="FL1971" s="1" t="s">
        <v>3207</v>
      </c>
      <c r="FM1971" s="1">
        <v>85486.0</v>
      </c>
      <c r="FN1971" s="1" t="s">
        <v>3208</v>
      </c>
      <c r="FO1971" s="1" t="s">
        <v>13448</v>
      </c>
      <c r="FP1971" s="1">
        <v>156576.0</v>
      </c>
      <c r="FQ1971" s="1" t="s">
        <v>13449</v>
      </c>
      <c r="FU1971" s="1" t="s">
        <v>18830</v>
      </c>
      <c r="FV1971" s="1" t="s">
        <v>192</v>
      </c>
      <c r="FW1971" s="1" t="s">
        <v>8260</v>
      </c>
      <c r="FX1971" s="1" t="s">
        <v>246</v>
      </c>
      <c r="FZ1971" s="1" t="s">
        <v>229</v>
      </c>
      <c r="GA1971" s="1" t="s">
        <v>291</v>
      </c>
      <c r="GB1971" s="2">
        <v>41993.0</v>
      </c>
      <c r="GC1971" s="1" t="s">
        <v>18831</v>
      </c>
    </row>
    <row r="1972">
      <c r="A1972" s="1">
        <v>159900.0</v>
      </c>
      <c r="B1972" s="1" t="s">
        <v>185</v>
      </c>
      <c r="C1972" s="1" t="str">
        <f>"08727092"</f>
        <v>08727092</v>
      </c>
      <c r="D1972" s="1" t="s">
        <v>186</v>
      </c>
      <c r="F1972" s="1" t="str">
        <f>"8063"</f>
        <v>8063</v>
      </c>
      <c r="G1972" s="2">
        <v>41894.0</v>
      </c>
      <c r="H1972" s="1">
        <v>169900.0</v>
      </c>
      <c r="I1972" s="1">
        <v>53.0</v>
      </c>
      <c r="J1972" s="1">
        <v>159900.0</v>
      </c>
      <c r="K1972" s="2">
        <v>41946.0</v>
      </c>
      <c r="L1972" s="1">
        <v>53.0</v>
      </c>
      <c r="M1972" s="2">
        <v>41946.0</v>
      </c>
      <c r="N1972" s="1" t="s">
        <v>187</v>
      </c>
      <c r="O1972" s="2">
        <v>42002.0</v>
      </c>
      <c r="P1972" s="1">
        <v>875710.0</v>
      </c>
      <c r="Q1972" s="1">
        <v>84729.0</v>
      </c>
      <c r="R1972" s="1">
        <v>1500.0</v>
      </c>
      <c r="S1972" s="1">
        <v>5159.0</v>
      </c>
      <c r="T1972" s="1" t="s">
        <v>9093</v>
      </c>
      <c r="U1972" s="1" t="s">
        <v>320</v>
      </c>
      <c r="V1972" s="1" t="s">
        <v>190</v>
      </c>
      <c r="W1972" s="1">
        <v>60632.0</v>
      </c>
      <c r="Y1972" s="1" t="s">
        <v>18832</v>
      </c>
      <c r="Z1972" s="1">
        <v>1951.0</v>
      </c>
      <c r="AA1972" s="1" t="s">
        <v>192</v>
      </c>
      <c r="AB1972" s="1" t="s">
        <v>193</v>
      </c>
      <c r="AD1972" s="1" t="s">
        <v>194</v>
      </c>
      <c r="AE1972" s="1" t="s">
        <v>195</v>
      </c>
      <c r="AF1972" s="1" t="s">
        <v>659</v>
      </c>
      <c r="AG1972" s="1" t="s">
        <v>1132</v>
      </c>
      <c r="AH1972" s="1" t="s">
        <v>779</v>
      </c>
      <c r="AI1972" s="1">
        <v>0.0986</v>
      </c>
      <c r="AK1972" s="1">
        <v>9.0</v>
      </c>
      <c r="AL1972" s="1">
        <v>4.0</v>
      </c>
      <c r="AM1972" s="1">
        <v>2.0</v>
      </c>
      <c r="AN1972" s="1">
        <v>0.0</v>
      </c>
      <c r="AO1972" s="1" t="s">
        <v>198</v>
      </c>
      <c r="AQ1972" s="1" t="s">
        <v>198</v>
      </c>
      <c r="AR1972" s="1" t="s">
        <v>200</v>
      </c>
      <c r="AS1972" s="1" t="s">
        <v>199</v>
      </c>
      <c r="AT1972" s="1">
        <v>2.0</v>
      </c>
      <c r="AV1972" s="1" t="s">
        <v>200</v>
      </c>
      <c r="AW1972" s="1">
        <v>1657.43</v>
      </c>
      <c r="AX1972" s="1">
        <v>2012.0</v>
      </c>
      <c r="AY1972" s="1" t="s">
        <v>1179</v>
      </c>
      <c r="AZ1972" s="1" t="s">
        <v>200</v>
      </c>
      <c r="BA1972" s="1" t="str">
        <f>"19123010420000"</f>
        <v>19123010420000</v>
      </c>
      <c r="BC1972" s="1">
        <v>0.0</v>
      </c>
      <c r="BD1972" s="1">
        <v>159900.0</v>
      </c>
      <c r="BE1972" s="2">
        <v>41894.0</v>
      </c>
      <c r="BF1972" s="2" t="s">
        <v>18833</v>
      </c>
      <c r="BH1972" s="1">
        <v>0.0</v>
      </c>
      <c r="BK1972" s="1" t="s">
        <v>204</v>
      </c>
      <c r="BL1972" s="1" t="str">
        <f t="shared" si="1300"/>
        <v>0</v>
      </c>
      <c r="BM1972" s="1" t="str">
        <f t="shared" si="1301"/>
        <v>0</v>
      </c>
      <c r="BN1972" s="1">
        <v>3150.0</v>
      </c>
      <c r="BO1972" s="1">
        <v>5159.0</v>
      </c>
      <c r="BQ1972" s="1">
        <v>7.0</v>
      </c>
      <c r="BR1972" s="1">
        <v>11.0</v>
      </c>
      <c r="BS1972" s="1">
        <v>7.0</v>
      </c>
      <c r="BU1972" s="1" t="s">
        <v>433</v>
      </c>
      <c r="BV1972" s="1" t="s">
        <v>206</v>
      </c>
      <c r="BW1972" s="1" t="s">
        <v>207</v>
      </c>
      <c r="BY1972" s="1" t="s">
        <v>433</v>
      </c>
      <c r="BZ1972" s="1" t="s">
        <v>206</v>
      </c>
      <c r="CA1972" s="1" t="s">
        <v>207</v>
      </c>
      <c r="CC1972" s="1" t="s">
        <v>363</v>
      </c>
      <c r="CD1972" s="1" t="s">
        <v>206</v>
      </c>
      <c r="CE1972" s="1" t="s">
        <v>5126</v>
      </c>
      <c r="CG1972" s="1" t="s">
        <v>363</v>
      </c>
      <c r="CH1972" s="1" t="s">
        <v>206</v>
      </c>
      <c r="CI1972" s="1" t="s">
        <v>207</v>
      </c>
      <c r="CK1972" s="1" t="s">
        <v>212</v>
      </c>
      <c r="CL1972" s="1" t="s">
        <v>206</v>
      </c>
      <c r="CO1972" s="1" t="s">
        <v>363</v>
      </c>
      <c r="CP1972" s="1" t="s">
        <v>267</v>
      </c>
      <c r="CQ1972" s="1" t="s">
        <v>617</v>
      </c>
      <c r="CS1972" s="1" t="s">
        <v>269</v>
      </c>
      <c r="CT1972" s="1" t="s">
        <v>206</v>
      </c>
      <c r="CU1972" s="1" t="s">
        <v>5126</v>
      </c>
      <c r="CW1972" s="1" t="s">
        <v>18834</v>
      </c>
      <c r="CX1972" s="1" t="s">
        <v>267</v>
      </c>
      <c r="CY1972" s="1" t="s">
        <v>617</v>
      </c>
      <c r="DA1972" s="1" t="s">
        <v>200</v>
      </c>
      <c r="DC1972" s="1" t="s">
        <v>702</v>
      </c>
      <c r="DE1972" s="1" t="s">
        <v>273</v>
      </c>
      <c r="DF1972" s="1" t="s">
        <v>219</v>
      </c>
      <c r="DH1972" s="1" t="s">
        <v>220</v>
      </c>
      <c r="DJ1972" s="1" t="s">
        <v>222</v>
      </c>
      <c r="DL1972" s="1" t="s">
        <v>224</v>
      </c>
      <c r="DM1972" s="1" t="s">
        <v>229</v>
      </c>
      <c r="DQ1972" s="1" t="s">
        <v>228</v>
      </c>
      <c r="DR1972" s="1" t="s">
        <v>229</v>
      </c>
      <c r="DS1972" s="1" t="s">
        <v>230</v>
      </c>
      <c r="DV1972" s="1" t="s">
        <v>1407</v>
      </c>
      <c r="DW1972" s="1" t="s">
        <v>279</v>
      </c>
      <c r="DX1972" s="1" t="s">
        <v>1287</v>
      </c>
      <c r="EA1972" s="1" t="s">
        <v>683</v>
      </c>
      <c r="EC1972" s="1" t="s">
        <v>685</v>
      </c>
      <c r="EE1972" s="1" t="s">
        <v>522</v>
      </c>
      <c r="EG1972" s="1" t="s">
        <v>1407</v>
      </c>
      <c r="EL1972" s="1" t="s">
        <v>454</v>
      </c>
      <c r="EM1972" s="1" t="s">
        <v>267</v>
      </c>
      <c r="EN1972" s="1" t="s">
        <v>617</v>
      </c>
      <c r="EQ1972" s="1" t="s">
        <v>238</v>
      </c>
      <c r="EU1972" s="1" t="s">
        <v>238</v>
      </c>
      <c r="EY1972" s="1" t="s">
        <v>238</v>
      </c>
      <c r="FC1972" s="1" t="s">
        <v>238</v>
      </c>
      <c r="FF1972" s="1" t="s">
        <v>239</v>
      </c>
      <c r="FG1972" s="1" t="s">
        <v>192</v>
      </c>
      <c r="FH1972" s="1" t="s">
        <v>192</v>
      </c>
      <c r="FJ1972" s="1" t="s">
        <v>18835</v>
      </c>
      <c r="FK1972" s="1" t="s">
        <v>3714</v>
      </c>
      <c r="FL1972" s="1" t="s">
        <v>3455</v>
      </c>
      <c r="FM1972" s="1">
        <v>14856.0</v>
      </c>
      <c r="FN1972" s="1" t="s">
        <v>3456</v>
      </c>
      <c r="FO1972" s="1" t="s">
        <v>18836</v>
      </c>
      <c r="FP1972" s="1">
        <v>131378.0</v>
      </c>
      <c r="FQ1972" s="1" t="s">
        <v>18837</v>
      </c>
      <c r="FS1972" s="1" t="s">
        <v>18838</v>
      </c>
      <c r="FU1972" s="1" t="s">
        <v>18839</v>
      </c>
      <c r="FV1972" s="1" t="s">
        <v>200</v>
      </c>
      <c r="FW1972" s="1" t="s">
        <v>567</v>
      </c>
      <c r="FX1972" s="1" t="s">
        <v>655</v>
      </c>
      <c r="FZ1972" s="1" t="s">
        <v>229</v>
      </c>
      <c r="GA1972" s="1" t="s">
        <v>291</v>
      </c>
      <c r="GB1972" s="2">
        <v>42018.0</v>
      </c>
      <c r="GC1972" s="1" t="s">
        <v>18840</v>
      </c>
    </row>
    <row r="1973">
      <c r="A1973" s="1">
        <v>215000.0</v>
      </c>
      <c r="B1973" s="1" t="s">
        <v>185</v>
      </c>
      <c r="C1973" s="1" t="str">
        <f>"08722144"</f>
        <v>08722144</v>
      </c>
      <c r="D1973" s="1" t="s">
        <v>186</v>
      </c>
      <c r="F1973" s="1" t="str">
        <f>"174"</f>
        <v>174</v>
      </c>
      <c r="G1973" s="2">
        <v>41890.0</v>
      </c>
      <c r="H1973" s="1">
        <v>239000.0</v>
      </c>
      <c r="I1973" s="1">
        <v>133.0</v>
      </c>
      <c r="J1973" s="1">
        <v>239000.0</v>
      </c>
      <c r="K1973" s="2">
        <v>41929.0</v>
      </c>
      <c r="L1973" s="1">
        <v>40.0</v>
      </c>
      <c r="M1973" s="2">
        <v>41929.0</v>
      </c>
      <c r="N1973" s="1" t="s">
        <v>187</v>
      </c>
      <c r="O1973" s="2">
        <v>41975.0</v>
      </c>
      <c r="P1973" s="1">
        <v>237434.0</v>
      </c>
      <c r="Q1973" s="1">
        <v>22039.0</v>
      </c>
      <c r="S1973" s="1">
        <v>902.0</v>
      </c>
      <c r="T1973" s="1" t="s">
        <v>5928</v>
      </c>
      <c r="U1973" s="1" t="s">
        <v>189</v>
      </c>
      <c r="V1973" s="1" t="s">
        <v>1200</v>
      </c>
      <c r="W1973" s="1">
        <v>60174.0</v>
      </c>
      <c r="Y1973" s="1" t="s">
        <v>18841</v>
      </c>
      <c r="Z1973" s="1">
        <v>1978.0</v>
      </c>
      <c r="AA1973" s="1" t="s">
        <v>200</v>
      </c>
      <c r="AB1973" s="1" t="s">
        <v>193</v>
      </c>
      <c r="AC1973" s="1" t="s">
        <v>8686</v>
      </c>
      <c r="AD1973" s="1" t="s">
        <v>1203</v>
      </c>
      <c r="AE1973" s="1" t="s">
        <v>325</v>
      </c>
      <c r="AF1973" s="1" t="s">
        <v>1203</v>
      </c>
      <c r="AH1973" s="1" t="s">
        <v>18842</v>
      </c>
      <c r="AI1973" s="1">
        <v>0.14</v>
      </c>
      <c r="AK1973" s="1">
        <v>10.0</v>
      </c>
      <c r="AL1973" s="1">
        <v>4.0</v>
      </c>
      <c r="AM1973" s="1">
        <v>2.0</v>
      </c>
      <c r="AN1973" s="1">
        <v>1.0</v>
      </c>
      <c r="AO1973" s="1" t="s">
        <v>198</v>
      </c>
      <c r="AP1973" s="1">
        <v>1.0</v>
      </c>
      <c r="AQ1973" s="1" t="s">
        <v>198</v>
      </c>
      <c r="AR1973" s="1" t="s">
        <v>200</v>
      </c>
      <c r="AS1973" s="1" t="s">
        <v>199</v>
      </c>
      <c r="AT1973" s="1">
        <v>2.0</v>
      </c>
      <c r="AV1973" s="1" t="s">
        <v>200</v>
      </c>
      <c r="AW1973" s="1">
        <v>6482.0</v>
      </c>
      <c r="AX1973" s="1">
        <v>2013.0</v>
      </c>
      <c r="AY1973" s="1" t="s">
        <v>387</v>
      </c>
      <c r="AZ1973" s="1" t="s">
        <v>200</v>
      </c>
      <c r="BA1973" s="1" t="str">
        <f>"0935129026"</f>
        <v>0935129026</v>
      </c>
      <c r="BB1973" s="1" t="s">
        <v>200</v>
      </c>
      <c r="BC1973" s="1">
        <v>2006.0</v>
      </c>
      <c r="BD1973" s="1">
        <v>215000.0</v>
      </c>
      <c r="BE1973" s="2">
        <v>41890.0</v>
      </c>
      <c r="BF1973" s="2" t="s">
        <v>18843</v>
      </c>
      <c r="BH1973" s="1">
        <v>0.0</v>
      </c>
      <c r="BK1973" s="1" t="s">
        <v>204</v>
      </c>
      <c r="BL1973" s="1" t="str">
        <f>"4"</f>
        <v>4</v>
      </c>
      <c r="BM1973" s="1" t="str">
        <f t="shared" si="1301"/>
        <v>0</v>
      </c>
      <c r="BN1973" s="1">
        <v>34.0</v>
      </c>
      <c r="BO1973" s="1">
        <v>0.0</v>
      </c>
      <c r="BQ1973" s="1">
        <v>303.0</v>
      </c>
      <c r="BR1973" s="1">
        <v>303.0</v>
      </c>
      <c r="BS1973" s="1">
        <v>303.0</v>
      </c>
      <c r="BU1973" s="1" t="s">
        <v>434</v>
      </c>
      <c r="BV1973" s="1" t="s">
        <v>206</v>
      </c>
      <c r="BW1973" s="1" t="s">
        <v>210</v>
      </c>
      <c r="BY1973" s="1" t="s">
        <v>1426</v>
      </c>
      <c r="BZ1973" s="1" t="s">
        <v>209</v>
      </c>
      <c r="CA1973" s="1" t="s">
        <v>210</v>
      </c>
      <c r="CC1973" s="1" t="s">
        <v>332</v>
      </c>
      <c r="CD1973" s="1" t="s">
        <v>206</v>
      </c>
      <c r="CE1973" s="1" t="s">
        <v>207</v>
      </c>
      <c r="CG1973" s="1" t="s">
        <v>264</v>
      </c>
      <c r="CH1973" s="1" t="s">
        <v>209</v>
      </c>
      <c r="CI1973" s="1" t="s">
        <v>210</v>
      </c>
      <c r="CK1973" s="1" t="s">
        <v>212</v>
      </c>
      <c r="CL1973" s="1" t="s">
        <v>209</v>
      </c>
      <c r="CM1973" s="1" t="s">
        <v>210</v>
      </c>
      <c r="CO1973" s="1" t="s">
        <v>699</v>
      </c>
      <c r="CP1973" s="1" t="s">
        <v>209</v>
      </c>
      <c r="CQ1973" s="1" t="s">
        <v>210</v>
      </c>
      <c r="CS1973" s="1" t="s">
        <v>730</v>
      </c>
      <c r="CT1973" s="1" t="s">
        <v>206</v>
      </c>
      <c r="CU1973" s="1" t="s">
        <v>207</v>
      </c>
      <c r="CW1973" s="1" t="s">
        <v>769</v>
      </c>
      <c r="CX1973" s="1" t="s">
        <v>267</v>
      </c>
      <c r="CY1973" s="1" t="s">
        <v>210</v>
      </c>
      <c r="DA1973" s="1" t="s">
        <v>200</v>
      </c>
      <c r="DC1973" s="1" t="s">
        <v>395</v>
      </c>
      <c r="DD1973" s="1" t="s">
        <v>518</v>
      </c>
      <c r="DE1973" s="1" t="s">
        <v>273</v>
      </c>
      <c r="DF1973" s="1" t="s">
        <v>219</v>
      </c>
      <c r="DG1973" s="1" t="s">
        <v>482</v>
      </c>
      <c r="DH1973" s="1" t="s">
        <v>220</v>
      </c>
      <c r="DI1973" s="1" t="s">
        <v>10126</v>
      </c>
      <c r="DJ1973" s="1" t="s">
        <v>222</v>
      </c>
      <c r="DK1973" s="1" t="s">
        <v>223</v>
      </c>
      <c r="DL1973" s="1" t="s">
        <v>224</v>
      </c>
      <c r="DM1973" s="1" t="s">
        <v>338</v>
      </c>
      <c r="DO1973" s="1" t="s">
        <v>16296</v>
      </c>
      <c r="DP1973" s="1" t="s">
        <v>340</v>
      </c>
      <c r="DQ1973" s="1" t="s">
        <v>228</v>
      </c>
      <c r="DR1973" s="1" t="s">
        <v>229</v>
      </c>
      <c r="DS1973" s="1" t="s">
        <v>368</v>
      </c>
      <c r="DU1973" s="1" t="s">
        <v>442</v>
      </c>
      <c r="DV1973" s="1" t="s">
        <v>18844</v>
      </c>
      <c r="DW1973" s="1" t="s">
        <v>233</v>
      </c>
      <c r="DX1973" s="1" t="s">
        <v>234</v>
      </c>
      <c r="DY1973" s="1" t="s">
        <v>704</v>
      </c>
      <c r="DZ1973" s="1" t="s">
        <v>1100</v>
      </c>
      <c r="EA1973" s="1" t="s">
        <v>283</v>
      </c>
      <c r="EB1973" s="1" t="s">
        <v>345</v>
      </c>
      <c r="EC1973" s="1" t="s">
        <v>284</v>
      </c>
      <c r="ED1973" s="1" t="s">
        <v>407</v>
      </c>
      <c r="EG1973" s="1" t="s">
        <v>598</v>
      </c>
      <c r="EH1973" s="1" t="s">
        <v>450</v>
      </c>
      <c r="EL1973" s="1" t="s">
        <v>332</v>
      </c>
      <c r="EM1973" s="1" t="s">
        <v>42</v>
      </c>
      <c r="EN1973" s="1" t="s">
        <v>210</v>
      </c>
      <c r="EP1973" s="1" t="s">
        <v>3387</v>
      </c>
      <c r="EQ1973" s="1" t="s">
        <v>42</v>
      </c>
      <c r="ER1973" s="1" t="s">
        <v>210</v>
      </c>
      <c r="EU1973" s="1" t="s">
        <v>238</v>
      </c>
      <c r="EY1973" s="1" t="s">
        <v>238</v>
      </c>
      <c r="FC1973" s="1" t="s">
        <v>238</v>
      </c>
      <c r="FF1973" s="1" t="s">
        <v>239</v>
      </c>
      <c r="FG1973" s="1" t="s">
        <v>192</v>
      </c>
      <c r="FH1973" s="1" t="s">
        <v>192</v>
      </c>
      <c r="FJ1973" s="1" t="s">
        <v>498</v>
      </c>
      <c r="FK1973" s="1" t="s">
        <v>1586</v>
      </c>
      <c r="FL1973" s="1" t="s">
        <v>893</v>
      </c>
      <c r="FM1973" s="1">
        <v>604.0</v>
      </c>
      <c r="FN1973" s="1" t="s">
        <v>894</v>
      </c>
      <c r="FO1973" s="1" t="s">
        <v>895</v>
      </c>
      <c r="FP1973" s="1">
        <v>381.0</v>
      </c>
      <c r="FQ1973" s="1" t="s">
        <v>896</v>
      </c>
      <c r="FU1973" s="1" t="s">
        <v>15072</v>
      </c>
      <c r="FV1973" s="1" t="s">
        <v>200</v>
      </c>
      <c r="FW1973" s="1" t="s">
        <v>290</v>
      </c>
      <c r="FZ1973" s="1" t="s">
        <v>229</v>
      </c>
      <c r="GA1973" s="1" t="s">
        <v>291</v>
      </c>
      <c r="GB1973" s="2">
        <v>41975.0</v>
      </c>
      <c r="GC1973" s="1" t="s">
        <v>3170</v>
      </c>
    </row>
    <row r="1974">
      <c r="A1974" s="1">
        <v>251500.0</v>
      </c>
      <c r="B1974" s="1" t="s">
        <v>185</v>
      </c>
      <c r="C1974" s="1" t="str">
        <f>"08724579"</f>
        <v>08724579</v>
      </c>
      <c r="D1974" s="1" t="s">
        <v>186</v>
      </c>
      <c r="F1974" s="1" t="str">
        <f>"8015"</f>
        <v>8015</v>
      </c>
      <c r="G1974" s="2">
        <v>41892.0</v>
      </c>
      <c r="H1974" s="1">
        <v>235000.0</v>
      </c>
      <c r="I1974" s="1">
        <v>14.0</v>
      </c>
      <c r="J1974" s="1">
        <v>235000.0</v>
      </c>
      <c r="K1974" s="2">
        <v>41904.0</v>
      </c>
      <c r="L1974" s="1">
        <v>14.0</v>
      </c>
      <c r="M1974" s="2">
        <v>41904.0</v>
      </c>
      <c r="N1974" s="1" t="s">
        <v>187</v>
      </c>
      <c r="O1974" s="2">
        <v>41999.0</v>
      </c>
      <c r="P1974" s="1">
        <v>147346.0</v>
      </c>
      <c r="Q1974" s="1">
        <v>16435.0</v>
      </c>
      <c r="S1974" s="1">
        <v>5509.0</v>
      </c>
      <c r="T1974" s="1" t="s">
        <v>18845</v>
      </c>
      <c r="U1974" s="1" t="s">
        <v>320</v>
      </c>
      <c r="V1974" s="1" t="s">
        <v>190</v>
      </c>
      <c r="W1974" s="1">
        <v>60641.0</v>
      </c>
      <c r="Y1974" s="1" t="s">
        <v>18846</v>
      </c>
      <c r="Z1974" s="1">
        <v>1924.0</v>
      </c>
      <c r="AA1974" s="1" t="s">
        <v>192</v>
      </c>
      <c r="AB1974" s="1" t="s">
        <v>193</v>
      </c>
      <c r="AD1974" s="1" t="s">
        <v>194</v>
      </c>
      <c r="AE1974" s="1" t="s">
        <v>195</v>
      </c>
      <c r="AF1974" s="1" t="s">
        <v>196</v>
      </c>
      <c r="AH1974" s="1" t="s">
        <v>1501</v>
      </c>
      <c r="AI1974" s="1">
        <v>0.0861</v>
      </c>
      <c r="AK1974" s="1">
        <v>7.0</v>
      </c>
      <c r="AL1974" s="1">
        <v>4.0</v>
      </c>
      <c r="AM1974" s="1">
        <v>1.0</v>
      </c>
      <c r="AN1974" s="1">
        <v>0.0</v>
      </c>
      <c r="AO1974" s="1" t="s">
        <v>229</v>
      </c>
      <c r="AP1974" s="1">
        <v>1.0</v>
      </c>
      <c r="AQ1974" s="1" t="s">
        <v>198</v>
      </c>
      <c r="AR1974" s="1" t="s">
        <v>200</v>
      </c>
      <c r="AS1974" s="1" t="s">
        <v>199</v>
      </c>
      <c r="AT1974" s="1">
        <v>2.0</v>
      </c>
      <c r="AV1974" s="1" t="s">
        <v>200</v>
      </c>
      <c r="AW1974" s="1">
        <v>3811.25</v>
      </c>
      <c r="AX1974" s="1">
        <v>2012.0</v>
      </c>
      <c r="AZ1974" s="1" t="s">
        <v>200</v>
      </c>
      <c r="BA1974" s="1" t="str">
        <f>"13163120220000"</f>
        <v>13163120220000</v>
      </c>
      <c r="BC1974" s="1">
        <v>1512.0</v>
      </c>
      <c r="BD1974" s="1">
        <v>251500.0</v>
      </c>
      <c r="BE1974" s="2">
        <v>41891.0</v>
      </c>
      <c r="BF1974" s="2" t="s">
        <v>18847</v>
      </c>
      <c r="BH1974" s="1">
        <v>0.0</v>
      </c>
      <c r="BK1974" s="1" t="s">
        <v>204</v>
      </c>
      <c r="BL1974" s="1" t="str">
        <f>"4250"</f>
        <v>4250</v>
      </c>
      <c r="BM1974" s="1" t="str">
        <f t="shared" si="1301"/>
        <v>0</v>
      </c>
      <c r="BN1974" s="1">
        <v>5509.0</v>
      </c>
      <c r="BO1974" s="1">
        <v>0.0</v>
      </c>
      <c r="BQ1974" s="1">
        <v>299.0</v>
      </c>
      <c r="BR1974" s="1">
        <v>299.0</v>
      </c>
      <c r="BS1974" s="1">
        <v>299.0</v>
      </c>
      <c r="BU1974" s="1" t="s">
        <v>5291</v>
      </c>
      <c r="BV1974" s="1" t="s">
        <v>206</v>
      </c>
      <c r="BY1974" s="1" t="s">
        <v>1395</v>
      </c>
      <c r="BZ1974" s="1" t="s">
        <v>206</v>
      </c>
      <c r="CC1974" s="1" t="s">
        <v>1068</v>
      </c>
      <c r="CD1974" s="1" t="s">
        <v>206</v>
      </c>
      <c r="CG1974" s="1" t="s">
        <v>302</v>
      </c>
      <c r="CH1974" s="1" t="s">
        <v>206</v>
      </c>
      <c r="CK1974" s="1" t="s">
        <v>363</v>
      </c>
      <c r="CL1974" s="1" t="s">
        <v>206</v>
      </c>
      <c r="CO1974" s="1" t="s">
        <v>1352</v>
      </c>
      <c r="CP1974" s="1" t="s">
        <v>209</v>
      </c>
      <c r="CS1974" s="1" t="s">
        <v>1519</v>
      </c>
      <c r="CT1974" s="1" t="s">
        <v>206</v>
      </c>
      <c r="CX1974" s="1" t="s">
        <v>204</v>
      </c>
      <c r="DA1974" s="1" t="s">
        <v>200</v>
      </c>
      <c r="DC1974" s="1" t="s">
        <v>785</v>
      </c>
      <c r="DE1974" s="1" t="s">
        <v>229</v>
      </c>
      <c r="DF1974" s="1" t="s">
        <v>619</v>
      </c>
      <c r="DH1974" s="1" t="s">
        <v>307</v>
      </c>
      <c r="DJ1974" s="1" t="s">
        <v>222</v>
      </c>
      <c r="DK1974" s="1" t="s">
        <v>198</v>
      </c>
      <c r="DL1974" s="1" t="s">
        <v>11089</v>
      </c>
      <c r="DM1974" s="1" t="s">
        <v>1919</v>
      </c>
      <c r="DQ1974" s="1" t="s">
        <v>228</v>
      </c>
      <c r="DR1974" s="1" t="s">
        <v>229</v>
      </c>
      <c r="DV1974" s="1" t="s">
        <v>232</v>
      </c>
      <c r="DW1974" s="1" t="s">
        <v>279</v>
      </c>
      <c r="DX1974" s="1" t="s">
        <v>234</v>
      </c>
      <c r="DY1974" s="1" t="s">
        <v>553</v>
      </c>
      <c r="DZ1974" s="1" t="s">
        <v>343</v>
      </c>
      <c r="EB1974" s="1" t="s">
        <v>797</v>
      </c>
      <c r="EC1974" s="1" t="s">
        <v>237</v>
      </c>
      <c r="EM1974" s="1" t="s">
        <v>238</v>
      </c>
      <c r="EQ1974" s="1" t="s">
        <v>238</v>
      </c>
      <c r="EU1974" s="1" t="s">
        <v>238</v>
      </c>
      <c r="EY1974" s="1" t="s">
        <v>238</v>
      </c>
      <c r="FC1974" s="1" t="s">
        <v>238</v>
      </c>
      <c r="FF1974" s="1" t="s">
        <v>239</v>
      </c>
      <c r="FG1974" s="1" t="s">
        <v>192</v>
      </c>
      <c r="FH1974" s="1" t="s">
        <v>192</v>
      </c>
      <c r="FJ1974" s="1" t="s">
        <v>4892</v>
      </c>
      <c r="FK1974" s="1" t="s">
        <v>229</v>
      </c>
      <c r="FL1974" s="1" t="s">
        <v>5383</v>
      </c>
      <c r="FM1974" s="1">
        <v>15904.0</v>
      </c>
      <c r="FN1974" s="1" t="s">
        <v>5384</v>
      </c>
      <c r="FO1974" s="1" t="s">
        <v>18848</v>
      </c>
      <c r="FP1974" s="1">
        <v>132530.0</v>
      </c>
      <c r="FQ1974" s="1" t="s">
        <v>18849</v>
      </c>
      <c r="FU1974" s="1" t="s">
        <v>18850</v>
      </c>
      <c r="FV1974" s="1" t="s">
        <v>200</v>
      </c>
      <c r="FW1974" s="1" t="s">
        <v>290</v>
      </c>
      <c r="FX1974" s="1" t="s">
        <v>246</v>
      </c>
      <c r="FZ1974" s="1" t="s">
        <v>632</v>
      </c>
      <c r="GA1974" s="1" t="s">
        <v>291</v>
      </c>
      <c r="GB1974" s="2">
        <v>41999.0</v>
      </c>
      <c r="GC1974" s="1" t="s">
        <v>18850</v>
      </c>
    </row>
    <row r="1975">
      <c r="A1975" s="1">
        <v>215000.0</v>
      </c>
      <c r="B1975" s="1" t="s">
        <v>185</v>
      </c>
      <c r="C1975" s="1" t="str">
        <f>"08734505"</f>
        <v>08734505</v>
      </c>
      <c r="D1975" s="1" t="s">
        <v>186</v>
      </c>
      <c r="F1975" s="1" t="str">
        <f>"115"</f>
        <v>115</v>
      </c>
      <c r="G1975" s="2">
        <v>41904.0</v>
      </c>
      <c r="H1975" s="1">
        <v>229900.0</v>
      </c>
      <c r="I1975" s="1">
        <v>338.0</v>
      </c>
      <c r="J1975" s="1">
        <v>219900.0</v>
      </c>
      <c r="K1975" s="2">
        <v>41936.0</v>
      </c>
      <c r="L1975" s="1">
        <v>33.0</v>
      </c>
      <c r="M1975" s="2">
        <v>41936.0</v>
      </c>
      <c r="N1975" s="1" t="s">
        <v>249</v>
      </c>
      <c r="O1975" s="2">
        <v>41978.0</v>
      </c>
      <c r="P1975" s="1">
        <v>237440.0</v>
      </c>
      <c r="Q1975" s="1">
        <v>24809.0</v>
      </c>
      <c r="S1975" s="1">
        <v>227.0</v>
      </c>
      <c r="T1975" s="1" t="s">
        <v>18851</v>
      </c>
      <c r="U1975" s="1" t="s">
        <v>1174</v>
      </c>
      <c r="V1975" s="1" t="s">
        <v>610</v>
      </c>
      <c r="W1975" s="1">
        <v>60115.0</v>
      </c>
      <c r="Y1975" s="1" t="s">
        <v>18852</v>
      </c>
      <c r="Z1975" s="1">
        <v>1970.0</v>
      </c>
      <c r="AA1975" s="1" t="s">
        <v>192</v>
      </c>
      <c r="AB1975" s="1" t="s">
        <v>193</v>
      </c>
      <c r="AC1975" s="1" t="s">
        <v>7298</v>
      </c>
      <c r="AD1975" s="1" t="s">
        <v>612</v>
      </c>
      <c r="AE1975" s="1" t="s">
        <v>613</v>
      </c>
      <c r="AF1975" s="1" t="s">
        <v>612</v>
      </c>
      <c r="AH1975" s="1" t="s">
        <v>18853</v>
      </c>
      <c r="AI1975" s="1">
        <v>0.418</v>
      </c>
      <c r="AK1975" s="1">
        <v>10.0</v>
      </c>
      <c r="AL1975" s="1">
        <v>4.0</v>
      </c>
      <c r="AM1975" s="1">
        <v>3.0</v>
      </c>
      <c r="AN1975" s="1">
        <v>1.0</v>
      </c>
      <c r="AO1975" s="1" t="s">
        <v>198</v>
      </c>
      <c r="AP1975" s="1">
        <v>1.0</v>
      </c>
      <c r="AQ1975" s="1" t="s">
        <v>198</v>
      </c>
      <c r="AR1975" s="1" t="s">
        <v>200</v>
      </c>
      <c r="AS1975" s="1" t="s">
        <v>199</v>
      </c>
      <c r="AT1975" s="1">
        <v>2.0</v>
      </c>
      <c r="AV1975" s="1" t="s">
        <v>200</v>
      </c>
      <c r="AW1975" s="1">
        <v>7167.98</v>
      </c>
      <c r="AX1975" s="1">
        <v>2013.0</v>
      </c>
      <c r="AY1975" s="1" t="s">
        <v>387</v>
      </c>
      <c r="AZ1975" s="1" t="s">
        <v>200</v>
      </c>
      <c r="BA1975" s="1" t="str">
        <f>"0814154007"</f>
        <v>0814154007</v>
      </c>
      <c r="BB1975" s="1" t="s">
        <v>200</v>
      </c>
      <c r="BC1975" s="1">
        <v>2757.0</v>
      </c>
      <c r="BD1975" s="1">
        <v>215000.0</v>
      </c>
      <c r="BE1975" s="2">
        <v>41904.0</v>
      </c>
      <c r="BF1975" s="2" t="s">
        <v>18854</v>
      </c>
      <c r="BH1975" s="1">
        <v>0.0</v>
      </c>
      <c r="BK1975" s="1" t="s">
        <v>204</v>
      </c>
      <c r="BL1975" s="1" t="str">
        <f t="shared" ref="BL1975:BM1975" si="1302">"0"</f>
        <v>0</v>
      </c>
      <c r="BM1975" s="1" t="str">
        <f t="shared" si="1302"/>
        <v>0</v>
      </c>
      <c r="BN1975" s="1">
        <v>0.0</v>
      </c>
      <c r="BO1975" s="1">
        <v>0.0</v>
      </c>
      <c r="BQ1975" s="1">
        <v>428.0</v>
      </c>
      <c r="BR1975" s="1">
        <v>428.0</v>
      </c>
      <c r="BS1975" s="1">
        <v>428.0</v>
      </c>
      <c r="BU1975" s="1" t="s">
        <v>3475</v>
      </c>
      <c r="BV1975" s="1" t="s">
        <v>206</v>
      </c>
      <c r="BW1975" s="1" t="s">
        <v>210</v>
      </c>
      <c r="BX1975" s="1" t="s">
        <v>239</v>
      </c>
      <c r="BY1975" s="1" t="s">
        <v>784</v>
      </c>
      <c r="BZ1975" s="1" t="s">
        <v>206</v>
      </c>
      <c r="CA1975" s="1" t="s">
        <v>210</v>
      </c>
      <c r="CB1975" s="1" t="s">
        <v>239</v>
      </c>
      <c r="CC1975" s="1" t="s">
        <v>454</v>
      </c>
      <c r="CD1975" s="1" t="s">
        <v>206</v>
      </c>
      <c r="CE1975" s="1" t="s">
        <v>207</v>
      </c>
      <c r="CF1975" s="1" t="s">
        <v>239</v>
      </c>
      <c r="CG1975" s="1" t="s">
        <v>212</v>
      </c>
      <c r="CH1975" s="1" t="s">
        <v>206</v>
      </c>
      <c r="CI1975" s="1" t="s">
        <v>207</v>
      </c>
      <c r="CJ1975" s="1" t="s">
        <v>239</v>
      </c>
      <c r="CK1975" s="1" t="s">
        <v>363</v>
      </c>
      <c r="CL1975" s="1" t="s">
        <v>206</v>
      </c>
      <c r="CM1975" s="1" t="s">
        <v>210</v>
      </c>
      <c r="CN1975" s="1" t="s">
        <v>239</v>
      </c>
      <c r="CO1975" s="1" t="s">
        <v>332</v>
      </c>
      <c r="CP1975" s="1" t="s">
        <v>206</v>
      </c>
      <c r="CQ1975" s="1" t="s">
        <v>210</v>
      </c>
      <c r="CR1975" s="1" t="s">
        <v>239</v>
      </c>
      <c r="CS1975" s="1" t="s">
        <v>332</v>
      </c>
      <c r="CT1975" s="1" t="s">
        <v>206</v>
      </c>
      <c r="CU1975" s="1" t="s">
        <v>207</v>
      </c>
      <c r="CW1975" s="1" t="s">
        <v>453</v>
      </c>
      <c r="CX1975" s="1" t="s">
        <v>206</v>
      </c>
      <c r="CY1975" s="1" t="s">
        <v>207</v>
      </c>
      <c r="CZ1975" s="1" t="s">
        <v>239</v>
      </c>
      <c r="DA1975" s="1" t="s">
        <v>200</v>
      </c>
      <c r="DC1975" s="1" t="s">
        <v>517</v>
      </c>
      <c r="DD1975" s="1" t="s">
        <v>436</v>
      </c>
      <c r="DE1975" s="1" t="s">
        <v>273</v>
      </c>
      <c r="DF1975" s="1" t="s">
        <v>219</v>
      </c>
      <c r="DG1975" s="1" t="s">
        <v>11277</v>
      </c>
      <c r="DH1975" s="1" t="s">
        <v>220</v>
      </c>
      <c r="DI1975" s="1" t="s">
        <v>1096</v>
      </c>
      <c r="DJ1975" s="1" t="s">
        <v>222</v>
      </c>
      <c r="DL1975" s="1" t="s">
        <v>858</v>
      </c>
      <c r="DM1975" s="1" t="s">
        <v>229</v>
      </c>
      <c r="DP1975" s="1" t="s">
        <v>340</v>
      </c>
      <c r="DQ1975" s="1" t="s">
        <v>441</v>
      </c>
      <c r="DR1975" s="1" t="s">
        <v>229</v>
      </c>
      <c r="DS1975" s="1" t="s">
        <v>230</v>
      </c>
      <c r="DU1975" s="1" t="s">
        <v>3890</v>
      </c>
      <c r="DV1975" s="1" t="s">
        <v>11895</v>
      </c>
      <c r="DW1975" s="1" t="s">
        <v>279</v>
      </c>
      <c r="DX1975" s="1" t="s">
        <v>234</v>
      </c>
      <c r="DY1975" s="1" t="s">
        <v>3183</v>
      </c>
      <c r="DZ1975" s="1" t="s">
        <v>282</v>
      </c>
      <c r="EA1975" s="1" t="s">
        <v>683</v>
      </c>
      <c r="EB1975" s="1" t="s">
        <v>492</v>
      </c>
      <c r="EC1975" s="1" t="s">
        <v>685</v>
      </c>
      <c r="ED1975" s="1" t="s">
        <v>407</v>
      </c>
      <c r="EG1975" s="1" t="s">
        <v>449</v>
      </c>
      <c r="EH1975" s="1" t="s">
        <v>598</v>
      </c>
      <c r="EI1975" s="1" t="s">
        <v>408</v>
      </c>
      <c r="EL1975" s="1" t="s">
        <v>332</v>
      </c>
      <c r="EM1975" s="1" t="s">
        <v>206</v>
      </c>
      <c r="EN1975" s="1" t="s">
        <v>207</v>
      </c>
      <c r="EP1975" s="1" t="s">
        <v>211</v>
      </c>
      <c r="EQ1975" s="1" t="s">
        <v>42</v>
      </c>
      <c r="ET1975" s="1" t="s">
        <v>454</v>
      </c>
      <c r="EU1975" s="1" t="s">
        <v>206</v>
      </c>
      <c r="EV1975" s="1" t="s">
        <v>268</v>
      </c>
      <c r="EY1975" s="1" t="s">
        <v>238</v>
      </c>
      <c r="FC1975" s="1" t="s">
        <v>238</v>
      </c>
      <c r="FF1975" s="1" t="s">
        <v>239</v>
      </c>
      <c r="FG1975" s="1" t="s">
        <v>192</v>
      </c>
      <c r="FH1975" s="1" t="s">
        <v>192</v>
      </c>
      <c r="FJ1975" s="1" t="s">
        <v>624</v>
      </c>
      <c r="FK1975" s="1" t="s">
        <v>229</v>
      </c>
      <c r="FL1975" s="1" t="s">
        <v>456</v>
      </c>
      <c r="FM1975" s="1">
        <v>49.0</v>
      </c>
      <c r="FN1975" s="1" t="s">
        <v>457</v>
      </c>
      <c r="FO1975" s="1" t="s">
        <v>7305</v>
      </c>
      <c r="FP1975" s="1">
        <v>7198.0</v>
      </c>
      <c r="FQ1975" s="1" t="s">
        <v>7306</v>
      </c>
      <c r="FR1975" s="1">
        <v>2045.0</v>
      </c>
      <c r="FU1975" s="1" t="s">
        <v>4517</v>
      </c>
      <c r="FV1975" s="1" t="s">
        <v>200</v>
      </c>
      <c r="FW1975" s="1" t="s">
        <v>631</v>
      </c>
      <c r="FZ1975" s="1" t="s">
        <v>229</v>
      </c>
      <c r="GA1975" s="1" t="s">
        <v>291</v>
      </c>
      <c r="GB1975" s="2">
        <v>41978.0</v>
      </c>
      <c r="GC1975" s="1" t="s">
        <v>18855</v>
      </c>
    </row>
    <row r="1976">
      <c r="A1976" s="1">
        <v>345000.0</v>
      </c>
      <c r="B1976" s="1" t="s">
        <v>185</v>
      </c>
      <c r="C1976" s="1" t="str">
        <f>"08733630"</f>
        <v>08733630</v>
      </c>
      <c r="D1976" s="1" t="s">
        <v>186</v>
      </c>
      <c r="F1976" s="1" t="str">
        <f>"8022"</f>
        <v>8022</v>
      </c>
      <c r="G1976" s="2">
        <v>41902.0</v>
      </c>
      <c r="H1976" s="1">
        <v>415000.0</v>
      </c>
      <c r="I1976" s="1">
        <v>147.0</v>
      </c>
      <c r="J1976" s="1">
        <v>385000.0</v>
      </c>
      <c r="K1976" s="2">
        <v>42048.0</v>
      </c>
      <c r="L1976" s="1">
        <v>147.0</v>
      </c>
      <c r="M1976" s="2">
        <v>42048.0</v>
      </c>
      <c r="N1976" s="1" t="s">
        <v>356</v>
      </c>
      <c r="O1976" s="2">
        <v>42138.0</v>
      </c>
      <c r="P1976" s="1">
        <v>126112.0</v>
      </c>
      <c r="Q1976" s="1">
        <v>85753.0</v>
      </c>
      <c r="S1976" s="1">
        <v>2126.0</v>
      </c>
      <c r="T1976" s="1" t="s">
        <v>18856</v>
      </c>
      <c r="U1976" s="1" t="s">
        <v>320</v>
      </c>
      <c r="V1976" s="1" t="s">
        <v>190</v>
      </c>
      <c r="W1976" s="1">
        <v>60647.0</v>
      </c>
      <c r="Y1976" s="1" t="s">
        <v>18857</v>
      </c>
      <c r="Z1976" s="1">
        <v>1887.0</v>
      </c>
      <c r="AA1976" s="1" t="s">
        <v>192</v>
      </c>
      <c r="AB1976" s="1" t="s">
        <v>193</v>
      </c>
      <c r="AD1976" s="1" t="s">
        <v>194</v>
      </c>
      <c r="AE1976" s="1" t="s">
        <v>195</v>
      </c>
      <c r="AF1976" s="1" t="s">
        <v>827</v>
      </c>
      <c r="AH1976" s="1" t="s">
        <v>18858</v>
      </c>
      <c r="AI1976" s="1">
        <v>0.0654</v>
      </c>
      <c r="AK1976" s="1">
        <v>8.0</v>
      </c>
      <c r="AL1976" s="1">
        <v>4.0</v>
      </c>
      <c r="AM1976" s="1">
        <v>2.0</v>
      </c>
      <c r="AN1976" s="1">
        <v>1.0</v>
      </c>
      <c r="AO1976" s="1" t="s">
        <v>229</v>
      </c>
      <c r="AQ1976" s="1" t="s">
        <v>198</v>
      </c>
      <c r="AR1976" s="1" t="s">
        <v>192</v>
      </c>
      <c r="AS1976" s="1" t="s">
        <v>199</v>
      </c>
      <c r="AT1976" s="1">
        <v>1.0</v>
      </c>
      <c r="AV1976" s="1" t="s">
        <v>200</v>
      </c>
      <c r="AW1976" s="1">
        <v>3295.54</v>
      </c>
      <c r="AX1976" s="1">
        <v>2012.0</v>
      </c>
      <c r="AZ1976" s="1" t="s">
        <v>200</v>
      </c>
      <c r="BA1976" s="1" t="str">
        <f>"13362320090000"</f>
        <v>13362320090000</v>
      </c>
      <c r="BC1976" s="1">
        <v>1150.0</v>
      </c>
      <c r="BD1976" s="1">
        <v>345000.0</v>
      </c>
      <c r="BE1976" s="2">
        <v>41902.0</v>
      </c>
      <c r="BF1976" s="1" t="s">
        <v>18859</v>
      </c>
      <c r="BH1976" s="1">
        <v>0.0</v>
      </c>
      <c r="BK1976" s="1" t="s">
        <v>204</v>
      </c>
      <c r="BL1976" s="1" t="str">
        <f>"2100"</f>
        <v>2100</v>
      </c>
      <c r="BM1976" s="1" t="str">
        <f t="shared" ref="BM1976:BM1978" si="1303">"0"</f>
        <v>0</v>
      </c>
      <c r="BN1976" s="1">
        <v>2600.0</v>
      </c>
      <c r="BO1976" s="1">
        <v>0.0</v>
      </c>
      <c r="BQ1976" s="1">
        <v>299.0</v>
      </c>
      <c r="BR1976" s="1">
        <v>299.0</v>
      </c>
      <c r="BS1976" s="1">
        <v>299.0</v>
      </c>
      <c r="BU1976" s="1" t="s">
        <v>1483</v>
      </c>
      <c r="BV1976" s="1" t="s">
        <v>206</v>
      </c>
      <c r="BY1976" s="1" t="s">
        <v>269</v>
      </c>
      <c r="BZ1976" s="1" t="s">
        <v>206</v>
      </c>
      <c r="CC1976" s="1" t="s">
        <v>1483</v>
      </c>
      <c r="CD1976" s="1" t="s">
        <v>206</v>
      </c>
      <c r="CG1976" s="1" t="s">
        <v>478</v>
      </c>
      <c r="CH1976" s="1" t="s">
        <v>209</v>
      </c>
      <c r="CK1976" s="1" t="s">
        <v>264</v>
      </c>
      <c r="CL1976" s="1" t="s">
        <v>209</v>
      </c>
      <c r="CO1976" s="1" t="s">
        <v>269</v>
      </c>
      <c r="CP1976" s="1" t="s">
        <v>209</v>
      </c>
      <c r="CS1976" s="1" t="s">
        <v>269</v>
      </c>
      <c r="CT1976" s="1" t="s">
        <v>206</v>
      </c>
      <c r="CX1976" s="1" t="s">
        <v>204</v>
      </c>
      <c r="DA1976" s="1" t="s">
        <v>200</v>
      </c>
      <c r="DC1976" s="1" t="s">
        <v>642</v>
      </c>
      <c r="DE1976" s="1" t="s">
        <v>229</v>
      </c>
      <c r="DF1976" s="1" t="s">
        <v>619</v>
      </c>
      <c r="DH1976" s="1" t="s">
        <v>220</v>
      </c>
      <c r="DJ1976" s="1" t="s">
        <v>222</v>
      </c>
      <c r="DL1976" s="1" t="s">
        <v>858</v>
      </c>
      <c r="DM1976" s="1" t="s">
        <v>229</v>
      </c>
      <c r="DQ1976" s="1" t="s">
        <v>228</v>
      </c>
      <c r="DR1976" s="1" t="s">
        <v>229</v>
      </c>
      <c r="DV1976" s="1" t="s">
        <v>114</v>
      </c>
      <c r="DW1976" s="1" t="s">
        <v>832</v>
      </c>
      <c r="DX1976" s="1" t="s">
        <v>234</v>
      </c>
      <c r="EC1976" s="1" t="s">
        <v>645</v>
      </c>
      <c r="EG1976" s="1" t="s">
        <v>114</v>
      </c>
      <c r="EL1976" s="1" t="s">
        <v>269</v>
      </c>
      <c r="EM1976" s="1" t="s">
        <v>114</v>
      </c>
      <c r="EQ1976" s="1" t="s">
        <v>238</v>
      </c>
      <c r="EU1976" s="1" t="s">
        <v>238</v>
      </c>
      <c r="EY1976" s="1" t="s">
        <v>238</v>
      </c>
      <c r="FC1976" s="1" t="s">
        <v>238</v>
      </c>
      <c r="FF1976" s="1" t="s">
        <v>239</v>
      </c>
      <c r="FG1976" s="1" t="s">
        <v>192</v>
      </c>
      <c r="FH1976" s="1" t="s">
        <v>192</v>
      </c>
      <c r="FJ1976" s="1" t="s">
        <v>18860</v>
      </c>
      <c r="FK1976" s="1" t="s">
        <v>229</v>
      </c>
      <c r="FL1976" s="1" t="s">
        <v>18861</v>
      </c>
      <c r="FM1976" s="1">
        <v>18090.0</v>
      </c>
      <c r="FN1976" s="1" t="s">
        <v>18862</v>
      </c>
      <c r="FO1976" s="1" t="s">
        <v>18863</v>
      </c>
      <c r="FP1976" s="1">
        <v>109177.0</v>
      </c>
      <c r="FQ1976" s="1" t="s">
        <v>18862</v>
      </c>
      <c r="FU1976" s="1" t="s">
        <v>1751</v>
      </c>
      <c r="FV1976" s="1" t="s">
        <v>200</v>
      </c>
      <c r="FW1976" s="1" t="s">
        <v>290</v>
      </c>
      <c r="FX1976" s="1" t="s">
        <v>238</v>
      </c>
      <c r="FZ1976" s="1" t="s">
        <v>229</v>
      </c>
      <c r="GA1976" s="1" t="s">
        <v>291</v>
      </c>
      <c r="GB1976" s="2">
        <v>42143.0</v>
      </c>
      <c r="GC1976" s="1" t="s">
        <v>18864</v>
      </c>
    </row>
    <row r="1977">
      <c r="A1977" s="1">
        <v>76000.0</v>
      </c>
      <c r="B1977" s="1" t="s">
        <v>185</v>
      </c>
      <c r="C1977" s="1" t="str">
        <f>"08729794"</f>
        <v>08729794</v>
      </c>
      <c r="D1977" s="1" t="s">
        <v>186</v>
      </c>
      <c r="F1977" s="1" t="str">
        <f>"123"</f>
        <v>123</v>
      </c>
      <c r="G1977" s="2">
        <v>41898.0</v>
      </c>
      <c r="H1977" s="1">
        <v>85800.0</v>
      </c>
      <c r="I1977" s="1">
        <v>92.0</v>
      </c>
      <c r="J1977" s="1">
        <v>85800.0</v>
      </c>
      <c r="K1977" s="2">
        <v>41989.0</v>
      </c>
      <c r="L1977" s="1">
        <v>92.0</v>
      </c>
      <c r="M1977" s="2">
        <v>41989.0</v>
      </c>
      <c r="N1977" s="1" t="s">
        <v>249</v>
      </c>
      <c r="O1977" s="2">
        <v>42041.0</v>
      </c>
      <c r="P1977" s="1">
        <v>234288.0</v>
      </c>
      <c r="Q1977" s="1">
        <v>22993.0</v>
      </c>
      <c r="S1977" s="1">
        <v>443.0</v>
      </c>
      <c r="T1977" s="1" t="s">
        <v>12283</v>
      </c>
      <c r="U1977" s="1" t="s">
        <v>320</v>
      </c>
      <c r="V1977" s="1" t="s">
        <v>465</v>
      </c>
      <c r="W1977" s="1">
        <v>60123.0</v>
      </c>
      <c r="Y1977" s="1" t="s">
        <v>18865</v>
      </c>
      <c r="Z1977" s="1">
        <v>1928.0</v>
      </c>
      <c r="AA1977" s="1" t="s">
        <v>192</v>
      </c>
      <c r="AB1977" s="1" t="s">
        <v>193</v>
      </c>
      <c r="AD1977" s="1" t="s">
        <v>469</v>
      </c>
      <c r="AE1977" s="1" t="s">
        <v>325</v>
      </c>
      <c r="AF1977" s="1" t="s">
        <v>469</v>
      </c>
      <c r="AH1977" s="1" t="s">
        <v>18866</v>
      </c>
      <c r="AI1977" s="1">
        <v>0.1951</v>
      </c>
      <c r="AK1977" s="1">
        <v>8.0</v>
      </c>
      <c r="AL1977" s="1">
        <v>4.0</v>
      </c>
      <c r="AM1977" s="1">
        <v>1.0</v>
      </c>
      <c r="AN1977" s="1">
        <v>0.0</v>
      </c>
      <c r="AO1977" s="1" t="s">
        <v>229</v>
      </c>
      <c r="AQ1977" s="1" t="s">
        <v>198</v>
      </c>
      <c r="AR1977" s="1" t="s">
        <v>200</v>
      </c>
      <c r="AS1977" s="1" t="s">
        <v>199</v>
      </c>
      <c r="AT1977" s="1">
        <v>1.0</v>
      </c>
      <c r="AV1977" s="1" t="s">
        <v>200</v>
      </c>
      <c r="AW1977" s="1">
        <v>3553.78</v>
      </c>
      <c r="AX1977" s="1">
        <v>2013.0</v>
      </c>
      <c r="AZ1977" s="1" t="s">
        <v>200</v>
      </c>
      <c r="BA1977" s="1" t="str">
        <f>"0623211011"</f>
        <v>0623211011</v>
      </c>
      <c r="BC1977" s="1">
        <v>1755.0</v>
      </c>
      <c r="BD1977" s="1">
        <v>76000.0</v>
      </c>
      <c r="BE1977" s="2">
        <v>41898.0</v>
      </c>
      <c r="BF1977" s="2" t="s">
        <v>18867</v>
      </c>
      <c r="BH1977" s="1">
        <v>0.0</v>
      </c>
      <c r="BK1977" s="1" t="s">
        <v>204</v>
      </c>
      <c r="BL1977" s="1" t="str">
        <f>"10"</f>
        <v>10</v>
      </c>
      <c r="BM1977" s="1" t="str">
        <f t="shared" si="1303"/>
        <v>0</v>
      </c>
      <c r="BN1977" s="1">
        <v>34.0</v>
      </c>
      <c r="BO1977" s="1">
        <v>0.0</v>
      </c>
      <c r="BQ1977" s="1">
        <v>46.0</v>
      </c>
      <c r="BR1977" s="1">
        <v>46.0</v>
      </c>
      <c r="BS1977" s="1">
        <v>46.0</v>
      </c>
      <c r="BU1977" s="1" t="s">
        <v>584</v>
      </c>
      <c r="BV1977" s="1" t="s">
        <v>206</v>
      </c>
      <c r="BY1977" s="1" t="s">
        <v>332</v>
      </c>
      <c r="BZ1977" s="1" t="s">
        <v>206</v>
      </c>
      <c r="CC1977" s="1" t="s">
        <v>758</v>
      </c>
      <c r="CD1977" s="1" t="s">
        <v>206</v>
      </c>
      <c r="CG1977" s="1" t="s">
        <v>3054</v>
      </c>
      <c r="CH1977" s="1" t="s">
        <v>209</v>
      </c>
      <c r="CK1977" s="1" t="s">
        <v>260</v>
      </c>
      <c r="CL1977" s="1" t="s">
        <v>209</v>
      </c>
      <c r="CO1977" s="1" t="s">
        <v>11906</v>
      </c>
      <c r="CP1977" s="1" t="s">
        <v>209</v>
      </c>
      <c r="CS1977" s="1" t="s">
        <v>2166</v>
      </c>
      <c r="CT1977" s="1" t="s">
        <v>206</v>
      </c>
      <c r="CW1977" s="1" t="s">
        <v>1158</v>
      </c>
      <c r="CX1977" s="1" t="s">
        <v>206</v>
      </c>
      <c r="DA1977" s="1" t="s">
        <v>200</v>
      </c>
      <c r="DC1977" s="1" t="s">
        <v>785</v>
      </c>
      <c r="DD1977" s="1" t="s">
        <v>518</v>
      </c>
      <c r="DE1977" s="1" t="s">
        <v>273</v>
      </c>
      <c r="DF1977" s="1" t="s">
        <v>219</v>
      </c>
      <c r="DG1977" s="1" t="s">
        <v>337</v>
      </c>
      <c r="DH1977" s="1" t="s">
        <v>220</v>
      </c>
      <c r="DJ1977" s="1" t="s">
        <v>222</v>
      </c>
      <c r="DL1977" s="1" t="s">
        <v>223</v>
      </c>
      <c r="DM1977" s="1" t="s">
        <v>229</v>
      </c>
      <c r="DP1977" s="1" t="s">
        <v>340</v>
      </c>
      <c r="DQ1977" s="1" t="s">
        <v>228</v>
      </c>
      <c r="DR1977" s="1" t="s">
        <v>229</v>
      </c>
      <c r="DV1977" s="1" t="s">
        <v>232</v>
      </c>
      <c r="DW1977" s="1" t="s">
        <v>3576</v>
      </c>
      <c r="DX1977" s="1" t="s">
        <v>234</v>
      </c>
      <c r="DZ1977" s="1" t="s">
        <v>15959</v>
      </c>
      <c r="EA1977" s="1" t="s">
        <v>644</v>
      </c>
      <c r="EC1977" s="1" t="s">
        <v>645</v>
      </c>
      <c r="EM1977" s="1" t="s">
        <v>238</v>
      </c>
      <c r="EQ1977" s="1" t="s">
        <v>238</v>
      </c>
      <c r="EU1977" s="1" t="s">
        <v>238</v>
      </c>
      <c r="EY1977" s="1" t="s">
        <v>238</v>
      </c>
      <c r="FC1977" s="1" t="s">
        <v>238</v>
      </c>
      <c r="FF1977" s="1" t="s">
        <v>239</v>
      </c>
      <c r="FG1977" s="1" t="s">
        <v>192</v>
      </c>
      <c r="FH1977" s="1" t="s">
        <v>192</v>
      </c>
      <c r="FJ1977" s="1" t="s">
        <v>347</v>
      </c>
      <c r="FK1977" s="1" t="s">
        <v>229</v>
      </c>
      <c r="FL1977" s="1" t="s">
        <v>3433</v>
      </c>
      <c r="FM1977" s="1">
        <v>5293.0</v>
      </c>
      <c r="FN1977" s="1" t="s">
        <v>3434</v>
      </c>
      <c r="FO1977" s="1" t="s">
        <v>3435</v>
      </c>
      <c r="FP1977" s="1">
        <v>53957.0</v>
      </c>
      <c r="FU1977" s="1" t="s">
        <v>2697</v>
      </c>
      <c r="FV1977" s="1" t="s">
        <v>200</v>
      </c>
      <c r="FW1977" s="1" t="s">
        <v>290</v>
      </c>
      <c r="FZ1977" s="1" t="s">
        <v>229</v>
      </c>
      <c r="GA1977" s="1" t="s">
        <v>291</v>
      </c>
      <c r="GB1977" s="2">
        <v>42041.0</v>
      </c>
      <c r="GC1977" s="1" t="s">
        <v>18868</v>
      </c>
    </row>
    <row r="1978">
      <c r="A1978" s="1">
        <v>219000.0</v>
      </c>
      <c r="B1978" s="1" t="s">
        <v>185</v>
      </c>
      <c r="C1978" s="1" t="str">
        <f>"08732475"</f>
        <v>08732475</v>
      </c>
      <c r="D1978" s="1" t="s">
        <v>186</v>
      </c>
      <c r="F1978" s="1" t="str">
        <f>"174"</f>
        <v>174</v>
      </c>
      <c r="G1978" s="2">
        <v>41901.0</v>
      </c>
      <c r="H1978" s="1">
        <v>230000.0</v>
      </c>
      <c r="I1978" s="1">
        <v>394.0</v>
      </c>
      <c r="J1978" s="1">
        <v>219000.0</v>
      </c>
      <c r="K1978" s="2">
        <v>42010.0</v>
      </c>
      <c r="L1978" s="1">
        <v>110.0</v>
      </c>
      <c r="M1978" s="2">
        <v>42010.0</v>
      </c>
      <c r="N1978" s="1" t="s">
        <v>249</v>
      </c>
      <c r="O1978" s="2">
        <v>42107.0</v>
      </c>
      <c r="P1978" s="1">
        <v>86178.0</v>
      </c>
      <c r="Q1978" s="1">
        <v>8056.0</v>
      </c>
      <c r="S1978" s="1">
        <v>1452.0</v>
      </c>
      <c r="T1978" s="1" t="s">
        <v>11245</v>
      </c>
      <c r="U1978" s="1" t="s">
        <v>464</v>
      </c>
      <c r="V1978" s="1" t="s">
        <v>1200</v>
      </c>
      <c r="W1978" s="1">
        <v>60174.0</v>
      </c>
      <c r="Y1978" s="1" t="s">
        <v>18869</v>
      </c>
      <c r="Z1978" s="1">
        <v>1987.0</v>
      </c>
      <c r="AA1978" s="1" t="s">
        <v>200</v>
      </c>
      <c r="AB1978" s="1" t="s">
        <v>193</v>
      </c>
      <c r="AD1978" s="1" t="s">
        <v>1203</v>
      </c>
      <c r="AE1978" s="1" t="s">
        <v>325</v>
      </c>
      <c r="AF1978" s="1" t="s">
        <v>1203</v>
      </c>
      <c r="AH1978" s="1" t="s">
        <v>18870</v>
      </c>
      <c r="AI1978" s="1">
        <v>0.14</v>
      </c>
      <c r="AK1978" s="1">
        <v>11.0</v>
      </c>
      <c r="AL1978" s="1">
        <v>4.0</v>
      </c>
      <c r="AM1978" s="1">
        <v>2.0</v>
      </c>
      <c r="AN1978" s="1">
        <v>1.0</v>
      </c>
      <c r="AO1978" s="1" t="s">
        <v>198</v>
      </c>
      <c r="AP1978" s="1">
        <v>0.0</v>
      </c>
      <c r="AQ1978" s="1" t="s">
        <v>1314</v>
      </c>
      <c r="AR1978" s="1" t="s">
        <v>200</v>
      </c>
      <c r="AS1978" s="1" t="s">
        <v>199</v>
      </c>
      <c r="AT1978" s="1">
        <v>2.0</v>
      </c>
      <c r="AV1978" s="1" t="s">
        <v>200</v>
      </c>
      <c r="AW1978" s="1">
        <v>7069.6</v>
      </c>
      <c r="AX1978" s="1">
        <v>2013.0</v>
      </c>
      <c r="AY1978" s="1" t="s">
        <v>387</v>
      </c>
      <c r="AZ1978" s="1" t="s">
        <v>200</v>
      </c>
      <c r="BA1978" s="1" t="str">
        <f>"0936303022"</f>
        <v>0936303022</v>
      </c>
      <c r="BC1978" s="1">
        <v>2091.0</v>
      </c>
      <c r="BD1978" s="1">
        <v>219000.0</v>
      </c>
      <c r="BE1978" s="2">
        <v>41901.0</v>
      </c>
      <c r="BF1978" s="2" t="s">
        <v>18871</v>
      </c>
      <c r="BG1978" s="1" t="s">
        <v>3610</v>
      </c>
      <c r="BH1978" s="1">
        <v>0.0</v>
      </c>
      <c r="BJ1978" s="1" t="s">
        <v>2144</v>
      </c>
      <c r="BK1978" s="1" t="s">
        <v>204</v>
      </c>
      <c r="BL1978" s="1" t="str">
        <f>"2"</f>
        <v>2</v>
      </c>
      <c r="BM1978" s="1" t="str">
        <f t="shared" si="1303"/>
        <v>0</v>
      </c>
      <c r="BN1978" s="1">
        <v>34.0</v>
      </c>
      <c r="BO1978" s="1">
        <v>0.0</v>
      </c>
      <c r="BQ1978" s="1">
        <v>303.0</v>
      </c>
      <c r="BR1978" s="1">
        <v>303.0</v>
      </c>
      <c r="BS1978" s="1">
        <v>303.0</v>
      </c>
      <c r="BU1978" s="1" t="s">
        <v>1426</v>
      </c>
      <c r="BV1978" s="1" t="s">
        <v>206</v>
      </c>
      <c r="BW1978" s="1" t="s">
        <v>210</v>
      </c>
      <c r="BX1978" s="1" t="s">
        <v>239</v>
      </c>
      <c r="BY1978" s="1" t="s">
        <v>730</v>
      </c>
      <c r="BZ1978" s="1" t="s">
        <v>209</v>
      </c>
      <c r="CA1978" s="1" t="s">
        <v>210</v>
      </c>
      <c r="CB1978" s="1" t="s">
        <v>239</v>
      </c>
      <c r="CC1978" s="1" t="s">
        <v>699</v>
      </c>
      <c r="CD1978" s="1" t="s">
        <v>206</v>
      </c>
      <c r="CE1978" s="1" t="s">
        <v>210</v>
      </c>
      <c r="CF1978" s="1" t="s">
        <v>239</v>
      </c>
      <c r="CG1978" s="1" t="s">
        <v>1875</v>
      </c>
      <c r="CH1978" s="1" t="s">
        <v>209</v>
      </c>
      <c r="CI1978" s="1" t="s">
        <v>210</v>
      </c>
      <c r="CJ1978" s="1" t="s">
        <v>239</v>
      </c>
      <c r="CK1978" s="1" t="s">
        <v>699</v>
      </c>
      <c r="CL1978" s="1" t="s">
        <v>209</v>
      </c>
      <c r="CM1978" s="1" t="s">
        <v>210</v>
      </c>
      <c r="CN1978" s="1" t="s">
        <v>239</v>
      </c>
      <c r="CO1978" s="1" t="s">
        <v>495</v>
      </c>
      <c r="CP1978" s="1" t="s">
        <v>209</v>
      </c>
      <c r="CQ1978" s="1" t="s">
        <v>210</v>
      </c>
      <c r="CR1978" s="1" t="s">
        <v>239</v>
      </c>
      <c r="CS1978" s="1" t="s">
        <v>1158</v>
      </c>
      <c r="CT1978" s="1" t="s">
        <v>206</v>
      </c>
      <c r="CU1978" s="1" t="s">
        <v>207</v>
      </c>
      <c r="CV1978" s="1" t="s">
        <v>239</v>
      </c>
      <c r="CW1978" s="1" t="s">
        <v>1623</v>
      </c>
      <c r="CX1978" s="1" t="s">
        <v>206</v>
      </c>
      <c r="CY1978" s="1" t="s">
        <v>210</v>
      </c>
      <c r="CZ1978" s="1" t="s">
        <v>239</v>
      </c>
      <c r="DA1978" s="1" t="s">
        <v>200</v>
      </c>
      <c r="DC1978" s="1" t="s">
        <v>305</v>
      </c>
      <c r="DD1978" s="1" t="s">
        <v>518</v>
      </c>
      <c r="DE1978" s="1" t="s">
        <v>273</v>
      </c>
      <c r="DF1978" s="1" t="s">
        <v>219</v>
      </c>
      <c r="DG1978" s="1" t="s">
        <v>482</v>
      </c>
      <c r="DH1978" s="1" t="s">
        <v>220</v>
      </c>
      <c r="DI1978" s="1" t="s">
        <v>1223</v>
      </c>
      <c r="DJ1978" s="1" t="s">
        <v>222</v>
      </c>
      <c r="DL1978" s="1" t="s">
        <v>438</v>
      </c>
      <c r="DM1978" s="1" t="s">
        <v>229</v>
      </c>
      <c r="DP1978" s="1" t="s">
        <v>340</v>
      </c>
      <c r="DQ1978" s="1" t="s">
        <v>228</v>
      </c>
      <c r="DR1978" s="1" t="s">
        <v>229</v>
      </c>
      <c r="DS1978" s="1" t="s">
        <v>401</v>
      </c>
      <c r="DU1978" s="1" t="s">
        <v>18872</v>
      </c>
      <c r="DV1978" s="1" t="s">
        <v>443</v>
      </c>
      <c r="DW1978" s="1" t="s">
        <v>370</v>
      </c>
      <c r="DX1978" s="1" t="s">
        <v>234</v>
      </c>
      <c r="DY1978" s="1" t="s">
        <v>235</v>
      </c>
      <c r="EA1978" s="1" t="s">
        <v>447</v>
      </c>
      <c r="EC1978" s="1" t="s">
        <v>237</v>
      </c>
      <c r="ED1978" s="1" t="s">
        <v>555</v>
      </c>
      <c r="EG1978" s="1" t="s">
        <v>451</v>
      </c>
      <c r="EH1978" s="1" t="s">
        <v>449</v>
      </c>
      <c r="EI1978" s="1" t="s">
        <v>450</v>
      </c>
      <c r="EL1978" s="1" t="s">
        <v>647</v>
      </c>
      <c r="EM1978" s="1" t="s">
        <v>42</v>
      </c>
      <c r="EP1978" s="1" t="s">
        <v>264</v>
      </c>
      <c r="EQ1978" s="1" t="s">
        <v>206</v>
      </c>
      <c r="ER1978" s="1" t="s">
        <v>301</v>
      </c>
      <c r="ES1978" s="1" t="s">
        <v>239</v>
      </c>
      <c r="ET1978" s="1" t="s">
        <v>904</v>
      </c>
      <c r="EU1978" s="1" t="s">
        <v>42</v>
      </c>
      <c r="EY1978" s="1" t="s">
        <v>238</v>
      </c>
      <c r="FC1978" s="1" t="s">
        <v>238</v>
      </c>
      <c r="FF1978" s="1" t="s">
        <v>239</v>
      </c>
      <c r="FG1978" s="1" t="s">
        <v>192</v>
      </c>
      <c r="FH1978" s="1" t="s">
        <v>192</v>
      </c>
      <c r="FJ1978" s="1" t="s">
        <v>2206</v>
      </c>
      <c r="FK1978" s="1" t="s">
        <v>1586</v>
      </c>
      <c r="FL1978" s="1" t="s">
        <v>1212</v>
      </c>
      <c r="FM1978" s="1">
        <v>30.0</v>
      </c>
      <c r="FN1978" s="1" t="s">
        <v>1213</v>
      </c>
      <c r="FO1978" s="1" t="s">
        <v>4938</v>
      </c>
      <c r="FP1978" s="1">
        <v>538.0</v>
      </c>
      <c r="FQ1978" s="1" t="s">
        <v>4939</v>
      </c>
      <c r="FU1978" s="1" t="s">
        <v>18873</v>
      </c>
      <c r="FV1978" s="1" t="s">
        <v>200</v>
      </c>
      <c r="FW1978" s="1" t="s">
        <v>530</v>
      </c>
      <c r="FZ1978" s="1" t="s">
        <v>229</v>
      </c>
      <c r="GA1978" s="1" t="s">
        <v>291</v>
      </c>
      <c r="GB1978" s="2">
        <v>42107.0</v>
      </c>
      <c r="GC1978" s="1" t="s">
        <v>3170</v>
      </c>
    </row>
    <row r="1979">
      <c r="A1979" s="1">
        <v>141000.0</v>
      </c>
      <c r="B1979" s="1" t="s">
        <v>185</v>
      </c>
      <c r="C1979" s="1" t="str">
        <f>"08731411"</f>
        <v>08731411</v>
      </c>
      <c r="D1979" s="1" t="s">
        <v>186</v>
      </c>
      <c r="F1979" s="1" t="str">
        <f>"543"</f>
        <v>543</v>
      </c>
      <c r="G1979" s="2">
        <v>41900.0</v>
      </c>
      <c r="H1979" s="1">
        <v>160000.0</v>
      </c>
      <c r="I1979" s="1">
        <v>43.0</v>
      </c>
      <c r="J1979" s="1">
        <v>149900.0</v>
      </c>
      <c r="K1979" s="2">
        <v>41942.0</v>
      </c>
      <c r="L1979" s="1">
        <v>43.0</v>
      </c>
      <c r="M1979" s="2">
        <v>41942.0</v>
      </c>
      <c r="N1979" s="1" t="s">
        <v>187</v>
      </c>
      <c r="O1979" s="2">
        <v>41996.0</v>
      </c>
      <c r="P1979" s="1">
        <v>235740.0</v>
      </c>
      <c r="Q1979" s="1">
        <v>23279.0</v>
      </c>
      <c r="R1979" s="1">
        <v>3000.0</v>
      </c>
      <c r="S1979" s="1">
        <v>112.0</v>
      </c>
      <c r="T1979" s="1" t="s">
        <v>18874</v>
      </c>
      <c r="U1979" s="1" t="s">
        <v>320</v>
      </c>
      <c r="V1979" s="1" t="s">
        <v>1527</v>
      </c>
      <c r="W1979" s="1">
        <v>60543.0</v>
      </c>
      <c r="Y1979" s="1" t="s">
        <v>18875</v>
      </c>
      <c r="Z1979" s="1">
        <v>1948.0</v>
      </c>
      <c r="AA1979" s="1" t="s">
        <v>192</v>
      </c>
      <c r="AB1979" s="1" t="s">
        <v>193</v>
      </c>
      <c r="AD1979" s="1" t="s">
        <v>1529</v>
      </c>
      <c r="AE1979" s="1" t="s">
        <v>849</v>
      </c>
      <c r="AF1979" s="1" t="s">
        <v>1529</v>
      </c>
      <c r="AH1979" s="1" t="s">
        <v>7212</v>
      </c>
      <c r="AK1979" s="1">
        <v>7.0</v>
      </c>
      <c r="AL1979" s="1">
        <v>4.0</v>
      </c>
      <c r="AM1979" s="1">
        <v>1.0</v>
      </c>
      <c r="AN1979" s="1">
        <v>1.0</v>
      </c>
      <c r="AO1979" s="1" t="s">
        <v>229</v>
      </c>
      <c r="AQ1979" s="1" t="s">
        <v>1314</v>
      </c>
      <c r="AR1979" s="1" t="s">
        <v>200</v>
      </c>
      <c r="AS1979" s="1" t="s">
        <v>199</v>
      </c>
      <c r="AT1979" s="1">
        <v>1.0</v>
      </c>
      <c r="AV1979" s="1" t="s">
        <v>200</v>
      </c>
      <c r="AW1979" s="1">
        <v>5179.18</v>
      </c>
      <c r="AX1979" s="1">
        <v>2013.0</v>
      </c>
      <c r="AZ1979" s="1" t="s">
        <v>200</v>
      </c>
      <c r="BA1979" s="1" t="str">
        <f>"0317453002"</f>
        <v>0317453002</v>
      </c>
      <c r="BC1979" s="1">
        <v>1592.0</v>
      </c>
      <c r="BD1979" s="1">
        <v>141000.0</v>
      </c>
      <c r="BE1979" s="2">
        <v>41900.0</v>
      </c>
      <c r="BF1979" s="1" t="s">
        <v>18876</v>
      </c>
      <c r="BG1979" s="1" t="s">
        <v>18877</v>
      </c>
      <c r="BH1979" s="1">
        <v>0.0</v>
      </c>
      <c r="BI1979" s="1" t="s">
        <v>1533</v>
      </c>
      <c r="BJ1979" s="1" t="s">
        <v>1349</v>
      </c>
      <c r="BK1979" s="1" t="s">
        <v>204</v>
      </c>
      <c r="BL1979" s="1" t="str">
        <f t="shared" ref="BL1979:BM1979" si="1304">"0"</f>
        <v>0</v>
      </c>
      <c r="BM1979" s="1" t="str">
        <f t="shared" si="1304"/>
        <v>0</v>
      </c>
      <c r="BN1979" s="1">
        <v>0.0</v>
      </c>
      <c r="BO1979" s="1">
        <v>0.0</v>
      </c>
      <c r="BQ1979" s="1">
        <v>308.0</v>
      </c>
      <c r="BR1979" s="1">
        <v>308.0</v>
      </c>
      <c r="BS1979" s="1">
        <v>308.0</v>
      </c>
      <c r="BU1979" s="1" t="s">
        <v>454</v>
      </c>
      <c r="BV1979" s="1" t="s">
        <v>206</v>
      </c>
      <c r="BY1979" s="1" t="s">
        <v>1426</v>
      </c>
      <c r="BZ1979" s="1" t="s">
        <v>209</v>
      </c>
      <c r="CD1979" s="1" t="s">
        <v>204</v>
      </c>
      <c r="CG1979" s="1" t="s">
        <v>497</v>
      </c>
      <c r="CH1979" s="1" t="s">
        <v>209</v>
      </c>
      <c r="CK1979" s="1" t="s">
        <v>584</v>
      </c>
      <c r="CL1979" s="1" t="s">
        <v>209</v>
      </c>
      <c r="CO1979" s="1" t="s">
        <v>264</v>
      </c>
      <c r="CP1979" s="1" t="s">
        <v>206</v>
      </c>
      <c r="CS1979" s="1" t="s">
        <v>331</v>
      </c>
      <c r="CT1979" s="1" t="s">
        <v>206</v>
      </c>
      <c r="CW1979" s="1" t="s">
        <v>363</v>
      </c>
      <c r="CX1979" s="1" t="s">
        <v>206</v>
      </c>
      <c r="DA1979" s="1" t="s">
        <v>200</v>
      </c>
      <c r="DC1979" s="1" t="s">
        <v>702</v>
      </c>
      <c r="DD1979" s="1" t="s">
        <v>518</v>
      </c>
      <c r="DE1979" s="1" t="s">
        <v>273</v>
      </c>
      <c r="DF1979" s="1" t="s">
        <v>219</v>
      </c>
      <c r="DH1979" s="1" t="s">
        <v>220</v>
      </c>
      <c r="DJ1979" s="1" t="s">
        <v>222</v>
      </c>
      <c r="DL1979" s="1" t="s">
        <v>223</v>
      </c>
      <c r="DM1979" s="1" t="s">
        <v>229</v>
      </c>
      <c r="DO1979" s="1" t="s">
        <v>549</v>
      </c>
      <c r="DP1979" s="1" t="s">
        <v>340</v>
      </c>
      <c r="DQ1979" s="1" t="s">
        <v>228</v>
      </c>
      <c r="DR1979" s="1" t="s">
        <v>229</v>
      </c>
      <c r="DS1979" s="1" t="s">
        <v>277</v>
      </c>
      <c r="DV1979" s="1" t="s">
        <v>232</v>
      </c>
      <c r="DW1979" s="1" t="s">
        <v>2602</v>
      </c>
      <c r="DX1979" s="1" t="s">
        <v>234</v>
      </c>
      <c r="EC1979" s="1" t="s">
        <v>237</v>
      </c>
      <c r="EM1979" s="1" t="s">
        <v>238</v>
      </c>
      <c r="EQ1979" s="1" t="s">
        <v>238</v>
      </c>
      <c r="EU1979" s="1" t="s">
        <v>238</v>
      </c>
      <c r="EY1979" s="1" t="s">
        <v>238</v>
      </c>
      <c r="FC1979" s="1" t="s">
        <v>238</v>
      </c>
      <c r="FF1979" s="1" t="s">
        <v>239</v>
      </c>
      <c r="FG1979" s="1" t="s">
        <v>192</v>
      </c>
      <c r="FH1979" s="1" t="s">
        <v>192</v>
      </c>
      <c r="FJ1979" s="1" t="s">
        <v>347</v>
      </c>
      <c r="FK1979" s="1" t="s">
        <v>229</v>
      </c>
      <c r="FL1979" s="1" t="s">
        <v>1775</v>
      </c>
      <c r="FM1979" s="1">
        <v>31982.0</v>
      </c>
      <c r="FN1979" s="1" t="s">
        <v>1776</v>
      </c>
      <c r="FO1979" s="1" t="s">
        <v>1777</v>
      </c>
      <c r="FP1979" s="1">
        <v>319888.0</v>
      </c>
      <c r="FQ1979" s="1" t="s">
        <v>1778</v>
      </c>
      <c r="FU1979" s="1" t="s">
        <v>6544</v>
      </c>
      <c r="FV1979" s="1" t="s">
        <v>200</v>
      </c>
      <c r="FW1979" s="1" t="s">
        <v>354</v>
      </c>
      <c r="FZ1979" s="1" t="s">
        <v>229</v>
      </c>
      <c r="GA1979" s="1" t="s">
        <v>291</v>
      </c>
      <c r="GB1979" s="2">
        <v>41996.0</v>
      </c>
      <c r="GC1979" s="1" t="s">
        <v>18878</v>
      </c>
    </row>
    <row r="1980">
      <c r="A1980" s="1">
        <v>325000.0</v>
      </c>
      <c r="B1980" s="1" t="s">
        <v>185</v>
      </c>
      <c r="C1980" s="1" t="str">
        <f>"08747078"</f>
        <v>08747078</v>
      </c>
      <c r="D1980" s="1" t="s">
        <v>186</v>
      </c>
      <c r="F1980" s="1" t="str">
        <f>"8016"</f>
        <v>8016</v>
      </c>
      <c r="G1980" s="2">
        <v>41919.0</v>
      </c>
      <c r="H1980" s="1">
        <v>300000.0</v>
      </c>
      <c r="I1980" s="1">
        <v>8.0</v>
      </c>
      <c r="J1980" s="1">
        <v>300000.0</v>
      </c>
      <c r="K1980" s="2">
        <v>41926.0</v>
      </c>
      <c r="L1980" s="1">
        <v>8.0</v>
      </c>
      <c r="M1980" s="2">
        <v>41926.0</v>
      </c>
      <c r="N1980" s="1" t="s">
        <v>187</v>
      </c>
      <c r="O1980" s="2">
        <v>41981.0</v>
      </c>
      <c r="P1980" s="1">
        <v>121727.0</v>
      </c>
      <c r="Q1980" s="1">
        <v>85470.0</v>
      </c>
      <c r="S1980" s="1">
        <v>4541.0</v>
      </c>
      <c r="T1980" s="1" t="s">
        <v>5076</v>
      </c>
      <c r="U1980" s="1" t="s">
        <v>189</v>
      </c>
      <c r="V1980" s="1" t="s">
        <v>190</v>
      </c>
      <c r="W1980" s="1">
        <v>60630.0</v>
      </c>
      <c r="Y1980" s="1" t="s">
        <v>18879</v>
      </c>
      <c r="Z1980" s="1">
        <v>1923.0</v>
      </c>
      <c r="AA1980" s="1" t="s">
        <v>192</v>
      </c>
      <c r="AB1980" s="1" t="s">
        <v>193</v>
      </c>
      <c r="AD1980" s="1" t="s">
        <v>194</v>
      </c>
      <c r="AE1980" s="1" t="s">
        <v>195</v>
      </c>
      <c r="AF1980" s="1" t="s">
        <v>196</v>
      </c>
      <c r="AH1980" s="1" t="s">
        <v>18880</v>
      </c>
      <c r="AI1980" s="1">
        <v>0.1974</v>
      </c>
      <c r="AK1980" s="1">
        <v>8.0</v>
      </c>
      <c r="AL1980" s="1">
        <v>4.0</v>
      </c>
      <c r="AM1980" s="1">
        <v>1.0</v>
      </c>
      <c r="AN1980" s="1">
        <v>2.0</v>
      </c>
      <c r="AO1980" s="1" t="s">
        <v>2068</v>
      </c>
      <c r="AQ1980" s="1" t="s">
        <v>198</v>
      </c>
      <c r="AR1980" s="1" t="s">
        <v>192</v>
      </c>
      <c r="AS1980" s="1" t="s">
        <v>199</v>
      </c>
      <c r="AT1980" s="1">
        <v>2.0</v>
      </c>
      <c r="AV1980" s="1" t="s">
        <v>200</v>
      </c>
      <c r="AW1980" s="1">
        <v>4275.55</v>
      </c>
      <c r="AX1980" s="1">
        <v>2012.0</v>
      </c>
      <c r="AY1980" s="1" t="s">
        <v>1179</v>
      </c>
      <c r="AZ1980" s="1" t="s">
        <v>200</v>
      </c>
      <c r="BA1980" s="1" t="str">
        <f>"13151240050000"</f>
        <v>13151240050000</v>
      </c>
      <c r="BC1980" s="1">
        <v>0.0</v>
      </c>
      <c r="BD1980" s="1">
        <v>325000.0</v>
      </c>
      <c r="BE1980" s="2">
        <v>41919.0</v>
      </c>
      <c r="BF1980" s="2" t="s">
        <v>18881</v>
      </c>
      <c r="BG1980" s="1" t="s">
        <v>9125</v>
      </c>
      <c r="BH1980" s="1">
        <v>0.0</v>
      </c>
      <c r="BJ1980" s="1" t="s">
        <v>203</v>
      </c>
      <c r="BK1980" s="1" t="s">
        <v>204</v>
      </c>
      <c r="BL1980" s="1" t="str">
        <f>"4500"</f>
        <v>4500</v>
      </c>
      <c r="BM1980" s="1" t="str">
        <f>"0"</f>
        <v>0</v>
      </c>
      <c r="BN1980" s="1">
        <v>4400.0</v>
      </c>
      <c r="BO1980" s="1">
        <v>0.0</v>
      </c>
      <c r="BQ1980" s="1">
        <v>299.0</v>
      </c>
      <c r="BR1980" s="1">
        <v>299.0</v>
      </c>
      <c r="BS1980" s="1">
        <v>299.0</v>
      </c>
      <c r="BU1980" s="1" t="s">
        <v>664</v>
      </c>
      <c r="BV1980" s="1" t="s">
        <v>206</v>
      </c>
      <c r="BY1980" s="1" t="s">
        <v>18882</v>
      </c>
      <c r="BZ1980" s="1" t="s">
        <v>209</v>
      </c>
      <c r="CC1980" s="1" t="s">
        <v>677</v>
      </c>
      <c r="CD1980" s="1" t="s">
        <v>206</v>
      </c>
      <c r="CG1980" s="1" t="s">
        <v>2459</v>
      </c>
      <c r="CH1980" s="1" t="s">
        <v>206</v>
      </c>
      <c r="CK1980" s="1" t="s">
        <v>2459</v>
      </c>
      <c r="CL1980" s="1" t="s">
        <v>206</v>
      </c>
      <c r="CO1980" s="1" t="s">
        <v>664</v>
      </c>
      <c r="CP1980" s="1" t="s">
        <v>209</v>
      </c>
      <c r="CS1980" s="1" t="s">
        <v>1183</v>
      </c>
      <c r="CT1980" s="1" t="s">
        <v>206</v>
      </c>
      <c r="CX1980" s="1" t="s">
        <v>204</v>
      </c>
      <c r="DA1980" s="1" t="s">
        <v>200</v>
      </c>
      <c r="DC1980" s="1" t="s">
        <v>216</v>
      </c>
      <c r="DE1980" s="1" t="s">
        <v>1139</v>
      </c>
      <c r="DF1980" s="1" t="s">
        <v>6818</v>
      </c>
      <c r="DH1980" s="1" t="s">
        <v>365</v>
      </c>
      <c r="DJ1980" s="1" t="s">
        <v>222</v>
      </c>
      <c r="DK1980" s="1" t="s">
        <v>224</v>
      </c>
      <c r="DL1980" s="1" t="s">
        <v>223</v>
      </c>
      <c r="DM1980" s="1" t="s">
        <v>229</v>
      </c>
      <c r="DO1980" s="1" t="s">
        <v>549</v>
      </c>
      <c r="DQ1980" s="1" t="s">
        <v>794</v>
      </c>
      <c r="DR1980" s="1" t="s">
        <v>229</v>
      </c>
      <c r="DS1980" s="1" t="s">
        <v>230</v>
      </c>
      <c r="DV1980" s="1" t="s">
        <v>373</v>
      </c>
      <c r="DW1980" s="1" t="s">
        <v>279</v>
      </c>
      <c r="DX1980" s="1" t="s">
        <v>309</v>
      </c>
      <c r="EA1980" s="1" t="s">
        <v>644</v>
      </c>
      <c r="EC1980" s="1" t="s">
        <v>645</v>
      </c>
      <c r="ED1980" s="1" t="s">
        <v>555</v>
      </c>
      <c r="EG1980" s="1" t="s">
        <v>373</v>
      </c>
      <c r="EL1980" s="1" t="s">
        <v>1939</v>
      </c>
      <c r="EM1980" s="1" t="s">
        <v>206</v>
      </c>
      <c r="EQ1980" s="1" t="s">
        <v>238</v>
      </c>
      <c r="EU1980" s="1" t="s">
        <v>238</v>
      </c>
      <c r="EY1980" s="1" t="s">
        <v>238</v>
      </c>
      <c r="FC1980" s="1" t="s">
        <v>238</v>
      </c>
      <c r="FF1980" s="1" t="s">
        <v>239</v>
      </c>
      <c r="FG1980" s="1" t="s">
        <v>200</v>
      </c>
      <c r="FH1980" s="1" t="s">
        <v>192</v>
      </c>
      <c r="FJ1980" s="1" t="s">
        <v>4122</v>
      </c>
      <c r="FK1980" s="1" t="s">
        <v>229</v>
      </c>
      <c r="FL1980" s="1" t="s">
        <v>456</v>
      </c>
      <c r="FM1980" s="1">
        <v>10273.0</v>
      </c>
      <c r="FN1980" s="1" t="s">
        <v>2101</v>
      </c>
      <c r="FO1980" s="1" t="s">
        <v>18883</v>
      </c>
      <c r="FP1980" s="1">
        <v>141159.0</v>
      </c>
      <c r="FQ1980" s="1" t="s">
        <v>18884</v>
      </c>
      <c r="FU1980" s="1" t="s">
        <v>18885</v>
      </c>
      <c r="FV1980" s="1" t="s">
        <v>200</v>
      </c>
      <c r="FW1980" s="1" t="s">
        <v>290</v>
      </c>
      <c r="FX1980" s="1" t="s">
        <v>238</v>
      </c>
      <c r="FZ1980" s="1" t="s">
        <v>229</v>
      </c>
      <c r="GA1980" s="1" t="s">
        <v>291</v>
      </c>
      <c r="GB1980" s="2">
        <v>41981.0</v>
      </c>
    </row>
    <row r="1981">
      <c r="A1981" s="1">
        <v>237500.0</v>
      </c>
      <c r="B1981" s="1" t="s">
        <v>185</v>
      </c>
      <c r="C1981" s="1" t="str">
        <f>"08728321"</f>
        <v>08728321</v>
      </c>
      <c r="D1981" s="1" t="s">
        <v>186</v>
      </c>
      <c r="F1981" s="1" t="str">
        <f>"134"</f>
        <v>134</v>
      </c>
      <c r="G1981" s="2">
        <v>41897.0</v>
      </c>
      <c r="H1981" s="1">
        <v>259000.0</v>
      </c>
      <c r="I1981" s="1">
        <v>98.0</v>
      </c>
      <c r="J1981" s="1">
        <v>249000.0</v>
      </c>
      <c r="K1981" s="2">
        <v>41934.0</v>
      </c>
      <c r="L1981" s="1">
        <v>38.0</v>
      </c>
      <c r="M1981" s="2">
        <v>41934.0</v>
      </c>
      <c r="N1981" s="1" t="s">
        <v>187</v>
      </c>
      <c r="O1981" s="2">
        <v>41989.0</v>
      </c>
      <c r="P1981" s="1">
        <v>1455.0</v>
      </c>
      <c r="Q1981" s="1">
        <v>357.0</v>
      </c>
      <c r="R1981" s="1">
        <v>4000.0</v>
      </c>
      <c r="S1981" s="1">
        <v>810.0</v>
      </c>
      <c r="T1981" s="1" t="s">
        <v>6895</v>
      </c>
      <c r="U1981" s="1" t="s">
        <v>320</v>
      </c>
      <c r="V1981" s="1" t="s">
        <v>421</v>
      </c>
      <c r="W1981" s="1">
        <v>60134.0</v>
      </c>
      <c r="Y1981" s="1" t="s">
        <v>18886</v>
      </c>
      <c r="Z1981" s="1">
        <v>1959.0</v>
      </c>
      <c r="AA1981" s="1" t="s">
        <v>192</v>
      </c>
      <c r="AB1981" s="1" t="s">
        <v>193</v>
      </c>
      <c r="AD1981" s="1" t="s">
        <v>424</v>
      </c>
      <c r="AE1981" s="1" t="s">
        <v>325</v>
      </c>
      <c r="AF1981" s="1" t="s">
        <v>424</v>
      </c>
      <c r="AH1981" s="1" t="s">
        <v>18887</v>
      </c>
      <c r="AK1981" s="1">
        <v>8.0</v>
      </c>
      <c r="AL1981" s="1">
        <v>4.0</v>
      </c>
      <c r="AM1981" s="1">
        <v>3.0</v>
      </c>
      <c r="AN1981" s="1">
        <v>0.0</v>
      </c>
      <c r="AO1981" s="1" t="s">
        <v>198</v>
      </c>
      <c r="AP1981" s="1">
        <v>1.0</v>
      </c>
      <c r="AQ1981" s="1" t="s">
        <v>327</v>
      </c>
      <c r="AR1981" s="1" t="s">
        <v>192</v>
      </c>
      <c r="AS1981" s="1" t="s">
        <v>199</v>
      </c>
      <c r="AT1981" s="1">
        <v>2.0</v>
      </c>
      <c r="AV1981" s="1" t="s">
        <v>192</v>
      </c>
      <c r="AW1981" s="1">
        <v>6793.56</v>
      </c>
      <c r="AX1981" s="1">
        <v>2013.0</v>
      </c>
      <c r="AY1981" s="1" t="s">
        <v>1179</v>
      </c>
      <c r="AZ1981" s="1" t="s">
        <v>200</v>
      </c>
      <c r="BA1981" s="1" t="str">
        <f>"1202101023"</f>
        <v>1202101023</v>
      </c>
      <c r="BC1981" s="1">
        <v>3022.0</v>
      </c>
      <c r="BD1981" s="1">
        <v>237500.0</v>
      </c>
      <c r="BE1981" s="2">
        <v>41897.0</v>
      </c>
      <c r="BF1981" s="2" t="s">
        <v>18888</v>
      </c>
      <c r="BH1981" s="1">
        <v>0.0</v>
      </c>
      <c r="BK1981" s="1" t="s">
        <v>204</v>
      </c>
      <c r="BL1981" s="1" t="str">
        <f t="shared" ref="BL1981:BM1981" si="1305">""</f>
        <v/>
      </c>
      <c r="BM1981" s="1" t="str">
        <f t="shared" si="1305"/>
        <v/>
      </c>
      <c r="BQ1981" s="1">
        <v>304.0</v>
      </c>
      <c r="BR1981" s="1">
        <v>304.0</v>
      </c>
      <c r="BS1981" s="1">
        <v>304.0</v>
      </c>
      <c r="BU1981" s="1" t="s">
        <v>616</v>
      </c>
      <c r="BV1981" s="1" t="s">
        <v>206</v>
      </c>
      <c r="BW1981" s="1" t="s">
        <v>207</v>
      </c>
      <c r="BX1981" s="1" t="s">
        <v>229</v>
      </c>
      <c r="BY1981" s="1" t="s">
        <v>361</v>
      </c>
      <c r="BZ1981" s="1" t="s">
        <v>206</v>
      </c>
      <c r="CA1981" s="1" t="s">
        <v>207</v>
      </c>
      <c r="CB1981" s="1" t="s">
        <v>229</v>
      </c>
      <c r="CC1981" s="1" t="s">
        <v>12670</v>
      </c>
      <c r="CD1981" s="1" t="s">
        <v>206</v>
      </c>
      <c r="CE1981" s="1" t="s">
        <v>207</v>
      </c>
      <c r="CF1981" s="1" t="s">
        <v>229</v>
      </c>
      <c r="CG1981" s="1" t="s">
        <v>433</v>
      </c>
      <c r="CH1981" s="1" t="s">
        <v>206</v>
      </c>
      <c r="CI1981" s="1" t="s">
        <v>207</v>
      </c>
      <c r="CJ1981" s="1" t="s">
        <v>229</v>
      </c>
      <c r="CK1981" s="1" t="s">
        <v>699</v>
      </c>
      <c r="CL1981" s="1" t="s">
        <v>206</v>
      </c>
      <c r="CM1981" s="1" t="s">
        <v>207</v>
      </c>
      <c r="CN1981" s="1" t="s">
        <v>229</v>
      </c>
      <c r="CO1981" s="1" t="s">
        <v>497</v>
      </c>
      <c r="CP1981" s="1" t="s">
        <v>1697</v>
      </c>
      <c r="CQ1981" s="1" t="s">
        <v>210</v>
      </c>
      <c r="CR1981" s="1" t="s">
        <v>229</v>
      </c>
      <c r="CS1981" s="1" t="s">
        <v>361</v>
      </c>
      <c r="CT1981" s="1" t="s">
        <v>206</v>
      </c>
      <c r="CU1981" s="1" t="s">
        <v>207</v>
      </c>
      <c r="CV1981" s="1" t="s">
        <v>229</v>
      </c>
      <c r="CW1981" s="1" t="s">
        <v>616</v>
      </c>
      <c r="CX1981" s="1" t="s">
        <v>1697</v>
      </c>
      <c r="CY1981" s="1" t="s">
        <v>210</v>
      </c>
      <c r="CZ1981" s="1" t="s">
        <v>229</v>
      </c>
      <c r="DA1981" s="1" t="s">
        <v>200</v>
      </c>
      <c r="DC1981" s="1" t="s">
        <v>271</v>
      </c>
      <c r="DD1981" s="1" t="s">
        <v>518</v>
      </c>
      <c r="DE1981" s="1" t="s">
        <v>229</v>
      </c>
      <c r="DF1981" s="1" t="s">
        <v>6867</v>
      </c>
      <c r="DG1981" s="1" t="s">
        <v>18889</v>
      </c>
      <c r="DH1981" s="1" t="s">
        <v>220</v>
      </c>
      <c r="DI1981" s="1" t="s">
        <v>308</v>
      </c>
      <c r="DJ1981" s="1" t="s">
        <v>222</v>
      </c>
      <c r="DL1981" s="1" t="s">
        <v>1161</v>
      </c>
      <c r="DM1981" s="1" t="s">
        <v>929</v>
      </c>
      <c r="DO1981" s="1" t="s">
        <v>18890</v>
      </c>
      <c r="DP1981" s="1" t="s">
        <v>400</v>
      </c>
      <c r="DQ1981" s="1" t="s">
        <v>441</v>
      </c>
      <c r="DR1981" s="1" t="s">
        <v>229</v>
      </c>
      <c r="DU1981" s="1" t="s">
        <v>2070</v>
      </c>
      <c r="DV1981" s="1" t="s">
        <v>232</v>
      </c>
      <c r="DW1981" s="1" t="s">
        <v>444</v>
      </c>
      <c r="DX1981" s="1" t="s">
        <v>234</v>
      </c>
      <c r="DY1981" s="1" t="s">
        <v>2579</v>
      </c>
      <c r="DZ1981" s="1" t="s">
        <v>2204</v>
      </c>
      <c r="EA1981" s="1" t="s">
        <v>2680</v>
      </c>
      <c r="EB1981" s="1" t="s">
        <v>7803</v>
      </c>
      <c r="EC1981" s="1" t="s">
        <v>311</v>
      </c>
      <c r="EE1981" s="1" t="s">
        <v>493</v>
      </c>
      <c r="EM1981" s="1" t="s">
        <v>238</v>
      </c>
      <c r="EQ1981" s="1" t="s">
        <v>238</v>
      </c>
      <c r="EU1981" s="1" t="s">
        <v>238</v>
      </c>
      <c r="EY1981" s="1" t="s">
        <v>238</v>
      </c>
      <c r="FC1981" s="1" t="s">
        <v>238</v>
      </c>
      <c r="FF1981" s="1" t="s">
        <v>239</v>
      </c>
      <c r="FG1981" s="1" t="s">
        <v>192</v>
      </c>
      <c r="FH1981" s="1" t="s">
        <v>192</v>
      </c>
      <c r="FJ1981" s="1" t="s">
        <v>9804</v>
      </c>
      <c r="FK1981" s="1" t="s">
        <v>229</v>
      </c>
      <c r="FL1981" s="1" t="s">
        <v>1007</v>
      </c>
      <c r="FM1981" s="1">
        <v>771.0</v>
      </c>
      <c r="FN1981" s="1" t="s">
        <v>1494</v>
      </c>
      <c r="FO1981" s="1" t="s">
        <v>9805</v>
      </c>
      <c r="FP1981" s="1">
        <v>189.0</v>
      </c>
      <c r="FQ1981" s="1" t="s">
        <v>9806</v>
      </c>
      <c r="FU1981" s="1" t="s">
        <v>18891</v>
      </c>
      <c r="FV1981" s="1" t="s">
        <v>200</v>
      </c>
      <c r="FW1981" s="1" t="s">
        <v>530</v>
      </c>
      <c r="FX1981" s="1" t="s">
        <v>238</v>
      </c>
      <c r="FZ1981" s="1" t="s">
        <v>229</v>
      </c>
      <c r="GA1981" s="1" t="s">
        <v>291</v>
      </c>
      <c r="GB1981" s="2">
        <v>41990.0</v>
      </c>
      <c r="GC1981" s="1" t="s">
        <v>18892</v>
      </c>
    </row>
    <row r="1982">
      <c r="A1982" s="1">
        <v>785000.0</v>
      </c>
      <c r="B1982" s="1" t="s">
        <v>185</v>
      </c>
      <c r="C1982" s="1" t="str">
        <f>"08729284"</f>
        <v>08729284</v>
      </c>
      <c r="D1982" s="1" t="s">
        <v>186</v>
      </c>
      <c r="F1982" s="1" t="str">
        <f>"8005"</f>
        <v>8005</v>
      </c>
      <c r="G1982" s="2">
        <v>41898.0</v>
      </c>
      <c r="H1982" s="1">
        <v>849000.0</v>
      </c>
      <c r="I1982" s="1">
        <v>169.0</v>
      </c>
      <c r="J1982" s="1">
        <v>799000.0</v>
      </c>
      <c r="K1982" s="2">
        <v>42066.0</v>
      </c>
      <c r="L1982" s="1">
        <v>169.0</v>
      </c>
      <c r="M1982" s="2">
        <v>42066.0</v>
      </c>
      <c r="N1982" s="1" t="s">
        <v>187</v>
      </c>
      <c r="O1982" s="2">
        <v>42125.0</v>
      </c>
      <c r="P1982" s="1">
        <v>125093.0</v>
      </c>
      <c r="Q1982" s="1">
        <v>12604.0</v>
      </c>
      <c r="S1982" s="1">
        <v>2422.0</v>
      </c>
      <c r="T1982" s="1" t="s">
        <v>7220</v>
      </c>
      <c r="U1982" s="1" t="s">
        <v>320</v>
      </c>
      <c r="V1982" s="1" t="s">
        <v>190</v>
      </c>
      <c r="W1982" s="1">
        <v>60618.0</v>
      </c>
      <c r="Y1982" s="1" t="s">
        <v>9257</v>
      </c>
      <c r="Z1982" s="1">
        <v>2014.0</v>
      </c>
      <c r="AA1982" s="1" t="s">
        <v>200</v>
      </c>
      <c r="AB1982" s="1" t="s">
        <v>193</v>
      </c>
      <c r="AD1982" s="1" t="s">
        <v>194</v>
      </c>
      <c r="AE1982" s="1" t="s">
        <v>195</v>
      </c>
      <c r="AF1982" s="1" t="s">
        <v>196</v>
      </c>
      <c r="AH1982" s="1" t="s">
        <v>9258</v>
      </c>
      <c r="AK1982" s="1">
        <v>9.0</v>
      </c>
      <c r="AL1982" s="1">
        <v>4.0</v>
      </c>
      <c r="AM1982" s="1">
        <v>3.0</v>
      </c>
      <c r="AN1982" s="1">
        <v>1.0</v>
      </c>
      <c r="AO1982" s="1" t="s">
        <v>198</v>
      </c>
      <c r="AP1982" s="1">
        <v>1.0</v>
      </c>
      <c r="AQ1982" s="1" t="s">
        <v>472</v>
      </c>
      <c r="AR1982" s="1" t="s">
        <v>192</v>
      </c>
      <c r="AS1982" s="1" t="s">
        <v>199</v>
      </c>
      <c r="AT1982" s="1">
        <v>2.0</v>
      </c>
      <c r="AV1982" s="1" t="s">
        <v>200</v>
      </c>
      <c r="AW1982" s="1" t="s">
        <v>575</v>
      </c>
      <c r="AX1982" s="1">
        <v>2013.0</v>
      </c>
      <c r="AZ1982" s="1" t="s">
        <v>200</v>
      </c>
      <c r="BA1982" s="1" t="str">
        <f>"13252030290000"</f>
        <v>13252030290000</v>
      </c>
      <c r="BC1982" s="1">
        <v>3400.0</v>
      </c>
      <c r="BD1982" s="1">
        <v>785000.0</v>
      </c>
      <c r="BE1982" s="2">
        <v>41898.0</v>
      </c>
      <c r="BF1982" s="2" t="s">
        <v>9259</v>
      </c>
      <c r="BG1982" s="1" t="s">
        <v>6047</v>
      </c>
      <c r="BH1982" s="1">
        <v>0.0</v>
      </c>
      <c r="BJ1982" s="1" t="s">
        <v>203</v>
      </c>
      <c r="BK1982" s="1" t="s">
        <v>204</v>
      </c>
      <c r="BL1982" s="1" t="str">
        <f>"3130"</f>
        <v>3130</v>
      </c>
      <c r="BM1982" s="1" t="str">
        <f>"0"</f>
        <v>0</v>
      </c>
      <c r="BN1982" s="1">
        <v>2422.0</v>
      </c>
      <c r="BO1982" s="1">
        <v>0.0</v>
      </c>
      <c r="BQ1982" s="1">
        <v>299.0</v>
      </c>
      <c r="BR1982" s="1">
        <v>299.0</v>
      </c>
      <c r="BS1982" s="1">
        <v>299.0</v>
      </c>
      <c r="BU1982" s="1" t="s">
        <v>1483</v>
      </c>
      <c r="BV1982" s="1" t="s">
        <v>206</v>
      </c>
      <c r="BW1982" s="1" t="s">
        <v>207</v>
      </c>
      <c r="BY1982" s="1" t="s">
        <v>784</v>
      </c>
      <c r="BZ1982" s="1" t="s">
        <v>209</v>
      </c>
      <c r="CA1982" s="1" t="s">
        <v>207</v>
      </c>
      <c r="CC1982" s="1" t="s">
        <v>454</v>
      </c>
      <c r="CD1982" s="1" t="s">
        <v>206</v>
      </c>
      <c r="CE1982" s="1" t="s">
        <v>207</v>
      </c>
      <c r="CG1982" s="1" t="s">
        <v>212</v>
      </c>
      <c r="CH1982" s="1" t="s">
        <v>209</v>
      </c>
      <c r="CI1982" s="1" t="s">
        <v>207</v>
      </c>
      <c r="CK1982" s="1" t="s">
        <v>541</v>
      </c>
      <c r="CL1982" s="1" t="s">
        <v>209</v>
      </c>
      <c r="CM1982" s="1" t="s">
        <v>207</v>
      </c>
      <c r="CO1982" s="1" t="s">
        <v>743</v>
      </c>
      <c r="CP1982" s="1" t="s">
        <v>267</v>
      </c>
      <c r="CQ1982" s="1" t="s">
        <v>210</v>
      </c>
      <c r="CS1982" s="1" t="s">
        <v>260</v>
      </c>
      <c r="CT1982" s="1" t="s">
        <v>206</v>
      </c>
      <c r="CU1982" s="1" t="s">
        <v>207</v>
      </c>
      <c r="CW1982" s="1" t="s">
        <v>784</v>
      </c>
      <c r="CX1982" s="1" t="s">
        <v>206</v>
      </c>
      <c r="CY1982" s="1" t="s">
        <v>207</v>
      </c>
      <c r="DA1982" s="1" t="s">
        <v>192</v>
      </c>
      <c r="DB1982" s="2">
        <v>41958.0</v>
      </c>
      <c r="DC1982" s="1" t="s">
        <v>744</v>
      </c>
      <c r="DD1982" s="1" t="s">
        <v>957</v>
      </c>
      <c r="DE1982" s="1" t="s">
        <v>273</v>
      </c>
      <c r="DF1982" s="1" t="s">
        <v>219</v>
      </c>
      <c r="DG1982" s="1" t="s">
        <v>9249</v>
      </c>
      <c r="DH1982" s="1" t="s">
        <v>365</v>
      </c>
      <c r="DI1982" s="1" t="s">
        <v>703</v>
      </c>
      <c r="DJ1982" s="1" t="s">
        <v>3345</v>
      </c>
      <c r="DL1982" s="1" t="s">
        <v>224</v>
      </c>
      <c r="DM1982" s="1" t="s">
        <v>225</v>
      </c>
      <c r="DN1982" s="1" t="s">
        <v>2873</v>
      </c>
      <c r="DP1982" s="1" t="s">
        <v>276</v>
      </c>
      <c r="DQ1982" s="1" t="s">
        <v>718</v>
      </c>
      <c r="DR1982" s="1" t="s">
        <v>229</v>
      </c>
      <c r="DS1982" s="1" t="s">
        <v>230</v>
      </c>
      <c r="DU1982" s="1" t="s">
        <v>4671</v>
      </c>
      <c r="DV1982" s="1" t="s">
        <v>9260</v>
      </c>
      <c r="DW1982" s="1" t="s">
        <v>233</v>
      </c>
      <c r="DX1982" s="1" t="s">
        <v>234</v>
      </c>
      <c r="DY1982" s="1" t="s">
        <v>4490</v>
      </c>
      <c r="DZ1982" s="1" t="s">
        <v>282</v>
      </c>
      <c r="EA1982" s="1" t="s">
        <v>1027</v>
      </c>
      <c r="EB1982" s="1" t="s">
        <v>684</v>
      </c>
      <c r="EC1982" s="1" t="s">
        <v>237</v>
      </c>
      <c r="ED1982" s="1" t="s">
        <v>555</v>
      </c>
      <c r="EG1982" s="1" t="s">
        <v>450</v>
      </c>
      <c r="EH1982" s="1" t="s">
        <v>408</v>
      </c>
      <c r="EI1982" s="1" t="s">
        <v>2971</v>
      </c>
      <c r="EL1982" s="1" t="s">
        <v>394</v>
      </c>
      <c r="EM1982" s="1" t="s">
        <v>267</v>
      </c>
      <c r="EN1982" s="1" t="s">
        <v>210</v>
      </c>
      <c r="EP1982" s="1" t="s">
        <v>558</v>
      </c>
      <c r="EQ1982" s="1" t="s">
        <v>206</v>
      </c>
      <c r="ER1982" s="1" t="s">
        <v>268</v>
      </c>
      <c r="ET1982" s="1" t="s">
        <v>1137</v>
      </c>
      <c r="EU1982" s="1" t="s">
        <v>267</v>
      </c>
      <c r="EV1982" s="1" t="s">
        <v>210</v>
      </c>
      <c r="EY1982" s="1" t="s">
        <v>238</v>
      </c>
      <c r="FC1982" s="1" t="s">
        <v>238</v>
      </c>
      <c r="FF1982" s="1" t="s">
        <v>239</v>
      </c>
      <c r="FG1982" s="1" t="s">
        <v>192</v>
      </c>
      <c r="FH1982" s="1" t="s">
        <v>192</v>
      </c>
      <c r="FJ1982" s="1" t="s">
        <v>2285</v>
      </c>
      <c r="FK1982" s="1" t="s">
        <v>229</v>
      </c>
      <c r="FL1982" s="1" t="s">
        <v>974</v>
      </c>
      <c r="FM1982" s="1">
        <v>1746.0</v>
      </c>
      <c r="FN1982" s="1" t="s">
        <v>2523</v>
      </c>
      <c r="FO1982" s="1" t="s">
        <v>9261</v>
      </c>
      <c r="FP1982" s="1">
        <v>83991.0</v>
      </c>
      <c r="FQ1982" s="1" t="s">
        <v>9262</v>
      </c>
      <c r="FU1982" s="1" t="s">
        <v>18893</v>
      </c>
      <c r="FV1982" s="1" t="s">
        <v>200</v>
      </c>
      <c r="FW1982" s="1" t="s">
        <v>530</v>
      </c>
      <c r="FX1982" s="1" t="s">
        <v>246</v>
      </c>
      <c r="FZ1982" s="1" t="s">
        <v>229</v>
      </c>
      <c r="GA1982" s="1" t="s">
        <v>291</v>
      </c>
      <c r="GB1982" s="2">
        <v>42128.0</v>
      </c>
      <c r="GC1982" s="1" t="s">
        <v>18894</v>
      </c>
    </row>
    <row r="1983">
      <c r="A1983" s="1">
        <v>489000.0</v>
      </c>
      <c r="B1983" s="1" t="s">
        <v>185</v>
      </c>
      <c r="C1983" s="1" t="str">
        <f>"08730246"</f>
        <v>08730246</v>
      </c>
      <c r="D1983" s="1" t="s">
        <v>186</v>
      </c>
      <c r="F1983" s="1" t="str">
        <f>"510"</f>
        <v>510</v>
      </c>
      <c r="G1983" s="2">
        <v>41899.0</v>
      </c>
      <c r="H1983" s="1">
        <v>549500.0</v>
      </c>
      <c r="I1983" s="1">
        <v>192.0</v>
      </c>
      <c r="J1983" s="1">
        <v>499900.0</v>
      </c>
      <c r="K1983" s="2">
        <v>42090.0</v>
      </c>
      <c r="L1983" s="1">
        <v>192.0</v>
      </c>
      <c r="M1983" s="2">
        <v>42090.0</v>
      </c>
      <c r="N1983" s="1" t="s">
        <v>187</v>
      </c>
      <c r="O1983" s="2">
        <v>42135.0</v>
      </c>
      <c r="P1983" s="1">
        <v>219907.0</v>
      </c>
      <c r="Q1983" s="1">
        <v>24695.0</v>
      </c>
      <c r="S1983" s="1">
        <v>2286.0</v>
      </c>
      <c r="T1983" s="1" t="s">
        <v>18895</v>
      </c>
      <c r="U1983" s="1" t="s">
        <v>1174</v>
      </c>
      <c r="V1983" s="1" t="s">
        <v>2700</v>
      </c>
      <c r="W1983" s="1">
        <v>60510.0</v>
      </c>
      <c r="Y1983" s="1" t="s">
        <v>18896</v>
      </c>
      <c r="Z1983" s="1">
        <v>2003.0</v>
      </c>
      <c r="AA1983" s="1" t="s">
        <v>200</v>
      </c>
      <c r="AB1983" s="1" t="s">
        <v>193</v>
      </c>
      <c r="AC1983" s="1" t="s">
        <v>3086</v>
      </c>
      <c r="AD1983" s="1" t="s">
        <v>2702</v>
      </c>
      <c r="AE1983" s="1" t="s">
        <v>325</v>
      </c>
      <c r="AF1983" s="1" t="s">
        <v>2702</v>
      </c>
      <c r="AH1983" s="1" t="s">
        <v>18897</v>
      </c>
      <c r="AI1983" s="1">
        <v>0.29</v>
      </c>
      <c r="AK1983" s="1">
        <v>11.0</v>
      </c>
      <c r="AL1983" s="1">
        <v>4.0</v>
      </c>
      <c r="AM1983" s="1">
        <v>3.0</v>
      </c>
      <c r="AN1983" s="1">
        <v>1.0</v>
      </c>
      <c r="AO1983" s="1" t="s">
        <v>198</v>
      </c>
      <c r="AP1983" s="1">
        <v>2.0</v>
      </c>
      <c r="AQ1983" s="1" t="s">
        <v>198</v>
      </c>
      <c r="AR1983" s="1" t="s">
        <v>200</v>
      </c>
      <c r="AS1983" s="1" t="s">
        <v>199</v>
      </c>
      <c r="AT1983" s="1">
        <v>3.0</v>
      </c>
      <c r="AV1983" s="1" t="s">
        <v>200</v>
      </c>
      <c r="AW1983" s="1">
        <v>15571.0</v>
      </c>
      <c r="AX1983" s="1">
        <v>2013.0</v>
      </c>
      <c r="AY1983" s="1" t="s">
        <v>387</v>
      </c>
      <c r="AZ1983" s="1" t="s">
        <v>200</v>
      </c>
      <c r="BA1983" s="1" t="str">
        <f>"1229226001"</f>
        <v>1229226001</v>
      </c>
      <c r="BB1983" s="1" t="s">
        <v>200</v>
      </c>
      <c r="BC1983" s="1">
        <v>3727.0</v>
      </c>
      <c r="BD1983" s="1">
        <v>489000.0</v>
      </c>
      <c r="BE1983" s="2">
        <v>41899.0</v>
      </c>
      <c r="BF1983" s="2" t="s">
        <v>18898</v>
      </c>
      <c r="BH1983" s="1">
        <v>375.0</v>
      </c>
      <c r="BJ1983" s="1" t="s">
        <v>3091</v>
      </c>
      <c r="BK1983" s="1" t="s">
        <v>1952</v>
      </c>
      <c r="BL1983" s="1" t="str">
        <f t="shared" ref="BL1983:BM1983" si="1306">""</f>
        <v/>
      </c>
      <c r="BM1983" s="1" t="str">
        <f t="shared" si="1306"/>
        <v/>
      </c>
      <c r="BN1983" s="1">
        <v>37.0</v>
      </c>
      <c r="BO1983" s="1">
        <v>2.0</v>
      </c>
      <c r="BQ1983" s="1">
        <v>101.0</v>
      </c>
      <c r="BR1983" s="1">
        <v>101.0</v>
      </c>
      <c r="BS1983" s="1">
        <v>101.0</v>
      </c>
      <c r="BU1983" s="1" t="s">
        <v>433</v>
      </c>
      <c r="BV1983" s="1" t="s">
        <v>206</v>
      </c>
      <c r="BW1983" s="1" t="s">
        <v>210</v>
      </c>
      <c r="BX1983" s="1" t="s">
        <v>1549</v>
      </c>
      <c r="BY1983" s="1" t="s">
        <v>1600</v>
      </c>
      <c r="BZ1983" s="1" t="s">
        <v>209</v>
      </c>
      <c r="CA1983" s="1" t="s">
        <v>210</v>
      </c>
      <c r="CB1983" s="1" t="s">
        <v>431</v>
      </c>
      <c r="CC1983" s="1" t="s">
        <v>433</v>
      </c>
      <c r="CD1983" s="1" t="s">
        <v>206</v>
      </c>
      <c r="CE1983" s="1" t="s">
        <v>207</v>
      </c>
      <c r="CF1983" s="1" t="s">
        <v>1549</v>
      </c>
      <c r="CG1983" s="1" t="s">
        <v>830</v>
      </c>
      <c r="CH1983" s="1" t="s">
        <v>209</v>
      </c>
      <c r="CI1983" s="1" t="s">
        <v>210</v>
      </c>
      <c r="CK1983" s="1" t="s">
        <v>300</v>
      </c>
      <c r="CL1983" s="1" t="s">
        <v>209</v>
      </c>
      <c r="CM1983" s="1" t="s">
        <v>210</v>
      </c>
      <c r="CO1983" s="1" t="s">
        <v>584</v>
      </c>
      <c r="CP1983" s="1" t="s">
        <v>209</v>
      </c>
      <c r="CQ1983" s="1" t="s">
        <v>210</v>
      </c>
      <c r="CS1983" s="1" t="s">
        <v>1503</v>
      </c>
      <c r="CT1983" s="1" t="s">
        <v>206</v>
      </c>
      <c r="CU1983" s="1" t="s">
        <v>268</v>
      </c>
      <c r="CW1983" s="1" t="s">
        <v>13124</v>
      </c>
      <c r="CX1983" s="1" t="s">
        <v>206</v>
      </c>
      <c r="CY1983" s="1" t="s">
        <v>210</v>
      </c>
      <c r="CZ1983" s="1" t="s">
        <v>431</v>
      </c>
      <c r="DA1983" s="1" t="s">
        <v>200</v>
      </c>
      <c r="DC1983" s="1" t="s">
        <v>335</v>
      </c>
      <c r="DD1983" s="1" t="s">
        <v>731</v>
      </c>
      <c r="DE1983" s="1" t="s">
        <v>3750</v>
      </c>
      <c r="DF1983" s="1" t="s">
        <v>619</v>
      </c>
      <c r="DG1983" s="1" t="s">
        <v>1266</v>
      </c>
      <c r="DH1983" s="1" t="s">
        <v>220</v>
      </c>
      <c r="DI1983" s="1" t="s">
        <v>1047</v>
      </c>
      <c r="DJ1983" s="1" t="s">
        <v>222</v>
      </c>
      <c r="DK1983" s="1" t="s">
        <v>223</v>
      </c>
      <c r="DL1983" s="1" t="s">
        <v>484</v>
      </c>
      <c r="DM1983" s="1" t="s">
        <v>338</v>
      </c>
      <c r="DN1983" s="1" t="s">
        <v>399</v>
      </c>
      <c r="DO1983" s="1" t="s">
        <v>486</v>
      </c>
      <c r="DP1983" s="1" t="s">
        <v>340</v>
      </c>
      <c r="DQ1983" s="1" t="s">
        <v>441</v>
      </c>
      <c r="DR1983" s="1" t="s">
        <v>2593</v>
      </c>
      <c r="DS1983" s="1" t="s">
        <v>591</v>
      </c>
      <c r="DU1983" s="1" t="s">
        <v>18899</v>
      </c>
      <c r="DV1983" s="1" t="s">
        <v>18900</v>
      </c>
      <c r="DW1983" s="1" t="s">
        <v>764</v>
      </c>
      <c r="DX1983" s="1" t="s">
        <v>234</v>
      </c>
      <c r="DY1983" s="1" t="s">
        <v>1559</v>
      </c>
      <c r="DZ1983" s="1" t="s">
        <v>2424</v>
      </c>
      <c r="EA1983" s="1" t="s">
        <v>3308</v>
      </c>
      <c r="EB1983" s="1" t="s">
        <v>492</v>
      </c>
      <c r="EC1983" s="1" t="s">
        <v>237</v>
      </c>
      <c r="ED1983" s="1" t="s">
        <v>555</v>
      </c>
      <c r="EG1983" s="1" t="s">
        <v>598</v>
      </c>
      <c r="EI1983" s="1" t="s">
        <v>408</v>
      </c>
      <c r="EJ1983" s="1" t="s">
        <v>1121</v>
      </c>
      <c r="EK1983" s="1" t="s">
        <v>1729</v>
      </c>
      <c r="EL1983" s="1" t="s">
        <v>623</v>
      </c>
      <c r="EM1983" s="1" t="s">
        <v>209</v>
      </c>
      <c r="EN1983" s="1" t="s">
        <v>210</v>
      </c>
      <c r="EQ1983" s="1" t="s">
        <v>238</v>
      </c>
      <c r="ET1983" s="1" t="s">
        <v>392</v>
      </c>
      <c r="EU1983" s="1" t="s">
        <v>206</v>
      </c>
      <c r="EV1983" s="1" t="s">
        <v>268</v>
      </c>
      <c r="EX1983" s="1" t="s">
        <v>623</v>
      </c>
      <c r="EY1983" s="1" t="s">
        <v>209</v>
      </c>
      <c r="EZ1983" s="1" t="s">
        <v>210</v>
      </c>
      <c r="FB1983" s="1" t="s">
        <v>495</v>
      </c>
      <c r="FC1983" s="1" t="s">
        <v>206</v>
      </c>
      <c r="FD1983" s="1" t="s">
        <v>268</v>
      </c>
      <c r="FF1983" s="1" t="s">
        <v>239</v>
      </c>
      <c r="FG1983" s="1" t="s">
        <v>192</v>
      </c>
      <c r="FH1983" s="1" t="s">
        <v>192</v>
      </c>
      <c r="FJ1983" s="1" t="s">
        <v>2206</v>
      </c>
      <c r="FK1983" s="1" t="s">
        <v>348</v>
      </c>
      <c r="FL1983" s="1" t="s">
        <v>1855</v>
      </c>
      <c r="FM1983" s="1">
        <v>41.0</v>
      </c>
      <c r="FN1983" s="1" t="s">
        <v>1856</v>
      </c>
      <c r="FO1983" s="1" t="s">
        <v>18901</v>
      </c>
      <c r="FP1983" s="1">
        <v>1988.0</v>
      </c>
      <c r="FQ1983" s="1" t="s">
        <v>18902</v>
      </c>
      <c r="FR1983" s="1">
        <v>7786.0</v>
      </c>
      <c r="FU1983" s="1" t="s">
        <v>18903</v>
      </c>
      <c r="FV1983" s="1" t="s">
        <v>200</v>
      </c>
      <c r="FW1983" s="1" t="s">
        <v>2797</v>
      </c>
      <c r="FZ1983" s="1" t="s">
        <v>229</v>
      </c>
      <c r="GA1983" s="1" t="s">
        <v>291</v>
      </c>
      <c r="GB1983" s="2">
        <v>42137.0</v>
      </c>
      <c r="GC1983" s="1" t="s">
        <v>18904</v>
      </c>
    </row>
    <row r="1984">
      <c r="A1984" s="1">
        <v>785000.0</v>
      </c>
      <c r="B1984" s="1" t="s">
        <v>185</v>
      </c>
      <c r="C1984" s="1" t="str">
        <f>"08729182"</f>
        <v>08729182</v>
      </c>
      <c r="D1984" s="1" t="s">
        <v>186</v>
      </c>
      <c r="F1984" s="1" t="str">
        <f>"8007"</f>
        <v>8007</v>
      </c>
      <c r="G1984" s="2">
        <v>41898.0</v>
      </c>
      <c r="H1984" s="1">
        <v>829000.0</v>
      </c>
      <c r="I1984" s="1">
        <v>37.0</v>
      </c>
      <c r="J1984" s="1">
        <v>829000.0</v>
      </c>
      <c r="K1984" s="2">
        <v>41934.0</v>
      </c>
      <c r="L1984" s="1">
        <v>37.0</v>
      </c>
      <c r="M1984" s="2">
        <v>41934.0</v>
      </c>
      <c r="N1984" s="1" t="s">
        <v>187</v>
      </c>
      <c r="O1984" s="2">
        <v>41978.0</v>
      </c>
      <c r="P1984" s="1">
        <v>125579.0</v>
      </c>
      <c r="Q1984" s="1">
        <v>15694.0</v>
      </c>
      <c r="S1984" s="1">
        <v>1243.0</v>
      </c>
      <c r="T1984" s="1" t="s">
        <v>18905</v>
      </c>
      <c r="U1984" s="1" t="s">
        <v>320</v>
      </c>
      <c r="V1984" s="1" t="s">
        <v>190</v>
      </c>
      <c r="W1984" s="1">
        <v>60614.0</v>
      </c>
      <c r="Y1984" s="1" t="s">
        <v>18906</v>
      </c>
      <c r="Z1984" s="1">
        <v>1890.0</v>
      </c>
      <c r="AA1984" s="1" t="s">
        <v>192</v>
      </c>
      <c r="AB1984" s="1" t="s">
        <v>193</v>
      </c>
      <c r="AD1984" s="1" t="s">
        <v>194</v>
      </c>
      <c r="AE1984" s="1" t="s">
        <v>195</v>
      </c>
      <c r="AF1984" s="1" t="s">
        <v>534</v>
      </c>
      <c r="AH1984" s="1" t="s">
        <v>18907</v>
      </c>
      <c r="AK1984" s="1">
        <v>8.0</v>
      </c>
      <c r="AL1984" s="1">
        <v>4.0</v>
      </c>
      <c r="AM1984" s="1">
        <v>2.0</v>
      </c>
      <c r="AN1984" s="1">
        <v>0.0</v>
      </c>
      <c r="AO1984" s="1" t="s">
        <v>229</v>
      </c>
      <c r="AP1984" s="1">
        <v>1.0</v>
      </c>
      <c r="AQ1984" s="1" t="s">
        <v>198</v>
      </c>
      <c r="AR1984" s="1" t="s">
        <v>192</v>
      </c>
      <c r="AS1984" s="1" t="s">
        <v>828</v>
      </c>
      <c r="AU1984" s="1">
        <v>2.0</v>
      </c>
      <c r="AV1984" s="1" t="s">
        <v>200</v>
      </c>
      <c r="AW1984" s="1">
        <v>9662.0</v>
      </c>
      <c r="AX1984" s="1">
        <v>2013.0</v>
      </c>
      <c r="AZ1984" s="1" t="s">
        <v>200</v>
      </c>
      <c r="BA1984" s="1" t="str">
        <f>"14293150200000"</f>
        <v>14293150200000</v>
      </c>
      <c r="BC1984" s="1">
        <v>0.0</v>
      </c>
      <c r="BD1984" s="1">
        <v>785000.0</v>
      </c>
      <c r="BE1984" s="2">
        <v>41898.0</v>
      </c>
      <c r="BF1984" s="2" t="s">
        <v>18908</v>
      </c>
      <c r="BH1984" s="1">
        <v>0.0</v>
      </c>
      <c r="BK1984" s="1" t="s">
        <v>204</v>
      </c>
      <c r="BL1984" s="1" t="str">
        <f>"2550"</f>
        <v>2550</v>
      </c>
      <c r="BM1984" s="1" t="str">
        <f t="shared" ref="BM1984:BM1986" si="1307">"0"</f>
        <v>0</v>
      </c>
      <c r="BN1984" s="1">
        <v>1243.0</v>
      </c>
      <c r="BO1984" s="1">
        <v>0.0</v>
      </c>
      <c r="BP1984" s="1" t="s">
        <v>18909</v>
      </c>
      <c r="BQ1984" s="1">
        <v>299.0</v>
      </c>
      <c r="BR1984" s="1">
        <v>299.0</v>
      </c>
      <c r="BS1984" s="1">
        <v>299.0</v>
      </c>
      <c r="BU1984" s="1" t="s">
        <v>1483</v>
      </c>
      <c r="BV1984" s="1" t="s">
        <v>206</v>
      </c>
      <c r="BW1984" s="1" t="s">
        <v>207</v>
      </c>
      <c r="BY1984" s="1" t="s">
        <v>830</v>
      </c>
      <c r="BZ1984" s="1" t="s">
        <v>209</v>
      </c>
      <c r="CA1984" s="1" t="s">
        <v>207</v>
      </c>
      <c r="CC1984" s="1" t="s">
        <v>584</v>
      </c>
      <c r="CD1984" s="1" t="s">
        <v>206</v>
      </c>
      <c r="CE1984" s="1" t="s">
        <v>207</v>
      </c>
      <c r="CG1984" s="1" t="s">
        <v>1760</v>
      </c>
      <c r="CH1984" s="1" t="s">
        <v>209</v>
      </c>
      <c r="CI1984" s="1" t="s">
        <v>207</v>
      </c>
      <c r="CK1984" s="1" t="s">
        <v>663</v>
      </c>
      <c r="CL1984" s="1" t="s">
        <v>209</v>
      </c>
      <c r="CM1984" s="1" t="s">
        <v>207</v>
      </c>
      <c r="CO1984" s="1" t="s">
        <v>1584</v>
      </c>
      <c r="CP1984" s="1" t="s">
        <v>209</v>
      </c>
      <c r="CQ1984" s="1" t="s">
        <v>207</v>
      </c>
      <c r="CS1984" s="1" t="s">
        <v>478</v>
      </c>
      <c r="CT1984" s="1" t="s">
        <v>206</v>
      </c>
      <c r="CU1984" s="1" t="s">
        <v>207</v>
      </c>
      <c r="CX1984" s="1" t="s">
        <v>204</v>
      </c>
      <c r="DA1984" s="1" t="s">
        <v>200</v>
      </c>
      <c r="DC1984" s="1" t="s">
        <v>642</v>
      </c>
      <c r="DE1984" s="1" t="s">
        <v>218</v>
      </c>
      <c r="DF1984" s="1" t="s">
        <v>619</v>
      </c>
      <c r="DH1984" s="1" t="s">
        <v>307</v>
      </c>
      <c r="DJ1984" s="1" t="s">
        <v>222</v>
      </c>
      <c r="DL1984" s="1" t="s">
        <v>223</v>
      </c>
      <c r="DM1984" s="1" t="s">
        <v>229</v>
      </c>
      <c r="DP1984" s="1" t="s">
        <v>340</v>
      </c>
      <c r="DQ1984" s="1" t="s">
        <v>228</v>
      </c>
      <c r="DR1984" s="1" t="s">
        <v>229</v>
      </c>
      <c r="DV1984" s="1" t="s">
        <v>5014</v>
      </c>
      <c r="DW1984" s="1" t="s">
        <v>832</v>
      </c>
      <c r="DX1984" s="1" t="s">
        <v>234</v>
      </c>
      <c r="DY1984" s="1" t="s">
        <v>596</v>
      </c>
      <c r="EC1984" s="1" t="s">
        <v>237</v>
      </c>
      <c r="EG1984" s="1" t="s">
        <v>494</v>
      </c>
      <c r="EH1984" s="1" t="s">
        <v>408</v>
      </c>
      <c r="EL1984" s="1" t="s">
        <v>2083</v>
      </c>
      <c r="EM1984" s="1" t="s">
        <v>206</v>
      </c>
      <c r="EP1984" s="1" t="s">
        <v>4450</v>
      </c>
      <c r="EQ1984" s="1" t="s">
        <v>206</v>
      </c>
      <c r="ER1984" s="1" t="s">
        <v>207</v>
      </c>
      <c r="EU1984" s="1" t="s">
        <v>238</v>
      </c>
      <c r="EY1984" s="1" t="s">
        <v>238</v>
      </c>
      <c r="FC1984" s="1" t="s">
        <v>238</v>
      </c>
      <c r="FF1984" s="1" t="s">
        <v>239</v>
      </c>
      <c r="FG1984" s="1" t="s">
        <v>192</v>
      </c>
      <c r="FH1984" s="1" t="s">
        <v>192</v>
      </c>
      <c r="FJ1984" s="1" t="s">
        <v>3755</v>
      </c>
      <c r="FK1984" s="1" t="s">
        <v>229</v>
      </c>
      <c r="FL1984" s="1" t="s">
        <v>562</v>
      </c>
      <c r="FM1984" s="1">
        <v>84025.0</v>
      </c>
      <c r="FN1984" s="1" t="s">
        <v>2509</v>
      </c>
      <c r="FO1984" s="1" t="s">
        <v>18910</v>
      </c>
      <c r="FP1984" s="1">
        <v>109819.0</v>
      </c>
      <c r="FQ1984" s="1" t="s">
        <v>18911</v>
      </c>
      <c r="FU1984" s="1" t="s">
        <v>18912</v>
      </c>
      <c r="FV1984" s="1" t="s">
        <v>192</v>
      </c>
      <c r="FW1984" s="1" t="s">
        <v>18913</v>
      </c>
      <c r="FX1984" s="1" t="s">
        <v>246</v>
      </c>
      <c r="FZ1984" s="1" t="s">
        <v>229</v>
      </c>
      <c r="GA1984" s="1" t="s">
        <v>291</v>
      </c>
      <c r="GB1984" s="2">
        <v>41982.0</v>
      </c>
    </row>
    <row r="1985">
      <c r="A1985" s="1">
        <v>240000.0</v>
      </c>
      <c r="B1985" s="1" t="s">
        <v>185</v>
      </c>
      <c r="C1985" s="1" t="str">
        <f>"08730122"</f>
        <v>08730122</v>
      </c>
      <c r="D1985" s="1" t="s">
        <v>186</v>
      </c>
      <c r="F1985" s="1" t="str">
        <f>"8001"</f>
        <v>8001</v>
      </c>
      <c r="G1985" s="2">
        <v>41898.0</v>
      </c>
      <c r="H1985" s="1">
        <v>299900.0</v>
      </c>
      <c r="I1985" s="1">
        <v>103.0</v>
      </c>
      <c r="J1985" s="1">
        <v>269900.0</v>
      </c>
      <c r="K1985" s="2">
        <v>42000.0</v>
      </c>
      <c r="L1985" s="1">
        <v>103.0</v>
      </c>
      <c r="M1985" s="2">
        <v>42000.0</v>
      </c>
      <c r="N1985" s="1" t="s">
        <v>249</v>
      </c>
      <c r="O1985" s="2">
        <v>42030.0</v>
      </c>
      <c r="P1985" s="1">
        <v>37162.0</v>
      </c>
      <c r="Q1985" s="1">
        <v>4692.0</v>
      </c>
      <c r="S1985" s="1">
        <v>7430.0</v>
      </c>
      <c r="T1985" s="1" t="s">
        <v>948</v>
      </c>
      <c r="U1985" s="1" t="s">
        <v>320</v>
      </c>
      <c r="V1985" s="1" t="s">
        <v>190</v>
      </c>
      <c r="W1985" s="1">
        <v>60626.0</v>
      </c>
      <c r="Y1985" s="1" t="s">
        <v>18914</v>
      </c>
      <c r="Z1985" s="1">
        <v>1901.0</v>
      </c>
      <c r="AA1985" s="1" t="s">
        <v>192</v>
      </c>
      <c r="AB1985" s="1" t="s">
        <v>193</v>
      </c>
      <c r="AD1985" s="1" t="s">
        <v>194</v>
      </c>
      <c r="AE1985" s="1" t="s">
        <v>195</v>
      </c>
      <c r="AF1985" s="1" t="s">
        <v>2323</v>
      </c>
      <c r="AH1985" s="1" t="s">
        <v>18915</v>
      </c>
      <c r="AK1985" s="1">
        <v>7.0</v>
      </c>
      <c r="AL1985" s="1">
        <v>4.0</v>
      </c>
      <c r="AM1985" s="1">
        <v>1.0</v>
      </c>
      <c r="AN1985" s="1">
        <v>1.0</v>
      </c>
      <c r="AO1985" s="1" t="s">
        <v>229</v>
      </c>
      <c r="AQ1985" s="1" t="s">
        <v>198</v>
      </c>
      <c r="AR1985" s="1" t="s">
        <v>200</v>
      </c>
      <c r="AS1985" s="1" t="s">
        <v>229</v>
      </c>
      <c r="AV1985" s="1" t="s">
        <v>200</v>
      </c>
      <c r="AW1985" s="1">
        <v>6221.0</v>
      </c>
      <c r="AX1985" s="1">
        <v>2012.0</v>
      </c>
      <c r="AZ1985" s="1" t="s">
        <v>200</v>
      </c>
      <c r="BA1985" s="1" t="str">
        <f>"11304130090000"</f>
        <v>11304130090000</v>
      </c>
      <c r="BC1985" s="1">
        <v>1722.0</v>
      </c>
      <c r="BD1985" s="1">
        <v>240000.0</v>
      </c>
      <c r="BE1985" s="2">
        <v>41898.0</v>
      </c>
      <c r="BF1985" s="2" t="s">
        <v>18916</v>
      </c>
      <c r="BH1985" s="1">
        <v>0.0</v>
      </c>
      <c r="BK1985" s="1" t="s">
        <v>204</v>
      </c>
      <c r="BL1985" s="1" t="str">
        <f>"7430"</f>
        <v>7430</v>
      </c>
      <c r="BM1985" s="1" t="str">
        <f t="shared" si="1307"/>
        <v>0</v>
      </c>
      <c r="BN1985" s="1">
        <v>1700.0</v>
      </c>
      <c r="BO1985" s="1">
        <v>0.0</v>
      </c>
      <c r="BQ1985" s="1">
        <v>299.0</v>
      </c>
      <c r="BR1985" s="1">
        <v>299.0</v>
      </c>
      <c r="BS1985" s="1">
        <v>299.0</v>
      </c>
      <c r="BU1985" s="1" t="s">
        <v>1158</v>
      </c>
      <c r="BV1985" s="1" t="s">
        <v>206</v>
      </c>
      <c r="BY1985" s="1" t="s">
        <v>433</v>
      </c>
      <c r="BZ1985" s="1" t="s">
        <v>209</v>
      </c>
      <c r="CC1985" s="1" t="s">
        <v>329</v>
      </c>
      <c r="CD1985" s="1" t="s">
        <v>206</v>
      </c>
      <c r="CG1985" s="1" t="s">
        <v>497</v>
      </c>
      <c r="CH1985" s="1" t="s">
        <v>209</v>
      </c>
      <c r="CK1985" s="1" t="s">
        <v>265</v>
      </c>
      <c r="CL1985" s="1" t="s">
        <v>209</v>
      </c>
      <c r="CO1985" s="1" t="s">
        <v>269</v>
      </c>
      <c r="CP1985" s="1" t="s">
        <v>209</v>
      </c>
      <c r="CS1985" s="1" t="s">
        <v>516</v>
      </c>
      <c r="CT1985" s="1" t="s">
        <v>206</v>
      </c>
      <c r="CX1985" s="1" t="s">
        <v>204</v>
      </c>
      <c r="DA1985" s="1" t="s">
        <v>200</v>
      </c>
      <c r="DC1985" s="1" t="s">
        <v>642</v>
      </c>
      <c r="DE1985" s="1" t="s">
        <v>229</v>
      </c>
      <c r="DF1985" s="1" t="s">
        <v>619</v>
      </c>
      <c r="DH1985" s="1" t="s">
        <v>307</v>
      </c>
      <c r="DJ1985" s="1" t="s">
        <v>222</v>
      </c>
      <c r="DL1985" s="1" t="s">
        <v>223</v>
      </c>
      <c r="DM1985" s="1" t="s">
        <v>1464</v>
      </c>
      <c r="DQ1985" s="1" t="s">
        <v>228</v>
      </c>
      <c r="DR1985" s="1" t="s">
        <v>229</v>
      </c>
      <c r="DV1985" s="1" t="s">
        <v>232</v>
      </c>
      <c r="DW1985" s="1" t="s">
        <v>667</v>
      </c>
      <c r="DX1985" s="1" t="s">
        <v>234</v>
      </c>
      <c r="EA1985" s="1" t="s">
        <v>3112</v>
      </c>
      <c r="EC1985" s="1" t="s">
        <v>237</v>
      </c>
      <c r="EM1985" s="1" t="s">
        <v>238</v>
      </c>
      <c r="EQ1985" s="1" t="s">
        <v>238</v>
      </c>
      <c r="EU1985" s="1" t="s">
        <v>238</v>
      </c>
      <c r="EY1985" s="1" t="s">
        <v>238</v>
      </c>
      <c r="FC1985" s="1" t="s">
        <v>238</v>
      </c>
      <c r="FF1985" s="1" t="s">
        <v>239</v>
      </c>
      <c r="FG1985" s="1" t="s">
        <v>192</v>
      </c>
      <c r="FH1985" s="1" t="s">
        <v>192</v>
      </c>
      <c r="FJ1985" s="1" t="s">
        <v>1248</v>
      </c>
      <c r="FK1985" s="1" t="s">
        <v>229</v>
      </c>
      <c r="FL1985" s="1" t="s">
        <v>18917</v>
      </c>
      <c r="FM1985" s="1">
        <v>3706.0</v>
      </c>
      <c r="FN1985" s="1" t="s">
        <v>18918</v>
      </c>
      <c r="FO1985" s="1" t="s">
        <v>18919</v>
      </c>
      <c r="FP1985" s="1">
        <v>38455.0</v>
      </c>
      <c r="FQ1985" s="1" t="s">
        <v>18918</v>
      </c>
      <c r="FU1985" s="1" t="s">
        <v>18920</v>
      </c>
      <c r="FV1985" s="1" t="s">
        <v>200</v>
      </c>
      <c r="FW1985" s="1" t="s">
        <v>1411</v>
      </c>
      <c r="FX1985" s="1" t="s">
        <v>238</v>
      </c>
      <c r="FZ1985" s="1" t="s">
        <v>229</v>
      </c>
      <c r="GA1985" s="1" t="s">
        <v>291</v>
      </c>
      <c r="GB1985" s="2">
        <v>42030.0</v>
      </c>
      <c r="GC1985" s="1" t="s">
        <v>18921</v>
      </c>
    </row>
    <row r="1986">
      <c r="A1986" s="1">
        <v>465000.0</v>
      </c>
      <c r="B1986" s="1" t="s">
        <v>185</v>
      </c>
      <c r="C1986" s="1" t="str">
        <f>"08732580"</f>
        <v>08732580</v>
      </c>
      <c r="D1986" s="1" t="s">
        <v>186</v>
      </c>
      <c r="F1986" s="1" t="str">
        <f>"134"</f>
        <v>134</v>
      </c>
      <c r="G1986" s="2">
        <v>41901.0</v>
      </c>
      <c r="H1986" s="1">
        <v>474900.0</v>
      </c>
      <c r="I1986" s="1">
        <v>101.0</v>
      </c>
      <c r="J1986" s="1">
        <v>474900.0</v>
      </c>
      <c r="K1986" s="2">
        <v>41916.0</v>
      </c>
      <c r="L1986" s="1">
        <v>17.0</v>
      </c>
      <c r="M1986" s="2">
        <v>41916.0</v>
      </c>
      <c r="N1986" s="1" t="s">
        <v>187</v>
      </c>
      <c r="O1986" s="2">
        <v>41985.0</v>
      </c>
      <c r="P1986" s="1">
        <v>253752.0</v>
      </c>
      <c r="Q1986" s="1">
        <v>25083.0</v>
      </c>
      <c r="S1986" s="1" t="s">
        <v>18922</v>
      </c>
      <c r="T1986" s="1" t="s">
        <v>18923</v>
      </c>
      <c r="U1986" s="1" t="s">
        <v>694</v>
      </c>
      <c r="V1986" s="1" t="s">
        <v>421</v>
      </c>
      <c r="W1986" s="1">
        <v>60134.0</v>
      </c>
      <c r="Y1986" s="1" t="s">
        <v>18924</v>
      </c>
      <c r="Z1986" s="1">
        <v>2006.0</v>
      </c>
      <c r="AA1986" s="1" t="s">
        <v>200</v>
      </c>
      <c r="AB1986" s="1" t="s">
        <v>193</v>
      </c>
      <c r="AC1986" s="1" t="s">
        <v>2478</v>
      </c>
      <c r="AD1986" s="1" t="s">
        <v>1089</v>
      </c>
      <c r="AE1986" s="1" t="s">
        <v>325</v>
      </c>
      <c r="AF1986" s="1" t="s">
        <v>424</v>
      </c>
      <c r="AH1986" s="1" t="s">
        <v>18925</v>
      </c>
      <c r="AI1986" s="1">
        <v>0.27</v>
      </c>
      <c r="AK1986" s="1">
        <v>9.0</v>
      </c>
      <c r="AL1986" s="1">
        <v>4.0</v>
      </c>
      <c r="AM1986" s="1">
        <v>2.0</v>
      </c>
      <c r="AN1986" s="1">
        <v>1.0</v>
      </c>
      <c r="AO1986" s="1" t="s">
        <v>198</v>
      </c>
      <c r="AP1986" s="1">
        <v>1.0</v>
      </c>
      <c r="AQ1986" s="1" t="s">
        <v>198</v>
      </c>
      <c r="AR1986" s="1" t="s">
        <v>200</v>
      </c>
      <c r="AS1986" s="1" t="s">
        <v>199</v>
      </c>
      <c r="AT1986" s="1">
        <v>3.0</v>
      </c>
      <c r="AV1986" s="1" t="s">
        <v>200</v>
      </c>
      <c r="AW1986" s="1">
        <v>12160.0</v>
      </c>
      <c r="AX1986" s="1">
        <v>2013.0</v>
      </c>
      <c r="AY1986" s="1" t="s">
        <v>387</v>
      </c>
      <c r="AZ1986" s="1" t="s">
        <v>192</v>
      </c>
      <c r="BA1986" s="1" t="str">
        <f>"1207179013"</f>
        <v>1207179013</v>
      </c>
      <c r="BB1986" s="1" t="s">
        <v>200</v>
      </c>
      <c r="BC1986" s="1">
        <v>3290.0</v>
      </c>
      <c r="BD1986" s="1">
        <v>465000.0</v>
      </c>
      <c r="BE1986" s="2">
        <v>41900.0</v>
      </c>
      <c r="BF1986" s="2" t="s">
        <v>18926</v>
      </c>
      <c r="BG1986" s="1" t="s">
        <v>7493</v>
      </c>
      <c r="BH1986" s="1">
        <v>0.0</v>
      </c>
      <c r="BI1986" s="1" t="s">
        <v>429</v>
      </c>
      <c r="BJ1986" s="1" t="s">
        <v>430</v>
      </c>
      <c r="BK1986" s="1" t="s">
        <v>204</v>
      </c>
      <c r="BL1986" s="1" t="str">
        <f>"1"</f>
        <v>1</v>
      </c>
      <c r="BM1986" s="1" t="str">
        <f t="shared" si="1307"/>
        <v>0</v>
      </c>
      <c r="BN1986" s="1">
        <v>39.0</v>
      </c>
      <c r="BO1986" s="1">
        <v>0.0</v>
      </c>
      <c r="BQ1986" s="1">
        <v>304.0</v>
      </c>
      <c r="BR1986" s="1">
        <v>304.0</v>
      </c>
      <c r="BS1986" s="1">
        <v>304.0</v>
      </c>
      <c r="BU1986" s="1" t="s">
        <v>582</v>
      </c>
      <c r="BV1986" s="1" t="s">
        <v>206</v>
      </c>
      <c r="BW1986" s="1" t="s">
        <v>207</v>
      </c>
      <c r="BX1986" s="1" t="s">
        <v>431</v>
      </c>
      <c r="BY1986" s="1" t="s">
        <v>1000</v>
      </c>
      <c r="BZ1986" s="1" t="s">
        <v>209</v>
      </c>
      <c r="CA1986" s="1" t="s">
        <v>210</v>
      </c>
      <c r="CB1986" s="1" t="s">
        <v>431</v>
      </c>
      <c r="CC1986" s="1" t="s">
        <v>213</v>
      </c>
      <c r="CD1986" s="1" t="s">
        <v>206</v>
      </c>
      <c r="CE1986" s="1" t="s">
        <v>207</v>
      </c>
      <c r="CF1986" s="1" t="s">
        <v>431</v>
      </c>
      <c r="CG1986" s="1" t="s">
        <v>584</v>
      </c>
      <c r="CH1986" s="1" t="s">
        <v>209</v>
      </c>
      <c r="CI1986" s="1" t="s">
        <v>210</v>
      </c>
      <c r="CJ1986" s="1" t="s">
        <v>431</v>
      </c>
      <c r="CK1986" s="1" t="s">
        <v>332</v>
      </c>
      <c r="CL1986" s="1" t="s">
        <v>209</v>
      </c>
      <c r="CM1986" s="1" t="s">
        <v>210</v>
      </c>
      <c r="CN1986" s="1" t="s">
        <v>431</v>
      </c>
      <c r="CO1986" s="1" t="s">
        <v>363</v>
      </c>
      <c r="CP1986" s="1" t="s">
        <v>209</v>
      </c>
      <c r="CQ1986" s="1" t="s">
        <v>210</v>
      </c>
      <c r="CR1986" s="1" t="s">
        <v>431</v>
      </c>
      <c r="CS1986" s="1" t="s">
        <v>4353</v>
      </c>
      <c r="CT1986" s="1" t="s">
        <v>206</v>
      </c>
      <c r="CU1986" s="1" t="s">
        <v>207</v>
      </c>
      <c r="CV1986" s="1" t="s">
        <v>431</v>
      </c>
      <c r="CW1986" s="1" t="s">
        <v>477</v>
      </c>
      <c r="CX1986" s="1" t="s">
        <v>206</v>
      </c>
      <c r="CY1986" s="1" t="s">
        <v>210</v>
      </c>
      <c r="CZ1986" s="1" t="s">
        <v>431</v>
      </c>
      <c r="DA1986" s="1" t="s">
        <v>200</v>
      </c>
      <c r="DC1986" s="1" t="s">
        <v>481</v>
      </c>
      <c r="DD1986" s="1" t="s">
        <v>1838</v>
      </c>
      <c r="DE1986" s="1" t="s">
        <v>273</v>
      </c>
      <c r="DF1986" s="1" t="s">
        <v>219</v>
      </c>
      <c r="DG1986" s="1" t="s">
        <v>1266</v>
      </c>
      <c r="DH1986" s="1" t="s">
        <v>1603</v>
      </c>
      <c r="DI1986" s="1" t="s">
        <v>5345</v>
      </c>
      <c r="DJ1986" s="1" t="s">
        <v>222</v>
      </c>
      <c r="DK1986" s="1" t="s">
        <v>2312</v>
      </c>
      <c r="DL1986" s="1" t="s">
        <v>484</v>
      </c>
      <c r="DM1986" s="1" t="s">
        <v>338</v>
      </c>
      <c r="DN1986" s="1" t="s">
        <v>485</v>
      </c>
      <c r="DO1986" s="1" t="s">
        <v>2421</v>
      </c>
      <c r="DP1986" s="1" t="s">
        <v>340</v>
      </c>
      <c r="DQ1986" s="1" t="s">
        <v>441</v>
      </c>
      <c r="DR1986" s="1" t="s">
        <v>229</v>
      </c>
      <c r="DS1986" s="1" t="s">
        <v>368</v>
      </c>
      <c r="DU1986" s="1" t="s">
        <v>18927</v>
      </c>
      <c r="DV1986" s="1" t="s">
        <v>18928</v>
      </c>
      <c r="DW1986" s="1" t="s">
        <v>370</v>
      </c>
      <c r="DX1986" s="1" t="s">
        <v>1287</v>
      </c>
      <c r="DY1986" s="1" t="s">
        <v>1936</v>
      </c>
      <c r="DZ1986" s="1" t="s">
        <v>4162</v>
      </c>
      <c r="EA1986" s="1" t="s">
        <v>344</v>
      </c>
      <c r="EB1986" s="1" t="s">
        <v>937</v>
      </c>
      <c r="EC1986" s="1" t="s">
        <v>237</v>
      </c>
      <c r="ED1986" s="1" t="s">
        <v>407</v>
      </c>
      <c r="EG1986" s="1" t="s">
        <v>494</v>
      </c>
      <c r="EH1986" s="1" t="s">
        <v>409</v>
      </c>
      <c r="EL1986" s="1" t="s">
        <v>264</v>
      </c>
      <c r="EM1986" s="1" t="s">
        <v>206</v>
      </c>
      <c r="EN1986" s="1" t="s">
        <v>210</v>
      </c>
      <c r="EO1986" s="1" t="s">
        <v>431</v>
      </c>
      <c r="EP1986" s="1" t="s">
        <v>3989</v>
      </c>
      <c r="EQ1986" s="1" t="s">
        <v>209</v>
      </c>
      <c r="ER1986" s="1" t="s">
        <v>210</v>
      </c>
      <c r="ES1986" s="1" t="s">
        <v>431</v>
      </c>
      <c r="EU1986" s="1" t="s">
        <v>238</v>
      </c>
      <c r="EY1986" s="1" t="s">
        <v>238</v>
      </c>
      <c r="FC1986" s="1" t="s">
        <v>238</v>
      </c>
      <c r="FF1986" s="1" t="s">
        <v>239</v>
      </c>
      <c r="FG1986" s="1" t="s">
        <v>200</v>
      </c>
      <c r="FH1986" s="1" t="s">
        <v>192</v>
      </c>
      <c r="FJ1986" s="1" t="s">
        <v>2133</v>
      </c>
      <c r="FK1986" s="1" t="s">
        <v>229</v>
      </c>
      <c r="FL1986" s="1" t="s">
        <v>3527</v>
      </c>
      <c r="FM1986" s="1">
        <v>464.0</v>
      </c>
      <c r="FN1986" s="1" t="s">
        <v>3528</v>
      </c>
      <c r="FO1986" s="1" t="s">
        <v>18929</v>
      </c>
      <c r="FP1986" s="1">
        <v>8800.0</v>
      </c>
      <c r="FQ1986" s="1" t="s">
        <v>18930</v>
      </c>
      <c r="FU1986" s="1" t="s">
        <v>18931</v>
      </c>
      <c r="FV1986" s="1" t="s">
        <v>200</v>
      </c>
      <c r="FW1986" s="1" t="s">
        <v>290</v>
      </c>
      <c r="FZ1986" s="1" t="s">
        <v>229</v>
      </c>
      <c r="GA1986" s="1" t="s">
        <v>291</v>
      </c>
      <c r="GB1986" s="2">
        <v>41985.0</v>
      </c>
      <c r="GC1986" s="1" t="s">
        <v>18932</v>
      </c>
    </row>
    <row r="1987">
      <c r="A1987" s="1">
        <v>193000.0</v>
      </c>
      <c r="B1987" s="1" t="s">
        <v>185</v>
      </c>
      <c r="C1987" s="1" t="str">
        <f>"08730936"</f>
        <v>08730936</v>
      </c>
      <c r="D1987" s="1" t="s">
        <v>186</v>
      </c>
      <c r="F1987" s="1" t="str">
        <f>"118"</f>
        <v>118</v>
      </c>
      <c r="G1987" s="2">
        <v>41899.0</v>
      </c>
      <c r="H1987" s="1">
        <v>225000.0</v>
      </c>
      <c r="I1987" s="1">
        <v>216.0</v>
      </c>
      <c r="J1987" s="1">
        <v>200000.0</v>
      </c>
      <c r="K1987" s="2">
        <v>42048.0</v>
      </c>
      <c r="L1987" s="1">
        <v>150.0</v>
      </c>
      <c r="M1987" s="2">
        <v>42048.0</v>
      </c>
      <c r="N1987" s="1" t="s">
        <v>187</v>
      </c>
      <c r="O1987" s="2">
        <v>42094.0</v>
      </c>
      <c r="P1987" s="1">
        <v>55839.0</v>
      </c>
      <c r="Q1987" s="1">
        <v>5153.0</v>
      </c>
      <c r="S1987" s="1">
        <v>425.0</v>
      </c>
      <c r="T1987" s="1" t="s">
        <v>18933</v>
      </c>
      <c r="U1987" s="1" t="s">
        <v>464</v>
      </c>
      <c r="V1987" s="1" t="s">
        <v>11676</v>
      </c>
      <c r="W1987" s="1">
        <v>60118.0</v>
      </c>
      <c r="Y1987" s="1" t="s">
        <v>18934</v>
      </c>
      <c r="Z1987" s="1">
        <v>1946.0</v>
      </c>
      <c r="AA1987" s="1" t="s">
        <v>192</v>
      </c>
      <c r="AB1987" s="1" t="s">
        <v>193</v>
      </c>
      <c r="AC1987" s="1" t="s">
        <v>18935</v>
      </c>
      <c r="AD1987" s="1" t="s">
        <v>18936</v>
      </c>
      <c r="AE1987" s="1" t="s">
        <v>325</v>
      </c>
      <c r="AF1987" s="1" t="s">
        <v>810</v>
      </c>
      <c r="AG1987" s="1" t="s">
        <v>874</v>
      </c>
      <c r="AH1987" s="1" t="s">
        <v>18937</v>
      </c>
      <c r="AK1987" s="1">
        <v>9.0</v>
      </c>
      <c r="AL1987" s="1">
        <v>4.0</v>
      </c>
      <c r="AM1987" s="1">
        <v>1.0</v>
      </c>
      <c r="AN1987" s="1">
        <v>1.0</v>
      </c>
      <c r="AO1987" s="1" t="s">
        <v>229</v>
      </c>
      <c r="AP1987" s="1">
        <v>3.0</v>
      </c>
      <c r="AQ1987" s="1" t="s">
        <v>1314</v>
      </c>
      <c r="AR1987" s="1" t="s">
        <v>200</v>
      </c>
      <c r="AS1987" s="1" t="s">
        <v>199</v>
      </c>
      <c r="AT1987" s="1">
        <v>2.0</v>
      </c>
      <c r="AV1987" s="1" t="s">
        <v>200</v>
      </c>
      <c r="AW1987" s="1">
        <v>5491.26</v>
      </c>
      <c r="AX1987" s="1">
        <v>2013.0</v>
      </c>
      <c r="AY1987" s="1" t="s">
        <v>387</v>
      </c>
      <c r="AZ1987" s="1" t="s">
        <v>200</v>
      </c>
      <c r="BA1987" s="1" t="str">
        <f>"0323178034"</f>
        <v>0323178034</v>
      </c>
      <c r="BC1987" s="1">
        <v>1978.0</v>
      </c>
      <c r="BD1987" s="1">
        <v>193000.0</v>
      </c>
      <c r="BE1987" s="2">
        <v>41899.0</v>
      </c>
      <c r="BF1987" s="2" t="s">
        <v>18938</v>
      </c>
      <c r="BG1987" s="1" t="s">
        <v>18939</v>
      </c>
      <c r="BH1987" s="1">
        <v>0.0</v>
      </c>
      <c r="BI1987" s="1" t="s">
        <v>7665</v>
      </c>
      <c r="BJ1987" s="1" t="s">
        <v>1094</v>
      </c>
      <c r="BK1987" s="1" t="s">
        <v>204</v>
      </c>
      <c r="BL1987" s="1" t="str">
        <f t="shared" ref="BL1987:BM1987" si="1308">""</f>
        <v/>
      </c>
      <c r="BM1987" s="1" t="str">
        <f t="shared" si="1308"/>
        <v/>
      </c>
      <c r="BQ1987" s="1">
        <v>300.0</v>
      </c>
      <c r="BR1987" s="1">
        <v>300.0</v>
      </c>
      <c r="BS1987" s="1">
        <v>300.0</v>
      </c>
      <c r="BU1987" s="1" t="s">
        <v>639</v>
      </c>
      <c r="BV1987" s="1" t="s">
        <v>206</v>
      </c>
      <c r="BW1987" s="1" t="s">
        <v>210</v>
      </c>
      <c r="BY1987" s="1" t="s">
        <v>262</v>
      </c>
      <c r="BZ1987" s="1" t="s">
        <v>206</v>
      </c>
      <c r="CA1987" s="1" t="s">
        <v>210</v>
      </c>
      <c r="CC1987" s="1" t="s">
        <v>497</v>
      </c>
      <c r="CD1987" s="1" t="s">
        <v>206</v>
      </c>
      <c r="CE1987" s="1" t="s">
        <v>210</v>
      </c>
      <c r="CG1987" s="1" t="s">
        <v>495</v>
      </c>
      <c r="CH1987" s="1" t="s">
        <v>206</v>
      </c>
      <c r="CI1987" s="1" t="s">
        <v>210</v>
      </c>
      <c r="CK1987" s="1" t="s">
        <v>262</v>
      </c>
      <c r="CL1987" s="1" t="s">
        <v>206</v>
      </c>
      <c r="CM1987" s="1" t="s">
        <v>210</v>
      </c>
      <c r="CO1987" s="1" t="s">
        <v>264</v>
      </c>
      <c r="CP1987" s="1" t="s">
        <v>206</v>
      </c>
      <c r="CQ1987" s="1" t="s">
        <v>210</v>
      </c>
      <c r="CS1987" s="1" t="s">
        <v>331</v>
      </c>
      <c r="CT1987" s="1" t="s">
        <v>206</v>
      </c>
      <c r="CU1987" s="1" t="s">
        <v>617</v>
      </c>
      <c r="CW1987" s="1" t="s">
        <v>3832</v>
      </c>
      <c r="CX1987" s="1" t="s">
        <v>206</v>
      </c>
      <c r="CY1987" s="1" t="s">
        <v>210</v>
      </c>
      <c r="DA1987" s="1" t="s">
        <v>200</v>
      </c>
      <c r="DC1987" s="1" t="s">
        <v>702</v>
      </c>
      <c r="DD1987" s="1" t="s">
        <v>518</v>
      </c>
      <c r="DE1987" s="1" t="s">
        <v>273</v>
      </c>
      <c r="DF1987" s="1" t="s">
        <v>8745</v>
      </c>
      <c r="DG1987" s="1" t="s">
        <v>4976</v>
      </c>
      <c r="DH1987" s="1" t="s">
        <v>220</v>
      </c>
      <c r="DI1987" s="1" t="s">
        <v>1223</v>
      </c>
      <c r="DJ1987" s="1" t="s">
        <v>222</v>
      </c>
      <c r="DK1987" s="1" t="s">
        <v>2312</v>
      </c>
      <c r="DL1987" s="1" t="s">
        <v>1267</v>
      </c>
      <c r="DM1987" s="1" t="s">
        <v>1268</v>
      </c>
      <c r="DO1987" s="1" t="s">
        <v>1208</v>
      </c>
      <c r="DP1987" s="1" t="s">
        <v>400</v>
      </c>
      <c r="DQ1987" s="1" t="s">
        <v>441</v>
      </c>
      <c r="DR1987" s="1" t="s">
        <v>229</v>
      </c>
      <c r="DS1987" s="1" t="s">
        <v>230</v>
      </c>
      <c r="DU1987" s="1" t="s">
        <v>278</v>
      </c>
      <c r="DV1987" s="1" t="s">
        <v>450</v>
      </c>
      <c r="DW1987" s="1" t="s">
        <v>279</v>
      </c>
      <c r="DX1987" s="1" t="s">
        <v>234</v>
      </c>
      <c r="DY1987" s="1" t="s">
        <v>1371</v>
      </c>
      <c r="DZ1987" s="1" t="s">
        <v>17626</v>
      </c>
      <c r="EA1987" s="1" t="s">
        <v>683</v>
      </c>
      <c r="EB1987" s="1" t="s">
        <v>448</v>
      </c>
      <c r="EC1987" s="1" t="s">
        <v>685</v>
      </c>
      <c r="ED1987" s="1" t="s">
        <v>407</v>
      </c>
      <c r="EE1987" s="1" t="s">
        <v>493</v>
      </c>
      <c r="EG1987" s="1" t="s">
        <v>450</v>
      </c>
      <c r="EL1987" s="1" t="s">
        <v>6880</v>
      </c>
      <c r="EM1987" s="1" t="s">
        <v>42</v>
      </c>
      <c r="EN1987" s="1" t="s">
        <v>588</v>
      </c>
      <c r="EQ1987" s="1" t="s">
        <v>238</v>
      </c>
      <c r="EU1987" s="1" t="s">
        <v>238</v>
      </c>
      <c r="EY1987" s="1" t="s">
        <v>238</v>
      </c>
      <c r="FC1987" s="1" t="s">
        <v>238</v>
      </c>
      <c r="FF1987" s="1" t="s">
        <v>239</v>
      </c>
      <c r="FG1987" s="1" t="s">
        <v>192</v>
      </c>
      <c r="FH1987" s="1" t="s">
        <v>192</v>
      </c>
      <c r="FJ1987" s="1" t="s">
        <v>498</v>
      </c>
      <c r="FK1987" s="1" t="s">
        <v>229</v>
      </c>
      <c r="FL1987" s="1" t="s">
        <v>3848</v>
      </c>
      <c r="FM1987" s="1">
        <v>432.0</v>
      </c>
      <c r="FN1987" s="1" t="s">
        <v>3849</v>
      </c>
      <c r="FO1987" s="1" t="s">
        <v>18940</v>
      </c>
      <c r="FP1987" s="1">
        <v>77472.0</v>
      </c>
      <c r="FQ1987" s="1" t="s">
        <v>18941</v>
      </c>
      <c r="FU1987" s="1" t="s">
        <v>18942</v>
      </c>
      <c r="FV1987" s="1" t="s">
        <v>200</v>
      </c>
      <c r="FW1987" s="1" t="s">
        <v>290</v>
      </c>
      <c r="FZ1987" s="1" t="s">
        <v>229</v>
      </c>
      <c r="GA1987" s="1" t="s">
        <v>291</v>
      </c>
      <c r="GB1987" s="2">
        <v>42094.0</v>
      </c>
      <c r="GC1987" s="1" t="s">
        <v>18943</v>
      </c>
    </row>
    <row r="1988">
      <c r="A1988" s="1">
        <v>190000.0</v>
      </c>
      <c r="B1988" s="1" t="s">
        <v>185</v>
      </c>
      <c r="C1988" s="1" t="str">
        <f>"08738898"</f>
        <v>08738898</v>
      </c>
      <c r="D1988" s="1" t="s">
        <v>186</v>
      </c>
      <c r="F1988" s="1" t="str">
        <f>"543"</f>
        <v>543</v>
      </c>
      <c r="G1988" s="2">
        <v>41908.0</v>
      </c>
      <c r="H1988" s="1">
        <v>249900.0</v>
      </c>
      <c r="I1988" s="1">
        <v>77.0</v>
      </c>
      <c r="J1988" s="1">
        <v>199900.0</v>
      </c>
      <c r="K1988" s="2">
        <v>41984.0</v>
      </c>
      <c r="L1988" s="1">
        <v>77.0</v>
      </c>
      <c r="M1988" s="2">
        <v>41984.0</v>
      </c>
      <c r="N1988" s="1" t="s">
        <v>187</v>
      </c>
      <c r="O1988" s="2">
        <v>42103.0</v>
      </c>
      <c r="P1988" s="1">
        <v>601822.0</v>
      </c>
      <c r="Q1988" s="1">
        <v>24945.0</v>
      </c>
      <c r="S1988" s="1">
        <v>707.0</v>
      </c>
      <c r="T1988" s="1" t="s">
        <v>18944</v>
      </c>
      <c r="U1988" s="1" t="s">
        <v>420</v>
      </c>
      <c r="V1988" s="1" t="s">
        <v>1527</v>
      </c>
      <c r="W1988" s="1">
        <v>60543.0</v>
      </c>
      <c r="Y1988" s="1" t="s">
        <v>18945</v>
      </c>
      <c r="Z1988" s="1">
        <v>2001.0</v>
      </c>
      <c r="AA1988" s="1" t="s">
        <v>200</v>
      </c>
      <c r="AB1988" s="1" t="s">
        <v>467</v>
      </c>
      <c r="AD1988" s="1" t="s">
        <v>1529</v>
      </c>
      <c r="AE1988" s="1" t="s">
        <v>849</v>
      </c>
      <c r="AF1988" s="1" t="s">
        <v>1529</v>
      </c>
      <c r="AH1988" s="1" t="s">
        <v>18946</v>
      </c>
      <c r="AK1988" s="1">
        <v>8.0</v>
      </c>
      <c r="AL1988" s="1">
        <v>4.0</v>
      </c>
      <c r="AM1988" s="1">
        <v>2.0</v>
      </c>
      <c r="AN1988" s="1">
        <v>1.0</v>
      </c>
      <c r="AO1988" s="1" t="s">
        <v>198</v>
      </c>
      <c r="AQ1988" s="1" t="s">
        <v>1314</v>
      </c>
      <c r="AR1988" s="1" t="s">
        <v>200</v>
      </c>
      <c r="AS1988" s="1" t="s">
        <v>199</v>
      </c>
      <c r="AT1988" s="1">
        <v>2.0</v>
      </c>
      <c r="AV1988" s="1" t="s">
        <v>200</v>
      </c>
      <c r="AW1988" s="1">
        <v>7963.85</v>
      </c>
      <c r="AX1988" s="1">
        <v>2013.0</v>
      </c>
      <c r="AZ1988" s="1" t="s">
        <v>200</v>
      </c>
      <c r="BA1988" s="1" t="str">
        <f>"0311229018"</f>
        <v>0311229018</v>
      </c>
      <c r="BB1988" s="1" t="s">
        <v>200</v>
      </c>
      <c r="BC1988" s="1">
        <v>2500.0</v>
      </c>
      <c r="BD1988" s="1">
        <v>190000.0</v>
      </c>
      <c r="BE1988" s="2">
        <v>41908.0</v>
      </c>
      <c r="BF1988" s="2" t="s">
        <v>18947</v>
      </c>
      <c r="BG1988" s="1" t="s">
        <v>4271</v>
      </c>
      <c r="BH1988" s="1">
        <v>275.0</v>
      </c>
      <c r="BI1988" s="1" t="s">
        <v>3647</v>
      </c>
      <c r="BJ1988" s="1" t="s">
        <v>1349</v>
      </c>
      <c r="BK1988" s="1" t="s">
        <v>580</v>
      </c>
      <c r="BL1988" s="1" t="str">
        <f t="shared" ref="BL1988:BM1988" si="1309">"0"</f>
        <v>0</v>
      </c>
      <c r="BM1988" s="1" t="str">
        <f t="shared" si="1309"/>
        <v>0</v>
      </c>
      <c r="BN1988" s="1">
        <v>34.0</v>
      </c>
      <c r="BO1988" s="1">
        <v>11.0</v>
      </c>
      <c r="BQ1988" s="1">
        <v>308.0</v>
      </c>
      <c r="BR1988" s="1">
        <v>308.0</v>
      </c>
      <c r="BS1988" s="1">
        <v>308.0</v>
      </c>
      <c r="BU1988" s="1" t="s">
        <v>433</v>
      </c>
      <c r="BV1988" s="1" t="s">
        <v>206</v>
      </c>
      <c r="BW1988" s="1" t="s">
        <v>210</v>
      </c>
      <c r="BY1988" s="1" t="s">
        <v>390</v>
      </c>
      <c r="BZ1988" s="1" t="s">
        <v>209</v>
      </c>
      <c r="CA1988" s="1" t="s">
        <v>210</v>
      </c>
      <c r="CC1988" s="1" t="s">
        <v>332</v>
      </c>
      <c r="CD1988" s="1" t="s">
        <v>206</v>
      </c>
      <c r="CE1988" s="1" t="s">
        <v>210</v>
      </c>
      <c r="CG1988" s="1" t="s">
        <v>433</v>
      </c>
      <c r="CH1988" s="1" t="s">
        <v>209</v>
      </c>
      <c r="CI1988" s="1" t="s">
        <v>210</v>
      </c>
      <c r="CK1988" s="1" t="s">
        <v>332</v>
      </c>
      <c r="CL1988" s="1" t="s">
        <v>209</v>
      </c>
      <c r="CM1988" s="1" t="s">
        <v>210</v>
      </c>
      <c r="CO1988" s="1" t="s">
        <v>647</v>
      </c>
      <c r="CP1988" s="1" t="s">
        <v>209</v>
      </c>
      <c r="CQ1988" s="1" t="s">
        <v>210</v>
      </c>
      <c r="CS1988" s="1" t="s">
        <v>5311</v>
      </c>
      <c r="CT1988" s="1" t="s">
        <v>206</v>
      </c>
      <c r="CU1988" s="1" t="s">
        <v>207</v>
      </c>
      <c r="CW1988" s="1" t="s">
        <v>208</v>
      </c>
      <c r="CX1988" s="1" t="s">
        <v>206</v>
      </c>
      <c r="CY1988" s="1" t="s">
        <v>210</v>
      </c>
      <c r="DA1988" s="1" t="s">
        <v>200</v>
      </c>
      <c r="DC1988" s="1" t="s">
        <v>335</v>
      </c>
      <c r="DE1988" s="1" t="s">
        <v>273</v>
      </c>
      <c r="DF1988" s="1" t="s">
        <v>219</v>
      </c>
      <c r="DH1988" s="1" t="s">
        <v>220</v>
      </c>
      <c r="DJ1988" s="1" t="s">
        <v>222</v>
      </c>
      <c r="DL1988" s="1" t="s">
        <v>3611</v>
      </c>
      <c r="DM1988" s="1" t="s">
        <v>229</v>
      </c>
      <c r="DN1988" s="1" t="s">
        <v>548</v>
      </c>
      <c r="DQ1988" s="1" t="s">
        <v>441</v>
      </c>
      <c r="DR1988" s="1" t="s">
        <v>588</v>
      </c>
      <c r="DS1988" s="1" t="s">
        <v>230</v>
      </c>
      <c r="DV1988" s="1" t="s">
        <v>18948</v>
      </c>
      <c r="DW1988" s="1" t="s">
        <v>588</v>
      </c>
      <c r="DX1988" s="1" t="s">
        <v>234</v>
      </c>
      <c r="EC1988" s="1" t="s">
        <v>237</v>
      </c>
      <c r="ED1988" s="1" t="s">
        <v>407</v>
      </c>
      <c r="EG1988" s="1" t="s">
        <v>1102</v>
      </c>
      <c r="EH1988" s="1" t="s">
        <v>408</v>
      </c>
      <c r="EL1988" s="1" t="s">
        <v>1483</v>
      </c>
      <c r="EM1988" s="1" t="s">
        <v>206</v>
      </c>
      <c r="EN1988" s="1" t="s">
        <v>207</v>
      </c>
      <c r="EP1988" s="1" t="s">
        <v>3318</v>
      </c>
      <c r="EQ1988" s="1" t="s">
        <v>206</v>
      </c>
      <c r="ER1988" s="1" t="s">
        <v>207</v>
      </c>
      <c r="EU1988" s="1" t="s">
        <v>238</v>
      </c>
      <c r="EY1988" s="1" t="s">
        <v>238</v>
      </c>
      <c r="FC1988" s="1" t="s">
        <v>238</v>
      </c>
      <c r="FF1988" s="1" t="s">
        <v>239</v>
      </c>
      <c r="FG1988" s="1" t="s">
        <v>192</v>
      </c>
      <c r="FH1988" s="1" t="s">
        <v>192</v>
      </c>
      <c r="FJ1988" s="1" t="s">
        <v>18949</v>
      </c>
      <c r="FK1988" s="1" t="s">
        <v>1586</v>
      </c>
      <c r="FL1988" s="1" t="s">
        <v>2580</v>
      </c>
      <c r="FM1988" s="1">
        <v>23265.0</v>
      </c>
      <c r="FN1988" s="1" t="s">
        <v>2581</v>
      </c>
      <c r="FO1988" s="1" t="s">
        <v>16869</v>
      </c>
      <c r="FP1988" s="1">
        <v>218055.0</v>
      </c>
      <c r="FQ1988" s="1" t="s">
        <v>16870</v>
      </c>
      <c r="FS1988" s="1" t="s">
        <v>16871</v>
      </c>
      <c r="FU1988" s="1" t="s">
        <v>16256</v>
      </c>
      <c r="FV1988" s="1" t="s">
        <v>200</v>
      </c>
      <c r="FW1988" s="1" t="s">
        <v>290</v>
      </c>
      <c r="FX1988" s="1" t="s">
        <v>238</v>
      </c>
      <c r="FZ1988" s="1" t="s">
        <v>229</v>
      </c>
      <c r="GA1988" s="1" t="s">
        <v>291</v>
      </c>
      <c r="GB1988" s="2">
        <v>42103.0</v>
      </c>
      <c r="GC1988" s="2" t="s">
        <v>16873</v>
      </c>
    </row>
    <row r="1989">
      <c r="A1989" s="1">
        <v>285000.0</v>
      </c>
      <c r="B1989" s="1" t="s">
        <v>185</v>
      </c>
      <c r="C1989" s="1" t="str">
        <f>"08736573"</f>
        <v>08736573</v>
      </c>
      <c r="D1989" s="1" t="s">
        <v>186</v>
      </c>
      <c r="F1989" s="1" t="str">
        <f>"8013"</f>
        <v>8013</v>
      </c>
      <c r="G1989" s="2">
        <v>41906.0</v>
      </c>
      <c r="H1989" s="1">
        <v>299000.0</v>
      </c>
      <c r="I1989" s="1">
        <v>56.0</v>
      </c>
      <c r="J1989" s="1">
        <v>289000.0</v>
      </c>
      <c r="K1989" s="2">
        <v>41961.0</v>
      </c>
      <c r="L1989" s="1">
        <v>56.0</v>
      </c>
      <c r="M1989" s="2">
        <v>41961.0</v>
      </c>
      <c r="N1989" s="1" t="s">
        <v>187</v>
      </c>
      <c r="O1989" s="2">
        <v>42058.0</v>
      </c>
      <c r="P1989" s="1">
        <v>155335.0</v>
      </c>
      <c r="Q1989" s="1">
        <v>16379.0</v>
      </c>
      <c r="R1989" s="1">
        <v>5000.0</v>
      </c>
      <c r="S1989" s="1">
        <v>5221.0</v>
      </c>
      <c r="T1989" s="1" t="s">
        <v>7546</v>
      </c>
      <c r="U1989" s="1" t="s">
        <v>189</v>
      </c>
      <c r="V1989" s="1" t="s">
        <v>190</v>
      </c>
      <c r="W1989" s="1">
        <v>60625.0</v>
      </c>
      <c r="Y1989" s="1" t="s">
        <v>18950</v>
      </c>
      <c r="Z1989" s="1">
        <v>1919.0</v>
      </c>
      <c r="AA1989" s="1" t="s">
        <v>192</v>
      </c>
      <c r="AB1989" s="1" t="s">
        <v>193</v>
      </c>
      <c r="AD1989" s="1" t="s">
        <v>194</v>
      </c>
      <c r="AE1989" s="1" t="s">
        <v>195</v>
      </c>
      <c r="AF1989" s="1" t="s">
        <v>2645</v>
      </c>
      <c r="AH1989" s="1" t="s">
        <v>779</v>
      </c>
      <c r="AI1989" s="1">
        <v>0.0911</v>
      </c>
      <c r="AK1989" s="1">
        <v>9.0</v>
      </c>
      <c r="AL1989" s="1">
        <v>2.0</v>
      </c>
      <c r="AM1989" s="1">
        <v>2.0</v>
      </c>
      <c r="AN1989" s="1">
        <v>0.0</v>
      </c>
      <c r="AO1989" s="1" t="s">
        <v>229</v>
      </c>
      <c r="AP1989" s="1">
        <v>1.0</v>
      </c>
      <c r="AQ1989" s="1" t="s">
        <v>198</v>
      </c>
      <c r="AR1989" s="1" t="s">
        <v>192</v>
      </c>
      <c r="AS1989" s="1" t="s">
        <v>199</v>
      </c>
      <c r="AT1989" s="1">
        <v>2.0</v>
      </c>
      <c r="AV1989" s="1" t="s">
        <v>200</v>
      </c>
      <c r="AW1989" s="1">
        <v>4508.81</v>
      </c>
      <c r="AX1989" s="1">
        <v>2013.0</v>
      </c>
      <c r="AY1989" s="1" t="s">
        <v>387</v>
      </c>
      <c r="AZ1989" s="1" t="s">
        <v>200</v>
      </c>
      <c r="BA1989" s="1" t="str">
        <f>"13112210130000"</f>
        <v>13112210130000</v>
      </c>
      <c r="BC1989" s="1">
        <v>0.0</v>
      </c>
      <c r="BD1989" s="1">
        <v>285000.0</v>
      </c>
      <c r="BE1989" s="2">
        <v>41906.0</v>
      </c>
      <c r="BF1989" s="2" t="s">
        <v>18951</v>
      </c>
      <c r="BH1989" s="1">
        <v>0.0</v>
      </c>
      <c r="BK1989" s="1" t="s">
        <v>204</v>
      </c>
      <c r="BL1989" s="1" t="str">
        <f>"5221"</f>
        <v>5221</v>
      </c>
      <c r="BM1989" s="1" t="str">
        <f>"0"</f>
        <v>0</v>
      </c>
      <c r="BN1989" s="1">
        <v>3400.0</v>
      </c>
      <c r="BO1989" s="1">
        <v>0.0</v>
      </c>
      <c r="BQ1989" s="1">
        <v>299.0</v>
      </c>
      <c r="BR1989" s="1">
        <v>299.0</v>
      </c>
      <c r="BS1989" s="1">
        <v>299.0</v>
      </c>
      <c r="BU1989" s="1" t="s">
        <v>1623</v>
      </c>
      <c r="BV1989" s="1" t="s">
        <v>206</v>
      </c>
      <c r="BW1989" s="1" t="s">
        <v>207</v>
      </c>
      <c r="BY1989" s="1" t="s">
        <v>331</v>
      </c>
      <c r="BZ1989" s="1" t="s">
        <v>206</v>
      </c>
      <c r="CA1989" s="1" t="s">
        <v>207</v>
      </c>
      <c r="CC1989" s="1" t="s">
        <v>584</v>
      </c>
      <c r="CD1989" s="1" t="s">
        <v>206</v>
      </c>
      <c r="CE1989" s="1" t="s">
        <v>207</v>
      </c>
      <c r="CG1989" s="1" t="s">
        <v>363</v>
      </c>
      <c r="CH1989" s="1" t="s">
        <v>206</v>
      </c>
      <c r="CI1989" s="1" t="s">
        <v>207</v>
      </c>
      <c r="CK1989" s="1" t="s">
        <v>3375</v>
      </c>
      <c r="CL1989" s="1" t="s">
        <v>42</v>
      </c>
      <c r="CO1989" s="1" t="s">
        <v>814</v>
      </c>
      <c r="CP1989" s="1" t="s">
        <v>42</v>
      </c>
      <c r="CS1989" s="1" t="s">
        <v>433</v>
      </c>
      <c r="CT1989" s="1" t="s">
        <v>206</v>
      </c>
      <c r="CU1989" s="1" t="s">
        <v>207</v>
      </c>
      <c r="CW1989" s="1" t="s">
        <v>5941</v>
      </c>
      <c r="CX1989" s="1" t="s">
        <v>42</v>
      </c>
      <c r="DA1989" s="1" t="s">
        <v>200</v>
      </c>
      <c r="DC1989" s="1" t="s">
        <v>216</v>
      </c>
      <c r="DE1989" s="1" t="s">
        <v>273</v>
      </c>
      <c r="DF1989" s="1" t="s">
        <v>219</v>
      </c>
      <c r="DH1989" s="1" t="s">
        <v>365</v>
      </c>
      <c r="DI1989" s="1" t="s">
        <v>18952</v>
      </c>
      <c r="DJ1989" s="1" t="s">
        <v>222</v>
      </c>
      <c r="DK1989" s="1" t="s">
        <v>1555</v>
      </c>
      <c r="DL1989" s="1" t="s">
        <v>224</v>
      </c>
      <c r="DM1989" s="1" t="s">
        <v>229</v>
      </c>
      <c r="DP1989" s="1" t="s">
        <v>340</v>
      </c>
      <c r="DQ1989" s="1" t="s">
        <v>718</v>
      </c>
      <c r="DR1989" s="1" t="s">
        <v>229</v>
      </c>
      <c r="DS1989" s="1" t="s">
        <v>230</v>
      </c>
      <c r="DV1989" s="1" t="s">
        <v>494</v>
      </c>
      <c r="DW1989" s="1" t="s">
        <v>279</v>
      </c>
      <c r="DX1989" s="1" t="s">
        <v>1287</v>
      </c>
      <c r="DY1989" s="1" t="s">
        <v>1122</v>
      </c>
      <c r="EA1989" s="1" t="s">
        <v>644</v>
      </c>
      <c r="EC1989" s="1" t="s">
        <v>685</v>
      </c>
      <c r="EG1989" s="1" t="s">
        <v>494</v>
      </c>
      <c r="EL1989" s="1" t="s">
        <v>300</v>
      </c>
      <c r="EM1989" s="1" t="s">
        <v>42</v>
      </c>
      <c r="EQ1989" s="1" t="s">
        <v>238</v>
      </c>
      <c r="EU1989" s="1" t="s">
        <v>238</v>
      </c>
      <c r="EY1989" s="1" t="s">
        <v>238</v>
      </c>
      <c r="FC1989" s="1" t="s">
        <v>238</v>
      </c>
      <c r="FF1989" s="1" t="s">
        <v>239</v>
      </c>
      <c r="FG1989" s="1" t="s">
        <v>192</v>
      </c>
      <c r="FH1989" s="1" t="s">
        <v>192</v>
      </c>
      <c r="FJ1989" s="1" t="s">
        <v>2285</v>
      </c>
      <c r="FK1989" s="1" t="s">
        <v>229</v>
      </c>
      <c r="FL1989" s="1" t="s">
        <v>1358</v>
      </c>
      <c r="FM1989" s="1">
        <v>10115.0</v>
      </c>
      <c r="FN1989" s="1" t="s">
        <v>2286</v>
      </c>
      <c r="FO1989" s="1" t="s">
        <v>18953</v>
      </c>
      <c r="FP1989" s="1">
        <v>129869.0</v>
      </c>
      <c r="FQ1989" s="1" t="s">
        <v>18954</v>
      </c>
      <c r="FU1989" s="1" t="s">
        <v>18955</v>
      </c>
      <c r="FV1989" s="1" t="s">
        <v>200</v>
      </c>
      <c r="FW1989" s="1" t="s">
        <v>567</v>
      </c>
      <c r="FX1989" s="1" t="s">
        <v>238</v>
      </c>
      <c r="FZ1989" s="1" t="s">
        <v>229</v>
      </c>
      <c r="GA1989" s="1" t="s">
        <v>291</v>
      </c>
      <c r="GB1989" s="2">
        <v>42058.0</v>
      </c>
    </row>
    <row r="1990">
      <c r="A1990" s="1">
        <v>19000.0</v>
      </c>
      <c r="B1990" s="1" t="s">
        <v>185</v>
      </c>
      <c r="C1990" s="1" t="str">
        <f>"08726080"</f>
        <v>08726080</v>
      </c>
      <c r="D1990" s="1" t="s">
        <v>186</v>
      </c>
      <c r="F1990" s="1" t="str">
        <f>"8067"</f>
        <v>8067</v>
      </c>
      <c r="G1990" s="2">
        <v>41893.0</v>
      </c>
      <c r="H1990" s="1">
        <v>14999.0</v>
      </c>
      <c r="I1990" s="1">
        <v>40.0</v>
      </c>
      <c r="J1990" s="1">
        <v>14999.0</v>
      </c>
      <c r="K1990" s="2">
        <v>41932.0</v>
      </c>
      <c r="L1990" s="1">
        <v>40.0</v>
      </c>
      <c r="M1990" s="2">
        <v>41932.0</v>
      </c>
      <c r="N1990" s="1" t="s">
        <v>249</v>
      </c>
      <c r="O1990" s="2">
        <v>41969.0</v>
      </c>
      <c r="P1990" s="1">
        <v>81650.0</v>
      </c>
      <c r="Q1990" s="1">
        <v>8411.0</v>
      </c>
      <c r="S1990" s="1">
        <v>7123.0</v>
      </c>
      <c r="T1990" s="1" t="s">
        <v>7919</v>
      </c>
      <c r="U1990" s="1" t="s">
        <v>189</v>
      </c>
      <c r="V1990" s="1" t="s">
        <v>190</v>
      </c>
      <c r="W1990" s="1">
        <v>60636.0</v>
      </c>
      <c r="Y1990" s="1" t="s">
        <v>18956</v>
      </c>
      <c r="Z1990" s="1">
        <v>1921.0</v>
      </c>
      <c r="AA1990" s="1" t="s">
        <v>192</v>
      </c>
      <c r="AB1990" s="1" t="s">
        <v>193</v>
      </c>
      <c r="AD1990" s="1" t="s">
        <v>194</v>
      </c>
      <c r="AE1990" s="1" t="s">
        <v>195</v>
      </c>
      <c r="AF1990" s="1" t="s">
        <v>659</v>
      </c>
      <c r="AH1990" s="1" t="s">
        <v>359</v>
      </c>
      <c r="AK1990" s="1">
        <v>7.0</v>
      </c>
      <c r="AL1990" s="1">
        <v>4.0</v>
      </c>
      <c r="AM1990" s="1">
        <v>2.0</v>
      </c>
      <c r="AN1990" s="1">
        <v>0.0</v>
      </c>
      <c r="AO1990" s="1" t="s">
        <v>229</v>
      </c>
      <c r="AQ1990" s="1" t="s">
        <v>198</v>
      </c>
      <c r="AR1990" s="1" t="s">
        <v>200</v>
      </c>
      <c r="AS1990" s="1" t="s">
        <v>229</v>
      </c>
      <c r="AV1990" s="1" t="s">
        <v>200</v>
      </c>
      <c r="AW1990" s="1">
        <v>1470.0</v>
      </c>
      <c r="AX1990" s="1">
        <v>2012.0</v>
      </c>
      <c r="AZ1990" s="1" t="s">
        <v>545</v>
      </c>
      <c r="BA1990" s="1" t="str">
        <f>"20302020150000"</f>
        <v>20302020150000</v>
      </c>
      <c r="BB1990" s="1" t="s">
        <v>200</v>
      </c>
      <c r="BC1990" s="1">
        <v>0.0</v>
      </c>
      <c r="BD1990" s="1">
        <v>19000.0</v>
      </c>
      <c r="BE1990" s="2">
        <v>41893.0</v>
      </c>
      <c r="BF1990" s="1" t="s">
        <v>18957</v>
      </c>
      <c r="BH1990" s="1">
        <v>0.0</v>
      </c>
      <c r="BK1990" s="1" t="s">
        <v>204</v>
      </c>
      <c r="BL1990" s="1" t="str">
        <f t="shared" ref="BL1990:BM1990" si="1310">"0"</f>
        <v>0</v>
      </c>
      <c r="BM1990" s="1" t="str">
        <f t="shared" si="1310"/>
        <v>0</v>
      </c>
      <c r="BN1990" s="1">
        <v>1900.0</v>
      </c>
      <c r="BO1990" s="1">
        <v>7123.0</v>
      </c>
      <c r="BQ1990" s="1">
        <v>299.0</v>
      </c>
      <c r="BR1990" s="1">
        <v>299.0</v>
      </c>
      <c r="BS1990" s="1">
        <v>299.0</v>
      </c>
      <c r="BU1990" s="1" t="s">
        <v>215</v>
      </c>
      <c r="BV1990" s="1" t="s">
        <v>206</v>
      </c>
      <c r="BW1990" s="1" t="s">
        <v>207</v>
      </c>
      <c r="BY1990" s="1" t="s">
        <v>2613</v>
      </c>
      <c r="BZ1990" s="1" t="s">
        <v>206</v>
      </c>
      <c r="CA1990" s="1" t="s">
        <v>210</v>
      </c>
      <c r="CC1990" s="1" t="s">
        <v>211</v>
      </c>
      <c r="CD1990" s="1" t="s">
        <v>206</v>
      </c>
      <c r="CE1990" s="1" t="s">
        <v>207</v>
      </c>
      <c r="CG1990" s="1" t="s">
        <v>623</v>
      </c>
      <c r="CH1990" s="1" t="s">
        <v>206</v>
      </c>
      <c r="CI1990" s="1" t="s">
        <v>210</v>
      </c>
      <c r="CK1990" s="1" t="s">
        <v>211</v>
      </c>
      <c r="CL1990" s="1" t="s">
        <v>209</v>
      </c>
      <c r="CM1990" s="1" t="s">
        <v>210</v>
      </c>
      <c r="CO1990" s="1" t="s">
        <v>1245</v>
      </c>
      <c r="CP1990" s="1" t="s">
        <v>209</v>
      </c>
      <c r="CQ1990" s="1" t="s">
        <v>210</v>
      </c>
      <c r="CS1990" s="1" t="s">
        <v>363</v>
      </c>
      <c r="CT1990" s="1" t="s">
        <v>206</v>
      </c>
      <c r="CU1990" s="1" t="s">
        <v>268</v>
      </c>
      <c r="CX1990" s="1" t="s">
        <v>204</v>
      </c>
      <c r="DA1990" s="1" t="s">
        <v>200</v>
      </c>
      <c r="DC1990" s="1" t="s">
        <v>216</v>
      </c>
      <c r="DE1990" s="1" t="s">
        <v>229</v>
      </c>
      <c r="DF1990" s="1" t="s">
        <v>229</v>
      </c>
      <c r="DH1990" s="1" t="s">
        <v>307</v>
      </c>
      <c r="DJ1990" s="1" t="s">
        <v>222</v>
      </c>
      <c r="DL1990" s="1" t="s">
        <v>223</v>
      </c>
      <c r="DM1990" s="1" t="s">
        <v>229</v>
      </c>
      <c r="DP1990" s="1" t="s">
        <v>340</v>
      </c>
      <c r="DQ1990" s="1" t="s">
        <v>228</v>
      </c>
      <c r="DR1990" s="1" t="s">
        <v>229</v>
      </c>
      <c r="DV1990" s="1" t="s">
        <v>232</v>
      </c>
      <c r="DW1990" s="1" t="s">
        <v>667</v>
      </c>
      <c r="DX1990" s="1" t="s">
        <v>234</v>
      </c>
      <c r="EC1990" s="1" t="s">
        <v>645</v>
      </c>
      <c r="EM1990" s="1" t="s">
        <v>238</v>
      </c>
      <c r="EQ1990" s="1" t="s">
        <v>238</v>
      </c>
      <c r="EU1990" s="1" t="s">
        <v>238</v>
      </c>
      <c r="EY1990" s="1" t="s">
        <v>238</v>
      </c>
      <c r="FC1990" s="1" t="s">
        <v>238</v>
      </c>
      <c r="FF1990" s="1" t="s">
        <v>239</v>
      </c>
      <c r="FG1990" s="1" t="s">
        <v>192</v>
      </c>
      <c r="FH1990" s="1" t="s">
        <v>192</v>
      </c>
      <c r="FJ1990" s="1" t="s">
        <v>3176</v>
      </c>
      <c r="FK1990" s="1" t="s">
        <v>229</v>
      </c>
      <c r="FL1990" s="1" t="s">
        <v>1520</v>
      </c>
      <c r="FM1990" s="1">
        <v>10841.0</v>
      </c>
      <c r="FN1990" s="1" t="s">
        <v>1521</v>
      </c>
      <c r="FO1990" s="1" t="s">
        <v>1522</v>
      </c>
      <c r="FP1990" s="1">
        <v>109860.0</v>
      </c>
      <c r="FQ1990" s="1" t="s">
        <v>1521</v>
      </c>
      <c r="FU1990" s="1" t="s">
        <v>1523</v>
      </c>
      <c r="FV1990" s="1" t="s">
        <v>200</v>
      </c>
      <c r="FW1990" s="1" t="s">
        <v>290</v>
      </c>
      <c r="FX1990" s="1" t="s">
        <v>655</v>
      </c>
      <c r="FZ1990" s="1" t="s">
        <v>229</v>
      </c>
      <c r="GA1990" s="1" t="s">
        <v>291</v>
      </c>
      <c r="GB1990" s="2">
        <v>41969.0</v>
      </c>
      <c r="GC1990" s="1" t="s">
        <v>18958</v>
      </c>
    </row>
    <row r="1991">
      <c r="A1991" s="1">
        <v>325900.0</v>
      </c>
      <c r="B1991" s="1" t="s">
        <v>185</v>
      </c>
      <c r="C1991" s="1" t="str">
        <f>"08744791"</f>
        <v>08744791</v>
      </c>
      <c r="D1991" s="1" t="s">
        <v>186</v>
      </c>
      <c r="F1991" s="1" t="str">
        <f>"8020"</f>
        <v>8020</v>
      </c>
      <c r="G1991" s="2">
        <v>41915.0</v>
      </c>
      <c r="H1991" s="1">
        <v>339000.0</v>
      </c>
      <c r="I1991" s="1">
        <v>11.0</v>
      </c>
      <c r="J1991" s="1">
        <v>339000.0</v>
      </c>
      <c r="K1991" s="2">
        <v>41925.0</v>
      </c>
      <c r="L1991" s="1">
        <v>11.0</v>
      </c>
      <c r="M1991" s="2">
        <v>41925.0</v>
      </c>
      <c r="N1991" s="1" t="s">
        <v>356</v>
      </c>
      <c r="O1991" s="2">
        <v>41989.0</v>
      </c>
      <c r="P1991" s="1">
        <v>129608.0</v>
      </c>
      <c r="Q1991" s="1">
        <v>12279.0</v>
      </c>
      <c r="S1991" s="1">
        <v>2910.0</v>
      </c>
      <c r="T1991" s="1" t="s">
        <v>15798</v>
      </c>
      <c r="U1991" s="1" t="s">
        <v>189</v>
      </c>
      <c r="V1991" s="1" t="s">
        <v>190</v>
      </c>
      <c r="W1991" s="1">
        <v>60641.0</v>
      </c>
      <c r="Y1991" s="1" t="s">
        <v>18959</v>
      </c>
      <c r="Z1991" s="1">
        <v>1928.0</v>
      </c>
      <c r="AA1991" s="1" t="s">
        <v>192</v>
      </c>
      <c r="AB1991" s="1" t="s">
        <v>193</v>
      </c>
      <c r="AD1991" s="1" t="s">
        <v>194</v>
      </c>
      <c r="AE1991" s="1" t="s">
        <v>195</v>
      </c>
      <c r="AF1991" s="1" t="s">
        <v>196</v>
      </c>
      <c r="AH1991" s="1" t="s">
        <v>18960</v>
      </c>
      <c r="AK1991" s="1">
        <v>8.0</v>
      </c>
      <c r="AL1991" s="1">
        <v>4.0</v>
      </c>
      <c r="AM1991" s="1">
        <v>4.0</v>
      </c>
      <c r="AN1991" s="1">
        <v>0.0</v>
      </c>
      <c r="AO1991" s="1" t="s">
        <v>198</v>
      </c>
      <c r="AP1991" s="1">
        <v>1.0</v>
      </c>
      <c r="AQ1991" s="1" t="s">
        <v>198</v>
      </c>
      <c r="AR1991" s="1" t="s">
        <v>192</v>
      </c>
      <c r="AS1991" s="1" t="s">
        <v>199</v>
      </c>
      <c r="AT1991" s="1">
        <v>6.0</v>
      </c>
      <c r="AV1991" s="1" t="s">
        <v>200</v>
      </c>
      <c r="AW1991" s="1">
        <v>5713.0</v>
      </c>
      <c r="AX1991" s="1">
        <v>2013.0</v>
      </c>
      <c r="AY1991" s="1" t="s">
        <v>387</v>
      </c>
      <c r="AZ1991" s="1" t="s">
        <v>200</v>
      </c>
      <c r="BA1991" s="1" t="str">
        <f>"13271180170000"</f>
        <v>13271180170000</v>
      </c>
      <c r="BC1991" s="1">
        <v>2156.0</v>
      </c>
      <c r="BD1991" s="1">
        <v>325900.0</v>
      </c>
      <c r="BE1991" s="2">
        <v>41915.0</v>
      </c>
      <c r="BF1991" s="2" t="s">
        <v>18961</v>
      </c>
      <c r="BH1991" s="1">
        <v>0.0</v>
      </c>
      <c r="BK1991" s="1" t="s">
        <v>204</v>
      </c>
      <c r="BL1991" s="1" t="str">
        <f>"2910"</f>
        <v>2910</v>
      </c>
      <c r="BM1991" s="1" t="str">
        <f>"0"</f>
        <v>0</v>
      </c>
      <c r="BN1991" s="1">
        <v>4500.0</v>
      </c>
      <c r="BO1991" s="1">
        <v>0.0</v>
      </c>
      <c r="BQ1991" s="1">
        <v>299.0</v>
      </c>
      <c r="BR1991" s="1">
        <v>299.0</v>
      </c>
      <c r="BS1991" s="1">
        <v>299.0</v>
      </c>
      <c r="BU1991" s="1" t="s">
        <v>362</v>
      </c>
      <c r="BV1991" s="1" t="s">
        <v>206</v>
      </c>
      <c r="BW1991" s="1" t="s">
        <v>207</v>
      </c>
      <c r="BY1991" s="1" t="s">
        <v>639</v>
      </c>
      <c r="BZ1991" s="1" t="s">
        <v>209</v>
      </c>
      <c r="CA1991" s="1" t="s">
        <v>207</v>
      </c>
      <c r="CC1991" s="1" t="s">
        <v>262</v>
      </c>
      <c r="CD1991" s="1" t="s">
        <v>206</v>
      </c>
      <c r="CE1991" s="1" t="s">
        <v>207</v>
      </c>
      <c r="CG1991" s="1" t="s">
        <v>616</v>
      </c>
      <c r="CH1991" s="1" t="s">
        <v>209</v>
      </c>
      <c r="CI1991" s="1" t="s">
        <v>207</v>
      </c>
      <c r="CK1991" s="1" t="s">
        <v>215</v>
      </c>
      <c r="CL1991" s="1" t="s">
        <v>209</v>
      </c>
      <c r="CM1991" s="1" t="s">
        <v>207</v>
      </c>
      <c r="CO1991" s="1" t="s">
        <v>699</v>
      </c>
      <c r="CP1991" s="1" t="s">
        <v>209</v>
      </c>
      <c r="CQ1991" s="1" t="s">
        <v>207</v>
      </c>
      <c r="CS1991" s="1" t="s">
        <v>3154</v>
      </c>
      <c r="CT1991" s="1" t="s">
        <v>206</v>
      </c>
      <c r="CU1991" s="1" t="s">
        <v>268</v>
      </c>
      <c r="CW1991" s="1" t="s">
        <v>12927</v>
      </c>
      <c r="CX1991" s="1" t="s">
        <v>42</v>
      </c>
      <c r="CY1991" s="1" t="s">
        <v>268</v>
      </c>
      <c r="DA1991" s="1" t="s">
        <v>200</v>
      </c>
      <c r="DC1991" s="1" t="s">
        <v>785</v>
      </c>
      <c r="DD1991" s="1" t="s">
        <v>518</v>
      </c>
      <c r="DE1991" s="1" t="s">
        <v>273</v>
      </c>
      <c r="DF1991" s="1" t="s">
        <v>219</v>
      </c>
      <c r="DH1991" s="1" t="s">
        <v>365</v>
      </c>
      <c r="DJ1991" s="1" t="s">
        <v>222</v>
      </c>
      <c r="DL1991" s="1" t="s">
        <v>224</v>
      </c>
      <c r="DM1991" s="1" t="s">
        <v>229</v>
      </c>
      <c r="DQ1991" s="1" t="s">
        <v>228</v>
      </c>
      <c r="DR1991" s="1" t="s">
        <v>229</v>
      </c>
      <c r="DV1991" s="1" t="s">
        <v>232</v>
      </c>
      <c r="DW1991" s="1" t="s">
        <v>934</v>
      </c>
      <c r="DX1991" s="1" t="s">
        <v>234</v>
      </c>
      <c r="EC1991" s="1" t="s">
        <v>237</v>
      </c>
      <c r="EM1991" s="1" t="s">
        <v>238</v>
      </c>
      <c r="EQ1991" s="1" t="s">
        <v>238</v>
      </c>
      <c r="EU1991" s="1" t="s">
        <v>238</v>
      </c>
      <c r="EY1991" s="1" t="s">
        <v>238</v>
      </c>
      <c r="FC1991" s="1" t="s">
        <v>238</v>
      </c>
      <c r="FF1991" s="1" t="s">
        <v>239</v>
      </c>
      <c r="FG1991" s="1" t="s">
        <v>192</v>
      </c>
      <c r="FH1991" s="1" t="s">
        <v>192</v>
      </c>
      <c r="FJ1991" s="1" t="s">
        <v>18962</v>
      </c>
      <c r="FK1991" s="1" t="s">
        <v>229</v>
      </c>
      <c r="FL1991" s="1" t="s">
        <v>413</v>
      </c>
      <c r="FM1991" s="1">
        <v>13691.0</v>
      </c>
      <c r="FN1991" s="1" t="s">
        <v>414</v>
      </c>
      <c r="FO1991" s="1" t="s">
        <v>18963</v>
      </c>
      <c r="FP1991" s="1">
        <v>147174.0</v>
      </c>
      <c r="FQ1991" s="1" t="s">
        <v>18964</v>
      </c>
      <c r="FU1991" s="1" t="s">
        <v>1438</v>
      </c>
      <c r="FV1991" s="1" t="s">
        <v>200</v>
      </c>
      <c r="FW1991" s="1" t="s">
        <v>530</v>
      </c>
      <c r="FX1991" s="1" t="s">
        <v>238</v>
      </c>
      <c r="FZ1991" s="1" t="s">
        <v>229</v>
      </c>
      <c r="GA1991" s="1" t="s">
        <v>291</v>
      </c>
      <c r="GB1991" s="2">
        <v>41990.0</v>
      </c>
      <c r="GC1991" s="1" t="s">
        <v>18965</v>
      </c>
    </row>
    <row r="1992">
      <c r="A1992" s="1">
        <v>60000.0</v>
      </c>
      <c r="B1992" s="1" t="s">
        <v>185</v>
      </c>
      <c r="C1992" s="1" t="str">
        <f>"08728273"</f>
        <v>08728273</v>
      </c>
      <c r="D1992" s="1" t="s">
        <v>186</v>
      </c>
      <c r="F1992" s="1" t="str">
        <f>"8050"</f>
        <v>8050</v>
      </c>
      <c r="G1992" s="2">
        <v>41897.0</v>
      </c>
      <c r="H1992" s="1">
        <v>95000.0</v>
      </c>
      <c r="I1992" s="1">
        <v>1141.0</v>
      </c>
      <c r="J1992" s="1">
        <v>95000.0</v>
      </c>
      <c r="K1992" s="2">
        <v>41943.0</v>
      </c>
      <c r="L1992" s="1">
        <v>47.0</v>
      </c>
      <c r="M1992" s="2">
        <v>41943.0</v>
      </c>
      <c r="N1992" s="1" t="s">
        <v>187</v>
      </c>
      <c r="O1992" s="2">
        <v>41992.0</v>
      </c>
      <c r="P1992" s="1">
        <v>239083.0</v>
      </c>
      <c r="Q1992" s="1">
        <v>25185.0</v>
      </c>
      <c r="S1992" s="1">
        <v>11113.0</v>
      </c>
      <c r="T1992" s="1" t="s">
        <v>8154</v>
      </c>
      <c r="U1992" s="1" t="s">
        <v>189</v>
      </c>
      <c r="V1992" s="1" t="s">
        <v>190</v>
      </c>
      <c r="W1992" s="1">
        <v>60628.0</v>
      </c>
      <c r="Y1992" s="1" t="s">
        <v>18966</v>
      </c>
      <c r="Z1992" s="1">
        <v>1880.0</v>
      </c>
      <c r="AA1992" s="1" t="s">
        <v>192</v>
      </c>
      <c r="AB1992" s="1" t="s">
        <v>193</v>
      </c>
      <c r="AD1992" s="1" t="s">
        <v>194</v>
      </c>
      <c r="AE1992" s="1" t="s">
        <v>195</v>
      </c>
      <c r="AF1992" s="1" t="s">
        <v>637</v>
      </c>
      <c r="AG1992" s="1" t="s">
        <v>18967</v>
      </c>
      <c r="AH1992" s="1" t="s">
        <v>18968</v>
      </c>
      <c r="AI1992" s="1">
        <v>0.06</v>
      </c>
      <c r="AK1992" s="1">
        <v>8.0</v>
      </c>
      <c r="AL1992" s="1">
        <v>4.0</v>
      </c>
      <c r="AM1992" s="1">
        <v>2.0</v>
      </c>
      <c r="AN1992" s="1">
        <v>0.0</v>
      </c>
      <c r="AO1992" s="1" t="s">
        <v>229</v>
      </c>
      <c r="AP1992" s="1">
        <v>1.0</v>
      </c>
      <c r="AQ1992" s="1" t="s">
        <v>198</v>
      </c>
      <c r="AR1992" s="1" t="s">
        <v>200</v>
      </c>
      <c r="AS1992" s="1" t="s">
        <v>199</v>
      </c>
      <c r="AT1992" s="1">
        <v>2.0</v>
      </c>
      <c r="AV1992" s="1" t="s">
        <v>200</v>
      </c>
      <c r="AW1992" s="1">
        <v>2259.09</v>
      </c>
      <c r="AX1992" s="1">
        <v>2013.0</v>
      </c>
      <c r="AY1992" s="1" t="s">
        <v>229</v>
      </c>
      <c r="AZ1992" s="1" t="s">
        <v>200</v>
      </c>
      <c r="BA1992" s="1" t="str">
        <f>"25222080050000"</f>
        <v>25222080050000</v>
      </c>
      <c r="BB1992" s="1" t="s">
        <v>200</v>
      </c>
      <c r="BC1992" s="1">
        <v>1772.0</v>
      </c>
      <c r="BD1992" s="1">
        <v>60000.0</v>
      </c>
      <c r="BE1992" s="2">
        <v>41897.0</v>
      </c>
      <c r="BF1992" s="2" t="s">
        <v>18969</v>
      </c>
      <c r="BG1992" s="1" t="s">
        <v>18970</v>
      </c>
      <c r="BH1992" s="1">
        <v>0.0</v>
      </c>
      <c r="BI1992" s="1" t="s">
        <v>18971</v>
      </c>
      <c r="BJ1992" s="1" t="s">
        <v>18972</v>
      </c>
      <c r="BK1992" s="1" t="s">
        <v>204</v>
      </c>
      <c r="BL1992" s="1" t="str">
        <f>"0"</f>
        <v>0</v>
      </c>
      <c r="BM1992" s="1" t="str">
        <f>"600"</f>
        <v>600</v>
      </c>
      <c r="BN1992" s="1">
        <v>0.0</v>
      </c>
      <c r="BO1992" s="1">
        <v>11113.0</v>
      </c>
      <c r="BQ1992" s="1">
        <v>299.0</v>
      </c>
      <c r="BR1992" s="1">
        <v>299.0</v>
      </c>
      <c r="BS1992" s="1">
        <v>299.0</v>
      </c>
      <c r="BU1992" s="1" t="s">
        <v>361</v>
      </c>
      <c r="BV1992" s="1" t="s">
        <v>206</v>
      </c>
      <c r="BW1992" s="1" t="s">
        <v>210</v>
      </c>
      <c r="BX1992" s="1" t="s">
        <v>261</v>
      </c>
      <c r="BY1992" s="1" t="s">
        <v>300</v>
      </c>
      <c r="BZ1992" s="1" t="s">
        <v>209</v>
      </c>
      <c r="CA1992" s="1" t="s">
        <v>210</v>
      </c>
      <c r="CB1992" s="1" t="s">
        <v>261</v>
      </c>
      <c r="CC1992" s="1" t="s">
        <v>454</v>
      </c>
      <c r="CD1992" s="1" t="s">
        <v>206</v>
      </c>
      <c r="CE1992" s="1" t="s">
        <v>210</v>
      </c>
      <c r="CF1992" s="1" t="s">
        <v>1549</v>
      </c>
      <c r="CG1992" s="1" t="s">
        <v>1119</v>
      </c>
      <c r="CH1992" s="1" t="s">
        <v>209</v>
      </c>
      <c r="CI1992" s="1" t="s">
        <v>210</v>
      </c>
      <c r="CJ1992" s="1" t="s">
        <v>431</v>
      </c>
      <c r="CK1992" s="1" t="s">
        <v>1190</v>
      </c>
      <c r="CL1992" s="1" t="s">
        <v>209</v>
      </c>
      <c r="CM1992" s="1" t="s">
        <v>210</v>
      </c>
      <c r="CN1992" s="1" t="s">
        <v>1549</v>
      </c>
      <c r="CO1992" s="1" t="s">
        <v>269</v>
      </c>
      <c r="CP1992" s="1" t="s">
        <v>206</v>
      </c>
      <c r="CQ1992" s="1" t="s">
        <v>210</v>
      </c>
      <c r="CR1992" s="1" t="s">
        <v>1549</v>
      </c>
      <c r="CS1992" s="1" t="s">
        <v>302</v>
      </c>
      <c r="CT1992" s="1" t="s">
        <v>206</v>
      </c>
      <c r="CU1992" s="1" t="s">
        <v>617</v>
      </c>
      <c r="CX1992" s="1" t="s">
        <v>204</v>
      </c>
      <c r="DA1992" s="1" t="s">
        <v>200</v>
      </c>
      <c r="DC1992" s="1" t="s">
        <v>642</v>
      </c>
      <c r="DD1992" s="1" t="s">
        <v>518</v>
      </c>
      <c r="DE1992" s="1" t="s">
        <v>1905</v>
      </c>
      <c r="DF1992" s="1" t="s">
        <v>18973</v>
      </c>
      <c r="DG1992" s="1" t="s">
        <v>482</v>
      </c>
      <c r="DH1992" s="1" t="s">
        <v>307</v>
      </c>
      <c r="DI1992" s="1" t="s">
        <v>1401</v>
      </c>
      <c r="DJ1992" s="1" t="s">
        <v>1048</v>
      </c>
      <c r="DL1992" s="1" t="s">
        <v>791</v>
      </c>
      <c r="DM1992" s="1" t="s">
        <v>15363</v>
      </c>
      <c r="DO1992" s="1" t="s">
        <v>549</v>
      </c>
      <c r="DP1992" s="1" t="s">
        <v>340</v>
      </c>
      <c r="DQ1992" s="1" t="s">
        <v>228</v>
      </c>
      <c r="DR1992" s="1" t="s">
        <v>229</v>
      </c>
      <c r="DS1992" s="1" t="s">
        <v>401</v>
      </c>
      <c r="DU1992" s="1" t="s">
        <v>2070</v>
      </c>
      <c r="DV1992" s="1" t="s">
        <v>18974</v>
      </c>
      <c r="DW1992" s="1" t="s">
        <v>279</v>
      </c>
      <c r="DX1992" s="1" t="s">
        <v>309</v>
      </c>
      <c r="DY1992" s="1" t="s">
        <v>8223</v>
      </c>
      <c r="DZ1992" s="1" t="s">
        <v>18975</v>
      </c>
      <c r="EA1992" s="1" t="s">
        <v>2466</v>
      </c>
      <c r="EB1992" s="1" t="s">
        <v>797</v>
      </c>
      <c r="EC1992" s="1" t="s">
        <v>237</v>
      </c>
      <c r="ED1992" s="1" t="s">
        <v>407</v>
      </c>
      <c r="EG1992" s="1" t="s">
        <v>494</v>
      </c>
      <c r="EH1992" s="1" t="s">
        <v>408</v>
      </c>
      <c r="EI1992" s="1" t="s">
        <v>720</v>
      </c>
      <c r="EJ1992" s="1" t="s">
        <v>374</v>
      </c>
      <c r="EK1992" s="1" t="s">
        <v>409</v>
      </c>
      <c r="EL1992" s="1" t="s">
        <v>18976</v>
      </c>
      <c r="EM1992" s="1" t="s">
        <v>209</v>
      </c>
      <c r="EN1992" s="1" t="s">
        <v>617</v>
      </c>
      <c r="EO1992" s="1" t="s">
        <v>1549</v>
      </c>
      <c r="EP1992" s="1" t="s">
        <v>18977</v>
      </c>
      <c r="EQ1992" s="1" t="s">
        <v>206</v>
      </c>
      <c r="ER1992" s="1" t="s">
        <v>1790</v>
      </c>
      <c r="ET1992" s="1" t="s">
        <v>18978</v>
      </c>
      <c r="EU1992" s="1" t="s">
        <v>206</v>
      </c>
      <c r="EV1992" s="1" t="s">
        <v>268</v>
      </c>
      <c r="EX1992" s="1" t="s">
        <v>17694</v>
      </c>
      <c r="EY1992" s="1" t="s">
        <v>206</v>
      </c>
      <c r="EZ1992" s="1" t="s">
        <v>210</v>
      </c>
      <c r="FA1992" s="1" t="s">
        <v>1118</v>
      </c>
      <c r="FB1992" s="1" t="s">
        <v>18979</v>
      </c>
      <c r="FC1992" s="1" t="s">
        <v>209</v>
      </c>
      <c r="FD1992" s="1" t="s">
        <v>617</v>
      </c>
      <c r="FE1992" s="1" t="s">
        <v>431</v>
      </c>
      <c r="FF1992" s="1" t="s">
        <v>239</v>
      </c>
      <c r="FG1992" s="1" t="s">
        <v>192</v>
      </c>
      <c r="FH1992" s="1" t="s">
        <v>192</v>
      </c>
      <c r="FJ1992" s="1" t="s">
        <v>16672</v>
      </c>
      <c r="FK1992" s="1" t="s">
        <v>229</v>
      </c>
      <c r="FL1992" s="1" t="s">
        <v>974</v>
      </c>
      <c r="FM1992" s="1">
        <v>14470.0</v>
      </c>
      <c r="FN1992" s="1" t="s">
        <v>3407</v>
      </c>
      <c r="FO1992" s="1" t="s">
        <v>18980</v>
      </c>
      <c r="FP1992" s="1">
        <v>141155.0</v>
      </c>
      <c r="FQ1992" s="1" t="s">
        <v>18981</v>
      </c>
      <c r="FU1992" s="1" t="s">
        <v>3678</v>
      </c>
      <c r="FV1992" s="1" t="s">
        <v>200</v>
      </c>
      <c r="FW1992" s="1" t="s">
        <v>530</v>
      </c>
      <c r="FX1992" s="1" t="s">
        <v>655</v>
      </c>
      <c r="FZ1992" s="1" t="s">
        <v>229</v>
      </c>
      <c r="GA1992" s="1" t="s">
        <v>291</v>
      </c>
      <c r="GB1992" s="2">
        <v>42004.0</v>
      </c>
    </row>
    <row r="1993">
      <c r="A1993" s="1">
        <v>260000.0</v>
      </c>
      <c r="B1993" s="1" t="s">
        <v>185</v>
      </c>
      <c r="C1993" s="1" t="str">
        <f>"08728652"</f>
        <v>08728652</v>
      </c>
      <c r="D1993" s="1" t="s">
        <v>186</v>
      </c>
      <c r="F1993" s="1" t="str">
        <f>"8017"</f>
        <v>8017</v>
      </c>
      <c r="G1993" s="2">
        <v>41897.0</v>
      </c>
      <c r="H1993" s="1">
        <v>289000.0</v>
      </c>
      <c r="I1993" s="1">
        <v>157.0</v>
      </c>
      <c r="J1993" s="1">
        <v>259900.0</v>
      </c>
      <c r="K1993" s="2">
        <v>42052.0</v>
      </c>
      <c r="L1993" s="1">
        <v>157.0</v>
      </c>
      <c r="M1993" s="2">
        <v>42052.0</v>
      </c>
      <c r="N1993" s="1" t="s">
        <v>187</v>
      </c>
      <c r="O1993" s="2">
        <v>42103.0</v>
      </c>
      <c r="P1993" s="1">
        <v>179757.0</v>
      </c>
      <c r="Q1993" s="1">
        <v>10317.0</v>
      </c>
      <c r="R1993" s="1">
        <v>1500.0</v>
      </c>
      <c r="S1993" s="1">
        <v>6317.0</v>
      </c>
      <c r="T1993" s="1" t="s">
        <v>712</v>
      </c>
      <c r="U1993" s="1" t="s">
        <v>320</v>
      </c>
      <c r="V1993" s="1" t="s">
        <v>190</v>
      </c>
      <c r="W1993" s="1">
        <v>60634.0</v>
      </c>
      <c r="Y1993" s="1" t="s">
        <v>18982</v>
      </c>
      <c r="Z1993" s="1">
        <v>1919.0</v>
      </c>
      <c r="AA1993" s="1" t="s">
        <v>192</v>
      </c>
      <c r="AB1993" s="1" t="s">
        <v>193</v>
      </c>
      <c r="AD1993" s="1" t="s">
        <v>194</v>
      </c>
      <c r="AE1993" s="1" t="s">
        <v>195</v>
      </c>
      <c r="AF1993" s="1" t="s">
        <v>196</v>
      </c>
      <c r="AH1993" s="1" t="s">
        <v>779</v>
      </c>
      <c r="AK1993" s="1">
        <v>8.0</v>
      </c>
      <c r="AL1993" s="1">
        <v>4.0</v>
      </c>
      <c r="AM1993" s="1">
        <v>2.0</v>
      </c>
      <c r="AN1993" s="1">
        <v>0.0</v>
      </c>
      <c r="AO1993" s="1" t="s">
        <v>198</v>
      </c>
      <c r="AQ1993" s="1" t="s">
        <v>198</v>
      </c>
      <c r="AR1993" s="1" t="s">
        <v>200</v>
      </c>
      <c r="AS1993" s="1" t="s">
        <v>199</v>
      </c>
      <c r="AT1993" s="1">
        <v>2.0</v>
      </c>
      <c r="AV1993" s="1" t="s">
        <v>200</v>
      </c>
      <c r="AW1993" s="1">
        <v>3907.41</v>
      </c>
      <c r="AX1993" s="1">
        <v>2013.0</v>
      </c>
      <c r="AY1993" s="1" t="s">
        <v>387</v>
      </c>
      <c r="AZ1993" s="1" t="s">
        <v>200</v>
      </c>
      <c r="BA1993" s="1" t="str">
        <f>"13203000100000"</f>
        <v>13203000100000</v>
      </c>
      <c r="BC1993" s="1">
        <v>1504.0</v>
      </c>
      <c r="BD1993" s="1">
        <v>260000.0</v>
      </c>
      <c r="BE1993" s="2">
        <v>41896.0</v>
      </c>
      <c r="BF1993" s="2" t="s">
        <v>18983</v>
      </c>
      <c r="BH1993" s="1">
        <v>0.0</v>
      </c>
      <c r="BK1993" s="1" t="s">
        <v>204</v>
      </c>
      <c r="BL1993" s="1" t="str">
        <f>"3600"</f>
        <v>3600</v>
      </c>
      <c r="BM1993" s="1" t="str">
        <f>"0"</f>
        <v>0</v>
      </c>
      <c r="BN1993" s="1">
        <v>6317.0</v>
      </c>
      <c r="BO1993" s="1">
        <v>0.0</v>
      </c>
      <c r="BQ1993" s="1">
        <v>299.0</v>
      </c>
      <c r="BR1993" s="1">
        <v>299.0</v>
      </c>
      <c r="BS1993" s="1">
        <v>299.0</v>
      </c>
      <c r="BU1993" s="1" t="s">
        <v>1138</v>
      </c>
      <c r="BV1993" s="1" t="s">
        <v>206</v>
      </c>
      <c r="BW1993" s="1" t="s">
        <v>207</v>
      </c>
      <c r="BY1993" s="1" t="s">
        <v>433</v>
      </c>
      <c r="BZ1993" s="1" t="s">
        <v>209</v>
      </c>
      <c r="CA1993" s="1" t="s">
        <v>301</v>
      </c>
      <c r="CC1993" s="1" t="s">
        <v>269</v>
      </c>
      <c r="CD1993" s="1" t="s">
        <v>206</v>
      </c>
      <c r="CE1993" s="1" t="s">
        <v>207</v>
      </c>
      <c r="CG1993" s="1" t="s">
        <v>663</v>
      </c>
      <c r="CH1993" s="1" t="s">
        <v>209</v>
      </c>
      <c r="CI1993" s="1" t="s">
        <v>210</v>
      </c>
      <c r="CK1993" s="1" t="s">
        <v>7760</v>
      </c>
      <c r="CL1993" s="1" t="s">
        <v>209</v>
      </c>
      <c r="CM1993" s="1" t="s">
        <v>210</v>
      </c>
      <c r="CO1993" s="1" t="s">
        <v>18984</v>
      </c>
      <c r="CP1993" s="1" t="s">
        <v>209</v>
      </c>
      <c r="CQ1993" s="1" t="s">
        <v>210</v>
      </c>
      <c r="CS1993" s="1" t="s">
        <v>830</v>
      </c>
      <c r="CT1993" s="1" t="s">
        <v>206</v>
      </c>
      <c r="CU1993" s="1" t="s">
        <v>268</v>
      </c>
      <c r="CW1993" s="1" t="s">
        <v>10207</v>
      </c>
      <c r="CX1993" s="1" t="s">
        <v>42</v>
      </c>
      <c r="CY1993" s="1" t="s">
        <v>210</v>
      </c>
      <c r="DA1993" s="1" t="s">
        <v>200</v>
      </c>
      <c r="DC1993" s="1" t="s">
        <v>216</v>
      </c>
      <c r="DD1993" s="1" t="s">
        <v>306</v>
      </c>
      <c r="DE1993" s="1" t="s">
        <v>273</v>
      </c>
      <c r="DF1993" s="1" t="s">
        <v>219</v>
      </c>
      <c r="DH1993" s="1" t="s">
        <v>220</v>
      </c>
      <c r="DI1993" s="1" t="s">
        <v>1223</v>
      </c>
      <c r="DJ1993" s="1" t="s">
        <v>222</v>
      </c>
      <c r="DL1993" s="1" t="s">
        <v>224</v>
      </c>
      <c r="DM1993" s="1" t="s">
        <v>229</v>
      </c>
      <c r="DP1993" s="1" t="s">
        <v>340</v>
      </c>
      <c r="DQ1993" s="1" t="s">
        <v>228</v>
      </c>
      <c r="DR1993" s="1" t="s">
        <v>229</v>
      </c>
      <c r="DS1993" s="1" t="s">
        <v>368</v>
      </c>
      <c r="DV1993" s="1" t="s">
        <v>232</v>
      </c>
      <c r="DW1993" s="1" t="s">
        <v>233</v>
      </c>
      <c r="DX1993" s="1" t="s">
        <v>234</v>
      </c>
      <c r="DZ1993" s="1" t="s">
        <v>310</v>
      </c>
      <c r="EA1993" s="1" t="s">
        <v>1075</v>
      </c>
      <c r="EC1993" s="1" t="s">
        <v>645</v>
      </c>
      <c r="EE1993" s="1" t="s">
        <v>187</v>
      </c>
      <c r="EM1993" s="1" t="s">
        <v>238</v>
      </c>
      <c r="EQ1993" s="1" t="s">
        <v>238</v>
      </c>
      <c r="EU1993" s="1" t="s">
        <v>238</v>
      </c>
      <c r="EY1993" s="1" t="s">
        <v>238</v>
      </c>
      <c r="FC1993" s="1" t="s">
        <v>238</v>
      </c>
      <c r="FF1993" s="1" t="s">
        <v>2447</v>
      </c>
      <c r="FG1993" s="1" t="s">
        <v>192</v>
      </c>
      <c r="FH1993" s="1" t="s">
        <v>192</v>
      </c>
      <c r="FJ1993" s="1" t="s">
        <v>1231</v>
      </c>
      <c r="FK1993" s="1" t="s">
        <v>229</v>
      </c>
      <c r="FL1993" s="1" t="s">
        <v>18985</v>
      </c>
      <c r="FM1993" s="1">
        <v>14787.0</v>
      </c>
      <c r="FN1993" s="1" t="s">
        <v>18986</v>
      </c>
      <c r="FO1993" s="1" t="s">
        <v>18987</v>
      </c>
      <c r="FP1993" s="1">
        <v>131405.0</v>
      </c>
      <c r="FQ1993" s="1" t="s">
        <v>18986</v>
      </c>
      <c r="FU1993" s="1" t="s">
        <v>18988</v>
      </c>
      <c r="FV1993" s="1" t="s">
        <v>200</v>
      </c>
      <c r="FW1993" s="1" t="s">
        <v>290</v>
      </c>
      <c r="FX1993" s="1" t="s">
        <v>246</v>
      </c>
      <c r="FZ1993" s="1" t="s">
        <v>229</v>
      </c>
      <c r="GA1993" s="1" t="s">
        <v>291</v>
      </c>
      <c r="GB1993" s="2">
        <v>42103.0</v>
      </c>
      <c r="GC1993" s="1" t="s">
        <v>18989</v>
      </c>
    </row>
    <row r="1994">
      <c r="A1994" s="1">
        <v>98900.0</v>
      </c>
      <c r="B1994" s="1" t="s">
        <v>185</v>
      </c>
      <c r="C1994" s="1" t="str">
        <f>"08726028"</f>
        <v>08726028</v>
      </c>
      <c r="D1994" s="1" t="s">
        <v>186</v>
      </c>
      <c r="F1994" s="1" t="str">
        <f>"8027"</f>
        <v>8027</v>
      </c>
      <c r="G1994" s="2">
        <v>41893.0</v>
      </c>
      <c r="H1994" s="1">
        <v>99900.0</v>
      </c>
      <c r="I1994" s="1">
        <v>123.0</v>
      </c>
      <c r="J1994" s="1">
        <v>99900.0</v>
      </c>
      <c r="K1994" s="2">
        <v>42015.0</v>
      </c>
      <c r="L1994" s="1">
        <v>123.0</v>
      </c>
      <c r="M1994" s="2">
        <v>42015.0</v>
      </c>
      <c r="N1994" s="1" t="s">
        <v>356</v>
      </c>
      <c r="O1994" s="2">
        <v>42124.0</v>
      </c>
      <c r="P1994" s="1">
        <v>235123.0</v>
      </c>
      <c r="Q1994" s="1">
        <v>22708.0</v>
      </c>
      <c r="R1994" s="1">
        <v>1500.0</v>
      </c>
      <c r="S1994" s="1">
        <v>815.0</v>
      </c>
      <c r="T1994" s="1" t="s">
        <v>2176</v>
      </c>
      <c r="U1994" s="1" t="s">
        <v>1442</v>
      </c>
      <c r="V1994" s="1" t="s">
        <v>190</v>
      </c>
      <c r="W1994" s="1">
        <v>60624.0</v>
      </c>
      <c r="Y1994" s="1" t="s">
        <v>18990</v>
      </c>
      <c r="Z1994" s="1">
        <v>1999.0</v>
      </c>
      <c r="AA1994" s="1" t="s">
        <v>200</v>
      </c>
      <c r="AB1994" s="1" t="s">
        <v>193</v>
      </c>
      <c r="AD1994" s="1" t="s">
        <v>194</v>
      </c>
      <c r="AE1994" s="1" t="s">
        <v>195</v>
      </c>
      <c r="AF1994" s="1" t="s">
        <v>827</v>
      </c>
      <c r="AH1994" s="1" t="s">
        <v>13350</v>
      </c>
      <c r="AK1994" s="1">
        <v>7.0</v>
      </c>
      <c r="AL1994" s="1">
        <v>4.0</v>
      </c>
      <c r="AM1994" s="1">
        <v>2.0</v>
      </c>
      <c r="AN1994" s="1">
        <v>1.0</v>
      </c>
      <c r="AO1994" s="1" t="s">
        <v>198</v>
      </c>
      <c r="AQ1994" s="1" t="s">
        <v>229</v>
      </c>
      <c r="AR1994" s="1" t="s">
        <v>200</v>
      </c>
      <c r="AS1994" s="1" t="s">
        <v>828</v>
      </c>
      <c r="AU1994" s="1">
        <v>2.0</v>
      </c>
      <c r="AV1994" s="1" t="s">
        <v>200</v>
      </c>
      <c r="AW1994" s="1">
        <v>3002.0</v>
      </c>
      <c r="AX1994" s="1">
        <v>2012.0</v>
      </c>
      <c r="AY1994" s="1" t="s">
        <v>229</v>
      </c>
      <c r="AZ1994" s="1" t="s">
        <v>200</v>
      </c>
      <c r="BA1994" s="1" t="str">
        <f>"16143150180000"</f>
        <v>16143150180000</v>
      </c>
      <c r="BC1994" s="1">
        <v>1624.0</v>
      </c>
      <c r="BD1994" s="1">
        <v>98900.0</v>
      </c>
      <c r="BE1994" s="2">
        <v>41893.0</v>
      </c>
      <c r="BF1994" s="1" t="s">
        <v>18991</v>
      </c>
      <c r="BH1994" s="1">
        <v>0.0</v>
      </c>
      <c r="BK1994" s="1" t="s">
        <v>204</v>
      </c>
      <c r="BL1994" s="1" t="str">
        <f t="shared" ref="BL1994:BM1994" si="1311">"0"</f>
        <v>0</v>
      </c>
      <c r="BM1994" s="1" t="str">
        <f t="shared" si="1311"/>
        <v>0</v>
      </c>
      <c r="BN1994" s="1">
        <v>3800.0</v>
      </c>
      <c r="BO1994" s="1">
        <v>815.0</v>
      </c>
      <c r="BQ1994" s="1">
        <v>299.0</v>
      </c>
      <c r="BR1994" s="1">
        <v>299.0</v>
      </c>
      <c r="BS1994" s="1">
        <v>299.0</v>
      </c>
      <c r="BU1994" s="1" t="s">
        <v>1483</v>
      </c>
      <c r="BV1994" s="1" t="s">
        <v>206</v>
      </c>
      <c r="BY1994" s="1" t="s">
        <v>677</v>
      </c>
      <c r="BZ1994" s="1" t="s">
        <v>391</v>
      </c>
      <c r="CC1994" s="1" t="s">
        <v>263</v>
      </c>
      <c r="CD1994" s="1" t="s">
        <v>206</v>
      </c>
      <c r="CG1994" s="1" t="s">
        <v>830</v>
      </c>
      <c r="CH1994" s="1" t="s">
        <v>209</v>
      </c>
      <c r="CK1994" s="1" t="s">
        <v>1483</v>
      </c>
      <c r="CL1994" s="1" t="s">
        <v>209</v>
      </c>
      <c r="CO1994" s="1" t="s">
        <v>1567</v>
      </c>
      <c r="CP1994" s="1" t="s">
        <v>209</v>
      </c>
      <c r="CS1994" s="1" t="s">
        <v>212</v>
      </c>
      <c r="CT1994" s="1" t="s">
        <v>206</v>
      </c>
      <c r="CX1994" s="1" t="s">
        <v>204</v>
      </c>
      <c r="DA1994" s="1" t="s">
        <v>200</v>
      </c>
      <c r="DC1994" s="1" t="s">
        <v>335</v>
      </c>
      <c r="DE1994" s="1" t="s">
        <v>229</v>
      </c>
      <c r="DF1994" s="1" t="s">
        <v>619</v>
      </c>
      <c r="DH1994" s="1" t="s">
        <v>220</v>
      </c>
      <c r="DJ1994" s="1" t="s">
        <v>222</v>
      </c>
      <c r="DL1994" s="1" t="s">
        <v>229</v>
      </c>
      <c r="DM1994" s="1" t="s">
        <v>229</v>
      </c>
      <c r="DQ1994" s="1" t="s">
        <v>228</v>
      </c>
      <c r="DR1994" s="1" t="s">
        <v>229</v>
      </c>
      <c r="DS1994" s="1" t="s">
        <v>230</v>
      </c>
      <c r="DV1994" s="1" t="s">
        <v>968</v>
      </c>
      <c r="DW1994" s="1" t="s">
        <v>279</v>
      </c>
      <c r="DX1994" s="1" t="s">
        <v>234</v>
      </c>
      <c r="EC1994" s="1" t="s">
        <v>406</v>
      </c>
      <c r="EG1994" s="1" t="s">
        <v>968</v>
      </c>
      <c r="EL1994" s="1" t="s">
        <v>18992</v>
      </c>
      <c r="EM1994" s="1" t="s">
        <v>391</v>
      </c>
      <c r="EQ1994" s="1" t="s">
        <v>238</v>
      </c>
      <c r="EU1994" s="1" t="s">
        <v>238</v>
      </c>
      <c r="EY1994" s="1" t="s">
        <v>238</v>
      </c>
      <c r="FC1994" s="1" t="s">
        <v>238</v>
      </c>
      <c r="FF1994" s="1" t="s">
        <v>239</v>
      </c>
      <c r="FG1994" s="1" t="s">
        <v>192</v>
      </c>
      <c r="FH1994" s="1" t="s">
        <v>192</v>
      </c>
      <c r="FJ1994" s="1" t="s">
        <v>7945</v>
      </c>
      <c r="FK1994" s="1" t="s">
        <v>229</v>
      </c>
      <c r="FL1994" s="1" t="s">
        <v>3455</v>
      </c>
      <c r="FM1994" s="1">
        <v>14856.0</v>
      </c>
      <c r="FN1994" s="1" t="s">
        <v>3456</v>
      </c>
      <c r="FO1994" s="1" t="s">
        <v>18993</v>
      </c>
      <c r="FP1994" s="1">
        <v>122519.0</v>
      </c>
      <c r="FQ1994" s="1" t="s">
        <v>18994</v>
      </c>
      <c r="FU1994" s="1" t="s">
        <v>18995</v>
      </c>
      <c r="FV1994" s="1" t="s">
        <v>200</v>
      </c>
      <c r="FW1994" s="1" t="s">
        <v>4583</v>
      </c>
      <c r="FX1994" s="1" t="s">
        <v>655</v>
      </c>
      <c r="FZ1994" s="1" t="s">
        <v>229</v>
      </c>
      <c r="GA1994" s="1" t="s">
        <v>291</v>
      </c>
      <c r="GB1994" s="2">
        <v>42125.0</v>
      </c>
      <c r="GC1994" s="1" t="s">
        <v>18996</v>
      </c>
    </row>
    <row r="1995">
      <c r="A1995" s="1">
        <v>462000.0</v>
      </c>
      <c r="B1995" s="1" t="s">
        <v>185</v>
      </c>
      <c r="C1995" s="1" t="str">
        <f>"08731462"</f>
        <v>08731462</v>
      </c>
      <c r="D1995" s="1" t="s">
        <v>186</v>
      </c>
      <c r="F1995" s="1" t="str">
        <f>"134"</f>
        <v>134</v>
      </c>
      <c r="G1995" s="2">
        <v>41900.0</v>
      </c>
      <c r="H1995" s="1">
        <v>485500.0</v>
      </c>
      <c r="I1995" s="1">
        <v>111.0</v>
      </c>
      <c r="J1995" s="1">
        <v>485500.0</v>
      </c>
      <c r="K1995" s="2">
        <v>42010.0</v>
      </c>
      <c r="L1995" s="1">
        <v>111.0</v>
      </c>
      <c r="M1995" s="2">
        <v>42010.0</v>
      </c>
      <c r="N1995" s="1" t="s">
        <v>187</v>
      </c>
      <c r="O1995" s="2">
        <v>42034.0</v>
      </c>
      <c r="P1995" s="1">
        <v>607.0</v>
      </c>
      <c r="Q1995" s="1">
        <v>30.0</v>
      </c>
      <c r="S1995" s="1" t="s">
        <v>18997</v>
      </c>
      <c r="T1995" s="1" t="s">
        <v>7046</v>
      </c>
      <c r="U1995" s="1" t="s">
        <v>694</v>
      </c>
      <c r="V1995" s="1" t="s">
        <v>421</v>
      </c>
      <c r="W1995" s="1">
        <v>60134.0</v>
      </c>
      <c r="Y1995" s="1" t="s">
        <v>18998</v>
      </c>
      <c r="Z1995" s="1">
        <v>2000.0</v>
      </c>
      <c r="AA1995" s="1" t="s">
        <v>200</v>
      </c>
      <c r="AB1995" s="1" t="s">
        <v>193</v>
      </c>
      <c r="AC1995" s="1" t="s">
        <v>1596</v>
      </c>
      <c r="AD1995" s="1" t="s">
        <v>424</v>
      </c>
      <c r="AE1995" s="1" t="s">
        <v>325</v>
      </c>
      <c r="AF1995" s="1" t="s">
        <v>1479</v>
      </c>
      <c r="AH1995" s="1" t="s">
        <v>18999</v>
      </c>
      <c r="AI1995" s="1">
        <v>0.41</v>
      </c>
      <c r="AK1995" s="1">
        <v>12.0</v>
      </c>
      <c r="AL1995" s="1">
        <v>4.0</v>
      </c>
      <c r="AM1995" s="1">
        <v>3.0</v>
      </c>
      <c r="AN1995" s="1">
        <v>1.0</v>
      </c>
      <c r="AO1995" s="1" t="s">
        <v>198</v>
      </c>
      <c r="AP1995" s="1">
        <v>1.0</v>
      </c>
      <c r="AQ1995" s="1" t="s">
        <v>198</v>
      </c>
      <c r="AR1995" s="1" t="s">
        <v>192</v>
      </c>
      <c r="AS1995" s="1" t="s">
        <v>199</v>
      </c>
      <c r="AT1995" s="1">
        <v>3.0</v>
      </c>
      <c r="AV1995" s="1" t="s">
        <v>200</v>
      </c>
      <c r="AW1995" s="6">
        <v>14293.0</v>
      </c>
      <c r="AX1995" s="1">
        <v>2013.0</v>
      </c>
      <c r="AY1995" s="1" t="s">
        <v>387</v>
      </c>
      <c r="AZ1995" s="1" t="s">
        <v>200</v>
      </c>
      <c r="BA1995" s="1" t="str">
        <f>"1112378004"</f>
        <v>1112378004</v>
      </c>
      <c r="BC1995" s="1">
        <v>3062.0</v>
      </c>
      <c r="BD1995" s="1">
        <v>462000.0</v>
      </c>
      <c r="BE1995" s="2">
        <v>41900.0</v>
      </c>
      <c r="BF1995" s="2" t="s">
        <v>19000</v>
      </c>
      <c r="BH1995" s="1">
        <v>0.0</v>
      </c>
      <c r="BK1995" s="1" t="s">
        <v>204</v>
      </c>
      <c r="BL1995" s="1" t="str">
        <f t="shared" ref="BL1995:BM1995" si="1312">""</f>
        <v/>
      </c>
      <c r="BM1995" s="1" t="str">
        <f t="shared" si="1312"/>
        <v/>
      </c>
      <c r="BQ1995" s="1">
        <v>304.0</v>
      </c>
      <c r="BR1995" s="1">
        <v>304.0</v>
      </c>
      <c r="BS1995" s="1">
        <v>304.0</v>
      </c>
      <c r="BU1995" s="1" t="s">
        <v>361</v>
      </c>
      <c r="BV1995" s="1" t="s">
        <v>206</v>
      </c>
      <c r="BW1995" s="1" t="s">
        <v>210</v>
      </c>
      <c r="BX1995" s="1" t="s">
        <v>239</v>
      </c>
      <c r="BY1995" s="1" t="s">
        <v>616</v>
      </c>
      <c r="BZ1995" s="1" t="s">
        <v>209</v>
      </c>
      <c r="CA1995" s="1" t="s">
        <v>210</v>
      </c>
      <c r="CB1995" s="1" t="s">
        <v>239</v>
      </c>
      <c r="CC1995" s="1" t="s">
        <v>329</v>
      </c>
      <c r="CD1995" s="1" t="s">
        <v>206</v>
      </c>
      <c r="CE1995" s="1" t="s">
        <v>210</v>
      </c>
      <c r="CF1995" s="1" t="s">
        <v>239</v>
      </c>
      <c r="CG1995" s="1" t="s">
        <v>699</v>
      </c>
      <c r="CH1995" s="1" t="s">
        <v>209</v>
      </c>
      <c r="CI1995" s="1" t="s">
        <v>210</v>
      </c>
      <c r="CJ1995" s="1" t="s">
        <v>239</v>
      </c>
      <c r="CK1995" s="1" t="s">
        <v>331</v>
      </c>
      <c r="CL1995" s="1" t="s">
        <v>209</v>
      </c>
      <c r="CM1995" s="1" t="s">
        <v>210</v>
      </c>
      <c r="CN1995" s="1" t="s">
        <v>239</v>
      </c>
      <c r="CO1995" s="1" t="s">
        <v>699</v>
      </c>
      <c r="CP1995" s="1" t="s">
        <v>209</v>
      </c>
      <c r="CQ1995" s="1" t="s">
        <v>210</v>
      </c>
      <c r="CR1995" s="1" t="s">
        <v>239</v>
      </c>
      <c r="CS1995" s="1" t="s">
        <v>639</v>
      </c>
      <c r="CT1995" s="1" t="s">
        <v>206</v>
      </c>
      <c r="CU1995" s="1" t="s">
        <v>268</v>
      </c>
      <c r="CV1995" s="1" t="s">
        <v>239</v>
      </c>
      <c r="CW1995" s="1" t="s">
        <v>1045</v>
      </c>
      <c r="CX1995" s="1" t="s">
        <v>206</v>
      </c>
      <c r="CY1995" s="1" t="s">
        <v>210</v>
      </c>
      <c r="CZ1995" s="1" t="s">
        <v>239</v>
      </c>
      <c r="DA1995" s="1" t="s">
        <v>200</v>
      </c>
      <c r="DC1995" s="1" t="s">
        <v>335</v>
      </c>
      <c r="DD1995" s="1" t="s">
        <v>518</v>
      </c>
      <c r="DE1995" s="1" t="s">
        <v>273</v>
      </c>
      <c r="DF1995" s="1" t="s">
        <v>219</v>
      </c>
      <c r="DG1995" s="1" t="s">
        <v>482</v>
      </c>
      <c r="DH1995" s="1" t="s">
        <v>220</v>
      </c>
      <c r="DI1995" s="1" t="s">
        <v>16477</v>
      </c>
      <c r="DJ1995" s="1" t="s">
        <v>222</v>
      </c>
      <c r="DK1995" s="1" t="s">
        <v>1555</v>
      </c>
      <c r="DL1995" s="1" t="s">
        <v>224</v>
      </c>
      <c r="DM1995" s="1" t="s">
        <v>338</v>
      </c>
      <c r="DN1995" s="1" t="s">
        <v>399</v>
      </c>
      <c r="DO1995" s="1" t="s">
        <v>6305</v>
      </c>
      <c r="DP1995" s="1" t="s">
        <v>340</v>
      </c>
      <c r="DQ1995" s="1" t="s">
        <v>441</v>
      </c>
      <c r="DR1995" s="1" t="s">
        <v>229</v>
      </c>
      <c r="DS1995" s="1" t="s">
        <v>230</v>
      </c>
      <c r="DU1995" s="1" t="s">
        <v>19001</v>
      </c>
      <c r="DV1995" s="1" t="s">
        <v>19002</v>
      </c>
      <c r="DW1995" s="1" t="s">
        <v>444</v>
      </c>
      <c r="DX1995" s="1" t="s">
        <v>234</v>
      </c>
      <c r="DY1995" s="1" t="s">
        <v>3125</v>
      </c>
      <c r="DZ1995" s="1" t="s">
        <v>17737</v>
      </c>
      <c r="EB1995" s="1" t="s">
        <v>492</v>
      </c>
      <c r="EC1995" s="1" t="s">
        <v>237</v>
      </c>
      <c r="ED1995" s="1" t="s">
        <v>407</v>
      </c>
      <c r="EE1995" s="1" t="s">
        <v>493</v>
      </c>
      <c r="EG1995" s="1" t="s">
        <v>408</v>
      </c>
      <c r="EH1995" s="1" t="s">
        <v>598</v>
      </c>
      <c r="EI1995" s="1" t="s">
        <v>1102</v>
      </c>
      <c r="EJ1995" s="1" t="s">
        <v>450</v>
      </c>
      <c r="EK1995" s="1" t="s">
        <v>1121</v>
      </c>
      <c r="EL1995" s="1" t="s">
        <v>699</v>
      </c>
      <c r="EM1995" s="1" t="s">
        <v>206</v>
      </c>
      <c r="EN1995" s="1" t="s">
        <v>268</v>
      </c>
      <c r="EP1995" s="1" t="s">
        <v>663</v>
      </c>
      <c r="EQ1995" s="1" t="s">
        <v>206</v>
      </c>
      <c r="ER1995" s="1" t="s">
        <v>210</v>
      </c>
      <c r="ET1995" s="1" t="s">
        <v>264</v>
      </c>
      <c r="EU1995" s="1" t="s">
        <v>206</v>
      </c>
      <c r="EV1995" s="1" t="s">
        <v>268</v>
      </c>
      <c r="EX1995" s="1" t="s">
        <v>4063</v>
      </c>
      <c r="EY1995" s="1" t="s">
        <v>42</v>
      </c>
      <c r="EZ1995" s="1" t="s">
        <v>210</v>
      </c>
      <c r="FB1995" s="1" t="s">
        <v>516</v>
      </c>
      <c r="FC1995" s="1" t="s">
        <v>209</v>
      </c>
      <c r="FD1995" s="1" t="s">
        <v>210</v>
      </c>
      <c r="FE1995" s="1" t="s">
        <v>239</v>
      </c>
      <c r="FF1995" s="1" t="s">
        <v>239</v>
      </c>
      <c r="FG1995" s="1" t="s">
        <v>192</v>
      </c>
      <c r="FH1995" s="1" t="s">
        <v>192</v>
      </c>
      <c r="FJ1995" s="1" t="s">
        <v>4324</v>
      </c>
      <c r="FK1995" s="1" t="s">
        <v>229</v>
      </c>
      <c r="FL1995" s="1" t="s">
        <v>4325</v>
      </c>
      <c r="FM1995" s="1">
        <v>209.0</v>
      </c>
      <c r="FN1995" s="1" t="s">
        <v>4326</v>
      </c>
      <c r="FO1995" s="1" t="s">
        <v>4327</v>
      </c>
      <c r="FP1995" s="1">
        <v>29.0</v>
      </c>
      <c r="FQ1995" s="1" t="s">
        <v>4328</v>
      </c>
      <c r="FU1995" s="1" t="s">
        <v>4329</v>
      </c>
      <c r="FV1995" s="1" t="s">
        <v>200</v>
      </c>
      <c r="FW1995" s="1" t="s">
        <v>290</v>
      </c>
      <c r="FZ1995" s="1" t="s">
        <v>229</v>
      </c>
      <c r="GA1995" s="1" t="s">
        <v>291</v>
      </c>
      <c r="GB1995" s="2">
        <v>42034.0</v>
      </c>
      <c r="GC1995" s="1" t="s">
        <v>19003</v>
      </c>
    </row>
    <row r="1996">
      <c r="A1996" s="1">
        <v>36100.0</v>
      </c>
      <c r="B1996" s="1" t="s">
        <v>185</v>
      </c>
      <c r="C1996" s="1" t="str">
        <f>"08727123"</f>
        <v>08727123</v>
      </c>
      <c r="D1996" s="1" t="s">
        <v>186</v>
      </c>
      <c r="F1996" s="1" t="str">
        <f>"8044"</f>
        <v>8044</v>
      </c>
      <c r="G1996" s="2">
        <v>41894.0</v>
      </c>
      <c r="H1996" s="1">
        <v>17000.0</v>
      </c>
      <c r="I1996" s="1">
        <v>13.0</v>
      </c>
      <c r="J1996" s="1">
        <v>17000.0</v>
      </c>
      <c r="K1996" s="2">
        <v>41906.0</v>
      </c>
      <c r="L1996" s="1">
        <v>13.0</v>
      </c>
      <c r="M1996" s="2">
        <v>41906.0</v>
      </c>
      <c r="N1996" s="1" t="s">
        <v>249</v>
      </c>
      <c r="O1996" s="2">
        <v>41988.0</v>
      </c>
      <c r="P1996" s="1">
        <v>238302.0</v>
      </c>
      <c r="Q1996" s="1">
        <v>8256.0</v>
      </c>
      <c r="S1996" s="1">
        <v>402.0</v>
      </c>
      <c r="T1996" s="1" t="s">
        <v>9816</v>
      </c>
      <c r="U1996" s="1" t="s">
        <v>320</v>
      </c>
      <c r="V1996" s="1" t="s">
        <v>190</v>
      </c>
      <c r="W1996" s="1">
        <v>60619.0</v>
      </c>
      <c r="Y1996" s="1" t="s">
        <v>19004</v>
      </c>
      <c r="Z1996" s="1">
        <v>1922.0</v>
      </c>
      <c r="AA1996" s="1" t="s">
        <v>192</v>
      </c>
      <c r="AB1996" s="1" t="s">
        <v>193</v>
      </c>
      <c r="AD1996" s="1" t="s">
        <v>194</v>
      </c>
      <c r="AE1996" s="1" t="s">
        <v>195</v>
      </c>
      <c r="AF1996" s="1" t="s">
        <v>637</v>
      </c>
      <c r="AH1996" s="1">
        <v>3125.0</v>
      </c>
      <c r="AK1996" s="1">
        <v>8.0</v>
      </c>
      <c r="AL1996" s="1">
        <v>4.0</v>
      </c>
      <c r="AM1996" s="1">
        <v>2.0</v>
      </c>
      <c r="AN1996" s="1">
        <v>0.0</v>
      </c>
      <c r="AO1996" s="1" t="s">
        <v>229</v>
      </c>
      <c r="AQ1996" s="1" t="s">
        <v>198</v>
      </c>
      <c r="AR1996" s="1" t="s">
        <v>192</v>
      </c>
      <c r="AS1996" s="1" t="s">
        <v>199</v>
      </c>
      <c r="AT1996" s="1">
        <v>2.0</v>
      </c>
      <c r="AV1996" s="1" t="s">
        <v>200</v>
      </c>
      <c r="AW1996" s="1">
        <v>1985.0</v>
      </c>
      <c r="AX1996" s="1">
        <v>2012.0</v>
      </c>
      <c r="AZ1996" s="1" t="s">
        <v>200</v>
      </c>
      <c r="BA1996" s="1" t="str">
        <f>"25032040230000"</f>
        <v>25032040230000</v>
      </c>
      <c r="BC1996" s="1">
        <v>1478.0</v>
      </c>
      <c r="BD1996" s="1">
        <v>36100.0</v>
      </c>
      <c r="BE1996" s="2">
        <v>41894.0</v>
      </c>
      <c r="BF1996" s="2" t="s">
        <v>19005</v>
      </c>
      <c r="BH1996" s="1">
        <v>0.0</v>
      </c>
      <c r="BK1996" s="1" t="s">
        <v>204</v>
      </c>
      <c r="BL1996" s="1" t="str">
        <f>"0"</f>
        <v>0</v>
      </c>
      <c r="BM1996" s="1" t="str">
        <f>"402"</f>
        <v>402</v>
      </c>
      <c r="BN1996" s="1">
        <v>0.0</v>
      </c>
      <c r="BO1996" s="1">
        <v>8800.0</v>
      </c>
      <c r="BQ1996" s="1">
        <v>299.0</v>
      </c>
      <c r="BR1996" s="1">
        <v>299.0</v>
      </c>
      <c r="BS1996" s="1">
        <v>299.0</v>
      </c>
      <c r="BU1996" s="1" t="s">
        <v>454</v>
      </c>
      <c r="BV1996" s="1" t="s">
        <v>206</v>
      </c>
      <c r="BY1996" s="1" t="s">
        <v>269</v>
      </c>
      <c r="BZ1996" s="1" t="s">
        <v>206</v>
      </c>
      <c r="CC1996" s="1" t="s">
        <v>264</v>
      </c>
      <c r="CD1996" s="1" t="s">
        <v>206</v>
      </c>
      <c r="CG1996" s="1" t="s">
        <v>269</v>
      </c>
      <c r="CH1996" s="1" t="s">
        <v>209</v>
      </c>
      <c r="CK1996" s="1" t="s">
        <v>269</v>
      </c>
      <c r="CL1996" s="1" t="s">
        <v>209</v>
      </c>
      <c r="CO1996" s="1" t="s">
        <v>212</v>
      </c>
      <c r="CP1996" s="1" t="s">
        <v>209</v>
      </c>
      <c r="CS1996" s="1" t="s">
        <v>269</v>
      </c>
      <c r="CT1996" s="1" t="s">
        <v>206</v>
      </c>
      <c r="CX1996" s="1" t="s">
        <v>204</v>
      </c>
      <c r="DA1996" s="1" t="s">
        <v>200</v>
      </c>
      <c r="DC1996" s="1" t="s">
        <v>216</v>
      </c>
      <c r="DE1996" s="1" t="s">
        <v>229</v>
      </c>
      <c r="DF1996" s="1" t="s">
        <v>619</v>
      </c>
      <c r="DH1996" s="1" t="s">
        <v>365</v>
      </c>
      <c r="DJ1996" s="1" t="s">
        <v>222</v>
      </c>
      <c r="DL1996" s="1" t="s">
        <v>858</v>
      </c>
      <c r="DM1996" s="1" t="s">
        <v>229</v>
      </c>
      <c r="DQ1996" s="1" t="s">
        <v>228</v>
      </c>
      <c r="DR1996" s="1" t="s">
        <v>229</v>
      </c>
      <c r="DV1996" s="1" t="s">
        <v>494</v>
      </c>
      <c r="DW1996" s="1" t="s">
        <v>667</v>
      </c>
      <c r="DX1996" s="1" t="s">
        <v>309</v>
      </c>
      <c r="EC1996" s="1" t="s">
        <v>645</v>
      </c>
      <c r="EE1996" s="1" t="s">
        <v>1673</v>
      </c>
      <c r="EG1996" s="1" t="s">
        <v>494</v>
      </c>
      <c r="EL1996" s="1" t="s">
        <v>269</v>
      </c>
      <c r="EM1996" s="1" t="s">
        <v>209</v>
      </c>
      <c r="EQ1996" s="1" t="s">
        <v>238</v>
      </c>
      <c r="EU1996" s="1" t="s">
        <v>238</v>
      </c>
      <c r="EY1996" s="1" t="s">
        <v>238</v>
      </c>
      <c r="FC1996" s="1" t="s">
        <v>238</v>
      </c>
      <c r="FF1996" s="1" t="s">
        <v>239</v>
      </c>
      <c r="FG1996" s="1" t="s">
        <v>192</v>
      </c>
      <c r="FH1996" s="1" t="s">
        <v>192</v>
      </c>
      <c r="FJ1996" s="1" t="s">
        <v>2156</v>
      </c>
      <c r="FK1996" s="1" t="s">
        <v>229</v>
      </c>
      <c r="FL1996" s="1" t="s">
        <v>6039</v>
      </c>
      <c r="FM1996" s="1">
        <v>12278.0</v>
      </c>
      <c r="FN1996" s="1" t="s">
        <v>6040</v>
      </c>
      <c r="FO1996" s="1" t="s">
        <v>6041</v>
      </c>
      <c r="FP1996" s="1">
        <v>119957.0</v>
      </c>
      <c r="FQ1996" s="1" t="s">
        <v>6040</v>
      </c>
      <c r="FU1996" s="1" t="s">
        <v>6042</v>
      </c>
      <c r="FV1996" s="1" t="s">
        <v>200</v>
      </c>
      <c r="FW1996" s="1" t="s">
        <v>567</v>
      </c>
      <c r="FX1996" s="1" t="s">
        <v>1739</v>
      </c>
      <c r="FZ1996" s="1" t="s">
        <v>229</v>
      </c>
      <c r="GA1996" s="1" t="s">
        <v>291</v>
      </c>
      <c r="GB1996" s="2">
        <v>41989.0</v>
      </c>
      <c r="GC1996" s="1" t="s">
        <v>19006</v>
      </c>
    </row>
    <row r="1997">
      <c r="A1997" s="1">
        <v>450000.0</v>
      </c>
      <c r="B1997" s="1" t="s">
        <v>185</v>
      </c>
      <c r="C1997" s="1" t="str">
        <f>"08729521"</f>
        <v>08729521</v>
      </c>
      <c r="D1997" s="1" t="s">
        <v>186</v>
      </c>
      <c r="F1997" s="1" t="str">
        <f>"634"</f>
        <v>634</v>
      </c>
      <c r="G1997" s="2">
        <v>41898.0</v>
      </c>
      <c r="H1997" s="1">
        <v>475900.0</v>
      </c>
      <c r="I1997" s="1">
        <v>25.0</v>
      </c>
      <c r="J1997" s="1">
        <v>475900.0</v>
      </c>
      <c r="K1997" s="2">
        <v>41922.0</v>
      </c>
      <c r="L1997" s="1">
        <v>25.0</v>
      </c>
      <c r="M1997" s="2">
        <v>41922.0</v>
      </c>
      <c r="N1997" s="1" t="s">
        <v>187</v>
      </c>
      <c r="O1997" s="2">
        <v>42016.0</v>
      </c>
      <c r="P1997" s="1">
        <v>245362.0</v>
      </c>
      <c r="Q1997" s="1">
        <v>24042.0</v>
      </c>
      <c r="S1997" s="1">
        <v>4240.0</v>
      </c>
      <c r="T1997" s="1" t="s">
        <v>19007</v>
      </c>
      <c r="U1997" s="1" t="s">
        <v>189</v>
      </c>
      <c r="V1997" s="1" t="s">
        <v>6388</v>
      </c>
      <c r="W1997" s="1">
        <v>60706.0</v>
      </c>
      <c r="Y1997" s="1" t="s">
        <v>19008</v>
      </c>
      <c r="Z1997" s="1" t="s">
        <v>296</v>
      </c>
      <c r="AA1997" s="1" t="s">
        <v>192</v>
      </c>
      <c r="AB1997" s="1" t="s">
        <v>193</v>
      </c>
      <c r="AD1997" s="1" t="s">
        <v>6390</v>
      </c>
      <c r="AE1997" s="1" t="s">
        <v>195</v>
      </c>
      <c r="AF1997" s="1" t="s">
        <v>2347</v>
      </c>
      <c r="AH1997" s="1" t="s">
        <v>19009</v>
      </c>
      <c r="AI1997" s="1">
        <v>0.123</v>
      </c>
      <c r="AK1997" s="1">
        <v>9.0</v>
      </c>
      <c r="AL1997" s="1">
        <v>4.0</v>
      </c>
      <c r="AM1997" s="1">
        <v>4.0</v>
      </c>
      <c r="AN1997" s="1">
        <v>0.0</v>
      </c>
      <c r="AO1997" s="1" t="s">
        <v>198</v>
      </c>
      <c r="AP1997" s="1">
        <v>1.0</v>
      </c>
      <c r="AQ1997" s="1" t="s">
        <v>198</v>
      </c>
      <c r="AR1997" s="1" t="s">
        <v>192</v>
      </c>
      <c r="AS1997" s="1" t="s">
        <v>199</v>
      </c>
      <c r="AT1997" s="1">
        <v>2.0</v>
      </c>
      <c r="AV1997" s="1" t="s">
        <v>200</v>
      </c>
      <c r="AW1997" s="1">
        <v>8083.58</v>
      </c>
      <c r="AX1997" s="1">
        <v>2013.0</v>
      </c>
      <c r="AZ1997" s="1" t="s">
        <v>200</v>
      </c>
      <c r="BA1997" s="1" t="str">
        <f>"12134230200000"</f>
        <v>12134230200000</v>
      </c>
      <c r="BC1997" s="1">
        <v>2500.0</v>
      </c>
      <c r="BD1997" s="1">
        <v>450000.0</v>
      </c>
      <c r="BE1997" s="2">
        <v>41898.0</v>
      </c>
      <c r="BF1997" s="2" t="s">
        <v>19010</v>
      </c>
      <c r="BH1997" s="1">
        <v>0.0</v>
      </c>
      <c r="BK1997" s="1" t="s">
        <v>204</v>
      </c>
      <c r="BL1997" s="1" t="str">
        <f>"4240"</f>
        <v>4240</v>
      </c>
      <c r="BM1997" s="1" t="str">
        <f>""</f>
        <v/>
      </c>
      <c r="BN1997" s="1">
        <v>7350.0</v>
      </c>
      <c r="BQ1997" s="1">
        <v>80.0</v>
      </c>
      <c r="BR1997" s="1">
        <v>234.0</v>
      </c>
      <c r="BS1997" s="1">
        <v>80.0</v>
      </c>
      <c r="BU1997" s="1" t="s">
        <v>2592</v>
      </c>
      <c r="BV1997" s="1" t="s">
        <v>206</v>
      </c>
      <c r="BW1997" s="1" t="s">
        <v>207</v>
      </c>
      <c r="BY1997" s="1" t="s">
        <v>3888</v>
      </c>
      <c r="BZ1997" s="1" t="s">
        <v>209</v>
      </c>
      <c r="CA1997" s="1" t="s">
        <v>207</v>
      </c>
      <c r="CC1997" s="1" t="s">
        <v>542</v>
      </c>
      <c r="CD1997" s="1" t="s">
        <v>206</v>
      </c>
      <c r="CE1997" s="1" t="s">
        <v>207</v>
      </c>
      <c r="CG1997" s="1" t="s">
        <v>215</v>
      </c>
      <c r="CH1997" s="1" t="s">
        <v>209</v>
      </c>
      <c r="CI1997" s="1" t="s">
        <v>207</v>
      </c>
      <c r="CK1997" s="1" t="s">
        <v>332</v>
      </c>
      <c r="CL1997" s="1" t="s">
        <v>209</v>
      </c>
      <c r="CM1997" s="1" t="s">
        <v>207</v>
      </c>
      <c r="CO1997" s="1" t="s">
        <v>699</v>
      </c>
      <c r="CP1997" s="1" t="s">
        <v>206</v>
      </c>
      <c r="CQ1997" s="1" t="s">
        <v>207</v>
      </c>
      <c r="CS1997" s="1" t="s">
        <v>664</v>
      </c>
      <c r="CT1997" s="1" t="s">
        <v>206</v>
      </c>
      <c r="CU1997" s="1" t="s">
        <v>588</v>
      </c>
      <c r="CW1997" s="1" t="s">
        <v>7941</v>
      </c>
      <c r="CX1997" s="1" t="s">
        <v>42</v>
      </c>
      <c r="CY1997" s="1" t="s">
        <v>588</v>
      </c>
      <c r="DA1997" s="1" t="s">
        <v>200</v>
      </c>
      <c r="DC1997" s="1" t="s">
        <v>271</v>
      </c>
      <c r="DD1997" s="1" t="s">
        <v>436</v>
      </c>
      <c r="DE1997" s="1" t="s">
        <v>273</v>
      </c>
      <c r="DF1997" s="1" t="s">
        <v>219</v>
      </c>
      <c r="DH1997" s="1" t="s">
        <v>365</v>
      </c>
      <c r="DI1997" s="1" t="s">
        <v>1141</v>
      </c>
      <c r="DJ1997" s="1" t="s">
        <v>222</v>
      </c>
      <c r="DL1997" s="1" t="s">
        <v>224</v>
      </c>
      <c r="DM1997" s="1" t="s">
        <v>229</v>
      </c>
      <c r="DP1997" s="1" t="s">
        <v>276</v>
      </c>
      <c r="DQ1997" s="1" t="s">
        <v>794</v>
      </c>
      <c r="DR1997" s="1" t="s">
        <v>229</v>
      </c>
      <c r="DV1997" s="1" t="s">
        <v>19011</v>
      </c>
      <c r="DW1997" s="1" t="s">
        <v>279</v>
      </c>
      <c r="DX1997" s="1" t="s">
        <v>234</v>
      </c>
      <c r="DY1997" s="1" t="s">
        <v>553</v>
      </c>
      <c r="EB1997" s="1" t="s">
        <v>9729</v>
      </c>
      <c r="EC1997" s="1" t="s">
        <v>237</v>
      </c>
      <c r="EG1997" s="1" t="s">
        <v>1407</v>
      </c>
      <c r="EH1997" s="1" t="s">
        <v>1270</v>
      </c>
      <c r="EI1997" s="1" t="s">
        <v>409</v>
      </c>
      <c r="EJ1997" s="1" t="s">
        <v>968</v>
      </c>
      <c r="EK1997" s="1" t="s">
        <v>310</v>
      </c>
      <c r="EL1997" s="1" t="s">
        <v>12670</v>
      </c>
      <c r="EM1997" s="1" t="s">
        <v>42</v>
      </c>
      <c r="EN1997" s="1" t="s">
        <v>268</v>
      </c>
      <c r="EP1997" s="1" t="s">
        <v>19012</v>
      </c>
      <c r="EQ1997" s="1" t="s">
        <v>42</v>
      </c>
      <c r="ET1997" s="1" t="s">
        <v>3929</v>
      </c>
      <c r="EU1997" s="1" t="s">
        <v>209</v>
      </c>
      <c r="EV1997" s="1" t="s">
        <v>207</v>
      </c>
      <c r="EX1997" s="1" t="s">
        <v>4787</v>
      </c>
      <c r="EY1997" s="1" t="s">
        <v>209</v>
      </c>
      <c r="FB1997" s="1" t="s">
        <v>1426</v>
      </c>
      <c r="FC1997" s="1" t="s">
        <v>206</v>
      </c>
      <c r="FF1997" s="1" t="s">
        <v>239</v>
      </c>
      <c r="FG1997" s="1" t="s">
        <v>192</v>
      </c>
      <c r="FH1997" s="1" t="s">
        <v>192</v>
      </c>
      <c r="FJ1997" s="1" t="s">
        <v>1450</v>
      </c>
      <c r="FK1997" s="1" t="s">
        <v>229</v>
      </c>
      <c r="FL1997" s="1" t="s">
        <v>19013</v>
      </c>
      <c r="FM1997" s="1">
        <v>17851.0</v>
      </c>
      <c r="FN1997" s="1" t="s">
        <v>19014</v>
      </c>
      <c r="FO1997" s="1" t="s">
        <v>19015</v>
      </c>
      <c r="FP1997" s="1">
        <v>141665.0</v>
      </c>
      <c r="FQ1997" s="1" t="s">
        <v>19016</v>
      </c>
      <c r="FU1997" s="1" t="s">
        <v>19017</v>
      </c>
      <c r="FV1997" s="1" t="s">
        <v>200</v>
      </c>
      <c r="FW1997" s="1" t="s">
        <v>290</v>
      </c>
      <c r="FX1997" s="1" t="s">
        <v>238</v>
      </c>
      <c r="FZ1997" s="1" t="s">
        <v>229</v>
      </c>
      <c r="GA1997" s="1" t="s">
        <v>291</v>
      </c>
      <c r="GB1997" s="2">
        <v>42016.0</v>
      </c>
      <c r="GC1997" s="1" t="s">
        <v>19018</v>
      </c>
    </row>
    <row r="1998">
      <c r="A1998" s="1">
        <v>369900.0</v>
      </c>
      <c r="B1998" s="1" t="s">
        <v>185</v>
      </c>
      <c r="C1998" s="1" t="str">
        <f>"08738757"</f>
        <v>08738757</v>
      </c>
      <c r="D1998" s="1" t="s">
        <v>186</v>
      </c>
      <c r="F1998" s="1" t="str">
        <f>"8018"</f>
        <v>8018</v>
      </c>
      <c r="G1998" s="2">
        <v>41908.0</v>
      </c>
      <c r="H1998" s="1">
        <v>369900.0</v>
      </c>
      <c r="I1998" s="1">
        <v>137.0</v>
      </c>
      <c r="J1998" s="1">
        <v>369900.0</v>
      </c>
      <c r="K1998" s="2">
        <v>42044.0</v>
      </c>
      <c r="L1998" s="1">
        <v>137.0</v>
      </c>
      <c r="M1998" s="2">
        <v>42044.0</v>
      </c>
      <c r="N1998" s="1" t="s">
        <v>356</v>
      </c>
      <c r="O1998" s="2">
        <v>42097.0</v>
      </c>
      <c r="P1998" s="1">
        <v>110719.0</v>
      </c>
      <c r="Q1998" s="1">
        <v>18080.0</v>
      </c>
      <c r="R1998" s="1">
        <v>5000.0</v>
      </c>
      <c r="S1998" s="1">
        <v>2733.0</v>
      </c>
      <c r="T1998" s="1" t="s">
        <v>16778</v>
      </c>
      <c r="U1998" s="1" t="s">
        <v>189</v>
      </c>
      <c r="V1998" s="1" t="s">
        <v>190</v>
      </c>
      <c r="W1998" s="1">
        <v>60707.0</v>
      </c>
      <c r="Y1998" s="1" t="s">
        <v>19019</v>
      </c>
      <c r="Z1998" s="1">
        <v>2014.0</v>
      </c>
      <c r="AA1998" s="1" t="s">
        <v>200</v>
      </c>
      <c r="AB1998" s="1" t="s">
        <v>193</v>
      </c>
      <c r="AD1998" s="1" t="s">
        <v>194</v>
      </c>
      <c r="AE1998" s="1" t="s">
        <v>195</v>
      </c>
      <c r="AF1998" s="1" t="s">
        <v>196</v>
      </c>
      <c r="AH1998" s="1" t="s">
        <v>19020</v>
      </c>
      <c r="AK1998" s="1">
        <v>10.0</v>
      </c>
      <c r="AL1998" s="1">
        <v>3.0</v>
      </c>
      <c r="AM1998" s="1">
        <v>3.0</v>
      </c>
      <c r="AN1998" s="1">
        <v>0.0</v>
      </c>
      <c r="AO1998" s="1" t="s">
        <v>198</v>
      </c>
      <c r="AQ1998" s="1" t="s">
        <v>198</v>
      </c>
      <c r="AR1998" s="1" t="s">
        <v>192</v>
      </c>
      <c r="AS1998" s="1" t="s">
        <v>199</v>
      </c>
      <c r="AT1998" s="1">
        <v>2.0</v>
      </c>
      <c r="AV1998" s="1" t="s">
        <v>200</v>
      </c>
      <c r="AW1998" s="1" t="s">
        <v>575</v>
      </c>
      <c r="AX1998" s="1">
        <v>2012.0</v>
      </c>
      <c r="AY1998" s="1" t="s">
        <v>229</v>
      </c>
      <c r="AZ1998" s="1" t="s">
        <v>200</v>
      </c>
      <c r="BA1998" s="1" t="str">
        <f>"13303010480000"</f>
        <v>13303010480000</v>
      </c>
      <c r="BC1998" s="1">
        <v>2535.0</v>
      </c>
      <c r="BD1998" s="1">
        <v>369900.0</v>
      </c>
      <c r="BE1998" s="2">
        <v>41908.0</v>
      </c>
      <c r="BF1998" s="2" t="s">
        <v>19021</v>
      </c>
      <c r="BH1998" s="1">
        <v>0.0</v>
      </c>
      <c r="BK1998" s="1" t="s">
        <v>204</v>
      </c>
      <c r="BL1998" s="1" t="str">
        <f>"2733"</f>
        <v>2733</v>
      </c>
      <c r="BM1998" s="1" t="str">
        <f>"0"</f>
        <v>0</v>
      </c>
      <c r="BN1998" s="1">
        <v>7100.0</v>
      </c>
      <c r="BO1998" s="1">
        <v>0.0</v>
      </c>
      <c r="BQ1998" s="1">
        <v>299.0</v>
      </c>
      <c r="BR1998" s="1">
        <v>299.0</v>
      </c>
      <c r="BS1998" s="1">
        <v>299.0</v>
      </c>
      <c r="BU1998" s="1" t="s">
        <v>1892</v>
      </c>
      <c r="BV1998" s="1" t="s">
        <v>206</v>
      </c>
      <c r="BW1998" s="1" t="s">
        <v>207</v>
      </c>
      <c r="BY1998" s="1" t="s">
        <v>215</v>
      </c>
      <c r="BZ1998" s="1" t="s">
        <v>209</v>
      </c>
      <c r="CA1998" s="1" t="s">
        <v>210</v>
      </c>
      <c r="CC1998" s="1" t="s">
        <v>542</v>
      </c>
      <c r="CD1998" s="1" t="s">
        <v>206</v>
      </c>
      <c r="CE1998" s="1" t="s">
        <v>207</v>
      </c>
      <c r="CG1998" s="1" t="s">
        <v>212</v>
      </c>
      <c r="CH1998" s="1" t="s">
        <v>209</v>
      </c>
      <c r="CI1998" s="1" t="s">
        <v>210</v>
      </c>
      <c r="CK1998" s="1" t="s">
        <v>264</v>
      </c>
      <c r="CL1998" s="1" t="s">
        <v>209</v>
      </c>
      <c r="CM1998" s="1" t="s">
        <v>210</v>
      </c>
      <c r="CO1998" s="1" t="s">
        <v>392</v>
      </c>
      <c r="CP1998" s="1" t="s">
        <v>42</v>
      </c>
      <c r="CQ1998" s="1" t="s">
        <v>210</v>
      </c>
      <c r="CS1998" s="1" t="s">
        <v>623</v>
      </c>
      <c r="CT1998" s="1" t="s">
        <v>206</v>
      </c>
      <c r="CU1998" s="1" t="s">
        <v>207</v>
      </c>
      <c r="CW1998" s="1" t="s">
        <v>758</v>
      </c>
      <c r="CX1998" s="1" t="s">
        <v>206</v>
      </c>
      <c r="CY1998" s="1" t="s">
        <v>207</v>
      </c>
      <c r="DA1998" s="1" t="s">
        <v>192</v>
      </c>
      <c r="DB1998" s="2">
        <v>41974.0</v>
      </c>
      <c r="DC1998" s="1" t="s">
        <v>1353</v>
      </c>
      <c r="DE1998" s="1" t="s">
        <v>273</v>
      </c>
      <c r="DF1998" s="1" t="s">
        <v>619</v>
      </c>
      <c r="DH1998" s="1" t="s">
        <v>365</v>
      </c>
      <c r="DJ1998" s="1" t="s">
        <v>222</v>
      </c>
      <c r="DL1998" s="1" t="s">
        <v>1536</v>
      </c>
      <c r="DM1998" s="1" t="s">
        <v>1464</v>
      </c>
      <c r="DP1998" s="1" t="s">
        <v>276</v>
      </c>
      <c r="DQ1998" s="1" t="s">
        <v>228</v>
      </c>
      <c r="DR1998" s="1" t="s">
        <v>229</v>
      </c>
      <c r="DS1998" s="1" t="s">
        <v>368</v>
      </c>
      <c r="DV1998" s="1" t="s">
        <v>19022</v>
      </c>
      <c r="DW1998" s="1" t="s">
        <v>444</v>
      </c>
      <c r="DX1998" s="1" t="s">
        <v>234</v>
      </c>
      <c r="DY1998" s="1" t="s">
        <v>19023</v>
      </c>
      <c r="EC1998" s="1" t="s">
        <v>237</v>
      </c>
      <c r="EG1998" s="1" t="s">
        <v>450</v>
      </c>
      <c r="EH1998" s="1" t="s">
        <v>556</v>
      </c>
      <c r="EI1998" s="1" t="s">
        <v>409</v>
      </c>
      <c r="EL1998" s="1" t="s">
        <v>2155</v>
      </c>
      <c r="EM1998" s="1" t="s">
        <v>42</v>
      </c>
      <c r="EP1998" s="1" t="s">
        <v>4153</v>
      </c>
      <c r="EQ1998" s="1" t="s">
        <v>206</v>
      </c>
      <c r="ER1998" s="1" t="s">
        <v>207</v>
      </c>
      <c r="ET1998" s="1" t="s">
        <v>558</v>
      </c>
      <c r="EU1998" s="1" t="s">
        <v>42</v>
      </c>
      <c r="EV1998" s="1" t="s">
        <v>210</v>
      </c>
      <c r="EY1998" s="1" t="s">
        <v>238</v>
      </c>
      <c r="FC1998" s="1" t="s">
        <v>238</v>
      </c>
      <c r="FF1998" s="1" t="s">
        <v>239</v>
      </c>
      <c r="FG1998" s="1" t="s">
        <v>192</v>
      </c>
      <c r="FH1998" s="1" t="s">
        <v>192</v>
      </c>
      <c r="FJ1998" s="1" t="s">
        <v>799</v>
      </c>
      <c r="FK1998" s="1" t="s">
        <v>229</v>
      </c>
      <c r="FL1998" s="1" t="s">
        <v>562</v>
      </c>
      <c r="FM1998" s="1">
        <v>14703.0</v>
      </c>
      <c r="FN1998" s="1" t="s">
        <v>2570</v>
      </c>
      <c r="FO1998" s="1" t="s">
        <v>19024</v>
      </c>
      <c r="FP1998" s="1">
        <v>119230.0</v>
      </c>
      <c r="FQ1998" s="1" t="s">
        <v>19025</v>
      </c>
      <c r="FU1998" s="1" t="s">
        <v>19026</v>
      </c>
      <c r="FV1998" s="1" t="s">
        <v>192</v>
      </c>
      <c r="FW1998" s="1" t="s">
        <v>567</v>
      </c>
      <c r="FX1998" s="1" t="s">
        <v>238</v>
      </c>
      <c r="FZ1998" s="1" t="s">
        <v>229</v>
      </c>
      <c r="GA1998" s="1" t="s">
        <v>291</v>
      </c>
      <c r="GB1998" s="2">
        <v>42100.0</v>
      </c>
      <c r="GC1998" s="1" t="s">
        <v>19027</v>
      </c>
    </row>
    <row r="1999">
      <c r="A1999" s="1">
        <v>253013.0</v>
      </c>
      <c r="B1999" s="1" t="s">
        <v>185</v>
      </c>
      <c r="C1999" s="1" t="str">
        <f>"08726434"</f>
        <v>08726434</v>
      </c>
      <c r="D1999" s="1" t="s">
        <v>186</v>
      </c>
      <c r="F1999" s="1" t="str">
        <f>"543"</f>
        <v>543</v>
      </c>
      <c r="G1999" s="2">
        <v>41894.0</v>
      </c>
      <c r="H1999" s="1">
        <v>299000.0</v>
      </c>
      <c r="I1999" s="1">
        <v>118.0</v>
      </c>
      <c r="J1999" s="1">
        <v>259900.0</v>
      </c>
      <c r="K1999" s="2">
        <v>42011.0</v>
      </c>
      <c r="L1999" s="1">
        <v>118.0</v>
      </c>
      <c r="M1999" s="2">
        <v>42011.0</v>
      </c>
      <c r="N1999" s="1" t="s">
        <v>187</v>
      </c>
      <c r="O1999" s="2">
        <v>42011.0</v>
      </c>
      <c r="P1999" s="1">
        <v>26787.0</v>
      </c>
      <c r="Q1999" s="1">
        <v>8808.0</v>
      </c>
      <c r="R1999" s="1">
        <v>2500.0</v>
      </c>
      <c r="S1999" s="1">
        <v>916.0</v>
      </c>
      <c r="T1999" s="1" t="s">
        <v>19028</v>
      </c>
      <c r="U1999" s="1" t="s">
        <v>569</v>
      </c>
      <c r="V1999" s="1" t="s">
        <v>1527</v>
      </c>
      <c r="W1999" s="1">
        <v>60543.0</v>
      </c>
      <c r="Y1999" s="1" t="s">
        <v>19029</v>
      </c>
      <c r="Z1999" s="1">
        <v>2005.0</v>
      </c>
      <c r="AA1999" s="1" t="s">
        <v>200</v>
      </c>
      <c r="AB1999" s="1" t="s">
        <v>467</v>
      </c>
      <c r="AC1999" s="1" t="s">
        <v>5769</v>
      </c>
      <c r="AD1999" s="1" t="s">
        <v>1529</v>
      </c>
      <c r="AE1999" s="1" t="s">
        <v>849</v>
      </c>
      <c r="AF1999" s="1" t="s">
        <v>1529</v>
      </c>
      <c r="AH1999" s="1" t="s">
        <v>19030</v>
      </c>
      <c r="AK1999" s="1">
        <v>10.0</v>
      </c>
      <c r="AL1999" s="1">
        <v>4.0</v>
      </c>
      <c r="AM1999" s="1">
        <v>2.0</v>
      </c>
      <c r="AN1999" s="1">
        <v>1.0</v>
      </c>
      <c r="AO1999" s="1" t="s">
        <v>198</v>
      </c>
      <c r="AP1999" s="1">
        <v>1.0</v>
      </c>
      <c r="AQ1999" s="1" t="s">
        <v>198</v>
      </c>
      <c r="AR1999" s="1" t="s">
        <v>200</v>
      </c>
      <c r="AS1999" s="1" t="s">
        <v>199</v>
      </c>
      <c r="AT1999" s="1">
        <v>2.0</v>
      </c>
      <c r="AV1999" s="1" t="s">
        <v>200</v>
      </c>
      <c r="AW1999" s="1">
        <v>9142.16</v>
      </c>
      <c r="AX1999" s="1">
        <v>2013.0</v>
      </c>
      <c r="AZ1999" s="1" t="s">
        <v>200</v>
      </c>
      <c r="BA1999" s="1" t="str">
        <f>"0310477005"</f>
        <v>0310477005</v>
      </c>
      <c r="BC1999" s="1">
        <v>3303.0</v>
      </c>
      <c r="BD1999" s="1">
        <v>253013.0</v>
      </c>
      <c r="BE1999" s="2">
        <v>41894.0</v>
      </c>
      <c r="BF1999" s="1" t="s">
        <v>19031</v>
      </c>
      <c r="BH1999" s="1">
        <v>18.0</v>
      </c>
      <c r="BK1999" s="1" t="s">
        <v>474</v>
      </c>
      <c r="BL1999" s="1" t="str">
        <f t="shared" ref="BL1999:BM1999" si="1313">"0"</f>
        <v>0</v>
      </c>
      <c r="BM1999" s="1" t="str">
        <f t="shared" si="1313"/>
        <v>0</v>
      </c>
      <c r="BN1999" s="1">
        <v>36.0</v>
      </c>
      <c r="BO1999" s="1">
        <v>12.0</v>
      </c>
      <c r="BQ1999" s="1">
        <v>308.0</v>
      </c>
      <c r="BR1999" s="1">
        <v>308.0</v>
      </c>
      <c r="BS1999" s="1">
        <v>308.0</v>
      </c>
      <c r="BU1999" s="1" t="s">
        <v>211</v>
      </c>
      <c r="BV1999" s="1" t="s">
        <v>206</v>
      </c>
      <c r="BY1999" s="1" t="s">
        <v>362</v>
      </c>
      <c r="BZ1999" s="1" t="s">
        <v>209</v>
      </c>
      <c r="CC1999" s="1" t="s">
        <v>331</v>
      </c>
      <c r="CD1999" s="1" t="s">
        <v>206</v>
      </c>
      <c r="CG1999" s="1" t="s">
        <v>215</v>
      </c>
      <c r="CH1999" s="1" t="s">
        <v>209</v>
      </c>
      <c r="CK1999" s="1" t="s">
        <v>212</v>
      </c>
      <c r="CL1999" s="1" t="s">
        <v>209</v>
      </c>
      <c r="CO1999" s="1" t="s">
        <v>363</v>
      </c>
      <c r="CP1999" s="1" t="s">
        <v>209</v>
      </c>
      <c r="CS1999" s="1" t="s">
        <v>361</v>
      </c>
      <c r="CT1999" s="1" t="s">
        <v>206</v>
      </c>
      <c r="CW1999" s="1" t="s">
        <v>480</v>
      </c>
      <c r="CX1999" s="1" t="s">
        <v>206</v>
      </c>
      <c r="DA1999" s="1" t="s">
        <v>200</v>
      </c>
      <c r="DC1999" s="1" t="s">
        <v>481</v>
      </c>
      <c r="DE1999" s="1" t="s">
        <v>273</v>
      </c>
      <c r="DF1999" s="1" t="s">
        <v>219</v>
      </c>
      <c r="DH1999" s="1" t="s">
        <v>220</v>
      </c>
      <c r="DJ1999" s="1" t="s">
        <v>1048</v>
      </c>
      <c r="DL1999" s="1" t="s">
        <v>223</v>
      </c>
      <c r="DM1999" s="1" t="s">
        <v>229</v>
      </c>
      <c r="DP1999" s="1" t="s">
        <v>340</v>
      </c>
      <c r="DQ1999" s="1" t="s">
        <v>228</v>
      </c>
      <c r="DR1999" s="1" t="s">
        <v>3096</v>
      </c>
      <c r="DV1999" s="1" t="s">
        <v>19032</v>
      </c>
      <c r="DW1999" s="1" t="s">
        <v>964</v>
      </c>
      <c r="DX1999" s="1" t="s">
        <v>234</v>
      </c>
      <c r="DY1999" s="1" t="s">
        <v>1006</v>
      </c>
      <c r="EC1999" s="1" t="s">
        <v>237</v>
      </c>
      <c r="EG1999" s="1" t="s">
        <v>556</v>
      </c>
      <c r="EH1999" s="1" t="s">
        <v>494</v>
      </c>
      <c r="EI1999" s="1" t="s">
        <v>588</v>
      </c>
      <c r="EL1999" s="1" t="s">
        <v>363</v>
      </c>
      <c r="EM1999" s="1" t="s">
        <v>206</v>
      </c>
      <c r="EP1999" s="1" t="s">
        <v>212</v>
      </c>
      <c r="EQ1999" s="1" t="s">
        <v>206</v>
      </c>
      <c r="ET1999" s="1" t="s">
        <v>453</v>
      </c>
      <c r="EU1999" s="1" t="s">
        <v>209</v>
      </c>
      <c r="EY1999" s="1" t="s">
        <v>238</v>
      </c>
      <c r="FC1999" s="1" t="s">
        <v>238</v>
      </c>
      <c r="FF1999" s="1" t="s">
        <v>239</v>
      </c>
      <c r="FG1999" s="1" t="s">
        <v>192</v>
      </c>
      <c r="FH1999" s="1" t="s">
        <v>192</v>
      </c>
      <c r="FJ1999" s="1" t="s">
        <v>347</v>
      </c>
      <c r="FK1999" s="1" t="s">
        <v>229</v>
      </c>
      <c r="FL1999" s="1" t="s">
        <v>1775</v>
      </c>
      <c r="FM1999" s="1">
        <v>31982.0</v>
      </c>
      <c r="FN1999" s="1" t="s">
        <v>1776</v>
      </c>
      <c r="FO1999" s="1" t="s">
        <v>1777</v>
      </c>
      <c r="FP1999" s="1">
        <v>319888.0</v>
      </c>
      <c r="FQ1999" s="1" t="s">
        <v>1778</v>
      </c>
      <c r="FU1999" s="1" t="s">
        <v>6544</v>
      </c>
      <c r="FV1999" s="1" t="s">
        <v>200</v>
      </c>
      <c r="FW1999" s="1" t="s">
        <v>354</v>
      </c>
      <c r="FZ1999" s="1" t="s">
        <v>229</v>
      </c>
      <c r="GA1999" s="1" t="s">
        <v>291</v>
      </c>
      <c r="GB1999" s="2">
        <v>42011.0</v>
      </c>
      <c r="GC1999" s="1" t="s">
        <v>10451</v>
      </c>
    </row>
    <row r="2000">
      <c r="A2000" s="1">
        <v>600000.0</v>
      </c>
      <c r="B2000" s="1" t="s">
        <v>185</v>
      </c>
      <c r="C2000" s="1" t="str">
        <f>"08738593"</f>
        <v>08738593</v>
      </c>
      <c r="D2000" s="1" t="s">
        <v>186</v>
      </c>
      <c r="F2000" s="1" t="str">
        <f>"134"</f>
        <v>134</v>
      </c>
      <c r="G2000" s="2">
        <v>41908.0</v>
      </c>
      <c r="H2000" s="1">
        <v>649900.0</v>
      </c>
      <c r="I2000" s="1">
        <v>122.0</v>
      </c>
      <c r="J2000" s="1">
        <v>624900.0</v>
      </c>
      <c r="K2000" s="2">
        <v>42028.0</v>
      </c>
      <c r="L2000" s="1">
        <v>122.0</v>
      </c>
      <c r="M2000" s="2">
        <v>42028.0</v>
      </c>
      <c r="N2000" s="1" t="s">
        <v>187</v>
      </c>
      <c r="O2000" s="2">
        <v>42074.0</v>
      </c>
      <c r="P2000" s="1">
        <v>237714.0</v>
      </c>
      <c r="Q2000" s="1">
        <v>25003.0</v>
      </c>
      <c r="S2000" s="1">
        <v>3375.0</v>
      </c>
      <c r="T2000" s="1" t="s">
        <v>19033</v>
      </c>
      <c r="U2000" s="1" t="s">
        <v>464</v>
      </c>
      <c r="V2000" s="1" t="s">
        <v>421</v>
      </c>
      <c r="W2000" s="1">
        <v>60134.0</v>
      </c>
      <c r="Y2000" s="1" t="s">
        <v>19034</v>
      </c>
      <c r="Z2000" s="1">
        <v>2005.0</v>
      </c>
      <c r="AA2000" s="1" t="s">
        <v>200</v>
      </c>
      <c r="AB2000" s="1" t="s">
        <v>193</v>
      </c>
      <c r="AC2000" s="1" t="s">
        <v>19035</v>
      </c>
      <c r="AD2000" s="1" t="s">
        <v>424</v>
      </c>
      <c r="AE2000" s="1" t="s">
        <v>325</v>
      </c>
      <c r="AF2000" s="1" t="s">
        <v>424</v>
      </c>
      <c r="AG2000" s="1" t="s">
        <v>752</v>
      </c>
      <c r="AH2000" s="1">
        <v>13756.0</v>
      </c>
      <c r="AI2000" s="1">
        <v>0.287</v>
      </c>
      <c r="AK2000" s="1">
        <v>12.0</v>
      </c>
      <c r="AL2000" s="1">
        <v>4.0</v>
      </c>
      <c r="AM2000" s="1">
        <v>3.0</v>
      </c>
      <c r="AN2000" s="1">
        <v>1.0</v>
      </c>
      <c r="AO2000" s="1" t="s">
        <v>198</v>
      </c>
      <c r="AP2000" s="1">
        <v>2.0</v>
      </c>
      <c r="AQ2000" s="1" t="s">
        <v>198</v>
      </c>
      <c r="AR2000" s="1" t="s">
        <v>192</v>
      </c>
      <c r="AS2000" s="1" t="s">
        <v>199</v>
      </c>
      <c r="AT2000" s="1">
        <v>3.5</v>
      </c>
      <c r="AV2000" s="1" t="s">
        <v>200</v>
      </c>
      <c r="AW2000" s="1">
        <v>13748.56</v>
      </c>
      <c r="AX2000" s="1">
        <v>2013.0</v>
      </c>
      <c r="AY2000" s="1" t="s">
        <v>387</v>
      </c>
      <c r="AZ2000" s="1" t="s">
        <v>200</v>
      </c>
      <c r="BA2000" s="1" t="str">
        <f>"1205327001"</f>
        <v>1205327001</v>
      </c>
      <c r="BB2000" s="1" t="s">
        <v>200</v>
      </c>
      <c r="BC2000" s="1">
        <v>3328.0</v>
      </c>
      <c r="BD2000" s="1">
        <v>600000.0</v>
      </c>
      <c r="BE2000" s="2">
        <v>41907.0</v>
      </c>
      <c r="BF2000" s="2" t="s">
        <v>19036</v>
      </c>
      <c r="BG2000" s="1" t="s">
        <v>7493</v>
      </c>
      <c r="BH2000" s="1">
        <v>0.0</v>
      </c>
      <c r="BI2000" s="1" t="s">
        <v>429</v>
      </c>
      <c r="BJ2000" s="1" t="s">
        <v>430</v>
      </c>
      <c r="BK2000" s="1" t="s">
        <v>204</v>
      </c>
      <c r="BL2000" s="1" t="str">
        <f t="shared" ref="BL2000:BM2000" si="1314">""</f>
        <v/>
      </c>
      <c r="BM2000" s="1" t="str">
        <f t="shared" si="1314"/>
        <v/>
      </c>
      <c r="BQ2000" s="1">
        <v>304.0</v>
      </c>
      <c r="BR2000" s="1">
        <v>304.0</v>
      </c>
      <c r="BS2000" s="1">
        <v>304.0</v>
      </c>
      <c r="BU2000" s="1" t="s">
        <v>454</v>
      </c>
      <c r="BV2000" s="1" t="s">
        <v>206</v>
      </c>
      <c r="BW2000" s="1" t="s">
        <v>207</v>
      </c>
      <c r="BX2000" s="1" t="s">
        <v>229</v>
      </c>
      <c r="BY2000" s="1" t="s">
        <v>2481</v>
      </c>
      <c r="BZ2000" s="1" t="s">
        <v>209</v>
      </c>
      <c r="CA2000" s="1" t="s">
        <v>210</v>
      </c>
      <c r="CB2000" s="1" t="s">
        <v>229</v>
      </c>
      <c r="CC2000" s="1" t="s">
        <v>393</v>
      </c>
      <c r="CD2000" s="1" t="s">
        <v>206</v>
      </c>
      <c r="CE2000" s="1" t="s">
        <v>207</v>
      </c>
      <c r="CF2000" s="1" t="s">
        <v>229</v>
      </c>
      <c r="CG2000" s="1" t="s">
        <v>329</v>
      </c>
      <c r="CH2000" s="1" t="s">
        <v>209</v>
      </c>
      <c r="CI2000" s="1" t="s">
        <v>210</v>
      </c>
      <c r="CJ2000" s="1" t="s">
        <v>229</v>
      </c>
      <c r="CK2000" s="1" t="s">
        <v>329</v>
      </c>
      <c r="CL2000" s="1" t="s">
        <v>209</v>
      </c>
      <c r="CM2000" s="1" t="s">
        <v>210</v>
      </c>
      <c r="CN2000" s="1" t="s">
        <v>229</v>
      </c>
      <c r="CO2000" s="1" t="s">
        <v>363</v>
      </c>
      <c r="CP2000" s="1" t="s">
        <v>209</v>
      </c>
      <c r="CQ2000" s="1" t="s">
        <v>210</v>
      </c>
      <c r="CR2000" s="1" t="s">
        <v>229</v>
      </c>
      <c r="CS2000" s="1" t="s">
        <v>8088</v>
      </c>
      <c r="CT2000" s="1" t="s">
        <v>206</v>
      </c>
      <c r="CU2000" s="1" t="s">
        <v>207</v>
      </c>
      <c r="CV2000" s="1" t="s">
        <v>229</v>
      </c>
      <c r="CW2000" s="1" t="s">
        <v>1045</v>
      </c>
      <c r="CX2000" s="1" t="s">
        <v>206</v>
      </c>
      <c r="CY2000" s="1" t="s">
        <v>207</v>
      </c>
      <c r="CZ2000" s="1" t="s">
        <v>229</v>
      </c>
      <c r="DA2000" s="1" t="s">
        <v>200</v>
      </c>
      <c r="DC2000" s="1" t="s">
        <v>481</v>
      </c>
      <c r="DD2000" s="1" t="s">
        <v>1484</v>
      </c>
      <c r="DE2000" s="1" t="s">
        <v>273</v>
      </c>
      <c r="DF2000" s="1" t="s">
        <v>619</v>
      </c>
      <c r="DG2000" s="1" t="s">
        <v>3175</v>
      </c>
      <c r="DH2000" s="1" t="s">
        <v>220</v>
      </c>
      <c r="DI2000" s="1" t="s">
        <v>3770</v>
      </c>
      <c r="DJ2000" s="1" t="s">
        <v>222</v>
      </c>
      <c r="DL2000" s="1" t="s">
        <v>224</v>
      </c>
      <c r="DM2000" s="1" t="s">
        <v>929</v>
      </c>
      <c r="DN2000" s="1" t="s">
        <v>399</v>
      </c>
      <c r="DO2000" s="1" t="s">
        <v>590</v>
      </c>
      <c r="DP2000" s="1" t="s">
        <v>340</v>
      </c>
      <c r="DQ2000" s="1" t="s">
        <v>441</v>
      </c>
      <c r="DR2000" s="1" t="s">
        <v>229</v>
      </c>
      <c r="DU2000" s="1" t="s">
        <v>19037</v>
      </c>
      <c r="DV2000" s="1" t="s">
        <v>19038</v>
      </c>
      <c r="DW2000" s="1" t="s">
        <v>1026</v>
      </c>
      <c r="DX2000" s="1" t="s">
        <v>234</v>
      </c>
      <c r="DY2000" s="1" t="s">
        <v>1936</v>
      </c>
      <c r="DZ2000" s="1" t="s">
        <v>2648</v>
      </c>
      <c r="EA2000" s="1" t="s">
        <v>344</v>
      </c>
      <c r="EB2000" s="1" t="s">
        <v>937</v>
      </c>
      <c r="EC2000" s="1" t="s">
        <v>237</v>
      </c>
      <c r="ED2000" s="1" t="s">
        <v>407</v>
      </c>
      <c r="EG2000" s="1" t="s">
        <v>598</v>
      </c>
      <c r="EH2000" s="1" t="s">
        <v>1824</v>
      </c>
      <c r="EI2000" s="1" t="s">
        <v>1432</v>
      </c>
      <c r="EJ2000" s="1" t="s">
        <v>450</v>
      </c>
      <c r="EK2000" s="1" t="s">
        <v>409</v>
      </c>
      <c r="EL2000" s="1" t="s">
        <v>478</v>
      </c>
      <c r="EM2000" s="1" t="s">
        <v>206</v>
      </c>
      <c r="EN2000" s="1" t="s">
        <v>207</v>
      </c>
      <c r="EO2000" s="1" t="s">
        <v>229</v>
      </c>
      <c r="EP2000" s="1" t="s">
        <v>2072</v>
      </c>
      <c r="EQ2000" s="1" t="s">
        <v>42</v>
      </c>
      <c r="ER2000" s="1" t="s">
        <v>588</v>
      </c>
      <c r="ES2000" s="1" t="s">
        <v>229</v>
      </c>
      <c r="ET2000" s="1" t="s">
        <v>454</v>
      </c>
      <c r="EU2000" s="1" t="s">
        <v>42</v>
      </c>
      <c r="EV2000" s="1" t="s">
        <v>210</v>
      </c>
      <c r="EW2000" s="1" t="s">
        <v>229</v>
      </c>
      <c r="EX2000" s="1" t="s">
        <v>19039</v>
      </c>
      <c r="EY2000" s="1" t="s">
        <v>42</v>
      </c>
      <c r="EZ2000" s="1" t="s">
        <v>210</v>
      </c>
      <c r="FA2000" s="1" t="s">
        <v>229</v>
      </c>
      <c r="FB2000" s="1" t="s">
        <v>6562</v>
      </c>
      <c r="FC2000" s="1" t="s">
        <v>209</v>
      </c>
      <c r="FD2000" s="1" t="s">
        <v>210</v>
      </c>
      <c r="FE2000" s="1" t="s">
        <v>229</v>
      </c>
      <c r="FF2000" s="1" t="s">
        <v>239</v>
      </c>
      <c r="FG2000" s="1" t="s">
        <v>192</v>
      </c>
      <c r="FH2000" s="1" t="s">
        <v>192</v>
      </c>
      <c r="FJ2000" s="1" t="s">
        <v>686</v>
      </c>
      <c r="FK2000" s="1" t="s">
        <v>229</v>
      </c>
      <c r="FL2000" s="1" t="s">
        <v>1641</v>
      </c>
      <c r="FM2000" s="1">
        <v>280.0</v>
      </c>
      <c r="FN2000" s="1" t="s">
        <v>1642</v>
      </c>
      <c r="FO2000" s="1" t="s">
        <v>1643</v>
      </c>
      <c r="FP2000" s="1">
        <v>1127.0</v>
      </c>
      <c r="FQ2000" s="1" t="s">
        <v>1644</v>
      </c>
      <c r="FR2000" s="1">
        <v>2089.0</v>
      </c>
      <c r="FS2000" s="1" t="s">
        <v>19040</v>
      </c>
      <c r="FU2000" s="1" t="s">
        <v>19041</v>
      </c>
      <c r="FV2000" s="1" t="s">
        <v>200</v>
      </c>
      <c r="FW2000" s="1" t="s">
        <v>631</v>
      </c>
      <c r="FZ2000" s="1" t="s">
        <v>229</v>
      </c>
      <c r="GA2000" s="1" t="s">
        <v>291</v>
      </c>
      <c r="GB2000" s="2">
        <v>42074.0</v>
      </c>
      <c r="GC2000" s="1" t="s">
        <v>19042</v>
      </c>
    </row>
    <row r="2001">
      <c r="A2001" s="1">
        <v>139000.0</v>
      </c>
      <c r="B2001" s="1" t="s">
        <v>185</v>
      </c>
      <c r="C2001" s="1" t="str">
        <f>"08731335"</f>
        <v>08731335</v>
      </c>
      <c r="D2001" s="1" t="s">
        <v>186</v>
      </c>
      <c r="F2001" s="1" t="str">
        <f>"8049"</f>
        <v>8049</v>
      </c>
      <c r="G2001" s="2">
        <v>41900.0</v>
      </c>
      <c r="H2001" s="1">
        <v>139989.0</v>
      </c>
      <c r="I2001" s="1">
        <v>372.0</v>
      </c>
      <c r="J2001" s="1">
        <v>139989.0</v>
      </c>
      <c r="K2001" s="2">
        <v>41928.0</v>
      </c>
      <c r="L2001" s="1">
        <v>29.0</v>
      </c>
      <c r="M2001" s="2">
        <v>41928.0</v>
      </c>
      <c r="N2001" s="1" t="s">
        <v>356</v>
      </c>
      <c r="O2001" s="2">
        <v>41990.0</v>
      </c>
      <c r="P2001" s="1">
        <v>239541.0</v>
      </c>
      <c r="Q2001" s="1">
        <v>25502.0</v>
      </c>
      <c r="S2001" s="1">
        <v>9331.0</v>
      </c>
      <c r="T2001" s="1" t="s">
        <v>1326</v>
      </c>
      <c r="U2001" s="1" t="s">
        <v>189</v>
      </c>
      <c r="V2001" s="1" t="s">
        <v>190</v>
      </c>
      <c r="W2001" s="1">
        <v>60619.0</v>
      </c>
      <c r="Y2001" s="1" t="s">
        <v>19043</v>
      </c>
      <c r="Z2001" s="1" t="s">
        <v>296</v>
      </c>
      <c r="AA2001" s="1" t="s">
        <v>192</v>
      </c>
      <c r="AB2001" s="1" t="s">
        <v>193</v>
      </c>
      <c r="AD2001" s="1" t="s">
        <v>194</v>
      </c>
      <c r="AE2001" s="1" t="s">
        <v>195</v>
      </c>
      <c r="AF2001" s="1" t="s">
        <v>637</v>
      </c>
      <c r="AH2001" s="1" t="s">
        <v>741</v>
      </c>
      <c r="AI2001" s="1">
        <v>0.0854</v>
      </c>
      <c r="AK2001" s="1">
        <v>8.0</v>
      </c>
      <c r="AL2001" s="1">
        <v>3.0</v>
      </c>
      <c r="AM2001" s="1">
        <v>3.0</v>
      </c>
      <c r="AN2001" s="1">
        <v>0.0</v>
      </c>
      <c r="AO2001" s="1" t="s">
        <v>229</v>
      </c>
      <c r="AQ2001" s="1" t="s">
        <v>198</v>
      </c>
      <c r="AR2001" s="1" t="s">
        <v>192</v>
      </c>
      <c r="AS2001" s="1" t="s">
        <v>199</v>
      </c>
      <c r="AT2001" s="1">
        <v>2.0</v>
      </c>
      <c r="AV2001" s="1" t="s">
        <v>200</v>
      </c>
      <c r="AW2001" s="1">
        <v>2136.37</v>
      </c>
      <c r="AX2001" s="1">
        <v>2013.0</v>
      </c>
      <c r="AY2001" s="1" t="s">
        <v>387</v>
      </c>
      <c r="AZ2001" s="1" t="s">
        <v>200</v>
      </c>
      <c r="BA2001" s="1" t="str">
        <f>"25033180110000"</f>
        <v>25033180110000</v>
      </c>
      <c r="BC2001" s="1">
        <v>2100.0</v>
      </c>
      <c r="BD2001" s="1">
        <v>139000.0</v>
      </c>
      <c r="BE2001" s="2">
        <v>41900.0</v>
      </c>
      <c r="BF2001" s="2" t="s">
        <v>19044</v>
      </c>
      <c r="BG2001" s="1" t="s">
        <v>7235</v>
      </c>
      <c r="BH2001" s="1">
        <v>0.0</v>
      </c>
      <c r="BI2001" s="1" t="s">
        <v>7236</v>
      </c>
      <c r="BJ2001" s="1" t="s">
        <v>7236</v>
      </c>
      <c r="BK2001" s="1" t="s">
        <v>204</v>
      </c>
      <c r="BL2001" s="1" t="str">
        <f>"0"</f>
        <v>0</v>
      </c>
      <c r="BM2001" s="1" t="str">
        <f>"200"</f>
        <v>200</v>
      </c>
      <c r="BN2001" s="1">
        <v>0.0</v>
      </c>
      <c r="BO2001" s="1">
        <v>9331.0</v>
      </c>
      <c r="BQ2001" s="1">
        <v>299.0</v>
      </c>
      <c r="BR2001" s="1">
        <v>299.0</v>
      </c>
      <c r="BS2001" s="1">
        <v>299.0</v>
      </c>
      <c r="BU2001" s="1" t="s">
        <v>1426</v>
      </c>
      <c r="BV2001" s="1" t="s">
        <v>206</v>
      </c>
      <c r="BW2001" s="1" t="s">
        <v>207</v>
      </c>
      <c r="BY2001" s="1" t="s">
        <v>1417</v>
      </c>
      <c r="BZ2001" s="1" t="s">
        <v>209</v>
      </c>
      <c r="CA2001" s="1" t="s">
        <v>210</v>
      </c>
      <c r="CB2001" s="1" t="s">
        <v>229</v>
      </c>
      <c r="CC2001" s="1" t="s">
        <v>663</v>
      </c>
      <c r="CD2001" s="1" t="s">
        <v>206</v>
      </c>
      <c r="CE2001" s="1" t="s">
        <v>301</v>
      </c>
      <c r="CF2001" s="1" t="s">
        <v>229</v>
      </c>
      <c r="CG2001" s="1" t="s">
        <v>1672</v>
      </c>
      <c r="CH2001" s="1" t="s">
        <v>209</v>
      </c>
      <c r="CI2001" s="1" t="s">
        <v>210</v>
      </c>
      <c r="CJ2001" s="1" t="s">
        <v>229</v>
      </c>
      <c r="CK2001" s="1" t="s">
        <v>1672</v>
      </c>
      <c r="CL2001" s="1" t="s">
        <v>209</v>
      </c>
      <c r="CM2001" s="1" t="s">
        <v>210</v>
      </c>
      <c r="CN2001" s="1" t="s">
        <v>229</v>
      </c>
      <c r="CO2001" s="1" t="s">
        <v>699</v>
      </c>
      <c r="CP2001" s="1" t="s">
        <v>42</v>
      </c>
      <c r="CQ2001" s="1" t="s">
        <v>268</v>
      </c>
      <c r="CS2001" s="1" t="s">
        <v>300</v>
      </c>
      <c r="CT2001" s="1" t="s">
        <v>206</v>
      </c>
      <c r="CU2001" s="1" t="s">
        <v>207</v>
      </c>
      <c r="CW2001" s="1" t="s">
        <v>8887</v>
      </c>
      <c r="CX2001" s="1" t="s">
        <v>267</v>
      </c>
      <c r="CY2001" s="1" t="s">
        <v>268</v>
      </c>
      <c r="CZ2001" s="1" t="s">
        <v>229</v>
      </c>
      <c r="DA2001" s="1" t="s">
        <v>200</v>
      </c>
      <c r="DC2001" s="1" t="s">
        <v>435</v>
      </c>
      <c r="DD2001" s="1" t="s">
        <v>518</v>
      </c>
      <c r="DE2001" s="1" t="s">
        <v>273</v>
      </c>
      <c r="DF2001" s="1" t="s">
        <v>619</v>
      </c>
      <c r="DH2001" s="1" t="s">
        <v>220</v>
      </c>
      <c r="DI2001" s="1" t="s">
        <v>221</v>
      </c>
      <c r="DJ2001" s="1" t="s">
        <v>222</v>
      </c>
      <c r="DL2001" s="1" t="s">
        <v>224</v>
      </c>
      <c r="DM2001" s="1" t="s">
        <v>229</v>
      </c>
      <c r="DQ2001" s="1" t="s">
        <v>718</v>
      </c>
      <c r="DR2001" s="1" t="s">
        <v>229</v>
      </c>
      <c r="DU2001" s="1" t="s">
        <v>19045</v>
      </c>
      <c r="DV2001" s="1" t="s">
        <v>232</v>
      </c>
      <c r="DW2001" s="1" t="s">
        <v>279</v>
      </c>
      <c r="DX2001" s="1" t="s">
        <v>234</v>
      </c>
      <c r="DY2001" s="1" t="s">
        <v>235</v>
      </c>
      <c r="EC2001" s="1" t="s">
        <v>645</v>
      </c>
      <c r="ED2001" s="1" t="s">
        <v>555</v>
      </c>
      <c r="EM2001" s="1" t="s">
        <v>238</v>
      </c>
      <c r="EQ2001" s="1" t="s">
        <v>238</v>
      </c>
      <c r="EU2001" s="1" t="s">
        <v>238</v>
      </c>
      <c r="EY2001" s="1" t="s">
        <v>238</v>
      </c>
      <c r="FC2001" s="1" t="s">
        <v>238</v>
      </c>
      <c r="FF2001" s="1" t="s">
        <v>239</v>
      </c>
      <c r="FG2001" s="1" t="s">
        <v>192</v>
      </c>
      <c r="FH2001" s="1" t="s">
        <v>192</v>
      </c>
      <c r="FJ2001" s="1" t="s">
        <v>6761</v>
      </c>
      <c r="FK2001" s="1" t="s">
        <v>229</v>
      </c>
      <c r="FL2001" s="1" t="s">
        <v>16587</v>
      </c>
      <c r="FM2001" s="1">
        <v>1448.0</v>
      </c>
      <c r="FN2001" s="1" t="s">
        <v>16588</v>
      </c>
      <c r="FO2001" s="1" t="s">
        <v>16589</v>
      </c>
      <c r="FP2001" s="1">
        <v>86505.0</v>
      </c>
      <c r="FQ2001" s="1" t="s">
        <v>16590</v>
      </c>
      <c r="FS2001" s="1" t="s">
        <v>16591</v>
      </c>
      <c r="FU2001" s="1" t="s">
        <v>16592</v>
      </c>
      <c r="FV2001" s="1" t="s">
        <v>192</v>
      </c>
      <c r="FW2001" s="1" t="s">
        <v>290</v>
      </c>
      <c r="FX2001" s="1" t="s">
        <v>655</v>
      </c>
      <c r="FZ2001" s="1" t="s">
        <v>229</v>
      </c>
      <c r="GA2001" s="1" t="s">
        <v>291</v>
      </c>
      <c r="GB2001" s="2">
        <v>41990.0</v>
      </c>
      <c r="GC2001" s="1" t="s">
        <v>19046</v>
      </c>
    </row>
    <row r="2002">
      <c r="A2002" s="1">
        <v>420000.0</v>
      </c>
      <c r="B2002" s="1" t="s">
        <v>185</v>
      </c>
      <c r="C2002" s="1" t="str">
        <f>"08838686"</f>
        <v>08838686</v>
      </c>
      <c r="D2002" s="1" t="s">
        <v>186</v>
      </c>
      <c r="F2002" s="1" t="str">
        <f>"510"</f>
        <v>510</v>
      </c>
      <c r="G2002" s="2">
        <v>42049.0</v>
      </c>
      <c r="H2002" s="1">
        <v>424900.0</v>
      </c>
      <c r="I2002" s="1">
        <v>8.0</v>
      </c>
      <c r="J2002" s="1">
        <v>424900.0</v>
      </c>
      <c r="K2002" s="2">
        <v>42056.0</v>
      </c>
      <c r="L2002" s="1">
        <v>8.0</v>
      </c>
      <c r="M2002" s="2">
        <v>42056.0</v>
      </c>
      <c r="N2002" s="1" t="s">
        <v>187</v>
      </c>
      <c r="O2002" s="2">
        <v>42146.0</v>
      </c>
      <c r="P2002" s="1">
        <v>7679.0</v>
      </c>
      <c r="Q2002" s="1">
        <v>30.0</v>
      </c>
      <c r="S2002" s="1" t="s">
        <v>19047</v>
      </c>
      <c r="T2002" s="1" t="s">
        <v>19048</v>
      </c>
      <c r="U2002" s="1" t="s">
        <v>569</v>
      </c>
      <c r="V2002" s="1" t="s">
        <v>2700</v>
      </c>
      <c r="W2002" s="1">
        <v>60510.0</v>
      </c>
      <c r="Y2002" s="1" t="s">
        <v>19049</v>
      </c>
      <c r="Z2002" s="1">
        <v>1974.0</v>
      </c>
      <c r="AA2002" s="1" t="s">
        <v>192</v>
      </c>
      <c r="AB2002" s="1" t="s">
        <v>193</v>
      </c>
      <c r="AC2002" s="1" t="s">
        <v>19050</v>
      </c>
      <c r="AD2002" s="1" t="s">
        <v>1089</v>
      </c>
      <c r="AE2002" s="1" t="s">
        <v>325</v>
      </c>
      <c r="AF2002" s="1" t="s">
        <v>424</v>
      </c>
      <c r="AH2002" s="1" t="s">
        <v>19051</v>
      </c>
      <c r="AI2002" s="1">
        <v>1.2163</v>
      </c>
      <c r="AK2002" s="1">
        <v>11.0</v>
      </c>
      <c r="AL2002" s="1">
        <v>4.0</v>
      </c>
      <c r="AM2002" s="1">
        <v>2.0</v>
      </c>
      <c r="AN2002" s="1">
        <v>1.0</v>
      </c>
      <c r="AO2002" s="1" t="s">
        <v>198</v>
      </c>
      <c r="AP2002" s="1">
        <v>1.0</v>
      </c>
      <c r="AQ2002" s="1" t="s">
        <v>1314</v>
      </c>
      <c r="AR2002" s="1" t="s">
        <v>200</v>
      </c>
      <c r="AS2002" s="1" t="s">
        <v>510</v>
      </c>
      <c r="AT2002" s="1">
        <v>5.0</v>
      </c>
      <c r="AU2002" s="1">
        <v>6.0</v>
      </c>
      <c r="AV2002" s="1" t="s">
        <v>200</v>
      </c>
      <c r="AW2002" s="1">
        <v>10271.2</v>
      </c>
      <c r="AX2002" s="1">
        <v>2013.0</v>
      </c>
      <c r="AY2002" s="1" t="s">
        <v>387</v>
      </c>
      <c r="AZ2002" s="1" t="s">
        <v>200</v>
      </c>
      <c r="BA2002" s="1" t="str">
        <f>"1217351004"</f>
        <v>1217351004</v>
      </c>
      <c r="BB2002" s="1" t="s">
        <v>200</v>
      </c>
      <c r="BC2002" s="1">
        <v>2942.0</v>
      </c>
      <c r="BD2002" s="1">
        <v>420000.0</v>
      </c>
      <c r="BE2002" s="2">
        <v>42049.0</v>
      </c>
      <c r="BF2002" s="2" t="s">
        <v>19052</v>
      </c>
      <c r="BH2002" s="1">
        <v>0.0</v>
      </c>
      <c r="BK2002" s="1" t="s">
        <v>204</v>
      </c>
      <c r="BL2002" s="1" t="str">
        <f t="shared" ref="BL2002:BM2002" si="1315">""</f>
        <v/>
      </c>
      <c r="BM2002" s="1" t="str">
        <f t="shared" si="1315"/>
        <v/>
      </c>
      <c r="BQ2002" s="1">
        <v>101.0</v>
      </c>
      <c r="BR2002" s="1">
        <v>101.0</v>
      </c>
      <c r="BS2002" s="1">
        <v>101.0</v>
      </c>
      <c r="BU2002" s="1" t="s">
        <v>1043</v>
      </c>
      <c r="BV2002" s="1" t="s">
        <v>206</v>
      </c>
      <c r="BW2002" s="1" t="s">
        <v>207</v>
      </c>
      <c r="BY2002" s="1" t="s">
        <v>262</v>
      </c>
      <c r="BZ2002" s="1" t="s">
        <v>206</v>
      </c>
      <c r="CA2002" s="1" t="s">
        <v>207</v>
      </c>
      <c r="CB2002" s="1" t="s">
        <v>1118</v>
      </c>
      <c r="CC2002" s="1" t="s">
        <v>497</v>
      </c>
      <c r="CD2002" s="1" t="s">
        <v>206</v>
      </c>
      <c r="CE2002" s="1" t="s">
        <v>207</v>
      </c>
      <c r="CG2002" s="1" t="s">
        <v>495</v>
      </c>
      <c r="CH2002" s="1" t="s">
        <v>206</v>
      </c>
      <c r="CI2002" s="1" t="s">
        <v>207</v>
      </c>
      <c r="CJ2002" s="1" t="s">
        <v>431</v>
      </c>
      <c r="CK2002" s="1" t="s">
        <v>699</v>
      </c>
      <c r="CL2002" s="1" t="s">
        <v>206</v>
      </c>
      <c r="CM2002" s="1" t="s">
        <v>207</v>
      </c>
      <c r="CN2002" s="1" t="s">
        <v>431</v>
      </c>
      <c r="CO2002" s="1" t="s">
        <v>699</v>
      </c>
      <c r="CP2002" s="1" t="s">
        <v>206</v>
      </c>
      <c r="CQ2002" s="1" t="s">
        <v>207</v>
      </c>
      <c r="CR2002" s="1" t="s">
        <v>431</v>
      </c>
      <c r="CS2002" s="1" t="s">
        <v>9889</v>
      </c>
      <c r="CT2002" s="1" t="s">
        <v>206</v>
      </c>
      <c r="CU2002" s="1" t="s">
        <v>268</v>
      </c>
      <c r="CW2002" s="1" t="s">
        <v>15038</v>
      </c>
      <c r="CX2002" s="1" t="s">
        <v>206</v>
      </c>
      <c r="CY2002" s="1" t="s">
        <v>207</v>
      </c>
      <c r="CZ2002" s="1" t="s">
        <v>1118</v>
      </c>
      <c r="DA2002" s="1" t="s">
        <v>200</v>
      </c>
      <c r="DC2002" s="1" t="s">
        <v>517</v>
      </c>
      <c r="DD2002" s="1" t="s">
        <v>926</v>
      </c>
      <c r="DE2002" s="1" t="s">
        <v>273</v>
      </c>
      <c r="DF2002" s="1" t="s">
        <v>219</v>
      </c>
      <c r="DH2002" s="1" t="s">
        <v>856</v>
      </c>
      <c r="DI2002" s="1" t="s">
        <v>1141</v>
      </c>
      <c r="DJ2002" s="1" t="s">
        <v>857</v>
      </c>
      <c r="DL2002" s="1" t="s">
        <v>1267</v>
      </c>
      <c r="DM2002" s="1" t="s">
        <v>338</v>
      </c>
      <c r="DO2002" s="1" t="s">
        <v>486</v>
      </c>
      <c r="DP2002" s="1" t="s">
        <v>340</v>
      </c>
      <c r="DQ2002" s="1" t="s">
        <v>931</v>
      </c>
      <c r="DR2002" s="1" t="s">
        <v>229</v>
      </c>
      <c r="DS2002" s="1" t="s">
        <v>14851</v>
      </c>
      <c r="DU2002" s="1" t="s">
        <v>19053</v>
      </c>
      <c r="DV2002" s="1" t="s">
        <v>19054</v>
      </c>
      <c r="DW2002" s="1" t="s">
        <v>444</v>
      </c>
      <c r="DX2002" s="1" t="s">
        <v>234</v>
      </c>
      <c r="DY2002" s="1" t="s">
        <v>19055</v>
      </c>
      <c r="DZ2002" s="1" t="s">
        <v>19056</v>
      </c>
      <c r="EA2002" s="1" t="s">
        <v>683</v>
      </c>
      <c r="EB2002" s="1" t="s">
        <v>19057</v>
      </c>
      <c r="EC2002" s="1" t="s">
        <v>685</v>
      </c>
      <c r="ED2002" s="1" t="s">
        <v>1406</v>
      </c>
      <c r="EE2002" s="1" t="s">
        <v>187</v>
      </c>
      <c r="EF2002" s="1" t="s">
        <v>5154</v>
      </c>
      <c r="EG2002" s="1" t="s">
        <v>450</v>
      </c>
      <c r="EH2002" s="1" t="s">
        <v>374</v>
      </c>
      <c r="EI2002" s="1" t="s">
        <v>5798</v>
      </c>
      <c r="EJ2002" s="1" t="s">
        <v>449</v>
      </c>
      <c r="EK2002" s="1" t="s">
        <v>588</v>
      </c>
      <c r="EL2002" s="1" t="s">
        <v>5223</v>
      </c>
      <c r="EM2002" s="1" t="s">
        <v>42</v>
      </c>
      <c r="EN2002" s="1" t="s">
        <v>268</v>
      </c>
      <c r="EP2002" s="1" t="s">
        <v>925</v>
      </c>
      <c r="EQ2002" s="1" t="s">
        <v>206</v>
      </c>
      <c r="ER2002" s="1" t="s">
        <v>268</v>
      </c>
      <c r="ET2002" s="1" t="s">
        <v>2082</v>
      </c>
      <c r="EU2002" s="1" t="s">
        <v>42</v>
      </c>
      <c r="EV2002" s="1" t="s">
        <v>268</v>
      </c>
      <c r="EX2002" s="1" t="s">
        <v>4205</v>
      </c>
      <c r="EY2002" s="1" t="s">
        <v>206</v>
      </c>
      <c r="EZ2002" s="1" t="s">
        <v>268</v>
      </c>
      <c r="FA2002" s="1" t="s">
        <v>1118</v>
      </c>
      <c r="FB2002" s="1" t="s">
        <v>815</v>
      </c>
      <c r="FC2002" s="1" t="s">
        <v>206</v>
      </c>
      <c r="FE2002" s="1" t="s">
        <v>431</v>
      </c>
      <c r="FF2002" s="1" t="s">
        <v>239</v>
      </c>
      <c r="FG2002" s="1" t="s">
        <v>192</v>
      </c>
      <c r="FH2002" s="1" t="s">
        <v>192</v>
      </c>
      <c r="FJ2002" s="1" t="s">
        <v>2552</v>
      </c>
      <c r="FK2002" s="1" t="s">
        <v>229</v>
      </c>
      <c r="FL2002" s="1" t="s">
        <v>456</v>
      </c>
      <c r="FM2002" s="1">
        <v>49.0</v>
      </c>
      <c r="FN2002" s="1" t="s">
        <v>457</v>
      </c>
      <c r="FO2002" s="1" t="s">
        <v>19058</v>
      </c>
      <c r="FP2002" s="1">
        <v>8663.0</v>
      </c>
      <c r="FQ2002" s="1" t="s">
        <v>19059</v>
      </c>
      <c r="FS2002" s="1" t="s">
        <v>19060</v>
      </c>
      <c r="FU2002" s="1" t="s">
        <v>19061</v>
      </c>
      <c r="FV2002" s="1" t="s">
        <v>200</v>
      </c>
      <c r="FW2002" s="1" t="s">
        <v>290</v>
      </c>
      <c r="FZ2002" s="1" t="s">
        <v>229</v>
      </c>
      <c r="GA2002" s="1" t="s">
        <v>291</v>
      </c>
      <c r="GB2002" s="2">
        <v>42146.0</v>
      </c>
      <c r="GC2002" s="1" t="s">
        <v>19062</v>
      </c>
    </row>
    <row r="2003">
      <c r="A2003" s="1">
        <v>184000.0</v>
      </c>
      <c r="B2003" s="1" t="s">
        <v>185</v>
      </c>
      <c r="C2003" s="1" t="str">
        <f>"08728930"</f>
        <v>08728930</v>
      </c>
      <c r="D2003" s="1" t="s">
        <v>186</v>
      </c>
      <c r="F2003" s="1" t="str">
        <f>"115"</f>
        <v>115</v>
      </c>
      <c r="G2003" s="2">
        <v>41897.0</v>
      </c>
      <c r="H2003" s="1">
        <v>187500.0</v>
      </c>
      <c r="I2003" s="1">
        <v>36.0</v>
      </c>
      <c r="J2003" s="1">
        <v>187500.0</v>
      </c>
      <c r="K2003" s="2">
        <v>41932.0</v>
      </c>
      <c r="L2003" s="1">
        <v>36.0</v>
      </c>
      <c r="M2003" s="2">
        <v>41932.0</v>
      </c>
      <c r="N2003" s="1" t="s">
        <v>187</v>
      </c>
      <c r="O2003" s="2">
        <v>41969.0</v>
      </c>
      <c r="P2003" s="1">
        <v>930224.0</v>
      </c>
      <c r="Q2003" s="1">
        <v>93084.0</v>
      </c>
      <c r="S2003" s="1">
        <v>110.0</v>
      </c>
      <c r="T2003" s="1" t="s">
        <v>6708</v>
      </c>
      <c r="U2003" s="1" t="s">
        <v>569</v>
      </c>
      <c r="V2003" s="1" t="s">
        <v>610</v>
      </c>
      <c r="W2003" s="1">
        <v>60115.0</v>
      </c>
      <c r="Y2003" s="1" t="s">
        <v>19063</v>
      </c>
      <c r="Z2003" s="1">
        <v>2000.0</v>
      </c>
      <c r="AA2003" s="1" t="s">
        <v>200</v>
      </c>
      <c r="AB2003" s="1" t="s">
        <v>193</v>
      </c>
      <c r="AC2003" s="1" t="s">
        <v>19064</v>
      </c>
      <c r="AD2003" s="1" t="s">
        <v>612</v>
      </c>
      <c r="AE2003" s="1" t="s">
        <v>613</v>
      </c>
      <c r="AF2003" s="1" t="s">
        <v>612</v>
      </c>
      <c r="AH2003" s="1" t="s">
        <v>19065</v>
      </c>
      <c r="AI2003" s="1">
        <v>0.34</v>
      </c>
      <c r="AK2003" s="1">
        <v>11.0</v>
      </c>
      <c r="AL2003" s="1">
        <v>3.0</v>
      </c>
      <c r="AM2003" s="1">
        <v>3.0</v>
      </c>
      <c r="AN2003" s="1">
        <v>1.0</v>
      </c>
      <c r="AO2003" s="1" t="s">
        <v>198</v>
      </c>
      <c r="AP2003" s="1">
        <v>1.0</v>
      </c>
      <c r="AQ2003" s="1" t="s">
        <v>472</v>
      </c>
      <c r="AR2003" s="1" t="s">
        <v>192</v>
      </c>
      <c r="AS2003" s="1" t="s">
        <v>199</v>
      </c>
      <c r="AT2003" s="1">
        <v>2.0</v>
      </c>
      <c r="AV2003" s="1" t="s">
        <v>200</v>
      </c>
      <c r="AW2003" s="1">
        <v>5937.0</v>
      </c>
      <c r="AX2003" s="1">
        <v>2013.0</v>
      </c>
      <c r="AY2003" s="1" t="s">
        <v>387</v>
      </c>
      <c r="AZ2003" s="1" t="s">
        <v>200</v>
      </c>
      <c r="BA2003" s="1" t="str">
        <f>"0834134022"</f>
        <v>0834134022</v>
      </c>
      <c r="BB2003" s="1" t="s">
        <v>200</v>
      </c>
      <c r="BC2003" s="1">
        <v>2200.0</v>
      </c>
      <c r="BD2003" s="1">
        <v>184000.0</v>
      </c>
      <c r="BE2003" s="2">
        <v>41897.0</v>
      </c>
      <c r="BF2003" s="2" t="s">
        <v>19066</v>
      </c>
      <c r="BG2003" s="1" t="s">
        <v>2142</v>
      </c>
      <c r="BH2003" s="1">
        <v>0.0</v>
      </c>
      <c r="BI2003" s="1" t="s">
        <v>19067</v>
      </c>
      <c r="BJ2003" s="1" t="s">
        <v>19068</v>
      </c>
      <c r="BK2003" s="1" t="s">
        <v>204</v>
      </c>
      <c r="BL2003" s="1" t="str">
        <f t="shared" ref="BL2003:BM2003" si="1316">""</f>
        <v/>
      </c>
      <c r="BM2003" s="1" t="str">
        <f t="shared" si="1316"/>
        <v/>
      </c>
      <c r="BQ2003" s="1">
        <v>428.0</v>
      </c>
      <c r="BR2003" s="1">
        <v>428.0</v>
      </c>
      <c r="BS2003" s="1">
        <v>428.0</v>
      </c>
      <c r="BU2003" s="1" t="s">
        <v>584</v>
      </c>
      <c r="BV2003" s="1" t="s">
        <v>206</v>
      </c>
      <c r="BW2003" s="1" t="s">
        <v>210</v>
      </c>
      <c r="BY2003" s="1" t="s">
        <v>433</v>
      </c>
      <c r="BZ2003" s="1" t="s">
        <v>209</v>
      </c>
      <c r="CA2003" s="1" t="s">
        <v>210</v>
      </c>
      <c r="CC2003" s="1" t="s">
        <v>363</v>
      </c>
      <c r="CD2003" s="1" t="s">
        <v>206</v>
      </c>
      <c r="CE2003" s="1" t="s">
        <v>207</v>
      </c>
      <c r="CG2003" s="1" t="s">
        <v>332</v>
      </c>
      <c r="CH2003" s="1" t="s">
        <v>209</v>
      </c>
      <c r="CI2003" s="1" t="s">
        <v>210</v>
      </c>
      <c r="CK2003" s="1" t="s">
        <v>363</v>
      </c>
      <c r="CL2003" s="1" t="s">
        <v>209</v>
      </c>
      <c r="CM2003" s="1" t="s">
        <v>210</v>
      </c>
      <c r="CO2003" s="1" t="s">
        <v>1229</v>
      </c>
      <c r="CP2003" s="1" t="s">
        <v>42</v>
      </c>
      <c r="CS2003" s="1" t="s">
        <v>497</v>
      </c>
      <c r="CT2003" s="1" t="s">
        <v>206</v>
      </c>
      <c r="CU2003" s="1" t="s">
        <v>207</v>
      </c>
      <c r="CW2003" s="1" t="s">
        <v>213</v>
      </c>
      <c r="CX2003" s="1" t="s">
        <v>206</v>
      </c>
      <c r="CY2003" s="1" t="s">
        <v>210</v>
      </c>
      <c r="DA2003" s="1" t="s">
        <v>200</v>
      </c>
      <c r="DC2003" s="1" t="s">
        <v>335</v>
      </c>
      <c r="DE2003" s="1" t="s">
        <v>273</v>
      </c>
      <c r="DF2003" s="1" t="s">
        <v>219</v>
      </c>
      <c r="DG2003" s="1" t="s">
        <v>337</v>
      </c>
      <c r="DH2003" s="1" t="s">
        <v>220</v>
      </c>
      <c r="DI2003" s="1" t="s">
        <v>1003</v>
      </c>
      <c r="DJ2003" s="1" t="s">
        <v>222</v>
      </c>
      <c r="DL2003" s="1" t="s">
        <v>858</v>
      </c>
      <c r="DM2003" s="1" t="s">
        <v>1268</v>
      </c>
      <c r="DN2003" s="1" t="s">
        <v>439</v>
      </c>
      <c r="DP2003" s="1" t="s">
        <v>340</v>
      </c>
      <c r="DQ2003" s="1" t="s">
        <v>441</v>
      </c>
      <c r="DR2003" s="1" t="s">
        <v>229</v>
      </c>
      <c r="DS2003" s="1" t="s">
        <v>230</v>
      </c>
      <c r="DU2003" s="1" t="s">
        <v>1840</v>
      </c>
      <c r="DV2003" s="1" t="s">
        <v>13324</v>
      </c>
      <c r="DW2003" s="1" t="s">
        <v>233</v>
      </c>
      <c r="DX2003" s="1" t="s">
        <v>234</v>
      </c>
      <c r="DY2003" s="1" t="s">
        <v>8753</v>
      </c>
      <c r="DZ2003" s="1" t="s">
        <v>2204</v>
      </c>
      <c r="EA2003" s="1" t="s">
        <v>447</v>
      </c>
      <c r="EB2003" s="1" t="s">
        <v>684</v>
      </c>
      <c r="EC2003" s="1" t="s">
        <v>237</v>
      </c>
      <c r="EG2003" s="1" t="s">
        <v>494</v>
      </c>
      <c r="EH2003" s="1" t="s">
        <v>450</v>
      </c>
      <c r="EI2003" s="1" t="s">
        <v>449</v>
      </c>
      <c r="EL2003" s="1" t="s">
        <v>262</v>
      </c>
      <c r="EM2003" s="1" t="s">
        <v>206</v>
      </c>
      <c r="EN2003" s="1" t="s">
        <v>210</v>
      </c>
      <c r="EP2003" s="1" t="s">
        <v>11994</v>
      </c>
      <c r="EQ2003" s="1" t="s">
        <v>42</v>
      </c>
      <c r="ET2003" s="1" t="s">
        <v>647</v>
      </c>
      <c r="EU2003" s="1" t="s">
        <v>206</v>
      </c>
      <c r="EV2003" s="1" t="s">
        <v>207</v>
      </c>
      <c r="EY2003" s="1" t="s">
        <v>238</v>
      </c>
      <c r="FC2003" s="1" t="s">
        <v>238</v>
      </c>
      <c r="FF2003" s="1" t="s">
        <v>239</v>
      </c>
      <c r="FG2003" s="1" t="s">
        <v>192</v>
      </c>
      <c r="FH2003" s="1" t="s">
        <v>192</v>
      </c>
      <c r="FJ2003" s="1" t="s">
        <v>498</v>
      </c>
      <c r="FK2003" s="1" t="s">
        <v>229</v>
      </c>
      <c r="FL2003" s="1" t="s">
        <v>1358</v>
      </c>
      <c r="FM2003" s="1">
        <v>23591.0</v>
      </c>
      <c r="FN2003" s="1" t="s">
        <v>2134</v>
      </c>
      <c r="FO2003" s="1" t="s">
        <v>10268</v>
      </c>
      <c r="FP2003" s="1">
        <v>232364.0</v>
      </c>
      <c r="FQ2003" s="1" t="s">
        <v>10269</v>
      </c>
      <c r="FU2003" s="1" t="s">
        <v>19069</v>
      </c>
      <c r="FV2003" s="1" t="s">
        <v>200</v>
      </c>
      <c r="FW2003" s="1" t="s">
        <v>290</v>
      </c>
      <c r="FZ2003" s="1" t="s">
        <v>229</v>
      </c>
      <c r="GA2003" s="1" t="s">
        <v>291</v>
      </c>
      <c r="GB2003" s="2">
        <v>41986.0</v>
      </c>
      <c r="GC2003" s="1" t="s">
        <v>19070</v>
      </c>
    </row>
    <row r="2004">
      <c r="A2004" s="1">
        <v>105000.0</v>
      </c>
      <c r="B2004" s="1" t="s">
        <v>185</v>
      </c>
      <c r="C2004" s="1" t="str">
        <f>"08733589"</f>
        <v>08733589</v>
      </c>
      <c r="D2004" s="1" t="s">
        <v>186</v>
      </c>
      <c r="F2004" s="1" t="str">
        <f>"8070"</f>
        <v>8070</v>
      </c>
      <c r="G2004" s="2">
        <v>41902.0</v>
      </c>
      <c r="H2004" s="1">
        <v>112300.0</v>
      </c>
      <c r="I2004" s="1">
        <v>54.0</v>
      </c>
      <c r="J2004" s="1">
        <v>99900.0</v>
      </c>
      <c r="K2004" s="2">
        <v>41955.0</v>
      </c>
      <c r="L2004" s="1">
        <v>54.0</v>
      </c>
      <c r="M2004" s="2">
        <v>41955.0</v>
      </c>
      <c r="N2004" s="1" t="s">
        <v>187</v>
      </c>
      <c r="O2004" s="2">
        <v>42018.0</v>
      </c>
      <c r="P2004" s="1">
        <v>168607.0</v>
      </c>
      <c r="Q2004" s="1">
        <v>84291.0</v>
      </c>
      <c r="S2004" s="1">
        <v>4612.0</v>
      </c>
      <c r="T2004" s="1" t="s">
        <v>4526</v>
      </c>
      <c r="U2004" s="1" t="s">
        <v>320</v>
      </c>
      <c r="V2004" s="1" t="s">
        <v>190</v>
      </c>
      <c r="W2004" s="1">
        <v>60652.0</v>
      </c>
      <c r="Y2004" s="1" t="s">
        <v>19071</v>
      </c>
      <c r="Z2004" s="1">
        <v>1950.0</v>
      </c>
      <c r="AA2004" s="1" t="s">
        <v>192</v>
      </c>
      <c r="AB2004" s="1" t="s">
        <v>193</v>
      </c>
      <c r="AD2004" s="1" t="s">
        <v>194</v>
      </c>
      <c r="AE2004" s="1" t="s">
        <v>195</v>
      </c>
      <c r="AF2004" s="1" t="s">
        <v>659</v>
      </c>
      <c r="AH2004" s="1" t="s">
        <v>19072</v>
      </c>
      <c r="AK2004" s="1">
        <v>7.0</v>
      </c>
      <c r="AL2004" s="1">
        <v>4.0</v>
      </c>
      <c r="AM2004" s="1">
        <v>1.0</v>
      </c>
      <c r="AN2004" s="1">
        <v>0.0</v>
      </c>
      <c r="AO2004" s="1" t="s">
        <v>229</v>
      </c>
      <c r="AQ2004" s="1" t="s">
        <v>229</v>
      </c>
      <c r="AR2004" s="1" t="s">
        <v>200</v>
      </c>
      <c r="AS2004" s="1" t="s">
        <v>828</v>
      </c>
      <c r="AU2004" s="1">
        <v>1.0</v>
      </c>
      <c r="AV2004" s="1" t="s">
        <v>200</v>
      </c>
      <c r="AW2004" s="1">
        <v>1726.0</v>
      </c>
      <c r="AX2004" s="1">
        <v>2013.0</v>
      </c>
      <c r="AY2004" s="1" t="s">
        <v>387</v>
      </c>
      <c r="AZ2004" s="1" t="s">
        <v>200</v>
      </c>
      <c r="BA2004" s="1" t="str">
        <f>"19341130290000"</f>
        <v>19341130290000</v>
      </c>
      <c r="BC2004" s="1">
        <v>998.0</v>
      </c>
      <c r="BD2004" s="1">
        <v>105000.0</v>
      </c>
      <c r="BE2004" s="2">
        <v>41902.0</v>
      </c>
      <c r="BF2004" s="2" t="s">
        <v>19073</v>
      </c>
      <c r="BH2004" s="1">
        <v>0.0</v>
      </c>
      <c r="BK2004" s="1" t="s">
        <v>204</v>
      </c>
      <c r="BL2004" s="1" t="str">
        <f t="shared" ref="BL2004:BM2004" si="1317">"0"</f>
        <v>0</v>
      </c>
      <c r="BM2004" s="1" t="str">
        <f t="shared" si="1317"/>
        <v>0</v>
      </c>
      <c r="BN2004" s="1">
        <v>4612.0</v>
      </c>
      <c r="BO2004" s="1">
        <v>8300.0</v>
      </c>
      <c r="BQ2004" s="1">
        <v>299.0</v>
      </c>
      <c r="BR2004" s="1">
        <v>299.0</v>
      </c>
      <c r="BS2004" s="1">
        <v>299.0</v>
      </c>
      <c r="BU2004" s="1" t="s">
        <v>1483</v>
      </c>
      <c r="BV2004" s="1" t="s">
        <v>206</v>
      </c>
      <c r="BY2004" s="1" t="s">
        <v>495</v>
      </c>
      <c r="BZ2004" s="1" t="s">
        <v>206</v>
      </c>
      <c r="CC2004" s="1" t="s">
        <v>263</v>
      </c>
      <c r="CD2004" s="1" t="s">
        <v>206</v>
      </c>
      <c r="CG2004" s="1" t="s">
        <v>375</v>
      </c>
      <c r="CH2004" s="1" t="s">
        <v>206</v>
      </c>
      <c r="CK2004" s="1" t="s">
        <v>543</v>
      </c>
      <c r="CL2004" s="1" t="s">
        <v>206</v>
      </c>
      <c r="CO2004" s="1" t="s">
        <v>497</v>
      </c>
      <c r="CP2004" s="1" t="s">
        <v>206</v>
      </c>
      <c r="CS2004" s="1" t="s">
        <v>269</v>
      </c>
      <c r="CT2004" s="1" t="s">
        <v>206</v>
      </c>
      <c r="CX2004" s="1" t="s">
        <v>204</v>
      </c>
      <c r="DA2004" s="1" t="s">
        <v>200</v>
      </c>
      <c r="DC2004" s="1" t="s">
        <v>702</v>
      </c>
      <c r="DE2004" s="1" t="s">
        <v>273</v>
      </c>
      <c r="DF2004" s="1" t="s">
        <v>219</v>
      </c>
      <c r="DH2004" s="1" t="s">
        <v>365</v>
      </c>
      <c r="DJ2004" s="1" t="s">
        <v>222</v>
      </c>
      <c r="DL2004" s="1" t="s">
        <v>229</v>
      </c>
      <c r="DM2004" s="1" t="s">
        <v>229</v>
      </c>
      <c r="DQ2004" s="1" t="s">
        <v>228</v>
      </c>
      <c r="DR2004" s="1" t="s">
        <v>229</v>
      </c>
      <c r="DV2004" s="1" t="s">
        <v>232</v>
      </c>
      <c r="DW2004" s="1" t="s">
        <v>279</v>
      </c>
      <c r="DX2004" s="1" t="s">
        <v>234</v>
      </c>
      <c r="EA2004" s="1" t="s">
        <v>683</v>
      </c>
      <c r="EC2004" s="1" t="s">
        <v>685</v>
      </c>
      <c r="EF2004" s="1" t="s">
        <v>7505</v>
      </c>
      <c r="EM2004" s="1" t="s">
        <v>238</v>
      </c>
      <c r="EQ2004" s="1" t="s">
        <v>238</v>
      </c>
      <c r="EU2004" s="1" t="s">
        <v>238</v>
      </c>
      <c r="EY2004" s="1" t="s">
        <v>238</v>
      </c>
      <c r="FC2004" s="1" t="s">
        <v>238</v>
      </c>
      <c r="FF2004" s="1" t="s">
        <v>239</v>
      </c>
      <c r="FG2004" s="1" t="s">
        <v>192</v>
      </c>
      <c r="FH2004" s="1" t="s">
        <v>192</v>
      </c>
      <c r="FJ2004" s="1" t="s">
        <v>524</v>
      </c>
      <c r="FK2004" s="1" t="s">
        <v>229</v>
      </c>
      <c r="FL2004" s="1" t="s">
        <v>836</v>
      </c>
      <c r="FM2004" s="1">
        <v>18080.0</v>
      </c>
      <c r="FN2004" s="1" t="s">
        <v>837</v>
      </c>
      <c r="FO2004" s="1" t="s">
        <v>19074</v>
      </c>
      <c r="FP2004" s="1">
        <v>120646.0</v>
      </c>
      <c r="FQ2004" s="1" t="s">
        <v>19075</v>
      </c>
      <c r="FU2004" s="1" t="s">
        <v>710</v>
      </c>
      <c r="FV2004" s="1" t="s">
        <v>200</v>
      </c>
      <c r="FW2004" s="1" t="s">
        <v>290</v>
      </c>
      <c r="FX2004" s="1" t="s">
        <v>246</v>
      </c>
      <c r="FZ2004" s="1" t="s">
        <v>229</v>
      </c>
      <c r="GA2004" s="1" t="s">
        <v>291</v>
      </c>
      <c r="GB2004" s="2">
        <v>42021.0</v>
      </c>
      <c r="GC2004" s="1" t="s">
        <v>19076</v>
      </c>
    </row>
    <row r="2005">
      <c r="A2005" s="1">
        <v>231000.0</v>
      </c>
      <c r="B2005" s="1" t="s">
        <v>185</v>
      </c>
      <c r="C2005" s="1" t="str">
        <f>"08737778"</f>
        <v>08737778</v>
      </c>
      <c r="D2005" s="1" t="s">
        <v>186</v>
      </c>
      <c r="F2005" s="1" t="str">
        <f>"543"</f>
        <v>543</v>
      </c>
      <c r="G2005" s="2">
        <v>41907.0</v>
      </c>
      <c r="H2005" s="1">
        <v>304900.0</v>
      </c>
      <c r="I2005" s="1">
        <v>181.0</v>
      </c>
      <c r="J2005" s="1">
        <v>240000.0</v>
      </c>
      <c r="K2005" s="2">
        <v>42086.0</v>
      </c>
      <c r="L2005" s="1">
        <v>181.0</v>
      </c>
      <c r="M2005" s="2">
        <v>42086.0</v>
      </c>
      <c r="N2005" s="1" t="s">
        <v>187</v>
      </c>
      <c r="O2005" s="2">
        <v>42117.0</v>
      </c>
      <c r="P2005" s="1">
        <v>55724.0</v>
      </c>
      <c r="Q2005" s="1">
        <v>5098.0</v>
      </c>
      <c r="S2005" s="1">
        <v>1481.0</v>
      </c>
      <c r="T2005" s="1" t="s">
        <v>4176</v>
      </c>
      <c r="U2005" s="1" t="s">
        <v>464</v>
      </c>
      <c r="V2005" s="1" t="s">
        <v>1527</v>
      </c>
      <c r="W2005" s="1">
        <v>60543.0</v>
      </c>
      <c r="Y2005" s="1" t="s">
        <v>19077</v>
      </c>
      <c r="Z2005" s="1">
        <v>1973.0</v>
      </c>
      <c r="AA2005" s="1" t="s">
        <v>192</v>
      </c>
      <c r="AB2005" s="1" t="s">
        <v>193</v>
      </c>
      <c r="AD2005" s="1" t="s">
        <v>1089</v>
      </c>
      <c r="AE2005" s="1" t="s">
        <v>849</v>
      </c>
      <c r="AF2005" s="1" t="s">
        <v>1529</v>
      </c>
      <c r="AH2005" s="1" t="s">
        <v>19078</v>
      </c>
      <c r="AI2005" s="1">
        <v>7.08</v>
      </c>
      <c r="AK2005" s="1">
        <v>8.0</v>
      </c>
      <c r="AL2005" s="1">
        <v>4.0</v>
      </c>
      <c r="AM2005" s="1">
        <v>1.0</v>
      </c>
      <c r="AN2005" s="1">
        <v>0.0</v>
      </c>
      <c r="AO2005" s="1" t="s">
        <v>229</v>
      </c>
      <c r="AQ2005" s="1" t="s">
        <v>198</v>
      </c>
      <c r="AR2005" s="1" t="s">
        <v>200</v>
      </c>
      <c r="AS2005" s="1" t="s">
        <v>229</v>
      </c>
      <c r="AV2005" s="1" t="s">
        <v>200</v>
      </c>
      <c r="AW2005" s="1">
        <v>7332.0</v>
      </c>
      <c r="AX2005" s="1">
        <v>2013.0</v>
      </c>
      <c r="AY2005" s="1" t="s">
        <v>229</v>
      </c>
      <c r="AZ2005" s="1" t="s">
        <v>200</v>
      </c>
      <c r="BA2005" s="1" t="str">
        <f>"0335376005"</f>
        <v>0335376005</v>
      </c>
      <c r="BB2005" s="1" t="s">
        <v>192</v>
      </c>
      <c r="BC2005" s="1">
        <v>1920.0</v>
      </c>
      <c r="BD2005" s="1">
        <v>231000.0</v>
      </c>
      <c r="BE2005" s="2">
        <v>41906.0</v>
      </c>
      <c r="BF2005" s="1" t="s">
        <v>19079</v>
      </c>
      <c r="BH2005" s="1">
        <v>0.0</v>
      </c>
      <c r="BK2005" s="1" t="s">
        <v>204</v>
      </c>
      <c r="BL2005" s="1" t="str">
        <f t="shared" ref="BL2005:BM2005" si="1318">"0"</f>
        <v>0</v>
      </c>
      <c r="BM2005" s="1" t="str">
        <f t="shared" si="1318"/>
        <v>0</v>
      </c>
      <c r="BN2005" s="1">
        <v>0.0</v>
      </c>
      <c r="BO2005" s="1">
        <v>0.0</v>
      </c>
      <c r="BQ2005" s="1">
        <v>308.0</v>
      </c>
      <c r="BR2005" s="1">
        <v>308.0</v>
      </c>
      <c r="BS2005" s="1">
        <v>308.0</v>
      </c>
      <c r="BU2005" s="1" t="s">
        <v>1117</v>
      </c>
      <c r="BV2005" s="1" t="s">
        <v>206</v>
      </c>
      <c r="BY2005" s="1" t="s">
        <v>433</v>
      </c>
      <c r="BZ2005" s="1" t="s">
        <v>206</v>
      </c>
      <c r="CD2005" s="1" t="s">
        <v>204</v>
      </c>
      <c r="CG2005" s="1" t="s">
        <v>264</v>
      </c>
      <c r="CH2005" s="1" t="s">
        <v>206</v>
      </c>
      <c r="CK2005" s="1" t="s">
        <v>904</v>
      </c>
      <c r="CL2005" s="1" t="s">
        <v>206</v>
      </c>
      <c r="CO2005" s="1" t="s">
        <v>1939</v>
      </c>
      <c r="CP2005" s="1" t="s">
        <v>206</v>
      </c>
      <c r="CS2005" s="1" t="s">
        <v>211</v>
      </c>
      <c r="CT2005" s="1" t="s">
        <v>206</v>
      </c>
      <c r="CW2005" s="1" t="s">
        <v>5414</v>
      </c>
      <c r="CX2005" s="1" t="s">
        <v>206</v>
      </c>
      <c r="DA2005" s="1" t="s">
        <v>200</v>
      </c>
      <c r="DC2005" s="1" t="s">
        <v>517</v>
      </c>
      <c r="DE2005" s="1" t="s">
        <v>273</v>
      </c>
      <c r="DF2005" s="1" t="s">
        <v>219</v>
      </c>
      <c r="DH2005" s="1" t="s">
        <v>856</v>
      </c>
      <c r="DJ2005" s="1" t="s">
        <v>857</v>
      </c>
      <c r="DL2005" s="1" t="s">
        <v>223</v>
      </c>
      <c r="DM2005" s="1" t="s">
        <v>229</v>
      </c>
      <c r="DQ2005" s="1" t="s">
        <v>1723</v>
      </c>
      <c r="DR2005" s="1" t="s">
        <v>229</v>
      </c>
      <c r="DV2005" s="1" t="s">
        <v>556</v>
      </c>
      <c r="DW2005" s="1" t="s">
        <v>588</v>
      </c>
      <c r="DX2005" s="1" t="s">
        <v>234</v>
      </c>
      <c r="EC2005" s="1" t="s">
        <v>685</v>
      </c>
      <c r="EG2005" s="1" t="s">
        <v>556</v>
      </c>
      <c r="EL2005" s="1" t="s">
        <v>264</v>
      </c>
      <c r="EM2005" s="1" t="s">
        <v>206</v>
      </c>
      <c r="EQ2005" s="1" t="s">
        <v>238</v>
      </c>
      <c r="EU2005" s="1" t="s">
        <v>238</v>
      </c>
      <c r="EY2005" s="1" t="s">
        <v>238</v>
      </c>
      <c r="FC2005" s="1" t="s">
        <v>238</v>
      </c>
      <c r="FF2005" s="1" t="s">
        <v>239</v>
      </c>
      <c r="FG2005" s="1" t="s">
        <v>192</v>
      </c>
      <c r="FH2005" s="1" t="s">
        <v>192</v>
      </c>
      <c r="FJ2005" s="1" t="s">
        <v>1248</v>
      </c>
      <c r="FK2005" s="1" t="s">
        <v>229</v>
      </c>
      <c r="FL2005" s="1" t="s">
        <v>1007</v>
      </c>
      <c r="FM2005" s="1">
        <v>23286.0</v>
      </c>
      <c r="FN2005" s="1" t="s">
        <v>4221</v>
      </c>
      <c r="FO2005" s="1" t="s">
        <v>9318</v>
      </c>
      <c r="FP2005" s="1">
        <v>223647.0</v>
      </c>
      <c r="FQ2005" s="1" t="s">
        <v>9319</v>
      </c>
      <c r="FR2005" s="1">
        <v>230243.0</v>
      </c>
      <c r="FU2005" s="1" t="s">
        <v>885</v>
      </c>
      <c r="FV2005" s="1" t="s">
        <v>200</v>
      </c>
      <c r="FW2005" s="1" t="s">
        <v>1307</v>
      </c>
      <c r="FZ2005" s="1" t="s">
        <v>229</v>
      </c>
      <c r="GA2005" s="1" t="s">
        <v>291</v>
      </c>
      <c r="GB2005" s="2">
        <v>42118.0</v>
      </c>
      <c r="GC2005" s="1" t="s">
        <v>19080</v>
      </c>
    </row>
    <row r="2006">
      <c r="A2006" s="1">
        <v>257900.0</v>
      </c>
      <c r="B2006" s="1" t="s">
        <v>185</v>
      </c>
      <c r="C2006" s="1" t="str">
        <f>"08739195"</f>
        <v>08739195</v>
      </c>
      <c r="D2006" s="1" t="s">
        <v>186</v>
      </c>
      <c r="F2006" s="1" t="str">
        <f>"119"</f>
        <v>119</v>
      </c>
      <c r="G2006" s="2">
        <v>41908.0</v>
      </c>
      <c r="H2006" s="1">
        <v>264000.0</v>
      </c>
      <c r="I2006" s="1">
        <v>46.0</v>
      </c>
      <c r="J2006" s="1">
        <v>259900.0</v>
      </c>
      <c r="K2006" s="2">
        <v>41953.0</v>
      </c>
      <c r="L2006" s="1">
        <v>46.0</v>
      </c>
      <c r="M2006" s="2">
        <v>41953.0</v>
      </c>
      <c r="N2006" s="1" t="s">
        <v>187</v>
      </c>
      <c r="O2006" s="2">
        <v>41988.0</v>
      </c>
      <c r="P2006" s="1">
        <v>55255.0</v>
      </c>
      <c r="Q2006" s="1">
        <v>5170.0</v>
      </c>
      <c r="S2006" s="1" t="s">
        <v>19081</v>
      </c>
      <c r="T2006" s="1" t="s">
        <v>19082</v>
      </c>
      <c r="U2006" s="1" t="s">
        <v>569</v>
      </c>
      <c r="V2006" s="1" t="s">
        <v>1476</v>
      </c>
      <c r="W2006" s="1">
        <v>60119.0</v>
      </c>
      <c r="Y2006" s="1" t="s">
        <v>19083</v>
      </c>
      <c r="Z2006" s="1">
        <v>1976.0</v>
      </c>
      <c r="AA2006" s="1" t="s">
        <v>192</v>
      </c>
      <c r="AB2006" s="1" t="s">
        <v>193</v>
      </c>
      <c r="AC2006" s="1" t="s">
        <v>19084</v>
      </c>
      <c r="AD2006" s="1" t="s">
        <v>1478</v>
      </c>
      <c r="AE2006" s="1" t="s">
        <v>325</v>
      </c>
      <c r="AF2006" s="1" t="s">
        <v>1479</v>
      </c>
      <c r="AH2006" s="1" t="s">
        <v>19085</v>
      </c>
      <c r="AK2006" s="1">
        <v>9.0</v>
      </c>
      <c r="AL2006" s="1">
        <v>4.0</v>
      </c>
      <c r="AM2006" s="1">
        <v>2.0</v>
      </c>
      <c r="AN2006" s="1">
        <v>1.0</v>
      </c>
      <c r="AO2006" s="1" t="s">
        <v>198</v>
      </c>
      <c r="AP2006" s="1">
        <v>1.0</v>
      </c>
      <c r="AQ2006" s="1" t="s">
        <v>198</v>
      </c>
      <c r="AR2006" s="1" t="s">
        <v>200</v>
      </c>
      <c r="AS2006" s="1" t="s">
        <v>199</v>
      </c>
      <c r="AT2006" s="1">
        <v>2.0</v>
      </c>
      <c r="AV2006" s="1" t="s">
        <v>200</v>
      </c>
      <c r="AW2006" s="1">
        <v>7669.32</v>
      </c>
      <c r="AX2006" s="1">
        <v>2013.0</v>
      </c>
      <c r="AY2006" s="1" t="s">
        <v>387</v>
      </c>
      <c r="AZ2006" s="1" t="s">
        <v>200</v>
      </c>
      <c r="BA2006" s="1" t="str">
        <f>"1120227005"</f>
        <v>1120227005</v>
      </c>
      <c r="BB2006" s="1" t="s">
        <v>200</v>
      </c>
      <c r="BC2006" s="1">
        <v>2184.0</v>
      </c>
      <c r="BD2006" s="1">
        <v>257900.0</v>
      </c>
      <c r="BE2006" s="2">
        <v>41908.0</v>
      </c>
      <c r="BF2006" s="2" t="s">
        <v>19086</v>
      </c>
      <c r="BH2006" s="1">
        <v>215.0</v>
      </c>
      <c r="BK2006" s="1" t="s">
        <v>580</v>
      </c>
      <c r="BL2006" s="1" t="str">
        <f t="shared" ref="BL2006:BM2006" si="1319">""</f>
        <v/>
      </c>
      <c r="BM2006" s="1" t="str">
        <f t="shared" si="1319"/>
        <v/>
      </c>
      <c r="BQ2006" s="1">
        <v>302.0</v>
      </c>
      <c r="BR2006" s="1">
        <v>302.0</v>
      </c>
      <c r="BS2006" s="1">
        <v>302.0</v>
      </c>
      <c r="BU2006" s="1" t="s">
        <v>453</v>
      </c>
      <c r="BV2006" s="1" t="s">
        <v>206</v>
      </c>
      <c r="BW2006" s="1" t="s">
        <v>210</v>
      </c>
      <c r="BX2006" s="1" t="s">
        <v>1549</v>
      </c>
      <c r="BY2006" s="1" t="s">
        <v>205</v>
      </c>
      <c r="BZ2006" s="1" t="s">
        <v>209</v>
      </c>
      <c r="CA2006" s="1" t="s">
        <v>210</v>
      </c>
      <c r="CB2006" s="1" t="s">
        <v>1550</v>
      </c>
      <c r="CC2006" s="1" t="s">
        <v>212</v>
      </c>
      <c r="CD2006" s="1" t="s">
        <v>206</v>
      </c>
      <c r="CE2006" s="1" t="s">
        <v>207</v>
      </c>
      <c r="CF2006" s="1" t="s">
        <v>1549</v>
      </c>
      <c r="CG2006" s="1" t="s">
        <v>331</v>
      </c>
      <c r="CH2006" s="1" t="s">
        <v>209</v>
      </c>
      <c r="CI2006" s="1" t="s">
        <v>210</v>
      </c>
      <c r="CJ2006" s="1" t="s">
        <v>1550</v>
      </c>
      <c r="CK2006" s="1" t="s">
        <v>212</v>
      </c>
      <c r="CL2006" s="1" t="s">
        <v>209</v>
      </c>
      <c r="CM2006" s="1" t="s">
        <v>210</v>
      </c>
      <c r="CN2006" s="1" t="s">
        <v>261</v>
      </c>
      <c r="CO2006" s="1" t="s">
        <v>332</v>
      </c>
      <c r="CP2006" s="1" t="s">
        <v>209</v>
      </c>
      <c r="CQ2006" s="1" t="s">
        <v>210</v>
      </c>
      <c r="CR2006" s="1" t="s">
        <v>1549</v>
      </c>
      <c r="CS2006" s="1" t="s">
        <v>1158</v>
      </c>
      <c r="CT2006" s="1" t="s">
        <v>206</v>
      </c>
      <c r="CU2006" s="1" t="s">
        <v>207</v>
      </c>
      <c r="CV2006" s="1" t="s">
        <v>431</v>
      </c>
      <c r="CW2006" s="1" t="s">
        <v>582</v>
      </c>
      <c r="CX2006" s="1" t="s">
        <v>206</v>
      </c>
      <c r="CY2006" s="1" t="s">
        <v>210</v>
      </c>
      <c r="CZ2006" s="1" t="s">
        <v>431</v>
      </c>
      <c r="DA2006" s="1" t="s">
        <v>200</v>
      </c>
      <c r="DC2006" s="1" t="s">
        <v>395</v>
      </c>
      <c r="DD2006" s="1" t="s">
        <v>396</v>
      </c>
      <c r="DE2006" s="1" t="s">
        <v>273</v>
      </c>
      <c r="DF2006" s="1" t="s">
        <v>219</v>
      </c>
      <c r="DG2006" s="1" t="s">
        <v>19087</v>
      </c>
      <c r="DH2006" s="1" t="s">
        <v>856</v>
      </c>
      <c r="DI2006" s="1" t="s">
        <v>1141</v>
      </c>
      <c r="DJ2006" s="1" t="s">
        <v>857</v>
      </c>
      <c r="DL2006" s="1" t="s">
        <v>224</v>
      </c>
      <c r="DM2006" s="1" t="s">
        <v>338</v>
      </c>
      <c r="DP2006" s="1" t="s">
        <v>340</v>
      </c>
      <c r="DQ2006" s="1" t="s">
        <v>931</v>
      </c>
      <c r="DR2006" s="1" t="s">
        <v>588</v>
      </c>
      <c r="DU2006" s="1" t="s">
        <v>19088</v>
      </c>
      <c r="DV2006" s="1" t="s">
        <v>450</v>
      </c>
      <c r="DW2006" s="1" t="s">
        <v>934</v>
      </c>
      <c r="DX2006" s="1" t="s">
        <v>234</v>
      </c>
      <c r="DY2006" s="1" t="s">
        <v>1051</v>
      </c>
      <c r="DZ2006" s="1" t="s">
        <v>6413</v>
      </c>
      <c r="EB2006" s="1" t="s">
        <v>684</v>
      </c>
      <c r="EC2006" s="1" t="s">
        <v>237</v>
      </c>
      <c r="ED2006" s="1" t="s">
        <v>407</v>
      </c>
      <c r="EG2006" s="1" t="s">
        <v>450</v>
      </c>
      <c r="EL2006" s="1" t="s">
        <v>19089</v>
      </c>
      <c r="EM2006" s="1" t="s">
        <v>42</v>
      </c>
      <c r="EN2006" s="1" t="s">
        <v>210</v>
      </c>
      <c r="EQ2006" s="1" t="s">
        <v>238</v>
      </c>
      <c r="EU2006" s="1" t="s">
        <v>238</v>
      </c>
      <c r="EY2006" s="1" t="s">
        <v>238</v>
      </c>
      <c r="FC2006" s="1" t="s">
        <v>238</v>
      </c>
      <c r="FF2006" s="1" t="s">
        <v>239</v>
      </c>
      <c r="FG2006" s="1" t="s">
        <v>192</v>
      </c>
      <c r="FH2006" s="1" t="s">
        <v>192</v>
      </c>
      <c r="FJ2006" s="1" t="s">
        <v>9306</v>
      </c>
      <c r="FK2006" s="1" t="s">
        <v>229</v>
      </c>
      <c r="FL2006" s="1" t="s">
        <v>456</v>
      </c>
      <c r="FM2006" s="1">
        <v>49.0</v>
      </c>
      <c r="FN2006" s="1" t="s">
        <v>457</v>
      </c>
      <c r="FO2006" s="1" t="s">
        <v>9307</v>
      </c>
      <c r="FP2006" s="1">
        <v>8384.0</v>
      </c>
      <c r="FS2006" s="1" t="s">
        <v>9308</v>
      </c>
      <c r="FU2006" s="1" t="s">
        <v>12519</v>
      </c>
      <c r="FV2006" s="1" t="s">
        <v>200</v>
      </c>
      <c r="FW2006" s="1" t="s">
        <v>290</v>
      </c>
      <c r="FZ2006" s="1" t="s">
        <v>229</v>
      </c>
      <c r="GA2006" s="1" t="s">
        <v>291</v>
      </c>
      <c r="GB2006" s="2">
        <v>41990.0</v>
      </c>
      <c r="GC2006" s="1" t="s">
        <v>19090</v>
      </c>
    </row>
    <row r="2007">
      <c r="A2007" s="1">
        <v>335000.0</v>
      </c>
      <c r="B2007" s="1" t="s">
        <v>185</v>
      </c>
      <c r="C2007" s="1" t="str">
        <f>"08733750"</f>
        <v>08733750</v>
      </c>
      <c r="D2007" s="1" t="s">
        <v>186</v>
      </c>
      <c r="F2007" s="1" t="str">
        <f>"134"</f>
        <v>134</v>
      </c>
      <c r="G2007" s="2">
        <v>41902.0</v>
      </c>
      <c r="H2007" s="1">
        <v>345000.0</v>
      </c>
      <c r="I2007" s="1">
        <v>200.0</v>
      </c>
      <c r="J2007" s="1">
        <v>345000.0</v>
      </c>
      <c r="K2007" s="2">
        <v>42032.0</v>
      </c>
      <c r="L2007" s="1">
        <v>131.0</v>
      </c>
      <c r="M2007" s="2">
        <v>42032.0</v>
      </c>
      <c r="N2007" s="1" t="s">
        <v>356</v>
      </c>
      <c r="O2007" s="2">
        <v>42069.0</v>
      </c>
      <c r="P2007" s="1">
        <v>222085.0</v>
      </c>
      <c r="Q2007" s="1">
        <v>20001.0</v>
      </c>
      <c r="S2007" s="1" t="s">
        <v>19091</v>
      </c>
      <c r="T2007" s="1" t="s">
        <v>19092</v>
      </c>
      <c r="U2007" s="1" t="s">
        <v>569</v>
      </c>
      <c r="V2007" s="1" t="s">
        <v>421</v>
      </c>
      <c r="W2007" s="1">
        <v>60134.0</v>
      </c>
      <c r="Y2007" s="1" t="s">
        <v>19093</v>
      </c>
      <c r="Z2007" s="1">
        <v>2003.0</v>
      </c>
      <c r="AA2007" s="1" t="s">
        <v>200</v>
      </c>
      <c r="AB2007" s="1" t="s">
        <v>193</v>
      </c>
      <c r="AC2007" s="1" t="s">
        <v>1596</v>
      </c>
      <c r="AD2007" s="1" t="s">
        <v>1089</v>
      </c>
      <c r="AE2007" s="1" t="s">
        <v>325</v>
      </c>
      <c r="AF2007" s="1" t="s">
        <v>424</v>
      </c>
      <c r="AH2007" s="1" t="s">
        <v>19094</v>
      </c>
      <c r="AK2007" s="1">
        <v>10.0</v>
      </c>
      <c r="AL2007" s="1">
        <v>4.0</v>
      </c>
      <c r="AM2007" s="1">
        <v>2.0</v>
      </c>
      <c r="AN2007" s="1">
        <v>1.0</v>
      </c>
      <c r="AO2007" s="1" t="s">
        <v>198</v>
      </c>
      <c r="AP2007" s="1">
        <v>1.0</v>
      </c>
      <c r="AQ2007" s="1" t="s">
        <v>198</v>
      </c>
      <c r="AR2007" s="1" t="s">
        <v>200</v>
      </c>
      <c r="AS2007" s="1" t="s">
        <v>199</v>
      </c>
      <c r="AT2007" s="1">
        <v>2.0</v>
      </c>
      <c r="AV2007" s="1" t="s">
        <v>200</v>
      </c>
      <c r="AW2007" s="1">
        <v>9343.0</v>
      </c>
      <c r="AX2007" s="1">
        <v>2013.0</v>
      </c>
      <c r="AY2007" s="1" t="s">
        <v>387</v>
      </c>
      <c r="AZ2007" s="1" t="s">
        <v>200</v>
      </c>
      <c r="BA2007" s="1" t="str">
        <f>"1124205007"</f>
        <v>1124205007</v>
      </c>
      <c r="BB2007" s="1" t="s">
        <v>200</v>
      </c>
      <c r="BC2007" s="1">
        <v>2558.0</v>
      </c>
      <c r="BD2007" s="1">
        <v>335000.0</v>
      </c>
      <c r="BE2007" s="2">
        <v>41902.0</v>
      </c>
      <c r="BF2007" s="2" t="s">
        <v>19095</v>
      </c>
      <c r="BG2007" s="1" t="s">
        <v>3089</v>
      </c>
      <c r="BH2007" s="1">
        <v>0.0</v>
      </c>
      <c r="BI2007" s="1" t="s">
        <v>3090</v>
      </c>
      <c r="BJ2007" s="1" t="s">
        <v>3091</v>
      </c>
      <c r="BK2007" s="1" t="s">
        <v>204</v>
      </c>
      <c r="BL2007" s="1" t="str">
        <f t="shared" ref="BL2007:BM2007" si="1320">"0"</f>
        <v>0</v>
      </c>
      <c r="BM2007" s="1" t="str">
        <f t="shared" si="1320"/>
        <v>0</v>
      </c>
      <c r="BN2007" s="1">
        <v>39.0</v>
      </c>
      <c r="BO2007" s="1">
        <v>1.0</v>
      </c>
      <c r="BQ2007" s="1">
        <v>101.0</v>
      </c>
      <c r="BR2007" s="1">
        <v>101.0</v>
      </c>
      <c r="BS2007" s="1">
        <v>101.0</v>
      </c>
      <c r="BU2007" s="1" t="s">
        <v>1183</v>
      </c>
      <c r="BV2007" s="1" t="s">
        <v>206</v>
      </c>
      <c r="BW2007" s="1" t="s">
        <v>207</v>
      </c>
      <c r="BY2007" s="1" t="s">
        <v>5954</v>
      </c>
      <c r="BZ2007" s="1" t="s">
        <v>209</v>
      </c>
      <c r="CA2007" s="1" t="s">
        <v>210</v>
      </c>
      <c r="CC2007" s="1" t="s">
        <v>1417</v>
      </c>
      <c r="CD2007" s="1" t="s">
        <v>206</v>
      </c>
      <c r="CE2007" s="1" t="s">
        <v>207</v>
      </c>
      <c r="CG2007" s="1" t="s">
        <v>302</v>
      </c>
      <c r="CH2007" s="1" t="s">
        <v>209</v>
      </c>
      <c r="CI2007" s="1" t="s">
        <v>210</v>
      </c>
      <c r="CK2007" s="1" t="s">
        <v>363</v>
      </c>
      <c r="CL2007" s="1" t="s">
        <v>209</v>
      </c>
      <c r="CM2007" s="1" t="s">
        <v>210</v>
      </c>
      <c r="CO2007" s="1" t="s">
        <v>1352</v>
      </c>
      <c r="CP2007" s="1" t="s">
        <v>209</v>
      </c>
      <c r="CQ2007" s="1" t="s">
        <v>210</v>
      </c>
      <c r="CS2007" s="1" t="s">
        <v>5955</v>
      </c>
      <c r="CT2007" s="1" t="s">
        <v>206</v>
      </c>
      <c r="CU2007" s="1" t="s">
        <v>207</v>
      </c>
      <c r="CW2007" s="1" t="s">
        <v>1350</v>
      </c>
      <c r="CX2007" s="1" t="s">
        <v>206</v>
      </c>
      <c r="CY2007" s="1" t="s">
        <v>207</v>
      </c>
      <c r="DA2007" s="1" t="s">
        <v>200</v>
      </c>
      <c r="DC2007" s="1" t="s">
        <v>335</v>
      </c>
      <c r="DD2007" s="1" t="s">
        <v>1838</v>
      </c>
      <c r="DE2007" s="1" t="s">
        <v>273</v>
      </c>
      <c r="DF2007" s="1" t="s">
        <v>219</v>
      </c>
      <c r="DG2007" s="1" t="s">
        <v>19096</v>
      </c>
      <c r="DH2007" s="1" t="s">
        <v>1603</v>
      </c>
      <c r="DI2007" s="1" t="s">
        <v>732</v>
      </c>
      <c r="DJ2007" s="1" t="s">
        <v>222</v>
      </c>
      <c r="DK2007" s="1" t="s">
        <v>198</v>
      </c>
      <c r="DL2007" s="1" t="s">
        <v>858</v>
      </c>
      <c r="DM2007" s="1" t="s">
        <v>929</v>
      </c>
      <c r="DN2007" s="1" t="s">
        <v>2296</v>
      </c>
      <c r="DO2007" s="1" t="s">
        <v>717</v>
      </c>
      <c r="DP2007" s="1" t="s">
        <v>340</v>
      </c>
      <c r="DQ2007" s="1" t="s">
        <v>228</v>
      </c>
      <c r="DR2007" s="1" t="s">
        <v>229</v>
      </c>
      <c r="DS2007" s="1" t="s">
        <v>368</v>
      </c>
      <c r="DU2007" s="1" t="s">
        <v>11106</v>
      </c>
      <c r="DV2007" s="1" t="s">
        <v>1465</v>
      </c>
      <c r="DW2007" s="1" t="s">
        <v>233</v>
      </c>
      <c r="DX2007" s="1" t="s">
        <v>234</v>
      </c>
      <c r="DY2007" s="1" t="s">
        <v>490</v>
      </c>
      <c r="DZ2007" s="1" t="s">
        <v>1661</v>
      </c>
      <c r="EA2007" s="1" t="s">
        <v>344</v>
      </c>
      <c r="EB2007" s="1" t="s">
        <v>492</v>
      </c>
      <c r="EC2007" s="1" t="s">
        <v>237</v>
      </c>
      <c r="ED2007" s="1" t="s">
        <v>555</v>
      </c>
      <c r="EE2007" s="1" t="s">
        <v>493</v>
      </c>
      <c r="EG2007" s="1" t="s">
        <v>450</v>
      </c>
      <c r="EH2007" s="1" t="s">
        <v>1467</v>
      </c>
      <c r="EL2007" s="1" t="s">
        <v>14015</v>
      </c>
      <c r="EM2007" s="1" t="s">
        <v>42</v>
      </c>
      <c r="EN2007" s="1" t="s">
        <v>617</v>
      </c>
      <c r="EP2007" s="1" t="s">
        <v>14788</v>
      </c>
      <c r="EQ2007" s="1" t="s">
        <v>42</v>
      </c>
      <c r="ER2007" s="1" t="s">
        <v>617</v>
      </c>
      <c r="EU2007" s="1" t="s">
        <v>238</v>
      </c>
      <c r="EY2007" s="1" t="s">
        <v>238</v>
      </c>
      <c r="FC2007" s="1" t="s">
        <v>238</v>
      </c>
      <c r="FF2007" s="1" t="s">
        <v>239</v>
      </c>
      <c r="FG2007" s="1" t="s">
        <v>192</v>
      </c>
      <c r="FH2007" s="1" t="s">
        <v>192</v>
      </c>
      <c r="FJ2007" s="1" t="s">
        <v>19097</v>
      </c>
      <c r="FK2007" s="1" t="s">
        <v>229</v>
      </c>
      <c r="FL2007" s="1" t="s">
        <v>3527</v>
      </c>
      <c r="FM2007" s="1">
        <v>464.0</v>
      </c>
      <c r="FN2007" s="1" t="s">
        <v>3528</v>
      </c>
      <c r="FO2007" s="1" t="s">
        <v>3529</v>
      </c>
      <c r="FP2007" s="1">
        <v>1333.0</v>
      </c>
      <c r="FQ2007" s="1" t="s">
        <v>3530</v>
      </c>
      <c r="FR2007" s="1">
        <v>624.0</v>
      </c>
      <c r="FS2007" s="1" t="s">
        <v>3531</v>
      </c>
      <c r="FU2007" s="1" t="s">
        <v>19098</v>
      </c>
      <c r="FV2007" s="1" t="s">
        <v>200</v>
      </c>
      <c r="FW2007" s="1" t="s">
        <v>567</v>
      </c>
      <c r="FX2007" s="1" t="s">
        <v>246</v>
      </c>
      <c r="FZ2007" s="1" t="s">
        <v>504</v>
      </c>
      <c r="GA2007" s="1" t="s">
        <v>291</v>
      </c>
      <c r="GB2007" s="2">
        <v>42071.0</v>
      </c>
    </row>
    <row r="2008">
      <c r="A2008" s="1">
        <v>170000.0</v>
      </c>
      <c r="B2008" s="1" t="s">
        <v>185</v>
      </c>
      <c r="C2008" s="1" t="str">
        <f>"08733038"</f>
        <v>08733038</v>
      </c>
      <c r="D2008" s="1" t="s">
        <v>186</v>
      </c>
      <c r="F2008" s="1" t="str">
        <f>"123"</f>
        <v>123</v>
      </c>
      <c r="G2008" s="2">
        <v>41901.0</v>
      </c>
      <c r="H2008" s="1">
        <v>209900.0</v>
      </c>
      <c r="I2008" s="1">
        <v>123.0</v>
      </c>
      <c r="J2008" s="1">
        <v>189900.0</v>
      </c>
      <c r="K2008" s="2">
        <v>42023.0</v>
      </c>
      <c r="L2008" s="1">
        <v>123.0</v>
      </c>
      <c r="M2008" s="2">
        <v>42023.0</v>
      </c>
      <c r="N2008" s="1" t="s">
        <v>249</v>
      </c>
      <c r="O2008" s="2">
        <v>42041.0</v>
      </c>
      <c r="P2008" s="1">
        <v>70383.0</v>
      </c>
      <c r="Q2008" s="1">
        <v>7480.0</v>
      </c>
      <c r="S2008" s="1">
        <v>16.0</v>
      </c>
      <c r="T2008" s="1" t="s">
        <v>5928</v>
      </c>
      <c r="U2008" s="1" t="s">
        <v>320</v>
      </c>
      <c r="V2008" s="1" t="s">
        <v>465</v>
      </c>
      <c r="W2008" s="1">
        <v>60120.0</v>
      </c>
      <c r="Y2008" s="1" t="s">
        <v>19099</v>
      </c>
      <c r="Z2008" s="1">
        <v>1890.0</v>
      </c>
      <c r="AA2008" s="1" t="s">
        <v>192</v>
      </c>
      <c r="AB2008" s="1" t="s">
        <v>193</v>
      </c>
      <c r="AD2008" s="1" t="s">
        <v>469</v>
      </c>
      <c r="AE2008" s="1" t="s">
        <v>325</v>
      </c>
      <c r="AF2008" s="1" t="s">
        <v>469</v>
      </c>
      <c r="AH2008" s="1" t="s">
        <v>19100</v>
      </c>
      <c r="AI2008" s="1">
        <v>0.2492</v>
      </c>
      <c r="AK2008" s="1">
        <v>8.0</v>
      </c>
      <c r="AL2008" s="1">
        <v>4.0</v>
      </c>
      <c r="AM2008" s="1">
        <v>2.0</v>
      </c>
      <c r="AN2008" s="1">
        <v>1.0</v>
      </c>
      <c r="AO2008" s="1" t="s">
        <v>229</v>
      </c>
      <c r="AP2008" s="1">
        <v>2.0</v>
      </c>
      <c r="AQ2008" s="1" t="s">
        <v>198</v>
      </c>
      <c r="AR2008" s="1" t="s">
        <v>200</v>
      </c>
      <c r="AS2008" s="1" t="s">
        <v>199</v>
      </c>
      <c r="AT2008" s="1">
        <v>3.0</v>
      </c>
      <c r="AV2008" s="1" t="s">
        <v>200</v>
      </c>
      <c r="AW2008" s="4">
        <v>4786.58</v>
      </c>
      <c r="AX2008" s="1">
        <v>2013.0</v>
      </c>
      <c r="AY2008" s="1" t="s">
        <v>387</v>
      </c>
      <c r="AZ2008" s="1" t="s">
        <v>200</v>
      </c>
      <c r="BA2008" s="1" t="str">
        <f>"0613262009"</f>
        <v>0613262009</v>
      </c>
      <c r="BC2008" s="1">
        <v>2138.0</v>
      </c>
      <c r="BD2008" s="1">
        <v>170000.0</v>
      </c>
      <c r="BE2008" s="2">
        <v>41901.0</v>
      </c>
      <c r="BF2008" s="2" t="s">
        <v>19101</v>
      </c>
      <c r="BH2008" s="1">
        <v>0.0</v>
      </c>
      <c r="BK2008" s="1" t="s">
        <v>204</v>
      </c>
      <c r="BL2008" s="1" t="str">
        <f>"12"</f>
        <v>12</v>
      </c>
      <c r="BM2008" s="1" t="str">
        <f>"0"</f>
        <v>0</v>
      </c>
      <c r="BN2008" s="1">
        <v>33.0</v>
      </c>
      <c r="BO2008" s="1">
        <v>0.0</v>
      </c>
      <c r="BQ2008" s="1">
        <v>46.0</v>
      </c>
      <c r="BR2008" s="1">
        <v>46.0</v>
      </c>
      <c r="BS2008" s="1">
        <v>46.0</v>
      </c>
      <c r="BU2008" s="1" t="s">
        <v>616</v>
      </c>
      <c r="BV2008" s="1" t="s">
        <v>206</v>
      </c>
      <c r="BW2008" s="1" t="s">
        <v>207</v>
      </c>
      <c r="BY2008" s="1" t="s">
        <v>1483</v>
      </c>
      <c r="BZ2008" s="1" t="s">
        <v>209</v>
      </c>
      <c r="CA2008" s="1" t="s">
        <v>207</v>
      </c>
      <c r="CC2008" s="1" t="s">
        <v>582</v>
      </c>
      <c r="CD2008" s="1" t="s">
        <v>206</v>
      </c>
      <c r="CE2008" s="1" t="s">
        <v>207</v>
      </c>
      <c r="CG2008" s="1" t="s">
        <v>329</v>
      </c>
      <c r="CH2008" s="1" t="s">
        <v>209</v>
      </c>
      <c r="CI2008" s="1" t="s">
        <v>207</v>
      </c>
      <c r="CK2008" s="1" t="s">
        <v>212</v>
      </c>
      <c r="CL2008" s="1" t="s">
        <v>209</v>
      </c>
      <c r="CM2008" s="1" t="s">
        <v>207</v>
      </c>
      <c r="CO2008" s="1" t="s">
        <v>393</v>
      </c>
      <c r="CP2008" s="1" t="s">
        <v>209</v>
      </c>
      <c r="CQ2008" s="1" t="s">
        <v>207</v>
      </c>
      <c r="CS2008" s="1" t="s">
        <v>214</v>
      </c>
      <c r="CT2008" s="1" t="s">
        <v>206</v>
      </c>
      <c r="CU2008" s="1" t="s">
        <v>207</v>
      </c>
      <c r="CW2008" s="1" t="s">
        <v>1483</v>
      </c>
      <c r="CX2008" s="1" t="s">
        <v>206</v>
      </c>
      <c r="CY2008" s="1" t="s">
        <v>207</v>
      </c>
      <c r="DA2008" s="1" t="s">
        <v>200</v>
      </c>
      <c r="DC2008" s="1" t="s">
        <v>642</v>
      </c>
      <c r="DD2008" s="1" t="s">
        <v>518</v>
      </c>
      <c r="DE2008" s="1" t="s">
        <v>1905</v>
      </c>
      <c r="DF2008" s="1" t="s">
        <v>219</v>
      </c>
      <c r="DH2008" s="1" t="s">
        <v>220</v>
      </c>
      <c r="DI2008" s="1" t="s">
        <v>1223</v>
      </c>
      <c r="DJ2008" s="1" t="s">
        <v>222</v>
      </c>
      <c r="DL2008" s="1" t="s">
        <v>223</v>
      </c>
      <c r="DM2008" s="1" t="s">
        <v>338</v>
      </c>
      <c r="DP2008" s="1" t="s">
        <v>340</v>
      </c>
      <c r="DQ2008" s="1" t="s">
        <v>228</v>
      </c>
      <c r="DR2008" s="1" t="s">
        <v>229</v>
      </c>
      <c r="DU2008" s="1" t="s">
        <v>2070</v>
      </c>
      <c r="DV2008" s="1" t="s">
        <v>19102</v>
      </c>
      <c r="DW2008" s="1" t="s">
        <v>19103</v>
      </c>
      <c r="DX2008" s="1" t="s">
        <v>234</v>
      </c>
      <c r="DY2008" s="1" t="s">
        <v>704</v>
      </c>
      <c r="DZ2008" s="1" t="s">
        <v>3564</v>
      </c>
      <c r="EA2008" s="1" t="s">
        <v>3112</v>
      </c>
      <c r="EB2008" s="1" t="s">
        <v>8204</v>
      </c>
      <c r="EC2008" s="1" t="s">
        <v>237</v>
      </c>
      <c r="EE2008" s="1" t="s">
        <v>493</v>
      </c>
      <c r="EG2008" s="1" t="s">
        <v>2129</v>
      </c>
      <c r="EH2008" s="1" t="s">
        <v>408</v>
      </c>
      <c r="EL2008" s="1" t="s">
        <v>19104</v>
      </c>
      <c r="EM2008" s="1" t="s">
        <v>206</v>
      </c>
      <c r="EN2008" s="1" t="s">
        <v>588</v>
      </c>
      <c r="EP2008" s="1" t="s">
        <v>19105</v>
      </c>
      <c r="EQ2008" s="1" t="s">
        <v>206</v>
      </c>
      <c r="ER2008" s="1" t="s">
        <v>207</v>
      </c>
      <c r="EU2008" s="1" t="s">
        <v>238</v>
      </c>
      <c r="EY2008" s="1" t="s">
        <v>238</v>
      </c>
      <c r="FC2008" s="1" t="s">
        <v>238</v>
      </c>
      <c r="FF2008" s="1" t="s">
        <v>239</v>
      </c>
      <c r="FG2008" s="1" t="s">
        <v>192</v>
      </c>
      <c r="FH2008" s="1" t="s">
        <v>192</v>
      </c>
      <c r="FJ2008" s="1" t="s">
        <v>2552</v>
      </c>
      <c r="FK2008" s="1" t="s">
        <v>348</v>
      </c>
      <c r="FL2008" s="1" t="s">
        <v>1451</v>
      </c>
      <c r="FM2008" s="1">
        <v>7450.0</v>
      </c>
      <c r="FN2008" s="1" t="s">
        <v>1452</v>
      </c>
      <c r="FO2008" s="1" t="s">
        <v>5583</v>
      </c>
      <c r="FP2008" s="1">
        <v>70036.0</v>
      </c>
      <c r="FQ2008" s="1" t="s">
        <v>5584</v>
      </c>
      <c r="FR2008" s="1">
        <v>77640.0</v>
      </c>
      <c r="FU2008" s="1" t="s">
        <v>5585</v>
      </c>
      <c r="FV2008" s="1" t="s">
        <v>200</v>
      </c>
      <c r="FW2008" s="1" t="s">
        <v>290</v>
      </c>
      <c r="FX2008" s="1" t="s">
        <v>238</v>
      </c>
      <c r="FZ2008" s="1" t="s">
        <v>632</v>
      </c>
      <c r="GA2008" s="1" t="s">
        <v>291</v>
      </c>
      <c r="GB2008" s="2">
        <v>42041.0</v>
      </c>
      <c r="GC2008" s="1" t="s">
        <v>19106</v>
      </c>
    </row>
    <row r="2009">
      <c r="A2009" s="1">
        <v>215900.0</v>
      </c>
      <c r="B2009" s="1" t="s">
        <v>185</v>
      </c>
      <c r="C2009" s="1" t="str">
        <f>"08735247"</f>
        <v>08735247</v>
      </c>
      <c r="D2009" s="1" t="s">
        <v>186</v>
      </c>
      <c r="F2009" s="1" t="str">
        <f>"140"</f>
        <v>140</v>
      </c>
      <c r="G2009" s="2">
        <v>41905.0</v>
      </c>
      <c r="H2009" s="1">
        <v>246900.0</v>
      </c>
      <c r="I2009" s="1">
        <v>99.0</v>
      </c>
      <c r="J2009" s="1">
        <v>219900.0</v>
      </c>
      <c r="K2009" s="2">
        <v>42002.0</v>
      </c>
      <c r="L2009" s="1">
        <v>99.0</v>
      </c>
      <c r="M2009" s="2">
        <v>42002.0</v>
      </c>
      <c r="N2009" s="1" t="s">
        <v>356</v>
      </c>
      <c r="O2009" s="2">
        <v>42048.0</v>
      </c>
      <c r="P2009" s="1">
        <v>237561.0</v>
      </c>
      <c r="Q2009" s="1">
        <v>1666.0</v>
      </c>
      <c r="S2009" s="1">
        <v>892.0</v>
      </c>
      <c r="T2009" s="1" t="s">
        <v>19107</v>
      </c>
      <c r="U2009" s="1" t="s">
        <v>320</v>
      </c>
      <c r="V2009" s="1" t="s">
        <v>4858</v>
      </c>
      <c r="W2009" s="1">
        <v>60140.0</v>
      </c>
      <c r="Y2009" s="1" t="s">
        <v>19108</v>
      </c>
      <c r="Z2009" s="1">
        <v>2005.0</v>
      </c>
      <c r="AA2009" s="1" t="s">
        <v>200</v>
      </c>
      <c r="AB2009" s="1" t="s">
        <v>467</v>
      </c>
      <c r="AD2009" s="1" t="s">
        <v>4860</v>
      </c>
      <c r="AE2009" s="1" t="s">
        <v>325</v>
      </c>
      <c r="AF2009" s="1" t="s">
        <v>3429</v>
      </c>
      <c r="AH2009" s="1" t="s">
        <v>19109</v>
      </c>
      <c r="AI2009" s="1">
        <v>0.18</v>
      </c>
      <c r="AK2009" s="1">
        <v>8.0</v>
      </c>
      <c r="AL2009" s="1">
        <v>4.0</v>
      </c>
      <c r="AM2009" s="1">
        <v>2.0</v>
      </c>
      <c r="AN2009" s="1">
        <v>1.0</v>
      </c>
      <c r="AO2009" s="1" t="s">
        <v>198</v>
      </c>
      <c r="AP2009" s="1">
        <v>1.0</v>
      </c>
      <c r="AQ2009" s="1" t="s">
        <v>198</v>
      </c>
      <c r="AR2009" s="1" t="s">
        <v>200</v>
      </c>
      <c r="AS2009" s="1" t="s">
        <v>199</v>
      </c>
      <c r="AT2009" s="1">
        <v>2.0</v>
      </c>
      <c r="AV2009" s="1" t="s">
        <v>200</v>
      </c>
      <c r="AW2009" s="1">
        <v>10026.58</v>
      </c>
      <c r="AX2009" s="1">
        <v>2013.0</v>
      </c>
      <c r="AZ2009" s="1" t="s">
        <v>192</v>
      </c>
      <c r="BA2009" s="1" t="str">
        <f>"0233101014"</f>
        <v>0233101014</v>
      </c>
      <c r="BB2009" s="1" t="s">
        <v>200</v>
      </c>
      <c r="BC2009" s="1">
        <v>3076.0</v>
      </c>
      <c r="BD2009" s="1">
        <v>215900.0</v>
      </c>
      <c r="BE2009" s="2">
        <v>41904.0</v>
      </c>
      <c r="BF2009" s="2" t="s">
        <v>19110</v>
      </c>
      <c r="BH2009" s="1">
        <v>60.0</v>
      </c>
      <c r="BK2009" s="1" t="s">
        <v>474</v>
      </c>
      <c r="BL2009" s="1" t="str">
        <f t="shared" ref="BL2009:BM2009" si="1321">""</f>
        <v/>
      </c>
      <c r="BM2009" s="1" t="str">
        <f t="shared" si="1321"/>
        <v/>
      </c>
      <c r="BQ2009" s="1">
        <v>300.0</v>
      </c>
      <c r="BR2009" s="1">
        <v>300.0</v>
      </c>
      <c r="BS2009" s="1">
        <v>300.0</v>
      </c>
      <c r="BU2009" s="1" t="s">
        <v>830</v>
      </c>
      <c r="BV2009" s="1" t="s">
        <v>206</v>
      </c>
      <c r="BW2009" s="1" t="s">
        <v>210</v>
      </c>
      <c r="BY2009" s="1" t="s">
        <v>2900</v>
      </c>
      <c r="BZ2009" s="1" t="s">
        <v>209</v>
      </c>
      <c r="CA2009" s="1" t="s">
        <v>210</v>
      </c>
      <c r="CC2009" s="1" t="s">
        <v>1417</v>
      </c>
      <c r="CD2009" s="1" t="s">
        <v>206</v>
      </c>
      <c r="CE2009" s="1" t="s">
        <v>210</v>
      </c>
      <c r="CG2009" s="1" t="s">
        <v>1043</v>
      </c>
      <c r="CH2009" s="1" t="s">
        <v>209</v>
      </c>
      <c r="CI2009" s="1" t="s">
        <v>210</v>
      </c>
      <c r="CK2009" s="1" t="s">
        <v>1043</v>
      </c>
      <c r="CL2009" s="1" t="s">
        <v>209</v>
      </c>
      <c r="CM2009" s="1" t="s">
        <v>210</v>
      </c>
      <c r="CO2009" s="1" t="s">
        <v>1397</v>
      </c>
      <c r="CP2009" s="1" t="s">
        <v>209</v>
      </c>
      <c r="CQ2009" s="1" t="s">
        <v>210</v>
      </c>
      <c r="CS2009" s="1" t="s">
        <v>7781</v>
      </c>
      <c r="CT2009" s="1" t="s">
        <v>206</v>
      </c>
      <c r="CU2009" s="1" t="s">
        <v>268</v>
      </c>
      <c r="CW2009" s="1" t="s">
        <v>2900</v>
      </c>
      <c r="CX2009" s="1" t="s">
        <v>206</v>
      </c>
      <c r="CY2009" s="1" t="s">
        <v>210</v>
      </c>
      <c r="DA2009" s="1" t="s">
        <v>200</v>
      </c>
      <c r="DC2009" s="1" t="s">
        <v>481</v>
      </c>
      <c r="DE2009" s="1" t="s">
        <v>273</v>
      </c>
      <c r="DF2009" s="1" t="s">
        <v>619</v>
      </c>
      <c r="DH2009" s="1" t="s">
        <v>220</v>
      </c>
      <c r="DJ2009" s="1" t="s">
        <v>222</v>
      </c>
      <c r="DL2009" s="1" t="s">
        <v>223</v>
      </c>
      <c r="DM2009" s="1" t="s">
        <v>229</v>
      </c>
      <c r="DQ2009" s="1" t="s">
        <v>228</v>
      </c>
      <c r="DR2009" s="1" t="s">
        <v>2593</v>
      </c>
      <c r="DV2009" s="1" t="s">
        <v>232</v>
      </c>
      <c r="DW2009" s="1" t="s">
        <v>233</v>
      </c>
      <c r="DX2009" s="1" t="s">
        <v>234</v>
      </c>
      <c r="EC2009" s="1" t="s">
        <v>237</v>
      </c>
      <c r="EM2009" s="1" t="s">
        <v>238</v>
      </c>
      <c r="EQ2009" s="1" t="s">
        <v>238</v>
      </c>
      <c r="EU2009" s="1" t="s">
        <v>238</v>
      </c>
      <c r="EY2009" s="1" t="s">
        <v>238</v>
      </c>
      <c r="FC2009" s="1" t="s">
        <v>238</v>
      </c>
      <c r="FF2009" s="1" t="s">
        <v>239</v>
      </c>
      <c r="FG2009" s="1" t="s">
        <v>192</v>
      </c>
      <c r="FH2009" s="1" t="s">
        <v>192</v>
      </c>
      <c r="FJ2009" s="1" t="s">
        <v>347</v>
      </c>
      <c r="FK2009" s="1" t="s">
        <v>348</v>
      </c>
      <c r="FL2009" s="1" t="s">
        <v>349</v>
      </c>
      <c r="FM2009" s="1">
        <v>93162.0</v>
      </c>
      <c r="FN2009" s="1" t="s">
        <v>350</v>
      </c>
      <c r="FO2009" s="1" t="s">
        <v>351</v>
      </c>
      <c r="FP2009" s="1">
        <v>931530.0</v>
      </c>
      <c r="FS2009" s="1" t="s">
        <v>352</v>
      </c>
      <c r="FU2009" s="1" t="s">
        <v>353</v>
      </c>
      <c r="FV2009" s="1" t="s">
        <v>200</v>
      </c>
      <c r="FW2009" s="1" t="s">
        <v>354</v>
      </c>
      <c r="FZ2009" s="1" t="s">
        <v>229</v>
      </c>
      <c r="GA2009" s="1" t="s">
        <v>291</v>
      </c>
      <c r="GB2009" s="2">
        <v>42051.0</v>
      </c>
      <c r="GC2009" s="1" t="s">
        <v>19111</v>
      </c>
    </row>
    <row r="2010">
      <c r="A2010" s="1">
        <v>1227500.0</v>
      </c>
      <c r="B2010" s="1" t="s">
        <v>185</v>
      </c>
      <c r="C2010" s="1" t="str">
        <f>"08741852"</f>
        <v>08741852</v>
      </c>
      <c r="D2010" s="1" t="s">
        <v>186</v>
      </c>
      <c r="F2010" s="1" t="str">
        <f>"8005"</f>
        <v>8005</v>
      </c>
      <c r="G2010" s="2">
        <v>41913.0</v>
      </c>
      <c r="H2010" s="1">
        <v>1299000.0</v>
      </c>
      <c r="I2010" s="1">
        <v>122.0</v>
      </c>
      <c r="J2010" s="1">
        <v>1249000.0</v>
      </c>
      <c r="K2010" s="2">
        <v>42033.0</v>
      </c>
      <c r="L2010" s="1">
        <v>122.0</v>
      </c>
      <c r="M2010" s="2">
        <v>42033.0</v>
      </c>
      <c r="N2010" s="1" t="s">
        <v>187</v>
      </c>
      <c r="O2010" s="2">
        <v>42060.0</v>
      </c>
      <c r="P2010" s="1">
        <v>106419.0</v>
      </c>
      <c r="Q2010" s="1">
        <v>12695.0</v>
      </c>
      <c r="R2010" s="1">
        <v>1500.0</v>
      </c>
      <c r="S2010" s="1">
        <v>3120.0</v>
      </c>
      <c r="T2010" s="1" t="s">
        <v>8951</v>
      </c>
      <c r="U2010" s="1" t="s">
        <v>320</v>
      </c>
      <c r="V2010" s="1" t="s">
        <v>190</v>
      </c>
      <c r="W2010" s="1">
        <v>60618.0</v>
      </c>
      <c r="Y2010" s="1" t="s">
        <v>19112</v>
      </c>
      <c r="Z2010" s="1">
        <v>1997.0</v>
      </c>
      <c r="AA2010" s="1" t="s">
        <v>200</v>
      </c>
      <c r="AB2010" s="1" t="s">
        <v>193</v>
      </c>
      <c r="AD2010" s="1" t="s">
        <v>194</v>
      </c>
      <c r="AE2010" s="1" t="s">
        <v>195</v>
      </c>
      <c r="AF2010" s="1" t="s">
        <v>534</v>
      </c>
      <c r="AH2010" s="1" t="s">
        <v>9060</v>
      </c>
      <c r="AI2010" s="1">
        <v>0.1076</v>
      </c>
      <c r="AK2010" s="1">
        <v>8.0</v>
      </c>
      <c r="AL2010" s="1">
        <v>3.0</v>
      </c>
      <c r="AM2010" s="1">
        <v>3.0</v>
      </c>
      <c r="AN2010" s="1">
        <v>1.0</v>
      </c>
      <c r="AO2010" s="1" t="s">
        <v>198</v>
      </c>
      <c r="AP2010" s="1">
        <v>2.0</v>
      </c>
      <c r="AQ2010" s="1" t="s">
        <v>198</v>
      </c>
      <c r="AR2010" s="1" t="s">
        <v>192</v>
      </c>
      <c r="AS2010" s="1" t="s">
        <v>199</v>
      </c>
      <c r="AT2010" s="1">
        <v>3.0</v>
      </c>
      <c r="AV2010" s="1" t="s">
        <v>200</v>
      </c>
      <c r="AW2010" s="1">
        <v>17507.14</v>
      </c>
      <c r="AX2010" s="1">
        <v>2013.0</v>
      </c>
      <c r="AZ2010" s="1" t="s">
        <v>200</v>
      </c>
      <c r="BA2010" s="1" t="str">
        <f>"14301040490000"</f>
        <v>14301040490000</v>
      </c>
      <c r="BC2010" s="1">
        <v>0.0</v>
      </c>
      <c r="BD2010" s="1">
        <v>1227500.0</v>
      </c>
      <c r="BE2010" s="2">
        <v>41912.0</v>
      </c>
      <c r="BF2010" s="2" t="s">
        <v>19113</v>
      </c>
      <c r="BH2010" s="1">
        <v>0.0</v>
      </c>
      <c r="BK2010" s="1" t="s">
        <v>204</v>
      </c>
      <c r="BL2010" s="1" t="str">
        <f>"3120"</f>
        <v>3120</v>
      </c>
      <c r="BM2010" s="1" t="str">
        <f>"0"</f>
        <v>0</v>
      </c>
      <c r="BN2010" s="1">
        <v>2200.0</v>
      </c>
      <c r="BO2010" s="1">
        <v>0.0</v>
      </c>
      <c r="BQ2010" s="1">
        <v>299.0</v>
      </c>
      <c r="BR2010" s="1">
        <v>299.0</v>
      </c>
      <c r="BS2010" s="1">
        <v>299.0</v>
      </c>
      <c r="BU2010" s="1" t="s">
        <v>1483</v>
      </c>
      <c r="BV2010" s="1" t="s">
        <v>206</v>
      </c>
      <c r="BW2010" s="1" t="s">
        <v>207</v>
      </c>
      <c r="BY2010" s="1" t="s">
        <v>2749</v>
      </c>
      <c r="BZ2010" s="1" t="s">
        <v>209</v>
      </c>
      <c r="CA2010" s="1" t="s">
        <v>207</v>
      </c>
      <c r="CC2010" s="1" t="s">
        <v>758</v>
      </c>
      <c r="CD2010" s="1" t="s">
        <v>206</v>
      </c>
      <c r="CE2010" s="1" t="s">
        <v>207</v>
      </c>
      <c r="CG2010" s="1" t="s">
        <v>215</v>
      </c>
      <c r="CH2010" s="1" t="s">
        <v>209</v>
      </c>
      <c r="CI2010" s="1" t="s">
        <v>210</v>
      </c>
      <c r="CK2010" s="1" t="s">
        <v>363</v>
      </c>
      <c r="CL2010" s="1" t="s">
        <v>209</v>
      </c>
      <c r="CM2010" s="1" t="s">
        <v>210</v>
      </c>
      <c r="CO2010" s="1" t="s">
        <v>393</v>
      </c>
      <c r="CP2010" s="1" t="s">
        <v>42</v>
      </c>
      <c r="CQ2010" s="1" t="s">
        <v>210</v>
      </c>
      <c r="CS2010" s="1" t="s">
        <v>2565</v>
      </c>
      <c r="CT2010" s="1" t="s">
        <v>206</v>
      </c>
      <c r="CU2010" s="1" t="s">
        <v>207</v>
      </c>
      <c r="CW2010" s="1" t="s">
        <v>2675</v>
      </c>
      <c r="CX2010" s="1" t="s">
        <v>206</v>
      </c>
      <c r="CY2010" s="1" t="s">
        <v>207</v>
      </c>
      <c r="DA2010" s="1" t="s">
        <v>200</v>
      </c>
      <c r="DC2010" s="1" t="s">
        <v>678</v>
      </c>
      <c r="DE2010" s="1" t="s">
        <v>1810</v>
      </c>
      <c r="DF2010" s="1" t="s">
        <v>3751</v>
      </c>
      <c r="DG2010" s="1" t="s">
        <v>19114</v>
      </c>
      <c r="DH2010" s="1" t="s">
        <v>365</v>
      </c>
      <c r="DJ2010" s="1" t="s">
        <v>588</v>
      </c>
      <c r="DL2010" s="1" t="s">
        <v>224</v>
      </c>
      <c r="DM2010" s="1" t="s">
        <v>229</v>
      </c>
      <c r="DN2010" s="1" t="s">
        <v>19115</v>
      </c>
      <c r="DQ2010" s="1" t="s">
        <v>794</v>
      </c>
      <c r="DR2010" s="1" t="s">
        <v>229</v>
      </c>
      <c r="DV2010" s="1" t="s">
        <v>232</v>
      </c>
      <c r="DW2010" s="1" t="s">
        <v>279</v>
      </c>
      <c r="DX2010" s="1" t="s">
        <v>234</v>
      </c>
      <c r="DY2010" s="1" t="s">
        <v>4490</v>
      </c>
      <c r="DZ2010" s="1" t="s">
        <v>310</v>
      </c>
      <c r="EB2010" s="1" t="s">
        <v>684</v>
      </c>
      <c r="EC2010" s="1" t="s">
        <v>237</v>
      </c>
      <c r="EM2010" s="1" t="s">
        <v>238</v>
      </c>
      <c r="EQ2010" s="1" t="s">
        <v>238</v>
      </c>
      <c r="EU2010" s="1" t="s">
        <v>238</v>
      </c>
      <c r="EY2010" s="1" t="s">
        <v>238</v>
      </c>
      <c r="FC2010" s="1" t="s">
        <v>238</v>
      </c>
      <c r="FF2010" s="1" t="s">
        <v>239</v>
      </c>
      <c r="FG2010" s="1" t="s">
        <v>192</v>
      </c>
      <c r="FH2010" s="1" t="s">
        <v>192</v>
      </c>
      <c r="FJ2010" s="1" t="s">
        <v>2427</v>
      </c>
      <c r="FK2010" s="1" t="s">
        <v>229</v>
      </c>
      <c r="FL2010" s="1" t="s">
        <v>19116</v>
      </c>
      <c r="FM2010" s="1">
        <v>85068.0</v>
      </c>
      <c r="FN2010" s="1" t="s">
        <v>19117</v>
      </c>
      <c r="FO2010" s="1" t="s">
        <v>19118</v>
      </c>
      <c r="FP2010" s="1">
        <v>172882.0</v>
      </c>
      <c r="FQ2010" s="1" t="s">
        <v>19117</v>
      </c>
      <c r="FU2010" s="1" t="s">
        <v>19119</v>
      </c>
      <c r="FV2010" s="1" t="s">
        <v>192</v>
      </c>
      <c r="FW2010" s="1" t="s">
        <v>290</v>
      </c>
      <c r="FX2010" s="1" t="s">
        <v>238</v>
      </c>
      <c r="FZ2010" s="1" t="s">
        <v>229</v>
      </c>
      <c r="GA2010" s="1" t="s">
        <v>291</v>
      </c>
      <c r="GB2010" s="2">
        <v>42065.0</v>
      </c>
      <c r="GC2010" s="1" t="s">
        <v>19120</v>
      </c>
    </row>
    <row r="2011">
      <c r="A2011" s="1">
        <v>449900.0</v>
      </c>
      <c r="B2011" s="1" t="s">
        <v>185</v>
      </c>
      <c r="C2011" s="1" t="str">
        <f>"08732175"</f>
        <v>08732175</v>
      </c>
      <c r="D2011" s="1" t="s">
        <v>186</v>
      </c>
      <c r="F2011" s="1" t="str">
        <f>"174"</f>
        <v>174</v>
      </c>
      <c r="G2011" s="2">
        <v>41900.0</v>
      </c>
      <c r="H2011" s="1">
        <v>550000.0</v>
      </c>
      <c r="I2011" s="1">
        <v>141.0</v>
      </c>
      <c r="J2011" s="1">
        <v>449900.0</v>
      </c>
      <c r="K2011" s="2">
        <v>42039.0</v>
      </c>
      <c r="L2011" s="1">
        <v>141.0</v>
      </c>
      <c r="M2011" s="2">
        <v>42039.0</v>
      </c>
      <c r="N2011" s="1" t="s">
        <v>187</v>
      </c>
      <c r="O2011" s="2">
        <v>42069.0</v>
      </c>
      <c r="P2011" s="1">
        <v>230500.0</v>
      </c>
      <c r="Q2011" s="1">
        <v>23591.0</v>
      </c>
      <c r="S2011" s="1">
        <v>3804.0</v>
      </c>
      <c r="T2011" s="1" t="s">
        <v>15159</v>
      </c>
      <c r="U2011" s="1" t="s">
        <v>464</v>
      </c>
      <c r="V2011" s="1" t="s">
        <v>1200</v>
      </c>
      <c r="W2011" s="1">
        <v>60175.0</v>
      </c>
      <c r="Y2011" s="1" t="s">
        <v>19121</v>
      </c>
      <c r="Z2011" s="1">
        <v>2000.0</v>
      </c>
      <c r="AA2011" s="1" t="s">
        <v>200</v>
      </c>
      <c r="AB2011" s="1" t="s">
        <v>193</v>
      </c>
      <c r="AC2011" s="1" t="s">
        <v>15161</v>
      </c>
      <c r="AD2011" s="1" t="s">
        <v>1203</v>
      </c>
      <c r="AE2011" s="1" t="s">
        <v>325</v>
      </c>
      <c r="AF2011" s="1" t="s">
        <v>1203</v>
      </c>
      <c r="AH2011" s="1" t="s">
        <v>19122</v>
      </c>
      <c r="AK2011" s="1">
        <v>9.0</v>
      </c>
      <c r="AL2011" s="1">
        <v>4.0</v>
      </c>
      <c r="AM2011" s="1">
        <v>4.0</v>
      </c>
      <c r="AN2011" s="1">
        <v>1.0</v>
      </c>
      <c r="AO2011" s="1" t="s">
        <v>198</v>
      </c>
      <c r="AP2011" s="1">
        <v>2.0</v>
      </c>
      <c r="AQ2011" s="1" t="s">
        <v>198</v>
      </c>
      <c r="AR2011" s="1" t="s">
        <v>192</v>
      </c>
      <c r="AS2011" s="1" t="s">
        <v>199</v>
      </c>
      <c r="AT2011" s="1">
        <v>3.0</v>
      </c>
      <c r="AV2011" s="1" t="s">
        <v>200</v>
      </c>
      <c r="AW2011" s="1">
        <v>15147.26</v>
      </c>
      <c r="AX2011" s="1">
        <v>2012.0</v>
      </c>
      <c r="AZ2011" s="1" t="s">
        <v>545</v>
      </c>
      <c r="BA2011" s="1" t="str">
        <f>"0916252005"</f>
        <v>0916252005</v>
      </c>
      <c r="BC2011" s="1">
        <v>3745.0</v>
      </c>
      <c r="BD2011" s="1">
        <v>449900.0</v>
      </c>
      <c r="BE2011" s="2">
        <v>41899.0</v>
      </c>
      <c r="BF2011" s="2" t="s">
        <v>19123</v>
      </c>
      <c r="BH2011" s="1">
        <v>0.0</v>
      </c>
      <c r="BK2011" s="1" t="s">
        <v>204</v>
      </c>
      <c r="BL2011" s="1" t="str">
        <f t="shared" ref="BL2011:BM2011" si="1322">""</f>
        <v/>
      </c>
      <c r="BM2011" s="1" t="str">
        <f t="shared" si="1322"/>
        <v/>
      </c>
      <c r="BQ2011" s="1">
        <v>303.0</v>
      </c>
      <c r="BR2011" s="1">
        <v>303.0</v>
      </c>
      <c r="BS2011" s="1">
        <v>303.0</v>
      </c>
      <c r="BU2011" s="1" t="s">
        <v>584</v>
      </c>
      <c r="BV2011" s="1" t="s">
        <v>206</v>
      </c>
      <c r="BY2011" s="1" t="s">
        <v>1892</v>
      </c>
      <c r="BZ2011" s="1" t="s">
        <v>209</v>
      </c>
      <c r="CC2011" s="1" t="s">
        <v>393</v>
      </c>
      <c r="CD2011" s="1" t="s">
        <v>206</v>
      </c>
      <c r="CG2011" s="1" t="s">
        <v>743</v>
      </c>
      <c r="CH2011" s="1" t="s">
        <v>209</v>
      </c>
      <c r="CK2011" s="1" t="s">
        <v>584</v>
      </c>
      <c r="CL2011" s="1" t="s">
        <v>209</v>
      </c>
      <c r="CO2011" s="1" t="s">
        <v>212</v>
      </c>
      <c r="CP2011" s="1" t="s">
        <v>209</v>
      </c>
      <c r="CS2011" s="1" t="s">
        <v>479</v>
      </c>
      <c r="CT2011" s="1" t="s">
        <v>206</v>
      </c>
      <c r="CU2011" s="1" t="s">
        <v>207</v>
      </c>
      <c r="CW2011" s="1" t="s">
        <v>3475</v>
      </c>
      <c r="CX2011" s="1" t="s">
        <v>206</v>
      </c>
      <c r="DA2011" s="1" t="s">
        <v>200</v>
      </c>
      <c r="DC2011" s="1" t="s">
        <v>335</v>
      </c>
      <c r="DE2011" s="1" t="s">
        <v>273</v>
      </c>
      <c r="DF2011" s="1" t="s">
        <v>219</v>
      </c>
      <c r="DH2011" s="1" t="s">
        <v>220</v>
      </c>
      <c r="DJ2011" s="1" t="s">
        <v>222</v>
      </c>
      <c r="DL2011" s="1" t="s">
        <v>224</v>
      </c>
      <c r="DM2011" s="1" t="s">
        <v>229</v>
      </c>
      <c r="DP2011" s="1" t="s">
        <v>340</v>
      </c>
      <c r="DQ2011" s="1" t="s">
        <v>441</v>
      </c>
      <c r="DR2011" s="1" t="s">
        <v>229</v>
      </c>
      <c r="DV2011" s="1" t="s">
        <v>598</v>
      </c>
      <c r="DW2011" s="1" t="s">
        <v>764</v>
      </c>
      <c r="DX2011" s="1" t="s">
        <v>309</v>
      </c>
      <c r="EA2011" s="1" t="s">
        <v>447</v>
      </c>
      <c r="EC2011" s="1" t="s">
        <v>237</v>
      </c>
      <c r="EG2011" s="1" t="s">
        <v>598</v>
      </c>
      <c r="EL2011" s="1" t="s">
        <v>433</v>
      </c>
      <c r="EM2011" s="1" t="s">
        <v>206</v>
      </c>
      <c r="EQ2011" s="1" t="s">
        <v>238</v>
      </c>
      <c r="EU2011" s="1" t="s">
        <v>238</v>
      </c>
      <c r="EY2011" s="1" t="s">
        <v>238</v>
      </c>
      <c r="FC2011" s="1" t="s">
        <v>238</v>
      </c>
      <c r="FF2011" s="1" t="s">
        <v>239</v>
      </c>
      <c r="FG2011" s="1" t="s">
        <v>192</v>
      </c>
      <c r="FH2011" s="1" t="s">
        <v>192</v>
      </c>
      <c r="FJ2011" s="1" t="s">
        <v>2156</v>
      </c>
      <c r="FK2011" s="1" t="s">
        <v>229</v>
      </c>
      <c r="FL2011" s="1" t="s">
        <v>2157</v>
      </c>
      <c r="FM2011" s="1">
        <v>79777.0</v>
      </c>
      <c r="FN2011" s="1" t="s">
        <v>2158</v>
      </c>
      <c r="FO2011" s="1" t="s">
        <v>2159</v>
      </c>
      <c r="FP2011" s="1">
        <v>700417.0</v>
      </c>
      <c r="FQ2011" s="1" t="s">
        <v>2158</v>
      </c>
      <c r="FU2011" s="1" t="s">
        <v>2160</v>
      </c>
      <c r="FV2011" s="1" t="s">
        <v>200</v>
      </c>
      <c r="FW2011" s="1" t="s">
        <v>290</v>
      </c>
      <c r="FZ2011" s="1" t="s">
        <v>229</v>
      </c>
      <c r="GA2011" s="1" t="s">
        <v>291</v>
      </c>
      <c r="GB2011" s="2">
        <v>42072.0</v>
      </c>
      <c r="GC2011" s="1" t="s">
        <v>2161</v>
      </c>
    </row>
    <row r="2012">
      <c r="A2012" s="1">
        <v>402500.0</v>
      </c>
      <c r="B2012" s="1" t="s">
        <v>185</v>
      </c>
      <c r="C2012" s="1" t="str">
        <f>"08731650"</f>
        <v>08731650</v>
      </c>
      <c r="D2012" s="1" t="s">
        <v>186</v>
      </c>
      <c r="F2012" s="1" t="str">
        <f>"8009"</f>
        <v>8009</v>
      </c>
      <c r="G2012" s="2">
        <v>41900.0</v>
      </c>
      <c r="H2012" s="1">
        <v>425000.0</v>
      </c>
      <c r="I2012" s="1">
        <v>9.0</v>
      </c>
      <c r="J2012" s="1">
        <v>425000.0</v>
      </c>
      <c r="K2012" s="2">
        <v>41908.0</v>
      </c>
      <c r="L2012" s="1">
        <v>9.0</v>
      </c>
      <c r="M2012" s="2">
        <v>41908.0</v>
      </c>
      <c r="N2012" s="1" t="s">
        <v>187</v>
      </c>
      <c r="O2012" s="2">
        <v>41978.0</v>
      </c>
      <c r="P2012" s="1">
        <v>113764.0</v>
      </c>
      <c r="Q2012" s="1">
        <v>85464.0</v>
      </c>
      <c r="S2012" s="1">
        <v>7255.0</v>
      </c>
      <c r="T2012" s="1" t="s">
        <v>19124</v>
      </c>
      <c r="U2012" s="1" t="s">
        <v>189</v>
      </c>
      <c r="V2012" s="1" t="s">
        <v>190</v>
      </c>
      <c r="W2012" s="1">
        <v>60631.0</v>
      </c>
      <c r="Y2012" s="1" t="s">
        <v>19125</v>
      </c>
      <c r="Z2012" s="1">
        <v>1926.0</v>
      </c>
      <c r="AA2012" s="1" t="s">
        <v>192</v>
      </c>
      <c r="AB2012" s="1" t="s">
        <v>193</v>
      </c>
      <c r="AD2012" s="1" t="s">
        <v>194</v>
      </c>
      <c r="AE2012" s="1" t="s">
        <v>195</v>
      </c>
      <c r="AF2012" s="1" t="s">
        <v>196</v>
      </c>
      <c r="AG2012" s="1" t="s">
        <v>6071</v>
      </c>
      <c r="AH2012" s="1" t="s">
        <v>2164</v>
      </c>
      <c r="AK2012" s="1">
        <v>8.0</v>
      </c>
      <c r="AL2012" s="1">
        <v>4.0</v>
      </c>
      <c r="AM2012" s="1">
        <v>1.0</v>
      </c>
      <c r="AN2012" s="1">
        <v>1.0</v>
      </c>
      <c r="AO2012" s="1" t="s">
        <v>229</v>
      </c>
      <c r="AP2012" s="1">
        <v>1.0</v>
      </c>
      <c r="AQ2012" s="1" t="s">
        <v>198</v>
      </c>
      <c r="AR2012" s="1" t="s">
        <v>200</v>
      </c>
      <c r="AS2012" s="1" t="s">
        <v>199</v>
      </c>
      <c r="AT2012" s="1">
        <v>2.0</v>
      </c>
      <c r="AV2012" s="1" t="s">
        <v>200</v>
      </c>
      <c r="AW2012" s="1">
        <v>5598.0</v>
      </c>
      <c r="AX2012" s="1">
        <v>2013.0</v>
      </c>
      <c r="AY2012" s="1" t="s">
        <v>387</v>
      </c>
      <c r="AZ2012" s="1" t="s">
        <v>200</v>
      </c>
      <c r="BA2012" s="1" t="str">
        <f>"09362150020000"</f>
        <v>09362150020000</v>
      </c>
      <c r="BC2012" s="1">
        <v>1704.0</v>
      </c>
      <c r="BD2012" s="1">
        <v>402500.0</v>
      </c>
      <c r="BE2012" s="2">
        <v>41900.0</v>
      </c>
      <c r="BF2012" s="2" t="s">
        <v>19126</v>
      </c>
      <c r="BG2012" s="1" t="s">
        <v>2632</v>
      </c>
      <c r="BH2012" s="1">
        <v>0.0</v>
      </c>
      <c r="BI2012" s="1" t="s">
        <v>2632</v>
      </c>
      <c r="BJ2012" s="1" t="s">
        <v>1222</v>
      </c>
      <c r="BK2012" s="1" t="s">
        <v>204</v>
      </c>
      <c r="BL2012" s="1" t="str">
        <f>"7032"</f>
        <v>7032</v>
      </c>
      <c r="BM2012" s="1" t="str">
        <f t="shared" ref="BM2012:BM2013" si="1323">"0"</f>
        <v>0</v>
      </c>
      <c r="BN2012" s="1">
        <v>7255.0</v>
      </c>
      <c r="BO2012" s="1">
        <v>0.0</v>
      </c>
      <c r="BQ2012" s="1">
        <v>299.0</v>
      </c>
      <c r="BR2012" s="1">
        <v>299.0</v>
      </c>
      <c r="BS2012" s="1">
        <v>299.0</v>
      </c>
      <c r="BU2012" s="1" t="s">
        <v>3387</v>
      </c>
      <c r="BV2012" s="1" t="s">
        <v>206</v>
      </c>
      <c r="BW2012" s="1" t="s">
        <v>207</v>
      </c>
      <c r="BY2012" s="1" t="s">
        <v>363</v>
      </c>
      <c r="BZ2012" s="1" t="s">
        <v>209</v>
      </c>
      <c r="CA2012" s="1" t="s">
        <v>207</v>
      </c>
      <c r="CC2012" s="1" t="s">
        <v>363</v>
      </c>
      <c r="CD2012" s="1" t="s">
        <v>206</v>
      </c>
      <c r="CE2012" s="1" t="s">
        <v>207</v>
      </c>
      <c r="CG2012" s="1" t="s">
        <v>212</v>
      </c>
      <c r="CH2012" s="1" t="s">
        <v>209</v>
      </c>
      <c r="CI2012" s="1" t="s">
        <v>210</v>
      </c>
      <c r="CK2012" s="1" t="s">
        <v>212</v>
      </c>
      <c r="CL2012" s="1" t="s">
        <v>209</v>
      </c>
      <c r="CM2012" s="1" t="s">
        <v>207</v>
      </c>
      <c r="CO2012" s="1" t="s">
        <v>264</v>
      </c>
      <c r="CP2012" s="1" t="s">
        <v>209</v>
      </c>
      <c r="CQ2012" s="1" t="s">
        <v>207</v>
      </c>
      <c r="CS2012" s="1" t="s">
        <v>1891</v>
      </c>
      <c r="CT2012" s="1" t="s">
        <v>206</v>
      </c>
      <c r="CU2012" s="1" t="s">
        <v>617</v>
      </c>
      <c r="CW2012" s="1" t="s">
        <v>205</v>
      </c>
      <c r="CX2012" s="1" t="s">
        <v>206</v>
      </c>
      <c r="CY2012" s="1" t="s">
        <v>617</v>
      </c>
      <c r="DA2012" s="1" t="s">
        <v>200</v>
      </c>
      <c r="DC2012" s="1" t="s">
        <v>785</v>
      </c>
      <c r="DD2012" s="1" t="s">
        <v>518</v>
      </c>
      <c r="DE2012" s="1" t="s">
        <v>1905</v>
      </c>
      <c r="DF2012" s="1" t="s">
        <v>3540</v>
      </c>
      <c r="DG2012" s="1" t="s">
        <v>1400</v>
      </c>
      <c r="DH2012" s="1" t="s">
        <v>365</v>
      </c>
      <c r="DI2012" s="1" t="s">
        <v>703</v>
      </c>
      <c r="DJ2012" s="1" t="s">
        <v>1048</v>
      </c>
      <c r="DL2012" s="1" t="s">
        <v>223</v>
      </c>
      <c r="DM2012" s="1" t="s">
        <v>1464</v>
      </c>
      <c r="DO2012" s="1" t="s">
        <v>549</v>
      </c>
      <c r="DP2012" s="1" t="s">
        <v>340</v>
      </c>
      <c r="DQ2012" s="1" t="s">
        <v>228</v>
      </c>
      <c r="DR2012" s="1" t="s">
        <v>229</v>
      </c>
      <c r="DS2012" s="1" t="s">
        <v>230</v>
      </c>
      <c r="DU2012" s="1" t="s">
        <v>9010</v>
      </c>
      <c r="DV2012" s="1" t="s">
        <v>232</v>
      </c>
      <c r="DW2012" s="1" t="s">
        <v>667</v>
      </c>
      <c r="DX2012" s="1" t="s">
        <v>1287</v>
      </c>
      <c r="DZ2012" s="1" t="s">
        <v>310</v>
      </c>
      <c r="EA2012" s="1" t="s">
        <v>447</v>
      </c>
      <c r="EB2012" s="1" t="s">
        <v>345</v>
      </c>
      <c r="EC2012" s="1" t="s">
        <v>237</v>
      </c>
      <c r="ED2012" s="1" t="s">
        <v>555</v>
      </c>
      <c r="EE2012" s="1" t="s">
        <v>493</v>
      </c>
      <c r="EM2012" s="1" t="s">
        <v>238</v>
      </c>
      <c r="EQ2012" s="1" t="s">
        <v>238</v>
      </c>
      <c r="EU2012" s="1" t="s">
        <v>238</v>
      </c>
      <c r="EY2012" s="1" t="s">
        <v>238</v>
      </c>
      <c r="FC2012" s="1" t="s">
        <v>238</v>
      </c>
      <c r="FF2012" s="1" t="s">
        <v>239</v>
      </c>
      <c r="FG2012" s="1" t="s">
        <v>192</v>
      </c>
      <c r="FH2012" s="1" t="s">
        <v>192</v>
      </c>
      <c r="FJ2012" s="1" t="s">
        <v>412</v>
      </c>
      <c r="FK2012" s="1" t="s">
        <v>229</v>
      </c>
      <c r="FL2012" s="1" t="s">
        <v>413</v>
      </c>
      <c r="FM2012" s="1">
        <v>13691.0</v>
      </c>
      <c r="FN2012" s="1" t="s">
        <v>414</v>
      </c>
      <c r="FO2012" s="1" t="s">
        <v>19127</v>
      </c>
      <c r="FP2012" s="1">
        <v>110900.0</v>
      </c>
      <c r="FQ2012" s="1" t="s">
        <v>19128</v>
      </c>
      <c r="FS2012" s="1" t="s">
        <v>19129</v>
      </c>
      <c r="FU2012" s="1" t="s">
        <v>1438</v>
      </c>
      <c r="FV2012" s="1" t="s">
        <v>200</v>
      </c>
      <c r="FW2012" s="1" t="s">
        <v>530</v>
      </c>
      <c r="FX2012" s="1" t="s">
        <v>246</v>
      </c>
      <c r="FZ2012" s="1" t="s">
        <v>632</v>
      </c>
      <c r="GA2012" s="1" t="s">
        <v>291</v>
      </c>
      <c r="GB2012" s="2">
        <v>41981.0</v>
      </c>
    </row>
    <row r="2013">
      <c r="A2013" s="1">
        <v>410000.0</v>
      </c>
      <c r="B2013" s="1" t="s">
        <v>185</v>
      </c>
      <c r="C2013" s="1" t="str">
        <f>"08737819"</f>
        <v>08737819</v>
      </c>
      <c r="D2013" s="1" t="s">
        <v>186</v>
      </c>
      <c r="F2013" s="1" t="str">
        <f>"8077"</f>
        <v>8077</v>
      </c>
      <c r="G2013" s="2">
        <v>41907.0</v>
      </c>
      <c r="H2013" s="1">
        <v>475000.0</v>
      </c>
      <c r="I2013" s="1">
        <v>27.0</v>
      </c>
      <c r="J2013" s="1">
        <v>450000.0</v>
      </c>
      <c r="K2013" s="2">
        <v>41933.0</v>
      </c>
      <c r="L2013" s="1">
        <v>27.0</v>
      </c>
      <c r="M2013" s="2">
        <v>41933.0</v>
      </c>
      <c r="N2013" s="1" t="s">
        <v>187</v>
      </c>
      <c r="O2013" s="2">
        <v>41995.0</v>
      </c>
      <c r="P2013" s="1">
        <v>120924.0</v>
      </c>
      <c r="Q2013" s="1">
        <v>18080.0</v>
      </c>
      <c r="S2013" s="1">
        <v>1252.0</v>
      </c>
      <c r="T2013" s="1" t="s">
        <v>19130</v>
      </c>
      <c r="U2013" s="1" t="s">
        <v>189</v>
      </c>
      <c r="V2013" s="1" t="s">
        <v>190</v>
      </c>
      <c r="W2013" s="1">
        <v>60660.0</v>
      </c>
      <c r="Y2013" s="1" t="s">
        <v>19131</v>
      </c>
      <c r="Z2013" s="1">
        <v>1904.0</v>
      </c>
      <c r="AA2013" s="1" t="s">
        <v>192</v>
      </c>
      <c r="AB2013" s="1" t="s">
        <v>193</v>
      </c>
      <c r="AD2013" s="1" t="s">
        <v>194</v>
      </c>
      <c r="AE2013" s="1" t="s">
        <v>195</v>
      </c>
      <c r="AF2013" s="1" t="s">
        <v>534</v>
      </c>
      <c r="AH2013" s="1" t="s">
        <v>19132</v>
      </c>
      <c r="AI2013" s="1">
        <v>0.0987</v>
      </c>
      <c r="AK2013" s="1">
        <v>8.0</v>
      </c>
      <c r="AL2013" s="1">
        <v>4.0</v>
      </c>
      <c r="AM2013" s="1">
        <v>2.0</v>
      </c>
      <c r="AN2013" s="1">
        <v>1.0</v>
      </c>
      <c r="AO2013" s="1" t="s">
        <v>2068</v>
      </c>
      <c r="AP2013" s="1">
        <v>1.0</v>
      </c>
      <c r="AQ2013" s="1" t="s">
        <v>198</v>
      </c>
      <c r="AR2013" s="1" t="s">
        <v>200</v>
      </c>
      <c r="AS2013" s="1" t="s">
        <v>199</v>
      </c>
      <c r="AT2013" s="1">
        <v>1.0</v>
      </c>
      <c r="AV2013" s="1" t="s">
        <v>200</v>
      </c>
      <c r="AW2013" s="1">
        <v>6229.19</v>
      </c>
      <c r="AX2013" s="1">
        <v>2012.0</v>
      </c>
      <c r="AZ2013" s="1" t="s">
        <v>200</v>
      </c>
      <c r="BA2013" s="1" t="str">
        <f>"14053080440000"</f>
        <v>14053080440000</v>
      </c>
      <c r="BC2013" s="1">
        <v>1644.0</v>
      </c>
      <c r="BD2013" s="1">
        <v>410000.0</v>
      </c>
      <c r="BE2013" s="2">
        <v>41907.0</v>
      </c>
      <c r="BF2013" s="2" t="s">
        <v>19133</v>
      </c>
      <c r="BH2013" s="1">
        <v>0.0</v>
      </c>
      <c r="BK2013" s="1" t="s">
        <v>204</v>
      </c>
      <c r="BL2013" s="1" t="str">
        <f>"5900"</f>
        <v>5900</v>
      </c>
      <c r="BM2013" s="1" t="str">
        <f t="shared" si="1323"/>
        <v>0</v>
      </c>
      <c r="BN2013" s="1">
        <v>1252.0</v>
      </c>
      <c r="BO2013" s="1">
        <v>0.0</v>
      </c>
      <c r="BQ2013" s="1">
        <v>299.0</v>
      </c>
      <c r="BR2013" s="1">
        <v>299.0</v>
      </c>
      <c r="BS2013" s="1">
        <v>299.0</v>
      </c>
      <c r="BU2013" s="1" t="s">
        <v>1534</v>
      </c>
      <c r="BV2013" s="1" t="s">
        <v>206</v>
      </c>
      <c r="BW2013" s="1" t="s">
        <v>207</v>
      </c>
      <c r="BY2013" s="1" t="s">
        <v>454</v>
      </c>
      <c r="BZ2013" s="1" t="s">
        <v>206</v>
      </c>
      <c r="CA2013" s="1" t="s">
        <v>207</v>
      </c>
      <c r="CC2013" s="1" t="s">
        <v>214</v>
      </c>
      <c r="CD2013" s="1" t="s">
        <v>206</v>
      </c>
      <c r="CE2013" s="1" t="s">
        <v>207</v>
      </c>
      <c r="CG2013" s="1" t="s">
        <v>265</v>
      </c>
      <c r="CH2013" s="1" t="s">
        <v>209</v>
      </c>
      <c r="CI2013" s="1" t="s">
        <v>207</v>
      </c>
      <c r="CK2013" s="1" t="s">
        <v>495</v>
      </c>
      <c r="CL2013" s="1" t="s">
        <v>209</v>
      </c>
      <c r="CM2013" s="1" t="s">
        <v>207</v>
      </c>
      <c r="CO2013" s="1" t="s">
        <v>2047</v>
      </c>
      <c r="CP2013" s="1" t="s">
        <v>209</v>
      </c>
      <c r="CQ2013" s="1" t="s">
        <v>207</v>
      </c>
      <c r="CS2013" s="1" t="s">
        <v>262</v>
      </c>
      <c r="CT2013" s="1" t="s">
        <v>206</v>
      </c>
      <c r="CU2013" s="1" t="s">
        <v>588</v>
      </c>
      <c r="CX2013" s="1" t="s">
        <v>204</v>
      </c>
      <c r="DA2013" s="1" t="s">
        <v>200</v>
      </c>
      <c r="DC2013" s="1" t="s">
        <v>642</v>
      </c>
      <c r="DD2013" s="1" t="s">
        <v>518</v>
      </c>
      <c r="DE2013" s="1" t="s">
        <v>229</v>
      </c>
      <c r="DF2013" s="1" t="s">
        <v>787</v>
      </c>
      <c r="DG2013" s="1" t="s">
        <v>337</v>
      </c>
      <c r="DH2013" s="1" t="s">
        <v>220</v>
      </c>
      <c r="DI2013" s="1" t="s">
        <v>308</v>
      </c>
      <c r="DJ2013" s="1" t="s">
        <v>222</v>
      </c>
      <c r="DL2013" s="1" t="s">
        <v>223</v>
      </c>
      <c r="DM2013" s="1" t="s">
        <v>229</v>
      </c>
      <c r="DN2013" s="1" t="s">
        <v>793</v>
      </c>
      <c r="DP2013" s="1" t="s">
        <v>340</v>
      </c>
      <c r="DQ2013" s="1" t="s">
        <v>794</v>
      </c>
      <c r="DR2013" s="1" t="s">
        <v>229</v>
      </c>
      <c r="DV2013" s="1" t="s">
        <v>19134</v>
      </c>
      <c r="DW2013" s="1" t="s">
        <v>5639</v>
      </c>
      <c r="DX2013" s="1" t="s">
        <v>234</v>
      </c>
      <c r="DY2013" s="1" t="s">
        <v>704</v>
      </c>
      <c r="DZ2013" s="1" t="s">
        <v>236</v>
      </c>
      <c r="EA2013" s="1" t="s">
        <v>3577</v>
      </c>
      <c r="EB2013" s="1" t="s">
        <v>345</v>
      </c>
      <c r="EC2013" s="1" t="s">
        <v>237</v>
      </c>
      <c r="ED2013" s="1" t="s">
        <v>1761</v>
      </c>
      <c r="EG2013" s="1" t="s">
        <v>494</v>
      </c>
      <c r="EH2013" s="1" t="s">
        <v>310</v>
      </c>
      <c r="EI2013" s="1" t="s">
        <v>1102</v>
      </c>
      <c r="EL2013" s="1" t="s">
        <v>269</v>
      </c>
      <c r="EM2013" s="1" t="s">
        <v>206</v>
      </c>
      <c r="EN2013" s="1" t="s">
        <v>207</v>
      </c>
      <c r="EP2013" s="1" t="s">
        <v>452</v>
      </c>
      <c r="EQ2013" s="1" t="s">
        <v>206</v>
      </c>
      <c r="ET2013" s="1" t="s">
        <v>2072</v>
      </c>
      <c r="EU2013" s="1" t="s">
        <v>206</v>
      </c>
      <c r="EV2013" s="1" t="s">
        <v>588</v>
      </c>
      <c r="EY2013" s="1" t="s">
        <v>238</v>
      </c>
      <c r="FC2013" s="1" t="s">
        <v>238</v>
      </c>
      <c r="FF2013" s="1" t="s">
        <v>239</v>
      </c>
      <c r="FG2013" s="1" t="s">
        <v>192</v>
      </c>
      <c r="FH2013" s="1" t="s">
        <v>192</v>
      </c>
      <c r="FJ2013" s="1" t="s">
        <v>4122</v>
      </c>
      <c r="FK2013" s="1" t="s">
        <v>229</v>
      </c>
      <c r="FL2013" s="1" t="s">
        <v>456</v>
      </c>
      <c r="FM2013" s="1">
        <v>10273.0</v>
      </c>
      <c r="FN2013" s="1" t="s">
        <v>2101</v>
      </c>
      <c r="FO2013" s="1" t="s">
        <v>5017</v>
      </c>
      <c r="FP2013" s="1">
        <v>111699.0</v>
      </c>
      <c r="FQ2013" s="1" t="s">
        <v>5018</v>
      </c>
      <c r="FU2013" s="1" t="s">
        <v>19135</v>
      </c>
      <c r="FV2013" s="1" t="s">
        <v>200</v>
      </c>
      <c r="FW2013" s="1" t="s">
        <v>19136</v>
      </c>
      <c r="FX2013" s="1" t="s">
        <v>246</v>
      </c>
      <c r="FZ2013" s="1" t="s">
        <v>229</v>
      </c>
      <c r="GA2013" s="1" t="s">
        <v>291</v>
      </c>
      <c r="GB2013" s="2">
        <v>41995.0</v>
      </c>
      <c r="GC2013" s="1" t="s">
        <v>19137</v>
      </c>
    </row>
    <row r="2014">
      <c r="A2014" s="1">
        <v>681000.0</v>
      </c>
      <c r="B2014" s="1" t="s">
        <v>185</v>
      </c>
      <c r="C2014" s="1" t="str">
        <f>"08736892"</f>
        <v>08736892</v>
      </c>
      <c r="D2014" s="1" t="s">
        <v>186</v>
      </c>
      <c r="F2014" s="1" t="str">
        <f>"119"</f>
        <v>119</v>
      </c>
      <c r="G2014" s="2">
        <v>41906.0</v>
      </c>
      <c r="H2014" s="1">
        <v>549000.0</v>
      </c>
      <c r="I2014" s="1">
        <v>485.0</v>
      </c>
      <c r="J2014" s="1">
        <v>549000.0</v>
      </c>
      <c r="K2014" s="2">
        <v>41912.0</v>
      </c>
      <c r="L2014" s="1">
        <v>7.0</v>
      </c>
      <c r="M2014" s="2">
        <v>41912.0</v>
      </c>
      <c r="N2014" s="1" t="s">
        <v>187</v>
      </c>
      <c r="O2014" s="2">
        <v>41984.0</v>
      </c>
      <c r="P2014" s="1">
        <v>230500.0</v>
      </c>
      <c r="Q2014" s="1">
        <v>23591.0</v>
      </c>
      <c r="S2014" s="1" t="s">
        <v>19138</v>
      </c>
      <c r="T2014" s="1" t="s">
        <v>19139</v>
      </c>
      <c r="U2014" s="1" t="s">
        <v>464</v>
      </c>
      <c r="V2014" s="1" t="s">
        <v>1476</v>
      </c>
      <c r="W2014" s="1">
        <v>60119.0</v>
      </c>
      <c r="Y2014" s="1" t="s">
        <v>19140</v>
      </c>
      <c r="Z2014" s="1">
        <v>1999.0</v>
      </c>
      <c r="AA2014" s="1" t="s">
        <v>200</v>
      </c>
      <c r="AB2014" s="1" t="s">
        <v>193</v>
      </c>
      <c r="AD2014" s="1" t="s">
        <v>1089</v>
      </c>
      <c r="AE2014" s="1" t="s">
        <v>325</v>
      </c>
      <c r="AF2014" s="1" t="s">
        <v>1479</v>
      </c>
      <c r="AH2014" s="1" t="s">
        <v>19141</v>
      </c>
      <c r="AI2014" s="1">
        <v>5.0</v>
      </c>
      <c r="AK2014" s="1">
        <v>10.0</v>
      </c>
      <c r="AL2014" s="1">
        <v>4.0</v>
      </c>
      <c r="AM2014" s="1">
        <v>3.0</v>
      </c>
      <c r="AN2014" s="1">
        <v>1.0</v>
      </c>
      <c r="AO2014" s="1" t="s">
        <v>198</v>
      </c>
      <c r="AP2014" s="1">
        <v>3.0</v>
      </c>
      <c r="AQ2014" s="1" t="s">
        <v>327</v>
      </c>
      <c r="AR2014" s="1" t="s">
        <v>192</v>
      </c>
      <c r="AS2014" s="1" t="s">
        <v>199</v>
      </c>
      <c r="AT2014" s="1">
        <v>3.0</v>
      </c>
      <c r="AV2014" s="1" t="s">
        <v>200</v>
      </c>
      <c r="AW2014" s="1">
        <v>16252.86</v>
      </c>
      <c r="AX2014" s="1">
        <v>2013.0</v>
      </c>
      <c r="AY2014" s="1" t="s">
        <v>229</v>
      </c>
      <c r="AZ2014" s="1" t="s">
        <v>200</v>
      </c>
      <c r="BA2014" s="1" t="str">
        <f>"1116200014"</f>
        <v>1116200014</v>
      </c>
      <c r="BB2014" s="1" t="s">
        <v>192</v>
      </c>
      <c r="BC2014" s="1">
        <v>3300.0</v>
      </c>
      <c r="BD2014" s="1">
        <v>681000.0</v>
      </c>
      <c r="BE2014" s="2">
        <v>41906.0</v>
      </c>
      <c r="BF2014" s="2" t="s">
        <v>19142</v>
      </c>
      <c r="BH2014" s="1">
        <v>0.0</v>
      </c>
      <c r="BJ2014" s="1" t="s">
        <v>1636</v>
      </c>
      <c r="BK2014" s="1" t="s">
        <v>204</v>
      </c>
      <c r="BL2014" s="1" t="str">
        <f t="shared" ref="BL2014:BM2014" si="1324">"0"</f>
        <v>0</v>
      </c>
      <c r="BM2014" s="1" t="str">
        <f t="shared" si="1324"/>
        <v>0</v>
      </c>
      <c r="BN2014" s="1">
        <v>42.0</v>
      </c>
      <c r="BO2014" s="1">
        <v>0.0</v>
      </c>
      <c r="BQ2014" s="1">
        <v>302.0</v>
      </c>
      <c r="BR2014" s="1">
        <v>302.0</v>
      </c>
      <c r="BS2014" s="1">
        <v>302.0</v>
      </c>
      <c r="BU2014" s="1" t="s">
        <v>1534</v>
      </c>
      <c r="BV2014" s="1" t="s">
        <v>206</v>
      </c>
      <c r="BW2014" s="1" t="s">
        <v>207</v>
      </c>
      <c r="BY2014" s="1" t="s">
        <v>362</v>
      </c>
      <c r="BZ2014" s="1" t="s">
        <v>206</v>
      </c>
      <c r="CA2014" s="1" t="s">
        <v>210</v>
      </c>
      <c r="CC2014" s="1" t="s">
        <v>215</v>
      </c>
      <c r="CD2014" s="1" t="s">
        <v>206</v>
      </c>
      <c r="CE2014" s="1" t="s">
        <v>207</v>
      </c>
      <c r="CG2014" s="1" t="s">
        <v>332</v>
      </c>
      <c r="CH2014" s="1" t="s">
        <v>206</v>
      </c>
      <c r="CI2014" s="1" t="s">
        <v>210</v>
      </c>
      <c r="CK2014" s="1" t="s">
        <v>1417</v>
      </c>
      <c r="CL2014" s="1" t="s">
        <v>206</v>
      </c>
      <c r="CM2014" s="1" t="s">
        <v>210</v>
      </c>
      <c r="CO2014" s="1" t="s">
        <v>393</v>
      </c>
      <c r="CP2014" s="1" t="s">
        <v>267</v>
      </c>
      <c r="CQ2014" s="1" t="s">
        <v>210</v>
      </c>
      <c r="CS2014" s="1" t="s">
        <v>262</v>
      </c>
      <c r="CT2014" s="1" t="s">
        <v>206</v>
      </c>
      <c r="CU2014" s="1" t="s">
        <v>207</v>
      </c>
      <c r="CW2014" s="1" t="s">
        <v>1316</v>
      </c>
      <c r="CX2014" s="1" t="s">
        <v>206</v>
      </c>
      <c r="CY2014" s="1" t="s">
        <v>207</v>
      </c>
      <c r="DA2014" s="1" t="s">
        <v>200</v>
      </c>
      <c r="DC2014" s="1" t="s">
        <v>335</v>
      </c>
      <c r="DD2014" s="1" t="s">
        <v>336</v>
      </c>
      <c r="DE2014" s="1" t="s">
        <v>273</v>
      </c>
      <c r="DF2014" s="1" t="s">
        <v>19143</v>
      </c>
      <c r="DG2014" s="1" t="s">
        <v>3939</v>
      </c>
      <c r="DH2014" s="1" t="s">
        <v>856</v>
      </c>
      <c r="DI2014" s="1" t="s">
        <v>366</v>
      </c>
      <c r="DJ2014" s="1" t="s">
        <v>857</v>
      </c>
      <c r="DK2014" s="1" t="s">
        <v>1555</v>
      </c>
      <c r="DL2014" s="1" t="s">
        <v>1161</v>
      </c>
      <c r="DM2014" s="1" t="s">
        <v>929</v>
      </c>
      <c r="DN2014" s="1" t="s">
        <v>399</v>
      </c>
      <c r="DO2014" s="1" t="s">
        <v>19144</v>
      </c>
      <c r="DP2014" s="1" t="s">
        <v>340</v>
      </c>
      <c r="DQ2014" s="1" t="s">
        <v>6366</v>
      </c>
      <c r="DR2014" s="1" t="s">
        <v>229</v>
      </c>
      <c r="DS2014" s="1" t="s">
        <v>368</v>
      </c>
      <c r="DV2014" s="1" t="s">
        <v>19145</v>
      </c>
      <c r="DW2014" s="1" t="s">
        <v>934</v>
      </c>
      <c r="DX2014" s="1" t="s">
        <v>234</v>
      </c>
      <c r="DY2014" s="1" t="s">
        <v>19146</v>
      </c>
      <c r="DZ2014" s="1" t="s">
        <v>19147</v>
      </c>
      <c r="EA2014" s="1" t="s">
        <v>683</v>
      </c>
      <c r="EB2014" s="1" t="s">
        <v>19148</v>
      </c>
      <c r="EC2014" s="1" t="s">
        <v>4035</v>
      </c>
      <c r="ED2014" s="1" t="s">
        <v>864</v>
      </c>
      <c r="EG2014" s="1" t="s">
        <v>449</v>
      </c>
      <c r="EH2014" s="1" t="s">
        <v>450</v>
      </c>
      <c r="EI2014" s="1" t="s">
        <v>588</v>
      </c>
      <c r="EJ2014" s="1" t="s">
        <v>408</v>
      </c>
      <c r="EL2014" s="1" t="s">
        <v>363</v>
      </c>
      <c r="EM2014" s="1" t="s">
        <v>206</v>
      </c>
      <c r="EN2014" s="1" t="s">
        <v>207</v>
      </c>
      <c r="EP2014" s="1" t="s">
        <v>2130</v>
      </c>
      <c r="EQ2014" s="1" t="s">
        <v>267</v>
      </c>
      <c r="ER2014" s="1" t="s">
        <v>210</v>
      </c>
      <c r="ET2014" s="1" t="s">
        <v>662</v>
      </c>
      <c r="EU2014" s="1" t="s">
        <v>267</v>
      </c>
      <c r="EV2014" s="1" t="s">
        <v>268</v>
      </c>
      <c r="EX2014" s="1" t="s">
        <v>265</v>
      </c>
      <c r="EY2014" s="1" t="s">
        <v>206</v>
      </c>
      <c r="EZ2014" s="1" t="s">
        <v>207</v>
      </c>
      <c r="FC2014" s="1" t="s">
        <v>238</v>
      </c>
      <c r="FF2014" s="1" t="s">
        <v>239</v>
      </c>
      <c r="FG2014" s="1" t="s">
        <v>192</v>
      </c>
      <c r="FH2014" s="1" t="s">
        <v>192</v>
      </c>
      <c r="FJ2014" s="1" t="s">
        <v>19149</v>
      </c>
      <c r="FK2014" s="1" t="s">
        <v>229</v>
      </c>
      <c r="FL2014" s="1" t="s">
        <v>1358</v>
      </c>
      <c r="FM2014" s="1">
        <v>23591.0</v>
      </c>
      <c r="FN2014" s="1" t="s">
        <v>2134</v>
      </c>
      <c r="FO2014" s="1" t="s">
        <v>2135</v>
      </c>
      <c r="FP2014" s="1">
        <v>230500.0</v>
      </c>
      <c r="FQ2014" s="1" t="s">
        <v>2136</v>
      </c>
      <c r="FR2014" s="1">
        <v>243320.0</v>
      </c>
      <c r="FU2014" s="1" t="s">
        <v>2137</v>
      </c>
      <c r="FV2014" s="1" t="s">
        <v>200</v>
      </c>
      <c r="FW2014" s="1" t="s">
        <v>290</v>
      </c>
      <c r="FZ2014" s="1" t="s">
        <v>229</v>
      </c>
      <c r="GA2014" s="1" t="s">
        <v>291</v>
      </c>
      <c r="GB2014" s="2">
        <v>41985.0</v>
      </c>
      <c r="GC2014" s="1" t="s">
        <v>19150</v>
      </c>
    </row>
    <row r="2015">
      <c r="A2015" s="1">
        <v>220000.0</v>
      </c>
      <c r="B2015" s="1" t="s">
        <v>185</v>
      </c>
      <c r="C2015" s="1" t="str">
        <f>"08736810"</f>
        <v>08736810</v>
      </c>
      <c r="D2015" s="1" t="s">
        <v>186</v>
      </c>
      <c r="F2015" s="1" t="str">
        <f>"174"</f>
        <v>174</v>
      </c>
      <c r="G2015" s="2">
        <v>41906.0</v>
      </c>
      <c r="H2015" s="1">
        <v>229900.0</v>
      </c>
      <c r="I2015" s="1">
        <v>28.0</v>
      </c>
      <c r="J2015" s="1">
        <v>229900.0</v>
      </c>
      <c r="K2015" s="2">
        <v>41933.0</v>
      </c>
      <c r="L2015" s="1">
        <v>28.0</v>
      </c>
      <c r="M2015" s="2">
        <v>41933.0</v>
      </c>
      <c r="N2015" s="1" t="s">
        <v>187</v>
      </c>
      <c r="O2015" s="2">
        <v>42002.0</v>
      </c>
      <c r="P2015" s="1">
        <v>222085.0</v>
      </c>
      <c r="Q2015" s="1">
        <v>20001.0</v>
      </c>
      <c r="S2015" s="1">
        <v>1801.0</v>
      </c>
      <c r="T2015" s="1" t="s">
        <v>8686</v>
      </c>
      <c r="U2015" s="1" t="s">
        <v>569</v>
      </c>
      <c r="V2015" s="1" t="s">
        <v>1200</v>
      </c>
      <c r="W2015" s="1">
        <v>60174.0</v>
      </c>
      <c r="Y2015" s="1" t="s">
        <v>19151</v>
      </c>
      <c r="Z2015" s="1">
        <v>1987.0</v>
      </c>
      <c r="AA2015" s="1" t="s">
        <v>200</v>
      </c>
      <c r="AB2015" s="1" t="s">
        <v>193</v>
      </c>
      <c r="AC2015" s="1" t="s">
        <v>5712</v>
      </c>
      <c r="AD2015" s="1" t="s">
        <v>1203</v>
      </c>
      <c r="AE2015" s="1" t="s">
        <v>325</v>
      </c>
      <c r="AF2015" s="1" t="s">
        <v>1203</v>
      </c>
      <c r="AH2015" s="1" t="s">
        <v>19152</v>
      </c>
      <c r="AK2015" s="1">
        <v>7.0</v>
      </c>
      <c r="AL2015" s="1">
        <v>4.0</v>
      </c>
      <c r="AM2015" s="1">
        <v>2.0</v>
      </c>
      <c r="AN2015" s="1">
        <v>0.0</v>
      </c>
      <c r="AO2015" s="1" t="s">
        <v>229</v>
      </c>
      <c r="AP2015" s="1">
        <v>1.0</v>
      </c>
      <c r="AQ2015" s="1" t="s">
        <v>198</v>
      </c>
      <c r="AR2015" s="1" t="s">
        <v>200</v>
      </c>
      <c r="AS2015" s="1" t="s">
        <v>199</v>
      </c>
      <c r="AT2015" s="1">
        <v>2.0</v>
      </c>
      <c r="AV2015" s="1" t="s">
        <v>200</v>
      </c>
      <c r="AW2015" s="1">
        <v>5823.0</v>
      </c>
      <c r="AX2015" s="1">
        <v>2013.0</v>
      </c>
      <c r="AY2015" s="1" t="s">
        <v>1179</v>
      </c>
      <c r="AZ2015" s="1" t="s">
        <v>200</v>
      </c>
      <c r="BA2015" s="1" t="str">
        <f>"0935428001"</f>
        <v>0935428001</v>
      </c>
      <c r="BC2015" s="1">
        <v>1530.0</v>
      </c>
      <c r="BD2015" s="1">
        <v>220000.0</v>
      </c>
      <c r="BE2015" s="2">
        <v>41906.0</v>
      </c>
      <c r="BF2015" s="2" t="s">
        <v>19153</v>
      </c>
      <c r="BH2015" s="1">
        <v>0.0</v>
      </c>
      <c r="BK2015" s="1" t="s">
        <v>204</v>
      </c>
      <c r="BL2015" s="1" t="str">
        <f>"2"</f>
        <v>2</v>
      </c>
      <c r="BM2015" s="1" t="str">
        <f>"0"</f>
        <v>0</v>
      </c>
      <c r="BN2015" s="1">
        <v>39.0</v>
      </c>
      <c r="BO2015" s="1">
        <v>0.0</v>
      </c>
      <c r="BQ2015" s="1">
        <v>303.0</v>
      </c>
      <c r="BR2015" s="1">
        <v>303.0</v>
      </c>
      <c r="BS2015" s="1">
        <v>303.0</v>
      </c>
      <c r="BU2015" s="1" t="s">
        <v>677</v>
      </c>
      <c r="BV2015" s="1" t="s">
        <v>206</v>
      </c>
      <c r="BW2015" s="1" t="s">
        <v>210</v>
      </c>
      <c r="BY2015" s="1" t="s">
        <v>1503</v>
      </c>
      <c r="BZ2015" s="1" t="s">
        <v>209</v>
      </c>
      <c r="CA2015" s="1" t="s">
        <v>210</v>
      </c>
      <c r="CD2015" s="1" t="s">
        <v>204</v>
      </c>
      <c r="CG2015" s="1" t="s">
        <v>1417</v>
      </c>
      <c r="CH2015" s="1" t="s">
        <v>209</v>
      </c>
      <c r="CI2015" s="1" t="s">
        <v>210</v>
      </c>
      <c r="CK2015" s="1" t="s">
        <v>303</v>
      </c>
      <c r="CL2015" s="1" t="s">
        <v>206</v>
      </c>
      <c r="CM2015" s="1" t="s">
        <v>207</v>
      </c>
      <c r="CO2015" s="1" t="s">
        <v>1417</v>
      </c>
      <c r="CP2015" s="1" t="s">
        <v>206</v>
      </c>
      <c r="CQ2015" s="1" t="s">
        <v>207</v>
      </c>
      <c r="CS2015" s="1" t="s">
        <v>393</v>
      </c>
      <c r="CT2015" s="1" t="s">
        <v>206</v>
      </c>
      <c r="CU2015" s="1" t="s">
        <v>617</v>
      </c>
      <c r="CX2015" s="1" t="s">
        <v>204</v>
      </c>
      <c r="DA2015" s="1" t="s">
        <v>200</v>
      </c>
      <c r="DC2015" s="1" t="s">
        <v>305</v>
      </c>
      <c r="DD2015" s="1" t="s">
        <v>518</v>
      </c>
      <c r="DE2015" s="1" t="s">
        <v>273</v>
      </c>
      <c r="DF2015" s="1" t="s">
        <v>219</v>
      </c>
      <c r="DH2015" s="1" t="s">
        <v>220</v>
      </c>
      <c r="DI2015" s="1" t="s">
        <v>789</v>
      </c>
      <c r="DJ2015" s="1" t="s">
        <v>222</v>
      </c>
      <c r="DL2015" s="1" t="s">
        <v>858</v>
      </c>
      <c r="DM2015" s="1" t="s">
        <v>338</v>
      </c>
      <c r="DQ2015" s="1" t="s">
        <v>228</v>
      </c>
      <c r="DR2015" s="1" t="s">
        <v>229</v>
      </c>
      <c r="DU2015" s="1" t="s">
        <v>19154</v>
      </c>
      <c r="DV2015" s="1" t="s">
        <v>450</v>
      </c>
      <c r="DW2015" s="1" t="s">
        <v>370</v>
      </c>
      <c r="DX2015" s="1" t="s">
        <v>234</v>
      </c>
      <c r="DY2015" s="1" t="s">
        <v>553</v>
      </c>
      <c r="EC2015" s="1" t="s">
        <v>237</v>
      </c>
      <c r="ED2015" s="1" t="s">
        <v>407</v>
      </c>
      <c r="EG2015" s="1" t="s">
        <v>450</v>
      </c>
      <c r="EL2015" s="1" t="s">
        <v>4063</v>
      </c>
      <c r="EM2015" s="1" t="s">
        <v>42</v>
      </c>
      <c r="EN2015" s="1" t="s">
        <v>617</v>
      </c>
      <c r="EQ2015" s="1" t="s">
        <v>238</v>
      </c>
      <c r="EU2015" s="1" t="s">
        <v>238</v>
      </c>
      <c r="EY2015" s="1" t="s">
        <v>238</v>
      </c>
      <c r="FC2015" s="1" t="s">
        <v>238</v>
      </c>
      <c r="FF2015" s="1" t="s">
        <v>239</v>
      </c>
      <c r="FG2015" s="1" t="s">
        <v>192</v>
      </c>
      <c r="FH2015" s="1" t="s">
        <v>192</v>
      </c>
      <c r="FJ2015" s="1" t="s">
        <v>4181</v>
      </c>
      <c r="FK2015" s="1" t="s">
        <v>229</v>
      </c>
      <c r="FL2015" s="1" t="s">
        <v>1212</v>
      </c>
      <c r="FM2015" s="1">
        <v>30.0</v>
      </c>
      <c r="FN2015" s="1" t="s">
        <v>1213</v>
      </c>
      <c r="FO2015" s="1" t="s">
        <v>8470</v>
      </c>
      <c r="FP2015" s="1">
        <v>497.0</v>
      </c>
      <c r="FQ2015" s="1" t="s">
        <v>8471</v>
      </c>
      <c r="FR2015" s="1">
        <v>8177.0</v>
      </c>
      <c r="FS2015" s="1">
        <v>8177.0</v>
      </c>
      <c r="FU2015" s="1" t="s">
        <v>10211</v>
      </c>
      <c r="FV2015" s="1" t="s">
        <v>200</v>
      </c>
      <c r="FW2015" s="1" t="s">
        <v>290</v>
      </c>
      <c r="FZ2015" s="1" t="s">
        <v>229</v>
      </c>
      <c r="GA2015" s="1" t="s">
        <v>291</v>
      </c>
      <c r="GB2015" s="2">
        <v>42004.0</v>
      </c>
    </row>
    <row r="2016">
      <c r="A2016" s="1">
        <v>205000.0</v>
      </c>
      <c r="B2016" s="1" t="s">
        <v>185</v>
      </c>
      <c r="C2016" s="1" t="str">
        <f>"08731259"</f>
        <v>08731259</v>
      </c>
      <c r="D2016" s="1" t="s">
        <v>186</v>
      </c>
      <c r="F2016" s="1" t="str">
        <f>"542"</f>
        <v>542</v>
      </c>
      <c r="G2016" s="2">
        <v>41900.0</v>
      </c>
      <c r="H2016" s="1">
        <v>269900.0</v>
      </c>
      <c r="I2016" s="1">
        <v>148.0</v>
      </c>
      <c r="J2016" s="1">
        <v>219900.0</v>
      </c>
      <c r="K2016" s="2">
        <v>42046.0</v>
      </c>
      <c r="L2016" s="1">
        <v>148.0</v>
      </c>
      <c r="M2016" s="2">
        <v>42046.0</v>
      </c>
      <c r="N2016" s="1" t="s">
        <v>356</v>
      </c>
      <c r="O2016" s="2">
        <v>42086.0</v>
      </c>
      <c r="P2016" s="1">
        <v>702667.0</v>
      </c>
      <c r="Q2016" s="1">
        <v>79927.0</v>
      </c>
      <c r="R2016" s="1">
        <v>4500.0</v>
      </c>
      <c r="S2016" s="1">
        <v>1323.0</v>
      </c>
      <c r="T2016" s="1" t="s">
        <v>19155</v>
      </c>
      <c r="U2016" s="1" t="s">
        <v>420</v>
      </c>
      <c r="V2016" s="1" t="s">
        <v>3984</v>
      </c>
      <c r="W2016" s="1">
        <v>60542.0</v>
      </c>
      <c r="Y2016" s="1" t="s">
        <v>19156</v>
      </c>
      <c r="Z2016" s="1">
        <v>1998.0</v>
      </c>
      <c r="AA2016" s="1" t="s">
        <v>200</v>
      </c>
      <c r="AB2016" s="1" t="s">
        <v>193</v>
      </c>
      <c r="AC2016" s="1" t="s">
        <v>9539</v>
      </c>
      <c r="AD2016" s="1" t="s">
        <v>3986</v>
      </c>
      <c r="AE2016" s="1" t="s">
        <v>325</v>
      </c>
      <c r="AF2016" s="1" t="s">
        <v>2702</v>
      </c>
      <c r="AH2016" s="1" t="s">
        <v>19157</v>
      </c>
      <c r="AI2016" s="1">
        <v>0.4306</v>
      </c>
      <c r="AK2016" s="1">
        <v>8.0</v>
      </c>
      <c r="AL2016" s="1">
        <v>4.0</v>
      </c>
      <c r="AM2016" s="1">
        <v>2.0</v>
      </c>
      <c r="AN2016" s="1">
        <v>1.0</v>
      </c>
      <c r="AO2016" s="1" t="s">
        <v>198</v>
      </c>
      <c r="AP2016" s="1">
        <v>1.0</v>
      </c>
      <c r="AQ2016" s="1" t="s">
        <v>198</v>
      </c>
      <c r="AR2016" s="1" t="s">
        <v>200</v>
      </c>
      <c r="AS2016" s="1" t="s">
        <v>199</v>
      </c>
      <c r="AT2016" s="1">
        <v>2.0</v>
      </c>
      <c r="AV2016" s="1" t="s">
        <v>200</v>
      </c>
      <c r="AW2016" s="1">
        <v>8306.5</v>
      </c>
      <c r="AX2016" s="1">
        <v>2012.0</v>
      </c>
      <c r="AY2016" s="1" t="s">
        <v>387</v>
      </c>
      <c r="AZ2016" s="1" t="s">
        <v>200</v>
      </c>
      <c r="BA2016" s="1" t="str">
        <f>"1235102009"</f>
        <v>1235102009</v>
      </c>
      <c r="BB2016" s="1" t="s">
        <v>200</v>
      </c>
      <c r="BC2016" s="1">
        <v>2300.0</v>
      </c>
      <c r="BD2016" s="1">
        <v>205000.0</v>
      </c>
      <c r="BE2016" s="2">
        <v>41899.0</v>
      </c>
      <c r="BF2016" s="2" t="s">
        <v>19158</v>
      </c>
      <c r="BG2016" s="1" t="s">
        <v>4059</v>
      </c>
      <c r="BH2016" s="1">
        <v>0.0</v>
      </c>
      <c r="BI2016" s="1" t="s">
        <v>4421</v>
      </c>
      <c r="BJ2016" s="1" t="s">
        <v>3831</v>
      </c>
      <c r="BK2016" s="1" t="s">
        <v>204</v>
      </c>
      <c r="BL2016" s="1" t="str">
        <f t="shared" ref="BL2016:BM2016" si="1325">""</f>
        <v/>
      </c>
      <c r="BM2016" s="1" t="str">
        <f t="shared" si="1325"/>
        <v/>
      </c>
      <c r="BQ2016" s="1">
        <v>129.0</v>
      </c>
      <c r="BR2016" s="1">
        <v>129.0</v>
      </c>
      <c r="BS2016" s="1">
        <v>129.0</v>
      </c>
      <c r="BU2016" s="1" t="s">
        <v>332</v>
      </c>
      <c r="BV2016" s="1" t="s">
        <v>206</v>
      </c>
      <c r="BW2016" s="1" t="s">
        <v>210</v>
      </c>
      <c r="BY2016" s="1" t="s">
        <v>664</v>
      </c>
      <c r="BZ2016" s="1" t="s">
        <v>209</v>
      </c>
      <c r="CA2016" s="1" t="s">
        <v>210</v>
      </c>
      <c r="CC2016" s="1" t="s">
        <v>212</v>
      </c>
      <c r="CD2016" s="1" t="s">
        <v>206</v>
      </c>
      <c r="CE2016" s="1" t="s">
        <v>210</v>
      </c>
      <c r="CG2016" s="1" t="s">
        <v>699</v>
      </c>
      <c r="CH2016" s="1" t="s">
        <v>209</v>
      </c>
      <c r="CI2016" s="1" t="s">
        <v>210</v>
      </c>
      <c r="CK2016" s="1" t="s">
        <v>212</v>
      </c>
      <c r="CL2016" s="1" t="s">
        <v>209</v>
      </c>
      <c r="CM2016" s="1" t="s">
        <v>210</v>
      </c>
      <c r="CO2016" s="1" t="s">
        <v>924</v>
      </c>
      <c r="CP2016" s="1" t="s">
        <v>209</v>
      </c>
      <c r="CQ2016" s="1" t="s">
        <v>210</v>
      </c>
      <c r="CS2016" s="1" t="s">
        <v>262</v>
      </c>
      <c r="CT2016" s="1" t="s">
        <v>206</v>
      </c>
      <c r="CU2016" s="1" t="s">
        <v>207</v>
      </c>
      <c r="CW2016" s="1" t="s">
        <v>361</v>
      </c>
      <c r="CX2016" s="1" t="s">
        <v>206</v>
      </c>
      <c r="CY2016" s="1" t="s">
        <v>210</v>
      </c>
      <c r="DA2016" s="1" t="s">
        <v>200</v>
      </c>
      <c r="DC2016" s="1" t="s">
        <v>678</v>
      </c>
      <c r="DD2016" s="1" t="s">
        <v>926</v>
      </c>
      <c r="DE2016" s="1" t="s">
        <v>273</v>
      </c>
      <c r="DF2016" s="1" t="s">
        <v>219</v>
      </c>
      <c r="DG2016" s="1" t="s">
        <v>482</v>
      </c>
      <c r="DH2016" s="1" t="s">
        <v>220</v>
      </c>
      <c r="DJ2016" s="1" t="s">
        <v>222</v>
      </c>
      <c r="DL2016" s="1" t="s">
        <v>224</v>
      </c>
      <c r="DM2016" s="1" t="s">
        <v>229</v>
      </c>
      <c r="DN2016" s="1" t="s">
        <v>399</v>
      </c>
      <c r="DO2016" s="1" t="s">
        <v>1979</v>
      </c>
      <c r="DP2016" s="1" t="s">
        <v>340</v>
      </c>
      <c r="DQ2016" s="1" t="s">
        <v>228</v>
      </c>
      <c r="DR2016" s="1" t="s">
        <v>229</v>
      </c>
      <c r="DS2016" s="1" t="s">
        <v>230</v>
      </c>
      <c r="DU2016" s="1" t="s">
        <v>1355</v>
      </c>
      <c r="DV2016" s="1" t="s">
        <v>232</v>
      </c>
      <c r="DW2016" s="1" t="s">
        <v>370</v>
      </c>
      <c r="DX2016" s="1" t="s">
        <v>234</v>
      </c>
      <c r="DY2016" s="1" t="s">
        <v>1189</v>
      </c>
      <c r="DZ2016" s="1" t="s">
        <v>1661</v>
      </c>
      <c r="EA2016" s="1" t="s">
        <v>344</v>
      </c>
      <c r="EB2016" s="1" t="s">
        <v>937</v>
      </c>
      <c r="EC2016" s="1" t="s">
        <v>237</v>
      </c>
      <c r="EM2016" s="1" t="s">
        <v>238</v>
      </c>
      <c r="EQ2016" s="1" t="s">
        <v>238</v>
      </c>
      <c r="EU2016" s="1" t="s">
        <v>238</v>
      </c>
      <c r="EY2016" s="1" t="s">
        <v>238</v>
      </c>
      <c r="FC2016" s="1" t="s">
        <v>238</v>
      </c>
      <c r="FF2016" s="1" t="s">
        <v>239</v>
      </c>
      <c r="FG2016" s="1" t="s">
        <v>192</v>
      </c>
      <c r="FH2016" s="1" t="s">
        <v>192</v>
      </c>
      <c r="FJ2016" s="1" t="s">
        <v>347</v>
      </c>
      <c r="FK2016" s="1" t="s">
        <v>229</v>
      </c>
      <c r="FL2016" s="1" t="s">
        <v>14066</v>
      </c>
      <c r="FM2016" s="1">
        <v>23290.0</v>
      </c>
      <c r="FN2016" s="1" t="s">
        <v>14067</v>
      </c>
      <c r="FO2016" s="1" t="s">
        <v>14225</v>
      </c>
      <c r="FP2016" s="1">
        <v>233019.0</v>
      </c>
      <c r="FQ2016" s="1" t="s">
        <v>14226</v>
      </c>
      <c r="FR2016" s="1">
        <v>239587.0</v>
      </c>
      <c r="FU2016" s="1" t="s">
        <v>14227</v>
      </c>
      <c r="FV2016" s="1" t="s">
        <v>200</v>
      </c>
      <c r="FW2016" s="1" t="s">
        <v>290</v>
      </c>
      <c r="FZ2016" s="1" t="s">
        <v>229</v>
      </c>
      <c r="GA2016" s="1" t="s">
        <v>291</v>
      </c>
      <c r="GB2016" s="2">
        <v>42086.0</v>
      </c>
      <c r="GC2016" s="1" t="s">
        <v>19159</v>
      </c>
    </row>
    <row r="2017">
      <c r="A2017" s="1">
        <v>169900.0</v>
      </c>
      <c r="B2017" s="1" t="s">
        <v>185</v>
      </c>
      <c r="C2017" s="1" t="str">
        <f>"08734343"</f>
        <v>08734343</v>
      </c>
      <c r="D2017" s="1" t="s">
        <v>186</v>
      </c>
      <c r="F2017" s="1" t="str">
        <f>"8070"</f>
        <v>8070</v>
      </c>
      <c r="G2017" s="2">
        <v>41904.0</v>
      </c>
      <c r="H2017" s="1">
        <v>179900.0</v>
      </c>
      <c r="I2017" s="1">
        <v>76.0</v>
      </c>
      <c r="J2017" s="1">
        <v>169900.0</v>
      </c>
      <c r="K2017" s="2">
        <v>41932.0</v>
      </c>
      <c r="L2017" s="1">
        <v>29.0</v>
      </c>
      <c r="M2017" s="2">
        <v>41932.0</v>
      </c>
      <c r="N2017" s="1" t="s">
        <v>356</v>
      </c>
      <c r="O2017" s="2">
        <v>41989.0</v>
      </c>
      <c r="P2017" s="1">
        <v>232039.0</v>
      </c>
      <c r="Q2017" s="1">
        <v>23794.0</v>
      </c>
      <c r="R2017" s="1">
        <v>6250.0</v>
      </c>
      <c r="S2017" s="1">
        <v>2251.0</v>
      </c>
      <c r="T2017" s="1" t="s">
        <v>19160</v>
      </c>
      <c r="U2017" s="1" t="s">
        <v>694</v>
      </c>
      <c r="V2017" s="1" t="s">
        <v>190</v>
      </c>
      <c r="W2017" s="1">
        <v>60620.0</v>
      </c>
      <c r="Y2017" s="1" t="s">
        <v>19161</v>
      </c>
      <c r="Z2017" s="1" t="s">
        <v>296</v>
      </c>
      <c r="AA2017" s="1" t="s">
        <v>192</v>
      </c>
      <c r="AB2017" s="1" t="s">
        <v>193</v>
      </c>
      <c r="AD2017" s="1" t="s">
        <v>194</v>
      </c>
      <c r="AE2017" s="1" t="s">
        <v>195</v>
      </c>
      <c r="AF2017" s="1" t="s">
        <v>637</v>
      </c>
      <c r="AH2017" s="1" t="s">
        <v>19162</v>
      </c>
      <c r="AI2017" s="1">
        <v>0.0854</v>
      </c>
      <c r="AK2017" s="1">
        <v>7.0</v>
      </c>
      <c r="AL2017" s="1">
        <v>3.0</v>
      </c>
      <c r="AM2017" s="1">
        <v>2.0</v>
      </c>
      <c r="AN2017" s="1">
        <v>0.0</v>
      </c>
      <c r="AO2017" s="1" t="s">
        <v>229</v>
      </c>
      <c r="AQ2017" s="1" t="s">
        <v>198</v>
      </c>
      <c r="AR2017" s="1" t="s">
        <v>192</v>
      </c>
      <c r="AS2017" s="1" t="s">
        <v>199</v>
      </c>
      <c r="AT2017" s="1">
        <v>2.0</v>
      </c>
      <c r="AV2017" s="1" t="s">
        <v>200</v>
      </c>
      <c r="AW2017" s="1">
        <v>2133.64</v>
      </c>
      <c r="AX2017" s="1">
        <v>2012.0</v>
      </c>
      <c r="AZ2017" s="1" t="s">
        <v>200</v>
      </c>
      <c r="BA2017" s="1" t="str">
        <f>"20311050310000"</f>
        <v>20311050310000</v>
      </c>
      <c r="BC2017" s="1">
        <v>0.0</v>
      </c>
      <c r="BD2017" s="1">
        <v>169900.0</v>
      </c>
      <c r="BE2017" s="2">
        <v>41904.0</v>
      </c>
      <c r="BF2017" s="1" t="s">
        <v>19163</v>
      </c>
      <c r="BH2017" s="1">
        <v>0.0</v>
      </c>
      <c r="BK2017" s="1" t="s">
        <v>204</v>
      </c>
      <c r="BL2017" s="1" t="str">
        <f t="shared" ref="BL2017:BM2017" si="1326">"0"</f>
        <v>0</v>
      </c>
      <c r="BM2017" s="1" t="str">
        <f t="shared" si="1326"/>
        <v>0</v>
      </c>
      <c r="BN2017" s="1">
        <v>2251.0</v>
      </c>
      <c r="BO2017" s="1">
        <v>79.0</v>
      </c>
      <c r="BQ2017" s="1">
        <v>299.0</v>
      </c>
      <c r="BR2017" s="1">
        <v>299.0</v>
      </c>
      <c r="BS2017" s="1">
        <v>299.0</v>
      </c>
      <c r="BU2017" s="1" t="s">
        <v>925</v>
      </c>
      <c r="BV2017" s="1" t="s">
        <v>206</v>
      </c>
      <c r="BW2017" s="1" t="s">
        <v>207</v>
      </c>
      <c r="BY2017" s="1" t="s">
        <v>331</v>
      </c>
      <c r="BZ2017" s="1" t="s">
        <v>206</v>
      </c>
      <c r="CA2017" s="1" t="s">
        <v>207</v>
      </c>
      <c r="CD2017" s="1" t="s">
        <v>204</v>
      </c>
      <c r="CG2017" s="1" t="s">
        <v>363</v>
      </c>
      <c r="CH2017" s="1" t="s">
        <v>206</v>
      </c>
      <c r="CI2017" s="1" t="s">
        <v>207</v>
      </c>
      <c r="CK2017" s="1" t="s">
        <v>495</v>
      </c>
      <c r="CL2017" s="1" t="s">
        <v>206</v>
      </c>
      <c r="CM2017" s="1" t="s">
        <v>207</v>
      </c>
      <c r="CO2017" s="1" t="s">
        <v>264</v>
      </c>
      <c r="CP2017" s="1" t="s">
        <v>42</v>
      </c>
      <c r="CQ2017" s="1" t="s">
        <v>210</v>
      </c>
      <c r="CS2017" s="1" t="s">
        <v>211</v>
      </c>
      <c r="CT2017" s="1" t="s">
        <v>206</v>
      </c>
      <c r="CU2017" s="1" t="s">
        <v>268</v>
      </c>
      <c r="CW2017" s="1" t="s">
        <v>515</v>
      </c>
      <c r="CX2017" s="1" t="s">
        <v>267</v>
      </c>
      <c r="CY2017" s="1" t="s">
        <v>210</v>
      </c>
      <c r="DA2017" s="1" t="s">
        <v>200</v>
      </c>
      <c r="DC2017" s="1" t="s">
        <v>545</v>
      </c>
      <c r="DE2017" s="1" t="s">
        <v>273</v>
      </c>
      <c r="DF2017" s="1" t="s">
        <v>219</v>
      </c>
      <c r="DH2017" s="1" t="s">
        <v>365</v>
      </c>
      <c r="DJ2017" s="1" t="s">
        <v>222</v>
      </c>
      <c r="DL2017" s="1" t="s">
        <v>224</v>
      </c>
      <c r="DM2017" s="1" t="s">
        <v>229</v>
      </c>
      <c r="DQ2017" s="1" t="s">
        <v>228</v>
      </c>
      <c r="DR2017" s="1" t="s">
        <v>229</v>
      </c>
      <c r="DV2017" s="1" t="s">
        <v>232</v>
      </c>
      <c r="DW2017" s="1" t="s">
        <v>279</v>
      </c>
      <c r="DX2017" s="1" t="s">
        <v>234</v>
      </c>
      <c r="EC2017" s="1" t="s">
        <v>311</v>
      </c>
      <c r="EM2017" s="1" t="s">
        <v>238</v>
      </c>
      <c r="EQ2017" s="1" t="s">
        <v>238</v>
      </c>
      <c r="EU2017" s="1" t="s">
        <v>238</v>
      </c>
      <c r="EY2017" s="1" t="s">
        <v>238</v>
      </c>
      <c r="FC2017" s="1" t="s">
        <v>238</v>
      </c>
      <c r="FF2017" s="1" t="s">
        <v>239</v>
      </c>
      <c r="FG2017" s="1" t="s">
        <v>192</v>
      </c>
      <c r="FH2017" s="1" t="s">
        <v>192</v>
      </c>
      <c r="FJ2017" s="1" t="s">
        <v>8325</v>
      </c>
      <c r="FK2017" s="1" t="s">
        <v>229</v>
      </c>
      <c r="FL2017" s="1" t="s">
        <v>286</v>
      </c>
      <c r="FM2017" s="1">
        <v>23948.0</v>
      </c>
      <c r="FN2017" s="1" t="s">
        <v>287</v>
      </c>
      <c r="FO2017" s="1" t="s">
        <v>19164</v>
      </c>
      <c r="FP2017" s="1">
        <v>242012.0</v>
      </c>
      <c r="FQ2017" s="1" t="s">
        <v>19165</v>
      </c>
      <c r="FU2017" s="1" t="s">
        <v>1438</v>
      </c>
      <c r="FV2017" s="1" t="s">
        <v>200</v>
      </c>
      <c r="FW2017" s="1" t="s">
        <v>290</v>
      </c>
      <c r="FX2017" s="1" t="s">
        <v>246</v>
      </c>
      <c r="FZ2017" s="1" t="s">
        <v>229</v>
      </c>
      <c r="GA2017" s="1" t="s">
        <v>291</v>
      </c>
      <c r="GB2017" s="2">
        <v>41995.0</v>
      </c>
    </row>
    <row r="2018">
      <c r="A2018" s="1">
        <v>245000.0</v>
      </c>
      <c r="B2018" s="1" t="s">
        <v>185</v>
      </c>
      <c r="C2018" s="1" t="str">
        <f>"08736670"</f>
        <v>08736670</v>
      </c>
      <c r="D2018" s="1" t="s">
        <v>186</v>
      </c>
      <c r="F2018" s="1" t="str">
        <f>"538"</f>
        <v>538</v>
      </c>
      <c r="G2018" s="2">
        <v>41906.0</v>
      </c>
      <c r="H2018" s="1">
        <v>259900.0</v>
      </c>
      <c r="I2018" s="1">
        <v>49.0</v>
      </c>
      <c r="J2018" s="1">
        <v>254500.0</v>
      </c>
      <c r="K2018" s="2">
        <v>41954.0</v>
      </c>
      <c r="L2018" s="1">
        <v>49.0</v>
      </c>
      <c r="M2018" s="2">
        <v>41954.0</v>
      </c>
      <c r="N2018" s="1" t="s">
        <v>356</v>
      </c>
      <c r="O2018" s="2">
        <v>41991.0</v>
      </c>
      <c r="P2018" s="1">
        <v>213529.0</v>
      </c>
      <c r="Q2018" s="1">
        <v>24477.0</v>
      </c>
      <c r="S2018" s="1">
        <v>2525.0</v>
      </c>
      <c r="T2018" s="1" t="s">
        <v>19166</v>
      </c>
      <c r="U2018" s="1" t="s">
        <v>569</v>
      </c>
      <c r="V2018" s="1" t="s">
        <v>1340</v>
      </c>
      <c r="W2018" s="1">
        <v>60538.0</v>
      </c>
      <c r="Y2018" s="1" t="s">
        <v>19167</v>
      </c>
      <c r="Z2018" s="1">
        <v>2004.0</v>
      </c>
      <c r="AA2018" s="1" t="s">
        <v>200</v>
      </c>
      <c r="AB2018" s="1" t="s">
        <v>467</v>
      </c>
      <c r="AC2018" s="1" t="s">
        <v>19168</v>
      </c>
      <c r="AD2018" s="1" t="s">
        <v>1343</v>
      </c>
      <c r="AE2018" s="1" t="s">
        <v>849</v>
      </c>
      <c r="AF2018" s="1" t="s">
        <v>1312</v>
      </c>
      <c r="AG2018" s="1" t="s">
        <v>19169</v>
      </c>
      <c r="AH2018" s="1" t="s">
        <v>19170</v>
      </c>
      <c r="AK2018" s="1">
        <v>12.0</v>
      </c>
      <c r="AL2018" s="1">
        <v>4.0</v>
      </c>
      <c r="AM2018" s="1">
        <v>3.0</v>
      </c>
      <c r="AN2018" s="1">
        <v>1.0</v>
      </c>
      <c r="AO2018" s="1" t="s">
        <v>198</v>
      </c>
      <c r="AP2018" s="1">
        <v>1.0</v>
      </c>
      <c r="AQ2018" s="1" t="s">
        <v>327</v>
      </c>
      <c r="AR2018" s="1" t="s">
        <v>192</v>
      </c>
      <c r="AS2018" s="1" t="s">
        <v>199</v>
      </c>
      <c r="AT2018" s="1">
        <v>2.0</v>
      </c>
      <c r="AV2018" s="1" t="s">
        <v>200</v>
      </c>
      <c r="AW2018" s="1">
        <v>6226.12</v>
      </c>
      <c r="AX2018" s="1">
        <v>2013.0</v>
      </c>
      <c r="AY2018" s="1" t="s">
        <v>387</v>
      </c>
      <c r="AZ2018" s="1" t="s">
        <v>200</v>
      </c>
      <c r="BA2018" s="1" t="str">
        <f>"0202380007"</f>
        <v>0202380007</v>
      </c>
      <c r="BB2018" s="1" t="s">
        <v>200</v>
      </c>
      <c r="BC2018" s="1">
        <v>3500.0</v>
      </c>
      <c r="BD2018" s="1">
        <v>245000.0</v>
      </c>
      <c r="BE2018" s="2">
        <v>41906.0</v>
      </c>
      <c r="BF2018" s="2" t="s">
        <v>19171</v>
      </c>
      <c r="BH2018" s="1">
        <v>0.0</v>
      </c>
      <c r="BK2018" s="1" t="s">
        <v>204</v>
      </c>
      <c r="BL2018" s="1" t="str">
        <f t="shared" ref="BL2018:BM2018" si="1327">"0"</f>
        <v>0</v>
      </c>
      <c r="BM2018" s="1" t="str">
        <f t="shared" si="1327"/>
        <v>0</v>
      </c>
      <c r="BN2018" s="1">
        <v>39.0</v>
      </c>
      <c r="BO2018" s="1">
        <v>10.0</v>
      </c>
      <c r="BQ2018" s="1">
        <v>308.0</v>
      </c>
      <c r="BR2018" s="1">
        <v>308.0</v>
      </c>
      <c r="BS2018" s="1">
        <v>308.0</v>
      </c>
      <c r="BU2018" s="1" t="s">
        <v>784</v>
      </c>
      <c r="BV2018" s="1" t="s">
        <v>206</v>
      </c>
      <c r="BW2018" s="1" t="s">
        <v>207</v>
      </c>
      <c r="BY2018" s="1" t="s">
        <v>2800</v>
      </c>
      <c r="BZ2018" s="1" t="s">
        <v>209</v>
      </c>
      <c r="CA2018" s="1" t="s">
        <v>207</v>
      </c>
      <c r="CC2018" s="1" t="s">
        <v>542</v>
      </c>
      <c r="CD2018" s="1" t="s">
        <v>206</v>
      </c>
      <c r="CE2018" s="1" t="s">
        <v>207</v>
      </c>
      <c r="CG2018" s="1" t="s">
        <v>497</v>
      </c>
      <c r="CH2018" s="1" t="s">
        <v>209</v>
      </c>
      <c r="CI2018" s="1" t="s">
        <v>210</v>
      </c>
      <c r="CK2018" s="1" t="s">
        <v>264</v>
      </c>
      <c r="CL2018" s="1" t="s">
        <v>209</v>
      </c>
      <c r="CM2018" s="1" t="s">
        <v>210</v>
      </c>
      <c r="CO2018" s="1" t="s">
        <v>269</v>
      </c>
      <c r="CP2018" s="1" t="s">
        <v>209</v>
      </c>
      <c r="CQ2018" s="1" t="s">
        <v>210</v>
      </c>
      <c r="CS2018" s="1" t="s">
        <v>1000</v>
      </c>
      <c r="CT2018" s="1" t="s">
        <v>206</v>
      </c>
      <c r="CU2018" s="1" t="s">
        <v>207</v>
      </c>
      <c r="CW2018" s="1" t="s">
        <v>924</v>
      </c>
      <c r="CX2018" s="1" t="s">
        <v>206</v>
      </c>
      <c r="CY2018" s="1" t="s">
        <v>207</v>
      </c>
      <c r="DA2018" s="1" t="s">
        <v>200</v>
      </c>
      <c r="DC2018" s="1" t="s">
        <v>481</v>
      </c>
      <c r="DD2018" s="1" t="s">
        <v>586</v>
      </c>
      <c r="DE2018" s="1" t="s">
        <v>273</v>
      </c>
      <c r="DF2018" s="1" t="s">
        <v>219</v>
      </c>
      <c r="DG2018" s="1" t="s">
        <v>1020</v>
      </c>
      <c r="DH2018" s="1" t="s">
        <v>220</v>
      </c>
      <c r="DI2018" s="1" t="s">
        <v>221</v>
      </c>
      <c r="DJ2018" s="1" t="s">
        <v>222</v>
      </c>
      <c r="DK2018" s="1" t="s">
        <v>223</v>
      </c>
      <c r="DL2018" s="1" t="s">
        <v>224</v>
      </c>
      <c r="DM2018" s="1" t="s">
        <v>338</v>
      </c>
      <c r="DN2018" s="1" t="s">
        <v>485</v>
      </c>
      <c r="DO2018" s="1" t="s">
        <v>717</v>
      </c>
      <c r="DP2018" s="1" t="s">
        <v>276</v>
      </c>
      <c r="DQ2018" s="1" t="s">
        <v>441</v>
      </c>
      <c r="DR2018" s="1" t="s">
        <v>229</v>
      </c>
      <c r="DS2018" s="1" t="s">
        <v>230</v>
      </c>
      <c r="DU2018" s="1" t="s">
        <v>19172</v>
      </c>
      <c r="DV2018" s="1" t="s">
        <v>19173</v>
      </c>
      <c r="DW2018" s="1" t="s">
        <v>370</v>
      </c>
      <c r="DX2018" s="1" t="s">
        <v>234</v>
      </c>
      <c r="DY2018" s="1" t="s">
        <v>490</v>
      </c>
      <c r="DZ2018" s="1" t="s">
        <v>6954</v>
      </c>
      <c r="EA2018" s="1" t="s">
        <v>344</v>
      </c>
      <c r="EB2018" s="1" t="s">
        <v>2915</v>
      </c>
      <c r="EC2018" s="1" t="s">
        <v>237</v>
      </c>
      <c r="ED2018" s="1" t="s">
        <v>555</v>
      </c>
      <c r="EG2018" s="1" t="s">
        <v>494</v>
      </c>
      <c r="EH2018" s="1" t="s">
        <v>450</v>
      </c>
      <c r="EI2018" s="1" t="s">
        <v>451</v>
      </c>
      <c r="EJ2018" s="1" t="s">
        <v>1824</v>
      </c>
      <c r="EL2018" s="1" t="s">
        <v>269</v>
      </c>
      <c r="EM2018" s="1" t="s">
        <v>206</v>
      </c>
      <c r="EN2018" s="1" t="s">
        <v>210</v>
      </c>
      <c r="EP2018" s="1" t="s">
        <v>2800</v>
      </c>
      <c r="EQ2018" s="1" t="s">
        <v>1697</v>
      </c>
      <c r="ER2018" s="1" t="s">
        <v>210</v>
      </c>
      <c r="ET2018" s="1" t="s">
        <v>1000</v>
      </c>
      <c r="EU2018" s="1" t="s">
        <v>1697</v>
      </c>
      <c r="EV2018" s="1" t="s">
        <v>210</v>
      </c>
      <c r="EX2018" s="1" t="s">
        <v>616</v>
      </c>
      <c r="EY2018" s="1" t="s">
        <v>1697</v>
      </c>
      <c r="EZ2018" s="1" t="s">
        <v>210</v>
      </c>
      <c r="FC2018" s="1" t="s">
        <v>238</v>
      </c>
      <c r="FF2018" s="1" t="s">
        <v>239</v>
      </c>
      <c r="FG2018" s="1" t="s">
        <v>192</v>
      </c>
      <c r="FH2018" s="1" t="s">
        <v>192</v>
      </c>
      <c r="FJ2018" s="1" t="s">
        <v>498</v>
      </c>
      <c r="FK2018" s="1" t="s">
        <v>348</v>
      </c>
      <c r="FL2018" s="1" t="s">
        <v>1358</v>
      </c>
      <c r="FM2018" s="1">
        <v>23591.0</v>
      </c>
      <c r="FN2018" s="1" t="s">
        <v>2134</v>
      </c>
      <c r="FO2018" s="1" t="s">
        <v>2843</v>
      </c>
      <c r="FP2018" s="1">
        <v>230482.0</v>
      </c>
      <c r="FQ2018" s="1" t="s">
        <v>2844</v>
      </c>
      <c r="FS2018" s="1" t="s">
        <v>8183</v>
      </c>
      <c r="FU2018" s="1" t="s">
        <v>19174</v>
      </c>
      <c r="FV2018" s="1" t="s">
        <v>200</v>
      </c>
      <c r="FW2018" s="1" t="s">
        <v>1293</v>
      </c>
      <c r="FZ2018" s="1" t="s">
        <v>229</v>
      </c>
      <c r="GA2018" s="1" t="s">
        <v>291</v>
      </c>
      <c r="GB2018" s="2">
        <v>41991.0</v>
      </c>
    </row>
    <row r="2019">
      <c r="A2019" s="1">
        <v>558000.0</v>
      </c>
      <c r="B2019" s="1" t="s">
        <v>185</v>
      </c>
      <c r="C2019" s="1" t="str">
        <f>"08735296"</f>
        <v>08735296</v>
      </c>
      <c r="D2019" s="1" t="s">
        <v>186</v>
      </c>
      <c r="F2019" s="1" t="str">
        <f>"174"</f>
        <v>174</v>
      </c>
      <c r="G2019" s="2">
        <v>41905.0</v>
      </c>
      <c r="H2019" s="1">
        <v>589900.0</v>
      </c>
      <c r="I2019" s="1">
        <v>191.0</v>
      </c>
      <c r="J2019" s="1">
        <v>575000.0</v>
      </c>
      <c r="K2019" s="2">
        <v>41968.0</v>
      </c>
      <c r="L2019" s="1">
        <v>64.0</v>
      </c>
      <c r="M2019" s="2">
        <v>41968.0</v>
      </c>
      <c r="N2019" s="1" t="s">
        <v>187</v>
      </c>
      <c r="O2019" s="2">
        <v>42041.0</v>
      </c>
      <c r="P2019" s="1">
        <v>242000.0</v>
      </c>
      <c r="Q2019" s="1">
        <v>8666.0</v>
      </c>
      <c r="S2019" s="1" t="s">
        <v>19175</v>
      </c>
      <c r="T2019" s="1" t="s">
        <v>16259</v>
      </c>
      <c r="U2019" s="1" t="s">
        <v>464</v>
      </c>
      <c r="V2019" s="1" t="s">
        <v>1200</v>
      </c>
      <c r="W2019" s="1">
        <v>60175.0</v>
      </c>
      <c r="Y2019" s="1" t="s">
        <v>19176</v>
      </c>
      <c r="Z2019" s="1">
        <v>1993.0</v>
      </c>
      <c r="AA2019" s="1" t="s">
        <v>200</v>
      </c>
      <c r="AB2019" s="1" t="s">
        <v>467</v>
      </c>
      <c r="AC2019" s="1" t="s">
        <v>16261</v>
      </c>
      <c r="AD2019" s="1" t="s">
        <v>1203</v>
      </c>
      <c r="AE2019" s="1" t="s">
        <v>325</v>
      </c>
      <c r="AF2019" s="1" t="s">
        <v>1203</v>
      </c>
      <c r="AH2019" s="1" t="s">
        <v>19177</v>
      </c>
      <c r="AI2019" s="1">
        <v>1.9</v>
      </c>
      <c r="AK2019" s="1">
        <v>13.0</v>
      </c>
      <c r="AL2019" s="1">
        <v>4.0</v>
      </c>
      <c r="AM2019" s="1">
        <v>4.0</v>
      </c>
      <c r="AN2019" s="1">
        <v>1.0</v>
      </c>
      <c r="AO2019" s="1" t="s">
        <v>198</v>
      </c>
      <c r="AP2019" s="1">
        <v>3.0</v>
      </c>
      <c r="AQ2019" s="1" t="s">
        <v>198</v>
      </c>
      <c r="AR2019" s="1" t="s">
        <v>192</v>
      </c>
      <c r="AS2019" s="1" t="s">
        <v>199</v>
      </c>
      <c r="AT2019" s="1">
        <v>3.0</v>
      </c>
      <c r="AV2019" s="1" t="s">
        <v>200</v>
      </c>
      <c r="AW2019" s="1">
        <v>18867.0</v>
      </c>
      <c r="AX2019" s="1">
        <v>2013.0</v>
      </c>
      <c r="AY2019" s="1" t="s">
        <v>229</v>
      </c>
      <c r="AZ2019" s="1" t="s">
        <v>200</v>
      </c>
      <c r="BA2019" s="1" t="str">
        <f>"0917378002"</f>
        <v>0917378002</v>
      </c>
      <c r="BC2019" s="1">
        <v>4837.0</v>
      </c>
      <c r="BD2019" s="1">
        <v>558000.0</v>
      </c>
      <c r="BE2019" s="2">
        <v>41905.0</v>
      </c>
      <c r="BF2019" s="2" t="s">
        <v>19178</v>
      </c>
      <c r="BH2019" s="1">
        <v>125.0</v>
      </c>
      <c r="BJ2019" s="1" t="s">
        <v>2200</v>
      </c>
      <c r="BK2019" s="1" t="s">
        <v>580</v>
      </c>
      <c r="BL2019" s="1" t="str">
        <f>"5"</f>
        <v>5</v>
      </c>
      <c r="BM2019" s="1" t="str">
        <f>"0"</f>
        <v>0</v>
      </c>
      <c r="BN2019" s="1">
        <v>37.0</v>
      </c>
      <c r="BO2019" s="1">
        <v>0.0</v>
      </c>
      <c r="BQ2019" s="1">
        <v>303.0</v>
      </c>
      <c r="BR2019" s="1">
        <v>303.0</v>
      </c>
      <c r="BS2019" s="1">
        <v>303.0</v>
      </c>
      <c r="BU2019" s="1" t="s">
        <v>260</v>
      </c>
      <c r="BV2019" s="1" t="s">
        <v>206</v>
      </c>
      <c r="BW2019" s="1" t="s">
        <v>210</v>
      </c>
      <c r="BY2019" s="1" t="s">
        <v>2120</v>
      </c>
      <c r="BZ2019" s="1" t="s">
        <v>209</v>
      </c>
      <c r="CA2019" s="1" t="s">
        <v>210</v>
      </c>
      <c r="CC2019" s="1" t="s">
        <v>1117</v>
      </c>
      <c r="CD2019" s="1" t="s">
        <v>206</v>
      </c>
      <c r="CE2019" s="1" t="s">
        <v>210</v>
      </c>
      <c r="CG2019" s="1" t="s">
        <v>433</v>
      </c>
      <c r="CH2019" s="1" t="s">
        <v>209</v>
      </c>
      <c r="CI2019" s="1" t="s">
        <v>210</v>
      </c>
      <c r="CK2019" s="1" t="s">
        <v>758</v>
      </c>
      <c r="CL2019" s="1" t="s">
        <v>209</v>
      </c>
      <c r="CM2019" s="1" t="s">
        <v>210</v>
      </c>
      <c r="CO2019" s="1" t="s">
        <v>213</v>
      </c>
      <c r="CP2019" s="1" t="s">
        <v>209</v>
      </c>
      <c r="CQ2019" s="1" t="s">
        <v>210</v>
      </c>
      <c r="CS2019" s="1" t="s">
        <v>19179</v>
      </c>
      <c r="CT2019" s="1" t="s">
        <v>206</v>
      </c>
      <c r="CU2019" s="1" t="s">
        <v>207</v>
      </c>
      <c r="CW2019" s="1" t="s">
        <v>3658</v>
      </c>
      <c r="CX2019" s="1" t="s">
        <v>206</v>
      </c>
      <c r="CY2019" s="1" t="s">
        <v>210</v>
      </c>
      <c r="DA2019" s="1" t="s">
        <v>200</v>
      </c>
      <c r="DC2019" s="1" t="s">
        <v>435</v>
      </c>
      <c r="DD2019" s="1" t="s">
        <v>4137</v>
      </c>
      <c r="DE2019" s="1" t="s">
        <v>218</v>
      </c>
      <c r="DF2019" s="1" t="s">
        <v>745</v>
      </c>
      <c r="DG2019" s="1" t="s">
        <v>3769</v>
      </c>
      <c r="DH2019" s="1" t="s">
        <v>856</v>
      </c>
      <c r="DI2019" s="1" t="s">
        <v>19180</v>
      </c>
      <c r="DJ2019" s="1" t="s">
        <v>857</v>
      </c>
      <c r="DL2019" s="1" t="s">
        <v>224</v>
      </c>
      <c r="DM2019" s="1" t="s">
        <v>338</v>
      </c>
      <c r="DN2019" s="1" t="s">
        <v>399</v>
      </c>
      <c r="DO2019" s="1" t="s">
        <v>6435</v>
      </c>
      <c r="DP2019" s="1" t="s">
        <v>340</v>
      </c>
      <c r="DQ2019" s="1" t="s">
        <v>931</v>
      </c>
      <c r="DR2019" s="1" t="s">
        <v>1487</v>
      </c>
      <c r="DS2019" s="1" t="s">
        <v>368</v>
      </c>
      <c r="DU2019" s="1" t="s">
        <v>9800</v>
      </c>
      <c r="DV2019" s="1" t="s">
        <v>19181</v>
      </c>
      <c r="DW2019" s="1" t="s">
        <v>764</v>
      </c>
      <c r="DX2019" s="1" t="s">
        <v>234</v>
      </c>
      <c r="DY2019" s="1" t="s">
        <v>19182</v>
      </c>
      <c r="DZ2019" s="1" t="s">
        <v>19183</v>
      </c>
      <c r="EA2019" s="1" t="s">
        <v>344</v>
      </c>
      <c r="EB2019" s="1" t="s">
        <v>684</v>
      </c>
      <c r="EC2019" s="1" t="s">
        <v>237</v>
      </c>
      <c r="ED2019" s="1" t="s">
        <v>407</v>
      </c>
      <c r="EG2019" s="1" t="s">
        <v>494</v>
      </c>
      <c r="EH2019" s="1" t="s">
        <v>450</v>
      </c>
      <c r="EI2019" s="1" t="s">
        <v>451</v>
      </c>
      <c r="EJ2019" s="1" t="s">
        <v>1824</v>
      </c>
      <c r="EK2019" s="1" t="s">
        <v>1729</v>
      </c>
      <c r="EL2019" s="1" t="s">
        <v>433</v>
      </c>
      <c r="EM2019" s="1" t="s">
        <v>206</v>
      </c>
      <c r="EN2019" s="1" t="s">
        <v>210</v>
      </c>
      <c r="EP2019" s="1" t="s">
        <v>11953</v>
      </c>
      <c r="EQ2019" s="1" t="s">
        <v>42</v>
      </c>
      <c r="ER2019" s="1" t="s">
        <v>210</v>
      </c>
      <c r="ET2019" s="1" t="s">
        <v>2404</v>
      </c>
      <c r="EU2019" s="1" t="s">
        <v>42</v>
      </c>
      <c r="EV2019" s="1" t="s">
        <v>210</v>
      </c>
      <c r="EX2019" s="1" t="s">
        <v>540</v>
      </c>
      <c r="EY2019" s="1" t="s">
        <v>42</v>
      </c>
      <c r="EZ2019" s="1" t="s">
        <v>210</v>
      </c>
      <c r="FB2019" s="1" t="s">
        <v>639</v>
      </c>
      <c r="FC2019" s="1" t="s">
        <v>206</v>
      </c>
      <c r="FD2019" s="1" t="s">
        <v>268</v>
      </c>
      <c r="FF2019" s="1" t="s">
        <v>239</v>
      </c>
      <c r="FG2019" s="1" t="s">
        <v>192</v>
      </c>
      <c r="FH2019" s="1" t="s">
        <v>192</v>
      </c>
      <c r="FJ2019" s="1" t="s">
        <v>2206</v>
      </c>
      <c r="FK2019" s="1" t="s">
        <v>229</v>
      </c>
      <c r="FL2019" s="1" t="s">
        <v>893</v>
      </c>
      <c r="FM2019" s="1">
        <v>604.0</v>
      </c>
      <c r="FN2019" s="1" t="s">
        <v>894</v>
      </c>
      <c r="FO2019" s="1" t="s">
        <v>2207</v>
      </c>
      <c r="FP2019" s="1">
        <v>681.0</v>
      </c>
      <c r="FQ2019" s="1" t="s">
        <v>2208</v>
      </c>
      <c r="FR2019" s="1">
        <v>824.0</v>
      </c>
      <c r="FS2019" s="1" t="s">
        <v>2209</v>
      </c>
      <c r="FU2019" s="1" t="s">
        <v>2210</v>
      </c>
      <c r="FV2019" s="1" t="s">
        <v>200</v>
      </c>
      <c r="FW2019" s="1" t="s">
        <v>530</v>
      </c>
      <c r="FZ2019" s="1" t="s">
        <v>229</v>
      </c>
      <c r="GA2019" s="1" t="s">
        <v>291</v>
      </c>
      <c r="GB2019" s="2">
        <v>42041.0</v>
      </c>
    </row>
    <row r="2020">
      <c r="A2020" s="1">
        <v>260000.0</v>
      </c>
      <c r="B2020" s="1" t="s">
        <v>185</v>
      </c>
      <c r="C2020" s="1" t="str">
        <f>"08735851"</f>
        <v>08735851</v>
      </c>
      <c r="D2020" s="1" t="s">
        <v>186</v>
      </c>
      <c r="F2020" s="1" t="str">
        <f>"123"</f>
        <v>123</v>
      </c>
      <c r="G2020" s="2">
        <v>41905.0</v>
      </c>
      <c r="H2020" s="1">
        <v>274900.0</v>
      </c>
      <c r="I2020" s="1">
        <v>35.0</v>
      </c>
      <c r="J2020" s="1">
        <v>264900.0</v>
      </c>
      <c r="K2020" s="2">
        <v>41939.0</v>
      </c>
      <c r="L2020" s="1">
        <v>35.0</v>
      </c>
      <c r="M2020" s="2">
        <v>41939.0</v>
      </c>
      <c r="N2020" s="1" t="s">
        <v>187</v>
      </c>
      <c r="O2020" s="2">
        <v>41990.0</v>
      </c>
      <c r="P2020" s="1">
        <v>70036.0</v>
      </c>
      <c r="Q2020" s="1">
        <v>7450.0</v>
      </c>
      <c r="S2020" s="1" t="s">
        <v>19184</v>
      </c>
      <c r="T2020" s="1" t="s">
        <v>19185</v>
      </c>
      <c r="U2020" s="1" t="s">
        <v>569</v>
      </c>
      <c r="V2020" s="1" t="s">
        <v>465</v>
      </c>
      <c r="W2020" s="1">
        <v>60124.0</v>
      </c>
      <c r="Y2020" s="1" t="s">
        <v>19186</v>
      </c>
      <c r="Z2020" s="1">
        <v>1973.0</v>
      </c>
      <c r="AA2020" s="1" t="s">
        <v>192</v>
      </c>
      <c r="AB2020" s="1" t="s">
        <v>193</v>
      </c>
      <c r="AD2020" s="1" t="s">
        <v>469</v>
      </c>
      <c r="AE2020" s="1" t="s">
        <v>325</v>
      </c>
      <c r="AF2020" s="1" t="s">
        <v>469</v>
      </c>
      <c r="AH2020" s="1" t="s">
        <v>19187</v>
      </c>
      <c r="AI2020" s="1">
        <v>0.6634</v>
      </c>
      <c r="AK2020" s="1">
        <v>12.0</v>
      </c>
      <c r="AL2020" s="1">
        <v>3.0</v>
      </c>
      <c r="AM2020" s="1">
        <v>2.0</v>
      </c>
      <c r="AN2020" s="1">
        <v>1.0</v>
      </c>
      <c r="AO2020" s="1" t="s">
        <v>198</v>
      </c>
      <c r="AP2020" s="1">
        <v>2.0</v>
      </c>
      <c r="AQ2020" s="1" t="s">
        <v>198</v>
      </c>
      <c r="AR2020" s="1" t="s">
        <v>200</v>
      </c>
      <c r="AS2020" s="1" t="s">
        <v>199</v>
      </c>
      <c r="AT2020" s="1">
        <v>3.0</v>
      </c>
      <c r="AV2020" s="1" t="s">
        <v>200</v>
      </c>
      <c r="AW2020" s="4">
        <v>4481.44</v>
      </c>
      <c r="AX2020" s="1">
        <v>2013.0</v>
      </c>
      <c r="AY2020" s="1" t="s">
        <v>1179</v>
      </c>
      <c r="AZ2020" s="1" t="s">
        <v>200</v>
      </c>
      <c r="BA2020" s="1" t="str">
        <f>"0631277013"</f>
        <v>0631277013</v>
      </c>
      <c r="BB2020" s="1" t="s">
        <v>200</v>
      </c>
      <c r="BC2020" s="1">
        <v>0.0</v>
      </c>
      <c r="BD2020" s="1">
        <v>260000.0</v>
      </c>
      <c r="BE2020" s="2">
        <v>41905.0</v>
      </c>
      <c r="BF2020" s="2" t="s">
        <v>19188</v>
      </c>
      <c r="BH2020" s="1">
        <v>0.0</v>
      </c>
      <c r="BK2020" s="1" t="s">
        <v>204</v>
      </c>
      <c r="BL2020" s="1" t="str">
        <f t="shared" ref="BL2020:BM2020" si="1328">""</f>
        <v/>
      </c>
      <c r="BM2020" s="1" t="str">
        <f t="shared" si="1328"/>
        <v/>
      </c>
      <c r="BQ2020" s="1">
        <v>46.0</v>
      </c>
      <c r="BR2020" s="1">
        <v>46.0</v>
      </c>
      <c r="BS2020" s="1">
        <v>46.0</v>
      </c>
      <c r="BU2020" s="1" t="s">
        <v>664</v>
      </c>
      <c r="BV2020" s="1" t="s">
        <v>206</v>
      </c>
      <c r="BW2020" s="1" t="s">
        <v>210</v>
      </c>
      <c r="BY2020" s="1" t="s">
        <v>433</v>
      </c>
      <c r="BZ2020" s="1" t="s">
        <v>206</v>
      </c>
      <c r="CA2020" s="1" t="s">
        <v>210</v>
      </c>
      <c r="CC2020" s="1" t="s">
        <v>495</v>
      </c>
      <c r="CD2020" s="1" t="s">
        <v>206</v>
      </c>
      <c r="CE2020" s="1" t="s">
        <v>210</v>
      </c>
      <c r="CG2020" s="1" t="s">
        <v>497</v>
      </c>
      <c r="CH2020" s="1" t="s">
        <v>206</v>
      </c>
      <c r="CI2020" s="1" t="s">
        <v>210</v>
      </c>
      <c r="CK2020" s="1" t="s">
        <v>495</v>
      </c>
      <c r="CL2020" s="1" t="s">
        <v>206</v>
      </c>
      <c r="CM2020" s="1" t="s">
        <v>210</v>
      </c>
      <c r="CO2020" s="1" t="s">
        <v>1119</v>
      </c>
      <c r="CP2020" s="1" t="s">
        <v>42</v>
      </c>
      <c r="CQ2020" s="1" t="s">
        <v>210</v>
      </c>
      <c r="CS2020" s="1" t="s">
        <v>264</v>
      </c>
      <c r="CT2020" s="1" t="s">
        <v>206</v>
      </c>
      <c r="CU2020" s="1" t="s">
        <v>207</v>
      </c>
      <c r="CW2020" s="1" t="s">
        <v>3817</v>
      </c>
      <c r="CX2020" s="1" t="s">
        <v>206</v>
      </c>
      <c r="CY2020" s="1" t="s">
        <v>210</v>
      </c>
      <c r="DA2020" s="1" t="s">
        <v>200</v>
      </c>
      <c r="DC2020" s="1" t="s">
        <v>517</v>
      </c>
      <c r="DD2020" s="1" t="s">
        <v>518</v>
      </c>
      <c r="DE2020" s="1" t="s">
        <v>273</v>
      </c>
      <c r="DF2020" s="1" t="s">
        <v>219</v>
      </c>
      <c r="DH2020" s="1" t="s">
        <v>856</v>
      </c>
      <c r="DI2020" s="1" t="s">
        <v>703</v>
      </c>
      <c r="DJ2020" s="1" t="s">
        <v>857</v>
      </c>
      <c r="DL2020" s="1" t="s">
        <v>224</v>
      </c>
      <c r="DM2020" s="1" t="s">
        <v>338</v>
      </c>
      <c r="DP2020" s="1" t="s">
        <v>340</v>
      </c>
      <c r="DQ2020" s="1" t="s">
        <v>1557</v>
      </c>
      <c r="DR2020" s="1" t="s">
        <v>229</v>
      </c>
      <c r="DS2020" s="1" t="s">
        <v>230</v>
      </c>
      <c r="DU2020" s="1" t="s">
        <v>231</v>
      </c>
      <c r="DV2020" s="1" t="s">
        <v>19189</v>
      </c>
      <c r="DW2020" s="1" t="s">
        <v>370</v>
      </c>
      <c r="DX2020" s="1" t="s">
        <v>234</v>
      </c>
      <c r="DY2020" s="1" t="s">
        <v>553</v>
      </c>
      <c r="DZ2020" s="1" t="s">
        <v>2204</v>
      </c>
      <c r="EA2020" s="1" t="s">
        <v>683</v>
      </c>
      <c r="EB2020" s="1" t="s">
        <v>492</v>
      </c>
      <c r="EC2020" s="1" t="s">
        <v>685</v>
      </c>
      <c r="ED2020" s="1" t="s">
        <v>407</v>
      </c>
      <c r="EE2020" s="1" t="s">
        <v>493</v>
      </c>
      <c r="EG2020" s="1" t="s">
        <v>450</v>
      </c>
      <c r="EH2020" s="1" t="s">
        <v>2023</v>
      </c>
      <c r="EI2020" s="1" t="s">
        <v>1467</v>
      </c>
      <c r="EJ2020" s="1" t="s">
        <v>449</v>
      </c>
      <c r="EL2020" s="1" t="s">
        <v>479</v>
      </c>
      <c r="EM2020" s="1" t="s">
        <v>42</v>
      </c>
      <c r="EN2020" s="1" t="s">
        <v>210</v>
      </c>
      <c r="EP2020" s="1" t="s">
        <v>1534</v>
      </c>
      <c r="EQ2020" s="1" t="s">
        <v>42</v>
      </c>
      <c r="ER2020" s="1" t="s">
        <v>210</v>
      </c>
      <c r="ET2020" s="1" t="s">
        <v>1158</v>
      </c>
      <c r="EU2020" s="1" t="s">
        <v>42</v>
      </c>
      <c r="EV2020" s="1" t="s">
        <v>210</v>
      </c>
      <c r="EX2020" s="1" t="s">
        <v>1117</v>
      </c>
      <c r="EY2020" s="1" t="s">
        <v>206</v>
      </c>
      <c r="EZ2020" s="1" t="s">
        <v>207</v>
      </c>
      <c r="FC2020" s="1" t="s">
        <v>238</v>
      </c>
      <c r="FF2020" s="1" t="s">
        <v>239</v>
      </c>
      <c r="FG2020" s="1" t="s">
        <v>192</v>
      </c>
      <c r="FH2020" s="1" t="s">
        <v>192</v>
      </c>
      <c r="FJ2020" s="1" t="s">
        <v>2552</v>
      </c>
      <c r="FK2020" s="1" t="s">
        <v>348</v>
      </c>
      <c r="FL2020" s="1" t="s">
        <v>1451</v>
      </c>
      <c r="FM2020" s="1">
        <v>7450.0</v>
      </c>
      <c r="FN2020" s="1" t="s">
        <v>1452</v>
      </c>
      <c r="FO2020" s="1" t="s">
        <v>5583</v>
      </c>
      <c r="FP2020" s="1">
        <v>70036.0</v>
      </c>
      <c r="FQ2020" s="1" t="s">
        <v>5584</v>
      </c>
      <c r="FR2020" s="1">
        <v>77640.0</v>
      </c>
      <c r="FU2020" s="1" t="s">
        <v>5585</v>
      </c>
      <c r="FV2020" s="1" t="s">
        <v>200</v>
      </c>
      <c r="FW2020" s="1" t="s">
        <v>290</v>
      </c>
      <c r="FZ2020" s="1" t="s">
        <v>632</v>
      </c>
      <c r="GA2020" s="1" t="s">
        <v>291</v>
      </c>
      <c r="GB2020" s="2">
        <v>41990.0</v>
      </c>
      <c r="GC2020" s="1" t="s">
        <v>19190</v>
      </c>
    </row>
    <row r="2021">
      <c r="A2021" s="1">
        <v>365000.0</v>
      </c>
      <c r="B2021" s="1" t="s">
        <v>185</v>
      </c>
      <c r="C2021" s="1" t="str">
        <f>"08736510"</f>
        <v>08736510</v>
      </c>
      <c r="D2021" s="1" t="s">
        <v>186</v>
      </c>
      <c r="F2021" s="1" t="str">
        <f>"174"</f>
        <v>174</v>
      </c>
      <c r="G2021" s="2">
        <v>41906.0</v>
      </c>
      <c r="H2021" s="1">
        <v>374900.0</v>
      </c>
      <c r="I2021" s="1">
        <v>32.0</v>
      </c>
      <c r="J2021" s="1">
        <v>374900.0</v>
      </c>
      <c r="K2021" s="2">
        <v>41937.0</v>
      </c>
      <c r="L2021" s="1">
        <v>32.0</v>
      </c>
      <c r="M2021" s="2">
        <v>41937.0</v>
      </c>
      <c r="N2021" s="1" t="s">
        <v>187</v>
      </c>
      <c r="O2021" s="2">
        <v>42066.0</v>
      </c>
      <c r="P2021" s="1">
        <v>244776.0</v>
      </c>
      <c r="Q2021" s="1">
        <v>24213.0</v>
      </c>
      <c r="S2021" s="1">
        <v>407.0</v>
      </c>
      <c r="T2021" s="1" t="s">
        <v>19191</v>
      </c>
      <c r="U2021" s="1" t="s">
        <v>1174</v>
      </c>
      <c r="V2021" s="1" t="s">
        <v>1200</v>
      </c>
      <c r="W2021" s="1">
        <v>60174.0</v>
      </c>
      <c r="Y2021" s="1" t="s">
        <v>19192</v>
      </c>
      <c r="Z2021" s="1">
        <v>1971.0</v>
      </c>
      <c r="AA2021" s="1" t="s">
        <v>192</v>
      </c>
      <c r="AB2021" s="1" t="s">
        <v>193</v>
      </c>
      <c r="AC2021" s="1" t="s">
        <v>19193</v>
      </c>
      <c r="AD2021" s="1" t="s">
        <v>1203</v>
      </c>
      <c r="AE2021" s="1" t="s">
        <v>325</v>
      </c>
      <c r="AF2021" s="1" t="s">
        <v>1203</v>
      </c>
      <c r="AH2021" s="1" t="s">
        <v>19194</v>
      </c>
      <c r="AI2021" s="1">
        <v>0.37</v>
      </c>
      <c r="AK2021" s="1">
        <v>11.0</v>
      </c>
      <c r="AL2021" s="1">
        <v>4.0</v>
      </c>
      <c r="AM2021" s="1">
        <v>2.0</v>
      </c>
      <c r="AN2021" s="1">
        <v>1.0</v>
      </c>
      <c r="AO2021" s="1" t="s">
        <v>198</v>
      </c>
      <c r="AP2021" s="1">
        <v>1.0</v>
      </c>
      <c r="AQ2021" s="1" t="s">
        <v>198</v>
      </c>
      <c r="AR2021" s="1" t="s">
        <v>200</v>
      </c>
      <c r="AS2021" s="1" t="s">
        <v>199</v>
      </c>
      <c r="AT2021" s="1">
        <v>2.0</v>
      </c>
      <c r="AV2021" s="1" t="s">
        <v>200</v>
      </c>
      <c r="AW2021" s="1">
        <v>8494.0</v>
      </c>
      <c r="AX2021" s="1">
        <v>2013.0</v>
      </c>
      <c r="AY2021" s="1" t="s">
        <v>387</v>
      </c>
      <c r="AZ2021" s="1" t="s">
        <v>200</v>
      </c>
      <c r="BA2021" s="1" t="str">
        <f>"0926179022"</f>
        <v>0926179022</v>
      </c>
      <c r="BB2021" s="1" t="s">
        <v>200</v>
      </c>
      <c r="BC2021" s="1">
        <v>2840.0</v>
      </c>
      <c r="BD2021" s="1">
        <v>365000.0</v>
      </c>
      <c r="BE2021" s="2">
        <v>41906.0</v>
      </c>
      <c r="BF2021" s="2" t="s">
        <v>19195</v>
      </c>
      <c r="BG2021" s="1" t="s">
        <v>2142</v>
      </c>
      <c r="BH2021" s="1">
        <v>0.0</v>
      </c>
      <c r="BI2021" s="1" t="s">
        <v>2143</v>
      </c>
      <c r="BJ2021" s="1" t="s">
        <v>2144</v>
      </c>
      <c r="BK2021" s="1" t="s">
        <v>204</v>
      </c>
      <c r="BL2021" s="1" t="str">
        <f t="shared" ref="BL2021:BM2021" si="1329">""</f>
        <v/>
      </c>
      <c r="BM2021" s="1" t="str">
        <f t="shared" si="1329"/>
        <v/>
      </c>
      <c r="BQ2021" s="1">
        <v>303.0</v>
      </c>
      <c r="BR2021" s="1">
        <v>303.0</v>
      </c>
      <c r="BS2021" s="1">
        <v>303.0</v>
      </c>
      <c r="BU2021" s="1" t="s">
        <v>3888</v>
      </c>
      <c r="BV2021" s="1" t="s">
        <v>206</v>
      </c>
      <c r="BW2021" s="1" t="s">
        <v>207</v>
      </c>
      <c r="BY2021" s="1" t="s">
        <v>1623</v>
      </c>
      <c r="BZ2021" s="1" t="s">
        <v>209</v>
      </c>
      <c r="CA2021" s="1" t="s">
        <v>210</v>
      </c>
      <c r="CC2021" s="1" t="s">
        <v>270</v>
      </c>
      <c r="CD2021" s="1" t="s">
        <v>206</v>
      </c>
      <c r="CE2021" s="1" t="s">
        <v>207</v>
      </c>
      <c r="CG2021" s="1" t="s">
        <v>433</v>
      </c>
      <c r="CH2021" s="1" t="s">
        <v>209</v>
      </c>
      <c r="CI2021" s="1" t="s">
        <v>210</v>
      </c>
      <c r="CK2021" s="1" t="s">
        <v>454</v>
      </c>
      <c r="CL2021" s="1" t="s">
        <v>209</v>
      </c>
      <c r="CM2021" s="1" t="s">
        <v>210</v>
      </c>
      <c r="CO2021" s="1" t="s">
        <v>1417</v>
      </c>
      <c r="CP2021" s="1" t="s">
        <v>209</v>
      </c>
      <c r="CQ2021" s="1" t="s">
        <v>210</v>
      </c>
      <c r="CS2021" s="1" t="s">
        <v>1279</v>
      </c>
      <c r="CT2021" s="1" t="s">
        <v>206</v>
      </c>
      <c r="CU2021" s="1" t="s">
        <v>207</v>
      </c>
      <c r="CW2021" s="1" t="s">
        <v>924</v>
      </c>
      <c r="CX2021" s="1" t="s">
        <v>206</v>
      </c>
      <c r="CY2021" s="1" t="s">
        <v>207</v>
      </c>
      <c r="DA2021" s="1" t="s">
        <v>200</v>
      </c>
      <c r="DC2021" s="1" t="s">
        <v>517</v>
      </c>
      <c r="DD2021" s="1" t="s">
        <v>272</v>
      </c>
      <c r="DE2021" s="1" t="s">
        <v>273</v>
      </c>
      <c r="DF2021" s="1" t="s">
        <v>219</v>
      </c>
      <c r="DG2021" s="1" t="s">
        <v>482</v>
      </c>
      <c r="DH2021" s="1" t="s">
        <v>220</v>
      </c>
      <c r="DI2021" s="1" t="s">
        <v>221</v>
      </c>
      <c r="DJ2021" s="1" t="s">
        <v>1048</v>
      </c>
      <c r="DK2021" s="1" t="s">
        <v>198</v>
      </c>
      <c r="DL2021" s="1" t="s">
        <v>3611</v>
      </c>
      <c r="DM2021" s="1" t="s">
        <v>338</v>
      </c>
      <c r="DN2021" s="1" t="s">
        <v>3293</v>
      </c>
      <c r="DO2021" s="1" t="s">
        <v>12169</v>
      </c>
      <c r="DP2021" s="1" t="s">
        <v>340</v>
      </c>
      <c r="DQ2021" s="1" t="s">
        <v>441</v>
      </c>
      <c r="DR2021" s="1" t="s">
        <v>229</v>
      </c>
      <c r="DU2021" s="1" t="s">
        <v>19196</v>
      </c>
      <c r="DV2021" s="1" t="s">
        <v>19197</v>
      </c>
      <c r="DW2021" s="1" t="s">
        <v>233</v>
      </c>
      <c r="DX2021" s="1" t="s">
        <v>234</v>
      </c>
      <c r="DY2021" s="1" t="s">
        <v>490</v>
      </c>
      <c r="DZ2021" s="1" t="s">
        <v>796</v>
      </c>
      <c r="EB2021" s="1" t="s">
        <v>937</v>
      </c>
      <c r="EC2021" s="1" t="s">
        <v>237</v>
      </c>
      <c r="ED2021" s="1" t="s">
        <v>407</v>
      </c>
      <c r="EG2021" s="1" t="s">
        <v>449</v>
      </c>
      <c r="EH2021" s="1" t="s">
        <v>450</v>
      </c>
      <c r="EI2021" s="1" t="s">
        <v>1729</v>
      </c>
      <c r="EJ2021" s="1" t="s">
        <v>408</v>
      </c>
      <c r="EK2021" s="1" t="s">
        <v>1270</v>
      </c>
      <c r="EL2021" s="1" t="s">
        <v>1567</v>
      </c>
      <c r="EM2021" s="1" t="s">
        <v>206</v>
      </c>
      <c r="EN2021" s="1" t="s">
        <v>207</v>
      </c>
      <c r="EP2021" s="1" t="s">
        <v>7950</v>
      </c>
      <c r="EQ2021" s="1" t="s">
        <v>42</v>
      </c>
      <c r="ET2021" s="1" t="s">
        <v>1483</v>
      </c>
      <c r="EU2021" s="1" t="s">
        <v>206</v>
      </c>
      <c r="EV2021" s="1" t="s">
        <v>207</v>
      </c>
      <c r="EX2021" s="1" t="s">
        <v>2242</v>
      </c>
      <c r="EY2021" s="1" t="s">
        <v>206</v>
      </c>
      <c r="EZ2021" s="1" t="s">
        <v>207</v>
      </c>
      <c r="FB2021" s="1" t="s">
        <v>11480</v>
      </c>
      <c r="FC2021" s="1" t="s">
        <v>42</v>
      </c>
      <c r="FF2021" s="1" t="s">
        <v>239</v>
      </c>
      <c r="FG2021" s="1" t="s">
        <v>200</v>
      </c>
      <c r="FH2021" s="1" t="s">
        <v>192</v>
      </c>
      <c r="FJ2021" s="1" t="s">
        <v>19198</v>
      </c>
      <c r="FK2021" s="1" t="s">
        <v>348</v>
      </c>
      <c r="FL2021" s="1" t="s">
        <v>4309</v>
      </c>
      <c r="FM2021" s="1">
        <v>74.0</v>
      </c>
      <c r="FN2021" s="1" t="s">
        <v>5786</v>
      </c>
      <c r="FO2021" s="1" t="s">
        <v>19199</v>
      </c>
      <c r="FP2021" s="1">
        <v>8701.0</v>
      </c>
      <c r="FU2021" s="1" t="s">
        <v>19200</v>
      </c>
      <c r="FV2021" s="1" t="s">
        <v>200</v>
      </c>
      <c r="FW2021" s="1" t="s">
        <v>530</v>
      </c>
      <c r="FZ2021" s="1" t="s">
        <v>632</v>
      </c>
      <c r="GA2021" s="1" t="s">
        <v>291</v>
      </c>
      <c r="GB2021" s="2">
        <v>42066.0</v>
      </c>
      <c r="GC2021" s="1" t="s">
        <v>19201</v>
      </c>
    </row>
    <row r="2022">
      <c r="A2022" s="1">
        <v>327000.0</v>
      </c>
      <c r="B2022" s="1" t="s">
        <v>185</v>
      </c>
      <c r="C2022" s="1" t="str">
        <f>"08733580"</f>
        <v>08733580</v>
      </c>
      <c r="D2022" s="1" t="s">
        <v>186</v>
      </c>
      <c r="F2022" s="1" t="str">
        <f>"184"</f>
        <v>184</v>
      </c>
      <c r="G2022" s="2">
        <v>41902.0</v>
      </c>
      <c r="H2022" s="1">
        <v>385000.0</v>
      </c>
      <c r="I2022" s="1">
        <v>687.0</v>
      </c>
      <c r="J2022" s="1">
        <v>360000.0</v>
      </c>
      <c r="K2022" s="2">
        <v>42021.0</v>
      </c>
      <c r="L2022" s="1">
        <v>123.0</v>
      </c>
      <c r="M2022" s="2">
        <v>42021.0</v>
      </c>
      <c r="N2022" s="1" t="s">
        <v>187</v>
      </c>
      <c r="O2022" s="2">
        <v>42069.0</v>
      </c>
      <c r="P2022" s="1">
        <v>81676.0</v>
      </c>
      <c r="Q2022" s="1">
        <v>8666.0</v>
      </c>
      <c r="S2022" s="1" t="s">
        <v>19202</v>
      </c>
      <c r="T2022" s="1" t="s">
        <v>19203</v>
      </c>
      <c r="U2022" s="1" t="s">
        <v>464</v>
      </c>
      <c r="V2022" s="1" t="s">
        <v>3870</v>
      </c>
      <c r="W2022" s="1">
        <v>60184.0</v>
      </c>
      <c r="Y2022" s="1" t="s">
        <v>19204</v>
      </c>
      <c r="Z2022" s="1">
        <v>1960.0</v>
      </c>
      <c r="AA2022" s="1" t="s">
        <v>192</v>
      </c>
      <c r="AB2022" s="1" t="s">
        <v>193</v>
      </c>
      <c r="AD2022" s="1" t="s">
        <v>3935</v>
      </c>
      <c r="AE2022" s="1" t="s">
        <v>325</v>
      </c>
      <c r="AF2022" s="1" t="s">
        <v>1203</v>
      </c>
      <c r="AH2022" s="1" t="s">
        <v>19205</v>
      </c>
      <c r="AI2022" s="1">
        <v>4.34</v>
      </c>
      <c r="AK2022" s="1">
        <v>8.0</v>
      </c>
      <c r="AL2022" s="1">
        <v>4.0</v>
      </c>
      <c r="AM2022" s="1">
        <v>2.0</v>
      </c>
      <c r="AN2022" s="1">
        <v>0.0</v>
      </c>
      <c r="AO2022" s="1" t="s">
        <v>229</v>
      </c>
      <c r="AP2022" s="1">
        <v>1.0</v>
      </c>
      <c r="AQ2022" s="1" t="s">
        <v>198</v>
      </c>
      <c r="AR2022" s="1" t="s">
        <v>200</v>
      </c>
      <c r="AS2022" s="1" t="s">
        <v>199</v>
      </c>
      <c r="AT2022" s="1">
        <v>2.0</v>
      </c>
      <c r="AV2022" s="1" t="s">
        <v>200</v>
      </c>
      <c r="AW2022" s="1">
        <v>13016.0</v>
      </c>
      <c r="AX2022" s="1">
        <v>2013.0</v>
      </c>
      <c r="AY2022" s="1" t="s">
        <v>1179</v>
      </c>
      <c r="AZ2022" s="1" t="s">
        <v>200</v>
      </c>
      <c r="BA2022" s="1" t="str">
        <f>"0912100012"</f>
        <v>0912100012</v>
      </c>
      <c r="BB2022" s="1" t="s">
        <v>200</v>
      </c>
      <c r="BC2022" s="1">
        <v>2139.0</v>
      </c>
      <c r="BD2022" s="1">
        <v>327000.0</v>
      </c>
      <c r="BE2022" s="2">
        <v>41899.0</v>
      </c>
      <c r="BF2022" s="2" t="s">
        <v>19206</v>
      </c>
      <c r="BG2022" s="1" t="s">
        <v>11064</v>
      </c>
      <c r="BH2022" s="1">
        <v>500.0</v>
      </c>
      <c r="BI2022" s="1" t="s">
        <v>2143</v>
      </c>
      <c r="BJ2022" s="1" t="s">
        <v>2144</v>
      </c>
      <c r="BK2022" s="1" t="s">
        <v>580</v>
      </c>
      <c r="BL2022" s="1" t="str">
        <f t="shared" ref="BL2022:BM2022" si="1330">""</f>
        <v/>
      </c>
      <c r="BM2022" s="1" t="str">
        <f t="shared" si="1330"/>
        <v/>
      </c>
      <c r="BN2022" s="1">
        <v>33.0</v>
      </c>
      <c r="BQ2022" s="1">
        <v>303.0</v>
      </c>
      <c r="BR2022" s="1">
        <v>303.0</v>
      </c>
      <c r="BS2022" s="1">
        <v>303.0</v>
      </c>
      <c r="BU2022" s="1" t="s">
        <v>1953</v>
      </c>
      <c r="BV2022" s="1" t="s">
        <v>206</v>
      </c>
      <c r="BW2022" s="1" t="s">
        <v>207</v>
      </c>
      <c r="BX2022" s="1" t="s">
        <v>229</v>
      </c>
      <c r="BY2022" s="1" t="s">
        <v>361</v>
      </c>
      <c r="BZ2022" s="1" t="s">
        <v>206</v>
      </c>
      <c r="CA2022" s="1" t="s">
        <v>207</v>
      </c>
      <c r="CB2022" s="1" t="s">
        <v>229</v>
      </c>
      <c r="CC2022" s="1" t="s">
        <v>392</v>
      </c>
      <c r="CD2022" s="1" t="s">
        <v>206</v>
      </c>
      <c r="CE2022" s="1" t="s">
        <v>207</v>
      </c>
      <c r="CF2022" s="1" t="s">
        <v>229</v>
      </c>
      <c r="CG2022" s="1" t="s">
        <v>361</v>
      </c>
      <c r="CH2022" s="1" t="s">
        <v>206</v>
      </c>
      <c r="CI2022" s="1" t="s">
        <v>207</v>
      </c>
      <c r="CJ2022" s="1" t="s">
        <v>229</v>
      </c>
      <c r="CK2022" s="1" t="s">
        <v>639</v>
      </c>
      <c r="CL2022" s="1" t="s">
        <v>209</v>
      </c>
      <c r="CM2022" s="1" t="s">
        <v>210</v>
      </c>
      <c r="CN2022" s="1" t="s">
        <v>229</v>
      </c>
      <c r="CO2022" s="1" t="s">
        <v>1483</v>
      </c>
      <c r="CP2022" s="1" t="s">
        <v>209</v>
      </c>
      <c r="CQ2022" s="1" t="s">
        <v>210</v>
      </c>
      <c r="CR2022" s="1" t="s">
        <v>229</v>
      </c>
      <c r="CS2022" s="1" t="s">
        <v>392</v>
      </c>
      <c r="CT2022" s="1" t="s">
        <v>206</v>
      </c>
      <c r="CU2022" s="1" t="s">
        <v>207</v>
      </c>
      <c r="CV2022" s="1" t="s">
        <v>229</v>
      </c>
      <c r="CW2022" s="1" t="s">
        <v>260</v>
      </c>
      <c r="CX2022" s="1" t="s">
        <v>206</v>
      </c>
      <c r="CY2022" s="1" t="s">
        <v>207</v>
      </c>
      <c r="CZ2022" s="1" t="s">
        <v>229</v>
      </c>
      <c r="DA2022" s="1" t="s">
        <v>200</v>
      </c>
      <c r="DC2022" s="1" t="s">
        <v>271</v>
      </c>
      <c r="DD2022" s="1" t="s">
        <v>518</v>
      </c>
      <c r="DE2022" s="1" t="s">
        <v>1139</v>
      </c>
      <c r="DF2022" s="1" t="s">
        <v>19207</v>
      </c>
      <c r="DG2022" s="1" t="s">
        <v>12118</v>
      </c>
      <c r="DH2022" s="1" t="s">
        <v>856</v>
      </c>
      <c r="DI2022" s="1" t="s">
        <v>831</v>
      </c>
      <c r="DJ2022" s="1" t="s">
        <v>857</v>
      </c>
      <c r="DK2022" s="1" t="s">
        <v>224</v>
      </c>
      <c r="DL2022" s="1" t="s">
        <v>858</v>
      </c>
      <c r="DM2022" s="1" t="s">
        <v>338</v>
      </c>
      <c r="DO2022" s="1" t="s">
        <v>12456</v>
      </c>
      <c r="DP2022" s="1" t="s">
        <v>340</v>
      </c>
      <c r="DQ2022" s="1" t="s">
        <v>2549</v>
      </c>
      <c r="DR2022" s="1" t="s">
        <v>588</v>
      </c>
      <c r="DU2022" s="1" t="s">
        <v>19208</v>
      </c>
      <c r="DV2022" s="1" t="s">
        <v>232</v>
      </c>
      <c r="DW2022" s="1" t="s">
        <v>964</v>
      </c>
      <c r="DX2022" s="1" t="s">
        <v>234</v>
      </c>
      <c r="DY2022" s="1" t="s">
        <v>553</v>
      </c>
      <c r="DZ2022" s="1" t="s">
        <v>19209</v>
      </c>
      <c r="EA2022" s="1" t="s">
        <v>622</v>
      </c>
      <c r="EB2022" s="1" t="s">
        <v>345</v>
      </c>
      <c r="EC2022" s="1" t="s">
        <v>645</v>
      </c>
      <c r="ED2022" s="1" t="s">
        <v>1761</v>
      </c>
      <c r="EM2022" s="1" t="s">
        <v>238</v>
      </c>
      <c r="EQ2022" s="1" t="s">
        <v>238</v>
      </c>
      <c r="EU2022" s="1" t="s">
        <v>238</v>
      </c>
      <c r="EY2022" s="1" t="s">
        <v>238</v>
      </c>
      <c r="FC2022" s="1" t="s">
        <v>238</v>
      </c>
      <c r="FF2022" s="1" t="s">
        <v>239</v>
      </c>
      <c r="FG2022" s="1" t="s">
        <v>192</v>
      </c>
      <c r="FH2022" s="1" t="s">
        <v>192</v>
      </c>
      <c r="FJ2022" s="1" t="s">
        <v>14295</v>
      </c>
      <c r="FK2022" s="1" t="s">
        <v>229</v>
      </c>
      <c r="FL2022" s="1" t="s">
        <v>1855</v>
      </c>
      <c r="FM2022" s="1">
        <v>41.0</v>
      </c>
      <c r="FN2022" s="1" t="s">
        <v>1856</v>
      </c>
      <c r="FO2022" s="1" t="s">
        <v>19210</v>
      </c>
      <c r="FP2022" s="1">
        <v>7846.0</v>
      </c>
      <c r="FQ2022" s="1" t="s">
        <v>19211</v>
      </c>
      <c r="FS2022" s="1" t="s">
        <v>19212</v>
      </c>
      <c r="FU2022" s="1" t="s">
        <v>19213</v>
      </c>
      <c r="FV2022" s="1" t="s">
        <v>200</v>
      </c>
      <c r="FW2022" s="1" t="s">
        <v>2754</v>
      </c>
      <c r="FZ2022" s="1" t="s">
        <v>229</v>
      </c>
      <c r="GA2022" s="1" t="s">
        <v>291</v>
      </c>
      <c r="GB2022" s="2">
        <v>42069.0</v>
      </c>
      <c r="GC2022" s="1" t="s">
        <v>19214</v>
      </c>
    </row>
    <row r="2023">
      <c r="A2023" s="1">
        <v>9750.0</v>
      </c>
      <c r="B2023" s="1" t="s">
        <v>185</v>
      </c>
      <c r="C2023" s="1" t="str">
        <f>"08733399"</f>
        <v>08733399</v>
      </c>
      <c r="D2023" s="1" t="s">
        <v>186</v>
      </c>
      <c r="F2023" s="1" t="str">
        <f>"8051"</f>
        <v>8051</v>
      </c>
      <c r="G2023" s="2">
        <v>41901.0</v>
      </c>
      <c r="H2023" s="1">
        <v>18200.0</v>
      </c>
      <c r="I2023" s="1">
        <v>77.0</v>
      </c>
      <c r="J2023" s="1">
        <v>18200.0</v>
      </c>
      <c r="K2023" s="2">
        <v>41977.0</v>
      </c>
      <c r="L2023" s="1">
        <v>77.0</v>
      </c>
      <c r="M2023" s="2">
        <v>41977.0</v>
      </c>
      <c r="N2023" s="1" t="s">
        <v>249</v>
      </c>
      <c r="O2023" s="2">
        <v>42020.0</v>
      </c>
      <c r="P2023" s="1">
        <v>99999.0</v>
      </c>
      <c r="Q2023" s="1" t="s">
        <v>947</v>
      </c>
      <c r="S2023" s="1">
        <v>9634.0</v>
      </c>
      <c r="T2023" s="1" t="s">
        <v>19215</v>
      </c>
      <c r="U2023" s="1" t="s">
        <v>189</v>
      </c>
      <c r="V2023" s="1" t="s">
        <v>190</v>
      </c>
      <c r="W2023" s="1">
        <v>60617.0</v>
      </c>
      <c r="Y2023" s="1" t="s">
        <v>19216</v>
      </c>
      <c r="Z2023" s="1">
        <v>1970.0</v>
      </c>
      <c r="AA2023" s="1" t="s">
        <v>192</v>
      </c>
      <c r="AB2023" s="1" t="s">
        <v>193</v>
      </c>
      <c r="AD2023" s="1" t="s">
        <v>194</v>
      </c>
      <c r="AE2023" s="1" t="s">
        <v>195</v>
      </c>
      <c r="AF2023" s="1" t="s">
        <v>637</v>
      </c>
      <c r="AH2023" s="1" t="s">
        <v>1501</v>
      </c>
      <c r="AK2023" s="1">
        <v>7.0</v>
      </c>
      <c r="AL2023" s="1">
        <v>4.0</v>
      </c>
      <c r="AM2023" s="1">
        <v>1.0</v>
      </c>
      <c r="AN2023" s="1">
        <v>1.0</v>
      </c>
      <c r="AO2023" s="1" t="s">
        <v>229</v>
      </c>
      <c r="AQ2023" s="1" t="s">
        <v>951</v>
      </c>
      <c r="AR2023" s="1" t="s">
        <v>200</v>
      </c>
      <c r="AS2023" s="1" t="s">
        <v>229</v>
      </c>
      <c r="AV2023" s="1" t="s">
        <v>200</v>
      </c>
      <c r="AW2023" s="1">
        <v>1824.31</v>
      </c>
      <c r="AX2023" s="1">
        <v>2013.0</v>
      </c>
      <c r="AZ2023" s="1" t="s">
        <v>200</v>
      </c>
      <c r="BA2023" s="1" t="str">
        <f>"26071160380000"</f>
        <v>26071160380000</v>
      </c>
      <c r="BC2023" s="1">
        <v>0.0</v>
      </c>
      <c r="BD2023" s="1">
        <v>9750.0</v>
      </c>
      <c r="BE2023" s="2">
        <v>41901.0</v>
      </c>
      <c r="BF2023" s="2" t="s">
        <v>19217</v>
      </c>
      <c r="BH2023" s="1">
        <v>0.0</v>
      </c>
      <c r="BK2023" s="1" t="s">
        <v>204</v>
      </c>
      <c r="BL2023" s="1" t="str">
        <f>"0"</f>
        <v>0</v>
      </c>
      <c r="BM2023" s="1" t="str">
        <f>"2600"</f>
        <v>2600</v>
      </c>
      <c r="BN2023" s="1">
        <v>0.0</v>
      </c>
      <c r="BO2023" s="1">
        <v>9634.0</v>
      </c>
      <c r="BQ2023" s="1">
        <v>299.0</v>
      </c>
      <c r="BR2023" s="1">
        <v>299.0</v>
      </c>
      <c r="BS2023" s="1">
        <v>299.0</v>
      </c>
      <c r="BU2023" s="1" t="s">
        <v>205</v>
      </c>
      <c r="BV2023" s="1" t="s">
        <v>206</v>
      </c>
      <c r="BY2023" s="1" t="s">
        <v>1760</v>
      </c>
      <c r="BZ2023" s="1" t="s">
        <v>267</v>
      </c>
      <c r="CC2023" s="1" t="s">
        <v>269</v>
      </c>
      <c r="CD2023" s="1" t="s">
        <v>206</v>
      </c>
      <c r="CG2023" s="1" t="s">
        <v>3594</v>
      </c>
      <c r="CH2023" s="1" t="s">
        <v>209</v>
      </c>
      <c r="CK2023" s="1" t="s">
        <v>4470</v>
      </c>
      <c r="CL2023" s="1" t="s">
        <v>209</v>
      </c>
      <c r="CO2023" s="1" t="s">
        <v>3805</v>
      </c>
      <c r="CP2023" s="1" t="s">
        <v>209</v>
      </c>
      <c r="CS2023" s="1" t="s">
        <v>3594</v>
      </c>
      <c r="CT2023" s="1" t="s">
        <v>206</v>
      </c>
      <c r="CX2023" s="1" t="s">
        <v>204</v>
      </c>
      <c r="DA2023" s="1" t="s">
        <v>200</v>
      </c>
      <c r="DC2023" s="1" t="s">
        <v>517</v>
      </c>
      <c r="DE2023" s="1" t="s">
        <v>229</v>
      </c>
      <c r="DF2023" s="1" t="s">
        <v>619</v>
      </c>
      <c r="DH2023" s="1" t="s">
        <v>220</v>
      </c>
      <c r="DJ2023" s="1" t="s">
        <v>222</v>
      </c>
      <c r="DL2023" s="1" t="s">
        <v>224</v>
      </c>
      <c r="DM2023" s="1" t="s">
        <v>229</v>
      </c>
      <c r="DQ2023" s="1" t="s">
        <v>228</v>
      </c>
      <c r="DR2023" s="1" t="s">
        <v>229</v>
      </c>
      <c r="DV2023" s="1" t="s">
        <v>232</v>
      </c>
      <c r="DW2023" s="1" t="s">
        <v>279</v>
      </c>
      <c r="DX2023" s="1" t="s">
        <v>234</v>
      </c>
      <c r="EC2023" s="1" t="s">
        <v>645</v>
      </c>
      <c r="EM2023" s="1" t="s">
        <v>238</v>
      </c>
      <c r="EQ2023" s="1" t="s">
        <v>238</v>
      </c>
      <c r="EU2023" s="1" t="s">
        <v>238</v>
      </c>
      <c r="EY2023" s="1" t="s">
        <v>238</v>
      </c>
      <c r="FC2023" s="1" t="s">
        <v>238</v>
      </c>
      <c r="FF2023" s="1" t="s">
        <v>239</v>
      </c>
      <c r="FG2023" s="1" t="s">
        <v>192</v>
      </c>
      <c r="FH2023" s="1" t="s">
        <v>192</v>
      </c>
      <c r="FJ2023" s="1" t="s">
        <v>19218</v>
      </c>
      <c r="FK2023" s="1" t="s">
        <v>229</v>
      </c>
      <c r="FL2023" s="1" t="s">
        <v>19219</v>
      </c>
      <c r="FM2023" s="1">
        <v>22097.0</v>
      </c>
      <c r="FN2023" s="1" t="s">
        <v>19220</v>
      </c>
      <c r="FO2023" s="1" t="s">
        <v>19221</v>
      </c>
      <c r="FP2023" s="1">
        <v>240143.0</v>
      </c>
      <c r="FQ2023" s="1" t="s">
        <v>19222</v>
      </c>
      <c r="FU2023" s="1" t="s">
        <v>19223</v>
      </c>
      <c r="FV2023" s="1" t="s">
        <v>200</v>
      </c>
      <c r="FW2023" s="1" t="s">
        <v>1411</v>
      </c>
      <c r="FX2023" s="1" t="s">
        <v>655</v>
      </c>
      <c r="FZ2023" s="1" t="s">
        <v>229</v>
      </c>
      <c r="GA2023" s="1" t="s">
        <v>291</v>
      </c>
      <c r="GB2023" s="2">
        <v>42027.0</v>
      </c>
      <c r="GC2023" s="1" t="s">
        <v>19224</v>
      </c>
    </row>
    <row r="2024">
      <c r="A2024" s="1">
        <v>230000.0</v>
      </c>
      <c r="B2024" s="1" t="s">
        <v>185</v>
      </c>
      <c r="C2024" s="1" t="str">
        <f>"08739870"</f>
        <v>08739870</v>
      </c>
      <c r="D2024" s="1" t="s">
        <v>186</v>
      </c>
      <c r="F2024" s="1" t="str">
        <f>"174"</f>
        <v>174</v>
      </c>
      <c r="G2024" s="2">
        <v>41911.0</v>
      </c>
      <c r="H2024" s="1">
        <v>254900.0</v>
      </c>
      <c r="I2024" s="1">
        <v>124.0</v>
      </c>
      <c r="J2024" s="1">
        <v>238000.0</v>
      </c>
      <c r="K2024" s="2">
        <v>42034.0</v>
      </c>
      <c r="L2024" s="1">
        <v>124.0</v>
      </c>
      <c r="M2024" s="2">
        <v>42034.0</v>
      </c>
      <c r="N2024" s="1" t="s">
        <v>187</v>
      </c>
      <c r="O2024" s="2">
        <v>42067.0</v>
      </c>
      <c r="P2024" s="1">
        <v>256018.0</v>
      </c>
      <c r="Q2024" s="1">
        <v>25309.0</v>
      </c>
      <c r="S2024" s="1">
        <v>1347.0</v>
      </c>
      <c r="T2024" s="1" t="s">
        <v>19225</v>
      </c>
      <c r="U2024" s="1" t="s">
        <v>189</v>
      </c>
      <c r="V2024" s="1" t="s">
        <v>1200</v>
      </c>
      <c r="W2024" s="1">
        <v>60174.0</v>
      </c>
      <c r="X2024" s="1">
        <v>3307.0</v>
      </c>
      <c r="Y2024" s="1" t="s">
        <v>19226</v>
      </c>
      <c r="Z2024" s="1">
        <v>1977.0</v>
      </c>
      <c r="AA2024" s="1" t="s">
        <v>192</v>
      </c>
      <c r="AB2024" s="1" t="s">
        <v>193</v>
      </c>
      <c r="AC2024" s="1" t="s">
        <v>5910</v>
      </c>
      <c r="AD2024" s="1" t="s">
        <v>1203</v>
      </c>
      <c r="AE2024" s="1" t="s">
        <v>325</v>
      </c>
      <c r="AF2024" s="1" t="s">
        <v>1203</v>
      </c>
      <c r="AG2024" s="1" t="s">
        <v>19227</v>
      </c>
      <c r="AH2024" s="1" t="s">
        <v>19228</v>
      </c>
      <c r="AI2024" s="1">
        <v>0.151</v>
      </c>
      <c r="AK2024" s="1">
        <v>8.0</v>
      </c>
      <c r="AL2024" s="1">
        <v>4.0</v>
      </c>
      <c r="AM2024" s="1">
        <v>1.0</v>
      </c>
      <c r="AN2024" s="1">
        <v>1.0</v>
      </c>
      <c r="AO2024" s="1" t="s">
        <v>229</v>
      </c>
      <c r="AP2024" s="1">
        <v>1.0</v>
      </c>
      <c r="AQ2024" s="1" t="s">
        <v>198</v>
      </c>
      <c r="AR2024" s="1" t="s">
        <v>200</v>
      </c>
      <c r="AS2024" s="1" t="s">
        <v>199</v>
      </c>
      <c r="AT2024" s="1">
        <v>2.0</v>
      </c>
      <c r="AV2024" s="1" t="s">
        <v>200</v>
      </c>
      <c r="AW2024" s="1">
        <v>6724.18</v>
      </c>
      <c r="AX2024" s="1">
        <v>2013.0</v>
      </c>
      <c r="AY2024" s="1" t="s">
        <v>229</v>
      </c>
      <c r="AZ2024" s="1" t="s">
        <v>200</v>
      </c>
      <c r="BA2024" s="1" t="str">
        <f>"0935108021"</f>
        <v>0935108021</v>
      </c>
      <c r="BB2024" s="1" t="s">
        <v>200</v>
      </c>
      <c r="BC2024" s="1">
        <v>1726.0</v>
      </c>
      <c r="BD2024" s="1">
        <v>230000.0</v>
      </c>
      <c r="BE2024" s="2">
        <v>41911.0</v>
      </c>
      <c r="BF2024" s="2" t="s">
        <v>19229</v>
      </c>
      <c r="BH2024" s="1">
        <v>0.0</v>
      </c>
      <c r="BK2024" s="1" t="s">
        <v>204</v>
      </c>
      <c r="BL2024" s="1" t="str">
        <f>"2"</f>
        <v>2</v>
      </c>
      <c r="BM2024" s="1" t="str">
        <f>""</f>
        <v/>
      </c>
      <c r="BN2024" s="1">
        <v>34.0</v>
      </c>
      <c r="BQ2024" s="1">
        <v>303.0</v>
      </c>
      <c r="BR2024" s="1">
        <v>303.0</v>
      </c>
      <c r="BS2024" s="1">
        <v>303.0</v>
      </c>
      <c r="BU2024" s="1" t="s">
        <v>1426</v>
      </c>
      <c r="BV2024" s="1" t="s">
        <v>206</v>
      </c>
      <c r="BW2024" s="1" t="s">
        <v>210</v>
      </c>
      <c r="BX2024" s="1" t="s">
        <v>229</v>
      </c>
      <c r="BY2024" s="1" t="s">
        <v>925</v>
      </c>
      <c r="BZ2024" s="1" t="s">
        <v>209</v>
      </c>
      <c r="CA2024" s="1" t="s">
        <v>210</v>
      </c>
      <c r="CB2024" s="1" t="s">
        <v>229</v>
      </c>
      <c r="CC2024" s="1" t="s">
        <v>212</v>
      </c>
      <c r="CD2024" s="1" t="s">
        <v>206</v>
      </c>
      <c r="CE2024" s="1" t="s">
        <v>210</v>
      </c>
      <c r="CF2024" s="1" t="s">
        <v>229</v>
      </c>
      <c r="CG2024" s="1" t="s">
        <v>699</v>
      </c>
      <c r="CH2024" s="1" t="s">
        <v>209</v>
      </c>
      <c r="CI2024" s="1" t="s">
        <v>210</v>
      </c>
      <c r="CJ2024" s="1" t="s">
        <v>229</v>
      </c>
      <c r="CK2024" s="1" t="s">
        <v>495</v>
      </c>
      <c r="CL2024" s="1" t="s">
        <v>209</v>
      </c>
      <c r="CM2024" s="1" t="s">
        <v>210</v>
      </c>
      <c r="CN2024" s="1" t="s">
        <v>229</v>
      </c>
      <c r="CO2024" s="1" t="s">
        <v>516</v>
      </c>
      <c r="CP2024" s="1" t="s">
        <v>209</v>
      </c>
      <c r="CQ2024" s="1" t="s">
        <v>210</v>
      </c>
      <c r="CR2024" s="1" t="s">
        <v>229</v>
      </c>
      <c r="CS2024" s="1" t="s">
        <v>925</v>
      </c>
      <c r="CT2024" s="1" t="s">
        <v>206</v>
      </c>
      <c r="CU2024" s="1" t="s">
        <v>617</v>
      </c>
      <c r="CV2024" s="1" t="s">
        <v>229</v>
      </c>
      <c r="CW2024" s="1" t="s">
        <v>1426</v>
      </c>
      <c r="CX2024" s="1" t="s">
        <v>206</v>
      </c>
      <c r="CY2024" s="1" t="s">
        <v>210</v>
      </c>
      <c r="CZ2024" s="1" t="s">
        <v>229</v>
      </c>
      <c r="DA2024" s="1" t="s">
        <v>200</v>
      </c>
      <c r="DC2024" s="1" t="s">
        <v>395</v>
      </c>
      <c r="DD2024" s="1" t="s">
        <v>518</v>
      </c>
      <c r="DE2024" s="1" t="s">
        <v>273</v>
      </c>
      <c r="DF2024" s="1" t="s">
        <v>219</v>
      </c>
      <c r="DG2024" s="1" t="s">
        <v>482</v>
      </c>
      <c r="DH2024" s="1" t="s">
        <v>220</v>
      </c>
      <c r="DI2024" s="1" t="s">
        <v>589</v>
      </c>
      <c r="DJ2024" s="1" t="s">
        <v>222</v>
      </c>
      <c r="DK2024" s="1" t="s">
        <v>223</v>
      </c>
      <c r="DL2024" s="1" t="s">
        <v>223</v>
      </c>
      <c r="DM2024" s="1" t="s">
        <v>338</v>
      </c>
      <c r="DO2024" s="1" t="s">
        <v>5346</v>
      </c>
      <c r="DP2024" s="1" t="s">
        <v>340</v>
      </c>
      <c r="DQ2024" s="1" t="s">
        <v>228</v>
      </c>
      <c r="DR2024" s="1" t="s">
        <v>229</v>
      </c>
      <c r="DS2024" s="1" t="s">
        <v>401</v>
      </c>
      <c r="DU2024" s="1" t="s">
        <v>19230</v>
      </c>
      <c r="DV2024" s="1" t="s">
        <v>232</v>
      </c>
      <c r="DW2024" s="1" t="s">
        <v>370</v>
      </c>
      <c r="DX2024" s="1" t="s">
        <v>234</v>
      </c>
      <c r="DZ2024" s="1" t="s">
        <v>7055</v>
      </c>
      <c r="EA2024" s="1" t="s">
        <v>447</v>
      </c>
      <c r="EB2024" s="1" t="s">
        <v>5995</v>
      </c>
      <c r="EC2024" s="1" t="s">
        <v>237</v>
      </c>
      <c r="ED2024" s="1" t="s">
        <v>407</v>
      </c>
      <c r="EE2024" s="1" t="s">
        <v>187</v>
      </c>
      <c r="EM2024" s="1" t="s">
        <v>238</v>
      </c>
      <c r="EQ2024" s="1" t="s">
        <v>238</v>
      </c>
      <c r="EU2024" s="1" t="s">
        <v>238</v>
      </c>
      <c r="EY2024" s="1" t="s">
        <v>238</v>
      </c>
      <c r="FC2024" s="1" t="s">
        <v>238</v>
      </c>
      <c r="FF2024" s="1" t="s">
        <v>239</v>
      </c>
      <c r="FG2024" s="1" t="s">
        <v>192</v>
      </c>
      <c r="FH2024" s="1" t="s">
        <v>192</v>
      </c>
      <c r="FJ2024" s="1" t="s">
        <v>19231</v>
      </c>
      <c r="FK2024" s="1" t="s">
        <v>229</v>
      </c>
      <c r="FL2024" s="1" t="s">
        <v>456</v>
      </c>
      <c r="FM2024" s="1">
        <v>49.0</v>
      </c>
      <c r="FN2024" s="1" t="s">
        <v>457</v>
      </c>
      <c r="FO2024" s="1" t="s">
        <v>19232</v>
      </c>
      <c r="FP2024" s="1">
        <v>1318.0</v>
      </c>
      <c r="FQ2024" s="1" t="s">
        <v>19233</v>
      </c>
      <c r="FU2024" s="1" t="s">
        <v>19234</v>
      </c>
      <c r="FV2024" s="1" t="s">
        <v>200</v>
      </c>
      <c r="FW2024" s="1" t="s">
        <v>1511</v>
      </c>
      <c r="FZ2024" s="1" t="s">
        <v>229</v>
      </c>
      <c r="GA2024" s="1" t="s">
        <v>291</v>
      </c>
      <c r="GB2024" s="2">
        <v>42067.0</v>
      </c>
      <c r="GC2024" s="1" t="s">
        <v>19235</v>
      </c>
    </row>
    <row r="2025">
      <c r="A2025" s="1">
        <v>797500.0</v>
      </c>
      <c r="B2025" s="1" t="s">
        <v>185</v>
      </c>
      <c r="C2025" s="1" t="str">
        <f>"08731748"</f>
        <v>08731748</v>
      </c>
      <c r="D2025" s="1" t="s">
        <v>186</v>
      </c>
      <c r="F2025" s="1" t="str">
        <f>"8022"</f>
        <v>8022</v>
      </c>
      <c r="G2025" s="2">
        <v>41900.0</v>
      </c>
      <c r="H2025" s="1">
        <v>799000.0</v>
      </c>
      <c r="I2025" s="1">
        <v>48.0</v>
      </c>
      <c r="J2025" s="1">
        <v>799000.0</v>
      </c>
      <c r="K2025" s="2">
        <v>41947.0</v>
      </c>
      <c r="L2025" s="1">
        <v>48.0</v>
      </c>
      <c r="M2025" s="2">
        <v>41947.0</v>
      </c>
      <c r="N2025" s="1" t="s">
        <v>187</v>
      </c>
      <c r="O2025" s="2">
        <v>42013.0</v>
      </c>
      <c r="P2025" s="1">
        <v>109666.0</v>
      </c>
      <c r="Q2025" s="1">
        <v>84404.0</v>
      </c>
      <c r="S2025" s="1">
        <v>2034.0</v>
      </c>
      <c r="T2025" s="1" t="s">
        <v>18856</v>
      </c>
      <c r="U2025" s="1" t="s">
        <v>320</v>
      </c>
      <c r="V2025" s="1" t="s">
        <v>190</v>
      </c>
      <c r="W2025" s="1">
        <v>60647.0</v>
      </c>
      <c r="Y2025" s="1" t="s">
        <v>19236</v>
      </c>
      <c r="Z2025" s="1">
        <v>2014.0</v>
      </c>
      <c r="AA2025" s="1" t="s">
        <v>200</v>
      </c>
      <c r="AB2025" s="1" t="s">
        <v>193</v>
      </c>
      <c r="AD2025" s="1" t="s">
        <v>194</v>
      </c>
      <c r="AE2025" s="1" t="s">
        <v>195</v>
      </c>
      <c r="AF2025" s="1" t="s">
        <v>827</v>
      </c>
      <c r="AH2025" s="1" t="s">
        <v>19237</v>
      </c>
      <c r="AK2025" s="1">
        <v>9.0</v>
      </c>
      <c r="AL2025" s="1">
        <v>4.0</v>
      </c>
      <c r="AM2025" s="1">
        <v>3.0</v>
      </c>
      <c r="AN2025" s="1">
        <v>1.0</v>
      </c>
      <c r="AO2025" s="1" t="s">
        <v>198</v>
      </c>
      <c r="AQ2025" s="1" t="s">
        <v>257</v>
      </c>
      <c r="AR2025" s="1" t="s">
        <v>192</v>
      </c>
      <c r="AS2025" s="1" t="s">
        <v>199</v>
      </c>
      <c r="AT2025" s="1">
        <v>2.0</v>
      </c>
      <c r="AV2025" s="1" t="s">
        <v>200</v>
      </c>
      <c r="AW2025" s="1" t="s">
        <v>575</v>
      </c>
      <c r="AX2025" s="1">
        <v>2013.0</v>
      </c>
      <c r="AZ2025" s="1" t="s">
        <v>200</v>
      </c>
      <c r="BA2025" s="1" t="str">
        <f>"13362280180000"</f>
        <v>13362280180000</v>
      </c>
      <c r="BC2025" s="1">
        <v>3200.0</v>
      </c>
      <c r="BD2025" s="1">
        <v>797500.0</v>
      </c>
      <c r="BE2025" s="2">
        <v>41900.0</v>
      </c>
      <c r="BF2025" s="2" t="s">
        <v>19238</v>
      </c>
      <c r="BH2025" s="1">
        <v>0.0</v>
      </c>
      <c r="BK2025" s="1" t="s">
        <v>204</v>
      </c>
      <c r="BL2025" s="1" t="str">
        <f>"2034"</f>
        <v>2034</v>
      </c>
      <c r="BM2025" s="1" t="str">
        <f>"0"</f>
        <v>0</v>
      </c>
      <c r="BN2025" s="1">
        <v>2500.0</v>
      </c>
      <c r="BO2025" s="1">
        <v>0.0</v>
      </c>
      <c r="BQ2025" s="1">
        <v>299.0</v>
      </c>
      <c r="BR2025" s="1">
        <v>299.0</v>
      </c>
      <c r="BS2025" s="1">
        <v>299.0</v>
      </c>
      <c r="BU2025" s="1" t="s">
        <v>208</v>
      </c>
      <c r="BV2025" s="1" t="s">
        <v>206</v>
      </c>
      <c r="BW2025" s="1" t="s">
        <v>207</v>
      </c>
      <c r="BY2025" s="1" t="s">
        <v>433</v>
      </c>
      <c r="BZ2025" s="1" t="s">
        <v>209</v>
      </c>
      <c r="CA2025" s="1" t="s">
        <v>210</v>
      </c>
      <c r="CC2025" s="1" t="s">
        <v>363</v>
      </c>
      <c r="CD2025" s="1" t="s">
        <v>206</v>
      </c>
      <c r="CE2025" s="1" t="s">
        <v>207</v>
      </c>
      <c r="CG2025" s="1" t="s">
        <v>699</v>
      </c>
      <c r="CH2025" s="1" t="s">
        <v>209</v>
      </c>
      <c r="CI2025" s="1" t="s">
        <v>210</v>
      </c>
      <c r="CK2025" s="1" t="s">
        <v>392</v>
      </c>
      <c r="CL2025" s="1" t="s">
        <v>209</v>
      </c>
      <c r="CM2025" s="1" t="s">
        <v>210</v>
      </c>
      <c r="CO2025" s="1" t="s">
        <v>211</v>
      </c>
      <c r="CP2025" s="1" t="s">
        <v>267</v>
      </c>
      <c r="CQ2025" s="1" t="s">
        <v>210</v>
      </c>
      <c r="CS2025" s="1" t="s">
        <v>543</v>
      </c>
      <c r="CT2025" s="1" t="s">
        <v>206</v>
      </c>
      <c r="CU2025" s="1" t="s">
        <v>207</v>
      </c>
      <c r="CW2025" s="1" t="s">
        <v>1551</v>
      </c>
      <c r="CX2025" s="1" t="s">
        <v>267</v>
      </c>
      <c r="CY2025" s="1" t="s">
        <v>210</v>
      </c>
      <c r="DA2025" s="1" t="s">
        <v>192</v>
      </c>
      <c r="DB2025" s="2">
        <v>41992.0</v>
      </c>
      <c r="DC2025" s="1" t="s">
        <v>744</v>
      </c>
      <c r="DD2025" s="1" t="s">
        <v>957</v>
      </c>
      <c r="DE2025" s="1" t="s">
        <v>273</v>
      </c>
      <c r="DF2025" s="1" t="s">
        <v>219</v>
      </c>
      <c r="DG2025" s="1" t="s">
        <v>4682</v>
      </c>
      <c r="DH2025" s="1" t="s">
        <v>365</v>
      </c>
      <c r="DI2025" s="1" t="s">
        <v>19239</v>
      </c>
      <c r="DJ2025" s="1" t="s">
        <v>222</v>
      </c>
      <c r="DL2025" s="1" t="s">
        <v>224</v>
      </c>
      <c r="DM2025" s="1" t="s">
        <v>338</v>
      </c>
      <c r="DN2025" s="1" t="s">
        <v>19240</v>
      </c>
      <c r="DO2025" s="1" t="s">
        <v>717</v>
      </c>
      <c r="DP2025" s="1" t="s">
        <v>340</v>
      </c>
      <c r="DQ2025" s="1" t="s">
        <v>718</v>
      </c>
      <c r="DR2025" s="1" t="s">
        <v>229</v>
      </c>
      <c r="DS2025" s="1" t="s">
        <v>591</v>
      </c>
      <c r="DU2025" s="1" t="s">
        <v>18653</v>
      </c>
      <c r="DV2025" s="1" t="s">
        <v>19241</v>
      </c>
      <c r="DW2025" s="1" t="s">
        <v>1026</v>
      </c>
      <c r="DX2025" s="1" t="s">
        <v>234</v>
      </c>
      <c r="DY2025" s="1" t="s">
        <v>19242</v>
      </c>
      <c r="DZ2025" s="1" t="s">
        <v>310</v>
      </c>
      <c r="EA2025" s="1" t="s">
        <v>1027</v>
      </c>
      <c r="EC2025" s="1" t="s">
        <v>406</v>
      </c>
      <c r="EG2025" s="1" t="s">
        <v>557</v>
      </c>
      <c r="EH2025" s="1" t="s">
        <v>310</v>
      </c>
      <c r="EL2025" s="1" t="s">
        <v>375</v>
      </c>
      <c r="EM2025" s="1" t="s">
        <v>391</v>
      </c>
      <c r="EN2025" s="1" t="s">
        <v>617</v>
      </c>
      <c r="EP2025" s="1" t="s">
        <v>3355</v>
      </c>
      <c r="EQ2025" s="1" t="s">
        <v>206</v>
      </c>
      <c r="EU2025" s="1" t="s">
        <v>238</v>
      </c>
      <c r="EY2025" s="1" t="s">
        <v>238</v>
      </c>
      <c r="FC2025" s="1" t="s">
        <v>238</v>
      </c>
      <c r="FF2025" s="1" t="s">
        <v>239</v>
      </c>
      <c r="FG2025" s="1" t="s">
        <v>192</v>
      </c>
      <c r="FH2025" s="1" t="s">
        <v>192</v>
      </c>
      <c r="FJ2025" s="1" t="s">
        <v>799</v>
      </c>
      <c r="FK2025" s="1" t="s">
        <v>229</v>
      </c>
      <c r="FL2025" s="1" t="s">
        <v>562</v>
      </c>
      <c r="FM2025" s="1">
        <v>16379.0</v>
      </c>
      <c r="FN2025" s="1" t="s">
        <v>563</v>
      </c>
      <c r="FO2025" s="1" t="s">
        <v>9034</v>
      </c>
      <c r="FP2025" s="1">
        <v>181397.0</v>
      </c>
      <c r="FU2025" s="1" t="s">
        <v>19243</v>
      </c>
      <c r="FV2025" s="1" t="s">
        <v>200</v>
      </c>
      <c r="FW2025" s="1" t="s">
        <v>631</v>
      </c>
      <c r="FX2025" s="1" t="s">
        <v>238</v>
      </c>
      <c r="FZ2025" s="1" t="s">
        <v>229</v>
      </c>
      <c r="GA2025" s="1" t="s">
        <v>291</v>
      </c>
      <c r="GB2025" s="2">
        <v>42014.0</v>
      </c>
      <c r="GC2025" s="1" t="s">
        <v>19244</v>
      </c>
    </row>
    <row r="2026">
      <c r="A2026" s="1">
        <v>234000.0</v>
      </c>
      <c r="B2026" s="1" t="s">
        <v>185</v>
      </c>
      <c r="C2026" s="1" t="str">
        <f>"08737877"</f>
        <v>08737877</v>
      </c>
      <c r="D2026" s="1" t="s">
        <v>186</v>
      </c>
      <c r="F2026" s="1" t="str">
        <f>"543"</f>
        <v>543</v>
      </c>
      <c r="G2026" s="2">
        <v>41907.0</v>
      </c>
      <c r="H2026" s="1">
        <v>305200.0</v>
      </c>
      <c r="I2026" s="1">
        <v>181.0</v>
      </c>
      <c r="J2026" s="1">
        <v>239900.0</v>
      </c>
      <c r="K2026" s="2">
        <v>42086.0</v>
      </c>
      <c r="L2026" s="1">
        <v>181.0</v>
      </c>
      <c r="M2026" s="2">
        <v>42086.0</v>
      </c>
      <c r="N2026" s="1" t="s">
        <v>187</v>
      </c>
      <c r="O2026" s="2">
        <v>42114.0</v>
      </c>
      <c r="P2026" s="1">
        <v>237008.0</v>
      </c>
      <c r="Q2026" s="1">
        <v>23076.0</v>
      </c>
      <c r="R2026" s="1">
        <v>3000.0</v>
      </c>
      <c r="S2026" s="1">
        <v>502.0</v>
      </c>
      <c r="T2026" s="1" t="s">
        <v>9669</v>
      </c>
      <c r="U2026" s="1" t="s">
        <v>569</v>
      </c>
      <c r="V2026" s="1" t="s">
        <v>1527</v>
      </c>
      <c r="W2026" s="1">
        <v>60543.0</v>
      </c>
      <c r="Y2026" s="1" t="s">
        <v>19245</v>
      </c>
      <c r="Z2026" s="1">
        <v>2005.0</v>
      </c>
      <c r="AA2026" s="1" t="s">
        <v>200</v>
      </c>
      <c r="AB2026" s="1" t="s">
        <v>467</v>
      </c>
      <c r="AD2026" s="1" t="s">
        <v>1529</v>
      </c>
      <c r="AE2026" s="1" t="s">
        <v>849</v>
      </c>
      <c r="AF2026" s="1" t="s">
        <v>1529</v>
      </c>
      <c r="AH2026" s="1" t="s">
        <v>19246</v>
      </c>
      <c r="AI2026" s="1">
        <v>0.272</v>
      </c>
      <c r="AK2026" s="1">
        <v>8.0</v>
      </c>
      <c r="AL2026" s="1">
        <v>4.0</v>
      </c>
      <c r="AM2026" s="1">
        <v>2.0</v>
      </c>
      <c r="AN2026" s="1">
        <v>1.0</v>
      </c>
      <c r="AO2026" s="1" t="s">
        <v>229</v>
      </c>
      <c r="AP2026" s="1">
        <v>1.0</v>
      </c>
      <c r="AQ2026" s="1" t="s">
        <v>198</v>
      </c>
      <c r="AR2026" s="1" t="s">
        <v>200</v>
      </c>
      <c r="AS2026" s="1" t="s">
        <v>199</v>
      </c>
      <c r="AT2026" s="1">
        <v>3.0</v>
      </c>
      <c r="AV2026" s="1" t="s">
        <v>200</v>
      </c>
      <c r="AW2026" s="1">
        <v>8401.7</v>
      </c>
      <c r="AX2026" s="1">
        <v>2012.0</v>
      </c>
      <c r="AZ2026" s="1" t="s">
        <v>545</v>
      </c>
      <c r="BA2026" s="1" t="str">
        <f>"0329283014"</f>
        <v>0329283014</v>
      </c>
      <c r="BC2026" s="1">
        <v>2886.0</v>
      </c>
      <c r="BD2026" s="1">
        <v>234000.0</v>
      </c>
      <c r="BE2026" s="2">
        <v>41906.0</v>
      </c>
      <c r="BF2026" s="2" t="s">
        <v>19247</v>
      </c>
      <c r="BH2026" s="1">
        <v>231.0</v>
      </c>
      <c r="BK2026" s="1" t="s">
        <v>580</v>
      </c>
      <c r="BL2026" s="1" t="str">
        <f t="shared" ref="BL2026:BM2026" si="1331">""</f>
        <v/>
      </c>
      <c r="BM2026" s="1" t="str">
        <f t="shared" si="1331"/>
        <v/>
      </c>
      <c r="BQ2026" s="1">
        <v>308.0</v>
      </c>
      <c r="BR2026" s="1">
        <v>308.0</v>
      </c>
      <c r="BS2026" s="1">
        <v>308.0</v>
      </c>
      <c r="BU2026" s="1" t="s">
        <v>4399</v>
      </c>
      <c r="BV2026" s="1" t="s">
        <v>206</v>
      </c>
      <c r="BW2026" s="1" t="s">
        <v>210</v>
      </c>
      <c r="BY2026" s="1" t="s">
        <v>3475</v>
      </c>
      <c r="BZ2026" s="1" t="s">
        <v>209</v>
      </c>
      <c r="CA2026" s="1" t="s">
        <v>210</v>
      </c>
      <c r="CD2026" s="1" t="s">
        <v>204</v>
      </c>
      <c r="CG2026" s="1" t="s">
        <v>663</v>
      </c>
      <c r="CH2026" s="1" t="s">
        <v>209</v>
      </c>
      <c r="CI2026" s="1" t="s">
        <v>210</v>
      </c>
      <c r="CK2026" s="1" t="s">
        <v>2459</v>
      </c>
      <c r="CL2026" s="1" t="s">
        <v>209</v>
      </c>
      <c r="CM2026" s="1" t="s">
        <v>210</v>
      </c>
      <c r="CO2026" s="1" t="s">
        <v>1417</v>
      </c>
      <c r="CP2026" s="1" t="s">
        <v>209</v>
      </c>
      <c r="CQ2026" s="1" t="s">
        <v>210</v>
      </c>
      <c r="CS2026" s="1" t="s">
        <v>453</v>
      </c>
      <c r="CT2026" s="1" t="s">
        <v>206</v>
      </c>
      <c r="CU2026" s="1" t="s">
        <v>207</v>
      </c>
      <c r="CW2026" s="1" t="s">
        <v>434</v>
      </c>
      <c r="CX2026" s="1" t="s">
        <v>206</v>
      </c>
      <c r="CY2026" s="1" t="s">
        <v>210</v>
      </c>
      <c r="DA2026" s="1" t="s">
        <v>200</v>
      </c>
      <c r="DC2026" s="1" t="s">
        <v>481</v>
      </c>
      <c r="DE2026" s="1" t="s">
        <v>273</v>
      </c>
      <c r="DF2026" s="1" t="s">
        <v>219</v>
      </c>
      <c r="DH2026" s="1" t="s">
        <v>220</v>
      </c>
      <c r="DJ2026" s="1" t="s">
        <v>222</v>
      </c>
      <c r="DL2026" s="1" t="s">
        <v>223</v>
      </c>
      <c r="DM2026" s="1" t="s">
        <v>229</v>
      </c>
      <c r="DQ2026" s="1" t="s">
        <v>441</v>
      </c>
      <c r="DR2026" s="1" t="s">
        <v>588</v>
      </c>
      <c r="DV2026" s="1" t="s">
        <v>598</v>
      </c>
      <c r="DW2026" s="1" t="s">
        <v>370</v>
      </c>
      <c r="DX2026" s="1" t="s">
        <v>234</v>
      </c>
      <c r="EA2026" s="1" t="s">
        <v>344</v>
      </c>
      <c r="EC2026" s="1" t="s">
        <v>237</v>
      </c>
      <c r="EG2026" s="1" t="s">
        <v>598</v>
      </c>
      <c r="EL2026" s="1" t="s">
        <v>1417</v>
      </c>
      <c r="EM2026" s="1" t="s">
        <v>206</v>
      </c>
      <c r="EN2026" s="1" t="s">
        <v>210</v>
      </c>
      <c r="EQ2026" s="1" t="s">
        <v>238</v>
      </c>
      <c r="EU2026" s="1" t="s">
        <v>238</v>
      </c>
      <c r="EY2026" s="1" t="s">
        <v>238</v>
      </c>
      <c r="FC2026" s="1" t="s">
        <v>238</v>
      </c>
      <c r="FF2026" s="1" t="s">
        <v>239</v>
      </c>
      <c r="FG2026" s="1" t="s">
        <v>192</v>
      </c>
      <c r="FH2026" s="1" t="s">
        <v>192</v>
      </c>
      <c r="FJ2026" s="1" t="s">
        <v>1248</v>
      </c>
      <c r="FK2026" s="1" t="s">
        <v>229</v>
      </c>
      <c r="FL2026" s="1" t="s">
        <v>2263</v>
      </c>
      <c r="FM2026" s="1">
        <v>8094.0</v>
      </c>
      <c r="FN2026" s="1" t="s">
        <v>2264</v>
      </c>
      <c r="FO2026" s="1" t="s">
        <v>5270</v>
      </c>
      <c r="FP2026" s="1">
        <v>232535.0</v>
      </c>
      <c r="FQ2026" s="1" t="s">
        <v>5271</v>
      </c>
      <c r="FU2026" s="1" t="s">
        <v>4113</v>
      </c>
      <c r="FV2026" s="1" t="s">
        <v>200</v>
      </c>
      <c r="FW2026" s="1" t="s">
        <v>1307</v>
      </c>
      <c r="FZ2026" s="1" t="s">
        <v>229</v>
      </c>
      <c r="GA2026" s="1" t="s">
        <v>291</v>
      </c>
      <c r="GB2026" s="2">
        <v>42114.0</v>
      </c>
      <c r="GC2026" s="1" t="s">
        <v>19248</v>
      </c>
    </row>
    <row r="2027">
      <c r="A2027" s="1">
        <v>129500.0</v>
      </c>
      <c r="B2027" s="1" t="s">
        <v>185</v>
      </c>
      <c r="C2027" s="1" t="str">
        <f>"08737518"</f>
        <v>08737518</v>
      </c>
      <c r="D2027" s="1" t="s">
        <v>186</v>
      </c>
      <c r="F2027" s="1" t="str">
        <f>"8019"</f>
        <v>8019</v>
      </c>
      <c r="G2027" s="2">
        <v>41907.0</v>
      </c>
      <c r="H2027" s="1">
        <v>153100.0</v>
      </c>
      <c r="I2027" s="1">
        <v>43.0</v>
      </c>
      <c r="J2027" s="1">
        <v>153100.0</v>
      </c>
      <c r="K2027" s="2">
        <v>41949.0</v>
      </c>
      <c r="L2027" s="1">
        <v>43.0</v>
      </c>
      <c r="M2027" s="2">
        <v>41949.0</v>
      </c>
      <c r="N2027" s="1" t="s">
        <v>249</v>
      </c>
      <c r="O2027" s="2">
        <v>41969.0</v>
      </c>
      <c r="P2027" s="1">
        <v>182701.0</v>
      </c>
      <c r="Q2027" s="1">
        <v>85115.0</v>
      </c>
      <c r="S2027" s="1">
        <v>4834.0</v>
      </c>
      <c r="T2027" s="1" t="s">
        <v>19249</v>
      </c>
      <c r="U2027" s="1" t="s">
        <v>189</v>
      </c>
      <c r="V2027" s="1" t="s">
        <v>190</v>
      </c>
      <c r="W2027" s="1">
        <v>60639.0</v>
      </c>
      <c r="Y2027" s="1" t="s">
        <v>19250</v>
      </c>
      <c r="Z2027" s="1">
        <v>1920.0</v>
      </c>
      <c r="AA2027" s="1" t="s">
        <v>192</v>
      </c>
      <c r="AB2027" s="1" t="s">
        <v>193</v>
      </c>
      <c r="AD2027" s="1" t="s">
        <v>194</v>
      </c>
      <c r="AE2027" s="1" t="s">
        <v>195</v>
      </c>
      <c r="AF2027" s="1" t="s">
        <v>196</v>
      </c>
      <c r="AH2027" s="1">
        <v>4340.0</v>
      </c>
      <c r="AI2027" s="1">
        <v>0.0996</v>
      </c>
      <c r="AK2027" s="1">
        <v>7.0</v>
      </c>
      <c r="AL2027" s="1">
        <v>4.0</v>
      </c>
      <c r="AM2027" s="1">
        <v>2.0</v>
      </c>
      <c r="AN2027" s="1">
        <v>1.0</v>
      </c>
      <c r="AO2027" s="1" t="s">
        <v>229</v>
      </c>
      <c r="AQ2027" s="1" t="s">
        <v>198</v>
      </c>
      <c r="AR2027" s="1" t="s">
        <v>192</v>
      </c>
      <c r="AS2027" s="1" t="s">
        <v>199</v>
      </c>
      <c r="AT2027" s="1">
        <v>2.0</v>
      </c>
      <c r="AV2027" s="1" t="s">
        <v>200</v>
      </c>
      <c r="AW2027" s="1">
        <v>4346.08</v>
      </c>
      <c r="AX2027" s="1">
        <v>2013.0</v>
      </c>
      <c r="AY2027" s="1" t="s">
        <v>387</v>
      </c>
      <c r="AZ2027" s="1" t="s">
        <v>200</v>
      </c>
      <c r="BA2027" s="1" t="str">
        <f>"13284070190000"</f>
        <v>13284070190000</v>
      </c>
      <c r="BC2027" s="1">
        <v>1688.0</v>
      </c>
      <c r="BD2027" s="1">
        <v>129500.0</v>
      </c>
      <c r="BE2027" s="2">
        <v>41907.0</v>
      </c>
      <c r="BF2027" s="2" t="s">
        <v>19251</v>
      </c>
      <c r="BH2027" s="1">
        <v>0.0</v>
      </c>
      <c r="BK2027" s="1" t="s">
        <v>204</v>
      </c>
      <c r="BL2027" s="1" t="str">
        <f>"2700"</f>
        <v>2700</v>
      </c>
      <c r="BM2027" s="1" t="str">
        <f t="shared" ref="BM2027:BM2029" si="1332">"0"</f>
        <v>0</v>
      </c>
      <c r="BN2027" s="1">
        <v>4800.0</v>
      </c>
      <c r="BO2027" s="1">
        <v>0.0</v>
      </c>
      <c r="BQ2027" s="1">
        <v>299.0</v>
      </c>
      <c r="BR2027" s="1">
        <v>299.0</v>
      </c>
      <c r="BS2027" s="1">
        <v>299.0</v>
      </c>
      <c r="BU2027" s="1" t="s">
        <v>205</v>
      </c>
      <c r="BV2027" s="1" t="s">
        <v>206</v>
      </c>
      <c r="BW2027" s="1" t="s">
        <v>207</v>
      </c>
      <c r="BY2027" s="1" t="s">
        <v>212</v>
      </c>
      <c r="BZ2027" s="1" t="s">
        <v>206</v>
      </c>
      <c r="CC2027" s="1" t="s">
        <v>329</v>
      </c>
      <c r="CD2027" s="1" t="s">
        <v>206</v>
      </c>
      <c r="CE2027" s="1" t="s">
        <v>207</v>
      </c>
      <c r="CG2027" s="1" t="s">
        <v>1584</v>
      </c>
      <c r="CH2027" s="1" t="s">
        <v>206</v>
      </c>
      <c r="CK2027" s="1" t="s">
        <v>758</v>
      </c>
      <c r="CL2027" s="1" t="s">
        <v>209</v>
      </c>
      <c r="CO2027" s="1" t="s">
        <v>1483</v>
      </c>
      <c r="CP2027" s="1" t="s">
        <v>209</v>
      </c>
      <c r="CS2027" s="1" t="s">
        <v>212</v>
      </c>
      <c r="CT2027" s="1" t="s">
        <v>206</v>
      </c>
      <c r="CX2027" s="1" t="s">
        <v>204</v>
      </c>
      <c r="DA2027" s="1" t="s">
        <v>200</v>
      </c>
      <c r="DC2027" s="1" t="s">
        <v>216</v>
      </c>
      <c r="DE2027" s="1" t="s">
        <v>229</v>
      </c>
      <c r="DF2027" s="1" t="s">
        <v>619</v>
      </c>
      <c r="DH2027" s="1" t="s">
        <v>365</v>
      </c>
      <c r="DJ2027" s="1" t="s">
        <v>222</v>
      </c>
      <c r="DL2027" s="1" t="s">
        <v>858</v>
      </c>
      <c r="DM2027" s="1" t="s">
        <v>229</v>
      </c>
      <c r="DQ2027" s="1" t="s">
        <v>228</v>
      </c>
      <c r="DR2027" s="1" t="s">
        <v>229</v>
      </c>
      <c r="DV2027" s="1" t="s">
        <v>232</v>
      </c>
      <c r="DW2027" s="1" t="s">
        <v>279</v>
      </c>
      <c r="DX2027" s="1" t="s">
        <v>234</v>
      </c>
      <c r="DY2027" s="1" t="s">
        <v>553</v>
      </c>
      <c r="EA2027" s="1" t="s">
        <v>644</v>
      </c>
      <c r="EC2027" s="1" t="s">
        <v>645</v>
      </c>
      <c r="EM2027" s="1" t="s">
        <v>238</v>
      </c>
      <c r="EQ2027" s="1" t="s">
        <v>238</v>
      </c>
      <c r="EU2027" s="1" t="s">
        <v>238</v>
      </c>
      <c r="EY2027" s="1" t="s">
        <v>238</v>
      </c>
      <c r="FC2027" s="1" t="s">
        <v>238</v>
      </c>
      <c r="FF2027" s="1" t="s">
        <v>239</v>
      </c>
      <c r="FG2027" s="1" t="s">
        <v>192</v>
      </c>
      <c r="FH2027" s="1" t="s">
        <v>192</v>
      </c>
      <c r="FJ2027" s="1" t="s">
        <v>19252</v>
      </c>
      <c r="FK2027" s="1" t="s">
        <v>229</v>
      </c>
      <c r="FL2027" s="1" t="s">
        <v>19253</v>
      </c>
      <c r="FM2027" s="1">
        <v>90811.0</v>
      </c>
      <c r="FN2027" s="1" t="s">
        <v>19254</v>
      </c>
      <c r="FO2027" s="1" t="s">
        <v>19255</v>
      </c>
      <c r="FP2027" s="1">
        <v>900642.0</v>
      </c>
      <c r="FQ2027" s="1" t="s">
        <v>19256</v>
      </c>
      <c r="FR2027" s="1">
        <v>901705.0</v>
      </c>
      <c r="FU2027" s="1" t="s">
        <v>885</v>
      </c>
      <c r="FV2027" s="1" t="s">
        <v>200</v>
      </c>
      <c r="FW2027" s="1" t="s">
        <v>19257</v>
      </c>
      <c r="FX2027" s="1" t="s">
        <v>246</v>
      </c>
      <c r="FZ2027" s="1" t="s">
        <v>229</v>
      </c>
      <c r="GA2027" s="1" t="s">
        <v>291</v>
      </c>
      <c r="GB2027" s="2">
        <v>41971.0</v>
      </c>
      <c r="GC2027" s="1" t="s">
        <v>19258</v>
      </c>
    </row>
    <row r="2028">
      <c r="A2028" s="1">
        <v>418900.0</v>
      </c>
      <c r="B2028" s="1" t="s">
        <v>185</v>
      </c>
      <c r="C2028" s="1" t="str">
        <f>"08735318"</f>
        <v>08735318</v>
      </c>
      <c r="D2028" s="1" t="s">
        <v>186</v>
      </c>
      <c r="F2028" s="1" t="str">
        <f>"8010"</f>
        <v>8010</v>
      </c>
      <c r="G2028" s="2">
        <v>41905.0</v>
      </c>
      <c r="H2028" s="1">
        <v>420000.0</v>
      </c>
      <c r="I2028" s="1">
        <v>149.0</v>
      </c>
      <c r="J2028" s="1">
        <v>420000.0</v>
      </c>
      <c r="K2028" s="2">
        <v>42037.0</v>
      </c>
      <c r="L2028" s="1">
        <v>133.0</v>
      </c>
      <c r="M2028" s="2">
        <v>42037.0</v>
      </c>
      <c r="N2028" s="1" t="s">
        <v>187</v>
      </c>
      <c r="O2028" s="2">
        <v>42082.0</v>
      </c>
      <c r="P2028" s="1">
        <v>27461.0</v>
      </c>
      <c r="Q2028" s="1">
        <v>8015.0</v>
      </c>
      <c r="S2028" s="1">
        <v>6342.0</v>
      </c>
      <c r="T2028" s="1" t="s">
        <v>4886</v>
      </c>
      <c r="U2028" s="1" t="s">
        <v>189</v>
      </c>
      <c r="V2028" s="1" t="s">
        <v>190</v>
      </c>
      <c r="W2028" s="1">
        <v>60631.0</v>
      </c>
      <c r="X2028" s="1">
        <v>1756.0</v>
      </c>
      <c r="Y2028" s="1" t="s">
        <v>19259</v>
      </c>
      <c r="Z2028" s="1">
        <v>1922.0</v>
      </c>
      <c r="AA2028" s="1" t="s">
        <v>192</v>
      </c>
      <c r="AB2028" s="1" t="s">
        <v>193</v>
      </c>
      <c r="AD2028" s="1" t="s">
        <v>194</v>
      </c>
      <c r="AE2028" s="1" t="s">
        <v>195</v>
      </c>
      <c r="AF2028" s="1" t="s">
        <v>196</v>
      </c>
      <c r="AH2028" s="1" t="s">
        <v>19260</v>
      </c>
      <c r="AI2028" s="1">
        <v>0.1837</v>
      </c>
      <c r="AK2028" s="1">
        <v>11.0</v>
      </c>
      <c r="AL2028" s="1">
        <v>4.0</v>
      </c>
      <c r="AM2028" s="1">
        <v>3.0</v>
      </c>
      <c r="AN2028" s="1">
        <v>0.0</v>
      </c>
      <c r="AO2028" s="1" t="s">
        <v>198</v>
      </c>
      <c r="AP2028" s="1">
        <v>2.0</v>
      </c>
      <c r="AQ2028" s="1" t="s">
        <v>198</v>
      </c>
      <c r="AR2028" s="1" t="s">
        <v>200</v>
      </c>
      <c r="AS2028" s="1" t="s">
        <v>510</v>
      </c>
      <c r="AT2028" s="1">
        <v>3.0</v>
      </c>
      <c r="AU2028" s="1">
        <v>1.0</v>
      </c>
      <c r="AV2028" s="1" t="s">
        <v>200</v>
      </c>
      <c r="AW2028" s="1">
        <v>3640.63</v>
      </c>
      <c r="AX2028" s="1">
        <v>2013.0</v>
      </c>
      <c r="AY2028" s="1" t="s">
        <v>1179</v>
      </c>
      <c r="AZ2028" s="1" t="s">
        <v>200</v>
      </c>
      <c r="BA2028" s="1" t="str">
        <f>"13061040360000"</f>
        <v>13061040360000</v>
      </c>
      <c r="BB2028" s="1" t="s">
        <v>200</v>
      </c>
      <c r="BC2028" s="1">
        <v>2500.0</v>
      </c>
      <c r="BD2028" s="1">
        <v>418900.0</v>
      </c>
      <c r="BE2028" s="2">
        <v>41905.0</v>
      </c>
      <c r="BF2028" s="2" t="s">
        <v>19261</v>
      </c>
      <c r="BH2028" s="1">
        <v>0.0</v>
      </c>
      <c r="BK2028" s="1" t="s">
        <v>204</v>
      </c>
      <c r="BL2028" s="1" t="str">
        <f>"6342"</f>
        <v>6342</v>
      </c>
      <c r="BM2028" s="1" t="str">
        <f t="shared" si="1332"/>
        <v>0</v>
      </c>
      <c r="BN2028" s="1">
        <v>7000.0</v>
      </c>
      <c r="BO2028" s="1">
        <v>0.0</v>
      </c>
      <c r="BQ2028" s="1">
        <v>299.0</v>
      </c>
      <c r="BR2028" s="1">
        <v>299.0</v>
      </c>
      <c r="BS2028" s="1">
        <v>299.0</v>
      </c>
      <c r="BU2028" s="1" t="s">
        <v>453</v>
      </c>
      <c r="BV2028" s="1" t="s">
        <v>206</v>
      </c>
      <c r="BW2028" s="1" t="s">
        <v>207</v>
      </c>
      <c r="BY2028" s="1" t="s">
        <v>262</v>
      </c>
      <c r="BZ2028" s="1" t="s">
        <v>209</v>
      </c>
      <c r="CA2028" s="1" t="s">
        <v>207</v>
      </c>
      <c r="CC2028" s="1" t="s">
        <v>542</v>
      </c>
      <c r="CD2028" s="1" t="s">
        <v>206</v>
      </c>
      <c r="CE2028" s="1" t="s">
        <v>207</v>
      </c>
      <c r="CG2028" s="1" t="s">
        <v>497</v>
      </c>
      <c r="CH2028" s="1" t="s">
        <v>206</v>
      </c>
      <c r="CI2028" s="1" t="s">
        <v>207</v>
      </c>
      <c r="CK2028" s="1" t="s">
        <v>264</v>
      </c>
      <c r="CL2028" s="1" t="s">
        <v>206</v>
      </c>
      <c r="CM2028" s="1" t="s">
        <v>207</v>
      </c>
      <c r="CO2028" s="1" t="s">
        <v>699</v>
      </c>
      <c r="CP2028" s="1" t="s">
        <v>209</v>
      </c>
      <c r="CQ2028" s="1" t="s">
        <v>207</v>
      </c>
      <c r="CS2028" s="1" t="s">
        <v>332</v>
      </c>
      <c r="CT2028" s="1" t="s">
        <v>206</v>
      </c>
      <c r="CW2028" s="1" t="s">
        <v>1623</v>
      </c>
      <c r="CX2028" s="1" t="s">
        <v>206</v>
      </c>
      <c r="CY2028" s="1" t="s">
        <v>210</v>
      </c>
      <c r="DA2028" s="1" t="s">
        <v>200</v>
      </c>
      <c r="DC2028" s="1" t="s">
        <v>216</v>
      </c>
      <c r="DD2028" s="1" t="s">
        <v>679</v>
      </c>
      <c r="DE2028" s="1" t="s">
        <v>1905</v>
      </c>
      <c r="DF2028" s="1" t="s">
        <v>19262</v>
      </c>
      <c r="DG2028" s="1" t="s">
        <v>19114</v>
      </c>
      <c r="DH2028" s="1" t="s">
        <v>365</v>
      </c>
      <c r="DI2028" s="1" t="s">
        <v>308</v>
      </c>
      <c r="DJ2028" s="1" t="s">
        <v>222</v>
      </c>
      <c r="DL2028" s="1" t="s">
        <v>224</v>
      </c>
      <c r="DM2028" s="1" t="s">
        <v>1143</v>
      </c>
      <c r="DN2028" s="1" t="s">
        <v>666</v>
      </c>
      <c r="DO2028" s="1" t="s">
        <v>2548</v>
      </c>
      <c r="DP2028" s="1" t="s">
        <v>276</v>
      </c>
      <c r="DQ2028" s="1" t="s">
        <v>794</v>
      </c>
      <c r="DR2028" s="1" t="s">
        <v>229</v>
      </c>
      <c r="DS2028" s="1" t="s">
        <v>401</v>
      </c>
      <c r="DV2028" s="1" t="s">
        <v>19263</v>
      </c>
      <c r="DW2028" s="1" t="s">
        <v>19264</v>
      </c>
      <c r="DX2028" s="1" t="s">
        <v>234</v>
      </c>
      <c r="DY2028" s="1" t="s">
        <v>2423</v>
      </c>
      <c r="DZ2028" s="1" t="s">
        <v>19265</v>
      </c>
      <c r="EA2028" s="1" t="s">
        <v>1695</v>
      </c>
      <c r="EB2028" s="1" t="s">
        <v>345</v>
      </c>
      <c r="EC2028" s="1" t="s">
        <v>237</v>
      </c>
      <c r="ED2028" s="1" t="s">
        <v>9107</v>
      </c>
      <c r="EG2028" s="1" t="s">
        <v>341</v>
      </c>
      <c r="EH2028" s="1" t="s">
        <v>450</v>
      </c>
      <c r="EI2028" s="1" t="s">
        <v>588</v>
      </c>
      <c r="EJ2028" s="1" t="s">
        <v>557</v>
      </c>
      <c r="EK2028" s="1" t="s">
        <v>408</v>
      </c>
      <c r="EL2028" s="1" t="s">
        <v>266</v>
      </c>
      <c r="EM2028" s="1" t="s">
        <v>209</v>
      </c>
      <c r="EN2028" s="1" t="s">
        <v>207</v>
      </c>
      <c r="EP2028" s="1" t="s">
        <v>664</v>
      </c>
      <c r="EQ2028" s="1" t="s">
        <v>42</v>
      </c>
      <c r="ET2028" s="1" t="s">
        <v>3538</v>
      </c>
      <c r="EU2028" s="1" t="s">
        <v>42</v>
      </c>
      <c r="EX2028" s="1" t="s">
        <v>623</v>
      </c>
      <c r="EY2028" s="1" t="s">
        <v>42</v>
      </c>
      <c r="FB2028" s="1" t="s">
        <v>560</v>
      </c>
      <c r="FC2028" s="1" t="s">
        <v>206</v>
      </c>
      <c r="FD2028" s="1" t="s">
        <v>207</v>
      </c>
      <c r="FF2028" s="1" t="s">
        <v>239</v>
      </c>
      <c r="FG2028" s="1" t="s">
        <v>192</v>
      </c>
      <c r="FH2028" s="1" t="s">
        <v>192</v>
      </c>
      <c r="FJ2028" s="1" t="s">
        <v>412</v>
      </c>
      <c r="FK2028" s="1" t="s">
        <v>229</v>
      </c>
      <c r="FL2028" s="1" t="s">
        <v>413</v>
      </c>
      <c r="FM2028" s="1">
        <v>13691.0</v>
      </c>
      <c r="FN2028" s="1" t="s">
        <v>414</v>
      </c>
      <c r="FO2028" s="1" t="s">
        <v>19266</v>
      </c>
      <c r="FP2028" s="1">
        <v>110955.0</v>
      </c>
      <c r="FQ2028" s="1" t="s">
        <v>19267</v>
      </c>
      <c r="FU2028" s="1" t="s">
        <v>19268</v>
      </c>
      <c r="FV2028" s="1" t="s">
        <v>192</v>
      </c>
      <c r="FW2028" s="1" t="s">
        <v>530</v>
      </c>
      <c r="FX2028" s="1" t="s">
        <v>238</v>
      </c>
      <c r="FZ2028" s="1" t="s">
        <v>229</v>
      </c>
      <c r="GA2028" s="1" t="s">
        <v>291</v>
      </c>
      <c r="GB2028" s="2">
        <v>42082.0</v>
      </c>
      <c r="GC2028" s="1" t="s">
        <v>19269</v>
      </c>
    </row>
    <row r="2029">
      <c r="A2029" s="1">
        <v>160000.0</v>
      </c>
      <c r="B2029" s="1" t="s">
        <v>185</v>
      </c>
      <c r="C2029" s="1" t="str">
        <f>"08735931"</f>
        <v>08735931</v>
      </c>
      <c r="D2029" s="1" t="s">
        <v>186</v>
      </c>
      <c r="F2029" s="1" t="str">
        <f>"8023"</f>
        <v>8023</v>
      </c>
      <c r="G2029" s="2">
        <v>41905.0</v>
      </c>
      <c r="H2029" s="1">
        <v>169000.0</v>
      </c>
      <c r="I2029" s="1">
        <v>41.0</v>
      </c>
      <c r="J2029" s="1">
        <v>169000.0</v>
      </c>
      <c r="K2029" s="2">
        <v>41945.0</v>
      </c>
      <c r="L2029" s="1">
        <v>41.0</v>
      </c>
      <c r="M2029" s="2">
        <v>41945.0</v>
      </c>
      <c r="N2029" s="1" t="s">
        <v>249</v>
      </c>
      <c r="O2029" s="2">
        <v>41988.0</v>
      </c>
      <c r="P2029" s="1">
        <v>133712.0</v>
      </c>
      <c r="Q2029" s="1">
        <v>13691.0</v>
      </c>
      <c r="R2029" s="1">
        <v>4800.0</v>
      </c>
      <c r="S2029" s="1">
        <v>1722.0</v>
      </c>
      <c r="T2029" s="1" t="s">
        <v>5101</v>
      </c>
      <c r="U2029" s="1" t="s">
        <v>189</v>
      </c>
      <c r="V2029" s="1" t="s">
        <v>190</v>
      </c>
      <c r="W2029" s="1">
        <v>60647.0</v>
      </c>
      <c r="Y2029" s="1" t="s">
        <v>19270</v>
      </c>
      <c r="Z2029" s="1">
        <v>1896.0</v>
      </c>
      <c r="AA2029" s="1" t="s">
        <v>192</v>
      </c>
      <c r="AB2029" s="1" t="s">
        <v>193</v>
      </c>
      <c r="AD2029" s="1" t="s">
        <v>194</v>
      </c>
      <c r="AE2029" s="1" t="s">
        <v>195</v>
      </c>
      <c r="AF2029" s="1" t="s">
        <v>196</v>
      </c>
      <c r="AH2029" s="1" t="s">
        <v>741</v>
      </c>
      <c r="AK2029" s="1">
        <v>7.0</v>
      </c>
      <c r="AL2029" s="1">
        <v>4.0</v>
      </c>
      <c r="AM2029" s="1">
        <v>2.0</v>
      </c>
      <c r="AN2029" s="1">
        <v>0.0</v>
      </c>
      <c r="AO2029" s="1" t="s">
        <v>229</v>
      </c>
      <c r="AQ2029" s="1" t="s">
        <v>198</v>
      </c>
      <c r="AR2029" s="1" t="s">
        <v>200</v>
      </c>
      <c r="AS2029" s="1" t="s">
        <v>229</v>
      </c>
      <c r="AV2029" s="1" t="s">
        <v>200</v>
      </c>
      <c r="AW2029" s="1">
        <v>2559.0</v>
      </c>
      <c r="AX2029" s="1">
        <v>2013.0</v>
      </c>
      <c r="AZ2029" s="1" t="s">
        <v>200</v>
      </c>
      <c r="BA2029" s="1" t="str">
        <f>"13353190220000"</f>
        <v>13353190220000</v>
      </c>
      <c r="BB2029" s="1" t="s">
        <v>200</v>
      </c>
      <c r="BC2029" s="1">
        <v>0.0</v>
      </c>
      <c r="BD2029" s="1">
        <v>160000.0</v>
      </c>
      <c r="BE2029" s="2">
        <v>41905.0</v>
      </c>
      <c r="BF2029" s="2" t="s">
        <v>19271</v>
      </c>
      <c r="BH2029" s="1">
        <v>0.0</v>
      </c>
      <c r="BK2029" s="1" t="s">
        <v>204</v>
      </c>
      <c r="BL2029" s="1" t="str">
        <f>"1600"</f>
        <v>1600</v>
      </c>
      <c r="BM2029" s="1" t="str">
        <f t="shared" si="1332"/>
        <v>0</v>
      </c>
      <c r="BN2029" s="1">
        <v>3700.0</v>
      </c>
      <c r="BO2029" s="1">
        <v>0.0</v>
      </c>
      <c r="BQ2029" s="1">
        <v>299.0</v>
      </c>
      <c r="BR2029" s="1">
        <v>299.0</v>
      </c>
      <c r="BS2029" s="1">
        <v>299.0</v>
      </c>
      <c r="BU2029" s="1" t="s">
        <v>212</v>
      </c>
      <c r="BV2029" s="1" t="s">
        <v>206</v>
      </c>
      <c r="BY2029" s="1" t="s">
        <v>495</v>
      </c>
      <c r="BZ2029" s="1" t="s">
        <v>209</v>
      </c>
      <c r="CC2029" s="1" t="s">
        <v>264</v>
      </c>
      <c r="CD2029" s="1" t="s">
        <v>206</v>
      </c>
      <c r="CG2029" s="1" t="s">
        <v>516</v>
      </c>
      <c r="CH2029" s="1" t="s">
        <v>206</v>
      </c>
      <c r="CK2029" s="1" t="s">
        <v>516</v>
      </c>
      <c r="CL2029" s="1" t="s">
        <v>206</v>
      </c>
      <c r="CO2029" s="1" t="s">
        <v>269</v>
      </c>
      <c r="CP2029" s="1" t="s">
        <v>209</v>
      </c>
      <c r="CS2029" s="1" t="s">
        <v>495</v>
      </c>
      <c r="CT2029" s="1" t="s">
        <v>206</v>
      </c>
      <c r="CX2029" s="1" t="s">
        <v>204</v>
      </c>
      <c r="DA2029" s="1" t="s">
        <v>200</v>
      </c>
      <c r="DC2029" s="1" t="s">
        <v>642</v>
      </c>
      <c r="DE2029" s="1" t="s">
        <v>273</v>
      </c>
      <c r="DF2029" s="1" t="s">
        <v>219</v>
      </c>
      <c r="DH2029" s="1" t="s">
        <v>365</v>
      </c>
      <c r="DJ2029" s="1" t="s">
        <v>222</v>
      </c>
      <c r="DL2029" s="1" t="s">
        <v>858</v>
      </c>
      <c r="DM2029" s="1" t="s">
        <v>229</v>
      </c>
      <c r="DQ2029" s="1" t="s">
        <v>228</v>
      </c>
      <c r="DR2029" s="1" t="s">
        <v>229</v>
      </c>
      <c r="DV2029" s="1" t="s">
        <v>232</v>
      </c>
      <c r="DW2029" s="1" t="s">
        <v>279</v>
      </c>
      <c r="DX2029" s="1" t="s">
        <v>1287</v>
      </c>
      <c r="EA2029" s="1" t="s">
        <v>644</v>
      </c>
      <c r="EC2029" s="1" t="s">
        <v>237</v>
      </c>
      <c r="EE2029" s="1" t="s">
        <v>1960</v>
      </c>
      <c r="EM2029" s="1" t="s">
        <v>238</v>
      </c>
      <c r="EQ2029" s="1" t="s">
        <v>238</v>
      </c>
      <c r="EU2029" s="1" t="s">
        <v>238</v>
      </c>
      <c r="EY2029" s="1" t="s">
        <v>238</v>
      </c>
      <c r="FC2029" s="1" t="s">
        <v>238</v>
      </c>
      <c r="FF2029" s="1" t="s">
        <v>239</v>
      </c>
      <c r="FG2029" s="1" t="s">
        <v>192</v>
      </c>
      <c r="FH2029" s="1" t="s">
        <v>200</v>
      </c>
      <c r="FJ2029" s="1" t="s">
        <v>1573</v>
      </c>
      <c r="FK2029" s="1" t="s">
        <v>229</v>
      </c>
      <c r="FL2029" s="1" t="s">
        <v>7374</v>
      </c>
      <c r="FM2029" s="1">
        <v>84291.0</v>
      </c>
      <c r="FN2029" s="1" t="s">
        <v>7375</v>
      </c>
      <c r="FO2029" s="1" t="s">
        <v>19272</v>
      </c>
      <c r="FP2029" s="1">
        <v>107774.0</v>
      </c>
      <c r="FQ2029" s="1" t="s">
        <v>19273</v>
      </c>
      <c r="FU2029" s="1" t="s">
        <v>19274</v>
      </c>
      <c r="FV2029" s="1" t="s">
        <v>200</v>
      </c>
      <c r="FW2029" s="1" t="s">
        <v>19275</v>
      </c>
      <c r="FX2029" s="1" t="s">
        <v>238</v>
      </c>
      <c r="FZ2029" s="1" t="s">
        <v>229</v>
      </c>
      <c r="GA2029" s="1" t="s">
        <v>291</v>
      </c>
      <c r="GB2029" s="2">
        <v>42009.0</v>
      </c>
      <c r="GC2029" s="1" t="s">
        <v>19276</v>
      </c>
    </row>
    <row r="2030">
      <c r="A2030" s="1">
        <v>375000.0</v>
      </c>
      <c r="B2030" s="1" t="s">
        <v>185</v>
      </c>
      <c r="C2030" s="1" t="str">
        <f>"08736371"</f>
        <v>08736371</v>
      </c>
      <c r="D2030" s="1" t="s">
        <v>186</v>
      </c>
      <c r="F2030" s="1" t="str">
        <f>"184"</f>
        <v>184</v>
      </c>
      <c r="G2030" s="2">
        <v>41906.0</v>
      </c>
      <c r="H2030" s="1">
        <v>498500.0</v>
      </c>
      <c r="I2030" s="1">
        <v>192.0</v>
      </c>
      <c r="J2030" s="1">
        <v>424000.0</v>
      </c>
      <c r="K2030" s="2">
        <v>42097.0</v>
      </c>
      <c r="L2030" s="1">
        <v>192.0</v>
      </c>
      <c r="M2030" s="2">
        <v>42097.0</v>
      </c>
      <c r="N2030" s="1" t="s">
        <v>249</v>
      </c>
      <c r="O2030" s="2">
        <v>42111.0</v>
      </c>
      <c r="P2030" s="1">
        <v>219778.0</v>
      </c>
      <c r="Q2030" s="1">
        <v>22039.0</v>
      </c>
      <c r="S2030" s="1" t="s">
        <v>19277</v>
      </c>
      <c r="T2030" s="1" t="s">
        <v>15225</v>
      </c>
      <c r="U2030" s="1" t="s">
        <v>420</v>
      </c>
      <c r="V2030" s="1" t="s">
        <v>3870</v>
      </c>
      <c r="W2030" s="1">
        <v>60184.0</v>
      </c>
      <c r="Y2030" s="1" t="s">
        <v>19278</v>
      </c>
      <c r="Z2030" s="1">
        <v>1986.0</v>
      </c>
      <c r="AA2030" s="1" t="s">
        <v>200</v>
      </c>
      <c r="AB2030" s="1" t="s">
        <v>193</v>
      </c>
      <c r="AD2030" s="1" t="s">
        <v>1089</v>
      </c>
      <c r="AE2030" s="1" t="s">
        <v>1258</v>
      </c>
      <c r="AF2030" s="1" t="s">
        <v>3935</v>
      </c>
      <c r="AH2030" s="1">
        <v>2.32</v>
      </c>
      <c r="AI2030" s="1">
        <v>2.32</v>
      </c>
      <c r="AK2030" s="1">
        <v>9.0</v>
      </c>
      <c r="AL2030" s="1">
        <v>4.0</v>
      </c>
      <c r="AM2030" s="1">
        <v>2.0</v>
      </c>
      <c r="AN2030" s="1">
        <v>1.0</v>
      </c>
      <c r="AO2030" s="1" t="s">
        <v>198</v>
      </c>
      <c r="AP2030" s="1">
        <v>1.0</v>
      </c>
      <c r="AQ2030" s="1" t="s">
        <v>198</v>
      </c>
      <c r="AR2030" s="1" t="s">
        <v>200</v>
      </c>
      <c r="AS2030" s="1" t="s">
        <v>199</v>
      </c>
      <c r="AT2030" s="1">
        <v>3.0</v>
      </c>
      <c r="AV2030" s="1" t="s">
        <v>200</v>
      </c>
      <c r="AW2030" s="1">
        <v>14082.0</v>
      </c>
      <c r="AX2030" s="1">
        <v>2013.0</v>
      </c>
      <c r="AY2030" s="1" t="s">
        <v>229</v>
      </c>
      <c r="AZ2030" s="1" t="s">
        <v>200</v>
      </c>
      <c r="BA2030" s="1" t="str">
        <f>"0116305001"</f>
        <v>0116305001</v>
      </c>
      <c r="BC2030" s="1">
        <v>2800.0</v>
      </c>
      <c r="BD2030" s="1">
        <v>375000.0</v>
      </c>
      <c r="BE2030" s="2">
        <v>41906.0</v>
      </c>
      <c r="BF2030" s="2" t="s">
        <v>19279</v>
      </c>
      <c r="BG2030" s="1" t="s">
        <v>3938</v>
      </c>
      <c r="BH2030" s="1">
        <v>0.0</v>
      </c>
      <c r="BI2030" s="1" t="s">
        <v>8076</v>
      </c>
      <c r="BJ2030" s="1" t="s">
        <v>2440</v>
      </c>
      <c r="BK2030" s="1" t="s">
        <v>204</v>
      </c>
      <c r="BL2030" s="1" t="str">
        <f t="shared" ref="BL2030:BM2030" si="1333">""</f>
        <v/>
      </c>
      <c r="BM2030" s="1" t="str">
        <f t="shared" si="1333"/>
        <v/>
      </c>
      <c r="BQ2030" s="1">
        <v>46.0</v>
      </c>
      <c r="BR2030" s="1">
        <v>46.0</v>
      </c>
      <c r="BS2030" s="1">
        <v>46.0</v>
      </c>
      <c r="BU2030" s="1" t="s">
        <v>784</v>
      </c>
      <c r="BV2030" s="1" t="s">
        <v>206</v>
      </c>
      <c r="BW2030" s="1" t="s">
        <v>210</v>
      </c>
      <c r="BX2030" s="1" t="s">
        <v>229</v>
      </c>
      <c r="BY2030" s="1" t="s">
        <v>477</v>
      </c>
      <c r="BZ2030" s="1" t="s">
        <v>209</v>
      </c>
      <c r="CA2030" s="1" t="s">
        <v>210</v>
      </c>
      <c r="CB2030" s="1" t="s">
        <v>229</v>
      </c>
      <c r="CC2030" s="1" t="s">
        <v>2459</v>
      </c>
      <c r="CD2030" s="1" t="s">
        <v>206</v>
      </c>
      <c r="CE2030" s="1" t="s">
        <v>210</v>
      </c>
      <c r="CF2030" s="1" t="s">
        <v>229</v>
      </c>
      <c r="CG2030" s="1" t="s">
        <v>478</v>
      </c>
      <c r="CH2030" s="1" t="s">
        <v>209</v>
      </c>
      <c r="CI2030" s="1" t="s">
        <v>210</v>
      </c>
      <c r="CJ2030" s="1" t="s">
        <v>229</v>
      </c>
      <c r="CK2030" s="1" t="s">
        <v>215</v>
      </c>
      <c r="CL2030" s="1" t="s">
        <v>209</v>
      </c>
      <c r="CM2030" s="1" t="s">
        <v>210</v>
      </c>
      <c r="CN2030" s="1" t="s">
        <v>229</v>
      </c>
      <c r="CO2030" s="1" t="s">
        <v>663</v>
      </c>
      <c r="CP2030" s="1" t="s">
        <v>209</v>
      </c>
      <c r="CQ2030" s="1" t="s">
        <v>210</v>
      </c>
      <c r="CR2030" s="1" t="s">
        <v>229</v>
      </c>
      <c r="CS2030" s="1" t="s">
        <v>2442</v>
      </c>
      <c r="CT2030" s="1" t="s">
        <v>206</v>
      </c>
      <c r="CU2030" s="1" t="s">
        <v>1065</v>
      </c>
      <c r="CV2030" s="1" t="s">
        <v>229</v>
      </c>
      <c r="CW2030" s="1" t="s">
        <v>1045</v>
      </c>
      <c r="CX2030" s="1" t="s">
        <v>206</v>
      </c>
      <c r="CY2030" s="1" t="s">
        <v>207</v>
      </c>
      <c r="CZ2030" s="1" t="s">
        <v>229</v>
      </c>
      <c r="DA2030" s="1" t="s">
        <v>200</v>
      </c>
      <c r="DC2030" s="1" t="s">
        <v>305</v>
      </c>
      <c r="DD2030" s="1" t="s">
        <v>336</v>
      </c>
      <c r="DE2030" s="1" t="s">
        <v>273</v>
      </c>
      <c r="DF2030" s="1" t="s">
        <v>619</v>
      </c>
      <c r="DG2030" s="1" t="s">
        <v>12118</v>
      </c>
      <c r="DH2030" s="1" t="s">
        <v>856</v>
      </c>
      <c r="DI2030" s="1" t="s">
        <v>1096</v>
      </c>
      <c r="DJ2030" s="1" t="s">
        <v>857</v>
      </c>
      <c r="DL2030" s="1" t="s">
        <v>223</v>
      </c>
      <c r="DM2030" s="1" t="s">
        <v>338</v>
      </c>
      <c r="DN2030" s="1" t="s">
        <v>485</v>
      </c>
      <c r="DO2030" s="1" t="s">
        <v>19280</v>
      </c>
      <c r="DP2030" s="1" t="s">
        <v>340</v>
      </c>
      <c r="DQ2030" s="1" t="s">
        <v>860</v>
      </c>
      <c r="DR2030" s="1" t="s">
        <v>229</v>
      </c>
      <c r="DU2030" s="1" t="s">
        <v>5570</v>
      </c>
      <c r="DV2030" s="1" t="s">
        <v>19281</v>
      </c>
      <c r="DW2030" s="1" t="s">
        <v>444</v>
      </c>
      <c r="DX2030" s="1" t="s">
        <v>234</v>
      </c>
      <c r="DY2030" s="1" t="s">
        <v>5811</v>
      </c>
      <c r="DZ2030" s="1" t="s">
        <v>9771</v>
      </c>
      <c r="EC2030" s="1" t="s">
        <v>237</v>
      </c>
      <c r="ED2030" s="1" t="s">
        <v>555</v>
      </c>
      <c r="EG2030" s="1" t="s">
        <v>494</v>
      </c>
      <c r="EH2030" s="1" t="s">
        <v>408</v>
      </c>
      <c r="EI2030" s="1" t="s">
        <v>409</v>
      </c>
      <c r="EL2030" s="1" t="s">
        <v>495</v>
      </c>
      <c r="EM2030" s="1" t="s">
        <v>206</v>
      </c>
      <c r="EN2030" s="1" t="s">
        <v>210</v>
      </c>
      <c r="EO2030" s="1" t="s">
        <v>229</v>
      </c>
      <c r="EP2030" s="1" t="s">
        <v>1064</v>
      </c>
      <c r="EQ2030" s="1" t="s">
        <v>206</v>
      </c>
      <c r="ER2030" s="1" t="s">
        <v>1065</v>
      </c>
      <c r="ES2030" s="1" t="s">
        <v>229</v>
      </c>
      <c r="ET2030" s="1" t="s">
        <v>269</v>
      </c>
      <c r="EU2030" s="1" t="s">
        <v>209</v>
      </c>
      <c r="EV2030" s="1" t="s">
        <v>210</v>
      </c>
      <c r="EW2030" s="1" t="s">
        <v>229</v>
      </c>
      <c r="EY2030" s="1" t="s">
        <v>238</v>
      </c>
      <c r="FC2030" s="1" t="s">
        <v>238</v>
      </c>
      <c r="FF2030" s="1" t="s">
        <v>239</v>
      </c>
      <c r="FG2030" s="1" t="s">
        <v>192</v>
      </c>
      <c r="FH2030" s="1" t="s">
        <v>192</v>
      </c>
      <c r="FJ2030" s="1" t="s">
        <v>19282</v>
      </c>
      <c r="FK2030" s="1" t="s">
        <v>229</v>
      </c>
      <c r="FL2030" s="1" t="s">
        <v>19283</v>
      </c>
      <c r="FM2030" s="1">
        <v>1419.0</v>
      </c>
      <c r="FN2030" s="1" t="s">
        <v>19284</v>
      </c>
      <c r="FO2030" s="1" t="s">
        <v>19285</v>
      </c>
      <c r="FP2030" s="1">
        <v>89293.0</v>
      </c>
      <c r="FQ2030" s="1" t="s">
        <v>19286</v>
      </c>
      <c r="FU2030" s="1" t="s">
        <v>3447</v>
      </c>
      <c r="FV2030" s="1" t="s">
        <v>200</v>
      </c>
      <c r="FW2030" s="1" t="s">
        <v>1411</v>
      </c>
      <c r="FZ2030" s="1" t="s">
        <v>229</v>
      </c>
      <c r="GA2030" s="1" t="s">
        <v>291</v>
      </c>
      <c r="GB2030" s="2">
        <v>42112.0</v>
      </c>
      <c r="GC2030" s="1" t="s">
        <v>19287</v>
      </c>
    </row>
    <row r="2031">
      <c r="A2031" s="1">
        <v>300000.0</v>
      </c>
      <c r="B2031" s="1" t="s">
        <v>185</v>
      </c>
      <c r="C2031" s="1" t="str">
        <f>"08736639"</f>
        <v>08736639</v>
      </c>
      <c r="D2031" s="1" t="s">
        <v>186</v>
      </c>
      <c r="F2031" s="1" t="str">
        <f>"8075"</f>
        <v>8075</v>
      </c>
      <c r="G2031" s="2">
        <v>41906.0</v>
      </c>
      <c r="H2031" s="1">
        <v>329900.0</v>
      </c>
      <c r="I2031" s="1">
        <v>117.0</v>
      </c>
      <c r="J2031" s="1">
        <v>329900.0</v>
      </c>
      <c r="K2031" s="2">
        <v>41941.0</v>
      </c>
      <c r="L2031" s="1">
        <v>36.0</v>
      </c>
      <c r="M2031" s="2">
        <v>41941.0</v>
      </c>
      <c r="N2031" s="1" t="s">
        <v>187</v>
      </c>
      <c r="O2031" s="2">
        <v>41985.0</v>
      </c>
      <c r="P2031" s="1">
        <v>236662.0</v>
      </c>
      <c r="Q2031" s="1">
        <v>25688.0</v>
      </c>
      <c r="S2031" s="1">
        <v>11414.0</v>
      </c>
      <c r="T2031" s="1" t="s">
        <v>6500</v>
      </c>
      <c r="U2031" s="1" t="s">
        <v>189</v>
      </c>
      <c r="V2031" s="1" t="s">
        <v>190</v>
      </c>
      <c r="W2031" s="1">
        <v>60655.0</v>
      </c>
      <c r="Y2031" s="1" t="s">
        <v>19288</v>
      </c>
      <c r="Z2031" s="1">
        <v>1938.0</v>
      </c>
      <c r="AA2031" s="1" t="s">
        <v>192</v>
      </c>
      <c r="AB2031" s="1" t="s">
        <v>193</v>
      </c>
      <c r="AD2031" s="1" t="s">
        <v>194</v>
      </c>
      <c r="AE2031" s="1" t="s">
        <v>195</v>
      </c>
      <c r="AF2031" s="1" t="s">
        <v>659</v>
      </c>
      <c r="AH2031" s="1" t="s">
        <v>19289</v>
      </c>
      <c r="AI2031" s="1">
        <v>0.1225</v>
      </c>
      <c r="AK2031" s="1">
        <v>11.0</v>
      </c>
      <c r="AL2031" s="1">
        <v>4.0</v>
      </c>
      <c r="AM2031" s="1">
        <v>2.0</v>
      </c>
      <c r="AN2031" s="1">
        <v>1.0</v>
      </c>
      <c r="AO2031" s="1" t="s">
        <v>198</v>
      </c>
      <c r="AP2031" s="1">
        <v>1.0</v>
      </c>
      <c r="AQ2031" s="1" t="s">
        <v>198</v>
      </c>
      <c r="AR2031" s="1" t="s">
        <v>200</v>
      </c>
      <c r="AS2031" s="1" t="s">
        <v>828</v>
      </c>
      <c r="AU2031" s="1">
        <v>1.0</v>
      </c>
      <c r="AV2031" s="1" t="s">
        <v>200</v>
      </c>
      <c r="AW2031" s="1">
        <v>3397.36</v>
      </c>
      <c r="AX2031" s="1">
        <v>2012.0</v>
      </c>
      <c r="AY2031" s="1" t="s">
        <v>387</v>
      </c>
      <c r="AZ2031" s="1" t="s">
        <v>200</v>
      </c>
      <c r="BA2031" s="1" t="str">
        <f>"24242240330000"</f>
        <v>24242240330000</v>
      </c>
      <c r="BC2031" s="1">
        <v>2600.0</v>
      </c>
      <c r="BD2031" s="1">
        <v>300000.0</v>
      </c>
      <c r="BE2031" s="2">
        <v>41906.0</v>
      </c>
      <c r="BF2031" s="2" t="s">
        <v>19290</v>
      </c>
      <c r="BH2031" s="1">
        <v>0.0</v>
      </c>
      <c r="BK2031" s="1" t="s">
        <v>204</v>
      </c>
      <c r="BL2031" s="1" t="str">
        <f t="shared" ref="BL2031:BM2031" si="1334">"0"</f>
        <v>0</v>
      </c>
      <c r="BM2031" s="1" t="str">
        <f t="shared" si="1334"/>
        <v>0</v>
      </c>
      <c r="BN2031" s="1">
        <v>2500.0</v>
      </c>
      <c r="BO2031" s="1">
        <v>11414.0</v>
      </c>
      <c r="BQ2031" s="1">
        <v>299.0</v>
      </c>
      <c r="BR2031" s="1">
        <v>299.0</v>
      </c>
      <c r="BS2031" s="1">
        <v>299.0</v>
      </c>
      <c r="BU2031" s="1" t="s">
        <v>6315</v>
      </c>
      <c r="BV2031" s="1" t="s">
        <v>206</v>
      </c>
      <c r="BW2031" s="1" t="s">
        <v>207</v>
      </c>
      <c r="BY2031" s="1" t="s">
        <v>2414</v>
      </c>
      <c r="BZ2031" s="1" t="s">
        <v>209</v>
      </c>
      <c r="CC2031" s="1" t="s">
        <v>1183</v>
      </c>
      <c r="CD2031" s="1" t="s">
        <v>206</v>
      </c>
      <c r="CE2031" s="1" t="s">
        <v>207</v>
      </c>
      <c r="CG2031" s="1" t="s">
        <v>300</v>
      </c>
      <c r="CH2031" s="1" t="s">
        <v>209</v>
      </c>
      <c r="CI2031" s="1" t="s">
        <v>207</v>
      </c>
      <c r="CK2031" s="1" t="s">
        <v>663</v>
      </c>
      <c r="CL2031" s="1" t="s">
        <v>209</v>
      </c>
      <c r="CM2031" s="1" t="s">
        <v>207</v>
      </c>
      <c r="CO2031" s="1" t="s">
        <v>269</v>
      </c>
      <c r="CP2031" s="1" t="s">
        <v>209</v>
      </c>
      <c r="CQ2031" s="1" t="s">
        <v>207</v>
      </c>
      <c r="CS2031" s="1" t="s">
        <v>264</v>
      </c>
      <c r="CT2031" s="1" t="s">
        <v>206</v>
      </c>
      <c r="CU2031" s="1" t="s">
        <v>617</v>
      </c>
      <c r="CW2031" s="1" t="s">
        <v>1206</v>
      </c>
      <c r="CX2031" s="1" t="s">
        <v>206</v>
      </c>
      <c r="CY2031" s="1" t="s">
        <v>210</v>
      </c>
      <c r="DA2031" s="1" t="s">
        <v>200</v>
      </c>
      <c r="DC2031" s="1" t="s">
        <v>1399</v>
      </c>
      <c r="DD2031" s="1" t="s">
        <v>679</v>
      </c>
      <c r="DE2031" s="1" t="s">
        <v>273</v>
      </c>
      <c r="DF2031" s="1" t="s">
        <v>219</v>
      </c>
      <c r="DH2031" s="1" t="s">
        <v>307</v>
      </c>
      <c r="DI2031" s="1" t="s">
        <v>789</v>
      </c>
      <c r="DJ2031" s="1" t="s">
        <v>1048</v>
      </c>
      <c r="DL2031" s="1" t="s">
        <v>858</v>
      </c>
      <c r="DM2031" s="1" t="s">
        <v>229</v>
      </c>
      <c r="DP2031" s="1" t="s">
        <v>340</v>
      </c>
      <c r="DQ2031" s="1" t="s">
        <v>794</v>
      </c>
      <c r="DR2031" s="1" t="s">
        <v>229</v>
      </c>
      <c r="DS2031" s="1" t="s">
        <v>368</v>
      </c>
      <c r="DV2031" s="1" t="s">
        <v>15743</v>
      </c>
      <c r="DW2031" s="1" t="s">
        <v>279</v>
      </c>
      <c r="DX2031" s="1" t="s">
        <v>1287</v>
      </c>
      <c r="DY2031" s="1" t="s">
        <v>5921</v>
      </c>
      <c r="DZ2031" s="1" t="s">
        <v>766</v>
      </c>
      <c r="EB2031" s="1" t="s">
        <v>5995</v>
      </c>
      <c r="EC2031" s="1" t="s">
        <v>237</v>
      </c>
      <c r="EF2031" s="1" t="s">
        <v>13965</v>
      </c>
      <c r="EG2031" s="1" t="s">
        <v>598</v>
      </c>
      <c r="EH2031" s="1" t="s">
        <v>450</v>
      </c>
      <c r="EI2031" s="1" t="s">
        <v>1467</v>
      </c>
      <c r="EL2031" s="1" t="s">
        <v>5382</v>
      </c>
      <c r="EM2031" s="1" t="s">
        <v>206</v>
      </c>
      <c r="EN2031" s="1" t="s">
        <v>207</v>
      </c>
      <c r="EP2031" s="1" t="s">
        <v>3989</v>
      </c>
      <c r="EQ2031" s="1" t="s">
        <v>42</v>
      </c>
      <c r="ER2031" s="1" t="s">
        <v>617</v>
      </c>
      <c r="ET2031" s="1" t="s">
        <v>5212</v>
      </c>
      <c r="EU2031" s="1" t="s">
        <v>206</v>
      </c>
      <c r="EV2031" s="1" t="s">
        <v>268</v>
      </c>
      <c r="EY2031" s="1" t="s">
        <v>238</v>
      </c>
      <c r="FC2031" s="1" t="s">
        <v>238</v>
      </c>
      <c r="FF2031" s="1" t="s">
        <v>239</v>
      </c>
      <c r="FG2031" s="1" t="s">
        <v>192</v>
      </c>
      <c r="FH2031" s="1" t="s">
        <v>192</v>
      </c>
      <c r="FJ2031" s="1" t="s">
        <v>19291</v>
      </c>
      <c r="FK2031" s="1" t="s">
        <v>229</v>
      </c>
      <c r="FL2031" s="1" t="s">
        <v>19292</v>
      </c>
      <c r="FM2031" s="1">
        <v>12762.0</v>
      </c>
      <c r="FN2031" s="1" t="s">
        <v>19293</v>
      </c>
      <c r="FO2031" s="1" t="s">
        <v>19294</v>
      </c>
      <c r="FP2031" s="1">
        <v>127154.0</v>
      </c>
      <c r="FQ2031" s="1" t="s">
        <v>19295</v>
      </c>
      <c r="FU2031" s="1" t="s">
        <v>19296</v>
      </c>
      <c r="FV2031" s="1" t="s">
        <v>200</v>
      </c>
      <c r="FW2031" s="1" t="s">
        <v>1411</v>
      </c>
      <c r="FX2031" s="1" t="s">
        <v>655</v>
      </c>
      <c r="FZ2031" s="1" t="s">
        <v>229</v>
      </c>
      <c r="GA2031" s="1" t="s">
        <v>291</v>
      </c>
      <c r="GB2031" s="2">
        <v>41985.0</v>
      </c>
      <c r="GC2031" s="1" t="s">
        <v>19297</v>
      </c>
    </row>
    <row r="2032">
      <c r="A2032" s="1">
        <v>325000.0</v>
      </c>
      <c r="B2032" s="1" t="s">
        <v>185</v>
      </c>
      <c r="C2032" s="1" t="str">
        <f>"08727450"</f>
        <v>08727450</v>
      </c>
      <c r="D2032" s="1" t="s">
        <v>186</v>
      </c>
      <c r="F2032" s="1" t="str">
        <f>"118"</f>
        <v>118</v>
      </c>
      <c r="G2032" s="2">
        <v>41895.0</v>
      </c>
      <c r="H2032" s="1">
        <v>339900.0</v>
      </c>
      <c r="I2032" s="1">
        <v>254.0</v>
      </c>
      <c r="J2032" s="1">
        <v>339900.0</v>
      </c>
      <c r="K2032" s="2">
        <v>42018.0</v>
      </c>
      <c r="L2032" s="1">
        <v>124.0</v>
      </c>
      <c r="M2032" s="2">
        <v>42018.0</v>
      </c>
      <c r="N2032" s="1" t="s">
        <v>187</v>
      </c>
      <c r="O2032" s="2">
        <v>42060.0</v>
      </c>
      <c r="P2032" s="1">
        <v>55583.0</v>
      </c>
      <c r="Q2032" s="1">
        <v>5077.0</v>
      </c>
      <c r="S2032" s="1">
        <v>2640.0</v>
      </c>
      <c r="T2032" s="1" t="s">
        <v>19298</v>
      </c>
      <c r="U2032" s="1" t="s">
        <v>1174</v>
      </c>
      <c r="V2032" s="1" t="s">
        <v>1086</v>
      </c>
      <c r="W2032" s="1">
        <v>60118.0</v>
      </c>
      <c r="Y2032" s="1" t="s">
        <v>19299</v>
      </c>
      <c r="Z2032" s="1">
        <v>2004.0</v>
      </c>
      <c r="AA2032" s="1" t="s">
        <v>200</v>
      </c>
      <c r="AB2032" s="1" t="s">
        <v>467</v>
      </c>
      <c r="AC2032" s="1" t="s">
        <v>8563</v>
      </c>
      <c r="AD2032" s="1" t="s">
        <v>3394</v>
      </c>
      <c r="AE2032" s="1" t="s">
        <v>325</v>
      </c>
      <c r="AF2032" s="1" t="s">
        <v>810</v>
      </c>
      <c r="AG2032" s="1" t="s">
        <v>19300</v>
      </c>
      <c r="AH2032" s="1" t="s">
        <v>19301</v>
      </c>
      <c r="AI2032" s="1">
        <v>0.24</v>
      </c>
      <c r="AK2032" s="1">
        <v>10.0</v>
      </c>
      <c r="AL2032" s="1">
        <v>4.0</v>
      </c>
      <c r="AM2032" s="1">
        <v>2.0</v>
      </c>
      <c r="AN2032" s="1">
        <v>1.0</v>
      </c>
      <c r="AO2032" s="1" t="s">
        <v>198</v>
      </c>
      <c r="AP2032" s="1">
        <v>1.0</v>
      </c>
      <c r="AQ2032" s="1" t="s">
        <v>198</v>
      </c>
      <c r="AR2032" s="1" t="s">
        <v>200</v>
      </c>
      <c r="AS2032" s="1" t="s">
        <v>199</v>
      </c>
      <c r="AT2032" s="1">
        <v>3.0</v>
      </c>
      <c r="AV2032" s="1" t="s">
        <v>200</v>
      </c>
      <c r="AW2032" s="1">
        <v>9241.0</v>
      </c>
      <c r="AX2032" s="1">
        <v>2013.0</v>
      </c>
      <c r="AY2032" s="1" t="s">
        <v>387</v>
      </c>
      <c r="AZ2032" s="1" t="s">
        <v>200</v>
      </c>
      <c r="BA2032" s="1" t="str">
        <f>"0320477016"</f>
        <v>0320477016</v>
      </c>
      <c r="BB2032" s="1" t="s">
        <v>200</v>
      </c>
      <c r="BC2032" s="1">
        <v>3035.0</v>
      </c>
      <c r="BD2032" s="1">
        <v>325000.0</v>
      </c>
      <c r="BE2032" s="2">
        <v>41895.0</v>
      </c>
      <c r="BF2032" s="2" t="s">
        <v>19302</v>
      </c>
      <c r="BG2032" s="1" t="s">
        <v>1092</v>
      </c>
      <c r="BH2032" s="1">
        <v>40.0</v>
      </c>
      <c r="BI2032" s="1" t="s">
        <v>1093</v>
      </c>
      <c r="BJ2032" s="1" t="s">
        <v>1094</v>
      </c>
      <c r="BK2032" s="1" t="s">
        <v>474</v>
      </c>
      <c r="BL2032" s="1" t="str">
        <f t="shared" ref="BL2032:BM2032" si="1335">""</f>
        <v/>
      </c>
      <c r="BM2032" s="1" t="str">
        <f t="shared" si="1335"/>
        <v/>
      </c>
      <c r="BQ2032" s="1">
        <v>300.0</v>
      </c>
      <c r="BR2032" s="1">
        <v>300.0</v>
      </c>
      <c r="BS2032" s="1">
        <v>300.0</v>
      </c>
      <c r="BU2032" s="1" t="s">
        <v>4403</v>
      </c>
      <c r="BV2032" s="1" t="s">
        <v>206</v>
      </c>
      <c r="BW2032" s="1" t="s">
        <v>210</v>
      </c>
      <c r="BX2032" s="1" t="s">
        <v>239</v>
      </c>
      <c r="BY2032" s="1" t="s">
        <v>260</v>
      </c>
      <c r="BZ2032" s="1" t="s">
        <v>209</v>
      </c>
      <c r="CA2032" s="1" t="s">
        <v>210</v>
      </c>
      <c r="CB2032" s="1" t="s">
        <v>239</v>
      </c>
      <c r="CC2032" s="1" t="s">
        <v>1183</v>
      </c>
      <c r="CD2032" s="1" t="s">
        <v>206</v>
      </c>
      <c r="CE2032" s="1" t="s">
        <v>210</v>
      </c>
      <c r="CF2032" s="1" t="s">
        <v>239</v>
      </c>
      <c r="CG2032" s="1" t="s">
        <v>215</v>
      </c>
      <c r="CH2032" s="1" t="s">
        <v>209</v>
      </c>
      <c r="CI2032" s="1" t="s">
        <v>210</v>
      </c>
      <c r="CJ2032" s="1" t="s">
        <v>239</v>
      </c>
      <c r="CK2032" s="1" t="s">
        <v>4403</v>
      </c>
      <c r="CL2032" s="1" t="s">
        <v>209</v>
      </c>
      <c r="CM2032" s="1" t="s">
        <v>210</v>
      </c>
      <c r="CN2032" s="1" t="s">
        <v>239</v>
      </c>
      <c r="CO2032" s="1" t="s">
        <v>1417</v>
      </c>
      <c r="CP2032" s="1" t="s">
        <v>209</v>
      </c>
      <c r="CQ2032" s="1" t="s">
        <v>210</v>
      </c>
      <c r="CR2032" s="1" t="s">
        <v>239</v>
      </c>
      <c r="CS2032" s="1" t="s">
        <v>5640</v>
      </c>
      <c r="CT2032" s="1" t="s">
        <v>206</v>
      </c>
      <c r="CU2032" s="1" t="s">
        <v>207</v>
      </c>
      <c r="CV2032" s="1" t="s">
        <v>239</v>
      </c>
      <c r="CW2032" s="1" t="s">
        <v>477</v>
      </c>
      <c r="CX2032" s="1" t="s">
        <v>206</v>
      </c>
      <c r="CY2032" s="1" t="s">
        <v>210</v>
      </c>
      <c r="CZ2032" s="1" t="s">
        <v>239</v>
      </c>
      <c r="DA2032" s="1" t="s">
        <v>200</v>
      </c>
      <c r="DC2032" s="1" t="s">
        <v>481</v>
      </c>
      <c r="DD2032" s="1" t="s">
        <v>4137</v>
      </c>
      <c r="DE2032" s="1" t="s">
        <v>273</v>
      </c>
      <c r="DF2032" s="1" t="s">
        <v>219</v>
      </c>
      <c r="DG2032" s="1" t="s">
        <v>482</v>
      </c>
      <c r="DH2032" s="1" t="s">
        <v>220</v>
      </c>
      <c r="DI2032" s="1" t="s">
        <v>732</v>
      </c>
      <c r="DJ2032" s="1" t="s">
        <v>222</v>
      </c>
      <c r="DK2032" s="1" t="s">
        <v>223</v>
      </c>
      <c r="DL2032" s="1" t="s">
        <v>223</v>
      </c>
      <c r="DM2032" s="1" t="s">
        <v>338</v>
      </c>
      <c r="DN2032" s="1" t="s">
        <v>399</v>
      </c>
      <c r="DP2032" s="1" t="s">
        <v>340</v>
      </c>
      <c r="DQ2032" s="1" t="s">
        <v>228</v>
      </c>
      <c r="DR2032" s="1" t="s">
        <v>588</v>
      </c>
      <c r="DS2032" s="1" t="s">
        <v>230</v>
      </c>
      <c r="DU2032" s="1" t="s">
        <v>19303</v>
      </c>
      <c r="DV2032" s="1" t="s">
        <v>7747</v>
      </c>
      <c r="DW2032" s="1" t="s">
        <v>444</v>
      </c>
      <c r="DX2032" s="1" t="s">
        <v>234</v>
      </c>
      <c r="DY2032" s="1" t="s">
        <v>5197</v>
      </c>
      <c r="EA2032" s="1" t="s">
        <v>344</v>
      </c>
      <c r="EB2032" s="1" t="s">
        <v>937</v>
      </c>
      <c r="EC2032" s="1" t="s">
        <v>237</v>
      </c>
      <c r="ED2032" s="1" t="s">
        <v>407</v>
      </c>
      <c r="EG2032" s="1" t="s">
        <v>449</v>
      </c>
      <c r="EH2032" s="1" t="s">
        <v>494</v>
      </c>
      <c r="EI2032" s="1" t="s">
        <v>408</v>
      </c>
      <c r="EL2032" s="1" t="s">
        <v>5640</v>
      </c>
      <c r="EM2032" s="1" t="s">
        <v>206</v>
      </c>
      <c r="EN2032" s="1" t="s">
        <v>207</v>
      </c>
      <c r="EO2032" s="1" t="s">
        <v>239</v>
      </c>
      <c r="EP2032" s="1" t="s">
        <v>2459</v>
      </c>
      <c r="EQ2032" s="1" t="s">
        <v>206</v>
      </c>
      <c r="ER2032" s="1" t="s">
        <v>210</v>
      </c>
      <c r="ES2032" s="1" t="s">
        <v>239</v>
      </c>
      <c r="ET2032" s="1" t="s">
        <v>2047</v>
      </c>
      <c r="EU2032" s="1" t="s">
        <v>206</v>
      </c>
      <c r="EV2032" s="1" t="s">
        <v>207</v>
      </c>
      <c r="EY2032" s="1" t="s">
        <v>238</v>
      </c>
      <c r="FC2032" s="1" t="s">
        <v>238</v>
      </c>
      <c r="FF2032" s="1" t="s">
        <v>239</v>
      </c>
      <c r="FG2032" s="1" t="s">
        <v>192</v>
      </c>
      <c r="FH2032" s="1" t="s">
        <v>192</v>
      </c>
      <c r="FJ2032" s="1" t="s">
        <v>2133</v>
      </c>
      <c r="FK2032" s="1" t="s">
        <v>229</v>
      </c>
      <c r="FL2032" s="1" t="s">
        <v>3848</v>
      </c>
      <c r="FM2032" s="1">
        <v>432.0</v>
      </c>
      <c r="FN2032" s="1" t="s">
        <v>3849</v>
      </c>
      <c r="FO2032" s="1" t="s">
        <v>3850</v>
      </c>
      <c r="FP2032" s="1">
        <v>77389.0</v>
      </c>
      <c r="FQ2032" s="1" t="s">
        <v>3851</v>
      </c>
      <c r="FR2032" s="1">
        <v>77800.0</v>
      </c>
      <c r="FU2032" s="1" t="s">
        <v>460</v>
      </c>
      <c r="FV2032" s="1" t="s">
        <v>200</v>
      </c>
      <c r="FW2032" s="1" t="s">
        <v>290</v>
      </c>
      <c r="FZ2032" s="1" t="s">
        <v>229</v>
      </c>
      <c r="GA2032" s="1" t="s">
        <v>291</v>
      </c>
      <c r="GB2032" s="2">
        <v>42060.0</v>
      </c>
      <c r="GC2032" s="1" t="s">
        <v>19304</v>
      </c>
    </row>
    <row r="2033">
      <c r="A2033" s="1">
        <v>323000.0</v>
      </c>
      <c r="B2033" s="1" t="s">
        <v>185</v>
      </c>
      <c r="C2033" s="1" t="str">
        <f>"08728080"</f>
        <v>08728080</v>
      </c>
      <c r="D2033" s="1" t="s">
        <v>186</v>
      </c>
      <c r="F2033" s="1" t="str">
        <f t="shared" ref="F2033:F2034" si="1337">"134"</f>
        <v>134</v>
      </c>
      <c r="G2033" s="2">
        <v>41897.0</v>
      </c>
      <c r="H2033" s="1">
        <v>339500.0</v>
      </c>
      <c r="I2033" s="1">
        <v>65.0</v>
      </c>
      <c r="J2033" s="1">
        <v>328900.0</v>
      </c>
      <c r="K2033" s="2">
        <v>41961.0</v>
      </c>
      <c r="L2033" s="1">
        <v>65.0</v>
      </c>
      <c r="M2033" s="2">
        <v>41961.0</v>
      </c>
      <c r="N2033" s="1" t="s">
        <v>187</v>
      </c>
      <c r="O2033" s="2">
        <v>42002.0</v>
      </c>
      <c r="P2033" s="1">
        <v>259316.0</v>
      </c>
      <c r="Q2033" s="1">
        <v>21823.0</v>
      </c>
      <c r="S2033" s="1">
        <v>369.0</v>
      </c>
      <c r="T2033" s="1" t="s">
        <v>19305</v>
      </c>
      <c r="U2033" s="1" t="s">
        <v>569</v>
      </c>
      <c r="V2033" s="1" t="s">
        <v>421</v>
      </c>
      <c r="W2033" s="1">
        <v>60134.0</v>
      </c>
      <c r="Y2033" s="1" t="s">
        <v>19306</v>
      </c>
      <c r="Z2033" s="1">
        <v>1986.0</v>
      </c>
      <c r="AA2033" s="1" t="s">
        <v>200</v>
      </c>
      <c r="AB2033" s="1" t="s">
        <v>193</v>
      </c>
      <c r="AD2033" s="1" t="s">
        <v>424</v>
      </c>
      <c r="AE2033" s="1" t="s">
        <v>325</v>
      </c>
      <c r="AF2033" s="1" t="s">
        <v>424</v>
      </c>
      <c r="AH2033" s="1" t="s">
        <v>19307</v>
      </c>
      <c r="AK2033" s="1">
        <v>11.0</v>
      </c>
      <c r="AL2033" s="1">
        <v>4.0</v>
      </c>
      <c r="AM2033" s="1">
        <v>2.0</v>
      </c>
      <c r="AN2033" s="1">
        <v>2.0</v>
      </c>
      <c r="AO2033" s="1" t="s">
        <v>198</v>
      </c>
      <c r="AP2033" s="1">
        <v>1.0</v>
      </c>
      <c r="AQ2033" s="1" t="s">
        <v>198</v>
      </c>
      <c r="AR2033" s="1" t="s">
        <v>192</v>
      </c>
      <c r="AS2033" s="1" t="s">
        <v>199</v>
      </c>
      <c r="AT2033" s="1">
        <v>2.0</v>
      </c>
      <c r="AV2033" s="1" t="s">
        <v>200</v>
      </c>
      <c r="AW2033" s="1">
        <v>9019.0</v>
      </c>
      <c r="AX2033" s="1">
        <v>2013.0</v>
      </c>
      <c r="AY2033" s="1" t="s">
        <v>387</v>
      </c>
      <c r="AZ2033" s="1" t="s">
        <v>200</v>
      </c>
      <c r="BA2033" s="1" t="str">
        <f>"1204451024"</f>
        <v>1204451024</v>
      </c>
      <c r="BB2033" s="1" t="s">
        <v>200</v>
      </c>
      <c r="BC2033" s="1">
        <v>2346.0</v>
      </c>
      <c r="BD2033" s="1">
        <v>323000.0</v>
      </c>
      <c r="BE2033" s="2">
        <v>41897.0</v>
      </c>
      <c r="BF2033" s="2" t="s">
        <v>19308</v>
      </c>
      <c r="BH2033" s="1">
        <v>0.0</v>
      </c>
      <c r="BK2033" s="1" t="s">
        <v>204</v>
      </c>
      <c r="BL2033" s="1" t="str">
        <f t="shared" ref="BL2033:BM2033" si="1336">""</f>
        <v/>
      </c>
      <c r="BM2033" s="1" t="str">
        <f t="shared" si="1336"/>
        <v/>
      </c>
      <c r="BQ2033" s="1">
        <v>304.0</v>
      </c>
      <c r="BR2033" s="1">
        <v>304.0</v>
      </c>
      <c r="BS2033" s="1">
        <v>304.0</v>
      </c>
      <c r="BU2033" s="1" t="s">
        <v>1068</v>
      </c>
      <c r="BV2033" s="1" t="s">
        <v>206</v>
      </c>
      <c r="BW2033" s="1" t="s">
        <v>210</v>
      </c>
      <c r="BX2033" s="1" t="s">
        <v>431</v>
      </c>
      <c r="BY2033" s="1" t="s">
        <v>1043</v>
      </c>
      <c r="BZ2033" s="1" t="s">
        <v>209</v>
      </c>
      <c r="CA2033" s="1" t="s">
        <v>210</v>
      </c>
      <c r="CB2033" s="1" t="s">
        <v>239</v>
      </c>
      <c r="CC2033" s="1" t="s">
        <v>302</v>
      </c>
      <c r="CD2033" s="1" t="s">
        <v>206</v>
      </c>
      <c r="CE2033" s="1" t="s">
        <v>210</v>
      </c>
      <c r="CF2033" s="1" t="s">
        <v>431</v>
      </c>
      <c r="CG2033" s="1" t="s">
        <v>1417</v>
      </c>
      <c r="CH2033" s="1" t="s">
        <v>209</v>
      </c>
      <c r="CI2033" s="1" t="s">
        <v>210</v>
      </c>
      <c r="CJ2033" s="1" t="s">
        <v>261</v>
      </c>
      <c r="CK2033" s="1" t="s">
        <v>1351</v>
      </c>
      <c r="CL2033" s="1" t="s">
        <v>209</v>
      </c>
      <c r="CM2033" s="1" t="s">
        <v>210</v>
      </c>
      <c r="CN2033" s="1" t="s">
        <v>261</v>
      </c>
      <c r="CO2033" s="1" t="s">
        <v>1351</v>
      </c>
      <c r="CP2033" s="1" t="s">
        <v>209</v>
      </c>
      <c r="CQ2033" s="1" t="s">
        <v>210</v>
      </c>
      <c r="CR2033" s="1" t="s">
        <v>261</v>
      </c>
      <c r="CS2033" s="1" t="s">
        <v>2082</v>
      </c>
      <c r="CT2033" s="1" t="s">
        <v>206</v>
      </c>
      <c r="CU2033" s="1" t="s">
        <v>617</v>
      </c>
      <c r="CV2033" s="1" t="s">
        <v>431</v>
      </c>
      <c r="CW2033" s="1" t="s">
        <v>362</v>
      </c>
      <c r="CX2033" s="1" t="s">
        <v>206</v>
      </c>
      <c r="CY2033" s="1" t="s">
        <v>210</v>
      </c>
      <c r="CZ2033" s="1" t="s">
        <v>261</v>
      </c>
      <c r="DA2033" s="1" t="s">
        <v>200</v>
      </c>
      <c r="DC2033" s="1" t="s">
        <v>305</v>
      </c>
      <c r="DD2033" s="1" t="s">
        <v>396</v>
      </c>
      <c r="DE2033" s="1" t="s">
        <v>273</v>
      </c>
      <c r="DF2033" s="1" t="s">
        <v>219</v>
      </c>
      <c r="DG2033" s="1" t="s">
        <v>337</v>
      </c>
      <c r="DH2033" s="1" t="s">
        <v>220</v>
      </c>
      <c r="DI2033" s="1" t="s">
        <v>221</v>
      </c>
      <c r="DJ2033" s="1" t="s">
        <v>222</v>
      </c>
      <c r="DK2033" s="1" t="s">
        <v>3740</v>
      </c>
      <c r="DL2033" s="1" t="s">
        <v>224</v>
      </c>
      <c r="DM2033" s="1" t="s">
        <v>929</v>
      </c>
      <c r="DN2033" s="1" t="s">
        <v>548</v>
      </c>
      <c r="DO2033" s="1" t="s">
        <v>19309</v>
      </c>
      <c r="DP2033" s="1" t="s">
        <v>340</v>
      </c>
      <c r="DQ2033" s="1" t="s">
        <v>228</v>
      </c>
      <c r="DR2033" s="1" t="s">
        <v>229</v>
      </c>
      <c r="DS2033" s="1" t="s">
        <v>230</v>
      </c>
      <c r="DU2033" s="1" t="s">
        <v>1049</v>
      </c>
      <c r="DV2033" s="1" t="s">
        <v>19310</v>
      </c>
      <c r="DW2033" s="1" t="s">
        <v>891</v>
      </c>
      <c r="DX2033" s="1" t="s">
        <v>234</v>
      </c>
      <c r="DY2033" s="1" t="s">
        <v>3488</v>
      </c>
      <c r="DZ2033" s="1" t="s">
        <v>491</v>
      </c>
      <c r="EA2033" s="1" t="s">
        <v>447</v>
      </c>
      <c r="EB2033" s="1" t="s">
        <v>5230</v>
      </c>
      <c r="EC2033" s="1" t="s">
        <v>237</v>
      </c>
      <c r="ED2033" s="1" t="s">
        <v>407</v>
      </c>
      <c r="EG2033" s="1" t="s">
        <v>449</v>
      </c>
      <c r="EH2033" s="1" t="s">
        <v>598</v>
      </c>
      <c r="EI2033" s="1" t="s">
        <v>450</v>
      </c>
      <c r="EL2033" s="1" t="s">
        <v>1352</v>
      </c>
      <c r="EM2033" s="1" t="s">
        <v>206</v>
      </c>
      <c r="EN2033" s="1" t="s">
        <v>617</v>
      </c>
      <c r="EO2033" s="1" t="s">
        <v>261</v>
      </c>
      <c r="EP2033" s="1" t="s">
        <v>2902</v>
      </c>
      <c r="EQ2033" s="1" t="s">
        <v>42</v>
      </c>
      <c r="ER2033" s="1" t="s">
        <v>210</v>
      </c>
      <c r="ES2033" s="1" t="s">
        <v>229</v>
      </c>
      <c r="ET2033" s="1" t="s">
        <v>1994</v>
      </c>
      <c r="EU2033" s="1" t="s">
        <v>42</v>
      </c>
      <c r="EV2033" s="1" t="s">
        <v>210</v>
      </c>
      <c r="EW2033" s="1" t="s">
        <v>229</v>
      </c>
      <c r="EY2033" s="1" t="s">
        <v>238</v>
      </c>
      <c r="FC2033" s="1" t="s">
        <v>238</v>
      </c>
      <c r="FF2033" s="1" t="s">
        <v>239</v>
      </c>
      <c r="FG2033" s="1" t="s">
        <v>192</v>
      </c>
      <c r="FH2033" s="1" t="s">
        <v>192</v>
      </c>
      <c r="FJ2033" s="1" t="s">
        <v>686</v>
      </c>
      <c r="FK2033" s="1" t="s">
        <v>229</v>
      </c>
      <c r="FL2033" s="1" t="s">
        <v>1212</v>
      </c>
      <c r="FM2033" s="1">
        <v>30.0</v>
      </c>
      <c r="FN2033" s="1" t="s">
        <v>1213</v>
      </c>
      <c r="FO2033" s="1" t="s">
        <v>5594</v>
      </c>
      <c r="FP2033" s="1">
        <v>500.0</v>
      </c>
      <c r="FQ2033" s="1" t="s">
        <v>5595</v>
      </c>
      <c r="FU2033" s="1" t="s">
        <v>3617</v>
      </c>
      <c r="FV2033" s="1" t="s">
        <v>200</v>
      </c>
      <c r="FW2033" s="1" t="s">
        <v>290</v>
      </c>
      <c r="FZ2033" s="1" t="s">
        <v>229</v>
      </c>
      <c r="GA2033" s="1" t="s">
        <v>291</v>
      </c>
      <c r="GB2033" s="2">
        <v>42003.0</v>
      </c>
      <c r="GC2033" s="1" t="s">
        <v>19311</v>
      </c>
    </row>
    <row r="2034">
      <c r="A2034" s="1">
        <v>290000.0</v>
      </c>
      <c r="B2034" s="1" t="s">
        <v>185</v>
      </c>
      <c r="C2034" s="1" t="str">
        <f>"08728455"</f>
        <v>08728455</v>
      </c>
      <c r="D2034" s="1" t="s">
        <v>186</v>
      </c>
      <c r="F2034" s="1" t="str">
        <f t="shared" si="1337"/>
        <v>134</v>
      </c>
      <c r="G2034" s="2">
        <v>41897.0</v>
      </c>
      <c r="H2034" s="1">
        <v>328000.0</v>
      </c>
      <c r="I2034" s="1">
        <v>241.0</v>
      </c>
      <c r="J2034" s="1">
        <v>299777.0</v>
      </c>
      <c r="K2034" s="2">
        <v>41963.0</v>
      </c>
      <c r="L2034" s="1">
        <v>67.0</v>
      </c>
      <c r="M2034" s="2">
        <v>41963.0</v>
      </c>
      <c r="N2034" s="1" t="s">
        <v>187</v>
      </c>
      <c r="O2034" s="2">
        <v>42020.0</v>
      </c>
      <c r="P2034" s="1">
        <v>1279.0</v>
      </c>
      <c r="Q2034" s="1">
        <v>604.0</v>
      </c>
      <c r="S2034" s="1" t="s">
        <v>19312</v>
      </c>
      <c r="T2034" s="1" t="s">
        <v>19092</v>
      </c>
      <c r="U2034" s="1" t="s">
        <v>569</v>
      </c>
      <c r="V2034" s="1" t="s">
        <v>421</v>
      </c>
      <c r="W2034" s="1">
        <v>60134.0</v>
      </c>
      <c r="Y2034" s="1" t="s">
        <v>19313</v>
      </c>
      <c r="Z2034" s="1">
        <v>2000.0</v>
      </c>
      <c r="AA2034" s="1" t="s">
        <v>200</v>
      </c>
      <c r="AB2034" s="1" t="s">
        <v>193</v>
      </c>
      <c r="AC2034" s="1" t="s">
        <v>1596</v>
      </c>
      <c r="AD2034" s="1" t="s">
        <v>1089</v>
      </c>
      <c r="AE2034" s="1" t="s">
        <v>325</v>
      </c>
      <c r="AF2034" s="1" t="s">
        <v>1479</v>
      </c>
      <c r="AG2034" s="1" t="s">
        <v>19314</v>
      </c>
      <c r="AH2034" s="1" t="s">
        <v>19315</v>
      </c>
      <c r="AK2034" s="1">
        <v>12.0</v>
      </c>
      <c r="AL2034" s="1">
        <v>4.0</v>
      </c>
      <c r="AM2034" s="1">
        <v>3.0</v>
      </c>
      <c r="AN2034" s="1">
        <v>1.0</v>
      </c>
      <c r="AO2034" s="1" t="s">
        <v>198</v>
      </c>
      <c r="AP2034" s="1">
        <v>1.0</v>
      </c>
      <c r="AQ2034" s="1" t="s">
        <v>327</v>
      </c>
      <c r="AR2034" s="1" t="s">
        <v>192</v>
      </c>
      <c r="AS2034" s="1" t="s">
        <v>199</v>
      </c>
      <c r="AT2034" s="1">
        <v>2.5</v>
      </c>
      <c r="AV2034" s="1" t="s">
        <v>192</v>
      </c>
      <c r="AW2034" s="1">
        <v>9222.0</v>
      </c>
      <c r="AX2034" s="1">
        <v>2012.0</v>
      </c>
      <c r="AY2034" s="1" t="s">
        <v>387</v>
      </c>
      <c r="AZ2034" s="1" t="s">
        <v>200</v>
      </c>
      <c r="BA2034" s="1" t="str">
        <f>"1113477005"</f>
        <v>1113477005</v>
      </c>
      <c r="BC2034" s="1">
        <v>2827.0</v>
      </c>
      <c r="BD2034" s="1">
        <v>290000.0</v>
      </c>
      <c r="BE2034" s="2">
        <v>41897.0</v>
      </c>
      <c r="BF2034" s="2" t="s">
        <v>19316</v>
      </c>
      <c r="BG2034" s="1" t="s">
        <v>19317</v>
      </c>
      <c r="BH2034" s="1">
        <v>0.0</v>
      </c>
      <c r="BI2034" s="1" t="s">
        <v>429</v>
      </c>
      <c r="BJ2034" s="1" t="s">
        <v>430</v>
      </c>
      <c r="BK2034" s="1" t="s">
        <v>204</v>
      </c>
      <c r="BL2034" s="1" t="str">
        <f t="shared" ref="BL2034:BM2034" si="1338">""</f>
        <v/>
      </c>
      <c r="BM2034" s="1" t="str">
        <f t="shared" si="1338"/>
        <v/>
      </c>
      <c r="BN2034" s="1">
        <v>39.0</v>
      </c>
      <c r="BO2034" s="1">
        <v>1.0</v>
      </c>
      <c r="BQ2034" s="1">
        <v>304.0</v>
      </c>
      <c r="BR2034" s="1">
        <v>304.0</v>
      </c>
      <c r="BS2034" s="1">
        <v>304.0</v>
      </c>
      <c r="BU2034" s="1" t="s">
        <v>1229</v>
      </c>
      <c r="BV2034" s="1" t="s">
        <v>206</v>
      </c>
      <c r="BW2034" s="1" t="s">
        <v>210</v>
      </c>
      <c r="BX2034" s="1" t="s">
        <v>1549</v>
      </c>
      <c r="BY2034" s="1" t="s">
        <v>213</v>
      </c>
      <c r="BZ2034" s="1" t="s">
        <v>209</v>
      </c>
      <c r="CA2034" s="1" t="s">
        <v>210</v>
      </c>
      <c r="CC2034" s="1" t="s">
        <v>331</v>
      </c>
      <c r="CD2034" s="1" t="s">
        <v>206</v>
      </c>
      <c r="CE2034" s="1" t="s">
        <v>210</v>
      </c>
      <c r="CF2034" s="1" t="s">
        <v>1549</v>
      </c>
      <c r="CG2034" s="1" t="s">
        <v>699</v>
      </c>
      <c r="CH2034" s="1" t="s">
        <v>209</v>
      </c>
      <c r="CI2034" s="1" t="s">
        <v>210</v>
      </c>
      <c r="CJ2034" s="1" t="s">
        <v>1549</v>
      </c>
      <c r="CK2034" s="1" t="s">
        <v>497</v>
      </c>
      <c r="CL2034" s="1" t="s">
        <v>209</v>
      </c>
      <c r="CM2034" s="1" t="s">
        <v>210</v>
      </c>
      <c r="CN2034" s="1" t="s">
        <v>431</v>
      </c>
      <c r="CO2034" s="1" t="s">
        <v>699</v>
      </c>
      <c r="CP2034" s="1" t="s">
        <v>209</v>
      </c>
      <c r="CQ2034" s="1" t="s">
        <v>210</v>
      </c>
      <c r="CR2034" s="1" t="s">
        <v>1549</v>
      </c>
      <c r="CS2034" s="1" t="s">
        <v>265</v>
      </c>
      <c r="CT2034" s="1" t="s">
        <v>206</v>
      </c>
      <c r="CU2034" s="1" t="s">
        <v>207</v>
      </c>
      <c r="CW2034" s="1" t="s">
        <v>362</v>
      </c>
      <c r="CX2034" s="1" t="s">
        <v>206</v>
      </c>
      <c r="CY2034" s="1" t="s">
        <v>207</v>
      </c>
      <c r="DA2034" s="1" t="s">
        <v>200</v>
      </c>
      <c r="DC2034" s="1" t="s">
        <v>335</v>
      </c>
      <c r="DD2034" s="1" t="s">
        <v>926</v>
      </c>
      <c r="DE2034" s="1" t="s">
        <v>273</v>
      </c>
      <c r="DF2034" s="1" t="s">
        <v>219</v>
      </c>
      <c r="DG2034" s="1" t="s">
        <v>4297</v>
      </c>
      <c r="DH2034" s="1" t="s">
        <v>1603</v>
      </c>
      <c r="DI2034" s="1" t="s">
        <v>19318</v>
      </c>
      <c r="DJ2034" s="1" t="s">
        <v>1379</v>
      </c>
      <c r="DK2034" s="1" t="s">
        <v>223</v>
      </c>
      <c r="DL2034" s="1" t="s">
        <v>1161</v>
      </c>
      <c r="DM2034" s="1" t="s">
        <v>338</v>
      </c>
      <c r="DN2034" s="1" t="s">
        <v>793</v>
      </c>
      <c r="DO2034" s="1" t="s">
        <v>2221</v>
      </c>
      <c r="DP2034" s="1" t="s">
        <v>340</v>
      </c>
      <c r="DQ2034" s="1" t="s">
        <v>441</v>
      </c>
      <c r="DR2034" s="1" t="s">
        <v>229</v>
      </c>
      <c r="DS2034" s="1" t="s">
        <v>230</v>
      </c>
      <c r="DV2034" s="1" t="s">
        <v>19319</v>
      </c>
      <c r="DW2034" s="1" t="s">
        <v>13166</v>
      </c>
      <c r="DX2034" s="1" t="s">
        <v>234</v>
      </c>
      <c r="DY2034" s="1" t="s">
        <v>490</v>
      </c>
      <c r="DZ2034" s="1" t="s">
        <v>766</v>
      </c>
      <c r="EA2034" s="1" t="s">
        <v>344</v>
      </c>
      <c r="EB2034" s="1" t="s">
        <v>937</v>
      </c>
      <c r="EC2034" s="1" t="s">
        <v>237</v>
      </c>
      <c r="ED2034" s="1" t="s">
        <v>555</v>
      </c>
      <c r="EG2034" s="1" t="s">
        <v>449</v>
      </c>
      <c r="EH2034" s="1" t="s">
        <v>598</v>
      </c>
      <c r="EI2034" s="1" t="s">
        <v>450</v>
      </c>
      <c r="EK2034" s="1" t="s">
        <v>451</v>
      </c>
      <c r="EL2034" s="1" t="s">
        <v>495</v>
      </c>
      <c r="EM2034" s="1" t="s">
        <v>206</v>
      </c>
      <c r="EN2034" s="1" t="s">
        <v>207</v>
      </c>
      <c r="EP2034" s="1" t="s">
        <v>264</v>
      </c>
      <c r="EQ2034" s="1" t="s">
        <v>1697</v>
      </c>
      <c r="ER2034" s="1" t="s">
        <v>210</v>
      </c>
      <c r="ET2034" s="1" t="s">
        <v>758</v>
      </c>
      <c r="EU2034" s="1" t="s">
        <v>1697</v>
      </c>
      <c r="EV2034" s="1" t="s">
        <v>210</v>
      </c>
      <c r="EY2034" s="1" t="s">
        <v>238</v>
      </c>
      <c r="FB2034" s="1" t="s">
        <v>361</v>
      </c>
      <c r="FC2034" s="1" t="s">
        <v>1697</v>
      </c>
      <c r="FD2034" s="1" t="s">
        <v>588</v>
      </c>
      <c r="FF2034" s="1" t="s">
        <v>239</v>
      </c>
      <c r="FG2034" s="1" t="s">
        <v>192</v>
      </c>
      <c r="FH2034" s="1" t="s">
        <v>192</v>
      </c>
      <c r="FJ2034" s="1" t="s">
        <v>498</v>
      </c>
      <c r="FK2034" s="1" t="s">
        <v>557</v>
      </c>
      <c r="FL2034" s="1" t="s">
        <v>19320</v>
      </c>
      <c r="FM2034" s="1">
        <v>25590.0</v>
      </c>
      <c r="FN2034" s="1" t="s">
        <v>19321</v>
      </c>
      <c r="FO2034" s="1" t="s">
        <v>19322</v>
      </c>
      <c r="FP2034" s="1">
        <v>922409.0</v>
      </c>
      <c r="FQ2034" s="1" t="s">
        <v>19323</v>
      </c>
      <c r="FU2034" s="1" t="s">
        <v>19324</v>
      </c>
      <c r="FV2034" s="1" t="s">
        <v>200</v>
      </c>
      <c r="FW2034" s="1" t="s">
        <v>290</v>
      </c>
      <c r="FX2034" s="1" t="s">
        <v>1739</v>
      </c>
      <c r="FZ2034" s="1" t="s">
        <v>2993</v>
      </c>
      <c r="GA2034" s="1" t="s">
        <v>291</v>
      </c>
      <c r="GB2034" s="2">
        <v>42020.0</v>
      </c>
      <c r="GC2034" s="1" t="s">
        <v>19325</v>
      </c>
    </row>
    <row r="2035">
      <c r="A2035" s="1">
        <v>395000.0</v>
      </c>
      <c r="B2035" s="1" t="s">
        <v>185</v>
      </c>
      <c r="C2035" s="1" t="str">
        <f>"08726681"</f>
        <v>08726681</v>
      </c>
      <c r="D2035" s="1" t="s">
        <v>186</v>
      </c>
      <c r="F2035" s="1" t="str">
        <f>"560"</f>
        <v>560</v>
      </c>
      <c r="G2035" s="2">
        <v>41894.0</v>
      </c>
      <c r="H2035" s="1">
        <v>425000.0</v>
      </c>
      <c r="I2035" s="1">
        <v>67.0</v>
      </c>
      <c r="J2035" s="1">
        <v>399900.0</v>
      </c>
      <c r="K2035" s="2">
        <v>41960.0</v>
      </c>
      <c r="L2035" s="1">
        <v>67.0</v>
      </c>
      <c r="M2035" s="2">
        <v>41960.0</v>
      </c>
      <c r="N2035" s="1" t="s">
        <v>249</v>
      </c>
      <c r="O2035" s="2">
        <v>42009.0</v>
      </c>
      <c r="P2035" s="1">
        <v>232740.0</v>
      </c>
      <c r="Q2035" s="1">
        <v>23156.0</v>
      </c>
      <c r="S2035" s="1">
        <v>803.0</v>
      </c>
      <c r="T2035" s="1" t="s">
        <v>19326</v>
      </c>
      <c r="U2035" s="1" t="s">
        <v>320</v>
      </c>
      <c r="V2035" s="1" t="s">
        <v>845</v>
      </c>
      <c r="W2035" s="1">
        <v>60560.0</v>
      </c>
      <c r="Y2035" s="1" t="s">
        <v>19327</v>
      </c>
      <c r="Z2035" s="1">
        <v>1992.0</v>
      </c>
      <c r="AA2035" s="1" t="s">
        <v>200</v>
      </c>
      <c r="AB2035" s="1" t="s">
        <v>193</v>
      </c>
      <c r="AD2035" s="1" t="s">
        <v>848</v>
      </c>
      <c r="AE2035" s="1" t="s">
        <v>849</v>
      </c>
      <c r="AF2035" s="1" t="s">
        <v>1312</v>
      </c>
      <c r="AH2035" s="1" t="s">
        <v>19328</v>
      </c>
      <c r="AI2035" s="1">
        <v>0.3784</v>
      </c>
      <c r="AK2035" s="1">
        <v>13.0</v>
      </c>
      <c r="AL2035" s="1">
        <v>4.0</v>
      </c>
      <c r="AM2035" s="1">
        <v>3.0</v>
      </c>
      <c r="AN2035" s="1">
        <v>1.0</v>
      </c>
      <c r="AO2035" s="1" t="s">
        <v>198</v>
      </c>
      <c r="AP2035" s="1">
        <v>3.0</v>
      </c>
      <c r="AQ2035" s="1" t="s">
        <v>198</v>
      </c>
      <c r="AR2035" s="1" t="s">
        <v>192</v>
      </c>
      <c r="AS2035" s="1" t="s">
        <v>199</v>
      </c>
      <c r="AT2035" s="1">
        <v>3.0</v>
      </c>
      <c r="AV2035" s="1" t="s">
        <v>200</v>
      </c>
      <c r="AW2035" s="1">
        <v>8922.0</v>
      </c>
      <c r="AX2035" s="1">
        <v>2013.0</v>
      </c>
      <c r="AY2035" s="1" t="s">
        <v>387</v>
      </c>
      <c r="AZ2035" s="1" t="s">
        <v>200</v>
      </c>
      <c r="BA2035" s="1" t="str">
        <f>"0233205020"</f>
        <v>0233205020</v>
      </c>
      <c r="BC2035" s="1">
        <v>3486.0</v>
      </c>
      <c r="BD2035" s="1">
        <v>395000.0</v>
      </c>
      <c r="BE2035" s="2">
        <v>41894.0</v>
      </c>
      <c r="BF2035" s="2" t="s">
        <v>19329</v>
      </c>
      <c r="BG2035" s="1" t="s">
        <v>5667</v>
      </c>
      <c r="BH2035" s="1">
        <v>0.0</v>
      </c>
      <c r="BI2035" s="1" t="s">
        <v>3052</v>
      </c>
      <c r="BJ2035" s="1" t="s">
        <v>3053</v>
      </c>
      <c r="BK2035" s="1" t="s">
        <v>204</v>
      </c>
      <c r="BL2035" s="1" t="str">
        <f t="shared" ref="BL2035:BM2035" si="1339">""</f>
        <v/>
      </c>
      <c r="BM2035" s="1" t="str">
        <f t="shared" si="1339"/>
        <v/>
      </c>
      <c r="BQ2035" s="1">
        <v>115.0</v>
      </c>
      <c r="BR2035" s="1">
        <v>115.0</v>
      </c>
      <c r="BS2035" s="1">
        <v>115.0</v>
      </c>
      <c r="BU2035" s="1" t="s">
        <v>830</v>
      </c>
      <c r="BV2035" s="1" t="s">
        <v>206</v>
      </c>
      <c r="BW2035" s="1" t="s">
        <v>207</v>
      </c>
      <c r="BX2035" s="1" t="s">
        <v>239</v>
      </c>
      <c r="BY2035" s="1" t="s">
        <v>616</v>
      </c>
      <c r="BZ2035" s="1" t="s">
        <v>209</v>
      </c>
      <c r="CA2035" s="1" t="s">
        <v>207</v>
      </c>
      <c r="CB2035" s="1" t="s">
        <v>239</v>
      </c>
      <c r="CC2035" s="1" t="s">
        <v>1417</v>
      </c>
      <c r="CD2035" s="1" t="s">
        <v>206</v>
      </c>
      <c r="CE2035" s="1" t="s">
        <v>207</v>
      </c>
      <c r="CF2035" s="1" t="s">
        <v>239</v>
      </c>
      <c r="CG2035" s="1" t="s">
        <v>769</v>
      </c>
      <c r="CH2035" s="1" t="s">
        <v>209</v>
      </c>
      <c r="CI2035" s="1" t="s">
        <v>207</v>
      </c>
      <c r="CJ2035" s="1" t="s">
        <v>239</v>
      </c>
      <c r="CK2035" s="1" t="s">
        <v>215</v>
      </c>
      <c r="CL2035" s="1" t="s">
        <v>209</v>
      </c>
      <c r="CM2035" s="1" t="s">
        <v>207</v>
      </c>
      <c r="CN2035" s="1" t="s">
        <v>239</v>
      </c>
      <c r="CO2035" s="1" t="s">
        <v>363</v>
      </c>
      <c r="CP2035" s="1" t="s">
        <v>206</v>
      </c>
      <c r="CQ2035" s="1" t="s">
        <v>207</v>
      </c>
      <c r="CR2035" s="1" t="s">
        <v>239</v>
      </c>
      <c r="CS2035" s="1" t="s">
        <v>393</v>
      </c>
      <c r="CT2035" s="1" t="s">
        <v>206</v>
      </c>
      <c r="CU2035" s="1" t="s">
        <v>207</v>
      </c>
      <c r="CV2035" s="1" t="s">
        <v>239</v>
      </c>
      <c r="CW2035" s="1" t="s">
        <v>8336</v>
      </c>
      <c r="CX2035" s="1" t="s">
        <v>206</v>
      </c>
      <c r="CY2035" s="1" t="s">
        <v>207</v>
      </c>
      <c r="CZ2035" s="1" t="s">
        <v>239</v>
      </c>
      <c r="DA2035" s="1" t="s">
        <v>200</v>
      </c>
      <c r="DC2035" s="1" t="s">
        <v>435</v>
      </c>
      <c r="DD2035" s="1" t="s">
        <v>7914</v>
      </c>
      <c r="DE2035" s="1" t="s">
        <v>218</v>
      </c>
      <c r="DF2035" s="1" t="s">
        <v>745</v>
      </c>
      <c r="DG2035" s="1" t="s">
        <v>3175</v>
      </c>
      <c r="DH2035" s="1" t="s">
        <v>220</v>
      </c>
      <c r="DI2035" s="1" t="s">
        <v>4683</v>
      </c>
      <c r="DJ2035" s="1" t="s">
        <v>222</v>
      </c>
      <c r="DK2035" s="1" t="s">
        <v>223</v>
      </c>
      <c r="DL2035" s="1" t="s">
        <v>224</v>
      </c>
      <c r="DM2035" s="1" t="s">
        <v>338</v>
      </c>
      <c r="DN2035" s="1" t="s">
        <v>15047</v>
      </c>
      <c r="DO2035" s="1" t="s">
        <v>486</v>
      </c>
      <c r="DP2035" s="1" t="s">
        <v>340</v>
      </c>
      <c r="DQ2035" s="1" t="s">
        <v>441</v>
      </c>
      <c r="DR2035" s="1" t="s">
        <v>229</v>
      </c>
      <c r="DS2035" s="1" t="s">
        <v>368</v>
      </c>
      <c r="DU2035" s="1" t="s">
        <v>15457</v>
      </c>
      <c r="DV2035" s="1" t="s">
        <v>19330</v>
      </c>
      <c r="DW2035" s="1" t="s">
        <v>764</v>
      </c>
      <c r="DX2035" s="1" t="s">
        <v>234</v>
      </c>
      <c r="DY2035" s="1" t="s">
        <v>1821</v>
      </c>
      <c r="DZ2035" s="1" t="s">
        <v>6954</v>
      </c>
      <c r="EA2035" s="1" t="s">
        <v>344</v>
      </c>
      <c r="EB2035" s="1" t="s">
        <v>767</v>
      </c>
      <c r="EC2035" s="1" t="s">
        <v>237</v>
      </c>
      <c r="ED2035" s="1" t="s">
        <v>555</v>
      </c>
      <c r="EE2035" s="1" t="s">
        <v>493</v>
      </c>
      <c r="EG2035" s="1" t="s">
        <v>494</v>
      </c>
      <c r="EI2035" s="1" t="s">
        <v>598</v>
      </c>
      <c r="EJ2035" s="1" t="s">
        <v>1961</v>
      </c>
      <c r="EK2035" s="1" t="s">
        <v>451</v>
      </c>
      <c r="EL2035" s="1" t="s">
        <v>264</v>
      </c>
      <c r="EM2035" s="1" t="s">
        <v>206</v>
      </c>
      <c r="EN2035" s="1" t="s">
        <v>207</v>
      </c>
      <c r="EO2035" s="1" t="s">
        <v>239</v>
      </c>
      <c r="EQ2035" s="1" t="s">
        <v>238</v>
      </c>
      <c r="ET2035" s="1" t="s">
        <v>543</v>
      </c>
      <c r="EU2035" s="1" t="s">
        <v>42</v>
      </c>
      <c r="EV2035" s="1" t="s">
        <v>268</v>
      </c>
      <c r="EX2035" s="1" t="s">
        <v>758</v>
      </c>
      <c r="EY2035" s="1" t="s">
        <v>42</v>
      </c>
      <c r="EZ2035" s="1" t="s">
        <v>268</v>
      </c>
      <c r="FB2035" s="1" t="s">
        <v>1117</v>
      </c>
      <c r="FC2035" s="1" t="s">
        <v>42</v>
      </c>
      <c r="FD2035" s="1" t="s">
        <v>268</v>
      </c>
      <c r="FF2035" s="1" t="s">
        <v>239</v>
      </c>
      <c r="FG2035" s="1" t="s">
        <v>192</v>
      </c>
      <c r="FH2035" s="1" t="s">
        <v>192</v>
      </c>
      <c r="FJ2035" s="1" t="s">
        <v>624</v>
      </c>
      <c r="FK2035" s="1" t="s">
        <v>229</v>
      </c>
      <c r="FL2035" s="1" t="s">
        <v>1007</v>
      </c>
      <c r="FM2035" s="1">
        <v>22588.0</v>
      </c>
      <c r="FN2035" s="1" t="s">
        <v>1321</v>
      </c>
      <c r="FO2035" s="1" t="s">
        <v>3063</v>
      </c>
      <c r="FP2035" s="1">
        <v>222996.0</v>
      </c>
      <c r="FQ2035" s="1" t="s">
        <v>3064</v>
      </c>
      <c r="FR2035" s="1">
        <v>222986.0</v>
      </c>
      <c r="FS2035" s="1" t="s">
        <v>3065</v>
      </c>
      <c r="FU2035" s="1" t="s">
        <v>19331</v>
      </c>
      <c r="FV2035" s="1" t="s">
        <v>200</v>
      </c>
      <c r="FW2035" s="1" t="s">
        <v>290</v>
      </c>
      <c r="FZ2035" s="1" t="s">
        <v>229</v>
      </c>
      <c r="GA2035" s="1" t="s">
        <v>291</v>
      </c>
      <c r="GB2035" s="2">
        <v>42009.0</v>
      </c>
      <c r="GC2035" s="1" t="s">
        <v>19332</v>
      </c>
    </row>
    <row r="2036">
      <c r="A2036" s="1">
        <v>147000.0</v>
      </c>
      <c r="B2036" s="1" t="s">
        <v>185</v>
      </c>
      <c r="C2036" s="1" t="str">
        <f>"08725631"</f>
        <v>08725631</v>
      </c>
      <c r="D2036" s="1" t="s">
        <v>186</v>
      </c>
      <c r="F2036" s="1" t="str">
        <f>"8062"</f>
        <v>8062</v>
      </c>
      <c r="G2036" s="2">
        <v>41893.0</v>
      </c>
      <c r="H2036" s="1">
        <v>144900.0</v>
      </c>
      <c r="I2036" s="1">
        <v>6.0</v>
      </c>
      <c r="J2036" s="1">
        <v>144900.0</v>
      </c>
      <c r="K2036" s="2">
        <v>41898.0</v>
      </c>
      <c r="L2036" s="1">
        <v>6.0</v>
      </c>
      <c r="M2036" s="2">
        <v>41898.0</v>
      </c>
      <c r="N2036" s="1" t="s">
        <v>356</v>
      </c>
      <c r="O2036" s="2">
        <v>41999.0</v>
      </c>
      <c r="P2036" s="1">
        <v>156155.0</v>
      </c>
      <c r="Q2036" s="1">
        <v>18359.0</v>
      </c>
      <c r="R2036" s="1">
        <v>3.0</v>
      </c>
      <c r="S2036" s="1">
        <v>4049.0</v>
      </c>
      <c r="T2036" s="1" t="s">
        <v>8061</v>
      </c>
      <c r="U2036" s="1" t="s">
        <v>694</v>
      </c>
      <c r="V2036" s="1" t="s">
        <v>190</v>
      </c>
      <c r="W2036" s="1">
        <v>60629.0</v>
      </c>
      <c r="Y2036" s="1" t="s">
        <v>19333</v>
      </c>
      <c r="Z2036" s="1">
        <v>1942.0</v>
      </c>
      <c r="AA2036" s="1" t="s">
        <v>192</v>
      </c>
      <c r="AB2036" s="1" t="s">
        <v>193</v>
      </c>
      <c r="AD2036" s="1" t="s">
        <v>194</v>
      </c>
      <c r="AE2036" s="1" t="s">
        <v>195</v>
      </c>
      <c r="AF2036" s="1" t="s">
        <v>659</v>
      </c>
      <c r="AH2036" s="1" t="s">
        <v>779</v>
      </c>
      <c r="AI2036" s="1">
        <v>0.0861</v>
      </c>
      <c r="AK2036" s="1">
        <v>6.0</v>
      </c>
      <c r="AL2036" s="1">
        <v>4.0</v>
      </c>
      <c r="AM2036" s="1">
        <v>1.0</v>
      </c>
      <c r="AN2036" s="1">
        <v>0.0</v>
      </c>
      <c r="AO2036" s="1" t="s">
        <v>229</v>
      </c>
      <c r="AQ2036" s="1" t="s">
        <v>198</v>
      </c>
      <c r="AR2036" s="1" t="s">
        <v>200</v>
      </c>
      <c r="AS2036" s="1" t="s">
        <v>199</v>
      </c>
      <c r="AT2036" s="1">
        <v>2.0</v>
      </c>
      <c r="AV2036" s="1" t="s">
        <v>200</v>
      </c>
      <c r="AW2036" s="1">
        <v>2519.3</v>
      </c>
      <c r="AX2036" s="1">
        <v>2012.0</v>
      </c>
      <c r="AZ2036" s="1" t="s">
        <v>200</v>
      </c>
      <c r="BA2036" s="1" t="str">
        <f>"19152220040000"</f>
        <v>19152220040000</v>
      </c>
      <c r="BC2036" s="1">
        <v>1600.0</v>
      </c>
      <c r="BD2036" s="1">
        <v>147000.0</v>
      </c>
      <c r="BE2036" s="2">
        <v>41893.0</v>
      </c>
      <c r="BF2036" s="1" t="s">
        <v>19334</v>
      </c>
      <c r="BH2036" s="1">
        <v>0.0</v>
      </c>
      <c r="BK2036" s="1" t="s">
        <v>204</v>
      </c>
      <c r="BL2036" s="1" t="str">
        <f t="shared" ref="BL2036:BM2036" si="1340">"0"</f>
        <v>0</v>
      </c>
      <c r="BM2036" s="1" t="str">
        <f t="shared" si="1340"/>
        <v>0</v>
      </c>
      <c r="BN2036" s="1">
        <v>4049.0</v>
      </c>
      <c r="BO2036" s="1">
        <v>5732.0</v>
      </c>
      <c r="BQ2036" s="1">
        <v>299.0</v>
      </c>
      <c r="BR2036" s="1">
        <v>299.0</v>
      </c>
      <c r="BS2036" s="1">
        <v>299.0</v>
      </c>
      <c r="BU2036" s="1" t="s">
        <v>2082</v>
      </c>
      <c r="BV2036" s="1" t="s">
        <v>206</v>
      </c>
      <c r="BW2036" s="1" t="s">
        <v>207</v>
      </c>
      <c r="BY2036" s="1" t="s">
        <v>212</v>
      </c>
      <c r="BZ2036" s="1" t="s">
        <v>206</v>
      </c>
      <c r="CA2036" s="1" t="s">
        <v>207</v>
      </c>
      <c r="CD2036" s="1" t="s">
        <v>204</v>
      </c>
      <c r="CG2036" s="1" t="s">
        <v>495</v>
      </c>
      <c r="CH2036" s="1" t="s">
        <v>206</v>
      </c>
      <c r="CI2036" s="1" t="s">
        <v>207</v>
      </c>
      <c r="CK2036" s="1" t="s">
        <v>302</v>
      </c>
      <c r="CL2036" s="1" t="s">
        <v>209</v>
      </c>
      <c r="CM2036" s="1" t="s">
        <v>207</v>
      </c>
      <c r="CO2036" s="1" t="s">
        <v>329</v>
      </c>
      <c r="CP2036" s="1" t="s">
        <v>209</v>
      </c>
      <c r="CQ2036" s="1" t="s">
        <v>207</v>
      </c>
      <c r="CS2036" s="1" t="s">
        <v>212</v>
      </c>
      <c r="CT2036" s="1" t="s">
        <v>206</v>
      </c>
      <c r="CX2036" s="1" t="s">
        <v>204</v>
      </c>
      <c r="DA2036" s="1" t="s">
        <v>200</v>
      </c>
      <c r="DC2036" s="1" t="s">
        <v>1399</v>
      </c>
      <c r="DE2036" s="1" t="s">
        <v>7068</v>
      </c>
      <c r="DF2036" s="1" t="s">
        <v>219</v>
      </c>
      <c r="DH2036" s="1" t="s">
        <v>220</v>
      </c>
      <c r="DJ2036" s="1" t="s">
        <v>222</v>
      </c>
      <c r="DL2036" s="1" t="s">
        <v>223</v>
      </c>
      <c r="DM2036" s="1" t="s">
        <v>229</v>
      </c>
      <c r="DQ2036" s="1" t="s">
        <v>718</v>
      </c>
      <c r="DR2036" s="1" t="s">
        <v>229</v>
      </c>
      <c r="DV2036" s="1" t="s">
        <v>232</v>
      </c>
      <c r="DW2036" s="1" t="s">
        <v>279</v>
      </c>
      <c r="DX2036" s="1" t="s">
        <v>234</v>
      </c>
      <c r="DY2036" s="1" t="s">
        <v>553</v>
      </c>
      <c r="EC2036" s="1" t="s">
        <v>645</v>
      </c>
      <c r="EE2036" s="1" t="s">
        <v>19335</v>
      </c>
      <c r="EM2036" s="1" t="s">
        <v>238</v>
      </c>
      <c r="EQ2036" s="1" t="s">
        <v>238</v>
      </c>
      <c r="EU2036" s="1" t="s">
        <v>238</v>
      </c>
      <c r="EY2036" s="1" t="s">
        <v>238</v>
      </c>
      <c r="FC2036" s="1" t="s">
        <v>238</v>
      </c>
      <c r="FF2036" s="1" t="s">
        <v>239</v>
      </c>
      <c r="FG2036" s="1" t="s">
        <v>192</v>
      </c>
      <c r="FH2036" s="1" t="s">
        <v>192</v>
      </c>
      <c r="FJ2036" s="1" t="s">
        <v>2552</v>
      </c>
      <c r="FK2036" s="1" t="s">
        <v>229</v>
      </c>
      <c r="FL2036" s="1" t="s">
        <v>5417</v>
      </c>
      <c r="FM2036" s="1">
        <v>84487.0</v>
      </c>
      <c r="FN2036" s="1" t="s">
        <v>5418</v>
      </c>
      <c r="FO2036" s="1" t="s">
        <v>19336</v>
      </c>
      <c r="FP2036" s="1">
        <v>129558.0</v>
      </c>
      <c r="FQ2036" s="1" t="s">
        <v>19337</v>
      </c>
      <c r="FR2036" s="1">
        <v>119971.0</v>
      </c>
      <c r="FU2036" s="1" t="s">
        <v>19338</v>
      </c>
      <c r="FV2036" s="1" t="s">
        <v>200</v>
      </c>
      <c r="FW2036" s="1" t="s">
        <v>530</v>
      </c>
      <c r="FX2036" s="1" t="s">
        <v>246</v>
      </c>
      <c r="FZ2036" s="1" t="s">
        <v>229</v>
      </c>
      <c r="GA2036" s="1" t="s">
        <v>291</v>
      </c>
      <c r="GB2036" s="2">
        <v>42002.0</v>
      </c>
      <c r="GC2036" s="1" t="s">
        <v>19339</v>
      </c>
    </row>
    <row r="2037">
      <c r="A2037" s="1">
        <v>164300.0</v>
      </c>
      <c r="B2037" s="1" t="s">
        <v>185</v>
      </c>
      <c r="C2037" s="1" t="str">
        <f>"08725654"</f>
        <v>08725654</v>
      </c>
      <c r="D2037" s="1" t="s">
        <v>186</v>
      </c>
      <c r="F2037" s="1" t="str">
        <f>"103"</f>
        <v>103</v>
      </c>
      <c r="G2037" s="2">
        <v>41893.0</v>
      </c>
      <c r="H2037" s="1">
        <v>199900.0</v>
      </c>
      <c r="I2037" s="1">
        <v>111.0</v>
      </c>
      <c r="J2037" s="1">
        <v>159900.0</v>
      </c>
      <c r="K2037" s="2">
        <v>42003.0</v>
      </c>
      <c r="L2037" s="1">
        <v>111.0</v>
      </c>
      <c r="M2037" s="2">
        <v>42003.0</v>
      </c>
      <c r="N2037" s="1" t="s">
        <v>187</v>
      </c>
      <c r="O2037" s="2">
        <v>42069.0</v>
      </c>
      <c r="P2037" s="1">
        <v>232956.0</v>
      </c>
      <c r="Q2037" s="1">
        <v>22739.0</v>
      </c>
      <c r="S2037" s="1">
        <v>1202.0</v>
      </c>
      <c r="T2037" s="1" t="s">
        <v>16708</v>
      </c>
      <c r="U2037" s="1" t="s">
        <v>1174</v>
      </c>
      <c r="V2037" s="1" t="s">
        <v>251</v>
      </c>
      <c r="W2037" s="1">
        <v>60133.0</v>
      </c>
      <c r="Y2037" s="1" t="s">
        <v>19340</v>
      </c>
      <c r="Z2037" s="1">
        <v>1978.0</v>
      </c>
      <c r="AA2037" s="1" t="s">
        <v>200</v>
      </c>
      <c r="AB2037" s="1" t="s">
        <v>193</v>
      </c>
      <c r="AC2037" s="1" t="s">
        <v>2780</v>
      </c>
      <c r="AD2037" s="1" t="s">
        <v>254</v>
      </c>
      <c r="AE2037" s="1" t="s">
        <v>1258</v>
      </c>
      <c r="AF2037" s="1" t="s">
        <v>1259</v>
      </c>
      <c r="AG2037" s="1" t="s">
        <v>19341</v>
      </c>
      <c r="AH2037" s="1">
        <v>10038.0</v>
      </c>
      <c r="AI2037" s="1">
        <v>0.2304</v>
      </c>
      <c r="AK2037" s="1">
        <v>8.0</v>
      </c>
      <c r="AL2037" s="1">
        <v>4.0</v>
      </c>
      <c r="AM2037" s="1">
        <v>2.0</v>
      </c>
      <c r="AN2037" s="1">
        <v>0.0</v>
      </c>
      <c r="AO2037" s="1" t="s">
        <v>198</v>
      </c>
      <c r="AP2037" s="1">
        <v>1.0</v>
      </c>
      <c r="AQ2037" s="1" t="s">
        <v>229</v>
      </c>
      <c r="AR2037" s="1" t="s">
        <v>200</v>
      </c>
      <c r="AS2037" s="1" t="s">
        <v>199</v>
      </c>
      <c r="AT2037" s="1">
        <v>2.0</v>
      </c>
      <c r="AV2037" s="1" t="s">
        <v>200</v>
      </c>
      <c r="AW2037" s="1">
        <v>6835.0</v>
      </c>
      <c r="AX2037" s="1">
        <v>2013.0</v>
      </c>
      <c r="AY2037" s="1" t="s">
        <v>387</v>
      </c>
      <c r="AZ2037" s="1" t="s">
        <v>200</v>
      </c>
      <c r="BA2037" s="1" t="str">
        <f>"0207214007"</f>
        <v>0207214007</v>
      </c>
      <c r="BB2037" s="1" t="s">
        <v>200</v>
      </c>
      <c r="BC2037" s="1">
        <v>1894.0</v>
      </c>
      <c r="BD2037" s="1">
        <v>164300.0</v>
      </c>
      <c r="BE2037" s="2">
        <v>41893.0</v>
      </c>
      <c r="BF2037" s="1" t="s">
        <v>19342</v>
      </c>
      <c r="BG2037" s="1" t="s">
        <v>1263</v>
      </c>
      <c r="BH2037" s="1">
        <v>0.0</v>
      </c>
      <c r="BI2037" s="1" t="s">
        <v>1264</v>
      </c>
      <c r="BJ2037" s="1" t="s">
        <v>1265</v>
      </c>
      <c r="BK2037" s="1" t="s">
        <v>204</v>
      </c>
      <c r="BL2037" s="1" t="str">
        <f>"7"</f>
        <v>7</v>
      </c>
      <c r="BM2037" s="1" t="str">
        <f>"0"</f>
        <v>0</v>
      </c>
      <c r="BN2037" s="1">
        <v>26.0</v>
      </c>
      <c r="BO2037" s="1">
        <v>0.0</v>
      </c>
      <c r="BQ2037" s="1">
        <v>20.0</v>
      </c>
      <c r="BR2037" s="1">
        <v>108.0</v>
      </c>
      <c r="BS2037" s="1">
        <v>20.0</v>
      </c>
      <c r="BU2037" s="1" t="s">
        <v>211</v>
      </c>
      <c r="BV2037" s="1" t="s">
        <v>206</v>
      </c>
      <c r="BY2037" s="1" t="s">
        <v>211</v>
      </c>
      <c r="BZ2037" s="1" t="s">
        <v>206</v>
      </c>
      <c r="CC2037" s="1" t="s">
        <v>331</v>
      </c>
      <c r="CD2037" s="1" t="s">
        <v>206</v>
      </c>
      <c r="CG2037" s="1" t="s">
        <v>264</v>
      </c>
      <c r="CH2037" s="1" t="s">
        <v>206</v>
      </c>
      <c r="CK2037" s="1" t="s">
        <v>212</v>
      </c>
      <c r="CL2037" s="1" t="s">
        <v>206</v>
      </c>
      <c r="CO2037" s="1" t="s">
        <v>269</v>
      </c>
      <c r="CP2037" s="1" t="s">
        <v>206</v>
      </c>
      <c r="CS2037" s="1" t="s">
        <v>211</v>
      </c>
      <c r="CT2037" s="1" t="s">
        <v>206</v>
      </c>
      <c r="CW2037" s="1" t="s">
        <v>213</v>
      </c>
      <c r="CX2037" s="1" t="s">
        <v>206</v>
      </c>
      <c r="DA2037" s="1" t="s">
        <v>200</v>
      </c>
      <c r="DC2037" s="1" t="s">
        <v>395</v>
      </c>
      <c r="DD2037" s="1" t="s">
        <v>396</v>
      </c>
      <c r="DE2037" s="1" t="s">
        <v>273</v>
      </c>
      <c r="DF2037" s="1" t="s">
        <v>219</v>
      </c>
      <c r="DH2037" s="1" t="s">
        <v>220</v>
      </c>
      <c r="DJ2037" s="1" t="s">
        <v>222</v>
      </c>
      <c r="DL2037" s="1" t="s">
        <v>229</v>
      </c>
      <c r="DM2037" s="1" t="s">
        <v>229</v>
      </c>
      <c r="DO2037" s="1" t="s">
        <v>549</v>
      </c>
      <c r="DP2037" s="1" t="s">
        <v>340</v>
      </c>
      <c r="DQ2037" s="1" t="s">
        <v>228</v>
      </c>
      <c r="DR2037" s="1" t="s">
        <v>229</v>
      </c>
      <c r="DS2037" s="1" t="s">
        <v>401</v>
      </c>
      <c r="DU2037" s="1" t="s">
        <v>5827</v>
      </c>
      <c r="DV2037" s="1" t="s">
        <v>232</v>
      </c>
      <c r="DW2037" s="1" t="s">
        <v>667</v>
      </c>
      <c r="DX2037" s="1" t="s">
        <v>309</v>
      </c>
      <c r="DY2037" s="1" t="s">
        <v>1006</v>
      </c>
      <c r="DZ2037" s="1" t="s">
        <v>2204</v>
      </c>
      <c r="EA2037" s="1" t="s">
        <v>683</v>
      </c>
      <c r="EC2037" s="1" t="s">
        <v>685</v>
      </c>
      <c r="ED2037" s="1" t="s">
        <v>555</v>
      </c>
      <c r="EM2037" s="1" t="s">
        <v>238</v>
      </c>
      <c r="EQ2037" s="1" t="s">
        <v>238</v>
      </c>
      <c r="EU2037" s="1" t="s">
        <v>238</v>
      </c>
      <c r="EY2037" s="1" t="s">
        <v>238</v>
      </c>
      <c r="FC2037" s="1" t="s">
        <v>238</v>
      </c>
      <c r="FF2037" s="1" t="s">
        <v>239</v>
      </c>
      <c r="FG2037" s="1" t="s">
        <v>192</v>
      </c>
      <c r="FH2037" s="1" t="s">
        <v>192</v>
      </c>
      <c r="FJ2037" s="1" t="s">
        <v>1248</v>
      </c>
      <c r="FK2037" s="1" t="s">
        <v>229</v>
      </c>
      <c r="FL2037" s="1" t="s">
        <v>7669</v>
      </c>
      <c r="FM2037" s="1">
        <v>5085.0</v>
      </c>
      <c r="FN2037" s="1" t="s">
        <v>7670</v>
      </c>
      <c r="FO2037" s="1" t="s">
        <v>7671</v>
      </c>
      <c r="FP2037" s="1">
        <v>55549.0</v>
      </c>
      <c r="FU2037" s="1" t="s">
        <v>7672</v>
      </c>
      <c r="FV2037" s="1" t="s">
        <v>200</v>
      </c>
      <c r="FW2037" s="1" t="s">
        <v>19343</v>
      </c>
      <c r="FZ2037" s="1" t="s">
        <v>229</v>
      </c>
      <c r="GA2037" s="1" t="s">
        <v>291</v>
      </c>
      <c r="GB2037" s="2">
        <v>42072.0</v>
      </c>
      <c r="GC2037" s="1" t="s">
        <v>19344</v>
      </c>
    </row>
    <row r="2038">
      <c r="A2038" s="1">
        <v>329997.0</v>
      </c>
      <c r="B2038" s="1" t="s">
        <v>185</v>
      </c>
      <c r="C2038" s="1" t="str">
        <f>"08751209"</f>
        <v>08751209</v>
      </c>
      <c r="D2038" s="1" t="s">
        <v>186</v>
      </c>
      <c r="F2038" s="1" t="str">
        <f>"134"</f>
        <v>134</v>
      </c>
      <c r="G2038" s="2">
        <v>41924.0</v>
      </c>
      <c r="H2038" s="1">
        <v>355177.0</v>
      </c>
      <c r="I2038" s="1">
        <v>34.0</v>
      </c>
      <c r="J2038" s="1">
        <v>349977.0</v>
      </c>
      <c r="K2038" s="2">
        <v>41957.0</v>
      </c>
      <c r="L2038" s="1">
        <v>34.0</v>
      </c>
      <c r="M2038" s="2">
        <v>41957.0</v>
      </c>
      <c r="N2038" s="1" t="s">
        <v>187</v>
      </c>
      <c r="O2038" s="2">
        <v>41990.0</v>
      </c>
      <c r="P2038" s="1">
        <v>99995.0</v>
      </c>
      <c r="Q2038" s="1" t="s">
        <v>947</v>
      </c>
      <c r="S2038" s="1" t="s">
        <v>19345</v>
      </c>
      <c r="T2038" s="1" t="s">
        <v>19346</v>
      </c>
      <c r="U2038" s="1" t="s">
        <v>844</v>
      </c>
      <c r="V2038" s="1" t="s">
        <v>421</v>
      </c>
      <c r="W2038" s="1">
        <v>60134.0</v>
      </c>
      <c r="Y2038" s="1" t="s">
        <v>19347</v>
      </c>
      <c r="Z2038" s="1">
        <v>2014.0</v>
      </c>
      <c r="AA2038" s="1" t="s">
        <v>200</v>
      </c>
      <c r="AB2038" s="1" t="s">
        <v>467</v>
      </c>
      <c r="AC2038" s="1" t="s">
        <v>1596</v>
      </c>
      <c r="AD2038" s="1" t="s">
        <v>1089</v>
      </c>
      <c r="AE2038" s="1" t="s">
        <v>325</v>
      </c>
      <c r="AF2038" s="1" t="s">
        <v>1479</v>
      </c>
      <c r="AG2038" s="1" t="s">
        <v>19348</v>
      </c>
      <c r="AH2038" s="1" t="s">
        <v>19349</v>
      </c>
      <c r="AK2038" s="1">
        <v>9.0</v>
      </c>
      <c r="AL2038" s="1">
        <v>4.0</v>
      </c>
      <c r="AM2038" s="1">
        <v>2.0</v>
      </c>
      <c r="AN2038" s="1">
        <v>1.0</v>
      </c>
      <c r="AO2038" s="1" t="s">
        <v>198</v>
      </c>
      <c r="AP2038" s="1">
        <v>1.0</v>
      </c>
      <c r="AQ2038" s="1" t="s">
        <v>198</v>
      </c>
      <c r="AR2038" s="1" t="s">
        <v>200</v>
      </c>
      <c r="AS2038" s="1" t="s">
        <v>199</v>
      </c>
      <c r="AT2038" s="1">
        <v>3.0</v>
      </c>
      <c r="AV2038" s="1" t="s">
        <v>200</v>
      </c>
      <c r="AW2038" s="1">
        <v>180.16</v>
      </c>
      <c r="AX2038" s="1">
        <v>2013.0</v>
      </c>
      <c r="AY2038" s="1" t="s">
        <v>229</v>
      </c>
      <c r="AZ2038" s="1" t="s">
        <v>192</v>
      </c>
      <c r="BA2038" s="1" t="str">
        <f>"1112154002"</f>
        <v>1112154002</v>
      </c>
      <c r="BC2038" s="1">
        <v>2339.0</v>
      </c>
      <c r="BD2038" s="1">
        <v>329997.0</v>
      </c>
      <c r="BE2038" s="2">
        <v>41924.0</v>
      </c>
      <c r="BF2038" s="2" t="s">
        <v>19350</v>
      </c>
      <c r="BH2038" s="1">
        <v>0.0</v>
      </c>
      <c r="BK2038" s="1" t="s">
        <v>204</v>
      </c>
      <c r="BL2038" s="1" t="str">
        <f t="shared" ref="BL2038:BM2038" si="1341">""</f>
        <v/>
      </c>
      <c r="BM2038" s="1" t="str">
        <f t="shared" si="1341"/>
        <v/>
      </c>
      <c r="BQ2038" s="1">
        <v>304.0</v>
      </c>
      <c r="BR2038" s="1">
        <v>304.0</v>
      </c>
      <c r="BS2038" s="1">
        <v>304.0</v>
      </c>
      <c r="BV2038" s="1" t="s">
        <v>204</v>
      </c>
      <c r="BY2038" s="1" t="s">
        <v>677</v>
      </c>
      <c r="BZ2038" s="1" t="s">
        <v>209</v>
      </c>
      <c r="CA2038" s="1" t="s">
        <v>210</v>
      </c>
      <c r="CB2038" s="1" t="s">
        <v>229</v>
      </c>
      <c r="CC2038" s="1" t="s">
        <v>302</v>
      </c>
      <c r="CD2038" s="1" t="s">
        <v>206</v>
      </c>
      <c r="CE2038" s="1" t="s">
        <v>210</v>
      </c>
      <c r="CF2038" s="1" t="s">
        <v>229</v>
      </c>
      <c r="CG2038" s="1" t="s">
        <v>302</v>
      </c>
      <c r="CH2038" s="1" t="s">
        <v>209</v>
      </c>
      <c r="CI2038" s="1" t="s">
        <v>210</v>
      </c>
      <c r="CJ2038" s="1" t="s">
        <v>229</v>
      </c>
      <c r="CK2038" s="1" t="s">
        <v>2459</v>
      </c>
      <c r="CL2038" s="1" t="s">
        <v>209</v>
      </c>
      <c r="CM2038" s="1" t="s">
        <v>210</v>
      </c>
      <c r="CN2038" s="1" t="s">
        <v>229</v>
      </c>
      <c r="CO2038" s="1" t="s">
        <v>1426</v>
      </c>
      <c r="CP2038" s="1" t="s">
        <v>209</v>
      </c>
      <c r="CQ2038" s="1" t="s">
        <v>210</v>
      </c>
      <c r="CR2038" s="1" t="s">
        <v>229</v>
      </c>
      <c r="CS2038" s="1" t="s">
        <v>478</v>
      </c>
      <c r="CT2038" s="1" t="s">
        <v>206</v>
      </c>
      <c r="CU2038" s="1" t="s">
        <v>207</v>
      </c>
      <c r="CV2038" s="1" t="s">
        <v>229</v>
      </c>
      <c r="CW2038" s="1" t="s">
        <v>676</v>
      </c>
      <c r="CX2038" s="1" t="s">
        <v>206</v>
      </c>
      <c r="CY2038" s="1" t="s">
        <v>207</v>
      </c>
      <c r="CZ2038" s="1" t="s">
        <v>229</v>
      </c>
      <c r="DA2038" s="1" t="s">
        <v>192</v>
      </c>
      <c r="DB2038" s="2">
        <v>42003.0</v>
      </c>
      <c r="DC2038" s="1" t="s">
        <v>744</v>
      </c>
      <c r="DD2038" s="1" t="s">
        <v>926</v>
      </c>
      <c r="DE2038" s="1" t="s">
        <v>273</v>
      </c>
      <c r="DF2038" s="1" t="s">
        <v>619</v>
      </c>
      <c r="DG2038" s="1" t="s">
        <v>6030</v>
      </c>
      <c r="DH2038" s="1" t="s">
        <v>1603</v>
      </c>
      <c r="DI2038" s="1" t="s">
        <v>589</v>
      </c>
      <c r="DJ2038" s="1" t="s">
        <v>222</v>
      </c>
      <c r="DL2038" s="1" t="s">
        <v>223</v>
      </c>
      <c r="DM2038" s="1" t="s">
        <v>929</v>
      </c>
      <c r="DN2038" s="1" t="s">
        <v>2296</v>
      </c>
      <c r="DO2038" s="1" t="s">
        <v>3889</v>
      </c>
      <c r="DP2038" s="1" t="s">
        <v>340</v>
      </c>
      <c r="DQ2038" s="1" t="s">
        <v>228</v>
      </c>
      <c r="DR2038" s="1" t="s">
        <v>229</v>
      </c>
      <c r="DS2038" s="1" t="s">
        <v>591</v>
      </c>
      <c r="DT2038" s="1" t="s">
        <v>16108</v>
      </c>
      <c r="DU2038" s="1" t="s">
        <v>2940</v>
      </c>
      <c r="DV2038" s="1" t="s">
        <v>2941</v>
      </c>
      <c r="DW2038" s="1" t="s">
        <v>233</v>
      </c>
      <c r="DX2038" s="1" t="s">
        <v>234</v>
      </c>
      <c r="DY2038" s="1" t="s">
        <v>1051</v>
      </c>
      <c r="EA2038" s="1" t="s">
        <v>344</v>
      </c>
      <c r="EB2038" s="1" t="s">
        <v>684</v>
      </c>
      <c r="EC2038" s="1" t="s">
        <v>237</v>
      </c>
      <c r="ED2038" s="1" t="s">
        <v>407</v>
      </c>
      <c r="EE2038" s="1" t="s">
        <v>493</v>
      </c>
      <c r="EG2038" s="1" t="s">
        <v>449</v>
      </c>
      <c r="EH2038" s="1" t="s">
        <v>1028</v>
      </c>
      <c r="EL2038" s="1" t="s">
        <v>212</v>
      </c>
      <c r="EM2038" s="1" t="s">
        <v>206</v>
      </c>
      <c r="EN2038" s="1" t="s">
        <v>207</v>
      </c>
      <c r="EO2038" s="1" t="s">
        <v>229</v>
      </c>
      <c r="EP2038" s="1" t="s">
        <v>302</v>
      </c>
      <c r="EQ2038" s="1" t="s">
        <v>206</v>
      </c>
      <c r="ER2038" s="1" t="s">
        <v>210</v>
      </c>
      <c r="ES2038" s="1" t="s">
        <v>229</v>
      </c>
      <c r="EU2038" s="1" t="s">
        <v>238</v>
      </c>
      <c r="EY2038" s="1" t="s">
        <v>238</v>
      </c>
      <c r="FC2038" s="1" t="s">
        <v>238</v>
      </c>
      <c r="FF2038" s="1" t="s">
        <v>229</v>
      </c>
      <c r="FG2038" s="1" t="s">
        <v>200</v>
      </c>
      <c r="FH2038" s="1" t="s">
        <v>200</v>
      </c>
      <c r="FJ2038" s="1" t="s">
        <v>19351</v>
      </c>
      <c r="FK2038" s="1" t="s">
        <v>229</v>
      </c>
      <c r="FL2038" s="1" t="s">
        <v>1614</v>
      </c>
      <c r="FM2038" s="1">
        <v>85399.0</v>
      </c>
      <c r="FN2038" s="1" t="s">
        <v>1615</v>
      </c>
      <c r="FO2038" s="1" t="s">
        <v>1616</v>
      </c>
      <c r="FP2038" s="1">
        <v>189649.0</v>
      </c>
      <c r="FQ2038" s="1" t="s">
        <v>1615</v>
      </c>
      <c r="FU2038" s="1" t="s">
        <v>19352</v>
      </c>
      <c r="FV2038" s="1" t="s">
        <v>200</v>
      </c>
      <c r="FW2038" s="1" t="s">
        <v>1618</v>
      </c>
      <c r="FZ2038" s="1" t="s">
        <v>229</v>
      </c>
      <c r="GA2038" s="1" t="s">
        <v>247</v>
      </c>
      <c r="GB2038" s="2">
        <v>41994.0</v>
      </c>
      <c r="GC2038" s="1" t="s">
        <v>19353</v>
      </c>
    </row>
    <row r="2039">
      <c r="A2039" s="1">
        <v>215517.0</v>
      </c>
      <c r="B2039" s="1" t="s">
        <v>185</v>
      </c>
      <c r="C2039" s="1" t="str">
        <f>"08725501"</f>
        <v>08725501</v>
      </c>
      <c r="D2039" s="1" t="s">
        <v>186</v>
      </c>
      <c r="F2039" s="1" t="str">
        <f>"543"</f>
        <v>543</v>
      </c>
      <c r="G2039" s="2">
        <v>41893.0</v>
      </c>
      <c r="H2039" s="1">
        <v>259900.0</v>
      </c>
      <c r="I2039" s="1">
        <v>92.0</v>
      </c>
      <c r="J2039" s="1">
        <v>229000.0</v>
      </c>
      <c r="K2039" s="2">
        <v>41984.0</v>
      </c>
      <c r="L2039" s="1">
        <v>92.0</v>
      </c>
      <c r="M2039" s="2">
        <v>41984.0</v>
      </c>
      <c r="N2039" s="1" t="s">
        <v>187</v>
      </c>
      <c r="O2039" s="2">
        <v>42033.0</v>
      </c>
      <c r="P2039" s="1">
        <v>841184.0</v>
      </c>
      <c r="Q2039" s="1">
        <v>13691.0</v>
      </c>
      <c r="S2039" s="1">
        <v>739.0</v>
      </c>
      <c r="T2039" s="1" t="s">
        <v>19354</v>
      </c>
      <c r="U2039" s="1" t="s">
        <v>569</v>
      </c>
      <c r="V2039" s="1" t="s">
        <v>1527</v>
      </c>
      <c r="W2039" s="1">
        <v>60543.0</v>
      </c>
      <c r="Y2039" s="1" t="s">
        <v>19355</v>
      </c>
      <c r="Z2039" s="1">
        <v>2006.0</v>
      </c>
      <c r="AA2039" s="1" t="s">
        <v>200</v>
      </c>
      <c r="AB2039" s="1" t="s">
        <v>467</v>
      </c>
      <c r="AC2039" s="1" t="s">
        <v>5769</v>
      </c>
      <c r="AD2039" s="1" t="s">
        <v>1529</v>
      </c>
      <c r="AE2039" s="1" t="s">
        <v>849</v>
      </c>
      <c r="AF2039" s="1" t="s">
        <v>1529</v>
      </c>
      <c r="AH2039" s="1" t="s">
        <v>1990</v>
      </c>
      <c r="AK2039" s="1">
        <v>9.0</v>
      </c>
      <c r="AL2039" s="1">
        <v>4.0</v>
      </c>
      <c r="AM2039" s="1">
        <v>2.0</v>
      </c>
      <c r="AN2039" s="1">
        <v>1.0</v>
      </c>
      <c r="AO2039" s="1" t="s">
        <v>198</v>
      </c>
      <c r="AQ2039" s="1" t="s">
        <v>198</v>
      </c>
      <c r="AR2039" s="1" t="s">
        <v>200</v>
      </c>
      <c r="AS2039" s="1" t="s">
        <v>199</v>
      </c>
      <c r="AT2039" s="1">
        <v>2.0</v>
      </c>
      <c r="AV2039" s="1" t="s">
        <v>200</v>
      </c>
      <c r="AW2039" s="1">
        <v>8299.58</v>
      </c>
      <c r="AX2039" s="1">
        <v>2013.0</v>
      </c>
      <c r="AZ2039" s="1" t="s">
        <v>200</v>
      </c>
      <c r="BA2039" s="1" t="str">
        <f>"0311307013"</f>
        <v>0311307013</v>
      </c>
      <c r="BC2039" s="1">
        <v>2754.0</v>
      </c>
      <c r="BD2039" s="1">
        <v>215517.0</v>
      </c>
      <c r="BE2039" s="2">
        <v>41893.0</v>
      </c>
      <c r="BF2039" s="1" t="s">
        <v>19356</v>
      </c>
      <c r="BG2039" s="1" t="s">
        <v>4271</v>
      </c>
      <c r="BH2039" s="1">
        <v>18.0</v>
      </c>
      <c r="BI2039" s="1" t="s">
        <v>3647</v>
      </c>
      <c r="BK2039" s="1" t="s">
        <v>474</v>
      </c>
      <c r="BL2039" s="1" t="str">
        <f t="shared" ref="BL2039:BM2039" si="1342">""</f>
        <v/>
      </c>
      <c r="BM2039" s="1" t="str">
        <f t="shared" si="1342"/>
        <v/>
      </c>
      <c r="BQ2039" s="1">
        <v>308.0</v>
      </c>
      <c r="BR2039" s="1">
        <v>308.0</v>
      </c>
      <c r="BS2039" s="1">
        <v>308.0</v>
      </c>
      <c r="BU2039" s="1" t="s">
        <v>390</v>
      </c>
      <c r="BV2039" s="1" t="s">
        <v>206</v>
      </c>
      <c r="BY2039" s="1" t="s">
        <v>260</v>
      </c>
      <c r="BZ2039" s="1" t="s">
        <v>209</v>
      </c>
      <c r="CC2039" s="1" t="s">
        <v>329</v>
      </c>
      <c r="CD2039" s="1" t="s">
        <v>206</v>
      </c>
      <c r="CG2039" s="1" t="s">
        <v>616</v>
      </c>
      <c r="CH2039" s="1" t="s">
        <v>209</v>
      </c>
      <c r="CK2039" s="1" t="s">
        <v>329</v>
      </c>
      <c r="CL2039" s="1" t="s">
        <v>209</v>
      </c>
      <c r="CO2039" s="1" t="s">
        <v>329</v>
      </c>
      <c r="CP2039" s="1" t="s">
        <v>209</v>
      </c>
      <c r="CS2039" s="1" t="s">
        <v>1158</v>
      </c>
      <c r="CT2039" s="1" t="s">
        <v>206</v>
      </c>
      <c r="CW2039" s="1" t="s">
        <v>544</v>
      </c>
      <c r="CX2039" s="1" t="s">
        <v>206</v>
      </c>
      <c r="DA2039" s="1" t="s">
        <v>200</v>
      </c>
      <c r="DC2039" s="1" t="s">
        <v>481</v>
      </c>
      <c r="DD2039" s="1" t="s">
        <v>518</v>
      </c>
      <c r="DE2039" s="1" t="s">
        <v>273</v>
      </c>
      <c r="DF2039" s="1" t="s">
        <v>219</v>
      </c>
      <c r="DH2039" s="1" t="s">
        <v>365</v>
      </c>
      <c r="DJ2039" s="1" t="s">
        <v>222</v>
      </c>
      <c r="DK2039" s="1" t="s">
        <v>223</v>
      </c>
      <c r="DL2039" s="1" t="s">
        <v>858</v>
      </c>
      <c r="DM2039" s="1" t="s">
        <v>229</v>
      </c>
      <c r="DP2039" s="1" t="s">
        <v>340</v>
      </c>
      <c r="DQ2039" s="1" t="s">
        <v>228</v>
      </c>
      <c r="DR2039" s="1" t="s">
        <v>1980</v>
      </c>
      <c r="DS2039" s="1" t="s">
        <v>368</v>
      </c>
      <c r="DV2039" s="1" t="s">
        <v>494</v>
      </c>
      <c r="DW2039" s="1" t="s">
        <v>12222</v>
      </c>
      <c r="DX2039" s="1" t="s">
        <v>234</v>
      </c>
      <c r="DZ2039" s="1" t="s">
        <v>310</v>
      </c>
      <c r="EC2039" s="1" t="s">
        <v>237</v>
      </c>
      <c r="EG2039" s="1" t="s">
        <v>494</v>
      </c>
      <c r="EL2039" s="1" t="s">
        <v>212</v>
      </c>
      <c r="EM2039" s="1" t="s">
        <v>206</v>
      </c>
      <c r="EQ2039" s="1" t="s">
        <v>238</v>
      </c>
      <c r="EU2039" s="1" t="s">
        <v>238</v>
      </c>
      <c r="EY2039" s="1" t="s">
        <v>238</v>
      </c>
      <c r="FC2039" s="1" t="s">
        <v>238</v>
      </c>
      <c r="FF2039" s="1" t="s">
        <v>239</v>
      </c>
      <c r="FG2039" s="1" t="s">
        <v>192</v>
      </c>
      <c r="FH2039" s="1" t="s">
        <v>192</v>
      </c>
      <c r="FJ2039" s="1" t="s">
        <v>347</v>
      </c>
      <c r="FK2039" s="1" t="s">
        <v>229</v>
      </c>
      <c r="FL2039" s="1" t="s">
        <v>1775</v>
      </c>
      <c r="FM2039" s="1">
        <v>31982.0</v>
      </c>
      <c r="FN2039" s="1" t="s">
        <v>1776</v>
      </c>
      <c r="FO2039" s="1" t="s">
        <v>1777</v>
      </c>
      <c r="FP2039" s="1">
        <v>319888.0</v>
      </c>
      <c r="FQ2039" s="1" t="s">
        <v>1778</v>
      </c>
      <c r="FU2039" s="1" t="s">
        <v>6544</v>
      </c>
      <c r="FV2039" s="1" t="s">
        <v>200</v>
      </c>
      <c r="FW2039" s="1" t="s">
        <v>354</v>
      </c>
      <c r="FZ2039" s="1" t="s">
        <v>229</v>
      </c>
      <c r="GA2039" s="1" t="s">
        <v>291</v>
      </c>
      <c r="GB2039" s="2">
        <v>42033.0</v>
      </c>
      <c r="GC2039" s="1" t="s">
        <v>19357</v>
      </c>
    </row>
    <row r="2040">
      <c r="A2040" s="1">
        <v>188000.0</v>
      </c>
      <c r="B2040" s="1" t="s">
        <v>185</v>
      </c>
      <c r="C2040" s="1" t="str">
        <f>"08726004"</f>
        <v>08726004</v>
      </c>
      <c r="D2040" s="1" t="s">
        <v>186</v>
      </c>
      <c r="F2040" s="1" t="str">
        <f>"8017"</f>
        <v>8017</v>
      </c>
      <c r="G2040" s="2">
        <v>41893.0</v>
      </c>
      <c r="H2040" s="1">
        <v>199900.0</v>
      </c>
      <c r="I2040" s="1">
        <v>155.0</v>
      </c>
      <c r="J2040" s="1">
        <v>199900.0</v>
      </c>
      <c r="K2040" s="2">
        <v>42003.0</v>
      </c>
      <c r="L2040" s="1">
        <v>111.0</v>
      </c>
      <c r="M2040" s="2">
        <v>42003.0</v>
      </c>
      <c r="N2040" s="1" t="s">
        <v>187</v>
      </c>
      <c r="O2040" s="2">
        <v>42034.0</v>
      </c>
      <c r="P2040" s="1">
        <v>878477.0</v>
      </c>
      <c r="Q2040" s="1">
        <v>84729.0</v>
      </c>
      <c r="S2040" s="1">
        <v>4123.0</v>
      </c>
      <c r="T2040" s="1" t="s">
        <v>13423</v>
      </c>
      <c r="U2040" s="1" t="s">
        <v>189</v>
      </c>
      <c r="V2040" s="1" t="s">
        <v>190</v>
      </c>
      <c r="W2040" s="1">
        <v>60634.0</v>
      </c>
      <c r="Y2040" s="1" t="s">
        <v>19358</v>
      </c>
      <c r="Z2040" s="1">
        <v>1949.0</v>
      </c>
      <c r="AA2040" s="1" t="s">
        <v>192</v>
      </c>
      <c r="AB2040" s="1" t="s">
        <v>193</v>
      </c>
      <c r="AD2040" s="1" t="s">
        <v>194</v>
      </c>
      <c r="AE2040" s="1" t="s">
        <v>195</v>
      </c>
      <c r="AF2040" s="1" t="s">
        <v>196</v>
      </c>
      <c r="AH2040" s="1" t="s">
        <v>19359</v>
      </c>
      <c r="AI2040" s="1">
        <v>0.0</v>
      </c>
      <c r="AK2040" s="1">
        <v>8.0</v>
      </c>
      <c r="AL2040" s="1">
        <v>2.0</v>
      </c>
      <c r="AM2040" s="1">
        <v>2.0</v>
      </c>
      <c r="AN2040" s="1">
        <v>0.0</v>
      </c>
      <c r="AO2040" s="1" t="s">
        <v>198</v>
      </c>
      <c r="AP2040" s="1">
        <v>2.0</v>
      </c>
      <c r="AQ2040" s="1" t="s">
        <v>198</v>
      </c>
      <c r="AR2040" s="1" t="s">
        <v>192</v>
      </c>
      <c r="AS2040" s="1" t="s">
        <v>199</v>
      </c>
      <c r="AT2040" s="1">
        <v>2.0</v>
      </c>
      <c r="AV2040" s="1" t="s">
        <v>200</v>
      </c>
      <c r="AW2040" s="1">
        <v>4006.96</v>
      </c>
      <c r="AX2040" s="1">
        <v>2013.0</v>
      </c>
      <c r="AY2040" s="1" t="s">
        <v>229</v>
      </c>
      <c r="AZ2040" s="1" t="s">
        <v>200</v>
      </c>
      <c r="BA2040" s="1" t="str">
        <f>"12144020130000"</f>
        <v>12144020130000</v>
      </c>
      <c r="BC2040" s="1">
        <v>1426.0</v>
      </c>
      <c r="BD2040" s="1">
        <v>188000.0</v>
      </c>
      <c r="BE2040" s="2">
        <v>41893.0</v>
      </c>
      <c r="BF2040" s="1" t="s">
        <v>19360</v>
      </c>
      <c r="BH2040" s="1">
        <v>0.0</v>
      </c>
      <c r="BK2040" s="1" t="s">
        <v>204</v>
      </c>
      <c r="BL2040" s="1" t="str">
        <f>"4123"</f>
        <v>4123</v>
      </c>
      <c r="BM2040" s="1" t="str">
        <f t="shared" ref="BM2040:BM2041" si="1343">"0"</f>
        <v>0</v>
      </c>
      <c r="BN2040" s="1">
        <v>8400.0</v>
      </c>
      <c r="BO2040" s="1">
        <v>0.0</v>
      </c>
      <c r="BQ2040" s="1">
        <v>299.0</v>
      </c>
      <c r="BR2040" s="1">
        <v>299.0</v>
      </c>
      <c r="BS2040" s="1">
        <v>299.0</v>
      </c>
      <c r="BU2040" s="1" t="s">
        <v>647</v>
      </c>
      <c r="BV2040" s="1" t="s">
        <v>206</v>
      </c>
      <c r="BY2040" s="1" t="s">
        <v>454</v>
      </c>
      <c r="BZ2040" s="1" t="s">
        <v>42</v>
      </c>
      <c r="CC2040" s="1" t="s">
        <v>263</v>
      </c>
      <c r="CD2040" s="1" t="s">
        <v>206</v>
      </c>
      <c r="CG2040" s="1" t="s">
        <v>264</v>
      </c>
      <c r="CH2040" s="1" t="s">
        <v>209</v>
      </c>
      <c r="CK2040" s="1" t="s">
        <v>264</v>
      </c>
      <c r="CL2040" s="1" t="s">
        <v>209</v>
      </c>
      <c r="CO2040" s="1" t="s">
        <v>3453</v>
      </c>
      <c r="CP2040" s="1" t="s">
        <v>42</v>
      </c>
      <c r="CS2040" s="1" t="s">
        <v>4153</v>
      </c>
      <c r="CT2040" s="1" t="s">
        <v>206</v>
      </c>
      <c r="CW2040" s="1" t="s">
        <v>260</v>
      </c>
      <c r="CX2040" s="1" t="s">
        <v>206</v>
      </c>
      <c r="DA2040" s="1" t="s">
        <v>200</v>
      </c>
      <c r="DC2040" s="1" t="s">
        <v>702</v>
      </c>
      <c r="DE2040" s="1" t="s">
        <v>273</v>
      </c>
      <c r="DF2040" s="1" t="s">
        <v>219</v>
      </c>
      <c r="DH2040" s="1" t="s">
        <v>307</v>
      </c>
      <c r="DI2040" s="1" t="s">
        <v>1223</v>
      </c>
      <c r="DJ2040" s="1" t="s">
        <v>222</v>
      </c>
      <c r="DL2040" s="1" t="s">
        <v>858</v>
      </c>
      <c r="DM2040" s="1" t="s">
        <v>229</v>
      </c>
      <c r="DP2040" s="1" t="s">
        <v>340</v>
      </c>
      <c r="DQ2040" s="1" t="s">
        <v>718</v>
      </c>
      <c r="DR2040" s="1" t="s">
        <v>229</v>
      </c>
      <c r="DV2040" s="1" t="s">
        <v>232</v>
      </c>
      <c r="DW2040" s="1" t="s">
        <v>279</v>
      </c>
      <c r="DX2040" s="1" t="s">
        <v>1287</v>
      </c>
      <c r="EA2040" s="1" t="s">
        <v>3308</v>
      </c>
      <c r="EC2040" s="1" t="s">
        <v>237</v>
      </c>
      <c r="EM2040" s="1" t="s">
        <v>238</v>
      </c>
      <c r="EQ2040" s="1" t="s">
        <v>238</v>
      </c>
      <c r="EU2040" s="1" t="s">
        <v>238</v>
      </c>
      <c r="EY2040" s="1" t="s">
        <v>238</v>
      </c>
      <c r="FC2040" s="1" t="s">
        <v>238</v>
      </c>
      <c r="FF2040" s="1" t="s">
        <v>239</v>
      </c>
      <c r="FG2040" s="1" t="s">
        <v>192</v>
      </c>
      <c r="FH2040" s="1" t="s">
        <v>192</v>
      </c>
      <c r="FJ2040" s="1" t="s">
        <v>19361</v>
      </c>
      <c r="FK2040" s="1" t="s">
        <v>229</v>
      </c>
      <c r="FL2040" s="1" t="s">
        <v>15639</v>
      </c>
      <c r="FM2040" s="1">
        <v>16936.0</v>
      </c>
      <c r="FN2040" s="1" t="s">
        <v>15640</v>
      </c>
      <c r="FO2040" s="1" t="s">
        <v>19362</v>
      </c>
      <c r="FP2040" s="1">
        <v>175451.0</v>
      </c>
      <c r="FQ2040" s="1" t="s">
        <v>19363</v>
      </c>
      <c r="FR2040" s="1">
        <v>876696.0</v>
      </c>
      <c r="FU2040" s="1" t="s">
        <v>19364</v>
      </c>
      <c r="FV2040" s="1" t="s">
        <v>200</v>
      </c>
      <c r="FW2040" s="1" t="s">
        <v>530</v>
      </c>
      <c r="FX2040" s="1" t="s">
        <v>238</v>
      </c>
      <c r="FZ2040" s="1" t="s">
        <v>229</v>
      </c>
      <c r="GA2040" s="1" t="s">
        <v>291</v>
      </c>
      <c r="GB2040" s="2">
        <v>42034.0</v>
      </c>
      <c r="GC2040" s="1" t="s">
        <v>19365</v>
      </c>
    </row>
    <row r="2041">
      <c r="A2041" s="1">
        <v>350000.0</v>
      </c>
      <c r="B2041" s="1" t="s">
        <v>185</v>
      </c>
      <c r="C2041" s="1" t="str">
        <f>"08727101"</f>
        <v>08727101</v>
      </c>
      <c r="D2041" s="1" t="s">
        <v>186</v>
      </c>
      <c r="F2041" s="1" t="str">
        <f>"8011"</f>
        <v>8011</v>
      </c>
      <c r="G2041" s="2">
        <v>41894.0</v>
      </c>
      <c r="H2041" s="1">
        <v>379000.0</v>
      </c>
      <c r="I2041" s="1">
        <v>74.0</v>
      </c>
      <c r="J2041" s="1">
        <v>359995.0</v>
      </c>
      <c r="K2041" s="2">
        <v>41967.0</v>
      </c>
      <c r="L2041" s="1">
        <v>74.0</v>
      </c>
      <c r="M2041" s="2">
        <v>41967.0</v>
      </c>
      <c r="N2041" s="1" t="s">
        <v>187</v>
      </c>
      <c r="O2041" s="2">
        <v>42002.0</v>
      </c>
      <c r="P2041" s="1">
        <v>113690.0</v>
      </c>
      <c r="Q2041" s="1">
        <v>10900.0</v>
      </c>
      <c r="S2041" s="1">
        <v>5601.0</v>
      </c>
      <c r="T2041" s="1" t="s">
        <v>9430</v>
      </c>
      <c r="U2041" s="1" t="s">
        <v>189</v>
      </c>
      <c r="V2041" s="1" t="s">
        <v>190</v>
      </c>
      <c r="W2041" s="1">
        <v>60646.0</v>
      </c>
      <c r="Y2041" s="1" t="s">
        <v>19366</v>
      </c>
      <c r="Z2041" s="1">
        <v>1951.0</v>
      </c>
      <c r="AA2041" s="1" t="s">
        <v>192</v>
      </c>
      <c r="AB2041" s="1" t="s">
        <v>193</v>
      </c>
      <c r="AD2041" s="1" t="s">
        <v>194</v>
      </c>
      <c r="AE2041" s="1" t="s">
        <v>195</v>
      </c>
      <c r="AF2041" s="1" t="s">
        <v>196</v>
      </c>
      <c r="AG2041" s="1" t="s">
        <v>874</v>
      </c>
      <c r="AH2041" s="1" t="s">
        <v>19367</v>
      </c>
      <c r="AK2041" s="1">
        <v>9.0</v>
      </c>
      <c r="AL2041" s="1">
        <v>3.0</v>
      </c>
      <c r="AM2041" s="1">
        <v>2.0</v>
      </c>
      <c r="AN2041" s="1">
        <v>0.0</v>
      </c>
      <c r="AO2041" s="1" t="s">
        <v>198</v>
      </c>
      <c r="AP2041" s="1">
        <v>1.0</v>
      </c>
      <c r="AQ2041" s="1" t="s">
        <v>198</v>
      </c>
      <c r="AR2041" s="1" t="s">
        <v>192</v>
      </c>
      <c r="AS2041" s="1" t="s">
        <v>199</v>
      </c>
      <c r="AT2041" s="1">
        <v>2.5</v>
      </c>
      <c r="AV2041" s="1" t="s">
        <v>200</v>
      </c>
      <c r="AW2041" s="1">
        <v>1146.0</v>
      </c>
      <c r="AX2041" s="1">
        <v>2013.0</v>
      </c>
      <c r="AY2041" s="1" t="s">
        <v>1917</v>
      </c>
      <c r="AZ2041" s="1" t="s">
        <v>200</v>
      </c>
      <c r="BA2041" s="1" t="str">
        <f>"13054300630000"</f>
        <v>13054300630000</v>
      </c>
      <c r="BB2041" s="1" t="s">
        <v>200</v>
      </c>
      <c r="BC2041" s="1">
        <v>2360.0</v>
      </c>
      <c r="BD2041" s="1">
        <v>350000.0</v>
      </c>
      <c r="BE2041" s="2">
        <v>41894.0</v>
      </c>
      <c r="BF2041" s="2" t="s">
        <v>19368</v>
      </c>
      <c r="BH2041" s="1">
        <v>0.0</v>
      </c>
      <c r="BJ2041" s="1" t="s">
        <v>1222</v>
      </c>
      <c r="BK2041" s="1" t="s">
        <v>204</v>
      </c>
      <c r="BL2041" s="1" t="str">
        <f>"5601"</f>
        <v>5601</v>
      </c>
      <c r="BM2041" s="1" t="str">
        <f t="shared" si="1343"/>
        <v>0</v>
      </c>
      <c r="BN2041" s="1">
        <v>5600.0</v>
      </c>
      <c r="BO2041" s="1">
        <v>0.0</v>
      </c>
      <c r="BQ2041" s="1">
        <v>299.0</v>
      </c>
      <c r="BR2041" s="1">
        <v>299.0</v>
      </c>
      <c r="BS2041" s="1">
        <v>299.0</v>
      </c>
      <c r="BU2041" s="1" t="s">
        <v>205</v>
      </c>
      <c r="BV2041" s="1" t="s">
        <v>206</v>
      </c>
      <c r="BW2041" s="1" t="s">
        <v>207</v>
      </c>
      <c r="BX2041" s="1" t="s">
        <v>1549</v>
      </c>
      <c r="BY2041" s="1" t="s">
        <v>392</v>
      </c>
      <c r="BZ2041" s="1" t="s">
        <v>206</v>
      </c>
      <c r="CA2041" s="1" t="s">
        <v>207</v>
      </c>
      <c r="CD2041" s="1" t="s">
        <v>204</v>
      </c>
      <c r="CG2041" s="1" t="s">
        <v>495</v>
      </c>
      <c r="CH2041" s="1" t="s">
        <v>206</v>
      </c>
      <c r="CI2041" s="1" t="s">
        <v>207</v>
      </c>
      <c r="CK2041" s="1" t="s">
        <v>495</v>
      </c>
      <c r="CL2041" s="1" t="s">
        <v>206</v>
      </c>
      <c r="CM2041" s="1" t="s">
        <v>207</v>
      </c>
      <c r="CO2041" s="1" t="s">
        <v>497</v>
      </c>
      <c r="CP2041" s="1" t="s">
        <v>42</v>
      </c>
      <c r="CQ2041" s="1" t="s">
        <v>210</v>
      </c>
      <c r="CS2041" s="1" t="s">
        <v>664</v>
      </c>
      <c r="CT2041" s="1" t="s">
        <v>206</v>
      </c>
      <c r="CU2041" s="1" t="s">
        <v>207</v>
      </c>
      <c r="CV2041" s="1" t="s">
        <v>1549</v>
      </c>
      <c r="CW2041" s="1" t="s">
        <v>1000</v>
      </c>
      <c r="CX2041" s="1" t="s">
        <v>42</v>
      </c>
      <c r="CY2041" s="1" t="s">
        <v>210</v>
      </c>
      <c r="DA2041" s="1" t="s">
        <v>200</v>
      </c>
      <c r="DC2041" s="1" t="s">
        <v>702</v>
      </c>
      <c r="DD2041" s="1" t="s">
        <v>518</v>
      </c>
      <c r="DE2041" s="1" t="s">
        <v>273</v>
      </c>
      <c r="DF2041" s="1" t="s">
        <v>219</v>
      </c>
      <c r="DG2041" s="1" t="s">
        <v>19369</v>
      </c>
      <c r="DH2041" s="1" t="s">
        <v>365</v>
      </c>
      <c r="DI2041" s="1" t="s">
        <v>19370</v>
      </c>
      <c r="DJ2041" s="1" t="s">
        <v>222</v>
      </c>
      <c r="DL2041" s="1" t="s">
        <v>1161</v>
      </c>
      <c r="DM2041" s="1" t="s">
        <v>225</v>
      </c>
      <c r="DN2041" s="1" t="s">
        <v>5920</v>
      </c>
      <c r="DO2041" s="1" t="s">
        <v>1004</v>
      </c>
      <c r="DQ2041" s="1" t="s">
        <v>718</v>
      </c>
      <c r="DR2041" s="1" t="s">
        <v>229</v>
      </c>
      <c r="DS2041" s="1" t="s">
        <v>401</v>
      </c>
      <c r="DU2041" s="1" t="s">
        <v>19371</v>
      </c>
      <c r="DV2041" s="1" t="s">
        <v>19372</v>
      </c>
      <c r="DW2041" s="1" t="s">
        <v>1145</v>
      </c>
      <c r="DX2041" s="1" t="s">
        <v>234</v>
      </c>
      <c r="DY2041" s="1" t="s">
        <v>19373</v>
      </c>
      <c r="DZ2041" s="1" t="s">
        <v>2204</v>
      </c>
      <c r="EA2041" s="1" t="s">
        <v>683</v>
      </c>
      <c r="EB2041" s="1" t="s">
        <v>372</v>
      </c>
      <c r="EC2041" s="1" t="s">
        <v>685</v>
      </c>
      <c r="ED2041" s="1" t="s">
        <v>1406</v>
      </c>
      <c r="EG2041" s="1" t="s">
        <v>450</v>
      </c>
      <c r="EH2041" s="1" t="s">
        <v>310</v>
      </c>
      <c r="EJ2041" s="1" t="s">
        <v>1467</v>
      </c>
      <c r="EL2041" s="1" t="s">
        <v>1001</v>
      </c>
      <c r="EM2041" s="1" t="s">
        <v>42</v>
      </c>
      <c r="EN2041" s="1" t="s">
        <v>210</v>
      </c>
      <c r="EP2041" s="1" t="s">
        <v>363</v>
      </c>
      <c r="EQ2041" s="1" t="s">
        <v>206</v>
      </c>
      <c r="EU2041" s="1" t="s">
        <v>238</v>
      </c>
      <c r="EX2041" s="1" t="s">
        <v>1000</v>
      </c>
      <c r="EY2041" s="1" t="s">
        <v>42</v>
      </c>
      <c r="EZ2041" s="1" t="s">
        <v>210</v>
      </c>
      <c r="FC2041" s="1" t="s">
        <v>238</v>
      </c>
      <c r="FF2041" s="1" t="s">
        <v>239</v>
      </c>
      <c r="FG2041" s="1" t="s">
        <v>192</v>
      </c>
      <c r="FH2041" s="1" t="s">
        <v>192</v>
      </c>
      <c r="FJ2041" s="1" t="s">
        <v>498</v>
      </c>
      <c r="FK2041" s="1" t="s">
        <v>229</v>
      </c>
      <c r="FL2041" s="1" t="s">
        <v>10777</v>
      </c>
      <c r="FM2041" s="1">
        <v>25108.0</v>
      </c>
      <c r="FN2041" s="1" t="s">
        <v>10778</v>
      </c>
      <c r="FO2041" s="1" t="s">
        <v>10779</v>
      </c>
      <c r="FP2041" s="1">
        <v>238493.0</v>
      </c>
      <c r="FT2041" s="1" t="s">
        <v>19374</v>
      </c>
      <c r="FU2041" s="1" t="s">
        <v>19375</v>
      </c>
      <c r="FV2041" s="1" t="s">
        <v>200</v>
      </c>
      <c r="FW2041" s="1" t="s">
        <v>19376</v>
      </c>
      <c r="FX2041" s="1" t="s">
        <v>238</v>
      </c>
      <c r="FZ2041" s="1" t="s">
        <v>229</v>
      </c>
      <c r="GA2041" s="1" t="s">
        <v>247</v>
      </c>
      <c r="GB2041" s="2">
        <v>42004.0</v>
      </c>
      <c r="GC2041" s="1" t="s">
        <v>19377</v>
      </c>
    </row>
    <row r="2042">
      <c r="A2042" s="1">
        <v>214900.0</v>
      </c>
      <c r="B2042" s="1" t="s">
        <v>185</v>
      </c>
      <c r="C2042" s="1" t="str">
        <f>"08728272"</f>
        <v>08728272</v>
      </c>
      <c r="D2042" s="1" t="s">
        <v>186</v>
      </c>
      <c r="F2042" s="1" t="str">
        <f>"8056"</f>
        <v>8056</v>
      </c>
      <c r="G2042" s="2">
        <v>41897.0</v>
      </c>
      <c r="H2042" s="1">
        <v>219900.0</v>
      </c>
      <c r="I2042" s="1">
        <v>4.0</v>
      </c>
      <c r="J2042" s="1">
        <v>219900.0</v>
      </c>
      <c r="K2042" s="2">
        <v>41897.0</v>
      </c>
      <c r="L2042" s="1">
        <v>4.0</v>
      </c>
      <c r="M2042" s="2">
        <v>41897.0</v>
      </c>
      <c r="N2042" s="1" t="s">
        <v>356</v>
      </c>
      <c r="O2042" s="2">
        <v>42004.0</v>
      </c>
      <c r="P2042" s="1">
        <v>86206.0</v>
      </c>
      <c r="Q2042" s="1">
        <v>8654.0</v>
      </c>
      <c r="R2042" s="1">
        <v>5000.0</v>
      </c>
      <c r="S2042" s="1">
        <v>4528.0</v>
      </c>
      <c r="T2042" s="1" t="s">
        <v>357</v>
      </c>
      <c r="U2042" s="1" t="s">
        <v>189</v>
      </c>
      <c r="V2042" s="1" t="s">
        <v>190</v>
      </c>
      <c r="W2042" s="1">
        <v>60638.0</v>
      </c>
      <c r="Y2042" s="1" t="s">
        <v>19378</v>
      </c>
      <c r="Z2042" s="1">
        <v>1957.0</v>
      </c>
      <c r="AA2042" s="1" t="s">
        <v>192</v>
      </c>
      <c r="AB2042" s="1" t="s">
        <v>193</v>
      </c>
      <c r="AD2042" s="1" t="s">
        <v>1089</v>
      </c>
      <c r="AE2042" s="1" t="s">
        <v>195</v>
      </c>
      <c r="AF2042" s="1" t="s">
        <v>8354</v>
      </c>
      <c r="AH2042" s="1" t="s">
        <v>19379</v>
      </c>
      <c r="AI2042" s="1">
        <v>0.0868</v>
      </c>
      <c r="AK2042" s="1">
        <v>8.0</v>
      </c>
      <c r="AL2042" s="1">
        <v>3.0</v>
      </c>
      <c r="AM2042" s="1">
        <v>2.0</v>
      </c>
      <c r="AN2042" s="1">
        <v>0.0</v>
      </c>
      <c r="AO2042" s="1" t="s">
        <v>198</v>
      </c>
      <c r="AQ2042" s="1" t="s">
        <v>198</v>
      </c>
      <c r="AR2042" s="1" t="s">
        <v>192</v>
      </c>
      <c r="AS2042" s="1" t="s">
        <v>199</v>
      </c>
      <c r="AT2042" s="1">
        <v>2.0</v>
      </c>
      <c r="AV2042" s="1" t="s">
        <v>200</v>
      </c>
      <c r="AW2042" s="1">
        <v>1623.82</v>
      </c>
      <c r="AX2042" s="1">
        <v>2012.0</v>
      </c>
      <c r="AZ2042" s="1" t="s">
        <v>200</v>
      </c>
      <c r="BA2042" s="1" t="str">
        <f>"19044180270000"</f>
        <v>19044180270000</v>
      </c>
      <c r="BC2042" s="1">
        <v>2142.0</v>
      </c>
      <c r="BD2042" s="1">
        <v>214900.0</v>
      </c>
      <c r="BE2042" s="2">
        <v>41894.0</v>
      </c>
      <c r="BF2042" s="2" t="s">
        <v>19380</v>
      </c>
      <c r="BH2042" s="1">
        <v>0.0</v>
      </c>
      <c r="BK2042" s="1" t="s">
        <v>204</v>
      </c>
      <c r="BL2042" s="1" t="str">
        <f t="shared" ref="BL2042:BM2042" si="1344">"0"</f>
        <v>0</v>
      </c>
      <c r="BM2042" s="1" t="str">
        <f t="shared" si="1344"/>
        <v>0</v>
      </c>
      <c r="BN2042" s="1">
        <v>5000.0</v>
      </c>
      <c r="BO2042" s="1">
        <v>4528.0</v>
      </c>
      <c r="BQ2042" s="1">
        <v>299.0</v>
      </c>
      <c r="BR2042" s="1">
        <v>299.0</v>
      </c>
      <c r="BS2042" s="1">
        <v>299.0</v>
      </c>
      <c r="BU2042" s="1" t="s">
        <v>1395</v>
      </c>
      <c r="BV2042" s="1" t="s">
        <v>206</v>
      </c>
      <c r="BW2042" s="1" t="s">
        <v>207</v>
      </c>
      <c r="BY2042" s="1" t="s">
        <v>515</v>
      </c>
      <c r="BZ2042" s="1" t="s">
        <v>42</v>
      </c>
      <c r="CA2042" s="1" t="s">
        <v>268</v>
      </c>
      <c r="CC2042" s="1" t="s">
        <v>263</v>
      </c>
      <c r="CD2042" s="1" t="s">
        <v>206</v>
      </c>
      <c r="CE2042" s="1" t="s">
        <v>268</v>
      </c>
      <c r="CG2042" s="1" t="s">
        <v>215</v>
      </c>
      <c r="CH2042" s="1" t="s">
        <v>206</v>
      </c>
      <c r="CI2042" s="1" t="s">
        <v>207</v>
      </c>
      <c r="CK2042" s="1" t="s">
        <v>699</v>
      </c>
      <c r="CL2042" s="1" t="s">
        <v>206</v>
      </c>
      <c r="CM2042" s="1" t="s">
        <v>207</v>
      </c>
      <c r="CO2042" s="1" t="s">
        <v>584</v>
      </c>
      <c r="CP2042" s="1" t="s">
        <v>206</v>
      </c>
      <c r="CQ2042" s="1" t="s">
        <v>207</v>
      </c>
      <c r="CS2042" s="1" t="s">
        <v>1395</v>
      </c>
      <c r="CT2042" s="1" t="s">
        <v>206</v>
      </c>
      <c r="CU2042" s="1" t="s">
        <v>268</v>
      </c>
      <c r="CW2042" s="1" t="s">
        <v>1206</v>
      </c>
      <c r="CX2042" s="1" t="s">
        <v>42</v>
      </c>
      <c r="CY2042" s="1" t="s">
        <v>268</v>
      </c>
      <c r="DA2042" s="1" t="s">
        <v>200</v>
      </c>
      <c r="DC2042" s="1" t="s">
        <v>271</v>
      </c>
      <c r="DD2042" s="1" t="s">
        <v>306</v>
      </c>
      <c r="DE2042" s="1" t="s">
        <v>273</v>
      </c>
      <c r="DF2042" s="1" t="s">
        <v>619</v>
      </c>
      <c r="DH2042" s="1" t="s">
        <v>307</v>
      </c>
      <c r="DI2042" s="1" t="s">
        <v>308</v>
      </c>
      <c r="DJ2042" s="1" t="s">
        <v>222</v>
      </c>
      <c r="DL2042" s="1" t="s">
        <v>224</v>
      </c>
      <c r="DM2042" s="1" t="s">
        <v>229</v>
      </c>
      <c r="DN2042" s="1" t="s">
        <v>793</v>
      </c>
      <c r="DP2042" s="1" t="s">
        <v>340</v>
      </c>
      <c r="DQ2042" s="1" t="s">
        <v>228</v>
      </c>
      <c r="DR2042" s="1" t="s">
        <v>229</v>
      </c>
      <c r="DV2042" s="1" t="s">
        <v>232</v>
      </c>
      <c r="DW2042" s="1" t="s">
        <v>279</v>
      </c>
      <c r="DX2042" s="1" t="s">
        <v>234</v>
      </c>
      <c r="DY2042" s="1" t="s">
        <v>553</v>
      </c>
      <c r="EC2042" s="1" t="s">
        <v>311</v>
      </c>
      <c r="ED2042" s="1" t="s">
        <v>407</v>
      </c>
      <c r="EM2042" s="1" t="s">
        <v>238</v>
      </c>
      <c r="EQ2042" s="1" t="s">
        <v>238</v>
      </c>
      <c r="EU2042" s="1" t="s">
        <v>238</v>
      </c>
      <c r="EY2042" s="1" t="s">
        <v>238</v>
      </c>
      <c r="FC2042" s="1" t="s">
        <v>238</v>
      </c>
      <c r="FF2042" s="1" t="s">
        <v>239</v>
      </c>
      <c r="FG2042" s="1" t="s">
        <v>192</v>
      </c>
      <c r="FH2042" s="1" t="s">
        <v>192</v>
      </c>
      <c r="FJ2042" s="1" t="s">
        <v>524</v>
      </c>
      <c r="FK2042" s="1" t="s">
        <v>229</v>
      </c>
      <c r="FL2042" s="1" t="s">
        <v>3787</v>
      </c>
      <c r="FM2042" s="1">
        <v>8654.0</v>
      </c>
      <c r="FN2042" s="1" t="s">
        <v>3788</v>
      </c>
      <c r="FO2042" s="1" t="s">
        <v>3789</v>
      </c>
      <c r="FP2042" s="1">
        <v>86206.0</v>
      </c>
      <c r="FQ2042" s="1" t="s">
        <v>3788</v>
      </c>
      <c r="FU2042" s="1" t="s">
        <v>2086</v>
      </c>
      <c r="FV2042" s="1" t="s">
        <v>200</v>
      </c>
      <c r="FW2042" s="1" t="s">
        <v>631</v>
      </c>
      <c r="FX2042" s="1" t="s">
        <v>655</v>
      </c>
      <c r="FZ2042" s="1" t="s">
        <v>229</v>
      </c>
      <c r="GA2042" s="1" t="s">
        <v>291</v>
      </c>
      <c r="GB2042" s="2">
        <v>42004.0</v>
      </c>
      <c r="GC2042" s="1" t="s">
        <v>19381</v>
      </c>
    </row>
    <row r="2043">
      <c r="A2043" s="1">
        <v>350000.0</v>
      </c>
      <c r="B2043" s="1" t="s">
        <v>185</v>
      </c>
      <c r="C2043" s="1" t="str">
        <f>"08726488"</f>
        <v>08726488</v>
      </c>
      <c r="D2043" s="1" t="s">
        <v>186</v>
      </c>
      <c r="F2043" s="1" t="str">
        <f>"8017"</f>
        <v>8017</v>
      </c>
      <c r="G2043" s="2">
        <v>41894.0</v>
      </c>
      <c r="H2043" s="1">
        <v>377500.0</v>
      </c>
      <c r="I2043" s="1">
        <v>101.0</v>
      </c>
      <c r="J2043" s="1">
        <v>359650.0</v>
      </c>
      <c r="K2043" s="2">
        <v>41949.0</v>
      </c>
      <c r="L2043" s="1">
        <v>56.0</v>
      </c>
      <c r="M2043" s="2">
        <v>41949.0</v>
      </c>
      <c r="N2043" s="1" t="s">
        <v>187</v>
      </c>
      <c r="O2043" s="2">
        <v>41995.0</v>
      </c>
      <c r="P2043" s="1">
        <v>178300.0</v>
      </c>
      <c r="Q2043" s="1">
        <v>13691.0</v>
      </c>
      <c r="S2043" s="1">
        <v>3314.0</v>
      </c>
      <c r="T2043" s="1" t="s">
        <v>12270</v>
      </c>
      <c r="U2043" s="1" t="s">
        <v>189</v>
      </c>
      <c r="V2043" s="1" t="s">
        <v>190</v>
      </c>
      <c r="W2043" s="1">
        <v>60634.0</v>
      </c>
      <c r="Y2043" s="1" t="s">
        <v>19382</v>
      </c>
      <c r="Z2043" s="1">
        <v>1950.0</v>
      </c>
      <c r="AA2043" s="1" t="s">
        <v>192</v>
      </c>
      <c r="AB2043" s="1" t="s">
        <v>193</v>
      </c>
      <c r="AD2043" s="1" t="s">
        <v>194</v>
      </c>
      <c r="AE2043" s="1" t="s">
        <v>195</v>
      </c>
      <c r="AF2043" s="1" t="s">
        <v>196</v>
      </c>
      <c r="AH2043" s="1">
        <v>4750.0</v>
      </c>
      <c r="AK2043" s="1">
        <v>9.0</v>
      </c>
      <c r="AL2043" s="1">
        <v>4.0</v>
      </c>
      <c r="AM2043" s="1">
        <v>4.0</v>
      </c>
      <c r="AN2043" s="1">
        <v>0.0</v>
      </c>
      <c r="AO2043" s="1" t="s">
        <v>198</v>
      </c>
      <c r="AQ2043" s="1" t="s">
        <v>198</v>
      </c>
      <c r="AR2043" s="1" t="s">
        <v>200</v>
      </c>
      <c r="AS2043" s="1" t="s">
        <v>199</v>
      </c>
      <c r="AT2043" s="1">
        <v>2.0</v>
      </c>
      <c r="AV2043" s="1" t="s">
        <v>200</v>
      </c>
      <c r="AW2043" s="1">
        <v>4449.79</v>
      </c>
      <c r="AX2043" s="1">
        <v>2013.0</v>
      </c>
      <c r="AY2043" s="1" t="s">
        <v>229</v>
      </c>
      <c r="AZ2043" s="1" t="s">
        <v>200</v>
      </c>
      <c r="BA2043" s="1" t="str">
        <f>"12244200240000"</f>
        <v>12244200240000</v>
      </c>
      <c r="BC2043" s="1">
        <v>2100.0</v>
      </c>
      <c r="BD2043" s="1">
        <v>350000.0</v>
      </c>
      <c r="BE2043" s="2">
        <v>41894.0</v>
      </c>
      <c r="BF2043" s="2" t="s">
        <v>19383</v>
      </c>
      <c r="BH2043" s="1">
        <v>0.0</v>
      </c>
      <c r="BK2043" s="1" t="s">
        <v>204</v>
      </c>
      <c r="BL2043" s="1" t="str">
        <f>"3314"</f>
        <v>3314</v>
      </c>
      <c r="BM2043" s="1" t="str">
        <f>"0"</f>
        <v>0</v>
      </c>
      <c r="BN2043" s="1">
        <v>7400.0</v>
      </c>
      <c r="BO2043" s="1">
        <v>0.0</v>
      </c>
      <c r="BQ2043" s="1">
        <v>299.0</v>
      </c>
      <c r="BR2043" s="1">
        <v>299.0</v>
      </c>
      <c r="BS2043" s="1">
        <v>299.0</v>
      </c>
      <c r="BU2043" s="1" t="s">
        <v>1117</v>
      </c>
      <c r="BV2043" s="1" t="s">
        <v>206</v>
      </c>
      <c r="BW2043" s="1" t="s">
        <v>207</v>
      </c>
      <c r="BY2043" s="1" t="s">
        <v>208</v>
      </c>
      <c r="BZ2043" s="1" t="s">
        <v>209</v>
      </c>
      <c r="CA2043" s="1" t="s">
        <v>207</v>
      </c>
      <c r="CC2043" s="1" t="s">
        <v>495</v>
      </c>
      <c r="CD2043" s="1" t="s">
        <v>206</v>
      </c>
      <c r="CE2043" s="1" t="s">
        <v>207</v>
      </c>
      <c r="CG2043" s="1" t="s">
        <v>584</v>
      </c>
      <c r="CH2043" s="1" t="s">
        <v>209</v>
      </c>
      <c r="CI2043" s="1" t="s">
        <v>207</v>
      </c>
      <c r="CK2043" s="1" t="s">
        <v>495</v>
      </c>
      <c r="CL2043" s="1" t="s">
        <v>206</v>
      </c>
      <c r="CM2043" s="1" t="s">
        <v>207</v>
      </c>
      <c r="CO2043" s="1" t="s">
        <v>663</v>
      </c>
      <c r="CP2043" s="1" t="s">
        <v>206</v>
      </c>
      <c r="CQ2043" s="1" t="s">
        <v>207</v>
      </c>
      <c r="CS2043" s="1" t="s">
        <v>211</v>
      </c>
      <c r="CT2043" s="1" t="s">
        <v>206</v>
      </c>
      <c r="CU2043" s="1" t="s">
        <v>207</v>
      </c>
      <c r="CW2043" s="1" t="s">
        <v>19384</v>
      </c>
      <c r="CX2043" s="1" t="s">
        <v>42</v>
      </c>
      <c r="CY2043" s="1" t="s">
        <v>1136</v>
      </c>
      <c r="DA2043" s="1" t="s">
        <v>200</v>
      </c>
      <c r="DC2043" s="1" t="s">
        <v>702</v>
      </c>
      <c r="DD2043" s="1" t="s">
        <v>731</v>
      </c>
      <c r="DE2043" s="1" t="s">
        <v>273</v>
      </c>
      <c r="DF2043" s="1" t="s">
        <v>219</v>
      </c>
      <c r="DH2043" s="1" t="s">
        <v>307</v>
      </c>
      <c r="DI2043" s="1" t="s">
        <v>732</v>
      </c>
      <c r="DJ2043" s="1" t="s">
        <v>222</v>
      </c>
      <c r="DL2043" s="1" t="s">
        <v>224</v>
      </c>
      <c r="DM2043" s="1" t="s">
        <v>229</v>
      </c>
      <c r="DP2043" s="1" t="s">
        <v>340</v>
      </c>
      <c r="DQ2043" s="1" t="s">
        <v>228</v>
      </c>
      <c r="DR2043" s="1" t="s">
        <v>229</v>
      </c>
      <c r="DS2043" s="1" t="s">
        <v>591</v>
      </c>
      <c r="DV2043" s="1" t="s">
        <v>1729</v>
      </c>
      <c r="DW2043" s="1" t="s">
        <v>279</v>
      </c>
      <c r="DX2043" s="1" t="s">
        <v>234</v>
      </c>
      <c r="DZ2043" s="1" t="s">
        <v>310</v>
      </c>
      <c r="EC2043" s="1" t="s">
        <v>237</v>
      </c>
      <c r="EG2043" s="1" t="s">
        <v>1729</v>
      </c>
      <c r="EL2043" s="1" t="s">
        <v>300</v>
      </c>
      <c r="EM2043" s="1" t="s">
        <v>209</v>
      </c>
      <c r="EN2043" s="1" t="s">
        <v>207</v>
      </c>
      <c r="EQ2043" s="1" t="s">
        <v>238</v>
      </c>
      <c r="EU2043" s="1" t="s">
        <v>238</v>
      </c>
      <c r="EY2043" s="1" t="s">
        <v>238</v>
      </c>
      <c r="FC2043" s="1" t="s">
        <v>238</v>
      </c>
      <c r="FF2043" s="1" t="s">
        <v>239</v>
      </c>
      <c r="FG2043" s="1" t="s">
        <v>192</v>
      </c>
      <c r="FH2043" s="1" t="s">
        <v>192</v>
      </c>
      <c r="FJ2043" s="1" t="s">
        <v>19385</v>
      </c>
      <c r="FK2043" s="1" t="s">
        <v>229</v>
      </c>
      <c r="FL2043" s="1" t="s">
        <v>5642</v>
      </c>
      <c r="FM2043" s="1">
        <v>15391.0</v>
      </c>
      <c r="FN2043" s="1" t="s">
        <v>5643</v>
      </c>
      <c r="FO2043" s="1" t="s">
        <v>19386</v>
      </c>
      <c r="FP2043" s="1">
        <v>174726.0</v>
      </c>
      <c r="FQ2043" s="1" t="s">
        <v>19387</v>
      </c>
      <c r="FU2043" s="1" t="s">
        <v>19388</v>
      </c>
      <c r="FV2043" s="1" t="s">
        <v>200</v>
      </c>
      <c r="FW2043" s="1" t="s">
        <v>654</v>
      </c>
      <c r="FX2043" s="1" t="s">
        <v>238</v>
      </c>
      <c r="FZ2043" s="1" t="s">
        <v>229</v>
      </c>
      <c r="GA2043" s="1" t="s">
        <v>291</v>
      </c>
      <c r="GB2043" s="2">
        <v>42009.0</v>
      </c>
      <c r="GC2043" s="1" t="s">
        <v>19389</v>
      </c>
    </row>
    <row r="2044">
      <c r="A2044" s="1">
        <v>360000.0</v>
      </c>
      <c r="B2044" s="1" t="s">
        <v>185</v>
      </c>
      <c r="C2044" s="1" t="str">
        <f>"08734858"</f>
        <v>08734858</v>
      </c>
      <c r="D2044" s="1" t="s">
        <v>186</v>
      </c>
      <c r="F2044" s="1" t="str">
        <f>"510"</f>
        <v>510</v>
      </c>
      <c r="G2044" s="2">
        <v>41904.0</v>
      </c>
      <c r="H2044" s="1">
        <v>392000.0</v>
      </c>
      <c r="I2044" s="1">
        <v>172.0</v>
      </c>
      <c r="J2044" s="1">
        <v>375000.0</v>
      </c>
      <c r="K2044" s="2">
        <v>42075.0</v>
      </c>
      <c r="L2044" s="1">
        <v>172.0</v>
      </c>
      <c r="M2044" s="2">
        <v>42075.0</v>
      </c>
      <c r="N2044" s="1" t="s">
        <v>187</v>
      </c>
      <c r="O2044" s="2">
        <v>42123.0</v>
      </c>
      <c r="P2044" s="1">
        <v>178813.0</v>
      </c>
      <c r="Q2044" s="1">
        <v>17758.0</v>
      </c>
      <c r="S2044" s="1">
        <v>1624.0</v>
      </c>
      <c r="T2044" s="1" t="s">
        <v>3933</v>
      </c>
      <c r="U2044" s="1" t="s">
        <v>569</v>
      </c>
      <c r="V2044" s="1" t="s">
        <v>2700</v>
      </c>
      <c r="W2044" s="1">
        <v>60510.0</v>
      </c>
      <c r="Y2044" s="1" t="s">
        <v>19390</v>
      </c>
      <c r="Z2044" s="1">
        <v>1992.0</v>
      </c>
      <c r="AA2044" s="1" t="s">
        <v>200</v>
      </c>
      <c r="AB2044" s="1" t="s">
        <v>193</v>
      </c>
      <c r="AC2044" s="1" t="s">
        <v>14278</v>
      </c>
      <c r="AD2044" s="1" t="s">
        <v>2702</v>
      </c>
      <c r="AE2044" s="1" t="s">
        <v>325</v>
      </c>
      <c r="AF2044" s="1" t="s">
        <v>2702</v>
      </c>
      <c r="AH2044" s="1" t="s">
        <v>19391</v>
      </c>
      <c r="AI2044" s="1">
        <v>0.33</v>
      </c>
      <c r="AK2044" s="1">
        <v>8.0</v>
      </c>
      <c r="AL2044" s="1">
        <v>4.0</v>
      </c>
      <c r="AM2044" s="1">
        <v>3.0</v>
      </c>
      <c r="AN2044" s="1">
        <v>0.0</v>
      </c>
      <c r="AO2044" s="1" t="s">
        <v>198</v>
      </c>
      <c r="AP2044" s="1">
        <v>1.0</v>
      </c>
      <c r="AQ2044" s="1" t="s">
        <v>472</v>
      </c>
      <c r="AR2044" s="1" t="s">
        <v>200</v>
      </c>
      <c r="AS2044" s="1" t="s">
        <v>199</v>
      </c>
      <c r="AT2044" s="1">
        <v>3.0</v>
      </c>
      <c r="AV2044" s="1" t="s">
        <v>200</v>
      </c>
      <c r="AW2044" s="1">
        <v>9865.0</v>
      </c>
      <c r="AX2044" s="1">
        <v>2013.0</v>
      </c>
      <c r="AY2044" s="1" t="s">
        <v>229</v>
      </c>
      <c r="AZ2044" s="1" t="s">
        <v>200</v>
      </c>
      <c r="BA2044" s="1" t="str">
        <f>"1227478007"</f>
        <v>1227478007</v>
      </c>
      <c r="BC2044" s="1">
        <v>2616.0</v>
      </c>
      <c r="BD2044" s="1">
        <v>360000.0</v>
      </c>
      <c r="BE2044" s="2">
        <v>41904.0</v>
      </c>
      <c r="BF2044" s="2" t="s">
        <v>19392</v>
      </c>
      <c r="BG2044" s="1" t="s">
        <v>6796</v>
      </c>
      <c r="BH2044" s="1">
        <v>0.0</v>
      </c>
      <c r="BI2044" s="1" t="s">
        <v>3090</v>
      </c>
      <c r="BJ2044" s="1" t="s">
        <v>3091</v>
      </c>
      <c r="BK2044" s="1" t="s">
        <v>204</v>
      </c>
      <c r="BL2044" s="1" t="str">
        <f t="shared" ref="BL2044:BM2044" si="1345">""</f>
        <v/>
      </c>
      <c r="BM2044" s="1" t="str">
        <f t="shared" si="1345"/>
        <v/>
      </c>
      <c r="BQ2044" s="1">
        <v>101.0</v>
      </c>
      <c r="BR2044" s="1">
        <v>101.0</v>
      </c>
      <c r="BS2044" s="1">
        <v>101.0</v>
      </c>
      <c r="BU2044" s="1" t="s">
        <v>390</v>
      </c>
      <c r="BV2044" s="1" t="s">
        <v>206</v>
      </c>
      <c r="BW2044" s="1" t="s">
        <v>207</v>
      </c>
      <c r="BY2044" s="1" t="s">
        <v>784</v>
      </c>
      <c r="BZ2044" s="1" t="s">
        <v>209</v>
      </c>
      <c r="CA2044" s="1" t="s">
        <v>210</v>
      </c>
      <c r="CC2044" s="1" t="s">
        <v>433</v>
      </c>
      <c r="CD2044" s="1" t="s">
        <v>206</v>
      </c>
      <c r="CE2044" s="1" t="s">
        <v>207</v>
      </c>
      <c r="CG2044" s="1" t="s">
        <v>332</v>
      </c>
      <c r="CH2044" s="1" t="s">
        <v>209</v>
      </c>
      <c r="CI2044" s="1" t="s">
        <v>210</v>
      </c>
      <c r="CK2044" s="1" t="s">
        <v>495</v>
      </c>
      <c r="CL2044" s="1" t="s">
        <v>209</v>
      </c>
      <c r="CM2044" s="1" t="s">
        <v>210</v>
      </c>
      <c r="CO2044" s="1" t="s">
        <v>495</v>
      </c>
      <c r="CP2044" s="1" t="s">
        <v>209</v>
      </c>
      <c r="CQ2044" s="1" t="s">
        <v>210</v>
      </c>
      <c r="CS2044" s="1" t="s">
        <v>1378</v>
      </c>
      <c r="CT2044" s="1" t="s">
        <v>206</v>
      </c>
      <c r="CU2044" s="1" t="s">
        <v>207</v>
      </c>
      <c r="CW2044" s="1" t="s">
        <v>782</v>
      </c>
      <c r="CX2044" s="1" t="s">
        <v>206</v>
      </c>
      <c r="CY2044" s="1" t="s">
        <v>210</v>
      </c>
      <c r="DA2044" s="1" t="s">
        <v>200</v>
      </c>
      <c r="DC2044" s="1" t="s">
        <v>435</v>
      </c>
      <c r="DD2044" s="1" t="s">
        <v>272</v>
      </c>
      <c r="DE2044" s="1" t="s">
        <v>273</v>
      </c>
      <c r="DF2044" s="1" t="s">
        <v>219</v>
      </c>
      <c r="DG2044" s="1" t="s">
        <v>482</v>
      </c>
      <c r="DH2044" s="1" t="s">
        <v>220</v>
      </c>
      <c r="DI2044" s="1" t="s">
        <v>1813</v>
      </c>
      <c r="DJ2044" s="1" t="s">
        <v>222</v>
      </c>
      <c r="DL2044" s="1" t="s">
        <v>223</v>
      </c>
      <c r="DM2044" s="1" t="s">
        <v>229</v>
      </c>
      <c r="DN2044" s="1" t="s">
        <v>3293</v>
      </c>
      <c r="DO2044" s="1" t="s">
        <v>1556</v>
      </c>
      <c r="DP2044" s="1" t="s">
        <v>340</v>
      </c>
      <c r="DQ2044" s="1" t="s">
        <v>441</v>
      </c>
      <c r="DR2044" s="1" t="s">
        <v>229</v>
      </c>
      <c r="DS2044" s="1" t="s">
        <v>368</v>
      </c>
      <c r="DU2044" s="1" t="s">
        <v>2222</v>
      </c>
      <c r="DV2044" s="1" t="s">
        <v>232</v>
      </c>
      <c r="DW2044" s="1" t="s">
        <v>764</v>
      </c>
      <c r="DX2044" s="1" t="s">
        <v>234</v>
      </c>
      <c r="DY2044" s="1" t="s">
        <v>7470</v>
      </c>
      <c r="DZ2044" s="1" t="s">
        <v>310</v>
      </c>
      <c r="EA2044" s="1" t="s">
        <v>344</v>
      </c>
      <c r="EB2044" s="1" t="s">
        <v>345</v>
      </c>
      <c r="EC2044" s="1" t="s">
        <v>237</v>
      </c>
      <c r="ED2044" s="1" t="s">
        <v>407</v>
      </c>
      <c r="EM2044" s="1" t="s">
        <v>238</v>
      </c>
      <c r="EQ2044" s="1" t="s">
        <v>238</v>
      </c>
      <c r="EU2044" s="1" t="s">
        <v>238</v>
      </c>
      <c r="EY2044" s="1" t="s">
        <v>238</v>
      </c>
      <c r="FC2044" s="1" t="s">
        <v>238</v>
      </c>
      <c r="FF2044" s="1" t="s">
        <v>239</v>
      </c>
      <c r="FG2044" s="1" t="s">
        <v>192</v>
      </c>
      <c r="FH2044" s="1" t="s">
        <v>192</v>
      </c>
      <c r="FJ2044" s="1" t="s">
        <v>2206</v>
      </c>
      <c r="FK2044" s="1" t="s">
        <v>229</v>
      </c>
      <c r="FL2044" s="1" t="s">
        <v>893</v>
      </c>
      <c r="FM2044" s="1">
        <v>604.0</v>
      </c>
      <c r="FN2044" s="1" t="s">
        <v>894</v>
      </c>
      <c r="FO2044" s="1" t="s">
        <v>2207</v>
      </c>
      <c r="FP2044" s="1">
        <v>681.0</v>
      </c>
      <c r="FQ2044" s="1" t="s">
        <v>2208</v>
      </c>
      <c r="FR2044" s="1">
        <v>824.0</v>
      </c>
      <c r="FS2044" s="1" t="s">
        <v>2209</v>
      </c>
      <c r="FU2044" s="1" t="s">
        <v>19393</v>
      </c>
      <c r="FV2044" s="1" t="s">
        <v>200</v>
      </c>
      <c r="FW2044" s="1" t="s">
        <v>530</v>
      </c>
      <c r="FZ2044" s="1" t="s">
        <v>229</v>
      </c>
      <c r="GA2044" s="1" t="s">
        <v>291</v>
      </c>
      <c r="GB2044" s="2">
        <v>42123.0</v>
      </c>
    </row>
    <row r="2045">
      <c r="A2045" s="1">
        <v>131000.0</v>
      </c>
      <c r="B2045" s="1" t="s">
        <v>185</v>
      </c>
      <c r="C2045" s="1" t="str">
        <f>"08725983"</f>
        <v>08725983</v>
      </c>
      <c r="D2045" s="1" t="s">
        <v>186</v>
      </c>
      <c r="F2045" s="1" t="str">
        <f>"8056"</f>
        <v>8056</v>
      </c>
      <c r="G2045" s="2">
        <v>41893.0</v>
      </c>
      <c r="H2045" s="1">
        <v>125000.0</v>
      </c>
      <c r="I2045" s="1">
        <v>50.0</v>
      </c>
      <c r="J2045" s="1">
        <v>125000.0</v>
      </c>
      <c r="K2045" s="2">
        <v>41942.0</v>
      </c>
      <c r="L2045" s="1">
        <v>50.0</v>
      </c>
      <c r="M2045" s="2">
        <v>41942.0</v>
      </c>
      <c r="N2045" s="1" t="s">
        <v>249</v>
      </c>
      <c r="O2045" s="2">
        <v>42086.0</v>
      </c>
      <c r="P2045" s="1">
        <v>153399.0</v>
      </c>
      <c r="Q2045" s="1">
        <v>12555.0</v>
      </c>
      <c r="S2045" s="1">
        <v>4904.0</v>
      </c>
      <c r="T2045" s="1" t="s">
        <v>9487</v>
      </c>
      <c r="U2045" s="1" t="s">
        <v>189</v>
      </c>
      <c r="V2045" s="1" t="s">
        <v>190</v>
      </c>
      <c r="W2045" s="1">
        <v>60638.0</v>
      </c>
      <c r="Y2045" s="1" t="s">
        <v>19394</v>
      </c>
      <c r="Z2045" s="1">
        <v>1956.0</v>
      </c>
      <c r="AA2045" s="1" t="s">
        <v>192</v>
      </c>
      <c r="AB2045" s="1" t="s">
        <v>193</v>
      </c>
      <c r="AD2045" s="1" t="s">
        <v>194</v>
      </c>
      <c r="AE2045" s="1" t="s">
        <v>195</v>
      </c>
      <c r="AF2045" s="1" t="s">
        <v>659</v>
      </c>
      <c r="AH2045" s="1">
        <v>3780.0</v>
      </c>
      <c r="AK2045" s="1">
        <v>8.0</v>
      </c>
      <c r="AL2045" s="1">
        <v>2.0</v>
      </c>
      <c r="AM2045" s="1">
        <v>2.0</v>
      </c>
      <c r="AN2045" s="1">
        <v>0.0</v>
      </c>
      <c r="AO2045" s="1" t="s">
        <v>229</v>
      </c>
      <c r="AQ2045" s="1" t="s">
        <v>198</v>
      </c>
      <c r="AR2045" s="1" t="s">
        <v>192</v>
      </c>
      <c r="AS2045" s="1" t="s">
        <v>199</v>
      </c>
      <c r="AT2045" s="1">
        <v>2.0</v>
      </c>
      <c r="AV2045" s="1" t="s">
        <v>200</v>
      </c>
      <c r="AW2045" s="1">
        <v>2053.29</v>
      </c>
      <c r="AX2045" s="1">
        <v>2013.0</v>
      </c>
      <c r="AY2045" s="1" t="s">
        <v>387</v>
      </c>
      <c r="AZ2045" s="1" t="s">
        <v>200</v>
      </c>
      <c r="BA2045" s="1" t="str">
        <f>"19092220550000"</f>
        <v>19092220550000</v>
      </c>
      <c r="BB2045" s="1" t="s">
        <v>192</v>
      </c>
      <c r="BC2045" s="1">
        <v>3780.0</v>
      </c>
      <c r="BD2045" s="1">
        <v>131000.0</v>
      </c>
      <c r="BE2045" s="2">
        <v>41893.0</v>
      </c>
      <c r="BF2045" s="1" t="s">
        <v>19395</v>
      </c>
      <c r="BH2045" s="1">
        <v>0.0</v>
      </c>
      <c r="BK2045" s="1" t="s">
        <v>204</v>
      </c>
      <c r="BL2045" s="1" t="str">
        <f t="shared" ref="BL2045:BM2045" si="1346">"0"</f>
        <v>0</v>
      </c>
      <c r="BM2045" s="1" t="str">
        <f t="shared" si="1346"/>
        <v>0</v>
      </c>
      <c r="BN2045" s="1">
        <v>4832.0</v>
      </c>
      <c r="BO2045" s="1">
        <v>4904.0</v>
      </c>
      <c r="BQ2045" s="1">
        <v>299.0</v>
      </c>
      <c r="BR2045" s="1">
        <v>299.0</v>
      </c>
      <c r="BS2045" s="1">
        <v>299.0</v>
      </c>
      <c r="BU2045" s="1" t="s">
        <v>331</v>
      </c>
      <c r="BV2045" s="1" t="s">
        <v>206</v>
      </c>
      <c r="BW2045" s="1" t="s">
        <v>207</v>
      </c>
      <c r="BY2045" s="1" t="s">
        <v>303</v>
      </c>
      <c r="BZ2045" s="1" t="s">
        <v>206</v>
      </c>
      <c r="CA2045" s="1" t="s">
        <v>207</v>
      </c>
      <c r="CC2045" s="1" t="s">
        <v>542</v>
      </c>
      <c r="CD2045" s="1" t="s">
        <v>206</v>
      </c>
      <c r="CG2045" s="1" t="s">
        <v>303</v>
      </c>
      <c r="CH2045" s="1" t="s">
        <v>206</v>
      </c>
      <c r="CI2045" s="1" t="s">
        <v>207</v>
      </c>
      <c r="CK2045" s="1" t="s">
        <v>495</v>
      </c>
      <c r="CL2045" s="1" t="s">
        <v>42</v>
      </c>
      <c r="CO2045" s="1" t="s">
        <v>3182</v>
      </c>
      <c r="CP2045" s="1" t="s">
        <v>42</v>
      </c>
      <c r="CS2045" s="1" t="s">
        <v>212</v>
      </c>
      <c r="CT2045" s="1" t="s">
        <v>206</v>
      </c>
      <c r="CU2045" s="1" t="s">
        <v>588</v>
      </c>
      <c r="CX2045" s="1" t="s">
        <v>204</v>
      </c>
      <c r="DA2045" s="1" t="s">
        <v>200</v>
      </c>
      <c r="DC2045" s="1" t="s">
        <v>271</v>
      </c>
      <c r="DE2045" s="1" t="s">
        <v>273</v>
      </c>
      <c r="DF2045" s="1" t="s">
        <v>219</v>
      </c>
      <c r="DH2045" s="1" t="s">
        <v>365</v>
      </c>
      <c r="DJ2045" s="1" t="s">
        <v>222</v>
      </c>
      <c r="DL2045" s="1" t="s">
        <v>858</v>
      </c>
      <c r="DM2045" s="1" t="s">
        <v>229</v>
      </c>
      <c r="DO2045" s="1" t="s">
        <v>549</v>
      </c>
      <c r="DQ2045" s="1" t="s">
        <v>228</v>
      </c>
      <c r="DR2045" s="1" t="s">
        <v>229</v>
      </c>
      <c r="DV2045" s="1" t="s">
        <v>1407</v>
      </c>
      <c r="DW2045" s="1" t="s">
        <v>279</v>
      </c>
      <c r="DX2045" s="1" t="s">
        <v>309</v>
      </c>
      <c r="EC2045" s="1" t="s">
        <v>311</v>
      </c>
      <c r="EJ2045" s="1" t="s">
        <v>1407</v>
      </c>
      <c r="EM2045" s="1" t="s">
        <v>238</v>
      </c>
      <c r="EQ2045" s="1" t="s">
        <v>238</v>
      </c>
      <c r="EU2045" s="1" t="s">
        <v>238</v>
      </c>
      <c r="EX2045" s="1" t="s">
        <v>212</v>
      </c>
      <c r="EY2045" s="1" t="s">
        <v>42</v>
      </c>
      <c r="EZ2045" s="1" t="s">
        <v>617</v>
      </c>
      <c r="FC2045" s="1" t="s">
        <v>238</v>
      </c>
      <c r="FF2045" s="1" t="s">
        <v>239</v>
      </c>
      <c r="FG2045" s="1" t="s">
        <v>192</v>
      </c>
      <c r="FH2045" s="1" t="s">
        <v>192</v>
      </c>
      <c r="FJ2045" s="1" t="s">
        <v>14173</v>
      </c>
      <c r="FK2045" s="1" t="s">
        <v>1586</v>
      </c>
      <c r="FL2045" s="1" t="s">
        <v>19396</v>
      </c>
      <c r="FM2045" s="1">
        <v>85917.0</v>
      </c>
      <c r="FN2045" s="1" t="s">
        <v>19397</v>
      </c>
      <c r="FO2045" s="1" t="s">
        <v>19398</v>
      </c>
      <c r="FP2045" s="1">
        <v>167109.0</v>
      </c>
      <c r="FQ2045" s="1" t="s">
        <v>19399</v>
      </c>
      <c r="FU2045" s="1" t="s">
        <v>19400</v>
      </c>
      <c r="FV2045" s="1" t="s">
        <v>200</v>
      </c>
      <c r="FW2045" s="1" t="s">
        <v>631</v>
      </c>
      <c r="FX2045" s="1" t="s">
        <v>655</v>
      </c>
      <c r="FZ2045" s="1" t="s">
        <v>229</v>
      </c>
      <c r="GA2045" s="1" t="s">
        <v>291</v>
      </c>
      <c r="GB2045" s="2">
        <v>42086.0</v>
      </c>
      <c r="GC2045" s="1" t="s">
        <v>19401</v>
      </c>
    </row>
    <row r="2046">
      <c r="A2046" s="1">
        <v>717500.0</v>
      </c>
      <c r="B2046" s="1" t="s">
        <v>185</v>
      </c>
      <c r="C2046" s="1" t="str">
        <f>"08728714"</f>
        <v>08728714</v>
      </c>
      <c r="D2046" s="1" t="s">
        <v>186</v>
      </c>
      <c r="F2046" s="1" t="str">
        <f>"8024"</f>
        <v>8024</v>
      </c>
      <c r="G2046" s="2">
        <v>41897.0</v>
      </c>
      <c r="H2046" s="1">
        <v>745000.0</v>
      </c>
      <c r="I2046" s="1">
        <v>52.0</v>
      </c>
      <c r="J2046" s="1">
        <v>745000.0</v>
      </c>
      <c r="K2046" s="2">
        <v>41948.0</v>
      </c>
      <c r="L2046" s="1">
        <v>52.0</v>
      </c>
      <c r="M2046" s="2">
        <v>41948.0</v>
      </c>
      <c r="N2046" s="1" t="s">
        <v>187</v>
      </c>
      <c r="O2046" s="2">
        <v>41984.0</v>
      </c>
      <c r="P2046" s="1">
        <v>108098.0</v>
      </c>
      <c r="Q2046" s="1">
        <v>10317.0</v>
      </c>
      <c r="S2046" s="1">
        <v>1726.0</v>
      </c>
      <c r="T2046" s="1" t="s">
        <v>1422</v>
      </c>
      <c r="U2046" s="1" t="s">
        <v>189</v>
      </c>
      <c r="V2046" s="1" t="s">
        <v>190</v>
      </c>
      <c r="W2046" s="1">
        <v>60647.0</v>
      </c>
      <c r="Y2046" s="1" t="s">
        <v>19402</v>
      </c>
      <c r="Z2046" s="1">
        <v>2004.0</v>
      </c>
      <c r="AA2046" s="1" t="s">
        <v>200</v>
      </c>
      <c r="AB2046" s="1" t="s">
        <v>193</v>
      </c>
      <c r="AD2046" s="1" t="s">
        <v>194</v>
      </c>
      <c r="AE2046" s="1" t="s">
        <v>195</v>
      </c>
      <c r="AF2046" s="1" t="s">
        <v>2645</v>
      </c>
      <c r="AH2046" s="1" t="s">
        <v>741</v>
      </c>
      <c r="AK2046" s="1">
        <v>9.0</v>
      </c>
      <c r="AL2046" s="1">
        <v>4.0</v>
      </c>
      <c r="AM2046" s="1">
        <v>3.0</v>
      </c>
      <c r="AN2046" s="1">
        <v>1.0</v>
      </c>
      <c r="AO2046" s="1" t="s">
        <v>198</v>
      </c>
      <c r="AP2046" s="1">
        <v>1.0</v>
      </c>
      <c r="AQ2046" s="1" t="s">
        <v>472</v>
      </c>
      <c r="AR2046" s="1" t="s">
        <v>192</v>
      </c>
      <c r="AS2046" s="1" t="s">
        <v>199</v>
      </c>
      <c r="AT2046" s="1">
        <v>2.0</v>
      </c>
      <c r="AV2046" s="1" t="s">
        <v>200</v>
      </c>
      <c r="AW2046" s="1">
        <v>9529.14</v>
      </c>
      <c r="AX2046" s="1">
        <v>2013.0</v>
      </c>
      <c r="AY2046" s="1" t="s">
        <v>229</v>
      </c>
      <c r="AZ2046" s="1" t="s">
        <v>200</v>
      </c>
      <c r="BA2046" s="1" t="str">
        <f>"13364210240000"</f>
        <v>13364210240000</v>
      </c>
      <c r="BB2046" s="1" t="s">
        <v>200</v>
      </c>
      <c r="BC2046" s="1">
        <v>0.0</v>
      </c>
      <c r="BD2046" s="1">
        <v>717500.0</v>
      </c>
      <c r="BE2046" s="2">
        <v>41897.0</v>
      </c>
      <c r="BF2046" s="2" t="s">
        <v>19403</v>
      </c>
      <c r="BG2046" s="1" t="s">
        <v>19404</v>
      </c>
      <c r="BH2046" s="1">
        <v>0.0</v>
      </c>
      <c r="BJ2046" s="1" t="s">
        <v>13909</v>
      </c>
      <c r="BK2046" s="1" t="s">
        <v>204</v>
      </c>
      <c r="BL2046" s="1" t="str">
        <f>"1737"</f>
        <v>1737</v>
      </c>
      <c r="BM2046" s="1" t="str">
        <f>"0"</f>
        <v>0</v>
      </c>
      <c r="BN2046" s="1">
        <v>2524.0</v>
      </c>
      <c r="BO2046" s="1">
        <v>0.0</v>
      </c>
      <c r="BQ2046" s="1">
        <v>299.0</v>
      </c>
      <c r="BR2046" s="1">
        <v>299.0</v>
      </c>
      <c r="BS2046" s="1">
        <v>299.0</v>
      </c>
      <c r="BU2046" s="1" t="s">
        <v>390</v>
      </c>
      <c r="BV2046" s="1" t="s">
        <v>206</v>
      </c>
      <c r="BW2046" s="1" t="s">
        <v>207</v>
      </c>
      <c r="BY2046" s="1" t="s">
        <v>1044</v>
      </c>
      <c r="BZ2046" s="1" t="s">
        <v>209</v>
      </c>
      <c r="CA2046" s="1" t="s">
        <v>207</v>
      </c>
      <c r="CC2046" s="1" t="s">
        <v>331</v>
      </c>
      <c r="CD2046" s="1" t="s">
        <v>206</v>
      </c>
      <c r="CE2046" s="1" t="s">
        <v>207</v>
      </c>
      <c r="CG2046" s="1" t="s">
        <v>1426</v>
      </c>
      <c r="CH2046" s="1" t="s">
        <v>209</v>
      </c>
      <c r="CI2046" s="1" t="s">
        <v>210</v>
      </c>
      <c r="CK2046" s="1" t="s">
        <v>497</v>
      </c>
      <c r="CL2046" s="1" t="s">
        <v>209</v>
      </c>
      <c r="CM2046" s="1" t="s">
        <v>210</v>
      </c>
      <c r="CO2046" s="1" t="s">
        <v>497</v>
      </c>
      <c r="CP2046" s="1" t="s">
        <v>267</v>
      </c>
      <c r="CQ2046" s="1" t="s">
        <v>210</v>
      </c>
      <c r="CS2046" s="1" t="s">
        <v>302</v>
      </c>
      <c r="CT2046" s="1" t="s">
        <v>206</v>
      </c>
      <c r="CU2046" s="1" t="s">
        <v>207</v>
      </c>
      <c r="CW2046" s="1" t="s">
        <v>480</v>
      </c>
      <c r="CX2046" s="1" t="s">
        <v>206</v>
      </c>
      <c r="CY2046" s="1" t="s">
        <v>207</v>
      </c>
      <c r="DA2046" s="1" t="s">
        <v>200</v>
      </c>
      <c r="DC2046" s="1" t="s">
        <v>481</v>
      </c>
      <c r="DD2046" s="1" t="s">
        <v>731</v>
      </c>
      <c r="DE2046" s="1" t="s">
        <v>273</v>
      </c>
      <c r="DF2046" s="1" t="s">
        <v>219</v>
      </c>
      <c r="DH2046" s="1" t="s">
        <v>365</v>
      </c>
      <c r="DI2046" s="1" t="s">
        <v>1141</v>
      </c>
      <c r="DJ2046" s="1" t="s">
        <v>222</v>
      </c>
      <c r="DK2046" s="1" t="s">
        <v>12372</v>
      </c>
      <c r="DL2046" s="1" t="s">
        <v>1161</v>
      </c>
      <c r="DM2046" s="1" t="s">
        <v>229</v>
      </c>
      <c r="DN2046" s="1" t="s">
        <v>399</v>
      </c>
      <c r="DO2046" s="1" t="s">
        <v>549</v>
      </c>
      <c r="DP2046" s="1" t="s">
        <v>276</v>
      </c>
      <c r="DQ2046" s="1" t="s">
        <v>718</v>
      </c>
      <c r="DR2046" s="1" t="s">
        <v>229</v>
      </c>
      <c r="DS2046" s="1" t="s">
        <v>230</v>
      </c>
      <c r="DU2046" s="1" t="s">
        <v>6284</v>
      </c>
      <c r="DV2046" s="1" t="s">
        <v>19405</v>
      </c>
      <c r="DW2046" s="1" t="s">
        <v>1145</v>
      </c>
      <c r="DX2046" s="1" t="s">
        <v>234</v>
      </c>
      <c r="DY2046" s="1" t="s">
        <v>19406</v>
      </c>
      <c r="DZ2046" s="1" t="s">
        <v>966</v>
      </c>
      <c r="EA2046" s="1" t="s">
        <v>344</v>
      </c>
      <c r="EB2046" s="1" t="s">
        <v>937</v>
      </c>
      <c r="EC2046" s="1" t="s">
        <v>237</v>
      </c>
      <c r="ED2046" s="1" t="s">
        <v>407</v>
      </c>
      <c r="EE2046" s="1" t="s">
        <v>187</v>
      </c>
      <c r="EG2046" s="1" t="s">
        <v>408</v>
      </c>
      <c r="EH2046" s="1" t="s">
        <v>409</v>
      </c>
      <c r="EI2046" s="1" t="s">
        <v>450</v>
      </c>
      <c r="EJ2046" s="1" t="s">
        <v>409</v>
      </c>
      <c r="EK2046" s="1" t="s">
        <v>968</v>
      </c>
      <c r="EL2046" s="1" t="s">
        <v>7821</v>
      </c>
      <c r="EM2046" s="1" t="s">
        <v>206</v>
      </c>
      <c r="EN2046" s="1" t="s">
        <v>207</v>
      </c>
      <c r="EP2046" s="1" t="s">
        <v>4904</v>
      </c>
      <c r="EQ2046" s="1" t="s">
        <v>209</v>
      </c>
      <c r="ET2046" s="1" t="s">
        <v>7412</v>
      </c>
      <c r="EU2046" s="1" t="s">
        <v>267</v>
      </c>
      <c r="EV2046" s="1" t="s">
        <v>210</v>
      </c>
      <c r="EX2046" s="1" t="s">
        <v>4904</v>
      </c>
      <c r="EY2046" s="1" t="s">
        <v>209</v>
      </c>
      <c r="FB2046" s="1" t="s">
        <v>13981</v>
      </c>
      <c r="FC2046" s="1" t="s">
        <v>209</v>
      </c>
      <c r="FF2046" s="1" t="s">
        <v>239</v>
      </c>
      <c r="FG2046" s="1" t="s">
        <v>192</v>
      </c>
      <c r="FH2046" s="1" t="s">
        <v>192</v>
      </c>
      <c r="FJ2046" s="1" t="s">
        <v>561</v>
      </c>
      <c r="FK2046" s="1" t="s">
        <v>229</v>
      </c>
      <c r="FL2046" s="1" t="s">
        <v>562</v>
      </c>
      <c r="FM2046" s="1">
        <v>16379.0</v>
      </c>
      <c r="FN2046" s="1" t="s">
        <v>563</v>
      </c>
      <c r="FO2046" s="1" t="s">
        <v>9204</v>
      </c>
      <c r="FP2046" s="1">
        <v>155485.0</v>
      </c>
      <c r="FQ2046" s="1" t="s">
        <v>9205</v>
      </c>
      <c r="FT2046" s="1" t="s">
        <v>6367</v>
      </c>
      <c r="FU2046" s="1" t="s">
        <v>19407</v>
      </c>
      <c r="FV2046" s="1" t="s">
        <v>200</v>
      </c>
      <c r="FW2046" s="1" t="s">
        <v>290</v>
      </c>
      <c r="FX2046" s="1" t="s">
        <v>238</v>
      </c>
      <c r="FZ2046" s="1" t="s">
        <v>229</v>
      </c>
      <c r="GA2046" s="1" t="s">
        <v>291</v>
      </c>
      <c r="GB2046" s="2">
        <v>41985.0</v>
      </c>
      <c r="GC2046" s="1" t="s">
        <v>19408</v>
      </c>
    </row>
    <row r="2047">
      <c r="A2047" s="1">
        <v>218000.0</v>
      </c>
      <c r="B2047" s="1" t="s">
        <v>185</v>
      </c>
      <c r="C2047" s="1" t="str">
        <f>"08728687"</f>
        <v>08728687</v>
      </c>
      <c r="D2047" s="1" t="s">
        <v>186</v>
      </c>
      <c r="F2047" s="1" t="str">
        <f>"151"</f>
        <v>151</v>
      </c>
      <c r="G2047" s="2">
        <v>41897.0</v>
      </c>
      <c r="H2047" s="1">
        <v>224900.0</v>
      </c>
      <c r="I2047" s="1">
        <v>6.0</v>
      </c>
      <c r="J2047" s="1">
        <v>224900.0</v>
      </c>
      <c r="K2047" s="2">
        <v>41902.0</v>
      </c>
      <c r="L2047" s="1">
        <v>6.0</v>
      </c>
      <c r="M2047" s="2">
        <v>41902.0</v>
      </c>
      <c r="N2047" s="1" t="s">
        <v>187</v>
      </c>
      <c r="O2047" s="2">
        <v>41974.0</v>
      </c>
      <c r="P2047" s="1">
        <v>242768.0</v>
      </c>
      <c r="Q2047" s="1">
        <v>25769.0</v>
      </c>
      <c r="S2047" s="1" t="s">
        <v>19409</v>
      </c>
      <c r="T2047" s="1" t="s">
        <v>19410</v>
      </c>
      <c r="U2047" s="1" t="s">
        <v>569</v>
      </c>
      <c r="V2047" s="1" t="s">
        <v>8905</v>
      </c>
      <c r="W2047" s="1">
        <v>60151.0</v>
      </c>
      <c r="Y2047" s="1" t="s">
        <v>19411</v>
      </c>
      <c r="Z2047" s="1">
        <v>1980.0</v>
      </c>
      <c r="AA2047" s="1" t="s">
        <v>200</v>
      </c>
      <c r="AB2047" s="1" t="s">
        <v>193</v>
      </c>
      <c r="AC2047" s="1" t="s">
        <v>19412</v>
      </c>
      <c r="AD2047" s="1" t="s">
        <v>1089</v>
      </c>
      <c r="AE2047" s="1" t="s">
        <v>325</v>
      </c>
      <c r="AF2047" s="1" t="s">
        <v>1632</v>
      </c>
      <c r="AH2047" s="1" t="s">
        <v>19413</v>
      </c>
      <c r="AI2047" s="1">
        <v>1.0</v>
      </c>
      <c r="AK2047" s="1">
        <v>8.0</v>
      </c>
      <c r="AL2047" s="1">
        <v>4.0</v>
      </c>
      <c r="AM2047" s="1">
        <v>2.0</v>
      </c>
      <c r="AN2047" s="1">
        <v>0.0</v>
      </c>
      <c r="AO2047" s="1" t="s">
        <v>229</v>
      </c>
      <c r="AP2047" s="1">
        <v>1.0</v>
      </c>
      <c r="AQ2047" s="1" t="s">
        <v>472</v>
      </c>
      <c r="AR2047" s="1" t="s">
        <v>192</v>
      </c>
      <c r="AS2047" s="1" t="s">
        <v>199</v>
      </c>
      <c r="AT2047" s="1">
        <v>2.0</v>
      </c>
      <c r="AV2047" s="1" t="s">
        <v>200</v>
      </c>
      <c r="AW2047" s="1">
        <v>7071.64</v>
      </c>
      <c r="AX2047" s="1">
        <v>2013.0</v>
      </c>
      <c r="AY2047" s="1" t="s">
        <v>387</v>
      </c>
      <c r="AZ2047" s="1" t="s">
        <v>200</v>
      </c>
      <c r="BA2047" s="1" t="str">
        <f>"0818302009"</f>
        <v>0818302009</v>
      </c>
      <c r="BC2047" s="1">
        <v>0.0</v>
      </c>
      <c r="BD2047" s="1">
        <v>218000.0</v>
      </c>
      <c r="BE2047" s="2">
        <v>41897.0</v>
      </c>
      <c r="BF2047" s="2" t="s">
        <v>19414</v>
      </c>
      <c r="BH2047" s="1">
        <v>0.0</v>
      </c>
      <c r="BK2047" s="1" t="s">
        <v>204</v>
      </c>
      <c r="BL2047" s="1" t="str">
        <f>"5"</f>
        <v>5</v>
      </c>
      <c r="BM2047" s="1" t="str">
        <f>""</f>
        <v/>
      </c>
      <c r="BN2047" s="1">
        <v>44.0</v>
      </c>
      <c r="BQ2047" s="1">
        <v>301.0</v>
      </c>
      <c r="BR2047" s="1">
        <v>301.0</v>
      </c>
      <c r="BS2047" s="1">
        <v>301.0</v>
      </c>
      <c r="BU2047" s="1" t="s">
        <v>390</v>
      </c>
      <c r="BV2047" s="1" t="s">
        <v>206</v>
      </c>
      <c r="BW2047" s="1" t="s">
        <v>301</v>
      </c>
      <c r="BX2047" s="1" t="s">
        <v>239</v>
      </c>
      <c r="BY2047" s="1" t="s">
        <v>331</v>
      </c>
      <c r="BZ2047" s="1" t="s">
        <v>206</v>
      </c>
      <c r="CA2047" s="1" t="s">
        <v>210</v>
      </c>
      <c r="CB2047" s="1" t="s">
        <v>239</v>
      </c>
      <c r="CC2047" s="1" t="s">
        <v>264</v>
      </c>
      <c r="CD2047" s="1" t="s">
        <v>206</v>
      </c>
      <c r="CE2047" s="1" t="s">
        <v>301</v>
      </c>
      <c r="CF2047" s="1" t="s">
        <v>239</v>
      </c>
      <c r="CG2047" s="1" t="s">
        <v>264</v>
      </c>
      <c r="CH2047" s="1" t="s">
        <v>206</v>
      </c>
      <c r="CI2047" s="1" t="s">
        <v>210</v>
      </c>
      <c r="CJ2047" s="1" t="s">
        <v>239</v>
      </c>
      <c r="CK2047" s="1" t="s">
        <v>212</v>
      </c>
      <c r="CL2047" s="1" t="s">
        <v>267</v>
      </c>
      <c r="CM2047" s="1" t="s">
        <v>210</v>
      </c>
      <c r="CN2047" s="1" t="s">
        <v>239</v>
      </c>
      <c r="CO2047" s="1" t="s">
        <v>495</v>
      </c>
      <c r="CP2047" s="1" t="s">
        <v>267</v>
      </c>
      <c r="CQ2047" s="1" t="s">
        <v>210</v>
      </c>
      <c r="CR2047" s="1" t="s">
        <v>239</v>
      </c>
      <c r="CS2047" s="1" t="s">
        <v>212</v>
      </c>
      <c r="CT2047" s="1" t="s">
        <v>206</v>
      </c>
      <c r="CU2047" s="1" t="s">
        <v>301</v>
      </c>
      <c r="CV2047" s="1" t="s">
        <v>239</v>
      </c>
      <c r="CW2047" s="1" t="s">
        <v>2130</v>
      </c>
      <c r="CX2047" s="1" t="s">
        <v>267</v>
      </c>
      <c r="CY2047" s="1" t="s">
        <v>210</v>
      </c>
      <c r="CZ2047" s="1" t="s">
        <v>239</v>
      </c>
      <c r="DA2047" s="1" t="s">
        <v>200</v>
      </c>
      <c r="DC2047" s="1" t="s">
        <v>395</v>
      </c>
      <c r="DD2047" s="1" t="s">
        <v>679</v>
      </c>
      <c r="DE2047" s="1" t="s">
        <v>273</v>
      </c>
      <c r="DF2047" s="1" t="s">
        <v>219</v>
      </c>
      <c r="DH2047" s="1" t="s">
        <v>856</v>
      </c>
      <c r="DI2047" s="1" t="s">
        <v>703</v>
      </c>
      <c r="DJ2047" s="1" t="s">
        <v>857</v>
      </c>
      <c r="DL2047" s="1" t="s">
        <v>224</v>
      </c>
      <c r="DM2047" s="1" t="s">
        <v>229</v>
      </c>
      <c r="DP2047" s="1" t="s">
        <v>340</v>
      </c>
      <c r="DQ2047" s="1" t="s">
        <v>931</v>
      </c>
      <c r="DR2047" s="1" t="s">
        <v>229</v>
      </c>
      <c r="DU2047" s="1" t="s">
        <v>3097</v>
      </c>
      <c r="DV2047" s="1" t="s">
        <v>232</v>
      </c>
      <c r="DW2047" s="1" t="s">
        <v>964</v>
      </c>
      <c r="DX2047" s="1" t="s">
        <v>234</v>
      </c>
      <c r="DY2047" s="1" t="s">
        <v>861</v>
      </c>
      <c r="DZ2047" s="1" t="s">
        <v>766</v>
      </c>
      <c r="EA2047" s="1" t="s">
        <v>1302</v>
      </c>
      <c r="EB2047" s="1" t="s">
        <v>345</v>
      </c>
      <c r="EC2047" s="1" t="s">
        <v>311</v>
      </c>
      <c r="ED2047" s="1" t="s">
        <v>407</v>
      </c>
      <c r="EM2047" s="1" t="s">
        <v>238</v>
      </c>
      <c r="EQ2047" s="1" t="s">
        <v>238</v>
      </c>
      <c r="EU2047" s="1" t="s">
        <v>238</v>
      </c>
      <c r="EY2047" s="1" t="s">
        <v>238</v>
      </c>
      <c r="FC2047" s="1" t="s">
        <v>238</v>
      </c>
      <c r="FF2047" s="1" t="s">
        <v>239</v>
      </c>
      <c r="FG2047" s="1" t="s">
        <v>192</v>
      </c>
      <c r="FH2047" s="1" t="s">
        <v>192</v>
      </c>
      <c r="FJ2047" s="1" t="s">
        <v>524</v>
      </c>
      <c r="FK2047" s="1" t="s">
        <v>348</v>
      </c>
      <c r="FL2047" s="1" t="s">
        <v>1212</v>
      </c>
      <c r="FM2047" s="1">
        <v>30.0</v>
      </c>
      <c r="FN2047" s="1" t="s">
        <v>1213</v>
      </c>
      <c r="FO2047" s="1" t="s">
        <v>9584</v>
      </c>
      <c r="FP2047" s="1">
        <v>1550.0</v>
      </c>
      <c r="FQ2047" s="1" t="s">
        <v>9585</v>
      </c>
      <c r="FS2047" s="1" t="s">
        <v>9586</v>
      </c>
      <c r="FU2047" s="1" t="s">
        <v>910</v>
      </c>
      <c r="FV2047" s="1" t="s">
        <v>200</v>
      </c>
      <c r="FW2047" s="1" t="s">
        <v>461</v>
      </c>
      <c r="FZ2047" s="1" t="s">
        <v>229</v>
      </c>
      <c r="GA2047" s="1" t="s">
        <v>291</v>
      </c>
      <c r="GB2047" s="2">
        <v>41975.0</v>
      </c>
      <c r="GC2047" s="1" t="s">
        <v>19415</v>
      </c>
    </row>
    <row r="2048">
      <c r="A2048" s="1">
        <v>204000.0</v>
      </c>
      <c r="B2048" s="1" t="s">
        <v>185</v>
      </c>
      <c r="C2048" s="1" t="str">
        <f>"08728870"</f>
        <v>08728870</v>
      </c>
      <c r="D2048" s="1" t="s">
        <v>186</v>
      </c>
      <c r="F2048" s="1" t="str">
        <f>"8019"</f>
        <v>8019</v>
      </c>
      <c r="G2048" s="2">
        <v>41897.0</v>
      </c>
      <c r="H2048" s="1">
        <v>215000.0</v>
      </c>
      <c r="I2048" s="1">
        <v>92.0</v>
      </c>
      <c r="J2048" s="1">
        <v>215000.0</v>
      </c>
      <c r="K2048" s="2">
        <v>41906.0</v>
      </c>
      <c r="L2048" s="1">
        <v>10.0</v>
      </c>
      <c r="M2048" s="2">
        <v>41906.0</v>
      </c>
      <c r="N2048" s="1" t="s">
        <v>187</v>
      </c>
      <c r="O2048" s="2">
        <v>41976.0</v>
      </c>
      <c r="P2048" s="1">
        <v>105852.0</v>
      </c>
      <c r="Q2048" s="1">
        <v>12820.0</v>
      </c>
      <c r="S2048" s="1">
        <v>6243.0</v>
      </c>
      <c r="T2048" s="1" t="s">
        <v>19416</v>
      </c>
      <c r="U2048" s="1" t="s">
        <v>189</v>
      </c>
      <c r="V2048" s="1" t="s">
        <v>190</v>
      </c>
      <c r="W2048" s="1">
        <v>60639.0</v>
      </c>
      <c r="Y2048" s="1" t="s">
        <v>19417</v>
      </c>
      <c r="Z2048" s="1">
        <v>1957.0</v>
      </c>
      <c r="AA2048" s="1" t="s">
        <v>192</v>
      </c>
      <c r="AB2048" s="1" t="s">
        <v>193</v>
      </c>
      <c r="AD2048" s="1" t="s">
        <v>194</v>
      </c>
      <c r="AE2048" s="1" t="s">
        <v>195</v>
      </c>
      <c r="AF2048" s="1" t="s">
        <v>196</v>
      </c>
      <c r="AH2048" s="1" t="s">
        <v>359</v>
      </c>
      <c r="AK2048" s="1">
        <v>9.0</v>
      </c>
      <c r="AL2048" s="1">
        <v>3.0</v>
      </c>
      <c r="AM2048" s="1">
        <v>2.0</v>
      </c>
      <c r="AN2048" s="1">
        <v>0.0</v>
      </c>
      <c r="AO2048" s="1" t="s">
        <v>229</v>
      </c>
      <c r="AQ2048" s="1" t="s">
        <v>198</v>
      </c>
      <c r="AR2048" s="1" t="s">
        <v>192</v>
      </c>
      <c r="AS2048" s="1" t="s">
        <v>199</v>
      </c>
      <c r="AT2048" s="1">
        <v>2.0</v>
      </c>
      <c r="AV2048" s="1" t="s">
        <v>200</v>
      </c>
      <c r="AW2048" s="1">
        <v>3142.29</v>
      </c>
      <c r="AX2048" s="1">
        <v>2013.0</v>
      </c>
      <c r="AZ2048" s="1" t="s">
        <v>545</v>
      </c>
      <c r="BA2048" s="1" t="str">
        <f>"13321120070000"</f>
        <v>13321120070000</v>
      </c>
      <c r="BC2048" s="1">
        <v>975.0</v>
      </c>
      <c r="BD2048" s="1">
        <v>204000.0</v>
      </c>
      <c r="BE2048" s="2">
        <v>41897.0</v>
      </c>
      <c r="BF2048" s="2" t="s">
        <v>19418</v>
      </c>
      <c r="BH2048" s="1">
        <v>0.0</v>
      </c>
      <c r="BK2048" s="1" t="s">
        <v>204</v>
      </c>
      <c r="BL2048" s="1" t="str">
        <f>"2300"</f>
        <v>2300</v>
      </c>
      <c r="BM2048" s="1" t="str">
        <f>"0"</f>
        <v>0</v>
      </c>
      <c r="BN2048" s="1">
        <v>6243.0</v>
      </c>
      <c r="BO2048" s="1">
        <v>0.0</v>
      </c>
      <c r="BQ2048" s="1">
        <v>299.0</v>
      </c>
      <c r="BR2048" s="1">
        <v>299.0</v>
      </c>
      <c r="BS2048" s="1">
        <v>299.0</v>
      </c>
      <c r="BU2048" s="1" t="s">
        <v>1426</v>
      </c>
      <c r="BV2048" s="1" t="s">
        <v>206</v>
      </c>
      <c r="BW2048" s="1" t="s">
        <v>207</v>
      </c>
      <c r="BY2048" s="1" t="s">
        <v>264</v>
      </c>
      <c r="BZ2048" s="1" t="s">
        <v>206</v>
      </c>
      <c r="CA2048" s="1" t="s">
        <v>207</v>
      </c>
      <c r="CC2048" s="1" t="s">
        <v>542</v>
      </c>
      <c r="CD2048" s="1" t="s">
        <v>206</v>
      </c>
      <c r="CG2048" s="1" t="s">
        <v>264</v>
      </c>
      <c r="CH2048" s="1" t="s">
        <v>206</v>
      </c>
      <c r="CI2048" s="1" t="s">
        <v>207</v>
      </c>
      <c r="CK2048" s="1" t="s">
        <v>264</v>
      </c>
      <c r="CL2048" s="1" t="s">
        <v>206</v>
      </c>
      <c r="CM2048" s="1" t="s">
        <v>207</v>
      </c>
      <c r="CO2048" s="1" t="s">
        <v>699</v>
      </c>
      <c r="CP2048" s="1" t="s">
        <v>42</v>
      </c>
      <c r="CS2048" s="1" t="s">
        <v>2461</v>
      </c>
      <c r="CT2048" s="1" t="s">
        <v>206</v>
      </c>
      <c r="CX2048" s="1" t="s">
        <v>204</v>
      </c>
      <c r="DA2048" s="1" t="s">
        <v>200</v>
      </c>
      <c r="DC2048" s="1" t="s">
        <v>271</v>
      </c>
      <c r="DE2048" s="1" t="s">
        <v>273</v>
      </c>
      <c r="DF2048" s="1" t="s">
        <v>219</v>
      </c>
      <c r="DH2048" s="1" t="s">
        <v>365</v>
      </c>
      <c r="DJ2048" s="1" t="s">
        <v>222</v>
      </c>
      <c r="DL2048" s="1" t="s">
        <v>224</v>
      </c>
      <c r="DM2048" s="1" t="s">
        <v>229</v>
      </c>
      <c r="DQ2048" s="1" t="s">
        <v>718</v>
      </c>
      <c r="DR2048" s="1" t="s">
        <v>229</v>
      </c>
      <c r="DV2048" s="1" t="s">
        <v>18260</v>
      </c>
      <c r="DW2048" s="1" t="s">
        <v>279</v>
      </c>
      <c r="DX2048" s="1" t="s">
        <v>234</v>
      </c>
      <c r="EC2048" s="1" t="s">
        <v>685</v>
      </c>
      <c r="EG2048" s="1" t="s">
        <v>450</v>
      </c>
      <c r="EH2048" s="1" t="s">
        <v>1407</v>
      </c>
      <c r="EL2048" s="1" t="s">
        <v>1623</v>
      </c>
      <c r="EM2048" s="1" t="s">
        <v>42</v>
      </c>
      <c r="EP2048" s="1" t="s">
        <v>1746</v>
      </c>
      <c r="EQ2048" s="1" t="s">
        <v>42</v>
      </c>
      <c r="EU2048" s="1" t="s">
        <v>238</v>
      </c>
      <c r="EY2048" s="1" t="s">
        <v>238</v>
      </c>
      <c r="FC2048" s="1" t="s">
        <v>238</v>
      </c>
      <c r="FF2048" s="1" t="s">
        <v>239</v>
      </c>
      <c r="FG2048" s="1" t="s">
        <v>192</v>
      </c>
      <c r="FH2048" s="1" t="s">
        <v>192</v>
      </c>
      <c r="FJ2048" s="1" t="s">
        <v>14653</v>
      </c>
      <c r="FK2048" s="1" t="s">
        <v>229</v>
      </c>
      <c r="FL2048" s="1" t="s">
        <v>5383</v>
      </c>
      <c r="FM2048" s="1">
        <v>15904.0</v>
      </c>
      <c r="FN2048" s="1" t="s">
        <v>5384</v>
      </c>
      <c r="FO2048" s="1" t="s">
        <v>19419</v>
      </c>
      <c r="FP2048" s="1">
        <v>116817.0</v>
      </c>
      <c r="FQ2048" s="1" t="s">
        <v>19420</v>
      </c>
      <c r="FU2048" s="1" t="s">
        <v>19421</v>
      </c>
      <c r="FV2048" s="1" t="s">
        <v>200</v>
      </c>
      <c r="FW2048" s="1" t="s">
        <v>290</v>
      </c>
      <c r="FX2048" s="1" t="s">
        <v>246</v>
      </c>
      <c r="FZ2048" s="1" t="s">
        <v>229</v>
      </c>
      <c r="GA2048" s="1" t="s">
        <v>291</v>
      </c>
      <c r="GB2048" s="2">
        <v>41978.0</v>
      </c>
      <c r="GC2048" s="1" t="s">
        <v>19422</v>
      </c>
    </row>
    <row r="2049">
      <c r="A2049" s="1">
        <v>296500.0</v>
      </c>
      <c r="B2049" s="1" t="s">
        <v>185</v>
      </c>
      <c r="C2049" s="1" t="str">
        <f>"08732488"</f>
        <v>08732488</v>
      </c>
      <c r="D2049" s="1" t="s">
        <v>186</v>
      </c>
      <c r="F2049" s="1" t="str">
        <f>"134"</f>
        <v>134</v>
      </c>
      <c r="G2049" s="2">
        <v>41901.0</v>
      </c>
      <c r="H2049" s="1">
        <v>329900.0</v>
      </c>
      <c r="I2049" s="1">
        <v>154.0</v>
      </c>
      <c r="J2049" s="1">
        <v>304900.0</v>
      </c>
      <c r="K2049" s="2">
        <v>42053.0</v>
      </c>
      <c r="L2049" s="1">
        <v>154.0</v>
      </c>
      <c r="M2049" s="2">
        <v>42053.0</v>
      </c>
      <c r="N2049" s="1" t="s">
        <v>187</v>
      </c>
      <c r="O2049" s="2">
        <v>42107.0</v>
      </c>
      <c r="P2049" s="1">
        <v>243937.0</v>
      </c>
      <c r="Q2049" s="1">
        <v>22029.0</v>
      </c>
      <c r="S2049" s="1" t="s">
        <v>19423</v>
      </c>
      <c r="T2049" s="1" t="s">
        <v>19424</v>
      </c>
      <c r="U2049" s="1" t="s">
        <v>7404</v>
      </c>
      <c r="V2049" s="1" t="s">
        <v>421</v>
      </c>
      <c r="W2049" s="1">
        <v>60134.0</v>
      </c>
      <c r="Y2049" s="1" t="s">
        <v>19425</v>
      </c>
      <c r="Z2049" s="1">
        <v>2000.0</v>
      </c>
      <c r="AA2049" s="1" t="s">
        <v>200</v>
      </c>
      <c r="AB2049" s="1" t="s">
        <v>193</v>
      </c>
      <c r="AC2049" s="1" t="s">
        <v>1596</v>
      </c>
      <c r="AD2049" s="1" t="s">
        <v>1089</v>
      </c>
      <c r="AE2049" s="1" t="s">
        <v>325</v>
      </c>
      <c r="AF2049" s="1" t="s">
        <v>1479</v>
      </c>
      <c r="AG2049" s="1" t="s">
        <v>7604</v>
      </c>
      <c r="AH2049" s="1" t="s">
        <v>19426</v>
      </c>
      <c r="AI2049" s="1">
        <v>0.4</v>
      </c>
      <c r="AK2049" s="1">
        <v>10.0</v>
      </c>
      <c r="AL2049" s="1">
        <v>4.0</v>
      </c>
      <c r="AM2049" s="1">
        <v>3.0</v>
      </c>
      <c r="AN2049" s="1">
        <v>1.0</v>
      </c>
      <c r="AO2049" s="1" t="s">
        <v>198</v>
      </c>
      <c r="AP2049" s="1">
        <v>1.0</v>
      </c>
      <c r="AQ2049" s="1" t="s">
        <v>472</v>
      </c>
      <c r="AR2049" s="1" t="s">
        <v>192</v>
      </c>
      <c r="AS2049" s="1" t="s">
        <v>199</v>
      </c>
      <c r="AT2049" s="1">
        <v>2.0</v>
      </c>
      <c r="AV2049" s="1" t="s">
        <v>192</v>
      </c>
      <c r="AW2049" s="1">
        <v>9699.0</v>
      </c>
      <c r="AX2049" s="1">
        <v>2013.0</v>
      </c>
      <c r="AY2049" s="1" t="s">
        <v>229</v>
      </c>
      <c r="AZ2049" s="1" t="s">
        <v>192</v>
      </c>
      <c r="BA2049" s="1" t="str">
        <f>"1124228006"</f>
        <v>1124228006</v>
      </c>
      <c r="BB2049" s="1" t="s">
        <v>200</v>
      </c>
      <c r="BC2049" s="1">
        <v>3000.0</v>
      </c>
      <c r="BD2049" s="1">
        <v>296500.0</v>
      </c>
      <c r="BE2049" s="2">
        <v>41900.0</v>
      </c>
      <c r="BF2049" s="2" t="s">
        <v>19427</v>
      </c>
      <c r="BH2049" s="1">
        <v>0.0</v>
      </c>
      <c r="BI2049" s="1" t="s">
        <v>3090</v>
      </c>
      <c r="BJ2049" s="1" t="s">
        <v>3091</v>
      </c>
      <c r="BK2049" s="1" t="s">
        <v>204</v>
      </c>
      <c r="BL2049" s="1" t="str">
        <f t="shared" ref="BL2049:BM2049" si="1347">"0"</f>
        <v>0</v>
      </c>
      <c r="BM2049" s="1" t="str">
        <f t="shared" si="1347"/>
        <v>0</v>
      </c>
      <c r="BN2049" s="1">
        <v>39.0</v>
      </c>
      <c r="BO2049" s="1">
        <v>1.0</v>
      </c>
      <c r="BQ2049" s="1">
        <v>101.0</v>
      </c>
      <c r="BR2049" s="1">
        <v>101.0</v>
      </c>
      <c r="BS2049" s="1">
        <v>101.0</v>
      </c>
      <c r="BU2049" s="1" t="s">
        <v>212</v>
      </c>
      <c r="BV2049" s="1" t="s">
        <v>206</v>
      </c>
      <c r="BW2049" s="1" t="s">
        <v>207</v>
      </c>
      <c r="BX2049" s="1" t="s">
        <v>239</v>
      </c>
      <c r="BY2049" s="1" t="s">
        <v>260</v>
      </c>
      <c r="BZ2049" s="1" t="s">
        <v>209</v>
      </c>
      <c r="CA2049" s="1" t="s">
        <v>210</v>
      </c>
      <c r="CB2049" s="1" t="s">
        <v>239</v>
      </c>
      <c r="CC2049" s="1" t="s">
        <v>433</v>
      </c>
      <c r="CD2049" s="1" t="s">
        <v>206</v>
      </c>
      <c r="CE2049" s="1" t="s">
        <v>207</v>
      </c>
      <c r="CF2049" s="1" t="s">
        <v>239</v>
      </c>
      <c r="CG2049" s="1" t="s">
        <v>392</v>
      </c>
      <c r="CH2049" s="1" t="s">
        <v>209</v>
      </c>
      <c r="CI2049" s="1" t="s">
        <v>210</v>
      </c>
      <c r="CJ2049" s="1" t="s">
        <v>239</v>
      </c>
      <c r="CK2049" s="1" t="s">
        <v>264</v>
      </c>
      <c r="CL2049" s="1" t="s">
        <v>209</v>
      </c>
      <c r="CM2049" s="1" t="s">
        <v>210</v>
      </c>
      <c r="CN2049" s="1" t="s">
        <v>239</v>
      </c>
      <c r="CO2049" s="1" t="s">
        <v>699</v>
      </c>
      <c r="CP2049" s="1" t="s">
        <v>209</v>
      </c>
      <c r="CQ2049" s="1" t="s">
        <v>210</v>
      </c>
      <c r="CR2049" s="1" t="s">
        <v>239</v>
      </c>
      <c r="CS2049" s="1" t="s">
        <v>1891</v>
      </c>
      <c r="CT2049" s="1" t="s">
        <v>206</v>
      </c>
      <c r="CU2049" s="1" t="s">
        <v>207</v>
      </c>
      <c r="CV2049" s="1" t="s">
        <v>239</v>
      </c>
      <c r="CW2049" s="1" t="s">
        <v>854</v>
      </c>
      <c r="CX2049" s="1" t="s">
        <v>206</v>
      </c>
      <c r="CY2049" s="1" t="s">
        <v>210</v>
      </c>
      <c r="CZ2049" s="1" t="s">
        <v>239</v>
      </c>
      <c r="DA2049" s="1" t="s">
        <v>200</v>
      </c>
      <c r="DC2049" s="1" t="s">
        <v>335</v>
      </c>
      <c r="DD2049" s="1" t="s">
        <v>518</v>
      </c>
      <c r="DE2049" s="1" t="s">
        <v>273</v>
      </c>
      <c r="DF2049" s="1" t="s">
        <v>219</v>
      </c>
      <c r="DG2049" s="1" t="s">
        <v>19428</v>
      </c>
      <c r="DH2049" s="1" t="s">
        <v>1603</v>
      </c>
      <c r="DI2049" s="1" t="s">
        <v>703</v>
      </c>
      <c r="DJ2049" s="1" t="s">
        <v>222</v>
      </c>
      <c r="DK2049" s="1" t="s">
        <v>223</v>
      </c>
      <c r="DL2049" s="1" t="s">
        <v>224</v>
      </c>
      <c r="DM2049" s="1" t="s">
        <v>338</v>
      </c>
      <c r="DN2049" s="1" t="s">
        <v>399</v>
      </c>
      <c r="DO2049" s="1" t="s">
        <v>19429</v>
      </c>
      <c r="DP2049" s="1" t="s">
        <v>276</v>
      </c>
      <c r="DQ2049" s="1" t="s">
        <v>441</v>
      </c>
      <c r="DR2049" s="1" t="s">
        <v>229</v>
      </c>
      <c r="DS2049" s="1" t="s">
        <v>230</v>
      </c>
      <c r="DU2049" s="1" t="s">
        <v>4061</v>
      </c>
      <c r="DV2049" s="1" t="s">
        <v>2692</v>
      </c>
      <c r="DW2049" s="1" t="s">
        <v>370</v>
      </c>
      <c r="DX2049" s="1" t="s">
        <v>1287</v>
      </c>
      <c r="DY2049" s="1" t="s">
        <v>1936</v>
      </c>
      <c r="DZ2049" s="1" t="s">
        <v>310</v>
      </c>
      <c r="EA2049" s="1" t="s">
        <v>344</v>
      </c>
      <c r="EB2049" s="1" t="s">
        <v>937</v>
      </c>
      <c r="EC2049" s="1" t="s">
        <v>237</v>
      </c>
      <c r="ED2049" s="1" t="s">
        <v>555</v>
      </c>
      <c r="EG2049" s="1" t="s">
        <v>450</v>
      </c>
      <c r="EH2049" s="1" t="s">
        <v>598</v>
      </c>
      <c r="EL2049" s="1" t="s">
        <v>1535</v>
      </c>
      <c r="EM2049" s="1" t="s">
        <v>267</v>
      </c>
      <c r="EN2049" s="1" t="s">
        <v>210</v>
      </c>
      <c r="EO2049" s="1" t="s">
        <v>239</v>
      </c>
      <c r="EP2049" s="1" t="s">
        <v>269</v>
      </c>
      <c r="EQ2049" s="1" t="s">
        <v>267</v>
      </c>
      <c r="ER2049" s="1" t="s">
        <v>210</v>
      </c>
      <c r="EU2049" s="1" t="s">
        <v>238</v>
      </c>
      <c r="EY2049" s="1" t="s">
        <v>238</v>
      </c>
      <c r="FC2049" s="1" t="s">
        <v>238</v>
      </c>
      <c r="FF2049" s="1" t="s">
        <v>239</v>
      </c>
      <c r="FG2049" s="1" t="s">
        <v>200</v>
      </c>
      <c r="FH2049" s="1" t="s">
        <v>192</v>
      </c>
      <c r="FJ2049" s="1" t="s">
        <v>524</v>
      </c>
      <c r="FK2049" s="1" t="s">
        <v>229</v>
      </c>
      <c r="FL2049" s="1" t="s">
        <v>1212</v>
      </c>
      <c r="FM2049" s="1">
        <v>30.0</v>
      </c>
      <c r="FN2049" s="1" t="s">
        <v>1213</v>
      </c>
      <c r="FO2049" s="1" t="s">
        <v>19430</v>
      </c>
      <c r="FP2049" s="1">
        <v>987.0</v>
      </c>
      <c r="FQ2049" s="1" t="s">
        <v>19431</v>
      </c>
      <c r="FU2049" s="1" t="s">
        <v>19432</v>
      </c>
      <c r="FV2049" s="1" t="s">
        <v>200</v>
      </c>
      <c r="FW2049" s="1" t="s">
        <v>19433</v>
      </c>
      <c r="FZ2049" s="1" t="s">
        <v>229</v>
      </c>
      <c r="GA2049" s="1" t="s">
        <v>291</v>
      </c>
      <c r="GB2049" s="2">
        <v>42110.0</v>
      </c>
      <c r="GC2049" s="1" t="s">
        <v>19434</v>
      </c>
    </row>
    <row r="2050">
      <c r="A2050" s="1">
        <v>285000.0</v>
      </c>
      <c r="B2050" s="1" t="s">
        <v>185</v>
      </c>
      <c r="C2050" s="1" t="str">
        <f>"08735466"</f>
        <v>08735466</v>
      </c>
      <c r="D2050" s="1" t="s">
        <v>186</v>
      </c>
      <c r="F2050" s="1" t="str">
        <f>"123"</f>
        <v>123</v>
      </c>
      <c r="G2050" s="2">
        <v>41905.0</v>
      </c>
      <c r="H2050" s="1">
        <v>299900.0</v>
      </c>
      <c r="I2050" s="1">
        <v>191.0</v>
      </c>
      <c r="J2050" s="1">
        <v>295995.0</v>
      </c>
      <c r="K2050" s="2">
        <v>41936.0</v>
      </c>
      <c r="L2050" s="1">
        <v>32.0</v>
      </c>
      <c r="M2050" s="2">
        <v>41936.0</v>
      </c>
      <c r="N2050" s="1" t="s">
        <v>187</v>
      </c>
      <c r="O2050" s="2">
        <v>42048.0</v>
      </c>
      <c r="P2050" s="1">
        <v>80899.0</v>
      </c>
      <c r="Q2050" s="1">
        <v>8079.0</v>
      </c>
      <c r="S2050" s="1">
        <v>572.0</v>
      </c>
      <c r="T2050" s="1" t="s">
        <v>19435</v>
      </c>
      <c r="U2050" s="1" t="s">
        <v>569</v>
      </c>
      <c r="V2050" s="1" t="s">
        <v>465</v>
      </c>
      <c r="W2050" s="1">
        <v>60124.0</v>
      </c>
      <c r="Y2050" s="1" t="s">
        <v>19436</v>
      </c>
      <c r="Z2050" s="1">
        <v>2007.0</v>
      </c>
      <c r="AA2050" s="1" t="s">
        <v>200</v>
      </c>
      <c r="AB2050" s="1" t="s">
        <v>467</v>
      </c>
      <c r="AC2050" s="1" t="s">
        <v>19437</v>
      </c>
      <c r="AD2050" s="1" t="s">
        <v>469</v>
      </c>
      <c r="AE2050" s="1" t="s">
        <v>325</v>
      </c>
      <c r="AF2050" s="1" t="s">
        <v>469</v>
      </c>
      <c r="AG2050" s="1" t="s">
        <v>19438</v>
      </c>
      <c r="AH2050" s="1" t="s">
        <v>19439</v>
      </c>
      <c r="AI2050" s="1">
        <v>0.23</v>
      </c>
      <c r="AK2050" s="1">
        <v>10.0</v>
      </c>
      <c r="AL2050" s="1">
        <v>4.0</v>
      </c>
      <c r="AM2050" s="1">
        <v>2.0</v>
      </c>
      <c r="AN2050" s="1">
        <v>1.0</v>
      </c>
      <c r="AO2050" s="1" t="s">
        <v>198</v>
      </c>
      <c r="AP2050" s="1">
        <v>1.0</v>
      </c>
      <c r="AQ2050" s="1" t="s">
        <v>472</v>
      </c>
      <c r="AR2050" s="1" t="s">
        <v>200</v>
      </c>
      <c r="AS2050" s="1" t="s">
        <v>199</v>
      </c>
      <c r="AT2050" s="1">
        <v>2.0</v>
      </c>
      <c r="AV2050" s="1" t="s">
        <v>200</v>
      </c>
      <c r="AW2050" s="1">
        <v>9006.76</v>
      </c>
      <c r="AX2050" s="1">
        <v>2013.0</v>
      </c>
      <c r="AY2050" s="1" t="s">
        <v>229</v>
      </c>
      <c r="AZ2050" s="1" t="s">
        <v>200</v>
      </c>
      <c r="BA2050" s="1" t="str">
        <f>"0620372018"</f>
        <v>0620372018</v>
      </c>
      <c r="BB2050" s="1" t="s">
        <v>200</v>
      </c>
      <c r="BC2050" s="1">
        <v>3110.0</v>
      </c>
      <c r="BD2050" s="1">
        <v>285000.0</v>
      </c>
      <c r="BE2050" s="2">
        <v>41905.0</v>
      </c>
      <c r="BF2050" s="2" t="s">
        <v>19440</v>
      </c>
      <c r="BH2050" s="1">
        <v>73.0</v>
      </c>
      <c r="BI2050" s="1" t="s">
        <v>578</v>
      </c>
      <c r="BJ2050" s="1" t="s">
        <v>579</v>
      </c>
      <c r="BK2050" s="1" t="s">
        <v>474</v>
      </c>
      <c r="BL2050" s="1" t="str">
        <f t="shared" ref="BL2050:BM2050" si="1348">""</f>
        <v/>
      </c>
      <c r="BM2050" s="1" t="str">
        <f t="shared" si="1348"/>
        <v/>
      </c>
      <c r="BQ2050" s="1">
        <v>301.0</v>
      </c>
      <c r="BR2050" s="1">
        <v>301.0</v>
      </c>
      <c r="BS2050" s="1">
        <v>301.0</v>
      </c>
      <c r="BU2050" s="1" t="s">
        <v>300</v>
      </c>
      <c r="BV2050" s="1" t="s">
        <v>206</v>
      </c>
      <c r="BW2050" s="1" t="s">
        <v>210</v>
      </c>
      <c r="BX2050" s="1" t="s">
        <v>431</v>
      </c>
      <c r="BY2050" s="1" t="s">
        <v>19441</v>
      </c>
      <c r="BZ2050" s="1" t="s">
        <v>209</v>
      </c>
      <c r="CA2050" s="1" t="s">
        <v>210</v>
      </c>
      <c r="CB2050" s="1" t="s">
        <v>431</v>
      </c>
      <c r="CC2050" s="1" t="s">
        <v>212</v>
      </c>
      <c r="CD2050" s="1" t="s">
        <v>206</v>
      </c>
      <c r="CE2050" s="1" t="s">
        <v>210</v>
      </c>
      <c r="CG2050" s="1" t="s">
        <v>2082</v>
      </c>
      <c r="CH2050" s="1" t="s">
        <v>209</v>
      </c>
      <c r="CI2050" s="1" t="s">
        <v>210</v>
      </c>
      <c r="CJ2050" s="1" t="s">
        <v>431</v>
      </c>
      <c r="CK2050" s="1" t="s">
        <v>1190</v>
      </c>
      <c r="CL2050" s="1" t="s">
        <v>209</v>
      </c>
      <c r="CM2050" s="1" t="s">
        <v>210</v>
      </c>
      <c r="CN2050" s="1" t="s">
        <v>431</v>
      </c>
      <c r="CO2050" s="1" t="s">
        <v>1190</v>
      </c>
      <c r="CP2050" s="1" t="s">
        <v>209</v>
      </c>
      <c r="CQ2050" s="1" t="s">
        <v>210</v>
      </c>
      <c r="CR2050" s="1" t="s">
        <v>431</v>
      </c>
      <c r="CS2050" s="1" t="s">
        <v>270</v>
      </c>
      <c r="CT2050" s="1" t="s">
        <v>206</v>
      </c>
      <c r="CU2050" s="1" t="s">
        <v>207</v>
      </c>
      <c r="CW2050" s="1" t="s">
        <v>1350</v>
      </c>
      <c r="CX2050" s="1" t="s">
        <v>206</v>
      </c>
      <c r="CY2050" s="1" t="s">
        <v>210</v>
      </c>
      <c r="CZ2050" s="1" t="s">
        <v>431</v>
      </c>
      <c r="DA2050" s="1" t="s">
        <v>200</v>
      </c>
      <c r="DC2050" s="1" t="s">
        <v>481</v>
      </c>
      <c r="DD2050" s="1" t="s">
        <v>336</v>
      </c>
      <c r="DE2050" s="1" t="s">
        <v>273</v>
      </c>
      <c r="DF2050" s="1" t="s">
        <v>219</v>
      </c>
      <c r="DG2050" s="1" t="s">
        <v>6030</v>
      </c>
      <c r="DH2050" s="1" t="s">
        <v>220</v>
      </c>
      <c r="DI2050" s="1" t="s">
        <v>275</v>
      </c>
      <c r="DJ2050" s="1" t="s">
        <v>1048</v>
      </c>
      <c r="DL2050" s="1" t="s">
        <v>223</v>
      </c>
      <c r="DM2050" s="1" t="s">
        <v>338</v>
      </c>
      <c r="DN2050" s="1" t="s">
        <v>485</v>
      </c>
      <c r="DP2050" s="1" t="s">
        <v>276</v>
      </c>
      <c r="DQ2050" s="1" t="s">
        <v>228</v>
      </c>
      <c r="DR2050" s="1" t="s">
        <v>4273</v>
      </c>
      <c r="DU2050" s="1" t="s">
        <v>278</v>
      </c>
      <c r="DV2050" s="1" t="s">
        <v>15647</v>
      </c>
      <c r="DW2050" s="1" t="s">
        <v>370</v>
      </c>
      <c r="DX2050" s="1" t="s">
        <v>234</v>
      </c>
      <c r="DY2050" s="1" t="s">
        <v>490</v>
      </c>
      <c r="DZ2050" s="1" t="s">
        <v>310</v>
      </c>
      <c r="EB2050" s="1" t="s">
        <v>492</v>
      </c>
      <c r="EC2050" s="1" t="s">
        <v>237</v>
      </c>
      <c r="ED2050" s="1" t="s">
        <v>407</v>
      </c>
      <c r="EG2050" s="1" t="s">
        <v>494</v>
      </c>
      <c r="EH2050" s="1" t="s">
        <v>408</v>
      </c>
      <c r="EI2050" s="1" t="s">
        <v>341</v>
      </c>
      <c r="EL2050" s="1" t="s">
        <v>478</v>
      </c>
      <c r="EM2050" s="1" t="s">
        <v>206</v>
      </c>
      <c r="EN2050" s="1" t="s">
        <v>210</v>
      </c>
      <c r="EO2050" s="1" t="s">
        <v>431</v>
      </c>
      <c r="EP2050" s="1" t="s">
        <v>1329</v>
      </c>
      <c r="EQ2050" s="1" t="s">
        <v>209</v>
      </c>
      <c r="ER2050" s="1" t="s">
        <v>210</v>
      </c>
      <c r="ES2050" s="1" t="s">
        <v>431</v>
      </c>
      <c r="ET2050" s="1" t="s">
        <v>639</v>
      </c>
      <c r="EU2050" s="1" t="s">
        <v>209</v>
      </c>
      <c r="EV2050" s="1" t="s">
        <v>210</v>
      </c>
      <c r="EY2050" s="1" t="s">
        <v>238</v>
      </c>
      <c r="FC2050" s="1" t="s">
        <v>238</v>
      </c>
      <c r="FF2050" s="1" t="s">
        <v>239</v>
      </c>
      <c r="FG2050" s="1" t="s">
        <v>192</v>
      </c>
      <c r="FH2050" s="1" t="s">
        <v>192</v>
      </c>
      <c r="FJ2050" s="1" t="s">
        <v>2133</v>
      </c>
      <c r="FK2050" s="1" t="s">
        <v>1586</v>
      </c>
      <c r="FL2050" s="1" t="s">
        <v>1358</v>
      </c>
      <c r="FM2050" s="1">
        <v>23591.0</v>
      </c>
      <c r="FN2050" s="1" t="s">
        <v>2134</v>
      </c>
      <c r="FO2050" s="1" t="s">
        <v>2135</v>
      </c>
      <c r="FP2050" s="1">
        <v>230500.0</v>
      </c>
      <c r="FQ2050" s="1" t="s">
        <v>2136</v>
      </c>
      <c r="FR2050" s="1">
        <v>239565.0</v>
      </c>
      <c r="FU2050" s="1" t="s">
        <v>19442</v>
      </c>
      <c r="FV2050" s="1" t="s">
        <v>200</v>
      </c>
      <c r="FW2050" s="1" t="s">
        <v>290</v>
      </c>
      <c r="FZ2050" s="1" t="s">
        <v>229</v>
      </c>
      <c r="GA2050" s="1" t="s">
        <v>291</v>
      </c>
      <c r="GB2050" s="2">
        <v>42048.0</v>
      </c>
      <c r="GC2050" s="1" t="s">
        <v>19443</v>
      </c>
    </row>
    <row r="2051">
      <c r="A2051" s="1">
        <v>290000.0</v>
      </c>
      <c r="B2051" s="1" t="s">
        <v>185</v>
      </c>
      <c r="C2051" s="1" t="str">
        <f>"08736977"</f>
        <v>08736977</v>
      </c>
      <c r="D2051" s="1" t="s">
        <v>186</v>
      </c>
      <c r="F2051" s="1" t="str">
        <f>"8017"</f>
        <v>8017</v>
      </c>
      <c r="G2051" s="2">
        <v>41906.0</v>
      </c>
      <c r="H2051" s="1">
        <v>299000.0</v>
      </c>
      <c r="I2051" s="1">
        <v>155.0</v>
      </c>
      <c r="J2051" s="1">
        <v>299000.0</v>
      </c>
      <c r="K2051" s="2">
        <v>42060.0</v>
      </c>
      <c r="L2051" s="1">
        <v>155.0</v>
      </c>
      <c r="M2051" s="2">
        <v>42060.0</v>
      </c>
      <c r="N2051" s="1" t="s">
        <v>356</v>
      </c>
      <c r="O2051" s="2">
        <v>42090.0</v>
      </c>
      <c r="P2051" s="1">
        <v>130216.0</v>
      </c>
      <c r="Q2051" s="1">
        <v>10013.0</v>
      </c>
      <c r="R2051" s="1">
        <v>2100.0</v>
      </c>
      <c r="S2051" s="1">
        <v>3843.0</v>
      </c>
      <c r="T2051" s="1" t="s">
        <v>19444</v>
      </c>
      <c r="U2051" s="1" t="s">
        <v>189</v>
      </c>
      <c r="V2051" s="1" t="s">
        <v>190</v>
      </c>
      <c r="W2051" s="1">
        <v>60634.0</v>
      </c>
      <c r="Y2051" s="1" t="s">
        <v>19445</v>
      </c>
      <c r="Z2051" s="1">
        <v>1927.0</v>
      </c>
      <c r="AA2051" s="1" t="s">
        <v>192</v>
      </c>
      <c r="AB2051" s="1" t="s">
        <v>193</v>
      </c>
      <c r="AD2051" s="1" t="s">
        <v>194</v>
      </c>
      <c r="AE2051" s="1" t="s">
        <v>195</v>
      </c>
      <c r="AF2051" s="1" t="s">
        <v>196</v>
      </c>
      <c r="AG2051" s="1" t="s">
        <v>778</v>
      </c>
      <c r="AH2051" s="1" t="s">
        <v>19446</v>
      </c>
      <c r="AK2051" s="1">
        <v>9.0</v>
      </c>
      <c r="AL2051" s="1">
        <v>4.0</v>
      </c>
      <c r="AM2051" s="1">
        <v>2.0</v>
      </c>
      <c r="AN2051" s="1">
        <v>0.0</v>
      </c>
      <c r="AO2051" s="1" t="s">
        <v>229</v>
      </c>
      <c r="AP2051" s="1">
        <v>0.0</v>
      </c>
      <c r="AQ2051" s="1" t="s">
        <v>198</v>
      </c>
      <c r="AR2051" s="1" t="s">
        <v>192</v>
      </c>
      <c r="AS2051" s="1" t="s">
        <v>199</v>
      </c>
      <c r="AT2051" s="1">
        <v>2.0</v>
      </c>
      <c r="AV2051" s="1" t="s">
        <v>200</v>
      </c>
      <c r="AW2051" s="1">
        <v>2945.0</v>
      </c>
      <c r="AX2051" s="1">
        <v>2013.0</v>
      </c>
      <c r="AY2051" s="1" t="s">
        <v>387</v>
      </c>
      <c r="AZ2051" s="1" t="s">
        <v>200</v>
      </c>
      <c r="BA2051" s="1" t="str">
        <f>"12232140050000"</f>
        <v>12232140050000</v>
      </c>
      <c r="BB2051" s="1" t="s">
        <v>200</v>
      </c>
      <c r="BC2051" s="1">
        <v>1002.0</v>
      </c>
      <c r="BD2051" s="1">
        <v>290000.0</v>
      </c>
      <c r="BE2051" s="2">
        <v>41906.0</v>
      </c>
      <c r="BF2051" s="2" t="s">
        <v>19447</v>
      </c>
      <c r="BH2051" s="1">
        <v>0.0</v>
      </c>
      <c r="BK2051" s="1" t="s">
        <v>204</v>
      </c>
      <c r="BL2051" s="1" t="str">
        <f>"3843"</f>
        <v>3843</v>
      </c>
      <c r="BM2051" s="1" t="str">
        <f>"0"</f>
        <v>0</v>
      </c>
      <c r="BN2051" s="1">
        <v>8100.0</v>
      </c>
      <c r="BO2051" s="1">
        <v>0.0</v>
      </c>
      <c r="BQ2051" s="1">
        <v>299.0</v>
      </c>
      <c r="BR2051" s="1">
        <v>299.0</v>
      </c>
      <c r="BS2051" s="1">
        <v>299.0</v>
      </c>
      <c r="BU2051" s="1" t="s">
        <v>213</v>
      </c>
      <c r="BV2051" s="1" t="s">
        <v>206</v>
      </c>
      <c r="BW2051" s="1" t="s">
        <v>207</v>
      </c>
      <c r="BX2051" s="1" t="s">
        <v>229</v>
      </c>
      <c r="BY2051" s="1" t="s">
        <v>205</v>
      </c>
      <c r="BZ2051" s="1" t="s">
        <v>209</v>
      </c>
      <c r="CA2051" s="1" t="s">
        <v>210</v>
      </c>
      <c r="CB2051" s="1" t="s">
        <v>229</v>
      </c>
      <c r="CC2051" s="1" t="s">
        <v>331</v>
      </c>
      <c r="CD2051" s="1" t="s">
        <v>206</v>
      </c>
      <c r="CE2051" s="1" t="s">
        <v>207</v>
      </c>
      <c r="CG2051" s="1" t="s">
        <v>213</v>
      </c>
      <c r="CH2051" s="1" t="s">
        <v>209</v>
      </c>
      <c r="CI2051" s="1" t="s">
        <v>210</v>
      </c>
      <c r="CK2051" s="1" t="s">
        <v>495</v>
      </c>
      <c r="CL2051" s="1" t="s">
        <v>206</v>
      </c>
      <c r="CM2051" s="1" t="s">
        <v>207</v>
      </c>
      <c r="CO2051" s="1" t="s">
        <v>699</v>
      </c>
      <c r="CP2051" s="1" t="s">
        <v>206</v>
      </c>
      <c r="CQ2051" s="1" t="s">
        <v>207</v>
      </c>
      <c r="CS2051" s="1" t="s">
        <v>332</v>
      </c>
      <c r="CT2051" s="1" t="s">
        <v>206</v>
      </c>
      <c r="CU2051" s="1" t="s">
        <v>207</v>
      </c>
      <c r="CV2051" s="1" t="s">
        <v>229</v>
      </c>
      <c r="CX2051" s="1" t="s">
        <v>204</v>
      </c>
      <c r="DA2051" s="1" t="s">
        <v>200</v>
      </c>
      <c r="DC2051" s="1" t="s">
        <v>785</v>
      </c>
      <c r="DE2051" s="1" t="s">
        <v>273</v>
      </c>
      <c r="DF2051" s="1" t="s">
        <v>219</v>
      </c>
      <c r="DH2051" s="1" t="s">
        <v>365</v>
      </c>
      <c r="DJ2051" s="1" t="s">
        <v>222</v>
      </c>
      <c r="DK2051" s="1" t="s">
        <v>1301</v>
      </c>
      <c r="DL2051" s="1" t="s">
        <v>1161</v>
      </c>
      <c r="DM2051" s="1" t="s">
        <v>225</v>
      </c>
      <c r="DO2051" s="1" t="s">
        <v>549</v>
      </c>
      <c r="DP2051" s="1" t="s">
        <v>340</v>
      </c>
      <c r="DQ2051" s="1" t="s">
        <v>718</v>
      </c>
      <c r="DR2051" s="1" t="s">
        <v>229</v>
      </c>
      <c r="DS2051" s="1" t="s">
        <v>230</v>
      </c>
      <c r="DV2051" s="1" t="s">
        <v>11717</v>
      </c>
      <c r="DW2051" s="1" t="s">
        <v>279</v>
      </c>
      <c r="DX2051" s="1" t="s">
        <v>234</v>
      </c>
      <c r="DY2051" s="1" t="s">
        <v>704</v>
      </c>
      <c r="DZ2051" s="1" t="s">
        <v>1100</v>
      </c>
      <c r="EA2051" s="1" t="s">
        <v>644</v>
      </c>
      <c r="EC2051" s="1" t="s">
        <v>645</v>
      </c>
      <c r="ED2051" s="1" t="s">
        <v>1761</v>
      </c>
      <c r="EE2051" s="1" t="s">
        <v>187</v>
      </c>
      <c r="EG2051" s="1" t="s">
        <v>408</v>
      </c>
      <c r="EH2051" s="1" t="s">
        <v>449</v>
      </c>
      <c r="EK2051" s="1" t="s">
        <v>450</v>
      </c>
      <c r="EL2051" s="1" t="s">
        <v>12606</v>
      </c>
      <c r="EM2051" s="1" t="s">
        <v>206</v>
      </c>
      <c r="EN2051" s="1" t="s">
        <v>207</v>
      </c>
      <c r="EO2051" s="1" t="s">
        <v>229</v>
      </c>
      <c r="EP2051" s="1" t="s">
        <v>6126</v>
      </c>
      <c r="EQ2051" s="1" t="s">
        <v>206</v>
      </c>
      <c r="ER2051" s="1" t="s">
        <v>617</v>
      </c>
      <c r="ES2051" s="1" t="s">
        <v>229</v>
      </c>
      <c r="EU2051" s="1" t="s">
        <v>238</v>
      </c>
      <c r="EY2051" s="1" t="s">
        <v>238</v>
      </c>
      <c r="FB2051" s="1" t="s">
        <v>2059</v>
      </c>
      <c r="FC2051" s="1" t="s">
        <v>42</v>
      </c>
      <c r="FD2051" s="1" t="s">
        <v>617</v>
      </c>
      <c r="FE2051" s="1" t="s">
        <v>229</v>
      </c>
      <c r="FF2051" s="1" t="s">
        <v>239</v>
      </c>
      <c r="FG2051" s="1" t="s">
        <v>192</v>
      </c>
      <c r="FH2051" s="1" t="s">
        <v>200</v>
      </c>
      <c r="FJ2051" s="1" t="s">
        <v>19448</v>
      </c>
      <c r="FK2051" s="1" t="s">
        <v>229</v>
      </c>
      <c r="FL2051" s="1" t="s">
        <v>19449</v>
      </c>
      <c r="FM2051" s="1">
        <v>8380.0</v>
      </c>
      <c r="FN2051" s="1" t="s">
        <v>19450</v>
      </c>
      <c r="FO2051" s="1" t="s">
        <v>19451</v>
      </c>
      <c r="FP2051" s="1">
        <v>88913.0</v>
      </c>
      <c r="FQ2051" s="1" t="s">
        <v>19452</v>
      </c>
      <c r="FU2051" s="1" t="s">
        <v>19453</v>
      </c>
      <c r="FV2051" s="1" t="s">
        <v>200</v>
      </c>
      <c r="FW2051" s="1" t="s">
        <v>19454</v>
      </c>
      <c r="FX2051" s="1" t="s">
        <v>238</v>
      </c>
      <c r="FZ2051" s="1" t="s">
        <v>229</v>
      </c>
      <c r="GA2051" s="1" t="s">
        <v>291</v>
      </c>
      <c r="GB2051" s="2">
        <v>42090.0</v>
      </c>
      <c r="GC2051" s="1" t="s">
        <v>19455</v>
      </c>
    </row>
    <row r="2052">
      <c r="A2052" s="1">
        <v>140500.0</v>
      </c>
      <c r="B2052" s="1" t="s">
        <v>185</v>
      </c>
      <c r="C2052" s="1" t="str">
        <f>"08728956"</f>
        <v>08728956</v>
      </c>
      <c r="D2052" s="1" t="s">
        <v>186</v>
      </c>
      <c r="F2052" s="1" t="str">
        <f>"8066"</f>
        <v>8066</v>
      </c>
      <c r="G2052" s="2">
        <v>41897.0</v>
      </c>
      <c r="H2052" s="1">
        <v>129900.0</v>
      </c>
      <c r="I2052" s="1">
        <v>177.0</v>
      </c>
      <c r="J2052" s="1">
        <v>140500.0</v>
      </c>
      <c r="K2052" s="2">
        <v>42073.0</v>
      </c>
      <c r="L2052" s="1">
        <v>177.0</v>
      </c>
      <c r="M2052" s="2">
        <v>42073.0</v>
      </c>
      <c r="N2052" s="1" t="s">
        <v>356</v>
      </c>
      <c r="O2052" s="2">
        <v>42125.0</v>
      </c>
      <c r="P2052" s="1">
        <v>118642.0</v>
      </c>
      <c r="Q2052" s="1">
        <v>12555.0</v>
      </c>
      <c r="S2052" s="1">
        <v>3530.0</v>
      </c>
      <c r="T2052" s="1" t="s">
        <v>4257</v>
      </c>
      <c r="U2052" s="1" t="s">
        <v>694</v>
      </c>
      <c r="V2052" s="1" t="s">
        <v>190</v>
      </c>
      <c r="W2052" s="1">
        <v>60629.0</v>
      </c>
      <c r="X2052" s="1">
        <v>4340.0</v>
      </c>
      <c r="Y2052" s="1" t="s">
        <v>19456</v>
      </c>
      <c r="Z2052" s="1">
        <v>1954.0</v>
      </c>
      <c r="AA2052" s="1" t="s">
        <v>192</v>
      </c>
      <c r="AB2052" s="1" t="s">
        <v>193</v>
      </c>
      <c r="AD2052" s="1" t="s">
        <v>194</v>
      </c>
      <c r="AE2052" s="1" t="s">
        <v>195</v>
      </c>
      <c r="AF2052" s="1" t="s">
        <v>659</v>
      </c>
      <c r="AH2052" s="1" t="s">
        <v>1501</v>
      </c>
      <c r="AI2052" s="1">
        <v>0.0</v>
      </c>
      <c r="AK2052" s="1">
        <v>7.0</v>
      </c>
      <c r="AL2052" s="1">
        <v>4.0</v>
      </c>
      <c r="AM2052" s="1">
        <v>2.0</v>
      </c>
      <c r="AN2052" s="1">
        <v>1.0</v>
      </c>
      <c r="AO2052" s="1" t="s">
        <v>229</v>
      </c>
      <c r="AQ2052" s="1" t="s">
        <v>198</v>
      </c>
      <c r="AR2052" s="1" t="s">
        <v>200</v>
      </c>
      <c r="AS2052" s="1" t="s">
        <v>199</v>
      </c>
      <c r="AT2052" s="1">
        <v>2.0</v>
      </c>
      <c r="AV2052" s="1" t="s">
        <v>200</v>
      </c>
      <c r="AW2052" s="1">
        <v>1696.0</v>
      </c>
      <c r="AX2052" s="1">
        <v>2012.0</v>
      </c>
      <c r="AY2052" s="1" t="s">
        <v>387</v>
      </c>
      <c r="AZ2052" s="1" t="s">
        <v>200</v>
      </c>
      <c r="BA2052" s="1" t="str">
        <f>"19262000270000"</f>
        <v>19262000270000</v>
      </c>
      <c r="BC2052" s="1">
        <v>1014.0</v>
      </c>
      <c r="BD2052" s="1">
        <v>140500.0</v>
      </c>
      <c r="BE2052" s="2">
        <v>41897.0</v>
      </c>
      <c r="BF2052" s="2" t="s">
        <v>19457</v>
      </c>
      <c r="BH2052" s="1">
        <v>0.0</v>
      </c>
      <c r="BK2052" s="1" t="s">
        <v>204</v>
      </c>
      <c r="BL2052" s="1" t="str">
        <f t="shared" ref="BL2052:BM2052" si="1349">"0"</f>
        <v>0</v>
      </c>
      <c r="BM2052" s="1" t="str">
        <f t="shared" si="1349"/>
        <v>0</v>
      </c>
      <c r="BN2052" s="1">
        <v>3530.0</v>
      </c>
      <c r="BO2052" s="1">
        <v>7100.0</v>
      </c>
      <c r="BQ2052" s="1">
        <v>299.0</v>
      </c>
      <c r="BR2052" s="1">
        <v>299.0</v>
      </c>
      <c r="BS2052" s="1">
        <v>299.0</v>
      </c>
      <c r="BU2052" s="1" t="s">
        <v>1117</v>
      </c>
      <c r="BV2052" s="1" t="s">
        <v>206</v>
      </c>
      <c r="BW2052" s="1" t="s">
        <v>207</v>
      </c>
      <c r="BY2052" s="1" t="s">
        <v>1206</v>
      </c>
      <c r="BZ2052" s="1" t="s">
        <v>209</v>
      </c>
      <c r="CA2052" s="1" t="s">
        <v>1790</v>
      </c>
      <c r="CD2052" s="1" t="s">
        <v>204</v>
      </c>
      <c r="CG2052" s="1" t="s">
        <v>329</v>
      </c>
      <c r="CH2052" s="1" t="s">
        <v>209</v>
      </c>
      <c r="CI2052" s="1" t="s">
        <v>1790</v>
      </c>
      <c r="CK2052" s="1" t="s">
        <v>332</v>
      </c>
      <c r="CL2052" s="1" t="s">
        <v>206</v>
      </c>
      <c r="CM2052" s="1" t="s">
        <v>207</v>
      </c>
      <c r="CO2052" s="1" t="s">
        <v>332</v>
      </c>
      <c r="CP2052" s="1" t="s">
        <v>206</v>
      </c>
      <c r="CQ2052" s="1" t="s">
        <v>207</v>
      </c>
      <c r="CS2052" s="1" t="s">
        <v>454</v>
      </c>
      <c r="CT2052" s="1" t="s">
        <v>206</v>
      </c>
      <c r="CU2052" s="1" t="s">
        <v>268</v>
      </c>
      <c r="CW2052" s="1" t="s">
        <v>10599</v>
      </c>
      <c r="CX2052" s="1" t="s">
        <v>42</v>
      </c>
      <c r="CY2052" s="1" t="s">
        <v>588</v>
      </c>
      <c r="DA2052" s="1" t="s">
        <v>200</v>
      </c>
      <c r="DC2052" s="1" t="s">
        <v>271</v>
      </c>
      <c r="DD2052" s="1" t="s">
        <v>518</v>
      </c>
      <c r="DE2052" s="1" t="s">
        <v>273</v>
      </c>
      <c r="DF2052" s="1" t="s">
        <v>219</v>
      </c>
      <c r="DH2052" s="1" t="s">
        <v>365</v>
      </c>
      <c r="DI2052" s="1" t="s">
        <v>10424</v>
      </c>
      <c r="DJ2052" s="1" t="s">
        <v>222</v>
      </c>
      <c r="DK2052" s="1" t="s">
        <v>1301</v>
      </c>
      <c r="DL2052" s="1" t="s">
        <v>858</v>
      </c>
      <c r="DM2052" s="1" t="s">
        <v>229</v>
      </c>
      <c r="DO2052" s="1" t="s">
        <v>549</v>
      </c>
      <c r="DQ2052" s="1" t="s">
        <v>228</v>
      </c>
      <c r="DR2052" s="1" t="s">
        <v>229</v>
      </c>
      <c r="DS2052" s="1" t="s">
        <v>401</v>
      </c>
      <c r="DV2052" s="1" t="s">
        <v>232</v>
      </c>
      <c r="DW2052" s="1" t="s">
        <v>279</v>
      </c>
      <c r="DX2052" s="1" t="s">
        <v>1287</v>
      </c>
      <c r="DZ2052" s="1" t="s">
        <v>310</v>
      </c>
      <c r="EA2052" s="1" t="s">
        <v>644</v>
      </c>
      <c r="EC2052" s="1" t="s">
        <v>645</v>
      </c>
      <c r="EM2052" s="1" t="s">
        <v>238</v>
      </c>
      <c r="EQ2052" s="1" t="s">
        <v>238</v>
      </c>
      <c r="EU2052" s="1" t="s">
        <v>238</v>
      </c>
      <c r="EY2052" s="1" t="s">
        <v>238</v>
      </c>
      <c r="FC2052" s="1" t="s">
        <v>238</v>
      </c>
      <c r="FF2052" s="1" t="s">
        <v>239</v>
      </c>
      <c r="FG2052" s="1" t="s">
        <v>192</v>
      </c>
      <c r="FH2052" s="1" t="s">
        <v>192</v>
      </c>
      <c r="FJ2052" s="1" t="s">
        <v>313</v>
      </c>
      <c r="FK2052" s="1" t="s">
        <v>1586</v>
      </c>
      <c r="FL2052" s="1" t="s">
        <v>3455</v>
      </c>
      <c r="FM2052" s="1">
        <v>14856.0</v>
      </c>
      <c r="FN2052" s="1" t="s">
        <v>3456</v>
      </c>
      <c r="FO2052" s="1" t="s">
        <v>16893</v>
      </c>
      <c r="FP2052" s="1">
        <v>127815.0</v>
      </c>
      <c r="FQ2052" s="1" t="s">
        <v>16894</v>
      </c>
      <c r="FU2052" s="1" t="s">
        <v>19458</v>
      </c>
      <c r="FV2052" s="1" t="s">
        <v>200</v>
      </c>
      <c r="FW2052" s="1" t="s">
        <v>1411</v>
      </c>
      <c r="FX2052" s="1" t="s">
        <v>246</v>
      </c>
      <c r="FZ2052" s="1" t="s">
        <v>229</v>
      </c>
      <c r="GA2052" s="1" t="s">
        <v>291</v>
      </c>
      <c r="GB2052" s="2">
        <v>42127.0</v>
      </c>
      <c r="GC2052" s="1" t="s">
        <v>19459</v>
      </c>
    </row>
    <row r="2053">
      <c r="A2053" s="1">
        <v>140900.0</v>
      </c>
      <c r="B2053" s="1" t="s">
        <v>185</v>
      </c>
      <c r="C2053" s="1" t="str">
        <f>"08738387"</f>
        <v>08738387</v>
      </c>
      <c r="D2053" s="1" t="s">
        <v>186</v>
      </c>
      <c r="F2053" s="1" t="str">
        <f>"8048"</f>
        <v>8048</v>
      </c>
      <c r="G2053" s="2">
        <v>41908.0</v>
      </c>
      <c r="H2053" s="1">
        <v>139900.0</v>
      </c>
      <c r="I2053" s="1">
        <v>19.0</v>
      </c>
      <c r="J2053" s="1">
        <v>139900.0</v>
      </c>
      <c r="K2053" s="2">
        <v>41926.0</v>
      </c>
      <c r="L2053" s="1">
        <v>19.0</v>
      </c>
      <c r="M2053" s="2">
        <v>41926.0</v>
      </c>
      <c r="N2053" s="1" t="s">
        <v>187</v>
      </c>
      <c r="O2053" s="2">
        <v>41982.0</v>
      </c>
      <c r="P2053" s="1">
        <v>864834.0</v>
      </c>
      <c r="Q2053" s="1">
        <v>18426.0</v>
      </c>
      <c r="R2053" s="1">
        <v>3200.0</v>
      </c>
      <c r="S2053" s="1">
        <v>9104.0</v>
      </c>
      <c r="T2053" s="1" t="s">
        <v>3780</v>
      </c>
      <c r="U2053" s="1" t="s">
        <v>189</v>
      </c>
      <c r="V2053" s="1" t="s">
        <v>190</v>
      </c>
      <c r="W2053" s="1">
        <v>60617.0</v>
      </c>
      <c r="Y2053" s="1" t="s">
        <v>19460</v>
      </c>
      <c r="Z2053" s="1">
        <v>1954.0</v>
      </c>
      <c r="AA2053" s="1" t="s">
        <v>192</v>
      </c>
      <c r="AB2053" s="1" t="s">
        <v>193</v>
      </c>
      <c r="AD2053" s="1" t="s">
        <v>194</v>
      </c>
      <c r="AE2053" s="1" t="s">
        <v>195</v>
      </c>
      <c r="AF2053" s="1" t="s">
        <v>637</v>
      </c>
      <c r="AH2053" s="1" t="s">
        <v>779</v>
      </c>
      <c r="AK2053" s="1">
        <v>7.0</v>
      </c>
      <c r="AL2053" s="1">
        <v>4.0</v>
      </c>
      <c r="AM2053" s="1">
        <v>2.0</v>
      </c>
      <c r="AN2053" s="1">
        <v>0.0</v>
      </c>
      <c r="AO2053" s="1" t="s">
        <v>229</v>
      </c>
      <c r="AQ2053" s="1" t="s">
        <v>198</v>
      </c>
      <c r="AR2053" s="1" t="s">
        <v>192</v>
      </c>
      <c r="AS2053" s="1" t="s">
        <v>199</v>
      </c>
      <c r="AT2053" s="1">
        <v>2.0</v>
      </c>
      <c r="AV2053" s="1" t="s">
        <v>200</v>
      </c>
      <c r="AW2053" s="1">
        <v>2018.0</v>
      </c>
      <c r="AX2053" s="1">
        <v>2013.0</v>
      </c>
      <c r="AZ2053" s="1" t="s">
        <v>200</v>
      </c>
      <c r="BA2053" s="1" t="str">
        <f>"25014050520000"</f>
        <v>25014050520000</v>
      </c>
      <c r="BB2053" s="1" t="s">
        <v>200</v>
      </c>
      <c r="BC2053" s="1">
        <v>1226.0</v>
      </c>
      <c r="BD2053" s="1">
        <v>140900.0</v>
      </c>
      <c r="BE2053" s="2">
        <v>41908.0</v>
      </c>
      <c r="BF2053" s="2" t="s">
        <v>19461</v>
      </c>
      <c r="BH2053" s="1">
        <v>0.0</v>
      </c>
      <c r="BK2053" s="1" t="s">
        <v>204</v>
      </c>
      <c r="BL2053" s="1" t="str">
        <f t="shared" ref="BL2053:BL2054" si="1350">"0"</f>
        <v>0</v>
      </c>
      <c r="BM2053" s="1" t="str">
        <f>"2300"</f>
        <v>2300</v>
      </c>
      <c r="BN2053" s="1">
        <v>0.0</v>
      </c>
      <c r="BO2053" s="1">
        <v>9104.0</v>
      </c>
      <c r="BQ2053" s="1">
        <v>299.0</v>
      </c>
      <c r="BR2053" s="1">
        <v>299.0</v>
      </c>
      <c r="BS2053" s="1">
        <v>299.0</v>
      </c>
      <c r="BU2053" s="1" t="s">
        <v>955</v>
      </c>
      <c r="BV2053" s="1" t="s">
        <v>206</v>
      </c>
      <c r="BW2053" s="1" t="s">
        <v>207</v>
      </c>
      <c r="BY2053" s="1" t="s">
        <v>215</v>
      </c>
      <c r="BZ2053" s="1" t="s">
        <v>206</v>
      </c>
      <c r="CA2053" s="1" t="s">
        <v>207</v>
      </c>
      <c r="CD2053" s="1" t="s">
        <v>204</v>
      </c>
      <c r="CG2053" s="1" t="s">
        <v>363</v>
      </c>
      <c r="CH2053" s="1" t="s">
        <v>206</v>
      </c>
      <c r="CI2053" s="1" t="s">
        <v>207</v>
      </c>
      <c r="CK2053" s="1" t="s">
        <v>699</v>
      </c>
      <c r="CL2053" s="1" t="s">
        <v>206</v>
      </c>
      <c r="CM2053" s="1" t="s">
        <v>207</v>
      </c>
      <c r="CO2053" s="1" t="s">
        <v>332</v>
      </c>
      <c r="CP2053" s="1" t="s">
        <v>267</v>
      </c>
      <c r="CQ2053" s="1" t="s">
        <v>617</v>
      </c>
      <c r="CS2053" s="1" t="s">
        <v>730</v>
      </c>
      <c r="CT2053" s="1" t="s">
        <v>206</v>
      </c>
      <c r="CU2053" s="1" t="s">
        <v>268</v>
      </c>
      <c r="CW2053" s="1" t="s">
        <v>2145</v>
      </c>
      <c r="CX2053" s="1" t="s">
        <v>267</v>
      </c>
      <c r="CY2053" s="1" t="s">
        <v>617</v>
      </c>
      <c r="DA2053" s="1" t="s">
        <v>200</v>
      </c>
      <c r="DC2053" s="1" t="s">
        <v>271</v>
      </c>
      <c r="DD2053" s="1" t="s">
        <v>518</v>
      </c>
      <c r="DE2053" s="1" t="s">
        <v>273</v>
      </c>
      <c r="DF2053" s="1" t="s">
        <v>219</v>
      </c>
      <c r="DH2053" s="1" t="s">
        <v>307</v>
      </c>
      <c r="DI2053" s="1" t="s">
        <v>1120</v>
      </c>
      <c r="DJ2053" s="1" t="s">
        <v>222</v>
      </c>
      <c r="DL2053" s="1" t="s">
        <v>224</v>
      </c>
      <c r="DM2053" s="1" t="s">
        <v>225</v>
      </c>
      <c r="DQ2053" s="1" t="s">
        <v>228</v>
      </c>
      <c r="DR2053" s="1" t="s">
        <v>229</v>
      </c>
      <c r="DS2053" s="1" t="s">
        <v>230</v>
      </c>
      <c r="DV2053" s="1" t="s">
        <v>1103</v>
      </c>
      <c r="DW2053" s="1" t="s">
        <v>279</v>
      </c>
      <c r="DX2053" s="1" t="s">
        <v>309</v>
      </c>
      <c r="EC2053" s="1" t="s">
        <v>311</v>
      </c>
      <c r="EG2053" s="1" t="s">
        <v>1103</v>
      </c>
      <c r="EL2053" s="1" t="s">
        <v>375</v>
      </c>
      <c r="EM2053" s="1" t="s">
        <v>267</v>
      </c>
      <c r="EN2053" s="1" t="s">
        <v>617</v>
      </c>
      <c r="EQ2053" s="1" t="s">
        <v>238</v>
      </c>
      <c r="EU2053" s="1" t="s">
        <v>238</v>
      </c>
      <c r="EY2053" s="1" t="s">
        <v>238</v>
      </c>
      <c r="FC2053" s="1" t="s">
        <v>238</v>
      </c>
      <c r="FF2053" s="1" t="s">
        <v>239</v>
      </c>
      <c r="FG2053" s="1" t="s">
        <v>192</v>
      </c>
      <c r="FH2053" s="1" t="s">
        <v>192</v>
      </c>
      <c r="FJ2053" s="1" t="s">
        <v>770</v>
      </c>
      <c r="FK2053" s="1" t="s">
        <v>229</v>
      </c>
      <c r="FL2053" s="1" t="s">
        <v>3565</v>
      </c>
      <c r="FM2053" s="1">
        <v>18426.0</v>
      </c>
      <c r="FN2053" s="1" t="s">
        <v>3566</v>
      </c>
      <c r="FO2053" s="1" t="s">
        <v>19462</v>
      </c>
      <c r="FP2053" s="1">
        <v>864834.0</v>
      </c>
      <c r="FQ2053" s="1" t="s">
        <v>19463</v>
      </c>
      <c r="FT2053" s="1" t="s">
        <v>19464</v>
      </c>
      <c r="FU2053" s="1" t="s">
        <v>19465</v>
      </c>
      <c r="FV2053" s="1" t="s">
        <v>192</v>
      </c>
      <c r="FW2053" s="1" t="s">
        <v>19462</v>
      </c>
      <c r="FX2053" s="1" t="s">
        <v>655</v>
      </c>
      <c r="FZ2053" s="1" t="s">
        <v>229</v>
      </c>
      <c r="GA2053" s="1" t="s">
        <v>291</v>
      </c>
      <c r="GB2053" s="2">
        <v>41986.0</v>
      </c>
      <c r="GC2053" s="1" t="s">
        <v>18600</v>
      </c>
    </row>
    <row r="2054">
      <c r="A2054" s="1">
        <v>600000.0</v>
      </c>
      <c r="B2054" s="1" t="s">
        <v>185</v>
      </c>
      <c r="C2054" s="1" t="str">
        <f>"08732587"</f>
        <v>08732587</v>
      </c>
      <c r="D2054" s="1" t="s">
        <v>186</v>
      </c>
      <c r="F2054" s="1" t="str">
        <f>"8041"</f>
        <v>8041</v>
      </c>
      <c r="G2054" s="2">
        <v>41901.0</v>
      </c>
      <c r="H2054" s="1">
        <v>679000.0</v>
      </c>
      <c r="I2054" s="1">
        <v>194.0</v>
      </c>
      <c r="J2054" s="1">
        <v>679000.0</v>
      </c>
      <c r="K2054" s="2">
        <v>42094.0</v>
      </c>
      <c r="L2054" s="1">
        <v>194.0</v>
      </c>
      <c r="M2054" s="2">
        <v>42094.0</v>
      </c>
      <c r="N2054" s="1" t="s">
        <v>187</v>
      </c>
      <c r="O2054" s="2">
        <v>42145.0</v>
      </c>
      <c r="P2054" s="1">
        <v>133303.0</v>
      </c>
      <c r="Q2054" s="1">
        <v>10317.0</v>
      </c>
      <c r="S2054" s="1">
        <v>1221.0</v>
      </c>
      <c r="T2054" s="1" t="s">
        <v>19466</v>
      </c>
      <c r="U2054" s="1" t="s">
        <v>320</v>
      </c>
      <c r="V2054" s="1" t="s">
        <v>190</v>
      </c>
      <c r="W2054" s="1">
        <v>60615.0</v>
      </c>
      <c r="Y2054" s="1" t="s">
        <v>19467</v>
      </c>
      <c r="Z2054" s="1">
        <v>1894.0</v>
      </c>
      <c r="AA2054" s="1" t="s">
        <v>192</v>
      </c>
      <c r="AB2054" s="1" t="s">
        <v>193</v>
      </c>
      <c r="AC2054" s="1" t="s">
        <v>19468</v>
      </c>
      <c r="AD2054" s="1" t="s">
        <v>194</v>
      </c>
      <c r="AE2054" s="1" t="s">
        <v>195</v>
      </c>
      <c r="AF2054" s="1" t="s">
        <v>637</v>
      </c>
      <c r="AG2054" s="1" t="s">
        <v>19469</v>
      </c>
      <c r="AH2054" s="1" t="s">
        <v>19470</v>
      </c>
      <c r="AK2054" s="1">
        <v>8.0</v>
      </c>
      <c r="AL2054" s="1">
        <v>4.0</v>
      </c>
      <c r="AM2054" s="1">
        <v>2.0</v>
      </c>
      <c r="AN2054" s="1">
        <v>0.0</v>
      </c>
      <c r="AO2054" s="1" t="s">
        <v>229</v>
      </c>
      <c r="AP2054" s="1">
        <v>2.0</v>
      </c>
      <c r="AQ2054" s="1" t="s">
        <v>198</v>
      </c>
      <c r="AR2054" s="1" t="s">
        <v>200</v>
      </c>
      <c r="AS2054" s="1" t="s">
        <v>199</v>
      </c>
      <c r="AT2054" s="1">
        <v>2.0</v>
      </c>
      <c r="AV2054" s="1" t="s">
        <v>200</v>
      </c>
      <c r="AW2054" s="3">
        <v>8193.0</v>
      </c>
      <c r="AX2054" s="1">
        <v>2013.0</v>
      </c>
      <c r="AY2054" s="1" t="s">
        <v>229</v>
      </c>
      <c r="AZ2054" s="1" t="s">
        <v>200</v>
      </c>
      <c r="BA2054" s="1" t="str">
        <f>"20114200070000"</f>
        <v>20114200070000</v>
      </c>
      <c r="BB2054" s="1" t="s">
        <v>200</v>
      </c>
      <c r="BC2054" s="1">
        <v>2400.0</v>
      </c>
      <c r="BD2054" s="1">
        <v>600000.0</v>
      </c>
      <c r="BE2054" s="2">
        <v>41901.0</v>
      </c>
      <c r="BF2054" s="2" t="s">
        <v>19471</v>
      </c>
      <c r="BH2054" s="1">
        <v>0.0</v>
      </c>
      <c r="BK2054" s="1" t="s">
        <v>204</v>
      </c>
      <c r="BL2054" s="1" t="str">
        <f t="shared" si="1350"/>
        <v>0</v>
      </c>
      <c r="BM2054" s="1" t="str">
        <f>"1221"</f>
        <v>1221</v>
      </c>
      <c r="BN2054" s="1">
        <v>0.0</v>
      </c>
      <c r="BO2054" s="1">
        <v>5400.0</v>
      </c>
      <c r="BQ2054" s="1">
        <v>299.0</v>
      </c>
      <c r="BR2054" s="1">
        <v>299.0</v>
      </c>
      <c r="BS2054" s="1">
        <v>299.0</v>
      </c>
      <c r="BU2054" s="1" t="s">
        <v>19472</v>
      </c>
      <c r="BV2054" s="1" t="s">
        <v>206</v>
      </c>
      <c r="BW2054" s="1" t="s">
        <v>207</v>
      </c>
      <c r="BX2054" s="1" t="s">
        <v>431</v>
      </c>
      <c r="BY2054" s="1" t="s">
        <v>743</v>
      </c>
      <c r="BZ2054" s="1" t="s">
        <v>209</v>
      </c>
      <c r="CA2054" s="1" t="s">
        <v>207</v>
      </c>
      <c r="CB2054" s="1" t="s">
        <v>431</v>
      </c>
      <c r="CC2054" s="1" t="s">
        <v>582</v>
      </c>
      <c r="CD2054" s="1" t="s">
        <v>206</v>
      </c>
      <c r="CE2054" s="1" t="s">
        <v>207</v>
      </c>
      <c r="CF2054" s="1" t="s">
        <v>431</v>
      </c>
      <c r="CG2054" s="1" t="s">
        <v>266</v>
      </c>
      <c r="CH2054" s="1" t="s">
        <v>209</v>
      </c>
      <c r="CI2054" s="1" t="s">
        <v>207</v>
      </c>
      <c r="CJ2054" s="1" t="s">
        <v>431</v>
      </c>
      <c r="CK2054" s="1" t="s">
        <v>699</v>
      </c>
      <c r="CL2054" s="1" t="s">
        <v>209</v>
      </c>
      <c r="CM2054" s="1" t="s">
        <v>207</v>
      </c>
      <c r="CN2054" s="1" t="s">
        <v>431</v>
      </c>
      <c r="CO2054" s="1" t="s">
        <v>623</v>
      </c>
      <c r="CP2054" s="1" t="s">
        <v>209</v>
      </c>
      <c r="CQ2054" s="1" t="s">
        <v>207</v>
      </c>
      <c r="CR2054" s="1" t="s">
        <v>431</v>
      </c>
      <c r="CS2054" s="1" t="s">
        <v>214</v>
      </c>
      <c r="CT2054" s="1" t="s">
        <v>206</v>
      </c>
      <c r="CU2054" s="1" t="s">
        <v>207</v>
      </c>
      <c r="CV2054" s="1" t="s">
        <v>229</v>
      </c>
      <c r="CW2054" s="1" t="s">
        <v>262</v>
      </c>
      <c r="CX2054" s="1" t="s">
        <v>206</v>
      </c>
      <c r="CY2054" s="1" t="s">
        <v>207</v>
      </c>
      <c r="CZ2054" s="1" t="s">
        <v>229</v>
      </c>
      <c r="DA2054" s="1" t="s">
        <v>200</v>
      </c>
      <c r="DC2054" s="1" t="s">
        <v>642</v>
      </c>
      <c r="DE2054" s="1" t="s">
        <v>273</v>
      </c>
      <c r="DF2054" s="1" t="s">
        <v>619</v>
      </c>
      <c r="DG2054" s="1" t="s">
        <v>1317</v>
      </c>
      <c r="DH2054" s="1" t="s">
        <v>365</v>
      </c>
      <c r="DI2054" s="1" t="s">
        <v>221</v>
      </c>
      <c r="DJ2054" s="1" t="s">
        <v>222</v>
      </c>
      <c r="DK2054" s="1" t="s">
        <v>223</v>
      </c>
      <c r="DL2054" s="1" t="s">
        <v>223</v>
      </c>
      <c r="DM2054" s="1" t="s">
        <v>1402</v>
      </c>
      <c r="DN2054" s="1" t="s">
        <v>367</v>
      </c>
      <c r="DP2054" s="1" t="s">
        <v>340</v>
      </c>
      <c r="DQ2054" s="1" t="s">
        <v>228</v>
      </c>
      <c r="DR2054" s="1" t="s">
        <v>229</v>
      </c>
      <c r="DV2054" s="1" t="s">
        <v>232</v>
      </c>
      <c r="DW2054" s="1" t="s">
        <v>19473</v>
      </c>
      <c r="DX2054" s="1" t="s">
        <v>234</v>
      </c>
      <c r="DY2054" s="1" t="s">
        <v>12003</v>
      </c>
      <c r="EA2054" s="1" t="s">
        <v>5127</v>
      </c>
      <c r="EB2054" s="1" t="s">
        <v>19474</v>
      </c>
      <c r="EC2054" s="1" t="s">
        <v>237</v>
      </c>
      <c r="ED2054" s="1" t="s">
        <v>555</v>
      </c>
      <c r="EE2054" s="1" t="s">
        <v>493</v>
      </c>
      <c r="EM2054" s="1" t="s">
        <v>238</v>
      </c>
      <c r="EQ2054" s="1" t="s">
        <v>238</v>
      </c>
      <c r="EU2054" s="1" t="s">
        <v>238</v>
      </c>
      <c r="EY2054" s="1" t="s">
        <v>238</v>
      </c>
      <c r="FC2054" s="1" t="s">
        <v>238</v>
      </c>
      <c r="FF2054" s="1" t="s">
        <v>239</v>
      </c>
      <c r="FG2054" s="1" t="s">
        <v>192</v>
      </c>
      <c r="FH2054" s="1" t="s">
        <v>192</v>
      </c>
      <c r="FJ2054" s="1" t="s">
        <v>19475</v>
      </c>
      <c r="FK2054" s="1" t="s">
        <v>229</v>
      </c>
      <c r="FL2054" s="1" t="s">
        <v>19476</v>
      </c>
      <c r="FM2054" s="1">
        <v>85175.0</v>
      </c>
      <c r="FN2054" s="1" t="s">
        <v>19477</v>
      </c>
      <c r="FO2054" s="1" t="s">
        <v>19478</v>
      </c>
      <c r="FP2054" s="1">
        <v>118282.0</v>
      </c>
      <c r="FQ2054" s="1" t="s">
        <v>19479</v>
      </c>
      <c r="FU2054" s="1" t="s">
        <v>19480</v>
      </c>
      <c r="FV2054" s="1" t="s">
        <v>200</v>
      </c>
      <c r="FW2054" s="1" t="s">
        <v>567</v>
      </c>
      <c r="FX2054" s="1" t="s">
        <v>1739</v>
      </c>
      <c r="FZ2054" s="1" t="s">
        <v>229</v>
      </c>
      <c r="GA2054" s="1" t="s">
        <v>291</v>
      </c>
      <c r="GB2054" s="2">
        <v>42146.0</v>
      </c>
      <c r="GC2054" s="1" t="s">
        <v>19481</v>
      </c>
    </row>
    <row r="2055">
      <c r="A2055" s="1">
        <v>331000.0</v>
      </c>
      <c r="B2055" s="1" t="s">
        <v>185</v>
      </c>
      <c r="C2055" s="1" t="str">
        <f>"08730880"</f>
        <v>08730880</v>
      </c>
      <c r="D2055" s="1" t="s">
        <v>186</v>
      </c>
      <c r="F2055" s="1" t="str">
        <f>"8015"</f>
        <v>8015</v>
      </c>
      <c r="G2055" s="2">
        <v>41899.0</v>
      </c>
      <c r="H2055" s="1">
        <v>339000.0</v>
      </c>
      <c r="I2055" s="1">
        <v>99.0</v>
      </c>
      <c r="J2055" s="1">
        <v>339000.0</v>
      </c>
      <c r="K2055" s="2">
        <v>41933.0</v>
      </c>
      <c r="L2055" s="1">
        <v>35.0</v>
      </c>
      <c r="M2055" s="2">
        <v>41933.0</v>
      </c>
      <c r="N2055" s="1" t="s">
        <v>356</v>
      </c>
      <c r="O2055" s="2">
        <v>41977.0</v>
      </c>
      <c r="P2055" s="1">
        <v>167589.0</v>
      </c>
      <c r="Q2055" s="1">
        <v>17299.0</v>
      </c>
      <c r="S2055" s="1">
        <v>5530.0</v>
      </c>
      <c r="T2055" s="1" t="s">
        <v>5356</v>
      </c>
      <c r="U2055" s="1" t="s">
        <v>320</v>
      </c>
      <c r="V2055" s="1" t="s">
        <v>190</v>
      </c>
      <c r="W2055" s="1">
        <v>60641.0</v>
      </c>
      <c r="Y2055" s="1" t="s">
        <v>19482</v>
      </c>
      <c r="Z2055" s="1">
        <v>1922.0</v>
      </c>
      <c r="AA2055" s="1" t="s">
        <v>192</v>
      </c>
      <c r="AB2055" s="1" t="s">
        <v>193</v>
      </c>
      <c r="AD2055" s="1" t="s">
        <v>194</v>
      </c>
      <c r="AE2055" s="1" t="s">
        <v>195</v>
      </c>
      <c r="AF2055" s="1" t="s">
        <v>196</v>
      </c>
      <c r="AH2055" s="1" t="s">
        <v>1501</v>
      </c>
      <c r="AK2055" s="1">
        <v>8.0</v>
      </c>
      <c r="AL2055" s="1">
        <v>3.0</v>
      </c>
      <c r="AM2055" s="1">
        <v>3.0</v>
      </c>
      <c r="AN2055" s="1">
        <v>0.0</v>
      </c>
      <c r="AO2055" s="1" t="s">
        <v>198</v>
      </c>
      <c r="AP2055" s="1">
        <v>0.0</v>
      </c>
      <c r="AQ2055" s="1" t="s">
        <v>198</v>
      </c>
      <c r="AR2055" s="1" t="s">
        <v>192</v>
      </c>
      <c r="AS2055" s="1" t="s">
        <v>199</v>
      </c>
      <c r="AT2055" s="1">
        <v>2.0</v>
      </c>
      <c r="AV2055" s="1" t="s">
        <v>200</v>
      </c>
      <c r="AW2055" s="1">
        <v>3394.5</v>
      </c>
      <c r="AX2055" s="1">
        <v>2013.0</v>
      </c>
      <c r="AY2055" s="1" t="s">
        <v>387</v>
      </c>
      <c r="AZ2055" s="1" t="s">
        <v>200</v>
      </c>
      <c r="BA2055" s="1" t="str">
        <f>"13213190300000"</f>
        <v>13213190300000</v>
      </c>
      <c r="BB2055" s="1" t="s">
        <v>200</v>
      </c>
      <c r="BC2055" s="1">
        <v>1900.0</v>
      </c>
      <c r="BD2055" s="1">
        <v>331000.0</v>
      </c>
      <c r="BE2055" s="2">
        <v>41899.0</v>
      </c>
      <c r="BF2055" s="1" t="s">
        <v>19483</v>
      </c>
      <c r="BH2055" s="1">
        <v>0.0</v>
      </c>
      <c r="BK2055" s="1" t="s">
        <v>204</v>
      </c>
      <c r="BL2055" s="1" t="str">
        <f>"3400"</f>
        <v>3400</v>
      </c>
      <c r="BM2055" s="1" t="str">
        <f t="shared" ref="BM2055:BM2058" si="1351">"0"</f>
        <v>0</v>
      </c>
      <c r="BN2055" s="1">
        <v>5530.0</v>
      </c>
      <c r="BO2055" s="1">
        <v>0.0</v>
      </c>
      <c r="BQ2055" s="1">
        <v>299.0</v>
      </c>
      <c r="BR2055" s="1">
        <v>299.0</v>
      </c>
      <c r="BS2055" s="1">
        <v>299.0</v>
      </c>
      <c r="BU2055" s="1" t="s">
        <v>1654</v>
      </c>
      <c r="BV2055" s="1" t="s">
        <v>206</v>
      </c>
      <c r="BW2055" s="1" t="s">
        <v>207</v>
      </c>
      <c r="BY2055" s="1" t="s">
        <v>664</v>
      </c>
      <c r="BZ2055" s="1" t="s">
        <v>209</v>
      </c>
      <c r="CA2055" s="1" t="s">
        <v>210</v>
      </c>
      <c r="CB2055" s="1" t="s">
        <v>229</v>
      </c>
      <c r="CC2055" s="1" t="s">
        <v>302</v>
      </c>
      <c r="CD2055" s="1" t="s">
        <v>206</v>
      </c>
      <c r="CE2055" s="1" t="s">
        <v>207</v>
      </c>
      <c r="CF2055" s="1" t="s">
        <v>229</v>
      </c>
      <c r="CG2055" s="1" t="s">
        <v>478</v>
      </c>
      <c r="CH2055" s="1" t="s">
        <v>206</v>
      </c>
      <c r="CI2055" s="1" t="s">
        <v>207</v>
      </c>
      <c r="CJ2055" s="1" t="s">
        <v>229</v>
      </c>
      <c r="CK2055" s="1" t="s">
        <v>495</v>
      </c>
      <c r="CL2055" s="1" t="s">
        <v>206</v>
      </c>
      <c r="CM2055" s="1" t="s">
        <v>207</v>
      </c>
      <c r="CO2055" s="1" t="s">
        <v>495</v>
      </c>
      <c r="CP2055" s="1" t="s">
        <v>42</v>
      </c>
      <c r="CQ2055" s="1" t="s">
        <v>268</v>
      </c>
      <c r="CS2055" s="1" t="s">
        <v>3045</v>
      </c>
      <c r="CT2055" s="1" t="s">
        <v>206</v>
      </c>
      <c r="CU2055" s="1" t="s">
        <v>207</v>
      </c>
      <c r="CV2055" s="1" t="s">
        <v>229</v>
      </c>
      <c r="CW2055" s="1" t="s">
        <v>19484</v>
      </c>
      <c r="CX2055" s="1" t="s">
        <v>42</v>
      </c>
      <c r="CY2055" s="1" t="s">
        <v>268</v>
      </c>
      <c r="CZ2055" s="1" t="s">
        <v>229</v>
      </c>
      <c r="DA2055" s="1" t="s">
        <v>200</v>
      </c>
      <c r="DC2055" s="1" t="s">
        <v>216</v>
      </c>
      <c r="DD2055" s="1" t="s">
        <v>306</v>
      </c>
      <c r="DE2055" s="1" t="s">
        <v>273</v>
      </c>
      <c r="DF2055" s="1" t="s">
        <v>219</v>
      </c>
      <c r="DH2055" s="1" t="s">
        <v>307</v>
      </c>
      <c r="DI2055" s="1" t="s">
        <v>308</v>
      </c>
      <c r="DJ2055" s="1" t="s">
        <v>222</v>
      </c>
      <c r="DL2055" s="1" t="s">
        <v>1161</v>
      </c>
      <c r="DM2055" s="1" t="s">
        <v>229</v>
      </c>
      <c r="DP2055" s="1" t="s">
        <v>340</v>
      </c>
      <c r="DQ2055" s="1" t="s">
        <v>794</v>
      </c>
      <c r="DR2055" s="1" t="s">
        <v>229</v>
      </c>
      <c r="DS2055" s="1" t="s">
        <v>230</v>
      </c>
      <c r="DV2055" s="1" t="s">
        <v>232</v>
      </c>
      <c r="DW2055" s="1" t="s">
        <v>279</v>
      </c>
      <c r="DX2055" s="1" t="s">
        <v>234</v>
      </c>
      <c r="DY2055" s="1" t="s">
        <v>553</v>
      </c>
      <c r="EA2055" s="1" t="s">
        <v>644</v>
      </c>
      <c r="EC2055" s="1" t="s">
        <v>645</v>
      </c>
      <c r="ED2055" s="1" t="s">
        <v>555</v>
      </c>
      <c r="EM2055" s="1" t="s">
        <v>238</v>
      </c>
      <c r="EQ2055" s="1" t="s">
        <v>238</v>
      </c>
      <c r="EU2055" s="1" t="s">
        <v>238</v>
      </c>
      <c r="EY2055" s="1" t="s">
        <v>238</v>
      </c>
      <c r="FC2055" s="1" t="s">
        <v>238</v>
      </c>
      <c r="FF2055" s="1" t="s">
        <v>239</v>
      </c>
      <c r="FG2055" s="1" t="s">
        <v>192</v>
      </c>
      <c r="FH2055" s="1" t="s">
        <v>192</v>
      </c>
      <c r="FJ2055" s="1" t="s">
        <v>6790</v>
      </c>
      <c r="FK2055" s="1" t="s">
        <v>229</v>
      </c>
      <c r="FL2055" s="1" t="s">
        <v>19485</v>
      </c>
      <c r="FM2055" s="1">
        <v>21153.0</v>
      </c>
      <c r="FN2055" s="1" t="s">
        <v>19486</v>
      </c>
      <c r="FO2055" s="1" t="s">
        <v>19487</v>
      </c>
      <c r="FP2055" s="1">
        <v>238330.0</v>
      </c>
      <c r="FQ2055" s="1" t="s">
        <v>19488</v>
      </c>
      <c r="FU2055" s="1" t="s">
        <v>19489</v>
      </c>
      <c r="FV2055" s="1" t="s">
        <v>192</v>
      </c>
      <c r="FW2055" s="1" t="s">
        <v>1511</v>
      </c>
      <c r="FX2055" s="1" t="s">
        <v>246</v>
      </c>
      <c r="FZ2055" s="1" t="s">
        <v>229</v>
      </c>
      <c r="GA2055" s="1" t="s">
        <v>291</v>
      </c>
      <c r="GB2055" s="2">
        <v>41977.0</v>
      </c>
    </row>
    <row r="2056">
      <c r="A2056" s="1">
        <v>400000.0</v>
      </c>
      <c r="B2056" s="1" t="s">
        <v>185</v>
      </c>
      <c r="C2056" s="1" t="str">
        <f>"08771062"</f>
        <v>08771062</v>
      </c>
      <c r="D2056" s="1" t="s">
        <v>186</v>
      </c>
      <c r="F2056" s="1" t="str">
        <f>"174"</f>
        <v>174</v>
      </c>
      <c r="G2056" s="2">
        <v>41950.0</v>
      </c>
      <c r="H2056" s="1">
        <v>474900.0</v>
      </c>
      <c r="I2056" s="1">
        <v>53.0</v>
      </c>
      <c r="J2056" s="1">
        <v>439000.0</v>
      </c>
      <c r="K2056" s="2">
        <v>42002.0</v>
      </c>
      <c r="L2056" s="1">
        <v>53.0</v>
      </c>
      <c r="M2056" s="2">
        <v>42002.0</v>
      </c>
      <c r="N2056" s="1" t="s">
        <v>187</v>
      </c>
      <c r="O2056" s="2">
        <v>42044.0</v>
      </c>
      <c r="P2056" s="1">
        <v>226759.0</v>
      </c>
      <c r="Q2056" s="1">
        <v>22029.0</v>
      </c>
      <c r="S2056" s="1" t="s">
        <v>19490</v>
      </c>
      <c r="T2056" s="1" t="s">
        <v>19491</v>
      </c>
      <c r="U2056" s="1" t="s">
        <v>569</v>
      </c>
      <c r="V2056" s="1" t="s">
        <v>11389</v>
      </c>
      <c r="W2056" s="1">
        <v>60119.0</v>
      </c>
      <c r="Y2056" s="1" t="s">
        <v>19492</v>
      </c>
      <c r="Z2056" s="1">
        <v>1996.0</v>
      </c>
      <c r="AA2056" s="1" t="s">
        <v>200</v>
      </c>
      <c r="AB2056" s="1" t="s">
        <v>193</v>
      </c>
      <c r="AC2056" s="1" t="s">
        <v>19493</v>
      </c>
      <c r="AD2056" s="1" t="s">
        <v>1089</v>
      </c>
      <c r="AE2056" s="1" t="s">
        <v>325</v>
      </c>
      <c r="AF2056" s="1" t="s">
        <v>1632</v>
      </c>
      <c r="AH2056" s="1" t="s">
        <v>19494</v>
      </c>
      <c r="AI2056" s="1">
        <v>1.77</v>
      </c>
      <c r="AK2056" s="1">
        <v>11.0</v>
      </c>
      <c r="AL2056" s="1">
        <v>3.0</v>
      </c>
      <c r="AM2056" s="1">
        <v>3.0</v>
      </c>
      <c r="AN2056" s="1">
        <v>1.0</v>
      </c>
      <c r="AO2056" s="1" t="s">
        <v>198</v>
      </c>
      <c r="AP2056" s="1">
        <v>1.0</v>
      </c>
      <c r="AQ2056" s="1" t="s">
        <v>198</v>
      </c>
      <c r="AR2056" s="1" t="s">
        <v>192</v>
      </c>
      <c r="AS2056" s="1" t="s">
        <v>199</v>
      </c>
      <c r="AT2056" s="1">
        <v>3.0</v>
      </c>
      <c r="AV2056" s="1" t="s">
        <v>200</v>
      </c>
      <c r="AW2056" s="1">
        <v>10453.0</v>
      </c>
      <c r="AX2056" s="1">
        <v>2013.0</v>
      </c>
      <c r="AY2056" s="1" t="s">
        <v>387</v>
      </c>
      <c r="AZ2056" s="1" t="s">
        <v>200</v>
      </c>
      <c r="BA2056" s="1" t="str">
        <f>"0826301016"</f>
        <v>0826301016</v>
      </c>
      <c r="BC2056" s="1">
        <v>3000.0</v>
      </c>
      <c r="BD2056" s="1">
        <v>400000.0</v>
      </c>
      <c r="BE2056" s="2">
        <v>41950.0</v>
      </c>
      <c r="BF2056" s="2" t="s">
        <v>19495</v>
      </c>
      <c r="BG2056" s="1" t="s">
        <v>2198</v>
      </c>
      <c r="BH2056" s="1">
        <v>290.0</v>
      </c>
      <c r="BI2056" s="1" t="s">
        <v>2199</v>
      </c>
      <c r="BJ2056" s="1" t="s">
        <v>2200</v>
      </c>
      <c r="BK2056" s="1" t="s">
        <v>580</v>
      </c>
      <c r="BL2056" s="1" t="str">
        <f>"3"</f>
        <v>3</v>
      </c>
      <c r="BM2056" s="1" t="str">
        <f t="shared" si="1351"/>
        <v>0</v>
      </c>
      <c r="BN2056" s="1">
        <v>40.0</v>
      </c>
      <c r="BO2056" s="1">
        <v>0.0</v>
      </c>
      <c r="BQ2056" s="1">
        <v>303.0</v>
      </c>
      <c r="BR2056" s="1">
        <v>303.0</v>
      </c>
      <c r="BS2056" s="1">
        <v>303.0</v>
      </c>
      <c r="BU2056" s="1" t="s">
        <v>215</v>
      </c>
      <c r="BV2056" s="1" t="s">
        <v>206</v>
      </c>
      <c r="BW2056" s="1" t="s">
        <v>210</v>
      </c>
      <c r="BY2056" s="1" t="s">
        <v>782</v>
      </c>
      <c r="BZ2056" s="1" t="s">
        <v>206</v>
      </c>
      <c r="CA2056" s="1" t="s">
        <v>210</v>
      </c>
      <c r="CB2056" s="1" t="s">
        <v>229</v>
      </c>
      <c r="CC2056" s="1" t="s">
        <v>758</v>
      </c>
      <c r="CD2056" s="1" t="s">
        <v>206</v>
      </c>
      <c r="CE2056" s="1" t="s">
        <v>210</v>
      </c>
      <c r="CF2056" s="1" t="s">
        <v>229</v>
      </c>
      <c r="CG2056" s="1" t="s">
        <v>215</v>
      </c>
      <c r="CH2056" s="1" t="s">
        <v>206</v>
      </c>
      <c r="CI2056" s="1" t="s">
        <v>210</v>
      </c>
      <c r="CJ2056" s="1" t="s">
        <v>229</v>
      </c>
      <c r="CK2056" s="1" t="s">
        <v>215</v>
      </c>
      <c r="CL2056" s="1" t="s">
        <v>206</v>
      </c>
      <c r="CM2056" s="1" t="s">
        <v>210</v>
      </c>
      <c r="CN2056" s="1" t="s">
        <v>229</v>
      </c>
      <c r="CO2056" s="1" t="s">
        <v>758</v>
      </c>
      <c r="CP2056" s="1" t="s">
        <v>42</v>
      </c>
      <c r="CQ2056" s="1" t="s">
        <v>210</v>
      </c>
      <c r="CR2056" s="1" t="s">
        <v>229</v>
      </c>
      <c r="CS2056" s="1" t="s">
        <v>4387</v>
      </c>
      <c r="CT2056" s="1" t="s">
        <v>206</v>
      </c>
      <c r="CU2056" s="1" t="s">
        <v>268</v>
      </c>
      <c r="CV2056" s="1" t="s">
        <v>229</v>
      </c>
      <c r="CX2056" s="1" t="s">
        <v>204</v>
      </c>
      <c r="DA2056" s="1" t="s">
        <v>200</v>
      </c>
      <c r="DC2056" s="1" t="s">
        <v>678</v>
      </c>
      <c r="DD2056" s="1" t="s">
        <v>957</v>
      </c>
      <c r="DE2056" s="1" t="s">
        <v>273</v>
      </c>
      <c r="DF2056" s="1" t="s">
        <v>219</v>
      </c>
      <c r="DH2056" s="1" t="s">
        <v>856</v>
      </c>
      <c r="DI2056" s="1" t="s">
        <v>2547</v>
      </c>
      <c r="DJ2056" s="1" t="s">
        <v>857</v>
      </c>
      <c r="DL2056" s="1" t="s">
        <v>1267</v>
      </c>
      <c r="DM2056" s="1" t="s">
        <v>338</v>
      </c>
      <c r="DN2056" s="1" t="s">
        <v>439</v>
      </c>
      <c r="DP2056" s="1" t="s">
        <v>340</v>
      </c>
      <c r="DQ2056" s="1" t="s">
        <v>931</v>
      </c>
      <c r="DR2056" s="1" t="s">
        <v>229</v>
      </c>
      <c r="DV2056" s="1" t="s">
        <v>19496</v>
      </c>
      <c r="DW2056" s="1" t="s">
        <v>764</v>
      </c>
      <c r="DX2056" s="1" t="s">
        <v>234</v>
      </c>
      <c r="DY2056" s="1" t="s">
        <v>4102</v>
      </c>
      <c r="DZ2056" s="1" t="s">
        <v>766</v>
      </c>
      <c r="EB2056" s="1" t="s">
        <v>11584</v>
      </c>
      <c r="EC2056" s="1" t="s">
        <v>685</v>
      </c>
      <c r="EE2056" s="1" t="s">
        <v>16769</v>
      </c>
      <c r="EG2056" s="1" t="s">
        <v>1164</v>
      </c>
      <c r="EH2056" s="1" t="s">
        <v>450</v>
      </c>
      <c r="EI2056" s="1" t="s">
        <v>1407</v>
      </c>
      <c r="EK2056" s="1" t="s">
        <v>1102</v>
      </c>
      <c r="EL2056" s="1" t="s">
        <v>3595</v>
      </c>
      <c r="EM2056" s="1" t="s">
        <v>206</v>
      </c>
      <c r="EN2056" s="1" t="s">
        <v>207</v>
      </c>
      <c r="EO2056" s="1" t="s">
        <v>229</v>
      </c>
      <c r="EP2056" s="1" t="s">
        <v>748</v>
      </c>
      <c r="EQ2056" s="1" t="s">
        <v>42</v>
      </c>
      <c r="ER2056" s="1" t="s">
        <v>210</v>
      </c>
      <c r="ES2056" s="1" t="s">
        <v>229</v>
      </c>
      <c r="ET2056" s="1" t="s">
        <v>1535</v>
      </c>
      <c r="EU2056" s="1" t="s">
        <v>42</v>
      </c>
      <c r="EV2056" s="1" t="s">
        <v>301</v>
      </c>
      <c r="EW2056" s="1" t="s">
        <v>229</v>
      </c>
      <c r="EY2056" s="1" t="s">
        <v>238</v>
      </c>
      <c r="FB2056" s="1" t="s">
        <v>454</v>
      </c>
      <c r="FC2056" s="1" t="s">
        <v>206</v>
      </c>
      <c r="FD2056" s="1" t="s">
        <v>268</v>
      </c>
      <c r="FE2056" s="1" t="s">
        <v>229</v>
      </c>
      <c r="FF2056" s="1" t="s">
        <v>239</v>
      </c>
      <c r="FG2056" s="1" t="s">
        <v>192</v>
      </c>
      <c r="FH2056" s="1" t="s">
        <v>192</v>
      </c>
      <c r="FJ2056" s="1" t="s">
        <v>498</v>
      </c>
      <c r="FK2056" s="1" t="s">
        <v>229</v>
      </c>
      <c r="FL2056" s="1" t="s">
        <v>456</v>
      </c>
      <c r="FM2056" s="1">
        <v>25003.0</v>
      </c>
      <c r="FN2056" s="1" t="s">
        <v>19497</v>
      </c>
      <c r="FO2056" s="1" t="s">
        <v>19498</v>
      </c>
      <c r="FP2056" s="1">
        <v>505081.0</v>
      </c>
      <c r="FQ2056" s="1" t="s">
        <v>19499</v>
      </c>
      <c r="FU2056" s="1" t="s">
        <v>19500</v>
      </c>
      <c r="FV2056" s="1" t="s">
        <v>200</v>
      </c>
      <c r="FW2056" s="1" t="s">
        <v>530</v>
      </c>
      <c r="FZ2056" s="1" t="s">
        <v>229</v>
      </c>
      <c r="GA2056" s="1" t="s">
        <v>291</v>
      </c>
      <c r="GB2056" s="2">
        <v>42044.0</v>
      </c>
      <c r="GC2056" s="1" t="s">
        <v>19501</v>
      </c>
    </row>
    <row r="2057">
      <c r="A2057" s="1">
        <v>146000.0</v>
      </c>
      <c r="B2057" s="1" t="s">
        <v>185</v>
      </c>
      <c r="C2057" s="1" t="str">
        <f>"08729022"</f>
        <v>08729022</v>
      </c>
      <c r="D2057" s="1" t="s">
        <v>186</v>
      </c>
      <c r="F2057" s="1" t="str">
        <f>"110"</f>
        <v>110</v>
      </c>
      <c r="G2057" s="2">
        <v>41897.0</v>
      </c>
      <c r="H2057" s="1">
        <v>149900.0</v>
      </c>
      <c r="I2057" s="1">
        <v>29.0</v>
      </c>
      <c r="J2057" s="1">
        <v>149900.0</v>
      </c>
      <c r="K2057" s="2">
        <v>41925.0</v>
      </c>
      <c r="L2057" s="1">
        <v>29.0</v>
      </c>
      <c r="M2057" s="2">
        <v>41925.0</v>
      </c>
      <c r="N2057" s="1" t="s">
        <v>187</v>
      </c>
      <c r="O2057" s="2">
        <v>41969.0</v>
      </c>
      <c r="P2057" s="1">
        <v>230456.0</v>
      </c>
      <c r="Q2057" s="1">
        <v>23591.0</v>
      </c>
      <c r="S2057" s="1">
        <v>333.0</v>
      </c>
      <c r="T2057" s="1" t="s">
        <v>3842</v>
      </c>
      <c r="U2057" s="1" t="s">
        <v>320</v>
      </c>
      <c r="V2057" s="1" t="s">
        <v>807</v>
      </c>
      <c r="W2057" s="1">
        <v>60110.0</v>
      </c>
      <c r="Y2057" s="1" t="s">
        <v>19502</v>
      </c>
      <c r="Z2057" s="1">
        <v>1994.0</v>
      </c>
      <c r="AA2057" s="1" t="s">
        <v>200</v>
      </c>
      <c r="AB2057" s="1" t="s">
        <v>193</v>
      </c>
      <c r="AC2057" s="1" t="s">
        <v>12021</v>
      </c>
      <c r="AD2057" s="1" t="s">
        <v>809</v>
      </c>
      <c r="AE2057" s="1" t="s">
        <v>325</v>
      </c>
      <c r="AF2057" s="1" t="s">
        <v>810</v>
      </c>
      <c r="AH2057" s="1" t="s">
        <v>19503</v>
      </c>
      <c r="AK2057" s="1">
        <v>7.0</v>
      </c>
      <c r="AL2057" s="1">
        <v>4.0</v>
      </c>
      <c r="AM2057" s="1">
        <v>3.0</v>
      </c>
      <c r="AN2057" s="1">
        <v>0.0</v>
      </c>
      <c r="AO2057" s="1" t="s">
        <v>198</v>
      </c>
      <c r="AQ2057" s="1" t="s">
        <v>198</v>
      </c>
      <c r="AR2057" s="1" t="s">
        <v>192</v>
      </c>
      <c r="AS2057" s="1" t="s">
        <v>199</v>
      </c>
      <c r="AT2057" s="1">
        <v>2.0</v>
      </c>
      <c r="AV2057" s="1" t="s">
        <v>200</v>
      </c>
      <c r="AW2057" s="1">
        <v>4544.0</v>
      </c>
      <c r="AX2057" s="1">
        <v>2013.0</v>
      </c>
      <c r="AZ2057" s="1" t="s">
        <v>200</v>
      </c>
      <c r="BA2057" s="1" t="str">
        <f>"0315463009"</f>
        <v>0315463009</v>
      </c>
      <c r="BC2057" s="1">
        <v>1360.0</v>
      </c>
      <c r="BD2057" s="1">
        <v>146000.0</v>
      </c>
      <c r="BE2057" s="2">
        <v>41897.0</v>
      </c>
      <c r="BF2057" s="2" t="s">
        <v>19504</v>
      </c>
      <c r="BH2057" s="1">
        <v>0.0</v>
      </c>
      <c r="BK2057" s="1" t="s">
        <v>204</v>
      </c>
      <c r="BL2057" s="1" t="str">
        <f>"17"</f>
        <v>17</v>
      </c>
      <c r="BM2057" s="1" t="str">
        <f t="shared" si="1351"/>
        <v>0</v>
      </c>
      <c r="BN2057" s="1">
        <v>34.0</v>
      </c>
      <c r="BO2057" s="1">
        <v>0.0</v>
      </c>
      <c r="BQ2057" s="1">
        <v>300.0</v>
      </c>
      <c r="BR2057" s="1">
        <v>300.0</v>
      </c>
      <c r="BS2057" s="1">
        <v>300.0</v>
      </c>
      <c r="BU2057" s="1" t="s">
        <v>1244</v>
      </c>
      <c r="BV2057" s="1" t="s">
        <v>206</v>
      </c>
      <c r="BW2057" s="1" t="s">
        <v>210</v>
      </c>
      <c r="BY2057" s="1" t="s">
        <v>262</v>
      </c>
      <c r="BZ2057" s="1" t="s">
        <v>206</v>
      </c>
      <c r="CA2057" s="1" t="s">
        <v>210</v>
      </c>
      <c r="CD2057" s="1" t="s">
        <v>204</v>
      </c>
      <c r="CG2057" s="1" t="s">
        <v>699</v>
      </c>
      <c r="CH2057" s="1" t="s">
        <v>206</v>
      </c>
      <c r="CI2057" s="1" t="s">
        <v>210</v>
      </c>
      <c r="CK2057" s="1" t="s">
        <v>495</v>
      </c>
      <c r="CL2057" s="1" t="s">
        <v>206</v>
      </c>
      <c r="CM2057" s="1" t="s">
        <v>210</v>
      </c>
      <c r="CO2057" s="1" t="s">
        <v>392</v>
      </c>
      <c r="CP2057" s="1" t="s">
        <v>267</v>
      </c>
      <c r="CQ2057" s="1" t="s">
        <v>617</v>
      </c>
      <c r="CS2057" s="1" t="s">
        <v>332</v>
      </c>
      <c r="CT2057" s="1" t="s">
        <v>206</v>
      </c>
      <c r="CU2057" s="1" t="s">
        <v>268</v>
      </c>
      <c r="CW2057" s="1" t="s">
        <v>361</v>
      </c>
      <c r="CX2057" s="1" t="s">
        <v>267</v>
      </c>
      <c r="CY2057" s="1" t="s">
        <v>210</v>
      </c>
      <c r="DA2057" s="1" t="s">
        <v>200</v>
      </c>
      <c r="DC2057" s="1" t="s">
        <v>678</v>
      </c>
      <c r="DE2057" s="1" t="s">
        <v>273</v>
      </c>
      <c r="DF2057" s="1" t="s">
        <v>219</v>
      </c>
      <c r="DH2057" s="1" t="s">
        <v>220</v>
      </c>
      <c r="DJ2057" s="1" t="s">
        <v>222</v>
      </c>
      <c r="DL2057" s="1" t="s">
        <v>224</v>
      </c>
      <c r="DM2057" s="1" t="s">
        <v>229</v>
      </c>
      <c r="DQ2057" s="1" t="s">
        <v>228</v>
      </c>
      <c r="DR2057" s="1" t="s">
        <v>229</v>
      </c>
      <c r="DV2057" s="1" t="s">
        <v>232</v>
      </c>
      <c r="DW2057" s="1" t="s">
        <v>233</v>
      </c>
      <c r="DX2057" s="1" t="s">
        <v>234</v>
      </c>
      <c r="EC2057" s="1" t="s">
        <v>685</v>
      </c>
      <c r="EM2057" s="1" t="s">
        <v>238</v>
      </c>
      <c r="EQ2057" s="1" t="s">
        <v>238</v>
      </c>
      <c r="EU2057" s="1" t="s">
        <v>238</v>
      </c>
      <c r="EY2057" s="1" t="s">
        <v>238</v>
      </c>
      <c r="FC2057" s="1" t="s">
        <v>238</v>
      </c>
      <c r="FF2057" s="1" t="s">
        <v>239</v>
      </c>
      <c r="FG2057" s="1" t="s">
        <v>192</v>
      </c>
      <c r="FH2057" s="1" t="s">
        <v>192</v>
      </c>
      <c r="FJ2057" s="1" t="s">
        <v>770</v>
      </c>
      <c r="FK2057" s="1" t="s">
        <v>229</v>
      </c>
      <c r="FL2057" s="1" t="s">
        <v>9453</v>
      </c>
      <c r="FM2057" s="1">
        <v>1455.0</v>
      </c>
      <c r="FN2057" s="1" t="s">
        <v>9454</v>
      </c>
      <c r="FO2057" s="1" t="s">
        <v>19505</v>
      </c>
      <c r="FP2057" s="1">
        <v>85585.0</v>
      </c>
      <c r="FU2057" s="1" t="s">
        <v>19506</v>
      </c>
      <c r="FV2057" s="1" t="s">
        <v>200</v>
      </c>
      <c r="FW2057" s="1" t="s">
        <v>19507</v>
      </c>
      <c r="FZ2057" s="1" t="s">
        <v>229</v>
      </c>
      <c r="GA2057" s="1" t="s">
        <v>291</v>
      </c>
      <c r="GB2057" s="2">
        <v>41977.0</v>
      </c>
      <c r="GC2057" s="1" t="s">
        <v>19508</v>
      </c>
    </row>
    <row r="2058">
      <c r="A2058" s="1">
        <v>285500.0</v>
      </c>
      <c r="B2058" s="1" t="s">
        <v>185</v>
      </c>
      <c r="C2058" s="1" t="str">
        <f>"08734008"</f>
        <v>08734008</v>
      </c>
      <c r="D2058" s="1" t="s">
        <v>186</v>
      </c>
      <c r="F2058" s="1" t="str">
        <f>"8021"</f>
        <v>8021</v>
      </c>
      <c r="G2058" s="2">
        <v>41903.0</v>
      </c>
      <c r="H2058" s="1">
        <v>299000.0</v>
      </c>
      <c r="I2058" s="1">
        <v>122.0</v>
      </c>
      <c r="J2058" s="1">
        <v>299000.0</v>
      </c>
      <c r="K2058" s="2">
        <v>42024.0</v>
      </c>
      <c r="L2058" s="1">
        <v>122.0</v>
      </c>
      <c r="M2058" s="2">
        <v>42024.0</v>
      </c>
      <c r="N2058" s="1" t="s">
        <v>187</v>
      </c>
      <c r="O2058" s="2">
        <v>42067.0</v>
      </c>
      <c r="P2058" s="1">
        <v>113059.0</v>
      </c>
      <c r="Q2058" s="1">
        <v>12026.0</v>
      </c>
      <c r="S2058" s="1">
        <v>3431.0</v>
      </c>
      <c r="T2058" s="1" t="s">
        <v>19509</v>
      </c>
      <c r="U2058" s="1" t="s">
        <v>189</v>
      </c>
      <c r="V2058" s="1" t="s">
        <v>190</v>
      </c>
      <c r="W2058" s="1">
        <v>60618.0</v>
      </c>
      <c r="Y2058" s="1" t="s">
        <v>19510</v>
      </c>
      <c r="Z2058" s="1">
        <v>1961.0</v>
      </c>
      <c r="AA2058" s="1" t="s">
        <v>192</v>
      </c>
      <c r="AB2058" s="1" t="s">
        <v>193</v>
      </c>
      <c r="AD2058" s="1" t="s">
        <v>194</v>
      </c>
      <c r="AE2058" s="1" t="s">
        <v>195</v>
      </c>
      <c r="AF2058" s="1" t="s">
        <v>196</v>
      </c>
      <c r="AH2058" s="6">
        <v>3125.0</v>
      </c>
      <c r="AI2058" s="1">
        <v>0.0717</v>
      </c>
      <c r="AK2058" s="1">
        <v>6.0</v>
      </c>
      <c r="AL2058" s="1">
        <v>4.0</v>
      </c>
      <c r="AM2058" s="1">
        <v>1.0</v>
      </c>
      <c r="AN2058" s="1">
        <v>1.0</v>
      </c>
      <c r="AO2058" s="1" t="s">
        <v>229</v>
      </c>
      <c r="AQ2058" s="1" t="s">
        <v>198</v>
      </c>
      <c r="AR2058" s="1" t="s">
        <v>200</v>
      </c>
      <c r="AS2058" s="1" t="s">
        <v>199</v>
      </c>
      <c r="AT2058" s="1">
        <v>2.0</v>
      </c>
      <c r="AV2058" s="1" t="s">
        <v>200</v>
      </c>
      <c r="AW2058" s="1">
        <v>1032.55</v>
      </c>
      <c r="AX2058" s="1">
        <v>2012.0</v>
      </c>
      <c r="AZ2058" s="1" t="s">
        <v>200</v>
      </c>
      <c r="BA2058" s="1" t="str">
        <f>"13233120090000"</f>
        <v>13233120090000</v>
      </c>
      <c r="BC2058" s="1">
        <v>1500.0</v>
      </c>
      <c r="BD2058" s="1">
        <v>285500.0</v>
      </c>
      <c r="BE2058" s="2">
        <v>41903.0</v>
      </c>
      <c r="BF2058" s="2" t="s">
        <v>19511</v>
      </c>
      <c r="BH2058" s="1">
        <v>0.0</v>
      </c>
      <c r="BK2058" s="1" t="s">
        <v>204</v>
      </c>
      <c r="BL2058" s="1" t="str">
        <f>"3431"</f>
        <v>3431</v>
      </c>
      <c r="BM2058" s="1" t="str">
        <f t="shared" si="1351"/>
        <v>0</v>
      </c>
      <c r="BN2058" s="1">
        <v>3800.0</v>
      </c>
      <c r="BO2058" s="1">
        <v>0.0</v>
      </c>
      <c r="BQ2058" s="1">
        <v>299.0</v>
      </c>
      <c r="BR2058" s="1">
        <v>299.0</v>
      </c>
      <c r="BS2058" s="1">
        <v>299.0</v>
      </c>
      <c r="BU2058" s="1" t="s">
        <v>393</v>
      </c>
      <c r="BV2058" s="1" t="s">
        <v>206</v>
      </c>
      <c r="BY2058" s="1" t="s">
        <v>215</v>
      </c>
      <c r="BZ2058" s="1" t="s">
        <v>209</v>
      </c>
      <c r="CD2058" s="1" t="s">
        <v>204</v>
      </c>
      <c r="CG2058" s="1" t="s">
        <v>269</v>
      </c>
      <c r="CH2058" s="1" t="s">
        <v>209</v>
      </c>
      <c r="CK2058" s="1" t="s">
        <v>215</v>
      </c>
      <c r="CL2058" s="1" t="s">
        <v>209</v>
      </c>
      <c r="CO2058" s="1" t="s">
        <v>269</v>
      </c>
      <c r="CP2058" s="1" t="s">
        <v>206</v>
      </c>
      <c r="CS2058" s="1" t="s">
        <v>729</v>
      </c>
      <c r="CT2058" s="1" t="s">
        <v>206</v>
      </c>
      <c r="CX2058" s="1" t="s">
        <v>204</v>
      </c>
      <c r="DA2058" s="1" t="s">
        <v>200</v>
      </c>
      <c r="DC2058" s="1" t="s">
        <v>271</v>
      </c>
      <c r="DE2058" s="1" t="s">
        <v>229</v>
      </c>
      <c r="DF2058" s="1" t="s">
        <v>619</v>
      </c>
      <c r="DH2058" s="1" t="s">
        <v>365</v>
      </c>
      <c r="DJ2058" s="1" t="s">
        <v>222</v>
      </c>
      <c r="DL2058" s="1" t="s">
        <v>223</v>
      </c>
      <c r="DM2058" s="1" t="s">
        <v>1143</v>
      </c>
      <c r="DQ2058" s="1" t="s">
        <v>794</v>
      </c>
      <c r="DR2058" s="1" t="s">
        <v>229</v>
      </c>
      <c r="DV2058" s="1" t="s">
        <v>232</v>
      </c>
      <c r="DW2058" s="1" t="s">
        <v>279</v>
      </c>
      <c r="DX2058" s="1" t="s">
        <v>234</v>
      </c>
      <c r="DY2058" s="1" t="s">
        <v>704</v>
      </c>
      <c r="DZ2058" s="1" t="s">
        <v>282</v>
      </c>
      <c r="EC2058" s="1" t="s">
        <v>237</v>
      </c>
      <c r="ED2058" s="1" t="s">
        <v>407</v>
      </c>
      <c r="EM2058" s="1" t="s">
        <v>238</v>
      </c>
      <c r="EQ2058" s="1" t="s">
        <v>238</v>
      </c>
      <c r="EU2058" s="1" t="s">
        <v>238</v>
      </c>
      <c r="EY2058" s="1" t="s">
        <v>238</v>
      </c>
      <c r="FC2058" s="1" t="s">
        <v>238</v>
      </c>
      <c r="FF2058" s="1" t="s">
        <v>239</v>
      </c>
      <c r="FG2058" s="1" t="s">
        <v>192</v>
      </c>
      <c r="FH2058" s="1" t="s">
        <v>192</v>
      </c>
      <c r="FJ2058" s="1" t="s">
        <v>15111</v>
      </c>
      <c r="FK2058" s="1" t="s">
        <v>229</v>
      </c>
      <c r="FL2058" s="1" t="s">
        <v>19512</v>
      </c>
      <c r="FM2058" s="1">
        <v>8869.0</v>
      </c>
      <c r="FN2058" s="1" t="s">
        <v>19513</v>
      </c>
      <c r="FO2058" s="1" t="s">
        <v>19514</v>
      </c>
      <c r="FP2058" s="1">
        <v>28235.0</v>
      </c>
      <c r="FQ2058" s="1" t="s">
        <v>19515</v>
      </c>
      <c r="FU2058" s="1" t="s">
        <v>19516</v>
      </c>
      <c r="FV2058" s="1" t="s">
        <v>200</v>
      </c>
      <c r="FW2058" s="1" t="s">
        <v>631</v>
      </c>
      <c r="FX2058" s="1" t="s">
        <v>238</v>
      </c>
      <c r="FZ2058" s="1" t="s">
        <v>229</v>
      </c>
      <c r="GA2058" s="1" t="s">
        <v>291</v>
      </c>
      <c r="GB2058" s="2">
        <v>42067.0</v>
      </c>
      <c r="GC2058" s="1" t="s">
        <v>19517</v>
      </c>
    </row>
    <row r="2059">
      <c r="A2059" s="1">
        <v>245000.0</v>
      </c>
      <c r="B2059" s="1" t="s">
        <v>185</v>
      </c>
      <c r="C2059" s="1" t="str">
        <f>"08735106"</f>
        <v>08735106</v>
      </c>
      <c r="D2059" s="1" t="s">
        <v>186</v>
      </c>
      <c r="F2059" s="1" t="str">
        <f>"542"</f>
        <v>542</v>
      </c>
      <c r="G2059" s="2">
        <v>41904.0</v>
      </c>
      <c r="H2059" s="1">
        <v>285000.0</v>
      </c>
      <c r="I2059" s="1">
        <v>82.0</v>
      </c>
      <c r="J2059" s="1">
        <v>250000.0</v>
      </c>
      <c r="K2059" s="2">
        <v>41985.0</v>
      </c>
      <c r="L2059" s="1">
        <v>82.0</v>
      </c>
      <c r="M2059" s="2">
        <v>41985.0</v>
      </c>
      <c r="N2059" s="1" t="s">
        <v>187</v>
      </c>
      <c r="O2059" s="2">
        <v>42062.0</v>
      </c>
      <c r="P2059" s="1">
        <v>701986.0</v>
      </c>
      <c r="Q2059" s="1">
        <v>72505.0</v>
      </c>
      <c r="S2059" s="1">
        <v>611.0</v>
      </c>
      <c r="T2059" s="1" t="s">
        <v>19518</v>
      </c>
      <c r="U2059" s="1" t="s">
        <v>569</v>
      </c>
      <c r="V2059" s="1" t="s">
        <v>3984</v>
      </c>
      <c r="W2059" s="1">
        <v>60542.0</v>
      </c>
      <c r="Y2059" s="1" t="s">
        <v>19519</v>
      </c>
      <c r="Z2059" s="1">
        <v>1995.0</v>
      </c>
      <c r="AA2059" s="1" t="s">
        <v>200</v>
      </c>
      <c r="AB2059" s="1" t="s">
        <v>193</v>
      </c>
      <c r="AC2059" s="1" t="s">
        <v>4811</v>
      </c>
      <c r="AD2059" s="1" t="s">
        <v>3986</v>
      </c>
      <c r="AE2059" s="1" t="s">
        <v>325</v>
      </c>
      <c r="AF2059" s="1" t="s">
        <v>2702</v>
      </c>
      <c r="AH2059" s="1" t="s">
        <v>4038</v>
      </c>
      <c r="AI2059" s="1">
        <v>0.1893</v>
      </c>
      <c r="AK2059" s="1">
        <v>9.0</v>
      </c>
      <c r="AL2059" s="1">
        <v>4.0</v>
      </c>
      <c r="AM2059" s="1">
        <v>2.0</v>
      </c>
      <c r="AN2059" s="1">
        <v>1.0</v>
      </c>
      <c r="AO2059" s="1" t="s">
        <v>198</v>
      </c>
      <c r="AP2059" s="1">
        <v>1.0</v>
      </c>
      <c r="AQ2059" s="1" t="s">
        <v>198</v>
      </c>
      <c r="AR2059" s="1" t="s">
        <v>200</v>
      </c>
      <c r="AS2059" s="1" t="s">
        <v>199</v>
      </c>
      <c r="AT2059" s="1">
        <v>3.0</v>
      </c>
      <c r="AV2059" s="1" t="s">
        <v>200</v>
      </c>
      <c r="AW2059" s="1">
        <v>7949.12</v>
      </c>
      <c r="AX2059" s="1">
        <v>2012.0</v>
      </c>
      <c r="AY2059" s="1" t="s">
        <v>387</v>
      </c>
      <c r="AZ2059" s="1" t="s">
        <v>200</v>
      </c>
      <c r="BA2059" s="1" t="str">
        <f>"1234229009"</f>
        <v>1234229009</v>
      </c>
      <c r="BC2059" s="1">
        <v>2200.0</v>
      </c>
      <c r="BD2059" s="1">
        <v>245000.0</v>
      </c>
      <c r="BE2059" s="2">
        <v>41904.0</v>
      </c>
      <c r="BF2059" s="2" t="s">
        <v>19520</v>
      </c>
      <c r="BG2059" s="1" t="s">
        <v>4059</v>
      </c>
      <c r="BH2059" s="1">
        <v>0.0</v>
      </c>
      <c r="BJ2059" s="1" t="s">
        <v>3831</v>
      </c>
      <c r="BK2059" s="1" t="s">
        <v>204</v>
      </c>
      <c r="BL2059" s="1" t="str">
        <f t="shared" ref="BL2059:BM2059" si="1352">""</f>
        <v/>
      </c>
      <c r="BM2059" s="1" t="str">
        <f t="shared" si="1352"/>
        <v/>
      </c>
      <c r="BQ2059" s="1">
        <v>129.0</v>
      </c>
      <c r="BR2059" s="1">
        <v>129.0</v>
      </c>
      <c r="BS2059" s="1">
        <v>129.0</v>
      </c>
      <c r="BU2059" s="1" t="s">
        <v>329</v>
      </c>
      <c r="BV2059" s="1" t="s">
        <v>206</v>
      </c>
      <c r="BW2059" s="1" t="s">
        <v>207</v>
      </c>
      <c r="BX2059" s="1" t="s">
        <v>239</v>
      </c>
      <c r="BY2059" s="1" t="s">
        <v>854</v>
      </c>
      <c r="BZ2059" s="1" t="s">
        <v>209</v>
      </c>
      <c r="CA2059" s="1" t="s">
        <v>210</v>
      </c>
      <c r="CB2059" s="1" t="s">
        <v>239</v>
      </c>
      <c r="CC2059" s="1" t="s">
        <v>2505</v>
      </c>
      <c r="CD2059" s="1" t="s">
        <v>206</v>
      </c>
      <c r="CE2059" s="1" t="s">
        <v>207</v>
      </c>
      <c r="CF2059" s="1" t="s">
        <v>239</v>
      </c>
      <c r="CG2059" s="1" t="s">
        <v>393</v>
      </c>
      <c r="CH2059" s="1" t="s">
        <v>209</v>
      </c>
      <c r="CI2059" s="1" t="s">
        <v>210</v>
      </c>
      <c r="CJ2059" s="1" t="s">
        <v>239</v>
      </c>
      <c r="CK2059" s="1" t="s">
        <v>215</v>
      </c>
      <c r="CL2059" s="1" t="s">
        <v>209</v>
      </c>
      <c r="CM2059" s="1" t="s">
        <v>210</v>
      </c>
      <c r="CN2059" s="1" t="s">
        <v>239</v>
      </c>
      <c r="CO2059" s="1" t="s">
        <v>269</v>
      </c>
      <c r="CP2059" s="1" t="s">
        <v>209</v>
      </c>
      <c r="CQ2059" s="1" t="s">
        <v>210</v>
      </c>
      <c r="CR2059" s="1" t="s">
        <v>239</v>
      </c>
      <c r="CS2059" s="1" t="s">
        <v>208</v>
      </c>
      <c r="CT2059" s="1" t="s">
        <v>206</v>
      </c>
      <c r="CU2059" s="1" t="s">
        <v>207</v>
      </c>
      <c r="CV2059" s="1" t="s">
        <v>239</v>
      </c>
      <c r="CW2059" s="1" t="s">
        <v>784</v>
      </c>
      <c r="CX2059" s="1" t="s">
        <v>206</v>
      </c>
      <c r="CY2059" s="1" t="s">
        <v>210</v>
      </c>
      <c r="CZ2059" s="1" t="s">
        <v>239</v>
      </c>
      <c r="DA2059" s="1" t="s">
        <v>200</v>
      </c>
      <c r="DC2059" s="1" t="s">
        <v>678</v>
      </c>
      <c r="DD2059" s="1" t="s">
        <v>518</v>
      </c>
      <c r="DE2059" s="1" t="s">
        <v>273</v>
      </c>
      <c r="DF2059" s="1" t="s">
        <v>619</v>
      </c>
      <c r="DG2059" s="1" t="s">
        <v>337</v>
      </c>
      <c r="DH2059" s="1" t="s">
        <v>220</v>
      </c>
      <c r="DI2059" s="1" t="s">
        <v>221</v>
      </c>
      <c r="DJ2059" s="1" t="s">
        <v>222</v>
      </c>
      <c r="DK2059" s="1" t="s">
        <v>198</v>
      </c>
      <c r="DL2059" s="1" t="s">
        <v>224</v>
      </c>
      <c r="DM2059" s="1" t="s">
        <v>338</v>
      </c>
      <c r="DN2059" s="1" t="s">
        <v>399</v>
      </c>
      <c r="DO2059" s="1" t="s">
        <v>549</v>
      </c>
      <c r="DP2059" s="1" t="s">
        <v>340</v>
      </c>
      <c r="DQ2059" s="1" t="s">
        <v>228</v>
      </c>
      <c r="DR2059" s="1" t="s">
        <v>229</v>
      </c>
      <c r="DU2059" s="1" t="s">
        <v>3890</v>
      </c>
      <c r="DV2059" s="1" t="s">
        <v>450</v>
      </c>
      <c r="DW2059" s="1" t="s">
        <v>233</v>
      </c>
      <c r="DX2059" s="1" t="s">
        <v>234</v>
      </c>
      <c r="DY2059" s="1" t="s">
        <v>596</v>
      </c>
      <c r="DZ2059" s="1" t="s">
        <v>3044</v>
      </c>
      <c r="EA2059" s="1" t="s">
        <v>344</v>
      </c>
      <c r="EB2059" s="1" t="s">
        <v>937</v>
      </c>
      <c r="EC2059" s="1" t="s">
        <v>237</v>
      </c>
      <c r="ED2059" s="1" t="s">
        <v>407</v>
      </c>
      <c r="EG2059" s="1" t="s">
        <v>450</v>
      </c>
      <c r="EL2059" s="1" t="s">
        <v>334</v>
      </c>
      <c r="EM2059" s="1" t="s">
        <v>42</v>
      </c>
      <c r="EN2059" s="1" t="s">
        <v>210</v>
      </c>
      <c r="EQ2059" s="1" t="s">
        <v>238</v>
      </c>
      <c r="EU2059" s="1" t="s">
        <v>238</v>
      </c>
      <c r="EY2059" s="1" t="s">
        <v>238</v>
      </c>
      <c r="FC2059" s="1" t="s">
        <v>238</v>
      </c>
      <c r="FF2059" s="1" t="s">
        <v>239</v>
      </c>
      <c r="FG2059" s="1" t="s">
        <v>192</v>
      </c>
      <c r="FH2059" s="1" t="s">
        <v>192</v>
      </c>
      <c r="FJ2059" s="1" t="s">
        <v>624</v>
      </c>
      <c r="FK2059" s="1" t="s">
        <v>229</v>
      </c>
      <c r="FL2059" s="1" t="s">
        <v>456</v>
      </c>
      <c r="FM2059" s="1">
        <v>49.0</v>
      </c>
      <c r="FN2059" s="1" t="s">
        <v>457</v>
      </c>
      <c r="FO2059" s="1" t="s">
        <v>19521</v>
      </c>
      <c r="FP2059" s="1">
        <v>665.0</v>
      </c>
      <c r="FQ2059" s="1" t="s">
        <v>19522</v>
      </c>
      <c r="FR2059" s="1">
        <v>902.0</v>
      </c>
      <c r="FU2059" s="1" t="s">
        <v>19523</v>
      </c>
      <c r="FV2059" s="1" t="s">
        <v>200</v>
      </c>
      <c r="FW2059" s="1" t="s">
        <v>567</v>
      </c>
      <c r="FZ2059" s="1" t="s">
        <v>229</v>
      </c>
      <c r="GA2059" s="1" t="s">
        <v>291</v>
      </c>
      <c r="GB2059" s="2">
        <v>42062.0</v>
      </c>
      <c r="GC2059" s="1" t="s">
        <v>14627</v>
      </c>
    </row>
    <row r="2060">
      <c r="A2060" s="1">
        <v>275000.0</v>
      </c>
      <c r="B2060" s="1" t="s">
        <v>185</v>
      </c>
      <c r="C2060" s="1" t="str">
        <f>"08730876"</f>
        <v>08730876</v>
      </c>
      <c r="D2060" s="1" t="s">
        <v>186</v>
      </c>
      <c r="F2060" s="1" t="str">
        <f>"8022"</f>
        <v>8022</v>
      </c>
      <c r="G2060" s="2">
        <v>41899.0</v>
      </c>
      <c r="H2060" s="1">
        <v>310000.0</v>
      </c>
      <c r="I2060" s="1">
        <v>12.0</v>
      </c>
      <c r="J2060" s="1">
        <v>310000.0</v>
      </c>
      <c r="K2060" s="2">
        <v>41910.0</v>
      </c>
      <c r="L2060" s="1">
        <v>12.0</v>
      </c>
      <c r="M2060" s="2">
        <v>41910.0</v>
      </c>
      <c r="N2060" s="1" t="s">
        <v>356</v>
      </c>
      <c r="O2060" s="2">
        <v>41975.0</v>
      </c>
      <c r="P2060" s="1">
        <v>241056.0</v>
      </c>
      <c r="Q2060" s="1">
        <v>25709.0</v>
      </c>
      <c r="R2060" s="1">
        <v>7000.0</v>
      </c>
      <c r="S2060" s="1">
        <v>3642.0</v>
      </c>
      <c r="T2060" s="1" t="s">
        <v>7911</v>
      </c>
      <c r="U2060" s="1" t="s">
        <v>320</v>
      </c>
      <c r="V2060" s="1" t="s">
        <v>190</v>
      </c>
      <c r="W2060" s="1">
        <v>60647.0</v>
      </c>
      <c r="Y2060" s="1" t="s">
        <v>19524</v>
      </c>
      <c r="Z2060" s="1">
        <v>1905.0</v>
      </c>
      <c r="AA2060" s="1" t="s">
        <v>192</v>
      </c>
      <c r="AB2060" s="1" t="s">
        <v>193</v>
      </c>
      <c r="AD2060" s="1" t="s">
        <v>194</v>
      </c>
      <c r="AE2060" s="1" t="s">
        <v>195</v>
      </c>
      <c r="AF2060" s="1" t="s">
        <v>196</v>
      </c>
      <c r="AG2060" s="1" t="s">
        <v>778</v>
      </c>
      <c r="AH2060" s="1" t="s">
        <v>6806</v>
      </c>
      <c r="AI2060" s="1">
        <v>0.0775</v>
      </c>
      <c r="AK2060" s="1">
        <v>7.0</v>
      </c>
      <c r="AL2060" s="1">
        <v>4.0</v>
      </c>
      <c r="AM2060" s="1">
        <v>3.0</v>
      </c>
      <c r="AN2060" s="1">
        <v>0.0</v>
      </c>
      <c r="AO2060" s="1" t="s">
        <v>229</v>
      </c>
      <c r="AQ2060" s="1" t="s">
        <v>198</v>
      </c>
      <c r="AR2060" s="1" t="s">
        <v>192</v>
      </c>
      <c r="AS2060" s="1" t="s">
        <v>199</v>
      </c>
      <c r="AT2060" s="1">
        <v>2.0</v>
      </c>
      <c r="AV2060" s="1" t="s">
        <v>200</v>
      </c>
      <c r="AW2060" s="1">
        <v>2359.0</v>
      </c>
      <c r="AX2060" s="1">
        <v>2013.0</v>
      </c>
      <c r="AY2060" s="1" t="s">
        <v>852</v>
      </c>
      <c r="AZ2060" s="1" t="s">
        <v>200</v>
      </c>
      <c r="BA2060" s="1" t="str">
        <f>"13353050390000"</f>
        <v>13353050390000</v>
      </c>
      <c r="BB2060" s="1" t="s">
        <v>192</v>
      </c>
      <c r="BC2060" s="1">
        <v>1008.0</v>
      </c>
      <c r="BD2060" s="1">
        <v>275000.0</v>
      </c>
      <c r="BE2060" s="2">
        <v>41899.0</v>
      </c>
      <c r="BF2060" s="2" t="s">
        <v>19525</v>
      </c>
      <c r="BH2060" s="1">
        <v>0.0</v>
      </c>
      <c r="BK2060" s="1" t="s">
        <v>204</v>
      </c>
      <c r="BL2060" s="1" t="str">
        <f>"1900"</f>
        <v>1900</v>
      </c>
      <c r="BM2060" s="1" t="str">
        <f>"0"</f>
        <v>0</v>
      </c>
      <c r="BN2060" s="1">
        <v>3642.0</v>
      </c>
      <c r="BO2060" s="1">
        <v>0.0</v>
      </c>
      <c r="BQ2060" s="1">
        <v>299.0</v>
      </c>
      <c r="BR2060" s="1">
        <v>299.0</v>
      </c>
      <c r="BS2060" s="1">
        <v>299.0</v>
      </c>
      <c r="BU2060" s="1" t="s">
        <v>3888</v>
      </c>
      <c r="BV2060" s="1" t="s">
        <v>206</v>
      </c>
      <c r="BW2060" s="1" t="s">
        <v>210</v>
      </c>
      <c r="BY2060" s="1" t="s">
        <v>904</v>
      </c>
      <c r="BZ2060" s="1" t="s">
        <v>206</v>
      </c>
      <c r="CC2060" s="1" t="s">
        <v>2481</v>
      </c>
      <c r="CD2060" s="1" t="s">
        <v>206</v>
      </c>
      <c r="CG2060" s="1" t="s">
        <v>543</v>
      </c>
      <c r="CH2060" s="1" t="s">
        <v>206</v>
      </c>
      <c r="CK2060" s="1" t="s">
        <v>265</v>
      </c>
      <c r="CL2060" s="1" t="s">
        <v>209</v>
      </c>
      <c r="CO2060" s="1" t="s">
        <v>265</v>
      </c>
      <c r="CP2060" s="1" t="s">
        <v>209</v>
      </c>
      <c r="CS2060" s="1" t="s">
        <v>205</v>
      </c>
      <c r="CT2060" s="1" t="s">
        <v>206</v>
      </c>
      <c r="CU2060" s="1" t="s">
        <v>588</v>
      </c>
      <c r="CX2060" s="1" t="s">
        <v>204</v>
      </c>
      <c r="DA2060" s="1" t="s">
        <v>200</v>
      </c>
      <c r="DC2060" s="1" t="s">
        <v>642</v>
      </c>
      <c r="DE2060" s="1" t="s">
        <v>229</v>
      </c>
      <c r="DF2060" s="1" t="s">
        <v>619</v>
      </c>
      <c r="DH2060" s="1" t="s">
        <v>220</v>
      </c>
      <c r="DJ2060" s="1" t="s">
        <v>222</v>
      </c>
      <c r="DL2060" s="1" t="s">
        <v>224</v>
      </c>
      <c r="DM2060" s="1" t="s">
        <v>229</v>
      </c>
      <c r="DQ2060" s="1" t="s">
        <v>228</v>
      </c>
      <c r="DR2060" s="1" t="s">
        <v>229</v>
      </c>
      <c r="DV2060" s="1" t="s">
        <v>232</v>
      </c>
      <c r="DW2060" s="1" t="s">
        <v>279</v>
      </c>
      <c r="DX2060" s="1" t="s">
        <v>1287</v>
      </c>
      <c r="EC2060" s="1" t="s">
        <v>237</v>
      </c>
      <c r="EM2060" s="1" t="s">
        <v>238</v>
      </c>
      <c r="EQ2060" s="1" t="s">
        <v>238</v>
      </c>
      <c r="EU2060" s="1" t="s">
        <v>238</v>
      </c>
      <c r="EY2060" s="1" t="s">
        <v>238</v>
      </c>
      <c r="FC2060" s="1" t="s">
        <v>238</v>
      </c>
      <c r="FF2060" s="1" t="s">
        <v>239</v>
      </c>
      <c r="FG2060" s="1" t="s">
        <v>192</v>
      </c>
      <c r="FH2060" s="1" t="s">
        <v>192</v>
      </c>
      <c r="FJ2060" s="1" t="s">
        <v>3263</v>
      </c>
      <c r="FK2060" s="1" t="s">
        <v>229</v>
      </c>
      <c r="FL2060" s="1" t="s">
        <v>19526</v>
      </c>
      <c r="FM2060" s="1">
        <v>85926.0</v>
      </c>
      <c r="FN2060" s="1" t="s">
        <v>19527</v>
      </c>
      <c r="FO2060" s="1" t="s">
        <v>19528</v>
      </c>
      <c r="FP2060" s="1">
        <v>108145.0</v>
      </c>
      <c r="FQ2060" s="1" t="s">
        <v>19527</v>
      </c>
      <c r="FR2060" s="1">
        <v>877563.0</v>
      </c>
      <c r="FU2060" s="1" t="s">
        <v>19529</v>
      </c>
      <c r="FV2060" s="1" t="s">
        <v>200</v>
      </c>
      <c r="FW2060" s="1" t="s">
        <v>290</v>
      </c>
      <c r="FX2060" s="1" t="s">
        <v>246</v>
      </c>
      <c r="FZ2060" s="1" t="s">
        <v>229</v>
      </c>
      <c r="GA2060" s="1" t="s">
        <v>291</v>
      </c>
      <c r="GB2060" s="2">
        <v>41976.0</v>
      </c>
    </row>
    <row r="2061">
      <c r="A2061" s="1">
        <v>14000.0</v>
      </c>
      <c r="B2061" s="1" t="s">
        <v>185</v>
      </c>
      <c r="C2061" s="1" t="str">
        <f>"08736962"</f>
        <v>08736962</v>
      </c>
      <c r="D2061" s="1" t="s">
        <v>186</v>
      </c>
      <c r="F2061" s="1" t="str">
        <f>"8049"</f>
        <v>8049</v>
      </c>
      <c r="G2061" s="2">
        <v>41906.0</v>
      </c>
      <c r="H2061" s="1">
        <v>18500.0</v>
      </c>
      <c r="I2061" s="1">
        <v>91.0</v>
      </c>
      <c r="J2061" s="1">
        <v>14500.0</v>
      </c>
      <c r="K2061" s="2">
        <v>41996.0</v>
      </c>
      <c r="L2061" s="1">
        <v>91.0</v>
      </c>
      <c r="M2061" s="2">
        <v>41996.0</v>
      </c>
      <c r="N2061" s="1" t="s">
        <v>249</v>
      </c>
      <c r="O2061" s="2">
        <v>42034.0</v>
      </c>
      <c r="P2061" s="1">
        <v>153744.0</v>
      </c>
      <c r="Q2061" s="1">
        <v>18960.0</v>
      </c>
      <c r="S2061" s="1">
        <v>10568.0</v>
      </c>
      <c r="T2061" s="1" t="s">
        <v>10185</v>
      </c>
      <c r="U2061" s="1" t="s">
        <v>189</v>
      </c>
      <c r="V2061" s="1" t="s">
        <v>190</v>
      </c>
      <c r="W2061" s="1">
        <v>60628.0</v>
      </c>
      <c r="Y2061" s="1" t="s">
        <v>19530</v>
      </c>
      <c r="Z2061" s="1">
        <v>1948.0</v>
      </c>
      <c r="AA2061" s="1" t="s">
        <v>192</v>
      </c>
      <c r="AB2061" s="1" t="s">
        <v>193</v>
      </c>
      <c r="AD2061" s="1" t="s">
        <v>194</v>
      </c>
      <c r="AE2061" s="1" t="s">
        <v>195</v>
      </c>
      <c r="AF2061" s="1" t="s">
        <v>637</v>
      </c>
      <c r="AH2061" s="1" t="s">
        <v>359</v>
      </c>
      <c r="AI2061" s="1">
        <v>0.0</v>
      </c>
      <c r="AK2061" s="1">
        <v>7.0</v>
      </c>
      <c r="AL2061" s="1">
        <v>4.0</v>
      </c>
      <c r="AM2061" s="1">
        <v>1.0</v>
      </c>
      <c r="AN2061" s="1">
        <v>1.0</v>
      </c>
      <c r="AO2061" s="1" t="s">
        <v>229</v>
      </c>
      <c r="AQ2061" s="1" t="s">
        <v>198</v>
      </c>
      <c r="AR2061" s="1" t="s">
        <v>200</v>
      </c>
      <c r="AS2061" s="1" t="s">
        <v>229</v>
      </c>
      <c r="AV2061" s="1" t="s">
        <v>200</v>
      </c>
      <c r="AW2061" s="1">
        <v>1500.0</v>
      </c>
      <c r="AX2061" s="1">
        <v>2013.0</v>
      </c>
      <c r="AY2061" s="1" t="s">
        <v>387</v>
      </c>
      <c r="AZ2061" s="1" t="s">
        <v>200</v>
      </c>
      <c r="BA2061" s="1" t="str">
        <f>"25151210620000"</f>
        <v>25151210620000</v>
      </c>
      <c r="BC2061" s="1">
        <v>799.0</v>
      </c>
      <c r="BD2061" s="1">
        <v>14000.0</v>
      </c>
      <c r="BE2061" s="2">
        <v>41906.0</v>
      </c>
      <c r="BF2061" s="2" t="s">
        <v>19531</v>
      </c>
      <c r="BH2061" s="1">
        <v>0.0</v>
      </c>
      <c r="BK2061" s="1" t="s">
        <v>204</v>
      </c>
      <c r="BL2061" s="1" t="str">
        <f>"0"</f>
        <v>0</v>
      </c>
      <c r="BM2061" s="1" t="str">
        <f>"200"</f>
        <v>200</v>
      </c>
      <c r="BN2061" s="1">
        <v>0.0</v>
      </c>
      <c r="BO2061" s="1">
        <v>10419.0</v>
      </c>
      <c r="BQ2061" s="1">
        <v>299.0</v>
      </c>
      <c r="BR2061" s="1">
        <v>299.0</v>
      </c>
      <c r="BS2061" s="1">
        <v>299.0</v>
      </c>
      <c r="BU2061" s="1" t="s">
        <v>433</v>
      </c>
      <c r="BV2061" s="1" t="s">
        <v>206</v>
      </c>
      <c r="BW2061" s="1" t="s">
        <v>210</v>
      </c>
      <c r="BY2061" s="1" t="s">
        <v>392</v>
      </c>
      <c r="BZ2061" s="1" t="s">
        <v>206</v>
      </c>
      <c r="CA2061" s="1" t="s">
        <v>210</v>
      </c>
      <c r="CC2061" s="1" t="s">
        <v>433</v>
      </c>
      <c r="CD2061" s="1" t="s">
        <v>206</v>
      </c>
      <c r="CE2061" s="1" t="s">
        <v>210</v>
      </c>
      <c r="CG2061" s="1" t="s">
        <v>363</v>
      </c>
      <c r="CH2061" s="1" t="s">
        <v>209</v>
      </c>
      <c r="CI2061" s="1" t="s">
        <v>210</v>
      </c>
      <c r="CK2061" s="1" t="s">
        <v>264</v>
      </c>
      <c r="CL2061" s="1" t="s">
        <v>209</v>
      </c>
      <c r="CM2061" s="1" t="s">
        <v>210</v>
      </c>
      <c r="CO2061" s="1" t="s">
        <v>264</v>
      </c>
      <c r="CP2061" s="1" t="s">
        <v>209</v>
      </c>
      <c r="CQ2061" s="1" t="s">
        <v>210</v>
      </c>
      <c r="CS2061" s="1" t="s">
        <v>215</v>
      </c>
      <c r="CT2061" s="1" t="s">
        <v>206</v>
      </c>
      <c r="CU2061" s="1" t="s">
        <v>268</v>
      </c>
      <c r="CX2061" s="1" t="s">
        <v>204</v>
      </c>
      <c r="DA2061" s="1" t="s">
        <v>200</v>
      </c>
      <c r="DC2061" s="1" t="s">
        <v>702</v>
      </c>
      <c r="DD2061" s="1" t="s">
        <v>731</v>
      </c>
      <c r="DE2061" s="1" t="s">
        <v>1905</v>
      </c>
      <c r="DF2061" s="1" t="s">
        <v>219</v>
      </c>
      <c r="DG2061" s="1" t="s">
        <v>1657</v>
      </c>
      <c r="DH2061" s="1" t="s">
        <v>220</v>
      </c>
      <c r="DI2061" s="1" t="s">
        <v>2096</v>
      </c>
      <c r="DJ2061" s="1" t="s">
        <v>222</v>
      </c>
      <c r="DL2061" s="1" t="s">
        <v>223</v>
      </c>
      <c r="DM2061" s="1" t="s">
        <v>229</v>
      </c>
      <c r="DP2061" s="1" t="s">
        <v>340</v>
      </c>
      <c r="DQ2061" s="1" t="s">
        <v>794</v>
      </c>
      <c r="DR2061" s="1" t="s">
        <v>229</v>
      </c>
      <c r="DS2061" s="1" t="s">
        <v>230</v>
      </c>
      <c r="DV2061" s="1" t="s">
        <v>232</v>
      </c>
      <c r="DW2061" s="1" t="s">
        <v>279</v>
      </c>
      <c r="DX2061" s="1" t="s">
        <v>234</v>
      </c>
      <c r="DY2061" s="1" t="s">
        <v>987</v>
      </c>
      <c r="EA2061" s="1" t="s">
        <v>1075</v>
      </c>
      <c r="EC2061" s="1" t="s">
        <v>645</v>
      </c>
      <c r="EM2061" s="1" t="s">
        <v>238</v>
      </c>
      <c r="EQ2061" s="1" t="s">
        <v>238</v>
      </c>
      <c r="EU2061" s="1" t="s">
        <v>238</v>
      </c>
      <c r="EY2061" s="1" t="s">
        <v>238</v>
      </c>
      <c r="FC2061" s="1" t="s">
        <v>238</v>
      </c>
      <c r="FF2061" s="1" t="s">
        <v>239</v>
      </c>
      <c r="FG2061" s="1" t="s">
        <v>192</v>
      </c>
      <c r="FH2061" s="1" t="s">
        <v>192</v>
      </c>
      <c r="FJ2061" s="1" t="s">
        <v>4863</v>
      </c>
      <c r="FK2061" s="1" t="s">
        <v>229</v>
      </c>
      <c r="FL2061" s="1" t="s">
        <v>7557</v>
      </c>
      <c r="FM2061" s="1">
        <v>84495.0</v>
      </c>
      <c r="FN2061" s="1" t="s">
        <v>7558</v>
      </c>
      <c r="FO2061" s="1" t="s">
        <v>7559</v>
      </c>
      <c r="FP2061" s="1">
        <v>139484.0</v>
      </c>
      <c r="FQ2061" s="1" t="s">
        <v>7558</v>
      </c>
      <c r="FU2061" s="1" t="s">
        <v>3678</v>
      </c>
      <c r="FV2061" s="1" t="s">
        <v>192</v>
      </c>
      <c r="FW2061" s="1" t="s">
        <v>16515</v>
      </c>
      <c r="FX2061" s="1" t="s">
        <v>655</v>
      </c>
      <c r="FZ2061" s="1" t="s">
        <v>229</v>
      </c>
      <c r="GA2061" s="1" t="s">
        <v>291</v>
      </c>
      <c r="GB2061" s="2">
        <v>42037.0</v>
      </c>
      <c r="GC2061" s="1" t="s">
        <v>19532</v>
      </c>
    </row>
    <row r="2062">
      <c r="A2062" s="1">
        <v>304000.0</v>
      </c>
      <c r="B2062" s="1" t="s">
        <v>185</v>
      </c>
      <c r="C2062" s="1" t="str">
        <f>"08735255"</f>
        <v>08735255</v>
      </c>
      <c r="D2062" s="1" t="s">
        <v>186</v>
      </c>
      <c r="F2062" s="1" t="str">
        <f>"110"</f>
        <v>110</v>
      </c>
      <c r="G2062" s="2">
        <v>41905.0</v>
      </c>
      <c r="H2062" s="1">
        <v>325000.0</v>
      </c>
      <c r="I2062" s="1">
        <v>36.0</v>
      </c>
      <c r="J2062" s="1">
        <v>325000.0</v>
      </c>
      <c r="K2062" s="2">
        <v>41940.0</v>
      </c>
      <c r="L2062" s="1">
        <v>36.0</v>
      </c>
      <c r="M2062" s="2">
        <v>41940.0</v>
      </c>
      <c r="N2062" s="1" t="s">
        <v>187</v>
      </c>
      <c r="O2062" s="2">
        <v>41969.0</v>
      </c>
      <c r="P2062" s="1">
        <v>8138.0</v>
      </c>
      <c r="Q2062" s="1">
        <v>118.0</v>
      </c>
      <c r="S2062" s="1">
        <v>6651.0</v>
      </c>
      <c r="T2062" s="1" t="s">
        <v>19533</v>
      </c>
      <c r="U2062" s="1" t="s">
        <v>844</v>
      </c>
      <c r="V2062" s="1" t="s">
        <v>807</v>
      </c>
      <c r="W2062" s="1">
        <v>60110.0</v>
      </c>
      <c r="Y2062" s="1" t="s">
        <v>19534</v>
      </c>
      <c r="Z2062" s="1">
        <v>2002.0</v>
      </c>
      <c r="AA2062" s="1" t="s">
        <v>200</v>
      </c>
      <c r="AB2062" s="1" t="s">
        <v>193</v>
      </c>
      <c r="AC2062" s="1" t="s">
        <v>2766</v>
      </c>
      <c r="AD2062" s="1" t="s">
        <v>809</v>
      </c>
      <c r="AE2062" s="1" t="s">
        <v>325</v>
      </c>
      <c r="AF2062" s="1" t="s">
        <v>810</v>
      </c>
      <c r="AG2062" s="1" t="s">
        <v>1312</v>
      </c>
      <c r="AH2062" s="1" t="s">
        <v>19535</v>
      </c>
      <c r="AI2062" s="1">
        <v>0.19</v>
      </c>
      <c r="AK2062" s="1">
        <v>11.0</v>
      </c>
      <c r="AL2062" s="1">
        <v>4.0</v>
      </c>
      <c r="AM2062" s="1">
        <v>2.0</v>
      </c>
      <c r="AN2062" s="1">
        <v>1.0</v>
      </c>
      <c r="AO2062" s="1" t="s">
        <v>198</v>
      </c>
      <c r="AP2062" s="1">
        <v>1.0</v>
      </c>
      <c r="AQ2062" s="1" t="s">
        <v>198</v>
      </c>
      <c r="AR2062" s="1" t="s">
        <v>200</v>
      </c>
      <c r="AS2062" s="1" t="s">
        <v>199</v>
      </c>
      <c r="AT2062" s="1">
        <v>2.0</v>
      </c>
      <c r="AV2062" s="1" t="s">
        <v>200</v>
      </c>
      <c r="AW2062" s="1">
        <v>8900.0</v>
      </c>
      <c r="AX2062" s="1">
        <v>2013.0</v>
      </c>
      <c r="AY2062" s="1" t="s">
        <v>387</v>
      </c>
      <c r="AZ2062" s="1" t="s">
        <v>200</v>
      </c>
      <c r="BA2062" s="1" t="str">
        <f>"0308251026"</f>
        <v>0308251026</v>
      </c>
      <c r="BC2062" s="1">
        <v>2686.0</v>
      </c>
      <c r="BD2062" s="1">
        <v>304000.0</v>
      </c>
      <c r="BE2062" s="2">
        <v>41905.0</v>
      </c>
      <c r="BF2062" s="2" t="s">
        <v>19536</v>
      </c>
      <c r="BG2062" s="1" t="s">
        <v>5651</v>
      </c>
      <c r="BH2062" s="1">
        <v>176.0</v>
      </c>
      <c r="BI2062" s="1" t="s">
        <v>5651</v>
      </c>
      <c r="BJ2062" s="1" t="s">
        <v>1759</v>
      </c>
      <c r="BK2062" s="1" t="s">
        <v>580</v>
      </c>
      <c r="BL2062" s="1" t="str">
        <f>"18"</f>
        <v>18</v>
      </c>
      <c r="BM2062" s="1" t="str">
        <f>"0"</f>
        <v>0</v>
      </c>
      <c r="BN2062" s="1">
        <v>36.0</v>
      </c>
      <c r="BO2062" s="1">
        <v>0.0</v>
      </c>
      <c r="BQ2062" s="1">
        <v>300.0</v>
      </c>
      <c r="BR2062" s="1">
        <v>300.0</v>
      </c>
      <c r="BS2062" s="1">
        <v>300.0</v>
      </c>
      <c r="BU2062" s="1" t="s">
        <v>329</v>
      </c>
      <c r="BV2062" s="1" t="s">
        <v>206</v>
      </c>
      <c r="BW2062" s="1" t="s">
        <v>210</v>
      </c>
      <c r="BY2062" s="1" t="s">
        <v>540</v>
      </c>
      <c r="BZ2062" s="1" t="s">
        <v>209</v>
      </c>
      <c r="CA2062" s="1" t="s">
        <v>210</v>
      </c>
      <c r="CC2062" s="1" t="s">
        <v>212</v>
      </c>
      <c r="CD2062" s="1" t="s">
        <v>206</v>
      </c>
      <c r="CE2062" s="1" t="s">
        <v>207</v>
      </c>
      <c r="CG2062" s="1" t="s">
        <v>729</v>
      </c>
      <c r="CH2062" s="1" t="s">
        <v>209</v>
      </c>
      <c r="CI2062" s="1" t="s">
        <v>210</v>
      </c>
      <c r="CK2062" s="1" t="s">
        <v>214</v>
      </c>
      <c r="CL2062" s="1" t="s">
        <v>209</v>
      </c>
      <c r="CM2062" s="1" t="s">
        <v>210</v>
      </c>
      <c r="CO2062" s="1" t="s">
        <v>495</v>
      </c>
      <c r="CP2062" s="1" t="s">
        <v>209</v>
      </c>
      <c r="CQ2062" s="1" t="s">
        <v>210</v>
      </c>
      <c r="CS2062" s="1" t="s">
        <v>541</v>
      </c>
      <c r="CT2062" s="1" t="s">
        <v>206</v>
      </c>
      <c r="CU2062" s="1" t="s">
        <v>207</v>
      </c>
      <c r="CW2062" s="1" t="s">
        <v>477</v>
      </c>
      <c r="CX2062" s="1" t="s">
        <v>206</v>
      </c>
      <c r="CY2062" s="1" t="s">
        <v>207</v>
      </c>
      <c r="DA2062" s="1" t="s">
        <v>200</v>
      </c>
      <c r="DC2062" s="1" t="s">
        <v>335</v>
      </c>
      <c r="DD2062" s="1" t="s">
        <v>926</v>
      </c>
      <c r="DE2062" s="1" t="s">
        <v>273</v>
      </c>
      <c r="DF2062" s="1" t="s">
        <v>219</v>
      </c>
      <c r="DG2062" s="1" t="s">
        <v>4488</v>
      </c>
      <c r="DH2062" s="1" t="s">
        <v>220</v>
      </c>
      <c r="DI2062" s="1" t="s">
        <v>519</v>
      </c>
      <c r="DJ2062" s="1" t="s">
        <v>222</v>
      </c>
      <c r="DK2062" s="1" t="s">
        <v>223</v>
      </c>
      <c r="DL2062" s="1" t="s">
        <v>224</v>
      </c>
      <c r="DM2062" s="1" t="s">
        <v>229</v>
      </c>
      <c r="DN2062" s="1" t="s">
        <v>485</v>
      </c>
      <c r="DO2062" s="1" t="s">
        <v>549</v>
      </c>
      <c r="DP2062" s="1" t="s">
        <v>340</v>
      </c>
      <c r="DQ2062" s="1" t="s">
        <v>228</v>
      </c>
      <c r="DR2062" s="1" t="s">
        <v>588</v>
      </c>
      <c r="DS2062" s="1" t="s">
        <v>591</v>
      </c>
      <c r="DU2062" s="1" t="s">
        <v>5914</v>
      </c>
      <c r="DV2062" s="1" t="s">
        <v>19537</v>
      </c>
      <c r="DW2062" s="1" t="s">
        <v>233</v>
      </c>
      <c r="DX2062" s="1" t="s">
        <v>234</v>
      </c>
      <c r="DY2062" s="1" t="s">
        <v>19538</v>
      </c>
      <c r="DZ2062" s="1" t="s">
        <v>766</v>
      </c>
      <c r="EA2062" s="1" t="s">
        <v>344</v>
      </c>
      <c r="EB2062" s="1" t="s">
        <v>684</v>
      </c>
      <c r="EC2062" s="1" t="s">
        <v>237</v>
      </c>
      <c r="ED2062" s="1" t="s">
        <v>407</v>
      </c>
      <c r="EG2062" s="1" t="s">
        <v>494</v>
      </c>
      <c r="EH2062" s="1" t="s">
        <v>408</v>
      </c>
      <c r="EI2062" s="1" t="s">
        <v>450</v>
      </c>
      <c r="EJ2062" s="1" t="s">
        <v>451</v>
      </c>
      <c r="EL2062" s="1" t="s">
        <v>212</v>
      </c>
      <c r="EM2062" s="1" t="s">
        <v>206</v>
      </c>
      <c r="EN2062" s="1" t="s">
        <v>207</v>
      </c>
      <c r="EP2062" s="1" t="s">
        <v>640</v>
      </c>
      <c r="EQ2062" s="1" t="s">
        <v>206</v>
      </c>
      <c r="ER2062" s="1" t="s">
        <v>207</v>
      </c>
      <c r="ET2062" s="1" t="s">
        <v>19539</v>
      </c>
      <c r="EU2062" s="1" t="s">
        <v>42</v>
      </c>
      <c r="EV2062" s="1" t="s">
        <v>210</v>
      </c>
      <c r="EX2062" s="1" t="s">
        <v>334</v>
      </c>
      <c r="EY2062" s="1" t="s">
        <v>42</v>
      </c>
      <c r="EZ2062" s="1" t="s">
        <v>210</v>
      </c>
      <c r="FC2062" s="1" t="s">
        <v>238</v>
      </c>
      <c r="FF2062" s="1" t="s">
        <v>239</v>
      </c>
      <c r="FG2062" s="1" t="s">
        <v>192</v>
      </c>
      <c r="FH2062" s="1" t="s">
        <v>192</v>
      </c>
      <c r="FJ2062" s="1" t="s">
        <v>524</v>
      </c>
      <c r="FK2062" s="1" t="s">
        <v>229</v>
      </c>
      <c r="FL2062" s="1" t="s">
        <v>525</v>
      </c>
      <c r="FM2062" s="1">
        <v>22029.0</v>
      </c>
      <c r="FN2062" s="1" t="s">
        <v>526</v>
      </c>
      <c r="FO2062" s="1" t="s">
        <v>19540</v>
      </c>
      <c r="FP2062" s="1">
        <v>229352.0</v>
      </c>
      <c r="FQ2062" s="1" t="s">
        <v>19541</v>
      </c>
      <c r="FU2062" s="1" t="s">
        <v>19542</v>
      </c>
      <c r="FV2062" s="1" t="s">
        <v>200</v>
      </c>
      <c r="FW2062" s="1" t="s">
        <v>530</v>
      </c>
      <c r="FZ2062" s="1" t="s">
        <v>229</v>
      </c>
      <c r="GA2062" s="1" t="s">
        <v>291</v>
      </c>
      <c r="GB2062" s="2">
        <v>41969.0</v>
      </c>
      <c r="GC2062" s="1" t="s">
        <v>19543</v>
      </c>
    </row>
    <row r="2063">
      <c r="A2063" s="1">
        <v>417000.0</v>
      </c>
      <c r="B2063" s="1" t="s">
        <v>185</v>
      </c>
      <c r="C2063" s="1" t="str">
        <f>"08732850"</f>
        <v>08732850</v>
      </c>
      <c r="D2063" s="1" t="s">
        <v>186</v>
      </c>
      <c r="F2063" s="1" t="str">
        <f>"118"</f>
        <v>118</v>
      </c>
      <c r="G2063" s="2">
        <v>41901.0</v>
      </c>
      <c r="H2063" s="1">
        <v>425000.0</v>
      </c>
      <c r="I2063" s="1">
        <v>166.0</v>
      </c>
      <c r="J2063" s="1">
        <v>425000.0</v>
      </c>
      <c r="K2063" s="2">
        <v>41938.0</v>
      </c>
      <c r="L2063" s="1">
        <v>38.0</v>
      </c>
      <c r="M2063" s="2">
        <v>41938.0</v>
      </c>
      <c r="N2063" s="1" t="s">
        <v>187</v>
      </c>
      <c r="O2063" s="2">
        <v>41978.0</v>
      </c>
      <c r="P2063" s="1">
        <v>54593.0</v>
      </c>
      <c r="Q2063" s="1">
        <v>5547.0</v>
      </c>
      <c r="S2063" s="1" t="s">
        <v>19544</v>
      </c>
      <c r="T2063" s="1" t="s">
        <v>19545</v>
      </c>
      <c r="U2063" s="1" t="s">
        <v>569</v>
      </c>
      <c r="V2063" s="1" t="s">
        <v>7481</v>
      </c>
      <c r="W2063" s="1">
        <v>60118.0</v>
      </c>
      <c r="Y2063" s="1" t="s">
        <v>19546</v>
      </c>
      <c r="Z2063" s="1">
        <v>1980.0</v>
      </c>
      <c r="AA2063" s="1" t="s">
        <v>200</v>
      </c>
      <c r="AB2063" s="1" t="s">
        <v>193</v>
      </c>
      <c r="AC2063" s="1" t="s">
        <v>1088</v>
      </c>
      <c r="AD2063" s="1" t="s">
        <v>1089</v>
      </c>
      <c r="AE2063" s="1" t="s">
        <v>325</v>
      </c>
      <c r="AF2063" s="1" t="s">
        <v>810</v>
      </c>
      <c r="AH2063" s="1" t="s">
        <v>19547</v>
      </c>
      <c r="AI2063" s="1">
        <v>1.18</v>
      </c>
      <c r="AK2063" s="1">
        <v>10.0</v>
      </c>
      <c r="AL2063" s="1">
        <v>4.0</v>
      </c>
      <c r="AM2063" s="1">
        <v>3.0</v>
      </c>
      <c r="AN2063" s="1">
        <v>0.0</v>
      </c>
      <c r="AO2063" s="1" t="s">
        <v>198</v>
      </c>
      <c r="AP2063" s="1">
        <v>2.0</v>
      </c>
      <c r="AQ2063" s="1" t="s">
        <v>1314</v>
      </c>
      <c r="AR2063" s="1" t="s">
        <v>200</v>
      </c>
      <c r="AS2063" s="1" t="s">
        <v>199</v>
      </c>
      <c r="AT2063" s="1">
        <v>3.0</v>
      </c>
      <c r="AV2063" s="1" t="s">
        <v>200</v>
      </c>
      <c r="AW2063" s="1">
        <v>11572.5</v>
      </c>
      <c r="AX2063" s="1">
        <v>2013.0</v>
      </c>
      <c r="AY2063" s="1" t="s">
        <v>1179</v>
      </c>
      <c r="AZ2063" s="1" t="s">
        <v>200</v>
      </c>
      <c r="BA2063" s="1" t="str">
        <f>"0333252001"</f>
        <v>0333252001</v>
      </c>
      <c r="BB2063" s="1" t="s">
        <v>200</v>
      </c>
      <c r="BC2063" s="1">
        <v>2985.0</v>
      </c>
      <c r="BD2063" s="1">
        <v>417000.0</v>
      </c>
      <c r="BE2063" s="2">
        <v>41901.0</v>
      </c>
      <c r="BF2063" s="2" t="s">
        <v>19548</v>
      </c>
      <c r="BG2063" s="1" t="s">
        <v>1092</v>
      </c>
      <c r="BH2063" s="1">
        <v>0.0</v>
      </c>
      <c r="BI2063" s="1" t="s">
        <v>1093</v>
      </c>
      <c r="BJ2063" s="1" t="s">
        <v>1094</v>
      </c>
      <c r="BK2063" s="1" t="s">
        <v>204</v>
      </c>
      <c r="BL2063" s="1" t="str">
        <f t="shared" ref="BL2063:BM2063" si="1353">""</f>
        <v/>
      </c>
      <c r="BM2063" s="1" t="str">
        <f t="shared" si="1353"/>
        <v/>
      </c>
      <c r="BQ2063" s="1">
        <v>300.0</v>
      </c>
      <c r="BR2063" s="1">
        <v>300.0</v>
      </c>
      <c r="BS2063" s="1">
        <v>300.0</v>
      </c>
      <c r="BU2063" s="1" t="s">
        <v>854</v>
      </c>
      <c r="BV2063" s="1" t="s">
        <v>206</v>
      </c>
      <c r="BW2063" s="1" t="s">
        <v>210</v>
      </c>
      <c r="BX2063" s="1" t="s">
        <v>239</v>
      </c>
      <c r="BY2063" s="1" t="s">
        <v>1299</v>
      </c>
      <c r="BZ2063" s="1" t="s">
        <v>206</v>
      </c>
      <c r="CA2063" s="1" t="s">
        <v>210</v>
      </c>
      <c r="CB2063" s="1" t="s">
        <v>239</v>
      </c>
      <c r="CC2063" s="1" t="s">
        <v>211</v>
      </c>
      <c r="CD2063" s="1" t="s">
        <v>206</v>
      </c>
      <c r="CE2063" s="1" t="s">
        <v>207</v>
      </c>
      <c r="CF2063" s="1" t="s">
        <v>239</v>
      </c>
      <c r="CG2063" s="1" t="s">
        <v>215</v>
      </c>
      <c r="CH2063" s="1" t="s">
        <v>206</v>
      </c>
      <c r="CI2063" s="1" t="s">
        <v>210</v>
      </c>
      <c r="CJ2063" s="1" t="s">
        <v>239</v>
      </c>
      <c r="CK2063" s="1" t="s">
        <v>262</v>
      </c>
      <c r="CL2063" s="1" t="s">
        <v>206</v>
      </c>
      <c r="CM2063" s="1" t="s">
        <v>210</v>
      </c>
      <c r="CN2063" s="1" t="s">
        <v>239</v>
      </c>
      <c r="CO2063" s="1" t="s">
        <v>729</v>
      </c>
      <c r="CP2063" s="1" t="s">
        <v>206</v>
      </c>
      <c r="CQ2063" s="1" t="s">
        <v>210</v>
      </c>
      <c r="CR2063" s="1" t="s">
        <v>239</v>
      </c>
      <c r="CS2063" s="1" t="s">
        <v>3539</v>
      </c>
      <c r="CT2063" s="1" t="s">
        <v>206</v>
      </c>
      <c r="CU2063" s="1" t="s">
        <v>207</v>
      </c>
      <c r="CV2063" s="1" t="s">
        <v>229</v>
      </c>
      <c r="CW2063" s="1" t="s">
        <v>544</v>
      </c>
      <c r="CX2063" s="1" t="s">
        <v>206</v>
      </c>
      <c r="CY2063" s="1" t="s">
        <v>210</v>
      </c>
      <c r="CZ2063" s="1" t="s">
        <v>229</v>
      </c>
      <c r="DA2063" s="1" t="s">
        <v>200</v>
      </c>
      <c r="DC2063" s="1" t="s">
        <v>395</v>
      </c>
      <c r="DD2063" s="1" t="s">
        <v>15840</v>
      </c>
      <c r="DE2063" s="1" t="s">
        <v>218</v>
      </c>
      <c r="DF2063" s="1" t="s">
        <v>2328</v>
      </c>
      <c r="DH2063" s="1" t="s">
        <v>856</v>
      </c>
      <c r="DI2063" s="1" t="s">
        <v>11017</v>
      </c>
      <c r="DJ2063" s="1" t="s">
        <v>857</v>
      </c>
      <c r="DL2063" s="1" t="s">
        <v>1267</v>
      </c>
      <c r="DM2063" s="1" t="s">
        <v>338</v>
      </c>
      <c r="DN2063" s="1" t="s">
        <v>399</v>
      </c>
      <c r="DO2063" s="1" t="s">
        <v>1556</v>
      </c>
      <c r="DP2063" s="1" t="s">
        <v>340</v>
      </c>
      <c r="DQ2063" s="1" t="s">
        <v>931</v>
      </c>
      <c r="DR2063" s="1" t="s">
        <v>229</v>
      </c>
      <c r="DS2063" s="1" t="s">
        <v>368</v>
      </c>
      <c r="DU2063" s="1" t="s">
        <v>4671</v>
      </c>
      <c r="DV2063" s="1" t="s">
        <v>19549</v>
      </c>
      <c r="DW2063" s="1" t="s">
        <v>489</v>
      </c>
      <c r="DX2063" s="1" t="s">
        <v>234</v>
      </c>
      <c r="DY2063" s="1" t="s">
        <v>10903</v>
      </c>
      <c r="DZ2063" s="1" t="s">
        <v>2204</v>
      </c>
      <c r="EA2063" s="1" t="s">
        <v>1027</v>
      </c>
      <c r="EB2063" s="1" t="s">
        <v>767</v>
      </c>
      <c r="EC2063" s="1" t="s">
        <v>685</v>
      </c>
      <c r="ED2063" s="1" t="s">
        <v>864</v>
      </c>
      <c r="EG2063" s="1" t="s">
        <v>450</v>
      </c>
      <c r="EH2063" s="1" t="s">
        <v>451</v>
      </c>
      <c r="EI2063" s="1" t="s">
        <v>2129</v>
      </c>
      <c r="EJ2063" s="1" t="s">
        <v>8378</v>
      </c>
      <c r="EL2063" s="1" t="s">
        <v>2625</v>
      </c>
      <c r="EM2063" s="1" t="s">
        <v>267</v>
      </c>
      <c r="EN2063" s="1" t="s">
        <v>268</v>
      </c>
      <c r="EO2063" s="1" t="s">
        <v>229</v>
      </c>
      <c r="EP2063" s="1" t="s">
        <v>1875</v>
      </c>
      <c r="EQ2063" s="1" t="s">
        <v>267</v>
      </c>
      <c r="ER2063" s="1" t="s">
        <v>268</v>
      </c>
      <c r="ES2063" s="1" t="s">
        <v>229</v>
      </c>
      <c r="ET2063" s="1" t="s">
        <v>333</v>
      </c>
      <c r="EU2063" s="1" t="s">
        <v>206</v>
      </c>
      <c r="EV2063" s="1" t="s">
        <v>588</v>
      </c>
      <c r="EW2063" s="1" t="s">
        <v>229</v>
      </c>
      <c r="EX2063" s="1" t="s">
        <v>361</v>
      </c>
      <c r="EY2063" s="1" t="s">
        <v>206</v>
      </c>
      <c r="EZ2063" s="1" t="s">
        <v>588</v>
      </c>
      <c r="FA2063" s="1" t="s">
        <v>229</v>
      </c>
      <c r="FC2063" s="1" t="s">
        <v>238</v>
      </c>
      <c r="FF2063" s="1" t="s">
        <v>239</v>
      </c>
      <c r="FG2063" s="1" t="s">
        <v>192</v>
      </c>
      <c r="FH2063" s="1" t="s">
        <v>192</v>
      </c>
      <c r="FJ2063" s="1" t="s">
        <v>498</v>
      </c>
      <c r="FK2063" s="1" t="s">
        <v>229</v>
      </c>
      <c r="FL2063" s="1" t="s">
        <v>3848</v>
      </c>
      <c r="FM2063" s="1">
        <v>432.0</v>
      </c>
      <c r="FN2063" s="1" t="s">
        <v>3849</v>
      </c>
      <c r="FO2063" s="1" t="s">
        <v>3850</v>
      </c>
      <c r="FP2063" s="1">
        <v>77389.0</v>
      </c>
      <c r="FQ2063" s="1" t="s">
        <v>3851</v>
      </c>
      <c r="FU2063" s="1" t="s">
        <v>6968</v>
      </c>
      <c r="FV2063" s="1" t="s">
        <v>200</v>
      </c>
      <c r="FW2063" s="1" t="s">
        <v>290</v>
      </c>
      <c r="FZ2063" s="1" t="s">
        <v>229</v>
      </c>
      <c r="GA2063" s="1" t="s">
        <v>291</v>
      </c>
      <c r="GB2063" s="2">
        <v>41978.0</v>
      </c>
      <c r="GC2063" s="1" t="s">
        <v>19550</v>
      </c>
    </row>
    <row r="2064">
      <c r="A2064" s="1">
        <v>234500.0</v>
      </c>
      <c r="B2064" s="1" t="s">
        <v>185</v>
      </c>
      <c r="C2064" s="1" t="str">
        <f>"08737358"</f>
        <v>08737358</v>
      </c>
      <c r="D2064" s="1" t="s">
        <v>186</v>
      </c>
      <c r="F2064" s="1" t="str">
        <f>"543"</f>
        <v>543</v>
      </c>
      <c r="G2064" s="2">
        <v>41907.0</v>
      </c>
      <c r="H2064" s="1">
        <v>283500.0</v>
      </c>
      <c r="I2064" s="1">
        <v>90.0</v>
      </c>
      <c r="J2064" s="1">
        <v>239900.0</v>
      </c>
      <c r="K2064" s="2">
        <v>41995.0</v>
      </c>
      <c r="L2064" s="1">
        <v>90.0</v>
      </c>
      <c r="M2064" s="2">
        <v>41995.0</v>
      </c>
      <c r="N2064" s="1" t="s">
        <v>249</v>
      </c>
      <c r="O2064" s="2">
        <v>42025.0</v>
      </c>
      <c r="P2064" s="1">
        <v>601822.0</v>
      </c>
      <c r="Q2064" s="1">
        <v>24945.0</v>
      </c>
      <c r="S2064" s="1">
        <v>735.0</v>
      </c>
      <c r="T2064" s="1" t="s">
        <v>19551</v>
      </c>
      <c r="U2064" s="1" t="s">
        <v>569</v>
      </c>
      <c r="V2064" s="1" t="s">
        <v>1527</v>
      </c>
      <c r="W2064" s="1">
        <v>60543.0</v>
      </c>
      <c r="Y2064" s="1" t="s">
        <v>19552</v>
      </c>
      <c r="Z2064" s="1">
        <v>2006.0</v>
      </c>
      <c r="AA2064" s="1" t="s">
        <v>200</v>
      </c>
      <c r="AB2064" s="1" t="s">
        <v>467</v>
      </c>
      <c r="AC2064" s="1" t="s">
        <v>5769</v>
      </c>
      <c r="AD2064" s="1" t="s">
        <v>1529</v>
      </c>
      <c r="AE2064" s="1" t="s">
        <v>849</v>
      </c>
      <c r="AF2064" s="1" t="s">
        <v>1529</v>
      </c>
      <c r="AH2064" s="1" t="s">
        <v>19553</v>
      </c>
      <c r="AK2064" s="1">
        <v>9.0</v>
      </c>
      <c r="AL2064" s="1">
        <v>4.0</v>
      </c>
      <c r="AM2064" s="1">
        <v>2.0</v>
      </c>
      <c r="AN2064" s="1">
        <v>1.0</v>
      </c>
      <c r="AO2064" s="1" t="s">
        <v>198</v>
      </c>
      <c r="AQ2064" s="1" t="s">
        <v>198</v>
      </c>
      <c r="AR2064" s="1" t="s">
        <v>200</v>
      </c>
      <c r="AS2064" s="1" t="s">
        <v>199</v>
      </c>
      <c r="AT2064" s="1">
        <v>2.0</v>
      </c>
      <c r="AV2064" s="1" t="s">
        <v>200</v>
      </c>
      <c r="AW2064" s="1">
        <v>8899.18</v>
      </c>
      <c r="AX2064" s="1">
        <v>2013.0</v>
      </c>
      <c r="AZ2064" s="1" t="s">
        <v>200</v>
      </c>
      <c r="BA2064" s="1" t="str">
        <f>"0310485007"</f>
        <v>0310485007</v>
      </c>
      <c r="BC2064" s="1">
        <v>3152.0</v>
      </c>
      <c r="BD2064" s="1">
        <v>234500.0</v>
      </c>
      <c r="BE2064" s="2">
        <v>41906.0</v>
      </c>
      <c r="BF2064" s="1" t="s">
        <v>19554</v>
      </c>
      <c r="BH2064" s="1">
        <v>19.0</v>
      </c>
      <c r="BK2064" s="1" t="s">
        <v>474</v>
      </c>
      <c r="BL2064" s="1" t="str">
        <f t="shared" ref="BL2064:BM2064" si="1354">""</f>
        <v/>
      </c>
      <c r="BM2064" s="1" t="str">
        <f t="shared" si="1354"/>
        <v/>
      </c>
      <c r="BQ2064" s="1">
        <v>308.0</v>
      </c>
      <c r="BR2064" s="1">
        <v>308.0</v>
      </c>
      <c r="BS2064" s="1">
        <v>308.0</v>
      </c>
      <c r="BU2064" s="1" t="s">
        <v>2800</v>
      </c>
      <c r="BV2064" s="1" t="s">
        <v>206</v>
      </c>
      <c r="BY2064" s="1" t="s">
        <v>362</v>
      </c>
      <c r="BZ2064" s="1" t="s">
        <v>209</v>
      </c>
      <c r="CC2064" s="1" t="s">
        <v>1417</v>
      </c>
      <c r="CD2064" s="1" t="s">
        <v>206</v>
      </c>
      <c r="CG2064" s="1" t="s">
        <v>663</v>
      </c>
      <c r="CH2064" s="1" t="s">
        <v>209</v>
      </c>
      <c r="CK2064" s="1" t="s">
        <v>302</v>
      </c>
      <c r="CL2064" s="1" t="s">
        <v>209</v>
      </c>
      <c r="CO2064" s="1" t="s">
        <v>1351</v>
      </c>
      <c r="CP2064" s="1" t="s">
        <v>209</v>
      </c>
      <c r="CS2064" s="1" t="s">
        <v>496</v>
      </c>
      <c r="CT2064" s="1" t="s">
        <v>206</v>
      </c>
      <c r="CW2064" s="1" t="s">
        <v>663</v>
      </c>
      <c r="CX2064" s="1" t="s">
        <v>206</v>
      </c>
      <c r="DA2064" s="1" t="s">
        <v>200</v>
      </c>
      <c r="DC2064" s="1" t="s">
        <v>481</v>
      </c>
      <c r="DE2064" s="1" t="s">
        <v>273</v>
      </c>
      <c r="DF2064" s="1" t="s">
        <v>219</v>
      </c>
      <c r="DH2064" s="1" t="s">
        <v>220</v>
      </c>
      <c r="DJ2064" s="1" t="s">
        <v>222</v>
      </c>
      <c r="DL2064" s="1" t="s">
        <v>223</v>
      </c>
      <c r="DM2064" s="1" t="s">
        <v>229</v>
      </c>
      <c r="DP2064" s="1" t="s">
        <v>340</v>
      </c>
      <c r="DQ2064" s="1" t="s">
        <v>228</v>
      </c>
      <c r="DR2064" s="1" t="s">
        <v>588</v>
      </c>
      <c r="DV2064" s="1" t="s">
        <v>341</v>
      </c>
      <c r="DW2064" s="1" t="s">
        <v>964</v>
      </c>
      <c r="DX2064" s="1" t="s">
        <v>234</v>
      </c>
      <c r="EC2064" s="1" t="s">
        <v>237</v>
      </c>
      <c r="EG2064" s="1" t="s">
        <v>341</v>
      </c>
      <c r="EL2064" s="1" t="s">
        <v>583</v>
      </c>
      <c r="EM2064" s="1" t="s">
        <v>209</v>
      </c>
      <c r="EQ2064" s="1" t="s">
        <v>238</v>
      </c>
      <c r="EU2064" s="1" t="s">
        <v>238</v>
      </c>
      <c r="EY2064" s="1" t="s">
        <v>238</v>
      </c>
      <c r="FC2064" s="1" t="s">
        <v>238</v>
      </c>
      <c r="FF2064" s="1" t="s">
        <v>239</v>
      </c>
      <c r="FG2064" s="1" t="s">
        <v>192</v>
      </c>
      <c r="FH2064" s="1" t="s">
        <v>192</v>
      </c>
      <c r="FJ2064" s="1" t="s">
        <v>347</v>
      </c>
      <c r="FK2064" s="1" t="s">
        <v>229</v>
      </c>
      <c r="FL2064" s="1" t="s">
        <v>1775</v>
      </c>
      <c r="FM2064" s="1">
        <v>31982.0</v>
      </c>
      <c r="FN2064" s="1" t="s">
        <v>1776</v>
      </c>
      <c r="FO2064" s="1" t="s">
        <v>1777</v>
      </c>
      <c r="FP2064" s="1">
        <v>319888.0</v>
      </c>
      <c r="FQ2064" s="1" t="s">
        <v>1778</v>
      </c>
      <c r="FU2064" s="1" t="s">
        <v>6544</v>
      </c>
      <c r="FV2064" s="1" t="s">
        <v>200</v>
      </c>
      <c r="FW2064" s="1" t="s">
        <v>354</v>
      </c>
      <c r="FZ2064" s="1" t="s">
        <v>229</v>
      </c>
      <c r="GA2064" s="1" t="s">
        <v>291</v>
      </c>
      <c r="GB2064" s="2">
        <v>42025.0</v>
      </c>
      <c r="GC2064" s="1" t="s">
        <v>10451</v>
      </c>
    </row>
    <row r="2065">
      <c r="A2065" s="1">
        <v>130000.0</v>
      </c>
      <c r="B2065" s="1" t="s">
        <v>185</v>
      </c>
      <c r="C2065" s="1" t="str">
        <f>"08737122"</f>
        <v>08737122</v>
      </c>
      <c r="D2065" s="1" t="s">
        <v>186</v>
      </c>
      <c r="F2065" s="1" t="str">
        <f>"107"</f>
        <v>107</v>
      </c>
      <c r="G2065" s="2">
        <v>41906.0</v>
      </c>
      <c r="H2065" s="1">
        <v>120750.0</v>
      </c>
      <c r="I2065" s="1">
        <v>17.0</v>
      </c>
      <c r="J2065" s="1">
        <v>120750.0</v>
      </c>
      <c r="K2065" s="2">
        <v>41922.0</v>
      </c>
      <c r="L2065" s="1">
        <v>17.0</v>
      </c>
      <c r="M2065" s="2">
        <v>41922.0</v>
      </c>
      <c r="N2065" s="1" t="s">
        <v>356</v>
      </c>
      <c r="O2065" s="2">
        <v>42009.0</v>
      </c>
      <c r="P2065" s="1">
        <v>70319.0</v>
      </c>
      <c r="Q2065" s="1">
        <v>267.0</v>
      </c>
      <c r="R2065" s="1">
        <v>2000.0</v>
      </c>
      <c r="S2065" s="1">
        <v>112.0</v>
      </c>
      <c r="T2065" s="1" t="s">
        <v>19555</v>
      </c>
      <c r="U2065" s="1" t="s">
        <v>4857</v>
      </c>
      <c r="V2065" s="1" t="s">
        <v>294</v>
      </c>
      <c r="W2065" s="1">
        <v>60107.0</v>
      </c>
      <c r="Y2065" s="1" t="s">
        <v>19556</v>
      </c>
      <c r="Z2065" s="1">
        <v>1962.0</v>
      </c>
      <c r="AA2065" s="1" t="s">
        <v>192</v>
      </c>
      <c r="AB2065" s="1" t="s">
        <v>193</v>
      </c>
      <c r="AD2065" s="1" t="s">
        <v>297</v>
      </c>
      <c r="AE2065" s="1" t="s">
        <v>195</v>
      </c>
      <c r="AF2065" s="1" t="s">
        <v>298</v>
      </c>
      <c r="AH2065" s="1" t="s">
        <v>19557</v>
      </c>
      <c r="AK2065" s="1">
        <v>7.0</v>
      </c>
      <c r="AL2065" s="1">
        <v>4.0</v>
      </c>
      <c r="AM2065" s="1">
        <v>1.0</v>
      </c>
      <c r="AN2065" s="1">
        <v>0.0</v>
      </c>
      <c r="AO2065" s="1" t="s">
        <v>229</v>
      </c>
      <c r="AQ2065" s="1" t="s">
        <v>327</v>
      </c>
      <c r="AR2065" s="1" t="s">
        <v>192</v>
      </c>
      <c r="AS2065" s="1" t="s">
        <v>199</v>
      </c>
      <c r="AT2065" s="1">
        <v>1.0</v>
      </c>
      <c r="AV2065" s="1" t="s">
        <v>200</v>
      </c>
      <c r="AW2065" s="1">
        <v>4343.0</v>
      </c>
      <c r="AX2065" s="1">
        <v>2012.0</v>
      </c>
      <c r="AZ2065" s="1" t="s">
        <v>545</v>
      </c>
      <c r="BA2065" s="1" t="str">
        <f>"06231170090000"</f>
        <v>06231170090000</v>
      </c>
      <c r="BB2065" s="1" t="s">
        <v>200</v>
      </c>
      <c r="BC2065" s="1">
        <v>796.0</v>
      </c>
      <c r="BD2065" s="1">
        <v>130000.0</v>
      </c>
      <c r="BE2065" s="2">
        <v>41906.0</v>
      </c>
      <c r="BF2065" s="2" t="s">
        <v>19558</v>
      </c>
      <c r="BH2065" s="1">
        <v>0.0</v>
      </c>
      <c r="BK2065" s="1" t="s">
        <v>204</v>
      </c>
      <c r="BL2065" s="1" t="str">
        <f t="shared" ref="BL2065:BM2065" si="1355">""</f>
        <v/>
      </c>
      <c r="BM2065" s="1" t="str">
        <f t="shared" si="1355"/>
        <v/>
      </c>
      <c r="BQ2065" s="1">
        <v>46.0</v>
      </c>
      <c r="BR2065" s="1">
        <v>46.0</v>
      </c>
      <c r="BS2065" s="1">
        <v>46.0</v>
      </c>
      <c r="BU2065" s="1" t="s">
        <v>331</v>
      </c>
      <c r="BV2065" s="1" t="s">
        <v>206</v>
      </c>
      <c r="BY2065" s="1" t="s">
        <v>212</v>
      </c>
      <c r="BZ2065" s="1" t="s">
        <v>209</v>
      </c>
      <c r="CC2065" s="1" t="s">
        <v>363</v>
      </c>
      <c r="CD2065" s="1" t="s">
        <v>206</v>
      </c>
      <c r="CG2065" s="1" t="s">
        <v>516</v>
      </c>
      <c r="CH2065" s="1" t="s">
        <v>209</v>
      </c>
      <c r="CK2065" s="1" t="s">
        <v>798</v>
      </c>
      <c r="CL2065" s="1" t="s">
        <v>209</v>
      </c>
      <c r="CO2065" s="1" t="s">
        <v>363</v>
      </c>
      <c r="CP2065" s="1" t="s">
        <v>209</v>
      </c>
      <c r="CS2065" s="1" t="s">
        <v>925</v>
      </c>
      <c r="CT2065" s="1" t="s">
        <v>206</v>
      </c>
      <c r="CX2065" s="1" t="s">
        <v>204</v>
      </c>
      <c r="DA2065" s="1" t="s">
        <v>200</v>
      </c>
      <c r="DC2065" s="1" t="s">
        <v>271</v>
      </c>
      <c r="DE2065" s="1" t="s">
        <v>273</v>
      </c>
      <c r="DF2065" s="1" t="s">
        <v>219</v>
      </c>
      <c r="DH2065" s="1" t="s">
        <v>220</v>
      </c>
      <c r="DJ2065" s="1" t="s">
        <v>222</v>
      </c>
      <c r="DL2065" s="1" t="s">
        <v>224</v>
      </c>
      <c r="DM2065" s="1" t="s">
        <v>229</v>
      </c>
      <c r="DQ2065" s="1" t="s">
        <v>228</v>
      </c>
      <c r="DR2065" s="1" t="s">
        <v>229</v>
      </c>
      <c r="DV2065" s="1" t="s">
        <v>232</v>
      </c>
      <c r="DW2065" s="1" t="s">
        <v>667</v>
      </c>
      <c r="DX2065" s="1" t="s">
        <v>234</v>
      </c>
      <c r="EC2065" s="1" t="s">
        <v>645</v>
      </c>
      <c r="EM2065" s="1" t="s">
        <v>238</v>
      </c>
      <c r="EQ2065" s="1" t="s">
        <v>238</v>
      </c>
      <c r="EU2065" s="1" t="s">
        <v>238</v>
      </c>
      <c r="EY2065" s="1" t="s">
        <v>238</v>
      </c>
      <c r="FC2065" s="1" t="s">
        <v>238</v>
      </c>
      <c r="FF2065" s="1" t="s">
        <v>239</v>
      </c>
      <c r="FG2065" s="1" t="s">
        <v>192</v>
      </c>
      <c r="FH2065" s="1" t="s">
        <v>192</v>
      </c>
      <c r="FJ2065" s="1" t="s">
        <v>1248</v>
      </c>
      <c r="FK2065" s="1" t="s">
        <v>229</v>
      </c>
      <c r="FL2065" s="1" t="s">
        <v>3990</v>
      </c>
      <c r="FM2065" s="1">
        <v>8698.0</v>
      </c>
      <c r="FN2065" s="1" t="s">
        <v>3991</v>
      </c>
      <c r="FO2065" s="1" t="s">
        <v>3992</v>
      </c>
      <c r="FP2065" s="1">
        <v>85273.0</v>
      </c>
      <c r="FQ2065" s="1" t="s">
        <v>3991</v>
      </c>
      <c r="FU2065" s="1" t="s">
        <v>3993</v>
      </c>
      <c r="FV2065" s="1" t="s">
        <v>200</v>
      </c>
      <c r="FW2065" s="1" t="s">
        <v>1524</v>
      </c>
      <c r="FZ2065" s="1" t="s">
        <v>229</v>
      </c>
      <c r="GA2065" s="1" t="s">
        <v>291</v>
      </c>
      <c r="GB2065" s="2">
        <v>42009.0</v>
      </c>
      <c r="GC2065" s="1" t="s">
        <v>19559</v>
      </c>
    </row>
    <row r="2066">
      <c r="A2066" s="1">
        <v>154000.0</v>
      </c>
      <c r="B2066" s="1" t="s">
        <v>185</v>
      </c>
      <c r="C2066" s="1" t="str">
        <f>"08732827"</f>
        <v>08732827</v>
      </c>
      <c r="D2066" s="1" t="s">
        <v>186</v>
      </c>
      <c r="F2066" s="1" t="str">
        <f>"123"</f>
        <v>123</v>
      </c>
      <c r="G2066" s="2">
        <v>41901.0</v>
      </c>
      <c r="H2066" s="1">
        <v>198000.0</v>
      </c>
      <c r="I2066" s="1">
        <v>110.0</v>
      </c>
      <c r="J2066" s="1">
        <v>169900.0</v>
      </c>
      <c r="K2066" s="2">
        <v>42002.0</v>
      </c>
      <c r="L2066" s="1">
        <v>103.0</v>
      </c>
      <c r="M2066" s="2">
        <v>42002.0</v>
      </c>
      <c r="N2066" s="1" t="s">
        <v>249</v>
      </c>
      <c r="O2066" s="2">
        <v>42017.0</v>
      </c>
      <c r="P2066" s="1">
        <v>923473.0</v>
      </c>
      <c r="Q2066" s="1">
        <v>25888.0</v>
      </c>
      <c r="S2066" s="1">
        <v>649.0</v>
      </c>
      <c r="T2066" s="1" t="s">
        <v>19560</v>
      </c>
      <c r="U2066" s="1" t="s">
        <v>1015</v>
      </c>
      <c r="V2066" s="1" t="s">
        <v>465</v>
      </c>
      <c r="W2066" s="1">
        <v>60120.0</v>
      </c>
      <c r="Y2066" s="1" t="s">
        <v>19561</v>
      </c>
      <c r="Z2066" s="1">
        <v>1993.0</v>
      </c>
      <c r="AA2066" s="1" t="s">
        <v>200</v>
      </c>
      <c r="AB2066" s="1" t="s">
        <v>193</v>
      </c>
      <c r="AC2066" s="1" t="s">
        <v>19562</v>
      </c>
      <c r="AD2066" s="1" t="s">
        <v>469</v>
      </c>
      <c r="AE2066" s="1" t="s">
        <v>195</v>
      </c>
      <c r="AF2066" s="1" t="s">
        <v>298</v>
      </c>
      <c r="AG2066" s="1" t="s">
        <v>3241</v>
      </c>
      <c r="AH2066" s="1">
        <v>6380.0</v>
      </c>
      <c r="AI2066" s="1">
        <v>0.1465</v>
      </c>
      <c r="AK2066" s="1">
        <v>7.0</v>
      </c>
      <c r="AL2066" s="1">
        <v>4.0</v>
      </c>
      <c r="AM2066" s="1">
        <v>2.0</v>
      </c>
      <c r="AN2066" s="1">
        <v>1.0</v>
      </c>
      <c r="AO2066" s="1" t="s">
        <v>198</v>
      </c>
      <c r="AP2066" s="1">
        <v>1.0</v>
      </c>
      <c r="AQ2066" s="1" t="s">
        <v>198</v>
      </c>
      <c r="AR2066" s="1" t="s">
        <v>200</v>
      </c>
      <c r="AS2066" s="1" t="s">
        <v>199</v>
      </c>
      <c r="AT2066" s="1">
        <v>2.0</v>
      </c>
      <c r="AV2066" s="1" t="s">
        <v>200</v>
      </c>
      <c r="AW2066" s="1">
        <v>6010.41</v>
      </c>
      <c r="AX2066" s="1">
        <v>2012.0</v>
      </c>
      <c r="AZ2066" s="1" t="s">
        <v>200</v>
      </c>
      <c r="BA2066" s="1" t="str">
        <f>"06192080160000"</f>
        <v>06192080160000</v>
      </c>
      <c r="BC2066" s="1">
        <v>2123.0</v>
      </c>
      <c r="BD2066" s="1">
        <v>154000.0</v>
      </c>
      <c r="BE2066" s="2">
        <v>41900.0</v>
      </c>
      <c r="BF2066" s="1" t="s">
        <v>19563</v>
      </c>
      <c r="BG2066" s="1" t="s">
        <v>19564</v>
      </c>
      <c r="BH2066" s="1">
        <v>0.0</v>
      </c>
      <c r="BI2066" s="1" t="s">
        <v>12149</v>
      </c>
      <c r="BJ2066" s="1" t="s">
        <v>1243</v>
      </c>
      <c r="BK2066" s="1" t="s">
        <v>204</v>
      </c>
      <c r="BL2066" s="1" t="str">
        <f t="shared" ref="BL2066:BM2066" si="1356">""</f>
        <v/>
      </c>
      <c r="BM2066" s="1" t="str">
        <f t="shared" si="1356"/>
        <v/>
      </c>
      <c r="BQ2066" s="1">
        <v>46.0</v>
      </c>
      <c r="BR2066" s="1">
        <v>46.0</v>
      </c>
      <c r="BS2066" s="1">
        <v>46.0</v>
      </c>
      <c r="BU2066" s="1" t="s">
        <v>362</v>
      </c>
      <c r="BV2066" s="1" t="s">
        <v>206</v>
      </c>
      <c r="BW2066" s="1" t="s">
        <v>210</v>
      </c>
      <c r="BY2066" s="1" t="s">
        <v>1068</v>
      </c>
      <c r="BZ2066" s="1" t="s">
        <v>209</v>
      </c>
      <c r="CA2066" s="1" t="s">
        <v>210</v>
      </c>
      <c r="CD2066" s="1" t="s">
        <v>204</v>
      </c>
      <c r="CG2066" s="1" t="s">
        <v>2713</v>
      </c>
      <c r="CH2066" s="1" t="s">
        <v>209</v>
      </c>
      <c r="CI2066" s="1" t="s">
        <v>210</v>
      </c>
      <c r="CK2066" s="1" t="s">
        <v>729</v>
      </c>
      <c r="CL2066" s="1" t="s">
        <v>209</v>
      </c>
      <c r="CM2066" s="1" t="s">
        <v>210</v>
      </c>
      <c r="CO2066" s="1" t="s">
        <v>215</v>
      </c>
      <c r="CP2066" s="1" t="s">
        <v>209</v>
      </c>
      <c r="CQ2066" s="1" t="s">
        <v>210</v>
      </c>
      <c r="CS2066" s="1" t="s">
        <v>262</v>
      </c>
      <c r="CT2066" s="1" t="s">
        <v>206</v>
      </c>
      <c r="CU2066" s="1" t="s">
        <v>617</v>
      </c>
      <c r="CW2066" s="1" t="s">
        <v>213</v>
      </c>
      <c r="CX2066" s="1" t="s">
        <v>206</v>
      </c>
      <c r="CY2066" s="1" t="s">
        <v>301</v>
      </c>
      <c r="DA2066" s="1" t="s">
        <v>200</v>
      </c>
      <c r="DC2066" s="1" t="s">
        <v>435</v>
      </c>
      <c r="DE2066" s="1" t="s">
        <v>229</v>
      </c>
      <c r="DF2066" s="1" t="s">
        <v>219</v>
      </c>
      <c r="DH2066" s="1" t="s">
        <v>220</v>
      </c>
      <c r="DI2066" s="1" t="s">
        <v>1318</v>
      </c>
      <c r="DJ2066" s="1" t="s">
        <v>222</v>
      </c>
      <c r="DL2066" s="1" t="s">
        <v>223</v>
      </c>
      <c r="DM2066" s="1" t="s">
        <v>229</v>
      </c>
      <c r="DQ2066" s="1" t="s">
        <v>228</v>
      </c>
      <c r="DR2066" s="1" t="s">
        <v>229</v>
      </c>
      <c r="DV2066" s="1" t="s">
        <v>232</v>
      </c>
      <c r="DW2066" s="1" t="s">
        <v>891</v>
      </c>
      <c r="DX2066" s="1" t="s">
        <v>234</v>
      </c>
      <c r="EA2066" s="1" t="s">
        <v>344</v>
      </c>
      <c r="EC2066" s="1" t="s">
        <v>237</v>
      </c>
      <c r="EM2066" s="1" t="s">
        <v>238</v>
      </c>
      <c r="EQ2066" s="1" t="s">
        <v>238</v>
      </c>
      <c r="EU2066" s="1" t="s">
        <v>238</v>
      </c>
      <c r="EY2066" s="1" t="s">
        <v>238</v>
      </c>
      <c r="FC2066" s="1" t="s">
        <v>238</v>
      </c>
      <c r="FF2066" s="1" t="s">
        <v>239</v>
      </c>
      <c r="FG2066" s="1" t="s">
        <v>192</v>
      </c>
      <c r="FH2066" s="1" t="s">
        <v>192</v>
      </c>
      <c r="FJ2066" s="1" t="s">
        <v>1248</v>
      </c>
      <c r="FK2066" s="1" t="s">
        <v>229</v>
      </c>
      <c r="FL2066" s="1" t="s">
        <v>819</v>
      </c>
      <c r="FM2066" s="1">
        <v>6267.0</v>
      </c>
      <c r="FN2066" s="1" t="s">
        <v>820</v>
      </c>
      <c r="FO2066" s="1" t="s">
        <v>14505</v>
      </c>
      <c r="FP2066" s="1">
        <v>62448.0</v>
      </c>
      <c r="FQ2066" s="1" t="s">
        <v>14506</v>
      </c>
      <c r="FS2066" s="1" t="s">
        <v>14507</v>
      </c>
      <c r="FU2066" s="1" t="s">
        <v>19565</v>
      </c>
      <c r="FV2066" s="1" t="s">
        <v>200</v>
      </c>
      <c r="FW2066" s="1" t="s">
        <v>354</v>
      </c>
      <c r="FZ2066" s="1" t="s">
        <v>229</v>
      </c>
      <c r="GA2066" s="1" t="s">
        <v>291</v>
      </c>
      <c r="GB2066" s="2">
        <v>42017.0</v>
      </c>
    </row>
    <row r="2067">
      <c r="A2067" s="1">
        <v>265000.0</v>
      </c>
      <c r="B2067" s="1" t="s">
        <v>185</v>
      </c>
      <c r="C2067" s="1" t="str">
        <f>"08737312"</f>
        <v>08737312</v>
      </c>
      <c r="D2067" s="1" t="s">
        <v>186</v>
      </c>
      <c r="F2067" s="1" t="str">
        <f>"8015"</f>
        <v>8015</v>
      </c>
      <c r="G2067" s="2">
        <v>41907.0</v>
      </c>
      <c r="H2067" s="1">
        <v>279900.0</v>
      </c>
      <c r="I2067" s="1">
        <v>413.0</v>
      </c>
      <c r="J2067" s="1">
        <v>269900.0</v>
      </c>
      <c r="K2067" s="2">
        <v>41950.0</v>
      </c>
      <c r="L2067" s="1">
        <v>44.0</v>
      </c>
      <c r="M2067" s="2">
        <v>41950.0</v>
      </c>
      <c r="N2067" s="1" t="s">
        <v>356</v>
      </c>
      <c r="O2067" s="2">
        <v>41984.0</v>
      </c>
      <c r="P2067" s="1">
        <v>160479.0</v>
      </c>
      <c r="Q2067" s="1">
        <v>10267.0</v>
      </c>
      <c r="S2067" s="1">
        <v>5708.0</v>
      </c>
      <c r="T2067" s="1" t="s">
        <v>5356</v>
      </c>
      <c r="U2067" s="1" t="s">
        <v>320</v>
      </c>
      <c r="V2067" s="1" t="s">
        <v>190</v>
      </c>
      <c r="W2067" s="1">
        <v>60634.0</v>
      </c>
      <c r="Y2067" s="1" t="s">
        <v>19566</v>
      </c>
      <c r="Z2067" s="1">
        <v>1923.0</v>
      </c>
      <c r="AA2067" s="1" t="s">
        <v>192</v>
      </c>
      <c r="AB2067" s="1" t="s">
        <v>193</v>
      </c>
      <c r="AD2067" s="1" t="s">
        <v>194</v>
      </c>
      <c r="AE2067" s="1" t="s">
        <v>195</v>
      </c>
      <c r="AF2067" s="1" t="s">
        <v>196</v>
      </c>
      <c r="AG2067" s="1" t="s">
        <v>778</v>
      </c>
      <c r="AH2067" s="1" t="s">
        <v>779</v>
      </c>
      <c r="AK2067" s="1">
        <v>7.0</v>
      </c>
      <c r="AL2067" s="1">
        <v>4.0</v>
      </c>
      <c r="AM2067" s="1">
        <v>3.0</v>
      </c>
      <c r="AN2067" s="1">
        <v>1.0</v>
      </c>
      <c r="AO2067" s="1" t="s">
        <v>198</v>
      </c>
      <c r="AP2067" s="1">
        <v>1.0</v>
      </c>
      <c r="AQ2067" s="1" t="s">
        <v>198</v>
      </c>
      <c r="AR2067" s="1" t="s">
        <v>192</v>
      </c>
      <c r="AS2067" s="1" t="s">
        <v>510</v>
      </c>
      <c r="AT2067" s="1">
        <v>2.0</v>
      </c>
      <c r="AU2067" s="1">
        <v>2.0</v>
      </c>
      <c r="AV2067" s="1" t="s">
        <v>200</v>
      </c>
      <c r="AW2067" s="1">
        <v>3951.1</v>
      </c>
      <c r="AX2067" s="1">
        <v>2013.0</v>
      </c>
      <c r="AY2067" s="1" t="s">
        <v>229</v>
      </c>
      <c r="AZ2067" s="1" t="s">
        <v>200</v>
      </c>
      <c r="BA2067" s="1" t="str">
        <f>"13204230320000"</f>
        <v>13204230320000</v>
      </c>
      <c r="BB2067" s="1" t="s">
        <v>200</v>
      </c>
      <c r="BC2067" s="1">
        <v>1700.0</v>
      </c>
      <c r="BD2067" s="1">
        <v>265000.0</v>
      </c>
      <c r="BE2067" s="2">
        <v>41907.0</v>
      </c>
      <c r="BF2067" s="2" t="s">
        <v>19567</v>
      </c>
      <c r="BH2067" s="1">
        <v>0.0</v>
      </c>
      <c r="BK2067" s="1" t="s">
        <v>204</v>
      </c>
      <c r="BL2067" s="1" t="str">
        <f>"3300"</f>
        <v>3300</v>
      </c>
      <c r="BM2067" s="1" t="str">
        <f>"0"</f>
        <v>0</v>
      </c>
      <c r="BN2067" s="1">
        <v>5708.0</v>
      </c>
      <c r="BO2067" s="1">
        <v>0.0</v>
      </c>
      <c r="BQ2067" s="1">
        <v>299.0</v>
      </c>
      <c r="BR2067" s="1">
        <v>299.0</v>
      </c>
      <c r="BS2067" s="1">
        <v>299.0</v>
      </c>
      <c r="BU2067" s="1" t="s">
        <v>19441</v>
      </c>
      <c r="BV2067" s="1" t="s">
        <v>206</v>
      </c>
      <c r="BW2067" s="1" t="s">
        <v>207</v>
      </c>
      <c r="BX2067" s="1" t="s">
        <v>239</v>
      </c>
      <c r="BY2067" s="1" t="s">
        <v>663</v>
      </c>
      <c r="BZ2067" s="1" t="s">
        <v>206</v>
      </c>
      <c r="CA2067" s="1" t="s">
        <v>207</v>
      </c>
      <c r="CB2067" s="1" t="s">
        <v>239</v>
      </c>
      <c r="CC2067" s="1" t="s">
        <v>542</v>
      </c>
      <c r="CD2067" s="1" t="s">
        <v>206</v>
      </c>
      <c r="CG2067" s="1" t="s">
        <v>303</v>
      </c>
      <c r="CH2067" s="1" t="s">
        <v>206</v>
      </c>
      <c r="CI2067" s="1" t="s">
        <v>207</v>
      </c>
      <c r="CJ2067" s="1" t="s">
        <v>239</v>
      </c>
      <c r="CK2067" s="1" t="s">
        <v>2459</v>
      </c>
      <c r="CL2067" s="1" t="s">
        <v>209</v>
      </c>
      <c r="CM2067" s="1" t="s">
        <v>210</v>
      </c>
      <c r="CN2067" s="1" t="s">
        <v>239</v>
      </c>
      <c r="CO2067" s="1" t="s">
        <v>1417</v>
      </c>
      <c r="CP2067" s="1" t="s">
        <v>209</v>
      </c>
      <c r="CQ2067" s="1" t="s">
        <v>210</v>
      </c>
      <c r="CR2067" s="1" t="s">
        <v>239</v>
      </c>
      <c r="CS2067" s="1" t="s">
        <v>300</v>
      </c>
      <c r="CT2067" s="1" t="s">
        <v>206</v>
      </c>
      <c r="CU2067" s="1" t="s">
        <v>268</v>
      </c>
      <c r="CV2067" s="1" t="s">
        <v>239</v>
      </c>
      <c r="CX2067" s="1" t="s">
        <v>204</v>
      </c>
      <c r="DA2067" s="1" t="s">
        <v>200</v>
      </c>
      <c r="DC2067" s="1" t="s">
        <v>216</v>
      </c>
      <c r="DD2067" s="1" t="s">
        <v>855</v>
      </c>
      <c r="DE2067" s="1" t="s">
        <v>273</v>
      </c>
      <c r="DF2067" s="1" t="s">
        <v>219</v>
      </c>
      <c r="DG2067" s="1" t="s">
        <v>4915</v>
      </c>
      <c r="DH2067" s="1" t="s">
        <v>365</v>
      </c>
      <c r="DI2067" s="1" t="s">
        <v>1401</v>
      </c>
      <c r="DJ2067" s="1" t="s">
        <v>222</v>
      </c>
      <c r="DK2067" s="1" t="s">
        <v>16554</v>
      </c>
      <c r="DL2067" s="1" t="s">
        <v>1161</v>
      </c>
      <c r="DM2067" s="1" t="s">
        <v>229</v>
      </c>
      <c r="DO2067" s="1" t="s">
        <v>717</v>
      </c>
      <c r="DP2067" s="1" t="s">
        <v>276</v>
      </c>
      <c r="DQ2067" s="1" t="s">
        <v>228</v>
      </c>
      <c r="DR2067" s="1" t="s">
        <v>229</v>
      </c>
      <c r="DS2067" s="1" t="s">
        <v>591</v>
      </c>
      <c r="DU2067" s="1" t="s">
        <v>487</v>
      </c>
      <c r="DV2067" s="1" t="s">
        <v>374</v>
      </c>
      <c r="DW2067" s="1" t="s">
        <v>279</v>
      </c>
      <c r="DX2067" s="1" t="s">
        <v>234</v>
      </c>
      <c r="DY2067" s="1" t="s">
        <v>19568</v>
      </c>
      <c r="DZ2067" s="1" t="s">
        <v>4491</v>
      </c>
      <c r="EA2067" s="1" t="s">
        <v>644</v>
      </c>
      <c r="EB2067" s="1" t="s">
        <v>14588</v>
      </c>
      <c r="EC2067" s="1" t="s">
        <v>645</v>
      </c>
      <c r="ED2067" s="1" t="s">
        <v>555</v>
      </c>
      <c r="EF2067" s="1" t="s">
        <v>5843</v>
      </c>
      <c r="EG2067" s="1" t="s">
        <v>374</v>
      </c>
      <c r="EL2067" s="1" t="s">
        <v>6180</v>
      </c>
      <c r="EM2067" s="1" t="s">
        <v>206</v>
      </c>
      <c r="EN2067" s="1" t="s">
        <v>301</v>
      </c>
      <c r="EO2067" s="1" t="s">
        <v>1549</v>
      </c>
      <c r="EQ2067" s="1" t="s">
        <v>238</v>
      </c>
      <c r="EU2067" s="1" t="s">
        <v>238</v>
      </c>
      <c r="EY2067" s="1" t="s">
        <v>238</v>
      </c>
      <c r="FC2067" s="1" t="s">
        <v>238</v>
      </c>
      <c r="FF2067" s="1" t="s">
        <v>239</v>
      </c>
      <c r="FG2067" s="1" t="s">
        <v>192</v>
      </c>
      <c r="FH2067" s="1" t="s">
        <v>192</v>
      </c>
      <c r="FJ2067" s="1" t="s">
        <v>19569</v>
      </c>
      <c r="FK2067" s="1" t="s">
        <v>229</v>
      </c>
      <c r="FL2067" s="1" t="s">
        <v>1124</v>
      </c>
      <c r="FM2067" s="1">
        <v>10267.0</v>
      </c>
      <c r="FN2067" s="1" t="s">
        <v>3908</v>
      </c>
      <c r="FO2067" s="1" t="s">
        <v>19570</v>
      </c>
      <c r="FP2067" s="1">
        <v>159466.0</v>
      </c>
      <c r="FQ2067" s="1" t="s">
        <v>19571</v>
      </c>
      <c r="FU2067" s="1" t="s">
        <v>19572</v>
      </c>
      <c r="FV2067" s="1" t="s">
        <v>200</v>
      </c>
      <c r="FW2067" s="1" t="s">
        <v>530</v>
      </c>
      <c r="FX2067" s="1" t="s">
        <v>246</v>
      </c>
      <c r="FZ2067" s="1" t="s">
        <v>229</v>
      </c>
      <c r="GA2067" s="1" t="s">
        <v>291</v>
      </c>
      <c r="GB2067" s="2">
        <v>41984.0</v>
      </c>
    </row>
    <row r="2068">
      <c r="A2068" s="1">
        <v>183000.0</v>
      </c>
      <c r="B2068" s="1" t="s">
        <v>185</v>
      </c>
      <c r="C2068" s="1" t="str">
        <f>"08733845"</f>
        <v>08733845</v>
      </c>
      <c r="D2068" s="1" t="s">
        <v>186</v>
      </c>
      <c r="F2068" s="1" t="str">
        <f>"8070"</f>
        <v>8070</v>
      </c>
      <c r="G2068" s="2">
        <v>41903.0</v>
      </c>
      <c r="H2068" s="1">
        <v>204950.0</v>
      </c>
      <c r="I2068" s="1">
        <v>86.0</v>
      </c>
      <c r="J2068" s="1">
        <v>197500.0</v>
      </c>
      <c r="K2068" s="2">
        <v>41961.0</v>
      </c>
      <c r="L2068" s="1">
        <v>59.0</v>
      </c>
      <c r="M2068" s="2">
        <v>41961.0</v>
      </c>
      <c r="N2068" s="1" t="s">
        <v>249</v>
      </c>
      <c r="O2068" s="2">
        <v>41969.0</v>
      </c>
      <c r="P2068" s="1">
        <v>117039.0</v>
      </c>
      <c r="Q2068" s="1">
        <v>85885.0</v>
      </c>
      <c r="S2068" s="1">
        <v>8214.0</v>
      </c>
      <c r="T2068" s="1" t="s">
        <v>15861</v>
      </c>
      <c r="U2068" s="1" t="s">
        <v>189</v>
      </c>
      <c r="V2068" s="1" t="s">
        <v>190</v>
      </c>
      <c r="W2068" s="1">
        <v>60652.0</v>
      </c>
      <c r="Y2068" s="1" t="s">
        <v>19573</v>
      </c>
      <c r="Z2068" s="1">
        <v>1947.0</v>
      </c>
      <c r="AA2068" s="1" t="s">
        <v>192</v>
      </c>
      <c r="AB2068" s="1" t="s">
        <v>193</v>
      </c>
      <c r="AD2068" s="1" t="s">
        <v>194</v>
      </c>
      <c r="AE2068" s="1" t="s">
        <v>195</v>
      </c>
      <c r="AF2068" s="1" t="s">
        <v>659</v>
      </c>
      <c r="AH2068" s="1">
        <v>3750.0</v>
      </c>
      <c r="AK2068" s="1">
        <v>7.0</v>
      </c>
      <c r="AL2068" s="1">
        <v>4.0</v>
      </c>
      <c r="AM2068" s="1">
        <v>2.0</v>
      </c>
      <c r="AN2068" s="1">
        <v>1.0</v>
      </c>
      <c r="AO2068" s="1" t="s">
        <v>229</v>
      </c>
      <c r="AQ2068" s="1" t="s">
        <v>198</v>
      </c>
      <c r="AR2068" s="1" t="s">
        <v>192</v>
      </c>
      <c r="AS2068" s="1" t="s">
        <v>199</v>
      </c>
      <c r="AT2068" s="1">
        <v>2.0</v>
      </c>
      <c r="AV2068" s="1" t="s">
        <v>200</v>
      </c>
      <c r="AW2068" s="1">
        <v>2627.0</v>
      </c>
      <c r="AX2068" s="1">
        <v>2013.0</v>
      </c>
      <c r="AY2068" s="1" t="s">
        <v>229</v>
      </c>
      <c r="AZ2068" s="1" t="s">
        <v>200</v>
      </c>
      <c r="BA2068" s="1" t="str">
        <f>"19362250210000"</f>
        <v>19362250210000</v>
      </c>
      <c r="BC2068" s="1">
        <v>1406.0</v>
      </c>
      <c r="BD2068" s="1">
        <v>183000.0</v>
      </c>
      <c r="BE2068" s="2">
        <v>41903.0</v>
      </c>
      <c r="BF2068" s="2" t="s">
        <v>19574</v>
      </c>
      <c r="BH2068" s="1">
        <v>0.0</v>
      </c>
      <c r="BK2068" s="1" t="s">
        <v>204</v>
      </c>
      <c r="BL2068" s="1" t="str">
        <f t="shared" ref="BL2068:BM2068" si="1357">"0"</f>
        <v>0</v>
      </c>
      <c r="BM2068" s="1" t="str">
        <f t="shared" si="1357"/>
        <v>0</v>
      </c>
      <c r="BN2068" s="1">
        <v>2600.0</v>
      </c>
      <c r="BO2068" s="1">
        <v>8214.0</v>
      </c>
      <c r="BQ2068" s="1">
        <v>299.0</v>
      </c>
      <c r="BR2068" s="1">
        <v>299.0</v>
      </c>
      <c r="BS2068" s="1">
        <v>299.0</v>
      </c>
      <c r="BU2068" s="1" t="s">
        <v>434</v>
      </c>
      <c r="BV2068" s="1" t="s">
        <v>206</v>
      </c>
      <c r="BW2068" s="1" t="s">
        <v>207</v>
      </c>
      <c r="BY2068" s="1" t="s">
        <v>331</v>
      </c>
      <c r="BZ2068" s="1" t="s">
        <v>209</v>
      </c>
      <c r="CA2068" s="1" t="s">
        <v>207</v>
      </c>
      <c r="CC2068" s="1" t="s">
        <v>497</v>
      </c>
      <c r="CD2068" s="1" t="s">
        <v>206</v>
      </c>
      <c r="CE2068" s="1" t="s">
        <v>207</v>
      </c>
      <c r="CG2068" s="1" t="s">
        <v>495</v>
      </c>
      <c r="CH2068" s="1" t="s">
        <v>206</v>
      </c>
      <c r="CI2068" s="1" t="s">
        <v>207</v>
      </c>
      <c r="CK2068" s="1" t="s">
        <v>798</v>
      </c>
      <c r="CL2068" s="1" t="s">
        <v>209</v>
      </c>
      <c r="CM2068" s="1" t="s">
        <v>207</v>
      </c>
      <c r="CO2068" s="1" t="s">
        <v>497</v>
      </c>
      <c r="CP2068" s="1" t="s">
        <v>209</v>
      </c>
      <c r="CQ2068" s="1" t="s">
        <v>207</v>
      </c>
      <c r="CS2068" s="1" t="s">
        <v>495</v>
      </c>
      <c r="CT2068" s="1" t="s">
        <v>206</v>
      </c>
      <c r="CU2068" s="1" t="s">
        <v>207</v>
      </c>
      <c r="CX2068" s="1" t="s">
        <v>204</v>
      </c>
      <c r="DA2068" s="1" t="s">
        <v>200</v>
      </c>
      <c r="DC2068" s="1" t="s">
        <v>702</v>
      </c>
      <c r="DE2068" s="1" t="s">
        <v>273</v>
      </c>
      <c r="DF2068" s="1" t="s">
        <v>219</v>
      </c>
      <c r="DH2068" s="1" t="s">
        <v>307</v>
      </c>
      <c r="DI2068" s="1" t="s">
        <v>2329</v>
      </c>
      <c r="DJ2068" s="1" t="s">
        <v>222</v>
      </c>
      <c r="DL2068" s="1" t="s">
        <v>224</v>
      </c>
      <c r="DM2068" s="1" t="s">
        <v>229</v>
      </c>
      <c r="DP2068" s="1" t="s">
        <v>340</v>
      </c>
      <c r="DQ2068" s="1" t="s">
        <v>228</v>
      </c>
      <c r="DR2068" s="1" t="s">
        <v>229</v>
      </c>
      <c r="DV2068" s="1" t="s">
        <v>232</v>
      </c>
      <c r="DW2068" s="1" t="s">
        <v>279</v>
      </c>
      <c r="DX2068" s="1" t="s">
        <v>234</v>
      </c>
      <c r="DY2068" s="1" t="s">
        <v>19575</v>
      </c>
      <c r="DZ2068" s="1" t="s">
        <v>282</v>
      </c>
      <c r="EA2068" s="1" t="s">
        <v>3308</v>
      </c>
      <c r="EC2068" s="1" t="s">
        <v>237</v>
      </c>
      <c r="ED2068" s="1" t="s">
        <v>555</v>
      </c>
      <c r="EE2068" s="1" t="s">
        <v>493</v>
      </c>
      <c r="EM2068" s="1" t="s">
        <v>238</v>
      </c>
      <c r="EQ2068" s="1" t="s">
        <v>238</v>
      </c>
      <c r="EU2068" s="1" t="s">
        <v>238</v>
      </c>
      <c r="EY2068" s="1" t="s">
        <v>238</v>
      </c>
      <c r="FC2068" s="1" t="s">
        <v>238</v>
      </c>
      <c r="FF2068" s="1" t="s">
        <v>239</v>
      </c>
      <c r="FG2068" s="1" t="s">
        <v>192</v>
      </c>
      <c r="FH2068" s="1" t="s">
        <v>192</v>
      </c>
      <c r="FJ2068" s="1" t="s">
        <v>19576</v>
      </c>
      <c r="FK2068" s="1" t="s">
        <v>229</v>
      </c>
      <c r="FL2068" s="1" t="s">
        <v>1997</v>
      </c>
      <c r="FM2068" s="1">
        <v>84124.0</v>
      </c>
      <c r="FN2068" s="1" t="s">
        <v>3335</v>
      </c>
      <c r="FO2068" s="1" t="s">
        <v>19577</v>
      </c>
      <c r="FP2068" s="1">
        <v>161457.0</v>
      </c>
      <c r="FQ2068" s="1" t="s">
        <v>19578</v>
      </c>
      <c r="FS2068" s="1" t="s">
        <v>19579</v>
      </c>
      <c r="FU2068" s="1" t="s">
        <v>19580</v>
      </c>
      <c r="FV2068" s="1" t="s">
        <v>192</v>
      </c>
      <c r="FW2068" s="1" t="s">
        <v>567</v>
      </c>
      <c r="FX2068" s="1" t="s">
        <v>655</v>
      </c>
      <c r="FZ2068" s="1" t="s">
        <v>229</v>
      </c>
      <c r="GA2068" s="1" t="s">
        <v>291</v>
      </c>
      <c r="GB2068" s="2">
        <v>41970.0</v>
      </c>
      <c r="GC2068" s="1" t="s">
        <v>19581</v>
      </c>
    </row>
    <row r="2069">
      <c r="A2069" s="1">
        <v>227000.0</v>
      </c>
      <c r="B2069" s="1" t="s">
        <v>185</v>
      </c>
      <c r="C2069" s="1" t="str">
        <f>"08754188"</f>
        <v>08754188</v>
      </c>
      <c r="D2069" s="1" t="s">
        <v>186</v>
      </c>
      <c r="F2069" s="1" t="str">
        <f>"178"</f>
        <v>178</v>
      </c>
      <c r="G2069" s="2">
        <v>41928.0</v>
      </c>
      <c r="H2069" s="1">
        <v>247900.0</v>
      </c>
      <c r="I2069" s="1">
        <v>104.0</v>
      </c>
      <c r="J2069" s="1">
        <v>239900.0</v>
      </c>
      <c r="K2069" s="2">
        <v>42031.0</v>
      </c>
      <c r="L2069" s="1">
        <v>104.0</v>
      </c>
      <c r="M2069" s="2">
        <v>42031.0</v>
      </c>
      <c r="N2069" s="1" t="s">
        <v>187</v>
      </c>
      <c r="O2069" s="2">
        <v>42062.0</v>
      </c>
      <c r="P2069" s="1">
        <v>931568.0</v>
      </c>
      <c r="Q2069" s="1">
        <v>93043.0</v>
      </c>
      <c r="S2069" s="1">
        <v>1011.0</v>
      </c>
      <c r="T2069" s="1" t="s">
        <v>9149</v>
      </c>
      <c r="U2069" s="1" t="s">
        <v>569</v>
      </c>
      <c r="V2069" s="1" t="s">
        <v>994</v>
      </c>
      <c r="W2069" s="1">
        <v>60178.0</v>
      </c>
      <c r="Y2069" s="1" t="s">
        <v>19582</v>
      </c>
      <c r="Z2069" s="1">
        <v>1991.0</v>
      </c>
      <c r="AA2069" s="1" t="s">
        <v>200</v>
      </c>
      <c r="AB2069" s="1" t="s">
        <v>193</v>
      </c>
      <c r="AC2069" s="1" t="s">
        <v>11222</v>
      </c>
      <c r="AD2069" s="1" t="s">
        <v>997</v>
      </c>
      <c r="AE2069" s="1" t="s">
        <v>613</v>
      </c>
      <c r="AF2069" s="1" t="s">
        <v>4019</v>
      </c>
      <c r="AH2069" s="1" t="s">
        <v>14700</v>
      </c>
      <c r="AI2069" s="1">
        <v>0.22</v>
      </c>
      <c r="AK2069" s="1">
        <v>10.0</v>
      </c>
      <c r="AL2069" s="1">
        <v>4.0</v>
      </c>
      <c r="AM2069" s="1">
        <v>3.0</v>
      </c>
      <c r="AN2069" s="1">
        <v>1.0</v>
      </c>
      <c r="AO2069" s="1" t="s">
        <v>198</v>
      </c>
      <c r="AP2069" s="1">
        <v>1.0</v>
      </c>
      <c r="AQ2069" s="1" t="s">
        <v>198</v>
      </c>
      <c r="AR2069" s="1" t="s">
        <v>192</v>
      </c>
      <c r="AS2069" s="1" t="s">
        <v>199</v>
      </c>
      <c r="AT2069" s="1">
        <v>2.0</v>
      </c>
      <c r="AV2069" s="1" t="s">
        <v>200</v>
      </c>
      <c r="AW2069" s="1">
        <v>5902.0</v>
      </c>
      <c r="AX2069" s="1">
        <v>2013.0</v>
      </c>
      <c r="AY2069" s="1" t="s">
        <v>387</v>
      </c>
      <c r="AZ2069" s="1" t="s">
        <v>192</v>
      </c>
      <c r="BA2069" s="1" t="str">
        <f>"0906235002"</f>
        <v>0906235002</v>
      </c>
      <c r="BC2069" s="1">
        <v>2150.0</v>
      </c>
      <c r="BD2069" s="1">
        <v>227000.0</v>
      </c>
      <c r="BE2069" s="2">
        <v>41928.0</v>
      </c>
      <c r="BF2069" s="2" t="s">
        <v>19583</v>
      </c>
      <c r="BH2069" s="1">
        <v>0.0</v>
      </c>
      <c r="BK2069" s="1" t="s">
        <v>204</v>
      </c>
      <c r="BL2069" s="1" t="str">
        <f t="shared" ref="BL2069:BM2069" si="1358">"0"</f>
        <v>0</v>
      </c>
      <c r="BM2069" s="1" t="str">
        <f t="shared" si="1358"/>
        <v>0</v>
      </c>
      <c r="BN2069" s="1">
        <v>0.0</v>
      </c>
      <c r="BO2069" s="1">
        <v>0.0</v>
      </c>
      <c r="BQ2069" s="1">
        <v>427.0</v>
      </c>
      <c r="BR2069" s="1">
        <v>427.0</v>
      </c>
      <c r="BS2069" s="1">
        <v>427.0</v>
      </c>
      <c r="BU2069" s="1" t="s">
        <v>1567</v>
      </c>
      <c r="BV2069" s="1" t="s">
        <v>206</v>
      </c>
      <c r="BW2069" s="1" t="s">
        <v>210</v>
      </c>
      <c r="BX2069" s="1" t="s">
        <v>1549</v>
      </c>
      <c r="BY2069" s="1" t="s">
        <v>1483</v>
      </c>
      <c r="BZ2069" s="1" t="s">
        <v>209</v>
      </c>
      <c r="CA2069" s="1" t="s">
        <v>210</v>
      </c>
      <c r="CB2069" s="1" t="s">
        <v>1549</v>
      </c>
      <c r="CC2069" s="1" t="s">
        <v>363</v>
      </c>
      <c r="CD2069" s="1" t="s">
        <v>206</v>
      </c>
      <c r="CE2069" s="1" t="s">
        <v>210</v>
      </c>
      <c r="CF2069" s="1" t="s">
        <v>1549</v>
      </c>
      <c r="CG2069" s="1" t="s">
        <v>758</v>
      </c>
      <c r="CH2069" s="1" t="s">
        <v>209</v>
      </c>
      <c r="CI2069" s="1" t="s">
        <v>210</v>
      </c>
      <c r="CJ2069" s="1" t="s">
        <v>1549</v>
      </c>
      <c r="CK2069" s="1" t="s">
        <v>454</v>
      </c>
      <c r="CL2069" s="1" t="s">
        <v>209</v>
      </c>
      <c r="CM2069" s="1" t="s">
        <v>210</v>
      </c>
      <c r="CN2069" s="1" t="s">
        <v>1549</v>
      </c>
      <c r="CO2069" s="1" t="s">
        <v>363</v>
      </c>
      <c r="CP2069" s="1" t="s">
        <v>209</v>
      </c>
      <c r="CQ2069" s="1" t="s">
        <v>210</v>
      </c>
      <c r="CR2069" s="1" t="s">
        <v>1549</v>
      </c>
      <c r="CS2069" s="1" t="s">
        <v>1045</v>
      </c>
      <c r="CT2069" s="1" t="s">
        <v>206</v>
      </c>
      <c r="CU2069" s="1" t="s">
        <v>207</v>
      </c>
      <c r="CV2069" s="1" t="s">
        <v>1549</v>
      </c>
      <c r="CW2069" s="1" t="s">
        <v>496</v>
      </c>
      <c r="CX2069" s="1" t="s">
        <v>206</v>
      </c>
      <c r="CY2069" s="1" t="s">
        <v>210</v>
      </c>
      <c r="CZ2069" s="1" t="s">
        <v>1549</v>
      </c>
      <c r="DA2069" s="1" t="s">
        <v>200</v>
      </c>
      <c r="DC2069" s="1" t="s">
        <v>435</v>
      </c>
      <c r="DD2069" s="1" t="s">
        <v>396</v>
      </c>
      <c r="DE2069" s="1" t="s">
        <v>273</v>
      </c>
      <c r="DF2069" s="1" t="s">
        <v>219</v>
      </c>
      <c r="DH2069" s="1" t="s">
        <v>220</v>
      </c>
      <c r="DI2069" s="1" t="s">
        <v>1003</v>
      </c>
      <c r="DJ2069" s="1" t="s">
        <v>222</v>
      </c>
      <c r="DK2069" s="1" t="s">
        <v>223</v>
      </c>
      <c r="DL2069" s="1" t="s">
        <v>858</v>
      </c>
      <c r="DM2069" s="1" t="s">
        <v>1268</v>
      </c>
      <c r="DN2069" s="1" t="s">
        <v>339</v>
      </c>
      <c r="DP2069" s="1" t="s">
        <v>340</v>
      </c>
      <c r="DQ2069" s="1" t="s">
        <v>228</v>
      </c>
      <c r="DR2069" s="1" t="s">
        <v>229</v>
      </c>
      <c r="DS2069" s="1" t="s">
        <v>230</v>
      </c>
      <c r="DU2069" s="1" t="s">
        <v>9002</v>
      </c>
      <c r="DV2069" s="1" t="s">
        <v>7291</v>
      </c>
      <c r="DW2069" s="1" t="s">
        <v>964</v>
      </c>
      <c r="DX2069" s="1" t="s">
        <v>234</v>
      </c>
      <c r="DY2069" s="1" t="s">
        <v>1051</v>
      </c>
      <c r="DZ2069" s="1" t="s">
        <v>310</v>
      </c>
      <c r="EA2069" s="1" t="s">
        <v>344</v>
      </c>
      <c r="EB2069" s="1" t="s">
        <v>937</v>
      </c>
      <c r="EC2069" s="1" t="s">
        <v>237</v>
      </c>
      <c r="ED2069" s="1" t="s">
        <v>555</v>
      </c>
      <c r="EE2069" s="1" t="s">
        <v>187</v>
      </c>
      <c r="EG2069" s="1" t="s">
        <v>450</v>
      </c>
      <c r="EH2069" s="1" t="s">
        <v>494</v>
      </c>
      <c r="EL2069" s="1" t="s">
        <v>1483</v>
      </c>
      <c r="EM2069" s="1" t="s">
        <v>42</v>
      </c>
      <c r="EN2069" s="1" t="s">
        <v>210</v>
      </c>
      <c r="EO2069" s="1" t="s">
        <v>229</v>
      </c>
      <c r="EP2069" s="1" t="s">
        <v>363</v>
      </c>
      <c r="EQ2069" s="1" t="s">
        <v>42</v>
      </c>
      <c r="ER2069" s="1" t="s">
        <v>210</v>
      </c>
      <c r="ES2069" s="1" t="s">
        <v>229</v>
      </c>
      <c r="EU2069" s="1" t="s">
        <v>238</v>
      </c>
      <c r="EY2069" s="1" t="s">
        <v>238</v>
      </c>
      <c r="FC2069" s="1" t="s">
        <v>238</v>
      </c>
      <c r="FF2069" s="1" t="s">
        <v>239</v>
      </c>
      <c r="FG2069" s="1" t="s">
        <v>192</v>
      </c>
      <c r="FH2069" s="1" t="s">
        <v>192</v>
      </c>
      <c r="FJ2069" s="1" t="s">
        <v>524</v>
      </c>
      <c r="FK2069" s="1" t="s">
        <v>348</v>
      </c>
      <c r="FL2069" s="1" t="s">
        <v>893</v>
      </c>
      <c r="FM2069" s="1">
        <v>604.0</v>
      </c>
      <c r="FN2069" s="1" t="s">
        <v>894</v>
      </c>
      <c r="FO2069" s="1" t="s">
        <v>19584</v>
      </c>
      <c r="FP2069" s="1">
        <v>1077.0</v>
      </c>
      <c r="FQ2069" s="1" t="s">
        <v>19585</v>
      </c>
      <c r="FU2069" s="1" t="s">
        <v>19586</v>
      </c>
      <c r="FV2069" s="1" t="s">
        <v>200</v>
      </c>
      <c r="FW2069" s="1" t="s">
        <v>290</v>
      </c>
      <c r="FZ2069" s="1" t="s">
        <v>632</v>
      </c>
      <c r="GA2069" s="1" t="s">
        <v>291</v>
      </c>
      <c r="GB2069" s="2">
        <v>42063.0</v>
      </c>
      <c r="GC2069" s="1" t="s">
        <v>19587</v>
      </c>
    </row>
    <row r="2070">
      <c r="A2070" s="1">
        <v>435000.0</v>
      </c>
      <c r="B2070" s="1" t="s">
        <v>185</v>
      </c>
      <c r="C2070" s="1" t="str">
        <f>"08734911"</f>
        <v>08734911</v>
      </c>
      <c r="D2070" s="1" t="s">
        <v>186</v>
      </c>
      <c r="F2070" s="1" t="str">
        <f>"8015"</f>
        <v>8015</v>
      </c>
      <c r="G2070" s="2">
        <v>41904.0</v>
      </c>
      <c r="H2070" s="1">
        <v>484500.0</v>
      </c>
      <c r="I2070" s="1">
        <v>157.0</v>
      </c>
      <c r="J2070" s="1">
        <v>467500.0</v>
      </c>
      <c r="K2070" s="2">
        <v>42060.0</v>
      </c>
      <c r="L2070" s="1">
        <v>157.0</v>
      </c>
      <c r="M2070" s="2">
        <v>42060.0</v>
      </c>
      <c r="N2070" s="1" t="s">
        <v>187</v>
      </c>
      <c r="O2070" s="2">
        <v>42103.0</v>
      </c>
      <c r="P2070" s="1">
        <v>185272.0</v>
      </c>
      <c r="Q2070" s="1">
        <v>18705.0</v>
      </c>
      <c r="S2070" s="1">
        <v>5235.0</v>
      </c>
      <c r="T2070" s="1" t="s">
        <v>4099</v>
      </c>
      <c r="U2070" s="1" t="s">
        <v>189</v>
      </c>
      <c r="V2070" s="1" t="s">
        <v>190</v>
      </c>
      <c r="W2070" s="1">
        <v>60641.0</v>
      </c>
      <c r="Y2070" s="1" t="s">
        <v>19588</v>
      </c>
      <c r="Z2070" s="1">
        <v>1911.0</v>
      </c>
      <c r="AA2070" s="1" t="s">
        <v>192</v>
      </c>
      <c r="AB2070" s="1" t="s">
        <v>193</v>
      </c>
      <c r="AD2070" s="1" t="s">
        <v>194</v>
      </c>
      <c r="AE2070" s="1" t="s">
        <v>195</v>
      </c>
      <c r="AF2070" s="1" t="s">
        <v>196</v>
      </c>
      <c r="AH2070" s="1" t="s">
        <v>1501</v>
      </c>
      <c r="AK2070" s="1">
        <v>10.0</v>
      </c>
      <c r="AL2070" s="1">
        <v>4.0</v>
      </c>
      <c r="AM2070" s="1">
        <v>3.0</v>
      </c>
      <c r="AN2070" s="1">
        <v>0.0</v>
      </c>
      <c r="AO2070" s="1" t="s">
        <v>229</v>
      </c>
      <c r="AQ2070" s="1" t="s">
        <v>198</v>
      </c>
      <c r="AR2070" s="1" t="s">
        <v>200</v>
      </c>
      <c r="AS2070" s="1" t="s">
        <v>199</v>
      </c>
      <c r="AT2070" s="1">
        <v>2.0</v>
      </c>
      <c r="AV2070" s="1" t="s">
        <v>200</v>
      </c>
      <c r="AW2070" s="1">
        <v>3360.8</v>
      </c>
      <c r="AX2070" s="1">
        <v>2013.0</v>
      </c>
      <c r="AZ2070" s="1" t="s">
        <v>200</v>
      </c>
      <c r="BA2070" s="1" t="str">
        <f>"13163240090000"</f>
        <v>13163240090000</v>
      </c>
      <c r="BC2070" s="1">
        <v>2325.0</v>
      </c>
      <c r="BD2070" s="1">
        <v>435000.0</v>
      </c>
      <c r="BE2070" s="2">
        <v>41904.0</v>
      </c>
      <c r="BF2070" s="2" t="s">
        <v>19589</v>
      </c>
      <c r="BG2070" s="1" t="s">
        <v>781</v>
      </c>
      <c r="BH2070" s="1">
        <v>0.0</v>
      </c>
      <c r="BI2070" s="1" t="s">
        <v>781</v>
      </c>
      <c r="BK2070" s="1" t="s">
        <v>204</v>
      </c>
      <c r="BL2070" s="1" t="str">
        <f>"3900"</f>
        <v>3900</v>
      </c>
      <c r="BM2070" s="1" t="str">
        <f>"0"</f>
        <v>0</v>
      </c>
      <c r="BN2070" s="1">
        <v>5235.0</v>
      </c>
      <c r="BO2070" s="1">
        <v>0.0</v>
      </c>
      <c r="BQ2070" s="1">
        <v>299.0</v>
      </c>
      <c r="BR2070" s="1">
        <v>299.0</v>
      </c>
      <c r="BS2070" s="1">
        <v>299.0</v>
      </c>
      <c r="BU2070" s="1" t="s">
        <v>205</v>
      </c>
      <c r="BV2070" s="1" t="s">
        <v>206</v>
      </c>
      <c r="BW2070" s="1" t="s">
        <v>207</v>
      </c>
      <c r="BY2070" s="1" t="s">
        <v>432</v>
      </c>
      <c r="BZ2070" s="1" t="s">
        <v>209</v>
      </c>
      <c r="CA2070" s="1" t="s">
        <v>210</v>
      </c>
      <c r="CC2070" s="1" t="s">
        <v>433</v>
      </c>
      <c r="CD2070" s="1" t="s">
        <v>206</v>
      </c>
      <c r="CE2070" s="1" t="s">
        <v>207</v>
      </c>
      <c r="CG2070" s="1" t="s">
        <v>814</v>
      </c>
      <c r="CH2070" s="1" t="s">
        <v>206</v>
      </c>
      <c r="CI2070" s="1" t="s">
        <v>210</v>
      </c>
      <c r="CK2070" s="1" t="s">
        <v>816</v>
      </c>
      <c r="CL2070" s="1" t="s">
        <v>206</v>
      </c>
      <c r="CM2070" s="1" t="s">
        <v>210</v>
      </c>
      <c r="CO2070" s="1" t="s">
        <v>2505</v>
      </c>
      <c r="CP2070" s="1" t="s">
        <v>209</v>
      </c>
      <c r="CQ2070" s="1" t="s">
        <v>210</v>
      </c>
      <c r="CS2070" s="1" t="s">
        <v>1426</v>
      </c>
      <c r="CT2070" s="1" t="s">
        <v>206</v>
      </c>
      <c r="CU2070" s="1" t="s">
        <v>207</v>
      </c>
      <c r="CX2070" s="1" t="s">
        <v>204</v>
      </c>
      <c r="DA2070" s="1" t="s">
        <v>200</v>
      </c>
      <c r="DC2070" s="1" t="s">
        <v>642</v>
      </c>
      <c r="DD2070" s="1" t="s">
        <v>5601</v>
      </c>
      <c r="DE2070" s="1" t="s">
        <v>273</v>
      </c>
      <c r="DF2070" s="1" t="s">
        <v>4120</v>
      </c>
      <c r="DH2070" s="1" t="s">
        <v>220</v>
      </c>
      <c r="DI2070" s="1" t="s">
        <v>1141</v>
      </c>
      <c r="DJ2070" s="1" t="s">
        <v>222</v>
      </c>
      <c r="DL2070" s="1" t="s">
        <v>224</v>
      </c>
      <c r="DM2070" s="1" t="s">
        <v>229</v>
      </c>
      <c r="DQ2070" s="1" t="s">
        <v>228</v>
      </c>
      <c r="DR2070" s="1" t="s">
        <v>229</v>
      </c>
      <c r="DV2070" s="1" t="s">
        <v>19590</v>
      </c>
      <c r="DW2070" s="1" t="s">
        <v>667</v>
      </c>
      <c r="DX2070" s="1" t="s">
        <v>234</v>
      </c>
      <c r="DY2070" s="1" t="s">
        <v>19591</v>
      </c>
      <c r="EC2070" s="1" t="s">
        <v>645</v>
      </c>
      <c r="EE2070" s="1" t="s">
        <v>1077</v>
      </c>
      <c r="EG2070" s="1" t="s">
        <v>449</v>
      </c>
      <c r="EH2070" s="1" t="s">
        <v>557</v>
      </c>
      <c r="EI2070" s="1" t="s">
        <v>450</v>
      </c>
      <c r="EJ2070" s="1" t="s">
        <v>408</v>
      </c>
      <c r="EL2070" s="1" t="s">
        <v>699</v>
      </c>
      <c r="EM2070" s="1" t="s">
        <v>206</v>
      </c>
      <c r="EN2070" s="1" t="s">
        <v>207</v>
      </c>
      <c r="EP2070" s="1" t="s">
        <v>19592</v>
      </c>
      <c r="EQ2070" s="1" t="s">
        <v>209</v>
      </c>
      <c r="ER2070" s="1" t="s">
        <v>210</v>
      </c>
      <c r="ET2070" s="1" t="s">
        <v>19593</v>
      </c>
      <c r="EU2070" s="1" t="s">
        <v>42</v>
      </c>
      <c r="EV2070" s="1" t="s">
        <v>301</v>
      </c>
      <c r="EX2070" s="1" t="s">
        <v>2047</v>
      </c>
      <c r="EY2070" s="1" t="s">
        <v>206</v>
      </c>
      <c r="EZ2070" s="1" t="s">
        <v>207</v>
      </c>
      <c r="FC2070" s="1" t="s">
        <v>238</v>
      </c>
      <c r="FF2070" s="1" t="s">
        <v>239</v>
      </c>
      <c r="FG2070" s="1" t="s">
        <v>192</v>
      </c>
      <c r="FH2070" s="1" t="s">
        <v>192</v>
      </c>
      <c r="FJ2070" s="1" t="s">
        <v>561</v>
      </c>
      <c r="FK2070" s="1" t="s">
        <v>229</v>
      </c>
      <c r="FL2070" s="1" t="s">
        <v>19594</v>
      </c>
      <c r="FM2070" s="1">
        <v>2208.0</v>
      </c>
      <c r="FN2070" s="1" t="s">
        <v>19595</v>
      </c>
      <c r="FO2070" s="1" t="s">
        <v>19596</v>
      </c>
      <c r="FP2070" s="1">
        <v>84565.0</v>
      </c>
      <c r="FQ2070" s="1" t="s">
        <v>19597</v>
      </c>
      <c r="FS2070" s="1" t="s">
        <v>19598</v>
      </c>
      <c r="FU2070" s="1" t="s">
        <v>19599</v>
      </c>
      <c r="FV2070" s="1" t="s">
        <v>200</v>
      </c>
      <c r="FW2070" s="1" t="s">
        <v>1411</v>
      </c>
      <c r="FX2070" s="1" t="s">
        <v>246</v>
      </c>
      <c r="FZ2070" s="1" t="s">
        <v>229</v>
      </c>
      <c r="GA2070" s="1" t="s">
        <v>291</v>
      </c>
      <c r="GB2070" s="2">
        <v>42103.0</v>
      </c>
      <c r="GC2070" s="1" t="s">
        <v>19600</v>
      </c>
    </row>
    <row r="2071">
      <c r="A2071" s="1">
        <v>260000.0</v>
      </c>
      <c r="B2071" s="1" t="s">
        <v>185</v>
      </c>
      <c r="C2071" s="1" t="str">
        <f>"08727724"</f>
        <v>08727724</v>
      </c>
      <c r="D2071" s="1" t="s">
        <v>186</v>
      </c>
      <c r="F2071" s="1" t="str">
        <f>"656"</f>
        <v>656</v>
      </c>
      <c r="G2071" s="2">
        <v>41895.0</v>
      </c>
      <c r="H2071" s="1">
        <v>282500.0</v>
      </c>
      <c r="I2071" s="1">
        <v>158.0</v>
      </c>
      <c r="J2071" s="1">
        <v>269900.0</v>
      </c>
      <c r="K2071" s="2">
        <v>42051.0</v>
      </c>
      <c r="L2071" s="1">
        <v>158.0</v>
      </c>
      <c r="M2071" s="2">
        <v>42051.0</v>
      </c>
      <c r="N2071" s="1" t="s">
        <v>187</v>
      </c>
      <c r="O2071" s="2">
        <v>42124.0</v>
      </c>
      <c r="P2071" s="1">
        <v>107678.0</v>
      </c>
      <c r="Q2071" s="1">
        <v>14316.0</v>
      </c>
      <c r="S2071" s="1">
        <v>4721.0</v>
      </c>
      <c r="T2071" s="1" t="s">
        <v>12384</v>
      </c>
      <c r="U2071" s="1" t="s">
        <v>189</v>
      </c>
      <c r="V2071" s="1" t="s">
        <v>2344</v>
      </c>
      <c r="W2071" s="1">
        <v>60706.0</v>
      </c>
      <c r="Y2071" s="1" t="s">
        <v>19601</v>
      </c>
      <c r="Z2071" s="1">
        <v>1956.0</v>
      </c>
      <c r="AA2071" s="1" t="s">
        <v>192</v>
      </c>
      <c r="AB2071" s="1" t="s">
        <v>193</v>
      </c>
      <c r="AD2071" s="1" t="s">
        <v>2346</v>
      </c>
      <c r="AE2071" s="1" t="s">
        <v>195</v>
      </c>
      <c r="AF2071" s="1" t="s">
        <v>2347</v>
      </c>
      <c r="AH2071" s="1" t="s">
        <v>19602</v>
      </c>
      <c r="AI2071" s="1">
        <v>0.1067</v>
      </c>
      <c r="AK2071" s="1">
        <v>8.0</v>
      </c>
      <c r="AL2071" s="1">
        <v>4.0</v>
      </c>
      <c r="AM2071" s="1">
        <v>2.0</v>
      </c>
      <c r="AN2071" s="1">
        <v>0.0</v>
      </c>
      <c r="AO2071" s="1" t="s">
        <v>229</v>
      </c>
      <c r="AQ2071" s="1" t="s">
        <v>198</v>
      </c>
      <c r="AR2071" s="1" t="s">
        <v>192</v>
      </c>
      <c r="AS2071" s="1" t="s">
        <v>199</v>
      </c>
      <c r="AT2071" s="1">
        <v>1.5</v>
      </c>
      <c r="AV2071" s="1" t="s">
        <v>200</v>
      </c>
      <c r="AW2071" s="1">
        <v>3201.15</v>
      </c>
      <c r="AX2071" s="1">
        <v>2013.0</v>
      </c>
      <c r="AZ2071" s="1" t="s">
        <v>200</v>
      </c>
      <c r="BA2071" s="1" t="str">
        <f>"13181020430000"</f>
        <v>13181020430000</v>
      </c>
      <c r="BC2071" s="1">
        <v>1288.0</v>
      </c>
      <c r="BD2071" s="1">
        <v>260000.0</v>
      </c>
      <c r="BE2071" s="2">
        <v>41894.0</v>
      </c>
      <c r="BF2071" s="2" t="s">
        <v>19603</v>
      </c>
      <c r="BG2071" s="1" t="s">
        <v>2351</v>
      </c>
      <c r="BH2071" s="1">
        <v>0.0</v>
      </c>
      <c r="BI2071" s="1" t="s">
        <v>2351</v>
      </c>
      <c r="BJ2071" s="1" t="s">
        <v>2352</v>
      </c>
      <c r="BK2071" s="1" t="s">
        <v>204</v>
      </c>
      <c r="BL2071" s="1" t="str">
        <f t="shared" ref="BL2071:BM2071" si="1359">""</f>
        <v/>
      </c>
      <c r="BM2071" s="1" t="str">
        <f t="shared" si="1359"/>
        <v/>
      </c>
      <c r="BQ2071" s="1">
        <v>86.0</v>
      </c>
      <c r="BR2071" s="1">
        <v>234.0</v>
      </c>
      <c r="BS2071" s="1">
        <v>86.0</v>
      </c>
      <c r="BU2071" s="1" t="s">
        <v>1426</v>
      </c>
      <c r="BV2071" s="1" t="s">
        <v>206</v>
      </c>
      <c r="BW2071" s="1" t="s">
        <v>207</v>
      </c>
      <c r="BY2071" s="1" t="s">
        <v>264</v>
      </c>
      <c r="BZ2071" s="1" t="s">
        <v>206</v>
      </c>
      <c r="CA2071" s="1" t="s">
        <v>1790</v>
      </c>
      <c r="CD2071" s="1" t="s">
        <v>204</v>
      </c>
      <c r="CG2071" s="1" t="s">
        <v>269</v>
      </c>
      <c r="CH2071" s="1" t="s">
        <v>206</v>
      </c>
      <c r="CI2071" s="1" t="s">
        <v>207</v>
      </c>
      <c r="CK2071" s="1" t="s">
        <v>264</v>
      </c>
      <c r="CL2071" s="1" t="s">
        <v>206</v>
      </c>
      <c r="CM2071" s="1" t="s">
        <v>207</v>
      </c>
      <c r="CO2071" s="1" t="s">
        <v>269</v>
      </c>
      <c r="CP2071" s="1" t="s">
        <v>206</v>
      </c>
      <c r="CQ2071" s="1" t="s">
        <v>1790</v>
      </c>
      <c r="CS2071" s="1" t="s">
        <v>269</v>
      </c>
      <c r="CT2071" s="1" t="s">
        <v>206</v>
      </c>
      <c r="CU2071" s="1" t="s">
        <v>617</v>
      </c>
      <c r="CX2071" s="1" t="s">
        <v>204</v>
      </c>
      <c r="DA2071" s="1" t="s">
        <v>200</v>
      </c>
      <c r="DC2071" s="1" t="s">
        <v>271</v>
      </c>
      <c r="DD2071" s="1" t="s">
        <v>518</v>
      </c>
      <c r="DE2071" s="1" t="s">
        <v>273</v>
      </c>
      <c r="DF2071" s="1" t="s">
        <v>619</v>
      </c>
      <c r="DH2071" s="1" t="s">
        <v>365</v>
      </c>
      <c r="DI2071" s="1" t="s">
        <v>1463</v>
      </c>
      <c r="DJ2071" s="1" t="s">
        <v>222</v>
      </c>
      <c r="DL2071" s="1" t="s">
        <v>1161</v>
      </c>
      <c r="DM2071" s="1" t="s">
        <v>229</v>
      </c>
      <c r="DO2071" s="1" t="s">
        <v>549</v>
      </c>
      <c r="DQ2071" s="1" t="s">
        <v>228</v>
      </c>
      <c r="DR2071" s="1" t="s">
        <v>229</v>
      </c>
      <c r="DU2071" s="1" t="s">
        <v>1355</v>
      </c>
      <c r="DV2071" s="1" t="s">
        <v>16291</v>
      </c>
      <c r="DW2071" s="1" t="s">
        <v>279</v>
      </c>
      <c r="DX2071" s="1" t="s">
        <v>234</v>
      </c>
      <c r="DY2071" s="1" t="s">
        <v>281</v>
      </c>
      <c r="EA2071" s="1" t="s">
        <v>683</v>
      </c>
      <c r="EC2071" s="1" t="s">
        <v>685</v>
      </c>
      <c r="EE2071" s="1" t="s">
        <v>1077</v>
      </c>
      <c r="EH2071" s="1" t="s">
        <v>450</v>
      </c>
      <c r="EI2071" s="1" t="s">
        <v>1491</v>
      </c>
      <c r="EJ2071" s="1" t="s">
        <v>408</v>
      </c>
      <c r="EM2071" s="1" t="s">
        <v>238</v>
      </c>
      <c r="EP2071" s="1" t="s">
        <v>985</v>
      </c>
      <c r="EQ2071" s="1" t="s">
        <v>42</v>
      </c>
      <c r="ER2071" s="1" t="s">
        <v>588</v>
      </c>
      <c r="ET2071" s="1" t="s">
        <v>266</v>
      </c>
      <c r="EU2071" s="1" t="s">
        <v>42</v>
      </c>
      <c r="EV2071" s="1" t="s">
        <v>588</v>
      </c>
      <c r="EX2071" s="1" t="s">
        <v>6127</v>
      </c>
      <c r="EY2071" s="1" t="s">
        <v>206</v>
      </c>
      <c r="EZ2071" s="1" t="s">
        <v>588</v>
      </c>
      <c r="FC2071" s="1" t="s">
        <v>238</v>
      </c>
      <c r="FF2071" s="1" t="s">
        <v>239</v>
      </c>
      <c r="FG2071" s="1" t="s">
        <v>192</v>
      </c>
      <c r="FH2071" s="1" t="s">
        <v>192</v>
      </c>
      <c r="FJ2071" s="1" t="s">
        <v>799</v>
      </c>
      <c r="FK2071" s="1" t="s">
        <v>229</v>
      </c>
      <c r="FL2071" s="1" t="s">
        <v>19594</v>
      </c>
      <c r="FM2071" s="1">
        <v>2208.0</v>
      </c>
      <c r="FN2071" s="1" t="s">
        <v>19595</v>
      </c>
      <c r="FO2071" s="1" t="s">
        <v>19596</v>
      </c>
      <c r="FP2071" s="1">
        <v>84565.0</v>
      </c>
      <c r="FQ2071" s="1" t="s">
        <v>19597</v>
      </c>
      <c r="FS2071" s="1" t="s">
        <v>19598</v>
      </c>
      <c r="FU2071" s="1" t="s">
        <v>19604</v>
      </c>
      <c r="FV2071" s="1" t="s">
        <v>200</v>
      </c>
      <c r="FW2071" s="1" t="s">
        <v>2754</v>
      </c>
      <c r="FX2071" s="1" t="s">
        <v>238</v>
      </c>
      <c r="FZ2071" s="1" t="s">
        <v>229</v>
      </c>
      <c r="GA2071" s="1" t="s">
        <v>291</v>
      </c>
      <c r="GB2071" s="2">
        <v>42124.0</v>
      </c>
      <c r="GC2071" s="1" t="s">
        <v>19605</v>
      </c>
    </row>
    <row r="2072">
      <c r="A2072" s="1">
        <v>135000.0</v>
      </c>
      <c r="B2072" s="1" t="s">
        <v>185</v>
      </c>
      <c r="C2072" s="1" t="str">
        <f>"08726178"</f>
        <v>08726178</v>
      </c>
      <c r="D2072" s="1" t="s">
        <v>186</v>
      </c>
      <c r="F2072" s="1" t="str">
        <f>"107"</f>
        <v>107</v>
      </c>
      <c r="G2072" s="2">
        <v>41893.0</v>
      </c>
      <c r="H2072" s="1">
        <v>144900.0</v>
      </c>
      <c r="I2072" s="1">
        <v>130.0</v>
      </c>
      <c r="J2072" s="1">
        <v>137500.0</v>
      </c>
      <c r="K2072" s="2">
        <v>42022.0</v>
      </c>
      <c r="L2072" s="1">
        <v>130.0</v>
      </c>
      <c r="M2072" s="2">
        <v>42022.0</v>
      </c>
      <c r="N2072" s="1" t="s">
        <v>187</v>
      </c>
      <c r="O2072" s="2">
        <v>42060.0</v>
      </c>
      <c r="P2072" s="1">
        <v>239190.0</v>
      </c>
      <c r="Q2072" s="1">
        <v>8079.0</v>
      </c>
      <c r="S2072" s="1">
        <v>918.0</v>
      </c>
      <c r="T2072" s="1" t="s">
        <v>19606</v>
      </c>
      <c r="U2072" s="1" t="s">
        <v>1174</v>
      </c>
      <c r="V2072" s="1" t="s">
        <v>294</v>
      </c>
      <c r="W2072" s="1">
        <v>60107.0</v>
      </c>
      <c r="Y2072" s="1" t="s">
        <v>19607</v>
      </c>
      <c r="Z2072" s="1">
        <v>1959.0</v>
      </c>
      <c r="AA2072" s="1" t="s">
        <v>192</v>
      </c>
      <c r="AB2072" s="1" t="s">
        <v>193</v>
      </c>
      <c r="AC2072" s="1" t="s">
        <v>4962</v>
      </c>
      <c r="AD2072" s="1" t="s">
        <v>297</v>
      </c>
      <c r="AE2072" s="1" t="s">
        <v>195</v>
      </c>
      <c r="AF2072" s="1" t="s">
        <v>298</v>
      </c>
      <c r="AG2072" s="1" t="s">
        <v>874</v>
      </c>
      <c r="AH2072" s="1" t="s">
        <v>4038</v>
      </c>
      <c r="AK2072" s="1">
        <v>7.0</v>
      </c>
      <c r="AL2072" s="1">
        <v>4.0</v>
      </c>
      <c r="AM2072" s="1">
        <v>2.0</v>
      </c>
      <c r="AN2072" s="1">
        <v>0.0</v>
      </c>
      <c r="AO2072" s="1" t="s">
        <v>229</v>
      </c>
      <c r="AQ2072" s="1" t="s">
        <v>229</v>
      </c>
      <c r="AS2072" s="1" t="s">
        <v>828</v>
      </c>
      <c r="AU2072" s="1">
        <v>2.0</v>
      </c>
      <c r="AV2072" s="1" t="s">
        <v>200</v>
      </c>
      <c r="AW2072" s="1">
        <v>4938.0</v>
      </c>
      <c r="AX2072" s="1">
        <v>2012.0</v>
      </c>
      <c r="AZ2072" s="1" t="s">
        <v>200</v>
      </c>
      <c r="BA2072" s="1" t="str">
        <f>"06262070270000"</f>
        <v>06262070270000</v>
      </c>
      <c r="BC2072" s="1">
        <v>1356.0</v>
      </c>
      <c r="BD2072" s="1">
        <v>135000.0</v>
      </c>
      <c r="BE2072" s="2">
        <v>41893.0</v>
      </c>
      <c r="BF2072" s="1" t="s">
        <v>19608</v>
      </c>
      <c r="BH2072" s="1">
        <v>0.0</v>
      </c>
      <c r="BK2072" s="1" t="s">
        <v>204</v>
      </c>
      <c r="BL2072" s="1" t="str">
        <f>"10"</f>
        <v>10</v>
      </c>
      <c r="BM2072" s="1" t="str">
        <f t="shared" ref="BM2072:BM2074" si="1360">"0"</f>
        <v>0</v>
      </c>
      <c r="BN2072" s="1">
        <v>27.0</v>
      </c>
      <c r="BO2072" s="1">
        <v>0.0</v>
      </c>
      <c r="BQ2072" s="1">
        <v>46.0</v>
      </c>
      <c r="BR2072" s="1">
        <v>46.0</v>
      </c>
      <c r="BS2072" s="1">
        <v>46.0</v>
      </c>
      <c r="BU2072" s="1" t="s">
        <v>616</v>
      </c>
      <c r="BV2072" s="1" t="s">
        <v>206</v>
      </c>
      <c r="BW2072" s="1" t="s">
        <v>210</v>
      </c>
      <c r="BY2072" s="1" t="s">
        <v>331</v>
      </c>
      <c r="BZ2072" s="1" t="s">
        <v>206</v>
      </c>
      <c r="CA2072" s="1" t="s">
        <v>210</v>
      </c>
      <c r="CC2072" s="1" t="s">
        <v>495</v>
      </c>
      <c r="CD2072" s="1" t="s">
        <v>206</v>
      </c>
      <c r="CE2072" s="1" t="s">
        <v>210</v>
      </c>
      <c r="CG2072" s="1" t="s">
        <v>212</v>
      </c>
      <c r="CH2072" s="1" t="s">
        <v>206</v>
      </c>
      <c r="CI2072" s="1" t="s">
        <v>210</v>
      </c>
      <c r="CK2072" s="1" t="s">
        <v>269</v>
      </c>
      <c r="CL2072" s="1" t="s">
        <v>206</v>
      </c>
      <c r="CM2072" s="1" t="s">
        <v>210</v>
      </c>
      <c r="CO2072" s="1" t="s">
        <v>211</v>
      </c>
      <c r="CP2072" s="1" t="s">
        <v>206</v>
      </c>
      <c r="CQ2072" s="1" t="s">
        <v>210</v>
      </c>
      <c r="CS2072" s="1" t="s">
        <v>584</v>
      </c>
      <c r="CT2072" s="1" t="s">
        <v>206</v>
      </c>
      <c r="CU2072" s="1" t="s">
        <v>617</v>
      </c>
      <c r="CX2072" s="1" t="s">
        <v>204</v>
      </c>
      <c r="DA2072" s="1" t="s">
        <v>200</v>
      </c>
      <c r="DC2072" s="1" t="s">
        <v>271</v>
      </c>
      <c r="DD2072" s="1" t="s">
        <v>518</v>
      </c>
      <c r="DE2072" s="1" t="s">
        <v>229</v>
      </c>
      <c r="DF2072" s="1" t="s">
        <v>219</v>
      </c>
      <c r="DG2072" s="1" t="s">
        <v>482</v>
      </c>
      <c r="DH2072" s="1" t="s">
        <v>365</v>
      </c>
      <c r="DI2072" s="1" t="s">
        <v>831</v>
      </c>
      <c r="DJ2072" s="1" t="s">
        <v>1379</v>
      </c>
      <c r="DK2072" s="1" t="s">
        <v>223</v>
      </c>
      <c r="DL2072" s="1" t="s">
        <v>3942</v>
      </c>
      <c r="DM2072" s="1" t="s">
        <v>338</v>
      </c>
      <c r="DO2072" s="1" t="s">
        <v>549</v>
      </c>
      <c r="DP2072" s="1" t="s">
        <v>340</v>
      </c>
      <c r="DQ2072" s="1" t="s">
        <v>228</v>
      </c>
      <c r="DR2072" s="1" t="s">
        <v>229</v>
      </c>
      <c r="DS2072" s="1" t="s">
        <v>230</v>
      </c>
      <c r="DU2072" s="1" t="s">
        <v>2070</v>
      </c>
      <c r="DV2072" s="1" t="s">
        <v>232</v>
      </c>
      <c r="DW2072" s="1" t="s">
        <v>233</v>
      </c>
      <c r="DX2072" s="1" t="s">
        <v>234</v>
      </c>
      <c r="DY2072" s="1" t="s">
        <v>16748</v>
      </c>
      <c r="DZ2072" s="1" t="s">
        <v>6413</v>
      </c>
      <c r="EA2072" s="1" t="s">
        <v>683</v>
      </c>
      <c r="EC2072" s="1" t="s">
        <v>685</v>
      </c>
      <c r="EF2072" s="1" t="s">
        <v>19609</v>
      </c>
      <c r="EM2072" s="1" t="s">
        <v>238</v>
      </c>
      <c r="EQ2072" s="1" t="s">
        <v>238</v>
      </c>
      <c r="EU2072" s="1" t="s">
        <v>238</v>
      </c>
      <c r="EY2072" s="1" t="s">
        <v>238</v>
      </c>
      <c r="FC2072" s="1" t="s">
        <v>238</v>
      </c>
      <c r="FF2072" s="1" t="s">
        <v>239</v>
      </c>
      <c r="FG2072" s="1" t="s">
        <v>192</v>
      </c>
      <c r="FH2072" s="1" t="s">
        <v>192</v>
      </c>
      <c r="FJ2072" s="1" t="s">
        <v>3514</v>
      </c>
      <c r="FK2072" s="1" t="s">
        <v>229</v>
      </c>
      <c r="FL2072" s="1" t="s">
        <v>3978</v>
      </c>
      <c r="FM2072" s="1">
        <v>22833.0</v>
      </c>
      <c r="FN2072" s="1" t="s">
        <v>3979</v>
      </c>
      <c r="FO2072" s="1" t="s">
        <v>3980</v>
      </c>
      <c r="FP2072" s="1">
        <v>259137.0</v>
      </c>
      <c r="FQ2072" s="1" t="s">
        <v>3981</v>
      </c>
      <c r="FS2072" s="1" t="s">
        <v>3982</v>
      </c>
      <c r="FU2072" s="1" t="s">
        <v>16366</v>
      </c>
      <c r="FV2072" s="1" t="s">
        <v>200</v>
      </c>
      <c r="FW2072" s="1" t="s">
        <v>1411</v>
      </c>
      <c r="FZ2072" s="1" t="s">
        <v>229</v>
      </c>
      <c r="GA2072" s="1" t="s">
        <v>291</v>
      </c>
      <c r="GB2072" s="2">
        <v>42060.0</v>
      </c>
    </row>
    <row r="2073">
      <c r="A2073" s="1">
        <v>120000.0</v>
      </c>
      <c r="B2073" s="1" t="s">
        <v>185</v>
      </c>
      <c r="C2073" s="1" t="str">
        <f>"08727200"</f>
        <v>08727200</v>
      </c>
      <c r="D2073" s="1" t="s">
        <v>186</v>
      </c>
      <c r="F2073" s="1" t="str">
        <f>"110"</f>
        <v>110</v>
      </c>
      <c r="G2073" s="2">
        <v>41894.0</v>
      </c>
      <c r="H2073" s="1">
        <v>139900.0</v>
      </c>
      <c r="I2073" s="1">
        <v>49.0</v>
      </c>
      <c r="J2073" s="1">
        <v>139900.0</v>
      </c>
      <c r="K2073" s="2">
        <v>41942.0</v>
      </c>
      <c r="L2073" s="1">
        <v>49.0</v>
      </c>
      <c r="M2073" s="2">
        <v>41942.0</v>
      </c>
      <c r="N2073" s="1" t="s">
        <v>356</v>
      </c>
      <c r="O2073" s="2">
        <v>41999.0</v>
      </c>
      <c r="P2073" s="1">
        <v>77519.0</v>
      </c>
      <c r="Q2073" s="1">
        <v>7081.0</v>
      </c>
      <c r="S2073" s="1">
        <v>112.0</v>
      </c>
      <c r="T2073" s="1" t="s">
        <v>3412</v>
      </c>
      <c r="U2073" s="1" t="s">
        <v>320</v>
      </c>
      <c r="V2073" s="1" t="s">
        <v>807</v>
      </c>
      <c r="W2073" s="1">
        <v>60110.0</v>
      </c>
      <c r="Y2073" s="1" t="s">
        <v>19610</v>
      </c>
      <c r="Z2073" s="1">
        <v>1921.0</v>
      </c>
      <c r="AA2073" s="1" t="s">
        <v>192</v>
      </c>
      <c r="AB2073" s="1" t="s">
        <v>193</v>
      </c>
      <c r="AD2073" s="1" t="s">
        <v>810</v>
      </c>
      <c r="AE2073" s="1" t="s">
        <v>325</v>
      </c>
      <c r="AF2073" s="1" t="s">
        <v>810</v>
      </c>
      <c r="AH2073" s="1" t="s">
        <v>19611</v>
      </c>
      <c r="AI2073" s="1">
        <v>0.1896</v>
      </c>
      <c r="AK2073" s="1">
        <v>10.0</v>
      </c>
      <c r="AL2073" s="1">
        <v>4.0</v>
      </c>
      <c r="AM2073" s="1">
        <v>1.0</v>
      </c>
      <c r="AN2073" s="1">
        <v>0.0</v>
      </c>
      <c r="AO2073" s="1" t="s">
        <v>229</v>
      </c>
      <c r="AQ2073" s="1" t="s">
        <v>1314</v>
      </c>
      <c r="AR2073" s="1" t="s">
        <v>200</v>
      </c>
      <c r="AS2073" s="1" t="s">
        <v>199</v>
      </c>
      <c r="AT2073" s="1">
        <v>1.0</v>
      </c>
      <c r="AV2073" s="1" t="s">
        <v>200</v>
      </c>
      <c r="AW2073" s="1">
        <v>2777.18</v>
      </c>
      <c r="AX2073" s="1">
        <v>2013.0</v>
      </c>
      <c r="AY2073" s="1" t="s">
        <v>1917</v>
      </c>
      <c r="AZ2073" s="1" t="s">
        <v>200</v>
      </c>
      <c r="BA2073" s="1" t="str">
        <f>"0315458002"</f>
        <v>0315458002</v>
      </c>
      <c r="BC2073" s="1">
        <v>1370.0</v>
      </c>
      <c r="BD2073" s="1">
        <v>120000.0</v>
      </c>
      <c r="BE2073" s="2">
        <v>41894.0</v>
      </c>
      <c r="BF2073" s="2" t="s">
        <v>19612</v>
      </c>
      <c r="BH2073" s="1">
        <v>0.0</v>
      </c>
      <c r="BK2073" s="1" t="s">
        <v>204</v>
      </c>
      <c r="BL2073" s="1" t="str">
        <f>"17"</f>
        <v>17</v>
      </c>
      <c r="BM2073" s="1" t="str">
        <f t="shared" si="1360"/>
        <v>0</v>
      </c>
      <c r="BN2073" s="1">
        <v>34.0</v>
      </c>
      <c r="BO2073" s="1">
        <v>0.0</v>
      </c>
      <c r="BQ2073" s="1">
        <v>300.0</v>
      </c>
      <c r="BR2073" s="1">
        <v>300.0</v>
      </c>
      <c r="BS2073" s="1">
        <v>300.0</v>
      </c>
      <c r="BU2073" s="1" t="s">
        <v>433</v>
      </c>
      <c r="BV2073" s="1" t="s">
        <v>206</v>
      </c>
      <c r="BW2073" s="1" t="s">
        <v>210</v>
      </c>
      <c r="BX2073" s="1" t="s">
        <v>239</v>
      </c>
      <c r="BY2073" s="1" t="s">
        <v>758</v>
      </c>
      <c r="BZ2073" s="1" t="s">
        <v>209</v>
      </c>
      <c r="CA2073" s="1" t="s">
        <v>210</v>
      </c>
      <c r="CB2073" s="1" t="s">
        <v>239</v>
      </c>
      <c r="CC2073" s="1" t="s">
        <v>2166</v>
      </c>
      <c r="CD2073" s="1" t="s">
        <v>206</v>
      </c>
      <c r="CE2073" s="1" t="s">
        <v>210</v>
      </c>
      <c r="CF2073" s="1" t="s">
        <v>239</v>
      </c>
      <c r="CG2073" s="1" t="s">
        <v>433</v>
      </c>
      <c r="CH2073" s="1" t="s">
        <v>209</v>
      </c>
      <c r="CI2073" s="1" t="s">
        <v>210</v>
      </c>
      <c r="CJ2073" s="1" t="s">
        <v>239</v>
      </c>
      <c r="CK2073" s="1" t="s">
        <v>3318</v>
      </c>
      <c r="CL2073" s="1" t="s">
        <v>209</v>
      </c>
      <c r="CM2073" s="1" t="s">
        <v>210</v>
      </c>
      <c r="CN2073" s="1" t="s">
        <v>239</v>
      </c>
      <c r="CO2073" s="1" t="s">
        <v>816</v>
      </c>
      <c r="CP2073" s="1" t="s">
        <v>206</v>
      </c>
      <c r="CQ2073" s="1" t="s">
        <v>210</v>
      </c>
      <c r="CR2073" s="1" t="s">
        <v>239</v>
      </c>
      <c r="CS2073" s="1" t="s">
        <v>497</v>
      </c>
      <c r="CT2073" s="1" t="s">
        <v>206</v>
      </c>
      <c r="CU2073" s="1" t="s">
        <v>617</v>
      </c>
      <c r="CV2073" s="1" t="s">
        <v>239</v>
      </c>
      <c r="CW2073" s="1" t="s">
        <v>215</v>
      </c>
      <c r="CX2073" s="1" t="s">
        <v>206</v>
      </c>
      <c r="CY2073" s="1" t="s">
        <v>210</v>
      </c>
      <c r="CZ2073" s="1" t="s">
        <v>239</v>
      </c>
      <c r="DA2073" s="1" t="s">
        <v>200</v>
      </c>
      <c r="DC2073" s="1" t="s">
        <v>216</v>
      </c>
      <c r="DD2073" s="1" t="s">
        <v>518</v>
      </c>
      <c r="DE2073" s="1" t="s">
        <v>273</v>
      </c>
      <c r="DF2073" s="1" t="s">
        <v>219</v>
      </c>
      <c r="DH2073" s="1" t="s">
        <v>220</v>
      </c>
      <c r="DI2073" s="1" t="s">
        <v>1223</v>
      </c>
      <c r="DJ2073" s="1" t="s">
        <v>222</v>
      </c>
      <c r="DL2073" s="1" t="s">
        <v>858</v>
      </c>
      <c r="DM2073" s="1" t="s">
        <v>229</v>
      </c>
      <c r="DP2073" s="1" t="s">
        <v>340</v>
      </c>
      <c r="DQ2073" s="1" t="s">
        <v>228</v>
      </c>
      <c r="DR2073" s="1" t="s">
        <v>229</v>
      </c>
      <c r="DU2073" s="1" t="s">
        <v>19154</v>
      </c>
      <c r="DV2073" s="1" t="s">
        <v>4237</v>
      </c>
      <c r="DW2073" s="1" t="s">
        <v>667</v>
      </c>
      <c r="DX2073" s="1" t="s">
        <v>234</v>
      </c>
      <c r="EC2073" s="1" t="s">
        <v>237</v>
      </c>
      <c r="EE2073" s="1" t="s">
        <v>1960</v>
      </c>
      <c r="EG2073" s="1" t="s">
        <v>494</v>
      </c>
      <c r="EH2073" s="1" t="s">
        <v>1491</v>
      </c>
      <c r="EL2073" s="1" t="s">
        <v>2166</v>
      </c>
      <c r="EM2073" s="1" t="s">
        <v>42</v>
      </c>
      <c r="EN2073" s="1" t="s">
        <v>210</v>
      </c>
      <c r="EO2073" s="1" t="s">
        <v>229</v>
      </c>
      <c r="EP2073" s="1" t="s">
        <v>5311</v>
      </c>
      <c r="EQ2073" s="1" t="s">
        <v>42</v>
      </c>
      <c r="ER2073" s="1" t="s">
        <v>588</v>
      </c>
      <c r="ES2073" s="1" t="s">
        <v>229</v>
      </c>
      <c r="EU2073" s="1" t="s">
        <v>238</v>
      </c>
      <c r="EY2073" s="1" t="s">
        <v>238</v>
      </c>
      <c r="FC2073" s="1" t="s">
        <v>238</v>
      </c>
      <c r="FF2073" s="1" t="s">
        <v>239</v>
      </c>
      <c r="FG2073" s="1" t="s">
        <v>192</v>
      </c>
      <c r="FH2073" s="1" t="s">
        <v>200</v>
      </c>
      <c r="FJ2073" s="1" t="s">
        <v>8325</v>
      </c>
      <c r="FK2073" s="1" t="s">
        <v>229</v>
      </c>
      <c r="FL2073" s="1" t="s">
        <v>1451</v>
      </c>
      <c r="FM2073" s="1">
        <v>7450.0</v>
      </c>
      <c r="FN2073" s="1" t="s">
        <v>1452</v>
      </c>
      <c r="FO2073" s="1" t="s">
        <v>19613</v>
      </c>
      <c r="FP2073" s="1">
        <v>77806.0</v>
      </c>
      <c r="FQ2073" s="1" t="s">
        <v>19614</v>
      </c>
      <c r="FU2073" s="1" t="s">
        <v>6385</v>
      </c>
      <c r="FV2073" s="1" t="s">
        <v>200</v>
      </c>
      <c r="FW2073" s="1" t="s">
        <v>290</v>
      </c>
      <c r="FX2073" s="1" t="s">
        <v>238</v>
      </c>
      <c r="FZ2073" s="1" t="s">
        <v>229</v>
      </c>
      <c r="GA2073" s="1" t="s">
        <v>291</v>
      </c>
      <c r="GB2073" s="2">
        <v>41999.0</v>
      </c>
      <c r="GC2073" s="1" t="s">
        <v>19615</v>
      </c>
    </row>
    <row r="2074">
      <c r="A2074" s="1">
        <v>438500.0</v>
      </c>
      <c r="B2074" s="1" t="s">
        <v>185</v>
      </c>
      <c r="C2074" s="1" t="str">
        <f>"08732454"</f>
        <v>08732454</v>
      </c>
      <c r="D2074" s="1" t="s">
        <v>186</v>
      </c>
      <c r="F2074" s="1" t="str">
        <f>"8013"</f>
        <v>8013</v>
      </c>
      <c r="G2074" s="2">
        <v>41901.0</v>
      </c>
      <c r="H2074" s="1">
        <v>529000.0</v>
      </c>
      <c r="I2074" s="1">
        <v>214.0</v>
      </c>
      <c r="J2074" s="1">
        <v>449000.0</v>
      </c>
      <c r="K2074" s="2">
        <v>42114.0</v>
      </c>
      <c r="L2074" s="1">
        <v>214.0</v>
      </c>
      <c r="M2074" s="2">
        <v>42114.0</v>
      </c>
      <c r="N2074" s="1" t="s">
        <v>187</v>
      </c>
      <c r="O2074" s="2">
        <v>42145.0</v>
      </c>
      <c r="P2074" s="1">
        <v>186867.0</v>
      </c>
      <c r="Q2074" s="1">
        <v>14470.0</v>
      </c>
      <c r="R2074" s="1">
        <v>13155.0</v>
      </c>
      <c r="S2074" s="1">
        <v>5931.0</v>
      </c>
      <c r="T2074" s="1" t="s">
        <v>7565</v>
      </c>
      <c r="U2074" s="1" t="s">
        <v>189</v>
      </c>
      <c r="V2074" s="1" t="s">
        <v>190</v>
      </c>
      <c r="W2074" s="1">
        <v>60659.0</v>
      </c>
      <c r="Y2074" s="1" t="s">
        <v>19616</v>
      </c>
      <c r="Z2074" s="1">
        <v>1939.0</v>
      </c>
      <c r="AA2074" s="1" t="s">
        <v>192</v>
      </c>
      <c r="AB2074" s="1" t="s">
        <v>193</v>
      </c>
      <c r="AD2074" s="1" t="s">
        <v>194</v>
      </c>
      <c r="AE2074" s="1" t="s">
        <v>195</v>
      </c>
      <c r="AF2074" s="1" t="s">
        <v>196</v>
      </c>
      <c r="AH2074" s="1" t="s">
        <v>19617</v>
      </c>
      <c r="AI2074" s="1">
        <v>0.0861</v>
      </c>
      <c r="AK2074" s="1">
        <v>9.0</v>
      </c>
      <c r="AL2074" s="1">
        <v>4.0</v>
      </c>
      <c r="AM2074" s="1">
        <v>2.0</v>
      </c>
      <c r="AN2074" s="1">
        <v>1.0</v>
      </c>
      <c r="AO2074" s="1" t="s">
        <v>198</v>
      </c>
      <c r="AP2074" s="1">
        <v>1.0</v>
      </c>
      <c r="AQ2074" s="1" t="s">
        <v>198</v>
      </c>
      <c r="AR2074" s="1" t="s">
        <v>200</v>
      </c>
      <c r="AS2074" s="1" t="s">
        <v>199</v>
      </c>
      <c r="AT2074" s="1">
        <v>2.0</v>
      </c>
      <c r="AV2074" s="1" t="s">
        <v>200</v>
      </c>
      <c r="AW2074" s="1">
        <v>7391.51</v>
      </c>
      <c r="AX2074" s="1">
        <v>2013.0</v>
      </c>
      <c r="AY2074" s="1" t="s">
        <v>387</v>
      </c>
      <c r="AZ2074" s="1" t="s">
        <v>200</v>
      </c>
      <c r="BA2074" s="1" t="str">
        <f>"13024000130000"</f>
        <v>13024000130000</v>
      </c>
      <c r="BB2074" s="1" t="s">
        <v>192</v>
      </c>
      <c r="BC2074" s="1">
        <v>2403.0</v>
      </c>
      <c r="BD2074" s="1">
        <v>438500.0</v>
      </c>
      <c r="BE2074" s="2">
        <v>41901.0</v>
      </c>
      <c r="BF2074" s="2" t="s">
        <v>19618</v>
      </c>
      <c r="BG2074" s="1" t="s">
        <v>3474</v>
      </c>
      <c r="BH2074" s="1">
        <v>0.0</v>
      </c>
      <c r="BI2074" s="1" t="s">
        <v>3474</v>
      </c>
      <c r="BJ2074" s="1" t="s">
        <v>5627</v>
      </c>
      <c r="BK2074" s="1" t="s">
        <v>204</v>
      </c>
      <c r="BL2074" s="1" t="str">
        <f>"5931"</f>
        <v>5931</v>
      </c>
      <c r="BM2074" s="1" t="str">
        <f t="shared" si="1360"/>
        <v>0</v>
      </c>
      <c r="BN2074" s="1">
        <v>3600.0</v>
      </c>
      <c r="BO2074" s="1">
        <v>0.0</v>
      </c>
      <c r="BQ2074" s="1">
        <v>299.0</v>
      </c>
      <c r="BR2074" s="1">
        <v>299.0</v>
      </c>
      <c r="BS2074" s="1">
        <v>299.0</v>
      </c>
      <c r="BU2074" s="1" t="s">
        <v>205</v>
      </c>
      <c r="BV2074" s="1" t="s">
        <v>206</v>
      </c>
      <c r="BW2074" s="1" t="s">
        <v>207</v>
      </c>
      <c r="BX2074" s="1" t="s">
        <v>431</v>
      </c>
      <c r="BY2074" s="1" t="s">
        <v>213</v>
      </c>
      <c r="BZ2074" s="1" t="s">
        <v>209</v>
      </c>
      <c r="CA2074" s="1" t="s">
        <v>207</v>
      </c>
      <c r="CB2074" s="1" t="s">
        <v>229</v>
      </c>
      <c r="CC2074" s="1" t="s">
        <v>616</v>
      </c>
      <c r="CD2074" s="1" t="s">
        <v>206</v>
      </c>
      <c r="CE2074" s="1" t="s">
        <v>207</v>
      </c>
      <c r="CF2074" s="1" t="s">
        <v>1550</v>
      </c>
      <c r="CG2074" s="1" t="s">
        <v>205</v>
      </c>
      <c r="CH2074" s="1" t="s">
        <v>209</v>
      </c>
      <c r="CI2074" s="1" t="s">
        <v>207</v>
      </c>
      <c r="CJ2074" s="1" t="s">
        <v>229</v>
      </c>
      <c r="CK2074" s="1" t="s">
        <v>495</v>
      </c>
      <c r="CL2074" s="1" t="s">
        <v>209</v>
      </c>
      <c r="CM2074" s="1" t="s">
        <v>210</v>
      </c>
      <c r="CN2074" s="1" t="s">
        <v>229</v>
      </c>
      <c r="CO2074" s="1" t="s">
        <v>212</v>
      </c>
      <c r="CP2074" s="1" t="s">
        <v>206</v>
      </c>
      <c r="CQ2074" s="1" t="s">
        <v>207</v>
      </c>
      <c r="CR2074" s="1" t="s">
        <v>431</v>
      </c>
      <c r="CS2074" s="1" t="s">
        <v>729</v>
      </c>
      <c r="CT2074" s="1" t="s">
        <v>206</v>
      </c>
      <c r="CU2074" s="1" t="s">
        <v>5126</v>
      </c>
      <c r="CV2074" s="1" t="s">
        <v>1118</v>
      </c>
      <c r="CW2074" s="1" t="s">
        <v>1395</v>
      </c>
      <c r="CX2074" s="1" t="s">
        <v>206</v>
      </c>
      <c r="CY2074" s="1" t="s">
        <v>210</v>
      </c>
      <c r="CZ2074" s="1" t="s">
        <v>229</v>
      </c>
      <c r="DA2074" s="1" t="s">
        <v>200</v>
      </c>
      <c r="DC2074" s="1" t="s">
        <v>1399</v>
      </c>
      <c r="DD2074" s="1" t="s">
        <v>3633</v>
      </c>
      <c r="DE2074" s="1" t="s">
        <v>273</v>
      </c>
      <c r="DF2074" s="1" t="s">
        <v>219</v>
      </c>
      <c r="DG2074" s="1" t="s">
        <v>2237</v>
      </c>
      <c r="DH2074" s="1" t="s">
        <v>307</v>
      </c>
      <c r="DI2074" s="1" t="s">
        <v>221</v>
      </c>
      <c r="DJ2074" s="1" t="s">
        <v>3345</v>
      </c>
      <c r="DK2074" s="1" t="s">
        <v>3740</v>
      </c>
      <c r="DL2074" s="1" t="s">
        <v>1161</v>
      </c>
      <c r="DM2074" s="1" t="s">
        <v>225</v>
      </c>
      <c r="DO2074" s="1" t="s">
        <v>5152</v>
      </c>
      <c r="DP2074" s="1" t="s">
        <v>340</v>
      </c>
      <c r="DQ2074" s="1" t="s">
        <v>794</v>
      </c>
      <c r="DR2074" s="1" t="s">
        <v>229</v>
      </c>
      <c r="DS2074" s="1" t="s">
        <v>401</v>
      </c>
      <c r="DU2074" s="1" t="s">
        <v>19619</v>
      </c>
      <c r="DV2074" s="1" t="s">
        <v>13284</v>
      </c>
      <c r="DW2074" s="1" t="s">
        <v>279</v>
      </c>
      <c r="DX2074" s="1" t="s">
        <v>234</v>
      </c>
      <c r="DY2074" s="1" t="s">
        <v>2240</v>
      </c>
      <c r="DZ2074" s="1" t="s">
        <v>282</v>
      </c>
      <c r="EA2074" s="1" t="s">
        <v>344</v>
      </c>
      <c r="EB2074" s="1" t="s">
        <v>345</v>
      </c>
      <c r="EC2074" s="1" t="s">
        <v>237</v>
      </c>
      <c r="ED2074" s="1" t="s">
        <v>555</v>
      </c>
      <c r="EE2074" s="1" t="s">
        <v>493</v>
      </c>
      <c r="EH2074" s="1" t="s">
        <v>1729</v>
      </c>
      <c r="EI2074" s="1" t="s">
        <v>408</v>
      </c>
      <c r="EM2074" s="1" t="s">
        <v>238</v>
      </c>
      <c r="EP2074" s="1" t="s">
        <v>3054</v>
      </c>
      <c r="EQ2074" s="1" t="s">
        <v>209</v>
      </c>
      <c r="ER2074" s="1" t="s">
        <v>210</v>
      </c>
      <c r="ES2074" s="1" t="s">
        <v>229</v>
      </c>
      <c r="ET2074" s="1" t="s">
        <v>560</v>
      </c>
      <c r="EU2074" s="1" t="s">
        <v>206</v>
      </c>
      <c r="EV2074" s="1" t="s">
        <v>207</v>
      </c>
      <c r="EW2074" s="1" t="s">
        <v>229</v>
      </c>
      <c r="EY2074" s="1" t="s">
        <v>238</v>
      </c>
      <c r="FC2074" s="1" t="s">
        <v>238</v>
      </c>
      <c r="FF2074" s="1" t="s">
        <v>239</v>
      </c>
      <c r="FG2074" s="1" t="s">
        <v>192</v>
      </c>
      <c r="FH2074" s="1" t="s">
        <v>192</v>
      </c>
      <c r="FJ2074" s="1" t="s">
        <v>5016</v>
      </c>
      <c r="FK2074" s="1" t="s">
        <v>229</v>
      </c>
      <c r="FL2074" s="1" t="s">
        <v>456</v>
      </c>
      <c r="FM2074" s="1">
        <v>10274.0</v>
      </c>
      <c r="FN2074" s="1" t="s">
        <v>4794</v>
      </c>
      <c r="FO2074" s="1" t="s">
        <v>19620</v>
      </c>
      <c r="FP2074" s="1">
        <v>106354.0</v>
      </c>
      <c r="FQ2074" s="1" t="s">
        <v>19621</v>
      </c>
      <c r="FU2074" s="1" t="s">
        <v>19622</v>
      </c>
      <c r="FV2074" s="1" t="s">
        <v>200</v>
      </c>
      <c r="FW2074" s="1" t="s">
        <v>19623</v>
      </c>
      <c r="FX2074" s="1" t="s">
        <v>238</v>
      </c>
      <c r="FZ2074" s="1" t="s">
        <v>229</v>
      </c>
      <c r="GA2074" s="1" t="s">
        <v>291</v>
      </c>
      <c r="GB2074" s="2">
        <v>42146.0</v>
      </c>
      <c r="GC2074" s="1" t="s">
        <v>19624</v>
      </c>
    </row>
    <row r="2075">
      <c r="A2075" s="1">
        <v>212000.0</v>
      </c>
      <c r="B2075" s="1" t="s">
        <v>185</v>
      </c>
      <c r="C2075" s="1" t="str">
        <f>"08727053"</f>
        <v>08727053</v>
      </c>
      <c r="D2075" s="1" t="s">
        <v>186</v>
      </c>
      <c r="F2075" s="1" t="str">
        <f>"543"</f>
        <v>543</v>
      </c>
      <c r="G2075" s="2">
        <v>41894.0</v>
      </c>
      <c r="H2075" s="1">
        <v>263000.0</v>
      </c>
      <c r="I2075" s="1">
        <v>91.0</v>
      </c>
      <c r="J2075" s="1">
        <v>229000.0</v>
      </c>
      <c r="K2075" s="2">
        <v>41984.0</v>
      </c>
      <c r="L2075" s="1">
        <v>91.0</v>
      </c>
      <c r="M2075" s="2">
        <v>41984.0</v>
      </c>
      <c r="N2075" s="1" t="s">
        <v>356</v>
      </c>
      <c r="O2075" s="2">
        <v>42038.0</v>
      </c>
      <c r="P2075" s="1">
        <v>214926.0</v>
      </c>
      <c r="Q2075" s="1">
        <v>23196.0</v>
      </c>
      <c r="S2075" s="1">
        <v>95.0</v>
      </c>
      <c r="T2075" s="1" t="s">
        <v>19625</v>
      </c>
      <c r="U2075" s="1" t="s">
        <v>464</v>
      </c>
      <c r="V2075" s="1" t="s">
        <v>1527</v>
      </c>
      <c r="W2075" s="1">
        <v>60543.0</v>
      </c>
      <c r="Y2075" s="1" t="s">
        <v>19626</v>
      </c>
      <c r="Z2075" s="1">
        <v>1999.0</v>
      </c>
      <c r="AA2075" s="1" t="s">
        <v>200</v>
      </c>
      <c r="AB2075" s="1" t="s">
        <v>467</v>
      </c>
      <c r="AC2075" s="1" t="s">
        <v>10987</v>
      </c>
      <c r="AD2075" s="1" t="s">
        <v>1529</v>
      </c>
      <c r="AE2075" s="1" t="s">
        <v>849</v>
      </c>
      <c r="AF2075" s="1" t="s">
        <v>1529</v>
      </c>
      <c r="AG2075" s="1" t="s">
        <v>19627</v>
      </c>
      <c r="AH2075" s="1" t="s">
        <v>19628</v>
      </c>
      <c r="AK2075" s="1">
        <v>9.0</v>
      </c>
      <c r="AL2075" s="1">
        <v>4.0</v>
      </c>
      <c r="AM2075" s="1">
        <v>2.0</v>
      </c>
      <c r="AN2075" s="1">
        <v>1.0</v>
      </c>
      <c r="AO2075" s="1" t="s">
        <v>198</v>
      </c>
      <c r="AP2075" s="1">
        <v>1.0</v>
      </c>
      <c r="AQ2075" s="1" t="s">
        <v>198</v>
      </c>
      <c r="AR2075" s="1" t="s">
        <v>200</v>
      </c>
      <c r="AS2075" s="1" t="s">
        <v>199</v>
      </c>
      <c r="AT2075" s="1">
        <v>2.0</v>
      </c>
      <c r="AV2075" s="1" t="s">
        <v>192</v>
      </c>
      <c r="AW2075" s="1">
        <v>7523.0</v>
      </c>
      <c r="AX2075" s="1">
        <v>2012.0</v>
      </c>
      <c r="AY2075" s="1" t="s">
        <v>387</v>
      </c>
      <c r="AZ2075" s="1" t="s">
        <v>200</v>
      </c>
      <c r="BA2075" s="1" t="str">
        <f>"0309110025"</f>
        <v>0309110025</v>
      </c>
      <c r="BB2075" s="1" t="s">
        <v>200</v>
      </c>
      <c r="BC2075" s="1">
        <v>2132.0</v>
      </c>
      <c r="BD2075" s="1">
        <v>212000.0</v>
      </c>
      <c r="BE2075" s="2">
        <v>41894.0</v>
      </c>
      <c r="BF2075" s="1" t="s">
        <v>19629</v>
      </c>
      <c r="BG2075" s="1" t="s">
        <v>4366</v>
      </c>
      <c r="BH2075" s="1">
        <v>42.0</v>
      </c>
      <c r="BK2075" s="1" t="s">
        <v>474</v>
      </c>
      <c r="BL2075" s="1" t="str">
        <f t="shared" ref="BL2075:BM2075" si="1361">"0"</f>
        <v>0</v>
      </c>
      <c r="BM2075" s="1" t="str">
        <f t="shared" si="1361"/>
        <v>0</v>
      </c>
      <c r="BN2075" s="1">
        <v>0.0</v>
      </c>
      <c r="BO2075" s="1">
        <v>0.0</v>
      </c>
      <c r="BQ2075" s="1">
        <v>308.0</v>
      </c>
      <c r="BR2075" s="1">
        <v>308.0</v>
      </c>
      <c r="BS2075" s="1">
        <v>308.0</v>
      </c>
      <c r="BU2075" s="1" t="s">
        <v>478</v>
      </c>
      <c r="BV2075" s="1" t="s">
        <v>206</v>
      </c>
      <c r="BW2075" s="1" t="s">
        <v>210</v>
      </c>
      <c r="BY2075" s="1" t="s">
        <v>2647</v>
      </c>
      <c r="BZ2075" s="1" t="s">
        <v>209</v>
      </c>
      <c r="CA2075" s="1" t="s">
        <v>210</v>
      </c>
      <c r="CC2075" s="1" t="s">
        <v>478</v>
      </c>
      <c r="CD2075" s="1" t="s">
        <v>206</v>
      </c>
      <c r="CE2075" s="1" t="s">
        <v>210</v>
      </c>
      <c r="CG2075" s="1" t="s">
        <v>303</v>
      </c>
      <c r="CH2075" s="1" t="s">
        <v>209</v>
      </c>
      <c r="CI2075" s="1" t="s">
        <v>210</v>
      </c>
      <c r="CK2075" s="1" t="s">
        <v>699</v>
      </c>
      <c r="CL2075" s="1" t="s">
        <v>209</v>
      </c>
      <c r="CM2075" s="1" t="s">
        <v>210</v>
      </c>
      <c r="CO2075" s="1" t="s">
        <v>699</v>
      </c>
      <c r="CP2075" s="1" t="s">
        <v>209</v>
      </c>
      <c r="CQ2075" s="1" t="s">
        <v>210</v>
      </c>
      <c r="CS2075" s="1" t="s">
        <v>1352</v>
      </c>
      <c r="CT2075" s="1" t="s">
        <v>206</v>
      </c>
      <c r="CU2075" s="1" t="s">
        <v>207</v>
      </c>
      <c r="CW2075" s="1" t="s">
        <v>304</v>
      </c>
      <c r="CX2075" s="1" t="s">
        <v>206</v>
      </c>
      <c r="CY2075" s="1" t="s">
        <v>207</v>
      </c>
      <c r="DA2075" s="1" t="s">
        <v>200</v>
      </c>
      <c r="DC2075" s="1" t="s">
        <v>678</v>
      </c>
      <c r="DD2075" s="1" t="s">
        <v>217</v>
      </c>
      <c r="DE2075" s="1" t="s">
        <v>273</v>
      </c>
      <c r="DF2075" s="1" t="s">
        <v>219</v>
      </c>
      <c r="DG2075" s="1" t="s">
        <v>3020</v>
      </c>
      <c r="DH2075" s="1" t="s">
        <v>220</v>
      </c>
      <c r="DI2075" s="1" t="s">
        <v>275</v>
      </c>
      <c r="DJ2075" s="1" t="s">
        <v>222</v>
      </c>
      <c r="DK2075" s="1" t="s">
        <v>1555</v>
      </c>
      <c r="DL2075" s="1" t="s">
        <v>223</v>
      </c>
      <c r="DM2075" s="1" t="s">
        <v>225</v>
      </c>
      <c r="DN2075" s="1" t="s">
        <v>548</v>
      </c>
      <c r="DO2075" s="1" t="s">
        <v>6843</v>
      </c>
      <c r="DP2075" s="1" t="s">
        <v>340</v>
      </c>
      <c r="DQ2075" s="1" t="s">
        <v>441</v>
      </c>
      <c r="DR2075" s="1" t="s">
        <v>588</v>
      </c>
      <c r="DS2075" s="1" t="s">
        <v>368</v>
      </c>
      <c r="DU2075" s="1" t="s">
        <v>1355</v>
      </c>
      <c r="DV2075" s="1" t="s">
        <v>11969</v>
      </c>
      <c r="DW2075" s="1" t="s">
        <v>279</v>
      </c>
      <c r="DX2075" s="1" t="s">
        <v>234</v>
      </c>
      <c r="DZ2075" s="1" t="s">
        <v>282</v>
      </c>
      <c r="EA2075" s="1" t="s">
        <v>344</v>
      </c>
      <c r="EC2075" s="1" t="s">
        <v>237</v>
      </c>
      <c r="ED2075" s="1" t="s">
        <v>555</v>
      </c>
      <c r="EG2075" s="1" t="s">
        <v>556</v>
      </c>
      <c r="EH2075" s="1" t="s">
        <v>408</v>
      </c>
      <c r="EL2075" s="1" t="s">
        <v>303</v>
      </c>
      <c r="EM2075" s="1" t="s">
        <v>206</v>
      </c>
      <c r="EN2075" s="1" t="s">
        <v>207</v>
      </c>
      <c r="EP2075" s="1" t="s">
        <v>1852</v>
      </c>
      <c r="EQ2075" s="1" t="s">
        <v>206</v>
      </c>
      <c r="ER2075" s="1" t="s">
        <v>268</v>
      </c>
      <c r="EU2075" s="1" t="s">
        <v>238</v>
      </c>
      <c r="EY2075" s="1" t="s">
        <v>238</v>
      </c>
      <c r="FC2075" s="1" t="s">
        <v>238</v>
      </c>
      <c r="FF2075" s="1" t="s">
        <v>239</v>
      </c>
      <c r="FG2075" s="1" t="s">
        <v>192</v>
      </c>
      <c r="FH2075" s="1" t="s">
        <v>192</v>
      </c>
      <c r="FJ2075" s="1" t="s">
        <v>1248</v>
      </c>
      <c r="FK2075" s="1" t="s">
        <v>229</v>
      </c>
      <c r="FL2075" s="1" t="s">
        <v>2382</v>
      </c>
      <c r="FM2075" s="1">
        <v>23842.0</v>
      </c>
      <c r="FN2075" s="1" t="s">
        <v>2383</v>
      </c>
      <c r="FO2075" s="1" t="s">
        <v>2384</v>
      </c>
      <c r="FP2075" s="1">
        <v>217273.0</v>
      </c>
      <c r="FQ2075" s="1" t="s">
        <v>2385</v>
      </c>
      <c r="FR2075" s="1">
        <v>235676.0</v>
      </c>
      <c r="FU2075" s="1" t="s">
        <v>19630</v>
      </c>
      <c r="FV2075" s="1" t="s">
        <v>200</v>
      </c>
      <c r="FW2075" s="1" t="s">
        <v>354</v>
      </c>
      <c r="FZ2075" s="1" t="s">
        <v>229</v>
      </c>
      <c r="GA2075" s="1" t="s">
        <v>291</v>
      </c>
      <c r="GB2075" s="2">
        <v>42039.0</v>
      </c>
      <c r="GC2075" s="1" t="s">
        <v>15792</v>
      </c>
    </row>
    <row r="2076">
      <c r="A2076" s="1">
        <v>114450.0</v>
      </c>
      <c r="B2076" s="1" t="s">
        <v>185</v>
      </c>
      <c r="C2076" s="1" t="str">
        <f>"08731400"</f>
        <v>08731400</v>
      </c>
      <c r="D2076" s="1" t="s">
        <v>186</v>
      </c>
      <c r="F2076" s="1" t="str">
        <f>"134"</f>
        <v>134</v>
      </c>
      <c r="G2076" s="2">
        <v>41900.0</v>
      </c>
      <c r="H2076" s="1">
        <v>162900.0</v>
      </c>
      <c r="I2076" s="1">
        <v>219.0</v>
      </c>
      <c r="J2076" s="1">
        <v>129900.0</v>
      </c>
      <c r="K2076" s="2">
        <v>42025.0</v>
      </c>
      <c r="L2076" s="1">
        <v>128.0</v>
      </c>
      <c r="M2076" s="2">
        <v>42025.0</v>
      </c>
      <c r="N2076" s="1" t="s">
        <v>249</v>
      </c>
      <c r="O2076" s="2">
        <v>42041.0</v>
      </c>
      <c r="P2076" s="1">
        <v>1077.0</v>
      </c>
      <c r="Q2076" s="1">
        <v>604.0</v>
      </c>
      <c r="S2076" s="1">
        <v>751.0</v>
      </c>
      <c r="T2076" s="1" t="s">
        <v>19631</v>
      </c>
      <c r="U2076" s="1" t="s">
        <v>320</v>
      </c>
      <c r="V2076" s="1" t="s">
        <v>421</v>
      </c>
      <c r="W2076" s="1">
        <v>60134.0</v>
      </c>
      <c r="Y2076" s="1" t="s">
        <v>19632</v>
      </c>
      <c r="Z2076" s="1">
        <v>1932.0</v>
      </c>
      <c r="AA2076" s="1" t="s">
        <v>192</v>
      </c>
      <c r="AB2076" s="1" t="s">
        <v>193</v>
      </c>
      <c r="AD2076" s="1" t="s">
        <v>424</v>
      </c>
      <c r="AE2076" s="1" t="s">
        <v>325</v>
      </c>
      <c r="AF2076" s="1" t="s">
        <v>424</v>
      </c>
      <c r="AH2076" s="1" t="s">
        <v>7815</v>
      </c>
      <c r="AK2076" s="1">
        <v>9.0</v>
      </c>
      <c r="AL2076" s="1">
        <v>4.0</v>
      </c>
      <c r="AM2076" s="1">
        <v>1.0</v>
      </c>
      <c r="AN2076" s="1">
        <v>2.0</v>
      </c>
      <c r="AO2076" s="1" t="s">
        <v>229</v>
      </c>
      <c r="AQ2076" s="1" t="s">
        <v>198</v>
      </c>
      <c r="AR2076" s="1" t="s">
        <v>192</v>
      </c>
      <c r="AS2076" s="1" t="s">
        <v>199</v>
      </c>
      <c r="AT2076" s="1">
        <v>2.0</v>
      </c>
      <c r="AV2076" s="1" t="s">
        <v>200</v>
      </c>
      <c r="AW2076" s="1">
        <v>6277.82</v>
      </c>
      <c r="AX2076" s="1">
        <v>2013.0</v>
      </c>
      <c r="AZ2076" s="1" t="s">
        <v>545</v>
      </c>
      <c r="BA2076" s="1" t="str">
        <f>"1203204001"</f>
        <v>1203204001</v>
      </c>
      <c r="BC2076" s="1">
        <v>1277.0</v>
      </c>
      <c r="BD2076" s="1">
        <v>114450.0</v>
      </c>
      <c r="BE2076" s="2">
        <v>41898.0</v>
      </c>
      <c r="BF2076" s="1" t="s">
        <v>19633</v>
      </c>
      <c r="BH2076" s="1">
        <v>0.0</v>
      </c>
      <c r="BK2076" s="1" t="s">
        <v>204</v>
      </c>
      <c r="BL2076" s="1" t="str">
        <f t="shared" ref="BL2076:BM2076" si="1362">""</f>
        <v/>
      </c>
      <c r="BM2076" s="1" t="str">
        <f t="shared" si="1362"/>
        <v/>
      </c>
      <c r="BQ2076" s="1">
        <v>304.0</v>
      </c>
      <c r="BR2076" s="1">
        <v>304.0</v>
      </c>
      <c r="BS2076" s="1">
        <v>304.0</v>
      </c>
      <c r="BU2076" s="1" t="s">
        <v>1000</v>
      </c>
      <c r="BV2076" s="1" t="s">
        <v>206</v>
      </c>
      <c r="BW2076" s="1" t="s">
        <v>210</v>
      </c>
      <c r="BY2076" s="1" t="s">
        <v>798</v>
      </c>
      <c r="BZ2076" s="1" t="s">
        <v>206</v>
      </c>
      <c r="CA2076" s="1" t="s">
        <v>210</v>
      </c>
      <c r="CC2076" s="1" t="s">
        <v>699</v>
      </c>
      <c r="CD2076" s="1" t="s">
        <v>206</v>
      </c>
      <c r="CE2076" s="1" t="s">
        <v>210</v>
      </c>
      <c r="CG2076" s="1" t="s">
        <v>495</v>
      </c>
      <c r="CH2076" s="1" t="s">
        <v>209</v>
      </c>
      <c r="CK2076" s="1" t="s">
        <v>3929</v>
      </c>
      <c r="CL2076" s="1" t="s">
        <v>209</v>
      </c>
      <c r="CO2076" s="1" t="s">
        <v>332</v>
      </c>
      <c r="CP2076" s="1" t="s">
        <v>209</v>
      </c>
      <c r="CS2076" s="1" t="s">
        <v>495</v>
      </c>
      <c r="CT2076" s="1" t="s">
        <v>206</v>
      </c>
      <c r="CU2076" s="1" t="s">
        <v>207</v>
      </c>
      <c r="CW2076" s="1" t="s">
        <v>4180</v>
      </c>
      <c r="CX2076" s="1" t="s">
        <v>42</v>
      </c>
      <c r="DA2076" s="1" t="s">
        <v>200</v>
      </c>
      <c r="DC2076" s="1" t="s">
        <v>785</v>
      </c>
      <c r="DE2076" s="1" t="s">
        <v>229</v>
      </c>
      <c r="DF2076" s="1" t="s">
        <v>6818</v>
      </c>
      <c r="DG2076" s="1" t="s">
        <v>2311</v>
      </c>
      <c r="DH2076" s="1" t="s">
        <v>220</v>
      </c>
      <c r="DJ2076" s="1" t="s">
        <v>222</v>
      </c>
      <c r="DL2076" s="1" t="s">
        <v>858</v>
      </c>
      <c r="DM2076" s="1" t="s">
        <v>929</v>
      </c>
      <c r="DP2076" s="1" t="s">
        <v>340</v>
      </c>
      <c r="DQ2076" s="1" t="s">
        <v>228</v>
      </c>
      <c r="DR2076" s="1" t="s">
        <v>229</v>
      </c>
      <c r="DV2076" s="1" t="s">
        <v>19634</v>
      </c>
      <c r="DW2076" s="1" t="s">
        <v>667</v>
      </c>
      <c r="DX2076" s="1" t="s">
        <v>234</v>
      </c>
      <c r="DY2076" s="1" t="s">
        <v>1371</v>
      </c>
      <c r="DZ2076" s="1" t="s">
        <v>343</v>
      </c>
      <c r="EA2076" s="1" t="s">
        <v>644</v>
      </c>
      <c r="EC2076" s="1" t="s">
        <v>645</v>
      </c>
      <c r="EG2076" s="1" t="s">
        <v>374</v>
      </c>
      <c r="EH2076" s="1" t="s">
        <v>1491</v>
      </c>
      <c r="EL2076" s="1" t="s">
        <v>3054</v>
      </c>
      <c r="EM2076" s="1" t="s">
        <v>206</v>
      </c>
      <c r="EP2076" s="1" t="s">
        <v>971</v>
      </c>
      <c r="EQ2076" s="1" t="s">
        <v>42</v>
      </c>
      <c r="EU2076" s="1" t="s">
        <v>238</v>
      </c>
      <c r="EY2076" s="1" t="s">
        <v>238</v>
      </c>
      <c r="FC2076" s="1" t="s">
        <v>238</v>
      </c>
      <c r="FF2076" s="1" t="s">
        <v>239</v>
      </c>
      <c r="FG2076" s="1" t="s">
        <v>192</v>
      </c>
      <c r="FH2076" s="1" t="s">
        <v>192</v>
      </c>
      <c r="FJ2076" s="1" t="s">
        <v>8656</v>
      </c>
      <c r="FK2076" s="1" t="s">
        <v>229</v>
      </c>
      <c r="FL2076" s="1" t="s">
        <v>2184</v>
      </c>
      <c r="FM2076" s="1">
        <v>605.0</v>
      </c>
      <c r="FN2076" s="1" t="s">
        <v>2185</v>
      </c>
      <c r="FO2076" s="1" t="s">
        <v>1738</v>
      </c>
      <c r="FP2076" s="1">
        <v>170.0</v>
      </c>
      <c r="FQ2076" s="1" t="s">
        <v>2185</v>
      </c>
      <c r="FS2076" s="1" t="s">
        <v>3468</v>
      </c>
      <c r="FU2076" s="1" t="s">
        <v>3469</v>
      </c>
      <c r="FV2076" s="1" t="s">
        <v>200</v>
      </c>
      <c r="FW2076" s="1" t="s">
        <v>354</v>
      </c>
      <c r="FZ2076" s="1" t="s">
        <v>229</v>
      </c>
      <c r="GA2076" s="1" t="s">
        <v>291</v>
      </c>
      <c r="GB2076" s="2">
        <v>42044.0</v>
      </c>
      <c r="GC2076" s="1" t="s">
        <v>19635</v>
      </c>
    </row>
    <row r="2077">
      <c r="A2077" s="1">
        <v>435000.0</v>
      </c>
      <c r="B2077" s="1" t="s">
        <v>185</v>
      </c>
      <c r="C2077" s="1" t="str">
        <f>"08731653"</f>
        <v>08731653</v>
      </c>
      <c r="D2077" s="1" t="s">
        <v>186</v>
      </c>
      <c r="F2077" s="1" t="str">
        <f>"8010"</f>
        <v>8010</v>
      </c>
      <c r="G2077" s="2">
        <v>41900.0</v>
      </c>
      <c r="H2077" s="1">
        <v>475000.0</v>
      </c>
      <c r="I2077" s="1">
        <v>59.0</v>
      </c>
      <c r="J2077" s="1">
        <v>459000.0</v>
      </c>
      <c r="K2077" s="2">
        <v>41957.0</v>
      </c>
      <c r="L2077" s="1">
        <v>59.0</v>
      </c>
      <c r="M2077" s="2">
        <v>41957.0</v>
      </c>
      <c r="N2077" s="1" t="s">
        <v>187</v>
      </c>
      <c r="O2077" s="2">
        <v>41991.0</v>
      </c>
      <c r="P2077" s="1">
        <v>222112.0</v>
      </c>
      <c r="Q2077" s="1">
        <v>22076.0</v>
      </c>
      <c r="S2077" s="1">
        <v>5457.0</v>
      </c>
      <c r="T2077" s="1" t="s">
        <v>19636</v>
      </c>
      <c r="U2077" s="1" t="s">
        <v>189</v>
      </c>
      <c r="V2077" s="1" t="s">
        <v>190</v>
      </c>
      <c r="W2077" s="1">
        <v>60656.0</v>
      </c>
      <c r="Y2077" s="1" t="s">
        <v>19637</v>
      </c>
      <c r="Z2077" s="1">
        <v>1950.0</v>
      </c>
      <c r="AA2077" s="1" t="s">
        <v>192</v>
      </c>
      <c r="AB2077" s="1" t="s">
        <v>193</v>
      </c>
      <c r="AD2077" s="1" t="s">
        <v>194</v>
      </c>
      <c r="AE2077" s="1" t="s">
        <v>195</v>
      </c>
      <c r="AF2077" s="1" t="s">
        <v>196</v>
      </c>
      <c r="AH2077" s="1" t="s">
        <v>4463</v>
      </c>
      <c r="AK2077" s="1">
        <v>8.0</v>
      </c>
      <c r="AL2077" s="1">
        <v>4.0</v>
      </c>
      <c r="AM2077" s="1">
        <v>3.0</v>
      </c>
      <c r="AN2077" s="1">
        <v>0.0</v>
      </c>
      <c r="AO2077" s="1" t="s">
        <v>229</v>
      </c>
      <c r="AP2077" s="1">
        <v>0.0</v>
      </c>
      <c r="AQ2077" s="1" t="s">
        <v>198</v>
      </c>
      <c r="AR2077" s="1" t="s">
        <v>192</v>
      </c>
      <c r="AS2077" s="1" t="s">
        <v>199</v>
      </c>
      <c r="AT2077" s="1">
        <v>2.0</v>
      </c>
      <c r="AV2077" s="1" t="s">
        <v>200</v>
      </c>
      <c r="AW2077" s="1">
        <v>5115.0</v>
      </c>
      <c r="AX2077" s="1">
        <v>2013.0</v>
      </c>
      <c r="AY2077" s="1" t="s">
        <v>387</v>
      </c>
      <c r="AZ2077" s="1" t="s">
        <v>200</v>
      </c>
      <c r="BA2077" s="1" t="str">
        <f>"13071040260000"</f>
        <v>13071040260000</v>
      </c>
      <c r="BB2077" s="1" t="s">
        <v>200</v>
      </c>
      <c r="BC2077" s="1">
        <v>2000.0</v>
      </c>
      <c r="BD2077" s="1">
        <v>435000.0</v>
      </c>
      <c r="BE2077" s="2">
        <v>41899.0</v>
      </c>
      <c r="BF2077" s="2" t="s">
        <v>19638</v>
      </c>
      <c r="BG2077" s="1" t="s">
        <v>13582</v>
      </c>
      <c r="BH2077" s="1">
        <v>0.0</v>
      </c>
      <c r="BJ2077" s="1" t="s">
        <v>1222</v>
      </c>
      <c r="BK2077" s="1" t="s">
        <v>204</v>
      </c>
      <c r="BL2077" s="1" t="str">
        <f>"5400"</f>
        <v>5400</v>
      </c>
      <c r="BM2077" s="1" t="str">
        <f>"0"</f>
        <v>0</v>
      </c>
      <c r="BN2077" s="1">
        <v>7100.0</v>
      </c>
      <c r="BO2077" s="1">
        <v>0.0</v>
      </c>
      <c r="BQ2077" s="1">
        <v>299.0</v>
      </c>
      <c r="BR2077" s="1">
        <v>299.0</v>
      </c>
      <c r="BS2077" s="1">
        <v>299.0</v>
      </c>
      <c r="BU2077" s="1" t="s">
        <v>4403</v>
      </c>
      <c r="BV2077" s="1" t="s">
        <v>206</v>
      </c>
      <c r="BW2077" s="1" t="s">
        <v>207</v>
      </c>
      <c r="BX2077" s="1" t="s">
        <v>261</v>
      </c>
      <c r="BY2077" s="1" t="s">
        <v>1299</v>
      </c>
      <c r="BZ2077" s="1" t="s">
        <v>209</v>
      </c>
      <c r="CA2077" s="1" t="s">
        <v>207</v>
      </c>
      <c r="CB2077" s="1" t="s">
        <v>431</v>
      </c>
      <c r="CC2077" s="1" t="s">
        <v>663</v>
      </c>
      <c r="CD2077" s="1" t="s">
        <v>206</v>
      </c>
      <c r="CE2077" s="1" t="s">
        <v>207</v>
      </c>
      <c r="CF2077" s="1" t="s">
        <v>1549</v>
      </c>
      <c r="CG2077" s="1" t="s">
        <v>663</v>
      </c>
      <c r="CH2077" s="1" t="s">
        <v>209</v>
      </c>
      <c r="CI2077" s="1" t="s">
        <v>207</v>
      </c>
      <c r="CJ2077" s="1" t="s">
        <v>431</v>
      </c>
      <c r="CK2077" s="1" t="s">
        <v>543</v>
      </c>
      <c r="CL2077" s="1" t="s">
        <v>209</v>
      </c>
      <c r="CM2077" s="1" t="s">
        <v>207</v>
      </c>
      <c r="CN2077" s="1" t="s">
        <v>431</v>
      </c>
      <c r="CO2077" s="1" t="s">
        <v>699</v>
      </c>
      <c r="CP2077" s="1" t="s">
        <v>206</v>
      </c>
      <c r="CQ2077" s="1" t="s">
        <v>207</v>
      </c>
      <c r="CR2077" s="1" t="s">
        <v>431</v>
      </c>
      <c r="CS2077" s="1" t="s">
        <v>5266</v>
      </c>
      <c r="CT2077" s="1" t="s">
        <v>206</v>
      </c>
      <c r="CU2077" s="1" t="s">
        <v>207</v>
      </c>
      <c r="CV2077" s="1" t="s">
        <v>261</v>
      </c>
      <c r="CW2077" s="1" t="s">
        <v>19639</v>
      </c>
      <c r="CX2077" s="1" t="s">
        <v>42</v>
      </c>
      <c r="CY2077" s="1" t="s">
        <v>210</v>
      </c>
      <c r="DA2077" s="1" t="s">
        <v>200</v>
      </c>
      <c r="DC2077" s="1" t="s">
        <v>702</v>
      </c>
      <c r="DD2077" s="1" t="s">
        <v>306</v>
      </c>
      <c r="DE2077" s="1" t="s">
        <v>273</v>
      </c>
      <c r="DF2077" s="1" t="s">
        <v>219</v>
      </c>
      <c r="DG2077" s="1" t="s">
        <v>337</v>
      </c>
      <c r="DH2077" s="1" t="s">
        <v>365</v>
      </c>
      <c r="DI2077" s="1" t="s">
        <v>1141</v>
      </c>
      <c r="DJ2077" s="1" t="s">
        <v>222</v>
      </c>
      <c r="DK2077" s="1" t="s">
        <v>3740</v>
      </c>
      <c r="DL2077" s="1" t="s">
        <v>19640</v>
      </c>
      <c r="DM2077" s="1" t="s">
        <v>1143</v>
      </c>
      <c r="DP2077" s="1" t="s">
        <v>340</v>
      </c>
      <c r="DQ2077" s="1" t="s">
        <v>228</v>
      </c>
      <c r="DR2077" s="1" t="s">
        <v>229</v>
      </c>
      <c r="DS2077" s="1" t="s">
        <v>591</v>
      </c>
      <c r="DU2077" s="1" t="s">
        <v>681</v>
      </c>
      <c r="DV2077" s="1" t="s">
        <v>374</v>
      </c>
      <c r="DW2077" s="1" t="s">
        <v>279</v>
      </c>
      <c r="DX2077" s="1" t="s">
        <v>234</v>
      </c>
      <c r="DY2077" s="1" t="s">
        <v>19641</v>
      </c>
      <c r="DZ2077" s="1" t="s">
        <v>282</v>
      </c>
      <c r="EA2077" s="1" t="s">
        <v>588</v>
      </c>
      <c r="EC2077" s="1" t="s">
        <v>237</v>
      </c>
      <c r="ED2077" s="1" t="s">
        <v>407</v>
      </c>
      <c r="EH2077" s="1" t="s">
        <v>374</v>
      </c>
      <c r="EM2077" s="1" t="s">
        <v>238</v>
      </c>
      <c r="EP2077" s="1" t="s">
        <v>6657</v>
      </c>
      <c r="EQ2077" s="1" t="s">
        <v>206</v>
      </c>
      <c r="ER2077" s="1" t="s">
        <v>617</v>
      </c>
      <c r="EU2077" s="1" t="s">
        <v>238</v>
      </c>
      <c r="EY2077" s="1" t="s">
        <v>238</v>
      </c>
      <c r="FC2077" s="1" t="s">
        <v>238</v>
      </c>
      <c r="FF2077" s="1" t="s">
        <v>239</v>
      </c>
      <c r="FG2077" s="1" t="s">
        <v>192</v>
      </c>
      <c r="FH2077" s="1" t="s">
        <v>192</v>
      </c>
      <c r="FJ2077" s="1" t="s">
        <v>1450</v>
      </c>
      <c r="FK2077" s="1" t="s">
        <v>229</v>
      </c>
      <c r="FL2077" s="1" t="s">
        <v>456</v>
      </c>
      <c r="FM2077" s="1">
        <v>10013.0</v>
      </c>
      <c r="FN2077" s="1" t="s">
        <v>2428</v>
      </c>
      <c r="FO2077" s="1" t="s">
        <v>19642</v>
      </c>
      <c r="FP2077" s="1">
        <v>110080.0</v>
      </c>
      <c r="FQ2077" s="1" t="s">
        <v>19643</v>
      </c>
      <c r="FU2077" s="1" t="s">
        <v>19644</v>
      </c>
      <c r="FV2077" s="1" t="s">
        <v>200</v>
      </c>
      <c r="FW2077" s="1" t="s">
        <v>290</v>
      </c>
      <c r="FX2077" s="1" t="s">
        <v>238</v>
      </c>
      <c r="FZ2077" s="1" t="s">
        <v>2993</v>
      </c>
      <c r="GA2077" s="1" t="s">
        <v>291</v>
      </c>
      <c r="GB2077" s="2">
        <v>41991.0</v>
      </c>
      <c r="GC2077" s="1" t="s">
        <v>19645</v>
      </c>
    </row>
    <row r="2078">
      <c r="A2078" s="1">
        <v>325738.0</v>
      </c>
      <c r="B2078" s="1" t="s">
        <v>185</v>
      </c>
      <c r="C2078" s="1" t="str">
        <f>"08727776"</f>
        <v>08727776</v>
      </c>
      <c r="D2078" s="1" t="s">
        <v>186</v>
      </c>
      <c r="F2078" s="1" t="str">
        <f>"177"</f>
        <v>177</v>
      </c>
      <c r="G2078" s="2">
        <v>41896.0</v>
      </c>
      <c r="H2078" s="1">
        <v>279995.0</v>
      </c>
      <c r="I2078" s="1">
        <v>2.0</v>
      </c>
      <c r="J2078" s="1">
        <v>279995.0</v>
      </c>
      <c r="K2078" s="2">
        <v>41896.0</v>
      </c>
      <c r="L2078" s="1">
        <v>2.0</v>
      </c>
      <c r="M2078" s="2">
        <v>41896.0</v>
      </c>
      <c r="N2078" s="1" t="s">
        <v>187</v>
      </c>
      <c r="O2078" s="2">
        <v>42129.0</v>
      </c>
      <c r="P2078" s="1">
        <v>236930.0</v>
      </c>
      <c r="Q2078" s="1">
        <v>24475.0</v>
      </c>
      <c r="S2078" s="1">
        <v>1260.0</v>
      </c>
      <c r="T2078" s="1" t="s">
        <v>19646</v>
      </c>
      <c r="U2078" s="1" t="s">
        <v>569</v>
      </c>
      <c r="V2078" s="1" t="s">
        <v>2249</v>
      </c>
      <c r="W2078" s="1">
        <v>60177.0</v>
      </c>
      <c r="Y2078" s="1" t="s">
        <v>11123</v>
      </c>
      <c r="Z2078" s="1">
        <v>2014.0</v>
      </c>
      <c r="AA2078" s="1" t="s">
        <v>200</v>
      </c>
      <c r="AB2078" s="1" t="s">
        <v>193</v>
      </c>
      <c r="AC2078" s="1" t="s">
        <v>11124</v>
      </c>
      <c r="AD2078" s="1" t="s">
        <v>2252</v>
      </c>
      <c r="AE2078" s="1" t="s">
        <v>325</v>
      </c>
      <c r="AF2078" s="1" t="s">
        <v>469</v>
      </c>
      <c r="AG2078" s="1" t="s">
        <v>19647</v>
      </c>
      <c r="AH2078" s="1" t="s">
        <v>11126</v>
      </c>
      <c r="AK2078" s="1">
        <v>9.0</v>
      </c>
      <c r="AL2078" s="1">
        <v>4.0</v>
      </c>
      <c r="AM2078" s="1">
        <v>2.0</v>
      </c>
      <c r="AN2078" s="1">
        <v>1.0</v>
      </c>
      <c r="AO2078" s="1" t="s">
        <v>198</v>
      </c>
      <c r="AQ2078" s="1" t="s">
        <v>1314</v>
      </c>
      <c r="AR2078" s="1" t="s">
        <v>200</v>
      </c>
      <c r="AS2078" s="1" t="s">
        <v>199</v>
      </c>
      <c r="AT2078" s="1">
        <v>3.0</v>
      </c>
      <c r="AV2078" s="1" t="s">
        <v>200</v>
      </c>
      <c r="AW2078" s="1" t="s">
        <v>575</v>
      </c>
      <c r="AX2078" s="1">
        <v>2013.0</v>
      </c>
      <c r="AZ2078" s="1" t="s">
        <v>200</v>
      </c>
      <c r="BA2078" s="1" t="str">
        <f>"0625328004"</f>
        <v>0625328004</v>
      </c>
      <c r="BC2078" s="1">
        <v>3145.0</v>
      </c>
      <c r="BD2078" s="1">
        <v>325738.0</v>
      </c>
      <c r="BE2078" s="2">
        <v>41895.0</v>
      </c>
      <c r="BF2078" s="2" t="s">
        <v>17434</v>
      </c>
      <c r="BG2078" s="1" t="s">
        <v>11128</v>
      </c>
      <c r="BH2078" s="1">
        <v>200.0</v>
      </c>
      <c r="BI2078" s="1" t="s">
        <v>11129</v>
      </c>
      <c r="BJ2078" s="1" t="s">
        <v>11130</v>
      </c>
      <c r="BK2078" s="1" t="s">
        <v>580</v>
      </c>
      <c r="BL2078" s="1" t="str">
        <f t="shared" ref="BL2078:BM2078" si="1363">""</f>
        <v/>
      </c>
      <c r="BM2078" s="1" t="str">
        <f t="shared" si="1363"/>
        <v/>
      </c>
      <c r="BQ2078" s="1">
        <v>46.0</v>
      </c>
      <c r="BR2078" s="1">
        <v>46.0</v>
      </c>
      <c r="BS2078" s="1">
        <v>46.0</v>
      </c>
      <c r="BV2078" s="1" t="s">
        <v>204</v>
      </c>
      <c r="BY2078" s="1" t="s">
        <v>676</v>
      </c>
      <c r="BZ2078" s="1" t="s">
        <v>209</v>
      </c>
      <c r="CA2078" s="1" t="s">
        <v>210</v>
      </c>
      <c r="CC2078" s="1" t="s">
        <v>584</v>
      </c>
      <c r="CD2078" s="1" t="s">
        <v>206</v>
      </c>
      <c r="CE2078" s="1" t="s">
        <v>210</v>
      </c>
      <c r="CG2078" s="1" t="s">
        <v>1329</v>
      </c>
      <c r="CH2078" s="1" t="s">
        <v>209</v>
      </c>
      <c r="CI2078" s="1" t="s">
        <v>210</v>
      </c>
      <c r="CK2078" s="1" t="s">
        <v>478</v>
      </c>
      <c r="CL2078" s="1" t="s">
        <v>209</v>
      </c>
      <c r="CM2078" s="1" t="s">
        <v>210</v>
      </c>
      <c r="CO2078" s="1" t="s">
        <v>478</v>
      </c>
      <c r="CP2078" s="1" t="s">
        <v>209</v>
      </c>
      <c r="CQ2078" s="1" t="s">
        <v>210</v>
      </c>
      <c r="CS2078" s="1" t="s">
        <v>1068</v>
      </c>
      <c r="CT2078" s="1" t="s">
        <v>206</v>
      </c>
      <c r="CU2078" s="1" t="s">
        <v>617</v>
      </c>
      <c r="CW2078" s="1" t="s">
        <v>5291</v>
      </c>
      <c r="CX2078" s="1" t="s">
        <v>206</v>
      </c>
      <c r="CY2078" s="1" t="s">
        <v>210</v>
      </c>
      <c r="DA2078" s="1" t="s">
        <v>192</v>
      </c>
      <c r="DB2078" s="2">
        <v>42035.0</v>
      </c>
      <c r="DC2078" s="1" t="s">
        <v>585</v>
      </c>
      <c r="DD2078" s="1" t="s">
        <v>855</v>
      </c>
      <c r="DE2078" s="1" t="s">
        <v>273</v>
      </c>
      <c r="DF2078" s="1" t="s">
        <v>219</v>
      </c>
      <c r="DH2078" s="1" t="s">
        <v>220</v>
      </c>
      <c r="DI2078" s="1" t="s">
        <v>1021</v>
      </c>
      <c r="DJ2078" s="1" t="s">
        <v>222</v>
      </c>
      <c r="DL2078" s="1" t="s">
        <v>223</v>
      </c>
      <c r="DM2078" s="1" t="s">
        <v>229</v>
      </c>
      <c r="DP2078" s="1" t="s">
        <v>340</v>
      </c>
      <c r="DQ2078" s="1" t="s">
        <v>228</v>
      </c>
      <c r="DR2078" s="1" t="s">
        <v>229</v>
      </c>
      <c r="DS2078" s="1" t="s">
        <v>591</v>
      </c>
      <c r="DU2078" s="1" t="s">
        <v>550</v>
      </c>
      <c r="DV2078" s="1" t="s">
        <v>2445</v>
      </c>
      <c r="DW2078" s="1" t="s">
        <v>233</v>
      </c>
      <c r="DX2078" s="1" t="s">
        <v>234</v>
      </c>
      <c r="DY2078" s="1" t="s">
        <v>3075</v>
      </c>
      <c r="EA2078" s="1" t="s">
        <v>344</v>
      </c>
      <c r="EC2078" s="1" t="s">
        <v>237</v>
      </c>
      <c r="ED2078" s="1" t="s">
        <v>6543</v>
      </c>
      <c r="EG2078" s="1" t="s">
        <v>556</v>
      </c>
      <c r="EH2078" s="1" t="s">
        <v>557</v>
      </c>
      <c r="EL2078" s="1" t="s">
        <v>1417</v>
      </c>
      <c r="EM2078" s="1" t="s">
        <v>206</v>
      </c>
      <c r="EN2078" s="1" t="s">
        <v>617</v>
      </c>
      <c r="EP2078" s="1" t="s">
        <v>1518</v>
      </c>
      <c r="EQ2078" s="1" t="s">
        <v>209</v>
      </c>
      <c r="ER2078" s="1" t="s">
        <v>210</v>
      </c>
      <c r="EU2078" s="1" t="s">
        <v>238</v>
      </c>
      <c r="EY2078" s="1" t="s">
        <v>238</v>
      </c>
      <c r="FC2078" s="1" t="s">
        <v>238</v>
      </c>
      <c r="FF2078" s="1" t="s">
        <v>239</v>
      </c>
      <c r="FG2078" s="1" t="s">
        <v>192</v>
      </c>
      <c r="FH2078" s="1" t="s">
        <v>192</v>
      </c>
      <c r="FJ2078" s="1" t="s">
        <v>2262</v>
      </c>
      <c r="FK2078" s="1" t="s">
        <v>229</v>
      </c>
      <c r="FL2078" s="1" t="s">
        <v>1358</v>
      </c>
      <c r="FM2078" s="1">
        <v>23591.0</v>
      </c>
      <c r="FN2078" s="1" t="s">
        <v>2134</v>
      </c>
      <c r="FO2078" s="1" t="s">
        <v>11054</v>
      </c>
      <c r="FP2078" s="1">
        <v>221299.0</v>
      </c>
      <c r="FQ2078" s="1" t="s">
        <v>11055</v>
      </c>
      <c r="FU2078" s="1" t="s">
        <v>11733</v>
      </c>
      <c r="FV2078" s="1" t="s">
        <v>200</v>
      </c>
      <c r="FW2078" s="1" t="s">
        <v>11132</v>
      </c>
      <c r="FZ2078" s="1" t="s">
        <v>229</v>
      </c>
      <c r="GA2078" s="1" t="s">
        <v>291</v>
      </c>
      <c r="GB2078" s="2">
        <v>42131.0</v>
      </c>
      <c r="GC2078" s="1" t="s">
        <v>11734</v>
      </c>
    </row>
    <row r="2079">
      <c r="A2079" s="1">
        <v>2350000.0</v>
      </c>
      <c r="B2079" s="1" t="s">
        <v>185</v>
      </c>
      <c r="C2079" s="1" t="str">
        <f>"08731417"</f>
        <v>08731417</v>
      </c>
      <c r="D2079" s="1" t="s">
        <v>186</v>
      </c>
      <c r="F2079" s="1" t="str">
        <f>"8024"</f>
        <v>8024</v>
      </c>
      <c r="G2079" s="2">
        <v>41900.0</v>
      </c>
      <c r="H2079" s="1">
        <v>2500000.0</v>
      </c>
      <c r="I2079" s="1">
        <v>93.0</v>
      </c>
      <c r="J2079" s="1">
        <v>2500000.0</v>
      </c>
      <c r="K2079" s="2">
        <v>41900.0</v>
      </c>
      <c r="L2079" s="1">
        <v>1.0</v>
      </c>
      <c r="M2079" s="2">
        <v>41900.0</v>
      </c>
      <c r="N2079" s="1" t="s">
        <v>187</v>
      </c>
      <c r="O2079" s="2">
        <v>42019.0</v>
      </c>
      <c r="P2079" s="1">
        <v>115364.0</v>
      </c>
      <c r="Q2079" s="1">
        <v>10272.0</v>
      </c>
      <c r="S2079" s="1">
        <v>1424.0</v>
      </c>
      <c r="T2079" s="1" t="s">
        <v>4678</v>
      </c>
      <c r="U2079" s="1" t="s">
        <v>320</v>
      </c>
      <c r="V2079" s="1" t="s">
        <v>190</v>
      </c>
      <c r="W2079" s="1">
        <v>60622.0</v>
      </c>
      <c r="Y2079" s="1" t="s">
        <v>19648</v>
      </c>
      <c r="Z2079" s="1">
        <v>1923.0</v>
      </c>
      <c r="AA2079" s="1" t="s">
        <v>192</v>
      </c>
      <c r="AB2079" s="1" t="s">
        <v>193</v>
      </c>
      <c r="AD2079" s="1" t="s">
        <v>194</v>
      </c>
      <c r="AE2079" s="1" t="s">
        <v>195</v>
      </c>
      <c r="AF2079" s="1" t="s">
        <v>827</v>
      </c>
      <c r="AH2079" s="1" t="s">
        <v>6603</v>
      </c>
      <c r="AK2079" s="1">
        <v>7.0</v>
      </c>
      <c r="AL2079" s="1">
        <v>4.0</v>
      </c>
      <c r="AM2079" s="1">
        <v>2.0</v>
      </c>
      <c r="AN2079" s="1">
        <v>2.0</v>
      </c>
      <c r="AO2079" s="1" t="s">
        <v>198</v>
      </c>
      <c r="AP2079" s="1">
        <v>1.0</v>
      </c>
      <c r="AQ2079" s="1" t="s">
        <v>229</v>
      </c>
      <c r="AR2079" s="1" t="s">
        <v>200</v>
      </c>
      <c r="AS2079" s="1" t="s">
        <v>199</v>
      </c>
      <c r="AT2079" s="1">
        <v>2.0</v>
      </c>
      <c r="AV2079" s="1" t="s">
        <v>200</v>
      </c>
      <c r="AW2079" s="1">
        <v>14445.0</v>
      </c>
      <c r="AX2079" s="1">
        <v>2013.0</v>
      </c>
      <c r="AY2079" s="1" t="s">
        <v>387</v>
      </c>
      <c r="AZ2079" s="1" t="s">
        <v>200</v>
      </c>
      <c r="BA2079" s="1" t="str">
        <f>"17081170180000"</f>
        <v>17081170180000</v>
      </c>
      <c r="BC2079" s="1">
        <v>9400.0</v>
      </c>
      <c r="BD2079" s="1">
        <v>2350000.0</v>
      </c>
      <c r="BE2079" s="2">
        <v>41900.0</v>
      </c>
      <c r="BF2079" s="2" t="s">
        <v>19649</v>
      </c>
      <c r="BH2079" s="1">
        <v>0.0</v>
      </c>
      <c r="BK2079" s="1" t="s">
        <v>204</v>
      </c>
      <c r="BL2079" s="1" t="str">
        <f>"600"</f>
        <v>600</v>
      </c>
      <c r="BM2079" s="1" t="str">
        <f>"0"</f>
        <v>0</v>
      </c>
      <c r="BN2079" s="1">
        <v>1424.0</v>
      </c>
      <c r="BO2079" s="1">
        <v>0.0</v>
      </c>
      <c r="BQ2079" s="1">
        <v>299.0</v>
      </c>
      <c r="BR2079" s="1">
        <v>299.0</v>
      </c>
      <c r="BS2079" s="1">
        <v>299.0</v>
      </c>
      <c r="BU2079" s="1" t="s">
        <v>5414</v>
      </c>
      <c r="BV2079" s="1" t="s">
        <v>206</v>
      </c>
      <c r="BW2079" s="1" t="s">
        <v>207</v>
      </c>
      <c r="BY2079" s="1" t="s">
        <v>1286</v>
      </c>
      <c r="BZ2079" s="1" t="s">
        <v>206</v>
      </c>
      <c r="CA2079" s="1" t="s">
        <v>207</v>
      </c>
      <c r="CC2079" s="1" t="s">
        <v>19650</v>
      </c>
      <c r="CD2079" s="1" t="s">
        <v>206</v>
      </c>
      <c r="CE2079" s="1" t="s">
        <v>207</v>
      </c>
      <c r="CG2079" s="1" t="s">
        <v>616</v>
      </c>
      <c r="CH2079" s="1" t="s">
        <v>206</v>
      </c>
      <c r="CI2079" s="1" t="s">
        <v>207</v>
      </c>
      <c r="CK2079" s="1" t="s">
        <v>1892</v>
      </c>
      <c r="CL2079" s="1" t="s">
        <v>209</v>
      </c>
      <c r="CM2079" s="1" t="s">
        <v>210</v>
      </c>
      <c r="CO2079" s="1" t="s">
        <v>3054</v>
      </c>
      <c r="CP2079" s="1" t="s">
        <v>209</v>
      </c>
      <c r="CQ2079" s="1" t="s">
        <v>210</v>
      </c>
      <c r="CS2079" s="1" t="s">
        <v>14808</v>
      </c>
      <c r="CT2079" s="1" t="s">
        <v>206</v>
      </c>
      <c r="CU2079" s="1" t="s">
        <v>5126</v>
      </c>
      <c r="CX2079" s="1" t="s">
        <v>204</v>
      </c>
      <c r="DA2079" s="1" t="s">
        <v>200</v>
      </c>
      <c r="DC2079" s="1" t="s">
        <v>216</v>
      </c>
      <c r="DD2079" s="1" t="s">
        <v>336</v>
      </c>
      <c r="DE2079" s="1" t="s">
        <v>273</v>
      </c>
      <c r="DF2079" s="1" t="s">
        <v>219</v>
      </c>
      <c r="DG2079" s="1" t="s">
        <v>19651</v>
      </c>
      <c r="DH2079" s="1" t="s">
        <v>365</v>
      </c>
      <c r="DI2079" s="1" t="s">
        <v>19652</v>
      </c>
      <c r="DJ2079" s="1" t="s">
        <v>222</v>
      </c>
      <c r="DK2079" s="1" t="s">
        <v>1301</v>
      </c>
      <c r="DL2079" s="1" t="s">
        <v>229</v>
      </c>
      <c r="DM2079" s="1" t="s">
        <v>229</v>
      </c>
      <c r="DN2079" s="1" t="s">
        <v>961</v>
      </c>
      <c r="DO2079" s="1" t="s">
        <v>717</v>
      </c>
      <c r="DP2079" s="1" t="s">
        <v>340</v>
      </c>
      <c r="DQ2079" s="1" t="s">
        <v>794</v>
      </c>
      <c r="DR2079" s="1" t="s">
        <v>229</v>
      </c>
      <c r="DS2079" s="1" t="s">
        <v>230</v>
      </c>
      <c r="DV2079" s="1" t="s">
        <v>19653</v>
      </c>
      <c r="DW2079" s="1" t="s">
        <v>279</v>
      </c>
      <c r="DX2079" s="1" t="s">
        <v>234</v>
      </c>
      <c r="DY2079" s="1" t="s">
        <v>19654</v>
      </c>
      <c r="DZ2079" s="1" t="s">
        <v>2648</v>
      </c>
      <c r="EA2079" s="1" t="s">
        <v>588</v>
      </c>
      <c r="EB2079" s="1" t="s">
        <v>345</v>
      </c>
      <c r="EC2079" s="1" t="s">
        <v>237</v>
      </c>
      <c r="ED2079" s="1" t="s">
        <v>864</v>
      </c>
      <c r="EG2079" s="1" t="s">
        <v>408</v>
      </c>
      <c r="EL2079" s="1" t="s">
        <v>5382</v>
      </c>
      <c r="EM2079" s="1" t="s">
        <v>206</v>
      </c>
      <c r="EQ2079" s="1" t="s">
        <v>238</v>
      </c>
      <c r="EU2079" s="1" t="s">
        <v>238</v>
      </c>
      <c r="EY2079" s="1" t="s">
        <v>238</v>
      </c>
      <c r="FC2079" s="1" t="s">
        <v>238</v>
      </c>
      <c r="FF2079" s="1" t="s">
        <v>239</v>
      </c>
      <c r="FG2079" s="1" t="s">
        <v>192</v>
      </c>
      <c r="FH2079" s="1" t="s">
        <v>192</v>
      </c>
      <c r="FJ2079" s="1" t="s">
        <v>19655</v>
      </c>
      <c r="FK2079" s="1" t="s">
        <v>229</v>
      </c>
      <c r="FL2079" s="1" t="s">
        <v>1358</v>
      </c>
      <c r="FM2079" s="1">
        <v>10272.0</v>
      </c>
      <c r="FN2079" s="1" t="s">
        <v>3233</v>
      </c>
      <c r="FO2079" s="1" t="s">
        <v>3234</v>
      </c>
      <c r="FP2079" s="1">
        <v>115364.0</v>
      </c>
      <c r="FQ2079" s="1" t="s">
        <v>3235</v>
      </c>
      <c r="FU2079" s="1" t="s">
        <v>19656</v>
      </c>
      <c r="FV2079" s="1" t="s">
        <v>200</v>
      </c>
      <c r="FW2079" s="1" t="s">
        <v>530</v>
      </c>
      <c r="FX2079" s="1" t="s">
        <v>246</v>
      </c>
      <c r="FZ2079" s="1" t="s">
        <v>229</v>
      </c>
      <c r="GA2079" s="1" t="s">
        <v>291</v>
      </c>
      <c r="GB2079" s="2">
        <v>42020.0</v>
      </c>
    </row>
    <row r="2080">
      <c r="A2080" s="1">
        <v>392825.0</v>
      </c>
      <c r="B2080" s="1" t="s">
        <v>185</v>
      </c>
      <c r="C2080" s="1" t="str">
        <f>"08731148"</f>
        <v>08731148</v>
      </c>
      <c r="D2080" s="1" t="s">
        <v>186</v>
      </c>
      <c r="F2080" s="1" t="str">
        <f>"134"</f>
        <v>134</v>
      </c>
      <c r="G2080" s="2">
        <v>41899.0</v>
      </c>
      <c r="H2080" s="1">
        <v>413000.0</v>
      </c>
      <c r="I2080" s="1">
        <v>234.0</v>
      </c>
      <c r="J2080" s="1">
        <v>399800.0</v>
      </c>
      <c r="K2080" s="2">
        <v>42038.0</v>
      </c>
      <c r="L2080" s="1">
        <v>141.0</v>
      </c>
      <c r="M2080" s="2">
        <v>42038.0</v>
      </c>
      <c r="N2080" s="1" t="s">
        <v>187</v>
      </c>
      <c r="O2080" s="2">
        <v>42079.0</v>
      </c>
      <c r="P2080" s="1">
        <v>705740.0</v>
      </c>
      <c r="Q2080" s="1">
        <v>70269.0</v>
      </c>
      <c r="S2080" s="1">
        <v>1080.0</v>
      </c>
      <c r="T2080" s="1" t="s">
        <v>19657</v>
      </c>
      <c r="U2080" s="1" t="s">
        <v>420</v>
      </c>
      <c r="V2080" s="1" t="s">
        <v>421</v>
      </c>
      <c r="W2080" s="1">
        <v>60134.0</v>
      </c>
      <c r="Y2080" s="1" t="s">
        <v>19658</v>
      </c>
      <c r="Z2080" s="1">
        <v>1979.0</v>
      </c>
      <c r="AA2080" s="1" t="s">
        <v>200</v>
      </c>
      <c r="AB2080" s="1" t="s">
        <v>193</v>
      </c>
      <c r="AC2080" s="1" t="s">
        <v>11156</v>
      </c>
      <c r="AD2080" s="1" t="s">
        <v>424</v>
      </c>
      <c r="AE2080" s="1" t="s">
        <v>325</v>
      </c>
      <c r="AF2080" s="1" t="s">
        <v>424</v>
      </c>
      <c r="AH2080" s="1" t="s">
        <v>19659</v>
      </c>
      <c r="AK2080" s="1">
        <v>8.0</v>
      </c>
      <c r="AL2080" s="1">
        <v>4.0</v>
      </c>
      <c r="AM2080" s="1">
        <v>2.0</v>
      </c>
      <c r="AN2080" s="1">
        <v>1.0</v>
      </c>
      <c r="AO2080" s="1" t="s">
        <v>198</v>
      </c>
      <c r="AP2080" s="1">
        <v>1.0</v>
      </c>
      <c r="AQ2080" s="1" t="s">
        <v>198</v>
      </c>
      <c r="AR2080" s="1" t="s">
        <v>200</v>
      </c>
      <c r="AS2080" s="1" t="s">
        <v>199</v>
      </c>
      <c r="AT2080" s="1">
        <v>2.0</v>
      </c>
      <c r="AV2080" s="1" t="s">
        <v>200</v>
      </c>
      <c r="AW2080" s="1">
        <v>9835.0</v>
      </c>
      <c r="AX2080" s="1">
        <v>2013.0</v>
      </c>
      <c r="AY2080" s="1" t="s">
        <v>387</v>
      </c>
      <c r="AZ2080" s="1" t="s">
        <v>200</v>
      </c>
      <c r="BA2080" s="1" t="str">
        <f>"1209277006"</f>
        <v>1209277006</v>
      </c>
      <c r="BC2080" s="1">
        <v>2306.0</v>
      </c>
      <c r="BD2080" s="1">
        <v>392825.0</v>
      </c>
      <c r="BE2080" s="2">
        <v>41898.0</v>
      </c>
      <c r="BF2080" s="2" t="s">
        <v>19660</v>
      </c>
      <c r="BG2080" s="1" t="s">
        <v>3524</v>
      </c>
      <c r="BH2080" s="1">
        <v>0.0</v>
      </c>
      <c r="BI2080" s="1" t="s">
        <v>429</v>
      </c>
      <c r="BJ2080" s="1" t="s">
        <v>430</v>
      </c>
      <c r="BK2080" s="1" t="s">
        <v>204</v>
      </c>
      <c r="BL2080" s="1" t="str">
        <f t="shared" ref="BL2080:BM2080" si="1364">""</f>
        <v/>
      </c>
      <c r="BM2080" s="1" t="str">
        <f t="shared" si="1364"/>
        <v/>
      </c>
      <c r="BQ2080" s="1">
        <v>304.0</v>
      </c>
      <c r="BR2080" s="1">
        <v>304.0</v>
      </c>
      <c r="BS2080" s="1">
        <v>304.0</v>
      </c>
      <c r="BU2080" s="1" t="s">
        <v>1483</v>
      </c>
      <c r="BV2080" s="1" t="s">
        <v>206</v>
      </c>
      <c r="BW2080" s="1" t="s">
        <v>207</v>
      </c>
      <c r="BY2080" s="1" t="s">
        <v>1483</v>
      </c>
      <c r="BZ2080" s="1" t="s">
        <v>209</v>
      </c>
      <c r="CA2080" s="1" t="s">
        <v>210</v>
      </c>
      <c r="CC2080" s="1" t="s">
        <v>363</v>
      </c>
      <c r="CD2080" s="1" t="s">
        <v>206</v>
      </c>
      <c r="CE2080" s="1" t="s">
        <v>207</v>
      </c>
      <c r="CG2080" s="1" t="s">
        <v>1395</v>
      </c>
      <c r="CH2080" s="1" t="s">
        <v>209</v>
      </c>
      <c r="CI2080" s="1" t="s">
        <v>210</v>
      </c>
      <c r="CK2080" s="1" t="s">
        <v>478</v>
      </c>
      <c r="CL2080" s="1" t="s">
        <v>209</v>
      </c>
      <c r="CM2080" s="1" t="s">
        <v>210</v>
      </c>
      <c r="CO2080" s="1" t="s">
        <v>2082</v>
      </c>
      <c r="CP2080" s="1" t="s">
        <v>209</v>
      </c>
      <c r="CQ2080" s="1" t="s">
        <v>210</v>
      </c>
      <c r="CS2080" s="1" t="s">
        <v>1045</v>
      </c>
      <c r="CT2080" s="1" t="s">
        <v>206</v>
      </c>
      <c r="CU2080" s="1" t="s">
        <v>207</v>
      </c>
      <c r="CW2080" s="1" t="s">
        <v>1117</v>
      </c>
      <c r="CX2080" s="1" t="s">
        <v>206</v>
      </c>
      <c r="CY2080" s="1" t="s">
        <v>207</v>
      </c>
      <c r="DA2080" s="1" t="s">
        <v>200</v>
      </c>
      <c r="DC2080" s="1" t="s">
        <v>395</v>
      </c>
      <c r="DD2080" s="1" t="s">
        <v>518</v>
      </c>
      <c r="DE2080" s="1" t="s">
        <v>273</v>
      </c>
      <c r="DF2080" s="1" t="s">
        <v>619</v>
      </c>
      <c r="DG2080" s="1" t="s">
        <v>337</v>
      </c>
      <c r="DH2080" s="1" t="s">
        <v>220</v>
      </c>
      <c r="DI2080" s="1" t="s">
        <v>519</v>
      </c>
      <c r="DJ2080" s="1" t="s">
        <v>222</v>
      </c>
      <c r="DK2080" s="1" t="s">
        <v>223</v>
      </c>
      <c r="DL2080" s="1" t="s">
        <v>223</v>
      </c>
      <c r="DM2080" s="1" t="s">
        <v>229</v>
      </c>
      <c r="DO2080" s="1" t="s">
        <v>440</v>
      </c>
      <c r="DP2080" s="1" t="s">
        <v>340</v>
      </c>
      <c r="DQ2080" s="1" t="s">
        <v>228</v>
      </c>
      <c r="DR2080" s="1" t="s">
        <v>229</v>
      </c>
      <c r="DS2080" s="1" t="s">
        <v>230</v>
      </c>
      <c r="DU2080" s="1" t="s">
        <v>1840</v>
      </c>
      <c r="DV2080" s="1" t="s">
        <v>2313</v>
      </c>
      <c r="DW2080" s="1" t="s">
        <v>279</v>
      </c>
      <c r="DX2080" s="1" t="s">
        <v>234</v>
      </c>
      <c r="DY2080" s="1" t="s">
        <v>1051</v>
      </c>
      <c r="DZ2080" s="1" t="s">
        <v>1661</v>
      </c>
      <c r="EA2080" s="1" t="s">
        <v>3308</v>
      </c>
      <c r="EB2080" s="1" t="s">
        <v>937</v>
      </c>
      <c r="EC2080" s="1" t="s">
        <v>237</v>
      </c>
      <c r="ED2080" s="1" t="s">
        <v>407</v>
      </c>
      <c r="EE2080" s="1" t="s">
        <v>493</v>
      </c>
      <c r="EG2080" s="1" t="s">
        <v>2313</v>
      </c>
      <c r="EL2080" s="1" t="s">
        <v>19661</v>
      </c>
      <c r="EM2080" s="1" t="s">
        <v>206</v>
      </c>
      <c r="EN2080" s="1" t="s">
        <v>268</v>
      </c>
      <c r="EQ2080" s="1" t="s">
        <v>238</v>
      </c>
      <c r="EU2080" s="1" t="s">
        <v>238</v>
      </c>
      <c r="EY2080" s="1" t="s">
        <v>238</v>
      </c>
      <c r="FC2080" s="1" t="s">
        <v>238</v>
      </c>
      <c r="FF2080" s="1" t="s">
        <v>239</v>
      </c>
      <c r="FG2080" s="1" t="s">
        <v>192</v>
      </c>
      <c r="FH2080" s="1" t="s">
        <v>192</v>
      </c>
      <c r="FJ2080" s="1" t="s">
        <v>9424</v>
      </c>
      <c r="FK2080" s="1" t="s">
        <v>229</v>
      </c>
      <c r="FL2080" s="1" t="s">
        <v>14066</v>
      </c>
      <c r="FM2080" s="1">
        <v>23290.0</v>
      </c>
      <c r="FN2080" s="1" t="s">
        <v>14067</v>
      </c>
      <c r="FO2080" s="1" t="s">
        <v>14068</v>
      </c>
      <c r="FP2080" s="1">
        <v>231081.0</v>
      </c>
      <c r="FQ2080" s="1" t="s">
        <v>14069</v>
      </c>
      <c r="FU2080" s="1" t="s">
        <v>19662</v>
      </c>
      <c r="FV2080" s="1" t="s">
        <v>200</v>
      </c>
      <c r="FW2080" s="1" t="s">
        <v>19663</v>
      </c>
      <c r="FZ2080" s="1" t="s">
        <v>229</v>
      </c>
      <c r="GA2080" s="1" t="s">
        <v>291</v>
      </c>
      <c r="GB2080" s="2">
        <v>42080.0</v>
      </c>
      <c r="GC2080" s="1" t="s">
        <v>19664</v>
      </c>
    </row>
    <row r="2081">
      <c r="A2081" s="1">
        <v>280000.0</v>
      </c>
      <c r="B2081" s="1" t="s">
        <v>185</v>
      </c>
      <c r="C2081" s="1" t="str">
        <f>"08729322"</f>
        <v>08729322</v>
      </c>
      <c r="D2081" s="1" t="s">
        <v>186</v>
      </c>
      <c r="F2081" s="1" t="str">
        <f>"543"</f>
        <v>543</v>
      </c>
      <c r="G2081" s="2">
        <v>41898.0</v>
      </c>
      <c r="H2081" s="1">
        <v>319900.0</v>
      </c>
      <c r="I2081" s="1">
        <v>264.0</v>
      </c>
      <c r="J2081" s="1">
        <v>299900.0</v>
      </c>
      <c r="K2081" s="2">
        <v>41950.0</v>
      </c>
      <c r="L2081" s="1">
        <v>53.0</v>
      </c>
      <c r="M2081" s="2">
        <v>41950.0</v>
      </c>
      <c r="N2081" s="1" t="s">
        <v>249</v>
      </c>
      <c r="O2081" s="2">
        <v>42060.0</v>
      </c>
      <c r="P2081" s="1">
        <v>220107.0</v>
      </c>
      <c r="Q2081" s="1">
        <v>25005.0</v>
      </c>
      <c r="S2081" s="1">
        <v>151.0</v>
      </c>
      <c r="T2081" s="1" t="s">
        <v>19665</v>
      </c>
      <c r="U2081" s="1" t="s">
        <v>569</v>
      </c>
      <c r="V2081" s="1" t="s">
        <v>1527</v>
      </c>
      <c r="W2081" s="1">
        <v>60543.0</v>
      </c>
      <c r="X2081" s="1">
        <v>9574.0</v>
      </c>
      <c r="Y2081" s="1" t="s">
        <v>19666</v>
      </c>
      <c r="Z2081" s="1">
        <v>1988.0</v>
      </c>
      <c r="AA2081" s="1" t="s">
        <v>200</v>
      </c>
      <c r="AB2081" s="1" t="s">
        <v>193</v>
      </c>
      <c r="AC2081" s="1" t="s">
        <v>15454</v>
      </c>
      <c r="AD2081" s="1" t="s">
        <v>1089</v>
      </c>
      <c r="AE2081" s="1" t="s">
        <v>849</v>
      </c>
      <c r="AF2081" s="1" t="s">
        <v>1312</v>
      </c>
      <c r="AG2081" s="1" t="s">
        <v>752</v>
      </c>
      <c r="AH2081" s="1" t="s">
        <v>19667</v>
      </c>
      <c r="AI2081" s="1">
        <v>2.077</v>
      </c>
      <c r="AK2081" s="1">
        <v>9.0</v>
      </c>
      <c r="AL2081" s="1">
        <v>4.0</v>
      </c>
      <c r="AM2081" s="1">
        <v>3.0</v>
      </c>
      <c r="AN2081" s="1">
        <v>1.0</v>
      </c>
      <c r="AO2081" s="1" t="s">
        <v>198</v>
      </c>
      <c r="AP2081" s="1">
        <v>2.0</v>
      </c>
      <c r="AQ2081" s="1" t="s">
        <v>198</v>
      </c>
      <c r="AR2081" s="1" t="s">
        <v>200</v>
      </c>
      <c r="AS2081" s="1" t="s">
        <v>199</v>
      </c>
      <c r="AT2081" s="1">
        <v>2.0</v>
      </c>
      <c r="AV2081" s="1" t="s">
        <v>200</v>
      </c>
      <c r="AW2081" s="1">
        <v>8058.92</v>
      </c>
      <c r="AX2081" s="1">
        <v>2012.0</v>
      </c>
      <c r="AY2081" s="1" t="s">
        <v>387</v>
      </c>
      <c r="AZ2081" s="1" t="s">
        <v>200</v>
      </c>
      <c r="BA2081" s="1" t="str">
        <f>"0213354003"</f>
        <v>0213354003</v>
      </c>
      <c r="BB2081" s="1" t="s">
        <v>200</v>
      </c>
      <c r="BC2081" s="1">
        <v>2978.0</v>
      </c>
      <c r="BD2081" s="1">
        <v>280000.0</v>
      </c>
      <c r="BE2081" s="2">
        <v>41898.0</v>
      </c>
      <c r="BF2081" s="2" t="s">
        <v>19668</v>
      </c>
      <c r="BG2081" s="1" t="s">
        <v>4624</v>
      </c>
      <c r="BH2081" s="1">
        <v>0.0</v>
      </c>
      <c r="BI2081" s="1" t="s">
        <v>3052</v>
      </c>
      <c r="BJ2081" s="1" t="s">
        <v>3053</v>
      </c>
      <c r="BK2081" s="1" t="s">
        <v>204</v>
      </c>
      <c r="BL2081" s="1" t="str">
        <f t="shared" ref="BL2081:BM2081" si="1365">""</f>
        <v/>
      </c>
      <c r="BM2081" s="1" t="str">
        <f t="shared" si="1365"/>
        <v/>
      </c>
      <c r="BQ2081" s="1">
        <v>115.0</v>
      </c>
      <c r="BR2081" s="1">
        <v>115.0</v>
      </c>
      <c r="BS2081" s="1">
        <v>115.0</v>
      </c>
      <c r="BU2081" s="1" t="s">
        <v>15085</v>
      </c>
      <c r="BV2081" s="1" t="s">
        <v>206</v>
      </c>
      <c r="BW2081" s="1" t="s">
        <v>210</v>
      </c>
      <c r="BY2081" s="1" t="s">
        <v>213</v>
      </c>
      <c r="BZ2081" s="1" t="s">
        <v>206</v>
      </c>
      <c r="CA2081" s="1" t="s">
        <v>210</v>
      </c>
      <c r="CB2081" s="1" t="s">
        <v>431</v>
      </c>
      <c r="CC2081" s="1" t="s">
        <v>2459</v>
      </c>
      <c r="CD2081" s="1" t="s">
        <v>206</v>
      </c>
      <c r="CE2081" s="1" t="s">
        <v>210</v>
      </c>
      <c r="CF2081" s="1" t="s">
        <v>1549</v>
      </c>
      <c r="CG2081" s="1" t="s">
        <v>1064</v>
      </c>
      <c r="CH2081" s="1" t="s">
        <v>206</v>
      </c>
      <c r="CI2081" s="1" t="s">
        <v>210</v>
      </c>
      <c r="CJ2081" s="1" t="s">
        <v>1118</v>
      </c>
      <c r="CK2081" s="1" t="s">
        <v>1352</v>
      </c>
      <c r="CL2081" s="1" t="s">
        <v>209</v>
      </c>
      <c r="CM2081" s="1" t="s">
        <v>210</v>
      </c>
      <c r="CN2081" s="1" t="s">
        <v>1118</v>
      </c>
      <c r="CO2081" s="1" t="s">
        <v>478</v>
      </c>
      <c r="CP2081" s="1" t="s">
        <v>209</v>
      </c>
      <c r="CQ2081" s="1" t="s">
        <v>210</v>
      </c>
      <c r="CR2081" s="1" t="s">
        <v>1118</v>
      </c>
      <c r="CS2081" s="1" t="s">
        <v>1395</v>
      </c>
      <c r="CT2081" s="1" t="s">
        <v>206</v>
      </c>
      <c r="CU2081" s="1" t="s">
        <v>207</v>
      </c>
      <c r="CV2081" s="1" t="s">
        <v>1118</v>
      </c>
      <c r="CX2081" s="1" t="s">
        <v>204</v>
      </c>
      <c r="DA2081" s="1" t="s">
        <v>200</v>
      </c>
      <c r="DC2081" s="1" t="s">
        <v>305</v>
      </c>
      <c r="DD2081" s="1" t="s">
        <v>336</v>
      </c>
      <c r="DE2081" s="1" t="s">
        <v>273</v>
      </c>
      <c r="DF2081" s="1" t="s">
        <v>219</v>
      </c>
      <c r="DG2081" s="1" t="s">
        <v>2237</v>
      </c>
      <c r="DH2081" s="1" t="s">
        <v>856</v>
      </c>
      <c r="DI2081" s="1" t="s">
        <v>1223</v>
      </c>
      <c r="DJ2081" s="1" t="s">
        <v>857</v>
      </c>
      <c r="DK2081" s="1" t="s">
        <v>223</v>
      </c>
      <c r="DL2081" s="1" t="s">
        <v>858</v>
      </c>
      <c r="DM2081" s="1" t="s">
        <v>338</v>
      </c>
      <c r="DN2081" s="1" t="s">
        <v>367</v>
      </c>
      <c r="DO2081" s="1" t="s">
        <v>486</v>
      </c>
      <c r="DP2081" s="1" t="s">
        <v>340</v>
      </c>
      <c r="DQ2081" s="1" t="s">
        <v>860</v>
      </c>
      <c r="DR2081" s="1" t="s">
        <v>229</v>
      </c>
      <c r="DS2081" s="1" t="s">
        <v>368</v>
      </c>
      <c r="DU2081" s="1" t="s">
        <v>231</v>
      </c>
      <c r="DV2081" s="1" t="s">
        <v>19669</v>
      </c>
      <c r="DW2081" s="1" t="s">
        <v>1820</v>
      </c>
      <c r="DX2081" s="1" t="s">
        <v>234</v>
      </c>
      <c r="DY2081" s="1" t="s">
        <v>1211</v>
      </c>
      <c r="DZ2081" s="1" t="s">
        <v>19670</v>
      </c>
      <c r="EA2081" s="1" t="s">
        <v>344</v>
      </c>
      <c r="EB2081" s="1" t="s">
        <v>19671</v>
      </c>
      <c r="EC2081" s="1" t="s">
        <v>237</v>
      </c>
      <c r="ED2081" s="1" t="s">
        <v>555</v>
      </c>
      <c r="EG2081" s="1" t="s">
        <v>450</v>
      </c>
      <c r="EH2081" s="1" t="s">
        <v>1103</v>
      </c>
      <c r="EI2081" s="1" t="s">
        <v>449</v>
      </c>
      <c r="EJ2081" s="1" t="s">
        <v>408</v>
      </c>
      <c r="EL2081" s="1" t="s">
        <v>2082</v>
      </c>
      <c r="EM2081" s="1" t="s">
        <v>42</v>
      </c>
      <c r="EN2081" s="1" t="s">
        <v>210</v>
      </c>
      <c r="EO2081" s="1" t="s">
        <v>229</v>
      </c>
      <c r="EP2081" s="1" t="s">
        <v>300</v>
      </c>
      <c r="EQ2081" s="1" t="s">
        <v>42</v>
      </c>
      <c r="ER2081" s="1" t="s">
        <v>588</v>
      </c>
      <c r="ES2081" s="1" t="s">
        <v>229</v>
      </c>
      <c r="ET2081" s="1" t="s">
        <v>1329</v>
      </c>
      <c r="EU2081" s="1" t="s">
        <v>206</v>
      </c>
      <c r="EV2081" s="1" t="s">
        <v>207</v>
      </c>
      <c r="EW2081" s="1" t="s">
        <v>431</v>
      </c>
      <c r="EX2081" s="1" t="s">
        <v>263</v>
      </c>
      <c r="EY2081" s="1" t="s">
        <v>206</v>
      </c>
      <c r="EZ2081" s="1" t="s">
        <v>207</v>
      </c>
      <c r="FA2081" s="1" t="s">
        <v>229</v>
      </c>
      <c r="FC2081" s="1" t="s">
        <v>238</v>
      </c>
      <c r="FF2081" s="1" t="s">
        <v>239</v>
      </c>
      <c r="FG2081" s="1" t="s">
        <v>192</v>
      </c>
      <c r="FH2081" s="1" t="s">
        <v>192</v>
      </c>
      <c r="FJ2081" s="1" t="s">
        <v>1573</v>
      </c>
      <c r="FK2081" s="1" t="s">
        <v>1586</v>
      </c>
      <c r="FL2081" s="1" t="s">
        <v>2580</v>
      </c>
      <c r="FM2081" s="1">
        <v>23265.0</v>
      </c>
      <c r="FN2081" s="1" t="s">
        <v>2581</v>
      </c>
      <c r="FO2081" s="1" t="s">
        <v>19672</v>
      </c>
      <c r="FP2081" s="1">
        <v>239583.0</v>
      </c>
      <c r="FQ2081" s="1" t="s">
        <v>19673</v>
      </c>
      <c r="FR2081" s="1">
        <v>232733.0</v>
      </c>
      <c r="FU2081" s="1" t="s">
        <v>710</v>
      </c>
      <c r="FV2081" s="1" t="s">
        <v>200</v>
      </c>
      <c r="FW2081" s="1" t="s">
        <v>290</v>
      </c>
      <c r="FZ2081" s="1" t="s">
        <v>632</v>
      </c>
      <c r="GA2081" s="1" t="s">
        <v>291</v>
      </c>
      <c r="GB2081" s="2">
        <v>42060.0</v>
      </c>
      <c r="GC2081" s="1" t="s">
        <v>19674</v>
      </c>
    </row>
    <row r="2082">
      <c r="A2082" s="1">
        <v>54000.0</v>
      </c>
      <c r="B2082" s="1" t="s">
        <v>185</v>
      </c>
      <c r="C2082" s="1" t="str">
        <f>"08728541"</f>
        <v>08728541</v>
      </c>
      <c r="D2082" s="1" t="s">
        <v>186</v>
      </c>
      <c r="F2082" s="1" t="str">
        <f>"8052"</f>
        <v>8052</v>
      </c>
      <c r="G2082" s="2">
        <v>41897.0</v>
      </c>
      <c r="H2082" s="1">
        <v>57000.0</v>
      </c>
      <c r="I2082" s="1">
        <v>4.0</v>
      </c>
      <c r="J2082" s="1">
        <v>57000.0</v>
      </c>
      <c r="K2082" s="2">
        <v>41900.0</v>
      </c>
      <c r="L2082" s="1">
        <v>4.0</v>
      </c>
      <c r="M2082" s="2">
        <v>41900.0</v>
      </c>
      <c r="N2082" s="1" t="s">
        <v>249</v>
      </c>
      <c r="O2082" s="2">
        <v>42047.0</v>
      </c>
      <c r="P2082" s="1">
        <v>129755.0</v>
      </c>
      <c r="Q2082" s="1">
        <v>14066.0</v>
      </c>
      <c r="S2082" s="1">
        <v>10823.0</v>
      </c>
      <c r="T2082" s="1" t="s">
        <v>19675</v>
      </c>
      <c r="V2082" s="1" t="s">
        <v>190</v>
      </c>
      <c r="W2082" s="1">
        <v>60617.0</v>
      </c>
      <c r="Y2082" s="1" t="s">
        <v>19676</v>
      </c>
      <c r="Z2082" s="1">
        <v>1950.0</v>
      </c>
      <c r="AA2082" s="1" t="s">
        <v>192</v>
      </c>
      <c r="AB2082" s="1" t="s">
        <v>193</v>
      </c>
      <c r="AD2082" s="1" t="s">
        <v>194</v>
      </c>
      <c r="AE2082" s="1" t="s">
        <v>195</v>
      </c>
      <c r="AF2082" s="1" t="s">
        <v>637</v>
      </c>
      <c r="AH2082" s="1" t="s">
        <v>359</v>
      </c>
      <c r="AI2082" s="1">
        <v>0.0</v>
      </c>
      <c r="AK2082" s="1">
        <v>7.0</v>
      </c>
      <c r="AL2082" s="1">
        <v>4.0</v>
      </c>
      <c r="AM2082" s="1">
        <v>2.0</v>
      </c>
      <c r="AN2082" s="1">
        <v>1.0</v>
      </c>
      <c r="AO2082" s="1" t="s">
        <v>229</v>
      </c>
      <c r="AQ2082" s="1" t="s">
        <v>198</v>
      </c>
      <c r="AR2082" s="1" t="s">
        <v>192</v>
      </c>
      <c r="AS2082" s="1" t="s">
        <v>199</v>
      </c>
      <c r="AT2082" s="1">
        <v>2.0</v>
      </c>
      <c r="AV2082" s="1" t="s">
        <v>200</v>
      </c>
      <c r="AW2082" s="1">
        <v>2300.0</v>
      </c>
      <c r="AX2082" s="1">
        <v>2013.0</v>
      </c>
      <c r="AY2082" s="1" t="s">
        <v>229</v>
      </c>
      <c r="AZ2082" s="1" t="s">
        <v>200</v>
      </c>
      <c r="BA2082" s="1" t="str">
        <f>"26171190280000"</f>
        <v>26171190280000</v>
      </c>
      <c r="BB2082" s="1" t="s">
        <v>200</v>
      </c>
      <c r="BC2082" s="1">
        <v>1200.0</v>
      </c>
      <c r="BD2082" s="1">
        <v>54000.0</v>
      </c>
      <c r="BE2082" s="2">
        <v>41897.0</v>
      </c>
      <c r="BF2082" s="1" t="s">
        <v>19677</v>
      </c>
      <c r="BH2082" s="1">
        <v>0.0</v>
      </c>
      <c r="BK2082" s="1" t="s">
        <v>204</v>
      </c>
      <c r="BL2082" s="1" t="str">
        <f>"0"</f>
        <v>0</v>
      </c>
      <c r="BM2082" s="1" t="str">
        <f>"3600"</f>
        <v>3600</v>
      </c>
      <c r="BN2082" s="1">
        <v>0.0</v>
      </c>
      <c r="BO2082" s="1">
        <v>10800.0</v>
      </c>
      <c r="BQ2082" s="1">
        <v>299.0</v>
      </c>
      <c r="BR2082" s="1">
        <v>299.0</v>
      </c>
      <c r="BS2082" s="1">
        <v>299.0</v>
      </c>
      <c r="BU2082" s="1" t="s">
        <v>925</v>
      </c>
      <c r="BV2082" s="1" t="s">
        <v>206</v>
      </c>
      <c r="BW2082" s="1" t="s">
        <v>210</v>
      </c>
      <c r="BY2082" s="1" t="s">
        <v>302</v>
      </c>
      <c r="BZ2082" s="1" t="s">
        <v>206</v>
      </c>
      <c r="CA2082" s="1" t="s">
        <v>207</v>
      </c>
      <c r="CD2082" s="1" t="s">
        <v>204</v>
      </c>
      <c r="CG2082" s="1" t="s">
        <v>699</v>
      </c>
      <c r="CH2082" s="1" t="s">
        <v>206</v>
      </c>
      <c r="CI2082" s="1" t="s">
        <v>210</v>
      </c>
      <c r="CK2082" s="1" t="s">
        <v>2082</v>
      </c>
      <c r="CL2082" s="1" t="s">
        <v>209</v>
      </c>
      <c r="CO2082" s="1" t="s">
        <v>302</v>
      </c>
      <c r="CP2082" s="1" t="s">
        <v>209</v>
      </c>
      <c r="CS2082" s="1" t="s">
        <v>332</v>
      </c>
      <c r="CT2082" s="1" t="s">
        <v>206</v>
      </c>
      <c r="CU2082" s="1" t="s">
        <v>268</v>
      </c>
      <c r="CW2082" s="1" t="s">
        <v>7781</v>
      </c>
      <c r="CX2082" s="1" t="s">
        <v>42</v>
      </c>
      <c r="DA2082" s="1" t="s">
        <v>200</v>
      </c>
      <c r="DC2082" s="1" t="s">
        <v>702</v>
      </c>
      <c r="DE2082" s="1" t="s">
        <v>273</v>
      </c>
      <c r="DF2082" s="1" t="s">
        <v>219</v>
      </c>
      <c r="DG2082" s="1" t="s">
        <v>2311</v>
      </c>
      <c r="DH2082" s="1" t="s">
        <v>307</v>
      </c>
      <c r="DJ2082" s="1" t="s">
        <v>222</v>
      </c>
      <c r="DK2082" s="1" t="s">
        <v>1570</v>
      </c>
      <c r="DL2082" s="1" t="s">
        <v>858</v>
      </c>
      <c r="DM2082" s="1" t="s">
        <v>229</v>
      </c>
      <c r="DQ2082" s="1" t="s">
        <v>718</v>
      </c>
      <c r="DR2082" s="1" t="s">
        <v>229</v>
      </c>
      <c r="DS2082" s="1" t="s">
        <v>230</v>
      </c>
      <c r="DV2082" s="1" t="s">
        <v>232</v>
      </c>
      <c r="DW2082" s="1" t="s">
        <v>279</v>
      </c>
      <c r="DX2082" s="1" t="s">
        <v>1287</v>
      </c>
      <c r="EC2082" s="1" t="s">
        <v>645</v>
      </c>
      <c r="EE2082" s="1" t="s">
        <v>1673</v>
      </c>
      <c r="EM2082" s="1" t="s">
        <v>238</v>
      </c>
      <c r="EQ2082" s="1" t="s">
        <v>238</v>
      </c>
      <c r="EU2082" s="1" t="s">
        <v>238</v>
      </c>
      <c r="EY2082" s="1" t="s">
        <v>238</v>
      </c>
      <c r="FC2082" s="1" t="s">
        <v>238</v>
      </c>
      <c r="FF2082" s="1" t="s">
        <v>239</v>
      </c>
      <c r="FG2082" s="1" t="s">
        <v>192</v>
      </c>
      <c r="FH2082" s="1" t="s">
        <v>192</v>
      </c>
      <c r="FJ2082" s="1" t="s">
        <v>524</v>
      </c>
      <c r="FK2082" s="1" t="s">
        <v>1586</v>
      </c>
      <c r="FL2082" s="1" t="s">
        <v>7447</v>
      </c>
      <c r="FM2082" s="1">
        <v>14066.0</v>
      </c>
      <c r="FN2082" s="1" t="s">
        <v>7448</v>
      </c>
      <c r="FO2082" s="1" t="s">
        <v>7449</v>
      </c>
      <c r="FP2082" s="1">
        <v>129751.0</v>
      </c>
      <c r="FQ2082" s="1" t="s">
        <v>7448</v>
      </c>
      <c r="FS2082" s="1" t="s">
        <v>7450</v>
      </c>
      <c r="FU2082" s="1" t="s">
        <v>19678</v>
      </c>
      <c r="FV2082" s="1" t="s">
        <v>200</v>
      </c>
      <c r="FW2082" s="1" t="s">
        <v>1511</v>
      </c>
      <c r="FX2082" s="1" t="s">
        <v>655</v>
      </c>
      <c r="FZ2082" s="1" t="s">
        <v>229</v>
      </c>
      <c r="GA2082" s="1" t="s">
        <v>291</v>
      </c>
      <c r="GB2082" s="2">
        <v>42047.0</v>
      </c>
      <c r="GC2082" s="1" t="s">
        <v>3170</v>
      </c>
    </row>
    <row r="2083">
      <c r="A2083" s="1">
        <v>255000.0</v>
      </c>
      <c r="B2083" s="1" t="s">
        <v>185</v>
      </c>
      <c r="C2083" s="1" t="str">
        <f>"08734434"</f>
        <v>08734434</v>
      </c>
      <c r="D2083" s="1" t="s">
        <v>186</v>
      </c>
      <c r="F2083" s="1" t="str">
        <f>"134"</f>
        <v>134</v>
      </c>
      <c r="G2083" s="2">
        <v>41904.0</v>
      </c>
      <c r="H2083" s="1">
        <v>275000.0</v>
      </c>
      <c r="I2083" s="1">
        <v>134.0</v>
      </c>
      <c r="J2083" s="1">
        <v>266900.0</v>
      </c>
      <c r="K2083" s="2">
        <v>41946.0</v>
      </c>
      <c r="L2083" s="1">
        <v>43.0</v>
      </c>
      <c r="M2083" s="2">
        <v>41946.0</v>
      </c>
      <c r="N2083" s="1" t="s">
        <v>187</v>
      </c>
      <c r="O2083" s="2">
        <v>41984.0</v>
      </c>
      <c r="P2083" s="1">
        <v>879525.0</v>
      </c>
      <c r="Q2083" s="1">
        <v>7450.0</v>
      </c>
      <c r="S2083" s="1">
        <v>2991.0</v>
      </c>
      <c r="T2083" s="1" t="s">
        <v>9921</v>
      </c>
      <c r="U2083" s="1" t="s">
        <v>1174</v>
      </c>
      <c r="V2083" s="1" t="s">
        <v>421</v>
      </c>
      <c r="W2083" s="1">
        <v>60134.0</v>
      </c>
      <c r="Y2083" s="1" t="s">
        <v>19679</v>
      </c>
      <c r="Z2083" s="1">
        <v>2000.0</v>
      </c>
      <c r="AA2083" s="1" t="s">
        <v>200</v>
      </c>
      <c r="AB2083" s="1" t="s">
        <v>467</v>
      </c>
      <c r="AC2083" s="1" t="s">
        <v>7489</v>
      </c>
      <c r="AD2083" s="1" t="s">
        <v>424</v>
      </c>
      <c r="AE2083" s="1" t="s">
        <v>325</v>
      </c>
      <c r="AF2083" s="1" t="s">
        <v>424</v>
      </c>
      <c r="AG2083" s="1" t="s">
        <v>7490</v>
      </c>
      <c r="AH2083" s="1" t="s">
        <v>19680</v>
      </c>
      <c r="AI2083" s="1">
        <v>0.2</v>
      </c>
      <c r="AK2083" s="1">
        <v>9.0</v>
      </c>
      <c r="AL2083" s="1">
        <v>4.0</v>
      </c>
      <c r="AM2083" s="1">
        <v>2.0</v>
      </c>
      <c r="AN2083" s="1">
        <v>1.0</v>
      </c>
      <c r="AO2083" s="1" t="s">
        <v>198</v>
      </c>
      <c r="AQ2083" s="1" t="s">
        <v>198</v>
      </c>
      <c r="AR2083" s="1" t="s">
        <v>200</v>
      </c>
      <c r="AS2083" s="1" t="s">
        <v>199</v>
      </c>
      <c r="AT2083" s="1">
        <v>2.0</v>
      </c>
      <c r="AV2083" s="1" t="s">
        <v>200</v>
      </c>
      <c r="AW2083" s="1">
        <v>8561.08</v>
      </c>
      <c r="AX2083" s="1">
        <v>2013.0</v>
      </c>
      <c r="AY2083" s="1" t="s">
        <v>387</v>
      </c>
      <c r="AZ2083" s="1" t="s">
        <v>545</v>
      </c>
      <c r="BA2083" s="1" t="str">
        <f>"1205404010"</f>
        <v>1205404010</v>
      </c>
      <c r="BB2083" s="1" t="s">
        <v>200</v>
      </c>
      <c r="BC2083" s="1">
        <v>2420.0</v>
      </c>
      <c r="BD2083" s="1">
        <v>255000.0</v>
      </c>
      <c r="BE2083" s="2">
        <v>41904.0</v>
      </c>
      <c r="BF2083" s="2" t="s">
        <v>19681</v>
      </c>
      <c r="BH2083" s="1">
        <v>95.0</v>
      </c>
      <c r="BK2083" s="1" t="s">
        <v>580</v>
      </c>
      <c r="BL2083" s="1" t="str">
        <f t="shared" ref="BL2083:BM2083" si="1366">""</f>
        <v/>
      </c>
      <c r="BM2083" s="1" t="str">
        <f t="shared" si="1366"/>
        <v/>
      </c>
      <c r="BQ2083" s="1">
        <v>304.0</v>
      </c>
      <c r="BR2083" s="1">
        <v>304.0</v>
      </c>
      <c r="BS2083" s="1">
        <v>304.0</v>
      </c>
      <c r="BU2083" s="1" t="s">
        <v>329</v>
      </c>
      <c r="BV2083" s="1" t="s">
        <v>206</v>
      </c>
      <c r="BW2083" s="1" t="s">
        <v>210</v>
      </c>
      <c r="BY2083" s="1" t="s">
        <v>616</v>
      </c>
      <c r="BZ2083" s="1" t="s">
        <v>209</v>
      </c>
      <c r="CA2083" s="1" t="s">
        <v>210</v>
      </c>
      <c r="CC2083" s="1" t="s">
        <v>331</v>
      </c>
      <c r="CD2083" s="1" t="s">
        <v>206</v>
      </c>
      <c r="CE2083" s="1" t="s">
        <v>210</v>
      </c>
      <c r="CG2083" s="1" t="s">
        <v>332</v>
      </c>
      <c r="CH2083" s="1" t="s">
        <v>209</v>
      </c>
      <c r="CI2083" s="1" t="s">
        <v>210</v>
      </c>
      <c r="CK2083" s="1" t="s">
        <v>212</v>
      </c>
      <c r="CL2083" s="1" t="s">
        <v>209</v>
      </c>
      <c r="CM2083" s="1" t="s">
        <v>210</v>
      </c>
      <c r="CO2083" s="1" t="s">
        <v>269</v>
      </c>
      <c r="CP2083" s="1" t="s">
        <v>209</v>
      </c>
      <c r="CQ2083" s="1" t="s">
        <v>210</v>
      </c>
      <c r="CS2083" s="1" t="s">
        <v>453</v>
      </c>
      <c r="CT2083" s="1" t="s">
        <v>206</v>
      </c>
      <c r="CU2083" s="1" t="s">
        <v>617</v>
      </c>
      <c r="CW2083" s="1" t="s">
        <v>333</v>
      </c>
      <c r="CX2083" s="1" t="s">
        <v>206</v>
      </c>
      <c r="CY2083" s="1" t="s">
        <v>210</v>
      </c>
      <c r="DA2083" s="1" t="s">
        <v>200</v>
      </c>
      <c r="DC2083" s="1" t="s">
        <v>335</v>
      </c>
      <c r="DD2083" s="1" t="s">
        <v>436</v>
      </c>
      <c r="DE2083" s="1" t="s">
        <v>273</v>
      </c>
      <c r="DF2083" s="1" t="s">
        <v>219</v>
      </c>
      <c r="DH2083" s="1" t="s">
        <v>220</v>
      </c>
      <c r="DJ2083" s="1" t="s">
        <v>222</v>
      </c>
      <c r="DL2083" s="1" t="s">
        <v>3611</v>
      </c>
      <c r="DM2083" s="1" t="s">
        <v>229</v>
      </c>
      <c r="DN2083" s="1" t="s">
        <v>1023</v>
      </c>
      <c r="DP2083" s="1" t="s">
        <v>340</v>
      </c>
      <c r="DQ2083" s="1" t="s">
        <v>228</v>
      </c>
      <c r="DR2083" s="1" t="s">
        <v>588</v>
      </c>
      <c r="DS2083" s="1" t="s">
        <v>230</v>
      </c>
      <c r="DV2083" s="1" t="s">
        <v>594</v>
      </c>
      <c r="DW2083" s="1" t="s">
        <v>233</v>
      </c>
      <c r="DX2083" s="1" t="s">
        <v>234</v>
      </c>
      <c r="DY2083" s="1" t="s">
        <v>7854</v>
      </c>
      <c r="EC2083" s="1" t="s">
        <v>237</v>
      </c>
      <c r="EG2083" s="1" t="s">
        <v>598</v>
      </c>
      <c r="EH2083" s="1" t="s">
        <v>408</v>
      </c>
      <c r="EL2083" s="1" t="s">
        <v>497</v>
      </c>
      <c r="EM2083" s="1" t="s">
        <v>206</v>
      </c>
      <c r="EN2083" s="1" t="s">
        <v>210</v>
      </c>
      <c r="EP2083" s="1" t="s">
        <v>940</v>
      </c>
      <c r="EQ2083" s="1" t="s">
        <v>206</v>
      </c>
      <c r="ER2083" s="1" t="s">
        <v>207</v>
      </c>
      <c r="EU2083" s="1" t="s">
        <v>238</v>
      </c>
      <c r="EY2083" s="1" t="s">
        <v>238</v>
      </c>
      <c r="FC2083" s="1" t="s">
        <v>238</v>
      </c>
      <c r="FF2083" s="1" t="s">
        <v>239</v>
      </c>
      <c r="FG2083" s="1" t="s">
        <v>192</v>
      </c>
      <c r="FH2083" s="1" t="s">
        <v>192</v>
      </c>
      <c r="FJ2083" s="1" t="s">
        <v>1248</v>
      </c>
      <c r="FK2083" s="1" t="s">
        <v>229</v>
      </c>
      <c r="FL2083" s="1" t="s">
        <v>2184</v>
      </c>
      <c r="FM2083" s="1">
        <v>605.0</v>
      </c>
      <c r="FN2083" s="1" t="s">
        <v>2185</v>
      </c>
      <c r="FO2083" s="1" t="s">
        <v>1738</v>
      </c>
      <c r="FP2083" s="1">
        <v>170.0</v>
      </c>
      <c r="FQ2083" s="1" t="s">
        <v>2185</v>
      </c>
      <c r="FR2083" s="1">
        <v>40.0</v>
      </c>
      <c r="FS2083" s="1" t="s">
        <v>3468</v>
      </c>
      <c r="FU2083" s="1" t="s">
        <v>3469</v>
      </c>
      <c r="FV2083" s="1" t="s">
        <v>200</v>
      </c>
      <c r="FW2083" s="1" t="s">
        <v>354</v>
      </c>
      <c r="FZ2083" s="1" t="s">
        <v>229</v>
      </c>
      <c r="GA2083" s="1" t="s">
        <v>291</v>
      </c>
      <c r="GB2083" s="2">
        <v>41984.0</v>
      </c>
      <c r="GC2083" s="1" t="s">
        <v>19682</v>
      </c>
    </row>
    <row r="2084">
      <c r="A2084" s="1">
        <v>24000.0</v>
      </c>
      <c r="B2084" s="1" t="s">
        <v>185</v>
      </c>
      <c r="C2084" s="1" t="str">
        <f>"08730000"</f>
        <v>08730000</v>
      </c>
      <c r="D2084" s="1" t="s">
        <v>186</v>
      </c>
      <c r="F2084" s="1" t="str">
        <f>"8061"</f>
        <v>8061</v>
      </c>
      <c r="G2084" s="2">
        <v>41898.0</v>
      </c>
      <c r="H2084" s="1">
        <v>36900.0</v>
      </c>
      <c r="I2084" s="1">
        <v>100.0</v>
      </c>
      <c r="J2084" s="1">
        <v>29889.0</v>
      </c>
      <c r="K2084" s="2">
        <v>41997.0</v>
      </c>
      <c r="L2084" s="1">
        <v>100.0</v>
      </c>
      <c r="M2084" s="2">
        <v>41997.0</v>
      </c>
      <c r="N2084" s="1" t="s">
        <v>249</v>
      </c>
      <c r="O2084" s="2">
        <v>42025.0</v>
      </c>
      <c r="P2084" s="1">
        <v>151642.0</v>
      </c>
      <c r="Q2084" s="1">
        <v>14856.0</v>
      </c>
      <c r="S2084" s="1">
        <v>2129.0</v>
      </c>
      <c r="T2084" s="1" t="s">
        <v>19466</v>
      </c>
      <c r="U2084" s="1" t="s">
        <v>694</v>
      </c>
      <c r="V2084" s="1" t="s">
        <v>190</v>
      </c>
      <c r="W2084" s="1">
        <v>60609.0</v>
      </c>
      <c r="Y2084" s="1" t="s">
        <v>19683</v>
      </c>
      <c r="Z2084" s="1">
        <v>1915.0</v>
      </c>
      <c r="AA2084" s="1" t="s">
        <v>192</v>
      </c>
      <c r="AB2084" s="1" t="s">
        <v>193</v>
      </c>
      <c r="AD2084" s="1" t="s">
        <v>194</v>
      </c>
      <c r="AE2084" s="1" t="s">
        <v>195</v>
      </c>
      <c r="AF2084" s="1" t="s">
        <v>659</v>
      </c>
      <c r="AH2084" s="1">
        <v>3750.0</v>
      </c>
      <c r="AK2084" s="1">
        <v>7.0</v>
      </c>
      <c r="AL2084" s="1">
        <v>4.0</v>
      </c>
      <c r="AM2084" s="1">
        <v>1.0</v>
      </c>
      <c r="AN2084" s="1">
        <v>0.0</v>
      </c>
      <c r="AO2084" s="1" t="s">
        <v>229</v>
      </c>
      <c r="AQ2084" s="1" t="s">
        <v>198</v>
      </c>
      <c r="AR2084" s="1" t="s">
        <v>200</v>
      </c>
      <c r="AS2084" s="1" t="s">
        <v>229</v>
      </c>
      <c r="AV2084" s="1" t="s">
        <v>200</v>
      </c>
      <c r="AW2084" s="1">
        <v>1466.86</v>
      </c>
      <c r="AX2084" s="1">
        <v>2013.0</v>
      </c>
      <c r="AZ2084" s="1" t="s">
        <v>545</v>
      </c>
      <c r="BA2084" s="1" t="str">
        <f>"20073210080000"</f>
        <v>20073210080000</v>
      </c>
      <c r="BC2084" s="1">
        <v>990.0</v>
      </c>
      <c r="BD2084" s="1">
        <v>24000.0</v>
      </c>
      <c r="BE2084" s="2">
        <v>41898.0</v>
      </c>
      <c r="BF2084" s="1" t="s">
        <v>19684</v>
      </c>
      <c r="BH2084" s="1">
        <v>0.0</v>
      </c>
      <c r="BK2084" s="1" t="s">
        <v>204</v>
      </c>
      <c r="BL2084" s="1" t="str">
        <f t="shared" ref="BL2084:BM2084" si="1367">"0"</f>
        <v>0</v>
      </c>
      <c r="BM2084" s="1" t="str">
        <f t="shared" si="1367"/>
        <v>0</v>
      </c>
      <c r="BN2084" s="1">
        <v>2129.0</v>
      </c>
      <c r="BO2084" s="1">
        <v>5400.0</v>
      </c>
      <c r="BQ2084" s="1">
        <v>299.0</v>
      </c>
      <c r="BR2084" s="1">
        <v>299.0</v>
      </c>
      <c r="BS2084" s="1">
        <v>299.0</v>
      </c>
      <c r="BU2084" s="1" t="s">
        <v>478</v>
      </c>
      <c r="BV2084" s="1" t="s">
        <v>206</v>
      </c>
      <c r="BY2084" s="1" t="s">
        <v>363</v>
      </c>
      <c r="BZ2084" s="1" t="s">
        <v>206</v>
      </c>
      <c r="CC2084" s="1" t="s">
        <v>663</v>
      </c>
      <c r="CD2084" s="1" t="s">
        <v>206</v>
      </c>
      <c r="CG2084" s="1" t="s">
        <v>363</v>
      </c>
      <c r="CH2084" s="1" t="s">
        <v>206</v>
      </c>
      <c r="CK2084" s="1" t="s">
        <v>699</v>
      </c>
      <c r="CL2084" s="1" t="s">
        <v>206</v>
      </c>
      <c r="CO2084" s="1" t="s">
        <v>743</v>
      </c>
      <c r="CP2084" s="1" t="s">
        <v>209</v>
      </c>
      <c r="CS2084" s="1" t="s">
        <v>264</v>
      </c>
      <c r="CT2084" s="1" t="s">
        <v>206</v>
      </c>
      <c r="CX2084" s="1" t="s">
        <v>204</v>
      </c>
      <c r="DA2084" s="1" t="s">
        <v>200</v>
      </c>
      <c r="DC2084" s="1" t="s">
        <v>216</v>
      </c>
      <c r="DD2084" s="1" t="s">
        <v>518</v>
      </c>
      <c r="DE2084" s="1" t="s">
        <v>229</v>
      </c>
      <c r="DF2084" s="1" t="s">
        <v>588</v>
      </c>
      <c r="DH2084" s="1" t="s">
        <v>220</v>
      </c>
      <c r="DJ2084" s="1" t="s">
        <v>222</v>
      </c>
      <c r="DL2084" s="1" t="s">
        <v>223</v>
      </c>
      <c r="DM2084" s="1" t="s">
        <v>229</v>
      </c>
      <c r="DQ2084" s="1" t="s">
        <v>228</v>
      </c>
      <c r="DR2084" s="1" t="s">
        <v>229</v>
      </c>
      <c r="DV2084" s="1" t="s">
        <v>232</v>
      </c>
      <c r="DW2084" s="1" t="s">
        <v>667</v>
      </c>
      <c r="DX2084" s="1" t="s">
        <v>234</v>
      </c>
      <c r="EC2084" s="1" t="s">
        <v>645</v>
      </c>
      <c r="EM2084" s="1" t="s">
        <v>238</v>
      </c>
      <c r="EQ2084" s="1" t="s">
        <v>238</v>
      </c>
      <c r="EU2084" s="1" t="s">
        <v>238</v>
      </c>
      <c r="EY2084" s="1" t="s">
        <v>238</v>
      </c>
      <c r="FC2084" s="1" t="s">
        <v>238</v>
      </c>
      <c r="FF2084" s="1" t="s">
        <v>239</v>
      </c>
      <c r="FG2084" s="1" t="s">
        <v>192</v>
      </c>
      <c r="FH2084" s="1" t="s">
        <v>192</v>
      </c>
      <c r="FJ2084" s="1" t="s">
        <v>770</v>
      </c>
      <c r="FK2084" s="1" t="s">
        <v>229</v>
      </c>
      <c r="FL2084" s="1" t="s">
        <v>11622</v>
      </c>
      <c r="FM2084" s="1">
        <v>16339.0</v>
      </c>
      <c r="FN2084" s="1" t="s">
        <v>11623</v>
      </c>
      <c r="FO2084" s="1" t="s">
        <v>11624</v>
      </c>
      <c r="FP2084" s="1">
        <v>106496.0</v>
      </c>
      <c r="FR2084" s="1">
        <v>165879.0</v>
      </c>
      <c r="FU2084" s="1" t="s">
        <v>19685</v>
      </c>
      <c r="FV2084" s="1" t="s">
        <v>200</v>
      </c>
      <c r="FW2084" s="1" t="s">
        <v>19686</v>
      </c>
      <c r="FX2084" s="1" t="s">
        <v>246</v>
      </c>
      <c r="FZ2084" s="1" t="s">
        <v>229</v>
      </c>
      <c r="GA2084" s="1" t="s">
        <v>291</v>
      </c>
      <c r="GB2084" s="2">
        <v>42025.0</v>
      </c>
      <c r="GC2084" s="1" t="s">
        <v>19687</v>
      </c>
    </row>
    <row r="2085">
      <c r="A2085" s="1">
        <v>205000.0</v>
      </c>
      <c r="B2085" s="1" t="s">
        <v>185</v>
      </c>
      <c r="C2085" s="1" t="str">
        <f>"08735485"</f>
        <v>08735485</v>
      </c>
      <c r="D2085" s="1" t="s">
        <v>186</v>
      </c>
      <c r="F2085" s="1" t="str">
        <f>"8057"</f>
        <v>8057</v>
      </c>
      <c r="G2085" s="2">
        <v>41905.0</v>
      </c>
      <c r="H2085" s="1">
        <v>224900.0</v>
      </c>
      <c r="I2085" s="1">
        <v>49.0</v>
      </c>
      <c r="J2085" s="1">
        <v>220000.0</v>
      </c>
      <c r="K2085" s="2">
        <v>41953.0</v>
      </c>
      <c r="L2085" s="1">
        <v>49.0</v>
      </c>
      <c r="M2085" s="2">
        <v>41953.0</v>
      </c>
      <c r="N2085" s="1" t="s">
        <v>187</v>
      </c>
      <c r="O2085" s="2">
        <v>41985.0</v>
      </c>
      <c r="P2085" s="1">
        <v>139559.0</v>
      </c>
      <c r="Q2085" s="1">
        <v>10274.0</v>
      </c>
      <c r="S2085" s="1">
        <v>4801.0</v>
      </c>
      <c r="T2085" s="1" t="s">
        <v>5076</v>
      </c>
      <c r="U2085" s="1" t="s">
        <v>189</v>
      </c>
      <c r="V2085" s="1" t="s">
        <v>190</v>
      </c>
      <c r="W2085" s="1">
        <v>60632.0</v>
      </c>
      <c r="X2085" s="1">
        <v>4437.0</v>
      </c>
      <c r="Y2085" s="1" t="s">
        <v>19688</v>
      </c>
      <c r="Z2085" s="1">
        <v>1950.0</v>
      </c>
      <c r="AA2085" s="1" t="s">
        <v>192</v>
      </c>
      <c r="AB2085" s="1" t="s">
        <v>193</v>
      </c>
      <c r="AD2085" s="1" t="s">
        <v>194</v>
      </c>
      <c r="AE2085" s="1" t="s">
        <v>195</v>
      </c>
      <c r="AF2085" s="1" t="s">
        <v>659</v>
      </c>
      <c r="AG2085" s="1" t="s">
        <v>1392</v>
      </c>
      <c r="AH2085" s="1" t="s">
        <v>19689</v>
      </c>
      <c r="AI2085" s="1">
        <v>0.083</v>
      </c>
      <c r="AK2085" s="1">
        <v>8.0</v>
      </c>
      <c r="AL2085" s="1">
        <v>3.0</v>
      </c>
      <c r="AM2085" s="1">
        <v>3.0</v>
      </c>
      <c r="AN2085" s="1">
        <v>0.0</v>
      </c>
      <c r="AO2085" s="1" t="s">
        <v>229</v>
      </c>
      <c r="AQ2085" s="1" t="s">
        <v>198</v>
      </c>
      <c r="AR2085" s="1" t="s">
        <v>200</v>
      </c>
      <c r="AS2085" s="1" t="s">
        <v>199</v>
      </c>
      <c r="AT2085" s="1">
        <v>2.0</v>
      </c>
      <c r="AV2085" s="1" t="s">
        <v>200</v>
      </c>
      <c r="AW2085" s="1">
        <v>711.15</v>
      </c>
      <c r="AX2085" s="1">
        <v>2012.0</v>
      </c>
      <c r="AY2085" s="1" t="s">
        <v>1917</v>
      </c>
      <c r="AZ2085" s="1" t="s">
        <v>200</v>
      </c>
      <c r="BA2085" s="1" t="str">
        <f>"19102080410000"</f>
        <v>19102080410000</v>
      </c>
      <c r="BB2085" s="1" t="s">
        <v>200</v>
      </c>
      <c r="BC2085" s="1">
        <v>1400.0</v>
      </c>
      <c r="BD2085" s="1">
        <v>205000.0</v>
      </c>
      <c r="BE2085" s="2">
        <v>41905.0</v>
      </c>
      <c r="BF2085" s="2" t="s">
        <v>19690</v>
      </c>
      <c r="BH2085" s="1">
        <v>0.0</v>
      </c>
      <c r="BK2085" s="1" t="s">
        <v>204</v>
      </c>
      <c r="BL2085" s="1" t="str">
        <f t="shared" ref="BL2085:BM2085" si="1368">"0"</f>
        <v>0</v>
      </c>
      <c r="BM2085" s="1" t="str">
        <f t="shared" si="1368"/>
        <v>0</v>
      </c>
      <c r="BN2085" s="1">
        <v>4400.0</v>
      </c>
      <c r="BO2085" s="1">
        <v>4800.0</v>
      </c>
      <c r="BQ2085" s="1">
        <v>299.0</v>
      </c>
      <c r="BR2085" s="1">
        <v>299.0</v>
      </c>
      <c r="BS2085" s="1">
        <v>299.0</v>
      </c>
      <c r="BU2085" s="1" t="s">
        <v>925</v>
      </c>
      <c r="BV2085" s="1" t="s">
        <v>206</v>
      </c>
      <c r="BW2085" s="1" t="s">
        <v>207</v>
      </c>
      <c r="BX2085" s="1" t="s">
        <v>239</v>
      </c>
      <c r="BY2085" s="1" t="s">
        <v>212</v>
      </c>
      <c r="BZ2085" s="1" t="s">
        <v>206</v>
      </c>
      <c r="CA2085" s="1" t="s">
        <v>207</v>
      </c>
      <c r="CB2085" s="1" t="s">
        <v>239</v>
      </c>
      <c r="CC2085" s="1" t="s">
        <v>478</v>
      </c>
      <c r="CD2085" s="1" t="s">
        <v>206</v>
      </c>
      <c r="CE2085" s="1" t="s">
        <v>207</v>
      </c>
      <c r="CF2085" s="1" t="s">
        <v>239</v>
      </c>
      <c r="CG2085" s="1" t="s">
        <v>302</v>
      </c>
      <c r="CH2085" s="1" t="s">
        <v>209</v>
      </c>
      <c r="CI2085" s="1" t="s">
        <v>210</v>
      </c>
      <c r="CJ2085" s="1" t="s">
        <v>239</v>
      </c>
      <c r="CK2085" s="1" t="s">
        <v>212</v>
      </c>
      <c r="CL2085" s="1" t="s">
        <v>209</v>
      </c>
      <c r="CM2085" s="1" t="s">
        <v>210</v>
      </c>
      <c r="CN2085" s="1" t="s">
        <v>239</v>
      </c>
      <c r="CO2085" s="1" t="s">
        <v>363</v>
      </c>
      <c r="CP2085" s="1" t="s">
        <v>42</v>
      </c>
      <c r="CQ2085" s="1" t="s">
        <v>210</v>
      </c>
      <c r="CR2085" s="1" t="s">
        <v>239</v>
      </c>
      <c r="CS2085" s="1" t="s">
        <v>212</v>
      </c>
      <c r="CT2085" s="1" t="s">
        <v>206</v>
      </c>
      <c r="CU2085" s="1" t="s">
        <v>207</v>
      </c>
      <c r="CV2085" s="1" t="s">
        <v>239</v>
      </c>
      <c r="CW2085" s="1" t="s">
        <v>1001</v>
      </c>
      <c r="CX2085" s="1" t="s">
        <v>42</v>
      </c>
      <c r="CY2085" s="1" t="s">
        <v>268</v>
      </c>
      <c r="CZ2085" s="1" t="s">
        <v>239</v>
      </c>
      <c r="DA2085" s="1" t="s">
        <v>200</v>
      </c>
      <c r="DC2085" s="1" t="s">
        <v>702</v>
      </c>
      <c r="DE2085" s="1" t="s">
        <v>2851</v>
      </c>
      <c r="DF2085" s="1" t="s">
        <v>219</v>
      </c>
      <c r="DG2085" s="1" t="s">
        <v>482</v>
      </c>
      <c r="DH2085" s="1" t="s">
        <v>220</v>
      </c>
      <c r="DJ2085" s="1" t="s">
        <v>222</v>
      </c>
      <c r="DK2085" s="1" t="s">
        <v>19691</v>
      </c>
      <c r="DL2085" s="1" t="s">
        <v>224</v>
      </c>
      <c r="DM2085" s="1" t="s">
        <v>792</v>
      </c>
      <c r="DO2085" s="1" t="s">
        <v>1004</v>
      </c>
      <c r="DQ2085" s="1" t="s">
        <v>228</v>
      </c>
      <c r="DR2085" s="1" t="s">
        <v>229</v>
      </c>
      <c r="DS2085" s="1" t="s">
        <v>230</v>
      </c>
      <c r="DU2085" s="1" t="s">
        <v>12035</v>
      </c>
      <c r="DV2085" s="1" t="s">
        <v>232</v>
      </c>
      <c r="DW2085" s="1" t="s">
        <v>279</v>
      </c>
      <c r="DX2085" s="1" t="s">
        <v>234</v>
      </c>
      <c r="DY2085" s="1" t="s">
        <v>2240</v>
      </c>
      <c r="EA2085" s="1" t="s">
        <v>1075</v>
      </c>
      <c r="EC2085" s="1" t="s">
        <v>645</v>
      </c>
      <c r="EM2085" s="1" t="s">
        <v>238</v>
      </c>
      <c r="EQ2085" s="1" t="s">
        <v>238</v>
      </c>
      <c r="EU2085" s="1" t="s">
        <v>238</v>
      </c>
      <c r="EY2085" s="1" t="s">
        <v>238</v>
      </c>
      <c r="FC2085" s="1" t="s">
        <v>238</v>
      </c>
      <c r="FF2085" s="1" t="s">
        <v>239</v>
      </c>
      <c r="FG2085" s="1" t="s">
        <v>192</v>
      </c>
      <c r="FH2085" s="1" t="s">
        <v>192</v>
      </c>
      <c r="FJ2085" s="1" t="s">
        <v>285</v>
      </c>
      <c r="FK2085" s="1" t="s">
        <v>229</v>
      </c>
      <c r="FL2085" s="1" t="s">
        <v>456</v>
      </c>
      <c r="FM2085" s="1">
        <v>60021.0</v>
      </c>
      <c r="FN2085" s="1" t="s">
        <v>2170</v>
      </c>
      <c r="FO2085" s="1" t="s">
        <v>19692</v>
      </c>
      <c r="FP2085" s="1">
        <v>241166.0</v>
      </c>
      <c r="FQ2085" s="1" t="s">
        <v>19693</v>
      </c>
      <c r="FU2085" s="1" t="s">
        <v>19694</v>
      </c>
      <c r="FV2085" s="1" t="s">
        <v>192</v>
      </c>
      <c r="FW2085" s="1" t="s">
        <v>530</v>
      </c>
      <c r="FX2085" s="1" t="s">
        <v>655</v>
      </c>
      <c r="FZ2085" s="1" t="s">
        <v>229</v>
      </c>
      <c r="GA2085" s="1" t="s">
        <v>291</v>
      </c>
      <c r="GB2085" s="2">
        <v>41985.0</v>
      </c>
    </row>
    <row r="2086">
      <c r="A2086" s="1">
        <v>125000.0</v>
      </c>
      <c r="B2086" s="1" t="s">
        <v>185</v>
      </c>
      <c r="C2086" s="1" t="str">
        <f>"08734033"</f>
        <v>08734033</v>
      </c>
      <c r="D2086" s="1" t="s">
        <v>186</v>
      </c>
      <c r="F2086" s="1" t="str">
        <f>"8022"</f>
        <v>8022</v>
      </c>
      <c r="G2086" s="2">
        <v>41903.0</v>
      </c>
      <c r="H2086" s="1">
        <v>145600.0</v>
      </c>
      <c r="I2086" s="1">
        <v>137.0</v>
      </c>
      <c r="J2086" s="1">
        <v>131500.0</v>
      </c>
      <c r="K2086" s="2">
        <v>42038.0</v>
      </c>
      <c r="L2086" s="1">
        <v>137.0</v>
      </c>
      <c r="M2086" s="2">
        <v>42038.0</v>
      </c>
      <c r="N2086" s="1" t="s">
        <v>249</v>
      </c>
      <c r="O2086" s="2">
        <v>42059.0</v>
      </c>
      <c r="P2086" s="1">
        <v>859124.0</v>
      </c>
      <c r="Q2086" s="1">
        <v>16734.0</v>
      </c>
      <c r="S2086" s="1">
        <v>3555.0</v>
      </c>
      <c r="T2086" s="1" t="s">
        <v>7911</v>
      </c>
      <c r="U2086" s="1" t="s">
        <v>320</v>
      </c>
      <c r="V2086" s="1" t="s">
        <v>190</v>
      </c>
      <c r="W2086" s="1">
        <v>60647.0</v>
      </c>
      <c r="Y2086" s="1" t="s">
        <v>19695</v>
      </c>
      <c r="Z2086" s="1">
        <v>1891.0</v>
      </c>
      <c r="AA2086" s="1" t="s">
        <v>192</v>
      </c>
      <c r="AB2086" s="1" t="s">
        <v>193</v>
      </c>
      <c r="AD2086" s="1" t="s">
        <v>194</v>
      </c>
      <c r="AE2086" s="1" t="s">
        <v>195</v>
      </c>
      <c r="AF2086" s="1" t="s">
        <v>196</v>
      </c>
      <c r="AH2086" s="1">
        <v>3475.0</v>
      </c>
      <c r="AI2086" s="1">
        <v>0.0798</v>
      </c>
      <c r="AK2086" s="1">
        <v>7.0</v>
      </c>
      <c r="AL2086" s="1">
        <v>4.0</v>
      </c>
      <c r="AM2086" s="1">
        <v>1.0</v>
      </c>
      <c r="AN2086" s="1">
        <v>1.0</v>
      </c>
      <c r="AO2086" s="1" t="s">
        <v>229</v>
      </c>
      <c r="AQ2086" s="1" t="s">
        <v>229</v>
      </c>
      <c r="AR2086" s="1" t="s">
        <v>200</v>
      </c>
      <c r="AS2086" s="1" t="s">
        <v>199</v>
      </c>
      <c r="AT2086" s="1">
        <v>2.0</v>
      </c>
      <c r="AV2086" s="1" t="s">
        <v>200</v>
      </c>
      <c r="AW2086" s="1">
        <v>2418.9</v>
      </c>
      <c r="AX2086" s="1">
        <v>2012.0</v>
      </c>
      <c r="AZ2086" s="1" t="s">
        <v>545</v>
      </c>
      <c r="BA2086" s="1" t="str">
        <f>"13354060110000"</f>
        <v>13354060110000</v>
      </c>
      <c r="BC2086" s="1">
        <v>1046.0</v>
      </c>
      <c r="BD2086" s="1">
        <v>125000.0</v>
      </c>
      <c r="BE2086" s="2">
        <v>41902.0</v>
      </c>
      <c r="BF2086" s="2" t="s">
        <v>19696</v>
      </c>
      <c r="BH2086" s="1">
        <v>0.0</v>
      </c>
      <c r="BK2086" s="1" t="s">
        <v>204</v>
      </c>
      <c r="BL2086" s="1" t="str">
        <f>"1900"</f>
        <v>1900</v>
      </c>
      <c r="BM2086" s="1" t="str">
        <f t="shared" ref="BM2086:BM2087" si="1369">"0"</f>
        <v>0</v>
      </c>
      <c r="BN2086" s="1">
        <v>3555.0</v>
      </c>
      <c r="BO2086" s="1">
        <v>0.0</v>
      </c>
      <c r="BQ2086" s="1">
        <v>299.0</v>
      </c>
      <c r="BR2086" s="1">
        <v>299.0</v>
      </c>
      <c r="BS2086" s="1">
        <v>299.0</v>
      </c>
      <c r="BU2086" s="1" t="s">
        <v>478</v>
      </c>
      <c r="BV2086" s="1" t="s">
        <v>206</v>
      </c>
      <c r="BY2086" s="1" t="s">
        <v>495</v>
      </c>
      <c r="BZ2086" s="1" t="s">
        <v>206</v>
      </c>
      <c r="CC2086" s="1" t="s">
        <v>302</v>
      </c>
      <c r="CD2086" s="1" t="s">
        <v>206</v>
      </c>
      <c r="CG2086" s="1" t="s">
        <v>303</v>
      </c>
      <c r="CH2086" s="1" t="s">
        <v>206</v>
      </c>
      <c r="CK2086" s="1" t="s">
        <v>2367</v>
      </c>
      <c r="CL2086" s="1" t="s">
        <v>206</v>
      </c>
      <c r="CO2086" s="1" t="s">
        <v>300</v>
      </c>
      <c r="CP2086" s="1" t="s">
        <v>209</v>
      </c>
      <c r="CS2086" s="1" t="s">
        <v>1852</v>
      </c>
      <c r="CT2086" s="1" t="s">
        <v>206</v>
      </c>
      <c r="CX2086" s="1" t="s">
        <v>204</v>
      </c>
      <c r="DA2086" s="1" t="s">
        <v>200</v>
      </c>
      <c r="DC2086" s="1" t="s">
        <v>642</v>
      </c>
      <c r="DE2086" s="1" t="s">
        <v>229</v>
      </c>
      <c r="DF2086" s="1" t="s">
        <v>619</v>
      </c>
      <c r="DH2086" s="1" t="s">
        <v>220</v>
      </c>
      <c r="DJ2086" s="1" t="s">
        <v>222</v>
      </c>
      <c r="DL2086" s="1" t="s">
        <v>229</v>
      </c>
      <c r="DM2086" s="1" t="s">
        <v>229</v>
      </c>
      <c r="DQ2086" s="1" t="s">
        <v>228</v>
      </c>
      <c r="DR2086" s="1" t="s">
        <v>229</v>
      </c>
      <c r="DV2086" s="1" t="s">
        <v>232</v>
      </c>
      <c r="DW2086" s="1" t="s">
        <v>667</v>
      </c>
      <c r="DX2086" s="1" t="s">
        <v>234</v>
      </c>
      <c r="EA2086" s="1" t="s">
        <v>2099</v>
      </c>
      <c r="EC2086" s="1" t="s">
        <v>645</v>
      </c>
      <c r="EE2086" s="1" t="s">
        <v>1673</v>
      </c>
      <c r="EM2086" s="1" t="s">
        <v>238</v>
      </c>
      <c r="EQ2086" s="1" t="s">
        <v>238</v>
      </c>
      <c r="EU2086" s="1" t="s">
        <v>238</v>
      </c>
      <c r="EY2086" s="1" t="s">
        <v>238</v>
      </c>
      <c r="FC2086" s="1" t="s">
        <v>238</v>
      </c>
      <c r="FF2086" s="1" t="s">
        <v>239</v>
      </c>
      <c r="FG2086" s="1" t="s">
        <v>192</v>
      </c>
      <c r="FH2086" s="1" t="s">
        <v>192</v>
      </c>
      <c r="FJ2086" s="1" t="s">
        <v>347</v>
      </c>
      <c r="FK2086" s="1" t="s">
        <v>229</v>
      </c>
      <c r="FL2086" s="1" t="s">
        <v>974</v>
      </c>
      <c r="FM2086" s="1">
        <v>10900.0</v>
      </c>
      <c r="FN2086" s="1" t="s">
        <v>1435</v>
      </c>
      <c r="FO2086" s="1" t="s">
        <v>9096</v>
      </c>
      <c r="FP2086" s="1">
        <v>116022.0</v>
      </c>
      <c r="FQ2086" s="1" t="s">
        <v>9097</v>
      </c>
      <c r="FU2086" s="1" t="s">
        <v>19697</v>
      </c>
      <c r="FV2086" s="1" t="s">
        <v>200</v>
      </c>
      <c r="FW2086" s="1" t="s">
        <v>1293</v>
      </c>
      <c r="FX2086" s="1" t="s">
        <v>246</v>
      </c>
      <c r="FZ2086" s="1" t="s">
        <v>229</v>
      </c>
      <c r="GA2086" s="1" t="s">
        <v>291</v>
      </c>
      <c r="GB2086" s="2">
        <v>42060.0</v>
      </c>
      <c r="GC2086" s="1" t="s">
        <v>19698</v>
      </c>
    </row>
    <row r="2087">
      <c r="A2087" s="1">
        <v>384422.0</v>
      </c>
      <c r="B2087" s="1" t="s">
        <v>185</v>
      </c>
      <c r="C2087" s="1" t="str">
        <f>"08729456"</f>
        <v>08729456</v>
      </c>
      <c r="D2087" s="1" t="s">
        <v>186</v>
      </c>
      <c r="F2087" s="1" t="str">
        <f>"110"</f>
        <v>110</v>
      </c>
      <c r="G2087" s="2">
        <v>41898.0</v>
      </c>
      <c r="H2087" s="1">
        <v>374957.0</v>
      </c>
      <c r="I2087" s="1">
        <v>1.0</v>
      </c>
      <c r="J2087" s="1">
        <v>374957.0</v>
      </c>
      <c r="K2087" s="2">
        <v>41898.0</v>
      </c>
      <c r="L2087" s="1">
        <v>1.0</v>
      </c>
      <c r="M2087" s="2">
        <v>41898.0</v>
      </c>
      <c r="N2087" s="1" t="s">
        <v>187</v>
      </c>
      <c r="O2087" s="2">
        <v>42065.0</v>
      </c>
      <c r="P2087" s="1">
        <v>55884.0</v>
      </c>
      <c r="Q2087" s="1">
        <v>5014.0</v>
      </c>
      <c r="S2087" s="1">
        <v>3532.0</v>
      </c>
      <c r="T2087" s="1" t="s">
        <v>1173</v>
      </c>
      <c r="U2087" s="1" t="s">
        <v>1174</v>
      </c>
      <c r="V2087" s="1" t="s">
        <v>807</v>
      </c>
      <c r="W2087" s="1">
        <v>60110.0</v>
      </c>
      <c r="Y2087" s="1" t="s">
        <v>13841</v>
      </c>
      <c r="Z2087" s="1">
        <v>2014.0</v>
      </c>
      <c r="AA2087" s="1" t="s">
        <v>200</v>
      </c>
      <c r="AB2087" s="1" t="s">
        <v>467</v>
      </c>
      <c r="AC2087" s="1" t="s">
        <v>1176</v>
      </c>
      <c r="AD2087" s="1" t="s">
        <v>809</v>
      </c>
      <c r="AE2087" s="1" t="s">
        <v>325</v>
      </c>
      <c r="AF2087" s="1" t="s">
        <v>810</v>
      </c>
      <c r="AG2087" s="1" t="s">
        <v>13842</v>
      </c>
      <c r="AH2087" s="1" t="s">
        <v>13843</v>
      </c>
      <c r="AI2087" s="1">
        <v>0.25</v>
      </c>
      <c r="AK2087" s="1">
        <v>9.0</v>
      </c>
      <c r="AL2087" s="1">
        <v>4.0</v>
      </c>
      <c r="AM2087" s="1">
        <v>2.0</v>
      </c>
      <c r="AN2087" s="1">
        <v>1.0</v>
      </c>
      <c r="AO2087" s="1" t="s">
        <v>198</v>
      </c>
      <c r="AP2087" s="1">
        <v>1.0</v>
      </c>
      <c r="AQ2087" s="1" t="s">
        <v>198</v>
      </c>
      <c r="AR2087" s="1" t="s">
        <v>200</v>
      </c>
      <c r="AS2087" s="1" t="s">
        <v>199</v>
      </c>
      <c r="AT2087" s="1">
        <v>3.0</v>
      </c>
      <c r="AV2087" s="1" t="s">
        <v>200</v>
      </c>
      <c r="AW2087" s="1" t="s">
        <v>575</v>
      </c>
      <c r="AX2087" s="1">
        <v>2013.0</v>
      </c>
      <c r="AY2087" s="1" t="s">
        <v>387</v>
      </c>
      <c r="AZ2087" s="1" t="s">
        <v>200</v>
      </c>
      <c r="BA2087" s="1" t="str">
        <f>"0212430006"</f>
        <v>0212430006</v>
      </c>
      <c r="BB2087" s="1" t="s">
        <v>200</v>
      </c>
      <c r="BC2087" s="1">
        <v>3295.0</v>
      </c>
      <c r="BD2087" s="1">
        <v>384422.0</v>
      </c>
      <c r="BE2087" s="2">
        <v>41898.0</v>
      </c>
      <c r="BF2087" s="1" t="s">
        <v>4441</v>
      </c>
      <c r="BG2087" s="1" t="s">
        <v>1181</v>
      </c>
      <c r="BH2087" s="1">
        <v>37.0</v>
      </c>
      <c r="BI2087" s="1" t="s">
        <v>1093</v>
      </c>
      <c r="BJ2087" s="1" t="s">
        <v>1182</v>
      </c>
      <c r="BK2087" s="1" t="s">
        <v>474</v>
      </c>
      <c r="BL2087" s="1" t="str">
        <f>"18"</f>
        <v>18</v>
      </c>
      <c r="BM2087" s="1" t="str">
        <f t="shared" si="1369"/>
        <v>0</v>
      </c>
      <c r="BN2087" s="1">
        <v>37.0</v>
      </c>
      <c r="BO2087" s="1">
        <v>0.0</v>
      </c>
      <c r="BQ2087" s="1">
        <v>300.0</v>
      </c>
      <c r="BR2087" s="1">
        <v>300.0</v>
      </c>
      <c r="BS2087" s="1">
        <v>300.0</v>
      </c>
      <c r="BV2087" s="1" t="s">
        <v>204</v>
      </c>
      <c r="BY2087" s="1" t="s">
        <v>830</v>
      </c>
      <c r="BZ2087" s="1" t="s">
        <v>209</v>
      </c>
      <c r="CA2087" s="1" t="s">
        <v>210</v>
      </c>
      <c r="CB2087" s="1" t="s">
        <v>229</v>
      </c>
      <c r="CD2087" s="1" t="s">
        <v>204</v>
      </c>
      <c r="CG2087" s="1" t="s">
        <v>302</v>
      </c>
      <c r="CH2087" s="1" t="s">
        <v>209</v>
      </c>
      <c r="CI2087" s="1" t="s">
        <v>210</v>
      </c>
      <c r="CJ2087" s="1" t="s">
        <v>229</v>
      </c>
      <c r="CK2087" s="1" t="s">
        <v>1417</v>
      </c>
      <c r="CL2087" s="1" t="s">
        <v>209</v>
      </c>
      <c r="CM2087" s="1" t="s">
        <v>210</v>
      </c>
      <c r="CO2087" s="1" t="s">
        <v>2459</v>
      </c>
      <c r="CP2087" s="1" t="s">
        <v>209</v>
      </c>
      <c r="CQ2087" s="1" t="s">
        <v>210</v>
      </c>
      <c r="CS2087" s="1" t="s">
        <v>1612</v>
      </c>
      <c r="CT2087" s="1" t="s">
        <v>206</v>
      </c>
      <c r="CU2087" s="1" t="s">
        <v>207</v>
      </c>
      <c r="CV2087" s="1" t="s">
        <v>229</v>
      </c>
      <c r="CX2087" s="1" t="s">
        <v>204</v>
      </c>
      <c r="DA2087" s="1" t="s">
        <v>192</v>
      </c>
      <c r="DB2087" s="2">
        <v>42078.0</v>
      </c>
      <c r="DC2087" s="1" t="s">
        <v>744</v>
      </c>
      <c r="DD2087" s="1" t="s">
        <v>1484</v>
      </c>
      <c r="DE2087" s="1" t="s">
        <v>273</v>
      </c>
      <c r="DF2087" s="1" t="s">
        <v>619</v>
      </c>
      <c r="DG2087" s="1" t="s">
        <v>482</v>
      </c>
      <c r="DH2087" s="1" t="s">
        <v>220</v>
      </c>
      <c r="DI2087" s="1" t="s">
        <v>275</v>
      </c>
      <c r="DJ2087" s="1" t="s">
        <v>1048</v>
      </c>
      <c r="DK2087" s="1" t="s">
        <v>223</v>
      </c>
      <c r="DL2087" s="1" t="s">
        <v>223</v>
      </c>
      <c r="DM2087" s="1" t="s">
        <v>338</v>
      </c>
      <c r="DN2087" s="1" t="s">
        <v>548</v>
      </c>
      <c r="DP2087" s="1" t="s">
        <v>340</v>
      </c>
      <c r="DQ2087" s="1" t="s">
        <v>228</v>
      </c>
      <c r="DR2087" s="1" t="s">
        <v>588</v>
      </c>
      <c r="DS2087" s="1" t="s">
        <v>368</v>
      </c>
      <c r="DV2087" s="1" t="s">
        <v>16959</v>
      </c>
      <c r="DW2087" s="1" t="s">
        <v>279</v>
      </c>
      <c r="DX2087" s="1" t="s">
        <v>234</v>
      </c>
      <c r="EA2087" s="1" t="s">
        <v>344</v>
      </c>
      <c r="EB2087" s="1" t="s">
        <v>684</v>
      </c>
      <c r="EC2087" s="1" t="s">
        <v>237</v>
      </c>
      <c r="EG2087" s="1" t="s">
        <v>341</v>
      </c>
      <c r="EH2087" s="1" t="s">
        <v>1729</v>
      </c>
      <c r="EI2087" s="1" t="s">
        <v>1164</v>
      </c>
      <c r="EJ2087" s="1" t="s">
        <v>494</v>
      </c>
      <c r="EL2087" s="1" t="s">
        <v>2647</v>
      </c>
      <c r="EM2087" s="1" t="s">
        <v>209</v>
      </c>
      <c r="EN2087" s="1" t="s">
        <v>210</v>
      </c>
      <c r="EO2087" s="1" t="s">
        <v>229</v>
      </c>
      <c r="EP2087" s="1" t="s">
        <v>699</v>
      </c>
      <c r="EQ2087" s="1" t="s">
        <v>206</v>
      </c>
      <c r="ER2087" s="1" t="s">
        <v>207</v>
      </c>
      <c r="ET2087" s="1" t="s">
        <v>364</v>
      </c>
      <c r="EU2087" s="1" t="s">
        <v>206</v>
      </c>
      <c r="EV2087" s="1" t="s">
        <v>207</v>
      </c>
      <c r="EW2087" s="1" t="s">
        <v>229</v>
      </c>
      <c r="EX2087" s="1" t="s">
        <v>1183</v>
      </c>
      <c r="EY2087" s="1" t="s">
        <v>206</v>
      </c>
      <c r="EZ2087" s="1" t="s">
        <v>207</v>
      </c>
      <c r="FA2087" s="1" t="s">
        <v>229</v>
      </c>
      <c r="FC2087" s="1" t="s">
        <v>238</v>
      </c>
      <c r="FF2087" s="1" t="s">
        <v>239</v>
      </c>
      <c r="FG2087" s="1" t="s">
        <v>192</v>
      </c>
      <c r="FH2087" s="1" t="s">
        <v>192</v>
      </c>
      <c r="FJ2087" s="1" t="s">
        <v>1191</v>
      </c>
      <c r="FK2087" s="1" t="s">
        <v>229</v>
      </c>
      <c r="FL2087" s="1" t="s">
        <v>1192</v>
      </c>
      <c r="FM2087" s="1">
        <v>8702.0</v>
      </c>
      <c r="FN2087" s="1" t="s">
        <v>1193</v>
      </c>
      <c r="FO2087" s="1" t="s">
        <v>1194</v>
      </c>
      <c r="FP2087" s="1">
        <v>21163.0</v>
      </c>
      <c r="FQ2087" s="1" t="s">
        <v>1195</v>
      </c>
      <c r="FU2087" s="1" t="s">
        <v>19699</v>
      </c>
      <c r="FV2087" s="1" t="s">
        <v>200</v>
      </c>
      <c r="FW2087" s="1" t="s">
        <v>1197</v>
      </c>
      <c r="FZ2087" s="1" t="s">
        <v>229</v>
      </c>
      <c r="GA2087" s="1" t="s">
        <v>291</v>
      </c>
      <c r="GB2087" s="2">
        <v>42065.0</v>
      </c>
      <c r="GC2087" s="1" t="s">
        <v>19700</v>
      </c>
    </row>
    <row r="2088">
      <c r="A2088" s="1">
        <v>46000.0</v>
      </c>
      <c r="B2088" s="1" t="s">
        <v>185</v>
      </c>
      <c r="C2088" s="1" t="str">
        <f>"08731624"</f>
        <v>08731624</v>
      </c>
      <c r="D2088" s="1" t="s">
        <v>186</v>
      </c>
      <c r="F2088" s="1" t="str">
        <f>"8071"</f>
        <v>8071</v>
      </c>
      <c r="G2088" s="2">
        <v>41900.0</v>
      </c>
      <c r="H2088" s="1">
        <v>59900.0</v>
      </c>
      <c r="I2088" s="1">
        <v>64.0</v>
      </c>
      <c r="J2088" s="1">
        <v>49900.0</v>
      </c>
      <c r="K2088" s="2">
        <v>41963.0</v>
      </c>
      <c r="L2088" s="1">
        <v>64.0</v>
      </c>
      <c r="M2088" s="2">
        <v>41963.0</v>
      </c>
      <c r="N2088" s="1" t="s">
        <v>249</v>
      </c>
      <c r="O2088" s="2">
        <v>41992.0</v>
      </c>
      <c r="P2088" s="1">
        <v>173120.0</v>
      </c>
      <c r="Q2088" s="1">
        <v>85337.0</v>
      </c>
      <c r="S2088" s="1">
        <v>7733.0</v>
      </c>
      <c r="T2088" s="1" t="s">
        <v>15903</v>
      </c>
      <c r="U2088" s="1" t="s">
        <v>189</v>
      </c>
      <c r="V2088" s="1" t="s">
        <v>190</v>
      </c>
      <c r="W2088" s="1">
        <v>60620.0</v>
      </c>
      <c r="Y2088" s="1" t="s">
        <v>19701</v>
      </c>
      <c r="Z2088" s="1">
        <v>1932.0</v>
      </c>
      <c r="AA2088" s="1" t="s">
        <v>192</v>
      </c>
      <c r="AB2088" s="1" t="s">
        <v>193</v>
      </c>
      <c r="AD2088" s="1" t="s">
        <v>194</v>
      </c>
      <c r="AE2088" s="1" t="s">
        <v>195</v>
      </c>
      <c r="AF2088" s="1" t="s">
        <v>637</v>
      </c>
      <c r="AH2088" s="1" t="s">
        <v>359</v>
      </c>
      <c r="AI2088" s="1">
        <v>0.0</v>
      </c>
      <c r="AK2088" s="1">
        <v>8.0</v>
      </c>
      <c r="AL2088" s="1">
        <v>4.0</v>
      </c>
      <c r="AM2088" s="1">
        <v>2.0</v>
      </c>
      <c r="AN2088" s="1">
        <v>0.0</v>
      </c>
      <c r="AO2088" s="1" t="s">
        <v>229</v>
      </c>
      <c r="AP2088" s="1">
        <v>0.0</v>
      </c>
      <c r="AQ2088" s="1" t="s">
        <v>327</v>
      </c>
      <c r="AR2088" s="1" t="s">
        <v>192</v>
      </c>
      <c r="AS2088" s="1" t="s">
        <v>199</v>
      </c>
      <c r="AT2088" s="1">
        <v>2.0</v>
      </c>
      <c r="AV2088" s="1" t="s">
        <v>200</v>
      </c>
      <c r="AW2088" s="1">
        <v>1436.0</v>
      </c>
      <c r="AX2088" s="1">
        <v>2013.0</v>
      </c>
      <c r="AY2088" s="1" t="s">
        <v>229</v>
      </c>
      <c r="AZ2088" s="1" t="s">
        <v>200</v>
      </c>
      <c r="BA2088" s="1" t="str">
        <f>"20304200120000"</f>
        <v>20304200120000</v>
      </c>
      <c r="BB2088" s="1" t="s">
        <v>200</v>
      </c>
      <c r="BC2088" s="1">
        <v>1105.0</v>
      </c>
      <c r="BD2088" s="1">
        <v>46000.0</v>
      </c>
      <c r="BE2088" s="2">
        <v>41900.0</v>
      </c>
      <c r="BF2088" s="1" t="s">
        <v>19702</v>
      </c>
      <c r="BH2088" s="1">
        <v>0.0</v>
      </c>
      <c r="BK2088" s="1" t="s">
        <v>204</v>
      </c>
      <c r="BL2088" s="1" t="str">
        <f t="shared" ref="BL2088:BM2088" si="1370">"0"</f>
        <v>0</v>
      </c>
      <c r="BM2088" s="1" t="str">
        <f t="shared" si="1370"/>
        <v>0</v>
      </c>
      <c r="BN2088" s="1">
        <v>2000.0</v>
      </c>
      <c r="BO2088" s="1">
        <v>7733.0</v>
      </c>
      <c r="BP2088" s="1">
        <v>299.0</v>
      </c>
      <c r="BQ2088" s="1">
        <v>299.0</v>
      </c>
      <c r="BR2088" s="1">
        <v>299.0</v>
      </c>
      <c r="BS2088" s="1">
        <v>299.0</v>
      </c>
      <c r="BT2088" s="1">
        <v>299.0</v>
      </c>
      <c r="BU2088" s="1" t="s">
        <v>1068</v>
      </c>
      <c r="BV2088" s="1" t="s">
        <v>206</v>
      </c>
      <c r="BW2088" s="1" t="s">
        <v>207</v>
      </c>
      <c r="BY2088" s="1" t="s">
        <v>924</v>
      </c>
      <c r="BZ2088" s="1" t="s">
        <v>209</v>
      </c>
      <c r="CA2088" s="1" t="s">
        <v>210</v>
      </c>
      <c r="CC2088" s="1" t="s">
        <v>584</v>
      </c>
      <c r="CD2088" s="1" t="s">
        <v>206</v>
      </c>
      <c r="CE2088" s="1" t="s">
        <v>207</v>
      </c>
      <c r="CG2088" s="1" t="s">
        <v>215</v>
      </c>
      <c r="CH2088" s="1" t="s">
        <v>209</v>
      </c>
      <c r="CI2088" s="1" t="s">
        <v>210</v>
      </c>
      <c r="CK2088" s="1" t="s">
        <v>215</v>
      </c>
      <c r="CL2088" s="1" t="s">
        <v>206</v>
      </c>
      <c r="CM2088" s="1" t="s">
        <v>210</v>
      </c>
      <c r="CO2088" s="1" t="s">
        <v>215</v>
      </c>
      <c r="CP2088" s="1" t="s">
        <v>209</v>
      </c>
      <c r="CQ2088" s="1" t="s">
        <v>210</v>
      </c>
      <c r="CS2088" s="1" t="s">
        <v>332</v>
      </c>
      <c r="CT2088" s="1" t="s">
        <v>206</v>
      </c>
      <c r="CU2088" s="1" t="s">
        <v>268</v>
      </c>
      <c r="CW2088" s="1" t="s">
        <v>544</v>
      </c>
      <c r="CX2088" s="1" t="s">
        <v>1697</v>
      </c>
      <c r="CY2088" s="1" t="s">
        <v>210</v>
      </c>
      <c r="CZ2088" s="1" t="s">
        <v>229</v>
      </c>
      <c r="DA2088" s="1" t="s">
        <v>200</v>
      </c>
      <c r="DC2088" s="1" t="s">
        <v>785</v>
      </c>
      <c r="DE2088" s="1" t="s">
        <v>229</v>
      </c>
      <c r="DF2088" s="1" t="s">
        <v>4206</v>
      </c>
      <c r="DG2088" s="1" t="s">
        <v>337</v>
      </c>
      <c r="DH2088" s="1" t="s">
        <v>307</v>
      </c>
      <c r="DJ2088" s="1" t="s">
        <v>222</v>
      </c>
      <c r="DL2088" s="1" t="s">
        <v>986</v>
      </c>
      <c r="DM2088" s="1" t="s">
        <v>229</v>
      </c>
      <c r="DO2088" s="1" t="s">
        <v>549</v>
      </c>
      <c r="DP2088" s="1" t="s">
        <v>340</v>
      </c>
      <c r="DQ2088" s="1" t="s">
        <v>228</v>
      </c>
      <c r="DR2088" s="1" t="s">
        <v>229</v>
      </c>
      <c r="DS2088" s="1" t="s">
        <v>230</v>
      </c>
      <c r="DV2088" s="1" t="s">
        <v>232</v>
      </c>
      <c r="DW2088" s="1" t="s">
        <v>279</v>
      </c>
      <c r="DX2088" s="1" t="s">
        <v>234</v>
      </c>
      <c r="DY2088" s="1" t="s">
        <v>987</v>
      </c>
      <c r="EA2088" s="1" t="s">
        <v>644</v>
      </c>
      <c r="EC2088" s="1" t="s">
        <v>645</v>
      </c>
      <c r="EE2088" s="1" t="s">
        <v>187</v>
      </c>
      <c r="EM2088" s="1" t="s">
        <v>238</v>
      </c>
      <c r="EQ2088" s="1" t="s">
        <v>238</v>
      </c>
      <c r="EU2088" s="1" t="s">
        <v>238</v>
      </c>
      <c r="EY2088" s="1" t="s">
        <v>238</v>
      </c>
      <c r="FC2088" s="1" t="s">
        <v>238</v>
      </c>
      <c r="FF2088" s="1" t="s">
        <v>239</v>
      </c>
      <c r="FG2088" s="1" t="s">
        <v>192</v>
      </c>
      <c r="FH2088" s="1" t="s">
        <v>192</v>
      </c>
      <c r="FJ2088" s="1" t="s">
        <v>770</v>
      </c>
      <c r="FK2088" s="1" t="s">
        <v>557</v>
      </c>
      <c r="FL2088" s="1" t="s">
        <v>7136</v>
      </c>
      <c r="FM2088" s="1">
        <v>22824.0</v>
      </c>
      <c r="FN2088" s="1" t="s">
        <v>7137</v>
      </c>
      <c r="FO2088" s="1" t="s">
        <v>7138</v>
      </c>
      <c r="FP2088" s="1">
        <v>216933.0</v>
      </c>
      <c r="FQ2088" s="1" t="s">
        <v>7139</v>
      </c>
      <c r="FU2088" s="1" t="s">
        <v>417</v>
      </c>
      <c r="FV2088" s="1" t="s">
        <v>200</v>
      </c>
      <c r="FW2088" s="1" t="s">
        <v>3401</v>
      </c>
      <c r="FX2088" s="1" t="s">
        <v>655</v>
      </c>
      <c r="FZ2088" s="1" t="s">
        <v>229</v>
      </c>
      <c r="GA2088" s="1" t="s">
        <v>291</v>
      </c>
      <c r="GB2088" s="2">
        <v>41992.0</v>
      </c>
      <c r="GC2088" s="1" t="s">
        <v>19703</v>
      </c>
    </row>
    <row r="2089">
      <c r="A2089" s="1">
        <v>245000.0</v>
      </c>
      <c r="B2089" s="1" t="s">
        <v>185</v>
      </c>
      <c r="C2089" s="1" t="str">
        <f>"08736418"</f>
        <v>08736418</v>
      </c>
      <c r="D2089" s="1" t="s">
        <v>186</v>
      </c>
      <c r="F2089" s="1" t="str">
        <f>"8011"</f>
        <v>8011</v>
      </c>
      <c r="G2089" s="2">
        <v>41906.0</v>
      </c>
      <c r="H2089" s="1">
        <v>299000.0</v>
      </c>
      <c r="I2089" s="1">
        <v>154.0</v>
      </c>
      <c r="J2089" s="1">
        <v>260000.0</v>
      </c>
      <c r="K2089" s="2">
        <v>42038.0</v>
      </c>
      <c r="L2089" s="1">
        <v>133.0</v>
      </c>
      <c r="M2089" s="2">
        <v>42038.0</v>
      </c>
      <c r="N2089" s="1" t="s">
        <v>187</v>
      </c>
      <c r="O2089" s="2">
        <v>42079.0</v>
      </c>
      <c r="P2089" s="1">
        <v>132847.0</v>
      </c>
      <c r="Q2089" s="1">
        <v>10272.0</v>
      </c>
      <c r="S2089" s="1">
        <v>5020.0</v>
      </c>
      <c r="T2089" s="1" t="s">
        <v>9321</v>
      </c>
      <c r="U2089" s="1" t="s">
        <v>189</v>
      </c>
      <c r="V2089" s="1" t="s">
        <v>190</v>
      </c>
      <c r="W2089" s="1">
        <v>60630.0</v>
      </c>
      <c r="Y2089" s="1" t="s">
        <v>19704</v>
      </c>
      <c r="Z2089" s="1">
        <v>1953.0</v>
      </c>
      <c r="AA2089" s="1" t="s">
        <v>192</v>
      </c>
      <c r="AB2089" s="1" t="s">
        <v>193</v>
      </c>
      <c r="AD2089" s="1" t="s">
        <v>194</v>
      </c>
      <c r="AE2089" s="1" t="s">
        <v>195</v>
      </c>
      <c r="AF2089" s="1" t="s">
        <v>196</v>
      </c>
      <c r="AH2089" s="1">
        <v>4092.0</v>
      </c>
      <c r="AK2089" s="1">
        <v>7.0</v>
      </c>
      <c r="AL2089" s="1">
        <v>4.0</v>
      </c>
      <c r="AM2089" s="1">
        <v>2.0</v>
      </c>
      <c r="AN2089" s="1">
        <v>0.0</v>
      </c>
      <c r="AO2089" s="1" t="s">
        <v>229</v>
      </c>
      <c r="AQ2089" s="1" t="s">
        <v>198</v>
      </c>
      <c r="AR2089" s="1" t="s">
        <v>200</v>
      </c>
      <c r="AS2089" s="1" t="s">
        <v>199</v>
      </c>
      <c r="AT2089" s="1">
        <v>2.0</v>
      </c>
      <c r="AV2089" s="1" t="s">
        <v>200</v>
      </c>
      <c r="AW2089" s="1">
        <v>2143.67</v>
      </c>
      <c r="AX2089" s="1">
        <v>2013.0</v>
      </c>
      <c r="AY2089" s="1" t="s">
        <v>1179</v>
      </c>
      <c r="AZ2089" s="1" t="s">
        <v>200</v>
      </c>
      <c r="BA2089" s="1" t="str">
        <f>"13083110370000"</f>
        <v>13083110370000</v>
      </c>
      <c r="BC2089" s="1">
        <v>1760.0</v>
      </c>
      <c r="BD2089" s="1">
        <v>245000.0</v>
      </c>
      <c r="BE2089" s="2">
        <v>41906.0</v>
      </c>
      <c r="BF2089" s="2" t="s">
        <v>19705</v>
      </c>
      <c r="BH2089" s="1">
        <v>0.0</v>
      </c>
      <c r="BK2089" s="1" t="s">
        <v>204</v>
      </c>
      <c r="BL2089" s="1" t="str">
        <f>"5020"</f>
        <v>5020</v>
      </c>
      <c r="BM2089" s="1" t="str">
        <f t="shared" ref="BM2089:BM2090" si="1371">"0"</f>
        <v>0</v>
      </c>
      <c r="BN2089" s="1">
        <v>6100.0</v>
      </c>
      <c r="BO2089" s="1">
        <v>0.0</v>
      </c>
      <c r="BQ2089" s="1">
        <v>299.0</v>
      </c>
      <c r="BR2089" s="1">
        <v>299.0</v>
      </c>
      <c r="BS2089" s="1">
        <v>299.0</v>
      </c>
      <c r="BU2089" s="1" t="s">
        <v>454</v>
      </c>
      <c r="BV2089" s="1" t="s">
        <v>206</v>
      </c>
      <c r="BW2089" s="1" t="s">
        <v>210</v>
      </c>
      <c r="BX2089" s="1" t="s">
        <v>431</v>
      </c>
      <c r="BY2089" s="1" t="s">
        <v>213</v>
      </c>
      <c r="BZ2089" s="1" t="s">
        <v>209</v>
      </c>
      <c r="CA2089" s="1" t="s">
        <v>617</v>
      </c>
      <c r="CB2089" s="1" t="s">
        <v>431</v>
      </c>
      <c r="CD2089" s="1" t="s">
        <v>204</v>
      </c>
      <c r="CG2089" s="1" t="s">
        <v>582</v>
      </c>
      <c r="CH2089" s="1" t="s">
        <v>209</v>
      </c>
      <c r="CI2089" s="1" t="s">
        <v>210</v>
      </c>
      <c r="CJ2089" s="1" t="s">
        <v>431</v>
      </c>
      <c r="CK2089" s="1" t="s">
        <v>699</v>
      </c>
      <c r="CL2089" s="1" t="s">
        <v>206</v>
      </c>
      <c r="CM2089" s="1" t="s">
        <v>210</v>
      </c>
      <c r="CN2089" s="1" t="s">
        <v>431</v>
      </c>
      <c r="CO2089" s="1" t="s">
        <v>495</v>
      </c>
      <c r="CP2089" s="1" t="s">
        <v>206</v>
      </c>
      <c r="CQ2089" s="1" t="s">
        <v>210</v>
      </c>
      <c r="CR2089" s="1" t="s">
        <v>431</v>
      </c>
      <c r="CS2089" s="1" t="s">
        <v>699</v>
      </c>
      <c r="CT2089" s="1" t="s">
        <v>206</v>
      </c>
      <c r="CU2089" s="1" t="s">
        <v>617</v>
      </c>
      <c r="CV2089" s="1" t="s">
        <v>431</v>
      </c>
      <c r="CW2089" s="1" t="s">
        <v>1244</v>
      </c>
      <c r="CX2089" s="1" t="s">
        <v>42</v>
      </c>
      <c r="CY2089" s="1" t="s">
        <v>210</v>
      </c>
      <c r="DA2089" s="1" t="s">
        <v>200</v>
      </c>
      <c r="DC2089" s="1" t="s">
        <v>702</v>
      </c>
      <c r="DD2089" s="1" t="s">
        <v>518</v>
      </c>
      <c r="DE2089" s="1" t="s">
        <v>273</v>
      </c>
      <c r="DF2089" s="1" t="s">
        <v>219</v>
      </c>
      <c r="DH2089" s="1" t="s">
        <v>307</v>
      </c>
      <c r="DJ2089" s="1" t="s">
        <v>222</v>
      </c>
      <c r="DK2089" s="1" t="s">
        <v>1570</v>
      </c>
      <c r="DL2089" s="1" t="s">
        <v>1161</v>
      </c>
      <c r="DM2089" s="1" t="s">
        <v>338</v>
      </c>
      <c r="DQ2089" s="1" t="s">
        <v>228</v>
      </c>
      <c r="DR2089" s="1" t="s">
        <v>229</v>
      </c>
      <c r="DU2089" s="1" t="s">
        <v>19706</v>
      </c>
      <c r="DV2089" s="1" t="s">
        <v>310</v>
      </c>
      <c r="DW2089" s="1" t="s">
        <v>444</v>
      </c>
      <c r="DX2089" s="1" t="s">
        <v>234</v>
      </c>
      <c r="DY2089" s="1" t="s">
        <v>553</v>
      </c>
      <c r="EA2089" s="1" t="s">
        <v>644</v>
      </c>
      <c r="EC2089" s="1" t="s">
        <v>237</v>
      </c>
      <c r="ED2089" s="1" t="s">
        <v>555</v>
      </c>
      <c r="EH2089" s="1" t="s">
        <v>310</v>
      </c>
      <c r="EM2089" s="1" t="s">
        <v>238</v>
      </c>
      <c r="EP2089" s="1" t="s">
        <v>269</v>
      </c>
      <c r="EQ2089" s="1" t="s">
        <v>206</v>
      </c>
      <c r="ER2089" s="1" t="s">
        <v>588</v>
      </c>
      <c r="EU2089" s="1" t="s">
        <v>238</v>
      </c>
      <c r="EY2089" s="1" t="s">
        <v>238</v>
      </c>
      <c r="FC2089" s="1" t="s">
        <v>238</v>
      </c>
      <c r="FF2089" s="1" t="s">
        <v>239</v>
      </c>
      <c r="FG2089" s="1" t="s">
        <v>192</v>
      </c>
      <c r="FH2089" s="1" t="s">
        <v>192</v>
      </c>
      <c r="FJ2089" s="1" t="s">
        <v>799</v>
      </c>
      <c r="FK2089" s="1" t="s">
        <v>229</v>
      </c>
      <c r="FL2089" s="1" t="s">
        <v>562</v>
      </c>
      <c r="FM2089" s="1">
        <v>4459.0</v>
      </c>
      <c r="FN2089" s="1" t="s">
        <v>1147</v>
      </c>
      <c r="FO2089" s="1" t="s">
        <v>19707</v>
      </c>
      <c r="FP2089" s="1">
        <v>33857.0</v>
      </c>
      <c r="FQ2089" s="1" t="s">
        <v>19708</v>
      </c>
      <c r="FR2089" s="1">
        <v>30091.0</v>
      </c>
      <c r="FU2089" s="1" t="s">
        <v>19709</v>
      </c>
      <c r="FV2089" s="1" t="s">
        <v>200</v>
      </c>
      <c r="FW2089" s="1" t="s">
        <v>1511</v>
      </c>
      <c r="FX2089" s="1" t="s">
        <v>238</v>
      </c>
      <c r="FZ2089" s="1" t="s">
        <v>229</v>
      </c>
      <c r="GA2089" s="1" t="s">
        <v>291</v>
      </c>
      <c r="GB2089" s="2">
        <v>42079.0</v>
      </c>
      <c r="GC2089" s="1" t="s">
        <v>19710</v>
      </c>
    </row>
    <row r="2090">
      <c r="A2090" s="1">
        <v>1050000.0</v>
      </c>
      <c r="B2090" s="1" t="s">
        <v>185</v>
      </c>
      <c r="C2090" s="1" t="str">
        <f>"08729783"</f>
        <v>08729783</v>
      </c>
      <c r="D2090" s="1" t="s">
        <v>186</v>
      </c>
      <c r="F2090" s="1" t="str">
        <f>"8007"</f>
        <v>8007</v>
      </c>
      <c r="G2090" s="2">
        <v>41898.0</v>
      </c>
      <c r="H2090" s="1">
        <v>1100000.0</v>
      </c>
      <c r="I2090" s="1">
        <v>113.0</v>
      </c>
      <c r="J2090" s="1">
        <v>1100000.0</v>
      </c>
      <c r="K2090" s="2">
        <v>41927.0</v>
      </c>
      <c r="L2090" s="1">
        <v>30.0</v>
      </c>
      <c r="M2090" s="2">
        <v>41927.0</v>
      </c>
      <c r="N2090" s="1" t="s">
        <v>249</v>
      </c>
      <c r="O2090" s="2">
        <v>41977.0</v>
      </c>
      <c r="P2090" s="1">
        <v>170867.0</v>
      </c>
      <c r="Q2090" s="1">
        <v>18328.0</v>
      </c>
      <c r="S2090" s="1">
        <v>2633.0</v>
      </c>
      <c r="T2090" s="1" t="s">
        <v>19711</v>
      </c>
      <c r="U2090" s="1" t="s">
        <v>189</v>
      </c>
      <c r="V2090" s="1" t="s">
        <v>190</v>
      </c>
      <c r="W2090" s="1">
        <v>60614.0</v>
      </c>
      <c r="Y2090" s="1" t="s">
        <v>19712</v>
      </c>
      <c r="Z2090" s="1" t="s">
        <v>296</v>
      </c>
      <c r="AA2090" s="1" t="s">
        <v>200</v>
      </c>
      <c r="AB2090" s="1" t="s">
        <v>193</v>
      </c>
      <c r="AD2090" s="1" t="s">
        <v>194</v>
      </c>
      <c r="AE2090" s="1" t="s">
        <v>195</v>
      </c>
      <c r="AF2090" s="1" t="s">
        <v>534</v>
      </c>
      <c r="AH2090" s="1" t="s">
        <v>359</v>
      </c>
      <c r="AK2090" s="1">
        <v>11.0</v>
      </c>
      <c r="AL2090" s="1">
        <v>4.0</v>
      </c>
      <c r="AM2090" s="1">
        <v>3.0</v>
      </c>
      <c r="AN2090" s="1">
        <v>1.0</v>
      </c>
      <c r="AO2090" s="1" t="s">
        <v>198</v>
      </c>
      <c r="AP2090" s="1">
        <v>1.0</v>
      </c>
      <c r="AQ2090" s="1" t="s">
        <v>229</v>
      </c>
      <c r="AR2090" s="1" t="s">
        <v>200</v>
      </c>
      <c r="AS2090" s="1" t="s">
        <v>199</v>
      </c>
      <c r="AT2090" s="1">
        <v>2.0</v>
      </c>
      <c r="AV2090" s="1" t="s">
        <v>200</v>
      </c>
      <c r="AW2090" s="1">
        <v>17108.0</v>
      </c>
      <c r="AX2090" s="1">
        <v>2013.0</v>
      </c>
      <c r="AZ2090" s="1" t="s">
        <v>200</v>
      </c>
      <c r="BA2090" s="1" t="str">
        <f>"14293070090000"</f>
        <v>14293070090000</v>
      </c>
      <c r="BC2090" s="1">
        <v>3143.0</v>
      </c>
      <c r="BD2090" s="1">
        <v>1050000.0</v>
      </c>
      <c r="BE2090" s="2">
        <v>41898.0</v>
      </c>
      <c r="BF2090" s="2" t="s">
        <v>19713</v>
      </c>
      <c r="BG2090" s="1" t="s">
        <v>4847</v>
      </c>
      <c r="BH2090" s="1">
        <v>0.0</v>
      </c>
      <c r="BI2090" s="1" t="s">
        <v>4847</v>
      </c>
      <c r="BJ2090" s="1" t="s">
        <v>2871</v>
      </c>
      <c r="BK2090" s="1" t="s">
        <v>204</v>
      </c>
      <c r="BL2090" s="1" t="str">
        <f>"2633"</f>
        <v>2633</v>
      </c>
      <c r="BM2090" s="1" t="str">
        <f t="shared" si="1371"/>
        <v>0</v>
      </c>
      <c r="BN2090" s="1">
        <v>1400.0</v>
      </c>
      <c r="BO2090" s="1">
        <v>0.0</v>
      </c>
      <c r="BQ2090" s="1">
        <v>299.0</v>
      </c>
      <c r="BR2090" s="1">
        <v>299.0</v>
      </c>
      <c r="BS2090" s="1">
        <v>299.0</v>
      </c>
      <c r="BU2090" s="1" t="s">
        <v>1892</v>
      </c>
      <c r="BV2090" s="1" t="s">
        <v>209</v>
      </c>
      <c r="BW2090" s="1" t="s">
        <v>207</v>
      </c>
      <c r="BY2090" s="1" t="s">
        <v>1064</v>
      </c>
      <c r="BZ2090" s="1" t="s">
        <v>391</v>
      </c>
      <c r="CA2090" s="1" t="s">
        <v>207</v>
      </c>
      <c r="CC2090" s="1" t="s">
        <v>3375</v>
      </c>
      <c r="CD2090" s="1" t="s">
        <v>209</v>
      </c>
      <c r="CE2090" s="1" t="s">
        <v>207</v>
      </c>
      <c r="CG2090" s="1" t="s">
        <v>303</v>
      </c>
      <c r="CH2090" s="1" t="s">
        <v>391</v>
      </c>
      <c r="CI2090" s="1" t="s">
        <v>207</v>
      </c>
      <c r="CK2090" s="1" t="s">
        <v>1351</v>
      </c>
      <c r="CL2090" s="1" t="s">
        <v>391</v>
      </c>
      <c r="CM2090" s="1" t="s">
        <v>207</v>
      </c>
      <c r="CO2090" s="1" t="s">
        <v>212</v>
      </c>
      <c r="CP2090" s="1" t="s">
        <v>206</v>
      </c>
      <c r="CQ2090" s="1" t="s">
        <v>588</v>
      </c>
      <c r="CS2090" s="1" t="s">
        <v>478</v>
      </c>
      <c r="CT2090" s="1" t="s">
        <v>209</v>
      </c>
      <c r="CU2090" s="1" t="s">
        <v>207</v>
      </c>
      <c r="CW2090" s="1" t="s">
        <v>477</v>
      </c>
      <c r="CX2090" s="1" t="s">
        <v>209</v>
      </c>
      <c r="CY2090" s="1" t="s">
        <v>207</v>
      </c>
      <c r="DA2090" s="1" t="s">
        <v>200</v>
      </c>
      <c r="DC2090" s="1" t="s">
        <v>545</v>
      </c>
      <c r="DD2090" s="1" t="s">
        <v>759</v>
      </c>
      <c r="DE2090" s="1" t="s">
        <v>273</v>
      </c>
      <c r="DF2090" s="1" t="s">
        <v>219</v>
      </c>
      <c r="DG2090" s="1" t="s">
        <v>6048</v>
      </c>
      <c r="DH2090" s="1" t="s">
        <v>365</v>
      </c>
      <c r="DI2090" s="1" t="s">
        <v>4683</v>
      </c>
      <c r="DJ2090" s="1" t="s">
        <v>222</v>
      </c>
      <c r="DL2090" s="1" t="s">
        <v>229</v>
      </c>
      <c r="DM2090" s="1" t="s">
        <v>229</v>
      </c>
      <c r="DN2090" s="1" t="s">
        <v>548</v>
      </c>
      <c r="DO2090" s="1" t="s">
        <v>717</v>
      </c>
      <c r="DP2090" s="1" t="s">
        <v>340</v>
      </c>
      <c r="DQ2090" s="1" t="s">
        <v>718</v>
      </c>
      <c r="DR2090" s="1" t="s">
        <v>229</v>
      </c>
      <c r="DS2090" s="1" t="s">
        <v>591</v>
      </c>
      <c r="DV2090" s="1" t="s">
        <v>19714</v>
      </c>
      <c r="DW2090" s="1" t="s">
        <v>19715</v>
      </c>
      <c r="DX2090" s="1" t="s">
        <v>234</v>
      </c>
      <c r="DY2090" s="1" t="s">
        <v>7595</v>
      </c>
      <c r="DZ2090" s="1" t="s">
        <v>18149</v>
      </c>
      <c r="EA2090" s="1" t="s">
        <v>1027</v>
      </c>
      <c r="EB2090" s="1" t="s">
        <v>937</v>
      </c>
      <c r="EC2090" s="1" t="s">
        <v>406</v>
      </c>
      <c r="EG2090" s="1" t="s">
        <v>494</v>
      </c>
      <c r="EI2090" s="1" t="s">
        <v>1121</v>
      </c>
      <c r="EJ2090" s="1" t="s">
        <v>720</v>
      </c>
      <c r="EL2090" s="1" t="s">
        <v>699</v>
      </c>
      <c r="EM2090" s="1" t="s">
        <v>206</v>
      </c>
      <c r="EN2090" s="1" t="s">
        <v>588</v>
      </c>
      <c r="EQ2090" s="1" t="s">
        <v>238</v>
      </c>
      <c r="ET2090" s="1" t="s">
        <v>798</v>
      </c>
      <c r="EU2090" s="1" t="s">
        <v>391</v>
      </c>
      <c r="EV2090" s="1" t="s">
        <v>207</v>
      </c>
      <c r="EX2090" s="1" t="s">
        <v>1746</v>
      </c>
      <c r="EY2090" s="1" t="s">
        <v>206</v>
      </c>
      <c r="FC2090" s="1" t="s">
        <v>238</v>
      </c>
      <c r="FF2090" s="1" t="s">
        <v>239</v>
      </c>
      <c r="FG2090" s="1" t="s">
        <v>200</v>
      </c>
      <c r="FH2090" s="1" t="s">
        <v>192</v>
      </c>
      <c r="FJ2090" s="1" t="s">
        <v>799</v>
      </c>
      <c r="FK2090" s="1" t="s">
        <v>229</v>
      </c>
      <c r="FL2090" s="1" t="s">
        <v>562</v>
      </c>
      <c r="FM2090" s="1">
        <v>85774.0</v>
      </c>
      <c r="FN2090" s="1" t="s">
        <v>2369</v>
      </c>
      <c r="FO2090" s="1" t="s">
        <v>13335</v>
      </c>
      <c r="FP2090" s="1">
        <v>128632.0</v>
      </c>
      <c r="FQ2090" s="1" t="s">
        <v>13336</v>
      </c>
      <c r="FU2090" s="1" t="s">
        <v>15048</v>
      </c>
      <c r="FV2090" s="1" t="s">
        <v>200</v>
      </c>
      <c r="FW2090" s="1" t="s">
        <v>2754</v>
      </c>
      <c r="FX2090" s="1" t="s">
        <v>238</v>
      </c>
      <c r="FZ2090" s="1" t="s">
        <v>229</v>
      </c>
      <c r="GA2090" s="1" t="s">
        <v>291</v>
      </c>
      <c r="GB2090" s="2">
        <v>41977.0</v>
      </c>
    </row>
    <row r="2091">
      <c r="A2091" s="1">
        <v>263000.0</v>
      </c>
      <c r="B2091" s="1" t="s">
        <v>185</v>
      </c>
      <c r="C2091" s="1" t="str">
        <f>"08736379"</f>
        <v>08736379</v>
      </c>
      <c r="D2091" s="1" t="s">
        <v>186</v>
      </c>
      <c r="F2091" s="1" t="str">
        <f>"543"</f>
        <v>543</v>
      </c>
      <c r="G2091" s="2">
        <v>41906.0</v>
      </c>
      <c r="H2091" s="1">
        <v>279900.0</v>
      </c>
      <c r="I2091" s="1">
        <v>160.0</v>
      </c>
      <c r="J2091" s="1">
        <v>269900.0</v>
      </c>
      <c r="K2091" s="2">
        <v>42064.0</v>
      </c>
      <c r="L2091" s="1">
        <v>160.0</v>
      </c>
      <c r="M2091" s="2">
        <v>42064.0</v>
      </c>
      <c r="N2091" s="1" t="s">
        <v>187</v>
      </c>
      <c r="O2091" s="2">
        <v>42104.0</v>
      </c>
      <c r="P2091" s="1">
        <v>232759.0</v>
      </c>
      <c r="Q2091" s="1">
        <v>22029.0</v>
      </c>
      <c r="S2091" s="1">
        <v>432.0</v>
      </c>
      <c r="T2091" s="1" t="s">
        <v>19716</v>
      </c>
      <c r="U2091" s="1" t="s">
        <v>1015</v>
      </c>
      <c r="V2091" s="1" t="s">
        <v>1527</v>
      </c>
      <c r="W2091" s="1">
        <v>60543.0</v>
      </c>
      <c r="Y2091" s="1" t="s">
        <v>19717</v>
      </c>
      <c r="Z2091" s="1">
        <v>2005.0</v>
      </c>
      <c r="AA2091" s="1" t="s">
        <v>200</v>
      </c>
      <c r="AB2091" s="1" t="s">
        <v>467</v>
      </c>
      <c r="AC2091" s="1" t="s">
        <v>8083</v>
      </c>
      <c r="AD2091" s="1" t="s">
        <v>1529</v>
      </c>
      <c r="AE2091" s="1" t="s">
        <v>849</v>
      </c>
      <c r="AF2091" s="1" t="s">
        <v>1529</v>
      </c>
      <c r="AG2091" s="1" t="s">
        <v>19718</v>
      </c>
      <c r="AH2091" s="1" t="s">
        <v>9137</v>
      </c>
      <c r="AI2091" s="1">
        <v>0.2298</v>
      </c>
      <c r="AK2091" s="1">
        <v>9.0</v>
      </c>
      <c r="AL2091" s="1">
        <v>4.0</v>
      </c>
      <c r="AM2091" s="1">
        <v>2.0</v>
      </c>
      <c r="AN2091" s="1">
        <v>1.0</v>
      </c>
      <c r="AO2091" s="1" t="s">
        <v>198</v>
      </c>
      <c r="AP2091" s="1">
        <v>1.0</v>
      </c>
      <c r="AQ2091" s="1" t="s">
        <v>198</v>
      </c>
      <c r="AR2091" s="1" t="s">
        <v>200</v>
      </c>
      <c r="AS2091" s="1" t="s">
        <v>199</v>
      </c>
      <c r="AT2091" s="1">
        <v>3.0</v>
      </c>
      <c r="AV2091" s="1" t="s">
        <v>200</v>
      </c>
      <c r="AW2091" s="1">
        <v>9246.0</v>
      </c>
      <c r="AX2091" s="1">
        <v>2013.0</v>
      </c>
      <c r="AY2091" s="1" t="s">
        <v>387</v>
      </c>
      <c r="AZ2091" s="1" t="s">
        <v>200</v>
      </c>
      <c r="BA2091" s="1" t="str">
        <f>"0329131017"</f>
        <v>0329131017</v>
      </c>
      <c r="BB2091" s="1" t="s">
        <v>200</v>
      </c>
      <c r="BC2091" s="1">
        <v>2554.0</v>
      </c>
      <c r="BD2091" s="1">
        <v>263000.0</v>
      </c>
      <c r="BE2091" s="2">
        <v>41905.0</v>
      </c>
      <c r="BF2091" s="2" t="s">
        <v>19719</v>
      </c>
      <c r="BG2091" s="1" t="s">
        <v>1532</v>
      </c>
      <c r="BH2091" s="1">
        <v>125.0</v>
      </c>
      <c r="BI2091" s="1" t="s">
        <v>1533</v>
      </c>
      <c r="BJ2091" s="1" t="s">
        <v>1349</v>
      </c>
      <c r="BK2091" s="1" t="s">
        <v>580</v>
      </c>
      <c r="BL2091" s="1" t="str">
        <f t="shared" ref="BL2091:BM2091" si="1372">"0"</f>
        <v>0</v>
      </c>
      <c r="BM2091" s="1" t="str">
        <f t="shared" si="1372"/>
        <v>0</v>
      </c>
      <c r="BN2091" s="1">
        <v>0.0</v>
      </c>
      <c r="BO2091" s="1">
        <v>0.0</v>
      </c>
      <c r="BQ2091" s="1">
        <v>308.0</v>
      </c>
      <c r="BR2091" s="1">
        <v>308.0</v>
      </c>
      <c r="BS2091" s="1">
        <v>308.0</v>
      </c>
      <c r="BU2091" s="1" t="s">
        <v>1417</v>
      </c>
      <c r="BV2091" s="1" t="s">
        <v>206</v>
      </c>
      <c r="BW2091" s="1" t="s">
        <v>210</v>
      </c>
      <c r="BX2091" s="1" t="s">
        <v>239</v>
      </c>
      <c r="BY2091" s="1" t="s">
        <v>677</v>
      </c>
      <c r="BZ2091" s="1" t="s">
        <v>209</v>
      </c>
      <c r="CA2091" s="1" t="s">
        <v>210</v>
      </c>
      <c r="CB2091" s="1" t="s">
        <v>239</v>
      </c>
      <c r="CC2091" s="1" t="s">
        <v>1417</v>
      </c>
      <c r="CD2091" s="1" t="s">
        <v>206</v>
      </c>
      <c r="CE2091" s="1" t="s">
        <v>207</v>
      </c>
      <c r="CF2091" s="1" t="s">
        <v>239</v>
      </c>
      <c r="CG2091" s="1" t="s">
        <v>1417</v>
      </c>
      <c r="CH2091" s="1" t="s">
        <v>209</v>
      </c>
      <c r="CI2091" s="1" t="s">
        <v>210</v>
      </c>
      <c r="CJ2091" s="1" t="s">
        <v>239</v>
      </c>
      <c r="CK2091" s="1" t="s">
        <v>363</v>
      </c>
      <c r="CL2091" s="1" t="s">
        <v>209</v>
      </c>
      <c r="CM2091" s="1" t="s">
        <v>210</v>
      </c>
      <c r="CN2091" s="1" t="s">
        <v>239</v>
      </c>
      <c r="CO2091" s="1" t="s">
        <v>302</v>
      </c>
      <c r="CP2091" s="1" t="s">
        <v>209</v>
      </c>
      <c r="CQ2091" s="1" t="s">
        <v>210</v>
      </c>
      <c r="CR2091" s="1" t="s">
        <v>239</v>
      </c>
      <c r="CS2091" s="1" t="s">
        <v>1518</v>
      </c>
      <c r="CT2091" s="1" t="s">
        <v>206</v>
      </c>
      <c r="CU2091" s="1" t="s">
        <v>207</v>
      </c>
      <c r="CV2091" s="1" t="s">
        <v>239</v>
      </c>
      <c r="CW2091" s="1" t="s">
        <v>6175</v>
      </c>
      <c r="CX2091" s="1" t="s">
        <v>206</v>
      </c>
      <c r="CY2091" s="1" t="s">
        <v>210</v>
      </c>
      <c r="CZ2091" s="1" t="s">
        <v>239</v>
      </c>
      <c r="DA2091" s="1" t="s">
        <v>200</v>
      </c>
      <c r="DC2091" s="1" t="s">
        <v>481</v>
      </c>
      <c r="DD2091" s="1" t="s">
        <v>5326</v>
      </c>
      <c r="DE2091" s="1" t="s">
        <v>273</v>
      </c>
      <c r="DF2091" s="1" t="s">
        <v>219</v>
      </c>
      <c r="DG2091" s="1" t="s">
        <v>482</v>
      </c>
      <c r="DH2091" s="1" t="s">
        <v>220</v>
      </c>
      <c r="DI2091" s="1" t="s">
        <v>1003</v>
      </c>
      <c r="DJ2091" s="1" t="s">
        <v>222</v>
      </c>
      <c r="DL2091" s="1" t="s">
        <v>484</v>
      </c>
      <c r="DM2091" s="1" t="s">
        <v>338</v>
      </c>
      <c r="DN2091" s="1" t="s">
        <v>399</v>
      </c>
      <c r="DP2091" s="1" t="s">
        <v>340</v>
      </c>
      <c r="DQ2091" s="1" t="s">
        <v>228</v>
      </c>
      <c r="DR2091" s="1" t="s">
        <v>588</v>
      </c>
      <c r="DU2091" s="1" t="s">
        <v>231</v>
      </c>
      <c r="DV2091" s="1" t="s">
        <v>494</v>
      </c>
      <c r="DW2091" s="1" t="s">
        <v>12160</v>
      </c>
      <c r="DX2091" s="1" t="s">
        <v>234</v>
      </c>
      <c r="DY2091" s="1" t="s">
        <v>490</v>
      </c>
      <c r="DZ2091" s="1" t="s">
        <v>310</v>
      </c>
      <c r="EA2091" s="1" t="s">
        <v>344</v>
      </c>
      <c r="EB2091" s="1" t="s">
        <v>1639</v>
      </c>
      <c r="EC2091" s="1" t="s">
        <v>237</v>
      </c>
      <c r="ED2091" s="1" t="s">
        <v>407</v>
      </c>
      <c r="EG2091" s="1" t="s">
        <v>494</v>
      </c>
      <c r="EL2091" s="1" t="s">
        <v>303</v>
      </c>
      <c r="EM2091" s="1" t="s">
        <v>206</v>
      </c>
      <c r="EN2091" s="1" t="s">
        <v>210</v>
      </c>
      <c r="EO2091" s="1" t="s">
        <v>239</v>
      </c>
      <c r="EQ2091" s="1" t="s">
        <v>238</v>
      </c>
      <c r="EU2091" s="1" t="s">
        <v>238</v>
      </c>
      <c r="EY2091" s="1" t="s">
        <v>238</v>
      </c>
      <c r="FC2091" s="1" t="s">
        <v>238</v>
      </c>
      <c r="FF2091" s="1" t="s">
        <v>239</v>
      </c>
      <c r="FG2091" s="1" t="s">
        <v>192</v>
      </c>
      <c r="FH2091" s="1" t="s">
        <v>192</v>
      </c>
      <c r="FJ2091" s="1" t="s">
        <v>524</v>
      </c>
      <c r="FK2091" s="1" t="s">
        <v>229</v>
      </c>
      <c r="FL2091" s="1" t="s">
        <v>525</v>
      </c>
      <c r="FM2091" s="1">
        <v>22029.0</v>
      </c>
      <c r="FN2091" s="1" t="s">
        <v>526</v>
      </c>
      <c r="FO2091" s="1" t="s">
        <v>1842</v>
      </c>
      <c r="FP2091" s="1">
        <v>231272.0</v>
      </c>
      <c r="FQ2091" s="1" t="s">
        <v>1843</v>
      </c>
      <c r="FS2091" s="1" t="s">
        <v>1844</v>
      </c>
      <c r="FT2091" s="1" t="s">
        <v>1845</v>
      </c>
      <c r="FU2091" s="1" t="s">
        <v>19720</v>
      </c>
      <c r="FV2091" s="1" t="s">
        <v>200</v>
      </c>
      <c r="FW2091" s="1" t="s">
        <v>290</v>
      </c>
      <c r="FZ2091" s="1" t="s">
        <v>632</v>
      </c>
      <c r="GA2091" s="1" t="s">
        <v>291</v>
      </c>
      <c r="GB2091" s="2">
        <v>42104.0</v>
      </c>
      <c r="GC2091" s="1" t="s">
        <v>19721</v>
      </c>
    </row>
    <row r="2092">
      <c r="A2092" s="1">
        <v>191500.0</v>
      </c>
      <c r="B2092" s="1" t="s">
        <v>185</v>
      </c>
      <c r="C2092" s="1" t="str">
        <f>"08736354"</f>
        <v>08736354</v>
      </c>
      <c r="D2092" s="1" t="s">
        <v>186</v>
      </c>
      <c r="F2092" s="1" t="str">
        <f>"8017"</f>
        <v>8017</v>
      </c>
      <c r="G2092" s="2">
        <v>41906.0</v>
      </c>
      <c r="H2092" s="1">
        <v>199900.0</v>
      </c>
      <c r="I2092" s="1">
        <v>572.0</v>
      </c>
      <c r="J2092" s="1">
        <v>190000.0</v>
      </c>
      <c r="K2092" s="2">
        <v>42020.0</v>
      </c>
      <c r="L2092" s="1">
        <v>116.0</v>
      </c>
      <c r="M2092" s="2">
        <v>42020.0</v>
      </c>
      <c r="N2092" s="1" t="s">
        <v>249</v>
      </c>
      <c r="O2092" s="2">
        <v>42074.0</v>
      </c>
      <c r="P2092" s="1">
        <v>405390.0</v>
      </c>
      <c r="Q2092" s="1">
        <v>40121.0</v>
      </c>
      <c r="S2092" s="1">
        <v>3310.0</v>
      </c>
      <c r="T2092" s="1" t="s">
        <v>19722</v>
      </c>
      <c r="U2092" s="1" t="s">
        <v>189</v>
      </c>
      <c r="V2092" s="1" t="s">
        <v>190</v>
      </c>
      <c r="W2092" s="1">
        <v>60634.0</v>
      </c>
      <c r="Y2092" s="1" t="s">
        <v>19723</v>
      </c>
      <c r="Z2092" s="1">
        <v>1924.0</v>
      </c>
      <c r="AA2092" s="1" t="s">
        <v>192</v>
      </c>
      <c r="AB2092" s="1" t="s">
        <v>193</v>
      </c>
      <c r="AD2092" s="1" t="s">
        <v>194</v>
      </c>
      <c r="AE2092" s="1" t="s">
        <v>195</v>
      </c>
      <c r="AF2092" s="1" t="s">
        <v>659</v>
      </c>
      <c r="AH2092" s="1" t="s">
        <v>19724</v>
      </c>
      <c r="AI2092" s="1">
        <v>0.2009</v>
      </c>
      <c r="AK2092" s="1">
        <v>7.0</v>
      </c>
      <c r="AL2092" s="1">
        <v>4.0</v>
      </c>
      <c r="AM2092" s="1">
        <v>3.0</v>
      </c>
      <c r="AN2092" s="1">
        <v>0.0</v>
      </c>
      <c r="AO2092" s="1" t="s">
        <v>198</v>
      </c>
      <c r="AQ2092" s="1" t="s">
        <v>229</v>
      </c>
      <c r="AR2092" s="1" t="s">
        <v>200</v>
      </c>
      <c r="AS2092" s="1" t="s">
        <v>199</v>
      </c>
      <c r="AT2092" s="1">
        <v>2.0</v>
      </c>
      <c r="AV2092" s="1" t="s">
        <v>200</v>
      </c>
      <c r="AW2092" s="1">
        <v>6170.44</v>
      </c>
      <c r="AX2092" s="1">
        <v>2012.0</v>
      </c>
      <c r="AY2092" s="1" t="s">
        <v>387</v>
      </c>
      <c r="AZ2092" s="1" t="s">
        <v>200</v>
      </c>
      <c r="BA2092" s="1" t="str">
        <f>"12244190250000"</f>
        <v>12244190250000</v>
      </c>
      <c r="BB2092" s="1" t="s">
        <v>200</v>
      </c>
      <c r="BC2092" s="1">
        <v>1800.0</v>
      </c>
      <c r="BD2092" s="1">
        <v>191500.0</v>
      </c>
      <c r="BE2092" s="2">
        <v>41905.0</v>
      </c>
      <c r="BF2092" s="2" t="s">
        <v>19725</v>
      </c>
      <c r="BH2092" s="1">
        <v>0.0</v>
      </c>
      <c r="BK2092" s="1" t="s">
        <v>204</v>
      </c>
      <c r="BL2092" s="1" t="str">
        <f>"3300"</f>
        <v>3300</v>
      </c>
      <c r="BM2092" s="1" t="str">
        <f>"0"</f>
        <v>0</v>
      </c>
      <c r="BN2092" s="1">
        <v>7400.0</v>
      </c>
      <c r="BO2092" s="1">
        <v>0.0</v>
      </c>
      <c r="BQ2092" s="1">
        <v>299.0</v>
      </c>
      <c r="BR2092" s="1">
        <v>299.0</v>
      </c>
      <c r="BS2092" s="1">
        <v>299.0</v>
      </c>
      <c r="BU2092" s="1" t="s">
        <v>1567</v>
      </c>
      <c r="BV2092" s="1" t="s">
        <v>206</v>
      </c>
      <c r="BY2092" s="1" t="s">
        <v>830</v>
      </c>
      <c r="BZ2092" s="1" t="s">
        <v>209</v>
      </c>
      <c r="CC2092" s="1" t="s">
        <v>2459</v>
      </c>
      <c r="CD2092" s="1" t="s">
        <v>206</v>
      </c>
      <c r="CG2092" s="1" t="s">
        <v>363</v>
      </c>
      <c r="CH2092" s="1" t="s">
        <v>209</v>
      </c>
      <c r="CK2092" s="1" t="s">
        <v>699</v>
      </c>
      <c r="CL2092" s="1" t="s">
        <v>209</v>
      </c>
      <c r="CO2092" s="1" t="s">
        <v>1417</v>
      </c>
      <c r="CP2092" s="1" t="s">
        <v>206</v>
      </c>
      <c r="CS2092" s="1" t="s">
        <v>2082</v>
      </c>
      <c r="CT2092" s="1" t="s">
        <v>206</v>
      </c>
      <c r="CX2092" s="1" t="s">
        <v>204</v>
      </c>
      <c r="DA2092" s="1" t="s">
        <v>200</v>
      </c>
      <c r="DC2092" s="1" t="s">
        <v>785</v>
      </c>
      <c r="DD2092" s="1" t="s">
        <v>518</v>
      </c>
      <c r="DE2092" s="1" t="s">
        <v>273</v>
      </c>
      <c r="DF2092" s="1" t="s">
        <v>219</v>
      </c>
      <c r="DH2092" s="1" t="s">
        <v>307</v>
      </c>
      <c r="DJ2092" s="1" t="s">
        <v>222</v>
      </c>
      <c r="DL2092" s="1" t="s">
        <v>1853</v>
      </c>
      <c r="DM2092" s="1" t="s">
        <v>229</v>
      </c>
      <c r="DP2092" s="1" t="s">
        <v>340</v>
      </c>
      <c r="DQ2092" s="1" t="s">
        <v>794</v>
      </c>
      <c r="DR2092" s="1" t="s">
        <v>229</v>
      </c>
      <c r="DV2092" s="1" t="s">
        <v>232</v>
      </c>
      <c r="DW2092" s="1" t="s">
        <v>489</v>
      </c>
      <c r="DX2092" s="1" t="s">
        <v>234</v>
      </c>
      <c r="EC2092" s="1" t="s">
        <v>237</v>
      </c>
      <c r="EM2092" s="1" t="s">
        <v>238</v>
      </c>
      <c r="EQ2092" s="1" t="s">
        <v>238</v>
      </c>
      <c r="EU2092" s="1" t="s">
        <v>238</v>
      </c>
      <c r="EY2092" s="1" t="s">
        <v>238</v>
      </c>
      <c r="FC2092" s="1" t="s">
        <v>238</v>
      </c>
      <c r="FF2092" s="1" t="s">
        <v>239</v>
      </c>
      <c r="FG2092" s="1" t="s">
        <v>192</v>
      </c>
      <c r="FH2092" s="1" t="s">
        <v>200</v>
      </c>
      <c r="FJ2092" s="1" t="s">
        <v>3755</v>
      </c>
      <c r="FK2092" s="1" t="s">
        <v>1586</v>
      </c>
      <c r="FL2092" s="1" t="s">
        <v>19726</v>
      </c>
      <c r="FM2092" s="1">
        <v>25993.0</v>
      </c>
      <c r="FN2092" s="1" t="s">
        <v>19727</v>
      </c>
      <c r="FO2092" s="1" t="s">
        <v>19728</v>
      </c>
      <c r="FP2092" s="1">
        <v>26486.0</v>
      </c>
      <c r="FQ2092" s="1" t="s">
        <v>19729</v>
      </c>
      <c r="FU2092" s="1" t="s">
        <v>19730</v>
      </c>
      <c r="FV2092" s="1" t="s">
        <v>200</v>
      </c>
      <c r="FW2092" s="1" t="s">
        <v>290</v>
      </c>
      <c r="FX2092" s="1" t="s">
        <v>238</v>
      </c>
      <c r="FZ2092" s="1" t="s">
        <v>229</v>
      </c>
      <c r="GA2092" s="1" t="s">
        <v>291</v>
      </c>
      <c r="GB2092" s="2">
        <v>42076.0</v>
      </c>
      <c r="GC2092" s="1" t="s">
        <v>10482</v>
      </c>
    </row>
    <row r="2093">
      <c r="A2093" s="1">
        <v>165000.0</v>
      </c>
      <c r="B2093" s="1" t="s">
        <v>185</v>
      </c>
      <c r="C2093" s="1" t="str">
        <f>"08737795"</f>
        <v>08737795</v>
      </c>
      <c r="D2093" s="1" t="s">
        <v>186</v>
      </c>
      <c r="F2093" s="1" t="str">
        <f>"123"</f>
        <v>123</v>
      </c>
      <c r="G2093" s="2">
        <v>41907.0</v>
      </c>
      <c r="H2093" s="1">
        <v>165000.0</v>
      </c>
      <c r="I2093" s="1">
        <v>102.0</v>
      </c>
      <c r="J2093" s="1">
        <v>165000.0</v>
      </c>
      <c r="K2093" s="2">
        <v>42008.0</v>
      </c>
      <c r="L2093" s="1">
        <v>102.0</v>
      </c>
      <c r="M2093" s="2">
        <v>42008.0</v>
      </c>
      <c r="N2093" s="1" t="s">
        <v>356</v>
      </c>
      <c r="O2093" s="2">
        <v>42012.0</v>
      </c>
      <c r="P2093" s="1">
        <v>83905.0</v>
      </c>
      <c r="Q2093" s="1">
        <v>8965.0</v>
      </c>
      <c r="S2093" s="1">
        <v>303.0</v>
      </c>
      <c r="T2093" s="1" t="s">
        <v>4089</v>
      </c>
      <c r="U2093" s="1" t="s">
        <v>320</v>
      </c>
      <c r="V2093" s="1" t="s">
        <v>465</v>
      </c>
      <c r="W2093" s="1">
        <v>60123.0</v>
      </c>
      <c r="Y2093" s="1" t="s">
        <v>19731</v>
      </c>
      <c r="Z2093" s="1">
        <v>1918.0</v>
      </c>
      <c r="AA2093" s="1" t="s">
        <v>192</v>
      </c>
      <c r="AB2093" s="1" t="s">
        <v>193</v>
      </c>
      <c r="AD2093" s="1" t="s">
        <v>469</v>
      </c>
      <c r="AE2093" s="1" t="s">
        <v>325</v>
      </c>
      <c r="AF2093" s="1" t="s">
        <v>469</v>
      </c>
      <c r="AH2093" s="1" t="s">
        <v>19732</v>
      </c>
      <c r="AI2093" s="1">
        <v>0.25</v>
      </c>
      <c r="AK2093" s="1">
        <v>7.0</v>
      </c>
      <c r="AL2093" s="1">
        <v>4.0</v>
      </c>
      <c r="AM2093" s="1">
        <v>3.0</v>
      </c>
      <c r="AN2093" s="1">
        <v>0.0</v>
      </c>
      <c r="AO2093" s="1" t="s">
        <v>229</v>
      </c>
      <c r="AQ2093" s="1" t="s">
        <v>198</v>
      </c>
      <c r="AR2093" s="1" t="s">
        <v>192</v>
      </c>
      <c r="AS2093" s="1" t="s">
        <v>199</v>
      </c>
      <c r="AT2093" s="1">
        <v>1.0</v>
      </c>
      <c r="AV2093" s="1" t="s">
        <v>200</v>
      </c>
      <c r="AW2093" s="1">
        <v>3553.0</v>
      </c>
      <c r="AX2093" s="1">
        <v>2012.0</v>
      </c>
      <c r="AY2093" s="1" t="s">
        <v>387</v>
      </c>
      <c r="AZ2093" s="1" t="s">
        <v>200</v>
      </c>
      <c r="BA2093" s="1" t="str">
        <f>"0623280006"</f>
        <v>0623280006</v>
      </c>
      <c r="BC2093" s="1">
        <v>1488.0</v>
      </c>
      <c r="BD2093" s="1">
        <v>165000.0</v>
      </c>
      <c r="BE2093" s="2">
        <v>41907.0</v>
      </c>
      <c r="BF2093" s="2" t="s">
        <v>19733</v>
      </c>
      <c r="BH2093" s="1">
        <v>0.0</v>
      </c>
      <c r="BK2093" s="1" t="s">
        <v>204</v>
      </c>
      <c r="BL2093" s="1" t="str">
        <f t="shared" ref="BL2093:BM2093" si="1373">""</f>
        <v/>
      </c>
      <c r="BM2093" s="1" t="str">
        <f t="shared" si="1373"/>
        <v/>
      </c>
      <c r="BQ2093" s="1">
        <v>46.0</v>
      </c>
      <c r="BR2093" s="1">
        <v>46.0</v>
      </c>
      <c r="BS2093" s="1">
        <v>46.0</v>
      </c>
      <c r="BU2093" s="1" t="s">
        <v>1064</v>
      </c>
      <c r="BV2093" s="1" t="s">
        <v>206</v>
      </c>
      <c r="BW2093" s="1" t="s">
        <v>207</v>
      </c>
      <c r="BY2093" s="1" t="s">
        <v>2219</v>
      </c>
      <c r="BZ2093" s="1" t="s">
        <v>209</v>
      </c>
      <c r="CA2093" s="1" t="s">
        <v>207</v>
      </c>
      <c r="CC2093" s="1" t="s">
        <v>1567</v>
      </c>
      <c r="CD2093" s="1" t="s">
        <v>206</v>
      </c>
      <c r="CE2093" s="1" t="s">
        <v>207</v>
      </c>
      <c r="CG2093" s="1" t="s">
        <v>1183</v>
      </c>
      <c r="CH2093" s="1" t="s">
        <v>209</v>
      </c>
      <c r="CI2093" s="1" t="s">
        <v>207</v>
      </c>
      <c r="CK2093" s="1" t="s">
        <v>302</v>
      </c>
      <c r="CL2093" s="1" t="s">
        <v>206</v>
      </c>
      <c r="CM2093" s="1" t="s">
        <v>207</v>
      </c>
      <c r="CO2093" s="1" t="s">
        <v>302</v>
      </c>
      <c r="CP2093" s="1" t="s">
        <v>206</v>
      </c>
      <c r="CQ2093" s="1" t="s">
        <v>207</v>
      </c>
      <c r="CS2093" s="1" t="s">
        <v>663</v>
      </c>
      <c r="CT2093" s="1" t="s">
        <v>206</v>
      </c>
      <c r="CU2093" s="1" t="s">
        <v>268</v>
      </c>
      <c r="CX2093" s="1" t="s">
        <v>204</v>
      </c>
      <c r="DA2093" s="1" t="s">
        <v>200</v>
      </c>
      <c r="DC2093" s="1" t="s">
        <v>216</v>
      </c>
      <c r="DD2093" s="1" t="s">
        <v>518</v>
      </c>
      <c r="DE2093" s="1" t="s">
        <v>273</v>
      </c>
      <c r="DF2093" s="1" t="s">
        <v>219</v>
      </c>
      <c r="DH2093" s="1" t="s">
        <v>220</v>
      </c>
      <c r="DI2093" s="1" t="s">
        <v>2124</v>
      </c>
      <c r="DJ2093" s="1" t="s">
        <v>222</v>
      </c>
      <c r="DL2093" s="1" t="s">
        <v>224</v>
      </c>
      <c r="DM2093" s="1" t="s">
        <v>229</v>
      </c>
      <c r="DO2093" s="1" t="s">
        <v>486</v>
      </c>
      <c r="DQ2093" s="1" t="s">
        <v>441</v>
      </c>
      <c r="DR2093" s="1" t="s">
        <v>229</v>
      </c>
      <c r="DV2093" s="1" t="s">
        <v>408</v>
      </c>
      <c r="DW2093" s="1" t="s">
        <v>370</v>
      </c>
      <c r="DX2093" s="1" t="s">
        <v>234</v>
      </c>
      <c r="DY2093" s="1" t="s">
        <v>553</v>
      </c>
      <c r="DZ2093" s="1" t="s">
        <v>405</v>
      </c>
      <c r="EA2093" s="1" t="s">
        <v>644</v>
      </c>
      <c r="EC2093" s="1" t="s">
        <v>237</v>
      </c>
      <c r="EG2093" s="1" t="s">
        <v>408</v>
      </c>
      <c r="EL2093" s="1" t="s">
        <v>1613</v>
      </c>
      <c r="EM2093" s="1" t="s">
        <v>206</v>
      </c>
      <c r="EN2093" s="1" t="s">
        <v>207</v>
      </c>
      <c r="EQ2093" s="1" t="s">
        <v>238</v>
      </c>
      <c r="EU2093" s="1" t="s">
        <v>238</v>
      </c>
      <c r="EY2093" s="1" t="s">
        <v>238</v>
      </c>
      <c r="FC2093" s="1" t="s">
        <v>238</v>
      </c>
      <c r="FF2093" s="1" t="s">
        <v>239</v>
      </c>
      <c r="FG2093" s="1" t="s">
        <v>192</v>
      </c>
      <c r="FH2093" s="1" t="s">
        <v>192</v>
      </c>
      <c r="FJ2093" s="1" t="s">
        <v>412</v>
      </c>
      <c r="FK2093" s="1" t="s">
        <v>229</v>
      </c>
      <c r="FL2093" s="1" t="s">
        <v>1877</v>
      </c>
      <c r="FM2093" s="1">
        <v>24695.0</v>
      </c>
      <c r="FN2093" s="1" t="s">
        <v>1878</v>
      </c>
      <c r="FO2093" s="1" t="s">
        <v>19734</v>
      </c>
      <c r="FP2093" s="1">
        <v>20691.0</v>
      </c>
      <c r="FQ2093" s="1" t="s">
        <v>19735</v>
      </c>
      <c r="FS2093" s="1" t="s">
        <v>19736</v>
      </c>
      <c r="FU2093" s="1" t="s">
        <v>19737</v>
      </c>
      <c r="FV2093" s="1" t="s">
        <v>200</v>
      </c>
      <c r="FW2093" s="1" t="s">
        <v>461</v>
      </c>
      <c r="FZ2093" s="1" t="s">
        <v>229</v>
      </c>
      <c r="GA2093" s="1" t="s">
        <v>291</v>
      </c>
      <c r="GB2093" s="2">
        <v>42012.0</v>
      </c>
      <c r="GC2093" s="1" t="s">
        <v>19738</v>
      </c>
    </row>
    <row r="2094">
      <c r="A2094" s="1">
        <v>27250.0</v>
      </c>
      <c r="B2094" s="1" t="s">
        <v>185</v>
      </c>
      <c r="C2094" s="1" t="str">
        <f>"08737946"</f>
        <v>08737946</v>
      </c>
      <c r="D2094" s="1" t="s">
        <v>186</v>
      </c>
      <c r="F2094" s="1" t="str">
        <f>"8037"</f>
        <v>8037</v>
      </c>
      <c r="G2094" s="2">
        <v>41907.0</v>
      </c>
      <c r="H2094" s="1">
        <v>45000.0</v>
      </c>
      <c r="I2094" s="1">
        <v>61.0</v>
      </c>
      <c r="J2094" s="1">
        <v>34900.0</v>
      </c>
      <c r="K2094" s="2">
        <v>41967.0</v>
      </c>
      <c r="L2094" s="1">
        <v>61.0</v>
      </c>
      <c r="M2094" s="2">
        <v>41967.0</v>
      </c>
      <c r="N2094" s="1" t="s">
        <v>249</v>
      </c>
      <c r="O2094" s="2">
        <v>42004.0</v>
      </c>
      <c r="P2094" s="1">
        <v>240913.0</v>
      </c>
      <c r="Q2094" s="1">
        <v>25694.0</v>
      </c>
      <c r="S2094" s="1">
        <v>4736.0</v>
      </c>
      <c r="T2094" s="1" t="s">
        <v>4376</v>
      </c>
      <c r="U2094" s="1" t="s">
        <v>189</v>
      </c>
      <c r="V2094" s="1" t="s">
        <v>190</v>
      </c>
      <c r="W2094" s="1">
        <v>60609.0</v>
      </c>
      <c r="X2094" s="1">
        <v>4529.0</v>
      </c>
      <c r="Y2094" s="1" t="s">
        <v>19739</v>
      </c>
      <c r="Z2094" s="1">
        <v>1951.0</v>
      </c>
      <c r="AA2094" s="1" t="s">
        <v>192</v>
      </c>
      <c r="AB2094" s="1" t="s">
        <v>193</v>
      </c>
      <c r="AD2094" s="1" t="s">
        <v>194</v>
      </c>
      <c r="AE2094" s="1" t="s">
        <v>195</v>
      </c>
      <c r="AF2094" s="1" t="s">
        <v>659</v>
      </c>
      <c r="AH2094" s="1" t="s">
        <v>19740</v>
      </c>
      <c r="AI2094" s="1">
        <v>0.0776</v>
      </c>
      <c r="AK2094" s="1">
        <v>8.0</v>
      </c>
      <c r="AL2094" s="1">
        <v>3.0</v>
      </c>
      <c r="AM2094" s="1">
        <v>1.0</v>
      </c>
      <c r="AN2094" s="1">
        <v>1.0</v>
      </c>
      <c r="AO2094" s="1" t="s">
        <v>229</v>
      </c>
      <c r="AP2094" s="1">
        <v>0.0</v>
      </c>
      <c r="AQ2094" s="1" t="s">
        <v>1314</v>
      </c>
      <c r="AR2094" s="1" t="s">
        <v>192</v>
      </c>
      <c r="AS2094" s="1" t="s">
        <v>199</v>
      </c>
      <c r="AT2094" s="1">
        <v>2.0</v>
      </c>
      <c r="AV2094" s="1" t="s">
        <v>200</v>
      </c>
      <c r="AW2094" s="1">
        <v>1661.49</v>
      </c>
      <c r="AX2094" s="1">
        <v>2012.0</v>
      </c>
      <c r="AZ2094" s="1" t="s">
        <v>200</v>
      </c>
      <c r="BA2094" s="1" t="str">
        <f>"20092000440000"</f>
        <v>20092000440000</v>
      </c>
      <c r="BB2094" s="1" t="s">
        <v>200</v>
      </c>
      <c r="BC2094" s="1">
        <v>1085.0</v>
      </c>
      <c r="BD2094" s="1">
        <v>27250.0</v>
      </c>
      <c r="BE2094" s="2">
        <v>41907.0</v>
      </c>
      <c r="BF2094" s="2" t="s">
        <v>19741</v>
      </c>
      <c r="BH2094" s="1">
        <v>0.0</v>
      </c>
      <c r="BK2094" s="1" t="s">
        <v>204</v>
      </c>
      <c r="BL2094" s="1" t="str">
        <f t="shared" ref="BL2094:BM2094" si="1374">"0"</f>
        <v>0</v>
      </c>
      <c r="BM2094" s="1" t="str">
        <f t="shared" si="1374"/>
        <v>0</v>
      </c>
      <c r="BN2094" s="1">
        <v>350.0</v>
      </c>
      <c r="BO2094" s="1">
        <v>4736.0</v>
      </c>
      <c r="BQ2094" s="1">
        <v>299.0</v>
      </c>
      <c r="BR2094" s="1">
        <v>299.0</v>
      </c>
      <c r="BS2094" s="1">
        <v>299.0</v>
      </c>
      <c r="BT2094" s="1">
        <v>299.0</v>
      </c>
      <c r="BU2094" s="1" t="s">
        <v>924</v>
      </c>
      <c r="BV2094" s="1" t="s">
        <v>206</v>
      </c>
      <c r="BW2094" s="1" t="s">
        <v>301</v>
      </c>
      <c r="BY2094" s="1" t="s">
        <v>1395</v>
      </c>
      <c r="BZ2094" s="1" t="s">
        <v>209</v>
      </c>
      <c r="CA2094" s="1" t="s">
        <v>210</v>
      </c>
      <c r="CC2094" s="1" t="s">
        <v>269</v>
      </c>
      <c r="CD2094" s="1" t="s">
        <v>206</v>
      </c>
      <c r="CE2094" s="1" t="s">
        <v>268</v>
      </c>
      <c r="CG2094" s="1" t="s">
        <v>264</v>
      </c>
      <c r="CH2094" s="1" t="s">
        <v>209</v>
      </c>
      <c r="CI2094" s="1" t="s">
        <v>210</v>
      </c>
      <c r="CK2094" s="1" t="s">
        <v>1672</v>
      </c>
      <c r="CL2094" s="1" t="s">
        <v>209</v>
      </c>
      <c r="CM2094" s="1" t="s">
        <v>210</v>
      </c>
      <c r="CO2094" s="1" t="s">
        <v>302</v>
      </c>
      <c r="CP2094" s="1" t="s">
        <v>42</v>
      </c>
      <c r="CQ2094" s="1" t="s">
        <v>210</v>
      </c>
      <c r="CS2094" s="1" t="s">
        <v>495</v>
      </c>
      <c r="CT2094" s="1" t="s">
        <v>206</v>
      </c>
      <c r="CU2094" s="1" t="s">
        <v>268</v>
      </c>
      <c r="CW2094" s="1" t="s">
        <v>1891</v>
      </c>
      <c r="CX2094" s="1" t="s">
        <v>42</v>
      </c>
      <c r="CY2094" s="1" t="s">
        <v>268</v>
      </c>
      <c r="DA2094" s="1" t="s">
        <v>200</v>
      </c>
      <c r="DC2094" s="1" t="s">
        <v>702</v>
      </c>
      <c r="DE2094" s="1" t="s">
        <v>273</v>
      </c>
      <c r="DF2094" s="1" t="s">
        <v>905</v>
      </c>
      <c r="DH2094" s="1" t="s">
        <v>307</v>
      </c>
      <c r="DJ2094" s="1" t="s">
        <v>222</v>
      </c>
      <c r="DL2094" s="1" t="s">
        <v>858</v>
      </c>
      <c r="DM2094" s="1" t="s">
        <v>229</v>
      </c>
      <c r="DQ2094" s="1" t="s">
        <v>228</v>
      </c>
      <c r="DR2094" s="1" t="s">
        <v>229</v>
      </c>
      <c r="DS2094" s="1" t="s">
        <v>401</v>
      </c>
      <c r="DV2094" s="1" t="s">
        <v>232</v>
      </c>
      <c r="DW2094" s="1" t="s">
        <v>279</v>
      </c>
      <c r="DX2094" s="1" t="s">
        <v>234</v>
      </c>
      <c r="EC2094" s="1" t="s">
        <v>284</v>
      </c>
      <c r="EM2094" s="1" t="s">
        <v>238</v>
      </c>
      <c r="EQ2094" s="1" t="s">
        <v>238</v>
      </c>
      <c r="EU2094" s="1" t="s">
        <v>238</v>
      </c>
      <c r="EY2094" s="1" t="s">
        <v>238</v>
      </c>
      <c r="FC2094" s="1" t="s">
        <v>238</v>
      </c>
      <c r="FF2094" s="1" t="s">
        <v>239</v>
      </c>
      <c r="FG2094" s="1" t="s">
        <v>192</v>
      </c>
      <c r="FH2094" s="1" t="s">
        <v>192</v>
      </c>
      <c r="FJ2094" s="1" t="s">
        <v>12936</v>
      </c>
      <c r="FK2094" s="1" t="s">
        <v>229</v>
      </c>
      <c r="FL2094" s="1" t="s">
        <v>19742</v>
      </c>
      <c r="FM2094" s="1">
        <v>25694.0</v>
      </c>
      <c r="FN2094" s="1" t="s">
        <v>19743</v>
      </c>
      <c r="FO2094" s="1" t="s">
        <v>19744</v>
      </c>
      <c r="FP2094" s="1">
        <v>240913.0</v>
      </c>
      <c r="FU2094" s="1" t="s">
        <v>19745</v>
      </c>
      <c r="FV2094" s="1" t="s">
        <v>200</v>
      </c>
      <c r="FW2094" s="1" t="s">
        <v>19746</v>
      </c>
      <c r="FX2094" s="1" t="s">
        <v>655</v>
      </c>
      <c r="FZ2094" s="1" t="s">
        <v>229</v>
      </c>
      <c r="GA2094" s="1" t="s">
        <v>291</v>
      </c>
      <c r="GB2094" s="2">
        <v>42101.0</v>
      </c>
      <c r="GC2094" s="1" t="s">
        <v>19747</v>
      </c>
    </row>
    <row r="2095">
      <c r="A2095" s="1">
        <v>83475.0</v>
      </c>
      <c r="B2095" s="1" t="s">
        <v>185</v>
      </c>
      <c r="C2095" s="1" t="str">
        <f>"08732326"</f>
        <v>08732326</v>
      </c>
      <c r="D2095" s="1" t="s">
        <v>186</v>
      </c>
      <c r="F2095" s="1" t="str">
        <f>"8019"</f>
        <v>8019</v>
      </c>
      <c r="G2095" s="2">
        <v>41900.0</v>
      </c>
      <c r="H2095" s="1">
        <v>231700.0</v>
      </c>
      <c r="I2095" s="1">
        <v>168.0</v>
      </c>
      <c r="J2095" s="1">
        <v>231000.0</v>
      </c>
      <c r="K2095" s="2">
        <v>42067.0</v>
      </c>
      <c r="L2095" s="1">
        <v>168.0</v>
      </c>
      <c r="M2095" s="2">
        <v>42067.0</v>
      </c>
      <c r="N2095" s="1" t="s">
        <v>249</v>
      </c>
      <c r="O2095" s="2">
        <v>42116.0</v>
      </c>
      <c r="P2095" s="1">
        <v>403161.0</v>
      </c>
      <c r="Q2095" s="1">
        <v>40290.0</v>
      </c>
      <c r="S2095" s="1">
        <v>2316.0</v>
      </c>
      <c r="T2095" s="1" t="s">
        <v>9321</v>
      </c>
      <c r="U2095" s="1" t="s">
        <v>189</v>
      </c>
      <c r="V2095" s="1" t="s">
        <v>190</v>
      </c>
      <c r="W2095" s="1">
        <v>60639.0</v>
      </c>
      <c r="Y2095" s="1" t="s">
        <v>19748</v>
      </c>
      <c r="Z2095" s="1">
        <v>1924.0</v>
      </c>
      <c r="AA2095" s="1" t="s">
        <v>192</v>
      </c>
      <c r="AB2095" s="1" t="s">
        <v>193</v>
      </c>
      <c r="AD2095" s="1" t="s">
        <v>194</v>
      </c>
      <c r="AE2095" s="1" t="s">
        <v>195</v>
      </c>
      <c r="AF2095" s="1" t="s">
        <v>196</v>
      </c>
      <c r="AH2095" s="1" t="s">
        <v>19749</v>
      </c>
      <c r="AK2095" s="1">
        <v>8.0</v>
      </c>
      <c r="AL2095" s="1">
        <v>4.0</v>
      </c>
      <c r="AM2095" s="1">
        <v>2.0</v>
      </c>
      <c r="AN2095" s="1">
        <v>2.0</v>
      </c>
      <c r="AO2095" s="1" t="s">
        <v>229</v>
      </c>
      <c r="AQ2095" s="1" t="s">
        <v>198</v>
      </c>
      <c r="AR2095" s="1" t="s">
        <v>192</v>
      </c>
      <c r="AS2095" s="1" t="s">
        <v>199</v>
      </c>
      <c r="AT2095" s="1">
        <v>2.0</v>
      </c>
      <c r="AV2095" s="1" t="s">
        <v>200</v>
      </c>
      <c r="AW2095" s="1">
        <v>2999.0</v>
      </c>
      <c r="AX2095" s="1">
        <v>2013.0</v>
      </c>
      <c r="AZ2095" s="1" t="s">
        <v>200</v>
      </c>
      <c r="BA2095" s="1" t="str">
        <f>"13321050400000"</f>
        <v>13321050400000</v>
      </c>
      <c r="BB2095" s="1" t="s">
        <v>200</v>
      </c>
      <c r="BC2095" s="1">
        <v>0.0</v>
      </c>
      <c r="BD2095" s="1">
        <v>83475.0</v>
      </c>
      <c r="BE2095" s="2">
        <v>41900.0</v>
      </c>
      <c r="BF2095" s="2" t="s">
        <v>19750</v>
      </c>
      <c r="BH2095" s="1">
        <v>0.0</v>
      </c>
      <c r="BK2095" s="1" t="s">
        <v>204</v>
      </c>
      <c r="BL2095" s="1" t="str">
        <f>"2316"</f>
        <v>2316</v>
      </c>
      <c r="BM2095" s="1" t="str">
        <f>"0"</f>
        <v>0</v>
      </c>
      <c r="BN2095" s="1">
        <v>6100.0</v>
      </c>
      <c r="BO2095" s="1">
        <v>0.0</v>
      </c>
      <c r="BQ2095" s="1">
        <v>299.0</v>
      </c>
      <c r="BR2095" s="1">
        <v>299.0</v>
      </c>
      <c r="BS2095" s="1">
        <v>299.0</v>
      </c>
      <c r="BU2095" s="1" t="s">
        <v>215</v>
      </c>
      <c r="BV2095" s="1" t="s">
        <v>206</v>
      </c>
      <c r="BW2095" s="1" t="s">
        <v>207</v>
      </c>
      <c r="BY2095" s="1" t="s">
        <v>495</v>
      </c>
      <c r="BZ2095" s="1" t="s">
        <v>206</v>
      </c>
      <c r="CA2095" s="1" t="s">
        <v>207</v>
      </c>
      <c r="CC2095" s="1" t="s">
        <v>215</v>
      </c>
      <c r="CD2095" s="1" t="s">
        <v>206</v>
      </c>
      <c r="CE2095" s="1" t="s">
        <v>207</v>
      </c>
      <c r="CG2095" s="1" t="s">
        <v>269</v>
      </c>
      <c r="CH2095" s="1" t="s">
        <v>206</v>
      </c>
      <c r="CI2095" s="1" t="s">
        <v>207</v>
      </c>
      <c r="CK2095" s="1" t="s">
        <v>363</v>
      </c>
      <c r="CL2095" s="1" t="s">
        <v>114</v>
      </c>
      <c r="CM2095" s="1" t="s">
        <v>210</v>
      </c>
      <c r="CO2095" s="1" t="s">
        <v>363</v>
      </c>
      <c r="CP2095" s="1" t="s">
        <v>114</v>
      </c>
      <c r="CQ2095" s="1" t="s">
        <v>210</v>
      </c>
      <c r="CS2095" s="1" t="s">
        <v>363</v>
      </c>
      <c r="CT2095" s="1" t="s">
        <v>206</v>
      </c>
      <c r="CW2095" s="1" t="s">
        <v>264</v>
      </c>
      <c r="CX2095" s="1" t="s">
        <v>42</v>
      </c>
      <c r="CY2095" s="1" t="s">
        <v>210</v>
      </c>
      <c r="DA2095" s="1" t="s">
        <v>200</v>
      </c>
      <c r="DC2095" s="1" t="s">
        <v>216</v>
      </c>
      <c r="DE2095" s="1" t="s">
        <v>229</v>
      </c>
      <c r="DF2095" s="1" t="s">
        <v>905</v>
      </c>
      <c r="DH2095" s="1" t="s">
        <v>365</v>
      </c>
      <c r="DJ2095" s="1" t="s">
        <v>222</v>
      </c>
      <c r="DK2095" s="1" t="s">
        <v>224</v>
      </c>
      <c r="DL2095" s="1" t="s">
        <v>224</v>
      </c>
      <c r="DM2095" s="1" t="s">
        <v>1402</v>
      </c>
      <c r="DQ2095" s="1" t="s">
        <v>718</v>
      </c>
      <c r="DR2095" s="1" t="s">
        <v>229</v>
      </c>
      <c r="DV2095" s="1" t="s">
        <v>232</v>
      </c>
      <c r="DW2095" s="1" t="s">
        <v>667</v>
      </c>
      <c r="DX2095" s="1" t="s">
        <v>234</v>
      </c>
      <c r="EA2095" s="1" t="s">
        <v>1075</v>
      </c>
      <c r="EC2095" s="1" t="s">
        <v>645</v>
      </c>
      <c r="EM2095" s="1" t="s">
        <v>238</v>
      </c>
      <c r="EQ2095" s="1" t="s">
        <v>238</v>
      </c>
      <c r="EU2095" s="1" t="s">
        <v>238</v>
      </c>
      <c r="EY2095" s="1" t="s">
        <v>238</v>
      </c>
      <c r="FC2095" s="1" t="s">
        <v>238</v>
      </c>
      <c r="FF2095" s="1" t="s">
        <v>239</v>
      </c>
      <c r="FG2095" s="1" t="s">
        <v>192</v>
      </c>
      <c r="FH2095" s="1" t="s">
        <v>192</v>
      </c>
      <c r="FJ2095" s="1" t="s">
        <v>19751</v>
      </c>
      <c r="FK2095" s="1" t="s">
        <v>229</v>
      </c>
      <c r="FL2095" s="1" t="s">
        <v>1997</v>
      </c>
      <c r="FM2095" s="1">
        <v>84124.0</v>
      </c>
      <c r="FN2095" s="1" t="s">
        <v>3335</v>
      </c>
      <c r="FO2095" s="1" t="s">
        <v>19752</v>
      </c>
      <c r="FP2095" s="1">
        <v>107379.0</v>
      </c>
      <c r="FQ2095" s="1" t="s">
        <v>19753</v>
      </c>
      <c r="FU2095" s="1" t="s">
        <v>15210</v>
      </c>
      <c r="FV2095" s="1" t="s">
        <v>200</v>
      </c>
      <c r="FW2095" s="1" t="s">
        <v>8399</v>
      </c>
      <c r="FX2095" s="1" t="s">
        <v>238</v>
      </c>
      <c r="FZ2095" s="1" t="s">
        <v>229</v>
      </c>
      <c r="GA2095" s="1" t="s">
        <v>291</v>
      </c>
      <c r="GB2095" s="2">
        <v>42117.0</v>
      </c>
      <c r="GC2095" s="1" t="s">
        <v>19754</v>
      </c>
    </row>
    <row r="2096">
      <c r="A2096" s="1">
        <v>127000.0</v>
      </c>
      <c r="B2096" s="1" t="s">
        <v>185</v>
      </c>
      <c r="C2096" s="1" t="str">
        <f>"08734851"</f>
        <v>08734851</v>
      </c>
      <c r="D2096" s="1" t="s">
        <v>186</v>
      </c>
      <c r="F2096" s="1" t="str">
        <f>"8044"</f>
        <v>8044</v>
      </c>
      <c r="G2096" s="2">
        <v>41904.0</v>
      </c>
      <c r="H2096" s="1">
        <v>139900.0</v>
      </c>
      <c r="I2096" s="1">
        <v>166.0</v>
      </c>
      <c r="J2096" s="1">
        <v>129900.0</v>
      </c>
      <c r="K2096" s="2">
        <v>41933.0</v>
      </c>
      <c r="L2096" s="1">
        <v>30.0</v>
      </c>
      <c r="M2096" s="2">
        <v>41933.0</v>
      </c>
      <c r="N2096" s="1" t="s">
        <v>356</v>
      </c>
      <c r="O2096" s="2">
        <v>42034.0</v>
      </c>
      <c r="P2096" s="1">
        <v>237886.0</v>
      </c>
      <c r="Q2096" s="1">
        <v>61153.0</v>
      </c>
      <c r="R2096" s="1">
        <v>4000.0</v>
      </c>
      <c r="S2096" s="1">
        <v>8726.0</v>
      </c>
      <c r="T2096" s="1" t="s">
        <v>10763</v>
      </c>
      <c r="U2096" s="1" t="s">
        <v>189</v>
      </c>
      <c r="V2096" s="1" t="s">
        <v>190</v>
      </c>
      <c r="W2096" s="1">
        <v>60619.0</v>
      </c>
      <c r="Y2096" s="1" t="s">
        <v>19755</v>
      </c>
      <c r="Z2096" s="1" t="s">
        <v>296</v>
      </c>
      <c r="AA2096" s="1" t="s">
        <v>192</v>
      </c>
      <c r="AB2096" s="1" t="s">
        <v>193</v>
      </c>
      <c r="AD2096" s="1" t="s">
        <v>194</v>
      </c>
      <c r="AE2096" s="1" t="s">
        <v>195</v>
      </c>
      <c r="AF2096" s="1" t="s">
        <v>637</v>
      </c>
      <c r="AH2096" s="1" t="s">
        <v>359</v>
      </c>
      <c r="AI2096" s="1">
        <v>0.1123</v>
      </c>
      <c r="AK2096" s="1">
        <v>6.0</v>
      </c>
      <c r="AL2096" s="1">
        <v>4.0</v>
      </c>
      <c r="AM2096" s="1">
        <v>2.0</v>
      </c>
      <c r="AN2096" s="1">
        <v>0.0</v>
      </c>
      <c r="AO2096" s="1" t="s">
        <v>229</v>
      </c>
      <c r="AQ2096" s="1" t="s">
        <v>198</v>
      </c>
      <c r="AR2096" s="1" t="s">
        <v>200</v>
      </c>
      <c r="AS2096" s="1" t="s">
        <v>229</v>
      </c>
      <c r="AV2096" s="1" t="s">
        <v>200</v>
      </c>
      <c r="AW2096" s="1">
        <v>2325.68</v>
      </c>
      <c r="AX2096" s="1">
        <v>2012.0</v>
      </c>
      <c r="AY2096" s="1" t="s">
        <v>229</v>
      </c>
      <c r="AZ2096" s="1" t="s">
        <v>200</v>
      </c>
      <c r="BA2096" s="1" t="str">
        <f>"25031010330000"</f>
        <v>25031010330000</v>
      </c>
      <c r="BB2096" s="1" t="s">
        <v>200</v>
      </c>
      <c r="BC2096" s="1">
        <v>1650.0</v>
      </c>
      <c r="BD2096" s="1">
        <v>127000.0</v>
      </c>
      <c r="BE2096" s="2">
        <v>41904.0</v>
      </c>
      <c r="BF2096" s="2" t="s">
        <v>19756</v>
      </c>
      <c r="BH2096" s="1">
        <v>0.0</v>
      </c>
      <c r="BK2096" s="1" t="s">
        <v>204</v>
      </c>
      <c r="BL2096" s="1" t="str">
        <f>"0"</f>
        <v>0</v>
      </c>
      <c r="BM2096" s="1" t="str">
        <f>"100"</f>
        <v>100</v>
      </c>
      <c r="BN2096" s="1">
        <v>0.0</v>
      </c>
      <c r="BO2096" s="1">
        <v>8726.0</v>
      </c>
      <c r="BQ2096" s="1">
        <v>299.0</v>
      </c>
      <c r="BR2096" s="1">
        <v>299.0</v>
      </c>
      <c r="BS2096" s="1">
        <v>299.0</v>
      </c>
      <c r="BU2096" s="1" t="s">
        <v>830</v>
      </c>
      <c r="BV2096" s="1" t="s">
        <v>206</v>
      </c>
      <c r="BW2096" s="1" t="s">
        <v>207</v>
      </c>
      <c r="BY2096" s="1" t="s">
        <v>215</v>
      </c>
      <c r="BZ2096" s="1" t="s">
        <v>209</v>
      </c>
      <c r="CA2096" s="1" t="s">
        <v>207</v>
      </c>
      <c r="CD2096" s="1" t="s">
        <v>204</v>
      </c>
      <c r="CG2096" s="1" t="s">
        <v>495</v>
      </c>
      <c r="CH2096" s="1" t="s">
        <v>209</v>
      </c>
      <c r="CI2096" s="1" t="s">
        <v>207</v>
      </c>
      <c r="CK2096" s="1" t="s">
        <v>269</v>
      </c>
      <c r="CL2096" s="1" t="s">
        <v>209</v>
      </c>
      <c r="CM2096" s="1" t="s">
        <v>207</v>
      </c>
      <c r="CO2096" s="1" t="s">
        <v>392</v>
      </c>
      <c r="CP2096" s="1" t="s">
        <v>206</v>
      </c>
      <c r="CQ2096" s="1" t="s">
        <v>207</v>
      </c>
      <c r="CS2096" s="1" t="s">
        <v>264</v>
      </c>
      <c r="CT2096" s="1" t="s">
        <v>206</v>
      </c>
      <c r="CU2096" s="1" t="s">
        <v>207</v>
      </c>
      <c r="CX2096" s="1" t="s">
        <v>204</v>
      </c>
      <c r="DA2096" s="1" t="s">
        <v>200</v>
      </c>
      <c r="DC2096" s="1" t="s">
        <v>785</v>
      </c>
      <c r="DE2096" s="1" t="s">
        <v>2851</v>
      </c>
      <c r="DF2096" s="1" t="s">
        <v>219</v>
      </c>
      <c r="DH2096" s="1" t="s">
        <v>365</v>
      </c>
      <c r="DJ2096" s="1" t="s">
        <v>222</v>
      </c>
      <c r="DL2096" s="1" t="s">
        <v>224</v>
      </c>
      <c r="DM2096" s="1" t="s">
        <v>229</v>
      </c>
      <c r="DQ2096" s="1" t="s">
        <v>228</v>
      </c>
      <c r="DR2096" s="1" t="s">
        <v>229</v>
      </c>
      <c r="DV2096" s="1" t="s">
        <v>232</v>
      </c>
      <c r="DW2096" s="1" t="s">
        <v>279</v>
      </c>
      <c r="DX2096" s="1" t="s">
        <v>234</v>
      </c>
      <c r="EC2096" s="1" t="s">
        <v>237</v>
      </c>
      <c r="EM2096" s="1" t="s">
        <v>238</v>
      </c>
      <c r="EQ2096" s="1" t="s">
        <v>238</v>
      </c>
      <c r="EU2096" s="1" t="s">
        <v>238</v>
      </c>
      <c r="EY2096" s="1" t="s">
        <v>238</v>
      </c>
      <c r="FC2096" s="1" t="s">
        <v>238</v>
      </c>
      <c r="FF2096" s="1" t="s">
        <v>239</v>
      </c>
      <c r="FG2096" s="1" t="s">
        <v>192</v>
      </c>
      <c r="FH2096" s="1" t="s">
        <v>192</v>
      </c>
      <c r="FJ2096" s="1" t="s">
        <v>4040</v>
      </c>
      <c r="FK2096" s="1" t="s">
        <v>229</v>
      </c>
      <c r="FL2096" s="1" t="s">
        <v>649</v>
      </c>
      <c r="FM2096" s="1">
        <v>60296.0</v>
      </c>
      <c r="FN2096" s="1" t="s">
        <v>650</v>
      </c>
      <c r="FO2096" s="1" t="s">
        <v>19757</v>
      </c>
      <c r="FP2096" s="1">
        <v>602442.0</v>
      </c>
      <c r="FQ2096" s="1" t="s">
        <v>19758</v>
      </c>
      <c r="FU2096" s="1" t="s">
        <v>11342</v>
      </c>
      <c r="FV2096" s="1" t="s">
        <v>200</v>
      </c>
      <c r="FW2096" s="1" t="s">
        <v>530</v>
      </c>
      <c r="FX2096" s="1" t="s">
        <v>655</v>
      </c>
      <c r="FZ2096" s="1" t="s">
        <v>229</v>
      </c>
      <c r="GA2096" s="1" t="s">
        <v>291</v>
      </c>
      <c r="GB2096" s="2">
        <v>42038.0</v>
      </c>
      <c r="GC2096" s="1" t="s">
        <v>1372</v>
      </c>
    </row>
    <row r="2097">
      <c r="A2097" s="1">
        <v>255000.0</v>
      </c>
      <c r="B2097" s="1" t="s">
        <v>185</v>
      </c>
      <c r="C2097" s="1" t="str">
        <f>"08733919"</f>
        <v>08733919</v>
      </c>
      <c r="D2097" s="1" t="s">
        <v>186</v>
      </c>
      <c r="F2097" s="1" t="str">
        <f>"510"</f>
        <v>510</v>
      </c>
      <c r="G2097" s="2">
        <v>41903.0</v>
      </c>
      <c r="H2097" s="1">
        <v>275000.0</v>
      </c>
      <c r="I2097" s="1">
        <v>31.0</v>
      </c>
      <c r="J2097" s="1">
        <v>267500.0</v>
      </c>
      <c r="K2097" s="2">
        <v>41933.0</v>
      </c>
      <c r="L2097" s="1">
        <v>31.0</v>
      </c>
      <c r="M2097" s="2">
        <v>41933.0</v>
      </c>
      <c r="N2097" s="1" t="s">
        <v>356</v>
      </c>
      <c r="O2097" s="2">
        <v>41985.0</v>
      </c>
      <c r="P2097" s="1">
        <v>902.0</v>
      </c>
      <c r="Q2097" s="1">
        <v>49.0</v>
      </c>
      <c r="S2097" s="1">
        <v>1324.0</v>
      </c>
      <c r="T2097" s="1" t="s">
        <v>19759</v>
      </c>
      <c r="U2097" s="1" t="s">
        <v>569</v>
      </c>
      <c r="V2097" s="1" t="s">
        <v>2700</v>
      </c>
      <c r="W2097" s="1">
        <v>60510.0</v>
      </c>
      <c r="Y2097" s="1" t="s">
        <v>19760</v>
      </c>
      <c r="Z2097" s="1">
        <v>1988.0</v>
      </c>
      <c r="AA2097" s="1" t="s">
        <v>200</v>
      </c>
      <c r="AB2097" s="1" t="s">
        <v>193</v>
      </c>
      <c r="AC2097" s="1" t="s">
        <v>17310</v>
      </c>
      <c r="AD2097" s="1" t="s">
        <v>2702</v>
      </c>
      <c r="AE2097" s="1" t="s">
        <v>325</v>
      </c>
      <c r="AF2097" s="1" t="s">
        <v>2702</v>
      </c>
      <c r="AH2097" s="1" t="s">
        <v>19761</v>
      </c>
      <c r="AK2097" s="1">
        <v>12.0</v>
      </c>
      <c r="AL2097" s="1">
        <v>4.0</v>
      </c>
      <c r="AM2097" s="1">
        <v>2.0</v>
      </c>
      <c r="AN2097" s="1">
        <v>1.0</v>
      </c>
      <c r="AO2097" s="1" t="s">
        <v>198</v>
      </c>
      <c r="AP2097" s="1">
        <v>1.0</v>
      </c>
      <c r="AQ2097" s="1" t="s">
        <v>198</v>
      </c>
      <c r="AR2097" s="1" t="s">
        <v>200</v>
      </c>
      <c r="AS2097" s="1" t="s">
        <v>199</v>
      </c>
      <c r="AT2097" s="1">
        <v>2.0</v>
      </c>
      <c r="AV2097" s="1" t="s">
        <v>200</v>
      </c>
      <c r="AW2097" s="1">
        <v>6491.88</v>
      </c>
      <c r="AX2097" s="1">
        <v>2013.0</v>
      </c>
      <c r="AY2097" s="1" t="s">
        <v>387</v>
      </c>
      <c r="AZ2097" s="1" t="s">
        <v>200</v>
      </c>
      <c r="BA2097" s="1" t="str">
        <f>"1225301002"</f>
        <v>1225301002</v>
      </c>
      <c r="BB2097" s="1" t="s">
        <v>200</v>
      </c>
      <c r="BC2097" s="1">
        <v>1952.0</v>
      </c>
      <c r="BD2097" s="1">
        <v>255000.0</v>
      </c>
      <c r="BE2097" s="2">
        <v>41903.0</v>
      </c>
      <c r="BF2097" s="2" t="s">
        <v>19762</v>
      </c>
      <c r="BG2097" s="1" t="s">
        <v>17313</v>
      </c>
      <c r="BH2097" s="1">
        <v>0.0</v>
      </c>
      <c r="BI2097" s="1" t="s">
        <v>3090</v>
      </c>
      <c r="BJ2097" s="1" t="s">
        <v>3091</v>
      </c>
      <c r="BK2097" s="1" t="s">
        <v>204</v>
      </c>
      <c r="BL2097" s="1" t="str">
        <f t="shared" ref="BL2097:BM2097" si="1375">""</f>
        <v/>
      </c>
      <c r="BM2097" s="1" t="str">
        <f t="shared" si="1375"/>
        <v/>
      </c>
      <c r="BQ2097" s="1">
        <v>101.0</v>
      </c>
      <c r="BR2097" s="1">
        <v>101.0</v>
      </c>
      <c r="BS2097" s="1">
        <v>101.0</v>
      </c>
      <c r="BU2097" s="1" t="s">
        <v>205</v>
      </c>
      <c r="BV2097" s="1" t="s">
        <v>206</v>
      </c>
      <c r="BW2097" s="1" t="s">
        <v>210</v>
      </c>
      <c r="BX2097" s="1" t="s">
        <v>239</v>
      </c>
      <c r="BY2097" s="1" t="s">
        <v>329</v>
      </c>
      <c r="BZ2097" s="1" t="s">
        <v>209</v>
      </c>
      <c r="CA2097" s="1" t="s">
        <v>210</v>
      </c>
      <c r="CB2097" s="1" t="s">
        <v>239</v>
      </c>
      <c r="CC2097" s="1" t="s">
        <v>215</v>
      </c>
      <c r="CD2097" s="1" t="s">
        <v>206</v>
      </c>
      <c r="CE2097" s="1" t="s">
        <v>210</v>
      </c>
      <c r="CF2097" s="1" t="s">
        <v>239</v>
      </c>
      <c r="CG2097" s="1" t="s">
        <v>331</v>
      </c>
      <c r="CH2097" s="1" t="s">
        <v>209</v>
      </c>
      <c r="CI2097" s="1" t="s">
        <v>210</v>
      </c>
      <c r="CJ2097" s="1" t="s">
        <v>239</v>
      </c>
      <c r="CK2097" s="1" t="s">
        <v>363</v>
      </c>
      <c r="CL2097" s="1" t="s">
        <v>209</v>
      </c>
      <c r="CM2097" s="1" t="s">
        <v>210</v>
      </c>
      <c r="CN2097" s="1" t="s">
        <v>239</v>
      </c>
      <c r="CO2097" s="1" t="s">
        <v>269</v>
      </c>
      <c r="CP2097" s="1" t="s">
        <v>209</v>
      </c>
      <c r="CQ2097" s="1" t="s">
        <v>210</v>
      </c>
      <c r="CR2097" s="1" t="s">
        <v>239</v>
      </c>
      <c r="CS2097" s="1" t="s">
        <v>212</v>
      </c>
      <c r="CT2097" s="1" t="s">
        <v>206</v>
      </c>
      <c r="CW2097" s="1" t="s">
        <v>1117</v>
      </c>
      <c r="CX2097" s="1" t="s">
        <v>206</v>
      </c>
      <c r="CZ2097" s="1" t="s">
        <v>239</v>
      </c>
      <c r="DA2097" s="1" t="s">
        <v>200</v>
      </c>
      <c r="DC2097" s="1" t="s">
        <v>305</v>
      </c>
      <c r="DD2097" s="1" t="s">
        <v>518</v>
      </c>
      <c r="DE2097" s="1" t="s">
        <v>273</v>
      </c>
      <c r="DF2097" s="1" t="s">
        <v>619</v>
      </c>
      <c r="DG2097" s="1" t="s">
        <v>3110</v>
      </c>
      <c r="DH2097" s="1" t="s">
        <v>220</v>
      </c>
      <c r="DI2097" s="1" t="s">
        <v>12695</v>
      </c>
      <c r="DJ2097" s="1" t="s">
        <v>222</v>
      </c>
      <c r="DL2097" s="1" t="s">
        <v>1267</v>
      </c>
      <c r="DM2097" s="1" t="s">
        <v>338</v>
      </c>
      <c r="DN2097" s="1" t="s">
        <v>367</v>
      </c>
      <c r="DO2097" s="1" t="s">
        <v>549</v>
      </c>
      <c r="DP2097" s="1" t="s">
        <v>340</v>
      </c>
      <c r="DQ2097" s="1" t="s">
        <v>441</v>
      </c>
      <c r="DR2097" s="1" t="s">
        <v>229</v>
      </c>
      <c r="DS2097" s="1" t="s">
        <v>230</v>
      </c>
      <c r="DU2097" s="1" t="s">
        <v>3890</v>
      </c>
      <c r="DV2097" s="1" t="s">
        <v>19763</v>
      </c>
      <c r="DW2097" s="1" t="s">
        <v>233</v>
      </c>
      <c r="DX2097" s="1" t="s">
        <v>234</v>
      </c>
      <c r="DZ2097" s="1" t="s">
        <v>2260</v>
      </c>
      <c r="EB2097" s="1" t="s">
        <v>345</v>
      </c>
      <c r="EC2097" s="1" t="s">
        <v>237</v>
      </c>
      <c r="ED2097" s="1" t="s">
        <v>407</v>
      </c>
      <c r="EG2097" s="1" t="s">
        <v>449</v>
      </c>
      <c r="EH2097" s="1" t="s">
        <v>598</v>
      </c>
      <c r="EI2097" s="1" t="s">
        <v>450</v>
      </c>
      <c r="EJ2097" s="1" t="s">
        <v>451</v>
      </c>
      <c r="EL2097" s="1" t="s">
        <v>699</v>
      </c>
      <c r="EM2097" s="1" t="s">
        <v>206</v>
      </c>
      <c r="EO2097" s="1" t="s">
        <v>239</v>
      </c>
      <c r="EP2097" s="1" t="s">
        <v>699</v>
      </c>
      <c r="EQ2097" s="1" t="s">
        <v>42</v>
      </c>
      <c r="ET2097" s="1" t="s">
        <v>205</v>
      </c>
      <c r="EU2097" s="1" t="s">
        <v>42</v>
      </c>
      <c r="EX2097" s="1" t="s">
        <v>215</v>
      </c>
      <c r="EY2097" s="1" t="s">
        <v>42</v>
      </c>
      <c r="EZ2097" s="1" t="s">
        <v>210</v>
      </c>
      <c r="FC2097" s="1" t="s">
        <v>238</v>
      </c>
      <c r="FF2097" s="1" t="s">
        <v>239</v>
      </c>
      <c r="FG2097" s="1" t="s">
        <v>192</v>
      </c>
      <c r="FH2097" s="1" t="s">
        <v>192</v>
      </c>
      <c r="FJ2097" s="1" t="s">
        <v>2552</v>
      </c>
      <c r="FK2097" s="1" t="s">
        <v>229</v>
      </c>
      <c r="FL2097" s="1" t="s">
        <v>456</v>
      </c>
      <c r="FM2097" s="1">
        <v>49.0</v>
      </c>
      <c r="FN2097" s="1" t="s">
        <v>457</v>
      </c>
      <c r="FO2097" s="1" t="s">
        <v>3100</v>
      </c>
      <c r="FP2097" s="1">
        <v>8292.0</v>
      </c>
      <c r="FQ2097" s="1" t="s">
        <v>3101</v>
      </c>
      <c r="FS2097" s="1" t="s">
        <v>3102</v>
      </c>
      <c r="FU2097" s="1" t="s">
        <v>460</v>
      </c>
      <c r="FV2097" s="1" t="s">
        <v>200</v>
      </c>
      <c r="FW2097" s="1" t="s">
        <v>290</v>
      </c>
      <c r="FZ2097" s="1" t="s">
        <v>229</v>
      </c>
      <c r="GA2097" s="1" t="s">
        <v>291</v>
      </c>
      <c r="GB2097" s="2">
        <v>41985.0</v>
      </c>
      <c r="GC2097" s="1" t="s">
        <v>19764</v>
      </c>
    </row>
    <row r="2098">
      <c r="A2098" s="1">
        <v>130000.0</v>
      </c>
      <c r="B2098" s="1" t="s">
        <v>185</v>
      </c>
      <c r="C2098" s="1" t="str">
        <f>"08738067"</f>
        <v>08738067</v>
      </c>
      <c r="D2098" s="1" t="s">
        <v>186</v>
      </c>
      <c r="F2098" s="1" t="str">
        <f>"8025"</f>
        <v>8025</v>
      </c>
      <c r="G2098" s="2">
        <v>41907.0</v>
      </c>
      <c r="H2098" s="1">
        <v>135000.0</v>
      </c>
      <c r="I2098" s="1">
        <v>15.0</v>
      </c>
      <c r="J2098" s="1">
        <v>135000.0</v>
      </c>
      <c r="K2098" s="2">
        <v>41921.0</v>
      </c>
      <c r="L2098" s="1">
        <v>15.0</v>
      </c>
      <c r="M2098" s="2">
        <v>41921.0</v>
      </c>
      <c r="N2098" s="1" t="s">
        <v>356</v>
      </c>
      <c r="O2098" s="2">
        <v>41978.0</v>
      </c>
      <c r="P2098" s="1">
        <v>901688.0</v>
      </c>
      <c r="Q2098" s="1">
        <v>90706.0</v>
      </c>
      <c r="R2098" s="1">
        <v>2000.0</v>
      </c>
      <c r="S2098" s="1">
        <v>5510.0</v>
      </c>
      <c r="T2098" s="1" t="s">
        <v>19765</v>
      </c>
      <c r="U2098" s="1" t="s">
        <v>320</v>
      </c>
      <c r="V2098" s="1" t="s">
        <v>190</v>
      </c>
      <c r="W2098" s="1">
        <v>60651.0</v>
      </c>
      <c r="Y2098" s="1" t="s">
        <v>19766</v>
      </c>
      <c r="Z2098" s="1" t="s">
        <v>296</v>
      </c>
      <c r="AA2098" s="1" t="s">
        <v>192</v>
      </c>
      <c r="AB2098" s="1" t="s">
        <v>193</v>
      </c>
      <c r="AD2098" s="1" t="s">
        <v>194</v>
      </c>
      <c r="AE2098" s="1" t="s">
        <v>195</v>
      </c>
      <c r="AF2098" s="1" t="s">
        <v>827</v>
      </c>
      <c r="AH2098" s="1" t="s">
        <v>2080</v>
      </c>
      <c r="AK2098" s="1">
        <v>7.0</v>
      </c>
      <c r="AL2098" s="1">
        <v>4.0</v>
      </c>
      <c r="AM2098" s="1">
        <v>2.0</v>
      </c>
      <c r="AN2098" s="1">
        <v>1.0</v>
      </c>
      <c r="AO2098" s="1" t="s">
        <v>229</v>
      </c>
      <c r="AQ2098" s="1" t="s">
        <v>198</v>
      </c>
      <c r="AR2098" s="1" t="s">
        <v>200</v>
      </c>
      <c r="AS2098" s="1" t="s">
        <v>828</v>
      </c>
      <c r="AU2098" s="1">
        <v>2.0</v>
      </c>
      <c r="AV2098" s="1" t="s">
        <v>200</v>
      </c>
      <c r="AW2098" s="1">
        <v>1907.0</v>
      </c>
      <c r="AX2098" s="1">
        <v>2012.0</v>
      </c>
      <c r="AZ2098" s="1" t="s">
        <v>200</v>
      </c>
      <c r="BA2098" s="1" t="str">
        <f>"16043180170000"</f>
        <v>16043180170000</v>
      </c>
      <c r="BC2098" s="1">
        <v>1704.0</v>
      </c>
      <c r="BD2098" s="1">
        <v>130000.0</v>
      </c>
      <c r="BE2098" s="2">
        <v>41907.0</v>
      </c>
      <c r="BF2098" s="1" t="s">
        <v>19767</v>
      </c>
      <c r="BH2098" s="1">
        <v>0.0</v>
      </c>
      <c r="BK2098" s="1" t="s">
        <v>204</v>
      </c>
      <c r="BL2098" s="1" t="str">
        <f>"900"</f>
        <v>900</v>
      </c>
      <c r="BM2098" s="1" t="str">
        <f>"0"</f>
        <v>0</v>
      </c>
      <c r="BN2098" s="1">
        <v>5500.0</v>
      </c>
      <c r="BO2098" s="1">
        <v>0.0</v>
      </c>
      <c r="BQ2098" s="1">
        <v>299.0</v>
      </c>
      <c r="BR2098" s="1">
        <v>299.0</v>
      </c>
      <c r="BS2098" s="1">
        <v>299.0</v>
      </c>
      <c r="BU2098" s="1" t="s">
        <v>2082</v>
      </c>
      <c r="BV2098" s="1" t="s">
        <v>206</v>
      </c>
      <c r="BW2098" s="1" t="s">
        <v>207</v>
      </c>
      <c r="BY2098" s="1" t="s">
        <v>300</v>
      </c>
      <c r="BZ2098" s="1" t="s">
        <v>209</v>
      </c>
      <c r="CA2098" s="1" t="s">
        <v>207</v>
      </c>
      <c r="CC2098" s="1" t="s">
        <v>269</v>
      </c>
      <c r="CD2098" s="1" t="s">
        <v>206</v>
      </c>
      <c r="CE2098" s="1" t="s">
        <v>207</v>
      </c>
      <c r="CG2098" s="1" t="s">
        <v>699</v>
      </c>
      <c r="CH2098" s="1" t="s">
        <v>209</v>
      </c>
      <c r="CI2098" s="1" t="s">
        <v>207</v>
      </c>
      <c r="CK2098" s="1" t="s">
        <v>363</v>
      </c>
      <c r="CL2098" s="1" t="s">
        <v>209</v>
      </c>
      <c r="CM2098" s="1" t="s">
        <v>207</v>
      </c>
      <c r="CO2098" s="1" t="s">
        <v>269</v>
      </c>
      <c r="CP2098" s="1" t="s">
        <v>206</v>
      </c>
      <c r="CQ2098" s="1" t="s">
        <v>207</v>
      </c>
      <c r="CS2098" s="1" t="s">
        <v>269</v>
      </c>
      <c r="CT2098" s="1" t="s">
        <v>206</v>
      </c>
      <c r="CU2098" s="1" t="s">
        <v>207</v>
      </c>
      <c r="CX2098" s="1" t="s">
        <v>204</v>
      </c>
      <c r="DA2098" s="1" t="s">
        <v>200</v>
      </c>
      <c r="DC2098" s="1" t="s">
        <v>545</v>
      </c>
      <c r="DE2098" s="1" t="s">
        <v>229</v>
      </c>
      <c r="DF2098" s="1" t="s">
        <v>905</v>
      </c>
      <c r="DH2098" s="1" t="s">
        <v>365</v>
      </c>
      <c r="DI2098" s="1" t="s">
        <v>1401</v>
      </c>
      <c r="DJ2098" s="1" t="s">
        <v>222</v>
      </c>
      <c r="DL2098" s="1" t="s">
        <v>223</v>
      </c>
      <c r="DM2098" s="1" t="s">
        <v>229</v>
      </c>
      <c r="DP2098" s="1" t="s">
        <v>340</v>
      </c>
      <c r="DQ2098" s="1" t="s">
        <v>794</v>
      </c>
      <c r="DR2098" s="1" t="s">
        <v>229</v>
      </c>
      <c r="DV2098" s="1" t="s">
        <v>232</v>
      </c>
      <c r="DW2098" s="1" t="s">
        <v>370</v>
      </c>
      <c r="DX2098" s="1" t="s">
        <v>234</v>
      </c>
      <c r="DY2098" s="1" t="s">
        <v>4698</v>
      </c>
      <c r="EA2098" s="1" t="s">
        <v>554</v>
      </c>
      <c r="EC2098" s="1" t="s">
        <v>237</v>
      </c>
      <c r="EM2098" s="1" t="s">
        <v>238</v>
      </c>
      <c r="EQ2098" s="1" t="s">
        <v>238</v>
      </c>
      <c r="EU2098" s="1" t="s">
        <v>238</v>
      </c>
      <c r="EY2098" s="1" t="s">
        <v>238</v>
      </c>
      <c r="FC2098" s="1" t="s">
        <v>238</v>
      </c>
      <c r="FF2098" s="1" t="s">
        <v>239</v>
      </c>
      <c r="FG2098" s="1" t="s">
        <v>200</v>
      </c>
      <c r="FH2098" s="1" t="s">
        <v>192</v>
      </c>
      <c r="FJ2098" s="1" t="s">
        <v>524</v>
      </c>
      <c r="FK2098" s="1" t="s">
        <v>229</v>
      </c>
      <c r="FL2098" s="1" t="s">
        <v>2718</v>
      </c>
      <c r="FM2098" s="1">
        <v>61080.0</v>
      </c>
      <c r="FN2098" s="1" t="s">
        <v>2719</v>
      </c>
      <c r="FO2098" s="1" t="s">
        <v>9720</v>
      </c>
      <c r="FP2098" s="1">
        <v>237599.0</v>
      </c>
      <c r="FU2098" s="1" t="s">
        <v>885</v>
      </c>
      <c r="FV2098" s="1" t="s">
        <v>200</v>
      </c>
      <c r="FW2098" s="1" t="s">
        <v>290</v>
      </c>
      <c r="FX2098" s="1" t="s">
        <v>246</v>
      </c>
      <c r="FZ2098" s="1" t="s">
        <v>229</v>
      </c>
      <c r="GA2098" s="1" t="s">
        <v>291</v>
      </c>
      <c r="GB2098" s="2">
        <v>41978.0</v>
      </c>
    </row>
    <row r="2099">
      <c r="A2099" s="1">
        <v>530000.0</v>
      </c>
      <c r="B2099" s="1" t="s">
        <v>185</v>
      </c>
      <c r="C2099" s="1" t="str">
        <f>"08741849"</f>
        <v>08741849</v>
      </c>
      <c r="D2099" s="1" t="s">
        <v>186</v>
      </c>
      <c r="F2099" s="1" t="str">
        <f>"174"</f>
        <v>174</v>
      </c>
      <c r="G2099" s="2">
        <v>41913.0</v>
      </c>
      <c r="H2099" s="1">
        <v>600000.0</v>
      </c>
      <c r="I2099" s="1">
        <v>350.0</v>
      </c>
      <c r="J2099" s="1">
        <v>550000.0</v>
      </c>
      <c r="K2099" s="2">
        <v>42075.0</v>
      </c>
      <c r="L2099" s="1">
        <v>163.0</v>
      </c>
      <c r="M2099" s="2">
        <v>42075.0</v>
      </c>
      <c r="N2099" s="1" t="s">
        <v>249</v>
      </c>
      <c r="O2099" s="2">
        <v>42116.0</v>
      </c>
      <c r="P2099" s="1">
        <v>783.0</v>
      </c>
      <c r="Q2099" s="1">
        <v>30.0</v>
      </c>
      <c r="S2099" s="1" t="s">
        <v>19768</v>
      </c>
      <c r="T2099" s="1" t="s">
        <v>19769</v>
      </c>
      <c r="U2099" s="1" t="s">
        <v>569</v>
      </c>
      <c r="V2099" s="1" t="s">
        <v>1200</v>
      </c>
      <c r="W2099" s="1">
        <v>60175.0</v>
      </c>
      <c r="Y2099" s="1" t="s">
        <v>19770</v>
      </c>
      <c r="Z2099" s="1">
        <v>2003.0</v>
      </c>
      <c r="AA2099" s="1" t="s">
        <v>200</v>
      </c>
      <c r="AB2099" s="1" t="s">
        <v>193</v>
      </c>
      <c r="AC2099" s="1" t="s">
        <v>2834</v>
      </c>
      <c r="AD2099" s="1" t="s">
        <v>1203</v>
      </c>
      <c r="AE2099" s="1" t="s">
        <v>325</v>
      </c>
      <c r="AF2099" s="1" t="s">
        <v>1203</v>
      </c>
      <c r="AH2099" s="1" t="s">
        <v>19771</v>
      </c>
      <c r="AI2099" s="1">
        <v>1.3523</v>
      </c>
      <c r="AK2099" s="1">
        <v>9.0</v>
      </c>
      <c r="AL2099" s="1">
        <v>4.0</v>
      </c>
      <c r="AM2099" s="1">
        <v>4.0</v>
      </c>
      <c r="AN2099" s="1">
        <v>0.0</v>
      </c>
      <c r="AO2099" s="1" t="s">
        <v>198</v>
      </c>
      <c r="AP2099" s="1">
        <v>1.0</v>
      </c>
      <c r="AQ2099" s="1" t="s">
        <v>472</v>
      </c>
      <c r="AR2099" s="1" t="s">
        <v>200</v>
      </c>
      <c r="AS2099" s="1" t="s">
        <v>199</v>
      </c>
      <c r="AT2099" s="1">
        <v>3.0</v>
      </c>
      <c r="AV2099" s="1" t="s">
        <v>200</v>
      </c>
      <c r="AW2099" s="3">
        <v>18971.0</v>
      </c>
      <c r="AX2099" s="1">
        <v>2013.0</v>
      </c>
      <c r="AY2099" s="1" t="s">
        <v>387</v>
      </c>
      <c r="AZ2099" s="1" t="s">
        <v>200</v>
      </c>
      <c r="BA2099" s="1" t="str">
        <f>"0904327001"</f>
        <v>0904327001</v>
      </c>
      <c r="BC2099" s="1">
        <v>4342.0</v>
      </c>
      <c r="BD2099" s="1">
        <v>530000.0</v>
      </c>
      <c r="BE2099" s="2">
        <v>41913.0</v>
      </c>
      <c r="BF2099" s="2" t="s">
        <v>19772</v>
      </c>
      <c r="BH2099" s="1">
        <v>1000.0</v>
      </c>
      <c r="BJ2099" s="1" t="s">
        <v>2200</v>
      </c>
      <c r="BK2099" s="1" t="s">
        <v>580</v>
      </c>
      <c r="BL2099" s="1" t="str">
        <f t="shared" ref="BL2099:BM2099" si="1376">""</f>
        <v/>
      </c>
      <c r="BM2099" s="1" t="str">
        <f t="shared" si="1376"/>
        <v/>
      </c>
      <c r="BQ2099" s="1">
        <v>303.0</v>
      </c>
      <c r="BR2099" s="1">
        <v>303.0</v>
      </c>
      <c r="BS2099" s="1">
        <v>303.0</v>
      </c>
      <c r="BV2099" s="1" t="s">
        <v>204</v>
      </c>
      <c r="BY2099" s="1" t="s">
        <v>4063</v>
      </c>
      <c r="BZ2099" s="1" t="s">
        <v>206</v>
      </c>
      <c r="CA2099" s="1" t="s">
        <v>210</v>
      </c>
      <c r="CB2099" s="1" t="s">
        <v>239</v>
      </c>
      <c r="CC2099" s="1" t="s">
        <v>454</v>
      </c>
      <c r="CD2099" s="1" t="s">
        <v>206</v>
      </c>
      <c r="CE2099" s="1" t="s">
        <v>207</v>
      </c>
      <c r="CF2099" s="1" t="s">
        <v>239</v>
      </c>
      <c r="CG2099" s="1" t="s">
        <v>215</v>
      </c>
      <c r="CH2099" s="1" t="s">
        <v>209</v>
      </c>
      <c r="CI2099" s="1" t="s">
        <v>210</v>
      </c>
      <c r="CJ2099" s="1" t="s">
        <v>239</v>
      </c>
      <c r="CK2099" s="1" t="s">
        <v>215</v>
      </c>
      <c r="CL2099" s="1" t="s">
        <v>209</v>
      </c>
      <c r="CM2099" s="1" t="s">
        <v>210</v>
      </c>
      <c r="CN2099" s="1" t="s">
        <v>239</v>
      </c>
      <c r="CO2099" s="1" t="s">
        <v>2459</v>
      </c>
      <c r="CP2099" s="1" t="s">
        <v>206</v>
      </c>
      <c r="CQ2099" s="1" t="s">
        <v>210</v>
      </c>
      <c r="CR2099" s="1" t="s">
        <v>239</v>
      </c>
      <c r="CS2099" s="1" t="s">
        <v>1535</v>
      </c>
      <c r="CT2099" s="1" t="s">
        <v>206</v>
      </c>
      <c r="CU2099" s="1" t="s">
        <v>207</v>
      </c>
      <c r="CV2099" s="1" t="s">
        <v>239</v>
      </c>
      <c r="CX2099" s="1" t="s">
        <v>204</v>
      </c>
      <c r="DA2099" s="1" t="s">
        <v>200</v>
      </c>
      <c r="DC2099" s="1" t="s">
        <v>335</v>
      </c>
      <c r="DD2099" s="1" t="s">
        <v>336</v>
      </c>
      <c r="DE2099" s="1" t="s">
        <v>273</v>
      </c>
      <c r="DF2099" s="1" t="s">
        <v>1811</v>
      </c>
      <c r="DG2099" s="1" t="s">
        <v>2123</v>
      </c>
      <c r="DH2099" s="1" t="s">
        <v>1603</v>
      </c>
      <c r="DI2099" s="1" t="s">
        <v>366</v>
      </c>
      <c r="DJ2099" s="1" t="s">
        <v>222</v>
      </c>
      <c r="DK2099" s="1" t="s">
        <v>198</v>
      </c>
      <c r="DL2099" s="1" t="s">
        <v>484</v>
      </c>
      <c r="DM2099" s="1" t="s">
        <v>338</v>
      </c>
      <c r="DN2099" s="1" t="s">
        <v>1721</v>
      </c>
      <c r="DO2099" s="1" t="s">
        <v>930</v>
      </c>
      <c r="DP2099" s="1" t="s">
        <v>340</v>
      </c>
      <c r="DQ2099" s="1" t="s">
        <v>931</v>
      </c>
      <c r="DR2099" s="1" t="s">
        <v>1487</v>
      </c>
      <c r="DS2099" s="1" t="s">
        <v>368</v>
      </c>
      <c r="DU2099" s="1" t="s">
        <v>19773</v>
      </c>
      <c r="DV2099" s="1" t="s">
        <v>19774</v>
      </c>
      <c r="DW2099" s="1" t="s">
        <v>764</v>
      </c>
      <c r="DX2099" s="1" t="s">
        <v>234</v>
      </c>
      <c r="DY2099" s="1" t="s">
        <v>1958</v>
      </c>
      <c r="DZ2099" s="1" t="s">
        <v>236</v>
      </c>
      <c r="EA2099" s="1" t="s">
        <v>344</v>
      </c>
      <c r="EB2099" s="1" t="s">
        <v>492</v>
      </c>
      <c r="EC2099" s="1" t="s">
        <v>237</v>
      </c>
      <c r="ED2099" s="1" t="s">
        <v>407</v>
      </c>
      <c r="EG2099" s="1" t="s">
        <v>557</v>
      </c>
      <c r="EH2099" s="1" t="s">
        <v>341</v>
      </c>
      <c r="EI2099" s="1" t="s">
        <v>408</v>
      </c>
      <c r="EJ2099" s="1" t="s">
        <v>1102</v>
      </c>
      <c r="EK2099" s="1" t="s">
        <v>1164</v>
      </c>
      <c r="EL2099" s="1" t="s">
        <v>19775</v>
      </c>
      <c r="EM2099" s="1" t="s">
        <v>209</v>
      </c>
      <c r="EN2099" s="1" t="s">
        <v>210</v>
      </c>
      <c r="EO2099" s="1" t="s">
        <v>239</v>
      </c>
      <c r="EP2099" s="1" t="s">
        <v>2224</v>
      </c>
      <c r="EQ2099" s="1" t="s">
        <v>209</v>
      </c>
      <c r="ER2099" s="1" t="s">
        <v>210</v>
      </c>
      <c r="ET2099" s="1" t="s">
        <v>582</v>
      </c>
      <c r="EU2099" s="1" t="s">
        <v>206</v>
      </c>
      <c r="EV2099" s="1" t="s">
        <v>207</v>
      </c>
      <c r="EX2099" s="1" t="s">
        <v>3375</v>
      </c>
      <c r="EY2099" s="1" t="s">
        <v>206</v>
      </c>
      <c r="EZ2099" s="1" t="s">
        <v>207</v>
      </c>
      <c r="FB2099" s="1" t="s">
        <v>2181</v>
      </c>
      <c r="FC2099" s="1" t="s">
        <v>206</v>
      </c>
      <c r="FD2099" s="1" t="s">
        <v>207</v>
      </c>
      <c r="FF2099" s="1" t="s">
        <v>239</v>
      </c>
      <c r="FG2099" s="1" t="s">
        <v>192</v>
      </c>
      <c r="FH2099" s="1" t="s">
        <v>192</v>
      </c>
      <c r="FJ2099" s="1" t="s">
        <v>1469</v>
      </c>
      <c r="FK2099" s="1" t="s">
        <v>229</v>
      </c>
      <c r="FL2099" s="1" t="s">
        <v>3527</v>
      </c>
      <c r="FM2099" s="1">
        <v>464.0</v>
      </c>
      <c r="FN2099" s="1" t="s">
        <v>3528</v>
      </c>
      <c r="FO2099" s="1" t="s">
        <v>9926</v>
      </c>
      <c r="FP2099" s="1">
        <v>624.0</v>
      </c>
      <c r="FQ2099" s="1" t="s">
        <v>9927</v>
      </c>
      <c r="FR2099" s="1">
        <v>1333.0</v>
      </c>
      <c r="FS2099" s="1" t="s">
        <v>9928</v>
      </c>
      <c r="FU2099" s="1" t="s">
        <v>19776</v>
      </c>
      <c r="FV2099" s="1" t="s">
        <v>200</v>
      </c>
      <c r="FW2099" s="1" t="s">
        <v>290</v>
      </c>
      <c r="FZ2099" s="1" t="s">
        <v>504</v>
      </c>
      <c r="GA2099" s="1" t="s">
        <v>291</v>
      </c>
      <c r="GB2099" s="2">
        <v>42116.0</v>
      </c>
      <c r="GC2099" s="1" t="s">
        <v>19777</v>
      </c>
    </row>
    <row r="2100">
      <c r="A2100" s="1">
        <v>428500.0</v>
      </c>
      <c r="B2100" s="1" t="s">
        <v>185</v>
      </c>
      <c r="C2100" s="1" t="str">
        <f>"08741216"</f>
        <v>08741216</v>
      </c>
      <c r="D2100" s="1" t="s">
        <v>186</v>
      </c>
      <c r="F2100" s="1" t="str">
        <f>"134"</f>
        <v>134</v>
      </c>
      <c r="G2100" s="2">
        <v>41912.0</v>
      </c>
      <c r="H2100" s="1">
        <v>439900.0</v>
      </c>
      <c r="I2100" s="1">
        <v>29.0</v>
      </c>
      <c r="J2100" s="1">
        <v>439000.0</v>
      </c>
      <c r="K2100" s="2">
        <v>41940.0</v>
      </c>
      <c r="L2100" s="1">
        <v>29.0</v>
      </c>
      <c r="M2100" s="2">
        <v>41940.0</v>
      </c>
      <c r="N2100" s="1" t="s">
        <v>249</v>
      </c>
      <c r="O2100" s="2">
        <v>41971.0</v>
      </c>
      <c r="P2100" s="1">
        <v>8400.0</v>
      </c>
      <c r="Q2100" s="1">
        <v>209.0</v>
      </c>
      <c r="S2100" s="1">
        <v>190.0</v>
      </c>
      <c r="T2100" s="1" t="s">
        <v>19778</v>
      </c>
      <c r="U2100" s="1" t="s">
        <v>420</v>
      </c>
      <c r="V2100" s="1" t="s">
        <v>421</v>
      </c>
      <c r="W2100" s="1">
        <v>60134.0</v>
      </c>
      <c r="Y2100" s="1" t="s">
        <v>19779</v>
      </c>
      <c r="Z2100" s="1">
        <v>1996.0</v>
      </c>
      <c r="AA2100" s="1" t="s">
        <v>200</v>
      </c>
      <c r="AB2100" s="1" t="s">
        <v>193</v>
      </c>
      <c r="AC2100" s="1" t="s">
        <v>11493</v>
      </c>
      <c r="AD2100" s="1" t="s">
        <v>424</v>
      </c>
      <c r="AE2100" s="1" t="s">
        <v>325</v>
      </c>
      <c r="AF2100" s="1" t="s">
        <v>424</v>
      </c>
      <c r="AG2100" s="1" t="s">
        <v>752</v>
      </c>
      <c r="AH2100" s="1" t="s">
        <v>19780</v>
      </c>
      <c r="AK2100" s="1">
        <v>10.0</v>
      </c>
      <c r="AL2100" s="1">
        <v>4.0</v>
      </c>
      <c r="AM2100" s="1">
        <v>2.0</v>
      </c>
      <c r="AN2100" s="1">
        <v>1.0</v>
      </c>
      <c r="AO2100" s="1" t="s">
        <v>198</v>
      </c>
      <c r="AP2100" s="1">
        <v>1.0</v>
      </c>
      <c r="AQ2100" s="1" t="s">
        <v>198</v>
      </c>
      <c r="AR2100" s="1" t="s">
        <v>200</v>
      </c>
      <c r="AS2100" s="1" t="s">
        <v>199</v>
      </c>
      <c r="AT2100" s="1">
        <v>3.0</v>
      </c>
      <c r="AV2100" s="1" t="s">
        <v>200</v>
      </c>
      <c r="AW2100" s="1">
        <v>11306.82</v>
      </c>
      <c r="AX2100" s="1">
        <v>2012.0</v>
      </c>
      <c r="AY2100" s="1" t="s">
        <v>387</v>
      </c>
      <c r="AZ2100" s="1" t="s">
        <v>200</v>
      </c>
      <c r="BA2100" s="1" t="str">
        <f>"1205301019"</f>
        <v>1205301019</v>
      </c>
      <c r="BC2100" s="1">
        <v>2781.0</v>
      </c>
      <c r="BD2100" s="1">
        <v>428500.0</v>
      </c>
      <c r="BE2100" s="2">
        <v>41912.0</v>
      </c>
      <c r="BF2100" s="2" t="s">
        <v>19781</v>
      </c>
      <c r="BG2100" s="1" t="s">
        <v>7493</v>
      </c>
      <c r="BH2100" s="1">
        <v>0.0</v>
      </c>
      <c r="BI2100" s="1" t="s">
        <v>429</v>
      </c>
      <c r="BJ2100" s="1" t="s">
        <v>430</v>
      </c>
      <c r="BK2100" s="1" t="s">
        <v>204</v>
      </c>
      <c r="BL2100" s="1" t="str">
        <f t="shared" ref="BL2100:BM2100" si="1377">""</f>
        <v/>
      </c>
      <c r="BM2100" s="1" t="str">
        <f t="shared" si="1377"/>
        <v/>
      </c>
      <c r="BQ2100" s="1">
        <v>304.0</v>
      </c>
      <c r="BR2100" s="1">
        <v>304.0</v>
      </c>
      <c r="BS2100" s="1">
        <v>304.0</v>
      </c>
      <c r="BU2100" s="1" t="s">
        <v>1117</v>
      </c>
      <c r="BV2100" s="1" t="s">
        <v>206</v>
      </c>
      <c r="BW2100" s="1" t="s">
        <v>210</v>
      </c>
      <c r="BX2100" s="1" t="s">
        <v>239</v>
      </c>
      <c r="BY2100" s="1" t="s">
        <v>3989</v>
      </c>
      <c r="BZ2100" s="1" t="s">
        <v>209</v>
      </c>
      <c r="CA2100" s="1" t="s">
        <v>210</v>
      </c>
      <c r="CB2100" s="1" t="s">
        <v>239</v>
      </c>
      <c r="CC2100" s="1" t="s">
        <v>925</v>
      </c>
      <c r="CD2100" s="1" t="s">
        <v>206</v>
      </c>
      <c r="CE2100" s="1" t="s">
        <v>210</v>
      </c>
      <c r="CF2100" s="1" t="s">
        <v>239</v>
      </c>
      <c r="CG2100" s="1" t="s">
        <v>1351</v>
      </c>
      <c r="CH2100" s="1" t="s">
        <v>209</v>
      </c>
      <c r="CI2100" s="1" t="s">
        <v>210</v>
      </c>
      <c r="CJ2100" s="1" t="s">
        <v>239</v>
      </c>
      <c r="CK2100" s="1" t="s">
        <v>302</v>
      </c>
      <c r="CL2100" s="1" t="s">
        <v>209</v>
      </c>
      <c r="CM2100" s="1" t="s">
        <v>210</v>
      </c>
      <c r="CN2100" s="1" t="s">
        <v>239</v>
      </c>
      <c r="CO2100" s="1" t="s">
        <v>215</v>
      </c>
      <c r="CP2100" s="1" t="s">
        <v>209</v>
      </c>
      <c r="CQ2100" s="1" t="s">
        <v>210</v>
      </c>
      <c r="CR2100" s="1" t="s">
        <v>239</v>
      </c>
      <c r="CS2100" s="1" t="s">
        <v>2872</v>
      </c>
      <c r="CT2100" s="1" t="s">
        <v>206</v>
      </c>
      <c r="CU2100" s="1" t="s">
        <v>207</v>
      </c>
      <c r="CV2100" s="1" t="s">
        <v>239</v>
      </c>
      <c r="CW2100" s="1" t="s">
        <v>364</v>
      </c>
      <c r="CX2100" s="1" t="s">
        <v>206</v>
      </c>
      <c r="CY2100" s="1" t="s">
        <v>210</v>
      </c>
      <c r="CZ2100" s="1" t="s">
        <v>476</v>
      </c>
      <c r="DA2100" s="1" t="s">
        <v>200</v>
      </c>
      <c r="DC2100" s="1" t="s">
        <v>678</v>
      </c>
      <c r="DD2100" s="1" t="s">
        <v>1954</v>
      </c>
      <c r="DE2100" s="1" t="s">
        <v>273</v>
      </c>
      <c r="DF2100" s="1" t="s">
        <v>219</v>
      </c>
      <c r="DG2100" s="1" t="s">
        <v>337</v>
      </c>
      <c r="DH2100" s="1" t="s">
        <v>220</v>
      </c>
      <c r="DI2100" s="1" t="s">
        <v>5919</v>
      </c>
      <c r="DJ2100" s="1" t="s">
        <v>222</v>
      </c>
      <c r="DL2100" s="1" t="s">
        <v>223</v>
      </c>
      <c r="DM2100" s="1" t="s">
        <v>338</v>
      </c>
      <c r="DN2100" s="1" t="s">
        <v>399</v>
      </c>
      <c r="DO2100" s="1" t="s">
        <v>930</v>
      </c>
      <c r="DP2100" s="1" t="s">
        <v>340</v>
      </c>
      <c r="DQ2100" s="1" t="s">
        <v>441</v>
      </c>
      <c r="DR2100" s="1" t="s">
        <v>229</v>
      </c>
      <c r="DU2100" s="1" t="s">
        <v>18927</v>
      </c>
      <c r="DV2100" s="1" t="s">
        <v>16231</v>
      </c>
      <c r="DW2100" s="1" t="s">
        <v>764</v>
      </c>
      <c r="DX2100" s="1" t="s">
        <v>234</v>
      </c>
      <c r="DY2100" s="1" t="s">
        <v>1559</v>
      </c>
      <c r="DZ2100" s="1" t="s">
        <v>2424</v>
      </c>
      <c r="EA2100" s="1" t="s">
        <v>344</v>
      </c>
      <c r="EB2100" s="1" t="s">
        <v>492</v>
      </c>
      <c r="EC2100" s="1" t="s">
        <v>237</v>
      </c>
      <c r="ED2100" s="1" t="s">
        <v>407</v>
      </c>
      <c r="EG2100" s="1" t="s">
        <v>494</v>
      </c>
      <c r="EH2100" s="1" t="s">
        <v>557</v>
      </c>
      <c r="EL2100" s="1" t="s">
        <v>264</v>
      </c>
      <c r="EM2100" s="1" t="s">
        <v>206</v>
      </c>
      <c r="EN2100" s="1" t="s">
        <v>210</v>
      </c>
      <c r="EO2100" s="1" t="s">
        <v>239</v>
      </c>
      <c r="EP2100" s="1" t="s">
        <v>7759</v>
      </c>
      <c r="EQ2100" s="1" t="s">
        <v>209</v>
      </c>
      <c r="ER2100" s="1" t="s">
        <v>210</v>
      </c>
      <c r="ES2100" s="1" t="s">
        <v>229</v>
      </c>
      <c r="EU2100" s="1" t="s">
        <v>238</v>
      </c>
      <c r="EY2100" s="1" t="s">
        <v>238</v>
      </c>
      <c r="FC2100" s="1" t="s">
        <v>238</v>
      </c>
      <c r="FF2100" s="1" t="s">
        <v>239</v>
      </c>
      <c r="FG2100" s="1" t="s">
        <v>192</v>
      </c>
      <c r="FH2100" s="1" t="s">
        <v>192</v>
      </c>
      <c r="FJ2100" s="1" t="s">
        <v>4455</v>
      </c>
      <c r="FK2100" s="1" t="s">
        <v>229</v>
      </c>
      <c r="FL2100" s="1" t="s">
        <v>456</v>
      </c>
      <c r="FM2100" s="1">
        <v>49.0</v>
      </c>
      <c r="FN2100" s="1" t="s">
        <v>457</v>
      </c>
      <c r="FO2100" s="1" t="s">
        <v>19521</v>
      </c>
      <c r="FP2100" s="1">
        <v>665.0</v>
      </c>
      <c r="FQ2100" s="1" t="s">
        <v>19522</v>
      </c>
      <c r="FR2100" s="1">
        <v>902.0</v>
      </c>
      <c r="FU2100" s="1" t="s">
        <v>19782</v>
      </c>
      <c r="FV2100" s="1" t="s">
        <v>200</v>
      </c>
      <c r="FW2100" s="1" t="s">
        <v>530</v>
      </c>
      <c r="FZ2100" s="1" t="s">
        <v>229</v>
      </c>
      <c r="GA2100" s="1" t="s">
        <v>291</v>
      </c>
      <c r="GB2100" s="2">
        <v>41971.0</v>
      </c>
    </row>
    <row r="2101">
      <c r="A2101" s="1">
        <v>433338.0</v>
      </c>
      <c r="B2101" s="1" t="s">
        <v>185</v>
      </c>
      <c r="C2101" s="1" t="str">
        <f>"08737764"</f>
        <v>08737764</v>
      </c>
      <c r="D2101" s="1" t="s">
        <v>186</v>
      </c>
      <c r="F2101" s="1" t="str">
        <f>"10"</f>
        <v>10</v>
      </c>
      <c r="G2101" s="2">
        <v>41907.0</v>
      </c>
      <c r="H2101" s="1">
        <v>459900.0</v>
      </c>
      <c r="I2101" s="1">
        <v>24.0</v>
      </c>
      <c r="J2101" s="1">
        <v>459900.0</v>
      </c>
      <c r="K2101" s="2">
        <v>41930.0</v>
      </c>
      <c r="L2101" s="1">
        <v>24.0</v>
      </c>
      <c r="M2101" s="2">
        <v>41930.0</v>
      </c>
      <c r="N2101" s="1" t="s">
        <v>187</v>
      </c>
      <c r="O2101" s="2">
        <v>41974.0</v>
      </c>
      <c r="P2101" s="1">
        <v>238223.0</v>
      </c>
      <c r="Q2101" s="1">
        <v>1837.0</v>
      </c>
      <c r="S2101" s="1">
        <v>243.0</v>
      </c>
      <c r="T2101" s="1" t="s">
        <v>5936</v>
      </c>
      <c r="U2101" s="1" t="s">
        <v>569</v>
      </c>
      <c r="V2101" s="1" t="s">
        <v>11508</v>
      </c>
      <c r="W2101" s="1">
        <v>60010.0</v>
      </c>
      <c r="Y2101" s="1" t="s">
        <v>19783</v>
      </c>
      <c r="Z2101" s="1">
        <v>1940.0</v>
      </c>
      <c r="AA2101" s="1" t="s">
        <v>192</v>
      </c>
      <c r="AB2101" s="1" t="s">
        <v>193</v>
      </c>
      <c r="AC2101" s="1" t="s">
        <v>14284</v>
      </c>
      <c r="AD2101" s="1" t="s">
        <v>11511</v>
      </c>
      <c r="AE2101" s="1" t="s">
        <v>917</v>
      </c>
      <c r="AF2101" s="1" t="s">
        <v>2008</v>
      </c>
      <c r="AG2101" s="1" t="s">
        <v>752</v>
      </c>
      <c r="AH2101" s="1" t="s">
        <v>19784</v>
      </c>
      <c r="AI2101" s="1">
        <v>0.4689</v>
      </c>
      <c r="AK2101" s="1">
        <v>8.0</v>
      </c>
      <c r="AL2101" s="1">
        <v>4.0</v>
      </c>
      <c r="AM2101" s="1">
        <v>3.0</v>
      </c>
      <c r="AN2101" s="1">
        <v>0.0</v>
      </c>
      <c r="AO2101" s="1" t="s">
        <v>198</v>
      </c>
      <c r="AP2101" s="1">
        <v>1.0</v>
      </c>
      <c r="AQ2101" s="1" t="s">
        <v>1314</v>
      </c>
      <c r="AR2101" s="1" t="s">
        <v>200</v>
      </c>
      <c r="AS2101" s="1" t="s">
        <v>199</v>
      </c>
      <c r="AT2101" s="1">
        <v>2.0</v>
      </c>
      <c r="AV2101" s="1" t="s">
        <v>200</v>
      </c>
      <c r="AW2101" s="1">
        <v>8519.06</v>
      </c>
      <c r="AX2101" s="1">
        <v>2012.0</v>
      </c>
      <c r="AY2101" s="1" t="s">
        <v>387</v>
      </c>
      <c r="AZ2101" s="1" t="s">
        <v>200</v>
      </c>
      <c r="BA2101" s="1" t="str">
        <f>"13131160050000"</f>
        <v>13131160050000</v>
      </c>
      <c r="BC2101" s="1">
        <v>0.0</v>
      </c>
      <c r="BD2101" s="1">
        <v>433338.0</v>
      </c>
      <c r="BE2101" s="2">
        <v>41907.0</v>
      </c>
      <c r="BF2101" s="2" t="s">
        <v>19785</v>
      </c>
      <c r="BG2101" s="1" t="s">
        <v>2011</v>
      </c>
      <c r="BH2101" s="1">
        <v>0.0</v>
      </c>
      <c r="BI2101" s="1" t="s">
        <v>11276</v>
      </c>
      <c r="BJ2101" s="1" t="s">
        <v>1714</v>
      </c>
      <c r="BK2101" s="1" t="s">
        <v>204</v>
      </c>
      <c r="BL2101" s="1" t="str">
        <f>"23"</f>
        <v>23</v>
      </c>
      <c r="BM2101" s="1" t="str">
        <f>"0"</f>
        <v>0</v>
      </c>
      <c r="BN2101" s="1">
        <v>25.0</v>
      </c>
      <c r="BO2101" s="1">
        <v>0.0</v>
      </c>
      <c r="BQ2101" s="1">
        <v>220.0</v>
      </c>
      <c r="BR2101" s="1">
        <v>220.0</v>
      </c>
      <c r="BS2101" s="1">
        <v>220.0</v>
      </c>
      <c r="BU2101" s="1" t="s">
        <v>1244</v>
      </c>
      <c r="BV2101" s="1" t="s">
        <v>206</v>
      </c>
      <c r="BW2101" s="1" t="s">
        <v>207</v>
      </c>
      <c r="BY2101" s="1" t="s">
        <v>584</v>
      </c>
      <c r="BZ2101" s="1" t="s">
        <v>209</v>
      </c>
      <c r="CA2101" s="1" t="s">
        <v>207</v>
      </c>
      <c r="CC2101" s="1" t="s">
        <v>584</v>
      </c>
      <c r="CD2101" s="1" t="s">
        <v>206</v>
      </c>
      <c r="CE2101" s="1" t="s">
        <v>207</v>
      </c>
      <c r="CG2101" s="1" t="s">
        <v>361</v>
      </c>
      <c r="CH2101" s="1" t="s">
        <v>209</v>
      </c>
      <c r="CI2101" s="1" t="s">
        <v>207</v>
      </c>
      <c r="CK2101" s="1" t="s">
        <v>332</v>
      </c>
      <c r="CL2101" s="1" t="s">
        <v>209</v>
      </c>
      <c r="CM2101" s="1" t="s">
        <v>207</v>
      </c>
      <c r="CO2101" s="1" t="s">
        <v>454</v>
      </c>
      <c r="CP2101" s="1" t="s">
        <v>206</v>
      </c>
      <c r="CQ2101" s="1" t="s">
        <v>210</v>
      </c>
      <c r="CS2101" s="1" t="s">
        <v>925</v>
      </c>
      <c r="CT2101" s="1" t="s">
        <v>206</v>
      </c>
      <c r="CU2101" s="1" t="s">
        <v>207</v>
      </c>
      <c r="CW2101" s="1" t="s">
        <v>1244</v>
      </c>
      <c r="CX2101" s="1" t="s">
        <v>42</v>
      </c>
      <c r="CY2101" s="1" t="s">
        <v>210</v>
      </c>
      <c r="DA2101" s="1" t="s">
        <v>200</v>
      </c>
      <c r="DC2101" s="1" t="s">
        <v>1399</v>
      </c>
      <c r="DD2101" s="1" t="s">
        <v>396</v>
      </c>
      <c r="DE2101" s="1" t="s">
        <v>273</v>
      </c>
      <c r="DF2101" s="1" t="s">
        <v>745</v>
      </c>
      <c r="DG2101" s="1" t="s">
        <v>4976</v>
      </c>
      <c r="DH2101" s="1" t="s">
        <v>856</v>
      </c>
      <c r="DI2101" s="1" t="s">
        <v>2124</v>
      </c>
      <c r="DJ2101" s="1" t="s">
        <v>857</v>
      </c>
      <c r="DL2101" s="1" t="s">
        <v>1267</v>
      </c>
      <c r="DM2101" s="1" t="s">
        <v>338</v>
      </c>
      <c r="DN2101" s="1" t="s">
        <v>19786</v>
      </c>
      <c r="DO2101" s="1" t="s">
        <v>590</v>
      </c>
      <c r="DP2101" s="1" t="s">
        <v>340</v>
      </c>
      <c r="DQ2101" s="1" t="s">
        <v>441</v>
      </c>
      <c r="DR2101" s="1" t="s">
        <v>229</v>
      </c>
      <c r="DS2101" s="1" t="s">
        <v>368</v>
      </c>
      <c r="DU2101" s="1" t="s">
        <v>19787</v>
      </c>
      <c r="DV2101" s="1" t="s">
        <v>19788</v>
      </c>
      <c r="DW2101" s="1" t="s">
        <v>964</v>
      </c>
      <c r="DX2101" s="1" t="s">
        <v>234</v>
      </c>
      <c r="DY2101" s="1" t="s">
        <v>2423</v>
      </c>
      <c r="DZ2101" s="1" t="s">
        <v>3877</v>
      </c>
      <c r="EA2101" s="1" t="s">
        <v>1075</v>
      </c>
      <c r="EB2101" s="1" t="s">
        <v>345</v>
      </c>
      <c r="EC2101" s="1" t="s">
        <v>237</v>
      </c>
      <c r="ED2101" s="1" t="s">
        <v>4163</v>
      </c>
      <c r="EG2101" s="1" t="s">
        <v>2129</v>
      </c>
      <c r="EH2101" s="1" t="s">
        <v>1102</v>
      </c>
      <c r="EI2101" s="1" t="s">
        <v>588</v>
      </c>
      <c r="EJ2101" s="1" t="s">
        <v>408</v>
      </c>
      <c r="EL2101" s="1" t="s">
        <v>1745</v>
      </c>
      <c r="EM2101" s="1" t="s">
        <v>206</v>
      </c>
      <c r="EN2101" s="1" t="s">
        <v>210</v>
      </c>
      <c r="EP2101" s="1" t="s">
        <v>266</v>
      </c>
      <c r="EQ2101" s="1" t="s">
        <v>206</v>
      </c>
      <c r="ER2101" s="1" t="s">
        <v>207</v>
      </c>
      <c r="ET2101" s="1" t="s">
        <v>454</v>
      </c>
      <c r="EU2101" s="1" t="s">
        <v>209</v>
      </c>
      <c r="EV2101" s="1" t="s">
        <v>210</v>
      </c>
      <c r="EX2101" s="1" t="s">
        <v>495</v>
      </c>
      <c r="EY2101" s="1" t="s">
        <v>206</v>
      </c>
      <c r="EZ2101" s="1" t="s">
        <v>207</v>
      </c>
      <c r="FC2101" s="1" t="s">
        <v>238</v>
      </c>
      <c r="FF2101" s="1" t="s">
        <v>239</v>
      </c>
      <c r="FG2101" s="1" t="s">
        <v>192</v>
      </c>
      <c r="FH2101" s="1" t="s">
        <v>192</v>
      </c>
      <c r="FJ2101" s="1" t="s">
        <v>4598</v>
      </c>
      <c r="FK2101" s="1" t="s">
        <v>229</v>
      </c>
      <c r="FL2101" s="1" t="s">
        <v>2026</v>
      </c>
      <c r="FM2101" s="1">
        <v>6018.0</v>
      </c>
      <c r="FN2101" s="1" t="s">
        <v>2027</v>
      </c>
      <c r="FO2101" s="1" t="s">
        <v>19789</v>
      </c>
      <c r="FP2101" s="1">
        <v>61924.0</v>
      </c>
      <c r="FQ2101" s="1" t="s">
        <v>19790</v>
      </c>
      <c r="FU2101" s="1" t="s">
        <v>19791</v>
      </c>
      <c r="FV2101" s="1" t="s">
        <v>200</v>
      </c>
      <c r="FW2101" s="1" t="s">
        <v>290</v>
      </c>
      <c r="FZ2101" s="1" t="s">
        <v>229</v>
      </c>
      <c r="GA2101" s="1" t="s">
        <v>291</v>
      </c>
      <c r="GB2101" s="2">
        <v>41975.0</v>
      </c>
    </row>
    <row r="2102">
      <c r="A2102" s="1">
        <v>220000.0</v>
      </c>
      <c r="B2102" s="1" t="s">
        <v>185</v>
      </c>
      <c r="C2102" s="1" t="str">
        <f>"08738006"</f>
        <v>08738006</v>
      </c>
      <c r="D2102" s="1" t="s">
        <v>186</v>
      </c>
      <c r="F2102" s="1" t="str">
        <f>"123"</f>
        <v>123</v>
      </c>
      <c r="G2102" s="2">
        <v>41907.0</v>
      </c>
      <c r="H2102" s="1">
        <v>239900.0</v>
      </c>
      <c r="I2102" s="1">
        <v>100.0</v>
      </c>
      <c r="J2102" s="1">
        <v>229900.0</v>
      </c>
      <c r="K2102" s="2">
        <v>42006.0</v>
      </c>
      <c r="L2102" s="1">
        <v>100.0</v>
      </c>
      <c r="M2102" s="2">
        <v>42006.0</v>
      </c>
      <c r="N2102" s="1" t="s">
        <v>356</v>
      </c>
      <c r="O2102" s="2">
        <v>42061.0</v>
      </c>
      <c r="P2102" s="1">
        <v>8780.0</v>
      </c>
      <c r="Q2102" s="1">
        <v>372.0</v>
      </c>
      <c r="R2102" s="1">
        <v>5000.0</v>
      </c>
      <c r="S2102" s="1">
        <v>753.0</v>
      </c>
      <c r="T2102" s="1" t="s">
        <v>19792</v>
      </c>
      <c r="U2102" s="1" t="s">
        <v>420</v>
      </c>
      <c r="V2102" s="1" t="s">
        <v>465</v>
      </c>
      <c r="W2102" s="1">
        <v>60123.0</v>
      </c>
      <c r="Y2102" s="1" t="s">
        <v>19793</v>
      </c>
      <c r="Z2102" s="1">
        <v>1990.0</v>
      </c>
      <c r="AA2102" s="1" t="s">
        <v>200</v>
      </c>
      <c r="AB2102" s="1" t="s">
        <v>193</v>
      </c>
      <c r="AC2102" s="1" t="s">
        <v>5692</v>
      </c>
      <c r="AD2102" s="1" t="s">
        <v>469</v>
      </c>
      <c r="AE2102" s="1" t="s">
        <v>325</v>
      </c>
      <c r="AF2102" s="1" t="s">
        <v>469</v>
      </c>
      <c r="AG2102" s="1" t="s">
        <v>7246</v>
      </c>
      <c r="AH2102" s="1" t="s">
        <v>19794</v>
      </c>
      <c r="AK2102" s="1">
        <v>8.0</v>
      </c>
      <c r="AL2102" s="1">
        <v>4.0</v>
      </c>
      <c r="AM2102" s="1">
        <v>2.0</v>
      </c>
      <c r="AN2102" s="1">
        <v>1.0</v>
      </c>
      <c r="AO2102" s="1" t="s">
        <v>198</v>
      </c>
      <c r="AP2102" s="1">
        <v>1.0</v>
      </c>
      <c r="AQ2102" s="1" t="s">
        <v>198</v>
      </c>
      <c r="AR2102" s="1" t="s">
        <v>200</v>
      </c>
      <c r="AS2102" s="1" t="s">
        <v>199</v>
      </c>
      <c r="AT2102" s="1">
        <v>3.0</v>
      </c>
      <c r="AV2102" s="1" t="s">
        <v>200</v>
      </c>
      <c r="AW2102" s="1">
        <v>5764.0</v>
      </c>
      <c r="AX2102" s="1">
        <v>2013.0</v>
      </c>
      <c r="AY2102" s="1" t="s">
        <v>1179</v>
      </c>
      <c r="AZ2102" s="1" t="s">
        <v>200</v>
      </c>
      <c r="BA2102" s="1" t="str">
        <f>"0609254030"</f>
        <v>0609254030</v>
      </c>
      <c r="BC2102" s="1">
        <v>2412.0</v>
      </c>
      <c r="BD2102" s="1">
        <v>220000.0</v>
      </c>
      <c r="BE2102" s="2">
        <v>41907.0</v>
      </c>
      <c r="BF2102" s="2" t="s">
        <v>19795</v>
      </c>
      <c r="BG2102" s="1" t="s">
        <v>13029</v>
      </c>
      <c r="BH2102" s="1">
        <v>0.0</v>
      </c>
      <c r="BI2102" s="1" t="s">
        <v>3197</v>
      </c>
      <c r="BJ2102" s="1" t="s">
        <v>675</v>
      </c>
      <c r="BK2102" s="1" t="s">
        <v>204</v>
      </c>
      <c r="BL2102" s="1" t="str">
        <f t="shared" ref="BL2102:BM2102" si="1378">""</f>
        <v/>
      </c>
      <c r="BM2102" s="1" t="str">
        <f t="shared" si="1378"/>
        <v/>
      </c>
      <c r="BQ2102" s="1">
        <v>46.0</v>
      </c>
      <c r="BR2102" s="1">
        <v>46.0</v>
      </c>
      <c r="BS2102" s="1">
        <v>46.0</v>
      </c>
      <c r="BU2102" s="1" t="s">
        <v>1426</v>
      </c>
      <c r="BV2102" s="1" t="s">
        <v>206</v>
      </c>
      <c r="BW2102" s="1" t="s">
        <v>210</v>
      </c>
      <c r="BX2102" s="1" t="s">
        <v>239</v>
      </c>
      <c r="BY2102" s="1" t="s">
        <v>333</v>
      </c>
      <c r="BZ2102" s="1" t="s">
        <v>209</v>
      </c>
      <c r="CA2102" s="1" t="s">
        <v>210</v>
      </c>
      <c r="CB2102" s="1" t="s">
        <v>239</v>
      </c>
      <c r="CC2102" s="1" t="s">
        <v>331</v>
      </c>
      <c r="CD2102" s="1" t="s">
        <v>206</v>
      </c>
      <c r="CE2102" s="1" t="s">
        <v>210</v>
      </c>
      <c r="CF2102" s="1" t="s">
        <v>239</v>
      </c>
      <c r="CG2102" s="1" t="s">
        <v>743</v>
      </c>
      <c r="CH2102" s="1" t="s">
        <v>209</v>
      </c>
      <c r="CI2102" s="1" t="s">
        <v>210</v>
      </c>
      <c r="CJ2102" s="1" t="s">
        <v>239</v>
      </c>
      <c r="CK2102" s="1" t="s">
        <v>264</v>
      </c>
      <c r="CL2102" s="1" t="s">
        <v>209</v>
      </c>
      <c r="CM2102" s="1" t="s">
        <v>210</v>
      </c>
      <c r="CN2102" s="1" t="s">
        <v>239</v>
      </c>
      <c r="CO2102" s="1" t="s">
        <v>264</v>
      </c>
      <c r="CP2102" s="1" t="s">
        <v>209</v>
      </c>
      <c r="CQ2102" s="1" t="s">
        <v>210</v>
      </c>
      <c r="CR2102" s="1" t="s">
        <v>239</v>
      </c>
      <c r="CS2102" s="1" t="s">
        <v>3375</v>
      </c>
      <c r="CT2102" s="1" t="s">
        <v>206</v>
      </c>
      <c r="CU2102" s="1" t="s">
        <v>617</v>
      </c>
      <c r="CV2102" s="1" t="s">
        <v>239</v>
      </c>
      <c r="CW2102" s="1" t="s">
        <v>333</v>
      </c>
      <c r="CX2102" s="1" t="s">
        <v>206</v>
      </c>
      <c r="CY2102" s="1" t="s">
        <v>210</v>
      </c>
      <c r="CZ2102" s="1" t="s">
        <v>239</v>
      </c>
      <c r="DA2102" s="1" t="s">
        <v>200</v>
      </c>
      <c r="DC2102" s="1" t="s">
        <v>435</v>
      </c>
      <c r="DD2102" s="1" t="s">
        <v>396</v>
      </c>
      <c r="DE2102" s="1" t="s">
        <v>273</v>
      </c>
      <c r="DF2102" s="1" t="s">
        <v>219</v>
      </c>
      <c r="DG2102" s="1" t="s">
        <v>337</v>
      </c>
      <c r="DH2102" s="1" t="s">
        <v>220</v>
      </c>
      <c r="DI2102" s="1" t="s">
        <v>1813</v>
      </c>
      <c r="DJ2102" s="1" t="s">
        <v>1048</v>
      </c>
      <c r="DK2102" s="1" t="s">
        <v>223</v>
      </c>
      <c r="DL2102" s="1" t="s">
        <v>223</v>
      </c>
      <c r="DM2102" s="1" t="s">
        <v>338</v>
      </c>
      <c r="DO2102" s="1" t="s">
        <v>2838</v>
      </c>
      <c r="DP2102" s="1" t="s">
        <v>340</v>
      </c>
      <c r="DQ2102" s="1" t="s">
        <v>228</v>
      </c>
      <c r="DR2102" s="1" t="s">
        <v>229</v>
      </c>
      <c r="DS2102" s="1" t="s">
        <v>368</v>
      </c>
      <c r="DU2102" s="1" t="s">
        <v>19796</v>
      </c>
      <c r="DV2102" s="1" t="s">
        <v>232</v>
      </c>
      <c r="DW2102" s="1" t="s">
        <v>370</v>
      </c>
      <c r="DX2102" s="1" t="s">
        <v>234</v>
      </c>
      <c r="DY2102" s="1" t="s">
        <v>1189</v>
      </c>
      <c r="DZ2102" s="1" t="s">
        <v>446</v>
      </c>
      <c r="EA2102" s="1" t="s">
        <v>447</v>
      </c>
      <c r="EB2102" s="1" t="s">
        <v>2183</v>
      </c>
      <c r="EC2102" s="1" t="s">
        <v>237</v>
      </c>
      <c r="ED2102" s="1" t="s">
        <v>4163</v>
      </c>
      <c r="EE2102" s="1" t="s">
        <v>493</v>
      </c>
      <c r="EM2102" s="1" t="s">
        <v>238</v>
      </c>
      <c r="EQ2102" s="1" t="s">
        <v>238</v>
      </c>
      <c r="EU2102" s="1" t="s">
        <v>238</v>
      </c>
      <c r="EY2102" s="1" t="s">
        <v>238</v>
      </c>
      <c r="FC2102" s="1" t="s">
        <v>238</v>
      </c>
      <c r="FF2102" s="1" t="s">
        <v>239</v>
      </c>
      <c r="FG2102" s="1" t="s">
        <v>192</v>
      </c>
      <c r="FH2102" s="1" t="s">
        <v>192</v>
      </c>
      <c r="FJ2102" s="1" t="s">
        <v>524</v>
      </c>
      <c r="FK2102" s="1" t="s">
        <v>348</v>
      </c>
      <c r="FL2102" s="1" t="s">
        <v>1451</v>
      </c>
      <c r="FM2102" s="1">
        <v>7450.0</v>
      </c>
      <c r="FN2102" s="1" t="s">
        <v>1452</v>
      </c>
      <c r="FO2102" s="1" t="s">
        <v>9602</v>
      </c>
      <c r="FP2102" s="1">
        <v>70016.0</v>
      </c>
      <c r="FQ2102" s="1" t="s">
        <v>9603</v>
      </c>
      <c r="FU2102" s="1" t="s">
        <v>19797</v>
      </c>
      <c r="FV2102" s="1" t="s">
        <v>200</v>
      </c>
      <c r="FW2102" s="1" t="s">
        <v>567</v>
      </c>
      <c r="FZ2102" s="1" t="s">
        <v>229</v>
      </c>
      <c r="GA2102" s="1" t="s">
        <v>291</v>
      </c>
      <c r="GB2102" s="2">
        <v>42061.0</v>
      </c>
    </row>
    <row r="2103">
      <c r="A2103" s="1">
        <v>360000.0</v>
      </c>
      <c r="B2103" s="1" t="s">
        <v>185</v>
      </c>
      <c r="C2103" s="1" t="str">
        <f>"08742972"</f>
        <v>08742972</v>
      </c>
      <c r="D2103" s="1" t="s">
        <v>186</v>
      </c>
      <c r="F2103" s="1" t="str">
        <f>"8002"</f>
        <v>8002</v>
      </c>
      <c r="G2103" s="2">
        <v>41914.0</v>
      </c>
      <c r="H2103" s="1">
        <v>453400.0</v>
      </c>
      <c r="I2103" s="1">
        <v>198.0</v>
      </c>
      <c r="J2103" s="1">
        <v>375000.0</v>
      </c>
      <c r="K2103" s="2">
        <v>42013.0</v>
      </c>
      <c r="L2103" s="1">
        <v>101.0</v>
      </c>
      <c r="M2103" s="2">
        <v>42013.0</v>
      </c>
      <c r="N2103" s="1" t="s">
        <v>187</v>
      </c>
      <c r="O2103" s="2">
        <v>42069.0</v>
      </c>
      <c r="P2103" s="1">
        <v>150231.0</v>
      </c>
      <c r="Q2103" s="1">
        <v>16636.0</v>
      </c>
      <c r="S2103" s="1">
        <v>2826.0</v>
      </c>
      <c r="T2103" s="1" t="s">
        <v>19798</v>
      </c>
      <c r="U2103" s="1" t="s">
        <v>189</v>
      </c>
      <c r="V2103" s="1" t="s">
        <v>190</v>
      </c>
      <c r="W2103" s="1">
        <v>60645.0</v>
      </c>
      <c r="Y2103" s="1" t="s">
        <v>19799</v>
      </c>
      <c r="Z2103" s="1">
        <v>1990.0</v>
      </c>
      <c r="AA2103" s="1" t="s">
        <v>200</v>
      </c>
      <c r="AB2103" s="1" t="s">
        <v>193</v>
      </c>
      <c r="AD2103" s="1" t="s">
        <v>194</v>
      </c>
      <c r="AE2103" s="1" t="s">
        <v>195</v>
      </c>
      <c r="AF2103" s="1" t="s">
        <v>2323</v>
      </c>
      <c r="AH2103" s="1" t="s">
        <v>1685</v>
      </c>
      <c r="AI2103" s="1">
        <v>0.0911</v>
      </c>
      <c r="AK2103" s="1">
        <v>7.0</v>
      </c>
      <c r="AL2103" s="1">
        <v>3.0</v>
      </c>
      <c r="AM2103" s="1">
        <v>2.0</v>
      </c>
      <c r="AN2103" s="1">
        <v>0.0</v>
      </c>
      <c r="AO2103" s="1" t="s">
        <v>229</v>
      </c>
      <c r="AQ2103" s="1" t="s">
        <v>198</v>
      </c>
      <c r="AR2103" s="1" t="s">
        <v>200</v>
      </c>
      <c r="AS2103" s="1" t="s">
        <v>199</v>
      </c>
      <c r="AT2103" s="1">
        <v>2.5</v>
      </c>
      <c r="AV2103" s="1" t="s">
        <v>200</v>
      </c>
      <c r="AW2103" s="1">
        <v>5547.0</v>
      </c>
      <c r="AX2103" s="1">
        <v>2013.0</v>
      </c>
      <c r="AY2103" s="1" t="s">
        <v>387</v>
      </c>
      <c r="AZ2103" s="1" t="s">
        <v>200</v>
      </c>
      <c r="BA2103" s="1" t="str">
        <f>"10361020300000"</f>
        <v>10361020300000</v>
      </c>
      <c r="BC2103" s="1">
        <v>1688.0</v>
      </c>
      <c r="BD2103" s="1">
        <v>360000.0</v>
      </c>
      <c r="BE2103" s="2">
        <v>41913.0</v>
      </c>
      <c r="BF2103" s="2" t="s">
        <v>19800</v>
      </c>
      <c r="BH2103" s="1">
        <v>0.0</v>
      </c>
      <c r="BK2103" s="1" t="s">
        <v>204</v>
      </c>
      <c r="BL2103" s="1" t="str">
        <f>"7135"</f>
        <v>7135</v>
      </c>
      <c r="BM2103" s="1" t="str">
        <f t="shared" ref="BM2103:BM2108" si="1379">"0"</f>
        <v>0</v>
      </c>
      <c r="BN2103" s="1">
        <v>2826.0</v>
      </c>
      <c r="BO2103" s="1">
        <v>0.0</v>
      </c>
      <c r="BQ2103" s="1">
        <v>299.0</v>
      </c>
      <c r="BR2103" s="1">
        <v>299.0</v>
      </c>
      <c r="BS2103" s="1">
        <v>299.0</v>
      </c>
      <c r="BU2103" s="1" t="s">
        <v>11195</v>
      </c>
      <c r="BV2103" s="1" t="s">
        <v>206</v>
      </c>
      <c r="BW2103" s="1" t="s">
        <v>207</v>
      </c>
      <c r="BX2103" s="1" t="s">
        <v>431</v>
      </c>
      <c r="BY2103" s="1" t="s">
        <v>955</v>
      </c>
      <c r="BZ2103" s="1" t="s">
        <v>209</v>
      </c>
      <c r="CA2103" s="1" t="s">
        <v>207</v>
      </c>
      <c r="CB2103" s="1" t="s">
        <v>431</v>
      </c>
      <c r="CC2103" s="1" t="s">
        <v>542</v>
      </c>
      <c r="CD2103" s="1" t="s">
        <v>206</v>
      </c>
      <c r="CE2103" s="1" t="s">
        <v>207</v>
      </c>
      <c r="CF2103" s="1" t="s">
        <v>431</v>
      </c>
      <c r="CG2103" s="1" t="s">
        <v>663</v>
      </c>
      <c r="CH2103" s="1" t="s">
        <v>209</v>
      </c>
      <c r="CI2103" s="1" t="s">
        <v>207</v>
      </c>
      <c r="CJ2103" s="1" t="s">
        <v>431</v>
      </c>
      <c r="CK2103" s="1" t="s">
        <v>303</v>
      </c>
      <c r="CL2103" s="1" t="s">
        <v>209</v>
      </c>
      <c r="CM2103" s="1" t="s">
        <v>207</v>
      </c>
      <c r="CN2103" s="1" t="s">
        <v>431</v>
      </c>
      <c r="CO2103" s="1" t="s">
        <v>363</v>
      </c>
      <c r="CP2103" s="1" t="s">
        <v>42</v>
      </c>
      <c r="CQ2103" s="1" t="s">
        <v>588</v>
      </c>
      <c r="CR2103" s="1" t="s">
        <v>239</v>
      </c>
      <c r="CS2103" s="1" t="s">
        <v>262</v>
      </c>
      <c r="CT2103" s="1" t="s">
        <v>206</v>
      </c>
      <c r="CU2103" s="1" t="s">
        <v>268</v>
      </c>
      <c r="CV2103" s="1" t="s">
        <v>1549</v>
      </c>
      <c r="CX2103" s="1" t="s">
        <v>204</v>
      </c>
      <c r="DA2103" s="1" t="s">
        <v>200</v>
      </c>
      <c r="DC2103" s="1" t="s">
        <v>435</v>
      </c>
      <c r="DD2103" s="1" t="s">
        <v>518</v>
      </c>
      <c r="DE2103" s="1" t="s">
        <v>273</v>
      </c>
      <c r="DF2103" s="1" t="s">
        <v>219</v>
      </c>
      <c r="DH2103" s="1" t="s">
        <v>365</v>
      </c>
      <c r="DI2103" s="1" t="s">
        <v>703</v>
      </c>
      <c r="DJ2103" s="1" t="s">
        <v>222</v>
      </c>
      <c r="DL2103" s="1" t="s">
        <v>986</v>
      </c>
      <c r="DM2103" s="1" t="s">
        <v>229</v>
      </c>
      <c r="DP2103" s="1" t="s">
        <v>276</v>
      </c>
      <c r="DQ2103" s="1" t="s">
        <v>228</v>
      </c>
      <c r="DR2103" s="1" t="s">
        <v>229</v>
      </c>
      <c r="DS2103" s="1" t="s">
        <v>591</v>
      </c>
      <c r="DV2103" s="1" t="s">
        <v>232</v>
      </c>
      <c r="DW2103" s="1" t="s">
        <v>279</v>
      </c>
      <c r="DX2103" s="1" t="s">
        <v>1287</v>
      </c>
      <c r="DZ2103" s="1" t="s">
        <v>796</v>
      </c>
      <c r="EC2103" s="1" t="s">
        <v>237</v>
      </c>
      <c r="ED2103" s="1" t="s">
        <v>555</v>
      </c>
      <c r="EM2103" s="1" t="s">
        <v>238</v>
      </c>
      <c r="EQ2103" s="1" t="s">
        <v>238</v>
      </c>
      <c r="EU2103" s="1" t="s">
        <v>238</v>
      </c>
      <c r="EY2103" s="1" t="s">
        <v>238</v>
      </c>
      <c r="FC2103" s="1" t="s">
        <v>238</v>
      </c>
      <c r="FF2103" s="1" t="s">
        <v>239</v>
      </c>
      <c r="FG2103" s="1" t="s">
        <v>192</v>
      </c>
      <c r="FH2103" s="1" t="s">
        <v>192</v>
      </c>
      <c r="FJ2103" s="1" t="s">
        <v>624</v>
      </c>
      <c r="FK2103" s="1" t="s">
        <v>229</v>
      </c>
      <c r="FL2103" s="1" t="s">
        <v>8695</v>
      </c>
      <c r="FM2103" s="1">
        <v>4669.0</v>
      </c>
      <c r="FN2103" s="1" t="s">
        <v>8696</v>
      </c>
      <c r="FO2103" s="1" t="s">
        <v>8697</v>
      </c>
      <c r="FP2103" s="1">
        <v>35641.0</v>
      </c>
      <c r="FQ2103" s="1" t="s">
        <v>8698</v>
      </c>
      <c r="FS2103" s="1" t="s">
        <v>8699</v>
      </c>
      <c r="FU2103" s="1" t="s">
        <v>19801</v>
      </c>
      <c r="FV2103" s="1" t="s">
        <v>200</v>
      </c>
      <c r="FW2103" s="1" t="s">
        <v>8700</v>
      </c>
      <c r="FX2103" s="1" t="s">
        <v>246</v>
      </c>
      <c r="FZ2103" s="1" t="s">
        <v>229</v>
      </c>
      <c r="GA2103" s="1" t="s">
        <v>291</v>
      </c>
      <c r="GB2103" s="2">
        <v>42070.0</v>
      </c>
      <c r="GC2103" s="1" t="s">
        <v>19802</v>
      </c>
    </row>
    <row r="2104">
      <c r="A2104" s="1">
        <v>1460000.0</v>
      </c>
      <c r="B2104" s="1" t="s">
        <v>185</v>
      </c>
      <c r="C2104" s="1" t="str">
        <f>"08743343"</f>
        <v>08743343</v>
      </c>
      <c r="D2104" s="1" t="s">
        <v>186</v>
      </c>
      <c r="F2104" s="1" t="str">
        <f>"8007"</f>
        <v>8007</v>
      </c>
      <c r="G2104" s="2">
        <v>41914.0</v>
      </c>
      <c r="H2104" s="1">
        <v>1499000.0</v>
      </c>
      <c r="I2104" s="1">
        <v>45.0</v>
      </c>
      <c r="J2104" s="1">
        <v>1499000.0</v>
      </c>
      <c r="K2104" s="2">
        <v>41933.0</v>
      </c>
      <c r="L2104" s="1">
        <v>20.0</v>
      </c>
      <c r="M2104" s="2">
        <v>41933.0</v>
      </c>
      <c r="N2104" s="1" t="s">
        <v>187</v>
      </c>
      <c r="O2104" s="2">
        <v>41985.0</v>
      </c>
      <c r="P2104" s="1">
        <v>112005.0</v>
      </c>
      <c r="Q2104" s="1">
        <v>84025.0</v>
      </c>
      <c r="S2104" s="1">
        <v>2231.0</v>
      </c>
      <c r="T2104" s="1" t="s">
        <v>19803</v>
      </c>
      <c r="U2104" s="1" t="s">
        <v>320</v>
      </c>
      <c r="V2104" s="1" t="s">
        <v>190</v>
      </c>
      <c r="W2104" s="1">
        <v>60614.0</v>
      </c>
      <c r="Y2104" s="1" t="s">
        <v>19804</v>
      </c>
      <c r="Z2104" s="1">
        <v>1875.0</v>
      </c>
      <c r="AA2104" s="1" t="s">
        <v>192</v>
      </c>
      <c r="AB2104" s="1" t="s">
        <v>467</v>
      </c>
      <c r="AD2104" s="1" t="s">
        <v>194</v>
      </c>
      <c r="AE2104" s="1" t="s">
        <v>195</v>
      </c>
      <c r="AF2104" s="1" t="s">
        <v>534</v>
      </c>
      <c r="AH2104" s="1" t="s">
        <v>19805</v>
      </c>
      <c r="AK2104" s="1">
        <v>9.0</v>
      </c>
      <c r="AL2104" s="1">
        <v>3.0</v>
      </c>
      <c r="AM2104" s="1">
        <v>3.0</v>
      </c>
      <c r="AN2104" s="1">
        <v>1.0</v>
      </c>
      <c r="AO2104" s="1" t="s">
        <v>198</v>
      </c>
      <c r="AP2104" s="1">
        <v>1.0</v>
      </c>
      <c r="AQ2104" s="1" t="s">
        <v>198</v>
      </c>
      <c r="AR2104" s="1" t="s">
        <v>192</v>
      </c>
      <c r="AS2104" s="1" t="s">
        <v>199</v>
      </c>
      <c r="AT2104" s="1">
        <v>2.0</v>
      </c>
      <c r="AV2104" s="1" t="s">
        <v>200</v>
      </c>
      <c r="AW2104" s="1">
        <v>20882.14</v>
      </c>
      <c r="AX2104" s="1">
        <v>2013.0</v>
      </c>
      <c r="AY2104" s="1" t="s">
        <v>229</v>
      </c>
      <c r="AZ2104" s="1" t="s">
        <v>200</v>
      </c>
      <c r="BA2104" s="1" t="str">
        <f>"14331080110000"</f>
        <v>14331080110000</v>
      </c>
      <c r="BC2104" s="1">
        <v>0.0</v>
      </c>
      <c r="BD2104" s="1">
        <v>1460000.0</v>
      </c>
      <c r="BE2104" s="2">
        <v>41914.0</v>
      </c>
      <c r="BF2104" s="2" t="s">
        <v>19806</v>
      </c>
      <c r="BH2104" s="1">
        <v>0.0</v>
      </c>
      <c r="BK2104" s="1" t="s">
        <v>204</v>
      </c>
      <c r="BL2104" s="1" t="str">
        <f>"2231"</f>
        <v>2231</v>
      </c>
      <c r="BM2104" s="1" t="str">
        <f t="shared" si="1379"/>
        <v>0</v>
      </c>
      <c r="BN2104" s="1">
        <v>735.0</v>
      </c>
      <c r="BO2104" s="1">
        <v>0.0</v>
      </c>
      <c r="BQ2104" s="1">
        <v>299.0</v>
      </c>
      <c r="BR2104" s="1">
        <v>299.0</v>
      </c>
      <c r="BS2104" s="1">
        <v>299.0</v>
      </c>
      <c r="BU2104" s="1" t="s">
        <v>434</v>
      </c>
      <c r="BV2104" s="1" t="s">
        <v>206</v>
      </c>
      <c r="BW2104" s="1" t="s">
        <v>207</v>
      </c>
      <c r="BY2104" s="1" t="s">
        <v>479</v>
      </c>
      <c r="BZ2104" s="1" t="s">
        <v>209</v>
      </c>
      <c r="CC2104" s="1" t="s">
        <v>925</v>
      </c>
      <c r="CD2104" s="1" t="s">
        <v>206</v>
      </c>
      <c r="CE2104" s="1" t="s">
        <v>207</v>
      </c>
      <c r="CG2104" s="1" t="s">
        <v>454</v>
      </c>
      <c r="CH2104" s="1" t="s">
        <v>209</v>
      </c>
      <c r="CK2104" s="1" t="s">
        <v>3318</v>
      </c>
      <c r="CL2104" s="1" t="s">
        <v>209</v>
      </c>
      <c r="CO2104" s="1" t="s">
        <v>743</v>
      </c>
      <c r="CP2104" s="1" t="s">
        <v>42</v>
      </c>
      <c r="CS2104" s="1" t="s">
        <v>2403</v>
      </c>
      <c r="CT2104" s="1" t="s">
        <v>206</v>
      </c>
      <c r="CW2104" s="1" t="s">
        <v>392</v>
      </c>
      <c r="CX2104" s="1" t="s">
        <v>206</v>
      </c>
      <c r="DA2104" s="1" t="s">
        <v>200</v>
      </c>
      <c r="DC2104" s="1" t="s">
        <v>642</v>
      </c>
      <c r="DD2104" s="1" t="s">
        <v>306</v>
      </c>
      <c r="DE2104" s="1" t="s">
        <v>218</v>
      </c>
      <c r="DF2104" s="1" t="s">
        <v>219</v>
      </c>
      <c r="DH2104" s="1" t="s">
        <v>365</v>
      </c>
      <c r="DI2104" s="1" t="s">
        <v>928</v>
      </c>
      <c r="DJ2104" s="1" t="s">
        <v>222</v>
      </c>
      <c r="DL2104" s="1" t="s">
        <v>224</v>
      </c>
      <c r="DM2104" s="1" t="s">
        <v>1143</v>
      </c>
      <c r="DN2104" s="1" t="s">
        <v>399</v>
      </c>
      <c r="DO2104" s="1" t="s">
        <v>549</v>
      </c>
      <c r="DP2104" s="1" t="s">
        <v>340</v>
      </c>
      <c r="DQ2104" s="1" t="s">
        <v>228</v>
      </c>
      <c r="DR2104" s="1" t="s">
        <v>229</v>
      </c>
      <c r="DS2104" s="1" t="s">
        <v>230</v>
      </c>
      <c r="DV2104" s="1" t="s">
        <v>450</v>
      </c>
      <c r="DW2104" s="1" t="s">
        <v>279</v>
      </c>
      <c r="DX2104" s="1" t="s">
        <v>234</v>
      </c>
      <c r="DY2104" s="1" t="s">
        <v>7572</v>
      </c>
      <c r="DZ2104" s="1" t="s">
        <v>282</v>
      </c>
      <c r="EA2104" s="1" t="s">
        <v>2466</v>
      </c>
      <c r="EB2104" s="1" t="s">
        <v>345</v>
      </c>
      <c r="EC2104" s="1" t="s">
        <v>237</v>
      </c>
      <c r="EG2104" s="1" t="s">
        <v>450</v>
      </c>
      <c r="EL2104" s="1" t="s">
        <v>11283</v>
      </c>
      <c r="EM2104" s="1" t="s">
        <v>42</v>
      </c>
      <c r="EQ2104" s="1" t="s">
        <v>238</v>
      </c>
      <c r="EU2104" s="1" t="s">
        <v>238</v>
      </c>
      <c r="EY2104" s="1" t="s">
        <v>238</v>
      </c>
      <c r="FC2104" s="1" t="s">
        <v>238</v>
      </c>
      <c r="FF2104" s="1" t="s">
        <v>239</v>
      </c>
      <c r="FG2104" s="1" t="s">
        <v>192</v>
      </c>
      <c r="FH2104" s="1" t="s">
        <v>192</v>
      </c>
      <c r="FJ2104" s="1" t="s">
        <v>733</v>
      </c>
      <c r="FK2104" s="1" t="s">
        <v>229</v>
      </c>
      <c r="FL2104" s="1" t="s">
        <v>1358</v>
      </c>
      <c r="FM2104" s="1">
        <v>12198.0</v>
      </c>
      <c r="FN2104" s="1" t="s">
        <v>6165</v>
      </c>
      <c r="FO2104" s="1" t="s">
        <v>6166</v>
      </c>
      <c r="FP2104" s="1">
        <v>129359.0</v>
      </c>
      <c r="FQ2104" s="1" t="s">
        <v>6167</v>
      </c>
      <c r="FU2104" s="1" t="s">
        <v>19807</v>
      </c>
      <c r="FV2104" s="1" t="s">
        <v>200</v>
      </c>
      <c r="FW2104" s="1" t="s">
        <v>290</v>
      </c>
      <c r="FX2104" s="1" t="s">
        <v>238</v>
      </c>
      <c r="FZ2104" s="1" t="s">
        <v>229</v>
      </c>
      <c r="GA2104" s="1" t="s">
        <v>291</v>
      </c>
      <c r="GB2104" s="2">
        <v>41985.0</v>
      </c>
      <c r="GC2104" s="1" t="s">
        <v>19808</v>
      </c>
    </row>
    <row r="2105">
      <c r="A2105" s="1">
        <v>463000.0</v>
      </c>
      <c r="B2105" s="1" t="s">
        <v>185</v>
      </c>
      <c r="C2105" s="1" t="str">
        <f>"08743827"</f>
        <v>08743827</v>
      </c>
      <c r="D2105" s="1" t="s">
        <v>186</v>
      </c>
      <c r="F2105" s="1" t="str">
        <f>"8021"</f>
        <v>8021</v>
      </c>
      <c r="G2105" s="2">
        <v>41914.0</v>
      </c>
      <c r="H2105" s="1">
        <v>559000.0</v>
      </c>
      <c r="I2105" s="1">
        <v>149.0</v>
      </c>
      <c r="J2105" s="1">
        <v>489500.0</v>
      </c>
      <c r="K2105" s="2">
        <v>42062.0</v>
      </c>
      <c r="L2105" s="1">
        <v>149.0</v>
      </c>
      <c r="M2105" s="2">
        <v>42062.0</v>
      </c>
      <c r="N2105" s="1" t="s">
        <v>187</v>
      </c>
      <c r="O2105" s="2">
        <v>42090.0</v>
      </c>
      <c r="P2105" s="1">
        <v>242020.0</v>
      </c>
      <c r="Q2105" s="1">
        <v>8817.0</v>
      </c>
      <c r="S2105" s="1">
        <v>2824.0</v>
      </c>
      <c r="T2105" s="1" t="s">
        <v>7220</v>
      </c>
      <c r="U2105" s="1" t="s">
        <v>320</v>
      </c>
      <c r="V2105" s="1" t="s">
        <v>190</v>
      </c>
      <c r="W2105" s="1">
        <v>60618.0</v>
      </c>
      <c r="Y2105" s="1" t="s">
        <v>19809</v>
      </c>
      <c r="Z2105" s="1">
        <v>2002.0</v>
      </c>
      <c r="AA2105" s="1" t="s">
        <v>200</v>
      </c>
      <c r="AB2105" s="1" t="s">
        <v>193</v>
      </c>
      <c r="AD2105" s="1" t="s">
        <v>194</v>
      </c>
      <c r="AE2105" s="1" t="s">
        <v>195</v>
      </c>
      <c r="AF2105" s="1" t="s">
        <v>827</v>
      </c>
      <c r="AH2105" s="1" t="s">
        <v>4868</v>
      </c>
      <c r="AK2105" s="1">
        <v>11.0</v>
      </c>
      <c r="AL2105" s="1">
        <v>3.0</v>
      </c>
      <c r="AM2105" s="1">
        <v>3.0</v>
      </c>
      <c r="AN2105" s="1">
        <v>1.0</v>
      </c>
      <c r="AO2105" s="1" t="s">
        <v>198</v>
      </c>
      <c r="AP2105" s="1">
        <v>1.0</v>
      </c>
      <c r="AQ2105" s="1" t="s">
        <v>198</v>
      </c>
      <c r="AR2105" s="1" t="s">
        <v>192</v>
      </c>
      <c r="AS2105" s="1" t="s">
        <v>199</v>
      </c>
      <c r="AT2105" s="1">
        <v>2.0</v>
      </c>
      <c r="AV2105" s="1" t="s">
        <v>200</v>
      </c>
      <c r="AW2105" s="1">
        <v>8717.77</v>
      </c>
      <c r="AX2105" s="1">
        <v>2013.0</v>
      </c>
      <c r="AZ2105" s="1" t="s">
        <v>200</v>
      </c>
      <c r="BA2105" s="1" t="str">
        <f>"13251040350000"</f>
        <v>13251040350000</v>
      </c>
      <c r="BC2105" s="1">
        <v>0.0</v>
      </c>
      <c r="BD2105" s="1">
        <v>463000.0</v>
      </c>
      <c r="BE2105" s="2">
        <v>41914.0</v>
      </c>
      <c r="BF2105" s="2" t="s">
        <v>19810</v>
      </c>
      <c r="BH2105" s="1">
        <v>0.0</v>
      </c>
      <c r="BK2105" s="1" t="s">
        <v>204</v>
      </c>
      <c r="BL2105" s="1" t="str">
        <f>"3132"</f>
        <v>3132</v>
      </c>
      <c r="BM2105" s="1" t="str">
        <f t="shared" si="1379"/>
        <v>0</v>
      </c>
      <c r="BN2105" s="1">
        <v>2824.0</v>
      </c>
      <c r="BO2105" s="1">
        <v>0.0</v>
      </c>
      <c r="BQ2105" s="1">
        <v>299.0</v>
      </c>
      <c r="BR2105" s="1">
        <v>299.0</v>
      </c>
      <c r="BS2105" s="1">
        <v>299.0</v>
      </c>
      <c r="BU2105" s="1" t="s">
        <v>208</v>
      </c>
      <c r="BV2105" s="1" t="s">
        <v>206</v>
      </c>
      <c r="BW2105" s="1" t="s">
        <v>207</v>
      </c>
      <c r="BX2105" s="1" t="s">
        <v>431</v>
      </c>
      <c r="BY2105" s="1" t="s">
        <v>208</v>
      </c>
      <c r="BZ2105" s="1" t="s">
        <v>209</v>
      </c>
      <c r="CA2105" s="1" t="s">
        <v>210</v>
      </c>
      <c r="CB2105" s="1" t="s">
        <v>431</v>
      </c>
      <c r="CC2105" s="1" t="s">
        <v>264</v>
      </c>
      <c r="CD2105" s="1" t="s">
        <v>206</v>
      </c>
      <c r="CE2105" s="1" t="s">
        <v>207</v>
      </c>
      <c r="CF2105" s="1" t="s">
        <v>431</v>
      </c>
      <c r="CG2105" s="1" t="s">
        <v>495</v>
      </c>
      <c r="CH2105" s="1" t="s">
        <v>209</v>
      </c>
      <c r="CI2105" s="1" t="s">
        <v>210</v>
      </c>
      <c r="CK2105" s="1" t="s">
        <v>392</v>
      </c>
      <c r="CL2105" s="1" t="s">
        <v>209</v>
      </c>
      <c r="CM2105" s="1" t="s">
        <v>210</v>
      </c>
      <c r="CO2105" s="1" t="s">
        <v>331</v>
      </c>
      <c r="CP2105" s="1" t="s">
        <v>42</v>
      </c>
      <c r="CQ2105" s="1" t="s">
        <v>210</v>
      </c>
      <c r="CS2105" s="1" t="s">
        <v>269</v>
      </c>
      <c r="CT2105" s="1" t="s">
        <v>206</v>
      </c>
      <c r="CU2105" s="1" t="s">
        <v>207</v>
      </c>
      <c r="CW2105" s="1" t="s">
        <v>390</v>
      </c>
      <c r="CX2105" s="1" t="s">
        <v>206</v>
      </c>
      <c r="CY2105" s="1" t="s">
        <v>207</v>
      </c>
      <c r="DA2105" s="1" t="s">
        <v>200</v>
      </c>
      <c r="DC2105" s="1" t="s">
        <v>335</v>
      </c>
      <c r="DD2105" s="1" t="s">
        <v>306</v>
      </c>
      <c r="DE2105" s="1" t="s">
        <v>3750</v>
      </c>
      <c r="DF2105" s="1" t="s">
        <v>619</v>
      </c>
      <c r="DH2105" s="1" t="s">
        <v>365</v>
      </c>
      <c r="DI2105" s="1" t="s">
        <v>221</v>
      </c>
      <c r="DJ2105" s="1" t="s">
        <v>222</v>
      </c>
      <c r="DK2105" s="1" t="s">
        <v>1555</v>
      </c>
      <c r="DL2105" s="1" t="s">
        <v>224</v>
      </c>
      <c r="DM2105" s="1" t="s">
        <v>229</v>
      </c>
      <c r="DP2105" s="1" t="s">
        <v>276</v>
      </c>
      <c r="DQ2105" s="1" t="s">
        <v>718</v>
      </c>
      <c r="DR2105" s="1" t="s">
        <v>229</v>
      </c>
      <c r="DU2105" s="1" t="s">
        <v>1162</v>
      </c>
      <c r="DV2105" s="1" t="s">
        <v>19811</v>
      </c>
      <c r="DW2105" s="1" t="s">
        <v>934</v>
      </c>
      <c r="DX2105" s="1" t="s">
        <v>1287</v>
      </c>
      <c r="DY2105" s="1" t="s">
        <v>704</v>
      </c>
      <c r="DZ2105" s="1" t="s">
        <v>310</v>
      </c>
      <c r="EA2105" s="1" t="s">
        <v>344</v>
      </c>
      <c r="EB2105" s="1" t="s">
        <v>345</v>
      </c>
      <c r="EC2105" s="1" t="s">
        <v>237</v>
      </c>
      <c r="EG2105" s="1" t="s">
        <v>114</v>
      </c>
      <c r="EH2105" s="1" t="s">
        <v>450</v>
      </c>
      <c r="EI2105" s="1" t="s">
        <v>310</v>
      </c>
      <c r="EJ2105" s="1" t="s">
        <v>556</v>
      </c>
      <c r="EL2105" s="1" t="s">
        <v>19812</v>
      </c>
      <c r="EM2105" s="1" t="s">
        <v>114</v>
      </c>
      <c r="EP2105" s="1" t="s">
        <v>3387</v>
      </c>
      <c r="EQ2105" s="1" t="s">
        <v>42</v>
      </c>
      <c r="ER2105" s="1" t="s">
        <v>210</v>
      </c>
      <c r="ET2105" s="1" t="s">
        <v>516</v>
      </c>
      <c r="EU2105" s="1" t="s">
        <v>206</v>
      </c>
      <c r="EX2105" s="1" t="s">
        <v>4153</v>
      </c>
      <c r="EY2105" s="1" t="s">
        <v>206</v>
      </c>
      <c r="EZ2105" s="1" t="s">
        <v>207</v>
      </c>
      <c r="FC2105" s="1" t="s">
        <v>238</v>
      </c>
      <c r="FF2105" s="1" t="s">
        <v>239</v>
      </c>
      <c r="FG2105" s="1" t="s">
        <v>192</v>
      </c>
      <c r="FH2105" s="1" t="s">
        <v>192</v>
      </c>
      <c r="FJ2105" s="1" t="s">
        <v>6658</v>
      </c>
      <c r="FK2105" s="1" t="s">
        <v>229</v>
      </c>
      <c r="FL2105" s="1" t="s">
        <v>456</v>
      </c>
      <c r="FM2105" s="1">
        <v>11000.0</v>
      </c>
      <c r="FN2105" s="1" t="s">
        <v>4123</v>
      </c>
      <c r="FO2105" s="1" t="s">
        <v>19813</v>
      </c>
      <c r="FP2105" s="1">
        <v>101671.0</v>
      </c>
      <c r="FQ2105" s="1" t="s">
        <v>19814</v>
      </c>
      <c r="FU2105" s="1" t="s">
        <v>19815</v>
      </c>
      <c r="FV2105" s="1" t="s">
        <v>200</v>
      </c>
      <c r="FW2105" s="1" t="s">
        <v>530</v>
      </c>
      <c r="FX2105" s="1" t="s">
        <v>246</v>
      </c>
      <c r="FZ2105" s="1" t="s">
        <v>229</v>
      </c>
      <c r="GA2105" s="1" t="s">
        <v>291</v>
      </c>
      <c r="GB2105" s="2">
        <v>42093.0</v>
      </c>
    </row>
    <row r="2106">
      <c r="A2106" s="1">
        <v>327000.0</v>
      </c>
      <c r="B2106" s="1" t="s">
        <v>185</v>
      </c>
      <c r="C2106" s="1" t="str">
        <f>"08731838"</f>
        <v>08731838</v>
      </c>
      <c r="D2106" s="1" t="s">
        <v>186</v>
      </c>
      <c r="F2106" s="1" t="str">
        <f>"8010"</f>
        <v>8010</v>
      </c>
      <c r="G2106" s="2">
        <v>41900.0</v>
      </c>
      <c r="H2106" s="1">
        <v>350000.0</v>
      </c>
      <c r="I2106" s="1">
        <v>125.0</v>
      </c>
      <c r="J2106" s="1">
        <v>335000.0</v>
      </c>
      <c r="K2106" s="2">
        <v>42021.0</v>
      </c>
      <c r="L2106" s="1">
        <v>125.0</v>
      </c>
      <c r="M2106" s="2">
        <v>42021.0</v>
      </c>
      <c r="N2106" s="1" t="s">
        <v>187</v>
      </c>
      <c r="O2106" s="2">
        <v>42090.0</v>
      </c>
      <c r="P2106" s="1">
        <v>167547.0</v>
      </c>
      <c r="Q2106" s="1">
        <v>15694.0</v>
      </c>
      <c r="S2106" s="1">
        <v>6244.0</v>
      </c>
      <c r="T2106" s="1" t="s">
        <v>19816</v>
      </c>
      <c r="U2106" s="1" t="s">
        <v>320</v>
      </c>
      <c r="V2106" s="1" t="s">
        <v>190</v>
      </c>
      <c r="W2106" s="1">
        <v>60646.0</v>
      </c>
      <c r="Y2106" s="1" t="s">
        <v>19817</v>
      </c>
      <c r="Z2106" s="1">
        <v>1926.0</v>
      </c>
      <c r="AA2106" s="1" t="s">
        <v>192</v>
      </c>
      <c r="AB2106" s="1" t="s">
        <v>193</v>
      </c>
      <c r="AD2106" s="1" t="s">
        <v>194</v>
      </c>
      <c r="AE2106" s="1" t="s">
        <v>195</v>
      </c>
      <c r="AF2106" s="1" t="s">
        <v>196</v>
      </c>
      <c r="AH2106" s="1" t="s">
        <v>19818</v>
      </c>
      <c r="AK2106" s="1">
        <v>9.0</v>
      </c>
      <c r="AL2106" s="1">
        <v>4.0</v>
      </c>
      <c r="AM2106" s="1">
        <v>2.0</v>
      </c>
      <c r="AN2106" s="1">
        <v>0.0</v>
      </c>
      <c r="AO2106" s="1" t="s">
        <v>229</v>
      </c>
      <c r="AQ2106" s="1" t="s">
        <v>198</v>
      </c>
      <c r="AR2106" s="1" t="s">
        <v>192</v>
      </c>
      <c r="AS2106" s="1" t="s">
        <v>199</v>
      </c>
      <c r="AT2106" s="1">
        <v>1.0</v>
      </c>
      <c r="AV2106" s="1" t="s">
        <v>200</v>
      </c>
      <c r="AW2106" s="1">
        <v>4196.01</v>
      </c>
      <c r="AX2106" s="1">
        <v>2013.0</v>
      </c>
      <c r="AY2106" s="1" t="s">
        <v>387</v>
      </c>
      <c r="AZ2106" s="1" t="s">
        <v>200</v>
      </c>
      <c r="BA2106" s="1" t="str">
        <f>"13051200190000"</f>
        <v>13051200190000</v>
      </c>
      <c r="BC2106" s="1">
        <v>1400.0</v>
      </c>
      <c r="BD2106" s="1">
        <v>327000.0</v>
      </c>
      <c r="BE2106" s="2">
        <v>41897.0</v>
      </c>
      <c r="BF2106" s="2" t="s">
        <v>19819</v>
      </c>
      <c r="BH2106" s="1">
        <v>0.0</v>
      </c>
      <c r="BK2106" s="1" t="s">
        <v>204</v>
      </c>
      <c r="BL2106" s="1" t="str">
        <f>"6100"</f>
        <v>6100</v>
      </c>
      <c r="BM2106" s="1" t="str">
        <f t="shared" si="1379"/>
        <v>0</v>
      </c>
      <c r="BN2106" s="1">
        <v>6220.0</v>
      </c>
      <c r="BO2106" s="1">
        <v>0.0</v>
      </c>
      <c r="BQ2106" s="1">
        <v>299.0</v>
      </c>
      <c r="BR2106" s="1">
        <v>299.0</v>
      </c>
      <c r="BS2106" s="1">
        <v>299.0</v>
      </c>
      <c r="BU2106" s="1" t="s">
        <v>260</v>
      </c>
      <c r="BV2106" s="1" t="s">
        <v>206</v>
      </c>
      <c r="BW2106" s="1" t="s">
        <v>210</v>
      </c>
      <c r="BX2106" s="1" t="s">
        <v>239</v>
      </c>
      <c r="BY2106" s="1" t="s">
        <v>743</v>
      </c>
      <c r="BZ2106" s="1" t="s">
        <v>209</v>
      </c>
      <c r="CA2106" s="1" t="s">
        <v>210</v>
      </c>
      <c r="CB2106" s="1" t="s">
        <v>239</v>
      </c>
      <c r="CC2106" s="1" t="s">
        <v>433</v>
      </c>
      <c r="CD2106" s="1" t="s">
        <v>206</v>
      </c>
      <c r="CE2106" s="1" t="s">
        <v>210</v>
      </c>
      <c r="CF2106" s="1" t="s">
        <v>239</v>
      </c>
      <c r="CG2106" s="1" t="s">
        <v>215</v>
      </c>
      <c r="CH2106" s="1" t="s">
        <v>206</v>
      </c>
      <c r="CI2106" s="1" t="s">
        <v>210</v>
      </c>
      <c r="CJ2106" s="1" t="s">
        <v>239</v>
      </c>
      <c r="CK2106" s="1" t="s">
        <v>699</v>
      </c>
      <c r="CL2106" s="1" t="s">
        <v>206</v>
      </c>
      <c r="CM2106" s="1" t="s">
        <v>210</v>
      </c>
      <c r="CN2106" s="1" t="s">
        <v>239</v>
      </c>
      <c r="CO2106" s="1" t="s">
        <v>495</v>
      </c>
      <c r="CP2106" s="1" t="s">
        <v>206</v>
      </c>
      <c r="CQ2106" s="1" t="s">
        <v>210</v>
      </c>
      <c r="CR2106" s="1" t="s">
        <v>239</v>
      </c>
      <c r="CS2106" s="1" t="s">
        <v>264</v>
      </c>
      <c r="CT2106" s="1" t="s">
        <v>206</v>
      </c>
      <c r="CU2106" s="1" t="s">
        <v>617</v>
      </c>
      <c r="CV2106" s="1" t="s">
        <v>431</v>
      </c>
      <c r="CX2106" s="1" t="s">
        <v>204</v>
      </c>
      <c r="DA2106" s="1" t="s">
        <v>200</v>
      </c>
      <c r="DC2106" s="1" t="s">
        <v>785</v>
      </c>
      <c r="DD2106" s="1" t="s">
        <v>786</v>
      </c>
      <c r="DE2106" s="1" t="s">
        <v>1139</v>
      </c>
      <c r="DF2106" s="1" t="s">
        <v>4086</v>
      </c>
      <c r="DH2106" s="1" t="s">
        <v>365</v>
      </c>
      <c r="DI2106" s="1" t="s">
        <v>1401</v>
      </c>
      <c r="DJ2106" s="1" t="s">
        <v>222</v>
      </c>
      <c r="DL2106" s="1" t="s">
        <v>224</v>
      </c>
      <c r="DM2106" s="1" t="s">
        <v>225</v>
      </c>
      <c r="DP2106" s="1" t="s">
        <v>340</v>
      </c>
      <c r="DQ2106" s="1" t="s">
        <v>228</v>
      </c>
      <c r="DR2106" s="1" t="s">
        <v>229</v>
      </c>
      <c r="DV2106" s="1" t="s">
        <v>3452</v>
      </c>
      <c r="DW2106" s="1" t="s">
        <v>279</v>
      </c>
      <c r="DX2106" s="1" t="s">
        <v>234</v>
      </c>
      <c r="EA2106" s="1" t="s">
        <v>644</v>
      </c>
      <c r="EC2106" s="1" t="s">
        <v>645</v>
      </c>
      <c r="EG2106" s="1" t="s">
        <v>114</v>
      </c>
      <c r="EH2106" s="1" t="s">
        <v>1407</v>
      </c>
      <c r="EL2106" s="1" t="s">
        <v>497</v>
      </c>
      <c r="EM2106" s="1" t="s">
        <v>209</v>
      </c>
      <c r="EN2106" s="1" t="s">
        <v>588</v>
      </c>
      <c r="EP2106" s="1" t="s">
        <v>454</v>
      </c>
      <c r="EQ2106" s="1" t="s">
        <v>42</v>
      </c>
      <c r="ER2106" s="1" t="s">
        <v>617</v>
      </c>
      <c r="EU2106" s="1" t="s">
        <v>238</v>
      </c>
      <c r="EY2106" s="1" t="s">
        <v>238</v>
      </c>
      <c r="FC2106" s="1" t="s">
        <v>238</v>
      </c>
      <c r="FF2106" s="1" t="s">
        <v>239</v>
      </c>
      <c r="FG2106" s="1" t="s">
        <v>192</v>
      </c>
      <c r="FH2106" s="1" t="s">
        <v>192</v>
      </c>
      <c r="FJ2106" s="1" t="s">
        <v>1698</v>
      </c>
      <c r="FK2106" s="1" t="s">
        <v>229</v>
      </c>
      <c r="FL2106" s="1" t="s">
        <v>2580</v>
      </c>
      <c r="FM2106" s="1">
        <v>23265.0</v>
      </c>
      <c r="FN2106" s="1" t="s">
        <v>2581</v>
      </c>
      <c r="FO2106" s="1" t="s">
        <v>19820</v>
      </c>
      <c r="FP2106" s="1">
        <v>212343.0</v>
      </c>
      <c r="FQ2106" s="1" t="s">
        <v>19821</v>
      </c>
      <c r="FU2106" s="1" t="s">
        <v>19822</v>
      </c>
      <c r="FV2106" s="1" t="s">
        <v>200</v>
      </c>
      <c r="FW2106" s="1" t="s">
        <v>1293</v>
      </c>
      <c r="FX2106" s="1" t="s">
        <v>246</v>
      </c>
      <c r="FZ2106" s="1" t="s">
        <v>632</v>
      </c>
      <c r="GA2106" s="1" t="s">
        <v>291</v>
      </c>
      <c r="GB2106" s="2">
        <v>42092.0</v>
      </c>
      <c r="GC2106" s="1" t="s">
        <v>19823</v>
      </c>
    </row>
    <row r="2107">
      <c r="A2107" s="1">
        <v>523500.0</v>
      </c>
      <c r="B2107" s="1" t="s">
        <v>185</v>
      </c>
      <c r="C2107" s="1" t="str">
        <f>"08733306"</f>
        <v>08733306</v>
      </c>
      <c r="D2107" s="1" t="s">
        <v>186</v>
      </c>
      <c r="F2107" s="1" t="str">
        <f>"8009"</f>
        <v>8009</v>
      </c>
      <c r="G2107" s="2">
        <v>41901.0</v>
      </c>
      <c r="H2107" s="1">
        <v>584000.0</v>
      </c>
      <c r="I2107" s="1">
        <v>36.0</v>
      </c>
      <c r="J2107" s="1">
        <v>564000.0</v>
      </c>
      <c r="K2107" s="2">
        <v>41936.0</v>
      </c>
      <c r="L2107" s="1">
        <v>36.0</v>
      </c>
      <c r="M2107" s="2">
        <v>41936.0</v>
      </c>
      <c r="N2107" s="1" t="s">
        <v>187</v>
      </c>
      <c r="O2107" s="2">
        <v>41978.0</v>
      </c>
      <c r="P2107" s="1">
        <v>102545.0</v>
      </c>
      <c r="Q2107" s="1">
        <v>12654.0</v>
      </c>
      <c r="S2107" s="1">
        <v>6838.0</v>
      </c>
      <c r="T2107" s="1" t="s">
        <v>7039</v>
      </c>
      <c r="U2107" s="1" t="s">
        <v>189</v>
      </c>
      <c r="V2107" s="1" t="s">
        <v>190</v>
      </c>
      <c r="W2107" s="1">
        <v>60631.0</v>
      </c>
      <c r="Y2107" s="1" t="s">
        <v>19824</v>
      </c>
      <c r="Z2107" s="1">
        <v>1923.0</v>
      </c>
      <c r="AA2107" s="1" t="s">
        <v>192</v>
      </c>
      <c r="AB2107" s="1" t="s">
        <v>193</v>
      </c>
      <c r="AD2107" s="1" t="s">
        <v>194</v>
      </c>
      <c r="AE2107" s="1" t="s">
        <v>195</v>
      </c>
      <c r="AF2107" s="1" t="s">
        <v>196</v>
      </c>
      <c r="AH2107" s="1" t="s">
        <v>19825</v>
      </c>
      <c r="AI2107" s="1">
        <v>0.1687</v>
      </c>
      <c r="AK2107" s="1">
        <v>11.0</v>
      </c>
      <c r="AL2107" s="1">
        <v>4.0</v>
      </c>
      <c r="AM2107" s="1">
        <v>2.0</v>
      </c>
      <c r="AN2107" s="1">
        <v>1.0</v>
      </c>
      <c r="AO2107" s="1" t="s">
        <v>229</v>
      </c>
      <c r="AP2107" s="1">
        <v>1.0</v>
      </c>
      <c r="AQ2107" s="1" t="s">
        <v>198</v>
      </c>
      <c r="AR2107" s="1" t="s">
        <v>192</v>
      </c>
      <c r="AS2107" s="1" t="s">
        <v>199</v>
      </c>
      <c r="AT2107" s="1">
        <v>3.0</v>
      </c>
      <c r="AV2107" s="1" t="s">
        <v>200</v>
      </c>
      <c r="AW2107" s="1">
        <v>7954.45</v>
      </c>
      <c r="AX2107" s="1">
        <v>2012.0</v>
      </c>
      <c r="AY2107" s="1" t="s">
        <v>1179</v>
      </c>
      <c r="AZ2107" s="1" t="s">
        <v>200</v>
      </c>
      <c r="BA2107" s="1" t="str">
        <f>"09362260220000"</f>
        <v>09362260220000</v>
      </c>
      <c r="BC2107" s="1">
        <v>0.0</v>
      </c>
      <c r="BD2107" s="1">
        <v>523500.0</v>
      </c>
      <c r="BE2107" s="2">
        <v>41901.0</v>
      </c>
      <c r="BF2107" s="2" t="s">
        <v>19826</v>
      </c>
      <c r="BH2107" s="1">
        <v>0.0</v>
      </c>
      <c r="BK2107" s="1" t="s">
        <v>204</v>
      </c>
      <c r="BL2107" s="1" t="str">
        <f>"6800"</f>
        <v>6800</v>
      </c>
      <c r="BM2107" s="1" t="str">
        <f t="shared" si="1379"/>
        <v>0</v>
      </c>
      <c r="BN2107" s="1">
        <v>7450.0</v>
      </c>
      <c r="BO2107" s="1">
        <v>0.0</v>
      </c>
      <c r="BQ2107" s="1">
        <v>299.0</v>
      </c>
      <c r="BR2107" s="1">
        <v>299.0</v>
      </c>
      <c r="BS2107" s="1">
        <v>299.0</v>
      </c>
      <c r="BU2107" s="1" t="s">
        <v>783</v>
      </c>
      <c r="BV2107" s="1" t="s">
        <v>206</v>
      </c>
      <c r="BW2107" s="1" t="s">
        <v>210</v>
      </c>
      <c r="BY2107" s="1" t="s">
        <v>390</v>
      </c>
      <c r="BZ2107" s="1" t="s">
        <v>209</v>
      </c>
      <c r="CA2107" s="1" t="s">
        <v>210</v>
      </c>
      <c r="CC2107" s="1" t="s">
        <v>758</v>
      </c>
      <c r="CD2107" s="1" t="s">
        <v>206</v>
      </c>
      <c r="CE2107" s="1" t="s">
        <v>207</v>
      </c>
      <c r="CG2107" s="1" t="s">
        <v>332</v>
      </c>
      <c r="CH2107" s="1" t="s">
        <v>209</v>
      </c>
      <c r="CI2107" s="1" t="s">
        <v>207</v>
      </c>
      <c r="CK2107" s="1" t="s">
        <v>332</v>
      </c>
      <c r="CL2107" s="1" t="s">
        <v>209</v>
      </c>
      <c r="CM2107" s="1" t="s">
        <v>210</v>
      </c>
      <c r="CO2107" s="1" t="s">
        <v>332</v>
      </c>
      <c r="CP2107" s="1" t="s">
        <v>209</v>
      </c>
      <c r="CQ2107" s="1" t="s">
        <v>210</v>
      </c>
      <c r="CS2107" s="1" t="s">
        <v>262</v>
      </c>
      <c r="CT2107" s="1" t="s">
        <v>206</v>
      </c>
      <c r="CU2107" s="1" t="s">
        <v>268</v>
      </c>
      <c r="CW2107" s="1" t="s">
        <v>497</v>
      </c>
      <c r="CX2107" s="1" t="s">
        <v>206</v>
      </c>
      <c r="CY2107" s="1" t="s">
        <v>210</v>
      </c>
      <c r="DA2107" s="1" t="s">
        <v>200</v>
      </c>
      <c r="DC2107" s="1" t="s">
        <v>216</v>
      </c>
      <c r="DD2107" s="1" t="s">
        <v>518</v>
      </c>
      <c r="DE2107" s="1" t="s">
        <v>7068</v>
      </c>
      <c r="DF2107" s="1" t="s">
        <v>6867</v>
      </c>
      <c r="DH2107" s="1" t="s">
        <v>365</v>
      </c>
      <c r="DI2107" s="1" t="s">
        <v>2124</v>
      </c>
      <c r="DJ2107" s="1" t="s">
        <v>222</v>
      </c>
      <c r="DL2107" s="1" t="s">
        <v>1161</v>
      </c>
      <c r="DM2107" s="1" t="s">
        <v>229</v>
      </c>
      <c r="DP2107" s="1" t="s">
        <v>340</v>
      </c>
      <c r="DQ2107" s="1" t="s">
        <v>228</v>
      </c>
      <c r="DR2107" s="1" t="s">
        <v>229</v>
      </c>
      <c r="DS2107" s="1" t="s">
        <v>230</v>
      </c>
      <c r="DV2107" s="1" t="s">
        <v>19827</v>
      </c>
      <c r="DW2107" s="1" t="s">
        <v>279</v>
      </c>
      <c r="DX2107" s="1" t="s">
        <v>234</v>
      </c>
      <c r="EB2107" s="1" t="s">
        <v>345</v>
      </c>
      <c r="EC2107" s="1" t="s">
        <v>237</v>
      </c>
      <c r="EG2107" s="1" t="s">
        <v>598</v>
      </c>
      <c r="EH2107" s="1" t="s">
        <v>450</v>
      </c>
      <c r="EI2107" s="1" t="s">
        <v>1491</v>
      </c>
      <c r="EJ2107" s="1" t="s">
        <v>968</v>
      </c>
      <c r="EL2107" s="1" t="s">
        <v>1517</v>
      </c>
      <c r="EM2107" s="1" t="s">
        <v>42</v>
      </c>
      <c r="EN2107" s="1" t="s">
        <v>588</v>
      </c>
      <c r="EP2107" s="1" t="s">
        <v>1117</v>
      </c>
      <c r="EQ2107" s="1" t="s">
        <v>42</v>
      </c>
      <c r="ER2107" s="1" t="s">
        <v>588</v>
      </c>
      <c r="ET2107" s="1" t="s">
        <v>1517</v>
      </c>
      <c r="EU2107" s="1" t="s">
        <v>42</v>
      </c>
      <c r="EV2107" s="1" t="s">
        <v>588</v>
      </c>
      <c r="EX2107" s="1" t="s">
        <v>6563</v>
      </c>
      <c r="EY2107" s="1" t="s">
        <v>209</v>
      </c>
      <c r="EZ2107" s="1" t="s">
        <v>588</v>
      </c>
      <c r="FC2107" s="1" t="s">
        <v>238</v>
      </c>
      <c r="FF2107" s="1" t="s">
        <v>239</v>
      </c>
      <c r="FG2107" s="1" t="s">
        <v>192</v>
      </c>
      <c r="FH2107" s="1" t="s">
        <v>192</v>
      </c>
      <c r="FJ2107" s="1" t="s">
        <v>412</v>
      </c>
      <c r="FK2107" s="1" t="s">
        <v>229</v>
      </c>
      <c r="FL2107" s="1" t="s">
        <v>2354</v>
      </c>
      <c r="FM2107" s="1">
        <v>1855.0</v>
      </c>
      <c r="FN2107" s="1" t="s">
        <v>2355</v>
      </c>
      <c r="FO2107" s="1" t="s">
        <v>19828</v>
      </c>
      <c r="FP2107" s="1">
        <v>923043.0</v>
      </c>
      <c r="FQ2107" s="1" t="s">
        <v>19829</v>
      </c>
      <c r="FU2107" s="1" t="s">
        <v>19830</v>
      </c>
      <c r="FV2107" s="1" t="s">
        <v>200</v>
      </c>
      <c r="FW2107" s="1" t="s">
        <v>19831</v>
      </c>
      <c r="FX2107" s="1" t="s">
        <v>238</v>
      </c>
      <c r="FZ2107" s="1" t="s">
        <v>229</v>
      </c>
      <c r="GA2107" s="1" t="s">
        <v>291</v>
      </c>
      <c r="GB2107" s="2">
        <v>41981.0</v>
      </c>
      <c r="GC2107" s="1" t="s">
        <v>19832</v>
      </c>
    </row>
    <row r="2108">
      <c r="A2108" s="1">
        <v>2265000.0</v>
      </c>
      <c r="B2108" s="1" t="s">
        <v>185</v>
      </c>
      <c r="C2108" s="1" t="str">
        <f>"08735658"</f>
        <v>08735658</v>
      </c>
      <c r="D2108" s="1" t="s">
        <v>186</v>
      </c>
      <c r="F2108" s="1" t="str">
        <f>"8024"</f>
        <v>8024</v>
      </c>
      <c r="G2108" s="2">
        <v>41905.0</v>
      </c>
      <c r="H2108" s="1">
        <v>2375000.0</v>
      </c>
      <c r="I2108" s="1">
        <v>47.0</v>
      </c>
      <c r="J2108" s="1">
        <v>2375000.0</v>
      </c>
      <c r="K2108" s="2">
        <v>41951.0</v>
      </c>
      <c r="L2108" s="1">
        <v>47.0</v>
      </c>
      <c r="M2108" s="2">
        <v>41951.0</v>
      </c>
      <c r="N2108" s="1" t="s">
        <v>187</v>
      </c>
      <c r="O2108" s="2">
        <v>41988.0</v>
      </c>
      <c r="P2108" s="1">
        <v>185209.0</v>
      </c>
      <c r="Q2108" s="1">
        <v>18705.0</v>
      </c>
      <c r="S2108" s="1">
        <v>1759.0</v>
      </c>
      <c r="T2108" s="1" t="s">
        <v>19833</v>
      </c>
      <c r="U2108" s="1" t="s">
        <v>189</v>
      </c>
      <c r="V2108" s="1" t="s">
        <v>190</v>
      </c>
      <c r="W2108" s="1">
        <v>60647.0</v>
      </c>
      <c r="Y2108" s="1" t="s">
        <v>19834</v>
      </c>
      <c r="Z2108" s="1">
        <v>2006.0</v>
      </c>
      <c r="AA2108" s="1" t="s">
        <v>200</v>
      </c>
      <c r="AB2108" s="1" t="s">
        <v>467</v>
      </c>
      <c r="AD2108" s="1" t="s">
        <v>194</v>
      </c>
      <c r="AE2108" s="1" t="s">
        <v>195</v>
      </c>
      <c r="AF2108" s="1" t="s">
        <v>827</v>
      </c>
      <c r="AH2108" s="1" t="s">
        <v>19835</v>
      </c>
      <c r="AK2108" s="1">
        <v>11.0</v>
      </c>
      <c r="AL2108" s="1">
        <v>4.0</v>
      </c>
      <c r="AM2108" s="1">
        <v>4.0</v>
      </c>
      <c r="AN2108" s="1">
        <v>2.0</v>
      </c>
      <c r="AO2108" s="1" t="s">
        <v>198</v>
      </c>
      <c r="AP2108" s="1">
        <v>2.0</v>
      </c>
      <c r="AQ2108" s="1" t="s">
        <v>472</v>
      </c>
      <c r="AR2108" s="1" t="s">
        <v>192</v>
      </c>
      <c r="AS2108" s="1" t="s">
        <v>199</v>
      </c>
      <c r="AT2108" s="1">
        <v>3.0</v>
      </c>
      <c r="AV2108" s="1" t="s">
        <v>200</v>
      </c>
      <c r="AW2108" s="1">
        <v>17029.0</v>
      </c>
      <c r="AX2108" s="1">
        <v>2012.0</v>
      </c>
      <c r="AY2108" s="1" t="s">
        <v>229</v>
      </c>
      <c r="AZ2108" s="1" t="s">
        <v>200</v>
      </c>
      <c r="BA2108" s="1" t="str">
        <f>"14313210710000"</f>
        <v>14313210710000</v>
      </c>
      <c r="BB2108" s="1" t="s">
        <v>200</v>
      </c>
      <c r="BC2108" s="1">
        <v>6500.0</v>
      </c>
      <c r="BD2108" s="1">
        <v>2265000.0</v>
      </c>
      <c r="BE2108" s="2">
        <v>41905.0</v>
      </c>
      <c r="BF2108" s="2" t="s">
        <v>19836</v>
      </c>
      <c r="BH2108" s="1">
        <v>42.0</v>
      </c>
      <c r="BK2108" s="1" t="s">
        <v>474</v>
      </c>
      <c r="BL2108" s="1" t="str">
        <f>"1759"</f>
        <v>1759</v>
      </c>
      <c r="BM2108" s="1" t="str">
        <f t="shared" si="1379"/>
        <v>0</v>
      </c>
      <c r="BN2108" s="1">
        <v>2000.0</v>
      </c>
      <c r="BO2108" s="1">
        <v>0.0</v>
      </c>
      <c r="BQ2108" s="1">
        <v>299.0</v>
      </c>
      <c r="BR2108" s="1">
        <v>299.0</v>
      </c>
      <c r="BS2108" s="1">
        <v>299.0</v>
      </c>
      <c r="BU2108" s="1" t="s">
        <v>6858</v>
      </c>
      <c r="BV2108" s="1" t="s">
        <v>206</v>
      </c>
      <c r="BW2108" s="1" t="s">
        <v>207</v>
      </c>
      <c r="BX2108" s="1" t="s">
        <v>1118</v>
      </c>
      <c r="BY2108" s="1" t="s">
        <v>1623</v>
      </c>
      <c r="BZ2108" s="1" t="s">
        <v>209</v>
      </c>
      <c r="CA2108" s="1" t="s">
        <v>207</v>
      </c>
      <c r="CB2108" s="1" t="s">
        <v>1118</v>
      </c>
      <c r="CC2108" s="1" t="s">
        <v>1623</v>
      </c>
      <c r="CD2108" s="1" t="s">
        <v>206</v>
      </c>
      <c r="CE2108" s="1" t="s">
        <v>207</v>
      </c>
      <c r="CF2108" s="1" t="s">
        <v>1118</v>
      </c>
      <c r="CG2108" s="1" t="s">
        <v>3154</v>
      </c>
      <c r="CH2108" s="1" t="s">
        <v>209</v>
      </c>
      <c r="CI2108" s="1" t="s">
        <v>207</v>
      </c>
      <c r="CJ2108" s="1" t="s">
        <v>1118</v>
      </c>
      <c r="CK2108" s="1" t="s">
        <v>390</v>
      </c>
      <c r="CL2108" s="1" t="s">
        <v>391</v>
      </c>
      <c r="CM2108" s="1" t="s">
        <v>207</v>
      </c>
      <c r="CN2108" s="1" t="s">
        <v>1118</v>
      </c>
      <c r="CO2108" s="1" t="s">
        <v>2182</v>
      </c>
      <c r="CP2108" s="1" t="s">
        <v>267</v>
      </c>
      <c r="CQ2108" s="1" t="s">
        <v>207</v>
      </c>
      <c r="CR2108" s="1" t="s">
        <v>1118</v>
      </c>
      <c r="CS2108" s="1" t="s">
        <v>4353</v>
      </c>
      <c r="CT2108" s="1" t="s">
        <v>206</v>
      </c>
      <c r="CU2108" s="1" t="s">
        <v>2128</v>
      </c>
      <c r="CV2108" s="1" t="s">
        <v>1118</v>
      </c>
      <c r="CX2108" s="1" t="s">
        <v>204</v>
      </c>
      <c r="DA2108" s="1" t="s">
        <v>200</v>
      </c>
      <c r="DC2108" s="1" t="s">
        <v>481</v>
      </c>
      <c r="DD2108" s="1" t="s">
        <v>436</v>
      </c>
      <c r="DE2108" s="1" t="s">
        <v>218</v>
      </c>
      <c r="DF2108" s="1" t="s">
        <v>3258</v>
      </c>
      <c r="DG2108" s="1" t="s">
        <v>19837</v>
      </c>
      <c r="DH2108" s="1" t="s">
        <v>220</v>
      </c>
      <c r="DI2108" s="1" t="s">
        <v>19838</v>
      </c>
      <c r="DJ2108" s="1" t="s">
        <v>222</v>
      </c>
      <c r="DL2108" s="1" t="s">
        <v>1161</v>
      </c>
      <c r="DM2108" s="1" t="s">
        <v>229</v>
      </c>
      <c r="DN2108" s="1" t="s">
        <v>2873</v>
      </c>
      <c r="DO2108" s="1" t="s">
        <v>5346</v>
      </c>
      <c r="DP2108" s="1" t="s">
        <v>340</v>
      </c>
      <c r="DQ2108" s="1" t="s">
        <v>228</v>
      </c>
      <c r="DR2108" s="1" t="s">
        <v>19839</v>
      </c>
      <c r="DU2108" s="1" t="s">
        <v>10037</v>
      </c>
      <c r="DV2108" s="1" t="s">
        <v>19840</v>
      </c>
      <c r="DW2108" s="1" t="s">
        <v>19841</v>
      </c>
      <c r="DX2108" s="1" t="s">
        <v>234</v>
      </c>
      <c r="DY2108" s="1" t="s">
        <v>19842</v>
      </c>
      <c r="DZ2108" s="1" t="s">
        <v>19843</v>
      </c>
      <c r="EA2108" s="1" t="s">
        <v>1027</v>
      </c>
      <c r="EB2108" s="1" t="s">
        <v>1639</v>
      </c>
      <c r="EC2108" s="1" t="s">
        <v>4792</v>
      </c>
      <c r="EG2108" s="1" t="s">
        <v>556</v>
      </c>
      <c r="EH2108" s="1" t="s">
        <v>557</v>
      </c>
      <c r="EI2108" s="1" t="s">
        <v>450</v>
      </c>
      <c r="EJ2108" s="1" t="s">
        <v>2023</v>
      </c>
      <c r="EK2108" s="1" t="s">
        <v>310</v>
      </c>
      <c r="EL2108" s="1" t="s">
        <v>212</v>
      </c>
      <c r="EM2108" s="1" t="s">
        <v>206</v>
      </c>
      <c r="EN2108" s="1" t="s">
        <v>207</v>
      </c>
      <c r="EO2108" s="1" t="s">
        <v>1118</v>
      </c>
      <c r="EP2108" s="1" t="s">
        <v>925</v>
      </c>
      <c r="EQ2108" s="1" t="s">
        <v>267</v>
      </c>
      <c r="ER2108" s="1" t="s">
        <v>2128</v>
      </c>
      <c r="ET2108" s="1" t="s">
        <v>4469</v>
      </c>
      <c r="EU2108" s="1" t="s">
        <v>391</v>
      </c>
      <c r="EV2108" s="1" t="s">
        <v>207</v>
      </c>
      <c r="EW2108" s="1" t="s">
        <v>1118</v>
      </c>
      <c r="EX2108" s="1" t="s">
        <v>1206</v>
      </c>
      <c r="EY2108" s="1" t="s">
        <v>267</v>
      </c>
      <c r="EZ2108" s="1" t="s">
        <v>207</v>
      </c>
      <c r="FA2108" s="1" t="s">
        <v>1118</v>
      </c>
      <c r="FB2108" s="1" t="s">
        <v>3262</v>
      </c>
      <c r="FC2108" s="1" t="s">
        <v>206</v>
      </c>
      <c r="FD2108" s="1" t="s">
        <v>207</v>
      </c>
      <c r="FF2108" s="1" t="s">
        <v>239</v>
      </c>
      <c r="FG2108" s="1" t="s">
        <v>192</v>
      </c>
      <c r="FH2108" s="1" t="s">
        <v>192</v>
      </c>
      <c r="FJ2108" s="1" t="s">
        <v>2285</v>
      </c>
      <c r="FK2108" s="1" t="s">
        <v>229</v>
      </c>
      <c r="FL2108" s="1" t="s">
        <v>974</v>
      </c>
      <c r="FM2108" s="1">
        <v>10988.0</v>
      </c>
      <c r="FN2108" s="1" t="s">
        <v>975</v>
      </c>
      <c r="FO2108" s="1" t="s">
        <v>19844</v>
      </c>
      <c r="FP2108" s="1">
        <v>186740.0</v>
      </c>
      <c r="FQ2108" s="1" t="s">
        <v>19845</v>
      </c>
      <c r="FU2108" s="1" t="s">
        <v>19846</v>
      </c>
      <c r="FV2108" s="1" t="s">
        <v>200</v>
      </c>
      <c r="FW2108" s="1" t="s">
        <v>567</v>
      </c>
      <c r="FX2108" s="1" t="s">
        <v>238</v>
      </c>
      <c r="FZ2108" s="1" t="s">
        <v>229</v>
      </c>
      <c r="GA2108" s="1" t="s">
        <v>291</v>
      </c>
      <c r="GB2108" s="2">
        <v>41989.0</v>
      </c>
      <c r="GC2108" s="1" t="s">
        <v>19847</v>
      </c>
    </row>
    <row r="2109">
      <c r="A2109" s="1">
        <v>135000.0</v>
      </c>
      <c r="B2109" s="1" t="s">
        <v>185</v>
      </c>
      <c r="C2109" s="1" t="str">
        <f>"08736769"</f>
        <v>08736769</v>
      </c>
      <c r="D2109" s="1" t="s">
        <v>186</v>
      </c>
      <c r="F2109" s="1" t="str">
        <f>"8053"</f>
        <v>8053</v>
      </c>
      <c r="G2109" s="2">
        <v>41906.0</v>
      </c>
      <c r="H2109" s="1">
        <v>149000.0</v>
      </c>
      <c r="I2109" s="1">
        <v>112.0</v>
      </c>
      <c r="J2109" s="1">
        <v>145000.0</v>
      </c>
      <c r="K2109" s="2">
        <v>41972.0</v>
      </c>
      <c r="L2109" s="1">
        <v>67.0</v>
      </c>
      <c r="M2109" s="2">
        <v>41972.0</v>
      </c>
      <c r="N2109" s="1" t="s">
        <v>187</v>
      </c>
      <c r="O2109" s="2">
        <v>42027.0</v>
      </c>
      <c r="P2109" s="1">
        <v>172792.0</v>
      </c>
      <c r="Q2109" s="1">
        <v>84082.0</v>
      </c>
      <c r="R2109" s="1">
        <v>4050.0</v>
      </c>
      <c r="S2109" s="1">
        <v>12447.0</v>
      </c>
      <c r="T2109" s="1" t="s">
        <v>3384</v>
      </c>
      <c r="U2109" s="1" t="s">
        <v>189</v>
      </c>
      <c r="V2109" s="1" t="s">
        <v>190</v>
      </c>
      <c r="W2109" s="1">
        <v>60628.0</v>
      </c>
      <c r="Y2109" s="1" t="s">
        <v>19848</v>
      </c>
      <c r="Z2109" s="1">
        <v>1958.0</v>
      </c>
      <c r="AA2109" s="1" t="s">
        <v>192</v>
      </c>
      <c r="AB2109" s="1" t="s">
        <v>193</v>
      </c>
      <c r="AD2109" s="1" t="s">
        <v>194</v>
      </c>
      <c r="AE2109" s="1" t="s">
        <v>195</v>
      </c>
      <c r="AF2109" s="1" t="s">
        <v>659</v>
      </c>
      <c r="AH2109" s="1" t="s">
        <v>19849</v>
      </c>
      <c r="AI2109" s="1">
        <v>0.1155</v>
      </c>
      <c r="AK2109" s="1">
        <v>8.0</v>
      </c>
      <c r="AL2109" s="1">
        <v>4.0</v>
      </c>
      <c r="AM2109" s="1">
        <v>2.0</v>
      </c>
      <c r="AN2109" s="1">
        <v>1.0</v>
      </c>
      <c r="AO2109" s="1" t="s">
        <v>198</v>
      </c>
      <c r="AP2109" s="1">
        <v>1.0</v>
      </c>
      <c r="AQ2109" s="1" t="s">
        <v>472</v>
      </c>
      <c r="AR2109" s="1" t="s">
        <v>192</v>
      </c>
      <c r="AS2109" s="1" t="s">
        <v>199</v>
      </c>
      <c r="AT2109" s="1">
        <v>2.0</v>
      </c>
      <c r="AV2109" s="1" t="s">
        <v>200</v>
      </c>
      <c r="AW2109" s="5">
        <v>1834.9</v>
      </c>
      <c r="AX2109" s="1">
        <v>2013.0</v>
      </c>
      <c r="AY2109" s="1" t="s">
        <v>387</v>
      </c>
      <c r="AZ2109" s="1" t="s">
        <v>200</v>
      </c>
      <c r="BA2109" s="1" t="str">
        <f>"25284110410000"</f>
        <v>25284110410000</v>
      </c>
      <c r="BB2109" s="1" t="s">
        <v>200</v>
      </c>
      <c r="BC2109" s="1">
        <v>1325.0</v>
      </c>
      <c r="BD2109" s="1">
        <v>135000.0</v>
      </c>
      <c r="BE2109" s="2">
        <v>41906.0</v>
      </c>
      <c r="BF2109" s="2" t="s">
        <v>19850</v>
      </c>
      <c r="BH2109" s="1">
        <v>0.0</v>
      </c>
      <c r="BK2109" s="1" t="s">
        <v>204</v>
      </c>
      <c r="BL2109" s="1" t="str">
        <f t="shared" ref="BL2109:BM2109" si="1380">"0"</f>
        <v>0</v>
      </c>
      <c r="BM2109" s="1" t="str">
        <f t="shared" si="1380"/>
        <v>0</v>
      </c>
      <c r="BN2109" s="1">
        <v>300.0</v>
      </c>
      <c r="BO2109" s="1">
        <v>12447.0</v>
      </c>
      <c r="BQ2109" s="1">
        <v>299.0</v>
      </c>
      <c r="BR2109" s="1">
        <v>299.0</v>
      </c>
      <c r="BS2109" s="1">
        <v>299.0</v>
      </c>
      <c r="BU2109" s="1" t="s">
        <v>924</v>
      </c>
      <c r="BV2109" s="1" t="s">
        <v>206</v>
      </c>
      <c r="BW2109" s="1" t="s">
        <v>207</v>
      </c>
      <c r="BY2109" s="1" t="s">
        <v>392</v>
      </c>
      <c r="BZ2109" s="1" t="s">
        <v>209</v>
      </c>
      <c r="CA2109" s="1" t="s">
        <v>207</v>
      </c>
      <c r="CC2109" s="1" t="s">
        <v>269</v>
      </c>
      <c r="CD2109" s="1" t="s">
        <v>206</v>
      </c>
      <c r="CE2109" s="1" t="s">
        <v>207</v>
      </c>
      <c r="CG2109" s="1" t="s">
        <v>497</v>
      </c>
      <c r="CH2109" s="1" t="s">
        <v>209</v>
      </c>
      <c r="CI2109" s="1" t="s">
        <v>207</v>
      </c>
      <c r="CK2109" s="1" t="s">
        <v>699</v>
      </c>
      <c r="CL2109" s="1" t="s">
        <v>209</v>
      </c>
      <c r="CM2109" s="1" t="s">
        <v>207</v>
      </c>
      <c r="CO2109" s="1" t="s">
        <v>478</v>
      </c>
      <c r="CP2109" s="1" t="s">
        <v>267</v>
      </c>
      <c r="CQ2109" s="1" t="s">
        <v>2615</v>
      </c>
      <c r="CS2109" s="1" t="s">
        <v>497</v>
      </c>
      <c r="CT2109" s="1" t="s">
        <v>206</v>
      </c>
      <c r="CU2109" s="1" t="s">
        <v>1065</v>
      </c>
      <c r="CW2109" s="1" t="s">
        <v>784</v>
      </c>
      <c r="CX2109" s="1" t="s">
        <v>267</v>
      </c>
      <c r="CY2109" s="1" t="s">
        <v>268</v>
      </c>
      <c r="DA2109" s="1" t="s">
        <v>200</v>
      </c>
      <c r="DC2109" s="1" t="s">
        <v>271</v>
      </c>
      <c r="DD2109" s="1" t="s">
        <v>518</v>
      </c>
      <c r="DE2109" s="1" t="s">
        <v>273</v>
      </c>
      <c r="DF2109" s="1" t="s">
        <v>219</v>
      </c>
      <c r="DH2109" s="1" t="s">
        <v>307</v>
      </c>
      <c r="DJ2109" s="1" t="s">
        <v>222</v>
      </c>
      <c r="DL2109" s="1" t="s">
        <v>1161</v>
      </c>
      <c r="DM2109" s="1" t="s">
        <v>229</v>
      </c>
      <c r="DN2109" s="1" t="s">
        <v>2330</v>
      </c>
      <c r="DP2109" s="1" t="s">
        <v>276</v>
      </c>
      <c r="DQ2109" s="1" t="s">
        <v>228</v>
      </c>
      <c r="DR2109" s="1" t="s">
        <v>229</v>
      </c>
      <c r="DV2109" s="1" t="s">
        <v>232</v>
      </c>
      <c r="DW2109" s="1" t="s">
        <v>279</v>
      </c>
      <c r="DX2109" s="1" t="s">
        <v>234</v>
      </c>
      <c r="DY2109" s="1" t="s">
        <v>19851</v>
      </c>
      <c r="EA2109" s="1" t="s">
        <v>554</v>
      </c>
      <c r="EB2109" s="1" t="s">
        <v>6979</v>
      </c>
      <c r="EC2109" s="1" t="s">
        <v>284</v>
      </c>
      <c r="ED2109" s="1" t="s">
        <v>555</v>
      </c>
      <c r="EM2109" s="1" t="s">
        <v>238</v>
      </c>
      <c r="EQ2109" s="1" t="s">
        <v>238</v>
      </c>
      <c r="EU2109" s="1" t="s">
        <v>238</v>
      </c>
      <c r="EY2109" s="1" t="s">
        <v>238</v>
      </c>
      <c r="FC2109" s="1" t="s">
        <v>238</v>
      </c>
      <c r="FF2109" s="1" t="s">
        <v>239</v>
      </c>
      <c r="FG2109" s="1" t="s">
        <v>192</v>
      </c>
      <c r="FH2109" s="1" t="s">
        <v>192</v>
      </c>
      <c r="FJ2109" s="1" t="s">
        <v>19852</v>
      </c>
      <c r="FK2109" s="1" t="s">
        <v>229</v>
      </c>
      <c r="FL2109" s="1" t="s">
        <v>9660</v>
      </c>
      <c r="FM2109" s="1">
        <v>12703.0</v>
      </c>
      <c r="FN2109" s="1" t="s">
        <v>9661</v>
      </c>
      <c r="FO2109" s="1" t="s">
        <v>19853</v>
      </c>
      <c r="FP2109" s="1">
        <v>111837.0</v>
      </c>
      <c r="FU2109" s="1" t="s">
        <v>19854</v>
      </c>
      <c r="FV2109" s="1" t="s">
        <v>200</v>
      </c>
      <c r="FW2109" s="1" t="s">
        <v>11662</v>
      </c>
      <c r="FX2109" s="1" t="s">
        <v>655</v>
      </c>
      <c r="FZ2109" s="1" t="s">
        <v>229</v>
      </c>
      <c r="GA2109" s="1" t="s">
        <v>291</v>
      </c>
      <c r="GB2109" s="2">
        <v>42027.0</v>
      </c>
      <c r="GC2109" s="1" t="s">
        <v>19855</v>
      </c>
    </row>
    <row r="2110">
      <c r="A2110" s="1">
        <v>162000.0</v>
      </c>
      <c r="B2110" s="1" t="s">
        <v>185</v>
      </c>
      <c r="C2110" s="1" t="str">
        <f>"08737034"</f>
        <v>08737034</v>
      </c>
      <c r="D2110" s="1" t="s">
        <v>186</v>
      </c>
      <c r="F2110" s="1" t="str">
        <f>"8017"</f>
        <v>8017</v>
      </c>
      <c r="G2110" s="2">
        <v>41906.0</v>
      </c>
      <c r="H2110" s="1">
        <v>199900.0</v>
      </c>
      <c r="I2110" s="1">
        <v>31.0</v>
      </c>
      <c r="J2110" s="1">
        <v>179000.0</v>
      </c>
      <c r="K2110" s="2">
        <v>41936.0</v>
      </c>
      <c r="L2110" s="1">
        <v>31.0</v>
      </c>
      <c r="M2110" s="2">
        <v>41936.0</v>
      </c>
      <c r="N2110" s="1" t="s">
        <v>249</v>
      </c>
      <c r="O2110" s="2">
        <v>41969.0</v>
      </c>
      <c r="P2110" s="1">
        <v>120446.0</v>
      </c>
      <c r="Q2110" s="1">
        <v>18505.0</v>
      </c>
      <c r="S2110" s="1">
        <v>3446.0</v>
      </c>
      <c r="T2110" s="1" t="s">
        <v>19636</v>
      </c>
      <c r="U2110" s="1" t="s">
        <v>189</v>
      </c>
      <c r="V2110" s="1" t="s">
        <v>190</v>
      </c>
      <c r="W2110" s="1">
        <v>60634.0</v>
      </c>
      <c r="Y2110" s="1" t="s">
        <v>19856</v>
      </c>
      <c r="Z2110" s="1" t="s">
        <v>296</v>
      </c>
      <c r="AA2110" s="1" t="s">
        <v>192</v>
      </c>
      <c r="AB2110" s="1" t="s">
        <v>193</v>
      </c>
      <c r="AD2110" s="1" t="s">
        <v>194</v>
      </c>
      <c r="AE2110" s="1" t="s">
        <v>195</v>
      </c>
      <c r="AF2110" s="1" t="s">
        <v>196</v>
      </c>
      <c r="AH2110" s="1" t="s">
        <v>359</v>
      </c>
      <c r="AK2110" s="1">
        <v>7.0</v>
      </c>
      <c r="AL2110" s="1">
        <v>4.0</v>
      </c>
      <c r="AM2110" s="1">
        <v>1.0</v>
      </c>
      <c r="AN2110" s="1">
        <v>0.0</v>
      </c>
      <c r="AO2110" s="1" t="s">
        <v>229</v>
      </c>
      <c r="AQ2110" s="1" t="s">
        <v>198</v>
      </c>
      <c r="AR2110" s="1" t="s">
        <v>200</v>
      </c>
      <c r="AS2110" s="1" t="s">
        <v>828</v>
      </c>
      <c r="AU2110" s="1">
        <v>2.0</v>
      </c>
      <c r="AV2110" s="1" t="s">
        <v>200</v>
      </c>
      <c r="AW2110" s="1">
        <v>3484.0</v>
      </c>
      <c r="AX2110" s="1">
        <v>2013.0</v>
      </c>
      <c r="AZ2110" s="1" t="s">
        <v>200</v>
      </c>
      <c r="BA2110" s="1" t="str">
        <f>"13193110250000"</f>
        <v>13193110250000</v>
      </c>
      <c r="BC2110" s="1">
        <v>1400.0</v>
      </c>
      <c r="BD2110" s="1">
        <v>162000.0</v>
      </c>
      <c r="BE2110" s="2">
        <v>41906.0</v>
      </c>
      <c r="BF2110" s="1" t="s">
        <v>19857</v>
      </c>
      <c r="BH2110" s="1">
        <v>0.0</v>
      </c>
      <c r="BK2110" s="1" t="s">
        <v>204</v>
      </c>
      <c r="BL2110" s="1" t="str">
        <f>"3446"</f>
        <v>3446</v>
      </c>
      <c r="BM2110" s="1" t="str">
        <f t="shared" ref="BM2110:BM2113" si="1381">"0"</f>
        <v>0</v>
      </c>
      <c r="BN2110" s="1">
        <v>7070.0</v>
      </c>
      <c r="BO2110" s="1">
        <v>0.0</v>
      </c>
      <c r="BQ2110" s="1">
        <v>299.0</v>
      </c>
      <c r="BR2110" s="1">
        <v>299.0</v>
      </c>
      <c r="BS2110" s="1">
        <v>299.0</v>
      </c>
      <c r="BU2110" s="1" t="s">
        <v>214</v>
      </c>
      <c r="BV2110" s="1" t="s">
        <v>206</v>
      </c>
      <c r="BY2110" s="1" t="s">
        <v>300</v>
      </c>
      <c r="BZ2110" s="1" t="s">
        <v>209</v>
      </c>
      <c r="CC2110" s="1" t="s">
        <v>300</v>
      </c>
      <c r="CD2110" s="1" t="s">
        <v>206</v>
      </c>
      <c r="CG2110" s="1" t="s">
        <v>300</v>
      </c>
      <c r="CH2110" s="1" t="s">
        <v>209</v>
      </c>
      <c r="CK2110" s="1" t="s">
        <v>699</v>
      </c>
      <c r="CL2110" s="1" t="s">
        <v>206</v>
      </c>
      <c r="CO2110" s="1" t="s">
        <v>699</v>
      </c>
      <c r="CP2110" s="1" t="s">
        <v>206</v>
      </c>
      <c r="CS2110" s="1" t="s">
        <v>363</v>
      </c>
      <c r="CT2110" s="1" t="s">
        <v>206</v>
      </c>
      <c r="CX2110" s="1" t="s">
        <v>204</v>
      </c>
      <c r="DA2110" s="1" t="s">
        <v>200</v>
      </c>
      <c r="DC2110" s="1" t="s">
        <v>395</v>
      </c>
      <c r="DE2110" s="1" t="s">
        <v>1139</v>
      </c>
      <c r="DF2110" s="1" t="s">
        <v>4891</v>
      </c>
      <c r="DH2110" s="1" t="s">
        <v>365</v>
      </c>
      <c r="DJ2110" s="1" t="s">
        <v>222</v>
      </c>
      <c r="DL2110" s="1" t="s">
        <v>223</v>
      </c>
      <c r="DM2110" s="1" t="s">
        <v>338</v>
      </c>
      <c r="DP2110" s="1" t="s">
        <v>276</v>
      </c>
      <c r="DQ2110" s="1" t="s">
        <v>228</v>
      </c>
      <c r="DR2110" s="1" t="s">
        <v>229</v>
      </c>
      <c r="DV2110" s="1" t="s">
        <v>232</v>
      </c>
      <c r="DW2110" s="1" t="s">
        <v>279</v>
      </c>
      <c r="DX2110" s="1" t="s">
        <v>234</v>
      </c>
      <c r="EC2110" s="1" t="s">
        <v>645</v>
      </c>
      <c r="EM2110" s="1" t="s">
        <v>238</v>
      </c>
      <c r="EQ2110" s="1" t="s">
        <v>238</v>
      </c>
      <c r="EU2110" s="1" t="s">
        <v>238</v>
      </c>
      <c r="EY2110" s="1" t="s">
        <v>238</v>
      </c>
      <c r="FC2110" s="1" t="s">
        <v>238</v>
      </c>
      <c r="FF2110" s="1" t="s">
        <v>239</v>
      </c>
      <c r="FG2110" s="1" t="s">
        <v>192</v>
      </c>
      <c r="FH2110" s="1" t="s">
        <v>192</v>
      </c>
      <c r="FJ2110" s="1" t="s">
        <v>19858</v>
      </c>
      <c r="FK2110" s="1" t="s">
        <v>557</v>
      </c>
      <c r="FL2110" s="1" t="s">
        <v>19859</v>
      </c>
      <c r="FM2110" s="1">
        <v>18476.0</v>
      </c>
      <c r="FN2110" s="1" t="s">
        <v>19860</v>
      </c>
      <c r="FO2110" s="1" t="s">
        <v>19861</v>
      </c>
      <c r="FP2110" s="1">
        <v>170468.0</v>
      </c>
      <c r="FQ2110" s="1" t="s">
        <v>19860</v>
      </c>
      <c r="FU2110" s="1" t="s">
        <v>19862</v>
      </c>
      <c r="FV2110" s="1" t="s">
        <v>200</v>
      </c>
      <c r="FW2110" s="1" t="s">
        <v>290</v>
      </c>
      <c r="FX2110" s="1" t="s">
        <v>238</v>
      </c>
      <c r="FZ2110" s="1" t="s">
        <v>229</v>
      </c>
      <c r="GA2110" s="1" t="s">
        <v>291</v>
      </c>
      <c r="GB2110" s="2">
        <v>41981.0</v>
      </c>
      <c r="GC2110" s="1" t="s">
        <v>19863</v>
      </c>
    </row>
    <row r="2111">
      <c r="A2111" s="1">
        <v>1100000.0</v>
      </c>
      <c r="B2111" s="1" t="s">
        <v>185</v>
      </c>
      <c r="C2111" s="1" t="str">
        <f>"08733262"</f>
        <v>08733262</v>
      </c>
      <c r="D2111" s="1" t="s">
        <v>186</v>
      </c>
      <c r="F2111" s="1" t="str">
        <f>"8006"</f>
        <v>8006</v>
      </c>
      <c r="G2111" s="2">
        <v>41901.0</v>
      </c>
      <c r="H2111" s="1">
        <v>1200000.0</v>
      </c>
      <c r="I2111" s="1">
        <v>133.0</v>
      </c>
      <c r="J2111" s="1">
        <v>1150000.0</v>
      </c>
      <c r="K2111" s="2">
        <v>41969.0</v>
      </c>
      <c r="L2111" s="1">
        <v>69.0</v>
      </c>
      <c r="M2111" s="2">
        <v>41969.0</v>
      </c>
      <c r="N2111" s="1" t="s">
        <v>187</v>
      </c>
      <c r="O2111" s="2">
        <v>42132.0</v>
      </c>
      <c r="P2111" s="1">
        <v>163739.0</v>
      </c>
      <c r="Q2111" s="1">
        <v>85231.0</v>
      </c>
      <c r="S2111" s="1">
        <v>1051.0</v>
      </c>
      <c r="T2111" s="1" t="s">
        <v>1113</v>
      </c>
      <c r="U2111" s="1" t="s">
        <v>189</v>
      </c>
      <c r="V2111" s="1" t="s">
        <v>190</v>
      </c>
      <c r="W2111" s="1">
        <v>60657.0</v>
      </c>
      <c r="Y2111" s="1" t="s">
        <v>19864</v>
      </c>
      <c r="Z2111" s="1">
        <v>1920.0</v>
      </c>
      <c r="AA2111" s="1" t="s">
        <v>192</v>
      </c>
      <c r="AB2111" s="1" t="s">
        <v>193</v>
      </c>
      <c r="AD2111" s="1" t="s">
        <v>194</v>
      </c>
      <c r="AE2111" s="1" t="s">
        <v>195</v>
      </c>
      <c r="AF2111" s="1" t="s">
        <v>534</v>
      </c>
      <c r="AH2111" s="1" t="s">
        <v>7049</v>
      </c>
      <c r="AK2111" s="1">
        <v>10.0</v>
      </c>
      <c r="AL2111" s="1">
        <v>4.0</v>
      </c>
      <c r="AM2111" s="1">
        <v>3.0</v>
      </c>
      <c r="AN2111" s="1">
        <v>1.0</v>
      </c>
      <c r="AO2111" s="1" t="s">
        <v>198</v>
      </c>
      <c r="AP2111" s="1">
        <v>2.0</v>
      </c>
      <c r="AQ2111" s="1" t="s">
        <v>472</v>
      </c>
      <c r="AR2111" s="1" t="s">
        <v>192</v>
      </c>
      <c r="AS2111" s="1" t="s">
        <v>199</v>
      </c>
      <c r="AT2111" s="1">
        <v>1.5</v>
      </c>
      <c r="AV2111" s="1" t="s">
        <v>200</v>
      </c>
      <c r="AW2111" s="1">
        <v>17235.09</v>
      </c>
      <c r="AX2111" s="1">
        <v>2013.0</v>
      </c>
      <c r="AY2111" s="1" t="s">
        <v>387</v>
      </c>
      <c r="AZ2111" s="1" t="s">
        <v>200</v>
      </c>
      <c r="BA2111" s="1" t="str">
        <f>"14204090290000"</f>
        <v>14204090290000</v>
      </c>
      <c r="BC2111" s="1">
        <v>3925.0</v>
      </c>
      <c r="BD2111" s="1">
        <v>1100000.0</v>
      </c>
      <c r="BE2111" s="2">
        <v>41901.0</v>
      </c>
      <c r="BF2111" s="2" t="s">
        <v>19865</v>
      </c>
      <c r="BG2111" s="1" t="s">
        <v>19866</v>
      </c>
      <c r="BH2111" s="1">
        <v>0.0</v>
      </c>
      <c r="BI2111" s="1" t="s">
        <v>19866</v>
      </c>
      <c r="BJ2111" s="1" t="s">
        <v>538</v>
      </c>
      <c r="BK2111" s="1" t="s">
        <v>204</v>
      </c>
      <c r="BL2111" s="1" t="str">
        <f>"3500"</f>
        <v>3500</v>
      </c>
      <c r="BM2111" s="1" t="str">
        <f t="shared" si="1381"/>
        <v>0</v>
      </c>
      <c r="BN2111" s="1">
        <v>1051.0</v>
      </c>
      <c r="BO2111" s="1">
        <v>0.0</v>
      </c>
      <c r="BQ2111" s="1">
        <v>299.0</v>
      </c>
      <c r="BR2111" s="1">
        <v>299.0</v>
      </c>
      <c r="BS2111" s="1">
        <v>299.0</v>
      </c>
      <c r="BU2111" s="1" t="s">
        <v>2749</v>
      </c>
      <c r="BV2111" s="1" t="s">
        <v>206</v>
      </c>
      <c r="BW2111" s="1" t="s">
        <v>207</v>
      </c>
      <c r="BX2111" s="1" t="s">
        <v>431</v>
      </c>
      <c r="BY2111" s="1" t="s">
        <v>544</v>
      </c>
      <c r="BZ2111" s="1" t="s">
        <v>209</v>
      </c>
      <c r="CA2111" s="1" t="s">
        <v>210</v>
      </c>
      <c r="CB2111" s="1" t="s">
        <v>431</v>
      </c>
      <c r="CC2111" s="1" t="s">
        <v>432</v>
      </c>
      <c r="CD2111" s="1" t="s">
        <v>206</v>
      </c>
      <c r="CE2111" s="1" t="s">
        <v>207</v>
      </c>
      <c r="CF2111" s="1" t="s">
        <v>431</v>
      </c>
      <c r="CG2111" s="1" t="s">
        <v>211</v>
      </c>
      <c r="CH2111" s="1" t="s">
        <v>209</v>
      </c>
      <c r="CI2111" s="1" t="s">
        <v>207</v>
      </c>
      <c r="CJ2111" s="1" t="s">
        <v>431</v>
      </c>
      <c r="CK2111" s="1" t="s">
        <v>264</v>
      </c>
      <c r="CL2111" s="1" t="s">
        <v>209</v>
      </c>
      <c r="CM2111" s="1" t="s">
        <v>210</v>
      </c>
      <c r="CN2111" s="1" t="s">
        <v>431</v>
      </c>
      <c r="CO2111" s="1" t="s">
        <v>1001</v>
      </c>
      <c r="CP2111" s="1" t="s">
        <v>267</v>
      </c>
      <c r="CQ2111" s="1" t="s">
        <v>207</v>
      </c>
      <c r="CR2111" s="1" t="s">
        <v>229</v>
      </c>
      <c r="CS2111" s="1" t="s">
        <v>3539</v>
      </c>
      <c r="CT2111" s="1" t="s">
        <v>206</v>
      </c>
      <c r="CU2111" s="1" t="s">
        <v>207</v>
      </c>
      <c r="CV2111" s="1" t="s">
        <v>431</v>
      </c>
      <c r="CW2111" s="1" t="s">
        <v>1001</v>
      </c>
      <c r="CX2111" s="1" t="s">
        <v>267</v>
      </c>
      <c r="CY2111" s="1" t="s">
        <v>210</v>
      </c>
      <c r="CZ2111" s="1" t="s">
        <v>229</v>
      </c>
      <c r="DA2111" s="1" t="s">
        <v>200</v>
      </c>
      <c r="DC2111" s="1" t="s">
        <v>216</v>
      </c>
      <c r="DD2111" s="1" t="s">
        <v>957</v>
      </c>
      <c r="DE2111" s="1" t="s">
        <v>273</v>
      </c>
      <c r="DF2111" s="1" t="s">
        <v>219</v>
      </c>
      <c r="DH2111" s="1" t="s">
        <v>365</v>
      </c>
      <c r="DI2111" s="1" t="s">
        <v>1141</v>
      </c>
      <c r="DJ2111" s="1" t="s">
        <v>222</v>
      </c>
      <c r="DL2111" s="1" t="s">
        <v>224</v>
      </c>
      <c r="DM2111" s="1" t="s">
        <v>229</v>
      </c>
      <c r="DN2111" s="1" t="s">
        <v>399</v>
      </c>
      <c r="DO2111" s="1" t="s">
        <v>549</v>
      </c>
      <c r="DP2111" s="1" t="s">
        <v>340</v>
      </c>
      <c r="DQ2111" s="1" t="s">
        <v>794</v>
      </c>
      <c r="DR2111" s="1" t="s">
        <v>229</v>
      </c>
      <c r="DU2111" s="1" t="s">
        <v>3073</v>
      </c>
      <c r="DV2111" s="1" t="s">
        <v>13627</v>
      </c>
      <c r="DW2111" s="1" t="s">
        <v>964</v>
      </c>
      <c r="DX2111" s="1" t="s">
        <v>309</v>
      </c>
      <c r="DY2111" s="1" t="s">
        <v>15496</v>
      </c>
      <c r="DZ2111" s="1" t="s">
        <v>3232</v>
      </c>
      <c r="EB2111" s="1" t="s">
        <v>345</v>
      </c>
      <c r="EC2111" s="1" t="s">
        <v>237</v>
      </c>
      <c r="ED2111" s="1" t="s">
        <v>555</v>
      </c>
      <c r="EG2111" s="1" t="s">
        <v>598</v>
      </c>
      <c r="EH2111" s="1" t="s">
        <v>494</v>
      </c>
      <c r="EI2111" s="1" t="s">
        <v>408</v>
      </c>
      <c r="EL2111" s="1" t="s">
        <v>263</v>
      </c>
      <c r="EM2111" s="1" t="s">
        <v>267</v>
      </c>
      <c r="EN2111" s="1" t="s">
        <v>210</v>
      </c>
      <c r="EP2111" s="1" t="s">
        <v>647</v>
      </c>
      <c r="EQ2111" s="1" t="s">
        <v>267</v>
      </c>
      <c r="ER2111" s="1" t="s">
        <v>210</v>
      </c>
      <c r="ET2111" s="1" t="s">
        <v>10191</v>
      </c>
      <c r="EU2111" s="1" t="s">
        <v>206</v>
      </c>
      <c r="EV2111" s="1" t="s">
        <v>268</v>
      </c>
      <c r="EW2111" s="1" t="s">
        <v>229</v>
      </c>
      <c r="EY2111" s="1" t="s">
        <v>238</v>
      </c>
      <c r="FC2111" s="1" t="s">
        <v>238</v>
      </c>
      <c r="FF2111" s="1" t="s">
        <v>239</v>
      </c>
      <c r="FG2111" s="1" t="s">
        <v>192</v>
      </c>
      <c r="FH2111" s="1" t="s">
        <v>192</v>
      </c>
      <c r="FJ2111" s="1" t="s">
        <v>2285</v>
      </c>
      <c r="FK2111" s="1" t="s">
        <v>229</v>
      </c>
      <c r="FL2111" s="1" t="s">
        <v>1358</v>
      </c>
      <c r="FM2111" s="1">
        <v>10115.0</v>
      </c>
      <c r="FN2111" s="1" t="s">
        <v>2286</v>
      </c>
      <c r="FO2111" s="1" t="s">
        <v>19867</v>
      </c>
      <c r="FP2111" s="1">
        <v>110023.0</v>
      </c>
      <c r="FQ2111" s="1" t="s">
        <v>19868</v>
      </c>
      <c r="FR2111" s="1">
        <v>121190.0</v>
      </c>
      <c r="FU2111" s="1" t="s">
        <v>19869</v>
      </c>
      <c r="FV2111" s="1" t="s">
        <v>200</v>
      </c>
      <c r="FW2111" s="1" t="s">
        <v>567</v>
      </c>
      <c r="FX2111" s="1" t="s">
        <v>246</v>
      </c>
      <c r="FZ2111" s="1" t="s">
        <v>229</v>
      </c>
      <c r="GA2111" s="1" t="s">
        <v>291</v>
      </c>
      <c r="GB2111" s="2">
        <v>42132.0</v>
      </c>
    </row>
    <row r="2112">
      <c r="A2112" s="1">
        <v>245360.0</v>
      </c>
      <c r="B2112" s="1" t="s">
        <v>185</v>
      </c>
      <c r="C2112" s="1" t="str">
        <f>"08736852"</f>
        <v>08736852</v>
      </c>
      <c r="D2112" s="1" t="s">
        <v>186</v>
      </c>
      <c r="F2112" s="1" t="str">
        <f>"8015"</f>
        <v>8015</v>
      </c>
      <c r="G2112" s="2">
        <v>41906.0</v>
      </c>
      <c r="H2112" s="1">
        <v>284900.0</v>
      </c>
      <c r="I2112" s="1">
        <v>98.0</v>
      </c>
      <c r="J2112" s="1">
        <v>264900.0</v>
      </c>
      <c r="K2112" s="2">
        <v>42003.0</v>
      </c>
      <c r="L2112" s="1">
        <v>98.0</v>
      </c>
      <c r="M2112" s="2">
        <v>42003.0</v>
      </c>
      <c r="N2112" s="1" t="s">
        <v>187</v>
      </c>
      <c r="O2112" s="2">
        <v>42055.0</v>
      </c>
      <c r="P2112" s="1">
        <v>157736.0</v>
      </c>
      <c r="Q2112" s="1">
        <v>18803.0</v>
      </c>
      <c r="S2112" s="1">
        <v>4031.0</v>
      </c>
      <c r="T2112" s="1" t="s">
        <v>11023</v>
      </c>
      <c r="U2112" s="1" t="s">
        <v>189</v>
      </c>
      <c r="V2112" s="1" t="s">
        <v>190</v>
      </c>
      <c r="W2112" s="1">
        <v>60641.0</v>
      </c>
      <c r="Y2112" s="1" t="s">
        <v>19870</v>
      </c>
      <c r="Z2112" s="1">
        <v>1910.0</v>
      </c>
      <c r="AA2112" s="1" t="s">
        <v>192</v>
      </c>
      <c r="AB2112" s="1" t="s">
        <v>193</v>
      </c>
      <c r="AD2112" s="1" t="s">
        <v>194</v>
      </c>
      <c r="AE2112" s="1" t="s">
        <v>195</v>
      </c>
      <c r="AF2112" s="1" t="s">
        <v>196</v>
      </c>
      <c r="AH2112" s="1" t="s">
        <v>14059</v>
      </c>
      <c r="AI2112" s="1">
        <v>0.1047</v>
      </c>
      <c r="AK2112" s="1">
        <v>8.0</v>
      </c>
      <c r="AL2112" s="1">
        <v>4.0</v>
      </c>
      <c r="AM2112" s="1">
        <v>3.0</v>
      </c>
      <c r="AN2112" s="1">
        <v>0.0</v>
      </c>
      <c r="AO2112" s="1" t="s">
        <v>229</v>
      </c>
      <c r="AQ2112" s="1" t="s">
        <v>198</v>
      </c>
      <c r="AR2112" s="1" t="s">
        <v>192</v>
      </c>
      <c r="AS2112" s="1" t="s">
        <v>199</v>
      </c>
      <c r="AT2112" s="1">
        <v>1.0</v>
      </c>
      <c r="AV2112" s="1" t="s">
        <v>200</v>
      </c>
      <c r="AW2112" s="1">
        <v>3489.19</v>
      </c>
      <c r="AX2112" s="1">
        <v>2012.0</v>
      </c>
      <c r="AY2112" s="1" t="s">
        <v>229</v>
      </c>
      <c r="AZ2112" s="1" t="s">
        <v>200</v>
      </c>
      <c r="BA2112" s="1" t="str">
        <f>"13164260070000"</f>
        <v>13164260070000</v>
      </c>
      <c r="BC2112" s="1">
        <v>1000.0</v>
      </c>
      <c r="BD2112" s="1">
        <v>245360.0</v>
      </c>
      <c r="BE2112" s="2">
        <v>41906.0</v>
      </c>
      <c r="BF2112" s="1" t="s">
        <v>19871</v>
      </c>
      <c r="BH2112" s="1">
        <v>0.0</v>
      </c>
      <c r="BK2112" s="1" t="s">
        <v>204</v>
      </c>
      <c r="BL2112" s="1" t="str">
        <f>"4031"</f>
        <v>4031</v>
      </c>
      <c r="BM2112" s="1" t="str">
        <f t="shared" si="1381"/>
        <v>0</v>
      </c>
      <c r="BN2112" s="1">
        <v>5100.0</v>
      </c>
      <c r="BO2112" s="1">
        <v>0.0</v>
      </c>
      <c r="BQ2112" s="1">
        <v>299.0</v>
      </c>
      <c r="BR2112" s="1">
        <v>299.0</v>
      </c>
      <c r="BS2112" s="1">
        <v>299.0</v>
      </c>
      <c r="BU2112" s="1" t="s">
        <v>6797</v>
      </c>
      <c r="BV2112" s="1" t="s">
        <v>206</v>
      </c>
      <c r="BW2112" s="1" t="s">
        <v>207</v>
      </c>
      <c r="BY2112" s="1" t="s">
        <v>329</v>
      </c>
      <c r="BZ2112" s="1" t="s">
        <v>209</v>
      </c>
      <c r="CC2112" s="1" t="s">
        <v>816</v>
      </c>
      <c r="CD2112" s="1" t="s">
        <v>206</v>
      </c>
      <c r="CG2112" s="1" t="s">
        <v>363</v>
      </c>
      <c r="CH2112" s="1" t="s">
        <v>209</v>
      </c>
      <c r="CK2112" s="1" t="s">
        <v>2505</v>
      </c>
      <c r="CL2112" s="1" t="s">
        <v>206</v>
      </c>
      <c r="CO2112" s="1" t="s">
        <v>599</v>
      </c>
      <c r="CP2112" s="1" t="s">
        <v>209</v>
      </c>
      <c r="CS2112" s="1" t="s">
        <v>758</v>
      </c>
      <c r="CT2112" s="1" t="s">
        <v>206</v>
      </c>
      <c r="CW2112" s="1" t="s">
        <v>3154</v>
      </c>
      <c r="CX2112" s="1" t="s">
        <v>42</v>
      </c>
      <c r="DA2112" s="1" t="s">
        <v>200</v>
      </c>
      <c r="DC2112" s="1" t="s">
        <v>642</v>
      </c>
      <c r="DD2112" s="1" t="s">
        <v>518</v>
      </c>
      <c r="DE2112" s="1" t="s">
        <v>273</v>
      </c>
      <c r="DF2112" s="1" t="s">
        <v>219</v>
      </c>
      <c r="DH2112" s="1" t="s">
        <v>588</v>
      </c>
      <c r="DJ2112" s="1" t="s">
        <v>588</v>
      </c>
      <c r="DL2112" s="1" t="s">
        <v>1161</v>
      </c>
      <c r="DM2112" s="1" t="s">
        <v>1143</v>
      </c>
      <c r="DQ2112" s="1" t="s">
        <v>794</v>
      </c>
      <c r="DR2112" s="1" t="s">
        <v>229</v>
      </c>
      <c r="DS2112" s="1" t="s">
        <v>368</v>
      </c>
      <c r="DV2112" s="1" t="s">
        <v>232</v>
      </c>
      <c r="DW2112" s="1" t="s">
        <v>233</v>
      </c>
      <c r="DX2112" s="1" t="s">
        <v>234</v>
      </c>
      <c r="DY2112" s="1" t="s">
        <v>704</v>
      </c>
      <c r="EC2112" s="1" t="s">
        <v>237</v>
      </c>
      <c r="EM2112" s="1" t="s">
        <v>238</v>
      </c>
      <c r="EQ2112" s="1" t="s">
        <v>238</v>
      </c>
      <c r="EU2112" s="1" t="s">
        <v>238</v>
      </c>
      <c r="EY2112" s="1" t="s">
        <v>238</v>
      </c>
      <c r="FC2112" s="1" t="s">
        <v>238</v>
      </c>
      <c r="FF2112" s="1" t="s">
        <v>239</v>
      </c>
      <c r="FG2112" s="1" t="s">
        <v>192</v>
      </c>
      <c r="FH2112" s="1" t="s">
        <v>192</v>
      </c>
      <c r="FJ2112" s="1" t="s">
        <v>19872</v>
      </c>
      <c r="FK2112" s="1" t="s">
        <v>229</v>
      </c>
      <c r="FL2112" s="1" t="s">
        <v>2604</v>
      </c>
      <c r="FM2112" s="1">
        <v>18016.0</v>
      </c>
      <c r="FN2112" s="1" t="s">
        <v>2605</v>
      </c>
      <c r="FO2112" s="1" t="s">
        <v>2606</v>
      </c>
      <c r="FP2112" s="1">
        <v>158141.0</v>
      </c>
      <c r="FQ2112" s="1" t="s">
        <v>2605</v>
      </c>
      <c r="FR2112" s="1">
        <v>120040.0</v>
      </c>
      <c r="FU2112" s="1" t="s">
        <v>6077</v>
      </c>
      <c r="FV2112" s="1" t="s">
        <v>200</v>
      </c>
      <c r="FW2112" s="1" t="s">
        <v>290</v>
      </c>
      <c r="FX2112" s="1" t="s">
        <v>238</v>
      </c>
      <c r="FZ2112" s="1" t="s">
        <v>229</v>
      </c>
      <c r="GA2112" s="1" t="s">
        <v>291</v>
      </c>
      <c r="GB2112" s="2">
        <v>42060.0</v>
      </c>
      <c r="GC2112" s="1" t="s">
        <v>19873</v>
      </c>
    </row>
    <row r="2113">
      <c r="A2113" s="1">
        <v>130000.0</v>
      </c>
      <c r="B2113" s="1" t="s">
        <v>185</v>
      </c>
      <c r="C2113" s="1" t="str">
        <f>"08733966"</f>
        <v>08733966</v>
      </c>
      <c r="D2113" s="1" t="s">
        <v>186</v>
      </c>
      <c r="F2113" s="1" t="str">
        <f>"8019"</f>
        <v>8019</v>
      </c>
      <c r="G2113" s="2">
        <v>41903.0</v>
      </c>
      <c r="H2113" s="1">
        <v>145000.0</v>
      </c>
      <c r="I2113" s="1">
        <v>367.0</v>
      </c>
      <c r="J2113" s="1">
        <v>145000.0</v>
      </c>
      <c r="K2113" s="2">
        <v>41903.0</v>
      </c>
      <c r="L2113" s="1">
        <v>1.0</v>
      </c>
      <c r="M2113" s="2">
        <v>41903.0</v>
      </c>
      <c r="N2113" s="1" t="s">
        <v>249</v>
      </c>
      <c r="O2113" s="2">
        <v>42002.0</v>
      </c>
      <c r="P2113" s="1">
        <v>169400.0</v>
      </c>
      <c r="Q2113" s="1">
        <v>85049.0</v>
      </c>
      <c r="S2113" s="1">
        <v>4908.0</v>
      </c>
      <c r="T2113" s="1" t="s">
        <v>19874</v>
      </c>
      <c r="U2113" s="1" t="s">
        <v>189</v>
      </c>
      <c r="V2113" s="1" t="s">
        <v>190</v>
      </c>
      <c r="W2113" s="1">
        <v>60639.0</v>
      </c>
      <c r="Y2113" s="1" t="s">
        <v>19875</v>
      </c>
      <c r="Z2113" s="1">
        <v>1920.0</v>
      </c>
      <c r="AA2113" s="1" t="s">
        <v>192</v>
      </c>
      <c r="AB2113" s="1" t="s">
        <v>193</v>
      </c>
      <c r="AD2113" s="1" t="s">
        <v>194</v>
      </c>
      <c r="AE2113" s="1" t="s">
        <v>195</v>
      </c>
      <c r="AF2113" s="1" t="s">
        <v>196</v>
      </c>
      <c r="AH2113" s="1" t="s">
        <v>359</v>
      </c>
      <c r="AI2113" s="1">
        <v>0.0854</v>
      </c>
      <c r="AK2113" s="1">
        <v>8.0</v>
      </c>
      <c r="AL2113" s="1">
        <v>4.0</v>
      </c>
      <c r="AM2113" s="1">
        <v>3.0</v>
      </c>
      <c r="AN2113" s="1">
        <v>0.0</v>
      </c>
      <c r="AO2113" s="1" t="s">
        <v>229</v>
      </c>
      <c r="AQ2113" s="1" t="s">
        <v>198</v>
      </c>
      <c r="AR2113" s="1" t="s">
        <v>192</v>
      </c>
      <c r="AS2113" s="1" t="s">
        <v>199</v>
      </c>
      <c r="AT2113" s="1">
        <v>2.0</v>
      </c>
      <c r="AV2113" s="1" t="s">
        <v>200</v>
      </c>
      <c r="AW2113" s="1">
        <v>3431.51</v>
      </c>
      <c r="AX2113" s="1">
        <v>2012.0</v>
      </c>
      <c r="AZ2113" s="1" t="s">
        <v>200</v>
      </c>
      <c r="BA2113" s="1" t="str">
        <f>"13284020380000"</f>
        <v>13284020380000</v>
      </c>
      <c r="BC2113" s="1">
        <v>1127.0</v>
      </c>
      <c r="BD2113" s="1">
        <v>130000.0</v>
      </c>
      <c r="BE2113" s="2">
        <v>41903.0</v>
      </c>
      <c r="BH2113" s="1">
        <v>0.0</v>
      </c>
      <c r="BK2113" s="1" t="s">
        <v>204</v>
      </c>
      <c r="BL2113" s="1" t="str">
        <f>"2732"</f>
        <v>2732</v>
      </c>
      <c r="BM2113" s="1" t="str">
        <f t="shared" si="1381"/>
        <v>0</v>
      </c>
      <c r="BN2113" s="1">
        <v>4908.0</v>
      </c>
      <c r="BO2113" s="1">
        <v>0.0</v>
      </c>
      <c r="BQ2113" s="1">
        <v>299.0</v>
      </c>
      <c r="BR2113" s="1">
        <v>299.0</v>
      </c>
      <c r="BS2113" s="1">
        <v>299.0</v>
      </c>
      <c r="BU2113" s="1" t="s">
        <v>363</v>
      </c>
      <c r="BV2113" s="1" t="s">
        <v>206</v>
      </c>
      <c r="BY2113" s="1" t="s">
        <v>303</v>
      </c>
      <c r="BZ2113" s="1" t="s">
        <v>206</v>
      </c>
      <c r="CC2113" s="1" t="s">
        <v>264</v>
      </c>
      <c r="CD2113" s="1" t="s">
        <v>206</v>
      </c>
      <c r="CG2113" s="1" t="s">
        <v>516</v>
      </c>
      <c r="CH2113" s="1" t="s">
        <v>206</v>
      </c>
      <c r="CK2113" s="1" t="s">
        <v>940</v>
      </c>
      <c r="CL2113" s="1" t="s">
        <v>209</v>
      </c>
      <c r="CO2113" s="1" t="s">
        <v>940</v>
      </c>
      <c r="CP2113" s="1" t="s">
        <v>209</v>
      </c>
      <c r="CS2113" s="1" t="s">
        <v>663</v>
      </c>
      <c r="CT2113" s="1" t="s">
        <v>206</v>
      </c>
      <c r="CX2113" s="1" t="s">
        <v>204</v>
      </c>
      <c r="DA2113" s="1" t="s">
        <v>200</v>
      </c>
      <c r="DC2113" s="1" t="s">
        <v>216</v>
      </c>
      <c r="DE2113" s="1" t="s">
        <v>229</v>
      </c>
      <c r="DF2113" s="1" t="s">
        <v>619</v>
      </c>
      <c r="DH2113" s="1" t="s">
        <v>220</v>
      </c>
      <c r="DJ2113" s="1" t="s">
        <v>222</v>
      </c>
      <c r="DL2113" s="1" t="s">
        <v>224</v>
      </c>
      <c r="DM2113" s="1" t="s">
        <v>229</v>
      </c>
      <c r="DQ2113" s="1" t="s">
        <v>228</v>
      </c>
      <c r="DR2113" s="1" t="s">
        <v>229</v>
      </c>
      <c r="DV2113" s="1" t="s">
        <v>450</v>
      </c>
      <c r="DW2113" s="1" t="s">
        <v>279</v>
      </c>
      <c r="DX2113" s="1" t="s">
        <v>234</v>
      </c>
      <c r="EC2113" s="1" t="s">
        <v>685</v>
      </c>
      <c r="EG2113" s="1" t="s">
        <v>450</v>
      </c>
      <c r="EL2113" s="1" t="s">
        <v>1299</v>
      </c>
      <c r="EM2113" s="1" t="s">
        <v>42</v>
      </c>
      <c r="EQ2113" s="1" t="s">
        <v>238</v>
      </c>
      <c r="EU2113" s="1" t="s">
        <v>238</v>
      </c>
      <c r="EY2113" s="1" t="s">
        <v>238</v>
      </c>
      <c r="FC2113" s="1" t="s">
        <v>238</v>
      </c>
      <c r="FF2113" s="1" t="s">
        <v>229</v>
      </c>
      <c r="FG2113" s="1" t="s">
        <v>200</v>
      </c>
      <c r="FH2113" s="1" t="s">
        <v>200</v>
      </c>
      <c r="FJ2113" s="1" t="s">
        <v>3755</v>
      </c>
      <c r="FK2113" s="1" t="s">
        <v>229</v>
      </c>
      <c r="FL2113" s="1" t="s">
        <v>2469</v>
      </c>
      <c r="FM2113" s="1">
        <v>84992.0</v>
      </c>
      <c r="FN2113" s="1" t="s">
        <v>2470</v>
      </c>
      <c r="FO2113" s="1" t="s">
        <v>19876</v>
      </c>
      <c r="FP2113" s="1">
        <v>113693.0</v>
      </c>
      <c r="FQ2113" s="1" t="s">
        <v>19877</v>
      </c>
      <c r="FU2113" s="1" t="s">
        <v>19878</v>
      </c>
      <c r="FV2113" s="1" t="s">
        <v>200</v>
      </c>
      <c r="FW2113" s="1" t="s">
        <v>631</v>
      </c>
      <c r="FX2113" s="1" t="s">
        <v>246</v>
      </c>
      <c r="FZ2113" s="1" t="s">
        <v>229</v>
      </c>
      <c r="GA2113" s="1" t="s">
        <v>291</v>
      </c>
      <c r="GB2113" s="2">
        <v>42002.0</v>
      </c>
    </row>
    <row r="2114">
      <c r="A2114" s="1">
        <v>207505.0</v>
      </c>
      <c r="B2114" s="1" t="s">
        <v>185</v>
      </c>
      <c r="C2114" s="1" t="str">
        <f>"08736017"</f>
        <v>08736017</v>
      </c>
      <c r="D2114" s="1" t="s">
        <v>186</v>
      </c>
      <c r="F2114" s="1" t="str">
        <f>"140"</f>
        <v>140</v>
      </c>
      <c r="G2114" s="2">
        <v>41905.0</v>
      </c>
      <c r="H2114" s="1">
        <v>238000.0</v>
      </c>
      <c r="I2114" s="1">
        <v>52.0</v>
      </c>
      <c r="J2114" s="1">
        <v>238000.0</v>
      </c>
      <c r="K2114" s="2">
        <v>41956.0</v>
      </c>
      <c r="L2114" s="1">
        <v>52.0</v>
      </c>
      <c r="M2114" s="2">
        <v>41956.0</v>
      </c>
      <c r="N2114" s="1" t="s">
        <v>249</v>
      </c>
      <c r="O2114" s="2">
        <v>41977.0</v>
      </c>
      <c r="P2114" s="1">
        <v>54519.0</v>
      </c>
      <c r="Q2114" s="1">
        <v>5338.0</v>
      </c>
      <c r="S2114" s="1">
        <v>2660.0</v>
      </c>
      <c r="T2114" s="1" t="s">
        <v>10883</v>
      </c>
      <c r="U2114" s="1" t="s">
        <v>464</v>
      </c>
      <c r="V2114" s="1" t="s">
        <v>321</v>
      </c>
      <c r="W2114" s="1">
        <v>60140.0</v>
      </c>
      <c r="Y2114" s="1" t="s">
        <v>19879</v>
      </c>
      <c r="Z2114" s="1">
        <v>2007.0</v>
      </c>
      <c r="AA2114" s="1" t="s">
        <v>200</v>
      </c>
      <c r="AB2114" s="1" t="s">
        <v>467</v>
      </c>
      <c r="AC2114" s="1" t="s">
        <v>11957</v>
      </c>
      <c r="AD2114" s="1" t="s">
        <v>324</v>
      </c>
      <c r="AE2114" s="1" t="s">
        <v>325</v>
      </c>
      <c r="AF2114" s="1" t="s">
        <v>3429</v>
      </c>
      <c r="AG2114" s="1" t="s">
        <v>19880</v>
      </c>
      <c r="AH2114" s="1">
        <v>8276.0</v>
      </c>
      <c r="AI2114" s="1">
        <v>0.19</v>
      </c>
      <c r="AK2114" s="1">
        <v>10.0</v>
      </c>
      <c r="AL2114" s="1">
        <v>4.0</v>
      </c>
      <c r="AM2114" s="1">
        <v>2.0</v>
      </c>
      <c r="AN2114" s="1">
        <v>1.0</v>
      </c>
      <c r="AO2114" s="1" t="s">
        <v>198</v>
      </c>
      <c r="AQ2114" s="1" t="s">
        <v>198</v>
      </c>
      <c r="AR2114" s="1" t="s">
        <v>200</v>
      </c>
      <c r="AS2114" s="1" t="s">
        <v>199</v>
      </c>
      <c r="AT2114" s="1">
        <v>3.0</v>
      </c>
      <c r="AV2114" s="1" t="s">
        <v>200</v>
      </c>
      <c r="AW2114" s="1">
        <v>7968.5</v>
      </c>
      <c r="AX2114" s="1">
        <v>2013.0</v>
      </c>
      <c r="AZ2114" s="1" t="s">
        <v>200</v>
      </c>
      <c r="BA2114" s="1" t="str">
        <f>"0207320017"</f>
        <v>0207320017</v>
      </c>
      <c r="BB2114" s="1" t="s">
        <v>200</v>
      </c>
      <c r="BC2114" s="1">
        <v>2960.0</v>
      </c>
      <c r="BD2114" s="1">
        <v>207505.0</v>
      </c>
      <c r="BE2114" s="2">
        <v>41905.0</v>
      </c>
      <c r="BF2114" s="2" t="s">
        <v>19881</v>
      </c>
      <c r="BH2114" s="1">
        <v>102.0</v>
      </c>
      <c r="BK2114" s="1" t="s">
        <v>1952</v>
      </c>
      <c r="BL2114" s="1" t="str">
        <f t="shared" ref="BL2114:BM2114" si="1382">""</f>
        <v/>
      </c>
      <c r="BM2114" s="1" t="str">
        <f t="shared" si="1382"/>
        <v/>
      </c>
      <c r="BQ2114" s="1">
        <v>158.0</v>
      </c>
      <c r="BR2114" s="1">
        <v>158.0</v>
      </c>
      <c r="BS2114" s="1">
        <v>158.0</v>
      </c>
      <c r="BU2114" s="1" t="s">
        <v>454</v>
      </c>
      <c r="BV2114" s="1" t="s">
        <v>206</v>
      </c>
      <c r="BY2114" s="1" t="s">
        <v>304</v>
      </c>
      <c r="BZ2114" s="1" t="s">
        <v>209</v>
      </c>
      <c r="CC2114" s="1" t="s">
        <v>262</v>
      </c>
      <c r="CD2114" s="1" t="s">
        <v>206</v>
      </c>
      <c r="CG2114" s="1" t="s">
        <v>393</v>
      </c>
      <c r="CH2114" s="1" t="s">
        <v>209</v>
      </c>
      <c r="CK2114" s="1" t="s">
        <v>393</v>
      </c>
      <c r="CL2114" s="1" t="s">
        <v>209</v>
      </c>
      <c r="CO2114" s="1" t="s">
        <v>433</v>
      </c>
      <c r="CP2114" s="1" t="s">
        <v>209</v>
      </c>
      <c r="CS2114" s="1" t="s">
        <v>208</v>
      </c>
      <c r="CT2114" s="1" t="s">
        <v>206</v>
      </c>
      <c r="CW2114" s="1" t="s">
        <v>208</v>
      </c>
      <c r="CX2114" s="1" t="s">
        <v>206</v>
      </c>
      <c r="DA2114" s="1" t="s">
        <v>200</v>
      </c>
      <c r="DC2114" s="1" t="s">
        <v>481</v>
      </c>
      <c r="DE2114" s="1" t="s">
        <v>273</v>
      </c>
      <c r="DF2114" s="1" t="s">
        <v>619</v>
      </c>
      <c r="DH2114" s="1" t="s">
        <v>220</v>
      </c>
      <c r="DJ2114" s="1" t="s">
        <v>222</v>
      </c>
      <c r="DK2114" s="1" t="s">
        <v>223</v>
      </c>
      <c r="DL2114" s="1" t="s">
        <v>223</v>
      </c>
      <c r="DM2114" s="1" t="s">
        <v>229</v>
      </c>
      <c r="DN2114" s="1" t="s">
        <v>548</v>
      </c>
      <c r="DQ2114" s="1" t="s">
        <v>228</v>
      </c>
      <c r="DR2114" s="1" t="s">
        <v>2593</v>
      </c>
      <c r="DV2114" s="1" t="s">
        <v>1188</v>
      </c>
      <c r="DW2114" s="1" t="s">
        <v>233</v>
      </c>
      <c r="DX2114" s="1" t="s">
        <v>234</v>
      </c>
      <c r="DZ2114" s="1" t="s">
        <v>282</v>
      </c>
      <c r="EC2114" s="1" t="s">
        <v>237</v>
      </c>
      <c r="EG2114" s="1" t="s">
        <v>494</v>
      </c>
      <c r="EH2114" s="1" t="s">
        <v>341</v>
      </c>
      <c r="EL2114" s="1" t="s">
        <v>302</v>
      </c>
      <c r="EM2114" s="1" t="s">
        <v>206</v>
      </c>
      <c r="EP2114" s="1" t="s">
        <v>1600</v>
      </c>
      <c r="EQ2114" s="1" t="s">
        <v>209</v>
      </c>
      <c r="EU2114" s="1" t="s">
        <v>238</v>
      </c>
      <c r="EY2114" s="1" t="s">
        <v>238</v>
      </c>
      <c r="FC2114" s="1" t="s">
        <v>238</v>
      </c>
      <c r="FF2114" s="1" t="s">
        <v>239</v>
      </c>
      <c r="FG2114" s="1" t="s">
        <v>192</v>
      </c>
      <c r="FH2114" s="1" t="s">
        <v>192</v>
      </c>
      <c r="FJ2114" s="1" t="s">
        <v>1248</v>
      </c>
      <c r="FK2114" s="1" t="s">
        <v>229</v>
      </c>
      <c r="FL2114" s="1" t="s">
        <v>3218</v>
      </c>
      <c r="FM2114" s="1">
        <v>5040.0</v>
      </c>
      <c r="FN2114" s="1" t="s">
        <v>4893</v>
      </c>
      <c r="FO2114" s="1" t="s">
        <v>4894</v>
      </c>
      <c r="FP2114" s="1">
        <v>54168.0</v>
      </c>
      <c r="FQ2114" s="1" t="s">
        <v>4895</v>
      </c>
      <c r="FR2114" s="1">
        <v>55673.0</v>
      </c>
      <c r="FS2114" s="1" t="s">
        <v>4896</v>
      </c>
      <c r="FU2114" s="1" t="s">
        <v>4897</v>
      </c>
      <c r="FV2114" s="1" t="s">
        <v>200</v>
      </c>
      <c r="FW2114" s="1" t="s">
        <v>1524</v>
      </c>
      <c r="FZ2114" s="1" t="s">
        <v>229</v>
      </c>
      <c r="GA2114" s="1" t="s">
        <v>247</v>
      </c>
      <c r="GB2114" s="2">
        <v>41978.0</v>
      </c>
      <c r="GC2114" s="1" t="s">
        <v>19882</v>
      </c>
    </row>
    <row r="2115">
      <c r="A2115" s="1">
        <v>414000.0</v>
      </c>
      <c r="B2115" s="1" t="s">
        <v>185</v>
      </c>
      <c r="C2115" s="1" t="str">
        <f>"08738420"</f>
        <v>08738420</v>
      </c>
      <c r="D2115" s="1" t="s">
        <v>186</v>
      </c>
      <c r="F2115" s="1" t="str">
        <f>"134"</f>
        <v>134</v>
      </c>
      <c r="G2115" s="2">
        <v>41908.0</v>
      </c>
      <c r="H2115" s="1">
        <v>429000.0</v>
      </c>
      <c r="I2115" s="1">
        <v>117.0</v>
      </c>
      <c r="J2115" s="1">
        <v>429000.0</v>
      </c>
      <c r="K2115" s="2">
        <v>42024.0</v>
      </c>
      <c r="L2115" s="1">
        <v>117.0</v>
      </c>
      <c r="M2115" s="2">
        <v>42024.0</v>
      </c>
      <c r="N2115" s="1" t="s">
        <v>187</v>
      </c>
      <c r="O2115" s="2">
        <v>42089.0</v>
      </c>
      <c r="P2115" s="1">
        <v>233258.0</v>
      </c>
      <c r="Q2115" s="1">
        <v>23156.0</v>
      </c>
      <c r="S2115" s="1" t="s">
        <v>19883</v>
      </c>
      <c r="T2115" s="1" t="s">
        <v>19884</v>
      </c>
      <c r="U2115" s="1" t="s">
        <v>1174</v>
      </c>
      <c r="V2115" s="1" t="s">
        <v>421</v>
      </c>
      <c r="W2115" s="1">
        <v>60134.0</v>
      </c>
      <c r="Y2115" s="1" t="s">
        <v>19885</v>
      </c>
      <c r="Z2115" s="1">
        <v>1998.0</v>
      </c>
      <c r="AA2115" s="1" t="s">
        <v>200</v>
      </c>
      <c r="AB2115" s="1" t="s">
        <v>193</v>
      </c>
      <c r="AC2115" s="1" t="s">
        <v>1596</v>
      </c>
      <c r="AD2115" s="1" t="s">
        <v>1089</v>
      </c>
      <c r="AE2115" s="1" t="s">
        <v>325</v>
      </c>
      <c r="AF2115" s="1" t="s">
        <v>1479</v>
      </c>
      <c r="AH2115" s="1" t="s">
        <v>19886</v>
      </c>
      <c r="AK2115" s="1">
        <v>12.0</v>
      </c>
      <c r="AL2115" s="1">
        <v>4.0</v>
      </c>
      <c r="AM2115" s="1">
        <v>3.0</v>
      </c>
      <c r="AN2115" s="1">
        <v>1.0</v>
      </c>
      <c r="AO2115" s="1" t="s">
        <v>198</v>
      </c>
      <c r="AP2115" s="1">
        <v>1.0</v>
      </c>
      <c r="AQ2115" s="1" t="s">
        <v>198</v>
      </c>
      <c r="AR2115" s="1" t="s">
        <v>192</v>
      </c>
      <c r="AS2115" s="1" t="s">
        <v>199</v>
      </c>
      <c r="AT2115" s="1">
        <v>3.0</v>
      </c>
      <c r="AV2115" s="1" t="s">
        <v>200</v>
      </c>
      <c r="AW2115" s="1">
        <v>11605.0</v>
      </c>
      <c r="AX2115" s="1">
        <v>2013.0</v>
      </c>
      <c r="AY2115" s="1" t="s">
        <v>387</v>
      </c>
      <c r="AZ2115" s="1" t="s">
        <v>200</v>
      </c>
      <c r="BA2115" s="1" t="str">
        <f>"1112456015"</f>
        <v>1112456015</v>
      </c>
      <c r="BB2115" s="1" t="s">
        <v>200</v>
      </c>
      <c r="BC2115" s="1">
        <v>3002.0</v>
      </c>
      <c r="BD2115" s="1">
        <v>414000.0</v>
      </c>
      <c r="BE2115" s="2">
        <v>41908.0</v>
      </c>
      <c r="BF2115" s="2" t="s">
        <v>19887</v>
      </c>
      <c r="BG2115" s="1" t="s">
        <v>6713</v>
      </c>
      <c r="BH2115" s="1">
        <v>0.0</v>
      </c>
      <c r="BI2115" s="1" t="s">
        <v>429</v>
      </c>
      <c r="BJ2115" s="1" t="s">
        <v>430</v>
      </c>
      <c r="BK2115" s="1" t="s">
        <v>204</v>
      </c>
      <c r="BL2115" s="1" t="str">
        <f t="shared" ref="BL2115:BM2115" si="1383">"0"</f>
        <v>0</v>
      </c>
      <c r="BM2115" s="1" t="str">
        <f t="shared" si="1383"/>
        <v>0</v>
      </c>
      <c r="BN2115" s="1">
        <v>39.0</v>
      </c>
      <c r="BO2115" s="1">
        <v>0.0</v>
      </c>
      <c r="BQ2115" s="1">
        <v>304.0</v>
      </c>
      <c r="BR2115" s="1">
        <v>304.0</v>
      </c>
      <c r="BS2115" s="1">
        <v>304.0</v>
      </c>
      <c r="BU2115" s="1" t="s">
        <v>677</v>
      </c>
      <c r="BV2115" s="1" t="s">
        <v>206</v>
      </c>
      <c r="BW2115" s="1" t="s">
        <v>210</v>
      </c>
      <c r="BY2115" s="1" t="s">
        <v>1043</v>
      </c>
      <c r="BZ2115" s="1" t="s">
        <v>209</v>
      </c>
      <c r="CA2115" s="1" t="s">
        <v>210</v>
      </c>
      <c r="CC2115" s="1" t="s">
        <v>830</v>
      </c>
      <c r="CD2115" s="1" t="s">
        <v>206</v>
      </c>
      <c r="CE2115" s="1" t="s">
        <v>210</v>
      </c>
      <c r="CG2115" s="1" t="s">
        <v>2459</v>
      </c>
      <c r="CH2115" s="1" t="s">
        <v>209</v>
      </c>
      <c r="CI2115" s="1" t="s">
        <v>210</v>
      </c>
      <c r="CK2115" s="1" t="s">
        <v>699</v>
      </c>
      <c r="CL2115" s="1" t="s">
        <v>209</v>
      </c>
      <c r="CM2115" s="1" t="s">
        <v>210</v>
      </c>
      <c r="CO2115" s="1" t="s">
        <v>302</v>
      </c>
      <c r="CP2115" s="1" t="s">
        <v>209</v>
      </c>
      <c r="CQ2115" s="1" t="s">
        <v>210</v>
      </c>
      <c r="CS2115" s="1" t="s">
        <v>1329</v>
      </c>
      <c r="CT2115" s="1" t="s">
        <v>206</v>
      </c>
      <c r="CU2115" s="1" t="s">
        <v>268</v>
      </c>
      <c r="CW2115" s="1" t="s">
        <v>662</v>
      </c>
      <c r="CX2115" s="1" t="s">
        <v>206</v>
      </c>
      <c r="CY2115" s="1" t="s">
        <v>210</v>
      </c>
      <c r="DA2115" s="1" t="s">
        <v>200</v>
      </c>
      <c r="DC2115" s="1" t="s">
        <v>678</v>
      </c>
      <c r="DD2115" s="1" t="s">
        <v>5326</v>
      </c>
      <c r="DE2115" s="1" t="s">
        <v>273</v>
      </c>
      <c r="DF2115" s="1" t="s">
        <v>219</v>
      </c>
      <c r="DG2115" s="1" t="s">
        <v>19888</v>
      </c>
      <c r="DH2115" s="1" t="s">
        <v>1603</v>
      </c>
      <c r="DI2115" s="1" t="s">
        <v>221</v>
      </c>
      <c r="DJ2115" s="1" t="s">
        <v>222</v>
      </c>
      <c r="DK2115" s="1" t="s">
        <v>198</v>
      </c>
      <c r="DL2115" s="1" t="s">
        <v>858</v>
      </c>
      <c r="DM2115" s="1" t="s">
        <v>929</v>
      </c>
      <c r="DN2115" s="1" t="s">
        <v>1023</v>
      </c>
      <c r="DO2115" s="1" t="s">
        <v>486</v>
      </c>
      <c r="DP2115" s="1" t="s">
        <v>340</v>
      </c>
      <c r="DQ2115" s="1" t="s">
        <v>441</v>
      </c>
      <c r="DR2115" s="1" t="s">
        <v>229</v>
      </c>
      <c r="DS2115" s="1" t="s">
        <v>368</v>
      </c>
      <c r="DU2115" s="1" t="s">
        <v>13573</v>
      </c>
      <c r="DV2115" s="1" t="s">
        <v>19889</v>
      </c>
      <c r="DW2115" s="1" t="s">
        <v>964</v>
      </c>
      <c r="DX2115" s="1" t="s">
        <v>234</v>
      </c>
      <c r="DY2115" s="1" t="s">
        <v>7411</v>
      </c>
      <c r="DZ2115" s="1" t="s">
        <v>19890</v>
      </c>
      <c r="EA2115" s="1" t="s">
        <v>344</v>
      </c>
      <c r="EB2115" s="1" t="s">
        <v>492</v>
      </c>
      <c r="EC2115" s="1" t="s">
        <v>237</v>
      </c>
      <c r="ED2115" s="1" t="s">
        <v>407</v>
      </c>
      <c r="EE2115" s="1" t="s">
        <v>493</v>
      </c>
      <c r="EG2115" s="1" t="s">
        <v>494</v>
      </c>
      <c r="EH2115" s="1" t="s">
        <v>449</v>
      </c>
      <c r="EI2115" s="1" t="s">
        <v>450</v>
      </c>
      <c r="EJ2115" s="1" t="s">
        <v>451</v>
      </c>
      <c r="EL2115" s="1" t="s">
        <v>303</v>
      </c>
      <c r="EM2115" s="1" t="s">
        <v>206</v>
      </c>
      <c r="EN2115" s="1" t="s">
        <v>210</v>
      </c>
      <c r="EP2115" s="1" t="s">
        <v>1329</v>
      </c>
      <c r="EQ2115" s="1" t="s">
        <v>206</v>
      </c>
      <c r="ER2115" s="1" t="s">
        <v>268</v>
      </c>
      <c r="ET2115" s="1" t="s">
        <v>14015</v>
      </c>
      <c r="EU2115" s="1" t="s">
        <v>42</v>
      </c>
      <c r="EV2115" s="1" t="s">
        <v>588</v>
      </c>
      <c r="EX2115" s="1" t="s">
        <v>2082</v>
      </c>
      <c r="EY2115" s="1" t="s">
        <v>42</v>
      </c>
      <c r="EZ2115" s="1" t="s">
        <v>588</v>
      </c>
      <c r="FC2115" s="1" t="s">
        <v>238</v>
      </c>
      <c r="FF2115" s="1" t="s">
        <v>239</v>
      </c>
      <c r="FG2115" s="1" t="s">
        <v>192</v>
      </c>
      <c r="FH2115" s="1" t="s">
        <v>192</v>
      </c>
      <c r="FJ2115" s="1" t="s">
        <v>2206</v>
      </c>
      <c r="FK2115" s="1" t="s">
        <v>229</v>
      </c>
      <c r="FL2115" s="1" t="s">
        <v>3527</v>
      </c>
      <c r="FM2115" s="1">
        <v>464.0</v>
      </c>
      <c r="FN2115" s="1" t="s">
        <v>3528</v>
      </c>
      <c r="FO2115" s="1" t="s">
        <v>3529</v>
      </c>
      <c r="FP2115" s="1">
        <v>1333.0</v>
      </c>
      <c r="FQ2115" s="1" t="s">
        <v>3530</v>
      </c>
      <c r="FR2115" s="1">
        <v>624.0</v>
      </c>
      <c r="FS2115" s="1" t="s">
        <v>3531</v>
      </c>
      <c r="FU2115" s="1" t="s">
        <v>19891</v>
      </c>
      <c r="FV2115" s="1" t="s">
        <v>200</v>
      </c>
      <c r="FW2115" s="1" t="s">
        <v>567</v>
      </c>
      <c r="FZ2115" s="1" t="s">
        <v>504</v>
      </c>
      <c r="GA2115" s="1" t="s">
        <v>291</v>
      </c>
      <c r="GB2115" s="2">
        <v>42089.0</v>
      </c>
    </row>
    <row r="2116">
      <c r="A2116" s="1">
        <v>625000.0</v>
      </c>
      <c r="B2116" s="1" t="s">
        <v>185</v>
      </c>
      <c r="C2116" s="1" t="str">
        <f>"08750050"</f>
        <v>08750050</v>
      </c>
      <c r="D2116" s="1" t="s">
        <v>186</v>
      </c>
      <c r="F2116" s="1" t="str">
        <f>"8016"</f>
        <v>8016</v>
      </c>
      <c r="G2116" s="2">
        <v>41922.0</v>
      </c>
      <c r="H2116" s="1">
        <v>679900.0</v>
      </c>
      <c r="I2116" s="1">
        <v>36.0</v>
      </c>
      <c r="J2116" s="1">
        <v>664900.0</v>
      </c>
      <c r="K2116" s="2">
        <v>41957.0</v>
      </c>
      <c r="L2116" s="1">
        <v>36.0</v>
      </c>
      <c r="M2116" s="2">
        <v>41957.0</v>
      </c>
      <c r="N2116" s="1" t="s">
        <v>187</v>
      </c>
      <c r="O2116" s="2">
        <v>41981.0</v>
      </c>
      <c r="P2116" s="1">
        <v>153680.0</v>
      </c>
      <c r="Q2116" s="1">
        <v>10115.0</v>
      </c>
      <c r="S2116" s="1">
        <v>4008.0</v>
      </c>
      <c r="T2116" s="1" t="s">
        <v>15798</v>
      </c>
      <c r="U2116" s="1" t="s">
        <v>189</v>
      </c>
      <c r="V2116" s="1" t="s">
        <v>190</v>
      </c>
      <c r="W2116" s="1">
        <v>60641.0</v>
      </c>
      <c r="Y2116" s="1" t="s">
        <v>19892</v>
      </c>
      <c r="Z2116" s="1">
        <v>2005.0</v>
      </c>
      <c r="AA2116" s="1" t="s">
        <v>200</v>
      </c>
      <c r="AB2116" s="1" t="s">
        <v>193</v>
      </c>
      <c r="AD2116" s="1" t="s">
        <v>194</v>
      </c>
      <c r="AE2116" s="1" t="s">
        <v>195</v>
      </c>
      <c r="AF2116" s="1" t="s">
        <v>196</v>
      </c>
      <c r="AH2116" s="1" t="s">
        <v>19893</v>
      </c>
      <c r="AK2116" s="1">
        <v>8.0</v>
      </c>
      <c r="AL2116" s="1">
        <v>4.0</v>
      </c>
      <c r="AM2116" s="1">
        <v>3.0</v>
      </c>
      <c r="AN2116" s="1">
        <v>1.0</v>
      </c>
      <c r="AO2116" s="1" t="s">
        <v>198</v>
      </c>
      <c r="AP2116" s="1">
        <v>2.0</v>
      </c>
      <c r="AQ2116" s="1" t="s">
        <v>198</v>
      </c>
      <c r="AR2116" s="1" t="s">
        <v>192</v>
      </c>
      <c r="AS2116" s="1" t="s">
        <v>199</v>
      </c>
      <c r="AT2116" s="1">
        <v>2.0</v>
      </c>
      <c r="AV2116" s="1" t="s">
        <v>200</v>
      </c>
      <c r="AW2116" s="1">
        <v>7312.85</v>
      </c>
      <c r="AX2116" s="1">
        <v>2013.0</v>
      </c>
      <c r="AY2116" s="1" t="s">
        <v>387</v>
      </c>
      <c r="AZ2116" s="1" t="s">
        <v>200</v>
      </c>
      <c r="BA2116" s="1" t="str">
        <f>"13153170640000"</f>
        <v>13153170640000</v>
      </c>
      <c r="BB2116" s="1" t="s">
        <v>200</v>
      </c>
      <c r="BC2116" s="1">
        <v>3144.0</v>
      </c>
      <c r="BD2116" s="1">
        <v>625000.0</v>
      </c>
      <c r="BE2116" s="2">
        <v>41922.0</v>
      </c>
      <c r="BF2116" s="2" t="s">
        <v>19894</v>
      </c>
      <c r="BG2116" s="1" t="s">
        <v>9125</v>
      </c>
      <c r="BH2116" s="1">
        <v>0.0</v>
      </c>
      <c r="BK2116" s="1" t="s">
        <v>204</v>
      </c>
      <c r="BL2116" s="1" t="str">
        <f>"4000"</f>
        <v>4000</v>
      </c>
      <c r="BM2116" s="1" t="str">
        <f>"0"</f>
        <v>0</v>
      </c>
      <c r="BN2116" s="1">
        <v>4600.0</v>
      </c>
      <c r="BO2116" s="1">
        <v>0.0</v>
      </c>
      <c r="BQ2116" s="1">
        <v>299.0</v>
      </c>
      <c r="BR2116" s="1">
        <v>299.0</v>
      </c>
      <c r="BS2116" s="1">
        <v>299.0</v>
      </c>
      <c r="BU2116" s="1" t="s">
        <v>5655</v>
      </c>
      <c r="BV2116" s="1" t="s">
        <v>206</v>
      </c>
      <c r="BW2116" s="1" t="s">
        <v>207</v>
      </c>
      <c r="BX2116" s="1" t="s">
        <v>1549</v>
      </c>
      <c r="BY2116" s="1" t="s">
        <v>616</v>
      </c>
      <c r="BZ2116" s="1" t="s">
        <v>209</v>
      </c>
      <c r="CA2116" s="1" t="s">
        <v>210</v>
      </c>
      <c r="CB2116" s="1" t="s">
        <v>1118</v>
      </c>
      <c r="CC2116" s="1" t="s">
        <v>542</v>
      </c>
      <c r="CD2116" s="1" t="s">
        <v>206</v>
      </c>
      <c r="CE2116" s="1" t="s">
        <v>207</v>
      </c>
      <c r="CF2116" s="1" t="s">
        <v>1549</v>
      </c>
      <c r="CG2116" s="1" t="s">
        <v>212</v>
      </c>
      <c r="CH2116" s="1" t="s">
        <v>209</v>
      </c>
      <c r="CI2116" s="1" t="s">
        <v>210</v>
      </c>
      <c r="CJ2116" s="1" t="s">
        <v>1118</v>
      </c>
      <c r="CK2116" s="1" t="s">
        <v>332</v>
      </c>
      <c r="CL2116" s="1" t="s">
        <v>209</v>
      </c>
      <c r="CM2116" s="1" t="s">
        <v>210</v>
      </c>
      <c r="CN2116" s="1" t="s">
        <v>1118</v>
      </c>
      <c r="CO2116" s="1" t="s">
        <v>269</v>
      </c>
      <c r="CP2116" s="1" t="s">
        <v>267</v>
      </c>
      <c r="CQ2116" s="1" t="s">
        <v>210</v>
      </c>
      <c r="CR2116" s="1" t="s">
        <v>1118</v>
      </c>
      <c r="CS2116" s="1" t="s">
        <v>1158</v>
      </c>
      <c r="CT2116" s="1" t="s">
        <v>206</v>
      </c>
      <c r="CU2116" s="1" t="s">
        <v>207</v>
      </c>
      <c r="CV2116" s="1" t="s">
        <v>476</v>
      </c>
      <c r="CW2116" s="1" t="s">
        <v>1426</v>
      </c>
      <c r="CX2116" s="1" t="s">
        <v>206</v>
      </c>
      <c r="CY2116" s="1" t="s">
        <v>207</v>
      </c>
      <c r="CZ2116" s="1" t="s">
        <v>476</v>
      </c>
      <c r="DA2116" s="1" t="s">
        <v>200</v>
      </c>
      <c r="DC2116" s="1" t="s">
        <v>481</v>
      </c>
      <c r="DD2116" s="1" t="s">
        <v>679</v>
      </c>
      <c r="DE2116" s="1" t="s">
        <v>218</v>
      </c>
      <c r="DF2116" s="1" t="s">
        <v>745</v>
      </c>
      <c r="DH2116" s="1" t="s">
        <v>307</v>
      </c>
      <c r="DI2116" s="1" t="s">
        <v>519</v>
      </c>
      <c r="DJ2116" s="1" t="s">
        <v>222</v>
      </c>
      <c r="DK2116" s="1" t="s">
        <v>223</v>
      </c>
      <c r="DL2116" s="1" t="s">
        <v>1161</v>
      </c>
      <c r="DM2116" s="1" t="s">
        <v>1143</v>
      </c>
      <c r="DN2116" s="1" t="s">
        <v>5467</v>
      </c>
      <c r="DO2116" s="1" t="s">
        <v>549</v>
      </c>
      <c r="DP2116" s="1" t="s">
        <v>276</v>
      </c>
      <c r="DQ2116" s="1" t="s">
        <v>228</v>
      </c>
      <c r="DR2116" s="1" t="s">
        <v>229</v>
      </c>
      <c r="DU2116" s="1" t="s">
        <v>4323</v>
      </c>
      <c r="DV2116" s="1" t="s">
        <v>1103</v>
      </c>
      <c r="DW2116" s="1" t="s">
        <v>19895</v>
      </c>
      <c r="DX2116" s="1" t="s">
        <v>234</v>
      </c>
      <c r="DY2116" s="1" t="s">
        <v>5470</v>
      </c>
      <c r="EA2116" s="1" t="s">
        <v>3112</v>
      </c>
      <c r="EB2116" s="1" t="s">
        <v>767</v>
      </c>
      <c r="EC2116" s="1" t="s">
        <v>237</v>
      </c>
      <c r="ED2116" s="1" t="s">
        <v>555</v>
      </c>
      <c r="EG2116" s="1" t="s">
        <v>1103</v>
      </c>
      <c r="EL2116" s="1" t="s">
        <v>205</v>
      </c>
      <c r="EM2116" s="1" t="s">
        <v>42</v>
      </c>
      <c r="EN2116" s="1" t="s">
        <v>617</v>
      </c>
      <c r="EO2116" s="1" t="s">
        <v>1118</v>
      </c>
      <c r="EQ2116" s="1" t="s">
        <v>238</v>
      </c>
      <c r="EU2116" s="1" t="s">
        <v>238</v>
      </c>
      <c r="EY2116" s="1" t="s">
        <v>238</v>
      </c>
      <c r="FC2116" s="1" t="s">
        <v>238</v>
      </c>
      <c r="FF2116" s="1" t="s">
        <v>239</v>
      </c>
      <c r="FG2116" s="1" t="s">
        <v>192</v>
      </c>
      <c r="FH2116" s="1" t="s">
        <v>192</v>
      </c>
      <c r="FJ2116" s="1" t="s">
        <v>2100</v>
      </c>
      <c r="FK2116" s="1" t="s">
        <v>229</v>
      </c>
      <c r="FL2116" s="1" t="s">
        <v>413</v>
      </c>
      <c r="FM2116" s="1">
        <v>13691.0</v>
      </c>
      <c r="FN2116" s="1" t="s">
        <v>414</v>
      </c>
      <c r="FO2116" s="1" t="s">
        <v>19896</v>
      </c>
      <c r="FP2116" s="1">
        <v>185233.0</v>
      </c>
      <c r="FQ2116" s="1" t="s">
        <v>19897</v>
      </c>
      <c r="FU2116" s="1" t="s">
        <v>19898</v>
      </c>
      <c r="FV2116" s="1" t="s">
        <v>192</v>
      </c>
      <c r="FW2116" s="1" t="s">
        <v>290</v>
      </c>
      <c r="FX2116" s="1" t="s">
        <v>238</v>
      </c>
      <c r="FZ2116" s="1" t="s">
        <v>229</v>
      </c>
      <c r="GA2116" s="1" t="s">
        <v>291</v>
      </c>
      <c r="GB2116" s="2">
        <v>41981.0</v>
      </c>
      <c r="GC2116" s="1" t="s">
        <v>19899</v>
      </c>
    </row>
    <row r="2117">
      <c r="A2117" s="1">
        <v>145000.0</v>
      </c>
      <c r="B2117" s="1" t="s">
        <v>185</v>
      </c>
      <c r="C2117" s="1" t="str">
        <f>"08737654"</f>
        <v>08737654</v>
      </c>
      <c r="D2117" s="1" t="s">
        <v>186</v>
      </c>
      <c r="F2117" s="1" t="str">
        <f>"8063"</f>
        <v>8063</v>
      </c>
      <c r="G2117" s="2">
        <v>41907.0</v>
      </c>
      <c r="H2117" s="1">
        <v>149900.0</v>
      </c>
      <c r="I2117" s="1">
        <v>26.0</v>
      </c>
      <c r="J2117" s="1">
        <v>149900.0</v>
      </c>
      <c r="K2117" s="2">
        <v>41932.0</v>
      </c>
      <c r="L2117" s="1">
        <v>26.0</v>
      </c>
      <c r="M2117" s="2">
        <v>41932.0</v>
      </c>
      <c r="N2117" s="1" t="s">
        <v>1512</v>
      </c>
      <c r="O2117" s="2">
        <v>41983.0</v>
      </c>
      <c r="P2117" s="1">
        <v>122915.0</v>
      </c>
      <c r="Q2117" s="1">
        <v>12555.0</v>
      </c>
      <c r="R2117" s="1">
        <v>4350.0</v>
      </c>
      <c r="S2117" s="1">
        <v>5121.0</v>
      </c>
      <c r="T2117" s="1" t="s">
        <v>739</v>
      </c>
      <c r="U2117" s="1" t="s">
        <v>189</v>
      </c>
      <c r="V2117" s="1" t="s">
        <v>190</v>
      </c>
      <c r="W2117" s="1">
        <v>60632.0</v>
      </c>
      <c r="Y2117" s="1" t="s">
        <v>19900</v>
      </c>
      <c r="Z2117" s="1">
        <v>1952.0</v>
      </c>
      <c r="AA2117" s="1" t="s">
        <v>192</v>
      </c>
      <c r="AB2117" s="1" t="s">
        <v>193</v>
      </c>
      <c r="AD2117" s="1" t="s">
        <v>194</v>
      </c>
      <c r="AE2117" s="1" t="s">
        <v>195</v>
      </c>
      <c r="AF2117" s="1" t="s">
        <v>659</v>
      </c>
      <c r="AG2117" s="1" t="s">
        <v>1392</v>
      </c>
      <c r="AH2117" s="1" t="s">
        <v>1133</v>
      </c>
      <c r="AK2117" s="1">
        <v>6.0</v>
      </c>
      <c r="AL2117" s="1">
        <v>4.0</v>
      </c>
      <c r="AM2117" s="1">
        <v>2.0</v>
      </c>
      <c r="AN2117" s="1">
        <v>0.0</v>
      </c>
      <c r="AO2117" s="1" t="s">
        <v>229</v>
      </c>
      <c r="AQ2117" s="1" t="s">
        <v>198</v>
      </c>
      <c r="AR2117" s="1" t="s">
        <v>200</v>
      </c>
      <c r="AS2117" s="1" t="s">
        <v>199</v>
      </c>
      <c r="AT2117" s="1">
        <v>2.0</v>
      </c>
      <c r="AV2117" s="1" t="s">
        <v>200</v>
      </c>
      <c r="AW2117" s="1">
        <v>1094.0</v>
      </c>
      <c r="AX2117" s="1">
        <v>2012.0</v>
      </c>
      <c r="AZ2117" s="1" t="s">
        <v>200</v>
      </c>
      <c r="BA2117" s="1" t="str">
        <f>"19114040130000"</f>
        <v>19114040130000</v>
      </c>
      <c r="BB2117" s="1" t="s">
        <v>200</v>
      </c>
      <c r="BC2117" s="1">
        <v>1536.0</v>
      </c>
      <c r="BD2117" s="1">
        <v>145000.0</v>
      </c>
      <c r="BE2117" s="2">
        <v>41907.0</v>
      </c>
      <c r="BF2117" s="2" t="s">
        <v>19901</v>
      </c>
      <c r="BH2117" s="1">
        <v>0.0</v>
      </c>
      <c r="BK2117" s="1" t="s">
        <v>204</v>
      </c>
      <c r="BL2117" s="1" t="str">
        <f t="shared" ref="BL2117:BM2117" si="1384">"0"</f>
        <v>0</v>
      </c>
      <c r="BM2117" s="1" t="str">
        <f t="shared" si="1384"/>
        <v>0</v>
      </c>
      <c r="BN2117" s="1">
        <v>3300.0</v>
      </c>
      <c r="BO2117" s="1">
        <v>5121.0</v>
      </c>
      <c r="BQ2117" s="1">
        <v>299.0</v>
      </c>
      <c r="BR2117" s="1">
        <v>299.0</v>
      </c>
      <c r="BS2117" s="1">
        <v>299.0</v>
      </c>
      <c r="BU2117" s="1" t="s">
        <v>1158</v>
      </c>
      <c r="BV2117" s="1" t="s">
        <v>206</v>
      </c>
      <c r="BY2117" s="1" t="s">
        <v>212</v>
      </c>
      <c r="BZ2117" s="1" t="s">
        <v>206</v>
      </c>
      <c r="CD2117" s="1" t="s">
        <v>204</v>
      </c>
      <c r="CG2117" s="1" t="s">
        <v>212</v>
      </c>
      <c r="CH2117" s="1" t="s">
        <v>206</v>
      </c>
      <c r="CK2117" s="1" t="s">
        <v>584</v>
      </c>
      <c r="CL2117" s="1" t="s">
        <v>209</v>
      </c>
      <c r="CO2117" s="1" t="s">
        <v>699</v>
      </c>
      <c r="CP2117" s="1" t="s">
        <v>209</v>
      </c>
      <c r="CS2117" s="1" t="s">
        <v>332</v>
      </c>
      <c r="CT2117" s="1" t="s">
        <v>206</v>
      </c>
      <c r="CX2117" s="1" t="s">
        <v>204</v>
      </c>
      <c r="DA2117" s="1" t="s">
        <v>200</v>
      </c>
      <c r="DC2117" s="1" t="s">
        <v>702</v>
      </c>
      <c r="DE2117" s="1" t="s">
        <v>229</v>
      </c>
      <c r="DF2117" s="1" t="s">
        <v>619</v>
      </c>
      <c r="DH2117" s="1" t="s">
        <v>220</v>
      </c>
      <c r="DJ2117" s="1" t="s">
        <v>222</v>
      </c>
      <c r="DL2117" s="1" t="s">
        <v>223</v>
      </c>
      <c r="DM2117" s="1" t="s">
        <v>1464</v>
      </c>
      <c r="DQ2117" s="1" t="s">
        <v>794</v>
      </c>
      <c r="DR2117" s="1" t="s">
        <v>229</v>
      </c>
      <c r="DV2117" s="1" t="s">
        <v>588</v>
      </c>
      <c r="DW2117" s="1" t="s">
        <v>279</v>
      </c>
      <c r="DX2117" s="1" t="s">
        <v>234</v>
      </c>
      <c r="EA2117" s="1" t="s">
        <v>1075</v>
      </c>
      <c r="EC2117" s="1" t="s">
        <v>237</v>
      </c>
      <c r="EH2117" s="1" t="s">
        <v>588</v>
      </c>
      <c r="EM2117" s="1" t="s">
        <v>238</v>
      </c>
      <c r="EP2117" s="1" t="s">
        <v>1483</v>
      </c>
      <c r="EQ2117" s="1" t="s">
        <v>209</v>
      </c>
      <c r="EU2117" s="1" t="s">
        <v>238</v>
      </c>
      <c r="EY2117" s="1" t="s">
        <v>238</v>
      </c>
      <c r="FC2117" s="1" t="s">
        <v>238</v>
      </c>
      <c r="FF2117" s="1" t="s">
        <v>239</v>
      </c>
      <c r="FG2117" s="1" t="s">
        <v>192</v>
      </c>
      <c r="FH2117" s="1" t="s">
        <v>192</v>
      </c>
      <c r="FJ2117" s="1" t="s">
        <v>524</v>
      </c>
      <c r="FK2117" s="1" t="s">
        <v>229</v>
      </c>
      <c r="FL2117" s="1" t="s">
        <v>4048</v>
      </c>
      <c r="FM2117" s="1">
        <v>84077.0</v>
      </c>
      <c r="FN2117" s="1" t="s">
        <v>4049</v>
      </c>
      <c r="FO2117" s="1" t="s">
        <v>4050</v>
      </c>
      <c r="FP2117" s="1">
        <v>175275.0</v>
      </c>
      <c r="FU2117" s="1" t="s">
        <v>1541</v>
      </c>
      <c r="FV2117" s="1" t="s">
        <v>200</v>
      </c>
      <c r="FW2117" s="1" t="s">
        <v>354</v>
      </c>
      <c r="FX2117" s="1" t="s">
        <v>655</v>
      </c>
      <c r="FZ2117" s="1" t="s">
        <v>229</v>
      </c>
      <c r="GA2117" s="1" t="s">
        <v>291</v>
      </c>
      <c r="GB2117" s="2">
        <v>41983.0</v>
      </c>
      <c r="GC2117" s="1" t="s">
        <v>19902</v>
      </c>
    </row>
    <row r="2118">
      <c r="A2118" s="1">
        <v>445500.0</v>
      </c>
      <c r="B2118" s="1" t="s">
        <v>185</v>
      </c>
      <c r="C2118" s="1" t="str">
        <f>"08744606"</f>
        <v>08744606</v>
      </c>
      <c r="D2118" s="1" t="s">
        <v>186</v>
      </c>
      <c r="F2118" s="1" t="str">
        <f>"8015"</f>
        <v>8015</v>
      </c>
      <c r="G2118" s="2">
        <v>41915.0</v>
      </c>
      <c r="H2118" s="1">
        <v>465000.0</v>
      </c>
      <c r="I2118" s="1">
        <v>43.0</v>
      </c>
      <c r="J2118" s="1">
        <v>465000.0</v>
      </c>
      <c r="K2118" s="2">
        <v>41957.0</v>
      </c>
      <c r="L2118" s="1">
        <v>43.0</v>
      </c>
      <c r="M2118" s="2">
        <v>41957.0</v>
      </c>
      <c r="N2118" s="1" t="s">
        <v>187</v>
      </c>
      <c r="O2118" s="2">
        <v>42041.0</v>
      </c>
      <c r="P2118" s="1">
        <v>186321.0</v>
      </c>
      <c r="Q2118" s="1">
        <v>16440.0</v>
      </c>
      <c r="R2118" s="1">
        <v>9875.38</v>
      </c>
      <c r="S2118" s="1">
        <v>5301.0</v>
      </c>
      <c r="T2118" s="1" t="s">
        <v>2724</v>
      </c>
      <c r="U2118" s="1" t="s">
        <v>189</v>
      </c>
      <c r="V2118" s="1" t="s">
        <v>190</v>
      </c>
      <c r="W2118" s="1">
        <v>60641.0</v>
      </c>
      <c r="Y2118" s="1" t="s">
        <v>19903</v>
      </c>
      <c r="Z2118" s="1">
        <v>1923.0</v>
      </c>
      <c r="AA2118" s="1" t="s">
        <v>192</v>
      </c>
      <c r="AB2118" s="1" t="s">
        <v>193</v>
      </c>
      <c r="AD2118" s="1" t="s">
        <v>194</v>
      </c>
      <c r="AE2118" s="1" t="s">
        <v>195</v>
      </c>
      <c r="AF2118" s="1" t="s">
        <v>196</v>
      </c>
      <c r="AH2118" s="1" t="s">
        <v>5314</v>
      </c>
      <c r="AI2118" s="1">
        <v>0.0921</v>
      </c>
      <c r="AK2118" s="1">
        <v>9.0</v>
      </c>
      <c r="AL2118" s="1">
        <v>4.0</v>
      </c>
      <c r="AM2118" s="1">
        <v>2.0</v>
      </c>
      <c r="AN2118" s="1">
        <v>0.0</v>
      </c>
      <c r="AO2118" s="1" t="s">
        <v>198</v>
      </c>
      <c r="AQ2118" s="1" t="s">
        <v>198</v>
      </c>
      <c r="AR2118" s="1" t="s">
        <v>200</v>
      </c>
      <c r="AS2118" s="1" t="s">
        <v>199</v>
      </c>
      <c r="AT2118" s="1">
        <v>2.0</v>
      </c>
      <c r="AV2118" s="1" t="s">
        <v>200</v>
      </c>
      <c r="AW2118" s="1">
        <v>4744.04</v>
      </c>
      <c r="AX2118" s="1">
        <v>2012.0</v>
      </c>
      <c r="AY2118" s="1" t="s">
        <v>387</v>
      </c>
      <c r="AZ2118" s="1" t="s">
        <v>200</v>
      </c>
      <c r="BA2118" s="1" t="str">
        <f>"13163060200000"</f>
        <v>13163060200000</v>
      </c>
      <c r="BB2118" s="1" t="s">
        <v>200</v>
      </c>
      <c r="BC2118" s="1">
        <v>3004.0</v>
      </c>
      <c r="BD2118" s="1">
        <v>445500.0</v>
      </c>
      <c r="BE2118" s="2">
        <v>41915.0</v>
      </c>
      <c r="BF2118" s="2" t="s">
        <v>19904</v>
      </c>
      <c r="BG2118" s="1" t="s">
        <v>781</v>
      </c>
      <c r="BH2118" s="1">
        <v>0.0</v>
      </c>
      <c r="BI2118" s="1" t="s">
        <v>781</v>
      </c>
      <c r="BJ2118" s="1" t="s">
        <v>203</v>
      </c>
      <c r="BK2118" s="1" t="s">
        <v>204</v>
      </c>
      <c r="BL2118" s="1" t="str">
        <f>"4350"</f>
        <v>4350</v>
      </c>
      <c r="BM2118" s="1" t="str">
        <f t="shared" ref="BM2118:BM2120" si="1385">"0"</f>
        <v>0</v>
      </c>
      <c r="BN2118" s="1">
        <v>5301.0</v>
      </c>
      <c r="BO2118" s="1">
        <v>0.0</v>
      </c>
      <c r="BQ2118" s="1">
        <v>299.0</v>
      </c>
      <c r="BR2118" s="1">
        <v>299.0</v>
      </c>
      <c r="BS2118" s="1">
        <v>299.0</v>
      </c>
      <c r="BU2118" s="1" t="s">
        <v>7715</v>
      </c>
      <c r="BV2118" s="1" t="s">
        <v>206</v>
      </c>
      <c r="BW2118" s="1" t="s">
        <v>207</v>
      </c>
      <c r="BX2118" s="1" t="s">
        <v>431</v>
      </c>
      <c r="BY2118" s="1" t="s">
        <v>784</v>
      </c>
      <c r="BZ2118" s="1" t="s">
        <v>209</v>
      </c>
      <c r="CA2118" s="1" t="s">
        <v>210</v>
      </c>
      <c r="CB2118" s="1" t="s">
        <v>431</v>
      </c>
      <c r="CC2118" s="1" t="s">
        <v>743</v>
      </c>
      <c r="CD2118" s="1" t="s">
        <v>206</v>
      </c>
      <c r="CE2118" s="1" t="s">
        <v>207</v>
      </c>
      <c r="CF2118" s="1" t="s">
        <v>431</v>
      </c>
      <c r="CG2118" s="1" t="s">
        <v>4045</v>
      </c>
      <c r="CH2118" s="1" t="s">
        <v>209</v>
      </c>
      <c r="CI2118" s="1" t="s">
        <v>210</v>
      </c>
      <c r="CJ2118" s="1" t="s">
        <v>1549</v>
      </c>
      <c r="CK2118" s="1" t="s">
        <v>1417</v>
      </c>
      <c r="CL2118" s="1" t="s">
        <v>206</v>
      </c>
      <c r="CM2118" s="1" t="s">
        <v>207</v>
      </c>
      <c r="CN2118" s="1" t="s">
        <v>431</v>
      </c>
      <c r="CO2118" s="1" t="s">
        <v>1417</v>
      </c>
      <c r="CP2118" s="1" t="s">
        <v>206</v>
      </c>
      <c r="CQ2118" s="1" t="s">
        <v>617</v>
      </c>
      <c r="CR2118" s="1" t="s">
        <v>431</v>
      </c>
      <c r="CS2118" s="1" t="s">
        <v>363</v>
      </c>
      <c r="CT2118" s="1" t="s">
        <v>206</v>
      </c>
      <c r="CU2118" s="1" t="s">
        <v>617</v>
      </c>
      <c r="CV2118" s="1" t="s">
        <v>1549</v>
      </c>
      <c r="CW2118" s="1" t="s">
        <v>434</v>
      </c>
      <c r="CX2118" s="1" t="s">
        <v>209</v>
      </c>
      <c r="CY2118" s="1" t="s">
        <v>210</v>
      </c>
      <c r="CZ2118" s="1" t="s">
        <v>1549</v>
      </c>
      <c r="DA2118" s="1" t="s">
        <v>200</v>
      </c>
      <c r="DC2118" s="1" t="s">
        <v>216</v>
      </c>
      <c r="DE2118" s="1" t="s">
        <v>19905</v>
      </c>
      <c r="DF2118" s="1" t="s">
        <v>619</v>
      </c>
      <c r="DG2118" s="1" t="s">
        <v>482</v>
      </c>
      <c r="DH2118" s="1" t="s">
        <v>365</v>
      </c>
      <c r="DI2118" s="1" t="s">
        <v>703</v>
      </c>
      <c r="DJ2118" s="1" t="s">
        <v>222</v>
      </c>
      <c r="DK2118" s="1" t="s">
        <v>4233</v>
      </c>
      <c r="DL2118" s="1" t="s">
        <v>791</v>
      </c>
      <c r="DM2118" s="1" t="s">
        <v>229</v>
      </c>
      <c r="DN2118" s="1" t="s">
        <v>439</v>
      </c>
      <c r="DO2118" s="1" t="s">
        <v>590</v>
      </c>
      <c r="DP2118" s="1" t="s">
        <v>340</v>
      </c>
      <c r="DQ2118" s="1" t="s">
        <v>794</v>
      </c>
      <c r="DR2118" s="1" t="s">
        <v>229</v>
      </c>
      <c r="DS2118" s="1" t="s">
        <v>368</v>
      </c>
      <c r="DU2118" s="1" t="s">
        <v>681</v>
      </c>
      <c r="DV2118" s="1" t="s">
        <v>19906</v>
      </c>
      <c r="DW2118" s="1" t="s">
        <v>279</v>
      </c>
      <c r="DX2118" s="1" t="s">
        <v>309</v>
      </c>
      <c r="DY2118" s="1" t="s">
        <v>553</v>
      </c>
      <c r="DZ2118" s="1" t="s">
        <v>1661</v>
      </c>
      <c r="EA2118" s="1" t="s">
        <v>644</v>
      </c>
      <c r="EC2118" s="1" t="s">
        <v>237</v>
      </c>
      <c r="ED2118" s="1" t="s">
        <v>555</v>
      </c>
      <c r="EE2118" s="1" t="s">
        <v>493</v>
      </c>
      <c r="EG2118" s="1" t="s">
        <v>598</v>
      </c>
      <c r="EH2118" s="1" t="s">
        <v>408</v>
      </c>
      <c r="EI2118" s="1" t="s">
        <v>374</v>
      </c>
      <c r="EL2118" s="1" t="s">
        <v>1418</v>
      </c>
      <c r="EM2118" s="1" t="s">
        <v>206</v>
      </c>
      <c r="EN2118" s="1" t="s">
        <v>207</v>
      </c>
      <c r="EO2118" s="1" t="s">
        <v>431</v>
      </c>
      <c r="EP2118" s="1" t="s">
        <v>2394</v>
      </c>
      <c r="EQ2118" s="1" t="s">
        <v>206</v>
      </c>
      <c r="ER2118" s="1" t="s">
        <v>268</v>
      </c>
      <c r="ET2118" s="1" t="s">
        <v>560</v>
      </c>
      <c r="EU2118" s="1" t="s">
        <v>206</v>
      </c>
      <c r="EV2118" s="1" t="s">
        <v>207</v>
      </c>
      <c r="EY2118" s="1" t="s">
        <v>238</v>
      </c>
      <c r="FC2118" s="1" t="s">
        <v>238</v>
      </c>
      <c r="FF2118" s="1" t="s">
        <v>239</v>
      </c>
      <c r="FG2118" s="1" t="s">
        <v>192</v>
      </c>
      <c r="FH2118" s="1" t="s">
        <v>192</v>
      </c>
      <c r="FJ2118" s="1" t="s">
        <v>524</v>
      </c>
      <c r="FK2118" s="1" t="s">
        <v>229</v>
      </c>
      <c r="FL2118" s="1" t="s">
        <v>17346</v>
      </c>
      <c r="FM2118" s="1">
        <v>18455.0</v>
      </c>
      <c r="FN2118" s="1" t="s">
        <v>17347</v>
      </c>
      <c r="FO2118" s="1" t="s">
        <v>19907</v>
      </c>
      <c r="FP2118" s="1">
        <v>152642.0</v>
      </c>
      <c r="FQ2118" s="1" t="s">
        <v>19908</v>
      </c>
      <c r="FU2118" s="1" t="s">
        <v>1438</v>
      </c>
      <c r="FV2118" s="1" t="s">
        <v>192</v>
      </c>
      <c r="FW2118" s="1" t="s">
        <v>530</v>
      </c>
      <c r="FX2118" s="1" t="s">
        <v>246</v>
      </c>
      <c r="FZ2118" s="1" t="s">
        <v>229</v>
      </c>
      <c r="GA2118" s="1" t="s">
        <v>291</v>
      </c>
      <c r="GB2118" s="2">
        <v>42042.0</v>
      </c>
    </row>
    <row r="2119">
      <c r="A2119" s="1">
        <v>236000.0</v>
      </c>
      <c r="B2119" s="1" t="s">
        <v>185</v>
      </c>
      <c r="C2119" s="1" t="str">
        <f>"08736351"</f>
        <v>08736351</v>
      </c>
      <c r="D2119" s="1" t="s">
        <v>186</v>
      </c>
      <c r="F2119" s="1" t="str">
        <f>"123"</f>
        <v>123</v>
      </c>
      <c r="G2119" s="2">
        <v>41906.0</v>
      </c>
      <c r="H2119" s="1">
        <v>284900.0</v>
      </c>
      <c r="I2119" s="1">
        <v>85.0</v>
      </c>
      <c r="J2119" s="1">
        <v>249900.0</v>
      </c>
      <c r="K2119" s="2">
        <v>41990.0</v>
      </c>
      <c r="L2119" s="1">
        <v>85.0</v>
      </c>
      <c r="M2119" s="2">
        <v>41990.0</v>
      </c>
      <c r="N2119" s="1" t="s">
        <v>187</v>
      </c>
      <c r="O2119" s="2">
        <v>42027.0</v>
      </c>
      <c r="P2119" s="1">
        <v>920884.0</v>
      </c>
      <c r="Q2119" s="1">
        <v>8079.0</v>
      </c>
      <c r="S2119" s="1">
        <v>1016.0</v>
      </c>
      <c r="T2119" s="1" t="s">
        <v>19909</v>
      </c>
      <c r="U2119" s="1" t="s">
        <v>320</v>
      </c>
      <c r="V2119" s="1" t="s">
        <v>465</v>
      </c>
      <c r="W2119" s="1">
        <v>60123.0</v>
      </c>
      <c r="Y2119" s="1" t="s">
        <v>19910</v>
      </c>
      <c r="Z2119" s="1">
        <v>1999.0</v>
      </c>
      <c r="AA2119" s="1" t="s">
        <v>200</v>
      </c>
      <c r="AB2119" s="1" t="s">
        <v>467</v>
      </c>
      <c r="AC2119" s="1" t="s">
        <v>8071</v>
      </c>
      <c r="AD2119" s="1" t="s">
        <v>469</v>
      </c>
      <c r="AE2119" s="1" t="s">
        <v>325</v>
      </c>
      <c r="AF2119" s="1" t="s">
        <v>469</v>
      </c>
      <c r="AH2119" s="1" t="s">
        <v>19911</v>
      </c>
      <c r="AI2119" s="1">
        <v>0.0</v>
      </c>
      <c r="AK2119" s="1">
        <v>11.0</v>
      </c>
      <c r="AL2119" s="1">
        <v>4.0</v>
      </c>
      <c r="AM2119" s="1">
        <v>2.0</v>
      </c>
      <c r="AN2119" s="1">
        <v>1.0</v>
      </c>
      <c r="AO2119" s="1" t="s">
        <v>198</v>
      </c>
      <c r="AP2119" s="1">
        <v>1.0</v>
      </c>
      <c r="AQ2119" s="1" t="s">
        <v>198</v>
      </c>
      <c r="AR2119" s="1" t="s">
        <v>200</v>
      </c>
      <c r="AS2119" s="1" t="s">
        <v>199</v>
      </c>
      <c r="AT2119" s="1">
        <v>2.0</v>
      </c>
      <c r="AV2119" s="1" t="s">
        <v>200</v>
      </c>
      <c r="AW2119" s="1">
        <v>6696.14</v>
      </c>
      <c r="AX2119" s="1">
        <v>2013.0</v>
      </c>
      <c r="AZ2119" s="1" t="s">
        <v>200</v>
      </c>
      <c r="BA2119" s="1" t="str">
        <f>"0628456001"</f>
        <v>0628456001</v>
      </c>
      <c r="BC2119" s="1">
        <v>2493.0</v>
      </c>
      <c r="BD2119" s="1">
        <v>236000.0</v>
      </c>
      <c r="BE2119" s="2">
        <v>41906.0</v>
      </c>
      <c r="BF2119" s="2" t="s">
        <v>19912</v>
      </c>
      <c r="BH2119" s="1">
        <v>135.0</v>
      </c>
      <c r="BK2119" s="1" t="s">
        <v>580</v>
      </c>
      <c r="BL2119" s="1" t="str">
        <f>"8"</f>
        <v>8</v>
      </c>
      <c r="BM2119" s="1" t="str">
        <f t="shared" si="1385"/>
        <v>0</v>
      </c>
      <c r="BN2119" s="1">
        <v>36.0</v>
      </c>
      <c r="BO2119" s="1">
        <v>0.0</v>
      </c>
      <c r="BQ2119" s="1">
        <v>46.0</v>
      </c>
      <c r="BR2119" s="1">
        <v>46.0</v>
      </c>
      <c r="BS2119" s="1">
        <v>46.0</v>
      </c>
      <c r="BU2119" s="1" t="s">
        <v>1417</v>
      </c>
      <c r="BV2119" s="1" t="s">
        <v>206</v>
      </c>
      <c r="BY2119" s="1" t="s">
        <v>677</v>
      </c>
      <c r="BZ2119" s="1" t="s">
        <v>209</v>
      </c>
      <c r="CC2119" s="1" t="s">
        <v>302</v>
      </c>
      <c r="CD2119" s="1" t="s">
        <v>206</v>
      </c>
      <c r="CG2119" s="1" t="s">
        <v>663</v>
      </c>
      <c r="CH2119" s="1" t="s">
        <v>209</v>
      </c>
      <c r="CK2119" s="1" t="s">
        <v>302</v>
      </c>
      <c r="CL2119" s="1" t="s">
        <v>209</v>
      </c>
      <c r="CO2119" s="1" t="s">
        <v>495</v>
      </c>
      <c r="CP2119" s="1" t="s">
        <v>209</v>
      </c>
      <c r="CS2119" s="1" t="s">
        <v>699</v>
      </c>
      <c r="CT2119" s="1" t="s">
        <v>206</v>
      </c>
      <c r="CW2119" s="1" t="s">
        <v>2120</v>
      </c>
      <c r="CX2119" s="1" t="s">
        <v>206</v>
      </c>
      <c r="DA2119" s="1" t="s">
        <v>200</v>
      </c>
      <c r="DC2119" s="1" t="s">
        <v>335</v>
      </c>
      <c r="DD2119" s="1" t="s">
        <v>336</v>
      </c>
      <c r="DE2119" s="1" t="s">
        <v>273</v>
      </c>
      <c r="DF2119" s="1" t="s">
        <v>219</v>
      </c>
      <c r="DG2119" s="1" t="s">
        <v>337</v>
      </c>
      <c r="DH2119" s="1" t="s">
        <v>220</v>
      </c>
      <c r="DJ2119" s="1" t="s">
        <v>222</v>
      </c>
      <c r="DK2119" s="1" t="s">
        <v>223</v>
      </c>
      <c r="DL2119" s="1" t="s">
        <v>224</v>
      </c>
      <c r="DM2119" s="1" t="s">
        <v>229</v>
      </c>
      <c r="DN2119" s="1" t="s">
        <v>548</v>
      </c>
      <c r="DO2119" s="1" t="s">
        <v>440</v>
      </c>
      <c r="DP2119" s="1" t="s">
        <v>340</v>
      </c>
      <c r="DQ2119" s="1" t="s">
        <v>228</v>
      </c>
      <c r="DR2119" s="1" t="s">
        <v>588</v>
      </c>
      <c r="DV2119" s="1" t="s">
        <v>19913</v>
      </c>
      <c r="DW2119" s="1" t="s">
        <v>279</v>
      </c>
      <c r="DX2119" s="1" t="s">
        <v>234</v>
      </c>
      <c r="DY2119" s="1" t="s">
        <v>6179</v>
      </c>
      <c r="DZ2119" s="1" t="s">
        <v>282</v>
      </c>
      <c r="EA2119" s="1" t="s">
        <v>1027</v>
      </c>
      <c r="EB2119" s="1" t="s">
        <v>937</v>
      </c>
      <c r="EC2119" s="1" t="s">
        <v>237</v>
      </c>
      <c r="EG2119" s="1" t="s">
        <v>494</v>
      </c>
      <c r="EH2119" s="1" t="s">
        <v>449</v>
      </c>
      <c r="EI2119" s="1" t="s">
        <v>408</v>
      </c>
      <c r="EJ2119" s="1" t="s">
        <v>1432</v>
      </c>
      <c r="EL2119" s="1" t="s">
        <v>302</v>
      </c>
      <c r="EM2119" s="1" t="s">
        <v>206</v>
      </c>
      <c r="EP2119" s="1" t="s">
        <v>7133</v>
      </c>
      <c r="EQ2119" s="1" t="s">
        <v>206</v>
      </c>
      <c r="ET2119" s="1" t="s">
        <v>496</v>
      </c>
      <c r="EU2119" s="1" t="s">
        <v>206</v>
      </c>
      <c r="EX2119" s="1" t="s">
        <v>304</v>
      </c>
      <c r="EY2119" s="1" t="s">
        <v>42</v>
      </c>
      <c r="FC2119" s="1" t="s">
        <v>238</v>
      </c>
      <c r="FF2119" s="1" t="s">
        <v>239</v>
      </c>
      <c r="FG2119" s="1" t="s">
        <v>192</v>
      </c>
      <c r="FH2119" s="1" t="s">
        <v>192</v>
      </c>
      <c r="FJ2119" s="1" t="s">
        <v>770</v>
      </c>
      <c r="FK2119" s="1" t="s">
        <v>229</v>
      </c>
      <c r="FL2119" s="1" t="s">
        <v>3433</v>
      </c>
      <c r="FM2119" s="1">
        <v>5293.0</v>
      </c>
      <c r="FN2119" s="1" t="s">
        <v>3434</v>
      </c>
      <c r="FO2119" s="1" t="s">
        <v>3435</v>
      </c>
      <c r="FP2119" s="1">
        <v>53957.0</v>
      </c>
      <c r="FU2119" s="1" t="s">
        <v>2697</v>
      </c>
      <c r="FV2119" s="1" t="s">
        <v>200</v>
      </c>
      <c r="FW2119" s="1" t="s">
        <v>290</v>
      </c>
      <c r="FZ2119" s="1" t="s">
        <v>229</v>
      </c>
      <c r="GA2119" s="1" t="s">
        <v>291</v>
      </c>
      <c r="GB2119" s="2">
        <v>42030.0</v>
      </c>
      <c r="GC2119" s="1" t="s">
        <v>19914</v>
      </c>
    </row>
    <row r="2120">
      <c r="A2120" s="1">
        <v>579900.0</v>
      </c>
      <c r="B2120" s="1" t="s">
        <v>185</v>
      </c>
      <c r="C2120" s="1" t="str">
        <f>"08740447"</f>
        <v>08740447</v>
      </c>
      <c r="D2120" s="1" t="s">
        <v>186</v>
      </c>
      <c r="F2120" s="1" t="str">
        <f>"8024"</f>
        <v>8024</v>
      </c>
      <c r="G2120" s="2">
        <v>41911.0</v>
      </c>
      <c r="H2120" s="1">
        <v>599900.0</v>
      </c>
      <c r="I2120" s="1">
        <v>137.0</v>
      </c>
      <c r="J2120" s="1">
        <v>579900.0</v>
      </c>
      <c r="K2120" s="2">
        <v>42047.0</v>
      </c>
      <c r="L2120" s="1">
        <v>137.0</v>
      </c>
      <c r="M2120" s="2">
        <v>42047.0</v>
      </c>
      <c r="N2120" s="1" t="s">
        <v>187</v>
      </c>
      <c r="O2120" s="2">
        <v>42103.0</v>
      </c>
      <c r="P2120" s="1">
        <v>170067.0</v>
      </c>
      <c r="Q2120" s="1">
        <v>10900.0</v>
      </c>
      <c r="S2120" s="1">
        <v>1642.0</v>
      </c>
      <c r="T2120" s="1" t="s">
        <v>11751</v>
      </c>
      <c r="U2120" s="1" t="s">
        <v>320</v>
      </c>
      <c r="V2120" s="1" t="s">
        <v>190</v>
      </c>
      <c r="W2120" s="1">
        <v>60647.0</v>
      </c>
      <c r="Y2120" s="1" t="s">
        <v>16156</v>
      </c>
      <c r="Z2120" s="1">
        <v>2014.0</v>
      </c>
      <c r="AA2120" s="1" t="s">
        <v>200</v>
      </c>
      <c r="AB2120" s="1" t="s">
        <v>193</v>
      </c>
      <c r="AD2120" s="1" t="s">
        <v>194</v>
      </c>
      <c r="AE2120" s="1" t="s">
        <v>195</v>
      </c>
      <c r="AF2120" s="1" t="s">
        <v>2645</v>
      </c>
      <c r="AH2120" s="1" t="s">
        <v>10238</v>
      </c>
      <c r="AK2120" s="1">
        <v>10.0</v>
      </c>
      <c r="AL2120" s="1">
        <v>4.0</v>
      </c>
      <c r="AM2120" s="1">
        <v>3.0</v>
      </c>
      <c r="AN2120" s="1">
        <v>1.0</v>
      </c>
      <c r="AO2120" s="1" t="s">
        <v>198</v>
      </c>
      <c r="AP2120" s="1">
        <v>1.0</v>
      </c>
      <c r="AQ2120" s="1" t="s">
        <v>472</v>
      </c>
      <c r="AR2120" s="1" t="s">
        <v>192</v>
      </c>
      <c r="AS2120" s="1" t="s">
        <v>199</v>
      </c>
      <c r="AT2120" s="1">
        <v>2.0</v>
      </c>
      <c r="AV2120" s="1" t="s">
        <v>200</v>
      </c>
      <c r="AW2120" s="1" t="s">
        <v>575</v>
      </c>
      <c r="AX2120" s="1">
        <v>2012.0</v>
      </c>
      <c r="AZ2120" s="1" t="s">
        <v>200</v>
      </c>
      <c r="BA2120" s="1" t="str">
        <f>"13363280240000"</f>
        <v>13363280240000</v>
      </c>
      <c r="BC2120" s="1">
        <v>3000.0</v>
      </c>
      <c r="BD2120" s="1">
        <v>579900.0</v>
      </c>
      <c r="BE2120" s="2">
        <v>41911.0</v>
      </c>
      <c r="BF2120" s="2" t="s">
        <v>16157</v>
      </c>
      <c r="BH2120" s="1">
        <v>0.0</v>
      </c>
      <c r="BK2120" s="1" t="s">
        <v>204</v>
      </c>
      <c r="BL2120" s="1" t="str">
        <f>"1640"</f>
        <v>1640</v>
      </c>
      <c r="BM2120" s="1" t="str">
        <f t="shared" si="1385"/>
        <v>0</v>
      </c>
      <c r="BN2120" s="1">
        <v>3000.0</v>
      </c>
      <c r="BO2120" s="1">
        <v>0.0</v>
      </c>
      <c r="BQ2120" s="1">
        <v>299.0</v>
      </c>
      <c r="BR2120" s="1">
        <v>299.0</v>
      </c>
      <c r="BS2120" s="1">
        <v>299.0</v>
      </c>
      <c r="BU2120" s="1" t="s">
        <v>515</v>
      </c>
      <c r="BV2120" s="1" t="s">
        <v>206</v>
      </c>
      <c r="BW2120" s="1" t="s">
        <v>207</v>
      </c>
      <c r="BY2120" s="1" t="s">
        <v>758</v>
      </c>
      <c r="BZ2120" s="1" t="s">
        <v>209</v>
      </c>
      <c r="CA2120" s="1" t="s">
        <v>207</v>
      </c>
      <c r="CC2120" s="1" t="s">
        <v>542</v>
      </c>
      <c r="CD2120" s="1" t="s">
        <v>206</v>
      </c>
      <c r="CE2120" s="1" t="s">
        <v>207</v>
      </c>
      <c r="CG2120" s="1" t="s">
        <v>495</v>
      </c>
      <c r="CH2120" s="1" t="s">
        <v>209</v>
      </c>
      <c r="CI2120" s="1" t="s">
        <v>207</v>
      </c>
      <c r="CK2120" s="1" t="s">
        <v>392</v>
      </c>
      <c r="CL2120" s="1" t="s">
        <v>209</v>
      </c>
      <c r="CM2120" s="1" t="s">
        <v>207</v>
      </c>
      <c r="CO2120" s="1" t="s">
        <v>331</v>
      </c>
      <c r="CP2120" s="1" t="s">
        <v>267</v>
      </c>
      <c r="CQ2120" s="1" t="s">
        <v>210</v>
      </c>
      <c r="CS2120" s="1" t="s">
        <v>640</v>
      </c>
      <c r="CT2120" s="1" t="s">
        <v>206</v>
      </c>
      <c r="CU2120" s="1" t="s">
        <v>207</v>
      </c>
      <c r="CW2120" s="1" t="s">
        <v>784</v>
      </c>
      <c r="CX2120" s="1" t="s">
        <v>206</v>
      </c>
      <c r="CY2120" s="1" t="s">
        <v>207</v>
      </c>
      <c r="DA2120" s="1" t="s">
        <v>192</v>
      </c>
      <c r="DB2120" s="2">
        <v>41922.0</v>
      </c>
      <c r="DC2120" s="1" t="s">
        <v>744</v>
      </c>
      <c r="DD2120" s="1" t="s">
        <v>759</v>
      </c>
      <c r="DE2120" s="1" t="s">
        <v>273</v>
      </c>
      <c r="DF2120" s="1" t="s">
        <v>619</v>
      </c>
      <c r="DH2120" s="1" t="s">
        <v>220</v>
      </c>
      <c r="DI2120" s="1" t="s">
        <v>1096</v>
      </c>
      <c r="DJ2120" s="1" t="s">
        <v>222</v>
      </c>
      <c r="DL2120" s="1" t="s">
        <v>224</v>
      </c>
      <c r="DM2120" s="1" t="s">
        <v>229</v>
      </c>
      <c r="DN2120" s="1" t="s">
        <v>548</v>
      </c>
      <c r="DP2120" s="1" t="s">
        <v>276</v>
      </c>
      <c r="DQ2120" s="1" t="s">
        <v>228</v>
      </c>
      <c r="DR2120" s="1" t="s">
        <v>229</v>
      </c>
      <c r="DS2120" s="1" t="s">
        <v>368</v>
      </c>
      <c r="DU2120" s="1" t="s">
        <v>16158</v>
      </c>
      <c r="DV2120" s="1" t="s">
        <v>13552</v>
      </c>
      <c r="DW2120" s="1" t="s">
        <v>934</v>
      </c>
      <c r="DX2120" s="1" t="s">
        <v>234</v>
      </c>
      <c r="DY2120" s="1" t="s">
        <v>2972</v>
      </c>
      <c r="DZ2120" s="1" t="s">
        <v>310</v>
      </c>
      <c r="EA2120" s="1" t="s">
        <v>1027</v>
      </c>
      <c r="EC2120" s="1" t="s">
        <v>237</v>
      </c>
      <c r="ED2120" s="1" t="s">
        <v>555</v>
      </c>
      <c r="EG2120" s="1" t="s">
        <v>450</v>
      </c>
      <c r="EH2120" s="1" t="s">
        <v>2023</v>
      </c>
      <c r="EI2120" s="1" t="s">
        <v>310</v>
      </c>
      <c r="EL2120" s="1" t="s">
        <v>208</v>
      </c>
      <c r="EM2120" s="1" t="s">
        <v>267</v>
      </c>
      <c r="EN2120" s="1" t="s">
        <v>210</v>
      </c>
      <c r="EP2120" s="1" t="s">
        <v>331</v>
      </c>
      <c r="EQ2120" s="1" t="s">
        <v>267</v>
      </c>
      <c r="ER2120" s="1" t="s">
        <v>210</v>
      </c>
      <c r="ET2120" s="1" t="s">
        <v>1382</v>
      </c>
      <c r="EU2120" s="1" t="s">
        <v>206</v>
      </c>
      <c r="EV2120" s="1" t="s">
        <v>207</v>
      </c>
      <c r="EY2120" s="1" t="s">
        <v>238</v>
      </c>
      <c r="FC2120" s="1" t="s">
        <v>238</v>
      </c>
      <c r="FF2120" s="1" t="s">
        <v>239</v>
      </c>
      <c r="FG2120" s="1" t="s">
        <v>192</v>
      </c>
      <c r="FH2120" s="1" t="s">
        <v>192</v>
      </c>
      <c r="FJ2120" s="1" t="s">
        <v>733</v>
      </c>
      <c r="FK2120" s="1" t="s">
        <v>229</v>
      </c>
      <c r="FL2120" s="1" t="s">
        <v>1358</v>
      </c>
      <c r="FM2120" s="1">
        <v>12660.0</v>
      </c>
      <c r="FN2120" s="1" t="s">
        <v>12766</v>
      </c>
      <c r="FO2120" s="1" t="s">
        <v>12767</v>
      </c>
      <c r="FP2120" s="1">
        <v>174062.0</v>
      </c>
      <c r="FQ2120" s="1" t="s">
        <v>12768</v>
      </c>
      <c r="FS2120" s="1" t="s">
        <v>12769</v>
      </c>
      <c r="FU2120" s="1" t="s">
        <v>19915</v>
      </c>
      <c r="FV2120" s="1" t="s">
        <v>200</v>
      </c>
      <c r="FW2120" s="1" t="s">
        <v>530</v>
      </c>
      <c r="FX2120" s="1" t="s">
        <v>238</v>
      </c>
      <c r="FZ2120" s="1" t="s">
        <v>229</v>
      </c>
      <c r="GA2120" s="1" t="s">
        <v>291</v>
      </c>
      <c r="GB2120" s="2">
        <v>42103.0</v>
      </c>
      <c r="GC2120" s="1" t="s">
        <v>19916</v>
      </c>
    </row>
    <row r="2121">
      <c r="A2121" s="1">
        <v>240000.0</v>
      </c>
      <c r="B2121" s="1" t="s">
        <v>185</v>
      </c>
      <c r="C2121" s="1" t="str">
        <f>"08739880"</f>
        <v>08739880</v>
      </c>
      <c r="D2121" s="1" t="s">
        <v>186</v>
      </c>
      <c r="F2121" s="1" t="str">
        <f>"119"</f>
        <v>119</v>
      </c>
      <c r="G2121" s="2">
        <v>41911.0</v>
      </c>
      <c r="H2121" s="1">
        <v>279900.0</v>
      </c>
      <c r="I2121" s="1">
        <v>183.0</v>
      </c>
      <c r="J2121" s="1">
        <v>279900.0</v>
      </c>
      <c r="K2121" s="2">
        <v>42093.0</v>
      </c>
      <c r="L2121" s="1">
        <v>183.0</v>
      </c>
      <c r="M2121" s="2">
        <v>42093.0</v>
      </c>
      <c r="N2121" s="1" t="s">
        <v>187</v>
      </c>
      <c r="O2121" s="2">
        <v>42107.0</v>
      </c>
      <c r="P2121" s="1">
        <v>868444.0</v>
      </c>
      <c r="Q2121" s="1">
        <v>14470.0</v>
      </c>
      <c r="S2121" s="1">
        <v>276.0</v>
      </c>
      <c r="T2121" s="1" t="s">
        <v>19917</v>
      </c>
      <c r="U2121" s="1" t="s">
        <v>569</v>
      </c>
      <c r="V2121" s="1" t="s">
        <v>1476</v>
      </c>
      <c r="W2121" s="1">
        <v>60119.0</v>
      </c>
      <c r="Y2121" s="1" t="s">
        <v>19918</v>
      </c>
      <c r="Z2121" s="1">
        <v>2002.0</v>
      </c>
      <c r="AA2121" s="1" t="s">
        <v>200</v>
      </c>
      <c r="AB2121" s="1" t="s">
        <v>193</v>
      </c>
      <c r="AC2121" s="1" t="s">
        <v>19919</v>
      </c>
      <c r="AD2121" s="1" t="s">
        <v>1478</v>
      </c>
      <c r="AE2121" s="1" t="s">
        <v>325</v>
      </c>
      <c r="AF2121" s="1" t="s">
        <v>1479</v>
      </c>
      <c r="AH2121" s="1" t="s">
        <v>14011</v>
      </c>
      <c r="AI2121" s="1">
        <v>0.2324</v>
      </c>
      <c r="AK2121" s="1">
        <v>9.0</v>
      </c>
      <c r="AL2121" s="1">
        <v>4.0</v>
      </c>
      <c r="AM2121" s="1">
        <v>3.0</v>
      </c>
      <c r="AN2121" s="1">
        <v>1.0</v>
      </c>
      <c r="AO2121" s="1" t="s">
        <v>198</v>
      </c>
      <c r="AP2121" s="1">
        <v>1.0</v>
      </c>
      <c r="AQ2121" s="1" t="s">
        <v>198</v>
      </c>
      <c r="AR2121" s="1" t="s">
        <v>200</v>
      </c>
      <c r="AS2121" s="1" t="s">
        <v>199</v>
      </c>
      <c r="AT2121" s="1">
        <v>2.0</v>
      </c>
      <c r="AV2121" s="1" t="s">
        <v>200</v>
      </c>
      <c r="AW2121" s="1">
        <v>8077.0</v>
      </c>
      <c r="AX2121" s="1">
        <v>2012.0</v>
      </c>
      <c r="AY2121" s="1" t="s">
        <v>229</v>
      </c>
      <c r="AZ2121" s="1" t="s">
        <v>545</v>
      </c>
      <c r="BA2121" s="1" t="str">
        <f>"0832152016"</f>
        <v>0832152016</v>
      </c>
      <c r="BC2121" s="1">
        <v>0.0</v>
      </c>
      <c r="BD2121" s="1">
        <v>240000.0</v>
      </c>
      <c r="BE2121" s="2">
        <v>41911.0</v>
      </c>
      <c r="BF2121" s="1" t="s">
        <v>19920</v>
      </c>
      <c r="BH2121" s="1">
        <v>0.0</v>
      </c>
      <c r="BK2121" s="1" t="s">
        <v>204</v>
      </c>
      <c r="BL2121" s="1" t="str">
        <f t="shared" ref="BL2121:BM2121" si="1386">""</f>
        <v/>
      </c>
      <c r="BM2121" s="1" t="str">
        <f t="shared" si="1386"/>
        <v/>
      </c>
      <c r="BQ2121" s="1">
        <v>302.0</v>
      </c>
      <c r="BR2121" s="1">
        <v>302.0</v>
      </c>
      <c r="BS2121" s="1">
        <v>302.0</v>
      </c>
      <c r="BU2121" s="1" t="s">
        <v>758</v>
      </c>
      <c r="BV2121" s="1" t="s">
        <v>206</v>
      </c>
      <c r="BW2121" s="1" t="s">
        <v>210</v>
      </c>
      <c r="BX2121" s="1" t="s">
        <v>229</v>
      </c>
      <c r="BY2121" s="1" t="s">
        <v>214</v>
      </c>
      <c r="BZ2121" s="1" t="s">
        <v>209</v>
      </c>
      <c r="CA2121" s="1" t="s">
        <v>210</v>
      </c>
      <c r="CB2121" s="1" t="s">
        <v>229</v>
      </c>
      <c r="CC2121" s="1" t="s">
        <v>332</v>
      </c>
      <c r="CD2121" s="1" t="s">
        <v>206</v>
      </c>
      <c r="CE2121" s="1" t="s">
        <v>207</v>
      </c>
      <c r="CF2121" s="1" t="s">
        <v>229</v>
      </c>
      <c r="CG2121" s="1" t="s">
        <v>212</v>
      </c>
      <c r="CH2121" s="1" t="s">
        <v>209</v>
      </c>
      <c r="CI2121" s="1" t="s">
        <v>210</v>
      </c>
      <c r="CJ2121" s="1" t="s">
        <v>229</v>
      </c>
      <c r="CK2121" s="1" t="s">
        <v>212</v>
      </c>
      <c r="CL2121" s="1" t="s">
        <v>209</v>
      </c>
      <c r="CM2121" s="1" t="s">
        <v>210</v>
      </c>
      <c r="CN2121" s="1" t="s">
        <v>229</v>
      </c>
      <c r="CO2121" s="1" t="s">
        <v>495</v>
      </c>
      <c r="CP2121" s="1" t="s">
        <v>209</v>
      </c>
      <c r="CQ2121" s="1" t="s">
        <v>210</v>
      </c>
      <c r="CR2121" s="1" t="s">
        <v>229</v>
      </c>
      <c r="CS2121" s="1" t="s">
        <v>1892</v>
      </c>
      <c r="CT2121" s="1" t="s">
        <v>206</v>
      </c>
      <c r="CU2121" s="1" t="s">
        <v>207</v>
      </c>
      <c r="CV2121" s="1" t="s">
        <v>229</v>
      </c>
      <c r="CW2121" s="1" t="s">
        <v>544</v>
      </c>
      <c r="CX2121" s="1" t="s">
        <v>206</v>
      </c>
      <c r="CY2121" s="1" t="s">
        <v>210</v>
      </c>
      <c r="CZ2121" s="1" t="s">
        <v>229</v>
      </c>
      <c r="DA2121" s="1" t="s">
        <v>200</v>
      </c>
      <c r="DC2121" s="1" t="s">
        <v>335</v>
      </c>
      <c r="DD2121" s="1" t="s">
        <v>518</v>
      </c>
      <c r="DE2121" s="1" t="s">
        <v>273</v>
      </c>
      <c r="DF2121" s="1" t="s">
        <v>219</v>
      </c>
      <c r="DH2121" s="1" t="s">
        <v>220</v>
      </c>
      <c r="DJ2121" s="1" t="s">
        <v>222</v>
      </c>
      <c r="DL2121" s="1" t="s">
        <v>858</v>
      </c>
      <c r="DM2121" s="1" t="s">
        <v>229</v>
      </c>
      <c r="DN2121" s="1" t="s">
        <v>399</v>
      </c>
      <c r="DP2121" s="1" t="s">
        <v>400</v>
      </c>
      <c r="DQ2121" s="1" t="s">
        <v>441</v>
      </c>
      <c r="DR2121" s="1" t="s">
        <v>229</v>
      </c>
      <c r="DV2121" s="1" t="s">
        <v>450</v>
      </c>
      <c r="DW2121" s="1" t="s">
        <v>444</v>
      </c>
      <c r="DX2121" s="1" t="s">
        <v>234</v>
      </c>
      <c r="DY2121" s="1" t="s">
        <v>1006</v>
      </c>
      <c r="DZ2121" s="1" t="s">
        <v>310</v>
      </c>
      <c r="EA2121" s="1" t="s">
        <v>447</v>
      </c>
      <c r="EC2121" s="1" t="s">
        <v>237</v>
      </c>
      <c r="ED2121" s="1" t="s">
        <v>555</v>
      </c>
      <c r="EG2121" s="1" t="s">
        <v>450</v>
      </c>
      <c r="EL2121" s="1" t="s">
        <v>19921</v>
      </c>
      <c r="EM2121" s="1" t="s">
        <v>42</v>
      </c>
      <c r="EN2121" s="1" t="s">
        <v>210</v>
      </c>
      <c r="EO2121" s="1" t="s">
        <v>229</v>
      </c>
      <c r="EQ2121" s="1" t="s">
        <v>238</v>
      </c>
      <c r="EU2121" s="1" t="s">
        <v>238</v>
      </c>
      <c r="EY2121" s="1" t="s">
        <v>238</v>
      </c>
      <c r="FC2121" s="1" t="s">
        <v>238</v>
      </c>
      <c r="FF2121" s="1" t="s">
        <v>239</v>
      </c>
      <c r="FG2121" s="1" t="s">
        <v>192</v>
      </c>
      <c r="FH2121" s="1" t="s">
        <v>192</v>
      </c>
      <c r="FJ2121" s="1" t="s">
        <v>19922</v>
      </c>
      <c r="FK2121" s="1" t="s">
        <v>229</v>
      </c>
      <c r="FL2121" s="1" t="s">
        <v>5704</v>
      </c>
      <c r="FM2121" s="1">
        <v>22616.0</v>
      </c>
      <c r="FN2121" s="1" t="s">
        <v>5705</v>
      </c>
      <c r="FO2121" s="1" t="s">
        <v>19923</v>
      </c>
      <c r="FP2121" s="1">
        <v>601951.0</v>
      </c>
      <c r="FQ2121" s="1" t="s">
        <v>19924</v>
      </c>
      <c r="FU2121" s="1" t="s">
        <v>19925</v>
      </c>
      <c r="FV2121" s="1" t="s">
        <v>200</v>
      </c>
      <c r="FW2121" s="1" t="s">
        <v>1293</v>
      </c>
      <c r="FZ2121" s="1" t="s">
        <v>229</v>
      </c>
      <c r="GA2121" s="1" t="s">
        <v>291</v>
      </c>
      <c r="GB2121" s="2">
        <v>42108.0</v>
      </c>
      <c r="GC2121" s="1" t="s">
        <v>19926</v>
      </c>
    </row>
    <row r="2122">
      <c r="A2122" s="1">
        <v>420000.0</v>
      </c>
      <c r="B2122" s="1" t="s">
        <v>185</v>
      </c>
      <c r="C2122" s="1" t="str">
        <f>"08738787"</f>
        <v>08738787</v>
      </c>
      <c r="D2122" s="1" t="s">
        <v>186</v>
      </c>
      <c r="F2122" s="1" t="str">
        <f t="shared" ref="F2122:F2124" si="1388">"560"</f>
        <v>560</v>
      </c>
      <c r="G2122" s="2">
        <v>41908.0</v>
      </c>
      <c r="H2122" s="1">
        <v>449900.0</v>
      </c>
      <c r="I2122" s="1">
        <v>182.0</v>
      </c>
      <c r="J2122" s="1">
        <v>437500.0</v>
      </c>
      <c r="K2122" s="2">
        <v>42087.0</v>
      </c>
      <c r="L2122" s="1">
        <v>182.0</v>
      </c>
      <c r="M2122" s="2">
        <v>42087.0</v>
      </c>
      <c r="N2122" s="1" t="s">
        <v>187</v>
      </c>
      <c r="O2122" s="2">
        <v>42118.0</v>
      </c>
      <c r="P2122" s="1">
        <v>235024.0</v>
      </c>
      <c r="Q2122" s="1">
        <v>23120.0</v>
      </c>
      <c r="S2122" s="1">
        <v>35.0</v>
      </c>
      <c r="T2122" s="1" t="s">
        <v>19927</v>
      </c>
      <c r="U2122" s="1" t="s">
        <v>420</v>
      </c>
      <c r="V2122" s="1" t="s">
        <v>845</v>
      </c>
      <c r="W2122" s="1">
        <v>60560.0</v>
      </c>
      <c r="Y2122" s="1" t="s">
        <v>19928</v>
      </c>
      <c r="Z2122" s="1">
        <v>1986.0</v>
      </c>
      <c r="AA2122" s="1" t="s">
        <v>200</v>
      </c>
      <c r="AB2122" s="1" t="s">
        <v>193</v>
      </c>
      <c r="AC2122" s="1" t="s">
        <v>1770</v>
      </c>
      <c r="AD2122" s="1" t="s">
        <v>1089</v>
      </c>
      <c r="AE2122" s="1" t="s">
        <v>849</v>
      </c>
      <c r="AF2122" s="1" t="s">
        <v>1529</v>
      </c>
      <c r="AH2122" s="1" t="s">
        <v>19929</v>
      </c>
      <c r="AI2122" s="1">
        <v>2.5</v>
      </c>
      <c r="AK2122" s="1">
        <v>11.0</v>
      </c>
      <c r="AL2122" s="1">
        <v>4.0</v>
      </c>
      <c r="AM2122" s="1">
        <v>3.0</v>
      </c>
      <c r="AN2122" s="1">
        <v>1.0</v>
      </c>
      <c r="AO2122" s="1" t="s">
        <v>198</v>
      </c>
      <c r="AP2122" s="1">
        <v>2.0</v>
      </c>
      <c r="AQ2122" s="1" t="s">
        <v>327</v>
      </c>
      <c r="AR2122" s="1" t="s">
        <v>192</v>
      </c>
      <c r="AS2122" s="1" t="s">
        <v>510</v>
      </c>
      <c r="AT2122" s="1">
        <v>3.0</v>
      </c>
      <c r="AU2122" s="1">
        <v>6.0</v>
      </c>
      <c r="AV2122" s="1" t="s">
        <v>192</v>
      </c>
      <c r="AW2122" s="1">
        <v>13278.42</v>
      </c>
      <c r="AX2122" s="1">
        <v>2013.0</v>
      </c>
      <c r="AY2122" s="1" t="s">
        <v>387</v>
      </c>
      <c r="AZ2122" s="1" t="s">
        <v>200</v>
      </c>
      <c r="BA2122" s="1" t="str">
        <f>"0343201004"</f>
        <v>0343201004</v>
      </c>
      <c r="BB2122" s="1" t="s">
        <v>192</v>
      </c>
      <c r="BC2122" s="1">
        <v>3680.0</v>
      </c>
      <c r="BD2122" s="1">
        <v>420000.0</v>
      </c>
      <c r="BE2122" s="2">
        <v>41906.0</v>
      </c>
      <c r="BF2122" s="2" t="s">
        <v>19930</v>
      </c>
      <c r="BH2122" s="1">
        <v>192.0</v>
      </c>
      <c r="BK2122" s="1" t="s">
        <v>1952</v>
      </c>
      <c r="BL2122" s="1" t="str">
        <f t="shared" ref="BL2122:BM2122" si="1387">"0"</f>
        <v>0</v>
      </c>
      <c r="BM2122" s="1" t="str">
        <f t="shared" si="1387"/>
        <v>0</v>
      </c>
      <c r="BN2122" s="1">
        <v>40.0</v>
      </c>
      <c r="BO2122" s="1">
        <v>14.0</v>
      </c>
      <c r="BQ2122" s="1">
        <v>115.0</v>
      </c>
      <c r="BR2122" s="1">
        <v>115.0</v>
      </c>
      <c r="BS2122" s="1">
        <v>115.0</v>
      </c>
      <c r="BU2122" s="1" t="s">
        <v>12927</v>
      </c>
      <c r="BV2122" s="1" t="s">
        <v>206</v>
      </c>
      <c r="BW2122" s="1" t="s">
        <v>207</v>
      </c>
      <c r="BX2122" s="1" t="s">
        <v>1549</v>
      </c>
      <c r="BY2122" s="1" t="s">
        <v>208</v>
      </c>
      <c r="BZ2122" s="1" t="s">
        <v>209</v>
      </c>
      <c r="CA2122" s="1" t="s">
        <v>207</v>
      </c>
      <c r="CB2122" s="1" t="s">
        <v>1549</v>
      </c>
      <c r="CC2122" s="1" t="s">
        <v>433</v>
      </c>
      <c r="CD2122" s="1" t="s">
        <v>206</v>
      </c>
      <c r="CE2122" s="1" t="s">
        <v>207</v>
      </c>
      <c r="CF2122" s="1" t="s">
        <v>229</v>
      </c>
      <c r="CG2122" s="1" t="s">
        <v>1426</v>
      </c>
      <c r="CH2122" s="1" t="s">
        <v>209</v>
      </c>
      <c r="CI2122" s="1" t="s">
        <v>210</v>
      </c>
      <c r="CJ2122" s="1" t="s">
        <v>431</v>
      </c>
      <c r="CK2122" s="1" t="s">
        <v>433</v>
      </c>
      <c r="CL2122" s="1" t="s">
        <v>209</v>
      </c>
      <c r="CM2122" s="1" t="s">
        <v>207</v>
      </c>
      <c r="CN2122" s="1" t="s">
        <v>431</v>
      </c>
      <c r="CO2122" s="1" t="s">
        <v>212</v>
      </c>
      <c r="CP2122" s="1" t="s">
        <v>209</v>
      </c>
      <c r="CQ2122" s="1" t="s">
        <v>207</v>
      </c>
      <c r="CR2122" s="1" t="s">
        <v>431</v>
      </c>
      <c r="CS2122" s="1" t="s">
        <v>1001</v>
      </c>
      <c r="CT2122" s="1" t="s">
        <v>206</v>
      </c>
      <c r="CU2122" s="1" t="s">
        <v>268</v>
      </c>
      <c r="CV2122" s="1" t="s">
        <v>431</v>
      </c>
      <c r="CW2122" s="1" t="s">
        <v>12927</v>
      </c>
      <c r="CX2122" s="1" t="s">
        <v>1697</v>
      </c>
      <c r="CY2122" s="1" t="s">
        <v>210</v>
      </c>
      <c r="CZ2122" s="1" t="s">
        <v>431</v>
      </c>
      <c r="DA2122" s="1" t="s">
        <v>200</v>
      </c>
      <c r="DC2122" s="1" t="s">
        <v>305</v>
      </c>
      <c r="DD2122" s="1" t="s">
        <v>217</v>
      </c>
      <c r="DE2122" s="1" t="s">
        <v>1810</v>
      </c>
      <c r="DF2122" s="1" t="s">
        <v>546</v>
      </c>
      <c r="DG2122" s="1" t="s">
        <v>1553</v>
      </c>
      <c r="DH2122" s="1" t="s">
        <v>1603</v>
      </c>
      <c r="DI2122" s="1" t="s">
        <v>5345</v>
      </c>
      <c r="DJ2122" s="1" t="s">
        <v>18269</v>
      </c>
      <c r="DK2122" s="1" t="s">
        <v>198</v>
      </c>
      <c r="DL2122" s="1" t="s">
        <v>1161</v>
      </c>
      <c r="DM2122" s="1" t="s">
        <v>338</v>
      </c>
      <c r="DN2122" s="1" t="s">
        <v>399</v>
      </c>
      <c r="DO2122" s="1" t="s">
        <v>19931</v>
      </c>
      <c r="DP2122" s="1" t="s">
        <v>340</v>
      </c>
      <c r="DQ2122" s="1" t="s">
        <v>860</v>
      </c>
      <c r="DR2122" s="1" t="s">
        <v>111</v>
      </c>
      <c r="DS2122" s="1" t="s">
        <v>368</v>
      </c>
      <c r="DU2122" s="1" t="s">
        <v>19932</v>
      </c>
      <c r="DV2122" s="1" t="s">
        <v>19933</v>
      </c>
      <c r="DW2122" s="1" t="s">
        <v>9127</v>
      </c>
      <c r="DX2122" s="1" t="s">
        <v>1287</v>
      </c>
      <c r="DY2122" s="1" t="s">
        <v>10903</v>
      </c>
      <c r="DZ2122" s="1" t="s">
        <v>7113</v>
      </c>
      <c r="EA2122" s="1" t="s">
        <v>1027</v>
      </c>
      <c r="EB2122" s="1" t="s">
        <v>767</v>
      </c>
      <c r="EC2122" s="1" t="s">
        <v>237</v>
      </c>
      <c r="ED2122" s="1" t="s">
        <v>407</v>
      </c>
      <c r="EE2122" s="1" t="s">
        <v>493</v>
      </c>
      <c r="EF2122" s="1" t="s">
        <v>523</v>
      </c>
      <c r="EG2122" s="1" t="s">
        <v>598</v>
      </c>
      <c r="EH2122" s="1" t="s">
        <v>1102</v>
      </c>
      <c r="EI2122" s="1" t="s">
        <v>1121</v>
      </c>
      <c r="EJ2122" s="1" t="s">
        <v>450</v>
      </c>
      <c r="EL2122" s="1" t="s">
        <v>454</v>
      </c>
      <c r="EM2122" s="1" t="s">
        <v>206</v>
      </c>
      <c r="EN2122" s="1" t="s">
        <v>207</v>
      </c>
      <c r="EO2122" s="1" t="s">
        <v>431</v>
      </c>
      <c r="EP2122" s="1" t="s">
        <v>582</v>
      </c>
      <c r="EQ2122" s="1" t="s">
        <v>206</v>
      </c>
      <c r="ER2122" s="1" t="s">
        <v>268</v>
      </c>
      <c r="ES2122" s="1" t="s">
        <v>229</v>
      </c>
      <c r="ET2122" s="1" t="s">
        <v>1939</v>
      </c>
      <c r="EU2122" s="1" t="s">
        <v>209</v>
      </c>
      <c r="EV2122" s="1" t="s">
        <v>207</v>
      </c>
      <c r="EX2122" s="1" t="s">
        <v>3539</v>
      </c>
      <c r="EY2122" s="1" t="s">
        <v>1697</v>
      </c>
      <c r="EZ2122" s="1" t="s">
        <v>210</v>
      </c>
      <c r="FA2122" s="1" t="s">
        <v>229</v>
      </c>
      <c r="FC2122" s="1" t="s">
        <v>238</v>
      </c>
      <c r="FF2122" s="1" t="s">
        <v>239</v>
      </c>
      <c r="FG2122" s="1" t="s">
        <v>192</v>
      </c>
      <c r="FH2122" s="1" t="s">
        <v>192</v>
      </c>
      <c r="FJ2122" s="1" t="s">
        <v>3613</v>
      </c>
      <c r="FK2122" s="1" t="s">
        <v>229</v>
      </c>
      <c r="FL2122" s="1" t="s">
        <v>1007</v>
      </c>
      <c r="FM2122" s="1">
        <v>23196.0</v>
      </c>
      <c r="FN2122" s="1" t="s">
        <v>3741</v>
      </c>
      <c r="FO2122" s="1" t="s">
        <v>6775</v>
      </c>
      <c r="FP2122" s="1">
        <v>233155.0</v>
      </c>
      <c r="FQ2122" s="1" t="s">
        <v>6776</v>
      </c>
      <c r="FR2122" s="1">
        <v>221629.0</v>
      </c>
      <c r="FS2122" s="1" t="s">
        <v>14216</v>
      </c>
      <c r="FU2122" s="1" t="s">
        <v>19934</v>
      </c>
      <c r="FV2122" s="1" t="s">
        <v>200</v>
      </c>
      <c r="FW2122" s="1" t="s">
        <v>2754</v>
      </c>
      <c r="FZ2122" s="1" t="s">
        <v>504</v>
      </c>
      <c r="GA2122" s="1" t="s">
        <v>291</v>
      </c>
      <c r="GB2122" s="2">
        <v>42118.0</v>
      </c>
      <c r="GC2122" s="1" t="s">
        <v>19935</v>
      </c>
    </row>
    <row r="2123">
      <c r="A2123" s="1">
        <v>290000.0</v>
      </c>
      <c r="B2123" s="1" t="s">
        <v>185</v>
      </c>
      <c r="C2123" s="1" t="str">
        <f>"08737698"</f>
        <v>08737698</v>
      </c>
      <c r="D2123" s="1" t="s">
        <v>186</v>
      </c>
      <c r="F2123" s="1" t="str">
        <f t="shared" si="1388"/>
        <v>560</v>
      </c>
      <c r="G2123" s="2">
        <v>41907.0</v>
      </c>
      <c r="H2123" s="1">
        <v>319000.0</v>
      </c>
      <c r="I2123" s="1">
        <v>153.0</v>
      </c>
      <c r="J2123" s="1">
        <v>299000.0</v>
      </c>
      <c r="K2123" s="2">
        <v>42059.0</v>
      </c>
      <c r="L2123" s="1">
        <v>153.0</v>
      </c>
      <c r="M2123" s="2">
        <v>42059.0</v>
      </c>
      <c r="N2123" s="1" t="s">
        <v>249</v>
      </c>
      <c r="O2123" s="2">
        <v>42104.0</v>
      </c>
      <c r="P2123" s="1">
        <v>232189.0</v>
      </c>
      <c r="Q2123" s="1">
        <v>25523.0</v>
      </c>
      <c r="S2123" s="1">
        <v>1081.0</v>
      </c>
      <c r="T2123" s="1" t="s">
        <v>19936</v>
      </c>
      <c r="U2123" s="1" t="s">
        <v>569</v>
      </c>
      <c r="V2123" s="1" t="s">
        <v>845</v>
      </c>
      <c r="W2123" s="1">
        <v>60560.0</v>
      </c>
      <c r="X2123" s="1">
        <v>2357.0</v>
      </c>
      <c r="Y2123" s="1" t="s">
        <v>19937</v>
      </c>
      <c r="Z2123" s="1">
        <v>2005.0</v>
      </c>
      <c r="AA2123" s="1" t="s">
        <v>200</v>
      </c>
      <c r="AB2123" s="1" t="s">
        <v>467</v>
      </c>
      <c r="AC2123" s="1" t="s">
        <v>19938</v>
      </c>
      <c r="AD2123" s="1" t="s">
        <v>848</v>
      </c>
      <c r="AE2123" s="1" t="s">
        <v>849</v>
      </c>
      <c r="AF2123" s="1" t="s">
        <v>1312</v>
      </c>
      <c r="AG2123" s="1" t="s">
        <v>19939</v>
      </c>
      <c r="AH2123" s="1" t="s">
        <v>19940</v>
      </c>
      <c r="AK2123" s="1">
        <v>8.0</v>
      </c>
      <c r="AL2123" s="1">
        <v>3.0</v>
      </c>
      <c r="AM2123" s="1">
        <v>3.0</v>
      </c>
      <c r="AN2123" s="1">
        <v>1.0</v>
      </c>
      <c r="AO2123" s="1" t="s">
        <v>198</v>
      </c>
      <c r="AP2123" s="1">
        <v>1.0</v>
      </c>
      <c r="AQ2123" s="1" t="s">
        <v>198</v>
      </c>
      <c r="AR2123" s="1" t="s">
        <v>192</v>
      </c>
      <c r="AS2123" s="1" t="s">
        <v>199</v>
      </c>
      <c r="AT2123" s="1">
        <v>3.0</v>
      </c>
      <c r="AV2123" s="1" t="s">
        <v>200</v>
      </c>
      <c r="AW2123" s="1">
        <v>8711.3</v>
      </c>
      <c r="AX2123" s="1">
        <v>2013.0</v>
      </c>
      <c r="AY2123" s="1" t="s">
        <v>387</v>
      </c>
      <c r="AZ2123" s="1" t="s">
        <v>200</v>
      </c>
      <c r="BA2123" s="1" t="str">
        <f>"0228435008"</f>
        <v>0228435008</v>
      </c>
      <c r="BB2123" s="1" t="s">
        <v>200</v>
      </c>
      <c r="BC2123" s="1">
        <v>2311.0</v>
      </c>
      <c r="BD2123" s="1">
        <v>290000.0</v>
      </c>
      <c r="BE2123" s="2">
        <v>41907.0</v>
      </c>
      <c r="BF2123" s="2" t="s">
        <v>19941</v>
      </c>
      <c r="BH2123" s="1">
        <v>250.0</v>
      </c>
      <c r="BK2123" s="1" t="s">
        <v>580</v>
      </c>
      <c r="BL2123" s="1" t="str">
        <f t="shared" ref="BL2123:BM2123" si="1389">""</f>
        <v/>
      </c>
      <c r="BM2123" s="1" t="str">
        <f t="shared" si="1389"/>
        <v/>
      </c>
      <c r="BQ2123" s="1">
        <v>115.0</v>
      </c>
      <c r="BR2123" s="1">
        <v>115.0</v>
      </c>
      <c r="BS2123" s="1">
        <v>115.0</v>
      </c>
      <c r="BV2123" s="1" t="s">
        <v>204</v>
      </c>
      <c r="BY2123" s="1" t="s">
        <v>213</v>
      </c>
      <c r="BZ2123" s="1" t="s">
        <v>206</v>
      </c>
      <c r="CA2123" s="1" t="s">
        <v>210</v>
      </c>
      <c r="CB2123" s="1" t="s">
        <v>261</v>
      </c>
      <c r="CC2123" s="1" t="s">
        <v>332</v>
      </c>
      <c r="CD2123" s="1" t="s">
        <v>206</v>
      </c>
      <c r="CE2123" s="1" t="s">
        <v>210</v>
      </c>
      <c r="CF2123" s="1" t="s">
        <v>431</v>
      </c>
      <c r="CG2123" s="1" t="s">
        <v>332</v>
      </c>
      <c r="CH2123" s="1" t="s">
        <v>206</v>
      </c>
      <c r="CI2123" s="1" t="s">
        <v>210</v>
      </c>
      <c r="CJ2123" s="1" t="s">
        <v>261</v>
      </c>
      <c r="CK2123" s="1" t="s">
        <v>212</v>
      </c>
      <c r="CL2123" s="1" t="s">
        <v>206</v>
      </c>
      <c r="CM2123" s="1" t="s">
        <v>210</v>
      </c>
      <c r="CN2123" s="1" t="s">
        <v>431</v>
      </c>
      <c r="CO2123" s="1" t="s">
        <v>743</v>
      </c>
      <c r="CP2123" s="1" t="s">
        <v>42</v>
      </c>
      <c r="CQ2123" s="1" t="s">
        <v>210</v>
      </c>
      <c r="CR2123" s="1" t="s">
        <v>431</v>
      </c>
      <c r="CS2123" s="1" t="s">
        <v>3538</v>
      </c>
      <c r="CT2123" s="1" t="s">
        <v>206</v>
      </c>
      <c r="CU2123" s="1" t="s">
        <v>207</v>
      </c>
      <c r="CV2123" s="1" t="s">
        <v>431</v>
      </c>
      <c r="CW2123" s="1" t="s">
        <v>260</v>
      </c>
      <c r="CX2123" s="1" t="s">
        <v>206</v>
      </c>
      <c r="CY2123" s="1" t="s">
        <v>210</v>
      </c>
      <c r="CZ2123" s="1" t="s">
        <v>431</v>
      </c>
      <c r="DA2123" s="1" t="s">
        <v>200</v>
      </c>
      <c r="DC2123" s="1" t="s">
        <v>481</v>
      </c>
      <c r="DD2123" s="1" t="s">
        <v>1838</v>
      </c>
      <c r="DE2123" s="1" t="s">
        <v>273</v>
      </c>
      <c r="DF2123" s="1" t="s">
        <v>219</v>
      </c>
      <c r="DG2123" s="1" t="s">
        <v>482</v>
      </c>
      <c r="DH2123" s="1" t="s">
        <v>220</v>
      </c>
      <c r="DI2123" s="1" t="s">
        <v>1003</v>
      </c>
      <c r="DJ2123" s="1" t="s">
        <v>222</v>
      </c>
      <c r="DL2123" s="1" t="s">
        <v>224</v>
      </c>
      <c r="DM2123" s="1" t="s">
        <v>338</v>
      </c>
      <c r="DN2123" s="1" t="s">
        <v>399</v>
      </c>
      <c r="DO2123" s="1" t="s">
        <v>590</v>
      </c>
      <c r="DP2123" s="1" t="s">
        <v>340</v>
      </c>
      <c r="DQ2123" s="1" t="s">
        <v>441</v>
      </c>
      <c r="DR2123" s="1" t="s">
        <v>588</v>
      </c>
      <c r="DS2123" s="1" t="s">
        <v>591</v>
      </c>
      <c r="DU2123" s="1" t="s">
        <v>19942</v>
      </c>
      <c r="DV2123" s="1" t="s">
        <v>19943</v>
      </c>
      <c r="DW2123" s="1" t="s">
        <v>444</v>
      </c>
      <c r="DX2123" s="1" t="s">
        <v>234</v>
      </c>
      <c r="DY2123" s="1" t="s">
        <v>1211</v>
      </c>
      <c r="DZ2123" s="1" t="s">
        <v>1661</v>
      </c>
      <c r="EA2123" s="1" t="s">
        <v>683</v>
      </c>
      <c r="EB2123" s="1" t="s">
        <v>19148</v>
      </c>
      <c r="EC2123" s="1" t="s">
        <v>685</v>
      </c>
      <c r="ED2123" s="1" t="s">
        <v>407</v>
      </c>
      <c r="EE2123" s="1" t="s">
        <v>493</v>
      </c>
      <c r="EG2123" s="1" t="s">
        <v>1164</v>
      </c>
      <c r="EH2123" s="1" t="s">
        <v>408</v>
      </c>
      <c r="EI2123" s="1" t="s">
        <v>1103</v>
      </c>
      <c r="EL2123" s="1" t="s">
        <v>19944</v>
      </c>
      <c r="EM2123" s="1" t="s">
        <v>42</v>
      </c>
      <c r="EN2123" s="1" t="s">
        <v>210</v>
      </c>
      <c r="EO2123" s="1" t="s">
        <v>431</v>
      </c>
      <c r="EP2123" s="1" t="s">
        <v>816</v>
      </c>
      <c r="EQ2123" s="1" t="s">
        <v>206</v>
      </c>
      <c r="ER2123" s="1" t="s">
        <v>207</v>
      </c>
      <c r="ET2123" s="1" t="s">
        <v>213</v>
      </c>
      <c r="EU2123" s="1" t="s">
        <v>42</v>
      </c>
      <c r="EV2123" s="1" t="s">
        <v>210</v>
      </c>
      <c r="EY2123" s="1" t="s">
        <v>238</v>
      </c>
      <c r="FC2123" s="1" t="s">
        <v>238</v>
      </c>
      <c r="FF2123" s="1" t="s">
        <v>239</v>
      </c>
      <c r="FG2123" s="1" t="s">
        <v>192</v>
      </c>
      <c r="FH2123" s="1" t="s">
        <v>192</v>
      </c>
      <c r="FJ2123" s="1" t="s">
        <v>2262</v>
      </c>
      <c r="FK2123" s="1" t="s">
        <v>229</v>
      </c>
      <c r="FL2123" s="1" t="s">
        <v>8122</v>
      </c>
      <c r="FM2123" s="1">
        <v>23163.0</v>
      </c>
      <c r="FN2123" s="1" t="s">
        <v>8123</v>
      </c>
      <c r="FO2123" s="1" t="s">
        <v>19945</v>
      </c>
      <c r="FP2123" s="1">
        <v>256847.0</v>
      </c>
      <c r="FQ2123" s="1" t="s">
        <v>19946</v>
      </c>
      <c r="FR2123" s="1">
        <v>222714.0</v>
      </c>
      <c r="FU2123" s="1" t="s">
        <v>19947</v>
      </c>
      <c r="FV2123" s="1" t="s">
        <v>200</v>
      </c>
      <c r="FW2123" s="1" t="s">
        <v>290</v>
      </c>
      <c r="FZ2123" s="1" t="s">
        <v>229</v>
      </c>
      <c r="GA2123" s="1" t="s">
        <v>291</v>
      </c>
      <c r="GB2123" s="2">
        <v>42106.0</v>
      </c>
      <c r="GC2123" s="1" t="s">
        <v>19948</v>
      </c>
    </row>
    <row r="2124">
      <c r="A2124" s="1">
        <v>152009.0</v>
      </c>
      <c r="B2124" s="1" t="s">
        <v>185</v>
      </c>
      <c r="C2124" s="1" t="str">
        <f>"08738746"</f>
        <v>08738746</v>
      </c>
      <c r="D2124" s="1" t="s">
        <v>186</v>
      </c>
      <c r="F2124" s="1" t="str">
        <f t="shared" si="1388"/>
        <v>560</v>
      </c>
      <c r="G2124" s="2">
        <v>41908.0</v>
      </c>
      <c r="H2124" s="1">
        <v>170100.0</v>
      </c>
      <c r="I2124" s="1">
        <v>41.0</v>
      </c>
      <c r="J2124" s="1">
        <v>170100.0</v>
      </c>
      <c r="K2124" s="2">
        <v>41947.0</v>
      </c>
      <c r="L2124" s="1">
        <v>41.0</v>
      </c>
      <c r="M2124" s="2">
        <v>41947.0</v>
      </c>
      <c r="N2124" s="1" t="s">
        <v>249</v>
      </c>
      <c r="O2124" s="2">
        <v>41988.0</v>
      </c>
      <c r="P2124" s="1">
        <v>235152.0</v>
      </c>
      <c r="Q2124" s="1">
        <v>22993.0</v>
      </c>
      <c r="S2124" s="1">
        <v>2946.0</v>
      </c>
      <c r="T2124" s="1" t="s">
        <v>19949</v>
      </c>
      <c r="U2124" s="1" t="s">
        <v>569</v>
      </c>
      <c r="V2124" s="1" t="s">
        <v>845</v>
      </c>
      <c r="W2124" s="1">
        <v>60560.0</v>
      </c>
      <c r="Y2124" s="1" t="s">
        <v>19950</v>
      </c>
      <c r="Z2124" s="1">
        <v>2006.0</v>
      </c>
      <c r="AA2124" s="1" t="s">
        <v>200</v>
      </c>
      <c r="AB2124" s="1" t="s">
        <v>193</v>
      </c>
      <c r="AD2124" s="1" t="s">
        <v>848</v>
      </c>
      <c r="AE2124" s="1" t="s">
        <v>849</v>
      </c>
      <c r="AF2124" s="1" t="s">
        <v>1312</v>
      </c>
      <c r="AH2124" s="1" t="s">
        <v>19951</v>
      </c>
      <c r="AK2124" s="1">
        <v>8.0</v>
      </c>
      <c r="AL2124" s="1">
        <v>4.0</v>
      </c>
      <c r="AM2124" s="1">
        <v>2.0</v>
      </c>
      <c r="AN2124" s="1">
        <v>1.0</v>
      </c>
      <c r="AO2124" s="1" t="s">
        <v>198</v>
      </c>
      <c r="AQ2124" s="1" t="s">
        <v>198</v>
      </c>
      <c r="AR2124" s="1" t="s">
        <v>200</v>
      </c>
      <c r="AS2124" s="1" t="s">
        <v>199</v>
      </c>
      <c r="AT2124" s="1">
        <v>2.0</v>
      </c>
      <c r="AV2124" s="1" t="s">
        <v>200</v>
      </c>
      <c r="AW2124" s="1">
        <v>7938.4</v>
      </c>
      <c r="AX2124" s="1">
        <v>2012.0</v>
      </c>
      <c r="AZ2124" s="1" t="s">
        <v>200</v>
      </c>
      <c r="BA2124" s="1" t="str">
        <f>"0214404021"</f>
        <v>0214404021</v>
      </c>
      <c r="BC2124" s="1">
        <v>2204.0</v>
      </c>
      <c r="BD2124" s="1">
        <v>152009.0</v>
      </c>
      <c r="BE2124" s="2">
        <v>41907.0</v>
      </c>
      <c r="BF2124" s="1" t="s">
        <v>19952</v>
      </c>
      <c r="BG2124" s="1" t="s">
        <v>5667</v>
      </c>
      <c r="BH2124" s="1">
        <v>110.0</v>
      </c>
      <c r="BK2124" s="1" t="s">
        <v>474</v>
      </c>
      <c r="BL2124" s="1" t="str">
        <f t="shared" ref="BL2124:BM2124" si="1390">""</f>
        <v/>
      </c>
      <c r="BM2124" s="1" t="str">
        <f t="shared" si="1390"/>
        <v/>
      </c>
      <c r="BQ2124" s="1">
        <v>115.0</v>
      </c>
      <c r="BR2124" s="1">
        <v>115.0</v>
      </c>
      <c r="BS2124" s="1">
        <v>115.0</v>
      </c>
      <c r="BU2124" s="1" t="s">
        <v>212</v>
      </c>
      <c r="BV2124" s="1" t="s">
        <v>206</v>
      </c>
      <c r="BW2124" s="1" t="s">
        <v>210</v>
      </c>
      <c r="BY2124" s="1" t="s">
        <v>213</v>
      </c>
      <c r="BZ2124" s="1" t="s">
        <v>209</v>
      </c>
      <c r="CA2124" s="1" t="s">
        <v>210</v>
      </c>
      <c r="CC2124" s="1" t="s">
        <v>264</v>
      </c>
      <c r="CD2124" s="1" t="s">
        <v>206</v>
      </c>
      <c r="CE2124" s="1" t="s">
        <v>210</v>
      </c>
      <c r="CG2124" s="1" t="s">
        <v>495</v>
      </c>
      <c r="CH2124" s="1" t="s">
        <v>209</v>
      </c>
      <c r="CI2124" s="1" t="s">
        <v>210</v>
      </c>
      <c r="CK2124" s="1" t="s">
        <v>212</v>
      </c>
      <c r="CL2124" s="1" t="s">
        <v>209</v>
      </c>
      <c r="CM2124" s="1" t="s">
        <v>210</v>
      </c>
      <c r="CO2124" s="1" t="s">
        <v>699</v>
      </c>
      <c r="CP2124" s="1" t="s">
        <v>209</v>
      </c>
      <c r="CQ2124" s="1" t="s">
        <v>210</v>
      </c>
      <c r="CS2124" s="1" t="s">
        <v>784</v>
      </c>
      <c r="CT2124" s="1" t="s">
        <v>206</v>
      </c>
      <c r="CU2124" s="1" t="s">
        <v>617</v>
      </c>
      <c r="CW2124" s="1" t="s">
        <v>743</v>
      </c>
      <c r="CX2124" s="1" t="s">
        <v>206</v>
      </c>
      <c r="CY2124" s="1" t="s">
        <v>207</v>
      </c>
      <c r="DA2124" s="1" t="s">
        <v>200</v>
      </c>
      <c r="DC2124" s="1" t="s">
        <v>481</v>
      </c>
      <c r="DE2124" s="1" t="s">
        <v>273</v>
      </c>
      <c r="DF2124" s="1" t="s">
        <v>219</v>
      </c>
      <c r="DG2124" s="1" t="s">
        <v>3259</v>
      </c>
      <c r="DH2124" s="1" t="s">
        <v>220</v>
      </c>
      <c r="DJ2124" s="1" t="s">
        <v>222</v>
      </c>
      <c r="DL2124" s="1" t="s">
        <v>223</v>
      </c>
      <c r="DM2124" s="1" t="s">
        <v>338</v>
      </c>
      <c r="DQ2124" s="1" t="s">
        <v>441</v>
      </c>
      <c r="DR2124" s="1" t="s">
        <v>13283</v>
      </c>
      <c r="DU2124" s="1" t="s">
        <v>19953</v>
      </c>
      <c r="DV2124" s="1" t="s">
        <v>232</v>
      </c>
      <c r="DW2124" s="1" t="s">
        <v>444</v>
      </c>
      <c r="DX2124" s="1" t="s">
        <v>234</v>
      </c>
      <c r="DY2124" s="1" t="s">
        <v>1051</v>
      </c>
      <c r="EA2124" s="1" t="s">
        <v>344</v>
      </c>
      <c r="EC2124" s="1" t="s">
        <v>237</v>
      </c>
      <c r="ED2124" s="1" t="s">
        <v>407</v>
      </c>
      <c r="EM2124" s="1" t="s">
        <v>238</v>
      </c>
      <c r="EQ2124" s="1" t="s">
        <v>238</v>
      </c>
      <c r="EU2124" s="1" t="s">
        <v>238</v>
      </c>
      <c r="EY2124" s="1" t="s">
        <v>238</v>
      </c>
      <c r="FC2124" s="1" t="s">
        <v>238</v>
      </c>
      <c r="FF2124" s="1" t="s">
        <v>239</v>
      </c>
      <c r="FG2124" s="1" t="s">
        <v>192</v>
      </c>
      <c r="FH2124" s="1" t="s">
        <v>192</v>
      </c>
      <c r="FJ2124" s="1" t="s">
        <v>1248</v>
      </c>
      <c r="FK2124" s="1" t="s">
        <v>229</v>
      </c>
      <c r="FL2124" s="1" t="s">
        <v>13696</v>
      </c>
      <c r="FM2124" s="1">
        <v>25196.0</v>
      </c>
      <c r="FN2124" s="1" t="s">
        <v>13697</v>
      </c>
      <c r="FO2124" s="1" t="s">
        <v>13698</v>
      </c>
      <c r="FP2124" s="1">
        <v>214545.0</v>
      </c>
      <c r="FQ2124" s="1" t="s">
        <v>13697</v>
      </c>
      <c r="FR2124" s="1">
        <v>239627.0</v>
      </c>
      <c r="FU2124" s="1" t="s">
        <v>19954</v>
      </c>
      <c r="FV2124" s="1" t="s">
        <v>200</v>
      </c>
      <c r="FW2124" s="1" t="s">
        <v>1524</v>
      </c>
      <c r="FZ2124" s="1" t="s">
        <v>229</v>
      </c>
      <c r="GA2124" s="1" t="s">
        <v>291</v>
      </c>
      <c r="GB2124" s="2">
        <v>41990.0</v>
      </c>
      <c r="GC2124" s="1" t="s">
        <v>19955</v>
      </c>
    </row>
    <row r="2125">
      <c r="A2125" s="1">
        <v>352251.0</v>
      </c>
      <c r="B2125" s="1" t="s">
        <v>185</v>
      </c>
      <c r="C2125" s="1" t="str">
        <f>"08741573"</f>
        <v>08741573</v>
      </c>
      <c r="D2125" s="1" t="s">
        <v>186</v>
      </c>
      <c r="F2125" s="1" t="str">
        <f>"174"</f>
        <v>174</v>
      </c>
      <c r="G2125" s="2">
        <v>41912.0</v>
      </c>
      <c r="H2125" s="1">
        <v>535200.0</v>
      </c>
      <c r="I2125" s="1">
        <v>210.0</v>
      </c>
      <c r="J2125" s="1">
        <v>359900.0</v>
      </c>
      <c r="K2125" s="2">
        <v>42121.0</v>
      </c>
      <c r="L2125" s="1">
        <v>210.0</v>
      </c>
      <c r="M2125" s="2">
        <v>42121.0</v>
      </c>
      <c r="N2125" s="1" t="s">
        <v>249</v>
      </c>
      <c r="O2125" s="2">
        <v>42136.0</v>
      </c>
      <c r="P2125" s="1">
        <v>8138.0</v>
      </c>
      <c r="Q2125" s="1">
        <v>118.0</v>
      </c>
      <c r="S2125" s="1" t="s">
        <v>19956</v>
      </c>
      <c r="T2125" s="1" t="s">
        <v>14875</v>
      </c>
      <c r="U2125" s="1" t="s">
        <v>1015</v>
      </c>
      <c r="V2125" s="1" t="s">
        <v>1200</v>
      </c>
      <c r="W2125" s="1">
        <v>60175.0</v>
      </c>
      <c r="Y2125" s="1" t="s">
        <v>19957</v>
      </c>
      <c r="Z2125" s="1">
        <v>1996.0</v>
      </c>
      <c r="AA2125" s="1" t="s">
        <v>200</v>
      </c>
      <c r="AB2125" s="1" t="s">
        <v>193</v>
      </c>
      <c r="AD2125" s="1" t="s">
        <v>1203</v>
      </c>
      <c r="AE2125" s="1" t="s">
        <v>325</v>
      </c>
      <c r="AF2125" s="1" t="s">
        <v>1203</v>
      </c>
      <c r="AH2125" s="1" t="s">
        <v>19958</v>
      </c>
      <c r="AI2125" s="1">
        <v>1.3</v>
      </c>
      <c r="AK2125" s="1">
        <v>9.0</v>
      </c>
      <c r="AL2125" s="1">
        <v>4.0</v>
      </c>
      <c r="AM2125" s="1">
        <v>4.0</v>
      </c>
      <c r="AN2125" s="1">
        <v>1.0</v>
      </c>
      <c r="AO2125" s="1" t="s">
        <v>198</v>
      </c>
      <c r="AP2125" s="1">
        <v>5.0</v>
      </c>
      <c r="AQ2125" s="1" t="s">
        <v>472</v>
      </c>
      <c r="AR2125" s="1" t="s">
        <v>192</v>
      </c>
      <c r="AS2125" s="1" t="s">
        <v>199</v>
      </c>
      <c r="AT2125" s="1">
        <v>4.0</v>
      </c>
      <c r="AV2125" s="1" t="s">
        <v>200</v>
      </c>
      <c r="AW2125" s="1">
        <v>22818.32</v>
      </c>
      <c r="AX2125" s="1">
        <v>2013.0</v>
      </c>
      <c r="AZ2125" s="1" t="s">
        <v>200</v>
      </c>
      <c r="BA2125" s="1" t="str">
        <f>"0918328004"</f>
        <v>0918328004</v>
      </c>
      <c r="BB2125" s="1" t="s">
        <v>200</v>
      </c>
      <c r="BC2125" s="1">
        <v>4173.0</v>
      </c>
      <c r="BD2125" s="1">
        <v>352251.0</v>
      </c>
      <c r="BE2125" s="2">
        <v>41912.0</v>
      </c>
      <c r="BF2125" s="2" t="s">
        <v>19959</v>
      </c>
      <c r="BH2125" s="1">
        <v>0.0</v>
      </c>
      <c r="BK2125" s="1" t="s">
        <v>204</v>
      </c>
      <c r="BL2125" s="1" t="str">
        <f>"5"</f>
        <v>5</v>
      </c>
      <c r="BM2125" s="1" t="str">
        <f>"0"</f>
        <v>0</v>
      </c>
      <c r="BN2125" s="1">
        <v>38.0</v>
      </c>
      <c r="BO2125" s="1">
        <v>0.0</v>
      </c>
      <c r="BQ2125" s="1">
        <v>303.0</v>
      </c>
      <c r="BR2125" s="1">
        <v>303.0</v>
      </c>
      <c r="BS2125" s="1">
        <v>303.0</v>
      </c>
      <c r="BU2125" s="1" t="s">
        <v>924</v>
      </c>
      <c r="BV2125" s="1" t="s">
        <v>206</v>
      </c>
      <c r="BY2125" s="1" t="s">
        <v>7468</v>
      </c>
      <c r="BZ2125" s="1" t="s">
        <v>209</v>
      </c>
      <c r="CC2125" s="1" t="s">
        <v>758</v>
      </c>
      <c r="CD2125" s="1" t="s">
        <v>206</v>
      </c>
      <c r="CG2125" s="1" t="s">
        <v>329</v>
      </c>
      <c r="CH2125" s="1" t="s">
        <v>209</v>
      </c>
      <c r="CK2125" s="1" t="s">
        <v>329</v>
      </c>
      <c r="CL2125" s="1" t="s">
        <v>209</v>
      </c>
      <c r="CO2125" s="1" t="s">
        <v>329</v>
      </c>
      <c r="CP2125" s="1" t="s">
        <v>209</v>
      </c>
      <c r="CS2125" s="1" t="s">
        <v>5655</v>
      </c>
      <c r="CT2125" s="1" t="s">
        <v>206</v>
      </c>
      <c r="CW2125" s="1" t="s">
        <v>6801</v>
      </c>
      <c r="CX2125" s="1" t="s">
        <v>206</v>
      </c>
      <c r="DA2125" s="1" t="s">
        <v>200</v>
      </c>
      <c r="DC2125" s="1" t="s">
        <v>678</v>
      </c>
      <c r="DD2125" s="1" t="s">
        <v>4023</v>
      </c>
      <c r="DE2125" s="1" t="s">
        <v>273</v>
      </c>
      <c r="DF2125" s="1" t="s">
        <v>3751</v>
      </c>
      <c r="DG2125" s="1" t="s">
        <v>19960</v>
      </c>
      <c r="DH2125" s="1" t="s">
        <v>856</v>
      </c>
      <c r="DJ2125" s="1" t="s">
        <v>857</v>
      </c>
      <c r="DK2125" s="1" t="s">
        <v>1555</v>
      </c>
      <c r="DL2125" s="1" t="s">
        <v>223</v>
      </c>
      <c r="DM2125" s="1" t="s">
        <v>229</v>
      </c>
      <c r="DN2125" s="1" t="s">
        <v>399</v>
      </c>
      <c r="DO2125" s="1" t="s">
        <v>19961</v>
      </c>
      <c r="DP2125" s="1" t="s">
        <v>340</v>
      </c>
      <c r="DQ2125" s="1" t="s">
        <v>931</v>
      </c>
      <c r="DR2125" s="1" t="s">
        <v>229</v>
      </c>
      <c r="DS2125" s="1" t="s">
        <v>368</v>
      </c>
      <c r="DV2125" s="1" t="s">
        <v>5014</v>
      </c>
      <c r="DW2125" s="1" t="s">
        <v>279</v>
      </c>
      <c r="DX2125" s="1" t="s">
        <v>234</v>
      </c>
      <c r="DY2125" s="1" t="s">
        <v>1006</v>
      </c>
      <c r="DZ2125" s="1" t="s">
        <v>766</v>
      </c>
      <c r="EA2125" s="1" t="s">
        <v>3308</v>
      </c>
      <c r="EB2125" s="1" t="s">
        <v>345</v>
      </c>
      <c r="EC2125" s="1" t="s">
        <v>237</v>
      </c>
      <c r="EE2125" s="1" t="s">
        <v>1673</v>
      </c>
      <c r="EG2125" s="1" t="s">
        <v>494</v>
      </c>
      <c r="EH2125" s="1" t="s">
        <v>408</v>
      </c>
      <c r="EL2125" s="1" t="s">
        <v>1891</v>
      </c>
      <c r="EM2125" s="1" t="s">
        <v>206</v>
      </c>
      <c r="EP2125" s="1" t="s">
        <v>1875</v>
      </c>
      <c r="EQ2125" s="1" t="s">
        <v>206</v>
      </c>
      <c r="EU2125" s="1" t="s">
        <v>238</v>
      </c>
      <c r="EY2125" s="1" t="s">
        <v>238</v>
      </c>
      <c r="FC2125" s="1" t="s">
        <v>238</v>
      </c>
      <c r="FF2125" s="1" t="s">
        <v>239</v>
      </c>
      <c r="FG2125" s="1" t="s">
        <v>192</v>
      </c>
      <c r="FH2125" s="1" t="s">
        <v>192</v>
      </c>
      <c r="FJ2125" s="1" t="s">
        <v>347</v>
      </c>
      <c r="FK2125" s="1" t="s">
        <v>229</v>
      </c>
      <c r="FL2125" s="1" t="s">
        <v>3433</v>
      </c>
      <c r="FM2125" s="1">
        <v>5293.0</v>
      </c>
      <c r="FN2125" s="1" t="s">
        <v>3434</v>
      </c>
      <c r="FO2125" s="1" t="s">
        <v>3435</v>
      </c>
      <c r="FP2125" s="1">
        <v>53957.0</v>
      </c>
      <c r="FU2125" s="1" t="s">
        <v>2697</v>
      </c>
      <c r="FV2125" s="1" t="s">
        <v>200</v>
      </c>
      <c r="FW2125" s="1" t="s">
        <v>290</v>
      </c>
      <c r="FX2125" s="1" t="s">
        <v>246</v>
      </c>
      <c r="FZ2125" s="1" t="s">
        <v>229</v>
      </c>
      <c r="GA2125" s="1" t="s">
        <v>291</v>
      </c>
      <c r="GB2125" s="2">
        <v>42136.0</v>
      </c>
      <c r="GC2125" s="1" t="s">
        <v>19962</v>
      </c>
    </row>
    <row r="2126">
      <c r="A2126" s="1">
        <v>186200.0</v>
      </c>
      <c r="B2126" s="1" t="s">
        <v>185</v>
      </c>
      <c r="C2126" s="1" t="str">
        <f>"08740372"</f>
        <v>08740372</v>
      </c>
      <c r="D2126" s="1" t="s">
        <v>186</v>
      </c>
      <c r="F2126" s="1" t="str">
        <f>"538"</f>
        <v>538</v>
      </c>
      <c r="G2126" s="2">
        <v>41911.0</v>
      </c>
      <c r="H2126" s="1">
        <v>199900.0</v>
      </c>
      <c r="I2126" s="1">
        <v>152.0</v>
      </c>
      <c r="J2126" s="1">
        <v>189900.0</v>
      </c>
      <c r="K2126" s="2">
        <v>41967.0</v>
      </c>
      <c r="L2126" s="1">
        <v>57.0</v>
      </c>
      <c r="M2126" s="2">
        <v>41967.0</v>
      </c>
      <c r="N2126" s="1" t="s">
        <v>187</v>
      </c>
      <c r="O2126" s="2">
        <v>42013.0</v>
      </c>
      <c r="P2126" s="1">
        <v>235434.0</v>
      </c>
      <c r="Q2126" s="1">
        <v>23156.0</v>
      </c>
      <c r="R2126" s="1">
        <v>5586.0</v>
      </c>
      <c r="S2126" s="1">
        <v>1813.0</v>
      </c>
      <c r="T2126" s="1" t="s">
        <v>5910</v>
      </c>
      <c r="U2126" s="1" t="s">
        <v>1174</v>
      </c>
      <c r="V2126" s="1" t="s">
        <v>1340</v>
      </c>
      <c r="W2126" s="1">
        <v>60538.0</v>
      </c>
      <c r="Y2126" s="1" t="s">
        <v>19963</v>
      </c>
      <c r="Z2126" s="1">
        <v>2003.0</v>
      </c>
      <c r="AA2126" s="1" t="s">
        <v>200</v>
      </c>
      <c r="AB2126" s="1" t="s">
        <v>193</v>
      </c>
      <c r="AD2126" s="1" t="s">
        <v>1343</v>
      </c>
      <c r="AE2126" s="1" t="s">
        <v>325</v>
      </c>
      <c r="AF2126" s="1" t="s">
        <v>1887</v>
      </c>
      <c r="AH2126" s="1" t="s">
        <v>15878</v>
      </c>
      <c r="AI2126" s="1">
        <v>0.18</v>
      </c>
      <c r="AK2126" s="1">
        <v>8.0</v>
      </c>
      <c r="AL2126" s="1">
        <v>4.0</v>
      </c>
      <c r="AM2126" s="1">
        <v>2.0</v>
      </c>
      <c r="AN2126" s="1">
        <v>1.0</v>
      </c>
      <c r="AO2126" s="1" t="s">
        <v>198</v>
      </c>
      <c r="AQ2126" s="1" t="s">
        <v>198</v>
      </c>
      <c r="AR2126" s="1" t="s">
        <v>200</v>
      </c>
      <c r="AS2126" s="1" t="s">
        <v>199</v>
      </c>
      <c r="AT2126" s="1">
        <v>2.0</v>
      </c>
      <c r="AV2126" s="1" t="s">
        <v>200</v>
      </c>
      <c r="AW2126" s="1">
        <v>7018.06</v>
      </c>
      <c r="AX2126" s="1">
        <v>2013.0</v>
      </c>
      <c r="AY2126" s="1" t="s">
        <v>387</v>
      </c>
      <c r="AZ2126" s="1" t="s">
        <v>545</v>
      </c>
      <c r="BA2126" s="1" t="str">
        <f>"1435381011"</f>
        <v>1435381011</v>
      </c>
      <c r="BC2126" s="1">
        <v>2244.0</v>
      </c>
      <c r="BD2126" s="1">
        <v>186200.0</v>
      </c>
      <c r="BE2126" s="2">
        <v>41911.0</v>
      </c>
      <c r="BF2126" s="2" t="s">
        <v>19964</v>
      </c>
      <c r="BH2126" s="1">
        <v>0.0</v>
      </c>
      <c r="BK2126" s="1" t="s">
        <v>204</v>
      </c>
      <c r="BL2126" s="1" t="str">
        <f t="shared" ref="BL2126:BM2126" si="1391">""</f>
        <v/>
      </c>
      <c r="BM2126" s="1" t="str">
        <f t="shared" si="1391"/>
        <v/>
      </c>
      <c r="BQ2126" s="1">
        <v>302.0</v>
      </c>
      <c r="BR2126" s="1">
        <v>302.0</v>
      </c>
      <c r="BS2126" s="1">
        <v>302.0</v>
      </c>
      <c r="BU2126" s="1" t="s">
        <v>758</v>
      </c>
      <c r="BV2126" s="1" t="s">
        <v>206</v>
      </c>
      <c r="BW2126" s="1" t="s">
        <v>207</v>
      </c>
      <c r="BY2126" s="1" t="s">
        <v>390</v>
      </c>
      <c r="BZ2126" s="1" t="s">
        <v>209</v>
      </c>
      <c r="CA2126" s="1" t="s">
        <v>210</v>
      </c>
      <c r="CC2126" s="1" t="s">
        <v>212</v>
      </c>
      <c r="CD2126" s="1" t="s">
        <v>206</v>
      </c>
      <c r="CE2126" s="1" t="s">
        <v>207</v>
      </c>
      <c r="CG2126" s="1" t="s">
        <v>332</v>
      </c>
      <c r="CH2126" s="1" t="s">
        <v>209</v>
      </c>
      <c r="CI2126" s="1" t="s">
        <v>210</v>
      </c>
      <c r="CK2126" s="1" t="s">
        <v>363</v>
      </c>
      <c r="CL2126" s="1" t="s">
        <v>209</v>
      </c>
      <c r="CM2126" s="1" t="s">
        <v>210</v>
      </c>
      <c r="CO2126" s="1" t="s">
        <v>495</v>
      </c>
      <c r="CP2126" s="1" t="s">
        <v>209</v>
      </c>
      <c r="CQ2126" s="1" t="s">
        <v>210</v>
      </c>
      <c r="CS2126" s="1" t="s">
        <v>925</v>
      </c>
      <c r="CT2126" s="1" t="s">
        <v>206</v>
      </c>
      <c r="CU2126" s="1" t="s">
        <v>207</v>
      </c>
      <c r="CW2126" s="1" t="s">
        <v>453</v>
      </c>
      <c r="CX2126" s="1" t="s">
        <v>206</v>
      </c>
      <c r="CY2126" s="1" t="s">
        <v>210</v>
      </c>
      <c r="DA2126" s="1" t="s">
        <v>200</v>
      </c>
      <c r="DC2126" s="1" t="s">
        <v>335</v>
      </c>
      <c r="DE2126" s="1" t="s">
        <v>273</v>
      </c>
      <c r="DF2126" s="1" t="s">
        <v>219</v>
      </c>
      <c r="DH2126" s="1" t="s">
        <v>220</v>
      </c>
      <c r="DJ2126" s="1" t="s">
        <v>222</v>
      </c>
      <c r="DL2126" s="1" t="s">
        <v>223</v>
      </c>
      <c r="DM2126" s="1" t="s">
        <v>229</v>
      </c>
      <c r="DQ2126" s="1" t="s">
        <v>228</v>
      </c>
      <c r="DR2126" s="1" t="s">
        <v>229</v>
      </c>
      <c r="DV2126" s="1" t="s">
        <v>232</v>
      </c>
      <c r="DW2126" s="1" t="s">
        <v>233</v>
      </c>
      <c r="DX2126" s="1" t="s">
        <v>234</v>
      </c>
      <c r="DY2126" s="1" t="s">
        <v>1189</v>
      </c>
      <c r="DZ2126" s="1" t="s">
        <v>282</v>
      </c>
      <c r="EA2126" s="1" t="s">
        <v>344</v>
      </c>
      <c r="EC2126" s="1" t="s">
        <v>237</v>
      </c>
      <c r="EM2126" s="1" t="s">
        <v>238</v>
      </c>
      <c r="EQ2126" s="1" t="s">
        <v>238</v>
      </c>
      <c r="EU2126" s="1" t="s">
        <v>238</v>
      </c>
      <c r="EY2126" s="1" t="s">
        <v>238</v>
      </c>
      <c r="FC2126" s="1" t="s">
        <v>238</v>
      </c>
      <c r="FF2126" s="1" t="s">
        <v>239</v>
      </c>
      <c r="FG2126" s="1" t="s">
        <v>192</v>
      </c>
      <c r="FH2126" s="1" t="s">
        <v>192</v>
      </c>
      <c r="FJ2126" s="1" t="s">
        <v>1248</v>
      </c>
      <c r="FK2126" s="1" t="s">
        <v>229</v>
      </c>
      <c r="FL2126" s="1" t="s">
        <v>2184</v>
      </c>
      <c r="FM2126" s="1">
        <v>605.0</v>
      </c>
      <c r="FN2126" s="1" t="s">
        <v>2185</v>
      </c>
      <c r="FO2126" s="1" t="s">
        <v>1738</v>
      </c>
      <c r="FP2126" s="1">
        <v>170.0</v>
      </c>
      <c r="FQ2126" s="1" t="s">
        <v>2185</v>
      </c>
      <c r="FR2126" s="1">
        <v>40.0</v>
      </c>
      <c r="FS2126" s="1" t="s">
        <v>3468</v>
      </c>
      <c r="FU2126" s="1" t="s">
        <v>19965</v>
      </c>
      <c r="FV2126" s="1" t="s">
        <v>200</v>
      </c>
      <c r="FW2126" s="1" t="s">
        <v>354</v>
      </c>
      <c r="FZ2126" s="1" t="s">
        <v>229</v>
      </c>
      <c r="GA2126" s="1" t="s">
        <v>291</v>
      </c>
      <c r="GB2126" s="2">
        <v>42016.0</v>
      </c>
      <c r="GC2126" s="1" t="s">
        <v>19966</v>
      </c>
    </row>
    <row r="2127">
      <c r="A2127" s="1">
        <v>400000.0</v>
      </c>
      <c r="B2127" s="1" t="s">
        <v>185</v>
      </c>
      <c r="C2127" s="1" t="str">
        <f>"08749869"</f>
        <v>08749869</v>
      </c>
      <c r="D2127" s="1" t="s">
        <v>186</v>
      </c>
      <c r="F2127" s="1" t="str">
        <f>"118"</f>
        <v>118</v>
      </c>
      <c r="G2127" s="2">
        <v>41922.0</v>
      </c>
      <c r="H2127" s="1">
        <v>420000.0</v>
      </c>
      <c r="I2127" s="1">
        <v>107.0</v>
      </c>
      <c r="J2127" s="1">
        <v>420000.0</v>
      </c>
      <c r="K2127" s="2">
        <v>42028.0</v>
      </c>
      <c r="L2127" s="1">
        <v>107.0</v>
      </c>
      <c r="M2127" s="2">
        <v>42028.0</v>
      </c>
      <c r="N2127" s="1" t="s">
        <v>249</v>
      </c>
      <c r="O2127" s="2">
        <v>42053.0</v>
      </c>
      <c r="P2127" s="1">
        <v>70226.0</v>
      </c>
      <c r="Q2127" s="1">
        <v>7032.0</v>
      </c>
      <c r="S2127" s="1">
        <v>1390.0</v>
      </c>
      <c r="T2127" s="1" t="s">
        <v>19967</v>
      </c>
      <c r="U2127" s="1" t="s">
        <v>420</v>
      </c>
      <c r="V2127" s="1" t="s">
        <v>1086</v>
      </c>
      <c r="W2127" s="1">
        <v>60118.0</v>
      </c>
      <c r="Y2127" s="1" t="s">
        <v>19968</v>
      </c>
      <c r="Z2127" s="1">
        <v>2004.0</v>
      </c>
      <c r="AA2127" s="1" t="s">
        <v>200</v>
      </c>
      <c r="AB2127" s="1" t="s">
        <v>193</v>
      </c>
      <c r="AD2127" s="1" t="s">
        <v>3394</v>
      </c>
      <c r="AE2127" s="1" t="s">
        <v>325</v>
      </c>
      <c r="AF2127" s="1" t="s">
        <v>810</v>
      </c>
      <c r="AG2127" s="1" t="s">
        <v>8583</v>
      </c>
      <c r="AH2127" s="1" t="s">
        <v>19969</v>
      </c>
      <c r="AI2127" s="1">
        <v>0.31</v>
      </c>
      <c r="AK2127" s="1">
        <v>13.0</v>
      </c>
      <c r="AL2127" s="1">
        <v>4.0</v>
      </c>
      <c r="AM2127" s="1">
        <v>3.0</v>
      </c>
      <c r="AN2127" s="1">
        <v>1.0</v>
      </c>
      <c r="AO2127" s="1" t="s">
        <v>198</v>
      </c>
      <c r="AP2127" s="1">
        <v>1.0</v>
      </c>
      <c r="AQ2127" s="1" t="s">
        <v>327</v>
      </c>
      <c r="AR2127" s="1" t="s">
        <v>192</v>
      </c>
      <c r="AS2127" s="1" t="s">
        <v>199</v>
      </c>
      <c r="AT2127" s="1">
        <v>3.0</v>
      </c>
      <c r="AV2127" s="1" t="s">
        <v>200</v>
      </c>
      <c r="AW2127" s="1">
        <v>10206.0</v>
      </c>
      <c r="AX2127" s="1">
        <v>2013.0</v>
      </c>
      <c r="AY2127" s="1" t="s">
        <v>387</v>
      </c>
      <c r="AZ2127" s="1" t="s">
        <v>200</v>
      </c>
      <c r="BA2127" s="1" t="str">
        <f>"0317431006"</f>
        <v>0317431006</v>
      </c>
      <c r="BB2127" s="1" t="s">
        <v>200</v>
      </c>
      <c r="BC2127" s="1">
        <v>3200.0</v>
      </c>
      <c r="BD2127" s="1">
        <v>400000.0</v>
      </c>
      <c r="BE2127" s="2">
        <v>41922.0</v>
      </c>
      <c r="BF2127" s="2" t="s">
        <v>19970</v>
      </c>
      <c r="BH2127" s="1">
        <v>250.0</v>
      </c>
      <c r="BK2127" s="1" t="s">
        <v>580</v>
      </c>
      <c r="BL2127" s="1" t="str">
        <f t="shared" ref="BL2127:BM2127" si="1392">""</f>
        <v/>
      </c>
      <c r="BM2127" s="1" t="str">
        <f t="shared" si="1392"/>
        <v/>
      </c>
      <c r="BQ2127" s="1">
        <v>300.0</v>
      </c>
      <c r="BR2127" s="1">
        <v>300.0</v>
      </c>
      <c r="BS2127" s="1">
        <v>300.0</v>
      </c>
      <c r="BU2127" s="1" t="s">
        <v>390</v>
      </c>
      <c r="BV2127" s="1" t="s">
        <v>206</v>
      </c>
      <c r="BW2127" s="1" t="s">
        <v>210</v>
      </c>
      <c r="BX2127" s="1" t="s">
        <v>1549</v>
      </c>
      <c r="BY2127" s="1" t="s">
        <v>6672</v>
      </c>
      <c r="BZ2127" s="1" t="s">
        <v>209</v>
      </c>
      <c r="CA2127" s="1" t="s">
        <v>210</v>
      </c>
      <c r="CB2127" s="1" t="s">
        <v>431</v>
      </c>
      <c r="CC2127" s="1" t="s">
        <v>584</v>
      </c>
      <c r="CD2127" s="1" t="s">
        <v>206</v>
      </c>
      <c r="CE2127" s="1" t="s">
        <v>210</v>
      </c>
      <c r="CF2127" s="1" t="s">
        <v>1549</v>
      </c>
      <c r="CG2127" s="1" t="s">
        <v>215</v>
      </c>
      <c r="CH2127" s="1" t="s">
        <v>209</v>
      </c>
      <c r="CI2127" s="1" t="s">
        <v>210</v>
      </c>
      <c r="CJ2127" s="1" t="s">
        <v>261</v>
      </c>
      <c r="CK2127" s="1" t="s">
        <v>699</v>
      </c>
      <c r="CL2127" s="1" t="s">
        <v>209</v>
      </c>
      <c r="CM2127" s="1" t="s">
        <v>210</v>
      </c>
      <c r="CN2127" s="1" t="s">
        <v>261</v>
      </c>
      <c r="CO2127" s="1" t="s">
        <v>478</v>
      </c>
      <c r="CP2127" s="1" t="s">
        <v>209</v>
      </c>
      <c r="CQ2127" s="1" t="s">
        <v>210</v>
      </c>
      <c r="CR2127" s="1" t="s">
        <v>261</v>
      </c>
      <c r="CS2127" s="1" t="s">
        <v>329</v>
      </c>
      <c r="CT2127" s="1" t="s">
        <v>206</v>
      </c>
      <c r="CU2127" s="1" t="s">
        <v>207</v>
      </c>
      <c r="CV2127" s="1" t="s">
        <v>261</v>
      </c>
      <c r="CW2127" s="1" t="s">
        <v>364</v>
      </c>
      <c r="CX2127" s="1" t="s">
        <v>206</v>
      </c>
      <c r="CY2127" s="1" t="s">
        <v>210</v>
      </c>
      <c r="CZ2127" s="1" t="s">
        <v>261</v>
      </c>
      <c r="DA2127" s="1" t="s">
        <v>200</v>
      </c>
      <c r="DC2127" s="1" t="s">
        <v>335</v>
      </c>
      <c r="DD2127" s="1" t="s">
        <v>586</v>
      </c>
      <c r="DE2127" s="1" t="s">
        <v>273</v>
      </c>
      <c r="DF2127" s="1" t="s">
        <v>219</v>
      </c>
      <c r="DG2127" s="1" t="s">
        <v>1020</v>
      </c>
      <c r="DH2127" s="1" t="s">
        <v>220</v>
      </c>
      <c r="DI2127" s="1" t="s">
        <v>19971</v>
      </c>
      <c r="DJ2127" s="1" t="s">
        <v>222</v>
      </c>
      <c r="DK2127" s="1" t="s">
        <v>1555</v>
      </c>
      <c r="DL2127" s="1" t="s">
        <v>1161</v>
      </c>
      <c r="DM2127" s="1" t="s">
        <v>1268</v>
      </c>
      <c r="DN2127" s="1" t="s">
        <v>548</v>
      </c>
      <c r="DO2127" s="1" t="s">
        <v>486</v>
      </c>
      <c r="DP2127" s="1" t="s">
        <v>340</v>
      </c>
      <c r="DQ2127" s="1" t="s">
        <v>441</v>
      </c>
      <c r="DR2127" s="1" t="s">
        <v>588</v>
      </c>
      <c r="DS2127" s="1" t="s">
        <v>230</v>
      </c>
      <c r="DU2127" s="1" t="s">
        <v>3073</v>
      </c>
      <c r="DV2127" s="1" t="s">
        <v>19972</v>
      </c>
      <c r="DW2127" s="1" t="s">
        <v>444</v>
      </c>
      <c r="DX2127" s="1" t="s">
        <v>234</v>
      </c>
      <c r="DY2127" s="1" t="s">
        <v>490</v>
      </c>
      <c r="DZ2127" s="1" t="s">
        <v>3126</v>
      </c>
      <c r="EB2127" s="1" t="s">
        <v>937</v>
      </c>
      <c r="EC2127" s="1" t="s">
        <v>237</v>
      </c>
      <c r="ED2127" s="1" t="s">
        <v>1406</v>
      </c>
      <c r="EG2127" s="1" t="s">
        <v>449</v>
      </c>
      <c r="EH2127" s="1" t="s">
        <v>598</v>
      </c>
      <c r="EI2127" s="1" t="s">
        <v>1491</v>
      </c>
      <c r="EJ2127" s="1" t="s">
        <v>1103</v>
      </c>
      <c r="EK2127" s="1" t="s">
        <v>409</v>
      </c>
      <c r="EL2127" s="1" t="s">
        <v>878</v>
      </c>
      <c r="EM2127" s="1" t="s">
        <v>206</v>
      </c>
      <c r="EN2127" s="1" t="s">
        <v>207</v>
      </c>
      <c r="EO2127" s="1" t="s">
        <v>261</v>
      </c>
      <c r="EP2127" s="1" t="s">
        <v>830</v>
      </c>
      <c r="EQ2127" s="1" t="s">
        <v>206</v>
      </c>
      <c r="ER2127" s="1" t="s">
        <v>210</v>
      </c>
      <c r="ES2127" s="1" t="s">
        <v>261</v>
      </c>
      <c r="ET2127" s="1" t="s">
        <v>647</v>
      </c>
      <c r="EU2127" s="1" t="s">
        <v>1697</v>
      </c>
      <c r="EV2127" s="1" t="s">
        <v>588</v>
      </c>
      <c r="EW2127" s="1" t="s">
        <v>229</v>
      </c>
      <c r="EX2127" s="1" t="s">
        <v>11107</v>
      </c>
      <c r="EY2127" s="1" t="s">
        <v>1697</v>
      </c>
      <c r="EZ2127" s="1" t="s">
        <v>588</v>
      </c>
      <c r="FA2127" s="1" t="s">
        <v>229</v>
      </c>
      <c r="FB2127" s="1" t="s">
        <v>5813</v>
      </c>
      <c r="FC2127" s="1" t="s">
        <v>209</v>
      </c>
      <c r="FD2127" s="1" t="s">
        <v>210</v>
      </c>
      <c r="FE2127" s="1" t="s">
        <v>229</v>
      </c>
      <c r="FF2127" s="1" t="s">
        <v>239</v>
      </c>
      <c r="FG2127" s="1" t="s">
        <v>192</v>
      </c>
      <c r="FH2127" s="1" t="s">
        <v>192</v>
      </c>
      <c r="FJ2127" s="1" t="s">
        <v>8239</v>
      </c>
      <c r="FK2127" s="1" t="s">
        <v>229</v>
      </c>
      <c r="FL2127" s="1" t="s">
        <v>1007</v>
      </c>
      <c r="FM2127" s="1">
        <v>5170.0</v>
      </c>
      <c r="FN2127" s="1" t="s">
        <v>19973</v>
      </c>
      <c r="FO2127" s="1" t="s">
        <v>19974</v>
      </c>
      <c r="FP2127" s="1">
        <v>55911.0</v>
      </c>
      <c r="FU2127" s="1" t="s">
        <v>19975</v>
      </c>
      <c r="FV2127" s="1" t="s">
        <v>200</v>
      </c>
      <c r="FW2127" s="1" t="s">
        <v>19976</v>
      </c>
      <c r="FZ2127" s="1" t="s">
        <v>229</v>
      </c>
      <c r="GA2127" s="1" t="s">
        <v>291</v>
      </c>
      <c r="GB2127" s="2">
        <v>42053.0</v>
      </c>
      <c r="GC2127" s="1" t="s">
        <v>19977</v>
      </c>
    </row>
    <row r="2128">
      <c r="A2128" s="1">
        <v>352000.0</v>
      </c>
      <c r="B2128" s="1" t="s">
        <v>185</v>
      </c>
      <c r="C2128" s="1" t="str">
        <f>"08742158"</f>
        <v>08742158</v>
      </c>
      <c r="D2128" s="1" t="s">
        <v>186</v>
      </c>
      <c r="F2128" s="1" t="str">
        <f>"110"</f>
        <v>110</v>
      </c>
      <c r="G2128" s="2">
        <v>41913.0</v>
      </c>
      <c r="H2128" s="1">
        <v>359900.0</v>
      </c>
      <c r="I2128" s="1">
        <v>35.0</v>
      </c>
      <c r="J2128" s="1">
        <v>359900.0</v>
      </c>
      <c r="K2128" s="2">
        <v>41947.0</v>
      </c>
      <c r="L2128" s="1">
        <v>35.0</v>
      </c>
      <c r="M2128" s="2">
        <v>41947.0</v>
      </c>
      <c r="N2128" s="1" t="s">
        <v>187</v>
      </c>
      <c r="O2128" s="2">
        <v>42010.0</v>
      </c>
      <c r="P2128" s="1">
        <v>53234.0</v>
      </c>
      <c r="Q2128" s="1">
        <v>5042.0</v>
      </c>
      <c r="S2128" s="1">
        <v>3521.0</v>
      </c>
      <c r="T2128" s="1" t="s">
        <v>19978</v>
      </c>
      <c r="U2128" s="1" t="s">
        <v>1174</v>
      </c>
      <c r="V2128" s="1" t="s">
        <v>807</v>
      </c>
      <c r="W2128" s="1">
        <v>60110.0</v>
      </c>
      <c r="Y2128" s="1" t="s">
        <v>13841</v>
      </c>
      <c r="Z2128" s="1">
        <v>2011.0</v>
      </c>
      <c r="AA2128" s="1" t="s">
        <v>200</v>
      </c>
      <c r="AB2128" s="1" t="s">
        <v>193</v>
      </c>
      <c r="AC2128" s="1" t="s">
        <v>1176</v>
      </c>
      <c r="AD2128" s="1" t="s">
        <v>809</v>
      </c>
      <c r="AE2128" s="1" t="s">
        <v>325</v>
      </c>
      <c r="AF2128" s="1" t="s">
        <v>810</v>
      </c>
      <c r="AG2128" s="1" t="s">
        <v>10292</v>
      </c>
      <c r="AH2128" s="1" t="s">
        <v>19979</v>
      </c>
      <c r="AI2128" s="1">
        <v>0.49</v>
      </c>
      <c r="AK2128" s="1">
        <v>9.0</v>
      </c>
      <c r="AL2128" s="1">
        <v>4.0</v>
      </c>
      <c r="AM2128" s="1">
        <v>2.0</v>
      </c>
      <c r="AN2128" s="1">
        <v>1.0</v>
      </c>
      <c r="AO2128" s="1" t="s">
        <v>198</v>
      </c>
      <c r="AQ2128" s="1" t="s">
        <v>198</v>
      </c>
      <c r="AR2128" s="1" t="s">
        <v>200</v>
      </c>
      <c r="AS2128" s="1" t="s">
        <v>199</v>
      </c>
      <c r="AT2128" s="1">
        <v>3.0</v>
      </c>
      <c r="AV2128" s="1" t="s">
        <v>200</v>
      </c>
      <c r="AW2128" s="1">
        <v>10983.28</v>
      </c>
      <c r="AX2128" s="1">
        <v>2013.0</v>
      </c>
      <c r="AY2128" s="1" t="s">
        <v>387</v>
      </c>
      <c r="AZ2128" s="1" t="s">
        <v>200</v>
      </c>
      <c r="BA2128" s="1" t="str">
        <f>"0307310010"</f>
        <v>0307310010</v>
      </c>
      <c r="BB2128" s="1" t="s">
        <v>200</v>
      </c>
      <c r="BC2128" s="1">
        <v>3036.0</v>
      </c>
      <c r="BD2128" s="1">
        <v>352000.0</v>
      </c>
      <c r="BE2128" s="2">
        <v>41913.0</v>
      </c>
      <c r="BF2128" s="2" t="s">
        <v>19980</v>
      </c>
      <c r="BG2128" s="1" t="s">
        <v>1181</v>
      </c>
      <c r="BH2128" s="1">
        <v>120.0</v>
      </c>
      <c r="BI2128" s="1" t="s">
        <v>1093</v>
      </c>
      <c r="BJ2128" s="1" t="s">
        <v>1182</v>
      </c>
      <c r="BK2128" s="1" t="s">
        <v>1952</v>
      </c>
      <c r="BL2128" s="1" t="str">
        <f>"18"</f>
        <v>18</v>
      </c>
      <c r="BM2128" s="1" t="str">
        <f>"0"</f>
        <v>0</v>
      </c>
      <c r="BN2128" s="1">
        <v>37.0</v>
      </c>
      <c r="BO2128" s="1">
        <v>0.0</v>
      </c>
      <c r="BQ2128" s="1">
        <v>300.0</v>
      </c>
      <c r="BR2128" s="1">
        <v>300.0</v>
      </c>
      <c r="BS2128" s="1">
        <v>300.0</v>
      </c>
      <c r="BU2128" s="1" t="s">
        <v>2459</v>
      </c>
      <c r="BV2128" s="1" t="s">
        <v>206</v>
      </c>
      <c r="BW2128" s="1" t="s">
        <v>210</v>
      </c>
      <c r="BX2128" s="1" t="s">
        <v>229</v>
      </c>
      <c r="BY2128" s="1" t="s">
        <v>260</v>
      </c>
      <c r="BZ2128" s="1" t="s">
        <v>209</v>
      </c>
      <c r="CA2128" s="1" t="s">
        <v>210</v>
      </c>
      <c r="CB2128" s="1" t="s">
        <v>431</v>
      </c>
      <c r="CC2128" s="1" t="s">
        <v>1183</v>
      </c>
      <c r="CD2128" s="1" t="s">
        <v>206</v>
      </c>
      <c r="CE2128" s="1" t="s">
        <v>210</v>
      </c>
      <c r="CF2128" s="1" t="s">
        <v>229</v>
      </c>
      <c r="CG2128" s="1" t="s">
        <v>215</v>
      </c>
      <c r="CH2128" s="1" t="s">
        <v>209</v>
      </c>
      <c r="CI2128" s="1" t="s">
        <v>210</v>
      </c>
      <c r="CJ2128" s="1" t="s">
        <v>431</v>
      </c>
      <c r="CK2128" s="1" t="s">
        <v>300</v>
      </c>
      <c r="CL2128" s="1" t="s">
        <v>209</v>
      </c>
      <c r="CM2128" s="1" t="s">
        <v>210</v>
      </c>
      <c r="CN2128" s="1" t="s">
        <v>431</v>
      </c>
      <c r="CO2128" s="1" t="s">
        <v>1417</v>
      </c>
      <c r="CP2128" s="1" t="s">
        <v>209</v>
      </c>
      <c r="CQ2128" s="1" t="s">
        <v>210</v>
      </c>
      <c r="CR2128" s="1" t="s">
        <v>431</v>
      </c>
      <c r="CS2128" s="1" t="s">
        <v>2800</v>
      </c>
      <c r="CT2128" s="1" t="s">
        <v>206</v>
      </c>
      <c r="CU2128" s="1" t="s">
        <v>207</v>
      </c>
      <c r="CV2128" s="1" t="s">
        <v>431</v>
      </c>
      <c r="CW2128" s="1" t="s">
        <v>5515</v>
      </c>
      <c r="CX2128" s="1" t="s">
        <v>206</v>
      </c>
      <c r="CY2128" s="1" t="s">
        <v>210</v>
      </c>
      <c r="CZ2128" s="1" t="s">
        <v>431</v>
      </c>
      <c r="DA2128" s="1" t="s">
        <v>200</v>
      </c>
      <c r="DC2128" s="1" t="s">
        <v>1046</v>
      </c>
      <c r="DD2128" s="1" t="s">
        <v>4137</v>
      </c>
      <c r="DE2128" s="1" t="s">
        <v>273</v>
      </c>
      <c r="DF2128" s="1" t="s">
        <v>219</v>
      </c>
      <c r="DG2128" s="1" t="s">
        <v>482</v>
      </c>
      <c r="DH2128" s="1" t="s">
        <v>220</v>
      </c>
      <c r="DI2128" s="1" t="s">
        <v>275</v>
      </c>
      <c r="DJ2128" s="1" t="s">
        <v>222</v>
      </c>
      <c r="DK2128" s="1" t="s">
        <v>223</v>
      </c>
      <c r="DL2128" s="1" t="s">
        <v>223</v>
      </c>
      <c r="DM2128" s="1" t="s">
        <v>338</v>
      </c>
      <c r="DN2128" s="1" t="s">
        <v>485</v>
      </c>
      <c r="DP2128" s="1" t="s">
        <v>340</v>
      </c>
      <c r="DQ2128" s="1" t="s">
        <v>441</v>
      </c>
      <c r="DR2128" s="1" t="s">
        <v>588</v>
      </c>
      <c r="DS2128" s="1" t="s">
        <v>591</v>
      </c>
      <c r="DU2128" s="1" t="s">
        <v>1187</v>
      </c>
      <c r="DV2128" s="1" t="s">
        <v>494</v>
      </c>
      <c r="DW2128" s="1" t="s">
        <v>444</v>
      </c>
      <c r="DX2128" s="1" t="s">
        <v>234</v>
      </c>
      <c r="DY2128" s="1" t="s">
        <v>490</v>
      </c>
      <c r="DZ2128" s="1" t="s">
        <v>1959</v>
      </c>
      <c r="EC2128" s="1" t="s">
        <v>237</v>
      </c>
      <c r="ED2128" s="1" t="s">
        <v>407</v>
      </c>
      <c r="EE2128" s="1" t="s">
        <v>493</v>
      </c>
      <c r="EG2128" s="1" t="s">
        <v>494</v>
      </c>
      <c r="EL2128" s="1" t="s">
        <v>1395</v>
      </c>
      <c r="EM2128" s="1" t="s">
        <v>206</v>
      </c>
      <c r="EN2128" s="1" t="s">
        <v>210</v>
      </c>
      <c r="EO2128" s="1" t="s">
        <v>431</v>
      </c>
      <c r="EQ2128" s="1" t="s">
        <v>238</v>
      </c>
      <c r="EU2128" s="1" t="s">
        <v>238</v>
      </c>
      <c r="EY2128" s="1" t="s">
        <v>238</v>
      </c>
      <c r="FC2128" s="1" t="s">
        <v>238</v>
      </c>
      <c r="FF2128" s="1" t="s">
        <v>239</v>
      </c>
      <c r="FG2128" s="1" t="s">
        <v>192</v>
      </c>
      <c r="FH2128" s="1" t="s">
        <v>192</v>
      </c>
      <c r="FJ2128" s="1" t="s">
        <v>2262</v>
      </c>
      <c r="FK2128" s="1" t="s">
        <v>348</v>
      </c>
      <c r="FL2128" s="1" t="s">
        <v>3218</v>
      </c>
      <c r="FM2128" s="1">
        <v>5123.0</v>
      </c>
      <c r="FN2128" s="1" t="s">
        <v>16437</v>
      </c>
      <c r="FO2128" s="1" t="s">
        <v>16438</v>
      </c>
      <c r="FP2128" s="1">
        <v>55320.0</v>
      </c>
      <c r="FQ2128" s="1" t="s">
        <v>16439</v>
      </c>
      <c r="FR2128" s="1">
        <v>56013.0</v>
      </c>
      <c r="FU2128" s="1" t="s">
        <v>19981</v>
      </c>
      <c r="FV2128" s="1" t="s">
        <v>200</v>
      </c>
      <c r="FW2128" s="1" t="s">
        <v>19982</v>
      </c>
      <c r="FZ2128" s="1" t="s">
        <v>229</v>
      </c>
      <c r="GA2128" s="1" t="s">
        <v>291</v>
      </c>
      <c r="GB2128" s="2">
        <v>42011.0</v>
      </c>
      <c r="GC2128" s="1" t="s">
        <v>19983</v>
      </c>
    </row>
    <row r="2129">
      <c r="A2129" s="1">
        <v>260000.0</v>
      </c>
      <c r="B2129" s="1" t="s">
        <v>185</v>
      </c>
      <c r="C2129" s="1" t="str">
        <f>"08742241"</f>
        <v>08742241</v>
      </c>
      <c r="D2129" s="1" t="s">
        <v>186</v>
      </c>
      <c r="F2129" s="1" t="str">
        <f>"560"</f>
        <v>560</v>
      </c>
      <c r="G2129" s="2">
        <v>41913.0</v>
      </c>
      <c r="H2129" s="1">
        <v>275000.0</v>
      </c>
      <c r="I2129" s="1">
        <v>10.0</v>
      </c>
      <c r="J2129" s="1">
        <v>275000.0</v>
      </c>
      <c r="K2129" s="2">
        <v>41920.0</v>
      </c>
      <c r="L2129" s="1">
        <v>10.0</v>
      </c>
      <c r="M2129" s="2">
        <v>41920.0</v>
      </c>
      <c r="N2129" s="1" t="s">
        <v>634</v>
      </c>
      <c r="O2129" s="2">
        <v>42048.0</v>
      </c>
      <c r="P2129" s="1">
        <v>319859.0</v>
      </c>
      <c r="Q2129" s="1">
        <v>306.0</v>
      </c>
      <c r="S2129" s="1">
        <v>544.0</v>
      </c>
      <c r="T2129" s="1" t="s">
        <v>19984</v>
      </c>
      <c r="U2129" s="1" t="s">
        <v>569</v>
      </c>
      <c r="V2129" s="1" t="s">
        <v>845</v>
      </c>
      <c r="W2129" s="1">
        <v>60560.0</v>
      </c>
      <c r="Y2129" s="1" t="s">
        <v>19985</v>
      </c>
      <c r="Z2129" s="1">
        <v>2005.0</v>
      </c>
      <c r="AA2129" s="1" t="s">
        <v>200</v>
      </c>
      <c r="AB2129" s="1" t="s">
        <v>467</v>
      </c>
      <c r="AC2129" s="1" t="s">
        <v>19986</v>
      </c>
      <c r="AD2129" s="1" t="s">
        <v>848</v>
      </c>
      <c r="AE2129" s="1" t="s">
        <v>849</v>
      </c>
      <c r="AF2129" s="1" t="s">
        <v>1312</v>
      </c>
      <c r="AG2129" s="1" t="s">
        <v>7490</v>
      </c>
      <c r="AH2129" s="1" t="s">
        <v>19987</v>
      </c>
      <c r="AI2129" s="1">
        <v>0.2732</v>
      </c>
      <c r="AK2129" s="1">
        <v>10.0</v>
      </c>
      <c r="AL2129" s="1">
        <v>4.0</v>
      </c>
      <c r="AM2129" s="1">
        <v>3.0</v>
      </c>
      <c r="AN2129" s="1">
        <v>1.0</v>
      </c>
      <c r="AO2129" s="1" t="s">
        <v>198</v>
      </c>
      <c r="AP2129" s="1">
        <v>1.0</v>
      </c>
      <c r="AQ2129" s="1" t="s">
        <v>1314</v>
      </c>
      <c r="AR2129" s="1" t="s">
        <v>200</v>
      </c>
      <c r="AS2129" s="1" t="s">
        <v>199</v>
      </c>
      <c r="AT2129" s="1">
        <v>3.0</v>
      </c>
      <c r="AV2129" s="1" t="s">
        <v>200</v>
      </c>
      <c r="AW2129" s="1">
        <v>8656.7</v>
      </c>
      <c r="AX2129" s="1">
        <v>2013.0</v>
      </c>
      <c r="AY2129" s="1" t="s">
        <v>387</v>
      </c>
      <c r="AZ2129" s="1" t="s">
        <v>200</v>
      </c>
      <c r="BA2129" s="1" t="str">
        <f>"0220231007"</f>
        <v>0220231007</v>
      </c>
      <c r="BC2129" s="1">
        <v>3449.0</v>
      </c>
      <c r="BD2129" s="1">
        <v>260000.0</v>
      </c>
      <c r="BE2129" s="2">
        <v>41911.0</v>
      </c>
      <c r="BF2129" s="2" t="s">
        <v>19988</v>
      </c>
      <c r="BG2129" s="1" t="s">
        <v>4624</v>
      </c>
      <c r="BH2129" s="1">
        <v>91.0</v>
      </c>
      <c r="BI2129" s="1" t="s">
        <v>3052</v>
      </c>
      <c r="BJ2129" s="1" t="s">
        <v>3052</v>
      </c>
      <c r="BK2129" s="1" t="s">
        <v>474</v>
      </c>
      <c r="BL2129" s="1" t="str">
        <f t="shared" ref="BL2129:BM2129" si="1393">""</f>
        <v/>
      </c>
      <c r="BM2129" s="1" t="str">
        <f t="shared" si="1393"/>
        <v/>
      </c>
      <c r="BQ2129" s="1">
        <v>115.0</v>
      </c>
      <c r="BR2129" s="1">
        <v>115.0</v>
      </c>
      <c r="BS2129" s="1">
        <v>115.0</v>
      </c>
      <c r="BU2129" s="1" t="s">
        <v>215</v>
      </c>
      <c r="BV2129" s="1" t="s">
        <v>206</v>
      </c>
      <c r="BW2129" s="1" t="s">
        <v>207</v>
      </c>
      <c r="BY2129" s="1" t="s">
        <v>1534</v>
      </c>
      <c r="BZ2129" s="1" t="s">
        <v>209</v>
      </c>
      <c r="CA2129" s="1" t="s">
        <v>210</v>
      </c>
      <c r="CC2129" s="1" t="s">
        <v>584</v>
      </c>
      <c r="CD2129" s="1" t="s">
        <v>206</v>
      </c>
      <c r="CE2129" s="1" t="s">
        <v>207</v>
      </c>
      <c r="CG2129" s="1" t="s">
        <v>262</v>
      </c>
      <c r="CH2129" s="1" t="s">
        <v>209</v>
      </c>
      <c r="CI2129" s="1" t="s">
        <v>210</v>
      </c>
      <c r="CK2129" s="1" t="s">
        <v>331</v>
      </c>
      <c r="CL2129" s="1" t="s">
        <v>209</v>
      </c>
      <c r="CM2129" s="1" t="s">
        <v>210</v>
      </c>
      <c r="CO2129" s="1" t="s">
        <v>332</v>
      </c>
      <c r="CP2129" s="1" t="s">
        <v>209</v>
      </c>
      <c r="CQ2129" s="1" t="s">
        <v>210</v>
      </c>
      <c r="CS2129" s="1" t="s">
        <v>19989</v>
      </c>
      <c r="CT2129" s="1" t="s">
        <v>206</v>
      </c>
      <c r="CU2129" s="1" t="s">
        <v>207</v>
      </c>
      <c r="CW2129" s="1" t="s">
        <v>1534</v>
      </c>
      <c r="CX2129" s="1" t="s">
        <v>206</v>
      </c>
      <c r="CY2129" s="1" t="s">
        <v>207</v>
      </c>
      <c r="DA2129" s="1" t="s">
        <v>200</v>
      </c>
      <c r="DC2129" s="1" t="s">
        <v>481</v>
      </c>
      <c r="DD2129" s="1" t="s">
        <v>336</v>
      </c>
      <c r="DE2129" s="1" t="s">
        <v>273</v>
      </c>
      <c r="DF2129" s="1" t="s">
        <v>219</v>
      </c>
      <c r="DG2129" s="1" t="s">
        <v>19990</v>
      </c>
      <c r="DH2129" s="1" t="s">
        <v>220</v>
      </c>
      <c r="DI2129" s="1" t="s">
        <v>1003</v>
      </c>
      <c r="DJ2129" s="1" t="s">
        <v>222</v>
      </c>
      <c r="DK2129" s="1" t="s">
        <v>223</v>
      </c>
      <c r="DL2129" s="1" t="s">
        <v>3611</v>
      </c>
      <c r="DM2129" s="1" t="s">
        <v>338</v>
      </c>
      <c r="DN2129" s="1" t="s">
        <v>485</v>
      </c>
      <c r="DP2129" s="1" t="s">
        <v>340</v>
      </c>
      <c r="DQ2129" s="1" t="s">
        <v>441</v>
      </c>
      <c r="DR2129" s="1" t="s">
        <v>19991</v>
      </c>
      <c r="DS2129" s="1" t="s">
        <v>230</v>
      </c>
      <c r="DU2129" s="1" t="s">
        <v>9153</v>
      </c>
      <c r="DV2129" s="1" t="s">
        <v>1188</v>
      </c>
      <c r="DW2129" s="1" t="s">
        <v>1072</v>
      </c>
      <c r="DX2129" s="1" t="s">
        <v>234</v>
      </c>
      <c r="DY2129" s="1" t="s">
        <v>1051</v>
      </c>
      <c r="DZ2129" s="1" t="s">
        <v>1405</v>
      </c>
      <c r="EA2129" s="1" t="s">
        <v>344</v>
      </c>
      <c r="EB2129" s="1" t="s">
        <v>5230</v>
      </c>
      <c r="EC2129" s="1" t="s">
        <v>237</v>
      </c>
      <c r="ED2129" s="1" t="s">
        <v>1406</v>
      </c>
      <c r="EE2129" s="1" t="s">
        <v>187</v>
      </c>
      <c r="EG2129" s="1" t="s">
        <v>494</v>
      </c>
      <c r="EH2129" s="1" t="s">
        <v>341</v>
      </c>
      <c r="EL2129" s="1" t="s">
        <v>699</v>
      </c>
      <c r="EM2129" s="1" t="s">
        <v>206</v>
      </c>
      <c r="EN2129" s="1" t="s">
        <v>210</v>
      </c>
      <c r="EP2129" s="1" t="s">
        <v>329</v>
      </c>
      <c r="EQ2129" s="1" t="s">
        <v>209</v>
      </c>
      <c r="ER2129" s="1" t="s">
        <v>210</v>
      </c>
      <c r="EU2129" s="1" t="s">
        <v>238</v>
      </c>
      <c r="EY2129" s="1" t="s">
        <v>238</v>
      </c>
      <c r="FC2129" s="1" t="s">
        <v>238</v>
      </c>
      <c r="FF2129" s="1" t="s">
        <v>239</v>
      </c>
      <c r="FG2129" s="1" t="s">
        <v>192</v>
      </c>
      <c r="FH2129" s="1" t="s">
        <v>192</v>
      </c>
      <c r="FJ2129" s="1" t="s">
        <v>19992</v>
      </c>
      <c r="FK2129" s="1" t="s">
        <v>1586</v>
      </c>
      <c r="FL2129" s="1" t="s">
        <v>4369</v>
      </c>
      <c r="FM2129" s="1">
        <v>23120.0</v>
      </c>
      <c r="FN2129" s="1" t="s">
        <v>4370</v>
      </c>
      <c r="FO2129" s="1" t="s">
        <v>19993</v>
      </c>
      <c r="FP2129" s="1">
        <v>221674.0</v>
      </c>
      <c r="FQ2129" s="1" t="s">
        <v>19994</v>
      </c>
      <c r="FR2129" s="1">
        <v>240373.0</v>
      </c>
      <c r="FT2129" s="1" t="s">
        <v>19995</v>
      </c>
      <c r="FU2129" s="1" t="s">
        <v>19996</v>
      </c>
      <c r="FV2129" s="1" t="s">
        <v>200</v>
      </c>
      <c r="FW2129" s="1" t="s">
        <v>12649</v>
      </c>
      <c r="FZ2129" s="1" t="s">
        <v>229</v>
      </c>
      <c r="GA2129" s="1" t="s">
        <v>291</v>
      </c>
      <c r="GB2129" s="2">
        <v>42049.0</v>
      </c>
      <c r="GC2129" s="1" t="s">
        <v>19997</v>
      </c>
    </row>
    <row r="2130">
      <c r="A2130" s="1">
        <v>285000.0</v>
      </c>
      <c r="B2130" s="1" t="s">
        <v>185</v>
      </c>
      <c r="C2130" s="1" t="str">
        <f>"08736499"</f>
        <v>08736499</v>
      </c>
      <c r="D2130" s="1" t="s">
        <v>186</v>
      </c>
      <c r="F2130" s="1" t="str">
        <f>"174"</f>
        <v>174</v>
      </c>
      <c r="G2130" s="2">
        <v>41906.0</v>
      </c>
      <c r="H2130" s="1">
        <v>339000.0</v>
      </c>
      <c r="I2130" s="1">
        <v>161.0</v>
      </c>
      <c r="J2130" s="1">
        <v>299900.0</v>
      </c>
      <c r="K2130" s="2">
        <v>42065.0</v>
      </c>
      <c r="L2130" s="1">
        <v>161.0</v>
      </c>
      <c r="M2130" s="2">
        <v>42065.0</v>
      </c>
      <c r="N2130" s="1" t="s">
        <v>187</v>
      </c>
      <c r="O2130" s="2">
        <v>42094.0</v>
      </c>
      <c r="P2130" s="1">
        <v>8483.0</v>
      </c>
      <c r="Q2130" s="1">
        <v>41.0</v>
      </c>
      <c r="S2130" s="1" t="s">
        <v>19998</v>
      </c>
      <c r="T2130" s="1" t="s">
        <v>19999</v>
      </c>
      <c r="U2130" s="1" t="s">
        <v>420</v>
      </c>
      <c r="V2130" s="1" t="s">
        <v>1200</v>
      </c>
      <c r="W2130" s="1">
        <v>60175.0</v>
      </c>
      <c r="Y2130" s="1" t="s">
        <v>20000</v>
      </c>
      <c r="Z2130" s="1">
        <v>1980.0</v>
      </c>
      <c r="AA2130" s="1" t="s">
        <v>200</v>
      </c>
      <c r="AB2130" s="1" t="s">
        <v>193</v>
      </c>
      <c r="AC2130" s="1" t="s">
        <v>20001</v>
      </c>
      <c r="AD2130" s="1" t="s">
        <v>3766</v>
      </c>
      <c r="AE2130" s="1" t="s">
        <v>325</v>
      </c>
      <c r="AF2130" s="1" t="s">
        <v>1632</v>
      </c>
      <c r="AH2130" s="1" t="s">
        <v>20002</v>
      </c>
      <c r="AI2130" s="1">
        <v>1.2663</v>
      </c>
      <c r="AK2130" s="1">
        <v>9.0</v>
      </c>
      <c r="AL2130" s="1">
        <v>4.0</v>
      </c>
      <c r="AM2130" s="1">
        <v>3.0</v>
      </c>
      <c r="AN2130" s="1">
        <v>1.0</v>
      </c>
      <c r="AO2130" s="1" t="s">
        <v>198</v>
      </c>
      <c r="AP2130" s="1">
        <v>1.0</v>
      </c>
      <c r="AQ2130" s="1" t="s">
        <v>198</v>
      </c>
      <c r="AR2130" s="1" t="s">
        <v>192</v>
      </c>
      <c r="AS2130" s="1" t="s">
        <v>199</v>
      </c>
      <c r="AT2130" s="1">
        <v>2.0</v>
      </c>
      <c r="AV2130" s="1" t="s">
        <v>200</v>
      </c>
      <c r="AW2130" s="1">
        <v>10204.56</v>
      </c>
      <c r="AX2130" s="1">
        <v>2012.0</v>
      </c>
      <c r="AZ2130" s="1" t="s">
        <v>200</v>
      </c>
      <c r="BA2130" s="1" t="str">
        <f>"0814426010"</f>
        <v>0814426010</v>
      </c>
      <c r="BC2130" s="1">
        <v>3206.0</v>
      </c>
      <c r="BD2130" s="1">
        <v>285000.0</v>
      </c>
      <c r="BE2130" s="2">
        <v>41905.0</v>
      </c>
      <c r="BF2130" s="2" t="s">
        <v>20003</v>
      </c>
      <c r="BH2130" s="1">
        <v>0.0</v>
      </c>
      <c r="BJ2130" s="1" t="s">
        <v>2200</v>
      </c>
      <c r="BK2130" s="1" t="s">
        <v>204</v>
      </c>
      <c r="BL2130" s="1" t="str">
        <f t="shared" ref="BL2130:BM2130" si="1394">""</f>
        <v/>
      </c>
      <c r="BM2130" s="1" t="str">
        <f t="shared" si="1394"/>
        <v/>
      </c>
      <c r="BQ2130" s="1">
        <v>303.0</v>
      </c>
      <c r="BR2130" s="1">
        <v>303.0</v>
      </c>
      <c r="BS2130" s="1">
        <v>303.0</v>
      </c>
      <c r="BU2130" s="1" t="s">
        <v>784</v>
      </c>
      <c r="BV2130" s="1" t="s">
        <v>206</v>
      </c>
      <c r="BW2130" s="1" t="s">
        <v>301</v>
      </c>
      <c r="BY2130" s="1" t="s">
        <v>783</v>
      </c>
      <c r="BZ2130" s="1" t="s">
        <v>206</v>
      </c>
      <c r="CA2130" s="1" t="s">
        <v>301</v>
      </c>
      <c r="CC2130" s="1" t="s">
        <v>331</v>
      </c>
      <c r="CD2130" s="1" t="s">
        <v>206</v>
      </c>
      <c r="CE2130" s="1" t="s">
        <v>301</v>
      </c>
      <c r="CG2130" s="1" t="s">
        <v>1117</v>
      </c>
      <c r="CH2130" s="1" t="s">
        <v>209</v>
      </c>
      <c r="CI2130" s="1" t="s">
        <v>301</v>
      </c>
      <c r="CK2130" s="1" t="s">
        <v>616</v>
      </c>
      <c r="CL2130" s="1" t="s">
        <v>209</v>
      </c>
      <c r="CM2130" s="1" t="s">
        <v>301</v>
      </c>
      <c r="CO2130" s="1" t="s">
        <v>584</v>
      </c>
      <c r="CP2130" s="1" t="s">
        <v>209</v>
      </c>
      <c r="CQ2130" s="1" t="s">
        <v>301</v>
      </c>
      <c r="CS2130" s="1" t="s">
        <v>453</v>
      </c>
      <c r="CT2130" s="1" t="s">
        <v>206</v>
      </c>
      <c r="CU2130" s="1" t="s">
        <v>268</v>
      </c>
      <c r="CW2130" s="1" t="s">
        <v>1535</v>
      </c>
      <c r="CX2130" s="1" t="s">
        <v>206</v>
      </c>
      <c r="CY2130" s="1" t="s">
        <v>207</v>
      </c>
      <c r="DA2130" s="1" t="s">
        <v>200</v>
      </c>
      <c r="DC2130" s="1" t="s">
        <v>395</v>
      </c>
      <c r="DD2130" s="1" t="s">
        <v>926</v>
      </c>
      <c r="DE2130" s="1" t="s">
        <v>273</v>
      </c>
      <c r="DF2130" s="1" t="s">
        <v>219</v>
      </c>
      <c r="DG2130" s="1" t="s">
        <v>1553</v>
      </c>
      <c r="DH2130" s="1" t="s">
        <v>856</v>
      </c>
      <c r="DI2130" s="1" t="s">
        <v>308</v>
      </c>
      <c r="DJ2130" s="1" t="s">
        <v>857</v>
      </c>
      <c r="DK2130" s="1" t="s">
        <v>198</v>
      </c>
      <c r="DL2130" s="1" t="s">
        <v>858</v>
      </c>
      <c r="DM2130" s="1" t="s">
        <v>929</v>
      </c>
      <c r="DO2130" s="1" t="s">
        <v>930</v>
      </c>
      <c r="DP2130" s="1" t="s">
        <v>340</v>
      </c>
      <c r="DQ2130" s="1" t="s">
        <v>931</v>
      </c>
      <c r="DR2130" s="1" t="s">
        <v>229</v>
      </c>
      <c r="DS2130" s="1" t="s">
        <v>230</v>
      </c>
      <c r="DU2130" s="1" t="s">
        <v>1637</v>
      </c>
      <c r="DV2130" s="1" t="s">
        <v>20004</v>
      </c>
      <c r="DW2130" s="1" t="s">
        <v>279</v>
      </c>
      <c r="DX2130" s="1" t="s">
        <v>234</v>
      </c>
      <c r="DY2130" s="1" t="s">
        <v>20005</v>
      </c>
      <c r="DZ2130" s="1" t="s">
        <v>19183</v>
      </c>
      <c r="EA2130" s="1" t="s">
        <v>344</v>
      </c>
      <c r="EB2130" s="1" t="s">
        <v>345</v>
      </c>
      <c r="EC2130" s="1" t="s">
        <v>237</v>
      </c>
      <c r="ED2130" s="1" t="s">
        <v>555</v>
      </c>
      <c r="EG2130" s="1" t="s">
        <v>341</v>
      </c>
      <c r="EH2130" s="1" t="s">
        <v>408</v>
      </c>
      <c r="EI2130" s="1" t="s">
        <v>310</v>
      </c>
      <c r="EL2130" s="1" t="s">
        <v>4975</v>
      </c>
      <c r="EM2130" s="1" t="s">
        <v>209</v>
      </c>
      <c r="EN2130" s="1" t="s">
        <v>301</v>
      </c>
      <c r="EP2130" s="1" t="s">
        <v>969</v>
      </c>
      <c r="EQ2130" s="1" t="s">
        <v>206</v>
      </c>
      <c r="ER2130" s="1" t="s">
        <v>268</v>
      </c>
      <c r="ET2130" s="1" t="s">
        <v>20006</v>
      </c>
      <c r="EU2130" s="1" t="s">
        <v>206</v>
      </c>
      <c r="EV2130" s="1" t="s">
        <v>588</v>
      </c>
      <c r="EY2130" s="1" t="s">
        <v>238</v>
      </c>
      <c r="FC2130" s="1" t="s">
        <v>238</v>
      </c>
      <c r="FF2130" s="1" t="s">
        <v>239</v>
      </c>
      <c r="FG2130" s="1" t="s">
        <v>192</v>
      </c>
      <c r="FH2130" s="1" t="s">
        <v>192</v>
      </c>
      <c r="FJ2130" s="1" t="s">
        <v>20007</v>
      </c>
      <c r="FK2130" s="1" t="s">
        <v>229</v>
      </c>
      <c r="FL2130" s="1" t="s">
        <v>1358</v>
      </c>
      <c r="FM2130" s="1">
        <v>23591.0</v>
      </c>
      <c r="FN2130" s="1" t="s">
        <v>2134</v>
      </c>
      <c r="FO2130" s="1" t="s">
        <v>2843</v>
      </c>
      <c r="FP2130" s="1">
        <v>230482.0</v>
      </c>
      <c r="FQ2130" s="1" t="s">
        <v>2844</v>
      </c>
      <c r="FU2130" s="1" t="s">
        <v>20008</v>
      </c>
      <c r="FV2130" s="1" t="s">
        <v>200</v>
      </c>
      <c r="FW2130" s="1" t="s">
        <v>9904</v>
      </c>
      <c r="FZ2130" s="1" t="s">
        <v>229</v>
      </c>
      <c r="GA2130" s="1" t="s">
        <v>291</v>
      </c>
      <c r="GB2130" s="2">
        <v>42094.0</v>
      </c>
      <c r="GC2130" s="1" t="s">
        <v>20009</v>
      </c>
    </row>
    <row r="2131">
      <c r="A2131" s="1">
        <v>397600.0</v>
      </c>
      <c r="B2131" s="1" t="s">
        <v>185</v>
      </c>
      <c r="C2131" s="1" t="str">
        <f>"08740709"</f>
        <v>08740709</v>
      </c>
      <c r="D2131" s="1" t="s">
        <v>186</v>
      </c>
      <c r="F2131" s="1" t="str">
        <f>"8060"</f>
        <v>8060</v>
      </c>
      <c r="G2131" s="2">
        <v>41911.0</v>
      </c>
      <c r="H2131" s="1">
        <v>479000.0</v>
      </c>
      <c r="I2131" s="1">
        <v>48.0</v>
      </c>
      <c r="J2131" s="1">
        <v>399000.0</v>
      </c>
      <c r="K2131" s="2">
        <v>41958.0</v>
      </c>
      <c r="L2131" s="1">
        <v>48.0</v>
      </c>
      <c r="M2131" s="2">
        <v>41958.0</v>
      </c>
      <c r="N2131" s="1" t="s">
        <v>187</v>
      </c>
      <c r="O2131" s="2">
        <v>42019.0</v>
      </c>
      <c r="P2131" s="1">
        <v>118492.0</v>
      </c>
      <c r="Q2131" s="1">
        <v>18031.0</v>
      </c>
      <c r="S2131" s="1">
        <v>3311.0</v>
      </c>
      <c r="T2131" s="1" t="s">
        <v>7965</v>
      </c>
      <c r="U2131" s="1" t="s">
        <v>189</v>
      </c>
      <c r="V2131" s="1" t="s">
        <v>190</v>
      </c>
      <c r="W2131" s="1">
        <v>60616.0</v>
      </c>
      <c r="Y2131" s="1" t="s">
        <v>20010</v>
      </c>
      <c r="Z2131" s="1">
        <v>1985.0</v>
      </c>
      <c r="AA2131" s="1" t="s">
        <v>200</v>
      </c>
      <c r="AB2131" s="1" t="s">
        <v>193</v>
      </c>
      <c r="AD2131" s="1" t="s">
        <v>194</v>
      </c>
      <c r="AE2131" s="1" t="s">
        <v>195</v>
      </c>
      <c r="AF2131" s="1" t="s">
        <v>1154</v>
      </c>
      <c r="AH2131" s="1" t="s">
        <v>359</v>
      </c>
      <c r="AI2131" s="1">
        <v>0.0717</v>
      </c>
      <c r="AK2131" s="1">
        <v>8.0</v>
      </c>
      <c r="AL2131" s="1">
        <v>3.0</v>
      </c>
      <c r="AM2131" s="1">
        <v>4.0</v>
      </c>
      <c r="AN2131" s="1">
        <v>0.0</v>
      </c>
      <c r="AO2131" s="1" t="s">
        <v>198</v>
      </c>
      <c r="AP2131" s="1">
        <v>1.0</v>
      </c>
      <c r="AQ2131" s="1" t="s">
        <v>198</v>
      </c>
      <c r="AR2131" s="1" t="s">
        <v>192</v>
      </c>
      <c r="AS2131" s="1" t="s">
        <v>199</v>
      </c>
      <c r="AT2131" s="1">
        <v>2.0</v>
      </c>
      <c r="AV2131" s="1" t="s">
        <v>200</v>
      </c>
      <c r="AW2131" s="1">
        <v>6496.82</v>
      </c>
      <c r="AX2131" s="1">
        <v>2013.0</v>
      </c>
      <c r="AY2131" s="1" t="s">
        <v>387</v>
      </c>
      <c r="AZ2131" s="1" t="s">
        <v>200</v>
      </c>
      <c r="BA2131" s="1" t="str">
        <f>"17331230060000"</f>
        <v>17331230060000</v>
      </c>
      <c r="BC2131" s="1">
        <v>2700.0</v>
      </c>
      <c r="BD2131" s="1">
        <v>397600.0</v>
      </c>
      <c r="BE2131" s="2">
        <v>41911.0</v>
      </c>
      <c r="BF2131" s="2" t="s">
        <v>20011</v>
      </c>
      <c r="BH2131" s="1">
        <v>0.0</v>
      </c>
      <c r="BK2131" s="1" t="s">
        <v>204</v>
      </c>
      <c r="BL2131" s="1" t="str">
        <f t="shared" ref="BL2131:BM2131" si="1395">"0"</f>
        <v>0</v>
      </c>
      <c r="BM2131" s="1" t="str">
        <f t="shared" si="1395"/>
        <v>0</v>
      </c>
      <c r="BN2131" s="1">
        <v>500.0</v>
      </c>
      <c r="BO2131" s="1">
        <v>3311.0</v>
      </c>
      <c r="BQ2131" s="1">
        <v>299.0</v>
      </c>
      <c r="BR2131" s="1">
        <v>299.0</v>
      </c>
      <c r="BS2131" s="1">
        <v>299.0</v>
      </c>
      <c r="BU2131" s="1" t="s">
        <v>5955</v>
      </c>
      <c r="BV2131" s="1" t="s">
        <v>206</v>
      </c>
      <c r="BY2131" s="1" t="s">
        <v>480</v>
      </c>
      <c r="BZ2131" s="1" t="s">
        <v>209</v>
      </c>
      <c r="CC2131" s="1" t="s">
        <v>700</v>
      </c>
      <c r="CD2131" s="1" t="s">
        <v>206</v>
      </c>
      <c r="CG2131" s="1" t="s">
        <v>815</v>
      </c>
      <c r="CH2131" s="1" t="s">
        <v>206</v>
      </c>
      <c r="CK2131" s="1" t="s">
        <v>1316</v>
      </c>
      <c r="CL2131" s="1" t="s">
        <v>206</v>
      </c>
      <c r="CO2131" s="1" t="s">
        <v>2459</v>
      </c>
      <c r="CP2131" s="1" t="s">
        <v>42</v>
      </c>
      <c r="CS2131" s="1" t="s">
        <v>480</v>
      </c>
      <c r="CT2131" s="1" t="s">
        <v>206</v>
      </c>
      <c r="CW2131" s="1" t="s">
        <v>2441</v>
      </c>
      <c r="CX2131" s="1" t="s">
        <v>42</v>
      </c>
      <c r="DA2131" s="1" t="s">
        <v>200</v>
      </c>
      <c r="DC2131" s="1" t="s">
        <v>305</v>
      </c>
      <c r="DE2131" s="1" t="s">
        <v>273</v>
      </c>
      <c r="DF2131" s="1" t="s">
        <v>219</v>
      </c>
      <c r="DG2131" s="1" t="s">
        <v>482</v>
      </c>
      <c r="DH2131" s="1" t="s">
        <v>365</v>
      </c>
      <c r="DJ2131" s="1" t="s">
        <v>222</v>
      </c>
      <c r="DL2131" s="1" t="s">
        <v>224</v>
      </c>
      <c r="DM2131" s="1" t="s">
        <v>229</v>
      </c>
      <c r="DQ2131" s="1" t="s">
        <v>228</v>
      </c>
      <c r="DR2131" s="1" t="s">
        <v>229</v>
      </c>
      <c r="DV2131" s="1" t="s">
        <v>966</v>
      </c>
      <c r="DW2131" s="1" t="s">
        <v>279</v>
      </c>
      <c r="DX2131" s="1" t="s">
        <v>234</v>
      </c>
      <c r="DY2131" s="1" t="s">
        <v>20012</v>
      </c>
      <c r="DZ2131" s="1" t="s">
        <v>310</v>
      </c>
      <c r="EC2131" s="1" t="s">
        <v>645</v>
      </c>
      <c r="ED2131" s="1" t="s">
        <v>555</v>
      </c>
      <c r="EG2131" s="1" t="s">
        <v>310</v>
      </c>
      <c r="EH2131" s="1" t="s">
        <v>968</v>
      </c>
      <c r="EL2131" s="1" t="s">
        <v>647</v>
      </c>
      <c r="EM2131" s="1" t="s">
        <v>206</v>
      </c>
      <c r="EP2131" s="1" t="s">
        <v>2242</v>
      </c>
      <c r="EQ2131" s="1" t="s">
        <v>209</v>
      </c>
      <c r="EU2131" s="1" t="s">
        <v>238</v>
      </c>
      <c r="EY2131" s="1" t="s">
        <v>238</v>
      </c>
      <c r="FC2131" s="1" t="s">
        <v>238</v>
      </c>
      <c r="FF2131" s="1" t="s">
        <v>2447</v>
      </c>
      <c r="FG2131" s="1" t="s">
        <v>192</v>
      </c>
      <c r="FH2131" s="1" t="s">
        <v>192</v>
      </c>
      <c r="FJ2131" s="1" t="s">
        <v>20013</v>
      </c>
      <c r="FK2131" s="1" t="s">
        <v>229</v>
      </c>
      <c r="FL2131" s="1" t="s">
        <v>17203</v>
      </c>
      <c r="FM2131" s="1">
        <v>18410.0</v>
      </c>
      <c r="FN2131" s="1" t="s">
        <v>17204</v>
      </c>
      <c r="FO2131" s="1" t="s">
        <v>20014</v>
      </c>
      <c r="FP2131" s="1">
        <v>151680.0</v>
      </c>
      <c r="FU2131" s="1" t="s">
        <v>20015</v>
      </c>
      <c r="FV2131" s="1" t="s">
        <v>200</v>
      </c>
      <c r="FW2131" s="1" t="s">
        <v>290</v>
      </c>
      <c r="FX2131" s="1" t="s">
        <v>655</v>
      </c>
      <c r="FZ2131" s="1" t="s">
        <v>229</v>
      </c>
      <c r="GA2131" s="1" t="s">
        <v>291</v>
      </c>
      <c r="GB2131" s="2">
        <v>42024.0</v>
      </c>
      <c r="GC2131" s="1" t="s">
        <v>20016</v>
      </c>
    </row>
    <row r="2132">
      <c r="A2132" s="1">
        <v>359990.0</v>
      </c>
      <c r="B2132" s="1" t="s">
        <v>185</v>
      </c>
      <c r="C2132" s="1" t="str">
        <f>"08738431"</f>
        <v>08738431</v>
      </c>
      <c r="D2132" s="1" t="s">
        <v>186</v>
      </c>
      <c r="F2132" s="1" t="str">
        <f>"543"</f>
        <v>543</v>
      </c>
      <c r="G2132" s="2">
        <v>41908.0</v>
      </c>
      <c r="H2132" s="1">
        <v>379990.0</v>
      </c>
      <c r="I2132" s="1">
        <v>463.0</v>
      </c>
      <c r="J2132" s="1">
        <v>359990.0</v>
      </c>
      <c r="K2132" s="2">
        <v>42078.0</v>
      </c>
      <c r="L2132" s="1">
        <v>171.0</v>
      </c>
      <c r="M2132" s="2">
        <v>42078.0</v>
      </c>
      <c r="N2132" s="1" t="s">
        <v>187</v>
      </c>
      <c r="O2132" s="2">
        <v>42108.0</v>
      </c>
      <c r="P2132" s="1">
        <v>232249.0</v>
      </c>
      <c r="Q2132" s="1">
        <v>23030.0</v>
      </c>
      <c r="S2132" s="1">
        <v>200.0</v>
      </c>
      <c r="T2132" s="1" t="s">
        <v>20017</v>
      </c>
      <c r="U2132" s="1" t="s">
        <v>420</v>
      </c>
      <c r="V2132" s="1" t="s">
        <v>1527</v>
      </c>
      <c r="W2132" s="1">
        <v>60543.0</v>
      </c>
      <c r="Y2132" s="1" t="s">
        <v>11006</v>
      </c>
      <c r="Z2132" s="1">
        <v>2014.0</v>
      </c>
      <c r="AA2132" s="1" t="s">
        <v>200</v>
      </c>
      <c r="AB2132" s="1" t="s">
        <v>467</v>
      </c>
      <c r="AC2132" s="1" t="s">
        <v>8196</v>
      </c>
      <c r="AD2132" s="1" t="s">
        <v>1529</v>
      </c>
      <c r="AE2132" s="1" t="s">
        <v>849</v>
      </c>
      <c r="AF2132" s="1" t="s">
        <v>1529</v>
      </c>
      <c r="AG2132" s="1" t="s">
        <v>20018</v>
      </c>
      <c r="AH2132" s="1" t="s">
        <v>20019</v>
      </c>
      <c r="AK2132" s="1">
        <v>10.0</v>
      </c>
      <c r="AL2132" s="1">
        <v>4.0</v>
      </c>
      <c r="AM2132" s="1">
        <v>2.0</v>
      </c>
      <c r="AN2132" s="1">
        <v>1.0</v>
      </c>
      <c r="AO2132" s="1" t="s">
        <v>198</v>
      </c>
      <c r="AP2132" s="1">
        <v>1.0</v>
      </c>
      <c r="AQ2132" s="1" t="s">
        <v>198</v>
      </c>
      <c r="AR2132" s="1" t="s">
        <v>200</v>
      </c>
      <c r="AS2132" s="1" t="s">
        <v>199</v>
      </c>
      <c r="AT2132" s="1">
        <v>3.0</v>
      </c>
      <c r="AV2132" s="1" t="s">
        <v>200</v>
      </c>
      <c r="AW2132" s="1" t="s">
        <v>575</v>
      </c>
      <c r="AX2132" s="1">
        <v>2013.0</v>
      </c>
      <c r="AZ2132" s="1" t="s">
        <v>200</v>
      </c>
      <c r="BA2132" s="1" t="str">
        <f>"0321180002"</f>
        <v>0321180002</v>
      </c>
      <c r="BB2132" s="1" t="s">
        <v>200</v>
      </c>
      <c r="BC2132" s="1">
        <v>3231.0</v>
      </c>
      <c r="BD2132" s="1">
        <v>359990.0</v>
      </c>
      <c r="BE2132" s="2">
        <v>41908.0</v>
      </c>
      <c r="BF2132" s="2" t="s">
        <v>20020</v>
      </c>
      <c r="BG2132" s="1" t="s">
        <v>8200</v>
      </c>
      <c r="BH2132" s="1">
        <v>150.0</v>
      </c>
      <c r="BI2132" s="1" t="s">
        <v>1533</v>
      </c>
      <c r="BJ2132" s="1" t="s">
        <v>1349</v>
      </c>
      <c r="BK2132" s="1" t="s">
        <v>1952</v>
      </c>
      <c r="BL2132" s="1" t="str">
        <f t="shared" ref="BL2132:BM2132" si="1396">""</f>
        <v/>
      </c>
      <c r="BM2132" s="1" t="str">
        <f t="shared" si="1396"/>
        <v/>
      </c>
      <c r="BQ2132" s="1">
        <v>308.0</v>
      </c>
      <c r="BR2132" s="1">
        <v>308.0</v>
      </c>
      <c r="BS2132" s="1">
        <v>308.0</v>
      </c>
      <c r="BV2132" s="1" t="s">
        <v>204</v>
      </c>
      <c r="BY2132" s="1" t="s">
        <v>361</v>
      </c>
      <c r="BZ2132" s="1" t="s">
        <v>209</v>
      </c>
      <c r="CA2132" s="1" t="s">
        <v>210</v>
      </c>
      <c r="CC2132" s="1" t="s">
        <v>331</v>
      </c>
      <c r="CD2132" s="1" t="s">
        <v>206</v>
      </c>
      <c r="CE2132" s="1" t="s">
        <v>207</v>
      </c>
      <c r="CG2132" s="1" t="s">
        <v>699</v>
      </c>
      <c r="CH2132" s="1" t="s">
        <v>209</v>
      </c>
      <c r="CI2132" s="1" t="s">
        <v>210</v>
      </c>
      <c r="CK2132" s="1" t="s">
        <v>212</v>
      </c>
      <c r="CL2132" s="1" t="s">
        <v>209</v>
      </c>
      <c r="CM2132" s="1" t="s">
        <v>210</v>
      </c>
      <c r="CO2132" s="1" t="s">
        <v>699</v>
      </c>
      <c r="CP2132" s="1" t="s">
        <v>209</v>
      </c>
      <c r="CQ2132" s="1" t="s">
        <v>210</v>
      </c>
      <c r="CS2132" s="1" t="s">
        <v>392</v>
      </c>
      <c r="CT2132" s="1" t="s">
        <v>206</v>
      </c>
      <c r="CU2132" s="1" t="s">
        <v>207</v>
      </c>
      <c r="CW2132" s="1" t="s">
        <v>477</v>
      </c>
      <c r="CX2132" s="1" t="s">
        <v>206</v>
      </c>
      <c r="CY2132" s="1" t="s">
        <v>207</v>
      </c>
      <c r="DA2132" s="1" t="s">
        <v>192</v>
      </c>
      <c r="DB2132" s="2">
        <v>42093.0</v>
      </c>
      <c r="DC2132" s="1" t="s">
        <v>1353</v>
      </c>
      <c r="DD2132" s="1" t="s">
        <v>396</v>
      </c>
      <c r="DE2132" s="1" t="s">
        <v>273</v>
      </c>
      <c r="DF2132" s="1" t="s">
        <v>219</v>
      </c>
      <c r="DG2132" s="1" t="s">
        <v>8201</v>
      </c>
      <c r="DH2132" s="1" t="s">
        <v>220</v>
      </c>
      <c r="DI2132" s="1" t="s">
        <v>589</v>
      </c>
      <c r="DJ2132" s="1" t="s">
        <v>222</v>
      </c>
      <c r="DK2132" s="1" t="s">
        <v>223</v>
      </c>
      <c r="DL2132" s="1" t="s">
        <v>3611</v>
      </c>
      <c r="DM2132" s="1" t="s">
        <v>338</v>
      </c>
      <c r="DN2132" s="1" t="s">
        <v>485</v>
      </c>
      <c r="DP2132" s="1" t="s">
        <v>340</v>
      </c>
      <c r="DQ2132" s="1" t="s">
        <v>228</v>
      </c>
      <c r="DR2132" s="1" t="s">
        <v>588</v>
      </c>
      <c r="DS2132" s="1" t="s">
        <v>368</v>
      </c>
      <c r="DU2132" s="1" t="s">
        <v>550</v>
      </c>
      <c r="DV2132" s="1" t="s">
        <v>17833</v>
      </c>
      <c r="DW2132" s="1" t="s">
        <v>8203</v>
      </c>
      <c r="DX2132" s="1" t="s">
        <v>234</v>
      </c>
      <c r="DY2132" s="1" t="s">
        <v>490</v>
      </c>
      <c r="EA2132" s="1" t="s">
        <v>344</v>
      </c>
      <c r="EB2132" s="1" t="s">
        <v>8204</v>
      </c>
      <c r="EC2132" s="1" t="s">
        <v>237</v>
      </c>
      <c r="EG2132" s="1" t="s">
        <v>449</v>
      </c>
      <c r="EH2132" s="1" t="s">
        <v>1028</v>
      </c>
      <c r="EI2132" s="1" t="s">
        <v>557</v>
      </c>
      <c r="EL2132" s="1" t="s">
        <v>264</v>
      </c>
      <c r="EM2132" s="1" t="s">
        <v>206</v>
      </c>
      <c r="EN2132" s="1" t="s">
        <v>207</v>
      </c>
      <c r="EP2132" s="1" t="s">
        <v>1417</v>
      </c>
      <c r="EQ2132" s="1" t="s">
        <v>206</v>
      </c>
      <c r="ER2132" s="1" t="s">
        <v>207</v>
      </c>
      <c r="ET2132" s="1" t="s">
        <v>583</v>
      </c>
      <c r="EU2132" s="1" t="s">
        <v>209</v>
      </c>
      <c r="EV2132" s="1" t="s">
        <v>210</v>
      </c>
      <c r="EY2132" s="1" t="s">
        <v>238</v>
      </c>
      <c r="FC2132" s="1" t="s">
        <v>238</v>
      </c>
      <c r="FF2132" s="1" t="s">
        <v>239</v>
      </c>
      <c r="FG2132" s="1" t="s">
        <v>192</v>
      </c>
      <c r="FH2132" s="1" t="s">
        <v>192</v>
      </c>
      <c r="FJ2132" s="1" t="s">
        <v>11001</v>
      </c>
      <c r="FK2132" s="1" t="s">
        <v>229</v>
      </c>
      <c r="FL2132" s="1" t="s">
        <v>8206</v>
      </c>
      <c r="FM2132" s="1">
        <v>23223.0</v>
      </c>
      <c r="FN2132" s="1" t="s">
        <v>8207</v>
      </c>
      <c r="FO2132" s="1" t="s">
        <v>8208</v>
      </c>
      <c r="FP2132" s="1">
        <v>236300.0</v>
      </c>
      <c r="FR2132" s="1">
        <v>210778.0</v>
      </c>
      <c r="FT2132" s="1" t="s">
        <v>11002</v>
      </c>
      <c r="FU2132" s="1" t="s">
        <v>11003</v>
      </c>
      <c r="FV2132" s="1" t="s">
        <v>200</v>
      </c>
      <c r="FW2132" s="1" t="s">
        <v>8211</v>
      </c>
      <c r="FZ2132" s="1" t="s">
        <v>229</v>
      </c>
      <c r="GA2132" s="1" t="s">
        <v>247</v>
      </c>
      <c r="GB2132" s="2">
        <v>42108.0</v>
      </c>
      <c r="GC2132" s="1" t="s">
        <v>20021</v>
      </c>
    </row>
    <row r="2133">
      <c r="A2133" s="1">
        <v>252900.0</v>
      </c>
      <c r="B2133" s="1" t="s">
        <v>185</v>
      </c>
      <c r="C2133" s="1" t="str">
        <f>"08743822"</f>
        <v>08743822</v>
      </c>
      <c r="D2133" s="1" t="s">
        <v>186</v>
      </c>
      <c r="F2133" s="1" t="str">
        <f>"542"</f>
        <v>542</v>
      </c>
      <c r="G2133" s="2">
        <v>41914.0</v>
      </c>
      <c r="H2133" s="1">
        <v>259900.0</v>
      </c>
      <c r="I2133" s="1">
        <v>171.0</v>
      </c>
      <c r="J2133" s="1">
        <v>257900.0</v>
      </c>
      <c r="K2133" s="2">
        <v>42084.0</v>
      </c>
      <c r="L2133" s="1">
        <v>171.0</v>
      </c>
      <c r="M2133" s="2">
        <v>42084.0</v>
      </c>
      <c r="N2133" s="1" t="s">
        <v>187</v>
      </c>
      <c r="O2133" s="2">
        <v>42124.0</v>
      </c>
      <c r="P2133" s="1">
        <v>237447.0</v>
      </c>
      <c r="Q2133" s="1">
        <v>24811.0</v>
      </c>
      <c r="S2133" s="1">
        <v>1550.0</v>
      </c>
      <c r="T2133" s="1" t="s">
        <v>13558</v>
      </c>
      <c r="U2133" s="1" t="s">
        <v>189</v>
      </c>
      <c r="V2133" s="1" t="s">
        <v>3984</v>
      </c>
      <c r="W2133" s="1">
        <v>60542.0</v>
      </c>
      <c r="Y2133" s="1" t="s">
        <v>20022</v>
      </c>
      <c r="Z2133" s="1">
        <v>2000.0</v>
      </c>
      <c r="AA2133" s="1" t="s">
        <v>200</v>
      </c>
      <c r="AB2133" s="1" t="s">
        <v>193</v>
      </c>
      <c r="AC2133" s="1" t="s">
        <v>20023</v>
      </c>
      <c r="AD2133" s="1" t="s">
        <v>3826</v>
      </c>
      <c r="AE2133" s="1" t="s">
        <v>325</v>
      </c>
      <c r="AF2133" s="1" t="s">
        <v>2702</v>
      </c>
      <c r="AH2133" s="1" t="s">
        <v>20024</v>
      </c>
      <c r="AI2133" s="1">
        <v>0.2103</v>
      </c>
      <c r="AK2133" s="1">
        <v>8.0</v>
      </c>
      <c r="AL2133" s="1">
        <v>4.0</v>
      </c>
      <c r="AM2133" s="1">
        <v>2.0</v>
      </c>
      <c r="AN2133" s="1">
        <v>1.0</v>
      </c>
      <c r="AO2133" s="1" t="s">
        <v>198</v>
      </c>
      <c r="AP2133" s="1">
        <v>1.0</v>
      </c>
      <c r="AQ2133" s="1" t="s">
        <v>198</v>
      </c>
      <c r="AR2133" s="1" t="s">
        <v>200</v>
      </c>
      <c r="AS2133" s="1" t="s">
        <v>199</v>
      </c>
      <c r="AT2133" s="1">
        <v>2.0</v>
      </c>
      <c r="AV2133" s="1" t="s">
        <v>200</v>
      </c>
      <c r="AW2133" s="1">
        <v>7248.06</v>
      </c>
      <c r="AX2133" s="1">
        <v>2013.0</v>
      </c>
      <c r="AY2133" s="1" t="s">
        <v>387</v>
      </c>
      <c r="AZ2133" s="1" t="s">
        <v>200</v>
      </c>
      <c r="BA2133" s="1" t="str">
        <f>"1231279005"</f>
        <v>1231279005</v>
      </c>
      <c r="BB2133" s="1" t="s">
        <v>200</v>
      </c>
      <c r="BC2133" s="1">
        <v>2420.0</v>
      </c>
      <c r="BD2133" s="1">
        <v>252900.0</v>
      </c>
      <c r="BE2133" s="2">
        <v>41914.0</v>
      </c>
      <c r="BF2133" s="2" t="s">
        <v>20025</v>
      </c>
      <c r="BG2133" s="1" t="s">
        <v>4420</v>
      </c>
      <c r="BH2133" s="1">
        <v>60.0</v>
      </c>
      <c r="BI2133" s="1" t="s">
        <v>9543</v>
      </c>
      <c r="BJ2133" s="1" t="s">
        <v>3831</v>
      </c>
      <c r="BK2133" s="1" t="s">
        <v>1952</v>
      </c>
      <c r="BL2133" s="1" t="str">
        <f t="shared" ref="BL2133:BM2133" si="1397">"0"</f>
        <v>0</v>
      </c>
      <c r="BM2133" s="1" t="str">
        <f t="shared" si="1397"/>
        <v>0</v>
      </c>
      <c r="BN2133" s="1">
        <v>37.0</v>
      </c>
      <c r="BO2133" s="1">
        <v>3.0</v>
      </c>
      <c r="BQ2133" s="1">
        <v>129.0</v>
      </c>
      <c r="BR2133" s="1">
        <v>129.0</v>
      </c>
      <c r="BS2133" s="1">
        <v>129.0</v>
      </c>
      <c r="BU2133" s="1" t="s">
        <v>393</v>
      </c>
      <c r="BV2133" s="1" t="s">
        <v>206</v>
      </c>
      <c r="BW2133" s="1" t="s">
        <v>210</v>
      </c>
      <c r="BX2133" s="1" t="s">
        <v>1549</v>
      </c>
      <c r="BY2133" s="1" t="s">
        <v>743</v>
      </c>
      <c r="BZ2133" s="1" t="s">
        <v>209</v>
      </c>
      <c r="CA2133" s="1" t="s">
        <v>210</v>
      </c>
      <c r="CB2133" s="1" t="s">
        <v>1549</v>
      </c>
      <c r="CC2133" s="1" t="s">
        <v>331</v>
      </c>
      <c r="CD2133" s="1" t="s">
        <v>206</v>
      </c>
      <c r="CE2133" s="1" t="s">
        <v>210</v>
      </c>
      <c r="CF2133" s="1" t="s">
        <v>1549</v>
      </c>
      <c r="CG2133" s="1" t="s">
        <v>212</v>
      </c>
      <c r="CH2133" s="1" t="s">
        <v>209</v>
      </c>
      <c r="CI2133" s="1" t="s">
        <v>210</v>
      </c>
      <c r="CJ2133" s="1" t="s">
        <v>1118</v>
      </c>
      <c r="CK2133" s="1" t="s">
        <v>212</v>
      </c>
      <c r="CL2133" s="1" t="s">
        <v>7446</v>
      </c>
      <c r="CM2133" s="1" t="s">
        <v>210</v>
      </c>
      <c r="CN2133" s="1" t="s">
        <v>431</v>
      </c>
      <c r="CO2133" s="1" t="s">
        <v>332</v>
      </c>
      <c r="CP2133" s="1" t="s">
        <v>209</v>
      </c>
      <c r="CQ2133" s="1" t="s">
        <v>210</v>
      </c>
      <c r="CR2133" s="1" t="s">
        <v>229</v>
      </c>
      <c r="CS2133" s="1" t="s">
        <v>331</v>
      </c>
      <c r="CT2133" s="1" t="s">
        <v>206</v>
      </c>
      <c r="CU2133" s="1" t="s">
        <v>617</v>
      </c>
      <c r="CV2133" s="1" t="s">
        <v>229</v>
      </c>
      <c r="CW2133" s="1" t="s">
        <v>213</v>
      </c>
      <c r="CX2133" s="1" t="s">
        <v>206</v>
      </c>
      <c r="CY2133" s="1" t="s">
        <v>210</v>
      </c>
      <c r="CZ2133" s="1" t="s">
        <v>1549</v>
      </c>
      <c r="DA2133" s="1" t="s">
        <v>200</v>
      </c>
      <c r="DC2133" s="1" t="s">
        <v>335</v>
      </c>
      <c r="DD2133" s="1" t="s">
        <v>518</v>
      </c>
      <c r="DE2133" s="1" t="s">
        <v>273</v>
      </c>
      <c r="DF2133" s="1" t="s">
        <v>619</v>
      </c>
      <c r="DH2133" s="1" t="s">
        <v>220</v>
      </c>
      <c r="DI2133" s="1" t="s">
        <v>732</v>
      </c>
      <c r="DJ2133" s="1" t="s">
        <v>222</v>
      </c>
      <c r="DK2133" s="1" t="s">
        <v>198</v>
      </c>
      <c r="DL2133" s="1" t="s">
        <v>223</v>
      </c>
      <c r="DM2133" s="1" t="s">
        <v>1247</v>
      </c>
      <c r="DN2133" s="1" t="s">
        <v>1486</v>
      </c>
      <c r="DO2133" s="1" t="s">
        <v>6733</v>
      </c>
      <c r="DP2133" s="1" t="s">
        <v>340</v>
      </c>
      <c r="DQ2133" s="1" t="s">
        <v>228</v>
      </c>
      <c r="DR2133" s="1" t="s">
        <v>588</v>
      </c>
      <c r="DS2133" s="1" t="s">
        <v>230</v>
      </c>
      <c r="DV2133" s="1" t="s">
        <v>232</v>
      </c>
      <c r="DW2133" s="1" t="s">
        <v>891</v>
      </c>
      <c r="DX2133" s="1" t="s">
        <v>3205</v>
      </c>
      <c r="DY2133" s="1" t="s">
        <v>1189</v>
      </c>
      <c r="DZ2133" s="1" t="s">
        <v>310</v>
      </c>
      <c r="EA2133" s="1" t="s">
        <v>344</v>
      </c>
      <c r="EC2133" s="1" t="s">
        <v>237</v>
      </c>
      <c r="ED2133" s="1" t="s">
        <v>407</v>
      </c>
      <c r="EE2133" s="1" t="s">
        <v>522</v>
      </c>
      <c r="EM2133" s="1" t="s">
        <v>238</v>
      </c>
      <c r="EQ2133" s="1" t="s">
        <v>238</v>
      </c>
      <c r="EU2133" s="1" t="s">
        <v>238</v>
      </c>
      <c r="EY2133" s="1" t="s">
        <v>238</v>
      </c>
      <c r="FC2133" s="1" t="s">
        <v>238</v>
      </c>
      <c r="FF2133" s="1" t="s">
        <v>239</v>
      </c>
      <c r="FG2133" s="1" t="s">
        <v>192</v>
      </c>
      <c r="FH2133" s="1" t="s">
        <v>192</v>
      </c>
      <c r="FJ2133" s="1" t="s">
        <v>20026</v>
      </c>
      <c r="FK2133" s="1" t="s">
        <v>229</v>
      </c>
      <c r="FL2133" s="1" t="s">
        <v>20027</v>
      </c>
      <c r="FM2133" s="1">
        <v>345.0</v>
      </c>
      <c r="FN2133" s="1" t="s">
        <v>20028</v>
      </c>
      <c r="FO2133" s="1" t="s">
        <v>20029</v>
      </c>
      <c r="FP2133" s="1">
        <v>77056.0</v>
      </c>
      <c r="FQ2133" s="1" t="s">
        <v>20028</v>
      </c>
      <c r="FU2133" s="1" t="s">
        <v>20030</v>
      </c>
      <c r="FV2133" s="1" t="s">
        <v>200</v>
      </c>
      <c r="FW2133" s="1" t="s">
        <v>1293</v>
      </c>
      <c r="FZ2133" s="1" t="s">
        <v>229</v>
      </c>
      <c r="GA2133" s="1" t="s">
        <v>291</v>
      </c>
      <c r="GB2133" s="2">
        <v>42126.0</v>
      </c>
      <c r="GC2133" s="1" t="s">
        <v>20031</v>
      </c>
    </row>
    <row r="2134">
      <c r="A2134" s="1">
        <v>202000.0</v>
      </c>
      <c r="B2134" s="1" t="s">
        <v>185</v>
      </c>
      <c r="C2134" s="1" t="str">
        <f>"08738990"</f>
        <v>08738990</v>
      </c>
      <c r="D2134" s="1" t="s">
        <v>186</v>
      </c>
      <c r="F2134" s="1" t="str">
        <f>"110"</f>
        <v>110</v>
      </c>
      <c r="G2134" s="2">
        <v>41908.0</v>
      </c>
      <c r="H2134" s="1">
        <v>234500.0</v>
      </c>
      <c r="I2134" s="1">
        <v>161.0</v>
      </c>
      <c r="J2134" s="1">
        <v>201100.0</v>
      </c>
      <c r="K2134" s="2">
        <v>42068.0</v>
      </c>
      <c r="L2134" s="1">
        <v>161.0</v>
      </c>
      <c r="M2134" s="2">
        <v>42068.0</v>
      </c>
      <c r="N2134" s="1" t="s">
        <v>187</v>
      </c>
      <c r="O2134" s="2">
        <v>42118.0</v>
      </c>
      <c r="P2134" s="1">
        <v>124380.0</v>
      </c>
      <c r="Q2134" s="1">
        <v>11041.0</v>
      </c>
      <c r="S2134" s="1">
        <v>6413.0</v>
      </c>
      <c r="T2134" s="1" t="s">
        <v>20032</v>
      </c>
      <c r="U2134" s="1" t="s">
        <v>1174</v>
      </c>
      <c r="V2134" s="1" t="s">
        <v>807</v>
      </c>
      <c r="W2134" s="1">
        <v>60110.0</v>
      </c>
      <c r="Y2134" s="1" t="s">
        <v>20033</v>
      </c>
      <c r="Z2134" s="1">
        <v>2001.0</v>
      </c>
      <c r="AA2134" s="1" t="s">
        <v>200</v>
      </c>
      <c r="AB2134" s="1" t="s">
        <v>467</v>
      </c>
      <c r="AC2134" s="1" t="s">
        <v>17132</v>
      </c>
      <c r="AD2134" s="1" t="s">
        <v>809</v>
      </c>
      <c r="AE2134" s="1" t="s">
        <v>325</v>
      </c>
      <c r="AF2134" s="1" t="s">
        <v>810</v>
      </c>
      <c r="AH2134" s="1" t="s">
        <v>20034</v>
      </c>
      <c r="AI2134" s="1">
        <v>0.1438</v>
      </c>
      <c r="AK2134" s="1">
        <v>10.0</v>
      </c>
      <c r="AL2134" s="1">
        <v>4.0</v>
      </c>
      <c r="AM2134" s="1">
        <v>2.0</v>
      </c>
      <c r="AN2134" s="1">
        <v>2.0</v>
      </c>
      <c r="AO2134" s="1" t="s">
        <v>198</v>
      </c>
      <c r="AQ2134" s="1" t="s">
        <v>198</v>
      </c>
      <c r="AR2134" s="1" t="s">
        <v>192</v>
      </c>
      <c r="AS2134" s="1" t="s">
        <v>199</v>
      </c>
      <c r="AT2134" s="1">
        <v>2.0</v>
      </c>
      <c r="AV2134" s="1" t="s">
        <v>200</v>
      </c>
      <c r="AW2134" s="1">
        <v>7881.54</v>
      </c>
      <c r="AX2134" s="1">
        <v>2013.0</v>
      </c>
      <c r="AZ2134" s="1" t="s">
        <v>200</v>
      </c>
      <c r="BA2134" s="1" t="str">
        <f>"0308455017"</f>
        <v>0308455017</v>
      </c>
      <c r="BC2134" s="1">
        <v>2188.0</v>
      </c>
      <c r="BD2134" s="1">
        <v>202000.0</v>
      </c>
      <c r="BE2134" s="2">
        <v>41908.0</v>
      </c>
      <c r="BF2134" s="2" t="s">
        <v>20035</v>
      </c>
      <c r="BH2134" s="1">
        <v>176.0</v>
      </c>
      <c r="BK2134" s="1" t="s">
        <v>580</v>
      </c>
      <c r="BL2134" s="1" t="str">
        <f>"18"</f>
        <v>18</v>
      </c>
      <c r="BM2134" s="1" t="str">
        <f>"0"</f>
        <v>0</v>
      </c>
      <c r="BN2134" s="1">
        <v>36.0</v>
      </c>
      <c r="BO2134" s="1">
        <v>0.0</v>
      </c>
      <c r="BQ2134" s="1">
        <v>300.0</v>
      </c>
      <c r="BR2134" s="1">
        <v>300.0</v>
      </c>
      <c r="BS2134" s="1">
        <v>300.0</v>
      </c>
      <c r="BU2134" s="1" t="s">
        <v>584</v>
      </c>
      <c r="BV2134" s="1" t="s">
        <v>206</v>
      </c>
      <c r="BY2134" s="1" t="s">
        <v>664</v>
      </c>
      <c r="BZ2134" s="1" t="s">
        <v>209</v>
      </c>
      <c r="CC2134" s="1" t="s">
        <v>215</v>
      </c>
      <c r="CD2134" s="1" t="s">
        <v>206</v>
      </c>
      <c r="CG2134" s="1" t="s">
        <v>212</v>
      </c>
      <c r="CH2134" s="1" t="s">
        <v>209</v>
      </c>
      <c r="CK2134" s="1" t="s">
        <v>495</v>
      </c>
      <c r="CL2134" s="1" t="s">
        <v>209</v>
      </c>
      <c r="CO2134" s="1" t="s">
        <v>495</v>
      </c>
      <c r="CP2134" s="1" t="s">
        <v>209</v>
      </c>
      <c r="CS2134" s="1" t="s">
        <v>390</v>
      </c>
      <c r="CT2134" s="1" t="s">
        <v>206</v>
      </c>
      <c r="CW2134" s="1" t="s">
        <v>583</v>
      </c>
      <c r="CX2134" s="1" t="s">
        <v>206</v>
      </c>
      <c r="DA2134" s="1" t="s">
        <v>200</v>
      </c>
      <c r="DC2134" s="1" t="s">
        <v>335</v>
      </c>
      <c r="DD2134" s="1" t="s">
        <v>336</v>
      </c>
      <c r="DE2134" s="1" t="s">
        <v>273</v>
      </c>
      <c r="DF2134" s="1" t="s">
        <v>219</v>
      </c>
      <c r="DG2134" s="1" t="s">
        <v>4976</v>
      </c>
      <c r="DH2134" s="1" t="s">
        <v>220</v>
      </c>
      <c r="DJ2134" s="1" t="s">
        <v>222</v>
      </c>
      <c r="DL2134" s="1" t="s">
        <v>224</v>
      </c>
      <c r="DM2134" s="1" t="s">
        <v>229</v>
      </c>
      <c r="DN2134" s="1" t="s">
        <v>548</v>
      </c>
      <c r="DP2134" s="1" t="s">
        <v>340</v>
      </c>
      <c r="DQ2134" s="1" t="s">
        <v>228</v>
      </c>
      <c r="DR2134" s="1" t="s">
        <v>588</v>
      </c>
      <c r="DV2134" s="1" t="s">
        <v>7291</v>
      </c>
      <c r="DW2134" s="1" t="s">
        <v>2602</v>
      </c>
      <c r="DX2134" s="1" t="s">
        <v>234</v>
      </c>
      <c r="DY2134" s="1" t="s">
        <v>1006</v>
      </c>
      <c r="DZ2134" s="1" t="s">
        <v>20036</v>
      </c>
      <c r="EA2134" s="1" t="s">
        <v>1027</v>
      </c>
      <c r="EC2134" s="1" t="s">
        <v>645</v>
      </c>
      <c r="EG2134" s="1" t="s">
        <v>494</v>
      </c>
      <c r="EH2134" s="1" t="s">
        <v>450</v>
      </c>
      <c r="EL2134" s="1" t="s">
        <v>5211</v>
      </c>
      <c r="EM2134" s="1" t="s">
        <v>42</v>
      </c>
      <c r="EP2134" s="1" t="s">
        <v>715</v>
      </c>
      <c r="EQ2134" s="1" t="s">
        <v>42</v>
      </c>
      <c r="EU2134" s="1" t="s">
        <v>238</v>
      </c>
      <c r="EY2134" s="1" t="s">
        <v>238</v>
      </c>
      <c r="FC2134" s="1" t="s">
        <v>238</v>
      </c>
      <c r="FF2134" s="1" t="s">
        <v>239</v>
      </c>
      <c r="FG2134" s="1" t="s">
        <v>192</v>
      </c>
      <c r="FH2134" s="1" t="s">
        <v>192</v>
      </c>
      <c r="FJ2134" s="1" t="s">
        <v>347</v>
      </c>
      <c r="FK2134" s="1" t="s">
        <v>229</v>
      </c>
      <c r="FL2134" s="1" t="s">
        <v>3433</v>
      </c>
      <c r="FM2134" s="1">
        <v>5293.0</v>
      </c>
      <c r="FN2134" s="1" t="s">
        <v>3434</v>
      </c>
      <c r="FO2134" s="1" t="s">
        <v>3435</v>
      </c>
      <c r="FP2134" s="1">
        <v>53957.0</v>
      </c>
      <c r="FU2134" s="1" t="s">
        <v>2697</v>
      </c>
      <c r="FV2134" s="1" t="s">
        <v>200</v>
      </c>
      <c r="FW2134" s="1" t="s">
        <v>290</v>
      </c>
      <c r="FZ2134" s="1" t="s">
        <v>229</v>
      </c>
      <c r="GA2134" s="1" t="s">
        <v>291</v>
      </c>
      <c r="GB2134" s="2">
        <v>42121.0</v>
      </c>
      <c r="GC2134" s="1" t="s">
        <v>20037</v>
      </c>
    </row>
    <row r="2135">
      <c r="A2135" s="1">
        <v>165000.0</v>
      </c>
      <c r="B2135" s="1" t="s">
        <v>185</v>
      </c>
      <c r="C2135" s="1" t="str">
        <f>"08742165"</f>
        <v>08742165</v>
      </c>
      <c r="D2135" s="1" t="s">
        <v>186</v>
      </c>
      <c r="F2135" s="1" t="str">
        <f>"8075"</f>
        <v>8075</v>
      </c>
      <c r="G2135" s="2">
        <v>41913.0</v>
      </c>
      <c r="H2135" s="1">
        <v>170000.0</v>
      </c>
      <c r="I2135" s="1">
        <v>30.0</v>
      </c>
      <c r="J2135" s="1">
        <v>170000.0</v>
      </c>
      <c r="K2135" s="2">
        <v>41942.0</v>
      </c>
      <c r="L2135" s="1">
        <v>30.0</v>
      </c>
      <c r="M2135" s="2">
        <v>41942.0</v>
      </c>
      <c r="N2135" s="1" t="s">
        <v>187</v>
      </c>
      <c r="O2135" s="2">
        <v>42093.0</v>
      </c>
      <c r="P2135" s="1">
        <v>99995.0</v>
      </c>
      <c r="Q2135" s="1" t="s">
        <v>947</v>
      </c>
      <c r="R2135" s="1">
        <v>6000.0</v>
      </c>
      <c r="S2135" s="1">
        <v>10822.0</v>
      </c>
      <c r="T2135" s="1" t="s">
        <v>10948</v>
      </c>
      <c r="U2135" s="1" t="s">
        <v>320</v>
      </c>
      <c r="V2135" s="1" t="s">
        <v>190</v>
      </c>
      <c r="W2135" s="1">
        <v>60643.0</v>
      </c>
      <c r="Y2135" s="1" t="s">
        <v>20038</v>
      </c>
      <c r="Z2135" s="1">
        <v>1912.0</v>
      </c>
      <c r="AA2135" s="1" t="s">
        <v>192</v>
      </c>
      <c r="AB2135" s="1" t="s">
        <v>193</v>
      </c>
      <c r="AD2135" s="1" t="s">
        <v>194</v>
      </c>
      <c r="AE2135" s="1" t="s">
        <v>195</v>
      </c>
      <c r="AF2135" s="1" t="s">
        <v>659</v>
      </c>
      <c r="AH2135" s="1" t="s">
        <v>13997</v>
      </c>
      <c r="AI2135" s="1">
        <v>0.1515</v>
      </c>
      <c r="AK2135" s="1">
        <v>7.0</v>
      </c>
      <c r="AL2135" s="1">
        <v>3.0</v>
      </c>
      <c r="AM2135" s="1">
        <v>2.0</v>
      </c>
      <c r="AN2135" s="1">
        <v>0.0</v>
      </c>
      <c r="AO2135" s="1" t="s">
        <v>198</v>
      </c>
      <c r="AP2135" s="1">
        <v>1.0</v>
      </c>
      <c r="AQ2135" s="1" t="s">
        <v>198</v>
      </c>
      <c r="AR2135" s="1" t="s">
        <v>192</v>
      </c>
      <c r="AS2135" s="1" t="s">
        <v>199</v>
      </c>
      <c r="AT2135" s="1">
        <v>2.0</v>
      </c>
      <c r="AV2135" s="1" t="s">
        <v>200</v>
      </c>
      <c r="AW2135" s="1">
        <v>2297.0</v>
      </c>
      <c r="AX2135" s="1">
        <v>2013.0</v>
      </c>
      <c r="AY2135" s="1" t="s">
        <v>387</v>
      </c>
      <c r="AZ2135" s="1" t="s">
        <v>200</v>
      </c>
      <c r="BA2135" s="1" t="str">
        <f>"25173000350000"</f>
        <v>25173000350000</v>
      </c>
      <c r="BC2135" s="1">
        <v>1592.0</v>
      </c>
      <c r="BD2135" s="1">
        <v>165000.0</v>
      </c>
      <c r="BE2135" s="2">
        <v>41913.0</v>
      </c>
      <c r="BF2135" s="1" t="s">
        <v>20039</v>
      </c>
      <c r="BH2135" s="1">
        <v>0.0</v>
      </c>
      <c r="BK2135" s="1" t="s">
        <v>204</v>
      </c>
      <c r="BL2135" s="1" t="str">
        <f t="shared" ref="BL2135:BM2135" si="1398">"0"</f>
        <v>0</v>
      </c>
      <c r="BM2135" s="1" t="str">
        <f t="shared" si="1398"/>
        <v>0</v>
      </c>
      <c r="BN2135" s="1">
        <v>1500.0</v>
      </c>
      <c r="BO2135" s="1">
        <v>10800.0</v>
      </c>
      <c r="BQ2135" s="1">
        <v>299.0</v>
      </c>
      <c r="BR2135" s="1">
        <v>299.0</v>
      </c>
      <c r="BS2135" s="1">
        <v>299.0</v>
      </c>
      <c r="BU2135" s="1" t="s">
        <v>1183</v>
      </c>
      <c r="BV2135" s="1" t="s">
        <v>206</v>
      </c>
      <c r="BW2135" s="1" t="s">
        <v>207</v>
      </c>
      <c r="BY2135" s="1" t="s">
        <v>4252</v>
      </c>
      <c r="BZ2135" s="1" t="s">
        <v>114</v>
      </c>
      <c r="CA2135" s="1" t="s">
        <v>207</v>
      </c>
      <c r="CC2135" s="1" t="s">
        <v>699</v>
      </c>
      <c r="CD2135" s="1" t="s">
        <v>206</v>
      </c>
      <c r="CE2135" s="1" t="s">
        <v>207</v>
      </c>
      <c r="CG2135" s="1" t="s">
        <v>1329</v>
      </c>
      <c r="CH2135" s="1" t="s">
        <v>206</v>
      </c>
      <c r="CI2135" s="1" t="s">
        <v>207</v>
      </c>
      <c r="CK2135" s="1" t="s">
        <v>212</v>
      </c>
      <c r="CL2135" s="1" t="s">
        <v>206</v>
      </c>
      <c r="CM2135" s="1" t="s">
        <v>207</v>
      </c>
      <c r="CO2135" s="1" t="s">
        <v>300</v>
      </c>
      <c r="CP2135" s="1" t="s">
        <v>42</v>
      </c>
      <c r="CS2135" s="1" t="s">
        <v>302</v>
      </c>
      <c r="CT2135" s="1" t="s">
        <v>206</v>
      </c>
      <c r="CU2135" s="1" t="s">
        <v>8497</v>
      </c>
      <c r="CX2135" s="1" t="s">
        <v>204</v>
      </c>
      <c r="DA2135" s="1" t="s">
        <v>200</v>
      </c>
      <c r="DC2135" s="1" t="s">
        <v>642</v>
      </c>
      <c r="DD2135" s="1" t="s">
        <v>7204</v>
      </c>
      <c r="DE2135" s="1" t="s">
        <v>273</v>
      </c>
      <c r="DF2135" s="1" t="s">
        <v>219</v>
      </c>
      <c r="DG2135" s="1" t="s">
        <v>1002</v>
      </c>
      <c r="DH2135" s="1" t="s">
        <v>307</v>
      </c>
      <c r="DJ2135" s="1" t="s">
        <v>1048</v>
      </c>
      <c r="DK2135" s="1" t="s">
        <v>2506</v>
      </c>
      <c r="DL2135" s="1" t="s">
        <v>224</v>
      </c>
      <c r="DM2135" s="1" t="s">
        <v>1658</v>
      </c>
      <c r="DN2135" s="1" t="s">
        <v>399</v>
      </c>
      <c r="DP2135" s="1" t="s">
        <v>276</v>
      </c>
      <c r="DQ2135" s="1" t="s">
        <v>228</v>
      </c>
      <c r="DR2135" s="1" t="s">
        <v>229</v>
      </c>
      <c r="DV2135" s="1" t="s">
        <v>232</v>
      </c>
      <c r="DW2135" s="1" t="s">
        <v>3576</v>
      </c>
      <c r="DX2135" s="1" t="s">
        <v>234</v>
      </c>
      <c r="DY2135" s="1" t="s">
        <v>20040</v>
      </c>
      <c r="EA2135" s="1" t="s">
        <v>447</v>
      </c>
      <c r="EB2135" s="1" t="s">
        <v>345</v>
      </c>
      <c r="EC2135" s="1" t="s">
        <v>685</v>
      </c>
      <c r="ED2135" s="1" t="s">
        <v>407</v>
      </c>
      <c r="EM2135" s="1" t="s">
        <v>238</v>
      </c>
      <c r="EQ2135" s="1" t="s">
        <v>238</v>
      </c>
      <c r="EU2135" s="1" t="s">
        <v>238</v>
      </c>
      <c r="EY2135" s="1" t="s">
        <v>238</v>
      </c>
      <c r="FC2135" s="1" t="s">
        <v>238</v>
      </c>
      <c r="FF2135" s="1" t="s">
        <v>239</v>
      </c>
      <c r="FG2135" s="1" t="s">
        <v>192</v>
      </c>
      <c r="FH2135" s="1" t="s">
        <v>192</v>
      </c>
      <c r="FJ2135" s="1" t="s">
        <v>1450</v>
      </c>
      <c r="FK2135" s="1" t="s">
        <v>229</v>
      </c>
      <c r="FL2135" s="1" t="s">
        <v>18731</v>
      </c>
      <c r="FM2135" s="1">
        <v>25632.0</v>
      </c>
      <c r="FN2135" s="1" t="s">
        <v>18732</v>
      </c>
      <c r="FO2135" s="1" t="s">
        <v>18733</v>
      </c>
      <c r="FP2135" s="1">
        <v>240231.0</v>
      </c>
      <c r="FQ2135" s="1" t="s">
        <v>18734</v>
      </c>
      <c r="FU2135" s="1" t="s">
        <v>20041</v>
      </c>
      <c r="FV2135" s="1" t="s">
        <v>200</v>
      </c>
      <c r="FW2135" s="1" t="s">
        <v>567</v>
      </c>
      <c r="FX2135" s="1" t="s">
        <v>655</v>
      </c>
      <c r="FZ2135" s="1" t="s">
        <v>229</v>
      </c>
      <c r="GA2135" s="1" t="s">
        <v>291</v>
      </c>
      <c r="GB2135" s="2">
        <v>42094.0</v>
      </c>
      <c r="GC2135" s="1" t="s">
        <v>20042</v>
      </c>
    </row>
    <row r="2136">
      <c r="A2136" s="1">
        <v>642000.0</v>
      </c>
      <c r="B2136" s="1" t="s">
        <v>185</v>
      </c>
      <c r="C2136" s="1" t="str">
        <f>"08744621"</f>
        <v>08744621</v>
      </c>
      <c r="D2136" s="1" t="s">
        <v>186</v>
      </c>
      <c r="F2136" s="1" t="str">
        <f>"8006"</f>
        <v>8006</v>
      </c>
      <c r="G2136" s="2">
        <v>41915.0</v>
      </c>
      <c r="H2136" s="1">
        <v>650000.0</v>
      </c>
      <c r="I2136" s="1">
        <v>163.0</v>
      </c>
      <c r="J2136" s="1">
        <v>650000.0</v>
      </c>
      <c r="K2136" s="2">
        <v>42077.0</v>
      </c>
      <c r="L2136" s="1">
        <v>163.0</v>
      </c>
      <c r="M2136" s="2">
        <v>42077.0</v>
      </c>
      <c r="N2136" s="1" t="s">
        <v>187</v>
      </c>
      <c r="O2136" s="2">
        <v>42121.0</v>
      </c>
      <c r="P2136" s="1">
        <v>130394.0</v>
      </c>
      <c r="Q2136" s="1">
        <v>85774.0</v>
      </c>
      <c r="S2136" s="1">
        <v>4338.0</v>
      </c>
      <c r="T2136" s="1" t="s">
        <v>14748</v>
      </c>
      <c r="U2136" s="1" t="s">
        <v>189</v>
      </c>
      <c r="V2136" s="1" t="s">
        <v>190</v>
      </c>
      <c r="W2136" s="1">
        <v>60613.0</v>
      </c>
      <c r="Y2136" s="1" t="s">
        <v>20043</v>
      </c>
      <c r="Z2136" s="1">
        <v>1894.0</v>
      </c>
      <c r="AA2136" s="1" t="s">
        <v>192</v>
      </c>
      <c r="AB2136" s="1" t="s">
        <v>193</v>
      </c>
      <c r="AD2136" s="1" t="s">
        <v>194</v>
      </c>
      <c r="AE2136" s="1" t="s">
        <v>195</v>
      </c>
      <c r="AF2136" s="1" t="s">
        <v>534</v>
      </c>
      <c r="AH2136" s="1" t="s">
        <v>20044</v>
      </c>
      <c r="AK2136" s="1">
        <v>9.0</v>
      </c>
      <c r="AL2136" s="1">
        <v>4.0</v>
      </c>
      <c r="AM2136" s="1">
        <v>2.0</v>
      </c>
      <c r="AN2136" s="1">
        <v>0.0</v>
      </c>
      <c r="AO2136" s="1" t="s">
        <v>229</v>
      </c>
      <c r="AP2136" s="1">
        <v>1.0</v>
      </c>
      <c r="AQ2136" s="1" t="s">
        <v>198</v>
      </c>
      <c r="AR2136" s="1" t="s">
        <v>200</v>
      </c>
      <c r="AS2136" s="1" t="s">
        <v>199</v>
      </c>
      <c r="AT2136" s="1">
        <v>2.0</v>
      </c>
      <c r="AV2136" s="1" t="s">
        <v>200</v>
      </c>
      <c r="AW2136" s="1">
        <v>8624.85</v>
      </c>
      <c r="AX2136" s="1">
        <v>2013.0</v>
      </c>
      <c r="AY2136" s="1" t="s">
        <v>229</v>
      </c>
      <c r="AZ2136" s="1" t="s">
        <v>200</v>
      </c>
      <c r="BA2136" s="1" t="str">
        <f>"14184050190000"</f>
        <v>14184050190000</v>
      </c>
      <c r="BC2136" s="1">
        <v>2212.0</v>
      </c>
      <c r="BD2136" s="1">
        <v>642000.0</v>
      </c>
      <c r="BE2136" s="2">
        <v>41915.0</v>
      </c>
      <c r="BF2136" s="2" t="s">
        <v>20045</v>
      </c>
      <c r="BG2136" s="1" t="s">
        <v>537</v>
      </c>
      <c r="BH2136" s="1">
        <v>0.0</v>
      </c>
      <c r="BI2136" s="1" t="s">
        <v>537</v>
      </c>
      <c r="BJ2136" s="1" t="s">
        <v>538</v>
      </c>
      <c r="BK2136" s="1" t="s">
        <v>204</v>
      </c>
      <c r="BL2136" s="1" t="str">
        <f>"4338"</f>
        <v>4338</v>
      </c>
      <c r="BM2136" s="1" t="str">
        <f t="shared" ref="BM2136:BM2137" si="1399">"0"</f>
        <v>0</v>
      </c>
      <c r="BN2136" s="1">
        <v>1600.0</v>
      </c>
      <c r="BO2136" s="1">
        <v>0.0</v>
      </c>
      <c r="BQ2136" s="1">
        <v>299.0</v>
      </c>
      <c r="BR2136" s="1">
        <v>299.0</v>
      </c>
      <c r="BS2136" s="1">
        <v>299.0</v>
      </c>
      <c r="BU2136" s="1" t="s">
        <v>205</v>
      </c>
      <c r="BV2136" s="1" t="s">
        <v>206</v>
      </c>
      <c r="BW2136" s="1" t="s">
        <v>207</v>
      </c>
      <c r="BY2136" s="1" t="s">
        <v>784</v>
      </c>
      <c r="BZ2136" s="1" t="s">
        <v>209</v>
      </c>
      <c r="CA2136" s="1" t="s">
        <v>207</v>
      </c>
      <c r="CC2136" s="1" t="s">
        <v>392</v>
      </c>
      <c r="CD2136" s="1" t="s">
        <v>206</v>
      </c>
      <c r="CE2136" s="1" t="s">
        <v>207</v>
      </c>
      <c r="CG2136" s="1" t="s">
        <v>215</v>
      </c>
      <c r="CH2136" s="1" t="s">
        <v>209</v>
      </c>
      <c r="CI2136" s="1" t="s">
        <v>207</v>
      </c>
      <c r="CK2136" s="1" t="s">
        <v>215</v>
      </c>
      <c r="CL2136" s="1" t="s">
        <v>209</v>
      </c>
      <c r="CM2136" s="1" t="s">
        <v>207</v>
      </c>
      <c r="CO2136" s="1" t="s">
        <v>212</v>
      </c>
      <c r="CP2136" s="1" t="s">
        <v>209</v>
      </c>
      <c r="CQ2136" s="1" t="s">
        <v>207</v>
      </c>
      <c r="CR2136" s="1" t="s">
        <v>431</v>
      </c>
      <c r="CS2136" s="1" t="s">
        <v>432</v>
      </c>
      <c r="CT2136" s="1" t="s">
        <v>206</v>
      </c>
      <c r="CU2136" s="1" t="s">
        <v>207</v>
      </c>
      <c r="CX2136" s="1" t="s">
        <v>204</v>
      </c>
      <c r="DA2136" s="1" t="s">
        <v>200</v>
      </c>
      <c r="DC2136" s="1" t="s">
        <v>642</v>
      </c>
      <c r="DD2136" s="1" t="s">
        <v>436</v>
      </c>
      <c r="DE2136" s="1" t="s">
        <v>273</v>
      </c>
      <c r="DF2136" s="1" t="s">
        <v>219</v>
      </c>
      <c r="DH2136" s="1" t="s">
        <v>365</v>
      </c>
      <c r="DI2136" s="1" t="s">
        <v>1141</v>
      </c>
      <c r="DJ2136" s="1" t="s">
        <v>222</v>
      </c>
      <c r="DL2136" s="1" t="s">
        <v>11580</v>
      </c>
      <c r="DM2136" s="1" t="s">
        <v>229</v>
      </c>
      <c r="DP2136" s="1" t="s">
        <v>340</v>
      </c>
      <c r="DQ2136" s="1" t="s">
        <v>441</v>
      </c>
      <c r="DR2136" s="1" t="s">
        <v>229</v>
      </c>
      <c r="DS2136" s="1" t="s">
        <v>591</v>
      </c>
      <c r="DU2136" s="1" t="s">
        <v>962</v>
      </c>
      <c r="DV2136" s="1" t="s">
        <v>18799</v>
      </c>
      <c r="DW2136" s="1" t="s">
        <v>279</v>
      </c>
      <c r="DX2136" s="1" t="s">
        <v>234</v>
      </c>
      <c r="DZ2136" s="1" t="s">
        <v>1146</v>
      </c>
      <c r="EB2136" s="1" t="s">
        <v>345</v>
      </c>
      <c r="EC2136" s="1" t="s">
        <v>237</v>
      </c>
      <c r="ED2136" s="1" t="s">
        <v>4163</v>
      </c>
      <c r="EG2136" s="1" t="s">
        <v>1467</v>
      </c>
      <c r="EH2136" s="1" t="s">
        <v>1121</v>
      </c>
      <c r="EL2136" s="1" t="s">
        <v>2130</v>
      </c>
      <c r="EM2136" s="1" t="s">
        <v>42</v>
      </c>
      <c r="EN2136" s="1" t="s">
        <v>210</v>
      </c>
      <c r="EP2136" s="1" t="s">
        <v>584</v>
      </c>
      <c r="EQ2136" s="1" t="s">
        <v>206</v>
      </c>
      <c r="ER2136" s="1" t="s">
        <v>207</v>
      </c>
      <c r="EU2136" s="1" t="s">
        <v>238</v>
      </c>
      <c r="EY2136" s="1" t="s">
        <v>238</v>
      </c>
      <c r="FC2136" s="1" t="s">
        <v>238</v>
      </c>
      <c r="FF2136" s="1" t="s">
        <v>239</v>
      </c>
      <c r="FG2136" s="1" t="s">
        <v>192</v>
      </c>
      <c r="FH2136" s="1" t="s">
        <v>192</v>
      </c>
      <c r="FJ2136" s="1" t="s">
        <v>2243</v>
      </c>
      <c r="FK2136" s="1" t="s">
        <v>229</v>
      </c>
      <c r="FL2136" s="1" t="s">
        <v>974</v>
      </c>
      <c r="FM2136" s="1">
        <v>10900.0</v>
      </c>
      <c r="FN2136" s="1" t="s">
        <v>1435</v>
      </c>
      <c r="FO2136" s="1" t="s">
        <v>2244</v>
      </c>
      <c r="FP2136" s="1">
        <v>145819.0</v>
      </c>
      <c r="FQ2136" s="1" t="s">
        <v>2245</v>
      </c>
      <c r="FU2136" s="1" t="s">
        <v>20046</v>
      </c>
      <c r="FV2136" s="1" t="s">
        <v>200</v>
      </c>
      <c r="FW2136" s="1" t="s">
        <v>567</v>
      </c>
      <c r="FX2136" s="1" t="s">
        <v>238</v>
      </c>
      <c r="FZ2136" s="1" t="s">
        <v>229</v>
      </c>
      <c r="GA2136" s="1" t="s">
        <v>291</v>
      </c>
      <c r="GB2136" s="2">
        <v>42121.0</v>
      </c>
      <c r="GC2136" s="1" t="s">
        <v>20047</v>
      </c>
    </row>
    <row r="2137">
      <c r="A2137" s="1">
        <v>255000.0</v>
      </c>
      <c r="B2137" s="1" t="s">
        <v>185</v>
      </c>
      <c r="C2137" s="1" t="str">
        <f>"08744062"</f>
        <v>08744062</v>
      </c>
      <c r="D2137" s="1" t="s">
        <v>186</v>
      </c>
      <c r="F2137" s="1" t="str">
        <f>"107"</f>
        <v>107</v>
      </c>
      <c r="G2137" s="2">
        <v>41915.0</v>
      </c>
      <c r="H2137" s="1">
        <v>280000.0</v>
      </c>
      <c r="I2137" s="1">
        <v>88.0</v>
      </c>
      <c r="J2137" s="1">
        <v>280000.0</v>
      </c>
      <c r="K2137" s="2">
        <v>42002.0</v>
      </c>
      <c r="L2137" s="1">
        <v>88.0</v>
      </c>
      <c r="M2137" s="2">
        <v>42002.0</v>
      </c>
      <c r="N2137" s="1" t="s">
        <v>187</v>
      </c>
      <c r="O2137" s="2">
        <v>42048.0</v>
      </c>
      <c r="P2137" s="1">
        <v>83538.0</v>
      </c>
      <c r="Q2137" s="1">
        <v>8012.0</v>
      </c>
      <c r="S2137" s="1">
        <v>18.0</v>
      </c>
      <c r="T2137" s="1" t="s">
        <v>20048</v>
      </c>
      <c r="U2137" s="1" t="s">
        <v>1174</v>
      </c>
      <c r="V2137" s="1" t="s">
        <v>294</v>
      </c>
      <c r="W2137" s="1">
        <v>60107.0</v>
      </c>
      <c r="Y2137" s="1" t="s">
        <v>20049</v>
      </c>
      <c r="Z2137" s="1">
        <v>1989.0</v>
      </c>
      <c r="AA2137" s="1" t="s">
        <v>200</v>
      </c>
      <c r="AB2137" s="1" t="s">
        <v>193</v>
      </c>
      <c r="AD2137" s="1" t="s">
        <v>297</v>
      </c>
      <c r="AE2137" s="1" t="s">
        <v>195</v>
      </c>
      <c r="AF2137" s="1" t="s">
        <v>298</v>
      </c>
      <c r="AG2137" s="1" t="s">
        <v>20050</v>
      </c>
      <c r="AH2137" s="1" t="s">
        <v>4269</v>
      </c>
      <c r="AI2137" s="1">
        <v>0.1533</v>
      </c>
      <c r="AK2137" s="1">
        <v>10.0</v>
      </c>
      <c r="AL2137" s="1">
        <v>3.0</v>
      </c>
      <c r="AM2137" s="1">
        <v>2.0</v>
      </c>
      <c r="AN2137" s="1">
        <v>1.0</v>
      </c>
      <c r="AO2137" s="1" t="s">
        <v>198</v>
      </c>
      <c r="AQ2137" s="1" t="s">
        <v>198</v>
      </c>
      <c r="AR2137" s="1" t="s">
        <v>200</v>
      </c>
      <c r="AS2137" s="1" t="s">
        <v>199</v>
      </c>
      <c r="AT2137" s="1">
        <v>2.0</v>
      </c>
      <c r="AV2137" s="1" t="s">
        <v>200</v>
      </c>
      <c r="AW2137" s="1">
        <v>7381.38</v>
      </c>
      <c r="AX2137" s="1">
        <v>2013.0</v>
      </c>
      <c r="AY2137" s="1" t="s">
        <v>387</v>
      </c>
      <c r="AZ2137" s="1" t="s">
        <v>200</v>
      </c>
      <c r="BA2137" s="1" t="str">
        <f>"06222150050000"</f>
        <v>06222150050000</v>
      </c>
      <c r="BC2137" s="1">
        <v>0.0</v>
      </c>
      <c r="BD2137" s="1">
        <v>255000.0</v>
      </c>
      <c r="BE2137" s="2">
        <v>41915.0</v>
      </c>
      <c r="BF2137" s="2" t="s">
        <v>20051</v>
      </c>
      <c r="BG2137" s="1" t="s">
        <v>2746</v>
      </c>
      <c r="BH2137" s="1">
        <v>0.0</v>
      </c>
      <c r="BI2137" s="1" t="s">
        <v>756</v>
      </c>
      <c r="BJ2137" s="1" t="s">
        <v>757</v>
      </c>
      <c r="BK2137" s="1" t="s">
        <v>204</v>
      </c>
      <c r="BL2137" s="1" t="str">
        <f>"10"</f>
        <v>10</v>
      </c>
      <c r="BM2137" s="1" t="str">
        <f t="shared" si="1399"/>
        <v>0</v>
      </c>
      <c r="BN2137" s="1">
        <v>29.0</v>
      </c>
      <c r="BO2137" s="1">
        <v>0.0</v>
      </c>
      <c r="BQ2137" s="1">
        <v>46.0</v>
      </c>
      <c r="BR2137" s="1">
        <v>46.0</v>
      </c>
      <c r="BS2137" s="1">
        <v>46.0</v>
      </c>
      <c r="BU2137" s="1" t="s">
        <v>205</v>
      </c>
      <c r="BV2137" s="1" t="s">
        <v>206</v>
      </c>
      <c r="BW2137" s="1" t="s">
        <v>210</v>
      </c>
      <c r="BY2137" s="1" t="s">
        <v>211</v>
      </c>
      <c r="BZ2137" s="1" t="s">
        <v>209</v>
      </c>
      <c r="CA2137" s="1" t="s">
        <v>210</v>
      </c>
      <c r="CC2137" s="1" t="s">
        <v>264</v>
      </c>
      <c r="CD2137" s="1" t="s">
        <v>206</v>
      </c>
      <c r="CE2137" s="1" t="s">
        <v>210</v>
      </c>
      <c r="CG2137" s="1" t="s">
        <v>495</v>
      </c>
      <c r="CH2137" s="1" t="s">
        <v>209</v>
      </c>
      <c r="CI2137" s="1" t="s">
        <v>210</v>
      </c>
      <c r="CK2137" s="1" t="s">
        <v>269</v>
      </c>
      <c r="CL2137" s="1" t="s">
        <v>209</v>
      </c>
      <c r="CM2137" s="1" t="s">
        <v>210</v>
      </c>
      <c r="CO2137" s="1" t="s">
        <v>265</v>
      </c>
      <c r="CP2137" s="1" t="s">
        <v>42</v>
      </c>
      <c r="CQ2137" s="1" t="s">
        <v>210</v>
      </c>
      <c r="CS2137" s="1" t="s">
        <v>1939</v>
      </c>
      <c r="CT2137" s="1" t="s">
        <v>206</v>
      </c>
      <c r="CU2137" s="1" t="s">
        <v>301</v>
      </c>
      <c r="CW2137" s="1" t="s">
        <v>1426</v>
      </c>
      <c r="CX2137" s="1" t="s">
        <v>206</v>
      </c>
      <c r="CY2137" s="1" t="s">
        <v>301</v>
      </c>
      <c r="DA2137" s="1" t="s">
        <v>200</v>
      </c>
      <c r="DC2137" s="1" t="s">
        <v>435</v>
      </c>
      <c r="DD2137" s="1" t="s">
        <v>336</v>
      </c>
      <c r="DE2137" s="1" t="s">
        <v>273</v>
      </c>
      <c r="DF2137" s="1" t="s">
        <v>219</v>
      </c>
      <c r="DG2137" s="1" t="s">
        <v>482</v>
      </c>
      <c r="DH2137" s="1" t="s">
        <v>365</v>
      </c>
      <c r="DI2137" s="1" t="s">
        <v>221</v>
      </c>
      <c r="DJ2137" s="1" t="s">
        <v>1048</v>
      </c>
      <c r="DK2137" s="1" t="s">
        <v>1555</v>
      </c>
      <c r="DL2137" s="1" t="s">
        <v>224</v>
      </c>
      <c r="DM2137" s="1" t="s">
        <v>338</v>
      </c>
      <c r="DN2137" s="1" t="s">
        <v>367</v>
      </c>
      <c r="DO2137" s="1" t="s">
        <v>18510</v>
      </c>
      <c r="DP2137" s="1" t="s">
        <v>340</v>
      </c>
      <c r="DQ2137" s="1" t="s">
        <v>228</v>
      </c>
      <c r="DR2137" s="1" t="s">
        <v>229</v>
      </c>
      <c r="DS2137" s="1" t="s">
        <v>230</v>
      </c>
      <c r="DU2137" s="1" t="s">
        <v>5750</v>
      </c>
      <c r="DV2137" s="1" t="s">
        <v>15931</v>
      </c>
      <c r="DW2137" s="1" t="s">
        <v>667</v>
      </c>
      <c r="DX2137" s="1" t="s">
        <v>234</v>
      </c>
      <c r="DY2137" s="1" t="s">
        <v>3846</v>
      </c>
      <c r="DZ2137" s="1" t="s">
        <v>310</v>
      </c>
      <c r="EA2137" s="1" t="s">
        <v>447</v>
      </c>
      <c r="EC2137" s="1" t="s">
        <v>237</v>
      </c>
      <c r="ED2137" s="1" t="s">
        <v>555</v>
      </c>
      <c r="EE2137" s="1" t="s">
        <v>493</v>
      </c>
      <c r="EG2137" s="1" t="s">
        <v>450</v>
      </c>
      <c r="EH2137" s="1" t="s">
        <v>556</v>
      </c>
      <c r="EL2137" s="1" t="s">
        <v>1534</v>
      </c>
      <c r="EM2137" s="1" t="s">
        <v>42</v>
      </c>
      <c r="EN2137" s="1" t="s">
        <v>210</v>
      </c>
      <c r="EP2137" s="1" t="s">
        <v>269</v>
      </c>
      <c r="EQ2137" s="1" t="s">
        <v>206</v>
      </c>
      <c r="ER2137" s="1" t="s">
        <v>301</v>
      </c>
      <c r="EU2137" s="1" t="s">
        <v>238</v>
      </c>
      <c r="EY2137" s="1" t="s">
        <v>238</v>
      </c>
      <c r="FC2137" s="1" t="s">
        <v>238</v>
      </c>
      <c r="FF2137" s="1" t="s">
        <v>239</v>
      </c>
      <c r="FG2137" s="1" t="s">
        <v>192</v>
      </c>
      <c r="FH2137" s="1" t="s">
        <v>192</v>
      </c>
      <c r="FJ2137" s="1" t="s">
        <v>733</v>
      </c>
      <c r="FK2137" s="1" t="s">
        <v>229</v>
      </c>
      <c r="FL2137" s="1" t="s">
        <v>974</v>
      </c>
      <c r="FM2137" s="1">
        <v>23871.0</v>
      </c>
      <c r="FN2137" s="1" t="s">
        <v>17009</v>
      </c>
      <c r="FO2137" s="1" t="s">
        <v>17010</v>
      </c>
      <c r="FP2137" s="1">
        <v>82766.0</v>
      </c>
      <c r="FQ2137" s="1" t="s">
        <v>17011</v>
      </c>
      <c r="FU2137" s="1" t="s">
        <v>20052</v>
      </c>
      <c r="FV2137" s="1" t="s">
        <v>200</v>
      </c>
      <c r="FW2137" s="1" t="s">
        <v>290</v>
      </c>
      <c r="FZ2137" s="1" t="s">
        <v>229</v>
      </c>
      <c r="GA2137" s="1" t="s">
        <v>291</v>
      </c>
      <c r="GB2137" s="2">
        <v>42049.0</v>
      </c>
    </row>
    <row r="2138">
      <c r="A2138" s="1">
        <v>150000.0</v>
      </c>
      <c r="B2138" s="1" t="s">
        <v>185</v>
      </c>
      <c r="C2138" s="1" t="str">
        <f>"08740233"</f>
        <v>08740233</v>
      </c>
      <c r="D2138" s="1" t="s">
        <v>186</v>
      </c>
      <c r="F2138" s="1" t="str">
        <f>"103"</f>
        <v>103</v>
      </c>
      <c r="G2138" s="2">
        <v>41911.0</v>
      </c>
      <c r="H2138" s="1">
        <v>155000.0</v>
      </c>
      <c r="I2138" s="1">
        <v>93.0</v>
      </c>
      <c r="J2138" s="1">
        <v>155000.0</v>
      </c>
      <c r="K2138" s="2">
        <v>41918.0</v>
      </c>
      <c r="L2138" s="1">
        <v>8.0</v>
      </c>
      <c r="M2138" s="2">
        <v>41918.0</v>
      </c>
      <c r="N2138" s="1" t="s">
        <v>187</v>
      </c>
      <c r="O2138" s="2">
        <v>41976.0</v>
      </c>
      <c r="P2138" s="1">
        <v>271089.0</v>
      </c>
      <c r="Q2138" s="1">
        <v>23534.0</v>
      </c>
      <c r="S2138" s="1">
        <v>5201.0</v>
      </c>
      <c r="T2138" s="1" t="s">
        <v>7403</v>
      </c>
      <c r="U2138" s="1" t="s">
        <v>1174</v>
      </c>
      <c r="V2138" s="1" t="s">
        <v>251</v>
      </c>
      <c r="W2138" s="1">
        <v>60133.0</v>
      </c>
      <c r="Y2138" s="1" t="s">
        <v>20053</v>
      </c>
      <c r="Z2138" s="1">
        <v>1973.0</v>
      </c>
      <c r="AA2138" s="1" t="s">
        <v>192</v>
      </c>
      <c r="AB2138" s="1" t="s">
        <v>193</v>
      </c>
      <c r="AC2138" s="1" t="s">
        <v>20054</v>
      </c>
      <c r="AD2138" s="1" t="s">
        <v>254</v>
      </c>
      <c r="AE2138" s="1" t="s">
        <v>1258</v>
      </c>
      <c r="AF2138" s="1" t="s">
        <v>3935</v>
      </c>
      <c r="AH2138" s="1" t="s">
        <v>20055</v>
      </c>
      <c r="AK2138" s="1">
        <v>8.0</v>
      </c>
      <c r="AL2138" s="1">
        <v>4.0</v>
      </c>
      <c r="AM2138" s="1">
        <v>2.0</v>
      </c>
      <c r="AN2138" s="1">
        <v>0.0</v>
      </c>
      <c r="AO2138" s="1" t="s">
        <v>198</v>
      </c>
      <c r="AP2138" s="1">
        <v>1.0</v>
      </c>
      <c r="AQ2138" s="1" t="s">
        <v>229</v>
      </c>
      <c r="AR2138" s="1" t="s">
        <v>200</v>
      </c>
      <c r="AS2138" s="1" t="s">
        <v>199</v>
      </c>
      <c r="AT2138" s="1">
        <v>1.0</v>
      </c>
      <c r="AV2138" s="1" t="s">
        <v>200</v>
      </c>
      <c r="AW2138" s="1">
        <v>6271.96</v>
      </c>
      <c r="AX2138" s="1">
        <v>2013.0</v>
      </c>
      <c r="AZ2138" s="1" t="s">
        <v>200</v>
      </c>
      <c r="BA2138" s="1" t="str">
        <f>"0112107017"</f>
        <v>0112107017</v>
      </c>
      <c r="BC2138" s="1">
        <v>0.0</v>
      </c>
      <c r="BD2138" s="1">
        <v>150000.0</v>
      </c>
      <c r="BE2138" s="2">
        <v>41911.0</v>
      </c>
      <c r="BF2138" s="1" t="s">
        <v>20056</v>
      </c>
      <c r="BG2138" s="1" t="s">
        <v>16019</v>
      </c>
      <c r="BH2138" s="1">
        <v>174.0</v>
      </c>
      <c r="BI2138" s="1" t="s">
        <v>513</v>
      </c>
      <c r="BJ2138" s="1" t="s">
        <v>514</v>
      </c>
      <c r="BK2138" s="1" t="s">
        <v>580</v>
      </c>
      <c r="BL2138" s="1" t="str">
        <f t="shared" ref="BL2138:BM2138" si="1400">""</f>
        <v/>
      </c>
      <c r="BM2138" s="1" t="str">
        <f t="shared" si="1400"/>
        <v/>
      </c>
      <c r="BQ2138" s="1">
        <v>46.0</v>
      </c>
      <c r="BR2138" s="1">
        <v>46.0</v>
      </c>
      <c r="BS2138" s="1">
        <v>46.0</v>
      </c>
      <c r="BU2138" s="1" t="s">
        <v>616</v>
      </c>
      <c r="BV2138" s="1" t="s">
        <v>206</v>
      </c>
      <c r="BY2138" s="1" t="s">
        <v>215</v>
      </c>
      <c r="BZ2138" s="1" t="s">
        <v>267</v>
      </c>
      <c r="CC2138" s="1" t="s">
        <v>454</v>
      </c>
      <c r="CD2138" s="1" t="s">
        <v>206</v>
      </c>
      <c r="CG2138" s="1" t="s">
        <v>303</v>
      </c>
      <c r="CH2138" s="1" t="s">
        <v>206</v>
      </c>
      <c r="CK2138" s="1" t="s">
        <v>303</v>
      </c>
      <c r="CL2138" s="1" t="s">
        <v>206</v>
      </c>
      <c r="CO2138" s="1" t="s">
        <v>699</v>
      </c>
      <c r="CP2138" s="1" t="s">
        <v>206</v>
      </c>
      <c r="CS2138" s="1" t="s">
        <v>269</v>
      </c>
      <c r="CT2138" s="1" t="s">
        <v>206</v>
      </c>
      <c r="CW2138" s="1" t="s">
        <v>6890</v>
      </c>
      <c r="CX2138" s="1" t="s">
        <v>206</v>
      </c>
      <c r="DA2138" s="1" t="s">
        <v>200</v>
      </c>
      <c r="DC2138" s="1" t="s">
        <v>517</v>
      </c>
      <c r="DE2138" s="1" t="s">
        <v>273</v>
      </c>
      <c r="DF2138" s="1" t="s">
        <v>619</v>
      </c>
      <c r="DH2138" s="1" t="s">
        <v>220</v>
      </c>
      <c r="DJ2138" s="1" t="s">
        <v>222</v>
      </c>
      <c r="DL2138" s="1" t="s">
        <v>229</v>
      </c>
      <c r="DM2138" s="1" t="s">
        <v>229</v>
      </c>
      <c r="DQ2138" s="1" t="s">
        <v>228</v>
      </c>
      <c r="DR2138" s="1" t="s">
        <v>17429</v>
      </c>
      <c r="DU2138" s="1" t="s">
        <v>681</v>
      </c>
      <c r="DV2138" s="1" t="s">
        <v>232</v>
      </c>
      <c r="DW2138" s="1" t="s">
        <v>370</v>
      </c>
      <c r="DX2138" s="1" t="s">
        <v>234</v>
      </c>
      <c r="DY2138" s="1" t="s">
        <v>20057</v>
      </c>
      <c r="EC2138" s="1" t="s">
        <v>685</v>
      </c>
      <c r="EM2138" s="1" t="s">
        <v>238</v>
      </c>
      <c r="EQ2138" s="1" t="s">
        <v>238</v>
      </c>
      <c r="EU2138" s="1" t="s">
        <v>238</v>
      </c>
      <c r="EY2138" s="1" t="s">
        <v>238</v>
      </c>
      <c r="FC2138" s="1" t="s">
        <v>238</v>
      </c>
      <c r="FF2138" s="1" t="s">
        <v>239</v>
      </c>
      <c r="FG2138" s="1" t="s">
        <v>192</v>
      </c>
      <c r="FH2138" s="1" t="s">
        <v>192</v>
      </c>
      <c r="FJ2138" s="1" t="s">
        <v>7339</v>
      </c>
      <c r="FK2138" s="1" t="s">
        <v>229</v>
      </c>
      <c r="FL2138" s="1" t="s">
        <v>5530</v>
      </c>
      <c r="FM2138" s="1">
        <v>8079.0</v>
      </c>
      <c r="FN2138" s="1" t="s">
        <v>5531</v>
      </c>
      <c r="FO2138" s="1" t="s">
        <v>13594</v>
      </c>
      <c r="FP2138" s="1">
        <v>920858.0</v>
      </c>
      <c r="FQ2138" s="1" t="s">
        <v>13595</v>
      </c>
      <c r="FU2138" s="1" t="s">
        <v>13596</v>
      </c>
      <c r="FV2138" s="1" t="s">
        <v>200</v>
      </c>
      <c r="FW2138" s="1" t="s">
        <v>290</v>
      </c>
      <c r="FZ2138" s="1" t="s">
        <v>229</v>
      </c>
      <c r="GA2138" s="1" t="s">
        <v>291</v>
      </c>
      <c r="GB2138" s="2">
        <v>41978.0</v>
      </c>
      <c r="GC2138" s="1" t="s">
        <v>20058</v>
      </c>
    </row>
    <row r="2139">
      <c r="A2139" s="1">
        <v>232000.0</v>
      </c>
      <c r="B2139" s="1" t="s">
        <v>185</v>
      </c>
      <c r="C2139" s="1" t="str">
        <f>"08751268"</f>
        <v>08751268</v>
      </c>
      <c r="D2139" s="1" t="s">
        <v>186</v>
      </c>
      <c r="F2139" s="1" t="str">
        <f>"8056"</f>
        <v>8056</v>
      </c>
      <c r="G2139" s="2">
        <v>41924.0</v>
      </c>
      <c r="H2139" s="1">
        <v>239500.0</v>
      </c>
      <c r="I2139" s="1">
        <v>33.0</v>
      </c>
      <c r="J2139" s="1">
        <v>237500.0</v>
      </c>
      <c r="K2139" s="2">
        <v>41956.0</v>
      </c>
      <c r="L2139" s="1">
        <v>33.0</v>
      </c>
      <c r="M2139" s="2">
        <v>41956.0</v>
      </c>
      <c r="N2139" s="1" t="s">
        <v>356</v>
      </c>
      <c r="O2139" s="2">
        <v>42002.0</v>
      </c>
      <c r="P2139" s="1">
        <v>141431.0</v>
      </c>
      <c r="Q2139" s="1">
        <v>10840.0</v>
      </c>
      <c r="S2139" s="1">
        <v>4823.0</v>
      </c>
      <c r="T2139" s="1" t="s">
        <v>20059</v>
      </c>
      <c r="U2139" s="1" t="s">
        <v>189</v>
      </c>
      <c r="V2139" s="1" t="s">
        <v>190</v>
      </c>
      <c r="W2139" s="1">
        <v>60638.0</v>
      </c>
      <c r="Y2139" s="1" t="s">
        <v>20060</v>
      </c>
      <c r="Z2139" s="1">
        <v>1953.0</v>
      </c>
      <c r="AA2139" s="1" t="s">
        <v>192</v>
      </c>
      <c r="AB2139" s="1" t="s">
        <v>193</v>
      </c>
      <c r="AD2139" s="1" t="s">
        <v>194</v>
      </c>
      <c r="AE2139" s="1" t="s">
        <v>195</v>
      </c>
      <c r="AF2139" s="1" t="s">
        <v>827</v>
      </c>
      <c r="AH2139" s="1" t="s">
        <v>20061</v>
      </c>
      <c r="AK2139" s="1">
        <v>8.0</v>
      </c>
      <c r="AL2139" s="1">
        <v>4.0</v>
      </c>
      <c r="AM2139" s="1">
        <v>2.0</v>
      </c>
      <c r="AN2139" s="1">
        <v>0.0</v>
      </c>
      <c r="AO2139" s="1" t="s">
        <v>198</v>
      </c>
      <c r="AQ2139" s="1" t="s">
        <v>472</v>
      </c>
      <c r="AR2139" s="1" t="s">
        <v>192</v>
      </c>
      <c r="AS2139" s="1" t="s">
        <v>199</v>
      </c>
      <c r="AT2139" s="1">
        <v>2.0</v>
      </c>
      <c r="AV2139" s="1" t="s">
        <v>200</v>
      </c>
      <c r="AW2139" s="1">
        <v>2090.0</v>
      </c>
      <c r="AX2139" s="1">
        <v>2013.0</v>
      </c>
      <c r="AY2139" s="1" t="s">
        <v>387</v>
      </c>
      <c r="AZ2139" s="1" t="s">
        <v>200</v>
      </c>
      <c r="BA2139" s="1" t="str">
        <f>"19092150070000"</f>
        <v>19092150070000</v>
      </c>
      <c r="BC2139" s="1">
        <v>1849.0</v>
      </c>
      <c r="BD2139" s="1">
        <v>232000.0</v>
      </c>
      <c r="BE2139" s="2">
        <v>41924.0</v>
      </c>
      <c r="BF2139" s="2" t="s">
        <v>20062</v>
      </c>
      <c r="BH2139" s="1">
        <v>0.0</v>
      </c>
      <c r="BK2139" s="1" t="s">
        <v>204</v>
      </c>
      <c r="BL2139" s="1" t="str">
        <f t="shared" ref="BL2139:BM2139" si="1401">"0"</f>
        <v>0</v>
      </c>
      <c r="BM2139" s="1" t="str">
        <f t="shared" si="1401"/>
        <v>0</v>
      </c>
      <c r="BN2139" s="1">
        <v>4800.0</v>
      </c>
      <c r="BO2139" s="1">
        <v>4823.0</v>
      </c>
      <c r="BQ2139" s="1">
        <v>299.0</v>
      </c>
      <c r="BR2139" s="1">
        <v>299.0</v>
      </c>
      <c r="BS2139" s="1">
        <v>299.0</v>
      </c>
      <c r="BU2139" s="1" t="s">
        <v>1395</v>
      </c>
      <c r="BV2139" s="1" t="s">
        <v>206</v>
      </c>
      <c r="BW2139" s="1" t="s">
        <v>207</v>
      </c>
      <c r="BY2139" s="1" t="s">
        <v>2219</v>
      </c>
      <c r="BZ2139" s="1" t="s">
        <v>267</v>
      </c>
      <c r="CA2139" s="1" t="s">
        <v>210</v>
      </c>
      <c r="CC2139" s="1" t="s">
        <v>269</v>
      </c>
      <c r="CD2139" s="1" t="s">
        <v>206</v>
      </c>
      <c r="CE2139" s="1" t="s">
        <v>207</v>
      </c>
      <c r="CG2139" s="1" t="s">
        <v>495</v>
      </c>
      <c r="CH2139" s="1" t="s">
        <v>206</v>
      </c>
      <c r="CI2139" s="1" t="s">
        <v>207</v>
      </c>
      <c r="CK2139" s="1" t="s">
        <v>303</v>
      </c>
      <c r="CL2139" s="1" t="s">
        <v>206</v>
      </c>
      <c r="CM2139" s="1" t="s">
        <v>207</v>
      </c>
      <c r="CO2139" s="1" t="s">
        <v>264</v>
      </c>
      <c r="CP2139" s="1" t="s">
        <v>206</v>
      </c>
      <c r="CQ2139" s="1" t="s">
        <v>207</v>
      </c>
      <c r="CS2139" s="1" t="s">
        <v>303</v>
      </c>
      <c r="CT2139" s="1" t="s">
        <v>206</v>
      </c>
      <c r="CU2139" s="1" t="s">
        <v>268</v>
      </c>
      <c r="CW2139" s="1" t="s">
        <v>1483</v>
      </c>
      <c r="CX2139" s="1" t="s">
        <v>267</v>
      </c>
      <c r="CY2139" s="1" t="s">
        <v>210</v>
      </c>
      <c r="DA2139" s="1" t="s">
        <v>200</v>
      </c>
      <c r="DC2139" s="1" t="s">
        <v>702</v>
      </c>
      <c r="DE2139" s="1" t="s">
        <v>273</v>
      </c>
      <c r="DF2139" s="1" t="s">
        <v>219</v>
      </c>
      <c r="DH2139" s="1" t="s">
        <v>365</v>
      </c>
      <c r="DJ2139" s="1" t="s">
        <v>222</v>
      </c>
      <c r="DL2139" s="1" t="s">
        <v>224</v>
      </c>
      <c r="DM2139" s="1" t="s">
        <v>229</v>
      </c>
      <c r="DN2139" s="1" t="s">
        <v>485</v>
      </c>
      <c r="DQ2139" s="1" t="s">
        <v>228</v>
      </c>
      <c r="DR2139" s="1" t="s">
        <v>229</v>
      </c>
      <c r="DS2139" s="1" t="s">
        <v>277</v>
      </c>
      <c r="DV2139" s="1" t="s">
        <v>232</v>
      </c>
      <c r="DW2139" s="1" t="s">
        <v>279</v>
      </c>
      <c r="DX2139" s="1" t="s">
        <v>234</v>
      </c>
      <c r="DY2139" s="1" t="s">
        <v>553</v>
      </c>
      <c r="EA2139" s="1" t="s">
        <v>644</v>
      </c>
      <c r="EC2139" s="1" t="s">
        <v>685</v>
      </c>
      <c r="ED2139" s="1" t="s">
        <v>407</v>
      </c>
      <c r="EM2139" s="1" t="s">
        <v>238</v>
      </c>
      <c r="EQ2139" s="1" t="s">
        <v>238</v>
      </c>
      <c r="EU2139" s="1" t="s">
        <v>238</v>
      </c>
      <c r="EY2139" s="1" t="s">
        <v>238</v>
      </c>
      <c r="FC2139" s="1" t="s">
        <v>238</v>
      </c>
      <c r="FF2139" s="1" t="s">
        <v>239</v>
      </c>
      <c r="FG2139" s="1" t="s">
        <v>192</v>
      </c>
      <c r="FH2139" s="1" t="s">
        <v>192</v>
      </c>
      <c r="FJ2139" s="1" t="s">
        <v>2262</v>
      </c>
      <c r="FK2139" s="1" t="s">
        <v>229</v>
      </c>
      <c r="FL2139" s="1" t="s">
        <v>18731</v>
      </c>
      <c r="FM2139" s="1">
        <v>25632.0</v>
      </c>
      <c r="FN2139" s="1" t="s">
        <v>18732</v>
      </c>
      <c r="FO2139" s="1" t="s">
        <v>18733</v>
      </c>
      <c r="FP2139" s="1">
        <v>240231.0</v>
      </c>
      <c r="FQ2139" s="1" t="s">
        <v>18734</v>
      </c>
      <c r="FR2139" s="1">
        <v>243484.0</v>
      </c>
      <c r="FU2139" s="1" t="s">
        <v>20063</v>
      </c>
      <c r="FV2139" s="1" t="s">
        <v>200</v>
      </c>
      <c r="FW2139" s="1" t="s">
        <v>290</v>
      </c>
      <c r="FX2139" s="1" t="s">
        <v>655</v>
      </c>
      <c r="FZ2139" s="1" t="s">
        <v>229</v>
      </c>
      <c r="GA2139" s="1" t="s">
        <v>291</v>
      </c>
      <c r="GB2139" s="2">
        <v>42009.0</v>
      </c>
      <c r="GC2139" s="1" t="s">
        <v>20063</v>
      </c>
    </row>
    <row r="2140">
      <c r="A2140" s="1">
        <v>123000.0</v>
      </c>
      <c r="B2140" s="1" t="s">
        <v>185</v>
      </c>
      <c r="C2140" s="1" t="str">
        <f>"08766472"</f>
        <v>08766472</v>
      </c>
      <c r="D2140" s="1" t="s">
        <v>186</v>
      </c>
      <c r="F2140" s="1" t="str">
        <f>"118"</f>
        <v>118</v>
      </c>
      <c r="G2140" s="2">
        <v>41944.0</v>
      </c>
      <c r="H2140" s="1">
        <v>128000.0</v>
      </c>
      <c r="I2140" s="1">
        <v>39.0</v>
      </c>
      <c r="J2140" s="1">
        <v>128000.0</v>
      </c>
      <c r="K2140" s="2">
        <v>41982.0</v>
      </c>
      <c r="L2140" s="1">
        <v>39.0</v>
      </c>
      <c r="M2140" s="2">
        <v>41982.0</v>
      </c>
      <c r="N2140" s="1" t="s">
        <v>356</v>
      </c>
      <c r="O2140" s="2">
        <v>42019.0</v>
      </c>
      <c r="P2140" s="1">
        <v>88359.0</v>
      </c>
      <c r="Q2140" s="1">
        <v>1384.0</v>
      </c>
      <c r="S2140" s="1">
        <v>511.0</v>
      </c>
      <c r="T2140" s="1" t="s">
        <v>20064</v>
      </c>
      <c r="U2140" s="1" t="s">
        <v>320</v>
      </c>
      <c r="V2140" s="1" t="s">
        <v>1086</v>
      </c>
      <c r="W2140" s="1">
        <v>60118.0</v>
      </c>
      <c r="Y2140" s="1" t="s">
        <v>20065</v>
      </c>
      <c r="Z2140" s="1">
        <v>1921.0</v>
      </c>
      <c r="AA2140" s="1" t="s">
        <v>192</v>
      </c>
      <c r="AB2140" s="1" t="s">
        <v>193</v>
      </c>
      <c r="AD2140" s="1" t="s">
        <v>3394</v>
      </c>
      <c r="AE2140" s="1" t="s">
        <v>325</v>
      </c>
      <c r="AF2140" s="1" t="s">
        <v>810</v>
      </c>
      <c r="AH2140" s="1" t="s">
        <v>20066</v>
      </c>
      <c r="AI2140" s="1">
        <v>0.2</v>
      </c>
      <c r="AK2140" s="1">
        <v>8.0</v>
      </c>
      <c r="AL2140" s="1">
        <v>4.0</v>
      </c>
      <c r="AM2140" s="1">
        <v>2.0</v>
      </c>
      <c r="AN2140" s="1">
        <v>0.0</v>
      </c>
      <c r="AO2140" s="1" t="s">
        <v>198</v>
      </c>
      <c r="AQ2140" s="1" t="s">
        <v>1314</v>
      </c>
      <c r="AR2140" s="1" t="s">
        <v>200</v>
      </c>
      <c r="AS2140" s="1" t="s">
        <v>199</v>
      </c>
      <c r="AT2140" s="1">
        <v>2.5</v>
      </c>
      <c r="AV2140" s="1" t="s">
        <v>200</v>
      </c>
      <c r="AW2140" s="1">
        <v>4061.0</v>
      </c>
      <c r="AX2140" s="1">
        <v>2013.0</v>
      </c>
      <c r="AY2140" s="1" t="s">
        <v>1917</v>
      </c>
      <c r="AZ2140" s="1" t="s">
        <v>200</v>
      </c>
      <c r="BA2140" s="1" t="str">
        <f>"0327235003"</f>
        <v>0327235003</v>
      </c>
      <c r="BB2140" s="1" t="s">
        <v>200</v>
      </c>
      <c r="BC2140" s="1">
        <v>1856.0</v>
      </c>
      <c r="BD2140" s="1">
        <v>123000.0</v>
      </c>
      <c r="BE2140" s="2">
        <v>41944.0</v>
      </c>
      <c r="BF2140" s="2" t="s">
        <v>20067</v>
      </c>
      <c r="BG2140" s="1" t="s">
        <v>3486</v>
      </c>
      <c r="BH2140" s="1">
        <v>0.0</v>
      </c>
      <c r="BI2140" s="1" t="s">
        <v>1093</v>
      </c>
      <c r="BJ2140" s="1" t="s">
        <v>1094</v>
      </c>
      <c r="BK2140" s="1" t="s">
        <v>204</v>
      </c>
      <c r="BL2140" s="1" t="str">
        <f>"15"</f>
        <v>15</v>
      </c>
      <c r="BM2140" s="1" t="str">
        <f>""</f>
        <v/>
      </c>
      <c r="BN2140" s="1">
        <v>34.0</v>
      </c>
      <c r="BQ2140" s="1">
        <v>300.0</v>
      </c>
      <c r="BR2140" s="1">
        <v>300.0</v>
      </c>
      <c r="BS2140" s="1">
        <v>300.0</v>
      </c>
      <c r="BU2140" s="1" t="s">
        <v>393</v>
      </c>
      <c r="BV2140" s="1" t="s">
        <v>206</v>
      </c>
      <c r="BW2140" s="1" t="s">
        <v>210</v>
      </c>
      <c r="BX2140" s="1" t="s">
        <v>239</v>
      </c>
      <c r="BY2140" s="1" t="s">
        <v>393</v>
      </c>
      <c r="BZ2140" s="1" t="s">
        <v>209</v>
      </c>
      <c r="CA2140" s="1" t="s">
        <v>207</v>
      </c>
      <c r="CD2140" s="1" t="s">
        <v>204</v>
      </c>
      <c r="CG2140" s="1" t="s">
        <v>332</v>
      </c>
      <c r="CH2140" s="1" t="s">
        <v>209</v>
      </c>
      <c r="CI2140" s="1" t="s">
        <v>210</v>
      </c>
      <c r="CK2140" s="1" t="s">
        <v>584</v>
      </c>
      <c r="CL2140" s="1" t="s">
        <v>206</v>
      </c>
      <c r="CM2140" s="1" t="s">
        <v>210</v>
      </c>
      <c r="CO2140" s="1" t="s">
        <v>699</v>
      </c>
      <c r="CP2140" s="1" t="s">
        <v>206</v>
      </c>
      <c r="CQ2140" s="1" t="s">
        <v>210</v>
      </c>
      <c r="CS2140" s="1" t="s">
        <v>1483</v>
      </c>
      <c r="CT2140" s="1" t="s">
        <v>206</v>
      </c>
      <c r="CU2140" s="1" t="s">
        <v>301</v>
      </c>
      <c r="CW2140" s="1" t="s">
        <v>211</v>
      </c>
      <c r="CX2140" s="1" t="s">
        <v>206</v>
      </c>
      <c r="CY2140" s="1" t="s">
        <v>210</v>
      </c>
      <c r="DA2140" s="1" t="s">
        <v>200</v>
      </c>
      <c r="DC2140" s="1" t="s">
        <v>216</v>
      </c>
      <c r="DD2140" s="1" t="s">
        <v>518</v>
      </c>
      <c r="DE2140" s="1" t="s">
        <v>1139</v>
      </c>
      <c r="DF2140" s="1" t="s">
        <v>219</v>
      </c>
      <c r="DG2140" s="1" t="s">
        <v>482</v>
      </c>
      <c r="DH2140" s="1" t="s">
        <v>220</v>
      </c>
      <c r="DI2140" s="1" t="s">
        <v>3624</v>
      </c>
      <c r="DJ2140" s="1" t="s">
        <v>222</v>
      </c>
      <c r="DL2140" s="1" t="s">
        <v>223</v>
      </c>
      <c r="DM2140" s="1" t="s">
        <v>792</v>
      </c>
      <c r="DO2140" s="1" t="s">
        <v>549</v>
      </c>
      <c r="DQ2140" s="1" t="s">
        <v>228</v>
      </c>
      <c r="DR2140" s="1" t="s">
        <v>229</v>
      </c>
      <c r="DV2140" s="1" t="s">
        <v>1121</v>
      </c>
      <c r="DW2140" s="1" t="s">
        <v>370</v>
      </c>
      <c r="DX2140" s="1" t="s">
        <v>234</v>
      </c>
      <c r="DY2140" s="1" t="s">
        <v>553</v>
      </c>
      <c r="DZ2140" s="1" t="s">
        <v>20068</v>
      </c>
      <c r="EA2140" s="1" t="s">
        <v>3112</v>
      </c>
      <c r="EC2140" s="1" t="s">
        <v>237</v>
      </c>
      <c r="ED2140" s="1" t="s">
        <v>555</v>
      </c>
      <c r="EG2140" s="1" t="s">
        <v>1121</v>
      </c>
      <c r="EL2140" s="1" t="s">
        <v>392</v>
      </c>
      <c r="EM2140" s="1" t="s">
        <v>209</v>
      </c>
      <c r="EN2140" s="1" t="s">
        <v>210</v>
      </c>
      <c r="EQ2140" s="1" t="s">
        <v>238</v>
      </c>
      <c r="EU2140" s="1" t="s">
        <v>238</v>
      </c>
      <c r="EY2140" s="1" t="s">
        <v>238</v>
      </c>
      <c r="FC2140" s="1" t="s">
        <v>238</v>
      </c>
      <c r="FF2140" s="1" t="s">
        <v>239</v>
      </c>
      <c r="FG2140" s="1" t="s">
        <v>192</v>
      </c>
      <c r="FH2140" s="1" t="s">
        <v>192</v>
      </c>
      <c r="FJ2140" s="1" t="s">
        <v>2206</v>
      </c>
      <c r="FK2140" s="1" t="s">
        <v>229</v>
      </c>
      <c r="FL2140" s="1" t="s">
        <v>2263</v>
      </c>
      <c r="FM2140" s="1">
        <v>5153.0</v>
      </c>
      <c r="FN2140" s="1" t="s">
        <v>3489</v>
      </c>
      <c r="FO2140" s="1" t="s">
        <v>20069</v>
      </c>
      <c r="FP2140" s="1">
        <v>55839.0</v>
      </c>
      <c r="FQ2140" s="1" t="s">
        <v>20070</v>
      </c>
      <c r="FS2140" s="1" t="s">
        <v>20071</v>
      </c>
      <c r="FU2140" s="1" t="s">
        <v>20072</v>
      </c>
      <c r="FV2140" s="1" t="s">
        <v>200</v>
      </c>
      <c r="FW2140" s="1" t="s">
        <v>530</v>
      </c>
      <c r="FX2140" s="1" t="s">
        <v>655</v>
      </c>
      <c r="FZ2140" s="1" t="s">
        <v>229</v>
      </c>
      <c r="GA2140" s="1" t="s">
        <v>291</v>
      </c>
      <c r="GB2140" s="2">
        <v>42020.0</v>
      </c>
      <c r="GC2140" s="1" t="s">
        <v>20073</v>
      </c>
    </row>
    <row r="2141">
      <c r="A2141" s="1">
        <v>157200.0</v>
      </c>
      <c r="B2141" s="1" t="s">
        <v>185</v>
      </c>
      <c r="C2141" s="1" t="str">
        <f>"08752387"</f>
        <v>08752387</v>
      </c>
      <c r="D2141" s="1" t="s">
        <v>186</v>
      </c>
      <c r="F2141" s="1" t="str">
        <f>"8075"</f>
        <v>8075</v>
      </c>
      <c r="G2141" s="2">
        <v>41926.0</v>
      </c>
      <c r="H2141" s="1">
        <v>159900.0</v>
      </c>
      <c r="I2141" s="1">
        <v>143.0</v>
      </c>
      <c r="J2141" s="1">
        <v>160000.0</v>
      </c>
      <c r="K2141" s="2">
        <v>42068.0</v>
      </c>
      <c r="L2141" s="1">
        <v>143.0</v>
      </c>
      <c r="M2141" s="2">
        <v>42068.0</v>
      </c>
      <c r="N2141" s="1" t="s">
        <v>356</v>
      </c>
      <c r="O2141" s="2">
        <v>42094.0</v>
      </c>
      <c r="P2141" s="1">
        <v>505436.0</v>
      </c>
      <c r="Q2141" s="1">
        <v>60120.0</v>
      </c>
      <c r="R2141" s="1">
        <v>6000.0</v>
      </c>
      <c r="S2141" s="1">
        <v>10731.0</v>
      </c>
      <c r="T2141" s="1" t="s">
        <v>3412</v>
      </c>
      <c r="U2141" s="1" t="s">
        <v>320</v>
      </c>
      <c r="V2141" s="1" t="s">
        <v>190</v>
      </c>
      <c r="W2141" s="1">
        <v>60643.0</v>
      </c>
      <c r="Y2141" s="1" t="s">
        <v>20074</v>
      </c>
      <c r="Z2141" s="1">
        <v>1944.0</v>
      </c>
      <c r="AA2141" s="1" t="s">
        <v>192</v>
      </c>
      <c r="AB2141" s="1" t="s">
        <v>193</v>
      </c>
      <c r="AD2141" s="1" t="s">
        <v>194</v>
      </c>
      <c r="AE2141" s="1" t="s">
        <v>195</v>
      </c>
      <c r="AF2141" s="1" t="s">
        <v>659</v>
      </c>
      <c r="AH2141" s="1" t="s">
        <v>14596</v>
      </c>
      <c r="AI2141" s="1">
        <v>0.1148</v>
      </c>
      <c r="AK2141" s="1">
        <v>7.0</v>
      </c>
      <c r="AL2141" s="1">
        <v>3.0</v>
      </c>
      <c r="AM2141" s="1">
        <v>2.0</v>
      </c>
      <c r="AN2141" s="1">
        <v>0.0</v>
      </c>
      <c r="AO2141" s="1" t="s">
        <v>198</v>
      </c>
      <c r="AQ2141" s="1" t="s">
        <v>198</v>
      </c>
      <c r="AR2141" s="1" t="s">
        <v>200</v>
      </c>
      <c r="AS2141" s="1" t="s">
        <v>199</v>
      </c>
      <c r="AT2141" s="1">
        <v>1.0</v>
      </c>
      <c r="AV2141" s="1" t="s">
        <v>200</v>
      </c>
      <c r="AW2141" s="1">
        <v>1993.18</v>
      </c>
      <c r="AX2141" s="1">
        <v>2013.0</v>
      </c>
      <c r="AZ2141" s="1" t="s">
        <v>200</v>
      </c>
      <c r="BA2141" s="1" t="str">
        <f>"25174170160000"</f>
        <v>25174170160000</v>
      </c>
      <c r="BC2141" s="1">
        <v>1635.0</v>
      </c>
      <c r="BD2141" s="1">
        <v>157200.0</v>
      </c>
      <c r="BE2141" s="2">
        <v>41926.0</v>
      </c>
      <c r="BF2141" s="2" t="s">
        <v>20075</v>
      </c>
      <c r="BH2141" s="1">
        <v>0.0</v>
      </c>
      <c r="BK2141" s="1" t="s">
        <v>204</v>
      </c>
      <c r="BL2141" s="1" t="str">
        <f t="shared" ref="BL2141:BM2141" si="1402">"0"</f>
        <v>0</v>
      </c>
      <c r="BM2141" s="1" t="str">
        <f t="shared" si="1402"/>
        <v>0</v>
      </c>
      <c r="BN2141" s="1">
        <v>900.0</v>
      </c>
      <c r="BO2141" s="1">
        <v>10731.0</v>
      </c>
      <c r="BQ2141" s="1">
        <v>299.0</v>
      </c>
      <c r="BR2141" s="1">
        <v>299.0</v>
      </c>
      <c r="BS2141" s="1">
        <v>299.0</v>
      </c>
      <c r="BU2141" s="1" t="s">
        <v>955</v>
      </c>
      <c r="BV2141" s="1" t="s">
        <v>206</v>
      </c>
      <c r="BW2141" s="1" t="s">
        <v>207</v>
      </c>
      <c r="BY2141" s="1" t="s">
        <v>20076</v>
      </c>
      <c r="BZ2141" s="1" t="s">
        <v>209</v>
      </c>
      <c r="CA2141" s="1" t="s">
        <v>210</v>
      </c>
      <c r="CD2141" s="1" t="s">
        <v>204</v>
      </c>
      <c r="CG2141" s="1" t="s">
        <v>212</v>
      </c>
      <c r="CH2141" s="1" t="s">
        <v>206</v>
      </c>
      <c r="CI2141" s="1" t="s">
        <v>207</v>
      </c>
      <c r="CK2141" s="1" t="s">
        <v>699</v>
      </c>
      <c r="CL2141" s="1" t="s">
        <v>206</v>
      </c>
      <c r="CM2141" s="1" t="s">
        <v>207</v>
      </c>
      <c r="CO2141" s="1" t="s">
        <v>212</v>
      </c>
      <c r="CP2141" s="1" t="s">
        <v>42</v>
      </c>
      <c r="CQ2141" s="1" t="s">
        <v>268</v>
      </c>
      <c r="CS2141" s="1" t="s">
        <v>4180</v>
      </c>
      <c r="CT2141" s="1" t="s">
        <v>206</v>
      </c>
      <c r="CU2141" s="1" t="s">
        <v>268</v>
      </c>
      <c r="CW2141" s="1" t="s">
        <v>2675</v>
      </c>
      <c r="CX2141" s="1" t="s">
        <v>42</v>
      </c>
      <c r="CY2141" s="1" t="s">
        <v>268</v>
      </c>
      <c r="DA2141" s="1" t="s">
        <v>200</v>
      </c>
      <c r="DC2141" s="1" t="s">
        <v>1399</v>
      </c>
      <c r="DD2141" s="1" t="s">
        <v>518</v>
      </c>
      <c r="DE2141" s="1" t="s">
        <v>273</v>
      </c>
      <c r="DF2141" s="1" t="s">
        <v>219</v>
      </c>
      <c r="DG2141" s="1" t="s">
        <v>482</v>
      </c>
      <c r="DH2141" s="1" t="s">
        <v>220</v>
      </c>
      <c r="DI2141" s="1" t="s">
        <v>366</v>
      </c>
      <c r="DJ2141" s="1" t="s">
        <v>222</v>
      </c>
      <c r="DL2141" s="1" t="s">
        <v>224</v>
      </c>
      <c r="DM2141" s="1" t="s">
        <v>398</v>
      </c>
      <c r="DQ2141" s="1" t="s">
        <v>228</v>
      </c>
      <c r="DR2141" s="1" t="s">
        <v>229</v>
      </c>
      <c r="DU2141" s="1" t="s">
        <v>12035</v>
      </c>
      <c r="DV2141" s="1" t="s">
        <v>310</v>
      </c>
      <c r="DW2141" s="1" t="s">
        <v>279</v>
      </c>
      <c r="DX2141" s="1" t="s">
        <v>234</v>
      </c>
      <c r="DY2141" s="1" t="s">
        <v>553</v>
      </c>
      <c r="DZ2141" s="1" t="s">
        <v>1466</v>
      </c>
      <c r="EA2141" s="1" t="s">
        <v>1075</v>
      </c>
      <c r="EC2141" s="1" t="s">
        <v>645</v>
      </c>
      <c r="EE2141" s="1" t="s">
        <v>493</v>
      </c>
      <c r="EG2141" s="1" t="s">
        <v>310</v>
      </c>
      <c r="EL2141" s="1" t="s">
        <v>264</v>
      </c>
      <c r="EM2141" s="1" t="s">
        <v>206</v>
      </c>
      <c r="EQ2141" s="1" t="s">
        <v>238</v>
      </c>
      <c r="EU2141" s="1" t="s">
        <v>238</v>
      </c>
      <c r="EY2141" s="1" t="s">
        <v>238</v>
      </c>
      <c r="FC2141" s="1" t="s">
        <v>238</v>
      </c>
      <c r="FF2141" s="1" t="s">
        <v>239</v>
      </c>
      <c r="FG2141" s="1" t="s">
        <v>192</v>
      </c>
      <c r="FH2141" s="1" t="s">
        <v>192</v>
      </c>
      <c r="FJ2141" s="1" t="s">
        <v>2988</v>
      </c>
      <c r="FK2141" s="1" t="s">
        <v>229</v>
      </c>
      <c r="FL2141" s="1" t="s">
        <v>2989</v>
      </c>
      <c r="FM2141" s="1">
        <v>25888.0</v>
      </c>
      <c r="FN2141" s="1" t="s">
        <v>2990</v>
      </c>
      <c r="FO2141" s="1" t="s">
        <v>2991</v>
      </c>
      <c r="FP2141" s="1">
        <v>226116.0</v>
      </c>
      <c r="FQ2141" s="1" t="s">
        <v>2990</v>
      </c>
      <c r="FR2141" s="1">
        <v>241561.0</v>
      </c>
      <c r="FU2141" s="1" t="s">
        <v>2992</v>
      </c>
      <c r="FV2141" s="1" t="s">
        <v>200</v>
      </c>
      <c r="FW2141" s="1" t="s">
        <v>290</v>
      </c>
      <c r="FX2141" s="1" t="s">
        <v>655</v>
      </c>
      <c r="FZ2141" s="1" t="s">
        <v>2993</v>
      </c>
      <c r="GA2141" s="1" t="s">
        <v>291</v>
      </c>
      <c r="GB2141" s="2">
        <v>42094.0</v>
      </c>
      <c r="GC2141" s="1" t="s">
        <v>2994</v>
      </c>
    </row>
    <row r="2142">
      <c r="A2142" s="1">
        <v>447000.0</v>
      </c>
      <c r="B2142" s="1" t="s">
        <v>185</v>
      </c>
      <c r="C2142" s="1" t="str">
        <f>"08744578"</f>
        <v>08744578</v>
      </c>
      <c r="D2142" s="1" t="s">
        <v>186</v>
      </c>
      <c r="F2142" s="1" t="str">
        <f>"8010"</f>
        <v>8010</v>
      </c>
      <c r="G2142" s="2">
        <v>41915.0</v>
      </c>
      <c r="H2142" s="1">
        <v>469900.0</v>
      </c>
      <c r="I2142" s="1">
        <v>27.0</v>
      </c>
      <c r="J2142" s="1">
        <v>454900.0</v>
      </c>
      <c r="K2142" s="2">
        <v>41941.0</v>
      </c>
      <c r="L2142" s="1">
        <v>27.0</v>
      </c>
      <c r="M2142" s="2">
        <v>41941.0</v>
      </c>
      <c r="N2142" s="1" t="s">
        <v>187</v>
      </c>
      <c r="O2142" s="2">
        <v>41991.0</v>
      </c>
      <c r="P2142" s="1">
        <v>142269.0</v>
      </c>
      <c r="Q2142" s="1">
        <v>10646.0</v>
      </c>
      <c r="S2142" s="1">
        <v>6160.0</v>
      </c>
      <c r="T2142" s="1" t="s">
        <v>8264</v>
      </c>
      <c r="U2142" s="1" t="s">
        <v>189</v>
      </c>
      <c r="V2142" s="1" t="s">
        <v>190</v>
      </c>
      <c r="W2142" s="1">
        <v>60646.0</v>
      </c>
      <c r="X2142" s="1">
        <v>3807.0</v>
      </c>
      <c r="Y2142" s="1" t="s">
        <v>20077</v>
      </c>
      <c r="Z2142" s="1">
        <v>1944.0</v>
      </c>
      <c r="AA2142" s="1" t="s">
        <v>192</v>
      </c>
      <c r="AB2142" s="1" t="s">
        <v>193</v>
      </c>
      <c r="AC2142" s="1" t="s">
        <v>3901</v>
      </c>
      <c r="AD2142" s="1" t="s">
        <v>194</v>
      </c>
      <c r="AE2142" s="1" t="s">
        <v>195</v>
      </c>
      <c r="AF2142" s="1" t="s">
        <v>196</v>
      </c>
      <c r="AH2142" s="1" t="s">
        <v>20078</v>
      </c>
      <c r="AK2142" s="1">
        <v>8.0</v>
      </c>
      <c r="AL2142" s="1">
        <v>4.0</v>
      </c>
      <c r="AM2142" s="1">
        <v>2.0</v>
      </c>
      <c r="AN2142" s="1">
        <v>1.0</v>
      </c>
      <c r="AO2142" s="1" t="s">
        <v>198</v>
      </c>
      <c r="AP2142" s="1">
        <v>1.0</v>
      </c>
      <c r="AQ2142" s="1" t="s">
        <v>198</v>
      </c>
      <c r="AR2142" s="1" t="s">
        <v>200</v>
      </c>
      <c r="AS2142" s="1" t="s">
        <v>199</v>
      </c>
      <c r="AT2142" s="1">
        <v>2.0</v>
      </c>
      <c r="AV2142" s="1" t="s">
        <v>200</v>
      </c>
      <c r="AW2142" s="1">
        <v>5747.42</v>
      </c>
      <c r="AX2142" s="1">
        <v>2013.0</v>
      </c>
      <c r="AY2142" s="1" t="s">
        <v>387</v>
      </c>
      <c r="AZ2142" s="1" t="s">
        <v>200</v>
      </c>
      <c r="BA2142" s="1" t="str">
        <f>"13051130170000"</f>
        <v>13051130170000</v>
      </c>
      <c r="BB2142" s="1" t="s">
        <v>200</v>
      </c>
      <c r="BC2142" s="1">
        <v>2197.0</v>
      </c>
      <c r="BD2142" s="1">
        <v>447000.0</v>
      </c>
      <c r="BE2142" s="2">
        <v>41915.0</v>
      </c>
      <c r="BF2142" s="2" t="s">
        <v>20079</v>
      </c>
      <c r="BG2142" s="1" t="s">
        <v>13854</v>
      </c>
      <c r="BH2142" s="1">
        <v>0.0</v>
      </c>
      <c r="BJ2142" s="1" t="s">
        <v>1222</v>
      </c>
      <c r="BK2142" s="1" t="s">
        <v>204</v>
      </c>
      <c r="BL2142" s="1" t="str">
        <f>"6160"</f>
        <v>6160</v>
      </c>
      <c r="BM2142" s="1" t="str">
        <f>"0"</f>
        <v>0</v>
      </c>
      <c r="BN2142" s="1">
        <v>6150.0</v>
      </c>
      <c r="BO2142" s="1">
        <v>0.0</v>
      </c>
      <c r="BQ2142" s="1">
        <v>299.0</v>
      </c>
      <c r="BR2142" s="1">
        <v>299.0</v>
      </c>
      <c r="BS2142" s="1">
        <v>299.0</v>
      </c>
      <c r="BU2142" s="1" t="s">
        <v>432</v>
      </c>
      <c r="BV2142" s="1" t="s">
        <v>206</v>
      </c>
      <c r="BW2142" s="1" t="s">
        <v>207</v>
      </c>
      <c r="BY2142" s="1" t="s">
        <v>362</v>
      </c>
      <c r="BZ2142" s="1" t="s">
        <v>209</v>
      </c>
      <c r="CA2142" s="1" t="s">
        <v>210</v>
      </c>
      <c r="CD2142" s="1" t="s">
        <v>204</v>
      </c>
      <c r="CG2142" s="1" t="s">
        <v>647</v>
      </c>
      <c r="CH2142" s="1" t="s">
        <v>209</v>
      </c>
      <c r="CI2142" s="1" t="s">
        <v>210</v>
      </c>
      <c r="CK2142" s="1" t="s">
        <v>212</v>
      </c>
      <c r="CL2142" s="1" t="s">
        <v>209</v>
      </c>
      <c r="CM2142" s="1" t="s">
        <v>210</v>
      </c>
      <c r="CO2142" s="1" t="s">
        <v>265</v>
      </c>
      <c r="CP2142" s="1" t="s">
        <v>209</v>
      </c>
      <c r="CQ2142" s="1" t="s">
        <v>210</v>
      </c>
      <c r="CS2142" s="1" t="s">
        <v>1891</v>
      </c>
      <c r="CT2142" s="1" t="s">
        <v>206</v>
      </c>
      <c r="CU2142" s="1" t="s">
        <v>207</v>
      </c>
      <c r="CW2142" s="1" t="s">
        <v>2749</v>
      </c>
      <c r="CX2142" s="1" t="s">
        <v>206</v>
      </c>
      <c r="CY2142" s="1" t="s">
        <v>207</v>
      </c>
      <c r="DA2142" s="1" t="s">
        <v>200</v>
      </c>
      <c r="DC2142" s="1" t="s">
        <v>702</v>
      </c>
      <c r="DD2142" s="1" t="s">
        <v>518</v>
      </c>
      <c r="DE2142" s="1" t="s">
        <v>3750</v>
      </c>
      <c r="DF2142" s="1" t="s">
        <v>2328</v>
      </c>
      <c r="DG2142" s="1" t="s">
        <v>2237</v>
      </c>
      <c r="DH2142" s="1" t="s">
        <v>365</v>
      </c>
      <c r="DI2142" s="1" t="s">
        <v>221</v>
      </c>
      <c r="DJ2142" s="1" t="s">
        <v>222</v>
      </c>
      <c r="DL2142" s="1" t="s">
        <v>224</v>
      </c>
      <c r="DM2142" s="1" t="s">
        <v>225</v>
      </c>
      <c r="DN2142" s="1" t="s">
        <v>666</v>
      </c>
      <c r="DO2142" s="1" t="s">
        <v>549</v>
      </c>
      <c r="DQ2142" s="1" t="s">
        <v>228</v>
      </c>
      <c r="DR2142" s="1" t="s">
        <v>229</v>
      </c>
      <c r="DS2142" s="1" t="s">
        <v>368</v>
      </c>
      <c r="DV2142" s="1" t="s">
        <v>2058</v>
      </c>
      <c r="DW2142" s="1" t="s">
        <v>1145</v>
      </c>
      <c r="DX2142" s="1" t="s">
        <v>1287</v>
      </c>
      <c r="DY2142" s="1" t="s">
        <v>704</v>
      </c>
      <c r="DZ2142" s="1" t="s">
        <v>310</v>
      </c>
      <c r="EA2142" s="1" t="s">
        <v>3308</v>
      </c>
      <c r="EB2142" s="1" t="s">
        <v>345</v>
      </c>
      <c r="EC2142" s="1" t="s">
        <v>237</v>
      </c>
      <c r="ED2142" s="1" t="s">
        <v>407</v>
      </c>
      <c r="EE2142" s="1" t="s">
        <v>493</v>
      </c>
      <c r="EG2142" s="1" t="s">
        <v>450</v>
      </c>
      <c r="EH2142" s="1" t="s">
        <v>310</v>
      </c>
      <c r="EL2142" s="1" t="s">
        <v>6890</v>
      </c>
      <c r="EM2142" s="1" t="s">
        <v>42</v>
      </c>
      <c r="EN2142" s="1" t="s">
        <v>617</v>
      </c>
      <c r="EP2142" s="1" t="s">
        <v>434</v>
      </c>
      <c r="EQ2142" s="1" t="s">
        <v>206</v>
      </c>
      <c r="EU2142" s="1" t="s">
        <v>238</v>
      </c>
      <c r="EY2142" s="1" t="s">
        <v>238</v>
      </c>
      <c r="FC2142" s="1" t="s">
        <v>238</v>
      </c>
      <c r="FF2142" s="1" t="s">
        <v>239</v>
      </c>
      <c r="FG2142" s="1" t="s">
        <v>192</v>
      </c>
      <c r="FH2142" s="1" t="s">
        <v>192</v>
      </c>
      <c r="FJ2142" s="1" t="s">
        <v>2427</v>
      </c>
      <c r="FK2142" s="1" t="s">
        <v>229</v>
      </c>
      <c r="FL2142" s="1" t="s">
        <v>456</v>
      </c>
      <c r="FM2142" s="1">
        <v>10013.0</v>
      </c>
      <c r="FN2142" s="1" t="s">
        <v>2428</v>
      </c>
      <c r="FO2142" s="1" t="s">
        <v>11907</v>
      </c>
      <c r="FP2142" s="1">
        <v>106133.0</v>
      </c>
      <c r="FQ2142" s="1" t="s">
        <v>11908</v>
      </c>
      <c r="FU2142" s="1" t="s">
        <v>20080</v>
      </c>
      <c r="FV2142" s="1" t="s">
        <v>200</v>
      </c>
      <c r="FW2142" s="1" t="s">
        <v>8793</v>
      </c>
      <c r="FX2142" s="1" t="s">
        <v>238</v>
      </c>
      <c r="FZ2142" s="1" t="s">
        <v>229</v>
      </c>
      <c r="GA2142" s="1" t="s">
        <v>291</v>
      </c>
      <c r="GB2142" s="2">
        <v>41991.0</v>
      </c>
    </row>
    <row r="2143">
      <c r="A2143" s="1">
        <v>459900.0</v>
      </c>
      <c r="B2143" s="1" t="s">
        <v>185</v>
      </c>
      <c r="C2143" s="1" t="str">
        <f>"08738932"</f>
        <v>08738932</v>
      </c>
      <c r="D2143" s="1" t="s">
        <v>186</v>
      </c>
      <c r="F2143" s="1" t="str">
        <f>"136"</f>
        <v>136</v>
      </c>
      <c r="G2143" s="2">
        <v>41908.0</v>
      </c>
      <c r="H2143" s="1">
        <v>459000.0</v>
      </c>
      <c r="I2143" s="1">
        <v>13.0</v>
      </c>
      <c r="J2143" s="1">
        <v>459000.0</v>
      </c>
      <c r="K2143" s="2">
        <v>41918.0</v>
      </c>
      <c r="L2143" s="1">
        <v>13.0</v>
      </c>
      <c r="M2143" s="2">
        <v>41918.0</v>
      </c>
      <c r="N2143" s="1" t="s">
        <v>187</v>
      </c>
      <c r="O2143" s="2">
        <v>42032.0</v>
      </c>
      <c r="P2143" s="1">
        <v>99999.0</v>
      </c>
      <c r="Q2143" s="1" t="s">
        <v>947</v>
      </c>
      <c r="S2143" s="1">
        <v>280.0</v>
      </c>
      <c r="T2143" s="1" t="s">
        <v>5031</v>
      </c>
      <c r="U2143" s="1" t="s">
        <v>1442</v>
      </c>
      <c r="V2143" s="1" t="s">
        <v>5032</v>
      </c>
      <c r="W2143" s="1">
        <v>60136.0</v>
      </c>
      <c r="Y2143" s="1" t="s">
        <v>20081</v>
      </c>
      <c r="Z2143" s="1">
        <v>2008.0</v>
      </c>
      <c r="AA2143" s="1" t="s">
        <v>200</v>
      </c>
      <c r="AB2143" s="1" t="s">
        <v>193</v>
      </c>
      <c r="AC2143" s="1" t="s">
        <v>5034</v>
      </c>
      <c r="AD2143" s="1" t="s">
        <v>5035</v>
      </c>
      <c r="AE2143" s="1" t="s">
        <v>325</v>
      </c>
      <c r="AF2143" s="1" t="s">
        <v>3429</v>
      </c>
      <c r="AG2143" s="1" t="s">
        <v>1018</v>
      </c>
      <c r="AH2143" s="1" t="s">
        <v>20082</v>
      </c>
      <c r="AI2143" s="1">
        <v>0.22</v>
      </c>
      <c r="AK2143" s="1">
        <v>11.0</v>
      </c>
      <c r="AL2143" s="1">
        <v>4.0</v>
      </c>
      <c r="AM2143" s="1">
        <v>4.0</v>
      </c>
      <c r="AN2143" s="1">
        <v>0.0</v>
      </c>
      <c r="AO2143" s="1" t="s">
        <v>198</v>
      </c>
      <c r="AP2143" s="1">
        <v>1.0</v>
      </c>
      <c r="AQ2143" s="1" t="s">
        <v>472</v>
      </c>
      <c r="AR2143" s="1" t="s">
        <v>200</v>
      </c>
      <c r="AS2143" s="1" t="s">
        <v>199</v>
      </c>
      <c r="AT2143" s="1">
        <v>3.0</v>
      </c>
      <c r="AV2143" s="1" t="s">
        <v>192</v>
      </c>
      <c r="AW2143" s="1">
        <v>1759.68</v>
      </c>
      <c r="AX2143" s="1">
        <v>2013.0</v>
      </c>
      <c r="AY2143" s="1" t="s">
        <v>229</v>
      </c>
      <c r="AZ2143" s="1" t="s">
        <v>200</v>
      </c>
      <c r="BA2143" s="1" t="str">
        <f>"0224177011"</f>
        <v>0224177011</v>
      </c>
      <c r="BB2143" s="1" t="s">
        <v>200</v>
      </c>
      <c r="BC2143" s="1">
        <v>3868.0</v>
      </c>
      <c r="BD2143" s="1">
        <v>459900.0</v>
      </c>
      <c r="BE2143" s="2">
        <v>41906.0</v>
      </c>
      <c r="BF2143" s="2" t="s">
        <v>20083</v>
      </c>
      <c r="BG2143" s="1" t="s">
        <v>5039</v>
      </c>
      <c r="BH2143" s="1">
        <v>29.0</v>
      </c>
      <c r="BI2143" s="1" t="s">
        <v>5040</v>
      </c>
      <c r="BJ2143" s="1" t="s">
        <v>1182</v>
      </c>
      <c r="BK2143" s="1" t="s">
        <v>474</v>
      </c>
      <c r="BL2143" s="1" t="str">
        <f t="shared" ref="BL2143:BM2143" si="1403">""</f>
        <v/>
      </c>
      <c r="BM2143" s="1" t="str">
        <f t="shared" si="1403"/>
        <v/>
      </c>
      <c r="BQ2143" s="1">
        <v>300.0</v>
      </c>
      <c r="BR2143" s="1">
        <v>300.0</v>
      </c>
      <c r="BS2143" s="1">
        <v>300.0</v>
      </c>
      <c r="BU2143" s="1" t="s">
        <v>332</v>
      </c>
      <c r="BV2143" s="1" t="s">
        <v>206</v>
      </c>
      <c r="BW2143" s="1" t="s">
        <v>210</v>
      </c>
      <c r="BY2143" s="1" t="s">
        <v>676</v>
      </c>
      <c r="BZ2143" s="1" t="s">
        <v>209</v>
      </c>
      <c r="CA2143" s="1" t="s">
        <v>210</v>
      </c>
      <c r="CC2143" s="1" t="s">
        <v>215</v>
      </c>
      <c r="CD2143" s="1" t="s">
        <v>206</v>
      </c>
      <c r="CE2143" s="1" t="s">
        <v>210</v>
      </c>
      <c r="CG2143" s="1" t="s">
        <v>361</v>
      </c>
      <c r="CH2143" s="1" t="s">
        <v>209</v>
      </c>
      <c r="CI2143" s="1" t="s">
        <v>210</v>
      </c>
      <c r="CK2143" s="1" t="s">
        <v>302</v>
      </c>
      <c r="CL2143" s="1" t="s">
        <v>209</v>
      </c>
      <c r="CM2143" s="1" t="s">
        <v>210</v>
      </c>
      <c r="CO2143" s="1" t="s">
        <v>212</v>
      </c>
      <c r="CP2143" s="1" t="s">
        <v>209</v>
      </c>
      <c r="CQ2143" s="1" t="s">
        <v>210</v>
      </c>
      <c r="CS2143" s="1" t="s">
        <v>214</v>
      </c>
      <c r="CT2143" s="1" t="s">
        <v>206</v>
      </c>
      <c r="CU2143" s="1" t="s">
        <v>207</v>
      </c>
      <c r="CW2143" s="1" t="s">
        <v>334</v>
      </c>
      <c r="CX2143" s="1" t="s">
        <v>206</v>
      </c>
      <c r="CY2143" s="1" t="s">
        <v>207</v>
      </c>
      <c r="DA2143" s="1" t="s">
        <v>200</v>
      </c>
      <c r="DC2143" s="1" t="s">
        <v>481</v>
      </c>
      <c r="DD2143" s="1" t="s">
        <v>1838</v>
      </c>
      <c r="DE2143" s="1" t="s">
        <v>2851</v>
      </c>
      <c r="DF2143" s="1" t="s">
        <v>219</v>
      </c>
      <c r="DG2143" s="1" t="s">
        <v>1020</v>
      </c>
      <c r="DH2143" s="1" t="s">
        <v>220</v>
      </c>
      <c r="DI2143" s="1" t="s">
        <v>732</v>
      </c>
      <c r="DJ2143" s="1" t="s">
        <v>222</v>
      </c>
      <c r="DK2143" s="1" t="s">
        <v>223</v>
      </c>
      <c r="DL2143" s="1" t="s">
        <v>223</v>
      </c>
      <c r="DM2143" s="1" t="s">
        <v>1022</v>
      </c>
      <c r="DN2143" s="1" t="s">
        <v>548</v>
      </c>
      <c r="DO2143" s="1" t="s">
        <v>5041</v>
      </c>
      <c r="DP2143" s="1" t="s">
        <v>276</v>
      </c>
      <c r="DQ2143" s="1" t="s">
        <v>228</v>
      </c>
      <c r="DR2143" s="1" t="s">
        <v>229</v>
      </c>
      <c r="DS2143" s="1" t="s">
        <v>368</v>
      </c>
      <c r="DU2143" s="1" t="s">
        <v>1024</v>
      </c>
      <c r="DV2143" s="1" t="s">
        <v>1025</v>
      </c>
      <c r="DW2143" s="1" t="s">
        <v>444</v>
      </c>
      <c r="DX2143" s="1" t="s">
        <v>234</v>
      </c>
      <c r="DY2143" s="1" t="s">
        <v>2803</v>
      </c>
      <c r="DZ2143" s="1" t="s">
        <v>310</v>
      </c>
      <c r="EA2143" s="1" t="s">
        <v>1027</v>
      </c>
      <c r="EB2143" s="1" t="s">
        <v>345</v>
      </c>
      <c r="EC2143" s="1" t="s">
        <v>237</v>
      </c>
      <c r="EG2143" s="1" t="s">
        <v>556</v>
      </c>
      <c r="EH2143" s="1" t="s">
        <v>1028</v>
      </c>
      <c r="EI2143" s="1" t="s">
        <v>598</v>
      </c>
      <c r="EJ2143" s="1" t="s">
        <v>2313</v>
      </c>
      <c r="EL2143" s="1" t="s">
        <v>582</v>
      </c>
      <c r="EM2143" s="1" t="s">
        <v>206</v>
      </c>
      <c r="EN2143" s="1" t="s">
        <v>207</v>
      </c>
      <c r="EP2143" s="1" t="s">
        <v>331</v>
      </c>
      <c r="EQ2143" s="1" t="s">
        <v>206</v>
      </c>
      <c r="ER2143" s="1" t="s">
        <v>210</v>
      </c>
      <c r="ET2143" s="1" t="s">
        <v>1029</v>
      </c>
      <c r="EU2143" s="1" t="s">
        <v>206</v>
      </c>
      <c r="EV2143" s="1" t="s">
        <v>210</v>
      </c>
      <c r="EX2143" s="1" t="s">
        <v>3182</v>
      </c>
      <c r="EY2143" s="1" t="s">
        <v>206</v>
      </c>
      <c r="EZ2143" s="1" t="s">
        <v>268</v>
      </c>
      <c r="FC2143" s="1" t="s">
        <v>238</v>
      </c>
      <c r="FF2143" s="1" t="s">
        <v>239</v>
      </c>
      <c r="FG2143" s="1" t="s">
        <v>192</v>
      </c>
      <c r="FH2143" s="1" t="s">
        <v>192</v>
      </c>
      <c r="FJ2143" s="1" t="s">
        <v>20084</v>
      </c>
      <c r="FK2143" s="1" t="s">
        <v>557</v>
      </c>
      <c r="FL2143" s="1" t="s">
        <v>1031</v>
      </c>
      <c r="FM2143" s="1">
        <v>222.0</v>
      </c>
      <c r="FN2143" s="1" t="s">
        <v>1032</v>
      </c>
      <c r="FO2143" s="1" t="s">
        <v>1033</v>
      </c>
      <c r="FP2143" s="1">
        <v>1305.0</v>
      </c>
      <c r="FQ2143" s="1" t="s">
        <v>1034</v>
      </c>
      <c r="FR2143" s="1">
        <v>70398.0</v>
      </c>
      <c r="FT2143" s="1" t="s">
        <v>1035</v>
      </c>
      <c r="FU2143" s="1" t="s">
        <v>20085</v>
      </c>
      <c r="FV2143" s="1" t="s">
        <v>200</v>
      </c>
      <c r="FW2143" s="1" t="s">
        <v>1037</v>
      </c>
      <c r="FZ2143" s="1" t="s">
        <v>229</v>
      </c>
      <c r="GA2143" s="1" t="s">
        <v>291</v>
      </c>
      <c r="GB2143" s="2">
        <v>42046.0</v>
      </c>
      <c r="GC2143" s="1" t="s">
        <v>20086</v>
      </c>
    </row>
    <row r="2144">
      <c r="A2144" s="1">
        <v>153000.0</v>
      </c>
      <c r="B2144" s="1" t="s">
        <v>185</v>
      </c>
      <c r="C2144" s="1" t="str">
        <f>"08742618"</f>
        <v>08742618</v>
      </c>
      <c r="D2144" s="1" t="s">
        <v>186</v>
      </c>
      <c r="F2144" s="1" t="str">
        <f>"8052"</f>
        <v>8052</v>
      </c>
      <c r="G2144" s="2">
        <v>41913.0</v>
      </c>
      <c r="H2144" s="1">
        <v>164900.0</v>
      </c>
      <c r="I2144" s="1">
        <v>33.0</v>
      </c>
      <c r="J2144" s="1">
        <v>164900.0</v>
      </c>
      <c r="K2144" s="2">
        <v>41943.0</v>
      </c>
      <c r="L2144" s="1">
        <v>33.0</v>
      </c>
      <c r="M2144" s="2">
        <v>41943.0</v>
      </c>
      <c r="N2144" s="1" t="s">
        <v>356</v>
      </c>
      <c r="O2144" s="2">
        <v>42025.0</v>
      </c>
      <c r="P2144" s="1">
        <v>238411.0</v>
      </c>
      <c r="Q2144" s="1">
        <v>60296.0</v>
      </c>
      <c r="R2144" s="1">
        <v>3.0</v>
      </c>
      <c r="S2144" s="1">
        <v>11326.0</v>
      </c>
      <c r="T2144" s="1" t="s">
        <v>17045</v>
      </c>
      <c r="V2144" s="1" t="s">
        <v>190</v>
      </c>
      <c r="W2144" s="1">
        <v>60617.0</v>
      </c>
      <c r="Y2144" s="1" t="s">
        <v>20087</v>
      </c>
      <c r="Z2144" s="1">
        <v>1943.0</v>
      </c>
      <c r="AA2144" s="1" t="s">
        <v>192</v>
      </c>
      <c r="AB2144" s="1" t="s">
        <v>193</v>
      </c>
      <c r="AD2144" s="1" t="s">
        <v>194</v>
      </c>
      <c r="AE2144" s="1" t="s">
        <v>195</v>
      </c>
      <c r="AF2144" s="1" t="s">
        <v>637</v>
      </c>
      <c r="AH2144" s="1" t="s">
        <v>20088</v>
      </c>
      <c r="AI2144" s="1">
        <v>0.0996</v>
      </c>
      <c r="AK2144" s="1">
        <v>8.0</v>
      </c>
      <c r="AL2144" s="1">
        <v>3.0</v>
      </c>
      <c r="AM2144" s="1">
        <v>3.0</v>
      </c>
      <c r="AN2144" s="1">
        <v>0.0</v>
      </c>
      <c r="AO2144" s="1" t="s">
        <v>229</v>
      </c>
      <c r="AQ2144" s="1" t="s">
        <v>198</v>
      </c>
      <c r="AR2144" s="1" t="s">
        <v>192</v>
      </c>
      <c r="AS2144" s="1" t="s">
        <v>199</v>
      </c>
      <c r="AT2144" s="1">
        <v>2.5</v>
      </c>
      <c r="AV2144" s="1" t="s">
        <v>200</v>
      </c>
      <c r="AW2144" s="1">
        <v>1229.37</v>
      </c>
      <c r="AX2144" s="1">
        <v>2012.0</v>
      </c>
      <c r="AZ2144" s="1" t="s">
        <v>200</v>
      </c>
      <c r="BA2144" s="1" t="str">
        <f>"26173280930000"</f>
        <v>26173280930000</v>
      </c>
      <c r="BC2144" s="1">
        <v>1400.0</v>
      </c>
      <c r="BD2144" s="1">
        <v>153000.0</v>
      </c>
      <c r="BE2144" s="2">
        <v>41911.0</v>
      </c>
      <c r="BF2144" s="2" t="s">
        <v>20089</v>
      </c>
      <c r="BH2144" s="1">
        <v>0.0</v>
      </c>
      <c r="BK2144" s="1" t="s">
        <v>204</v>
      </c>
      <c r="BL2144" s="1" t="str">
        <f>"0"</f>
        <v>0</v>
      </c>
      <c r="BM2144" s="1" t="str">
        <f>"100"</f>
        <v>100</v>
      </c>
      <c r="BN2144" s="1">
        <v>0.0</v>
      </c>
      <c r="BO2144" s="1">
        <v>100.0</v>
      </c>
      <c r="BQ2144" s="1">
        <v>299.0</v>
      </c>
      <c r="BR2144" s="1">
        <v>299.0</v>
      </c>
      <c r="BS2144" s="1">
        <v>299.0</v>
      </c>
      <c r="BU2144" s="1" t="s">
        <v>212</v>
      </c>
      <c r="BV2144" s="1" t="s">
        <v>206</v>
      </c>
      <c r="BW2144" s="1" t="s">
        <v>207</v>
      </c>
      <c r="BY2144" s="1" t="s">
        <v>361</v>
      </c>
      <c r="BZ2144" s="1" t="s">
        <v>209</v>
      </c>
      <c r="CA2144" s="1" t="s">
        <v>210</v>
      </c>
      <c r="CC2144" s="1" t="s">
        <v>663</v>
      </c>
      <c r="CD2144" s="1" t="s">
        <v>206</v>
      </c>
      <c r="CE2144" s="1" t="s">
        <v>207</v>
      </c>
      <c r="CG2144" s="1" t="s">
        <v>495</v>
      </c>
      <c r="CH2144" s="1" t="s">
        <v>206</v>
      </c>
      <c r="CI2144" s="1" t="s">
        <v>207</v>
      </c>
      <c r="CK2144" s="1" t="s">
        <v>265</v>
      </c>
      <c r="CL2144" s="1" t="s">
        <v>206</v>
      </c>
      <c r="CM2144" s="1" t="s">
        <v>207</v>
      </c>
      <c r="CO2144" s="1" t="s">
        <v>1382</v>
      </c>
      <c r="CP2144" s="1" t="s">
        <v>42</v>
      </c>
      <c r="CS2144" s="1" t="s">
        <v>663</v>
      </c>
      <c r="CT2144" s="1" t="s">
        <v>206</v>
      </c>
      <c r="CU2144" s="1" t="s">
        <v>207</v>
      </c>
      <c r="CW2144" s="1" t="s">
        <v>17590</v>
      </c>
      <c r="CX2144" s="1" t="s">
        <v>42</v>
      </c>
      <c r="DA2144" s="1" t="s">
        <v>200</v>
      </c>
      <c r="DC2144" s="1" t="s">
        <v>1399</v>
      </c>
      <c r="DE2144" s="1" t="s">
        <v>273</v>
      </c>
      <c r="DF2144" s="1" t="s">
        <v>219</v>
      </c>
      <c r="DH2144" s="1" t="s">
        <v>220</v>
      </c>
      <c r="DI2144" s="1" t="s">
        <v>366</v>
      </c>
      <c r="DJ2144" s="1" t="s">
        <v>222</v>
      </c>
      <c r="DL2144" s="1" t="s">
        <v>224</v>
      </c>
      <c r="DM2144" s="1" t="s">
        <v>229</v>
      </c>
      <c r="DQ2144" s="1" t="s">
        <v>228</v>
      </c>
      <c r="DR2144" s="1" t="s">
        <v>229</v>
      </c>
      <c r="DV2144" s="1" t="s">
        <v>232</v>
      </c>
      <c r="DW2144" s="1" t="s">
        <v>279</v>
      </c>
      <c r="DX2144" s="1" t="s">
        <v>234</v>
      </c>
      <c r="DY2144" s="1" t="s">
        <v>553</v>
      </c>
      <c r="EA2144" s="1" t="s">
        <v>1075</v>
      </c>
      <c r="EC2144" s="1" t="s">
        <v>645</v>
      </c>
      <c r="EE2144" s="1" t="s">
        <v>493</v>
      </c>
      <c r="EM2144" s="1" t="s">
        <v>238</v>
      </c>
      <c r="EQ2144" s="1" t="s">
        <v>238</v>
      </c>
      <c r="EU2144" s="1" t="s">
        <v>238</v>
      </c>
      <c r="EY2144" s="1" t="s">
        <v>238</v>
      </c>
      <c r="FC2144" s="1" t="s">
        <v>238</v>
      </c>
      <c r="FF2144" s="1" t="s">
        <v>239</v>
      </c>
      <c r="FG2144" s="1" t="s">
        <v>192</v>
      </c>
      <c r="FH2144" s="1" t="s">
        <v>192</v>
      </c>
      <c r="FJ2144" s="1" t="s">
        <v>648</v>
      </c>
      <c r="FK2144" s="1" t="s">
        <v>229</v>
      </c>
      <c r="FL2144" s="1" t="s">
        <v>649</v>
      </c>
      <c r="FM2144" s="1">
        <v>60296.0</v>
      </c>
      <c r="FN2144" s="1" t="s">
        <v>650</v>
      </c>
      <c r="FO2144" s="1" t="s">
        <v>651</v>
      </c>
      <c r="FP2144" s="1">
        <v>602837.0</v>
      </c>
      <c r="FQ2144" s="1" t="s">
        <v>652</v>
      </c>
      <c r="FR2144" s="1">
        <v>602442.0</v>
      </c>
      <c r="FU2144" s="1" t="s">
        <v>653</v>
      </c>
      <c r="FV2144" s="1" t="s">
        <v>200</v>
      </c>
      <c r="FW2144" s="1" t="s">
        <v>654</v>
      </c>
      <c r="FX2144" s="1" t="s">
        <v>655</v>
      </c>
      <c r="FZ2144" s="1" t="s">
        <v>229</v>
      </c>
      <c r="GA2144" s="1" t="s">
        <v>291</v>
      </c>
      <c r="GB2144" s="2">
        <v>42027.0</v>
      </c>
      <c r="GC2144" s="1" t="s">
        <v>1372</v>
      </c>
    </row>
    <row r="2145">
      <c r="A2145" s="1">
        <v>110000.0</v>
      </c>
      <c r="B2145" s="1" t="s">
        <v>185</v>
      </c>
      <c r="C2145" s="1" t="str">
        <f>"08740020"</f>
        <v>08740020</v>
      </c>
      <c r="D2145" s="1" t="s">
        <v>186</v>
      </c>
      <c r="F2145" s="1" t="str">
        <f>"174"</f>
        <v>174</v>
      </c>
      <c r="G2145" s="2">
        <v>41911.0</v>
      </c>
      <c r="H2145" s="1">
        <v>204000.0</v>
      </c>
      <c r="I2145" s="1">
        <v>343.0</v>
      </c>
      <c r="J2145" s="1">
        <v>119900.0</v>
      </c>
      <c r="K2145" s="2">
        <v>42079.0</v>
      </c>
      <c r="L2145" s="1">
        <v>169.0</v>
      </c>
      <c r="M2145" s="2">
        <v>42079.0</v>
      </c>
      <c r="N2145" s="1" t="s">
        <v>249</v>
      </c>
      <c r="O2145" s="2">
        <v>42087.0</v>
      </c>
      <c r="P2145" s="1">
        <v>381.0</v>
      </c>
      <c r="Q2145" s="1">
        <v>604.0</v>
      </c>
      <c r="S2145" s="1">
        <v>1010.0</v>
      </c>
      <c r="T2145" s="1" t="s">
        <v>20090</v>
      </c>
      <c r="U2145" s="1" t="s">
        <v>320</v>
      </c>
      <c r="V2145" s="1" t="s">
        <v>1200</v>
      </c>
      <c r="W2145" s="1">
        <v>60174.0</v>
      </c>
      <c r="Y2145" s="1" t="s">
        <v>20091</v>
      </c>
      <c r="Z2145" s="1">
        <v>1976.0</v>
      </c>
      <c r="AA2145" s="1" t="s">
        <v>192</v>
      </c>
      <c r="AB2145" s="1" t="s">
        <v>193</v>
      </c>
      <c r="AD2145" s="1" t="s">
        <v>1203</v>
      </c>
      <c r="AE2145" s="1" t="s">
        <v>325</v>
      </c>
      <c r="AF2145" s="1" t="s">
        <v>1203</v>
      </c>
      <c r="AH2145" s="1" t="s">
        <v>20092</v>
      </c>
      <c r="AK2145" s="1">
        <v>8.0</v>
      </c>
      <c r="AL2145" s="1">
        <v>4.0</v>
      </c>
      <c r="AM2145" s="1">
        <v>2.0</v>
      </c>
      <c r="AN2145" s="1">
        <v>0.0</v>
      </c>
      <c r="AO2145" s="1" t="s">
        <v>229</v>
      </c>
      <c r="AQ2145" s="1" t="s">
        <v>198</v>
      </c>
      <c r="AR2145" s="1" t="s">
        <v>200</v>
      </c>
      <c r="AS2145" s="1" t="s">
        <v>199</v>
      </c>
      <c r="AT2145" s="1">
        <v>1.0</v>
      </c>
      <c r="AV2145" s="1" t="s">
        <v>200</v>
      </c>
      <c r="AW2145" s="1">
        <v>4916.34</v>
      </c>
      <c r="AX2145" s="1">
        <v>2013.0</v>
      </c>
      <c r="AY2145" s="1" t="s">
        <v>387</v>
      </c>
      <c r="AZ2145" s="1" t="s">
        <v>200</v>
      </c>
      <c r="BA2145" s="1" t="str">
        <f>"0933206010"</f>
        <v>0933206010</v>
      </c>
      <c r="BB2145" s="1" t="s">
        <v>200</v>
      </c>
      <c r="BC2145" s="1">
        <v>1284.0</v>
      </c>
      <c r="BD2145" s="1">
        <v>110000.0</v>
      </c>
      <c r="BE2145" s="2">
        <v>41911.0</v>
      </c>
      <c r="BF2145" s="2" t="s">
        <v>20093</v>
      </c>
      <c r="BH2145" s="1">
        <v>0.0</v>
      </c>
      <c r="BK2145" s="1" t="s">
        <v>204</v>
      </c>
      <c r="BL2145" s="1" t="str">
        <f t="shared" ref="BL2145:BM2145" si="1404">""</f>
        <v/>
      </c>
      <c r="BM2145" s="1" t="str">
        <f t="shared" si="1404"/>
        <v/>
      </c>
      <c r="BQ2145" s="1">
        <v>303.0</v>
      </c>
      <c r="BR2145" s="1">
        <v>303.0</v>
      </c>
      <c r="BS2145" s="1">
        <v>303.0</v>
      </c>
      <c r="BU2145" s="1" t="s">
        <v>478</v>
      </c>
      <c r="BV2145" s="1" t="s">
        <v>206</v>
      </c>
      <c r="BY2145" s="1" t="s">
        <v>663</v>
      </c>
      <c r="BZ2145" s="1" t="s">
        <v>206</v>
      </c>
      <c r="CC2145" s="1" t="s">
        <v>798</v>
      </c>
      <c r="CD2145" s="1" t="s">
        <v>206</v>
      </c>
      <c r="CG2145" s="1" t="s">
        <v>269</v>
      </c>
      <c r="CH2145" s="1" t="s">
        <v>206</v>
      </c>
      <c r="CK2145" s="1" t="s">
        <v>303</v>
      </c>
      <c r="CL2145" s="1" t="s">
        <v>206</v>
      </c>
      <c r="CO2145" s="1" t="s">
        <v>303</v>
      </c>
      <c r="CP2145" s="1" t="s">
        <v>206</v>
      </c>
      <c r="CS2145" s="1" t="s">
        <v>663</v>
      </c>
      <c r="CT2145" s="1" t="s">
        <v>206</v>
      </c>
      <c r="CW2145" s="1" t="s">
        <v>663</v>
      </c>
      <c r="CX2145" s="1" t="s">
        <v>267</v>
      </c>
      <c r="DA2145" s="1" t="s">
        <v>200</v>
      </c>
      <c r="DC2145" s="1" t="s">
        <v>395</v>
      </c>
      <c r="DE2145" s="1" t="s">
        <v>273</v>
      </c>
      <c r="DF2145" s="1" t="s">
        <v>219</v>
      </c>
      <c r="DH2145" s="1" t="s">
        <v>220</v>
      </c>
      <c r="DJ2145" s="1" t="s">
        <v>222</v>
      </c>
      <c r="DL2145" s="1" t="s">
        <v>224</v>
      </c>
      <c r="DM2145" s="1" t="s">
        <v>229</v>
      </c>
      <c r="DQ2145" s="1" t="s">
        <v>228</v>
      </c>
      <c r="DR2145" s="1" t="s">
        <v>229</v>
      </c>
      <c r="DV2145" s="1" t="s">
        <v>232</v>
      </c>
      <c r="DW2145" s="1" t="s">
        <v>667</v>
      </c>
      <c r="DX2145" s="1" t="s">
        <v>234</v>
      </c>
      <c r="EC2145" s="1" t="s">
        <v>284</v>
      </c>
      <c r="EM2145" s="1" t="s">
        <v>238</v>
      </c>
      <c r="EQ2145" s="1" t="s">
        <v>238</v>
      </c>
      <c r="EU2145" s="1" t="s">
        <v>238</v>
      </c>
      <c r="EY2145" s="1" t="s">
        <v>238</v>
      </c>
      <c r="FC2145" s="1" t="s">
        <v>238</v>
      </c>
      <c r="FF2145" s="1" t="s">
        <v>239</v>
      </c>
      <c r="FG2145" s="1" t="s">
        <v>192</v>
      </c>
      <c r="FH2145" s="1" t="s">
        <v>192</v>
      </c>
      <c r="FJ2145" s="1" t="s">
        <v>347</v>
      </c>
      <c r="FK2145" s="1" t="s">
        <v>229</v>
      </c>
      <c r="FL2145" s="1" t="s">
        <v>10856</v>
      </c>
      <c r="FM2145" s="1">
        <v>24569.0</v>
      </c>
      <c r="FN2145" s="1" t="s">
        <v>10857</v>
      </c>
      <c r="FO2145" s="1" t="s">
        <v>10858</v>
      </c>
      <c r="FP2145" s="1">
        <v>236309.0</v>
      </c>
      <c r="FR2145" s="1">
        <v>236310.0</v>
      </c>
      <c r="FU2145" s="1" t="s">
        <v>10859</v>
      </c>
      <c r="FV2145" s="1" t="s">
        <v>200</v>
      </c>
      <c r="FW2145" s="1" t="s">
        <v>1307</v>
      </c>
      <c r="FZ2145" s="1" t="s">
        <v>229</v>
      </c>
      <c r="GA2145" s="1" t="s">
        <v>291</v>
      </c>
      <c r="GB2145" s="2">
        <v>42087.0</v>
      </c>
      <c r="GC2145" s="1" t="s">
        <v>20094</v>
      </c>
    </row>
    <row r="2146">
      <c r="A2146" s="1">
        <v>165000.0</v>
      </c>
      <c r="B2146" s="1" t="s">
        <v>185</v>
      </c>
      <c r="C2146" s="1" t="str">
        <f>"08741089"</f>
        <v>08741089</v>
      </c>
      <c r="D2146" s="1" t="s">
        <v>186</v>
      </c>
      <c r="F2146" s="1" t="str">
        <f>"8056"</f>
        <v>8056</v>
      </c>
      <c r="G2146" s="2">
        <v>41912.0</v>
      </c>
      <c r="H2146" s="1">
        <v>189900.0</v>
      </c>
      <c r="I2146" s="1">
        <v>157.0</v>
      </c>
      <c r="J2146" s="1">
        <v>179900.0</v>
      </c>
      <c r="K2146" s="2">
        <v>42067.0</v>
      </c>
      <c r="L2146" s="1">
        <v>157.0</v>
      </c>
      <c r="M2146" s="2">
        <v>42067.0</v>
      </c>
      <c r="N2146" s="1" t="s">
        <v>187</v>
      </c>
      <c r="O2146" s="2">
        <v>42125.0</v>
      </c>
      <c r="P2146" s="1">
        <v>107543.0</v>
      </c>
      <c r="Q2146" s="1">
        <v>84624.0</v>
      </c>
      <c r="R2146" s="1">
        <v>5000.0</v>
      </c>
      <c r="S2146" s="1">
        <v>5254.0</v>
      </c>
      <c r="T2146" s="1" t="s">
        <v>5161</v>
      </c>
      <c r="U2146" s="1" t="s">
        <v>189</v>
      </c>
      <c r="V2146" s="1" t="s">
        <v>190</v>
      </c>
      <c r="W2146" s="1">
        <v>60638.0</v>
      </c>
      <c r="Y2146" s="1" t="s">
        <v>20095</v>
      </c>
      <c r="Z2146" s="1">
        <v>1918.0</v>
      </c>
      <c r="AA2146" s="1" t="s">
        <v>192</v>
      </c>
      <c r="AB2146" s="1" t="s">
        <v>193</v>
      </c>
      <c r="AD2146" s="1" t="s">
        <v>194</v>
      </c>
      <c r="AE2146" s="1" t="s">
        <v>195</v>
      </c>
      <c r="AF2146" s="1" t="s">
        <v>659</v>
      </c>
      <c r="AH2146" s="1" t="s">
        <v>779</v>
      </c>
      <c r="AI2146" s="1">
        <v>0.0868</v>
      </c>
      <c r="AK2146" s="1">
        <v>7.0</v>
      </c>
      <c r="AL2146" s="1">
        <v>4.0</v>
      </c>
      <c r="AM2146" s="1">
        <v>2.0</v>
      </c>
      <c r="AN2146" s="1">
        <v>0.0</v>
      </c>
      <c r="AO2146" s="1" t="s">
        <v>229</v>
      </c>
      <c r="AQ2146" s="1" t="s">
        <v>229</v>
      </c>
      <c r="AR2146" s="1" t="s">
        <v>200</v>
      </c>
      <c r="AS2146" s="1" t="s">
        <v>828</v>
      </c>
      <c r="AU2146" s="1">
        <v>1.0</v>
      </c>
      <c r="AV2146" s="1" t="s">
        <v>200</v>
      </c>
      <c r="AW2146" s="1">
        <v>2111.9</v>
      </c>
      <c r="AX2146" s="1">
        <v>2013.0</v>
      </c>
      <c r="AY2146" s="1" t="s">
        <v>229</v>
      </c>
      <c r="AZ2146" s="1" t="s">
        <v>200</v>
      </c>
      <c r="BA2146" s="1" t="str">
        <f>"19093090710000"</f>
        <v>19093090710000</v>
      </c>
      <c r="BB2146" s="1" t="s">
        <v>200</v>
      </c>
      <c r="BC2146" s="1">
        <v>0.0</v>
      </c>
      <c r="BD2146" s="1">
        <v>165000.0</v>
      </c>
      <c r="BE2146" s="2">
        <v>41911.0</v>
      </c>
      <c r="BF2146" s="2" t="s">
        <v>20096</v>
      </c>
      <c r="BH2146" s="1">
        <v>0.0</v>
      </c>
      <c r="BK2146" s="1" t="s">
        <v>204</v>
      </c>
      <c r="BL2146" s="1" t="str">
        <f t="shared" ref="BL2146:BM2146" si="1405">"0"</f>
        <v>0</v>
      </c>
      <c r="BM2146" s="1" t="str">
        <f t="shared" si="1405"/>
        <v>0</v>
      </c>
      <c r="BN2146" s="1">
        <v>5500.0</v>
      </c>
      <c r="BO2146" s="1">
        <v>5254.0</v>
      </c>
      <c r="BQ2146" s="1">
        <v>299.0</v>
      </c>
      <c r="BR2146" s="1">
        <v>299.0</v>
      </c>
      <c r="BS2146" s="1">
        <v>299.0</v>
      </c>
      <c r="BU2146" s="1" t="s">
        <v>5334</v>
      </c>
      <c r="BV2146" s="1" t="s">
        <v>206</v>
      </c>
      <c r="BW2146" s="1" t="s">
        <v>207</v>
      </c>
      <c r="BY2146" s="1" t="s">
        <v>699</v>
      </c>
      <c r="BZ2146" s="1" t="s">
        <v>209</v>
      </c>
      <c r="CA2146" s="1" t="s">
        <v>210</v>
      </c>
      <c r="CC2146" s="1" t="s">
        <v>699</v>
      </c>
      <c r="CD2146" s="1" t="s">
        <v>206</v>
      </c>
      <c r="CE2146" s="1" t="s">
        <v>207</v>
      </c>
      <c r="CG2146" s="1" t="s">
        <v>699</v>
      </c>
      <c r="CH2146" s="1" t="s">
        <v>209</v>
      </c>
      <c r="CI2146" s="1" t="s">
        <v>210</v>
      </c>
      <c r="CK2146" s="1" t="s">
        <v>375</v>
      </c>
      <c r="CL2146" s="1" t="s">
        <v>206</v>
      </c>
      <c r="CM2146" s="1" t="s">
        <v>207</v>
      </c>
      <c r="CO2146" s="1" t="s">
        <v>1745</v>
      </c>
      <c r="CP2146" s="1" t="s">
        <v>206</v>
      </c>
      <c r="CQ2146" s="1" t="s">
        <v>207</v>
      </c>
      <c r="CS2146" s="1" t="s">
        <v>699</v>
      </c>
      <c r="CT2146" s="1" t="s">
        <v>206</v>
      </c>
      <c r="CU2146" s="1" t="s">
        <v>207</v>
      </c>
      <c r="CX2146" s="1" t="s">
        <v>204</v>
      </c>
      <c r="DA2146" s="1" t="s">
        <v>200</v>
      </c>
      <c r="DC2146" s="1" t="s">
        <v>216</v>
      </c>
      <c r="DD2146" s="1" t="s">
        <v>518</v>
      </c>
      <c r="DE2146" s="1" t="s">
        <v>2851</v>
      </c>
      <c r="DF2146" s="1" t="s">
        <v>219</v>
      </c>
      <c r="DH2146" s="1" t="s">
        <v>307</v>
      </c>
      <c r="DJ2146" s="1" t="s">
        <v>222</v>
      </c>
      <c r="DL2146" s="1" t="s">
        <v>1853</v>
      </c>
      <c r="DM2146" s="1" t="s">
        <v>229</v>
      </c>
      <c r="DO2146" s="1" t="s">
        <v>549</v>
      </c>
      <c r="DP2146" s="1" t="s">
        <v>340</v>
      </c>
      <c r="DQ2146" s="1" t="s">
        <v>228</v>
      </c>
      <c r="DR2146" s="1" t="s">
        <v>229</v>
      </c>
      <c r="DS2146" s="1" t="s">
        <v>401</v>
      </c>
      <c r="DV2146" s="1" t="s">
        <v>232</v>
      </c>
      <c r="DW2146" s="1" t="s">
        <v>370</v>
      </c>
      <c r="DX2146" s="1" t="s">
        <v>234</v>
      </c>
      <c r="EA2146" s="1" t="s">
        <v>644</v>
      </c>
      <c r="EC2146" s="1" t="s">
        <v>645</v>
      </c>
      <c r="EF2146" s="1" t="s">
        <v>13965</v>
      </c>
      <c r="EM2146" s="1" t="s">
        <v>238</v>
      </c>
      <c r="EQ2146" s="1" t="s">
        <v>238</v>
      </c>
      <c r="EU2146" s="1" t="s">
        <v>238</v>
      </c>
      <c r="EY2146" s="1" t="s">
        <v>238</v>
      </c>
      <c r="FC2146" s="1" t="s">
        <v>238</v>
      </c>
      <c r="FF2146" s="1" t="s">
        <v>239</v>
      </c>
      <c r="FG2146" s="1" t="s">
        <v>192</v>
      </c>
      <c r="FH2146" s="1" t="s">
        <v>192</v>
      </c>
      <c r="FJ2146" s="1" t="s">
        <v>20097</v>
      </c>
      <c r="FK2146" s="1" t="s">
        <v>229</v>
      </c>
      <c r="FL2146" s="1" t="s">
        <v>14561</v>
      </c>
      <c r="FM2146" s="1">
        <v>15484.0</v>
      </c>
      <c r="FN2146" s="1" t="s">
        <v>14562</v>
      </c>
      <c r="FO2146" s="1" t="s">
        <v>20098</v>
      </c>
      <c r="FP2146" s="1">
        <v>130467.0</v>
      </c>
      <c r="FQ2146" s="1" t="s">
        <v>20099</v>
      </c>
      <c r="FU2146" s="1" t="s">
        <v>20100</v>
      </c>
      <c r="FV2146" s="1" t="s">
        <v>200</v>
      </c>
      <c r="FW2146" s="1" t="s">
        <v>567</v>
      </c>
      <c r="FX2146" s="1" t="s">
        <v>655</v>
      </c>
      <c r="FZ2146" s="1" t="s">
        <v>229</v>
      </c>
      <c r="GA2146" s="1" t="s">
        <v>291</v>
      </c>
      <c r="GB2146" s="2">
        <v>42130.0</v>
      </c>
      <c r="GC2146" s="1" t="s">
        <v>20101</v>
      </c>
    </row>
    <row r="2147">
      <c r="A2147" s="1">
        <v>210000.0</v>
      </c>
      <c r="B2147" s="1" t="s">
        <v>185</v>
      </c>
      <c r="C2147" s="1" t="str">
        <f>"08741129"</f>
        <v>08741129</v>
      </c>
      <c r="D2147" s="1" t="s">
        <v>186</v>
      </c>
      <c r="F2147" s="1" t="str">
        <f>"123"</f>
        <v>123</v>
      </c>
      <c r="G2147" s="2">
        <v>41912.0</v>
      </c>
      <c r="H2147" s="1">
        <v>225000.0</v>
      </c>
      <c r="I2147" s="1">
        <v>251.0</v>
      </c>
      <c r="J2147" s="1">
        <v>225000.0</v>
      </c>
      <c r="K2147" s="2">
        <v>41947.0</v>
      </c>
      <c r="L2147" s="1">
        <v>36.0</v>
      </c>
      <c r="M2147" s="2">
        <v>41947.0</v>
      </c>
      <c r="N2147" s="1" t="s">
        <v>356</v>
      </c>
      <c r="O2147" s="2">
        <v>42027.0</v>
      </c>
      <c r="P2147" s="1">
        <v>181780.0</v>
      </c>
      <c r="Q2147" s="1">
        <v>17299.0</v>
      </c>
      <c r="S2147" s="1">
        <v>1141.0</v>
      </c>
      <c r="T2147" s="1" t="s">
        <v>20102</v>
      </c>
      <c r="U2147" s="1" t="s">
        <v>464</v>
      </c>
      <c r="V2147" s="1" t="s">
        <v>465</v>
      </c>
      <c r="W2147" s="1">
        <v>60120.0</v>
      </c>
      <c r="Y2147" s="1" t="s">
        <v>20103</v>
      </c>
      <c r="Z2147" s="1">
        <v>1990.0</v>
      </c>
      <c r="AA2147" s="1" t="s">
        <v>200</v>
      </c>
      <c r="AB2147" s="1" t="s">
        <v>193</v>
      </c>
      <c r="AC2147" s="1" t="s">
        <v>6396</v>
      </c>
      <c r="AD2147" s="1" t="s">
        <v>469</v>
      </c>
      <c r="AE2147" s="1" t="s">
        <v>195</v>
      </c>
      <c r="AF2147" s="1" t="s">
        <v>298</v>
      </c>
      <c r="AH2147" s="1" t="s">
        <v>20104</v>
      </c>
      <c r="AK2147" s="1">
        <v>9.0</v>
      </c>
      <c r="AL2147" s="1">
        <v>4.0</v>
      </c>
      <c r="AM2147" s="1">
        <v>3.0</v>
      </c>
      <c r="AN2147" s="1">
        <v>0.0</v>
      </c>
      <c r="AO2147" s="1" t="s">
        <v>198</v>
      </c>
      <c r="AP2147" s="1">
        <v>1.0</v>
      </c>
      <c r="AQ2147" s="1" t="s">
        <v>951</v>
      </c>
      <c r="AR2147" s="1" t="s">
        <v>192</v>
      </c>
      <c r="AS2147" s="1" t="s">
        <v>199</v>
      </c>
      <c r="AT2147" s="1">
        <v>2.0</v>
      </c>
      <c r="AV2147" s="1" t="s">
        <v>200</v>
      </c>
      <c r="AW2147" s="1">
        <v>6746.74</v>
      </c>
      <c r="AX2147" s="1">
        <v>2013.0</v>
      </c>
      <c r="AY2147" s="1" t="s">
        <v>387</v>
      </c>
      <c r="AZ2147" s="1" t="s">
        <v>200</v>
      </c>
      <c r="BA2147" s="1" t="str">
        <f>"06072110100000"</f>
        <v>06072110100000</v>
      </c>
      <c r="BC2147" s="1">
        <v>2264.0</v>
      </c>
      <c r="BD2147" s="1">
        <v>210000.0</v>
      </c>
      <c r="BE2147" s="2">
        <v>41912.0</v>
      </c>
      <c r="BF2147" s="2" t="s">
        <v>20105</v>
      </c>
      <c r="BG2147" s="1" t="s">
        <v>2142</v>
      </c>
      <c r="BH2147" s="1">
        <v>180.0</v>
      </c>
      <c r="BI2147" s="1" t="s">
        <v>1242</v>
      </c>
      <c r="BJ2147" s="1" t="s">
        <v>1243</v>
      </c>
      <c r="BK2147" s="1" t="s">
        <v>580</v>
      </c>
      <c r="BL2147" s="1" t="str">
        <f>"11"</f>
        <v>11</v>
      </c>
      <c r="BM2147" s="1" t="str">
        <f>""</f>
        <v/>
      </c>
      <c r="BN2147" s="1">
        <v>38.0</v>
      </c>
      <c r="BQ2147" s="1">
        <v>46.0</v>
      </c>
      <c r="BR2147" s="1">
        <v>46.0</v>
      </c>
      <c r="BS2147" s="1">
        <v>46.0</v>
      </c>
      <c r="BU2147" s="1" t="s">
        <v>664</v>
      </c>
      <c r="BV2147" s="1" t="s">
        <v>206</v>
      </c>
      <c r="BW2147" s="1" t="s">
        <v>210</v>
      </c>
      <c r="BX2147" s="1" t="s">
        <v>229</v>
      </c>
      <c r="BY2147" s="1" t="s">
        <v>390</v>
      </c>
      <c r="BZ2147" s="1" t="s">
        <v>206</v>
      </c>
      <c r="CA2147" s="1" t="s">
        <v>210</v>
      </c>
      <c r="CB2147" s="1" t="s">
        <v>239</v>
      </c>
      <c r="CC2147" s="1" t="s">
        <v>495</v>
      </c>
      <c r="CD2147" s="1" t="s">
        <v>206</v>
      </c>
      <c r="CE2147" s="1" t="s">
        <v>210</v>
      </c>
      <c r="CF2147" s="1" t="s">
        <v>239</v>
      </c>
      <c r="CG2147" s="1" t="s">
        <v>212</v>
      </c>
      <c r="CH2147" s="1" t="s">
        <v>206</v>
      </c>
      <c r="CI2147" s="1" t="s">
        <v>210</v>
      </c>
      <c r="CJ2147" s="1" t="s">
        <v>239</v>
      </c>
      <c r="CK2147" s="1" t="s">
        <v>269</v>
      </c>
      <c r="CL2147" s="1" t="s">
        <v>206</v>
      </c>
      <c r="CM2147" s="1" t="s">
        <v>210</v>
      </c>
      <c r="CN2147" s="1" t="s">
        <v>239</v>
      </c>
      <c r="CO2147" s="1" t="s">
        <v>215</v>
      </c>
      <c r="CP2147" s="1" t="s">
        <v>267</v>
      </c>
      <c r="CQ2147" s="1" t="s">
        <v>210</v>
      </c>
      <c r="CR2147" s="1" t="s">
        <v>239</v>
      </c>
      <c r="CS2147" s="1" t="s">
        <v>4180</v>
      </c>
      <c r="CT2147" s="1" t="s">
        <v>206</v>
      </c>
      <c r="CU2147" s="1" t="s">
        <v>617</v>
      </c>
      <c r="CV2147" s="1" t="s">
        <v>239</v>
      </c>
      <c r="CW2147" s="1" t="s">
        <v>784</v>
      </c>
      <c r="CX2147" s="1" t="s">
        <v>267</v>
      </c>
      <c r="CY2147" s="1" t="s">
        <v>210</v>
      </c>
      <c r="CZ2147" s="1" t="s">
        <v>239</v>
      </c>
      <c r="DA2147" s="1" t="s">
        <v>200</v>
      </c>
      <c r="DC2147" s="1" t="s">
        <v>435</v>
      </c>
      <c r="DD2147" s="1" t="s">
        <v>396</v>
      </c>
      <c r="DE2147" s="1" t="s">
        <v>273</v>
      </c>
      <c r="DF2147" s="1" t="s">
        <v>219</v>
      </c>
      <c r="DH2147" s="1" t="s">
        <v>365</v>
      </c>
      <c r="DI2147" s="1" t="s">
        <v>680</v>
      </c>
      <c r="DJ2147" s="1" t="s">
        <v>222</v>
      </c>
      <c r="DL2147" s="1" t="s">
        <v>1161</v>
      </c>
      <c r="DM2147" s="1" t="s">
        <v>1268</v>
      </c>
      <c r="DN2147" s="1" t="s">
        <v>548</v>
      </c>
      <c r="DO2147" s="1" t="s">
        <v>590</v>
      </c>
      <c r="DP2147" s="1" t="s">
        <v>340</v>
      </c>
      <c r="DQ2147" s="1" t="s">
        <v>441</v>
      </c>
      <c r="DR2147" s="1" t="s">
        <v>588</v>
      </c>
      <c r="DU2147" s="1" t="s">
        <v>16679</v>
      </c>
      <c r="DV2147" s="1" t="s">
        <v>598</v>
      </c>
      <c r="DW2147" s="1" t="s">
        <v>370</v>
      </c>
      <c r="DX2147" s="1" t="s">
        <v>234</v>
      </c>
      <c r="DY2147" s="1" t="s">
        <v>1006</v>
      </c>
      <c r="DZ2147" s="1" t="s">
        <v>310</v>
      </c>
      <c r="EB2147" s="1" t="s">
        <v>4251</v>
      </c>
      <c r="EC2147" s="1" t="s">
        <v>311</v>
      </c>
      <c r="ED2147" s="1" t="s">
        <v>407</v>
      </c>
      <c r="EG2147" s="1" t="s">
        <v>598</v>
      </c>
      <c r="EL2147" s="1" t="s">
        <v>212</v>
      </c>
      <c r="EM2147" s="1" t="s">
        <v>267</v>
      </c>
      <c r="EN2147" s="1" t="s">
        <v>210</v>
      </c>
      <c r="EO2147" s="1" t="s">
        <v>239</v>
      </c>
      <c r="EQ2147" s="1" t="s">
        <v>238</v>
      </c>
      <c r="EU2147" s="1" t="s">
        <v>238</v>
      </c>
      <c r="EY2147" s="1" t="s">
        <v>238</v>
      </c>
      <c r="FC2147" s="1" t="s">
        <v>238</v>
      </c>
      <c r="FF2147" s="1" t="s">
        <v>239</v>
      </c>
      <c r="FG2147" s="1" t="s">
        <v>192</v>
      </c>
      <c r="FH2147" s="1" t="s">
        <v>192</v>
      </c>
      <c r="FJ2147" s="1" t="s">
        <v>1573</v>
      </c>
      <c r="FK2147" s="1" t="s">
        <v>229</v>
      </c>
      <c r="FL2147" s="1" t="s">
        <v>1451</v>
      </c>
      <c r="FM2147" s="1">
        <v>7450.0</v>
      </c>
      <c r="FN2147" s="1" t="s">
        <v>1452</v>
      </c>
      <c r="FO2147" s="1" t="s">
        <v>20106</v>
      </c>
      <c r="FP2147" s="1">
        <v>77514.0</v>
      </c>
      <c r="FQ2147" s="1" t="s">
        <v>20107</v>
      </c>
      <c r="FS2147" s="1" t="s">
        <v>20108</v>
      </c>
      <c r="FT2147" s="1" t="s">
        <v>20109</v>
      </c>
      <c r="FU2147" s="1" t="s">
        <v>20110</v>
      </c>
      <c r="FV2147" s="1" t="s">
        <v>200</v>
      </c>
      <c r="FW2147" s="1" t="s">
        <v>1511</v>
      </c>
      <c r="FZ2147" s="1" t="s">
        <v>229</v>
      </c>
      <c r="GA2147" s="1" t="s">
        <v>291</v>
      </c>
      <c r="GB2147" s="2">
        <v>42033.0</v>
      </c>
      <c r="GC2147" s="1" t="s">
        <v>20111</v>
      </c>
    </row>
    <row r="2148">
      <c r="A2148" s="1">
        <v>145000.0</v>
      </c>
      <c r="B2148" s="1" t="s">
        <v>185</v>
      </c>
      <c r="C2148" s="1" t="str">
        <f>"08741061"</f>
        <v>08741061</v>
      </c>
      <c r="D2148" s="1" t="s">
        <v>186</v>
      </c>
      <c r="F2148" s="1" t="str">
        <f>"8047"</f>
        <v>8047</v>
      </c>
      <c r="G2148" s="2">
        <v>41912.0</v>
      </c>
      <c r="H2148" s="1">
        <v>155000.0</v>
      </c>
      <c r="I2148" s="1">
        <v>405.0</v>
      </c>
      <c r="J2148" s="1">
        <v>140000.0</v>
      </c>
      <c r="K2148" s="2">
        <v>41950.0</v>
      </c>
      <c r="L2148" s="1">
        <v>39.0</v>
      </c>
      <c r="M2148" s="2">
        <v>41950.0</v>
      </c>
      <c r="N2148" s="1" t="s">
        <v>356</v>
      </c>
      <c r="O2148" s="2">
        <v>42020.0</v>
      </c>
      <c r="P2148" s="1">
        <v>142735.0</v>
      </c>
      <c r="Q2148" s="1">
        <v>18426.0</v>
      </c>
      <c r="S2148" s="1">
        <v>1003.0</v>
      </c>
      <c r="T2148" s="1" t="s">
        <v>14489</v>
      </c>
      <c r="U2148" s="1" t="s">
        <v>320</v>
      </c>
      <c r="V2148" s="1" t="s">
        <v>190</v>
      </c>
      <c r="W2148" s="1">
        <v>60619.0</v>
      </c>
      <c r="Y2148" s="1" t="s">
        <v>20112</v>
      </c>
      <c r="Z2148" s="1">
        <v>2006.0</v>
      </c>
      <c r="AA2148" s="1" t="s">
        <v>200</v>
      </c>
      <c r="AB2148" s="1" t="s">
        <v>193</v>
      </c>
      <c r="AD2148" s="1" t="s">
        <v>194</v>
      </c>
      <c r="AE2148" s="1" t="s">
        <v>195</v>
      </c>
      <c r="AF2148" s="1" t="s">
        <v>637</v>
      </c>
      <c r="AH2148" s="1" t="s">
        <v>359</v>
      </c>
      <c r="AK2148" s="1">
        <v>8.0</v>
      </c>
      <c r="AL2148" s="1">
        <v>4.0</v>
      </c>
      <c r="AM2148" s="1">
        <v>3.0</v>
      </c>
      <c r="AN2148" s="1">
        <v>1.0</v>
      </c>
      <c r="AO2148" s="1" t="s">
        <v>198</v>
      </c>
      <c r="AP2148" s="1">
        <v>1.0</v>
      </c>
      <c r="AQ2148" s="1" t="s">
        <v>472</v>
      </c>
      <c r="AR2148" s="1" t="s">
        <v>192</v>
      </c>
      <c r="AS2148" s="1" t="s">
        <v>199</v>
      </c>
      <c r="AT2148" s="1">
        <v>2.0</v>
      </c>
      <c r="AV2148" s="1" t="s">
        <v>200</v>
      </c>
      <c r="AW2148" s="4">
        <v>3796.03</v>
      </c>
      <c r="AX2148" s="1">
        <v>2012.0</v>
      </c>
      <c r="AY2148" s="1" t="s">
        <v>229</v>
      </c>
      <c r="AZ2148" s="1" t="s">
        <v>200</v>
      </c>
      <c r="BA2148" s="1" t="str">
        <f>"25023110010000"</f>
        <v>25023110010000</v>
      </c>
      <c r="BB2148" s="1" t="s">
        <v>200</v>
      </c>
      <c r="BC2148" s="1">
        <v>2300.0</v>
      </c>
      <c r="BD2148" s="1">
        <v>145000.0</v>
      </c>
      <c r="BE2148" s="2">
        <v>41912.0</v>
      </c>
      <c r="BF2148" s="2" t="s">
        <v>20113</v>
      </c>
      <c r="BH2148" s="1">
        <v>0.0</v>
      </c>
      <c r="BK2148" s="1" t="s">
        <v>204</v>
      </c>
      <c r="BL2148" s="1" t="str">
        <f>"0"</f>
        <v>0</v>
      </c>
      <c r="BM2148" s="1" t="str">
        <f>"1200"</f>
        <v>1200</v>
      </c>
      <c r="BN2148" s="1">
        <v>0.0</v>
      </c>
      <c r="BO2148" s="1">
        <v>9100.0</v>
      </c>
      <c r="BQ2148" s="1">
        <v>299.0</v>
      </c>
      <c r="BR2148" s="1">
        <v>299.0</v>
      </c>
      <c r="BS2148" s="1">
        <v>299.0</v>
      </c>
      <c r="BU2148" s="1" t="s">
        <v>616</v>
      </c>
      <c r="BV2148" s="1" t="s">
        <v>206</v>
      </c>
      <c r="BW2148" s="1" t="s">
        <v>207</v>
      </c>
      <c r="BY2148" s="1" t="s">
        <v>582</v>
      </c>
      <c r="BZ2148" s="1" t="s">
        <v>209</v>
      </c>
      <c r="CA2148" s="1" t="s">
        <v>210</v>
      </c>
      <c r="CC2148" s="1" t="s">
        <v>331</v>
      </c>
      <c r="CD2148" s="1" t="s">
        <v>206</v>
      </c>
      <c r="CE2148" s="1" t="s">
        <v>207</v>
      </c>
      <c r="CG2148" s="1" t="s">
        <v>940</v>
      </c>
      <c r="CH2148" s="1" t="s">
        <v>209</v>
      </c>
      <c r="CI2148" s="1" t="s">
        <v>210</v>
      </c>
      <c r="CK2148" s="1" t="s">
        <v>1426</v>
      </c>
      <c r="CL2148" s="1" t="s">
        <v>209</v>
      </c>
      <c r="CM2148" s="1" t="s">
        <v>210</v>
      </c>
      <c r="CO2148" s="1" t="s">
        <v>214</v>
      </c>
      <c r="CP2148" s="1" t="s">
        <v>267</v>
      </c>
      <c r="CQ2148" s="1" t="s">
        <v>210</v>
      </c>
      <c r="CS2148" s="1" t="s">
        <v>1875</v>
      </c>
      <c r="CT2148" s="1" t="s">
        <v>206</v>
      </c>
      <c r="CU2148" s="1" t="s">
        <v>207</v>
      </c>
      <c r="CW2148" s="1" t="s">
        <v>938</v>
      </c>
      <c r="CX2148" s="1" t="s">
        <v>267</v>
      </c>
      <c r="CY2148" s="1" t="s">
        <v>210</v>
      </c>
      <c r="DA2148" s="1" t="s">
        <v>200</v>
      </c>
      <c r="DC2148" s="1" t="s">
        <v>481</v>
      </c>
      <c r="DD2148" s="1" t="s">
        <v>1428</v>
      </c>
      <c r="DE2148" s="1" t="s">
        <v>273</v>
      </c>
      <c r="DF2148" s="1" t="s">
        <v>619</v>
      </c>
      <c r="DG2148" s="1" t="s">
        <v>547</v>
      </c>
      <c r="DH2148" s="1" t="s">
        <v>365</v>
      </c>
      <c r="DI2148" s="1" t="s">
        <v>3203</v>
      </c>
      <c r="DJ2148" s="1" t="s">
        <v>222</v>
      </c>
      <c r="DL2148" s="1" t="s">
        <v>224</v>
      </c>
      <c r="DM2148" s="1" t="s">
        <v>229</v>
      </c>
      <c r="DN2148" s="1" t="s">
        <v>439</v>
      </c>
      <c r="DP2148" s="1" t="s">
        <v>340</v>
      </c>
      <c r="DQ2148" s="1" t="s">
        <v>228</v>
      </c>
      <c r="DR2148" s="1" t="s">
        <v>229</v>
      </c>
      <c r="DS2148" s="1" t="s">
        <v>230</v>
      </c>
      <c r="DU2148" s="1" t="s">
        <v>962</v>
      </c>
      <c r="DV2148" s="1" t="s">
        <v>232</v>
      </c>
      <c r="DW2148" s="1" t="s">
        <v>1935</v>
      </c>
      <c r="DX2148" s="1" t="s">
        <v>234</v>
      </c>
      <c r="DY2148" s="1" t="s">
        <v>765</v>
      </c>
      <c r="DZ2148" s="1" t="s">
        <v>310</v>
      </c>
      <c r="EC2148" s="1" t="s">
        <v>237</v>
      </c>
      <c r="EM2148" s="1" t="s">
        <v>238</v>
      </c>
      <c r="EQ2148" s="1" t="s">
        <v>238</v>
      </c>
      <c r="EU2148" s="1" t="s">
        <v>238</v>
      </c>
      <c r="EY2148" s="1" t="s">
        <v>238</v>
      </c>
      <c r="FC2148" s="1" t="s">
        <v>238</v>
      </c>
      <c r="FF2148" s="1" t="s">
        <v>239</v>
      </c>
      <c r="FG2148" s="1" t="s">
        <v>192</v>
      </c>
      <c r="FH2148" s="1" t="s">
        <v>192</v>
      </c>
      <c r="FJ2148" s="1" t="s">
        <v>3952</v>
      </c>
      <c r="FK2148" s="1" t="s">
        <v>1586</v>
      </c>
      <c r="FL2148" s="1" t="s">
        <v>1124</v>
      </c>
      <c r="FM2148" s="1">
        <v>12293.0</v>
      </c>
      <c r="FN2148" s="1" t="s">
        <v>3300</v>
      </c>
      <c r="FO2148" s="1" t="s">
        <v>9872</v>
      </c>
      <c r="FP2148" s="1">
        <v>158325.0</v>
      </c>
      <c r="FQ2148" s="1" t="s">
        <v>9873</v>
      </c>
      <c r="FU2148" s="1" t="s">
        <v>20114</v>
      </c>
      <c r="FV2148" s="1" t="s">
        <v>200</v>
      </c>
      <c r="FW2148" s="1" t="s">
        <v>290</v>
      </c>
      <c r="FX2148" s="1" t="s">
        <v>1739</v>
      </c>
      <c r="FZ2148" s="1" t="s">
        <v>2993</v>
      </c>
      <c r="GA2148" s="1" t="s">
        <v>291</v>
      </c>
      <c r="GB2148" s="2">
        <v>42023.0</v>
      </c>
      <c r="GC2148" s="1" t="s">
        <v>3170</v>
      </c>
    </row>
    <row r="2149">
      <c r="A2149" s="1">
        <v>180000.0</v>
      </c>
      <c r="B2149" s="1" t="s">
        <v>185</v>
      </c>
      <c r="C2149" s="1" t="str">
        <f>"08742354"</f>
        <v>08742354</v>
      </c>
      <c r="D2149" s="1" t="s">
        <v>186</v>
      </c>
      <c r="F2149" s="1" t="str">
        <f>"560"</f>
        <v>560</v>
      </c>
      <c r="G2149" s="2">
        <v>41913.0</v>
      </c>
      <c r="H2149" s="1">
        <v>190000.0</v>
      </c>
      <c r="I2149" s="1">
        <v>141.0</v>
      </c>
      <c r="J2149" s="1">
        <v>184000.0</v>
      </c>
      <c r="K2149" s="2">
        <v>42053.0</v>
      </c>
      <c r="L2149" s="1">
        <v>141.0</v>
      </c>
      <c r="M2149" s="2">
        <v>42053.0</v>
      </c>
      <c r="N2149" s="1" t="s">
        <v>356</v>
      </c>
      <c r="O2149" s="2">
        <v>42087.0</v>
      </c>
      <c r="P2149" s="1">
        <v>1130.0</v>
      </c>
      <c r="Q2149" s="1">
        <v>604.0</v>
      </c>
      <c r="R2149" s="1">
        <v>1800.0</v>
      </c>
      <c r="S2149" s="1">
        <v>1203.0</v>
      </c>
      <c r="T2149" s="1" t="s">
        <v>1326</v>
      </c>
      <c r="U2149" s="1" t="s">
        <v>1174</v>
      </c>
      <c r="V2149" s="1" t="s">
        <v>845</v>
      </c>
      <c r="W2149" s="1">
        <v>60560.0</v>
      </c>
      <c r="Y2149" s="1" t="s">
        <v>20115</v>
      </c>
      <c r="Z2149" s="1">
        <v>1963.0</v>
      </c>
      <c r="AA2149" s="1" t="s">
        <v>192</v>
      </c>
      <c r="AB2149" s="1" t="s">
        <v>193</v>
      </c>
      <c r="AC2149" s="1" t="s">
        <v>14378</v>
      </c>
      <c r="AD2149" s="1" t="s">
        <v>1089</v>
      </c>
      <c r="AE2149" s="1" t="s">
        <v>849</v>
      </c>
      <c r="AF2149" s="1" t="s">
        <v>1312</v>
      </c>
      <c r="AH2149" s="1" t="s">
        <v>20116</v>
      </c>
      <c r="AI2149" s="1">
        <v>0.28</v>
      </c>
      <c r="AK2149" s="1">
        <v>8.0</v>
      </c>
      <c r="AL2149" s="1">
        <v>4.0</v>
      </c>
      <c r="AM2149" s="1">
        <v>2.0</v>
      </c>
      <c r="AN2149" s="1">
        <v>1.0</v>
      </c>
      <c r="AO2149" s="1" t="s">
        <v>198</v>
      </c>
      <c r="AQ2149" s="1" t="s">
        <v>257</v>
      </c>
      <c r="AR2149" s="1" t="s">
        <v>192</v>
      </c>
      <c r="AS2149" s="1" t="s">
        <v>199</v>
      </c>
      <c r="AT2149" s="1">
        <v>3.0</v>
      </c>
      <c r="AV2149" s="1" t="s">
        <v>200</v>
      </c>
      <c r="AW2149" s="1">
        <v>4732.0</v>
      </c>
      <c r="AX2149" s="1">
        <v>2013.0</v>
      </c>
      <c r="AY2149" s="1" t="s">
        <v>387</v>
      </c>
      <c r="AZ2149" s="1" t="s">
        <v>200</v>
      </c>
      <c r="BA2149" s="1" t="str">
        <f>"0229278013"</f>
        <v>0229278013</v>
      </c>
      <c r="BC2149" s="1">
        <v>0.0</v>
      </c>
      <c r="BD2149" s="1">
        <v>180000.0</v>
      </c>
      <c r="BE2149" s="2">
        <v>41913.0</v>
      </c>
      <c r="BF2149" s="2" t="s">
        <v>20117</v>
      </c>
      <c r="BH2149" s="1">
        <v>0.0</v>
      </c>
      <c r="BK2149" s="1" t="s">
        <v>204</v>
      </c>
      <c r="BL2149" s="1" t="str">
        <f t="shared" ref="BL2149:BM2149" si="1406">""</f>
        <v/>
      </c>
      <c r="BM2149" s="1" t="str">
        <f t="shared" si="1406"/>
        <v/>
      </c>
      <c r="BQ2149" s="1">
        <v>115.0</v>
      </c>
      <c r="BR2149" s="1">
        <v>115.0</v>
      </c>
      <c r="BS2149" s="1">
        <v>115.0</v>
      </c>
      <c r="BU2149" s="1" t="s">
        <v>304</v>
      </c>
      <c r="BV2149" s="1" t="s">
        <v>206</v>
      </c>
      <c r="BW2149" s="1" t="s">
        <v>207</v>
      </c>
      <c r="BX2149" s="1" t="s">
        <v>431</v>
      </c>
      <c r="BY2149" s="1" t="s">
        <v>1395</v>
      </c>
      <c r="BZ2149" s="1" t="s">
        <v>206</v>
      </c>
      <c r="CA2149" s="1" t="s">
        <v>207</v>
      </c>
      <c r="CB2149" s="1" t="s">
        <v>1118</v>
      </c>
      <c r="CC2149" s="1" t="s">
        <v>663</v>
      </c>
      <c r="CD2149" s="1" t="s">
        <v>206</v>
      </c>
      <c r="CE2149" s="1" t="s">
        <v>617</v>
      </c>
      <c r="CF2149" s="1" t="s">
        <v>431</v>
      </c>
      <c r="CG2149" s="1" t="s">
        <v>2459</v>
      </c>
      <c r="CH2149" s="1" t="s">
        <v>206</v>
      </c>
      <c r="CI2149" s="1" t="s">
        <v>207</v>
      </c>
      <c r="CJ2149" s="1" t="s">
        <v>1118</v>
      </c>
      <c r="CK2149" s="1" t="s">
        <v>302</v>
      </c>
      <c r="CL2149" s="1" t="s">
        <v>206</v>
      </c>
      <c r="CM2149" s="1" t="s">
        <v>207</v>
      </c>
      <c r="CN2149" s="1" t="s">
        <v>1118</v>
      </c>
      <c r="CO2149" s="1" t="s">
        <v>1417</v>
      </c>
      <c r="CP2149" s="1" t="s">
        <v>267</v>
      </c>
      <c r="CQ2149" s="1" t="s">
        <v>617</v>
      </c>
      <c r="CR2149" s="1" t="s">
        <v>431</v>
      </c>
      <c r="CS2149" s="1" t="s">
        <v>663</v>
      </c>
      <c r="CT2149" s="1" t="s">
        <v>206</v>
      </c>
      <c r="CU2149" s="1" t="s">
        <v>617</v>
      </c>
      <c r="CV2149" s="1" t="s">
        <v>1549</v>
      </c>
      <c r="CW2149" s="1" t="s">
        <v>304</v>
      </c>
      <c r="CX2149" s="1" t="s">
        <v>267</v>
      </c>
      <c r="CY2149" s="1" t="s">
        <v>210</v>
      </c>
      <c r="CZ2149" s="1" t="s">
        <v>431</v>
      </c>
      <c r="DA2149" s="1" t="s">
        <v>200</v>
      </c>
      <c r="DC2149" s="1" t="s">
        <v>271</v>
      </c>
      <c r="DD2149" s="1" t="s">
        <v>679</v>
      </c>
      <c r="DE2149" s="1" t="s">
        <v>273</v>
      </c>
      <c r="DF2149" s="1" t="s">
        <v>7364</v>
      </c>
      <c r="DG2149" s="1" t="s">
        <v>4976</v>
      </c>
      <c r="DH2149" s="1" t="s">
        <v>220</v>
      </c>
      <c r="DI2149" s="1" t="s">
        <v>221</v>
      </c>
      <c r="DJ2149" s="1" t="s">
        <v>222</v>
      </c>
      <c r="DL2149" s="1" t="s">
        <v>1161</v>
      </c>
      <c r="DM2149" s="1" t="s">
        <v>338</v>
      </c>
      <c r="DO2149" s="1" t="s">
        <v>717</v>
      </c>
      <c r="DP2149" s="1" t="s">
        <v>340</v>
      </c>
      <c r="DQ2149" s="1" t="s">
        <v>441</v>
      </c>
      <c r="DR2149" s="1" t="s">
        <v>229</v>
      </c>
      <c r="DS2149" s="1" t="s">
        <v>230</v>
      </c>
      <c r="DU2149" s="1" t="s">
        <v>20118</v>
      </c>
      <c r="DV2149" s="1" t="s">
        <v>1270</v>
      </c>
      <c r="DW2149" s="1" t="s">
        <v>764</v>
      </c>
      <c r="DX2149" s="1" t="s">
        <v>234</v>
      </c>
      <c r="DY2149" s="1" t="s">
        <v>704</v>
      </c>
      <c r="DZ2149" s="1" t="s">
        <v>1405</v>
      </c>
      <c r="EA2149" s="1" t="s">
        <v>554</v>
      </c>
      <c r="EC2149" s="1" t="s">
        <v>284</v>
      </c>
      <c r="ED2149" s="1" t="s">
        <v>864</v>
      </c>
      <c r="EG2149" s="1" t="s">
        <v>1270</v>
      </c>
      <c r="EL2149" s="1" t="s">
        <v>1417</v>
      </c>
      <c r="EM2149" s="1" t="s">
        <v>267</v>
      </c>
      <c r="EN2149" s="1" t="s">
        <v>588</v>
      </c>
      <c r="EO2149" s="1" t="s">
        <v>1549</v>
      </c>
      <c r="EQ2149" s="1" t="s">
        <v>238</v>
      </c>
      <c r="EU2149" s="1" t="s">
        <v>238</v>
      </c>
      <c r="EY2149" s="1" t="s">
        <v>238</v>
      </c>
      <c r="FC2149" s="1" t="s">
        <v>238</v>
      </c>
      <c r="FF2149" s="1" t="s">
        <v>239</v>
      </c>
      <c r="FG2149" s="1" t="s">
        <v>192</v>
      </c>
      <c r="FH2149" s="1" t="s">
        <v>192</v>
      </c>
      <c r="FJ2149" s="1" t="s">
        <v>624</v>
      </c>
      <c r="FK2149" s="1" t="s">
        <v>229</v>
      </c>
      <c r="FL2149" s="1" t="s">
        <v>1007</v>
      </c>
      <c r="FM2149" s="1">
        <v>22588.0</v>
      </c>
      <c r="FN2149" s="1" t="s">
        <v>1321</v>
      </c>
      <c r="FO2149" s="1" t="s">
        <v>2760</v>
      </c>
      <c r="FP2149" s="1">
        <v>230326.0</v>
      </c>
      <c r="FQ2149" s="1" t="s">
        <v>2761</v>
      </c>
      <c r="FS2149" s="1" t="s">
        <v>2762</v>
      </c>
      <c r="FU2149" s="1" t="s">
        <v>1882</v>
      </c>
      <c r="FV2149" s="1" t="s">
        <v>200</v>
      </c>
      <c r="FW2149" s="1" t="s">
        <v>290</v>
      </c>
      <c r="FZ2149" s="1" t="s">
        <v>229</v>
      </c>
      <c r="GA2149" s="1" t="s">
        <v>291</v>
      </c>
      <c r="GB2149" s="2">
        <v>42087.0</v>
      </c>
      <c r="GC2149" s="1" t="s">
        <v>20119</v>
      </c>
    </row>
    <row r="2150">
      <c r="A2150" s="1">
        <v>175000.0</v>
      </c>
      <c r="B2150" s="1" t="s">
        <v>185</v>
      </c>
      <c r="C2150" s="1" t="str">
        <f>"08742224"</f>
        <v>08742224</v>
      </c>
      <c r="D2150" s="1" t="s">
        <v>186</v>
      </c>
      <c r="F2150" s="1" t="str">
        <f>"8025"</f>
        <v>8025</v>
      </c>
      <c r="G2150" s="2">
        <v>41913.0</v>
      </c>
      <c r="H2150" s="1">
        <v>184500.0</v>
      </c>
      <c r="I2150" s="1">
        <v>63.0</v>
      </c>
      <c r="J2150" s="1">
        <v>179900.0</v>
      </c>
      <c r="K2150" s="2">
        <v>41975.0</v>
      </c>
      <c r="L2150" s="1">
        <v>63.0</v>
      </c>
      <c r="M2150" s="2">
        <v>41975.0</v>
      </c>
      <c r="N2150" s="1" t="s">
        <v>356</v>
      </c>
      <c r="O2150" s="2">
        <v>42020.0</v>
      </c>
      <c r="P2150" s="1">
        <v>133712.0</v>
      </c>
      <c r="Q2150" s="1">
        <v>13691.0</v>
      </c>
      <c r="R2150" s="1">
        <v>3.0</v>
      </c>
      <c r="S2150" s="1">
        <v>5135.0</v>
      </c>
      <c r="T2150" s="1" t="s">
        <v>20120</v>
      </c>
      <c r="U2150" s="1" t="s">
        <v>189</v>
      </c>
      <c r="V2150" s="1" t="s">
        <v>190</v>
      </c>
      <c r="W2150" s="1">
        <v>60639.0</v>
      </c>
      <c r="Y2150" s="1" t="s">
        <v>20121</v>
      </c>
      <c r="Z2150" s="1">
        <v>1952.0</v>
      </c>
      <c r="AA2150" s="1" t="s">
        <v>192</v>
      </c>
      <c r="AB2150" s="1" t="s">
        <v>193</v>
      </c>
      <c r="AD2150" s="1" t="s">
        <v>194</v>
      </c>
      <c r="AE2150" s="1" t="s">
        <v>195</v>
      </c>
      <c r="AF2150" s="1" t="s">
        <v>196</v>
      </c>
      <c r="AH2150" s="1" t="s">
        <v>359</v>
      </c>
      <c r="AI2150" s="1">
        <v>0.0861</v>
      </c>
      <c r="AK2150" s="1">
        <v>8.0</v>
      </c>
      <c r="AL2150" s="1">
        <v>2.0</v>
      </c>
      <c r="AM2150" s="1">
        <v>2.0</v>
      </c>
      <c r="AN2150" s="1">
        <v>0.0</v>
      </c>
      <c r="AO2150" s="1" t="s">
        <v>229</v>
      </c>
      <c r="AQ2150" s="1" t="s">
        <v>198</v>
      </c>
      <c r="AR2150" s="1" t="s">
        <v>192</v>
      </c>
      <c r="AS2150" s="1" t="s">
        <v>199</v>
      </c>
      <c r="AT2150" s="1">
        <v>2.0</v>
      </c>
      <c r="AV2150" s="1" t="s">
        <v>200</v>
      </c>
      <c r="AW2150" s="1">
        <v>2253.95</v>
      </c>
      <c r="AX2150" s="1">
        <v>2012.0</v>
      </c>
      <c r="AZ2150" s="1" t="s">
        <v>200</v>
      </c>
      <c r="BA2150" s="1" t="str">
        <f>"13334150660000"</f>
        <v>13334150660000</v>
      </c>
      <c r="BC2150" s="1">
        <v>1400.0</v>
      </c>
      <c r="BD2150" s="1">
        <v>175000.0</v>
      </c>
      <c r="BE2150" s="2">
        <v>41913.0</v>
      </c>
      <c r="BF2150" s="1" t="s">
        <v>20122</v>
      </c>
      <c r="BH2150" s="1">
        <v>0.0</v>
      </c>
      <c r="BK2150" s="1" t="s">
        <v>204</v>
      </c>
      <c r="BL2150" s="1" t="str">
        <f>"1700"</f>
        <v>1700</v>
      </c>
      <c r="BM2150" s="1" t="str">
        <f t="shared" ref="BM2150:BM2151" si="1407">"0"</f>
        <v>0</v>
      </c>
      <c r="BN2150" s="1">
        <v>5135.0</v>
      </c>
      <c r="BO2150" s="1">
        <v>0.0</v>
      </c>
      <c r="BQ2150" s="1">
        <v>299.0</v>
      </c>
      <c r="BR2150" s="1">
        <v>299.0</v>
      </c>
      <c r="BS2150" s="1">
        <v>299.0</v>
      </c>
      <c r="BU2150" s="1" t="s">
        <v>1117</v>
      </c>
      <c r="BV2150" s="1" t="s">
        <v>206</v>
      </c>
      <c r="BW2150" s="1" t="s">
        <v>207</v>
      </c>
      <c r="BX2150" s="1" t="s">
        <v>229</v>
      </c>
      <c r="BY2150" s="1" t="s">
        <v>332</v>
      </c>
      <c r="BZ2150" s="1" t="s">
        <v>206</v>
      </c>
      <c r="CA2150" s="1" t="s">
        <v>207</v>
      </c>
      <c r="CB2150" s="1" t="s">
        <v>229</v>
      </c>
      <c r="CC2150" s="1" t="s">
        <v>516</v>
      </c>
      <c r="CD2150" s="1" t="s">
        <v>206</v>
      </c>
      <c r="CE2150" s="1" t="s">
        <v>207</v>
      </c>
      <c r="CF2150" s="1" t="s">
        <v>229</v>
      </c>
      <c r="CG2150" s="1" t="s">
        <v>516</v>
      </c>
      <c r="CH2150" s="1" t="s">
        <v>206</v>
      </c>
      <c r="CI2150" s="1" t="s">
        <v>207</v>
      </c>
      <c r="CJ2150" s="1" t="s">
        <v>229</v>
      </c>
      <c r="CK2150" s="1" t="s">
        <v>269</v>
      </c>
      <c r="CL2150" s="1" t="s">
        <v>42</v>
      </c>
      <c r="CM2150" s="1" t="s">
        <v>617</v>
      </c>
      <c r="CN2150" s="1" t="s">
        <v>229</v>
      </c>
      <c r="CO2150" s="1" t="s">
        <v>516</v>
      </c>
      <c r="CP2150" s="1" t="s">
        <v>42</v>
      </c>
      <c r="CQ2150" s="1" t="s">
        <v>617</v>
      </c>
      <c r="CR2150" s="1" t="s">
        <v>229</v>
      </c>
      <c r="CS2150" s="1" t="s">
        <v>516</v>
      </c>
      <c r="CT2150" s="1" t="s">
        <v>206</v>
      </c>
      <c r="CU2150" s="1" t="s">
        <v>207</v>
      </c>
      <c r="CV2150" s="1" t="s">
        <v>229</v>
      </c>
      <c r="CW2150" s="1" t="s">
        <v>264</v>
      </c>
      <c r="CX2150" s="1" t="s">
        <v>42</v>
      </c>
      <c r="CY2150" s="1" t="s">
        <v>617</v>
      </c>
      <c r="CZ2150" s="1" t="s">
        <v>229</v>
      </c>
      <c r="DA2150" s="1" t="s">
        <v>200</v>
      </c>
      <c r="DC2150" s="1" t="s">
        <v>702</v>
      </c>
      <c r="DD2150" s="1" t="s">
        <v>518</v>
      </c>
      <c r="DE2150" s="1" t="s">
        <v>273</v>
      </c>
      <c r="DF2150" s="1" t="s">
        <v>905</v>
      </c>
      <c r="DH2150" s="1" t="s">
        <v>220</v>
      </c>
      <c r="DI2150" s="1" t="s">
        <v>1401</v>
      </c>
      <c r="DJ2150" s="1" t="s">
        <v>222</v>
      </c>
      <c r="DL2150" s="1" t="s">
        <v>224</v>
      </c>
      <c r="DM2150" s="1" t="s">
        <v>229</v>
      </c>
      <c r="DP2150" s="1" t="s">
        <v>340</v>
      </c>
      <c r="DQ2150" s="1" t="s">
        <v>228</v>
      </c>
      <c r="DR2150" s="1" t="s">
        <v>229</v>
      </c>
      <c r="DV2150" s="1" t="s">
        <v>232</v>
      </c>
      <c r="DW2150" s="1" t="s">
        <v>279</v>
      </c>
      <c r="DX2150" s="1" t="s">
        <v>234</v>
      </c>
      <c r="EA2150" s="1" t="s">
        <v>683</v>
      </c>
      <c r="EC2150" s="1" t="s">
        <v>685</v>
      </c>
      <c r="EM2150" s="1" t="s">
        <v>238</v>
      </c>
      <c r="EQ2150" s="1" t="s">
        <v>238</v>
      </c>
      <c r="EU2150" s="1" t="s">
        <v>238</v>
      </c>
      <c r="EY2150" s="1" t="s">
        <v>238</v>
      </c>
      <c r="FC2150" s="1" t="s">
        <v>238</v>
      </c>
      <c r="FF2150" s="1" t="s">
        <v>239</v>
      </c>
      <c r="FG2150" s="1" t="s">
        <v>192</v>
      </c>
      <c r="FH2150" s="1" t="s">
        <v>192</v>
      </c>
      <c r="FJ2150" s="1" t="s">
        <v>20123</v>
      </c>
      <c r="FK2150" s="1" t="s">
        <v>229</v>
      </c>
      <c r="FL2150" s="1" t="s">
        <v>1289</v>
      </c>
      <c r="FM2150" s="1">
        <v>85382.0</v>
      </c>
      <c r="FN2150" s="1" t="s">
        <v>12816</v>
      </c>
      <c r="FO2150" s="1" t="s">
        <v>20124</v>
      </c>
      <c r="FP2150" s="1">
        <v>137965.0</v>
      </c>
      <c r="FQ2150" s="1" t="s">
        <v>20125</v>
      </c>
      <c r="FS2150" s="1" t="s">
        <v>20126</v>
      </c>
      <c r="FU2150" s="1" t="s">
        <v>20127</v>
      </c>
      <c r="FV2150" s="1" t="s">
        <v>200</v>
      </c>
      <c r="FW2150" s="1" t="s">
        <v>631</v>
      </c>
      <c r="FX2150" s="1" t="s">
        <v>246</v>
      </c>
      <c r="FZ2150" s="1" t="s">
        <v>229</v>
      </c>
      <c r="GA2150" s="1" t="s">
        <v>291</v>
      </c>
      <c r="GB2150" s="2">
        <v>42023.0</v>
      </c>
      <c r="GC2150" s="1" t="s">
        <v>20128</v>
      </c>
    </row>
    <row r="2151">
      <c r="A2151" s="1">
        <v>186000.0</v>
      </c>
      <c r="B2151" s="1" t="s">
        <v>185</v>
      </c>
      <c r="C2151" s="1" t="str">
        <f>"08744848"</f>
        <v>08744848</v>
      </c>
      <c r="D2151" s="1" t="s">
        <v>186</v>
      </c>
      <c r="F2151" s="1" t="str">
        <f>"8015"</f>
        <v>8015</v>
      </c>
      <c r="G2151" s="2">
        <v>41915.0</v>
      </c>
      <c r="H2151" s="1">
        <v>199000.0</v>
      </c>
      <c r="I2151" s="1">
        <v>20.0</v>
      </c>
      <c r="J2151" s="1">
        <v>175000.0</v>
      </c>
      <c r="K2151" s="2">
        <v>41934.0</v>
      </c>
      <c r="L2151" s="1">
        <v>20.0</v>
      </c>
      <c r="M2151" s="2">
        <v>41934.0</v>
      </c>
      <c r="N2151" s="1" t="s">
        <v>187</v>
      </c>
      <c r="O2151" s="2">
        <v>42034.0</v>
      </c>
      <c r="P2151" s="1">
        <v>171943.0</v>
      </c>
      <c r="Q2151" s="1">
        <v>85317.0</v>
      </c>
      <c r="S2151" s="1">
        <v>5317.0</v>
      </c>
      <c r="T2151" s="1" t="s">
        <v>20129</v>
      </c>
      <c r="U2151" s="1" t="s">
        <v>189</v>
      </c>
      <c r="V2151" s="1" t="s">
        <v>190</v>
      </c>
      <c r="W2151" s="1">
        <v>60630.0</v>
      </c>
      <c r="Y2151" s="1" t="s">
        <v>20130</v>
      </c>
      <c r="Z2151" s="1" t="s">
        <v>296</v>
      </c>
      <c r="AA2151" s="1" t="s">
        <v>192</v>
      </c>
      <c r="AB2151" s="1" t="s">
        <v>193</v>
      </c>
      <c r="AD2151" s="1" t="s">
        <v>194</v>
      </c>
      <c r="AE2151" s="1" t="s">
        <v>195</v>
      </c>
      <c r="AF2151" s="1" t="s">
        <v>196</v>
      </c>
      <c r="AH2151" s="1" t="s">
        <v>741</v>
      </c>
      <c r="AK2151" s="1">
        <v>7.0</v>
      </c>
      <c r="AL2151" s="1">
        <v>4.0</v>
      </c>
      <c r="AM2151" s="1">
        <v>2.0</v>
      </c>
      <c r="AN2151" s="1">
        <v>0.0</v>
      </c>
      <c r="AO2151" s="1" t="s">
        <v>229</v>
      </c>
      <c r="AP2151" s="1">
        <v>1.0</v>
      </c>
      <c r="AQ2151" s="1" t="s">
        <v>1314</v>
      </c>
      <c r="AR2151" s="1" t="s">
        <v>192</v>
      </c>
      <c r="AS2151" s="1" t="s">
        <v>199</v>
      </c>
      <c r="AT2151" s="1">
        <v>2.0</v>
      </c>
      <c r="AV2151" s="1" t="s">
        <v>200</v>
      </c>
      <c r="AW2151" s="1">
        <v>3863.38</v>
      </c>
      <c r="AX2151" s="1">
        <v>2013.0</v>
      </c>
      <c r="AY2151" s="1" t="s">
        <v>387</v>
      </c>
      <c r="AZ2151" s="1" t="s">
        <v>200</v>
      </c>
      <c r="BA2151" s="1" t="str">
        <f>"13161290140000"</f>
        <v>13161290140000</v>
      </c>
      <c r="BC2151" s="1">
        <v>1400.0</v>
      </c>
      <c r="BD2151" s="1">
        <v>186000.0</v>
      </c>
      <c r="BE2151" s="2">
        <v>41915.0</v>
      </c>
      <c r="BF2151" s="1" t="s">
        <v>20131</v>
      </c>
      <c r="BH2151" s="1">
        <v>0.0</v>
      </c>
      <c r="BK2151" s="1" t="s">
        <v>204</v>
      </c>
      <c r="BL2151" s="1" t="str">
        <f>"4500"</f>
        <v>4500</v>
      </c>
      <c r="BM2151" s="1" t="str">
        <f t="shared" si="1407"/>
        <v>0</v>
      </c>
      <c r="BN2151" s="1">
        <v>5300.0</v>
      </c>
      <c r="BO2151" s="1">
        <v>0.0</v>
      </c>
      <c r="BQ2151" s="1">
        <v>299.0</v>
      </c>
      <c r="BR2151" s="1">
        <v>299.0</v>
      </c>
      <c r="BS2151" s="1">
        <v>299.0</v>
      </c>
      <c r="BU2151" s="1" t="s">
        <v>304</v>
      </c>
      <c r="BV2151" s="1" t="s">
        <v>206</v>
      </c>
      <c r="BY2151" s="1" t="s">
        <v>269</v>
      </c>
      <c r="BZ2151" s="1" t="s">
        <v>206</v>
      </c>
      <c r="CC2151" s="1" t="s">
        <v>363</v>
      </c>
      <c r="CD2151" s="1" t="s">
        <v>206</v>
      </c>
      <c r="CG2151" s="1" t="s">
        <v>495</v>
      </c>
      <c r="CH2151" s="1" t="s">
        <v>206</v>
      </c>
      <c r="CK2151" s="1" t="s">
        <v>269</v>
      </c>
      <c r="CL2151" s="1" t="s">
        <v>206</v>
      </c>
      <c r="CO2151" s="1" t="s">
        <v>264</v>
      </c>
      <c r="CP2151" s="1" t="s">
        <v>114</v>
      </c>
      <c r="CS2151" s="1" t="s">
        <v>392</v>
      </c>
      <c r="CT2151" s="1" t="s">
        <v>206</v>
      </c>
      <c r="CX2151" s="1" t="s">
        <v>204</v>
      </c>
      <c r="DA2151" s="1" t="s">
        <v>200</v>
      </c>
      <c r="DC2151" s="1" t="s">
        <v>1399</v>
      </c>
      <c r="DE2151" s="1" t="s">
        <v>229</v>
      </c>
      <c r="DF2151" s="1" t="s">
        <v>619</v>
      </c>
      <c r="DH2151" s="1" t="s">
        <v>220</v>
      </c>
      <c r="DJ2151" s="1" t="s">
        <v>222</v>
      </c>
      <c r="DK2151" s="1" t="s">
        <v>224</v>
      </c>
      <c r="DL2151" s="1" t="s">
        <v>858</v>
      </c>
      <c r="DM2151" s="1" t="s">
        <v>229</v>
      </c>
      <c r="DQ2151" s="1" t="s">
        <v>228</v>
      </c>
      <c r="DR2151" s="1" t="s">
        <v>229</v>
      </c>
      <c r="DV2151" s="1" t="s">
        <v>232</v>
      </c>
      <c r="DW2151" s="1" t="s">
        <v>279</v>
      </c>
      <c r="DX2151" s="1" t="s">
        <v>234</v>
      </c>
      <c r="EA2151" s="1" t="s">
        <v>644</v>
      </c>
      <c r="EC2151" s="1" t="s">
        <v>685</v>
      </c>
      <c r="EM2151" s="1" t="s">
        <v>238</v>
      </c>
      <c r="EQ2151" s="1" t="s">
        <v>238</v>
      </c>
      <c r="EU2151" s="1" t="s">
        <v>238</v>
      </c>
      <c r="EY2151" s="1" t="s">
        <v>238</v>
      </c>
      <c r="FC2151" s="1" t="s">
        <v>238</v>
      </c>
      <c r="FF2151" s="1" t="s">
        <v>239</v>
      </c>
      <c r="FG2151" s="1" t="s">
        <v>192</v>
      </c>
      <c r="FH2151" s="1" t="s">
        <v>192</v>
      </c>
      <c r="FJ2151" s="1" t="s">
        <v>799</v>
      </c>
      <c r="FK2151" s="1" t="s">
        <v>1586</v>
      </c>
      <c r="FL2151" s="1" t="s">
        <v>1358</v>
      </c>
      <c r="FM2151" s="1">
        <v>3310.0</v>
      </c>
      <c r="FN2151" s="1" t="s">
        <v>10814</v>
      </c>
      <c r="FO2151" s="1" t="s">
        <v>20132</v>
      </c>
      <c r="FP2151" s="1">
        <v>37659.0</v>
      </c>
      <c r="FQ2151" s="1" t="s">
        <v>20133</v>
      </c>
      <c r="FR2151" s="1">
        <v>171943.0</v>
      </c>
      <c r="FU2151" s="1" t="s">
        <v>20134</v>
      </c>
      <c r="FV2151" s="1" t="s">
        <v>200</v>
      </c>
      <c r="FW2151" s="1" t="s">
        <v>530</v>
      </c>
      <c r="FX2151" s="1" t="s">
        <v>246</v>
      </c>
      <c r="FZ2151" s="1" t="s">
        <v>229</v>
      </c>
      <c r="GA2151" s="1" t="s">
        <v>291</v>
      </c>
      <c r="GB2151" s="2">
        <v>42034.0</v>
      </c>
      <c r="GC2151" s="1" t="s">
        <v>20135</v>
      </c>
    </row>
    <row r="2152">
      <c r="A2152" s="1">
        <v>290000.0</v>
      </c>
      <c r="B2152" s="1" t="s">
        <v>185</v>
      </c>
      <c r="C2152" s="1" t="str">
        <f>"08742730"</f>
        <v>08742730</v>
      </c>
      <c r="D2152" s="1" t="s">
        <v>186</v>
      </c>
      <c r="F2152" s="1" t="str">
        <f>"177"</f>
        <v>177</v>
      </c>
      <c r="G2152" s="2">
        <v>41913.0</v>
      </c>
      <c r="H2152" s="1">
        <v>342900.0</v>
      </c>
      <c r="I2152" s="1">
        <v>688.0</v>
      </c>
      <c r="J2152" s="1">
        <v>314000.0</v>
      </c>
      <c r="K2152" s="2">
        <v>41976.0</v>
      </c>
      <c r="L2152" s="1">
        <v>64.0</v>
      </c>
      <c r="M2152" s="2">
        <v>41976.0</v>
      </c>
      <c r="N2152" s="1" t="s">
        <v>356</v>
      </c>
      <c r="O2152" s="2">
        <v>42033.0</v>
      </c>
      <c r="P2152" s="1">
        <v>79.0</v>
      </c>
      <c r="Q2152" s="1">
        <v>41.0</v>
      </c>
      <c r="S2152" s="1">
        <v>5.0</v>
      </c>
      <c r="T2152" s="1" t="s">
        <v>20136</v>
      </c>
      <c r="U2152" s="1" t="s">
        <v>420</v>
      </c>
      <c r="V2152" s="1" t="s">
        <v>2249</v>
      </c>
      <c r="W2152" s="1">
        <v>60177.0</v>
      </c>
      <c r="Y2152" s="1" t="s">
        <v>20137</v>
      </c>
      <c r="Z2152" s="1">
        <v>1999.0</v>
      </c>
      <c r="AA2152" s="1" t="s">
        <v>200</v>
      </c>
      <c r="AB2152" s="1" t="s">
        <v>467</v>
      </c>
      <c r="AC2152" s="1" t="s">
        <v>4508</v>
      </c>
      <c r="AD2152" s="1" t="s">
        <v>2252</v>
      </c>
      <c r="AE2152" s="1" t="s">
        <v>325</v>
      </c>
      <c r="AF2152" s="1" t="s">
        <v>1203</v>
      </c>
      <c r="AH2152" s="1" t="s">
        <v>20138</v>
      </c>
      <c r="AI2152" s="1">
        <v>0.0</v>
      </c>
      <c r="AK2152" s="1">
        <v>9.0</v>
      </c>
      <c r="AL2152" s="1">
        <v>4.0</v>
      </c>
      <c r="AM2152" s="1">
        <v>3.0</v>
      </c>
      <c r="AN2152" s="1">
        <v>1.0</v>
      </c>
      <c r="AO2152" s="1" t="s">
        <v>198</v>
      </c>
      <c r="AP2152" s="1">
        <v>1.0</v>
      </c>
      <c r="AQ2152" s="1" t="s">
        <v>1314</v>
      </c>
      <c r="AR2152" s="1" t="s">
        <v>200</v>
      </c>
      <c r="AS2152" s="1" t="s">
        <v>199</v>
      </c>
      <c r="AT2152" s="1">
        <v>2.0</v>
      </c>
      <c r="AV2152" s="1" t="s">
        <v>200</v>
      </c>
      <c r="AW2152" s="1">
        <v>9543.76</v>
      </c>
      <c r="AX2152" s="1">
        <v>2012.0</v>
      </c>
      <c r="AZ2152" s="1" t="s">
        <v>200</v>
      </c>
      <c r="BA2152" s="1" t="str">
        <f>"0905455012"</f>
        <v>0905455012</v>
      </c>
      <c r="BB2152" s="1" t="s">
        <v>200</v>
      </c>
      <c r="BC2152" s="1">
        <v>2324.0</v>
      </c>
      <c r="BD2152" s="1">
        <v>290000.0</v>
      </c>
      <c r="BE2152" s="2">
        <v>41913.0</v>
      </c>
      <c r="BF2152" s="2" t="s">
        <v>20139</v>
      </c>
      <c r="BH2152" s="1">
        <v>118.0</v>
      </c>
      <c r="BK2152" s="1" t="s">
        <v>1952</v>
      </c>
      <c r="BL2152" s="1" t="str">
        <f>"3"</f>
        <v>3</v>
      </c>
      <c r="BM2152" s="1" t="str">
        <f>""</f>
        <v/>
      </c>
      <c r="BN2152" s="1">
        <v>37.0</v>
      </c>
      <c r="BQ2152" s="1">
        <v>303.0</v>
      </c>
      <c r="BR2152" s="1">
        <v>303.0</v>
      </c>
      <c r="BS2152" s="1">
        <v>303.0</v>
      </c>
      <c r="BU2152" s="1" t="s">
        <v>1351</v>
      </c>
      <c r="BV2152" s="1" t="s">
        <v>206</v>
      </c>
      <c r="BY2152" s="1" t="s">
        <v>3817</v>
      </c>
      <c r="BZ2152" s="1" t="s">
        <v>209</v>
      </c>
      <c r="CC2152" s="1" t="s">
        <v>1351</v>
      </c>
      <c r="CD2152" s="1" t="s">
        <v>206</v>
      </c>
      <c r="CG2152" s="1" t="s">
        <v>302</v>
      </c>
      <c r="CH2152" s="1" t="s">
        <v>209</v>
      </c>
      <c r="CK2152" s="1" t="s">
        <v>302</v>
      </c>
      <c r="CL2152" s="1" t="s">
        <v>209</v>
      </c>
      <c r="CO2152" s="1" t="s">
        <v>215</v>
      </c>
      <c r="CP2152" s="1" t="s">
        <v>209</v>
      </c>
      <c r="CS2152" s="1" t="s">
        <v>663</v>
      </c>
      <c r="CT2152" s="1" t="s">
        <v>206</v>
      </c>
      <c r="CW2152" s="1" t="s">
        <v>2900</v>
      </c>
      <c r="CX2152" s="1" t="s">
        <v>206</v>
      </c>
      <c r="DA2152" s="1" t="s">
        <v>200</v>
      </c>
      <c r="DC2152" s="1" t="s">
        <v>335</v>
      </c>
      <c r="DD2152" s="1" t="s">
        <v>518</v>
      </c>
      <c r="DE2152" s="1" t="s">
        <v>273</v>
      </c>
      <c r="DF2152" s="1" t="s">
        <v>219</v>
      </c>
      <c r="DG2152" s="1" t="s">
        <v>2593</v>
      </c>
      <c r="DH2152" s="1" t="s">
        <v>220</v>
      </c>
      <c r="DI2152" s="1" t="s">
        <v>10035</v>
      </c>
      <c r="DJ2152" s="1" t="s">
        <v>222</v>
      </c>
      <c r="DL2152" s="1" t="s">
        <v>224</v>
      </c>
      <c r="DM2152" s="1" t="s">
        <v>338</v>
      </c>
      <c r="DP2152" s="1" t="s">
        <v>340</v>
      </c>
      <c r="DQ2152" s="1" t="s">
        <v>441</v>
      </c>
      <c r="DR2152" s="1" t="s">
        <v>1980</v>
      </c>
      <c r="DV2152" s="1" t="s">
        <v>494</v>
      </c>
      <c r="DW2152" s="1" t="s">
        <v>233</v>
      </c>
      <c r="DX2152" s="1" t="s">
        <v>234</v>
      </c>
      <c r="DY2152" s="1" t="s">
        <v>490</v>
      </c>
      <c r="DZ2152" s="1" t="s">
        <v>310</v>
      </c>
      <c r="EB2152" s="1" t="s">
        <v>1639</v>
      </c>
      <c r="EC2152" s="1" t="s">
        <v>237</v>
      </c>
      <c r="ED2152" s="1" t="s">
        <v>407</v>
      </c>
      <c r="EG2152" s="1" t="s">
        <v>494</v>
      </c>
      <c r="EL2152" s="1" t="s">
        <v>433</v>
      </c>
      <c r="EM2152" s="1" t="s">
        <v>206</v>
      </c>
      <c r="EQ2152" s="1" t="s">
        <v>238</v>
      </c>
      <c r="EU2152" s="1" t="s">
        <v>238</v>
      </c>
      <c r="EY2152" s="1" t="s">
        <v>238</v>
      </c>
      <c r="FC2152" s="1" t="s">
        <v>238</v>
      </c>
      <c r="FF2152" s="1" t="s">
        <v>239</v>
      </c>
      <c r="FG2152" s="1" t="s">
        <v>192</v>
      </c>
      <c r="FH2152" s="1" t="s">
        <v>192</v>
      </c>
      <c r="FJ2152" s="1" t="s">
        <v>347</v>
      </c>
      <c r="FK2152" s="1" t="s">
        <v>229</v>
      </c>
      <c r="FL2152" s="1" t="s">
        <v>1855</v>
      </c>
      <c r="FM2152" s="1">
        <v>41.0</v>
      </c>
      <c r="FN2152" s="1" t="s">
        <v>1856</v>
      </c>
      <c r="FO2152" s="1" t="s">
        <v>1857</v>
      </c>
      <c r="FP2152" s="1">
        <v>8483.0</v>
      </c>
      <c r="FQ2152" s="1" t="s">
        <v>1858</v>
      </c>
      <c r="FT2152" s="1" t="s">
        <v>1860</v>
      </c>
      <c r="FU2152" s="1" t="s">
        <v>1861</v>
      </c>
      <c r="FV2152" s="1" t="s">
        <v>200</v>
      </c>
      <c r="FW2152" s="1" t="s">
        <v>1307</v>
      </c>
      <c r="FX2152" s="1" t="s">
        <v>1739</v>
      </c>
      <c r="FZ2152" s="1" t="s">
        <v>229</v>
      </c>
      <c r="GA2152" s="1" t="s">
        <v>291</v>
      </c>
      <c r="GB2152" s="2">
        <v>42033.0</v>
      </c>
      <c r="GC2152" s="1" t="s">
        <v>20140</v>
      </c>
    </row>
    <row r="2153">
      <c r="A2153" s="1">
        <v>213000.0</v>
      </c>
      <c r="B2153" s="1" t="s">
        <v>185</v>
      </c>
      <c r="C2153" s="1" t="str">
        <f>"08745328"</f>
        <v>08745328</v>
      </c>
      <c r="D2153" s="1" t="s">
        <v>186</v>
      </c>
      <c r="F2153" s="1" t="str">
        <f t="shared" ref="F2153:F2154" si="1409">"123"</f>
        <v>123</v>
      </c>
      <c r="G2153" s="2">
        <v>41917.0</v>
      </c>
      <c r="H2153" s="1">
        <v>209900.0</v>
      </c>
      <c r="I2153" s="1">
        <v>12.0</v>
      </c>
      <c r="J2153" s="1">
        <v>209900.0</v>
      </c>
      <c r="K2153" s="2">
        <v>41927.0</v>
      </c>
      <c r="L2153" s="1">
        <v>12.0</v>
      </c>
      <c r="M2153" s="2">
        <v>41927.0</v>
      </c>
      <c r="N2153" s="1" t="s">
        <v>356</v>
      </c>
      <c r="O2153" s="2">
        <v>41978.0</v>
      </c>
      <c r="P2153" s="1">
        <v>77121.0</v>
      </c>
      <c r="Q2153" s="1">
        <v>7375.0</v>
      </c>
      <c r="S2153" s="1">
        <v>1879.0</v>
      </c>
      <c r="T2153" s="1" t="s">
        <v>3066</v>
      </c>
      <c r="U2153" s="1" t="s">
        <v>1015</v>
      </c>
      <c r="V2153" s="1" t="s">
        <v>465</v>
      </c>
      <c r="W2153" s="1">
        <v>60123.0</v>
      </c>
      <c r="Y2153" s="1" t="s">
        <v>20141</v>
      </c>
      <c r="Z2153" s="1">
        <v>1991.0</v>
      </c>
      <c r="AA2153" s="1" t="s">
        <v>200</v>
      </c>
      <c r="AB2153" s="1" t="s">
        <v>467</v>
      </c>
      <c r="AC2153" s="1" t="s">
        <v>8623</v>
      </c>
      <c r="AD2153" s="1" t="s">
        <v>469</v>
      </c>
      <c r="AE2153" s="1" t="s">
        <v>325</v>
      </c>
      <c r="AF2153" s="1" t="s">
        <v>469</v>
      </c>
      <c r="AG2153" s="1" t="s">
        <v>5046</v>
      </c>
      <c r="AH2153" s="1" t="s">
        <v>4038</v>
      </c>
      <c r="AI2153" s="1">
        <v>0.29</v>
      </c>
      <c r="AK2153" s="1">
        <v>9.0</v>
      </c>
      <c r="AL2153" s="1">
        <v>4.0</v>
      </c>
      <c r="AM2153" s="1">
        <v>2.0</v>
      </c>
      <c r="AN2153" s="1">
        <v>1.0</v>
      </c>
      <c r="AO2153" s="1" t="s">
        <v>198</v>
      </c>
      <c r="AQ2153" s="1" t="s">
        <v>229</v>
      </c>
      <c r="AR2153" s="1" t="s">
        <v>200</v>
      </c>
      <c r="AS2153" s="1" t="s">
        <v>199</v>
      </c>
      <c r="AT2153" s="1">
        <v>2.0</v>
      </c>
      <c r="AV2153" s="1" t="s">
        <v>200</v>
      </c>
      <c r="AW2153" s="1">
        <v>5086.46</v>
      </c>
      <c r="AX2153" s="1">
        <v>2013.0</v>
      </c>
      <c r="AY2153" s="1" t="s">
        <v>387</v>
      </c>
      <c r="AZ2153" s="1" t="s">
        <v>200</v>
      </c>
      <c r="BA2153" s="1" t="str">
        <f>"0628251024"</f>
        <v>0628251024</v>
      </c>
      <c r="BB2153" s="1" t="s">
        <v>200</v>
      </c>
      <c r="BC2153" s="1">
        <v>2288.0</v>
      </c>
      <c r="BD2153" s="1">
        <v>213000.0</v>
      </c>
      <c r="BE2153" s="2">
        <v>41916.0</v>
      </c>
      <c r="BF2153" s="2" t="s">
        <v>20142</v>
      </c>
      <c r="BG2153" s="1" t="s">
        <v>2439</v>
      </c>
      <c r="BH2153" s="1">
        <v>135.0</v>
      </c>
      <c r="BI2153" s="1" t="s">
        <v>674</v>
      </c>
      <c r="BJ2153" s="1" t="s">
        <v>2440</v>
      </c>
      <c r="BK2153" s="1" t="s">
        <v>580</v>
      </c>
      <c r="BL2153" s="1" t="str">
        <f t="shared" ref="BL2153:BM2153" si="1408">""</f>
        <v/>
      </c>
      <c r="BM2153" s="1" t="str">
        <f t="shared" si="1408"/>
        <v/>
      </c>
      <c r="BQ2153" s="1">
        <v>46.0</v>
      </c>
      <c r="BR2153" s="1">
        <v>46.0</v>
      </c>
      <c r="BS2153" s="1">
        <v>46.0</v>
      </c>
      <c r="BU2153" s="1" t="s">
        <v>454</v>
      </c>
      <c r="BV2153" s="1" t="s">
        <v>206</v>
      </c>
      <c r="BW2153" s="1" t="s">
        <v>207</v>
      </c>
      <c r="BX2153" s="1" t="s">
        <v>431</v>
      </c>
      <c r="BY2153" s="1" t="s">
        <v>758</v>
      </c>
      <c r="BZ2153" s="1" t="s">
        <v>209</v>
      </c>
      <c r="CA2153" s="1" t="s">
        <v>210</v>
      </c>
      <c r="CB2153" s="1" t="s">
        <v>431</v>
      </c>
      <c r="CC2153" s="1" t="s">
        <v>212</v>
      </c>
      <c r="CD2153" s="1" t="s">
        <v>206</v>
      </c>
      <c r="CE2153" s="1" t="s">
        <v>207</v>
      </c>
      <c r="CF2153" s="1" t="s">
        <v>431</v>
      </c>
      <c r="CG2153" s="1" t="s">
        <v>264</v>
      </c>
      <c r="CH2153" s="1" t="s">
        <v>209</v>
      </c>
      <c r="CI2153" s="1" t="s">
        <v>210</v>
      </c>
      <c r="CJ2153" s="1" t="s">
        <v>431</v>
      </c>
      <c r="CK2153" s="1" t="s">
        <v>264</v>
      </c>
      <c r="CL2153" s="1" t="s">
        <v>209</v>
      </c>
      <c r="CM2153" s="1" t="s">
        <v>210</v>
      </c>
      <c r="CN2153" s="1" t="s">
        <v>431</v>
      </c>
      <c r="CO2153" s="1" t="s">
        <v>269</v>
      </c>
      <c r="CP2153" s="1" t="s">
        <v>209</v>
      </c>
      <c r="CQ2153" s="1" t="s">
        <v>210</v>
      </c>
      <c r="CR2153" s="1" t="s">
        <v>431</v>
      </c>
      <c r="CS2153" s="1" t="s">
        <v>497</v>
      </c>
      <c r="CT2153" s="1" t="s">
        <v>206</v>
      </c>
      <c r="CU2153" s="1" t="s">
        <v>207</v>
      </c>
      <c r="CV2153" s="1" t="s">
        <v>431</v>
      </c>
      <c r="CW2153" s="1" t="s">
        <v>1000</v>
      </c>
      <c r="CX2153" s="1" t="s">
        <v>206</v>
      </c>
      <c r="CY2153" s="1" t="s">
        <v>207</v>
      </c>
      <c r="CZ2153" s="1" t="s">
        <v>431</v>
      </c>
      <c r="DA2153" s="1" t="s">
        <v>200</v>
      </c>
      <c r="DC2153" s="1" t="s">
        <v>435</v>
      </c>
      <c r="DD2153" s="1" t="s">
        <v>518</v>
      </c>
      <c r="DE2153" s="1" t="s">
        <v>273</v>
      </c>
      <c r="DF2153" s="1" t="s">
        <v>219</v>
      </c>
      <c r="DG2153" s="1" t="s">
        <v>337</v>
      </c>
      <c r="DH2153" s="1" t="s">
        <v>220</v>
      </c>
      <c r="DI2153" s="1" t="s">
        <v>20143</v>
      </c>
      <c r="DJ2153" s="1" t="s">
        <v>222</v>
      </c>
      <c r="DK2153" s="1" t="s">
        <v>223</v>
      </c>
      <c r="DL2153" s="1" t="s">
        <v>520</v>
      </c>
      <c r="DM2153" s="1" t="s">
        <v>338</v>
      </c>
      <c r="DN2153" s="1" t="s">
        <v>485</v>
      </c>
      <c r="DO2153" s="1" t="s">
        <v>7146</v>
      </c>
      <c r="DP2153" s="1" t="s">
        <v>340</v>
      </c>
      <c r="DQ2153" s="1" t="s">
        <v>228</v>
      </c>
      <c r="DR2153" s="1" t="s">
        <v>229</v>
      </c>
      <c r="DS2153" s="1" t="s">
        <v>230</v>
      </c>
      <c r="DU2153" s="1" t="s">
        <v>2070</v>
      </c>
      <c r="DV2153" s="1" t="s">
        <v>20144</v>
      </c>
      <c r="DW2153" s="1" t="s">
        <v>233</v>
      </c>
      <c r="DX2153" s="1" t="s">
        <v>234</v>
      </c>
      <c r="DY2153" s="1" t="s">
        <v>596</v>
      </c>
      <c r="DZ2153" s="1" t="s">
        <v>20145</v>
      </c>
      <c r="EA2153" s="1" t="s">
        <v>344</v>
      </c>
      <c r="EC2153" s="1" t="s">
        <v>237</v>
      </c>
      <c r="ED2153" s="1" t="s">
        <v>407</v>
      </c>
      <c r="EE2153" s="1" t="s">
        <v>493</v>
      </c>
      <c r="EG2153" s="1" t="s">
        <v>494</v>
      </c>
      <c r="EH2153" s="1" t="s">
        <v>1102</v>
      </c>
      <c r="EI2153" s="1" t="s">
        <v>408</v>
      </c>
      <c r="EL2153" s="1" t="s">
        <v>269</v>
      </c>
      <c r="EM2153" s="1" t="s">
        <v>206</v>
      </c>
      <c r="EN2153" s="1" t="s">
        <v>207</v>
      </c>
      <c r="EO2153" s="1" t="s">
        <v>431</v>
      </c>
      <c r="EP2153" s="1" t="s">
        <v>392</v>
      </c>
      <c r="EQ2153" s="1" t="s">
        <v>206</v>
      </c>
      <c r="ER2153" s="1" t="s">
        <v>210</v>
      </c>
      <c r="ES2153" s="1" t="s">
        <v>431</v>
      </c>
      <c r="ET2153" s="1" t="s">
        <v>516</v>
      </c>
      <c r="EU2153" s="1" t="s">
        <v>206</v>
      </c>
      <c r="EV2153" s="1" t="s">
        <v>207</v>
      </c>
      <c r="EW2153" s="1" t="s">
        <v>431</v>
      </c>
      <c r="EY2153" s="1" t="s">
        <v>238</v>
      </c>
      <c r="FC2153" s="1" t="s">
        <v>238</v>
      </c>
      <c r="FF2153" s="1" t="s">
        <v>239</v>
      </c>
      <c r="FG2153" s="1" t="s">
        <v>192</v>
      </c>
      <c r="FH2153" s="1" t="s">
        <v>192</v>
      </c>
      <c r="FJ2153" s="1" t="s">
        <v>14653</v>
      </c>
      <c r="FK2153" s="1" t="s">
        <v>229</v>
      </c>
      <c r="FL2153" s="1" t="s">
        <v>2263</v>
      </c>
      <c r="FM2153" s="1">
        <v>7661.0</v>
      </c>
      <c r="FN2153" s="1" t="s">
        <v>4356</v>
      </c>
      <c r="FO2153" s="1" t="s">
        <v>20146</v>
      </c>
      <c r="FP2153" s="1">
        <v>7206.0</v>
      </c>
      <c r="FQ2153" s="1" t="s">
        <v>20147</v>
      </c>
      <c r="FS2153" s="1" t="s">
        <v>20148</v>
      </c>
      <c r="FU2153" s="1" t="s">
        <v>20149</v>
      </c>
      <c r="FV2153" s="1" t="s">
        <v>200</v>
      </c>
      <c r="FW2153" s="1" t="s">
        <v>20150</v>
      </c>
      <c r="FZ2153" s="1" t="s">
        <v>632</v>
      </c>
      <c r="GA2153" s="1" t="s">
        <v>291</v>
      </c>
      <c r="GB2153" s="2">
        <v>41978.0</v>
      </c>
      <c r="GC2153" s="1" t="s">
        <v>20151</v>
      </c>
    </row>
    <row r="2154">
      <c r="A2154" s="1">
        <v>420000.0</v>
      </c>
      <c r="B2154" s="1" t="s">
        <v>185</v>
      </c>
      <c r="C2154" s="1" t="str">
        <f>"08758542"</f>
        <v>08758542</v>
      </c>
      <c r="D2154" s="1" t="s">
        <v>186</v>
      </c>
      <c r="F2154" s="1" t="str">
        <f t="shared" si="1409"/>
        <v>123</v>
      </c>
      <c r="G2154" s="2">
        <v>41933.0</v>
      </c>
      <c r="H2154" s="1">
        <v>479900.0</v>
      </c>
      <c r="I2154" s="1">
        <v>122.0</v>
      </c>
      <c r="J2154" s="1">
        <v>451000.0</v>
      </c>
      <c r="K2154" s="2">
        <v>42054.0</v>
      </c>
      <c r="L2154" s="1">
        <v>122.0</v>
      </c>
      <c r="M2154" s="2">
        <v>42054.0</v>
      </c>
      <c r="N2154" s="1" t="s">
        <v>187</v>
      </c>
      <c r="O2154" s="2">
        <v>42119.0</v>
      </c>
      <c r="P2154" s="1">
        <v>147124.0</v>
      </c>
      <c r="Q2154" s="1">
        <v>10267.0</v>
      </c>
      <c r="S2154" s="1">
        <v>3615.0</v>
      </c>
      <c r="T2154" s="1" t="s">
        <v>20152</v>
      </c>
      <c r="U2154" s="1" t="s">
        <v>569</v>
      </c>
      <c r="V2154" s="1" t="s">
        <v>465</v>
      </c>
      <c r="W2154" s="1">
        <v>60124.0</v>
      </c>
      <c r="Y2154" s="1" t="s">
        <v>20153</v>
      </c>
      <c r="Z2154" s="1">
        <v>2013.0</v>
      </c>
      <c r="AA2154" s="1" t="s">
        <v>200</v>
      </c>
      <c r="AB2154" s="1" t="s">
        <v>467</v>
      </c>
      <c r="AC2154" s="1" t="s">
        <v>20154</v>
      </c>
      <c r="AD2154" s="1" t="s">
        <v>469</v>
      </c>
      <c r="AE2154" s="1" t="s">
        <v>325</v>
      </c>
      <c r="AF2154" s="1" t="s">
        <v>572</v>
      </c>
      <c r="AG2154" s="1" t="s">
        <v>20155</v>
      </c>
      <c r="AH2154" s="1" t="s">
        <v>20156</v>
      </c>
      <c r="AI2154" s="1">
        <v>0.27</v>
      </c>
      <c r="AK2154" s="1">
        <v>9.0</v>
      </c>
      <c r="AL2154" s="1">
        <v>4.0</v>
      </c>
      <c r="AM2154" s="1">
        <v>3.0</v>
      </c>
      <c r="AN2154" s="1">
        <v>1.0</v>
      </c>
      <c r="AO2154" s="1" t="s">
        <v>198</v>
      </c>
      <c r="AP2154" s="1">
        <v>1.0</v>
      </c>
      <c r="AQ2154" s="1" t="s">
        <v>472</v>
      </c>
      <c r="AR2154" s="1" t="s">
        <v>200</v>
      </c>
      <c r="AS2154" s="1" t="s">
        <v>199</v>
      </c>
      <c r="AT2154" s="1">
        <v>3.0</v>
      </c>
      <c r="AV2154" s="1" t="s">
        <v>192</v>
      </c>
      <c r="AW2154" s="1">
        <v>2409.02</v>
      </c>
      <c r="AX2154" s="1">
        <v>2013.0</v>
      </c>
      <c r="AY2154" s="1" t="s">
        <v>229</v>
      </c>
      <c r="AZ2154" s="1" t="s">
        <v>200</v>
      </c>
      <c r="BA2154" s="1" t="str">
        <f>"0512105017"</f>
        <v>0512105017</v>
      </c>
      <c r="BB2154" s="1" t="s">
        <v>192</v>
      </c>
      <c r="BC2154" s="1">
        <v>3840.0</v>
      </c>
      <c r="BD2154" s="1">
        <v>420000.0</v>
      </c>
      <c r="BE2154" s="2">
        <v>41933.0</v>
      </c>
      <c r="BF2154" s="2" t="s">
        <v>20157</v>
      </c>
      <c r="BG2154" s="1" t="s">
        <v>1974</v>
      </c>
      <c r="BH2154" s="1">
        <v>40.0</v>
      </c>
      <c r="BI2154" s="1" t="s">
        <v>578</v>
      </c>
      <c r="BJ2154" s="1" t="s">
        <v>579</v>
      </c>
      <c r="BK2154" s="1" t="s">
        <v>474</v>
      </c>
      <c r="BL2154" s="1" t="str">
        <f t="shared" ref="BL2154:BM2154" si="1410">""</f>
        <v/>
      </c>
      <c r="BM2154" s="1" t="str">
        <f t="shared" si="1410"/>
        <v/>
      </c>
      <c r="BQ2154" s="1">
        <v>301.0</v>
      </c>
      <c r="BR2154" s="1">
        <v>301.0</v>
      </c>
      <c r="BS2154" s="1">
        <v>301.0</v>
      </c>
      <c r="BV2154" s="1" t="s">
        <v>204</v>
      </c>
      <c r="BY2154" s="1" t="s">
        <v>544</v>
      </c>
      <c r="BZ2154" s="1" t="s">
        <v>209</v>
      </c>
      <c r="CA2154" s="1" t="s">
        <v>210</v>
      </c>
      <c r="CB2154" s="1" t="s">
        <v>431</v>
      </c>
      <c r="CC2154" s="1" t="s">
        <v>664</v>
      </c>
      <c r="CD2154" s="1" t="s">
        <v>206</v>
      </c>
      <c r="CE2154" s="1" t="s">
        <v>207</v>
      </c>
      <c r="CF2154" s="1" t="s">
        <v>229</v>
      </c>
      <c r="CG2154" s="1" t="s">
        <v>329</v>
      </c>
      <c r="CH2154" s="1" t="s">
        <v>209</v>
      </c>
      <c r="CI2154" s="1" t="s">
        <v>210</v>
      </c>
      <c r="CJ2154" s="1" t="s">
        <v>431</v>
      </c>
      <c r="CK2154" s="1" t="s">
        <v>664</v>
      </c>
      <c r="CL2154" s="1" t="s">
        <v>209</v>
      </c>
      <c r="CM2154" s="1" t="s">
        <v>210</v>
      </c>
      <c r="CN2154" s="1" t="s">
        <v>431</v>
      </c>
      <c r="CO2154" s="1" t="s">
        <v>329</v>
      </c>
      <c r="CP2154" s="1" t="s">
        <v>209</v>
      </c>
      <c r="CQ2154" s="1" t="s">
        <v>210</v>
      </c>
      <c r="CR2154" s="1" t="s">
        <v>431</v>
      </c>
      <c r="CS2154" s="1" t="s">
        <v>758</v>
      </c>
      <c r="CT2154" s="1" t="s">
        <v>206</v>
      </c>
      <c r="CU2154" s="1" t="s">
        <v>207</v>
      </c>
      <c r="CV2154" s="1" t="s">
        <v>229</v>
      </c>
      <c r="CW2154" s="1" t="s">
        <v>2592</v>
      </c>
      <c r="CX2154" s="1" t="s">
        <v>206</v>
      </c>
      <c r="CY2154" s="1" t="s">
        <v>210</v>
      </c>
      <c r="CZ2154" s="1" t="s">
        <v>229</v>
      </c>
      <c r="DA2154" s="1" t="s">
        <v>200</v>
      </c>
      <c r="DC2154" s="1" t="s">
        <v>1046</v>
      </c>
      <c r="DD2154" s="1" t="s">
        <v>336</v>
      </c>
      <c r="DE2154" s="1" t="s">
        <v>3750</v>
      </c>
      <c r="DF2154" s="1" t="s">
        <v>219</v>
      </c>
      <c r="DG2154" s="1" t="s">
        <v>1602</v>
      </c>
      <c r="DH2154" s="1" t="s">
        <v>220</v>
      </c>
      <c r="DI2154" s="1" t="s">
        <v>11630</v>
      </c>
      <c r="DJ2154" s="1" t="s">
        <v>222</v>
      </c>
      <c r="DK2154" s="1" t="s">
        <v>223</v>
      </c>
      <c r="DL2154" s="1" t="s">
        <v>223</v>
      </c>
      <c r="DM2154" s="1" t="s">
        <v>338</v>
      </c>
      <c r="DN2154" s="1" t="s">
        <v>399</v>
      </c>
      <c r="DO2154" s="1" t="s">
        <v>20158</v>
      </c>
      <c r="DP2154" s="1" t="s">
        <v>340</v>
      </c>
      <c r="DQ2154" s="1" t="s">
        <v>441</v>
      </c>
      <c r="DR2154" s="1" t="s">
        <v>4273</v>
      </c>
      <c r="DS2154" s="1" t="s">
        <v>368</v>
      </c>
      <c r="DU2154" s="1" t="s">
        <v>1049</v>
      </c>
      <c r="DV2154" s="1" t="s">
        <v>20159</v>
      </c>
      <c r="DW2154" s="1" t="s">
        <v>20160</v>
      </c>
      <c r="DX2154" s="1" t="s">
        <v>309</v>
      </c>
      <c r="DY2154" s="1" t="s">
        <v>490</v>
      </c>
      <c r="DZ2154" s="1" t="s">
        <v>968</v>
      </c>
      <c r="EA2154" s="1" t="s">
        <v>344</v>
      </c>
      <c r="EB2154" s="1" t="s">
        <v>5230</v>
      </c>
      <c r="EC2154" s="1" t="s">
        <v>237</v>
      </c>
      <c r="ED2154" s="1" t="s">
        <v>555</v>
      </c>
      <c r="EE2154" s="1" t="s">
        <v>187</v>
      </c>
      <c r="EG2154" s="1" t="s">
        <v>556</v>
      </c>
      <c r="EH2154" s="1" t="s">
        <v>1961</v>
      </c>
      <c r="EL2154" s="1" t="s">
        <v>1426</v>
      </c>
      <c r="EM2154" s="1" t="s">
        <v>206</v>
      </c>
      <c r="EN2154" s="1" t="s">
        <v>207</v>
      </c>
      <c r="EO2154" s="1" t="s">
        <v>229</v>
      </c>
      <c r="EP2154" s="1" t="s">
        <v>743</v>
      </c>
      <c r="EQ2154" s="1" t="s">
        <v>206</v>
      </c>
      <c r="ER2154" s="1" t="s">
        <v>210</v>
      </c>
      <c r="ES2154" s="1" t="s">
        <v>229</v>
      </c>
      <c r="EU2154" s="1" t="s">
        <v>238</v>
      </c>
      <c r="EY2154" s="1" t="s">
        <v>238</v>
      </c>
      <c r="FC2154" s="1" t="s">
        <v>238</v>
      </c>
      <c r="FF2154" s="1" t="s">
        <v>239</v>
      </c>
      <c r="FG2154" s="1" t="s">
        <v>192</v>
      </c>
      <c r="FH2154" s="1" t="s">
        <v>192</v>
      </c>
      <c r="FJ2154" s="1" t="s">
        <v>20161</v>
      </c>
      <c r="FK2154" s="1" t="s">
        <v>229</v>
      </c>
      <c r="FL2154" s="1" t="s">
        <v>456</v>
      </c>
      <c r="FM2154" s="1">
        <v>49.0</v>
      </c>
      <c r="FN2154" s="1" t="s">
        <v>457</v>
      </c>
      <c r="FO2154" s="1" t="s">
        <v>458</v>
      </c>
      <c r="FP2154" s="1">
        <v>1222.0</v>
      </c>
      <c r="FQ2154" s="1" t="s">
        <v>459</v>
      </c>
      <c r="FU2154" s="1" t="s">
        <v>4517</v>
      </c>
      <c r="FV2154" s="1" t="s">
        <v>200</v>
      </c>
      <c r="FW2154" s="1" t="s">
        <v>20162</v>
      </c>
      <c r="FZ2154" s="1" t="s">
        <v>229</v>
      </c>
      <c r="GA2154" s="1" t="s">
        <v>291</v>
      </c>
      <c r="GB2154" s="2">
        <v>42119.0</v>
      </c>
      <c r="GC2154" s="1" t="s">
        <v>20163</v>
      </c>
    </row>
    <row r="2155">
      <c r="A2155" s="1">
        <v>470000.0</v>
      </c>
      <c r="B2155" s="1" t="s">
        <v>185</v>
      </c>
      <c r="C2155" s="1" t="str">
        <f>"08740878"</f>
        <v>08740878</v>
      </c>
      <c r="D2155" s="1" t="s">
        <v>186</v>
      </c>
      <c r="F2155" s="1" t="str">
        <f>"8056"</f>
        <v>8056</v>
      </c>
      <c r="G2155" s="2">
        <v>41912.0</v>
      </c>
      <c r="H2155" s="1">
        <v>479000.0</v>
      </c>
      <c r="I2155" s="1">
        <v>38.0</v>
      </c>
      <c r="J2155" s="1">
        <v>479000.0</v>
      </c>
      <c r="K2155" s="2">
        <v>41949.0</v>
      </c>
      <c r="L2155" s="1">
        <v>38.0</v>
      </c>
      <c r="M2155" s="2">
        <v>41949.0</v>
      </c>
      <c r="N2155" s="1" t="s">
        <v>249</v>
      </c>
      <c r="O2155" s="2">
        <v>42024.0</v>
      </c>
      <c r="P2155" s="1">
        <v>602867.0</v>
      </c>
      <c r="Q2155" s="1">
        <v>24563.0</v>
      </c>
      <c r="S2155" s="1">
        <v>5605.0</v>
      </c>
      <c r="T2155" s="1" t="s">
        <v>20164</v>
      </c>
      <c r="U2155" s="1" t="s">
        <v>189</v>
      </c>
      <c r="V2155" s="1" t="s">
        <v>190</v>
      </c>
      <c r="W2155" s="1">
        <v>60638.0</v>
      </c>
      <c r="Y2155" s="1" t="s">
        <v>20165</v>
      </c>
      <c r="Z2155" s="1">
        <v>2008.0</v>
      </c>
      <c r="AA2155" s="1" t="s">
        <v>200</v>
      </c>
      <c r="AB2155" s="1" t="s">
        <v>193</v>
      </c>
      <c r="AC2155" s="1" t="s">
        <v>8354</v>
      </c>
      <c r="AD2155" s="1" t="s">
        <v>194</v>
      </c>
      <c r="AE2155" s="1" t="s">
        <v>195</v>
      </c>
      <c r="AF2155" s="1" t="s">
        <v>659</v>
      </c>
      <c r="AH2155" s="1" t="s">
        <v>20166</v>
      </c>
      <c r="AK2155" s="1">
        <v>8.0</v>
      </c>
      <c r="AL2155" s="1">
        <v>3.0</v>
      </c>
      <c r="AM2155" s="1">
        <v>3.0</v>
      </c>
      <c r="AN2155" s="1">
        <v>1.0</v>
      </c>
      <c r="AO2155" s="1" t="s">
        <v>198</v>
      </c>
      <c r="AP2155" s="1">
        <v>2.0</v>
      </c>
      <c r="AQ2155" s="1" t="s">
        <v>198</v>
      </c>
      <c r="AR2155" s="1" t="s">
        <v>192</v>
      </c>
      <c r="AS2155" s="1" t="s">
        <v>199</v>
      </c>
      <c r="AT2155" s="1">
        <v>2.0</v>
      </c>
      <c r="AV2155" s="1" t="s">
        <v>200</v>
      </c>
      <c r="AW2155" s="1">
        <v>6258.62</v>
      </c>
      <c r="AX2155" s="1">
        <v>2012.0</v>
      </c>
      <c r="AZ2155" s="1" t="s">
        <v>200</v>
      </c>
      <c r="BA2155" s="1" t="str">
        <f>"19182120490000"</f>
        <v>19182120490000</v>
      </c>
      <c r="BB2155" s="1" t="s">
        <v>200</v>
      </c>
      <c r="BC2155" s="1">
        <v>2636.0</v>
      </c>
      <c r="BD2155" s="1">
        <v>470000.0</v>
      </c>
      <c r="BE2155" s="2">
        <v>41912.0</v>
      </c>
      <c r="BF2155" s="2" t="s">
        <v>20167</v>
      </c>
      <c r="BH2155" s="1">
        <v>0.0</v>
      </c>
      <c r="BK2155" s="1" t="s">
        <v>204</v>
      </c>
      <c r="BL2155" s="1" t="str">
        <f t="shared" ref="BL2155:BM2155" si="1411">"0"</f>
        <v>0</v>
      </c>
      <c r="BM2155" s="1" t="str">
        <f t="shared" si="1411"/>
        <v>0</v>
      </c>
      <c r="BN2155" s="1">
        <v>6600.0</v>
      </c>
      <c r="BO2155" s="1">
        <v>5605.0</v>
      </c>
      <c r="BQ2155" s="1">
        <v>299.0</v>
      </c>
      <c r="BR2155" s="1">
        <v>299.0</v>
      </c>
      <c r="BS2155" s="1">
        <v>299.0</v>
      </c>
      <c r="BU2155" s="1" t="s">
        <v>3307</v>
      </c>
      <c r="BV2155" s="1" t="s">
        <v>206</v>
      </c>
      <c r="BW2155" s="1" t="s">
        <v>207</v>
      </c>
      <c r="BX2155" s="1" t="s">
        <v>431</v>
      </c>
      <c r="BY2155" s="1" t="s">
        <v>2442</v>
      </c>
      <c r="BZ2155" s="1" t="s">
        <v>209</v>
      </c>
      <c r="CA2155" s="1" t="s">
        <v>207</v>
      </c>
      <c r="CB2155" s="1" t="s">
        <v>431</v>
      </c>
      <c r="CC2155" s="1" t="s">
        <v>542</v>
      </c>
      <c r="CD2155" s="1" t="s">
        <v>206</v>
      </c>
      <c r="CE2155" s="1" t="s">
        <v>207</v>
      </c>
      <c r="CF2155" s="1" t="s">
        <v>431</v>
      </c>
      <c r="CG2155" s="1" t="s">
        <v>300</v>
      </c>
      <c r="CH2155" s="1" t="s">
        <v>209</v>
      </c>
      <c r="CI2155" s="1" t="s">
        <v>207</v>
      </c>
      <c r="CJ2155" s="1" t="s">
        <v>431</v>
      </c>
      <c r="CK2155" s="1" t="s">
        <v>4399</v>
      </c>
      <c r="CL2155" s="1" t="s">
        <v>209</v>
      </c>
      <c r="CM2155" s="1" t="s">
        <v>207</v>
      </c>
      <c r="CN2155" s="1" t="s">
        <v>431</v>
      </c>
      <c r="CO2155" s="1" t="s">
        <v>300</v>
      </c>
      <c r="CP2155" s="1" t="s">
        <v>42</v>
      </c>
      <c r="CQ2155" s="1" t="s">
        <v>210</v>
      </c>
      <c r="CR2155" s="1" t="s">
        <v>431</v>
      </c>
      <c r="CS2155" s="1" t="s">
        <v>330</v>
      </c>
      <c r="CT2155" s="1" t="s">
        <v>206</v>
      </c>
      <c r="CU2155" s="1" t="s">
        <v>207</v>
      </c>
      <c r="CV2155" s="1" t="s">
        <v>431</v>
      </c>
      <c r="CW2155" s="1" t="s">
        <v>364</v>
      </c>
      <c r="CX2155" s="1" t="s">
        <v>42</v>
      </c>
      <c r="CY2155" s="1" t="s">
        <v>210</v>
      </c>
      <c r="CZ2155" s="1" t="s">
        <v>431</v>
      </c>
      <c r="DA2155" s="1" t="s">
        <v>200</v>
      </c>
      <c r="DC2155" s="1" t="s">
        <v>481</v>
      </c>
      <c r="DD2155" s="1" t="s">
        <v>272</v>
      </c>
      <c r="DE2155" s="1" t="s">
        <v>218</v>
      </c>
      <c r="DF2155" s="1" t="s">
        <v>219</v>
      </c>
      <c r="DH2155" s="1" t="s">
        <v>365</v>
      </c>
      <c r="DI2155" s="1" t="s">
        <v>732</v>
      </c>
      <c r="DJ2155" s="1" t="s">
        <v>222</v>
      </c>
      <c r="DL2155" s="1" t="s">
        <v>224</v>
      </c>
      <c r="DM2155" s="1" t="s">
        <v>225</v>
      </c>
      <c r="DN2155" s="1" t="s">
        <v>226</v>
      </c>
      <c r="DP2155" s="1" t="s">
        <v>276</v>
      </c>
      <c r="DQ2155" s="1" t="s">
        <v>228</v>
      </c>
      <c r="DR2155" s="1" t="s">
        <v>229</v>
      </c>
      <c r="DS2155" s="1" t="s">
        <v>230</v>
      </c>
      <c r="DV2155" s="1" t="s">
        <v>232</v>
      </c>
      <c r="DW2155" s="1" t="s">
        <v>279</v>
      </c>
      <c r="DX2155" s="1" t="s">
        <v>234</v>
      </c>
      <c r="DY2155" s="1" t="s">
        <v>935</v>
      </c>
      <c r="EC2155" s="1" t="s">
        <v>237</v>
      </c>
      <c r="ED2155" s="1" t="s">
        <v>407</v>
      </c>
      <c r="EE2155" s="1" t="s">
        <v>493</v>
      </c>
      <c r="EM2155" s="1" t="s">
        <v>238</v>
      </c>
      <c r="EQ2155" s="1" t="s">
        <v>238</v>
      </c>
      <c r="EU2155" s="1" t="s">
        <v>238</v>
      </c>
      <c r="EY2155" s="1" t="s">
        <v>238</v>
      </c>
      <c r="FC2155" s="1" t="s">
        <v>238</v>
      </c>
      <c r="FF2155" s="1" t="s">
        <v>239</v>
      </c>
      <c r="FG2155" s="1" t="s">
        <v>192</v>
      </c>
      <c r="FH2155" s="1" t="s">
        <v>192</v>
      </c>
      <c r="FJ2155" s="1" t="s">
        <v>4863</v>
      </c>
      <c r="FK2155" s="1" t="s">
        <v>229</v>
      </c>
      <c r="FL2155" s="1" t="s">
        <v>1007</v>
      </c>
      <c r="FM2155" s="1">
        <v>72502.0</v>
      </c>
      <c r="FN2155" s="1" t="s">
        <v>20168</v>
      </c>
      <c r="FO2155" s="1" t="s">
        <v>20169</v>
      </c>
      <c r="FP2155" s="1">
        <v>705251.0</v>
      </c>
      <c r="FQ2155" s="1" t="s">
        <v>20170</v>
      </c>
      <c r="FU2155" s="1" t="s">
        <v>14705</v>
      </c>
      <c r="FV2155" s="1" t="s">
        <v>200</v>
      </c>
      <c r="FW2155" s="1" t="s">
        <v>290</v>
      </c>
      <c r="FX2155" s="1" t="s">
        <v>655</v>
      </c>
      <c r="FZ2155" s="1" t="s">
        <v>229</v>
      </c>
      <c r="GA2155" s="1" t="s">
        <v>291</v>
      </c>
      <c r="GB2155" s="2">
        <v>42024.0</v>
      </c>
    </row>
    <row r="2156">
      <c r="A2156" s="1">
        <v>305000.0</v>
      </c>
      <c r="B2156" s="1" t="s">
        <v>185</v>
      </c>
      <c r="C2156" s="1" t="str">
        <f>"08749651"</f>
        <v>08749651</v>
      </c>
      <c r="D2156" s="1" t="s">
        <v>186</v>
      </c>
      <c r="F2156" s="1" t="str">
        <f>"174"</f>
        <v>174</v>
      </c>
      <c r="G2156" s="2">
        <v>41921.0</v>
      </c>
      <c r="H2156" s="1">
        <v>314900.0</v>
      </c>
      <c r="I2156" s="1">
        <v>207.0</v>
      </c>
      <c r="J2156" s="1">
        <v>314900.0</v>
      </c>
      <c r="K2156" s="2">
        <v>41943.0</v>
      </c>
      <c r="L2156" s="1">
        <v>23.0</v>
      </c>
      <c r="M2156" s="2">
        <v>41943.0</v>
      </c>
      <c r="N2156" s="1" t="s">
        <v>187</v>
      </c>
      <c r="O2156" s="2">
        <v>41992.0</v>
      </c>
      <c r="P2156" s="1">
        <v>1602.0</v>
      </c>
      <c r="Q2156" s="1">
        <v>49.0</v>
      </c>
      <c r="R2156" s="1">
        <v>5000.0</v>
      </c>
      <c r="S2156" s="1" t="s">
        <v>20171</v>
      </c>
      <c r="T2156" s="1" t="s">
        <v>20172</v>
      </c>
      <c r="U2156" s="1" t="s">
        <v>1174</v>
      </c>
      <c r="V2156" s="1" t="s">
        <v>1200</v>
      </c>
      <c r="W2156" s="1">
        <v>60175.0</v>
      </c>
      <c r="Y2156" s="1" t="s">
        <v>20173</v>
      </c>
      <c r="Z2156" s="1">
        <v>1970.0</v>
      </c>
      <c r="AA2156" s="1" t="s">
        <v>192</v>
      </c>
      <c r="AB2156" s="1" t="s">
        <v>467</v>
      </c>
      <c r="AD2156" s="1" t="s">
        <v>1203</v>
      </c>
      <c r="AE2156" s="1" t="s">
        <v>325</v>
      </c>
      <c r="AF2156" s="1" t="s">
        <v>1203</v>
      </c>
      <c r="AH2156" s="1" t="s">
        <v>20174</v>
      </c>
      <c r="AI2156" s="1">
        <v>0.726</v>
      </c>
      <c r="AK2156" s="1">
        <v>10.0</v>
      </c>
      <c r="AL2156" s="1">
        <v>4.0</v>
      </c>
      <c r="AM2156" s="1">
        <v>2.0</v>
      </c>
      <c r="AN2156" s="1">
        <v>1.0</v>
      </c>
      <c r="AO2156" s="1" t="s">
        <v>198</v>
      </c>
      <c r="AP2156" s="1">
        <v>1.0</v>
      </c>
      <c r="AQ2156" s="1" t="s">
        <v>257</v>
      </c>
      <c r="AR2156" s="1" t="s">
        <v>200</v>
      </c>
      <c r="AS2156" s="1" t="s">
        <v>199</v>
      </c>
      <c r="AT2156" s="1">
        <v>2.0</v>
      </c>
      <c r="AV2156" s="1" t="s">
        <v>200</v>
      </c>
      <c r="AW2156" s="1">
        <v>7363.0</v>
      </c>
      <c r="AX2156" s="1">
        <v>2013.0</v>
      </c>
      <c r="AY2156" s="1" t="s">
        <v>1179</v>
      </c>
      <c r="AZ2156" s="1" t="s">
        <v>200</v>
      </c>
      <c r="BA2156" s="1" t="str">
        <f>"0930329007"</f>
        <v>0930329007</v>
      </c>
      <c r="BC2156" s="1">
        <v>2332.0</v>
      </c>
      <c r="BD2156" s="1">
        <v>305000.0</v>
      </c>
      <c r="BE2156" s="2">
        <v>41921.0</v>
      </c>
      <c r="BF2156" s="2" t="s">
        <v>20175</v>
      </c>
      <c r="BH2156" s="1">
        <v>160.0</v>
      </c>
      <c r="BK2156" s="1" t="s">
        <v>580</v>
      </c>
      <c r="BL2156" s="1" t="str">
        <f t="shared" ref="BL2156:BM2156" si="1412">""</f>
        <v/>
      </c>
      <c r="BM2156" s="1" t="str">
        <f t="shared" si="1412"/>
        <v/>
      </c>
      <c r="BQ2156" s="1">
        <v>303.0</v>
      </c>
      <c r="BR2156" s="1">
        <v>303.0</v>
      </c>
      <c r="BS2156" s="1">
        <v>303.0</v>
      </c>
      <c r="BU2156" s="1" t="s">
        <v>333</v>
      </c>
      <c r="BV2156" s="1" t="s">
        <v>206</v>
      </c>
      <c r="BW2156" s="1" t="s">
        <v>210</v>
      </c>
      <c r="BY2156" s="1" t="s">
        <v>664</v>
      </c>
      <c r="BZ2156" s="1" t="s">
        <v>209</v>
      </c>
      <c r="CA2156" s="1" t="s">
        <v>207</v>
      </c>
      <c r="CC2156" s="1" t="s">
        <v>332</v>
      </c>
      <c r="CD2156" s="1" t="s">
        <v>206</v>
      </c>
      <c r="CE2156" s="1" t="s">
        <v>210</v>
      </c>
      <c r="CG2156" s="1" t="s">
        <v>497</v>
      </c>
      <c r="CH2156" s="1" t="s">
        <v>209</v>
      </c>
      <c r="CI2156" s="1" t="s">
        <v>207</v>
      </c>
      <c r="CK2156" s="1" t="s">
        <v>433</v>
      </c>
      <c r="CL2156" s="1" t="s">
        <v>209</v>
      </c>
      <c r="CM2156" s="1" t="s">
        <v>207</v>
      </c>
      <c r="CO2156" s="1" t="s">
        <v>392</v>
      </c>
      <c r="CP2156" s="1" t="s">
        <v>209</v>
      </c>
      <c r="CQ2156" s="1" t="s">
        <v>207</v>
      </c>
      <c r="CS2156" s="1" t="s">
        <v>215</v>
      </c>
      <c r="CT2156" s="1" t="s">
        <v>206</v>
      </c>
      <c r="CU2156" s="1" t="s">
        <v>268</v>
      </c>
      <c r="CW2156" s="1" t="s">
        <v>454</v>
      </c>
      <c r="CX2156" s="1" t="s">
        <v>206</v>
      </c>
      <c r="CY2156" s="1" t="s">
        <v>207</v>
      </c>
      <c r="DA2156" s="1" t="s">
        <v>200</v>
      </c>
      <c r="DC2156" s="1" t="s">
        <v>517</v>
      </c>
      <c r="DD2156" s="1" t="s">
        <v>518</v>
      </c>
      <c r="DE2156" s="1" t="s">
        <v>273</v>
      </c>
      <c r="DF2156" s="1" t="s">
        <v>219</v>
      </c>
      <c r="DG2156" s="1" t="s">
        <v>7924</v>
      </c>
      <c r="DH2156" s="1" t="s">
        <v>856</v>
      </c>
      <c r="DI2156" s="1" t="s">
        <v>703</v>
      </c>
      <c r="DJ2156" s="1" t="s">
        <v>857</v>
      </c>
      <c r="DL2156" s="1" t="s">
        <v>986</v>
      </c>
      <c r="DM2156" s="1" t="s">
        <v>338</v>
      </c>
      <c r="DN2156" s="1" t="s">
        <v>439</v>
      </c>
      <c r="DO2156" s="1" t="s">
        <v>12667</v>
      </c>
      <c r="DP2156" s="1" t="s">
        <v>340</v>
      </c>
      <c r="DQ2156" s="1" t="s">
        <v>1557</v>
      </c>
      <c r="DR2156" s="1" t="s">
        <v>1487</v>
      </c>
      <c r="DS2156" s="1" t="s">
        <v>368</v>
      </c>
      <c r="DV2156" s="1" t="s">
        <v>13780</v>
      </c>
      <c r="DW2156" s="1" t="s">
        <v>764</v>
      </c>
      <c r="DX2156" s="1" t="s">
        <v>234</v>
      </c>
      <c r="DY2156" s="1" t="s">
        <v>1051</v>
      </c>
      <c r="DZ2156" s="1" t="s">
        <v>20176</v>
      </c>
      <c r="EA2156" s="1" t="s">
        <v>447</v>
      </c>
      <c r="EB2156" s="1" t="s">
        <v>345</v>
      </c>
      <c r="EC2156" s="1" t="s">
        <v>237</v>
      </c>
      <c r="ED2156" s="1" t="s">
        <v>555</v>
      </c>
      <c r="EG2156" s="1" t="s">
        <v>450</v>
      </c>
      <c r="EH2156" s="1" t="s">
        <v>1729</v>
      </c>
      <c r="EL2156" s="1" t="s">
        <v>20177</v>
      </c>
      <c r="EM2156" s="1" t="s">
        <v>267</v>
      </c>
      <c r="EP2156" s="1" t="s">
        <v>392</v>
      </c>
      <c r="EQ2156" s="1" t="s">
        <v>206</v>
      </c>
      <c r="EU2156" s="1" t="s">
        <v>238</v>
      </c>
      <c r="EY2156" s="1" t="s">
        <v>238</v>
      </c>
      <c r="FC2156" s="1" t="s">
        <v>238</v>
      </c>
      <c r="FF2156" s="1" t="s">
        <v>239</v>
      </c>
      <c r="FG2156" s="1" t="s">
        <v>192</v>
      </c>
      <c r="FH2156" s="1" t="s">
        <v>192</v>
      </c>
      <c r="FJ2156" s="1" t="s">
        <v>20178</v>
      </c>
      <c r="FK2156" s="1" t="s">
        <v>229</v>
      </c>
      <c r="FL2156" s="1" t="s">
        <v>8379</v>
      </c>
      <c r="FM2156" s="1">
        <v>302.0</v>
      </c>
      <c r="FN2156" s="1" t="s">
        <v>8380</v>
      </c>
      <c r="FO2156" s="1" t="s">
        <v>20179</v>
      </c>
      <c r="FP2156" s="1">
        <v>8638.0</v>
      </c>
      <c r="FU2156" s="1" t="s">
        <v>20180</v>
      </c>
      <c r="FV2156" s="1" t="s">
        <v>200</v>
      </c>
      <c r="FW2156" s="1" t="s">
        <v>530</v>
      </c>
      <c r="FX2156" s="1" t="s">
        <v>246</v>
      </c>
      <c r="FZ2156" s="1" t="s">
        <v>229</v>
      </c>
      <c r="GA2156" s="1" t="s">
        <v>291</v>
      </c>
      <c r="GB2156" s="2">
        <v>41993.0</v>
      </c>
      <c r="GC2156" s="1" t="s">
        <v>20181</v>
      </c>
    </row>
    <row r="2157">
      <c r="A2157" s="1">
        <v>400000.0</v>
      </c>
      <c r="B2157" s="1" t="s">
        <v>185</v>
      </c>
      <c r="C2157" s="1" t="str">
        <f>"08749650"</f>
        <v>08749650</v>
      </c>
      <c r="D2157" s="1" t="s">
        <v>186</v>
      </c>
      <c r="F2157" s="1" t="str">
        <f>"107"</f>
        <v>107</v>
      </c>
      <c r="G2157" s="2">
        <v>41921.0</v>
      </c>
      <c r="H2157" s="1">
        <v>419900.0</v>
      </c>
      <c r="I2157" s="1">
        <v>173.0</v>
      </c>
      <c r="J2157" s="1">
        <v>419900.0</v>
      </c>
      <c r="K2157" s="2">
        <v>41927.0</v>
      </c>
      <c r="L2157" s="1">
        <v>7.0</v>
      </c>
      <c r="M2157" s="2">
        <v>41927.0</v>
      </c>
      <c r="N2157" s="1" t="s">
        <v>187</v>
      </c>
      <c r="O2157" s="2">
        <v>41978.0</v>
      </c>
      <c r="P2157" s="1">
        <v>26271.0</v>
      </c>
      <c r="Q2157" s="1">
        <v>8012.0</v>
      </c>
      <c r="S2157" s="1">
        <v>935.0</v>
      </c>
      <c r="T2157" s="1" t="s">
        <v>6509</v>
      </c>
      <c r="U2157" s="1" t="s">
        <v>569</v>
      </c>
      <c r="V2157" s="1" t="s">
        <v>294</v>
      </c>
      <c r="W2157" s="1">
        <v>60107.0</v>
      </c>
      <c r="Y2157" s="1" t="s">
        <v>20182</v>
      </c>
      <c r="Z2157" s="1">
        <v>2006.0</v>
      </c>
      <c r="AA2157" s="1" t="s">
        <v>200</v>
      </c>
      <c r="AB2157" s="1" t="s">
        <v>193</v>
      </c>
      <c r="AC2157" s="1" t="s">
        <v>20183</v>
      </c>
      <c r="AD2157" s="1" t="s">
        <v>297</v>
      </c>
      <c r="AE2157" s="1" t="s">
        <v>195</v>
      </c>
      <c r="AF2157" s="1" t="s">
        <v>298</v>
      </c>
      <c r="AG2157" s="1" t="s">
        <v>10292</v>
      </c>
      <c r="AH2157" s="1">
        <v>0.2418</v>
      </c>
      <c r="AI2157" s="1">
        <v>0.2418</v>
      </c>
      <c r="AK2157" s="1">
        <v>9.0</v>
      </c>
      <c r="AL2157" s="1">
        <v>4.0</v>
      </c>
      <c r="AM2157" s="1">
        <v>3.0</v>
      </c>
      <c r="AN2157" s="1">
        <v>1.0</v>
      </c>
      <c r="AO2157" s="1" t="s">
        <v>198</v>
      </c>
      <c r="AP2157" s="1">
        <v>1.0</v>
      </c>
      <c r="AQ2157" s="1" t="s">
        <v>472</v>
      </c>
      <c r="AR2157" s="1" t="s">
        <v>200</v>
      </c>
      <c r="AS2157" s="1" t="s">
        <v>199</v>
      </c>
      <c r="AT2157" s="1">
        <v>3.0</v>
      </c>
      <c r="AV2157" s="1" t="s">
        <v>200</v>
      </c>
      <c r="AW2157" s="6">
        <v>12974.0</v>
      </c>
      <c r="AX2157" s="1">
        <v>2012.0</v>
      </c>
      <c r="AY2157" s="1" t="s">
        <v>387</v>
      </c>
      <c r="AZ2157" s="1" t="s">
        <v>200</v>
      </c>
      <c r="BA2157" s="1" t="str">
        <f>"06213050200000"</f>
        <v>06213050200000</v>
      </c>
      <c r="BB2157" s="1" t="s">
        <v>200</v>
      </c>
      <c r="BC2157" s="1">
        <v>3211.0</v>
      </c>
      <c r="BD2157" s="1">
        <v>400000.0</v>
      </c>
      <c r="BE2157" s="2">
        <v>41921.0</v>
      </c>
      <c r="BF2157" s="2" t="s">
        <v>20184</v>
      </c>
      <c r="BG2157" s="1" t="s">
        <v>755</v>
      </c>
      <c r="BH2157" s="1">
        <v>360.0</v>
      </c>
      <c r="BI2157" s="1" t="s">
        <v>756</v>
      </c>
      <c r="BJ2157" s="1" t="s">
        <v>757</v>
      </c>
      <c r="BK2157" s="1" t="s">
        <v>580</v>
      </c>
      <c r="BL2157" s="1" t="str">
        <f>"9"</f>
        <v>9</v>
      </c>
      <c r="BM2157" s="1" t="str">
        <f>"0"</f>
        <v>0</v>
      </c>
      <c r="BN2157" s="1">
        <v>29.0</v>
      </c>
      <c r="BO2157" s="1">
        <v>0.0</v>
      </c>
      <c r="BQ2157" s="1">
        <v>46.0</v>
      </c>
      <c r="BR2157" s="1">
        <v>46.0</v>
      </c>
      <c r="BS2157" s="1">
        <v>46.0</v>
      </c>
      <c r="BU2157" s="1" t="s">
        <v>331</v>
      </c>
      <c r="BV2157" s="1" t="s">
        <v>206</v>
      </c>
      <c r="BW2157" s="1" t="s">
        <v>210</v>
      </c>
      <c r="BY2157" s="1" t="s">
        <v>260</v>
      </c>
      <c r="BZ2157" s="1" t="s">
        <v>209</v>
      </c>
      <c r="CA2157" s="1" t="s">
        <v>210</v>
      </c>
      <c r="CC2157" s="1" t="s">
        <v>1158</v>
      </c>
      <c r="CD2157" s="1" t="s">
        <v>206</v>
      </c>
      <c r="CE2157" s="1" t="s">
        <v>210</v>
      </c>
      <c r="CG2157" s="1" t="s">
        <v>215</v>
      </c>
      <c r="CH2157" s="1" t="s">
        <v>209</v>
      </c>
      <c r="CI2157" s="1" t="s">
        <v>210</v>
      </c>
      <c r="CK2157" s="1" t="s">
        <v>332</v>
      </c>
      <c r="CL2157" s="1" t="s">
        <v>209</v>
      </c>
      <c r="CM2157" s="1" t="s">
        <v>210</v>
      </c>
      <c r="CO2157" s="1" t="s">
        <v>332</v>
      </c>
      <c r="CP2157" s="1" t="s">
        <v>209</v>
      </c>
      <c r="CQ2157" s="1" t="s">
        <v>210</v>
      </c>
      <c r="CS2157" s="1" t="s">
        <v>2800</v>
      </c>
      <c r="CT2157" s="1" t="s">
        <v>206</v>
      </c>
      <c r="CU2157" s="1" t="s">
        <v>207</v>
      </c>
      <c r="CW2157" s="1" t="s">
        <v>3202</v>
      </c>
      <c r="CX2157" s="1" t="s">
        <v>206</v>
      </c>
      <c r="CY2157" s="1" t="s">
        <v>210</v>
      </c>
      <c r="DA2157" s="1" t="s">
        <v>200</v>
      </c>
      <c r="DC2157" s="1" t="s">
        <v>481</v>
      </c>
      <c r="DD2157" s="1" t="s">
        <v>5326</v>
      </c>
      <c r="DE2157" s="1" t="s">
        <v>273</v>
      </c>
      <c r="DF2157" s="1" t="s">
        <v>619</v>
      </c>
      <c r="DG2157" s="1" t="s">
        <v>337</v>
      </c>
      <c r="DH2157" s="1" t="s">
        <v>365</v>
      </c>
      <c r="DI2157" s="1" t="s">
        <v>221</v>
      </c>
      <c r="DJ2157" s="1" t="s">
        <v>1048</v>
      </c>
      <c r="DK2157" s="1" t="s">
        <v>223</v>
      </c>
      <c r="DL2157" s="1" t="s">
        <v>484</v>
      </c>
      <c r="DM2157" s="1" t="s">
        <v>229</v>
      </c>
      <c r="DN2157" s="1" t="s">
        <v>399</v>
      </c>
      <c r="DO2157" s="1" t="s">
        <v>1556</v>
      </c>
      <c r="DP2157" s="1" t="s">
        <v>340</v>
      </c>
      <c r="DQ2157" s="1" t="s">
        <v>441</v>
      </c>
      <c r="DR2157" s="1" t="s">
        <v>588</v>
      </c>
      <c r="DS2157" s="1" t="s">
        <v>368</v>
      </c>
      <c r="DU2157" s="1" t="s">
        <v>1355</v>
      </c>
      <c r="DV2157" s="1" t="s">
        <v>494</v>
      </c>
      <c r="DW2157" s="1" t="s">
        <v>279</v>
      </c>
      <c r="DX2157" s="1" t="s">
        <v>234</v>
      </c>
      <c r="DY2157" s="1" t="s">
        <v>7854</v>
      </c>
      <c r="DZ2157" s="1" t="s">
        <v>310</v>
      </c>
      <c r="EA2157" s="1" t="s">
        <v>447</v>
      </c>
      <c r="EB2157" s="1" t="s">
        <v>937</v>
      </c>
      <c r="EC2157" s="1" t="s">
        <v>237</v>
      </c>
      <c r="ED2157" s="1" t="s">
        <v>1406</v>
      </c>
      <c r="EG2157" s="1" t="s">
        <v>494</v>
      </c>
      <c r="EL2157" s="1" t="s">
        <v>215</v>
      </c>
      <c r="EM2157" s="1" t="s">
        <v>206</v>
      </c>
      <c r="EN2157" s="1" t="s">
        <v>210</v>
      </c>
      <c r="EQ2157" s="1" t="s">
        <v>238</v>
      </c>
      <c r="EU2157" s="1" t="s">
        <v>238</v>
      </c>
      <c r="EY2157" s="1" t="s">
        <v>238</v>
      </c>
      <c r="FC2157" s="1" t="s">
        <v>238</v>
      </c>
      <c r="FF2157" s="1" t="s">
        <v>239</v>
      </c>
      <c r="FG2157" s="1" t="s">
        <v>192</v>
      </c>
      <c r="FH2157" s="1" t="s">
        <v>192</v>
      </c>
      <c r="FJ2157" s="1" t="s">
        <v>1231</v>
      </c>
      <c r="FK2157" s="1" t="s">
        <v>229</v>
      </c>
      <c r="FL2157" s="1" t="s">
        <v>4369</v>
      </c>
      <c r="FM2157" s="1">
        <v>23120.0</v>
      </c>
      <c r="FN2157" s="1" t="s">
        <v>4370</v>
      </c>
      <c r="FO2157" s="1" t="s">
        <v>20185</v>
      </c>
      <c r="FP2157" s="1">
        <v>214831.0</v>
      </c>
      <c r="FQ2157" s="1" t="s">
        <v>4370</v>
      </c>
      <c r="FS2157" s="1">
        <v>6.305616255E9</v>
      </c>
      <c r="FU2157" s="1" t="s">
        <v>4374</v>
      </c>
      <c r="FV2157" s="1" t="s">
        <v>200</v>
      </c>
      <c r="FW2157" s="1" t="s">
        <v>530</v>
      </c>
      <c r="FZ2157" s="1" t="s">
        <v>229</v>
      </c>
      <c r="GA2157" s="1" t="s">
        <v>291</v>
      </c>
      <c r="GB2157" s="2">
        <v>41982.0</v>
      </c>
    </row>
    <row r="2158">
      <c r="A2158" s="1">
        <v>192000.0</v>
      </c>
      <c r="B2158" s="1" t="s">
        <v>185</v>
      </c>
      <c r="C2158" s="1" t="str">
        <f>"08747762"</f>
        <v>08747762</v>
      </c>
      <c r="D2158" s="1" t="s">
        <v>186</v>
      </c>
      <c r="F2158" s="1" t="str">
        <f>"538"</f>
        <v>538</v>
      </c>
      <c r="G2158" s="2">
        <v>41920.0</v>
      </c>
      <c r="H2158" s="1">
        <v>214900.0</v>
      </c>
      <c r="I2158" s="1">
        <v>80.0</v>
      </c>
      <c r="J2158" s="1">
        <v>204900.0</v>
      </c>
      <c r="K2158" s="2">
        <v>41999.0</v>
      </c>
      <c r="L2158" s="1">
        <v>80.0</v>
      </c>
      <c r="M2158" s="2">
        <v>41999.0</v>
      </c>
      <c r="N2158" s="1" t="s">
        <v>187</v>
      </c>
      <c r="O2158" s="2">
        <v>42041.0</v>
      </c>
      <c r="P2158" s="1">
        <v>232983.0</v>
      </c>
      <c r="Q2158" s="1">
        <v>23030.0</v>
      </c>
      <c r="S2158" s="1">
        <v>2414.0</v>
      </c>
      <c r="T2158" s="1" t="s">
        <v>20186</v>
      </c>
      <c r="U2158" s="1" t="s">
        <v>1174</v>
      </c>
      <c r="V2158" s="1" t="s">
        <v>1340</v>
      </c>
      <c r="W2158" s="1">
        <v>60538.0</v>
      </c>
      <c r="Y2158" s="1" t="s">
        <v>20187</v>
      </c>
      <c r="Z2158" s="1">
        <v>2003.0</v>
      </c>
      <c r="AA2158" s="1" t="s">
        <v>200</v>
      </c>
      <c r="AB2158" s="1" t="s">
        <v>193</v>
      </c>
      <c r="AC2158" s="1" t="s">
        <v>3016</v>
      </c>
      <c r="AD2158" s="1" t="s">
        <v>1343</v>
      </c>
      <c r="AE2158" s="1" t="s">
        <v>849</v>
      </c>
      <c r="AF2158" s="1" t="s">
        <v>1312</v>
      </c>
      <c r="AH2158" s="1" t="s">
        <v>20188</v>
      </c>
      <c r="AK2158" s="1">
        <v>8.0</v>
      </c>
      <c r="AL2158" s="1">
        <v>4.0</v>
      </c>
      <c r="AM2158" s="1">
        <v>2.0</v>
      </c>
      <c r="AN2158" s="1">
        <v>1.0</v>
      </c>
      <c r="AO2158" s="1" t="s">
        <v>198</v>
      </c>
      <c r="AQ2158" s="1" t="s">
        <v>198</v>
      </c>
      <c r="AR2158" s="1" t="s">
        <v>200</v>
      </c>
      <c r="AS2158" s="1" t="s">
        <v>199</v>
      </c>
      <c r="AT2158" s="1">
        <v>2.0</v>
      </c>
      <c r="AV2158" s="1" t="s">
        <v>200</v>
      </c>
      <c r="AW2158" s="1">
        <v>6143.36</v>
      </c>
      <c r="AX2158" s="1">
        <v>2013.0</v>
      </c>
      <c r="AY2158" s="1" t="s">
        <v>387</v>
      </c>
      <c r="AZ2158" s="1" t="s">
        <v>200</v>
      </c>
      <c r="BA2158" s="1" t="str">
        <f>"0202487023"</f>
        <v>0202487023</v>
      </c>
      <c r="BB2158" s="1" t="s">
        <v>200</v>
      </c>
      <c r="BC2158" s="1">
        <v>1910.0</v>
      </c>
      <c r="BD2158" s="1">
        <v>192000.0</v>
      </c>
      <c r="BE2158" s="2">
        <v>41920.0</v>
      </c>
      <c r="BF2158" s="2" t="s">
        <v>20189</v>
      </c>
      <c r="BG2158" s="1" t="s">
        <v>1837</v>
      </c>
      <c r="BH2158" s="1">
        <v>0.0</v>
      </c>
      <c r="BI2158" s="1" t="s">
        <v>1533</v>
      </c>
      <c r="BJ2158" s="1" t="s">
        <v>1349</v>
      </c>
      <c r="BK2158" s="1" t="s">
        <v>204</v>
      </c>
      <c r="BL2158" s="1" t="str">
        <f t="shared" ref="BL2158:BM2158" si="1413">""</f>
        <v/>
      </c>
      <c r="BM2158" s="1" t="str">
        <f t="shared" si="1413"/>
        <v/>
      </c>
      <c r="BQ2158" s="1">
        <v>308.0</v>
      </c>
      <c r="BR2158" s="1">
        <v>308.0</v>
      </c>
      <c r="BS2158" s="1">
        <v>308.0</v>
      </c>
      <c r="BU2158" s="1" t="s">
        <v>214</v>
      </c>
      <c r="BV2158" s="1" t="s">
        <v>206</v>
      </c>
      <c r="BW2158" s="1" t="s">
        <v>210</v>
      </c>
      <c r="BX2158" s="1" t="s">
        <v>431</v>
      </c>
      <c r="BY2158" s="1" t="s">
        <v>329</v>
      </c>
      <c r="BZ2158" s="1" t="s">
        <v>209</v>
      </c>
      <c r="CA2158" s="1" t="s">
        <v>210</v>
      </c>
      <c r="CB2158" s="1" t="s">
        <v>431</v>
      </c>
      <c r="CD2158" s="1" t="s">
        <v>204</v>
      </c>
      <c r="CG2158" s="1" t="s">
        <v>1351</v>
      </c>
      <c r="CH2158" s="1" t="s">
        <v>209</v>
      </c>
      <c r="CI2158" s="1" t="s">
        <v>210</v>
      </c>
      <c r="CJ2158" s="1" t="s">
        <v>431</v>
      </c>
      <c r="CK2158" s="1" t="s">
        <v>699</v>
      </c>
      <c r="CL2158" s="1" t="s">
        <v>209</v>
      </c>
      <c r="CM2158" s="1" t="s">
        <v>210</v>
      </c>
      <c r="CN2158" s="1" t="s">
        <v>431</v>
      </c>
      <c r="CO2158" s="1" t="s">
        <v>955</v>
      </c>
      <c r="CP2158" s="1" t="s">
        <v>209</v>
      </c>
      <c r="CQ2158" s="1" t="s">
        <v>210</v>
      </c>
      <c r="CR2158" s="1" t="s">
        <v>431</v>
      </c>
      <c r="CS2158" s="1" t="s">
        <v>1417</v>
      </c>
      <c r="CT2158" s="1" t="s">
        <v>206</v>
      </c>
      <c r="CU2158" s="1" t="s">
        <v>268</v>
      </c>
      <c r="CV2158" s="1" t="s">
        <v>431</v>
      </c>
      <c r="CW2158" s="1" t="s">
        <v>497</v>
      </c>
      <c r="CX2158" s="1" t="s">
        <v>206</v>
      </c>
      <c r="CY2158" s="1" t="s">
        <v>268</v>
      </c>
      <c r="CZ2158" s="1" t="s">
        <v>431</v>
      </c>
      <c r="DA2158" s="1" t="s">
        <v>200</v>
      </c>
      <c r="DC2158" s="1" t="s">
        <v>335</v>
      </c>
      <c r="DD2158" s="1" t="s">
        <v>436</v>
      </c>
      <c r="DE2158" s="1" t="s">
        <v>273</v>
      </c>
      <c r="DF2158" s="1" t="s">
        <v>219</v>
      </c>
      <c r="DG2158" s="1" t="s">
        <v>1020</v>
      </c>
      <c r="DH2158" s="1" t="s">
        <v>220</v>
      </c>
      <c r="DI2158" s="1" t="s">
        <v>703</v>
      </c>
      <c r="DJ2158" s="1" t="s">
        <v>222</v>
      </c>
      <c r="DL2158" s="1" t="s">
        <v>223</v>
      </c>
      <c r="DM2158" s="1" t="s">
        <v>229</v>
      </c>
      <c r="DQ2158" s="1" t="s">
        <v>228</v>
      </c>
      <c r="DR2158" s="1" t="s">
        <v>229</v>
      </c>
      <c r="DU2158" s="1" t="s">
        <v>10037</v>
      </c>
      <c r="DV2158" s="1" t="s">
        <v>449</v>
      </c>
      <c r="DW2158" s="1" t="s">
        <v>233</v>
      </c>
      <c r="DX2158" s="1" t="s">
        <v>234</v>
      </c>
      <c r="DY2158" s="1" t="s">
        <v>10889</v>
      </c>
      <c r="DZ2158" s="1" t="s">
        <v>20190</v>
      </c>
      <c r="EA2158" s="1" t="s">
        <v>344</v>
      </c>
      <c r="EC2158" s="1" t="s">
        <v>237</v>
      </c>
      <c r="ED2158" s="1" t="s">
        <v>555</v>
      </c>
      <c r="EE2158" s="1" t="s">
        <v>493</v>
      </c>
      <c r="EG2158" s="1" t="s">
        <v>449</v>
      </c>
      <c r="EL2158" s="1" t="s">
        <v>1746</v>
      </c>
      <c r="EM2158" s="1" t="s">
        <v>206</v>
      </c>
      <c r="EN2158" s="1" t="s">
        <v>268</v>
      </c>
      <c r="EO2158" s="1" t="s">
        <v>431</v>
      </c>
      <c r="EQ2158" s="1" t="s">
        <v>238</v>
      </c>
      <c r="EU2158" s="1" t="s">
        <v>238</v>
      </c>
      <c r="EY2158" s="1" t="s">
        <v>238</v>
      </c>
      <c r="FC2158" s="1" t="s">
        <v>238</v>
      </c>
      <c r="FF2158" s="1" t="s">
        <v>239</v>
      </c>
      <c r="FG2158" s="1" t="s">
        <v>192</v>
      </c>
      <c r="FH2158" s="1" t="s">
        <v>192</v>
      </c>
      <c r="FJ2158" s="1" t="s">
        <v>20191</v>
      </c>
      <c r="FK2158" s="1" t="s">
        <v>229</v>
      </c>
      <c r="FL2158" s="1" t="s">
        <v>2226</v>
      </c>
      <c r="FM2158" s="1">
        <v>25309.0</v>
      </c>
      <c r="FN2158" s="1" t="s">
        <v>9648</v>
      </c>
      <c r="FO2158" s="1" t="s">
        <v>20192</v>
      </c>
      <c r="FP2158" s="1">
        <v>259003.0</v>
      </c>
      <c r="FQ2158" s="1" t="s">
        <v>20193</v>
      </c>
      <c r="FS2158" s="1" t="s">
        <v>20194</v>
      </c>
      <c r="FU2158" s="1" t="s">
        <v>20195</v>
      </c>
      <c r="FV2158" s="1" t="s">
        <v>200</v>
      </c>
      <c r="FW2158" s="1" t="s">
        <v>567</v>
      </c>
      <c r="FZ2158" s="1" t="s">
        <v>632</v>
      </c>
      <c r="GA2158" s="1" t="s">
        <v>291</v>
      </c>
      <c r="GB2158" s="2">
        <v>42043.0</v>
      </c>
      <c r="GC2158" s="1" t="s">
        <v>20196</v>
      </c>
    </row>
    <row r="2159">
      <c r="A2159" s="1">
        <v>252500.0</v>
      </c>
      <c r="B2159" s="1" t="s">
        <v>185</v>
      </c>
      <c r="C2159" s="1" t="str">
        <f>"08745425"</f>
        <v>08745425</v>
      </c>
      <c r="D2159" s="1" t="s">
        <v>186</v>
      </c>
      <c r="F2159" s="1" t="str">
        <f>"174"</f>
        <v>174</v>
      </c>
      <c r="G2159" s="2">
        <v>41917.0</v>
      </c>
      <c r="H2159" s="1">
        <v>279900.0</v>
      </c>
      <c r="I2159" s="1">
        <v>169.0</v>
      </c>
      <c r="J2159" s="1">
        <v>264900.0</v>
      </c>
      <c r="K2159" s="2">
        <v>42084.0</v>
      </c>
      <c r="L2159" s="1">
        <v>169.0</v>
      </c>
      <c r="M2159" s="2">
        <v>42084.0</v>
      </c>
      <c r="N2159" s="1" t="s">
        <v>187</v>
      </c>
      <c r="O2159" s="2">
        <v>42125.0</v>
      </c>
      <c r="P2159" s="1">
        <v>1661.0</v>
      </c>
      <c r="Q2159" s="1">
        <v>30.0</v>
      </c>
      <c r="R2159" s="1">
        <v>5000.0</v>
      </c>
      <c r="S2159" s="1">
        <v>919.0</v>
      </c>
      <c r="T2159" s="1" t="s">
        <v>20197</v>
      </c>
      <c r="U2159" s="1" t="s">
        <v>320</v>
      </c>
      <c r="V2159" s="1" t="s">
        <v>1200</v>
      </c>
      <c r="W2159" s="1">
        <v>60174.0</v>
      </c>
      <c r="Y2159" s="1" t="s">
        <v>20198</v>
      </c>
      <c r="Z2159" s="1">
        <v>1969.0</v>
      </c>
      <c r="AA2159" s="1" t="s">
        <v>192</v>
      </c>
      <c r="AB2159" s="1" t="s">
        <v>193</v>
      </c>
      <c r="AC2159" s="1" t="s">
        <v>20199</v>
      </c>
      <c r="AD2159" s="1" t="s">
        <v>1203</v>
      </c>
      <c r="AE2159" s="1" t="s">
        <v>325</v>
      </c>
      <c r="AF2159" s="1" t="s">
        <v>1203</v>
      </c>
      <c r="AH2159" s="1" t="s">
        <v>3421</v>
      </c>
      <c r="AK2159" s="1">
        <v>9.0</v>
      </c>
      <c r="AL2159" s="1">
        <v>4.0</v>
      </c>
      <c r="AM2159" s="1">
        <v>2.0</v>
      </c>
      <c r="AN2159" s="1">
        <v>1.0</v>
      </c>
      <c r="AO2159" s="1" t="s">
        <v>198</v>
      </c>
      <c r="AP2159" s="1">
        <v>1.0</v>
      </c>
      <c r="AQ2159" s="1" t="s">
        <v>198</v>
      </c>
      <c r="AR2159" s="1" t="s">
        <v>200</v>
      </c>
      <c r="AS2159" s="1" t="s">
        <v>199</v>
      </c>
      <c r="AT2159" s="1">
        <v>2.0</v>
      </c>
      <c r="AV2159" s="1" t="s">
        <v>200</v>
      </c>
      <c r="AW2159" s="1">
        <v>7344.42</v>
      </c>
      <c r="AX2159" s="1">
        <v>2013.0</v>
      </c>
      <c r="AY2159" s="1" t="s">
        <v>387</v>
      </c>
      <c r="AZ2159" s="1" t="s">
        <v>200</v>
      </c>
      <c r="BA2159" s="1" t="str">
        <f>"0933426030"</f>
        <v>0933426030</v>
      </c>
      <c r="BB2159" s="1" t="s">
        <v>200</v>
      </c>
      <c r="BC2159" s="1">
        <v>2212.0</v>
      </c>
      <c r="BD2159" s="1">
        <v>252500.0</v>
      </c>
      <c r="BE2159" s="2">
        <v>41916.0</v>
      </c>
      <c r="BF2159" s="2" t="s">
        <v>20200</v>
      </c>
      <c r="BG2159" s="1" t="s">
        <v>5991</v>
      </c>
      <c r="BH2159" s="1">
        <v>0.0</v>
      </c>
      <c r="BI2159" s="1" t="s">
        <v>2199</v>
      </c>
      <c r="BJ2159" s="1" t="s">
        <v>2144</v>
      </c>
      <c r="BK2159" s="1" t="s">
        <v>204</v>
      </c>
      <c r="BL2159" s="1" t="str">
        <f t="shared" ref="BL2159:BM2159" si="1414">""</f>
        <v/>
      </c>
      <c r="BM2159" s="1" t="str">
        <f t="shared" si="1414"/>
        <v/>
      </c>
      <c r="BQ2159" s="1">
        <v>303.0</v>
      </c>
      <c r="BR2159" s="1">
        <v>303.0</v>
      </c>
      <c r="BS2159" s="1">
        <v>303.0</v>
      </c>
      <c r="BU2159" s="1" t="s">
        <v>1000</v>
      </c>
      <c r="BV2159" s="1" t="s">
        <v>206</v>
      </c>
      <c r="BW2159" s="1" t="s">
        <v>210</v>
      </c>
      <c r="BY2159" s="1" t="s">
        <v>390</v>
      </c>
      <c r="BZ2159" s="1" t="s">
        <v>209</v>
      </c>
      <c r="CA2159" s="1" t="s">
        <v>207</v>
      </c>
      <c r="CC2159" s="1" t="s">
        <v>332</v>
      </c>
      <c r="CD2159" s="1" t="s">
        <v>206</v>
      </c>
      <c r="CE2159" s="1" t="s">
        <v>210</v>
      </c>
      <c r="CG2159" s="1" t="s">
        <v>729</v>
      </c>
      <c r="CH2159" s="1" t="s">
        <v>209</v>
      </c>
      <c r="CI2159" s="1" t="s">
        <v>207</v>
      </c>
      <c r="CK2159" s="1" t="s">
        <v>332</v>
      </c>
      <c r="CL2159" s="1" t="s">
        <v>209</v>
      </c>
      <c r="CM2159" s="1" t="s">
        <v>207</v>
      </c>
      <c r="CO2159" s="1" t="s">
        <v>495</v>
      </c>
      <c r="CP2159" s="1" t="s">
        <v>209</v>
      </c>
      <c r="CQ2159" s="1" t="s">
        <v>207</v>
      </c>
      <c r="CS2159" s="1" t="s">
        <v>1875</v>
      </c>
      <c r="CT2159" s="1" t="s">
        <v>206</v>
      </c>
      <c r="CU2159" s="1" t="s">
        <v>617</v>
      </c>
      <c r="CW2159" s="1" t="s">
        <v>1000</v>
      </c>
      <c r="CX2159" s="1" t="s">
        <v>206</v>
      </c>
      <c r="CY2159" s="1" t="s">
        <v>207</v>
      </c>
      <c r="DA2159" s="1" t="s">
        <v>200</v>
      </c>
      <c r="DC2159" s="1" t="s">
        <v>517</v>
      </c>
      <c r="DD2159" s="1" t="s">
        <v>396</v>
      </c>
      <c r="DE2159" s="1" t="s">
        <v>273</v>
      </c>
      <c r="DF2159" s="1" t="s">
        <v>219</v>
      </c>
      <c r="DG2159" s="1" t="s">
        <v>337</v>
      </c>
      <c r="DH2159" s="1" t="s">
        <v>220</v>
      </c>
      <c r="DI2159" s="1" t="s">
        <v>959</v>
      </c>
      <c r="DJ2159" s="1" t="s">
        <v>222</v>
      </c>
      <c r="DL2159" s="1" t="s">
        <v>224</v>
      </c>
      <c r="DM2159" s="1" t="s">
        <v>1402</v>
      </c>
      <c r="DP2159" s="1" t="s">
        <v>340</v>
      </c>
      <c r="DQ2159" s="1" t="s">
        <v>228</v>
      </c>
      <c r="DR2159" s="1" t="s">
        <v>229</v>
      </c>
      <c r="DU2159" s="1" t="s">
        <v>3890</v>
      </c>
      <c r="DV2159" s="1" t="s">
        <v>3397</v>
      </c>
      <c r="DW2159" s="1" t="s">
        <v>370</v>
      </c>
      <c r="DX2159" s="1" t="s">
        <v>234</v>
      </c>
      <c r="DY2159" s="1" t="s">
        <v>704</v>
      </c>
      <c r="DZ2159" s="1" t="s">
        <v>1661</v>
      </c>
      <c r="EB2159" s="1" t="s">
        <v>767</v>
      </c>
      <c r="EC2159" s="1" t="s">
        <v>237</v>
      </c>
      <c r="ED2159" s="1" t="s">
        <v>407</v>
      </c>
      <c r="EE2159" s="1" t="s">
        <v>493</v>
      </c>
      <c r="EG2159" s="1" t="s">
        <v>450</v>
      </c>
      <c r="EH2159" s="1" t="s">
        <v>588</v>
      </c>
      <c r="EL2159" s="1" t="s">
        <v>5655</v>
      </c>
      <c r="EM2159" s="1" t="s">
        <v>42</v>
      </c>
      <c r="EN2159" s="1" t="s">
        <v>210</v>
      </c>
      <c r="EO2159" s="1" t="s">
        <v>1549</v>
      </c>
      <c r="EP2159" s="1" t="s">
        <v>2880</v>
      </c>
      <c r="EQ2159" s="1" t="s">
        <v>42</v>
      </c>
      <c r="ER2159" s="1" t="s">
        <v>210</v>
      </c>
      <c r="ES2159" s="1" t="s">
        <v>1549</v>
      </c>
      <c r="EU2159" s="1" t="s">
        <v>238</v>
      </c>
      <c r="EY2159" s="1" t="s">
        <v>238</v>
      </c>
      <c r="FC2159" s="1" t="s">
        <v>238</v>
      </c>
      <c r="FF2159" s="1" t="s">
        <v>239</v>
      </c>
      <c r="FG2159" s="1" t="s">
        <v>192</v>
      </c>
      <c r="FH2159" s="1" t="s">
        <v>192</v>
      </c>
      <c r="FJ2159" s="1" t="s">
        <v>9804</v>
      </c>
      <c r="FK2159" s="1" t="s">
        <v>229</v>
      </c>
      <c r="FL2159" s="1" t="s">
        <v>1007</v>
      </c>
      <c r="FM2159" s="1">
        <v>771.0</v>
      </c>
      <c r="FN2159" s="1" t="s">
        <v>1494</v>
      </c>
      <c r="FO2159" s="1" t="s">
        <v>9805</v>
      </c>
      <c r="FP2159" s="1">
        <v>189.0</v>
      </c>
      <c r="FQ2159" s="1" t="s">
        <v>9806</v>
      </c>
      <c r="FU2159" s="1" t="s">
        <v>1882</v>
      </c>
      <c r="FV2159" s="1" t="s">
        <v>200</v>
      </c>
      <c r="FW2159" s="1" t="s">
        <v>530</v>
      </c>
      <c r="FX2159" s="1" t="s">
        <v>655</v>
      </c>
      <c r="FZ2159" s="1" t="s">
        <v>229</v>
      </c>
      <c r="GA2159" s="1" t="s">
        <v>291</v>
      </c>
      <c r="GB2159" s="2">
        <v>42125.0</v>
      </c>
      <c r="GC2159" s="1" t="s">
        <v>20201</v>
      </c>
    </row>
    <row r="2160">
      <c r="A2160" s="1">
        <v>258000.0</v>
      </c>
      <c r="B2160" s="1" t="s">
        <v>185</v>
      </c>
      <c r="C2160" s="1" t="str">
        <f>"08743092"</f>
        <v>08743092</v>
      </c>
      <c r="D2160" s="1" t="s">
        <v>186</v>
      </c>
      <c r="F2160" s="1" t="str">
        <f>"8015"</f>
        <v>8015</v>
      </c>
      <c r="G2160" s="2">
        <v>41914.0</v>
      </c>
      <c r="H2160" s="1">
        <v>267500.0</v>
      </c>
      <c r="I2160" s="1">
        <v>77.0</v>
      </c>
      <c r="J2160" s="1">
        <v>267500.0</v>
      </c>
      <c r="K2160" s="2">
        <v>41988.0</v>
      </c>
      <c r="L2160" s="1">
        <v>77.0</v>
      </c>
      <c r="M2160" s="2">
        <v>41988.0</v>
      </c>
      <c r="N2160" s="1" t="s">
        <v>187</v>
      </c>
      <c r="O2160" s="2">
        <v>42086.0</v>
      </c>
      <c r="P2160" s="1">
        <v>144533.0</v>
      </c>
      <c r="Q2160" s="1">
        <v>18235.0</v>
      </c>
      <c r="S2160" s="1">
        <v>6243.0</v>
      </c>
      <c r="T2160" s="1" t="s">
        <v>2897</v>
      </c>
      <c r="U2160" s="1" t="s">
        <v>189</v>
      </c>
      <c r="V2160" s="1" t="s">
        <v>190</v>
      </c>
      <c r="W2160" s="1">
        <v>60634.0</v>
      </c>
      <c r="Y2160" s="1" t="s">
        <v>20202</v>
      </c>
      <c r="Z2160" s="1">
        <v>1911.0</v>
      </c>
      <c r="AA2160" s="1" t="s">
        <v>192</v>
      </c>
      <c r="AB2160" s="1" t="s">
        <v>193</v>
      </c>
      <c r="AD2160" s="1" t="s">
        <v>194</v>
      </c>
      <c r="AE2160" s="1" t="s">
        <v>195</v>
      </c>
      <c r="AF2160" s="1" t="s">
        <v>196</v>
      </c>
      <c r="AH2160" s="1">
        <v>3750.0</v>
      </c>
      <c r="AI2160" s="1">
        <v>0.0861</v>
      </c>
      <c r="AK2160" s="1">
        <v>8.0</v>
      </c>
      <c r="AL2160" s="1">
        <v>4.0</v>
      </c>
      <c r="AM2160" s="1">
        <v>3.0</v>
      </c>
      <c r="AN2160" s="1">
        <v>0.0</v>
      </c>
      <c r="AO2160" s="1" t="s">
        <v>198</v>
      </c>
      <c r="AQ2160" s="1" t="s">
        <v>198</v>
      </c>
      <c r="AR2160" s="1" t="s">
        <v>192</v>
      </c>
      <c r="AS2160" s="1" t="s">
        <v>199</v>
      </c>
      <c r="AT2160" s="1">
        <v>3.0</v>
      </c>
      <c r="AV2160" s="1" t="s">
        <v>200</v>
      </c>
      <c r="AW2160" s="1">
        <v>4669.72</v>
      </c>
      <c r="AX2160" s="1">
        <v>2012.0</v>
      </c>
      <c r="AZ2160" s="1" t="s">
        <v>200</v>
      </c>
      <c r="BA2160" s="1" t="str">
        <f>"13173120060000"</f>
        <v>13173120060000</v>
      </c>
      <c r="BC2160" s="1">
        <v>0.0</v>
      </c>
      <c r="BD2160" s="1">
        <v>258000.0</v>
      </c>
      <c r="BE2160" s="2">
        <v>41912.0</v>
      </c>
      <c r="BF2160" s="2" t="s">
        <v>20203</v>
      </c>
      <c r="BH2160" s="1">
        <v>0.0</v>
      </c>
      <c r="BK2160" s="1" t="s">
        <v>204</v>
      </c>
      <c r="BL2160" s="1" t="str">
        <f>"3800"</f>
        <v>3800</v>
      </c>
      <c r="BM2160" s="1" t="str">
        <f>"0"</f>
        <v>0</v>
      </c>
      <c r="BN2160" s="1">
        <v>6243.0</v>
      </c>
      <c r="BO2160" s="1">
        <v>0.0</v>
      </c>
      <c r="BQ2160" s="1">
        <v>299.0</v>
      </c>
      <c r="BR2160" s="1">
        <v>299.0</v>
      </c>
      <c r="BS2160" s="1">
        <v>299.0</v>
      </c>
      <c r="BU2160" s="1" t="s">
        <v>663</v>
      </c>
      <c r="BV2160" s="1" t="s">
        <v>206</v>
      </c>
      <c r="BY2160" s="1" t="s">
        <v>784</v>
      </c>
      <c r="BZ2160" s="1" t="s">
        <v>209</v>
      </c>
      <c r="CC2160" s="1" t="s">
        <v>495</v>
      </c>
      <c r="CD2160" s="1" t="s">
        <v>206</v>
      </c>
      <c r="CG2160" s="1" t="s">
        <v>302</v>
      </c>
      <c r="CH2160" s="1" t="s">
        <v>206</v>
      </c>
      <c r="CK2160" s="1" t="s">
        <v>303</v>
      </c>
      <c r="CL2160" s="1" t="s">
        <v>206</v>
      </c>
      <c r="CO2160" s="1" t="s">
        <v>363</v>
      </c>
      <c r="CP2160" s="1" t="s">
        <v>206</v>
      </c>
      <c r="CS2160" s="1" t="s">
        <v>784</v>
      </c>
      <c r="CT2160" s="1" t="s">
        <v>206</v>
      </c>
      <c r="CX2160" s="1" t="s">
        <v>204</v>
      </c>
      <c r="DA2160" s="1" t="s">
        <v>200</v>
      </c>
      <c r="DC2160" s="1" t="s">
        <v>642</v>
      </c>
      <c r="DE2160" s="1" t="s">
        <v>273</v>
      </c>
      <c r="DF2160" s="1" t="s">
        <v>219</v>
      </c>
      <c r="DH2160" s="1" t="s">
        <v>365</v>
      </c>
      <c r="DJ2160" s="1" t="s">
        <v>222</v>
      </c>
      <c r="DL2160" s="1" t="s">
        <v>858</v>
      </c>
      <c r="DM2160" s="1" t="s">
        <v>229</v>
      </c>
      <c r="DQ2160" s="1" t="s">
        <v>228</v>
      </c>
      <c r="DR2160" s="1" t="s">
        <v>229</v>
      </c>
      <c r="DV2160" s="1" t="s">
        <v>1407</v>
      </c>
      <c r="DW2160" s="1" t="s">
        <v>279</v>
      </c>
      <c r="DX2160" s="1" t="s">
        <v>234</v>
      </c>
      <c r="DY2160" s="1" t="s">
        <v>833</v>
      </c>
      <c r="EC2160" s="1" t="s">
        <v>645</v>
      </c>
      <c r="EG2160" s="1" t="s">
        <v>1407</v>
      </c>
      <c r="EL2160" s="1" t="s">
        <v>300</v>
      </c>
      <c r="EM2160" s="1" t="s">
        <v>209</v>
      </c>
      <c r="EQ2160" s="1" t="s">
        <v>238</v>
      </c>
      <c r="EU2160" s="1" t="s">
        <v>238</v>
      </c>
      <c r="EY2160" s="1" t="s">
        <v>238</v>
      </c>
      <c r="FC2160" s="1" t="s">
        <v>238</v>
      </c>
      <c r="FF2160" s="1" t="s">
        <v>239</v>
      </c>
      <c r="FG2160" s="1" t="s">
        <v>192</v>
      </c>
      <c r="FH2160" s="1" t="s">
        <v>192</v>
      </c>
      <c r="FJ2160" s="1" t="s">
        <v>770</v>
      </c>
      <c r="FK2160" s="1" t="s">
        <v>601</v>
      </c>
      <c r="FL2160" s="1" t="s">
        <v>2705</v>
      </c>
      <c r="FM2160" s="1">
        <v>24072.0</v>
      </c>
      <c r="FN2160" s="1" t="s">
        <v>2706</v>
      </c>
      <c r="FO2160" s="1" t="s">
        <v>2707</v>
      </c>
      <c r="FP2160" s="1">
        <v>222267.0</v>
      </c>
      <c r="FQ2160" s="1" t="s">
        <v>2706</v>
      </c>
      <c r="FS2160" s="1" t="s">
        <v>20204</v>
      </c>
      <c r="FU2160" s="1" t="s">
        <v>885</v>
      </c>
      <c r="FV2160" s="1" t="s">
        <v>200</v>
      </c>
      <c r="FW2160" s="1" t="s">
        <v>290</v>
      </c>
      <c r="FX2160" s="1" t="s">
        <v>246</v>
      </c>
      <c r="FZ2160" s="1" t="s">
        <v>229</v>
      </c>
      <c r="GA2160" s="1" t="s">
        <v>291</v>
      </c>
      <c r="GB2160" s="2">
        <v>42088.0</v>
      </c>
      <c r="GC2160" s="1" t="s">
        <v>20205</v>
      </c>
    </row>
    <row r="2161">
      <c r="A2161" s="1">
        <v>518400.0</v>
      </c>
      <c r="B2161" s="1" t="s">
        <v>185</v>
      </c>
      <c r="C2161" s="1" t="str">
        <f>"08742957"</f>
        <v>08742957</v>
      </c>
      <c r="D2161" s="1" t="s">
        <v>186</v>
      </c>
      <c r="F2161" s="1" t="str">
        <f>"560"</f>
        <v>560</v>
      </c>
      <c r="G2161" s="2">
        <v>41914.0</v>
      </c>
      <c r="H2161" s="1">
        <v>549000.0</v>
      </c>
      <c r="I2161" s="1">
        <v>198.0</v>
      </c>
      <c r="J2161" s="1">
        <v>549000.0</v>
      </c>
      <c r="K2161" s="2">
        <v>42012.0</v>
      </c>
      <c r="L2161" s="1">
        <v>99.0</v>
      </c>
      <c r="M2161" s="2">
        <v>42012.0</v>
      </c>
      <c r="N2161" s="1" t="s">
        <v>187</v>
      </c>
      <c r="O2161" s="2">
        <v>42062.0</v>
      </c>
      <c r="P2161" s="1">
        <v>222996.0</v>
      </c>
      <c r="Q2161" s="1">
        <v>22588.0</v>
      </c>
      <c r="S2161" s="1">
        <v>91.0</v>
      </c>
      <c r="T2161" s="1" t="s">
        <v>20206</v>
      </c>
      <c r="U2161" s="1" t="s">
        <v>569</v>
      </c>
      <c r="V2161" s="1" t="s">
        <v>2664</v>
      </c>
      <c r="W2161" s="1">
        <v>60512.0</v>
      </c>
      <c r="Y2161" s="1" t="s">
        <v>20207</v>
      </c>
      <c r="Z2161" s="1">
        <v>1998.0</v>
      </c>
      <c r="AA2161" s="1" t="s">
        <v>200</v>
      </c>
      <c r="AB2161" s="1" t="s">
        <v>193</v>
      </c>
      <c r="AC2161" s="1" t="s">
        <v>12325</v>
      </c>
      <c r="AD2161" s="1" t="s">
        <v>1312</v>
      </c>
      <c r="AE2161" s="1" t="s">
        <v>849</v>
      </c>
      <c r="AF2161" s="1" t="s">
        <v>1312</v>
      </c>
      <c r="AG2161" s="1" t="s">
        <v>752</v>
      </c>
      <c r="AH2161" s="1" t="s">
        <v>20208</v>
      </c>
      <c r="AI2161" s="1">
        <v>1.25</v>
      </c>
      <c r="AK2161" s="1">
        <v>13.0</v>
      </c>
      <c r="AL2161" s="1">
        <v>4.0</v>
      </c>
      <c r="AM2161" s="1">
        <v>3.0</v>
      </c>
      <c r="AN2161" s="1">
        <v>2.0</v>
      </c>
      <c r="AO2161" s="1" t="s">
        <v>198</v>
      </c>
      <c r="AP2161" s="1">
        <v>1.0</v>
      </c>
      <c r="AQ2161" s="1" t="s">
        <v>198</v>
      </c>
      <c r="AR2161" s="1" t="s">
        <v>200</v>
      </c>
      <c r="AS2161" s="1" t="s">
        <v>199</v>
      </c>
      <c r="AT2161" s="1">
        <v>3.5</v>
      </c>
      <c r="AV2161" s="1" t="s">
        <v>200</v>
      </c>
      <c r="AW2161" s="1">
        <v>12866.0</v>
      </c>
      <c r="AX2161" s="1">
        <v>2013.0</v>
      </c>
      <c r="AY2161" s="1" t="s">
        <v>1179</v>
      </c>
      <c r="AZ2161" s="1" t="s">
        <v>200</v>
      </c>
      <c r="BA2161" s="1" t="str">
        <f>"0215276010"</f>
        <v>0215276010</v>
      </c>
      <c r="BB2161" s="1" t="s">
        <v>200</v>
      </c>
      <c r="BC2161" s="1">
        <v>4170.0</v>
      </c>
      <c r="BD2161" s="1">
        <v>518400.0</v>
      </c>
      <c r="BE2161" s="2">
        <v>41914.0</v>
      </c>
      <c r="BF2161" s="2" t="s">
        <v>20209</v>
      </c>
      <c r="BG2161" s="1" t="s">
        <v>5667</v>
      </c>
      <c r="BH2161" s="1">
        <v>0.0</v>
      </c>
      <c r="BI2161" s="1" t="s">
        <v>3052</v>
      </c>
      <c r="BJ2161" s="1" t="s">
        <v>3053</v>
      </c>
      <c r="BK2161" s="1" t="s">
        <v>204</v>
      </c>
      <c r="BL2161" s="1" t="str">
        <f t="shared" ref="BL2161:BM2161" si="1415">""</f>
        <v/>
      </c>
      <c r="BM2161" s="1" t="str">
        <f t="shared" si="1415"/>
        <v/>
      </c>
      <c r="BQ2161" s="1">
        <v>115.0</v>
      </c>
      <c r="BR2161" s="1">
        <v>115.0</v>
      </c>
      <c r="BS2161" s="1">
        <v>115.0</v>
      </c>
      <c r="BV2161" s="1" t="s">
        <v>204</v>
      </c>
      <c r="BY2161" s="1" t="s">
        <v>496</v>
      </c>
      <c r="BZ2161" s="1" t="s">
        <v>206</v>
      </c>
      <c r="CA2161" s="1" t="s">
        <v>210</v>
      </c>
      <c r="CB2161" s="1" t="s">
        <v>239</v>
      </c>
      <c r="CC2161" s="1" t="s">
        <v>830</v>
      </c>
      <c r="CD2161" s="1" t="s">
        <v>206</v>
      </c>
      <c r="CE2161" s="1" t="s">
        <v>210</v>
      </c>
      <c r="CF2161" s="1" t="s">
        <v>239</v>
      </c>
      <c r="CG2161" s="1" t="s">
        <v>830</v>
      </c>
      <c r="CH2161" s="1" t="s">
        <v>209</v>
      </c>
      <c r="CI2161" s="1" t="s">
        <v>210</v>
      </c>
      <c r="CJ2161" s="1" t="s">
        <v>239</v>
      </c>
      <c r="CK2161" s="1" t="s">
        <v>1064</v>
      </c>
      <c r="CL2161" s="1" t="s">
        <v>209</v>
      </c>
      <c r="CM2161" s="1" t="s">
        <v>210</v>
      </c>
      <c r="CN2161" s="1" t="s">
        <v>239</v>
      </c>
      <c r="CO2161" s="1" t="s">
        <v>830</v>
      </c>
      <c r="CP2161" s="1" t="s">
        <v>209</v>
      </c>
      <c r="CQ2161" s="1" t="s">
        <v>210</v>
      </c>
      <c r="CR2161" s="1" t="s">
        <v>239</v>
      </c>
      <c r="CS2161" s="1" t="s">
        <v>1567</v>
      </c>
      <c r="CT2161" s="1" t="s">
        <v>206</v>
      </c>
      <c r="CU2161" s="1" t="s">
        <v>207</v>
      </c>
      <c r="CV2161" s="1" t="s">
        <v>239</v>
      </c>
      <c r="CW2161" s="1" t="s">
        <v>20210</v>
      </c>
      <c r="CX2161" s="1" t="s">
        <v>206</v>
      </c>
      <c r="CY2161" s="1" t="s">
        <v>210</v>
      </c>
      <c r="CZ2161" s="1" t="s">
        <v>239</v>
      </c>
      <c r="DA2161" s="1" t="s">
        <v>200</v>
      </c>
      <c r="DC2161" s="1" t="s">
        <v>678</v>
      </c>
      <c r="DD2161" s="1" t="s">
        <v>4137</v>
      </c>
      <c r="DE2161" s="1" t="s">
        <v>1810</v>
      </c>
      <c r="DF2161" s="1" t="s">
        <v>1811</v>
      </c>
      <c r="DG2161" s="1" t="s">
        <v>1553</v>
      </c>
      <c r="DH2161" s="1" t="s">
        <v>856</v>
      </c>
      <c r="DI2161" s="1" t="s">
        <v>20211</v>
      </c>
      <c r="DJ2161" s="1" t="s">
        <v>857</v>
      </c>
      <c r="DL2161" s="1" t="s">
        <v>858</v>
      </c>
      <c r="DM2161" s="1" t="s">
        <v>20212</v>
      </c>
      <c r="DN2161" s="1" t="s">
        <v>20213</v>
      </c>
      <c r="DO2161" s="1" t="s">
        <v>20214</v>
      </c>
      <c r="DP2161" s="1" t="s">
        <v>340</v>
      </c>
      <c r="DQ2161" s="1" t="s">
        <v>931</v>
      </c>
      <c r="DR2161" s="1" t="s">
        <v>229</v>
      </c>
      <c r="DS2161" s="1" t="s">
        <v>368</v>
      </c>
      <c r="DU2161" s="1" t="s">
        <v>20215</v>
      </c>
      <c r="DV2161" s="1" t="s">
        <v>20216</v>
      </c>
      <c r="DW2161" s="1" t="s">
        <v>764</v>
      </c>
      <c r="DX2161" s="1" t="s">
        <v>5015</v>
      </c>
      <c r="DY2161" s="1" t="s">
        <v>7595</v>
      </c>
      <c r="DZ2161" s="1" t="s">
        <v>1466</v>
      </c>
      <c r="EA2161" s="1" t="s">
        <v>1075</v>
      </c>
      <c r="EB2161" s="1" t="s">
        <v>492</v>
      </c>
      <c r="EC2161" s="1" t="s">
        <v>237</v>
      </c>
      <c r="ED2161" s="1" t="s">
        <v>864</v>
      </c>
      <c r="EE2161" s="1" t="s">
        <v>493</v>
      </c>
      <c r="EG2161" s="1" t="s">
        <v>556</v>
      </c>
      <c r="EH2161" s="1" t="s">
        <v>494</v>
      </c>
      <c r="EI2161" s="1" t="s">
        <v>557</v>
      </c>
      <c r="EJ2161" s="1" t="s">
        <v>450</v>
      </c>
      <c r="EK2161" s="1" t="s">
        <v>1491</v>
      </c>
      <c r="EL2161" s="1" t="s">
        <v>363</v>
      </c>
      <c r="EM2161" s="1" t="s">
        <v>206</v>
      </c>
      <c r="EN2161" s="1" t="s">
        <v>207</v>
      </c>
      <c r="EP2161" s="1" t="s">
        <v>433</v>
      </c>
      <c r="EQ2161" s="1" t="s">
        <v>206</v>
      </c>
      <c r="ER2161" s="1" t="s">
        <v>210</v>
      </c>
      <c r="ES2161" s="1" t="s">
        <v>239</v>
      </c>
      <c r="ET2161" s="1" t="s">
        <v>730</v>
      </c>
      <c r="EU2161" s="1" t="s">
        <v>209</v>
      </c>
      <c r="EV2161" s="1" t="s">
        <v>210</v>
      </c>
      <c r="EX2161" s="1" t="s">
        <v>2800</v>
      </c>
      <c r="EY2161" s="1" t="s">
        <v>42</v>
      </c>
      <c r="EZ2161" s="1" t="s">
        <v>210</v>
      </c>
      <c r="FB2161" s="1" t="s">
        <v>4918</v>
      </c>
      <c r="FC2161" s="1" t="s">
        <v>42</v>
      </c>
      <c r="FD2161" s="1" t="s">
        <v>588</v>
      </c>
      <c r="FF2161" s="1" t="s">
        <v>239</v>
      </c>
      <c r="FG2161" s="1" t="s">
        <v>192</v>
      </c>
      <c r="FH2161" s="1" t="s">
        <v>192</v>
      </c>
      <c r="FJ2161" s="1" t="s">
        <v>14504</v>
      </c>
      <c r="FK2161" s="1" t="s">
        <v>348</v>
      </c>
      <c r="FL2161" s="1" t="s">
        <v>456</v>
      </c>
      <c r="FM2161" s="1">
        <v>23156.0</v>
      </c>
      <c r="FN2161" s="1" t="s">
        <v>2553</v>
      </c>
      <c r="FO2161" s="1" t="s">
        <v>16976</v>
      </c>
      <c r="FP2161" s="1">
        <v>217201.0</v>
      </c>
      <c r="FQ2161" s="1" t="s">
        <v>16977</v>
      </c>
      <c r="FS2161" s="1" t="s">
        <v>16978</v>
      </c>
      <c r="FU2161" s="1" t="s">
        <v>20217</v>
      </c>
      <c r="FV2161" s="1" t="s">
        <v>200</v>
      </c>
      <c r="FW2161" s="1" t="s">
        <v>20218</v>
      </c>
      <c r="FX2161" s="1" t="s">
        <v>238</v>
      </c>
      <c r="FZ2161" s="1" t="s">
        <v>229</v>
      </c>
      <c r="GA2161" s="1" t="s">
        <v>291</v>
      </c>
      <c r="GB2161" s="2">
        <v>42062.0</v>
      </c>
      <c r="GC2161" s="1" t="s">
        <v>20219</v>
      </c>
    </row>
    <row r="2162">
      <c r="A2162" s="1">
        <v>1300000.0</v>
      </c>
      <c r="B2162" s="1" t="s">
        <v>185</v>
      </c>
      <c r="C2162" s="1" t="str">
        <f>"08746603"</f>
        <v>08746603</v>
      </c>
      <c r="D2162" s="1" t="s">
        <v>186</v>
      </c>
      <c r="F2162" s="1" t="str">
        <f>"8024"</f>
        <v>8024</v>
      </c>
      <c r="G2162" s="2">
        <v>41918.0</v>
      </c>
      <c r="H2162" s="1">
        <v>1399000.0</v>
      </c>
      <c r="I2162" s="1">
        <v>23.0</v>
      </c>
      <c r="J2162" s="1">
        <v>1350000.0</v>
      </c>
      <c r="K2162" s="2">
        <v>41940.0</v>
      </c>
      <c r="L2162" s="1">
        <v>23.0</v>
      </c>
      <c r="M2162" s="2">
        <v>41940.0</v>
      </c>
      <c r="N2162" s="1" t="s">
        <v>187</v>
      </c>
      <c r="O2162" s="2">
        <v>42025.0</v>
      </c>
      <c r="P2162" s="1">
        <v>129969.0</v>
      </c>
      <c r="Q2162" s="1">
        <v>16379.0</v>
      </c>
      <c r="S2162" s="1">
        <v>1753.0</v>
      </c>
      <c r="T2162" s="1" t="s">
        <v>20220</v>
      </c>
      <c r="U2162" s="1" t="s">
        <v>320</v>
      </c>
      <c r="V2162" s="1" t="s">
        <v>190</v>
      </c>
      <c r="W2162" s="1">
        <v>60622.0</v>
      </c>
      <c r="Y2162" s="1" t="s">
        <v>20221</v>
      </c>
      <c r="Z2162" s="1">
        <v>2014.0</v>
      </c>
      <c r="AA2162" s="1" t="s">
        <v>200</v>
      </c>
      <c r="AB2162" s="1" t="s">
        <v>467</v>
      </c>
      <c r="AD2162" s="1" t="s">
        <v>194</v>
      </c>
      <c r="AE2162" s="1" t="s">
        <v>195</v>
      </c>
      <c r="AF2162" s="1" t="s">
        <v>827</v>
      </c>
      <c r="AH2162" s="1" t="s">
        <v>20222</v>
      </c>
      <c r="AI2162" s="1">
        <v>0.0689</v>
      </c>
      <c r="AK2162" s="1">
        <v>9.0</v>
      </c>
      <c r="AL2162" s="1">
        <v>4.0</v>
      </c>
      <c r="AM2162" s="1">
        <v>3.0</v>
      </c>
      <c r="AN2162" s="1">
        <v>1.0</v>
      </c>
      <c r="AO2162" s="1" t="s">
        <v>198</v>
      </c>
      <c r="AP2162" s="1">
        <v>1.0</v>
      </c>
      <c r="AQ2162" s="1" t="s">
        <v>472</v>
      </c>
      <c r="AR2162" s="1" t="s">
        <v>192</v>
      </c>
      <c r="AS2162" s="1" t="s">
        <v>199</v>
      </c>
      <c r="AT2162" s="1">
        <v>2.0</v>
      </c>
      <c r="AV2162" s="1" t="s">
        <v>200</v>
      </c>
      <c r="AW2162" s="1" t="s">
        <v>575</v>
      </c>
      <c r="AX2162" s="1">
        <v>2012.0</v>
      </c>
      <c r="AZ2162" s="1" t="s">
        <v>200</v>
      </c>
      <c r="BA2162" s="1" t="str">
        <f>"17062340030000"</f>
        <v>17062340030000</v>
      </c>
      <c r="BB2162" s="1" t="s">
        <v>200</v>
      </c>
      <c r="BC2162" s="1">
        <v>0.0</v>
      </c>
      <c r="BD2162" s="1">
        <v>1300000.0</v>
      </c>
      <c r="BE2162" s="2">
        <v>41918.0</v>
      </c>
      <c r="BF2162" s="1" t="s">
        <v>20223</v>
      </c>
      <c r="BH2162" s="1">
        <v>0.0</v>
      </c>
      <c r="BK2162" s="1" t="s">
        <v>204</v>
      </c>
      <c r="BL2162" s="1" t="str">
        <f>"1250"</f>
        <v>1250</v>
      </c>
      <c r="BM2162" s="1" t="str">
        <f>"0"</f>
        <v>0</v>
      </c>
      <c r="BN2162" s="1">
        <v>1700.0</v>
      </c>
      <c r="BO2162" s="1">
        <v>0.0</v>
      </c>
      <c r="BQ2162" s="1">
        <v>299.0</v>
      </c>
      <c r="BR2162" s="1">
        <v>299.0</v>
      </c>
      <c r="BS2162" s="1">
        <v>299.0</v>
      </c>
      <c r="BU2162" s="1" t="s">
        <v>393</v>
      </c>
      <c r="BV2162" s="1" t="s">
        <v>206</v>
      </c>
      <c r="BW2162" s="1" t="s">
        <v>207</v>
      </c>
      <c r="BY2162" s="1" t="s">
        <v>480</v>
      </c>
      <c r="BZ2162" s="1" t="s">
        <v>209</v>
      </c>
      <c r="CA2162" s="1" t="s">
        <v>207</v>
      </c>
      <c r="CC2162" s="1" t="s">
        <v>516</v>
      </c>
      <c r="CD2162" s="1" t="s">
        <v>206</v>
      </c>
      <c r="CE2162" s="1" t="s">
        <v>207</v>
      </c>
      <c r="CG2162" s="1" t="s">
        <v>331</v>
      </c>
      <c r="CH2162" s="1" t="s">
        <v>209</v>
      </c>
      <c r="CI2162" s="1" t="s">
        <v>207</v>
      </c>
      <c r="CK2162" s="1" t="s">
        <v>264</v>
      </c>
      <c r="CL2162" s="1" t="s">
        <v>209</v>
      </c>
      <c r="CM2162" s="1" t="s">
        <v>207</v>
      </c>
      <c r="CO2162" s="1" t="s">
        <v>392</v>
      </c>
      <c r="CP2162" s="1" t="s">
        <v>267</v>
      </c>
      <c r="CQ2162" s="1" t="s">
        <v>210</v>
      </c>
      <c r="CS2162" s="1" t="s">
        <v>2441</v>
      </c>
      <c r="CT2162" s="1" t="s">
        <v>206</v>
      </c>
      <c r="CU2162" s="1" t="s">
        <v>207</v>
      </c>
      <c r="CW2162" s="1" t="s">
        <v>362</v>
      </c>
      <c r="CX2162" s="1" t="s">
        <v>206</v>
      </c>
      <c r="DA2162" s="1" t="s">
        <v>192</v>
      </c>
      <c r="DB2162" s="2">
        <v>41992.0</v>
      </c>
      <c r="DC2162" s="1" t="s">
        <v>1353</v>
      </c>
      <c r="DD2162" s="1" t="s">
        <v>436</v>
      </c>
      <c r="DE2162" s="1" t="s">
        <v>273</v>
      </c>
      <c r="DF2162" s="1" t="s">
        <v>1931</v>
      </c>
      <c r="DH2162" s="1" t="s">
        <v>220</v>
      </c>
      <c r="DJ2162" s="1" t="s">
        <v>222</v>
      </c>
      <c r="DL2162" s="1" t="s">
        <v>224</v>
      </c>
      <c r="DM2162" s="1" t="s">
        <v>1247</v>
      </c>
      <c r="DN2162" s="1" t="s">
        <v>2873</v>
      </c>
      <c r="DQ2162" s="1" t="s">
        <v>718</v>
      </c>
      <c r="DR2162" s="1" t="s">
        <v>229</v>
      </c>
      <c r="DU2162" s="1" t="s">
        <v>4671</v>
      </c>
      <c r="DV2162" s="1" t="s">
        <v>450</v>
      </c>
      <c r="DW2162" s="1" t="s">
        <v>279</v>
      </c>
      <c r="DX2162" s="1" t="s">
        <v>234</v>
      </c>
      <c r="DY2162" s="1" t="s">
        <v>2972</v>
      </c>
      <c r="EB2162" s="1" t="s">
        <v>492</v>
      </c>
      <c r="EC2162" s="1" t="s">
        <v>237</v>
      </c>
      <c r="EH2162" s="1" t="s">
        <v>450</v>
      </c>
      <c r="EM2162" s="1" t="s">
        <v>238</v>
      </c>
      <c r="EP2162" s="1" t="s">
        <v>676</v>
      </c>
      <c r="EQ2162" s="1" t="s">
        <v>267</v>
      </c>
      <c r="ER2162" s="1" t="s">
        <v>210</v>
      </c>
      <c r="EU2162" s="1" t="s">
        <v>238</v>
      </c>
      <c r="EY2162" s="1" t="s">
        <v>238</v>
      </c>
      <c r="FC2162" s="1" t="s">
        <v>238</v>
      </c>
      <c r="FF2162" s="1" t="s">
        <v>239</v>
      </c>
      <c r="FG2162" s="1" t="s">
        <v>192</v>
      </c>
      <c r="FH2162" s="1" t="s">
        <v>192</v>
      </c>
      <c r="FJ2162" s="1" t="s">
        <v>2427</v>
      </c>
      <c r="FK2162" s="1" t="s">
        <v>348</v>
      </c>
      <c r="FL2162" s="1" t="s">
        <v>20224</v>
      </c>
      <c r="FM2162" s="1">
        <v>11047.0</v>
      </c>
      <c r="FN2162" s="1" t="s">
        <v>20225</v>
      </c>
      <c r="FO2162" s="1" t="s">
        <v>20226</v>
      </c>
      <c r="FP2162" s="1">
        <v>113744.0</v>
      </c>
      <c r="FQ2162" s="1" t="s">
        <v>20227</v>
      </c>
      <c r="FU2162" s="1" t="s">
        <v>20228</v>
      </c>
      <c r="FV2162" s="1" t="s">
        <v>200</v>
      </c>
      <c r="FW2162" s="1" t="s">
        <v>290</v>
      </c>
      <c r="FX2162" s="1" t="s">
        <v>246</v>
      </c>
      <c r="FZ2162" s="1" t="s">
        <v>229</v>
      </c>
      <c r="GA2162" s="1" t="s">
        <v>291</v>
      </c>
      <c r="GB2162" s="2">
        <v>42026.0</v>
      </c>
    </row>
    <row r="2163">
      <c r="A2163" s="1">
        <v>70000.0</v>
      </c>
      <c r="B2163" s="1" t="s">
        <v>185</v>
      </c>
      <c r="C2163" s="1" t="str">
        <f>"08743850"</f>
        <v>08743850</v>
      </c>
      <c r="D2163" s="1" t="s">
        <v>186</v>
      </c>
      <c r="F2163" s="1" t="str">
        <f>"8073"</f>
        <v>8073</v>
      </c>
      <c r="G2163" s="2">
        <v>41914.0</v>
      </c>
      <c r="H2163" s="1">
        <v>85900.0</v>
      </c>
      <c r="I2163" s="1">
        <v>128.0</v>
      </c>
      <c r="J2163" s="1">
        <v>69900.0</v>
      </c>
      <c r="K2163" s="2">
        <v>42041.0</v>
      </c>
      <c r="L2163" s="1">
        <v>128.0</v>
      </c>
      <c r="M2163" s="2">
        <v>42041.0</v>
      </c>
      <c r="N2163" s="1" t="s">
        <v>249</v>
      </c>
      <c r="O2163" s="2">
        <v>42062.0</v>
      </c>
      <c r="P2163" s="1">
        <v>235430.0</v>
      </c>
      <c r="Q2163" s="1">
        <v>22194.0</v>
      </c>
      <c r="S2163" s="1">
        <v>9755.0</v>
      </c>
      <c r="T2163" s="1" t="s">
        <v>20229</v>
      </c>
      <c r="U2163" s="1" t="s">
        <v>189</v>
      </c>
      <c r="V2163" s="1" t="s">
        <v>190</v>
      </c>
      <c r="W2163" s="1">
        <v>60643.0</v>
      </c>
      <c r="Y2163" s="1" t="s">
        <v>20230</v>
      </c>
      <c r="Z2163" s="1">
        <v>1905.0</v>
      </c>
      <c r="AA2163" s="1" t="s">
        <v>192</v>
      </c>
      <c r="AB2163" s="1" t="s">
        <v>193</v>
      </c>
      <c r="AD2163" s="1" t="s">
        <v>194</v>
      </c>
      <c r="AE2163" s="1" t="s">
        <v>195</v>
      </c>
      <c r="AF2163" s="1" t="s">
        <v>659</v>
      </c>
      <c r="AH2163" s="1">
        <v>10950.0</v>
      </c>
      <c r="AK2163" s="1">
        <v>7.0</v>
      </c>
      <c r="AL2163" s="1">
        <v>4.0</v>
      </c>
      <c r="AM2163" s="1">
        <v>1.0</v>
      </c>
      <c r="AN2163" s="1">
        <v>1.0</v>
      </c>
      <c r="AO2163" s="1" t="s">
        <v>229</v>
      </c>
      <c r="AP2163" s="1">
        <v>1.0</v>
      </c>
      <c r="AQ2163" s="1" t="s">
        <v>198</v>
      </c>
      <c r="AR2163" s="1" t="s">
        <v>200</v>
      </c>
      <c r="AS2163" s="1" t="s">
        <v>199</v>
      </c>
      <c r="AT2163" s="1">
        <v>2.0</v>
      </c>
      <c r="AV2163" s="1" t="s">
        <v>200</v>
      </c>
      <c r="AW2163" s="1">
        <v>3088.0</v>
      </c>
      <c r="AX2163" s="1">
        <v>2012.0</v>
      </c>
      <c r="AZ2163" s="1" t="s">
        <v>200</v>
      </c>
      <c r="BA2163" s="1" t="str">
        <f>"25081010430000"</f>
        <v>25081010430000</v>
      </c>
      <c r="BB2163" s="1" t="s">
        <v>200</v>
      </c>
      <c r="BC2163" s="1">
        <v>1460.0</v>
      </c>
      <c r="BD2163" s="1">
        <v>70000.0</v>
      </c>
      <c r="BE2163" s="2">
        <v>41914.0</v>
      </c>
      <c r="BF2163" s="2" t="s">
        <v>20231</v>
      </c>
      <c r="BH2163" s="1">
        <v>0.0</v>
      </c>
      <c r="BK2163" s="1" t="s">
        <v>204</v>
      </c>
      <c r="BL2163" s="1" t="str">
        <f t="shared" ref="BL2163:BM2163" si="1416">"0"</f>
        <v>0</v>
      </c>
      <c r="BM2163" s="1" t="str">
        <f t="shared" si="1416"/>
        <v>0</v>
      </c>
      <c r="BN2163" s="1">
        <v>1800.0</v>
      </c>
      <c r="BO2163" s="1">
        <v>9755.0</v>
      </c>
      <c r="BQ2163" s="1">
        <v>299.0</v>
      </c>
      <c r="BR2163" s="1">
        <v>299.0</v>
      </c>
      <c r="BS2163" s="1">
        <v>299.0</v>
      </c>
      <c r="BU2163" s="1" t="s">
        <v>361</v>
      </c>
      <c r="BV2163" s="1" t="s">
        <v>206</v>
      </c>
      <c r="BY2163" s="1" t="s">
        <v>363</v>
      </c>
      <c r="BZ2163" s="1" t="s">
        <v>209</v>
      </c>
      <c r="CC2163" s="1" t="s">
        <v>363</v>
      </c>
      <c r="CD2163" s="1" t="s">
        <v>206</v>
      </c>
      <c r="CG2163" s="1" t="s">
        <v>699</v>
      </c>
      <c r="CH2163" s="1" t="s">
        <v>209</v>
      </c>
      <c r="CK2163" s="1" t="s">
        <v>699</v>
      </c>
      <c r="CL2163" s="1" t="s">
        <v>209</v>
      </c>
      <c r="CO2163" s="1" t="s">
        <v>495</v>
      </c>
      <c r="CP2163" s="1" t="s">
        <v>209</v>
      </c>
      <c r="CS2163" s="1" t="s">
        <v>331</v>
      </c>
      <c r="CT2163" s="1" t="s">
        <v>206</v>
      </c>
      <c r="CX2163" s="1" t="s">
        <v>204</v>
      </c>
      <c r="DA2163" s="1" t="s">
        <v>200</v>
      </c>
      <c r="DC2163" s="1" t="s">
        <v>642</v>
      </c>
      <c r="DE2163" s="1" t="s">
        <v>229</v>
      </c>
      <c r="DF2163" s="1" t="s">
        <v>619</v>
      </c>
      <c r="DH2163" s="1" t="s">
        <v>365</v>
      </c>
      <c r="DJ2163" s="1" t="s">
        <v>222</v>
      </c>
      <c r="DL2163" s="1" t="s">
        <v>223</v>
      </c>
      <c r="DM2163" s="1" t="s">
        <v>229</v>
      </c>
      <c r="DQ2163" s="1" t="s">
        <v>794</v>
      </c>
      <c r="DR2163" s="1" t="s">
        <v>229</v>
      </c>
      <c r="DV2163" s="1" t="s">
        <v>232</v>
      </c>
      <c r="DW2163" s="1" t="s">
        <v>667</v>
      </c>
      <c r="DX2163" s="1" t="s">
        <v>309</v>
      </c>
      <c r="EC2163" s="1" t="s">
        <v>645</v>
      </c>
      <c r="EE2163" s="1" t="s">
        <v>1960</v>
      </c>
      <c r="EM2163" s="1" t="s">
        <v>238</v>
      </c>
      <c r="EQ2163" s="1" t="s">
        <v>238</v>
      </c>
      <c r="EU2163" s="1" t="s">
        <v>238</v>
      </c>
      <c r="EY2163" s="1" t="s">
        <v>238</v>
      </c>
      <c r="FC2163" s="1" t="s">
        <v>238</v>
      </c>
      <c r="FF2163" s="1" t="s">
        <v>239</v>
      </c>
      <c r="FG2163" s="1" t="s">
        <v>192</v>
      </c>
      <c r="FH2163" s="1" t="s">
        <v>192</v>
      </c>
      <c r="FJ2163" s="1" t="s">
        <v>20232</v>
      </c>
      <c r="FK2163" s="1" t="s">
        <v>557</v>
      </c>
      <c r="FL2163" s="1" t="s">
        <v>6039</v>
      </c>
      <c r="FM2163" s="1">
        <v>12278.0</v>
      </c>
      <c r="FN2163" s="1" t="s">
        <v>6040</v>
      </c>
      <c r="FO2163" s="1" t="s">
        <v>6041</v>
      </c>
      <c r="FP2163" s="1">
        <v>119957.0</v>
      </c>
      <c r="FQ2163" s="1" t="s">
        <v>6040</v>
      </c>
      <c r="FU2163" s="1" t="s">
        <v>6042</v>
      </c>
      <c r="FV2163" s="1" t="s">
        <v>200</v>
      </c>
      <c r="FW2163" s="1" t="s">
        <v>567</v>
      </c>
      <c r="FX2163" s="1" t="s">
        <v>655</v>
      </c>
      <c r="FZ2163" s="1" t="s">
        <v>229</v>
      </c>
      <c r="GA2163" s="1" t="s">
        <v>291</v>
      </c>
      <c r="GB2163" s="2">
        <v>42062.0</v>
      </c>
      <c r="GC2163" s="1" t="s">
        <v>20233</v>
      </c>
    </row>
    <row r="2164">
      <c r="A2164" s="1">
        <v>269900.0</v>
      </c>
      <c r="B2164" s="1" t="s">
        <v>185</v>
      </c>
      <c r="C2164" s="1" t="str">
        <f>"08744374"</f>
        <v>08744374</v>
      </c>
      <c r="D2164" s="1" t="s">
        <v>186</v>
      </c>
      <c r="F2164" s="1" t="str">
        <f>"123"</f>
        <v>123</v>
      </c>
      <c r="G2164" s="2">
        <v>41915.0</v>
      </c>
      <c r="H2164" s="1">
        <v>269900.0</v>
      </c>
      <c r="I2164" s="1">
        <v>242.0</v>
      </c>
      <c r="J2164" s="1">
        <v>269900.0</v>
      </c>
      <c r="K2164" s="2">
        <v>41940.0</v>
      </c>
      <c r="L2164" s="1">
        <v>26.0</v>
      </c>
      <c r="M2164" s="2">
        <v>41940.0</v>
      </c>
      <c r="N2164" s="1" t="s">
        <v>356</v>
      </c>
      <c r="O2164" s="2">
        <v>41977.0</v>
      </c>
      <c r="P2164" s="1">
        <v>144657.0</v>
      </c>
      <c r="Q2164" s="1">
        <v>18488.0</v>
      </c>
      <c r="S2164" s="1">
        <v>3301.0</v>
      </c>
      <c r="T2164" s="1" t="s">
        <v>20234</v>
      </c>
      <c r="U2164" s="1" t="s">
        <v>1442</v>
      </c>
      <c r="V2164" s="1" t="s">
        <v>465</v>
      </c>
      <c r="W2164" s="1">
        <v>60124.0</v>
      </c>
      <c r="Y2164" s="1" t="s">
        <v>20235</v>
      </c>
      <c r="Z2164" s="1">
        <v>2006.0</v>
      </c>
      <c r="AA2164" s="1" t="s">
        <v>200</v>
      </c>
      <c r="AB2164" s="1" t="s">
        <v>467</v>
      </c>
      <c r="AC2164" s="1" t="s">
        <v>18223</v>
      </c>
      <c r="AD2164" s="1" t="s">
        <v>469</v>
      </c>
      <c r="AE2164" s="1" t="s">
        <v>325</v>
      </c>
      <c r="AF2164" s="1" t="s">
        <v>469</v>
      </c>
      <c r="AG2164" s="1" t="s">
        <v>2151</v>
      </c>
      <c r="AH2164" s="1" t="s">
        <v>5193</v>
      </c>
      <c r="AK2164" s="1">
        <v>11.0</v>
      </c>
      <c r="AL2164" s="1">
        <v>4.0</v>
      </c>
      <c r="AM2164" s="1">
        <v>2.0</v>
      </c>
      <c r="AN2164" s="1">
        <v>1.0</v>
      </c>
      <c r="AO2164" s="1" t="s">
        <v>198</v>
      </c>
      <c r="AP2164" s="1">
        <v>0.0</v>
      </c>
      <c r="AQ2164" s="1" t="s">
        <v>198</v>
      </c>
      <c r="AR2164" s="1" t="s">
        <v>200</v>
      </c>
      <c r="AS2164" s="1" t="s">
        <v>199</v>
      </c>
      <c r="AT2164" s="1">
        <v>2.0</v>
      </c>
      <c r="AV2164" s="1" t="s">
        <v>200</v>
      </c>
      <c r="AW2164" s="1">
        <v>9247.0</v>
      </c>
      <c r="AX2164" s="1">
        <v>2013.0</v>
      </c>
      <c r="AY2164" s="1" t="s">
        <v>229</v>
      </c>
      <c r="AZ2164" s="1" t="s">
        <v>200</v>
      </c>
      <c r="BA2164" s="1" t="str">
        <f>"0618463005"</f>
        <v>0618463005</v>
      </c>
      <c r="BC2164" s="1">
        <v>3059.0</v>
      </c>
      <c r="BD2164" s="1">
        <v>269900.0</v>
      </c>
      <c r="BE2164" s="2">
        <v>41915.0</v>
      </c>
      <c r="BF2164" s="2" t="s">
        <v>20236</v>
      </c>
      <c r="BG2164" s="1" t="s">
        <v>3686</v>
      </c>
      <c r="BH2164" s="1">
        <v>400.0</v>
      </c>
      <c r="BI2164" s="1" t="s">
        <v>578</v>
      </c>
      <c r="BJ2164" s="1" t="s">
        <v>579</v>
      </c>
      <c r="BK2164" s="1" t="s">
        <v>580</v>
      </c>
      <c r="BL2164" s="1" t="str">
        <f>"11"</f>
        <v>11</v>
      </c>
      <c r="BM2164" s="1" t="str">
        <f>"0"</f>
        <v>0</v>
      </c>
      <c r="BN2164" s="1">
        <v>38.0</v>
      </c>
      <c r="BO2164" s="1">
        <v>0.0</v>
      </c>
      <c r="BQ2164" s="1">
        <v>301.0</v>
      </c>
      <c r="BR2164" s="1">
        <v>301.0</v>
      </c>
      <c r="BS2164" s="1">
        <v>301.0</v>
      </c>
      <c r="BU2164" s="1" t="s">
        <v>331</v>
      </c>
      <c r="BV2164" s="1" t="s">
        <v>206</v>
      </c>
      <c r="BW2164" s="1" t="s">
        <v>210</v>
      </c>
      <c r="BY2164" s="1" t="s">
        <v>583</v>
      </c>
      <c r="BZ2164" s="1" t="s">
        <v>209</v>
      </c>
      <c r="CA2164" s="1" t="s">
        <v>210</v>
      </c>
      <c r="CC2164" s="1" t="s">
        <v>332</v>
      </c>
      <c r="CD2164" s="1" t="s">
        <v>206</v>
      </c>
      <c r="CE2164" s="1" t="s">
        <v>210</v>
      </c>
      <c r="CG2164" s="1" t="s">
        <v>699</v>
      </c>
      <c r="CH2164" s="1" t="s">
        <v>209</v>
      </c>
      <c r="CI2164" s="1" t="s">
        <v>210</v>
      </c>
      <c r="CK2164" s="1" t="s">
        <v>212</v>
      </c>
      <c r="CL2164" s="1" t="s">
        <v>209</v>
      </c>
      <c r="CM2164" s="1" t="s">
        <v>210</v>
      </c>
      <c r="CO2164" s="1" t="s">
        <v>363</v>
      </c>
      <c r="CP2164" s="1" t="s">
        <v>209</v>
      </c>
      <c r="CQ2164" s="1" t="s">
        <v>210</v>
      </c>
      <c r="CS2164" s="1" t="s">
        <v>213</v>
      </c>
      <c r="CT2164" s="1" t="s">
        <v>206</v>
      </c>
      <c r="CU2164" s="1" t="s">
        <v>207</v>
      </c>
      <c r="CW2164" s="1" t="s">
        <v>743</v>
      </c>
      <c r="CX2164" s="1" t="s">
        <v>206</v>
      </c>
      <c r="CY2164" s="1" t="s">
        <v>210</v>
      </c>
      <c r="DA2164" s="1" t="s">
        <v>200</v>
      </c>
      <c r="DC2164" s="1" t="s">
        <v>481</v>
      </c>
      <c r="DD2164" s="1" t="s">
        <v>586</v>
      </c>
      <c r="DE2164" s="1" t="s">
        <v>273</v>
      </c>
      <c r="DF2164" s="1" t="s">
        <v>219</v>
      </c>
      <c r="DG2164" s="1" t="s">
        <v>2482</v>
      </c>
      <c r="DH2164" s="1" t="s">
        <v>220</v>
      </c>
      <c r="DJ2164" s="1" t="s">
        <v>222</v>
      </c>
      <c r="DK2164" s="1" t="s">
        <v>223</v>
      </c>
      <c r="DL2164" s="1" t="s">
        <v>224</v>
      </c>
      <c r="DM2164" s="1" t="s">
        <v>229</v>
      </c>
      <c r="DN2164" s="1" t="s">
        <v>548</v>
      </c>
      <c r="DP2164" s="1" t="s">
        <v>340</v>
      </c>
      <c r="DQ2164" s="1" t="s">
        <v>228</v>
      </c>
      <c r="DR2164" s="1" t="s">
        <v>588</v>
      </c>
      <c r="DS2164" s="1" t="s">
        <v>591</v>
      </c>
      <c r="DV2164" s="1" t="s">
        <v>13324</v>
      </c>
      <c r="DW2164" s="1" t="s">
        <v>588</v>
      </c>
      <c r="DX2164" s="1" t="s">
        <v>234</v>
      </c>
      <c r="DY2164" s="1" t="s">
        <v>235</v>
      </c>
      <c r="EC2164" s="1" t="s">
        <v>237</v>
      </c>
      <c r="EG2164" s="1" t="s">
        <v>449</v>
      </c>
      <c r="EH2164" s="1" t="s">
        <v>494</v>
      </c>
      <c r="EI2164" s="1" t="s">
        <v>450</v>
      </c>
      <c r="EL2164" s="1" t="s">
        <v>904</v>
      </c>
      <c r="EM2164" s="1" t="s">
        <v>206</v>
      </c>
      <c r="EN2164" s="1" t="s">
        <v>207</v>
      </c>
      <c r="EP2164" s="1" t="s">
        <v>433</v>
      </c>
      <c r="EQ2164" s="1" t="s">
        <v>206</v>
      </c>
      <c r="ER2164" s="1" t="s">
        <v>210</v>
      </c>
      <c r="ET2164" s="1" t="s">
        <v>639</v>
      </c>
      <c r="EU2164" s="1" t="s">
        <v>42</v>
      </c>
      <c r="EV2164" s="1" t="s">
        <v>210</v>
      </c>
      <c r="EY2164" s="1" t="s">
        <v>238</v>
      </c>
      <c r="FC2164" s="1" t="s">
        <v>238</v>
      </c>
      <c r="FF2164" s="1" t="s">
        <v>239</v>
      </c>
      <c r="FG2164" s="1" t="s">
        <v>192</v>
      </c>
      <c r="FH2164" s="1" t="s">
        <v>192</v>
      </c>
      <c r="FJ2164" s="1" t="s">
        <v>18949</v>
      </c>
      <c r="FK2164" s="1" t="s">
        <v>1586</v>
      </c>
      <c r="FL2164" s="1" t="s">
        <v>2580</v>
      </c>
      <c r="FM2164" s="1">
        <v>23265.0</v>
      </c>
      <c r="FN2164" s="1" t="s">
        <v>2581</v>
      </c>
      <c r="FO2164" s="1" t="s">
        <v>16869</v>
      </c>
      <c r="FP2164" s="1">
        <v>218055.0</v>
      </c>
      <c r="FQ2164" s="1" t="s">
        <v>16870</v>
      </c>
      <c r="FS2164" s="1" t="s">
        <v>16871</v>
      </c>
      <c r="FU2164" s="1" t="s">
        <v>16872</v>
      </c>
      <c r="FV2164" s="1" t="s">
        <v>200</v>
      </c>
      <c r="FW2164" s="1" t="s">
        <v>290</v>
      </c>
      <c r="FZ2164" s="1" t="s">
        <v>229</v>
      </c>
      <c r="GA2164" s="1" t="s">
        <v>291</v>
      </c>
      <c r="GB2164" s="2">
        <v>41978.0</v>
      </c>
      <c r="GC2164" s="2" t="s">
        <v>20237</v>
      </c>
    </row>
    <row r="2165">
      <c r="A2165" s="1">
        <v>375000.0</v>
      </c>
      <c r="B2165" s="1" t="s">
        <v>185</v>
      </c>
      <c r="C2165" s="1" t="str">
        <f>"08745735"</f>
        <v>08745735</v>
      </c>
      <c r="D2165" s="1" t="s">
        <v>186</v>
      </c>
      <c r="F2165" s="1" t="str">
        <f>"8038"</f>
        <v>8038</v>
      </c>
      <c r="G2165" s="2">
        <v>41918.0</v>
      </c>
      <c r="H2165" s="1">
        <v>399900.0</v>
      </c>
      <c r="I2165" s="1">
        <v>61.0</v>
      </c>
      <c r="J2165" s="1">
        <v>399900.0</v>
      </c>
      <c r="K2165" s="2">
        <v>41919.0</v>
      </c>
      <c r="L2165" s="1">
        <v>2.0</v>
      </c>
      <c r="M2165" s="2">
        <v>41919.0</v>
      </c>
      <c r="N2165" s="1" t="s">
        <v>187</v>
      </c>
      <c r="O2165" s="2">
        <v>41981.0</v>
      </c>
      <c r="P2165" s="1">
        <v>178595.0</v>
      </c>
      <c r="Q2165" s="1">
        <v>10317.0</v>
      </c>
      <c r="S2165" s="1">
        <v>4936.0</v>
      </c>
      <c r="T2165" s="1" t="s">
        <v>10185</v>
      </c>
      <c r="U2165" s="1" t="s">
        <v>189</v>
      </c>
      <c r="V2165" s="1" t="s">
        <v>190</v>
      </c>
      <c r="W2165" s="1">
        <v>60615.0</v>
      </c>
      <c r="Y2165" s="1" t="s">
        <v>20238</v>
      </c>
      <c r="Z2165" s="1">
        <v>2014.0</v>
      </c>
      <c r="AA2165" s="1" t="s">
        <v>200</v>
      </c>
      <c r="AB2165" s="1" t="s">
        <v>193</v>
      </c>
      <c r="AD2165" s="1" t="s">
        <v>194</v>
      </c>
      <c r="AE2165" s="1" t="s">
        <v>195</v>
      </c>
      <c r="AF2165" s="1" t="s">
        <v>637</v>
      </c>
      <c r="AH2165" s="1" t="s">
        <v>20239</v>
      </c>
      <c r="AI2165" s="1">
        <v>0.0</v>
      </c>
      <c r="AK2165" s="1">
        <v>8.0</v>
      </c>
      <c r="AL2165" s="1">
        <v>3.0</v>
      </c>
      <c r="AM2165" s="1">
        <v>3.0</v>
      </c>
      <c r="AN2165" s="1">
        <v>1.0</v>
      </c>
      <c r="AO2165" s="1" t="s">
        <v>198</v>
      </c>
      <c r="AP2165" s="1">
        <v>1.0</v>
      </c>
      <c r="AQ2165" s="1" t="s">
        <v>198</v>
      </c>
      <c r="AR2165" s="1" t="s">
        <v>192</v>
      </c>
      <c r="AS2165" s="1" t="s">
        <v>199</v>
      </c>
      <c r="AT2165" s="1">
        <v>2.0</v>
      </c>
      <c r="AV2165" s="1" t="s">
        <v>200</v>
      </c>
      <c r="AW2165" s="1">
        <v>861.0</v>
      </c>
      <c r="AX2165" s="1">
        <v>2012.0</v>
      </c>
      <c r="AZ2165" s="1" t="s">
        <v>200</v>
      </c>
      <c r="BA2165" s="1" t="str">
        <f>"20101140220000"</f>
        <v>20101140220000</v>
      </c>
      <c r="BB2165" s="1" t="s">
        <v>200</v>
      </c>
      <c r="BC2165" s="1">
        <v>3000.0</v>
      </c>
      <c r="BD2165" s="1">
        <v>375000.0</v>
      </c>
      <c r="BE2165" s="2">
        <v>41918.0</v>
      </c>
      <c r="BF2165" s="2" t="s">
        <v>20240</v>
      </c>
      <c r="BH2165" s="1">
        <v>0.0</v>
      </c>
      <c r="BK2165" s="1" t="s">
        <v>204</v>
      </c>
      <c r="BL2165" s="1" t="str">
        <f>"0"</f>
        <v>0</v>
      </c>
      <c r="BM2165" s="1" t="str">
        <f>"200"</f>
        <v>200</v>
      </c>
      <c r="BN2165" s="1">
        <v>0.0</v>
      </c>
      <c r="BO2165" s="1">
        <v>4936.0</v>
      </c>
      <c r="BQ2165" s="1">
        <v>299.0</v>
      </c>
      <c r="BR2165" s="1">
        <v>299.0</v>
      </c>
      <c r="BS2165" s="1">
        <v>299.0</v>
      </c>
      <c r="BU2165" s="1" t="s">
        <v>1612</v>
      </c>
      <c r="BV2165" s="1" t="s">
        <v>206</v>
      </c>
      <c r="BW2165" s="1" t="s">
        <v>207</v>
      </c>
      <c r="BY2165" s="1" t="s">
        <v>477</v>
      </c>
      <c r="BZ2165" s="1" t="s">
        <v>209</v>
      </c>
      <c r="CA2165" s="1" t="s">
        <v>207</v>
      </c>
      <c r="CC2165" s="1" t="s">
        <v>542</v>
      </c>
      <c r="CD2165" s="1" t="s">
        <v>206</v>
      </c>
      <c r="CE2165" s="1" t="s">
        <v>207</v>
      </c>
      <c r="CG2165" s="1" t="s">
        <v>363</v>
      </c>
      <c r="CH2165" s="1" t="s">
        <v>209</v>
      </c>
      <c r="CI2165" s="1" t="s">
        <v>207</v>
      </c>
      <c r="CK2165" s="1" t="s">
        <v>329</v>
      </c>
      <c r="CL2165" s="1" t="s">
        <v>391</v>
      </c>
      <c r="CM2165" s="1" t="s">
        <v>207</v>
      </c>
      <c r="CO2165" s="1" t="s">
        <v>639</v>
      </c>
      <c r="CP2165" s="1" t="s">
        <v>42</v>
      </c>
      <c r="CQ2165" s="1" t="s">
        <v>2128</v>
      </c>
      <c r="CS2165" s="1" t="s">
        <v>477</v>
      </c>
      <c r="CT2165" s="1" t="s">
        <v>206</v>
      </c>
      <c r="CU2165" s="1" t="s">
        <v>207</v>
      </c>
      <c r="CW2165" s="1" t="s">
        <v>477</v>
      </c>
      <c r="CX2165" s="1" t="s">
        <v>42</v>
      </c>
      <c r="CY2165" s="1" t="s">
        <v>2128</v>
      </c>
      <c r="DA2165" s="1" t="s">
        <v>192</v>
      </c>
      <c r="DB2165" s="2">
        <v>41974.0</v>
      </c>
      <c r="DC2165" s="1" t="s">
        <v>744</v>
      </c>
      <c r="DE2165" s="1" t="s">
        <v>273</v>
      </c>
      <c r="DF2165" s="1" t="s">
        <v>619</v>
      </c>
      <c r="DH2165" s="1" t="s">
        <v>365</v>
      </c>
      <c r="DJ2165" s="1" t="s">
        <v>222</v>
      </c>
      <c r="DL2165" s="1" t="s">
        <v>224</v>
      </c>
      <c r="DM2165" s="1" t="s">
        <v>229</v>
      </c>
      <c r="DQ2165" s="1" t="s">
        <v>228</v>
      </c>
      <c r="DR2165" s="1" t="s">
        <v>229</v>
      </c>
      <c r="DV2165" s="1" t="s">
        <v>232</v>
      </c>
      <c r="DW2165" s="1" t="s">
        <v>489</v>
      </c>
      <c r="DX2165" s="1" t="s">
        <v>234</v>
      </c>
      <c r="EC2165" s="1" t="s">
        <v>237</v>
      </c>
      <c r="EM2165" s="1" t="s">
        <v>238</v>
      </c>
      <c r="EQ2165" s="1" t="s">
        <v>238</v>
      </c>
      <c r="EU2165" s="1" t="s">
        <v>238</v>
      </c>
      <c r="EY2165" s="1" t="s">
        <v>238</v>
      </c>
      <c r="FC2165" s="1" t="s">
        <v>238</v>
      </c>
      <c r="FF2165" s="1" t="s">
        <v>239</v>
      </c>
      <c r="FG2165" s="1" t="s">
        <v>192</v>
      </c>
      <c r="FH2165" s="1" t="s">
        <v>192</v>
      </c>
      <c r="FJ2165" s="1" t="s">
        <v>1280</v>
      </c>
      <c r="FK2165" s="1" t="s">
        <v>229</v>
      </c>
      <c r="FL2165" s="1" t="s">
        <v>9531</v>
      </c>
      <c r="FM2165" s="1">
        <v>61153.0</v>
      </c>
      <c r="FN2165" s="1" t="s">
        <v>9532</v>
      </c>
      <c r="FO2165" s="1" t="s">
        <v>9533</v>
      </c>
      <c r="FP2165" s="1">
        <v>239457.0</v>
      </c>
      <c r="FQ2165" s="1" t="s">
        <v>9534</v>
      </c>
      <c r="FU2165" s="1" t="s">
        <v>3313</v>
      </c>
      <c r="FV2165" s="1" t="s">
        <v>192</v>
      </c>
      <c r="FW2165" s="1" t="s">
        <v>290</v>
      </c>
      <c r="FX2165" s="1" t="s">
        <v>655</v>
      </c>
      <c r="FZ2165" s="1" t="s">
        <v>229</v>
      </c>
      <c r="GA2165" s="1" t="s">
        <v>291</v>
      </c>
      <c r="GB2165" s="2">
        <v>41981.0</v>
      </c>
      <c r="GC2165" s="1" t="s">
        <v>20241</v>
      </c>
    </row>
    <row r="2166">
      <c r="A2166" s="1">
        <v>292500.0</v>
      </c>
      <c r="B2166" s="1" t="s">
        <v>185</v>
      </c>
      <c r="C2166" s="1" t="str">
        <f>"08748810"</f>
        <v>08748810</v>
      </c>
      <c r="D2166" s="1" t="s">
        <v>186</v>
      </c>
      <c r="F2166" s="1" t="str">
        <f>"510"</f>
        <v>510</v>
      </c>
      <c r="G2166" s="2">
        <v>41921.0</v>
      </c>
      <c r="H2166" s="1">
        <v>324900.0</v>
      </c>
      <c r="I2166" s="1">
        <v>175.0</v>
      </c>
      <c r="J2166" s="1">
        <v>309900.0</v>
      </c>
      <c r="K2166" s="2">
        <v>42095.0</v>
      </c>
      <c r="L2166" s="1">
        <v>175.0</v>
      </c>
      <c r="M2166" s="2">
        <v>42095.0</v>
      </c>
      <c r="N2166" s="1" t="s">
        <v>249</v>
      </c>
      <c r="O2166" s="2">
        <v>42128.0</v>
      </c>
      <c r="P2166" s="1">
        <v>241795.0</v>
      </c>
      <c r="Q2166" s="1">
        <v>22029.0</v>
      </c>
      <c r="S2166" s="1">
        <v>416.0</v>
      </c>
      <c r="T2166" s="1" t="s">
        <v>8865</v>
      </c>
      <c r="U2166" s="1" t="s">
        <v>1174</v>
      </c>
      <c r="V2166" s="1" t="s">
        <v>2700</v>
      </c>
      <c r="W2166" s="1">
        <v>60510.0</v>
      </c>
      <c r="Y2166" s="1" t="s">
        <v>20242</v>
      </c>
      <c r="Z2166" s="1">
        <v>1969.0</v>
      </c>
      <c r="AA2166" s="1" t="s">
        <v>192</v>
      </c>
      <c r="AB2166" s="1" t="s">
        <v>193</v>
      </c>
      <c r="AC2166" s="1" t="s">
        <v>8867</v>
      </c>
      <c r="AD2166" s="1" t="s">
        <v>2702</v>
      </c>
      <c r="AE2166" s="1" t="s">
        <v>325</v>
      </c>
      <c r="AF2166" s="1" t="s">
        <v>2702</v>
      </c>
      <c r="AH2166" s="1" t="s">
        <v>20243</v>
      </c>
      <c r="AI2166" s="1">
        <v>0.4568</v>
      </c>
      <c r="AK2166" s="1">
        <v>8.0</v>
      </c>
      <c r="AL2166" s="1">
        <v>4.0</v>
      </c>
      <c r="AM2166" s="1">
        <v>2.0</v>
      </c>
      <c r="AN2166" s="1">
        <v>1.0</v>
      </c>
      <c r="AO2166" s="1" t="s">
        <v>198</v>
      </c>
      <c r="AP2166" s="1">
        <v>2.0</v>
      </c>
      <c r="AQ2166" s="1" t="s">
        <v>198</v>
      </c>
      <c r="AR2166" s="1" t="s">
        <v>200</v>
      </c>
      <c r="AS2166" s="1" t="s">
        <v>199</v>
      </c>
      <c r="AT2166" s="1">
        <v>2.0</v>
      </c>
      <c r="AV2166" s="1" t="s">
        <v>200</v>
      </c>
      <c r="AW2166" s="1">
        <v>9514.54</v>
      </c>
      <c r="AX2166" s="1">
        <v>2014.0</v>
      </c>
      <c r="AY2166" s="1" t="s">
        <v>229</v>
      </c>
      <c r="AZ2166" s="1" t="s">
        <v>200</v>
      </c>
      <c r="BA2166" s="1" t="str">
        <f>"1223427003"</f>
        <v>1223427003</v>
      </c>
      <c r="BB2166" s="1" t="s">
        <v>200</v>
      </c>
      <c r="BC2166" s="1">
        <v>2716.0</v>
      </c>
      <c r="BD2166" s="1">
        <v>292500.0</v>
      </c>
      <c r="BE2166" s="2">
        <v>41921.0</v>
      </c>
      <c r="BF2166" s="2" t="s">
        <v>20244</v>
      </c>
      <c r="BH2166" s="1">
        <v>0.0</v>
      </c>
      <c r="BK2166" s="1" t="s">
        <v>204</v>
      </c>
      <c r="BL2166" s="1" t="str">
        <f t="shared" ref="BL2166:BM2166" si="1417">""</f>
        <v/>
      </c>
      <c r="BM2166" s="1" t="str">
        <f t="shared" si="1417"/>
        <v/>
      </c>
      <c r="BN2166" s="1">
        <v>34.0</v>
      </c>
      <c r="BO2166" s="1">
        <v>1.0</v>
      </c>
      <c r="BQ2166" s="1">
        <v>101.0</v>
      </c>
      <c r="BR2166" s="1">
        <v>101.0</v>
      </c>
      <c r="BS2166" s="1">
        <v>101.0</v>
      </c>
      <c r="BU2166" s="1" t="s">
        <v>2261</v>
      </c>
      <c r="BV2166" s="1" t="s">
        <v>206</v>
      </c>
      <c r="BW2166" s="1" t="s">
        <v>207</v>
      </c>
      <c r="BX2166" s="1" t="s">
        <v>431</v>
      </c>
      <c r="BY2166" s="1" t="s">
        <v>1064</v>
      </c>
      <c r="BZ2166" s="1" t="s">
        <v>206</v>
      </c>
      <c r="CA2166" s="1" t="s">
        <v>207</v>
      </c>
      <c r="CB2166" s="1" t="s">
        <v>229</v>
      </c>
      <c r="CC2166" s="1" t="s">
        <v>300</v>
      </c>
      <c r="CD2166" s="1" t="s">
        <v>206</v>
      </c>
      <c r="CE2166" s="1" t="s">
        <v>207</v>
      </c>
      <c r="CF2166" s="1" t="s">
        <v>229</v>
      </c>
      <c r="CG2166" s="1" t="s">
        <v>1068</v>
      </c>
      <c r="CH2166" s="1" t="s">
        <v>209</v>
      </c>
      <c r="CI2166" s="1" t="s">
        <v>207</v>
      </c>
      <c r="CJ2166" s="1" t="s">
        <v>229</v>
      </c>
      <c r="CK2166" s="1" t="s">
        <v>584</v>
      </c>
      <c r="CL2166" s="1" t="s">
        <v>209</v>
      </c>
      <c r="CM2166" s="1" t="s">
        <v>207</v>
      </c>
      <c r="CN2166" s="1" t="s">
        <v>229</v>
      </c>
      <c r="CO2166" s="1" t="s">
        <v>300</v>
      </c>
      <c r="CP2166" s="1" t="s">
        <v>209</v>
      </c>
      <c r="CQ2166" s="1" t="s">
        <v>207</v>
      </c>
      <c r="CR2166" s="1" t="s">
        <v>229</v>
      </c>
      <c r="CS2166" s="1" t="s">
        <v>17831</v>
      </c>
      <c r="CT2166" s="1" t="s">
        <v>206</v>
      </c>
      <c r="CU2166" s="1" t="s">
        <v>617</v>
      </c>
      <c r="CV2166" s="1" t="s">
        <v>229</v>
      </c>
      <c r="CW2166" s="1" t="s">
        <v>4399</v>
      </c>
      <c r="CX2166" s="1" t="s">
        <v>206</v>
      </c>
      <c r="CY2166" s="1" t="s">
        <v>207</v>
      </c>
      <c r="CZ2166" s="1" t="s">
        <v>476</v>
      </c>
      <c r="DA2166" s="1" t="s">
        <v>200</v>
      </c>
      <c r="DC2166" s="1" t="s">
        <v>517</v>
      </c>
      <c r="DD2166" s="1" t="s">
        <v>926</v>
      </c>
      <c r="DE2166" s="1" t="s">
        <v>273</v>
      </c>
      <c r="DF2166" s="1" t="s">
        <v>745</v>
      </c>
      <c r="DG2166" s="1" t="s">
        <v>4915</v>
      </c>
      <c r="DH2166" s="1" t="s">
        <v>856</v>
      </c>
      <c r="DI2166" s="1" t="s">
        <v>1813</v>
      </c>
      <c r="DJ2166" s="1" t="s">
        <v>222</v>
      </c>
      <c r="DK2166" s="1" t="s">
        <v>223</v>
      </c>
      <c r="DL2166" s="1" t="s">
        <v>223</v>
      </c>
      <c r="DM2166" s="1" t="s">
        <v>338</v>
      </c>
      <c r="DN2166" s="1" t="s">
        <v>439</v>
      </c>
      <c r="DO2166" s="1" t="s">
        <v>1208</v>
      </c>
      <c r="DP2166" s="1" t="s">
        <v>400</v>
      </c>
      <c r="DQ2166" s="1" t="s">
        <v>441</v>
      </c>
      <c r="DR2166" s="1" t="s">
        <v>229</v>
      </c>
      <c r="DS2166" s="1" t="s">
        <v>230</v>
      </c>
      <c r="DU2166" s="1" t="s">
        <v>8424</v>
      </c>
      <c r="DV2166" s="1" t="s">
        <v>409</v>
      </c>
      <c r="DW2166" s="1" t="s">
        <v>489</v>
      </c>
      <c r="DX2166" s="1" t="s">
        <v>234</v>
      </c>
      <c r="DY2166" s="1" t="s">
        <v>19373</v>
      </c>
      <c r="DZ2166" s="1" t="s">
        <v>236</v>
      </c>
      <c r="EB2166" s="1" t="s">
        <v>8886</v>
      </c>
      <c r="EC2166" s="1" t="s">
        <v>237</v>
      </c>
      <c r="ED2166" s="1" t="s">
        <v>407</v>
      </c>
      <c r="EE2166" s="1" t="s">
        <v>187</v>
      </c>
      <c r="EG2166" s="1" t="s">
        <v>409</v>
      </c>
      <c r="EL2166" s="1" t="s">
        <v>5922</v>
      </c>
      <c r="EM2166" s="1" t="s">
        <v>209</v>
      </c>
      <c r="EN2166" s="1" t="s">
        <v>207</v>
      </c>
      <c r="EO2166" s="1" t="s">
        <v>229</v>
      </c>
      <c r="EQ2166" s="1" t="s">
        <v>238</v>
      </c>
      <c r="EU2166" s="1" t="s">
        <v>238</v>
      </c>
      <c r="EY2166" s="1" t="s">
        <v>238</v>
      </c>
      <c r="FC2166" s="1" t="s">
        <v>238</v>
      </c>
      <c r="FF2166" s="1" t="s">
        <v>239</v>
      </c>
      <c r="FG2166" s="1" t="s">
        <v>192</v>
      </c>
      <c r="FH2166" s="1" t="s">
        <v>192</v>
      </c>
      <c r="FJ2166" s="1" t="s">
        <v>11531</v>
      </c>
      <c r="FK2166" s="1" t="s">
        <v>229</v>
      </c>
      <c r="FL2166" s="1" t="s">
        <v>1212</v>
      </c>
      <c r="FM2166" s="1">
        <v>30.0</v>
      </c>
      <c r="FN2166" s="1" t="s">
        <v>1213</v>
      </c>
      <c r="FO2166" s="1" t="s">
        <v>5594</v>
      </c>
      <c r="FP2166" s="1">
        <v>500.0</v>
      </c>
      <c r="FQ2166" s="1" t="s">
        <v>5595</v>
      </c>
      <c r="FU2166" s="1" t="s">
        <v>10211</v>
      </c>
      <c r="FV2166" s="1" t="s">
        <v>200</v>
      </c>
      <c r="FW2166" s="1" t="s">
        <v>290</v>
      </c>
      <c r="FZ2166" s="1" t="s">
        <v>229</v>
      </c>
      <c r="GA2166" s="1" t="s">
        <v>291</v>
      </c>
      <c r="GB2166" s="2">
        <v>42129.0</v>
      </c>
      <c r="GC2166" s="1" t="s">
        <v>20245</v>
      </c>
    </row>
    <row r="2167">
      <c r="A2167" s="1">
        <v>387000.0</v>
      </c>
      <c r="B2167" s="1" t="s">
        <v>185</v>
      </c>
      <c r="C2167" s="1" t="str">
        <f>"08748259"</f>
        <v>08748259</v>
      </c>
      <c r="D2167" s="1" t="s">
        <v>186</v>
      </c>
      <c r="F2167" s="1" t="str">
        <f>"8011"</f>
        <v>8011</v>
      </c>
      <c r="G2167" s="2">
        <v>41920.0</v>
      </c>
      <c r="H2167" s="1">
        <v>399900.0</v>
      </c>
      <c r="I2167" s="1">
        <v>70.0</v>
      </c>
      <c r="J2167" s="1">
        <v>397900.0</v>
      </c>
      <c r="K2167" s="2">
        <v>41941.0</v>
      </c>
      <c r="L2167" s="1">
        <v>22.0</v>
      </c>
      <c r="M2167" s="2">
        <v>41941.0</v>
      </c>
      <c r="N2167" s="1" t="s">
        <v>187</v>
      </c>
      <c r="O2167" s="2">
        <v>41982.0</v>
      </c>
      <c r="P2167" s="1">
        <v>159066.0</v>
      </c>
      <c r="Q2167" s="1">
        <v>18235.0</v>
      </c>
      <c r="S2167" s="1">
        <v>5830.0</v>
      </c>
      <c r="T2167" s="1" t="s">
        <v>14169</v>
      </c>
      <c r="U2167" s="1" t="s">
        <v>189</v>
      </c>
      <c r="V2167" s="1" t="s">
        <v>190</v>
      </c>
      <c r="W2167" s="1">
        <v>60646.0</v>
      </c>
      <c r="Y2167" s="1" t="s">
        <v>20246</v>
      </c>
      <c r="Z2167" s="1">
        <v>1923.0</v>
      </c>
      <c r="AA2167" s="1" t="s">
        <v>192</v>
      </c>
      <c r="AB2167" s="1" t="s">
        <v>193</v>
      </c>
      <c r="AD2167" s="1" t="s">
        <v>194</v>
      </c>
      <c r="AE2167" s="1" t="s">
        <v>195</v>
      </c>
      <c r="AF2167" s="1" t="s">
        <v>196</v>
      </c>
      <c r="AH2167" s="1" t="s">
        <v>20247</v>
      </c>
      <c r="AI2167" s="1">
        <v>0.0861</v>
      </c>
      <c r="AK2167" s="1">
        <v>9.0</v>
      </c>
      <c r="AL2167" s="1">
        <v>4.0</v>
      </c>
      <c r="AM2167" s="1">
        <v>3.0</v>
      </c>
      <c r="AN2167" s="1">
        <v>0.0</v>
      </c>
      <c r="AO2167" s="1" t="s">
        <v>198</v>
      </c>
      <c r="AQ2167" s="1" t="s">
        <v>198</v>
      </c>
      <c r="AR2167" s="1" t="s">
        <v>200</v>
      </c>
      <c r="AS2167" s="1" t="s">
        <v>199</v>
      </c>
      <c r="AT2167" s="1">
        <v>2.0</v>
      </c>
      <c r="AV2167" s="1" t="s">
        <v>200</v>
      </c>
      <c r="AW2167" s="1">
        <v>2882.75</v>
      </c>
      <c r="AX2167" s="1">
        <v>2013.0</v>
      </c>
      <c r="AY2167" s="1" t="s">
        <v>387</v>
      </c>
      <c r="AZ2167" s="1" t="s">
        <v>200</v>
      </c>
      <c r="BA2167" s="1" t="str">
        <f>"13054120120000"</f>
        <v>13054120120000</v>
      </c>
      <c r="BC2167" s="1">
        <v>1500.0</v>
      </c>
      <c r="BD2167" s="1">
        <v>387000.0</v>
      </c>
      <c r="BE2167" s="2">
        <v>41920.0</v>
      </c>
      <c r="BF2167" s="2" t="s">
        <v>20248</v>
      </c>
      <c r="BG2167" s="1" t="s">
        <v>8222</v>
      </c>
      <c r="BH2167" s="1">
        <v>0.0</v>
      </c>
      <c r="BJ2167" s="1" t="s">
        <v>1222</v>
      </c>
      <c r="BK2167" s="1" t="s">
        <v>204</v>
      </c>
      <c r="BL2167" s="1" t="str">
        <f>"5830"</f>
        <v>5830</v>
      </c>
      <c r="BM2167" s="1" t="str">
        <f t="shared" ref="BM2167:BM2168" si="1418">"0"</f>
        <v>0</v>
      </c>
      <c r="BN2167" s="1">
        <v>5600.0</v>
      </c>
      <c r="BO2167" s="1">
        <v>0.0</v>
      </c>
      <c r="BQ2167" s="1">
        <v>299.0</v>
      </c>
      <c r="BR2167" s="1">
        <v>299.0</v>
      </c>
      <c r="BS2167" s="1">
        <v>299.0</v>
      </c>
      <c r="BU2167" s="1" t="s">
        <v>8887</v>
      </c>
      <c r="BV2167" s="1" t="s">
        <v>206</v>
      </c>
      <c r="BW2167" s="1" t="s">
        <v>207</v>
      </c>
      <c r="BY2167" s="1" t="s">
        <v>1063</v>
      </c>
      <c r="BZ2167" s="1" t="s">
        <v>209</v>
      </c>
      <c r="CA2167" s="1" t="s">
        <v>207</v>
      </c>
      <c r="CC2167" s="1" t="s">
        <v>542</v>
      </c>
      <c r="CD2167" s="1" t="s">
        <v>206</v>
      </c>
      <c r="CE2167" s="1" t="s">
        <v>207</v>
      </c>
      <c r="CG2167" s="1" t="s">
        <v>1672</v>
      </c>
      <c r="CH2167" s="1" t="s">
        <v>206</v>
      </c>
      <c r="CI2167" s="1" t="s">
        <v>207</v>
      </c>
      <c r="CK2167" s="1" t="s">
        <v>1351</v>
      </c>
      <c r="CL2167" s="1" t="s">
        <v>209</v>
      </c>
      <c r="CM2167" s="1" t="s">
        <v>207</v>
      </c>
      <c r="CO2167" s="1" t="s">
        <v>1418</v>
      </c>
      <c r="CP2167" s="1" t="s">
        <v>209</v>
      </c>
      <c r="CQ2167" s="1" t="s">
        <v>207</v>
      </c>
      <c r="CS2167" s="1" t="s">
        <v>1183</v>
      </c>
      <c r="CT2167" s="1" t="s">
        <v>206</v>
      </c>
      <c r="CU2167" s="1" t="s">
        <v>207</v>
      </c>
      <c r="CW2167" s="1" t="s">
        <v>1352</v>
      </c>
      <c r="CX2167" s="1" t="s">
        <v>206</v>
      </c>
      <c r="CY2167" s="1" t="s">
        <v>207</v>
      </c>
      <c r="DA2167" s="1" t="s">
        <v>200</v>
      </c>
      <c r="DC2167" s="1" t="s">
        <v>216</v>
      </c>
      <c r="DE2167" s="1" t="s">
        <v>273</v>
      </c>
      <c r="DF2167" s="1" t="s">
        <v>905</v>
      </c>
      <c r="DG2167" s="1" t="s">
        <v>482</v>
      </c>
      <c r="DH2167" s="1" t="s">
        <v>365</v>
      </c>
      <c r="DJ2167" s="1" t="s">
        <v>222</v>
      </c>
      <c r="DL2167" s="1" t="s">
        <v>223</v>
      </c>
      <c r="DM2167" s="1" t="s">
        <v>1658</v>
      </c>
      <c r="DN2167" s="1" t="s">
        <v>3293</v>
      </c>
      <c r="DO2167" s="1" t="s">
        <v>549</v>
      </c>
      <c r="DP2167" s="1" t="s">
        <v>276</v>
      </c>
      <c r="DQ2167" s="1" t="s">
        <v>228</v>
      </c>
      <c r="DR2167" s="1" t="s">
        <v>229</v>
      </c>
      <c r="DV2167" s="1" t="s">
        <v>20249</v>
      </c>
      <c r="DW2167" s="1" t="s">
        <v>588</v>
      </c>
      <c r="DX2167" s="1" t="s">
        <v>234</v>
      </c>
      <c r="DY2167" s="1" t="s">
        <v>3183</v>
      </c>
      <c r="EC2167" s="1" t="s">
        <v>237</v>
      </c>
      <c r="ED2167" s="1" t="s">
        <v>555</v>
      </c>
      <c r="EG2167" s="1" t="s">
        <v>557</v>
      </c>
      <c r="EH2167" s="1" t="s">
        <v>720</v>
      </c>
      <c r="EL2167" s="1" t="s">
        <v>2083</v>
      </c>
      <c r="EM2167" s="1" t="s">
        <v>209</v>
      </c>
      <c r="EN2167" s="1" t="s">
        <v>210</v>
      </c>
      <c r="EP2167" s="1" t="s">
        <v>5922</v>
      </c>
      <c r="EQ2167" s="1" t="s">
        <v>206</v>
      </c>
      <c r="EU2167" s="1" t="s">
        <v>238</v>
      </c>
      <c r="EY2167" s="1" t="s">
        <v>238</v>
      </c>
      <c r="FC2167" s="1" t="s">
        <v>238</v>
      </c>
      <c r="FF2167" s="1" t="s">
        <v>239</v>
      </c>
      <c r="FG2167" s="1" t="s">
        <v>192</v>
      </c>
      <c r="FH2167" s="1" t="s">
        <v>192</v>
      </c>
      <c r="FJ2167" s="1" t="s">
        <v>412</v>
      </c>
      <c r="FK2167" s="1" t="s">
        <v>229</v>
      </c>
      <c r="FL2167" s="1" t="s">
        <v>413</v>
      </c>
      <c r="FM2167" s="1">
        <v>13691.0</v>
      </c>
      <c r="FN2167" s="1" t="s">
        <v>414</v>
      </c>
      <c r="FO2167" s="1" t="s">
        <v>20250</v>
      </c>
      <c r="FP2167" s="1">
        <v>874935.0</v>
      </c>
      <c r="FQ2167" s="1" t="s">
        <v>20251</v>
      </c>
      <c r="FU2167" s="1" t="s">
        <v>20252</v>
      </c>
      <c r="FV2167" s="1" t="s">
        <v>200</v>
      </c>
      <c r="FW2167" s="1" t="s">
        <v>20253</v>
      </c>
      <c r="FX2167" s="1" t="s">
        <v>238</v>
      </c>
      <c r="FZ2167" s="1" t="s">
        <v>229</v>
      </c>
      <c r="GA2167" s="1" t="s">
        <v>291</v>
      </c>
      <c r="GB2167" s="2">
        <v>41983.0</v>
      </c>
      <c r="GC2167" s="1" t="s">
        <v>20254</v>
      </c>
    </row>
    <row r="2168">
      <c r="A2168" s="1">
        <v>1350000.0</v>
      </c>
      <c r="B2168" s="1" t="s">
        <v>185</v>
      </c>
      <c r="C2168" s="1" t="str">
        <f>"08750893"</f>
        <v>08750893</v>
      </c>
      <c r="D2168" s="1" t="s">
        <v>186</v>
      </c>
      <c r="F2168" s="1" t="str">
        <f>"10"</f>
        <v>10</v>
      </c>
      <c r="G2168" s="2">
        <v>41923.0</v>
      </c>
      <c r="H2168" s="1">
        <v>1550000.0</v>
      </c>
      <c r="I2168" s="1">
        <v>75.0</v>
      </c>
      <c r="J2168" s="1">
        <v>1450000.0</v>
      </c>
      <c r="K2168" s="2">
        <v>41997.0</v>
      </c>
      <c r="L2168" s="1">
        <v>75.0</v>
      </c>
      <c r="M2168" s="2">
        <v>41997.0</v>
      </c>
      <c r="N2168" s="1" t="s">
        <v>249</v>
      </c>
      <c r="O2168" s="2">
        <v>42080.0</v>
      </c>
      <c r="P2168" s="1">
        <v>237530.0</v>
      </c>
      <c r="Q2168" s="1">
        <v>23099.0</v>
      </c>
      <c r="S2168" s="1">
        <v>239.0</v>
      </c>
      <c r="T2168" s="1" t="s">
        <v>20255</v>
      </c>
      <c r="U2168" s="1" t="s">
        <v>464</v>
      </c>
      <c r="V2168" s="1" t="s">
        <v>11508</v>
      </c>
      <c r="W2168" s="1">
        <v>60010.0</v>
      </c>
      <c r="Y2168" s="1" t="s">
        <v>20256</v>
      </c>
      <c r="Z2168" s="1">
        <v>2002.0</v>
      </c>
      <c r="AA2168" s="1" t="s">
        <v>200</v>
      </c>
      <c r="AB2168" s="1" t="s">
        <v>193</v>
      </c>
      <c r="AD2168" s="1" t="s">
        <v>11511</v>
      </c>
      <c r="AE2168" s="1" t="s">
        <v>917</v>
      </c>
      <c r="AF2168" s="1" t="s">
        <v>2008</v>
      </c>
      <c r="AG2168" s="1" t="s">
        <v>752</v>
      </c>
      <c r="AH2168" s="1" t="s">
        <v>20257</v>
      </c>
      <c r="AI2168" s="1">
        <v>2.46</v>
      </c>
      <c r="AK2168" s="1">
        <v>14.0</v>
      </c>
      <c r="AL2168" s="1">
        <v>4.0</v>
      </c>
      <c r="AM2168" s="1">
        <v>5.0</v>
      </c>
      <c r="AN2168" s="1">
        <v>2.0</v>
      </c>
      <c r="AO2168" s="1" t="s">
        <v>198</v>
      </c>
      <c r="AP2168" s="1">
        <v>4.0</v>
      </c>
      <c r="AQ2168" s="1" t="s">
        <v>327</v>
      </c>
      <c r="AR2168" s="1" t="s">
        <v>192</v>
      </c>
      <c r="AS2168" s="1" t="s">
        <v>199</v>
      </c>
      <c r="AT2168" s="1">
        <v>4.0</v>
      </c>
      <c r="AV2168" s="1" t="s">
        <v>200</v>
      </c>
      <c r="AW2168" s="1">
        <v>26150.0</v>
      </c>
      <c r="AX2168" s="1">
        <v>2012.0</v>
      </c>
      <c r="AY2168" s="1" t="s">
        <v>229</v>
      </c>
      <c r="AZ2168" s="1" t="s">
        <v>200</v>
      </c>
      <c r="BA2168" s="1" t="str">
        <f>"13121010770000"</f>
        <v>13121010770000</v>
      </c>
      <c r="BB2168" s="1" t="s">
        <v>200</v>
      </c>
      <c r="BC2168" s="1">
        <v>9234.0</v>
      </c>
      <c r="BD2168" s="1">
        <v>1350000.0</v>
      </c>
      <c r="BE2168" s="2">
        <v>41923.0</v>
      </c>
      <c r="BF2168" s="2" t="s">
        <v>20258</v>
      </c>
      <c r="BG2168" s="1" t="s">
        <v>2011</v>
      </c>
      <c r="BH2168" s="1">
        <v>0.0</v>
      </c>
      <c r="BI2168" s="1" t="s">
        <v>2012</v>
      </c>
      <c r="BJ2168" s="1" t="s">
        <v>1714</v>
      </c>
      <c r="BK2168" s="1" t="s">
        <v>204</v>
      </c>
      <c r="BL2168" s="1" t="str">
        <f>"24"</f>
        <v>24</v>
      </c>
      <c r="BM2168" s="1" t="str">
        <f t="shared" si="1418"/>
        <v>0</v>
      </c>
      <c r="BN2168" s="1">
        <v>25.0</v>
      </c>
      <c r="BO2168" s="1">
        <v>0.0</v>
      </c>
      <c r="BQ2168" s="1">
        <v>220.0</v>
      </c>
      <c r="BR2168" s="1">
        <v>220.0</v>
      </c>
      <c r="BS2168" s="1">
        <v>220.0</v>
      </c>
      <c r="BU2168" s="1" t="s">
        <v>616</v>
      </c>
      <c r="BV2168" s="1" t="s">
        <v>206</v>
      </c>
      <c r="BW2168" s="1" t="s">
        <v>207</v>
      </c>
      <c r="BX2168" s="1" t="s">
        <v>1549</v>
      </c>
      <c r="BY2168" s="1" t="s">
        <v>479</v>
      </c>
      <c r="BZ2168" s="1" t="s">
        <v>209</v>
      </c>
      <c r="CA2168" s="1" t="s">
        <v>210</v>
      </c>
      <c r="CB2168" s="1" t="s">
        <v>1549</v>
      </c>
      <c r="CC2168" s="1" t="s">
        <v>214</v>
      </c>
      <c r="CD2168" s="1" t="s">
        <v>206</v>
      </c>
      <c r="CE2168" s="1" t="s">
        <v>207</v>
      </c>
      <c r="CF2168" s="1" t="s">
        <v>1549</v>
      </c>
      <c r="CG2168" s="1" t="s">
        <v>454</v>
      </c>
      <c r="CH2168" s="1" t="s">
        <v>206</v>
      </c>
      <c r="CI2168" s="1" t="s">
        <v>210</v>
      </c>
      <c r="CJ2168" s="1" t="s">
        <v>229</v>
      </c>
      <c r="CK2168" s="1" t="s">
        <v>214</v>
      </c>
      <c r="CL2168" s="1" t="s">
        <v>209</v>
      </c>
      <c r="CM2168" s="1" t="s">
        <v>210</v>
      </c>
      <c r="CN2168" s="1" t="s">
        <v>1549</v>
      </c>
      <c r="CO2168" s="1" t="s">
        <v>361</v>
      </c>
      <c r="CP2168" s="1" t="s">
        <v>209</v>
      </c>
      <c r="CQ2168" s="1" t="s">
        <v>210</v>
      </c>
      <c r="CR2168" s="1" t="s">
        <v>1549</v>
      </c>
      <c r="CS2168" s="1" t="s">
        <v>2119</v>
      </c>
      <c r="CT2168" s="1" t="s">
        <v>206</v>
      </c>
      <c r="CU2168" s="1" t="s">
        <v>207</v>
      </c>
      <c r="CV2168" s="1" t="s">
        <v>1549</v>
      </c>
      <c r="CW2168" s="1" t="s">
        <v>641</v>
      </c>
      <c r="CX2168" s="1" t="s">
        <v>206</v>
      </c>
      <c r="CY2168" s="1" t="s">
        <v>210</v>
      </c>
      <c r="CZ2168" s="1" t="s">
        <v>1549</v>
      </c>
      <c r="DA2168" s="1" t="s">
        <v>200</v>
      </c>
      <c r="DC2168" s="1" t="s">
        <v>335</v>
      </c>
      <c r="DD2168" s="1" t="s">
        <v>1552</v>
      </c>
      <c r="DE2168" s="1" t="s">
        <v>218</v>
      </c>
      <c r="DF2168" s="1" t="s">
        <v>20259</v>
      </c>
      <c r="DG2168" s="1" t="s">
        <v>1553</v>
      </c>
      <c r="DH2168" s="1" t="s">
        <v>856</v>
      </c>
      <c r="DI2168" s="1" t="s">
        <v>20260</v>
      </c>
      <c r="DJ2168" s="1" t="s">
        <v>857</v>
      </c>
      <c r="DK2168" s="1" t="s">
        <v>223</v>
      </c>
      <c r="DL2168" s="1" t="s">
        <v>1161</v>
      </c>
      <c r="DM2168" s="1" t="s">
        <v>338</v>
      </c>
      <c r="DN2168" s="1" t="s">
        <v>20261</v>
      </c>
      <c r="DO2168" s="1" t="s">
        <v>1556</v>
      </c>
      <c r="DP2168" s="1" t="s">
        <v>340</v>
      </c>
      <c r="DQ2168" s="1" t="s">
        <v>860</v>
      </c>
      <c r="DR2168" s="1" t="s">
        <v>229</v>
      </c>
      <c r="DS2168" s="1" t="s">
        <v>5883</v>
      </c>
      <c r="DU2168" s="1" t="s">
        <v>20262</v>
      </c>
      <c r="DV2168" s="1" t="s">
        <v>20263</v>
      </c>
      <c r="DW2168" s="1" t="s">
        <v>1145</v>
      </c>
      <c r="DX2168" s="1" t="s">
        <v>234</v>
      </c>
      <c r="DY2168" s="1" t="s">
        <v>20264</v>
      </c>
      <c r="DZ2168" s="1" t="s">
        <v>20265</v>
      </c>
      <c r="EB2168" s="1" t="s">
        <v>20266</v>
      </c>
      <c r="EC2168" s="1" t="s">
        <v>237</v>
      </c>
      <c r="ED2168" s="1" t="s">
        <v>14964</v>
      </c>
      <c r="EE2168" s="1" t="s">
        <v>187</v>
      </c>
      <c r="EG2168" s="1" t="s">
        <v>449</v>
      </c>
      <c r="EH2168" s="1" t="s">
        <v>1028</v>
      </c>
      <c r="EI2168" s="1" t="s">
        <v>450</v>
      </c>
      <c r="EJ2168" s="1" t="s">
        <v>1121</v>
      </c>
      <c r="EK2168" s="1" t="s">
        <v>1432</v>
      </c>
      <c r="EL2168" s="1" t="s">
        <v>1000</v>
      </c>
      <c r="EM2168" s="1" t="s">
        <v>206</v>
      </c>
      <c r="EN2168" s="1" t="s">
        <v>207</v>
      </c>
      <c r="EO2168" s="1" t="s">
        <v>1549</v>
      </c>
      <c r="EP2168" s="1" t="s">
        <v>19472</v>
      </c>
      <c r="EQ2168" s="1" t="s">
        <v>206</v>
      </c>
      <c r="ER2168" s="1" t="s">
        <v>207</v>
      </c>
      <c r="ES2168" s="1" t="s">
        <v>229</v>
      </c>
      <c r="ET2168" s="1" t="s">
        <v>20267</v>
      </c>
      <c r="EU2168" s="1" t="s">
        <v>1697</v>
      </c>
      <c r="EV2168" s="1" t="s">
        <v>210</v>
      </c>
      <c r="EW2168" s="1" t="s">
        <v>229</v>
      </c>
      <c r="EX2168" s="1" t="s">
        <v>955</v>
      </c>
      <c r="EY2168" s="1" t="s">
        <v>209</v>
      </c>
      <c r="EZ2168" s="1" t="s">
        <v>207</v>
      </c>
      <c r="FA2168" s="1" t="s">
        <v>1549</v>
      </c>
      <c r="FB2168" s="1" t="s">
        <v>8872</v>
      </c>
      <c r="FC2168" s="1" t="s">
        <v>1697</v>
      </c>
      <c r="FD2168" s="1" t="s">
        <v>210</v>
      </c>
      <c r="FE2168" s="1" t="s">
        <v>229</v>
      </c>
      <c r="FF2168" s="1" t="s">
        <v>239</v>
      </c>
      <c r="FG2168" s="1" t="s">
        <v>192</v>
      </c>
      <c r="FH2168" s="1" t="s">
        <v>192</v>
      </c>
      <c r="FJ2168" s="1" t="s">
        <v>20268</v>
      </c>
      <c r="FK2168" s="1" t="s">
        <v>3714</v>
      </c>
      <c r="FL2168" s="1" t="s">
        <v>1358</v>
      </c>
      <c r="FM2168" s="1">
        <v>6022.0</v>
      </c>
      <c r="FN2168" s="1" t="s">
        <v>11515</v>
      </c>
      <c r="FO2168" s="1" t="s">
        <v>20269</v>
      </c>
      <c r="FP2168" s="1">
        <v>62178.0</v>
      </c>
      <c r="FQ2168" s="1" t="s">
        <v>20270</v>
      </c>
      <c r="FU2168" s="1" t="s">
        <v>20271</v>
      </c>
      <c r="FV2168" s="1" t="s">
        <v>200</v>
      </c>
      <c r="FW2168" s="1" t="s">
        <v>20272</v>
      </c>
      <c r="FZ2168" s="1" t="s">
        <v>229</v>
      </c>
      <c r="GA2168" s="1" t="s">
        <v>291</v>
      </c>
      <c r="GB2168" s="2">
        <v>42081.0</v>
      </c>
      <c r="GC2168" s="1" t="s">
        <v>20273</v>
      </c>
    </row>
    <row r="2169">
      <c r="A2169" s="1">
        <v>286500.0</v>
      </c>
      <c r="B2169" s="1" t="s">
        <v>185</v>
      </c>
      <c r="C2169" s="1" t="str">
        <f>"08745477"</f>
        <v>08745477</v>
      </c>
      <c r="D2169" s="1" t="s">
        <v>186</v>
      </c>
      <c r="F2169" s="1" t="str">
        <f>"8056"</f>
        <v>8056</v>
      </c>
      <c r="G2169" s="2">
        <v>41917.0</v>
      </c>
      <c r="H2169" s="1">
        <v>315000.0</v>
      </c>
      <c r="I2169" s="1">
        <v>10.0</v>
      </c>
      <c r="J2169" s="1">
        <v>296000.0</v>
      </c>
      <c r="K2169" s="2">
        <v>41926.0</v>
      </c>
      <c r="L2169" s="1">
        <v>10.0</v>
      </c>
      <c r="M2169" s="2">
        <v>41926.0</v>
      </c>
      <c r="N2169" s="1" t="s">
        <v>187</v>
      </c>
      <c r="O2169" s="2">
        <v>41976.0</v>
      </c>
      <c r="P2169" s="1">
        <v>237187.0</v>
      </c>
      <c r="Q2169" s="1">
        <v>24274.0</v>
      </c>
      <c r="S2169" s="1">
        <v>5310.0</v>
      </c>
      <c r="T2169" s="1" t="s">
        <v>20274</v>
      </c>
      <c r="U2169" s="1" t="s">
        <v>189</v>
      </c>
      <c r="V2169" s="1" t="s">
        <v>190</v>
      </c>
      <c r="W2169" s="1">
        <v>60638.0</v>
      </c>
      <c r="Y2169" s="1" t="s">
        <v>20275</v>
      </c>
      <c r="Z2169" s="1">
        <v>1936.0</v>
      </c>
      <c r="AA2169" s="1" t="s">
        <v>192</v>
      </c>
      <c r="AB2169" s="1" t="s">
        <v>193</v>
      </c>
      <c r="AD2169" s="1" t="s">
        <v>194</v>
      </c>
      <c r="AE2169" s="1" t="s">
        <v>195</v>
      </c>
      <c r="AF2169" s="1" t="s">
        <v>659</v>
      </c>
      <c r="AH2169" s="1" t="s">
        <v>2080</v>
      </c>
      <c r="AI2169" s="1">
        <v>0.0717</v>
      </c>
      <c r="AK2169" s="1">
        <v>8.0</v>
      </c>
      <c r="AL2169" s="1">
        <v>4.0</v>
      </c>
      <c r="AM2169" s="1">
        <v>3.0</v>
      </c>
      <c r="AN2169" s="1">
        <v>0.0</v>
      </c>
      <c r="AO2169" s="1" t="s">
        <v>1261</v>
      </c>
      <c r="AQ2169" s="1" t="s">
        <v>198</v>
      </c>
      <c r="AR2169" s="1" t="s">
        <v>192</v>
      </c>
      <c r="AS2169" s="1" t="s">
        <v>510</v>
      </c>
      <c r="AT2169" s="1">
        <v>2.5</v>
      </c>
      <c r="AU2169" s="1">
        <v>2.0</v>
      </c>
      <c r="AV2169" s="1" t="s">
        <v>200</v>
      </c>
      <c r="AW2169" s="1">
        <v>3476.8</v>
      </c>
      <c r="AX2169" s="1">
        <v>2012.0</v>
      </c>
      <c r="AZ2169" s="1" t="s">
        <v>200</v>
      </c>
      <c r="BA2169" s="1" t="str">
        <f>"19084200150000"</f>
        <v>19084200150000</v>
      </c>
      <c r="BB2169" s="1" t="s">
        <v>192</v>
      </c>
      <c r="BC2169" s="1">
        <v>1900.0</v>
      </c>
      <c r="BD2169" s="1">
        <v>286500.0</v>
      </c>
      <c r="BE2169" s="2">
        <v>41917.0</v>
      </c>
      <c r="BF2169" s="2" t="s">
        <v>20276</v>
      </c>
      <c r="BH2169" s="1">
        <v>0.0</v>
      </c>
      <c r="BK2169" s="1" t="s">
        <v>204</v>
      </c>
      <c r="BL2169" s="1" t="str">
        <f t="shared" ref="BL2169:BM2169" si="1419">"0"</f>
        <v>0</v>
      </c>
      <c r="BM2169" s="1" t="str">
        <f t="shared" si="1419"/>
        <v>0</v>
      </c>
      <c r="BN2169" s="1">
        <v>5732.0</v>
      </c>
      <c r="BO2169" s="1">
        <v>5310.0</v>
      </c>
      <c r="BQ2169" s="1">
        <v>299.0</v>
      </c>
      <c r="BR2169" s="1">
        <v>299.0</v>
      </c>
      <c r="BS2169" s="1">
        <v>299.0</v>
      </c>
      <c r="BU2169" s="1" t="s">
        <v>664</v>
      </c>
      <c r="BV2169" s="1" t="s">
        <v>206</v>
      </c>
      <c r="BW2169" s="1" t="s">
        <v>207</v>
      </c>
      <c r="BY2169" s="1" t="s">
        <v>2082</v>
      </c>
      <c r="BZ2169" s="1" t="s">
        <v>209</v>
      </c>
      <c r="CA2169" s="1" t="s">
        <v>207</v>
      </c>
      <c r="CC2169" s="1" t="s">
        <v>266</v>
      </c>
      <c r="CD2169" s="1" t="s">
        <v>206</v>
      </c>
      <c r="CE2169" s="1" t="s">
        <v>207</v>
      </c>
      <c r="CG2169" s="1" t="s">
        <v>1351</v>
      </c>
      <c r="CH2169" s="1" t="s">
        <v>209</v>
      </c>
      <c r="CI2169" s="1" t="s">
        <v>207</v>
      </c>
      <c r="CK2169" s="1" t="s">
        <v>1351</v>
      </c>
      <c r="CL2169" s="1" t="s">
        <v>209</v>
      </c>
      <c r="CM2169" s="1" t="s">
        <v>207</v>
      </c>
      <c r="CO2169" s="1" t="s">
        <v>1417</v>
      </c>
      <c r="CP2169" s="1" t="s">
        <v>206</v>
      </c>
      <c r="CQ2169" s="1" t="s">
        <v>207</v>
      </c>
      <c r="CS2169" s="1" t="s">
        <v>215</v>
      </c>
      <c r="CT2169" s="1" t="s">
        <v>206</v>
      </c>
      <c r="CU2169" s="1" t="s">
        <v>207</v>
      </c>
      <c r="CW2169" s="1" t="s">
        <v>334</v>
      </c>
      <c r="CX2169" s="1" t="s">
        <v>42</v>
      </c>
      <c r="CY2169" s="1" t="s">
        <v>1136</v>
      </c>
      <c r="DA2169" s="1" t="s">
        <v>200</v>
      </c>
      <c r="DC2169" s="1" t="s">
        <v>1399</v>
      </c>
      <c r="DD2169" s="1" t="s">
        <v>731</v>
      </c>
      <c r="DE2169" s="1" t="s">
        <v>273</v>
      </c>
      <c r="DF2169" s="1" t="s">
        <v>619</v>
      </c>
      <c r="DG2169" s="1" t="s">
        <v>2311</v>
      </c>
      <c r="DH2169" s="1" t="s">
        <v>365</v>
      </c>
      <c r="DI2169" s="1" t="s">
        <v>8963</v>
      </c>
      <c r="DJ2169" s="1" t="s">
        <v>222</v>
      </c>
      <c r="DL2169" s="1" t="s">
        <v>224</v>
      </c>
      <c r="DM2169" s="1" t="s">
        <v>398</v>
      </c>
      <c r="DN2169" s="1" t="s">
        <v>20277</v>
      </c>
      <c r="DO2169" s="1" t="s">
        <v>549</v>
      </c>
      <c r="DP2169" s="1" t="s">
        <v>340</v>
      </c>
      <c r="DQ2169" s="1" t="s">
        <v>228</v>
      </c>
      <c r="DR2169" s="1" t="s">
        <v>229</v>
      </c>
      <c r="DS2169" s="1" t="s">
        <v>277</v>
      </c>
      <c r="DV2169" s="1" t="s">
        <v>232</v>
      </c>
      <c r="DW2169" s="1" t="s">
        <v>279</v>
      </c>
      <c r="DX2169" s="1" t="s">
        <v>234</v>
      </c>
      <c r="DY2169" s="1" t="s">
        <v>553</v>
      </c>
      <c r="EA2169" s="1" t="s">
        <v>1075</v>
      </c>
      <c r="EC2169" s="1" t="s">
        <v>237</v>
      </c>
      <c r="ED2169" s="1" t="s">
        <v>407</v>
      </c>
      <c r="EE2169" s="1" t="s">
        <v>493</v>
      </c>
      <c r="EF2169" s="1" t="s">
        <v>834</v>
      </c>
      <c r="EM2169" s="1" t="s">
        <v>238</v>
      </c>
      <c r="EQ2169" s="1" t="s">
        <v>238</v>
      </c>
      <c r="EU2169" s="1" t="s">
        <v>238</v>
      </c>
      <c r="EY2169" s="1" t="s">
        <v>238</v>
      </c>
      <c r="FC2169" s="1" t="s">
        <v>238</v>
      </c>
      <c r="FF2169" s="1" t="s">
        <v>239</v>
      </c>
      <c r="FG2169" s="1" t="s">
        <v>200</v>
      </c>
      <c r="FH2169" s="1" t="s">
        <v>192</v>
      </c>
      <c r="FJ2169" s="1" t="s">
        <v>1493</v>
      </c>
      <c r="FK2169" s="1" t="s">
        <v>229</v>
      </c>
      <c r="FL2169" s="1" t="s">
        <v>8434</v>
      </c>
      <c r="FM2169" s="1">
        <v>85188.0</v>
      </c>
      <c r="FN2169" s="1" t="s">
        <v>8435</v>
      </c>
      <c r="FO2169" s="1" t="s">
        <v>20278</v>
      </c>
      <c r="FP2169" s="1">
        <v>874352.0</v>
      </c>
      <c r="FS2169" s="1" t="s">
        <v>20279</v>
      </c>
      <c r="FU2169" s="1" t="s">
        <v>4958</v>
      </c>
      <c r="FV2169" s="1" t="s">
        <v>192</v>
      </c>
      <c r="FW2169" s="1" t="s">
        <v>20280</v>
      </c>
      <c r="FX2169" s="1" t="s">
        <v>655</v>
      </c>
      <c r="FZ2169" s="1" t="s">
        <v>229</v>
      </c>
      <c r="GA2169" s="1" t="s">
        <v>291</v>
      </c>
      <c r="GB2169" s="2">
        <v>41977.0</v>
      </c>
      <c r="GC2169" s="1" t="s">
        <v>20281</v>
      </c>
    </row>
    <row r="2170">
      <c r="A2170" s="1">
        <v>545000.0</v>
      </c>
      <c r="B2170" s="1" t="s">
        <v>185</v>
      </c>
      <c r="C2170" s="1" t="str">
        <f>"08744511"</f>
        <v>08744511</v>
      </c>
      <c r="D2170" s="1" t="s">
        <v>186</v>
      </c>
      <c r="F2170" s="1" t="str">
        <f>"8011"</f>
        <v>8011</v>
      </c>
      <c r="G2170" s="2">
        <v>41915.0</v>
      </c>
      <c r="H2170" s="1">
        <v>549975.0</v>
      </c>
      <c r="I2170" s="1">
        <v>378.0</v>
      </c>
      <c r="J2170" s="1">
        <v>549975.0</v>
      </c>
      <c r="K2170" s="2">
        <v>42027.0</v>
      </c>
      <c r="L2170" s="1">
        <v>113.0</v>
      </c>
      <c r="M2170" s="2">
        <v>42027.0</v>
      </c>
      <c r="N2170" s="1" t="s">
        <v>187</v>
      </c>
      <c r="O2170" s="2">
        <v>42062.0</v>
      </c>
      <c r="P2170" s="1">
        <v>875823.0</v>
      </c>
      <c r="Q2170" s="1">
        <v>14470.0</v>
      </c>
      <c r="S2170" s="1">
        <v>5658.0</v>
      </c>
      <c r="T2170" s="1" t="s">
        <v>20282</v>
      </c>
      <c r="U2170" s="1" t="s">
        <v>189</v>
      </c>
      <c r="V2170" s="1" t="s">
        <v>190</v>
      </c>
      <c r="W2170" s="1">
        <v>60646.0</v>
      </c>
      <c r="Y2170" s="1" t="s">
        <v>20283</v>
      </c>
      <c r="Z2170" s="1">
        <v>2014.0</v>
      </c>
      <c r="AA2170" s="1" t="s">
        <v>200</v>
      </c>
      <c r="AB2170" s="1" t="s">
        <v>193</v>
      </c>
      <c r="AD2170" s="1" t="s">
        <v>194</v>
      </c>
      <c r="AE2170" s="1" t="s">
        <v>195</v>
      </c>
      <c r="AF2170" s="1" t="s">
        <v>196</v>
      </c>
      <c r="AG2170" s="1" t="s">
        <v>10850</v>
      </c>
      <c r="AH2170" s="1" t="s">
        <v>20284</v>
      </c>
      <c r="AK2170" s="1">
        <v>9.0</v>
      </c>
      <c r="AL2170" s="1">
        <v>3.0</v>
      </c>
      <c r="AM2170" s="1">
        <v>3.0</v>
      </c>
      <c r="AN2170" s="1">
        <v>1.0</v>
      </c>
      <c r="AO2170" s="1" t="s">
        <v>198</v>
      </c>
      <c r="AP2170" s="1">
        <v>1.0</v>
      </c>
      <c r="AQ2170" s="1" t="s">
        <v>198</v>
      </c>
      <c r="AR2170" s="1" t="s">
        <v>192</v>
      </c>
      <c r="AS2170" s="1" t="s">
        <v>199</v>
      </c>
      <c r="AT2170" s="1">
        <v>2.0</v>
      </c>
      <c r="AV2170" s="1" t="s">
        <v>200</v>
      </c>
      <c r="AW2170" s="1" t="s">
        <v>575</v>
      </c>
      <c r="AX2170" s="1">
        <v>2013.0</v>
      </c>
      <c r="AZ2170" s="1" t="s">
        <v>200</v>
      </c>
      <c r="BA2170" s="1" t="str">
        <f>"13043120560000"</f>
        <v>13043120560000</v>
      </c>
      <c r="BC2170" s="1">
        <v>3772.0</v>
      </c>
      <c r="BD2170" s="1">
        <v>545000.0</v>
      </c>
      <c r="BE2170" s="2">
        <v>41915.0</v>
      </c>
      <c r="BF2170" s="2" t="s">
        <v>20285</v>
      </c>
      <c r="BH2170" s="1">
        <v>125.0</v>
      </c>
      <c r="BK2170" s="1" t="s">
        <v>474</v>
      </c>
      <c r="BL2170" s="1" t="str">
        <f>"5701"</f>
        <v>5701</v>
      </c>
      <c r="BM2170" s="1" t="str">
        <f t="shared" ref="BM2170:BM2171" si="1420">"0"</f>
        <v>0</v>
      </c>
      <c r="BN2170" s="1">
        <v>5200.0</v>
      </c>
      <c r="BO2170" s="1">
        <v>0.0</v>
      </c>
      <c r="BQ2170" s="1">
        <v>299.0</v>
      </c>
      <c r="BR2170" s="1">
        <v>299.0</v>
      </c>
      <c r="BS2170" s="1">
        <v>299.0</v>
      </c>
      <c r="BU2170" s="1" t="s">
        <v>208</v>
      </c>
      <c r="BV2170" s="1" t="s">
        <v>206</v>
      </c>
      <c r="BW2170" s="1" t="s">
        <v>207</v>
      </c>
      <c r="BY2170" s="1" t="s">
        <v>924</v>
      </c>
      <c r="BZ2170" s="1" t="s">
        <v>209</v>
      </c>
      <c r="CA2170" s="1" t="s">
        <v>210</v>
      </c>
      <c r="CC2170" s="1" t="s">
        <v>925</v>
      </c>
      <c r="CD2170" s="1" t="s">
        <v>206</v>
      </c>
      <c r="CE2170" s="1" t="s">
        <v>207</v>
      </c>
      <c r="CG2170" s="1" t="s">
        <v>1183</v>
      </c>
      <c r="CH2170" s="1" t="s">
        <v>209</v>
      </c>
      <c r="CI2170" s="1" t="s">
        <v>210</v>
      </c>
      <c r="CK2170" s="1" t="s">
        <v>302</v>
      </c>
      <c r="CL2170" s="1" t="s">
        <v>209</v>
      </c>
      <c r="CM2170" s="1" t="s">
        <v>210</v>
      </c>
      <c r="CO2170" s="1" t="s">
        <v>302</v>
      </c>
      <c r="CP2170" s="1" t="s">
        <v>42</v>
      </c>
      <c r="CQ2170" s="1" t="s">
        <v>210</v>
      </c>
      <c r="CS2170" s="1" t="s">
        <v>1417</v>
      </c>
      <c r="CT2170" s="1" t="s">
        <v>206</v>
      </c>
      <c r="CU2170" s="1" t="s">
        <v>207</v>
      </c>
      <c r="CW2170" s="1" t="s">
        <v>390</v>
      </c>
      <c r="CX2170" s="1" t="s">
        <v>206</v>
      </c>
      <c r="CY2170" s="1" t="s">
        <v>207</v>
      </c>
      <c r="DA2170" s="1" t="s">
        <v>192</v>
      </c>
      <c r="DB2170" s="2">
        <v>41944.0</v>
      </c>
      <c r="DC2170" s="1" t="s">
        <v>744</v>
      </c>
      <c r="DD2170" s="1" t="s">
        <v>759</v>
      </c>
      <c r="DE2170" s="1" t="s">
        <v>273</v>
      </c>
      <c r="DF2170" s="1" t="s">
        <v>3258</v>
      </c>
      <c r="DH2170" s="1" t="s">
        <v>365</v>
      </c>
      <c r="DI2170" s="1" t="s">
        <v>1003</v>
      </c>
      <c r="DJ2170" s="1" t="s">
        <v>222</v>
      </c>
      <c r="DL2170" s="1" t="s">
        <v>224</v>
      </c>
      <c r="DM2170" s="1" t="s">
        <v>229</v>
      </c>
      <c r="DN2170" s="1" t="s">
        <v>548</v>
      </c>
      <c r="DQ2170" s="1" t="s">
        <v>228</v>
      </c>
      <c r="DR2170" s="1" t="s">
        <v>6136</v>
      </c>
      <c r="DU2170" s="1" t="s">
        <v>7122</v>
      </c>
      <c r="DV2170" s="1" t="s">
        <v>450</v>
      </c>
      <c r="DW2170" s="1" t="s">
        <v>1957</v>
      </c>
      <c r="DX2170" s="1" t="s">
        <v>234</v>
      </c>
      <c r="DZ2170" s="1" t="s">
        <v>310</v>
      </c>
      <c r="EC2170" s="1" t="s">
        <v>237</v>
      </c>
      <c r="ED2170" s="1" t="s">
        <v>407</v>
      </c>
      <c r="EG2170" s="1" t="s">
        <v>450</v>
      </c>
      <c r="EL2170" s="1" t="s">
        <v>2625</v>
      </c>
      <c r="EM2170" s="1" t="s">
        <v>42</v>
      </c>
      <c r="EN2170" s="1" t="s">
        <v>210</v>
      </c>
      <c r="EQ2170" s="1" t="s">
        <v>238</v>
      </c>
      <c r="EU2170" s="1" t="s">
        <v>238</v>
      </c>
      <c r="EY2170" s="1" t="s">
        <v>238</v>
      </c>
      <c r="FC2170" s="1" t="s">
        <v>238</v>
      </c>
      <c r="FF2170" s="1" t="s">
        <v>239</v>
      </c>
      <c r="FG2170" s="1" t="s">
        <v>192</v>
      </c>
      <c r="FH2170" s="1" t="s">
        <v>192</v>
      </c>
      <c r="FJ2170" s="1" t="s">
        <v>799</v>
      </c>
      <c r="FK2170" s="1" t="s">
        <v>229</v>
      </c>
      <c r="FL2170" s="1" t="s">
        <v>3156</v>
      </c>
      <c r="FM2170" s="1">
        <v>84729.0</v>
      </c>
      <c r="FN2170" s="1" t="s">
        <v>3157</v>
      </c>
      <c r="FO2170" s="1" t="s">
        <v>4104</v>
      </c>
      <c r="FP2170" s="1">
        <v>106635.0</v>
      </c>
      <c r="FQ2170" s="1" t="s">
        <v>4105</v>
      </c>
      <c r="FU2170" s="1" t="s">
        <v>20286</v>
      </c>
      <c r="FV2170" s="1" t="s">
        <v>200</v>
      </c>
      <c r="FW2170" s="1" t="s">
        <v>290</v>
      </c>
      <c r="FX2170" s="1" t="s">
        <v>238</v>
      </c>
      <c r="FZ2170" s="1" t="s">
        <v>229</v>
      </c>
      <c r="GA2170" s="1" t="s">
        <v>291</v>
      </c>
      <c r="GB2170" s="2">
        <v>42072.0</v>
      </c>
      <c r="GC2170" s="1" t="s">
        <v>20287</v>
      </c>
    </row>
    <row r="2171">
      <c r="A2171" s="1">
        <v>197000.0</v>
      </c>
      <c r="B2171" s="1" t="s">
        <v>185</v>
      </c>
      <c r="C2171" s="1" t="str">
        <f>"08748524"</f>
        <v>08748524</v>
      </c>
      <c r="D2171" s="1" t="s">
        <v>186</v>
      </c>
      <c r="F2171" s="1" t="str">
        <f>"103"</f>
        <v>103</v>
      </c>
      <c r="G2171" s="2">
        <v>41920.0</v>
      </c>
      <c r="H2171" s="1">
        <v>204900.0</v>
      </c>
      <c r="I2171" s="1">
        <v>102.0</v>
      </c>
      <c r="J2171" s="1">
        <v>199900.0</v>
      </c>
      <c r="K2171" s="2">
        <v>42021.0</v>
      </c>
      <c r="L2171" s="1">
        <v>102.0</v>
      </c>
      <c r="M2171" s="2">
        <v>42021.0</v>
      </c>
      <c r="N2171" s="1" t="s">
        <v>356</v>
      </c>
      <c r="O2171" s="2">
        <v>42055.0</v>
      </c>
      <c r="P2171" s="1">
        <v>76344.0</v>
      </c>
      <c r="Q2171" s="1">
        <v>7032.0</v>
      </c>
      <c r="R2171" s="1">
        <v>4500.0</v>
      </c>
      <c r="S2171" s="1">
        <v>7406.0</v>
      </c>
      <c r="T2171" s="1" t="s">
        <v>20288</v>
      </c>
      <c r="U2171" s="1" t="s">
        <v>1015</v>
      </c>
      <c r="V2171" s="1" t="s">
        <v>251</v>
      </c>
      <c r="W2171" s="1">
        <v>60133.0</v>
      </c>
      <c r="Y2171" s="1" t="s">
        <v>20289</v>
      </c>
      <c r="Z2171" s="1">
        <v>1968.0</v>
      </c>
      <c r="AA2171" s="1" t="s">
        <v>192</v>
      </c>
      <c r="AB2171" s="1" t="s">
        <v>193</v>
      </c>
      <c r="AC2171" s="1" t="s">
        <v>253</v>
      </c>
      <c r="AD2171" s="1" t="s">
        <v>254</v>
      </c>
      <c r="AE2171" s="1" t="s">
        <v>195</v>
      </c>
      <c r="AF2171" s="1" t="s">
        <v>255</v>
      </c>
      <c r="AG2171" s="1" t="s">
        <v>874</v>
      </c>
      <c r="AH2171" s="1" t="s">
        <v>20290</v>
      </c>
      <c r="AI2171" s="1">
        <v>0.2</v>
      </c>
      <c r="AK2171" s="1">
        <v>8.0</v>
      </c>
      <c r="AL2171" s="1">
        <v>4.0</v>
      </c>
      <c r="AM2171" s="1">
        <v>2.0</v>
      </c>
      <c r="AN2171" s="1">
        <v>0.0</v>
      </c>
      <c r="AO2171" s="1" t="s">
        <v>198</v>
      </c>
      <c r="AP2171" s="1">
        <v>0.0</v>
      </c>
      <c r="AQ2171" s="1" t="s">
        <v>229</v>
      </c>
      <c r="AR2171" s="1" t="s">
        <v>200</v>
      </c>
      <c r="AS2171" s="1" t="s">
        <v>199</v>
      </c>
      <c r="AT2171" s="1">
        <v>1.0</v>
      </c>
      <c r="AV2171" s="1" t="s">
        <v>200</v>
      </c>
      <c r="AW2171" s="1">
        <v>4587.0</v>
      </c>
      <c r="AX2171" s="1">
        <v>2013.0</v>
      </c>
      <c r="AY2171" s="1" t="s">
        <v>387</v>
      </c>
      <c r="AZ2171" s="1" t="s">
        <v>200</v>
      </c>
      <c r="BA2171" s="1" t="str">
        <f>"07304100420000"</f>
        <v>07304100420000</v>
      </c>
      <c r="BC2171" s="1">
        <v>1700.0</v>
      </c>
      <c r="BD2171" s="1">
        <v>197000.0</v>
      </c>
      <c r="BE2171" s="2">
        <v>41920.0</v>
      </c>
      <c r="BF2171" s="2" t="s">
        <v>20291</v>
      </c>
      <c r="BG2171" s="1" t="s">
        <v>14535</v>
      </c>
      <c r="BH2171" s="1">
        <v>0.0</v>
      </c>
      <c r="BI2171" s="1" t="s">
        <v>8447</v>
      </c>
      <c r="BJ2171" s="1" t="s">
        <v>8448</v>
      </c>
      <c r="BK2171" s="1" t="s">
        <v>204</v>
      </c>
      <c r="BL2171" s="1" t="str">
        <f>"9"</f>
        <v>9</v>
      </c>
      <c r="BM2171" s="1" t="str">
        <f t="shared" si="1420"/>
        <v>0</v>
      </c>
      <c r="BN2171" s="1">
        <v>26.0</v>
      </c>
      <c r="BO2171" s="1">
        <v>0.0</v>
      </c>
      <c r="BQ2171" s="1">
        <v>54.0</v>
      </c>
      <c r="BR2171" s="1">
        <v>211.0</v>
      </c>
      <c r="BS2171" s="1">
        <v>54.0</v>
      </c>
      <c r="BU2171" s="1" t="s">
        <v>854</v>
      </c>
      <c r="BV2171" s="1" t="s">
        <v>206</v>
      </c>
      <c r="BW2171" s="1" t="s">
        <v>301</v>
      </c>
      <c r="BX2171" s="1" t="s">
        <v>431</v>
      </c>
      <c r="BY2171" s="1" t="s">
        <v>758</v>
      </c>
      <c r="BZ2171" s="1" t="s">
        <v>206</v>
      </c>
      <c r="CA2171" s="1" t="s">
        <v>301</v>
      </c>
      <c r="CC2171" s="1" t="s">
        <v>497</v>
      </c>
      <c r="CD2171" s="1" t="s">
        <v>206</v>
      </c>
      <c r="CE2171" s="1" t="s">
        <v>301</v>
      </c>
      <c r="CF2171" s="1" t="s">
        <v>431</v>
      </c>
      <c r="CG2171" s="1" t="s">
        <v>392</v>
      </c>
      <c r="CH2171" s="1" t="s">
        <v>206</v>
      </c>
      <c r="CI2171" s="1" t="s">
        <v>210</v>
      </c>
      <c r="CJ2171" s="1" t="s">
        <v>431</v>
      </c>
      <c r="CK2171" s="1" t="s">
        <v>269</v>
      </c>
      <c r="CL2171" s="1" t="s">
        <v>206</v>
      </c>
      <c r="CM2171" s="1" t="s">
        <v>301</v>
      </c>
      <c r="CN2171" s="1" t="s">
        <v>431</v>
      </c>
      <c r="CO2171" s="1" t="s">
        <v>269</v>
      </c>
      <c r="CP2171" s="1" t="s">
        <v>206</v>
      </c>
      <c r="CQ2171" s="1" t="s">
        <v>301</v>
      </c>
      <c r="CR2171" s="1" t="s">
        <v>431</v>
      </c>
      <c r="CS2171" s="1" t="s">
        <v>1064</v>
      </c>
      <c r="CT2171" s="1" t="s">
        <v>206</v>
      </c>
      <c r="CU2171" s="1" t="s">
        <v>268</v>
      </c>
      <c r="CW2171" s="1" t="s">
        <v>3595</v>
      </c>
      <c r="CX2171" s="1" t="s">
        <v>206</v>
      </c>
      <c r="CY2171" s="1" t="s">
        <v>210</v>
      </c>
      <c r="DA2171" s="1" t="s">
        <v>200</v>
      </c>
      <c r="DC2171" s="1" t="s">
        <v>517</v>
      </c>
      <c r="DE2171" s="1" t="s">
        <v>273</v>
      </c>
      <c r="DF2171" s="1" t="s">
        <v>219</v>
      </c>
      <c r="DG2171" s="1" t="s">
        <v>337</v>
      </c>
      <c r="DH2171" s="1" t="s">
        <v>220</v>
      </c>
      <c r="DI2171" s="1" t="s">
        <v>308</v>
      </c>
      <c r="DJ2171" s="1" t="s">
        <v>222</v>
      </c>
      <c r="DL2171" s="1" t="s">
        <v>229</v>
      </c>
      <c r="DM2171" s="1" t="s">
        <v>229</v>
      </c>
      <c r="DO2171" s="1" t="s">
        <v>549</v>
      </c>
      <c r="DP2171" s="1" t="s">
        <v>276</v>
      </c>
      <c r="DQ2171" s="1" t="s">
        <v>228</v>
      </c>
      <c r="DR2171" s="1" t="s">
        <v>229</v>
      </c>
      <c r="DV2171" s="1" t="s">
        <v>232</v>
      </c>
      <c r="DW2171" s="1" t="s">
        <v>279</v>
      </c>
      <c r="DX2171" s="1" t="s">
        <v>234</v>
      </c>
      <c r="DY2171" s="1" t="s">
        <v>861</v>
      </c>
      <c r="DZ2171" s="1" t="s">
        <v>1661</v>
      </c>
      <c r="EA2171" s="1" t="s">
        <v>683</v>
      </c>
      <c r="EC2171" s="1" t="s">
        <v>685</v>
      </c>
      <c r="EE2171" s="1" t="s">
        <v>20292</v>
      </c>
      <c r="EM2171" s="1" t="s">
        <v>238</v>
      </c>
      <c r="EQ2171" s="1" t="s">
        <v>238</v>
      </c>
      <c r="EU2171" s="1" t="s">
        <v>238</v>
      </c>
      <c r="EY2171" s="1" t="s">
        <v>238</v>
      </c>
      <c r="FC2171" s="1" t="s">
        <v>238</v>
      </c>
      <c r="FF2171" s="1" t="s">
        <v>239</v>
      </c>
      <c r="FG2171" s="1" t="s">
        <v>192</v>
      </c>
      <c r="FH2171" s="1" t="s">
        <v>192</v>
      </c>
      <c r="FJ2171" s="1" t="s">
        <v>20293</v>
      </c>
      <c r="FK2171" s="1" t="s">
        <v>348</v>
      </c>
      <c r="FL2171" s="1" t="s">
        <v>20294</v>
      </c>
      <c r="FM2171" s="1">
        <v>24475.0</v>
      </c>
      <c r="FN2171" s="1" t="s">
        <v>20295</v>
      </c>
      <c r="FO2171" s="1" t="s">
        <v>20296</v>
      </c>
      <c r="FP2171" s="1">
        <v>238944.0</v>
      </c>
      <c r="FR2171" s="1">
        <v>223030.0</v>
      </c>
      <c r="FS2171" s="1" t="s">
        <v>20297</v>
      </c>
      <c r="FT2171" s="1" t="s">
        <v>20298</v>
      </c>
      <c r="FU2171" s="1" t="s">
        <v>20299</v>
      </c>
      <c r="FV2171" s="1" t="s">
        <v>200</v>
      </c>
      <c r="FW2171" s="1" t="s">
        <v>654</v>
      </c>
      <c r="FZ2171" s="1" t="s">
        <v>229</v>
      </c>
      <c r="GA2171" s="1" t="s">
        <v>291</v>
      </c>
      <c r="GB2171" s="2">
        <v>42056.0</v>
      </c>
      <c r="GC2171" s="1" t="s">
        <v>20300</v>
      </c>
    </row>
    <row r="2172">
      <c r="A2172" s="1">
        <v>12000.0</v>
      </c>
      <c r="B2172" s="1" t="s">
        <v>185</v>
      </c>
      <c r="C2172" s="1" t="str">
        <f>"08749742"</f>
        <v>08749742</v>
      </c>
      <c r="D2172" s="1" t="s">
        <v>186</v>
      </c>
      <c r="F2172" s="1" t="str">
        <f>"8069"</f>
        <v>8069</v>
      </c>
      <c r="G2172" s="2">
        <v>41921.0</v>
      </c>
      <c r="H2172" s="1">
        <v>14900.0</v>
      </c>
      <c r="I2172" s="1">
        <v>228.0</v>
      </c>
      <c r="J2172" s="1">
        <v>14900.0</v>
      </c>
      <c r="K2172" s="2">
        <v>42016.0</v>
      </c>
      <c r="L2172" s="1">
        <v>97.0</v>
      </c>
      <c r="M2172" s="2">
        <v>42016.0</v>
      </c>
      <c r="N2172" s="1" t="s">
        <v>249</v>
      </c>
      <c r="O2172" s="2">
        <v>42030.0</v>
      </c>
      <c r="P2172" s="1">
        <v>217706.0</v>
      </c>
      <c r="Q2172" s="1">
        <v>24050.0</v>
      </c>
      <c r="S2172" s="1">
        <v>6834.0</v>
      </c>
      <c r="T2172" s="1" t="s">
        <v>2966</v>
      </c>
      <c r="U2172" s="1" t="s">
        <v>189</v>
      </c>
      <c r="V2172" s="1" t="s">
        <v>190</v>
      </c>
      <c r="W2172" s="1">
        <v>60637.0</v>
      </c>
      <c r="Y2172" s="1" t="s">
        <v>20301</v>
      </c>
      <c r="Z2172" s="1">
        <v>1902.0</v>
      </c>
      <c r="AA2172" s="1" t="s">
        <v>192</v>
      </c>
      <c r="AB2172" s="1" t="s">
        <v>193</v>
      </c>
      <c r="AD2172" s="1" t="s">
        <v>194</v>
      </c>
      <c r="AE2172" s="1" t="s">
        <v>195</v>
      </c>
      <c r="AF2172" s="1" t="s">
        <v>637</v>
      </c>
      <c r="AH2172" s="1" t="s">
        <v>20302</v>
      </c>
      <c r="AI2172" s="1">
        <v>0.1022</v>
      </c>
      <c r="AK2172" s="1">
        <v>7.0</v>
      </c>
      <c r="AL2172" s="1">
        <v>4.0</v>
      </c>
      <c r="AM2172" s="1">
        <v>2.0</v>
      </c>
      <c r="AN2172" s="1">
        <v>0.0</v>
      </c>
      <c r="AO2172" s="1" t="s">
        <v>229</v>
      </c>
      <c r="AQ2172" s="1" t="s">
        <v>198</v>
      </c>
      <c r="AR2172" s="1" t="s">
        <v>200</v>
      </c>
      <c r="AS2172" s="1" t="s">
        <v>199</v>
      </c>
      <c r="AT2172" s="1">
        <v>1.0</v>
      </c>
      <c r="AV2172" s="1" t="s">
        <v>200</v>
      </c>
      <c r="AW2172" s="1">
        <v>877.51</v>
      </c>
      <c r="AX2172" s="1">
        <v>2013.0</v>
      </c>
      <c r="AY2172" s="1" t="s">
        <v>229</v>
      </c>
      <c r="AZ2172" s="1" t="s">
        <v>200</v>
      </c>
      <c r="BA2172" s="1" t="str">
        <f>"20223100380000"</f>
        <v>20223100380000</v>
      </c>
      <c r="BC2172" s="1">
        <v>1200.0</v>
      </c>
      <c r="BD2172" s="1">
        <v>12000.0</v>
      </c>
      <c r="BE2172" s="2">
        <v>41920.0</v>
      </c>
      <c r="BF2172" s="2" t="s">
        <v>20303</v>
      </c>
      <c r="BH2172" s="1">
        <v>0.0</v>
      </c>
      <c r="BK2172" s="1" t="s">
        <v>204</v>
      </c>
      <c r="BL2172" s="1" t="str">
        <f>"0"</f>
        <v>0</v>
      </c>
      <c r="BM2172" s="1" t="str">
        <f>"332"</f>
        <v>332</v>
      </c>
      <c r="BN2172" s="1">
        <v>0.0</v>
      </c>
      <c r="BO2172" s="1">
        <v>6800.0</v>
      </c>
      <c r="BQ2172" s="1">
        <v>299.0</v>
      </c>
      <c r="BR2172" s="1">
        <v>299.0</v>
      </c>
      <c r="BS2172" s="1">
        <v>299.0</v>
      </c>
      <c r="BU2172" s="1" t="s">
        <v>758</v>
      </c>
      <c r="BV2172" s="1" t="s">
        <v>206</v>
      </c>
      <c r="BY2172" s="1" t="s">
        <v>329</v>
      </c>
      <c r="BZ2172" s="1" t="s">
        <v>206</v>
      </c>
      <c r="CC2172" s="1" t="s">
        <v>363</v>
      </c>
      <c r="CD2172" s="1" t="s">
        <v>206</v>
      </c>
      <c r="CG2172" s="1" t="s">
        <v>215</v>
      </c>
      <c r="CH2172" s="1" t="s">
        <v>209</v>
      </c>
      <c r="CK2172" s="1" t="s">
        <v>215</v>
      </c>
      <c r="CL2172" s="1" t="s">
        <v>209</v>
      </c>
      <c r="CO2172" s="1" t="s">
        <v>212</v>
      </c>
      <c r="CP2172" s="1" t="s">
        <v>209</v>
      </c>
      <c r="CS2172" s="1" t="s">
        <v>543</v>
      </c>
      <c r="CT2172" s="1" t="s">
        <v>206</v>
      </c>
      <c r="CX2172" s="1" t="s">
        <v>204</v>
      </c>
      <c r="DA2172" s="1" t="s">
        <v>200</v>
      </c>
      <c r="DC2172" s="1" t="s">
        <v>642</v>
      </c>
      <c r="DE2172" s="1" t="s">
        <v>229</v>
      </c>
      <c r="DF2172" s="1" t="s">
        <v>4086</v>
      </c>
      <c r="DG2172" s="1" t="s">
        <v>2311</v>
      </c>
      <c r="DH2172" s="1" t="s">
        <v>307</v>
      </c>
      <c r="DJ2172" s="1" t="s">
        <v>1048</v>
      </c>
      <c r="DL2172" s="1" t="s">
        <v>858</v>
      </c>
      <c r="DM2172" s="1" t="s">
        <v>229</v>
      </c>
      <c r="DQ2172" s="1" t="s">
        <v>228</v>
      </c>
      <c r="DR2172" s="1" t="s">
        <v>229</v>
      </c>
      <c r="DV2172" s="1" t="s">
        <v>232</v>
      </c>
      <c r="DW2172" s="1" t="s">
        <v>279</v>
      </c>
      <c r="DX2172" s="1" t="s">
        <v>234</v>
      </c>
      <c r="DY2172" s="1" t="s">
        <v>987</v>
      </c>
      <c r="EC2172" s="1" t="s">
        <v>645</v>
      </c>
      <c r="EE2172" s="1" t="s">
        <v>1673</v>
      </c>
      <c r="EM2172" s="1" t="s">
        <v>238</v>
      </c>
      <c r="EQ2172" s="1" t="s">
        <v>238</v>
      </c>
      <c r="EU2172" s="1" t="s">
        <v>238</v>
      </c>
      <c r="EY2172" s="1" t="s">
        <v>238</v>
      </c>
      <c r="FC2172" s="1" t="s">
        <v>238</v>
      </c>
      <c r="FF2172" s="1" t="s">
        <v>239</v>
      </c>
      <c r="FG2172" s="1" t="s">
        <v>192</v>
      </c>
      <c r="FH2172" s="1" t="s">
        <v>192</v>
      </c>
      <c r="FJ2172" s="1" t="s">
        <v>20304</v>
      </c>
      <c r="FK2172" s="1" t="s">
        <v>229</v>
      </c>
      <c r="FL2172" s="1" t="s">
        <v>12937</v>
      </c>
      <c r="FM2172" s="1">
        <v>24050.0</v>
      </c>
      <c r="FN2172" s="1" t="s">
        <v>12938</v>
      </c>
      <c r="FO2172" s="1" t="s">
        <v>12939</v>
      </c>
      <c r="FP2172" s="1">
        <v>217706.0</v>
      </c>
      <c r="FQ2172" s="1" t="s">
        <v>12940</v>
      </c>
      <c r="FU2172" s="1" t="s">
        <v>20305</v>
      </c>
      <c r="FV2172" s="1" t="s">
        <v>200</v>
      </c>
      <c r="FW2172" s="1" t="s">
        <v>20306</v>
      </c>
      <c r="FX2172" s="1" t="s">
        <v>655</v>
      </c>
      <c r="FZ2172" s="1" t="s">
        <v>229</v>
      </c>
      <c r="GA2172" s="1" t="s">
        <v>291</v>
      </c>
      <c r="GB2172" s="2">
        <v>42031.0</v>
      </c>
      <c r="GC2172" s="1" t="s">
        <v>20307</v>
      </c>
    </row>
    <row r="2173">
      <c r="A2173" s="1">
        <v>1219000.0</v>
      </c>
      <c r="B2173" s="1" t="s">
        <v>185</v>
      </c>
      <c r="C2173" s="1" t="str">
        <f>"08746043"</f>
        <v>08746043</v>
      </c>
      <c r="D2173" s="1" t="s">
        <v>186</v>
      </c>
      <c r="F2173" s="1" t="str">
        <f>"8024"</f>
        <v>8024</v>
      </c>
      <c r="G2173" s="2">
        <v>41918.0</v>
      </c>
      <c r="H2173" s="1">
        <v>1279000.0</v>
      </c>
      <c r="I2173" s="1">
        <v>22.0</v>
      </c>
      <c r="J2173" s="1">
        <v>1279000.0</v>
      </c>
      <c r="K2173" s="2">
        <v>41934.0</v>
      </c>
      <c r="L2173" s="1">
        <v>17.0</v>
      </c>
      <c r="M2173" s="2">
        <v>41934.0</v>
      </c>
      <c r="N2173" s="1" t="s">
        <v>187</v>
      </c>
      <c r="O2173" s="2">
        <v>41982.0</v>
      </c>
      <c r="P2173" s="1">
        <v>128393.0</v>
      </c>
      <c r="Q2173" s="1">
        <v>14470.0</v>
      </c>
      <c r="S2173" s="1">
        <v>1821.0</v>
      </c>
      <c r="T2173" s="1" t="s">
        <v>20308</v>
      </c>
      <c r="U2173" s="1" t="s">
        <v>189</v>
      </c>
      <c r="V2173" s="1" t="s">
        <v>190</v>
      </c>
      <c r="W2173" s="1">
        <v>60622.0</v>
      </c>
      <c r="Y2173" s="1" t="s">
        <v>20309</v>
      </c>
      <c r="Z2173" s="1">
        <v>2014.0</v>
      </c>
      <c r="AA2173" s="1" t="s">
        <v>200</v>
      </c>
      <c r="AB2173" s="1" t="s">
        <v>193</v>
      </c>
      <c r="AD2173" s="1" t="s">
        <v>194</v>
      </c>
      <c r="AE2173" s="1" t="s">
        <v>195</v>
      </c>
      <c r="AF2173" s="1" t="s">
        <v>827</v>
      </c>
      <c r="AH2173" s="1" t="s">
        <v>20310</v>
      </c>
      <c r="AI2173" s="1">
        <v>0.0444</v>
      </c>
      <c r="AK2173" s="1">
        <v>9.0</v>
      </c>
      <c r="AL2173" s="1">
        <v>4.0</v>
      </c>
      <c r="AM2173" s="1">
        <v>3.0</v>
      </c>
      <c r="AN2173" s="1">
        <v>1.0</v>
      </c>
      <c r="AO2173" s="1" t="s">
        <v>198</v>
      </c>
      <c r="AP2173" s="1">
        <v>1.0</v>
      </c>
      <c r="AQ2173" s="1" t="s">
        <v>472</v>
      </c>
      <c r="AR2173" s="1" t="s">
        <v>192</v>
      </c>
      <c r="AS2173" s="1" t="s">
        <v>199</v>
      </c>
      <c r="AT2173" s="1">
        <v>2.0</v>
      </c>
      <c r="AV2173" s="1" t="s">
        <v>200</v>
      </c>
      <c r="AW2173" s="1" t="s">
        <v>575</v>
      </c>
      <c r="AX2173" s="1">
        <v>2013.0</v>
      </c>
      <c r="AY2173" s="1" t="s">
        <v>229</v>
      </c>
      <c r="AZ2173" s="1" t="s">
        <v>200</v>
      </c>
      <c r="BA2173" s="1" t="str">
        <f>"14314270030000"</f>
        <v>14314270030000</v>
      </c>
      <c r="BC2173" s="1">
        <v>3000.0</v>
      </c>
      <c r="BD2173" s="1">
        <v>1219000.0</v>
      </c>
      <c r="BE2173" s="2">
        <v>41918.0</v>
      </c>
      <c r="BF2173" s="2" t="s">
        <v>20311</v>
      </c>
      <c r="BG2173" s="1" t="s">
        <v>20312</v>
      </c>
      <c r="BH2173" s="1">
        <v>0.0</v>
      </c>
      <c r="BK2173" s="1" t="s">
        <v>204</v>
      </c>
      <c r="BL2173" s="1" t="str">
        <f>"1700"</f>
        <v>1700</v>
      </c>
      <c r="BM2173" s="1" t="str">
        <f>"0"</f>
        <v>0</v>
      </c>
      <c r="BN2173" s="1">
        <v>1821.0</v>
      </c>
      <c r="BO2173" s="1">
        <v>0.0</v>
      </c>
      <c r="BQ2173" s="1">
        <v>299.0</v>
      </c>
      <c r="BR2173" s="1">
        <v>299.0</v>
      </c>
      <c r="BS2173" s="1">
        <v>299.0</v>
      </c>
      <c r="BU2173" s="1" t="s">
        <v>213</v>
      </c>
      <c r="BV2173" s="1" t="s">
        <v>206</v>
      </c>
      <c r="BW2173" s="1" t="s">
        <v>207</v>
      </c>
      <c r="BY2173" s="1" t="s">
        <v>331</v>
      </c>
      <c r="BZ2173" s="1" t="s">
        <v>209</v>
      </c>
      <c r="CA2173" s="1" t="s">
        <v>207</v>
      </c>
      <c r="CC2173" s="1" t="s">
        <v>542</v>
      </c>
      <c r="CD2173" s="1" t="s">
        <v>206</v>
      </c>
      <c r="CE2173" s="1" t="s">
        <v>207</v>
      </c>
      <c r="CG2173" s="1" t="s">
        <v>543</v>
      </c>
      <c r="CH2173" s="1" t="s">
        <v>209</v>
      </c>
      <c r="CI2173" s="1" t="s">
        <v>207</v>
      </c>
      <c r="CK2173" s="1" t="s">
        <v>269</v>
      </c>
      <c r="CL2173" s="1" t="s">
        <v>209</v>
      </c>
      <c r="CM2173" s="1" t="s">
        <v>207</v>
      </c>
      <c r="CO2173" s="1" t="s">
        <v>392</v>
      </c>
      <c r="CP2173" s="1" t="s">
        <v>267</v>
      </c>
      <c r="CQ2173" s="1" t="s">
        <v>588</v>
      </c>
      <c r="CS2173" s="1" t="s">
        <v>582</v>
      </c>
      <c r="CT2173" s="1" t="s">
        <v>206</v>
      </c>
      <c r="CU2173" s="1" t="s">
        <v>207</v>
      </c>
      <c r="CW2173" s="1" t="s">
        <v>2274</v>
      </c>
      <c r="CX2173" s="1" t="s">
        <v>267</v>
      </c>
      <c r="CY2173" s="1" t="s">
        <v>588</v>
      </c>
      <c r="DA2173" s="1" t="s">
        <v>192</v>
      </c>
      <c r="DB2173" s="2">
        <v>41929.0</v>
      </c>
      <c r="DC2173" s="1" t="s">
        <v>1353</v>
      </c>
      <c r="DD2173" s="1" t="s">
        <v>272</v>
      </c>
      <c r="DE2173" s="1" t="s">
        <v>273</v>
      </c>
      <c r="DF2173" s="1" t="s">
        <v>6592</v>
      </c>
      <c r="DG2173" s="1" t="s">
        <v>20313</v>
      </c>
      <c r="DH2173" s="1" t="s">
        <v>365</v>
      </c>
      <c r="DI2173" s="1" t="s">
        <v>13950</v>
      </c>
      <c r="DJ2173" s="1" t="s">
        <v>222</v>
      </c>
      <c r="DL2173" s="1" t="s">
        <v>224</v>
      </c>
      <c r="DM2173" s="1" t="s">
        <v>229</v>
      </c>
      <c r="DN2173" s="1" t="s">
        <v>20314</v>
      </c>
      <c r="DO2173" s="1" t="s">
        <v>4234</v>
      </c>
      <c r="DP2173" s="1" t="s">
        <v>276</v>
      </c>
      <c r="DQ2173" s="1" t="s">
        <v>228</v>
      </c>
      <c r="DR2173" s="1" t="s">
        <v>229</v>
      </c>
      <c r="DS2173" s="1" t="s">
        <v>230</v>
      </c>
      <c r="DU2173" s="1" t="s">
        <v>12490</v>
      </c>
      <c r="DV2173" s="1" t="s">
        <v>20315</v>
      </c>
      <c r="DW2173" s="1" t="s">
        <v>20316</v>
      </c>
      <c r="DX2173" s="1" t="s">
        <v>234</v>
      </c>
      <c r="DY2173" s="1" t="s">
        <v>5292</v>
      </c>
      <c r="DZ2173" s="1" t="s">
        <v>5293</v>
      </c>
      <c r="EA2173" s="1" t="s">
        <v>1027</v>
      </c>
      <c r="EB2173" s="1" t="s">
        <v>6979</v>
      </c>
      <c r="EC2173" s="1" t="s">
        <v>406</v>
      </c>
      <c r="ED2173" s="1" t="s">
        <v>555</v>
      </c>
      <c r="EG2173" s="1" t="s">
        <v>557</v>
      </c>
      <c r="EH2173" s="1" t="s">
        <v>408</v>
      </c>
      <c r="EI2173" s="1" t="s">
        <v>310</v>
      </c>
      <c r="EL2173" s="1" t="s">
        <v>17988</v>
      </c>
      <c r="EM2173" s="1" t="s">
        <v>391</v>
      </c>
      <c r="EN2173" s="1" t="s">
        <v>207</v>
      </c>
      <c r="EP2173" s="1" t="s">
        <v>375</v>
      </c>
      <c r="EQ2173" s="1" t="s">
        <v>206</v>
      </c>
      <c r="ER2173" s="1" t="s">
        <v>207</v>
      </c>
      <c r="ET2173" s="1" t="s">
        <v>583</v>
      </c>
      <c r="EU2173" s="1" t="s">
        <v>391</v>
      </c>
      <c r="EY2173" s="1" t="s">
        <v>238</v>
      </c>
      <c r="FC2173" s="1" t="s">
        <v>238</v>
      </c>
      <c r="FF2173" s="1" t="s">
        <v>239</v>
      </c>
      <c r="FG2173" s="1" t="s">
        <v>192</v>
      </c>
      <c r="FH2173" s="1" t="s">
        <v>192</v>
      </c>
      <c r="FJ2173" s="1" t="s">
        <v>4122</v>
      </c>
      <c r="FK2173" s="1" t="s">
        <v>229</v>
      </c>
      <c r="FL2173" s="1" t="s">
        <v>5070</v>
      </c>
      <c r="FM2173" s="1">
        <v>12604.0</v>
      </c>
      <c r="FN2173" s="1" t="s">
        <v>5071</v>
      </c>
      <c r="FO2173" s="1" t="s">
        <v>5072</v>
      </c>
      <c r="FP2173" s="1">
        <v>125093.0</v>
      </c>
      <c r="FQ2173" s="1" t="s">
        <v>5073</v>
      </c>
      <c r="FR2173" s="1">
        <v>148835.0</v>
      </c>
      <c r="FU2173" s="1" t="s">
        <v>20317</v>
      </c>
      <c r="FV2173" s="1" t="s">
        <v>200</v>
      </c>
      <c r="FW2173" s="1" t="s">
        <v>530</v>
      </c>
      <c r="FX2173" s="1" t="s">
        <v>246</v>
      </c>
      <c r="FZ2173" s="1" t="s">
        <v>229</v>
      </c>
      <c r="GA2173" s="1" t="s">
        <v>291</v>
      </c>
      <c r="GB2173" s="2">
        <v>41982.0</v>
      </c>
      <c r="GC2173" s="1" t="s">
        <v>20318</v>
      </c>
    </row>
    <row r="2174">
      <c r="A2174" s="1">
        <v>300000.0</v>
      </c>
      <c r="B2174" s="1" t="s">
        <v>185</v>
      </c>
      <c r="C2174" s="1" t="str">
        <f>"08750917"</f>
        <v>08750917</v>
      </c>
      <c r="D2174" s="1" t="s">
        <v>186</v>
      </c>
      <c r="F2174" s="1" t="str">
        <f>"554"</f>
        <v>554</v>
      </c>
      <c r="G2174" s="2">
        <v>41923.0</v>
      </c>
      <c r="H2174" s="1">
        <v>319900.0</v>
      </c>
      <c r="I2174" s="1">
        <v>6.0</v>
      </c>
      <c r="J2174" s="1">
        <v>319900.0</v>
      </c>
      <c r="K2174" s="2">
        <v>41926.0</v>
      </c>
      <c r="L2174" s="1">
        <v>6.0</v>
      </c>
      <c r="M2174" s="2">
        <v>41926.0</v>
      </c>
      <c r="N2174" s="1" t="s">
        <v>634</v>
      </c>
      <c r="O2174" s="2">
        <v>41969.0</v>
      </c>
      <c r="P2174" s="1">
        <v>8504.0</v>
      </c>
      <c r="Q2174" s="1">
        <v>300.0</v>
      </c>
      <c r="S2174" s="1">
        <v>914.0</v>
      </c>
      <c r="T2174" s="1" t="s">
        <v>6827</v>
      </c>
      <c r="U2174" s="1" t="s">
        <v>320</v>
      </c>
      <c r="V2174" s="1" t="s">
        <v>2212</v>
      </c>
      <c r="W2174" s="1">
        <v>60554.0</v>
      </c>
      <c r="Y2174" s="1" t="s">
        <v>20319</v>
      </c>
      <c r="Z2174" s="1">
        <v>2001.0</v>
      </c>
      <c r="AA2174" s="1" t="s">
        <v>200</v>
      </c>
      <c r="AB2174" s="1" t="s">
        <v>467</v>
      </c>
      <c r="AC2174" s="1" t="s">
        <v>17718</v>
      </c>
      <c r="AD2174" s="1" t="s">
        <v>1887</v>
      </c>
      <c r="AE2174" s="1" t="s">
        <v>325</v>
      </c>
      <c r="AF2174" s="1" t="s">
        <v>1887</v>
      </c>
      <c r="AH2174" s="1" t="s">
        <v>14931</v>
      </c>
      <c r="AK2174" s="1">
        <v>8.0</v>
      </c>
      <c r="AL2174" s="1">
        <v>3.0</v>
      </c>
      <c r="AM2174" s="1">
        <v>3.0</v>
      </c>
      <c r="AN2174" s="1">
        <v>0.0</v>
      </c>
      <c r="AO2174" s="1" t="s">
        <v>198</v>
      </c>
      <c r="AP2174" s="1">
        <v>1.0</v>
      </c>
      <c r="AQ2174" s="1" t="s">
        <v>198</v>
      </c>
      <c r="AR2174" s="1" t="s">
        <v>192</v>
      </c>
      <c r="AS2174" s="1" t="s">
        <v>199</v>
      </c>
      <c r="AT2174" s="1">
        <v>2.0</v>
      </c>
      <c r="AV2174" s="1" t="s">
        <v>200</v>
      </c>
      <c r="AW2174" s="1">
        <v>9198.0</v>
      </c>
      <c r="AX2174" s="1">
        <v>2013.0</v>
      </c>
      <c r="AY2174" s="1" t="s">
        <v>387</v>
      </c>
      <c r="AZ2174" s="1" t="s">
        <v>200</v>
      </c>
      <c r="BA2174" s="1" t="str">
        <f>"1404476005"</f>
        <v>1404476005</v>
      </c>
      <c r="BC2174" s="1">
        <v>1821.0</v>
      </c>
      <c r="BD2174" s="1">
        <v>300000.0</v>
      </c>
      <c r="BE2174" s="2">
        <v>41921.0</v>
      </c>
      <c r="BF2174" s="2" t="s">
        <v>20320</v>
      </c>
      <c r="BG2174" s="1" t="s">
        <v>2218</v>
      </c>
      <c r="BH2174" s="1">
        <v>500.0</v>
      </c>
      <c r="BI2174" s="1" t="s">
        <v>1635</v>
      </c>
      <c r="BJ2174" s="1" t="s">
        <v>1636</v>
      </c>
      <c r="BK2174" s="1" t="s">
        <v>580</v>
      </c>
      <c r="BL2174" s="1" t="str">
        <f t="shared" ref="BL2174:BM2174" si="1421">""</f>
        <v/>
      </c>
      <c r="BM2174" s="1" t="str">
        <f t="shared" si="1421"/>
        <v/>
      </c>
      <c r="BQ2174" s="1">
        <v>302.0</v>
      </c>
      <c r="BR2174" s="1">
        <v>302.0</v>
      </c>
      <c r="BS2174" s="1">
        <v>302.0</v>
      </c>
      <c r="BV2174" s="1" t="s">
        <v>204</v>
      </c>
      <c r="BY2174" s="1" t="s">
        <v>361</v>
      </c>
      <c r="BZ2174" s="1" t="s">
        <v>206</v>
      </c>
      <c r="CA2174" s="1" t="s">
        <v>210</v>
      </c>
      <c r="CB2174" s="1" t="s">
        <v>239</v>
      </c>
      <c r="CC2174" s="1" t="s">
        <v>215</v>
      </c>
      <c r="CD2174" s="1" t="s">
        <v>206</v>
      </c>
      <c r="CE2174" s="1" t="s">
        <v>207</v>
      </c>
      <c r="CF2174" s="1" t="s">
        <v>239</v>
      </c>
      <c r="CG2174" s="1" t="s">
        <v>212</v>
      </c>
      <c r="CH2174" s="1" t="s">
        <v>206</v>
      </c>
      <c r="CI2174" s="1" t="s">
        <v>210</v>
      </c>
      <c r="CJ2174" s="1" t="s">
        <v>239</v>
      </c>
      <c r="CK2174" s="1" t="s">
        <v>699</v>
      </c>
      <c r="CL2174" s="1" t="s">
        <v>206</v>
      </c>
      <c r="CM2174" s="1" t="s">
        <v>210</v>
      </c>
      <c r="CN2174" s="1" t="s">
        <v>239</v>
      </c>
      <c r="CO2174" s="1" t="s">
        <v>433</v>
      </c>
      <c r="CP2174" s="1" t="s">
        <v>42</v>
      </c>
      <c r="CQ2174" s="1" t="s">
        <v>210</v>
      </c>
      <c r="CR2174" s="1" t="s">
        <v>239</v>
      </c>
      <c r="CS2174" s="1" t="s">
        <v>1891</v>
      </c>
      <c r="CT2174" s="1" t="s">
        <v>206</v>
      </c>
      <c r="CU2174" s="1" t="s">
        <v>207</v>
      </c>
      <c r="CV2174" s="1" t="s">
        <v>239</v>
      </c>
      <c r="CW2174" s="1" t="s">
        <v>515</v>
      </c>
      <c r="CX2174" s="1" t="s">
        <v>206</v>
      </c>
      <c r="CY2174" s="1" t="s">
        <v>210</v>
      </c>
      <c r="DA2174" s="1" t="s">
        <v>200</v>
      </c>
      <c r="DC2174" s="1" t="s">
        <v>335</v>
      </c>
      <c r="DD2174" s="1" t="s">
        <v>518</v>
      </c>
      <c r="DE2174" s="1" t="s">
        <v>273</v>
      </c>
      <c r="DF2174" s="1" t="s">
        <v>219</v>
      </c>
      <c r="DG2174" s="1" t="s">
        <v>16520</v>
      </c>
      <c r="DH2174" s="1" t="s">
        <v>220</v>
      </c>
      <c r="DI2174" s="1" t="s">
        <v>221</v>
      </c>
      <c r="DJ2174" s="1" t="s">
        <v>222</v>
      </c>
      <c r="DL2174" s="1" t="s">
        <v>224</v>
      </c>
      <c r="DM2174" s="1" t="s">
        <v>338</v>
      </c>
      <c r="DN2174" s="1" t="s">
        <v>399</v>
      </c>
      <c r="DP2174" s="1" t="s">
        <v>340</v>
      </c>
      <c r="DQ2174" s="1" t="s">
        <v>441</v>
      </c>
      <c r="DR2174" s="1" t="s">
        <v>588</v>
      </c>
      <c r="DV2174" s="1" t="s">
        <v>450</v>
      </c>
      <c r="DW2174" s="1" t="s">
        <v>934</v>
      </c>
      <c r="DX2174" s="1" t="s">
        <v>234</v>
      </c>
      <c r="DY2174" s="1" t="s">
        <v>1958</v>
      </c>
      <c r="DZ2174" s="1" t="s">
        <v>5974</v>
      </c>
      <c r="EA2174" s="1" t="s">
        <v>683</v>
      </c>
      <c r="EB2174" s="1" t="s">
        <v>492</v>
      </c>
      <c r="EC2174" s="1" t="s">
        <v>685</v>
      </c>
      <c r="ED2174" s="1" t="s">
        <v>407</v>
      </c>
      <c r="EG2174" s="1" t="s">
        <v>450</v>
      </c>
      <c r="EL2174" s="1" t="s">
        <v>10051</v>
      </c>
      <c r="EM2174" s="1" t="s">
        <v>42</v>
      </c>
      <c r="EN2174" s="1" t="s">
        <v>210</v>
      </c>
      <c r="EO2174" s="1" t="s">
        <v>239</v>
      </c>
      <c r="EQ2174" s="1" t="s">
        <v>238</v>
      </c>
      <c r="EU2174" s="1" t="s">
        <v>238</v>
      </c>
      <c r="EY2174" s="1" t="s">
        <v>238</v>
      </c>
      <c r="FC2174" s="1" t="s">
        <v>238</v>
      </c>
      <c r="FF2174" s="1" t="s">
        <v>239</v>
      </c>
      <c r="FG2174" s="1" t="s">
        <v>192</v>
      </c>
      <c r="FH2174" s="1" t="s">
        <v>192</v>
      </c>
      <c r="FJ2174" s="1" t="s">
        <v>2552</v>
      </c>
      <c r="FK2174" s="1" t="s">
        <v>348</v>
      </c>
      <c r="FL2174" s="1" t="s">
        <v>6918</v>
      </c>
      <c r="FM2174" s="1">
        <v>31580.0</v>
      </c>
      <c r="FN2174" s="1" t="s">
        <v>6919</v>
      </c>
      <c r="FO2174" s="1" t="s">
        <v>10797</v>
      </c>
      <c r="FP2174" s="1">
        <v>315422.0</v>
      </c>
      <c r="FQ2174" s="1" t="s">
        <v>10798</v>
      </c>
      <c r="FU2174" s="1" t="s">
        <v>20321</v>
      </c>
      <c r="FV2174" s="1" t="s">
        <v>200</v>
      </c>
      <c r="FW2174" s="1" t="s">
        <v>4583</v>
      </c>
      <c r="FZ2174" s="1" t="s">
        <v>229</v>
      </c>
      <c r="GA2174" s="1" t="s">
        <v>291</v>
      </c>
      <c r="GB2174" s="2">
        <v>41969.0</v>
      </c>
      <c r="GC2174" s="1" t="s">
        <v>20322</v>
      </c>
    </row>
    <row r="2175">
      <c r="A2175" s="1">
        <v>221500.0</v>
      </c>
      <c r="B2175" s="1" t="s">
        <v>185</v>
      </c>
      <c r="C2175" s="1" t="str">
        <f>"08743525"</f>
        <v>08743525</v>
      </c>
      <c r="D2175" s="1" t="s">
        <v>186</v>
      </c>
      <c r="F2175" s="1" t="str">
        <f>"174"</f>
        <v>174</v>
      </c>
      <c r="G2175" s="2">
        <v>41914.0</v>
      </c>
      <c r="H2175" s="1">
        <v>295100.0</v>
      </c>
      <c r="I2175" s="1">
        <v>254.0</v>
      </c>
      <c r="J2175" s="1">
        <v>228000.0</v>
      </c>
      <c r="K2175" s="2">
        <v>42076.0</v>
      </c>
      <c r="L2175" s="1">
        <v>163.0</v>
      </c>
      <c r="M2175" s="2">
        <v>42076.0</v>
      </c>
      <c r="N2175" s="1" t="s">
        <v>187</v>
      </c>
      <c r="O2175" s="2">
        <v>42132.0</v>
      </c>
      <c r="P2175" s="1">
        <v>225730.0</v>
      </c>
      <c r="Q2175" s="1">
        <v>23265.0</v>
      </c>
      <c r="S2175" s="1">
        <v>1409.0</v>
      </c>
      <c r="T2175" s="1" t="s">
        <v>14601</v>
      </c>
      <c r="U2175" s="1" t="s">
        <v>320</v>
      </c>
      <c r="V2175" s="1" t="s">
        <v>1200</v>
      </c>
      <c r="W2175" s="1">
        <v>60174.0</v>
      </c>
      <c r="Y2175" s="1" t="s">
        <v>20323</v>
      </c>
      <c r="Z2175" s="1">
        <v>1972.0</v>
      </c>
      <c r="AA2175" s="1" t="s">
        <v>192</v>
      </c>
      <c r="AB2175" s="1" t="s">
        <v>193</v>
      </c>
      <c r="AC2175" s="1" t="s">
        <v>20324</v>
      </c>
      <c r="AD2175" s="1" t="s">
        <v>1203</v>
      </c>
      <c r="AE2175" s="1" t="s">
        <v>325</v>
      </c>
      <c r="AF2175" s="1" t="s">
        <v>1203</v>
      </c>
      <c r="AH2175" s="1" t="s">
        <v>20325</v>
      </c>
      <c r="AI2175" s="1">
        <v>0.0</v>
      </c>
      <c r="AK2175" s="1">
        <v>9.0</v>
      </c>
      <c r="AL2175" s="1">
        <v>4.0</v>
      </c>
      <c r="AM2175" s="1">
        <v>2.0</v>
      </c>
      <c r="AN2175" s="1">
        <v>1.0</v>
      </c>
      <c r="AO2175" s="1" t="s">
        <v>198</v>
      </c>
      <c r="AP2175" s="1">
        <v>1.0</v>
      </c>
      <c r="AQ2175" s="1" t="s">
        <v>1314</v>
      </c>
      <c r="AR2175" s="1" t="s">
        <v>200</v>
      </c>
      <c r="AS2175" s="1" t="s">
        <v>199</v>
      </c>
      <c r="AT2175" s="1">
        <v>2.0</v>
      </c>
      <c r="AV2175" s="1" t="s">
        <v>200</v>
      </c>
      <c r="AW2175" s="1">
        <v>6810.32</v>
      </c>
      <c r="AX2175" s="1">
        <v>2012.0</v>
      </c>
      <c r="AY2175" s="1" t="s">
        <v>229</v>
      </c>
      <c r="AZ2175" s="1" t="s">
        <v>200</v>
      </c>
      <c r="BA2175" s="1" t="str">
        <f>"0933476014"</f>
        <v>0933476014</v>
      </c>
      <c r="BB2175" s="1" t="s">
        <v>200</v>
      </c>
      <c r="BC2175" s="1">
        <v>1968.0</v>
      </c>
      <c r="BD2175" s="1">
        <v>221500.0</v>
      </c>
      <c r="BE2175" s="2">
        <v>41914.0</v>
      </c>
      <c r="BF2175" s="2" t="s">
        <v>20326</v>
      </c>
      <c r="BG2175" s="1" t="s">
        <v>5991</v>
      </c>
      <c r="BH2175" s="1">
        <v>0.0</v>
      </c>
      <c r="BI2175" s="1" t="s">
        <v>2199</v>
      </c>
      <c r="BJ2175" s="1" t="s">
        <v>2144</v>
      </c>
      <c r="BK2175" s="1" t="s">
        <v>204</v>
      </c>
      <c r="BL2175" s="1" t="str">
        <f>"2"</f>
        <v>2</v>
      </c>
      <c r="BM2175" s="1" t="str">
        <f>"0"</f>
        <v>0</v>
      </c>
      <c r="BN2175" s="1">
        <v>36.0</v>
      </c>
      <c r="BO2175" s="1">
        <v>0.0</v>
      </c>
      <c r="BQ2175" s="1">
        <v>303.0</v>
      </c>
      <c r="BR2175" s="1">
        <v>303.0</v>
      </c>
      <c r="BS2175" s="1">
        <v>303.0</v>
      </c>
      <c r="BU2175" s="1" t="s">
        <v>434</v>
      </c>
      <c r="BV2175" s="1" t="s">
        <v>206</v>
      </c>
      <c r="BW2175" s="1" t="s">
        <v>210</v>
      </c>
      <c r="BX2175" s="1" t="s">
        <v>229</v>
      </c>
      <c r="BY2175" s="1" t="s">
        <v>454</v>
      </c>
      <c r="BZ2175" s="1" t="s">
        <v>209</v>
      </c>
      <c r="CA2175" s="1" t="s">
        <v>210</v>
      </c>
      <c r="CB2175" s="1" t="s">
        <v>229</v>
      </c>
      <c r="CC2175" s="1" t="s">
        <v>264</v>
      </c>
      <c r="CD2175" s="1" t="s">
        <v>206</v>
      </c>
      <c r="CE2175" s="1" t="s">
        <v>207</v>
      </c>
      <c r="CF2175" s="1" t="s">
        <v>229</v>
      </c>
      <c r="CG2175" s="1" t="s">
        <v>699</v>
      </c>
      <c r="CH2175" s="1" t="s">
        <v>209</v>
      </c>
      <c r="CI2175" s="1" t="s">
        <v>210</v>
      </c>
      <c r="CJ2175" s="1" t="s">
        <v>229</v>
      </c>
      <c r="CK2175" s="1" t="s">
        <v>925</v>
      </c>
      <c r="CL2175" s="1" t="s">
        <v>209</v>
      </c>
      <c r="CM2175" s="1" t="s">
        <v>301</v>
      </c>
      <c r="CN2175" s="1" t="s">
        <v>229</v>
      </c>
      <c r="CO2175" s="1" t="s">
        <v>212</v>
      </c>
      <c r="CP2175" s="1" t="s">
        <v>209</v>
      </c>
      <c r="CQ2175" s="1" t="s">
        <v>210</v>
      </c>
      <c r="CR2175" s="1" t="s">
        <v>229</v>
      </c>
      <c r="CS2175" s="1" t="s">
        <v>1426</v>
      </c>
      <c r="CT2175" s="1" t="s">
        <v>206</v>
      </c>
      <c r="CU2175" s="1" t="s">
        <v>268</v>
      </c>
      <c r="CV2175" s="1" t="s">
        <v>229</v>
      </c>
      <c r="CW2175" s="1" t="s">
        <v>479</v>
      </c>
      <c r="CX2175" s="1" t="s">
        <v>267</v>
      </c>
      <c r="CY2175" s="1" t="s">
        <v>301</v>
      </c>
      <c r="CZ2175" s="1" t="s">
        <v>229</v>
      </c>
      <c r="DA2175" s="1" t="s">
        <v>200</v>
      </c>
      <c r="DC2175" s="1" t="s">
        <v>517</v>
      </c>
      <c r="DD2175" s="1" t="s">
        <v>306</v>
      </c>
      <c r="DE2175" s="1" t="s">
        <v>273</v>
      </c>
      <c r="DF2175" s="1" t="s">
        <v>219</v>
      </c>
      <c r="DG2175" s="1" t="s">
        <v>482</v>
      </c>
      <c r="DH2175" s="1" t="s">
        <v>220</v>
      </c>
      <c r="DI2175" s="1" t="s">
        <v>732</v>
      </c>
      <c r="DJ2175" s="1" t="s">
        <v>222</v>
      </c>
      <c r="DL2175" s="1" t="s">
        <v>224</v>
      </c>
      <c r="DM2175" s="1" t="s">
        <v>338</v>
      </c>
      <c r="DO2175" s="1" t="s">
        <v>549</v>
      </c>
      <c r="DP2175" s="1" t="s">
        <v>340</v>
      </c>
      <c r="DQ2175" s="1" t="s">
        <v>228</v>
      </c>
      <c r="DR2175" s="1" t="s">
        <v>229</v>
      </c>
      <c r="DS2175" s="1" t="s">
        <v>277</v>
      </c>
      <c r="DU2175" s="1" t="s">
        <v>17461</v>
      </c>
      <c r="DV2175" s="1" t="s">
        <v>20327</v>
      </c>
      <c r="DW2175" s="1" t="s">
        <v>891</v>
      </c>
      <c r="DX2175" s="1" t="s">
        <v>234</v>
      </c>
      <c r="DY2175" s="1" t="s">
        <v>4698</v>
      </c>
      <c r="DZ2175" s="1" t="s">
        <v>7113</v>
      </c>
      <c r="EA2175" s="1" t="s">
        <v>283</v>
      </c>
      <c r="EB2175" s="1" t="s">
        <v>345</v>
      </c>
      <c r="EC2175" s="1" t="s">
        <v>4613</v>
      </c>
      <c r="EG2175" s="1" t="s">
        <v>451</v>
      </c>
      <c r="EH2175" s="1" t="s">
        <v>408</v>
      </c>
      <c r="EL2175" s="1" t="s">
        <v>2365</v>
      </c>
      <c r="EM2175" s="1" t="s">
        <v>42</v>
      </c>
      <c r="EN2175" s="1" t="s">
        <v>210</v>
      </c>
      <c r="EO2175" s="1" t="s">
        <v>229</v>
      </c>
      <c r="EP2175" s="1" t="s">
        <v>768</v>
      </c>
      <c r="EQ2175" s="1" t="s">
        <v>206</v>
      </c>
      <c r="ER2175" s="1" t="s">
        <v>268</v>
      </c>
      <c r="ES2175" s="1" t="s">
        <v>229</v>
      </c>
      <c r="EU2175" s="1" t="s">
        <v>238</v>
      </c>
      <c r="EY2175" s="1" t="s">
        <v>238</v>
      </c>
      <c r="FC2175" s="1" t="s">
        <v>238</v>
      </c>
      <c r="FF2175" s="1" t="s">
        <v>239</v>
      </c>
      <c r="FG2175" s="1" t="s">
        <v>192</v>
      </c>
      <c r="FH2175" s="1" t="s">
        <v>192</v>
      </c>
      <c r="FJ2175" s="1" t="s">
        <v>347</v>
      </c>
      <c r="FK2175" s="1" t="s">
        <v>229</v>
      </c>
      <c r="FL2175" s="1" t="s">
        <v>1855</v>
      </c>
      <c r="FM2175" s="1">
        <v>41.0</v>
      </c>
      <c r="FN2175" s="1" t="s">
        <v>1856</v>
      </c>
      <c r="FO2175" s="1" t="s">
        <v>1857</v>
      </c>
      <c r="FP2175" s="1">
        <v>8483.0</v>
      </c>
      <c r="FQ2175" s="1" t="s">
        <v>1858</v>
      </c>
      <c r="FS2175" s="1" t="s">
        <v>1859</v>
      </c>
      <c r="FT2175" s="1" t="s">
        <v>1860</v>
      </c>
      <c r="FU2175" s="1" t="s">
        <v>1861</v>
      </c>
      <c r="FV2175" s="1" t="s">
        <v>200</v>
      </c>
      <c r="FW2175" s="1" t="s">
        <v>1307</v>
      </c>
      <c r="FX2175" s="1" t="s">
        <v>655</v>
      </c>
      <c r="FZ2175" s="1" t="s">
        <v>229</v>
      </c>
      <c r="GA2175" s="1" t="s">
        <v>291</v>
      </c>
      <c r="GB2175" s="2">
        <v>42132.0</v>
      </c>
      <c r="GC2175" s="1" t="s">
        <v>20328</v>
      </c>
    </row>
    <row r="2176">
      <c r="A2176" s="1">
        <v>220000.0</v>
      </c>
      <c r="B2176" s="1" t="s">
        <v>185</v>
      </c>
      <c r="C2176" s="1" t="str">
        <f>"08749204"</f>
        <v>08749204</v>
      </c>
      <c r="D2176" s="1" t="s">
        <v>186</v>
      </c>
      <c r="F2176" s="1" t="str">
        <f>"510"</f>
        <v>510</v>
      </c>
      <c r="G2176" s="2">
        <v>41921.0</v>
      </c>
      <c r="H2176" s="1">
        <v>243000.0</v>
      </c>
      <c r="I2176" s="1">
        <v>21.0</v>
      </c>
      <c r="J2176" s="1">
        <v>243000.0</v>
      </c>
      <c r="K2176" s="2">
        <v>41941.0</v>
      </c>
      <c r="L2176" s="1">
        <v>21.0</v>
      </c>
      <c r="M2176" s="2">
        <v>41941.0</v>
      </c>
      <c r="N2176" s="1" t="s">
        <v>634</v>
      </c>
      <c r="O2176" s="2">
        <v>41988.0</v>
      </c>
      <c r="P2176" s="1">
        <v>242935.0</v>
      </c>
      <c r="Q2176" s="1">
        <v>25769.0</v>
      </c>
      <c r="S2176" s="1">
        <v>356.0</v>
      </c>
      <c r="T2176" s="1" t="s">
        <v>8865</v>
      </c>
      <c r="U2176" s="1" t="s">
        <v>1174</v>
      </c>
      <c r="V2176" s="1" t="s">
        <v>2700</v>
      </c>
      <c r="W2176" s="1">
        <v>60510.0</v>
      </c>
      <c r="Y2176" s="1" t="s">
        <v>20329</v>
      </c>
      <c r="Z2176" s="1">
        <v>1965.0</v>
      </c>
      <c r="AA2176" s="1" t="s">
        <v>192</v>
      </c>
      <c r="AB2176" s="1" t="s">
        <v>193</v>
      </c>
      <c r="AC2176" s="1" t="s">
        <v>8867</v>
      </c>
      <c r="AD2176" s="1" t="s">
        <v>2702</v>
      </c>
      <c r="AE2176" s="1" t="s">
        <v>325</v>
      </c>
      <c r="AF2176" s="1" t="s">
        <v>2702</v>
      </c>
      <c r="AG2176" s="1" t="s">
        <v>4668</v>
      </c>
      <c r="AH2176" s="1" t="s">
        <v>20330</v>
      </c>
      <c r="AI2176" s="1">
        <v>0.4427</v>
      </c>
      <c r="AK2176" s="1">
        <v>10.0</v>
      </c>
      <c r="AL2176" s="1">
        <v>4.0</v>
      </c>
      <c r="AM2176" s="1">
        <v>2.0</v>
      </c>
      <c r="AN2176" s="1">
        <v>1.0</v>
      </c>
      <c r="AO2176" s="1" t="s">
        <v>198</v>
      </c>
      <c r="AP2176" s="1">
        <v>1.0</v>
      </c>
      <c r="AQ2176" s="1" t="s">
        <v>198</v>
      </c>
      <c r="AR2176" s="1" t="s">
        <v>200</v>
      </c>
      <c r="AS2176" s="1" t="s">
        <v>199</v>
      </c>
      <c r="AT2176" s="1">
        <v>2.0</v>
      </c>
      <c r="AV2176" s="1" t="s">
        <v>200</v>
      </c>
      <c r="AW2176" s="1">
        <v>6212.66</v>
      </c>
      <c r="AX2176" s="1">
        <v>2013.0</v>
      </c>
      <c r="AY2176" s="1" t="s">
        <v>1179</v>
      </c>
      <c r="AZ2176" s="1" t="s">
        <v>200</v>
      </c>
      <c r="BA2176" s="1" t="str">
        <f>"1223278013"</f>
        <v>1223278013</v>
      </c>
      <c r="BB2176" s="1" t="s">
        <v>200</v>
      </c>
      <c r="BC2176" s="1">
        <v>2606.0</v>
      </c>
      <c r="BD2176" s="1">
        <v>220000.0</v>
      </c>
      <c r="BE2176" s="2">
        <v>41921.0</v>
      </c>
      <c r="BF2176" s="2" t="s">
        <v>20331</v>
      </c>
      <c r="BG2176" s="1" t="s">
        <v>4607</v>
      </c>
      <c r="BH2176" s="1">
        <v>0.0</v>
      </c>
      <c r="BI2176" s="1" t="s">
        <v>3090</v>
      </c>
      <c r="BJ2176" s="1" t="s">
        <v>3091</v>
      </c>
      <c r="BK2176" s="1" t="s">
        <v>204</v>
      </c>
      <c r="BL2176" s="1" t="str">
        <f t="shared" ref="BL2176:BM2176" si="1422">""</f>
        <v/>
      </c>
      <c r="BM2176" s="1" t="str">
        <f t="shared" si="1422"/>
        <v/>
      </c>
      <c r="BQ2176" s="1">
        <v>101.0</v>
      </c>
      <c r="BR2176" s="1">
        <v>101.0</v>
      </c>
      <c r="BS2176" s="1">
        <v>101.0</v>
      </c>
      <c r="BU2176" s="1" t="s">
        <v>1517</v>
      </c>
      <c r="BV2176" s="1" t="s">
        <v>206</v>
      </c>
      <c r="BW2176" s="1" t="s">
        <v>207</v>
      </c>
      <c r="BY2176" s="1" t="s">
        <v>205</v>
      </c>
      <c r="BZ2176" s="1" t="s">
        <v>209</v>
      </c>
      <c r="CA2176" s="1" t="s">
        <v>207</v>
      </c>
      <c r="CB2176" s="1" t="s">
        <v>1549</v>
      </c>
      <c r="CC2176" s="1" t="s">
        <v>1417</v>
      </c>
      <c r="CD2176" s="1" t="s">
        <v>206</v>
      </c>
      <c r="CE2176" s="1" t="s">
        <v>207</v>
      </c>
      <c r="CG2176" s="1" t="s">
        <v>453</v>
      </c>
      <c r="CH2176" s="1" t="s">
        <v>209</v>
      </c>
      <c r="CI2176" s="1" t="s">
        <v>207</v>
      </c>
      <c r="CJ2176" s="1" t="s">
        <v>1549</v>
      </c>
      <c r="CK2176" s="1" t="s">
        <v>432</v>
      </c>
      <c r="CL2176" s="1" t="s">
        <v>209</v>
      </c>
      <c r="CM2176" s="1" t="s">
        <v>207</v>
      </c>
      <c r="CN2176" s="1" t="s">
        <v>1549</v>
      </c>
      <c r="CO2176" s="1" t="s">
        <v>212</v>
      </c>
      <c r="CP2176" s="1" t="s">
        <v>209</v>
      </c>
      <c r="CQ2176" s="1" t="s">
        <v>207</v>
      </c>
      <c r="CR2176" s="1" t="s">
        <v>1549</v>
      </c>
      <c r="CS2176" s="1" t="s">
        <v>332</v>
      </c>
      <c r="CT2176" s="1" t="s">
        <v>206</v>
      </c>
      <c r="CU2176" s="1" t="s">
        <v>617</v>
      </c>
      <c r="CW2176" s="1" t="s">
        <v>1044</v>
      </c>
      <c r="CX2176" s="1" t="s">
        <v>206</v>
      </c>
      <c r="CY2176" s="1" t="s">
        <v>617</v>
      </c>
      <c r="CZ2176" s="1" t="s">
        <v>1549</v>
      </c>
      <c r="DA2176" s="1" t="s">
        <v>200</v>
      </c>
      <c r="DC2176" s="1" t="s">
        <v>517</v>
      </c>
      <c r="DE2176" s="1" t="s">
        <v>273</v>
      </c>
      <c r="DF2176" s="1" t="s">
        <v>219</v>
      </c>
      <c r="DG2176" s="1" t="s">
        <v>2237</v>
      </c>
      <c r="DH2176" s="1" t="s">
        <v>20332</v>
      </c>
      <c r="DI2176" s="1" t="s">
        <v>20333</v>
      </c>
      <c r="DJ2176" s="1" t="s">
        <v>222</v>
      </c>
      <c r="DL2176" s="1" t="s">
        <v>223</v>
      </c>
      <c r="DM2176" s="1" t="s">
        <v>229</v>
      </c>
      <c r="DO2176" s="1" t="s">
        <v>1208</v>
      </c>
      <c r="DP2176" s="1" t="s">
        <v>340</v>
      </c>
      <c r="DQ2176" s="1" t="s">
        <v>441</v>
      </c>
      <c r="DR2176" s="1" t="s">
        <v>229</v>
      </c>
      <c r="DS2176" s="1" t="s">
        <v>230</v>
      </c>
      <c r="DU2176" s="1" t="s">
        <v>3861</v>
      </c>
      <c r="DV2176" s="1" t="s">
        <v>7747</v>
      </c>
      <c r="DW2176" s="1" t="s">
        <v>370</v>
      </c>
      <c r="DX2176" s="1" t="s">
        <v>309</v>
      </c>
      <c r="DY2176" s="1" t="s">
        <v>8670</v>
      </c>
      <c r="DZ2176" s="1" t="s">
        <v>20334</v>
      </c>
      <c r="EA2176" s="1" t="s">
        <v>447</v>
      </c>
      <c r="EB2176" s="1" t="s">
        <v>937</v>
      </c>
      <c r="EC2176" s="1" t="s">
        <v>237</v>
      </c>
      <c r="ED2176" s="1" t="s">
        <v>555</v>
      </c>
      <c r="EG2176" s="1" t="s">
        <v>449</v>
      </c>
      <c r="EH2176" s="1" t="s">
        <v>494</v>
      </c>
      <c r="EI2176" s="1" t="s">
        <v>408</v>
      </c>
      <c r="EL2176" s="1" t="s">
        <v>16436</v>
      </c>
      <c r="EM2176" s="1" t="s">
        <v>206</v>
      </c>
      <c r="EN2176" s="1" t="s">
        <v>617</v>
      </c>
      <c r="EP2176" s="1" t="s">
        <v>830</v>
      </c>
      <c r="EQ2176" s="1" t="s">
        <v>206</v>
      </c>
      <c r="ER2176" s="1" t="s">
        <v>207</v>
      </c>
      <c r="ET2176" s="1" t="s">
        <v>1852</v>
      </c>
      <c r="EU2176" s="1" t="s">
        <v>206</v>
      </c>
      <c r="EV2176" s="1" t="s">
        <v>1065</v>
      </c>
      <c r="EY2176" s="1" t="s">
        <v>238</v>
      </c>
      <c r="FC2176" s="1" t="s">
        <v>238</v>
      </c>
      <c r="FF2176" s="1" t="s">
        <v>239</v>
      </c>
      <c r="FG2176" s="1" t="s">
        <v>192</v>
      </c>
      <c r="FH2176" s="1" t="s">
        <v>192</v>
      </c>
      <c r="FJ2176" s="1" t="s">
        <v>686</v>
      </c>
      <c r="FK2176" s="1" t="s">
        <v>229</v>
      </c>
      <c r="FL2176" s="1" t="s">
        <v>456</v>
      </c>
      <c r="FM2176" s="1">
        <v>49.0</v>
      </c>
      <c r="FN2176" s="1" t="s">
        <v>457</v>
      </c>
      <c r="FO2176" s="1" t="s">
        <v>20335</v>
      </c>
      <c r="FP2176" s="1">
        <v>30.0</v>
      </c>
      <c r="FQ2176" s="1" t="s">
        <v>20336</v>
      </c>
      <c r="FR2176" s="1">
        <v>235512.0</v>
      </c>
      <c r="FS2176" s="1" t="s">
        <v>20337</v>
      </c>
      <c r="FU2176" s="1" t="s">
        <v>20338</v>
      </c>
      <c r="FV2176" s="1" t="s">
        <v>200</v>
      </c>
      <c r="FW2176" s="1" t="s">
        <v>530</v>
      </c>
      <c r="FZ2176" s="1" t="s">
        <v>229</v>
      </c>
      <c r="GA2176" s="1" t="s">
        <v>291</v>
      </c>
      <c r="GB2176" s="2">
        <v>41988.0</v>
      </c>
      <c r="GC2176" s="1" t="s">
        <v>20339</v>
      </c>
    </row>
    <row r="2177">
      <c r="A2177" s="1">
        <v>234000.0</v>
      </c>
      <c r="B2177" s="1" t="s">
        <v>185</v>
      </c>
      <c r="C2177" s="1" t="str">
        <f>"08745327"</f>
        <v>08745327</v>
      </c>
      <c r="D2177" s="1" t="s">
        <v>186</v>
      </c>
      <c r="F2177" s="1" t="str">
        <f>"107"</f>
        <v>107</v>
      </c>
      <c r="G2177" s="2">
        <v>41916.0</v>
      </c>
      <c r="H2177" s="1">
        <v>269000.0</v>
      </c>
      <c r="I2177" s="1">
        <v>105.0</v>
      </c>
      <c r="J2177" s="1">
        <v>249900.0</v>
      </c>
      <c r="K2177" s="2">
        <v>42020.0</v>
      </c>
      <c r="L2177" s="1">
        <v>105.0</v>
      </c>
      <c r="M2177" s="2">
        <v>42020.0</v>
      </c>
      <c r="N2177" s="1" t="s">
        <v>356</v>
      </c>
      <c r="O2177" s="2">
        <v>42076.0</v>
      </c>
      <c r="P2177" s="1">
        <v>239238.0</v>
      </c>
      <c r="Q2177" s="1">
        <v>25046.0</v>
      </c>
      <c r="S2177" s="1">
        <v>29.0</v>
      </c>
      <c r="T2177" s="1" t="s">
        <v>15291</v>
      </c>
      <c r="U2177" s="1" t="s">
        <v>569</v>
      </c>
      <c r="V2177" s="1" t="s">
        <v>294</v>
      </c>
      <c r="W2177" s="1">
        <v>60107.0</v>
      </c>
      <c r="Y2177" s="1" t="s">
        <v>20340</v>
      </c>
      <c r="Z2177" s="1">
        <v>1986.0</v>
      </c>
      <c r="AA2177" s="1" t="s">
        <v>200</v>
      </c>
      <c r="AB2177" s="1" t="s">
        <v>193</v>
      </c>
      <c r="AC2177" s="1" t="s">
        <v>20341</v>
      </c>
      <c r="AD2177" s="1" t="s">
        <v>297</v>
      </c>
      <c r="AE2177" s="1" t="s">
        <v>195</v>
      </c>
      <c r="AF2177" s="1" t="s">
        <v>298</v>
      </c>
      <c r="AH2177" s="1" t="s">
        <v>20342</v>
      </c>
      <c r="AI2177" s="1">
        <v>0.1309</v>
      </c>
      <c r="AK2177" s="1">
        <v>7.0</v>
      </c>
      <c r="AL2177" s="1">
        <v>4.0</v>
      </c>
      <c r="AM2177" s="1">
        <v>3.0</v>
      </c>
      <c r="AN2177" s="1">
        <v>0.0</v>
      </c>
      <c r="AO2177" s="1" t="s">
        <v>198</v>
      </c>
      <c r="AQ2177" s="1" t="s">
        <v>198</v>
      </c>
      <c r="AR2177" s="1" t="s">
        <v>192</v>
      </c>
      <c r="AS2177" s="1" t="s">
        <v>199</v>
      </c>
      <c r="AT2177" s="1">
        <v>2.0</v>
      </c>
      <c r="AV2177" s="1" t="s">
        <v>200</v>
      </c>
      <c r="AW2177" s="1">
        <v>5147.56</v>
      </c>
      <c r="AX2177" s="1">
        <v>2013.0</v>
      </c>
      <c r="AY2177" s="1" t="s">
        <v>387</v>
      </c>
      <c r="AZ2177" s="1" t="s">
        <v>200</v>
      </c>
      <c r="BA2177" s="1" t="str">
        <f>"06272100100000"</f>
        <v>06272100100000</v>
      </c>
      <c r="BC2177" s="1">
        <v>2464.0</v>
      </c>
      <c r="BD2177" s="1">
        <v>234000.0</v>
      </c>
      <c r="BE2177" s="2">
        <v>41916.0</v>
      </c>
      <c r="BF2177" s="2" t="s">
        <v>20343</v>
      </c>
      <c r="BG2177" s="1" t="s">
        <v>2746</v>
      </c>
      <c r="BH2177" s="1">
        <v>0.0</v>
      </c>
      <c r="BI2177" s="1" t="s">
        <v>756</v>
      </c>
      <c r="BJ2177" s="1" t="s">
        <v>757</v>
      </c>
      <c r="BK2177" s="1" t="s">
        <v>204</v>
      </c>
      <c r="BL2177" s="1" t="str">
        <f>"9"</f>
        <v>9</v>
      </c>
      <c r="BM2177" s="1" t="str">
        <f>""</f>
        <v/>
      </c>
      <c r="BN2177" s="1">
        <v>29.0</v>
      </c>
      <c r="BQ2177" s="1">
        <v>46.0</v>
      </c>
      <c r="BR2177" s="1">
        <v>46.0</v>
      </c>
      <c r="BS2177" s="1">
        <v>46.0</v>
      </c>
      <c r="BU2177" s="1" t="s">
        <v>743</v>
      </c>
      <c r="BV2177" s="1" t="s">
        <v>209</v>
      </c>
      <c r="BW2177" s="1" t="s">
        <v>207</v>
      </c>
      <c r="BY2177" s="1" t="s">
        <v>332</v>
      </c>
      <c r="BZ2177" s="1" t="s">
        <v>209</v>
      </c>
      <c r="CA2177" s="1" t="s">
        <v>210</v>
      </c>
      <c r="CD2177" s="1" t="s">
        <v>204</v>
      </c>
      <c r="CG2177" s="1" t="s">
        <v>699</v>
      </c>
      <c r="CH2177" s="1" t="s">
        <v>209</v>
      </c>
      <c r="CI2177" s="1" t="s">
        <v>210</v>
      </c>
      <c r="CK2177" s="1" t="s">
        <v>269</v>
      </c>
      <c r="CL2177" s="1" t="s">
        <v>209</v>
      </c>
      <c r="CM2177" s="1" t="s">
        <v>210</v>
      </c>
      <c r="CO2177" s="1" t="s">
        <v>332</v>
      </c>
      <c r="CP2177" s="1" t="s">
        <v>267</v>
      </c>
      <c r="CQ2177" s="1" t="s">
        <v>210</v>
      </c>
      <c r="CS2177" s="1" t="s">
        <v>333</v>
      </c>
      <c r="CT2177" s="1" t="s">
        <v>209</v>
      </c>
      <c r="CU2177" s="1" t="s">
        <v>207</v>
      </c>
      <c r="CW2177" s="1" t="s">
        <v>2224</v>
      </c>
      <c r="CX2177" s="1" t="s">
        <v>267</v>
      </c>
      <c r="CY2177" s="1" t="s">
        <v>210</v>
      </c>
      <c r="DA2177" s="1" t="s">
        <v>200</v>
      </c>
      <c r="DC2177" s="1" t="s">
        <v>305</v>
      </c>
      <c r="DE2177" s="1" t="s">
        <v>273</v>
      </c>
      <c r="DF2177" s="1" t="s">
        <v>219</v>
      </c>
      <c r="DH2177" s="1" t="s">
        <v>220</v>
      </c>
      <c r="DI2177" s="1" t="s">
        <v>789</v>
      </c>
      <c r="DJ2177" s="1" t="s">
        <v>222</v>
      </c>
      <c r="DL2177" s="1" t="s">
        <v>224</v>
      </c>
      <c r="DM2177" s="1" t="s">
        <v>338</v>
      </c>
      <c r="DQ2177" s="1" t="s">
        <v>228</v>
      </c>
      <c r="DR2177" s="1" t="s">
        <v>229</v>
      </c>
      <c r="DS2177" s="1" t="s">
        <v>591</v>
      </c>
      <c r="DU2177" s="1" t="s">
        <v>1840</v>
      </c>
      <c r="DV2177" s="1" t="s">
        <v>232</v>
      </c>
      <c r="DW2177" s="1" t="s">
        <v>233</v>
      </c>
      <c r="DX2177" s="1" t="s">
        <v>5015</v>
      </c>
      <c r="DZ2177" s="1" t="s">
        <v>968</v>
      </c>
      <c r="EA2177" s="1" t="s">
        <v>20344</v>
      </c>
      <c r="EC2177" s="1" t="s">
        <v>311</v>
      </c>
      <c r="EE2177" s="1" t="s">
        <v>522</v>
      </c>
      <c r="EM2177" s="1" t="s">
        <v>238</v>
      </c>
      <c r="EQ2177" s="1" t="s">
        <v>238</v>
      </c>
      <c r="EU2177" s="1" t="s">
        <v>238</v>
      </c>
      <c r="EY2177" s="1" t="s">
        <v>238</v>
      </c>
      <c r="FC2177" s="1" t="s">
        <v>238</v>
      </c>
      <c r="FF2177" s="1" t="s">
        <v>239</v>
      </c>
      <c r="FG2177" s="1" t="s">
        <v>192</v>
      </c>
      <c r="FH2177" s="1" t="s">
        <v>192</v>
      </c>
      <c r="FJ2177" s="1" t="s">
        <v>1747</v>
      </c>
      <c r="FK2177" s="1" t="s">
        <v>557</v>
      </c>
      <c r="FL2177" s="1" t="s">
        <v>2263</v>
      </c>
      <c r="FM2177" s="1">
        <v>25005.0</v>
      </c>
      <c r="FN2177" s="1" t="s">
        <v>8538</v>
      </c>
      <c r="FO2177" s="1" t="s">
        <v>20345</v>
      </c>
      <c r="FP2177" s="1">
        <v>240574.0</v>
      </c>
      <c r="FQ2177" s="1" t="s">
        <v>20346</v>
      </c>
      <c r="FU2177" s="1" t="s">
        <v>20347</v>
      </c>
      <c r="FV2177" s="1" t="s">
        <v>200</v>
      </c>
      <c r="FW2177" s="1" t="s">
        <v>20348</v>
      </c>
      <c r="FZ2177" s="1" t="s">
        <v>632</v>
      </c>
      <c r="GA2177" s="1" t="s">
        <v>291</v>
      </c>
      <c r="GB2177" s="2">
        <v>42129.0</v>
      </c>
      <c r="GC2177" s="1" t="s">
        <v>20349</v>
      </c>
    </row>
    <row r="2178">
      <c r="A2178" s="1">
        <v>227000.0</v>
      </c>
      <c r="B2178" s="1" t="s">
        <v>185</v>
      </c>
      <c r="C2178" s="1" t="str">
        <f>"08751379"</f>
        <v>08751379</v>
      </c>
      <c r="D2178" s="1" t="s">
        <v>186</v>
      </c>
      <c r="F2178" s="1" t="str">
        <f>"8074"</f>
        <v>8074</v>
      </c>
      <c r="G2178" s="2">
        <v>41925.0</v>
      </c>
      <c r="H2178" s="1">
        <v>229900.0</v>
      </c>
      <c r="I2178" s="1">
        <v>16.0</v>
      </c>
      <c r="J2178" s="1">
        <v>229900.0</v>
      </c>
      <c r="K2178" s="2">
        <v>41939.0</v>
      </c>
      <c r="L2178" s="1">
        <v>16.0</v>
      </c>
      <c r="M2178" s="2">
        <v>41939.0</v>
      </c>
      <c r="N2178" s="1" t="s">
        <v>634</v>
      </c>
      <c r="O2178" s="2">
        <v>42010.0</v>
      </c>
      <c r="P2178" s="1">
        <v>189288.0</v>
      </c>
      <c r="Q2178" s="1">
        <v>12811.0</v>
      </c>
      <c r="R2178" s="1">
        <v>9000.0</v>
      </c>
      <c r="S2178" s="1">
        <v>3300.0</v>
      </c>
      <c r="T2178" s="1" t="s">
        <v>20350</v>
      </c>
      <c r="U2178" s="1" t="s">
        <v>320</v>
      </c>
      <c r="V2178" s="1" t="s">
        <v>190</v>
      </c>
      <c r="W2178" s="1">
        <v>60655.0</v>
      </c>
      <c r="Y2178" s="1" t="s">
        <v>20351</v>
      </c>
      <c r="Z2178" s="1">
        <v>1947.0</v>
      </c>
      <c r="AA2178" s="1" t="s">
        <v>192</v>
      </c>
      <c r="AB2178" s="1" t="s">
        <v>193</v>
      </c>
      <c r="AD2178" s="1" t="s">
        <v>194</v>
      </c>
      <c r="AE2178" s="1" t="s">
        <v>195</v>
      </c>
      <c r="AF2178" s="1" t="s">
        <v>659</v>
      </c>
      <c r="AH2178" s="1" t="s">
        <v>20352</v>
      </c>
      <c r="AK2178" s="1">
        <v>6.0</v>
      </c>
      <c r="AL2178" s="1">
        <v>4.0</v>
      </c>
      <c r="AM2178" s="1">
        <v>2.0</v>
      </c>
      <c r="AN2178" s="1">
        <v>0.0</v>
      </c>
      <c r="AO2178" s="1" t="s">
        <v>229</v>
      </c>
      <c r="AQ2178" s="1" t="s">
        <v>198</v>
      </c>
      <c r="AR2178" s="1" t="s">
        <v>200</v>
      </c>
      <c r="AS2178" s="1" t="s">
        <v>510</v>
      </c>
      <c r="AT2178" s="1">
        <v>2.0</v>
      </c>
      <c r="AU2178" s="1">
        <v>2.0</v>
      </c>
      <c r="AV2178" s="1" t="s">
        <v>200</v>
      </c>
      <c r="AW2178" s="1">
        <v>2319.0</v>
      </c>
      <c r="AX2178" s="1">
        <v>2013.0</v>
      </c>
      <c r="AZ2178" s="1" t="s">
        <v>200</v>
      </c>
      <c r="BA2178" s="1" t="str">
        <f>"24232110210000"</f>
        <v>24232110210000</v>
      </c>
      <c r="BB2178" s="1" t="s">
        <v>200</v>
      </c>
      <c r="BC2178" s="1">
        <v>1303.0</v>
      </c>
      <c r="BD2178" s="1">
        <v>227000.0</v>
      </c>
      <c r="BE2178" s="2">
        <v>41924.0</v>
      </c>
      <c r="BF2178" s="2" t="s">
        <v>20353</v>
      </c>
      <c r="BH2178" s="1">
        <v>0.0</v>
      </c>
      <c r="BK2178" s="1" t="s">
        <v>204</v>
      </c>
      <c r="BL2178" s="1" t="str">
        <f t="shared" ref="BL2178:BM2178" si="1423">"0"</f>
        <v>0</v>
      </c>
      <c r="BM2178" s="1" t="str">
        <f t="shared" si="1423"/>
        <v>0</v>
      </c>
      <c r="BN2178" s="1">
        <v>3300.0</v>
      </c>
      <c r="BO2178" s="1">
        <v>11400.0</v>
      </c>
      <c r="BQ2178" s="1">
        <v>299.0</v>
      </c>
      <c r="BR2178" s="1">
        <v>299.0</v>
      </c>
      <c r="BS2178" s="1">
        <v>299.0</v>
      </c>
      <c r="BU2178" s="1" t="s">
        <v>758</v>
      </c>
      <c r="BV2178" s="1" t="s">
        <v>206</v>
      </c>
      <c r="BW2178" s="1" t="s">
        <v>207</v>
      </c>
      <c r="BX2178" s="1" t="s">
        <v>431</v>
      </c>
      <c r="BY2178" s="1" t="s">
        <v>332</v>
      </c>
      <c r="BZ2178" s="1" t="s">
        <v>206</v>
      </c>
      <c r="CA2178" s="1" t="s">
        <v>207</v>
      </c>
      <c r="CB2178" s="1" t="s">
        <v>431</v>
      </c>
      <c r="CD2178" s="1" t="s">
        <v>204</v>
      </c>
      <c r="CG2178" s="1" t="s">
        <v>269</v>
      </c>
      <c r="CH2178" s="1" t="s">
        <v>206</v>
      </c>
      <c r="CI2178" s="1" t="s">
        <v>207</v>
      </c>
      <c r="CJ2178" s="1" t="s">
        <v>431</v>
      </c>
      <c r="CK2178" s="1" t="s">
        <v>454</v>
      </c>
      <c r="CL2178" s="1" t="s">
        <v>209</v>
      </c>
      <c r="CM2178" s="1" t="s">
        <v>210</v>
      </c>
      <c r="CN2178" s="1" t="s">
        <v>431</v>
      </c>
      <c r="CO2178" s="1" t="s">
        <v>269</v>
      </c>
      <c r="CP2178" s="1" t="s">
        <v>209</v>
      </c>
      <c r="CQ2178" s="1" t="s">
        <v>210</v>
      </c>
      <c r="CR2178" s="1" t="s">
        <v>431</v>
      </c>
      <c r="CS2178" s="1" t="s">
        <v>1745</v>
      </c>
      <c r="CT2178" s="1" t="s">
        <v>206</v>
      </c>
      <c r="CU2178" s="1" t="s">
        <v>268</v>
      </c>
      <c r="CV2178" s="1" t="s">
        <v>431</v>
      </c>
      <c r="CX2178" s="1" t="s">
        <v>204</v>
      </c>
      <c r="DA2178" s="1" t="s">
        <v>200</v>
      </c>
      <c r="DC2178" s="1" t="s">
        <v>702</v>
      </c>
      <c r="DD2178" s="1" t="s">
        <v>518</v>
      </c>
      <c r="DE2178" s="1" t="s">
        <v>273</v>
      </c>
      <c r="DF2178" s="1" t="s">
        <v>219</v>
      </c>
      <c r="DH2178" s="1" t="s">
        <v>365</v>
      </c>
      <c r="DI2178" s="1" t="s">
        <v>308</v>
      </c>
      <c r="DJ2178" s="1" t="s">
        <v>222</v>
      </c>
      <c r="DL2178" s="1" t="s">
        <v>223</v>
      </c>
      <c r="DM2178" s="1" t="s">
        <v>229</v>
      </c>
      <c r="DQ2178" s="1" t="s">
        <v>228</v>
      </c>
      <c r="DR2178" s="1" t="s">
        <v>229</v>
      </c>
      <c r="DS2178" s="1" t="s">
        <v>277</v>
      </c>
      <c r="DV2178" s="1" t="s">
        <v>232</v>
      </c>
      <c r="DW2178" s="1" t="s">
        <v>279</v>
      </c>
      <c r="DX2178" s="1" t="s">
        <v>234</v>
      </c>
      <c r="DY2178" s="1" t="s">
        <v>704</v>
      </c>
      <c r="EC2178" s="1" t="s">
        <v>645</v>
      </c>
      <c r="EF2178" s="1" t="s">
        <v>5843</v>
      </c>
      <c r="EM2178" s="1" t="s">
        <v>238</v>
      </c>
      <c r="EQ2178" s="1" t="s">
        <v>238</v>
      </c>
      <c r="EU2178" s="1" t="s">
        <v>238</v>
      </c>
      <c r="EY2178" s="1" t="s">
        <v>238</v>
      </c>
      <c r="FC2178" s="1" t="s">
        <v>238</v>
      </c>
      <c r="FF2178" s="1" t="s">
        <v>239</v>
      </c>
      <c r="FG2178" s="1" t="s">
        <v>192</v>
      </c>
      <c r="FH2178" s="1" t="s">
        <v>192</v>
      </c>
      <c r="FJ2178" s="1" t="s">
        <v>770</v>
      </c>
      <c r="FK2178" s="1" t="s">
        <v>229</v>
      </c>
      <c r="FL2178" s="1" t="s">
        <v>5405</v>
      </c>
      <c r="FM2178" s="1">
        <v>60822.0</v>
      </c>
      <c r="FN2178" s="1" t="s">
        <v>5406</v>
      </c>
      <c r="FO2178" s="1" t="s">
        <v>5407</v>
      </c>
      <c r="FP2178" s="1">
        <v>602609.0</v>
      </c>
      <c r="FQ2178" s="1" t="s">
        <v>5408</v>
      </c>
      <c r="FU2178" s="1" t="s">
        <v>5409</v>
      </c>
      <c r="FV2178" s="1" t="s">
        <v>192</v>
      </c>
      <c r="FW2178" s="1" t="s">
        <v>530</v>
      </c>
      <c r="FX2178" s="1" t="s">
        <v>246</v>
      </c>
      <c r="FZ2178" s="1" t="s">
        <v>229</v>
      </c>
      <c r="GA2178" s="1" t="s">
        <v>291</v>
      </c>
      <c r="GB2178" s="2">
        <v>42012.0</v>
      </c>
      <c r="GC2178" s="1" t="s">
        <v>20354</v>
      </c>
    </row>
    <row r="2179">
      <c r="A2179" s="1">
        <v>35500.0</v>
      </c>
      <c r="B2179" s="1" t="s">
        <v>185</v>
      </c>
      <c r="C2179" s="1" t="str">
        <f>"08750582"</f>
        <v>08750582</v>
      </c>
      <c r="D2179" s="1" t="s">
        <v>186</v>
      </c>
      <c r="F2179" s="1" t="str">
        <f>"8043"</f>
        <v>8043</v>
      </c>
      <c r="G2179" s="2">
        <v>41922.0</v>
      </c>
      <c r="H2179" s="1">
        <v>40500.0</v>
      </c>
      <c r="I2179" s="1">
        <v>23.0</v>
      </c>
      <c r="J2179" s="1">
        <v>40500.0</v>
      </c>
      <c r="K2179" s="2">
        <v>41943.0</v>
      </c>
      <c r="L2179" s="1">
        <v>23.0</v>
      </c>
      <c r="M2179" s="2">
        <v>41943.0</v>
      </c>
      <c r="N2179" s="1" t="s">
        <v>249</v>
      </c>
      <c r="O2179" s="2">
        <v>41976.0</v>
      </c>
      <c r="P2179" s="1">
        <v>874848.0</v>
      </c>
      <c r="Q2179" s="1">
        <v>17665.0</v>
      </c>
      <c r="S2179" s="1">
        <v>2719.0</v>
      </c>
      <c r="T2179" s="1" t="s">
        <v>20355</v>
      </c>
      <c r="U2179" s="1" t="s">
        <v>320</v>
      </c>
      <c r="V2179" s="1" t="s">
        <v>190</v>
      </c>
      <c r="W2179" s="1">
        <v>60649.0</v>
      </c>
      <c r="Y2179" s="1" t="s">
        <v>20356</v>
      </c>
      <c r="Z2179" s="1">
        <v>1888.0</v>
      </c>
      <c r="AA2179" s="1" t="s">
        <v>192</v>
      </c>
      <c r="AB2179" s="1" t="s">
        <v>193</v>
      </c>
      <c r="AD2179" s="1" t="s">
        <v>194</v>
      </c>
      <c r="AE2179" s="1" t="s">
        <v>195</v>
      </c>
      <c r="AF2179" s="1" t="s">
        <v>637</v>
      </c>
      <c r="AH2179" s="1" t="s">
        <v>359</v>
      </c>
      <c r="AK2179" s="1">
        <v>7.0</v>
      </c>
      <c r="AL2179" s="1">
        <v>4.0</v>
      </c>
      <c r="AM2179" s="1">
        <v>2.0</v>
      </c>
      <c r="AN2179" s="1">
        <v>0.0</v>
      </c>
      <c r="AO2179" s="1" t="s">
        <v>229</v>
      </c>
      <c r="AQ2179" s="1" t="s">
        <v>198</v>
      </c>
      <c r="AR2179" s="1" t="s">
        <v>200</v>
      </c>
      <c r="AS2179" s="1" t="s">
        <v>199</v>
      </c>
      <c r="AT2179" s="1">
        <v>2.0</v>
      </c>
      <c r="AV2179" s="1" t="s">
        <v>200</v>
      </c>
      <c r="AW2179" s="1">
        <v>825.1</v>
      </c>
      <c r="AX2179" s="1">
        <v>2013.0</v>
      </c>
      <c r="AY2179" s="1" t="s">
        <v>387</v>
      </c>
      <c r="AZ2179" s="1" t="s">
        <v>200</v>
      </c>
      <c r="BA2179" s="1" t="str">
        <f>"21303160050000"</f>
        <v>21303160050000</v>
      </c>
      <c r="BC2179" s="1">
        <v>704.0</v>
      </c>
      <c r="BD2179" s="1">
        <v>35500.0</v>
      </c>
      <c r="BE2179" s="2">
        <v>41921.0</v>
      </c>
      <c r="BF2179" s="2" t="s">
        <v>20357</v>
      </c>
      <c r="BH2179" s="1">
        <v>0.0</v>
      </c>
      <c r="BK2179" s="1" t="s">
        <v>204</v>
      </c>
      <c r="BL2179" s="1" t="str">
        <f>"0"</f>
        <v>0</v>
      </c>
      <c r="BM2179" s="1" t="str">
        <f>"2719"</f>
        <v>2719</v>
      </c>
      <c r="BN2179" s="1">
        <v>0.0</v>
      </c>
      <c r="BO2179" s="1">
        <v>7600.0</v>
      </c>
      <c r="BQ2179" s="1">
        <v>299.0</v>
      </c>
      <c r="BR2179" s="1">
        <v>299.0</v>
      </c>
      <c r="BS2179" s="1">
        <v>299.0</v>
      </c>
      <c r="BU2179" s="1" t="s">
        <v>392</v>
      </c>
      <c r="BV2179" s="1" t="s">
        <v>206</v>
      </c>
      <c r="BY2179" s="1" t="s">
        <v>363</v>
      </c>
      <c r="BZ2179" s="1" t="s">
        <v>209</v>
      </c>
      <c r="CC2179" s="1" t="s">
        <v>269</v>
      </c>
      <c r="CD2179" s="1" t="s">
        <v>206</v>
      </c>
      <c r="CG2179" s="1" t="s">
        <v>495</v>
      </c>
      <c r="CH2179" s="1" t="s">
        <v>209</v>
      </c>
      <c r="CK2179" s="1" t="s">
        <v>269</v>
      </c>
      <c r="CL2179" s="1" t="s">
        <v>209</v>
      </c>
      <c r="CO2179" s="1" t="s">
        <v>798</v>
      </c>
      <c r="CP2179" s="1" t="s">
        <v>206</v>
      </c>
      <c r="CS2179" s="1" t="s">
        <v>4153</v>
      </c>
      <c r="CT2179" s="1" t="s">
        <v>206</v>
      </c>
      <c r="CX2179" s="1" t="s">
        <v>204</v>
      </c>
      <c r="DA2179" s="1" t="s">
        <v>200</v>
      </c>
      <c r="DC2179" s="1" t="s">
        <v>642</v>
      </c>
      <c r="DE2179" s="1" t="s">
        <v>229</v>
      </c>
      <c r="DF2179" s="1" t="s">
        <v>619</v>
      </c>
      <c r="DH2179" s="1" t="s">
        <v>220</v>
      </c>
      <c r="DJ2179" s="1" t="s">
        <v>222</v>
      </c>
      <c r="DL2179" s="1" t="s">
        <v>223</v>
      </c>
      <c r="DM2179" s="1" t="s">
        <v>229</v>
      </c>
      <c r="DQ2179" s="1" t="s">
        <v>228</v>
      </c>
      <c r="DR2179" s="1" t="s">
        <v>229</v>
      </c>
      <c r="DV2179" s="1" t="s">
        <v>232</v>
      </c>
      <c r="DW2179" s="1" t="s">
        <v>667</v>
      </c>
      <c r="DX2179" s="1" t="s">
        <v>234</v>
      </c>
      <c r="EC2179" s="1" t="s">
        <v>645</v>
      </c>
      <c r="EM2179" s="1" t="s">
        <v>238</v>
      </c>
      <c r="EQ2179" s="1" t="s">
        <v>238</v>
      </c>
      <c r="EU2179" s="1" t="s">
        <v>238</v>
      </c>
      <c r="EY2179" s="1" t="s">
        <v>238</v>
      </c>
      <c r="FC2179" s="1" t="s">
        <v>238</v>
      </c>
      <c r="FF2179" s="1" t="s">
        <v>239</v>
      </c>
      <c r="FG2179" s="1" t="s">
        <v>192</v>
      </c>
      <c r="FH2179" s="1" t="s">
        <v>192</v>
      </c>
      <c r="FJ2179" s="1" t="s">
        <v>20358</v>
      </c>
      <c r="FK2179" s="1" t="s">
        <v>229</v>
      </c>
      <c r="FL2179" s="1" t="s">
        <v>8724</v>
      </c>
      <c r="FM2179" s="1">
        <v>16795.0</v>
      </c>
      <c r="FN2179" s="1" t="s">
        <v>8725</v>
      </c>
      <c r="FO2179" s="1" t="s">
        <v>8726</v>
      </c>
      <c r="FP2179" s="1">
        <v>110590.0</v>
      </c>
      <c r="FQ2179" s="1" t="s">
        <v>8727</v>
      </c>
      <c r="FR2179" s="1">
        <v>185513.0</v>
      </c>
      <c r="FU2179" s="1" t="s">
        <v>8728</v>
      </c>
      <c r="FV2179" s="1" t="s">
        <v>200</v>
      </c>
      <c r="FW2179" s="1" t="s">
        <v>290</v>
      </c>
      <c r="FX2179" s="1" t="s">
        <v>1739</v>
      </c>
      <c r="FZ2179" s="1" t="s">
        <v>229</v>
      </c>
      <c r="GA2179" s="1" t="s">
        <v>291</v>
      </c>
      <c r="GB2179" s="2">
        <v>41976.0</v>
      </c>
      <c r="GC2179" s="1" t="s">
        <v>8729</v>
      </c>
    </row>
    <row r="2180">
      <c r="A2180" s="1">
        <v>243000.0</v>
      </c>
      <c r="B2180" s="1" t="s">
        <v>185</v>
      </c>
      <c r="C2180" s="1" t="str">
        <f>"08747458"</f>
        <v>08747458</v>
      </c>
      <c r="D2180" s="1" t="s">
        <v>186</v>
      </c>
      <c r="F2180" s="1" t="str">
        <f>"634"</f>
        <v>634</v>
      </c>
      <c r="G2180" s="2">
        <v>41919.0</v>
      </c>
      <c r="H2180" s="1">
        <v>249900.0</v>
      </c>
      <c r="I2180" s="1">
        <v>166.0</v>
      </c>
      <c r="J2180" s="1">
        <v>249900.0</v>
      </c>
      <c r="K2180" s="2">
        <v>42044.0</v>
      </c>
      <c r="L2180" s="1">
        <v>126.0</v>
      </c>
      <c r="M2180" s="2">
        <v>42044.0</v>
      </c>
      <c r="N2180" s="1" t="s">
        <v>356</v>
      </c>
      <c r="O2180" s="2">
        <v>42086.0</v>
      </c>
      <c r="P2180" s="1">
        <v>239191.0</v>
      </c>
      <c r="Q2180" s="1">
        <v>8817.0</v>
      </c>
      <c r="S2180" s="1">
        <v>4713.0</v>
      </c>
      <c r="T2180" s="1" t="s">
        <v>20359</v>
      </c>
      <c r="U2180" s="1" t="s">
        <v>189</v>
      </c>
      <c r="V2180" s="1" t="s">
        <v>6388</v>
      </c>
      <c r="W2180" s="1">
        <v>60706.0</v>
      </c>
      <c r="Y2180" s="1" t="s">
        <v>20360</v>
      </c>
      <c r="Z2180" s="1">
        <v>1956.0</v>
      </c>
      <c r="AA2180" s="1" t="s">
        <v>192</v>
      </c>
      <c r="AB2180" s="1" t="s">
        <v>193</v>
      </c>
      <c r="AD2180" s="1" t="s">
        <v>6390</v>
      </c>
      <c r="AE2180" s="1" t="s">
        <v>195</v>
      </c>
      <c r="AF2180" s="1" t="s">
        <v>2347</v>
      </c>
      <c r="AG2180" s="1" t="s">
        <v>1132</v>
      </c>
      <c r="AH2180" s="1" t="s">
        <v>20361</v>
      </c>
      <c r="AK2180" s="1">
        <v>8.0</v>
      </c>
      <c r="AL2180" s="1">
        <v>3.0</v>
      </c>
      <c r="AM2180" s="1">
        <v>2.0</v>
      </c>
      <c r="AN2180" s="1">
        <v>0.0</v>
      </c>
      <c r="AO2180" s="1" t="s">
        <v>1261</v>
      </c>
      <c r="AP2180" s="1">
        <v>0.0</v>
      </c>
      <c r="AQ2180" s="1" t="s">
        <v>198</v>
      </c>
      <c r="AR2180" s="1" t="s">
        <v>192</v>
      </c>
      <c r="AS2180" s="1" t="s">
        <v>199</v>
      </c>
      <c r="AT2180" s="1">
        <v>2.5</v>
      </c>
      <c r="AV2180" s="1" t="s">
        <v>200</v>
      </c>
      <c r="AW2180" s="1">
        <v>1760.36</v>
      </c>
      <c r="AX2180" s="1">
        <v>2013.0</v>
      </c>
      <c r="AY2180" s="1" t="s">
        <v>1917</v>
      </c>
      <c r="AZ2180" s="1" t="s">
        <v>200</v>
      </c>
      <c r="BA2180" s="1" t="str">
        <f>"12132270110000"</f>
        <v>12132270110000</v>
      </c>
      <c r="BC2180" s="1">
        <v>981.0</v>
      </c>
      <c r="BD2180" s="1">
        <v>243000.0</v>
      </c>
      <c r="BE2180" s="2">
        <v>41919.0</v>
      </c>
      <c r="BF2180" s="2" t="s">
        <v>20362</v>
      </c>
      <c r="BG2180" s="1" t="s">
        <v>20363</v>
      </c>
      <c r="BH2180" s="1">
        <v>0.0</v>
      </c>
      <c r="BI2180" s="1" t="s">
        <v>20363</v>
      </c>
      <c r="BJ2180" s="1" t="s">
        <v>2352</v>
      </c>
      <c r="BK2180" s="1" t="s">
        <v>204</v>
      </c>
      <c r="BL2180" s="1" t="str">
        <f>"4713"</f>
        <v>4713</v>
      </c>
      <c r="BM2180" s="1" t="str">
        <f t="shared" ref="BM2180:BM2182" si="1424">"0"</f>
        <v>0</v>
      </c>
      <c r="BN2180" s="1">
        <v>7800.0</v>
      </c>
      <c r="BO2180" s="1">
        <v>0.0</v>
      </c>
      <c r="BQ2180" s="1">
        <v>80.0</v>
      </c>
      <c r="BR2180" s="1">
        <v>234.0</v>
      </c>
      <c r="BS2180" s="1">
        <v>80.0</v>
      </c>
      <c r="BU2180" s="1" t="s">
        <v>211</v>
      </c>
      <c r="BV2180" s="1" t="s">
        <v>206</v>
      </c>
      <c r="BW2180" s="1" t="s">
        <v>210</v>
      </c>
      <c r="BX2180" s="1" t="s">
        <v>1118</v>
      </c>
      <c r="BY2180" s="1" t="s">
        <v>640</v>
      </c>
      <c r="BZ2180" s="1" t="s">
        <v>206</v>
      </c>
      <c r="CA2180" s="1" t="s">
        <v>210</v>
      </c>
      <c r="CC2180" s="1" t="s">
        <v>542</v>
      </c>
      <c r="CD2180" s="1" t="s">
        <v>206</v>
      </c>
      <c r="CE2180" s="1" t="s">
        <v>617</v>
      </c>
      <c r="CG2180" s="1" t="s">
        <v>266</v>
      </c>
      <c r="CH2180" s="1" t="s">
        <v>206</v>
      </c>
      <c r="CI2180" s="1" t="s">
        <v>210</v>
      </c>
      <c r="CK2180" s="1" t="s">
        <v>516</v>
      </c>
      <c r="CL2180" s="1" t="s">
        <v>206</v>
      </c>
      <c r="CM2180" s="1" t="s">
        <v>210</v>
      </c>
      <c r="CO2180" s="1" t="s">
        <v>543</v>
      </c>
      <c r="CP2180" s="1" t="s">
        <v>42</v>
      </c>
      <c r="CQ2180" s="1" t="s">
        <v>588</v>
      </c>
      <c r="CS2180" s="1" t="s">
        <v>584</v>
      </c>
      <c r="CT2180" s="1" t="s">
        <v>206</v>
      </c>
      <c r="CW2180" s="1" t="s">
        <v>6591</v>
      </c>
      <c r="CX2180" s="1" t="s">
        <v>42</v>
      </c>
      <c r="CY2180" s="1" t="s">
        <v>588</v>
      </c>
      <c r="DA2180" s="1" t="s">
        <v>200</v>
      </c>
      <c r="DC2180" s="1" t="s">
        <v>271</v>
      </c>
      <c r="DD2180" s="1" t="s">
        <v>518</v>
      </c>
      <c r="DE2180" s="1" t="s">
        <v>273</v>
      </c>
      <c r="DF2180" s="1" t="s">
        <v>619</v>
      </c>
      <c r="DG2180" s="1" t="s">
        <v>1002</v>
      </c>
      <c r="DH2180" s="1" t="s">
        <v>365</v>
      </c>
      <c r="DI2180" s="1" t="s">
        <v>703</v>
      </c>
      <c r="DJ2180" s="1" t="s">
        <v>222</v>
      </c>
      <c r="DK2180" s="1" t="s">
        <v>223</v>
      </c>
      <c r="DL2180" s="1" t="s">
        <v>224</v>
      </c>
      <c r="DM2180" s="1" t="s">
        <v>398</v>
      </c>
      <c r="DQ2180" s="1" t="s">
        <v>228</v>
      </c>
      <c r="DR2180" s="1" t="s">
        <v>229</v>
      </c>
      <c r="DS2180" s="1" t="s">
        <v>401</v>
      </c>
      <c r="DU2180" s="1" t="s">
        <v>3591</v>
      </c>
      <c r="DV2180" s="1" t="s">
        <v>1270</v>
      </c>
      <c r="DW2180" s="1" t="s">
        <v>279</v>
      </c>
      <c r="DX2180" s="1" t="s">
        <v>234</v>
      </c>
      <c r="DY2180" s="1" t="s">
        <v>4250</v>
      </c>
      <c r="DZ2180" s="1" t="s">
        <v>282</v>
      </c>
      <c r="EA2180" s="1" t="s">
        <v>1302</v>
      </c>
      <c r="EC2180" s="1" t="s">
        <v>685</v>
      </c>
      <c r="EG2180" s="1" t="s">
        <v>1270</v>
      </c>
      <c r="EL2180" s="1" t="s">
        <v>452</v>
      </c>
      <c r="EM2180" s="1" t="s">
        <v>42</v>
      </c>
      <c r="EN2180" s="1" t="s">
        <v>588</v>
      </c>
      <c r="EQ2180" s="1" t="s">
        <v>238</v>
      </c>
      <c r="EU2180" s="1" t="s">
        <v>238</v>
      </c>
      <c r="EY2180" s="1" t="s">
        <v>238</v>
      </c>
      <c r="FC2180" s="1" t="s">
        <v>238</v>
      </c>
      <c r="FF2180" s="1" t="s">
        <v>239</v>
      </c>
      <c r="FG2180" s="1" t="s">
        <v>192</v>
      </c>
      <c r="FH2180" s="1" t="s">
        <v>192</v>
      </c>
      <c r="FJ2180" s="1" t="s">
        <v>412</v>
      </c>
      <c r="FK2180" s="1" t="s">
        <v>229</v>
      </c>
      <c r="FL2180" s="1" t="s">
        <v>413</v>
      </c>
      <c r="FM2180" s="1">
        <v>13691.0</v>
      </c>
      <c r="FN2180" s="1" t="s">
        <v>414</v>
      </c>
      <c r="FO2180" s="1" t="s">
        <v>20364</v>
      </c>
      <c r="FP2180" s="1">
        <v>156033.0</v>
      </c>
      <c r="FQ2180" s="1" t="s">
        <v>20365</v>
      </c>
      <c r="FU2180" s="1" t="s">
        <v>20366</v>
      </c>
      <c r="FV2180" s="1" t="s">
        <v>200</v>
      </c>
      <c r="FW2180" s="1" t="s">
        <v>567</v>
      </c>
      <c r="FX2180" s="1" t="s">
        <v>238</v>
      </c>
      <c r="FZ2180" s="1" t="s">
        <v>229</v>
      </c>
      <c r="GA2180" s="1" t="s">
        <v>291</v>
      </c>
      <c r="GB2180" s="2">
        <v>42087.0</v>
      </c>
      <c r="GC2180" s="1" t="s">
        <v>20367</v>
      </c>
    </row>
    <row r="2181">
      <c r="A2181" s="1">
        <v>170000.0</v>
      </c>
      <c r="B2181" s="1" t="s">
        <v>185</v>
      </c>
      <c r="C2181" s="1" t="str">
        <f>"08744264"</f>
        <v>08744264</v>
      </c>
      <c r="D2181" s="1" t="s">
        <v>186</v>
      </c>
      <c r="F2181" s="1" t="str">
        <f>"8014"</f>
        <v>8014</v>
      </c>
      <c r="G2181" s="2">
        <v>41915.0</v>
      </c>
      <c r="H2181" s="1">
        <v>160500.0</v>
      </c>
      <c r="I2181" s="1">
        <v>49.0</v>
      </c>
      <c r="J2181" s="1">
        <v>160500.0</v>
      </c>
      <c r="K2181" s="2">
        <v>41963.0</v>
      </c>
      <c r="L2181" s="1">
        <v>49.0</v>
      </c>
      <c r="M2181" s="2">
        <v>41963.0</v>
      </c>
      <c r="N2181" s="1" t="s">
        <v>249</v>
      </c>
      <c r="O2181" s="2">
        <v>41969.0</v>
      </c>
      <c r="P2181" s="1">
        <v>134440.0</v>
      </c>
      <c r="Q2181" s="1">
        <v>13691.0</v>
      </c>
      <c r="S2181" s="1">
        <v>4845.0</v>
      </c>
      <c r="T2181" s="1" t="s">
        <v>3708</v>
      </c>
      <c r="U2181" s="1" t="s">
        <v>189</v>
      </c>
      <c r="V2181" s="1" t="s">
        <v>190</v>
      </c>
      <c r="W2181" s="1">
        <v>60625.0</v>
      </c>
      <c r="Y2181" s="1" t="s">
        <v>20368</v>
      </c>
      <c r="Z2181" s="1">
        <v>1914.0</v>
      </c>
      <c r="AA2181" s="1" t="s">
        <v>192</v>
      </c>
      <c r="AB2181" s="1" t="s">
        <v>193</v>
      </c>
      <c r="AD2181" s="1" t="s">
        <v>194</v>
      </c>
      <c r="AE2181" s="1" t="s">
        <v>195</v>
      </c>
      <c r="AF2181" s="1" t="s">
        <v>196</v>
      </c>
      <c r="AH2181" s="1" t="s">
        <v>20369</v>
      </c>
      <c r="AI2181" s="1">
        <v>0.1076</v>
      </c>
      <c r="AK2181" s="1">
        <v>7.0</v>
      </c>
      <c r="AL2181" s="1">
        <v>4.0</v>
      </c>
      <c r="AM2181" s="1">
        <v>1.0</v>
      </c>
      <c r="AN2181" s="1">
        <v>0.0</v>
      </c>
      <c r="AO2181" s="1" t="s">
        <v>229</v>
      </c>
      <c r="AQ2181" s="1" t="s">
        <v>198</v>
      </c>
      <c r="AR2181" s="1" t="s">
        <v>200</v>
      </c>
      <c r="AS2181" s="1" t="s">
        <v>199</v>
      </c>
      <c r="AT2181" s="1">
        <v>2.0</v>
      </c>
      <c r="AV2181" s="1" t="s">
        <v>200</v>
      </c>
      <c r="AW2181" s="1">
        <v>5738.3</v>
      </c>
      <c r="AX2181" s="1">
        <v>2012.0</v>
      </c>
      <c r="AZ2181" s="1" t="s">
        <v>200</v>
      </c>
      <c r="BA2181" s="1" t="str">
        <f>"13113250050000"</f>
        <v>13113250050000</v>
      </c>
      <c r="BC2181" s="1">
        <v>0.0</v>
      </c>
      <c r="BD2181" s="1">
        <v>170000.0</v>
      </c>
      <c r="BE2181" s="2">
        <v>41915.0</v>
      </c>
      <c r="BF2181" s="1" t="s">
        <v>20370</v>
      </c>
      <c r="BH2181" s="1">
        <v>0.0</v>
      </c>
      <c r="BK2181" s="1" t="s">
        <v>204</v>
      </c>
      <c r="BL2181" s="1" t="str">
        <f>"4845"</f>
        <v>4845</v>
      </c>
      <c r="BM2181" s="1" t="str">
        <f t="shared" si="1424"/>
        <v>0</v>
      </c>
      <c r="BN2181" s="1">
        <v>3800.0</v>
      </c>
      <c r="BO2181" s="1">
        <v>0.0</v>
      </c>
      <c r="BQ2181" s="1">
        <v>299.0</v>
      </c>
      <c r="BR2181" s="1">
        <v>299.0</v>
      </c>
      <c r="BS2181" s="1">
        <v>299.0</v>
      </c>
      <c r="BU2181" s="1" t="s">
        <v>1206</v>
      </c>
      <c r="BV2181" s="1" t="s">
        <v>206</v>
      </c>
      <c r="BY2181" s="1" t="s">
        <v>300</v>
      </c>
      <c r="BZ2181" s="1" t="s">
        <v>209</v>
      </c>
      <c r="CC2181" s="1" t="s">
        <v>1158</v>
      </c>
      <c r="CD2181" s="1" t="s">
        <v>206</v>
      </c>
      <c r="CG2181" s="1" t="s">
        <v>393</v>
      </c>
      <c r="CH2181" s="1" t="s">
        <v>209</v>
      </c>
      <c r="CK2181" s="1" t="s">
        <v>264</v>
      </c>
      <c r="CL2181" s="1" t="s">
        <v>209</v>
      </c>
      <c r="CO2181" s="1" t="s">
        <v>363</v>
      </c>
      <c r="CP2181" s="1" t="s">
        <v>209</v>
      </c>
      <c r="CS2181" s="1" t="s">
        <v>1158</v>
      </c>
      <c r="CT2181" s="1" t="s">
        <v>206</v>
      </c>
      <c r="CX2181" s="1" t="s">
        <v>204</v>
      </c>
      <c r="DA2181" s="1" t="s">
        <v>200</v>
      </c>
      <c r="DC2181" s="1" t="s">
        <v>216</v>
      </c>
      <c r="DE2181" s="1" t="s">
        <v>229</v>
      </c>
      <c r="DF2181" s="1" t="s">
        <v>619</v>
      </c>
      <c r="DH2181" s="1" t="s">
        <v>307</v>
      </c>
      <c r="DJ2181" s="1" t="s">
        <v>222</v>
      </c>
      <c r="DL2181" s="1" t="s">
        <v>223</v>
      </c>
      <c r="DM2181" s="1" t="s">
        <v>229</v>
      </c>
      <c r="DQ2181" s="1" t="s">
        <v>228</v>
      </c>
      <c r="DR2181" s="1" t="s">
        <v>229</v>
      </c>
      <c r="DV2181" s="1" t="s">
        <v>232</v>
      </c>
      <c r="DW2181" s="1" t="s">
        <v>8064</v>
      </c>
      <c r="DX2181" s="1" t="s">
        <v>234</v>
      </c>
      <c r="EC2181" s="1" t="s">
        <v>237</v>
      </c>
      <c r="EM2181" s="1" t="s">
        <v>238</v>
      </c>
      <c r="EQ2181" s="1" t="s">
        <v>238</v>
      </c>
      <c r="EU2181" s="1" t="s">
        <v>238</v>
      </c>
      <c r="EY2181" s="1" t="s">
        <v>238</v>
      </c>
      <c r="FC2181" s="1" t="s">
        <v>238</v>
      </c>
      <c r="FF2181" s="1" t="s">
        <v>239</v>
      </c>
      <c r="FG2181" s="1" t="s">
        <v>192</v>
      </c>
      <c r="FH2181" s="1" t="s">
        <v>192</v>
      </c>
      <c r="FJ2181" s="1" t="s">
        <v>4863</v>
      </c>
      <c r="FK2181" s="1" t="s">
        <v>229</v>
      </c>
      <c r="FL2181" s="1" t="s">
        <v>2705</v>
      </c>
      <c r="FM2181" s="1">
        <v>24072.0</v>
      </c>
      <c r="FN2181" s="1" t="s">
        <v>2706</v>
      </c>
      <c r="FO2181" s="1" t="s">
        <v>2707</v>
      </c>
      <c r="FP2181" s="1">
        <v>222267.0</v>
      </c>
      <c r="FQ2181" s="1" t="s">
        <v>2706</v>
      </c>
      <c r="FR2181" s="1">
        <v>871164.0</v>
      </c>
      <c r="FU2181" s="1" t="s">
        <v>20371</v>
      </c>
      <c r="FV2181" s="1" t="s">
        <v>200</v>
      </c>
      <c r="FW2181" s="1" t="s">
        <v>631</v>
      </c>
      <c r="FX2181" s="1" t="s">
        <v>238</v>
      </c>
      <c r="FZ2181" s="1" t="s">
        <v>229</v>
      </c>
      <c r="GA2181" s="1" t="s">
        <v>291</v>
      </c>
      <c r="GB2181" s="2">
        <v>41969.0</v>
      </c>
      <c r="GC2181" s="1" t="s">
        <v>20372</v>
      </c>
    </row>
    <row r="2182">
      <c r="A2182" s="1">
        <v>175000.0</v>
      </c>
      <c r="B2182" s="1" t="s">
        <v>185</v>
      </c>
      <c r="C2182" s="1" t="str">
        <f>"08747208"</f>
        <v>08747208</v>
      </c>
      <c r="D2182" s="1" t="s">
        <v>186</v>
      </c>
      <c r="F2182" s="1" t="str">
        <f>"8023"</f>
        <v>8023</v>
      </c>
      <c r="G2182" s="2">
        <v>41919.0</v>
      </c>
      <c r="H2182" s="1">
        <v>199900.0</v>
      </c>
      <c r="I2182" s="1">
        <v>116.0</v>
      </c>
      <c r="J2182" s="1">
        <v>180000.0</v>
      </c>
      <c r="K2182" s="2">
        <v>42034.0</v>
      </c>
      <c r="L2182" s="1">
        <v>116.0</v>
      </c>
      <c r="M2182" s="2">
        <v>42034.0</v>
      </c>
      <c r="N2182" s="1" t="s">
        <v>187</v>
      </c>
      <c r="O2182" s="2">
        <v>42076.0</v>
      </c>
      <c r="P2182" s="1">
        <v>106990.0</v>
      </c>
      <c r="Q2182" s="1">
        <v>10267.0</v>
      </c>
      <c r="R2182" s="1">
        <v>3.0</v>
      </c>
      <c r="S2182" s="1">
        <v>4124.0</v>
      </c>
      <c r="T2182" s="1" t="s">
        <v>20220</v>
      </c>
      <c r="U2182" s="1" t="s">
        <v>320</v>
      </c>
      <c r="V2182" s="1" t="s">
        <v>190</v>
      </c>
      <c r="W2182" s="1">
        <v>60651.0</v>
      </c>
      <c r="Y2182" s="1" t="s">
        <v>20373</v>
      </c>
      <c r="Z2182" s="1">
        <v>1904.0</v>
      </c>
      <c r="AA2182" s="1" t="s">
        <v>192</v>
      </c>
      <c r="AB2182" s="1" t="s">
        <v>193</v>
      </c>
      <c r="AD2182" s="1" t="s">
        <v>194</v>
      </c>
      <c r="AE2182" s="1" t="s">
        <v>195</v>
      </c>
      <c r="AF2182" s="1" t="s">
        <v>827</v>
      </c>
      <c r="AH2182" s="1" t="s">
        <v>2080</v>
      </c>
      <c r="AI2182" s="1">
        <v>0.0</v>
      </c>
      <c r="AK2182" s="1">
        <v>8.0</v>
      </c>
      <c r="AL2182" s="1">
        <v>4.0</v>
      </c>
      <c r="AM2182" s="1">
        <v>3.0</v>
      </c>
      <c r="AN2182" s="1">
        <v>0.0</v>
      </c>
      <c r="AO2182" s="1" t="s">
        <v>229</v>
      </c>
      <c r="AP2182" s="1">
        <v>0.0</v>
      </c>
      <c r="AQ2182" s="1" t="s">
        <v>198</v>
      </c>
      <c r="AR2182" s="1" t="s">
        <v>200</v>
      </c>
      <c r="AS2182" s="1" t="s">
        <v>510</v>
      </c>
      <c r="AT2182" s="1">
        <v>2.0</v>
      </c>
      <c r="AU2182" s="1">
        <v>4.0</v>
      </c>
      <c r="AV2182" s="1" t="s">
        <v>200</v>
      </c>
      <c r="AW2182" s="1">
        <v>2628.13</v>
      </c>
      <c r="AX2182" s="1">
        <v>2013.0</v>
      </c>
      <c r="AY2182" s="1" t="s">
        <v>387</v>
      </c>
      <c r="AZ2182" s="1" t="s">
        <v>200</v>
      </c>
      <c r="BA2182" s="1" t="str">
        <f>"16032300380000"</f>
        <v>16032300380000</v>
      </c>
      <c r="BB2182" s="1" t="s">
        <v>192</v>
      </c>
      <c r="BC2182" s="1">
        <v>1600.0</v>
      </c>
      <c r="BD2182" s="1">
        <v>175000.0</v>
      </c>
      <c r="BE2182" s="2">
        <v>41919.0</v>
      </c>
      <c r="BF2182" s="2" t="s">
        <v>20374</v>
      </c>
      <c r="BH2182" s="1">
        <v>0.0</v>
      </c>
      <c r="BK2182" s="1" t="s">
        <v>204</v>
      </c>
      <c r="BL2182" s="1" t="str">
        <f>"1250"</f>
        <v>1250</v>
      </c>
      <c r="BM2182" s="1" t="str">
        <f t="shared" si="1424"/>
        <v>0</v>
      </c>
      <c r="BN2182" s="1">
        <v>4110.0</v>
      </c>
      <c r="BO2182" s="1">
        <v>0.0</v>
      </c>
      <c r="BQ2182" s="1">
        <v>299.0</v>
      </c>
      <c r="BR2182" s="1">
        <v>299.0</v>
      </c>
      <c r="BS2182" s="1">
        <v>299.0</v>
      </c>
      <c r="BU2182" s="1" t="s">
        <v>454</v>
      </c>
      <c r="BV2182" s="1" t="s">
        <v>206</v>
      </c>
      <c r="BW2182" s="1" t="s">
        <v>207</v>
      </c>
      <c r="BY2182" s="1" t="s">
        <v>743</v>
      </c>
      <c r="BZ2182" s="1" t="s">
        <v>209</v>
      </c>
      <c r="CA2182" s="1" t="s">
        <v>207</v>
      </c>
      <c r="CD2182" s="1" t="s">
        <v>204</v>
      </c>
      <c r="CG2182" s="1" t="s">
        <v>1483</v>
      </c>
      <c r="CH2182" s="1" t="s">
        <v>209</v>
      </c>
      <c r="CI2182" s="1" t="s">
        <v>207</v>
      </c>
      <c r="CK2182" s="1" t="s">
        <v>332</v>
      </c>
      <c r="CL2182" s="1" t="s">
        <v>206</v>
      </c>
      <c r="CM2182" s="1" t="s">
        <v>207</v>
      </c>
      <c r="CO2182" s="1" t="s">
        <v>2695</v>
      </c>
      <c r="CP2182" s="1" t="s">
        <v>206</v>
      </c>
      <c r="CQ2182" s="1" t="s">
        <v>207</v>
      </c>
      <c r="CS2182" s="1" t="s">
        <v>211</v>
      </c>
      <c r="CT2182" s="1" t="s">
        <v>206</v>
      </c>
      <c r="CU2182" s="1" t="s">
        <v>268</v>
      </c>
      <c r="CW2182" s="1" t="s">
        <v>1000</v>
      </c>
      <c r="CX2182" s="1" t="s">
        <v>206</v>
      </c>
      <c r="CY2182" s="1" t="s">
        <v>207</v>
      </c>
      <c r="DA2182" s="1" t="s">
        <v>200</v>
      </c>
      <c r="DC2182" s="1" t="s">
        <v>642</v>
      </c>
      <c r="DD2182" s="1" t="s">
        <v>731</v>
      </c>
      <c r="DE2182" s="1" t="s">
        <v>273</v>
      </c>
      <c r="DF2182" s="1" t="s">
        <v>219</v>
      </c>
      <c r="DH2182" s="1" t="s">
        <v>220</v>
      </c>
      <c r="DI2182" s="1" t="s">
        <v>16275</v>
      </c>
      <c r="DJ2182" s="1" t="s">
        <v>222</v>
      </c>
      <c r="DL2182" s="1" t="s">
        <v>224</v>
      </c>
      <c r="DM2182" s="1" t="s">
        <v>229</v>
      </c>
      <c r="DO2182" s="1" t="s">
        <v>549</v>
      </c>
      <c r="DQ2182" s="1" t="s">
        <v>794</v>
      </c>
      <c r="DR2182" s="1" t="s">
        <v>229</v>
      </c>
      <c r="DS2182" s="1" t="s">
        <v>277</v>
      </c>
      <c r="DV2182" s="1" t="s">
        <v>450</v>
      </c>
      <c r="DW2182" s="1" t="s">
        <v>667</v>
      </c>
      <c r="DX2182" s="1" t="s">
        <v>234</v>
      </c>
      <c r="DY2182" s="1" t="s">
        <v>553</v>
      </c>
      <c r="DZ2182" s="1" t="s">
        <v>343</v>
      </c>
      <c r="EC2182" s="1" t="s">
        <v>645</v>
      </c>
      <c r="ED2182" s="1" t="s">
        <v>555</v>
      </c>
      <c r="EE2182" s="1" t="s">
        <v>1960</v>
      </c>
      <c r="EF2182" s="1" t="s">
        <v>834</v>
      </c>
      <c r="EG2182" s="1" t="s">
        <v>450</v>
      </c>
      <c r="EL2182" s="1" t="s">
        <v>925</v>
      </c>
      <c r="EM2182" s="1" t="s">
        <v>42</v>
      </c>
      <c r="EN2182" s="1" t="s">
        <v>588</v>
      </c>
      <c r="EQ2182" s="1" t="s">
        <v>238</v>
      </c>
      <c r="EU2182" s="1" t="s">
        <v>238</v>
      </c>
      <c r="EY2182" s="1" t="s">
        <v>238</v>
      </c>
      <c r="FC2182" s="1" t="s">
        <v>238</v>
      </c>
      <c r="FF2182" s="1" t="s">
        <v>239</v>
      </c>
      <c r="FG2182" s="1" t="s">
        <v>192</v>
      </c>
      <c r="FH2182" s="1" t="s">
        <v>192</v>
      </c>
      <c r="FJ2182" s="1" t="s">
        <v>7646</v>
      </c>
      <c r="FK2182" s="1" t="s">
        <v>229</v>
      </c>
      <c r="FL2182" s="1" t="s">
        <v>9592</v>
      </c>
      <c r="FM2182" s="1">
        <v>84642.0</v>
      </c>
      <c r="FN2182" s="1" t="s">
        <v>9593</v>
      </c>
      <c r="FO2182" s="1" t="s">
        <v>9594</v>
      </c>
      <c r="FP2182" s="1">
        <v>144002.0</v>
      </c>
      <c r="FQ2182" s="1" t="s">
        <v>9595</v>
      </c>
      <c r="FU2182" s="1" t="s">
        <v>20375</v>
      </c>
      <c r="FV2182" s="1" t="s">
        <v>200</v>
      </c>
      <c r="FW2182" s="1" t="s">
        <v>567</v>
      </c>
      <c r="FX2182" s="1" t="s">
        <v>246</v>
      </c>
      <c r="FZ2182" s="1" t="s">
        <v>229</v>
      </c>
      <c r="GA2182" s="1" t="s">
        <v>291</v>
      </c>
      <c r="GB2182" s="2">
        <v>42076.0</v>
      </c>
      <c r="GC2182" s="1" t="s">
        <v>20376</v>
      </c>
    </row>
    <row r="2183">
      <c r="A2183" s="1">
        <v>228900.0</v>
      </c>
      <c r="B2183" s="1" t="s">
        <v>185</v>
      </c>
      <c r="C2183" s="1" t="str">
        <f>"08751125"</f>
        <v>08751125</v>
      </c>
      <c r="D2183" s="1" t="s">
        <v>186</v>
      </c>
      <c r="F2183" s="1" t="str">
        <f>"543"</f>
        <v>543</v>
      </c>
      <c r="G2183" s="2">
        <v>41924.0</v>
      </c>
      <c r="H2183" s="1">
        <v>228900.0</v>
      </c>
      <c r="I2183" s="1">
        <v>38.0</v>
      </c>
      <c r="J2183" s="1">
        <v>228900.0</v>
      </c>
      <c r="K2183" s="2">
        <v>41961.0</v>
      </c>
      <c r="L2183" s="1">
        <v>38.0</v>
      </c>
      <c r="M2183" s="2">
        <v>41961.0</v>
      </c>
      <c r="N2183" s="1" t="s">
        <v>187</v>
      </c>
      <c r="O2183" s="2">
        <v>41991.0</v>
      </c>
      <c r="P2183" s="1">
        <v>602893.0</v>
      </c>
      <c r="Q2183" s="1">
        <v>24945.0</v>
      </c>
      <c r="R2183" s="1">
        <v>4900.0</v>
      </c>
      <c r="S2183" s="1">
        <v>264.0</v>
      </c>
      <c r="T2183" s="1" t="s">
        <v>16069</v>
      </c>
      <c r="U2183" s="1" t="s">
        <v>982</v>
      </c>
      <c r="V2183" s="1" t="s">
        <v>1527</v>
      </c>
      <c r="W2183" s="1">
        <v>60543.0</v>
      </c>
      <c r="Y2183" s="1" t="s">
        <v>20377</v>
      </c>
      <c r="Z2183" s="1">
        <v>1999.0</v>
      </c>
      <c r="AA2183" s="1" t="s">
        <v>200</v>
      </c>
      <c r="AB2183" s="1" t="s">
        <v>467</v>
      </c>
      <c r="AC2183" s="1" t="s">
        <v>12380</v>
      </c>
      <c r="AD2183" s="1" t="s">
        <v>1529</v>
      </c>
      <c r="AE2183" s="1" t="s">
        <v>849</v>
      </c>
      <c r="AF2183" s="1" t="s">
        <v>1529</v>
      </c>
      <c r="AG2183" s="1" t="s">
        <v>18752</v>
      </c>
      <c r="AH2183" s="1" t="s">
        <v>20378</v>
      </c>
      <c r="AK2183" s="1">
        <v>9.0</v>
      </c>
      <c r="AL2183" s="1">
        <v>4.0</v>
      </c>
      <c r="AM2183" s="1">
        <v>2.0</v>
      </c>
      <c r="AN2183" s="1">
        <v>1.0</v>
      </c>
      <c r="AO2183" s="1" t="s">
        <v>198</v>
      </c>
      <c r="AP2183" s="1">
        <v>1.0</v>
      </c>
      <c r="AQ2183" s="1" t="s">
        <v>1314</v>
      </c>
      <c r="AR2183" s="1" t="s">
        <v>200</v>
      </c>
      <c r="AS2183" s="1" t="s">
        <v>199</v>
      </c>
      <c r="AT2183" s="1">
        <v>2.0</v>
      </c>
      <c r="AV2183" s="1" t="s">
        <v>192</v>
      </c>
      <c r="AW2183" s="1">
        <v>6951.0</v>
      </c>
      <c r="AX2183" s="1">
        <v>2013.0</v>
      </c>
      <c r="AY2183" s="1" t="s">
        <v>387</v>
      </c>
      <c r="AZ2183" s="1" t="s">
        <v>200</v>
      </c>
      <c r="BA2183" s="1" t="str">
        <f>"0319404001"</f>
        <v>0319404001</v>
      </c>
      <c r="BB2183" s="1" t="s">
        <v>200</v>
      </c>
      <c r="BC2183" s="1">
        <v>2268.0</v>
      </c>
      <c r="BD2183" s="1">
        <v>228900.0</v>
      </c>
      <c r="BE2183" s="2">
        <v>41924.0</v>
      </c>
      <c r="BF2183" s="2" t="s">
        <v>20379</v>
      </c>
      <c r="BG2183" s="1" t="s">
        <v>1532</v>
      </c>
      <c r="BH2183" s="1">
        <v>190.0</v>
      </c>
      <c r="BI2183" s="1" t="s">
        <v>1533</v>
      </c>
      <c r="BJ2183" s="1" t="s">
        <v>1349</v>
      </c>
      <c r="BK2183" s="1" t="s">
        <v>580</v>
      </c>
      <c r="BL2183" s="1" t="str">
        <f t="shared" ref="BL2183:BM2183" si="1425">"0"</f>
        <v>0</v>
      </c>
      <c r="BM2183" s="1" t="str">
        <f t="shared" si="1425"/>
        <v>0</v>
      </c>
      <c r="BN2183" s="1">
        <v>38.0</v>
      </c>
      <c r="BO2183" s="1">
        <v>13.0</v>
      </c>
      <c r="BQ2183" s="1">
        <v>308.0</v>
      </c>
      <c r="BR2183" s="1">
        <v>308.0</v>
      </c>
      <c r="BS2183" s="1">
        <v>308.0</v>
      </c>
      <c r="BU2183" s="1" t="s">
        <v>213</v>
      </c>
      <c r="BV2183" s="1" t="s">
        <v>206</v>
      </c>
      <c r="BW2183" s="1" t="s">
        <v>210</v>
      </c>
      <c r="BY2183" s="1" t="s">
        <v>361</v>
      </c>
      <c r="BZ2183" s="1" t="s">
        <v>209</v>
      </c>
      <c r="CA2183" s="1" t="s">
        <v>210</v>
      </c>
      <c r="CC2183" s="1" t="s">
        <v>497</v>
      </c>
      <c r="CD2183" s="1" t="s">
        <v>206</v>
      </c>
      <c r="CE2183" s="1" t="s">
        <v>210</v>
      </c>
      <c r="CG2183" s="1" t="s">
        <v>497</v>
      </c>
      <c r="CH2183" s="1" t="s">
        <v>209</v>
      </c>
      <c r="CI2183" s="1" t="s">
        <v>210</v>
      </c>
      <c r="CK2183" s="1" t="s">
        <v>699</v>
      </c>
      <c r="CL2183" s="1" t="s">
        <v>209</v>
      </c>
      <c r="CM2183" s="1" t="s">
        <v>210</v>
      </c>
      <c r="CO2183" s="1" t="s">
        <v>495</v>
      </c>
      <c r="CP2183" s="1" t="s">
        <v>209</v>
      </c>
      <c r="CQ2183" s="1" t="s">
        <v>210</v>
      </c>
      <c r="CS2183" s="1" t="s">
        <v>213</v>
      </c>
      <c r="CT2183" s="1" t="s">
        <v>206</v>
      </c>
      <c r="CU2183" s="1" t="s">
        <v>268</v>
      </c>
      <c r="CW2183" s="1" t="s">
        <v>214</v>
      </c>
      <c r="CX2183" s="1" t="s">
        <v>206</v>
      </c>
      <c r="CY2183" s="1" t="s">
        <v>210</v>
      </c>
      <c r="DA2183" s="1" t="s">
        <v>200</v>
      </c>
      <c r="DC2183" s="1" t="s">
        <v>335</v>
      </c>
      <c r="DD2183" s="1" t="s">
        <v>336</v>
      </c>
      <c r="DE2183" s="1" t="s">
        <v>273</v>
      </c>
      <c r="DF2183" s="1" t="s">
        <v>219</v>
      </c>
      <c r="DG2183" s="1" t="s">
        <v>1020</v>
      </c>
      <c r="DH2183" s="1" t="s">
        <v>220</v>
      </c>
      <c r="DI2183" s="1" t="s">
        <v>1003</v>
      </c>
      <c r="DJ2183" s="1" t="s">
        <v>1048</v>
      </c>
      <c r="DK2183" s="1" t="s">
        <v>223</v>
      </c>
      <c r="DL2183" s="1" t="s">
        <v>1267</v>
      </c>
      <c r="DM2183" s="1" t="s">
        <v>338</v>
      </c>
      <c r="DN2183" s="1" t="s">
        <v>485</v>
      </c>
      <c r="DO2183" s="1" t="s">
        <v>20380</v>
      </c>
      <c r="DP2183" s="1" t="s">
        <v>340</v>
      </c>
      <c r="DQ2183" s="1" t="s">
        <v>228</v>
      </c>
      <c r="DR2183" s="1" t="s">
        <v>1487</v>
      </c>
      <c r="DS2183" s="1" t="s">
        <v>230</v>
      </c>
      <c r="DU2183" s="1" t="s">
        <v>1840</v>
      </c>
      <c r="DV2183" s="1" t="s">
        <v>20381</v>
      </c>
      <c r="DW2183" s="1" t="s">
        <v>279</v>
      </c>
      <c r="DX2183" s="1" t="s">
        <v>309</v>
      </c>
      <c r="DZ2183" s="1" t="s">
        <v>282</v>
      </c>
      <c r="EA2183" s="1" t="s">
        <v>344</v>
      </c>
      <c r="EB2183" s="1" t="s">
        <v>937</v>
      </c>
      <c r="EC2183" s="1" t="s">
        <v>237</v>
      </c>
      <c r="EG2183" s="1" t="s">
        <v>450</v>
      </c>
      <c r="EH2183" s="1" t="s">
        <v>2313</v>
      </c>
      <c r="EL2183" s="1" t="s">
        <v>1992</v>
      </c>
      <c r="EM2183" s="1" t="s">
        <v>42</v>
      </c>
      <c r="EN2183" s="1" t="s">
        <v>210</v>
      </c>
      <c r="EP2183" s="1" t="s">
        <v>1137</v>
      </c>
      <c r="EQ2183" s="1" t="s">
        <v>206</v>
      </c>
      <c r="ER2183" s="1" t="s">
        <v>268</v>
      </c>
      <c r="EU2183" s="1" t="s">
        <v>238</v>
      </c>
      <c r="EY2183" s="1" t="s">
        <v>238</v>
      </c>
      <c r="FC2183" s="1" t="s">
        <v>238</v>
      </c>
      <c r="FF2183" s="1" t="s">
        <v>239</v>
      </c>
      <c r="FG2183" s="1" t="s">
        <v>192</v>
      </c>
      <c r="FH2183" s="1" t="s">
        <v>192</v>
      </c>
      <c r="FJ2183" s="1" t="s">
        <v>1469</v>
      </c>
      <c r="FK2183" s="1" t="s">
        <v>229</v>
      </c>
      <c r="FL2183" s="1" t="s">
        <v>8316</v>
      </c>
      <c r="FM2183" s="1">
        <v>21927.0</v>
      </c>
      <c r="FN2183" s="1" t="s">
        <v>8317</v>
      </c>
      <c r="FO2183" s="1" t="s">
        <v>8318</v>
      </c>
      <c r="FP2183" s="1">
        <v>220029.0</v>
      </c>
      <c r="FQ2183" s="1" t="s">
        <v>8319</v>
      </c>
      <c r="FU2183" s="1" t="s">
        <v>20382</v>
      </c>
      <c r="FV2183" s="1" t="s">
        <v>192</v>
      </c>
      <c r="FW2183" s="1" t="s">
        <v>2754</v>
      </c>
      <c r="FZ2183" s="1" t="s">
        <v>229</v>
      </c>
      <c r="GA2183" s="1" t="s">
        <v>291</v>
      </c>
      <c r="GB2183" s="2">
        <v>41991.0</v>
      </c>
      <c r="GC2183" s="1" t="s">
        <v>20383</v>
      </c>
    </row>
    <row r="2184">
      <c r="A2184" s="1">
        <v>295000.0</v>
      </c>
      <c r="B2184" s="1" t="s">
        <v>185</v>
      </c>
      <c r="C2184" s="1" t="str">
        <f>"08786119"</f>
        <v>08786119</v>
      </c>
      <c r="D2184" s="1" t="s">
        <v>186</v>
      </c>
      <c r="F2184" s="1" t="str">
        <f>"8075"</f>
        <v>8075</v>
      </c>
      <c r="G2184" s="2">
        <v>41957.0</v>
      </c>
      <c r="H2184" s="1">
        <v>299900.0</v>
      </c>
      <c r="I2184" s="1">
        <v>6.0</v>
      </c>
      <c r="J2184" s="1">
        <v>299900.0</v>
      </c>
      <c r="K2184" s="2">
        <v>41962.0</v>
      </c>
      <c r="L2184" s="1">
        <v>6.0</v>
      </c>
      <c r="M2184" s="2">
        <v>41962.0</v>
      </c>
      <c r="N2184" s="1" t="s">
        <v>356</v>
      </c>
      <c r="O2184" s="2">
        <v>42002.0</v>
      </c>
      <c r="P2184" s="1">
        <v>170278.0</v>
      </c>
      <c r="Q2184" s="1">
        <v>84300.0</v>
      </c>
      <c r="R2184" s="1">
        <v>4455.0</v>
      </c>
      <c r="S2184" s="1">
        <v>10986.0</v>
      </c>
      <c r="T2184" s="1" t="s">
        <v>10948</v>
      </c>
      <c r="U2184" s="1" t="s">
        <v>320</v>
      </c>
      <c r="V2184" s="1" t="s">
        <v>190</v>
      </c>
      <c r="W2184" s="1">
        <v>60643.0</v>
      </c>
      <c r="Y2184" s="1" t="s">
        <v>20384</v>
      </c>
      <c r="Z2184" s="1">
        <v>1908.0</v>
      </c>
      <c r="AA2184" s="1" t="s">
        <v>192</v>
      </c>
      <c r="AB2184" s="1" t="s">
        <v>193</v>
      </c>
      <c r="AD2184" s="1" t="s">
        <v>194</v>
      </c>
      <c r="AE2184" s="1" t="s">
        <v>195</v>
      </c>
      <c r="AF2184" s="1" t="s">
        <v>659</v>
      </c>
      <c r="AH2184" s="1" t="s">
        <v>20385</v>
      </c>
      <c r="AI2184" s="1">
        <v>0.1722</v>
      </c>
      <c r="AK2184" s="1">
        <v>10.0</v>
      </c>
      <c r="AL2184" s="1">
        <v>3.0</v>
      </c>
      <c r="AM2184" s="1">
        <v>3.0</v>
      </c>
      <c r="AN2184" s="1">
        <v>0.0</v>
      </c>
      <c r="AO2184" s="1" t="s">
        <v>229</v>
      </c>
      <c r="AQ2184" s="1" t="s">
        <v>198</v>
      </c>
      <c r="AR2184" s="1" t="s">
        <v>192</v>
      </c>
      <c r="AS2184" s="1" t="s">
        <v>199</v>
      </c>
      <c r="AT2184" s="1">
        <v>2.5</v>
      </c>
      <c r="AV2184" s="1" t="s">
        <v>200</v>
      </c>
      <c r="AW2184" s="1">
        <v>2978.86</v>
      </c>
      <c r="AX2184" s="1">
        <v>2012.0</v>
      </c>
      <c r="AZ2184" s="1" t="s">
        <v>200</v>
      </c>
      <c r="BA2184" s="1" t="str">
        <f>"25184140250000"</f>
        <v>25184140250000</v>
      </c>
      <c r="BC2184" s="1">
        <v>2000.0</v>
      </c>
      <c r="BD2184" s="1">
        <v>295000.0</v>
      </c>
      <c r="BE2184" s="2">
        <v>41957.0</v>
      </c>
      <c r="BF2184" s="2" t="s">
        <v>20386</v>
      </c>
      <c r="BH2184" s="1">
        <v>0.0</v>
      </c>
      <c r="BK2184" s="1" t="s">
        <v>204</v>
      </c>
      <c r="BL2184" s="1" t="str">
        <f t="shared" ref="BL2184:BM2184" si="1426">"0"</f>
        <v>0</v>
      </c>
      <c r="BM2184" s="1" t="str">
        <f t="shared" si="1426"/>
        <v>0</v>
      </c>
      <c r="BN2184" s="1">
        <v>1650.0</v>
      </c>
      <c r="BO2184" s="1">
        <v>10900.0</v>
      </c>
      <c r="BQ2184" s="1">
        <v>299.0</v>
      </c>
      <c r="BR2184" s="1">
        <v>299.0</v>
      </c>
      <c r="BS2184" s="1">
        <v>299.0</v>
      </c>
      <c r="BU2184" s="1" t="s">
        <v>955</v>
      </c>
      <c r="BV2184" s="1" t="s">
        <v>206</v>
      </c>
      <c r="BW2184" s="1" t="s">
        <v>207</v>
      </c>
      <c r="BY2184" s="1" t="s">
        <v>925</v>
      </c>
      <c r="BZ2184" s="1" t="s">
        <v>209</v>
      </c>
      <c r="CA2184" s="1" t="s">
        <v>210</v>
      </c>
      <c r="CC2184" s="1" t="s">
        <v>798</v>
      </c>
      <c r="CD2184" s="1" t="s">
        <v>206</v>
      </c>
      <c r="CE2184" s="1" t="s">
        <v>207</v>
      </c>
      <c r="CG2184" s="1" t="s">
        <v>925</v>
      </c>
      <c r="CH2184" s="1" t="s">
        <v>209</v>
      </c>
      <c r="CI2184" s="1" t="s">
        <v>210</v>
      </c>
      <c r="CK2184" s="1" t="s">
        <v>495</v>
      </c>
      <c r="CL2184" s="1" t="s">
        <v>206</v>
      </c>
      <c r="CM2184" s="1" t="s">
        <v>207</v>
      </c>
      <c r="CO2184" s="1" t="s">
        <v>495</v>
      </c>
      <c r="CP2184" s="1" t="s">
        <v>42</v>
      </c>
      <c r="CQ2184" s="1" t="s">
        <v>268</v>
      </c>
      <c r="CS2184" s="1" t="s">
        <v>1483</v>
      </c>
      <c r="CT2184" s="1" t="s">
        <v>206</v>
      </c>
      <c r="CU2184" s="1" t="s">
        <v>207</v>
      </c>
      <c r="CW2184" s="1" t="s">
        <v>729</v>
      </c>
      <c r="CX2184" s="1" t="s">
        <v>206</v>
      </c>
      <c r="CY2184" s="1" t="s">
        <v>207</v>
      </c>
      <c r="DA2184" s="1" t="s">
        <v>200</v>
      </c>
      <c r="DC2184" s="1" t="s">
        <v>642</v>
      </c>
      <c r="DE2184" s="1" t="s">
        <v>273</v>
      </c>
      <c r="DF2184" s="1" t="s">
        <v>219</v>
      </c>
      <c r="DH2184" s="1" t="s">
        <v>365</v>
      </c>
      <c r="DI2184" s="1" t="s">
        <v>366</v>
      </c>
      <c r="DJ2184" s="1" t="s">
        <v>222</v>
      </c>
      <c r="DL2184" s="1" t="s">
        <v>224</v>
      </c>
      <c r="DM2184" s="1" t="s">
        <v>229</v>
      </c>
      <c r="DQ2184" s="1" t="s">
        <v>794</v>
      </c>
      <c r="DR2184" s="1" t="s">
        <v>229</v>
      </c>
      <c r="DV2184" s="1" t="s">
        <v>2692</v>
      </c>
      <c r="DW2184" s="1" t="s">
        <v>667</v>
      </c>
      <c r="DX2184" s="1" t="s">
        <v>234</v>
      </c>
      <c r="DY2184" s="1" t="s">
        <v>553</v>
      </c>
      <c r="EA2184" s="1" t="s">
        <v>644</v>
      </c>
      <c r="EC2184" s="1" t="s">
        <v>645</v>
      </c>
      <c r="EE2184" s="1" t="s">
        <v>493</v>
      </c>
      <c r="EG2184" s="1" t="s">
        <v>598</v>
      </c>
      <c r="EH2184" s="1" t="s">
        <v>450</v>
      </c>
      <c r="EL2184" s="1" t="s">
        <v>2224</v>
      </c>
      <c r="EM2184" s="1" t="s">
        <v>206</v>
      </c>
      <c r="EN2184" s="1" t="s">
        <v>207</v>
      </c>
      <c r="EP2184" s="1" t="s">
        <v>2261</v>
      </c>
      <c r="EQ2184" s="1" t="s">
        <v>42</v>
      </c>
      <c r="ER2184" s="1" t="s">
        <v>268</v>
      </c>
      <c r="EU2184" s="1" t="s">
        <v>238</v>
      </c>
      <c r="EY2184" s="1" t="s">
        <v>238</v>
      </c>
      <c r="FC2184" s="1" t="s">
        <v>238</v>
      </c>
      <c r="FF2184" s="1" t="s">
        <v>239</v>
      </c>
      <c r="FG2184" s="1" t="s">
        <v>192</v>
      </c>
      <c r="FH2184" s="1" t="s">
        <v>192</v>
      </c>
      <c r="FJ2184" s="1" t="s">
        <v>648</v>
      </c>
      <c r="FK2184" s="1" t="s">
        <v>229</v>
      </c>
      <c r="FL2184" s="1" t="s">
        <v>649</v>
      </c>
      <c r="FM2184" s="1">
        <v>60296.0</v>
      </c>
      <c r="FN2184" s="1" t="s">
        <v>650</v>
      </c>
      <c r="FO2184" s="1" t="s">
        <v>651</v>
      </c>
      <c r="FP2184" s="1">
        <v>602837.0</v>
      </c>
      <c r="FQ2184" s="1" t="s">
        <v>652</v>
      </c>
      <c r="FR2184" s="1">
        <v>602442.0</v>
      </c>
      <c r="FU2184" s="1" t="s">
        <v>3416</v>
      </c>
      <c r="FV2184" s="1" t="s">
        <v>200</v>
      </c>
      <c r="FW2184" s="1" t="s">
        <v>1293</v>
      </c>
      <c r="FX2184" s="1" t="s">
        <v>655</v>
      </c>
      <c r="FZ2184" s="1" t="s">
        <v>229</v>
      </c>
      <c r="GA2184" s="1" t="s">
        <v>291</v>
      </c>
      <c r="GB2184" s="2">
        <v>42004.0</v>
      </c>
      <c r="GC2184" s="1" t="s">
        <v>1372</v>
      </c>
    </row>
    <row r="2185">
      <c r="A2185" s="1">
        <v>290990.0</v>
      </c>
      <c r="B2185" s="1" t="s">
        <v>185</v>
      </c>
      <c r="C2185" s="1" t="str">
        <f>"08751055"</f>
        <v>08751055</v>
      </c>
      <c r="D2185" s="1" t="s">
        <v>186</v>
      </c>
      <c r="F2185" s="1" t="str">
        <f>"140"</f>
        <v>140</v>
      </c>
      <c r="G2185" s="2">
        <v>41923.0</v>
      </c>
      <c r="H2185" s="1">
        <v>300990.0</v>
      </c>
      <c r="I2185" s="1">
        <v>29.0</v>
      </c>
      <c r="J2185" s="1">
        <v>290990.0</v>
      </c>
      <c r="K2185" s="2">
        <v>41951.0</v>
      </c>
      <c r="L2185" s="1">
        <v>29.0</v>
      </c>
      <c r="M2185" s="2">
        <v>41951.0</v>
      </c>
      <c r="N2185" s="1" t="s">
        <v>634</v>
      </c>
      <c r="O2185" s="2">
        <v>41991.0</v>
      </c>
      <c r="P2185" s="1">
        <v>253443.0</v>
      </c>
      <c r="Q2185" s="1">
        <v>25266.0</v>
      </c>
      <c r="S2185" s="1">
        <v>154.0</v>
      </c>
      <c r="T2185" s="1" t="s">
        <v>20387</v>
      </c>
      <c r="U2185" s="1" t="s">
        <v>1015</v>
      </c>
      <c r="V2185" s="1" t="s">
        <v>4858</v>
      </c>
      <c r="W2185" s="1">
        <v>60140.0</v>
      </c>
      <c r="Y2185" s="1" t="s">
        <v>20388</v>
      </c>
      <c r="Z2185" s="1">
        <v>2014.0</v>
      </c>
      <c r="AA2185" s="1" t="s">
        <v>200</v>
      </c>
      <c r="AB2185" s="1" t="s">
        <v>467</v>
      </c>
      <c r="AC2185" s="1" t="s">
        <v>8130</v>
      </c>
      <c r="AD2185" s="1" t="s">
        <v>4860</v>
      </c>
      <c r="AE2185" s="1" t="s">
        <v>325</v>
      </c>
      <c r="AF2185" s="1" t="s">
        <v>3429</v>
      </c>
      <c r="AG2185" s="1" t="s">
        <v>8118</v>
      </c>
      <c r="AH2185" s="1" t="s">
        <v>4132</v>
      </c>
      <c r="AK2185" s="1">
        <v>9.0</v>
      </c>
      <c r="AL2185" s="1">
        <v>4.0</v>
      </c>
      <c r="AM2185" s="1">
        <v>2.0</v>
      </c>
      <c r="AN2185" s="1">
        <v>1.0</v>
      </c>
      <c r="AO2185" s="1" t="s">
        <v>198</v>
      </c>
      <c r="AQ2185" s="1" t="s">
        <v>198</v>
      </c>
      <c r="AR2185" s="1" t="s">
        <v>200</v>
      </c>
      <c r="AS2185" s="1" t="s">
        <v>199</v>
      </c>
      <c r="AT2185" s="1">
        <v>2.0</v>
      </c>
      <c r="AV2185" s="1" t="s">
        <v>200</v>
      </c>
      <c r="AW2185" s="1" t="s">
        <v>575</v>
      </c>
      <c r="AX2185" s="1">
        <v>2013.0</v>
      </c>
      <c r="AY2185" s="1" t="s">
        <v>229</v>
      </c>
      <c r="AZ2185" s="1" t="s">
        <v>200</v>
      </c>
      <c r="BA2185" s="1" t="str">
        <f>"0228476029"</f>
        <v>0228476029</v>
      </c>
      <c r="BC2185" s="1">
        <v>2475.0</v>
      </c>
      <c r="BD2185" s="1">
        <v>290990.0</v>
      </c>
      <c r="BE2185" s="2">
        <v>41923.0</v>
      </c>
      <c r="BF2185" s="2" t="s">
        <v>20389</v>
      </c>
      <c r="BG2185" s="1" t="s">
        <v>6193</v>
      </c>
      <c r="BH2185" s="1">
        <v>62.0</v>
      </c>
      <c r="BI2185" s="1" t="s">
        <v>5040</v>
      </c>
      <c r="BJ2185" s="1" t="s">
        <v>1182</v>
      </c>
      <c r="BK2185" s="1" t="s">
        <v>474</v>
      </c>
      <c r="BL2185" s="1" t="str">
        <f t="shared" ref="BL2185:BM2185" si="1427">""</f>
        <v/>
      </c>
      <c r="BM2185" s="1" t="str">
        <f t="shared" si="1427"/>
        <v/>
      </c>
      <c r="BP2185" s="1" t="s">
        <v>6194</v>
      </c>
      <c r="BQ2185" s="1">
        <v>300.0</v>
      </c>
      <c r="BR2185" s="1">
        <v>300.0</v>
      </c>
      <c r="BS2185" s="1">
        <v>300.0</v>
      </c>
      <c r="BU2185" s="1" t="s">
        <v>302</v>
      </c>
      <c r="BV2185" s="1" t="s">
        <v>206</v>
      </c>
      <c r="BW2185" s="1" t="s">
        <v>210</v>
      </c>
      <c r="BY2185" s="1" t="s">
        <v>662</v>
      </c>
      <c r="BZ2185" s="1" t="s">
        <v>209</v>
      </c>
      <c r="CA2185" s="1" t="s">
        <v>210</v>
      </c>
      <c r="CC2185" s="1" t="s">
        <v>1351</v>
      </c>
      <c r="CD2185" s="1" t="s">
        <v>206</v>
      </c>
      <c r="CE2185" s="1" t="s">
        <v>210</v>
      </c>
      <c r="CG2185" s="1" t="s">
        <v>497</v>
      </c>
      <c r="CH2185" s="1" t="s">
        <v>209</v>
      </c>
      <c r="CI2185" s="1" t="s">
        <v>210</v>
      </c>
      <c r="CK2185" s="1" t="s">
        <v>663</v>
      </c>
      <c r="CL2185" s="1" t="s">
        <v>209</v>
      </c>
      <c r="CM2185" s="1" t="s">
        <v>210</v>
      </c>
      <c r="CO2185" s="1" t="s">
        <v>363</v>
      </c>
      <c r="CP2185" s="1" t="s">
        <v>209</v>
      </c>
      <c r="CQ2185" s="1" t="s">
        <v>210</v>
      </c>
      <c r="CS2185" s="1" t="s">
        <v>925</v>
      </c>
      <c r="CT2185" s="1" t="s">
        <v>206</v>
      </c>
      <c r="CU2185" s="1" t="s">
        <v>301</v>
      </c>
      <c r="CW2185" s="1" t="s">
        <v>924</v>
      </c>
      <c r="CX2185" s="1" t="s">
        <v>206</v>
      </c>
      <c r="CY2185" s="1" t="s">
        <v>210</v>
      </c>
      <c r="DA2185" s="1" t="s">
        <v>192</v>
      </c>
      <c r="DB2185" s="2">
        <v>41971.0</v>
      </c>
      <c r="DC2185" s="1" t="s">
        <v>1353</v>
      </c>
      <c r="DD2185" s="1" t="s">
        <v>1930</v>
      </c>
      <c r="DE2185" s="1" t="s">
        <v>273</v>
      </c>
      <c r="DF2185" s="1" t="s">
        <v>219</v>
      </c>
      <c r="DG2185" s="1" t="s">
        <v>20390</v>
      </c>
      <c r="DH2185" s="1" t="s">
        <v>220</v>
      </c>
      <c r="DI2185" s="1" t="s">
        <v>732</v>
      </c>
      <c r="DJ2185" s="1" t="s">
        <v>222</v>
      </c>
      <c r="DL2185" s="1" t="s">
        <v>223</v>
      </c>
      <c r="DM2185" s="1" t="s">
        <v>1022</v>
      </c>
      <c r="DN2185" s="1" t="s">
        <v>20391</v>
      </c>
      <c r="DO2185" s="1" t="s">
        <v>20392</v>
      </c>
      <c r="DP2185" s="1" t="s">
        <v>340</v>
      </c>
      <c r="DQ2185" s="1" t="s">
        <v>228</v>
      </c>
      <c r="DR2185" s="1" t="s">
        <v>1980</v>
      </c>
      <c r="DS2185" s="1" t="s">
        <v>591</v>
      </c>
      <c r="DT2185" s="1" t="s">
        <v>20393</v>
      </c>
      <c r="DV2185" s="1" t="s">
        <v>449</v>
      </c>
      <c r="DW2185" s="1" t="s">
        <v>444</v>
      </c>
      <c r="DX2185" s="1" t="s">
        <v>234</v>
      </c>
      <c r="DY2185" s="1" t="s">
        <v>521</v>
      </c>
      <c r="DZ2185" s="1" t="s">
        <v>236</v>
      </c>
      <c r="EA2185" s="1" t="s">
        <v>344</v>
      </c>
      <c r="EC2185" s="1" t="s">
        <v>237</v>
      </c>
      <c r="ED2185" s="1" t="s">
        <v>1761</v>
      </c>
      <c r="EG2185" s="1" t="s">
        <v>449</v>
      </c>
      <c r="EL2185" s="1" t="s">
        <v>212</v>
      </c>
      <c r="EM2185" s="1" t="s">
        <v>206</v>
      </c>
      <c r="EN2185" s="1" t="s">
        <v>301</v>
      </c>
      <c r="EQ2185" s="1" t="s">
        <v>238</v>
      </c>
      <c r="EU2185" s="1" t="s">
        <v>238</v>
      </c>
      <c r="EY2185" s="1" t="s">
        <v>238</v>
      </c>
      <c r="FC2185" s="1" t="s">
        <v>238</v>
      </c>
      <c r="FF2185" s="1" t="s">
        <v>239</v>
      </c>
      <c r="FG2185" s="1" t="s">
        <v>192</v>
      </c>
      <c r="FH2185" s="1" t="s">
        <v>192</v>
      </c>
      <c r="FJ2185" s="1" t="s">
        <v>347</v>
      </c>
      <c r="FK2185" s="1" t="s">
        <v>229</v>
      </c>
      <c r="FL2185" s="1" t="s">
        <v>2448</v>
      </c>
      <c r="FM2185" s="1">
        <v>92038.0</v>
      </c>
      <c r="FN2185" s="1" t="s">
        <v>2449</v>
      </c>
      <c r="FO2185" s="1" t="s">
        <v>2450</v>
      </c>
      <c r="FP2185" s="1">
        <v>21137.0</v>
      </c>
      <c r="FQ2185" s="1" t="s">
        <v>2451</v>
      </c>
      <c r="FT2185" s="1" t="s">
        <v>6199</v>
      </c>
      <c r="FU2185" s="1" t="s">
        <v>20394</v>
      </c>
      <c r="FV2185" s="1" t="s">
        <v>200</v>
      </c>
      <c r="FW2185" s="1" t="s">
        <v>6201</v>
      </c>
      <c r="FZ2185" s="1" t="s">
        <v>229</v>
      </c>
      <c r="GA2185" s="1" t="s">
        <v>291</v>
      </c>
      <c r="GB2185" s="2">
        <v>41994.0</v>
      </c>
      <c r="GC2185" s="1" t="s">
        <v>20395</v>
      </c>
    </row>
    <row r="2186">
      <c r="A2186" s="1">
        <v>225000.0</v>
      </c>
      <c r="B2186" s="1" t="s">
        <v>185</v>
      </c>
      <c r="C2186" s="1" t="str">
        <f>"08744185"</f>
        <v>08744185</v>
      </c>
      <c r="D2186" s="1" t="s">
        <v>186</v>
      </c>
      <c r="F2186" s="1" t="str">
        <f>"538"</f>
        <v>538</v>
      </c>
      <c r="G2186" s="2">
        <v>41915.0</v>
      </c>
      <c r="H2186" s="1">
        <v>249000.0</v>
      </c>
      <c r="I2186" s="1">
        <v>152.0</v>
      </c>
      <c r="J2186" s="1">
        <v>224000.0</v>
      </c>
      <c r="K2186" s="2">
        <v>42066.0</v>
      </c>
      <c r="L2186" s="1">
        <v>152.0</v>
      </c>
      <c r="M2186" s="2">
        <v>42066.0</v>
      </c>
      <c r="N2186" s="1" t="s">
        <v>187</v>
      </c>
      <c r="O2186" s="2">
        <v>42137.0</v>
      </c>
      <c r="P2186" s="1">
        <v>8134.0</v>
      </c>
      <c r="Q2186" s="1">
        <v>49.0</v>
      </c>
      <c r="S2186" s="1">
        <v>2349.0</v>
      </c>
      <c r="T2186" s="1" t="s">
        <v>20396</v>
      </c>
      <c r="U2186" s="1" t="s">
        <v>1174</v>
      </c>
      <c r="V2186" s="1" t="s">
        <v>1340</v>
      </c>
      <c r="W2186" s="1">
        <v>60538.0</v>
      </c>
      <c r="Y2186" s="1" t="s">
        <v>20397</v>
      </c>
      <c r="Z2186" s="1">
        <v>2006.0</v>
      </c>
      <c r="AA2186" s="1" t="s">
        <v>200</v>
      </c>
      <c r="AB2186" s="1" t="s">
        <v>467</v>
      </c>
      <c r="AC2186" s="1" t="s">
        <v>15404</v>
      </c>
      <c r="AD2186" s="1" t="s">
        <v>1343</v>
      </c>
      <c r="AE2186" s="1" t="s">
        <v>849</v>
      </c>
      <c r="AF2186" s="1" t="s">
        <v>1312</v>
      </c>
      <c r="AG2186" s="1" t="s">
        <v>8601</v>
      </c>
      <c r="AH2186" s="1" t="s">
        <v>2437</v>
      </c>
      <c r="AI2186" s="1">
        <v>0.23</v>
      </c>
      <c r="AK2186" s="1">
        <v>11.0</v>
      </c>
      <c r="AL2186" s="1">
        <v>4.0</v>
      </c>
      <c r="AM2186" s="1">
        <v>2.0</v>
      </c>
      <c r="AN2186" s="1">
        <v>1.0</v>
      </c>
      <c r="AO2186" s="1" t="s">
        <v>198</v>
      </c>
      <c r="AP2186" s="1">
        <v>1.0</v>
      </c>
      <c r="AQ2186" s="1" t="s">
        <v>198</v>
      </c>
      <c r="AR2186" s="1" t="s">
        <v>200</v>
      </c>
      <c r="AS2186" s="1" t="s">
        <v>199</v>
      </c>
      <c r="AT2186" s="1">
        <v>3.0</v>
      </c>
      <c r="AV2186" s="1" t="s">
        <v>200</v>
      </c>
      <c r="AW2186" s="1">
        <v>9274.36</v>
      </c>
      <c r="AX2186" s="1">
        <v>2013.0</v>
      </c>
      <c r="AY2186" s="1" t="s">
        <v>387</v>
      </c>
      <c r="AZ2186" s="1" t="s">
        <v>200</v>
      </c>
      <c r="BA2186" s="1" t="str">
        <f>"0203496004"</f>
        <v>0203496004</v>
      </c>
      <c r="BB2186" s="1" t="s">
        <v>200</v>
      </c>
      <c r="BC2186" s="1">
        <v>3532.0</v>
      </c>
      <c r="BD2186" s="1">
        <v>225000.0</v>
      </c>
      <c r="BE2186" s="2">
        <v>41915.0</v>
      </c>
      <c r="BF2186" s="2" t="s">
        <v>20398</v>
      </c>
      <c r="BH2186" s="1">
        <v>380.0</v>
      </c>
      <c r="BK2186" s="1" t="s">
        <v>580</v>
      </c>
      <c r="BL2186" s="1" t="str">
        <f t="shared" ref="BL2186:BM2186" si="1428">""</f>
        <v/>
      </c>
      <c r="BM2186" s="1" t="str">
        <f t="shared" si="1428"/>
        <v/>
      </c>
      <c r="BN2186" s="1">
        <v>40.0</v>
      </c>
      <c r="BO2186" s="1">
        <v>10.0</v>
      </c>
      <c r="BQ2186" s="1">
        <v>115.0</v>
      </c>
      <c r="BR2186" s="1">
        <v>115.0</v>
      </c>
      <c r="BS2186" s="1">
        <v>115.0</v>
      </c>
      <c r="BU2186" s="1" t="s">
        <v>331</v>
      </c>
      <c r="BV2186" s="1" t="s">
        <v>206</v>
      </c>
      <c r="BW2186" s="1" t="s">
        <v>210</v>
      </c>
      <c r="BY2186" s="1" t="s">
        <v>334</v>
      </c>
      <c r="BZ2186" s="1" t="s">
        <v>209</v>
      </c>
      <c r="CA2186" s="1" t="s">
        <v>210</v>
      </c>
      <c r="CC2186" s="1" t="s">
        <v>212</v>
      </c>
      <c r="CD2186" s="1" t="s">
        <v>206</v>
      </c>
      <c r="CE2186" s="1" t="s">
        <v>210</v>
      </c>
      <c r="CG2186" s="1" t="s">
        <v>331</v>
      </c>
      <c r="CH2186" s="1" t="s">
        <v>209</v>
      </c>
      <c r="CI2186" s="1" t="s">
        <v>210</v>
      </c>
      <c r="CK2186" s="1" t="s">
        <v>495</v>
      </c>
      <c r="CL2186" s="1" t="s">
        <v>209</v>
      </c>
      <c r="CM2186" s="1" t="s">
        <v>210</v>
      </c>
      <c r="CO2186" s="1" t="s">
        <v>495</v>
      </c>
      <c r="CP2186" s="1" t="s">
        <v>209</v>
      </c>
      <c r="CQ2186" s="1" t="s">
        <v>210</v>
      </c>
      <c r="CS2186" s="1" t="s">
        <v>925</v>
      </c>
      <c r="CT2186" s="1" t="s">
        <v>206</v>
      </c>
      <c r="CU2186" s="1" t="s">
        <v>207</v>
      </c>
      <c r="CW2186" s="1" t="s">
        <v>782</v>
      </c>
      <c r="CX2186" s="1" t="s">
        <v>206</v>
      </c>
      <c r="CY2186" s="1" t="s">
        <v>210</v>
      </c>
      <c r="DA2186" s="1" t="s">
        <v>200</v>
      </c>
      <c r="DC2186" s="1" t="s">
        <v>481</v>
      </c>
      <c r="DD2186" s="1" t="s">
        <v>1838</v>
      </c>
      <c r="DE2186" s="1" t="s">
        <v>273</v>
      </c>
      <c r="DF2186" s="1" t="s">
        <v>219</v>
      </c>
      <c r="DG2186" s="1" t="s">
        <v>337</v>
      </c>
      <c r="DH2186" s="1" t="s">
        <v>307</v>
      </c>
      <c r="DJ2186" s="1" t="s">
        <v>222</v>
      </c>
      <c r="DK2186" s="1" t="s">
        <v>2312</v>
      </c>
      <c r="DL2186" s="1" t="s">
        <v>20399</v>
      </c>
      <c r="DM2186" s="1" t="s">
        <v>338</v>
      </c>
      <c r="DN2186" s="1" t="s">
        <v>399</v>
      </c>
      <c r="DP2186" s="1" t="s">
        <v>276</v>
      </c>
      <c r="DQ2186" s="1" t="s">
        <v>228</v>
      </c>
      <c r="DR2186" s="1" t="s">
        <v>229</v>
      </c>
      <c r="DS2186" s="1" t="s">
        <v>591</v>
      </c>
      <c r="DU2186" s="1" t="s">
        <v>1355</v>
      </c>
      <c r="DV2186" s="1" t="s">
        <v>1841</v>
      </c>
      <c r="DW2186" s="1" t="s">
        <v>233</v>
      </c>
      <c r="DX2186" s="1" t="s">
        <v>234</v>
      </c>
      <c r="DY2186" s="1" t="s">
        <v>1189</v>
      </c>
      <c r="DZ2186" s="1" t="s">
        <v>343</v>
      </c>
      <c r="EA2186" s="1" t="s">
        <v>344</v>
      </c>
      <c r="EB2186" s="1" t="s">
        <v>937</v>
      </c>
      <c r="EC2186" s="1" t="s">
        <v>237</v>
      </c>
      <c r="ED2186" s="1" t="s">
        <v>407</v>
      </c>
      <c r="EE2186" s="1" t="s">
        <v>1077</v>
      </c>
      <c r="EG2186" s="1" t="s">
        <v>341</v>
      </c>
      <c r="EH2186" s="1" t="s">
        <v>494</v>
      </c>
      <c r="EI2186" s="1" t="s">
        <v>556</v>
      </c>
      <c r="EL2186" s="1" t="s">
        <v>331</v>
      </c>
      <c r="EM2186" s="1" t="s">
        <v>209</v>
      </c>
      <c r="EN2186" s="1" t="s">
        <v>210</v>
      </c>
      <c r="EP2186" s="1" t="s">
        <v>269</v>
      </c>
      <c r="EQ2186" s="1" t="s">
        <v>206</v>
      </c>
      <c r="ER2186" s="1" t="s">
        <v>210</v>
      </c>
      <c r="ET2186" s="1" t="s">
        <v>2224</v>
      </c>
      <c r="EU2186" s="1" t="s">
        <v>206</v>
      </c>
      <c r="EV2186" s="1" t="s">
        <v>207</v>
      </c>
      <c r="EY2186" s="1" t="s">
        <v>238</v>
      </c>
      <c r="FC2186" s="1" t="s">
        <v>238</v>
      </c>
      <c r="FF2186" s="1" t="s">
        <v>239</v>
      </c>
      <c r="FG2186" s="1" t="s">
        <v>192</v>
      </c>
      <c r="FH2186" s="1" t="s">
        <v>192</v>
      </c>
      <c r="FJ2186" s="1" t="s">
        <v>1573</v>
      </c>
      <c r="FK2186" s="1" t="s">
        <v>1586</v>
      </c>
      <c r="FL2186" s="1" t="s">
        <v>1289</v>
      </c>
      <c r="FM2186" s="1">
        <v>349.0</v>
      </c>
      <c r="FN2186" s="1" t="s">
        <v>4164</v>
      </c>
      <c r="FO2186" s="1" t="s">
        <v>4165</v>
      </c>
      <c r="FP2186" s="1">
        <v>8087.0</v>
      </c>
      <c r="FQ2186" s="1" t="s">
        <v>4166</v>
      </c>
      <c r="FR2186" s="1">
        <v>8846.0</v>
      </c>
      <c r="FU2186" s="1" t="s">
        <v>20400</v>
      </c>
      <c r="FV2186" s="1" t="s">
        <v>200</v>
      </c>
      <c r="FW2186" s="1" t="s">
        <v>290</v>
      </c>
      <c r="FZ2186" s="1" t="s">
        <v>229</v>
      </c>
      <c r="GA2186" s="1" t="s">
        <v>291</v>
      </c>
      <c r="GB2186" s="2">
        <v>42137.0</v>
      </c>
      <c r="GC2186" s="1" t="s">
        <v>20401</v>
      </c>
    </row>
    <row r="2187">
      <c r="A2187" s="1">
        <v>921000.0</v>
      </c>
      <c r="B2187" s="1" t="s">
        <v>185</v>
      </c>
      <c r="C2187" s="1" t="str">
        <f>"08751301"</f>
        <v>08751301</v>
      </c>
      <c r="D2187" s="1" t="s">
        <v>186</v>
      </c>
      <c r="F2187" s="1" t="str">
        <f>"8022"</f>
        <v>8022</v>
      </c>
      <c r="G2187" s="2">
        <v>41924.0</v>
      </c>
      <c r="H2187" s="1">
        <v>974500.0</v>
      </c>
      <c r="I2187" s="1">
        <v>88.0</v>
      </c>
      <c r="J2187" s="1">
        <v>949500.0</v>
      </c>
      <c r="K2187" s="2">
        <v>42011.0</v>
      </c>
      <c r="L2187" s="1">
        <v>88.0</v>
      </c>
      <c r="M2187" s="2">
        <v>42011.0</v>
      </c>
      <c r="N2187" s="1" t="s">
        <v>187</v>
      </c>
      <c r="O2187" s="2">
        <v>42047.0</v>
      </c>
      <c r="P2187" s="1">
        <v>129954.0</v>
      </c>
      <c r="Q2187" s="1">
        <v>10115.0</v>
      </c>
      <c r="S2187" s="1">
        <v>2220.0</v>
      </c>
      <c r="T2187" s="1" t="s">
        <v>6454</v>
      </c>
      <c r="U2187" s="1" t="s">
        <v>189</v>
      </c>
      <c r="V2187" s="1" t="s">
        <v>190</v>
      </c>
      <c r="W2187" s="1">
        <v>60647.0</v>
      </c>
      <c r="Y2187" s="1" t="s">
        <v>20402</v>
      </c>
      <c r="Z2187" s="1">
        <v>1888.0</v>
      </c>
      <c r="AA2187" s="1" t="s">
        <v>192</v>
      </c>
      <c r="AB2187" s="1" t="s">
        <v>193</v>
      </c>
      <c r="AD2187" s="1" t="s">
        <v>194</v>
      </c>
      <c r="AE2187" s="1" t="s">
        <v>195</v>
      </c>
      <c r="AF2187" s="1" t="s">
        <v>827</v>
      </c>
      <c r="AH2187" s="1" t="s">
        <v>5462</v>
      </c>
      <c r="AK2187" s="1">
        <v>11.0</v>
      </c>
      <c r="AL2187" s="1">
        <v>4.0</v>
      </c>
      <c r="AM2187" s="1">
        <v>4.0</v>
      </c>
      <c r="AN2187" s="1">
        <v>1.0</v>
      </c>
      <c r="AO2187" s="1" t="s">
        <v>198</v>
      </c>
      <c r="AP2187" s="1">
        <v>1.0</v>
      </c>
      <c r="AQ2187" s="1" t="s">
        <v>472</v>
      </c>
      <c r="AR2187" s="1" t="s">
        <v>192</v>
      </c>
      <c r="AS2187" s="1" t="s">
        <v>199</v>
      </c>
      <c r="AT2187" s="1">
        <v>2.0</v>
      </c>
      <c r="AV2187" s="1" t="s">
        <v>200</v>
      </c>
      <c r="AW2187" s="1">
        <v>8620.0</v>
      </c>
      <c r="AX2187" s="1">
        <v>2013.0</v>
      </c>
      <c r="AY2187" s="1" t="s">
        <v>387</v>
      </c>
      <c r="AZ2187" s="1" t="s">
        <v>200</v>
      </c>
      <c r="BA2187" s="1" t="str">
        <f>"14311010320000"</f>
        <v>14311010320000</v>
      </c>
      <c r="BB2187" s="1" t="s">
        <v>200</v>
      </c>
      <c r="BC2187" s="1">
        <v>4000.0</v>
      </c>
      <c r="BD2187" s="1">
        <v>921000.0</v>
      </c>
      <c r="BE2187" s="2">
        <v>41924.0</v>
      </c>
      <c r="BF2187" s="2" t="s">
        <v>20403</v>
      </c>
      <c r="BG2187" s="1" t="s">
        <v>6994</v>
      </c>
      <c r="BH2187" s="1">
        <v>0.0</v>
      </c>
      <c r="BI2187" s="1" t="s">
        <v>6994</v>
      </c>
      <c r="BJ2187" s="1" t="s">
        <v>13909</v>
      </c>
      <c r="BK2187" s="1" t="s">
        <v>204</v>
      </c>
      <c r="BL2187" s="1" t="str">
        <f>"2300"</f>
        <v>2300</v>
      </c>
      <c r="BM2187" s="1" t="str">
        <f t="shared" ref="BM2187:BM2188" si="1429">"0"</f>
        <v>0</v>
      </c>
      <c r="BN2187" s="1">
        <v>2220.0</v>
      </c>
      <c r="BO2187" s="1">
        <v>0.0</v>
      </c>
      <c r="BQ2187" s="1">
        <v>299.0</v>
      </c>
      <c r="BR2187" s="1">
        <v>299.0</v>
      </c>
      <c r="BS2187" s="1">
        <v>299.0</v>
      </c>
      <c r="BU2187" s="1" t="s">
        <v>544</v>
      </c>
      <c r="BV2187" s="1" t="s">
        <v>206</v>
      </c>
      <c r="BW2187" s="1" t="s">
        <v>207</v>
      </c>
      <c r="BY2187" s="1" t="s">
        <v>854</v>
      </c>
      <c r="BZ2187" s="1" t="s">
        <v>209</v>
      </c>
      <c r="CA2187" s="1" t="s">
        <v>207</v>
      </c>
      <c r="CC2187" s="1" t="s">
        <v>262</v>
      </c>
      <c r="CD2187" s="1" t="s">
        <v>206</v>
      </c>
      <c r="CE2187" s="1" t="s">
        <v>207</v>
      </c>
      <c r="CG2187" s="1" t="s">
        <v>331</v>
      </c>
      <c r="CH2187" s="1" t="s">
        <v>209</v>
      </c>
      <c r="CI2187" s="1" t="s">
        <v>207</v>
      </c>
      <c r="CK2187" s="1" t="s">
        <v>264</v>
      </c>
      <c r="CL2187" s="1" t="s">
        <v>209</v>
      </c>
      <c r="CM2187" s="1" t="s">
        <v>207</v>
      </c>
      <c r="CO2187" s="1" t="s">
        <v>1119</v>
      </c>
      <c r="CP2187" s="1" t="s">
        <v>267</v>
      </c>
      <c r="CQ2187" s="1" t="s">
        <v>210</v>
      </c>
      <c r="CS2187" s="1" t="s">
        <v>544</v>
      </c>
      <c r="CT2187" s="1" t="s">
        <v>206</v>
      </c>
      <c r="CU2187" s="1" t="s">
        <v>207</v>
      </c>
      <c r="CW2187" s="1" t="s">
        <v>363</v>
      </c>
      <c r="CX2187" s="1" t="s">
        <v>206</v>
      </c>
      <c r="CY2187" s="1" t="s">
        <v>207</v>
      </c>
      <c r="DA2187" s="1" t="s">
        <v>200</v>
      </c>
      <c r="DC2187" s="1" t="s">
        <v>642</v>
      </c>
      <c r="DD2187" s="1" t="s">
        <v>4023</v>
      </c>
      <c r="DE2187" s="1" t="s">
        <v>1810</v>
      </c>
      <c r="DF2187" s="1" t="s">
        <v>546</v>
      </c>
      <c r="DG2187" s="1" t="s">
        <v>12862</v>
      </c>
      <c r="DH2187" s="1" t="s">
        <v>365</v>
      </c>
      <c r="DI2187" s="1" t="s">
        <v>12731</v>
      </c>
      <c r="DJ2187" s="1" t="s">
        <v>222</v>
      </c>
      <c r="DK2187" s="1" t="s">
        <v>224</v>
      </c>
      <c r="DL2187" s="1" t="s">
        <v>1161</v>
      </c>
      <c r="DM2187" s="1" t="s">
        <v>1464</v>
      </c>
      <c r="DN2187" s="1" t="s">
        <v>6017</v>
      </c>
      <c r="DO2187" s="1" t="s">
        <v>717</v>
      </c>
      <c r="DP2187" s="1" t="s">
        <v>276</v>
      </c>
      <c r="DQ2187" s="1" t="s">
        <v>718</v>
      </c>
      <c r="DR2187" s="1" t="s">
        <v>229</v>
      </c>
      <c r="DS2187" s="1" t="s">
        <v>230</v>
      </c>
      <c r="DU2187" s="1" t="s">
        <v>2728</v>
      </c>
      <c r="DV2187" s="1" t="s">
        <v>20404</v>
      </c>
      <c r="DW2187" s="1" t="s">
        <v>3876</v>
      </c>
      <c r="DX2187" s="1" t="s">
        <v>234</v>
      </c>
      <c r="DY2187" s="1" t="s">
        <v>12230</v>
      </c>
      <c r="DZ2187" s="1" t="s">
        <v>2876</v>
      </c>
      <c r="EA2187" s="1" t="s">
        <v>2466</v>
      </c>
      <c r="EB2187" s="1" t="s">
        <v>937</v>
      </c>
      <c r="EC2187" s="1" t="s">
        <v>406</v>
      </c>
      <c r="ED2187" s="1" t="s">
        <v>555</v>
      </c>
      <c r="EE2187" s="1" t="s">
        <v>187</v>
      </c>
      <c r="EG2187" s="1" t="s">
        <v>409</v>
      </c>
      <c r="EH2187" s="1" t="s">
        <v>2971</v>
      </c>
      <c r="EI2187" s="1" t="s">
        <v>310</v>
      </c>
      <c r="EJ2187" s="1" t="s">
        <v>310</v>
      </c>
      <c r="EK2187" s="1" t="s">
        <v>310</v>
      </c>
      <c r="EL2187" s="1" t="s">
        <v>12320</v>
      </c>
      <c r="EM2187" s="1" t="s">
        <v>209</v>
      </c>
      <c r="EN2187" s="1" t="s">
        <v>207</v>
      </c>
      <c r="EP2187" s="1" t="s">
        <v>213</v>
      </c>
      <c r="EQ2187" s="1" t="s">
        <v>391</v>
      </c>
      <c r="ER2187" s="1" t="s">
        <v>207</v>
      </c>
      <c r="ET2187" s="1" t="s">
        <v>730</v>
      </c>
      <c r="EU2187" s="1" t="s">
        <v>391</v>
      </c>
      <c r="EV2187" s="1" t="s">
        <v>588</v>
      </c>
      <c r="EX2187" s="1" t="s">
        <v>363</v>
      </c>
      <c r="EY2187" s="1" t="s">
        <v>391</v>
      </c>
      <c r="EZ2187" s="1" t="s">
        <v>588</v>
      </c>
      <c r="FB2187" s="1" t="s">
        <v>330</v>
      </c>
      <c r="FC2187" s="1" t="s">
        <v>206</v>
      </c>
      <c r="FD2187" s="1" t="s">
        <v>588</v>
      </c>
      <c r="FF2187" s="1" t="s">
        <v>239</v>
      </c>
      <c r="FG2187" s="1" t="s">
        <v>192</v>
      </c>
      <c r="FH2187" s="1" t="s">
        <v>192</v>
      </c>
      <c r="FJ2187" s="1" t="s">
        <v>2285</v>
      </c>
      <c r="FK2187" s="1" t="s">
        <v>229</v>
      </c>
      <c r="FL2187" s="1" t="s">
        <v>974</v>
      </c>
      <c r="FM2187" s="1">
        <v>10900.0</v>
      </c>
      <c r="FN2187" s="1" t="s">
        <v>1435</v>
      </c>
      <c r="FO2187" s="1" t="s">
        <v>6288</v>
      </c>
      <c r="FP2187" s="1">
        <v>113690.0</v>
      </c>
      <c r="FQ2187" s="1" t="s">
        <v>6289</v>
      </c>
      <c r="FR2187" s="1">
        <v>181148.0</v>
      </c>
      <c r="FU2187" s="1" t="s">
        <v>20405</v>
      </c>
      <c r="FV2187" s="1" t="s">
        <v>200</v>
      </c>
      <c r="FW2187" s="1" t="s">
        <v>290</v>
      </c>
      <c r="FX2187" s="1" t="s">
        <v>246</v>
      </c>
      <c r="FZ2187" s="1" t="s">
        <v>229</v>
      </c>
      <c r="GA2187" s="1" t="s">
        <v>291</v>
      </c>
      <c r="GB2187" s="2">
        <v>42048.0</v>
      </c>
      <c r="GC2187" s="1" t="s">
        <v>20406</v>
      </c>
    </row>
    <row r="2188">
      <c r="A2188" s="1">
        <v>265000.0</v>
      </c>
      <c r="B2188" s="1" t="s">
        <v>185</v>
      </c>
      <c r="C2188" s="1" t="str">
        <f>"08751074"</f>
        <v>08751074</v>
      </c>
      <c r="D2188" s="1" t="s">
        <v>186</v>
      </c>
      <c r="F2188" s="1" t="str">
        <f>"110"</f>
        <v>110</v>
      </c>
      <c r="G2188" s="2">
        <v>41923.0</v>
      </c>
      <c r="H2188" s="1">
        <v>269900.0</v>
      </c>
      <c r="I2188" s="1">
        <v>28.0</v>
      </c>
      <c r="J2188" s="1">
        <v>269900.0</v>
      </c>
      <c r="K2188" s="2">
        <v>41950.0</v>
      </c>
      <c r="L2188" s="1">
        <v>28.0</v>
      </c>
      <c r="M2188" s="2">
        <v>41950.0</v>
      </c>
      <c r="N2188" s="1" t="s">
        <v>187</v>
      </c>
      <c r="O2188" s="2">
        <v>42038.0</v>
      </c>
      <c r="P2188" s="1">
        <v>931603.0</v>
      </c>
      <c r="Q2188" s="1">
        <v>93181.0</v>
      </c>
      <c r="R2188" s="1">
        <v>397.5</v>
      </c>
      <c r="S2188" s="1">
        <v>3106.0</v>
      </c>
      <c r="T2188" s="1" t="s">
        <v>20407</v>
      </c>
      <c r="U2188" s="1" t="s">
        <v>1174</v>
      </c>
      <c r="V2188" s="1" t="s">
        <v>807</v>
      </c>
      <c r="W2188" s="1">
        <v>60110.0</v>
      </c>
      <c r="Y2188" s="1" t="s">
        <v>20408</v>
      </c>
      <c r="Z2188" s="1">
        <v>2006.0</v>
      </c>
      <c r="AA2188" s="1" t="s">
        <v>200</v>
      </c>
      <c r="AB2188" s="1" t="s">
        <v>467</v>
      </c>
      <c r="AC2188" s="1" t="s">
        <v>1176</v>
      </c>
      <c r="AD2188" s="1" t="s">
        <v>809</v>
      </c>
      <c r="AE2188" s="1" t="s">
        <v>325</v>
      </c>
      <c r="AF2188" s="1" t="s">
        <v>810</v>
      </c>
      <c r="AG2188" s="1" t="s">
        <v>20409</v>
      </c>
      <c r="AH2188" s="1" t="s">
        <v>20410</v>
      </c>
      <c r="AK2188" s="1">
        <v>9.0</v>
      </c>
      <c r="AL2188" s="1">
        <v>4.0</v>
      </c>
      <c r="AM2188" s="1">
        <v>2.0</v>
      </c>
      <c r="AN2188" s="1">
        <v>1.0</v>
      </c>
      <c r="AO2188" s="1" t="s">
        <v>198</v>
      </c>
      <c r="AQ2188" s="1" t="s">
        <v>198</v>
      </c>
      <c r="AR2188" s="1" t="s">
        <v>200</v>
      </c>
      <c r="AS2188" s="1" t="s">
        <v>199</v>
      </c>
      <c r="AT2188" s="1">
        <v>2.0</v>
      </c>
      <c r="AV2188" s="1" t="s">
        <v>200</v>
      </c>
      <c r="AW2188" s="1">
        <v>9196.0</v>
      </c>
      <c r="AX2188" s="1">
        <v>2013.0</v>
      </c>
      <c r="AY2188" s="1" t="s">
        <v>387</v>
      </c>
      <c r="AZ2188" s="1" t="s">
        <v>200</v>
      </c>
      <c r="BA2188" s="1" t="str">
        <f>"0307329005"</f>
        <v>0307329005</v>
      </c>
      <c r="BB2188" s="1" t="s">
        <v>200</v>
      </c>
      <c r="BC2188" s="1">
        <v>2506.0</v>
      </c>
      <c r="BD2188" s="1">
        <v>265000.0</v>
      </c>
      <c r="BE2188" s="2">
        <v>41923.0</v>
      </c>
      <c r="BF2188" s="2" t="s">
        <v>20411</v>
      </c>
      <c r="BG2188" s="1" t="s">
        <v>1181</v>
      </c>
      <c r="BH2188" s="1">
        <v>113.0</v>
      </c>
      <c r="BI2188" s="1" t="s">
        <v>1093</v>
      </c>
      <c r="BJ2188" s="1" t="s">
        <v>1182</v>
      </c>
      <c r="BK2188" s="1" t="s">
        <v>1952</v>
      </c>
      <c r="BL2188" s="1" t="str">
        <f>"18"</f>
        <v>18</v>
      </c>
      <c r="BM2188" s="1" t="str">
        <f t="shared" si="1429"/>
        <v>0</v>
      </c>
      <c r="BN2188" s="1">
        <v>37.0</v>
      </c>
      <c r="BO2188" s="1">
        <v>0.0</v>
      </c>
      <c r="BQ2188" s="1">
        <v>300.0</v>
      </c>
      <c r="BR2188" s="1">
        <v>300.0</v>
      </c>
      <c r="BS2188" s="1">
        <v>300.0</v>
      </c>
      <c r="BU2188" s="1" t="s">
        <v>264</v>
      </c>
      <c r="BV2188" s="1" t="s">
        <v>206</v>
      </c>
      <c r="BW2188" s="1" t="s">
        <v>207</v>
      </c>
      <c r="BY2188" s="1" t="s">
        <v>2274</v>
      </c>
      <c r="BZ2188" s="1" t="s">
        <v>209</v>
      </c>
      <c r="CA2188" s="1" t="s">
        <v>210</v>
      </c>
      <c r="CC2188" s="1" t="s">
        <v>264</v>
      </c>
      <c r="CD2188" s="1" t="s">
        <v>206</v>
      </c>
      <c r="CE2188" s="1" t="s">
        <v>207</v>
      </c>
      <c r="CG2188" s="1" t="s">
        <v>497</v>
      </c>
      <c r="CH2188" s="1" t="s">
        <v>209</v>
      </c>
      <c r="CI2188" s="1" t="s">
        <v>210</v>
      </c>
      <c r="CJ2188" s="1" t="s">
        <v>431</v>
      </c>
      <c r="CK2188" s="1" t="s">
        <v>264</v>
      </c>
      <c r="CL2188" s="1" t="s">
        <v>209</v>
      </c>
      <c r="CM2188" s="1" t="s">
        <v>210</v>
      </c>
      <c r="CN2188" s="1" t="s">
        <v>431</v>
      </c>
      <c r="CO2188" s="1" t="s">
        <v>495</v>
      </c>
      <c r="CP2188" s="1" t="s">
        <v>209</v>
      </c>
      <c r="CQ2188" s="1" t="s">
        <v>210</v>
      </c>
      <c r="CR2188" s="1" t="s">
        <v>431</v>
      </c>
      <c r="CS2188" s="1" t="s">
        <v>729</v>
      </c>
      <c r="CT2188" s="1" t="s">
        <v>206</v>
      </c>
      <c r="CU2188" s="1" t="s">
        <v>207</v>
      </c>
      <c r="CV2188" s="1" t="s">
        <v>431</v>
      </c>
      <c r="CW2188" s="1" t="s">
        <v>480</v>
      </c>
      <c r="CX2188" s="1" t="s">
        <v>206</v>
      </c>
      <c r="CY2188" s="1" t="s">
        <v>207</v>
      </c>
      <c r="DA2188" s="1" t="s">
        <v>200</v>
      </c>
      <c r="DC2188" s="1" t="s">
        <v>481</v>
      </c>
      <c r="DD2188" s="1" t="s">
        <v>1930</v>
      </c>
      <c r="DE2188" s="1" t="s">
        <v>273</v>
      </c>
      <c r="DF2188" s="1" t="s">
        <v>219</v>
      </c>
      <c r="DG2188" s="1" t="s">
        <v>482</v>
      </c>
      <c r="DH2188" s="1" t="s">
        <v>220</v>
      </c>
      <c r="DI2188" s="1" t="s">
        <v>732</v>
      </c>
      <c r="DJ2188" s="1" t="s">
        <v>222</v>
      </c>
      <c r="DL2188" s="1" t="s">
        <v>223</v>
      </c>
      <c r="DM2188" s="1" t="s">
        <v>338</v>
      </c>
      <c r="DN2188" s="1" t="s">
        <v>485</v>
      </c>
      <c r="DO2188" s="1" t="s">
        <v>717</v>
      </c>
      <c r="DP2188" s="1" t="s">
        <v>340</v>
      </c>
      <c r="DQ2188" s="1" t="s">
        <v>441</v>
      </c>
      <c r="DR2188" s="1" t="s">
        <v>1185</v>
      </c>
      <c r="DS2188" s="1" t="s">
        <v>368</v>
      </c>
      <c r="DU2188" s="1" t="s">
        <v>5397</v>
      </c>
      <c r="DV2188" s="1" t="s">
        <v>598</v>
      </c>
      <c r="DW2188" s="1" t="s">
        <v>444</v>
      </c>
      <c r="DX2188" s="1" t="s">
        <v>234</v>
      </c>
      <c r="DY2188" s="1" t="s">
        <v>490</v>
      </c>
      <c r="DZ2188" s="1" t="s">
        <v>282</v>
      </c>
      <c r="EA2188" s="1" t="s">
        <v>344</v>
      </c>
      <c r="EC2188" s="1" t="s">
        <v>237</v>
      </c>
      <c r="ED2188" s="1" t="s">
        <v>407</v>
      </c>
      <c r="EE2188" s="1" t="s">
        <v>493</v>
      </c>
      <c r="EG2188" s="1" t="s">
        <v>598</v>
      </c>
      <c r="EL2188" s="1" t="s">
        <v>495</v>
      </c>
      <c r="EM2188" s="1" t="s">
        <v>206</v>
      </c>
      <c r="EN2188" s="1" t="s">
        <v>207</v>
      </c>
      <c r="EO2188" s="1" t="s">
        <v>431</v>
      </c>
      <c r="EQ2188" s="1" t="s">
        <v>238</v>
      </c>
      <c r="EU2188" s="1" t="s">
        <v>238</v>
      </c>
      <c r="EY2188" s="1" t="s">
        <v>238</v>
      </c>
      <c r="FC2188" s="1" t="s">
        <v>238</v>
      </c>
      <c r="FF2188" s="1" t="s">
        <v>239</v>
      </c>
      <c r="FG2188" s="1" t="s">
        <v>192</v>
      </c>
      <c r="FH2188" s="1" t="s">
        <v>192</v>
      </c>
      <c r="FJ2188" s="1" t="s">
        <v>20412</v>
      </c>
      <c r="FK2188" s="1" t="s">
        <v>229</v>
      </c>
      <c r="FL2188" s="1" t="s">
        <v>456</v>
      </c>
      <c r="FM2188" s="1">
        <v>5014.0</v>
      </c>
      <c r="FN2188" s="1" t="s">
        <v>2963</v>
      </c>
      <c r="FO2188" s="1" t="s">
        <v>20413</v>
      </c>
      <c r="FP2188" s="1">
        <v>55884.0</v>
      </c>
      <c r="FS2188" s="1">
        <v>8.152361543E9</v>
      </c>
      <c r="FU2188" s="1" t="s">
        <v>20414</v>
      </c>
      <c r="FV2188" s="1" t="s">
        <v>200</v>
      </c>
      <c r="FW2188" s="1" t="s">
        <v>290</v>
      </c>
      <c r="FZ2188" s="1" t="s">
        <v>229</v>
      </c>
      <c r="GA2188" s="1" t="s">
        <v>291</v>
      </c>
      <c r="GB2188" s="2">
        <v>42038.0</v>
      </c>
      <c r="GC2188" s="1" t="s">
        <v>20415</v>
      </c>
    </row>
    <row r="2189">
      <c r="A2189" s="1">
        <v>186125.0</v>
      </c>
      <c r="B2189" s="1" t="s">
        <v>185</v>
      </c>
      <c r="C2189" s="1" t="str">
        <f>"08739052"</f>
        <v>08739052</v>
      </c>
      <c r="D2189" s="1" t="s">
        <v>186</v>
      </c>
      <c r="F2189" s="1" t="str">
        <f>"140"</f>
        <v>140</v>
      </c>
      <c r="G2189" s="2">
        <v>41908.0</v>
      </c>
      <c r="H2189" s="1">
        <v>228900.0</v>
      </c>
      <c r="I2189" s="1">
        <v>174.0</v>
      </c>
      <c r="J2189" s="1">
        <v>183900.0</v>
      </c>
      <c r="K2189" s="2">
        <v>42080.0</v>
      </c>
      <c r="L2189" s="1">
        <v>174.0</v>
      </c>
      <c r="M2189" s="2">
        <v>42080.0</v>
      </c>
      <c r="N2189" s="1" t="s">
        <v>356</v>
      </c>
      <c r="O2189" s="2">
        <v>42128.0</v>
      </c>
      <c r="P2189" s="1">
        <v>42168.0</v>
      </c>
      <c r="Q2189" s="1">
        <v>6026.0</v>
      </c>
      <c r="R2189" s="1">
        <v>2000.0</v>
      </c>
      <c r="S2189" s="1">
        <v>294.0</v>
      </c>
      <c r="T2189" s="1" t="s">
        <v>4856</v>
      </c>
      <c r="U2189" s="1" t="s">
        <v>4857</v>
      </c>
      <c r="V2189" s="1" t="s">
        <v>4858</v>
      </c>
      <c r="W2189" s="1">
        <v>60140.0</v>
      </c>
      <c r="Y2189" s="1" t="s">
        <v>20416</v>
      </c>
      <c r="Z2189" s="1">
        <v>2006.0</v>
      </c>
      <c r="AA2189" s="1" t="s">
        <v>200</v>
      </c>
      <c r="AB2189" s="1" t="s">
        <v>467</v>
      </c>
      <c r="AD2189" s="1" t="s">
        <v>4860</v>
      </c>
      <c r="AE2189" s="1" t="s">
        <v>325</v>
      </c>
      <c r="AF2189" s="1" t="s">
        <v>3429</v>
      </c>
      <c r="AH2189" s="1" t="s">
        <v>20417</v>
      </c>
      <c r="AI2189" s="1">
        <v>0.16</v>
      </c>
      <c r="AK2189" s="1">
        <v>9.0</v>
      </c>
      <c r="AL2189" s="1">
        <v>4.0</v>
      </c>
      <c r="AM2189" s="1">
        <v>2.0</v>
      </c>
      <c r="AN2189" s="1">
        <v>1.0</v>
      </c>
      <c r="AO2189" s="1" t="s">
        <v>198</v>
      </c>
      <c r="AQ2189" s="1" t="s">
        <v>229</v>
      </c>
      <c r="AR2189" s="1" t="s">
        <v>200</v>
      </c>
      <c r="AS2189" s="1" t="s">
        <v>199</v>
      </c>
      <c r="AT2189" s="1">
        <v>2.0</v>
      </c>
      <c r="AV2189" s="1" t="s">
        <v>200</v>
      </c>
      <c r="AW2189" s="1">
        <v>7300.32</v>
      </c>
      <c r="AX2189" s="1">
        <v>2013.0</v>
      </c>
      <c r="AZ2189" s="1" t="s">
        <v>192</v>
      </c>
      <c r="BA2189" s="1" t="str">
        <f>"0233201026"</f>
        <v>0233201026</v>
      </c>
      <c r="BB2189" s="1" t="s">
        <v>200</v>
      </c>
      <c r="BC2189" s="1">
        <v>2831.0</v>
      </c>
      <c r="BD2189" s="1">
        <v>186125.0</v>
      </c>
      <c r="BE2189" s="2">
        <v>41907.0</v>
      </c>
      <c r="BF2189" s="2" t="s">
        <v>20418</v>
      </c>
      <c r="BH2189" s="1">
        <v>65.0</v>
      </c>
      <c r="BK2189" s="1" t="s">
        <v>474</v>
      </c>
      <c r="BL2189" s="1" t="str">
        <f t="shared" ref="BL2189:BM2189" si="1430">""</f>
        <v/>
      </c>
      <c r="BM2189" s="1" t="str">
        <f t="shared" si="1430"/>
        <v/>
      </c>
      <c r="BQ2189" s="1">
        <v>300.0</v>
      </c>
      <c r="BR2189" s="1">
        <v>300.0</v>
      </c>
      <c r="BS2189" s="1">
        <v>300.0</v>
      </c>
      <c r="BU2189" s="1" t="s">
        <v>3307</v>
      </c>
      <c r="BV2189" s="1" t="s">
        <v>206</v>
      </c>
      <c r="BW2189" s="1" t="s">
        <v>210</v>
      </c>
      <c r="BY2189" s="1" t="s">
        <v>1043</v>
      </c>
      <c r="BZ2189" s="1" t="s">
        <v>209</v>
      </c>
      <c r="CA2189" s="1" t="s">
        <v>210</v>
      </c>
      <c r="CC2189" s="1" t="s">
        <v>542</v>
      </c>
      <c r="CD2189" s="1" t="s">
        <v>206</v>
      </c>
      <c r="CG2189" s="1" t="s">
        <v>1068</v>
      </c>
      <c r="CH2189" s="1" t="s">
        <v>209</v>
      </c>
      <c r="CI2189" s="1" t="s">
        <v>210</v>
      </c>
      <c r="CK2189" s="1" t="s">
        <v>830</v>
      </c>
      <c r="CL2189" s="1" t="s">
        <v>209</v>
      </c>
      <c r="CM2189" s="1" t="s">
        <v>210</v>
      </c>
      <c r="CO2189" s="1" t="s">
        <v>1329</v>
      </c>
      <c r="CP2189" s="1" t="s">
        <v>209</v>
      </c>
      <c r="CQ2189" s="1" t="s">
        <v>210</v>
      </c>
      <c r="CS2189" s="1" t="s">
        <v>393</v>
      </c>
      <c r="CT2189" s="1" t="s">
        <v>206</v>
      </c>
      <c r="CU2189" s="1" t="s">
        <v>617</v>
      </c>
      <c r="CW2189" s="1" t="s">
        <v>1063</v>
      </c>
      <c r="CX2189" s="1" t="s">
        <v>206</v>
      </c>
      <c r="CY2189" s="1" t="s">
        <v>210</v>
      </c>
      <c r="DA2189" s="1" t="s">
        <v>200</v>
      </c>
      <c r="DC2189" s="1" t="s">
        <v>481</v>
      </c>
      <c r="DE2189" s="1" t="s">
        <v>273</v>
      </c>
      <c r="DF2189" s="1" t="s">
        <v>619</v>
      </c>
      <c r="DH2189" s="1" t="s">
        <v>220</v>
      </c>
      <c r="DJ2189" s="1" t="s">
        <v>222</v>
      </c>
      <c r="DL2189" s="1" t="s">
        <v>520</v>
      </c>
      <c r="DM2189" s="1" t="s">
        <v>229</v>
      </c>
      <c r="DQ2189" s="1" t="s">
        <v>228</v>
      </c>
      <c r="DR2189" s="1" t="s">
        <v>4273</v>
      </c>
      <c r="DV2189" s="1" t="s">
        <v>20419</v>
      </c>
      <c r="DW2189" s="1" t="s">
        <v>233</v>
      </c>
      <c r="DX2189" s="1" t="s">
        <v>234</v>
      </c>
      <c r="EC2189" s="1" t="s">
        <v>237</v>
      </c>
      <c r="EG2189" s="1" t="s">
        <v>557</v>
      </c>
      <c r="EH2189" s="1" t="s">
        <v>588</v>
      </c>
      <c r="EL2189" s="1" t="s">
        <v>303</v>
      </c>
      <c r="EM2189" s="1" t="s">
        <v>206</v>
      </c>
      <c r="EN2189" s="1" t="s">
        <v>210</v>
      </c>
      <c r="EP2189" s="1" t="s">
        <v>2872</v>
      </c>
      <c r="EQ2189" s="1" t="s">
        <v>209</v>
      </c>
      <c r="ER2189" s="1" t="s">
        <v>210</v>
      </c>
      <c r="EU2189" s="1" t="s">
        <v>238</v>
      </c>
      <c r="EY2189" s="1" t="s">
        <v>238</v>
      </c>
      <c r="FC2189" s="1" t="s">
        <v>238</v>
      </c>
      <c r="FF2189" s="1" t="s">
        <v>239</v>
      </c>
      <c r="FG2189" s="1" t="s">
        <v>192</v>
      </c>
      <c r="FH2189" s="1" t="s">
        <v>192</v>
      </c>
      <c r="FJ2189" s="1" t="s">
        <v>347</v>
      </c>
      <c r="FK2189" s="1" t="s">
        <v>348</v>
      </c>
      <c r="FL2189" s="1" t="s">
        <v>349</v>
      </c>
      <c r="FM2189" s="1">
        <v>93162.0</v>
      </c>
      <c r="FN2189" s="1" t="s">
        <v>350</v>
      </c>
      <c r="FO2189" s="1" t="s">
        <v>351</v>
      </c>
      <c r="FP2189" s="1">
        <v>931530.0</v>
      </c>
      <c r="FU2189" s="1" t="s">
        <v>353</v>
      </c>
      <c r="FV2189" s="1" t="s">
        <v>200</v>
      </c>
      <c r="FW2189" s="1" t="s">
        <v>354</v>
      </c>
      <c r="FZ2189" s="1" t="s">
        <v>229</v>
      </c>
      <c r="GA2189" s="1" t="s">
        <v>291</v>
      </c>
      <c r="GB2189" s="2">
        <v>42130.0</v>
      </c>
      <c r="GC2189" s="1" t="s">
        <v>20420</v>
      </c>
    </row>
    <row r="2190">
      <c r="A2190" s="1">
        <v>228000.0</v>
      </c>
      <c r="B2190" s="1" t="s">
        <v>185</v>
      </c>
      <c r="C2190" s="1" t="str">
        <f>"08746854"</f>
        <v>08746854</v>
      </c>
      <c r="D2190" s="1" t="s">
        <v>186</v>
      </c>
      <c r="F2190" s="1" t="str">
        <f>"538"</f>
        <v>538</v>
      </c>
      <c r="G2190" s="2">
        <v>41919.0</v>
      </c>
      <c r="H2190" s="1">
        <v>232900.0</v>
      </c>
      <c r="I2190" s="1">
        <v>5.0</v>
      </c>
      <c r="J2190" s="1">
        <v>232900.0</v>
      </c>
      <c r="K2190" s="2">
        <v>41923.0</v>
      </c>
      <c r="L2190" s="1">
        <v>5.0</v>
      </c>
      <c r="M2190" s="2">
        <v>41923.0</v>
      </c>
      <c r="N2190" s="1" t="s">
        <v>356</v>
      </c>
      <c r="O2190" s="2">
        <v>41984.0</v>
      </c>
      <c r="P2190" s="1">
        <v>231926.0</v>
      </c>
      <c r="Q2190" s="1">
        <v>23196.0</v>
      </c>
      <c r="R2190" s="1">
        <v>2500.0</v>
      </c>
      <c r="S2190" s="1">
        <v>1885.0</v>
      </c>
      <c r="T2190" s="1" t="s">
        <v>20421</v>
      </c>
      <c r="U2190" s="1" t="s">
        <v>420</v>
      </c>
      <c r="V2190" s="1" t="s">
        <v>1340</v>
      </c>
      <c r="W2190" s="1">
        <v>60538.0</v>
      </c>
      <c r="Y2190" s="1" t="s">
        <v>20422</v>
      </c>
      <c r="Z2190" s="1">
        <v>1989.0</v>
      </c>
      <c r="AA2190" s="1" t="s">
        <v>200</v>
      </c>
      <c r="AB2190" s="1" t="s">
        <v>193</v>
      </c>
      <c r="AC2190" s="1" t="s">
        <v>5391</v>
      </c>
      <c r="AD2190" s="1" t="s">
        <v>1343</v>
      </c>
      <c r="AE2190" s="1" t="s">
        <v>849</v>
      </c>
      <c r="AF2190" s="1" t="s">
        <v>1529</v>
      </c>
      <c r="AH2190" s="1" t="s">
        <v>20423</v>
      </c>
      <c r="AI2190" s="1">
        <v>0.1455</v>
      </c>
      <c r="AK2190" s="1">
        <v>9.0</v>
      </c>
      <c r="AL2190" s="1">
        <v>4.0</v>
      </c>
      <c r="AM2190" s="1">
        <v>2.0</v>
      </c>
      <c r="AN2190" s="1">
        <v>1.0</v>
      </c>
      <c r="AO2190" s="1" t="s">
        <v>198</v>
      </c>
      <c r="AP2190" s="1">
        <v>1.0</v>
      </c>
      <c r="AQ2190" s="1" t="s">
        <v>198</v>
      </c>
      <c r="AR2190" s="1" t="s">
        <v>200</v>
      </c>
      <c r="AS2190" s="1" t="s">
        <v>199</v>
      </c>
      <c r="AT2190" s="1">
        <v>2.0</v>
      </c>
      <c r="AV2190" s="1" t="s">
        <v>200</v>
      </c>
      <c r="AW2190" s="1">
        <v>8558.0</v>
      </c>
      <c r="AX2190" s="1">
        <v>2013.0</v>
      </c>
      <c r="AY2190" s="1" t="s">
        <v>387</v>
      </c>
      <c r="AZ2190" s="1" t="s">
        <v>200</v>
      </c>
      <c r="BA2190" s="1" t="str">
        <f>"0304103019"</f>
        <v>0304103019</v>
      </c>
      <c r="BB2190" s="1" t="s">
        <v>200</v>
      </c>
      <c r="BC2190" s="1">
        <v>2497.0</v>
      </c>
      <c r="BD2190" s="1">
        <v>228000.0</v>
      </c>
      <c r="BE2190" s="2">
        <v>41919.0</v>
      </c>
      <c r="BF2190" s="2" t="s">
        <v>20424</v>
      </c>
      <c r="BG2190" s="1" t="s">
        <v>1347</v>
      </c>
      <c r="BH2190" s="1">
        <v>0.0</v>
      </c>
      <c r="BI2190" s="1" t="s">
        <v>3647</v>
      </c>
      <c r="BJ2190" s="1" t="s">
        <v>2546</v>
      </c>
      <c r="BK2190" s="1" t="s">
        <v>204</v>
      </c>
      <c r="BL2190" s="1" t="str">
        <f t="shared" ref="BL2190:BM2190" si="1431">""</f>
        <v/>
      </c>
      <c r="BM2190" s="1" t="str">
        <f t="shared" si="1431"/>
        <v/>
      </c>
      <c r="BQ2190" s="1">
        <v>308.0</v>
      </c>
      <c r="BR2190" s="1">
        <v>308.0</v>
      </c>
      <c r="BS2190" s="1">
        <v>308.0</v>
      </c>
      <c r="BU2190" s="1" t="s">
        <v>1483</v>
      </c>
      <c r="BV2190" s="1" t="s">
        <v>206</v>
      </c>
      <c r="BW2190" s="1" t="s">
        <v>207</v>
      </c>
      <c r="BX2190" s="1" t="s">
        <v>239</v>
      </c>
      <c r="BY2190" s="1" t="s">
        <v>260</v>
      </c>
      <c r="BZ2190" s="1" t="s">
        <v>209</v>
      </c>
      <c r="CA2190" s="1" t="s">
        <v>210</v>
      </c>
      <c r="CB2190" s="1" t="s">
        <v>239</v>
      </c>
      <c r="CC2190" s="1" t="s">
        <v>433</v>
      </c>
      <c r="CD2190" s="1" t="s">
        <v>206</v>
      </c>
      <c r="CE2190" s="1" t="s">
        <v>207</v>
      </c>
      <c r="CF2190" s="1" t="s">
        <v>239</v>
      </c>
      <c r="CG2190" s="1" t="s">
        <v>205</v>
      </c>
      <c r="CH2190" s="1" t="s">
        <v>209</v>
      </c>
      <c r="CI2190" s="1" t="s">
        <v>210</v>
      </c>
      <c r="CJ2190" s="1" t="s">
        <v>239</v>
      </c>
      <c r="CK2190" s="1" t="s">
        <v>454</v>
      </c>
      <c r="CL2190" s="1" t="s">
        <v>209</v>
      </c>
      <c r="CM2190" s="1" t="s">
        <v>210</v>
      </c>
      <c r="CN2190" s="1" t="s">
        <v>239</v>
      </c>
      <c r="CO2190" s="1" t="s">
        <v>262</v>
      </c>
      <c r="CP2190" s="1" t="s">
        <v>209</v>
      </c>
      <c r="CQ2190" s="1" t="s">
        <v>210</v>
      </c>
      <c r="CR2190" s="1" t="s">
        <v>239</v>
      </c>
      <c r="CS2190" s="1" t="s">
        <v>854</v>
      </c>
      <c r="CT2190" s="1" t="s">
        <v>206</v>
      </c>
      <c r="CU2190" s="1" t="s">
        <v>207</v>
      </c>
      <c r="CV2190" s="1" t="s">
        <v>239</v>
      </c>
      <c r="CW2190" s="1" t="s">
        <v>480</v>
      </c>
      <c r="CX2190" s="1" t="s">
        <v>206</v>
      </c>
      <c r="CY2190" s="1" t="s">
        <v>210</v>
      </c>
      <c r="CZ2190" s="1" t="s">
        <v>239</v>
      </c>
      <c r="DA2190" s="1" t="s">
        <v>200</v>
      </c>
      <c r="DC2190" s="1" t="s">
        <v>435</v>
      </c>
      <c r="DD2190" s="1" t="s">
        <v>1838</v>
      </c>
      <c r="DE2190" s="1" t="s">
        <v>273</v>
      </c>
      <c r="DF2190" s="1" t="s">
        <v>219</v>
      </c>
      <c r="DG2190" s="1" t="s">
        <v>482</v>
      </c>
      <c r="DH2190" s="1" t="s">
        <v>220</v>
      </c>
      <c r="DI2190" s="1" t="s">
        <v>732</v>
      </c>
      <c r="DJ2190" s="1" t="s">
        <v>222</v>
      </c>
      <c r="DK2190" s="1" t="s">
        <v>223</v>
      </c>
      <c r="DL2190" s="1" t="s">
        <v>858</v>
      </c>
      <c r="DM2190" s="1" t="s">
        <v>338</v>
      </c>
      <c r="DN2190" s="1" t="s">
        <v>339</v>
      </c>
      <c r="DO2190" s="1" t="s">
        <v>6305</v>
      </c>
      <c r="DP2190" s="1" t="s">
        <v>340</v>
      </c>
      <c r="DQ2190" s="1" t="s">
        <v>441</v>
      </c>
      <c r="DR2190" s="1" t="s">
        <v>229</v>
      </c>
      <c r="DS2190" s="1" t="s">
        <v>230</v>
      </c>
      <c r="DU2190" s="1" t="s">
        <v>1049</v>
      </c>
      <c r="DV2190" s="1" t="s">
        <v>450</v>
      </c>
      <c r="DW2190" s="1" t="s">
        <v>444</v>
      </c>
      <c r="DX2190" s="1" t="s">
        <v>234</v>
      </c>
      <c r="DY2190" s="1" t="s">
        <v>3488</v>
      </c>
      <c r="DZ2190" s="1" t="s">
        <v>8913</v>
      </c>
      <c r="EA2190" s="1" t="s">
        <v>344</v>
      </c>
      <c r="EB2190" s="1" t="s">
        <v>937</v>
      </c>
      <c r="EC2190" s="1" t="s">
        <v>237</v>
      </c>
      <c r="ED2190" s="1" t="s">
        <v>407</v>
      </c>
      <c r="EE2190" s="1" t="s">
        <v>493</v>
      </c>
      <c r="EG2190" s="1" t="s">
        <v>450</v>
      </c>
      <c r="EL2190" s="1" t="s">
        <v>17647</v>
      </c>
      <c r="EM2190" s="1" t="s">
        <v>42</v>
      </c>
      <c r="EN2190" s="1" t="s">
        <v>210</v>
      </c>
      <c r="EO2190" s="1" t="s">
        <v>229</v>
      </c>
      <c r="EQ2190" s="1" t="s">
        <v>238</v>
      </c>
      <c r="EU2190" s="1" t="s">
        <v>238</v>
      </c>
      <c r="EY2190" s="1" t="s">
        <v>238</v>
      </c>
      <c r="FC2190" s="1" t="s">
        <v>238</v>
      </c>
      <c r="FF2190" s="1" t="s">
        <v>239</v>
      </c>
      <c r="FG2190" s="1" t="s">
        <v>192</v>
      </c>
      <c r="FH2190" s="1" t="s">
        <v>192</v>
      </c>
      <c r="FJ2190" s="1" t="s">
        <v>3062</v>
      </c>
      <c r="FK2190" s="1" t="s">
        <v>229</v>
      </c>
      <c r="FL2190" s="1" t="s">
        <v>3848</v>
      </c>
      <c r="FM2190" s="1">
        <v>70332.0</v>
      </c>
      <c r="FN2190" s="1" t="s">
        <v>20425</v>
      </c>
      <c r="FO2190" s="1" t="s">
        <v>20426</v>
      </c>
      <c r="FP2190" s="1">
        <v>701599.0</v>
      </c>
      <c r="FQ2190" s="1" t="s">
        <v>20427</v>
      </c>
      <c r="FS2190" s="1" t="s">
        <v>20428</v>
      </c>
      <c r="FU2190" s="1" t="s">
        <v>20429</v>
      </c>
      <c r="FV2190" s="1" t="s">
        <v>200</v>
      </c>
      <c r="FW2190" s="1" t="s">
        <v>530</v>
      </c>
      <c r="FZ2190" s="1" t="s">
        <v>229</v>
      </c>
      <c r="GA2190" s="1" t="s">
        <v>291</v>
      </c>
      <c r="GB2190" s="2">
        <v>41984.0</v>
      </c>
      <c r="GC2190" s="1" t="s">
        <v>20430</v>
      </c>
    </row>
    <row r="2191">
      <c r="A2191" s="1">
        <v>164000.0</v>
      </c>
      <c r="B2191" s="1" t="s">
        <v>185</v>
      </c>
      <c r="C2191" s="1" t="str">
        <f>"08739750"</f>
        <v>08739750</v>
      </c>
      <c r="D2191" s="1" t="s">
        <v>186</v>
      </c>
      <c r="F2191" s="1" t="str">
        <f>"8011"</f>
        <v>8011</v>
      </c>
      <c r="G2191" s="2">
        <v>41910.0</v>
      </c>
      <c r="H2191" s="1">
        <v>164000.0</v>
      </c>
      <c r="I2191" s="1">
        <v>44.0</v>
      </c>
      <c r="J2191" s="1">
        <v>164000.0</v>
      </c>
      <c r="K2191" s="2">
        <v>41953.0</v>
      </c>
      <c r="L2191" s="1">
        <v>44.0</v>
      </c>
      <c r="M2191" s="2">
        <v>41953.0</v>
      </c>
      <c r="N2191" s="1" t="s">
        <v>249</v>
      </c>
      <c r="O2191" s="2">
        <v>42019.0</v>
      </c>
      <c r="P2191" s="1">
        <v>113690.0</v>
      </c>
      <c r="Q2191" s="1">
        <v>10900.0</v>
      </c>
      <c r="S2191" s="1">
        <v>5527.0</v>
      </c>
      <c r="T2191" s="1" t="s">
        <v>10575</v>
      </c>
      <c r="U2191" s="1" t="s">
        <v>189</v>
      </c>
      <c r="V2191" s="1" t="s">
        <v>190</v>
      </c>
      <c r="W2191" s="1">
        <v>60630.0</v>
      </c>
      <c r="Y2191" s="1" t="s">
        <v>20431</v>
      </c>
      <c r="Z2191" s="1">
        <v>1917.0</v>
      </c>
      <c r="AA2191" s="1" t="s">
        <v>192</v>
      </c>
      <c r="AB2191" s="1" t="s">
        <v>193</v>
      </c>
      <c r="AD2191" s="1" t="s">
        <v>194</v>
      </c>
      <c r="AE2191" s="1" t="s">
        <v>195</v>
      </c>
      <c r="AF2191" s="1" t="s">
        <v>196</v>
      </c>
      <c r="AH2191" s="1" t="s">
        <v>20432</v>
      </c>
      <c r="AI2191" s="1">
        <v>0.0996</v>
      </c>
      <c r="AK2191" s="1">
        <v>8.0</v>
      </c>
      <c r="AL2191" s="1">
        <v>4.0</v>
      </c>
      <c r="AM2191" s="1">
        <v>1.0</v>
      </c>
      <c r="AN2191" s="1">
        <v>0.0</v>
      </c>
      <c r="AO2191" s="1" t="s">
        <v>229</v>
      </c>
      <c r="AQ2191" s="1" t="s">
        <v>198</v>
      </c>
      <c r="AR2191" s="1" t="s">
        <v>200</v>
      </c>
      <c r="AS2191" s="1" t="s">
        <v>199</v>
      </c>
      <c r="AT2191" s="1">
        <v>1.0</v>
      </c>
      <c r="AV2191" s="1" t="s">
        <v>200</v>
      </c>
      <c r="AW2191" s="1">
        <v>1833.44</v>
      </c>
      <c r="AX2191" s="1">
        <v>2012.0</v>
      </c>
      <c r="AY2191" s="1" t="s">
        <v>1179</v>
      </c>
      <c r="AZ2191" s="1" t="s">
        <v>200</v>
      </c>
      <c r="BA2191" s="1" t="str">
        <f>"13082000110000"</f>
        <v>13082000110000</v>
      </c>
      <c r="BC2191" s="1">
        <v>1500.0</v>
      </c>
      <c r="BD2191" s="1">
        <v>164000.0</v>
      </c>
      <c r="BE2191" s="2">
        <v>41910.0</v>
      </c>
      <c r="BF2191" s="2" t="s">
        <v>20433</v>
      </c>
      <c r="BH2191" s="1">
        <v>0.0</v>
      </c>
      <c r="BK2191" s="1" t="s">
        <v>204</v>
      </c>
      <c r="BL2191" s="1" t="str">
        <f>"5527"</f>
        <v>5527</v>
      </c>
      <c r="BM2191" s="1" t="str">
        <f>"0"</f>
        <v>0</v>
      </c>
      <c r="BN2191" s="1">
        <v>6000.0</v>
      </c>
      <c r="BO2191" s="1">
        <v>0.0</v>
      </c>
      <c r="BQ2191" s="1">
        <v>299.0</v>
      </c>
      <c r="BR2191" s="1">
        <v>299.0</v>
      </c>
      <c r="BS2191" s="1">
        <v>299.0</v>
      </c>
      <c r="BU2191" s="1" t="s">
        <v>361</v>
      </c>
      <c r="BV2191" s="1" t="s">
        <v>206</v>
      </c>
      <c r="BW2191" s="1" t="s">
        <v>207</v>
      </c>
      <c r="BY2191" s="1" t="s">
        <v>269</v>
      </c>
      <c r="BZ2191" s="1" t="s">
        <v>206</v>
      </c>
      <c r="CA2191" s="1" t="s">
        <v>207</v>
      </c>
      <c r="CC2191" s="1" t="s">
        <v>542</v>
      </c>
      <c r="CD2191" s="1" t="s">
        <v>206</v>
      </c>
      <c r="CG2191" s="1" t="s">
        <v>1852</v>
      </c>
      <c r="CH2191" s="1" t="s">
        <v>206</v>
      </c>
      <c r="CI2191" s="1" t="s">
        <v>207</v>
      </c>
      <c r="CK2191" s="1" t="s">
        <v>1852</v>
      </c>
      <c r="CL2191" s="1" t="s">
        <v>209</v>
      </c>
      <c r="CM2191" s="1" t="s">
        <v>617</v>
      </c>
      <c r="CO2191" s="1" t="s">
        <v>516</v>
      </c>
      <c r="CP2191" s="1" t="s">
        <v>209</v>
      </c>
      <c r="CQ2191" s="1" t="s">
        <v>617</v>
      </c>
      <c r="CS2191" s="1" t="s">
        <v>3805</v>
      </c>
      <c r="CT2191" s="1" t="s">
        <v>206</v>
      </c>
      <c r="CU2191" s="1" t="s">
        <v>617</v>
      </c>
      <c r="CW2191" s="1" t="s">
        <v>265</v>
      </c>
      <c r="CX2191" s="1" t="s">
        <v>206</v>
      </c>
      <c r="CY2191" s="1" t="s">
        <v>207</v>
      </c>
      <c r="DA2191" s="1" t="s">
        <v>200</v>
      </c>
      <c r="DC2191" s="1" t="s">
        <v>216</v>
      </c>
      <c r="DE2191" s="1" t="s">
        <v>6909</v>
      </c>
      <c r="DF2191" s="1" t="s">
        <v>619</v>
      </c>
      <c r="DH2191" s="1" t="s">
        <v>307</v>
      </c>
      <c r="DJ2191" s="1" t="s">
        <v>222</v>
      </c>
      <c r="DL2191" s="1" t="s">
        <v>223</v>
      </c>
      <c r="DM2191" s="1" t="s">
        <v>398</v>
      </c>
      <c r="DQ2191" s="1" t="s">
        <v>228</v>
      </c>
      <c r="DR2191" s="1" t="s">
        <v>229</v>
      </c>
      <c r="DV2191" s="1" t="s">
        <v>232</v>
      </c>
      <c r="DW2191" s="1" t="s">
        <v>279</v>
      </c>
      <c r="DX2191" s="1" t="s">
        <v>234</v>
      </c>
      <c r="EA2191" s="1" t="s">
        <v>644</v>
      </c>
      <c r="EC2191" s="1" t="s">
        <v>645</v>
      </c>
      <c r="EM2191" s="1" t="s">
        <v>238</v>
      </c>
      <c r="EQ2191" s="1" t="s">
        <v>238</v>
      </c>
      <c r="EU2191" s="1" t="s">
        <v>238</v>
      </c>
      <c r="EY2191" s="1" t="s">
        <v>238</v>
      </c>
      <c r="FC2191" s="1" t="s">
        <v>238</v>
      </c>
      <c r="FF2191" s="1" t="s">
        <v>239</v>
      </c>
      <c r="FG2191" s="1" t="s">
        <v>192</v>
      </c>
      <c r="FH2191" s="1" t="s">
        <v>192</v>
      </c>
      <c r="FJ2191" s="1" t="s">
        <v>524</v>
      </c>
      <c r="FK2191" s="1" t="s">
        <v>1586</v>
      </c>
      <c r="FL2191" s="1" t="s">
        <v>771</v>
      </c>
      <c r="FM2191" s="1">
        <v>16636.0</v>
      </c>
      <c r="FN2191" s="1" t="s">
        <v>526</v>
      </c>
      <c r="FO2191" s="1" t="s">
        <v>9812</v>
      </c>
      <c r="FP2191" s="1">
        <v>168274.0</v>
      </c>
      <c r="FQ2191" s="1" t="s">
        <v>9813</v>
      </c>
      <c r="FU2191" s="1" t="s">
        <v>20434</v>
      </c>
      <c r="FV2191" s="1" t="s">
        <v>200</v>
      </c>
      <c r="FW2191" s="1" t="s">
        <v>631</v>
      </c>
      <c r="FX2191" s="1" t="s">
        <v>238</v>
      </c>
      <c r="FZ2191" s="1" t="s">
        <v>229</v>
      </c>
      <c r="GA2191" s="1" t="s">
        <v>291</v>
      </c>
      <c r="GB2191" s="2">
        <v>42020.0</v>
      </c>
      <c r="GC2191" s="1" t="s">
        <v>20435</v>
      </c>
    </row>
    <row r="2192">
      <c r="A2192" s="1">
        <v>195000.0</v>
      </c>
      <c r="B2192" s="1" t="s">
        <v>185</v>
      </c>
      <c r="C2192" s="1" t="str">
        <f>"08740633"</f>
        <v>08740633</v>
      </c>
      <c r="D2192" s="1" t="s">
        <v>186</v>
      </c>
      <c r="F2192" s="1" t="str">
        <f>"123"</f>
        <v>123</v>
      </c>
      <c r="G2192" s="2">
        <v>41911.0</v>
      </c>
      <c r="H2192" s="1">
        <v>228900.0</v>
      </c>
      <c r="I2192" s="1">
        <v>107.0</v>
      </c>
      <c r="J2192" s="1">
        <v>209900.0</v>
      </c>
      <c r="K2192" s="2">
        <v>42017.0</v>
      </c>
      <c r="L2192" s="1">
        <v>107.0</v>
      </c>
      <c r="M2192" s="2">
        <v>42017.0</v>
      </c>
      <c r="N2192" s="1" t="s">
        <v>356</v>
      </c>
      <c r="O2192" s="2">
        <v>42076.0</v>
      </c>
      <c r="P2192" s="1">
        <v>88455.0</v>
      </c>
      <c r="Q2192" s="1">
        <v>8089.0</v>
      </c>
      <c r="S2192" s="1">
        <v>880.0</v>
      </c>
      <c r="T2192" s="1" t="s">
        <v>20436</v>
      </c>
      <c r="U2192" s="1" t="s">
        <v>1015</v>
      </c>
      <c r="V2192" s="1" t="s">
        <v>465</v>
      </c>
      <c r="W2192" s="1">
        <v>60123.0</v>
      </c>
      <c r="Y2192" s="1" t="s">
        <v>20437</v>
      </c>
      <c r="Z2192" s="1">
        <v>1990.0</v>
      </c>
      <c r="AA2192" s="1" t="s">
        <v>200</v>
      </c>
      <c r="AB2192" s="1" t="s">
        <v>193</v>
      </c>
      <c r="AD2192" s="1" t="s">
        <v>469</v>
      </c>
      <c r="AE2192" s="1" t="s">
        <v>325</v>
      </c>
      <c r="AF2192" s="1" t="s">
        <v>469</v>
      </c>
      <c r="AH2192" s="1">
        <v>9583.0</v>
      </c>
      <c r="AI2192" s="1">
        <v>0.22</v>
      </c>
      <c r="AK2192" s="1">
        <v>8.0</v>
      </c>
      <c r="AL2192" s="1">
        <v>4.0</v>
      </c>
      <c r="AM2192" s="1">
        <v>2.0</v>
      </c>
      <c r="AN2192" s="1">
        <v>1.0</v>
      </c>
      <c r="AO2192" s="1" t="s">
        <v>198</v>
      </c>
      <c r="AQ2192" s="1" t="s">
        <v>198</v>
      </c>
      <c r="AR2192" s="1" t="s">
        <v>200</v>
      </c>
      <c r="AS2192" s="1" t="s">
        <v>199</v>
      </c>
      <c r="AT2192" s="1">
        <v>2.0</v>
      </c>
      <c r="AV2192" s="1" t="s">
        <v>200</v>
      </c>
      <c r="AW2192" s="1">
        <v>5942.9</v>
      </c>
      <c r="AX2192" s="1">
        <v>2012.0</v>
      </c>
      <c r="AZ2192" s="1" t="s">
        <v>545</v>
      </c>
      <c r="BA2192" s="1" t="str">
        <f>"0628228012"</f>
        <v>0628228012</v>
      </c>
      <c r="BB2192" s="1" t="s">
        <v>200</v>
      </c>
      <c r="BC2192" s="1">
        <v>2288.0</v>
      </c>
      <c r="BD2192" s="1">
        <v>195000.0</v>
      </c>
      <c r="BE2192" s="2">
        <v>41911.0</v>
      </c>
      <c r="BF2192" s="2" t="s">
        <v>20438</v>
      </c>
      <c r="BH2192" s="1">
        <v>0.0</v>
      </c>
      <c r="BK2192" s="1" t="s">
        <v>204</v>
      </c>
      <c r="BL2192" s="1" t="str">
        <f t="shared" ref="BL2192:BM2192" si="1432">""</f>
        <v/>
      </c>
      <c r="BM2192" s="1" t="str">
        <f t="shared" si="1432"/>
        <v/>
      </c>
      <c r="BQ2192" s="1">
        <v>46.0</v>
      </c>
      <c r="BR2192" s="1">
        <v>46.0</v>
      </c>
      <c r="BS2192" s="1">
        <v>46.0</v>
      </c>
      <c r="BU2192" s="1" t="s">
        <v>2414</v>
      </c>
      <c r="BV2192" s="1" t="s">
        <v>206</v>
      </c>
      <c r="BY2192" s="1" t="s">
        <v>758</v>
      </c>
      <c r="BZ2192" s="1" t="s">
        <v>209</v>
      </c>
      <c r="CC2192" s="1" t="s">
        <v>215</v>
      </c>
      <c r="CD2192" s="1" t="s">
        <v>206</v>
      </c>
      <c r="CG2192" s="1" t="s">
        <v>497</v>
      </c>
      <c r="CH2192" s="1" t="s">
        <v>209</v>
      </c>
      <c r="CK2192" s="1" t="s">
        <v>495</v>
      </c>
      <c r="CL2192" s="1" t="s">
        <v>209</v>
      </c>
      <c r="CO2192" s="1" t="s">
        <v>269</v>
      </c>
      <c r="CP2192" s="1" t="s">
        <v>209</v>
      </c>
      <c r="CS2192" s="1" t="s">
        <v>393</v>
      </c>
      <c r="CT2192" s="1" t="s">
        <v>206</v>
      </c>
      <c r="CW2192" s="1" t="s">
        <v>743</v>
      </c>
      <c r="CX2192" s="1" t="s">
        <v>206</v>
      </c>
      <c r="DA2192" s="1" t="s">
        <v>200</v>
      </c>
      <c r="DC2192" s="1" t="s">
        <v>435</v>
      </c>
      <c r="DE2192" s="1" t="s">
        <v>273</v>
      </c>
      <c r="DF2192" s="1" t="s">
        <v>219</v>
      </c>
      <c r="DH2192" s="1" t="s">
        <v>220</v>
      </c>
      <c r="DJ2192" s="1" t="s">
        <v>222</v>
      </c>
      <c r="DL2192" s="1" t="s">
        <v>224</v>
      </c>
      <c r="DM2192" s="1" t="s">
        <v>229</v>
      </c>
      <c r="DQ2192" s="1" t="s">
        <v>228</v>
      </c>
      <c r="DR2192" s="1" t="s">
        <v>229</v>
      </c>
      <c r="DS2192" s="1" t="s">
        <v>230</v>
      </c>
      <c r="DV2192" s="1" t="s">
        <v>232</v>
      </c>
      <c r="DW2192" s="1" t="s">
        <v>233</v>
      </c>
      <c r="DX2192" s="1" t="s">
        <v>234</v>
      </c>
      <c r="EC2192" s="1" t="s">
        <v>237</v>
      </c>
      <c r="EM2192" s="1" t="s">
        <v>238</v>
      </c>
      <c r="EQ2192" s="1" t="s">
        <v>238</v>
      </c>
      <c r="EU2192" s="1" t="s">
        <v>238</v>
      </c>
      <c r="EY2192" s="1" t="s">
        <v>238</v>
      </c>
      <c r="FC2192" s="1" t="s">
        <v>238</v>
      </c>
      <c r="FF2192" s="1" t="s">
        <v>239</v>
      </c>
      <c r="FG2192" s="1" t="s">
        <v>192</v>
      </c>
      <c r="FH2192" s="1" t="s">
        <v>192</v>
      </c>
      <c r="FJ2192" s="1" t="s">
        <v>347</v>
      </c>
      <c r="FK2192" s="1" t="s">
        <v>229</v>
      </c>
      <c r="FL2192" s="1" t="s">
        <v>1855</v>
      </c>
      <c r="FM2192" s="1">
        <v>41.0</v>
      </c>
      <c r="FN2192" s="1" t="s">
        <v>1856</v>
      </c>
      <c r="FO2192" s="1" t="s">
        <v>1857</v>
      </c>
      <c r="FP2192" s="1">
        <v>8483.0</v>
      </c>
      <c r="FQ2192" s="1" t="s">
        <v>1858</v>
      </c>
      <c r="FT2192" s="1" t="s">
        <v>1860</v>
      </c>
      <c r="FU2192" s="1" t="s">
        <v>1861</v>
      </c>
      <c r="FV2192" s="1" t="s">
        <v>200</v>
      </c>
      <c r="FW2192" s="1" t="s">
        <v>1307</v>
      </c>
      <c r="FZ2192" s="1" t="s">
        <v>229</v>
      </c>
      <c r="GA2192" s="1" t="s">
        <v>291</v>
      </c>
      <c r="GB2192" s="2">
        <v>42076.0</v>
      </c>
      <c r="GC2192" s="1" t="s">
        <v>20140</v>
      </c>
    </row>
    <row r="2193">
      <c r="A2193" s="1">
        <v>130000.0</v>
      </c>
      <c r="B2193" s="1" t="s">
        <v>185</v>
      </c>
      <c r="C2193" s="1" t="str">
        <f>"08750468"</f>
        <v>08750468</v>
      </c>
      <c r="D2193" s="1" t="s">
        <v>186</v>
      </c>
      <c r="F2193" s="1" t="str">
        <f>"119"</f>
        <v>119</v>
      </c>
      <c r="G2193" s="2">
        <v>41922.0</v>
      </c>
      <c r="H2193" s="1">
        <v>153900.0</v>
      </c>
      <c r="I2193" s="1">
        <v>42.0</v>
      </c>
      <c r="J2193" s="1">
        <v>138900.0</v>
      </c>
      <c r="K2193" s="2">
        <v>41963.0</v>
      </c>
      <c r="L2193" s="1">
        <v>42.0</v>
      </c>
      <c r="M2193" s="2">
        <v>41963.0</v>
      </c>
      <c r="N2193" s="1" t="s">
        <v>249</v>
      </c>
      <c r="O2193" s="2">
        <v>41984.0</v>
      </c>
      <c r="P2193" s="1">
        <v>1174.0</v>
      </c>
      <c r="Q2193" s="1">
        <v>524.0</v>
      </c>
      <c r="S2193" s="1" t="s">
        <v>20439</v>
      </c>
      <c r="T2193" s="1" t="s">
        <v>20440</v>
      </c>
      <c r="U2193" s="1" t="s">
        <v>464</v>
      </c>
      <c r="V2193" s="1" t="s">
        <v>1476</v>
      </c>
      <c r="W2193" s="1">
        <v>60119.0</v>
      </c>
      <c r="Y2193" s="1" t="s">
        <v>20441</v>
      </c>
      <c r="Z2193" s="1">
        <v>1973.0</v>
      </c>
      <c r="AA2193" s="1" t="s">
        <v>192</v>
      </c>
      <c r="AB2193" s="1" t="s">
        <v>193</v>
      </c>
      <c r="AC2193" s="1" t="s">
        <v>20442</v>
      </c>
      <c r="AD2193" s="1" t="s">
        <v>1478</v>
      </c>
      <c r="AE2193" s="1" t="s">
        <v>325</v>
      </c>
      <c r="AF2193" s="1" t="s">
        <v>1479</v>
      </c>
      <c r="AH2193" s="1" t="s">
        <v>20443</v>
      </c>
      <c r="AI2193" s="1">
        <v>1.19</v>
      </c>
      <c r="AK2193" s="1">
        <v>7.0</v>
      </c>
      <c r="AL2193" s="1">
        <v>4.0</v>
      </c>
      <c r="AM2193" s="1">
        <v>1.0</v>
      </c>
      <c r="AN2193" s="1">
        <v>1.0</v>
      </c>
      <c r="AO2193" s="1" t="s">
        <v>229</v>
      </c>
      <c r="AP2193" s="1">
        <v>0.0</v>
      </c>
      <c r="AQ2193" s="1" t="s">
        <v>198</v>
      </c>
      <c r="AR2193" s="1" t="s">
        <v>200</v>
      </c>
      <c r="AS2193" s="1" t="s">
        <v>199</v>
      </c>
      <c r="AT2193" s="1">
        <v>2.0</v>
      </c>
      <c r="AV2193" s="1" t="s">
        <v>200</v>
      </c>
      <c r="AW2193" s="1">
        <v>5634.92</v>
      </c>
      <c r="AX2193" s="1">
        <v>2013.0</v>
      </c>
      <c r="AY2193" s="1" t="s">
        <v>387</v>
      </c>
      <c r="AZ2193" s="1" t="s">
        <v>200</v>
      </c>
      <c r="BA2193" s="1" t="str">
        <f>"1104300011"</f>
        <v>1104300011</v>
      </c>
      <c r="BC2193" s="1">
        <v>1656.0</v>
      </c>
      <c r="BD2193" s="1">
        <v>130000.0</v>
      </c>
      <c r="BE2193" s="2">
        <v>41922.0</v>
      </c>
      <c r="BF2193" s="1" t="s">
        <v>20444</v>
      </c>
      <c r="BH2193" s="1">
        <v>0.0</v>
      </c>
      <c r="BK2193" s="1" t="s">
        <v>204</v>
      </c>
      <c r="BL2193" s="1" t="str">
        <f t="shared" ref="BL2193:BM2193" si="1433">""</f>
        <v/>
      </c>
      <c r="BM2193" s="1" t="str">
        <f t="shared" si="1433"/>
        <v/>
      </c>
      <c r="BQ2193" s="1">
        <v>302.0</v>
      </c>
      <c r="BR2193" s="1">
        <v>302.0</v>
      </c>
      <c r="BS2193" s="1">
        <v>302.0</v>
      </c>
      <c r="BU2193" s="1" t="s">
        <v>1001</v>
      </c>
      <c r="BV2193" s="1" t="s">
        <v>206</v>
      </c>
      <c r="BW2193" s="1" t="s">
        <v>210</v>
      </c>
      <c r="BY2193" s="1" t="s">
        <v>730</v>
      </c>
      <c r="BZ2193" s="1" t="s">
        <v>209</v>
      </c>
      <c r="CA2193" s="1" t="s">
        <v>210</v>
      </c>
      <c r="CC2193" s="1" t="s">
        <v>331</v>
      </c>
      <c r="CD2193" s="1" t="s">
        <v>206</v>
      </c>
      <c r="CE2193" s="1" t="s">
        <v>210</v>
      </c>
      <c r="CG2193" s="1" t="s">
        <v>497</v>
      </c>
      <c r="CH2193" s="1" t="s">
        <v>209</v>
      </c>
      <c r="CI2193" s="1" t="s">
        <v>210</v>
      </c>
      <c r="CK2193" s="1" t="s">
        <v>497</v>
      </c>
      <c r="CL2193" s="1" t="s">
        <v>209</v>
      </c>
      <c r="CM2193" s="1" t="s">
        <v>210</v>
      </c>
      <c r="CO2193" s="1" t="s">
        <v>516</v>
      </c>
      <c r="CP2193" s="1" t="s">
        <v>209</v>
      </c>
      <c r="CQ2193" s="1" t="s">
        <v>210</v>
      </c>
      <c r="CS2193" s="1" t="s">
        <v>1158</v>
      </c>
      <c r="CT2193" s="1" t="s">
        <v>206</v>
      </c>
      <c r="CU2193" s="1" t="s">
        <v>617</v>
      </c>
      <c r="CX2193" s="1" t="s">
        <v>204</v>
      </c>
      <c r="DA2193" s="1" t="s">
        <v>200</v>
      </c>
      <c r="DC2193" s="1" t="s">
        <v>517</v>
      </c>
      <c r="DD2193" s="1" t="s">
        <v>518</v>
      </c>
      <c r="DE2193" s="1" t="s">
        <v>229</v>
      </c>
      <c r="DF2193" s="1" t="s">
        <v>219</v>
      </c>
      <c r="DG2193" s="1" t="s">
        <v>1553</v>
      </c>
      <c r="DH2193" s="1" t="s">
        <v>856</v>
      </c>
      <c r="DJ2193" s="1" t="s">
        <v>857</v>
      </c>
      <c r="DL2193" s="1" t="s">
        <v>223</v>
      </c>
      <c r="DM2193" s="1" t="s">
        <v>338</v>
      </c>
      <c r="DP2193" s="1" t="s">
        <v>340</v>
      </c>
      <c r="DQ2193" s="1" t="s">
        <v>931</v>
      </c>
      <c r="DR2193" s="1" t="s">
        <v>229</v>
      </c>
      <c r="DV2193" s="1" t="s">
        <v>232</v>
      </c>
      <c r="DW2193" s="1" t="s">
        <v>667</v>
      </c>
      <c r="DX2193" s="1" t="s">
        <v>309</v>
      </c>
      <c r="EA2193" s="1" t="s">
        <v>447</v>
      </c>
      <c r="EC2193" s="1" t="s">
        <v>237</v>
      </c>
      <c r="EM2193" s="1" t="s">
        <v>238</v>
      </c>
      <c r="EQ2193" s="1" t="s">
        <v>238</v>
      </c>
      <c r="EU2193" s="1" t="s">
        <v>238</v>
      </c>
      <c r="EY2193" s="1" t="s">
        <v>238</v>
      </c>
      <c r="FC2193" s="1" t="s">
        <v>238</v>
      </c>
      <c r="FF2193" s="1" t="s">
        <v>239</v>
      </c>
      <c r="FG2193" s="1" t="s">
        <v>192</v>
      </c>
      <c r="FH2193" s="1" t="s">
        <v>192</v>
      </c>
      <c r="FJ2193" s="1" t="s">
        <v>1248</v>
      </c>
      <c r="FK2193" s="1" t="s">
        <v>229</v>
      </c>
      <c r="FL2193" s="1" t="s">
        <v>20445</v>
      </c>
      <c r="FM2193" s="1">
        <v>31500.0</v>
      </c>
      <c r="FN2193" s="1" t="s">
        <v>20446</v>
      </c>
      <c r="FO2193" s="1" t="s">
        <v>20447</v>
      </c>
      <c r="FP2193" s="1">
        <v>315000.0</v>
      </c>
      <c r="FQ2193" s="1" t="s">
        <v>20448</v>
      </c>
      <c r="FU2193" s="1" t="s">
        <v>10443</v>
      </c>
      <c r="FV2193" s="1" t="s">
        <v>200</v>
      </c>
      <c r="FW2193" s="1" t="s">
        <v>530</v>
      </c>
      <c r="FZ2193" s="1" t="s">
        <v>229</v>
      </c>
      <c r="GA2193" s="1" t="s">
        <v>291</v>
      </c>
      <c r="GB2193" s="2">
        <v>41984.0</v>
      </c>
      <c r="GC2193" s="1" t="s">
        <v>20449</v>
      </c>
    </row>
    <row r="2194">
      <c r="A2194" s="1">
        <v>360000.0</v>
      </c>
      <c r="B2194" s="1" t="s">
        <v>185</v>
      </c>
      <c r="C2194" s="1" t="str">
        <f>"08738986"</f>
        <v>08738986</v>
      </c>
      <c r="D2194" s="1" t="s">
        <v>186</v>
      </c>
      <c r="F2194" s="1" t="str">
        <f>"136"</f>
        <v>136</v>
      </c>
      <c r="G2194" s="2">
        <v>41908.0</v>
      </c>
      <c r="H2194" s="1">
        <v>374900.0</v>
      </c>
      <c r="I2194" s="1">
        <v>54.0</v>
      </c>
      <c r="J2194" s="1">
        <v>374900.0</v>
      </c>
      <c r="K2194" s="2">
        <v>41959.0</v>
      </c>
      <c r="L2194" s="1">
        <v>54.0</v>
      </c>
      <c r="M2194" s="2">
        <v>41959.0</v>
      </c>
      <c r="N2194" s="1" t="s">
        <v>187</v>
      </c>
      <c r="O2194" s="2">
        <v>41978.0</v>
      </c>
      <c r="P2194" s="1">
        <v>81614.0</v>
      </c>
      <c r="Q2194" s="1">
        <v>8012.0</v>
      </c>
      <c r="R2194" s="1">
        <v>3500.0</v>
      </c>
      <c r="S2194" s="1">
        <v>276.0</v>
      </c>
      <c r="T2194" s="1" t="s">
        <v>5031</v>
      </c>
      <c r="U2194" s="1" t="s">
        <v>1442</v>
      </c>
      <c r="V2194" s="1" t="s">
        <v>5032</v>
      </c>
      <c r="W2194" s="1">
        <v>60136.0</v>
      </c>
      <c r="Y2194" s="1" t="s">
        <v>20081</v>
      </c>
      <c r="Z2194" s="1">
        <v>2006.0</v>
      </c>
      <c r="AA2194" s="1" t="s">
        <v>200</v>
      </c>
      <c r="AB2194" s="1" t="s">
        <v>193</v>
      </c>
      <c r="AC2194" s="1" t="s">
        <v>5034</v>
      </c>
      <c r="AD2194" s="1" t="s">
        <v>5035</v>
      </c>
      <c r="AE2194" s="1" t="s">
        <v>325</v>
      </c>
      <c r="AF2194" s="1" t="s">
        <v>3429</v>
      </c>
      <c r="AG2194" s="1" t="s">
        <v>7246</v>
      </c>
      <c r="AH2194" s="1" t="s">
        <v>20082</v>
      </c>
      <c r="AI2194" s="1">
        <v>0.22</v>
      </c>
      <c r="AK2194" s="1">
        <v>11.0</v>
      </c>
      <c r="AL2194" s="1">
        <v>4.0</v>
      </c>
      <c r="AM2194" s="1">
        <v>2.0</v>
      </c>
      <c r="AN2194" s="1">
        <v>1.0</v>
      </c>
      <c r="AO2194" s="1" t="s">
        <v>198</v>
      </c>
      <c r="AP2194" s="1">
        <v>1.0</v>
      </c>
      <c r="AQ2194" s="1" t="s">
        <v>472</v>
      </c>
      <c r="AR2194" s="1" t="s">
        <v>200</v>
      </c>
      <c r="AS2194" s="1" t="s">
        <v>199</v>
      </c>
      <c r="AT2194" s="1">
        <v>3.0</v>
      </c>
      <c r="AV2194" s="1" t="s">
        <v>192</v>
      </c>
      <c r="AW2194" s="1">
        <v>1759.68</v>
      </c>
      <c r="AX2194" s="1">
        <v>2013.0</v>
      </c>
      <c r="AY2194" s="1" t="s">
        <v>229</v>
      </c>
      <c r="AZ2194" s="1" t="s">
        <v>200</v>
      </c>
      <c r="BA2194" s="1" t="str">
        <f>"0224177010"</f>
        <v>0224177010</v>
      </c>
      <c r="BC2194" s="1">
        <v>3125.0</v>
      </c>
      <c r="BD2194" s="1">
        <v>360000.0</v>
      </c>
      <c r="BE2194" s="2">
        <v>41906.0</v>
      </c>
      <c r="BF2194" s="2" t="s">
        <v>20450</v>
      </c>
      <c r="BG2194" s="1" t="s">
        <v>5039</v>
      </c>
      <c r="BH2194" s="1">
        <v>29.0</v>
      </c>
      <c r="BI2194" s="1" t="s">
        <v>5040</v>
      </c>
      <c r="BJ2194" s="1" t="s">
        <v>1182</v>
      </c>
      <c r="BK2194" s="1" t="s">
        <v>474</v>
      </c>
      <c r="BL2194" s="1" t="str">
        <f t="shared" ref="BL2194:BM2194" si="1434">""</f>
        <v/>
      </c>
      <c r="BM2194" s="1" t="str">
        <f t="shared" si="1434"/>
        <v/>
      </c>
      <c r="BQ2194" s="1">
        <v>300.0</v>
      </c>
      <c r="BR2194" s="1">
        <v>300.0</v>
      </c>
      <c r="BS2194" s="1">
        <v>300.0</v>
      </c>
      <c r="BU2194" s="1" t="s">
        <v>215</v>
      </c>
      <c r="BV2194" s="1" t="s">
        <v>206</v>
      </c>
      <c r="BW2194" s="1" t="s">
        <v>210</v>
      </c>
      <c r="BY2194" s="1" t="s">
        <v>334</v>
      </c>
      <c r="BZ2194" s="1" t="s">
        <v>209</v>
      </c>
      <c r="CA2194" s="1" t="s">
        <v>210</v>
      </c>
      <c r="CC2194" s="1" t="s">
        <v>363</v>
      </c>
      <c r="CD2194" s="1" t="s">
        <v>206</v>
      </c>
      <c r="CE2194" s="1" t="s">
        <v>210</v>
      </c>
      <c r="CG2194" s="1" t="s">
        <v>212</v>
      </c>
      <c r="CH2194" s="1" t="s">
        <v>209</v>
      </c>
      <c r="CI2194" s="1" t="s">
        <v>210</v>
      </c>
      <c r="CK2194" s="1" t="s">
        <v>331</v>
      </c>
      <c r="CL2194" s="1" t="s">
        <v>209</v>
      </c>
      <c r="CM2194" s="1" t="s">
        <v>210</v>
      </c>
      <c r="CO2194" s="1" t="s">
        <v>264</v>
      </c>
      <c r="CP2194" s="1" t="s">
        <v>209</v>
      </c>
      <c r="CQ2194" s="1" t="s">
        <v>210</v>
      </c>
      <c r="CS2194" s="1" t="s">
        <v>784</v>
      </c>
      <c r="CT2194" s="1" t="s">
        <v>206</v>
      </c>
      <c r="CU2194" s="1" t="s">
        <v>207</v>
      </c>
      <c r="CW2194" s="1" t="s">
        <v>334</v>
      </c>
      <c r="CX2194" s="1" t="s">
        <v>206</v>
      </c>
      <c r="CY2194" s="1" t="s">
        <v>207</v>
      </c>
      <c r="DA2194" s="1" t="s">
        <v>200</v>
      </c>
      <c r="DC2194" s="1" t="s">
        <v>481</v>
      </c>
      <c r="DD2194" s="1" t="s">
        <v>1838</v>
      </c>
      <c r="DE2194" s="1" t="s">
        <v>273</v>
      </c>
      <c r="DF2194" s="1" t="s">
        <v>219</v>
      </c>
      <c r="DG2194" s="1" t="s">
        <v>1020</v>
      </c>
      <c r="DH2194" s="1" t="s">
        <v>220</v>
      </c>
      <c r="DI2194" s="1" t="s">
        <v>366</v>
      </c>
      <c r="DJ2194" s="1" t="s">
        <v>222</v>
      </c>
      <c r="DL2194" s="1" t="s">
        <v>223</v>
      </c>
      <c r="DM2194" s="1" t="s">
        <v>1022</v>
      </c>
      <c r="DN2194" s="1" t="s">
        <v>1023</v>
      </c>
      <c r="DO2194" s="1" t="s">
        <v>5041</v>
      </c>
      <c r="DP2194" s="1" t="s">
        <v>340</v>
      </c>
      <c r="DQ2194" s="1" t="s">
        <v>228</v>
      </c>
      <c r="DR2194" s="1" t="s">
        <v>588</v>
      </c>
      <c r="DS2194" s="1" t="s">
        <v>368</v>
      </c>
      <c r="DU2194" s="1" t="s">
        <v>1024</v>
      </c>
      <c r="DV2194" s="1" t="s">
        <v>3690</v>
      </c>
      <c r="DW2194" s="1" t="s">
        <v>444</v>
      </c>
      <c r="DX2194" s="1" t="s">
        <v>234</v>
      </c>
      <c r="DY2194" s="1" t="s">
        <v>704</v>
      </c>
      <c r="DZ2194" s="1" t="s">
        <v>236</v>
      </c>
      <c r="EA2194" s="1" t="s">
        <v>344</v>
      </c>
      <c r="EB2194" s="1" t="s">
        <v>345</v>
      </c>
      <c r="EC2194" s="1" t="s">
        <v>237</v>
      </c>
      <c r="EG2194" s="1" t="s">
        <v>494</v>
      </c>
      <c r="EH2194" s="1" t="s">
        <v>341</v>
      </c>
      <c r="EI2194" s="1" t="s">
        <v>556</v>
      </c>
      <c r="EK2194" s="1" t="s">
        <v>408</v>
      </c>
      <c r="EL2194" s="1" t="s">
        <v>269</v>
      </c>
      <c r="EM2194" s="1" t="s">
        <v>206</v>
      </c>
      <c r="EN2194" s="1" t="s">
        <v>210</v>
      </c>
      <c r="EP2194" s="1" t="s">
        <v>433</v>
      </c>
      <c r="EQ2194" s="1" t="s">
        <v>209</v>
      </c>
      <c r="ER2194" s="1" t="s">
        <v>210</v>
      </c>
      <c r="ET2194" s="1" t="s">
        <v>2461</v>
      </c>
      <c r="EU2194" s="1" t="s">
        <v>206</v>
      </c>
      <c r="EV2194" s="1" t="s">
        <v>207</v>
      </c>
      <c r="EY2194" s="1" t="s">
        <v>238</v>
      </c>
      <c r="FB2194" s="1" t="s">
        <v>20451</v>
      </c>
      <c r="FC2194" s="1" t="s">
        <v>206</v>
      </c>
      <c r="FD2194" s="1" t="s">
        <v>207</v>
      </c>
      <c r="FF2194" s="1" t="s">
        <v>239</v>
      </c>
      <c r="FG2194" s="1" t="s">
        <v>192</v>
      </c>
      <c r="FH2194" s="1" t="s">
        <v>192</v>
      </c>
      <c r="FJ2194" s="1" t="s">
        <v>20452</v>
      </c>
      <c r="FK2194" s="1" t="s">
        <v>557</v>
      </c>
      <c r="FL2194" s="1" t="s">
        <v>1031</v>
      </c>
      <c r="FM2194" s="1">
        <v>222.0</v>
      </c>
      <c r="FN2194" s="1" t="s">
        <v>1032</v>
      </c>
      <c r="FO2194" s="1" t="s">
        <v>1033</v>
      </c>
      <c r="FP2194" s="1">
        <v>1305.0</v>
      </c>
      <c r="FQ2194" s="1" t="s">
        <v>1034</v>
      </c>
      <c r="FR2194" s="1">
        <v>70398.0</v>
      </c>
      <c r="FT2194" s="1" t="s">
        <v>1035</v>
      </c>
      <c r="FU2194" s="1" t="s">
        <v>20085</v>
      </c>
      <c r="FV2194" s="1" t="s">
        <v>200</v>
      </c>
      <c r="FW2194" s="1" t="s">
        <v>1037</v>
      </c>
      <c r="FZ2194" s="1" t="s">
        <v>229</v>
      </c>
      <c r="GA2194" s="1" t="s">
        <v>291</v>
      </c>
      <c r="GB2194" s="2">
        <v>41981.0</v>
      </c>
      <c r="GC2194" s="1" t="s">
        <v>20086</v>
      </c>
    </row>
    <row r="2195">
      <c r="A2195" s="1">
        <v>387500.0</v>
      </c>
      <c r="B2195" s="1" t="s">
        <v>185</v>
      </c>
      <c r="C2195" s="1" t="str">
        <f>"08739905"</f>
        <v>08739905</v>
      </c>
      <c r="D2195" s="1" t="s">
        <v>186</v>
      </c>
      <c r="F2195" s="1" t="str">
        <f>"8017"</f>
        <v>8017</v>
      </c>
      <c r="G2195" s="2">
        <v>41911.0</v>
      </c>
      <c r="H2195" s="1">
        <v>419000.0</v>
      </c>
      <c r="I2195" s="1">
        <v>81.0</v>
      </c>
      <c r="J2195" s="1">
        <v>399900.0</v>
      </c>
      <c r="K2195" s="2">
        <v>41947.0</v>
      </c>
      <c r="L2195" s="1">
        <v>37.0</v>
      </c>
      <c r="M2195" s="2">
        <v>41947.0</v>
      </c>
      <c r="N2195" s="1" t="s">
        <v>187</v>
      </c>
      <c r="O2195" s="2">
        <v>41976.0</v>
      </c>
      <c r="P2195" s="1">
        <v>106895.0</v>
      </c>
      <c r="Q2195" s="1">
        <v>85477.0</v>
      </c>
      <c r="S2195" s="1">
        <v>3837.0</v>
      </c>
      <c r="T2195" s="1" t="s">
        <v>14608</v>
      </c>
      <c r="U2195" s="1" t="s">
        <v>189</v>
      </c>
      <c r="V2195" s="1" t="s">
        <v>190</v>
      </c>
      <c r="W2195" s="1">
        <v>60634.0</v>
      </c>
      <c r="Y2195" s="1" t="s">
        <v>20453</v>
      </c>
      <c r="Z2195" s="1">
        <v>1925.0</v>
      </c>
      <c r="AA2195" s="1" t="s">
        <v>192</v>
      </c>
      <c r="AB2195" s="1" t="s">
        <v>193</v>
      </c>
      <c r="AD2195" s="1" t="s">
        <v>194</v>
      </c>
      <c r="AE2195" s="1" t="s">
        <v>195</v>
      </c>
      <c r="AF2195" s="1" t="s">
        <v>2645</v>
      </c>
      <c r="AH2195" s="1" t="s">
        <v>1501</v>
      </c>
      <c r="AI2195" s="1">
        <v>0.0854</v>
      </c>
      <c r="AK2195" s="1">
        <v>8.0</v>
      </c>
      <c r="AL2195" s="1">
        <v>3.0</v>
      </c>
      <c r="AM2195" s="1">
        <v>3.0</v>
      </c>
      <c r="AN2195" s="1">
        <v>0.0</v>
      </c>
      <c r="AO2195" s="1" t="s">
        <v>198</v>
      </c>
      <c r="AQ2195" s="1" t="s">
        <v>198</v>
      </c>
      <c r="AR2195" s="1" t="s">
        <v>200</v>
      </c>
      <c r="AS2195" s="1" t="s">
        <v>199</v>
      </c>
      <c r="AT2195" s="1">
        <v>2.5</v>
      </c>
      <c r="AV2195" s="1" t="s">
        <v>200</v>
      </c>
      <c r="AW2195" s="1">
        <v>3033.18</v>
      </c>
      <c r="AX2195" s="1">
        <v>2012.0</v>
      </c>
      <c r="AY2195" s="1" t="s">
        <v>387</v>
      </c>
      <c r="AZ2195" s="1" t="s">
        <v>200</v>
      </c>
      <c r="BA2195" s="1" t="str">
        <f>"13191170080000"</f>
        <v>13191170080000</v>
      </c>
      <c r="BC2195" s="1">
        <v>0.0</v>
      </c>
      <c r="BD2195" s="1">
        <v>387500.0</v>
      </c>
      <c r="BE2195" s="2">
        <v>41911.0</v>
      </c>
      <c r="BF2195" s="2" t="s">
        <v>20454</v>
      </c>
      <c r="BH2195" s="1">
        <v>0.0</v>
      </c>
      <c r="BK2195" s="1" t="s">
        <v>204</v>
      </c>
      <c r="BL2195" s="1" t="str">
        <f>"3837"</f>
        <v>3837</v>
      </c>
      <c r="BM2195" s="1" t="str">
        <f>"0"</f>
        <v>0</v>
      </c>
      <c r="BN2195" s="1">
        <v>6700.0</v>
      </c>
      <c r="BO2195" s="1">
        <v>0.0</v>
      </c>
      <c r="BQ2195" s="1">
        <v>299.0</v>
      </c>
      <c r="BR2195" s="1">
        <v>299.0</v>
      </c>
      <c r="BS2195" s="1">
        <v>299.0</v>
      </c>
      <c r="BU2195" s="1" t="s">
        <v>1395</v>
      </c>
      <c r="BV2195" s="1" t="s">
        <v>206</v>
      </c>
      <c r="BW2195" s="1" t="s">
        <v>207</v>
      </c>
      <c r="BY2195" s="1" t="s">
        <v>582</v>
      </c>
      <c r="BZ2195" s="1" t="s">
        <v>209</v>
      </c>
      <c r="CA2195" s="1" t="s">
        <v>207</v>
      </c>
      <c r="CC2195" s="1" t="s">
        <v>363</v>
      </c>
      <c r="CD2195" s="1" t="s">
        <v>206</v>
      </c>
      <c r="CE2195" s="1" t="s">
        <v>207</v>
      </c>
      <c r="CG2195" s="1" t="s">
        <v>647</v>
      </c>
      <c r="CH2195" s="1" t="s">
        <v>209</v>
      </c>
      <c r="CI2195" s="1" t="s">
        <v>207</v>
      </c>
      <c r="CK2195" s="1" t="s">
        <v>663</v>
      </c>
      <c r="CL2195" s="1" t="s">
        <v>206</v>
      </c>
      <c r="CM2195" s="1" t="s">
        <v>207</v>
      </c>
      <c r="CO2195" s="1" t="s">
        <v>269</v>
      </c>
      <c r="CP2195" s="1" t="s">
        <v>42</v>
      </c>
      <c r="CQ2195" s="1" t="s">
        <v>210</v>
      </c>
      <c r="CS2195" s="1" t="s">
        <v>1875</v>
      </c>
      <c r="CT2195" s="1" t="s">
        <v>206</v>
      </c>
      <c r="CU2195" s="1" t="s">
        <v>207</v>
      </c>
      <c r="CW2195" s="1" t="s">
        <v>9052</v>
      </c>
      <c r="CX2195" s="1" t="s">
        <v>42</v>
      </c>
      <c r="CY2195" s="1" t="s">
        <v>207</v>
      </c>
      <c r="DA2195" s="1" t="s">
        <v>200</v>
      </c>
      <c r="DC2195" s="1" t="s">
        <v>785</v>
      </c>
      <c r="DD2195" s="1" t="s">
        <v>436</v>
      </c>
      <c r="DE2195" s="1" t="s">
        <v>273</v>
      </c>
      <c r="DF2195" s="1" t="s">
        <v>619</v>
      </c>
      <c r="DH2195" s="1" t="s">
        <v>365</v>
      </c>
      <c r="DI2195" s="1" t="s">
        <v>703</v>
      </c>
      <c r="DJ2195" s="1" t="s">
        <v>222</v>
      </c>
      <c r="DL2195" s="1" t="s">
        <v>224</v>
      </c>
      <c r="DM2195" s="1" t="s">
        <v>225</v>
      </c>
      <c r="DO2195" s="1" t="s">
        <v>549</v>
      </c>
      <c r="DP2195" s="1" t="s">
        <v>340</v>
      </c>
      <c r="DQ2195" s="1" t="s">
        <v>228</v>
      </c>
      <c r="DR2195" s="1" t="s">
        <v>229</v>
      </c>
      <c r="DS2195" s="1" t="s">
        <v>230</v>
      </c>
      <c r="DV2195" s="1" t="s">
        <v>232</v>
      </c>
      <c r="DW2195" s="1" t="s">
        <v>279</v>
      </c>
      <c r="DX2195" s="1" t="s">
        <v>234</v>
      </c>
      <c r="DZ2195" s="1" t="s">
        <v>310</v>
      </c>
      <c r="EA2195" s="1" t="s">
        <v>644</v>
      </c>
      <c r="EC2195" s="1" t="s">
        <v>237</v>
      </c>
      <c r="ED2195" s="1" t="s">
        <v>555</v>
      </c>
      <c r="EM2195" s="1" t="s">
        <v>238</v>
      </c>
      <c r="EQ2195" s="1" t="s">
        <v>238</v>
      </c>
      <c r="EU2195" s="1" t="s">
        <v>238</v>
      </c>
      <c r="EY2195" s="1" t="s">
        <v>238</v>
      </c>
      <c r="FC2195" s="1" t="s">
        <v>238</v>
      </c>
      <c r="FF2195" s="1" t="s">
        <v>239</v>
      </c>
      <c r="FG2195" s="1" t="s">
        <v>192</v>
      </c>
      <c r="FH2195" s="1" t="s">
        <v>192</v>
      </c>
      <c r="FJ2195" s="1" t="s">
        <v>20455</v>
      </c>
      <c r="FK2195" s="1" t="s">
        <v>229</v>
      </c>
      <c r="FL2195" s="1" t="s">
        <v>3807</v>
      </c>
      <c r="FM2195" s="1">
        <v>12664.0</v>
      </c>
      <c r="FN2195" s="1" t="s">
        <v>3808</v>
      </c>
      <c r="FO2195" s="1" t="s">
        <v>3809</v>
      </c>
      <c r="FP2195" s="1">
        <v>113821.0</v>
      </c>
      <c r="FQ2195" s="1" t="s">
        <v>3810</v>
      </c>
      <c r="FU2195" s="1" t="s">
        <v>20456</v>
      </c>
      <c r="FV2195" s="1" t="s">
        <v>200</v>
      </c>
      <c r="FW2195" s="1" t="s">
        <v>290</v>
      </c>
      <c r="FX2195" s="1" t="s">
        <v>238</v>
      </c>
      <c r="FZ2195" s="1" t="s">
        <v>229</v>
      </c>
      <c r="GA2195" s="1" t="s">
        <v>291</v>
      </c>
      <c r="GB2195" s="2">
        <v>41977.0</v>
      </c>
      <c r="GC2195" s="1" t="s">
        <v>20457</v>
      </c>
    </row>
    <row r="2196">
      <c r="A2196" s="1">
        <v>167346.0</v>
      </c>
      <c r="B2196" s="1" t="s">
        <v>185</v>
      </c>
      <c r="C2196" s="1" t="str">
        <f>"08740007"</f>
        <v>08740007</v>
      </c>
      <c r="D2196" s="1" t="s">
        <v>186</v>
      </c>
      <c r="F2196" s="1" t="str">
        <f>"8073"</f>
        <v>8073</v>
      </c>
      <c r="G2196" s="2">
        <v>41911.0</v>
      </c>
      <c r="H2196" s="1">
        <v>169900.0</v>
      </c>
      <c r="I2196" s="1">
        <v>34.0</v>
      </c>
      <c r="J2196" s="1">
        <v>169900.0</v>
      </c>
      <c r="K2196" s="2">
        <v>41943.0</v>
      </c>
      <c r="L2196" s="1">
        <v>34.0</v>
      </c>
      <c r="M2196" s="2">
        <v>41943.0</v>
      </c>
      <c r="N2196" s="1" t="s">
        <v>187</v>
      </c>
      <c r="O2196" s="2">
        <v>42018.0</v>
      </c>
      <c r="P2196" s="1">
        <v>243589.0</v>
      </c>
      <c r="Q2196" s="1">
        <v>24073.0</v>
      </c>
      <c r="R2196" s="1">
        <v>2.0</v>
      </c>
      <c r="S2196" s="1">
        <v>9007.0</v>
      </c>
      <c r="T2196" s="1" t="s">
        <v>4188</v>
      </c>
      <c r="U2196" s="1" t="s">
        <v>320</v>
      </c>
      <c r="V2196" s="1" t="s">
        <v>190</v>
      </c>
      <c r="W2196" s="1">
        <v>60620.0</v>
      </c>
      <c r="Y2196" s="1" t="s">
        <v>20458</v>
      </c>
      <c r="Z2196" s="1">
        <v>1948.0</v>
      </c>
      <c r="AA2196" s="1" t="s">
        <v>192</v>
      </c>
      <c r="AB2196" s="1" t="s">
        <v>193</v>
      </c>
      <c r="AD2196" s="1" t="s">
        <v>194</v>
      </c>
      <c r="AE2196" s="1" t="s">
        <v>195</v>
      </c>
      <c r="AF2196" s="1" t="s">
        <v>659</v>
      </c>
      <c r="AH2196" s="1">
        <v>4158.0</v>
      </c>
      <c r="AI2196" s="1">
        <v>0.0955</v>
      </c>
      <c r="AK2196" s="1">
        <v>8.0</v>
      </c>
      <c r="AL2196" s="1">
        <v>3.0</v>
      </c>
      <c r="AM2196" s="1">
        <v>3.0</v>
      </c>
      <c r="AN2196" s="1">
        <v>0.0</v>
      </c>
      <c r="AO2196" s="1" t="s">
        <v>229</v>
      </c>
      <c r="AQ2196" s="1" t="s">
        <v>198</v>
      </c>
      <c r="AR2196" s="1" t="s">
        <v>192</v>
      </c>
      <c r="AS2196" s="1" t="s">
        <v>199</v>
      </c>
      <c r="AT2196" s="1">
        <v>2.0</v>
      </c>
      <c r="AV2196" s="1" t="s">
        <v>200</v>
      </c>
      <c r="AW2196" s="1">
        <v>2429.65</v>
      </c>
      <c r="AX2196" s="1">
        <v>2012.0</v>
      </c>
      <c r="AZ2196" s="1" t="s">
        <v>200</v>
      </c>
      <c r="BA2196" s="1" t="str">
        <f>"25052270480000"</f>
        <v>25052270480000</v>
      </c>
      <c r="BC2196" s="1">
        <v>1543.0</v>
      </c>
      <c r="BD2196" s="1">
        <v>167346.0</v>
      </c>
      <c r="BE2196" s="2">
        <v>41910.0</v>
      </c>
      <c r="BF2196" s="2" t="s">
        <v>20459</v>
      </c>
      <c r="BH2196" s="1">
        <v>0.0</v>
      </c>
      <c r="BK2196" s="1" t="s">
        <v>204</v>
      </c>
      <c r="BL2196" s="1" t="str">
        <f t="shared" ref="BL2196:BM2196" si="1435">"0"</f>
        <v>0</v>
      </c>
      <c r="BM2196" s="1" t="str">
        <f t="shared" si="1435"/>
        <v>0</v>
      </c>
      <c r="BN2196" s="1">
        <v>1132.0</v>
      </c>
      <c r="BO2196" s="1">
        <v>9417.0</v>
      </c>
      <c r="BQ2196" s="1">
        <v>299.0</v>
      </c>
      <c r="BR2196" s="1">
        <v>299.0</v>
      </c>
      <c r="BS2196" s="1">
        <v>299.0</v>
      </c>
      <c r="BU2196" s="1" t="s">
        <v>541</v>
      </c>
      <c r="BV2196" s="1" t="s">
        <v>206</v>
      </c>
      <c r="BW2196" s="1" t="s">
        <v>207</v>
      </c>
      <c r="BY2196" s="1" t="s">
        <v>212</v>
      </c>
      <c r="BZ2196" s="1" t="s">
        <v>206</v>
      </c>
      <c r="CA2196" s="1" t="s">
        <v>207</v>
      </c>
      <c r="CC2196" s="1" t="s">
        <v>329</v>
      </c>
      <c r="CD2196" s="1" t="s">
        <v>206</v>
      </c>
      <c r="CE2196" s="1" t="s">
        <v>207</v>
      </c>
      <c r="CG2196" s="1" t="s">
        <v>262</v>
      </c>
      <c r="CH2196" s="1" t="s">
        <v>209</v>
      </c>
      <c r="CI2196" s="1" t="s">
        <v>210</v>
      </c>
      <c r="CK2196" s="1" t="s">
        <v>329</v>
      </c>
      <c r="CL2196" s="1" t="s">
        <v>209</v>
      </c>
      <c r="CM2196" s="1" t="s">
        <v>210</v>
      </c>
      <c r="CO2196" s="1" t="s">
        <v>3375</v>
      </c>
      <c r="CP2196" s="1" t="s">
        <v>42</v>
      </c>
      <c r="CQ2196" s="1" t="s">
        <v>268</v>
      </c>
      <c r="CS2196" s="1" t="s">
        <v>266</v>
      </c>
      <c r="CT2196" s="1" t="s">
        <v>206</v>
      </c>
      <c r="CU2196" s="1" t="s">
        <v>207</v>
      </c>
      <c r="CW2196" s="1" t="s">
        <v>1503</v>
      </c>
      <c r="CX2196" s="1" t="s">
        <v>42</v>
      </c>
      <c r="CY2196" s="1" t="s">
        <v>268</v>
      </c>
      <c r="DA2196" s="1" t="s">
        <v>200</v>
      </c>
      <c r="DC2196" s="1" t="s">
        <v>702</v>
      </c>
      <c r="DE2196" s="1" t="s">
        <v>273</v>
      </c>
      <c r="DF2196" s="1" t="s">
        <v>219</v>
      </c>
      <c r="DH2196" s="1" t="s">
        <v>365</v>
      </c>
      <c r="DI2196" s="1" t="s">
        <v>366</v>
      </c>
      <c r="DJ2196" s="1" t="s">
        <v>222</v>
      </c>
      <c r="DL2196" s="1" t="s">
        <v>224</v>
      </c>
      <c r="DM2196" s="1" t="s">
        <v>229</v>
      </c>
      <c r="DQ2196" s="1" t="s">
        <v>228</v>
      </c>
      <c r="DR2196" s="1" t="s">
        <v>229</v>
      </c>
      <c r="DV2196" s="1" t="s">
        <v>232</v>
      </c>
      <c r="DW2196" s="1" t="s">
        <v>279</v>
      </c>
      <c r="DX2196" s="1" t="s">
        <v>234</v>
      </c>
      <c r="DY2196" s="1" t="s">
        <v>553</v>
      </c>
      <c r="EC2196" s="1" t="s">
        <v>645</v>
      </c>
      <c r="EE2196" s="1" t="s">
        <v>493</v>
      </c>
      <c r="EM2196" s="1" t="s">
        <v>238</v>
      </c>
      <c r="EQ2196" s="1" t="s">
        <v>238</v>
      </c>
      <c r="EU2196" s="1" t="s">
        <v>238</v>
      </c>
      <c r="EY2196" s="1" t="s">
        <v>238</v>
      </c>
      <c r="FC2196" s="1" t="s">
        <v>238</v>
      </c>
      <c r="FF2196" s="1" t="s">
        <v>239</v>
      </c>
      <c r="FG2196" s="1" t="s">
        <v>192</v>
      </c>
      <c r="FH2196" s="1" t="s">
        <v>192</v>
      </c>
      <c r="FJ2196" s="1" t="s">
        <v>648</v>
      </c>
      <c r="FK2196" s="1" t="s">
        <v>229</v>
      </c>
      <c r="FL2196" s="1" t="s">
        <v>649</v>
      </c>
      <c r="FM2196" s="1">
        <v>60296.0</v>
      </c>
      <c r="FN2196" s="1" t="s">
        <v>650</v>
      </c>
      <c r="FO2196" s="1" t="s">
        <v>651</v>
      </c>
      <c r="FP2196" s="1">
        <v>602837.0</v>
      </c>
      <c r="FQ2196" s="1" t="s">
        <v>652</v>
      </c>
      <c r="FR2196" s="1">
        <v>602442.0</v>
      </c>
      <c r="FU2196" s="1" t="s">
        <v>653</v>
      </c>
      <c r="FV2196" s="1" t="s">
        <v>200</v>
      </c>
      <c r="FW2196" s="1" t="s">
        <v>654</v>
      </c>
      <c r="FX2196" s="1" t="s">
        <v>655</v>
      </c>
      <c r="FZ2196" s="1" t="s">
        <v>229</v>
      </c>
      <c r="GA2196" s="1" t="s">
        <v>291</v>
      </c>
      <c r="GB2196" s="2">
        <v>42020.0</v>
      </c>
      <c r="GC2196" s="1" t="s">
        <v>1372</v>
      </c>
    </row>
    <row r="2197">
      <c r="A2197" s="1">
        <v>102000.0</v>
      </c>
      <c r="B2197" s="1" t="s">
        <v>185</v>
      </c>
      <c r="C2197" s="1" t="str">
        <f>"08742111"</f>
        <v>08742111</v>
      </c>
      <c r="D2197" s="1" t="s">
        <v>186</v>
      </c>
      <c r="F2197" s="1" t="str">
        <f>"8066"</f>
        <v>8066</v>
      </c>
      <c r="G2197" s="2">
        <v>41913.0</v>
      </c>
      <c r="H2197" s="1">
        <v>104999.0</v>
      </c>
      <c r="I2197" s="1">
        <v>1207.0</v>
      </c>
      <c r="J2197" s="1">
        <v>101900.0</v>
      </c>
      <c r="K2197" s="2">
        <v>41925.0</v>
      </c>
      <c r="L2197" s="1">
        <v>14.0</v>
      </c>
      <c r="M2197" s="2">
        <v>41925.0</v>
      </c>
      <c r="N2197" s="1" t="s">
        <v>187</v>
      </c>
      <c r="O2197" s="2">
        <v>41984.0</v>
      </c>
      <c r="P2197" s="1">
        <v>409737.0</v>
      </c>
      <c r="Q2197" s="1">
        <v>40335.0</v>
      </c>
      <c r="S2197" s="1">
        <v>3521.0</v>
      </c>
      <c r="T2197" s="1" t="s">
        <v>16119</v>
      </c>
      <c r="U2197" s="1" t="s">
        <v>320</v>
      </c>
      <c r="V2197" s="1" t="s">
        <v>190</v>
      </c>
      <c r="W2197" s="1">
        <v>60629.0</v>
      </c>
      <c r="Y2197" s="1" t="s">
        <v>20460</v>
      </c>
      <c r="Z2197" s="1">
        <v>1918.0</v>
      </c>
      <c r="AA2197" s="1" t="s">
        <v>192</v>
      </c>
      <c r="AB2197" s="1" t="s">
        <v>193</v>
      </c>
      <c r="AD2197" s="1" t="s">
        <v>194</v>
      </c>
      <c r="AE2197" s="1" t="s">
        <v>195</v>
      </c>
      <c r="AF2197" s="1" t="s">
        <v>659</v>
      </c>
      <c r="AH2197" s="1" t="s">
        <v>359</v>
      </c>
      <c r="AI2197" s="1">
        <v>0.0712</v>
      </c>
      <c r="AK2197" s="1">
        <v>6.0</v>
      </c>
      <c r="AL2197" s="1">
        <v>4.0</v>
      </c>
      <c r="AM2197" s="1">
        <v>2.0</v>
      </c>
      <c r="AN2197" s="1">
        <v>0.0</v>
      </c>
      <c r="AO2197" s="1" t="s">
        <v>229</v>
      </c>
      <c r="AQ2197" s="1" t="s">
        <v>198</v>
      </c>
      <c r="AR2197" s="1" t="s">
        <v>200</v>
      </c>
      <c r="AS2197" s="1" t="s">
        <v>199</v>
      </c>
      <c r="AT2197" s="1">
        <v>2.0</v>
      </c>
      <c r="AV2197" s="1" t="s">
        <v>200</v>
      </c>
      <c r="AW2197" s="1">
        <v>1415.01</v>
      </c>
      <c r="AX2197" s="1">
        <v>2012.0</v>
      </c>
      <c r="AY2197" s="1" t="s">
        <v>387</v>
      </c>
      <c r="AZ2197" s="1" t="s">
        <v>200</v>
      </c>
      <c r="BA2197" s="1" t="str">
        <f>"19232240130000"</f>
        <v>19232240130000</v>
      </c>
      <c r="BC2197" s="1">
        <v>0.0</v>
      </c>
      <c r="BD2197" s="1">
        <v>102000.0</v>
      </c>
      <c r="BE2197" s="2">
        <v>41912.0</v>
      </c>
      <c r="BF2197" s="1" t="s">
        <v>20461</v>
      </c>
      <c r="BH2197" s="1">
        <v>0.0</v>
      </c>
      <c r="BK2197" s="1" t="s">
        <v>204</v>
      </c>
      <c r="BL2197" s="1" t="str">
        <f t="shared" ref="BL2197:BM2197" si="1436">"0"</f>
        <v>0</v>
      </c>
      <c r="BM2197" s="1" t="str">
        <f t="shared" si="1436"/>
        <v>0</v>
      </c>
      <c r="BN2197" s="1">
        <v>3521.0</v>
      </c>
      <c r="BO2197" s="1">
        <v>6600.0</v>
      </c>
      <c r="BQ2197" s="1">
        <v>299.0</v>
      </c>
      <c r="BR2197" s="1">
        <v>299.0</v>
      </c>
      <c r="BS2197" s="1">
        <v>299.0</v>
      </c>
      <c r="BU2197" s="1" t="s">
        <v>300</v>
      </c>
      <c r="BV2197" s="1" t="s">
        <v>206</v>
      </c>
      <c r="BY2197" s="1" t="s">
        <v>269</v>
      </c>
      <c r="BZ2197" s="1" t="s">
        <v>206</v>
      </c>
      <c r="CD2197" s="1" t="s">
        <v>204</v>
      </c>
      <c r="CG2197" s="1" t="s">
        <v>798</v>
      </c>
      <c r="CH2197" s="1" t="s">
        <v>206</v>
      </c>
      <c r="CK2197" s="1" t="s">
        <v>516</v>
      </c>
      <c r="CL2197" s="1" t="s">
        <v>206</v>
      </c>
      <c r="CO2197" s="1" t="s">
        <v>269</v>
      </c>
      <c r="CP2197" s="1" t="s">
        <v>209</v>
      </c>
      <c r="CS2197" s="1" t="s">
        <v>3805</v>
      </c>
      <c r="CT2197" s="1" t="s">
        <v>206</v>
      </c>
      <c r="CX2197" s="1" t="s">
        <v>204</v>
      </c>
      <c r="DA2197" s="1" t="s">
        <v>200</v>
      </c>
      <c r="DC2197" s="1" t="s">
        <v>216</v>
      </c>
      <c r="DE2197" s="1" t="s">
        <v>273</v>
      </c>
      <c r="DF2197" s="1" t="s">
        <v>219</v>
      </c>
      <c r="DH2197" s="1" t="s">
        <v>220</v>
      </c>
      <c r="DJ2197" s="1" t="s">
        <v>222</v>
      </c>
      <c r="DL2197" s="1" t="s">
        <v>223</v>
      </c>
      <c r="DM2197" s="1" t="s">
        <v>229</v>
      </c>
      <c r="DQ2197" s="1" t="s">
        <v>228</v>
      </c>
      <c r="DR2197" s="1" t="s">
        <v>229</v>
      </c>
      <c r="DV2197" s="1" t="s">
        <v>232</v>
      </c>
      <c r="DW2197" s="1" t="s">
        <v>667</v>
      </c>
      <c r="DX2197" s="1" t="s">
        <v>234</v>
      </c>
      <c r="EC2197" s="1" t="s">
        <v>237</v>
      </c>
      <c r="EM2197" s="1" t="s">
        <v>238</v>
      </c>
      <c r="EQ2197" s="1" t="s">
        <v>238</v>
      </c>
      <c r="EU2197" s="1" t="s">
        <v>238</v>
      </c>
      <c r="EY2197" s="1" t="s">
        <v>238</v>
      </c>
      <c r="FC2197" s="1" t="s">
        <v>238</v>
      </c>
      <c r="FF2197" s="1" t="s">
        <v>239</v>
      </c>
      <c r="FG2197" s="1" t="s">
        <v>192</v>
      </c>
      <c r="FH2197" s="1" t="s">
        <v>192</v>
      </c>
      <c r="FJ2197" s="1" t="s">
        <v>1248</v>
      </c>
      <c r="FK2197" s="1" t="s">
        <v>229</v>
      </c>
      <c r="FL2197" s="1" t="s">
        <v>3272</v>
      </c>
      <c r="FM2197" s="1">
        <v>12511.0</v>
      </c>
      <c r="FN2197" s="1" t="s">
        <v>3273</v>
      </c>
      <c r="FO2197" s="1" t="s">
        <v>3274</v>
      </c>
      <c r="FP2197" s="1">
        <v>121408.0</v>
      </c>
      <c r="FQ2197" s="1" t="s">
        <v>3275</v>
      </c>
      <c r="FU2197" s="1" t="s">
        <v>3276</v>
      </c>
      <c r="FV2197" s="1" t="s">
        <v>200</v>
      </c>
      <c r="FW2197" s="1" t="s">
        <v>1307</v>
      </c>
      <c r="FX2197" s="1" t="s">
        <v>246</v>
      </c>
      <c r="FZ2197" s="1" t="s">
        <v>229</v>
      </c>
      <c r="GA2197" s="1" t="s">
        <v>291</v>
      </c>
      <c r="GB2197" s="2">
        <v>41985.0</v>
      </c>
      <c r="GC2197" s="1" t="s">
        <v>20462</v>
      </c>
    </row>
    <row r="2198">
      <c r="A2198" s="1">
        <v>134000.0</v>
      </c>
      <c r="B2198" s="1" t="s">
        <v>185</v>
      </c>
      <c r="C2198" s="1" t="str">
        <f>"08741988"</f>
        <v>08741988</v>
      </c>
      <c r="D2198" s="1" t="s">
        <v>186</v>
      </c>
      <c r="F2198" s="1" t="str">
        <f>"8044"</f>
        <v>8044</v>
      </c>
      <c r="G2198" s="2">
        <v>41913.0</v>
      </c>
      <c r="H2198" s="1">
        <v>129900.0</v>
      </c>
      <c r="I2198" s="1">
        <v>449.0</v>
      </c>
      <c r="J2198" s="1">
        <v>129900.0</v>
      </c>
      <c r="K2198" s="2">
        <v>41991.0</v>
      </c>
      <c r="L2198" s="1">
        <v>79.0</v>
      </c>
      <c r="M2198" s="2">
        <v>41991.0</v>
      </c>
      <c r="N2198" s="1" t="s">
        <v>187</v>
      </c>
      <c r="O2198" s="2">
        <v>42048.0</v>
      </c>
      <c r="P2198" s="1">
        <v>601830.0</v>
      </c>
      <c r="Q2198" s="1">
        <v>60204.0</v>
      </c>
      <c r="S2198" s="1">
        <v>8201.0</v>
      </c>
      <c r="T2198" s="1" t="s">
        <v>609</v>
      </c>
      <c r="U2198" s="1" t="s">
        <v>320</v>
      </c>
      <c r="V2198" s="1" t="s">
        <v>190</v>
      </c>
      <c r="W2198" s="1">
        <v>60619.0</v>
      </c>
      <c r="Y2198" s="1" t="s">
        <v>20463</v>
      </c>
      <c r="Z2198" s="1">
        <v>1961.0</v>
      </c>
      <c r="AA2198" s="1" t="s">
        <v>192</v>
      </c>
      <c r="AB2198" s="1" t="s">
        <v>193</v>
      </c>
      <c r="AD2198" s="1" t="s">
        <v>194</v>
      </c>
      <c r="AE2198" s="1" t="s">
        <v>195</v>
      </c>
      <c r="AF2198" s="1" t="s">
        <v>1154</v>
      </c>
      <c r="AH2198" s="1" t="s">
        <v>741</v>
      </c>
      <c r="AI2198" s="1">
        <v>0.0687</v>
      </c>
      <c r="AK2198" s="1">
        <v>8.0</v>
      </c>
      <c r="AL2198" s="1">
        <v>4.0</v>
      </c>
      <c r="AM2198" s="1">
        <v>2.0</v>
      </c>
      <c r="AN2198" s="1">
        <v>0.0</v>
      </c>
      <c r="AO2198" s="1" t="s">
        <v>229</v>
      </c>
      <c r="AQ2198" s="1" t="s">
        <v>1314</v>
      </c>
      <c r="AR2198" s="1" t="s">
        <v>192</v>
      </c>
      <c r="AS2198" s="1" t="s">
        <v>199</v>
      </c>
      <c r="AT2198" s="1">
        <v>2.1</v>
      </c>
      <c r="AV2198" s="1" t="s">
        <v>200</v>
      </c>
      <c r="AW2198" s="1">
        <v>3797.0</v>
      </c>
      <c r="AX2198" s="1">
        <v>2012.0</v>
      </c>
      <c r="AY2198" s="1" t="s">
        <v>229</v>
      </c>
      <c r="AZ2198" s="1" t="s">
        <v>200</v>
      </c>
      <c r="BA2198" s="1" t="str">
        <f>"20341180010000"</f>
        <v>20341180010000</v>
      </c>
      <c r="BB2198" s="1" t="s">
        <v>200</v>
      </c>
      <c r="BC2198" s="1">
        <v>1850.0</v>
      </c>
      <c r="BD2198" s="1">
        <v>134000.0</v>
      </c>
      <c r="BE2198" s="2">
        <v>41913.0</v>
      </c>
      <c r="BF2198" s="2" t="s">
        <v>20464</v>
      </c>
      <c r="BG2198" s="1" t="s">
        <v>20465</v>
      </c>
      <c r="BH2198" s="1">
        <v>0.0</v>
      </c>
      <c r="BJ2198" s="1" t="s">
        <v>20466</v>
      </c>
      <c r="BK2198" s="1" t="s">
        <v>204</v>
      </c>
      <c r="BL2198" s="1" t="str">
        <f t="shared" ref="BL2198:BM2198" si="1437">"0"</f>
        <v>0</v>
      </c>
      <c r="BM2198" s="1" t="str">
        <f t="shared" si="1437"/>
        <v>0</v>
      </c>
      <c r="BN2198" s="1">
        <v>0.0</v>
      </c>
      <c r="BO2198" s="1">
        <v>8201.0</v>
      </c>
      <c r="BQ2198" s="1">
        <v>299.0</v>
      </c>
      <c r="BR2198" s="1">
        <v>299.0</v>
      </c>
      <c r="BS2198" s="1">
        <v>299.0</v>
      </c>
      <c r="BU2198" s="1" t="s">
        <v>784</v>
      </c>
      <c r="BV2198" s="1" t="s">
        <v>206</v>
      </c>
      <c r="BW2198" s="1" t="s">
        <v>207</v>
      </c>
      <c r="BX2198" s="1" t="s">
        <v>431</v>
      </c>
      <c r="BY2198" s="1" t="s">
        <v>260</v>
      </c>
      <c r="BZ2198" s="1" t="s">
        <v>391</v>
      </c>
      <c r="CA2198" s="1" t="s">
        <v>207</v>
      </c>
      <c r="CC2198" s="1" t="s">
        <v>542</v>
      </c>
      <c r="CD2198" s="1" t="s">
        <v>206</v>
      </c>
      <c r="CE2198" s="1" t="s">
        <v>207</v>
      </c>
      <c r="CF2198" s="1" t="s">
        <v>229</v>
      </c>
      <c r="CG2198" s="1" t="s">
        <v>433</v>
      </c>
      <c r="CH2198" s="1" t="s">
        <v>391</v>
      </c>
      <c r="CI2198" s="1" t="s">
        <v>207</v>
      </c>
      <c r="CK2198" s="1" t="s">
        <v>363</v>
      </c>
      <c r="CL2198" s="1" t="s">
        <v>209</v>
      </c>
      <c r="CM2198" s="1" t="s">
        <v>210</v>
      </c>
      <c r="CO2198" s="1" t="s">
        <v>212</v>
      </c>
      <c r="CP2198" s="1" t="s">
        <v>209</v>
      </c>
      <c r="CQ2198" s="1" t="s">
        <v>210</v>
      </c>
      <c r="CS2198" s="1" t="s">
        <v>363</v>
      </c>
      <c r="CT2198" s="1" t="s">
        <v>206</v>
      </c>
      <c r="CU2198" s="1" t="s">
        <v>268</v>
      </c>
      <c r="CW2198" s="1" t="s">
        <v>433</v>
      </c>
      <c r="CX2198" s="1" t="s">
        <v>267</v>
      </c>
      <c r="CY2198" s="1" t="s">
        <v>207</v>
      </c>
      <c r="DA2198" s="1" t="s">
        <v>200</v>
      </c>
      <c r="DC2198" s="1" t="s">
        <v>271</v>
      </c>
      <c r="DD2198" s="1" t="s">
        <v>518</v>
      </c>
      <c r="DE2198" s="1" t="s">
        <v>273</v>
      </c>
      <c r="DF2198" s="1" t="s">
        <v>219</v>
      </c>
      <c r="DG2198" s="1" t="s">
        <v>337</v>
      </c>
      <c r="DH2198" s="1" t="s">
        <v>307</v>
      </c>
      <c r="DI2198" s="1" t="s">
        <v>831</v>
      </c>
      <c r="DJ2198" s="1" t="s">
        <v>222</v>
      </c>
      <c r="DL2198" s="1" t="s">
        <v>858</v>
      </c>
      <c r="DM2198" s="1" t="s">
        <v>1464</v>
      </c>
      <c r="DP2198" s="1" t="s">
        <v>276</v>
      </c>
      <c r="DQ2198" s="1" t="s">
        <v>718</v>
      </c>
      <c r="DR2198" s="1" t="s">
        <v>229</v>
      </c>
      <c r="DU2198" s="1" t="s">
        <v>2070</v>
      </c>
      <c r="DV2198" s="1" t="s">
        <v>232</v>
      </c>
      <c r="DW2198" s="1" t="s">
        <v>279</v>
      </c>
      <c r="DX2198" s="1" t="s">
        <v>234</v>
      </c>
      <c r="DY2198" s="1" t="s">
        <v>704</v>
      </c>
      <c r="DZ2198" s="1" t="s">
        <v>1333</v>
      </c>
      <c r="EA2198" s="1" t="s">
        <v>5604</v>
      </c>
      <c r="EC2198" s="1" t="s">
        <v>4613</v>
      </c>
      <c r="EM2198" s="1" t="s">
        <v>238</v>
      </c>
      <c r="EQ2198" s="1" t="s">
        <v>238</v>
      </c>
      <c r="EU2198" s="1" t="s">
        <v>238</v>
      </c>
      <c r="EY2198" s="1" t="s">
        <v>238</v>
      </c>
      <c r="FC2198" s="1" t="s">
        <v>238</v>
      </c>
      <c r="FF2198" s="1" t="s">
        <v>239</v>
      </c>
      <c r="FG2198" s="1" t="s">
        <v>192</v>
      </c>
      <c r="FH2198" s="1" t="s">
        <v>192</v>
      </c>
      <c r="FJ2198" s="1" t="s">
        <v>2552</v>
      </c>
      <c r="FK2198" s="1" t="s">
        <v>229</v>
      </c>
      <c r="FL2198" s="1" t="s">
        <v>2718</v>
      </c>
      <c r="FM2198" s="1">
        <v>61080.0</v>
      </c>
      <c r="FN2198" s="1" t="s">
        <v>2719</v>
      </c>
      <c r="FO2198" s="1" t="s">
        <v>2720</v>
      </c>
      <c r="FP2198" s="1">
        <v>506455.0</v>
      </c>
      <c r="FQ2198" s="1" t="s">
        <v>2721</v>
      </c>
      <c r="FU2198" s="1" t="s">
        <v>20467</v>
      </c>
      <c r="FV2198" s="1" t="s">
        <v>200</v>
      </c>
      <c r="FW2198" s="1" t="s">
        <v>290</v>
      </c>
      <c r="FX2198" s="1" t="s">
        <v>655</v>
      </c>
      <c r="FZ2198" s="1" t="s">
        <v>229</v>
      </c>
      <c r="GA2198" s="1" t="s">
        <v>291</v>
      </c>
      <c r="GB2198" s="2">
        <v>42048.0</v>
      </c>
      <c r="GC2198" s="1" t="s">
        <v>20468</v>
      </c>
    </row>
    <row r="2199">
      <c r="A2199" s="1">
        <v>195000.0</v>
      </c>
      <c r="B2199" s="1" t="s">
        <v>185</v>
      </c>
      <c r="C2199" s="1" t="str">
        <f>"08741599"</f>
        <v>08741599</v>
      </c>
      <c r="D2199" s="1" t="s">
        <v>186</v>
      </c>
      <c r="F2199" s="1" t="str">
        <f>"510"</f>
        <v>510</v>
      </c>
      <c r="G2199" s="2">
        <v>41912.0</v>
      </c>
      <c r="H2199" s="1">
        <v>237800.0</v>
      </c>
      <c r="I2199" s="1">
        <v>51.0</v>
      </c>
      <c r="J2199" s="1">
        <v>217000.0</v>
      </c>
      <c r="K2199" s="2">
        <v>41961.0</v>
      </c>
      <c r="L2199" s="1">
        <v>51.0</v>
      </c>
      <c r="M2199" s="2">
        <v>41961.0</v>
      </c>
      <c r="N2199" s="1" t="s">
        <v>249</v>
      </c>
      <c r="O2199" s="2">
        <v>41982.0</v>
      </c>
      <c r="P2199" s="1">
        <v>8800.0</v>
      </c>
      <c r="Q2199" s="1">
        <v>464.0</v>
      </c>
      <c r="S2199" s="1">
        <v>1290.0</v>
      </c>
      <c r="T2199" s="1" t="s">
        <v>20469</v>
      </c>
      <c r="U2199" s="1" t="s">
        <v>189</v>
      </c>
      <c r="V2199" s="1" t="s">
        <v>2700</v>
      </c>
      <c r="W2199" s="1">
        <v>60510.0</v>
      </c>
      <c r="Y2199" s="1" t="s">
        <v>20470</v>
      </c>
      <c r="Z2199" s="1">
        <v>1991.0</v>
      </c>
      <c r="AA2199" s="1" t="s">
        <v>200</v>
      </c>
      <c r="AB2199" s="1" t="s">
        <v>193</v>
      </c>
      <c r="AD2199" s="1" t="s">
        <v>2702</v>
      </c>
      <c r="AE2199" s="1" t="s">
        <v>325</v>
      </c>
      <c r="AF2199" s="1" t="s">
        <v>2702</v>
      </c>
      <c r="AH2199" s="1" t="s">
        <v>20471</v>
      </c>
      <c r="AK2199" s="1">
        <v>8.0</v>
      </c>
      <c r="AL2199" s="1">
        <v>4.0</v>
      </c>
      <c r="AM2199" s="1">
        <v>2.0</v>
      </c>
      <c r="AN2199" s="1">
        <v>1.0</v>
      </c>
      <c r="AO2199" s="1" t="s">
        <v>198</v>
      </c>
      <c r="AP2199" s="1">
        <v>1.0</v>
      </c>
      <c r="AQ2199" s="1" t="s">
        <v>198</v>
      </c>
      <c r="AR2199" s="1" t="s">
        <v>200</v>
      </c>
      <c r="AS2199" s="1" t="s">
        <v>199</v>
      </c>
      <c r="AT2199" s="1">
        <v>2.0</v>
      </c>
      <c r="AV2199" s="1" t="s">
        <v>200</v>
      </c>
      <c r="AW2199" s="1">
        <v>8692.24</v>
      </c>
      <c r="AX2199" s="1">
        <v>2013.0</v>
      </c>
      <c r="AZ2199" s="1" t="s">
        <v>200</v>
      </c>
      <c r="BA2199" s="1" t="str">
        <f>"1228256008"</f>
        <v>1228256008</v>
      </c>
      <c r="BC2199" s="1">
        <v>2457.0</v>
      </c>
      <c r="BD2199" s="1">
        <v>195000.0</v>
      </c>
      <c r="BE2199" s="2">
        <v>41911.0</v>
      </c>
      <c r="BF2199" s="1" t="s">
        <v>20472</v>
      </c>
      <c r="BH2199" s="1">
        <v>0.0</v>
      </c>
      <c r="BK2199" s="1" t="s">
        <v>204</v>
      </c>
      <c r="BL2199" s="1" t="str">
        <f t="shared" ref="BL2199:BM2199" si="1438">""</f>
        <v/>
      </c>
      <c r="BM2199" s="1" t="str">
        <f t="shared" si="1438"/>
        <v/>
      </c>
      <c r="BQ2199" s="1">
        <v>101.0</v>
      </c>
      <c r="BR2199" s="1">
        <v>101.0</v>
      </c>
      <c r="BS2199" s="1">
        <v>101.0</v>
      </c>
      <c r="BU2199" s="1" t="s">
        <v>361</v>
      </c>
      <c r="BV2199" s="1" t="s">
        <v>206</v>
      </c>
      <c r="BY2199" s="1" t="s">
        <v>432</v>
      </c>
      <c r="BZ2199" s="1" t="s">
        <v>209</v>
      </c>
      <c r="CC2199" s="1" t="s">
        <v>264</v>
      </c>
      <c r="CD2199" s="1" t="s">
        <v>206</v>
      </c>
      <c r="CG2199" s="1" t="s">
        <v>331</v>
      </c>
      <c r="CH2199" s="1" t="s">
        <v>209</v>
      </c>
      <c r="CK2199" s="1" t="s">
        <v>331</v>
      </c>
      <c r="CL2199" s="1" t="s">
        <v>209</v>
      </c>
      <c r="CO2199" s="1" t="s">
        <v>332</v>
      </c>
      <c r="CP2199" s="1" t="s">
        <v>209</v>
      </c>
      <c r="CS2199" s="1" t="s">
        <v>743</v>
      </c>
      <c r="CT2199" s="1" t="s">
        <v>206</v>
      </c>
      <c r="CW2199" s="1" t="s">
        <v>260</v>
      </c>
      <c r="CX2199" s="1" t="s">
        <v>206</v>
      </c>
      <c r="DA2199" s="1" t="s">
        <v>200</v>
      </c>
      <c r="DC2199" s="1" t="s">
        <v>435</v>
      </c>
      <c r="DD2199" s="1" t="s">
        <v>518</v>
      </c>
      <c r="DE2199" s="1" t="s">
        <v>273</v>
      </c>
      <c r="DF2199" s="1" t="s">
        <v>219</v>
      </c>
      <c r="DH2199" s="1" t="s">
        <v>220</v>
      </c>
      <c r="DJ2199" s="1" t="s">
        <v>222</v>
      </c>
      <c r="DL2199" s="1" t="s">
        <v>223</v>
      </c>
      <c r="DM2199" s="1" t="s">
        <v>229</v>
      </c>
      <c r="DP2199" s="1" t="s">
        <v>340</v>
      </c>
      <c r="DQ2199" s="1" t="s">
        <v>228</v>
      </c>
      <c r="DR2199" s="1" t="s">
        <v>229</v>
      </c>
      <c r="DV2199" s="1" t="s">
        <v>232</v>
      </c>
      <c r="DW2199" s="1" t="s">
        <v>964</v>
      </c>
      <c r="DX2199" s="1" t="s">
        <v>234</v>
      </c>
      <c r="DZ2199" s="1" t="s">
        <v>236</v>
      </c>
      <c r="EC2199" s="1" t="s">
        <v>237</v>
      </c>
      <c r="EM2199" s="1" t="s">
        <v>238</v>
      </c>
      <c r="EQ2199" s="1" t="s">
        <v>238</v>
      </c>
      <c r="EU2199" s="1" t="s">
        <v>238</v>
      </c>
      <c r="EY2199" s="1" t="s">
        <v>238</v>
      </c>
      <c r="FC2199" s="1" t="s">
        <v>238</v>
      </c>
      <c r="FF2199" s="1" t="s">
        <v>239</v>
      </c>
      <c r="FG2199" s="1" t="s">
        <v>192</v>
      </c>
      <c r="FH2199" s="1" t="s">
        <v>192</v>
      </c>
      <c r="FJ2199" s="1" t="s">
        <v>2156</v>
      </c>
      <c r="FK2199" s="1" t="s">
        <v>229</v>
      </c>
      <c r="FL2199" s="1" t="s">
        <v>1855</v>
      </c>
      <c r="FM2199" s="1">
        <v>41.0</v>
      </c>
      <c r="FN2199" s="1" t="s">
        <v>1856</v>
      </c>
      <c r="FO2199" s="1" t="s">
        <v>1857</v>
      </c>
      <c r="FP2199" s="1">
        <v>8483.0</v>
      </c>
      <c r="FQ2199" s="1" t="s">
        <v>1858</v>
      </c>
      <c r="FS2199" s="1" t="s">
        <v>7114</v>
      </c>
      <c r="FT2199" s="1" t="s">
        <v>1860</v>
      </c>
      <c r="FU2199" s="1" t="s">
        <v>7115</v>
      </c>
      <c r="FV2199" s="1" t="s">
        <v>200</v>
      </c>
      <c r="FW2199" s="1" t="s">
        <v>354</v>
      </c>
      <c r="FZ2199" s="1" t="s">
        <v>229</v>
      </c>
      <c r="GA2199" s="1" t="s">
        <v>291</v>
      </c>
      <c r="GB2199" s="2">
        <v>41983.0</v>
      </c>
      <c r="GC2199" s="1" t="s">
        <v>4769</v>
      </c>
    </row>
    <row r="2200">
      <c r="A2200" s="1">
        <v>227500.0</v>
      </c>
      <c r="B2200" s="1" t="s">
        <v>185</v>
      </c>
      <c r="C2200" s="1" t="str">
        <f>"08747835"</f>
        <v>08747835</v>
      </c>
      <c r="D2200" s="1" t="s">
        <v>186</v>
      </c>
      <c r="F2200" s="1" t="str">
        <f>"560"</f>
        <v>560</v>
      </c>
      <c r="G2200" s="2">
        <v>41920.0</v>
      </c>
      <c r="H2200" s="1">
        <v>259900.0</v>
      </c>
      <c r="I2200" s="1">
        <v>173.0</v>
      </c>
      <c r="J2200" s="1">
        <v>229900.0</v>
      </c>
      <c r="K2200" s="2">
        <v>42092.0</v>
      </c>
      <c r="L2200" s="1">
        <v>173.0</v>
      </c>
      <c r="M2200" s="2">
        <v>42092.0</v>
      </c>
      <c r="N2200" s="1" t="s">
        <v>356</v>
      </c>
      <c r="O2200" s="2">
        <v>42142.0</v>
      </c>
      <c r="P2200" s="1">
        <v>88682.0</v>
      </c>
      <c r="Q2200" s="1">
        <v>8133.0</v>
      </c>
      <c r="S2200" s="1">
        <v>1592.0</v>
      </c>
      <c r="T2200" s="1" t="s">
        <v>17287</v>
      </c>
      <c r="U2200" s="1" t="s">
        <v>569</v>
      </c>
      <c r="V2200" s="1" t="s">
        <v>845</v>
      </c>
      <c r="W2200" s="1">
        <v>60560.0</v>
      </c>
      <c r="Y2200" s="1" t="s">
        <v>20473</v>
      </c>
      <c r="Z2200" s="1">
        <v>2009.0</v>
      </c>
      <c r="AA2200" s="1" t="s">
        <v>200</v>
      </c>
      <c r="AB2200" s="1" t="s">
        <v>467</v>
      </c>
      <c r="AC2200" s="1" t="s">
        <v>16954</v>
      </c>
      <c r="AD2200" s="1" t="s">
        <v>848</v>
      </c>
      <c r="AE2200" s="1" t="s">
        <v>849</v>
      </c>
      <c r="AF2200" s="1" t="s">
        <v>1312</v>
      </c>
      <c r="AG2200" s="1" t="s">
        <v>20474</v>
      </c>
      <c r="AH2200" s="1" t="s">
        <v>20475</v>
      </c>
      <c r="AK2200" s="1">
        <v>9.0</v>
      </c>
      <c r="AL2200" s="1">
        <v>4.0</v>
      </c>
      <c r="AM2200" s="1">
        <v>2.0</v>
      </c>
      <c r="AN2200" s="1">
        <v>1.0</v>
      </c>
      <c r="AO2200" s="1" t="s">
        <v>198</v>
      </c>
      <c r="AQ2200" s="1" t="s">
        <v>198</v>
      </c>
      <c r="AR2200" s="1" t="s">
        <v>200</v>
      </c>
      <c r="AS2200" s="1" t="s">
        <v>199</v>
      </c>
      <c r="AT2200" s="1">
        <v>2.0</v>
      </c>
      <c r="AV2200" s="1" t="s">
        <v>200</v>
      </c>
      <c r="AW2200" s="1">
        <v>8193.92</v>
      </c>
      <c r="AX2200" s="1">
        <v>2013.0</v>
      </c>
      <c r="AY2200" s="1" t="s">
        <v>387</v>
      </c>
      <c r="AZ2200" s="1" t="s">
        <v>192</v>
      </c>
      <c r="BA2200" s="1" t="str">
        <f>"0222258001"</f>
        <v>0222258001</v>
      </c>
      <c r="BC2200" s="1">
        <v>2464.0</v>
      </c>
      <c r="BD2200" s="1">
        <v>227500.0</v>
      </c>
      <c r="BE2200" s="2">
        <v>41920.0</v>
      </c>
      <c r="BF2200" s="2" t="s">
        <v>20476</v>
      </c>
      <c r="BG2200" s="1" t="s">
        <v>16958</v>
      </c>
      <c r="BH2200" s="1">
        <v>250.0</v>
      </c>
      <c r="BK2200" s="1" t="s">
        <v>580</v>
      </c>
      <c r="BL2200" s="1" t="str">
        <f t="shared" ref="BL2200:BM2200" si="1439">""</f>
        <v/>
      </c>
      <c r="BM2200" s="1" t="str">
        <f t="shared" si="1439"/>
        <v/>
      </c>
      <c r="BQ2200" s="1">
        <v>115.0</v>
      </c>
      <c r="BR2200" s="1">
        <v>115.0</v>
      </c>
      <c r="BS2200" s="1">
        <v>115.0</v>
      </c>
      <c r="BU2200" s="1" t="s">
        <v>212</v>
      </c>
      <c r="BV2200" s="1" t="s">
        <v>206</v>
      </c>
      <c r="BW2200" s="1" t="s">
        <v>210</v>
      </c>
      <c r="BY2200" s="1" t="s">
        <v>639</v>
      </c>
      <c r="BZ2200" s="1" t="s">
        <v>209</v>
      </c>
      <c r="CA2200" s="1" t="s">
        <v>210</v>
      </c>
      <c r="CC2200" s="1" t="s">
        <v>212</v>
      </c>
      <c r="CD2200" s="1" t="s">
        <v>206</v>
      </c>
      <c r="CE2200" s="1" t="s">
        <v>210</v>
      </c>
      <c r="CG2200" s="1" t="s">
        <v>433</v>
      </c>
      <c r="CH2200" s="1" t="s">
        <v>206</v>
      </c>
      <c r="CI2200" s="1" t="s">
        <v>210</v>
      </c>
      <c r="CK2200" s="1" t="s">
        <v>363</v>
      </c>
      <c r="CL2200" s="1" t="s">
        <v>209</v>
      </c>
      <c r="CM2200" s="1" t="s">
        <v>210</v>
      </c>
      <c r="CO2200" s="1" t="s">
        <v>264</v>
      </c>
      <c r="CP2200" s="1" t="s">
        <v>209</v>
      </c>
      <c r="CQ2200" s="1" t="s">
        <v>210</v>
      </c>
      <c r="CS2200" s="1" t="s">
        <v>1244</v>
      </c>
      <c r="CT2200" s="1" t="s">
        <v>206</v>
      </c>
      <c r="CU2200" s="1" t="s">
        <v>207</v>
      </c>
      <c r="CV2200" s="1" t="s">
        <v>431</v>
      </c>
      <c r="CW2200" s="1" t="s">
        <v>5955</v>
      </c>
      <c r="CX2200" s="1" t="s">
        <v>206</v>
      </c>
      <c r="CY2200" s="1" t="s">
        <v>207</v>
      </c>
      <c r="CZ2200" s="1" t="s">
        <v>239</v>
      </c>
      <c r="DA2200" s="1" t="s">
        <v>200</v>
      </c>
      <c r="DC2200" s="1" t="s">
        <v>481</v>
      </c>
      <c r="DD2200" s="1" t="s">
        <v>1838</v>
      </c>
      <c r="DE2200" s="1" t="s">
        <v>273</v>
      </c>
      <c r="DF2200" s="1" t="s">
        <v>219</v>
      </c>
      <c r="DG2200" s="1" t="s">
        <v>16520</v>
      </c>
      <c r="DH2200" s="1" t="s">
        <v>220</v>
      </c>
      <c r="DI2200" s="1" t="s">
        <v>221</v>
      </c>
      <c r="DJ2200" s="1" t="s">
        <v>222</v>
      </c>
      <c r="DK2200" s="1" t="s">
        <v>1301</v>
      </c>
      <c r="DL2200" s="1" t="s">
        <v>484</v>
      </c>
      <c r="DM2200" s="1" t="s">
        <v>338</v>
      </c>
      <c r="DN2200" s="1" t="s">
        <v>485</v>
      </c>
      <c r="DO2200" s="1" t="s">
        <v>590</v>
      </c>
      <c r="DP2200" s="1" t="s">
        <v>276</v>
      </c>
      <c r="DQ2200" s="1" t="s">
        <v>228</v>
      </c>
      <c r="DR2200" s="1" t="s">
        <v>588</v>
      </c>
      <c r="DS2200" s="1" t="s">
        <v>368</v>
      </c>
      <c r="DU2200" s="1" t="s">
        <v>550</v>
      </c>
      <c r="DV2200" s="1" t="s">
        <v>494</v>
      </c>
      <c r="DW2200" s="1" t="s">
        <v>233</v>
      </c>
      <c r="DX2200" s="1" t="s">
        <v>234</v>
      </c>
      <c r="DY2200" s="1" t="s">
        <v>490</v>
      </c>
      <c r="DZ2200" s="1" t="s">
        <v>3044</v>
      </c>
      <c r="EA2200" s="1" t="s">
        <v>1027</v>
      </c>
      <c r="EC2200" s="1" t="s">
        <v>237</v>
      </c>
      <c r="ED2200" s="1" t="s">
        <v>407</v>
      </c>
      <c r="EE2200" s="1" t="s">
        <v>493</v>
      </c>
      <c r="EG2200" s="1" t="s">
        <v>494</v>
      </c>
      <c r="EL2200" s="1" t="s">
        <v>647</v>
      </c>
      <c r="EM2200" s="1" t="s">
        <v>206</v>
      </c>
      <c r="EN2200" s="1" t="s">
        <v>210</v>
      </c>
      <c r="EQ2200" s="1" t="s">
        <v>238</v>
      </c>
      <c r="EU2200" s="1" t="s">
        <v>238</v>
      </c>
      <c r="EY2200" s="1" t="s">
        <v>238</v>
      </c>
      <c r="FC2200" s="1" t="s">
        <v>238</v>
      </c>
      <c r="FF2200" s="1" t="s">
        <v>239</v>
      </c>
      <c r="FG2200" s="1" t="s">
        <v>192</v>
      </c>
      <c r="FH2200" s="1" t="s">
        <v>192</v>
      </c>
      <c r="FJ2200" s="1" t="s">
        <v>14444</v>
      </c>
      <c r="FK2200" s="1" t="s">
        <v>229</v>
      </c>
      <c r="FL2200" s="1" t="s">
        <v>1007</v>
      </c>
      <c r="FM2200" s="1">
        <v>23196.0</v>
      </c>
      <c r="FN2200" s="1" t="s">
        <v>3741</v>
      </c>
      <c r="FO2200" s="1" t="s">
        <v>14445</v>
      </c>
      <c r="FP2200" s="1">
        <v>231926.0</v>
      </c>
      <c r="FQ2200" s="1" t="s">
        <v>14446</v>
      </c>
      <c r="FS2200" s="1" t="s">
        <v>20477</v>
      </c>
      <c r="FU2200" s="1" t="s">
        <v>20478</v>
      </c>
      <c r="FV2200" s="1" t="s">
        <v>200</v>
      </c>
      <c r="FW2200" s="1" t="s">
        <v>290</v>
      </c>
      <c r="FZ2200" s="1" t="s">
        <v>229</v>
      </c>
      <c r="GA2200" s="1" t="s">
        <v>291</v>
      </c>
      <c r="GB2200" s="2">
        <v>42142.0</v>
      </c>
      <c r="GC2200" s="1" t="s">
        <v>20479</v>
      </c>
    </row>
    <row r="2201">
      <c r="A2201" s="1">
        <v>250000.0</v>
      </c>
      <c r="B2201" s="1" t="s">
        <v>185</v>
      </c>
      <c r="C2201" s="1" t="str">
        <f>"08743069"</f>
        <v>08743069</v>
      </c>
      <c r="D2201" s="1" t="s">
        <v>186</v>
      </c>
      <c r="F2201" s="1" t="str">
        <f>"118"</f>
        <v>118</v>
      </c>
      <c r="G2201" s="2">
        <v>41914.0</v>
      </c>
      <c r="H2201" s="1">
        <v>250000.0</v>
      </c>
      <c r="I2201" s="1">
        <v>2.0</v>
      </c>
      <c r="J2201" s="1">
        <v>250000.0</v>
      </c>
      <c r="K2201" s="2">
        <v>41915.0</v>
      </c>
      <c r="L2201" s="1">
        <v>2.0</v>
      </c>
      <c r="M2201" s="2">
        <v>41915.0</v>
      </c>
      <c r="N2201" s="1" t="s">
        <v>187</v>
      </c>
      <c r="O2201" s="2">
        <v>41978.0</v>
      </c>
      <c r="P2201" s="1">
        <v>923299.0</v>
      </c>
      <c r="Q2201" s="1">
        <v>92050.0</v>
      </c>
      <c r="S2201" s="1">
        <v>732.0</v>
      </c>
      <c r="T2201" s="1" t="s">
        <v>20480</v>
      </c>
      <c r="U2201" s="1" t="s">
        <v>982</v>
      </c>
      <c r="V2201" s="1" t="s">
        <v>3438</v>
      </c>
      <c r="W2201" s="1">
        <v>60118.0</v>
      </c>
      <c r="Y2201" s="1" t="s">
        <v>20481</v>
      </c>
      <c r="Z2201" s="1">
        <v>1987.0</v>
      </c>
      <c r="AA2201" s="1" t="s">
        <v>200</v>
      </c>
      <c r="AB2201" s="1" t="s">
        <v>193</v>
      </c>
      <c r="AC2201" s="1" t="s">
        <v>20482</v>
      </c>
      <c r="AD2201" s="1" t="s">
        <v>3440</v>
      </c>
      <c r="AE2201" s="1" t="s">
        <v>325</v>
      </c>
      <c r="AF2201" s="1" t="s">
        <v>810</v>
      </c>
      <c r="AG2201" s="1" t="s">
        <v>2436</v>
      </c>
      <c r="AH2201" s="1" t="s">
        <v>20483</v>
      </c>
      <c r="AI2201" s="1">
        <v>0.65</v>
      </c>
      <c r="AK2201" s="1">
        <v>10.0</v>
      </c>
      <c r="AL2201" s="1">
        <v>3.0</v>
      </c>
      <c r="AM2201" s="1">
        <v>2.0</v>
      </c>
      <c r="AN2201" s="1">
        <v>1.0</v>
      </c>
      <c r="AO2201" s="1" t="s">
        <v>198</v>
      </c>
      <c r="AP2201" s="1">
        <v>2.0</v>
      </c>
      <c r="AQ2201" s="1" t="s">
        <v>198</v>
      </c>
      <c r="AR2201" s="1" t="s">
        <v>192</v>
      </c>
      <c r="AS2201" s="1" t="s">
        <v>199</v>
      </c>
      <c r="AT2201" s="1">
        <v>2.5</v>
      </c>
      <c r="AV2201" s="1" t="s">
        <v>200</v>
      </c>
      <c r="AW2201" s="1">
        <v>6800.98</v>
      </c>
      <c r="AX2201" s="1">
        <v>2013.0</v>
      </c>
      <c r="AY2201" s="1" t="s">
        <v>387</v>
      </c>
      <c r="AZ2201" s="1" t="s">
        <v>200</v>
      </c>
      <c r="BA2201" s="1" t="str">
        <f>"0329327019"</f>
        <v>0329327019</v>
      </c>
      <c r="BB2201" s="1" t="s">
        <v>200</v>
      </c>
      <c r="BC2201" s="1">
        <v>1891.0</v>
      </c>
      <c r="BD2201" s="1">
        <v>250000.0</v>
      </c>
      <c r="BE2201" s="2">
        <v>41914.0</v>
      </c>
      <c r="BF2201" s="2" t="s">
        <v>20484</v>
      </c>
      <c r="BG2201" s="1" t="s">
        <v>1092</v>
      </c>
      <c r="BH2201" s="1">
        <v>0.0</v>
      </c>
      <c r="BI2201" s="1" t="s">
        <v>1093</v>
      </c>
      <c r="BJ2201" s="1" t="s">
        <v>1094</v>
      </c>
      <c r="BK2201" s="1" t="s">
        <v>204</v>
      </c>
      <c r="BL2201" s="1" t="str">
        <f t="shared" ref="BL2201:BM2201" si="1440">""</f>
        <v/>
      </c>
      <c r="BM2201" s="1" t="str">
        <f t="shared" si="1440"/>
        <v/>
      </c>
      <c r="BQ2201" s="1">
        <v>300.0</v>
      </c>
      <c r="BR2201" s="1">
        <v>300.0</v>
      </c>
      <c r="BS2201" s="1">
        <v>300.0</v>
      </c>
      <c r="BU2201" s="1" t="s">
        <v>2872</v>
      </c>
      <c r="BV2201" s="1" t="s">
        <v>206</v>
      </c>
      <c r="BW2201" s="1" t="s">
        <v>210</v>
      </c>
      <c r="BX2201" s="1" t="s">
        <v>239</v>
      </c>
      <c r="BY2201" s="1" t="s">
        <v>390</v>
      </c>
      <c r="BZ2201" s="1" t="s">
        <v>206</v>
      </c>
      <c r="CA2201" s="1" t="s">
        <v>210</v>
      </c>
      <c r="CB2201" s="1" t="s">
        <v>239</v>
      </c>
      <c r="CC2201" s="1" t="s">
        <v>363</v>
      </c>
      <c r="CD2201" s="1" t="s">
        <v>206</v>
      </c>
      <c r="CE2201" s="1" t="s">
        <v>210</v>
      </c>
      <c r="CF2201" s="1" t="s">
        <v>239</v>
      </c>
      <c r="CG2201" s="1" t="s">
        <v>331</v>
      </c>
      <c r="CH2201" s="1" t="s">
        <v>206</v>
      </c>
      <c r="CI2201" s="1" t="s">
        <v>210</v>
      </c>
      <c r="CJ2201" s="1" t="s">
        <v>239</v>
      </c>
      <c r="CK2201" s="1" t="s">
        <v>215</v>
      </c>
      <c r="CL2201" s="1" t="s">
        <v>206</v>
      </c>
      <c r="CM2201" s="1" t="s">
        <v>210</v>
      </c>
      <c r="CN2201" s="1" t="s">
        <v>239</v>
      </c>
      <c r="CO2201" s="1" t="s">
        <v>743</v>
      </c>
      <c r="CP2201" s="1" t="s">
        <v>42</v>
      </c>
      <c r="CQ2201" s="1" t="s">
        <v>210</v>
      </c>
      <c r="CR2201" s="1" t="s">
        <v>239</v>
      </c>
      <c r="CS2201" s="1" t="s">
        <v>2224</v>
      </c>
      <c r="CT2201" s="1" t="s">
        <v>206</v>
      </c>
      <c r="CU2201" s="1" t="s">
        <v>301</v>
      </c>
      <c r="CV2201" s="1" t="s">
        <v>239</v>
      </c>
      <c r="CW2201" s="1" t="s">
        <v>19472</v>
      </c>
      <c r="CX2201" s="1" t="s">
        <v>42</v>
      </c>
      <c r="CY2201" s="1" t="s">
        <v>210</v>
      </c>
      <c r="CZ2201" s="1" t="s">
        <v>229</v>
      </c>
      <c r="DA2201" s="1" t="s">
        <v>200</v>
      </c>
      <c r="DC2201" s="1" t="s">
        <v>305</v>
      </c>
      <c r="DD2201" s="1" t="s">
        <v>518</v>
      </c>
      <c r="DE2201" s="1" t="s">
        <v>273</v>
      </c>
      <c r="DF2201" s="1" t="s">
        <v>219</v>
      </c>
      <c r="DG2201" s="1" t="s">
        <v>1812</v>
      </c>
      <c r="DH2201" s="1" t="s">
        <v>220</v>
      </c>
      <c r="DI2201" s="1" t="s">
        <v>1003</v>
      </c>
      <c r="DJ2201" s="1" t="s">
        <v>222</v>
      </c>
      <c r="DL2201" s="1" t="s">
        <v>224</v>
      </c>
      <c r="DM2201" s="1" t="s">
        <v>338</v>
      </c>
      <c r="DO2201" s="1" t="s">
        <v>486</v>
      </c>
      <c r="DP2201" s="1" t="s">
        <v>340</v>
      </c>
      <c r="DQ2201" s="1" t="s">
        <v>1557</v>
      </c>
      <c r="DR2201" s="1" t="s">
        <v>229</v>
      </c>
      <c r="DS2201" s="1" t="s">
        <v>230</v>
      </c>
      <c r="DU2201" s="1" t="s">
        <v>7519</v>
      </c>
      <c r="DV2201" s="1" t="s">
        <v>20485</v>
      </c>
      <c r="DW2201" s="1" t="s">
        <v>233</v>
      </c>
      <c r="DX2201" s="1" t="s">
        <v>234</v>
      </c>
      <c r="DY2201" s="1" t="s">
        <v>2314</v>
      </c>
      <c r="DZ2201" s="1" t="s">
        <v>310</v>
      </c>
      <c r="EA2201" s="1" t="s">
        <v>344</v>
      </c>
      <c r="EB2201" s="1" t="s">
        <v>2183</v>
      </c>
      <c r="EC2201" s="1" t="s">
        <v>685</v>
      </c>
      <c r="ED2201" s="1" t="s">
        <v>407</v>
      </c>
      <c r="EG2201" s="1" t="s">
        <v>598</v>
      </c>
      <c r="EH2201" s="1" t="s">
        <v>451</v>
      </c>
      <c r="EL2201" s="1" t="s">
        <v>730</v>
      </c>
      <c r="EM2201" s="1" t="s">
        <v>42</v>
      </c>
      <c r="EN2201" s="1" t="s">
        <v>210</v>
      </c>
      <c r="EO2201" s="1" t="s">
        <v>229</v>
      </c>
      <c r="EP2201" s="1" t="s">
        <v>208</v>
      </c>
      <c r="EQ2201" s="1" t="s">
        <v>42</v>
      </c>
      <c r="ER2201" s="1" t="s">
        <v>210</v>
      </c>
      <c r="ES2201" s="1" t="s">
        <v>229</v>
      </c>
      <c r="EU2201" s="1" t="s">
        <v>238</v>
      </c>
      <c r="EY2201" s="1" t="s">
        <v>238</v>
      </c>
      <c r="FC2201" s="1" t="s">
        <v>238</v>
      </c>
      <c r="FF2201" s="1" t="s">
        <v>239</v>
      </c>
      <c r="FG2201" s="1" t="s">
        <v>192</v>
      </c>
      <c r="FH2201" s="1" t="s">
        <v>192</v>
      </c>
      <c r="FJ2201" s="1" t="s">
        <v>498</v>
      </c>
      <c r="FK2201" s="1" t="s">
        <v>229</v>
      </c>
      <c r="FL2201" s="1" t="s">
        <v>3848</v>
      </c>
      <c r="FM2201" s="1">
        <v>432.0</v>
      </c>
      <c r="FN2201" s="1" t="s">
        <v>3849</v>
      </c>
      <c r="FO2201" s="1" t="s">
        <v>3850</v>
      </c>
      <c r="FP2201" s="1">
        <v>77389.0</v>
      </c>
      <c r="FQ2201" s="1" t="s">
        <v>3851</v>
      </c>
      <c r="FU2201" s="1" t="s">
        <v>6968</v>
      </c>
      <c r="FV2201" s="1" t="s">
        <v>200</v>
      </c>
      <c r="FW2201" s="1" t="s">
        <v>290</v>
      </c>
      <c r="FZ2201" s="1" t="s">
        <v>229</v>
      </c>
      <c r="GA2201" s="1" t="s">
        <v>291</v>
      </c>
      <c r="GB2201" s="2">
        <v>41978.0</v>
      </c>
    </row>
    <row r="2202">
      <c r="A2202" s="1">
        <v>280000.0</v>
      </c>
      <c r="B2202" s="1" t="s">
        <v>185</v>
      </c>
      <c r="C2202" s="1" t="str">
        <f>"08741946"</f>
        <v>08741946</v>
      </c>
      <c r="D2202" s="1" t="s">
        <v>186</v>
      </c>
      <c r="F2202" s="1" t="str">
        <f>"8064"</f>
        <v>8064</v>
      </c>
      <c r="G2202" s="2">
        <v>41913.0</v>
      </c>
      <c r="H2202" s="1">
        <v>324000.0</v>
      </c>
      <c r="I2202" s="1">
        <v>55.0</v>
      </c>
      <c r="J2202" s="1">
        <v>299900.0</v>
      </c>
      <c r="K2202" s="2">
        <v>41944.0</v>
      </c>
      <c r="L2202" s="1">
        <v>32.0</v>
      </c>
      <c r="M2202" s="2">
        <v>41944.0</v>
      </c>
      <c r="N2202" s="1" t="s">
        <v>187</v>
      </c>
      <c r="O2202" s="2">
        <v>41975.0</v>
      </c>
      <c r="P2202" s="1">
        <v>605367.0</v>
      </c>
      <c r="Q2202" s="1">
        <v>60476.0</v>
      </c>
      <c r="S2202" s="1">
        <v>6052.0</v>
      </c>
      <c r="T2202" s="1" t="s">
        <v>10575</v>
      </c>
      <c r="U2202" s="1" t="s">
        <v>189</v>
      </c>
      <c r="V2202" s="1" t="s">
        <v>190</v>
      </c>
      <c r="W2202" s="1">
        <v>60638.0</v>
      </c>
      <c r="Y2202" s="1" t="s">
        <v>20486</v>
      </c>
      <c r="Z2202" s="1" t="s">
        <v>296</v>
      </c>
      <c r="AA2202" s="1" t="s">
        <v>192</v>
      </c>
      <c r="AB2202" s="1" t="s">
        <v>193</v>
      </c>
      <c r="AD2202" s="1" t="s">
        <v>194</v>
      </c>
      <c r="AE2202" s="1" t="s">
        <v>195</v>
      </c>
      <c r="AF2202" s="1" t="s">
        <v>659</v>
      </c>
      <c r="AH2202" s="1" t="s">
        <v>1501</v>
      </c>
      <c r="AI2202" s="1">
        <v>0.0861</v>
      </c>
      <c r="AK2202" s="1">
        <v>8.0</v>
      </c>
      <c r="AL2202" s="1">
        <v>4.0</v>
      </c>
      <c r="AM2202" s="1">
        <v>3.0</v>
      </c>
      <c r="AN2202" s="1">
        <v>0.0</v>
      </c>
      <c r="AO2202" s="1" t="s">
        <v>229</v>
      </c>
      <c r="AQ2202" s="1" t="s">
        <v>198</v>
      </c>
      <c r="AR2202" s="1" t="s">
        <v>192</v>
      </c>
      <c r="AS2202" s="1" t="s">
        <v>199</v>
      </c>
      <c r="AT2202" s="1">
        <v>2.5</v>
      </c>
      <c r="AV2202" s="1" t="s">
        <v>200</v>
      </c>
      <c r="AW2202" s="1">
        <v>3915.0</v>
      </c>
      <c r="AX2202" s="1">
        <v>2012.0</v>
      </c>
      <c r="AZ2202" s="1" t="s">
        <v>200</v>
      </c>
      <c r="BA2202" s="1" t="str">
        <f>"19173160370000"</f>
        <v>19173160370000</v>
      </c>
      <c r="BC2202" s="1">
        <v>2000.0</v>
      </c>
      <c r="BD2202" s="1">
        <v>280000.0</v>
      </c>
      <c r="BE2202" s="2">
        <v>41913.0</v>
      </c>
      <c r="BF2202" s="2" t="s">
        <v>20487</v>
      </c>
      <c r="BH2202" s="1">
        <v>0.0</v>
      </c>
      <c r="BK2202" s="1" t="s">
        <v>204</v>
      </c>
      <c r="BL2202" s="1" t="str">
        <f t="shared" ref="BL2202:BM2202" si="1441">"0"</f>
        <v>0</v>
      </c>
      <c r="BM2202" s="1" t="str">
        <f t="shared" si="1441"/>
        <v>0</v>
      </c>
      <c r="BN2202" s="1">
        <v>6403.0</v>
      </c>
      <c r="BO2202" s="1">
        <v>6403.0</v>
      </c>
      <c r="BQ2202" s="1">
        <v>299.0</v>
      </c>
      <c r="BR2202" s="1">
        <v>299.0</v>
      </c>
      <c r="BS2202" s="1">
        <v>299.0</v>
      </c>
      <c r="BU2202" s="1" t="s">
        <v>1069</v>
      </c>
      <c r="BV2202" s="1" t="s">
        <v>206</v>
      </c>
      <c r="BW2202" s="1" t="s">
        <v>207</v>
      </c>
      <c r="BY2202" s="1" t="s">
        <v>361</v>
      </c>
      <c r="BZ2202" s="1" t="s">
        <v>209</v>
      </c>
      <c r="CA2202" s="1" t="s">
        <v>207</v>
      </c>
      <c r="CC2202" s="1" t="s">
        <v>542</v>
      </c>
      <c r="CD2202" s="1" t="s">
        <v>206</v>
      </c>
      <c r="CE2202" s="1" t="s">
        <v>207</v>
      </c>
      <c r="CG2202" s="1" t="s">
        <v>303</v>
      </c>
      <c r="CH2202" s="1" t="s">
        <v>209</v>
      </c>
      <c r="CI2202" s="1" t="s">
        <v>207</v>
      </c>
      <c r="CK2202" s="1" t="s">
        <v>269</v>
      </c>
      <c r="CL2202" s="1" t="s">
        <v>209</v>
      </c>
      <c r="CM2202" s="1" t="s">
        <v>207</v>
      </c>
      <c r="CO2202" s="1" t="s">
        <v>303</v>
      </c>
      <c r="CP2202" s="1" t="s">
        <v>209</v>
      </c>
      <c r="CQ2202" s="1" t="s">
        <v>207</v>
      </c>
      <c r="CS2202" s="1" t="s">
        <v>6858</v>
      </c>
      <c r="CT2202" s="1" t="s">
        <v>206</v>
      </c>
      <c r="CU2202" s="1" t="s">
        <v>207</v>
      </c>
      <c r="CW2202" s="1" t="s">
        <v>20488</v>
      </c>
      <c r="CX2202" s="1" t="s">
        <v>42</v>
      </c>
      <c r="CY2202" s="1" t="s">
        <v>268</v>
      </c>
      <c r="DA2202" s="1" t="s">
        <v>200</v>
      </c>
      <c r="DC2202" s="1" t="s">
        <v>545</v>
      </c>
      <c r="DD2202" s="1" t="s">
        <v>518</v>
      </c>
      <c r="DE2202" s="1" t="s">
        <v>273</v>
      </c>
      <c r="DF2202" s="1" t="s">
        <v>219</v>
      </c>
      <c r="DH2202" s="1" t="s">
        <v>365</v>
      </c>
      <c r="DJ2202" s="1" t="s">
        <v>1379</v>
      </c>
      <c r="DL2202" s="1" t="s">
        <v>858</v>
      </c>
      <c r="DM2202" s="1" t="s">
        <v>338</v>
      </c>
      <c r="DP2202" s="1" t="s">
        <v>276</v>
      </c>
      <c r="DQ2202" s="1" t="s">
        <v>228</v>
      </c>
      <c r="DR2202" s="1" t="s">
        <v>229</v>
      </c>
      <c r="DV2202" s="1" t="s">
        <v>232</v>
      </c>
      <c r="DW2202" s="1" t="s">
        <v>444</v>
      </c>
      <c r="DX2202" s="1" t="s">
        <v>1287</v>
      </c>
      <c r="DY2202" s="1" t="s">
        <v>1122</v>
      </c>
      <c r="DZ2202" s="1" t="s">
        <v>7881</v>
      </c>
      <c r="EC2202" s="1" t="s">
        <v>237</v>
      </c>
      <c r="ED2202" s="1" t="s">
        <v>1406</v>
      </c>
      <c r="EM2202" s="1" t="s">
        <v>238</v>
      </c>
      <c r="EQ2202" s="1" t="s">
        <v>238</v>
      </c>
      <c r="EU2202" s="1" t="s">
        <v>238</v>
      </c>
      <c r="EY2202" s="1" t="s">
        <v>238</v>
      </c>
      <c r="FC2202" s="1" t="s">
        <v>238</v>
      </c>
      <c r="FF2202" s="1" t="s">
        <v>239</v>
      </c>
      <c r="FG2202" s="1" t="s">
        <v>192</v>
      </c>
      <c r="FH2202" s="1" t="s">
        <v>192</v>
      </c>
      <c r="FJ2202" s="1" t="s">
        <v>20489</v>
      </c>
      <c r="FK2202" s="1" t="s">
        <v>229</v>
      </c>
      <c r="FL2202" s="1" t="s">
        <v>20490</v>
      </c>
      <c r="FM2202" s="1">
        <v>22165.0</v>
      </c>
      <c r="FN2202" s="1" t="s">
        <v>20491</v>
      </c>
      <c r="FO2202" s="1" t="s">
        <v>20492</v>
      </c>
      <c r="FP2202" s="1">
        <v>222291.0</v>
      </c>
      <c r="FQ2202" s="1" t="s">
        <v>20493</v>
      </c>
      <c r="FR2202" s="1">
        <v>215610.0</v>
      </c>
      <c r="FU2202" s="1" t="s">
        <v>20494</v>
      </c>
      <c r="FV2202" s="1" t="s">
        <v>200</v>
      </c>
      <c r="FW2202" s="1" t="s">
        <v>567</v>
      </c>
      <c r="FX2202" s="1" t="s">
        <v>655</v>
      </c>
      <c r="FZ2202" s="1" t="s">
        <v>229</v>
      </c>
      <c r="GA2202" s="1" t="s">
        <v>291</v>
      </c>
      <c r="GB2202" s="2">
        <v>41975.0</v>
      </c>
      <c r="GC2202" s="1" t="s">
        <v>20495</v>
      </c>
    </row>
    <row r="2203">
      <c r="A2203" s="1">
        <v>211000.0</v>
      </c>
      <c r="B2203" s="1" t="s">
        <v>185</v>
      </c>
      <c r="C2203" s="1" t="str">
        <f>"08741858"</f>
        <v>08741858</v>
      </c>
      <c r="D2203" s="1" t="s">
        <v>186</v>
      </c>
      <c r="F2203" s="1" t="str">
        <f>"538"</f>
        <v>538</v>
      </c>
      <c r="G2203" s="2">
        <v>41913.0</v>
      </c>
      <c r="H2203" s="1">
        <v>256800.0</v>
      </c>
      <c r="I2203" s="1">
        <v>125.0</v>
      </c>
      <c r="J2203" s="1">
        <v>209000.0</v>
      </c>
      <c r="K2203" s="2">
        <v>42037.0</v>
      </c>
      <c r="L2203" s="1">
        <v>125.0</v>
      </c>
      <c r="M2203" s="2">
        <v>42037.0</v>
      </c>
      <c r="N2203" s="1" t="s">
        <v>356</v>
      </c>
      <c r="O2203" s="2">
        <v>42080.0</v>
      </c>
      <c r="P2203" s="1">
        <v>131320.0</v>
      </c>
      <c r="Q2203" s="1">
        <v>12555.0</v>
      </c>
      <c r="R2203" s="1">
        <v>6330.0</v>
      </c>
      <c r="S2203" s="1">
        <v>3214.0</v>
      </c>
      <c r="T2203" s="1" t="s">
        <v>18360</v>
      </c>
      <c r="U2203" s="1" t="s">
        <v>1174</v>
      </c>
      <c r="V2203" s="1" t="s">
        <v>1340</v>
      </c>
      <c r="W2203" s="1">
        <v>60538.0</v>
      </c>
      <c r="Y2203" s="1" t="s">
        <v>20496</v>
      </c>
      <c r="Z2203" s="1">
        <v>2005.0</v>
      </c>
      <c r="AA2203" s="1" t="s">
        <v>200</v>
      </c>
      <c r="AB2203" s="1" t="s">
        <v>467</v>
      </c>
      <c r="AC2203" s="1" t="s">
        <v>9017</v>
      </c>
      <c r="AD2203" s="1" t="s">
        <v>1343</v>
      </c>
      <c r="AE2203" s="1" t="s">
        <v>849</v>
      </c>
      <c r="AF2203" s="1" t="s">
        <v>1312</v>
      </c>
      <c r="AH2203" s="1">
        <v>11237.0</v>
      </c>
      <c r="AI2203" s="1">
        <v>0.258</v>
      </c>
      <c r="AK2203" s="1">
        <v>10.0</v>
      </c>
      <c r="AL2203" s="1">
        <v>4.0</v>
      </c>
      <c r="AM2203" s="1">
        <v>3.0</v>
      </c>
      <c r="AN2203" s="1">
        <v>1.0</v>
      </c>
      <c r="AO2203" s="1" t="s">
        <v>198</v>
      </c>
      <c r="AP2203" s="1">
        <v>1.0</v>
      </c>
      <c r="AQ2203" s="1" t="s">
        <v>198</v>
      </c>
      <c r="AR2203" s="1" t="s">
        <v>192</v>
      </c>
      <c r="AS2203" s="1" t="s">
        <v>199</v>
      </c>
      <c r="AT2203" s="1">
        <v>2.0</v>
      </c>
      <c r="AV2203" s="1" t="s">
        <v>200</v>
      </c>
      <c r="AW2203" s="1">
        <v>7868.82</v>
      </c>
      <c r="AX2203" s="1">
        <v>2013.0</v>
      </c>
      <c r="AZ2203" s="1" t="s">
        <v>200</v>
      </c>
      <c r="BA2203" s="1" t="str">
        <f>"0203480014"</f>
        <v>0203480014</v>
      </c>
      <c r="BC2203" s="1">
        <v>2791.0</v>
      </c>
      <c r="BD2203" s="1">
        <v>211000.0</v>
      </c>
      <c r="BE2203" s="2">
        <v>41913.0</v>
      </c>
      <c r="BF2203" s="2" t="s">
        <v>20497</v>
      </c>
      <c r="BH2203" s="1">
        <v>300.0</v>
      </c>
      <c r="BK2203" s="1" t="s">
        <v>580</v>
      </c>
      <c r="BL2203" s="1" t="str">
        <f t="shared" ref="BL2203:BM2203" si="1442">""</f>
        <v/>
      </c>
      <c r="BM2203" s="1" t="str">
        <f t="shared" si="1442"/>
        <v/>
      </c>
      <c r="BQ2203" s="1">
        <v>115.0</v>
      </c>
      <c r="BR2203" s="1">
        <v>115.0</v>
      </c>
      <c r="BS2203" s="1">
        <v>115.0</v>
      </c>
      <c r="BU2203" s="1" t="s">
        <v>300</v>
      </c>
      <c r="BV2203" s="1" t="s">
        <v>206</v>
      </c>
      <c r="BY2203" s="1" t="s">
        <v>2261</v>
      </c>
      <c r="BZ2203" s="1" t="s">
        <v>209</v>
      </c>
      <c r="CC2203" s="1" t="s">
        <v>302</v>
      </c>
      <c r="CD2203" s="1" t="s">
        <v>206</v>
      </c>
      <c r="CG2203" s="1" t="s">
        <v>1183</v>
      </c>
      <c r="CH2203" s="1" t="s">
        <v>209</v>
      </c>
      <c r="CK2203" s="1" t="s">
        <v>1395</v>
      </c>
      <c r="CL2203" s="1" t="s">
        <v>209</v>
      </c>
      <c r="CO2203" s="1" t="s">
        <v>2459</v>
      </c>
      <c r="CP2203" s="1" t="s">
        <v>209</v>
      </c>
      <c r="CS2203" s="1" t="s">
        <v>623</v>
      </c>
      <c r="CT2203" s="1" t="s">
        <v>206</v>
      </c>
      <c r="CW2203" s="1" t="s">
        <v>2481</v>
      </c>
      <c r="CX2203" s="1" t="s">
        <v>206</v>
      </c>
      <c r="DA2203" s="1" t="s">
        <v>200</v>
      </c>
      <c r="DC2203" s="1" t="s">
        <v>481</v>
      </c>
      <c r="DE2203" s="1" t="s">
        <v>273</v>
      </c>
      <c r="DF2203" s="1" t="s">
        <v>619</v>
      </c>
      <c r="DH2203" s="1" t="s">
        <v>220</v>
      </c>
      <c r="DJ2203" s="1" t="s">
        <v>222</v>
      </c>
      <c r="DL2203" s="1" t="s">
        <v>224</v>
      </c>
      <c r="DM2203" s="1" t="s">
        <v>229</v>
      </c>
      <c r="DQ2203" s="1" t="s">
        <v>228</v>
      </c>
      <c r="DR2203" s="1" t="s">
        <v>229</v>
      </c>
      <c r="DV2203" s="1" t="s">
        <v>6535</v>
      </c>
      <c r="DW2203" s="1" t="s">
        <v>2602</v>
      </c>
      <c r="DX2203" s="1" t="s">
        <v>234</v>
      </c>
      <c r="EC2203" s="1" t="s">
        <v>237</v>
      </c>
      <c r="EG2203" s="1" t="s">
        <v>598</v>
      </c>
      <c r="EH2203" s="1" t="s">
        <v>341</v>
      </c>
      <c r="EL2203" s="1" t="s">
        <v>331</v>
      </c>
      <c r="EM2203" s="1" t="s">
        <v>206</v>
      </c>
      <c r="EP2203" s="1" t="s">
        <v>2460</v>
      </c>
      <c r="EQ2203" s="1" t="s">
        <v>209</v>
      </c>
      <c r="EU2203" s="1" t="s">
        <v>238</v>
      </c>
      <c r="EY2203" s="1" t="s">
        <v>238</v>
      </c>
      <c r="FC2203" s="1" t="s">
        <v>238</v>
      </c>
      <c r="FF2203" s="1" t="s">
        <v>239</v>
      </c>
      <c r="FG2203" s="1" t="s">
        <v>192</v>
      </c>
      <c r="FH2203" s="1" t="s">
        <v>192</v>
      </c>
      <c r="FJ2203" s="1" t="s">
        <v>1248</v>
      </c>
      <c r="FK2203" s="1" t="s">
        <v>229</v>
      </c>
      <c r="FL2203" s="1" t="s">
        <v>1007</v>
      </c>
      <c r="FM2203" s="1">
        <v>23286.0</v>
      </c>
      <c r="FN2203" s="1" t="s">
        <v>4221</v>
      </c>
      <c r="FO2203" s="1" t="s">
        <v>9318</v>
      </c>
      <c r="FP2203" s="1">
        <v>223647.0</v>
      </c>
      <c r="FQ2203" s="1" t="s">
        <v>9319</v>
      </c>
      <c r="FR2203" s="1">
        <v>230243.0</v>
      </c>
      <c r="FU2203" s="1" t="s">
        <v>3993</v>
      </c>
      <c r="FV2203" s="1" t="s">
        <v>200</v>
      </c>
      <c r="FW2203" s="1" t="s">
        <v>354</v>
      </c>
      <c r="FZ2203" s="1" t="s">
        <v>229</v>
      </c>
      <c r="GA2203" s="1" t="s">
        <v>291</v>
      </c>
      <c r="GB2203" s="2">
        <v>42080.0</v>
      </c>
      <c r="GC2203" s="1" t="s">
        <v>19080</v>
      </c>
    </row>
    <row r="2204">
      <c r="A2204" s="1">
        <v>318000.0</v>
      </c>
      <c r="B2204" s="1" t="s">
        <v>185</v>
      </c>
      <c r="C2204" s="1" t="str">
        <f>"08742878"</f>
        <v>08742878</v>
      </c>
      <c r="D2204" s="1" t="s">
        <v>186</v>
      </c>
      <c r="F2204" s="1" t="str">
        <f>"510"</f>
        <v>510</v>
      </c>
      <c r="G2204" s="2">
        <v>41913.0</v>
      </c>
      <c r="H2204" s="1">
        <v>325000.0</v>
      </c>
      <c r="I2204" s="1">
        <v>1224.0</v>
      </c>
      <c r="J2204" s="1">
        <v>325000.0</v>
      </c>
      <c r="K2204" s="2">
        <v>42077.0</v>
      </c>
      <c r="L2204" s="1">
        <v>165.0</v>
      </c>
      <c r="M2204" s="2">
        <v>42077.0</v>
      </c>
      <c r="N2204" s="1" t="s">
        <v>187</v>
      </c>
      <c r="O2204" s="2">
        <v>42123.0</v>
      </c>
      <c r="P2204" s="1">
        <v>315000.0</v>
      </c>
      <c r="Q2204" s="1">
        <v>31500.0</v>
      </c>
      <c r="R2204" s="1">
        <v>3000.0</v>
      </c>
      <c r="S2204" s="1" t="s">
        <v>20498</v>
      </c>
      <c r="T2204" s="1" t="s">
        <v>20499</v>
      </c>
      <c r="U2204" s="1" t="s">
        <v>320</v>
      </c>
      <c r="V2204" s="1" t="s">
        <v>2700</v>
      </c>
      <c r="W2204" s="1">
        <v>60510.0</v>
      </c>
      <c r="Y2204" s="1" t="s">
        <v>20500</v>
      </c>
      <c r="Z2204" s="1">
        <v>1985.0</v>
      </c>
      <c r="AA2204" s="1" t="s">
        <v>200</v>
      </c>
      <c r="AB2204" s="1" t="s">
        <v>193</v>
      </c>
      <c r="AD2204" s="1" t="s">
        <v>1089</v>
      </c>
      <c r="AE2204" s="1" t="s">
        <v>325</v>
      </c>
      <c r="AF2204" s="1" t="s">
        <v>424</v>
      </c>
      <c r="AH2204" s="1" t="s">
        <v>20501</v>
      </c>
      <c r="AI2204" s="1">
        <v>1.09</v>
      </c>
      <c r="AK2204" s="1">
        <v>8.0</v>
      </c>
      <c r="AL2204" s="1">
        <v>4.0</v>
      </c>
      <c r="AM2204" s="1">
        <v>2.0</v>
      </c>
      <c r="AN2204" s="1">
        <v>1.0</v>
      </c>
      <c r="AO2204" s="1" t="s">
        <v>198</v>
      </c>
      <c r="AP2204" s="1">
        <v>1.0</v>
      </c>
      <c r="AQ2204" s="1" t="s">
        <v>198</v>
      </c>
      <c r="AR2204" s="1" t="s">
        <v>200</v>
      </c>
      <c r="AS2204" s="1" t="s">
        <v>199</v>
      </c>
      <c r="AT2204" s="1">
        <v>2.0</v>
      </c>
      <c r="AV2204" s="1" t="s">
        <v>200</v>
      </c>
      <c r="AW2204" s="1">
        <v>8494.6</v>
      </c>
      <c r="AX2204" s="1">
        <v>2013.0</v>
      </c>
      <c r="AY2204" s="1" t="s">
        <v>387</v>
      </c>
      <c r="AZ2204" s="1" t="s">
        <v>200</v>
      </c>
      <c r="BA2204" s="1" t="str">
        <f>"1217352011"</f>
        <v>1217352011</v>
      </c>
      <c r="BB2204" s="1" t="s">
        <v>200</v>
      </c>
      <c r="BC2204" s="1">
        <v>2484.0</v>
      </c>
      <c r="BD2204" s="1">
        <v>318000.0</v>
      </c>
      <c r="BE2204" s="2">
        <v>41913.0</v>
      </c>
      <c r="BF2204" s="2" t="s">
        <v>20502</v>
      </c>
      <c r="BG2204" s="1" t="s">
        <v>3089</v>
      </c>
      <c r="BH2204" s="1">
        <v>0.0</v>
      </c>
      <c r="BI2204" s="1" t="s">
        <v>3090</v>
      </c>
      <c r="BJ2204" s="1" t="s">
        <v>3091</v>
      </c>
      <c r="BK2204" s="1" t="s">
        <v>204</v>
      </c>
      <c r="BL2204" s="1" t="str">
        <f t="shared" ref="BL2204:BM2204" si="1443">""</f>
        <v/>
      </c>
      <c r="BM2204" s="1" t="str">
        <f t="shared" si="1443"/>
        <v/>
      </c>
      <c r="BQ2204" s="1">
        <v>101.0</v>
      </c>
      <c r="BR2204" s="1">
        <v>101.0</v>
      </c>
      <c r="BS2204" s="1">
        <v>101.0</v>
      </c>
      <c r="BU2204" s="1" t="s">
        <v>390</v>
      </c>
      <c r="BV2204" s="1" t="s">
        <v>206</v>
      </c>
      <c r="BW2204" s="1" t="s">
        <v>210</v>
      </c>
      <c r="BX2204" s="1" t="s">
        <v>431</v>
      </c>
      <c r="BY2204" s="1" t="s">
        <v>1000</v>
      </c>
      <c r="BZ2204" s="1" t="s">
        <v>209</v>
      </c>
      <c r="CA2204" s="1" t="s">
        <v>210</v>
      </c>
      <c r="CB2204" s="1" t="s">
        <v>431</v>
      </c>
      <c r="CC2204" s="1" t="s">
        <v>215</v>
      </c>
      <c r="CD2204" s="1" t="s">
        <v>206</v>
      </c>
      <c r="CE2204" s="1" t="s">
        <v>210</v>
      </c>
      <c r="CF2204" s="1" t="s">
        <v>431</v>
      </c>
      <c r="CG2204" s="1" t="s">
        <v>495</v>
      </c>
      <c r="CH2204" s="1" t="s">
        <v>209</v>
      </c>
      <c r="CI2204" s="1" t="s">
        <v>210</v>
      </c>
      <c r="CJ2204" s="1" t="s">
        <v>431</v>
      </c>
      <c r="CK2204" s="1" t="s">
        <v>647</v>
      </c>
      <c r="CL2204" s="1" t="s">
        <v>209</v>
      </c>
      <c r="CM2204" s="1" t="s">
        <v>210</v>
      </c>
      <c r="CN2204" s="1" t="s">
        <v>431</v>
      </c>
      <c r="CO2204" s="1" t="s">
        <v>729</v>
      </c>
      <c r="CP2204" s="1" t="s">
        <v>209</v>
      </c>
      <c r="CQ2204" s="1" t="s">
        <v>210</v>
      </c>
      <c r="CR2204" s="1" t="s">
        <v>431</v>
      </c>
      <c r="CS2204" s="1" t="s">
        <v>1000</v>
      </c>
      <c r="CT2204" s="1" t="s">
        <v>206</v>
      </c>
      <c r="CU2204" s="1" t="s">
        <v>617</v>
      </c>
      <c r="CV2204" s="1" t="s">
        <v>431</v>
      </c>
      <c r="CW2204" s="1" t="s">
        <v>260</v>
      </c>
      <c r="CX2204" s="1" t="s">
        <v>206</v>
      </c>
      <c r="CY2204" s="1" t="s">
        <v>210</v>
      </c>
      <c r="CZ2204" s="1" t="s">
        <v>431</v>
      </c>
      <c r="DA2204" s="1" t="s">
        <v>200</v>
      </c>
      <c r="DC2204" s="1" t="s">
        <v>305</v>
      </c>
      <c r="DD2204" s="1" t="s">
        <v>396</v>
      </c>
      <c r="DE2204" s="1" t="s">
        <v>273</v>
      </c>
      <c r="DF2204" s="1" t="s">
        <v>219</v>
      </c>
      <c r="DG2204" s="1" t="s">
        <v>1553</v>
      </c>
      <c r="DH2204" s="1" t="s">
        <v>856</v>
      </c>
      <c r="DI2204" s="1" t="s">
        <v>1223</v>
      </c>
      <c r="DJ2204" s="1" t="s">
        <v>857</v>
      </c>
      <c r="DL2204" s="1" t="s">
        <v>791</v>
      </c>
      <c r="DM2204" s="1" t="s">
        <v>338</v>
      </c>
      <c r="DN2204" s="1" t="s">
        <v>399</v>
      </c>
      <c r="DO2204" s="1" t="s">
        <v>486</v>
      </c>
      <c r="DP2204" s="1" t="s">
        <v>340</v>
      </c>
      <c r="DQ2204" s="1" t="s">
        <v>931</v>
      </c>
      <c r="DR2204" s="1" t="s">
        <v>229</v>
      </c>
      <c r="DS2204" s="1" t="s">
        <v>368</v>
      </c>
      <c r="DU2204" s="1" t="s">
        <v>20503</v>
      </c>
      <c r="DV2204" s="1" t="s">
        <v>232</v>
      </c>
      <c r="DW2204" s="1" t="s">
        <v>934</v>
      </c>
      <c r="DX2204" s="1" t="s">
        <v>234</v>
      </c>
      <c r="DY2204" s="1" t="s">
        <v>2961</v>
      </c>
      <c r="DZ2204" s="1" t="s">
        <v>8913</v>
      </c>
      <c r="EA2204" s="1" t="s">
        <v>344</v>
      </c>
      <c r="EB2204" s="1" t="s">
        <v>2183</v>
      </c>
      <c r="EC2204" s="1" t="s">
        <v>237</v>
      </c>
      <c r="ED2204" s="1" t="s">
        <v>407</v>
      </c>
      <c r="EE2204" s="1" t="s">
        <v>493</v>
      </c>
      <c r="EM2204" s="1" t="s">
        <v>238</v>
      </c>
      <c r="EQ2204" s="1" t="s">
        <v>238</v>
      </c>
      <c r="EU2204" s="1" t="s">
        <v>238</v>
      </c>
      <c r="EY2204" s="1" t="s">
        <v>238</v>
      </c>
      <c r="FC2204" s="1" t="s">
        <v>238</v>
      </c>
      <c r="FF2204" s="1" t="s">
        <v>239</v>
      </c>
      <c r="FG2204" s="1" t="s">
        <v>192</v>
      </c>
      <c r="FH2204" s="1" t="s">
        <v>192</v>
      </c>
      <c r="FJ2204" s="1" t="s">
        <v>3357</v>
      </c>
      <c r="FK2204" s="1" t="s">
        <v>229</v>
      </c>
      <c r="FL2204" s="1" t="s">
        <v>456</v>
      </c>
      <c r="FM2204" s="1">
        <v>49.0</v>
      </c>
      <c r="FN2204" s="1" t="s">
        <v>457</v>
      </c>
      <c r="FO2204" s="1" t="s">
        <v>7855</v>
      </c>
      <c r="FP2204" s="1">
        <v>720.0</v>
      </c>
      <c r="FQ2204" s="1" t="s">
        <v>7856</v>
      </c>
      <c r="FS2204" s="1" t="s">
        <v>7857</v>
      </c>
      <c r="FU2204" s="1" t="s">
        <v>20504</v>
      </c>
      <c r="FV2204" s="1" t="s">
        <v>200</v>
      </c>
      <c r="FW2204" s="1" t="s">
        <v>1293</v>
      </c>
      <c r="FZ2204" s="1" t="s">
        <v>229</v>
      </c>
      <c r="GA2204" s="1" t="s">
        <v>291</v>
      </c>
      <c r="GB2204" s="2">
        <v>42123.0</v>
      </c>
      <c r="GC2204" s="1" t="s">
        <v>20505</v>
      </c>
    </row>
    <row r="2205">
      <c r="A2205" s="1">
        <v>484600.0</v>
      </c>
      <c r="B2205" s="1" t="s">
        <v>185</v>
      </c>
      <c r="C2205" s="1" t="str">
        <f>"08740177"</f>
        <v>08740177</v>
      </c>
      <c r="D2205" s="1" t="s">
        <v>186</v>
      </c>
      <c r="F2205" s="1" t="str">
        <f>"8005"</f>
        <v>8005</v>
      </c>
      <c r="G2205" s="2">
        <v>41911.0</v>
      </c>
      <c r="H2205" s="1">
        <v>559000.0</v>
      </c>
      <c r="I2205" s="1">
        <v>178.0</v>
      </c>
      <c r="J2205" s="1">
        <v>559000.0</v>
      </c>
      <c r="K2205" s="2">
        <v>41950.0</v>
      </c>
      <c r="L2205" s="1">
        <v>40.0</v>
      </c>
      <c r="M2205" s="2">
        <v>41950.0</v>
      </c>
      <c r="N2205" s="1" t="s">
        <v>187</v>
      </c>
      <c r="O2205" s="2">
        <v>42058.0</v>
      </c>
      <c r="P2205" s="1">
        <v>181404.0</v>
      </c>
      <c r="Q2205" s="1">
        <v>18273.0</v>
      </c>
      <c r="S2205" s="1">
        <v>1835.0</v>
      </c>
      <c r="T2205" s="1" t="s">
        <v>2501</v>
      </c>
      <c r="U2205" s="1" t="s">
        <v>320</v>
      </c>
      <c r="V2205" s="1" t="s">
        <v>190</v>
      </c>
      <c r="W2205" s="1">
        <v>60657.0</v>
      </c>
      <c r="Y2205" s="1" t="s">
        <v>20506</v>
      </c>
      <c r="Z2205" s="1">
        <v>1880.0</v>
      </c>
      <c r="AA2205" s="1" t="s">
        <v>192</v>
      </c>
      <c r="AB2205" s="1" t="s">
        <v>193</v>
      </c>
      <c r="AD2205" s="1" t="s">
        <v>194</v>
      </c>
      <c r="AE2205" s="1" t="s">
        <v>195</v>
      </c>
      <c r="AF2205" s="1" t="s">
        <v>534</v>
      </c>
      <c r="AH2205" s="1" t="s">
        <v>20507</v>
      </c>
      <c r="AK2205" s="1">
        <v>8.0</v>
      </c>
      <c r="AL2205" s="1">
        <v>4.0</v>
      </c>
      <c r="AM2205" s="1">
        <v>1.0</v>
      </c>
      <c r="AN2205" s="1">
        <v>0.0</v>
      </c>
      <c r="AO2205" s="1" t="s">
        <v>229</v>
      </c>
      <c r="AP2205" s="1">
        <v>1.0</v>
      </c>
      <c r="AQ2205" s="1" t="s">
        <v>198</v>
      </c>
      <c r="AR2205" s="1" t="s">
        <v>200</v>
      </c>
      <c r="AS2205" s="1" t="s">
        <v>229</v>
      </c>
      <c r="AV2205" s="1" t="s">
        <v>200</v>
      </c>
      <c r="AW2205" s="1">
        <v>8963.86</v>
      </c>
      <c r="AX2205" s="1">
        <v>2013.0</v>
      </c>
      <c r="AZ2205" s="1" t="s">
        <v>200</v>
      </c>
      <c r="BA2205" s="1" t="str">
        <f>"14194030100000"</f>
        <v>14194030100000</v>
      </c>
      <c r="BC2205" s="1">
        <v>0.0</v>
      </c>
      <c r="BD2205" s="1">
        <v>484600.0</v>
      </c>
      <c r="BE2205" s="2">
        <v>41911.0</v>
      </c>
      <c r="BF2205" s="2" t="s">
        <v>20508</v>
      </c>
      <c r="BH2205" s="1">
        <v>0.0</v>
      </c>
      <c r="BK2205" s="1" t="s">
        <v>204</v>
      </c>
      <c r="BL2205" s="1" t="str">
        <f>"3550"</f>
        <v>3550</v>
      </c>
      <c r="BM2205" s="1" t="str">
        <f>"0"</f>
        <v>0</v>
      </c>
      <c r="BN2205" s="1">
        <v>1835.0</v>
      </c>
      <c r="BO2205" s="1">
        <v>0.0</v>
      </c>
      <c r="BQ2205" s="1">
        <v>299.0</v>
      </c>
      <c r="BR2205" s="1">
        <v>299.0</v>
      </c>
      <c r="BS2205" s="1">
        <v>299.0</v>
      </c>
      <c r="BU2205" s="1" t="s">
        <v>4045</v>
      </c>
      <c r="BV2205" s="1" t="s">
        <v>206</v>
      </c>
      <c r="BY2205" s="1" t="s">
        <v>1426</v>
      </c>
      <c r="BZ2205" s="1" t="s">
        <v>209</v>
      </c>
      <c r="CA2205" s="1" t="s">
        <v>210</v>
      </c>
      <c r="CC2205" s="1" t="s">
        <v>329</v>
      </c>
      <c r="CD2205" s="1" t="s">
        <v>206</v>
      </c>
      <c r="CG2205" s="1" t="s">
        <v>1352</v>
      </c>
      <c r="CH2205" s="1" t="s">
        <v>209</v>
      </c>
      <c r="CI2205" s="1" t="s">
        <v>210</v>
      </c>
      <c r="CK2205" s="1" t="s">
        <v>925</v>
      </c>
      <c r="CL2205" s="1" t="s">
        <v>391</v>
      </c>
      <c r="CM2205" s="1" t="s">
        <v>210</v>
      </c>
      <c r="CO2205" s="1" t="s">
        <v>332</v>
      </c>
      <c r="CP2205" s="1" t="s">
        <v>391</v>
      </c>
      <c r="CQ2205" s="1" t="s">
        <v>210</v>
      </c>
      <c r="CS2205" s="1" t="s">
        <v>663</v>
      </c>
      <c r="CT2205" s="1" t="s">
        <v>206</v>
      </c>
      <c r="CX2205" s="1" t="s">
        <v>204</v>
      </c>
      <c r="DA2205" s="1" t="s">
        <v>200</v>
      </c>
      <c r="DC2205" s="1" t="s">
        <v>642</v>
      </c>
      <c r="DD2205" s="1" t="s">
        <v>2094</v>
      </c>
      <c r="DE2205" s="1" t="s">
        <v>273</v>
      </c>
      <c r="DF2205" s="1" t="s">
        <v>219</v>
      </c>
      <c r="DH2205" s="1" t="s">
        <v>365</v>
      </c>
      <c r="DI2205" s="1" t="s">
        <v>1401</v>
      </c>
      <c r="DJ2205" s="1" t="s">
        <v>222</v>
      </c>
      <c r="DL2205" s="1" t="s">
        <v>223</v>
      </c>
      <c r="DM2205" s="1" t="s">
        <v>229</v>
      </c>
      <c r="DP2205" s="1" t="s">
        <v>340</v>
      </c>
      <c r="DQ2205" s="1" t="s">
        <v>228</v>
      </c>
      <c r="DR2205" s="1" t="s">
        <v>229</v>
      </c>
      <c r="DS2205" s="1" t="s">
        <v>401</v>
      </c>
      <c r="DV2205" s="1" t="s">
        <v>20509</v>
      </c>
      <c r="DW2205" s="1" t="s">
        <v>279</v>
      </c>
      <c r="DX2205" s="1" t="s">
        <v>234</v>
      </c>
      <c r="EA2205" s="1" t="s">
        <v>2466</v>
      </c>
      <c r="EB2205" s="1" t="s">
        <v>797</v>
      </c>
      <c r="EC2205" s="1" t="s">
        <v>406</v>
      </c>
      <c r="EG2205" s="1" t="s">
        <v>598</v>
      </c>
      <c r="EH2205" s="1" t="s">
        <v>2877</v>
      </c>
      <c r="EL2205" s="1" t="s">
        <v>375</v>
      </c>
      <c r="EM2205" s="1" t="s">
        <v>209</v>
      </c>
      <c r="EP2205" s="1" t="s">
        <v>10224</v>
      </c>
      <c r="EQ2205" s="1" t="s">
        <v>206</v>
      </c>
      <c r="EU2205" s="1" t="s">
        <v>238</v>
      </c>
      <c r="EY2205" s="1" t="s">
        <v>238</v>
      </c>
      <c r="FC2205" s="1" t="s">
        <v>238</v>
      </c>
      <c r="FF2205" s="1" t="s">
        <v>239</v>
      </c>
      <c r="FG2205" s="1" t="s">
        <v>192</v>
      </c>
      <c r="FH2205" s="1" t="s">
        <v>192</v>
      </c>
      <c r="FJ2205" s="1" t="s">
        <v>7102</v>
      </c>
      <c r="FK2205" s="1" t="s">
        <v>348</v>
      </c>
      <c r="FL2205" s="1" t="s">
        <v>20510</v>
      </c>
      <c r="FM2205" s="1">
        <v>10947.0</v>
      </c>
      <c r="FN2205" s="1" t="s">
        <v>20511</v>
      </c>
      <c r="FO2205" s="1" t="s">
        <v>20512</v>
      </c>
      <c r="FP2205" s="1">
        <v>101942.0</v>
      </c>
      <c r="FQ2205" s="1" t="s">
        <v>20511</v>
      </c>
      <c r="FU2205" s="1" t="s">
        <v>20513</v>
      </c>
      <c r="FV2205" s="1" t="s">
        <v>192</v>
      </c>
      <c r="FW2205" s="1" t="s">
        <v>20514</v>
      </c>
      <c r="FX2205" s="1" t="s">
        <v>246</v>
      </c>
      <c r="FZ2205" s="1" t="s">
        <v>229</v>
      </c>
      <c r="GA2205" s="1" t="s">
        <v>247</v>
      </c>
      <c r="GB2205" s="2">
        <v>42059.0</v>
      </c>
    </row>
    <row r="2206">
      <c r="A2206" s="1">
        <v>115000.0</v>
      </c>
      <c r="B2206" s="1" t="s">
        <v>185</v>
      </c>
      <c r="C2206" s="1" t="str">
        <f>"08748390"</f>
        <v>08748390</v>
      </c>
      <c r="D2206" s="1" t="s">
        <v>186</v>
      </c>
      <c r="F2206" s="1" t="str">
        <f>"8070"</f>
        <v>8070</v>
      </c>
      <c r="G2206" s="2">
        <v>41920.0</v>
      </c>
      <c r="H2206" s="1">
        <v>115900.0</v>
      </c>
      <c r="I2206" s="1">
        <v>12.0</v>
      </c>
      <c r="J2206" s="1">
        <v>115900.0</v>
      </c>
      <c r="K2206" s="2">
        <v>41928.0</v>
      </c>
      <c r="L2206" s="1">
        <v>12.0</v>
      </c>
      <c r="M2206" s="2">
        <v>41928.0</v>
      </c>
      <c r="N2206" s="1" t="s">
        <v>356</v>
      </c>
      <c r="O2206" s="2">
        <v>42093.0</v>
      </c>
      <c r="P2206" s="1">
        <v>131124.0</v>
      </c>
      <c r="Q2206" s="1">
        <v>84624.0</v>
      </c>
      <c r="S2206" s="1">
        <v>3727.0</v>
      </c>
      <c r="T2206" s="1" t="s">
        <v>20515</v>
      </c>
      <c r="U2206" s="1" t="s">
        <v>320</v>
      </c>
      <c r="V2206" s="1" t="s">
        <v>190</v>
      </c>
      <c r="W2206" s="1">
        <v>60652.0</v>
      </c>
      <c r="Y2206" s="1" t="s">
        <v>20516</v>
      </c>
      <c r="Z2206" s="1">
        <v>1965.0</v>
      </c>
      <c r="AA2206" s="1" t="s">
        <v>192</v>
      </c>
      <c r="AB2206" s="1" t="s">
        <v>193</v>
      </c>
      <c r="AD2206" s="1" t="s">
        <v>194</v>
      </c>
      <c r="AE2206" s="1" t="s">
        <v>195</v>
      </c>
      <c r="AF2206" s="1" t="s">
        <v>827</v>
      </c>
      <c r="AH2206" s="1" t="s">
        <v>359</v>
      </c>
      <c r="AI2206" s="1">
        <v>0.0</v>
      </c>
      <c r="AK2206" s="1">
        <v>7.0</v>
      </c>
      <c r="AL2206" s="1">
        <v>4.0</v>
      </c>
      <c r="AM2206" s="1">
        <v>2.0</v>
      </c>
      <c r="AN2206" s="1">
        <v>0.0</v>
      </c>
      <c r="AO2206" s="1" t="s">
        <v>229</v>
      </c>
      <c r="AQ2206" s="1" t="s">
        <v>198</v>
      </c>
      <c r="AR2206" s="1" t="s">
        <v>192</v>
      </c>
      <c r="AS2206" s="1" t="s">
        <v>199</v>
      </c>
      <c r="AT2206" s="1">
        <v>1.0</v>
      </c>
      <c r="AV2206" s="1" t="s">
        <v>200</v>
      </c>
      <c r="AW2206" s="3">
        <v>2119.0</v>
      </c>
      <c r="AX2206" s="1">
        <v>2012.0</v>
      </c>
      <c r="AY2206" s="1" t="s">
        <v>387</v>
      </c>
      <c r="AZ2206" s="1" t="s">
        <v>200</v>
      </c>
      <c r="BA2206" s="1" t="str">
        <f>"19263240530000"</f>
        <v>19263240530000</v>
      </c>
      <c r="BC2206" s="1">
        <v>1459.0</v>
      </c>
      <c r="BD2206" s="1">
        <v>115000.0</v>
      </c>
      <c r="BE2206" s="2">
        <v>41917.0</v>
      </c>
      <c r="BF2206" s="1" t="s">
        <v>20517</v>
      </c>
      <c r="BH2206" s="1">
        <v>0.0</v>
      </c>
      <c r="BK2206" s="1" t="s">
        <v>204</v>
      </c>
      <c r="BL2206" s="1" t="str">
        <f t="shared" ref="BL2206:BM2206" si="1444">"0"</f>
        <v>0</v>
      </c>
      <c r="BM2206" s="1" t="str">
        <f t="shared" si="1444"/>
        <v>0</v>
      </c>
      <c r="BN2206" s="1">
        <v>3727.0</v>
      </c>
      <c r="BO2206" s="1">
        <v>7700.0</v>
      </c>
      <c r="BQ2206" s="1">
        <v>299.0</v>
      </c>
      <c r="BR2206" s="1">
        <v>299.0</v>
      </c>
      <c r="BS2206" s="1">
        <v>299.0</v>
      </c>
      <c r="BU2206" s="1" t="s">
        <v>924</v>
      </c>
      <c r="BV2206" s="1" t="s">
        <v>206</v>
      </c>
      <c r="BW2206" s="1" t="s">
        <v>207</v>
      </c>
      <c r="BY2206" s="1" t="s">
        <v>393</v>
      </c>
      <c r="BZ2206" s="1" t="s">
        <v>206</v>
      </c>
      <c r="CA2206" s="1" t="s">
        <v>207</v>
      </c>
      <c r="CB2206" s="1" t="s">
        <v>229</v>
      </c>
      <c r="CD2206" s="1" t="s">
        <v>204</v>
      </c>
      <c r="CG2206" s="1" t="s">
        <v>215</v>
      </c>
      <c r="CH2206" s="1" t="s">
        <v>206</v>
      </c>
      <c r="CI2206" s="1" t="s">
        <v>207</v>
      </c>
      <c r="CK2206" s="1" t="s">
        <v>302</v>
      </c>
      <c r="CL2206" s="1" t="s">
        <v>206</v>
      </c>
      <c r="CM2206" s="1" t="s">
        <v>207</v>
      </c>
      <c r="CO2206" s="1" t="s">
        <v>433</v>
      </c>
      <c r="CP2206" s="1" t="s">
        <v>267</v>
      </c>
      <c r="CQ2206" s="1" t="s">
        <v>210</v>
      </c>
      <c r="CS2206" s="1" t="s">
        <v>784</v>
      </c>
      <c r="CT2206" s="1" t="s">
        <v>206</v>
      </c>
      <c r="CU2206" s="1" t="s">
        <v>268</v>
      </c>
      <c r="CW2206" s="1" t="s">
        <v>2633</v>
      </c>
      <c r="CX2206" s="1" t="s">
        <v>267</v>
      </c>
      <c r="CY2206" s="1" t="s">
        <v>210</v>
      </c>
      <c r="DA2206" s="1" t="s">
        <v>200</v>
      </c>
      <c r="DC2206" s="1" t="s">
        <v>517</v>
      </c>
      <c r="DD2206" s="1" t="s">
        <v>336</v>
      </c>
      <c r="DE2206" s="1" t="s">
        <v>273</v>
      </c>
      <c r="DF2206" s="1" t="s">
        <v>619</v>
      </c>
      <c r="DH2206" s="1" t="s">
        <v>365</v>
      </c>
      <c r="DI2206" s="1" t="s">
        <v>831</v>
      </c>
      <c r="DJ2206" s="1" t="s">
        <v>222</v>
      </c>
      <c r="DL2206" s="1" t="s">
        <v>224</v>
      </c>
      <c r="DM2206" s="1" t="s">
        <v>229</v>
      </c>
      <c r="DQ2206" s="1" t="s">
        <v>228</v>
      </c>
      <c r="DR2206" s="1" t="s">
        <v>229</v>
      </c>
      <c r="DV2206" s="1" t="s">
        <v>232</v>
      </c>
      <c r="DW2206" s="1" t="s">
        <v>279</v>
      </c>
      <c r="DX2206" s="1" t="s">
        <v>234</v>
      </c>
      <c r="DY2206" s="1" t="s">
        <v>704</v>
      </c>
      <c r="EA2206" s="1" t="s">
        <v>683</v>
      </c>
      <c r="EC2206" s="1" t="s">
        <v>311</v>
      </c>
      <c r="ED2206" s="1" t="s">
        <v>555</v>
      </c>
      <c r="EE2206" s="1" t="s">
        <v>493</v>
      </c>
      <c r="EM2206" s="1" t="s">
        <v>238</v>
      </c>
      <c r="EQ2206" s="1" t="s">
        <v>238</v>
      </c>
      <c r="EU2206" s="1" t="s">
        <v>238</v>
      </c>
      <c r="EY2206" s="1" t="s">
        <v>238</v>
      </c>
      <c r="FC2206" s="1" t="s">
        <v>238</v>
      </c>
      <c r="FF2206" s="1" t="s">
        <v>239</v>
      </c>
      <c r="FG2206" s="1" t="s">
        <v>192</v>
      </c>
      <c r="FH2206" s="1" t="s">
        <v>192</v>
      </c>
      <c r="FJ2206" s="1" t="s">
        <v>6790</v>
      </c>
      <c r="FK2206" s="1" t="s">
        <v>1586</v>
      </c>
      <c r="FL2206" s="1" t="s">
        <v>20518</v>
      </c>
      <c r="FM2206" s="1">
        <v>1342.0</v>
      </c>
      <c r="FN2206" s="1" t="s">
        <v>20519</v>
      </c>
      <c r="FO2206" s="1" t="s">
        <v>20520</v>
      </c>
      <c r="FP2206" s="1">
        <v>88156.0</v>
      </c>
      <c r="FQ2206" s="1" t="s">
        <v>20521</v>
      </c>
      <c r="FT2206" s="1" t="s">
        <v>20522</v>
      </c>
      <c r="FU2206" s="1" t="s">
        <v>20523</v>
      </c>
      <c r="FV2206" s="1" t="s">
        <v>200</v>
      </c>
      <c r="FW2206" s="1" t="s">
        <v>290</v>
      </c>
      <c r="FX2206" s="1" t="s">
        <v>246</v>
      </c>
      <c r="FZ2206" s="1" t="s">
        <v>229</v>
      </c>
      <c r="GA2206" s="1" t="s">
        <v>291</v>
      </c>
      <c r="GB2206" s="2">
        <v>42094.0</v>
      </c>
      <c r="GC2206" s="1" t="s">
        <v>3170</v>
      </c>
    </row>
    <row r="2207">
      <c r="A2207" s="1">
        <v>282500.0</v>
      </c>
      <c r="B2207" s="1" t="s">
        <v>185</v>
      </c>
      <c r="C2207" s="1" t="str">
        <f>"08745581"</f>
        <v>08745581</v>
      </c>
      <c r="D2207" s="1" t="s">
        <v>186</v>
      </c>
      <c r="F2207" s="1" t="str">
        <f>"554"</f>
        <v>554</v>
      </c>
      <c r="G2207" s="2">
        <v>41917.0</v>
      </c>
      <c r="H2207" s="1">
        <v>304900.0</v>
      </c>
      <c r="I2207" s="1">
        <v>119.0</v>
      </c>
      <c r="J2207" s="1">
        <v>289900.0</v>
      </c>
      <c r="K2207" s="2">
        <v>41966.0</v>
      </c>
      <c r="L2207" s="1">
        <v>50.0</v>
      </c>
      <c r="M2207" s="2">
        <v>41966.0</v>
      </c>
      <c r="N2207" s="1" t="s">
        <v>187</v>
      </c>
      <c r="O2207" s="2">
        <v>41995.0</v>
      </c>
      <c r="P2207" s="1">
        <v>233560.0</v>
      </c>
      <c r="Q2207" s="1">
        <v>24695.0</v>
      </c>
      <c r="S2207" s="1">
        <v>620.0</v>
      </c>
      <c r="T2207" s="1" t="s">
        <v>19759</v>
      </c>
      <c r="U2207" s="1" t="s">
        <v>320</v>
      </c>
      <c r="V2207" s="1" t="s">
        <v>2212</v>
      </c>
      <c r="W2207" s="1">
        <v>60554.0</v>
      </c>
      <c r="Y2207" s="1" t="s">
        <v>20524</v>
      </c>
      <c r="Z2207" s="1">
        <v>2003.0</v>
      </c>
      <c r="AA2207" s="1" t="s">
        <v>200</v>
      </c>
      <c r="AB2207" s="1" t="s">
        <v>467</v>
      </c>
      <c r="AC2207" s="1" t="s">
        <v>17718</v>
      </c>
      <c r="AD2207" s="1" t="s">
        <v>1887</v>
      </c>
      <c r="AE2207" s="1" t="s">
        <v>325</v>
      </c>
      <c r="AF2207" s="1" t="s">
        <v>1887</v>
      </c>
      <c r="AH2207" s="1" t="s">
        <v>20525</v>
      </c>
      <c r="AK2207" s="1">
        <v>9.0</v>
      </c>
      <c r="AL2207" s="1">
        <v>4.0</v>
      </c>
      <c r="AM2207" s="1">
        <v>2.0</v>
      </c>
      <c r="AN2207" s="1">
        <v>1.0</v>
      </c>
      <c r="AO2207" s="1" t="s">
        <v>198</v>
      </c>
      <c r="AP2207" s="1">
        <v>1.0</v>
      </c>
      <c r="AQ2207" s="1" t="s">
        <v>198</v>
      </c>
      <c r="AR2207" s="1" t="s">
        <v>200</v>
      </c>
      <c r="AS2207" s="1" t="s">
        <v>199</v>
      </c>
      <c r="AT2207" s="1">
        <v>3.0</v>
      </c>
      <c r="AV2207" s="1" t="s">
        <v>200</v>
      </c>
      <c r="AW2207" s="1">
        <v>11505.0</v>
      </c>
      <c r="AX2207" s="1">
        <v>2012.0</v>
      </c>
      <c r="AY2207" s="1" t="s">
        <v>387</v>
      </c>
      <c r="AZ2207" s="1" t="s">
        <v>200</v>
      </c>
      <c r="BA2207" s="1" t="str">
        <f>"1403304005"</f>
        <v>1403304005</v>
      </c>
      <c r="BC2207" s="1">
        <v>2852.0</v>
      </c>
      <c r="BD2207" s="1">
        <v>282500.0</v>
      </c>
      <c r="BE2207" s="2">
        <v>41917.0</v>
      </c>
      <c r="BF2207" s="2" t="s">
        <v>20526</v>
      </c>
      <c r="BG2207" s="1" t="s">
        <v>2218</v>
      </c>
      <c r="BH2207" s="1">
        <v>425.0</v>
      </c>
      <c r="BI2207" s="1" t="s">
        <v>4352</v>
      </c>
      <c r="BJ2207" s="1" t="s">
        <v>1636</v>
      </c>
      <c r="BK2207" s="1" t="s">
        <v>580</v>
      </c>
      <c r="BL2207" s="1" t="str">
        <f t="shared" ref="BL2207:BM2207" si="1445">""</f>
        <v/>
      </c>
      <c r="BM2207" s="1" t="str">
        <f t="shared" si="1445"/>
        <v/>
      </c>
      <c r="BQ2207" s="1">
        <v>302.0</v>
      </c>
      <c r="BR2207" s="1">
        <v>302.0</v>
      </c>
      <c r="BS2207" s="1">
        <v>302.0</v>
      </c>
      <c r="BV2207" s="1" t="s">
        <v>204</v>
      </c>
      <c r="BY2207" s="1" t="s">
        <v>854</v>
      </c>
      <c r="BZ2207" s="1" t="s">
        <v>209</v>
      </c>
      <c r="CA2207" s="1" t="s">
        <v>210</v>
      </c>
      <c r="CC2207" s="1" t="s">
        <v>393</v>
      </c>
      <c r="CD2207" s="1" t="s">
        <v>206</v>
      </c>
      <c r="CE2207" s="1" t="s">
        <v>207</v>
      </c>
      <c r="CG2207" s="1" t="s">
        <v>214</v>
      </c>
      <c r="CH2207" s="1" t="s">
        <v>209</v>
      </c>
      <c r="CI2207" s="1" t="s">
        <v>210</v>
      </c>
      <c r="CK2207" s="1" t="s">
        <v>2224</v>
      </c>
      <c r="CL2207" s="1" t="s">
        <v>209</v>
      </c>
      <c r="CM2207" s="1" t="s">
        <v>210</v>
      </c>
      <c r="CO2207" s="1" t="s">
        <v>215</v>
      </c>
      <c r="CP2207" s="1" t="s">
        <v>209</v>
      </c>
      <c r="CQ2207" s="1" t="s">
        <v>210</v>
      </c>
      <c r="CS2207" s="1" t="s">
        <v>2224</v>
      </c>
      <c r="CT2207" s="1" t="s">
        <v>206</v>
      </c>
      <c r="CU2207" s="1" t="s">
        <v>207</v>
      </c>
      <c r="CW2207" s="1" t="s">
        <v>480</v>
      </c>
      <c r="CX2207" s="1" t="s">
        <v>206</v>
      </c>
      <c r="CY2207" s="1" t="s">
        <v>210</v>
      </c>
      <c r="DA2207" s="1" t="s">
        <v>200</v>
      </c>
      <c r="DC2207" s="1" t="s">
        <v>335</v>
      </c>
      <c r="DD2207" s="1" t="s">
        <v>2889</v>
      </c>
      <c r="DE2207" s="1" t="s">
        <v>273</v>
      </c>
      <c r="DF2207" s="1" t="s">
        <v>219</v>
      </c>
      <c r="DH2207" s="1" t="s">
        <v>220</v>
      </c>
      <c r="DI2207" s="1" t="s">
        <v>11960</v>
      </c>
      <c r="DJ2207" s="1" t="s">
        <v>222</v>
      </c>
      <c r="DL2207" s="1" t="s">
        <v>223</v>
      </c>
      <c r="DM2207" s="1" t="s">
        <v>229</v>
      </c>
      <c r="DO2207" s="1" t="s">
        <v>5346</v>
      </c>
      <c r="DP2207" s="1" t="s">
        <v>340</v>
      </c>
      <c r="DQ2207" s="1" t="s">
        <v>228</v>
      </c>
      <c r="DR2207" s="1" t="s">
        <v>229</v>
      </c>
      <c r="DV2207" s="1" t="s">
        <v>2381</v>
      </c>
      <c r="DW2207" s="1" t="s">
        <v>20527</v>
      </c>
      <c r="DX2207" s="1" t="s">
        <v>234</v>
      </c>
      <c r="DY2207" s="1" t="s">
        <v>490</v>
      </c>
      <c r="EA2207" s="1" t="s">
        <v>447</v>
      </c>
      <c r="EB2207" s="1" t="s">
        <v>345</v>
      </c>
      <c r="EC2207" s="1" t="s">
        <v>237</v>
      </c>
      <c r="ED2207" s="1" t="s">
        <v>6543</v>
      </c>
      <c r="EG2207" s="1" t="s">
        <v>556</v>
      </c>
      <c r="EH2207" s="1" t="s">
        <v>494</v>
      </c>
      <c r="EL2207" s="1" t="s">
        <v>495</v>
      </c>
      <c r="EM2207" s="1" t="s">
        <v>206</v>
      </c>
      <c r="EN2207" s="1" t="s">
        <v>207</v>
      </c>
      <c r="EP2207" s="1" t="s">
        <v>393</v>
      </c>
      <c r="EQ2207" s="1" t="s">
        <v>206</v>
      </c>
      <c r="ER2207" s="1" t="s">
        <v>210</v>
      </c>
      <c r="EU2207" s="1" t="s">
        <v>238</v>
      </c>
      <c r="EY2207" s="1" t="s">
        <v>238</v>
      </c>
      <c r="FC2207" s="1" t="s">
        <v>238</v>
      </c>
      <c r="FF2207" s="1" t="s">
        <v>239</v>
      </c>
      <c r="FG2207" s="1" t="s">
        <v>192</v>
      </c>
      <c r="FH2207" s="1" t="s">
        <v>200</v>
      </c>
      <c r="FJ2207" s="1" t="s">
        <v>524</v>
      </c>
      <c r="FK2207" s="1" t="s">
        <v>229</v>
      </c>
      <c r="FL2207" s="1" t="s">
        <v>1289</v>
      </c>
      <c r="FM2207" s="1">
        <v>306.0</v>
      </c>
      <c r="FN2207" s="1" t="s">
        <v>6762</v>
      </c>
      <c r="FO2207" s="1" t="s">
        <v>20528</v>
      </c>
      <c r="FP2207" s="1">
        <v>310432.0</v>
      </c>
      <c r="FQ2207" s="1" t="s">
        <v>6764</v>
      </c>
      <c r="FU2207" s="1" t="s">
        <v>2830</v>
      </c>
      <c r="FV2207" s="1" t="s">
        <v>200</v>
      </c>
      <c r="FW2207" s="1" t="s">
        <v>17609</v>
      </c>
      <c r="FZ2207" s="1" t="s">
        <v>632</v>
      </c>
      <c r="GA2207" s="1" t="s">
        <v>291</v>
      </c>
      <c r="GB2207" s="2">
        <v>41996.0</v>
      </c>
      <c r="GC2207" s="1" t="s">
        <v>20529</v>
      </c>
    </row>
    <row r="2208">
      <c r="A2208" s="1">
        <v>250000.0</v>
      </c>
      <c r="B2208" s="1" t="s">
        <v>185</v>
      </c>
      <c r="C2208" s="1" t="str">
        <f>"08747565"</f>
        <v>08747565</v>
      </c>
      <c r="D2208" s="1" t="s">
        <v>186</v>
      </c>
      <c r="F2208" s="1" t="str">
        <f>"119"</f>
        <v>119</v>
      </c>
      <c r="G2208" s="2">
        <v>41919.0</v>
      </c>
      <c r="H2208" s="1">
        <v>324900.0</v>
      </c>
      <c r="I2208" s="1">
        <v>91.0</v>
      </c>
      <c r="J2208" s="1">
        <v>259900.0</v>
      </c>
      <c r="K2208" s="2">
        <v>42009.0</v>
      </c>
      <c r="L2208" s="1">
        <v>91.0</v>
      </c>
      <c r="M2208" s="2">
        <v>42009.0</v>
      </c>
      <c r="N2208" s="1" t="s">
        <v>187</v>
      </c>
      <c r="O2208" s="2">
        <v>42047.0</v>
      </c>
      <c r="P2208" s="1">
        <v>381.0</v>
      </c>
      <c r="Q2208" s="1">
        <v>604.0</v>
      </c>
      <c r="S2208" s="1" t="s">
        <v>20530</v>
      </c>
      <c r="T2208" s="1" t="s">
        <v>20531</v>
      </c>
      <c r="U2208" s="1" t="s">
        <v>569</v>
      </c>
      <c r="V2208" s="1" t="s">
        <v>1476</v>
      </c>
      <c r="W2208" s="1">
        <v>60119.0</v>
      </c>
      <c r="Y2208" s="1" t="s">
        <v>20532</v>
      </c>
      <c r="Z2208" s="1">
        <v>1975.0</v>
      </c>
      <c r="AA2208" s="1" t="s">
        <v>192</v>
      </c>
      <c r="AB2208" s="1" t="s">
        <v>193</v>
      </c>
      <c r="AD2208" s="1" t="s">
        <v>1089</v>
      </c>
      <c r="AE2208" s="1" t="s">
        <v>325</v>
      </c>
      <c r="AF2208" s="1" t="s">
        <v>1632</v>
      </c>
      <c r="AH2208" s="1" t="s">
        <v>20533</v>
      </c>
      <c r="AI2208" s="1">
        <v>1.0</v>
      </c>
      <c r="AK2208" s="1">
        <v>10.0</v>
      </c>
      <c r="AL2208" s="1">
        <v>4.0</v>
      </c>
      <c r="AM2208" s="1">
        <v>4.0</v>
      </c>
      <c r="AN2208" s="1">
        <v>0.0</v>
      </c>
      <c r="AO2208" s="1" t="s">
        <v>198</v>
      </c>
      <c r="AP2208" s="1">
        <v>3.0</v>
      </c>
      <c r="AQ2208" s="1" t="s">
        <v>198</v>
      </c>
      <c r="AR2208" s="1" t="s">
        <v>200</v>
      </c>
      <c r="AS2208" s="1" t="s">
        <v>199</v>
      </c>
      <c r="AT2208" s="1">
        <v>2.0</v>
      </c>
      <c r="AV2208" s="1" t="s">
        <v>200</v>
      </c>
      <c r="AW2208" s="1">
        <v>8004.0</v>
      </c>
      <c r="AX2208" s="1">
        <v>2013.0</v>
      </c>
      <c r="AY2208" s="1" t="s">
        <v>1179</v>
      </c>
      <c r="AZ2208" s="1" t="s">
        <v>200</v>
      </c>
      <c r="BA2208" s="1" t="str">
        <f>"0835126008"</f>
        <v>0835126008</v>
      </c>
      <c r="BB2208" s="1" t="s">
        <v>200</v>
      </c>
      <c r="BC2208" s="1">
        <v>2843.0</v>
      </c>
      <c r="BD2208" s="1">
        <v>250000.0</v>
      </c>
      <c r="BE2208" s="2">
        <v>41919.0</v>
      </c>
      <c r="BF2208" s="2" t="s">
        <v>20534</v>
      </c>
      <c r="BH2208" s="1">
        <v>0.0</v>
      </c>
      <c r="BK2208" s="1" t="s">
        <v>204</v>
      </c>
      <c r="BL2208" s="1" t="str">
        <f>"2"</f>
        <v>2</v>
      </c>
      <c r="BM2208" s="1" t="str">
        <f>"0"</f>
        <v>0</v>
      </c>
      <c r="BN2208" s="1">
        <v>41.0</v>
      </c>
      <c r="BO2208" s="1">
        <v>0.0</v>
      </c>
      <c r="BQ2208" s="1">
        <v>303.0</v>
      </c>
      <c r="BR2208" s="1">
        <v>303.0</v>
      </c>
      <c r="BS2208" s="1">
        <v>303.0</v>
      </c>
      <c r="BU2208" s="1" t="s">
        <v>1000</v>
      </c>
      <c r="BV2208" s="1" t="s">
        <v>206</v>
      </c>
      <c r="BW2208" s="1" t="s">
        <v>210</v>
      </c>
      <c r="BY2208" s="1" t="s">
        <v>205</v>
      </c>
      <c r="BZ2208" s="1" t="s">
        <v>206</v>
      </c>
      <c r="CA2208" s="1" t="s">
        <v>207</v>
      </c>
      <c r="CC2208" s="1" t="s">
        <v>331</v>
      </c>
      <c r="CD2208" s="1" t="s">
        <v>206</v>
      </c>
      <c r="CE2208" s="1" t="s">
        <v>207</v>
      </c>
      <c r="CG2208" s="1" t="s">
        <v>212</v>
      </c>
      <c r="CH2208" s="1" t="s">
        <v>206</v>
      </c>
      <c r="CI2208" s="1" t="s">
        <v>207</v>
      </c>
      <c r="CK2208" s="1" t="s">
        <v>515</v>
      </c>
      <c r="CL2208" s="1" t="s">
        <v>209</v>
      </c>
      <c r="CM2208" s="1" t="s">
        <v>210</v>
      </c>
      <c r="CO2208" s="1" t="s">
        <v>215</v>
      </c>
      <c r="CP2208" s="1" t="s">
        <v>209</v>
      </c>
      <c r="CQ2208" s="1" t="s">
        <v>210</v>
      </c>
      <c r="CS2208" s="1" t="s">
        <v>212</v>
      </c>
      <c r="CT2208" s="1" t="s">
        <v>206</v>
      </c>
      <c r="CU2208" s="1" t="s">
        <v>207</v>
      </c>
      <c r="CX2208" s="1" t="s">
        <v>204</v>
      </c>
      <c r="DA2208" s="1" t="s">
        <v>200</v>
      </c>
      <c r="DC2208" s="1" t="s">
        <v>395</v>
      </c>
      <c r="DD2208" s="1" t="s">
        <v>518</v>
      </c>
      <c r="DE2208" s="1" t="s">
        <v>273</v>
      </c>
      <c r="DF2208" s="1" t="s">
        <v>219</v>
      </c>
      <c r="DH2208" s="1" t="s">
        <v>856</v>
      </c>
      <c r="DI2208" s="1" t="s">
        <v>1003</v>
      </c>
      <c r="DJ2208" s="1" t="s">
        <v>857</v>
      </c>
      <c r="DK2208" s="1" t="s">
        <v>223</v>
      </c>
      <c r="DL2208" s="1" t="s">
        <v>858</v>
      </c>
      <c r="DM2208" s="1" t="s">
        <v>338</v>
      </c>
      <c r="DO2208" s="1" t="s">
        <v>1556</v>
      </c>
      <c r="DP2208" s="1" t="s">
        <v>340</v>
      </c>
      <c r="DQ2208" s="1" t="s">
        <v>931</v>
      </c>
      <c r="DR2208" s="1" t="s">
        <v>229</v>
      </c>
      <c r="DS2208" s="1" t="s">
        <v>368</v>
      </c>
      <c r="DU2208" s="1" t="s">
        <v>3097</v>
      </c>
      <c r="DV2208" s="1" t="s">
        <v>20535</v>
      </c>
      <c r="DW2208" s="1" t="s">
        <v>764</v>
      </c>
      <c r="DX2208" s="1" t="s">
        <v>234</v>
      </c>
      <c r="DY2208" s="1" t="s">
        <v>553</v>
      </c>
      <c r="DZ2208" s="1" t="s">
        <v>20536</v>
      </c>
      <c r="EB2208" s="1" t="s">
        <v>10018</v>
      </c>
      <c r="EC2208" s="1" t="s">
        <v>237</v>
      </c>
      <c r="ED2208" s="1" t="s">
        <v>407</v>
      </c>
      <c r="EG2208" s="1" t="s">
        <v>556</v>
      </c>
      <c r="EH2208" s="1" t="s">
        <v>557</v>
      </c>
      <c r="EI2208" s="1" t="s">
        <v>1121</v>
      </c>
      <c r="EJ2208" s="1" t="s">
        <v>374</v>
      </c>
      <c r="EL2208" s="1" t="s">
        <v>215</v>
      </c>
      <c r="EM2208" s="1" t="s">
        <v>206</v>
      </c>
      <c r="EN2208" s="1" t="s">
        <v>207</v>
      </c>
      <c r="EP2208" s="1" t="s">
        <v>2565</v>
      </c>
      <c r="EQ2208" s="1" t="s">
        <v>209</v>
      </c>
      <c r="ER2208" s="1" t="s">
        <v>210</v>
      </c>
      <c r="ET2208" s="1" t="s">
        <v>264</v>
      </c>
      <c r="EU2208" s="1" t="s">
        <v>209</v>
      </c>
      <c r="EV2208" s="1" t="s">
        <v>210</v>
      </c>
      <c r="EX2208" s="1" t="s">
        <v>2403</v>
      </c>
      <c r="EY2208" s="1" t="s">
        <v>206</v>
      </c>
      <c r="EZ2208" s="1" t="s">
        <v>268</v>
      </c>
      <c r="FC2208" s="1" t="s">
        <v>238</v>
      </c>
      <c r="FF2208" s="1" t="s">
        <v>239</v>
      </c>
      <c r="FG2208" s="1" t="s">
        <v>192</v>
      </c>
      <c r="FH2208" s="1" t="s">
        <v>192</v>
      </c>
      <c r="FJ2208" s="1" t="s">
        <v>498</v>
      </c>
      <c r="FK2208" s="1" t="s">
        <v>229</v>
      </c>
      <c r="FL2208" s="1" t="s">
        <v>893</v>
      </c>
      <c r="FM2208" s="1">
        <v>604.0</v>
      </c>
      <c r="FN2208" s="1" t="s">
        <v>894</v>
      </c>
      <c r="FO2208" s="1" t="s">
        <v>895</v>
      </c>
      <c r="FP2208" s="1">
        <v>381.0</v>
      </c>
      <c r="FQ2208" s="1" t="s">
        <v>896</v>
      </c>
      <c r="FU2208" s="1" t="s">
        <v>15072</v>
      </c>
      <c r="FV2208" s="1" t="s">
        <v>200</v>
      </c>
      <c r="FW2208" s="1" t="s">
        <v>290</v>
      </c>
      <c r="FZ2208" s="1" t="s">
        <v>229</v>
      </c>
      <c r="GA2208" s="1" t="s">
        <v>291</v>
      </c>
      <c r="GB2208" s="2">
        <v>42048.0</v>
      </c>
    </row>
    <row r="2209">
      <c r="A2209" s="1">
        <v>118000.0</v>
      </c>
      <c r="B2209" s="1" t="s">
        <v>185</v>
      </c>
      <c r="C2209" s="1" t="str">
        <f>"08745499"</f>
        <v>08745499</v>
      </c>
      <c r="D2209" s="1" t="s">
        <v>186</v>
      </c>
      <c r="F2209" s="1" t="str">
        <f>"123"</f>
        <v>123</v>
      </c>
      <c r="G2209" s="2">
        <v>41917.0</v>
      </c>
      <c r="H2209" s="1">
        <v>122900.0</v>
      </c>
      <c r="I2209" s="1">
        <v>142.0</v>
      </c>
      <c r="J2209" s="1">
        <v>112900.0</v>
      </c>
      <c r="K2209" s="2">
        <v>42058.0</v>
      </c>
      <c r="L2209" s="1">
        <v>142.0</v>
      </c>
      <c r="M2209" s="2">
        <v>42058.0</v>
      </c>
      <c r="N2209" s="1" t="s">
        <v>187</v>
      </c>
      <c r="O2209" s="2">
        <v>42108.0</v>
      </c>
      <c r="P2209" s="1">
        <v>87610.0</v>
      </c>
      <c r="Q2209" s="1">
        <v>8074.0</v>
      </c>
      <c r="S2209" s="1">
        <v>757.0</v>
      </c>
      <c r="T2209" s="1" t="s">
        <v>20537</v>
      </c>
      <c r="U2209" s="1" t="s">
        <v>1442</v>
      </c>
      <c r="V2209" s="1" t="s">
        <v>465</v>
      </c>
      <c r="W2209" s="1">
        <v>60120.0</v>
      </c>
      <c r="Y2209" s="1" t="s">
        <v>20538</v>
      </c>
      <c r="Z2209" s="1">
        <v>1968.0</v>
      </c>
      <c r="AA2209" s="1" t="s">
        <v>192</v>
      </c>
      <c r="AB2209" s="1" t="s">
        <v>193</v>
      </c>
      <c r="AD2209" s="1" t="s">
        <v>469</v>
      </c>
      <c r="AE2209" s="1" t="s">
        <v>195</v>
      </c>
      <c r="AF2209" s="1" t="s">
        <v>469</v>
      </c>
      <c r="AH2209" s="1" t="s">
        <v>20539</v>
      </c>
      <c r="AK2209" s="1">
        <v>6.0</v>
      </c>
      <c r="AL2209" s="1">
        <v>4.0</v>
      </c>
      <c r="AM2209" s="1">
        <v>1.0</v>
      </c>
      <c r="AN2209" s="1">
        <v>0.0</v>
      </c>
      <c r="AO2209" s="1" t="s">
        <v>229</v>
      </c>
      <c r="AQ2209" s="1" t="s">
        <v>229</v>
      </c>
      <c r="AS2209" s="1" t="s">
        <v>199</v>
      </c>
      <c r="AT2209" s="1">
        <v>2.0</v>
      </c>
      <c r="AV2209" s="1" t="s">
        <v>200</v>
      </c>
      <c r="AW2209" s="4">
        <v>3496.01</v>
      </c>
      <c r="AX2209" s="1">
        <v>2013.0</v>
      </c>
      <c r="AZ2209" s="1" t="s">
        <v>200</v>
      </c>
      <c r="BA2209" s="1" t="str">
        <f>"06193210250000"</f>
        <v>06193210250000</v>
      </c>
      <c r="BC2209" s="1">
        <v>1124.0</v>
      </c>
      <c r="BD2209" s="1">
        <v>118000.0</v>
      </c>
      <c r="BE2209" s="2">
        <v>41917.0</v>
      </c>
      <c r="BF2209" s="1" t="s">
        <v>20540</v>
      </c>
      <c r="BH2209" s="1">
        <v>0.0</v>
      </c>
      <c r="BK2209" s="1" t="s">
        <v>204</v>
      </c>
      <c r="BL2209" s="1" t="str">
        <f t="shared" ref="BL2209:BM2209" si="1446">""</f>
        <v/>
      </c>
      <c r="BM2209" s="1" t="str">
        <f t="shared" si="1446"/>
        <v/>
      </c>
      <c r="BQ2209" s="1">
        <v>46.0</v>
      </c>
      <c r="BR2209" s="1">
        <v>46.0</v>
      </c>
      <c r="BS2209" s="1">
        <v>46.0</v>
      </c>
      <c r="BU2209" s="1" t="s">
        <v>1426</v>
      </c>
      <c r="BV2209" s="1" t="s">
        <v>206</v>
      </c>
      <c r="BY2209" s="1" t="s">
        <v>212</v>
      </c>
      <c r="BZ2209" s="1" t="s">
        <v>206</v>
      </c>
      <c r="CD2209" s="1" t="s">
        <v>204</v>
      </c>
      <c r="CG2209" s="1" t="s">
        <v>266</v>
      </c>
      <c r="CH2209" s="1" t="s">
        <v>206</v>
      </c>
      <c r="CK2209" s="1" t="s">
        <v>269</v>
      </c>
      <c r="CL2209" s="1" t="s">
        <v>206</v>
      </c>
      <c r="CO2209" s="1" t="s">
        <v>263</v>
      </c>
      <c r="CP2209" s="1" t="s">
        <v>206</v>
      </c>
      <c r="CS2209" s="1" t="s">
        <v>332</v>
      </c>
      <c r="CT2209" s="1" t="s">
        <v>206</v>
      </c>
      <c r="CX2209" s="1" t="s">
        <v>204</v>
      </c>
      <c r="DA2209" s="1" t="s">
        <v>200</v>
      </c>
      <c r="DC2209" s="1" t="s">
        <v>517</v>
      </c>
      <c r="DE2209" s="1" t="s">
        <v>273</v>
      </c>
      <c r="DF2209" s="1" t="s">
        <v>219</v>
      </c>
      <c r="DH2209" s="1" t="s">
        <v>220</v>
      </c>
      <c r="DJ2209" s="1" t="s">
        <v>222</v>
      </c>
      <c r="DL2209" s="1" t="s">
        <v>229</v>
      </c>
      <c r="DM2209" s="1" t="s">
        <v>229</v>
      </c>
      <c r="DQ2209" s="1" t="s">
        <v>228</v>
      </c>
      <c r="DR2209" s="1" t="s">
        <v>229</v>
      </c>
      <c r="DV2209" s="1" t="s">
        <v>232</v>
      </c>
      <c r="DW2209" s="1" t="s">
        <v>233</v>
      </c>
      <c r="DX2209" s="1" t="s">
        <v>234</v>
      </c>
      <c r="EC2209" s="1" t="s">
        <v>685</v>
      </c>
      <c r="EM2209" s="1" t="s">
        <v>238</v>
      </c>
      <c r="EQ2209" s="1" t="s">
        <v>238</v>
      </c>
      <c r="EU2209" s="1" t="s">
        <v>238</v>
      </c>
      <c r="EY2209" s="1" t="s">
        <v>238</v>
      </c>
      <c r="FC2209" s="1" t="s">
        <v>238</v>
      </c>
      <c r="FF2209" s="1" t="s">
        <v>239</v>
      </c>
      <c r="FG2209" s="1" t="s">
        <v>192</v>
      </c>
      <c r="FH2209" s="1" t="s">
        <v>192</v>
      </c>
      <c r="FJ2209" s="1" t="s">
        <v>2853</v>
      </c>
      <c r="FK2209" s="1" t="s">
        <v>229</v>
      </c>
      <c r="FL2209" s="1" t="s">
        <v>7033</v>
      </c>
      <c r="FM2209" s="1">
        <v>226.0</v>
      </c>
      <c r="FN2209" s="1" t="s">
        <v>7034</v>
      </c>
      <c r="FO2209" s="1" t="s">
        <v>17395</v>
      </c>
      <c r="FP2209" s="1">
        <v>8636.0</v>
      </c>
      <c r="FQ2209" s="1" t="s">
        <v>17396</v>
      </c>
      <c r="FU2209" s="1" t="s">
        <v>20541</v>
      </c>
      <c r="FV2209" s="1" t="s">
        <v>200</v>
      </c>
      <c r="FW2209" s="1" t="s">
        <v>290</v>
      </c>
      <c r="FZ2209" s="1" t="s">
        <v>229</v>
      </c>
      <c r="GA2209" s="1" t="s">
        <v>291</v>
      </c>
      <c r="GB2209" s="2">
        <v>42117.0</v>
      </c>
      <c r="GC2209" s="1" t="s">
        <v>17398</v>
      </c>
    </row>
    <row r="2210">
      <c r="A2210" s="1">
        <v>529000.0</v>
      </c>
      <c r="B2210" s="1" t="s">
        <v>185</v>
      </c>
      <c r="C2210" s="1" t="str">
        <f>"08744151"</f>
        <v>08744151</v>
      </c>
      <c r="D2210" s="1" t="s">
        <v>186</v>
      </c>
      <c r="F2210" s="1" t="str">
        <f>"8024"</f>
        <v>8024</v>
      </c>
      <c r="G2210" s="2">
        <v>41915.0</v>
      </c>
      <c r="H2210" s="1">
        <v>529000.0</v>
      </c>
      <c r="I2210" s="1">
        <v>113.0</v>
      </c>
      <c r="J2210" s="1">
        <v>529000.0</v>
      </c>
      <c r="K2210" s="2">
        <v>41960.0</v>
      </c>
      <c r="L2210" s="1">
        <v>46.0</v>
      </c>
      <c r="M2210" s="2">
        <v>41960.0</v>
      </c>
      <c r="N2210" s="1" t="s">
        <v>187</v>
      </c>
      <c r="O2210" s="2">
        <v>41992.0</v>
      </c>
      <c r="P2210" s="1">
        <v>175411.0</v>
      </c>
      <c r="Q2210" s="1">
        <v>15391.0</v>
      </c>
      <c r="S2210" s="1">
        <v>928.0</v>
      </c>
      <c r="T2210" s="1" t="s">
        <v>2032</v>
      </c>
      <c r="U2210" s="1" t="s">
        <v>189</v>
      </c>
      <c r="V2210" s="1" t="s">
        <v>190</v>
      </c>
      <c r="W2210" s="1">
        <v>60622.0</v>
      </c>
      <c r="Y2210" s="1" t="s">
        <v>20542</v>
      </c>
      <c r="Z2210" s="1">
        <v>2014.0</v>
      </c>
      <c r="AA2210" s="1" t="s">
        <v>200</v>
      </c>
      <c r="AB2210" s="1" t="s">
        <v>193</v>
      </c>
      <c r="AD2210" s="1" t="s">
        <v>194</v>
      </c>
      <c r="AE2210" s="1" t="s">
        <v>195</v>
      </c>
      <c r="AF2210" s="1" t="s">
        <v>827</v>
      </c>
      <c r="AH2210" s="1" t="s">
        <v>20543</v>
      </c>
      <c r="AK2210" s="1">
        <v>8.0</v>
      </c>
      <c r="AL2210" s="1">
        <v>4.0</v>
      </c>
      <c r="AM2210" s="1">
        <v>2.0</v>
      </c>
      <c r="AN2210" s="1">
        <v>1.0</v>
      </c>
      <c r="AO2210" s="1" t="s">
        <v>198</v>
      </c>
      <c r="AP2210" s="1">
        <v>0.0</v>
      </c>
      <c r="AQ2210" s="1" t="s">
        <v>472</v>
      </c>
      <c r="AR2210" s="1" t="s">
        <v>200</v>
      </c>
      <c r="AS2210" s="1" t="s">
        <v>199</v>
      </c>
      <c r="AT2210" s="1">
        <v>2.0</v>
      </c>
      <c r="AV2210" s="1" t="s">
        <v>200</v>
      </c>
      <c r="AW2210" s="1" t="s">
        <v>575</v>
      </c>
      <c r="AX2210" s="1">
        <v>2013.0</v>
      </c>
      <c r="AY2210" s="1" t="s">
        <v>229</v>
      </c>
      <c r="AZ2210" s="1" t="s">
        <v>200</v>
      </c>
      <c r="BA2210" s="1" t="str">
        <f>"16013150160000"</f>
        <v>16013150160000</v>
      </c>
      <c r="BC2210" s="1">
        <v>2400.0</v>
      </c>
      <c r="BD2210" s="1">
        <v>529000.0</v>
      </c>
      <c r="BE2210" s="2">
        <v>41915.0</v>
      </c>
      <c r="BF2210" s="2" t="s">
        <v>20544</v>
      </c>
      <c r="BH2210" s="1">
        <v>0.0</v>
      </c>
      <c r="BK2210" s="1" t="s">
        <v>204</v>
      </c>
      <c r="BL2210" s="1" t="str">
        <f>"928"</f>
        <v>928</v>
      </c>
      <c r="BM2210" s="1" t="str">
        <f>"0"</f>
        <v>0</v>
      </c>
      <c r="BN2210" s="1">
        <v>2850.0</v>
      </c>
      <c r="BO2210" s="1">
        <v>0.0</v>
      </c>
      <c r="BQ2210" s="1">
        <v>299.0</v>
      </c>
      <c r="BR2210" s="1">
        <v>299.0</v>
      </c>
      <c r="BS2210" s="1">
        <v>299.0</v>
      </c>
      <c r="BU2210" s="1" t="s">
        <v>390</v>
      </c>
      <c r="BV2210" s="1" t="s">
        <v>206</v>
      </c>
      <c r="BW2210" s="1" t="s">
        <v>207</v>
      </c>
      <c r="BX2210" s="1" t="s">
        <v>229</v>
      </c>
      <c r="BY2210" s="1" t="s">
        <v>454</v>
      </c>
      <c r="BZ2210" s="1" t="s">
        <v>209</v>
      </c>
      <c r="CA2210" s="1" t="s">
        <v>210</v>
      </c>
      <c r="CB2210" s="1" t="s">
        <v>229</v>
      </c>
      <c r="CC2210" s="1" t="s">
        <v>1063</v>
      </c>
      <c r="CD2210" s="1" t="s">
        <v>206</v>
      </c>
      <c r="CE2210" s="1" t="s">
        <v>207</v>
      </c>
      <c r="CF2210" s="1" t="s">
        <v>229</v>
      </c>
      <c r="CG2210" s="1" t="s">
        <v>640</v>
      </c>
      <c r="CH2210" s="1" t="s">
        <v>209</v>
      </c>
      <c r="CI2210" s="1" t="s">
        <v>210</v>
      </c>
      <c r="CJ2210" s="1" t="s">
        <v>229</v>
      </c>
      <c r="CK2210" s="1" t="s">
        <v>269</v>
      </c>
      <c r="CL2210" s="1" t="s">
        <v>209</v>
      </c>
      <c r="CM2210" s="1" t="s">
        <v>210</v>
      </c>
      <c r="CN2210" s="1" t="s">
        <v>229</v>
      </c>
      <c r="CO2210" s="1" t="s">
        <v>647</v>
      </c>
      <c r="CP2210" s="1" t="s">
        <v>267</v>
      </c>
      <c r="CQ2210" s="1" t="s">
        <v>588</v>
      </c>
      <c r="CR2210" s="1" t="s">
        <v>229</v>
      </c>
      <c r="CS2210" s="1" t="s">
        <v>924</v>
      </c>
      <c r="CT2210" s="1" t="s">
        <v>206</v>
      </c>
      <c r="CU2210" s="1" t="s">
        <v>207</v>
      </c>
      <c r="CV2210" s="1" t="s">
        <v>229</v>
      </c>
      <c r="CX2210" s="1" t="s">
        <v>204</v>
      </c>
      <c r="DA2210" s="1" t="s">
        <v>192</v>
      </c>
      <c r="DB2210" s="2">
        <v>41978.0</v>
      </c>
      <c r="DC2210" s="1" t="s">
        <v>744</v>
      </c>
      <c r="DD2210" s="1" t="s">
        <v>217</v>
      </c>
      <c r="DE2210" s="1" t="s">
        <v>273</v>
      </c>
      <c r="DF2210" s="1" t="s">
        <v>219</v>
      </c>
      <c r="DG2210" s="1" t="s">
        <v>12438</v>
      </c>
      <c r="DH2210" s="1" t="s">
        <v>220</v>
      </c>
      <c r="DI2210" s="1" t="s">
        <v>1003</v>
      </c>
      <c r="DJ2210" s="1" t="s">
        <v>222</v>
      </c>
      <c r="DL2210" s="1" t="s">
        <v>858</v>
      </c>
      <c r="DM2210" s="1" t="s">
        <v>229</v>
      </c>
      <c r="DN2210" s="1" t="s">
        <v>2676</v>
      </c>
      <c r="DO2210" s="1" t="s">
        <v>4172</v>
      </c>
      <c r="DP2210" s="1" t="s">
        <v>340</v>
      </c>
      <c r="DQ2210" s="1" t="s">
        <v>718</v>
      </c>
      <c r="DR2210" s="1" t="s">
        <v>229</v>
      </c>
      <c r="DS2210" s="1" t="s">
        <v>230</v>
      </c>
      <c r="DU2210" s="1" t="s">
        <v>593</v>
      </c>
      <c r="DV2210" s="1" t="s">
        <v>450</v>
      </c>
      <c r="DW2210" s="1" t="s">
        <v>588</v>
      </c>
      <c r="DX2210" s="1" t="s">
        <v>234</v>
      </c>
      <c r="DY2210" s="1" t="s">
        <v>704</v>
      </c>
      <c r="EA2210" s="1" t="s">
        <v>1027</v>
      </c>
      <c r="EC2210" s="1" t="s">
        <v>406</v>
      </c>
      <c r="ED2210" s="1" t="s">
        <v>555</v>
      </c>
      <c r="EE2210" s="1" t="s">
        <v>187</v>
      </c>
      <c r="EG2210" s="1" t="s">
        <v>450</v>
      </c>
      <c r="EL2210" s="1" t="s">
        <v>20545</v>
      </c>
      <c r="EM2210" s="1" t="s">
        <v>267</v>
      </c>
      <c r="EN2210" s="1" t="s">
        <v>588</v>
      </c>
      <c r="EO2210" s="1" t="s">
        <v>229</v>
      </c>
      <c r="EQ2210" s="1" t="s">
        <v>238</v>
      </c>
      <c r="EU2210" s="1" t="s">
        <v>238</v>
      </c>
      <c r="EY2210" s="1" t="s">
        <v>238</v>
      </c>
      <c r="FC2210" s="1" t="s">
        <v>238</v>
      </c>
      <c r="FF2210" s="1" t="s">
        <v>239</v>
      </c>
      <c r="FG2210" s="1" t="s">
        <v>192</v>
      </c>
      <c r="FH2210" s="1" t="s">
        <v>192</v>
      </c>
      <c r="FJ2210" s="1" t="s">
        <v>412</v>
      </c>
      <c r="FK2210" s="1" t="s">
        <v>229</v>
      </c>
      <c r="FL2210" s="1" t="s">
        <v>5070</v>
      </c>
      <c r="FM2210" s="1">
        <v>12604.0</v>
      </c>
      <c r="FN2210" s="1" t="s">
        <v>5071</v>
      </c>
      <c r="FO2210" s="1" t="s">
        <v>5072</v>
      </c>
      <c r="FP2210" s="1">
        <v>125093.0</v>
      </c>
      <c r="FQ2210" s="1" t="s">
        <v>5073</v>
      </c>
      <c r="FR2210" s="1">
        <v>148835.0</v>
      </c>
      <c r="FU2210" s="1" t="s">
        <v>5085</v>
      </c>
      <c r="FV2210" s="1" t="s">
        <v>200</v>
      </c>
      <c r="FW2210" s="1" t="s">
        <v>530</v>
      </c>
      <c r="FX2210" s="1" t="s">
        <v>238</v>
      </c>
      <c r="FZ2210" s="1" t="s">
        <v>229</v>
      </c>
      <c r="GA2210" s="1" t="s">
        <v>291</v>
      </c>
      <c r="GB2210" s="2">
        <v>41995.0</v>
      </c>
      <c r="GC2210" s="1" t="s">
        <v>20546</v>
      </c>
    </row>
    <row r="2211">
      <c r="A2211" s="1">
        <v>168000.0</v>
      </c>
      <c r="B2211" s="1" t="s">
        <v>185</v>
      </c>
      <c r="C2211" s="1" t="str">
        <f>"08747083"</f>
        <v>08747083</v>
      </c>
      <c r="D2211" s="1" t="s">
        <v>186</v>
      </c>
      <c r="F2211" s="1" t="str">
        <f>"8064"</f>
        <v>8064</v>
      </c>
      <c r="G2211" s="2">
        <v>41919.0</v>
      </c>
      <c r="H2211" s="1">
        <v>174900.0</v>
      </c>
      <c r="I2211" s="1">
        <v>17.0</v>
      </c>
      <c r="J2211" s="1">
        <v>174900.0</v>
      </c>
      <c r="K2211" s="2">
        <v>41935.0</v>
      </c>
      <c r="L2211" s="1">
        <v>17.0</v>
      </c>
      <c r="M2211" s="2">
        <v>41935.0</v>
      </c>
      <c r="N2211" s="1" t="s">
        <v>356</v>
      </c>
      <c r="O2211" s="2">
        <v>41978.0</v>
      </c>
      <c r="P2211" s="1">
        <v>124297.0</v>
      </c>
      <c r="Q2211" s="1">
        <v>84624.0</v>
      </c>
      <c r="S2211" s="1">
        <v>5901.0</v>
      </c>
      <c r="T2211" s="1" t="s">
        <v>7632</v>
      </c>
      <c r="U2211" s="1" t="s">
        <v>694</v>
      </c>
      <c r="V2211" s="1" t="s">
        <v>190</v>
      </c>
      <c r="W2211" s="1">
        <v>60638.0</v>
      </c>
      <c r="Y2211" s="1" t="s">
        <v>20547</v>
      </c>
      <c r="Z2211" s="1">
        <v>1955.0</v>
      </c>
      <c r="AA2211" s="1" t="s">
        <v>192</v>
      </c>
      <c r="AB2211" s="1" t="s">
        <v>193</v>
      </c>
      <c r="AD2211" s="1" t="s">
        <v>194</v>
      </c>
      <c r="AE2211" s="1" t="s">
        <v>195</v>
      </c>
      <c r="AF2211" s="1" t="s">
        <v>659</v>
      </c>
      <c r="AH2211" s="1" t="s">
        <v>5314</v>
      </c>
      <c r="AK2211" s="1">
        <v>6.0</v>
      </c>
      <c r="AL2211" s="1">
        <v>4.0</v>
      </c>
      <c r="AM2211" s="1">
        <v>1.0</v>
      </c>
      <c r="AN2211" s="1">
        <v>0.0</v>
      </c>
      <c r="AO2211" s="1" t="s">
        <v>229</v>
      </c>
      <c r="AQ2211" s="1" t="s">
        <v>198</v>
      </c>
      <c r="AR2211" s="1" t="s">
        <v>200</v>
      </c>
      <c r="AS2211" s="1" t="s">
        <v>199</v>
      </c>
      <c r="AT2211" s="1">
        <v>2.5</v>
      </c>
      <c r="AV2211" s="1" t="s">
        <v>200</v>
      </c>
      <c r="AW2211" s="1">
        <v>2455.0</v>
      </c>
      <c r="AX2211" s="1">
        <v>2012.0</v>
      </c>
      <c r="AZ2211" s="1" t="s">
        <v>200</v>
      </c>
      <c r="BA2211" s="1" t="str">
        <f>"19202120400000"</f>
        <v>19202120400000</v>
      </c>
      <c r="BC2211" s="1">
        <v>914.0</v>
      </c>
      <c r="BD2211" s="1">
        <v>168000.0</v>
      </c>
      <c r="BE2211" s="2">
        <v>41919.0</v>
      </c>
      <c r="BF2211" s="1" t="s">
        <v>20548</v>
      </c>
      <c r="BH2211" s="1">
        <v>0.0</v>
      </c>
      <c r="BK2211" s="1" t="s">
        <v>204</v>
      </c>
      <c r="BL2211" s="1" t="str">
        <f t="shared" ref="BL2211:BM2211" si="1447">"0"</f>
        <v>0</v>
      </c>
      <c r="BM2211" s="1" t="str">
        <f t="shared" si="1447"/>
        <v>0</v>
      </c>
      <c r="BN2211" s="1">
        <v>5901.0</v>
      </c>
      <c r="BO2211" s="1">
        <v>6450.0</v>
      </c>
      <c r="BQ2211" s="1">
        <v>299.0</v>
      </c>
      <c r="BR2211" s="1">
        <v>299.0</v>
      </c>
      <c r="BS2211" s="1">
        <v>299.0</v>
      </c>
      <c r="BU2211" s="1" t="s">
        <v>2647</v>
      </c>
      <c r="BV2211" s="1" t="s">
        <v>206</v>
      </c>
      <c r="BW2211" s="1" t="s">
        <v>207</v>
      </c>
      <c r="BY2211" s="1" t="s">
        <v>663</v>
      </c>
      <c r="BZ2211" s="1" t="s">
        <v>206</v>
      </c>
      <c r="CA2211" s="1" t="s">
        <v>207</v>
      </c>
      <c r="CD2211" s="1" t="s">
        <v>204</v>
      </c>
      <c r="CG2211" s="1" t="s">
        <v>303</v>
      </c>
      <c r="CH2211" s="1" t="s">
        <v>206</v>
      </c>
      <c r="CI2211" s="1" t="s">
        <v>207</v>
      </c>
      <c r="CK2211" s="1" t="s">
        <v>302</v>
      </c>
      <c r="CL2211" s="1" t="s">
        <v>209</v>
      </c>
      <c r="CM2211" s="1" t="s">
        <v>210</v>
      </c>
      <c r="CO2211" s="1" t="s">
        <v>302</v>
      </c>
      <c r="CP2211" s="1" t="s">
        <v>209</v>
      </c>
      <c r="CQ2211" s="1" t="s">
        <v>207</v>
      </c>
      <c r="CS2211" s="1" t="s">
        <v>699</v>
      </c>
      <c r="CT2211" s="1" t="s">
        <v>206</v>
      </c>
      <c r="CU2211" s="1" t="s">
        <v>207</v>
      </c>
      <c r="CX2211" s="1" t="s">
        <v>204</v>
      </c>
      <c r="DA2211" s="1" t="s">
        <v>200</v>
      </c>
      <c r="DC2211" s="1" t="s">
        <v>271</v>
      </c>
      <c r="DD2211" s="1" t="s">
        <v>518</v>
      </c>
      <c r="DE2211" s="1" t="s">
        <v>273</v>
      </c>
      <c r="DF2211" s="1" t="s">
        <v>219</v>
      </c>
      <c r="DH2211" s="1" t="s">
        <v>220</v>
      </c>
      <c r="DI2211" s="1" t="s">
        <v>1401</v>
      </c>
      <c r="DJ2211" s="1" t="s">
        <v>222</v>
      </c>
      <c r="DL2211" s="1" t="s">
        <v>223</v>
      </c>
      <c r="DM2211" s="1" t="s">
        <v>225</v>
      </c>
      <c r="DQ2211" s="1" t="s">
        <v>228</v>
      </c>
      <c r="DR2211" s="1" t="s">
        <v>229</v>
      </c>
      <c r="DV2211" s="1" t="s">
        <v>232</v>
      </c>
      <c r="DW2211" s="1" t="s">
        <v>279</v>
      </c>
      <c r="DX2211" s="1" t="s">
        <v>234</v>
      </c>
      <c r="EC2211" s="1" t="s">
        <v>685</v>
      </c>
      <c r="EM2211" s="1" t="s">
        <v>238</v>
      </c>
      <c r="EQ2211" s="1" t="s">
        <v>238</v>
      </c>
      <c r="EU2211" s="1" t="s">
        <v>238</v>
      </c>
      <c r="EY2211" s="1" t="s">
        <v>238</v>
      </c>
      <c r="FC2211" s="1" t="s">
        <v>238</v>
      </c>
      <c r="FF2211" s="1" t="s">
        <v>239</v>
      </c>
      <c r="FG2211" s="1" t="s">
        <v>192</v>
      </c>
      <c r="FH2211" s="1" t="s">
        <v>192</v>
      </c>
      <c r="FJ2211" s="1" t="s">
        <v>9647</v>
      </c>
      <c r="FK2211" s="1" t="s">
        <v>229</v>
      </c>
      <c r="FL2211" s="1" t="s">
        <v>20549</v>
      </c>
      <c r="FM2211" s="1">
        <v>60178.0</v>
      </c>
      <c r="FN2211" s="1" t="s">
        <v>20550</v>
      </c>
      <c r="FO2211" s="1" t="s">
        <v>20551</v>
      </c>
      <c r="FP2211" s="1">
        <v>238175.0</v>
      </c>
      <c r="FU2211" s="1" t="s">
        <v>13922</v>
      </c>
      <c r="FV2211" s="1" t="s">
        <v>200</v>
      </c>
      <c r="FW2211" s="1" t="s">
        <v>530</v>
      </c>
      <c r="FX2211" s="1" t="s">
        <v>246</v>
      </c>
      <c r="FZ2211" s="1" t="s">
        <v>229</v>
      </c>
      <c r="GA2211" s="1" t="s">
        <v>291</v>
      </c>
      <c r="GB2211" s="2">
        <v>41978.0</v>
      </c>
      <c r="GC2211" s="1" t="s">
        <v>20552</v>
      </c>
    </row>
    <row r="2212">
      <c r="A2212" s="1">
        <v>285000.0</v>
      </c>
      <c r="B2212" s="1" t="s">
        <v>185</v>
      </c>
      <c r="C2212" s="1" t="str">
        <f>"08744173"</f>
        <v>08744173</v>
      </c>
      <c r="D2212" s="1" t="s">
        <v>186</v>
      </c>
      <c r="F2212" s="1" t="str">
        <f>"8040"</f>
        <v>8040</v>
      </c>
      <c r="G2212" s="2">
        <v>41915.0</v>
      </c>
      <c r="H2212" s="1">
        <v>299999.0</v>
      </c>
      <c r="I2212" s="1">
        <v>68.0</v>
      </c>
      <c r="J2212" s="1">
        <v>299500.0</v>
      </c>
      <c r="K2212" s="2">
        <v>41982.0</v>
      </c>
      <c r="L2212" s="1">
        <v>68.0</v>
      </c>
      <c r="M2212" s="2">
        <v>41982.0</v>
      </c>
      <c r="N2212" s="1" t="s">
        <v>187</v>
      </c>
      <c r="O2212" s="2">
        <v>42034.0</v>
      </c>
      <c r="P2212" s="1">
        <v>152505.0</v>
      </c>
      <c r="Q2212" s="1">
        <v>11000.0</v>
      </c>
      <c r="S2212" s="1">
        <v>5337.0</v>
      </c>
      <c r="T2212" s="1" t="s">
        <v>10763</v>
      </c>
      <c r="U2212" s="1" t="s">
        <v>189</v>
      </c>
      <c r="V2212" s="1" t="s">
        <v>190</v>
      </c>
      <c r="W2212" s="1">
        <v>60615.0</v>
      </c>
      <c r="Y2212" s="1" t="s">
        <v>20553</v>
      </c>
      <c r="Z2212" s="1">
        <v>1905.0</v>
      </c>
      <c r="AA2212" s="1" t="s">
        <v>192</v>
      </c>
      <c r="AB2212" s="1" t="s">
        <v>193</v>
      </c>
      <c r="AD2212" s="1" t="s">
        <v>194</v>
      </c>
      <c r="AE2212" s="1" t="s">
        <v>195</v>
      </c>
      <c r="AF2212" s="1" t="s">
        <v>637</v>
      </c>
      <c r="AH2212" s="1" t="s">
        <v>20554</v>
      </c>
      <c r="AI2212" s="1">
        <v>0.0924</v>
      </c>
      <c r="AK2212" s="1">
        <v>8.0</v>
      </c>
      <c r="AL2212" s="1">
        <v>4.0</v>
      </c>
      <c r="AM2212" s="1">
        <v>3.0</v>
      </c>
      <c r="AN2212" s="1">
        <v>1.0</v>
      </c>
      <c r="AO2212" s="1" t="s">
        <v>229</v>
      </c>
      <c r="AP2212" s="1">
        <v>1.0</v>
      </c>
      <c r="AQ2212" s="1" t="s">
        <v>198</v>
      </c>
      <c r="AR2212" s="1" t="s">
        <v>192</v>
      </c>
      <c r="AS2212" s="1" t="s">
        <v>199</v>
      </c>
      <c r="AT2212" s="1">
        <v>2.0</v>
      </c>
      <c r="AV2212" s="1" t="s">
        <v>200</v>
      </c>
      <c r="AW2212" s="1">
        <v>2391.0</v>
      </c>
      <c r="AX2212" s="1">
        <v>2012.0</v>
      </c>
      <c r="AZ2212" s="1" t="s">
        <v>200</v>
      </c>
      <c r="BA2212" s="1" t="str">
        <f>"20103100110000"</f>
        <v>20103100110000</v>
      </c>
      <c r="BC2212" s="1">
        <v>3400.0</v>
      </c>
      <c r="BD2212" s="1">
        <v>285000.0</v>
      </c>
      <c r="BE2212" s="2">
        <v>41915.0</v>
      </c>
      <c r="BF2212" s="2" t="s">
        <v>20555</v>
      </c>
      <c r="BH2212" s="1">
        <v>0.0</v>
      </c>
      <c r="BK2212" s="1" t="s">
        <v>204</v>
      </c>
      <c r="BL2212" s="1" t="str">
        <f>"0"</f>
        <v>0</v>
      </c>
      <c r="BM2212" s="1" t="str">
        <f>"100"</f>
        <v>100</v>
      </c>
      <c r="BN2212" s="1">
        <v>0.0</v>
      </c>
      <c r="BO2212" s="1">
        <v>5300.0</v>
      </c>
      <c r="BQ2212" s="1">
        <v>299.0</v>
      </c>
      <c r="BR2212" s="1">
        <v>299.0</v>
      </c>
      <c r="BS2212" s="1">
        <v>299.0</v>
      </c>
      <c r="BU2212" s="1" t="s">
        <v>300</v>
      </c>
      <c r="BV2212" s="1" t="s">
        <v>206</v>
      </c>
      <c r="BY2212" s="1" t="s">
        <v>2713</v>
      </c>
      <c r="BZ2212" s="1" t="s">
        <v>209</v>
      </c>
      <c r="CC2212" s="1" t="s">
        <v>1567</v>
      </c>
      <c r="CD2212" s="1" t="s">
        <v>206</v>
      </c>
      <c r="CG2212" s="1" t="s">
        <v>699</v>
      </c>
      <c r="CH2212" s="1" t="s">
        <v>209</v>
      </c>
      <c r="CK2212" s="1" t="s">
        <v>215</v>
      </c>
      <c r="CL2212" s="1" t="s">
        <v>209</v>
      </c>
      <c r="CO2212" s="1" t="s">
        <v>331</v>
      </c>
      <c r="CP2212" s="1" t="s">
        <v>391</v>
      </c>
      <c r="CS2212" s="1" t="s">
        <v>20556</v>
      </c>
      <c r="CT2212" s="1" t="s">
        <v>206</v>
      </c>
      <c r="CW2212" s="1" t="s">
        <v>830</v>
      </c>
      <c r="CX2212" s="1" t="s">
        <v>206</v>
      </c>
      <c r="DA2212" s="1" t="s">
        <v>200</v>
      </c>
      <c r="DC2212" s="1" t="s">
        <v>642</v>
      </c>
      <c r="DE2212" s="1" t="s">
        <v>229</v>
      </c>
      <c r="DF2212" s="1" t="s">
        <v>219</v>
      </c>
      <c r="DH2212" s="1" t="s">
        <v>220</v>
      </c>
      <c r="DI2212" s="1" t="s">
        <v>10709</v>
      </c>
      <c r="DJ2212" s="1" t="s">
        <v>222</v>
      </c>
      <c r="DL2212" s="1" t="s">
        <v>224</v>
      </c>
      <c r="DM2212" s="1" t="s">
        <v>229</v>
      </c>
      <c r="DQ2212" s="1" t="s">
        <v>228</v>
      </c>
      <c r="DR2212" s="1" t="s">
        <v>229</v>
      </c>
      <c r="DV2212" s="1" t="s">
        <v>232</v>
      </c>
      <c r="DW2212" s="1" t="s">
        <v>279</v>
      </c>
      <c r="DX2212" s="1" t="s">
        <v>234</v>
      </c>
      <c r="EC2212" s="1" t="s">
        <v>237</v>
      </c>
      <c r="EM2212" s="1" t="s">
        <v>238</v>
      </c>
      <c r="EQ2212" s="1" t="s">
        <v>238</v>
      </c>
      <c r="EU2212" s="1" t="s">
        <v>238</v>
      </c>
      <c r="EY2212" s="1" t="s">
        <v>238</v>
      </c>
      <c r="FC2212" s="1" t="s">
        <v>238</v>
      </c>
      <c r="FF2212" s="1" t="s">
        <v>239</v>
      </c>
      <c r="FG2212" s="1" t="s">
        <v>192</v>
      </c>
      <c r="FH2212" s="1" t="s">
        <v>192</v>
      </c>
      <c r="FJ2212" s="1" t="s">
        <v>20557</v>
      </c>
      <c r="FK2212" s="1" t="s">
        <v>229</v>
      </c>
      <c r="FL2212" s="1" t="s">
        <v>20558</v>
      </c>
      <c r="FM2212" s="1">
        <v>2164.0</v>
      </c>
      <c r="FN2212" s="1" t="s">
        <v>20559</v>
      </c>
      <c r="FO2212" s="1" t="s">
        <v>20560</v>
      </c>
      <c r="FP2212" s="1">
        <v>83574.0</v>
      </c>
      <c r="FQ2212" s="1" t="s">
        <v>20561</v>
      </c>
      <c r="FU2212" s="1" t="s">
        <v>20562</v>
      </c>
      <c r="FV2212" s="1" t="s">
        <v>200</v>
      </c>
      <c r="FW2212" s="1" t="s">
        <v>290</v>
      </c>
      <c r="FX2212" s="1" t="s">
        <v>655</v>
      </c>
      <c r="FZ2212" s="1" t="s">
        <v>229</v>
      </c>
      <c r="GA2212" s="1" t="s">
        <v>291</v>
      </c>
      <c r="GB2212" s="2">
        <v>42036.0</v>
      </c>
      <c r="GC2212" s="1" t="s">
        <v>20563</v>
      </c>
    </row>
    <row r="2213">
      <c r="A2213" s="1">
        <v>319000.0</v>
      </c>
      <c r="B2213" s="1" t="s">
        <v>185</v>
      </c>
      <c r="C2213" s="1" t="str">
        <f>"08743666"</f>
        <v>08743666</v>
      </c>
      <c r="D2213" s="1" t="s">
        <v>186</v>
      </c>
      <c r="F2213" s="1" t="str">
        <f>"134"</f>
        <v>134</v>
      </c>
      <c r="G2213" s="2">
        <v>41914.0</v>
      </c>
      <c r="H2213" s="1">
        <v>350000.0</v>
      </c>
      <c r="I2213" s="1">
        <v>104.0</v>
      </c>
      <c r="J2213" s="1">
        <v>350000.0</v>
      </c>
      <c r="K2213" s="2">
        <v>41943.0</v>
      </c>
      <c r="L2213" s="1">
        <v>30.0</v>
      </c>
      <c r="M2213" s="2">
        <v>41943.0</v>
      </c>
      <c r="N2213" s="1" t="s">
        <v>187</v>
      </c>
      <c r="O2213" s="2">
        <v>42027.0</v>
      </c>
      <c r="P2213" s="1">
        <v>8798.0</v>
      </c>
      <c r="Q2213" s="1">
        <v>107.0</v>
      </c>
      <c r="S2213" s="1">
        <v>201.0</v>
      </c>
      <c r="T2213" s="1" t="s">
        <v>20564</v>
      </c>
      <c r="U2213" s="1" t="s">
        <v>320</v>
      </c>
      <c r="V2213" s="1" t="s">
        <v>421</v>
      </c>
      <c r="W2213" s="1">
        <v>60134.0</v>
      </c>
      <c r="Y2213" s="1" t="s">
        <v>20565</v>
      </c>
      <c r="Z2213" s="1">
        <v>1908.0</v>
      </c>
      <c r="AA2213" s="1" t="s">
        <v>192</v>
      </c>
      <c r="AB2213" s="1" t="s">
        <v>193</v>
      </c>
      <c r="AD2213" s="1" t="s">
        <v>424</v>
      </c>
      <c r="AE2213" s="1" t="s">
        <v>325</v>
      </c>
      <c r="AF2213" s="1" t="s">
        <v>424</v>
      </c>
      <c r="AH2213" s="1" t="s">
        <v>20566</v>
      </c>
      <c r="AK2213" s="1">
        <v>8.0</v>
      </c>
      <c r="AL2213" s="1">
        <v>4.0</v>
      </c>
      <c r="AM2213" s="1">
        <v>2.0</v>
      </c>
      <c r="AN2213" s="1">
        <v>1.0</v>
      </c>
      <c r="AO2213" s="1" t="s">
        <v>1261</v>
      </c>
      <c r="AP2213" s="1">
        <v>1.0</v>
      </c>
      <c r="AQ2213" s="1" t="s">
        <v>198</v>
      </c>
      <c r="AR2213" s="1" t="s">
        <v>200</v>
      </c>
      <c r="AS2213" s="1" t="s">
        <v>199</v>
      </c>
      <c r="AT2213" s="1">
        <v>2.0</v>
      </c>
      <c r="AV2213" s="1" t="s">
        <v>200</v>
      </c>
      <c r="AW2213" s="1">
        <v>9983.88</v>
      </c>
      <c r="AX2213" s="1">
        <v>2013.0</v>
      </c>
      <c r="AY2213" s="1" t="s">
        <v>387</v>
      </c>
      <c r="AZ2213" s="1" t="s">
        <v>200</v>
      </c>
      <c r="BA2213" s="1" t="str">
        <f>"1203480010"</f>
        <v>1203480010</v>
      </c>
      <c r="BC2213" s="1">
        <v>1697.0</v>
      </c>
      <c r="BD2213" s="1">
        <v>319000.0</v>
      </c>
      <c r="BE2213" s="2">
        <v>41914.0</v>
      </c>
      <c r="BF2213" s="2" t="s">
        <v>20567</v>
      </c>
      <c r="BH2213" s="1">
        <v>0.0</v>
      </c>
      <c r="BK2213" s="1" t="s">
        <v>204</v>
      </c>
      <c r="BL2213" s="1" t="str">
        <f t="shared" ref="BL2213:BM2213" si="1448">""</f>
        <v/>
      </c>
      <c r="BM2213" s="1" t="str">
        <f t="shared" si="1448"/>
        <v/>
      </c>
      <c r="BQ2213" s="1">
        <v>304.0</v>
      </c>
      <c r="BR2213" s="1">
        <v>304.0</v>
      </c>
      <c r="BS2213" s="1">
        <v>304.0</v>
      </c>
      <c r="BU2213" s="1" t="s">
        <v>583</v>
      </c>
      <c r="BV2213" s="1" t="s">
        <v>206</v>
      </c>
      <c r="BW2213" s="1" t="s">
        <v>207</v>
      </c>
      <c r="BY2213" s="1" t="s">
        <v>584</v>
      </c>
      <c r="BZ2213" s="1" t="s">
        <v>209</v>
      </c>
      <c r="CA2213" s="1" t="s">
        <v>207</v>
      </c>
      <c r="CC2213" s="1" t="s">
        <v>213</v>
      </c>
      <c r="CD2213" s="1" t="s">
        <v>206</v>
      </c>
      <c r="CE2213" s="1" t="s">
        <v>207</v>
      </c>
      <c r="CG2213" s="1" t="s">
        <v>495</v>
      </c>
      <c r="CH2213" s="1" t="s">
        <v>209</v>
      </c>
      <c r="CI2213" s="1" t="s">
        <v>207</v>
      </c>
      <c r="CK2213" s="1" t="s">
        <v>497</v>
      </c>
      <c r="CL2213" s="1" t="s">
        <v>209</v>
      </c>
      <c r="CM2213" s="1" t="s">
        <v>207</v>
      </c>
      <c r="CO2213" s="1" t="s">
        <v>1029</v>
      </c>
      <c r="CP2213" s="1" t="s">
        <v>209</v>
      </c>
      <c r="CQ2213" s="1" t="s">
        <v>207</v>
      </c>
      <c r="CS2213" s="1" t="s">
        <v>332</v>
      </c>
      <c r="CT2213" s="1" t="s">
        <v>206</v>
      </c>
      <c r="CU2213" s="1" t="s">
        <v>207</v>
      </c>
      <c r="CX2213" s="1" t="s">
        <v>204</v>
      </c>
      <c r="DA2213" s="1" t="s">
        <v>200</v>
      </c>
      <c r="DC2213" s="1" t="s">
        <v>642</v>
      </c>
      <c r="DD2213" s="1" t="s">
        <v>2889</v>
      </c>
      <c r="DE2213" s="1" t="s">
        <v>1300</v>
      </c>
      <c r="DF2213" s="1" t="s">
        <v>4120</v>
      </c>
      <c r="DH2213" s="1" t="s">
        <v>220</v>
      </c>
      <c r="DI2213" s="1" t="s">
        <v>221</v>
      </c>
      <c r="DJ2213" s="1" t="s">
        <v>222</v>
      </c>
      <c r="DL2213" s="1" t="s">
        <v>2220</v>
      </c>
      <c r="DM2213" s="1" t="s">
        <v>929</v>
      </c>
      <c r="DO2213" s="1" t="s">
        <v>590</v>
      </c>
      <c r="DP2213" s="1" t="s">
        <v>340</v>
      </c>
      <c r="DQ2213" s="1" t="s">
        <v>228</v>
      </c>
      <c r="DR2213" s="1" t="s">
        <v>229</v>
      </c>
      <c r="DS2213" s="1" t="s">
        <v>368</v>
      </c>
      <c r="DU2213" s="1" t="s">
        <v>2550</v>
      </c>
      <c r="DV2213" s="1" t="s">
        <v>1729</v>
      </c>
      <c r="DW2213" s="1" t="s">
        <v>667</v>
      </c>
      <c r="DX2213" s="1" t="s">
        <v>234</v>
      </c>
      <c r="DY2213" s="1" t="s">
        <v>704</v>
      </c>
      <c r="DZ2213" s="1" t="s">
        <v>6164</v>
      </c>
      <c r="EC2213" s="1" t="s">
        <v>237</v>
      </c>
      <c r="EG2213" s="1" t="s">
        <v>1729</v>
      </c>
      <c r="EL2213" s="1" t="s">
        <v>647</v>
      </c>
      <c r="EM2213" s="1" t="s">
        <v>206</v>
      </c>
      <c r="EN2213" s="1" t="s">
        <v>207</v>
      </c>
      <c r="EQ2213" s="1" t="s">
        <v>238</v>
      </c>
      <c r="EU2213" s="1" t="s">
        <v>238</v>
      </c>
      <c r="EY2213" s="1" t="s">
        <v>238</v>
      </c>
      <c r="FC2213" s="1" t="s">
        <v>238</v>
      </c>
      <c r="FF2213" s="1" t="s">
        <v>239</v>
      </c>
      <c r="FG2213" s="1" t="s">
        <v>192</v>
      </c>
      <c r="FH2213" s="1" t="s">
        <v>192</v>
      </c>
      <c r="FJ2213" s="1" t="s">
        <v>624</v>
      </c>
      <c r="FK2213" s="1" t="s">
        <v>229</v>
      </c>
      <c r="FL2213" s="1" t="s">
        <v>456</v>
      </c>
      <c r="FM2213" s="1">
        <v>49.0</v>
      </c>
      <c r="FN2213" s="1" t="s">
        <v>457</v>
      </c>
      <c r="FO2213" s="1" t="s">
        <v>20568</v>
      </c>
      <c r="FP2213" s="1">
        <v>1602.0</v>
      </c>
      <c r="FQ2213" s="1" t="s">
        <v>20569</v>
      </c>
      <c r="FU2213" s="1" t="s">
        <v>20570</v>
      </c>
      <c r="FV2213" s="1" t="s">
        <v>200</v>
      </c>
      <c r="FW2213" s="1" t="s">
        <v>530</v>
      </c>
      <c r="FX2213" s="1" t="s">
        <v>655</v>
      </c>
      <c r="FZ2213" s="1" t="s">
        <v>229</v>
      </c>
      <c r="GA2213" s="1" t="s">
        <v>291</v>
      </c>
      <c r="GB2213" s="2">
        <v>42027.0</v>
      </c>
    </row>
    <row r="2214">
      <c r="A2214" s="1">
        <v>350000.0</v>
      </c>
      <c r="B2214" s="1" t="s">
        <v>185</v>
      </c>
      <c r="C2214" s="1" t="str">
        <f>"08745788"</f>
        <v>08745788</v>
      </c>
      <c r="D2214" s="1" t="s">
        <v>186</v>
      </c>
      <c r="F2214" s="1" t="str">
        <f>"8014"</f>
        <v>8014</v>
      </c>
      <c r="G2214" s="2">
        <v>41918.0</v>
      </c>
      <c r="H2214" s="1">
        <v>369000.0</v>
      </c>
      <c r="I2214" s="1">
        <v>76.0</v>
      </c>
      <c r="J2214" s="1">
        <v>369000.0</v>
      </c>
      <c r="K2214" s="2">
        <v>41993.0</v>
      </c>
      <c r="L2214" s="1">
        <v>76.0</v>
      </c>
      <c r="M2214" s="2">
        <v>41993.0</v>
      </c>
      <c r="N2214" s="1" t="s">
        <v>187</v>
      </c>
      <c r="O2214" s="2">
        <v>42095.0</v>
      </c>
      <c r="P2214" s="1">
        <v>132541.0</v>
      </c>
      <c r="Q2214" s="1">
        <v>18705.0</v>
      </c>
      <c r="S2214" s="1">
        <v>5012.0</v>
      </c>
      <c r="T2214" s="1" t="s">
        <v>16951</v>
      </c>
      <c r="U2214" s="1" t="s">
        <v>189</v>
      </c>
      <c r="V2214" s="1" t="s">
        <v>190</v>
      </c>
      <c r="W2214" s="1">
        <v>60630.0</v>
      </c>
      <c r="Y2214" s="1" t="s">
        <v>20571</v>
      </c>
      <c r="Z2214" s="1" t="s">
        <v>296</v>
      </c>
      <c r="AA2214" s="1" t="s">
        <v>192</v>
      </c>
      <c r="AB2214" s="1" t="s">
        <v>193</v>
      </c>
      <c r="AD2214" s="1" t="s">
        <v>194</v>
      </c>
      <c r="AE2214" s="1" t="s">
        <v>195</v>
      </c>
      <c r="AF2214" s="1" t="s">
        <v>196</v>
      </c>
      <c r="AH2214" s="1" t="s">
        <v>20572</v>
      </c>
      <c r="AK2214" s="1">
        <v>9.0</v>
      </c>
      <c r="AL2214" s="1">
        <v>3.0</v>
      </c>
      <c r="AM2214" s="1">
        <v>2.0</v>
      </c>
      <c r="AN2214" s="1">
        <v>0.0</v>
      </c>
      <c r="AO2214" s="1" t="s">
        <v>229</v>
      </c>
      <c r="AQ2214" s="1" t="s">
        <v>198</v>
      </c>
      <c r="AR2214" s="1" t="s">
        <v>192</v>
      </c>
      <c r="AS2214" s="1" t="s">
        <v>199</v>
      </c>
      <c r="AT2214" s="1">
        <v>2.0</v>
      </c>
      <c r="AV2214" s="1" t="s">
        <v>200</v>
      </c>
      <c r="AW2214" s="1">
        <v>4192.0</v>
      </c>
      <c r="AX2214" s="1">
        <v>2013.0</v>
      </c>
      <c r="AY2214" s="1" t="s">
        <v>387</v>
      </c>
      <c r="AZ2214" s="1" t="s">
        <v>200</v>
      </c>
      <c r="BA2214" s="1" t="str">
        <f>"13103190360000"</f>
        <v>13103190360000</v>
      </c>
      <c r="BB2214" s="1" t="s">
        <v>192</v>
      </c>
      <c r="BC2214" s="1">
        <v>0.0</v>
      </c>
      <c r="BD2214" s="1">
        <v>350000.0</v>
      </c>
      <c r="BE2214" s="2">
        <v>41918.0</v>
      </c>
      <c r="BF2214" s="2" t="s">
        <v>20573</v>
      </c>
      <c r="BH2214" s="1">
        <v>0.0</v>
      </c>
      <c r="BK2214" s="1" t="s">
        <v>204</v>
      </c>
      <c r="BL2214" s="1" t="str">
        <f>"5012"</f>
        <v>5012</v>
      </c>
      <c r="BM2214" s="1" t="str">
        <f>"0"</f>
        <v>0</v>
      </c>
      <c r="BN2214" s="1">
        <v>4200.0</v>
      </c>
      <c r="BO2214" s="1">
        <v>0.0</v>
      </c>
      <c r="BQ2214" s="1">
        <v>299.0</v>
      </c>
      <c r="BR2214" s="1">
        <v>299.0</v>
      </c>
      <c r="BS2214" s="1">
        <v>299.0</v>
      </c>
      <c r="BU2214" s="1" t="s">
        <v>1426</v>
      </c>
      <c r="BV2214" s="1" t="s">
        <v>206</v>
      </c>
      <c r="BW2214" s="1" t="s">
        <v>207</v>
      </c>
      <c r="BY2214" s="1" t="s">
        <v>730</v>
      </c>
      <c r="BZ2214" s="1" t="s">
        <v>206</v>
      </c>
      <c r="CA2214" s="1" t="s">
        <v>210</v>
      </c>
      <c r="CC2214" s="1" t="s">
        <v>329</v>
      </c>
      <c r="CD2214" s="1" t="s">
        <v>206</v>
      </c>
      <c r="CE2214" s="1" t="s">
        <v>207</v>
      </c>
      <c r="CG2214" s="1" t="s">
        <v>516</v>
      </c>
      <c r="CH2214" s="1" t="s">
        <v>206</v>
      </c>
      <c r="CI2214" s="1" t="s">
        <v>207</v>
      </c>
      <c r="CK2214" s="1" t="s">
        <v>263</v>
      </c>
      <c r="CL2214" s="1" t="s">
        <v>206</v>
      </c>
      <c r="CM2214" s="1" t="s">
        <v>207</v>
      </c>
      <c r="CO2214" s="1" t="s">
        <v>640</v>
      </c>
      <c r="CP2214" s="1" t="s">
        <v>42</v>
      </c>
      <c r="CQ2214" s="1" t="s">
        <v>268</v>
      </c>
      <c r="CS2214" s="1" t="s">
        <v>1745</v>
      </c>
      <c r="CT2214" s="1" t="s">
        <v>206</v>
      </c>
      <c r="CU2214" s="1" t="s">
        <v>207</v>
      </c>
      <c r="CX2214" s="1" t="s">
        <v>204</v>
      </c>
      <c r="DA2214" s="1" t="s">
        <v>200</v>
      </c>
      <c r="DC2214" s="1" t="s">
        <v>545</v>
      </c>
      <c r="DD2214" s="1" t="s">
        <v>306</v>
      </c>
      <c r="DE2214" s="1" t="s">
        <v>1905</v>
      </c>
      <c r="DF2214" s="1" t="s">
        <v>787</v>
      </c>
      <c r="DH2214" s="1" t="s">
        <v>365</v>
      </c>
      <c r="DI2214" s="1" t="s">
        <v>789</v>
      </c>
      <c r="DJ2214" s="1" t="s">
        <v>222</v>
      </c>
      <c r="DK2214" s="1" t="s">
        <v>1142</v>
      </c>
      <c r="DL2214" s="1" t="s">
        <v>1161</v>
      </c>
      <c r="DM2214" s="1" t="s">
        <v>1464</v>
      </c>
      <c r="DO2214" s="1" t="s">
        <v>549</v>
      </c>
      <c r="DP2214" s="1" t="s">
        <v>340</v>
      </c>
      <c r="DQ2214" s="1" t="s">
        <v>228</v>
      </c>
      <c r="DR2214" s="1" t="s">
        <v>229</v>
      </c>
      <c r="DS2214" s="1" t="s">
        <v>230</v>
      </c>
      <c r="DV2214" s="1" t="s">
        <v>2692</v>
      </c>
      <c r="DW2214" s="1" t="s">
        <v>279</v>
      </c>
      <c r="DX2214" s="1" t="s">
        <v>234</v>
      </c>
      <c r="DY2214" s="1" t="s">
        <v>704</v>
      </c>
      <c r="EA2214" s="1" t="s">
        <v>644</v>
      </c>
      <c r="EC2214" s="1" t="s">
        <v>685</v>
      </c>
      <c r="ED2214" s="1" t="s">
        <v>407</v>
      </c>
      <c r="EG2214" s="1" t="s">
        <v>598</v>
      </c>
      <c r="EH2214" s="1" t="s">
        <v>450</v>
      </c>
      <c r="EL2214" s="1" t="s">
        <v>543</v>
      </c>
      <c r="EM2214" s="1" t="s">
        <v>42</v>
      </c>
      <c r="EN2214" s="1" t="s">
        <v>268</v>
      </c>
      <c r="EP2214" s="1" t="s">
        <v>17647</v>
      </c>
      <c r="EQ2214" s="1" t="s">
        <v>42</v>
      </c>
      <c r="ER2214" s="1" t="s">
        <v>268</v>
      </c>
      <c r="EU2214" s="1" t="s">
        <v>238</v>
      </c>
      <c r="EY2214" s="1" t="s">
        <v>238</v>
      </c>
      <c r="FC2214" s="1" t="s">
        <v>238</v>
      </c>
      <c r="FF2214" s="1" t="s">
        <v>239</v>
      </c>
      <c r="FG2214" s="1" t="s">
        <v>192</v>
      </c>
      <c r="FH2214" s="1" t="s">
        <v>192</v>
      </c>
      <c r="FJ2214" s="1" t="s">
        <v>733</v>
      </c>
      <c r="FK2214" s="1" t="s">
        <v>229</v>
      </c>
      <c r="FL2214" s="1" t="s">
        <v>974</v>
      </c>
      <c r="FM2214" s="1">
        <v>3790.0</v>
      </c>
      <c r="FN2214" s="1" t="s">
        <v>7627</v>
      </c>
      <c r="FO2214" s="1" t="s">
        <v>20574</v>
      </c>
      <c r="FP2214" s="1">
        <v>39963.0</v>
      </c>
      <c r="FQ2214" s="1" t="s">
        <v>20575</v>
      </c>
      <c r="FU2214" s="1" t="s">
        <v>20576</v>
      </c>
      <c r="FV2214" s="1" t="s">
        <v>200</v>
      </c>
      <c r="FW2214" s="1" t="s">
        <v>567</v>
      </c>
      <c r="FX2214" s="1" t="s">
        <v>238</v>
      </c>
      <c r="FZ2214" s="1" t="s">
        <v>229</v>
      </c>
      <c r="GA2214" s="1" t="s">
        <v>291</v>
      </c>
      <c r="GB2214" s="2">
        <v>42096.0</v>
      </c>
      <c r="GC2214" s="1" t="s">
        <v>20577</v>
      </c>
    </row>
    <row r="2215">
      <c r="A2215" s="1">
        <v>205000.0</v>
      </c>
      <c r="B2215" s="1" t="s">
        <v>185</v>
      </c>
      <c r="C2215" s="1" t="str">
        <f>"08748634"</f>
        <v>08748634</v>
      </c>
      <c r="D2215" s="1" t="s">
        <v>186</v>
      </c>
      <c r="F2215" s="1" t="str">
        <f>"8070"</f>
        <v>8070</v>
      </c>
      <c r="G2215" s="2">
        <v>41920.0</v>
      </c>
      <c r="H2215" s="1">
        <v>209000.0</v>
      </c>
      <c r="I2215" s="1">
        <v>80.0</v>
      </c>
      <c r="J2215" s="1">
        <v>209000.0</v>
      </c>
      <c r="K2215" s="2">
        <v>41999.0</v>
      </c>
      <c r="L2215" s="1">
        <v>80.0</v>
      </c>
      <c r="M2215" s="2">
        <v>41999.0</v>
      </c>
      <c r="N2215" s="1" t="s">
        <v>356</v>
      </c>
      <c r="O2215" s="2">
        <v>42060.0</v>
      </c>
      <c r="P2215" s="1">
        <v>109851.0</v>
      </c>
      <c r="Q2215" s="1">
        <v>14090.0</v>
      </c>
      <c r="R2215" s="1">
        <v>6000.0</v>
      </c>
      <c r="S2215" s="1">
        <v>3616.0</v>
      </c>
      <c r="T2215" s="1" t="s">
        <v>17032</v>
      </c>
      <c r="U2215" s="1" t="s">
        <v>320</v>
      </c>
      <c r="V2215" s="1" t="s">
        <v>190</v>
      </c>
      <c r="W2215" s="1">
        <v>60652.0</v>
      </c>
      <c r="Y2215" s="1" t="s">
        <v>20578</v>
      </c>
      <c r="Z2215" s="1">
        <v>1950.0</v>
      </c>
      <c r="AA2215" s="1" t="s">
        <v>192</v>
      </c>
      <c r="AB2215" s="1" t="s">
        <v>193</v>
      </c>
      <c r="AD2215" s="1" t="s">
        <v>194</v>
      </c>
      <c r="AE2215" s="1" t="s">
        <v>195</v>
      </c>
      <c r="AF2215" s="1" t="s">
        <v>659</v>
      </c>
      <c r="AH2215" s="1" t="s">
        <v>20579</v>
      </c>
      <c r="AI2215" s="1">
        <v>0.1085</v>
      </c>
      <c r="AK2215" s="1">
        <v>8.0</v>
      </c>
      <c r="AL2215" s="1">
        <v>3.0</v>
      </c>
      <c r="AM2215" s="1">
        <v>2.0</v>
      </c>
      <c r="AN2215" s="1">
        <v>0.0</v>
      </c>
      <c r="AO2215" s="1" t="s">
        <v>229</v>
      </c>
      <c r="AQ2215" s="1" t="s">
        <v>198</v>
      </c>
      <c r="AR2215" s="1" t="s">
        <v>192</v>
      </c>
      <c r="AS2215" s="1" t="s">
        <v>199</v>
      </c>
      <c r="AT2215" s="1">
        <v>2.0</v>
      </c>
      <c r="AV2215" s="1" t="s">
        <v>200</v>
      </c>
      <c r="AW2215" s="1">
        <v>1817.88</v>
      </c>
      <c r="AX2215" s="1">
        <v>2012.0</v>
      </c>
      <c r="AZ2215" s="1" t="s">
        <v>200</v>
      </c>
      <c r="BA2215" s="1" t="str">
        <f>"19351040590000"</f>
        <v>19351040590000</v>
      </c>
      <c r="BC2215" s="1">
        <v>1200.0</v>
      </c>
      <c r="BD2215" s="1">
        <v>205000.0</v>
      </c>
      <c r="BE2215" s="2">
        <v>41920.0</v>
      </c>
      <c r="BF2215" s="2" t="s">
        <v>20580</v>
      </c>
      <c r="BH2215" s="1">
        <v>0.0</v>
      </c>
      <c r="BK2215" s="1" t="s">
        <v>204</v>
      </c>
      <c r="BL2215" s="1" t="str">
        <f t="shared" ref="BL2215:BM2215" si="1449">"0"</f>
        <v>0</v>
      </c>
      <c r="BM2215" s="1" t="str">
        <f t="shared" si="1449"/>
        <v>0</v>
      </c>
      <c r="BN2215" s="1">
        <v>3616.0</v>
      </c>
      <c r="BO2215" s="1">
        <v>8000.0</v>
      </c>
      <c r="BQ2215" s="1">
        <v>299.0</v>
      </c>
      <c r="BR2215" s="1">
        <v>299.0</v>
      </c>
      <c r="BS2215" s="1">
        <v>299.0</v>
      </c>
      <c r="BU2215" s="1" t="s">
        <v>390</v>
      </c>
      <c r="BV2215" s="1" t="s">
        <v>206</v>
      </c>
      <c r="BY2215" s="1" t="s">
        <v>495</v>
      </c>
      <c r="BZ2215" s="1" t="s">
        <v>206</v>
      </c>
      <c r="CC2215" s="1" t="s">
        <v>495</v>
      </c>
      <c r="CD2215" s="1" t="s">
        <v>206</v>
      </c>
      <c r="CG2215" s="1" t="s">
        <v>495</v>
      </c>
      <c r="CH2215" s="1" t="s">
        <v>206</v>
      </c>
      <c r="CK2215" s="1" t="s">
        <v>269</v>
      </c>
      <c r="CL2215" s="1" t="s">
        <v>206</v>
      </c>
      <c r="CO2215" s="1" t="s">
        <v>363</v>
      </c>
      <c r="CP2215" s="1" t="s">
        <v>42</v>
      </c>
      <c r="CS2215" s="1" t="s">
        <v>264</v>
      </c>
      <c r="CT2215" s="1" t="s">
        <v>206</v>
      </c>
      <c r="CW2215" s="1" t="s">
        <v>17044</v>
      </c>
      <c r="CX2215" s="1" t="s">
        <v>267</v>
      </c>
      <c r="DA2215" s="1" t="s">
        <v>200</v>
      </c>
      <c r="DC2215" s="1" t="s">
        <v>702</v>
      </c>
      <c r="DE2215" s="1" t="s">
        <v>273</v>
      </c>
      <c r="DF2215" s="1" t="s">
        <v>905</v>
      </c>
      <c r="DH2215" s="1" t="s">
        <v>365</v>
      </c>
      <c r="DJ2215" s="1" t="s">
        <v>222</v>
      </c>
      <c r="DL2215" s="1" t="s">
        <v>224</v>
      </c>
      <c r="DM2215" s="1" t="s">
        <v>229</v>
      </c>
      <c r="DN2215" s="1" t="s">
        <v>666</v>
      </c>
      <c r="DQ2215" s="1" t="s">
        <v>228</v>
      </c>
      <c r="DR2215" s="1" t="s">
        <v>229</v>
      </c>
      <c r="DS2215" s="1" t="s">
        <v>230</v>
      </c>
      <c r="DV2215" s="1" t="s">
        <v>232</v>
      </c>
      <c r="DW2215" s="1" t="s">
        <v>279</v>
      </c>
      <c r="DX2215" s="1" t="s">
        <v>234</v>
      </c>
      <c r="EC2215" s="1" t="s">
        <v>685</v>
      </c>
      <c r="EM2215" s="1" t="s">
        <v>238</v>
      </c>
      <c r="EQ2215" s="1" t="s">
        <v>238</v>
      </c>
      <c r="EU2215" s="1" t="s">
        <v>238</v>
      </c>
      <c r="EY2215" s="1" t="s">
        <v>238</v>
      </c>
      <c r="FC2215" s="1" t="s">
        <v>238</v>
      </c>
      <c r="FF2215" s="1" t="s">
        <v>239</v>
      </c>
      <c r="FG2215" s="1" t="s">
        <v>192</v>
      </c>
      <c r="FH2215" s="1" t="s">
        <v>192</v>
      </c>
      <c r="FJ2215" s="1" t="s">
        <v>17035</v>
      </c>
      <c r="FK2215" s="1" t="s">
        <v>229</v>
      </c>
      <c r="FL2215" s="1" t="s">
        <v>8326</v>
      </c>
      <c r="FM2215" s="1">
        <v>23391.0</v>
      </c>
      <c r="FN2215" s="1" t="s">
        <v>8327</v>
      </c>
      <c r="FO2215" s="1" t="s">
        <v>17036</v>
      </c>
      <c r="FP2215" s="1">
        <v>220590.0</v>
      </c>
      <c r="FQ2215" s="1" t="s">
        <v>17037</v>
      </c>
      <c r="FU2215" s="1" t="s">
        <v>3760</v>
      </c>
      <c r="FV2215" s="1" t="s">
        <v>192</v>
      </c>
      <c r="FW2215" s="1" t="s">
        <v>461</v>
      </c>
      <c r="FX2215" s="1" t="s">
        <v>246</v>
      </c>
      <c r="FZ2215" s="1" t="s">
        <v>229</v>
      </c>
      <c r="GA2215" s="1" t="s">
        <v>291</v>
      </c>
      <c r="GB2215" s="2">
        <v>42065.0</v>
      </c>
      <c r="GC2215" s="1" t="s">
        <v>20581</v>
      </c>
    </row>
    <row r="2216">
      <c r="A2216" s="1">
        <v>310000.0</v>
      </c>
      <c r="B2216" s="1" t="s">
        <v>185</v>
      </c>
      <c r="C2216" s="1" t="str">
        <f>"08750775"</f>
        <v>08750775</v>
      </c>
      <c r="D2216" s="1" t="s">
        <v>186</v>
      </c>
      <c r="F2216" s="1" t="str">
        <f>"8015"</f>
        <v>8015</v>
      </c>
      <c r="G2216" s="2">
        <v>41923.0</v>
      </c>
      <c r="H2216" s="1">
        <v>320000.0</v>
      </c>
      <c r="I2216" s="1">
        <v>222.0</v>
      </c>
      <c r="J2216" s="1">
        <v>320000.0</v>
      </c>
      <c r="K2216" s="2">
        <v>42024.0</v>
      </c>
      <c r="L2216" s="1">
        <v>102.0</v>
      </c>
      <c r="M2216" s="2">
        <v>42024.0</v>
      </c>
      <c r="N2216" s="1" t="s">
        <v>356</v>
      </c>
      <c r="O2216" s="2">
        <v>42069.0</v>
      </c>
      <c r="P2216" s="1">
        <v>189926.0</v>
      </c>
      <c r="Q2216" s="1">
        <v>84025.0</v>
      </c>
      <c r="S2216" s="1">
        <v>6134.0</v>
      </c>
      <c r="T2216" s="1" t="s">
        <v>20582</v>
      </c>
      <c r="U2216" s="1" t="s">
        <v>189</v>
      </c>
      <c r="V2216" s="1" t="s">
        <v>190</v>
      </c>
      <c r="W2216" s="1">
        <v>60630.0</v>
      </c>
      <c r="Y2216" s="1" t="s">
        <v>20583</v>
      </c>
      <c r="Z2216" s="1">
        <v>1953.0</v>
      </c>
      <c r="AA2216" s="1" t="s">
        <v>192</v>
      </c>
      <c r="AB2216" s="1" t="s">
        <v>193</v>
      </c>
      <c r="AD2216" s="1" t="s">
        <v>194</v>
      </c>
      <c r="AE2216" s="1" t="s">
        <v>195</v>
      </c>
      <c r="AF2216" s="1" t="s">
        <v>827</v>
      </c>
      <c r="AH2216" s="1" t="s">
        <v>20584</v>
      </c>
      <c r="AI2216" s="1">
        <v>0.11</v>
      </c>
      <c r="AK2216" s="1">
        <v>7.0</v>
      </c>
      <c r="AL2216" s="1">
        <v>4.0</v>
      </c>
      <c r="AM2216" s="1">
        <v>2.0</v>
      </c>
      <c r="AN2216" s="1">
        <v>1.0</v>
      </c>
      <c r="AO2216" s="1" t="s">
        <v>7502</v>
      </c>
      <c r="AQ2216" s="1" t="s">
        <v>198</v>
      </c>
      <c r="AR2216" s="1" t="s">
        <v>192</v>
      </c>
      <c r="AS2216" s="1" t="s">
        <v>199</v>
      </c>
      <c r="AT2216" s="1">
        <v>2.5</v>
      </c>
      <c r="AV2216" s="1" t="s">
        <v>200</v>
      </c>
      <c r="AW2216" s="1">
        <v>4059.23</v>
      </c>
      <c r="AX2216" s="1">
        <v>2013.0</v>
      </c>
      <c r="AY2216" s="1" t="s">
        <v>229</v>
      </c>
      <c r="AZ2216" s="1" t="s">
        <v>200</v>
      </c>
      <c r="BA2216" s="1" t="str">
        <f>"13171020380000"</f>
        <v>13171020380000</v>
      </c>
      <c r="BC2216" s="1">
        <v>2118.0</v>
      </c>
      <c r="BD2216" s="1">
        <v>310000.0</v>
      </c>
      <c r="BE2216" s="2">
        <v>41923.0</v>
      </c>
      <c r="BF2216" s="2" t="s">
        <v>20585</v>
      </c>
      <c r="BG2216" s="1" t="s">
        <v>2531</v>
      </c>
      <c r="BH2216" s="1">
        <v>0.0</v>
      </c>
      <c r="BI2216" s="1" t="s">
        <v>2531</v>
      </c>
      <c r="BJ2216" s="1" t="s">
        <v>1222</v>
      </c>
      <c r="BK2216" s="1" t="s">
        <v>204</v>
      </c>
      <c r="BL2216" s="1" t="str">
        <f>"4800"</f>
        <v>4800</v>
      </c>
      <c r="BM2216" s="1" t="str">
        <f>"0"</f>
        <v>0</v>
      </c>
      <c r="BN2216" s="1">
        <v>6134.0</v>
      </c>
      <c r="BO2216" s="1">
        <v>0.0</v>
      </c>
      <c r="BQ2216" s="1">
        <v>299.0</v>
      </c>
      <c r="BR2216" s="1">
        <v>299.0</v>
      </c>
      <c r="BS2216" s="1">
        <v>299.0</v>
      </c>
      <c r="BU2216" s="1" t="s">
        <v>205</v>
      </c>
      <c r="BV2216" s="1" t="s">
        <v>206</v>
      </c>
      <c r="BW2216" s="1" t="s">
        <v>207</v>
      </c>
      <c r="BY2216" s="1" t="s">
        <v>329</v>
      </c>
      <c r="BZ2216" s="1" t="s">
        <v>209</v>
      </c>
      <c r="CA2216" s="1" t="s">
        <v>210</v>
      </c>
      <c r="CD2216" s="1" t="s">
        <v>204</v>
      </c>
      <c r="CG2216" s="1" t="s">
        <v>215</v>
      </c>
      <c r="CH2216" s="1" t="s">
        <v>209</v>
      </c>
      <c r="CI2216" s="1" t="s">
        <v>210</v>
      </c>
      <c r="CK2216" s="1" t="s">
        <v>212</v>
      </c>
      <c r="CL2216" s="1" t="s">
        <v>206</v>
      </c>
      <c r="CM2216" s="1" t="s">
        <v>207</v>
      </c>
      <c r="CO2216" s="1" t="s">
        <v>495</v>
      </c>
      <c r="CP2216" s="1" t="s">
        <v>206</v>
      </c>
      <c r="CQ2216" s="1" t="s">
        <v>207</v>
      </c>
      <c r="CS2216" s="1" t="s">
        <v>497</v>
      </c>
      <c r="CT2216" s="1" t="s">
        <v>206</v>
      </c>
      <c r="CU2216" s="1" t="s">
        <v>1136</v>
      </c>
      <c r="CW2216" s="1" t="s">
        <v>346</v>
      </c>
      <c r="CX2216" s="1" t="s">
        <v>42</v>
      </c>
      <c r="CY2216" s="1" t="s">
        <v>301</v>
      </c>
      <c r="DA2216" s="1" t="s">
        <v>200</v>
      </c>
      <c r="DC2216" s="1" t="s">
        <v>702</v>
      </c>
      <c r="DE2216" s="1" t="s">
        <v>273</v>
      </c>
      <c r="DF2216" s="1" t="s">
        <v>619</v>
      </c>
      <c r="DH2216" s="1" t="s">
        <v>365</v>
      </c>
      <c r="DI2216" s="1" t="s">
        <v>519</v>
      </c>
      <c r="DJ2216" s="1" t="s">
        <v>222</v>
      </c>
      <c r="DK2216" s="1" t="s">
        <v>1380</v>
      </c>
      <c r="DL2216" s="1" t="s">
        <v>224</v>
      </c>
      <c r="DM2216" s="1" t="s">
        <v>1658</v>
      </c>
      <c r="DO2216" s="1" t="s">
        <v>549</v>
      </c>
      <c r="DQ2216" s="1" t="s">
        <v>228</v>
      </c>
      <c r="DR2216" s="1" t="s">
        <v>229</v>
      </c>
      <c r="DS2216" s="1" t="s">
        <v>277</v>
      </c>
      <c r="DV2216" s="1" t="s">
        <v>232</v>
      </c>
      <c r="DW2216" s="1" t="s">
        <v>279</v>
      </c>
      <c r="DX2216" s="1" t="s">
        <v>234</v>
      </c>
      <c r="DY2216" s="1" t="s">
        <v>9395</v>
      </c>
      <c r="EA2216" s="1" t="s">
        <v>1075</v>
      </c>
      <c r="EC2216" s="1" t="s">
        <v>645</v>
      </c>
      <c r="ED2216" s="1" t="s">
        <v>555</v>
      </c>
      <c r="EE2216" s="1" t="s">
        <v>493</v>
      </c>
      <c r="EM2216" s="1" t="s">
        <v>238</v>
      </c>
      <c r="EQ2216" s="1" t="s">
        <v>238</v>
      </c>
      <c r="EU2216" s="1" t="s">
        <v>238</v>
      </c>
      <c r="EY2216" s="1" t="s">
        <v>238</v>
      </c>
      <c r="FC2216" s="1" t="s">
        <v>238</v>
      </c>
      <c r="FF2216" s="1" t="s">
        <v>239</v>
      </c>
      <c r="FG2216" s="1" t="s">
        <v>192</v>
      </c>
      <c r="FH2216" s="1" t="s">
        <v>192</v>
      </c>
      <c r="FJ2216" s="1" t="s">
        <v>20586</v>
      </c>
      <c r="FK2216" s="1" t="s">
        <v>229</v>
      </c>
      <c r="FL2216" s="1" t="s">
        <v>456</v>
      </c>
      <c r="FM2216" s="1">
        <v>3110.0</v>
      </c>
      <c r="FN2216" s="1" t="s">
        <v>18156</v>
      </c>
      <c r="FO2216" s="1" t="s">
        <v>20587</v>
      </c>
      <c r="FP2216" s="1">
        <v>34332.0</v>
      </c>
      <c r="FR2216" s="1">
        <v>875351.0</v>
      </c>
      <c r="FU2216" s="1" t="s">
        <v>20588</v>
      </c>
      <c r="FV2216" s="1" t="s">
        <v>192</v>
      </c>
      <c r="FW2216" s="1" t="s">
        <v>20589</v>
      </c>
      <c r="FX2216" s="1" t="s">
        <v>246</v>
      </c>
      <c r="FZ2216" s="1" t="s">
        <v>229</v>
      </c>
      <c r="GA2216" s="1" t="s">
        <v>291</v>
      </c>
      <c r="GB2216" s="2">
        <v>42069.0</v>
      </c>
      <c r="GC2216" s="1" t="s">
        <v>20590</v>
      </c>
    </row>
    <row r="2217">
      <c r="A2217" s="1">
        <v>180500.0</v>
      </c>
      <c r="B2217" s="1" t="s">
        <v>185</v>
      </c>
      <c r="C2217" s="1" t="str">
        <f>"08748899"</f>
        <v>08748899</v>
      </c>
      <c r="D2217" s="1" t="s">
        <v>186</v>
      </c>
      <c r="F2217" s="1" t="str">
        <f>"538"</f>
        <v>538</v>
      </c>
      <c r="G2217" s="2">
        <v>41921.0</v>
      </c>
      <c r="H2217" s="1">
        <v>219900.0</v>
      </c>
      <c r="I2217" s="1">
        <v>152.0</v>
      </c>
      <c r="J2217" s="1">
        <v>189900.0</v>
      </c>
      <c r="K2217" s="2">
        <v>42072.0</v>
      </c>
      <c r="L2217" s="1">
        <v>152.0</v>
      </c>
      <c r="M2217" s="2">
        <v>42072.0</v>
      </c>
      <c r="N2217" s="1" t="s">
        <v>356</v>
      </c>
      <c r="O2217" s="2">
        <v>42125.0</v>
      </c>
      <c r="P2217" s="1">
        <v>55825.0</v>
      </c>
      <c r="Q2217" s="1">
        <v>5148.0</v>
      </c>
      <c r="S2217" s="1">
        <v>2290.0</v>
      </c>
      <c r="T2217" s="1" t="s">
        <v>9605</v>
      </c>
      <c r="U2217" s="1" t="s">
        <v>420</v>
      </c>
      <c r="V2217" s="1" t="s">
        <v>1340</v>
      </c>
      <c r="W2217" s="1">
        <v>60538.0</v>
      </c>
      <c r="Y2217" s="1" t="s">
        <v>12399</v>
      </c>
      <c r="Z2217" s="1" t="s">
        <v>296</v>
      </c>
      <c r="AA2217" s="1" t="s">
        <v>200</v>
      </c>
      <c r="AB2217" s="1" t="s">
        <v>193</v>
      </c>
      <c r="AD2217" s="1" t="s">
        <v>1343</v>
      </c>
      <c r="AE2217" s="1" t="s">
        <v>849</v>
      </c>
      <c r="AF2217" s="1" t="s">
        <v>1312</v>
      </c>
      <c r="AH2217" s="1" t="s">
        <v>20591</v>
      </c>
      <c r="AK2217" s="1">
        <v>9.0</v>
      </c>
      <c r="AL2217" s="1">
        <v>4.0</v>
      </c>
      <c r="AM2217" s="1">
        <v>2.0</v>
      </c>
      <c r="AN2217" s="1">
        <v>1.0</v>
      </c>
      <c r="AO2217" s="1" t="s">
        <v>198</v>
      </c>
      <c r="AQ2217" s="1" t="s">
        <v>229</v>
      </c>
      <c r="AR2217" s="1" t="s">
        <v>200</v>
      </c>
      <c r="AS2217" s="1" t="s">
        <v>199</v>
      </c>
      <c r="AT2217" s="1">
        <v>2.0</v>
      </c>
      <c r="AV2217" s="1" t="s">
        <v>200</v>
      </c>
      <c r="AW2217" s="1">
        <v>5980.0</v>
      </c>
      <c r="AX2217" s="1">
        <v>2012.0</v>
      </c>
      <c r="AZ2217" s="1" t="s">
        <v>200</v>
      </c>
      <c r="BA2217" s="1" t="str">
        <f>"0201152011"</f>
        <v>0201152011</v>
      </c>
      <c r="BC2217" s="1">
        <v>2366.0</v>
      </c>
      <c r="BD2217" s="1">
        <v>180500.0</v>
      </c>
      <c r="BE2217" s="2">
        <v>41921.0</v>
      </c>
      <c r="BF2217" s="1" t="s">
        <v>20592</v>
      </c>
      <c r="BH2217" s="1">
        <v>0.0</v>
      </c>
      <c r="BK2217" s="1" t="s">
        <v>204</v>
      </c>
      <c r="BL2217" s="1" t="str">
        <f t="shared" ref="BL2217:BM2217" si="1450">""</f>
        <v/>
      </c>
      <c r="BM2217" s="1" t="str">
        <f t="shared" si="1450"/>
        <v/>
      </c>
      <c r="BQ2217" s="1">
        <v>308.0</v>
      </c>
      <c r="BR2217" s="1">
        <v>308.0</v>
      </c>
      <c r="BS2217" s="1">
        <v>308.0</v>
      </c>
      <c r="BU2217" s="1" t="s">
        <v>329</v>
      </c>
      <c r="BV2217" s="1" t="s">
        <v>206</v>
      </c>
      <c r="BY2217" s="1" t="s">
        <v>390</v>
      </c>
      <c r="BZ2217" s="1" t="s">
        <v>209</v>
      </c>
      <c r="CC2217" s="1" t="s">
        <v>332</v>
      </c>
      <c r="CD2217" s="1" t="s">
        <v>206</v>
      </c>
      <c r="CG2217" s="1" t="s">
        <v>331</v>
      </c>
      <c r="CH2217" s="1" t="s">
        <v>209</v>
      </c>
      <c r="CK2217" s="1" t="s">
        <v>215</v>
      </c>
      <c r="CL2217" s="1" t="s">
        <v>209</v>
      </c>
      <c r="CO2217" s="1" t="s">
        <v>495</v>
      </c>
      <c r="CP2217" s="1" t="s">
        <v>209</v>
      </c>
      <c r="CS2217" s="1" t="s">
        <v>743</v>
      </c>
      <c r="CT2217" s="1" t="s">
        <v>206</v>
      </c>
      <c r="CW2217" s="1" t="s">
        <v>208</v>
      </c>
      <c r="CX2217" s="1" t="s">
        <v>206</v>
      </c>
      <c r="DA2217" s="1" t="s">
        <v>200</v>
      </c>
      <c r="DC2217" s="1" t="s">
        <v>678</v>
      </c>
      <c r="DE2217" s="1" t="s">
        <v>273</v>
      </c>
      <c r="DF2217" s="1" t="s">
        <v>619</v>
      </c>
      <c r="DH2217" s="1" t="s">
        <v>220</v>
      </c>
      <c r="DJ2217" s="1" t="s">
        <v>222</v>
      </c>
      <c r="DL2217" s="1" t="s">
        <v>229</v>
      </c>
      <c r="DM2217" s="1" t="s">
        <v>229</v>
      </c>
      <c r="DQ2217" s="1" t="s">
        <v>228</v>
      </c>
      <c r="DR2217" s="1" t="s">
        <v>229</v>
      </c>
      <c r="DS2217" s="1" t="s">
        <v>368</v>
      </c>
      <c r="DU2217" s="1" t="s">
        <v>20593</v>
      </c>
      <c r="DV2217" s="1" t="s">
        <v>12423</v>
      </c>
      <c r="DW2217" s="1" t="s">
        <v>2602</v>
      </c>
      <c r="DX2217" s="1" t="s">
        <v>234</v>
      </c>
      <c r="EA2217" s="1" t="s">
        <v>344</v>
      </c>
      <c r="EC2217" s="1" t="s">
        <v>237</v>
      </c>
      <c r="EG2217" s="1" t="s">
        <v>494</v>
      </c>
      <c r="EH2217" s="1" t="s">
        <v>2313</v>
      </c>
      <c r="EL2217" s="1" t="s">
        <v>495</v>
      </c>
      <c r="EM2217" s="1" t="s">
        <v>206</v>
      </c>
      <c r="EP2217" s="1" t="s">
        <v>3453</v>
      </c>
      <c r="EQ2217" s="1" t="s">
        <v>206</v>
      </c>
      <c r="EU2217" s="1" t="s">
        <v>238</v>
      </c>
      <c r="EY2217" s="1" t="s">
        <v>238</v>
      </c>
      <c r="FC2217" s="1" t="s">
        <v>238</v>
      </c>
      <c r="FF2217" s="1" t="s">
        <v>239</v>
      </c>
      <c r="FG2217" s="1" t="s">
        <v>192</v>
      </c>
      <c r="FH2217" s="1" t="s">
        <v>192</v>
      </c>
      <c r="FJ2217" s="1" t="s">
        <v>770</v>
      </c>
      <c r="FK2217" s="1" t="s">
        <v>1586</v>
      </c>
      <c r="FL2217" s="1" t="s">
        <v>20594</v>
      </c>
      <c r="FM2217" s="1">
        <v>24229.0</v>
      </c>
      <c r="FN2217" s="1" t="s">
        <v>20595</v>
      </c>
      <c r="FO2217" s="1" t="s">
        <v>20596</v>
      </c>
      <c r="FP2217" s="1">
        <v>243610.0</v>
      </c>
      <c r="FQ2217" s="1" t="s">
        <v>20595</v>
      </c>
      <c r="FR2217" s="1">
        <v>245501.0</v>
      </c>
      <c r="FU2217" s="1" t="s">
        <v>710</v>
      </c>
      <c r="FV2217" s="1" t="s">
        <v>200</v>
      </c>
      <c r="FW2217" s="1" t="s">
        <v>567</v>
      </c>
      <c r="FZ2217" s="1" t="s">
        <v>229</v>
      </c>
      <c r="GA2217" s="1" t="s">
        <v>291</v>
      </c>
      <c r="GB2217" s="2">
        <v>42131.0</v>
      </c>
      <c r="GC2217" s="1" t="s">
        <v>20597</v>
      </c>
    </row>
    <row r="2218">
      <c r="A2218" s="1">
        <v>483000.0</v>
      </c>
      <c r="B2218" s="1" t="s">
        <v>185</v>
      </c>
      <c r="C2218" s="1" t="str">
        <f>"08749343"</f>
        <v>08749343</v>
      </c>
      <c r="D2218" s="1" t="s">
        <v>186</v>
      </c>
      <c r="F2218" s="1" t="str">
        <f>"134"</f>
        <v>134</v>
      </c>
      <c r="G2218" s="2">
        <v>41921.0</v>
      </c>
      <c r="H2218" s="1">
        <v>647000.0</v>
      </c>
      <c r="I2218" s="1">
        <v>147.0</v>
      </c>
      <c r="J2218" s="1">
        <v>524000.0</v>
      </c>
      <c r="K2218" s="2">
        <v>42067.0</v>
      </c>
      <c r="L2218" s="1">
        <v>147.0</v>
      </c>
      <c r="M2218" s="2">
        <v>42067.0</v>
      </c>
      <c r="N2218" s="1" t="s">
        <v>187</v>
      </c>
      <c r="O2218" s="2">
        <v>42109.0</v>
      </c>
      <c r="P2218" s="1">
        <v>242931.0</v>
      </c>
      <c r="Q2218" s="1">
        <v>23591.0</v>
      </c>
      <c r="S2218" s="1">
        <v>1315.0</v>
      </c>
      <c r="T2218" s="1" t="s">
        <v>609</v>
      </c>
      <c r="U2218" s="1" t="s">
        <v>320</v>
      </c>
      <c r="V2218" s="1" t="s">
        <v>421</v>
      </c>
      <c r="W2218" s="1">
        <v>60134.0</v>
      </c>
      <c r="Y2218" s="1" t="s">
        <v>20598</v>
      </c>
      <c r="Z2218" s="1">
        <v>1945.0</v>
      </c>
      <c r="AA2218" s="1" t="s">
        <v>192</v>
      </c>
      <c r="AB2218" s="1" t="s">
        <v>193</v>
      </c>
      <c r="AC2218" s="1" t="s">
        <v>20599</v>
      </c>
      <c r="AD2218" s="1" t="s">
        <v>424</v>
      </c>
      <c r="AE2218" s="1" t="s">
        <v>325</v>
      </c>
      <c r="AF2218" s="1" t="s">
        <v>424</v>
      </c>
      <c r="AH2218" s="1" t="s">
        <v>20600</v>
      </c>
      <c r="AK2218" s="1">
        <v>7.0</v>
      </c>
      <c r="AL2218" s="1">
        <v>4.0</v>
      </c>
      <c r="AM2218" s="1">
        <v>2.0</v>
      </c>
      <c r="AN2218" s="1">
        <v>0.0</v>
      </c>
      <c r="AO2218" s="1" t="s">
        <v>3903</v>
      </c>
      <c r="AP2218" s="1">
        <v>1.0</v>
      </c>
      <c r="AQ2218" s="1" t="s">
        <v>1314</v>
      </c>
      <c r="AR2218" s="1" t="s">
        <v>200</v>
      </c>
      <c r="AS2218" s="1" t="s">
        <v>199</v>
      </c>
      <c r="AT2218" s="1">
        <v>2.0</v>
      </c>
      <c r="AV2218" s="1" t="s">
        <v>200</v>
      </c>
      <c r="AW2218" s="1">
        <v>7102.0</v>
      </c>
      <c r="AX2218" s="1">
        <v>2013.0</v>
      </c>
      <c r="AY2218" s="1" t="s">
        <v>3108</v>
      </c>
      <c r="AZ2218" s="1" t="s">
        <v>200</v>
      </c>
      <c r="BA2218" s="1" t="str">
        <f>"1203301005"</f>
        <v>1203301005</v>
      </c>
      <c r="BC2218" s="1">
        <v>2698.0</v>
      </c>
      <c r="BD2218" s="1">
        <v>483000.0</v>
      </c>
      <c r="BE2218" s="2">
        <v>41921.0</v>
      </c>
      <c r="BF2218" s="2" t="s">
        <v>20601</v>
      </c>
      <c r="BH2218" s="1">
        <v>0.0</v>
      </c>
      <c r="BI2218" s="1" t="s">
        <v>429</v>
      </c>
      <c r="BJ2218" s="1" t="s">
        <v>430</v>
      </c>
      <c r="BK2218" s="1" t="s">
        <v>204</v>
      </c>
      <c r="BL2218" s="1" t="str">
        <f t="shared" ref="BL2218:BM2218" si="1451">""</f>
        <v/>
      </c>
      <c r="BM2218" s="1" t="str">
        <f t="shared" si="1451"/>
        <v/>
      </c>
      <c r="BQ2218" s="1">
        <v>304.0</v>
      </c>
      <c r="BR2218" s="1">
        <v>304.0</v>
      </c>
      <c r="BS2218" s="1">
        <v>304.0</v>
      </c>
      <c r="BU2218" s="1" t="s">
        <v>5223</v>
      </c>
      <c r="BV2218" s="1" t="s">
        <v>206</v>
      </c>
      <c r="BW2218" s="1" t="s">
        <v>207</v>
      </c>
      <c r="BY2218" s="1" t="s">
        <v>1395</v>
      </c>
      <c r="BZ2218" s="1" t="s">
        <v>206</v>
      </c>
      <c r="CA2218" s="1" t="s">
        <v>207</v>
      </c>
      <c r="CC2218" s="1" t="s">
        <v>542</v>
      </c>
      <c r="CD2218" s="1" t="s">
        <v>206</v>
      </c>
      <c r="CE2218" s="1" t="s">
        <v>207</v>
      </c>
      <c r="CG2218" s="1" t="s">
        <v>331</v>
      </c>
      <c r="CH2218" s="1" t="s">
        <v>206</v>
      </c>
      <c r="CI2218" s="1" t="s">
        <v>207</v>
      </c>
      <c r="CK2218" s="1" t="s">
        <v>1068</v>
      </c>
      <c r="CL2218" s="1" t="s">
        <v>209</v>
      </c>
      <c r="CM2218" s="1" t="s">
        <v>207</v>
      </c>
      <c r="CO2218" s="1" t="s">
        <v>205</v>
      </c>
      <c r="CP2218" s="1" t="s">
        <v>209</v>
      </c>
      <c r="CQ2218" s="1" t="s">
        <v>207</v>
      </c>
      <c r="CS2218" s="1" t="s">
        <v>903</v>
      </c>
      <c r="CT2218" s="1" t="s">
        <v>206</v>
      </c>
      <c r="CU2218" s="1" t="s">
        <v>207</v>
      </c>
      <c r="CX2218" s="1" t="s">
        <v>204</v>
      </c>
      <c r="DA2218" s="1" t="s">
        <v>200</v>
      </c>
      <c r="DC2218" s="1" t="s">
        <v>702</v>
      </c>
      <c r="DD2218" s="1" t="s">
        <v>518</v>
      </c>
      <c r="DE2218" s="1" t="s">
        <v>273</v>
      </c>
      <c r="DF2218" s="1" t="s">
        <v>219</v>
      </c>
      <c r="DG2218" s="1" t="s">
        <v>2311</v>
      </c>
      <c r="DH2218" s="1" t="s">
        <v>220</v>
      </c>
      <c r="DI2218" s="1" t="s">
        <v>6016</v>
      </c>
      <c r="DJ2218" s="1" t="s">
        <v>222</v>
      </c>
      <c r="DL2218" s="1" t="s">
        <v>223</v>
      </c>
      <c r="DM2218" s="1" t="s">
        <v>3697</v>
      </c>
      <c r="DN2218" s="1" t="s">
        <v>1486</v>
      </c>
      <c r="DO2218" s="1" t="s">
        <v>2297</v>
      </c>
      <c r="DP2218" s="1" t="s">
        <v>276</v>
      </c>
      <c r="DQ2218" s="1" t="s">
        <v>441</v>
      </c>
      <c r="DR2218" s="1" t="s">
        <v>229</v>
      </c>
      <c r="DV2218" s="1" t="s">
        <v>2129</v>
      </c>
      <c r="DW2218" s="1" t="s">
        <v>964</v>
      </c>
      <c r="DX2218" s="1" t="s">
        <v>234</v>
      </c>
      <c r="DY2218" s="1" t="s">
        <v>20602</v>
      </c>
      <c r="DZ2218" s="1" t="s">
        <v>3877</v>
      </c>
      <c r="EB2218" s="1" t="s">
        <v>492</v>
      </c>
      <c r="EC2218" s="1" t="s">
        <v>237</v>
      </c>
      <c r="ED2218" s="1" t="s">
        <v>407</v>
      </c>
      <c r="EG2218" s="1" t="s">
        <v>2129</v>
      </c>
      <c r="EL2218" s="1" t="s">
        <v>20603</v>
      </c>
      <c r="EM2218" s="1" t="s">
        <v>206</v>
      </c>
      <c r="EQ2218" s="1" t="s">
        <v>238</v>
      </c>
      <c r="EU2218" s="1" t="s">
        <v>238</v>
      </c>
      <c r="EY2218" s="1" t="s">
        <v>238</v>
      </c>
      <c r="FC2218" s="1" t="s">
        <v>238</v>
      </c>
      <c r="FF2218" s="1" t="s">
        <v>239</v>
      </c>
      <c r="FG2218" s="1" t="s">
        <v>192</v>
      </c>
      <c r="FH2218" s="1" t="s">
        <v>192</v>
      </c>
      <c r="FJ2218" s="1" t="s">
        <v>4181</v>
      </c>
      <c r="FK2218" s="1" t="s">
        <v>229</v>
      </c>
      <c r="FL2218" s="1" t="s">
        <v>1212</v>
      </c>
      <c r="FM2218" s="1">
        <v>30.0</v>
      </c>
      <c r="FN2218" s="1" t="s">
        <v>1213</v>
      </c>
      <c r="FO2218" s="1" t="s">
        <v>8470</v>
      </c>
      <c r="FP2218" s="1">
        <v>497.0</v>
      </c>
      <c r="FQ2218" s="1" t="s">
        <v>8471</v>
      </c>
      <c r="FR2218" s="1">
        <v>8177.0</v>
      </c>
      <c r="FS2218" s="1">
        <v>8177.0</v>
      </c>
      <c r="FU2218" s="1" t="s">
        <v>10211</v>
      </c>
      <c r="FV2218" s="1" t="s">
        <v>200</v>
      </c>
      <c r="FW2218" s="1" t="s">
        <v>290</v>
      </c>
      <c r="FX2218" s="1" t="s">
        <v>246</v>
      </c>
      <c r="FZ2218" s="1" t="s">
        <v>229</v>
      </c>
      <c r="GA2218" s="1" t="s">
        <v>291</v>
      </c>
      <c r="GB2218" s="2">
        <v>42109.0</v>
      </c>
      <c r="GC2218" s="1" t="s">
        <v>20604</v>
      </c>
    </row>
    <row r="2219">
      <c r="A2219" s="1">
        <v>469000.0</v>
      </c>
      <c r="B2219" s="1" t="s">
        <v>185</v>
      </c>
      <c r="C2219" s="1" t="str">
        <f>"08744492"</f>
        <v>08744492</v>
      </c>
      <c r="D2219" s="1" t="s">
        <v>186</v>
      </c>
      <c r="F2219" s="1" t="str">
        <f>"8011"</f>
        <v>8011</v>
      </c>
      <c r="G2219" s="2">
        <v>41915.0</v>
      </c>
      <c r="H2219" s="1">
        <v>469000.0</v>
      </c>
      <c r="I2219" s="1">
        <v>489.0</v>
      </c>
      <c r="J2219" s="1">
        <v>469000.0</v>
      </c>
      <c r="K2219" s="2">
        <v>42068.0</v>
      </c>
      <c r="L2219" s="1">
        <v>154.0</v>
      </c>
      <c r="M2219" s="2">
        <v>42068.0</v>
      </c>
      <c r="N2219" s="1" t="s">
        <v>187</v>
      </c>
      <c r="O2219" s="2">
        <v>42104.0</v>
      </c>
      <c r="P2219" s="1">
        <v>188294.0</v>
      </c>
      <c r="Q2219" s="1">
        <v>85470.0</v>
      </c>
      <c r="S2219" s="1">
        <v>5642.0</v>
      </c>
      <c r="T2219" s="1" t="s">
        <v>4428</v>
      </c>
      <c r="U2219" s="1" t="s">
        <v>189</v>
      </c>
      <c r="V2219" s="1" t="s">
        <v>190</v>
      </c>
      <c r="W2219" s="1">
        <v>60646.0</v>
      </c>
      <c r="Y2219" s="1" t="s">
        <v>6132</v>
      </c>
      <c r="Z2219" s="1">
        <v>2014.0</v>
      </c>
      <c r="AA2219" s="1" t="s">
        <v>200</v>
      </c>
      <c r="AB2219" s="1" t="s">
        <v>193</v>
      </c>
      <c r="AD2219" s="1" t="s">
        <v>194</v>
      </c>
      <c r="AE2219" s="1" t="s">
        <v>195</v>
      </c>
      <c r="AF2219" s="1" t="s">
        <v>196</v>
      </c>
      <c r="AG2219" s="1" t="s">
        <v>6133</v>
      </c>
      <c r="AH2219" s="1" t="s">
        <v>20605</v>
      </c>
      <c r="AI2219" s="1">
        <v>0.0899</v>
      </c>
      <c r="AK2219" s="1">
        <v>9.0</v>
      </c>
      <c r="AL2219" s="1">
        <v>4.0</v>
      </c>
      <c r="AM2219" s="1">
        <v>3.0</v>
      </c>
      <c r="AN2219" s="1">
        <v>1.0</v>
      </c>
      <c r="AO2219" s="1" t="s">
        <v>198</v>
      </c>
      <c r="AP2219" s="1">
        <v>1.0</v>
      </c>
      <c r="AQ2219" s="1" t="s">
        <v>1314</v>
      </c>
      <c r="AR2219" s="1" t="s">
        <v>200</v>
      </c>
      <c r="AS2219" s="1" t="s">
        <v>199</v>
      </c>
      <c r="AT2219" s="1">
        <v>2.0</v>
      </c>
      <c r="AV2219" s="1" t="s">
        <v>200</v>
      </c>
      <c r="AW2219" s="1" t="s">
        <v>575</v>
      </c>
      <c r="AX2219" s="1">
        <v>2013.0</v>
      </c>
      <c r="AY2219" s="1" t="s">
        <v>229</v>
      </c>
      <c r="AZ2219" s="1" t="s">
        <v>200</v>
      </c>
      <c r="BA2219" s="1" t="str">
        <f>"13043120370000"</f>
        <v>13043120370000</v>
      </c>
      <c r="BC2219" s="1">
        <v>2783.0</v>
      </c>
      <c r="BD2219" s="1">
        <v>469000.0</v>
      </c>
      <c r="BE2219" s="2">
        <v>41915.0</v>
      </c>
      <c r="BF2219" s="2" t="s">
        <v>20606</v>
      </c>
      <c r="BH2219" s="1">
        <v>125.0</v>
      </c>
      <c r="BK2219" s="1" t="s">
        <v>474</v>
      </c>
      <c r="BL2219" s="1" t="str">
        <f>"5642"</f>
        <v>5642</v>
      </c>
      <c r="BM2219" s="1" t="str">
        <f>"0"</f>
        <v>0</v>
      </c>
      <c r="BN2219" s="1">
        <v>5300.0</v>
      </c>
      <c r="BO2219" s="1">
        <v>0.0</v>
      </c>
      <c r="BQ2219" s="1">
        <v>299.0</v>
      </c>
      <c r="BR2219" s="1">
        <v>299.0</v>
      </c>
      <c r="BS2219" s="1">
        <v>299.0</v>
      </c>
      <c r="BU2219" s="1" t="s">
        <v>361</v>
      </c>
      <c r="BV2219" s="1" t="s">
        <v>267</v>
      </c>
      <c r="BW2219" s="1" t="s">
        <v>207</v>
      </c>
      <c r="BY2219" s="1" t="s">
        <v>1426</v>
      </c>
      <c r="BZ2219" s="1" t="s">
        <v>391</v>
      </c>
      <c r="CA2219" s="1" t="s">
        <v>210</v>
      </c>
      <c r="CC2219" s="1" t="s">
        <v>516</v>
      </c>
      <c r="CD2219" s="1" t="s">
        <v>209</v>
      </c>
      <c r="CE2219" s="1" t="s">
        <v>207</v>
      </c>
      <c r="CG2219" s="1" t="s">
        <v>269</v>
      </c>
      <c r="CH2219" s="1" t="s">
        <v>391</v>
      </c>
      <c r="CI2219" s="1" t="s">
        <v>210</v>
      </c>
      <c r="CK2219" s="1" t="s">
        <v>495</v>
      </c>
      <c r="CL2219" s="1" t="s">
        <v>391</v>
      </c>
      <c r="CM2219" s="1" t="s">
        <v>210</v>
      </c>
      <c r="CO2219" s="1" t="s">
        <v>2459</v>
      </c>
      <c r="CP2219" s="1" t="s">
        <v>267</v>
      </c>
      <c r="CQ2219" s="1" t="s">
        <v>210</v>
      </c>
      <c r="CS2219" s="1" t="s">
        <v>640</v>
      </c>
      <c r="CT2219" s="1" t="s">
        <v>209</v>
      </c>
      <c r="CU2219" s="1" t="s">
        <v>207</v>
      </c>
      <c r="CW2219" s="1" t="s">
        <v>390</v>
      </c>
      <c r="CX2219" s="1" t="s">
        <v>209</v>
      </c>
      <c r="CY2219" s="1" t="s">
        <v>207</v>
      </c>
      <c r="DA2219" s="1" t="s">
        <v>192</v>
      </c>
      <c r="DB2219" s="2">
        <v>41944.0</v>
      </c>
      <c r="DC2219" s="1" t="s">
        <v>744</v>
      </c>
      <c r="DD2219" s="1" t="s">
        <v>306</v>
      </c>
      <c r="DE2219" s="1" t="s">
        <v>273</v>
      </c>
      <c r="DF2219" s="1" t="s">
        <v>219</v>
      </c>
      <c r="DG2219" s="1" t="s">
        <v>337</v>
      </c>
      <c r="DH2219" s="1" t="s">
        <v>307</v>
      </c>
      <c r="DI2219" s="1" t="s">
        <v>1003</v>
      </c>
      <c r="DJ2219" s="1" t="s">
        <v>1048</v>
      </c>
      <c r="DL2219" s="1" t="s">
        <v>224</v>
      </c>
      <c r="DM2219" s="1" t="s">
        <v>229</v>
      </c>
      <c r="DN2219" s="1" t="s">
        <v>548</v>
      </c>
      <c r="DP2219" s="1" t="s">
        <v>340</v>
      </c>
      <c r="DQ2219" s="1" t="s">
        <v>228</v>
      </c>
      <c r="DR2219" s="1" t="s">
        <v>6136</v>
      </c>
      <c r="DS2219" s="1" t="s">
        <v>230</v>
      </c>
      <c r="DU2219" s="1" t="s">
        <v>6137</v>
      </c>
      <c r="DV2219" s="1" t="s">
        <v>1164</v>
      </c>
      <c r="DW2219" s="1" t="s">
        <v>964</v>
      </c>
      <c r="DX2219" s="1" t="s">
        <v>234</v>
      </c>
      <c r="DZ2219" s="1" t="s">
        <v>310</v>
      </c>
      <c r="EA2219" s="1" t="s">
        <v>3112</v>
      </c>
      <c r="EB2219" s="1" t="s">
        <v>1639</v>
      </c>
      <c r="EC2219" s="1" t="s">
        <v>406</v>
      </c>
      <c r="EG2219" s="1" t="s">
        <v>1164</v>
      </c>
      <c r="EL2219" s="1" t="s">
        <v>1067</v>
      </c>
      <c r="EM2219" s="1" t="s">
        <v>267</v>
      </c>
      <c r="EN2219" s="1" t="s">
        <v>210</v>
      </c>
      <c r="EQ2219" s="1" t="s">
        <v>238</v>
      </c>
      <c r="EU2219" s="1" t="s">
        <v>238</v>
      </c>
      <c r="EY2219" s="1" t="s">
        <v>238</v>
      </c>
      <c r="FC2219" s="1" t="s">
        <v>238</v>
      </c>
      <c r="FF2219" s="1" t="s">
        <v>239</v>
      </c>
      <c r="FG2219" s="1" t="s">
        <v>192</v>
      </c>
      <c r="FH2219" s="1" t="s">
        <v>192</v>
      </c>
      <c r="FJ2219" s="1" t="s">
        <v>799</v>
      </c>
      <c r="FK2219" s="1" t="s">
        <v>229</v>
      </c>
      <c r="FL2219" s="1" t="s">
        <v>3156</v>
      </c>
      <c r="FM2219" s="1">
        <v>84729.0</v>
      </c>
      <c r="FN2219" s="1" t="s">
        <v>3157</v>
      </c>
      <c r="FO2219" s="1" t="s">
        <v>4104</v>
      </c>
      <c r="FP2219" s="1">
        <v>106635.0</v>
      </c>
      <c r="FQ2219" s="1" t="s">
        <v>4105</v>
      </c>
      <c r="FR2219" s="1">
        <v>115952.0</v>
      </c>
      <c r="FU2219" s="1" t="s">
        <v>20607</v>
      </c>
      <c r="FV2219" s="1" t="s">
        <v>200</v>
      </c>
      <c r="FW2219" s="1" t="s">
        <v>290</v>
      </c>
      <c r="FX2219" s="1" t="s">
        <v>238</v>
      </c>
      <c r="FZ2219" s="1" t="s">
        <v>229</v>
      </c>
      <c r="GA2219" s="1" t="s">
        <v>291</v>
      </c>
      <c r="GB2219" s="2">
        <v>42107.0</v>
      </c>
      <c r="GC2219" s="1" t="s">
        <v>20608</v>
      </c>
    </row>
    <row r="2220">
      <c r="A2220" s="1">
        <v>125000.0</v>
      </c>
      <c r="B2220" s="1" t="s">
        <v>185</v>
      </c>
      <c r="C2220" s="1" t="str">
        <f>"08749386"</f>
        <v>08749386</v>
      </c>
      <c r="D2220" s="1" t="s">
        <v>186</v>
      </c>
      <c r="F2220" s="1" t="str">
        <f>"8069"</f>
        <v>8069</v>
      </c>
      <c r="G2220" s="2">
        <v>41921.0</v>
      </c>
      <c r="H2220" s="1">
        <v>129900.0</v>
      </c>
      <c r="I2220" s="1">
        <v>101.0</v>
      </c>
      <c r="J2220" s="1">
        <v>129900.0</v>
      </c>
      <c r="K2220" s="2">
        <v>41956.0</v>
      </c>
      <c r="L2220" s="1">
        <v>36.0</v>
      </c>
      <c r="M2220" s="2">
        <v>41956.0</v>
      </c>
      <c r="N2220" s="1" t="s">
        <v>356</v>
      </c>
      <c r="O2220" s="2">
        <v>42013.0</v>
      </c>
      <c r="P2220" s="1">
        <v>237757.0</v>
      </c>
      <c r="Q2220" s="1">
        <v>25042.0</v>
      </c>
      <c r="R2220" s="1">
        <v>3.0</v>
      </c>
      <c r="S2220" s="1">
        <v>7327.0</v>
      </c>
      <c r="T2220" s="1" t="s">
        <v>4396</v>
      </c>
      <c r="U2220" s="1" t="s">
        <v>189</v>
      </c>
      <c r="V2220" s="1" t="s">
        <v>190</v>
      </c>
      <c r="W2220" s="1">
        <v>60619.0</v>
      </c>
      <c r="Y2220" s="1" t="s">
        <v>20609</v>
      </c>
      <c r="Z2220" s="1">
        <v>1910.0</v>
      </c>
      <c r="AA2220" s="1" t="s">
        <v>192</v>
      </c>
      <c r="AB2220" s="1" t="s">
        <v>193</v>
      </c>
      <c r="AD2220" s="1" t="s">
        <v>194</v>
      </c>
      <c r="AE2220" s="1" t="s">
        <v>195</v>
      </c>
      <c r="AF2220" s="1" t="s">
        <v>637</v>
      </c>
      <c r="AH2220" s="1" t="s">
        <v>6331</v>
      </c>
      <c r="AI2220" s="1">
        <v>0.0854</v>
      </c>
      <c r="AK2220" s="1">
        <v>6.0</v>
      </c>
      <c r="AL2220" s="1">
        <v>3.0</v>
      </c>
      <c r="AM2220" s="1">
        <v>2.0</v>
      </c>
      <c r="AN2220" s="1">
        <v>0.0</v>
      </c>
      <c r="AO2220" s="1" t="s">
        <v>229</v>
      </c>
      <c r="AQ2220" s="1" t="s">
        <v>198</v>
      </c>
      <c r="AR2220" s="1" t="s">
        <v>192</v>
      </c>
      <c r="AS2220" s="1" t="s">
        <v>828</v>
      </c>
      <c r="AU2220" s="1">
        <v>0.0</v>
      </c>
      <c r="AV2220" s="1" t="s">
        <v>200</v>
      </c>
      <c r="AW2220" s="1">
        <v>1316.94</v>
      </c>
      <c r="AX2220" s="1">
        <v>2012.0</v>
      </c>
      <c r="AZ2220" s="1" t="s">
        <v>200</v>
      </c>
      <c r="BA2220" s="1" t="str">
        <f>"20272180090000"</f>
        <v>20272180090000</v>
      </c>
      <c r="BB2220" s="1" t="s">
        <v>200</v>
      </c>
      <c r="BC2220" s="1">
        <v>1310.0</v>
      </c>
      <c r="BD2220" s="1">
        <v>125000.0</v>
      </c>
      <c r="BE2220" s="2">
        <v>41921.0</v>
      </c>
      <c r="BF2220" s="2" t="s">
        <v>20610</v>
      </c>
      <c r="BH2220" s="1">
        <v>0.0</v>
      </c>
      <c r="BK2220" s="1" t="s">
        <v>204</v>
      </c>
      <c r="BL2220" s="1" t="str">
        <f>"0"</f>
        <v>0</v>
      </c>
      <c r="BM2220" s="1" t="str">
        <f>"600"</f>
        <v>600</v>
      </c>
      <c r="BN2220" s="1">
        <v>0.0</v>
      </c>
      <c r="BO2220" s="1">
        <v>7327.0</v>
      </c>
      <c r="BQ2220" s="1">
        <v>299.0</v>
      </c>
      <c r="BR2220" s="1">
        <v>299.0</v>
      </c>
      <c r="BS2220" s="1">
        <v>299.0</v>
      </c>
      <c r="BU2220" s="1" t="s">
        <v>300</v>
      </c>
      <c r="BV2220" s="1" t="s">
        <v>206</v>
      </c>
      <c r="BW2220" s="1" t="s">
        <v>207</v>
      </c>
      <c r="BY2220" s="1" t="s">
        <v>264</v>
      </c>
      <c r="BZ2220" s="1" t="s">
        <v>206</v>
      </c>
      <c r="CA2220" s="1" t="s">
        <v>207</v>
      </c>
      <c r="CD2220" s="1" t="s">
        <v>204</v>
      </c>
      <c r="CG2220" s="1" t="s">
        <v>303</v>
      </c>
      <c r="CH2220" s="1" t="s">
        <v>206</v>
      </c>
      <c r="CI2220" s="1" t="s">
        <v>207</v>
      </c>
      <c r="CK2220" s="1" t="s">
        <v>269</v>
      </c>
      <c r="CL2220" s="1" t="s">
        <v>206</v>
      </c>
      <c r="CM2220" s="1" t="s">
        <v>207</v>
      </c>
      <c r="CO2220" s="1" t="s">
        <v>211</v>
      </c>
      <c r="CP2220" s="1" t="s">
        <v>42</v>
      </c>
      <c r="CQ2220" s="1" t="s">
        <v>268</v>
      </c>
      <c r="CS2220" s="1" t="s">
        <v>4403</v>
      </c>
      <c r="CT2220" s="1" t="s">
        <v>206</v>
      </c>
      <c r="CU2220" s="1" t="s">
        <v>268</v>
      </c>
      <c r="CX2220" s="1" t="s">
        <v>204</v>
      </c>
      <c r="DA2220" s="1" t="s">
        <v>200</v>
      </c>
      <c r="DC2220" s="1" t="s">
        <v>642</v>
      </c>
      <c r="DE2220" s="1" t="s">
        <v>2851</v>
      </c>
      <c r="DF2220" s="1" t="s">
        <v>219</v>
      </c>
      <c r="DH2220" s="1" t="s">
        <v>307</v>
      </c>
      <c r="DJ2220" s="1" t="s">
        <v>222</v>
      </c>
      <c r="DL2220" s="1" t="s">
        <v>224</v>
      </c>
      <c r="DM2220" s="1" t="s">
        <v>229</v>
      </c>
      <c r="DQ2220" s="1" t="s">
        <v>228</v>
      </c>
      <c r="DR2220" s="1" t="s">
        <v>229</v>
      </c>
      <c r="DS2220" s="1" t="s">
        <v>230</v>
      </c>
      <c r="DV2220" s="1" t="s">
        <v>232</v>
      </c>
      <c r="DW2220" s="1" t="s">
        <v>279</v>
      </c>
      <c r="DX2220" s="1" t="s">
        <v>234</v>
      </c>
      <c r="EC2220" s="1" t="s">
        <v>685</v>
      </c>
      <c r="EM2220" s="1" t="s">
        <v>238</v>
      </c>
      <c r="EQ2220" s="1" t="s">
        <v>238</v>
      </c>
      <c r="EU2220" s="1" t="s">
        <v>238</v>
      </c>
      <c r="EY2220" s="1" t="s">
        <v>238</v>
      </c>
      <c r="FC2220" s="1" t="s">
        <v>238</v>
      </c>
      <c r="FF2220" s="1" t="s">
        <v>239</v>
      </c>
      <c r="FG2220" s="1" t="s">
        <v>192</v>
      </c>
      <c r="FH2220" s="1" t="s">
        <v>192</v>
      </c>
      <c r="FJ2220" s="1" t="s">
        <v>1280</v>
      </c>
      <c r="FK2220" s="1" t="s">
        <v>229</v>
      </c>
      <c r="FL2220" s="1" t="s">
        <v>649</v>
      </c>
      <c r="FM2220" s="1">
        <v>60296.0</v>
      </c>
      <c r="FN2220" s="1" t="s">
        <v>650</v>
      </c>
      <c r="FO2220" s="1" t="s">
        <v>651</v>
      </c>
      <c r="FP2220" s="1">
        <v>602837.0</v>
      </c>
      <c r="FQ2220" s="1" t="s">
        <v>652</v>
      </c>
      <c r="FR2220" s="1">
        <v>602442.0</v>
      </c>
      <c r="FU2220" s="1" t="s">
        <v>353</v>
      </c>
      <c r="FV2220" s="1" t="s">
        <v>200</v>
      </c>
      <c r="FW2220" s="1" t="s">
        <v>530</v>
      </c>
      <c r="FX2220" s="1" t="s">
        <v>655</v>
      </c>
      <c r="FZ2220" s="1" t="s">
        <v>229</v>
      </c>
      <c r="GA2220" s="1" t="s">
        <v>291</v>
      </c>
      <c r="GB2220" s="2">
        <v>42018.0</v>
      </c>
      <c r="GC2220" s="1" t="s">
        <v>1372</v>
      </c>
    </row>
    <row r="2221">
      <c r="A2221" s="1">
        <v>250000.0</v>
      </c>
      <c r="B2221" s="1" t="s">
        <v>185</v>
      </c>
      <c r="C2221" s="1" t="str">
        <f>"08750357"</f>
        <v>08750357</v>
      </c>
      <c r="D2221" s="1" t="s">
        <v>186</v>
      </c>
      <c r="F2221" s="1" t="str">
        <f>"140"</f>
        <v>140</v>
      </c>
      <c r="G2221" s="2">
        <v>41922.0</v>
      </c>
      <c r="H2221" s="1">
        <v>324900.0</v>
      </c>
      <c r="I2221" s="1">
        <v>104.0</v>
      </c>
      <c r="J2221" s="1">
        <v>249900.0</v>
      </c>
      <c r="K2221" s="2">
        <v>42025.0</v>
      </c>
      <c r="L2221" s="1">
        <v>104.0</v>
      </c>
      <c r="M2221" s="2">
        <v>42025.0</v>
      </c>
      <c r="N2221" s="1" t="s">
        <v>187</v>
      </c>
      <c r="O2221" s="2">
        <v>42048.0</v>
      </c>
      <c r="P2221" s="1">
        <v>351015.0</v>
      </c>
      <c r="Q2221" s="1">
        <v>35108.0</v>
      </c>
      <c r="S2221" s="1">
        <v>800.0</v>
      </c>
      <c r="T2221" s="1" t="s">
        <v>20611</v>
      </c>
      <c r="U2221" s="1" t="s">
        <v>1174</v>
      </c>
      <c r="V2221" s="1" t="s">
        <v>321</v>
      </c>
      <c r="W2221" s="1">
        <v>60140.0</v>
      </c>
      <c r="Y2221" s="1" t="s">
        <v>20612</v>
      </c>
      <c r="Z2221" s="1">
        <v>2005.0</v>
      </c>
      <c r="AA2221" s="1" t="s">
        <v>200</v>
      </c>
      <c r="AB2221" s="1" t="s">
        <v>193</v>
      </c>
      <c r="AD2221" s="1" t="s">
        <v>324</v>
      </c>
      <c r="AE2221" s="1" t="s">
        <v>325</v>
      </c>
      <c r="AF2221" s="1" t="s">
        <v>324</v>
      </c>
      <c r="AH2221" s="1">
        <v>14631.0</v>
      </c>
      <c r="AI2221" s="1">
        <v>0.3229</v>
      </c>
      <c r="AK2221" s="1">
        <v>9.0</v>
      </c>
      <c r="AL2221" s="1">
        <v>4.0</v>
      </c>
      <c r="AM2221" s="1">
        <v>2.0</v>
      </c>
      <c r="AN2221" s="1">
        <v>1.0</v>
      </c>
      <c r="AO2221" s="1" t="s">
        <v>198</v>
      </c>
      <c r="AP2221" s="1">
        <v>1.0</v>
      </c>
      <c r="AQ2221" s="1" t="s">
        <v>198</v>
      </c>
      <c r="AR2221" s="1" t="s">
        <v>200</v>
      </c>
      <c r="AS2221" s="1" t="s">
        <v>199</v>
      </c>
      <c r="AT2221" s="1">
        <v>3.0</v>
      </c>
      <c r="AV2221" s="1" t="s">
        <v>200</v>
      </c>
      <c r="AW2221" s="1">
        <v>10681.56</v>
      </c>
      <c r="AX2221" s="1">
        <v>2013.0</v>
      </c>
      <c r="AZ2221" s="1" t="s">
        <v>200</v>
      </c>
      <c r="BA2221" s="1" t="str">
        <f>"0127256004"</f>
        <v>0127256004</v>
      </c>
      <c r="BC2221" s="1">
        <v>3270.0</v>
      </c>
      <c r="BD2221" s="1">
        <v>250000.0</v>
      </c>
      <c r="BE2221" s="2">
        <v>41922.0</v>
      </c>
      <c r="BF2221" s="2" t="s">
        <v>20613</v>
      </c>
      <c r="BH2221" s="1">
        <v>0.0</v>
      </c>
      <c r="BK2221" s="1" t="s">
        <v>204</v>
      </c>
      <c r="BL2221" s="1" t="str">
        <f t="shared" ref="BL2221:BM2221" si="1452">""</f>
        <v/>
      </c>
      <c r="BM2221" s="1" t="str">
        <f t="shared" si="1452"/>
        <v/>
      </c>
      <c r="BQ2221" s="1">
        <v>300.0</v>
      </c>
      <c r="BR2221" s="1">
        <v>300.0</v>
      </c>
      <c r="BS2221" s="1">
        <v>300.0</v>
      </c>
      <c r="BU2221" s="1" t="s">
        <v>1426</v>
      </c>
      <c r="BV2221" s="1" t="s">
        <v>206</v>
      </c>
      <c r="BW2221" s="1" t="s">
        <v>210</v>
      </c>
      <c r="BY2221" s="1" t="s">
        <v>1535</v>
      </c>
      <c r="BZ2221" s="1" t="s">
        <v>209</v>
      </c>
      <c r="CA2221" s="1" t="s">
        <v>210</v>
      </c>
      <c r="CC2221" s="1" t="s">
        <v>215</v>
      </c>
      <c r="CD2221" s="1" t="s">
        <v>206</v>
      </c>
      <c r="CE2221" s="1" t="s">
        <v>207</v>
      </c>
      <c r="CG2221" s="1" t="s">
        <v>329</v>
      </c>
      <c r="CH2221" s="1" t="s">
        <v>209</v>
      </c>
      <c r="CI2221" s="1" t="s">
        <v>210</v>
      </c>
      <c r="CK2221" s="1" t="s">
        <v>433</v>
      </c>
      <c r="CL2221" s="1" t="s">
        <v>209</v>
      </c>
      <c r="CM2221" s="1" t="s">
        <v>210</v>
      </c>
      <c r="CO2221" s="1" t="s">
        <v>392</v>
      </c>
      <c r="CP2221" s="1" t="s">
        <v>209</v>
      </c>
      <c r="CQ2221" s="1" t="s">
        <v>210</v>
      </c>
      <c r="CS2221" s="1" t="s">
        <v>924</v>
      </c>
      <c r="CT2221" s="1" t="s">
        <v>206</v>
      </c>
      <c r="CU2221" s="1" t="s">
        <v>207</v>
      </c>
      <c r="CW2221" s="1" t="s">
        <v>334</v>
      </c>
      <c r="CX2221" s="1" t="s">
        <v>206</v>
      </c>
      <c r="CY2221" s="1" t="s">
        <v>210</v>
      </c>
      <c r="DA2221" s="1" t="s">
        <v>200</v>
      </c>
      <c r="DC2221" s="1" t="s">
        <v>481</v>
      </c>
      <c r="DD2221" s="1" t="s">
        <v>336</v>
      </c>
      <c r="DE2221" s="1" t="s">
        <v>273</v>
      </c>
      <c r="DF2221" s="1" t="s">
        <v>219</v>
      </c>
      <c r="DH2221" s="1" t="s">
        <v>220</v>
      </c>
      <c r="DI2221" s="1" t="s">
        <v>17314</v>
      </c>
      <c r="DJ2221" s="1" t="s">
        <v>222</v>
      </c>
      <c r="DL2221" s="1" t="s">
        <v>484</v>
      </c>
      <c r="DM2221" s="1" t="s">
        <v>229</v>
      </c>
      <c r="DN2221" s="1" t="s">
        <v>399</v>
      </c>
      <c r="DO2221" s="1" t="s">
        <v>590</v>
      </c>
      <c r="DP2221" s="1" t="s">
        <v>340</v>
      </c>
      <c r="DQ2221" s="1" t="s">
        <v>441</v>
      </c>
      <c r="DR2221" s="1" t="s">
        <v>229</v>
      </c>
      <c r="DU2221" s="1" t="s">
        <v>9726</v>
      </c>
      <c r="DV2221" s="1" t="s">
        <v>5014</v>
      </c>
      <c r="DW2221" s="1" t="s">
        <v>444</v>
      </c>
      <c r="DX2221" s="1" t="s">
        <v>234</v>
      </c>
      <c r="DY2221" s="1" t="s">
        <v>490</v>
      </c>
      <c r="DZ2221" s="1" t="s">
        <v>310</v>
      </c>
      <c r="EB2221" s="1" t="s">
        <v>345</v>
      </c>
      <c r="EC2221" s="1" t="s">
        <v>237</v>
      </c>
      <c r="EG2221" s="1" t="s">
        <v>494</v>
      </c>
      <c r="EH2221" s="1" t="s">
        <v>408</v>
      </c>
      <c r="EL2221" s="1" t="s">
        <v>1117</v>
      </c>
      <c r="EM2221" s="1" t="s">
        <v>206</v>
      </c>
      <c r="EN2221" s="1" t="s">
        <v>210</v>
      </c>
      <c r="EP2221" s="1" t="s">
        <v>375</v>
      </c>
      <c r="EQ2221" s="1" t="s">
        <v>206</v>
      </c>
      <c r="ER2221" s="1" t="s">
        <v>207</v>
      </c>
      <c r="EU2221" s="1" t="s">
        <v>238</v>
      </c>
      <c r="EY2221" s="1" t="s">
        <v>238</v>
      </c>
      <c r="FC2221" s="1" t="s">
        <v>238</v>
      </c>
      <c r="FF2221" s="1" t="s">
        <v>239</v>
      </c>
      <c r="FG2221" s="1" t="s">
        <v>192</v>
      </c>
      <c r="FH2221" s="1" t="s">
        <v>192</v>
      </c>
      <c r="FJ2221" s="1" t="s">
        <v>770</v>
      </c>
      <c r="FK2221" s="1" t="s">
        <v>229</v>
      </c>
      <c r="FL2221" s="1" t="s">
        <v>5572</v>
      </c>
      <c r="FM2221" s="1">
        <v>24811.0</v>
      </c>
      <c r="FN2221" s="1" t="s">
        <v>5573</v>
      </c>
      <c r="FO2221" s="1" t="s">
        <v>5574</v>
      </c>
      <c r="FP2221" s="1">
        <v>237447.0</v>
      </c>
      <c r="FU2221" s="1" t="s">
        <v>20614</v>
      </c>
      <c r="FV2221" s="1" t="s">
        <v>200</v>
      </c>
      <c r="FW2221" s="1" t="s">
        <v>3082</v>
      </c>
      <c r="FZ2221" s="1" t="s">
        <v>229</v>
      </c>
      <c r="GA2221" s="1" t="s">
        <v>291</v>
      </c>
      <c r="GB2221" s="2">
        <v>42051.0</v>
      </c>
      <c r="GC2221" s="1" t="s">
        <v>20615</v>
      </c>
    </row>
    <row r="2222">
      <c r="A2222" s="1">
        <v>414900.0</v>
      </c>
      <c r="B2222" s="1" t="s">
        <v>185</v>
      </c>
      <c r="C2222" s="1" t="str">
        <f>"08761665"</f>
        <v>08761665</v>
      </c>
      <c r="D2222" s="1" t="s">
        <v>186</v>
      </c>
      <c r="F2222" s="1" t="str">
        <f>"8014"</f>
        <v>8014</v>
      </c>
      <c r="G2222" s="2">
        <v>41937.0</v>
      </c>
      <c r="H2222" s="1">
        <v>439000.0</v>
      </c>
      <c r="I2222" s="1">
        <v>38.0</v>
      </c>
      <c r="J2222" s="1">
        <v>439000.0</v>
      </c>
      <c r="K2222" s="2">
        <v>41974.0</v>
      </c>
      <c r="L2222" s="1">
        <v>38.0</v>
      </c>
      <c r="M2222" s="2">
        <v>41974.0</v>
      </c>
      <c r="N2222" s="1" t="s">
        <v>187</v>
      </c>
      <c r="O2222" s="2">
        <v>42012.0</v>
      </c>
      <c r="P2222" s="1">
        <v>186321.0</v>
      </c>
      <c r="Q2222" s="1">
        <v>16440.0</v>
      </c>
      <c r="R2222" s="1">
        <v>3000.0</v>
      </c>
      <c r="S2222" s="1">
        <v>4926.0</v>
      </c>
      <c r="T2222" s="1" t="s">
        <v>1390</v>
      </c>
      <c r="U2222" s="1" t="s">
        <v>189</v>
      </c>
      <c r="V2222" s="1" t="s">
        <v>190</v>
      </c>
      <c r="W2222" s="1">
        <v>60630.0</v>
      </c>
      <c r="Y2222" s="1" t="s">
        <v>20616</v>
      </c>
      <c r="Z2222" s="1">
        <v>1929.0</v>
      </c>
      <c r="AA2222" s="1" t="s">
        <v>192</v>
      </c>
      <c r="AB2222" s="1" t="s">
        <v>193</v>
      </c>
      <c r="AD2222" s="1" t="s">
        <v>194</v>
      </c>
      <c r="AE2222" s="1" t="s">
        <v>195</v>
      </c>
      <c r="AF2222" s="1" t="s">
        <v>196</v>
      </c>
      <c r="AH2222" s="1" t="s">
        <v>13234</v>
      </c>
      <c r="AI2222" s="1">
        <v>0.0875</v>
      </c>
      <c r="AK2222" s="1">
        <v>13.0</v>
      </c>
      <c r="AL2222" s="1">
        <v>4.0</v>
      </c>
      <c r="AM2222" s="1">
        <v>3.0</v>
      </c>
      <c r="AN2222" s="1">
        <v>0.0</v>
      </c>
      <c r="AO2222" s="1" t="s">
        <v>198</v>
      </c>
      <c r="AP2222" s="1">
        <v>1.0</v>
      </c>
      <c r="AQ2222" s="1" t="s">
        <v>198</v>
      </c>
      <c r="AR2222" s="1" t="s">
        <v>192</v>
      </c>
      <c r="AS2222" s="1" t="s">
        <v>199</v>
      </c>
      <c r="AT2222" s="1">
        <v>2.0</v>
      </c>
      <c r="AV2222" s="1" t="s">
        <v>200</v>
      </c>
      <c r="AW2222" s="1">
        <v>3266.0</v>
      </c>
      <c r="AX2222" s="1">
        <v>2013.0</v>
      </c>
      <c r="AY2222" s="1" t="s">
        <v>1179</v>
      </c>
      <c r="AZ2222" s="1" t="s">
        <v>200</v>
      </c>
      <c r="BA2222" s="1" t="str">
        <f>"13104140270000"</f>
        <v>13104140270000</v>
      </c>
      <c r="BB2222" s="1" t="s">
        <v>200</v>
      </c>
      <c r="BC2222" s="1">
        <v>2500.0</v>
      </c>
      <c r="BD2222" s="1">
        <v>414900.0</v>
      </c>
      <c r="BE2222" s="2">
        <v>41937.0</v>
      </c>
      <c r="BF2222" s="2" t="s">
        <v>20617</v>
      </c>
      <c r="BH2222" s="1">
        <v>0.0</v>
      </c>
      <c r="BK2222" s="1" t="s">
        <v>204</v>
      </c>
      <c r="BL2222" s="1" t="str">
        <f>"4926"</f>
        <v>4926</v>
      </c>
      <c r="BM2222" s="1" t="str">
        <f>"0"</f>
        <v>0</v>
      </c>
      <c r="BN2222" s="1">
        <v>4300.0</v>
      </c>
      <c r="BO2222" s="1">
        <v>0.0</v>
      </c>
      <c r="BQ2222" s="1">
        <v>299.0</v>
      </c>
      <c r="BR2222" s="1">
        <v>299.0</v>
      </c>
      <c r="BS2222" s="1">
        <v>299.0</v>
      </c>
      <c r="BU2222" s="1" t="s">
        <v>1891</v>
      </c>
      <c r="BV2222" s="1" t="s">
        <v>206</v>
      </c>
      <c r="BW2222" s="1" t="s">
        <v>207</v>
      </c>
      <c r="BY2222" s="1" t="s">
        <v>8771</v>
      </c>
      <c r="BZ2222" s="1" t="s">
        <v>209</v>
      </c>
      <c r="CA2222" s="1" t="s">
        <v>210</v>
      </c>
      <c r="CC2222" s="1" t="s">
        <v>454</v>
      </c>
      <c r="CD2222" s="1" t="s">
        <v>206</v>
      </c>
      <c r="CE2222" s="1" t="s">
        <v>207</v>
      </c>
      <c r="CG2222" s="1" t="s">
        <v>497</v>
      </c>
      <c r="CH2222" s="1" t="s">
        <v>206</v>
      </c>
      <c r="CI2222" s="1" t="s">
        <v>207</v>
      </c>
      <c r="CK2222" s="1" t="s">
        <v>495</v>
      </c>
      <c r="CL2222" s="1" t="s">
        <v>206</v>
      </c>
      <c r="CM2222" s="1" t="s">
        <v>207</v>
      </c>
      <c r="CO2222" s="1" t="s">
        <v>1119</v>
      </c>
      <c r="CP2222" s="1" t="s">
        <v>209</v>
      </c>
      <c r="CQ2222" s="1" t="s">
        <v>210</v>
      </c>
      <c r="CS2222" s="1" t="s">
        <v>5311</v>
      </c>
      <c r="CT2222" s="1" t="s">
        <v>206</v>
      </c>
      <c r="CU2222" s="1" t="s">
        <v>207</v>
      </c>
      <c r="CW2222" s="1" t="s">
        <v>20618</v>
      </c>
      <c r="CX2222" s="1" t="s">
        <v>209</v>
      </c>
      <c r="CY2222" s="1" t="s">
        <v>207</v>
      </c>
      <c r="DA2222" s="1" t="s">
        <v>200</v>
      </c>
      <c r="DC2222" s="1" t="s">
        <v>785</v>
      </c>
      <c r="DD2222" s="1" t="s">
        <v>786</v>
      </c>
      <c r="DE2222" s="1" t="s">
        <v>273</v>
      </c>
      <c r="DF2222" s="1" t="s">
        <v>219</v>
      </c>
      <c r="DG2222" s="1" t="s">
        <v>20619</v>
      </c>
      <c r="DH2222" s="1" t="s">
        <v>365</v>
      </c>
      <c r="DI2222" s="1" t="s">
        <v>1223</v>
      </c>
      <c r="DJ2222" s="1" t="s">
        <v>222</v>
      </c>
      <c r="DL2222" s="1" t="s">
        <v>986</v>
      </c>
      <c r="DM2222" s="1" t="s">
        <v>229</v>
      </c>
      <c r="DP2222" s="1" t="s">
        <v>340</v>
      </c>
      <c r="DQ2222" s="1" t="s">
        <v>794</v>
      </c>
      <c r="DR2222" s="1" t="s">
        <v>229</v>
      </c>
      <c r="DS2222" s="1" t="s">
        <v>591</v>
      </c>
      <c r="DV2222" s="1" t="s">
        <v>20620</v>
      </c>
      <c r="DW2222" s="1" t="s">
        <v>279</v>
      </c>
      <c r="DX2222" s="1" t="s">
        <v>234</v>
      </c>
      <c r="DY2222" s="1" t="s">
        <v>4102</v>
      </c>
      <c r="EA2222" s="1" t="s">
        <v>644</v>
      </c>
      <c r="EC2222" s="1" t="s">
        <v>645</v>
      </c>
      <c r="EG2222" s="1" t="s">
        <v>1729</v>
      </c>
      <c r="EH2222" s="1" t="s">
        <v>1121</v>
      </c>
      <c r="EI2222" s="1" t="s">
        <v>1407</v>
      </c>
      <c r="EJ2222" s="1" t="s">
        <v>2023</v>
      </c>
      <c r="EK2222" s="1" t="s">
        <v>1491</v>
      </c>
      <c r="EL2222" s="1" t="s">
        <v>3318</v>
      </c>
      <c r="EM2222" s="1" t="s">
        <v>206</v>
      </c>
      <c r="EN2222" s="1" t="s">
        <v>207</v>
      </c>
      <c r="EP2222" s="1" t="s">
        <v>969</v>
      </c>
      <c r="EQ2222" s="1" t="s">
        <v>206</v>
      </c>
      <c r="ER2222" s="1" t="s">
        <v>210</v>
      </c>
      <c r="ET2222" s="1" t="s">
        <v>1395</v>
      </c>
      <c r="EU2222" s="1" t="s">
        <v>42</v>
      </c>
      <c r="EX2222" s="1" t="s">
        <v>497</v>
      </c>
      <c r="EY2222" s="1" t="s">
        <v>42</v>
      </c>
      <c r="FB2222" s="1" t="s">
        <v>640</v>
      </c>
      <c r="FC2222" s="1" t="s">
        <v>42</v>
      </c>
      <c r="FF2222" s="1" t="s">
        <v>239</v>
      </c>
      <c r="FG2222" s="1" t="s">
        <v>192</v>
      </c>
      <c r="FH2222" s="1" t="s">
        <v>192</v>
      </c>
      <c r="FJ2222" s="1" t="s">
        <v>20621</v>
      </c>
      <c r="FK2222" s="1" t="s">
        <v>229</v>
      </c>
      <c r="FL2222" s="1" t="s">
        <v>20622</v>
      </c>
      <c r="FM2222" s="1">
        <v>17946.0</v>
      </c>
      <c r="FN2222" s="1" t="s">
        <v>20623</v>
      </c>
      <c r="FO2222" s="1" t="s">
        <v>20624</v>
      </c>
      <c r="FP2222" s="1">
        <v>142545.0</v>
      </c>
      <c r="FQ2222" s="1" t="s">
        <v>20625</v>
      </c>
      <c r="FU2222" s="1" t="s">
        <v>20626</v>
      </c>
      <c r="FV2222" s="1" t="s">
        <v>200</v>
      </c>
      <c r="FW2222" s="1" t="s">
        <v>290</v>
      </c>
      <c r="FX2222" s="1" t="s">
        <v>238</v>
      </c>
      <c r="FZ2222" s="1" t="s">
        <v>229</v>
      </c>
      <c r="GA2222" s="1" t="s">
        <v>291</v>
      </c>
      <c r="GB2222" s="2">
        <v>42012.0</v>
      </c>
      <c r="GC2222" s="1" t="s">
        <v>20627</v>
      </c>
    </row>
    <row r="2223">
      <c r="A2223" s="1">
        <v>185000.0</v>
      </c>
      <c r="B2223" s="1" t="s">
        <v>185</v>
      </c>
      <c r="C2223" s="1" t="str">
        <f>"08752190"</f>
        <v>08752190</v>
      </c>
      <c r="D2223" s="1" t="s">
        <v>186</v>
      </c>
      <c r="F2223" s="1" t="str">
        <f>"177"</f>
        <v>177</v>
      </c>
      <c r="G2223" s="2">
        <v>41926.0</v>
      </c>
      <c r="H2223" s="1">
        <v>205000.0</v>
      </c>
      <c r="I2223" s="1">
        <v>186.0</v>
      </c>
      <c r="J2223" s="1">
        <v>199900.0</v>
      </c>
      <c r="K2223" s="2">
        <v>41977.0</v>
      </c>
      <c r="L2223" s="1">
        <v>52.0</v>
      </c>
      <c r="M2223" s="2">
        <v>41977.0</v>
      </c>
      <c r="N2223" s="1" t="s">
        <v>356</v>
      </c>
      <c r="O2223" s="2">
        <v>42020.0</v>
      </c>
      <c r="P2223" s="1">
        <v>720.0</v>
      </c>
      <c r="Q2223" s="1">
        <v>49.0</v>
      </c>
      <c r="R2223" s="1">
        <v>2500.0</v>
      </c>
      <c r="S2223" s="1">
        <v>1350.0</v>
      </c>
      <c r="T2223" s="1" t="s">
        <v>20628</v>
      </c>
      <c r="U2223" s="1" t="s">
        <v>1174</v>
      </c>
      <c r="V2223" s="1" t="s">
        <v>2249</v>
      </c>
      <c r="W2223" s="1">
        <v>60177.0</v>
      </c>
      <c r="Y2223" s="1" t="s">
        <v>20629</v>
      </c>
      <c r="Z2223" s="1">
        <v>1996.0</v>
      </c>
      <c r="AA2223" s="1" t="s">
        <v>200</v>
      </c>
      <c r="AB2223" s="1" t="s">
        <v>193</v>
      </c>
      <c r="AC2223" s="1" t="s">
        <v>20630</v>
      </c>
      <c r="AD2223" s="1" t="s">
        <v>2252</v>
      </c>
      <c r="AE2223" s="1" t="s">
        <v>325</v>
      </c>
      <c r="AF2223" s="1" t="s">
        <v>469</v>
      </c>
      <c r="AH2223" s="1" t="s">
        <v>20631</v>
      </c>
      <c r="AI2223" s="1">
        <v>0.1736</v>
      </c>
      <c r="AK2223" s="1">
        <v>7.0</v>
      </c>
      <c r="AL2223" s="1">
        <v>4.0</v>
      </c>
      <c r="AM2223" s="1">
        <v>2.0</v>
      </c>
      <c r="AN2223" s="1">
        <v>1.0</v>
      </c>
      <c r="AO2223" s="1" t="s">
        <v>198</v>
      </c>
      <c r="AQ2223" s="1" t="s">
        <v>1314</v>
      </c>
      <c r="AR2223" s="1" t="s">
        <v>200</v>
      </c>
      <c r="AS2223" s="1" t="s">
        <v>199</v>
      </c>
      <c r="AT2223" s="1">
        <v>2.0</v>
      </c>
      <c r="AV2223" s="1" t="s">
        <v>200</v>
      </c>
      <c r="AW2223" s="1">
        <v>4879.96</v>
      </c>
      <c r="AX2223" s="1">
        <v>2013.0</v>
      </c>
      <c r="AY2223" s="1" t="s">
        <v>387</v>
      </c>
      <c r="AZ2223" s="1" t="s">
        <v>200</v>
      </c>
      <c r="BA2223" s="1" t="str">
        <f>"0627352009"</f>
        <v>0627352009</v>
      </c>
      <c r="BC2223" s="1">
        <v>1594.0</v>
      </c>
      <c r="BD2223" s="1">
        <v>185000.0</v>
      </c>
      <c r="BE2223" s="2">
        <v>41926.0</v>
      </c>
      <c r="BF2223" s="2" t="s">
        <v>20632</v>
      </c>
      <c r="BG2223" s="1" t="s">
        <v>8075</v>
      </c>
      <c r="BH2223" s="1">
        <v>0.0</v>
      </c>
      <c r="BJ2223" s="1" t="s">
        <v>2440</v>
      </c>
      <c r="BK2223" s="1" t="s">
        <v>204</v>
      </c>
      <c r="BL2223" s="1" t="str">
        <f>"41"</f>
        <v>41</v>
      </c>
      <c r="BM2223" s="1" t="str">
        <f>"8"</f>
        <v>8</v>
      </c>
      <c r="BQ2223" s="1">
        <v>46.0</v>
      </c>
      <c r="BR2223" s="1">
        <v>46.0</v>
      </c>
      <c r="BS2223" s="1">
        <v>46.0</v>
      </c>
      <c r="BU2223" s="1" t="s">
        <v>758</v>
      </c>
      <c r="BV2223" s="1" t="s">
        <v>206</v>
      </c>
      <c r="BW2223" s="1" t="s">
        <v>301</v>
      </c>
      <c r="BX2223" s="1" t="s">
        <v>229</v>
      </c>
      <c r="BY2223" s="1" t="s">
        <v>454</v>
      </c>
      <c r="BZ2223" s="1" t="s">
        <v>209</v>
      </c>
      <c r="CA2223" s="1" t="s">
        <v>210</v>
      </c>
      <c r="CB2223" s="1" t="s">
        <v>229</v>
      </c>
      <c r="CD2223" s="1" t="s">
        <v>204</v>
      </c>
      <c r="CG2223" s="1" t="s">
        <v>269</v>
      </c>
      <c r="CH2223" s="1" t="s">
        <v>209</v>
      </c>
      <c r="CI2223" s="1" t="s">
        <v>210</v>
      </c>
      <c r="CJ2223" s="1" t="s">
        <v>229</v>
      </c>
      <c r="CK2223" s="1" t="s">
        <v>1760</v>
      </c>
      <c r="CL2223" s="1" t="s">
        <v>209</v>
      </c>
      <c r="CM2223" s="1" t="s">
        <v>210</v>
      </c>
      <c r="CN2223" s="1" t="s">
        <v>229</v>
      </c>
      <c r="CO2223" s="1" t="s">
        <v>1760</v>
      </c>
      <c r="CP2223" s="1" t="s">
        <v>209</v>
      </c>
      <c r="CQ2223" s="1" t="s">
        <v>210</v>
      </c>
      <c r="CR2223" s="1" t="s">
        <v>229</v>
      </c>
      <c r="CS2223" s="1" t="s">
        <v>4180</v>
      </c>
      <c r="CT2223" s="1" t="s">
        <v>206</v>
      </c>
      <c r="CU2223" s="1" t="s">
        <v>301</v>
      </c>
      <c r="CW2223" s="1" t="s">
        <v>1158</v>
      </c>
      <c r="CX2223" s="1" t="s">
        <v>206</v>
      </c>
      <c r="CY2223" s="1" t="s">
        <v>301</v>
      </c>
      <c r="CZ2223" s="1" t="s">
        <v>431</v>
      </c>
      <c r="DA2223" s="1" t="s">
        <v>200</v>
      </c>
      <c r="DC2223" s="1" t="s">
        <v>678</v>
      </c>
      <c r="DD2223" s="1" t="s">
        <v>786</v>
      </c>
      <c r="DE2223" s="1" t="s">
        <v>273</v>
      </c>
      <c r="DF2223" s="1" t="s">
        <v>219</v>
      </c>
      <c r="DG2223" s="1" t="s">
        <v>1020</v>
      </c>
      <c r="DH2223" s="1" t="s">
        <v>220</v>
      </c>
      <c r="DI2223" s="1" t="s">
        <v>703</v>
      </c>
      <c r="DJ2223" s="1" t="s">
        <v>222</v>
      </c>
      <c r="DL2223" s="1" t="s">
        <v>3611</v>
      </c>
      <c r="DM2223" s="1" t="s">
        <v>338</v>
      </c>
      <c r="DO2223" s="1" t="s">
        <v>549</v>
      </c>
      <c r="DQ2223" s="1" t="s">
        <v>228</v>
      </c>
      <c r="DR2223" s="1" t="s">
        <v>229</v>
      </c>
      <c r="DS2223" s="1" t="s">
        <v>230</v>
      </c>
      <c r="DU2223" s="1" t="s">
        <v>1226</v>
      </c>
      <c r="DV2223" s="1" t="s">
        <v>232</v>
      </c>
      <c r="DW2223" s="1" t="s">
        <v>233</v>
      </c>
      <c r="DX2223" s="1" t="s">
        <v>234</v>
      </c>
      <c r="DY2223" s="1" t="s">
        <v>342</v>
      </c>
      <c r="DZ2223" s="1" t="s">
        <v>3076</v>
      </c>
      <c r="EC2223" s="1" t="s">
        <v>237</v>
      </c>
      <c r="EE2223" s="1" t="s">
        <v>493</v>
      </c>
      <c r="EM2223" s="1" t="s">
        <v>238</v>
      </c>
      <c r="EQ2223" s="1" t="s">
        <v>238</v>
      </c>
      <c r="EU2223" s="1" t="s">
        <v>238</v>
      </c>
      <c r="EY2223" s="1" t="s">
        <v>238</v>
      </c>
      <c r="FC2223" s="1" t="s">
        <v>238</v>
      </c>
      <c r="FF2223" s="1" t="s">
        <v>239</v>
      </c>
      <c r="FG2223" s="1" t="s">
        <v>192</v>
      </c>
      <c r="FH2223" s="1" t="s">
        <v>192</v>
      </c>
      <c r="FJ2223" s="1" t="s">
        <v>20633</v>
      </c>
      <c r="FK2223" s="1" t="s">
        <v>229</v>
      </c>
      <c r="FL2223" s="1" t="s">
        <v>456</v>
      </c>
      <c r="FM2223" s="1">
        <v>8012.0</v>
      </c>
      <c r="FN2223" s="1" t="s">
        <v>6869</v>
      </c>
      <c r="FO2223" s="1" t="s">
        <v>20634</v>
      </c>
      <c r="FP2223" s="1">
        <v>922910.0</v>
      </c>
      <c r="FQ2223" s="1" t="s">
        <v>20635</v>
      </c>
      <c r="FU2223" s="1" t="s">
        <v>20636</v>
      </c>
      <c r="FV2223" s="1" t="s">
        <v>200</v>
      </c>
      <c r="FW2223" s="1" t="s">
        <v>530</v>
      </c>
      <c r="FZ2223" s="1" t="s">
        <v>229</v>
      </c>
      <c r="GA2223" s="1" t="s">
        <v>291</v>
      </c>
      <c r="GB2223" s="2">
        <v>42020.0</v>
      </c>
      <c r="GC2223" s="1" t="s">
        <v>20637</v>
      </c>
    </row>
    <row r="2224">
      <c r="A2224" s="1">
        <v>202000.0</v>
      </c>
      <c r="B2224" s="1" t="s">
        <v>185</v>
      </c>
      <c r="C2224" s="1" t="str">
        <f>"08749054"</f>
        <v>08749054</v>
      </c>
      <c r="D2224" s="1" t="s">
        <v>186</v>
      </c>
      <c r="F2224" s="1" t="str">
        <f>"543"</f>
        <v>543</v>
      </c>
      <c r="G2224" s="2">
        <v>41921.0</v>
      </c>
      <c r="H2224" s="1">
        <v>207375.0</v>
      </c>
      <c r="I2224" s="1">
        <v>27.0</v>
      </c>
      <c r="J2224" s="1">
        <v>207375.0</v>
      </c>
      <c r="K2224" s="2">
        <v>41947.0</v>
      </c>
      <c r="L2224" s="1">
        <v>27.0</v>
      </c>
      <c r="M2224" s="2">
        <v>41947.0</v>
      </c>
      <c r="N2224" s="1" t="s">
        <v>187</v>
      </c>
      <c r="O2224" s="2">
        <v>41982.0</v>
      </c>
      <c r="P2224" s="1">
        <v>233053.0</v>
      </c>
      <c r="Q2224" s="1">
        <v>25443.0</v>
      </c>
      <c r="S2224" s="1">
        <v>181.0</v>
      </c>
      <c r="T2224" s="1" t="s">
        <v>20638</v>
      </c>
      <c r="U2224" s="1" t="s">
        <v>569</v>
      </c>
      <c r="V2224" s="1" t="s">
        <v>1527</v>
      </c>
      <c r="W2224" s="1">
        <v>60543.0</v>
      </c>
      <c r="Y2224" s="1" t="s">
        <v>20639</v>
      </c>
      <c r="Z2224" s="1">
        <v>2005.0</v>
      </c>
      <c r="AA2224" s="1" t="s">
        <v>200</v>
      </c>
      <c r="AB2224" s="1" t="s">
        <v>193</v>
      </c>
      <c r="AC2224" s="1" t="s">
        <v>20640</v>
      </c>
      <c r="AD2224" s="1" t="s">
        <v>1529</v>
      </c>
      <c r="AE2224" s="1" t="s">
        <v>849</v>
      </c>
      <c r="AF2224" s="1" t="s">
        <v>1529</v>
      </c>
      <c r="AH2224" s="1" t="s">
        <v>20641</v>
      </c>
      <c r="AI2224" s="1">
        <v>0.2127</v>
      </c>
      <c r="AK2224" s="1">
        <v>9.0</v>
      </c>
      <c r="AL2224" s="1">
        <v>4.0</v>
      </c>
      <c r="AM2224" s="1">
        <v>2.0</v>
      </c>
      <c r="AN2224" s="1">
        <v>1.0</v>
      </c>
      <c r="AO2224" s="1" t="s">
        <v>198</v>
      </c>
      <c r="AQ2224" s="1" t="s">
        <v>198</v>
      </c>
      <c r="AR2224" s="1" t="s">
        <v>200</v>
      </c>
      <c r="AS2224" s="1" t="s">
        <v>199</v>
      </c>
      <c r="AT2224" s="1">
        <v>2.5</v>
      </c>
      <c r="AV2224" s="1" t="s">
        <v>200</v>
      </c>
      <c r="AW2224" s="1">
        <v>6709.52</v>
      </c>
      <c r="AX2224" s="1">
        <v>2013.0</v>
      </c>
      <c r="AY2224" s="1" t="s">
        <v>387</v>
      </c>
      <c r="AZ2224" s="1" t="s">
        <v>200</v>
      </c>
      <c r="BA2224" s="1" t="str">
        <f>"0318401012"</f>
        <v>0318401012</v>
      </c>
      <c r="BC2224" s="1">
        <v>2379.0</v>
      </c>
      <c r="BD2224" s="1">
        <v>202000.0</v>
      </c>
      <c r="BE2224" s="2">
        <v>41921.0</v>
      </c>
      <c r="BF2224" s="2" t="s">
        <v>20642</v>
      </c>
      <c r="BG2224" s="1" t="s">
        <v>4985</v>
      </c>
      <c r="BH2224" s="1">
        <v>153.0</v>
      </c>
      <c r="BI2224" s="1" t="s">
        <v>1348</v>
      </c>
      <c r="BJ2224" s="1" t="s">
        <v>1349</v>
      </c>
      <c r="BK2224" s="1" t="s">
        <v>1952</v>
      </c>
      <c r="BL2224" s="1" t="str">
        <f t="shared" ref="BL2224:BM2224" si="1453">""</f>
        <v/>
      </c>
      <c r="BM2224" s="1" t="str">
        <f t="shared" si="1453"/>
        <v/>
      </c>
      <c r="BQ2224" s="1">
        <v>308.0</v>
      </c>
      <c r="BR2224" s="1">
        <v>308.0</v>
      </c>
      <c r="BS2224" s="1">
        <v>308.0</v>
      </c>
      <c r="BU2224" s="1" t="s">
        <v>1064</v>
      </c>
      <c r="BV2224" s="1" t="s">
        <v>206</v>
      </c>
      <c r="BW2224" s="1" t="s">
        <v>210</v>
      </c>
      <c r="BY2224" s="1" t="s">
        <v>616</v>
      </c>
      <c r="BZ2224" s="1" t="s">
        <v>209</v>
      </c>
      <c r="CA2224" s="1" t="s">
        <v>210</v>
      </c>
      <c r="CC2224" s="1" t="s">
        <v>302</v>
      </c>
      <c r="CD2224" s="1" t="s">
        <v>206</v>
      </c>
      <c r="CE2224" s="1" t="s">
        <v>210</v>
      </c>
      <c r="CG2224" s="1" t="s">
        <v>215</v>
      </c>
      <c r="CH2224" s="1" t="s">
        <v>209</v>
      </c>
      <c r="CI2224" s="1" t="s">
        <v>210</v>
      </c>
      <c r="CK2224" s="1" t="s">
        <v>212</v>
      </c>
      <c r="CL2224" s="1" t="s">
        <v>209</v>
      </c>
      <c r="CM2224" s="1" t="s">
        <v>210</v>
      </c>
      <c r="CO2224" s="1" t="s">
        <v>264</v>
      </c>
      <c r="CP2224" s="1" t="s">
        <v>209</v>
      </c>
      <c r="CQ2224" s="1" t="s">
        <v>210</v>
      </c>
      <c r="CS2224" s="1" t="s">
        <v>1043</v>
      </c>
      <c r="CT2224" s="1" t="s">
        <v>206</v>
      </c>
      <c r="CU2224" s="1" t="s">
        <v>207</v>
      </c>
      <c r="CW2224" s="1" t="s">
        <v>1043</v>
      </c>
      <c r="CX2224" s="1" t="s">
        <v>206</v>
      </c>
      <c r="CY2224" s="1" t="s">
        <v>210</v>
      </c>
      <c r="DA2224" s="1" t="s">
        <v>200</v>
      </c>
      <c r="DC2224" s="1" t="s">
        <v>481</v>
      </c>
      <c r="DD2224" s="1" t="s">
        <v>336</v>
      </c>
      <c r="DE2224" s="1" t="s">
        <v>273</v>
      </c>
      <c r="DF2224" s="1" t="s">
        <v>219</v>
      </c>
      <c r="DG2224" s="1" t="s">
        <v>5528</v>
      </c>
      <c r="DH2224" s="1" t="s">
        <v>220</v>
      </c>
      <c r="DI2224" s="1" t="s">
        <v>789</v>
      </c>
      <c r="DJ2224" s="1" t="s">
        <v>222</v>
      </c>
      <c r="DK2224" s="1" t="s">
        <v>1555</v>
      </c>
      <c r="DL2224" s="1" t="s">
        <v>484</v>
      </c>
      <c r="DM2224" s="1" t="s">
        <v>225</v>
      </c>
      <c r="DN2224" s="1" t="s">
        <v>399</v>
      </c>
      <c r="DO2224" s="1" t="s">
        <v>20643</v>
      </c>
      <c r="DP2224" s="1" t="s">
        <v>340</v>
      </c>
      <c r="DQ2224" s="1" t="s">
        <v>228</v>
      </c>
      <c r="DR2224" s="1" t="s">
        <v>229</v>
      </c>
      <c r="DV2224" s="1" t="s">
        <v>20644</v>
      </c>
      <c r="DW2224" s="1" t="s">
        <v>233</v>
      </c>
      <c r="DX2224" s="1" t="s">
        <v>234</v>
      </c>
      <c r="DY2224" s="1" t="s">
        <v>1051</v>
      </c>
      <c r="DZ2224" s="1" t="s">
        <v>20176</v>
      </c>
      <c r="EC2224" s="1" t="s">
        <v>237</v>
      </c>
      <c r="ED2224" s="1" t="s">
        <v>407</v>
      </c>
      <c r="EE2224" s="1" t="s">
        <v>493</v>
      </c>
      <c r="EG2224" s="1" t="s">
        <v>341</v>
      </c>
      <c r="EH2224" s="1" t="s">
        <v>968</v>
      </c>
      <c r="EI2224" s="1" t="s">
        <v>408</v>
      </c>
      <c r="EL2224" s="1" t="s">
        <v>262</v>
      </c>
      <c r="EM2224" s="1" t="s">
        <v>209</v>
      </c>
      <c r="EN2224" s="1" t="s">
        <v>210</v>
      </c>
      <c r="EP2224" s="1" t="s">
        <v>20645</v>
      </c>
      <c r="EQ2224" s="1" t="s">
        <v>209</v>
      </c>
      <c r="ET2224" s="1" t="s">
        <v>2902</v>
      </c>
      <c r="EU2224" s="1" t="s">
        <v>206</v>
      </c>
      <c r="EV2224" s="1" t="s">
        <v>207</v>
      </c>
      <c r="EY2224" s="1" t="s">
        <v>238</v>
      </c>
      <c r="FC2224" s="1" t="s">
        <v>238</v>
      </c>
      <c r="FF2224" s="1" t="s">
        <v>239</v>
      </c>
      <c r="FG2224" s="1" t="s">
        <v>192</v>
      </c>
      <c r="FH2224" s="1" t="s">
        <v>192</v>
      </c>
      <c r="FJ2224" s="1" t="s">
        <v>2552</v>
      </c>
      <c r="FK2224" s="1" t="s">
        <v>229</v>
      </c>
      <c r="FL2224" s="1" t="s">
        <v>456</v>
      </c>
      <c r="FM2224" s="1">
        <v>23156.0</v>
      </c>
      <c r="FN2224" s="1" t="s">
        <v>2553</v>
      </c>
      <c r="FO2224" s="1" t="s">
        <v>20646</v>
      </c>
      <c r="FP2224" s="1">
        <v>236353.0</v>
      </c>
      <c r="FQ2224" s="1" t="s">
        <v>20647</v>
      </c>
      <c r="FU2224" s="1" t="s">
        <v>20648</v>
      </c>
      <c r="FV2224" s="1" t="s">
        <v>200</v>
      </c>
      <c r="FW2224" s="1" t="s">
        <v>290</v>
      </c>
      <c r="FZ2224" s="1" t="s">
        <v>229</v>
      </c>
      <c r="GA2224" s="1" t="s">
        <v>291</v>
      </c>
      <c r="GB2224" s="2">
        <v>41982.0</v>
      </c>
      <c r="GC2224" s="1" t="s">
        <v>20649</v>
      </c>
    </row>
    <row r="2225">
      <c r="A2225" s="1">
        <v>201500.0</v>
      </c>
      <c r="B2225" s="1" t="s">
        <v>185</v>
      </c>
      <c r="C2225" s="1" t="str">
        <f>"08744120"</f>
        <v>08744120</v>
      </c>
      <c r="D2225" s="1" t="s">
        <v>186</v>
      </c>
      <c r="F2225" s="1" t="str">
        <f>"8070"</f>
        <v>8070</v>
      </c>
      <c r="G2225" s="2">
        <v>41915.0</v>
      </c>
      <c r="H2225" s="1">
        <v>219900.0</v>
      </c>
      <c r="I2225" s="1">
        <v>58.0</v>
      </c>
      <c r="J2225" s="1">
        <v>207900.0</v>
      </c>
      <c r="K2225" s="2">
        <v>41972.0</v>
      </c>
      <c r="L2225" s="1">
        <v>58.0</v>
      </c>
      <c r="M2225" s="2">
        <v>41972.0</v>
      </c>
      <c r="N2225" s="1" t="s">
        <v>356</v>
      </c>
      <c r="O2225" s="2">
        <v>42017.0</v>
      </c>
      <c r="P2225" s="1">
        <v>219854.0</v>
      </c>
      <c r="Q2225" s="1">
        <v>51102.0</v>
      </c>
      <c r="S2225" s="1">
        <v>3511.0</v>
      </c>
      <c r="T2225" s="1" t="s">
        <v>20650</v>
      </c>
      <c r="U2225" s="1" t="s">
        <v>320</v>
      </c>
      <c r="V2225" s="1" t="s">
        <v>190</v>
      </c>
      <c r="W2225" s="1">
        <v>60652.0</v>
      </c>
      <c r="X2225" s="1">
        <v>3209.0</v>
      </c>
      <c r="Y2225" s="1" t="s">
        <v>20651</v>
      </c>
      <c r="Z2225" s="1">
        <v>1939.0</v>
      </c>
      <c r="AA2225" s="1" t="s">
        <v>192</v>
      </c>
      <c r="AB2225" s="1" t="s">
        <v>193</v>
      </c>
      <c r="AD2225" s="1" t="s">
        <v>194</v>
      </c>
      <c r="AE2225" s="1" t="s">
        <v>195</v>
      </c>
      <c r="AF2225" s="1" t="s">
        <v>659</v>
      </c>
      <c r="AH2225" s="1" t="s">
        <v>20652</v>
      </c>
      <c r="AK2225" s="1">
        <v>8.0</v>
      </c>
      <c r="AL2225" s="1">
        <v>4.0</v>
      </c>
      <c r="AM2225" s="1">
        <v>3.0</v>
      </c>
      <c r="AN2225" s="1">
        <v>0.0</v>
      </c>
      <c r="AO2225" s="1" t="s">
        <v>229</v>
      </c>
      <c r="AQ2225" s="1" t="s">
        <v>198</v>
      </c>
      <c r="AR2225" s="1" t="s">
        <v>192</v>
      </c>
      <c r="AS2225" s="1" t="s">
        <v>199</v>
      </c>
      <c r="AT2225" s="1">
        <v>1.0</v>
      </c>
      <c r="AV2225" s="1" t="s">
        <v>200</v>
      </c>
      <c r="AW2225" s="1">
        <v>1539.0</v>
      </c>
      <c r="AX2225" s="1">
        <v>2013.0</v>
      </c>
      <c r="AY2225" s="1" t="s">
        <v>387</v>
      </c>
      <c r="AZ2225" s="1" t="s">
        <v>200</v>
      </c>
      <c r="BA2225" s="1" t="str">
        <f>"19354080500000"</f>
        <v>19354080500000</v>
      </c>
      <c r="BB2225" s="1" t="s">
        <v>200</v>
      </c>
      <c r="BC2225" s="1">
        <v>1600.0</v>
      </c>
      <c r="BD2225" s="1">
        <v>201500.0</v>
      </c>
      <c r="BE2225" s="2">
        <v>41915.0</v>
      </c>
      <c r="BF2225" s="2" t="s">
        <v>20653</v>
      </c>
      <c r="BH2225" s="1">
        <v>0.0</v>
      </c>
      <c r="BK2225" s="1" t="s">
        <v>204</v>
      </c>
      <c r="BL2225" s="1" t="str">
        <f t="shared" ref="BL2225:BM2225" si="1454">"0"</f>
        <v>0</v>
      </c>
      <c r="BM2225" s="1" t="str">
        <f t="shared" si="1454"/>
        <v>0</v>
      </c>
      <c r="BN2225" s="1">
        <v>3511.0</v>
      </c>
      <c r="BO2225" s="1">
        <v>8400.0</v>
      </c>
      <c r="BQ2225" s="1">
        <v>299.0</v>
      </c>
      <c r="BR2225" s="1">
        <v>299.0</v>
      </c>
      <c r="BS2225" s="1">
        <v>299.0</v>
      </c>
      <c r="BU2225" s="1" t="s">
        <v>361</v>
      </c>
      <c r="BV2225" s="1" t="s">
        <v>206</v>
      </c>
      <c r="BW2225" s="1" t="s">
        <v>207</v>
      </c>
      <c r="BX2225" s="1" t="s">
        <v>431</v>
      </c>
      <c r="BY2225" s="1" t="s">
        <v>758</v>
      </c>
      <c r="BZ2225" s="1" t="s">
        <v>209</v>
      </c>
      <c r="CA2225" s="1" t="s">
        <v>210</v>
      </c>
      <c r="CB2225" s="1" t="s">
        <v>431</v>
      </c>
      <c r="CC2225" s="1" t="s">
        <v>495</v>
      </c>
      <c r="CD2225" s="1" t="s">
        <v>206</v>
      </c>
      <c r="CE2225" s="1" t="s">
        <v>207</v>
      </c>
      <c r="CF2225" s="1" t="s">
        <v>431</v>
      </c>
      <c r="CG2225" s="1" t="s">
        <v>495</v>
      </c>
      <c r="CH2225" s="1" t="s">
        <v>209</v>
      </c>
      <c r="CI2225" s="1" t="s">
        <v>210</v>
      </c>
      <c r="CJ2225" s="1" t="s">
        <v>431</v>
      </c>
      <c r="CK2225" s="1" t="s">
        <v>265</v>
      </c>
      <c r="CL2225" s="1" t="s">
        <v>209</v>
      </c>
      <c r="CM2225" s="1" t="s">
        <v>210</v>
      </c>
      <c r="CN2225" s="1" t="s">
        <v>431</v>
      </c>
      <c r="CO2225" s="1" t="s">
        <v>543</v>
      </c>
      <c r="CP2225" s="1" t="s">
        <v>209</v>
      </c>
      <c r="CQ2225" s="1" t="s">
        <v>210</v>
      </c>
      <c r="CR2225" s="1" t="s">
        <v>431</v>
      </c>
      <c r="CS2225" s="1" t="s">
        <v>208</v>
      </c>
      <c r="CT2225" s="1" t="s">
        <v>206</v>
      </c>
      <c r="CU2225" s="1" t="s">
        <v>207</v>
      </c>
      <c r="CV2225" s="1" t="s">
        <v>431</v>
      </c>
      <c r="CW2225" s="1" t="s">
        <v>361</v>
      </c>
      <c r="CX2225" s="1" t="s">
        <v>42</v>
      </c>
      <c r="CY2225" s="1" t="s">
        <v>268</v>
      </c>
      <c r="DA2225" s="1" t="s">
        <v>200</v>
      </c>
      <c r="DC2225" s="1" t="s">
        <v>1399</v>
      </c>
      <c r="DD2225" s="1" t="s">
        <v>759</v>
      </c>
      <c r="DE2225" s="1" t="s">
        <v>273</v>
      </c>
      <c r="DF2225" s="1" t="s">
        <v>219</v>
      </c>
      <c r="DG2225" s="1" t="s">
        <v>337</v>
      </c>
      <c r="DH2225" s="1" t="s">
        <v>365</v>
      </c>
      <c r="DI2225" s="1" t="s">
        <v>8963</v>
      </c>
      <c r="DJ2225" s="1" t="s">
        <v>222</v>
      </c>
      <c r="DL2225" s="1" t="s">
        <v>224</v>
      </c>
      <c r="DM2225" s="1" t="s">
        <v>225</v>
      </c>
      <c r="DN2225" s="1" t="s">
        <v>666</v>
      </c>
      <c r="DO2225" s="1" t="s">
        <v>1979</v>
      </c>
      <c r="DP2225" s="1" t="s">
        <v>340</v>
      </c>
      <c r="DQ2225" s="1" t="s">
        <v>794</v>
      </c>
      <c r="DR2225" s="1" t="s">
        <v>229</v>
      </c>
      <c r="DS2225" s="1" t="s">
        <v>230</v>
      </c>
      <c r="DU2225" s="1" t="s">
        <v>1355</v>
      </c>
      <c r="DV2225" s="1" t="s">
        <v>310</v>
      </c>
      <c r="DW2225" s="1" t="s">
        <v>279</v>
      </c>
      <c r="DX2225" s="1" t="s">
        <v>234</v>
      </c>
      <c r="DY2225" s="1" t="s">
        <v>18676</v>
      </c>
      <c r="EA2225" s="1" t="s">
        <v>3308</v>
      </c>
      <c r="EC2225" s="1" t="s">
        <v>237</v>
      </c>
      <c r="ED2225" s="1" t="s">
        <v>407</v>
      </c>
      <c r="EH2225" s="1" t="s">
        <v>310</v>
      </c>
      <c r="EM2225" s="1" t="s">
        <v>238</v>
      </c>
      <c r="EP2225" s="1" t="s">
        <v>2979</v>
      </c>
      <c r="EQ2225" s="1" t="s">
        <v>206</v>
      </c>
      <c r="EU2225" s="1" t="s">
        <v>238</v>
      </c>
      <c r="EY2225" s="1" t="s">
        <v>238</v>
      </c>
      <c r="FC2225" s="1" t="s">
        <v>238</v>
      </c>
      <c r="FF2225" s="1" t="s">
        <v>239</v>
      </c>
      <c r="FG2225" s="1" t="s">
        <v>192</v>
      </c>
      <c r="FH2225" s="1" t="s">
        <v>192</v>
      </c>
      <c r="FJ2225" s="1" t="s">
        <v>20654</v>
      </c>
      <c r="FK2225" s="1" t="s">
        <v>229</v>
      </c>
      <c r="FL2225" s="1" t="s">
        <v>4579</v>
      </c>
      <c r="FM2225" s="1">
        <v>84301.0</v>
      </c>
      <c r="FN2225" s="1" t="s">
        <v>4580</v>
      </c>
      <c r="FO2225" s="1" t="s">
        <v>20655</v>
      </c>
      <c r="FP2225" s="1">
        <v>155410.0</v>
      </c>
      <c r="FQ2225" s="1" t="s">
        <v>20656</v>
      </c>
      <c r="FU2225" s="1" t="s">
        <v>20657</v>
      </c>
      <c r="FV2225" s="1" t="s">
        <v>200</v>
      </c>
      <c r="FW2225" s="1" t="s">
        <v>4583</v>
      </c>
      <c r="FX2225" s="1" t="s">
        <v>246</v>
      </c>
      <c r="FZ2225" s="1" t="s">
        <v>229</v>
      </c>
      <c r="GA2225" s="1" t="s">
        <v>291</v>
      </c>
      <c r="GB2225" s="2">
        <v>42019.0</v>
      </c>
    </row>
    <row r="2226">
      <c r="A2226" s="1">
        <v>216500.0</v>
      </c>
      <c r="B2226" s="1" t="s">
        <v>185</v>
      </c>
      <c r="C2226" s="1" t="str">
        <f>"08745286"</f>
        <v>08745286</v>
      </c>
      <c r="D2226" s="1" t="s">
        <v>186</v>
      </c>
      <c r="F2226" s="1" t="str">
        <f>"8059"</f>
        <v>8059</v>
      </c>
      <c r="G2226" s="2">
        <v>41916.0</v>
      </c>
      <c r="H2226" s="1">
        <v>272500.0</v>
      </c>
      <c r="I2226" s="1">
        <v>87.0</v>
      </c>
      <c r="J2226" s="1">
        <v>235000.0</v>
      </c>
      <c r="K2226" s="2">
        <v>42001.0</v>
      </c>
      <c r="L2226" s="1">
        <v>87.0</v>
      </c>
      <c r="M2226" s="2">
        <v>42001.0</v>
      </c>
      <c r="N2226" s="1" t="s">
        <v>187</v>
      </c>
      <c r="O2226" s="2">
        <v>42041.0</v>
      </c>
      <c r="P2226" s="1">
        <v>111484.0</v>
      </c>
      <c r="Q2226" s="1">
        <v>16379.0</v>
      </c>
      <c r="S2226" s="1">
        <v>3622.0</v>
      </c>
      <c r="T2226" s="1" t="s">
        <v>20658</v>
      </c>
      <c r="U2226" s="1" t="s">
        <v>189</v>
      </c>
      <c r="V2226" s="1" t="s">
        <v>190</v>
      </c>
      <c r="W2226" s="1">
        <v>60609.0</v>
      </c>
      <c r="Y2226" s="1" t="s">
        <v>20659</v>
      </c>
      <c r="Z2226" s="1">
        <v>1895.0</v>
      </c>
      <c r="AA2226" s="1" t="s">
        <v>192</v>
      </c>
      <c r="AB2226" s="1" t="s">
        <v>193</v>
      </c>
      <c r="AC2226" s="1" t="s">
        <v>20660</v>
      </c>
      <c r="AD2226" s="1" t="s">
        <v>194</v>
      </c>
      <c r="AE2226" s="1" t="s">
        <v>195</v>
      </c>
      <c r="AF2226" s="1" t="s">
        <v>1154</v>
      </c>
      <c r="AH2226" s="1" t="s">
        <v>359</v>
      </c>
      <c r="AI2226" s="1">
        <v>0.0689</v>
      </c>
      <c r="AK2226" s="1">
        <v>7.0</v>
      </c>
      <c r="AL2226" s="1">
        <v>4.0</v>
      </c>
      <c r="AM2226" s="1">
        <v>2.0</v>
      </c>
      <c r="AN2226" s="1">
        <v>0.0</v>
      </c>
      <c r="AO2226" s="1" t="s">
        <v>229</v>
      </c>
      <c r="AP2226" s="1">
        <v>0.0</v>
      </c>
      <c r="AQ2226" s="1" t="s">
        <v>198</v>
      </c>
      <c r="AR2226" s="1" t="s">
        <v>200</v>
      </c>
      <c r="AS2226" s="1" t="s">
        <v>199</v>
      </c>
      <c r="AT2226" s="1">
        <v>2.0</v>
      </c>
      <c r="AV2226" s="1" t="s">
        <v>200</v>
      </c>
      <c r="AW2226" s="1">
        <v>2640.84</v>
      </c>
      <c r="AX2226" s="1">
        <v>2012.0</v>
      </c>
      <c r="AY2226" s="1" t="s">
        <v>387</v>
      </c>
      <c r="AZ2226" s="1" t="s">
        <v>200</v>
      </c>
      <c r="BA2226" s="1" t="str">
        <f>"17314080330000"</f>
        <v>17314080330000</v>
      </c>
      <c r="BB2226" s="1" t="s">
        <v>200</v>
      </c>
      <c r="BC2226" s="1">
        <v>2000.0</v>
      </c>
      <c r="BD2226" s="1">
        <v>216500.0</v>
      </c>
      <c r="BE2226" s="2">
        <v>41915.0</v>
      </c>
      <c r="BF2226" s="2" t="s">
        <v>20661</v>
      </c>
      <c r="BH2226" s="1">
        <v>0.0</v>
      </c>
      <c r="BK2226" s="1" t="s">
        <v>204</v>
      </c>
      <c r="BL2226" s="1" t="str">
        <f t="shared" ref="BL2226:BM2226" si="1455">"0"</f>
        <v>0</v>
      </c>
      <c r="BM2226" s="1" t="str">
        <f t="shared" si="1455"/>
        <v>0</v>
      </c>
      <c r="BN2226" s="1">
        <v>1900.0</v>
      </c>
      <c r="BO2226" s="1">
        <v>3622.0</v>
      </c>
      <c r="BQ2226" s="1">
        <v>299.0</v>
      </c>
      <c r="BR2226" s="1">
        <v>299.0</v>
      </c>
      <c r="BS2226" s="1">
        <v>299.0</v>
      </c>
      <c r="BU2226" s="1" t="s">
        <v>1395</v>
      </c>
      <c r="BV2226" s="1" t="s">
        <v>206</v>
      </c>
      <c r="BW2226" s="1" t="s">
        <v>301</v>
      </c>
      <c r="BX2226" s="1" t="s">
        <v>1549</v>
      </c>
      <c r="BY2226" s="1" t="s">
        <v>1584</v>
      </c>
      <c r="BZ2226" s="1" t="s">
        <v>206</v>
      </c>
      <c r="CA2226" s="1" t="s">
        <v>301</v>
      </c>
      <c r="CB2226" s="1" t="s">
        <v>1549</v>
      </c>
      <c r="CC2226" s="1" t="s">
        <v>1329</v>
      </c>
      <c r="CD2226" s="1" t="s">
        <v>206</v>
      </c>
      <c r="CE2226" s="1" t="s">
        <v>301</v>
      </c>
      <c r="CF2226" s="1" t="s">
        <v>1549</v>
      </c>
      <c r="CG2226" s="1" t="s">
        <v>3594</v>
      </c>
      <c r="CH2226" s="1" t="s">
        <v>206</v>
      </c>
      <c r="CI2226" s="1" t="s">
        <v>301</v>
      </c>
      <c r="CJ2226" s="1" t="s">
        <v>1549</v>
      </c>
      <c r="CK2226" s="1" t="s">
        <v>300</v>
      </c>
      <c r="CL2226" s="1" t="s">
        <v>209</v>
      </c>
      <c r="CM2226" s="1" t="s">
        <v>210</v>
      </c>
      <c r="CN2226" s="1" t="s">
        <v>1549</v>
      </c>
      <c r="CO2226" s="1" t="s">
        <v>393</v>
      </c>
      <c r="CP2226" s="1" t="s">
        <v>209</v>
      </c>
      <c r="CQ2226" s="1" t="s">
        <v>210</v>
      </c>
      <c r="CR2226" s="1" t="s">
        <v>1549</v>
      </c>
      <c r="CS2226" s="1" t="s">
        <v>4817</v>
      </c>
      <c r="CT2226" s="1" t="s">
        <v>206</v>
      </c>
      <c r="CU2226" s="1" t="s">
        <v>268</v>
      </c>
      <c r="CV2226" s="1" t="s">
        <v>1549</v>
      </c>
      <c r="CX2226" s="1" t="s">
        <v>204</v>
      </c>
      <c r="DA2226" s="1" t="s">
        <v>200</v>
      </c>
      <c r="DC2226" s="1" t="s">
        <v>642</v>
      </c>
      <c r="DD2226" s="1" t="s">
        <v>518</v>
      </c>
      <c r="DE2226" s="1" t="s">
        <v>273</v>
      </c>
      <c r="DF2226" s="1" t="s">
        <v>219</v>
      </c>
      <c r="DG2226" s="1" t="s">
        <v>337</v>
      </c>
      <c r="DH2226" s="1" t="s">
        <v>365</v>
      </c>
      <c r="DI2226" s="1" t="s">
        <v>789</v>
      </c>
      <c r="DJ2226" s="1" t="s">
        <v>222</v>
      </c>
      <c r="DK2226" s="1" t="s">
        <v>1380</v>
      </c>
      <c r="DL2226" s="1" t="s">
        <v>223</v>
      </c>
      <c r="DM2226" s="1" t="s">
        <v>338</v>
      </c>
      <c r="DN2226" s="1" t="s">
        <v>666</v>
      </c>
      <c r="DP2226" s="1" t="s">
        <v>340</v>
      </c>
      <c r="DQ2226" s="1" t="s">
        <v>228</v>
      </c>
      <c r="DR2226" s="1" t="s">
        <v>229</v>
      </c>
      <c r="DS2226" s="1" t="s">
        <v>368</v>
      </c>
      <c r="DV2226" s="1" t="s">
        <v>232</v>
      </c>
      <c r="DW2226" s="1" t="s">
        <v>279</v>
      </c>
      <c r="DX2226" s="1" t="s">
        <v>234</v>
      </c>
      <c r="DY2226" s="1" t="s">
        <v>3295</v>
      </c>
      <c r="EA2226" s="1" t="s">
        <v>1075</v>
      </c>
      <c r="EC2226" s="1" t="s">
        <v>645</v>
      </c>
      <c r="ED2226" s="1" t="s">
        <v>407</v>
      </c>
      <c r="EE2226" s="1" t="s">
        <v>493</v>
      </c>
      <c r="EM2226" s="1" t="s">
        <v>238</v>
      </c>
      <c r="EQ2226" s="1" t="s">
        <v>238</v>
      </c>
      <c r="EU2226" s="1" t="s">
        <v>238</v>
      </c>
      <c r="EY2226" s="1" t="s">
        <v>238</v>
      </c>
      <c r="FC2226" s="1" t="s">
        <v>238</v>
      </c>
      <c r="FF2226" s="1" t="s">
        <v>239</v>
      </c>
      <c r="FG2226" s="1" t="s">
        <v>192</v>
      </c>
      <c r="FH2226" s="1" t="s">
        <v>192</v>
      </c>
      <c r="FJ2226" s="1" t="s">
        <v>524</v>
      </c>
      <c r="FK2226" s="1" t="s">
        <v>229</v>
      </c>
      <c r="FL2226" s="1" t="s">
        <v>20662</v>
      </c>
      <c r="FM2226" s="1">
        <v>12714.0</v>
      </c>
      <c r="FN2226" s="1" t="s">
        <v>20663</v>
      </c>
      <c r="FO2226" s="1" t="s">
        <v>20664</v>
      </c>
      <c r="FP2226" s="1">
        <v>125551.0</v>
      </c>
      <c r="FQ2226" s="1" t="s">
        <v>20663</v>
      </c>
      <c r="FT2226" s="1" t="s">
        <v>20665</v>
      </c>
      <c r="FU2226" s="1" t="s">
        <v>20666</v>
      </c>
      <c r="FV2226" s="1" t="s">
        <v>200</v>
      </c>
      <c r="FW2226" s="1" t="s">
        <v>290</v>
      </c>
      <c r="FX2226" s="1" t="s">
        <v>655</v>
      </c>
      <c r="FZ2226" s="1" t="s">
        <v>229</v>
      </c>
      <c r="GA2226" s="1" t="s">
        <v>291</v>
      </c>
      <c r="GB2226" s="2">
        <v>42044.0</v>
      </c>
    </row>
    <row r="2227">
      <c r="A2227" s="1">
        <v>240000.0</v>
      </c>
      <c r="B2227" s="1" t="s">
        <v>185</v>
      </c>
      <c r="C2227" s="1" t="str">
        <f>"08752227"</f>
        <v>08752227</v>
      </c>
      <c r="D2227" s="1" t="s">
        <v>186</v>
      </c>
      <c r="F2227" s="1" t="str">
        <f>"178"</f>
        <v>178</v>
      </c>
      <c r="G2227" s="2">
        <v>41925.0</v>
      </c>
      <c r="H2227" s="1">
        <v>249887.0</v>
      </c>
      <c r="I2227" s="1">
        <v>235.0</v>
      </c>
      <c r="J2227" s="1">
        <v>249887.0</v>
      </c>
      <c r="K2227" s="2">
        <v>42063.0</v>
      </c>
      <c r="L2227" s="1">
        <v>139.0</v>
      </c>
      <c r="M2227" s="2">
        <v>42063.0</v>
      </c>
      <c r="N2227" s="1" t="s">
        <v>187</v>
      </c>
      <c r="O2227" s="2">
        <v>42125.0</v>
      </c>
      <c r="P2227" s="1">
        <v>189649.0</v>
      </c>
      <c r="Q2227" s="1">
        <v>85399.0</v>
      </c>
      <c r="S2227" s="1">
        <v>429.0</v>
      </c>
      <c r="T2227" s="1" t="s">
        <v>4016</v>
      </c>
      <c r="U2227" s="1" t="s">
        <v>694</v>
      </c>
      <c r="V2227" s="1" t="s">
        <v>994</v>
      </c>
      <c r="W2227" s="1">
        <v>60178.0</v>
      </c>
      <c r="Y2227" s="1" t="s">
        <v>20667</v>
      </c>
      <c r="Z2227" s="1">
        <v>2014.0</v>
      </c>
      <c r="AA2227" s="1" t="s">
        <v>200</v>
      </c>
      <c r="AB2227" s="1" t="s">
        <v>467</v>
      </c>
      <c r="AD2227" s="1" t="s">
        <v>997</v>
      </c>
      <c r="AE2227" s="1" t="s">
        <v>613</v>
      </c>
      <c r="AF2227" s="1" t="s">
        <v>997</v>
      </c>
      <c r="AG2227" s="1" t="s">
        <v>18373</v>
      </c>
      <c r="AH2227" s="1" t="s">
        <v>20668</v>
      </c>
      <c r="AI2227" s="1">
        <v>0.2278</v>
      </c>
      <c r="AK2227" s="1">
        <v>9.0</v>
      </c>
      <c r="AL2227" s="1">
        <v>4.0</v>
      </c>
      <c r="AM2227" s="1">
        <v>2.0</v>
      </c>
      <c r="AN2227" s="1">
        <v>1.0</v>
      </c>
      <c r="AO2227" s="1" t="s">
        <v>198</v>
      </c>
      <c r="AP2227" s="1">
        <v>1.0</v>
      </c>
      <c r="AQ2227" s="1" t="s">
        <v>198</v>
      </c>
      <c r="AR2227" s="1" t="s">
        <v>200</v>
      </c>
      <c r="AS2227" s="1" t="s">
        <v>199</v>
      </c>
      <c r="AT2227" s="1">
        <v>2.0</v>
      </c>
      <c r="AV2227" s="1" t="s">
        <v>192</v>
      </c>
      <c r="AW2227" s="1" t="s">
        <v>20669</v>
      </c>
      <c r="AX2227" s="1">
        <v>2013.0</v>
      </c>
      <c r="AZ2227" s="1" t="s">
        <v>200</v>
      </c>
      <c r="BA2227" s="1" t="str">
        <f>"0905276004"</f>
        <v>0905276004</v>
      </c>
      <c r="BC2227" s="1">
        <v>2575.0</v>
      </c>
      <c r="BD2227" s="1">
        <v>240000.0</v>
      </c>
      <c r="BE2227" s="2">
        <v>41925.0</v>
      </c>
      <c r="BF2227" s="2" t="s">
        <v>20670</v>
      </c>
      <c r="BH2227" s="1">
        <v>369.0</v>
      </c>
      <c r="BK2227" s="1" t="s">
        <v>580</v>
      </c>
      <c r="BL2227" s="1" t="str">
        <f t="shared" ref="BL2227:BM2227" si="1456">""</f>
        <v/>
      </c>
      <c r="BM2227" s="1" t="str">
        <f t="shared" si="1456"/>
        <v/>
      </c>
      <c r="BQ2227" s="1">
        <v>427.0</v>
      </c>
      <c r="BR2227" s="1">
        <v>427.0</v>
      </c>
      <c r="BS2227" s="1">
        <v>427.0</v>
      </c>
      <c r="BV2227" s="1" t="s">
        <v>204</v>
      </c>
      <c r="BY2227" s="1" t="s">
        <v>1000</v>
      </c>
      <c r="BZ2227" s="1" t="s">
        <v>209</v>
      </c>
      <c r="CA2227" s="1" t="s">
        <v>210</v>
      </c>
      <c r="CC2227" s="1" t="s">
        <v>663</v>
      </c>
      <c r="CD2227" s="1" t="s">
        <v>206</v>
      </c>
      <c r="CE2227" s="1" t="s">
        <v>207</v>
      </c>
      <c r="CG2227" s="1" t="s">
        <v>215</v>
      </c>
      <c r="CH2227" s="1" t="s">
        <v>209</v>
      </c>
      <c r="CI2227" s="1" t="s">
        <v>210</v>
      </c>
      <c r="CK2227" s="1" t="s">
        <v>363</v>
      </c>
      <c r="CL2227" s="1" t="s">
        <v>209</v>
      </c>
      <c r="CM2227" s="1" t="s">
        <v>210</v>
      </c>
      <c r="CO2227" s="1" t="s">
        <v>392</v>
      </c>
      <c r="CP2227" s="1" t="s">
        <v>209</v>
      </c>
      <c r="CQ2227" s="1" t="s">
        <v>210</v>
      </c>
      <c r="CS2227" s="1" t="s">
        <v>729</v>
      </c>
      <c r="CT2227" s="1" t="s">
        <v>206</v>
      </c>
      <c r="CU2227" s="1" t="s">
        <v>207</v>
      </c>
      <c r="CW2227" s="1" t="s">
        <v>362</v>
      </c>
      <c r="CX2227" s="1" t="s">
        <v>206</v>
      </c>
      <c r="CY2227" s="1" t="s">
        <v>207</v>
      </c>
      <c r="DA2227" s="1" t="s">
        <v>200</v>
      </c>
      <c r="DB2227" s="2">
        <v>41957.0</v>
      </c>
      <c r="DC2227" s="1" t="s">
        <v>1046</v>
      </c>
      <c r="DD2227" s="1" t="s">
        <v>926</v>
      </c>
      <c r="DE2227" s="1" t="s">
        <v>273</v>
      </c>
      <c r="DF2227" s="1" t="s">
        <v>219</v>
      </c>
      <c r="DG2227" s="1" t="s">
        <v>1020</v>
      </c>
      <c r="DH2227" s="1" t="s">
        <v>220</v>
      </c>
      <c r="DI2227" s="1" t="s">
        <v>732</v>
      </c>
      <c r="DJ2227" s="1" t="s">
        <v>222</v>
      </c>
      <c r="DK2227" s="1" t="s">
        <v>223</v>
      </c>
      <c r="DL2227" s="1" t="s">
        <v>484</v>
      </c>
      <c r="DM2227" s="1" t="s">
        <v>338</v>
      </c>
      <c r="DN2227" s="1" t="s">
        <v>485</v>
      </c>
      <c r="DO2227" s="1" t="s">
        <v>2548</v>
      </c>
      <c r="DP2227" s="1" t="s">
        <v>340</v>
      </c>
      <c r="DQ2227" s="1" t="s">
        <v>228</v>
      </c>
      <c r="DR2227" s="1" t="s">
        <v>4024</v>
      </c>
      <c r="DU2227" s="1" t="s">
        <v>487</v>
      </c>
      <c r="DV2227" s="1" t="s">
        <v>7010</v>
      </c>
      <c r="DW2227" s="1" t="s">
        <v>233</v>
      </c>
      <c r="DX2227" s="1" t="s">
        <v>5015</v>
      </c>
      <c r="DY2227" s="1" t="s">
        <v>1051</v>
      </c>
      <c r="EA2227" s="1" t="s">
        <v>344</v>
      </c>
      <c r="EB2227" s="1" t="s">
        <v>492</v>
      </c>
      <c r="EC2227" s="1" t="s">
        <v>237</v>
      </c>
      <c r="ED2227" s="1" t="s">
        <v>407</v>
      </c>
      <c r="EE2227" s="1" t="s">
        <v>493</v>
      </c>
      <c r="EG2227" s="1" t="s">
        <v>449</v>
      </c>
      <c r="EH2227" s="1" t="s">
        <v>598</v>
      </c>
      <c r="EL2227" s="1" t="s">
        <v>729</v>
      </c>
      <c r="EM2227" s="1" t="s">
        <v>206</v>
      </c>
      <c r="EN2227" s="1" t="s">
        <v>207</v>
      </c>
      <c r="EP2227" s="1" t="s">
        <v>729</v>
      </c>
      <c r="EQ2227" s="1" t="s">
        <v>206</v>
      </c>
      <c r="ER2227" s="1" t="s">
        <v>207</v>
      </c>
      <c r="EU2227" s="1" t="s">
        <v>238</v>
      </c>
      <c r="EY2227" s="1" t="s">
        <v>238</v>
      </c>
      <c r="FC2227" s="1" t="s">
        <v>238</v>
      </c>
      <c r="FF2227" s="1" t="s">
        <v>239</v>
      </c>
      <c r="FG2227" s="1" t="s">
        <v>192</v>
      </c>
      <c r="FH2227" s="1" t="s">
        <v>192</v>
      </c>
      <c r="FJ2227" s="1" t="s">
        <v>524</v>
      </c>
      <c r="FK2227" s="1" t="s">
        <v>557</v>
      </c>
      <c r="FL2227" s="1" t="s">
        <v>1614</v>
      </c>
      <c r="FM2227" s="1">
        <v>85399.0</v>
      </c>
      <c r="FN2227" s="1" t="s">
        <v>1615</v>
      </c>
      <c r="FO2227" s="1" t="s">
        <v>1616</v>
      </c>
      <c r="FP2227" s="1">
        <v>189649.0</v>
      </c>
      <c r="FQ2227" s="1" t="s">
        <v>1615</v>
      </c>
      <c r="FU2227" s="1" t="s">
        <v>20671</v>
      </c>
      <c r="FV2227" s="1" t="s">
        <v>200</v>
      </c>
      <c r="FW2227" s="1" t="s">
        <v>1618</v>
      </c>
      <c r="FX2227" s="1" t="s">
        <v>1739</v>
      </c>
      <c r="FZ2227" s="1" t="s">
        <v>229</v>
      </c>
      <c r="GA2227" s="1" t="s">
        <v>291</v>
      </c>
      <c r="GB2227" s="2">
        <v>42147.0</v>
      </c>
      <c r="GC2227" s="1" t="s">
        <v>20672</v>
      </c>
    </row>
    <row r="2228">
      <c r="A2228" s="1">
        <v>425000.0</v>
      </c>
      <c r="B2228" s="1" t="s">
        <v>185</v>
      </c>
      <c r="C2228" s="1" t="str">
        <f>"08751245"</f>
        <v>08751245</v>
      </c>
      <c r="D2228" s="1" t="s">
        <v>186</v>
      </c>
      <c r="F2228" s="1" t="str">
        <f>"174"</f>
        <v>174</v>
      </c>
      <c r="G2228" s="2">
        <v>41924.0</v>
      </c>
      <c r="H2228" s="1">
        <v>455000.0</v>
      </c>
      <c r="I2228" s="1">
        <v>186.0</v>
      </c>
      <c r="J2228" s="1">
        <v>439900.0</v>
      </c>
      <c r="K2228" s="2">
        <v>42045.0</v>
      </c>
      <c r="L2228" s="1">
        <v>122.0</v>
      </c>
      <c r="M2228" s="2">
        <v>42045.0</v>
      </c>
      <c r="N2228" s="1" t="s">
        <v>187</v>
      </c>
      <c r="O2228" s="2">
        <v>42066.0</v>
      </c>
      <c r="P2228" s="1">
        <v>1136.0</v>
      </c>
      <c r="Q2228" s="1">
        <v>49.0</v>
      </c>
      <c r="S2228" s="1" t="s">
        <v>20673</v>
      </c>
      <c r="T2228" s="1" t="s">
        <v>3323</v>
      </c>
      <c r="U2228" s="1" t="s">
        <v>464</v>
      </c>
      <c r="V2228" s="1" t="s">
        <v>1200</v>
      </c>
      <c r="W2228" s="1">
        <v>60175.0</v>
      </c>
      <c r="Y2228" s="1" t="s">
        <v>20674</v>
      </c>
      <c r="Z2228" s="1">
        <v>1998.0</v>
      </c>
      <c r="AA2228" s="1" t="s">
        <v>200</v>
      </c>
      <c r="AB2228" s="1" t="s">
        <v>467</v>
      </c>
      <c r="AC2228" s="1" t="s">
        <v>4318</v>
      </c>
      <c r="AD2228" s="1" t="s">
        <v>1089</v>
      </c>
      <c r="AE2228" s="1" t="s">
        <v>325</v>
      </c>
      <c r="AF2228" s="1" t="s">
        <v>1632</v>
      </c>
      <c r="AH2228" s="1" t="s">
        <v>20675</v>
      </c>
      <c r="AI2228" s="1">
        <v>0.6</v>
      </c>
      <c r="AK2228" s="1">
        <v>14.0</v>
      </c>
      <c r="AL2228" s="1">
        <v>4.0</v>
      </c>
      <c r="AM2228" s="1">
        <v>2.0</v>
      </c>
      <c r="AN2228" s="1">
        <v>1.0</v>
      </c>
      <c r="AO2228" s="1" t="s">
        <v>198</v>
      </c>
      <c r="AP2228" s="1">
        <v>1.0</v>
      </c>
      <c r="AQ2228" s="1" t="s">
        <v>198</v>
      </c>
      <c r="AR2228" s="1" t="s">
        <v>200</v>
      </c>
      <c r="AS2228" s="1" t="s">
        <v>199</v>
      </c>
      <c r="AT2228" s="1">
        <v>3.0</v>
      </c>
      <c r="AV2228" s="1" t="s">
        <v>200</v>
      </c>
      <c r="AW2228" s="3">
        <v>10167.0</v>
      </c>
      <c r="AX2228" s="1">
        <v>2013.0</v>
      </c>
      <c r="AY2228" s="1" t="s">
        <v>387</v>
      </c>
      <c r="AZ2228" s="1" t="s">
        <v>200</v>
      </c>
      <c r="BA2228" s="1" t="str">
        <f>"0823427020"</f>
        <v>0823427020</v>
      </c>
      <c r="BB2228" s="1" t="s">
        <v>200</v>
      </c>
      <c r="BC2228" s="1">
        <v>2886.0</v>
      </c>
      <c r="BD2228" s="1">
        <v>425000.0</v>
      </c>
      <c r="BE2228" s="2">
        <v>41924.0</v>
      </c>
      <c r="BF2228" s="2" t="s">
        <v>20676</v>
      </c>
      <c r="BG2228" s="1" t="s">
        <v>6840</v>
      </c>
      <c r="BH2228" s="1">
        <v>290.0</v>
      </c>
      <c r="BI2228" s="1" t="s">
        <v>2199</v>
      </c>
      <c r="BJ2228" s="1" t="s">
        <v>2144</v>
      </c>
      <c r="BK2228" s="1" t="s">
        <v>1952</v>
      </c>
      <c r="BL2228" s="1" t="str">
        <f>"4"</f>
        <v>4</v>
      </c>
      <c r="BM2228" s="1" t="str">
        <f>"0"</f>
        <v>0</v>
      </c>
      <c r="BN2228" s="1">
        <v>40.0</v>
      </c>
      <c r="BO2228" s="1">
        <v>0.0</v>
      </c>
      <c r="BQ2228" s="1">
        <v>303.0</v>
      </c>
      <c r="BR2228" s="1">
        <v>303.0</v>
      </c>
      <c r="BS2228" s="1">
        <v>303.0</v>
      </c>
      <c r="BU2228" s="1" t="s">
        <v>758</v>
      </c>
      <c r="BV2228" s="1" t="s">
        <v>206</v>
      </c>
      <c r="BW2228" s="1" t="s">
        <v>207</v>
      </c>
      <c r="BY2228" s="1" t="s">
        <v>432</v>
      </c>
      <c r="BZ2228" s="1" t="s">
        <v>209</v>
      </c>
      <c r="CA2228" s="1" t="s">
        <v>207</v>
      </c>
      <c r="CC2228" s="1" t="s">
        <v>215</v>
      </c>
      <c r="CD2228" s="1" t="s">
        <v>206</v>
      </c>
      <c r="CE2228" s="1" t="s">
        <v>207</v>
      </c>
      <c r="CG2228" s="1" t="s">
        <v>215</v>
      </c>
      <c r="CH2228" s="1" t="s">
        <v>209</v>
      </c>
      <c r="CI2228" s="1" t="s">
        <v>207</v>
      </c>
      <c r="CK2228" s="1" t="s">
        <v>329</v>
      </c>
      <c r="CL2228" s="1" t="s">
        <v>209</v>
      </c>
      <c r="CM2228" s="1" t="s">
        <v>207</v>
      </c>
      <c r="CO2228" s="1" t="s">
        <v>584</v>
      </c>
      <c r="CP2228" s="1" t="s">
        <v>209</v>
      </c>
      <c r="CQ2228" s="1" t="s">
        <v>207</v>
      </c>
      <c r="CS2228" s="1" t="s">
        <v>361</v>
      </c>
      <c r="CT2228" s="1" t="s">
        <v>206</v>
      </c>
      <c r="CU2228" s="1" t="s">
        <v>207</v>
      </c>
      <c r="CW2228" s="1" t="s">
        <v>2861</v>
      </c>
      <c r="CX2228" s="1" t="s">
        <v>206</v>
      </c>
      <c r="CY2228" s="1" t="s">
        <v>207</v>
      </c>
      <c r="CZ2228" s="1" t="s">
        <v>476</v>
      </c>
      <c r="DA2228" s="1" t="s">
        <v>200</v>
      </c>
      <c r="DC2228" s="1" t="s">
        <v>678</v>
      </c>
      <c r="DD2228" s="1" t="s">
        <v>1954</v>
      </c>
      <c r="DE2228" s="1" t="s">
        <v>273</v>
      </c>
      <c r="DF2228" s="1" t="s">
        <v>219</v>
      </c>
      <c r="DG2228" s="1" t="s">
        <v>2379</v>
      </c>
      <c r="DH2228" s="1" t="s">
        <v>1603</v>
      </c>
      <c r="DI2228" s="1" t="s">
        <v>11630</v>
      </c>
      <c r="DJ2228" s="1" t="s">
        <v>222</v>
      </c>
      <c r="DK2228" s="1" t="s">
        <v>223</v>
      </c>
      <c r="DL2228" s="1" t="s">
        <v>224</v>
      </c>
      <c r="DM2228" s="1" t="s">
        <v>929</v>
      </c>
      <c r="DN2228" s="1" t="s">
        <v>399</v>
      </c>
      <c r="DO2228" s="1" t="s">
        <v>486</v>
      </c>
      <c r="DP2228" s="1" t="s">
        <v>340</v>
      </c>
      <c r="DQ2228" s="1" t="s">
        <v>1557</v>
      </c>
      <c r="DR2228" s="1" t="s">
        <v>2593</v>
      </c>
      <c r="DS2228" s="1" t="s">
        <v>368</v>
      </c>
      <c r="DU2228" s="1" t="s">
        <v>19932</v>
      </c>
      <c r="DV2228" s="1" t="s">
        <v>20677</v>
      </c>
      <c r="DW2228" s="1" t="s">
        <v>764</v>
      </c>
      <c r="DX2228" s="1" t="s">
        <v>234</v>
      </c>
      <c r="DY2228" s="1" t="s">
        <v>1051</v>
      </c>
      <c r="DZ2228" s="1" t="s">
        <v>282</v>
      </c>
      <c r="EA2228" s="1" t="s">
        <v>344</v>
      </c>
      <c r="EB2228" s="1" t="s">
        <v>2915</v>
      </c>
      <c r="EC2228" s="1" t="s">
        <v>237</v>
      </c>
      <c r="ED2228" s="1" t="s">
        <v>407</v>
      </c>
      <c r="EE2228" s="1" t="s">
        <v>493</v>
      </c>
      <c r="EG2228" s="1" t="s">
        <v>449</v>
      </c>
      <c r="EH2228" s="1" t="s">
        <v>598</v>
      </c>
      <c r="EJ2228" s="1" t="s">
        <v>451</v>
      </c>
      <c r="EK2228" s="1" t="s">
        <v>2023</v>
      </c>
      <c r="EL2228" s="1" t="s">
        <v>266</v>
      </c>
      <c r="EM2228" s="1" t="s">
        <v>206</v>
      </c>
      <c r="EN2228" s="1" t="s">
        <v>207</v>
      </c>
      <c r="EP2228" s="1" t="s">
        <v>497</v>
      </c>
      <c r="EQ2228" s="1" t="s">
        <v>206</v>
      </c>
      <c r="ER2228" s="1" t="s">
        <v>207</v>
      </c>
      <c r="EU2228" s="1" t="s">
        <v>238</v>
      </c>
      <c r="EX2228" s="1" t="s">
        <v>2800</v>
      </c>
      <c r="EY2228" s="1" t="s">
        <v>42</v>
      </c>
      <c r="EZ2228" s="1" t="s">
        <v>301</v>
      </c>
      <c r="FB2228" s="1" t="s">
        <v>214</v>
      </c>
      <c r="FC2228" s="1" t="s">
        <v>42</v>
      </c>
      <c r="FD2228" s="1" t="s">
        <v>301</v>
      </c>
      <c r="FF2228" s="1" t="s">
        <v>239</v>
      </c>
      <c r="FG2228" s="1" t="s">
        <v>192</v>
      </c>
      <c r="FH2228" s="1" t="s">
        <v>192</v>
      </c>
      <c r="FJ2228" s="1" t="s">
        <v>20678</v>
      </c>
      <c r="FK2228" s="1" t="s">
        <v>229</v>
      </c>
      <c r="FL2228" s="1" t="s">
        <v>20679</v>
      </c>
      <c r="FM2228" s="1">
        <v>21682.0</v>
      </c>
      <c r="FN2228" s="1" t="s">
        <v>20680</v>
      </c>
      <c r="FO2228" s="1" t="s">
        <v>20681</v>
      </c>
      <c r="FP2228" s="1">
        <v>217771.0</v>
      </c>
      <c r="FQ2228" s="1" t="s">
        <v>20680</v>
      </c>
      <c r="FR2228" s="1">
        <v>228144.0</v>
      </c>
      <c r="FU2228" s="1" t="s">
        <v>20682</v>
      </c>
      <c r="FV2228" s="1" t="s">
        <v>200</v>
      </c>
      <c r="FW2228" s="1" t="s">
        <v>19746</v>
      </c>
      <c r="FZ2228" s="1" t="s">
        <v>229</v>
      </c>
      <c r="GA2228" s="1" t="s">
        <v>291</v>
      </c>
      <c r="GB2228" s="2">
        <v>42066.0</v>
      </c>
      <c r="GC2228" s="1" t="s">
        <v>20683</v>
      </c>
    </row>
    <row r="2229">
      <c r="A2229" s="1">
        <v>92500.0</v>
      </c>
      <c r="B2229" s="1" t="s">
        <v>185</v>
      </c>
      <c r="C2229" s="1" t="str">
        <f>"08747216"</f>
        <v>08747216</v>
      </c>
      <c r="D2229" s="1" t="s">
        <v>186</v>
      </c>
      <c r="F2229" s="1" t="str">
        <f>"8070"</f>
        <v>8070</v>
      </c>
      <c r="G2229" s="2">
        <v>41919.0</v>
      </c>
      <c r="H2229" s="1">
        <v>98000.0</v>
      </c>
      <c r="I2229" s="1">
        <v>8.0</v>
      </c>
      <c r="J2229" s="1">
        <v>98000.0</v>
      </c>
      <c r="K2229" s="2">
        <v>41926.0</v>
      </c>
      <c r="L2229" s="1">
        <v>8.0</v>
      </c>
      <c r="M2229" s="2">
        <v>41926.0</v>
      </c>
      <c r="N2229" s="1" t="s">
        <v>249</v>
      </c>
      <c r="O2229" s="2">
        <v>41976.0</v>
      </c>
      <c r="P2229" s="1">
        <v>117039.0</v>
      </c>
      <c r="Q2229" s="1">
        <v>85885.0</v>
      </c>
      <c r="S2229" s="1">
        <v>8109.0</v>
      </c>
      <c r="T2229" s="1" t="s">
        <v>739</v>
      </c>
      <c r="U2229" s="1" t="s">
        <v>189</v>
      </c>
      <c r="V2229" s="1" t="s">
        <v>190</v>
      </c>
      <c r="W2229" s="1">
        <v>60652.0</v>
      </c>
      <c r="Y2229" s="1" t="s">
        <v>20684</v>
      </c>
      <c r="Z2229" s="1">
        <v>1946.0</v>
      </c>
      <c r="AA2229" s="1" t="s">
        <v>192</v>
      </c>
      <c r="AB2229" s="1" t="s">
        <v>193</v>
      </c>
      <c r="AD2229" s="1" t="s">
        <v>194</v>
      </c>
      <c r="AE2229" s="1" t="s">
        <v>195</v>
      </c>
      <c r="AF2229" s="1" t="s">
        <v>1154</v>
      </c>
      <c r="AH2229" s="1" t="s">
        <v>359</v>
      </c>
      <c r="AI2229" s="1">
        <v>0.1004</v>
      </c>
      <c r="AK2229" s="1">
        <v>6.0</v>
      </c>
      <c r="AL2229" s="1">
        <v>4.0</v>
      </c>
      <c r="AM2229" s="1">
        <v>1.0</v>
      </c>
      <c r="AN2229" s="1">
        <v>0.0</v>
      </c>
      <c r="AO2229" s="1" t="s">
        <v>229</v>
      </c>
      <c r="AQ2229" s="1" t="s">
        <v>198</v>
      </c>
      <c r="AR2229" s="1" t="s">
        <v>200</v>
      </c>
      <c r="AS2229" s="1" t="s">
        <v>199</v>
      </c>
      <c r="AT2229" s="1">
        <v>2.0</v>
      </c>
      <c r="AV2229" s="1" t="s">
        <v>200</v>
      </c>
      <c r="AW2229" s="1">
        <v>2186.0</v>
      </c>
      <c r="AX2229" s="1">
        <v>2013.0</v>
      </c>
      <c r="AZ2229" s="1" t="s">
        <v>200</v>
      </c>
      <c r="BA2229" s="1" t="str">
        <f>"19352180030000"</f>
        <v>19352180030000</v>
      </c>
      <c r="BC2229" s="1">
        <v>0.0</v>
      </c>
      <c r="BD2229" s="1">
        <v>92500.0</v>
      </c>
      <c r="BE2229" s="2">
        <v>41919.0</v>
      </c>
      <c r="BF2229" s="1" t="s">
        <v>20685</v>
      </c>
      <c r="BH2229" s="1">
        <v>0.0</v>
      </c>
      <c r="BK2229" s="1" t="s">
        <v>204</v>
      </c>
      <c r="BL2229" s="1" t="str">
        <f t="shared" ref="BL2229:BM2229" si="1457">"0"</f>
        <v>0</v>
      </c>
      <c r="BM2229" s="1" t="str">
        <f t="shared" si="1457"/>
        <v>0</v>
      </c>
      <c r="BN2229" s="1">
        <v>3500.0</v>
      </c>
      <c r="BO2229" s="1">
        <v>8100.0</v>
      </c>
      <c r="BQ2229" s="1">
        <v>299.0</v>
      </c>
      <c r="BR2229" s="1">
        <v>299.0</v>
      </c>
      <c r="BS2229" s="1">
        <v>299.0</v>
      </c>
      <c r="BU2229" s="1" t="s">
        <v>1426</v>
      </c>
      <c r="BV2229" s="1" t="s">
        <v>206</v>
      </c>
      <c r="BY2229" s="1" t="s">
        <v>363</v>
      </c>
      <c r="BZ2229" s="1" t="s">
        <v>206</v>
      </c>
      <c r="CD2229" s="1" t="s">
        <v>204</v>
      </c>
      <c r="CG2229" s="1" t="s">
        <v>212</v>
      </c>
      <c r="CH2229" s="1" t="s">
        <v>206</v>
      </c>
      <c r="CK2229" s="1" t="s">
        <v>454</v>
      </c>
      <c r="CL2229" s="1" t="s">
        <v>209</v>
      </c>
      <c r="CO2229" s="1" t="s">
        <v>363</v>
      </c>
      <c r="CP2229" s="1" t="s">
        <v>209</v>
      </c>
      <c r="CS2229" s="1" t="s">
        <v>264</v>
      </c>
      <c r="CT2229" s="1" t="s">
        <v>206</v>
      </c>
      <c r="CX2229" s="1" t="s">
        <v>204</v>
      </c>
      <c r="DA2229" s="1" t="s">
        <v>200</v>
      </c>
      <c r="DC2229" s="1" t="s">
        <v>702</v>
      </c>
      <c r="DE2229" s="1" t="s">
        <v>1300</v>
      </c>
      <c r="DF2229" s="1" t="s">
        <v>619</v>
      </c>
      <c r="DH2229" s="1" t="s">
        <v>365</v>
      </c>
      <c r="DJ2229" s="1" t="s">
        <v>222</v>
      </c>
      <c r="DL2229" s="1" t="s">
        <v>223</v>
      </c>
      <c r="DM2229" s="1" t="s">
        <v>229</v>
      </c>
      <c r="DQ2229" s="1" t="s">
        <v>228</v>
      </c>
      <c r="DR2229" s="1" t="s">
        <v>229</v>
      </c>
      <c r="DV2229" s="1" t="s">
        <v>232</v>
      </c>
      <c r="DW2229" s="1" t="s">
        <v>279</v>
      </c>
      <c r="DX2229" s="1" t="s">
        <v>234</v>
      </c>
      <c r="EC2229" s="1" t="s">
        <v>237</v>
      </c>
      <c r="EM2229" s="1" t="s">
        <v>238</v>
      </c>
      <c r="EQ2229" s="1" t="s">
        <v>238</v>
      </c>
      <c r="EU2229" s="1" t="s">
        <v>238</v>
      </c>
      <c r="EY2229" s="1" t="s">
        <v>238</v>
      </c>
      <c r="FC2229" s="1" t="s">
        <v>238</v>
      </c>
      <c r="FF2229" s="1" t="s">
        <v>239</v>
      </c>
      <c r="FG2229" s="1" t="s">
        <v>192</v>
      </c>
      <c r="FH2229" s="1" t="s">
        <v>192</v>
      </c>
      <c r="FJ2229" s="1" t="s">
        <v>12446</v>
      </c>
      <c r="FK2229" s="1" t="s">
        <v>229</v>
      </c>
      <c r="FL2229" s="1" t="s">
        <v>3756</v>
      </c>
      <c r="FM2229" s="1">
        <v>16634.0</v>
      </c>
      <c r="FN2229" s="1" t="s">
        <v>3757</v>
      </c>
      <c r="FO2229" s="1" t="s">
        <v>20686</v>
      </c>
      <c r="FP2229" s="1">
        <v>189648.0</v>
      </c>
      <c r="FQ2229" s="1" t="s">
        <v>20687</v>
      </c>
      <c r="FU2229" s="1" t="s">
        <v>20688</v>
      </c>
      <c r="FV2229" s="1" t="s">
        <v>200</v>
      </c>
      <c r="FW2229" s="1" t="s">
        <v>530</v>
      </c>
      <c r="FX2229" s="1" t="s">
        <v>655</v>
      </c>
      <c r="FZ2229" s="1" t="s">
        <v>229</v>
      </c>
      <c r="GA2229" s="1" t="s">
        <v>291</v>
      </c>
      <c r="GB2229" s="2">
        <v>41976.0</v>
      </c>
      <c r="GC2229" s="1" t="s">
        <v>20689</v>
      </c>
    </row>
    <row r="2230">
      <c r="A2230" s="1">
        <v>20000.0</v>
      </c>
      <c r="B2230" s="1" t="s">
        <v>185</v>
      </c>
      <c r="C2230" s="1" t="str">
        <f>"08748053"</f>
        <v>08748053</v>
      </c>
      <c r="D2230" s="1" t="s">
        <v>186</v>
      </c>
      <c r="F2230" s="1" t="str">
        <f>"8061"</f>
        <v>8061</v>
      </c>
      <c r="G2230" s="2">
        <v>41920.0</v>
      </c>
      <c r="H2230" s="1">
        <v>11000.0</v>
      </c>
      <c r="I2230" s="1">
        <v>9.0</v>
      </c>
      <c r="J2230" s="1">
        <v>11000.0</v>
      </c>
      <c r="K2230" s="2">
        <v>41927.0</v>
      </c>
      <c r="L2230" s="1">
        <v>9.0</v>
      </c>
      <c r="M2230" s="2">
        <v>41927.0</v>
      </c>
      <c r="N2230" s="1" t="s">
        <v>249</v>
      </c>
      <c r="O2230" s="2">
        <v>42004.0</v>
      </c>
      <c r="P2230" s="1">
        <v>402338.0</v>
      </c>
      <c r="Q2230" s="1">
        <v>40213.0</v>
      </c>
      <c r="S2230" s="1">
        <v>5134.0</v>
      </c>
      <c r="T2230" s="1" t="s">
        <v>9717</v>
      </c>
      <c r="U2230" s="1" t="s">
        <v>320</v>
      </c>
      <c r="V2230" s="1" t="s">
        <v>190</v>
      </c>
      <c r="W2230" s="1">
        <v>60609.0</v>
      </c>
      <c r="Y2230" s="1" t="s">
        <v>20690</v>
      </c>
      <c r="Z2230" s="1">
        <v>1885.0</v>
      </c>
      <c r="AA2230" s="1" t="s">
        <v>192</v>
      </c>
      <c r="AB2230" s="1" t="s">
        <v>193</v>
      </c>
      <c r="AD2230" s="1" t="s">
        <v>194</v>
      </c>
      <c r="AE2230" s="1" t="s">
        <v>195</v>
      </c>
      <c r="AF2230" s="1" t="s">
        <v>659</v>
      </c>
      <c r="AH2230" s="1">
        <v>2904.0</v>
      </c>
      <c r="AI2230" s="1">
        <v>0.0667</v>
      </c>
      <c r="AK2230" s="1">
        <v>6.0</v>
      </c>
      <c r="AL2230" s="1">
        <v>4.0</v>
      </c>
      <c r="AM2230" s="1">
        <v>2.0</v>
      </c>
      <c r="AN2230" s="1">
        <v>0.0</v>
      </c>
      <c r="AO2230" s="1" t="s">
        <v>229</v>
      </c>
      <c r="AQ2230" s="1" t="s">
        <v>198</v>
      </c>
      <c r="AR2230" s="1" t="s">
        <v>200</v>
      </c>
      <c r="AS2230" s="1" t="s">
        <v>229</v>
      </c>
      <c r="AV2230" s="1" t="s">
        <v>200</v>
      </c>
      <c r="AW2230" s="1">
        <v>952.82</v>
      </c>
      <c r="AX2230" s="1">
        <v>2012.0</v>
      </c>
      <c r="AZ2230" s="1" t="s">
        <v>200</v>
      </c>
      <c r="BA2230" s="1" t="str">
        <f>"20083000340000"</f>
        <v>20083000340000</v>
      </c>
      <c r="BC2230" s="1">
        <v>1070.0</v>
      </c>
      <c r="BD2230" s="1">
        <v>20000.0</v>
      </c>
      <c r="BE2230" s="2">
        <v>41919.0</v>
      </c>
      <c r="BF2230" s="1" t="s">
        <v>20691</v>
      </c>
      <c r="BH2230" s="1">
        <v>0.0</v>
      </c>
      <c r="BK2230" s="1" t="s">
        <v>204</v>
      </c>
      <c r="BL2230" s="1" t="str">
        <f t="shared" ref="BL2230:BM2230" si="1458">"0"</f>
        <v>0</v>
      </c>
      <c r="BM2230" s="1" t="str">
        <f t="shared" si="1458"/>
        <v>0</v>
      </c>
      <c r="BN2230" s="1">
        <v>1532.0</v>
      </c>
      <c r="BO2230" s="1">
        <v>5134.0</v>
      </c>
      <c r="BQ2230" s="1">
        <v>299.0</v>
      </c>
      <c r="BR2230" s="1">
        <v>299.0</v>
      </c>
      <c r="BS2230" s="1">
        <v>299.0</v>
      </c>
      <c r="BU2230" s="1" t="s">
        <v>663</v>
      </c>
      <c r="BV2230" s="1" t="s">
        <v>206</v>
      </c>
      <c r="BY2230" s="1" t="s">
        <v>264</v>
      </c>
      <c r="BZ2230" s="1" t="s">
        <v>206</v>
      </c>
      <c r="CD2230" s="1" t="s">
        <v>204</v>
      </c>
      <c r="CG2230" s="1" t="s">
        <v>516</v>
      </c>
      <c r="CH2230" s="1" t="s">
        <v>206</v>
      </c>
      <c r="CK2230" s="1" t="s">
        <v>264</v>
      </c>
      <c r="CL2230" s="1" t="s">
        <v>209</v>
      </c>
      <c r="CO2230" s="1" t="s">
        <v>269</v>
      </c>
      <c r="CP2230" s="1" t="s">
        <v>209</v>
      </c>
      <c r="CS2230" s="1" t="s">
        <v>300</v>
      </c>
      <c r="CT2230" s="1" t="s">
        <v>206</v>
      </c>
      <c r="CX2230" s="1" t="s">
        <v>204</v>
      </c>
      <c r="DA2230" s="1" t="s">
        <v>200</v>
      </c>
      <c r="DC2230" s="1" t="s">
        <v>642</v>
      </c>
      <c r="DE2230" s="1" t="s">
        <v>229</v>
      </c>
      <c r="DF2230" s="1" t="s">
        <v>619</v>
      </c>
      <c r="DH2230" s="1" t="s">
        <v>220</v>
      </c>
      <c r="DJ2230" s="1" t="s">
        <v>222</v>
      </c>
      <c r="DL2230" s="1" t="s">
        <v>223</v>
      </c>
      <c r="DM2230" s="1" t="s">
        <v>229</v>
      </c>
      <c r="DQ2230" s="1" t="s">
        <v>228</v>
      </c>
      <c r="DR2230" s="1" t="s">
        <v>229</v>
      </c>
      <c r="DV2230" s="1" t="s">
        <v>232</v>
      </c>
      <c r="DW2230" s="1" t="s">
        <v>279</v>
      </c>
      <c r="DX2230" s="1" t="s">
        <v>234</v>
      </c>
      <c r="EC2230" s="1" t="s">
        <v>645</v>
      </c>
      <c r="EM2230" s="1" t="s">
        <v>238</v>
      </c>
      <c r="EQ2230" s="1" t="s">
        <v>238</v>
      </c>
      <c r="EU2230" s="1" t="s">
        <v>238</v>
      </c>
      <c r="EY2230" s="1" t="s">
        <v>238</v>
      </c>
      <c r="FC2230" s="1" t="s">
        <v>238</v>
      </c>
      <c r="FF2230" s="1" t="s">
        <v>239</v>
      </c>
      <c r="FG2230" s="1" t="s">
        <v>192</v>
      </c>
      <c r="FH2230" s="1" t="s">
        <v>192</v>
      </c>
      <c r="FJ2230" s="1" t="s">
        <v>1248</v>
      </c>
      <c r="FK2230" s="1" t="s">
        <v>229</v>
      </c>
      <c r="FL2230" s="1" t="s">
        <v>3272</v>
      </c>
      <c r="FM2230" s="1">
        <v>12511.0</v>
      </c>
      <c r="FN2230" s="1" t="s">
        <v>3273</v>
      </c>
      <c r="FO2230" s="1" t="s">
        <v>3274</v>
      </c>
      <c r="FP2230" s="1">
        <v>121408.0</v>
      </c>
      <c r="FQ2230" s="1" t="s">
        <v>3275</v>
      </c>
      <c r="FU2230" s="1" t="s">
        <v>20692</v>
      </c>
      <c r="FV2230" s="1" t="s">
        <v>200</v>
      </c>
      <c r="FW2230" s="1" t="s">
        <v>1411</v>
      </c>
      <c r="FX2230" s="1" t="s">
        <v>655</v>
      </c>
      <c r="FZ2230" s="1" t="s">
        <v>229</v>
      </c>
      <c r="GA2230" s="1" t="s">
        <v>291</v>
      </c>
      <c r="GB2230" s="2">
        <v>42006.0</v>
      </c>
      <c r="GC2230" s="1" t="s">
        <v>20693</v>
      </c>
    </row>
    <row r="2231">
      <c r="A2231" s="1">
        <v>118000.0</v>
      </c>
      <c r="B2231" s="1" t="s">
        <v>185</v>
      </c>
      <c r="C2231" s="1" t="str">
        <f>"08752319"</f>
        <v>08752319</v>
      </c>
      <c r="D2231" s="1" t="s">
        <v>186</v>
      </c>
      <c r="F2231" s="1" t="str">
        <f>"8070"</f>
        <v>8070</v>
      </c>
      <c r="G2231" s="2">
        <v>41926.0</v>
      </c>
      <c r="H2231" s="1">
        <v>129900.0</v>
      </c>
      <c r="I2231" s="1">
        <v>86.0</v>
      </c>
      <c r="J2231" s="1">
        <v>129900.0</v>
      </c>
      <c r="K2231" s="2">
        <v>42011.0</v>
      </c>
      <c r="L2231" s="1">
        <v>86.0</v>
      </c>
      <c r="M2231" s="2">
        <v>42011.0</v>
      </c>
      <c r="N2231" s="1" t="s">
        <v>356</v>
      </c>
      <c r="O2231" s="2">
        <v>42052.0</v>
      </c>
      <c r="P2231" s="1">
        <v>106514.0</v>
      </c>
      <c r="Q2231" s="1">
        <v>12555.0</v>
      </c>
      <c r="R2231" s="1">
        <v>3000.0</v>
      </c>
      <c r="S2231" s="1">
        <v>7709.0</v>
      </c>
      <c r="T2231" s="1" t="s">
        <v>20694</v>
      </c>
      <c r="U2231" s="1" t="s">
        <v>189</v>
      </c>
      <c r="V2231" s="1" t="s">
        <v>190</v>
      </c>
      <c r="W2231" s="1">
        <v>60652.0</v>
      </c>
      <c r="Y2231" s="1" t="s">
        <v>20695</v>
      </c>
      <c r="Z2231" s="1">
        <v>1948.0</v>
      </c>
      <c r="AA2231" s="1" t="s">
        <v>192</v>
      </c>
      <c r="AB2231" s="1" t="s">
        <v>193</v>
      </c>
      <c r="AD2231" s="1" t="s">
        <v>194</v>
      </c>
      <c r="AE2231" s="1" t="s">
        <v>195</v>
      </c>
      <c r="AF2231" s="1" t="s">
        <v>659</v>
      </c>
      <c r="AH2231" s="1" t="s">
        <v>2164</v>
      </c>
      <c r="AK2231" s="1">
        <v>8.0</v>
      </c>
      <c r="AL2231" s="1">
        <v>4.0</v>
      </c>
      <c r="AM2231" s="1">
        <v>1.0</v>
      </c>
      <c r="AN2231" s="1">
        <v>0.0</v>
      </c>
      <c r="AO2231" s="1" t="s">
        <v>229</v>
      </c>
      <c r="AP2231" s="1">
        <v>0.0</v>
      </c>
      <c r="AQ2231" s="1" t="s">
        <v>198</v>
      </c>
      <c r="AR2231" s="1" t="s">
        <v>200</v>
      </c>
      <c r="AS2231" s="1" t="s">
        <v>229</v>
      </c>
      <c r="AV2231" s="1" t="s">
        <v>200</v>
      </c>
      <c r="AW2231" s="1">
        <v>507.0</v>
      </c>
      <c r="AX2231" s="1">
        <v>2012.0</v>
      </c>
      <c r="AY2231" s="1" t="s">
        <v>1917</v>
      </c>
      <c r="AZ2231" s="1" t="s">
        <v>200</v>
      </c>
      <c r="BA2231" s="1" t="str">
        <f>"19264080430000"</f>
        <v>19264080430000</v>
      </c>
      <c r="BB2231" s="1" t="s">
        <v>200</v>
      </c>
      <c r="BC2231" s="1">
        <v>0.0</v>
      </c>
      <c r="BD2231" s="1">
        <v>118000.0</v>
      </c>
      <c r="BE2231" s="2">
        <v>41926.0</v>
      </c>
      <c r="BF2231" s="2" t="s">
        <v>20696</v>
      </c>
      <c r="BH2231" s="1">
        <v>0.0</v>
      </c>
      <c r="BK2231" s="1" t="s">
        <v>204</v>
      </c>
      <c r="BL2231" s="1" t="str">
        <f t="shared" ref="BL2231:BM2231" si="1459">"0"</f>
        <v>0</v>
      </c>
      <c r="BM2231" s="1" t="str">
        <f t="shared" si="1459"/>
        <v>0</v>
      </c>
      <c r="BN2231" s="1">
        <v>3000.0</v>
      </c>
      <c r="BO2231" s="1">
        <v>7709.0</v>
      </c>
      <c r="BQ2231" s="1">
        <v>299.0</v>
      </c>
      <c r="BR2231" s="1">
        <v>299.0</v>
      </c>
      <c r="BS2231" s="1">
        <v>299.0</v>
      </c>
      <c r="BU2231" s="1" t="s">
        <v>205</v>
      </c>
      <c r="BV2231" s="1" t="s">
        <v>206</v>
      </c>
      <c r="BW2231" s="1" t="s">
        <v>210</v>
      </c>
      <c r="BX2231" s="1" t="s">
        <v>1549</v>
      </c>
      <c r="BY2231" s="1" t="s">
        <v>392</v>
      </c>
      <c r="BZ2231" s="1" t="s">
        <v>206</v>
      </c>
      <c r="CA2231" s="1" t="s">
        <v>210</v>
      </c>
      <c r="CB2231" s="1" t="s">
        <v>431</v>
      </c>
      <c r="CC2231" s="1" t="s">
        <v>392</v>
      </c>
      <c r="CD2231" s="1" t="s">
        <v>206</v>
      </c>
      <c r="CE2231" s="1" t="s">
        <v>617</v>
      </c>
      <c r="CF2231" s="1" t="s">
        <v>431</v>
      </c>
      <c r="CG2231" s="1" t="s">
        <v>269</v>
      </c>
      <c r="CH2231" s="1" t="s">
        <v>206</v>
      </c>
      <c r="CI2231" s="1" t="s">
        <v>210</v>
      </c>
      <c r="CJ2231" s="1" t="s">
        <v>431</v>
      </c>
      <c r="CK2231" s="1" t="s">
        <v>784</v>
      </c>
      <c r="CL2231" s="1" t="s">
        <v>209</v>
      </c>
      <c r="CM2231" s="1" t="s">
        <v>207</v>
      </c>
      <c r="CN2231" s="1" t="s">
        <v>431</v>
      </c>
      <c r="CO2231" s="1" t="s">
        <v>215</v>
      </c>
      <c r="CP2231" s="1" t="s">
        <v>209</v>
      </c>
      <c r="CQ2231" s="1" t="s">
        <v>207</v>
      </c>
      <c r="CR2231" s="1" t="s">
        <v>431</v>
      </c>
      <c r="CS2231" s="1" t="s">
        <v>433</v>
      </c>
      <c r="CT2231" s="1" t="s">
        <v>206</v>
      </c>
      <c r="CU2231" s="1" t="s">
        <v>617</v>
      </c>
      <c r="CV2231" s="1" t="s">
        <v>229</v>
      </c>
      <c r="CW2231" s="1" t="s">
        <v>393</v>
      </c>
      <c r="CX2231" s="1" t="s">
        <v>206</v>
      </c>
      <c r="CY2231" s="1" t="s">
        <v>210</v>
      </c>
      <c r="DA2231" s="1" t="s">
        <v>200</v>
      </c>
      <c r="DC2231" s="1" t="s">
        <v>702</v>
      </c>
      <c r="DE2231" s="1" t="s">
        <v>273</v>
      </c>
      <c r="DF2231" s="1" t="s">
        <v>219</v>
      </c>
      <c r="DH2231" s="1" t="s">
        <v>365</v>
      </c>
      <c r="DI2231" s="1" t="s">
        <v>6629</v>
      </c>
      <c r="DJ2231" s="1" t="s">
        <v>222</v>
      </c>
      <c r="DL2231" s="1" t="s">
        <v>858</v>
      </c>
      <c r="DM2231" s="1" t="s">
        <v>225</v>
      </c>
      <c r="DP2231" s="1" t="s">
        <v>340</v>
      </c>
      <c r="DQ2231" s="1" t="s">
        <v>794</v>
      </c>
      <c r="DR2231" s="1" t="s">
        <v>229</v>
      </c>
      <c r="DS2231" s="1" t="s">
        <v>230</v>
      </c>
      <c r="DU2231" s="1" t="s">
        <v>2785</v>
      </c>
      <c r="DV2231" s="1" t="s">
        <v>232</v>
      </c>
      <c r="DW2231" s="1" t="s">
        <v>233</v>
      </c>
      <c r="DX2231" s="1" t="s">
        <v>1287</v>
      </c>
      <c r="DY2231" s="1" t="s">
        <v>553</v>
      </c>
      <c r="DZ2231" s="1" t="s">
        <v>2204</v>
      </c>
      <c r="EC2231" s="1" t="s">
        <v>685</v>
      </c>
      <c r="EE2231" s="1" t="s">
        <v>493</v>
      </c>
      <c r="EM2231" s="1" t="s">
        <v>238</v>
      </c>
      <c r="EQ2231" s="1" t="s">
        <v>238</v>
      </c>
      <c r="EU2231" s="1" t="s">
        <v>238</v>
      </c>
      <c r="EY2231" s="1" t="s">
        <v>238</v>
      </c>
      <c r="FC2231" s="1" t="s">
        <v>238</v>
      </c>
      <c r="FF2231" s="1" t="s">
        <v>239</v>
      </c>
      <c r="FG2231" s="1" t="s">
        <v>192</v>
      </c>
      <c r="FH2231" s="1" t="s">
        <v>192</v>
      </c>
      <c r="FJ2231" s="1" t="s">
        <v>2594</v>
      </c>
      <c r="FK2231" s="1" t="s">
        <v>229</v>
      </c>
      <c r="FL2231" s="1" t="s">
        <v>20697</v>
      </c>
      <c r="FM2231" s="1">
        <v>60070.0</v>
      </c>
      <c r="FN2231" s="1" t="s">
        <v>20698</v>
      </c>
      <c r="FO2231" s="1" t="s">
        <v>20699</v>
      </c>
      <c r="FP2231" s="1">
        <v>232052.0</v>
      </c>
      <c r="FQ2231" s="1" t="s">
        <v>20700</v>
      </c>
      <c r="FS2231" s="1" t="s">
        <v>20701</v>
      </c>
      <c r="FU2231" s="1" t="s">
        <v>20702</v>
      </c>
      <c r="FV2231" s="1" t="s">
        <v>200</v>
      </c>
      <c r="FW2231" s="1" t="s">
        <v>567</v>
      </c>
      <c r="FX2231" s="1" t="s">
        <v>655</v>
      </c>
      <c r="FZ2231" s="1" t="s">
        <v>229</v>
      </c>
      <c r="GA2231" s="1" t="s">
        <v>291</v>
      </c>
      <c r="GB2231" s="2">
        <v>42052.0</v>
      </c>
      <c r="GC2231" s="1" t="s">
        <v>20703</v>
      </c>
    </row>
    <row r="2232">
      <c r="A2232" s="1">
        <v>238000.0</v>
      </c>
      <c r="B2232" s="1" t="s">
        <v>185</v>
      </c>
      <c r="C2232" s="1" t="str">
        <f>"08750324"</f>
        <v>08750324</v>
      </c>
      <c r="D2232" s="1" t="s">
        <v>186</v>
      </c>
      <c r="F2232" s="1" t="str">
        <f>"560"</f>
        <v>560</v>
      </c>
      <c r="G2232" s="2">
        <v>41922.0</v>
      </c>
      <c r="H2232" s="1">
        <v>255000.0</v>
      </c>
      <c r="I2232" s="1">
        <v>140.0</v>
      </c>
      <c r="J2232" s="1">
        <v>247000.0</v>
      </c>
      <c r="K2232" s="2">
        <v>41978.0</v>
      </c>
      <c r="L2232" s="1">
        <v>57.0</v>
      </c>
      <c r="M2232" s="2">
        <v>41978.0</v>
      </c>
      <c r="N2232" s="1" t="s">
        <v>187</v>
      </c>
      <c r="O2232" s="2">
        <v>42020.0</v>
      </c>
      <c r="P2232" s="1">
        <v>8791.0</v>
      </c>
      <c r="Q2232" s="1">
        <v>87.0</v>
      </c>
      <c r="R2232" s="1">
        <v>3000.0</v>
      </c>
      <c r="S2232" s="1">
        <v>843.0</v>
      </c>
      <c r="T2232" s="1" t="s">
        <v>5690</v>
      </c>
      <c r="U2232" s="1" t="s">
        <v>4857</v>
      </c>
      <c r="V2232" s="1" t="s">
        <v>845</v>
      </c>
      <c r="W2232" s="1">
        <v>60560.0</v>
      </c>
      <c r="Y2232" s="1" t="s">
        <v>20704</v>
      </c>
      <c r="Z2232" s="1">
        <v>2004.0</v>
      </c>
      <c r="AA2232" s="1" t="s">
        <v>200</v>
      </c>
      <c r="AB2232" s="1" t="s">
        <v>467</v>
      </c>
      <c r="AC2232" s="1" t="s">
        <v>20705</v>
      </c>
      <c r="AD2232" s="1" t="s">
        <v>848</v>
      </c>
      <c r="AE2232" s="1" t="s">
        <v>849</v>
      </c>
      <c r="AF2232" s="1" t="s">
        <v>1312</v>
      </c>
      <c r="AG2232" s="1" t="s">
        <v>20706</v>
      </c>
      <c r="AH2232" s="1" t="s">
        <v>20707</v>
      </c>
      <c r="AI2232" s="1">
        <v>0.2701</v>
      </c>
      <c r="AK2232" s="1">
        <v>9.0</v>
      </c>
      <c r="AL2232" s="1">
        <v>4.0</v>
      </c>
      <c r="AM2232" s="1">
        <v>2.0</v>
      </c>
      <c r="AN2232" s="1">
        <v>1.0</v>
      </c>
      <c r="AO2232" s="1" t="s">
        <v>198</v>
      </c>
      <c r="AQ2232" s="1" t="s">
        <v>198</v>
      </c>
      <c r="AR2232" s="1" t="s">
        <v>200</v>
      </c>
      <c r="AS2232" s="1" t="s">
        <v>199</v>
      </c>
      <c r="AT2232" s="1">
        <v>2.0</v>
      </c>
      <c r="AV2232" s="1" t="s">
        <v>200</v>
      </c>
      <c r="AW2232" s="1">
        <v>6705.0</v>
      </c>
      <c r="AX2232" s="1">
        <v>2013.0</v>
      </c>
      <c r="AY2232" s="1" t="s">
        <v>387</v>
      </c>
      <c r="AZ2232" s="1" t="s">
        <v>200</v>
      </c>
      <c r="BA2232" s="1" t="str">
        <f>"0220176011"</f>
        <v>0220176011</v>
      </c>
      <c r="BB2232" s="1" t="s">
        <v>200</v>
      </c>
      <c r="BC2232" s="1">
        <v>2519.0</v>
      </c>
      <c r="BD2232" s="1">
        <v>238000.0</v>
      </c>
      <c r="BE2232" s="2">
        <v>41922.0</v>
      </c>
      <c r="BF2232" s="2" t="s">
        <v>20708</v>
      </c>
      <c r="BG2232" s="1" t="s">
        <v>4759</v>
      </c>
      <c r="BH2232" s="1">
        <v>240.0</v>
      </c>
      <c r="BI2232" s="1" t="s">
        <v>10618</v>
      </c>
      <c r="BJ2232" s="1" t="s">
        <v>3053</v>
      </c>
      <c r="BK2232" s="1" t="s">
        <v>580</v>
      </c>
      <c r="BL2232" s="1" t="str">
        <f t="shared" ref="BL2232:BM2232" si="1460">""</f>
        <v/>
      </c>
      <c r="BM2232" s="1" t="str">
        <f t="shared" si="1460"/>
        <v/>
      </c>
      <c r="BQ2232" s="1">
        <v>115.0</v>
      </c>
      <c r="BR2232" s="1">
        <v>115.0</v>
      </c>
      <c r="BS2232" s="1">
        <v>115.0</v>
      </c>
      <c r="BV2232" s="1" t="s">
        <v>204</v>
      </c>
      <c r="BY2232" s="1" t="s">
        <v>676</v>
      </c>
      <c r="BZ2232" s="1" t="s">
        <v>209</v>
      </c>
      <c r="CA2232" s="1" t="s">
        <v>210</v>
      </c>
      <c r="CC2232" s="1" t="s">
        <v>363</v>
      </c>
      <c r="CD2232" s="1" t="s">
        <v>206</v>
      </c>
      <c r="CE2232" s="1" t="s">
        <v>210</v>
      </c>
      <c r="CG2232" s="1" t="s">
        <v>332</v>
      </c>
      <c r="CH2232" s="1" t="s">
        <v>209</v>
      </c>
      <c r="CI2232" s="1" t="s">
        <v>210</v>
      </c>
      <c r="CK2232" s="1" t="s">
        <v>699</v>
      </c>
      <c r="CL2232" s="1" t="s">
        <v>209</v>
      </c>
      <c r="CM2232" s="1" t="s">
        <v>210</v>
      </c>
      <c r="CO2232" s="1" t="s">
        <v>699</v>
      </c>
      <c r="CP2232" s="1" t="s">
        <v>209</v>
      </c>
      <c r="CQ2232" s="1" t="s">
        <v>210</v>
      </c>
      <c r="CS2232" s="1" t="s">
        <v>1483</v>
      </c>
      <c r="CT2232" s="1" t="s">
        <v>206</v>
      </c>
      <c r="CU2232" s="1" t="s">
        <v>207</v>
      </c>
      <c r="CW2232" s="1" t="s">
        <v>333</v>
      </c>
      <c r="CX2232" s="1" t="s">
        <v>206</v>
      </c>
      <c r="CY2232" s="1" t="s">
        <v>210</v>
      </c>
      <c r="DA2232" s="1" t="s">
        <v>200</v>
      </c>
      <c r="DC2232" s="1" t="s">
        <v>481</v>
      </c>
      <c r="DD2232" s="1" t="s">
        <v>306</v>
      </c>
      <c r="DE2232" s="1" t="s">
        <v>273</v>
      </c>
      <c r="DF2232" s="1" t="s">
        <v>219</v>
      </c>
      <c r="DG2232" s="1" t="s">
        <v>482</v>
      </c>
      <c r="DH2232" s="1" t="s">
        <v>220</v>
      </c>
      <c r="DI2232" s="1" t="s">
        <v>12695</v>
      </c>
      <c r="DJ2232" s="1" t="s">
        <v>1048</v>
      </c>
      <c r="DL2232" s="1" t="s">
        <v>223</v>
      </c>
      <c r="DM2232" s="1" t="s">
        <v>338</v>
      </c>
      <c r="DO2232" s="1" t="s">
        <v>549</v>
      </c>
      <c r="DQ2232" s="1" t="s">
        <v>441</v>
      </c>
      <c r="DR2232" s="1" t="s">
        <v>588</v>
      </c>
      <c r="DU2232" s="1" t="s">
        <v>487</v>
      </c>
      <c r="DV2232" s="1" t="s">
        <v>7010</v>
      </c>
      <c r="DW2232" s="1" t="s">
        <v>233</v>
      </c>
      <c r="DX2232" s="1" t="s">
        <v>234</v>
      </c>
      <c r="DY2232" s="1" t="s">
        <v>235</v>
      </c>
      <c r="DZ2232" s="1" t="s">
        <v>20709</v>
      </c>
      <c r="EA2232" s="1" t="s">
        <v>344</v>
      </c>
      <c r="EC2232" s="1" t="s">
        <v>237</v>
      </c>
      <c r="ED2232" s="1" t="s">
        <v>407</v>
      </c>
      <c r="EE2232" s="1" t="s">
        <v>522</v>
      </c>
      <c r="EG2232" s="1" t="s">
        <v>449</v>
      </c>
      <c r="EH2232" s="1" t="s">
        <v>598</v>
      </c>
      <c r="EL2232" s="1" t="s">
        <v>677</v>
      </c>
      <c r="EM2232" s="1" t="s">
        <v>206</v>
      </c>
      <c r="EN2232" s="1" t="s">
        <v>207</v>
      </c>
      <c r="EP2232" s="1" t="s">
        <v>269</v>
      </c>
      <c r="EQ2232" s="1" t="s">
        <v>206</v>
      </c>
      <c r="ER2232" s="1" t="s">
        <v>210</v>
      </c>
      <c r="EU2232" s="1" t="s">
        <v>238</v>
      </c>
      <c r="EY2232" s="1" t="s">
        <v>238</v>
      </c>
      <c r="FC2232" s="1" t="s">
        <v>238</v>
      </c>
      <c r="FF2232" s="1" t="s">
        <v>239</v>
      </c>
      <c r="FG2232" s="1" t="s">
        <v>200</v>
      </c>
      <c r="FH2232" s="1" t="s">
        <v>192</v>
      </c>
      <c r="FJ2232" s="1" t="s">
        <v>2853</v>
      </c>
      <c r="FK2232" s="1" t="s">
        <v>229</v>
      </c>
      <c r="FL2232" s="1" t="s">
        <v>456</v>
      </c>
      <c r="FM2232" s="1">
        <v>23156.0</v>
      </c>
      <c r="FN2232" s="1" t="s">
        <v>2553</v>
      </c>
      <c r="FO2232" s="1" t="s">
        <v>20710</v>
      </c>
      <c r="FP2232" s="1">
        <v>237326.0</v>
      </c>
      <c r="FQ2232" s="1" t="s">
        <v>20711</v>
      </c>
      <c r="FU2232" s="1" t="s">
        <v>20712</v>
      </c>
      <c r="FV2232" s="1" t="s">
        <v>200</v>
      </c>
      <c r="FW2232" s="1" t="s">
        <v>290</v>
      </c>
      <c r="FZ2232" s="1" t="s">
        <v>229</v>
      </c>
      <c r="GA2232" s="1" t="s">
        <v>291</v>
      </c>
      <c r="GB2232" s="2">
        <v>42020.0</v>
      </c>
      <c r="GC2232" s="1" t="s">
        <v>20713</v>
      </c>
    </row>
    <row r="2233">
      <c r="A2233" s="1">
        <v>222000.0</v>
      </c>
      <c r="B2233" s="1" t="s">
        <v>185</v>
      </c>
      <c r="C2233" s="1" t="str">
        <f>"08749804"</f>
        <v>08749804</v>
      </c>
      <c r="D2233" s="1" t="s">
        <v>186</v>
      </c>
      <c r="F2233" s="1" t="str">
        <f>"123"</f>
        <v>123</v>
      </c>
      <c r="G2233" s="2">
        <v>41922.0</v>
      </c>
      <c r="H2233" s="1">
        <v>232000.0</v>
      </c>
      <c r="I2233" s="1">
        <v>107.0</v>
      </c>
      <c r="J2233" s="1">
        <v>228000.0</v>
      </c>
      <c r="K2233" s="2">
        <v>42028.0</v>
      </c>
      <c r="L2233" s="1">
        <v>107.0</v>
      </c>
      <c r="M2233" s="2">
        <v>42028.0</v>
      </c>
      <c r="N2233" s="1" t="s">
        <v>187</v>
      </c>
      <c r="O2233" s="2">
        <v>42067.0</v>
      </c>
      <c r="P2233" s="1">
        <v>214074.0</v>
      </c>
      <c r="Q2233" s="1">
        <v>23163.0</v>
      </c>
      <c r="R2233" s="1">
        <v>5500.0</v>
      </c>
      <c r="S2233" s="1">
        <v>141.0</v>
      </c>
      <c r="T2233" s="1" t="s">
        <v>18895</v>
      </c>
      <c r="U2233" s="1" t="s">
        <v>189</v>
      </c>
      <c r="V2233" s="1" t="s">
        <v>465</v>
      </c>
      <c r="W2233" s="1">
        <v>60120.0</v>
      </c>
      <c r="Y2233" s="1" t="s">
        <v>20714</v>
      </c>
      <c r="Z2233" s="1">
        <v>1885.0</v>
      </c>
      <c r="AA2233" s="1" t="s">
        <v>192</v>
      </c>
      <c r="AB2233" s="1" t="s">
        <v>193</v>
      </c>
      <c r="AD2233" s="1" t="s">
        <v>469</v>
      </c>
      <c r="AE2233" s="1" t="s">
        <v>325</v>
      </c>
      <c r="AF2233" s="1" t="s">
        <v>469</v>
      </c>
      <c r="AH2233" s="1" t="s">
        <v>20715</v>
      </c>
      <c r="AI2233" s="1">
        <v>0.21</v>
      </c>
      <c r="AK2233" s="1">
        <v>10.0</v>
      </c>
      <c r="AL2233" s="1">
        <v>4.0</v>
      </c>
      <c r="AM2233" s="1">
        <v>1.0</v>
      </c>
      <c r="AN2233" s="1">
        <v>1.0</v>
      </c>
      <c r="AO2233" s="1" t="s">
        <v>229</v>
      </c>
      <c r="AP2233" s="1">
        <v>1.0</v>
      </c>
      <c r="AQ2233" s="1" t="s">
        <v>198</v>
      </c>
      <c r="AR2233" s="1" t="s">
        <v>200</v>
      </c>
      <c r="AS2233" s="1" t="s">
        <v>199</v>
      </c>
      <c r="AT2233" s="1">
        <v>3.0</v>
      </c>
      <c r="AV2233" s="1" t="s">
        <v>200</v>
      </c>
      <c r="AW2233" s="1">
        <v>4500.0</v>
      </c>
      <c r="AX2233" s="1">
        <v>2013.0</v>
      </c>
      <c r="AY2233" s="1" t="s">
        <v>387</v>
      </c>
      <c r="AZ2233" s="1" t="s">
        <v>200</v>
      </c>
      <c r="BA2233" s="1" t="str">
        <f>"0613254006"</f>
        <v>0613254006</v>
      </c>
      <c r="BB2233" s="1" t="s">
        <v>200</v>
      </c>
      <c r="BC2233" s="1">
        <v>2284.0</v>
      </c>
      <c r="BD2233" s="1">
        <v>222000.0</v>
      </c>
      <c r="BE2233" s="2">
        <v>41922.0</v>
      </c>
      <c r="BF2233" s="2" t="s">
        <v>20716</v>
      </c>
      <c r="BH2233" s="1">
        <v>0.0</v>
      </c>
      <c r="BK2233" s="1" t="s">
        <v>204</v>
      </c>
      <c r="BL2233" s="1" t="str">
        <f t="shared" ref="BL2233:BM2233" si="1461">""</f>
        <v/>
      </c>
      <c r="BM2233" s="1" t="str">
        <f t="shared" si="1461"/>
        <v/>
      </c>
      <c r="BQ2233" s="1">
        <v>46.0</v>
      </c>
      <c r="BR2233" s="1">
        <v>46.0</v>
      </c>
      <c r="BS2233" s="1">
        <v>46.0</v>
      </c>
      <c r="BU2233" s="1" t="s">
        <v>329</v>
      </c>
      <c r="BV2233" s="1" t="s">
        <v>206</v>
      </c>
      <c r="BW2233" s="1" t="s">
        <v>207</v>
      </c>
      <c r="BY2233" s="1" t="s">
        <v>214</v>
      </c>
      <c r="BZ2233" s="1" t="s">
        <v>209</v>
      </c>
      <c r="CA2233" s="1" t="s">
        <v>207</v>
      </c>
      <c r="CC2233" s="1" t="s">
        <v>214</v>
      </c>
      <c r="CD2233" s="1" t="s">
        <v>206</v>
      </c>
      <c r="CE2233" s="1" t="s">
        <v>207</v>
      </c>
      <c r="CG2233" s="1" t="s">
        <v>331</v>
      </c>
      <c r="CH2233" s="1" t="s">
        <v>209</v>
      </c>
      <c r="CI2233" s="1" t="s">
        <v>207</v>
      </c>
      <c r="CK2233" s="1" t="s">
        <v>215</v>
      </c>
      <c r="CL2233" s="1" t="s">
        <v>209</v>
      </c>
      <c r="CM2233" s="1" t="s">
        <v>210</v>
      </c>
      <c r="CO2233" s="1" t="s">
        <v>215</v>
      </c>
      <c r="CP2233" s="1" t="s">
        <v>206</v>
      </c>
      <c r="CQ2233" s="1" t="s">
        <v>207</v>
      </c>
      <c r="CS2233" s="1" t="s">
        <v>211</v>
      </c>
      <c r="CT2233" s="1" t="s">
        <v>206</v>
      </c>
      <c r="CU2233" s="1" t="s">
        <v>207</v>
      </c>
      <c r="CX2233" s="1" t="s">
        <v>204</v>
      </c>
      <c r="DA2233" s="1" t="s">
        <v>200</v>
      </c>
      <c r="DC2233" s="1" t="s">
        <v>642</v>
      </c>
      <c r="DD2233" s="1" t="s">
        <v>759</v>
      </c>
      <c r="DE2233" s="1" t="s">
        <v>273</v>
      </c>
      <c r="DF2233" s="1" t="s">
        <v>219</v>
      </c>
      <c r="DH2233" s="1" t="s">
        <v>220</v>
      </c>
      <c r="DI2233" s="1" t="s">
        <v>732</v>
      </c>
      <c r="DJ2233" s="1" t="s">
        <v>222</v>
      </c>
      <c r="DL2233" s="1" t="s">
        <v>223</v>
      </c>
      <c r="DM2233" s="1" t="s">
        <v>3575</v>
      </c>
      <c r="DP2233" s="1" t="s">
        <v>340</v>
      </c>
      <c r="DQ2233" s="1" t="s">
        <v>228</v>
      </c>
      <c r="DR2233" s="1" t="s">
        <v>229</v>
      </c>
      <c r="DS2233" s="1" t="s">
        <v>230</v>
      </c>
      <c r="DU2233" s="1" t="s">
        <v>3625</v>
      </c>
      <c r="DV2233" s="1" t="s">
        <v>20717</v>
      </c>
      <c r="DW2233" s="1" t="s">
        <v>667</v>
      </c>
      <c r="DX2233" s="1" t="s">
        <v>234</v>
      </c>
      <c r="DY2233" s="1" t="s">
        <v>19575</v>
      </c>
      <c r="DZ2233" s="1" t="s">
        <v>20718</v>
      </c>
      <c r="EA2233" s="1" t="s">
        <v>3112</v>
      </c>
      <c r="EB2233" s="1" t="s">
        <v>797</v>
      </c>
      <c r="EC2233" s="1" t="s">
        <v>237</v>
      </c>
      <c r="ED2233" s="1" t="s">
        <v>407</v>
      </c>
      <c r="EG2233" s="1" t="s">
        <v>598</v>
      </c>
      <c r="EH2233" s="1" t="s">
        <v>1121</v>
      </c>
      <c r="EI2233" s="1" t="s">
        <v>1729</v>
      </c>
      <c r="EJ2233" s="1" t="s">
        <v>408</v>
      </c>
      <c r="EK2233" s="1" t="s">
        <v>720</v>
      </c>
      <c r="EL2233" s="1" t="s">
        <v>266</v>
      </c>
      <c r="EM2233" s="1" t="s">
        <v>209</v>
      </c>
      <c r="EN2233" s="1" t="s">
        <v>207</v>
      </c>
      <c r="EP2233" s="1" t="s">
        <v>263</v>
      </c>
      <c r="EQ2233" s="1" t="s">
        <v>209</v>
      </c>
      <c r="ER2233" s="1" t="s">
        <v>207</v>
      </c>
      <c r="ET2233" s="1" t="s">
        <v>904</v>
      </c>
      <c r="EU2233" s="1" t="s">
        <v>206</v>
      </c>
      <c r="EV2233" s="1" t="s">
        <v>207</v>
      </c>
      <c r="EX2233" s="1" t="s">
        <v>3596</v>
      </c>
      <c r="EY2233" s="1" t="s">
        <v>206</v>
      </c>
      <c r="EZ2233" s="1" t="s">
        <v>207</v>
      </c>
      <c r="FB2233" s="1" t="s">
        <v>560</v>
      </c>
      <c r="FC2233" s="1" t="s">
        <v>206</v>
      </c>
      <c r="FD2233" s="1" t="s">
        <v>1065</v>
      </c>
      <c r="FF2233" s="1" t="s">
        <v>239</v>
      </c>
      <c r="FG2233" s="1" t="s">
        <v>192</v>
      </c>
      <c r="FH2233" s="1" t="s">
        <v>192</v>
      </c>
      <c r="FJ2233" s="1" t="s">
        <v>1469</v>
      </c>
      <c r="FK2233" s="1" t="s">
        <v>229</v>
      </c>
      <c r="FL2233" s="1" t="s">
        <v>7506</v>
      </c>
      <c r="FM2233" s="1">
        <v>122.0</v>
      </c>
      <c r="FN2233" s="1" t="s">
        <v>7507</v>
      </c>
      <c r="FO2233" s="1" t="s">
        <v>7508</v>
      </c>
      <c r="FP2233" s="1">
        <v>77797.0</v>
      </c>
      <c r="FU2233" s="1" t="s">
        <v>3678</v>
      </c>
      <c r="FV2233" s="1" t="s">
        <v>200</v>
      </c>
      <c r="FW2233" s="1" t="s">
        <v>631</v>
      </c>
      <c r="FZ2233" s="1" t="s">
        <v>229</v>
      </c>
      <c r="GA2233" s="1" t="s">
        <v>291</v>
      </c>
      <c r="GB2233" s="2">
        <v>42067.0</v>
      </c>
      <c r="GC2233" s="1" t="s">
        <v>20719</v>
      </c>
    </row>
    <row r="2234">
      <c r="A2234" s="1">
        <v>142000.0</v>
      </c>
      <c r="B2234" s="1" t="s">
        <v>185</v>
      </c>
      <c r="C2234" s="1" t="str">
        <f>"08752371"</f>
        <v>08752371</v>
      </c>
      <c r="D2234" s="1" t="s">
        <v>186</v>
      </c>
      <c r="F2234" s="1" t="str">
        <f>"8070"</f>
        <v>8070</v>
      </c>
      <c r="G2234" s="2">
        <v>41926.0</v>
      </c>
      <c r="H2234" s="1">
        <v>149900.0</v>
      </c>
      <c r="I2234" s="1">
        <v>25.0</v>
      </c>
      <c r="J2234" s="1">
        <v>149900.0</v>
      </c>
      <c r="K2234" s="2">
        <v>41950.0</v>
      </c>
      <c r="L2234" s="1">
        <v>25.0</v>
      </c>
      <c r="M2234" s="2">
        <v>41950.0</v>
      </c>
      <c r="N2234" s="1" t="s">
        <v>356</v>
      </c>
      <c r="O2234" s="2">
        <v>42010.0</v>
      </c>
      <c r="P2234" s="1">
        <v>185409.0</v>
      </c>
      <c r="Q2234" s="1">
        <v>12174.0</v>
      </c>
      <c r="S2234" s="1">
        <v>3708.0</v>
      </c>
      <c r="T2234" s="1" t="s">
        <v>12339</v>
      </c>
      <c r="U2234" s="1" t="s">
        <v>320</v>
      </c>
      <c r="V2234" s="1" t="s">
        <v>190</v>
      </c>
      <c r="W2234" s="1">
        <v>60652.0</v>
      </c>
      <c r="Y2234" s="1" t="s">
        <v>20720</v>
      </c>
      <c r="Z2234" s="1">
        <v>1946.0</v>
      </c>
      <c r="AA2234" s="1" t="s">
        <v>192</v>
      </c>
      <c r="AB2234" s="1" t="s">
        <v>193</v>
      </c>
      <c r="AD2234" s="1" t="s">
        <v>194</v>
      </c>
      <c r="AE2234" s="1" t="s">
        <v>195</v>
      </c>
      <c r="AF2234" s="1" t="s">
        <v>659</v>
      </c>
      <c r="AH2234" s="1" t="s">
        <v>3342</v>
      </c>
      <c r="AI2234" s="1">
        <v>0.1157</v>
      </c>
      <c r="AK2234" s="1">
        <v>6.0</v>
      </c>
      <c r="AL2234" s="1">
        <v>4.0</v>
      </c>
      <c r="AM2234" s="1">
        <v>1.0</v>
      </c>
      <c r="AN2234" s="1">
        <v>1.0</v>
      </c>
      <c r="AO2234" s="1" t="s">
        <v>2068</v>
      </c>
      <c r="AQ2234" s="1" t="s">
        <v>198</v>
      </c>
      <c r="AR2234" s="1" t="s">
        <v>200</v>
      </c>
      <c r="AS2234" s="1" t="s">
        <v>199</v>
      </c>
      <c r="AT2234" s="1">
        <v>2.0</v>
      </c>
      <c r="AV2234" s="1" t="s">
        <v>200</v>
      </c>
      <c r="AW2234" s="1">
        <v>1631.14</v>
      </c>
      <c r="AX2234" s="1">
        <v>2012.0</v>
      </c>
      <c r="AZ2234" s="1" t="s">
        <v>200</v>
      </c>
      <c r="BA2234" s="1" t="str">
        <f>"19353280680000"</f>
        <v>19353280680000</v>
      </c>
      <c r="BC2234" s="1">
        <v>1000.0</v>
      </c>
      <c r="BD2234" s="1">
        <v>142000.0</v>
      </c>
      <c r="BE2234" s="2">
        <v>41926.0</v>
      </c>
      <c r="BF2234" s="2" t="s">
        <v>20721</v>
      </c>
      <c r="BH2234" s="1">
        <v>0.0</v>
      </c>
      <c r="BK2234" s="1" t="s">
        <v>204</v>
      </c>
      <c r="BL2234" s="1" t="str">
        <f t="shared" ref="BL2234:BM2234" si="1462">"0"</f>
        <v>0</v>
      </c>
      <c r="BM2234" s="1" t="str">
        <f t="shared" si="1462"/>
        <v>0</v>
      </c>
      <c r="BN2234" s="1">
        <v>3708.0</v>
      </c>
      <c r="BO2234" s="1">
        <v>8600.0</v>
      </c>
      <c r="BQ2234" s="1">
        <v>299.0</v>
      </c>
      <c r="BR2234" s="1">
        <v>299.0</v>
      </c>
      <c r="BS2234" s="1">
        <v>299.0</v>
      </c>
      <c r="BU2234" s="1" t="s">
        <v>925</v>
      </c>
      <c r="BV2234" s="1" t="s">
        <v>206</v>
      </c>
      <c r="BW2234" s="1" t="s">
        <v>207</v>
      </c>
      <c r="BY2234" s="1" t="s">
        <v>264</v>
      </c>
      <c r="BZ2234" s="1" t="s">
        <v>206</v>
      </c>
      <c r="CD2234" s="1" t="s">
        <v>204</v>
      </c>
      <c r="CG2234" s="1" t="s">
        <v>269</v>
      </c>
      <c r="CH2234" s="1" t="s">
        <v>206</v>
      </c>
      <c r="CK2234" s="1" t="s">
        <v>544</v>
      </c>
      <c r="CL2234" s="1" t="s">
        <v>209</v>
      </c>
      <c r="CO2234" s="1" t="s">
        <v>11497</v>
      </c>
      <c r="CP2234" s="1" t="s">
        <v>209</v>
      </c>
      <c r="CS2234" s="1" t="s">
        <v>1939</v>
      </c>
      <c r="CT2234" s="1" t="s">
        <v>206</v>
      </c>
      <c r="CU2234" s="1" t="s">
        <v>268</v>
      </c>
      <c r="CX2234" s="1" t="s">
        <v>204</v>
      </c>
      <c r="DA2234" s="1" t="s">
        <v>200</v>
      </c>
      <c r="DC2234" s="1" t="s">
        <v>702</v>
      </c>
      <c r="DE2234" s="1" t="s">
        <v>273</v>
      </c>
      <c r="DF2234" s="1" t="s">
        <v>219</v>
      </c>
      <c r="DH2234" s="1" t="s">
        <v>365</v>
      </c>
      <c r="DJ2234" s="1" t="s">
        <v>222</v>
      </c>
      <c r="DK2234" s="1" t="s">
        <v>224</v>
      </c>
      <c r="DL2234" s="1" t="s">
        <v>223</v>
      </c>
      <c r="DM2234" s="1" t="s">
        <v>1658</v>
      </c>
      <c r="DQ2234" s="1" t="s">
        <v>228</v>
      </c>
      <c r="DR2234" s="1" t="s">
        <v>229</v>
      </c>
      <c r="DV2234" s="1" t="s">
        <v>232</v>
      </c>
      <c r="DW2234" s="1" t="s">
        <v>667</v>
      </c>
      <c r="DX2234" s="1" t="s">
        <v>234</v>
      </c>
      <c r="EA2234" s="1" t="s">
        <v>1075</v>
      </c>
      <c r="EC2234" s="1" t="s">
        <v>645</v>
      </c>
      <c r="EE2234" s="1" t="s">
        <v>493</v>
      </c>
      <c r="EM2234" s="1" t="s">
        <v>238</v>
      </c>
      <c r="EQ2234" s="1" t="s">
        <v>238</v>
      </c>
      <c r="EU2234" s="1" t="s">
        <v>238</v>
      </c>
      <c r="EY2234" s="1" t="s">
        <v>238</v>
      </c>
      <c r="FC2234" s="1" t="s">
        <v>238</v>
      </c>
      <c r="FF2234" s="1" t="s">
        <v>239</v>
      </c>
      <c r="FG2234" s="1" t="s">
        <v>192</v>
      </c>
      <c r="FH2234" s="1" t="s">
        <v>192</v>
      </c>
      <c r="FJ2234" s="1" t="s">
        <v>2853</v>
      </c>
      <c r="FK2234" s="1" t="s">
        <v>229</v>
      </c>
      <c r="FL2234" s="1" t="s">
        <v>2854</v>
      </c>
      <c r="FM2234" s="1">
        <v>85043.0</v>
      </c>
      <c r="FN2234" s="1" t="s">
        <v>2855</v>
      </c>
      <c r="FO2234" s="1" t="s">
        <v>2856</v>
      </c>
      <c r="FP2234" s="1">
        <v>189258.0</v>
      </c>
      <c r="FU2234" s="1" t="s">
        <v>20722</v>
      </c>
      <c r="FV2234" s="1" t="s">
        <v>200</v>
      </c>
      <c r="FW2234" s="1" t="s">
        <v>290</v>
      </c>
      <c r="FX2234" s="1" t="s">
        <v>246</v>
      </c>
      <c r="FZ2234" s="1" t="s">
        <v>229</v>
      </c>
      <c r="GA2234" s="1" t="s">
        <v>291</v>
      </c>
      <c r="GB2234" s="2">
        <v>42010.0</v>
      </c>
      <c r="GC2234" s="1" t="s">
        <v>20723</v>
      </c>
    </row>
    <row r="2235">
      <c r="A2235" s="1">
        <v>242000.0</v>
      </c>
      <c r="B2235" s="1" t="s">
        <v>185</v>
      </c>
      <c r="C2235" s="1" t="str">
        <f>"08746905"</f>
        <v>08746905</v>
      </c>
      <c r="D2235" s="1" t="s">
        <v>186</v>
      </c>
      <c r="F2235" s="1" t="str">
        <f>"560"</f>
        <v>560</v>
      </c>
      <c r="G2235" s="2">
        <v>41919.0</v>
      </c>
      <c r="H2235" s="1">
        <v>253900.0</v>
      </c>
      <c r="I2235" s="1">
        <v>23.0</v>
      </c>
      <c r="J2235" s="1">
        <v>253900.0</v>
      </c>
      <c r="K2235" s="2">
        <v>41940.0</v>
      </c>
      <c r="L2235" s="1">
        <v>23.0</v>
      </c>
      <c r="M2235" s="2">
        <v>41940.0</v>
      </c>
      <c r="N2235" s="1" t="s">
        <v>356</v>
      </c>
      <c r="O2235" s="2">
        <v>42006.0</v>
      </c>
      <c r="P2235" s="1">
        <v>228430.0</v>
      </c>
      <c r="Q2235" s="1">
        <v>23120.0</v>
      </c>
      <c r="R2235" s="1">
        <v>3.0</v>
      </c>
      <c r="S2235" s="1">
        <v>2389.0</v>
      </c>
      <c r="T2235" s="1" t="s">
        <v>20724</v>
      </c>
      <c r="U2235" s="1" t="s">
        <v>1174</v>
      </c>
      <c r="V2235" s="1" t="s">
        <v>845</v>
      </c>
      <c r="W2235" s="1">
        <v>60560.0</v>
      </c>
      <c r="Y2235" s="1" t="s">
        <v>20725</v>
      </c>
      <c r="Z2235" s="1">
        <v>2004.0</v>
      </c>
      <c r="AA2235" s="1" t="s">
        <v>200</v>
      </c>
      <c r="AB2235" s="1" t="s">
        <v>193</v>
      </c>
      <c r="AC2235" s="1" t="s">
        <v>20726</v>
      </c>
      <c r="AD2235" s="1" t="s">
        <v>848</v>
      </c>
      <c r="AE2235" s="1" t="s">
        <v>849</v>
      </c>
      <c r="AF2235" s="1" t="s">
        <v>1312</v>
      </c>
      <c r="AH2235" s="1" t="s">
        <v>20727</v>
      </c>
      <c r="AI2235" s="1">
        <v>0.3155</v>
      </c>
      <c r="AK2235" s="1">
        <v>9.0</v>
      </c>
      <c r="AL2235" s="1">
        <v>4.0</v>
      </c>
      <c r="AM2235" s="1">
        <v>2.0</v>
      </c>
      <c r="AN2235" s="1">
        <v>1.0</v>
      </c>
      <c r="AO2235" s="1" t="s">
        <v>198</v>
      </c>
      <c r="AP2235" s="1">
        <v>0.0</v>
      </c>
      <c r="AQ2235" s="1" t="s">
        <v>198</v>
      </c>
      <c r="AR2235" s="1" t="s">
        <v>200</v>
      </c>
      <c r="AS2235" s="1" t="s">
        <v>199</v>
      </c>
      <c r="AT2235" s="1">
        <v>3.0</v>
      </c>
      <c r="AV2235" s="1" t="s">
        <v>200</v>
      </c>
      <c r="AW2235" s="1">
        <v>7966.52</v>
      </c>
      <c r="AX2235" s="1">
        <v>2012.0</v>
      </c>
      <c r="AZ2235" s="1" t="s">
        <v>200</v>
      </c>
      <c r="BA2235" s="1" t="str">
        <f>"0220125008"</f>
        <v>0220125008</v>
      </c>
      <c r="BC2235" s="1">
        <v>2950.0</v>
      </c>
      <c r="BD2235" s="1">
        <v>242000.0</v>
      </c>
      <c r="BE2235" s="2">
        <v>41918.0</v>
      </c>
      <c r="BF2235" s="2" t="s">
        <v>20728</v>
      </c>
      <c r="BH2235" s="1">
        <v>240.0</v>
      </c>
      <c r="BK2235" s="1" t="s">
        <v>580</v>
      </c>
      <c r="BL2235" s="1" t="str">
        <f t="shared" ref="BL2235:BM2235" si="1463">""</f>
        <v/>
      </c>
      <c r="BM2235" s="1" t="str">
        <f t="shared" si="1463"/>
        <v/>
      </c>
      <c r="BQ2235" s="1">
        <v>115.0</v>
      </c>
      <c r="BR2235" s="1">
        <v>115.0</v>
      </c>
      <c r="BS2235" s="1">
        <v>115.0</v>
      </c>
      <c r="BV2235" s="1" t="s">
        <v>204</v>
      </c>
      <c r="BY2235" s="1" t="s">
        <v>5955</v>
      </c>
      <c r="BZ2235" s="1" t="s">
        <v>209</v>
      </c>
      <c r="CA2235" s="1" t="s">
        <v>210</v>
      </c>
      <c r="CC2235" s="1" t="s">
        <v>393</v>
      </c>
      <c r="CD2235" s="1" t="s">
        <v>206</v>
      </c>
      <c r="CE2235" s="1" t="s">
        <v>210</v>
      </c>
      <c r="CF2235" s="1" t="s">
        <v>431</v>
      </c>
      <c r="CG2235" s="1" t="s">
        <v>433</v>
      </c>
      <c r="CH2235" s="1" t="s">
        <v>209</v>
      </c>
      <c r="CI2235" s="1" t="s">
        <v>210</v>
      </c>
      <c r="CK2235" s="1" t="s">
        <v>264</v>
      </c>
      <c r="CL2235" s="1" t="s">
        <v>209</v>
      </c>
      <c r="CM2235" s="1" t="s">
        <v>210</v>
      </c>
      <c r="CO2235" s="1" t="s">
        <v>264</v>
      </c>
      <c r="CP2235" s="1" t="s">
        <v>209</v>
      </c>
      <c r="CQ2235" s="1" t="s">
        <v>210</v>
      </c>
      <c r="CS2235" s="1" t="s">
        <v>1483</v>
      </c>
      <c r="CT2235" s="1" t="s">
        <v>206</v>
      </c>
      <c r="CU2235" s="1" t="s">
        <v>617</v>
      </c>
      <c r="CW2235" s="1" t="s">
        <v>2181</v>
      </c>
      <c r="CX2235" s="1" t="s">
        <v>206</v>
      </c>
      <c r="CY2235" s="1" t="s">
        <v>210</v>
      </c>
      <c r="DA2235" s="1" t="s">
        <v>200</v>
      </c>
      <c r="DC2235" s="1" t="s">
        <v>481</v>
      </c>
      <c r="DD2235" s="1" t="s">
        <v>926</v>
      </c>
      <c r="DE2235" s="1" t="s">
        <v>273</v>
      </c>
      <c r="DF2235" s="1" t="s">
        <v>619</v>
      </c>
      <c r="DH2235" s="1" t="s">
        <v>220</v>
      </c>
      <c r="DI2235" s="1" t="s">
        <v>308</v>
      </c>
      <c r="DJ2235" s="1" t="s">
        <v>222</v>
      </c>
      <c r="DL2235" s="1" t="s">
        <v>484</v>
      </c>
      <c r="DM2235" s="1" t="s">
        <v>229</v>
      </c>
      <c r="DN2235" s="1" t="s">
        <v>399</v>
      </c>
      <c r="DP2235" s="1" t="s">
        <v>340</v>
      </c>
      <c r="DQ2235" s="1" t="s">
        <v>441</v>
      </c>
      <c r="DR2235" s="1" t="s">
        <v>229</v>
      </c>
      <c r="DV2235" s="1" t="s">
        <v>4513</v>
      </c>
      <c r="DW2235" s="1" t="s">
        <v>233</v>
      </c>
      <c r="DX2235" s="1" t="s">
        <v>234</v>
      </c>
      <c r="DY2235" s="1" t="s">
        <v>1006</v>
      </c>
      <c r="DZ2235" s="1" t="s">
        <v>446</v>
      </c>
      <c r="EC2235" s="1" t="s">
        <v>237</v>
      </c>
      <c r="ED2235" s="1" t="s">
        <v>4163</v>
      </c>
      <c r="EG2235" s="1" t="s">
        <v>494</v>
      </c>
      <c r="EH2235" s="1" t="s">
        <v>449</v>
      </c>
      <c r="EL2235" s="1" t="s">
        <v>264</v>
      </c>
      <c r="EM2235" s="1" t="s">
        <v>206</v>
      </c>
      <c r="EN2235" s="1" t="s">
        <v>210</v>
      </c>
      <c r="EP2235" s="1" t="s">
        <v>677</v>
      </c>
      <c r="EQ2235" s="1" t="s">
        <v>206</v>
      </c>
      <c r="ER2235" s="1" t="s">
        <v>617</v>
      </c>
      <c r="EU2235" s="1" t="s">
        <v>238</v>
      </c>
      <c r="EY2235" s="1" t="s">
        <v>238</v>
      </c>
      <c r="FC2235" s="1" t="s">
        <v>238</v>
      </c>
      <c r="FF2235" s="1" t="s">
        <v>239</v>
      </c>
      <c r="FG2235" s="1" t="s">
        <v>192</v>
      </c>
      <c r="FH2235" s="1" t="s">
        <v>192</v>
      </c>
      <c r="FJ2235" s="1" t="s">
        <v>2133</v>
      </c>
      <c r="FK2235" s="1" t="s">
        <v>348</v>
      </c>
      <c r="FL2235" s="1" t="s">
        <v>4369</v>
      </c>
      <c r="FM2235" s="1">
        <v>23120.0</v>
      </c>
      <c r="FN2235" s="1" t="s">
        <v>4370</v>
      </c>
      <c r="FO2235" s="1" t="s">
        <v>20729</v>
      </c>
      <c r="FP2235" s="1">
        <v>225980.0</v>
      </c>
      <c r="FQ2235" s="1" t="s">
        <v>20730</v>
      </c>
      <c r="FU2235" s="1" t="s">
        <v>20731</v>
      </c>
      <c r="FV2235" s="1" t="s">
        <v>200</v>
      </c>
      <c r="FW2235" s="1" t="s">
        <v>290</v>
      </c>
      <c r="FZ2235" s="1" t="s">
        <v>229</v>
      </c>
      <c r="GA2235" s="1" t="s">
        <v>291</v>
      </c>
      <c r="GB2235" s="2">
        <v>42007.0</v>
      </c>
      <c r="GC2235" s="1" t="s">
        <v>20732</v>
      </c>
    </row>
    <row r="2236">
      <c r="A2236" s="1">
        <v>206000.0</v>
      </c>
      <c r="B2236" s="1" t="s">
        <v>185</v>
      </c>
      <c r="C2236" s="1" t="str">
        <f>"08751108"</f>
        <v>08751108</v>
      </c>
      <c r="D2236" s="1" t="s">
        <v>186</v>
      </c>
      <c r="F2236" s="1" t="str">
        <f>"543"</f>
        <v>543</v>
      </c>
      <c r="G2236" s="2">
        <v>41923.0</v>
      </c>
      <c r="H2236" s="1">
        <v>248000.0</v>
      </c>
      <c r="I2236" s="1">
        <v>90.0</v>
      </c>
      <c r="J2236" s="1">
        <v>214900.0</v>
      </c>
      <c r="K2236" s="2">
        <v>42011.0</v>
      </c>
      <c r="L2236" s="1">
        <v>90.0</v>
      </c>
      <c r="M2236" s="2">
        <v>42011.0</v>
      </c>
      <c r="N2236" s="1" t="s">
        <v>187</v>
      </c>
      <c r="O2236" s="2">
        <v>42055.0</v>
      </c>
      <c r="P2236" s="1">
        <v>231054.0</v>
      </c>
      <c r="Q2236" s="1">
        <v>23196.0</v>
      </c>
      <c r="R2236" s="1">
        <v>6060.0</v>
      </c>
      <c r="S2236" s="1">
        <v>519.0</v>
      </c>
      <c r="T2236" s="1" t="s">
        <v>9669</v>
      </c>
      <c r="U2236" s="1" t="s">
        <v>569</v>
      </c>
      <c r="V2236" s="1" t="s">
        <v>1527</v>
      </c>
      <c r="W2236" s="1">
        <v>60543.0</v>
      </c>
      <c r="Y2236" s="1" t="s">
        <v>20733</v>
      </c>
      <c r="Z2236" s="1">
        <v>2001.0</v>
      </c>
      <c r="AA2236" s="1" t="s">
        <v>200</v>
      </c>
      <c r="AB2236" s="1" t="s">
        <v>193</v>
      </c>
      <c r="AD2236" s="1" t="s">
        <v>1529</v>
      </c>
      <c r="AE2236" s="1" t="s">
        <v>849</v>
      </c>
      <c r="AF2236" s="1" t="s">
        <v>1529</v>
      </c>
      <c r="AH2236" s="1" t="s">
        <v>20734</v>
      </c>
      <c r="AI2236" s="1">
        <v>0.253</v>
      </c>
      <c r="AK2236" s="1">
        <v>10.0</v>
      </c>
      <c r="AL2236" s="1">
        <v>4.0</v>
      </c>
      <c r="AM2236" s="1">
        <v>2.0</v>
      </c>
      <c r="AN2236" s="1">
        <v>1.0</v>
      </c>
      <c r="AO2236" s="1" t="s">
        <v>198</v>
      </c>
      <c r="AP2236" s="1">
        <v>1.0</v>
      </c>
      <c r="AQ2236" s="1" t="s">
        <v>198</v>
      </c>
      <c r="AR2236" s="1" t="s">
        <v>200</v>
      </c>
      <c r="AS2236" s="1" t="s">
        <v>199</v>
      </c>
      <c r="AT2236" s="1">
        <v>3.0</v>
      </c>
      <c r="AV2236" s="1" t="s">
        <v>200</v>
      </c>
      <c r="AW2236" s="1">
        <v>8407.0</v>
      </c>
      <c r="AX2236" s="1">
        <v>2013.0</v>
      </c>
      <c r="AY2236" s="1" t="s">
        <v>387</v>
      </c>
      <c r="AZ2236" s="1" t="s">
        <v>200</v>
      </c>
      <c r="BA2236" s="1" t="str">
        <f>"0329281018"</f>
        <v>0329281018</v>
      </c>
      <c r="BC2236" s="1">
        <v>2478.0</v>
      </c>
      <c r="BD2236" s="1">
        <v>206000.0</v>
      </c>
      <c r="BE2236" s="2">
        <v>41922.0</v>
      </c>
      <c r="BF2236" s="2" t="s">
        <v>20735</v>
      </c>
      <c r="BH2236" s="1">
        <v>231.0</v>
      </c>
      <c r="BK2236" s="1" t="s">
        <v>580</v>
      </c>
      <c r="BL2236" s="1" t="str">
        <f t="shared" ref="BL2236:BM2236" si="1464">""</f>
        <v/>
      </c>
      <c r="BM2236" s="1" t="str">
        <f t="shared" si="1464"/>
        <v/>
      </c>
      <c r="BQ2236" s="1">
        <v>308.0</v>
      </c>
      <c r="BR2236" s="1">
        <v>308.0</v>
      </c>
      <c r="BS2236" s="1">
        <v>308.0</v>
      </c>
      <c r="BU2236" s="1" t="s">
        <v>758</v>
      </c>
      <c r="BV2236" s="1" t="s">
        <v>206</v>
      </c>
      <c r="BW2236" s="1" t="s">
        <v>210</v>
      </c>
      <c r="BY2236" s="1" t="s">
        <v>616</v>
      </c>
      <c r="BZ2236" s="1" t="s">
        <v>209</v>
      </c>
      <c r="CA2236" s="1" t="s">
        <v>210</v>
      </c>
      <c r="CC2236" s="1" t="s">
        <v>215</v>
      </c>
      <c r="CD2236" s="1" t="s">
        <v>206</v>
      </c>
      <c r="CE2236" s="1" t="s">
        <v>210</v>
      </c>
      <c r="CG2236" s="1" t="s">
        <v>331</v>
      </c>
      <c r="CH2236" s="1" t="s">
        <v>209</v>
      </c>
      <c r="CI2236" s="1" t="s">
        <v>210</v>
      </c>
      <c r="CK2236" s="1" t="s">
        <v>332</v>
      </c>
      <c r="CL2236" s="1" t="s">
        <v>209</v>
      </c>
      <c r="CM2236" s="1" t="s">
        <v>210</v>
      </c>
      <c r="CO2236" s="1" t="s">
        <v>433</v>
      </c>
      <c r="CP2236" s="1" t="s">
        <v>209</v>
      </c>
      <c r="CQ2236" s="1" t="s">
        <v>210</v>
      </c>
      <c r="CS2236" s="1" t="s">
        <v>332</v>
      </c>
      <c r="CT2236" s="1" t="s">
        <v>206</v>
      </c>
      <c r="CU2236" s="1" t="s">
        <v>207</v>
      </c>
      <c r="CW2236" s="1" t="s">
        <v>333</v>
      </c>
      <c r="CX2236" s="1" t="s">
        <v>206</v>
      </c>
      <c r="CY2236" s="1" t="s">
        <v>210</v>
      </c>
      <c r="DA2236" s="1" t="s">
        <v>200</v>
      </c>
      <c r="DC2236" s="1" t="s">
        <v>335</v>
      </c>
      <c r="DD2236" s="1" t="s">
        <v>336</v>
      </c>
      <c r="DE2236" s="1" t="s">
        <v>273</v>
      </c>
      <c r="DF2236" s="1" t="s">
        <v>219</v>
      </c>
      <c r="DG2236" s="1" t="s">
        <v>1020</v>
      </c>
      <c r="DH2236" s="1" t="s">
        <v>220</v>
      </c>
      <c r="DI2236" s="1" t="s">
        <v>703</v>
      </c>
      <c r="DJ2236" s="1" t="s">
        <v>222</v>
      </c>
      <c r="DL2236" s="1" t="s">
        <v>223</v>
      </c>
      <c r="DM2236" s="1" t="s">
        <v>229</v>
      </c>
      <c r="DN2236" s="1" t="s">
        <v>485</v>
      </c>
      <c r="DO2236" s="1" t="s">
        <v>549</v>
      </c>
      <c r="DP2236" s="1" t="s">
        <v>340</v>
      </c>
      <c r="DQ2236" s="1" t="s">
        <v>441</v>
      </c>
      <c r="DR2236" s="1" t="s">
        <v>1487</v>
      </c>
      <c r="DU2236" s="1" t="s">
        <v>1355</v>
      </c>
      <c r="DV2236" s="1" t="s">
        <v>2381</v>
      </c>
      <c r="DW2236" s="1" t="s">
        <v>3142</v>
      </c>
      <c r="DX2236" s="1" t="s">
        <v>234</v>
      </c>
      <c r="DY2236" s="1" t="s">
        <v>1936</v>
      </c>
      <c r="DZ2236" s="1" t="s">
        <v>796</v>
      </c>
      <c r="EB2236" s="1" t="s">
        <v>684</v>
      </c>
      <c r="EC2236" s="1" t="s">
        <v>237</v>
      </c>
      <c r="ED2236" s="1" t="s">
        <v>555</v>
      </c>
      <c r="EG2236" s="1" t="s">
        <v>494</v>
      </c>
      <c r="EH2236" s="1" t="s">
        <v>556</v>
      </c>
      <c r="EL2236" s="1" t="s">
        <v>264</v>
      </c>
      <c r="EM2236" s="1" t="s">
        <v>206</v>
      </c>
      <c r="EN2236" s="1" t="s">
        <v>210</v>
      </c>
      <c r="EP2236" s="1" t="s">
        <v>497</v>
      </c>
      <c r="EQ2236" s="1" t="s">
        <v>206</v>
      </c>
      <c r="ER2236" s="1" t="s">
        <v>207</v>
      </c>
      <c r="EU2236" s="1" t="s">
        <v>238</v>
      </c>
      <c r="EY2236" s="1" t="s">
        <v>238</v>
      </c>
      <c r="FC2236" s="1" t="s">
        <v>238</v>
      </c>
      <c r="FF2236" s="1" t="s">
        <v>239</v>
      </c>
      <c r="FG2236" s="1" t="s">
        <v>192</v>
      </c>
      <c r="FH2236" s="1" t="s">
        <v>192</v>
      </c>
      <c r="FJ2236" s="1" t="s">
        <v>347</v>
      </c>
      <c r="FK2236" s="1" t="s">
        <v>229</v>
      </c>
      <c r="FL2236" s="1" t="s">
        <v>4309</v>
      </c>
      <c r="FM2236" s="1">
        <v>83.0</v>
      </c>
      <c r="FN2236" s="1" t="s">
        <v>4310</v>
      </c>
      <c r="FO2236" s="1" t="s">
        <v>4311</v>
      </c>
      <c r="FP2236" s="1">
        <v>287.0</v>
      </c>
      <c r="FQ2236" s="1" t="s">
        <v>4312</v>
      </c>
      <c r="FU2236" s="1" t="s">
        <v>4313</v>
      </c>
      <c r="FV2236" s="1" t="s">
        <v>200</v>
      </c>
      <c r="FW2236" s="1" t="s">
        <v>1411</v>
      </c>
      <c r="FZ2236" s="1" t="s">
        <v>632</v>
      </c>
      <c r="GA2236" s="1" t="s">
        <v>291</v>
      </c>
      <c r="GB2236" s="2">
        <v>42058.0</v>
      </c>
      <c r="GC2236" s="1" t="s">
        <v>4314</v>
      </c>
    </row>
    <row r="2237">
      <c r="A2237" s="1">
        <v>852500.0</v>
      </c>
      <c r="B2237" s="1" t="s">
        <v>185</v>
      </c>
      <c r="C2237" s="1" t="str">
        <f>"08752684"</f>
        <v>08752684</v>
      </c>
      <c r="D2237" s="1" t="s">
        <v>186</v>
      </c>
      <c r="F2237" s="1" t="str">
        <f>"8024"</f>
        <v>8024</v>
      </c>
      <c r="G2237" s="2">
        <v>41926.0</v>
      </c>
      <c r="H2237" s="1">
        <v>899900.0</v>
      </c>
      <c r="I2237" s="1">
        <v>149.0</v>
      </c>
      <c r="J2237" s="1">
        <v>869900.0</v>
      </c>
      <c r="K2237" s="2">
        <v>42074.0</v>
      </c>
      <c r="L2237" s="1">
        <v>149.0</v>
      </c>
      <c r="M2237" s="2">
        <v>42074.0</v>
      </c>
      <c r="N2237" s="1" t="s">
        <v>187</v>
      </c>
      <c r="O2237" s="2">
        <v>42123.0</v>
      </c>
      <c r="P2237" s="1">
        <v>128632.0</v>
      </c>
      <c r="Q2237" s="1">
        <v>85774.0</v>
      </c>
      <c r="S2237" s="1">
        <v>2238.0</v>
      </c>
      <c r="T2237" s="1" t="s">
        <v>6011</v>
      </c>
      <c r="U2237" s="1" t="s">
        <v>320</v>
      </c>
      <c r="V2237" s="1" t="s">
        <v>190</v>
      </c>
      <c r="W2237" s="1">
        <v>60612.0</v>
      </c>
      <c r="Y2237" s="1" t="s">
        <v>20736</v>
      </c>
      <c r="Z2237" s="1">
        <v>2006.0</v>
      </c>
      <c r="AA2237" s="1" t="s">
        <v>200</v>
      </c>
      <c r="AB2237" s="1" t="s">
        <v>193</v>
      </c>
      <c r="AC2237" s="1" t="s">
        <v>20737</v>
      </c>
      <c r="AD2237" s="1" t="s">
        <v>194</v>
      </c>
      <c r="AE2237" s="1" t="s">
        <v>195</v>
      </c>
      <c r="AF2237" s="1" t="s">
        <v>827</v>
      </c>
      <c r="AH2237" s="1" t="s">
        <v>20738</v>
      </c>
      <c r="AI2237" s="1">
        <v>0.0683</v>
      </c>
      <c r="AK2237" s="1">
        <v>9.0</v>
      </c>
      <c r="AL2237" s="1">
        <v>4.0</v>
      </c>
      <c r="AM2237" s="1">
        <v>3.0</v>
      </c>
      <c r="AN2237" s="1">
        <v>1.0</v>
      </c>
      <c r="AO2237" s="1" t="s">
        <v>198</v>
      </c>
      <c r="AP2237" s="1">
        <v>2.0</v>
      </c>
      <c r="AQ2237" s="1" t="s">
        <v>472</v>
      </c>
      <c r="AR2237" s="1" t="s">
        <v>192</v>
      </c>
      <c r="AS2237" s="1" t="s">
        <v>199</v>
      </c>
      <c r="AT2237" s="1">
        <v>2.1</v>
      </c>
      <c r="AV2237" s="1" t="s">
        <v>200</v>
      </c>
      <c r="AW2237" s="1">
        <v>12823.79</v>
      </c>
      <c r="AX2237" s="1">
        <v>2012.0</v>
      </c>
      <c r="AY2237" s="1" t="s">
        <v>387</v>
      </c>
      <c r="AZ2237" s="1" t="s">
        <v>200</v>
      </c>
      <c r="BA2237" s="1" t="str">
        <f>"17071140300000"</f>
        <v>17071140300000</v>
      </c>
      <c r="BB2237" s="1" t="s">
        <v>200</v>
      </c>
      <c r="BC2237" s="1">
        <v>3837.0</v>
      </c>
      <c r="BD2237" s="1">
        <v>852500.0</v>
      </c>
      <c r="BE2237" s="2">
        <v>41926.0</v>
      </c>
      <c r="BF2237" s="2" t="s">
        <v>20739</v>
      </c>
      <c r="BH2237" s="1">
        <v>0.0</v>
      </c>
      <c r="BK2237" s="1" t="s">
        <v>204</v>
      </c>
      <c r="BL2237" s="1" t="str">
        <f>"800"</f>
        <v>800</v>
      </c>
      <c r="BM2237" s="1" t="str">
        <f>"0"</f>
        <v>0</v>
      </c>
      <c r="BN2237" s="1">
        <v>2238.0</v>
      </c>
      <c r="BO2237" s="1">
        <v>0.0</v>
      </c>
      <c r="BQ2237" s="1">
        <v>299.0</v>
      </c>
      <c r="BR2237" s="1">
        <v>299.0</v>
      </c>
      <c r="BS2237" s="1">
        <v>299.0</v>
      </c>
      <c r="BU2237" s="1" t="s">
        <v>15038</v>
      </c>
      <c r="BV2237" s="1" t="s">
        <v>206</v>
      </c>
      <c r="BW2237" s="1" t="s">
        <v>207</v>
      </c>
      <c r="BX2237" s="1" t="s">
        <v>1549</v>
      </c>
      <c r="BY2237" s="1" t="s">
        <v>2120</v>
      </c>
      <c r="BZ2237" s="1" t="s">
        <v>209</v>
      </c>
      <c r="CA2237" s="1" t="s">
        <v>210</v>
      </c>
      <c r="CB2237" s="1" t="s">
        <v>1549</v>
      </c>
      <c r="CC2237" s="1" t="s">
        <v>542</v>
      </c>
      <c r="CD2237" s="1" t="s">
        <v>206</v>
      </c>
      <c r="CE2237" s="1" t="s">
        <v>207</v>
      </c>
      <c r="CF2237" s="1" t="s">
        <v>431</v>
      </c>
      <c r="CG2237" s="1" t="s">
        <v>1329</v>
      </c>
      <c r="CH2237" s="1" t="s">
        <v>209</v>
      </c>
      <c r="CI2237" s="1" t="s">
        <v>210</v>
      </c>
      <c r="CJ2237" s="1" t="s">
        <v>1549</v>
      </c>
      <c r="CK2237" s="1" t="s">
        <v>208</v>
      </c>
      <c r="CL2237" s="1" t="s">
        <v>209</v>
      </c>
      <c r="CM2237" s="1" t="s">
        <v>210</v>
      </c>
      <c r="CN2237" s="1" t="s">
        <v>1549</v>
      </c>
      <c r="CO2237" s="1" t="s">
        <v>1064</v>
      </c>
      <c r="CP2237" s="1" t="s">
        <v>267</v>
      </c>
      <c r="CQ2237" s="1" t="s">
        <v>210</v>
      </c>
      <c r="CR2237" s="1" t="s">
        <v>1549</v>
      </c>
      <c r="CS2237" s="1" t="s">
        <v>924</v>
      </c>
      <c r="CT2237" s="1" t="s">
        <v>206</v>
      </c>
      <c r="CU2237" s="1" t="s">
        <v>207</v>
      </c>
      <c r="CV2237" s="1" t="s">
        <v>431</v>
      </c>
      <c r="CW2237" s="1" t="s">
        <v>20740</v>
      </c>
      <c r="CX2237" s="1" t="s">
        <v>267</v>
      </c>
      <c r="CY2237" s="1" t="s">
        <v>210</v>
      </c>
      <c r="CZ2237" s="1" t="s">
        <v>431</v>
      </c>
      <c r="DA2237" s="1" t="s">
        <v>200</v>
      </c>
      <c r="DC2237" s="1" t="s">
        <v>481</v>
      </c>
      <c r="DD2237" s="1" t="s">
        <v>586</v>
      </c>
      <c r="DE2237" s="1" t="s">
        <v>218</v>
      </c>
      <c r="DF2237" s="1" t="s">
        <v>20741</v>
      </c>
      <c r="DH2237" s="1" t="s">
        <v>365</v>
      </c>
      <c r="DI2237" s="1" t="s">
        <v>3659</v>
      </c>
      <c r="DJ2237" s="1" t="s">
        <v>588</v>
      </c>
      <c r="DL2237" s="1" t="s">
        <v>224</v>
      </c>
      <c r="DM2237" s="1" t="s">
        <v>229</v>
      </c>
      <c r="DN2237" s="1" t="s">
        <v>2873</v>
      </c>
      <c r="DP2237" s="1" t="s">
        <v>276</v>
      </c>
      <c r="DQ2237" s="1" t="s">
        <v>718</v>
      </c>
      <c r="DR2237" s="1" t="s">
        <v>229</v>
      </c>
      <c r="DS2237" s="1" t="s">
        <v>230</v>
      </c>
      <c r="DU2237" s="1" t="s">
        <v>4323</v>
      </c>
      <c r="DV2237" s="1" t="s">
        <v>1164</v>
      </c>
      <c r="DW2237" s="1" t="s">
        <v>20742</v>
      </c>
      <c r="DX2237" s="1" t="s">
        <v>280</v>
      </c>
      <c r="DY2237" s="1" t="s">
        <v>14082</v>
      </c>
      <c r="EA2237" s="1" t="s">
        <v>1027</v>
      </c>
      <c r="EB2237" s="1" t="s">
        <v>937</v>
      </c>
      <c r="EC2237" s="1" t="s">
        <v>406</v>
      </c>
      <c r="ED2237" s="1" t="s">
        <v>555</v>
      </c>
      <c r="EG2237" s="1" t="s">
        <v>1164</v>
      </c>
      <c r="EL2237" s="1" t="s">
        <v>924</v>
      </c>
      <c r="EM2237" s="1" t="s">
        <v>206</v>
      </c>
      <c r="EN2237" s="1" t="s">
        <v>207</v>
      </c>
      <c r="EO2237" s="1" t="s">
        <v>431</v>
      </c>
      <c r="EQ2237" s="1" t="s">
        <v>238</v>
      </c>
      <c r="EU2237" s="1" t="s">
        <v>238</v>
      </c>
      <c r="EY2237" s="1" t="s">
        <v>238</v>
      </c>
      <c r="FC2237" s="1" t="s">
        <v>238</v>
      </c>
      <c r="FF2237" s="1" t="s">
        <v>239</v>
      </c>
      <c r="FG2237" s="1" t="s">
        <v>192</v>
      </c>
      <c r="FH2237" s="1" t="s">
        <v>192</v>
      </c>
      <c r="FJ2237" s="1" t="s">
        <v>799</v>
      </c>
      <c r="FK2237" s="1" t="s">
        <v>229</v>
      </c>
      <c r="FL2237" s="1" t="s">
        <v>20743</v>
      </c>
      <c r="FM2237" s="1">
        <v>15675.0</v>
      </c>
      <c r="FN2237" s="1" t="s">
        <v>20744</v>
      </c>
      <c r="FO2237" s="1" t="s">
        <v>20745</v>
      </c>
      <c r="FP2237" s="1">
        <v>108659.0</v>
      </c>
      <c r="FQ2237" s="1" t="s">
        <v>20744</v>
      </c>
      <c r="FR2237" s="1">
        <v>170877.0</v>
      </c>
      <c r="FU2237" s="1" t="s">
        <v>20746</v>
      </c>
      <c r="FV2237" s="1" t="s">
        <v>200</v>
      </c>
      <c r="FW2237" s="1" t="s">
        <v>567</v>
      </c>
      <c r="FX2237" s="1" t="s">
        <v>246</v>
      </c>
      <c r="FZ2237" s="1" t="s">
        <v>229</v>
      </c>
      <c r="GA2237" s="1" t="s">
        <v>291</v>
      </c>
      <c r="GB2237" s="2">
        <v>42123.0</v>
      </c>
      <c r="GC2237" s="1" t="s">
        <v>20747</v>
      </c>
    </row>
    <row r="2238">
      <c r="A2238" s="1">
        <v>110000.0</v>
      </c>
      <c r="B2238" s="1" t="s">
        <v>185</v>
      </c>
      <c r="C2238" s="1" t="str">
        <f>"08741891"</f>
        <v>08741891</v>
      </c>
      <c r="D2238" s="1" t="s">
        <v>186</v>
      </c>
      <c r="F2238" s="1" t="str">
        <f>"8052"</f>
        <v>8052</v>
      </c>
      <c r="G2238" s="2">
        <v>41913.0</v>
      </c>
      <c r="H2238" s="1">
        <v>124900.0</v>
      </c>
      <c r="I2238" s="1">
        <v>11.0</v>
      </c>
      <c r="J2238" s="1">
        <v>124900.0</v>
      </c>
      <c r="K2238" s="2">
        <v>41923.0</v>
      </c>
      <c r="L2238" s="1">
        <v>11.0</v>
      </c>
      <c r="M2238" s="2">
        <v>41923.0</v>
      </c>
      <c r="N2238" s="1" t="s">
        <v>187</v>
      </c>
      <c r="O2238" s="2">
        <v>42044.0</v>
      </c>
      <c r="P2238" s="1">
        <v>124517.0</v>
      </c>
      <c r="Q2238" s="1">
        <v>12139.0</v>
      </c>
      <c r="S2238" s="1">
        <v>11138.0</v>
      </c>
      <c r="T2238" s="1" t="s">
        <v>20748</v>
      </c>
      <c r="V2238" s="1" t="s">
        <v>190</v>
      </c>
      <c r="W2238" s="1">
        <v>60617.0</v>
      </c>
      <c r="Y2238" s="1" t="s">
        <v>20749</v>
      </c>
      <c r="Z2238" s="1">
        <v>1947.0</v>
      </c>
      <c r="AA2238" s="1" t="s">
        <v>192</v>
      </c>
      <c r="AB2238" s="1" t="s">
        <v>193</v>
      </c>
      <c r="AD2238" s="1" t="s">
        <v>194</v>
      </c>
      <c r="AE2238" s="1" t="s">
        <v>195</v>
      </c>
      <c r="AF2238" s="1" t="s">
        <v>637</v>
      </c>
      <c r="AH2238" s="1" t="s">
        <v>20750</v>
      </c>
      <c r="AK2238" s="1">
        <v>6.0</v>
      </c>
      <c r="AL2238" s="1">
        <v>4.0</v>
      </c>
      <c r="AM2238" s="1">
        <v>1.0</v>
      </c>
      <c r="AN2238" s="1">
        <v>1.0</v>
      </c>
      <c r="AO2238" s="1" t="s">
        <v>229</v>
      </c>
      <c r="AQ2238" s="1" t="s">
        <v>198</v>
      </c>
      <c r="AR2238" s="1" t="s">
        <v>200</v>
      </c>
      <c r="AS2238" s="1" t="s">
        <v>199</v>
      </c>
      <c r="AT2238" s="1">
        <v>1.0</v>
      </c>
      <c r="AV2238" s="1" t="s">
        <v>200</v>
      </c>
      <c r="AW2238" s="1">
        <v>427.0</v>
      </c>
      <c r="AX2238" s="1">
        <v>2013.0</v>
      </c>
      <c r="AY2238" s="1" t="s">
        <v>14152</v>
      </c>
      <c r="AZ2238" s="1" t="s">
        <v>200</v>
      </c>
      <c r="BA2238" s="1" t="str">
        <f>"26174080260000"</f>
        <v>26174080260000</v>
      </c>
      <c r="BB2238" s="1" t="s">
        <v>200</v>
      </c>
      <c r="BC2238" s="1">
        <v>1100.0</v>
      </c>
      <c r="BD2238" s="1">
        <v>110000.0</v>
      </c>
      <c r="BE2238" s="2">
        <v>41913.0</v>
      </c>
      <c r="BF2238" s="1" t="s">
        <v>20751</v>
      </c>
      <c r="BH2238" s="1">
        <v>0.0</v>
      </c>
      <c r="BK2238" s="1" t="s">
        <v>204</v>
      </c>
      <c r="BL2238" s="1" t="str">
        <f t="shared" ref="BL2238:BL2239" si="1465">"0"</f>
        <v>0</v>
      </c>
      <c r="BM2238" s="1" t="str">
        <f>"4000"</f>
        <v>4000</v>
      </c>
      <c r="BN2238" s="1">
        <v>0.0</v>
      </c>
      <c r="BO2238" s="1">
        <v>11100.0</v>
      </c>
      <c r="BQ2238" s="1">
        <v>299.0</v>
      </c>
      <c r="BR2238" s="1">
        <v>299.0</v>
      </c>
      <c r="BS2238" s="1">
        <v>299.0</v>
      </c>
      <c r="BU2238" s="1" t="s">
        <v>433</v>
      </c>
      <c r="BV2238" s="1" t="s">
        <v>206</v>
      </c>
      <c r="BW2238" s="1" t="s">
        <v>210</v>
      </c>
      <c r="BX2238" s="1" t="s">
        <v>229</v>
      </c>
      <c r="BY2238" s="1" t="s">
        <v>743</v>
      </c>
      <c r="BZ2238" s="1" t="s">
        <v>209</v>
      </c>
      <c r="CA2238" s="1" t="s">
        <v>617</v>
      </c>
      <c r="CB2238" s="1" t="s">
        <v>229</v>
      </c>
      <c r="CD2238" s="1" t="s">
        <v>204</v>
      </c>
      <c r="CG2238" s="1" t="s">
        <v>543</v>
      </c>
      <c r="CH2238" s="1" t="s">
        <v>206</v>
      </c>
      <c r="CI2238" s="1" t="s">
        <v>207</v>
      </c>
      <c r="CJ2238" s="1" t="s">
        <v>229</v>
      </c>
      <c r="CK2238" s="1" t="s">
        <v>269</v>
      </c>
      <c r="CL2238" s="1" t="s">
        <v>206</v>
      </c>
      <c r="CM2238" s="1" t="s">
        <v>207</v>
      </c>
      <c r="CN2238" s="1" t="s">
        <v>229</v>
      </c>
      <c r="CO2238" s="1" t="s">
        <v>623</v>
      </c>
      <c r="CP2238" s="1" t="s">
        <v>209</v>
      </c>
      <c r="CQ2238" s="1" t="s">
        <v>617</v>
      </c>
      <c r="CR2238" s="1" t="s">
        <v>229</v>
      </c>
      <c r="CS2238" s="1" t="s">
        <v>582</v>
      </c>
      <c r="CT2238" s="1" t="s">
        <v>206</v>
      </c>
      <c r="CU2238" s="1" t="s">
        <v>617</v>
      </c>
      <c r="CV2238" s="1" t="s">
        <v>229</v>
      </c>
      <c r="CX2238" s="1" t="s">
        <v>204</v>
      </c>
      <c r="DA2238" s="1" t="s">
        <v>200</v>
      </c>
      <c r="DC2238" s="1" t="s">
        <v>702</v>
      </c>
      <c r="DE2238" s="1" t="s">
        <v>229</v>
      </c>
      <c r="DF2238" s="1" t="s">
        <v>219</v>
      </c>
      <c r="DH2238" s="1" t="s">
        <v>220</v>
      </c>
      <c r="DJ2238" s="1" t="s">
        <v>222</v>
      </c>
      <c r="DK2238" s="1" t="s">
        <v>224</v>
      </c>
      <c r="DL2238" s="1" t="s">
        <v>858</v>
      </c>
      <c r="DM2238" s="1" t="s">
        <v>229</v>
      </c>
      <c r="DQ2238" s="1" t="s">
        <v>228</v>
      </c>
      <c r="DR2238" s="1" t="s">
        <v>229</v>
      </c>
      <c r="DS2238" s="1" t="s">
        <v>230</v>
      </c>
      <c r="DV2238" s="1" t="s">
        <v>232</v>
      </c>
      <c r="DW2238" s="1" t="s">
        <v>279</v>
      </c>
      <c r="DX2238" s="1" t="s">
        <v>1287</v>
      </c>
      <c r="DY2238" s="1" t="s">
        <v>281</v>
      </c>
      <c r="EA2238" s="1" t="s">
        <v>1075</v>
      </c>
      <c r="EC2238" s="1" t="s">
        <v>645</v>
      </c>
      <c r="EE2238" s="1" t="s">
        <v>1960</v>
      </c>
      <c r="EM2238" s="1" t="s">
        <v>238</v>
      </c>
      <c r="EQ2238" s="1" t="s">
        <v>238</v>
      </c>
      <c r="EU2238" s="1" t="s">
        <v>238</v>
      </c>
      <c r="EY2238" s="1" t="s">
        <v>238</v>
      </c>
      <c r="FC2238" s="1" t="s">
        <v>238</v>
      </c>
      <c r="FF2238" s="1" t="s">
        <v>239</v>
      </c>
      <c r="FG2238" s="1" t="s">
        <v>192</v>
      </c>
      <c r="FH2238" s="1" t="s">
        <v>192</v>
      </c>
      <c r="FJ2238" s="1" t="s">
        <v>3334</v>
      </c>
      <c r="FK2238" s="1" t="s">
        <v>229</v>
      </c>
      <c r="FL2238" s="1" t="s">
        <v>20752</v>
      </c>
      <c r="FM2238" s="1">
        <v>23920.0</v>
      </c>
      <c r="FN2238" s="1" t="s">
        <v>20753</v>
      </c>
      <c r="FO2238" s="1" t="s">
        <v>20754</v>
      </c>
      <c r="FP2238" s="1">
        <v>606091.0</v>
      </c>
      <c r="FQ2238" s="1" t="s">
        <v>20755</v>
      </c>
      <c r="FU2238" s="1" t="s">
        <v>871</v>
      </c>
      <c r="FV2238" s="1" t="s">
        <v>200</v>
      </c>
      <c r="FW2238" s="1" t="s">
        <v>654</v>
      </c>
      <c r="FX2238" s="1" t="s">
        <v>655</v>
      </c>
      <c r="FZ2238" s="1" t="s">
        <v>229</v>
      </c>
      <c r="GA2238" s="1" t="s">
        <v>291</v>
      </c>
      <c r="GB2238" s="2">
        <v>42046.0</v>
      </c>
      <c r="GC2238" s="1" t="s">
        <v>20756</v>
      </c>
    </row>
    <row r="2239">
      <c r="A2239" s="1">
        <v>150000.0</v>
      </c>
      <c r="B2239" s="1" t="s">
        <v>185</v>
      </c>
      <c r="C2239" s="1" t="str">
        <f>"08755590"</f>
        <v>08755590</v>
      </c>
      <c r="D2239" s="1" t="s">
        <v>186</v>
      </c>
      <c r="F2239" s="1" t="str">
        <f>"8027"</f>
        <v>8027</v>
      </c>
      <c r="G2239" s="2">
        <v>41929.0</v>
      </c>
      <c r="H2239" s="1">
        <v>149900.0</v>
      </c>
      <c r="I2239" s="1">
        <v>8.0</v>
      </c>
      <c r="J2239" s="1">
        <v>149900.0</v>
      </c>
      <c r="K2239" s="2">
        <v>41936.0</v>
      </c>
      <c r="L2239" s="1">
        <v>8.0</v>
      </c>
      <c r="M2239" s="2">
        <v>41936.0</v>
      </c>
      <c r="N2239" s="1" t="s">
        <v>187</v>
      </c>
      <c r="O2239" s="2">
        <v>42048.0</v>
      </c>
      <c r="P2239" s="1">
        <v>175973.0</v>
      </c>
      <c r="Q2239" s="1">
        <v>12293.0</v>
      </c>
      <c r="R2239" s="1">
        <v>3875.0</v>
      </c>
      <c r="S2239" s="1">
        <v>3531.0</v>
      </c>
      <c r="T2239" s="1" t="s">
        <v>3746</v>
      </c>
      <c r="U2239" s="1" t="s">
        <v>320</v>
      </c>
      <c r="V2239" s="1" t="s">
        <v>190</v>
      </c>
      <c r="W2239" s="1">
        <v>60624.0</v>
      </c>
      <c r="Y2239" s="1" t="s">
        <v>20757</v>
      </c>
      <c r="Z2239" s="1">
        <v>2005.0</v>
      </c>
      <c r="AA2239" s="1" t="s">
        <v>200</v>
      </c>
      <c r="AB2239" s="1" t="s">
        <v>193</v>
      </c>
      <c r="AC2239" s="1" t="s">
        <v>20758</v>
      </c>
      <c r="AD2239" s="1" t="s">
        <v>194</v>
      </c>
      <c r="AE2239" s="1" t="s">
        <v>195</v>
      </c>
      <c r="AF2239" s="1" t="s">
        <v>2645</v>
      </c>
      <c r="AH2239" s="1" t="s">
        <v>20759</v>
      </c>
      <c r="AK2239" s="1">
        <v>7.0</v>
      </c>
      <c r="AL2239" s="1">
        <v>3.0</v>
      </c>
      <c r="AM2239" s="1">
        <v>3.0</v>
      </c>
      <c r="AN2239" s="1">
        <v>1.0</v>
      </c>
      <c r="AO2239" s="1" t="s">
        <v>198</v>
      </c>
      <c r="AQ2239" s="1" t="s">
        <v>472</v>
      </c>
      <c r="AR2239" s="1" t="s">
        <v>192</v>
      </c>
      <c r="AS2239" s="1" t="s">
        <v>510</v>
      </c>
      <c r="AT2239" s="1">
        <v>1.0</v>
      </c>
      <c r="AU2239" s="1">
        <v>2.0</v>
      </c>
      <c r="AV2239" s="1" t="s">
        <v>200</v>
      </c>
      <c r="AW2239" s="1">
        <v>3927.0</v>
      </c>
      <c r="AX2239" s="1">
        <v>2013.0</v>
      </c>
      <c r="AY2239" s="1" t="s">
        <v>387</v>
      </c>
      <c r="AZ2239" s="1" t="s">
        <v>545</v>
      </c>
      <c r="BA2239" s="1" t="str">
        <f>"16144120150000"</f>
        <v>16144120150000</v>
      </c>
      <c r="BB2239" s="1" t="s">
        <v>200</v>
      </c>
      <c r="BC2239" s="1">
        <v>0.0</v>
      </c>
      <c r="BD2239" s="1">
        <v>150000.0</v>
      </c>
      <c r="BE2239" s="2">
        <v>41929.0</v>
      </c>
      <c r="BF2239" s="2" t="s">
        <v>20760</v>
      </c>
      <c r="BH2239" s="1">
        <v>135.0</v>
      </c>
      <c r="BK2239" s="1" t="s">
        <v>204</v>
      </c>
      <c r="BL2239" s="1" t="str">
        <f t="shared" si="1465"/>
        <v>0</v>
      </c>
      <c r="BM2239" s="1" t="str">
        <f t="shared" ref="BM2239:BM2240" si="1466">"0"</f>
        <v>0</v>
      </c>
      <c r="BN2239" s="1">
        <v>3400.0</v>
      </c>
      <c r="BO2239" s="1">
        <v>900.0</v>
      </c>
      <c r="BQ2239" s="1">
        <v>299.0</v>
      </c>
      <c r="BR2239" s="1">
        <v>299.0</v>
      </c>
      <c r="BS2239" s="1">
        <v>299.0</v>
      </c>
      <c r="BU2239" s="1" t="s">
        <v>361</v>
      </c>
      <c r="BV2239" s="1" t="s">
        <v>206</v>
      </c>
      <c r="BW2239" s="1" t="s">
        <v>207</v>
      </c>
      <c r="BY2239" s="1" t="s">
        <v>215</v>
      </c>
      <c r="BZ2239" s="1" t="s">
        <v>391</v>
      </c>
      <c r="CA2239" s="1" t="s">
        <v>210</v>
      </c>
      <c r="CC2239" s="1" t="s">
        <v>1796</v>
      </c>
      <c r="CD2239" s="1" t="s">
        <v>209</v>
      </c>
      <c r="CE2239" s="1" t="s">
        <v>207</v>
      </c>
      <c r="CG2239" s="1" t="s">
        <v>212</v>
      </c>
      <c r="CH2239" s="1" t="s">
        <v>209</v>
      </c>
      <c r="CI2239" s="1" t="s">
        <v>210</v>
      </c>
      <c r="CK2239" s="1" t="s">
        <v>264</v>
      </c>
      <c r="CL2239" s="1" t="s">
        <v>209</v>
      </c>
      <c r="CM2239" s="1" t="s">
        <v>210</v>
      </c>
      <c r="CO2239" s="1" t="s">
        <v>454</v>
      </c>
      <c r="CP2239" s="1" t="s">
        <v>42</v>
      </c>
      <c r="CQ2239" s="1" t="s">
        <v>210</v>
      </c>
      <c r="CS2239" s="1" t="s">
        <v>515</v>
      </c>
      <c r="CT2239" s="1" t="s">
        <v>209</v>
      </c>
      <c r="CU2239" s="1" t="s">
        <v>207</v>
      </c>
      <c r="CX2239" s="1" t="s">
        <v>204</v>
      </c>
      <c r="DA2239" s="1" t="s">
        <v>200</v>
      </c>
      <c r="DC2239" s="1" t="s">
        <v>481</v>
      </c>
      <c r="DD2239" s="1" t="s">
        <v>272</v>
      </c>
      <c r="DE2239" s="1" t="s">
        <v>273</v>
      </c>
      <c r="DF2239" s="1" t="s">
        <v>219</v>
      </c>
      <c r="DH2239" s="1" t="s">
        <v>307</v>
      </c>
      <c r="DI2239" s="1" t="s">
        <v>308</v>
      </c>
      <c r="DJ2239" s="1" t="s">
        <v>222</v>
      </c>
      <c r="DL2239" s="1" t="s">
        <v>224</v>
      </c>
      <c r="DM2239" s="1" t="s">
        <v>229</v>
      </c>
      <c r="DN2239" s="1" t="s">
        <v>339</v>
      </c>
      <c r="DO2239" s="1" t="s">
        <v>549</v>
      </c>
      <c r="DP2239" s="1" t="s">
        <v>276</v>
      </c>
      <c r="DQ2239" s="1" t="s">
        <v>228</v>
      </c>
      <c r="DR2239" s="1" t="s">
        <v>20761</v>
      </c>
      <c r="DS2239" s="1" t="s">
        <v>401</v>
      </c>
      <c r="DV2239" s="1" t="s">
        <v>232</v>
      </c>
      <c r="DW2239" s="1" t="s">
        <v>279</v>
      </c>
      <c r="DX2239" s="1" t="s">
        <v>280</v>
      </c>
      <c r="DY2239" s="1" t="s">
        <v>235</v>
      </c>
      <c r="EC2239" s="1" t="s">
        <v>237</v>
      </c>
      <c r="EF2239" s="1" t="s">
        <v>834</v>
      </c>
      <c r="EM2239" s="1" t="s">
        <v>238</v>
      </c>
      <c r="EQ2239" s="1" t="s">
        <v>238</v>
      </c>
      <c r="EU2239" s="1" t="s">
        <v>238</v>
      </c>
      <c r="EY2239" s="1" t="s">
        <v>238</v>
      </c>
      <c r="FC2239" s="1" t="s">
        <v>238</v>
      </c>
      <c r="FF2239" s="1" t="s">
        <v>239</v>
      </c>
      <c r="FG2239" s="1" t="s">
        <v>192</v>
      </c>
      <c r="FH2239" s="1" t="s">
        <v>192</v>
      </c>
      <c r="FJ2239" s="1" t="s">
        <v>799</v>
      </c>
      <c r="FK2239" s="1" t="s">
        <v>1586</v>
      </c>
      <c r="FL2239" s="1" t="s">
        <v>20762</v>
      </c>
      <c r="FM2239" s="1">
        <v>84792.0</v>
      </c>
      <c r="FN2239" s="1" t="s">
        <v>20763</v>
      </c>
      <c r="FO2239" s="1" t="s">
        <v>13443</v>
      </c>
      <c r="FP2239" s="1">
        <v>118234.0</v>
      </c>
      <c r="FQ2239" s="1" t="s">
        <v>13442</v>
      </c>
      <c r="FU2239" s="1" t="s">
        <v>20764</v>
      </c>
      <c r="FV2239" s="1" t="s">
        <v>200</v>
      </c>
      <c r="FW2239" s="1" t="s">
        <v>290</v>
      </c>
      <c r="FX2239" s="1" t="s">
        <v>246</v>
      </c>
      <c r="FZ2239" s="1" t="s">
        <v>229</v>
      </c>
      <c r="GA2239" s="1" t="s">
        <v>291</v>
      </c>
      <c r="GB2239" s="2">
        <v>42052.0</v>
      </c>
      <c r="GC2239" s="1" t="s">
        <v>20765</v>
      </c>
    </row>
    <row r="2240">
      <c r="A2240" s="1">
        <v>425000.0</v>
      </c>
      <c r="B2240" s="1" t="s">
        <v>185</v>
      </c>
      <c r="C2240" s="1" t="str">
        <f>"08745680"</f>
        <v>08745680</v>
      </c>
      <c r="D2240" s="1" t="s">
        <v>186</v>
      </c>
      <c r="F2240" s="1" t="str">
        <f>"10"</f>
        <v>10</v>
      </c>
      <c r="G2240" s="2">
        <v>41918.0</v>
      </c>
      <c r="H2240" s="1">
        <v>450000.0</v>
      </c>
      <c r="I2240" s="1">
        <v>145.0</v>
      </c>
      <c r="J2240" s="1">
        <v>450000.0</v>
      </c>
      <c r="K2240" s="2">
        <v>41974.0</v>
      </c>
      <c r="L2240" s="1">
        <v>57.0</v>
      </c>
      <c r="M2240" s="2">
        <v>41974.0</v>
      </c>
      <c r="N2240" s="1" t="s">
        <v>187</v>
      </c>
      <c r="O2240" s="2">
        <v>42025.0</v>
      </c>
      <c r="P2240" s="1">
        <v>239288.0</v>
      </c>
      <c r="Q2240" s="1">
        <v>25718.0</v>
      </c>
      <c r="S2240" s="1">
        <v>465.0</v>
      </c>
      <c r="T2240" s="1" t="s">
        <v>20766</v>
      </c>
      <c r="U2240" s="1" t="s">
        <v>569</v>
      </c>
      <c r="V2240" s="1" t="s">
        <v>11508</v>
      </c>
      <c r="W2240" s="1">
        <v>60010.0</v>
      </c>
      <c r="Y2240" s="1" t="s">
        <v>20767</v>
      </c>
      <c r="Z2240" s="1">
        <v>1957.0</v>
      </c>
      <c r="AA2240" s="1" t="s">
        <v>192</v>
      </c>
      <c r="AB2240" s="1" t="s">
        <v>193</v>
      </c>
      <c r="AC2240" s="1" t="s">
        <v>20768</v>
      </c>
      <c r="AD2240" s="1" t="s">
        <v>1089</v>
      </c>
      <c r="AE2240" s="1" t="s">
        <v>917</v>
      </c>
      <c r="AF2240" s="1" t="s">
        <v>2008</v>
      </c>
      <c r="AH2240" s="1" t="s">
        <v>20769</v>
      </c>
      <c r="AI2240" s="1">
        <v>3.5165</v>
      </c>
      <c r="AK2240" s="1">
        <v>8.0</v>
      </c>
      <c r="AL2240" s="1">
        <v>4.0</v>
      </c>
      <c r="AM2240" s="1">
        <v>2.0</v>
      </c>
      <c r="AN2240" s="1">
        <v>1.0</v>
      </c>
      <c r="AO2240" s="1" t="s">
        <v>229</v>
      </c>
      <c r="AP2240" s="1">
        <v>1.0</v>
      </c>
      <c r="AQ2240" s="1" t="s">
        <v>1314</v>
      </c>
      <c r="AR2240" s="1" t="s">
        <v>200</v>
      </c>
      <c r="AS2240" s="1" t="s">
        <v>199</v>
      </c>
      <c r="AT2240" s="1">
        <v>2.0</v>
      </c>
      <c r="AV2240" s="1" t="s">
        <v>200</v>
      </c>
      <c r="AW2240" s="1">
        <v>9070.0</v>
      </c>
      <c r="AX2240" s="1">
        <v>2012.0</v>
      </c>
      <c r="AY2240" s="1" t="s">
        <v>229</v>
      </c>
      <c r="AZ2240" s="1" t="s">
        <v>200</v>
      </c>
      <c r="BA2240" s="1" t="str">
        <f>"13012030120000"</f>
        <v>13012030120000</v>
      </c>
      <c r="BC2240" s="1">
        <v>0.0</v>
      </c>
      <c r="BD2240" s="1">
        <v>425000.0</v>
      </c>
      <c r="BE2240" s="2">
        <v>41918.0</v>
      </c>
      <c r="BF2240" s="2" t="s">
        <v>20770</v>
      </c>
      <c r="BG2240" s="1" t="s">
        <v>2011</v>
      </c>
      <c r="BH2240" s="1">
        <v>280.0</v>
      </c>
      <c r="BI2240" s="1" t="s">
        <v>2012</v>
      </c>
      <c r="BJ2240" s="1" t="s">
        <v>20771</v>
      </c>
      <c r="BK2240" s="1" t="s">
        <v>580</v>
      </c>
      <c r="BL2240" s="1" t="str">
        <f>"25"</f>
        <v>25</v>
      </c>
      <c r="BM2240" s="1" t="str">
        <f t="shared" si="1466"/>
        <v>0</v>
      </c>
      <c r="BN2240" s="1">
        <v>25.0</v>
      </c>
      <c r="BO2240" s="1">
        <v>0.0</v>
      </c>
      <c r="BQ2240" s="1">
        <v>220.0</v>
      </c>
      <c r="BR2240" s="1">
        <v>220.0</v>
      </c>
      <c r="BS2240" s="1">
        <v>220.0</v>
      </c>
      <c r="BU2240" s="1" t="s">
        <v>1518</v>
      </c>
      <c r="BV2240" s="1" t="s">
        <v>206</v>
      </c>
      <c r="BW2240" s="1" t="s">
        <v>207</v>
      </c>
      <c r="BX2240" s="1" t="s">
        <v>229</v>
      </c>
      <c r="BY2240" s="1" t="s">
        <v>1068</v>
      </c>
      <c r="BZ2240" s="1" t="s">
        <v>209</v>
      </c>
      <c r="CA2240" s="1" t="s">
        <v>207</v>
      </c>
      <c r="CB2240" s="1" t="s">
        <v>229</v>
      </c>
      <c r="CC2240" s="1" t="s">
        <v>2082</v>
      </c>
      <c r="CD2240" s="1" t="s">
        <v>206</v>
      </c>
      <c r="CE2240" s="1" t="s">
        <v>207</v>
      </c>
      <c r="CF2240" s="1" t="s">
        <v>229</v>
      </c>
      <c r="CG2240" s="1" t="s">
        <v>1417</v>
      </c>
      <c r="CH2240" s="1" t="s">
        <v>209</v>
      </c>
      <c r="CI2240" s="1" t="s">
        <v>207</v>
      </c>
      <c r="CK2240" s="1" t="s">
        <v>1190</v>
      </c>
      <c r="CL2240" s="1" t="s">
        <v>267</v>
      </c>
      <c r="CM2240" s="1" t="s">
        <v>210</v>
      </c>
      <c r="CN2240" s="1" t="s">
        <v>1549</v>
      </c>
      <c r="CO2240" s="1" t="s">
        <v>362</v>
      </c>
      <c r="CP2240" s="1" t="s">
        <v>267</v>
      </c>
      <c r="CQ2240" s="1" t="s">
        <v>210</v>
      </c>
      <c r="CS2240" s="1" t="s">
        <v>1316</v>
      </c>
      <c r="CT2240" s="1" t="s">
        <v>206</v>
      </c>
      <c r="CU2240" s="1" t="s">
        <v>207</v>
      </c>
      <c r="CV2240" s="1" t="s">
        <v>229</v>
      </c>
      <c r="CX2240" s="1" t="s">
        <v>204</v>
      </c>
      <c r="DA2240" s="1" t="s">
        <v>200</v>
      </c>
      <c r="DC2240" s="1" t="s">
        <v>271</v>
      </c>
      <c r="DD2240" s="1" t="s">
        <v>731</v>
      </c>
      <c r="DE2240" s="1" t="s">
        <v>273</v>
      </c>
      <c r="DF2240" s="1" t="s">
        <v>219</v>
      </c>
      <c r="DG2240" s="1" t="s">
        <v>20772</v>
      </c>
      <c r="DH2240" s="1" t="s">
        <v>856</v>
      </c>
      <c r="DI2240" s="1" t="s">
        <v>703</v>
      </c>
      <c r="DJ2240" s="1" t="s">
        <v>857</v>
      </c>
      <c r="DL2240" s="1" t="s">
        <v>438</v>
      </c>
      <c r="DM2240" s="1" t="s">
        <v>338</v>
      </c>
      <c r="DN2240" s="1" t="s">
        <v>666</v>
      </c>
      <c r="DO2240" s="1" t="s">
        <v>20773</v>
      </c>
      <c r="DP2240" s="1" t="s">
        <v>276</v>
      </c>
      <c r="DQ2240" s="1" t="s">
        <v>4389</v>
      </c>
      <c r="DR2240" s="1" t="s">
        <v>12989</v>
      </c>
      <c r="DU2240" s="1" t="s">
        <v>20774</v>
      </c>
      <c r="DV2240" s="1" t="s">
        <v>20775</v>
      </c>
      <c r="DW2240" s="1" t="s">
        <v>279</v>
      </c>
      <c r="DX2240" s="1" t="s">
        <v>234</v>
      </c>
      <c r="DY2240" s="1" t="s">
        <v>935</v>
      </c>
      <c r="DZ2240" s="1" t="s">
        <v>20776</v>
      </c>
      <c r="EA2240" s="1" t="s">
        <v>1027</v>
      </c>
      <c r="EB2240" s="1" t="s">
        <v>345</v>
      </c>
      <c r="EC2240" s="1" t="s">
        <v>4035</v>
      </c>
      <c r="ED2240" s="1" t="s">
        <v>1761</v>
      </c>
      <c r="EG2240" s="1" t="s">
        <v>1028</v>
      </c>
      <c r="EH2240" s="1" t="s">
        <v>1270</v>
      </c>
      <c r="EI2240" s="1" t="s">
        <v>1103</v>
      </c>
      <c r="EJ2240" s="1" t="s">
        <v>310</v>
      </c>
      <c r="EK2240" s="1" t="s">
        <v>5618</v>
      </c>
      <c r="EL2240" s="1" t="s">
        <v>1426</v>
      </c>
      <c r="EM2240" s="1" t="s">
        <v>206</v>
      </c>
      <c r="EN2240" s="1" t="s">
        <v>207</v>
      </c>
      <c r="EP2240" s="1" t="s">
        <v>543</v>
      </c>
      <c r="EQ2240" s="1" t="s">
        <v>42</v>
      </c>
      <c r="ER2240" s="1" t="s">
        <v>588</v>
      </c>
      <c r="ET2240" s="1" t="s">
        <v>1874</v>
      </c>
      <c r="EU2240" s="1" t="s">
        <v>267</v>
      </c>
      <c r="EV2240" s="1" t="s">
        <v>588</v>
      </c>
      <c r="EX2240" s="1" t="s">
        <v>641</v>
      </c>
      <c r="EY2240" s="1" t="s">
        <v>206</v>
      </c>
      <c r="EZ2240" s="1" t="s">
        <v>207</v>
      </c>
      <c r="FB2240" s="1" t="s">
        <v>361</v>
      </c>
      <c r="FC2240" s="1" t="s">
        <v>267</v>
      </c>
      <c r="FD2240" s="1" t="s">
        <v>2128</v>
      </c>
      <c r="FF2240" s="1" t="s">
        <v>239</v>
      </c>
      <c r="FG2240" s="1" t="s">
        <v>192</v>
      </c>
      <c r="FH2240" s="1" t="s">
        <v>192</v>
      </c>
      <c r="FJ2240" s="1" t="s">
        <v>2262</v>
      </c>
      <c r="FK2240" s="1" t="s">
        <v>229</v>
      </c>
      <c r="FL2240" s="1" t="s">
        <v>456</v>
      </c>
      <c r="FM2240" s="1">
        <v>6026.0</v>
      </c>
      <c r="FN2240" s="1" t="s">
        <v>3545</v>
      </c>
      <c r="FO2240" s="1" t="s">
        <v>20777</v>
      </c>
      <c r="FP2240" s="1">
        <v>62790.0</v>
      </c>
      <c r="FQ2240" s="1" t="s">
        <v>20778</v>
      </c>
      <c r="FS2240" s="1" t="s">
        <v>20779</v>
      </c>
      <c r="FU2240" s="1" t="s">
        <v>20780</v>
      </c>
      <c r="FV2240" s="1" t="s">
        <v>200</v>
      </c>
      <c r="FW2240" s="1" t="s">
        <v>290</v>
      </c>
      <c r="FX2240" s="1" t="s">
        <v>1739</v>
      </c>
      <c r="FZ2240" s="1" t="s">
        <v>229</v>
      </c>
      <c r="GA2240" s="1" t="s">
        <v>291</v>
      </c>
      <c r="GB2240" s="2">
        <v>42026.0</v>
      </c>
      <c r="GC2240" s="1" t="s">
        <v>20781</v>
      </c>
    </row>
    <row r="2241">
      <c r="A2241" s="1">
        <v>212000.0</v>
      </c>
      <c r="B2241" s="1" t="s">
        <v>185</v>
      </c>
      <c r="C2241" s="1" t="str">
        <f>"08739202"</f>
        <v>08739202</v>
      </c>
      <c r="D2241" s="1" t="s">
        <v>186</v>
      </c>
      <c r="F2241" s="1" t="str">
        <f>"140"</f>
        <v>140</v>
      </c>
      <c r="G2241" s="2">
        <v>41908.0</v>
      </c>
      <c r="H2241" s="1">
        <v>249900.0</v>
      </c>
      <c r="I2241" s="1">
        <v>152.0</v>
      </c>
      <c r="J2241" s="1">
        <v>200000.0</v>
      </c>
      <c r="K2241" s="2">
        <v>41981.0</v>
      </c>
      <c r="L2241" s="1">
        <v>74.0</v>
      </c>
      <c r="M2241" s="2">
        <v>41981.0</v>
      </c>
      <c r="N2241" s="1" t="s">
        <v>187</v>
      </c>
      <c r="O2241" s="2">
        <v>42069.0</v>
      </c>
      <c r="P2241" s="1">
        <v>7968.0</v>
      </c>
      <c r="Q2241" s="1">
        <v>372.0</v>
      </c>
      <c r="S2241" s="1">
        <v>324.0</v>
      </c>
      <c r="T2241" s="1" t="s">
        <v>20782</v>
      </c>
      <c r="U2241" s="1" t="s">
        <v>569</v>
      </c>
      <c r="V2241" s="1" t="s">
        <v>321</v>
      </c>
      <c r="W2241" s="1">
        <v>60140.0</v>
      </c>
      <c r="Y2241" s="1" t="s">
        <v>20783</v>
      </c>
      <c r="Z2241" s="1">
        <v>2002.0</v>
      </c>
      <c r="AA2241" s="1" t="s">
        <v>200</v>
      </c>
      <c r="AB2241" s="1" t="s">
        <v>193</v>
      </c>
      <c r="AC2241" s="1" t="s">
        <v>20784</v>
      </c>
      <c r="AD2241" s="1" t="s">
        <v>324</v>
      </c>
      <c r="AE2241" s="1" t="s">
        <v>325</v>
      </c>
      <c r="AF2241" s="1" t="s">
        <v>324</v>
      </c>
      <c r="AH2241" s="1" t="s">
        <v>20785</v>
      </c>
      <c r="AI2241" s="1">
        <v>0.3273</v>
      </c>
      <c r="AK2241" s="1">
        <v>9.0</v>
      </c>
      <c r="AL2241" s="1">
        <v>4.0</v>
      </c>
      <c r="AM2241" s="1">
        <v>2.0</v>
      </c>
      <c r="AN2241" s="1">
        <v>1.0</v>
      </c>
      <c r="AO2241" s="1" t="s">
        <v>198</v>
      </c>
      <c r="AP2241" s="1">
        <v>1.0</v>
      </c>
      <c r="AQ2241" s="1" t="s">
        <v>198</v>
      </c>
      <c r="AR2241" s="1" t="s">
        <v>200</v>
      </c>
      <c r="AS2241" s="1" t="s">
        <v>510</v>
      </c>
      <c r="AT2241" s="1">
        <v>3.0</v>
      </c>
      <c r="AU2241" s="1">
        <v>5.0</v>
      </c>
      <c r="AV2241" s="1" t="s">
        <v>200</v>
      </c>
      <c r="AW2241" s="1">
        <v>6001.0</v>
      </c>
      <c r="AX2241" s="1">
        <v>2013.0</v>
      </c>
      <c r="AY2241" s="1" t="s">
        <v>387</v>
      </c>
      <c r="AZ2241" s="1" t="s">
        <v>200</v>
      </c>
      <c r="BA2241" s="1" t="str">
        <f>"0122478026"</f>
        <v>0122478026</v>
      </c>
      <c r="BB2241" s="1" t="s">
        <v>200</v>
      </c>
      <c r="BC2241" s="1">
        <v>2564.0</v>
      </c>
      <c r="BD2241" s="1">
        <v>212000.0</v>
      </c>
      <c r="BE2241" s="2">
        <v>41908.0</v>
      </c>
      <c r="BF2241" s="2" t="s">
        <v>20786</v>
      </c>
      <c r="BH2241" s="1">
        <v>0.0</v>
      </c>
      <c r="BK2241" s="1" t="s">
        <v>204</v>
      </c>
      <c r="BL2241" s="1" t="str">
        <f t="shared" ref="BL2241:BM2241" si="1467">""</f>
        <v/>
      </c>
      <c r="BM2241" s="1" t="str">
        <f t="shared" si="1467"/>
        <v/>
      </c>
      <c r="BQ2241" s="1">
        <v>300.0</v>
      </c>
      <c r="BR2241" s="1">
        <v>300.0</v>
      </c>
      <c r="BS2241" s="1">
        <v>300.0</v>
      </c>
      <c r="BU2241" s="1" t="s">
        <v>877</v>
      </c>
      <c r="BV2241" s="1" t="s">
        <v>206</v>
      </c>
      <c r="BW2241" s="1" t="s">
        <v>207</v>
      </c>
      <c r="BX2241" s="1" t="s">
        <v>239</v>
      </c>
      <c r="BY2241" s="1" t="s">
        <v>1492</v>
      </c>
      <c r="BZ2241" s="1" t="s">
        <v>209</v>
      </c>
      <c r="CA2241" s="1" t="s">
        <v>210</v>
      </c>
      <c r="CB2241" s="1" t="s">
        <v>239</v>
      </c>
      <c r="CC2241" s="1" t="s">
        <v>542</v>
      </c>
      <c r="CD2241" s="1" t="s">
        <v>206</v>
      </c>
      <c r="CE2241" s="1" t="s">
        <v>207</v>
      </c>
      <c r="CF2241" s="1" t="s">
        <v>239</v>
      </c>
      <c r="CG2241" s="1" t="s">
        <v>1567</v>
      </c>
      <c r="CH2241" s="1" t="s">
        <v>209</v>
      </c>
      <c r="CI2241" s="1" t="s">
        <v>210</v>
      </c>
      <c r="CJ2241" s="1" t="s">
        <v>239</v>
      </c>
      <c r="CK2241" s="1" t="s">
        <v>215</v>
      </c>
      <c r="CL2241" s="1" t="s">
        <v>209</v>
      </c>
      <c r="CM2241" s="1" t="s">
        <v>210</v>
      </c>
      <c r="CN2241" s="1" t="s">
        <v>239</v>
      </c>
      <c r="CO2241" s="1" t="s">
        <v>215</v>
      </c>
      <c r="CP2241" s="1" t="s">
        <v>209</v>
      </c>
      <c r="CQ2241" s="1" t="s">
        <v>210</v>
      </c>
      <c r="CR2241" s="1" t="s">
        <v>239</v>
      </c>
      <c r="CS2241" s="1" t="s">
        <v>1397</v>
      </c>
      <c r="CT2241" s="1" t="s">
        <v>206</v>
      </c>
      <c r="CU2241" s="1" t="s">
        <v>617</v>
      </c>
      <c r="CV2241" s="1" t="s">
        <v>239</v>
      </c>
      <c r="CW2241" s="1" t="s">
        <v>364</v>
      </c>
      <c r="CX2241" s="1" t="s">
        <v>206</v>
      </c>
      <c r="CY2241" s="1" t="s">
        <v>207</v>
      </c>
      <c r="CZ2241" s="1" t="s">
        <v>239</v>
      </c>
      <c r="DA2241" s="1" t="s">
        <v>200</v>
      </c>
      <c r="DC2241" s="1" t="s">
        <v>335</v>
      </c>
      <c r="DD2241" s="1" t="s">
        <v>336</v>
      </c>
      <c r="DE2241" s="1" t="s">
        <v>273</v>
      </c>
      <c r="DF2241" s="1" t="s">
        <v>219</v>
      </c>
      <c r="DG2241" s="1" t="s">
        <v>337</v>
      </c>
      <c r="DH2241" s="1" t="s">
        <v>220</v>
      </c>
      <c r="DI2241" s="1" t="s">
        <v>221</v>
      </c>
      <c r="DJ2241" s="1" t="s">
        <v>1048</v>
      </c>
      <c r="DK2241" s="1" t="s">
        <v>223</v>
      </c>
      <c r="DL2241" s="1" t="s">
        <v>223</v>
      </c>
      <c r="DM2241" s="1" t="s">
        <v>338</v>
      </c>
      <c r="DO2241" s="1" t="s">
        <v>590</v>
      </c>
      <c r="DP2241" s="1" t="s">
        <v>276</v>
      </c>
      <c r="DQ2241" s="1" t="s">
        <v>441</v>
      </c>
      <c r="DR2241" s="1" t="s">
        <v>229</v>
      </c>
      <c r="DS2241" s="1" t="s">
        <v>368</v>
      </c>
      <c r="DU2241" s="1" t="s">
        <v>487</v>
      </c>
      <c r="DV2241" s="1" t="s">
        <v>449</v>
      </c>
      <c r="DW2241" s="1" t="s">
        <v>233</v>
      </c>
      <c r="DX2241" s="1" t="s">
        <v>234</v>
      </c>
      <c r="DY2241" s="1" t="s">
        <v>704</v>
      </c>
      <c r="DZ2241" s="1" t="s">
        <v>20787</v>
      </c>
      <c r="EA2241" s="1" t="s">
        <v>344</v>
      </c>
      <c r="EC2241" s="1" t="s">
        <v>237</v>
      </c>
      <c r="ED2241" s="1" t="s">
        <v>407</v>
      </c>
      <c r="EE2241" s="1" t="s">
        <v>493</v>
      </c>
      <c r="EF2241" s="1" t="s">
        <v>5154</v>
      </c>
      <c r="EG2241" s="1" t="s">
        <v>449</v>
      </c>
      <c r="EL2241" s="1" t="s">
        <v>363</v>
      </c>
      <c r="EM2241" s="1" t="s">
        <v>206</v>
      </c>
      <c r="EN2241" s="1" t="s">
        <v>617</v>
      </c>
      <c r="EO2241" s="1" t="s">
        <v>239</v>
      </c>
      <c r="EQ2241" s="1" t="s">
        <v>238</v>
      </c>
      <c r="EU2241" s="1" t="s">
        <v>238</v>
      </c>
      <c r="EY2241" s="1" t="s">
        <v>238</v>
      </c>
      <c r="FC2241" s="1" t="s">
        <v>238</v>
      </c>
      <c r="FF2241" s="1" t="s">
        <v>239</v>
      </c>
      <c r="FG2241" s="1" t="s">
        <v>192</v>
      </c>
      <c r="FH2241" s="1" t="s">
        <v>192</v>
      </c>
      <c r="FJ2241" s="1" t="s">
        <v>2206</v>
      </c>
      <c r="FK2241" s="1" t="s">
        <v>1586</v>
      </c>
      <c r="FL2241" s="1" t="s">
        <v>20788</v>
      </c>
      <c r="FM2241" s="1">
        <v>5115.0</v>
      </c>
      <c r="FN2241" s="1" t="s">
        <v>20789</v>
      </c>
      <c r="FO2241" s="1" t="s">
        <v>20790</v>
      </c>
      <c r="FP2241" s="1">
        <v>53605.0</v>
      </c>
      <c r="FQ2241" s="1" t="s">
        <v>20791</v>
      </c>
      <c r="FS2241" s="1" t="s">
        <v>10892</v>
      </c>
      <c r="FU2241" s="1" t="s">
        <v>3678</v>
      </c>
      <c r="FV2241" s="1" t="s">
        <v>200</v>
      </c>
      <c r="FW2241" s="1" t="s">
        <v>1293</v>
      </c>
      <c r="FZ2241" s="1" t="s">
        <v>229</v>
      </c>
      <c r="GA2241" s="1" t="s">
        <v>291</v>
      </c>
      <c r="GB2241" s="2">
        <v>42069.0</v>
      </c>
      <c r="GC2241" s="1" t="s">
        <v>20792</v>
      </c>
    </row>
    <row r="2242">
      <c r="A2242" s="1">
        <v>379000.0</v>
      </c>
      <c r="B2242" s="1" t="s">
        <v>185</v>
      </c>
      <c r="C2242" s="1" t="str">
        <f>"08739935"</f>
        <v>08739935</v>
      </c>
      <c r="D2242" s="1" t="s">
        <v>186</v>
      </c>
      <c r="F2242" s="1" t="str">
        <f>"10"</f>
        <v>10</v>
      </c>
      <c r="G2242" s="2">
        <v>41911.0</v>
      </c>
      <c r="H2242" s="1">
        <v>400000.0</v>
      </c>
      <c r="I2242" s="1">
        <v>104.0</v>
      </c>
      <c r="J2242" s="1">
        <v>350000.0</v>
      </c>
      <c r="K2242" s="2">
        <v>41988.0</v>
      </c>
      <c r="L2242" s="1">
        <v>104.0</v>
      </c>
      <c r="M2242" s="2">
        <v>41988.0</v>
      </c>
      <c r="N2242" s="1" t="s">
        <v>249</v>
      </c>
      <c r="O2242" s="2">
        <v>42111.0</v>
      </c>
      <c r="P2242" s="1">
        <v>226228.0</v>
      </c>
      <c r="Q2242" s="1">
        <v>61153.0</v>
      </c>
      <c r="S2242" s="1">
        <v>104.0</v>
      </c>
      <c r="T2242" s="1" t="s">
        <v>20793</v>
      </c>
      <c r="U2242" s="1" t="s">
        <v>4857</v>
      </c>
      <c r="V2242" s="1" t="s">
        <v>1706</v>
      </c>
      <c r="W2242" s="1">
        <v>60010.0</v>
      </c>
      <c r="Y2242" s="1" t="s">
        <v>20794</v>
      </c>
      <c r="Z2242" s="1">
        <v>1989.0</v>
      </c>
      <c r="AA2242" s="1" t="s">
        <v>200</v>
      </c>
      <c r="AB2242" s="1" t="s">
        <v>193</v>
      </c>
      <c r="AD2242" s="1" t="s">
        <v>1948</v>
      </c>
      <c r="AE2242" s="1" t="s">
        <v>195</v>
      </c>
      <c r="AF2242" s="1" t="s">
        <v>1708</v>
      </c>
      <c r="AH2242" s="1" t="s">
        <v>20795</v>
      </c>
      <c r="AI2242" s="1">
        <v>0.9624</v>
      </c>
      <c r="AK2242" s="1">
        <v>8.0</v>
      </c>
      <c r="AL2242" s="1">
        <v>4.0</v>
      </c>
      <c r="AM2242" s="1">
        <v>2.0</v>
      </c>
      <c r="AN2242" s="1">
        <v>1.0</v>
      </c>
      <c r="AO2242" s="1" t="s">
        <v>198</v>
      </c>
      <c r="AQ2242" s="1" t="s">
        <v>198</v>
      </c>
      <c r="AR2242" s="1" t="s">
        <v>200</v>
      </c>
      <c r="AS2242" s="1" t="s">
        <v>199</v>
      </c>
      <c r="AT2242" s="1">
        <v>3.0</v>
      </c>
      <c r="AV2242" s="1" t="s">
        <v>200</v>
      </c>
      <c r="AW2242" s="1">
        <v>12230.64</v>
      </c>
      <c r="AX2242" s="1">
        <v>2013.0</v>
      </c>
      <c r="AZ2242" s="1" t="s">
        <v>192</v>
      </c>
      <c r="BA2242" s="1" t="str">
        <f>"02041000430000"</f>
        <v>02041000430000</v>
      </c>
      <c r="BC2242" s="1">
        <v>3312.0</v>
      </c>
      <c r="BD2242" s="1">
        <v>379000.0</v>
      </c>
      <c r="BE2242" s="2">
        <v>41885.0</v>
      </c>
      <c r="BF2242" s="2" t="s">
        <v>20796</v>
      </c>
      <c r="BG2242" s="1" t="s">
        <v>2142</v>
      </c>
      <c r="BH2242" s="1">
        <v>500.0</v>
      </c>
      <c r="BI2242" s="1" t="s">
        <v>20797</v>
      </c>
      <c r="BJ2242" s="1" t="s">
        <v>20798</v>
      </c>
      <c r="BK2242" s="1" t="s">
        <v>580</v>
      </c>
      <c r="BL2242" s="1" t="str">
        <f t="shared" ref="BL2242:BM2242" si="1468">""</f>
        <v/>
      </c>
      <c r="BM2242" s="1" t="str">
        <f t="shared" si="1468"/>
        <v/>
      </c>
      <c r="BQ2242" s="1">
        <v>15.0</v>
      </c>
      <c r="BR2242" s="1">
        <v>211.0</v>
      </c>
      <c r="BS2242" s="1">
        <v>15.0</v>
      </c>
      <c r="BU2242" s="1" t="s">
        <v>392</v>
      </c>
      <c r="BV2242" s="1" t="s">
        <v>206</v>
      </c>
      <c r="BW2242" s="1" t="s">
        <v>210</v>
      </c>
      <c r="BY2242" s="1" t="s">
        <v>784</v>
      </c>
      <c r="BZ2242" s="1" t="s">
        <v>209</v>
      </c>
      <c r="CA2242" s="1" t="s">
        <v>210</v>
      </c>
      <c r="CC2242" s="1" t="s">
        <v>495</v>
      </c>
      <c r="CD2242" s="1" t="s">
        <v>206</v>
      </c>
      <c r="CE2242" s="1" t="s">
        <v>210</v>
      </c>
      <c r="CG2242" s="1" t="s">
        <v>331</v>
      </c>
      <c r="CH2242" s="1" t="s">
        <v>209</v>
      </c>
      <c r="CI2242" s="1" t="s">
        <v>210</v>
      </c>
      <c r="CK2242" s="1" t="s">
        <v>584</v>
      </c>
      <c r="CL2242" s="1" t="s">
        <v>209</v>
      </c>
      <c r="CM2242" s="1" t="s">
        <v>210</v>
      </c>
      <c r="CO2242" s="1" t="s">
        <v>699</v>
      </c>
      <c r="CP2242" s="1" t="s">
        <v>209</v>
      </c>
      <c r="CQ2242" s="1" t="s">
        <v>210</v>
      </c>
      <c r="CS2242" s="1" t="s">
        <v>1043</v>
      </c>
      <c r="CT2242" s="1" t="s">
        <v>206</v>
      </c>
      <c r="CU2242" s="1" t="s">
        <v>207</v>
      </c>
      <c r="CW2242" s="1" t="s">
        <v>2442</v>
      </c>
      <c r="CX2242" s="1" t="s">
        <v>206</v>
      </c>
      <c r="CY2242" s="1" t="s">
        <v>207</v>
      </c>
      <c r="DA2242" s="1" t="s">
        <v>200</v>
      </c>
      <c r="DC2242" s="1" t="s">
        <v>435</v>
      </c>
      <c r="DE2242" s="1" t="s">
        <v>273</v>
      </c>
      <c r="DF2242" s="1" t="s">
        <v>219</v>
      </c>
      <c r="DH2242" s="1" t="s">
        <v>20799</v>
      </c>
      <c r="DJ2242" s="1" t="s">
        <v>20800</v>
      </c>
      <c r="DL2242" s="1" t="s">
        <v>223</v>
      </c>
      <c r="DM2242" s="1" t="s">
        <v>229</v>
      </c>
      <c r="DQ2242" s="1" t="s">
        <v>1557</v>
      </c>
      <c r="DR2242" s="1" t="s">
        <v>229</v>
      </c>
      <c r="DV2242" s="1" t="s">
        <v>409</v>
      </c>
      <c r="DW2242" s="1" t="s">
        <v>2602</v>
      </c>
      <c r="DX2242" s="1" t="s">
        <v>234</v>
      </c>
      <c r="EC2242" s="1" t="s">
        <v>237</v>
      </c>
      <c r="EG2242" s="1" t="s">
        <v>409</v>
      </c>
      <c r="EL2242" s="1" t="s">
        <v>1519</v>
      </c>
      <c r="EM2242" s="1" t="s">
        <v>209</v>
      </c>
      <c r="EQ2242" s="1" t="s">
        <v>238</v>
      </c>
      <c r="EU2242" s="1" t="s">
        <v>238</v>
      </c>
      <c r="EY2242" s="1" t="s">
        <v>238</v>
      </c>
      <c r="FC2242" s="1" t="s">
        <v>238</v>
      </c>
      <c r="FF2242" s="1" t="s">
        <v>239</v>
      </c>
      <c r="FG2242" s="1" t="s">
        <v>192</v>
      </c>
      <c r="FH2242" s="1" t="s">
        <v>192</v>
      </c>
      <c r="FJ2242" s="1" t="s">
        <v>524</v>
      </c>
      <c r="FK2242" s="1" t="s">
        <v>1586</v>
      </c>
      <c r="FL2242" s="1" t="s">
        <v>771</v>
      </c>
      <c r="FM2242" s="1">
        <v>16636.0</v>
      </c>
      <c r="FN2242" s="1" t="s">
        <v>526</v>
      </c>
      <c r="FO2242" s="1" t="s">
        <v>9812</v>
      </c>
      <c r="FP2242" s="1">
        <v>168274.0</v>
      </c>
      <c r="FQ2242" s="1" t="s">
        <v>9813</v>
      </c>
      <c r="FU2242" s="1" t="s">
        <v>20801</v>
      </c>
      <c r="FV2242" s="1" t="s">
        <v>200</v>
      </c>
      <c r="FW2242" s="1" t="s">
        <v>654</v>
      </c>
      <c r="FZ2242" s="1" t="s">
        <v>229</v>
      </c>
      <c r="GA2242" s="1" t="s">
        <v>291</v>
      </c>
      <c r="GB2242" s="2">
        <v>42111.0</v>
      </c>
      <c r="GC2242" s="1" t="s">
        <v>17367</v>
      </c>
    </row>
    <row r="2243">
      <c r="A2243" s="1">
        <v>173000.0</v>
      </c>
      <c r="B2243" s="1" t="s">
        <v>185</v>
      </c>
      <c r="C2243" s="1" t="str">
        <f>"08740481"</f>
        <v>08740481</v>
      </c>
      <c r="D2243" s="1" t="s">
        <v>186</v>
      </c>
      <c r="F2243" s="1" t="str">
        <f>"115"</f>
        <v>115</v>
      </c>
      <c r="G2243" s="2">
        <v>41911.0</v>
      </c>
      <c r="H2243" s="1">
        <v>181500.0</v>
      </c>
      <c r="I2243" s="1">
        <v>8.0</v>
      </c>
      <c r="J2243" s="1">
        <v>181500.0</v>
      </c>
      <c r="K2243" s="2">
        <v>41918.0</v>
      </c>
      <c r="L2243" s="1">
        <v>8.0</v>
      </c>
      <c r="M2243" s="2">
        <v>41918.0</v>
      </c>
      <c r="N2243" s="1" t="s">
        <v>249</v>
      </c>
      <c r="O2243" s="2">
        <v>42010.0</v>
      </c>
      <c r="P2243" s="1">
        <v>63215.0</v>
      </c>
      <c r="Q2243" s="1">
        <v>6485.0</v>
      </c>
      <c r="S2243" s="1">
        <v>1289.0</v>
      </c>
      <c r="T2243" s="1" t="s">
        <v>16242</v>
      </c>
      <c r="U2243" s="1" t="s">
        <v>420</v>
      </c>
      <c r="V2243" s="1" t="s">
        <v>610</v>
      </c>
      <c r="W2243" s="1">
        <v>60115.0</v>
      </c>
      <c r="Y2243" s="1" t="s">
        <v>20802</v>
      </c>
      <c r="Z2243" s="1">
        <v>1997.0</v>
      </c>
      <c r="AA2243" s="1" t="s">
        <v>200</v>
      </c>
      <c r="AB2243" s="1" t="s">
        <v>193</v>
      </c>
      <c r="AC2243" s="1" t="s">
        <v>20803</v>
      </c>
      <c r="AD2243" s="1" t="s">
        <v>612</v>
      </c>
      <c r="AE2243" s="1" t="s">
        <v>613</v>
      </c>
      <c r="AF2243" s="1" t="s">
        <v>612</v>
      </c>
      <c r="AH2243" s="1" t="s">
        <v>20804</v>
      </c>
      <c r="AK2243" s="1">
        <v>8.0</v>
      </c>
      <c r="AL2243" s="1">
        <v>3.0</v>
      </c>
      <c r="AM2243" s="1">
        <v>2.0</v>
      </c>
      <c r="AN2243" s="1">
        <v>0.0</v>
      </c>
      <c r="AO2243" s="1" t="s">
        <v>198</v>
      </c>
      <c r="AQ2243" s="1" t="s">
        <v>198</v>
      </c>
      <c r="AR2243" s="1" t="s">
        <v>200</v>
      </c>
      <c r="AS2243" s="1" t="s">
        <v>199</v>
      </c>
      <c r="AT2243" s="1">
        <v>2.0</v>
      </c>
      <c r="AV2243" s="1" t="s">
        <v>200</v>
      </c>
      <c r="AW2243" s="1">
        <v>5724.0</v>
      </c>
      <c r="AX2243" s="1">
        <v>2013.0</v>
      </c>
      <c r="AY2243" s="1" t="s">
        <v>387</v>
      </c>
      <c r="AZ2243" s="1" t="s">
        <v>200</v>
      </c>
      <c r="BA2243" s="1" t="str">
        <f>"0821429007"</f>
        <v>0821429007</v>
      </c>
      <c r="BC2243" s="1">
        <v>1450.0</v>
      </c>
      <c r="BD2243" s="1">
        <v>173000.0</v>
      </c>
      <c r="BE2243" s="2">
        <v>41911.0</v>
      </c>
      <c r="BF2243" s="2" t="s">
        <v>20805</v>
      </c>
      <c r="BH2243" s="1">
        <v>0.0</v>
      </c>
      <c r="BK2243" s="1" t="s">
        <v>204</v>
      </c>
      <c r="BL2243" s="1" t="str">
        <f t="shared" ref="BL2243:BM2243" si="1469">""</f>
        <v/>
      </c>
      <c r="BM2243" s="1" t="str">
        <f t="shared" si="1469"/>
        <v/>
      </c>
      <c r="BQ2243" s="1">
        <v>428.0</v>
      </c>
      <c r="BR2243" s="1">
        <v>428.0</v>
      </c>
      <c r="BS2243" s="1">
        <v>428.0</v>
      </c>
      <c r="BU2243" s="1" t="s">
        <v>2900</v>
      </c>
      <c r="BV2243" s="1" t="s">
        <v>206</v>
      </c>
      <c r="BW2243" s="1" t="s">
        <v>210</v>
      </c>
      <c r="BX2243" s="1" t="s">
        <v>239</v>
      </c>
      <c r="BY2243" s="1" t="s">
        <v>830</v>
      </c>
      <c r="BZ2243" s="1" t="s">
        <v>206</v>
      </c>
      <c r="CA2243" s="1" t="s">
        <v>210</v>
      </c>
      <c r="CB2243" s="1" t="s">
        <v>239</v>
      </c>
      <c r="CD2243" s="1" t="s">
        <v>204</v>
      </c>
      <c r="CG2243" s="1" t="s">
        <v>302</v>
      </c>
      <c r="CH2243" s="1" t="s">
        <v>206</v>
      </c>
      <c r="CI2243" s="1" t="s">
        <v>210</v>
      </c>
      <c r="CJ2243" s="1" t="s">
        <v>239</v>
      </c>
      <c r="CK2243" s="1" t="s">
        <v>699</v>
      </c>
      <c r="CL2243" s="1" t="s">
        <v>206</v>
      </c>
      <c r="CM2243" s="1" t="s">
        <v>210</v>
      </c>
      <c r="CN2243" s="1" t="s">
        <v>239</v>
      </c>
      <c r="CO2243" s="1" t="s">
        <v>647</v>
      </c>
      <c r="CP2243" s="1" t="s">
        <v>42</v>
      </c>
      <c r="CQ2243" s="1" t="s">
        <v>210</v>
      </c>
      <c r="CS2243" s="1" t="s">
        <v>3539</v>
      </c>
      <c r="CT2243" s="1" t="s">
        <v>206</v>
      </c>
      <c r="CU2243" s="1" t="s">
        <v>268</v>
      </c>
      <c r="CV2243" s="1" t="s">
        <v>239</v>
      </c>
      <c r="CW2243" s="1" t="s">
        <v>2205</v>
      </c>
      <c r="CX2243" s="1" t="s">
        <v>42</v>
      </c>
      <c r="CY2243" s="1" t="s">
        <v>210</v>
      </c>
      <c r="DA2243" s="1" t="s">
        <v>200</v>
      </c>
      <c r="DC2243" s="1" t="s">
        <v>678</v>
      </c>
      <c r="DD2243" s="1" t="s">
        <v>436</v>
      </c>
      <c r="DE2243" s="1" t="s">
        <v>273</v>
      </c>
      <c r="DF2243" s="1" t="s">
        <v>219</v>
      </c>
      <c r="DH2243" s="1" t="s">
        <v>220</v>
      </c>
      <c r="DI2243" s="1" t="s">
        <v>732</v>
      </c>
      <c r="DJ2243" s="1" t="s">
        <v>222</v>
      </c>
      <c r="DL2243" s="1" t="s">
        <v>224</v>
      </c>
      <c r="DM2243" s="1" t="s">
        <v>338</v>
      </c>
      <c r="DO2243" s="1" t="s">
        <v>440</v>
      </c>
      <c r="DQ2243" s="1" t="s">
        <v>441</v>
      </c>
      <c r="DR2243" s="1" t="s">
        <v>229</v>
      </c>
      <c r="DS2243" s="1" t="s">
        <v>230</v>
      </c>
      <c r="DU2243" s="1" t="s">
        <v>8424</v>
      </c>
      <c r="DV2243" s="1" t="s">
        <v>20806</v>
      </c>
      <c r="DW2243" s="1" t="s">
        <v>832</v>
      </c>
      <c r="DX2243" s="1" t="s">
        <v>1287</v>
      </c>
      <c r="DY2243" s="1" t="s">
        <v>1189</v>
      </c>
      <c r="DZ2243" s="1" t="s">
        <v>15959</v>
      </c>
      <c r="EA2243" s="1" t="s">
        <v>683</v>
      </c>
      <c r="EC2243" s="1" t="s">
        <v>685</v>
      </c>
      <c r="ED2243" s="1" t="s">
        <v>407</v>
      </c>
      <c r="EG2243" s="1" t="s">
        <v>598</v>
      </c>
      <c r="EH2243" s="1" t="s">
        <v>408</v>
      </c>
      <c r="EL2243" s="1" t="s">
        <v>1029</v>
      </c>
      <c r="EM2243" s="1" t="s">
        <v>42</v>
      </c>
      <c r="EN2243" s="1" t="s">
        <v>210</v>
      </c>
      <c r="EP2243" s="1" t="s">
        <v>1874</v>
      </c>
      <c r="EQ2243" s="1" t="s">
        <v>206</v>
      </c>
      <c r="ER2243" s="1" t="s">
        <v>268</v>
      </c>
      <c r="EU2243" s="1" t="s">
        <v>238</v>
      </c>
      <c r="EY2243" s="1" t="s">
        <v>238</v>
      </c>
      <c r="FC2243" s="1" t="s">
        <v>238</v>
      </c>
      <c r="FF2243" s="1" t="s">
        <v>239</v>
      </c>
      <c r="FG2243" s="1" t="s">
        <v>192</v>
      </c>
      <c r="FH2243" s="1" t="s">
        <v>192</v>
      </c>
      <c r="FJ2243" s="1" t="s">
        <v>624</v>
      </c>
      <c r="FK2243" s="1" t="s">
        <v>348</v>
      </c>
      <c r="FL2243" s="1" t="s">
        <v>2926</v>
      </c>
      <c r="FM2243" s="1">
        <v>24809.0</v>
      </c>
      <c r="FN2243" s="1" t="s">
        <v>2927</v>
      </c>
      <c r="FO2243" s="1" t="s">
        <v>20807</v>
      </c>
      <c r="FP2243" s="1">
        <v>237424.0</v>
      </c>
      <c r="FS2243" s="1" t="s">
        <v>20808</v>
      </c>
      <c r="FU2243" s="1" t="s">
        <v>20809</v>
      </c>
      <c r="FV2243" s="1" t="s">
        <v>200</v>
      </c>
      <c r="FW2243" s="1" t="s">
        <v>530</v>
      </c>
      <c r="FZ2243" s="1" t="s">
        <v>229</v>
      </c>
      <c r="GA2243" s="1" t="s">
        <v>291</v>
      </c>
      <c r="GB2243" s="2">
        <v>42010.0</v>
      </c>
    </row>
    <row r="2244">
      <c r="A2244" s="1">
        <v>227500.0</v>
      </c>
      <c r="B2244" s="1" t="s">
        <v>185</v>
      </c>
      <c r="C2244" s="1" t="str">
        <f>"08753528"</f>
        <v>08753528</v>
      </c>
      <c r="D2244" s="1" t="s">
        <v>186</v>
      </c>
      <c r="F2244" s="1" t="str">
        <f>"543"</f>
        <v>543</v>
      </c>
      <c r="G2244" s="2">
        <v>41927.0</v>
      </c>
      <c r="H2244" s="1">
        <v>228500.0</v>
      </c>
      <c r="I2244" s="1">
        <v>7.0</v>
      </c>
      <c r="J2244" s="1">
        <v>228500.0</v>
      </c>
      <c r="K2244" s="2">
        <v>41933.0</v>
      </c>
      <c r="L2244" s="1">
        <v>7.0</v>
      </c>
      <c r="M2244" s="2">
        <v>41933.0</v>
      </c>
      <c r="N2244" s="1" t="s">
        <v>356</v>
      </c>
      <c r="O2244" s="2">
        <v>41992.0</v>
      </c>
      <c r="P2244" s="1">
        <v>237961.0</v>
      </c>
      <c r="Q2244" s="1">
        <v>24963.0</v>
      </c>
      <c r="R2244" s="1">
        <v>5000.0</v>
      </c>
      <c r="S2244" s="1">
        <v>202.0</v>
      </c>
      <c r="T2244" s="1" t="s">
        <v>20810</v>
      </c>
      <c r="U2244" s="1" t="s">
        <v>420</v>
      </c>
      <c r="V2244" s="1" t="s">
        <v>1527</v>
      </c>
      <c r="W2244" s="1">
        <v>60543.0</v>
      </c>
      <c r="Y2244" s="1" t="s">
        <v>20811</v>
      </c>
      <c r="Z2244" s="1">
        <v>1995.0</v>
      </c>
      <c r="AA2244" s="1" t="s">
        <v>200</v>
      </c>
      <c r="AB2244" s="1" t="s">
        <v>193</v>
      </c>
      <c r="AC2244" s="1" t="s">
        <v>4982</v>
      </c>
      <c r="AD2244" s="1" t="s">
        <v>1529</v>
      </c>
      <c r="AE2244" s="1" t="s">
        <v>849</v>
      </c>
      <c r="AF2244" s="1" t="s">
        <v>1529</v>
      </c>
      <c r="AG2244" s="1" t="s">
        <v>20812</v>
      </c>
      <c r="AH2244" s="1" t="s">
        <v>20813</v>
      </c>
      <c r="AK2244" s="1">
        <v>9.0</v>
      </c>
      <c r="AL2244" s="1">
        <v>4.0</v>
      </c>
      <c r="AM2244" s="1">
        <v>2.0</v>
      </c>
      <c r="AN2244" s="1">
        <v>1.0</v>
      </c>
      <c r="AO2244" s="1" t="s">
        <v>198</v>
      </c>
      <c r="AP2244" s="1">
        <v>1.0</v>
      </c>
      <c r="AQ2244" s="1" t="s">
        <v>198</v>
      </c>
      <c r="AR2244" s="1" t="s">
        <v>200</v>
      </c>
      <c r="AS2244" s="1" t="s">
        <v>199</v>
      </c>
      <c r="AT2244" s="1">
        <v>2.0</v>
      </c>
      <c r="AV2244" s="1" t="s">
        <v>200</v>
      </c>
      <c r="AW2244" s="1">
        <v>6366.4</v>
      </c>
      <c r="AX2244" s="1">
        <v>2013.0</v>
      </c>
      <c r="AY2244" s="1" t="s">
        <v>387</v>
      </c>
      <c r="AZ2244" s="1" t="s">
        <v>200</v>
      </c>
      <c r="BA2244" s="1" t="str">
        <f>"0317104010"</f>
        <v>0317104010</v>
      </c>
      <c r="BC2244" s="1">
        <v>2239.0</v>
      </c>
      <c r="BD2244" s="1">
        <v>227500.0</v>
      </c>
      <c r="BE2244" s="2">
        <v>41927.0</v>
      </c>
      <c r="BF2244" s="2" t="s">
        <v>20814</v>
      </c>
      <c r="BG2244" s="1" t="s">
        <v>4985</v>
      </c>
      <c r="BH2244" s="1">
        <v>0.0</v>
      </c>
      <c r="BI2244" s="1" t="s">
        <v>1348</v>
      </c>
      <c r="BJ2244" s="1" t="s">
        <v>1349</v>
      </c>
      <c r="BK2244" s="1" t="s">
        <v>204</v>
      </c>
      <c r="BL2244" s="1" t="str">
        <f t="shared" ref="BL2244:BM2244" si="1470">""</f>
        <v/>
      </c>
      <c r="BM2244" s="1" t="str">
        <f t="shared" si="1470"/>
        <v/>
      </c>
      <c r="BQ2244" s="1">
        <v>308.0</v>
      </c>
      <c r="BR2244" s="1">
        <v>308.0</v>
      </c>
      <c r="BS2244" s="1">
        <v>308.0</v>
      </c>
      <c r="BU2244" s="1" t="s">
        <v>496</v>
      </c>
      <c r="BV2244" s="1" t="s">
        <v>206</v>
      </c>
      <c r="BW2244" s="1" t="s">
        <v>210</v>
      </c>
      <c r="BX2244" s="1" t="s">
        <v>229</v>
      </c>
      <c r="BY2244" s="1" t="s">
        <v>1067</v>
      </c>
      <c r="BZ2244" s="1" t="s">
        <v>209</v>
      </c>
      <c r="CA2244" s="1" t="s">
        <v>210</v>
      </c>
      <c r="CB2244" s="1" t="s">
        <v>229</v>
      </c>
      <c r="CC2244" s="1" t="s">
        <v>1672</v>
      </c>
      <c r="CD2244" s="1" t="s">
        <v>206</v>
      </c>
      <c r="CE2244" s="1" t="s">
        <v>210</v>
      </c>
      <c r="CF2244" s="1" t="s">
        <v>229</v>
      </c>
      <c r="CG2244" s="1" t="s">
        <v>1352</v>
      </c>
      <c r="CH2244" s="1" t="s">
        <v>209</v>
      </c>
      <c r="CI2244" s="1" t="s">
        <v>210</v>
      </c>
      <c r="CJ2244" s="1" t="s">
        <v>229</v>
      </c>
      <c r="CK2244" s="1" t="s">
        <v>4045</v>
      </c>
      <c r="CL2244" s="1" t="s">
        <v>206</v>
      </c>
      <c r="CM2244" s="1" t="s">
        <v>210</v>
      </c>
      <c r="CN2244" s="1" t="s">
        <v>229</v>
      </c>
      <c r="CO2244" s="1" t="s">
        <v>1068</v>
      </c>
      <c r="CP2244" s="1" t="s">
        <v>209</v>
      </c>
      <c r="CQ2244" s="1" t="s">
        <v>210</v>
      </c>
      <c r="CR2244" s="1" t="s">
        <v>229</v>
      </c>
      <c r="CS2244" s="1" t="s">
        <v>269</v>
      </c>
      <c r="CT2244" s="1" t="s">
        <v>206</v>
      </c>
      <c r="CU2244" s="1" t="s">
        <v>207</v>
      </c>
      <c r="CV2244" s="1" t="s">
        <v>229</v>
      </c>
      <c r="CW2244" s="1" t="s">
        <v>1299</v>
      </c>
      <c r="CX2244" s="1" t="s">
        <v>206</v>
      </c>
      <c r="CY2244" s="1" t="s">
        <v>210</v>
      </c>
      <c r="CZ2244" s="1" t="s">
        <v>229</v>
      </c>
      <c r="DA2244" s="1" t="s">
        <v>200</v>
      </c>
      <c r="DC2244" s="1" t="s">
        <v>678</v>
      </c>
      <c r="DD2244" s="1" t="s">
        <v>396</v>
      </c>
      <c r="DE2244" s="1" t="s">
        <v>273</v>
      </c>
      <c r="DF2244" s="1" t="s">
        <v>219</v>
      </c>
      <c r="DG2244" s="1" t="s">
        <v>3020</v>
      </c>
      <c r="DH2244" s="1" t="s">
        <v>220</v>
      </c>
      <c r="DI2244" s="1" t="s">
        <v>11744</v>
      </c>
      <c r="DJ2244" s="1" t="s">
        <v>222</v>
      </c>
      <c r="DL2244" s="1" t="s">
        <v>223</v>
      </c>
      <c r="DM2244" s="1" t="s">
        <v>338</v>
      </c>
      <c r="DO2244" s="1" t="s">
        <v>1979</v>
      </c>
      <c r="DP2244" s="1" t="s">
        <v>8257</v>
      </c>
      <c r="DQ2244" s="1" t="s">
        <v>441</v>
      </c>
      <c r="DR2244" s="1" t="s">
        <v>229</v>
      </c>
      <c r="DU2244" s="1" t="s">
        <v>1840</v>
      </c>
      <c r="DV2244" s="1" t="s">
        <v>449</v>
      </c>
      <c r="DW2244" s="1" t="s">
        <v>444</v>
      </c>
      <c r="DX2244" s="1" t="s">
        <v>234</v>
      </c>
      <c r="DY2244" s="1" t="s">
        <v>704</v>
      </c>
      <c r="DZ2244" s="1" t="s">
        <v>12087</v>
      </c>
      <c r="EB2244" s="1" t="s">
        <v>345</v>
      </c>
      <c r="EC2244" s="1" t="s">
        <v>237</v>
      </c>
      <c r="ED2244" s="1" t="s">
        <v>1794</v>
      </c>
      <c r="EG2244" s="1" t="s">
        <v>449</v>
      </c>
      <c r="EL2244" s="1" t="s">
        <v>303</v>
      </c>
      <c r="EM2244" s="1" t="s">
        <v>206</v>
      </c>
      <c r="EN2244" s="1" t="s">
        <v>207</v>
      </c>
      <c r="EO2244" s="1" t="s">
        <v>431</v>
      </c>
      <c r="EQ2244" s="1" t="s">
        <v>238</v>
      </c>
      <c r="EU2244" s="1" t="s">
        <v>238</v>
      </c>
      <c r="EY2244" s="1" t="s">
        <v>238</v>
      </c>
      <c r="FC2244" s="1" t="s">
        <v>238</v>
      </c>
      <c r="FF2244" s="1" t="s">
        <v>239</v>
      </c>
      <c r="FG2244" s="1" t="s">
        <v>192</v>
      </c>
      <c r="FH2244" s="1" t="s">
        <v>192</v>
      </c>
      <c r="FJ2244" s="1" t="s">
        <v>20815</v>
      </c>
      <c r="FK2244" s="1" t="s">
        <v>229</v>
      </c>
      <c r="FL2244" s="1" t="s">
        <v>456</v>
      </c>
      <c r="FM2244" s="1">
        <v>23156.0</v>
      </c>
      <c r="FN2244" s="1" t="s">
        <v>2553</v>
      </c>
      <c r="FO2244" s="1" t="s">
        <v>2554</v>
      </c>
      <c r="FP2244" s="1">
        <v>240525.0</v>
      </c>
      <c r="FQ2244" s="1" t="s">
        <v>2555</v>
      </c>
      <c r="FS2244" s="1" t="s">
        <v>2556</v>
      </c>
      <c r="FU2244" s="1" t="s">
        <v>2557</v>
      </c>
      <c r="FV2244" s="1" t="s">
        <v>200</v>
      </c>
      <c r="FW2244" s="1" t="s">
        <v>8793</v>
      </c>
      <c r="FZ2244" s="1" t="s">
        <v>229</v>
      </c>
      <c r="GA2244" s="1" t="s">
        <v>291</v>
      </c>
      <c r="GB2244" s="2">
        <v>41992.0</v>
      </c>
    </row>
    <row r="2245">
      <c r="A2245" s="1">
        <v>742000.0</v>
      </c>
      <c r="B2245" s="1" t="s">
        <v>185</v>
      </c>
      <c r="C2245" s="1" t="str">
        <f>"08750449"</f>
        <v>08750449</v>
      </c>
      <c r="D2245" s="1" t="s">
        <v>186</v>
      </c>
      <c r="F2245" s="1" t="str">
        <f>"8016"</f>
        <v>8016</v>
      </c>
      <c r="G2245" s="2">
        <v>41922.0</v>
      </c>
      <c r="H2245" s="1">
        <v>740000.0</v>
      </c>
      <c r="I2245" s="1">
        <v>5.0</v>
      </c>
      <c r="J2245" s="1">
        <v>740000.0</v>
      </c>
      <c r="K2245" s="2">
        <v>41926.0</v>
      </c>
      <c r="L2245" s="1">
        <v>5.0</v>
      </c>
      <c r="M2245" s="2">
        <v>41926.0</v>
      </c>
      <c r="N2245" s="1" t="s">
        <v>187</v>
      </c>
      <c r="O2245" s="2">
        <v>41978.0</v>
      </c>
      <c r="P2245" s="1">
        <v>176348.0</v>
      </c>
      <c r="Q2245" s="1">
        <v>10013.0</v>
      </c>
      <c r="S2245" s="1">
        <v>4038.0</v>
      </c>
      <c r="T2245" s="1" t="s">
        <v>5171</v>
      </c>
      <c r="U2245" s="1" t="s">
        <v>189</v>
      </c>
      <c r="V2245" s="1" t="s">
        <v>190</v>
      </c>
      <c r="W2245" s="1">
        <v>60618.0</v>
      </c>
      <c r="Y2245" s="1" t="s">
        <v>20816</v>
      </c>
      <c r="Z2245" s="1" t="s">
        <v>296</v>
      </c>
      <c r="AA2245" s="1" t="s">
        <v>192</v>
      </c>
      <c r="AB2245" s="1" t="s">
        <v>193</v>
      </c>
      <c r="AD2245" s="1" t="s">
        <v>194</v>
      </c>
      <c r="AE2245" s="1" t="s">
        <v>195</v>
      </c>
      <c r="AF2245" s="1" t="s">
        <v>196</v>
      </c>
      <c r="AH2245" s="1" t="s">
        <v>20817</v>
      </c>
      <c r="AK2245" s="1">
        <v>9.0</v>
      </c>
      <c r="AL2245" s="1">
        <v>3.0</v>
      </c>
      <c r="AM2245" s="1">
        <v>3.0</v>
      </c>
      <c r="AN2245" s="1">
        <v>1.0</v>
      </c>
      <c r="AO2245" s="1" t="s">
        <v>198</v>
      </c>
      <c r="AP2245" s="1">
        <v>2.0</v>
      </c>
      <c r="AQ2245" s="1" t="s">
        <v>198</v>
      </c>
      <c r="AR2245" s="1" t="s">
        <v>192</v>
      </c>
      <c r="AS2245" s="1" t="s">
        <v>199</v>
      </c>
      <c r="AT2245" s="1">
        <v>2.0</v>
      </c>
      <c r="AV2245" s="1" t="s">
        <v>200</v>
      </c>
      <c r="AW2245" s="1">
        <v>5178.0</v>
      </c>
      <c r="AX2245" s="1">
        <v>2013.0</v>
      </c>
      <c r="AY2245" s="1" t="s">
        <v>229</v>
      </c>
      <c r="AZ2245" s="1" t="s">
        <v>200</v>
      </c>
      <c r="BA2245" s="1" t="str">
        <f>"13133250210000"</f>
        <v>13133250210000</v>
      </c>
      <c r="BB2245" s="1" t="s">
        <v>200</v>
      </c>
      <c r="BC2245" s="1">
        <v>3800.0</v>
      </c>
      <c r="BD2245" s="1">
        <v>742000.0</v>
      </c>
      <c r="BE2245" s="2">
        <v>41922.0</v>
      </c>
      <c r="BF2245" s="2" t="s">
        <v>20818</v>
      </c>
      <c r="BG2245" s="1" t="s">
        <v>16763</v>
      </c>
      <c r="BH2245" s="1">
        <v>0.0</v>
      </c>
      <c r="BK2245" s="1" t="s">
        <v>204</v>
      </c>
      <c r="BL2245" s="1" t="str">
        <f>"4000"</f>
        <v>4000</v>
      </c>
      <c r="BM2245" s="1" t="str">
        <f t="shared" ref="BM2245:BM2246" si="1471">"0"</f>
        <v>0</v>
      </c>
      <c r="BN2245" s="1">
        <v>3200.0</v>
      </c>
      <c r="BO2245" s="1">
        <v>0.0</v>
      </c>
      <c r="BQ2245" s="1">
        <v>299.0</v>
      </c>
      <c r="BR2245" s="1">
        <v>299.0</v>
      </c>
      <c r="BS2245" s="1">
        <v>299.0</v>
      </c>
      <c r="BU2245" s="1" t="s">
        <v>333</v>
      </c>
      <c r="BV2245" s="1" t="s">
        <v>206</v>
      </c>
      <c r="BW2245" s="1" t="s">
        <v>207</v>
      </c>
      <c r="BX2245" s="1" t="s">
        <v>229</v>
      </c>
      <c r="BY2245" s="1" t="s">
        <v>1892</v>
      </c>
      <c r="BZ2245" s="1" t="s">
        <v>209</v>
      </c>
      <c r="CA2245" s="1" t="s">
        <v>207</v>
      </c>
      <c r="CB2245" s="1" t="s">
        <v>229</v>
      </c>
      <c r="CC2245" s="1" t="s">
        <v>2224</v>
      </c>
      <c r="CD2245" s="1" t="s">
        <v>206</v>
      </c>
      <c r="CE2245" s="1" t="s">
        <v>207</v>
      </c>
      <c r="CF2245" s="1" t="s">
        <v>229</v>
      </c>
      <c r="CG2245" s="1" t="s">
        <v>925</v>
      </c>
      <c r="CH2245" s="1" t="s">
        <v>209</v>
      </c>
      <c r="CI2245" s="1" t="s">
        <v>207</v>
      </c>
      <c r="CJ2245" s="1" t="s">
        <v>229</v>
      </c>
      <c r="CK2245" s="1" t="s">
        <v>332</v>
      </c>
      <c r="CL2245" s="1" t="s">
        <v>209</v>
      </c>
      <c r="CM2245" s="1" t="s">
        <v>207</v>
      </c>
      <c r="CN2245" s="1" t="s">
        <v>229</v>
      </c>
      <c r="CO2245" s="1" t="s">
        <v>363</v>
      </c>
      <c r="CP2245" s="1" t="s">
        <v>42</v>
      </c>
      <c r="CQ2245" s="1" t="s">
        <v>207</v>
      </c>
      <c r="CR2245" s="1" t="s">
        <v>229</v>
      </c>
      <c r="CS2245" s="1" t="s">
        <v>1875</v>
      </c>
      <c r="CT2245" s="1" t="s">
        <v>206</v>
      </c>
      <c r="CU2245" s="1" t="s">
        <v>207</v>
      </c>
      <c r="CV2245" s="1" t="s">
        <v>229</v>
      </c>
      <c r="CW2245" s="1" t="s">
        <v>1875</v>
      </c>
      <c r="CX2245" s="1" t="s">
        <v>206</v>
      </c>
      <c r="CY2245" s="1" t="s">
        <v>207</v>
      </c>
      <c r="CZ2245" s="1" t="s">
        <v>229</v>
      </c>
      <c r="DA2245" s="1" t="s">
        <v>200</v>
      </c>
      <c r="DC2245" s="1" t="s">
        <v>702</v>
      </c>
      <c r="DD2245" s="1" t="s">
        <v>731</v>
      </c>
      <c r="DE2245" s="1" t="s">
        <v>3750</v>
      </c>
      <c r="DF2245" s="1" t="s">
        <v>1931</v>
      </c>
      <c r="DG2245" s="1" t="s">
        <v>482</v>
      </c>
      <c r="DH2245" s="1" t="s">
        <v>220</v>
      </c>
      <c r="DI2245" s="1" t="s">
        <v>9473</v>
      </c>
      <c r="DJ2245" s="1" t="s">
        <v>1048</v>
      </c>
      <c r="DK2245" s="1" t="s">
        <v>1555</v>
      </c>
      <c r="DL2245" s="1" t="s">
        <v>224</v>
      </c>
      <c r="DM2245" s="1" t="s">
        <v>1464</v>
      </c>
      <c r="DN2245" s="1" t="s">
        <v>2463</v>
      </c>
      <c r="DP2245" s="1" t="s">
        <v>276</v>
      </c>
      <c r="DQ2245" s="1" t="s">
        <v>441</v>
      </c>
      <c r="DR2245" s="1" t="s">
        <v>229</v>
      </c>
      <c r="DS2245" s="1" t="s">
        <v>591</v>
      </c>
      <c r="DV2245" s="1" t="s">
        <v>2058</v>
      </c>
      <c r="DW2245" s="1" t="s">
        <v>444</v>
      </c>
      <c r="DX2245" s="1" t="s">
        <v>234</v>
      </c>
      <c r="DY2245" s="1" t="s">
        <v>5415</v>
      </c>
      <c r="DZ2245" s="1" t="s">
        <v>1100</v>
      </c>
      <c r="EB2245" s="1" t="s">
        <v>9729</v>
      </c>
      <c r="EC2245" s="1" t="s">
        <v>237</v>
      </c>
      <c r="ED2245" s="1" t="s">
        <v>555</v>
      </c>
      <c r="EG2245" s="1" t="s">
        <v>450</v>
      </c>
      <c r="EH2245" s="1" t="s">
        <v>310</v>
      </c>
      <c r="EL2245" s="1" t="s">
        <v>13371</v>
      </c>
      <c r="EM2245" s="1" t="s">
        <v>42</v>
      </c>
      <c r="EN2245" s="1" t="s">
        <v>210</v>
      </c>
      <c r="EO2245" s="1" t="s">
        <v>229</v>
      </c>
      <c r="EP2245" s="1" t="s">
        <v>3054</v>
      </c>
      <c r="EQ2245" s="1" t="s">
        <v>206</v>
      </c>
      <c r="EU2245" s="1" t="s">
        <v>238</v>
      </c>
      <c r="EY2245" s="1" t="s">
        <v>238</v>
      </c>
      <c r="FC2245" s="1" t="s">
        <v>238</v>
      </c>
      <c r="FF2245" s="1" t="s">
        <v>239</v>
      </c>
      <c r="FG2245" s="1" t="s">
        <v>192</v>
      </c>
      <c r="FH2245" s="1" t="s">
        <v>192</v>
      </c>
      <c r="FJ2245" s="1" t="s">
        <v>561</v>
      </c>
      <c r="FK2245" s="1" t="s">
        <v>229</v>
      </c>
      <c r="FL2245" s="1" t="s">
        <v>20819</v>
      </c>
      <c r="FM2245" s="1">
        <v>10793.0</v>
      </c>
      <c r="FN2245" s="1" t="s">
        <v>20820</v>
      </c>
      <c r="FO2245" s="1" t="s">
        <v>20821</v>
      </c>
      <c r="FP2245" s="1">
        <v>107595.0</v>
      </c>
      <c r="FQ2245" s="1" t="s">
        <v>20822</v>
      </c>
      <c r="FU2245" s="1" t="s">
        <v>20823</v>
      </c>
      <c r="FV2245" s="1" t="s">
        <v>192</v>
      </c>
      <c r="FW2245" s="1" t="s">
        <v>290</v>
      </c>
      <c r="FX2245" s="1" t="s">
        <v>238</v>
      </c>
      <c r="FZ2245" s="1" t="s">
        <v>229</v>
      </c>
      <c r="GA2245" s="1" t="s">
        <v>291</v>
      </c>
      <c r="GB2245" s="2">
        <v>41981.0</v>
      </c>
      <c r="GC2245" s="1" t="s">
        <v>20824</v>
      </c>
    </row>
    <row r="2246">
      <c r="A2246" s="1">
        <v>86000.0</v>
      </c>
      <c r="B2246" s="1" t="s">
        <v>185</v>
      </c>
      <c r="C2246" s="1" t="str">
        <f>"08740677"</f>
        <v>08740677</v>
      </c>
      <c r="D2246" s="1" t="s">
        <v>186</v>
      </c>
      <c r="F2246" s="1" t="str">
        <f>"103"</f>
        <v>103</v>
      </c>
      <c r="G2246" s="2">
        <v>41911.0</v>
      </c>
      <c r="H2246" s="1">
        <v>114900.0</v>
      </c>
      <c r="I2246" s="1">
        <v>336.0</v>
      </c>
      <c r="J2246" s="1">
        <v>99900.0</v>
      </c>
      <c r="K2246" s="2">
        <v>41989.0</v>
      </c>
      <c r="L2246" s="1">
        <v>79.0</v>
      </c>
      <c r="M2246" s="2">
        <v>41989.0</v>
      </c>
      <c r="N2246" s="1" t="s">
        <v>249</v>
      </c>
      <c r="O2246" s="2">
        <v>42018.0</v>
      </c>
      <c r="P2246" s="1">
        <v>81699.0</v>
      </c>
      <c r="Q2246" s="1">
        <v>8073.0</v>
      </c>
      <c r="S2246" s="1">
        <v>1861.0</v>
      </c>
      <c r="T2246" s="1" t="s">
        <v>20825</v>
      </c>
      <c r="U2246" s="1" t="s">
        <v>1174</v>
      </c>
      <c r="V2246" s="1" t="s">
        <v>251</v>
      </c>
      <c r="W2246" s="1">
        <v>60133.0</v>
      </c>
      <c r="Y2246" s="1" t="s">
        <v>20826</v>
      </c>
      <c r="Z2246" s="1">
        <v>1971.0</v>
      </c>
      <c r="AA2246" s="1" t="s">
        <v>192</v>
      </c>
      <c r="AB2246" s="1" t="s">
        <v>193</v>
      </c>
      <c r="AC2246" s="1" t="s">
        <v>20827</v>
      </c>
      <c r="AD2246" s="1" t="s">
        <v>254</v>
      </c>
      <c r="AE2246" s="1" t="s">
        <v>195</v>
      </c>
      <c r="AF2246" s="1" t="s">
        <v>298</v>
      </c>
      <c r="AG2246" s="1" t="s">
        <v>874</v>
      </c>
      <c r="AH2246" s="1" t="s">
        <v>256</v>
      </c>
      <c r="AI2246" s="1">
        <v>0.1791</v>
      </c>
      <c r="AK2246" s="1">
        <v>8.0</v>
      </c>
      <c r="AL2246" s="1">
        <v>2.0</v>
      </c>
      <c r="AM2246" s="1">
        <v>2.0</v>
      </c>
      <c r="AN2246" s="1">
        <v>0.0</v>
      </c>
      <c r="AO2246" s="1" t="s">
        <v>229</v>
      </c>
      <c r="AQ2246" s="1" t="s">
        <v>198</v>
      </c>
      <c r="AR2246" s="1" t="s">
        <v>192</v>
      </c>
      <c r="AS2246" s="1" t="s">
        <v>199</v>
      </c>
      <c r="AT2246" s="1">
        <v>2.0</v>
      </c>
      <c r="AV2246" s="1" t="s">
        <v>200</v>
      </c>
      <c r="AW2246" s="1">
        <v>5535.0</v>
      </c>
      <c r="AX2246" s="1">
        <v>2012.0</v>
      </c>
      <c r="AZ2246" s="1" t="s">
        <v>545</v>
      </c>
      <c r="BA2246" s="1" t="str">
        <f>"06254180100000"</f>
        <v>06254180100000</v>
      </c>
      <c r="BB2246" s="1" t="s">
        <v>200</v>
      </c>
      <c r="BC2246" s="1">
        <v>1107.0</v>
      </c>
      <c r="BD2246" s="1">
        <v>86000.0</v>
      </c>
      <c r="BE2246" s="2">
        <v>41911.0</v>
      </c>
      <c r="BF2246" s="2" t="s">
        <v>20828</v>
      </c>
      <c r="BG2246" s="1" t="s">
        <v>7894</v>
      </c>
      <c r="BH2246" s="1">
        <v>0.0</v>
      </c>
      <c r="BI2246" s="1" t="s">
        <v>513</v>
      </c>
      <c r="BJ2246" s="1" t="s">
        <v>757</v>
      </c>
      <c r="BK2246" s="1" t="s">
        <v>204</v>
      </c>
      <c r="BL2246" s="1" t="str">
        <f>"8"</f>
        <v>8</v>
      </c>
      <c r="BM2246" s="1" t="str">
        <f t="shared" si="1471"/>
        <v>0</v>
      </c>
      <c r="BN2246" s="1">
        <v>27.0</v>
      </c>
      <c r="BO2246" s="1">
        <v>0.0</v>
      </c>
      <c r="BQ2246" s="1">
        <v>46.0</v>
      </c>
      <c r="BR2246" s="1">
        <v>46.0</v>
      </c>
      <c r="BS2246" s="1">
        <v>46.0</v>
      </c>
      <c r="BU2246" s="1" t="s">
        <v>955</v>
      </c>
      <c r="BV2246" s="1" t="s">
        <v>206</v>
      </c>
      <c r="BY2246" s="1" t="s">
        <v>432</v>
      </c>
      <c r="BZ2246" s="1" t="s">
        <v>206</v>
      </c>
      <c r="CD2246" s="1" t="s">
        <v>204</v>
      </c>
      <c r="CG2246" s="1" t="s">
        <v>392</v>
      </c>
      <c r="CH2246" s="1" t="s">
        <v>206</v>
      </c>
      <c r="CK2246" s="1" t="s">
        <v>265</v>
      </c>
      <c r="CL2246" s="1" t="s">
        <v>42</v>
      </c>
      <c r="CO2246" s="1" t="s">
        <v>497</v>
      </c>
      <c r="CP2246" s="1" t="s">
        <v>42</v>
      </c>
      <c r="CS2246" s="1" t="s">
        <v>2224</v>
      </c>
      <c r="CT2246" s="1" t="s">
        <v>206</v>
      </c>
      <c r="CW2246" s="1" t="s">
        <v>393</v>
      </c>
      <c r="CX2246" s="1" t="s">
        <v>267</v>
      </c>
      <c r="DA2246" s="1" t="s">
        <v>200</v>
      </c>
      <c r="DC2246" s="1" t="s">
        <v>517</v>
      </c>
      <c r="DD2246" s="1" t="s">
        <v>518</v>
      </c>
      <c r="DE2246" s="1" t="s">
        <v>273</v>
      </c>
      <c r="DF2246" s="1" t="s">
        <v>219</v>
      </c>
      <c r="DH2246" s="1" t="s">
        <v>220</v>
      </c>
      <c r="DJ2246" s="1" t="s">
        <v>222</v>
      </c>
      <c r="DL2246" s="1" t="s">
        <v>224</v>
      </c>
      <c r="DM2246" s="1" t="s">
        <v>229</v>
      </c>
      <c r="DQ2246" s="1" t="s">
        <v>228</v>
      </c>
      <c r="DR2246" s="1" t="s">
        <v>229</v>
      </c>
      <c r="DV2246" s="1" t="s">
        <v>557</v>
      </c>
      <c r="DW2246" s="1" t="s">
        <v>3142</v>
      </c>
      <c r="DX2246" s="1" t="s">
        <v>234</v>
      </c>
      <c r="EA2246" s="1" t="s">
        <v>683</v>
      </c>
      <c r="EC2246" s="1" t="s">
        <v>685</v>
      </c>
      <c r="EI2246" s="1" t="s">
        <v>557</v>
      </c>
      <c r="EM2246" s="1" t="s">
        <v>238</v>
      </c>
      <c r="EQ2246" s="1" t="s">
        <v>238</v>
      </c>
      <c r="ET2246" s="1" t="s">
        <v>516</v>
      </c>
      <c r="EU2246" s="1" t="s">
        <v>42</v>
      </c>
      <c r="EY2246" s="1" t="s">
        <v>238</v>
      </c>
      <c r="FC2246" s="1" t="s">
        <v>238</v>
      </c>
      <c r="FF2246" s="1" t="s">
        <v>239</v>
      </c>
      <c r="FG2246" s="1" t="s">
        <v>192</v>
      </c>
      <c r="FH2246" s="1" t="s">
        <v>192</v>
      </c>
      <c r="FJ2246" s="1" t="s">
        <v>770</v>
      </c>
      <c r="FK2246" s="1" t="s">
        <v>229</v>
      </c>
      <c r="FL2246" s="1" t="s">
        <v>20829</v>
      </c>
      <c r="FM2246" s="1">
        <v>14750.0</v>
      </c>
      <c r="FN2246" s="1" t="s">
        <v>20830</v>
      </c>
      <c r="FO2246" s="1" t="s">
        <v>20831</v>
      </c>
      <c r="FP2246" s="1">
        <v>122383.0</v>
      </c>
      <c r="FR2246" s="1">
        <v>181645.0</v>
      </c>
      <c r="FU2246" s="1" t="s">
        <v>8903</v>
      </c>
      <c r="FV2246" s="1" t="s">
        <v>200</v>
      </c>
      <c r="FW2246" s="1" t="s">
        <v>20832</v>
      </c>
      <c r="FZ2246" s="1" t="s">
        <v>229</v>
      </c>
      <c r="GA2246" s="1" t="s">
        <v>291</v>
      </c>
      <c r="GB2246" s="2">
        <v>42018.0</v>
      </c>
      <c r="GC2246" s="1" t="s">
        <v>20833</v>
      </c>
    </row>
    <row r="2247">
      <c r="A2247" s="1">
        <v>205000.0</v>
      </c>
      <c r="B2247" s="1" t="s">
        <v>185</v>
      </c>
      <c r="C2247" s="1" t="str">
        <f>"08742623"</f>
        <v>08742623</v>
      </c>
      <c r="D2247" s="1" t="s">
        <v>186</v>
      </c>
      <c r="F2247" s="1" t="str">
        <f>"543"</f>
        <v>543</v>
      </c>
      <c r="G2247" s="2">
        <v>41913.0</v>
      </c>
      <c r="H2247" s="1">
        <v>228900.0</v>
      </c>
      <c r="I2247" s="1">
        <v>66.0</v>
      </c>
      <c r="J2247" s="1">
        <v>209900.0</v>
      </c>
      <c r="K2247" s="2">
        <v>41977.0</v>
      </c>
      <c r="L2247" s="1">
        <v>66.0</v>
      </c>
      <c r="M2247" s="2">
        <v>41977.0</v>
      </c>
      <c r="N2247" s="1" t="s">
        <v>356</v>
      </c>
      <c r="O2247" s="2">
        <v>42048.0</v>
      </c>
      <c r="P2247" s="1">
        <v>259235.0</v>
      </c>
      <c r="Q2247" s="1">
        <v>23534.0</v>
      </c>
      <c r="R2247" s="1">
        <v>5940.0</v>
      </c>
      <c r="S2247" s="1">
        <v>2774.0</v>
      </c>
      <c r="T2247" s="1" t="s">
        <v>20834</v>
      </c>
      <c r="U2247" s="1" t="s">
        <v>1174</v>
      </c>
      <c r="V2247" s="1" t="s">
        <v>1527</v>
      </c>
      <c r="W2247" s="1">
        <v>60543.0</v>
      </c>
      <c r="Y2247" s="1" t="s">
        <v>20835</v>
      </c>
      <c r="Z2247" s="1">
        <v>1994.0</v>
      </c>
      <c r="AA2247" s="1" t="s">
        <v>200</v>
      </c>
      <c r="AB2247" s="1" t="s">
        <v>193</v>
      </c>
      <c r="AD2247" s="1" t="s">
        <v>1089</v>
      </c>
      <c r="AE2247" s="1" t="s">
        <v>849</v>
      </c>
      <c r="AF2247" s="1" t="s">
        <v>1529</v>
      </c>
      <c r="AH2247" s="1" t="s">
        <v>20836</v>
      </c>
      <c r="AI2247" s="1">
        <v>1.1833</v>
      </c>
      <c r="AK2247" s="1">
        <v>6.0</v>
      </c>
      <c r="AL2247" s="1">
        <v>4.0</v>
      </c>
      <c r="AM2247" s="1">
        <v>2.0</v>
      </c>
      <c r="AN2247" s="1">
        <v>1.0</v>
      </c>
      <c r="AO2247" s="1" t="s">
        <v>2068</v>
      </c>
      <c r="AQ2247" s="1" t="s">
        <v>198</v>
      </c>
      <c r="AR2247" s="1" t="s">
        <v>200</v>
      </c>
      <c r="AS2247" s="1" t="s">
        <v>199</v>
      </c>
      <c r="AT2247" s="1">
        <v>2.0</v>
      </c>
      <c r="AV2247" s="1" t="s">
        <v>200</v>
      </c>
      <c r="AW2247" s="1">
        <v>6846.5</v>
      </c>
      <c r="AX2247" s="1">
        <v>2013.0</v>
      </c>
      <c r="AZ2247" s="1" t="s">
        <v>200</v>
      </c>
      <c r="BA2247" s="1" t="str">
        <f>"0213476025"</f>
        <v>0213476025</v>
      </c>
      <c r="BC2247" s="1">
        <v>2338.0</v>
      </c>
      <c r="BD2247" s="1">
        <v>205000.0</v>
      </c>
      <c r="BE2247" s="2">
        <v>41912.0</v>
      </c>
      <c r="BF2247" s="2" t="s">
        <v>20837</v>
      </c>
      <c r="BH2247" s="1">
        <v>0.0</v>
      </c>
      <c r="BK2247" s="1" t="s">
        <v>204</v>
      </c>
      <c r="BL2247" s="1" t="str">
        <f t="shared" ref="BL2247:BM2247" si="1472">""</f>
        <v/>
      </c>
      <c r="BM2247" s="1" t="str">
        <f t="shared" si="1472"/>
        <v/>
      </c>
      <c r="BQ2247" s="1">
        <v>308.0</v>
      </c>
      <c r="BR2247" s="1">
        <v>308.0</v>
      </c>
      <c r="BS2247" s="1">
        <v>308.0</v>
      </c>
      <c r="BU2247" s="1" t="s">
        <v>544</v>
      </c>
      <c r="BV2247" s="1" t="s">
        <v>206</v>
      </c>
      <c r="BW2247" s="1" t="s">
        <v>210</v>
      </c>
      <c r="BY2247" s="1" t="s">
        <v>361</v>
      </c>
      <c r="BZ2247" s="1" t="s">
        <v>206</v>
      </c>
      <c r="CA2247" s="1" t="s">
        <v>210</v>
      </c>
      <c r="CD2247" s="1" t="s">
        <v>204</v>
      </c>
      <c r="CG2247" s="1" t="s">
        <v>329</v>
      </c>
      <c r="CH2247" s="1" t="s">
        <v>206</v>
      </c>
      <c r="CI2247" s="1" t="s">
        <v>210</v>
      </c>
      <c r="CK2247" s="1" t="s">
        <v>211</v>
      </c>
      <c r="CL2247" s="1" t="s">
        <v>209</v>
      </c>
      <c r="CM2247" s="1" t="s">
        <v>210</v>
      </c>
      <c r="CO2247" s="1" t="s">
        <v>361</v>
      </c>
      <c r="CP2247" s="1" t="s">
        <v>209</v>
      </c>
      <c r="CQ2247" s="1" t="s">
        <v>210</v>
      </c>
      <c r="CS2247" s="1" t="s">
        <v>769</v>
      </c>
      <c r="CT2247" s="1" t="s">
        <v>206</v>
      </c>
      <c r="CU2247" s="1" t="s">
        <v>617</v>
      </c>
      <c r="CX2247" s="1" t="s">
        <v>204</v>
      </c>
      <c r="DA2247" s="1" t="s">
        <v>200</v>
      </c>
      <c r="DC2247" s="1" t="s">
        <v>678</v>
      </c>
      <c r="DD2247" s="1" t="s">
        <v>518</v>
      </c>
      <c r="DE2247" s="1" t="s">
        <v>273</v>
      </c>
      <c r="DF2247" s="1" t="s">
        <v>219</v>
      </c>
      <c r="DG2247" s="1" t="s">
        <v>1553</v>
      </c>
      <c r="DH2247" s="1" t="s">
        <v>856</v>
      </c>
      <c r="DJ2247" s="1" t="s">
        <v>857</v>
      </c>
      <c r="DL2247" s="1" t="s">
        <v>223</v>
      </c>
      <c r="DM2247" s="1" t="s">
        <v>338</v>
      </c>
      <c r="DO2247" s="1" t="s">
        <v>590</v>
      </c>
      <c r="DQ2247" s="1" t="s">
        <v>931</v>
      </c>
      <c r="DR2247" s="1" t="s">
        <v>229</v>
      </c>
      <c r="DS2247" s="1" t="s">
        <v>230</v>
      </c>
      <c r="DV2247" s="1" t="s">
        <v>232</v>
      </c>
      <c r="DW2247" s="1" t="s">
        <v>233</v>
      </c>
      <c r="DX2247" s="1" t="s">
        <v>234</v>
      </c>
      <c r="DY2247" s="1" t="s">
        <v>15809</v>
      </c>
      <c r="DZ2247" s="1" t="s">
        <v>310</v>
      </c>
      <c r="EA2247" s="1" t="s">
        <v>1075</v>
      </c>
      <c r="EC2247" s="1" t="s">
        <v>237</v>
      </c>
      <c r="EE2247" s="1" t="s">
        <v>493</v>
      </c>
      <c r="EM2247" s="1" t="s">
        <v>238</v>
      </c>
      <c r="EQ2247" s="1" t="s">
        <v>238</v>
      </c>
      <c r="EU2247" s="1" t="s">
        <v>238</v>
      </c>
      <c r="EY2247" s="1" t="s">
        <v>238</v>
      </c>
      <c r="FC2247" s="1" t="s">
        <v>238</v>
      </c>
      <c r="FF2247" s="1" t="s">
        <v>239</v>
      </c>
      <c r="FG2247" s="1" t="s">
        <v>192</v>
      </c>
      <c r="FH2247" s="1" t="s">
        <v>192</v>
      </c>
      <c r="FJ2247" s="1" t="s">
        <v>1248</v>
      </c>
      <c r="FK2247" s="1" t="s">
        <v>229</v>
      </c>
      <c r="FL2247" s="1" t="s">
        <v>1007</v>
      </c>
      <c r="FM2247" s="1">
        <v>22588.0</v>
      </c>
      <c r="FN2247" s="1" t="s">
        <v>1321</v>
      </c>
      <c r="FO2247" s="1" t="s">
        <v>3635</v>
      </c>
      <c r="FP2247" s="1">
        <v>222152.0</v>
      </c>
      <c r="FQ2247" s="1" t="s">
        <v>3636</v>
      </c>
      <c r="FR2247" s="1">
        <v>226878.0</v>
      </c>
      <c r="FS2247" s="1" t="s">
        <v>3637</v>
      </c>
      <c r="FU2247" s="1" t="s">
        <v>20838</v>
      </c>
      <c r="FV2247" s="1" t="s">
        <v>200</v>
      </c>
      <c r="FW2247" s="1" t="s">
        <v>354</v>
      </c>
      <c r="FZ2247" s="1" t="s">
        <v>229</v>
      </c>
      <c r="GA2247" s="1" t="s">
        <v>291</v>
      </c>
      <c r="GB2247" s="2">
        <v>42048.0</v>
      </c>
      <c r="GC2247" s="1" t="s">
        <v>20839</v>
      </c>
    </row>
    <row r="2248">
      <c r="A2248" s="1">
        <v>650000.0</v>
      </c>
      <c r="B2248" s="1" t="s">
        <v>185</v>
      </c>
      <c r="C2248" s="1" t="str">
        <f>"08742637"</f>
        <v>08742637</v>
      </c>
      <c r="D2248" s="1" t="s">
        <v>186</v>
      </c>
      <c r="F2248" s="1" t="str">
        <f>"174"</f>
        <v>174</v>
      </c>
      <c r="G2248" s="2">
        <v>41913.0</v>
      </c>
      <c r="H2248" s="1">
        <v>699000.0</v>
      </c>
      <c r="I2248" s="1">
        <v>263.0</v>
      </c>
      <c r="J2248" s="1">
        <v>694000.0</v>
      </c>
      <c r="K2248" s="2">
        <v>42052.0</v>
      </c>
      <c r="L2248" s="1">
        <v>141.0</v>
      </c>
      <c r="M2248" s="2">
        <v>42052.0</v>
      </c>
      <c r="N2248" s="1" t="s">
        <v>187</v>
      </c>
      <c r="O2248" s="2">
        <v>42094.0</v>
      </c>
      <c r="P2248" s="1">
        <v>36146.0</v>
      </c>
      <c r="Q2248" s="1">
        <v>4777.0</v>
      </c>
      <c r="S2248" s="1" t="s">
        <v>20840</v>
      </c>
      <c r="T2248" s="1" t="s">
        <v>20841</v>
      </c>
      <c r="U2248" s="1" t="s">
        <v>569</v>
      </c>
      <c r="V2248" s="1" t="s">
        <v>1200</v>
      </c>
      <c r="W2248" s="1">
        <v>60175.0</v>
      </c>
      <c r="Y2248" s="1" t="s">
        <v>20842</v>
      </c>
      <c r="Z2248" s="1">
        <v>2009.0</v>
      </c>
      <c r="AA2248" s="1" t="s">
        <v>200</v>
      </c>
      <c r="AB2248" s="1" t="s">
        <v>467</v>
      </c>
      <c r="AC2248" s="1" t="s">
        <v>20841</v>
      </c>
      <c r="AD2248" s="1" t="s">
        <v>3766</v>
      </c>
      <c r="AE2248" s="1" t="s">
        <v>325</v>
      </c>
      <c r="AF2248" s="1" t="s">
        <v>1632</v>
      </c>
      <c r="AH2248" s="1" t="s">
        <v>20843</v>
      </c>
      <c r="AI2248" s="1">
        <v>0.38</v>
      </c>
      <c r="AK2248" s="1">
        <v>8.0</v>
      </c>
      <c r="AL2248" s="1">
        <v>4.0</v>
      </c>
      <c r="AM2248" s="1">
        <v>3.0</v>
      </c>
      <c r="AN2248" s="1">
        <v>1.0</v>
      </c>
      <c r="AO2248" s="1" t="s">
        <v>198</v>
      </c>
      <c r="AP2248" s="1">
        <v>1.0</v>
      </c>
      <c r="AQ2248" s="1" t="s">
        <v>472</v>
      </c>
      <c r="AR2248" s="1" t="s">
        <v>200</v>
      </c>
      <c r="AS2248" s="1" t="s">
        <v>199</v>
      </c>
      <c r="AT2248" s="1">
        <v>3.0</v>
      </c>
      <c r="AV2248" s="1" t="s">
        <v>200</v>
      </c>
      <c r="AW2248" s="1">
        <v>16253.12</v>
      </c>
      <c r="AX2248" s="1">
        <v>2013.0</v>
      </c>
      <c r="AY2248" s="1" t="s">
        <v>387</v>
      </c>
      <c r="AZ2248" s="1" t="s">
        <v>200</v>
      </c>
      <c r="BA2248" s="1" t="str">
        <f>"0823182003"</f>
        <v>0823182003</v>
      </c>
      <c r="BC2248" s="1">
        <v>3668.0</v>
      </c>
      <c r="BD2248" s="1">
        <v>650000.0</v>
      </c>
      <c r="BE2248" s="2">
        <v>41912.0</v>
      </c>
      <c r="BF2248" s="2" t="s">
        <v>20844</v>
      </c>
      <c r="BG2248" s="1" t="s">
        <v>2198</v>
      </c>
      <c r="BH2248" s="1">
        <v>650.0</v>
      </c>
      <c r="BI2248" s="1" t="s">
        <v>2199</v>
      </c>
      <c r="BJ2248" s="1" t="s">
        <v>2200</v>
      </c>
      <c r="BK2248" s="1" t="s">
        <v>580</v>
      </c>
      <c r="BL2248" s="1" t="str">
        <f>"3"</f>
        <v>3</v>
      </c>
      <c r="BM2248" s="1" t="str">
        <f>"0"</f>
        <v>0</v>
      </c>
      <c r="BN2248" s="1">
        <v>40.0</v>
      </c>
      <c r="BO2248" s="1">
        <v>0.0</v>
      </c>
      <c r="BQ2248" s="1">
        <v>303.0</v>
      </c>
      <c r="BR2248" s="1">
        <v>303.0</v>
      </c>
      <c r="BS2248" s="1">
        <v>303.0</v>
      </c>
      <c r="BV2248" s="1" t="s">
        <v>204</v>
      </c>
      <c r="BY2248" s="1" t="s">
        <v>4469</v>
      </c>
      <c r="BZ2248" s="1" t="s">
        <v>209</v>
      </c>
      <c r="CA2248" s="1" t="s">
        <v>207</v>
      </c>
      <c r="CC2248" s="1" t="s">
        <v>390</v>
      </c>
      <c r="CD2248" s="1" t="s">
        <v>206</v>
      </c>
      <c r="CE2248" s="1" t="s">
        <v>207</v>
      </c>
      <c r="CG2248" s="1" t="s">
        <v>214</v>
      </c>
      <c r="CH2248" s="1" t="s">
        <v>209</v>
      </c>
      <c r="CI2248" s="1" t="s">
        <v>207</v>
      </c>
      <c r="CK2248" s="1" t="s">
        <v>329</v>
      </c>
      <c r="CL2248" s="1" t="s">
        <v>209</v>
      </c>
      <c r="CM2248" s="1" t="s">
        <v>207</v>
      </c>
      <c r="CO2248" s="1" t="s">
        <v>331</v>
      </c>
      <c r="CP2248" s="1" t="s">
        <v>209</v>
      </c>
      <c r="CQ2248" s="1" t="s">
        <v>207</v>
      </c>
      <c r="CS2248" s="1" t="s">
        <v>2565</v>
      </c>
      <c r="CT2248" s="1" t="s">
        <v>206</v>
      </c>
      <c r="CU2248" s="1" t="s">
        <v>207</v>
      </c>
      <c r="CW2248" s="1" t="s">
        <v>583</v>
      </c>
      <c r="CX2248" s="1" t="s">
        <v>206</v>
      </c>
      <c r="CY2248" s="1" t="s">
        <v>207</v>
      </c>
      <c r="DA2248" s="1" t="s">
        <v>200</v>
      </c>
      <c r="DC2248" s="1" t="s">
        <v>1046</v>
      </c>
      <c r="DD2248" s="1" t="s">
        <v>4137</v>
      </c>
      <c r="DE2248" s="1" t="s">
        <v>273</v>
      </c>
      <c r="DF2248" s="1" t="s">
        <v>219</v>
      </c>
      <c r="DG2248" s="1" t="s">
        <v>337</v>
      </c>
      <c r="DH2248" s="1" t="s">
        <v>10690</v>
      </c>
      <c r="DI2248" s="1" t="s">
        <v>17720</v>
      </c>
      <c r="DJ2248" s="1" t="s">
        <v>1048</v>
      </c>
      <c r="DL2248" s="1" t="s">
        <v>223</v>
      </c>
      <c r="DM2248" s="1" t="s">
        <v>229</v>
      </c>
      <c r="DN2248" s="1" t="s">
        <v>399</v>
      </c>
      <c r="DO2248" s="1" t="s">
        <v>20845</v>
      </c>
      <c r="DP2248" s="1" t="s">
        <v>340</v>
      </c>
      <c r="DQ2248" s="1" t="s">
        <v>441</v>
      </c>
      <c r="DR2248" s="1" t="s">
        <v>588</v>
      </c>
      <c r="DS2248" s="1" t="s">
        <v>591</v>
      </c>
      <c r="DU2248" s="1" t="s">
        <v>20846</v>
      </c>
      <c r="DV2248" s="1" t="s">
        <v>20144</v>
      </c>
      <c r="DW2248" s="1" t="s">
        <v>13825</v>
      </c>
      <c r="DX2248" s="1" t="s">
        <v>280</v>
      </c>
      <c r="DY2248" s="1" t="s">
        <v>490</v>
      </c>
      <c r="DZ2248" s="1" t="s">
        <v>310</v>
      </c>
      <c r="EB2248" s="1" t="s">
        <v>492</v>
      </c>
      <c r="EC2248" s="1" t="s">
        <v>237</v>
      </c>
      <c r="ED2248" s="1" t="s">
        <v>555</v>
      </c>
      <c r="EG2248" s="1" t="s">
        <v>494</v>
      </c>
      <c r="EH2248" s="1" t="s">
        <v>408</v>
      </c>
      <c r="EK2248" s="1" t="s">
        <v>1102</v>
      </c>
      <c r="EL2248" s="1" t="s">
        <v>1483</v>
      </c>
      <c r="EM2248" s="1" t="s">
        <v>206</v>
      </c>
      <c r="EN2248" s="1" t="s">
        <v>207</v>
      </c>
      <c r="EP2248" s="1" t="s">
        <v>262</v>
      </c>
      <c r="EQ2248" s="1" t="s">
        <v>206</v>
      </c>
      <c r="ER2248" s="1" t="s">
        <v>207</v>
      </c>
      <c r="EU2248" s="1" t="s">
        <v>238</v>
      </c>
      <c r="EY2248" s="1" t="s">
        <v>238</v>
      </c>
      <c r="FB2248" s="1" t="s">
        <v>699</v>
      </c>
      <c r="FC2248" s="1" t="s">
        <v>206</v>
      </c>
      <c r="FD2248" s="1" t="s">
        <v>207</v>
      </c>
      <c r="FF2248" s="1" t="s">
        <v>239</v>
      </c>
      <c r="FG2248" s="1" t="s">
        <v>192</v>
      </c>
      <c r="FH2248" s="1" t="s">
        <v>192</v>
      </c>
      <c r="FJ2248" s="1" t="s">
        <v>20847</v>
      </c>
      <c r="FK2248" s="1" t="s">
        <v>229</v>
      </c>
      <c r="FL2248" s="1" t="s">
        <v>1358</v>
      </c>
      <c r="FM2248" s="1">
        <v>23591.0</v>
      </c>
      <c r="FN2248" s="1" t="s">
        <v>2134</v>
      </c>
      <c r="FO2248" s="1" t="s">
        <v>2135</v>
      </c>
      <c r="FP2248" s="1">
        <v>230500.0</v>
      </c>
      <c r="FQ2248" s="1" t="s">
        <v>2136</v>
      </c>
      <c r="FU2248" s="1" t="s">
        <v>4394</v>
      </c>
      <c r="FV2248" s="1" t="s">
        <v>200</v>
      </c>
      <c r="FW2248" s="1" t="s">
        <v>20848</v>
      </c>
      <c r="FZ2248" s="1" t="s">
        <v>229</v>
      </c>
      <c r="GA2248" s="1" t="s">
        <v>291</v>
      </c>
      <c r="GB2248" s="2">
        <v>42094.0</v>
      </c>
      <c r="GC2248" s="1" t="s">
        <v>20849</v>
      </c>
    </row>
    <row r="2249">
      <c r="A2249" s="1">
        <v>130000.0</v>
      </c>
      <c r="B2249" s="1" t="s">
        <v>185</v>
      </c>
      <c r="C2249" s="1" t="str">
        <f>"08740434"</f>
        <v>08740434</v>
      </c>
      <c r="D2249" s="1" t="s">
        <v>186</v>
      </c>
      <c r="F2249" s="1" t="str">
        <f>"8065"</f>
        <v>8065</v>
      </c>
      <c r="G2249" s="2">
        <v>41911.0</v>
      </c>
      <c r="H2249" s="1">
        <v>129500.0</v>
      </c>
      <c r="I2249" s="1">
        <v>10.0</v>
      </c>
      <c r="J2249" s="1">
        <v>129500.0</v>
      </c>
      <c r="K2249" s="2">
        <v>41920.0</v>
      </c>
      <c r="L2249" s="1">
        <v>10.0</v>
      </c>
      <c r="M2249" s="2">
        <v>41920.0</v>
      </c>
      <c r="N2249" s="1" t="s">
        <v>356</v>
      </c>
      <c r="O2249" s="2">
        <v>41992.0</v>
      </c>
      <c r="P2249" s="1">
        <v>127352.0</v>
      </c>
      <c r="Q2249" s="1">
        <v>12833.0</v>
      </c>
      <c r="S2249" s="1">
        <v>6744.0</v>
      </c>
      <c r="T2249" s="1" t="s">
        <v>3314</v>
      </c>
      <c r="U2249" s="1" t="s">
        <v>189</v>
      </c>
      <c r="V2249" s="1" t="s">
        <v>190</v>
      </c>
      <c r="W2249" s="1">
        <v>60629.0</v>
      </c>
      <c r="Y2249" s="1" t="s">
        <v>20850</v>
      </c>
      <c r="Z2249" s="1">
        <v>1948.0</v>
      </c>
      <c r="AA2249" s="1" t="s">
        <v>192</v>
      </c>
      <c r="AB2249" s="1" t="s">
        <v>193</v>
      </c>
      <c r="AD2249" s="1" t="s">
        <v>194</v>
      </c>
      <c r="AE2249" s="1" t="s">
        <v>195</v>
      </c>
      <c r="AF2249" s="1" t="s">
        <v>659</v>
      </c>
      <c r="AH2249" s="1" t="s">
        <v>1501</v>
      </c>
      <c r="AI2249" s="1">
        <v>0.0861</v>
      </c>
      <c r="AK2249" s="1">
        <v>7.0</v>
      </c>
      <c r="AL2249" s="1">
        <v>4.0</v>
      </c>
      <c r="AM2249" s="1">
        <v>2.0</v>
      </c>
      <c r="AN2249" s="1">
        <v>0.0</v>
      </c>
      <c r="AO2249" s="1" t="s">
        <v>229</v>
      </c>
      <c r="AP2249" s="1">
        <v>0.0</v>
      </c>
      <c r="AQ2249" s="1" t="s">
        <v>198</v>
      </c>
      <c r="AR2249" s="1" t="s">
        <v>192</v>
      </c>
      <c r="AS2249" s="1" t="s">
        <v>199</v>
      </c>
      <c r="AT2249" s="1">
        <v>2.0</v>
      </c>
      <c r="AV2249" s="1" t="s">
        <v>200</v>
      </c>
      <c r="AW2249" s="1">
        <v>2299.0</v>
      </c>
      <c r="AX2249" s="1">
        <v>2013.0</v>
      </c>
      <c r="AZ2249" s="1" t="s">
        <v>200</v>
      </c>
      <c r="BA2249" s="1" t="str">
        <f>"19224030360000"</f>
        <v>19224030360000</v>
      </c>
      <c r="BB2249" s="1" t="s">
        <v>200</v>
      </c>
      <c r="BC2249" s="1">
        <v>2100.0</v>
      </c>
      <c r="BD2249" s="1">
        <v>130000.0</v>
      </c>
      <c r="BE2249" s="2">
        <v>41911.0</v>
      </c>
      <c r="BF2249" s="1" t="s">
        <v>20851</v>
      </c>
      <c r="BH2249" s="1">
        <v>0.0</v>
      </c>
      <c r="BK2249" s="1" t="s">
        <v>204</v>
      </c>
      <c r="BL2249" s="1" t="str">
        <f t="shared" ref="BL2249:BM2249" si="1473">"0"</f>
        <v>0</v>
      </c>
      <c r="BM2249" s="1" t="str">
        <f t="shared" si="1473"/>
        <v>0</v>
      </c>
      <c r="BN2249" s="1">
        <v>4200.0</v>
      </c>
      <c r="BO2249" s="1">
        <v>6744.0</v>
      </c>
      <c r="BQ2249" s="1">
        <v>299.0</v>
      </c>
      <c r="BR2249" s="1">
        <v>299.0</v>
      </c>
      <c r="BS2249" s="1">
        <v>299.0</v>
      </c>
      <c r="BU2249" s="1" t="s">
        <v>582</v>
      </c>
      <c r="BV2249" s="1" t="s">
        <v>206</v>
      </c>
      <c r="BW2249" s="1" t="s">
        <v>207</v>
      </c>
      <c r="BX2249" s="1" t="s">
        <v>229</v>
      </c>
      <c r="BY2249" s="1" t="s">
        <v>208</v>
      </c>
      <c r="BZ2249" s="1" t="s">
        <v>209</v>
      </c>
      <c r="CA2249" s="1" t="s">
        <v>210</v>
      </c>
      <c r="CB2249" s="1" t="s">
        <v>229</v>
      </c>
      <c r="CD2249" s="1" t="s">
        <v>204</v>
      </c>
      <c r="CG2249" s="1" t="s">
        <v>2459</v>
      </c>
      <c r="CH2249" s="1" t="s">
        <v>209</v>
      </c>
      <c r="CI2249" s="1" t="s">
        <v>210</v>
      </c>
      <c r="CJ2249" s="1" t="s">
        <v>229</v>
      </c>
      <c r="CK2249" s="1" t="s">
        <v>363</v>
      </c>
      <c r="CL2249" s="1" t="s">
        <v>206</v>
      </c>
      <c r="CM2249" s="1" t="s">
        <v>207</v>
      </c>
      <c r="CN2249" s="1" t="s">
        <v>229</v>
      </c>
      <c r="CO2249" s="1" t="s">
        <v>332</v>
      </c>
      <c r="CP2249" s="1" t="s">
        <v>206</v>
      </c>
      <c r="CQ2249" s="1" t="s">
        <v>207</v>
      </c>
      <c r="CR2249" s="1" t="s">
        <v>229</v>
      </c>
      <c r="CS2249" s="1" t="s">
        <v>302</v>
      </c>
      <c r="CT2249" s="1" t="s">
        <v>206</v>
      </c>
      <c r="CU2249" s="1" t="s">
        <v>617</v>
      </c>
      <c r="CV2249" s="1" t="s">
        <v>229</v>
      </c>
      <c r="CX2249" s="1" t="s">
        <v>204</v>
      </c>
      <c r="DA2249" s="1" t="s">
        <v>200</v>
      </c>
      <c r="DC2249" s="1" t="s">
        <v>702</v>
      </c>
      <c r="DE2249" s="1" t="s">
        <v>273</v>
      </c>
      <c r="DF2249" s="1" t="s">
        <v>219</v>
      </c>
      <c r="DH2249" s="1" t="s">
        <v>365</v>
      </c>
      <c r="DJ2249" s="1" t="s">
        <v>222</v>
      </c>
      <c r="DL2249" s="1" t="s">
        <v>858</v>
      </c>
      <c r="DM2249" s="1" t="s">
        <v>229</v>
      </c>
      <c r="DQ2249" s="1" t="s">
        <v>228</v>
      </c>
      <c r="DR2249" s="1" t="s">
        <v>229</v>
      </c>
      <c r="DS2249" s="1" t="s">
        <v>401</v>
      </c>
      <c r="DV2249" s="1" t="s">
        <v>598</v>
      </c>
      <c r="DW2249" s="1" t="s">
        <v>279</v>
      </c>
      <c r="DX2249" s="1" t="s">
        <v>234</v>
      </c>
      <c r="EA2249" s="1" t="s">
        <v>1075</v>
      </c>
      <c r="EC2249" s="1" t="s">
        <v>237</v>
      </c>
      <c r="ED2249" s="1" t="s">
        <v>1761</v>
      </c>
      <c r="EE2249" s="1" t="s">
        <v>1960</v>
      </c>
      <c r="EG2249" s="1" t="s">
        <v>598</v>
      </c>
      <c r="EL2249" s="1" t="s">
        <v>1395</v>
      </c>
      <c r="EM2249" s="1" t="s">
        <v>42</v>
      </c>
      <c r="EN2249" s="1" t="s">
        <v>617</v>
      </c>
      <c r="EO2249" s="1" t="s">
        <v>229</v>
      </c>
      <c r="EQ2249" s="1" t="s">
        <v>238</v>
      </c>
      <c r="EU2249" s="1" t="s">
        <v>238</v>
      </c>
      <c r="EY2249" s="1" t="s">
        <v>238</v>
      </c>
      <c r="FC2249" s="1" t="s">
        <v>238</v>
      </c>
      <c r="FF2249" s="1" t="s">
        <v>239</v>
      </c>
      <c r="FG2249" s="1" t="s">
        <v>192</v>
      </c>
      <c r="FH2249" s="1" t="s">
        <v>192</v>
      </c>
      <c r="FJ2249" s="1" t="s">
        <v>14504</v>
      </c>
      <c r="FK2249" s="1" t="s">
        <v>229</v>
      </c>
      <c r="FL2249" s="1" t="s">
        <v>3282</v>
      </c>
      <c r="FM2249" s="1">
        <v>18570.0</v>
      </c>
      <c r="FN2249" s="1" t="s">
        <v>3283</v>
      </c>
      <c r="FO2249" s="1" t="s">
        <v>3284</v>
      </c>
      <c r="FP2249" s="1">
        <v>114993.0</v>
      </c>
      <c r="FQ2249" s="1" t="s">
        <v>3285</v>
      </c>
      <c r="FR2249" s="1">
        <v>128533.0</v>
      </c>
      <c r="FU2249" s="1" t="s">
        <v>3993</v>
      </c>
      <c r="FV2249" s="1" t="s">
        <v>192</v>
      </c>
      <c r="FW2249" s="1" t="s">
        <v>20852</v>
      </c>
      <c r="FX2249" s="1" t="s">
        <v>655</v>
      </c>
      <c r="FZ2249" s="1" t="s">
        <v>229</v>
      </c>
      <c r="GA2249" s="1" t="s">
        <v>291</v>
      </c>
      <c r="GB2249" s="2">
        <v>42009.0</v>
      </c>
      <c r="GC2249" s="1" t="s">
        <v>20853</v>
      </c>
    </row>
    <row r="2250">
      <c r="A2250" s="1">
        <v>165000.0</v>
      </c>
      <c r="B2250" s="1" t="s">
        <v>185</v>
      </c>
      <c r="C2250" s="1" t="str">
        <f>"08743194"</f>
        <v>08743194</v>
      </c>
      <c r="D2250" s="1" t="s">
        <v>186</v>
      </c>
      <c r="F2250" s="1" t="str">
        <f>"8071"</f>
        <v>8071</v>
      </c>
      <c r="G2250" s="2">
        <v>41914.0</v>
      </c>
      <c r="H2250" s="1">
        <v>169900.0</v>
      </c>
      <c r="I2250" s="1">
        <v>203.0</v>
      </c>
      <c r="J2250" s="1">
        <v>169900.0</v>
      </c>
      <c r="K2250" s="2">
        <v>42045.0</v>
      </c>
      <c r="L2250" s="1">
        <v>132.0</v>
      </c>
      <c r="M2250" s="2">
        <v>42045.0</v>
      </c>
      <c r="N2250" s="1" t="s">
        <v>356</v>
      </c>
      <c r="O2250" s="2">
        <v>42053.0</v>
      </c>
      <c r="P2250" s="1">
        <v>149967.0</v>
      </c>
      <c r="Q2250" s="1">
        <v>16921.0</v>
      </c>
      <c r="R2250" s="1">
        <v>3.0</v>
      </c>
      <c r="S2250" s="1">
        <v>8435.0</v>
      </c>
      <c r="T2250" s="1" t="s">
        <v>6006</v>
      </c>
      <c r="U2250" s="1" t="s">
        <v>320</v>
      </c>
      <c r="V2250" s="1" t="s">
        <v>190</v>
      </c>
      <c r="W2250" s="1">
        <v>60620.0</v>
      </c>
      <c r="Y2250" s="1" t="s">
        <v>20854</v>
      </c>
      <c r="Z2250" s="1">
        <v>1950.0</v>
      </c>
      <c r="AA2250" s="1" t="s">
        <v>192</v>
      </c>
      <c r="AB2250" s="1" t="s">
        <v>193</v>
      </c>
      <c r="AD2250" s="1" t="s">
        <v>194</v>
      </c>
      <c r="AE2250" s="1" t="s">
        <v>195</v>
      </c>
      <c r="AF2250" s="1" t="s">
        <v>659</v>
      </c>
      <c r="AH2250" s="1" t="s">
        <v>1501</v>
      </c>
      <c r="AK2250" s="1">
        <v>8.0</v>
      </c>
      <c r="AL2250" s="1">
        <v>3.0</v>
      </c>
      <c r="AM2250" s="1">
        <v>2.0</v>
      </c>
      <c r="AN2250" s="1">
        <v>1.0</v>
      </c>
      <c r="AO2250" s="1" t="s">
        <v>229</v>
      </c>
      <c r="AQ2250" s="1" t="s">
        <v>198</v>
      </c>
      <c r="AR2250" s="1" t="s">
        <v>192</v>
      </c>
      <c r="AS2250" s="1" t="s">
        <v>199</v>
      </c>
      <c r="AT2250" s="1">
        <v>1.0</v>
      </c>
      <c r="AV2250" s="1" t="s">
        <v>200</v>
      </c>
      <c r="AW2250" s="1">
        <v>1873.61</v>
      </c>
      <c r="AX2250" s="1">
        <v>2013.0</v>
      </c>
      <c r="AZ2250" s="1" t="s">
        <v>200</v>
      </c>
      <c r="BA2250" s="1" t="str">
        <f>"20323130460000"</f>
        <v>20323130460000</v>
      </c>
      <c r="BC2250" s="1">
        <v>1781.0</v>
      </c>
      <c r="BD2250" s="1">
        <v>165000.0</v>
      </c>
      <c r="BE2250" s="2">
        <v>41914.0</v>
      </c>
      <c r="BF2250" s="2" t="s">
        <v>20855</v>
      </c>
      <c r="BH2250" s="1">
        <v>0.0</v>
      </c>
      <c r="BK2250" s="1" t="s">
        <v>204</v>
      </c>
      <c r="BL2250" s="1" t="str">
        <f t="shared" ref="BL2250:BM2250" si="1474">"0"</f>
        <v>0</v>
      </c>
      <c r="BM2250" s="1" t="str">
        <f t="shared" si="1474"/>
        <v>0</v>
      </c>
      <c r="BN2250" s="1">
        <v>1300.0</v>
      </c>
      <c r="BO2250" s="1">
        <v>8435.0</v>
      </c>
      <c r="BQ2250" s="1">
        <v>299.0</v>
      </c>
      <c r="BR2250" s="1">
        <v>299.0</v>
      </c>
      <c r="BS2250" s="1">
        <v>299.0</v>
      </c>
      <c r="BU2250" s="1" t="s">
        <v>784</v>
      </c>
      <c r="BV2250" s="1" t="s">
        <v>206</v>
      </c>
      <c r="BW2250" s="1" t="s">
        <v>207</v>
      </c>
      <c r="BY2250" s="1" t="s">
        <v>544</v>
      </c>
      <c r="BZ2250" s="1" t="s">
        <v>209</v>
      </c>
      <c r="CA2250" s="1" t="s">
        <v>210</v>
      </c>
      <c r="CC2250" s="1" t="s">
        <v>433</v>
      </c>
      <c r="CD2250" s="1" t="s">
        <v>206</v>
      </c>
      <c r="CE2250" s="1" t="s">
        <v>207</v>
      </c>
      <c r="CG2250" s="1" t="s">
        <v>332</v>
      </c>
      <c r="CH2250" s="1" t="s">
        <v>206</v>
      </c>
      <c r="CI2250" s="1" t="s">
        <v>207</v>
      </c>
      <c r="CK2250" s="1" t="s">
        <v>758</v>
      </c>
      <c r="CL2250" s="1" t="s">
        <v>209</v>
      </c>
      <c r="CM2250" s="1" t="s">
        <v>210</v>
      </c>
      <c r="CO2250" s="1" t="s">
        <v>264</v>
      </c>
      <c r="CP2250" s="1" t="s">
        <v>42</v>
      </c>
      <c r="CQ2250" s="1" t="s">
        <v>268</v>
      </c>
      <c r="CS2250" s="1" t="s">
        <v>453</v>
      </c>
      <c r="CT2250" s="1" t="s">
        <v>206</v>
      </c>
      <c r="CU2250" s="1" t="s">
        <v>207</v>
      </c>
      <c r="CW2250" s="1" t="s">
        <v>3817</v>
      </c>
      <c r="CX2250" s="1" t="s">
        <v>42</v>
      </c>
      <c r="CY2250" s="1" t="s">
        <v>268</v>
      </c>
      <c r="DA2250" s="1" t="s">
        <v>200</v>
      </c>
      <c r="DC2250" s="1" t="s">
        <v>702</v>
      </c>
      <c r="DD2250" s="1" t="s">
        <v>436</v>
      </c>
      <c r="DE2250" s="1" t="s">
        <v>273</v>
      </c>
      <c r="DF2250" s="1" t="s">
        <v>219</v>
      </c>
      <c r="DG2250" s="1" t="s">
        <v>337</v>
      </c>
      <c r="DH2250" s="1" t="s">
        <v>365</v>
      </c>
      <c r="DI2250" s="1" t="s">
        <v>366</v>
      </c>
      <c r="DJ2250" s="1" t="s">
        <v>222</v>
      </c>
      <c r="DK2250" s="1" t="s">
        <v>1380</v>
      </c>
      <c r="DL2250" s="1" t="s">
        <v>224</v>
      </c>
      <c r="DM2250" s="1" t="s">
        <v>338</v>
      </c>
      <c r="DN2250" s="1" t="s">
        <v>20856</v>
      </c>
      <c r="DP2250" s="1" t="s">
        <v>276</v>
      </c>
      <c r="DQ2250" s="1" t="s">
        <v>228</v>
      </c>
      <c r="DR2250" s="1" t="s">
        <v>229</v>
      </c>
      <c r="DS2250" s="1" t="s">
        <v>230</v>
      </c>
      <c r="DV2250" s="1" t="s">
        <v>2971</v>
      </c>
      <c r="DW2250" s="1" t="s">
        <v>279</v>
      </c>
      <c r="DX2250" s="1" t="s">
        <v>234</v>
      </c>
      <c r="DY2250" s="1" t="s">
        <v>10251</v>
      </c>
      <c r="DZ2250" s="1" t="s">
        <v>310</v>
      </c>
      <c r="EA2250" s="1" t="s">
        <v>1075</v>
      </c>
      <c r="EC2250" s="1" t="s">
        <v>645</v>
      </c>
      <c r="EE2250" s="1" t="s">
        <v>493</v>
      </c>
      <c r="EG2250" s="1" t="s">
        <v>2971</v>
      </c>
      <c r="EL2250" s="1" t="s">
        <v>263</v>
      </c>
      <c r="EM2250" s="1" t="s">
        <v>42</v>
      </c>
      <c r="EN2250" s="1" t="s">
        <v>268</v>
      </c>
      <c r="EQ2250" s="1" t="s">
        <v>238</v>
      </c>
      <c r="EU2250" s="1" t="s">
        <v>238</v>
      </c>
      <c r="EY2250" s="1" t="s">
        <v>238</v>
      </c>
      <c r="FC2250" s="1" t="s">
        <v>238</v>
      </c>
      <c r="FF2250" s="1" t="s">
        <v>239</v>
      </c>
      <c r="FG2250" s="1" t="s">
        <v>192</v>
      </c>
      <c r="FH2250" s="1" t="s">
        <v>192</v>
      </c>
      <c r="FJ2250" s="1" t="s">
        <v>1280</v>
      </c>
      <c r="FK2250" s="1" t="s">
        <v>229</v>
      </c>
      <c r="FL2250" s="1" t="s">
        <v>8326</v>
      </c>
      <c r="FM2250" s="1">
        <v>23391.0</v>
      </c>
      <c r="FN2250" s="1" t="s">
        <v>8327</v>
      </c>
      <c r="FO2250" s="1" t="s">
        <v>12825</v>
      </c>
      <c r="FP2250" s="1">
        <v>239395.0</v>
      </c>
      <c r="FS2250" s="1" t="s">
        <v>12826</v>
      </c>
      <c r="FU2250" s="1" t="s">
        <v>12827</v>
      </c>
      <c r="FV2250" s="1" t="s">
        <v>200</v>
      </c>
      <c r="FW2250" s="1" t="s">
        <v>290</v>
      </c>
      <c r="FX2250" s="1" t="s">
        <v>655</v>
      </c>
      <c r="FZ2250" s="1" t="s">
        <v>229</v>
      </c>
      <c r="GA2250" s="1" t="s">
        <v>291</v>
      </c>
      <c r="GB2250" s="2">
        <v>42054.0</v>
      </c>
    </row>
    <row r="2251">
      <c r="A2251" s="1">
        <v>532500.0</v>
      </c>
      <c r="B2251" s="1" t="s">
        <v>185</v>
      </c>
      <c r="C2251" s="1" t="str">
        <f>"08743275"</f>
        <v>08743275</v>
      </c>
      <c r="D2251" s="1" t="s">
        <v>186</v>
      </c>
      <c r="F2251" s="1" t="str">
        <f>"8024"</f>
        <v>8024</v>
      </c>
      <c r="G2251" s="2">
        <v>41914.0</v>
      </c>
      <c r="H2251" s="1">
        <v>549000.0</v>
      </c>
      <c r="I2251" s="1">
        <v>89.0</v>
      </c>
      <c r="J2251" s="1">
        <v>549000.0</v>
      </c>
      <c r="K2251" s="2">
        <v>41960.0</v>
      </c>
      <c r="L2251" s="1">
        <v>47.0</v>
      </c>
      <c r="M2251" s="2">
        <v>41960.0</v>
      </c>
      <c r="N2251" s="1" t="s">
        <v>187</v>
      </c>
      <c r="O2251" s="2">
        <v>41988.0</v>
      </c>
      <c r="P2251" s="1">
        <v>874839.0</v>
      </c>
      <c r="Q2251" s="1">
        <v>12604.0</v>
      </c>
      <c r="S2251" s="1">
        <v>835.0</v>
      </c>
      <c r="T2251" s="1" t="s">
        <v>2032</v>
      </c>
      <c r="U2251" s="1" t="s">
        <v>189</v>
      </c>
      <c r="V2251" s="1" t="s">
        <v>190</v>
      </c>
      <c r="W2251" s="1">
        <v>60622.0</v>
      </c>
      <c r="Y2251" s="1" t="s">
        <v>20857</v>
      </c>
      <c r="Z2251" s="1" t="s">
        <v>296</v>
      </c>
      <c r="AA2251" s="1" t="s">
        <v>192</v>
      </c>
      <c r="AB2251" s="1" t="s">
        <v>193</v>
      </c>
      <c r="AD2251" s="1" t="s">
        <v>194</v>
      </c>
      <c r="AE2251" s="1" t="s">
        <v>195</v>
      </c>
      <c r="AF2251" s="1" t="s">
        <v>827</v>
      </c>
      <c r="AH2251" s="1" t="s">
        <v>741</v>
      </c>
      <c r="AI2251" s="1">
        <v>0.0717</v>
      </c>
      <c r="AK2251" s="1">
        <v>8.0</v>
      </c>
      <c r="AL2251" s="1">
        <v>4.0</v>
      </c>
      <c r="AM2251" s="1">
        <v>3.0</v>
      </c>
      <c r="AN2251" s="1">
        <v>1.0</v>
      </c>
      <c r="AO2251" s="1" t="s">
        <v>198</v>
      </c>
      <c r="AP2251" s="1">
        <v>1.0</v>
      </c>
      <c r="AQ2251" s="1" t="s">
        <v>472</v>
      </c>
      <c r="AR2251" s="1" t="s">
        <v>192</v>
      </c>
      <c r="AS2251" s="1" t="s">
        <v>199</v>
      </c>
      <c r="AT2251" s="1">
        <v>2.0</v>
      </c>
      <c r="AV2251" s="1" t="s">
        <v>200</v>
      </c>
      <c r="AW2251" s="4">
        <v>4192.3</v>
      </c>
      <c r="AX2251" s="1">
        <v>2013.0</v>
      </c>
      <c r="AY2251" s="1" t="s">
        <v>387</v>
      </c>
      <c r="AZ2251" s="1" t="s">
        <v>200</v>
      </c>
      <c r="BA2251" s="1" t="str">
        <f>"16013250180000"</f>
        <v>16013250180000</v>
      </c>
      <c r="BC2251" s="1">
        <v>3150.0</v>
      </c>
      <c r="BD2251" s="1">
        <v>532500.0</v>
      </c>
      <c r="BE2251" s="2">
        <v>41914.0</v>
      </c>
      <c r="BF2251" s="2" t="s">
        <v>20858</v>
      </c>
      <c r="BH2251" s="1">
        <v>0.0</v>
      </c>
      <c r="BK2251" s="1" t="s">
        <v>204</v>
      </c>
      <c r="BL2251" s="1" t="str">
        <f>"835"</f>
        <v>835</v>
      </c>
      <c r="BM2251" s="1" t="str">
        <f>"0"</f>
        <v>0</v>
      </c>
      <c r="BN2251" s="1">
        <v>2900.0</v>
      </c>
      <c r="BO2251" s="1">
        <v>0.0</v>
      </c>
      <c r="BQ2251" s="1">
        <v>299.0</v>
      </c>
      <c r="BR2251" s="1">
        <v>299.0</v>
      </c>
      <c r="BS2251" s="1">
        <v>299.0</v>
      </c>
      <c r="BU2251" s="1" t="s">
        <v>544</v>
      </c>
      <c r="BV2251" s="1" t="s">
        <v>206</v>
      </c>
      <c r="BW2251" s="1" t="s">
        <v>207</v>
      </c>
      <c r="BY2251" s="1" t="s">
        <v>955</v>
      </c>
      <c r="BZ2251" s="1" t="s">
        <v>209</v>
      </c>
      <c r="CA2251" s="1" t="s">
        <v>207</v>
      </c>
      <c r="CC2251" s="1" t="s">
        <v>743</v>
      </c>
      <c r="CD2251" s="1" t="s">
        <v>206</v>
      </c>
      <c r="CE2251" s="1" t="s">
        <v>207</v>
      </c>
      <c r="CG2251" s="1" t="s">
        <v>363</v>
      </c>
      <c r="CH2251" s="1" t="s">
        <v>209</v>
      </c>
      <c r="CI2251" s="1" t="s">
        <v>207</v>
      </c>
      <c r="CK2251" s="1" t="s">
        <v>212</v>
      </c>
      <c r="CL2251" s="1" t="s">
        <v>209</v>
      </c>
      <c r="CM2251" s="1" t="s">
        <v>207</v>
      </c>
      <c r="CO2251" s="1" t="s">
        <v>212</v>
      </c>
      <c r="CP2251" s="1" t="s">
        <v>267</v>
      </c>
      <c r="CQ2251" s="1" t="s">
        <v>210</v>
      </c>
      <c r="CS2251" s="1" t="s">
        <v>583</v>
      </c>
      <c r="CT2251" s="1" t="s">
        <v>206</v>
      </c>
      <c r="CU2251" s="1" t="s">
        <v>207</v>
      </c>
      <c r="CW2251" s="1" t="s">
        <v>13174</v>
      </c>
      <c r="CX2251" s="1" t="s">
        <v>267</v>
      </c>
      <c r="CY2251" s="1" t="s">
        <v>210</v>
      </c>
      <c r="DA2251" s="1" t="s">
        <v>200</v>
      </c>
      <c r="DC2251" s="1" t="s">
        <v>642</v>
      </c>
      <c r="DD2251" s="1" t="s">
        <v>759</v>
      </c>
      <c r="DE2251" s="1" t="s">
        <v>218</v>
      </c>
      <c r="DF2251" s="1" t="s">
        <v>745</v>
      </c>
      <c r="DG2251" s="1" t="s">
        <v>8104</v>
      </c>
      <c r="DH2251" s="1" t="s">
        <v>365</v>
      </c>
      <c r="DI2251" s="1" t="s">
        <v>4683</v>
      </c>
      <c r="DJ2251" s="1" t="s">
        <v>222</v>
      </c>
      <c r="DL2251" s="1" t="s">
        <v>224</v>
      </c>
      <c r="DM2251" s="1" t="s">
        <v>229</v>
      </c>
      <c r="DN2251" s="1" t="s">
        <v>2676</v>
      </c>
      <c r="DP2251" s="1" t="s">
        <v>340</v>
      </c>
      <c r="DQ2251" s="1" t="s">
        <v>718</v>
      </c>
      <c r="DR2251" s="1" t="s">
        <v>229</v>
      </c>
      <c r="DS2251" s="1" t="s">
        <v>230</v>
      </c>
      <c r="DU2251" s="1" t="s">
        <v>19371</v>
      </c>
      <c r="DV2251" s="1" t="s">
        <v>310</v>
      </c>
      <c r="DW2251" s="1" t="s">
        <v>279</v>
      </c>
      <c r="DX2251" s="1" t="s">
        <v>234</v>
      </c>
      <c r="DY2251" s="1" t="s">
        <v>596</v>
      </c>
      <c r="DZ2251" s="1" t="s">
        <v>236</v>
      </c>
      <c r="EA2251" s="1" t="s">
        <v>1027</v>
      </c>
      <c r="EB2251" s="1" t="s">
        <v>6979</v>
      </c>
      <c r="EC2251" s="1" t="s">
        <v>237</v>
      </c>
      <c r="ED2251" s="1" t="s">
        <v>555</v>
      </c>
      <c r="EG2251" s="1" t="s">
        <v>310</v>
      </c>
      <c r="EL2251" s="1" t="s">
        <v>212</v>
      </c>
      <c r="EM2251" s="1" t="s">
        <v>206</v>
      </c>
      <c r="EN2251" s="1" t="s">
        <v>588</v>
      </c>
      <c r="EQ2251" s="1" t="s">
        <v>238</v>
      </c>
      <c r="EU2251" s="1" t="s">
        <v>238</v>
      </c>
      <c r="EY2251" s="1" t="s">
        <v>238</v>
      </c>
      <c r="FC2251" s="1" t="s">
        <v>238</v>
      </c>
      <c r="FF2251" s="1" t="s">
        <v>239</v>
      </c>
      <c r="FG2251" s="1" t="s">
        <v>192</v>
      </c>
      <c r="FH2251" s="1" t="s">
        <v>192</v>
      </c>
      <c r="FJ2251" s="1" t="s">
        <v>412</v>
      </c>
      <c r="FK2251" s="1" t="s">
        <v>229</v>
      </c>
      <c r="FL2251" s="1" t="s">
        <v>5070</v>
      </c>
      <c r="FM2251" s="1">
        <v>12604.0</v>
      </c>
      <c r="FN2251" s="1" t="s">
        <v>5071</v>
      </c>
      <c r="FO2251" s="1" t="s">
        <v>5072</v>
      </c>
      <c r="FP2251" s="1">
        <v>125093.0</v>
      </c>
      <c r="FQ2251" s="1" t="s">
        <v>5073</v>
      </c>
      <c r="FR2251" s="1">
        <v>148835.0</v>
      </c>
      <c r="FU2251" s="1" t="s">
        <v>5085</v>
      </c>
      <c r="FV2251" s="1" t="s">
        <v>200</v>
      </c>
      <c r="FW2251" s="1" t="s">
        <v>530</v>
      </c>
      <c r="FX2251" s="1" t="s">
        <v>238</v>
      </c>
      <c r="FZ2251" s="1" t="s">
        <v>229</v>
      </c>
      <c r="GA2251" s="1" t="s">
        <v>291</v>
      </c>
      <c r="GB2251" s="2">
        <v>41989.0</v>
      </c>
      <c r="GC2251" s="1" t="s">
        <v>20859</v>
      </c>
    </row>
    <row r="2252">
      <c r="A2252" s="1">
        <v>77900.0</v>
      </c>
      <c r="B2252" s="1" t="s">
        <v>185</v>
      </c>
      <c r="C2252" s="1" t="str">
        <f>"08744425"</f>
        <v>08744425</v>
      </c>
      <c r="D2252" s="1" t="s">
        <v>186</v>
      </c>
      <c r="F2252" s="1" t="str">
        <f>"8046"</f>
        <v>8046</v>
      </c>
      <c r="G2252" s="2">
        <v>41915.0</v>
      </c>
      <c r="H2252" s="1">
        <v>108900.0</v>
      </c>
      <c r="I2252" s="1">
        <v>77.0</v>
      </c>
      <c r="J2252" s="1">
        <v>79900.0</v>
      </c>
      <c r="K2252" s="2">
        <v>41991.0</v>
      </c>
      <c r="L2252" s="1">
        <v>77.0</v>
      </c>
      <c r="M2252" s="2">
        <v>41991.0</v>
      </c>
      <c r="N2252" s="1" t="s">
        <v>249</v>
      </c>
      <c r="O2252" s="2">
        <v>42030.0</v>
      </c>
      <c r="P2252" s="1">
        <v>118818.0</v>
      </c>
      <c r="Q2252" s="1">
        <v>85073.0</v>
      </c>
      <c r="S2252" s="1">
        <v>8443.0</v>
      </c>
      <c r="T2252" s="1" t="s">
        <v>8494</v>
      </c>
      <c r="U2252" s="1" t="s">
        <v>189</v>
      </c>
      <c r="V2252" s="1" t="s">
        <v>190</v>
      </c>
      <c r="W2252" s="1">
        <v>60617.0</v>
      </c>
      <c r="Y2252" s="1" t="s">
        <v>20860</v>
      </c>
      <c r="Z2252" s="1">
        <v>1919.0</v>
      </c>
      <c r="AA2252" s="1" t="s">
        <v>192</v>
      </c>
      <c r="AB2252" s="1" t="s">
        <v>193</v>
      </c>
      <c r="AD2252" s="1" t="s">
        <v>194</v>
      </c>
      <c r="AE2252" s="1" t="s">
        <v>195</v>
      </c>
      <c r="AF2252" s="1" t="s">
        <v>637</v>
      </c>
      <c r="AH2252" s="1" t="s">
        <v>1501</v>
      </c>
      <c r="AI2252" s="1">
        <v>0.0861</v>
      </c>
      <c r="AK2252" s="1">
        <v>7.0</v>
      </c>
      <c r="AL2252" s="1">
        <v>4.0</v>
      </c>
      <c r="AM2252" s="1">
        <v>2.0</v>
      </c>
      <c r="AN2252" s="1">
        <v>0.0</v>
      </c>
      <c r="AO2252" s="1" t="s">
        <v>229</v>
      </c>
      <c r="AQ2252" s="1" t="s">
        <v>198</v>
      </c>
      <c r="AR2252" s="1" t="s">
        <v>192</v>
      </c>
      <c r="AS2252" s="1" t="s">
        <v>199</v>
      </c>
      <c r="AT2252" s="1">
        <v>2.0</v>
      </c>
      <c r="AV2252" s="1" t="s">
        <v>200</v>
      </c>
      <c r="AW2252" s="1">
        <v>1941.76</v>
      </c>
      <c r="AX2252" s="1">
        <v>2012.0</v>
      </c>
      <c r="AZ2252" s="1" t="s">
        <v>545</v>
      </c>
      <c r="BA2252" s="1" t="str">
        <f>"20364120150000"</f>
        <v>20364120150000</v>
      </c>
      <c r="BC2252" s="1">
        <v>1219.0</v>
      </c>
      <c r="BD2252" s="1">
        <v>77900.0</v>
      </c>
      <c r="BE2252" s="2">
        <v>41915.0</v>
      </c>
      <c r="BF2252" s="2" t="s">
        <v>20861</v>
      </c>
      <c r="BH2252" s="1">
        <v>0.0</v>
      </c>
      <c r="BK2252" s="1" t="s">
        <v>204</v>
      </c>
      <c r="BL2252" s="1" t="str">
        <f>"0"</f>
        <v>0</v>
      </c>
      <c r="BM2252" s="1" t="str">
        <f>"2200"</f>
        <v>2200</v>
      </c>
      <c r="BN2252" s="1">
        <v>0.0</v>
      </c>
      <c r="BO2252" s="1">
        <v>8443.0</v>
      </c>
      <c r="BQ2252" s="1">
        <v>299.0</v>
      </c>
      <c r="BR2252" s="1">
        <v>299.0</v>
      </c>
      <c r="BS2252" s="1">
        <v>299.0</v>
      </c>
      <c r="BU2252" s="1" t="s">
        <v>1426</v>
      </c>
      <c r="BV2252" s="1" t="s">
        <v>206</v>
      </c>
      <c r="BY2252" s="1" t="s">
        <v>758</v>
      </c>
      <c r="BZ2252" s="1" t="s">
        <v>206</v>
      </c>
      <c r="CC2252" s="1" t="s">
        <v>433</v>
      </c>
      <c r="CD2252" s="1" t="s">
        <v>206</v>
      </c>
      <c r="CG2252" s="1" t="s">
        <v>215</v>
      </c>
      <c r="CH2252" s="1" t="s">
        <v>206</v>
      </c>
      <c r="CK2252" s="1" t="s">
        <v>363</v>
      </c>
      <c r="CL2252" s="1" t="s">
        <v>206</v>
      </c>
      <c r="CO2252" s="1" t="s">
        <v>1852</v>
      </c>
      <c r="CP2252" s="1" t="s">
        <v>206</v>
      </c>
      <c r="CS2252" s="1" t="s">
        <v>663</v>
      </c>
      <c r="CT2252" s="1" t="s">
        <v>206</v>
      </c>
      <c r="CX2252" s="1" t="s">
        <v>204</v>
      </c>
      <c r="DA2252" s="1" t="s">
        <v>200</v>
      </c>
      <c r="DC2252" s="1" t="s">
        <v>216</v>
      </c>
      <c r="DE2252" s="1" t="s">
        <v>273</v>
      </c>
      <c r="DF2252" s="1" t="s">
        <v>619</v>
      </c>
      <c r="DH2252" s="1" t="s">
        <v>307</v>
      </c>
      <c r="DJ2252" s="1" t="s">
        <v>222</v>
      </c>
      <c r="DL2252" s="1" t="s">
        <v>223</v>
      </c>
      <c r="DM2252" s="1" t="s">
        <v>229</v>
      </c>
      <c r="DP2252" s="1" t="s">
        <v>340</v>
      </c>
      <c r="DQ2252" s="1" t="s">
        <v>228</v>
      </c>
      <c r="DR2252" s="1" t="s">
        <v>229</v>
      </c>
      <c r="DV2252" s="1" t="s">
        <v>232</v>
      </c>
      <c r="DW2252" s="1" t="s">
        <v>279</v>
      </c>
      <c r="DX2252" s="1" t="s">
        <v>309</v>
      </c>
      <c r="EA2252" s="1" t="s">
        <v>644</v>
      </c>
      <c r="EC2252" s="1" t="s">
        <v>645</v>
      </c>
      <c r="EM2252" s="1" t="s">
        <v>238</v>
      </c>
      <c r="EQ2252" s="1" t="s">
        <v>238</v>
      </c>
      <c r="EU2252" s="1" t="s">
        <v>238</v>
      </c>
      <c r="EY2252" s="1" t="s">
        <v>238</v>
      </c>
      <c r="FC2252" s="1" t="s">
        <v>238</v>
      </c>
      <c r="FF2252" s="1" t="s">
        <v>239</v>
      </c>
      <c r="FG2252" s="1" t="s">
        <v>192</v>
      </c>
      <c r="FH2252" s="1" t="s">
        <v>192</v>
      </c>
      <c r="FJ2252" s="1" t="s">
        <v>770</v>
      </c>
      <c r="FK2252" s="1" t="s">
        <v>229</v>
      </c>
      <c r="FL2252" s="1" t="s">
        <v>3272</v>
      </c>
      <c r="FM2252" s="1">
        <v>12511.0</v>
      </c>
      <c r="FN2252" s="1" t="s">
        <v>3273</v>
      </c>
      <c r="FO2252" s="1" t="s">
        <v>3274</v>
      </c>
      <c r="FP2252" s="1">
        <v>121408.0</v>
      </c>
      <c r="FQ2252" s="1" t="s">
        <v>3275</v>
      </c>
      <c r="FU2252" s="1" t="s">
        <v>6824</v>
      </c>
      <c r="FV2252" s="1" t="s">
        <v>200</v>
      </c>
      <c r="FW2252" s="1" t="s">
        <v>290</v>
      </c>
      <c r="FX2252" s="1" t="s">
        <v>655</v>
      </c>
      <c r="FZ2252" s="1" t="s">
        <v>229</v>
      </c>
      <c r="GA2252" s="1" t="s">
        <v>291</v>
      </c>
      <c r="GB2252" s="2">
        <v>42031.0</v>
      </c>
      <c r="GC2252" s="1" t="s">
        <v>20862</v>
      </c>
    </row>
    <row r="2253">
      <c r="A2253" s="1">
        <v>432500.0</v>
      </c>
      <c r="B2253" s="1" t="s">
        <v>185</v>
      </c>
      <c r="C2253" s="1" t="str">
        <f>"08744924"</f>
        <v>08744924</v>
      </c>
      <c r="D2253" s="1" t="s">
        <v>186</v>
      </c>
      <c r="F2253" s="1" t="str">
        <f>"543"</f>
        <v>543</v>
      </c>
      <c r="G2253" s="2">
        <v>41915.0</v>
      </c>
      <c r="H2253" s="1">
        <v>449900.0</v>
      </c>
      <c r="I2253" s="1">
        <v>33.0</v>
      </c>
      <c r="J2253" s="1">
        <v>449900.0</v>
      </c>
      <c r="K2253" s="2">
        <v>41946.0</v>
      </c>
      <c r="L2253" s="1">
        <v>33.0</v>
      </c>
      <c r="M2253" s="2">
        <v>41946.0</v>
      </c>
      <c r="N2253" s="1" t="s">
        <v>187</v>
      </c>
      <c r="O2253" s="2">
        <v>42033.0</v>
      </c>
      <c r="P2253" s="1">
        <v>313804.0</v>
      </c>
      <c r="Q2253" s="1">
        <v>300.0</v>
      </c>
      <c r="S2253" s="1" t="s">
        <v>20863</v>
      </c>
      <c r="T2253" s="1" t="s">
        <v>20864</v>
      </c>
      <c r="V2253" s="1" t="s">
        <v>1527</v>
      </c>
      <c r="W2253" s="1">
        <v>60543.0</v>
      </c>
      <c r="Y2253" s="1" t="s">
        <v>20865</v>
      </c>
      <c r="Z2253" s="1" t="s">
        <v>296</v>
      </c>
      <c r="AA2253" s="1" t="s">
        <v>192</v>
      </c>
      <c r="AB2253" s="1" t="s">
        <v>193</v>
      </c>
      <c r="AD2253" s="1" t="s">
        <v>1089</v>
      </c>
      <c r="AE2253" s="1" t="s">
        <v>849</v>
      </c>
      <c r="AF2253" s="1" t="s">
        <v>1312</v>
      </c>
      <c r="AH2253" s="1" t="s">
        <v>20866</v>
      </c>
      <c r="AI2253" s="1">
        <v>2.57</v>
      </c>
      <c r="AK2253" s="1">
        <v>9.0</v>
      </c>
      <c r="AL2253" s="1">
        <v>4.0</v>
      </c>
      <c r="AM2253" s="1">
        <v>2.0</v>
      </c>
      <c r="AN2253" s="1">
        <v>1.0</v>
      </c>
      <c r="AO2253" s="1" t="s">
        <v>198</v>
      </c>
      <c r="AP2253" s="1">
        <v>1.0</v>
      </c>
      <c r="AQ2253" s="1" t="s">
        <v>198</v>
      </c>
      <c r="AR2253" s="1" t="s">
        <v>200</v>
      </c>
      <c r="AS2253" s="1" t="s">
        <v>510</v>
      </c>
      <c r="AT2253" s="1">
        <v>2.0</v>
      </c>
      <c r="AU2253" s="1">
        <v>6.0</v>
      </c>
      <c r="AV2253" s="1" t="s">
        <v>192</v>
      </c>
      <c r="AW2253" s="1">
        <v>7132.0</v>
      </c>
      <c r="AX2253" s="1">
        <v>2013.0</v>
      </c>
      <c r="AY2253" s="1" t="s">
        <v>387</v>
      </c>
      <c r="AZ2253" s="1" t="s">
        <v>200</v>
      </c>
      <c r="BA2253" s="1" t="str">
        <f>"0223202015"</f>
        <v>0223202015</v>
      </c>
      <c r="BB2253" s="1" t="s">
        <v>192</v>
      </c>
      <c r="BC2253" s="1">
        <v>3098.0</v>
      </c>
      <c r="BD2253" s="1">
        <v>432500.0</v>
      </c>
      <c r="BE2253" s="2">
        <v>41914.0</v>
      </c>
      <c r="BF2253" s="2" t="s">
        <v>20867</v>
      </c>
      <c r="BH2253" s="1">
        <v>0.0</v>
      </c>
      <c r="BK2253" s="1" t="s">
        <v>204</v>
      </c>
      <c r="BL2253" s="1" t="str">
        <f t="shared" ref="BL2253:BM2253" si="1475">""</f>
        <v/>
      </c>
      <c r="BM2253" s="1" t="str">
        <f t="shared" si="1475"/>
        <v/>
      </c>
      <c r="BQ2253" s="1">
        <v>115.0</v>
      </c>
      <c r="BR2253" s="1">
        <v>115.0</v>
      </c>
      <c r="BS2253" s="1">
        <v>115.0</v>
      </c>
      <c r="BU2253" s="1" t="s">
        <v>20868</v>
      </c>
      <c r="BV2253" s="1" t="s">
        <v>206</v>
      </c>
      <c r="BW2253" s="1" t="s">
        <v>207</v>
      </c>
      <c r="BX2253" s="1" t="s">
        <v>1549</v>
      </c>
      <c r="BY2253" s="1" t="s">
        <v>1299</v>
      </c>
      <c r="BZ2253" s="1" t="s">
        <v>206</v>
      </c>
      <c r="CA2253" s="1" t="s">
        <v>207</v>
      </c>
      <c r="CB2253" s="1" t="s">
        <v>1549</v>
      </c>
      <c r="CD2253" s="1" t="s">
        <v>204</v>
      </c>
      <c r="CG2253" s="1" t="s">
        <v>205</v>
      </c>
      <c r="CH2253" s="1" t="s">
        <v>209</v>
      </c>
      <c r="CI2253" s="1" t="s">
        <v>210</v>
      </c>
      <c r="CJ2253" s="1" t="s">
        <v>1549</v>
      </c>
      <c r="CK2253" s="1" t="s">
        <v>495</v>
      </c>
      <c r="CL2253" s="1" t="s">
        <v>209</v>
      </c>
      <c r="CM2253" s="1" t="s">
        <v>210</v>
      </c>
      <c r="CN2253" s="1" t="s">
        <v>1549</v>
      </c>
      <c r="CO2253" s="1" t="s">
        <v>640</v>
      </c>
      <c r="CP2253" s="1" t="s">
        <v>209</v>
      </c>
      <c r="CQ2253" s="1" t="s">
        <v>210</v>
      </c>
      <c r="CR2253" s="1" t="s">
        <v>1549</v>
      </c>
      <c r="CS2253" s="1" t="s">
        <v>941</v>
      </c>
      <c r="CT2253" s="1" t="s">
        <v>206</v>
      </c>
      <c r="CU2253" s="1" t="s">
        <v>207</v>
      </c>
      <c r="CV2253" s="1" t="s">
        <v>1549</v>
      </c>
      <c r="CX2253" s="1" t="s">
        <v>204</v>
      </c>
      <c r="DA2253" s="1" t="s">
        <v>200</v>
      </c>
      <c r="DC2253" s="1" t="s">
        <v>271</v>
      </c>
      <c r="DD2253" s="1" t="s">
        <v>306</v>
      </c>
      <c r="DE2253" s="1" t="s">
        <v>273</v>
      </c>
      <c r="DF2253" s="1" t="s">
        <v>219</v>
      </c>
      <c r="DG2253" s="1" t="s">
        <v>20869</v>
      </c>
      <c r="DH2253" s="1" t="s">
        <v>856</v>
      </c>
      <c r="DI2253" s="1" t="s">
        <v>20870</v>
      </c>
      <c r="DJ2253" s="1" t="s">
        <v>18269</v>
      </c>
      <c r="DL2253" s="1" t="s">
        <v>858</v>
      </c>
      <c r="DM2253" s="1" t="s">
        <v>229</v>
      </c>
      <c r="DN2253" s="1" t="s">
        <v>20871</v>
      </c>
      <c r="DO2253" s="1" t="s">
        <v>20872</v>
      </c>
      <c r="DP2253" s="1" t="s">
        <v>276</v>
      </c>
      <c r="DQ2253" s="1" t="s">
        <v>860</v>
      </c>
      <c r="DR2253" s="1" t="s">
        <v>229</v>
      </c>
      <c r="DS2253" s="1" t="s">
        <v>368</v>
      </c>
      <c r="DU2253" s="1" t="s">
        <v>11451</v>
      </c>
      <c r="DV2253" s="1" t="s">
        <v>20873</v>
      </c>
      <c r="DW2253" s="1" t="s">
        <v>20874</v>
      </c>
      <c r="DX2253" s="1" t="s">
        <v>280</v>
      </c>
      <c r="DY2253" s="1" t="s">
        <v>9395</v>
      </c>
      <c r="DZ2253" s="1" t="s">
        <v>20875</v>
      </c>
      <c r="EB2253" s="1" t="s">
        <v>14281</v>
      </c>
      <c r="EC2253" s="1" t="s">
        <v>237</v>
      </c>
      <c r="ED2253" s="1" t="s">
        <v>407</v>
      </c>
      <c r="EE2253" s="1" t="s">
        <v>493</v>
      </c>
      <c r="EF2253" s="1" t="s">
        <v>20876</v>
      </c>
      <c r="EG2253" s="1" t="s">
        <v>5798</v>
      </c>
      <c r="EH2253" s="1" t="s">
        <v>598</v>
      </c>
      <c r="EI2253" s="1" t="s">
        <v>720</v>
      </c>
      <c r="EJ2253" s="1" t="s">
        <v>409</v>
      </c>
      <c r="EK2253" s="1" t="s">
        <v>451</v>
      </c>
      <c r="EL2253" s="1" t="s">
        <v>20877</v>
      </c>
      <c r="EM2253" s="1" t="s">
        <v>206</v>
      </c>
      <c r="EN2253" s="1" t="s">
        <v>301</v>
      </c>
      <c r="EP2253" s="1" t="s">
        <v>262</v>
      </c>
      <c r="EQ2253" s="1" t="s">
        <v>206</v>
      </c>
      <c r="ER2253" s="1" t="s">
        <v>301</v>
      </c>
      <c r="ET2253" s="1" t="s">
        <v>4413</v>
      </c>
      <c r="EU2253" s="1" t="s">
        <v>206</v>
      </c>
      <c r="EV2253" s="1" t="s">
        <v>207</v>
      </c>
      <c r="EX2253" s="1" t="s">
        <v>560</v>
      </c>
      <c r="EY2253" s="1" t="s">
        <v>206</v>
      </c>
      <c r="EZ2253" s="1" t="s">
        <v>207</v>
      </c>
      <c r="FB2253" s="1" t="s">
        <v>495</v>
      </c>
      <c r="FC2253" s="1" t="s">
        <v>42</v>
      </c>
      <c r="FD2253" s="1" t="s">
        <v>617</v>
      </c>
      <c r="FF2253" s="1" t="s">
        <v>239</v>
      </c>
      <c r="FG2253" s="1" t="s">
        <v>192</v>
      </c>
      <c r="FH2253" s="1" t="s">
        <v>192</v>
      </c>
      <c r="FJ2253" s="1" t="s">
        <v>20878</v>
      </c>
      <c r="FK2253" s="1" t="s">
        <v>348</v>
      </c>
      <c r="FL2253" s="1" t="s">
        <v>1007</v>
      </c>
      <c r="FM2253" s="1">
        <v>23196.0</v>
      </c>
      <c r="FN2253" s="1" t="s">
        <v>3741</v>
      </c>
      <c r="FO2253" s="1" t="s">
        <v>6775</v>
      </c>
      <c r="FP2253" s="1">
        <v>233155.0</v>
      </c>
      <c r="FQ2253" s="1" t="s">
        <v>6776</v>
      </c>
      <c r="FR2253" s="1">
        <v>221629.0</v>
      </c>
      <c r="FS2253" s="1" t="s">
        <v>14216</v>
      </c>
      <c r="FU2253" s="1" t="s">
        <v>20879</v>
      </c>
      <c r="FV2253" s="1" t="s">
        <v>200</v>
      </c>
      <c r="FW2253" s="1" t="s">
        <v>2754</v>
      </c>
      <c r="FZ2253" s="1" t="s">
        <v>504</v>
      </c>
      <c r="GA2253" s="1" t="s">
        <v>291</v>
      </c>
      <c r="GB2253" s="2">
        <v>42034.0</v>
      </c>
    </row>
    <row r="2254">
      <c r="A2254" s="1">
        <v>225000.0</v>
      </c>
      <c r="B2254" s="1" t="s">
        <v>185</v>
      </c>
      <c r="C2254" s="1" t="str">
        <f>"08743109"</f>
        <v>08743109</v>
      </c>
      <c r="D2254" s="1" t="s">
        <v>186</v>
      </c>
      <c r="F2254" s="1" t="str">
        <f>"8025"</f>
        <v>8025</v>
      </c>
      <c r="G2254" s="2">
        <v>41914.0</v>
      </c>
      <c r="H2254" s="1">
        <v>265000.0</v>
      </c>
      <c r="I2254" s="1">
        <v>177.0</v>
      </c>
      <c r="J2254" s="1">
        <v>248900.0</v>
      </c>
      <c r="K2254" s="2">
        <v>42089.0</v>
      </c>
      <c r="L2254" s="1">
        <v>177.0</v>
      </c>
      <c r="M2254" s="2">
        <v>42089.0</v>
      </c>
      <c r="N2254" s="1" t="s">
        <v>356</v>
      </c>
      <c r="O2254" s="2">
        <v>42142.0</v>
      </c>
      <c r="P2254" s="1">
        <v>875893.0</v>
      </c>
      <c r="Q2254" s="1">
        <v>10115.0</v>
      </c>
      <c r="S2254" s="1">
        <v>5808.0</v>
      </c>
      <c r="T2254" s="1" t="s">
        <v>20880</v>
      </c>
      <c r="U2254" s="1" t="s">
        <v>320</v>
      </c>
      <c r="V2254" s="1" t="s">
        <v>190</v>
      </c>
      <c r="W2254" s="1">
        <v>60644.0</v>
      </c>
      <c r="Y2254" s="1" t="s">
        <v>20881</v>
      </c>
      <c r="Z2254" s="1">
        <v>1905.0</v>
      </c>
      <c r="AA2254" s="1" t="s">
        <v>192</v>
      </c>
      <c r="AB2254" s="1" t="s">
        <v>193</v>
      </c>
      <c r="AD2254" s="1" t="s">
        <v>194</v>
      </c>
      <c r="AE2254" s="1" t="s">
        <v>195</v>
      </c>
      <c r="AF2254" s="1" t="s">
        <v>827</v>
      </c>
      <c r="AH2254" s="1" t="s">
        <v>16464</v>
      </c>
      <c r="AI2254" s="1">
        <v>0.1377</v>
      </c>
      <c r="AK2254" s="1">
        <v>8.0</v>
      </c>
      <c r="AL2254" s="1">
        <v>4.0</v>
      </c>
      <c r="AM2254" s="1">
        <v>3.0</v>
      </c>
      <c r="AN2254" s="1">
        <v>0.0</v>
      </c>
      <c r="AO2254" s="1" t="s">
        <v>198</v>
      </c>
      <c r="AQ2254" s="1" t="s">
        <v>198</v>
      </c>
      <c r="AR2254" s="1" t="s">
        <v>200</v>
      </c>
      <c r="AS2254" s="1" t="s">
        <v>510</v>
      </c>
      <c r="AT2254" s="1">
        <v>2.0</v>
      </c>
      <c r="AU2254" s="1">
        <v>4.0</v>
      </c>
      <c r="AV2254" s="1" t="s">
        <v>200</v>
      </c>
      <c r="AW2254" s="1">
        <v>2733.0</v>
      </c>
      <c r="AX2254" s="1">
        <v>2013.0</v>
      </c>
      <c r="AZ2254" s="1" t="s">
        <v>200</v>
      </c>
      <c r="BA2254" s="1" t="str">
        <f>"16054170240000"</f>
        <v>16054170240000</v>
      </c>
      <c r="BC2254" s="1">
        <v>1900.0</v>
      </c>
      <c r="BD2254" s="1">
        <v>225000.0</v>
      </c>
      <c r="BE2254" s="2">
        <v>41913.0</v>
      </c>
      <c r="BF2254" s="2" t="s">
        <v>20882</v>
      </c>
      <c r="BH2254" s="1">
        <v>0.0</v>
      </c>
      <c r="BK2254" s="1" t="s">
        <v>204</v>
      </c>
      <c r="BL2254" s="1" t="str">
        <f>"900"</f>
        <v>900</v>
      </c>
      <c r="BM2254" s="1" t="str">
        <f>"0"</f>
        <v>0</v>
      </c>
      <c r="BN2254" s="1">
        <v>5808.0</v>
      </c>
      <c r="BO2254" s="1">
        <v>0.0</v>
      </c>
      <c r="BQ2254" s="1">
        <v>299.0</v>
      </c>
      <c r="BR2254" s="1">
        <v>299.0</v>
      </c>
      <c r="BS2254" s="1">
        <v>299.0</v>
      </c>
      <c r="BU2254" s="1" t="s">
        <v>677</v>
      </c>
      <c r="BV2254" s="1" t="s">
        <v>206</v>
      </c>
      <c r="BW2254" s="1" t="s">
        <v>301</v>
      </c>
      <c r="BY2254" s="1" t="s">
        <v>304</v>
      </c>
      <c r="BZ2254" s="1" t="s">
        <v>209</v>
      </c>
      <c r="CC2254" s="1" t="s">
        <v>433</v>
      </c>
      <c r="CD2254" s="1" t="s">
        <v>206</v>
      </c>
      <c r="CE2254" s="1" t="s">
        <v>301</v>
      </c>
      <c r="CG2254" s="1" t="s">
        <v>211</v>
      </c>
      <c r="CH2254" s="1" t="s">
        <v>209</v>
      </c>
      <c r="CK2254" s="1" t="s">
        <v>363</v>
      </c>
      <c r="CL2254" s="1" t="s">
        <v>209</v>
      </c>
      <c r="CM2254" s="1" t="s">
        <v>210</v>
      </c>
      <c r="CO2254" s="1" t="s">
        <v>433</v>
      </c>
      <c r="CP2254" s="1" t="s">
        <v>114</v>
      </c>
      <c r="CS2254" s="1" t="s">
        <v>211</v>
      </c>
      <c r="CT2254" s="1" t="s">
        <v>206</v>
      </c>
      <c r="CU2254" s="1" t="s">
        <v>268</v>
      </c>
      <c r="CW2254" s="1" t="s">
        <v>1567</v>
      </c>
      <c r="CX2254" s="1" t="s">
        <v>206</v>
      </c>
      <c r="CY2254" s="1" t="s">
        <v>301</v>
      </c>
      <c r="DA2254" s="1" t="s">
        <v>200</v>
      </c>
      <c r="DC2254" s="1" t="s">
        <v>642</v>
      </c>
      <c r="DE2254" s="1" t="s">
        <v>229</v>
      </c>
      <c r="DF2254" s="1" t="s">
        <v>219</v>
      </c>
      <c r="DH2254" s="1" t="s">
        <v>220</v>
      </c>
      <c r="DI2254" s="1" t="s">
        <v>2201</v>
      </c>
      <c r="DJ2254" s="1" t="s">
        <v>222</v>
      </c>
      <c r="DL2254" s="1" t="s">
        <v>223</v>
      </c>
      <c r="DM2254" s="1" t="s">
        <v>1143</v>
      </c>
      <c r="DQ2254" s="1" t="s">
        <v>228</v>
      </c>
      <c r="DR2254" s="1" t="s">
        <v>229</v>
      </c>
      <c r="DV2254" s="1" t="s">
        <v>408</v>
      </c>
      <c r="DW2254" s="1" t="s">
        <v>832</v>
      </c>
      <c r="DX2254" s="1" t="s">
        <v>234</v>
      </c>
      <c r="DY2254" s="1" t="s">
        <v>20883</v>
      </c>
      <c r="EC2254" s="1" t="s">
        <v>237</v>
      </c>
      <c r="EG2254" s="1" t="s">
        <v>408</v>
      </c>
      <c r="EL2254" s="1" t="s">
        <v>558</v>
      </c>
      <c r="EM2254" s="1" t="s">
        <v>206</v>
      </c>
      <c r="EQ2254" s="1" t="s">
        <v>238</v>
      </c>
      <c r="EU2254" s="1" t="s">
        <v>238</v>
      </c>
      <c r="EY2254" s="1" t="s">
        <v>238</v>
      </c>
      <c r="FC2254" s="1" t="s">
        <v>238</v>
      </c>
      <c r="FF2254" s="1" t="s">
        <v>239</v>
      </c>
      <c r="FG2254" s="1" t="s">
        <v>192</v>
      </c>
      <c r="FH2254" s="1" t="s">
        <v>192</v>
      </c>
      <c r="FJ2254" s="1" t="s">
        <v>6761</v>
      </c>
      <c r="FK2254" s="1" t="s">
        <v>229</v>
      </c>
      <c r="FL2254" s="1" t="s">
        <v>20884</v>
      </c>
      <c r="FM2254" s="1">
        <v>17952.0</v>
      </c>
      <c r="FN2254" s="1" t="s">
        <v>20885</v>
      </c>
      <c r="FO2254" s="1" t="s">
        <v>20886</v>
      </c>
      <c r="FP2254" s="1">
        <v>161234.0</v>
      </c>
      <c r="FQ2254" s="1" t="s">
        <v>20885</v>
      </c>
      <c r="FU2254" s="1" t="s">
        <v>20887</v>
      </c>
      <c r="FV2254" s="1" t="s">
        <v>200</v>
      </c>
      <c r="FW2254" s="1" t="s">
        <v>20888</v>
      </c>
      <c r="FX2254" s="1" t="s">
        <v>246</v>
      </c>
      <c r="FZ2254" s="1" t="s">
        <v>229</v>
      </c>
      <c r="GA2254" s="1" t="s">
        <v>291</v>
      </c>
      <c r="GB2254" s="2">
        <v>42143.0</v>
      </c>
      <c r="GC2254" s="1" t="s">
        <v>20889</v>
      </c>
    </row>
    <row r="2255">
      <c r="A2255" s="1">
        <v>745000.0</v>
      </c>
      <c r="B2255" s="1" t="s">
        <v>185</v>
      </c>
      <c r="C2255" s="1" t="str">
        <f>"08748654"</f>
        <v>08748654</v>
      </c>
      <c r="D2255" s="1" t="s">
        <v>186</v>
      </c>
      <c r="F2255" s="1" t="str">
        <f>"10"</f>
        <v>10</v>
      </c>
      <c r="G2255" s="2">
        <v>41920.0</v>
      </c>
      <c r="H2255" s="1">
        <v>824900.0</v>
      </c>
      <c r="I2255" s="1">
        <v>463.0</v>
      </c>
      <c r="J2255" s="1">
        <v>799900.0</v>
      </c>
      <c r="K2255" s="2">
        <v>42048.0</v>
      </c>
      <c r="L2255" s="1">
        <v>129.0</v>
      </c>
      <c r="M2255" s="2">
        <v>42048.0</v>
      </c>
      <c r="N2255" s="1" t="s">
        <v>187</v>
      </c>
      <c r="O2255" s="2">
        <v>42108.0</v>
      </c>
      <c r="P2255" s="1">
        <v>60228.0</v>
      </c>
      <c r="Q2255" s="1">
        <v>6022.0</v>
      </c>
      <c r="S2255" s="1">
        <v>21393.0</v>
      </c>
      <c r="T2255" s="1" t="s">
        <v>20890</v>
      </c>
      <c r="U2255" s="1" t="s">
        <v>569</v>
      </c>
      <c r="V2255" s="1" t="s">
        <v>1706</v>
      </c>
      <c r="W2255" s="1">
        <v>60010.0</v>
      </c>
      <c r="Y2255" s="1" t="s">
        <v>20891</v>
      </c>
      <c r="Z2255" s="1">
        <v>1999.0</v>
      </c>
      <c r="AA2255" s="1" t="s">
        <v>200</v>
      </c>
      <c r="AB2255" s="1" t="s">
        <v>193</v>
      </c>
      <c r="AD2255" s="1" t="s">
        <v>1089</v>
      </c>
      <c r="AE2255" s="1" t="s">
        <v>917</v>
      </c>
      <c r="AF2255" s="1" t="s">
        <v>918</v>
      </c>
      <c r="AG2255" s="1" t="s">
        <v>20892</v>
      </c>
      <c r="AH2255" s="1" t="s">
        <v>20893</v>
      </c>
      <c r="AI2255" s="1">
        <v>2.47</v>
      </c>
      <c r="AK2255" s="1">
        <v>14.0</v>
      </c>
      <c r="AL2255" s="1">
        <v>4.0</v>
      </c>
      <c r="AM2255" s="1">
        <v>5.0</v>
      </c>
      <c r="AN2255" s="1">
        <v>1.0</v>
      </c>
      <c r="AO2255" s="1" t="s">
        <v>198</v>
      </c>
      <c r="AP2255" s="1">
        <v>2.0</v>
      </c>
      <c r="AQ2255" s="1" t="s">
        <v>472</v>
      </c>
      <c r="AR2255" s="1" t="s">
        <v>192</v>
      </c>
      <c r="AS2255" s="1" t="s">
        <v>199</v>
      </c>
      <c r="AT2255" s="1">
        <v>3.0</v>
      </c>
      <c r="AV2255" s="1" t="s">
        <v>200</v>
      </c>
      <c r="AW2255" s="1">
        <v>18184.97</v>
      </c>
      <c r="AX2255" s="1">
        <v>2013.0</v>
      </c>
      <c r="AY2255" s="1" t="s">
        <v>387</v>
      </c>
      <c r="AZ2255" s="1" t="s">
        <v>200</v>
      </c>
      <c r="BA2255" s="1" t="str">
        <f>"13264030020000"</f>
        <v>13264030020000</v>
      </c>
      <c r="BC2255" s="1">
        <v>4820.0</v>
      </c>
      <c r="BD2255" s="1">
        <v>745000.0</v>
      </c>
      <c r="BE2255" s="2">
        <v>41920.0</v>
      </c>
      <c r="BF2255" s="2" t="s">
        <v>20894</v>
      </c>
      <c r="BG2255" s="1" t="s">
        <v>10354</v>
      </c>
      <c r="BH2255" s="1">
        <v>0.0</v>
      </c>
      <c r="BI2255" s="1" t="s">
        <v>11276</v>
      </c>
      <c r="BJ2255" s="1" t="s">
        <v>1714</v>
      </c>
      <c r="BK2255" s="1" t="s">
        <v>204</v>
      </c>
      <c r="BL2255" s="1" t="str">
        <f t="shared" ref="BL2255:BM2255" si="1476">""</f>
        <v/>
      </c>
      <c r="BM2255" s="1" t="str">
        <f t="shared" si="1476"/>
        <v/>
      </c>
      <c r="BQ2255" s="1">
        <v>220.0</v>
      </c>
      <c r="BR2255" s="1">
        <v>220.0</v>
      </c>
      <c r="BS2255" s="1">
        <v>220.0</v>
      </c>
      <c r="BU2255" s="1" t="s">
        <v>639</v>
      </c>
      <c r="BV2255" s="1" t="s">
        <v>206</v>
      </c>
      <c r="BW2255" s="1" t="s">
        <v>207</v>
      </c>
      <c r="BY2255" s="1" t="s">
        <v>2900</v>
      </c>
      <c r="BZ2255" s="1" t="s">
        <v>209</v>
      </c>
      <c r="CA2255" s="1" t="s">
        <v>301</v>
      </c>
      <c r="CC2255" s="1" t="s">
        <v>830</v>
      </c>
      <c r="CD2255" s="1" t="s">
        <v>206</v>
      </c>
      <c r="CE2255" s="1" t="s">
        <v>207</v>
      </c>
      <c r="CG2255" s="1" t="s">
        <v>12565</v>
      </c>
      <c r="CH2255" s="1" t="s">
        <v>209</v>
      </c>
      <c r="CI2255" s="1" t="s">
        <v>210</v>
      </c>
      <c r="CK2255" s="1" t="s">
        <v>361</v>
      </c>
      <c r="CL2255" s="1" t="s">
        <v>209</v>
      </c>
      <c r="CM2255" s="1" t="s">
        <v>210</v>
      </c>
      <c r="CO2255" s="1" t="s">
        <v>208</v>
      </c>
      <c r="CP2255" s="1" t="s">
        <v>209</v>
      </c>
      <c r="CQ2255" s="1" t="s">
        <v>210</v>
      </c>
      <c r="CS2255" s="1" t="s">
        <v>2459</v>
      </c>
      <c r="CT2255" s="1" t="s">
        <v>206</v>
      </c>
      <c r="CU2255" s="1" t="s">
        <v>207</v>
      </c>
      <c r="CW2255" s="1" t="s">
        <v>583</v>
      </c>
      <c r="CX2255" s="1" t="s">
        <v>206</v>
      </c>
      <c r="CY2255" s="1" t="s">
        <v>207</v>
      </c>
      <c r="DA2255" s="1" t="s">
        <v>200</v>
      </c>
      <c r="DC2255" s="1" t="s">
        <v>335</v>
      </c>
      <c r="DD2255" s="1" t="s">
        <v>1552</v>
      </c>
      <c r="DE2255" s="1" t="s">
        <v>273</v>
      </c>
      <c r="DF2255" s="1" t="s">
        <v>219</v>
      </c>
      <c r="DH2255" s="1" t="s">
        <v>856</v>
      </c>
      <c r="DI2255" s="1" t="s">
        <v>5092</v>
      </c>
      <c r="DJ2255" s="1" t="s">
        <v>857</v>
      </c>
      <c r="DL2255" s="1" t="s">
        <v>224</v>
      </c>
      <c r="DM2255" s="1" t="s">
        <v>338</v>
      </c>
      <c r="DN2255" s="1" t="s">
        <v>2873</v>
      </c>
      <c r="DP2255" s="1" t="s">
        <v>340</v>
      </c>
      <c r="DQ2255" s="1" t="s">
        <v>931</v>
      </c>
      <c r="DR2255" s="1" t="s">
        <v>229</v>
      </c>
      <c r="DU2255" s="1" t="s">
        <v>20895</v>
      </c>
      <c r="DV2255" s="1" t="s">
        <v>20896</v>
      </c>
      <c r="DW2255" s="1" t="s">
        <v>764</v>
      </c>
      <c r="DX2255" s="1" t="s">
        <v>234</v>
      </c>
      <c r="DY2255" s="1" t="s">
        <v>20897</v>
      </c>
      <c r="EA2255" s="1" t="s">
        <v>344</v>
      </c>
      <c r="EB2255" s="1" t="s">
        <v>5230</v>
      </c>
      <c r="EC2255" s="1" t="s">
        <v>237</v>
      </c>
      <c r="EG2255" s="1" t="s">
        <v>449</v>
      </c>
      <c r="EH2255" s="1" t="s">
        <v>1028</v>
      </c>
      <c r="EI2255" s="1" t="s">
        <v>557</v>
      </c>
      <c r="EJ2255" s="1" t="s">
        <v>450</v>
      </c>
      <c r="EK2255" s="1" t="s">
        <v>1824</v>
      </c>
      <c r="EL2255" s="1" t="s">
        <v>363</v>
      </c>
      <c r="EM2255" s="1" t="s">
        <v>206</v>
      </c>
      <c r="EN2255" s="1" t="s">
        <v>207</v>
      </c>
      <c r="EP2255" s="1" t="s">
        <v>213</v>
      </c>
      <c r="EQ2255" s="1" t="s">
        <v>206</v>
      </c>
      <c r="ER2255" s="1" t="s">
        <v>207</v>
      </c>
      <c r="ET2255" s="1" t="s">
        <v>1316</v>
      </c>
      <c r="EU2255" s="1" t="s">
        <v>209</v>
      </c>
      <c r="EV2255" s="1" t="s">
        <v>210</v>
      </c>
      <c r="EX2255" s="1" t="s">
        <v>20898</v>
      </c>
      <c r="EY2255" s="1" t="s">
        <v>42</v>
      </c>
      <c r="FB2255" s="1" t="s">
        <v>496</v>
      </c>
      <c r="FC2255" s="1" t="s">
        <v>42</v>
      </c>
      <c r="FF2255" s="1" t="s">
        <v>239</v>
      </c>
      <c r="FG2255" s="1" t="s">
        <v>192</v>
      </c>
      <c r="FH2255" s="1" t="s">
        <v>192</v>
      </c>
      <c r="FJ2255" s="1" t="s">
        <v>561</v>
      </c>
      <c r="FK2255" s="1" t="s">
        <v>229</v>
      </c>
      <c r="FL2255" s="1" t="s">
        <v>562</v>
      </c>
      <c r="FM2255" s="1">
        <v>4777.0</v>
      </c>
      <c r="FN2255" s="1" t="s">
        <v>6112</v>
      </c>
      <c r="FO2255" s="1" t="s">
        <v>6113</v>
      </c>
      <c r="FP2255" s="1">
        <v>62184.0</v>
      </c>
      <c r="FQ2255" s="1" t="s">
        <v>6114</v>
      </c>
      <c r="FU2255" s="1" t="s">
        <v>20899</v>
      </c>
      <c r="FV2255" s="1" t="s">
        <v>200</v>
      </c>
      <c r="FW2255" s="1" t="s">
        <v>631</v>
      </c>
      <c r="FX2255" s="1" t="s">
        <v>238</v>
      </c>
      <c r="FZ2255" s="1" t="s">
        <v>229</v>
      </c>
      <c r="GA2255" s="1" t="s">
        <v>291</v>
      </c>
      <c r="GB2255" s="2">
        <v>42109.0</v>
      </c>
    </row>
    <row r="2256">
      <c r="A2256" s="1">
        <v>260000.0</v>
      </c>
      <c r="B2256" s="1" t="s">
        <v>185</v>
      </c>
      <c r="C2256" s="1" t="str">
        <f>"08746482"</f>
        <v>08746482</v>
      </c>
      <c r="D2256" s="1" t="s">
        <v>186</v>
      </c>
      <c r="F2256" s="1" t="str">
        <f>"8009"</f>
        <v>8009</v>
      </c>
      <c r="G2256" s="2">
        <v>41918.0</v>
      </c>
      <c r="H2256" s="1">
        <v>279900.0</v>
      </c>
      <c r="I2256" s="1">
        <v>325.0</v>
      </c>
      <c r="J2256" s="1">
        <v>255000.0</v>
      </c>
      <c r="K2256" s="2">
        <v>42010.0</v>
      </c>
      <c r="L2256" s="1">
        <v>93.0</v>
      </c>
      <c r="M2256" s="2">
        <v>42010.0</v>
      </c>
      <c r="N2256" s="1" t="s">
        <v>356</v>
      </c>
      <c r="O2256" s="2">
        <v>42069.0</v>
      </c>
      <c r="P2256" s="1">
        <v>108148.0</v>
      </c>
      <c r="Q2256" s="1">
        <v>84487.0</v>
      </c>
      <c r="S2256" s="1">
        <v>7517.0</v>
      </c>
      <c r="T2256" s="1" t="s">
        <v>12811</v>
      </c>
      <c r="U2256" s="1" t="s">
        <v>189</v>
      </c>
      <c r="V2256" s="1" t="s">
        <v>190</v>
      </c>
      <c r="W2256" s="1">
        <v>60631.0</v>
      </c>
      <c r="Y2256" s="1" t="s">
        <v>20900</v>
      </c>
      <c r="Z2256" s="1">
        <v>1953.0</v>
      </c>
      <c r="AA2256" s="1" t="s">
        <v>192</v>
      </c>
      <c r="AB2256" s="1" t="s">
        <v>193</v>
      </c>
      <c r="AD2256" s="1" t="s">
        <v>194</v>
      </c>
      <c r="AE2256" s="1" t="s">
        <v>195</v>
      </c>
      <c r="AF2256" s="1" t="s">
        <v>196</v>
      </c>
      <c r="AH2256" s="1" t="s">
        <v>779</v>
      </c>
      <c r="AI2256" s="1">
        <v>0.0861</v>
      </c>
      <c r="AK2256" s="1">
        <v>7.0</v>
      </c>
      <c r="AL2256" s="1">
        <v>3.0</v>
      </c>
      <c r="AM2256" s="1">
        <v>2.0</v>
      </c>
      <c r="AN2256" s="1">
        <v>0.0</v>
      </c>
      <c r="AO2256" s="1" t="s">
        <v>229</v>
      </c>
      <c r="AQ2256" s="1" t="s">
        <v>198</v>
      </c>
      <c r="AR2256" s="1" t="s">
        <v>192</v>
      </c>
      <c r="AS2256" s="1" t="s">
        <v>199</v>
      </c>
      <c r="AT2256" s="1">
        <v>2.0</v>
      </c>
      <c r="AV2256" s="1" t="s">
        <v>200</v>
      </c>
      <c r="AW2256" s="1">
        <v>3983.0</v>
      </c>
      <c r="AX2256" s="1">
        <v>2012.0</v>
      </c>
      <c r="AY2256" s="1" t="s">
        <v>387</v>
      </c>
      <c r="AZ2256" s="1" t="s">
        <v>200</v>
      </c>
      <c r="BA2256" s="1" t="str">
        <f>"09254060190000"</f>
        <v>09254060190000</v>
      </c>
      <c r="BB2256" s="1" t="s">
        <v>200</v>
      </c>
      <c r="BC2256" s="1">
        <v>1070.0</v>
      </c>
      <c r="BD2256" s="1">
        <v>260000.0</v>
      </c>
      <c r="BE2256" s="2">
        <v>41918.0</v>
      </c>
      <c r="BF2256" s="2" t="s">
        <v>20901</v>
      </c>
      <c r="BH2256" s="1">
        <v>0.0</v>
      </c>
      <c r="BK2256" s="1" t="s">
        <v>204</v>
      </c>
      <c r="BL2256" s="1" t="str">
        <f>"7517"</f>
        <v>7517</v>
      </c>
      <c r="BM2256" s="1" t="str">
        <f>"0"</f>
        <v>0</v>
      </c>
      <c r="BN2256" s="1">
        <v>7300.0</v>
      </c>
      <c r="BO2256" s="1">
        <v>0.0</v>
      </c>
      <c r="BQ2256" s="1">
        <v>299.0</v>
      </c>
      <c r="BR2256" s="1">
        <v>299.0</v>
      </c>
      <c r="BS2256" s="1">
        <v>299.0</v>
      </c>
      <c r="BU2256" s="1" t="s">
        <v>205</v>
      </c>
      <c r="BV2256" s="1" t="s">
        <v>206</v>
      </c>
      <c r="BW2256" s="1" t="s">
        <v>207</v>
      </c>
      <c r="BY2256" s="1" t="s">
        <v>264</v>
      </c>
      <c r="BZ2256" s="1" t="s">
        <v>206</v>
      </c>
      <c r="CA2256" s="1" t="s">
        <v>207</v>
      </c>
      <c r="CD2256" s="1" t="s">
        <v>204</v>
      </c>
      <c r="CG2256" s="1" t="s">
        <v>264</v>
      </c>
      <c r="CH2256" s="1" t="s">
        <v>206</v>
      </c>
      <c r="CI2256" s="1" t="s">
        <v>207</v>
      </c>
      <c r="CK2256" s="1" t="s">
        <v>269</v>
      </c>
      <c r="CL2256" s="1" t="s">
        <v>206</v>
      </c>
      <c r="CM2256" s="1" t="s">
        <v>207</v>
      </c>
      <c r="CO2256" s="1" t="s">
        <v>1852</v>
      </c>
      <c r="CP2256" s="1" t="s">
        <v>42</v>
      </c>
      <c r="CS2256" s="1" t="s">
        <v>265</v>
      </c>
      <c r="CT2256" s="1" t="s">
        <v>206</v>
      </c>
      <c r="CU2256" s="1" t="s">
        <v>268</v>
      </c>
      <c r="CW2256" s="1" t="s">
        <v>1875</v>
      </c>
      <c r="CX2256" s="1" t="s">
        <v>42</v>
      </c>
      <c r="DA2256" s="1" t="s">
        <v>200</v>
      </c>
      <c r="DC2256" s="1" t="s">
        <v>702</v>
      </c>
      <c r="DD2256" s="1" t="s">
        <v>518</v>
      </c>
      <c r="DE2256" s="1" t="s">
        <v>273</v>
      </c>
      <c r="DF2256" s="1" t="s">
        <v>219</v>
      </c>
      <c r="DH2256" s="1" t="s">
        <v>365</v>
      </c>
      <c r="DI2256" s="1" t="s">
        <v>703</v>
      </c>
      <c r="DJ2256" s="1" t="s">
        <v>222</v>
      </c>
      <c r="DL2256" s="1" t="s">
        <v>986</v>
      </c>
      <c r="DM2256" s="1" t="s">
        <v>229</v>
      </c>
      <c r="DQ2256" s="1" t="s">
        <v>228</v>
      </c>
      <c r="DR2256" s="1" t="s">
        <v>229</v>
      </c>
      <c r="DV2256" s="1" t="s">
        <v>374</v>
      </c>
      <c r="DW2256" s="1" t="s">
        <v>279</v>
      </c>
      <c r="DX2256" s="1" t="s">
        <v>234</v>
      </c>
      <c r="EC2256" s="1" t="s">
        <v>311</v>
      </c>
      <c r="EG2256" s="1" t="s">
        <v>374</v>
      </c>
      <c r="EL2256" s="1" t="s">
        <v>3182</v>
      </c>
      <c r="EM2256" s="1" t="s">
        <v>206</v>
      </c>
      <c r="EQ2256" s="1" t="s">
        <v>238</v>
      </c>
      <c r="EU2256" s="1" t="s">
        <v>238</v>
      </c>
      <c r="EY2256" s="1" t="s">
        <v>238</v>
      </c>
      <c r="FC2256" s="1" t="s">
        <v>238</v>
      </c>
      <c r="FF2256" s="1" t="s">
        <v>239</v>
      </c>
      <c r="FG2256" s="1" t="s">
        <v>192</v>
      </c>
      <c r="FH2256" s="1" t="s">
        <v>192</v>
      </c>
      <c r="FJ2256" s="1" t="s">
        <v>973</v>
      </c>
      <c r="FK2256" s="1" t="s">
        <v>229</v>
      </c>
      <c r="FL2256" s="1" t="s">
        <v>974</v>
      </c>
      <c r="FM2256" s="1">
        <v>23871.0</v>
      </c>
      <c r="FN2256" s="1" t="s">
        <v>17009</v>
      </c>
      <c r="FO2256" s="1" t="s">
        <v>20902</v>
      </c>
      <c r="FP2256" s="1">
        <v>27016.0</v>
      </c>
      <c r="FU2256" s="1" t="s">
        <v>20903</v>
      </c>
      <c r="FV2256" s="1" t="s">
        <v>200</v>
      </c>
      <c r="FW2256" s="1" t="s">
        <v>530</v>
      </c>
      <c r="FX2256" s="1" t="s">
        <v>238</v>
      </c>
      <c r="FZ2256" s="1" t="s">
        <v>229</v>
      </c>
      <c r="GA2256" s="1" t="s">
        <v>291</v>
      </c>
      <c r="GB2256" s="2">
        <v>42072.0</v>
      </c>
      <c r="GC2256" s="1" t="s">
        <v>20904</v>
      </c>
    </row>
    <row r="2257">
      <c r="A2257" s="1">
        <v>774000.0</v>
      </c>
      <c r="B2257" s="1" t="s">
        <v>185</v>
      </c>
      <c r="C2257" s="1" t="str">
        <f>"08748102"</f>
        <v>08748102</v>
      </c>
      <c r="D2257" s="1" t="s">
        <v>186</v>
      </c>
      <c r="F2257" s="1" t="str">
        <f>"174"</f>
        <v>174</v>
      </c>
      <c r="G2257" s="2">
        <v>41920.0</v>
      </c>
      <c r="H2257" s="1">
        <v>789000.0</v>
      </c>
      <c r="I2257" s="1">
        <v>94.0</v>
      </c>
      <c r="J2257" s="1">
        <v>789000.0</v>
      </c>
      <c r="K2257" s="2">
        <v>42013.0</v>
      </c>
      <c r="L2257" s="1">
        <v>94.0</v>
      </c>
      <c r="M2257" s="2">
        <v>42013.0</v>
      </c>
      <c r="N2257" s="1" t="s">
        <v>187</v>
      </c>
      <c r="O2257" s="2">
        <v>42083.0</v>
      </c>
      <c r="P2257" s="1">
        <v>254639.0</v>
      </c>
      <c r="Q2257" s="1">
        <v>24567.0</v>
      </c>
      <c r="S2257" s="1">
        <v>1345.0</v>
      </c>
      <c r="T2257" s="1" t="s">
        <v>14754</v>
      </c>
      <c r="U2257" s="1" t="s">
        <v>569</v>
      </c>
      <c r="V2257" s="1" t="s">
        <v>1200</v>
      </c>
      <c r="W2257" s="1">
        <v>60174.0</v>
      </c>
      <c r="Y2257" s="1" t="s">
        <v>20905</v>
      </c>
      <c r="Z2257" s="1">
        <v>1986.0</v>
      </c>
      <c r="AA2257" s="1" t="s">
        <v>200</v>
      </c>
      <c r="AB2257" s="1" t="s">
        <v>467</v>
      </c>
      <c r="AC2257" s="1" t="s">
        <v>17352</v>
      </c>
      <c r="AD2257" s="1" t="s">
        <v>1203</v>
      </c>
      <c r="AE2257" s="1" t="s">
        <v>325</v>
      </c>
      <c r="AF2257" s="1" t="s">
        <v>1203</v>
      </c>
      <c r="AH2257" s="1" t="s">
        <v>20906</v>
      </c>
      <c r="AI2257" s="1">
        <v>0.94</v>
      </c>
      <c r="AK2257" s="1">
        <v>12.0</v>
      </c>
      <c r="AL2257" s="1">
        <v>4.0</v>
      </c>
      <c r="AM2257" s="1">
        <v>4.0</v>
      </c>
      <c r="AN2257" s="1">
        <v>2.0</v>
      </c>
      <c r="AO2257" s="1" t="s">
        <v>198</v>
      </c>
      <c r="AP2257" s="1">
        <v>3.0</v>
      </c>
      <c r="AQ2257" s="1" t="s">
        <v>198</v>
      </c>
      <c r="AR2257" s="1" t="s">
        <v>200</v>
      </c>
      <c r="AS2257" s="1" t="s">
        <v>199</v>
      </c>
      <c r="AT2257" s="1">
        <v>4.0</v>
      </c>
      <c r="AV2257" s="1" t="s">
        <v>200</v>
      </c>
      <c r="AW2257" s="1">
        <v>19026.46</v>
      </c>
      <c r="AX2257" s="1">
        <v>2013.0</v>
      </c>
      <c r="AY2257" s="1" t="s">
        <v>387</v>
      </c>
      <c r="AZ2257" s="1" t="s">
        <v>200</v>
      </c>
      <c r="BA2257" s="1" t="str">
        <f>"0922452040"</f>
        <v>0922452040</v>
      </c>
      <c r="BC2257" s="1">
        <v>5098.0</v>
      </c>
      <c r="BD2257" s="1">
        <v>774000.0</v>
      </c>
      <c r="BE2257" s="2">
        <v>41920.0</v>
      </c>
      <c r="BF2257" s="2" t="s">
        <v>20907</v>
      </c>
      <c r="BH2257" s="1">
        <v>275.0</v>
      </c>
      <c r="BK2257" s="1" t="s">
        <v>580</v>
      </c>
      <c r="BL2257" s="1" t="str">
        <f t="shared" ref="BL2257:BM2257" si="1477">""</f>
        <v/>
      </c>
      <c r="BM2257" s="1" t="str">
        <f t="shared" si="1477"/>
        <v/>
      </c>
      <c r="BQ2257" s="1">
        <v>303.0</v>
      </c>
      <c r="BR2257" s="1">
        <v>303.0</v>
      </c>
      <c r="BS2257" s="1">
        <v>303.0</v>
      </c>
      <c r="BU2257" s="1" t="s">
        <v>1809</v>
      </c>
      <c r="BV2257" s="1" t="s">
        <v>206</v>
      </c>
      <c r="BW2257" s="1" t="s">
        <v>210</v>
      </c>
      <c r="BY2257" s="1" t="s">
        <v>616</v>
      </c>
      <c r="BZ2257" s="1" t="s">
        <v>206</v>
      </c>
      <c r="CA2257" s="1" t="s">
        <v>210</v>
      </c>
      <c r="CC2257" s="1" t="s">
        <v>2592</v>
      </c>
      <c r="CD2257" s="1" t="s">
        <v>206</v>
      </c>
      <c r="CE2257" s="1" t="s">
        <v>207</v>
      </c>
      <c r="CG2257" s="1" t="s">
        <v>362</v>
      </c>
      <c r="CH2257" s="1" t="s">
        <v>209</v>
      </c>
      <c r="CI2257" s="1" t="s">
        <v>207</v>
      </c>
      <c r="CK2257" s="1" t="s">
        <v>362</v>
      </c>
      <c r="CL2257" s="1" t="s">
        <v>209</v>
      </c>
      <c r="CM2257" s="1" t="s">
        <v>207</v>
      </c>
      <c r="CO2257" s="1" t="s">
        <v>213</v>
      </c>
      <c r="CP2257" s="1" t="s">
        <v>209</v>
      </c>
      <c r="CQ2257" s="1" t="s">
        <v>210</v>
      </c>
      <c r="CS2257" s="1" t="s">
        <v>2014</v>
      </c>
      <c r="CT2257" s="1" t="s">
        <v>206</v>
      </c>
      <c r="CU2257" s="1" t="s">
        <v>268</v>
      </c>
      <c r="CW2257" s="1" t="s">
        <v>2592</v>
      </c>
      <c r="CX2257" s="1" t="s">
        <v>206</v>
      </c>
      <c r="CY2257" s="1" t="s">
        <v>210</v>
      </c>
      <c r="DA2257" s="1" t="s">
        <v>200</v>
      </c>
      <c r="DC2257" s="1" t="s">
        <v>305</v>
      </c>
      <c r="DD2257" s="1" t="s">
        <v>3874</v>
      </c>
      <c r="DE2257" s="1" t="s">
        <v>273</v>
      </c>
      <c r="DF2257" s="1" t="s">
        <v>745</v>
      </c>
      <c r="DH2257" s="1" t="s">
        <v>220</v>
      </c>
      <c r="DI2257" s="1" t="s">
        <v>20908</v>
      </c>
      <c r="DJ2257" s="1" t="s">
        <v>222</v>
      </c>
      <c r="DL2257" s="1" t="s">
        <v>224</v>
      </c>
      <c r="DM2257" s="1" t="s">
        <v>229</v>
      </c>
      <c r="DN2257" s="1" t="s">
        <v>548</v>
      </c>
      <c r="DO2257" s="1" t="s">
        <v>3889</v>
      </c>
      <c r="DP2257" s="1" t="s">
        <v>340</v>
      </c>
      <c r="DQ2257" s="1" t="s">
        <v>1557</v>
      </c>
      <c r="DR2257" s="1" t="s">
        <v>588</v>
      </c>
      <c r="DU2257" s="1" t="s">
        <v>20909</v>
      </c>
      <c r="DV2257" s="1" t="s">
        <v>20910</v>
      </c>
      <c r="DW2257" s="1" t="s">
        <v>764</v>
      </c>
      <c r="DX2257" s="1" t="s">
        <v>234</v>
      </c>
      <c r="DY2257" s="1" t="s">
        <v>3862</v>
      </c>
      <c r="DZ2257" s="1" t="s">
        <v>20911</v>
      </c>
      <c r="EA2257" s="1" t="s">
        <v>13316</v>
      </c>
      <c r="EB2257" s="1" t="s">
        <v>492</v>
      </c>
      <c r="EC2257" s="1" t="s">
        <v>237</v>
      </c>
      <c r="EG2257" s="1" t="s">
        <v>494</v>
      </c>
      <c r="EH2257" s="1" t="s">
        <v>557</v>
      </c>
      <c r="EI2257" s="1" t="s">
        <v>1824</v>
      </c>
      <c r="EJ2257" s="1" t="s">
        <v>408</v>
      </c>
      <c r="EL2257" s="1" t="s">
        <v>362</v>
      </c>
      <c r="EM2257" s="1" t="s">
        <v>206</v>
      </c>
      <c r="EN2257" s="1" t="s">
        <v>207</v>
      </c>
      <c r="EP2257" s="1" t="s">
        <v>9232</v>
      </c>
      <c r="EQ2257" s="1" t="s">
        <v>209</v>
      </c>
      <c r="ER2257" s="1" t="s">
        <v>207</v>
      </c>
      <c r="ET2257" s="1" t="s">
        <v>2800</v>
      </c>
      <c r="EU2257" s="1" t="s">
        <v>42</v>
      </c>
      <c r="EV2257" s="1" t="s">
        <v>210</v>
      </c>
      <c r="EX2257" s="1" t="s">
        <v>729</v>
      </c>
      <c r="EY2257" s="1" t="s">
        <v>206</v>
      </c>
      <c r="EZ2257" s="1" t="s">
        <v>207</v>
      </c>
      <c r="FC2257" s="1" t="s">
        <v>238</v>
      </c>
      <c r="FF2257" s="1" t="s">
        <v>239</v>
      </c>
      <c r="FG2257" s="1" t="s">
        <v>192</v>
      </c>
      <c r="FH2257" s="1" t="s">
        <v>192</v>
      </c>
      <c r="FJ2257" s="1" t="s">
        <v>9306</v>
      </c>
      <c r="FK2257" s="1" t="s">
        <v>229</v>
      </c>
      <c r="FL2257" s="1" t="s">
        <v>456</v>
      </c>
      <c r="FM2257" s="1">
        <v>49.0</v>
      </c>
      <c r="FN2257" s="1" t="s">
        <v>457</v>
      </c>
      <c r="FO2257" s="1" t="s">
        <v>17357</v>
      </c>
      <c r="FP2257" s="1">
        <v>974.0</v>
      </c>
      <c r="FQ2257" s="1" t="s">
        <v>17358</v>
      </c>
      <c r="FR2257" s="1">
        <v>1091.0</v>
      </c>
      <c r="FS2257" s="1" t="s">
        <v>17359</v>
      </c>
      <c r="FU2257" s="1" t="s">
        <v>17360</v>
      </c>
      <c r="FV2257" s="1" t="s">
        <v>200</v>
      </c>
      <c r="FW2257" s="1" t="s">
        <v>530</v>
      </c>
      <c r="FZ2257" s="1" t="s">
        <v>229</v>
      </c>
      <c r="GA2257" s="1" t="s">
        <v>291</v>
      </c>
      <c r="GB2257" s="2">
        <v>42083.0</v>
      </c>
      <c r="GC2257" s="1" t="s">
        <v>20912</v>
      </c>
    </row>
    <row r="2258">
      <c r="A2258" s="1">
        <v>4160.0</v>
      </c>
      <c r="B2258" s="1" t="s">
        <v>185</v>
      </c>
      <c r="C2258" s="1" t="str">
        <f>"08744109"</f>
        <v>08744109</v>
      </c>
      <c r="D2258" s="1" t="s">
        <v>186</v>
      </c>
      <c r="F2258" s="1" t="str">
        <f>"8067"</f>
        <v>8067</v>
      </c>
      <c r="G2258" s="2">
        <v>41915.0</v>
      </c>
      <c r="H2258" s="1">
        <v>19500.0</v>
      </c>
      <c r="I2258" s="1">
        <v>172.0</v>
      </c>
      <c r="J2258" s="1">
        <v>0.0</v>
      </c>
      <c r="K2258" s="2">
        <v>42086.0</v>
      </c>
      <c r="L2258" s="1">
        <v>172.0</v>
      </c>
      <c r="M2258" s="2">
        <v>42086.0</v>
      </c>
      <c r="N2258" s="1" t="s">
        <v>249</v>
      </c>
      <c r="O2258" s="2">
        <v>42123.0</v>
      </c>
      <c r="P2258" s="1">
        <v>120040.0</v>
      </c>
      <c r="Q2258" s="1">
        <v>18016.0</v>
      </c>
      <c r="S2258" s="1">
        <v>6610.0</v>
      </c>
      <c r="T2258" s="1" t="s">
        <v>7062</v>
      </c>
      <c r="U2258" s="1" t="s">
        <v>189</v>
      </c>
      <c r="V2258" s="1" t="s">
        <v>190</v>
      </c>
      <c r="W2258" s="1">
        <v>60636.0</v>
      </c>
      <c r="Y2258" s="1" t="s">
        <v>20913</v>
      </c>
      <c r="Z2258" s="1">
        <v>1915.0</v>
      </c>
      <c r="AA2258" s="1" t="s">
        <v>192</v>
      </c>
      <c r="AB2258" s="1" t="s">
        <v>193</v>
      </c>
      <c r="AD2258" s="1" t="s">
        <v>194</v>
      </c>
      <c r="AE2258" s="1" t="s">
        <v>195</v>
      </c>
      <c r="AF2258" s="1" t="s">
        <v>659</v>
      </c>
      <c r="AH2258" s="1" t="s">
        <v>20914</v>
      </c>
      <c r="AI2258" s="1">
        <v>0.0717</v>
      </c>
      <c r="AK2258" s="1">
        <v>7.0</v>
      </c>
      <c r="AL2258" s="1">
        <v>4.0</v>
      </c>
      <c r="AM2258" s="1">
        <v>2.0</v>
      </c>
      <c r="AN2258" s="1">
        <v>0.0</v>
      </c>
      <c r="AO2258" s="1" t="s">
        <v>229</v>
      </c>
      <c r="AQ2258" s="1" t="s">
        <v>198</v>
      </c>
      <c r="AR2258" s="1" t="s">
        <v>200</v>
      </c>
      <c r="AS2258" s="1" t="s">
        <v>229</v>
      </c>
      <c r="AV2258" s="1" t="s">
        <v>200</v>
      </c>
      <c r="AW2258" s="1">
        <v>1305.53</v>
      </c>
      <c r="AX2258" s="1">
        <v>2013.0</v>
      </c>
      <c r="AZ2258" s="1" t="s">
        <v>200</v>
      </c>
      <c r="BA2258" s="1" t="str">
        <f>"20191280270000"</f>
        <v>20191280270000</v>
      </c>
      <c r="BC2258" s="1">
        <v>924.0</v>
      </c>
      <c r="BD2258" s="1">
        <v>4160.0</v>
      </c>
      <c r="BE2258" s="2">
        <v>41915.0</v>
      </c>
      <c r="BF2258" s="1" t="s">
        <v>20915</v>
      </c>
      <c r="BH2258" s="1">
        <v>0.0</v>
      </c>
      <c r="BK2258" s="1" t="s">
        <v>204</v>
      </c>
      <c r="BL2258" s="1" t="str">
        <f t="shared" ref="BL2258:BM2258" si="1478">"0"</f>
        <v>0</v>
      </c>
      <c r="BM2258" s="1" t="str">
        <f t="shared" si="1478"/>
        <v>0</v>
      </c>
      <c r="BN2258" s="1">
        <v>2050.0</v>
      </c>
      <c r="BO2258" s="1">
        <v>6610.0</v>
      </c>
      <c r="BQ2258" s="1">
        <v>299.0</v>
      </c>
      <c r="BR2258" s="1">
        <v>299.0</v>
      </c>
      <c r="BS2258" s="1">
        <v>299.0</v>
      </c>
      <c r="BU2258" s="1" t="s">
        <v>1417</v>
      </c>
      <c r="BV2258" s="1" t="s">
        <v>206</v>
      </c>
      <c r="BY2258" s="1" t="s">
        <v>4902</v>
      </c>
      <c r="BZ2258" s="1" t="s">
        <v>206</v>
      </c>
      <c r="CC2258" s="1" t="s">
        <v>699</v>
      </c>
      <c r="CD2258" s="1" t="s">
        <v>206</v>
      </c>
      <c r="CG2258" s="1" t="s">
        <v>4902</v>
      </c>
      <c r="CH2258" s="1" t="s">
        <v>209</v>
      </c>
      <c r="CK2258" s="1" t="s">
        <v>8981</v>
      </c>
      <c r="CL2258" s="1" t="s">
        <v>209</v>
      </c>
      <c r="CO2258" s="1" t="s">
        <v>269</v>
      </c>
      <c r="CP2258" s="1" t="s">
        <v>209</v>
      </c>
      <c r="CS2258" s="1" t="s">
        <v>303</v>
      </c>
      <c r="CT2258" s="1" t="s">
        <v>206</v>
      </c>
      <c r="CX2258" s="1" t="s">
        <v>204</v>
      </c>
      <c r="DA2258" s="1" t="s">
        <v>200</v>
      </c>
      <c r="DC2258" s="1" t="s">
        <v>216</v>
      </c>
      <c r="DE2258" s="1" t="s">
        <v>20916</v>
      </c>
      <c r="DF2258" s="1" t="s">
        <v>619</v>
      </c>
      <c r="DH2258" s="1" t="s">
        <v>220</v>
      </c>
      <c r="DJ2258" s="1" t="s">
        <v>222</v>
      </c>
      <c r="DL2258" s="1" t="s">
        <v>223</v>
      </c>
      <c r="DM2258" s="1" t="s">
        <v>1464</v>
      </c>
      <c r="DQ2258" s="1" t="s">
        <v>228</v>
      </c>
      <c r="DR2258" s="1" t="s">
        <v>229</v>
      </c>
      <c r="DV2258" s="1" t="s">
        <v>232</v>
      </c>
      <c r="DW2258" s="1" t="s">
        <v>667</v>
      </c>
      <c r="DX2258" s="1" t="s">
        <v>234</v>
      </c>
      <c r="EA2258" s="1" t="s">
        <v>644</v>
      </c>
      <c r="EC2258" s="1" t="s">
        <v>645</v>
      </c>
      <c r="EM2258" s="1" t="s">
        <v>238</v>
      </c>
      <c r="EQ2258" s="1" t="s">
        <v>238</v>
      </c>
      <c r="EU2258" s="1" t="s">
        <v>238</v>
      </c>
      <c r="EY2258" s="1" t="s">
        <v>238</v>
      </c>
      <c r="FC2258" s="1" t="s">
        <v>238</v>
      </c>
      <c r="FF2258" s="1" t="s">
        <v>239</v>
      </c>
      <c r="FG2258" s="1" t="s">
        <v>192</v>
      </c>
      <c r="FH2258" s="1" t="s">
        <v>192</v>
      </c>
      <c r="FJ2258" s="1" t="s">
        <v>5501</v>
      </c>
      <c r="FK2258" s="1" t="s">
        <v>229</v>
      </c>
      <c r="FL2258" s="1" t="s">
        <v>2604</v>
      </c>
      <c r="FM2258" s="1">
        <v>18016.0</v>
      </c>
      <c r="FN2258" s="1" t="s">
        <v>2605</v>
      </c>
      <c r="FO2258" s="1" t="s">
        <v>2606</v>
      </c>
      <c r="FP2258" s="1">
        <v>158141.0</v>
      </c>
      <c r="FQ2258" s="1" t="s">
        <v>2605</v>
      </c>
      <c r="FR2258" s="1">
        <v>120040.0</v>
      </c>
      <c r="FU2258" s="1" t="s">
        <v>20917</v>
      </c>
      <c r="FV2258" s="1" t="s">
        <v>200</v>
      </c>
      <c r="FW2258" s="1" t="s">
        <v>290</v>
      </c>
      <c r="FX2258" s="1" t="s">
        <v>655</v>
      </c>
      <c r="FZ2258" s="1" t="s">
        <v>229</v>
      </c>
      <c r="GA2258" s="1" t="s">
        <v>291</v>
      </c>
      <c r="GB2258" s="2">
        <v>42123.0</v>
      </c>
      <c r="GC2258" s="1" t="s">
        <v>20918</v>
      </c>
    </row>
    <row r="2259">
      <c r="A2259" s="1">
        <v>325000.0</v>
      </c>
      <c r="B2259" s="1" t="s">
        <v>185</v>
      </c>
      <c r="C2259" s="1" t="str">
        <f>"08750262"</f>
        <v>08750262</v>
      </c>
      <c r="D2259" s="1" t="s">
        <v>186</v>
      </c>
      <c r="F2259" s="1" t="str">
        <f>"510"</f>
        <v>510</v>
      </c>
      <c r="G2259" s="2">
        <v>41922.0</v>
      </c>
      <c r="H2259" s="1">
        <v>325000.0</v>
      </c>
      <c r="I2259" s="1">
        <v>4.0</v>
      </c>
      <c r="J2259" s="1">
        <v>325000.0</v>
      </c>
      <c r="K2259" s="2">
        <v>41925.0</v>
      </c>
      <c r="L2259" s="1">
        <v>4.0</v>
      </c>
      <c r="M2259" s="2">
        <v>41925.0</v>
      </c>
      <c r="N2259" s="1" t="s">
        <v>634</v>
      </c>
      <c r="O2259" s="2">
        <v>42055.0</v>
      </c>
      <c r="P2259" s="1">
        <v>234306.0</v>
      </c>
      <c r="Q2259" s="1">
        <v>23290.0</v>
      </c>
      <c r="R2259" s="1">
        <v>5000.0</v>
      </c>
      <c r="S2259" s="1">
        <v>1038.0</v>
      </c>
      <c r="T2259" s="1" t="s">
        <v>20919</v>
      </c>
      <c r="U2259" s="1" t="s">
        <v>420</v>
      </c>
      <c r="V2259" s="1" t="s">
        <v>2700</v>
      </c>
      <c r="W2259" s="1">
        <v>60510.0</v>
      </c>
      <c r="Y2259" s="1" t="s">
        <v>20920</v>
      </c>
      <c r="Z2259" s="1">
        <v>1973.0</v>
      </c>
      <c r="AA2259" s="1" t="s">
        <v>192</v>
      </c>
      <c r="AB2259" s="1" t="s">
        <v>193</v>
      </c>
      <c r="AC2259" s="1" t="s">
        <v>4604</v>
      </c>
      <c r="AD2259" s="1" t="s">
        <v>2702</v>
      </c>
      <c r="AE2259" s="1" t="s">
        <v>325</v>
      </c>
      <c r="AF2259" s="1" t="s">
        <v>2702</v>
      </c>
      <c r="AH2259" s="1" t="s">
        <v>20921</v>
      </c>
      <c r="AK2259" s="1">
        <v>8.0</v>
      </c>
      <c r="AL2259" s="1">
        <v>4.0</v>
      </c>
      <c r="AM2259" s="1">
        <v>2.0</v>
      </c>
      <c r="AN2259" s="1">
        <v>1.0</v>
      </c>
      <c r="AO2259" s="1" t="s">
        <v>198</v>
      </c>
      <c r="AP2259" s="1">
        <v>2.0</v>
      </c>
      <c r="AQ2259" s="1" t="s">
        <v>1314</v>
      </c>
      <c r="AR2259" s="1" t="s">
        <v>200</v>
      </c>
      <c r="AS2259" s="1" t="s">
        <v>199</v>
      </c>
      <c r="AT2259" s="1">
        <v>2.0</v>
      </c>
      <c r="AV2259" s="1" t="s">
        <v>200</v>
      </c>
      <c r="AW2259" s="1">
        <v>6905.76</v>
      </c>
      <c r="AX2259" s="1">
        <v>2013.0</v>
      </c>
      <c r="AY2259" s="1" t="s">
        <v>1179</v>
      </c>
      <c r="AZ2259" s="1" t="s">
        <v>200</v>
      </c>
      <c r="BA2259" s="1" t="str">
        <f>"1223455016"</f>
        <v>1223455016</v>
      </c>
      <c r="BB2259" s="1" t="s">
        <v>200</v>
      </c>
      <c r="BC2259" s="1">
        <v>2500.0</v>
      </c>
      <c r="BD2259" s="1">
        <v>325000.0</v>
      </c>
      <c r="BE2259" s="2">
        <v>41922.0</v>
      </c>
      <c r="BF2259" s="2" t="s">
        <v>20922</v>
      </c>
      <c r="BG2259" s="1" t="s">
        <v>4607</v>
      </c>
      <c r="BH2259" s="1">
        <v>0.0</v>
      </c>
      <c r="BI2259" s="1" t="s">
        <v>3090</v>
      </c>
      <c r="BJ2259" s="1" t="s">
        <v>3091</v>
      </c>
      <c r="BK2259" s="1" t="s">
        <v>204</v>
      </c>
      <c r="BL2259" s="1" t="str">
        <f t="shared" ref="BL2259:BM2259" si="1479">""</f>
        <v/>
      </c>
      <c r="BM2259" s="1" t="str">
        <f t="shared" si="1479"/>
        <v/>
      </c>
      <c r="BQ2259" s="1">
        <v>101.0</v>
      </c>
      <c r="BR2259" s="1">
        <v>101.0</v>
      </c>
      <c r="BS2259" s="1">
        <v>101.0</v>
      </c>
      <c r="BU2259" s="1" t="s">
        <v>6315</v>
      </c>
      <c r="BV2259" s="1" t="s">
        <v>267</v>
      </c>
      <c r="BW2259" s="1" t="s">
        <v>210</v>
      </c>
      <c r="BX2259" s="1" t="s">
        <v>476</v>
      </c>
      <c r="BY2259" s="1" t="s">
        <v>677</v>
      </c>
      <c r="BZ2259" s="1" t="s">
        <v>209</v>
      </c>
      <c r="CA2259" s="1" t="s">
        <v>210</v>
      </c>
      <c r="CB2259" s="1" t="s">
        <v>431</v>
      </c>
      <c r="CC2259" s="1" t="s">
        <v>331</v>
      </c>
      <c r="CD2259" s="1" t="s">
        <v>206</v>
      </c>
      <c r="CE2259" s="1" t="s">
        <v>207</v>
      </c>
      <c r="CF2259" s="1" t="s">
        <v>1549</v>
      </c>
      <c r="CG2259" s="1" t="s">
        <v>331</v>
      </c>
      <c r="CH2259" s="1" t="s">
        <v>209</v>
      </c>
      <c r="CI2259" s="1" t="s">
        <v>210</v>
      </c>
      <c r="CJ2259" s="1" t="s">
        <v>431</v>
      </c>
      <c r="CK2259" s="1" t="s">
        <v>699</v>
      </c>
      <c r="CL2259" s="1" t="s">
        <v>209</v>
      </c>
      <c r="CM2259" s="1" t="s">
        <v>210</v>
      </c>
      <c r="CN2259" s="1" t="s">
        <v>431</v>
      </c>
      <c r="CO2259" s="1" t="s">
        <v>12565</v>
      </c>
      <c r="CP2259" s="1" t="s">
        <v>391</v>
      </c>
      <c r="CQ2259" s="1" t="s">
        <v>210</v>
      </c>
      <c r="CR2259" s="1" t="s">
        <v>431</v>
      </c>
      <c r="CS2259" s="1" t="s">
        <v>1396</v>
      </c>
      <c r="CT2259" s="1" t="s">
        <v>206</v>
      </c>
      <c r="CU2259" s="1" t="s">
        <v>207</v>
      </c>
      <c r="CV2259" s="1" t="s">
        <v>229</v>
      </c>
      <c r="CW2259" s="1" t="s">
        <v>676</v>
      </c>
      <c r="CX2259" s="1" t="s">
        <v>267</v>
      </c>
      <c r="CY2259" s="1" t="s">
        <v>210</v>
      </c>
      <c r="CZ2259" s="1" t="s">
        <v>1549</v>
      </c>
      <c r="DA2259" s="1" t="s">
        <v>200</v>
      </c>
      <c r="DC2259" s="1" t="s">
        <v>517</v>
      </c>
      <c r="DD2259" s="1" t="s">
        <v>396</v>
      </c>
      <c r="DE2259" s="1" t="s">
        <v>273</v>
      </c>
      <c r="DF2259" s="1" t="s">
        <v>219</v>
      </c>
      <c r="DG2259" s="1" t="s">
        <v>3833</v>
      </c>
      <c r="DH2259" s="1" t="s">
        <v>220</v>
      </c>
      <c r="DI2259" s="1" t="s">
        <v>519</v>
      </c>
      <c r="DJ2259" s="1" t="s">
        <v>222</v>
      </c>
      <c r="DL2259" s="1" t="s">
        <v>9826</v>
      </c>
      <c r="DM2259" s="1" t="s">
        <v>1268</v>
      </c>
      <c r="DO2259" s="1" t="s">
        <v>930</v>
      </c>
      <c r="DP2259" s="1" t="s">
        <v>340</v>
      </c>
      <c r="DQ2259" s="1" t="s">
        <v>441</v>
      </c>
      <c r="DR2259" s="1" t="s">
        <v>229</v>
      </c>
      <c r="DS2259" s="1" t="s">
        <v>230</v>
      </c>
      <c r="DU2259" s="1" t="s">
        <v>1005</v>
      </c>
      <c r="DV2259" s="1" t="s">
        <v>2129</v>
      </c>
      <c r="DW2259" s="1" t="s">
        <v>370</v>
      </c>
      <c r="DX2259" s="1" t="s">
        <v>234</v>
      </c>
      <c r="DY2259" s="1" t="s">
        <v>2972</v>
      </c>
      <c r="DZ2259" s="1" t="s">
        <v>1611</v>
      </c>
      <c r="EA2259" s="1" t="s">
        <v>5604</v>
      </c>
      <c r="EB2259" s="1" t="s">
        <v>937</v>
      </c>
      <c r="EC2259" s="1" t="s">
        <v>4613</v>
      </c>
      <c r="ED2259" s="1" t="s">
        <v>407</v>
      </c>
      <c r="EG2259" s="1" t="s">
        <v>2129</v>
      </c>
      <c r="EL2259" s="1" t="s">
        <v>213</v>
      </c>
      <c r="EM2259" s="1" t="s">
        <v>206</v>
      </c>
      <c r="EN2259" s="1" t="s">
        <v>588</v>
      </c>
      <c r="EQ2259" s="1" t="s">
        <v>238</v>
      </c>
      <c r="EU2259" s="1" t="s">
        <v>238</v>
      </c>
      <c r="EY2259" s="1" t="s">
        <v>238</v>
      </c>
      <c r="FC2259" s="1" t="s">
        <v>238</v>
      </c>
      <c r="FF2259" s="1" t="s">
        <v>239</v>
      </c>
      <c r="FG2259" s="1" t="s">
        <v>192</v>
      </c>
      <c r="FH2259" s="1" t="s">
        <v>192</v>
      </c>
      <c r="FJ2259" s="1" t="s">
        <v>686</v>
      </c>
      <c r="FK2259" s="1" t="s">
        <v>229</v>
      </c>
      <c r="FL2259" s="1" t="s">
        <v>456</v>
      </c>
      <c r="FM2259" s="1">
        <v>49.0</v>
      </c>
      <c r="FN2259" s="1" t="s">
        <v>457</v>
      </c>
      <c r="FO2259" s="1" t="s">
        <v>20923</v>
      </c>
      <c r="FP2259" s="1">
        <v>8568.0</v>
      </c>
      <c r="FQ2259" s="1" t="s">
        <v>20924</v>
      </c>
      <c r="FU2259" s="1" t="s">
        <v>20925</v>
      </c>
      <c r="FV2259" s="1" t="s">
        <v>200</v>
      </c>
      <c r="FW2259" s="1" t="s">
        <v>290</v>
      </c>
      <c r="FZ2259" s="1" t="s">
        <v>229</v>
      </c>
      <c r="GA2259" s="1" t="s">
        <v>291</v>
      </c>
      <c r="GB2259" s="2">
        <v>42055.0</v>
      </c>
    </row>
    <row r="2260">
      <c r="A2260" s="1">
        <v>216000.0</v>
      </c>
      <c r="B2260" s="1" t="s">
        <v>185</v>
      </c>
      <c r="C2260" s="1" t="str">
        <f>"08749662"</f>
        <v>08749662</v>
      </c>
      <c r="D2260" s="1" t="s">
        <v>186</v>
      </c>
      <c r="F2260" s="1" t="str">
        <f>"123"</f>
        <v>123</v>
      </c>
      <c r="G2260" s="2">
        <v>41921.0</v>
      </c>
      <c r="H2260" s="1">
        <v>216900.0</v>
      </c>
      <c r="I2260" s="1">
        <v>40.0</v>
      </c>
      <c r="J2260" s="1">
        <v>216900.0</v>
      </c>
      <c r="K2260" s="2">
        <v>41960.0</v>
      </c>
      <c r="L2260" s="1">
        <v>40.0</v>
      </c>
      <c r="M2260" s="2">
        <v>41960.0</v>
      </c>
      <c r="N2260" s="1" t="s">
        <v>634</v>
      </c>
      <c r="O2260" s="2">
        <v>41996.0</v>
      </c>
      <c r="P2260" s="1">
        <v>8707.0</v>
      </c>
      <c r="Q2260" s="1">
        <v>7032.0</v>
      </c>
      <c r="R2260" s="1">
        <v>4000.0</v>
      </c>
      <c r="S2260" s="1">
        <v>1460.0</v>
      </c>
      <c r="T2260" s="1" t="s">
        <v>20926</v>
      </c>
      <c r="U2260" s="1" t="s">
        <v>4857</v>
      </c>
      <c r="V2260" s="1" t="s">
        <v>465</v>
      </c>
      <c r="W2260" s="1">
        <v>60120.0</v>
      </c>
      <c r="Y2260" s="1" t="s">
        <v>20927</v>
      </c>
      <c r="Z2260" s="1">
        <v>1997.0</v>
      </c>
      <c r="AA2260" s="1" t="s">
        <v>200</v>
      </c>
      <c r="AB2260" s="1" t="s">
        <v>193</v>
      </c>
      <c r="AC2260" s="1" t="s">
        <v>20928</v>
      </c>
      <c r="AD2260" s="1" t="s">
        <v>469</v>
      </c>
      <c r="AE2260" s="1" t="s">
        <v>195</v>
      </c>
      <c r="AF2260" s="1" t="s">
        <v>298</v>
      </c>
      <c r="AH2260" s="1" t="s">
        <v>20929</v>
      </c>
      <c r="AK2260" s="1">
        <v>8.0</v>
      </c>
      <c r="AL2260" s="1">
        <v>4.0</v>
      </c>
      <c r="AM2260" s="1">
        <v>2.0</v>
      </c>
      <c r="AN2260" s="1">
        <v>1.0</v>
      </c>
      <c r="AO2260" s="1" t="s">
        <v>198</v>
      </c>
      <c r="AQ2260" s="1" t="s">
        <v>229</v>
      </c>
      <c r="AR2260" s="1" t="s">
        <v>200</v>
      </c>
      <c r="AS2260" s="1" t="s">
        <v>199</v>
      </c>
      <c r="AT2260" s="1">
        <v>2.0</v>
      </c>
      <c r="AV2260" s="1" t="s">
        <v>200</v>
      </c>
      <c r="AW2260" s="1">
        <v>6237.0</v>
      </c>
      <c r="AX2260" s="1">
        <v>2013.0</v>
      </c>
      <c r="AY2260" s="1" t="s">
        <v>387</v>
      </c>
      <c r="AZ2260" s="1" t="s">
        <v>200</v>
      </c>
      <c r="BA2260" s="1" t="str">
        <f>"06171110340000"</f>
        <v>06171110340000</v>
      </c>
      <c r="BC2260" s="1">
        <v>0.0</v>
      </c>
      <c r="BD2260" s="1">
        <v>216000.0</v>
      </c>
      <c r="BE2260" s="2">
        <v>41921.0</v>
      </c>
      <c r="BF2260" s="2" t="s">
        <v>20930</v>
      </c>
      <c r="BG2260" s="1" t="s">
        <v>12454</v>
      </c>
      <c r="BH2260" s="1">
        <v>65.0</v>
      </c>
      <c r="BI2260" s="1" t="s">
        <v>1242</v>
      </c>
      <c r="BJ2260" s="1" t="s">
        <v>1243</v>
      </c>
      <c r="BK2260" s="1" t="s">
        <v>580</v>
      </c>
      <c r="BL2260" s="1" t="str">
        <f>"11"</f>
        <v>11</v>
      </c>
      <c r="BM2260" s="1" t="str">
        <f>"0"</f>
        <v>0</v>
      </c>
      <c r="BN2260" s="1">
        <v>31.0</v>
      </c>
      <c r="BO2260" s="1">
        <v>0.0</v>
      </c>
      <c r="BQ2260" s="1">
        <v>46.0</v>
      </c>
      <c r="BR2260" s="1">
        <v>46.0</v>
      </c>
      <c r="BS2260" s="1">
        <v>46.0</v>
      </c>
      <c r="BU2260" s="1" t="s">
        <v>213</v>
      </c>
      <c r="BV2260" s="1" t="s">
        <v>206</v>
      </c>
      <c r="BW2260" s="1" t="s">
        <v>207</v>
      </c>
      <c r="BY2260" s="1" t="s">
        <v>1483</v>
      </c>
      <c r="BZ2260" s="1" t="s">
        <v>209</v>
      </c>
      <c r="CA2260" s="1" t="s">
        <v>210</v>
      </c>
      <c r="CC2260" s="1" t="s">
        <v>329</v>
      </c>
      <c r="CD2260" s="1" t="s">
        <v>206</v>
      </c>
      <c r="CE2260" s="1" t="s">
        <v>207</v>
      </c>
      <c r="CG2260" s="1" t="s">
        <v>262</v>
      </c>
      <c r="CH2260" s="1" t="s">
        <v>206</v>
      </c>
      <c r="CI2260" s="1" t="s">
        <v>210</v>
      </c>
      <c r="CK2260" s="1" t="s">
        <v>264</v>
      </c>
      <c r="CL2260" s="1" t="s">
        <v>206</v>
      </c>
      <c r="CM2260" s="1" t="s">
        <v>210</v>
      </c>
      <c r="CO2260" s="1" t="s">
        <v>495</v>
      </c>
      <c r="CP2260" s="1" t="s">
        <v>206</v>
      </c>
      <c r="CQ2260" s="1" t="s">
        <v>210</v>
      </c>
      <c r="CS2260" s="1" t="s">
        <v>213</v>
      </c>
      <c r="CT2260" s="1" t="s">
        <v>206</v>
      </c>
      <c r="CU2260" s="1" t="s">
        <v>268</v>
      </c>
      <c r="CW2260" s="1" t="s">
        <v>784</v>
      </c>
      <c r="CX2260" s="1" t="s">
        <v>206</v>
      </c>
      <c r="CY2260" s="1" t="s">
        <v>268</v>
      </c>
      <c r="DA2260" s="1" t="s">
        <v>200</v>
      </c>
      <c r="DC2260" s="1" t="s">
        <v>678</v>
      </c>
      <c r="DD2260" s="1" t="s">
        <v>518</v>
      </c>
      <c r="DE2260" s="1" t="s">
        <v>273</v>
      </c>
      <c r="DF2260" s="1" t="s">
        <v>219</v>
      </c>
      <c r="DG2260" s="1" t="s">
        <v>11277</v>
      </c>
      <c r="DH2260" s="1" t="s">
        <v>365</v>
      </c>
      <c r="DI2260" s="1" t="s">
        <v>221</v>
      </c>
      <c r="DJ2260" s="1" t="s">
        <v>222</v>
      </c>
      <c r="DK2260" s="1" t="s">
        <v>223</v>
      </c>
      <c r="DL2260" s="1" t="s">
        <v>520</v>
      </c>
      <c r="DM2260" s="1" t="s">
        <v>229</v>
      </c>
      <c r="DN2260" s="1" t="s">
        <v>367</v>
      </c>
      <c r="DP2260" s="1" t="s">
        <v>276</v>
      </c>
      <c r="DQ2260" s="1" t="s">
        <v>228</v>
      </c>
      <c r="DR2260" s="1" t="s">
        <v>229</v>
      </c>
      <c r="DV2260" s="1" t="s">
        <v>232</v>
      </c>
      <c r="DW2260" s="1" t="s">
        <v>233</v>
      </c>
      <c r="DX2260" s="1" t="s">
        <v>3205</v>
      </c>
      <c r="DY2260" s="1" t="s">
        <v>490</v>
      </c>
      <c r="EC2260" s="1" t="s">
        <v>237</v>
      </c>
      <c r="EE2260" s="1" t="s">
        <v>522</v>
      </c>
      <c r="EM2260" s="1" t="s">
        <v>238</v>
      </c>
      <c r="EQ2260" s="1" t="s">
        <v>238</v>
      </c>
      <c r="EU2260" s="1" t="s">
        <v>238</v>
      </c>
      <c r="EY2260" s="1" t="s">
        <v>238</v>
      </c>
      <c r="FC2260" s="1" t="s">
        <v>238</v>
      </c>
      <c r="FF2260" s="1" t="s">
        <v>239</v>
      </c>
      <c r="FG2260" s="1" t="s">
        <v>192</v>
      </c>
      <c r="FH2260" s="1" t="s">
        <v>192</v>
      </c>
      <c r="FJ2260" s="1" t="s">
        <v>498</v>
      </c>
      <c r="FK2260" s="1" t="s">
        <v>229</v>
      </c>
      <c r="FL2260" s="1" t="s">
        <v>1962</v>
      </c>
      <c r="FM2260" s="1">
        <v>8073.0</v>
      </c>
      <c r="FN2260" s="1" t="s">
        <v>1963</v>
      </c>
      <c r="FO2260" s="1" t="s">
        <v>20931</v>
      </c>
      <c r="FP2260" s="1">
        <v>81720.0</v>
      </c>
      <c r="FQ2260" s="1" t="s">
        <v>20932</v>
      </c>
      <c r="FT2260" s="1" t="s">
        <v>20933</v>
      </c>
      <c r="FU2260" s="1" t="s">
        <v>20934</v>
      </c>
      <c r="FV2260" s="1" t="s">
        <v>200</v>
      </c>
      <c r="FW2260" s="1" t="s">
        <v>290</v>
      </c>
      <c r="FZ2260" s="1" t="s">
        <v>229</v>
      </c>
      <c r="GA2260" s="1" t="s">
        <v>291</v>
      </c>
      <c r="GB2260" s="2">
        <v>41996.0</v>
      </c>
    </row>
    <row r="2261">
      <c r="A2261" s="1">
        <v>58000.0</v>
      </c>
      <c r="B2261" s="1" t="s">
        <v>185</v>
      </c>
      <c r="C2261" s="1" t="str">
        <f>"08749355"</f>
        <v>08749355</v>
      </c>
      <c r="D2261" s="1" t="s">
        <v>186</v>
      </c>
      <c r="F2261" s="1" t="str">
        <f>"110"</f>
        <v>110</v>
      </c>
      <c r="G2261" s="2">
        <v>41921.0</v>
      </c>
      <c r="H2261" s="1">
        <v>30000.0</v>
      </c>
      <c r="I2261" s="1">
        <v>15.0</v>
      </c>
      <c r="J2261" s="1">
        <v>30000.0</v>
      </c>
      <c r="K2261" s="2">
        <v>41935.0</v>
      </c>
      <c r="L2261" s="1">
        <v>15.0</v>
      </c>
      <c r="M2261" s="2">
        <v>41935.0</v>
      </c>
      <c r="N2261" s="1" t="s">
        <v>249</v>
      </c>
      <c r="O2261" s="2">
        <v>41996.0</v>
      </c>
      <c r="P2261" s="1">
        <v>259498.0</v>
      </c>
      <c r="Q2261" s="1">
        <v>22564.0</v>
      </c>
      <c r="R2261" s="1">
        <v>500.0</v>
      </c>
      <c r="S2261" s="1">
        <v>715.0</v>
      </c>
      <c r="T2261" s="1" t="s">
        <v>20935</v>
      </c>
      <c r="U2261" s="1" t="s">
        <v>569</v>
      </c>
      <c r="V2261" s="1" t="s">
        <v>807</v>
      </c>
      <c r="W2261" s="1">
        <v>60110.0</v>
      </c>
      <c r="Y2261" s="1" t="s">
        <v>20936</v>
      </c>
      <c r="Z2261" s="1">
        <v>1972.0</v>
      </c>
      <c r="AA2261" s="1" t="s">
        <v>192</v>
      </c>
      <c r="AB2261" s="1" t="s">
        <v>193</v>
      </c>
      <c r="AD2261" s="1" t="s">
        <v>809</v>
      </c>
      <c r="AE2261" s="1" t="s">
        <v>325</v>
      </c>
      <c r="AF2261" s="1" t="s">
        <v>810</v>
      </c>
      <c r="AH2261" s="1" t="s">
        <v>20937</v>
      </c>
      <c r="AI2261" s="1">
        <v>0.1515</v>
      </c>
      <c r="AK2261" s="1">
        <v>7.0</v>
      </c>
      <c r="AL2261" s="1">
        <v>4.0</v>
      </c>
      <c r="AM2261" s="1">
        <v>1.0</v>
      </c>
      <c r="AN2261" s="1">
        <v>1.0</v>
      </c>
      <c r="AO2261" s="1" t="s">
        <v>229</v>
      </c>
      <c r="AP2261" s="1">
        <v>0.0</v>
      </c>
      <c r="AQ2261" s="1" t="s">
        <v>198</v>
      </c>
      <c r="AR2261" s="1" t="s">
        <v>192</v>
      </c>
      <c r="AS2261" s="1" t="s">
        <v>199</v>
      </c>
      <c r="AT2261" s="1">
        <v>2.5</v>
      </c>
      <c r="AV2261" s="1" t="s">
        <v>200</v>
      </c>
      <c r="AW2261" s="1">
        <v>2914.44</v>
      </c>
      <c r="AX2261" s="1">
        <v>2013.0</v>
      </c>
      <c r="AY2261" s="1" t="s">
        <v>229</v>
      </c>
      <c r="AZ2261" s="1" t="s">
        <v>200</v>
      </c>
      <c r="BA2261" s="1" t="str">
        <f>"0315102005"</f>
        <v>0315102005</v>
      </c>
      <c r="BB2261" s="1" t="s">
        <v>200</v>
      </c>
      <c r="BC2261" s="1">
        <v>1550.0</v>
      </c>
      <c r="BD2261" s="1">
        <v>58000.0</v>
      </c>
      <c r="BE2261" s="2">
        <v>41921.0</v>
      </c>
      <c r="BF2261" s="2" t="s">
        <v>20938</v>
      </c>
      <c r="BG2261" s="1" t="s">
        <v>1181</v>
      </c>
      <c r="BH2261" s="1">
        <v>0.0</v>
      </c>
      <c r="BI2261" s="1" t="s">
        <v>1093</v>
      </c>
      <c r="BJ2261" s="1" t="s">
        <v>1094</v>
      </c>
      <c r="BK2261" s="1" t="s">
        <v>204</v>
      </c>
      <c r="BL2261" s="1" t="str">
        <f t="shared" ref="BL2261:BM2261" si="1480">""</f>
        <v/>
      </c>
      <c r="BM2261" s="1" t="str">
        <f t="shared" si="1480"/>
        <v/>
      </c>
      <c r="BQ2261" s="1">
        <v>300.0</v>
      </c>
      <c r="BR2261" s="1">
        <v>300.0</v>
      </c>
      <c r="BS2261" s="1">
        <v>300.0</v>
      </c>
      <c r="BU2261" s="1" t="s">
        <v>262</v>
      </c>
      <c r="BV2261" s="1" t="s">
        <v>209</v>
      </c>
      <c r="BW2261" s="1" t="s">
        <v>210</v>
      </c>
      <c r="BY2261" s="1" t="s">
        <v>264</v>
      </c>
      <c r="BZ2261" s="1" t="s">
        <v>209</v>
      </c>
      <c r="CA2261" s="1" t="s">
        <v>210</v>
      </c>
      <c r="CD2261" s="1" t="s">
        <v>204</v>
      </c>
      <c r="CG2261" s="1" t="s">
        <v>375</v>
      </c>
      <c r="CH2261" s="1" t="s">
        <v>209</v>
      </c>
      <c r="CI2261" s="1" t="s">
        <v>210</v>
      </c>
      <c r="CK2261" s="1" t="s">
        <v>264</v>
      </c>
      <c r="CL2261" s="1" t="s">
        <v>267</v>
      </c>
      <c r="CM2261" s="1" t="s">
        <v>210</v>
      </c>
      <c r="CO2261" s="1" t="s">
        <v>263</v>
      </c>
      <c r="CP2261" s="1" t="s">
        <v>267</v>
      </c>
      <c r="CQ2261" s="1" t="s">
        <v>588</v>
      </c>
      <c r="CS2261" s="1" t="s">
        <v>798</v>
      </c>
      <c r="CT2261" s="1" t="s">
        <v>209</v>
      </c>
      <c r="CU2261" s="1" t="s">
        <v>268</v>
      </c>
      <c r="CW2261" s="1" t="s">
        <v>263</v>
      </c>
      <c r="CX2261" s="1" t="s">
        <v>267</v>
      </c>
      <c r="CY2261" s="1" t="s">
        <v>588</v>
      </c>
      <c r="DA2261" s="1" t="s">
        <v>200</v>
      </c>
      <c r="DC2261" s="1" t="s">
        <v>517</v>
      </c>
      <c r="DE2261" s="1" t="s">
        <v>1139</v>
      </c>
      <c r="DF2261" s="1" t="s">
        <v>619</v>
      </c>
      <c r="DG2261" s="1" t="s">
        <v>337</v>
      </c>
      <c r="DH2261" s="1" t="s">
        <v>220</v>
      </c>
      <c r="DJ2261" s="1" t="s">
        <v>222</v>
      </c>
      <c r="DK2261" s="1" t="s">
        <v>223</v>
      </c>
      <c r="DL2261" s="1" t="s">
        <v>858</v>
      </c>
      <c r="DM2261" s="1" t="s">
        <v>338</v>
      </c>
      <c r="DO2261" s="1" t="s">
        <v>549</v>
      </c>
      <c r="DQ2261" s="1" t="s">
        <v>228</v>
      </c>
      <c r="DR2261" s="1" t="s">
        <v>229</v>
      </c>
      <c r="DV2261" s="1" t="s">
        <v>232</v>
      </c>
      <c r="DW2261" s="1" t="s">
        <v>370</v>
      </c>
      <c r="DX2261" s="1" t="s">
        <v>234</v>
      </c>
      <c r="DZ2261" s="1" t="s">
        <v>766</v>
      </c>
      <c r="EA2261" s="1" t="s">
        <v>1302</v>
      </c>
      <c r="EC2261" s="1" t="s">
        <v>284</v>
      </c>
      <c r="ED2261" s="1" t="s">
        <v>1761</v>
      </c>
      <c r="EE2261" s="1" t="s">
        <v>1673</v>
      </c>
      <c r="EM2261" s="1" t="s">
        <v>238</v>
      </c>
      <c r="EQ2261" s="1" t="s">
        <v>238</v>
      </c>
      <c r="EU2261" s="1" t="s">
        <v>238</v>
      </c>
      <c r="EY2261" s="1" t="s">
        <v>238</v>
      </c>
      <c r="FC2261" s="1" t="s">
        <v>238</v>
      </c>
      <c r="FF2261" s="1" t="s">
        <v>239</v>
      </c>
      <c r="FG2261" s="1" t="s">
        <v>192</v>
      </c>
      <c r="FH2261" s="1" t="s">
        <v>192</v>
      </c>
      <c r="FJ2261" s="1" t="s">
        <v>524</v>
      </c>
      <c r="FK2261" s="1" t="s">
        <v>1586</v>
      </c>
      <c r="FL2261" s="1" t="s">
        <v>20939</v>
      </c>
      <c r="FM2261" s="1">
        <v>4415.0</v>
      </c>
      <c r="FN2261" s="1" t="s">
        <v>20940</v>
      </c>
      <c r="FO2261" s="1" t="s">
        <v>20941</v>
      </c>
      <c r="FP2261" s="1">
        <v>34864.0</v>
      </c>
      <c r="FQ2261" s="1" t="s">
        <v>20942</v>
      </c>
      <c r="FU2261" s="1" t="s">
        <v>20943</v>
      </c>
      <c r="FV2261" s="1" t="s">
        <v>200</v>
      </c>
      <c r="FW2261" s="1" t="s">
        <v>290</v>
      </c>
      <c r="FZ2261" s="1" t="s">
        <v>229</v>
      </c>
      <c r="GA2261" s="1" t="s">
        <v>291</v>
      </c>
      <c r="GB2261" s="2">
        <v>42009.0</v>
      </c>
      <c r="GC2261" s="1" t="s">
        <v>20944</v>
      </c>
    </row>
    <row r="2262">
      <c r="A2262" s="1">
        <v>237000.0</v>
      </c>
      <c r="B2262" s="1" t="s">
        <v>185</v>
      </c>
      <c r="C2262" s="1" t="str">
        <f>"08745500"</f>
        <v>08745500</v>
      </c>
      <c r="D2262" s="1" t="s">
        <v>186</v>
      </c>
      <c r="F2262" s="1" t="str">
        <f>"538"</f>
        <v>538</v>
      </c>
      <c r="G2262" s="2">
        <v>41917.0</v>
      </c>
      <c r="H2262" s="1">
        <v>259000.0</v>
      </c>
      <c r="I2262" s="1">
        <v>77.0</v>
      </c>
      <c r="J2262" s="1">
        <v>249900.0</v>
      </c>
      <c r="K2262" s="2">
        <v>41992.0</v>
      </c>
      <c r="L2262" s="1">
        <v>77.0</v>
      </c>
      <c r="M2262" s="2">
        <v>41992.0</v>
      </c>
      <c r="N2262" s="1" t="s">
        <v>187</v>
      </c>
      <c r="O2262" s="2">
        <v>42033.0</v>
      </c>
      <c r="P2262" s="1">
        <v>180.0</v>
      </c>
      <c r="Q2262" s="1">
        <v>604.0</v>
      </c>
      <c r="S2262" s="1">
        <v>3140.0</v>
      </c>
      <c r="T2262" s="1" t="s">
        <v>9134</v>
      </c>
      <c r="U2262" s="1" t="s">
        <v>1174</v>
      </c>
      <c r="V2262" s="1" t="s">
        <v>1340</v>
      </c>
      <c r="W2262" s="1">
        <v>60538.0</v>
      </c>
      <c r="Y2262" s="1" t="s">
        <v>20945</v>
      </c>
      <c r="Z2262" s="1">
        <v>2011.0</v>
      </c>
      <c r="AA2262" s="1" t="s">
        <v>200</v>
      </c>
      <c r="AB2262" s="1" t="s">
        <v>193</v>
      </c>
      <c r="AC2262" s="1" t="s">
        <v>15404</v>
      </c>
      <c r="AD2262" s="1" t="s">
        <v>1343</v>
      </c>
      <c r="AE2262" s="1" t="s">
        <v>849</v>
      </c>
      <c r="AF2262" s="1" t="s">
        <v>1312</v>
      </c>
      <c r="AH2262" s="1" t="s">
        <v>20946</v>
      </c>
      <c r="AI2262" s="1">
        <v>0.2259</v>
      </c>
      <c r="AK2262" s="1">
        <v>8.0</v>
      </c>
      <c r="AL2262" s="1">
        <v>4.0</v>
      </c>
      <c r="AM2262" s="1">
        <v>2.0</v>
      </c>
      <c r="AN2262" s="1">
        <v>1.0</v>
      </c>
      <c r="AO2262" s="1" t="s">
        <v>198</v>
      </c>
      <c r="AQ2262" s="1" t="s">
        <v>1314</v>
      </c>
      <c r="AR2262" s="1" t="s">
        <v>200</v>
      </c>
      <c r="AS2262" s="1" t="s">
        <v>199</v>
      </c>
      <c r="AT2262" s="1">
        <v>2.0</v>
      </c>
      <c r="AV2262" s="1" t="s">
        <v>200</v>
      </c>
      <c r="AW2262" s="1">
        <v>7899.82</v>
      </c>
      <c r="AX2262" s="1">
        <v>2012.0</v>
      </c>
      <c r="AY2262" s="1" t="s">
        <v>387</v>
      </c>
      <c r="AZ2262" s="1" t="s">
        <v>200</v>
      </c>
      <c r="BA2262" s="1" t="str">
        <f>"0203277018"</f>
        <v>0203277018</v>
      </c>
      <c r="BC2262" s="1">
        <v>2456.0</v>
      </c>
      <c r="BD2262" s="1">
        <v>237000.0</v>
      </c>
      <c r="BE2262" s="2">
        <v>41916.0</v>
      </c>
      <c r="BF2262" s="2" t="s">
        <v>20947</v>
      </c>
      <c r="BG2262" s="1" t="s">
        <v>4759</v>
      </c>
      <c r="BH2262" s="1">
        <v>260.0</v>
      </c>
      <c r="BI2262" s="1" t="s">
        <v>3052</v>
      </c>
      <c r="BJ2262" s="1" t="s">
        <v>3053</v>
      </c>
      <c r="BK2262" s="1" t="s">
        <v>580</v>
      </c>
      <c r="BL2262" s="1" t="str">
        <f t="shared" ref="BL2262:BM2262" si="1481">""</f>
        <v/>
      </c>
      <c r="BM2262" s="1" t="str">
        <f t="shared" si="1481"/>
        <v/>
      </c>
      <c r="BQ2262" s="1">
        <v>115.0</v>
      </c>
      <c r="BR2262" s="1">
        <v>115.0</v>
      </c>
      <c r="BS2262" s="1">
        <v>115.0</v>
      </c>
      <c r="BU2262" s="1" t="s">
        <v>212</v>
      </c>
      <c r="BV2262" s="1" t="s">
        <v>206</v>
      </c>
      <c r="BW2262" s="1" t="s">
        <v>301</v>
      </c>
      <c r="BX2262" s="1" t="s">
        <v>431</v>
      </c>
      <c r="BY2262" s="1" t="s">
        <v>3475</v>
      </c>
      <c r="BZ2262" s="1" t="s">
        <v>209</v>
      </c>
      <c r="CA2262" s="1" t="s">
        <v>210</v>
      </c>
      <c r="CB2262" s="1" t="s">
        <v>431</v>
      </c>
      <c r="CC2262" s="1" t="s">
        <v>264</v>
      </c>
      <c r="CD2262" s="1" t="s">
        <v>206</v>
      </c>
      <c r="CE2262" s="1" t="s">
        <v>301</v>
      </c>
      <c r="CF2262" s="1" t="s">
        <v>431</v>
      </c>
      <c r="CG2262" s="1" t="s">
        <v>454</v>
      </c>
      <c r="CH2262" s="1" t="s">
        <v>209</v>
      </c>
      <c r="CI2262" s="1" t="s">
        <v>210</v>
      </c>
      <c r="CJ2262" s="1" t="s">
        <v>431</v>
      </c>
      <c r="CK2262" s="1" t="s">
        <v>363</v>
      </c>
      <c r="CL2262" s="1" t="s">
        <v>209</v>
      </c>
      <c r="CM2262" s="1" t="s">
        <v>210</v>
      </c>
      <c r="CN2262" s="1" t="s">
        <v>431</v>
      </c>
      <c r="CO2262" s="1" t="s">
        <v>212</v>
      </c>
      <c r="CP2262" s="1" t="s">
        <v>209</v>
      </c>
      <c r="CQ2262" s="1" t="s">
        <v>210</v>
      </c>
      <c r="CR2262" s="1" t="s">
        <v>431</v>
      </c>
      <c r="CS2262" s="1" t="s">
        <v>453</v>
      </c>
      <c r="CT2262" s="1" t="s">
        <v>206</v>
      </c>
      <c r="CU2262" s="1" t="s">
        <v>301</v>
      </c>
      <c r="CV2262" s="1" t="s">
        <v>431</v>
      </c>
      <c r="CW2262" s="1" t="s">
        <v>2800</v>
      </c>
      <c r="CX2262" s="1" t="s">
        <v>206</v>
      </c>
      <c r="CY2262" s="1" t="s">
        <v>210</v>
      </c>
      <c r="CZ2262" s="1" t="s">
        <v>431</v>
      </c>
      <c r="DA2262" s="1" t="s">
        <v>200</v>
      </c>
      <c r="DC2262" s="1" t="s">
        <v>1046</v>
      </c>
      <c r="DD2262" s="1" t="s">
        <v>436</v>
      </c>
      <c r="DE2262" s="1" t="s">
        <v>273</v>
      </c>
      <c r="DF2262" s="1" t="s">
        <v>219</v>
      </c>
      <c r="DG2262" s="1" t="s">
        <v>337</v>
      </c>
      <c r="DH2262" s="1" t="s">
        <v>220</v>
      </c>
      <c r="DI2262" s="1" t="s">
        <v>519</v>
      </c>
      <c r="DJ2262" s="1" t="s">
        <v>222</v>
      </c>
      <c r="DL2262" s="1" t="s">
        <v>1267</v>
      </c>
      <c r="DM2262" s="1" t="s">
        <v>229</v>
      </c>
      <c r="DN2262" s="1" t="s">
        <v>485</v>
      </c>
      <c r="DO2262" s="1" t="s">
        <v>549</v>
      </c>
      <c r="DP2262" s="1" t="s">
        <v>340</v>
      </c>
      <c r="DQ2262" s="1" t="s">
        <v>441</v>
      </c>
      <c r="DR2262" s="1" t="s">
        <v>229</v>
      </c>
      <c r="DS2262" s="1" t="s">
        <v>230</v>
      </c>
      <c r="DU2262" s="1" t="s">
        <v>20948</v>
      </c>
      <c r="DV2262" s="1" t="s">
        <v>232</v>
      </c>
      <c r="DW2262" s="1" t="s">
        <v>233</v>
      </c>
      <c r="DX2262" s="1" t="s">
        <v>234</v>
      </c>
      <c r="DY2262" s="1" t="s">
        <v>342</v>
      </c>
      <c r="DZ2262" s="1" t="s">
        <v>2483</v>
      </c>
      <c r="EA2262" s="1" t="s">
        <v>447</v>
      </c>
      <c r="EC2262" s="1" t="s">
        <v>237</v>
      </c>
      <c r="ED2262" s="1" t="s">
        <v>407</v>
      </c>
      <c r="EE2262" s="1" t="s">
        <v>493</v>
      </c>
      <c r="EM2262" s="1" t="s">
        <v>238</v>
      </c>
      <c r="EQ2262" s="1" t="s">
        <v>238</v>
      </c>
      <c r="EU2262" s="1" t="s">
        <v>238</v>
      </c>
      <c r="EY2262" s="1" t="s">
        <v>238</v>
      </c>
      <c r="FC2262" s="1" t="s">
        <v>238</v>
      </c>
      <c r="FF2262" s="1" t="s">
        <v>239</v>
      </c>
      <c r="FG2262" s="1" t="s">
        <v>192</v>
      </c>
      <c r="FH2262" s="1" t="s">
        <v>192</v>
      </c>
      <c r="FJ2262" s="1" t="s">
        <v>2206</v>
      </c>
      <c r="FK2262" s="1" t="s">
        <v>229</v>
      </c>
      <c r="FL2262" s="1" t="s">
        <v>2226</v>
      </c>
      <c r="FM2262" s="1">
        <v>300.0</v>
      </c>
      <c r="FN2262" s="1" t="s">
        <v>2227</v>
      </c>
      <c r="FO2262" s="1" t="s">
        <v>15459</v>
      </c>
      <c r="FP2262" s="1">
        <v>8504.0</v>
      </c>
      <c r="FS2262" s="1" t="s">
        <v>15460</v>
      </c>
      <c r="FT2262" s="1">
        <v>6.303063745E9</v>
      </c>
      <c r="FU2262" s="1" t="s">
        <v>20949</v>
      </c>
      <c r="FV2262" s="1" t="s">
        <v>200</v>
      </c>
      <c r="FW2262" s="1" t="s">
        <v>290</v>
      </c>
      <c r="FZ2262" s="1" t="s">
        <v>632</v>
      </c>
      <c r="GA2262" s="1" t="s">
        <v>291</v>
      </c>
      <c r="GB2262" s="2">
        <v>42033.0</v>
      </c>
    </row>
    <row r="2263">
      <c r="A2263" s="1">
        <v>170000.0</v>
      </c>
      <c r="B2263" s="1" t="s">
        <v>185</v>
      </c>
      <c r="C2263" s="1" t="str">
        <f>"08753460"</f>
        <v>08753460</v>
      </c>
      <c r="D2263" s="1" t="s">
        <v>186</v>
      </c>
      <c r="F2263" s="1" t="str">
        <f>"123"</f>
        <v>123</v>
      </c>
      <c r="G2263" s="2">
        <v>41927.0</v>
      </c>
      <c r="H2263" s="1">
        <v>189900.0</v>
      </c>
      <c r="I2263" s="1">
        <v>20.0</v>
      </c>
      <c r="J2263" s="1">
        <v>189900.0</v>
      </c>
      <c r="K2263" s="2">
        <v>41946.0</v>
      </c>
      <c r="L2263" s="1">
        <v>20.0</v>
      </c>
      <c r="M2263" s="2">
        <v>41946.0</v>
      </c>
      <c r="N2263" s="1" t="s">
        <v>356</v>
      </c>
      <c r="O2263" s="2">
        <v>41983.0</v>
      </c>
      <c r="P2263" s="1">
        <v>70208.0</v>
      </c>
      <c r="Q2263" s="1">
        <v>432.0</v>
      </c>
      <c r="S2263" s="1">
        <v>644.0</v>
      </c>
      <c r="T2263" s="1" t="s">
        <v>6632</v>
      </c>
      <c r="U2263" s="1" t="s">
        <v>4857</v>
      </c>
      <c r="V2263" s="1" t="s">
        <v>465</v>
      </c>
      <c r="W2263" s="1">
        <v>60123.0</v>
      </c>
      <c r="Y2263" s="1" t="s">
        <v>20950</v>
      </c>
      <c r="Z2263" s="1">
        <v>1987.0</v>
      </c>
      <c r="AA2263" s="1" t="s">
        <v>200</v>
      </c>
      <c r="AB2263" s="1" t="s">
        <v>193</v>
      </c>
      <c r="AC2263" s="1" t="s">
        <v>1444</v>
      </c>
      <c r="AD2263" s="1" t="s">
        <v>469</v>
      </c>
      <c r="AE2263" s="1" t="s">
        <v>325</v>
      </c>
      <c r="AF2263" s="1" t="s">
        <v>469</v>
      </c>
      <c r="AG2263" s="1" t="s">
        <v>3241</v>
      </c>
      <c r="AH2263" s="1" t="s">
        <v>20951</v>
      </c>
      <c r="AK2263" s="1">
        <v>9.0</v>
      </c>
      <c r="AL2263" s="1">
        <v>4.0</v>
      </c>
      <c r="AM2263" s="1">
        <v>2.0</v>
      </c>
      <c r="AN2263" s="1">
        <v>1.0</v>
      </c>
      <c r="AO2263" s="1" t="s">
        <v>198</v>
      </c>
      <c r="AQ2263" s="1" t="s">
        <v>198</v>
      </c>
      <c r="AR2263" s="1" t="s">
        <v>200</v>
      </c>
      <c r="AS2263" s="1" t="s">
        <v>199</v>
      </c>
      <c r="AT2263" s="1">
        <v>2.0</v>
      </c>
      <c r="AV2263" s="1" t="s">
        <v>200</v>
      </c>
      <c r="AW2263" s="1">
        <v>5609.0</v>
      </c>
      <c r="AX2263" s="1">
        <v>2013.0</v>
      </c>
      <c r="AY2263" s="1" t="s">
        <v>387</v>
      </c>
      <c r="AZ2263" s="1" t="s">
        <v>200</v>
      </c>
      <c r="BA2263" s="1" t="str">
        <f>"0609379032"</f>
        <v>0609379032</v>
      </c>
      <c r="BB2263" s="1" t="s">
        <v>200</v>
      </c>
      <c r="BC2263" s="1">
        <v>2052.0</v>
      </c>
      <c r="BD2263" s="1">
        <v>170000.0</v>
      </c>
      <c r="BE2263" s="2">
        <v>41927.0</v>
      </c>
      <c r="BF2263" s="2" t="s">
        <v>20952</v>
      </c>
      <c r="BG2263" s="1" t="s">
        <v>13029</v>
      </c>
      <c r="BH2263" s="1">
        <v>0.0</v>
      </c>
      <c r="BI2263" s="1" t="s">
        <v>3197</v>
      </c>
      <c r="BJ2263" s="1" t="s">
        <v>675</v>
      </c>
      <c r="BK2263" s="1" t="s">
        <v>204</v>
      </c>
      <c r="BL2263" s="1" t="str">
        <f t="shared" ref="BL2263:BM2263" si="1482">""</f>
        <v/>
      </c>
      <c r="BM2263" s="1" t="str">
        <f t="shared" si="1482"/>
        <v/>
      </c>
      <c r="BQ2263" s="1">
        <v>46.0</v>
      </c>
      <c r="BR2263" s="1">
        <v>46.0</v>
      </c>
      <c r="BS2263" s="1">
        <v>46.0</v>
      </c>
      <c r="BU2263" s="1" t="s">
        <v>541</v>
      </c>
      <c r="BV2263" s="1" t="s">
        <v>206</v>
      </c>
      <c r="BW2263" s="1" t="s">
        <v>301</v>
      </c>
      <c r="BY2263" s="1" t="s">
        <v>433</v>
      </c>
      <c r="BZ2263" s="1" t="s">
        <v>209</v>
      </c>
      <c r="CA2263" s="1" t="s">
        <v>207</v>
      </c>
      <c r="CD2263" s="1" t="s">
        <v>204</v>
      </c>
      <c r="CG2263" s="1" t="s">
        <v>212</v>
      </c>
      <c r="CH2263" s="1" t="s">
        <v>209</v>
      </c>
      <c r="CI2263" s="1" t="s">
        <v>210</v>
      </c>
      <c r="CK2263" s="1" t="s">
        <v>699</v>
      </c>
      <c r="CL2263" s="1" t="s">
        <v>209</v>
      </c>
      <c r="CM2263" s="1" t="s">
        <v>210</v>
      </c>
      <c r="CO2263" s="1" t="s">
        <v>269</v>
      </c>
      <c r="CP2263" s="1" t="s">
        <v>209</v>
      </c>
      <c r="CQ2263" s="1" t="s">
        <v>210</v>
      </c>
      <c r="CS2263" s="1" t="s">
        <v>212</v>
      </c>
      <c r="CT2263" s="1" t="s">
        <v>206</v>
      </c>
      <c r="CU2263" s="1" t="s">
        <v>268</v>
      </c>
      <c r="CW2263" s="1" t="s">
        <v>6146</v>
      </c>
      <c r="CX2263" s="1" t="s">
        <v>206</v>
      </c>
      <c r="CY2263" s="1" t="s">
        <v>210</v>
      </c>
      <c r="DA2263" s="1" t="s">
        <v>200</v>
      </c>
      <c r="DC2263" s="1" t="s">
        <v>305</v>
      </c>
      <c r="DD2263" s="1" t="s">
        <v>926</v>
      </c>
      <c r="DE2263" s="1" t="s">
        <v>273</v>
      </c>
      <c r="DF2263" s="1" t="s">
        <v>219</v>
      </c>
      <c r="DG2263" s="1" t="s">
        <v>482</v>
      </c>
      <c r="DH2263" s="1" t="s">
        <v>220</v>
      </c>
      <c r="DI2263" s="1" t="s">
        <v>308</v>
      </c>
      <c r="DJ2263" s="1" t="s">
        <v>1048</v>
      </c>
      <c r="DK2263" s="1" t="s">
        <v>223</v>
      </c>
      <c r="DL2263" s="1" t="s">
        <v>858</v>
      </c>
      <c r="DM2263" s="1" t="s">
        <v>229</v>
      </c>
      <c r="DQ2263" s="1" t="s">
        <v>228</v>
      </c>
      <c r="DR2263" s="1" t="s">
        <v>229</v>
      </c>
      <c r="DS2263" s="1" t="s">
        <v>401</v>
      </c>
      <c r="DU2263" s="1" t="s">
        <v>1331</v>
      </c>
      <c r="DV2263" s="1" t="s">
        <v>16270</v>
      </c>
      <c r="DW2263" s="1" t="s">
        <v>233</v>
      </c>
      <c r="DX2263" s="1" t="s">
        <v>309</v>
      </c>
      <c r="DY2263" s="1" t="s">
        <v>1189</v>
      </c>
      <c r="DZ2263" s="1" t="s">
        <v>1405</v>
      </c>
      <c r="EA2263" s="1" t="s">
        <v>447</v>
      </c>
      <c r="EC2263" s="1" t="s">
        <v>237</v>
      </c>
      <c r="ED2263" s="1" t="s">
        <v>407</v>
      </c>
      <c r="EE2263" s="1" t="s">
        <v>493</v>
      </c>
      <c r="EG2263" s="1" t="s">
        <v>450</v>
      </c>
      <c r="EH2263" s="1" t="s">
        <v>1102</v>
      </c>
      <c r="EI2263" s="1" t="s">
        <v>449</v>
      </c>
      <c r="EL2263" s="1" t="s">
        <v>4469</v>
      </c>
      <c r="EM2263" s="1" t="s">
        <v>42</v>
      </c>
      <c r="EN2263" s="1" t="s">
        <v>617</v>
      </c>
      <c r="EP2263" s="1" t="s">
        <v>212</v>
      </c>
      <c r="EQ2263" s="1" t="s">
        <v>206</v>
      </c>
      <c r="ER2263" s="1" t="s">
        <v>210</v>
      </c>
      <c r="ET2263" s="1" t="s">
        <v>264</v>
      </c>
      <c r="EU2263" s="1" t="s">
        <v>206</v>
      </c>
      <c r="EV2263" s="1" t="s">
        <v>268</v>
      </c>
      <c r="EY2263" s="1" t="s">
        <v>238</v>
      </c>
      <c r="FC2263" s="1" t="s">
        <v>238</v>
      </c>
      <c r="FF2263" s="1" t="s">
        <v>239</v>
      </c>
      <c r="FG2263" s="1" t="s">
        <v>192</v>
      </c>
      <c r="FH2263" s="1" t="s">
        <v>192</v>
      </c>
      <c r="FJ2263" s="1" t="s">
        <v>20953</v>
      </c>
      <c r="FK2263" s="1" t="s">
        <v>229</v>
      </c>
      <c r="FL2263" s="1" t="s">
        <v>7596</v>
      </c>
      <c r="FM2263" s="1">
        <v>357.0</v>
      </c>
      <c r="FN2263" s="1" t="s">
        <v>7597</v>
      </c>
      <c r="FO2263" s="1" t="s">
        <v>20954</v>
      </c>
      <c r="FP2263" s="1">
        <v>1337.0</v>
      </c>
      <c r="FQ2263" s="1" t="s">
        <v>20955</v>
      </c>
      <c r="FS2263" s="1" t="s">
        <v>20956</v>
      </c>
      <c r="FU2263" s="1" t="s">
        <v>20957</v>
      </c>
      <c r="FV2263" s="1" t="s">
        <v>200</v>
      </c>
      <c r="FW2263" s="1" t="s">
        <v>2754</v>
      </c>
      <c r="FZ2263" s="1" t="s">
        <v>229</v>
      </c>
      <c r="GA2263" s="1" t="s">
        <v>291</v>
      </c>
      <c r="GB2263" s="2">
        <v>41985.0</v>
      </c>
      <c r="GC2263" s="1" t="s">
        <v>20958</v>
      </c>
    </row>
    <row r="2264">
      <c r="A2264" s="1">
        <v>263000.0</v>
      </c>
      <c r="B2264" s="1" t="s">
        <v>185</v>
      </c>
      <c r="C2264" s="1" t="str">
        <f>"08745012"</f>
        <v>08745012</v>
      </c>
      <c r="D2264" s="1" t="s">
        <v>186</v>
      </c>
      <c r="F2264" s="1" t="str">
        <f>"543"</f>
        <v>543</v>
      </c>
      <c r="G2264" s="2">
        <v>41916.0</v>
      </c>
      <c r="H2264" s="1">
        <v>277900.0</v>
      </c>
      <c r="I2264" s="1">
        <v>313.0</v>
      </c>
      <c r="J2264" s="1">
        <v>269900.0</v>
      </c>
      <c r="K2264" s="2">
        <v>42105.0</v>
      </c>
      <c r="L2264" s="1">
        <v>191.0</v>
      </c>
      <c r="M2264" s="2">
        <v>42105.0</v>
      </c>
      <c r="N2264" s="1" t="s">
        <v>187</v>
      </c>
      <c r="O2264" s="2">
        <v>42145.0</v>
      </c>
      <c r="P2264" s="1">
        <v>245396.0</v>
      </c>
      <c r="Q2264" s="1">
        <v>23030.0</v>
      </c>
      <c r="S2264" s="1">
        <v>408.0</v>
      </c>
      <c r="T2264" s="1" t="s">
        <v>20959</v>
      </c>
      <c r="U2264" s="1" t="s">
        <v>1015</v>
      </c>
      <c r="V2264" s="1" t="s">
        <v>1527</v>
      </c>
      <c r="W2264" s="1">
        <v>60543.0</v>
      </c>
      <c r="Y2264" s="1" t="s">
        <v>20960</v>
      </c>
      <c r="Z2264" s="1">
        <v>1999.0</v>
      </c>
      <c r="AA2264" s="1" t="s">
        <v>200</v>
      </c>
      <c r="AB2264" s="1" t="s">
        <v>467</v>
      </c>
      <c r="AC2264" s="1" t="s">
        <v>8083</v>
      </c>
      <c r="AD2264" s="1" t="s">
        <v>1529</v>
      </c>
      <c r="AE2264" s="1" t="s">
        <v>849</v>
      </c>
      <c r="AF2264" s="1" t="s">
        <v>1529</v>
      </c>
      <c r="AH2264" s="1" t="s">
        <v>5193</v>
      </c>
      <c r="AK2264" s="1">
        <v>12.0</v>
      </c>
      <c r="AL2264" s="1">
        <v>4.0</v>
      </c>
      <c r="AM2264" s="1">
        <v>2.0</v>
      </c>
      <c r="AN2264" s="1">
        <v>1.0</v>
      </c>
      <c r="AO2264" s="1" t="s">
        <v>198</v>
      </c>
      <c r="AP2264" s="1">
        <v>1.0</v>
      </c>
      <c r="AQ2264" s="1" t="s">
        <v>198</v>
      </c>
      <c r="AR2264" s="1" t="s">
        <v>200</v>
      </c>
      <c r="AS2264" s="1" t="s">
        <v>199</v>
      </c>
      <c r="AT2264" s="1">
        <v>2.0</v>
      </c>
      <c r="AV2264" s="1" t="s">
        <v>200</v>
      </c>
      <c r="AW2264" s="1">
        <v>8910.0</v>
      </c>
      <c r="AX2264" s="1">
        <v>2013.0</v>
      </c>
      <c r="AY2264" s="1" t="s">
        <v>387</v>
      </c>
      <c r="AZ2264" s="1" t="s">
        <v>200</v>
      </c>
      <c r="BA2264" s="1" t="str">
        <f>"0329102003"</f>
        <v>0329102003</v>
      </c>
      <c r="BB2264" s="1" t="s">
        <v>200</v>
      </c>
      <c r="BC2264" s="1">
        <v>2676.0</v>
      </c>
      <c r="BD2264" s="1">
        <v>263000.0</v>
      </c>
      <c r="BE2264" s="2">
        <v>41915.0</v>
      </c>
      <c r="BF2264" s="2" t="s">
        <v>20961</v>
      </c>
      <c r="BG2264" s="1" t="s">
        <v>1532</v>
      </c>
      <c r="BH2264" s="1">
        <v>125.0</v>
      </c>
      <c r="BI2264" s="1" t="s">
        <v>1533</v>
      </c>
      <c r="BJ2264" s="1" t="s">
        <v>1349</v>
      </c>
      <c r="BK2264" s="1" t="s">
        <v>580</v>
      </c>
      <c r="BL2264" s="1" t="str">
        <f t="shared" ref="BL2264:BM2264" si="1483">""</f>
        <v/>
      </c>
      <c r="BM2264" s="1" t="str">
        <f t="shared" si="1483"/>
        <v/>
      </c>
      <c r="BQ2264" s="1">
        <v>308.0</v>
      </c>
      <c r="BR2264" s="1">
        <v>308.0</v>
      </c>
      <c r="BS2264" s="1">
        <v>308.0</v>
      </c>
      <c r="BU2264" s="1" t="s">
        <v>1395</v>
      </c>
      <c r="BV2264" s="1" t="s">
        <v>206</v>
      </c>
      <c r="BW2264" s="1" t="s">
        <v>210</v>
      </c>
      <c r="BX2264" s="1" t="s">
        <v>239</v>
      </c>
      <c r="BY2264" s="1" t="s">
        <v>2647</v>
      </c>
      <c r="BZ2264" s="1" t="s">
        <v>209</v>
      </c>
      <c r="CA2264" s="1" t="s">
        <v>210</v>
      </c>
      <c r="CB2264" s="1" t="s">
        <v>239</v>
      </c>
      <c r="CC2264" s="1" t="s">
        <v>2459</v>
      </c>
      <c r="CD2264" s="1" t="s">
        <v>206</v>
      </c>
      <c r="CE2264" s="1" t="s">
        <v>210</v>
      </c>
      <c r="CF2264" s="1" t="s">
        <v>239</v>
      </c>
      <c r="CG2264" s="1" t="s">
        <v>1417</v>
      </c>
      <c r="CH2264" s="1" t="s">
        <v>209</v>
      </c>
      <c r="CI2264" s="1" t="s">
        <v>210</v>
      </c>
      <c r="CJ2264" s="1" t="s">
        <v>239</v>
      </c>
      <c r="CK2264" s="1" t="s">
        <v>1417</v>
      </c>
      <c r="CL2264" s="1" t="s">
        <v>209</v>
      </c>
      <c r="CM2264" s="1" t="s">
        <v>210</v>
      </c>
      <c r="CN2264" s="1" t="s">
        <v>239</v>
      </c>
      <c r="CO2264" s="1" t="s">
        <v>1417</v>
      </c>
      <c r="CP2264" s="1" t="s">
        <v>209</v>
      </c>
      <c r="CQ2264" s="1" t="s">
        <v>210</v>
      </c>
      <c r="CR2264" s="1" t="s">
        <v>239</v>
      </c>
      <c r="CS2264" s="1" t="s">
        <v>2459</v>
      </c>
      <c r="CT2264" s="1" t="s">
        <v>206</v>
      </c>
      <c r="CU2264" s="1" t="s">
        <v>268</v>
      </c>
      <c r="CV2264" s="1" t="s">
        <v>239</v>
      </c>
      <c r="CW2264" s="1" t="s">
        <v>662</v>
      </c>
      <c r="CX2264" s="1" t="s">
        <v>206</v>
      </c>
      <c r="CY2264" s="1" t="s">
        <v>210</v>
      </c>
      <c r="CZ2264" s="1" t="s">
        <v>239</v>
      </c>
      <c r="DA2264" s="1" t="s">
        <v>200</v>
      </c>
      <c r="DC2264" s="1" t="s">
        <v>678</v>
      </c>
      <c r="DD2264" s="1" t="s">
        <v>926</v>
      </c>
      <c r="DE2264" s="1" t="s">
        <v>273</v>
      </c>
      <c r="DF2264" s="1" t="s">
        <v>219</v>
      </c>
      <c r="DG2264" s="1" t="s">
        <v>2237</v>
      </c>
      <c r="DH2264" s="1" t="s">
        <v>220</v>
      </c>
      <c r="DI2264" s="1" t="s">
        <v>11744</v>
      </c>
      <c r="DJ2264" s="1" t="s">
        <v>1048</v>
      </c>
      <c r="DK2264" s="1" t="s">
        <v>223</v>
      </c>
      <c r="DL2264" s="1" t="s">
        <v>224</v>
      </c>
      <c r="DM2264" s="1" t="s">
        <v>338</v>
      </c>
      <c r="DN2264" s="1" t="s">
        <v>439</v>
      </c>
      <c r="DO2264" s="1" t="s">
        <v>486</v>
      </c>
      <c r="DP2264" s="1" t="s">
        <v>340</v>
      </c>
      <c r="DQ2264" s="1" t="s">
        <v>228</v>
      </c>
      <c r="DR2264" s="1" t="s">
        <v>588</v>
      </c>
      <c r="DS2264" s="1" t="s">
        <v>230</v>
      </c>
      <c r="DU2264" s="1" t="s">
        <v>20962</v>
      </c>
      <c r="DV2264" s="1" t="s">
        <v>20963</v>
      </c>
      <c r="DW2264" s="1" t="s">
        <v>444</v>
      </c>
      <c r="DX2264" s="1" t="s">
        <v>234</v>
      </c>
      <c r="DY2264" s="1" t="s">
        <v>2961</v>
      </c>
      <c r="DZ2264" s="1" t="s">
        <v>1100</v>
      </c>
      <c r="EA2264" s="1" t="s">
        <v>344</v>
      </c>
      <c r="EB2264" s="1" t="s">
        <v>767</v>
      </c>
      <c r="EC2264" s="1" t="s">
        <v>237</v>
      </c>
      <c r="ED2264" s="1" t="s">
        <v>407</v>
      </c>
      <c r="EE2264" s="1" t="s">
        <v>493</v>
      </c>
      <c r="EG2264" s="1" t="s">
        <v>556</v>
      </c>
      <c r="EH2264" s="1" t="s">
        <v>450</v>
      </c>
      <c r="EI2264" s="1" t="s">
        <v>451</v>
      </c>
      <c r="EJ2264" s="1" t="s">
        <v>1467</v>
      </c>
      <c r="EL2264" s="1" t="s">
        <v>2459</v>
      </c>
      <c r="EM2264" s="1" t="s">
        <v>206</v>
      </c>
      <c r="EN2264" s="1" t="s">
        <v>268</v>
      </c>
      <c r="EO2264" s="1" t="s">
        <v>239</v>
      </c>
      <c r="EP2264" s="1" t="s">
        <v>2261</v>
      </c>
      <c r="EQ2264" s="1" t="s">
        <v>42</v>
      </c>
      <c r="ER2264" s="1" t="s">
        <v>210</v>
      </c>
      <c r="ET2264" s="1" t="s">
        <v>363</v>
      </c>
      <c r="EU2264" s="1" t="s">
        <v>42</v>
      </c>
      <c r="EV2264" s="1" t="s">
        <v>210</v>
      </c>
      <c r="EX2264" s="1" t="s">
        <v>1183</v>
      </c>
      <c r="EY2264" s="1" t="s">
        <v>209</v>
      </c>
      <c r="EZ2264" s="1" t="s">
        <v>210</v>
      </c>
      <c r="FC2264" s="1" t="s">
        <v>238</v>
      </c>
      <c r="FF2264" s="1" t="s">
        <v>239</v>
      </c>
      <c r="FG2264" s="1" t="s">
        <v>192</v>
      </c>
      <c r="FH2264" s="1" t="s">
        <v>192</v>
      </c>
      <c r="FJ2264" s="1" t="s">
        <v>561</v>
      </c>
      <c r="FK2264" s="1" t="s">
        <v>557</v>
      </c>
      <c r="FL2264" s="1" t="s">
        <v>4627</v>
      </c>
      <c r="FM2264" s="1">
        <v>23030.0</v>
      </c>
      <c r="FN2264" s="1" t="s">
        <v>4628</v>
      </c>
      <c r="FO2264" s="1" t="s">
        <v>6214</v>
      </c>
      <c r="FP2264" s="1">
        <v>231898.0</v>
      </c>
      <c r="FQ2264" s="1" t="s">
        <v>6215</v>
      </c>
      <c r="FS2264" s="1" t="s">
        <v>20964</v>
      </c>
      <c r="FU2264" s="1" t="s">
        <v>20965</v>
      </c>
      <c r="FV2264" s="1" t="s">
        <v>200</v>
      </c>
      <c r="FW2264" s="1" t="s">
        <v>3778</v>
      </c>
      <c r="FZ2264" s="1" t="s">
        <v>229</v>
      </c>
      <c r="GA2264" s="1" t="s">
        <v>291</v>
      </c>
      <c r="GB2264" s="2">
        <v>42145.0</v>
      </c>
      <c r="GC2264" s="1" t="s">
        <v>20966</v>
      </c>
    </row>
    <row r="2265">
      <c r="A2265" s="1">
        <v>799900.0</v>
      </c>
      <c r="B2265" s="1" t="s">
        <v>185</v>
      </c>
      <c r="C2265" s="1" t="str">
        <f>"08745221"</f>
        <v>08745221</v>
      </c>
      <c r="D2265" s="1" t="s">
        <v>186</v>
      </c>
      <c r="F2265" s="1" t="str">
        <f>"8022"</f>
        <v>8022</v>
      </c>
      <c r="G2265" s="2">
        <v>41916.0</v>
      </c>
      <c r="H2265" s="1">
        <v>799900.0</v>
      </c>
      <c r="I2265" s="1">
        <v>1.0</v>
      </c>
      <c r="J2265" s="1">
        <v>799900.0</v>
      </c>
      <c r="K2265" s="2">
        <v>41916.0</v>
      </c>
      <c r="L2265" s="1">
        <v>1.0</v>
      </c>
      <c r="M2265" s="2">
        <v>41916.0</v>
      </c>
      <c r="N2265" s="1" t="s">
        <v>187</v>
      </c>
      <c r="O2265" s="2">
        <v>42102.0</v>
      </c>
      <c r="P2265" s="1">
        <v>137452.0</v>
      </c>
      <c r="Q2265" s="1">
        <v>15191.0</v>
      </c>
      <c r="S2265" s="1">
        <v>2624.0</v>
      </c>
      <c r="T2265" s="1" t="s">
        <v>13040</v>
      </c>
      <c r="U2265" s="1" t="s">
        <v>189</v>
      </c>
      <c r="V2265" s="1" t="s">
        <v>190</v>
      </c>
      <c r="W2265" s="1">
        <v>60647.0</v>
      </c>
      <c r="Y2265" s="1" t="s">
        <v>6455</v>
      </c>
      <c r="Z2265" s="1">
        <v>2015.0</v>
      </c>
      <c r="AA2265" s="1" t="s">
        <v>200</v>
      </c>
      <c r="AB2265" s="1" t="s">
        <v>193</v>
      </c>
      <c r="AD2265" s="1" t="s">
        <v>194</v>
      </c>
      <c r="AE2265" s="1" t="s">
        <v>195</v>
      </c>
      <c r="AF2265" s="1" t="s">
        <v>827</v>
      </c>
      <c r="AG2265" s="1" t="s">
        <v>6456</v>
      </c>
      <c r="AH2265" s="1" t="s">
        <v>359</v>
      </c>
      <c r="AK2265" s="1">
        <v>9.0</v>
      </c>
      <c r="AL2265" s="1">
        <v>4.0</v>
      </c>
      <c r="AM2265" s="1">
        <v>3.0</v>
      </c>
      <c r="AN2265" s="1">
        <v>1.0</v>
      </c>
      <c r="AO2265" s="1" t="s">
        <v>198</v>
      </c>
      <c r="AP2265" s="1">
        <v>1.0</v>
      </c>
      <c r="AQ2265" s="1" t="s">
        <v>257</v>
      </c>
      <c r="AR2265" s="1" t="s">
        <v>192</v>
      </c>
      <c r="AS2265" s="1" t="s">
        <v>199</v>
      </c>
      <c r="AT2265" s="1">
        <v>2.0</v>
      </c>
      <c r="AV2265" s="1" t="s">
        <v>200</v>
      </c>
      <c r="AW2265" s="1" t="s">
        <v>575</v>
      </c>
      <c r="AX2265" s="1">
        <v>2013.0</v>
      </c>
      <c r="AZ2265" s="1" t="s">
        <v>545</v>
      </c>
      <c r="BA2265" s="1" t="str">
        <f>"13362070060000"</f>
        <v>13362070060000</v>
      </c>
      <c r="BC2265" s="1">
        <v>0.0</v>
      </c>
      <c r="BD2265" s="1">
        <v>799900.0</v>
      </c>
      <c r="BE2265" s="2">
        <v>41916.0</v>
      </c>
      <c r="BF2265" s="2" t="s">
        <v>20967</v>
      </c>
      <c r="BH2265" s="1">
        <v>0.0</v>
      </c>
      <c r="BK2265" s="1" t="s">
        <v>204</v>
      </c>
      <c r="BL2265" s="1" t="str">
        <f>"2300"</f>
        <v>2300</v>
      </c>
      <c r="BM2265" s="1" t="str">
        <f>"0"</f>
        <v>0</v>
      </c>
      <c r="BN2265" s="1">
        <v>2624.0</v>
      </c>
      <c r="BO2265" s="1">
        <v>0.0</v>
      </c>
      <c r="BQ2265" s="1">
        <v>299.0</v>
      </c>
      <c r="BR2265" s="1">
        <v>299.0</v>
      </c>
      <c r="BS2265" s="1">
        <v>299.0</v>
      </c>
      <c r="BU2265" s="1" t="s">
        <v>5223</v>
      </c>
      <c r="BV2265" s="1" t="s">
        <v>206</v>
      </c>
      <c r="BW2265" s="1" t="s">
        <v>207</v>
      </c>
      <c r="BY2265" s="1" t="s">
        <v>208</v>
      </c>
      <c r="BZ2265" s="1" t="s">
        <v>209</v>
      </c>
      <c r="CA2265" s="1" t="s">
        <v>207</v>
      </c>
      <c r="CC2265" s="1" t="s">
        <v>542</v>
      </c>
      <c r="CD2265" s="1" t="s">
        <v>206</v>
      </c>
      <c r="CE2265" s="1" t="s">
        <v>207</v>
      </c>
      <c r="CG2265" s="1" t="s">
        <v>331</v>
      </c>
      <c r="CH2265" s="1" t="s">
        <v>209</v>
      </c>
      <c r="CI2265" s="1" t="s">
        <v>207</v>
      </c>
      <c r="CK2265" s="1" t="s">
        <v>663</v>
      </c>
      <c r="CL2265" s="1" t="s">
        <v>209</v>
      </c>
      <c r="CM2265" s="1" t="s">
        <v>207</v>
      </c>
      <c r="CO2265" s="1" t="s">
        <v>390</v>
      </c>
      <c r="CP2265" s="1" t="s">
        <v>267</v>
      </c>
      <c r="CQ2265" s="1" t="s">
        <v>210</v>
      </c>
      <c r="CS2265" s="1" t="s">
        <v>329</v>
      </c>
      <c r="CT2265" s="1" t="s">
        <v>206</v>
      </c>
      <c r="CU2265" s="1" t="s">
        <v>207</v>
      </c>
      <c r="CW2265" s="1" t="s">
        <v>2120</v>
      </c>
      <c r="CX2265" s="1" t="s">
        <v>206</v>
      </c>
      <c r="CY2265" s="1" t="s">
        <v>207</v>
      </c>
      <c r="DA2265" s="1" t="s">
        <v>192</v>
      </c>
      <c r="DB2265" s="2">
        <v>41730.0</v>
      </c>
      <c r="DC2265" s="1" t="s">
        <v>744</v>
      </c>
      <c r="DD2265" s="1" t="s">
        <v>731</v>
      </c>
      <c r="DE2265" s="1" t="s">
        <v>273</v>
      </c>
      <c r="DF2265" s="1" t="s">
        <v>619</v>
      </c>
      <c r="DH2265" s="1" t="s">
        <v>220</v>
      </c>
      <c r="DI2265" s="1" t="s">
        <v>6458</v>
      </c>
      <c r="DJ2265" s="1" t="s">
        <v>222</v>
      </c>
      <c r="DL2265" s="1" t="s">
        <v>224</v>
      </c>
      <c r="DM2265" s="1" t="s">
        <v>229</v>
      </c>
      <c r="DN2265" s="1" t="s">
        <v>2676</v>
      </c>
      <c r="DP2265" s="1" t="s">
        <v>276</v>
      </c>
      <c r="DQ2265" s="1" t="s">
        <v>441</v>
      </c>
      <c r="DR2265" s="1" t="s">
        <v>229</v>
      </c>
      <c r="DU2265" s="1" t="s">
        <v>6459</v>
      </c>
      <c r="DV2265" s="1" t="s">
        <v>2058</v>
      </c>
      <c r="DW2265" s="1" t="s">
        <v>279</v>
      </c>
      <c r="DX2265" s="1" t="s">
        <v>234</v>
      </c>
      <c r="DY2265" s="1" t="s">
        <v>704</v>
      </c>
      <c r="EB2265" s="1" t="s">
        <v>1639</v>
      </c>
      <c r="EC2265" s="1" t="s">
        <v>237</v>
      </c>
      <c r="EG2265" s="1" t="s">
        <v>450</v>
      </c>
      <c r="EH2265" s="1" t="s">
        <v>310</v>
      </c>
      <c r="EL2265" s="1" t="s">
        <v>2861</v>
      </c>
      <c r="EM2265" s="1" t="s">
        <v>267</v>
      </c>
      <c r="EN2265" s="1" t="s">
        <v>210</v>
      </c>
      <c r="EP2265" s="1" t="s">
        <v>4180</v>
      </c>
      <c r="EQ2265" s="1" t="s">
        <v>206</v>
      </c>
      <c r="EU2265" s="1" t="s">
        <v>238</v>
      </c>
      <c r="EY2265" s="1" t="s">
        <v>238</v>
      </c>
      <c r="FC2265" s="1" t="s">
        <v>238</v>
      </c>
      <c r="FF2265" s="1" t="s">
        <v>239</v>
      </c>
      <c r="FG2265" s="1" t="s">
        <v>192</v>
      </c>
      <c r="FH2265" s="1" t="s">
        <v>192</v>
      </c>
      <c r="FJ2265" s="1" t="s">
        <v>3755</v>
      </c>
      <c r="FK2265" s="1" t="s">
        <v>229</v>
      </c>
      <c r="FL2265" s="1" t="s">
        <v>6354</v>
      </c>
      <c r="FM2265" s="1">
        <v>15191.0</v>
      </c>
      <c r="FN2265" s="1" t="s">
        <v>6355</v>
      </c>
      <c r="FO2265" s="1" t="s">
        <v>6460</v>
      </c>
      <c r="FP2265" s="1">
        <v>137452.0</v>
      </c>
      <c r="FQ2265" s="1" t="s">
        <v>6461</v>
      </c>
      <c r="FR2265" s="1">
        <v>102294.0</v>
      </c>
      <c r="FU2265" s="1" t="s">
        <v>20968</v>
      </c>
      <c r="FV2265" s="1" t="s">
        <v>200</v>
      </c>
      <c r="FW2265" s="1" t="s">
        <v>567</v>
      </c>
      <c r="FX2265" s="1" t="s">
        <v>246</v>
      </c>
      <c r="FZ2265" s="1" t="s">
        <v>229</v>
      </c>
      <c r="GA2265" s="1" t="s">
        <v>291</v>
      </c>
      <c r="GB2265" s="2">
        <v>42102.0</v>
      </c>
      <c r="GC2265" s="1" t="s">
        <v>20969</v>
      </c>
    </row>
    <row r="2266">
      <c r="A2266" s="1">
        <v>89000.0</v>
      </c>
      <c r="B2266" s="1" t="s">
        <v>185</v>
      </c>
      <c r="C2266" s="1" t="str">
        <f>"08754267"</f>
        <v>08754267</v>
      </c>
      <c r="D2266" s="1" t="s">
        <v>186</v>
      </c>
      <c r="F2266" s="1" t="str">
        <f>"123"</f>
        <v>123</v>
      </c>
      <c r="G2266" s="2">
        <v>41928.0</v>
      </c>
      <c r="H2266" s="1">
        <v>89000.0</v>
      </c>
      <c r="I2266" s="1">
        <v>22.0</v>
      </c>
      <c r="J2266" s="1">
        <v>89000.0</v>
      </c>
      <c r="K2266" s="2">
        <v>41946.0</v>
      </c>
      <c r="L2266" s="1">
        <v>22.0</v>
      </c>
      <c r="M2266" s="2">
        <v>41946.0</v>
      </c>
      <c r="N2266" s="1" t="s">
        <v>187</v>
      </c>
      <c r="O2266" s="2">
        <v>41992.0</v>
      </c>
      <c r="P2266" s="1">
        <v>2070.0</v>
      </c>
      <c r="Q2266" s="1">
        <v>264.0</v>
      </c>
      <c r="S2266" s="1">
        <v>510.0</v>
      </c>
      <c r="T2266" s="1" t="s">
        <v>2321</v>
      </c>
      <c r="U2266" s="1" t="s">
        <v>189</v>
      </c>
      <c r="V2266" s="1" t="s">
        <v>465</v>
      </c>
      <c r="W2266" s="1">
        <v>60123.0</v>
      </c>
      <c r="Y2266" s="1" t="s">
        <v>20970</v>
      </c>
      <c r="Z2266" s="1">
        <v>1915.0</v>
      </c>
      <c r="AA2266" s="1" t="s">
        <v>192</v>
      </c>
      <c r="AB2266" s="1" t="s">
        <v>193</v>
      </c>
      <c r="AD2266" s="1" t="s">
        <v>469</v>
      </c>
      <c r="AE2266" s="1" t="s">
        <v>195</v>
      </c>
      <c r="AF2266" s="1" t="s">
        <v>298</v>
      </c>
      <c r="AH2266" s="1" t="s">
        <v>20971</v>
      </c>
      <c r="AI2266" s="1">
        <v>0.19</v>
      </c>
      <c r="AK2266" s="1">
        <v>8.0</v>
      </c>
      <c r="AL2266" s="1">
        <v>4.0</v>
      </c>
      <c r="AM2266" s="1">
        <v>2.0</v>
      </c>
      <c r="AN2266" s="1">
        <v>0.0</v>
      </c>
      <c r="AO2266" s="1" t="s">
        <v>229</v>
      </c>
      <c r="AQ2266" s="1" t="s">
        <v>198</v>
      </c>
      <c r="AR2266" s="1" t="s">
        <v>200</v>
      </c>
      <c r="AS2266" s="1" t="s">
        <v>828</v>
      </c>
      <c r="AU2266" s="1">
        <v>1.0</v>
      </c>
      <c r="AV2266" s="1" t="s">
        <v>200</v>
      </c>
      <c r="AW2266" s="1">
        <v>0.0</v>
      </c>
      <c r="AX2266" s="1">
        <v>2013.0</v>
      </c>
      <c r="AY2266" s="1" t="s">
        <v>588</v>
      </c>
      <c r="AZ2266" s="1" t="s">
        <v>200</v>
      </c>
      <c r="BA2266" s="1" t="str">
        <f>"06142570040000"</f>
        <v>06142570040000</v>
      </c>
      <c r="BB2266" s="1" t="s">
        <v>200</v>
      </c>
      <c r="BC2266" s="1">
        <v>2303.0</v>
      </c>
      <c r="BD2266" s="1">
        <v>89000.0</v>
      </c>
      <c r="BE2266" s="2">
        <v>41925.0</v>
      </c>
      <c r="BF2266" s="1" t="s">
        <v>20972</v>
      </c>
      <c r="BH2266" s="1">
        <v>0.0</v>
      </c>
      <c r="BK2266" s="1" t="s">
        <v>204</v>
      </c>
      <c r="BL2266" s="1" t="str">
        <f t="shared" ref="BL2266:BM2266" si="1484">""</f>
        <v/>
      </c>
      <c r="BM2266" s="1" t="str">
        <f t="shared" si="1484"/>
        <v/>
      </c>
      <c r="BQ2266" s="1">
        <v>46.0</v>
      </c>
      <c r="BR2266" s="1">
        <v>46.0</v>
      </c>
      <c r="BS2266" s="1">
        <v>46.0</v>
      </c>
      <c r="BU2266" s="1" t="s">
        <v>211</v>
      </c>
      <c r="BV2266" s="1" t="s">
        <v>206</v>
      </c>
      <c r="BY2266" s="1" t="s">
        <v>265</v>
      </c>
      <c r="BZ2266" s="1" t="s">
        <v>209</v>
      </c>
      <c r="CC2266" s="1" t="s">
        <v>393</v>
      </c>
      <c r="CD2266" s="1" t="s">
        <v>206</v>
      </c>
      <c r="CG2266" s="1" t="s">
        <v>332</v>
      </c>
      <c r="CH2266" s="1" t="s">
        <v>209</v>
      </c>
      <c r="CK2266" s="1" t="s">
        <v>925</v>
      </c>
      <c r="CL2266" s="1" t="s">
        <v>209</v>
      </c>
      <c r="CO2266" s="1" t="s">
        <v>1183</v>
      </c>
      <c r="CP2266" s="1" t="s">
        <v>209</v>
      </c>
      <c r="CS2266" s="1" t="s">
        <v>1229</v>
      </c>
      <c r="CT2266" s="1" t="s">
        <v>206</v>
      </c>
      <c r="CX2266" s="1" t="s">
        <v>204</v>
      </c>
      <c r="DA2266" s="1" t="s">
        <v>200</v>
      </c>
      <c r="DC2266" s="1" t="s">
        <v>216</v>
      </c>
      <c r="DE2266" s="1" t="s">
        <v>273</v>
      </c>
      <c r="DF2266" s="1" t="s">
        <v>219</v>
      </c>
      <c r="DH2266" s="1" t="s">
        <v>220</v>
      </c>
      <c r="DJ2266" s="1" t="s">
        <v>222</v>
      </c>
      <c r="DL2266" s="1" t="s">
        <v>223</v>
      </c>
      <c r="DM2266" s="1" t="s">
        <v>229</v>
      </c>
      <c r="DQ2266" s="1" t="s">
        <v>228</v>
      </c>
      <c r="DR2266" s="1" t="s">
        <v>229</v>
      </c>
      <c r="DV2266" s="1" t="s">
        <v>494</v>
      </c>
      <c r="DW2266" s="1" t="s">
        <v>8064</v>
      </c>
      <c r="DX2266" s="1" t="s">
        <v>234</v>
      </c>
      <c r="EC2266" s="1" t="s">
        <v>237</v>
      </c>
      <c r="EF2266" s="1" t="s">
        <v>7505</v>
      </c>
      <c r="EG2266" s="1" t="s">
        <v>494</v>
      </c>
      <c r="EL2266" s="1" t="s">
        <v>264</v>
      </c>
      <c r="EM2266" s="1" t="s">
        <v>206</v>
      </c>
      <c r="EQ2266" s="1" t="s">
        <v>238</v>
      </c>
      <c r="EU2266" s="1" t="s">
        <v>238</v>
      </c>
      <c r="EY2266" s="1" t="s">
        <v>238</v>
      </c>
      <c r="FC2266" s="1" t="s">
        <v>238</v>
      </c>
      <c r="FF2266" s="1" t="s">
        <v>239</v>
      </c>
      <c r="FG2266" s="1" t="s">
        <v>192</v>
      </c>
      <c r="FH2266" s="1" t="s">
        <v>192</v>
      </c>
      <c r="FJ2266" s="1" t="s">
        <v>1248</v>
      </c>
      <c r="FK2266" s="1" t="s">
        <v>229</v>
      </c>
      <c r="FL2266" s="1" t="s">
        <v>20973</v>
      </c>
      <c r="FM2266" s="1">
        <v>59830.0</v>
      </c>
      <c r="FN2266" s="1" t="s">
        <v>20974</v>
      </c>
      <c r="FO2266" s="1" t="s">
        <v>20975</v>
      </c>
      <c r="FP2266" s="1">
        <v>506566.0</v>
      </c>
      <c r="FQ2266" s="1" t="s">
        <v>20976</v>
      </c>
      <c r="FU2266" s="1" t="s">
        <v>20977</v>
      </c>
      <c r="FV2266" s="1" t="s">
        <v>200</v>
      </c>
      <c r="FW2266" s="1" t="s">
        <v>290</v>
      </c>
      <c r="FX2266" s="1" t="s">
        <v>246</v>
      </c>
      <c r="FZ2266" s="1" t="s">
        <v>229</v>
      </c>
      <c r="GA2266" s="1" t="s">
        <v>291</v>
      </c>
      <c r="GB2266" s="2">
        <v>41995.0</v>
      </c>
      <c r="GC2266" s="1" t="s">
        <v>20978</v>
      </c>
    </row>
    <row r="2267">
      <c r="A2267" s="1">
        <v>310000.0</v>
      </c>
      <c r="B2267" s="1" t="s">
        <v>185</v>
      </c>
      <c r="C2267" s="1" t="str">
        <f>"08745551"</f>
        <v>08745551</v>
      </c>
      <c r="D2267" s="1" t="s">
        <v>186</v>
      </c>
      <c r="F2267" s="1" t="str">
        <f>"8015"</f>
        <v>8015</v>
      </c>
      <c r="G2267" s="2">
        <v>41917.0</v>
      </c>
      <c r="H2267" s="1">
        <v>355000.0</v>
      </c>
      <c r="I2267" s="1">
        <v>14.0</v>
      </c>
      <c r="J2267" s="1">
        <v>355000.0</v>
      </c>
      <c r="K2267" s="2">
        <v>41930.0</v>
      </c>
      <c r="L2267" s="1">
        <v>14.0</v>
      </c>
      <c r="M2267" s="2">
        <v>41930.0</v>
      </c>
      <c r="N2267" s="1" t="s">
        <v>187</v>
      </c>
      <c r="O2267" s="2">
        <v>41990.0</v>
      </c>
      <c r="P2267" s="1">
        <v>877318.0</v>
      </c>
      <c r="Q2267" s="1">
        <v>10115.0</v>
      </c>
      <c r="R2267" s="1">
        <v>2500.0</v>
      </c>
      <c r="S2267" s="1">
        <v>5348.0</v>
      </c>
      <c r="T2267" s="1" t="s">
        <v>7860</v>
      </c>
      <c r="U2267" s="1" t="s">
        <v>189</v>
      </c>
      <c r="V2267" s="1" t="s">
        <v>190</v>
      </c>
      <c r="W2267" s="1">
        <v>60641.0</v>
      </c>
      <c r="Y2267" s="1" t="s">
        <v>20979</v>
      </c>
      <c r="Z2267" s="1">
        <v>1923.0</v>
      </c>
      <c r="AA2267" s="1" t="s">
        <v>192</v>
      </c>
      <c r="AB2267" s="1" t="s">
        <v>193</v>
      </c>
      <c r="AD2267" s="1" t="s">
        <v>194</v>
      </c>
      <c r="AE2267" s="1" t="s">
        <v>195</v>
      </c>
      <c r="AF2267" s="1" t="s">
        <v>196</v>
      </c>
      <c r="AH2267" s="1" t="s">
        <v>19446</v>
      </c>
      <c r="AK2267" s="1">
        <v>9.0</v>
      </c>
      <c r="AL2267" s="1">
        <v>4.0</v>
      </c>
      <c r="AM2267" s="1">
        <v>1.0</v>
      </c>
      <c r="AN2267" s="1">
        <v>1.0</v>
      </c>
      <c r="AO2267" s="1" t="s">
        <v>229</v>
      </c>
      <c r="AP2267" s="1">
        <v>1.0</v>
      </c>
      <c r="AQ2267" s="1" t="s">
        <v>198</v>
      </c>
      <c r="AR2267" s="1" t="s">
        <v>192</v>
      </c>
      <c r="AS2267" s="1" t="s">
        <v>229</v>
      </c>
      <c r="AV2267" s="1" t="s">
        <v>200</v>
      </c>
      <c r="AW2267" s="1">
        <v>3469.0</v>
      </c>
      <c r="AX2267" s="1">
        <v>2013.0</v>
      </c>
      <c r="AY2267" s="1" t="s">
        <v>387</v>
      </c>
      <c r="AZ2267" s="1" t="s">
        <v>200</v>
      </c>
      <c r="BA2267" s="1" t="str">
        <f>"13211100230000"</f>
        <v>13211100230000</v>
      </c>
      <c r="BB2267" s="1" t="s">
        <v>200</v>
      </c>
      <c r="BC2267" s="1">
        <v>2000.0</v>
      </c>
      <c r="BD2267" s="1">
        <v>310000.0</v>
      </c>
      <c r="BE2267" s="2">
        <v>41917.0</v>
      </c>
      <c r="BF2267" s="2" t="s">
        <v>20980</v>
      </c>
      <c r="BG2267" s="1" t="s">
        <v>16585</v>
      </c>
      <c r="BH2267" s="1">
        <v>0.0</v>
      </c>
      <c r="BJ2267" s="1" t="s">
        <v>203</v>
      </c>
      <c r="BK2267" s="1" t="s">
        <v>204</v>
      </c>
      <c r="BL2267" s="1" t="str">
        <f>"3800"</f>
        <v>3800</v>
      </c>
      <c r="BM2267" s="1" t="str">
        <f t="shared" ref="BM2267:BM2268" si="1485">"0"</f>
        <v>0</v>
      </c>
      <c r="BN2267" s="1">
        <v>5348.0</v>
      </c>
      <c r="BO2267" s="1">
        <v>0.0</v>
      </c>
      <c r="BQ2267" s="1">
        <v>299.0</v>
      </c>
      <c r="BR2267" s="1">
        <v>299.0</v>
      </c>
      <c r="BS2267" s="1">
        <v>299.0</v>
      </c>
      <c r="BU2267" s="1" t="s">
        <v>211</v>
      </c>
      <c r="BV2267" s="1" t="s">
        <v>206</v>
      </c>
      <c r="BW2267" s="1" t="s">
        <v>207</v>
      </c>
      <c r="BY2267" s="1" t="s">
        <v>264</v>
      </c>
      <c r="BZ2267" s="1" t="s">
        <v>206</v>
      </c>
      <c r="CA2267" s="1" t="s">
        <v>207</v>
      </c>
      <c r="CC2267" s="1" t="s">
        <v>584</v>
      </c>
      <c r="CD2267" s="1" t="s">
        <v>206</v>
      </c>
      <c r="CE2267" s="1" t="s">
        <v>207</v>
      </c>
      <c r="CG2267" s="1" t="s">
        <v>264</v>
      </c>
      <c r="CH2267" s="1" t="s">
        <v>206</v>
      </c>
      <c r="CI2267" s="1" t="s">
        <v>207</v>
      </c>
      <c r="CK2267" s="1" t="s">
        <v>262</v>
      </c>
      <c r="CL2267" s="1" t="s">
        <v>209</v>
      </c>
      <c r="CM2267" s="1" t="s">
        <v>207</v>
      </c>
      <c r="CO2267" s="1" t="s">
        <v>331</v>
      </c>
      <c r="CP2267" s="1" t="s">
        <v>209</v>
      </c>
      <c r="CQ2267" s="1" t="s">
        <v>207</v>
      </c>
      <c r="CS2267" s="1" t="s">
        <v>363</v>
      </c>
      <c r="CT2267" s="1" t="s">
        <v>206</v>
      </c>
      <c r="CU2267" s="1" t="s">
        <v>207</v>
      </c>
      <c r="CX2267" s="1" t="s">
        <v>204</v>
      </c>
      <c r="DA2267" s="1" t="s">
        <v>200</v>
      </c>
      <c r="DC2267" s="1" t="s">
        <v>216</v>
      </c>
      <c r="DD2267" s="1" t="s">
        <v>396</v>
      </c>
      <c r="DE2267" s="1" t="s">
        <v>2146</v>
      </c>
      <c r="DF2267" s="1" t="s">
        <v>4086</v>
      </c>
      <c r="DG2267" s="1" t="s">
        <v>12862</v>
      </c>
      <c r="DH2267" s="1" t="s">
        <v>365</v>
      </c>
      <c r="DI2267" s="1" t="s">
        <v>703</v>
      </c>
      <c r="DJ2267" s="1" t="s">
        <v>222</v>
      </c>
      <c r="DK2267" s="1" t="s">
        <v>224</v>
      </c>
      <c r="DL2267" s="1" t="s">
        <v>791</v>
      </c>
      <c r="DM2267" s="1" t="s">
        <v>1919</v>
      </c>
      <c r="DO2267" s="1" t="s">
        <v>549</v>
      </c>
      <c r="DP2267" s="1" t="s">
        <v>340</v>
      </c>
      <c r="DQ2267" s="1" t="s">
        <v>228</v>
      </c>
      <c r="DR2267" s="1" t="s">
        <v>229</v>
      </c>
      <c r="DS2267" s="1" t="s">
        <v>230</v>
      </c>
      <c r="DV2267" s="1" t="s">
        <v>20981</v>
      </c>
      <c r="DW2267" s="1" t="s">
        <v>279</v>
      </c>
      <c r="DX2267" s="1" t="s">
        <v>309</v>
      </c>
      <c r="DY2267" s="1" t="s">
        <v>553</v>
      </c>
      <c r="DZ2267" s="1" t="s">
        <v>20982</v>
      </c>
      <c r="EA2267" s="1" t="s">
        <v>644</v>
      </c>
      <c r="EB2267" s="1" t="s">
        <v>797</v>
      </c>
      <c r="EC2267" s="1" t="s">
        <v>237</v>
      </c>
      <c r="EE2267" s="1" t="s">
        <v>493</v>
      </c>
      <c r="EG2267" s="1" t="s">
        <v>1228</v>
      </c>
      <c r="EH2267" s="1" t="s">
        <v>341</v>
      </c>
      <c r="EI2267" s="1" t="s">
        <v>374</v>
      </c>
      <c r="EJ2267" s="1" t="s">
        <v>408</v>
      </c>
      <c r="EL2267" s="1" t="s">
        <v>4153</v>
      </c>
      <c r="EM2267" s="1" t="s">
        <v>206</v>
      </c>
      <c r="EN2267" s="1" t="s">
        <v>207</v>
      </c>
      <c r="EP2267" s="1" t="s">
        <v>3539</v>
      </c>
      <c r="EQ2267" s="1" t="s">
        <v>209</v>
      </c>
      <c r="ER2267" s="1" t="s">
        <v>207</v>
      </c>
      <c r="ET2267" s="1" t="s">
        <v>1746</v>
      </c>
      <c r="EU2267" s="1" t="s">
        <v>206</v>
      </c>
      <c r="EX2267" s="1" t="s">
        <v>4450</v>
      </c>
      <c r="EY2267" s="1" t="s">
        <v>206</v>
      </c>
      <c r="EZ2267" s="1" t="s">
        <v>588</v>
      </c>
      <c r="FC2267" s="1" t="s">
        <v>238</v>
      </c>
      <c r="FF2267" s="1" t="s">
        <v>239</v>
      </c>
      <c r="FG2267" s="1" t="s">
        <v>192</v>
      </c>
      <c r="FH2267" s="1" t="s">
        <v>192</v>
      </c>
      <c r="FJ2267" s="1" t="s">
        <v>2262</v>
      </c>
      <c r="FK2267" s="1" t="s">
        <v>229</v>
      </c>
      <c r="FL2267" s="1" t="s">
        <v>20983</v>
      </c>
      <c r="FM2267" s="1">
        <v>8822.0</v>
      </c>
      <c r="FN2267" s="1" t="s">
        <v>20984</v>
      </c>
      <c r="FO2267" s="1" t="s">
        <v>20985</v>
      </c>
      <c r="FP2267" s="1">
        <v>81612.0</v>
      </c>
      <c r="FQ2267" s="1" t="s">
        <v>20986</v>
      </c>
      <c r="FT2267" s="1" t="s">
        <v>20987</v>
      </c>
      <c r="FU2267" s="1" t="s">
        <v>20988</v>
      </c>
      <c r="FV2267" s="1" t="s">
        <v>200</v>
      </c>
      <c r="FW2267" s="1" t="s">
        <v>530</v>
      </c>
      <c r="FX2267" s="1" t="s">
        <v>246</v>
      </c>
      <c r="FZ2267" s="1" t="s">
        <v>229</v>
      </c>
      <c r="GA2267" s="1" t="s">
        <v>291</v>
      </c>
      <c r="GB2267" s="2">
        <v>41991.0</v>
      </c>
      <c r="GC2267" s="1" t="s">
        <v>20989</v>
      </c>
    </row>
    <row r="2268">
      <c r="A2268" s="1">
        <v>126000.0</v>
      </c>
      <c r="B2268" s="1" t="s">
        <v>185</v>
      </c>
      <c r="C2268" s="1" t="str">
        <f>"08746635"</f>
        <v>08746635</v>
      </c>
      <c r="D2268" s="1" t="s">
        <v>186</v>
      </c>
      <c r="F2268" s="1" t="str">
        <f>"123"</f>
        <v>123</v>
      </c>
      <c r="G2268" s="2">
        <v>41918.0</v>
      </c>
      <c r="H2268" s="1">
        <v>119900.0</v>
      </c>
      <c r="I2268" s="1">
        <v>318.0</v>
      </c>
      <c r="J2268" s="1">
        <v>119900.0</v>
      </c>
      <c r="K2268" s="2">
        <v>41921.0</v>
      </c>
      <c r="L2268" s="1">
        <v>4.0</v>
      </c>
      <c r="M2268" s="2">
        <v>41921.0</v>
      </c>
      <c r="N2268" s="1" t="s">
        <v>356</v>
      </c>
      <c r="O2268" s="2">
        <v>42096.0</v>
      </c>
      <c r="P2268" s="1">
        <v>77727.0</v>
      </c>
      <c r="Q2268" s="1">
        <v>143.0</v>
      </c>
      <c r="S2268" s="1">
        <v>514.0</v>
      </c>
      <c r="T2268" s="1" t="s">
        <v>20990</v>
      </c>
      <c r="U2268" s="1" t="s">
        <v>320</v>
      </c>
      <c r="V2268" s="1" t="s">
        <v>465</v>
      </c>
      <c r="W2268" s="1">
        <v>60123.0</v>
      </c>
      <c r="Y2268" s="1" t="s">
        <v>20991</v>
      </c>
      <c r="Z2268" s="1">
        <v>1953.0</v>
      </c>
      <c r="AA2268" s="1" t="s">
        <v>192</v>
      </c>
      <c r="AB2268" s="1" t="s">
        <v>193</v>
      </c>
      <c r="AD2268" s="1" t="s">
        <v>469</v>
      </c>
      <c r="AE2268" s="1" t="s">
        <v>325</v>
      </c>
      <c r="AF2268" s="1" t="s">
        <v>469</v>
      </c>
      <c r="AH2268" s="1" t="s">
        <v>20572</v>
      </c>
      <c r="AI2268" s="1">
        <v>0.0</v>
      </c>
      <c r="AK2268" s="1">
        <v>6.0</v>
      </c>
      <c r="AL2268" s="1">
        <v>4.0</v>
      </c>
      <c r="AM2268" s="1">
        <v>1.0</v>
      </c>
      <c r="AN2268" s="1">
        <v>1.0</v>
      </c>
      <c r="AO2268" s="1" t="s">
        <v>229</v>
      </c>
      <c r="AQ2268" s="1" t="s">
        <v>198</v>
      </c>
      <c r="AR2268" s="1" t="s">
        <v>200</v>
      </c>
      <c r="AS2268" s="1" t="s">
        <v>199</v>
      </c>
      <c r="AT2268" s="1">
        <v>1.0</v>
      </c>
      <c r="AV2268" s="1" t="s">
        <v>200</v>
      </c>
      <c r="AW2268" s="1">
        <v>3400.18</v>
      </c>
      <c r="AX2268" s="1">
        <v>2013.0</v>
      </c>
      <c r="AZ2268" s="1" t="s">
        <v>200</v>
      </c>
      <c r="BA2268" s="1" t="str">
        <f>"0623154008"</f>
        <v>0623154008</v>
      </c>
      <c r="BB2268" s="1" t="s">
        <v>200</v>
      </c>
      <c r="BC2268" s="1">
        <v>1356.0</v>
      </c>
      <c r="BD2268" s="1">
        <v>126000.0</v>
      </c>
      <c r="BE2268" s="2">
        <v>41918.0</v>
      </c>
      <c r="BF2268" s="2" t="s">
        <v>20992</v>
      </c>
      <c r="BG2268" s="1" t="s">
        <v>673</v>
      </c>
      <c r="BH2268" s="1">
        <v>0.0</v>
      </c>
      <c r="BI2268" s="1" t="s">
        <v>674</v>
      </c>
      <c r="BJ2268" s="1" t="s">
        <v>675</v>
      </c>
      <c r="BK2268" s="1" t="s">
        <v>204</v>
      </c>
      <c r="BL2268" s="1" t="str">
        <f>"10"</f>
        <v>10</v>
      </c>
      <c r="BM2268" s="1" t="str">
        <f t="shared" si="1485"/>
        <v>0</v>
      </c>
      <c r="BN2268" s="1">
        <v>34.0</v>
      </c>
      <c r="BO2268" s="1">
        <v>0.0</v>
      </c>
      <c r="BQ2268" s="1">
        <v>46.0</v>
      </c>
      <c r="BR2268" s="1">
        <v>46.0</v>
      </c>
      <c r="BS2268" s="1">
        <v>46.0</v>
      </c>
      <c r="BU2268" s="1" t="s">
        <v>1426</v>
      </c>
      <c r="BV2268" s="1" t="s">
        <v>206</v>
      </c>
      <c r="BW2268" s="1" t="s">
        <v>210</v>
      </c>
      <c r="BX2268" s="1" t="s">
        <v>1549</v>
      </c>
      <c r="BY2268" s="1" t="s">
        <v>215</v>
      </c>
      <c r="BZ2268" s="1" t="s">
        <v>206</v>
      </c>
      <c r="CA2268" s="1" t="s">
        <v>210</v>
      </c>
      <c r="CD2268" s="1" t="s">
        <v>204</v>
      </c>
      <c r="CG2268" s="1" t="s">
        <v>699</v>
      </c>
      <c r="CH2268" s="1" t="s">
        <v>206</v>
      </c>
      <c r="CI2268" s="1" t="s">
        <v>210</v>
      </c>
      <c r="CK2268" s="1" t="s">
        <v>584</v>
      </c>
      <c r="CL2268" s="1" t="s">
        <v>114</v>
      </c>
      <c r="CM2268" s="1" t="s">
        <v>207</v>
      </c>
      <c r="CO2268" s="1" t="s">
        <v>478</v>
      </c>
      <c r="CP2268" s="1" t="s">
        <v>114</v>
      </c>
      <c r="CQ2268" s="1" t="s">
        <v>207</v>
      </c>
      <c r="CS2268" s="1" t="s">
        <v>332</v>
      </c>
      <c r="CT2268" s="1" t="s">
        <v>206</v>
      </c>
      <c r="CU2268" s="1" t="s">
        <v>268</v>
      </c>
      <c r="CV2268" s="1" t="s">
        <v>229</v>
      </c>
      <c r="CX2268" s="1" t="s">
        <v>204</v>
      </c>
      <c r="DA2268" s="1" t="s">
        <v>200</v>
      </c>
      <c r="DC2268" s="1" t="s">
        <v>702</v>
      </c>
      <c r="DD2268" s="1" t="s">
        <v>518</v>
      </c>
      <c r="DE2268" s="1" t="s">
        <v>273</v>
      </c>
      <c r="DF2268" s="1" t="s">
        <v>219</v>
      </c>
      <c r="DG2268" s="1" t="s">
        <v>337</v>
      </c>
      <c r="DH2268" s="1" t="s">
        <v>220</v>
      </c>
      <c r="DI2268" s="1" t="s">
        <v>831</v>
      </c>
      <c r="DJ2268" s="1" t="s">
        <v>222</v>
      </c>
      <c r="DL2268" s="1" t="s">
        <v>224</v>
      </c>
      <c r="DM2268" s="1" t="s">
        <v>338</v>
      </c>
      <c r="DO2268" s="1" t="s">
        <v>549</v>
      </c>
      <c r="DQ2268" s="1" t="s">
        <v>228</v>
      </c>
      <c r="DR2268" s="1" t="s">
        <v>229</v>
      </c>
      <c r="DS2268" s="1" t="s">
        <v>230</v>
      </c>
      <c r="DV2268" s="1" t="s">
        <v>232</v>
      </c>
      <c r="DW2268" s="1" t="s">
        <v>233</v>
      </c>
      <c r="DX2268" s="1" t="s">
        <v>234</v>
      </c>
      <c r="EC2268" s="1" t="s">
        <v>645</v>
      </c>
      <c r="EM2268" s="1" t="s">
        <v>238</v>
      </c>
      <c r="EQ2268" s="1" t="s">
        <v>238</v>
      </c>
      <c r="EU2268" s="1" t="s">
        <v>238</v>
      </c>
      <c r="EY2268" s="1" t="s">
        <v>238</v>
      </c>
      <c r="FC2268" s="1" t="s">
        <v>238</v>
      </c>
      <c r="FF2268" s="1" t="s">
        <v>239</v>
      </c>
      <c r="FG2268" s="1" t="s">
        <v>192</v>
      </c>
      <c r="FH2268" s="1" t="s">
        <v>192</v>
      </c>
      <c r="FJ2268" s="1" t="s">
        <v>524</v>
      </c>
      <c r="FK2268" s="1" t="s">
        <v>1586</v>
      </c>
      <c r="FL2268" s="1" t="s">
        <v>20993</v>
      </c>
      <c r="FM2268" s="1">
        <v>264.0</v>
      </c>
      <c r="FN2268" s="1" t="s">
        <v>20994</v>
      </c>
      <c r="FO2268" s="1" t="s">
        <v>20995</v>
      </c>
      <c r="FP2268" s="1">
        <v>2070.0</v>
      </c>
      <c r="FQ2268" s="1" t="s">
        <v>20996</v>
      </c>
      <c r="FU2268" s="1" t="s">
        <v>20997</v>
      </c>
      <c r="FV2268" s="1" t="s">
        <v>200</v>
      </c>
      <c r="FW2268" s="1" t="s">
        <v>290</v>
      </c>
      <c r="FZ2268" s="1" t="s">
        <v>229</v>
      </c>
      <c r="GA2268" s="1" t="s">
        <v>291</v>
      </c>
      <c r="GB2268" s="2">
        <v>42101.0</v>
      </c>
      <c r="GC2268" s="1" t="s">
        <v>20998</v>
      </c>
    </row>
    <row r="2269">
      <c r="A2269" s="1">
        <v>595000.0</v>
      </c>
      <c r="B2269" s="1" t="s">
        <v>185</v>
      </c>
      <c r="C2269" s="1" t="str">
        <f>"08750473"</f>
        <v>08750473</v>
      </c>
      <c r="D2269" s="1" t="s">
        <v>186</v>
      </c>
      <c r="F2269" s="1" t="str">
        <f>"174"</f>
        <v>174</v>
      </c>
      <c r="G2269" s="2">
        <v>41922.0</v>
      </c>
      <c r="H2269" s="1">
        <v>634900.0</v>
      </c>
      <c r="I2269" s="1">
        <v>105.0</v>
      </c>
      <c r="J2269" s="1">
        <v>634900.0</v>
      </c>
      <c r="K2269" s="2">
        <v>42026.0</v>
      </c>
      <c r="L2269" s="1">
        <v>105.0</v>
      </c>
      <c r="M2269" s="2">
        <v>42026.0</v>
      </c>
      <c r="N2269" s="1" t="s">
        <v>187</v>
      </c>
      <c r="O2269" s="2">
        <v>42062.0</v>
      </c>
      <c r="P2269" s="1">
        <v>381.0</v>
      </c>
      <c r="Q2269" s="1">
        <v>604.0</v>
      </c>
      <c r="S2269" s="1">
        <v>4675.0</v>
      </c>
      <c r="T2269" s="1" t="s">
        <v>20999</v>
      </c>
      <c r="U2269" s="1" t="s">
        <v>569</v>
      </c>
      <c r="V2269" s="1" t="s">
        <v>1200</v>
      </c>
      <c r="W2269" s="1">
        <v>60175.0</v>
      </c>
      <c r="Y2269" s="1" t="s">
        <v>21000</v>
      </c>
      <c r="Z2269" s="1">
        <v>2014.0</v>
      </c>
      <c r="AA2269" s="1" t="s">
        <v>200</v>
      </c>
      <c r="AB2269" s="1" t="s">
        <v>467</v>
      </c>
      <c r="AC2269" s="1" t="s">
        <v>21001</v>
      </c>
      <c r="AD2269" s="1" t="s">
        <v>1203</v>
      </c>
      <c r="AE2269" s="1" t="s">
        <v>325</v>
      </c>
      <c r="AF2269" s="1" t="s">
        <v>1203</v>
      </c>
      <c r="AH2269" s="1" t="s">
        <v>21002</v>
      </c>
      <c r="AK2269" s="1">
        <v>9.0</v>
      </c>
      <c r="AL2269" s="1">
        <v>4.0</v>
      </c>
      <c r="AM2269" s="1">
        <v>4.0</v>
      </c>
      <c r="AN2269" s="1">
        <v>0.0</v>
      </c>
      <c r="AO2269" s="1" t="s">
        <v>198</v>
      </c>
      <c r="AP2269" s="1">
        <v>1.0</v>
      </c>
      <c r="AQ2269" s="1" t="s">
        <v>198</v>
      </c>
      <c r="AR2269" s="1" t="s">
        <v>200</v>
      </c>
      <c r="AS2269" s="1" t="s">
        <v>199</v>
      </c>
      <c r="AT2269" s="1">
        <v>3.0</v>
      </c>
      <c r="AV2269" s="1" t="s">
        <v>200</v>
      </c>
      <c r="AW2269" s="1" t="s">
        <v>575</v>
      </c>
      <c r="AX2269" s="1">
        <v>2013.0</v>
      </c>
      <c r="AY2269" s="1" t="s">
        <v>387</v>
      </c>
      <c r="AZ2269" s="1" t="s">
        <v>200</v>
      </c>
      <c r="BA2269" s="1" t="str">
        <f>"0909477010"</f>
        <v>0909477010</v>
      </c>
      <c r="BC2269" s="1">
        <v>3850.0</v>
      </c>
      <c r="BD2269" s="1">
        <v>595000.0</v>
      </c>
      <c r="BE2269" s="2">
        <v>41922.0</v>
      </c>
      <c r="BF2269" s="2" t="s">
        <v>21003</v>
      </c>
      <c r="BG2269" s="1" t="s">
        <v>10567</v>
      </c>
      <c r="BH2269" s="1">
        <v>480.0</v>
      </c>
      <c r="BI2269" s="1" t="s">
        <v>4511</v>
      </c>
      <c r="BJ2269" s="1" t="s">
        <v>2200</v>
      </c>
      <c r="BK2269" s="1" t="s">
        <v>580</v>
      </c>
      <c r="BL2269" s="1" t="str">
        <f t="shared" ref="BL2269:BM2269" si="1486">""</f>
        <v/>
      </c>
      <c r="BM2269" s="1" t="str">
        <f t="shared" si="1486"/>
        <v/>
      </c>
      <c r="BQ2269" s="1">
        <v>303.0</v>
      </c>
      <c r="BR2269" s="1">
        <v>303.0</v>
      </c>
      <c r="BS2269" s="1">
        <v>303.0</v>
      </c>
      <c r="BU2269" s="1" t="s">
        <v>329</v>
      </c>
      <c r="BV2269" s="1" t="s">
        <v>206</v>
      </c>
      <c r="BW2269" s="1" t="s">
        <v>207</v>
      </c>
      <c r="BX2269" s="1" t="s">
        <v>229</v>
      </c>
      <c r="BY2269" s="1" t="s">
        <v>3538</v>
      </c>
      <c r="BZ2269" s="1" t="s">
        <v>209</v>
      </c>
      <c r="CA2269" s="1" t="s">
        <v>210</v>
      </c>
      <c r="CB2269" s="1" t="s">
        <v>229</v>
      </c>
      <c r="CC2269" s="1" t="s">
        <v>925</v>
      </c>
      <c r="CD2269" s="1" t="s">
        <v>206</v>
      </c>
      <c r="CE2269" s="1" t="s">
        <v>207</v>
      </c>
      <c r="CF2269" s="1" t="s">
        <v>229</v>
      </c>
      <c r="CG2269" s="1" t="s">
        <v>390</v>
      </c>
      <c r="CH2269" s="1" t="s">
        <v>209</v>
      </c>
      <c r="CI2269" s="1" t="s">
        <v>210</v>
      </c>
      <c r="CJ2269" s="1" t="s">
        <v>229</v>
      </c>
      <c r="CK2269" s="1" t="s">
        <v>214</v>
      </c>
      <c r="CL2269" s="1" t="s">
        <v>209</v>
      </c>
      <c r="CM2269" s="1" t="s">
        <v>210</v>
      </c>
      <c r="CN2269" s="1" t="s">
        <v>229</v>
      </c>
      <c r="CO2269" s="1" t="s">
        <v>584</v>
      </c>
      <c r="CP2269" s="1" t="s">
        <v>209</v>
      </c>
      <c r="CQ2269" s="1" t="s">
        <v>210</v>
      </c>
      <c r="CR2269" s="1" t="s">
        <v>229</v>
      </c>
      <c r="CS2269" s="1" t="s">
        <v>3538</v>
      </c>
      <c r="CT2269" s="1" t="s">
        <v>206</v>
      </c>
      <c r="CU2269" s="1" t="s">
        <v>207</v>
      </c>
      <c r="CV2269" s="1" t="s">
        <v>229</v>
      </c>
      <c r="CW2269" s="1" t="s">
        <v>2182</v>
      </c>
      <c r="CX2269" s="1" t="s">
        <v>206</v>
      </c>
      <c r="CY2269" s="1" t="s">
        <v>207</v>
      </c>
      <c r="CZ2269" s="1" t="s">
        <v>229</v>
      </c>
      <c r="DA2269" s="1" t="s">
        <v>192</v>
      </c>
      <c r="DB2269" s="2">
        <v>41922.0</v>
      </c>
      <c r="DC2269" s="1" t="s">
        <v>1353</v>
      </c>
      <c r="DD2269" s="1" t="s">
        <v>1954</v>
      </c>
      <c r="DE2269" s="1" t="s">
        <v>273</v>
      </c>
      <c r="DF2269" s="1" t="s">
        <v>219</v>
      </c>
      <c r="DH2269" s="1" t="s">
        <v>220</v>
      </c>
      <c r="DI2269" s="1" t="s">
        <v>589</v>
      </c>
      <c r="DJ2269" s="1" t="s">
        <v>222</v>
      </c>
      <c r="DL2269" s="1" t="s">
        <v>223</v>
      </c>
      <c r="DM2269" s="1" t="s">
        <v>229</v>
      </c>
      <c r="DN2269" s="1" t="s">
        <v>485</v>
      </c>
      <c r="DP2269" s="1" t="s">
        <v>340</v>
      </c>
      <c r="DQ2269" s="1" t="s">
        <v>441</v>
      </c>
      <c r="DR2269" s="1" t="s">
        <v>588</v>
      </c>
      <c r="DS2269" s="1" t="s">
        <v>591</v>
      </c>
      <c r="DU2269" s="1" t="s">
        <v>1355</v>
      </c>
      <c r="DV2269" s="1" t="s">
        <v>21004</v>
      </c>
      <c r="DW2269" s="1" t="s">
        <v>8203</v>
      </c>
      <c r="DX2269" s="1" t="s">
        <v>309</v>
      </c>
      <c r="DY2269" s="1" t="s">
        <v>21005</v>
      </c>
      <c r="EA2269" s="1" t="s">
        <v>344</v>
      </c>
      <c r="EC2269" s="1" t="s">
        <v>237</v>
      </c>
      <c r="ED2269" s="1" t="s">
        <v>21006</v>
      </c>
      <c r="EG2269" s="1" t="s">
        <v>494</v>
      </c>
      <c r="EH2269" s="1" t="s">
        <v>408</v>
      </c>
      <c r="EI2269" s="1" t="s">
        <v>2313</v>
      </c>
      <c r="EL2269" s="1" t="s">
        <v>616</v>
      </c>
      <c r="EM2269" s="1" t="s">
        <v>206</v>
      </c>
      <c r="EN2269" s="1" t="s">
        <v>207</v>
      </c>
      <c r="EO2269" s="1" t="s">
        <v>229</v>
      </c>
      <c r="EP2269" s="1" t="s">
        <v>3596</v>
      </c>
      <c r="EQ2269" s="1" t="s">
        <v>206</v>
      </c>
      <c r="ER2269" s="1" t="s">
        <v>207</v>
      </c>
      <c r="ES2269" s="1" t="s">
        <v>229</v>
      </c>
      <c r="ET2269" s="1" t="s">
        <v>640</v>
      </c>
      <c r="EU2269" s="1" t="s">
        <v>206</v>
      </c>
      <c r="EV2269" s="1" t="s">
        <v>268</v>
      </c>
      <c r="EW2269" s="1" t="s">
        <v>229</v>
      </c>
      <c r="EY2269" s="1" t="s">
        <v>238</v>
      </c>
      <c r="FC2269" s="1" t="s">
        <v>238</v>
      </c>
      <c r="FF2269" s="1" t="s">
        <v>239</v>
      </c>
      <c r="FG2269" s="1" t="s">
        <v>192</v>
      </c>
      <c r="FH2269" s="1" t="s">
        <v>192</v>
      </c>
      <c r="FJ2269" s="1" t="s">
        <v>21007</v>
      </c>
      <c r="FK2269" s="1" t="s">
        <v>348</v>
      </c>
      <c r="FL2269" s="1" t="s">
        <v>5530</v>
      </c>
      <c r="FM2269" s="1">
        <v>25163.0</v>
      </c>
      <c r="FN2269" s="1" t="s">
        <v>21008</v>
      </c>
      <c r="FO2269" s="1" t="s">
        <v>21009</v>
      </c>
      <c r="FP2269" s="1">
        <v>250831.0</v>
      </c>
      <c r="FQ2269" s="1" t="s">
        <v>21010</v>
      </c>
      <c r="FS2269" s="1" t="s">
        <v>21011</v>
      </c>
      <c r="FU2269" s="1" t="s">
        <v>21012</v>
      </c>
      <c r="FV2269" s="1" t="s">
        <v>200</v>
      </c>
      <c r="FW2269" s="1" t="s">
        <v>1511</v>
      </c>
      <c r="FZ2269" s="1" t="s">
        <v>632</v>
      </c>
      <c r="GA2269" s="1" t="s">
        <v>291</v>
      </c>
      <c r="GB2269" s="2">
        <v>42062.0</v>
      </c>
      <c r="GC2269" s="1" t="s">
        <v>21013</v>
      </c>
    </row>
    <row r="2270">
      <c r="A2270" s="1">
        <v>222000.0</v>
      </c>
      <c r="B2270" s="1" t="s">
        <v>185</v>
      </c>
      <c r="C2270" s="1" t="str">
        <f>"08750864"</f>
        <v>08750864</v>
      </c>
      <c r="D2270" s="1" t="s">
        <v>186</v>
      </c>
      <c r="F2270" s="1" t="str">
        <f>"8017"</f>
        <v>8017</v>
      </c>
      <c r="G2270" s="2">
        <v>41923.0</v>
      </c>
      <c r="H2270" s="1">
        <v>245900.0</v>
      </c>
      <c r="I2270" s="1">
        <v>43.0</v>
      </c>
      <c r="J2270" s="1">
        <v>234900.0</v>
      </c>
      <c r="K2270" s="2">
        <v>41964.0</v>
      </c>
      <c r="L2270" s="1">
        <v>43.0</v>
      </c>
      <c r="M2270" s="2">
        <v>41964.0</v>
      </c>
      <c r="N2270" s="1" t="s">
        <v>356</v>
      </c>
      <c r="O2270" s="2">
        <v>42027.0</v>
      </c>
      <c r="P2270" s="1">
        <v>148228.0</v>
      </c>
      <c r="Q2270" s="1">
        <v>16416.0</v>
      </c>
      <c r="S2270" s="1">
        <v>6004.0</v>
      </c>
      <c r="T2270" s="1" t="s">
        <v>21014</v>
      </c>
      <c r="U2270" s="1" t="s">
        <v>320</v>
      </c>
      <c r="V2270" s="1" t="s">
        <v>190</v>
      </c>
      <c r="W2270" s="1">
        <v>60634.0</v>
      </c>
      <c r="Y2270" s="1" t="s">
        <v>21015</v>
      </c>
      <c r="Z2270" s="1">
        <v>1933.0</v>
      </c>
      <c r="AA2270" s="1" t="s">
        <v>192</v>
      </c>
      <c r="AB2270" s="1" t="s">
        <v>193</v>
      </c>
      <c r="AD2270" s="1" t="s">
        <v>194</v>
      </c>
      <c r="AE2270" s="1" t="s">
        <v>195</v>
      </c>
      <c r="AF2270" s="1" t="s">
        <v>196</v>
      </c>
      <c r="AG2270" s="1" t="s">
        <v>21016</v>
      </c>
      <c r="AH2270" s="1" t="s">
        <v>779</v>
      </c>
      <c r="AK2270" s="1">
        <v>7.0</v>
      </c>
      <c r="AL2270" s="1">
        <v>4.0</v>
      </c>
      <c r="AM2270" s="1">
        <v>1.0</v>
      </c>
      <c r="AN2270" s="1">
        <v>0.0</v>
      </c>
      <c r="AO2270" s="1" t="s">
        <v>198</v>
      </c>
      <c r="AP2270" s="1">
        <v>1.0</v>
      </c>
      <c r="AQ2270" s="1" t="s">
        <v>198</v>
      </c>
      <c r="AR2270" s="1" t="s">
        <v>200</v>
      </c>
      <c r="AS2270" s="1" t="s">
        <v>199</v>
      </c>
      <c r="AT2270" s="1">
        <v>2.0</v>
      </c>
      <c r="AV2270" s="1" t="s">
        <v>200</v>
      </c>
      <c r="AW2270" s="4">
        <v>2653.78</v>
      </c>
      <c r="AX2270" s="1">
        <v>2013.0</v>
      </c>
      <c r="AY2270" s="1" t="s">
        <v>1917</v>
      </c>
      <c r="AZ2270" s="1" t="s">
        <v>200</v>
      </c>
      <c r="BA2270" s="1" t="str">
        <f>"13203270310000"</f>
        <v>13203270310000</v>
      </c>
      <c r="BB2270" s="1" t="s">
        <v>200</v>
      </c>
      <c r="BC2270" s="1">
        <v>1300.0</v>
      </c>
      <c r="BD2270" s="1">
        <v>222000.0</v>
      </c>
      <c r="BE2270" s="2">
        <v>41922.0</v>
      </c>
      <c r="BF2270" s="2" t="s">
        <v>21017</v>
      </c>
      <c r="BH2270" s="1">
        <v>0.0</v>
      </c>
      <c r="BK2270" s="1" t="s">
        <v>204</v>
      </c>
      <c r="BL2270" s="1" t="str">
        <f>"3220"</f>
        <v>3220</v>
      </c>
      <c r="BM2270" s="1" t="str">
        <f t="shared" ref="BM2270:BM2272" si="1487">"0"</f>
        <v>0</v>
      </c>
      <c r="BN2270" s="1">
        <v>6004.0</v>
      </c>
      <c r="BO2270" s="1">
        <v>0.0</v>
      </c>
      <c r="BQ2270" s="1">
        <v>299.0</v>
      </c>
      <c r="BR2270" s="1">
        <v>299.0</v>
      </c>
      <c r="BS2270" s="1">
        <v>299.0</v>
      </c>
      <c r="BU2270" s="1" t="s">
        <v>1299</v>
      </c>
      <c r="BV2270" s="1" t="s">
        <v>206</v>
      </c>
      <c r="BW2270" s="1" t="s">
        <v>210</v>
      </c>
      <c r="BX2270" s="1" t="s">
        <v>239</v>
      </c>
      <c r="BY2270" s="1" t="s">
        <v>478</v>
      </c>
      <c r="BZ2270" s="1" t="s">
        <v>206</v>
      </c>
      <c r="CA2270" s="1" t="s">
        <v>210</v>
      </c>
      <c r="CB2270" s="1" t="s">
        <v>239</v>
      </c>
      <c r="CC2270" s="1" t="s">
        <v>393</v>
      </c>
      <c r="CD2270" s="1" t="s">
        <v>206</v>
      </c>
      <c r="CE2270" s="1" t="s">
        <v>210</v>
      </c>
      <c r="CF2270" s="1" t="s">
        <v>239</v>
      </c>
      <c r="CG2270" s="1" t="s">
        <v>363</v>
      </c>
      <c r="CH2270" s="1" t="s">
        <v>206</v>
      </c>
      <c r="CI2270" s="1" t="s">
        <v>210</v>
      </c>
      <c r="CK2270" s="1" t="s">
        <v>4403</v>
      </c>
      <c r="CL2270" s="1" t="s">
        <v>209</v>
      </c>
      <c r="CM2270" s="1" t="s">
        <v>617</v>
      </c>
      <c r="CN2270" s="1" t="s">
        <v>239</v>
      </c>
      <c r="CO2270" s="1" t="s">
        <v>1183</v>
      </c>
      <c r="CP2270" s="1" t="s">
        <v>209</v>
      </c>
      <c r="CQ2270" s="1" t="s">
        <v>617</v>
      </c>
      <c r="CR2270" s="1" t="s">
        <v>431</v>
      </c>
      <c r="CS2270" s="1" t="s">
        <v>2459</v>
      </c>
      <c r="CT2270" s="1" t="s">
        <v>206</v>
      </c>
      <c r="CU2270" s="1" t="s">
        <v>617</v>
      </c>
      <c r="CV2270" s="1" t="s">
        <v>239</v>
      </c>
      <c r="CX2270" s="1" t="s">
        <v>204</v>
      </c>
      <c r="DA2270" s="1" t="s">
        <v>200</v>
      </c>
      <c r="DC2270" s="1" t="s">
        <v>785</v>
      </c>
      <c r="DE2270" s="1" t="s">
        <v>1300</v>
      </c>
      <c r="DF2270" s="1" t="s">
        <v>21018</v>
      </c>
      <c r="DG2270" s="1" t="s">
        <v>2311</v>
      </c>
      <c r="DH2270" s="1" t="s">
        <v>365</v>
      </c>
      <c r="DJ2270" s="1" t="s">
        <v>222</v>
      </c>
      <c r="DK2270" s="1" t="s">
        <v>1380</v>
      </c>
      <c r="DL2270" s="1" t="s">
        <v>791</v>
      </c>
      <c r="DM2270" s="1" t="s">
        <v>229</v>
      </c>
      <c r="DO2270" s="1" t="s">
        <v>717</v>
      </c>
      <c r="DQ2270" s="1" t="s">
        <v>228</v>
      </c>
      <c r="DR2270" s="1" t="s">
        <v>229</v>
      </c>
      <c r="DS2270" s="1" t="s">
        <v>277</v>
      </c>
      <c r="DU2270" s="1" t="s">
        <v>21019</v>
      </c>
      <c r="DV2270" s="1" t="s">
        <v>232</v>
      </c>
      <c r="DW2270" s="1" t="s">
        <v>279</v>
      </c>
      <c r="DX2270" s="1" t="s">
        <v>3205</v>
      </c>
      <c r="DY2270" s="1" t="s">
        <v>6341</v>
      </c>
      <c r="EA2270" s="1" t="s">
        <v>644</v>
      </c>
      <c r="EB2270" s="1" t="s">
        <v>345</v>
      </c>
      <c r="EC2270" s="1" t="s">
        <v>645</v>
      </c>
      <c r="ED2270" s="1" t="s">
        <v>555</v>
      </c>
      <c r="EM2270" s="1" t="s">
        <v>238</v>
      </c>
      <c r="EQ2270" s="1" t="s">
        <v>238</v>
      </c>
      <c r="EU2270" s="1" t="s">
        <v>238</v>
      </c>
      <c r="EY2270" s="1" t="s">
        <v>238</v>
      </c>
      <c r="FC2270" s="1" t="s">
        <v>238</v>
      </c>
      <c r="FF2270" s="1" t="s">
        <v>239</v>
      </c>
      <c r="FG2270" s="1" t="s">
        <v>192</v>
      </c>
      <c r="FH2270" s="1" t="s">
        <v>192</v>
      </c>
      <c r="FJ2270" s="1" t="s">
        <v>19569</v>
      </c>
      <c r="FK2270" s="1" t="s">
        <v>229</v>
      </c>
      <c r="FL2270" s="1" t="s">
        <v>1124</v>
      </c>
      <c r="FM2270" s="1">
        <v>10267.0</v>
      </c>
      <c r="FN2270" s="1" t="s">
        <v>3908</v>
      </c>
      <c r="FO2270" s="1" t="s">
        <v>19570</v>
      </c>
      <c r="FP2270" s="1">
        <v>159466.0</v>
      </c>
      <c r="FQ2270" s="1" t="s">
        <v>19571</v>
      </c>
      <c r="FU2270" s="1" t="s">
        <v>21020</v>
      </c>
      <c r="FV2270" s="1" t="s">
        <v>200</v>
      </c>
      <c r="FW2270" s="1" t="s">
        <v>631</v>
      </c>
      <c r="FX2270" s="1" t="s">
        <v>246</v>
      </c>
      <c r="FZ2270" s="1" t="s">
        <v>2993</v>
      </c>
      <c r="GA2270" s="1" t="s">
        <v>291</v>
      </c>
      <c r="GB2270" s="2">
        <v>42027.0</v>
      </c>
      <c r="GC2270" s="1" t="s">
        <v>21021</v>
      </c>
    </row>
    <row r="2271">
      <c r="A2271" s="1">
        <v>322000.0</v>
      </c>
      <c r="B2271" s="1" t="s">
        <v>185</v>
      </c>
      <c r="C2271" s="1" t="str">
        <f>"08746563"</f>
        <v>08746563</v>
      </c>
      <c r="D2271" s="1" t="s">
        <v>186</v>
      </c>
      <c r="F2271" s="1" t="str">
        <f>"184"</f>
        <v>184</v>
      </c>
      <c r="G2271" s="2">
        <v>41918.0</v>
      </c>
      <c r="H2271" s="1">
        <v>360000.0</v>
      </c>
      <c r="I2271" s="1">
        <v>251.0</v>
      </c>
      <c r="J2271" s="1">
        <v>349000.0</v>
      </c>
      <c r="K2271" s="2">
        <v>42025.0</v>
      </c>
      <c r="L2271" s="1">
        <v>110.0</v>
      </c>
      <c r="M2271" s="2">
        <v>42025.0</v>
      </c>
      <c r="N2271" s="1" t="s">
        <v>187</v>
      </c>
      <c r="O2271" s="2">
        <v>42123.0</v>
      </c>
      <c r="P2271" s="1">
        <v>184429.0</v>
      </c>
      <c r="Q2271" s="1">
        <v>18016.0</v>
      </c>
      <c r="S2271" s="1" t="s">
        <v>21022</v>
      </c>
      <c r="T2271" s="1" t="s">
        <v>21023</v>
      </c>
      <c r="U2271" s="1" t="s">
        <v>464</v>
      </c>
      <c r="V2271" s="1" t="s">
        <v>3870</v>
      </c>
      <c r="W2271" s="1">
        <v>60184.0</v>
      </c>
      <c r="Y2271" s="1" t="s">
        <v>21024</v>
      </c>
      <c r="Z2271" s="1">
        <v>1977.0</v>
      </c>
      <c r="AA2271" s="1" t="s">
        <v>192</v>
      </c>
      <c r="AB2271" s="1" t="s">
        <v>193</v>
      </c>
      <c r="AD2271" s="1" t="s">
        <v>1089</v>
      </c>
      <c r="AE2271" s="1" t="s">
        <v>1258</v>
      </c>
      <c r="AF2271" s="1" t="s">
        <v>3935</v>
      </c>
      <c r="AH2271" s="1" t="s">
        <v>21025</v>
      </c>
      <c r="AI2271" s="1">
        <v>2.22</v>
      </c>
      <c r="AK2271" s="1">
        <v>7.0</v>
      </c>
      <c r="AL2271" s="1">
        <v>4.0</v>
      </c>
      <c r="AM2271" s="1">
        <v>2.0</v>
      </c>
      <c r="AN2271" s="1">
        <v>0.0</v>
      </c>
      <c r="AO2271" s="1" t="s">
        <v>229</v>
      </c>
      <c r="AP2271" s="1">
        <v>1.0</v>
      </c>
      <c r="AQ2271" s="1" t="s">
        <v>198</v>
      </c>
      <c r="AR2271" s="1" t="s">
        <v>200</v>
      </c>
      <c r="AS2271" s="1" t="s">
        <v>199</v>
      </c>
      <c r="AT2271" s="1">
        <v>2.0</v>
      </c>
      <c r="AV2271" s="1" t="s">
        <v>200</v>
      </c>
      <c r="AW2271" s="1">
        <v>11640.0</v>
      </c>
      <c r="AX2271" s="1">
        <v>2013.0</v>
      </c>
      <c r="AY2271" s="1" t="s">
        <v>387</v>
      </c>
      <c r="AZ2271" s="1" t="s">
        <v>200</v>
      </c>
      <c r="BA2271" s="1" t="str">
        <f>"0116301002"</f>
        <v>0116301002</v>
      </c>
      <c r="BC2271" s="1">
        <v>1806.0</v>
      </c>
      <c r="BD2271" s="1">
        <v>322000.0</v>
      </c>
      <c r="BE2271" s="2">
        <v>41916.0</v>
      </c>
      <c r="BF2271" s="2" t="s">
        <v>21026</v>
      </c>
      <c r="BH2271" s="1">
        <v>0.0</v>
      </c>
      <c r="BJ2271" s="1" t="s">
        <v>514</v>
      </c>
      <c r="BK2271" s="1" t="s">
        <v>204</v>
      </c>
      <c r="BL2271" s="1" t="str">
        <f>"5"</f>
        <v>5</v>
      </c>
      <c r="BM2271" s="1" t="str">
        <f t="shared" si="1487"/>
        <v>0</v>
      </c>
      <c r="BN2271" s="1">
        <v>30.0</v>
      </c>
      <c r="BO2271" s="1">
        <v>0.0</v>
      </c>
      <c r="BQ2271" s="1">
        <v>46.0</v>
      </c>
      <c r="BR2271" s="1">
        <v>46.0</v>
      </c>
      <c r="BS2271" s="1">
        <v>46.0</v>
      </c>
      <c r="BU2271" s="1" t="s">
        <v>1426</v>
      </c>
      <c r="BV2271" s="1" t="s">
        <v>206</v>
      </c>
      <c r="BW2271" s="1" t="s">
        <v>207</v>
      </c>
      <c r="BY2271" s="1" t="s">
        <v>454</v>
      </c>
      <c r="BZ2271" s="1" t="s">
        <v>206</v>
      </c>
      <c r="CA2271" s="1" t="s">
        <v>207</v>
      </c>
      <c r="CC2271" s="1" t="s">
        <v>264</v>
      </c>
      <c r="CD2271" s="1" t="s">
        <v>206</v>
      </c>
      <c r="CE2271" s="1" t="s">
        <v>207</v>
      </c>
      <c r="CG2271" s="1" t="s">
        <v>212</v>
      </c>
      <c r="CH2271" s="1" t="s">
        <v>206</v>
      </c>
      <c r="CI2271" s="1" t="s">
        <v>207</v>
      </c>
      <c r="CK2271" s="1" t="s">
        <v>215</v>
      </c>
      <c r="CL2271" s="1" t="s">
        <v>209</v>
      </c>
      <c r="CM2271" s="1" t="s">
        <v>210</v>
      </c>
      <c r="CO2271" s="1" t="s">
        <v>453</v>
      </c>
      <c r="CP2271" s="1" t="s">
        <v>209</v>
      </c>
      <c r="CQ2271" s="1" t="s">
        <v>210</v>
      </c>
      <c r="CS2271" s="1" t="s">
        <v>212</v>
      </c>
      <c r="CT2271" s="1" t="s">
        <v>206</v>
      </c>
      <c r="CU2271" s="1" t="s">
        <v>207</v>
      </c>
      <c r="CX2271" s="1" t="s">
        <v>204</v>
      </c>
      <c r="DA2271" s="1" t="s">
        <v>200</v>
      </c>
      <c r="DC2271" s="1" t="s">
        <v>395</v>
      </c>
      <c r="DD2271" s="1" t="s">
        <v>518</v>
      </c>
      <c r="DE2271" s="1" t="s">
        <v>273</v>
      </c>
      <c r="DF2271" s="1" t="s">
        <v>219</v>
      </c>
      <c r="DG2271" s="1" t="s">
        <v>1553</v>
      </c>
      <c r="DH2271" s="1" t="s">
        <v>856</v>
      </c>
      <c r="DI2271" s="1" t="s">
        <v>308</v>
      </c>
      <c r="DJ2271" s="1" t="s">
        <v>857</v>
      </c>
      <c r="DK2271" s="1" t="s">
        <v>198</v>
      </c>
      <c r="DL2271" s="1" t="s">
        <v>223</v>
      </c>
      <c r="DM2271" s="1" t="s">
        <v>338</v>
      </c>
      <c r="DO2271" s="1" t="s">
        <v>3860</v>
      </c>
      <c r="DP2271" s="1" t="s">
        <v>340</v>
      </c>
      <c r="DQ2271" s="1" t="s">
        <v>860</v>
      </c>
      <c r="DR2271" s="1" t="s">
        <v>229</v>
      </c>
      <c r="DS2271" s="1" t="s">
        <v>230</v>
      </c>
      <c r="DU2271" s="1" t="s">
        <v>7852</v>
      </c>
      <c r="DV2271" s="1" t="s">
        <v>232</v>
      </c>
      <c r="DW2271" s="1" t="s">
        <v>489</v>
      </c>
      <c r="DX2271" s="1" t="s">
        <v>234</v>
      </c>
      <c r="DY2271" s="1" t="s">
        <v>704</v>
      </c>
      <c r="DZ2271" s="1" t="s">
        <v>21027</v>
      </c>
      <c r="EA2271" s="1" t="s">
        <v>622</v>
      </c>
      <c r="EB2271" s="1" t="s">
        <v>345</v>
      </c>
      <c r="EC2271" s="1" t="s">
        <v>645</v>
      </c>
      <c r="EE2271" s="1" t="s">
        <v>493</v>
      </c>
      <c r="EM2271" s="1" t="s">
        <v>238</v>
      </c>
      <c r="EQ2271" s="1" t="s">
        <v>238</v>
      </c>
      <c r="EU2271" s="1" t="s">
        <v>238</v>
      </c>
      <c r="EY2271" s="1" t="s">
        <v>238</v>
      </c>
      <c r="FC2271" s="1" t="s">
        <v>238</v>
      </c>
      <c r="FF2271" s="1" t="s">
        <v>239</v>
      </c>
      <c r="FG2271" s="1" t="s">
        <v>192</v>
      </c>
      <c r="FH2271" s="1" t="s">
        <v>192</v>
      </c>
      <c r="FJ2271" s="1" t="s">
        <v>21028</v>
      </c>
      <c r="FK2271" s="1" t="s">
        <v>557</v>
      </c>
      <c r="FL2271" s="1" t="s">
        <v>3527</v>
      </c>
      <c r="FM2271" s="1">
        <v>464.0</v>
      </c>
      <c r="FN2271" s="1" t="s">
        <v>3528</v>
      </c>
      <c r="FO2271" s="1" t="s">
        <v>3529</v>
      </c>
      <c r="FP2271" s="1">
        <v>1333.0</v>
      </c>
      <c r="FQ2271" s="1" t="s">
        <v>3530</v>
      </c>
      <c r="FR2271" s="1">
        <v>624.0</v>
      </c>
      <c r="FS2271" s="1" t="s">
        <v>3531</v>
      </c>
      <c r="FU2271" s="1" t="s">
        <v>19891</v>
      </c>
      <c r="FV2271" s="1" t="s">
        <v>200</v>
      </c>
      <c r="FW2271" s="1" t="s">
        <v>567</v>
      </c>
      <c r="FZ2271" s="1" t="s">
        <v>229</v>
      </c>
      <c r="GA2271" s="1" t="s">
        <v>291</v>
      </c>
      <c r="GB2271" s="2">
        <v>42124.0</v>
      </c>
      <c r="GC2271" s="1" t="s">
        <v>21029</v>
      </c>
    </row>
    <row r="2272">
      <c r="A2272" s="1">
        <v>69000.0</v>
      </c>
      <c r="B2272" s="1" t="s">
        <v>185</v>
      </c>
      <c r="C2272" s="1" t="str">
        <f>"08753232"</f>
        <v>08753232</v>
      </c>
      <c r="D2272" s="1" t="s">
        <v>186</v>
      </c>
      <c r="F2272" s="1" t="str">
        <f>"8023"</f>
        <v>8023</v>
      </c>
      <c r="G2272" s="2">
        <v>41927.0</v>
      </c>
      <c r="H2272" s="1">
        <v>100000.0</v>
      </c>
      <c r="I2272" s="1">
        <v>405.0</v>
      </c>
      <c r="J2272" s="1">
        <v>69000.0</v>
      </c>
      <c r="K2272" s="2">
        <v>42068.0</v>
      </c>
      <c r="L2272" s="1">
        <v>142.0</v>
      </c>
      <c r="M2272" s="2">
        <v>42068.0</v>
      </c>
      <c r="N2272" s="1" t="s">
        <v>187</v>
      </c>
      <c r="O2272" s="2">
        <v>42129.0</v>
      </c>
      <c r="P2272" s="1">
        <v>106990.0</v>
      </c>
      <c r="Q2272" s="1">
        <v>10267.0</v>
      </c>
      <c r="S2272" s="1">
        <v>901.0</v>
      </c>
      <c r="T2272" s="1" t="s">
        <v>5970</v>
      </c>
      <c r="U2272" s="1" t="s">
        <v>189</v>
      </c>
      <c r="V2272" s="1" t="s">
        <v>190</v>
      </c>
      <c r="W2272" s="1">
        <v>60651.0</v>
      </c>
      <c r="Y2272" s="1" t="s">
        <v>21030</v>
      </c>
      <c r="Z2272" s="1">
        <v>1907.0</v>
      </c>
      <c r="AA2272" s="1" t="s">
        <v>192</v>
      </c>
      <c r="AB2272" s="1" t="s">
        <v>193</v>
      </c>
      <c r="AD2272" s="1" t="s">
        <v>194</v>
      </c>
      <c r="AE2272" s="1" t="s">
        <v>195</v>
      </c>
      <c r="AF2272" s="1" t="s">
        <v>827</v>
      </c>
      <c r="AH2272" s="1">
        <v>2942.0</v>
      </c>
      <c r="AI2272" s="1">
        <v>0.0675</v>
      </c>
      <c r="AK2272" s="1">
        <v>8.0</v>
      </c>
      <c r="AL2272" s="1">
        <v>4.0</v>
      </c>
      <c r="AM2272" s="1">
        <v>2.0</v>
      </c>
      <c r="AN2272" s="1">
        <v>0.0</v>
      </c>
      <c r="AO2272" s="1" t="s">
        <v>198</v>
      </c>
      <c r="AQ2272" s="1" t="s">
        <v>1314</v>
      </c>
      <c r="AR2272" s="1" t="s">
        <v>200</v>
      </c>
      <c r="AS2272" s="1" t="s">
        <v>199</v>
      </c>
      <c r="AT2272" s="1">
        <v>2.0</v>
      </c>
      <c r="AV2272" s="1" t="s">
        <v>200</v>
      </c>
      <c r="AW2272" s="1">
        <v>1540.41</v>
      </c>
      <c r="AX2272" s="1">
        <v>2013.0</v>
      </c>
      <c r="AZ2272" s="1" t="s">
        <v>200</v>
      </c>
      <c r="BA2272" s="1" t="str">
        <f>"16024160200000"</f>
        <v>16024160200000</v>
      </c>
      <c r="BC2272" s="1">
        <v>951.0</v>
      </c>
      <c r="BD2272" s="1">
        <v>69000.0</v>
      </c>
      <c r="BE2272" s="2">
        <v>41927.0</v>
      </c>
      <c r="BF2272" s="2" t="s">
        <v>21031</v>
      </c>
      <c r="BH2272" s="1">
        <v>0.0</v>
      </c>
      <c r="BK2272" s="1" t="s">
        <v>204</v>
      </c>
      <c r="BL2272" s="1" t="str">
        <f>"900"</f>
        <v>900</v>
      </c>
      <c r="BM2272" s="1" t="str">
        <f t="shared" si="1487"/>
        <v>0</v>
      </c>
      <c r="BN2272" s="1">
        <v>3532.0</v>
      </c>
      <c r="BO2272" s="1">
        <v>0.0</v>
      </c>
      <c r="BQ2272" s="1">
        <v>299.0</v>
      </c>
      <c r="BR2272" s="1">
        <v>299.0</v>
      </c>
      <c r="BS2272" s="1">
        <v>299.0</v>
      </c>
      <c r="BU2272" s="1" t="s">
        <v>2713</v>
      </c>
      <c r="BV2272" s="1" t="s">
        <v>206</v>
      </c>
      <c r="BW2272" s="1" t="s">
        <v>207</v>
      </c>
      <c r="BY2272" s="1" t="s">
        <v>300</v>
      </c>
      <c r="BZ2272" s="1" t="s">
        <v>209</v>
      </c>
      <c r="CC2272" s="1" t="s">
        <v>212</v>
      </c>
      <c r="CD2272" s="1" t="s">
        <v>206</v>
      </c>
      <c r="CE2272" s="1" t="s">
        <v>207</v>
      </c>
      <c r="CG2272" s="1" t="s">
        <v>516</v>
      </c>
      <c r="CH2272" s="1" t="s">
        <v>209</v>
      </c>
      <c r="CK2272" s="1" t="s">
        <v>495</v>
      </c>
      <c r="CL2272" s="1" t="s">
        <v>209</v>
      </c>
      <c r="CO2272" s="1" t="s">
        <v>647</v>
      </c>
      <c r="CP2272" s="1" t="s">
        <v>209</v>
      </c>
      <c r="CS2272" s="1" t="s">
        <v>333</v>
      </c>
      <c r="CT2272" s="1" t="s">
        <v>206</v>
      </c>
      <c r="CU2272" s="1" t="s">
        <v>268</v>
      </c>
      <c r="CW2272" s="1" t="s">
        <v>1329</v>
      </c>
      <c r="CX2272" s="1" t="s">
        <v>206</v>
      </c>
      <c r="DA2272" s="1" t="s">
        <v>200</v>
      </c>
      <c r="DC2272" s="1" t="s">
        <v>642</v>
      </c>
      <c r="DD2272" s="1" t="s">
        <v>518</v>
      </c>
      <c r="DE2272" s="1" t="s">
        <v>229</v>
      </c>
      <c r="DF2272" s="1" t="s">
        <v>619</v>
      </c>
      <c r="DH2272" s="1" t="s">
        <v>307</v>
      </c>
      <c r="DJ2272" s="1" t="s">
        <v>222</v>
      </c>
      <c r="DL2272" s="1" t="s">
        <v>223</v>
      </c>
      <c r="DM2272" s="1" t="s">
        <v>225</v>
      </c>
      <c r="DO2272" s="1" t="s">
        <v>1004</v>
      </c>
      <c r="DP2272" s="1" t="s">
        <v>340</v>
      </c>
      <c r="DQ2272" s="1" t="s">
        <v>228</v>
      </c>
      <c r="DR2272" s="1" t="s">
        <v>229</v>
      </c>
      <c r="DS2272" s="1" t="s">
        <v>230</v>
      </c>
      <c r="DV2272" s="1" t="s">
        <v>10911</v>
      </c>
      <c r="DW2272" s="1" t="s">
        <v>489</v>
      </c>
      <c r="DX2272" s="1" t="s">
        <v>234</v>
      </c>
      <c r="EA2272" s="1" t="s">
        <v>588</v>
      </c>
      <c r="EC2272" s="1" t="s">
        <v>237</v>
      </c>
      <c r="EG2272" s="1" t="s">
        <v>374</v>
      </c>
      <c r="EH2272" s="1" t="s">
        <v>588</v>
      </c>
      <c r="EL2272" s="1" t="s">
        <v>3182</v>
      </c>
      <c r="EM2272" s="1" t="s">
        <v>206</v>
      </c>
      <c r="EP2272" s="1" t="s">
        <v>647</v>
      </c>
      <c r="EQ2272" s="1" t="s">
        <v>209</v>
      </c>
      <c r="EU2272" s="1" t="s">
        <v>238</v>
      </c>
      <c r="EY2272" s="1" t="s">
        <v>238</v>
      </c>
      <c r="FC2272" s="1" t="s">
        <v>238</v>
      </c>
      <c r="FF2272" s="1" t="s">
        <v>239</v>
      </c>
      <c r="FG2272" s="1" t="s">
        <v>192</v>
      </c>
      <c r="FH2272" s="1" t="s">
        <v>192</v>
      </c>
      <c r="FJ2272" s="1" t="s">
        <v>16672</v>
      </c>
      <c r="FK2272" s="1" t="s">
        <v>1586</v>
      </c>
      <c r="FL2272" s="1" t="s">
        <v>1358</v>
      </c>
      <c r="FM2272" s="1">
        <v>10272.0</v>
      </c>
      <c r="FN2272" s="1" t="s">
        <v>3233</v>
      </c>
      <c r="FO2272" s="1" t="s">
        <v>21032</v>
      </c>
      <c r="FP2272" s="1">
        <v>147681.0</v>
      </c>
      <c r="FQ2272" s="1" t="s">
        <v>21033</v>
      </c>
      <c r="FR2272" s="1">
        <v>243478.0</v>
      </c>
      <c r="FU2272" s="1" t="s">
        <v>21034</v>
      </c>
      <c r="FV2272" s="1" t="s">
        <v>200</v>
      </c>
      <c r="FW2272" s="1" t="s">
        <v>631</v>
      </c>
      <c r="FX2272" s="1" t="s">
        <v>238</v>
      </c>
      <c r="FZ2272" s="1" t="s">
        <v>229</v>
      </c>
      <c r="GA2272" s="1" t="s">
        <v>291</v>
      </c>
      <c r="GB2272" s="2">
        <v>42131.0</v>
      </c>
      <c r="GC2272" s="1" t="s">
        <v>21035</v>
      </c>
    </row>
    <row r="2273">
      <c r="A2273" s="1">
        <v>198000.0</v>
      </c>
      <c r="B2273" s="1" t="s">
        <v>185</v>
      </c>
      <c r="C2273" s="1" t="str">
        <f>"08753378"</f>
        <v>08753378</v>
      </c>
      <c r="D2273" s="1" t="s">
        <v>186</v>
      </c>
      <c r="F2273" s="1" t="str">
        <f>"103"</f>
        <v>103</v>
      </c>
      <c r="G2273" s="2">
        <v>41927.0</v>
      </c>
      <c r="H2273" s="1">
        <v>199900.0</v>
      </c>
      <c r="I2273" s="1">
        <v>13.0</v>
      </c>
      <c r="J2273" s="1">
        <v>199900.0</v>
      </c>
      <c r="K2273" s="2">
        <v>41939.0</v>
      </c>
      <c r="L2273" s="1">
        <v>13.0</v>
      </c>
      <c r="M2273" s="2">
        <v>41939.0</v>
      </c>
      <c r="N2273" s="1" t="s">
        <v>356</v>
      </c>
      <c r="O2273" s="2">
        <v>41995.0</v>
      </c>
      <c r="P2273" s="1">
        <v>225656.0</v>
      </c>
      <c r="Q2273" s="1">
        <v>8340.0</v>
      </c>
      <c r="R2273" s="1">
        <v>5000.0</v>
      </c>
      <c r="S2273" s="1">
        <v>1410.0</v>
      </c>
      <c r="T2273" s="1" t="s">
        <v>250</v>
      </c>
      <c r="U2273" s="1" t="s">
        <v>189</v>
      </c>
      <c r="V2273" s="1" t="s">
        <v>251</v>
      </c>
      <c r="W2273" s="1">
        <v>60133.0</v>
      </c>
      <c r="Y2273" s="1" t="s">
        <v>21036</v>
      </c>
      <c r="Z2273" s="1">
        <v>1964.0</v>
      </c>
      <c r="AA2273" s="1" t="s">
        <v>192</v>
      </c>
      <c r="AB2273" s="1" t="s">
        <v>193</v>
      </c>
      <c r="AC2273" s="1" t="s">
        <v>253</v>
      </c>
      <c r="AD2273" s="1" t="s">
        <v>254</v>
      </c>
      <c r="AE2273" s="1" t="s">
        <v>195</v>
      </c>
      <c r="AF2273" s="1" t="s">
        <v>255</v>
      </c>
      <c r="AH2273" s="1" t="s">
        <v>21037</v>
      </c>
      <c r="AK2273" s="1">
        <v>9.0</v>
      </c>
      <c r="AL2273" s="1">
        <v>4.0</v>
      </c>
      <c r="AM2273" s="1">
        <v>2.0</v>
      </c>
      <c r="AN2273" s="1">
        <v>0.0</v>
      </c>
      <c r="AO2273" s="1" t="s">
        <v>229</v>
      </c>
      <c r="AP2273" s="1">
        <v>1.0</v>
      </c>
      <c r="AQ2273" s="1" t="s">
        <v>5726</v>
      </c>
      <c r="AR2273" s="1" t="s">
        <v>192</v>
      </c>
      <c r="AS2273" s="1" t="s">
        <v>199</v>
      </c>
      <c r="AT2273" s="1">
        <v>1.0</v>
      </c>
      <c r="AV2273" s="1" t="s">
        <v>200</v>
      </c>
      <c r="AW2273" s="1">
        <v>4639.46</v>
      </c>
      <c r="AX2273" s="1">
        <v>2013.0</v>
      </c>
      <c r="AY2273" s="1" t="s">
        <v>387</v>
      </c>
      <c r="AZ2273" s="1" t="s">
        <v>200</v>
      </c>
      <c r="BA2273" s="1" t="str">
        <f>"07313030190000"</f>
        <v>07313030190000</v>
      </c>
      <c r="BB2273" s="1" t="s">
        <v>200</v>
      </c>
      <c r="BC2273" s="1">
        <v>0.0</v>
      </c>
      <c r="BD2273" s="1">
        <v>198000.0</v>
      </c>
      <c r="BE2273" s="2">
        <v>41927.0</v>
      </c>
      <c r="BF2273" s="2" t="s">
        <v>21038</v>
      </c>
      <c r="BG2273" s="1" t="s">
        <v>7277</v>
      </c>
      <c r="BH2273" s="1">
        <v>0.0</v>
      </c>
      <c r="BI2273" s="1" t="s">
        <v>7877</v>
      </c>
      <c r="BJ2273" s="1" t="s">
        <v>259</v>
      </c>
      <c r="BK2273" s="1" t="s">
        <v>204</v>
      </c>
      <c r="BL2273" s="1" t="str">
        <f>"8"</f>
        <v>8</v>
      </c>
      <c r="BM2273" s="1" t="str">
        <f>""</f>
        <v/>
      </c>
      <c r="BN2273" s="1">
        <v>26.0</v>
      </c>
      <c r="BQ2273" s="1">
        <v>54.0</v>
      </c>
      <c r="BR2273" s="1">
        <v>211.0</v>
      </c>
      <c r="BS2273" s="1">
        <v>54.0</v>
      </c>
      <c r="BU2273" s="1" t="s">
        <v>924</v>
      </c>
      <c r="BV2273" s="1" t="s">
        <v>206</v>
      </c>
      <c r="BW2273" s="1" t="s">
        <v>210</v>
      </c>
      <c r="BX2273" s="1" t="s">
        <v>431</v>
      </c>
      <c r="BY2273" s="1" t="s">
        <v>647</v>
      </c>
      <c r="BZ2273" s="1" t="s">
        <v>209</v>
      </c>
      <c r="CA2273" s="1" t="s">
        <v>210</v>
      </c>
      <c r="CB2273" s="1" t="s">
        <v>431</v>
      </c>
      <c r="CC2273" s="1" t="s">
        <v>542</v>
      </c>
      <c r="CD2273" s="1" t="s">
        <v>206</v>
      </c>
      <c r="CG2273" s="1" t="s">
        <v>265</v>
      </c>
      <c r="CH2273" s="1" t="s">
        <v>209</v>
      </c>
      <c r="CI2273" s="1" t="s">
        <v>210</v>
      </c>
      <c r="CJ2273" s="1" t="s">
        <v>431</v>
      </c>
      <c r="CK2273" s="1" t="s">
        <v>516</v>
      </c>
      <c r="CL2273" s="1" t="s">
        <v>209</v>
      </c>
      <c r="CM2273" s="1" t="s">
        <v>210</v>
      </c>
      <c r="CN2273" s="1" t="s">
        <v>431</v>
      </c>
      <c r="CO2273" s="1" t="s">
        <v>269</v>
      </c>
      <c r="CP2273" s="1" t="s">
        <v>267</v>
      </c>
      <c r="CQ2273" s="1" t="s">
        <v>210</v>
      </c>
      <c r="CR2273" s="1" t="s">
        <v>1549</v>
      </c>
      <c r="CS2273" s="1" t="s">
        <v>700</v>
      </c>
      <c r="CT2273" s="1" t="s">
        <v>206</v>
      </c>
      <c r="CU2273" s="1" t="s">
        <v>207</v>
      </c>
      <c r="CV2273" s="1" t="s">
        <v>431</v>
      </c>
      <c r="CW2273" s="1" t="s">
        <v>924</v>
      </c>
      <c r="CX2273" s="1" t="s">
        <v>267</v>
      </c>
      <c r="CY2273" s="1" t="s">
        <v>210</v>
      </c>
      <c r="CZ2273" s="1" t="s">
        <v>1549</v>
      </c>
      <c r="DA2273" s="1" t="s">
        <v>200</v>
      </c>
      <c r="DC2273" s="1" t="s">
        <v>517</v>
      </c>
      <c r="DD2273" s="1" t="s">
        <v>518</v>
      </c>
      <c r="DE2273" s="1" t="s">
        <v>273</v>
      </c>
      <c r="DF2273" s="1" t="s">
        <v>219</v>
      </c>
      <c r="DG2273" s="1" t="s">
        <v>337</v>
      </c>
      <c r="DH2273" s="1" t="s">
        <v>307</v>
      </c>
      <c r="DI2273" s="1" t="s">
        <v>703</v>
      </c>
      <c r="DJ2273" s="1" t="s">
        <v>222</v>
      </c>
      <c r="DL2273" s="1" t="s">
        <v>224</v>
      </c>
      <c r="DM2273" s="1" t="s">
        <v>338</v>
      </c>
      <c r="DQ2273" s="1" t="s">
        <v>228</v>
      </c>
      <c r="DR2273" s="1" t="s">
        <v>229</v>
      </c>
      <c r="DU2273" s="1" t="s">
        <v>1049</v>
      </c>
      <c r="DV2273" s="1" t="s">
        <v>1729</v>
      </c>
      <c r="DW2273" s="1" t="s">
        <v>444</v>
      </c>
      <c r="DX2273" s="1" t="s">
        <v>234</v>
      </c>
      <c r="DY2273" s="1" t="s">
        <v>704</v>
      </c>
      <c r="DZ2273" s="1" t="s">
        <v>14214</v>
      </c>
      <c r="EA2273" s="1" t="s">
        <v>283</v>
      </c>
      <c r="EB2273" s="1" t="s">
        <v>937</v>
      </c>
      <c r="EC2273" s="1" t="s">
        <v>284</v>
      </c>
      <c r="ED2273" s="1" t="s">
        <v>407</v>
      </c>
      <c r="EE2273" s="1" t="s">
        <v>493</v>
      </c>
      <c r="EG2273" s="1" t="s">
        <v>1729</v>
      </c>
      <c r="EL2273" s="1" t="s">
        <v>264</v>
      </c>
      <c r="EM2273" s="1" t="s">
        <v>206</v>
      </c>
      <c r="EN2273" s="1" t="s">
        <v>207</v>
      </c>
      <c r="EO2273" s="1" t="s">
        <v>431</v>
      </c>
      <c r="EQ2273" s="1" t="s">
        <v>238</v>
      </c>
      <c r="EU2273" s="1" t="s">
        <v>238</v>
      </c>
      <c r="EY2273" s="1" t="s">
        <v>238</v>
      </c>
      <c r="FC2273" s="1" t="s">
        <v>238</v>
      </c>
      <c r="FF2273" s="1" t="s">
        <v>239</v>
      </c>
      <c r="FG2273" s="1" t="s">
        <v>192</v>
      </c>
      <c r="FH2273" s="1" t="s">
        <v>200</v>
      </c>
      <c r="FJ2273" s="1" t="s">
        <v>2552</v>
      </c>
      <c r="FK2273" s="1" t="s">
        <v>348</v>
      </c>
      <c r="FL2273" s="1" t="s">
        <v>7596</v>
      </c>
      <c r="FM2273" s="1">
        <v>357.0</v>
      </c>
      <c r="FN2273" s="1" t="s">
        <v>7597</v>
      </c>
      <c r="FO2273" s="1" t="s">
        <v>9917</v>
      </c>
      <c r="FP2273" s="1">
        <v>1455.0</v>
      </c>
      <c r="FQ2273" s="1" t="s">
        <v>9918</v>
      </c>
      <c r="FR2273" s="1">
        <v>1562.0</v>
      </c>
      <c r="FU2273" s="1" t="s">
        <v>21039</v>
      </c>
      <c r="FV2273" s="1" t="s">
        <v>200</v>
      </c>
      <c r="FW2273" s="1" t="s">
        <v>2754</v>
      </c>
      <c r="FZ2273" s="1" t="s">
        <v>229</v>
      </c>
      <c r="GA2273" s="1" t="s">
        <v>291</v>
      </c>
      <c r="GB2273" s="2">
        <v>41995.0</v>
      </c>
    </row>
    <row r="2274">
      <c r="A2274" s="1">
        <v>107000.0</v>
      </c>
      <c r="B2274" s="1" t="s">
        <v>185</v>
      </c>
      <c r="C2274" s="1" t="str">
        <f>"08749404"</f>
        <v>08749404</v>
      </c>
      <c r="D2274" s="1" t="s">
        <v>186</v>
      </c>
      <c r="F2274" s="1" t="str">
        <f>"110"</f>
        <v>110</v>
      </c>
      <c r="G2274" s="2">
        <v>41921.0</v>
      </c>
      <c r="H2274" s="1">
        <v>114900.0</v>
      </c>
      <c r="I2274" s="1">
        <v>172.0</v>
      </c>
      <c r="J2274" s="1">
        <v>109900.0</v>
      </c>
      <c r="K2274" s="2">
        <v>41982.0</v>
      </c>
      <c r="L2274" s="1">
        <v>62.0</v>
      </c>
      <c r="M2274" s="2">
        <v>41982.0</v>
      </c>
      <c r="N2274" s="1" t="s">
        <v>187</v>
      </c>
      <c r="O2274" s="2">
        <v>42032.0</v>
      </c>
      <c r="P2274" s="1">
        <v>115038.0</v>
      </c>
      <c r="Q2274" s="1">
        <v>17653.0</v>
      </c>
      <c r="S2274" s="1">
        <v>7031.0</v>
      </c>
      <c r="T2274" s="1" t="s">
        <v>21040</v>
      </c>
      <c r="U2274" s="1" t="s">
        <v>569</v>
      </c>
      <c r="V2274" s="1" t="s">
        <v>807</v>
      </c>
      <c r="W2274" s="1">
        <v>60110.0</v>
      </c>
      <c r="Y2274" s="1" t="s">
        <v>21041</v>
      </c>
      <c r="Z2274" s="1">
        <v>1969.0</v>
      </c>
      <c r="AA2274" s="1" t="s">
        <v>192</v>
      </c>
      <c r="AB2274" s="1" t="s">
        <v>193</v>
      </c>
      <c r="AC2274" s="1" t="s">
        <v>5724</v>
      </c>
      <c r="AD2274" s="1" t="s">
        <v>809</v>
      </c>
      <c r="AE2274" s="1" t="s">
        <v>325</v>
      </c>
      <c r="AF2274" s="1" t="s">
        <v>810</v>
      </c>
      <c r="AH2274" s="1" t="s">
        <v>21042</v>
      </c>
      <c r="AI2274" s="1">
        <v>0.25</v>
      </c>
      <c r="AK2274" s="1">
        <v>8.0</v>
      </c>
      <c r="AL2274" s="1">
        <v>4.0</v>
      </c>
      <c r="AM2274" s="1">
        <v>2.0</v>
      </c>
      <c r="AN2274" s="1">
        <v>0.0</v>
      </c>
      <c r="AO2274" s="1" t="s">
        <v>229</v>
      </c>
      <c r="AP2274" s="1">
        <v>1.0</v>
      </c>
      <c r="AQ2274" s="1" t="s">
        <v>1314</v>
      </c>
      <c r="AR2274" s="1" t="s">
        <v>192</v>
      </c>
      <c r="AS2274" s="1" t="s">
        <v>199</v>
      </c>
      <c r="AT2274" s="1">
        <v>2.0</v>
      </c>
      <c r="AV2274" s="1" t="s">
        <v>200</v>
      </c>
      <c r="AW2274" s="1">
        <v>3027.44</v>
      </c>
      <c r="AX2274" s="1">
        <v>2012.0</v>
      </c>
      <c r="AZ2274" s="1" t="s">
        <v>200</v>
      </c>
      <c r="BA2274" s="1" t="str">
        <f>"0313406012"</f>
        <v>0313406012</v>
      </c>
      <c r="BC2274" s="1">
        <v>2268.0</v>
      </c>
      <c r="BD2274" s="1">
        <v>107000.0</v>
      </c>
      <c r="BE2274" s="2">
        <v>41921.0</v>
      </c>
      <c r="BF2274" s="1" t="s">
        <v>21043</v>
      </c>
      <c r="BH2274" s="1">
        <v>0.0</v>
      </c>
      <c r="BK2274" s="1" t="s">
        <v>204</v>
      </c>
      <c r="BL2274" s="1" t="str">
        <f t="shared" ref="BL2274:BM2274" si="1488">""</f>
        <v/>
      </c>
      <c r="BM2274" s="1" t="str">
        <f t="shared" si="1488"/>
        <v/>
      </c>
      <c r="BQ2274" s="1">
        <v>302.0</v>
      </c>
      <c r="BR2274" s="1">
        <v>302.0</v>
      </c>
      <c r="BS2274" s="1">
        <v>302.0</v>
      </c>
      <c r="BU2274" s="1" t="s">
        <v>434</v>
      </c>
      <c r="BV2274" s="1" t="s">
        <v>206</v>
      </c>
      <c r="BY2274" s="1" t="s">
        <v>331</v>
      </c>
      <c r="BZ2274" s="1" t="s">
        <v>206</v>
      </c>
      <c r="CC2274" s="1" t="s">
        <v>392</v>
      </c>
      <c r="CD2274" s="1" t="s">
        <v>206</v>
      </c>
      <c r="CG2274" s="1" t="s">
        <v>392</v>
      </c>
      <c r="CH2274" s="1" t="s">
        <v>206</v>
      </c>
      <c r="CK2274" s="1" t="s">
        <v>699</v>
      </c>
      <c r="CL2274" s="1" t="s">
        <v>206</v>
      </c>
      <c r="CO2274" s="1" t="s">
        <v>495</v>
      </c>
      <c r="CP2274" s="1" t="s">
        <v>206</v>
      </c>
      <c r="CS2274" s="1" t="s">
        <v>331</v>
      </c>
      <c r="CT2274" s="1" t="s">
        <v>206</v>
      </c>
      <c r="CW2274" s="1" t="s">
        <v>3154</v>
      </c>
      <c r="CX2274" s="1" t="s">
        <v>267</v>
      </c>
      <c r="DA2274" s="1" t="s">
        <v>200</v>
      </c>
      <c r="DC2274" s="1" t="s">
        <v>517</v>
      </c>
      <c r="DE2274" s="1" t="s">
        <v>273</v>
      </c>
      <c r="DF2274" s="1" t="s">
        <v>219</v>
      </c>
      <c r="DH2274" s="1" t="s">
        <v>365</v>
      </c>
      <c r="DJ2274" s="1" t="s">
        <v>222</v>
      </c>
      <c r="DL2274" s="1" t="s">
        <v>224</v>
      </c>
      <c r="DM2274" s="1" t="s">
        <v>229</v>
      </c>
      <c r="DP2274" s="1" t="s">
        <v>400</v>
      </c>
      <c r="DQ2274" s="1" t="s">
        <v>441</v>
      </c>
      <c r="DR2274" s="1" t="s">
        <v>229</v>
      </c>
      <c r="DV2274" s="1" t="s">
        <v>232</v>
      </c>
      <c r="DW2274" s="1" t="s">
        <v>7134</v>
      </c>
      <c r="DX2274" s="1" t="s">
        <v>234</v>
      </c>
      <c r="EC2274" s="1" t="s">
        <v>311</v>
      </c>
      <c r="EM2274" s="1" t="s">
        <v>238</v>
      </c>
      <c r="EQ2274" s="1" t="s">
        <v>238</v>
      </c>
      <c r="EU2274" s="1" t="s">
        <v>238</v>
      </c>
      <c r="EY2274" s="1" t="s">
        <v>238</v>
      </c>
      <c r="FC2274" s="1" t="s">
        <v>238</v>
      </c>
      <c r="FF2274" s="1" t="s">
        <v>239</v>
      </c>
      <c r="FG2274" s="1" t="s">
        <v>192</v>
      </c>
      <c r="FH2274" s="1" t="s">
        <v>192</v>
      </c>
      <c r="FJ2274" s="1" t="s">
        <v>770</v>
      </c>
      <c r="FK2274" s="1" t="s">
        <v>229</v>
      </c>
      <c r="FL2274" s="1" t="s">
        <v>1358</v>
      </c>
      <c r="FM2274" s="1">
        <v>3970.0</v>
      </c>
      <c r="FN2274" s="1" t="s">
        <v>5118</v>
      </c>
      <c r="FO2274" s="1" t="s">
        <v>5119</v>
      </c>
      <c r="FP2274" s="1">
        <v>38687.0</v>
      </c>
      <c r="FQ2274" s="1" t="s">
        <v>5120</v>
      </c>
      <c r="FU2274" s="1" t="s">
        <v>5121</v>
      </c>
      <c r="FV2274" s="1" t="s">
        <v>200</v>
      </c>
      <c r="FW2274" s="1" t="s">
        <v>530</v>
      </c>
      <c r="FZ2274" s="1" t="s">
        <v>229</v>
      </c>
      <c r="GA2274" s="1" t="s">
        <v>291</v>
      </c>
      <c r="GB2274" s="2">
        <v>42033.0</v>
      </c>
      <c r="GC2274" s="1" t="s">
        <v>21044</v>
      </c>
    </row>
    <row r="2275">
      <c r="A2275" s="1">
        <v>148000.0</v>
      </c>
      <c r="B2275" s="1" t="s">
        <v>185</v>
      </c>
      <c r="C2275" s="1" t="str">
        <f>"08757862"</f>
        <v>08757862</v>
      </c>
      <c r="D2275" s="1" t="s">
        <v>186</v>
      </c>
      <c r="F2275" s="1" t="str">
        <f>"545"</f>
        <v>545</v>
      </c>
      <c r="G2275" s="2">
        <v>41933.0</v>
      </c>
      <c r="H2275" s="1">
        <v>169900.0</v>
      </c>
      <c r="I2275" s="1">
        <v>146.0</v>
      </c>
      <c r="J2275" s="1">
        <v>129900.0</v>
      </c>
      <c r="K2275" s="2">
        <v>42076.0</v>
      </c>
      <c r="L2275" s="1">
        <v>146.0</v>
      </c>
      <c r="M2275" s="2">
        <v>42076.0</v>
      </c>
      <c r="N2275" s="1" t="s">
        <v>187</v>
      </c>
      <c r="O2275" s="2">
        <v>42124.0</v>
      </c>
      <c r="P2275" s="1">
        <v>300059.0</v>
      </c>
      <c r="Q2275" s="1">
        <v>349.0</v>
      </c>
      <c r="R2275" s="1">
        <v>3000.0</v>
      </c>
      <c r="S2275" s="1">
        <v>1025.0</v>
      </c>
      <c r="T2275" s="1" t="s">
        <v>21045</v>
      </c>
      <c r="U2275" s="1" t="s">
        <v>320</v>
      </c>
      <c r="V2275" s="1" t="s">
        <v>3364</v>
      </c>
      <c r="W2275" s="1">
        <v>60545.0</v>
      </c>
      <c r="Y2275" s="1" t="s">
        <v>21046</v>
      </c>
      <c r="Z2275" s="1">
        <v>2006.0</v>
      </c>
      <c r="AA2275" s="1" t="s">
        <v>200</v>
      </c>
      <c r="AB2275" s="1" t="s">
        <v>467</v>
      </c>
      <c r="AD2275" s="1" t="s">
        <v>3366</v>
      </c>
      <c r="AE2275" s="1" t="s">
        <v>849</v>
      </c>
      <c r="AF2275" s="1" t="s">
        <v>3367</v>
      </c>
      <c r="AH2275" s="1">
        <v>8267.0</v>
      </c>
      <c r="AI2275" s="1">
        <v>0.1898</v>
      </c>
      <c r="AK2275" s="1">
        <v>8.0</v>
      </c>
      <c r="AL2275" s="1">
        <v>4.0</v>
      </c>
      <c r="AM2275" s="1">
        <v>2.0</v>
      </c>
      <c r="AN2275" s="1">
        <v>1.0</v>
      </c>
      <c r="AO2275" s="1" t="s">
        <v>198</v>
      </c>
      <c r="AQ2275" s="1" t="s">
        <v>198</v>
      </c>
      <c r="AR2275" s="1" t="s">
        <v>200</v>
      </c>
      <c r="AS2275" s="1" t="s">
        <v>199</v>
      </c>
      <c r="AT2275" s="1">
        <v>2.0</v>
      </c>
      <c r="AV2275" s="1" t="s">
        <v>200</v>
      </c>
      <c r="AW2275" s="1">
        <v>7450.62</v>
      </c>
      <c r="AX2275" s="1">
        <v>2012.0</v>
      </c>
      <c r="AZ2275" s="1" t="s">
        <v>545</v>
      </c>
      <c r="BA2275" s="1" t="str">
        <f>"0121230047"</f>
        <v>0121230047</v>
      </c>
      <c r="BC2275" s="1">
        <v>2072.0</v>
      </c>
      <c r="BD2275" s="1">
        <v>148000.0</v>
      </c>
      <c r="BE2275" s="2">
        <v>41931.0</v>
      </c>
      <c r="BF2275" s="2" t="s">
        <v>21047</v>
      </c>
      <c r="BH2275" s="1">
        <v>40.0</v>
      </c>
      <c r="BK2275" s="1" t="s">
        <v>474</v>
      </c>
      <c r="BL2275" s="1" t="str">
        <f t="shared" ref="BL2275:BM2275" si="1489">""</f>
        <v/>
      </c>
      <c r="BM2275" s="1" t="str">
        <f t="shared" si="1489"/>
        <v/>
      </c>
      <c r="BQ2275" s="1">
        <v>88.0</v>
      </c>
      <c r="BR2275" s="1">
        <v>88.0</v>
      </c>
      <c r="BS2275" s="1">
        <v>88.0</v>
      </c>
      <c r="BU2275" s="1" t="s">
        <v>433</v>
      </c>
      <c r="BV2275" s="1" t="s">
        <v>206</v>
      </c>
      <c r="BW2275" s="1" t="s">
        <v>210</v>
      </c>
      <c r="BY2275" s="1" t="s">
        <v>664</v>
      </c>
      <c r="BZ2275" s="1" t="s">
        <v>209</v>
      </c>
      <c r="CA2275" s="1" t="s">
        <v>210</v>
      </c>
      <c r="CC2275" s="1" t="s">
        <v>433</v>
      </c>
      <c r="CD2275" s="1" t="s">
        <v>206</v>
      </c>
      <c r="CE2275" s="1" t="s">
        <v>210</v>
      </c>
      <c r="CG2275" s="1" t="s">
        <v>264</v>
      </c>
      <c r="CH2275" s="1" t="s">
        <v>209</v>
      </c>
      <c r="CI2275" s="1" t="s">
        <v>210</v>
      </c>
      <c r="CK2275" s="1" t="s">
        <v>212</v>
      </c>
      <c r="CL2275" s="1" t="s">
        <v>209</v>
      </c>
      <c r="CM2275" s="1" t="s">
        <v>210</v>
      </c>
      <c r="CO2275" s="1" t="s">
        <v>497</v>
      </c>
      <c r="CP2275" s="1" t="s">
        <v>209</v>
      </c>
      <c r="CQ2275" s="1" t="s">
        <v>210</v>
      </c>
      <c r="CS2275" s="1" t="s">
        <v>925</v>
      </c>
      <c r="CT2275" s="1" t="s">
        <v>206</v>
      </c>
      <c r="CU2275" s="1" t="s">
        <v>617</v>
      </c>
      <c r="CW2275" s="1" t="s">
        <v>390</v>
      </c>
      <c r="CX2275" s="1" t="s">
        <v>206</v>
      </c>
      <c r="CY2275" s="1" t="s">
        <v>210</v>
      </c>
      <c r="DA2275" s="1" t="s">
        <v>200</v>
      </c>
      <c r="DC2275" s="1" t="s">
        <v>481</v>
      </c>
      <c r="DE2275" s="1" t="s">
        <v>273</v>
      </c>
      <c r="DF2275" s="1" t="s">
        <v>219</v>
      </c>
      <c r="DH2275" s="1" t="s">
        <v>220</v>
      </c>
      <c r="DJ2275" s="1" t="s">
        <v>222</v>
      </c>
      <c r="DL2275" s="1" t="s">
        <v>223</v>
      </c>
      <c r="DM2275" s="1" t="s">
        <v>229</v>
      </c>
      <c r="DP2275" s="1" t="s">
        <v>5943</v>
      </c>
      <c r="DQ2275" s="1" t="s">
        <v>228</v>
      </c>
      <c r="DR2275" s="1" t="s">
        <v>588</v>
      </c>
      <c r="DV2275" s="1" t="s">
        <v>232</v>
      </c>
      <c r="DW2275" s="1" t="s">
        <v>667</v>
      </c>
      <c r="DX2275" s="1" t="s">
        <v>234</v>
      </c>
      <c r="EC2275" s="1" t="s">
        <v>237</v>
      </c>
      <c r="EM2275" s="1" t="s">
        <v>238</v>
      </c>
      <c r="EQ2275" s="1" t="s">
        <v>238</v>
      </c>
      <c r="EU2275" s="1" t="s">
        <v>238</v>
      </c>
      <c r="EY2275" s="1" t="s">
        <v>238</v>
      </c>
      <c r="FC2275" s="1" t="s">
        <v>238</v>
      </c>
      <c r="FF2275" s="1" t="s">
        <v>239</v>
      </c>
      <c r="FG2275" s="1" t="s">
        <v>192</v>
      </c>
      <c r="FH2275" s="1" t="s">
        <v>192</v>
      </c>
      <c r="FJ2275" s="1" t="s">
        <v>1248</v>
      </c>
      <c r="FK2275" s="1" t="s">
        <v>229</v>
      </c>
      <c r="FL2275" s="1" t="s">
        <v>2263</v>
      </c>
      <c r="FM2275" s="1">
        <v>8094.0</v>
      </c>
      <c r="FN2275" s="1" t="s">
        <v>2264</v>
      </c>
      <c r="FO2275" s="1" t="s">
        <v>5270</v>
      </c>
      <c r="FP2275" s="1">
        <v>232535.0</v>
      </c>
      <c r="FQ2275" s="1" t="s">
        <v>5271</v>
      </c>
      <c r="FU2275" s="1" t="s">
        <v>5272</v>
      </c>
      <c r="FV2275" s="1" t="s">
        <v>200</v>
      </c>
      <c r="FW2275" s="1" t="s">
        <v>1307</v>
      </c>
      <c r="FZ2275" s="1" t="s">
        <v>229</v>
      </c>
      <c r="GA2275" s="1" t="s">
        <v>291</v>
      </c>
      <c r="GB2275" s="2">
        <v>42125.0</v>
      </c>
      <c r="GC2275" s="1" t="s">
        <v>21048</v>
      </c>
    </row>
    <row r="2276">
      <c r="A2276" s="1">
        <v>251500.0</v>
      </c>
      <c r="B2276" s="1" t="s">
        <v>185</v>
      </c>
      <c r="C2276" s="1" t="str">
        <f>"08748333"</f>
        <v>08748333</v>
      </c>
      <c r="D2276" s="1" t="s">
        <v>186</v>
      </c>
      <c r="F2276" s="1" t="str">
        <f>"8015"</f>
        <v>8015</v>
      </c>
      <c r="G2276" s="2">
        <v>41920.0</v>
      </c>
      <c r="H2276" s="1">
        <v>255000.0</v>
      </c>
      <c r="I2276" s="1">
        <v>85.0</v>
      </c>
      <c r="J2276" s="1">
        <v>255000.0</v>
      </c>
      <c r="K2276" s="2">
        <v>41966.0</v>
      </c>
      <c r="L2276" s="1">
        <v>47.0</v>
      </c>
      <c r="M2276" s="2">
        <v>41966.0</v>
      </c>
      <c r="N2276" s="1" t="s">
        <v>187</v>
      </c>
      <c r="O2276" s="2">
        <v>42020.0</v>
      </c>
      <c r="P2276" s="1">
        <v>181886.0</v>
      </c>
      <c r="Q2276" s="1">
        <v>84404.0</v>
      </c>
      <c r="S2276" s="1">
        <v>5431.0</v>
      </c>
      <c r="T2276" s="1" t="s">
        <v>12481</v>
      </c>
      <c r="U2276" s="1" t="s">
        <v>320</v>
      </c>
      <c r="V2276" s="1" t="s">
        <v>190</v>
      </c>
      <c r="W2276" s="1">
        <v>60641.0</v>
      </c>
      <c r="Y2276" s="1" t="s">
        <v>21049</v>
      </c>
      <c r="Z2276" s="1">
        <v>1916.0</v>
      </c>
      <c r="AA2276" s="1" t="s">
        <v>192</v>
      </c>
      <c r="AB2276" s="1" t="s">
        <v>193</v>
      </c>
      <c r="AD2276" s="1" t="s">
        <v>194</v>
      </c>
      <c r="AE2276" s="1" t="s">
        <v>195</v>
      </c>
      <c r="AF2276" s="1" t="s">
        <v>196</v>
      </c>
      <c r="AH2276" s="1" t="s">
        <v>21050</v>
      </c>
      <c r="AK2276" s="1">
        <v>8.0</v>
      </c>
      <c r="AL2276" s="1">
        <v>4.0</v>
      </c>
      <c r="AM2276" s="1">
        <v>2.0</v>
      </c>
      <c r="AN2276" s="1">
        <v>0.0</v>
      </c>
      <c r="AO2276" s="1" t="s">
        <v>3903</v>
      </c>
      <c r="AQ2276" s="1" t="s">
        <v>198</v>
      </c>
      <c r="AR2276" s="1" t="s">
        <v>200</v>
      </c>
      <c r="AS2276" s="1" t="s">
        <v>199</v>
      </c>
      <c r="AT2276" s="1">
        <v>1.0</v>
      </c>
      <c r="AV2276" s="1" t="s">
        <v>200</v>
      </c>
      <c r="AW2276" s="1">
        <v>3006.0</v>
      </c>
      <c r="AX2276" s="1">
        <v>2013.0</v>
      </c>
      <c r="AY2276" s="1" t="s">
        <v>387</v>
      </c>
      <c r="AZ2276" s="1" t="s">
        <v>200</v>
      </c>
      <c r="BA2276" s="1" t="str">
        <f>"13211050090000"</f>
        <v>13211050090000</v>
      </c>
      <c r="BC2276" s="1">
        <v>0.0</v>
      </c>
      <c r="BD2276" s="1">
        <v>251500.0</v>
      </c>
      <c r="BE2276" s="2">
        <v>41920.0</v>
      </c>
      <c r="BF2276" s="2" t="s">
        <v>21051</v>
      </c>
      <c r="BH2276" s="1">
        <v>0.0</v>
      </c>
      <c r="BK2276" s="1" t="s">
        <v>204</v>
      </c>
      <c r="BL2276" s="1" t="str">
        <f>"3932"</f>
        <v>3932</v>
      </c>
      <c r="BM2276" s="1" t="str">
        <f>"0"</f>
        <v>0</v>
      </c>
      <c r="BN2276" s="1">
        <v>5431.0</v>
      </c>
      <c r="BO2276" s="1">
        <v>0.0</v>
      </c>
      <c r="BQ2276" s="1">
        <v>299.0</v>
      </c>
      <c r="BR2276" s="1">
        <v>299.0</v>
      </c>
      <c r="BS2276" s="1">
        <v>299.0</v>
      </c>
      <c r="BU2276" s="1" t="s">
        <v>433</v>
      </c>
      <c r="BV2276" s="1" t="s">
        <v>206</v>
      </c>
      <c r="BW2276" s="1" t="s">
        <v>207</v>
      </c>
      <c r="BX2276" s="1" t="s">
        <v>431</v>
      </c>
      <c r="BY2276" s="1" t="s">
        <v>361</v>
      </c>
      <c r="BZ2276" s="1" t="s">
        <v>209</v>
      </c>
      <c r="CA2276" s="1" t="s">
        <v>207</v>
      </c>
      <c r="CB2276" s="1" t="s">
        <v>431</v>
      </c>
      <c r="CC2276" s="1" t="s">
        <v>262</v>
      </c>
      <c r="CD2276" s="1" t="s">
        <v>206</v>
      </c>
      <c r="CE2276" s="1" t="s">
        <v>207</v>
      </c>
      <c r="CF2276" s="1" t="s">
        <v>431</v>
      </c>
      <c r="CG2276" s="1" t="s">
        <v>269</v>
      </c>
      <c r="CH2276" s="1" t="s">
        <v>206</v>
      </c>
      <c r="CI2276" s="1" t="s">
        <v>207</v>
      </c>
      <c r="CJ2276" s="1" t="s">
        <v>431</v>
      </c>
      <c r="CK2276" s="1" t="s">
        <v>269</v>
      </c>
      <c r="CL2276" s="1" t="s">
        <v>206</v>
      </c>
      <c r="CM2276" s="1" t="s">
        <v>210</v>
      </c>
      <c r="CN2276" s="1" t="s">
        <v>431</v>
      </c>
      <c r="CO2276" s="1" t="s">
        <v>264</v>
      </c>
      <c r="CP2276" s="1" t="s">
        <v>206</v>
      </c>
      <c r="CQ2276" s="1" t="s">
        <v>210</v>
      </c>
      <c r="CR2276" s="1" t="s">
        <v>431</v>
      </c>
      <c r="CS2276" s="1" t="s">
        <v>212</v>
      </c>
      <c r="CT2276" s="1" t="s">
        <v>206</v>
      </c>
      <c r="CU2276" s="1" t="s">
        <v>617</v>
      </c>
      <c r="CX2276" s="1" t="s">
        <v>204</v>
      </c>
      <c r="DA2276" s="1" t="s">
        <v>200</v>
      </c>
      <c r="DC2276" s="1" t="s">
        <v>216</v>
      </c>
      <c r="DD2276" s="1" t="s">
        <v>518</v>
      </c>
      <c r="DE2276" s="1" t="s">
        <v>273</v>
      </c>
      <c r="DF2276" s="1" t="s">
        <v>619</v>
      </c>
      <c r="DG2276" s="1" t="s">
        <v>337</v>
      </c>
      <c r="DH2276" s="1" t="s">
        <v>365</v>
      </c>
      <c r="DI2276" s="1" t="s">
        <v>1401</v>
      </c>
      <c r="DJ2276" s="1" t="s">
        <v>222</v>
      </c>
      <c r="DK2276" s="1" t="s">
        <v>2506</v>
      </c>
      <c r="DL2276" s="1" t="s">
        <v>224</v>
      </c>
      <c r="DM2276" s="1" t="s">
        <v>229</v>
      </c>
      <c r="DP2276" s="1" t="s">
        <v>340</v>
      </c>
      <c r="DQ2276" s="1" t="s">
        <v>718</v>
      </c>
      <c r="DR2276" s="1" t="s">
        <v>229</v>
      </c>
      <c r="DS2276" s="1" t="s">
        <v>401</v>
      </c>
      <c r="DU2276" s="1" t="s">
        <v>21019</v>
      </c>
      <c r="DV2276" s="1" t="s">
        <v>21052</v>
      </c>
      <c r="DW2276" s="1" t="s">
        <v>279</v>
      </c>
      <c r="DX2276" s="1" t="s">
        <v>234</v>
      </c>
      <c r="DY2276" s="1" t="s">
        <v>21053</v>
      </c>
      <c r="DZ2276" s="1" t="s">
        <v>1854</v>
      </c>
      <c r="EA2276" s="1" t="s">
        <v>644</v>
      </c>
      <c r="EC2276" s="1" t="s">
        <v>645</v>
      </c>
      <c r="ED2276" s="1" t="s">
        <v>555</v>
      </c>
      <c r="EG2276" s="1" t="s">
        <v>1103</v>
      </c>
      <c r="EH2276" s="1" t="s">
        <v>450</v>
      </c>
      <c r="EI2276" s="1" t="s">
        <v>374</v>
      </c>
      <c r="EL2276" s="1" t="s">
        <v>2047</v>
      </c>
      <c r="EM2276" s="1" t="s">
        <v>42</v>
      </c>
      <c r="EN2276" s="1" t="s">
        <v>617</v>
      </c>
      <c r="EP2276" s="1" t="s">
        <v>583</v>
      </c>
      <c r="EQ2276" s="1" t="s">
        <v>42</v>
      </c>
      <c r="ER2276" s="1" t="s">
        <v>617</v>
      </c>
      <c r="ET2276" s="1" t="s">
        <v>1245</v>
      </c>
      <c r="EU2276" s="1" t="s">
        <v>206</v>
      </c>
      <c r="EV2276" s="1" t="s">
        <v>588</v>
      </c>
      <c r="EY2276" s="1" t="s">
        <v>238</v>
      </c>
      <c r="FC2276" s="1" t="s">
        <v>238</v>
      </c>
      <c r="FF2276" s="1" t="s">
        <v>239</v>
      </c>
      <c r="FG2276" s="1" t="s">
        <v>192</v>
      </c>
      <c r="FH2276" s="1" t="s">
        <v>192</v>
      </c>
      <c r="FJ2276" s="1" t="s">
        <v>2285</v>
      </c>
      <c r="FK2276" s="1" t="s">
        <v>229</v>
      </c>
      <c r="FL2276" s="1" t="s">
        <v>974</v>
      </c>
      <c r="FM2276" s="1">
        <v>10988.0</v>
      </c>
      <c r="FN2276" s="1" t="s">
        <v>975</v>
      </c>
      <c r="FO2276" s="1" t="s">
        <v>12544</v>
      </c>
      <c r="FP2276" s="1">
        <v>118250.0</v>
      </c>
      <c r="FQ2276" s="1" t="s">
        <v>12545</v>
      </c>
      <c r="FR2276" s="1">
        <v>150479.0</v>
      </c>
      <c r="FU2276" s="1" t="s">
        <v>21054</v>
      </c>
      <c r="FV2276" s="1" t="s">
        <v>200</v>
      </c>
      <c r="FW2276" s="1" t="s">
        <v>631</v>
      </c>
      <c r="FX2276" s="1" t="s">
        <v>246</v>
      </c>
      <c r="FZ2276" s="1" t="s">
        <v>229</v>
      </c>
      <c r="GA2276" s="1" t="s">
        <v>291</v>
      </c>
      <c r="GB2276" s="2">
        <v>42023.0</v>
      </c>
      <c r="GC2276" s="1" t="s">
        <v>21055</v>
      </c>
    </row>
    <row r="2277">
      <c r="A2277" s="1">
        <v>218000.0</v>
      </c>
      <c r="B2277" s="1" t="s">
        <v>185</v>
      </c>
      <c r="C2277" s="1" t="str">
        <f>"08749085"</f>
        <v>08749085</v>
      </c>
      <c r="D2277" s="1" t="s">
        <v>186</v>
      </c>
      <c r="F2277" s="1" t="str">
        <f>"510"</f>
        <v>510</v>
      </c>
      <c r="G2277" s="2">
        <v>41921.0</v>
      </c>
      <c r="H2277" s="1">
        <v>224700.0</v>
      </c>
      <c r="I2277" s="1">
        <v>422.0</v>
      </c>
      <c r="J2277" s="1">
        <v>205000.0</v>
      </c>
      <c r="K2277" s="2">
        <v>41990.0</v>
      </c>
      <c r="L2277" s="1">
        <v>70.0</v>
      </c>
      <c r="M2277" s="2">
        <v>41990.0</v>
      </c>
      <c r="N2277" s="1" t="s">
        <v>187</v>
      </c>
      <c r="O2277" s="2">
        <v>42076.0</v>
      </c>
      <c r="P2277" s="1">
        <v>234005.0</v>
      </c>
      <c r="Q2277" s="1">
        <v>23156.0</v>
      </c>
      <c r="S2277" s="1">
        <v>1117.0</v>
      </c>
      <c r="T2277" s="1" t="s">
        <v>8371</v>
      </c>
      <c r="U2277" s="1" t="s">
        <v>464</v>
      </c>
      <c r="V2277" s="1" t="s">
        <v>2700</v>
      </c>
      <c r="W2277" s="1">
        <v>60510.0</v>
      </c>
      <c r="Y2277" s="1" t="s">
        <v>21056</v>
      </c>
      <c r="Z2277" s="1">
        <v>1973.0</v>
      </c>
      <c r="AA2277" s="1" t="s">
        <v>192</v>
      </c>
      <c r="AB2277" s="1" t="s">
        <v>193</v>
      </c>
      <c r="AD2277" s="1" t="s">
        <v>2702</v>
      </c>
      <c r="AE2277" s="1" t="s">
        <v>325</v>
      </c>
      <c r="AF2277" s="1" t="s">
        <v>2702</v>
      </c>
      <c r="AH2277" s="1" t="s">
        <v>21057</v>
      </c>
      <c r="AI2277" s="1">
        <v>0.3196</v>
      </c>
      <c r="AK2277" s="1">
        <v>9.0</v>
      </c>
      <c r="AL2277" s="1">
        <v>4.0</v>
      </c>
      <c r="AM2277" s="1">
        <v>2.0</v>
      </c>
      <c r="AN2277" s="1">
        <v>1.0</v>
      </c>
      <c r="AO2277" s="1" t="s">
        <v>229</v>
      </c>
      <c r="AQ2277" s="1" t="s">
        <v>1314</v>
      </c>
      <c r="AR2277" s="1" t="s">
        <v>192</v>
      </c>
      <c r="AS2277" s="1" t="s">
        <v>199</v>
      </c>
      <c r="AT2277" s="1">
        <v>2.5</v>
      </c>
      <c r="AV2277" s="1" t="s">
        <v>200</v>
      </c>
      <c r="AW2277" s="1">
        <v>6143.0</v>
      </c>
      <c r="AX2277" s="1">
        <v>2013.0</v>
      </c>
      <c r="AZ2277" s="1" t="s">
        <v>200</v>
      </c>
      <c r="BA2277" s="1" t="str">
        <f>"1226277009"</f>
        <v>1226277009</v>
      </c>
      <c r="BC2277" s="1">
        <v>2600.0</v>
      </c>
      <c r="BD2277" s="1">
        <v>218000.0</v>
      </c>
      <c r="BE2277" s="2">
        <v>41921.0</v>
      </c>
      <c r="BF2277" s="2" t="s">
        <v>21058</v>
      </c>
      <c r="BH2277" s="1">
        <v>0.0</v>
      </c>
      <c r="BI2277" s="1" t="s">
        <v>3090</v>
      </c>
      <c r="BJ2277" s="1" t="s">
        <v>3091</v>
      </c>
      <c r="BK2277" s="1" t="s">
        <v>204</v>
      </c>
      <c r="BL2277" s="1" t="str">
        <f t="shared" ref="BL2277:BM2277" si="1490">""</f>
        <v/>
      </c>
      <c r="BM2277" s="1" t="str">
        <f t="shared" si="1490"/>
        <v/>
      </c>
      <c r="BQ2277" s="1">
        <v>101.0</v>
      </c>
      <c r="BR2277" s="1">
        <v>101.0</v>
      </c>
      <c r="BS2277" s="1">
        <v>101.0</v>
      </c>
      <c r="BU2277" s="1" t="s">
        <v>1426</v>
      </c>
      <c r="BV2277" s="1" t="s">
        <v>206</v>
      </c>
      <c r="BW2277" s="1" t="s">
        <v>207</v>
      </c>
      <c r="BY2277" s="1" t="s">
        <v>454</v>
      </c>
      <c r="BZ2277" s="1" t="s">
        <v>209</v>
      </c>
      <c r="CA2277" s="1" t="s">
        <v>207</v>
      </c>
      <c r="CC2277" s="1" t="s">
        <v>212</v>
      </c>
      <c r="CD2277" s="1" t="s">
        <v>206</v>
      </c>
      <c r="CE2277" s="1" t="s">
        <v>207</v>
      </c>
      <c r="CG2277" s="1" t="s">
        <v>454</v>
      </c>
      <c r="CH2277" s="1" t="s">
        <v>209</v>
      </c>
      <c r="CI2277" s="1" t="s">
        <v>207</v>
      </c>
      <c r="CK2277" s="1" t="s">
        <v>699</v>
      </c>
      <c r="CL2277" s="1" t="s">
        <v>209</v>
      </c>
      <c r="CM2277" s="1" t="s">
        <v>207</v>
      </c>
      <c r="CO2277" s="1" t="s">
        <v>263</v>
      </c>
      <c r="CP2277" s="1" t="s">
        <v>267</v>
      </c>
      <c r="CQ2277" s="1" t="s">
        <v>210</v>
      </c>
      <c r="CS2277" s="1" t="s">
        <v>262</v>
      </c>
      <c r="CT2277" s="1" t="s">
        <v>206</v>
      </c>
      <c r="CU2277" s="1" t="s">
        <v>268</v>
      </c>
      <c r="CW2277" s="1" t="s">
        <v>784</v>
      </c>
      <c r="CX2277" s="1" t="s">
        <v>267</v>
      </c>
      <c r="DA2277" s="1" t="s">
        <v>200</v>
      </c>
      <c r="DC2277" s="1" t="s">
        <v>517</v>
      </c>
      <c r="DD2277" s="1" t="s">
        <v>518</v>
      </c>
      <c r="DE2277" s="1" t="s">
        <v>273</v>
      </c>
      <c r="DF2277" s="1" t="s">
        <v>219</v>
      </c>
      <c r="DH2277" s="1" t="s">
        <v>220</v>
      </c>
      <c r="DI2277" s="1" t="s">
        <v>221</v>
      </c>
      <c r="DJ2277" s="1" t="s">
        <v>222</v>
      </c>
      <c r="DK2277" s="1" t="s">
        <v>3740</v>
      </c>
      <c r="DL2277" s="1" t="s">
        <v>13677</v>
      </c>
      <c r="DM2277" s="1" t="s">
        <v>1022</v>
      </c>
      <c r="DN2277" s="1" t="s">
        <v>339</v>
      </c>
      <c r="DO2277" s="1" t="s">
        <v>549</v>
      </c>
      <c r="DP2277" s="1" t="s">
        <v>340</v>
      </c>
      <c r="DQ2277" s="1" t="s">
        <v>441</v>
      </c>
      <c r="DR2277" s="1" t="s">
        <v>229</v>
      </c>
      <c r="DS2277" s="1" t="s">
        <v>230</v>
      </c>
      <c r="DV2277" s="1" t="s">
        <v>12046</v>
      </c>
      <c r="DW2277" s="1" t="s">
        <v>233</v>
      </c>
      <c r="DX2277" s="1" t="s">
        <v>234</v>
      </c>
      <c r="DY2277" s="1" t="s">
        <v>704</v>
      </c>
      <c r="EC2277" s="1" t="s">
        <v>4613</v>
      </c>
      <c r="EG2277" s="1" t="s">
        <v>450</v>
      </c>
      <c r="EH2277" s="1" t="s">
        <v>408</v>
      </c>
      <c r="EI2277" s="1" t="s">
        <v>1270</v>
      </c>
      <c r="EL2277" s="1" t="s">
        <v>1244</v>
      </c>
      <c r="EM2277" s="1" t="s">
        <v>42</v>
      </c>
      <c r="EN2277" s="1" t="s">
        <v>210</v>
      </c>
      <c r="EP2277" s="1" t="s">
        <v>1796</v>
      </c>
      <c r="EQ2277" s="1" t="s">
        <v>206</v>
      </c>
      <c r="ER2277" s="1" t="s">
        <v>268</v>
      </c>
      <c r="ET2277" s="1" t="s">
        <v>363</v>
      </c>
      <c r="EU2277" s="1" t="s">
        <v>42</v>
      </c>
      <c r="EY2277" s="1" t="s">
        <v>238</v>
      </c>
      <c r="FC2277" s="1" t="s">
        <v>238</v>
      </c>
      <c r="FF2277" s="1" t="s">
        <v>239</v>
      </c>
      <c r="FG2277" s="1" t="s">
        <v>192</v>
      </c>
      <c r="FH2277" s="1" t="s">
        <v>192</v>
      </c>
      <c r="FJ2277" s="1" t="s">
        <v>21059</v>
      </c>
      <c r="FK2277" s="1" t="s">
        <v>1586</v>
      </c>
      <c r="FL2277" s="1" t="s">
        <v>11254</v>
      </c>
      <c r="FM2277" s="1">
        <v>173.0</v>
      </c>
      <c r="FN2277" s="1" t="s">
        <v>11255</v>
      </c>
      <c r="FO2277" s="1" t="s">
        <v>11256</v>
      </c>
      <c r="FP2277" s="1">
        <v>1856.0</v>
      </c>
      <c r="FQ2277" s="1" t="s">
        <v>11257</v>
      </c>
      <c r="FU2277" s="1" t="s">
        <v>21060</v>
      </c>
      <c r="FV2277" s="1" t="s">
        <v>200</v>
      </c>
      <c r="FW2277" s="1" t="s">
        <v>290</v>
      </c>
      <c r="FZ2277" s="1" t="s">
        <v>229</v>
      </c>
      <c r="GA2277" s="1" t="s">
        <v>291</v>
      </c>
      <c r="GB2277" s="2">
        <v>42079.0</v>
      </c>
      <c r="GC2277" s="1" t="s">
        <v>21061</v>
      </c>
    </row>
    <row r="2278">
      <c r="A2278" s="1">
        <v>515000.0</v>
      </c>
      <c r="B2278" s="1" t="s">
        <v>185</v>
      </c>
      <c r="C2278" s="1" t="str">
        <f>"08758512"</f>
        <v>08758512</v>
      </c>
      <c r="D2278" s="1" t="s">
        <v>186</v>
      </c>
      <c r="F2278" s="1" t="str">
        <f>"151"</f>
        <v>151</v>
      </c>
      <c r="G2278" s="2">
        <v>41933.0</v>
      </c>
      <c r="H2278" s="1">
        <v>539000.0</v>
      </c>
      <c r="I2278" s="1">
        <v>18.0</v>
      </c>
      <c r="J2278" s="1">
        <v>539000.0</v>
      </c>
      <c r="K2278" s="2">
        <v>41950.0</v>
      </c>
      <c r="L2278" s="1">
        <v>18.0</v>
      </c>
      <c r="M2278" s="2">
        <v>41950.0</v>
      </c>
      <c r="N2278" s="1" t="s">
        <v>187</v>
      </c>
      <c r="O2278" s="2">
        <v>41991.0</v>
      </c>
      <c r="P2278" s="1">
        <v>8816.0</v>
      </c>
      <c r="Q2278" s="1">
        <v>41.0</v>
      </c>
      <c r="S2278" s="1" t="s">
        <v>21062</v>
      </c>
      <c r="T2278" s="1" t="s">
        <v>15358</v>
      </c>
      <c r="U2278" s="1" t="s">
        <v>464</v>
      </c>
      <c r="V2278" s="1" t="s">
        <v>8905</v>
      </c>
      <c r="W2278" s="1">
        <v>60151.0</v>
      </c>
      <c r="Y2278" s="1" t="s">
        <v>21063</v>
      </c>
      <c r="Z2278" s="1">
        <v>1997.0</v>
      </c>
      <c r="AA2278" s="1" t="s">
        <v>200</v>
      </c>
      <c r="AB2278" s="1" t="s">
        <v>193</v>
      </c>
      <c r="AD2278" s="1" t="s">
        <v>8908</v>
      </c>
      <c r="AE2278" s="1" t="s">
        <v>325</v>
      </c>
      <c r="AF2278" s="1" t="s">
        <v>1632</v>
      </c>
      <c r="AH2278" s="1" t="s">
        <v>21064</v>
      </c>
      <c r="AI2278" s="1">
        <v>15.25</v>
      </c>
      <c r="AK2278" s="1">
        <v>8.0</v>
      </c>
      <c r="AL2278" s="1">
        <v>4.0</v>
      </c>
      <c r="AM2278" s="1">
        <v>3.0</v>
      </c>
      <c r="AN2278" s="1">
        <v>1.0</v>
      </c>
      <c r="AO2278" s="1" t="s">
        <v>198</v>
      </c>
      <c r="AP2278" s="1">
        <v>1.0</v>
      </c>
      <c r="AQ2278" s="1" t="s">
        <v>198</v>
      </c>
      <c r="AR2278" s="1" t="s">
        <v>200</v>
      </c>
      <c r="AS2278" s="1" t="s">
        <v>199</v>
      </c>
      <c r="AT2278" s="1">
        <v>3.0</v>
      </c>
      <c r="AV2278" s="1" t="s">
        <v>200</v>
      </c>
      <c r="AW2278" s="1">
        <v>8982.56</v>
      </c>
      <c r="AX2278" s="1">
        <v>2013.0</v>
      </c>
      <c r="AY2278" s="1" t="s">
        <v>387</v>
      </c>
      <c r="AZ2278" s="1" t="s">
        <v>200</v>
      </c>
      <c r="BA2278" s="1" t="str">
        <f>"0727100005"</f>
        <v>0727100005</v>
      </c>
      <c r="BB2278" s="1" t="s">
        <v>192</v>
      </c>
      <c r="BC2278" s="1">
        <v>3000.0</v>
      </c>
      <c r="BD2278" s="1">
        <v>515000.0</v>
      </c>
      <c r="BE2278" s="2">
        <v>41933.0</v>
      </c>
      <c r="BF2278" s="2" t="s">
        <v>21065</v>
      </c>
      <c r="BH2278" s="1">
        <v>0.0</v>
      </c>
      <c r="BK2278" s="1" t="s">
        <v>204</v>
      </c>
      <c r="BL2278" s="1" t="str">
        <f t="shared" ref="BL2278:BM2278" si="1491">""</f>
        <v/>
      </c>
      <c r="BM2278" s="1" t="str">
        <f t="shared" si="1491"/>
        <v/>
      </c>
      <c r="BQ2278" s="1">
        <v>302.0</v>
      </c>
      <c r="BR2278" s="1">
        <v>302.0</v>
      </c>
      <c r="BS2278" s="1">
        <v>302.0</v>
      </c>
      <c r="BV2278" s="1" t="s">
        <v>204</v>
      </c>
      <c r="BY2278" s="1" t="s">
        <v>616</v>
      </c>
      <c r="BZ2278" s="1" t="s">
        <v>206</v>
      </c>
      <c r="CA2278" s="1" t="s">
        <v>210</v>
      </c>
      <c r="CB2278" s="1" t="s">
        <v>1549</v>
      </c>
      <c r="CC2278" s="1" t="s">
        <v>758</v>
      </c>
      <c r="CD2278" s="1" t="s">
        <v>206</v>
      </c>
      <c r="CE2278" s="1" t="s">
        <v>210</v>
      </c>
      <c r="CF2278" s="1" t="s">
        <v>1549</v>
      </c>
      <c r="CG2278" s="1" t="s">
        <v>924</v>
      </c>
      <c r="CH2278" s="1" t="s">
        <v>209</v>
      </c>
      <c r="CI2278" s="1" t="s">
        <v>210</v>
      </c>
      <c r="CJ2278" s="1" t="s">
        <v>431</v>
      </c>
      <c r="CK2278" s="1" t="s">
        <v>205</v>
      </c>
      <c r="CL2278" s="1" t="s">
        <v>209</v>
      </c>
      <c r="CM2278" s="1" t="s">
        <v>210</v>
      </c>
      <c r="CN2278" s="1" t="s">
        <v>431</v>
      </c>
      <c r="CO2278" s="1" t="s">
        <v>211</v>
      </c>
      <c r="CP2278" s="1" t="s">
        <v>209</v>
      </c>
      <c r="CQ2278" s="1" t="s">
        <v>210</v>
      </c>
      <c r="CR2278" s="1" t="s">
        <v>431</v>
      </c>
      <c r="CS2278" s="1" t="s">
        <v>333</v>
      </c>
      <c r="CT2278" s="1" t="s">
        <v>206</v>
      </c>
      <c r="CU2278" s="1" t="s">
        <v>207</v>
      </c>
      <c r="CV2278" s="1" t="s">
        <v>1549</v>
      </c>
      <c r="CW2278" s="1" t="s">
        <v>1623</v>
      </c>
      <c r="CX2278" s="1" t="s">
        <v>206</v>
      </c>
      <c r="CY2278" s="1" t="s">
        <v>207</v>
      </c>
      <c r="DA2278" s="1" t="s">
        <v>200</v>
      </c>
      <c r="DC2278" s="1" t="s">
        <v>678</v>
      </c>
      <c r="DD2278" s="1" t="s">
        <v>1954</v>
      </c>
      <c r="DE2278" s="1" t="s">
        <v>273</v>
      </c>
      <c r="DF2278" s="1" t="s">
        <v>219</v>
      </c>
      <c r="DG2278" s="1" t="s">
        <v>21066</v>
      </c>
      <c r="DH2278" s="1" t="s">
        <v>856</v>
      </c>
      <c r="DJ2278" s="1" t="s">
        <v>857</v>
      </c>
      <c r="DL2278" s="1" t="s">
        <v>791</v>
      </c>
      <c r="DM2278" s="1" t="s">
        <v>929</v>
      </c>
      <c r="DN2278" s="1" t="s">
        <v>399</v>
      </c>
      <c r="DO2278" s="1" t="s">
        <v>21067</v>
      </c>
      <c r="DP2278" s="1" t="s">
        <v>340</v>
      </c>
      <c r="DQ2278" s="1" t="s">
        <v>8340</v>
      </c>
      <c r="DR2278" s="1" t="s">
        <v>229</v>
      </c>
      <c r="DU2278" s="1" t="s">
        <v>442</v>
      </c>
      <c r="DV2278" s="1" t="s">
        <v>21068</v>
      </c>
      <c r="DW2278" s="1" t="s">
        <v>964</v>
      </c>
      <c r="DX2278" s="1" t="s">
        <v>234</v>
      </c>
      <c r="DY2278" s="1" t="s">
        <v>21069</v>
      </c>
      <c r="DZ2278" s="1" t="s">
        <v>21070</v>
      </c>
      <c r="EA2278" s="1" t="s">
        <v>344</v>
      </c>
      <c r="EB2278" s="1" t="s">
        <v>345</v>
      </c>
      <c r="EC2278" s="1" t="s">
        <v>237</v>
      </c>
      <c r="ED2278" s="1" t="s">
        <v>407</v>
      </c>
      <c r="EG2278" s="1" t="s">
        <v>1102</v>
      </c>
      <c r="EH2278" s="1" t="s">
        <v>2313</v>
      </c>
      <c r="EI2278" s="1" t="s">
        <v>494</v>
      </c>
      <c r="EL2278" s="1" t="s">
        <v>4180</v>
      </c>
      <c r="EM2278" s="1" t="s">
        <v>206</v>
      </c>
      <c r="EN2278" s="1" t="s">
        <v>207</v>
      </c>
      <c r="EP2278" s="1" t="s">
        <v>560</v>
      </c>
      <c r="EQ2278" s="1" t="s">
        <v>206</v>
      </c>
      <c r="ER2278" s="1" t="s">
        <v>268</v>
      </c>
      <c r="ET2278" s="1" t="s">
        <v>433</v>
      </c>
      <c r="EU2278" s="1" t="s">
        <v>206</v>
      </c>
      <c r="EV2278" s="1" t="s">
        <v>210</v>
      </c>
      <c r="EW2278" s="1" t="s">
        <v>1549</v>
      </c>
      <c r="EY2278" s="1" t="s">
        <v>238</v>
      </c>
      <c r="FC2278" s="1" t="s">
        <v>238</v>
      </c>
      <c r="FF2278" s="1" t="s">
        <v>239</v>
      </c>
      <c r="FG2278" s="1" t="s">
        <v>192</v>
      </c>
      <c r="FH2278" s="1" t="s">
        <v>192</v>
      </c>
      <c r="FJ2278" s="1" t="s">
        <v>21071</v>
      </c>
      <c r="FK2278" s="1" t="s">
        <v>229</v>
      </c>
      <c r="FL2278" s="1" t="s">
        <v>456</v>
      </c>
      <c r="FM2278" s="1">
        <v>49.0</v>
      </c>
      <c r="FN2278" s="1" t="s">
        <v>457</v>
      </c>
      <c r="FO2278" s="1" t="s">
        <v>9307</v>
      </c>
      <c r="FP2278" s="1">
        <v>8384.0</v>
      </c>
      <c r="FS2278" s="1" t="s">
        <v>9308</v>
      </c>
      <c r="FU2278" s="1" t="s">
        <v>11242</v>
      </c>
      <c r="FV2278" s="1" t="s">
        <v>200</v>
      </c>
      <c r="FW2278" s="1" t="s">
        <v>290</v>
      </c>
      <c r="FZ2278" s="1" t="s">
        <v>229</v>
      </c>
      <c r="GA2278" s="1" t="s">
        <v>291</v>
      </c>
      <c r="GB2278" s="2">
        <v>41991.0</v>
      </c>
      <c r="GC2278" s="1" t="s">
        <v>21072</v>
      </c>
    </row>
    <row r="2279">
      <c r="A2279" s="1">
        <v>275990.0</v>
      </c>
      <c r="B2279" s="1" t="s">
        <v>185</v>
      </c>
      <c r="C2279" s="1" t="str">
        <f>"08748374"</f>
        <v>08748374</v>
      </c>
      <c r="D2279" s="1" t="s">
        <v>186</v>
      </c>
      <c r="F2279" s="1" t="str">
        <f>"140"</f>
        <v>140</v>
      </c>
      <c r="G2279" s="2">
        <v>41920.0</v>
      </c>
      <c r="H2279" s="1">
        <v>298990.0</v>
      </c>
      <c r="I2279" s="1">
        <v>166.0</v>
      </c>
      <c r="J2279" s="1">
        <v>275990.0</v>
      </c>
      <c r="K2279" s="2">
        <v>42085.0</v>
      </c>
      <c r="L2279" s="1">
        <v>166.0</v>
      </c>
      <c r="M2279" s="2">
        <v>42085.0</v>
      </c>
      <c r="N2279" s="1" t="s">
        <v>187</v>
      </c>
      <c r="O2279" s="2">
        <v>42145.0</v>
      </c>
      <c r="P2279" s="1">
        <v>7842.0</v>
      </c>
      <c r="Q2279" s="1">
        <v>41.0</v>
      </c>
      <c r="S2279" s="1">
        <v>1445.0</v>
      </c>
      <c r="T2279" s="1" t="s">
        <v>12256</v>
      </c>
      <c r="U2279" s="1" t="s">
        <v>569</v>
      </c>
      <c r="V2279" s="1" t="s">
        <v>4858</v>
      </c>
      <c r="W2279" s="1">
        <v>60140.0</v>
      </c>
      <c r="Y2279" s="1" t="s">
        <v>21073</v>
      </c>
      <c r="Z2279" s="1">
        <v>2014.0</v>
      </c>
      <c r="AA2279" s="1" t="s">
        <v>200</v>
      </c>
      <c r="AB2279" s="1" t="s">
        <v>467</v>
      </c>
      <c r="AC2279" s="1" t="s">
        <v>8130</v>
      </c>
      <c r="AD2279" s="1" t="s">
        <v>4860</v>
      </c>
      <c r="AE2279" s="1" t="s">
        <v>325</v>
      </c>
      <c r="AF2279" s="1" t="s">
        <v>3429</v>
      </c>
      <c r="AG2279" s="1" t="s">
        <v>21074</v>
      </c>
      <c r="AH2279" s="1" t="s">
        <v>21075</v>
      </c>
      <c r="AK2279" s="1">
        <v>9.0</v>
      </c>
      <c r="AL2279" s="1">
        <v>4.0</v>
      </c>
      <c r="AM2279" s="1">
        <v>2.0</v>
      </c>
      <c r="AN2279" s="1">
        <v>1.0</v>
      </c>
      <c r="AO2279" s="1" t="s">
        <v>198</v>
      </c>
      <c r="AQ2279" s="1" t="s">
        <v>198</v>
      </c>
      <c r="AR2279" s="1" t="s">
        <v>200</v>
      </c>
      <c r="AS2279" s="1" t="s">
        <v>199</v>
      </c>
      <c r="AT2279" s="1">
        <v>2.0</v>
      </c>
      <c r="AV2279" s="1" t="s">
        <v>200</v>
      </c>
      <c r="AW2279" s="1" t="s">
        <v>575</v>
      </c>
      <c r="AX2279" s="1">
        <v>2013.0</v>
      </c>
      <c r="AZ2279" s="1" t="s">
        <v>200</v>
      </c>
      <c r="BA2279" s="1" t="str">
        <f>"0229326020"</f>
        <v>0229326020</v>
      </c>
      <c r="BC2279" s="1">
        <v>3018.0</v>
      </c>
      <c r="BD2279" s="1">
        <v>275990.0</v>
      </c>
      <c r="BE2279" s="2">
        <v>41920.0</v>
      </c>
      <c r="BF2279" s="2" t="s">
        <v>21076</v>
      </c>
      <c r="BG2279" s="1" t="s">
        <v>6193</v>
      </c>
      <c r="BH2279" s="1">
        <v>62.0</v>
      </c>
      <c r="BI2279" s="1" t="s">
        <v>5040</v>
      </c>
      <c r="BJ2279" s="1" t="s">
        <v>1182</v>
      </c>
      <c r="BK2279" s="1" t="s">
        <v>474</v>
      </c>
      <c r="BL2279" s="1" t="str">
        <f t="shared" ref="BL2279:BM2279" si="1492">""</f>
        <v/>
      </c>
      <c r="BM2279" s="1" t="str">
        <f t="shared" si="1492"/>
        <v/>
      </c>
      <c r="BQ2279" s="1">
        <v>300.0</v>
      </c>
      <c r="BR2279" s="1">
        <v>300.0</v>
      </c>
      <c r="BS2279" s="1">
        <v>300.0</v>
      </c>
      <c r="BU2279" s="1" t="s">
        <v>2224</v>
      </c>
      <c r="BV2279" s="1" t="s">
        <v>206</v>
      </c>
      <c r="BW2279" s="1" t="s">
        <v>210</v>
      </c>
      <c r="BX2279" s="1" t="s">
        <v>229</v>
      </c>
      <c r="BY2279" s="1" t="s">
        <v>676</v>
      </c>
      <c r="BZ2279" s="1" t="s">
        <v>209</v>
      </c>
      <c r="CA2279" s="1" t="s">
        <v>210</v>
      </c>
      <c r="CC2279" s="1" t="s">
        <v>497</v>
      </c>
      <c r="CD2279" s="1" t="s">
        <v>206</v>
      </c>
      <c r="CE2279" s="1" t="s">
        <v>210</v>
      </c>
      <c r="CG2279" s="1" t="s">
        <v>332</v>
      </c>
      <c r="CH2279" s="1" t="s">
        <v>209</v>
      </c>
      <c r="CI2279" s="1" t="s">
        <v>210</v>
      </c>
      <c r="CK2279" s="1" t="s">
        <v>363</v>
      </c>
      <c r="CL2279" s="1" t="s">
        <v>209</v>
      </c>
      <c r="CM2279" s="1" t="s">
        <v>210</v>
      </c>
      <c r="CO2279" s="1" t="s">
        <v>1417</v>
      </c>
      <c r="CP2279" s="1" t="s">
        <v>209</v>
      </c>
      <c r="CQ2279" s="1" t="s">
        <v>210</v>
      </c>
      <c r="CS2279" s="1" t="s">
        <v>262</v>
      </c>
      <c r="CT2279" s="1" t="s">
        <v>206</v>
      </c>
      <c r="CU2279" s="1" t="s">
        <v>207</v>
      </c>
      <c r="CW2279" s="1" t="s">
        <v>2120</v>
      </c>
      <c r="CX2279" s="1" t="s">
        <v>206</v>
      </c>
      <c r="CY2279" s="1" t="s">
        <v>210</v>
      </c>
      <c r="DA2279" s="1" t="s">
        <v>192</v>
      </c>
      <c r="DB2279" s="2">
        <v>41971.0</v>
      </c>
      <c r="DC2279" s="1" t="s">
        <v>1353</v>
      </c>
      <c r="DD2279" s="1" t="s">
        <v>2094</v>
      </c>
      <c r="DE2279" s="1" t="s">
        <v>273</v>
      </c>
      <c r="DF2279" s="1" t="s">
        <v>219</v>
      </c>
      <c r="DG2279" s="1" t="s">
        <v>5454</v>
      </c>
      <c r="DH2279" s="1" t="s">
        <v>220</v>
      </c>
      <c r="DI2279" s="1" t="s">
        <v>2547</v>
      </c>
      <c r="DJ2279" s="1" t="s">
        <v>222</v>
      </c>
      <c r="DK2279" s="1" t="s">
        <v>223</v>
      </c>
      <c r="DL2279" s="1" t="s">
        <v>223</v>
      </c>
      <c r="DM2279" s="1" t="s">
        <v>1022</v>
      </c>
      <c r="DN2279" s="1" t="s">
        <v>485</v>
      </c>
      <c r="DO2279" s="1" t="s">
        <v>440</v>
      </c>
      <c r="DP2279" s="1" t="s">
        <v>340</v>
      </c>
      <c r="DQ2279" s="1" t="s">
        <v>228</v>
      </c>
      <c r="DR2279" s="1" t="s">
        <v>1980</v>
      </c>
      <c r="DS2279" s="1" t="s">
        <v>591</v>
      </c>
      <c r="DT2279" s="1" t="s">
        <v>21077</v>
      </c>
      <c r="DV2279" s="1" t="s">
        <v>449</v>
      </c>
      <c r="DW2279" s="1" t="s">
        <v>233</v>
      </c>
      <c r="DX2279" s="1" t="s">
        <v>234</v>
      </c>
      <c r="DZ2279" s="1" t="s">
        <v>343</v>
      </c>
      <c r="EA2279" s="1" t="s">
        <v>344</v>
      </c>
      <c r="EC2279" s="1" t="s">
        <v>237</v>
      </c>
      <c r="ED2279" s="1" t="s">
        <v>1761</v>
      </c>
      <c r="EE2279" s="1" t="s">
        <v>493</v>
      </c>
      <c r="EG2279" s="1" t="s">
        <v>449</v>
      </c>
      <c r="EL2279" s="1" t="s">
        <v>478</v>
      </c>
      <c r="EM2279" s="1" t="s">
        <v>206</v>
      </c>
      <c r="EN2279" s="1" t="s">
        <v>207</v>
      </c>
      <c r="EQ2279" s="1" t="s">
        <v>238</v>
      </c>
      <c r="EU2279" s="1" t="s">
        <v>238</v>
      </c>
      <c r="EY2279" s="1" t="s">
        <v>238</v>
      </c>
      <c r="FC2279" s="1" t="s">
        <v>238</v>
      </c>
      <c r="FF2279" s="1" t="s">
        <v>239</v>
      </c>
      <c r="FG2279" s="1" t="s">
        <v>192</v>
      </c>
      <c r="FH2279" s="1" t="s">
        <v>192</v>
      </c>
      <c r="FJ2279" s="1" t="s">
        <v>347</v>
      </c>
      <c r="FK2279" s="1" t="s">
        <v>229</v>
      </c>
      <c r="FL2279" s="1" t="s">
        <v>2448</v>
      </c>
      <c r="FM2279" s="1">
        <v>92038.0</v>
      </c>
      <c r="FN2279" s="1" t="s">
        <v>2449</v>
      </c>
      <c r="FO2279" s="1" t="s">
        <v>2450</v>
      </c>
      <c r="FP2279" s="1">
        <v>21137.0</v>
      </c>
      <c r="FQ2279" s="1" t="s">
        <v>2451</v>
      </c>
      <c r="FS2279" s="1" t="s">
        <v>12259</v>
      </c>
      <c r="FT2279" s="1" t="s">
        <v>6199</v>
      </c>
      <c r="FU2279" s="1" t="s">
        <v>21078</v>
      </c>
      <c r="FV2279" s="1" t="s">
        <v>200</v>
      </c>
      <c r="FW2279" s="1" t="s">
        <v>16801</v>
      </c>
      <c r="FZ2279" s="1" t="s">
        <v>229</v>
      </c>
      <c r="GA2279" s="1" t="s">
        <v>291</v>
      </c>
      <c r="GB2279" s="2">
        <v>42148.0</v>
      </c>
      <c r="GC2279" s="1" t="s">
        <v>21079</v>
      </c>
    </row>
    <row r="2280">
      <c r="A2280" s="1">
        <v>240000.0</v>
      </c>
      <c r="B2280" s="1" t="s">
        <v>185</v>
      </c>
      <c r="C2280" s="1" t="str">
        <f>"08745882"</f>
        <v>08745882</v>
      </c>
      <c r="D2280" s="1" t="s">
        <v>186</v>
      </c>
      <c r="F2280" s="1" t="str">
        <f>"123"</f>
        <v>123</v>
      </c>
      <c r="G2280" s="2">
        <v>41918.0</v>
      </c>
      <c r="H2280" s="1">
        <v>283900.0</v>
      </c>
      <c r="I2280" s="1">
        <v>564.0</v>
      </c>
      <c r="J2280" s="1">
        <v>239900.0</v>
      </c>
      <c r="K2280" s="2">
        <v>42002.0</v>
      </c>
      <c r="L2280" s="1">
        <v>85.0</v>
      </c>
      <c r="M2280" s="2">
        <v>42002.0</v>
      </c>
      <c r="N2280" s="1" t="s">
        <v>187</v>
      </c>
      <c r="O2280" s="2">
        <v>42045.0</v>
      </c>
      <c r="P2280" s="1">
        <v>233200.0</v>
      </c>
      <c r="Q2280" s="1">
        <v>21198.0</v>
      </c>
      <c r="S2280" s="1">
        <v>3021.0</v>
      </c>
      <c r="T2280" s="1" t="s">
        <v>21080</v>
      </c>
      <c r="U2280" s="1" t="s">
        <v>189</v>
      </c>
      <c r="V2280" s="1" t="s">
        <v>465</v>
      </c>
      <c r="W2280" s="1">
        <v>60124.0</v>
      </c>
      <c r="Y2280" s="1" t="s">
        <v>21081</v>
      </c>
      <c r="Z2280" s="1">
        <v>2005.0</v>
      </c>
      <c r="AA2280" s="1" t="s">
        <v>200</v>
      </c>
      <c r="AB2280" s="1" t="s">
        <v>467</v>
      </c>
      <c r="AD2280" s="1" t="s">
        <v>469</v>
      </c>
      <c r="AE2280" s="1" t="s">
        <v>325</v>
      </c>
      <c r="AF2280" s="1" t="s">
        <v>469</v>
      </c>
      <c r="AH2280" s="1">
        <v>9587.0</v>
      </c>
      <c r="AK2280" s="1">
        <v>9.0</v>
      </c>
      <c r="AL2280" s="1">
        <v>4.0</v>
      </c>
      <c r="AM2280" s="1">
        <v>2.0</v>
      </c>
      <c r="AN2280" s="1">
        <v>1.0</v>
      </c>
      <c r="AO2280" s="1" t="s">
        <v>198</v>
      </c>
      <c r="AQ2280" s="1" t="s">
        <v>198</v>
      </c>
      <c r="AR2280" s="1" t="s">
        <v>200</v>
      </c>
      <c r="AS2280" s="1" t="s">
        <v>199</v>
      </c>
      <c r="AT2280" s="1">
        <v>2.0</v>
      </c>
      <c r="AV2280" s="1" t="s">
        <v>200</v>
      </c>
      <c r="AW2280" s="1">
        <v>7906.0</v>
      </c>
      <c r="AX2280" s="1">
        <v>2012.0</v>
      </c>
      <c r="AY2280" s="1" t="s">
        <v>387</v>
      </c>
      <c r="AZ2280" s="1" t="s">
        <v>200</v>
      </c>
      <c r="BA2280" s="1" t="str">
        <f>"0617301003"</f>
        <v>0617301003</v>
      </c>
      <c r="BB2280" s="1" t="s">
        <v>200</v>
      </c>
      <c r="BC2280" s="1">
        <v>0.0</v>
      </c>
      <c r="BD2280" s="1">
        <v>240000.0</v>
      </c>
      <c r="BE2280" s="2">
        <v>41918.0</v>
      </c>
      <c r="BF2280" s="2" t="s">
        <v>21082</v>
      </c>
      <c r="BH2280" s="1">
        <v>300.0</v>
      </c>
      <c r="BK2280" s="1" t="s">
        <v>580</v>
      </c>
      <c r="BL2280" s="1" t="str">
        <f t="shared" ref="BL2280:BM2280" si="1493">""</f>
        <v/>
      </c>
      <c r="BM2280" s="1" t="str">
        <f t="shared" si="1493"/>
        <v/>
      </c>
      <c r="BQ2280" s="1">
        <v>301.0</v>
      </c>
      <c r="BR2280" s="1">
        <v>301.0</v>
      </c>
      <c r="BS2280" s="1">
        <v>301.0</v>
      </c>
      <c r="BU2280" s="1" t="s">
        <v>647</v>
      </c>
      <c r="BV2280" s="1" t="s">
        <v>206</v>
      </c>
      <c r="BW2280" s="1" t="s">
        <v>210</v>
      </c>
      <c r="BX2280" s="1" t="s">
        <v>229</v>
      </c>
      <c r="BY2280" s="1" t="s">
        <v>1483</v>
      </c>
      <c r="BZ2280" s="1" t="s">
        <v>209</v>
      </c>
      <c r="CA2280" s="1" t="s">
        <v>210</v>
      </c>
      <c r="CB2280" s="1" t="s">
        <v>229</v>
      </c>
      <c r="CC2280" s="1" t="s">
        <v>454</v>
      </c>
      <c r="CD2280" s="1" t="s">
        <v>206</v>
      </c>
      <c r="CE2280" s="1" t="s">
        <v>210</v>
      </c>
      <c r="CF2280" s="1" t="s">
        <v>229</v>
      </c>
      <c r="CG2280" s="1" t="s">
        <v>497</v>
      </c>
      <c r="CH2280" s="1" t="s">
        <v>209</v>
      </c>
      <c r="CI2280" s="1" t="s">
        <v>210</v>
      </c>
      <c r="CJ2280" s="1" t="s">
        <v>229</v>
      </c>
      <c r="CK2280" s="1" t="s">
        <v>495</v>
      </c>
      <c r="CL2280" s="1" t="s">
        <v>209</v>
      </c>
      <c r="CM2280" s="1" t="s">
        <v>210</v>
      </c>
      <c r="CN2280" s="1" t="s">
        <v>229</v>
      </c>
      <c r="CO2280" s="1" t="s">
        <v>302</v>
      </c>
      <c r="CP2280" s="1" t="s">
        <v>209</v>
      </c>
      <c r="CQ2280" s="1" t="s">
        <v>210</v>
      </c>
      <c r="CR2280" s="1" t="s">
        <v>229</v>
      </c>
      <c r="CS2280" s="1" t="s">
        <v>758</v>
      </c>
      <c r="CT2280" s="1" t="s">
        <v>206</v>
      </c>
      <c r="CU2280" s="1" t="s">
        <v>617</v>
      </c>
      <c r="CV2280" s="1" t="s">
        <v>229</v>
      </c>
      <c r="CW2280" s="1" t="s">
        <v>854</v>
      </c>
      <c r="CX2280" s="1" t="s">
        <v>206</v>
      </c>
      <c r="CY2280" s="1" t="s">
        <v>210</v>
      </c>
      <c r="CZ2280" s="1" t="s">
        <v>229</v>
      </c>
      <c r="DA2280" s="1" t="s">
        <v>200</v>
      </c>
      <c r="DC2280" s="1" t="s">
        <v>481</v>
      </c>
      <c r="DE2280" s="1" t="s">
        <v>273</v>
      </c>
      <c r="DF2280" s="1" t="s">
        <v>219</v>
      </c>
      <c r="DG2280" s="1" t="s">
        <v>337</v>
      </c>
      <c r="DH2280" s="1" t="s">
        <v>220</v>
      </c>
      <c r="DJ2280" s="1" t="s">
        <v>222</v>
      </c>
      <c r="DL2280" s="1" t="s">
        <v>858</v>
      </c>
      <c r="DM2280" s="1" t="s">
        <v>338</v>
      </c>
      <c r="DQ2280" s="1" t="s">
        <v>228</v>
      </c>
      <c r="DR2280" s="1" t="s">
        <v>21083</v>
      </c>
      <c r="DV2280" s="1" t="s">
        <v>449</v>
      </c>
      <c r="DW2280" s="1" t="s">
        <v>233</v>
      </c>
      <c r="DX2280" s="1" t="s">
        <v>234</v>
      </c>
      <c r="DZ2280" s="1" t="s">
        <v>2424</v>
      </c>
      <c r="EA2280" s="1" t="s">
        <v>447</v>
      </c>
      <c r="EC2280" s="1" t="s">
        <v>237</v>
      </c>
      <c r="EG2280" s="1" t="s">
        <v>449</v>
      </c>
      <c r="EL2280" s="1" t="s">
        <v>1229</v>
      </c>
      <c r="EM2280" s="1" t="s">
        <v>206</v>
      </c>
      <c r="EN2280" s="1" t="s">
        <v>617</v>
      </c>
      <c r="EO2280" s="1" t="s">
        <v>229</v>
      </c>
      <c r="EQ2280" s="1" t="s">
        <v>238</v>
      </c>
      <c r="EU2280" s="1" t="s">
        <v>238</v>
      </c>
      <c r="EY2280" s="1" t="s">
        <v>238</v>
      </c>
      <c r="FC2280" s="1" t="s">
        <v>238</v>
      </c>
      <c r="FF2280" s="1" t="s">
        <v>239</v>
      </c>
      <c r="FG2280" s="1" t="s">
        <v>192</v>
      </c>
      <c r="FH2280" s="1" t="s">
        <v>192</v>
      </c>
      <c r="FJ2280" s="1" t="s">
        <v>347</v>
      </c>
      <c r="FK2280" s="1" t="s">
        <v>229</v>
      </c>
      <c r="FL2280" s="1" t="s">
        <v>4635</v>
      </c>
      <c r="FM2280" s="1">
        <v>1666.0</v>
      </c>
      <c r="FN2280" s="1" t="s">
        <v>4636</v>
      </c>
      <c r="FO2280" s="1" t="s">
        <v>4637</v>
      </c>
      <c r="FP2280" s="1">
        <v>26352.0</v>
      </c>
      <c r="FQ2280" s="1" t="s">
        <v>4638</v>
      </c>
      <c r="FU2280" s="1" t="s">
        <v>6536</v>
      </c>
      <c r="FV2280" s="1" t="s">
        <v>200</v>
      </c>
      <c r="FW2280" s="1" t="s">
        <v>354</v>
      </c>
      <c r="FZ2280" s="1" t="s">
        <v>229</v>
      </c>
      <c r="GA2280" s="1" t="s">
        <v>291</v>
      </c>
      <c r="GB2280" s="2">
        <v>42045.0</v>
      </c>
      <c r="GC2280" s="1" t="s">
        <v>21084</v>
      </c>
    </row>
    <row r="2281">
      <c r="A2281" s="1">
        <v>180000.0</v>
      </c>
      <c r="B2281" s="1" t="s">
        <v>185</v>
      </c>
      <c r="C2281" s="1" t="str">
        <f>"08751535"</f>
        <v>08751535</v>
      </c>
      <c r="D2281" s="1" t="s">
        <v>186</v>
      </c>
      <c r="F2281" s="1" t="str">
        <f>"8070"</f>
        <v>8070</v>
      </c>
      <c r="G2281" s="2">
        <v>41925.0</v>
      </c>
      <c r="H2281" s="1">
        <v>199900.0</v>
      </c>
      <c r="I2281" s="1">
        <v>103.0</v>
      </c>
      <c r="J2281" s="1">
        <v>184900.0</v>
      </c>
      <c r="K2281" s="2">
        <v>42027.0</v>
      </c>
      <c r="L2281" s="1">
        <v>103.0</v>
      </c>
      <c r="M2281" s="2">
        <v>42027.0</v>
      </c>
      <c r="N2281" s="1" t="s">
        <v>187</v>
      </c>
      <c r="O2281" s="2">
        <v>42083.0</v>
      </c>
      <c r="P2281" s="1">
        <v>225519.0</v>
      </c>
      <c r="Q2281" s="1">
        <v>60120.0</v>
      </c>
      <c r="S2281" s="1">
        <v>3841.0</v>
      </c>
      <c r="T2281" s="1" t="s">
        <v>21085</v>
      </c>
      <c r="U2281" s="1" t="s">
        <v>694</v>
      </c>
      <c r="V2281" s="1" t="s">
        <v>190</v>
      </c>
      <c r="W2281" s="1">
        <v>60652.0</v>
      </c>
      <c r="Y2281" s="1" t="s">
        <v>21086</v>
      </c>
      <c r="Z2281" s="1">
        <v>1964.0</v>
      </c>
      <c r="AA2281" s="1" t="s">
        <v>192</v>
      </c>
      <c r="AB2281" s="1" t="s">
        <v>193</v>
      </c>
      <c r="AD2281" s="1" t="s">
        <v>194</v>
      </c>
      <c r="AE2281" s="1" t="s">
        <v>195</v>
      </c>
      <c r="AF2281" s="1" t="s">
        <v>659</v>
      </c>
      <c r="AH2281" s="1" t="s">
        <v>2164</v>
      </c>
      <c r="AK2281" s="1">
        <v>7.0</v>
      </c>
      <c r="AL2281" s="1">
        <v>3.0</v>
      </c>
      <c r="AM2281" s="1">
        <v>2.0</v>
      </c>
      <c r="AN2281" s="1">
        <v>0.0</v>
      </c>
      <c r="AO2281" s="1" t="s">
        <v>229</v>
      </c>
      <c r="AQ2281" s="1" t="s">
        <v>198</v>
      </c>
      <c r="AR2281" s="1" t="s">
        <v>192</v>
      </c>
      <c r="AS2281" s="1" t="s">
        <v>199</v>
      </c>
      <c r="AT2281" s="1">
        <v>2.0</v>
      </c>
      <c r="AV2281" s="1" t="s">
        <v>200</v>
      </c>
      <c r="AW2281" s="1">
        <v>1564.86</v>
      </c>
      <c r="AX2281" s="1">
        <v>2013.0</v>
      </c>
      <c r="AY2281" s="1" t="s">
        <v>387</v>
      </c>
      <c r="AZ2281" s="1" t="s">
        <v>200</v>
      </c>
      <c r="BA2281" s="1" t="str">
        <f>"19263060570000"</f>
        <v>19263060570000</v>
      </c>
      <c r="BB2281" s="1" t="s">
        <v>200</v>
      </c>
      <c r="BC2281" s="1">
        <v>943.0</v>
      </c>
      <c r="BD2281" s="1">
        <v>180000.0</v>
      </c>
      <c r="BE2281" s="2">
        <v>41925.0</v>
      </c>
      <c r="BF2281" s="2" t="s">
        <v>21087</v>
      </c>
      <c r="BH2281" s="1">
        <v>0.0</v>
      </c>
      <c r="BK2281" s="1" t="s">
        <v>204</v>
      </c>
      <c r="BL2281" s="1" t="str">
        <f t="shared" ref="BL2281:BM2281" si="1494">"0"</f>
        <v>0</v>
      </c>
      <c r="BM2281" s="1" t="str">
        <f t="shared" si="1494"/>
        <v>0</v>
      </c>
      <c r="BN2281" s="1">
        <v>3800.0</v>
      </c>
      <c r="BO2281" s="1">
        <v>7500.0</v>
      </c>
      <c r="BQ2281" s="1">
        <v>299.0</v>
      </c>
      <c r="BR2281" s="1">
        <v>299.0</v>
      </c>
      <c r="BS2281" s="1">
        <v>299.0</v>
      </c>
      <c r="BU2281" s="1" t="s">
        <v>262</v>
      </c>
      <c r="BV2281" s="1" t="s">
        <v>206</v>
      </c>
      <c r="BW2281" s="1" t="s">
        <v>207</v>
      </c>
      <c r="BY2281" s="1" t="s">
        <v>699</v>
      </c>
      <c r="BZ2281" s="1" t="s">
        <v>206</v>
      </c>
      <c r="CA2281" s="1" t="s">
        <v>210</v>
      </c>
      <c r="CD2281" s="1" t="s">
        <v>204</v>
      </c>
      <c r="CG2281" s="1" t="s">
        <v>495</v>
      </c>
      <c r="CH2281" s="1" t="s">
        <v>206</v>
      </c>
      <c r="CI2281" s="1" t="s">
        <v>210</v>
      </c>
      <c r="CK2281" s="1" t="s">
        <v>495</v>
      </c>
      <c r="CL2281" s="1" t="s">
        <v>206</v>
      </c>
      <c r="CM2281" s="1" t="s">
        <v>207</v>
      </c>
      <c r="CO2281" s="1" t="s">
        <v>332</v>
      </c>
      <c r="CP2281" s="1" t="s">
        <v>42</v>
      </c>
      <c r="CQ2281" s="1" t="s">
        <v>2615</v>
      </c>
      <c r="CS2281" s="1" t="s">
        <v>332</v>
      </c>
      <c r="CT2281" s="1" t="s">
        <v>206</v>
      </c>
      <c r="CU2281" s="1" t="s">
        <v>207</v>
      </c>
      <c r="CW2281" s="1" t="s">
        <v>2749</v>
      </c>
      <c r="CX2281" s="1" t="s">
        <v>42</v>
      </c>
      <c r="CY2281" s="1" t="s">
        <v>2615</v>
      </c>
      <c r="DA2281" s="1" t="s">
        <v>200</v>
      </c>
      <c r="DC2281" s="1" t="s">
        <v>271</v>
      </c>
      <c r="DE2281" s="1" t="s">
        <v>273</v>
      </c>
      <c r="DF2281" s="1" t="s">
        <v>219</v>
      </c>
      <c r="DH2281" s="1" t="s">
        <v>365</v>
      </c>
      <c r="DI2281" s="1" t="s">
        <v>366</v>
      </c>
      <c r="DJ2281" s="1" t="s">
        <v>222</v>
      </c>
      <c r="DL2281" s="1" t="s">
        <v>224</v>
      </c>
      <c r="DM2281" s="1" t="s">
        <v>229</v>
      </c>
      <c r="DQ2281" s="1" t="s">
        <v>718</v>
      </c>
      <c r="DR2281" s="1" t="s">
        <v>229</v>
      </c>
      <c r="DV2281" s="1" t="s">
        <v>4645</v>
      </c>
      <c r="DW2281" s="1" t="s">
        <v>279</v>
      </c>
      <c r="DX2281" s="1" t="s">
        <v>234</v>
      </c>
      <c r="EC2281" s="1" t="s">
        <v>685</v>
      </c>
      <c r="EG2281" s="1" t="s">
        <v>1103</v>
      </c>
      <c r="EH2281" s="1" t="s">
        <v>1270</v>
      </c>
      <c r="EL2281" s="1" t="s">
        <v>1245</v>
      </c>
      <c r="EM2281" s="1" t="s">
        <v>42</v>
      </c>
      <c r="EP2281" s="1" t="s">
        <v>4413</v>
      </c>
      <c r="EQ2281" s="1" t="s">
        <v>42</v>
      </c>
      <c r="EU2281" s="1" t="s">
        <v>238</v>
      </c>
      <c r="EY2281" s="1" t="s">
        <v>238</v>
      </c>
      <c r="FC2281" s="1" t="s">
        <v>238</v>
      </c>
      <c r="FF2281" s="1" t="s">
        <v>239</v>
      </c>
      <c r="FG2281" s="1" t="s">
        <v>192</v>
      </c>
      <c r="FH2281" s="1" t="s">
        <v>192</v>
      </c>
      <c r="FJ2281" s="1" t="s">
        <v>7646</v>
      </c>
      <c r="FK2281" s="1" t="s">
        <v>229</v>
      </c>
      <c r="FL2281" s="1" t="s">
        <v>10232</v>
      </c>
      <c r="FM2281" s="1">
        <v>11009.0</v>
      </c>
      <c r="FN2281" s="1" t="s">
        <v>10233</v>
      </c>
      <c r="FO2281" s="1" t="s">
        <v>13878</v>
      </c>
      <c r="FP2281" s="1">
        <v>155894.0</v>
      </c>
      <c r="FQ2281" s="1" t="s">
        <v>13879</v>
      </c>
      <c r="FU2281" s="1" t="s">
        <v>13880</v>
      </c>
      <c r="FV2281" s="1" t="s">
        <v>192</v>
      </c>
      <c r="FW2281" s="1" t="s">
        <v>290</v>
      </c>
      <c r="FX2281" s="1" t="s">
        <v>246</v>
      </c>
      <c r="FZ2281" s="1" t="s">
        <v>229</v>
      </c>
      <c r="GA2281" s="1" t="s">
        <v>291</v>
      </c>
      <c r="GB2281" s="2">
        <v>42083.0</v>
      </c>
      <c r="GC2281" s="1" t="s">
        <v>13881</v>
      </c>
    </row>
    <row r="2282">
      <c r="A2282" s="1">
        <v>315000.0</v>
      </c>
      <c r="B2282" s="1" t="s">
        <v>185</v>
      </c>
      <c r="C2282" s="1" t="str">
        <f>"08747003"</f>
        <v>08747003</v>
      </c>
      <c r="D2282" s="1" t="s">
        <v>186</v>
      </c>
      <c r="F2282" s="1" t="str">
        <f>"8024"</f>
        <v>8024</v>
      </c>
      <c r="G2282" s="2">
        <v>41919.0</v>
      </c>
      <c r="H2282" s="1">
        <v>375000.0</v>
      </c>
      <c r="I2282" s="1">
        <v>4.0</v>
      </c>
      <c r="J2282" s="1">
        <v>375000.0</v>
      </c>
      <c r="K2282" s="2">
        <v>41922.0</v>
      </c>
      <c r="L2282" s="1">
        <v>4.0</v>
      </c>
      <c r="M2282" s="2">
        <v>41922.0</v>
      </c>
      <c r="N2282" s="1" t="s">
        <v>249</v>
      </c>
      <c r="O2282" s="2">
        <v>41983.0</v>
      </c>
      <c r="P2282" s="1">
        <v>107894.0</v>
      </c>
      <c r="Q2282" s="1">
        <v>10115.0</v>
      </c>
      <c r="S2282" s="1">
        <v>1639.0</v>
      </c>
      <c r="T2282" s="1" t="s">
        <v>9311</v>
      </c>
      <c r="U2282" s="1" t="s">
        <v>189</v>
      </c>
      <c r="V2282" s="1" t="s">
        <v>190</v>
      </c>
      <c r="W2282" s="1">
        <v>60647.0</v>
      </c>
      <c r="Y2282" s="1" t="s">
        <v>21088</v>
      </c>
      <c r="Z2282" s="1">
        <v>1905.0</v>
      </c>
      <c r="AA2282" s="1" t="s">
        <v>192</v>
      </c>
      <c r="AB2282" s="1" t="s">
        <v>193</v>
      </c>
      <c r="AD2282" s="1" t="s">
        <v>194</v>
      </c>
      <c r="AE2282" s="1" t="s">
        <v>195</v>
      </c>
      <c r="AF2282" s="1" t="s">
        <v>2645</v>
      </c>
      <c r="AH2282" s="1" t="s">
        <v>359</v>
      </c>
      <c r="AK2282" s="1">
        <v>7.0</v>
      </c>
      <c r="AL2282" s="1">
        <v>4.0</v>
      </c>
      <c r="AM2282" s="1">
        <v>2.0</v>
      </c>
      <c r="AN2282" s="1">
        <v>0.0</v>
      </c>
      <c r="AO2282" s="1" t="s">
        <v>229</v>
      </c>
      <c r="AQ2282" s="1" t="s">
        <v>229</v>
      </c>
      <c r="AS2282" s="1" t="s">
        <v>199</v>
      </c>
      <c r="AT2282" s="1">
        <v>2.0</v>
      </c>
      <c r="AV2282" s="1" t="s">
        <v>200</v>
      </c>
      <c r="AW2282" s="1">
        <v>6832.0</v>
      </c>
      <c r="AX2282" s="1">
        <v>2013.0</v>
      </c>
      <c r="AY2282" s="1" t="s">
        <v>229</v>
      </c>
      <c r="AZ2282" s="1" t="s">
        <v>200</v>
      </c>
      <c r="BA2282" s="1" t="str">
        <f>"13364310080000"</f>
        <v>13364310080000</v>
      </c>
      <c r="BC2282" s="1">
        <v>2000.0</v>
      </c>
      <c r="BD2282" s="1">
        <v>315000.0</v>
      </c>
      <c r="BE2282" s="2">
        <v>41919.0</v>
      </c>
      <c r="BF2282" s="2" t="s">
        <v>21089</v>
      </c>
      <c r="BH2282" s="1">
        <v>0.0</v>
      </c>
      <c r="BK2282" s="1" t="s">
        <v>204</v>
      </c>
      <c r="BL2282" s="1" t="str">
        <f>"1639"</f>
        <v>1639</v>
      </c>
      <c r="BM2282" s="1" t="str">
        <f>"0"</f>
        <v>0</v>
      </c>
      <c r="BN2282" s="1">
        <v>2500.0</v>
      </c>
      <c r="BO2282" s="1">
        <v>0.0</v>
      </c>
      <c r="BQ2282" s="1">
        <v>299.0</v>
      </c>
      <c r="BR2282" s="1">
        <v>299.0</v>
      </c>
      <c r="BS2282" s="1">
        <v>299.0</v>
      </c>
      <c r="BU2282" s="1" t="s">
        <v>1426</v>
      </c>
      <c r="BV2282" s="1" t="s">
        <v>206</v>
      </c>
      <c r="BW2282" s="1" t="s">
        <v>207</v>
      </c>
      <c r="BY2282" s="1" t="s">
        <v>434</v>
      </c>
      <c r="BZ2282" s="1" t="s">
        <v>209</v>
      </c>
      <c r="CA2282" s="1" t="s">
        <v>207</v>
      </c>
      <c r="CC2282" s="1" t="s">
        <v>700</v>
      </c>
      <c r="CD2282" s="1" t="s">
        <v>206</v>
      </c>
      <c r="CE2282" s="1" t="s">
        <v>207</v>
      </c>
      <c r="CG2282" s="1" t="s">
        <v>1352</v>
      </c>
      <c r="CH2282" s="1" t="s">
        <v>209</v>
      </c>
      <c r="CI2282" s="1" t="s">
        <v>207</v>
      </c>
      <c r="CK2282" s="1" t="s">
        <v>302</v>
      </c>
      <c r="CL2282" s="1" t="s">
        <v>209</v>
      </c>
      <c r="CM2282" s="1" t="s">
        <v>207</v>
      </c>
      <c r="CO2282" s="1" t="s">
        <v>363</v>
      </c>
      <c r="CP2282" s="1" t="s">
        <v>206</v>
      </c>
      <c r="CQ2282" s="1" t="s">
        <v>207</v>
      </c>
      <c r="CS2282" s="1" t="s">
        <v>1426</v>
      </c>
      <c r="CT2282" s="1" t="s">
        <v>206</v>
      </c>
      <c r="CU2282" s="1" t="s">
        <v>207</v>
      </c>
      <c r="CX2282" s="1" t="s">
        <v>204</v>
      </c>
      <c r="DA2282" s="1" t="s">
        <v>200</v>
      </c>
      <c r="DC2282" s="1" t="s">
        <v>642</v>
      </c>
      <c r="DD2282" s="1" t="s">
        <v>7914</v>
      </c>
      <c r="DE2282" s="1" t="s">
        <v>273</v>
      </c>
      <c r="DF2282" s="1" t="s">
        <v>219</v>
      </c>
      <c r="DH2282" s="1" t="s">
        <v>220</v>
      </c>
      <c r="DI2282" s="1" t="s">
        <v>21090</v>
      </c>
      <c r="DJ2282" s="1" t="s">
        <v>222</v>
      </c>
      <c r="DL2282" s="1" t="s">
        <v>229</v>
      </c>
      <c r="DM2282" s="1" t="s">
        <v>229</v>
      </c>
      <c r="DP2282" s="1" t="s">
        <v>340</v>
      </c>
      <c r="DQ2282" s="1" t="s">
        <v>718</v>
      </c>
      <c r="DR2282" s="1" t="s">
        <v>229</v>
      </c>
      <c r="DS2282" s="1" t="s">
        <v>277</v>
      </c>
      <c r="DV2282" s="1" t="s">
        <v>310</v>
      </c>
      <c r="DW2282" s="1" t="s">
        <v>667</v>
      </c>
      <c r="DX2282" s="1" t="s">
        <v>234</v>
      </c>
      <c r="EC2282" s="1" t="s">
        <v>237</v>
      </c>
      <c r="EG2282" s="1" t="s">
        <v>310</v>
      </c>
      <c r="EL2282" s="1" t="s">
        <v>454</v>
      </c>
      <c r="EM2282" s="1" t="s">
        <v>206</v>
      </c>
      <c r="EN2282" s="1" t="s">
        <v>301</v>
      </c>
      <c r="EQ2282" s="1" t="s">
        <v>238</v>
      </c>
      <c r="EU2282" s="1" t="s">
        <v>238</v>
      </c>
      <c r="EY2282" s="1" t="s">
        <v>238</v>
      </c>
      <c r="FC2282" s="1" t="s">
        <v>238</v>
      </c>
      <c r="FF2282" s="1" t="s">
        <v>239</v>
      </c>
      <c r="FG2282" s="1" t="s">
        <v>192</v>
      </c>
      <c r="FH2282" s="1" t="s">
        <v>192</v>
      </c>
      <c r="FJ2282" s="1" t="s">
        <v>2285</v>
      </c>
      <c r="FK2282" s="1" t="s">
        <v>229</v>
      </c>
      <c r="FL2282" s="1" t="s">
        <v>1358</v>
      </c>
      <c r="FM2282" s="1">
        <v>10115.0</v>
      </c>
      <c r="FN2282" s="1" t="s">
        <v>2286</v>
      </c>
      <c r="FO2282" s="1" t="s">
        <v>21091</v>
      </c>
      <c r="FP2282" s="1">
        <v>107894.0</v>
      </c>
      <c r="FQ2282" s="1" t="s">
        <v>21092</v>
      </c>
      <c r="FU2282" s="1" t="s">
        <v>21093</v>
      </c>
      <c r="FV2282" s="1" t="s">
        <v>200</v>
      </c>
      <c r="FW2282" s="1" t="s">
        <v>567</v>
      </c>
      <c r="FX2282" s="1" t="s">
        <v>238</v>
      </c>
      <c r="FZ2282" s="1" t="s">
        <v>229</v>
      </c>
      <c r="GA2282" s="1" t="s">
        <v>291</v>
      </c>
      <c r="GB2282" s="2">
        <v>41983.0</v>
      </c>
    </row>
    <row r="2283">
      <c r="A2283" s="1">
        <v>490000.0</v>
      </c>
      <c r="B2283" s="1" t="s">
        <v>185</v>
      </c>
      <c r="C2283" s="1" t="str">
        <f>"08749813"</f>
        <v>08749813</v>
      </c>
      <c r="D2283" s="1" t="s">
        <v>186</v>
      </c>
      <c r="F2283" s="1" t="str">
        <f>"10"</f>
        <v>10</v>
      </c>
      <c r="G2283" s="2">
        <v>41922.0</v>
      </c>
      <c r="H2283" s="1">
        <v>549000.0</v>
      </c>
      <c r="I2283" s="1">
        <v>89.0</v>
      </c>
      <c r="J2283" s="1">
        <v>499000.0</v>
      </c>
      <c r="K2283" s="2">
        <v>42010.0</v>
      </c>
      <c r="L2283" s="1">
        <v>89.0</v>
      </c>
      <c r="M2283" s="2">
        <v>42010.0</v>
      </c>
      <c r="N2283" s="1" t="s">
        <v>187</v>
      </c>
      <c r="O2283" s="2">
        <v>42082.0</v>
      </c>
      <c r="P2283" s="1">
        <v>37702.0</v>
      </c>
      <c r="Q2283" s="1">
        <v>6022.0</v>
      </c>
      <c r="S2283" s="1">
        <v>641.0</v>
      </c>
      <c r="T2283" s="1" t="s">
        <v>21094</v>
      </c>
      <c r="U2283" s="1" t="s">
        <v>569</v>
      </c>
      <c r="V2283" s="1" t="s">
        <v>11837</v>
      </c>
      <c r="W2283" s="1">
        <v>60010.0</v>
      </c>
      <c r="Y2283" s="1" t="s">
        <v>21095</v>
      </c>
      <c r="Z2283" s="1">
        <v>1988.0</v>
      </c>
      <c r="AA2283" s="1" t="s">
        <v>200</v>
      </c>
      <c r="AB2283" s="1" t="s">
        <v>193</v>
      </c>
      <c r="AC2283" s="1" t="s">
        <v>11839</v>
      </c>
      <c r="AD2283" s="1" t="s">
        <v>1948</v>
      </c>
      <c r="AE2283" s="1" t="s">
        <v>917</v>
      </c>
      <c r="AF2283" s="1" t="s">
        <v>2008</v>
      </c>
      <c r="AG2283" s="1" t="s">
        <v>752</v>
      </c>
      <c r="AH2283" s="1" t="s">
        <v>21096</v>
      </c>
      <c r="AI2283" s="1">
        <v>1.019</v>
      </c>
      <c r="AK2283" s="1">
        <v>8.0</v>
      </c>
      <c r="AL2283" s="1">
        <v>4.0</v>
      </c>
      <c r="AM2283" s="1">
        <v>4.0</v>
      </c>
      <c r="AN2283" s="1">
        <v>1.0</v>
      </c>
      <c r="AO2283" s="1" t="s">
        <v>198</v>
      </c>
      <c r="AP2283" s="1">
        <v>3.0</v>
      </c>
      <c r="AQ2283" s="1" t="s">
        <v>198</v>
      </c>
      <c r="AR2283" s="1" t="s">
        <v>192</v>
      </c>
      <c r="AS2283" s="1" t="s">
        <v>199</v>
      </c>
      <c r="AT2283" s="1">
        <v>3.0</v>
      </c>
      <c r="AV2283" s="1" t="s">
        <v>192</v>
      </c>
      <c r="AW2283" s="1">
        <v>14546.65</v>
      </c>
      <c r="AX2283" s="1">
        <v>2012.0</v>
      </c>
      <c r="AZ2283" s="1" t="s">
        <v>192</v>
      </c>
      <c r="BA2283" s="1" t="str">
        <f>"13021070080000"</f>
        <v>13021070080000</v>
      </c>
      <c r="BC2283" s="1">
        <v>2779.0</v>
      </c>
      <c r="BD2283" s="1">
        <v>490000.0</v>
      </c>
      <c r="BE2283" s="2">
        <v>41922.0</v>
      </c>
      <c r="BF2283" s="2" t="s">
        <v>21097</v>
      </c>
      <c r="BG2283" s="1" t="s">
        <v>2011</v>
      </c>
      <c r="BH2283" s="1">
        <v>385.0</v>
      </c>
      <c r="BI2283" s="1" t="s">
        <v>2012</v>
      </c>
      <c r="BJ2283" s="1" t="s">
        <v>1714</v>
      </c>
      <c r="BK2283" s="1" t="s">
        <v>580</v>
      </c>
      <c r="BL2283" s="1" t="str">
        <f>"24"</f>
        <v>24</v>
      </c>
      <c r="BM2283" s="1" t="str">
        <f>""</f>
        <v/>
      </c>
      <c r="BN2283" s="1">
        <v>26.0</v>
      </c>
      <c r="BQ2283" s="1">
        <v>220.0</v>
      </c>
      <c r="BR2283" s="1">
        <v>220.0</v>
      </c>
      <c r="BS2283" s="1">
        <v>220.0</v>
      </c>
      <c r="BV2283" s="1" t="s">
        <v>204</v>
      </c>
      <c r="BY2283" s="1" t="s">
        <v>2749</v>
      </c>
      <c r="BZ2283" s="1" t="s">
        <v>267</v>
      </c>
      <c r="CA2283" s="1" t="s">
        <v>210</v>
      </c>
      <c r="CC2283" s="1" t="s">
        <v>434</v>
      </c>
      <c r="CD2283" s="1" t="s">
        <v>206</v>
      </c>
      <c r="CE2283" s="1" t="s">
        <v>207</v>
      </c>
      <c r="CG2283" s="1" t="s">
        <v>260</v>
      </c>
      <c r="CH2283" s="1" t="s">
        <v>206</v>
      </c>
      <c r="CI2283" s="1" t="s">
        <v>210</v>
      </c>
      <c r="CK2283" s="1" t="s">
        <v>260</v>
      </c>
      <c r="CL2283" s="1" t="s">
        <v>206</v>
      </c>
      <c r="CM2283" s="1" t="s">
        <v>210</v>
      </c>
      <c r="CO2283" s="1" t="s">
        <v>1825</v>
      </c>
      <c r="CP2283" s="1" t="s">
        <v>206</v>
      </c>
      <c r="CQ2283" s="1" t="s">
        <v>210</v>
      </c>
      <c r="CS2283" s="1" t="s">
        <v>1535</v>
      </c>
      <c r="CT2283" s="1" t="s">
        <v>206</v>
      </c>
      <c r="CU2283" s="1" t="s">
        <v>268</v>
      </c>
      <c r="CW2283" s="1" t="s">
        <v>21098</v>
      </c>
      <c r="CX2283" s="1" t="s">
        <v>267</v>
      </c>
      <c r="CY2283" s="1" t="s">
        <v>210</v>
      </c>
      <c r="DA2283" s="1" t="s">
        <v>200</v>
      </c>
      <c r="DC2283" s="1" t="s">
        <v>305</v>
      </c>
      <c r="DD2283" s="1" t="s">
        <v>336</v>
      </c>
      <c r="DE2283" s="1" t="s">
        <v>273</v>
      </c>
      <c r="DF2283" s="1" t="s">
        <v>219</v>
      </c>
      <c r="DH2283" s="1" t="s">
        <v>856</v>
      </c>
      <c r="DI2283" s="1" t="s">
        <v>1813</v>
      </c>
      <c r="DJ2283" s="1" t="s">
        <v>857</v>
      </c>
      <c r="DL2283" s="1" t="s">
        <v>224</v>
      </c>
      <c r="DM2283" s="1" t="s">
        <v>338</v>
      </c>
      <c r="DO2283" s="1" t="s">
        <v>440</v>
      </c>
      <c r="DP2283" s="1" t="s">
        <v>340</v>
      </c>
      <c r="DQ2283" s="1" t="s">
        <v>931</v>
      </c>
      <c r="DR2283" s="1" t="s">
        <v>588</v>
      </c>
      <c r="DU2283" s="1" t="s">
        <v>21099</v>
      </c>
      <c r="DV2283" s="1" t="s">
        <v>21100</v>
      </c>
      <c r="DW2283" s="1" t="s">
        <v>964</v>
      </c>
      <c r="DX2283" s="1" t="s">
        <v>234</v>
      </c>
      <c r="DY2283" s="1" t="s">
        <v>21101</v>
      </c>
      <c r="DZ2283" s="1" t="s">
        <v>21102</v>
      </c>
      <c r="EA2283" s="1" t="s">
        <v>1027</v>
      </c>
      <c r="EB2283" s="1" t="s">
        <v>937</v>
      </c>
      <c r="EC2283" s="1" t="s">
        <v>237</v>
      </c>
      <c r="EG2283" s="1" t="s">
        <v>408</v>
      </c>
      <c r="EH2283" s="1" t="s">
        <v>1164</v>
      </c>
      <c r="EL2283" s="1" t="s">
        <v>647</v>
      </c>
      <c r="EM2283" s="1" t="s">
        <v>206</v>
      </c>
      <c r="EN2283" s="1" t="s">
        <v>207</v>
      </c>
      <c r="EP2283" s="1" t="s">
        <v>477</v>
      </c>
      <c r="EQ2283" s="1" t="s">
        <v>206</v>
      </c>
      <c r="ER2283" s="1" t="s">
        <v>210</v>
      </c>
      <c r="EU2283" s="1" t="s">
        <v>238</v>
      </c>
      <c r="EY2283" s="1" t="s">
        <v>238</v>
      </c>
      <c r="FC2283" s="1" t="s">
        <v>238</v>
      </c>
      <c r="FF2283" s="1" t="s">
        <v>239</v>
      </c>
      <c r="FG2283" s="1" t="s">
        <v>200</v>
      </c>
      <c r="FH2283" s="1" t="s">
        <v>192</v>
      </c>
      <c r="FJ2283" s="1" t="s">
        <v>14504</v>
      </c>
      <c r="FK2283" s="1" t="s">
        <v>229</v>
      </c>
      <c r="FL2283" s="1" t="s">
        <v>819</v>
      </c>
      <c r="FM2283" s="1">
        <v>6267.0</v>
      </c>
      <c r="FN2283" s="1" t="s">
        <v>820</v>
      </c>
      <c r="FO2283" s="1" t="s">
        <v>14505</v>
      </c>
      <c r="FP2283" s="1">
        <v>62448.0</v>
      </c>
      <c r="FQ2283" s="1" t="s">
        <v>14506</v>
      </c>
      <c r="FS2283" s="1" t="s">
        <v>14507</v>
      </c>
      <c r="FU2283" s="1" t="s">
        <v>21103</v>
      </c>
      <c r="FV2283" s="1" t="s">
        <v>200</v>
      </c>
      <c r="FW2283" s="1" t="s">
        <v>290</v>
      </c>
      <c r="FZ2283" s="1" t="s">
        <v>229</v>
      </c>
      <c r="GA2283" s="1" t="s">
        <v>291</v>
      </c>
      <c r="GB2283" s="2">
        <v>42083.0</v>
      </c>
      <c r="GC2283" s="1" t="s">
        <v>21104</v>
      </c>
    </row>
    <row r="2284">
      <c r="A2284" s="1">
        <v>245100.0</v>
      </c>
      <c r="B2284" s="1" t="s">
        <v>185</v>
      </c>
      <c r="C2284" s="1" t="str">
        <f>"08751755"</f>
        <v>08751755</v>
      </c>
      <c r="D2284" s="1" t="s">
        <v>186</v>
      </c>
      <c r="F2284" s="1" t="str">
        <f>"123"</f>
        <v>123</v>
      </c>
      <c r="G2284" s="2">
        <v>41925.0</v>
      </c>
      <c r="H2284" s="1">
        <v>260000.0</v>
      </c>
      <c r="I2284" s="1">
        <v>57.0</v>
      </c>
      <c r="J2284" s="1">
        <v>249900.0</v>
      </c>
      <c r="K2284" s="2">
        <v>41981.0</v>
      </c>
      <c r="L2284" s="1">
        <v>57.0</v>
      </c>
      <c r="M2284" s="2">
        <v>41981.0</v>
      </c>
      <c r="N2284" s="1" t="s">
        <v>249</v>
      </c>
      <c r="O2284" s="2">
        <v>42003.0</v>
      </c>
      <c r="P2284" s="1">
        <v>601822.0</v>
      </c>
      <c r="Q2284" s="1">
        <v>24945.0</v>
      </c>
      <c r="S2284" s="1">
        <v>405.0</v>
      </c>
      <c r="T2284" s="1" t="s">
        <v>463</v>
      </c>
      <c r="U2284" s="1" t="s">
        <v>569</v>
      </c>
      <c r="V2284" s="1" t="s">
        <v>465</v>
      </c>
      <c r="W2284" s="1">
        <v>60123.0</v>
      </c>
      <c r="Y2284" s="1" t="s">
        <v>21105</v>
      </c>
      <c r="Z2284" s="1">
        <v>2005.0</v>
      </c>
      <c r="AA2284" s="1" t="s">
        <v>200</v>
      </c>
      <c r="AB2284" s="1" t="s">
        <v>193</v>
      </c>
      <c r="AD2284" s="1" t="s">
        <v>469</v>
      </c>
      <c r="AE2284" s="1" t="s">
        <v>325</v>
      </c>
      <c r="AF2284" s="1" t="s">
        <v>572</v>
      </c>
      <c r="AH2284" s="1" t="s">
        <v>5314</v>
      </c>
      <c r="AI2284" s="1">
        <v>0.25</v>
      </c>
      <c r="AK2284" s="1">
        <v>8.0</v>
      </c>
      <c r="AL2284" s="1">
        <v>4.0</v>
      </c>
      <c r="AM2284" s="1">
        <v>2.0</v>
      </c>
      <c r="AN2284" s="1">
        <v>1.0</v>
      </c>
      <c r="AO2284" s="1" t="s">
        <v>2068</v>
      </c>
      <c r="AQ2284" s="1" t="s">
        <v>198</v>
      </c>
      <c r="AR2284" s="1" t="s">
        <v>200</v>
      </c>
      <c r="AS2284" s="1" t="s">
        <v>199</v>
      </c>
      <c r="AT2284" s="1">
        <v>3.0</v>
      </c>
      <c r="AV2284" s="1" t="s">
        <v>200</v>
      </c>
      <c r="AW2284" s="1">
        <v>10699.52</v>
      </c>
      <c r="AX2284" s="1">
        <v>2012.0</v>
      </c>
      <c r="AZ2284" s="1" t="s">
        <v>200</v>
      </c>
      <c r="BA2284" s="1" t="str">
        <f>"0524453001"</f>
        <v>0524453001</v>
      </c>
      <c r="BC2284" s="1">
        <v>3606.0</v>
      </c>
      <c r="BD2284" s="1">
        <v>245100.0</v>
      </c>
      <c r="BE2284" s="2">
        <v>41925.0</v>
      </c>
      <c r="BF2284" s="2" t="s">
        <v>21106</v>
      </c>
      <c r="BH2284" s="1">
        <v>35.0</v>
      </c>
      <c r="BK2284" s="1" t="s">
        <v>474</v>
      </c>
      <c r="BL2284" s="1" t="str">
        <f t="shared" ref="BL2284:BM2284" si="1495">""</f>
        <v/>
      </c>
      <c r="BM2284" s="1" t="str">
        <f t="shared" si="1495"/>
        <v/>
      </c>
      <c r="BQ2284" s="1">
        <v>301.0</v>
      </c>
      <c r="BR2284" s="1">
        <v>301.0</v>
      </c>
      <c r="BS2284" s="1">
        <v>301.0</v>
      </c>
      <c r="BU2284" s="1" t="s">
        <v>1064</v>
      </c>
      <c r="BV2284" s="1" t="s">
        <v>206</v>
      </c>
      <c r="BY2284" s="1" t="s">
        <v>782</v>
      </c>
      <c r="BZ2284" s="1" t="s">
        <v>209</v>
      </c>
      <c r="CC2284" s="1" t="s">
        <v>300</v>
      </c>
      <c r="CD2284" s="1" t="s">
        <v>206</v>
      </c>
      <c r="CG2284" s="1" t="s">
        <v>454</v>
      </c>
      <c r="CH2284" s="1" t="s">
        <v>209</v>
      </c>
      <c r="CK2284" s="1" t="s">
        <v>433</v>
      </c>
      <c r="CL2284" s="1" t="s">
        <v>209</v>
      </c>
      <c r="CO2284" s="1" t="s">
        <v>212</v>
      </c>
      <c r="CP2284" s="1" t="s">
        <v>209</v>
      </c>
      <c r="CS2284" s="1" t="s">
        <v>262</v>
      </c>
      <c r="CT2284" s="1" t="s">
        <v>206</v>
      </c>
      <c r="CW2284" s="1" t="s">
        <v>2224</v>
      </c>
      <c r="CX2284" s="1" t="s">
        <v>206</v>
      </c>
      <c r="DA2284" s="1" t="s">
        <v>200</v>
      </c>
      <c r="DC2284" s="1" t="s">
        <v>481</v>
      </c>
      <c r="DE2284" s="1" t="s">
        <v>273</v>
      </c>
      <c r="DF2284" s="1" t="s">
        <v>619</v>
      </c>
      <c r="DH2284" s="1" t="s">
        <v>220</v>
      </c>
      <c r="DJ2284" s="1" t="s">
        <v>222</v>
      </c>
      <c r="DL2284" s="1" t="s">
        <v>223</v>
      </c>
      <c r="DM2284" s="1" t="s">
        <v>229</v>
      </c>
      <c r="DQ2284" s="1" t="s">
        <v>228</v>
      </c>
      <c r="DR2284" s="1" t="s">
        <v>588</v>
      </c>
      <c r="DV2284" s="1" t="s">
        <v>232</v>
      </c>
      <c r="DW2284" s="1" t="s">
        <v>233</v>
      </c>
      <c r="DX2284" s="1" t="s">
        <v>234</v>
      </c>
      <c r="EC2284" s="1" t="s">
        <v>237</v>
      </c>
      <c r="EE2284" s="1" t="s">
        <v>1960</v>
      </c>
      <c r="EM2284" s="1" t="s">
        <v>238</v>
      </c>
      <c r="EQ2284" s="1" t="s">
        <v>238</v>
      </c>
      <c r="EU2284" s="1" t="s">
        <v>238</v>
      </c>
      <c r="EY2284" s="1" t="s">
        <v>238</v>
      </c>
      <c r="FC2284" s="1" t="s">
        <v>238</v>
      </c>
      <c r="FF2284" s="1" t="s">
        <v>239</v>
      </c>
      <c r="FG2284" s="1" t="s">
        <v>192</v>
      </c>
      <c r="FH2284" s="1" t="s">
        <v>192</v>
      </c>
      <c r="FJ2284" s="1" t="s">
        <v>2156</v>
      </c>
      <c r="FK2284" s="1" t="s">
        <v>229</v>
      </c>
      <c r="FL2284" s="1" t="s">
        <v>3443</v>
      </c>
      <c r="FM2284" s="1">
        <v>8658.0</v>
      </c>
      <c r="FN2284" s="1" t="s">
        <v>3444</v>
      </c>
      <c r="FO2284" s="1" t="s">
        <v>3445</v>
      </c>
      <c r="FP2284" s="1">
        <v>84760.0</v>
      </c>
      <c r="FQ2284" s="1" t="s">
        <v>3444</v>
      </c>
      <c r="FS2284" s="1" t="s">
        <v>21107</v>
      </c>
      <c r="FU2284" s="1" t="s">
        <v>21108</v>
      </c>
      <c r="FV2284" s="1" t="s">
        <v>200</v>
      </c>
      <c r="FW2284" s="1" t="s">
        <v>290</v>
      </c>
      <c r="FZ2284" s="1" t="s">
        <v>229</v>
      </c>
      <c r="GA2284" s="1" t="s">
        <v>291</v>
      </c>
      <c r="GB2284" s="2">
        <v>42027.0</v>
      </c>
      <c r="GC2284" s="1" t="s">
        <v>21109</v>
      </c>
    </row>
    <row r="2285">
      <c r="A2285" s="1">
        <v>148000.0</v>
      </c>
      <c r="B2285" s="1" t="s">
        <v>185</v>
      </c>
      <c r="C2285" s="1" t="str">
        <f>"08748103"</f>
        <v>08748103</v>
      </c>
      <c r="D2285" s="1" t="s">
        <v>186</v>
      </c>
      <c r="F2285" s="1" t="str">
        <f>"8065"</f>
        <v>8065</v>
      </c>
      <c r="G2285" s="2">
        <v>41920.0</v>
      </c>
      <c r="H2285" s="1">
        <v>149900.0</v>
      </c>
      <c r="I2285" s="1">
        <v>17.0</v>
      </c>
      <c r="J2285" s="1">
        <v>149900.0</v>
      </c>
      <c r="K2285" s="2">
        <v>41936.0</v>
      </c>
      <c r="L2285" s="1">
        <v>17.0</v>
      </c>
      <c r="M2285" s="2">
        <v>41936.0</v>
      </c>
      <c r="N2285" s="1" t="s">
        <v>356</v>
      </c>
      <c r="O2285" s="2">
        <v>41976.0</v>
      </c>
      <c r="P2285" s="1">
        <v>105748.0</v>
      </c>
      <c r="Q2285" s="1">
        <v>11047.0</v>
      </c>
      <c r="S2285" s="1">
        <v>7057.0</v>
      </c>
      <c r="T2285" s="1" t="s">
        <v>9553</v>
      </c>
      <c r="U2285" s="1" t="s">
        <v>320</v>
      </c>
      <c r="V2285" s="1" t="s">
        <v>190</v>
      </c>
      <c r="W2285" s="1">
        <v>60638.0</v>
      </c>
      <c r="X2285" s="1">
        <v>5908.0</v>
      </c>
      <c r="Y2285" s="1" t="s">
        <v>21110</v>
      </c>
      <c r="Z2285" s="1">
        <v>1968.0</v>
      </c>
      <c r="AA2285" s="1" t="s">
        <v>192</v>
      </c>
      <c r="AB2285" s="1" t="s">
        <v>193</v>
      </c>
      <c r="AD2285" s="1" t="s">
        <v>1089</v>
      </c>
      <c r="AE2285" s="1" t="s">
        <v>195</v>
      </c>
      <c r="AF2285" s="1" t="s">
        <v>1154</v>
      </c>
      <c r="AG2285" s="1" t="s">
        <v>21111</v>
      </c>
      <c r="AH2285" s="1" t="s">
        <v>21112</v>
      </c>
      <c r="AI2285" s="1">
        <v>0.0807</v>
      </c>
      <c r="AK2285" s="1">
        <v>8.0</v>
      </c>
      <c r="AL2285" s="1">
        <v>4.0</v>
      </c>
      <c r="AM2285" s="1">
        <v>1.0</v>
      </c>
      <c r="AN2285" s="1">
        <v>1.0</v>
      </c>
      <c r="AO2285" s="1" t="s">
        <v>3903</v>
      </c>
      <c r="AQ2285" s="1" t="s">
        <v>1314</v>
      </c>
      <c r="AR2285" s="1" t="s">
        <v>200</v>
      </c>
      <c r="AS2285" s="1" t="s">
        <v>828</v>
      </c>
      <c r="AU2285" s="1">
        <v>2.0</v>
      </c>
      <c r="AV2285" s="1" t="s">
        <v>200</v>
      </c>
      <c r="AW2285" s="1">
        <v>3493.07</v>
      </c>
      <c r="AX2285" s="1">
        <v>2013.0</v>
      </c>
      <c r="AY2285" s="1" t="s">
        <v>229</v>
      </c>
      <c r="AZ2285" s="1" t="s">
        <v>200</v>
      </c>
      <c r="BA2285" s="1" t="str">
        <f>"19301050260000"</f>
        <v>19301050260000</v>
      </c>
      <c r="BB2285" s="1" t="s">
        <v>200</v>
      </c>
      <c r="BC2285" s="1">
        <v>1167.0</v>
      </c>
      <c r="BD2285" s="1">
        <v>148000.0</v>
      </c>
      <c r="BE2285" s="2">
        <v>41920.0</v>
      </c>
      <c r="BF2285" s="1" t="s">
        <v>21113</v>
      </c>
      <c r="BH2285" s="1">
        <v>0.0</v>
      </c>
      <c r="BK2285" s="1" t="s">
        <v>204</v>
      </c>
      <c r="BL2285" s="1" t="str">
        <f t="shared" ref="BL2285:BM2285" si="1496">"0"</f>
        <v>0</v>
      </c>
      <c r="BM2285" s="1" t="str">
        <f t="shared" si="1496"/>
        <v>0</v>
      </c>
      <c r="BN2285" s="1">
        <v>7100.0</v>
      </c>
      <c r="BO2285" s="1">
        <v>7200.0</v>
      </c>
      <c r="BQ2285" s="1">
        <v>111.0</v>
      </c>
      <c r="BR2285" s="1">
        <v>111.0</v>
      </c>
      <c r="BS2285" s="1">
        <v>111.0</v>
      </c>
      <c r="BU2285" s="1" t="s">
        <v>1519</v>
      </c>
      <c r="BV2285" s="1" t="s">
        <v>206</v>
      </c>
      <c r="BW2285" s="1" t="s">
        <v>301</v>
      </c>
      <c r="BX2285" s="1" t="s">
        <v>1549</v>
      </c>
      <c r="BY2285" s="1" t="s">
        <v>1229</v>
      </c>
      <c r="BZ2285" s="1" t="s">
        <v>209</v>
      </c>
      <c r="CA2285" s="1" t="s">
        <v>301</v>
      </c>
      <c r="CB2285" s="1" t="s">
        <v>229</v>
      </c>
      <c r="CC2285" s="1" t="s">
        <v>543</v>
      </c>
      <c r="CD2285" s="1" t="s">
        <v>206</v>
      </c>
      <c r="CE2285" s="1" t="s">
        <v>301</v>
      </c>
      <c r="CF2285" s="1" t="s">
        <v>431</v>
      </c>
      <c r="CG2285" s="1" t="s">
        <v>264</v>
      </c>
      <c r="CH2285" s="1" t="s">
        <v>209</v>
      </c>
      <c r="CI2285" s="1" t="s">
        <v>301</v>
      </c>
      <c r="CJ2285" s="1" t="s">
        <v>229</v>
      </c>
      <c r="CK2285" s="1" t="s">
        <v>263</v>
      </c>
      <c r="CL2285" s="1" t="s">
        <v>209</v>
      </c>
      <c r="CM2285" s="1" t="s">
        <v>301</v>
      </c>
      <c r="CN2285" s="1" t="s">
        <v>229</v>
      </c>
      <c r="CO2285" s="1" t="s">
        <v>375</v>
      </c>
      <c r="CP2285" s="1" t="s">
        <v>267</v>
      </c>
      <c r="CQ2285" s="1" t="s">
        <v>617</v>
      </c>
      <c r="CR2285" s="1" t="s">
        <v>229</v>
      </c>
      <c r="CS2285" s="1" t="s">
        <v>262</v>
      </c>
      <c r="CT2285" s="1" t="s">
        <v>206</v>
      </c>
      <c r="CU2285" s="1" t="s">
        <v>268</v>
      </c>
      <c r="CV2285" s="1" t="s">
        <v>431</v>
      </c>
      <c r="CW2285" s="1" t="s">
        <v>2121</v>
      </c>
      <c r="CX2285" s="1" t="s">
        <v>267</v>
      </c>
      <c r="CY2285" s="1" t="s">
        <v>617</v>
      </c>
      <c r="CZ2285" s="1" t="s">
        <v>229</v>
      </c>
      <c r="DA2285" s="1" t="s">
        <v>200</v>
      </c>
      <c r="DC2285" s="1" t="s">
        <v>517</v>
      </c>
      <c r="DD2285" s="1" t="s">
        <v>518</v>
      </c>
      <c r="DE2285" s="1" t="s">
        <v>273</v>
      </c>
      <c r="DF2285" s="1" t="s">
        <v>619</v>
      </c>
      <c r="DG2285" s="1" t="s">
        <v>482</v>
      </c>
      <c r="DH2285" s="1" t="s">
        <v>220</v>
      </c>
      <c r="DI2285" s="1" t="s">
        <v>2096</v>
      </c>
      <c r="DJ2285" s="1" t="s">
        <v>222</v>
      </c>
      <c r="DL2285" s="1" t="s">
        <v>224</v>
      </c>
      <c r="DM2285" s="1" t="s">
        <v>1658</v>
      </c>
      <c r="DP2285" s="1" t="s">
        <v>340</v>
      </c>
      <c r="DQ2285" s="1" t="s">
        <v>441</v>
      </c>
      <c r="DR2285" s="1" t="s">
        <v>229</v>
      </c>
      <c r="DS2285" s="1" t="s">
        <v>277</v>
      </c>
      <c r="DV2285" s="1" t="s">
        <v>1270</v>
      </c>
      <c r="DW2285" s="1" t="s">
        <v>5558</v>
      </c>
      <c r="DX2285" s="1" t="s">
        <v>234</v>
      </c>
      <c r="DY2285" s="1" t="s">
        <v>861</v>
      </c>
      <c r="DZ2285" s="1" t="s">
        <v>282</v>
      </c>
      <c r="EC2285" s="1" t="s">
        <v>284</v>
      </c>
      <c r="EF2285" s="1" t="s">
        <v>5154</v>
      </c>
      <c r="EG2285" s="1" t="s">
        <v>1270</v>
      </c>
      <c r="EL2285" s="1" t="s">
        <v>263</v>
      </c>
      <c r="EM2285" s="1" t="s">
        <v>267</v>
      </c>
      <c r="EN2285" s="1" t="s">
        <v>617</v>
      </c>
      <c r="EO2285" s="1" t="s">
        <v>229</v>
      </c>
      <c r="EQ2285" s="1" t="s">
        <v>238</v>
      </c>
      <c r="EU2285" s="1" t="s">
        <v>238</v>
      </c>
      <c r="EY2285" s="1" t="s">
        <v>238</v>
      </c>
      <c r="FC2285" s="1" t="s">
        <v>238</v>
      </c>
      <c r="FF2285" s="1" t="s">
        <v>239</v>
      </c>
      <c r="FG2285" s="1" t="s">
        <v>192</v>
      </c>
      <c r="FH2285" s="1" t="s">
        <v>192</v>
      </c>
      <c r="FJ2285" s="1" t="s">
        <v>21114</v>
      </c>
      <c r="FK2285" s="1" t="s">
        <v>557</v>
      </c>
      <c r="FL2285" s="1" t="s">
        <v>2354</v>
      </c>
      <c r="FM2285" s="1">
        <v>1855.0</v>
      </c>
      <c r="FN2285" s="1" t="s">
        <v>2355</v>
      </c>
      <c r="FO2285" s="1" t="s">
        <v>21115</v>
      </c>
      <c r="FP2285" s="1">
        <v>227236.0</v>
      </c>
      <c r="FQ2285" s="1" t="s">
        <v>21116</v>
      </c>
      <c r="FU2285" s="1" t="s">
        <v>21117</v>
      </c>
      <c r="FV2285" s="1" t="s">
        <v>192</v>
      </c>
      <c r="FW2285" s="1" t="s">
        <v>8260</v>
      </c>
      <c r="FX2285" s="1" t="s">
        <v>246</v>
      </c>
      <c r="FZ2285" s="1" t="s">
        <v>229</v>
      </c>
      <c r="GA2285" s="1" t="s">
        <v>291</v>
      </c>
      <c r="GB2285" s="2">
        <v>41981.0</v>
      </c>
    </row>
    <row r="2286">
      <c r="A2286" s="1">
        <v>643825.0</v>
      </c>
      <c r="B2286" s="1" t="s">
        <v>185</v>
      </c>
      <c r="C2286" s="1" t="str">
        <f>"08748506"</f>
        <v>08748506</v>
      </c>
      <c r="D2286" s="1" t="s">
        <v>186</v>
      </c>
      <c r="F2286" s="1" t="str">
        <f>"8022"</f>
        <v>8022</v>
      </c>
      <c r="G2286" s="2">
        <v>41920.0</v>
      </c>
      <c r="H2286" s="1">
        <v>650000.0</v>
      </c>
      <c r="I2286" s="1">
        <v>38.0</v>
      </c>
      <c r="J2286" s="1">
        <v>650000.0</v>
      </c>
      <c r="K2286" s="2">
        <v>41920.0</v>
      </c>
      <c r="L2286" s="1">
        <v>1.0</v>
      </c>
      <c r="M2286" s="2">
        <v>41920.0</v>
      </c>
      <c r="N2286" s="1" t="s">
        <v>249</v>
      </c>
      <c r="O2286" s="2">
        <v>41977.0</v>
      </c>
      <c r="P2286" s="1">
        <v>143878.0</v>
      </c>
      <c r="Q2286" s="1">
        <v>16676.0</v>
      </c>
      <c r="S2286" s="1">
        <v>1911.0</v>
      </c>
      <c r="T2286" s="1" t="s">
        <v>8505</v>
      </c>
      <c r="U2286" s="1" t="s">
        <v>320</v>
      </c>
      <c r="V2286" s="1" t="s">
        <v>190</v>
      </c>
      <c r="W2286" s="1">
        <v>60647.0</v>
      </c>
      <c r="Y2286" s="1" t="s">
        <v>21118</v>
      </c>
      <c r="Z2286" s="1">
        <v>2014.0</v>
      </c>
      <c r="AA2286" s="1" t="s">
        <v>200</v>
      </c>
      <c r="AB2286" s="1" t="s">
        <v>193</v>
      </c>
      <c r="AD2286" s="1" t="s">
        <v>194</v>
      </c>
      <c r="AE2286" s="1" t="s">
        <v>195</v>
      </c>
      <c r="AF2286" s="1" t="s">
        <v>2645</v>
      </c>
      <c r="AH2286" s="1" t="s">
        <v>2611</v>
      </c>
      <c r="AK2286" s="1">
        <v>9.0</v>
      </c>
      <c r="AL2286" s="1">
        <v>4.0</v>
      </c>
      <c r="AM2286" s="1">
        <v>3.0</v>
      </c>
      <c r="AN2286" s="1">
        <v>1.0</v>
      </c>
      <c r="AO2286" s="1" t="s">
        <v>198</v>
      </c>
      <c r="AP2286" s="1">
        <v>1.0</v>
      </c>
      <c r="AQ2286" s="1" t="s">
        <v>198</v>
      </c>
      <c r="AR2286" s="1" t="s">
        <v>192</v>
      </c>
      <c r="AS2286" s="1" t="s">
        <v>199</v>
      </c>
      <c r="AT2286" s="1">
        <v>2.0</v>
      </c>
      <c r="AV2286" s="1" t="s">
        <v>200</v>
      </c>
      <c r="AW2286" s="1" t="s">
        <v>575</v>
      </c>
      <c r="AX2286" s="1">
        <v>2013.0</v>
      </c>
      <c r="AZ2286" s="1" t="s">
        <v>200</v>
      </c>
      <c r="BA2286" s="1" t="str">
        <f>"13363070190000"</f>
        <v>13363070190000</v>
      </c>
      <c r="BC2286" s="1">
        <v>3000.0</v>
      </c>
      <c r="BD2286" s="1">
        <v>643825.0</v>
      </c>
      <c r="BE2286" s="2">
        <v>41920.0</v>
      </c>
      <c r="BF2286" s="2" t="s">
        <v>21119</v>
      </c>
      <c r="BH2286" s="1">
        <v>0.0</v>
      </c>
      <c r="BK2286" s="1" t="s">
        <v>204</v>
      </c>
      <c r="BL2286" s="1" t="str">
        <f>"1911"</f>
        <v>1911</v>
      </c>
      <c r="BM2286" s="1" t="str">
        <f t="shared" ref="BM2286:BM2293" si="1497">"0"</f>
        <v>0</v>
      </c>
      <c r="BN2286" s="1">
        <v>2820.0</v>
      </c>
      <c r="BO2286" s="1">
        <v>0.0</v>
      </c>
      <c r="BQ2286" s="1">
        <v>299.0</v>
      </c>
      <c r="BR2286" s="1">
        <v>299.0</v>
      </c>
      <c r="BS2286" s="1">
        <v>299.0</v>
      </c>
      <c r="BU2286" s="1" t="s">
        <v>1535</v>
      </c>
      <c r="BV2286" s="1" t="s">
        <v>206</v>
      </c>
      <c r="BW2286" s="1" t="s">
        <v>207</v>
      </c>
      <c r="BY2286" s="1" t="s">
        <v>361</v>
      </c>
      <c r="BZ2286" s="1" t="s">
        <v>209</v>
      </c>
      <c r="CA2286" s="1" t="s">
        <v>207</v>
      </c>
      <c r="CC2286" s="1" t="s">
        <v>542</v>
      </c>
      <c r="CD2286" s="1" t="s">
        <v>206</v>
      </c>
      <c r="CE2286" s="1" t="s">
        <v>207</v>
      </c>
      <c r="CG2286" s="1" t="s">
        <v>495</v>
      </c>
      <c r="CH2286" s="1" t="s">
        <v>209</v>
      </c>
      <c r="CI2286" s="1" t="s">
        <v>207</v>
      </c>
      <c r="CK2286" s="1" t="s">
        <v>647</v>
      </c>
      <c r="CL2286" s="1" t="s">
        <v>209</v>
      </c>
      <c r="CM2286" s="1" t="s">
        <v>207</v>
      </c>
      <c r="CO2286" s="1" t="s">
        <v>433</v>
      </c>
      <c r="CP2286" s="1" t="s">
        <v>267</v>
      </c>
      <c r="CQ2286" s="1" t="s">
        <v>210</v>
      </c>
      <c r="CS2286" s="1" t="s">
        <v>454</v>
      </c>
      <c r="CT2286" s="1" t="s">
        <v>206</v>
      </c>
      <c r="CU2286" s="1" t="s">
        <v>207</v>
      </c>
      <c r="CW2286" s="1" t="s">
        <v>924</v>
      </c>
      <c r="CX2286" s="1" t="s">
        <v>206</v>
      </c>
      <c r="CY2286" s="1" t="s">
        <v>207</v>
      </c>
      <c r="DA2286" s="1" t="s">
        <v>192</v>
      </c>
      <c r="DB2286" s="2">
        <v>41942.0</v>
      </c>
      <c r="DC2286" s="1" t="s">
        <v>744</v>
      </c>
      <c r="DD2286" s="1" t="s">
        <v>759</v>
      </c>
      <c r="DE2286" s="1" t="s">
        <v>273</v>
      </c>
      <c r="DF2286" s="1" t="s">
        <v>219</v>
      </c>
      <c r="DG2286" s="1" t="s">
        <v>2311</v>
      </c>
      <c r="DH2286" s="1" t="s">
        <v>220</v>
      </c>
      <c r="DI2286" s="1" t="s">
        <v>9434</v>
      </c>
      <c r="DJ2286" s="1" t="s">
        <v>222</v>
      </c>
      <c r="DL2286" s="1" t="s">
        <v>224</v>
      </c>
      <c r="DM2286" s="1" t="s">
        <v>229</v>
      </c>
      <c r="DN2286" s="1" t="s">
        <v>548</v>
      </c>
      <c r="DP2286" s="1" t="s">
        <v>276</v>
      </c>
      <c r="DQ2286" s="1" t="s">
        <v>228</v>
      </c>
      <c r="DR2286" s="1" t="s">
        <v>229</v>
      </c>
      <c r="DS2286" s="1" t="s">
        <v>368</v>
      </c>
      <c r="DU2286" s="1" t="s">
        <v>16158</v>
      </c>
      <c r="DV2286" s="1" t="s">
        <v>2058</v>
      </c>
      <c r="DW2286" s="1" t="s">
        <v>934</v>
      </c>
      <c r="DX2286" s="1" t="s">
        <v>234</v>
      </c>
      <c r="DY2286" s="1" t="s">
        <v>2972</v>
      </c>
      <c r="DZ2286" s="1" t="s">
        <v>310</v>
      </c>
      <c r="EA2286" s="1" t="s">
        <v>1027</v>
      </c>
      <c r="EC2286" s="1" t="s">
        <v>237</v>
      </c>
      <c r="ED2286" s="1" t="s">
        <v>555</v>
      </c>
      <c r="EG2286" s="1" t="s">
        <v>450</v>
      </c>
      <c r="EH2286" s="1" t="s">
        <v>310</v>
      </c>
      <c r="EL2286" s="1" t="s">
        <v>361</v>
      </c>
      <c r="EM2286" s="1" t="s">
        <v>267</v>
      </c>
      <c r="EN2286" s="1" t="s">
        <v>210</v>
      </c>
      <c r="EP2286" s="1" t="s">
        <v>266</v>
      </c>
      <c r="EQ2286" s="1" t="s">
        <v>206</v>
      </c>
      <c r="ER2286" s="1" t="s">
        <v>207</v>
      </c>
      <c r="EU2286" s="1" t="s">
        <v>238</v>
      </c>
      <c r="EY2286" s="1" t="s">
        <v>238</v>
      </c>
      <c r="FC2286" s="1" t="s">
        <v>238</v>
      </c>
      <c r="FF2286" s="1" t="s">
        <v>239</v>
      </c>
      <c r="FG2286" s="1" t="s">
        <v>192</v>
      </c>
      <c r="FH2286" s="1" t="s">
        <v>192</v>
      </c>
      <c r="FJ2286" s="1" t="s">
        <v>733</v>
      </c>
      <c r="FK2286" s="1" t="s">
        <v>229</v>
      </c>
      <c r="FL2286" s="1" t="s">
        <v>1358</v>
      </c>
      <c r="FM2286" s="1">
        <v>12660.0</v>
      </c>
      <c r="FN2286" s="1" t="s">
        <v>12766</v>
      </c>
      <c r="FO2286" s="1" t="s">
        <v>12767</v>
      </c>
      <c r="FP2286" s="1">
        <v>174062.0</v>
      </c>
      <c r="FQ2286" s="1" t="s">
        <v>12768</v>
      </c>
      <c r="FU2286" s="1" t="s">
        <v>4733</v>
      </c>
      <c r="FV2286" s="1" t="s">
        <v>200</v>
      </c>
      <c r="FW2286" s="1" t="s">
        <v>530</v>
      </c>
      <c r="FX2286" s="1" t="s">
        <v>238</v>
      </c>
      <c r="FZ2286" s="1" t="s">
        <v>229</v>
      </c>
      <c r="GA2286" s="1" t="s">
        <v>291</v>
      </c>
      <c r="GB2286" s="2">
        <v>41977.0</v>
      </c>
      <c r="GC2286" s="1" t="s">
        <v>21120</v>
      </c>
    </row>
    <row r="2287">
      <c r="A2287" s="1">
        <v>708000.0</v>
      </c>
      <c r="B2287" s="1" t="s">
        <v>185</v>
      </c>
      <c r="C2287" s="1" t="str">
        <f>"08747217"</f>
        <v>08747217</v>
      </c>
      <c r="D2287" s="1" t="s">
        <v>186</v>
      </c>
      <c r="F2287" s="1" t="str">
        <f>"8012"</f>
        <v>8012</v>
      </c>
      <c r="G2287" s="2">
        <v>41919.0</v>
      </c>
      <c r="H2287" s="1">
        <v>729900.0</v>
      </c>
      <c r="I2287" s="1">
        <v>130.0</v>
      </c>
      <c r="J2287" s="1">
        <v>729900.0</v>
      </c>
      <c r="K2287" s="2">
        <v>42048.0</v>
      </c>
      <c r="L2287" s="1">
        <v>130.0</v>
      </c>
      <c r="M2287" s="2">
        <v>42048.0</v>
      </c>
      <c r="N2287" s="1" t="s">
        <v>187</v>
      </c>
      <c r="O2287" s="2">
        <v>42095.0</v>
      </c>
      <c r="P2287" s="1">
        <v>113764.0</v>
      </c>
      <c r="Q2287" s="1">
        <v>85464.0</v>
      </c>
      <c r="S2287" s="1">
        <v>6615.0</v>
      </c>
      <c r="T2287" s="1" t="s">
        <v>21121</v>
      </c>
      <c r="U2287" s="1" t="s">
        <v>1442</v>
      </c>
      <c r="V2287" s="1" t="s">
        <v>190</v>
      </c>
      <c r="W2287" s="1">
        <v>60646.0</v>
      </c>
      <c r="Y2287" s="1" t="s">
        <v>21122</v>
      </c>
      <c r="Z2287" s="1">
        <v>1934.0</v>
      </c>
      <c r="AA2287" s="1" t="s">
        <v>192</v>
      </c>
      <c r="AB2287" s="1" t="s">
        <v>193</v>
      </c>
      <c r="AD2287" s="1" t="s">
        <v>194</v>
      </c>
      <c r="AE2287" s="1" t="s">
        <v>195</v>
      </c>
      <c r="AF2287" s="1" t="s">
        <v>196</v>
      </c>
      <c r="AH2287" s="1" t="s">
        <v>21123</v>
      </c>
      <c r="AI2287" s="1">
        <v>0.1639</v>
      </c>
      <c r="AK2287" s="1">
        <v>10.0</v>
      </c>
      <c r="AL2287" s="1">
        <v>4.0</v>
      </c>
      <c r="AM2287" s="1">
        <v>3.0</v>
      </c>
      <c r="AN2287" s="1">
        <v>1.0</v>
      </c>
      <c r="AO2287" s="1" t="s">
        <v>198</v>
      </c>
      <c r="AP2287" s="1">
        <v>2.0</v>
      </c>
      <c r="AQ2287" s="1" t="s">
        <v>1314</v>
      </c>
      <c r="AR2287" s="1" t="s">
        <v>200</v>
      </c>
      <c r="AS2287" s="1" t="s">
        <v>199</v>
      </c>
      <c r="AT2287" s="1">
        <v>1.0</v>
      </c>
      <c r="AV2287" s="1" t="s">
        <v>200</v>
      </c>
      <c r="AW2287" s="1">
        <v>10096.0</v>
      </c>
      <c r="AX2287" s="1">
        <v>2013.0</v>
      </c>
      <c r="AY2287" s="1" t="s">
        <v>387</v>
      </c>
      <c r="AZ2287" s="1" t="s">
        <v>200</v>
      </c>
      <c r="BA2287" s="1" t="str">
        <f>"10324090050000"</f>
        <v>10324090050000</v>
      </c>
      <c r="BC2287" s="1">
        <v>3259.0</v>
      </c>
      <c r="BD2287" s="1">
        <v>708000.0</v>
      </c>
      <c r="BE2287" s="2">
        <v>41919.0</v>
      </c>
      <c r="BF2287" s="2" t="s">
        <v>21124</v>
      </c>
      <c r="BG2287" s="1" t="s">
        <v>2364</v>
      </c>
      <c r="BH2287" s="1">
        <v>0.0</v>
      </c>
      <c r="BJ2287" s="1" t="s">
        <v>1222</v>
      </c>
      <c r="BK2287" s="1" t="s">
        <v>204</v>
      </c>
      <c r="BL2287" s="1" t="str">
        <f>"6615"</f>
        <v>6615</v>
      </c>
      <c r="BM2287" s="1" t="str">
        <f t="shared" si="1497"/>
        <v>0</v>
      </c>
      <c r="BN2287" s="1">
        <v>5700.0</v>
      </c>
      <c r="BO2287" s="1">
        <v>0.0</v>
      </c>
      <c r="BQ2287" s="1">
        <v>299.0</v>
      </c>
      <c r="BR2287" s="1">
        <v>299.0</v>
      </c>
      <c r="BS2287" s="1">
        <v>299.0</v>
      </c>
      <c r="BU2287" s="1" t="s">
        <v>1535</v>
      </c>
      <c r="BV2287" s="1" t="s">
        <v>206</v>
      </c>
      <c r="BW2287" s="1" t="s">
        <v>207</v>
      </c>
      <c r="BX2287" s="1" t="s">
        <v>239</v>
      </c>
      <c r="BY2287" s="1" t="s">
        <v>260</v>
      </c>
      <c r="BZ2287" s="1" t="s">
        <v>209</v>
      </c>
      <c r="CA2287" s="1" t="s">
        <v>207</v>
      </c>
      <c r="CB2287" s="1" t="s">
        <v>239</v>
      </c>
      <c r="CC2287" s="1" t="s">
        <v>329</v>
      </c>
      <c r="CD2287" s="1" t="s">
        <v>206</v>
      </c>
      <c r="CE2287" s="1" t="s">
        <v>207</v>
      </c>
      <c r="CF2287" s="1" t="s">
        <v>239</v>
      </c>
      <c r="CG2287" s="1" t="s">
        <v>433</v>
      </c>
      <c r="CH2287" s="1" t="s">
        <v>209</v>
      </c>
      <c r="CI2287" s="1" t="s">
        <v>207</v>
      </c>
      <c r="CJ2287" s="1" t="s">
        <v>239</v>
      </c>
      <c r="CK2287" s="1" t="s">
        <v>331</v>
      </c>
      <c r="CL2287" s="1" t="s">
        <v>209</v>
      </c>
      <c r="CM2287" s="1" t="s">
        <v>207</v>
      </c>
      <c r="CN2287" s="1" t="s">
        <v>239</v>
      </c>
      <c r="CO2287" s="1" t="s">
        <v>390</v>
      </c>
      <c r="CP2287" s="1" t="s">
        <v>209</v>
      </c>
      <c r="CQ2287" s="1" t="s">
        <v>207</v>
      </c>
      <c r="CR2287" s="1" t="s">
        <v>239</v>
      </c>
      <c r="CS2287" s="1" t="s">
        <v>1378</v>
      </c>
      <c r="CT2287" s="1" t="s">
        <v>206</v>
      </c>
      <c r="CU2287" s="1" t="s">
        <v>207</v>
      </c>
      <c r="CW2287" s="1" t="s">
        <v>1825</v>
      </c>
      <c r="CX2287" s="1" t="s">
        <v>206</v>
      </c>
      <c r="CY2287" s="1" t="s">
        <v>207</v>
      </c>
      <c r="DA2287" s="1" t="s">
        <v>200</v>
      </c>
      <c r="DC2287" s="1" t="s">
        <v>785</v>
      </c>
      <c r="DD2287" s="1" t="s">
        <v>336</v>
      </c>
      <c r="DE2287" s="1" t="s">
        <v>3750</v>
      </c>
      <c r="DF2287" s="1" t="s">
        <v>2328</v>
      </c>
      <c r="DG2287" s="1" t="s">
        <v>1569</v>
      </c>
      <c r="DH2287" s="1" t="s">
        <v>365</v>
      </c>
      <c r="DI2287" s="1" t="s">
        <v>5225</v>
      </c>
      <c r="DJ2287" s="1" t="s">
        <v>13210</v>
      </c>
      <c r="DK2287" s="1" t="s">
        <v>3740</v>
      </c>
      <c r="DL2287" s="1" t="s">
        <v>858</v>
      </c>
      <c r="DM2287" s="1" t="s">
        <v>1464</v>
      </c>
      <c r="DN2287" s="1" t="s">
        <v>439</v>
      </c>
      <c r="DO2287" s="1" t="s">
        <v>486</v>
      </c>
      <c r="DP2287" s="1" t="s">
        <v>340</v>
      </c>
      <c r="DQ2287" s="1" t="s">
        <v>794</v>
      </c>
      <c r="DR2287" s="1" t="s">
        <v>229</v>
      </c>
      <c r="DS2287" s="1" t="s">
        <v>368</v>
      </c>
      <c r="DU2287" s="1" t="s">
        <v>1049</v>
      </c>
      <c r="DV2287" s="1" t="s">
        <v>21125</v>
      </c>
      <c r="DW2287" s="1" t="s">
        <v>279</v>
      </c>
      <c r="DX2287" s="1" t="s">
        <v>1287</v>
      </c>
      <c r="DY2287" s="1" t="s">
        <v>11052</v>
      </c>
      <c r="DZ2287" s="1" t="s">
        <v>16044</v>
      </c>
      <c r="EA2287" s="1" t="s">
        <v>447</v>
      </c>
      <c r="EB2287" s="1" t="s">
        <v>2915</v>
      </c>
      <c r="EC2287" s="1" t="s">
        <v>237</v>
      </c>
      <c r="EG2287" s="1" t="s">
        <v>450</v>
      </c>
      <c r="EH2287" s="1" t="s">
        <v>1824</v>
      </c>
      <c r="EI2287" s="1" t="s">
        <v>720</v>
      </c>
      <c r="EL2287" s="1" t="s">
        <v>6858</v>
      </c>
      <c r="EM2287" s="1" t="s">
        <v>42</v>
      </c>
      <c r="EN2287" s="1" t="s">
        <v>210</v>
      </c>
      <c r="EP2287" s="1" t="s">
        <v>329</v>
      </c>
      <c r="EQ2287" s="1" t="s">
        <v>42</v>
      </c>
      <c r="ER2287" s="1" t="s">
        <v>268</v>
      </c>
      <c r="ET2287" s="1" t="s">
        <v>940</v>
      </c>
      <c r="EU2287" s="1" t="s">
        <v>206</v>
      </c>
      <c r="EV2287" s="1" t="s">
        <v>268</v>
      </c>
      <c r="EY2287" s="1" t="s">
        <v>238</v>
      </c>
      <c r="FC2287" s="1" t="s">
        <v>238</v>
      </c>
      <c r="FF2287" s="1" t="s">
        <v>239</v>
      </c>
      <c r="FG2287" s="1" t="s">
        <v>192</v>
      </c>
      <c r="FH2287" s="1" t="s">
        <v>192</v>
      </c>
      <c r="FJ2287" s="1" t="s">
        <v>412</v>
      </c>
      <c r="FK2287" s="1" t="s">
        <v>229</v>
      </c>
      <c r="FL2287" s="1" t="s">
        <v>413</v>
      </c>
      <c r="FM2287" s="1">
        <v>13691.0</v>
      </c>
      <c r="FN2287" s="1" t="s">
        <v>414</v>
      </c>
      <c r="FO2287" s="1" t="s">
        <v>415</v>
      </c>
      <c r="FP2287" s="1">
        <v>100858.0</v>
      </c>
      <c r="FQ2287" s="1" t="s">
        <v>416</v>
      </c>
      <c r="FU2287" s="1" t="s">
        <v>21126</v>
      </c>
      <c r="FV2287" s="1" t="s">
        <v>200</v>
      </c>
      <c r="FW2287" s="1" t="s">
        <v>567</v>
      </c>
      <c r="FX2287" s="1" t="s">
        <v>238</v>
      </c>
      <c r="FZ2287" s="1" t="s">
        <v>229</v>
      </c>
      <c r="GA2287" s="1" t="s">
        <v>291</v>
      </c>
      <c r="GB2287" s="2">
        <v>42095.0</v>
      </c>
      <c r="GC2287" s="1" t="s">
        <v>21127</v>
      </c>
    </row>
    <row r="2288">
      <c r="A2288" s="1">
        <v>115000.0</v>
      </c>
      <c r="B2288" s="1" t="s">
        <v>185</v>
      </c>
      <c r="C2288" s="1" t="str">
        <f>"08753298"</f>
        <v>08753298</v>
      </c>
      <c r="D2288" s="1" t="s">
        <v>186</v>
      </c>
      <c r="F2288" s="1" t="str">
        <f>"8019"</f>
        <v>8019</v>
      </c>
      <c r="G2288" s="2">
        <v>41927.0</v>
      </c>
      <c r="H2288" s="1">
        <v>115000.0</v>
      </c>
      <c r="I2288" s="1">
        <v>6.0</v>
      </c>
      <c r="J2288" s="1">
        <v>115000.0</v>
      </c>
      <c r="K2288" s="2">
        <v>41932.0</v>
      </c>
      <c r="L2288" s="1">
        <v>6.0</v>
      </c>
      <c r="M2288" s="2">
        <v>41932.0</v>
      </c>
      <c r="N2288" s="1" t="s">
        <v>187</v>
      </c>
      <c r="O2288" s="2">
        <v>41975.0</v>
      </c>
      <c r="P2288" s="1">
        <v>130868.0</v>
      </c>
      <c r="Q2288" s="1">
        <v>17868.0</v>
      </c>
      <c r="R2288" s="1">
        <v>2500.0</v>
      </c>
      <c r="S2288" s="1">
        <v>2225.0</v>
      </c>
      <c r="T2288" s="1" t="s">
        <v>21128</v>
      </c>
      <c r="U2288" s="1" t="s">
        <v>189</v>
      </c>
      <c r="V2288" s="1" t="s">
        <v>190</v>
      </c>
      <c r="W2288" s="1">
        <v>60707.0</v>
      </c>
      <c r="Y2288" s="1" t="s">
        <v>21129</v>
      </c>
      <c r="Z2288" s="1">
        <v>1912.0</v>
      </c>
      <c r="AA2288" s="1" t="s">
        <v>192</v>
      </c>
      <c r="AB2288" s="1" t="s">
        <v>193</v>
      </c>
      <c r="AD2288" s="1" t="s">
        <v>194</v>
      </c>
      <c r="AE2288" s="1" t="s">
        <v>195</v>
      </c>
      <c r="AF2288" s="1" t="s">
        <v>196</v>
      </c>
      <c r="AH2288" s="1" t="s">
        <v>1501</v>
      </c>
      <c r="AI2288" s="1">
        <v>0.0868</v>
      </c>
      <c r="AK2288" s="1">
        <v>7.0</v>
      </c>
      <c r="AL2288" s="1">
        <v>4.0</v>
      </c>
      <c r="AM2288" s="1">
        <v>2.0</v>
      </c>
      <c r="AN2288" s="1">
        <v>1.0</v>
      </c>
      <c r="AO2288" s="1" t="s">
        <v>229</v>
      </c>
      <c r="AQ2288" s="1" t="s">
        <v>198</v>
      </c>
      <c r="AR2288" s="1" t="s">
        <v>192</v>
      </c>
      <c r="AS2288" s="1" t="s">
        <v>229</v>
      </c>
      <c r="AV2288" s="1" t="s">
        <v>200</v>
      </c>
      <c r="AW2288" s="4">
        <v>3200.67</v>
      </c>
      <c r="AX2288" s="1">
        <v>2013.0</v>
      </c>
      <c r="AZ2288" s="1" t="s">
        <v>200</v>
      </c>
      <c r="BA2288" s="1" t="str">
        <f>"13312080110000"</f>
        <v>13312080110000</v>
      </c>
      <c r="BC2288" s="1">
        <v>1386.0</v>
      </c>
      <c r="BD2288" s="1">
        <v>115000.0</v>
      </c>
      <c r="BE2288" s="2">
        <v>41927.0</v>
      </c>
      <c r="BF2288" s="1" t="s">
        <v>21130</v>
      </c>
      <c r="BH2288" s="1">
        <v>0.0</v>
      </c>
      <c r="BK2288" s="1" t="s">
        <v>204</v>
      </c>
      <c r="BL2288" s="1" t="str">
        <f>"2225"</f>
        <v>2225</v>
      </c>
      <c r="BM2288" s="1" t="str">
        <f t="shared" si="1497"/>
        <v>0</v>
      </c>
      <c r="BN2288" s="1">
        <v>6500.0</v>
      </c>
      <c r="BO2288" s="1">
        <v>0.0</v>
      </c>
      <c r="BQ2288" s="1">
        <v>299.0</v>
      </c>
      <c r="BR2288" s="1">
        <v>299.0</v>
      </c>
      <c r="BS2288" s="1">
        <v>299.0</v>
      </c>
      <c r="BU2288" s="1" t="s">
        <v>497</v>
      </c>
      <c r="BV2288" s="1" t="s">
        <v>206</v>
      </c>
      <c r="BY2288" s="1" t="s">
        <v>5954</v>
      </c>
      <c r="BZ2288" s="1" t="s">
        <v>209</v>
      </c>
      <c r="CC2288" s="1" t="s">
        <v>215</v>
      </c>
      <c r="CD2288" s="1" t="s">
        <v>206</v>
      </c>
      <c r="CG2288" s="1" t="s">
        <v>1760</v>
      </c>
      <c r="CH2288" s="1" t="s">
        <v>206</v>
      </c>
      <c r="CK2288" s="1" t="s">
        <v>2047</v>
      </c>
      <c r="CL2288" s="1" t="s">
        <v>206</v>
      </c>
      <c r="CO2288" s="1" t="s">
        <v>2425</v>
      </c>
      <c r="CP2288" s="1" t="s">
        <v>209</v>
      </c>
      <c r="CS2288" s="1" t="s">
        <v>2460</v>
      </c>
      <c r="CT2288" s="1" t="s">
        <v>206</v>
      </c>
      <c r="CX2288" s="1" t="s">
        <v>204</v>
      </c>
      <c r="DA2288" s="1" t="s">
        <v>200</v>
      </c>
      <c r="DC2288" s="1" t="s">
        <v>642</v>
      </c>
      <c r="DE2288" s="1" t="s">
        <v>229</v>
      </c>
      <c r="DF2288" s="1" t="s">
        <v>219</v>
      </c>
      <c r="DH2288" s="1" t="s">
        <v>220</v>
      </c>
      <c r="DJ2288" s="1" t="s">
        <v>222</v>
      </c>
      <c r="DL2288" s="1" t="s">
        <v>223</v>
      </c>
      <c r="DM2288" s="1" t="s">
        <v>229</v>
      </c>
      <c r="DQ2288" s="1" t="s">
        <v>718</v>
      </c>
      <c r="DR2288" s="1" t="s">
        <v>229</v>
      </c>
      <c r="DV2288" s="1" t="s">
        <v>408</v>
      </c>
      <c r="DW2288" s="1" t="s">
        <v>667</v>
      </c>
      <c r="DX2288" s="1" t="s">
        <v>280</v>
      </c>
      <c r="EC2288" s="1" t="s">
        <v>645</v>
      </c>
      <c r="EE2288" s="1" t="s">
        <v>1960</v>
      </c>
      <c r="EG2288" s="1" t="s">
        <v>408</v>
      </c>
      <c r="EL2288" s="1" t="s">
        <v>1760</v>
      </c>
      <c r="EM2288" s="1" t="s">
        <v>206</v>
      </c>
      <c r="EQ2288" s="1" t="s">
        <v>238</v>
      </c>
      <c r="EU2288" s="1" t="s">
        <v>238</v>
      </c>
      <c r="EY2288" s="1" t="s">
        <v>238</v>
      </c>
      <c r="FC2288" s="1" t="s">
        <v>238</v>
      </c>
      <c r="FF2288" s="1" t="s">
        <v>239</v>
      </c>
      <c r="FG2288" s="1" t="s">
        <v>192</v>
      </c>
      <c r="FH2288" s="1" t="s">
        <v>192</v>
      </c>
      <c r="FJ2288" s="1" t="s">
        <v>498</v>
      </c>
      <c r="FK2288" s="1" t="s">
        <v>229</v>
      </c>
      <c r="FL2288" s="1" t="s">
        <v>9782</v>
      </c>
      <c r="FM2288" s="1">
        <v>12737.0</v>
      </c>
      <c r="FN2288" s="1" t="s">
        <v>9783</v>
      </c>
      <c r="FO2288" s="1" t="s">
        <v>21131</v>
      </c>
      <c r="FP2288" s="1">
        <v>125085.0</v>
      </c>
      <c r="FQ2288" s="1" t="s">
        <v>21132</v>
      </c>
      <c r="FU2288" s="1" t="s">
        <v>1751</v>
      </c>
      <c r="FV2288" s="1" t="s">
        <v>200</v>
      </c>
      <c r="FW2288" s="1" t="s">
        <v>567</v>
      </c>
      <c r="FX2288" s="1" t="s">
        <v>238</v>
      </c>
      <c r="FZ2288" s="1" t="s">
        <v>229</v>
      </c>
      <c r="GA2288" s="1" t="s">
        <v>291</v>
      </c>
      <c r="GB2288" s="2">
        <v>41976.0</v>
      </c>
    </row>
    <row r="2289">
      <c r="A2289" s="1">
        <v>149900.0</v>
      </c>
      <c r="B2289" s="1" t="s">
        <v>185</v>
      </c>
      <c r="C2289" s="1" t="str">
        <f>"08752992"</f>
        <v>08752992</v>
      </c>
      <c r="D2289" s="1" t="s">
        <v>186</v>
      </c>
      <c r="F2289" s="1" t="str">
        <f>"8001"</f>
        <v>8001</v>
      </c>
      <c r="G2289" s="2">
        <v>41926.0</v>
      </c>
      <c r="H2289" s="1">
        <v>149900.0</v>
      </c>
      <c r="I2289" s="1">
        <v>23.0</v>
      </c>
      <c r="J2289" s="1">
        <v>149900.0</v>
      </c>
      <c r="K2289" s="2">
        <v>41948.0</v>
      </c>
      <c r="L2289" s="1">
        <v>23.0</v>
      </c>
      <c r="M2289" s="2">
        <v>41948.0</v>
      </c>
      <c r="N2289" s="1" t="s">
        <v>249</v>
      </c>
      <c r="O2289" s="2">
        <v>41969.0</v>
      </c>
      <c r="P2289" s="1">
        <v>189795.0</v>
      </c>
      <c r="Q2289" s="1">
        <v>10646.0</v>
      </c>
      <c r="S2289" s="1">
        <v>1962.0</v>
      </c>
      <c r="T2289" s="1" t="s">
        <v>21133</v>
      </c>
      <c r="U2289" s="1" t="s">
        <v>189</v>
      </c>
      <c r="V2289" s="1" t="s">
        <v>190</v>
      </c>
      <c r="W2289" s="1">
        <v>60626.0</v>
      </c>
      <c r="Y2289" s="1" t="s">
        <v>21134</v>
      </c>
      <c r="Z2289" s="1">
        <v>1894.0</v>
      </c>
      <c r="AA2289" s="1" t="s">
        <v>192</v>
      </c>
      <c r="AB2289" s="1" t="s">
        <v>193</v>
      </c>
      <c r="AD2289" s="1" t="s">
        <v>194</v>
      </c>
      <c r="AE2289" s="1" t="s">
        <v>195</v>
      </c>
      <c r="AF2289" s="1" t="s">
        <v>2323</v>
      </c>
      <c r="AH2289" s="1" t="s">
        <v>21135</v>
      </c>
      <c r="AK2289" s="1">
        <v>7.0</v>
      </c>
      <c r="AL2289" s="1">
        <v>4.0</v>
      </c>
      <c r="AM2289" s="1">
        <v>2.0</v>
      </c>
      <c r="AN2289" s="1">
        <v>0.0</v>
      </c>
      <c r="AO2289" s="1" t="s">
        <v>229</v>
      </c>
      <c r="AQ2289" s="1" t="s">
        <v>198</v>
      </c>
      <c r="AR2289" s="1" t="s">
        <v>200</v>
      </c>
      <c r="AS2289" s="1" t="s">
        <v>828</v>
      </c>
      <c r="AU2289" s="1">
        <v>1.0</v>
      </c>
      <c r="AV2289" s="1" t="s">
        <v>200</v>
      </c>
      <c r="AW2289" s="1">
        <v>2978.0</v>
      </c>
      <c r="AX2289" s="1">
        <v>2012.0</v>
      </c>
      <c r="AY2289" s="1" t="s">
        <v>229</v>
      </c>
      <c r="AZ2289" s="1" t="s">
        <v>200</v>
      </c>
      <c r="BA2289" s="1" t="str">
        <f>"11312140420000"</f>
        <v>11312140420000</v>
      </c>
      <c r="BC2289" s="1">
        <v>0.0</v>
      </c>
      <c r="BD2289" s="1">
        <v>149900.0</v>
      </c>
      <c r="BE2289" s="2">
        <v>41926.0</v>
      </c>
      <c r="BF2289" s="2" t="s">
        <v>21136</v>
      </c>
      <c r="BH2289" s="1">
        <v>0.0</v>
      </c>
      <c r="BK2289" s="1" t="s">
        <v>204</v>
      </c>
      <c r="BL2289" s="1" t="str">
        <f>"6800"</f>
        <v>6800</v>
      </c>
      <c r="BM2289" s="1" t="str">
        <f t="shared" si="1497"/>
        <v>0</v>
      </c>
      <c r="BN2289" s="1">
        <v>1962.0</v>
      </c>
      <c r="BO2289" s="1">
        <v>0.0</v>
      </c>
      <c r="BQ2289" s="1">
        <v>299.0</v>
      </c>
      <c r="BR2289" s="1">
        <v>299.0</v>
      </c>
      <c r="BS2289" s="1">
        <v>299.0</v>
      </c>
      <c r="BU2289" s="1" t="s">
        <v>262</v>
      </c>
      <c r="BV2289" s="1" t="s">
        <v>206</v>
      </c>
      <c r="BW2289" s="1" t="s">
        <v>210</v>
      </c>
      <c r="BY2289" s="1" t="s">
        <v>2121</v>
      </c>
      <c r="BZ2289" s="1" t="s">
        <v>206</v>
      </c>
      <c r="CA2289" s="1" t="s">
        <v>210</v>
      </c>
      <c r="CC2289" s="1" t="s">
        <v>332</v>
      </c>
      <c r="CD2289" s="1" t="s">
        <v>206</v>
      </c>
      <c r="CE2289" s="1" t="s">
        <v>210</v>
      </c>
      <c r="CG2289" s="1" t="s">
        <v>816</v>
      </c>
      <c r="CH2289" s="1" t="s">
        <v>206</v>
      </c>
      <c r="CI2289" s="1" t="s">
        <v>210</v>
      </c>
      <c r="CK2289" s="1" t="s">
        <v>264</v>
      </c>
      <c r="CL2289" s="1" t="s">
        <v>206</v>
      </c>
      <c r="CM2289" s="1" t="s">
        <v>210</v>
      </c>
      <c r="CO2289" s="1" t="s">
        <v>264</v>
      </c>
      <c r="CP2289" s="1" t="s">
        <v>209</v>
      </c>
      <c r="CQ2289" s="1" t="s">
        <v>210</v>
      </c>
      <c r="CS2289" s="1" t="s">
        <v>269</v>
      </c>
      <c r="CT2289" s="1" t="s">
        <v>206</v>
      </c>
      <c r="CU2289" s="1" t="s">
        <v>617</v>
      </c>
      <c r="CX2289" s="1" t="s">
        <v>204</v>
      </c>
      <c r="DA2289" s="1" t="s">
        <v>200</v>
      </c>
      <c r="DC2289" s="1" t="s">
        <v>642</v>
      </c>
      <c r="DE2289" s="1" t="s">
        <v>229</v>
      </c>
      <c r="DF2289" s="1" t="s">
        <v>219</v>
      </c>
      <c r="DH2289" s="1" t="s">
        <v>220</v>
      </c>
      <c r="DJ2289" s="1" t="s">
        <v>222</v>
      </c>
      <c r="DL2289" s="1" t="s">
        <v>858</v>
      </c>
      <c r="DM2289" s="1" t="s">
        <v>229</v>
      </c>
      <c r="DP2289" s="1" t="s">
        <v>340</v>
      </c>
      <c r="DQ2289" s="1" t="s">
        <v>228</v>
      </c>
      <c r="DR2289" s="1" t="s">
        <v>229</v>
      </c>
      <c r="DS2289" s="1" t="s">
        <v>230</v>
      </c>
      <c r="DV2289" s="1" t="s">
        <v>232</v>
      </c>
      <c r="DW2289" s="1" t="s">
        <v>233</v>
      </c>
      <c r="DX2289" s="1" t="s">
        <v>234</v>
      </c>
      <c r="EC2289" s="1" t="s">
        <v>237</v>
      </c>
      <c r="EF2289" s="1" t="s">
        <v>1761</v>
      </c>
      <c r="EM2289" s="1" t="s">
        <v>238</v>
      </c>
      <c r="EQ2289" s="1" t="s">
        <v>238</v>
      </c>
      <c r="EU2289" s="1" t="s">
        <v>238</v>
      </c>
      <c r="EY2289" s="1" t="s">
        <v>238</v>
      </c>
      <c r="FC2289" s="1" t="s">
        <v>238</v>
      </c>
      <c r="FF2289" s="1" t="s">
        <v>239</v>
      </c>
      <c r="FG2289" s="1" t="s">
        <v>192</v>
      </c>
      <c r="FH2289" s="1" t="s">
        <v>192</v>
      </c>
      <c r="FJ2289" s="1" t="s">
        <v>1248</v>
      </c>
      <c r="FK2289" s="1" t="s">
        <v>229</v>
      </c>
      <c r="FL2289" s="1" t="s">
        <v>734</v>
      </c>
      <c r="FM2289" s="1">
        <v>10646.0</v>
      </c>
      <c r="FN2289" s="1" t="s">
        <v>735</v>
      </c>
      <c r="FO2289" s="1" t="s">
        <v>5446</v>
      </c>
      <c r="FP2289" s="1">
        <v>166674.0</v>
      </c>
      <c r="FQ2289" s="1" t="s">
        <v>5447</v>
      </c>
      <c r="FR2289" s="1">
        <v>130124.0</v>
      </c>
      <c r="FU2289" s="1" t="s">
        <v>1438</v>
      </c>
      <c r="FV2289" s="1" t="s">
        <v>200</v>
      </c>
      <c r="FW2289" s="1" t="s">
        <v>1307</v>
      </c>
      <c r="FX2289" s="1" t="s">
        <v>246</v>
      </c>
      <c r="FZ2289" s="1" t="s">
        <v>229</v>
      </c>
      <c r="GA2289" s="1" t="s">
        <v>291</v>
      </c>
      <c r="GB2289" s="2">
        <v>41975.0</v>
      </c>
      <c r="GC2289" s="1" t="s">
        <v>21137</v>
      </c>
    </row>
    <row r="2290">
      <c r="A2290" s="1">
        <v>288000.0</v>
      </c>
      <c r="B2290" s="1" t="s">
        <v>185</v>
      </c>
      <c r="C2290" s="1" t="str">
        <f>"08749958"</f>
        <v>08749958</v>
      </c>
      <c r="D2290" s="1" t="s">
        <v>186</v>
      </c>
      <c r="F2290" s="1" t="str">
        <f>"134"</f>
        <v>134</v>
      </c>
      <c r="G2290" s="2">
        <v>41922.0</v>
      </c>
      <c r="H2290" s="1">
        <v>349900.0</v>
      </c>
      <c r="I2290" s="1">
        <v>93.0</v>
      </c>
      <c r="J2290" s="1">
        <v>299000.0</v>
      </c>
      <c r="K2290" s="2">
        <v>42013.0</v>
      </c>
      <c r="L2290" s="1">
        <v>93.0</v>
      </c>
      <c r="M2290" s="2">
        <v>42013.0</v>
      </c>
      <c r="N2290" s="1" t="s">
        <v>249</v>
      </c>
      <c r="O2290" s="2">
        <v>42048.0</v>
      </c>
      <c r="P2290" s="1">
        <v>8483.0</v>
      </c>
      <c r="Q2290" s="1">
        <v>41.0</v>
      </c>
      <c r="S2290" s="1">
        <v>107.0</v>
      </c>
      <c r="T2290" s="1" t="s">
        <v>8686</v>
      </c>
      <c r="U2290" s="1" t="s">
        <v>569</v>
      </c>
      <c r="V2290" s="1" t="s">
        <v>421</v>
      </c>
      <c r="W2290" s="1">
        <v>60134.0</v>
      </c>
      <c r="Y2290" s="1" t="s">
        <v>21138</v>
      </c>
      <c r="Z2290" s="1">
        <v>1977.0</v>
      </c>
      <c r="AA2290" s="1" t="s">
        <v>192</v>
      </c>
      <c r="AB2290" s="1" t="s">
        <v>193</v>
      </c>
      <c r="AC2290" s="1" t="s">
        <v>2688</v>
      </c>
      <c r="AD2290" s="1" t="s">
        <v>424</v>
      </c>
      <c r="AE2290" s="1" t="s">
        <v>325</v>
      </c>
      <c r="AF2290" s="1" t="s">
        <v>424</v>
      </c>
      <c r="AG2290" s="1" t="s">
        <v>14777</v>
      </c>
      <c r="AH2290" s="1" t="s">
        <v>17459</v>
      </c>
      <c r="AI2290" s="1">
        <v>0.0</v>
      </c>
      <c r="AK2290" s="1">
        <v>10.0</v>
      </c>
      <c r="AL2290" s="1">
        <v>4.0</v>
      </c>
      <c r="AM2290" s="1">
        <v>3.0</v>
      </c>
      <c r="AN2290" s="1">
        <v>1.0</v>
      </c>
      <c r="AO2290" s="1" t="s">
        <v>198</v>
      </c>
      <c r="AP2290" s="1">
        <v>1.0</v>
      </c>
      <c r="AQ2290" s="1" t="s">
        <v>198</v>
      </c>
      <c r="AR2290" s="1" t="s">
        <v>192</v>
      </c>
      <c r="AS2290" s="1" t="s">
        <v>199</v>
      </c>
      <c r="AT2290" s="1">
        <v>3.0</v>
      </c>
      <c r="AV2290" s="1" t="s">
        <v>200</v>
      </c>
      <c r="AW2290" s="1">
        <v>8595.14</v>
      </c>
      <c r="AX2290" s="1">
        <v>2012.0</v>
      </c>
      <c r="AY2290" s="1" t="s">
        <v>387</v>
      </c>
      <c r="AZ2290" s="1" t="s">
        <v>200</v>
      </c>
      <c r="BA2290" s="1" t="str">
        <f>"1204303001"</f>
        <v>1204303001</v>
      </c>
      <c r="BB2290" s="1" t="s">
        <v>200</v>
      </c>
      <c r="BC2290" s="1">
        <v>2216.0</v>
      </c>
      <c r="BD2290" s="1">
        <v>288000.0</v>
      </c>
      <c r="BE2290" s="2">
        <v>41921.0</v>
      </c>
      <c r="BF2290" s="2" t="s">
        <v>21139</v>
      </c>
      <c r="BH2290" s="1">
        <v>240.0</v>
      </c>
      <c r="BK2290" s="1" t="s">
        <v>580</v>
      </c>
      <c r="BL2290" s="1" t="str">
        <f>"1"</f>
        <v>1</v>
      </c>
      <c r="BM2290" s="1" t="str">
        <f t="shared" si="1497"/>
        <v>0</v>
      </c>
      <c r="BN2290" s="1">
        <v>35.0</v>
      </c>
      <c r="BO2290" s="1">
        <v>0.0</v>
      </c>
      <c r="BQ2290" s="1">
        <v>304.0</v>
      </c>
      <c r="BR2290" s="1">
        <v>304.0</v>
      </c>
      <c r="BS2290" s="1">
        <v>304.0</v>
      </c>
      <c r="BU2290" s="1" t="s">
        <v>924</v>
      </c>
      <c r="BV2290" s="1" t="s">
        <v>206</v>
      </c>
      <c r="BW2290" s="1" t="s">
        <v>207</v>
      </c>
      <c r="BY2290" s="1" t="s">
        <v>1397</v>
      </c>
      <c r="BZ2290" s="1" t="s">
        <v>209</v>
      </c>
      <c r="CA2290" s="1" t="s">
        <v>210</v>
      </c>
      <c r="CB2290" s="1" t="s">
        <v>229</v>
      </c>
      <c r="CC2290" s="1" t="s">
        <v>215</v>
      </c>
      <c r="CD2290" s="1" t="s">
        <v>206</v>
      </c>
      <c r="CE2290" s="1" t="s">
        <v>207</v>
      </c>
      <c r="CG2290" s="1" t="s">
        <v>830</v>
      </c>
      <c r="CH2290" s="1" t="s">
        <v>209</v>
      </c>
      <c r="CI2290" s="1" t="s">
        <v>210</v>
      </c>
      <c r="CK2290" s="1" t="s">
        <v>2082</v>
      </c>
      <c r="CL2290" s="1" t="s">
        <v>209</v>
      </c>
      <c r="CM2290" s="1" t="s">
        <v>210</v>
      </c>
      <c r="CO2290" s="1" t="s">
        <v>363</v>
      </c>
      <c r="CP2290" s="1" t="s">
        <v>209</v>
      </c>
      <c r="CQ2290" s="1" t="s">
        <v>210</v>
      </c>
      <c r="CS2290" s="1" t="s">
        <v>1426</v>
      </c>
      <c r="CT2290" s="1" t="s">
        <v>206</v>
      </c>
      <c r="CU2290" s="1" t="s">
        <v>207</v>
      </c>
      <c r="CV2290" s="1" t="s">
        <v>229</v>
      </c>
      <c r="CW2290" s="1" t="s">
        <v>390</v>
      </c>
      <c r="CX2290" s="1" t="s">
        <v>206</v>
      </c>
      <c r="CY2290" s="1" t="s">
        <v>207</v>
      </c>
      <c r="DA2290" s="1" t="s">
        <v>200</v>
      </c>
      <c r="DC2290" s="1" t="s">
        <v>395</v>
      </c>
      <c r="DD2290" s="1" t="s">
        <v>396</v>
      </c>
      <c r="DE2290" s="1" t="s">
        <v>273</v>
      </c>
      <c r="DF2290" s="1" t="s">
        <v>219</v>
      </c>
      <c r="DG2290" s="1" t="s">
        <v>1266</v>
      </c>
      <c r="DH2290" s="1" t="s">
        <v>220</v>
      </c>
      <c r="DI2290" s="1" t="s">
        <v>680</v>
      </c>
      <c r="DJ2290" s="1" t="s">
        <v>222</v>
      </c>
      <c r="DK2290" s="1" t="s">
        <v>4741</v>
      </c>
      <c r="DL2290" s="1" t="s">
        <v>224</v>
      </c>
      <c r="DM2290" s="1" t="s">
        <v>338</v>
      </c>
      <c r="DN2290" s="1" t="s">
        <v>666</v>
      </c>
      <c r="DO2290" s="1" t="s">
        <v>717</v>
      </c>
      <c r="DP2290" s="1" t="s">
        <v>340</v>
      </c>
      <c r="DQ2290" s="1" t="s">
        <v>441</v>
      </c>
      <c r="DR2290" s="1" t="s">
        <v>1269</v>
      </c>
      <c r="DS2290" s="1" t="s">
        <v>230</v>
      </c>
      <c r="DU2290" s="1" t="s">
        <v>442</v>
      </c>
      <c r="DV2290" s="1" t="s">
        <v>2692</v>
      </c>
      <c r="DW2290" s="1" t="s">
        <v>8300</v>
      </c>
      <c r="DX2290" s="1" t="s">
        <v>234</v>
      </c>
      <c r="DZ2290" s="1" t="s">
        <v>282</v>
      </c>
      <c r="EA2290" s="1" t="s">
        <v>2535</v>
      </c>
      <c r="EB2290" s="1" t="s">
        <v>937</v>
      </c>
      <c r="EC2290" s="1" t="s">
        <v>237</v>
      </c>
      <c r="ED2290" s="1" t="s">
        <v>407</v>
      </c>
      <c r="EG2290" s="1" t="s">
        <v>450</v>
      </c>
      <c r="EH2290" s="1" t="s">
        <v>598</v>
      </c>
      <c r="EL2290" s="1" t="s">
        <v>394</v>
      </c>
      <c r="EM2290" s="1" t="s">
        <v>42</v>
      </c>
      <c r="EN2290" s="1" t="s">
        <v>210</v>
      </c>
      <c r="EO2290" s="1" t="s">
        <v>229</v>
      </c>
      <c r="EP2290" s="1" t="s">
        <v>1395</v>
      </c>
      <c r="EQ2290" s="1" t="s">
        <v>42</v>
      </c>
      <c r="ER2290" s="1" t="s">
        <v>210</v>
      </c>
      <c r="ES2290" s="1" t="s">
        <v>229</v>
      </c>
      <c r="EU2290" s="1" t="s">
        <v>238</v>
      </c>
      <c r="EY2290" s="1" t="s">
        <v>238</v>
      </c>
      <c r="FC2290" s="1" t="s">
        <v>238</v>
      </c>
      <c r="FF2290" s="1" t="s">
        <v>239</v>
      </c>
      <c r="FG2290" s="1" t="s">
        <v>192</v>
      </c>
      <c r="FH2290" s="1" t="s">
        <v>192</v>
      </c>
      <c r="FJ2290" s="1" t="s">
        <v>347</v>
      </c>
      <c r="FK2290" s="1" t="s">
        <v>229</v>
      </c>
      <c r="FL2290" s="1" t="s">
        <v>1855</v>
      </c>
      <c r="FM2290" s="1">
        <v>41.0</v>
      </c>
      <c r="FN2290" s="1" t="s">
        <v>1856</v>
      </c>
      <c r="FO2290" s="1" t="s">
        <v>1857</v>
      </c>
      <c r="FP2290" s="1">
        <v>8483.0</v>
      </c>
      <c r="FQ2290" s="1" t="s">
        <v>1858</v>
      </c>
      <c r="FS2290" s="1" t="s">
        <v>1859</v>
      </c>
      <c r="FT2290" s="1" t="s">
        <v>1860</v>
      </c>
      <c r="FU2290" s="1" t="s">
        <v>1861</v>
      </c>
      <c r="FV2290" s="1" t="s">
        <v>200</v>
      </c>
      <c r="FW2290" s="1" t="s">
        <v>1307</v>
      </c>
      <c r="FX2290" s="1" t="s">
        <v>655</v>
      </c>
      <c r="FZ2290" s="1" t="s">
        <v>229</v>
      </c>
      <c r="GA2290" s="1" t="s">
        <v>291</v>
      </c>
      <c r="GB2290" s="2">
        <v>42048.0</v>
      </c>
      <c r="GC2290" s="1" t="s">
        <v>21140</v>
      </c>
    </row>
    <row r="2291">
      <c r="A2291" s="1">
        <v>445000.0</v>
      </c>
      <c r="B2291" s="1" t="s">
        <v>185</v>
      </c>
      <c r="C2291" s="1" t="str">
        <f>"08749707"</f>
        <v>08749707</v>
      </c>
      <c r="D2291" s="1" t="s">
        <v>186</v>
      </c>
      <c r="F2291" s="1" t="str">
        <f>"8002"</f>
        <v>8002</v>
      </c>
      <c r="G2291" s="2">
        <v>41921.0</v>
      </c>
      <c r="H2291" s="1">
        <v>429000.0</v>
      </c>
      <c r="I2291" s="1">
        <v>16.0</v>
      </c>
      <c r="J2291" s="1">
        <v>429000.0</v>
      </c>
      <c r="K2291" s="2">
        <v>41936.0</v>
      </c>
      <c r="L2291" s="1">
        <v>16.0</v>
      </c>
      <c r="M2291" s="2">
        <v>41936.0</v>
      </c>
      <c r="N2291" s="1" t="s">
        <v>187</v>
      </c>
      <c r="O2291" s="2">
        <v>42145.0</v>
      </c>
      <c r="P2291" s="1">
        <v>143115.0</v>
      </c>
      <c r="Q2291" s="1">
        <v>85115.0</v>
      </c>
      <c r="S2291" s="1">
        <v>2603.0</v>
      </c>
      <c r="T2291" s="1" t="s">
        <v>9560</v>
      </c>
      <c r="U2291" s="1" t="s">
        <v>1442</v>
      </c>
      <c r="V2291" s="1" t="s">
        <v>190</v>
      </c>
      <c r="W2291" s="1">
        <v>60645.0</v>
      </c>
      <c r="Y2291" s="1" t="s">
        <v>21141</v>
      </c>
      <c r="Z2291" s="1">
        <v>2007.0</v>
      </c>
      <c r="AA2291" s="1" t="s">
        <v>200</v>
      </c>
      <c r="AB2291" s="1" t="s">
        <v>193</v>
      </c>
      <c r="AD2291" s="1" t="s">
        <v>194</v>
      </c>
      <c r="AE2291" s="1" t="s">
        <v>195</v>
      </c>
      <c r="AF2291" s="1" t="s">
        <v>2323</v>
      </c>
      <c r="AH2291" s="1" t="s">
        <v>21142</v>
      </c>
      <c r="AI2291" s="1">
        <v>0.0</v>
      </c>
      <c r="AK2291" s="1">
        <v>9.0</v>
      </c>
      <c r="AL2291" s="1">
        <v>3.0</v>
      </c>
      <c r="AM2291" s="1">
        <v>3.0</v>
      </c>
      <c r="AN2291" s="1">
        <v>1.0</v>
      </c>
      <c r="AO2291" s="1" t="s">
        <v>198</v>
      </c>
      <c r="AP2291" s="1">
        <v>2.0</v>
      </c>
      <c r="AQ2291" s="1" t="s">
        <v>198</v>
      </c>
      <c r="AR2291" s="1" t="s">
        <v>192</v>
      </c>
      <c r="AS2291" s="1" t="s">
        <v>199</v>
      </c>
      <c r="AT2291" s="1">
        <v>2.0</v>
      </c>
      <c r="AV2291" s="1" t="s">
        <v>200</v>
      </c>
      <c r="AW2291" s="3">
        <v>7913.0</v>
      </c>
      <c r="AX2291" s="1">
        <v>2013.0</v>
      </c>
      <c r="AZ2291" s="1" t="s">
        <v>200</v>
      </c>
      <c r="BA2291" s="1" t="str">
        <f>"10364030330000"</f>
        <v>10364030330000</v>
      </c>
      <c r="BB2291" s="1" t="s">
        <v>200</v>
      </c>
      <c r="BC2291" s="1">
        <v>0.0</v>
      </c>
      <c r="BD2291" s="1">
        <v>445000.0</v>
      </c>
      <c r="BE2291" s="2">
        <v>41921.0</v>
      </c>
      <c r="BF2291" s="2" t="s">
        <v>21143</v>
      </c>
      <c r="BH2291" s="1">
        <v>0.0</v>
      </c>
      <c r="BK2291" s="1" t="s">
        <v>204</v>
      </c>
      <c r="BL2291" s="1" t="str">
        <f>"6800"</f>
        <v>6800</v>
      </c>
      <c r="BM2291" s="1" t="str">
        <f t="shared" si="1497"/>
        <v>0</v>
      </c>
      <c r="BN2291" s="1">
        <v>2603.0</v>
      </c>
      <c r="BO2291" s="1">
        <v>0.0</v>
      </c>
      <c r="BQ2291" s="1">
        <v>299.0</v>
      </c>
      <c r="BR2291" s="1">
        <v>299.0</v>
      </c>
      <c r="BS2291" s="1">
        <v>299.0</v>
      </c>
      <c r="BT2291" s="1">
        <v>299.0</v>
      </c>
      <c r="BU2291" s="1" t="s">
        <v>17541</v>
      </c>
      <c r="BV2291" s="1" t="s">
        <v>206</v>
      </c>
      <c r="BW2291" s="1" t="s">
        <v>207</v>
      </c>
      <c r="BY2291" s="1" t="s">
        <v>364</v>
      </c>
      <c r="BZ2291" s="1" t="s">
        <v>209</v>
      </c>
      <c r="CA2291" s="1" t="s">
        <v>207</v>
      </c>
      <c r="CC2291" s="1" t="s">
        <v>264</v>
      </c>
      <c r="CD2291" s="1" t="s">
        <v>206</v>
      </c>
      <c r="CE2291" s="1" t="s">
        <v>207</v>
      </c>
      <c r="CG2291" s="1" t="s">
        <v>3989</v>
      </c>
      <c r="CH2291" s="1" t="s">
        <v>209</v>
      </c>
      <c r="CI2291" s="1" t="s">
        <v>207</v>
      </c>
      <c r="CK2291" s="1" t="s">
        <v>215</v>
      </c>
      <c r="CL2291" s="1" t="s">
        <v>209</v>
      </c>
      <c r="CM2291" s="1" t="s">
        <v>207</v>
      </c>
      <c r="CO2291" s="1" t="s">
        <v>1825</v>
      </c>
      <c r="CP2291" s="1" t="s">
        <v>42</v>
      </c>
      <c r="CQ2291" s="1" t="s">
        <v>210</v>
      </c>
      <c r="CS2291" s="1" t="s">
        <v>699</v>
      </c>
      <c r="CT2291" s="1" t="s">
        <v>206</v>
      </c>
      <c r="CU2291" s="1" t="s">
        <v>207</v>
      </c>
      <c r="CW2291" s="1" t="s">
        <v>17541</v>
      </c>
      <c r="CX2291" s="1" t="s">
        <v>42</v>
      </c>
      <c r="CY2291" s="1" t="s">
        <v>210</v>
      </c>
      <c r="DA2291" s="1" t="s">
        <v>200</v>
      </c>
      <c r="DC2291" s="1" t="s">
        <v>481</v>
      </c>
      <c r="DD2291" s="1" t="s">
        <v>731</v>
      </c>
      <c r="DE2291" s="1" t="s">
        <v>1810</v>
      </c>
      <c r="DF2291" s="1" t="s">
        <v>2328</v>
      </c>
      <c r="DG2291" s="1" t="s">
        <v>482</v>
      </c>
      <c r="DH2291" s="1" t="s">
        <v>365</v>
      </c>
      <c r="DI2291" s="1" t="s">
        <v>732</v>
      </c>
      <c r="DJ2291" s="1" t="s">
        <v>222</v>
      </c>
      <c r="DL2291" s="1" t="s">
        <v>224</v>
      </c>
      <c r="DM2291" s="1" t="s">
        <v>229</v>
      </c>
      <c r="DN2291" s="1" t="s">
        <v>2873</v>
      </c>
      <c r="DP2291" s="1" t="s">
        <v>276</v>
      </c>
      <c r="DQ2291" s="1" t="s">
        <v>794</v>
      </c>
      <c r="DR2291" s="1" t="s">
        <v>229</v>
      </c>
      <c r="DS2291" s="1" t="s">
        <v>368</v>
      </c>
      <c r="DU2291" s="1" t="s">
        <v>20846</v>
      </c>
      <c r="DV2291" s="1" t="s">
        <v>21144</v>
      </c>
      <c r="DW2291" s="1" t="s">
        <v>21145</v>
      </c>
      <c r="DX2291" s="1" t="s">
        <v>234</v>
      </c>
      <c r="DY2291" s="1" t="s">
        <v>2730</v>
      </c>
      <c r="DZ2291" s="1" t="s">
        <v>966</v>
      </c>
      <c r="EA2291" s="1" t="s">
        <v>1027</v>
      </c>
      <c r="EB2291" s="1" t="s">
        <v>767</v>
      </c>
      <c r="EC2291" s="1" t="s">
        <v>237</v>
      </c>
      <c r="ED2291" s="1" t="s">
        <v>407</v>
      </c>
      <c r="EE2291" s="1" t="s">
        <v>493</v>
      </c>
      <c r="EG2291" s="1" t="s">
        <v>1164</v>
      </c>
      <c r="EH2291" s="1" t="s">
        <v>968</v>
      </c>
      <c r="EI2291" s="1" t="s">
        <v>310</v>
      </c>
      <c r="EL2291" s="1" t="s">
        <v>4851</v>
      </c>
      <c r="EM2291" s="1" t="s">
        <v>206</v>
      </c>
      <c r="EN2291" s="1" t="s">
        <v>207</v>
      </c>
      <c r="EP2291" s="1" t="s">
        <v>6147</v>
      </c>
      <c r="EQ2291" s="1" t="s">
        <v>209</v>
      </c>
      <c r="ET2291" s="1" t="s">
        <v>3989</v>
      </c>
      <c r="EU2291" s="1" t="s">
        <v>206</v>
      </c>
      <c r="EY2291" s="1" t="s">
        <v>238</v>
      </c>
      <c r="FC2291" s="1" t="s">
        <v>238</v>
      </c>
      <c r="FF2291" s="1" t="s">
        <v>2447</v>
      </c>
      <c r="FG2291" s="1" t="s">
        <v>192</v>
      </c>
      <c r="FH2291" s="1" t="s">
        <v>192</v>
      </c>
      <c r="FJ2291" s="1" t="s">
        <v>18949</v>
      </c>
      <c r="FK2291" s="1" t="s">
        <v>1586</v>
      </c>
      <c r="FL2291" s="1" t="s">
        <v>10344</v>
      </c>
      <c r="FM2291" s="1">
        <v>85747.0</v>
      </c>
      <c r="FN2291" s="1" t="s">
        <v>21146</v>
      </c>
      <c r="FO2291" s="1" t="s">
        <v>21147</v>
      </c>
      <c r="FP2291" s="1">
        <v>876463.0</v>
      </c>
      <c r="FQ2291" s="1" t="s">
        <v>21148</v>
      </c>
      <c r="FU2291" s="1" t="s">
        <v>1541</v>
      </c>
      <c r="FV2291" s="1" t="s">
        <v>200</v>
      </c>
      <c r="FW2291" s="1" t="s">
        <v>567</v>
      </c>
      <c r="FX2291" s="1" t="s">
        <v>246</v>
      </c>
      <c r="FZ2291" s="1" t="s">
        <v>229</v>
      </c>
      <c r="GA2291" s="1" t="s">
        <v>291</v>
      </c>
      <c r="GB2291" s="2">
        <v>42146.0</v>
      </c>
      <c r="GC2291" s="1" t="s">
        <v>21149</v>
      </c>
    </row>
    <row r="2292">
      <c r="A2292" s="1">
        <v>350000.0</v>
      </c>
      <c r="B2292" s="1" t="s">
        <v>185</v>
      </c>
      <c r="C2292" s="1" t="str">
        <f>"08749549"</f>
        <v>08749549</v>
      </c>
      <c r="D2292" s="1" t="s">
        <v>186</v>
      </c>
      <c r="F2292" s="1" t="str">
        <f>"8019"</f>
        <v>8019</v>
      </c>
      <c r="G2292" s="2">
        <v>41921.0</v>
      </c>
      <c r="H2292" s="1">
        <v>379900.0</v>
      </c>
      <c r="I2292" s="1">
        <v>180.0</v>
      </c>
      <c r="J2292" s="1">
        <v>359900.0</v>
      </c>
      <c r="K2292" s="2">
        <v>41973.0</v>
      </c>
      <c r="L2292" s="1">
        <v>53.0</v>
      </c>
      <c r="M2292" s="2">
        <v>41973.0</v>
      </c>
      <c r="N2292" s="1" t="s">
        <v>356</v>
      </c>
      <c r="O2292" s="2">
        <v>42045.0</v>
      </c>
      <c r="P2292" s="1">
        <v>125740.0</v>
      </c>
      <c r="Q2292" s="1">
        <v>17299.0</v>
      </c>
      <c r="R2292" s="1">
        <v>10000.0</v>
      </c>
      <c r="S2292" s="1">
        <v>2951.0</v>
      </c>
      <c r="T2292" s="1" t="s">
        <v>21150</v>
      </c>
      <c r="U2292" s="1" t="s">
        <v>189</v>
      </c>
      <c r="V2292" s="1" t="s">
        <v>190</v>
      </c>
      <c r="W2292" s="1">
        <v>60641.0</v>
      </c>
      <c r="Y2292" s="1" t="s">
        <v>21151</v>
      </c>
      <c r="Z2292" s="1">
        <v>1927.0</v>
      </c>
      <c r="AA2292" s="1" t="s">
        <v>192</v>
      </c>
      <c r="AB2292" s="1" t="s">
        <v>193</v>
      </c>
      <c r="AD2292" s="1" t="s">
        <v>194</v>
      </c>
      <c r="AE2292" s="1" t="s">
        <v>195</v>
      </c>
      <c r="AF2292" s="1" t="s">
        <v>196</v>
      </c>
      <c r="AH2292" s="1">
        <v>3780.0</v>
      </c>
      <c r="AI2292" s="1">
        <v>0.0868</v>
      </c>
      <c r="AK2292" s="1">
        <v>9.0</v>
      </c>
      <c r="AL2292" s="1">
        <v>3.0</v>
      </c>
      <c r="AM2292" s="1">
        <v>3.0</v>
      </c>
      <c r="AN2292" s="1">
        <v>0.0</v>
      </c>
      <c r="AO2292" s="1" t="s">
        <v>229</v>
      </c>
      <c r="AP2292" s="1">
        <v>1.0</v>
      </c>
      <c r="AQ2292" s="1" t="s">
        <v>198</v>
      </c>
      <c r="AR2292" s="1" t="s">
        <v>192</v>
      </c>
      <c r="AS2292" s="1" t="s">
        <v>199</v>
      </c>
      <c r="AT2292" s="1">
        <v>2.0</v>
      </c>
      <c r="AV2292" s="1" t="s">
        <v>200</v>
      </c>
      <c r="AW2292" s="1">
        <v>3817.11</v>
      </c>
      <c r="AX2292" s="1">
        <v>2012.0</v>
      </c>
      <c r="AY2292" s="1" t="s">
        <v>229</v>
      </c>
      <c r="AZ2292" s="1" t="s">
        <v>200</v>
      </c>
      <c r="BA2292" s="1" t="str">
        <f>"13281180020000"</f>
        <v>13281180020000</v>
      </c>
      <c r="BC2292" s="1">
        <v>3000.0</v>
      </c>
      <c r="BD2292" s="1">
        <v>350000.0</v>
      </c>
      <c r="BE2292" s="2">
        <v>41921.0</v>
      </c>
      <c r="BF2292" s="2" t="s">
        <v>21152</v>
      </c>
      <c r="BH2292" s="1">
        <v>0.0</v>
      </c>
      <c r="BK2292" s="1" t="s">
        <v>204</v>
      </c>
      <c r="BL2292" s="1" t="str">
        <f>"2951"</f>
        <v>2951</v>
      </c>
      <c r="BM2292" s="1" t="str">
        <f t="shared" si="1497"/>
        <v>0</v>
      </c>
      <c r="BN2292" s="1">
        <v>5500.0</v>
      </c>
      <c r="BO2292" s="1">
        <v>0.0</v>
      </c>
      <c r="BQ2292" s="1">
        <v>299.0</v>
      </c>
      <c r="BR2292" s="1">
        <v>299.0</v>
      </c>
      <c r="BS2292" s="1">
        <v>299.0</v>
      </c>
      <c r="BU2292" s="1" t="s">
        <v>214</v>
      </c>
      <c r="BV2292" s="1" t="s">
        <v>206</v>
      </c>
      <c r="BW2292" s="1" t="s">
        <v>207</v>
      </c>
      <c r="BY2292" s="1" t="s">
        <v>214</v>
      </c>
      <c r="BZ2292" s="1" t="s">
        <v>209</v>
      </c>
      <c r="CC2292" s="1" t="s">
        <v>454</v>
      </c>
      <c r="CD2292" s="1" t="s">
        <v>206</v>
      </c>
      <c r="CE2292" s="1" t="s">
        <v>207</v>
      </c>
      <c r="CG2292" s="1" t="s">
        <v>1483</v>
      </c>
      <c r="CH2292" s="1" t="s">
        <v>209</v>
      </c>
      <c r="CI2292" s="1" t="s">
        <v>210</v>
      </c>
      <c r="CK2292" s="1" t="s">
        <v>264</v>
      </c>
      <c r="CL2292" s="1" t="s">
        <v>206</v>
      </c>
      <c r="CM2292" s="1" t="s">
        <v>207</v>
      </c>
      <c r="CO2292" s="1" t="s">
        <v>363</v>
      </c>
      <c r="CP2292" s="1" t="s">
        <v>42</v>
      </c>
      <c r="CS2292" s="1" t="s">
        <v>1891</v>
      </c>
      <c r="CT2292" s="1" t="s">
        <v>206</v>
      </c>
      <c r="CU2292" s="1" t="s">
        <v>207</v>
      </c>
      <c r="CW2292" s="1" t="s">
        <v>743</v>
      </c>
      <c r="CX2292" s="1" t="s">
        <v>42</v>
      </c>
      <c r="CY2292" s="1" t="s">
        <v>210</v>
      </c>
      <c r="DA2292" s="1" t="s">
        <v>200</v>
      </c>
      <c r="DC2292" s="1" t="s">
        <v>785</v>
      </c>
      <c r="DD2292" s="1" t="s">
        <v>306</v>
      </c>
      <c r="DE2292" s="1" t="s">
        <v>273</v>
      </c>
      <c r="DF2292" s="1" t="s">
        <v>219</v>
      </c>
      <c r="DH2292" s="1" t="s">
        <v>365</v>
      </c>
      <c r="DI2292" s="1" t="s">
        <v>366</v>
      </c>
      <c r="DJ2292" s="1" t="s">
        <v>222</v>
      </c>
      <c r="DL2292" s="1" t="s">
        <v>224</v>
      </c>
      <c r="DM2292" s="1" t="s">
        <v>229</v>
      </c>
      <c r="DP2292" s="1" t="s">
        <v>340</v>
      </c>
      <c r="DQ2292" s="1" t="s">
        <v>718</v>
      </c>
      <c r="DR2292" s="1" t="s">
        <v>229</v>
      </c>
      <c r="DS2292" s="1" t="s">
        <v>591</v>
      </c>
      <c r="DU2292" s="1" t="s">
        <v>12035</v>
      </c>
      <c r="DV2292" s="1" t="s">
        <v>494</v>
      </c>
      <c r="DW2292" s="1" t="s">
        <v>279</v>
      </c>
      <c r="DX2292" s="1" t="s">
        <v>309</v>
      </c>
      <c r="DY2292" s="1" t="s">
        <v>553</v>
      </c>
      <c r="DZ2292" s="1" t="s">
        <v>310</v>
      </c>
      <c r="EA2292" s="1" t="s">
        <v>644</v>
      </c>
      <c r="EC2292" s="1" t="s">
        <v>645</v>
      </c>
      <c r="EE2292" s="1" t="s">
        <v>21153</v>
      </c>
      <c r="EG2292" s="1" t="s">
        <v>494</v>
      </c>
      <c r="EL2292" s="1" t="s">
        <v>264</v>
      </c>
      <c r="EM2292" s="1" t="s">
        <v>42</v>
      </c>
      <c r="EN2292" s="1" t="s">
        <v>210</v>
      </c>
      <c r="EQ2292" s="1" t="s">
        <v>238</v>
      </c>
      <c r="EU2292" s="1" t="s">
        <v>238</v>
      </c>
      <c r="EY2292" s="1" t="s">
        <v>238</v>
      </c>
      <c r="FC2292" s="1" t="s">
        <v>238</v>
      </c>
      <c r="FF2292" s="1" t="s">
        <v>239</v>
      </c>
      <c r="FG2292" s="1" t="s">
        <v>192</v>
      </c>
      <c r="FH2292" s="1" t="s">
        <v>192</v>
      </c>
      <c r="FJ2292" s="1" t="s">
        <v>21154</v>
      </c>
      <c r="FK2292" s="1" t="s">
        <v>557</v>
      </c>
      <c r="FL2292" s="1" t="s">
        <v>4433</v>
      </c>
      <c r="FM2292" s="1">
        <v>18235.0</v>
      </c>
      <c r="FN2292" s="1" t="s">
        <v>4434</v>
      </c>
      <c r="FO2292" s="1" t="s">
        <v>21155</v>
      </c>
      <c r="FP2292" s="1">
        <v>161306.0</v>
      </c>
      <c r="FQ2292" s="1" t="s">
        <v>21156</v>
      </c>
      <c r="FU2292" s="1" t="s">
        <v>1541</v>
      </c>
      <c r="FV2292" s="1" t="s">
        <v>200</v>
      </c>
      <c r="FW2292" s="1" t="s">
        <v>290</v>
      </c>
      <c r="FX2292" s="1" t="s">
        <v>238</v>
      </c>
      <c r="FZ2292" s="1" t="s">
        <v>229</v>
      </c>
      <c r="GA2292" s="1" t="s">
        <v>291</v>
      </c>
      <c r="GB2292" s="2">
        <v>42046.0</v>
      </c>
      <c r="GC2292" s="1" t="s">
        <v>21157</v>
      </c>
    </row>
    <row r="2293">
      <c r="A2293" s="1">
        <v>499000.0</v>
      </c>
      <c r="B2293" s="1" t="s">
        <v>185</v>
      </c>
      <c r="C2293" s="1" t="str">
        <f>"08749786"</f>
        <v>08749786</v>
      </c>
      <c r="D2293" s="1" t="s">
        <v>186</v>
      </c>
      <c r="F2293" s="1" t="str">
        <f>"8024"</f>
        <v>8024</v>
      </c>
      <c r="G2293" s="2">
        <v>41922.0</v>
      </c>
      <c r="H2293" s="1">
        <v>499000.0</v>
      </c>
      <c r="I2293" s="1">
        <v>103.0</v>
      </c>
      <c r="J2293" s="1">
        <v>499000.0</v>
      </c>
      <c r="K2293" s="2">
        <v>41948.0</v>
      </c>
      <c r="L2293" s="1">
        <v>27.0</v>
      </c>
      <c r="M2293" s="2">
        <v>41948.0</v>
      </c>
      <c r="N2293" s="1" t="s">
        <v>187</v>
      </c>
      <c r="O2293" s="2">
        <v>41992.0</v>
      </c>
      <c r="P2293" s="1">
        <v>133078.0</v>
      </c>
      <c r="Q2293" s="1">
        <v>18649.0</v>
      </c>
      <c r="S2293" s="1">
        <v>1342.0</v>
      </c>
      <c r="T2293" s="1" t="s">
        <v>1294</v>
      </c>
      <c r="U2293" s="1" t="s">
        <v>320</v>
      </c>
      <c r="V2293" s="1" t="s">
        <v>190</v>
      </c>
      <c r="W2293" s="1">
        <v>60622.0</v>
      </c>
      <c r="Y2293" s="1" t="s">
        <v>21158</v>
      </c>
      <c r="Z2293" s="1">
        <v>2014.0</v>
      </c>
      <c r="AA2293" s="1" t="s">
        <v>200</v>
      </c>
      <c r="AB2293" s="1" t="s">
        <v>193</v>
      </c>
      <c r="AD2293" s="1" t="s">
        <v>194</v>
      </c>
      <c r="AE2293" s="1" t="s">
        <v>195</v>
      </c>
      <c r="AF2293" s="1" t="s">
        <v>827</v>
      </c>
      <c r="AH2293" s="1" t="s">
        <v>21159</v>
      </c>
      <c r="AK2293" s="1">
        <v>8.0</v>
      </c>
      <c r="AL2293" s="1">
        <v>4.0</v>
      </c>
      <c r="AM2293" s="1">
        <v>3.0</v>
      </c>
      <c r="AN2293" s="1">
        <v>1.0</v>
      </c>
      <c r="AO2293" s="1" t="s">
        <v>198</v>
      </c>
      <c r="AP2293" s="1">
        <v>0.0</v>
      </c>
      <c r="AQ2293" s="1" t="s">
        <v>472</v>
      </c>
      <c r="AR2293" s="1" t="s">
        <v>192</v>
      </c>
      <c r="AS2293" s="1" t="s">
        <v>199</v>
      </c>
      <c r="AT2293" s="1">
        <v>1.5</v>
      </c>
      <c r="AV2293" s="1" t="s">
        <v>200</v>
      </c>
      <c r="AW2293" s="1" t="s">
        <v>575</v>
      </c>
      <c r="AX2293" s="1">
        <v>2013.0</v>
      </c>
      <c r="AY2293" s="1" t="s">
        <v>229</v>
      </c>
      <c r="AZ2293" s="1" t="s">
        <v>200</v>
      </c>
      <c r="BA2293" s="1" t="str">
        <f>"16012170420000"</f>
        <v>16012170420000</v>
      </c>
      <c r="BC2293" s="1">
        <v>0.0</v>
      </c>
      <c r="BD2293" s="1">
        <v>499000.0</v>
      </c>
      <c r="BE2293" s="2">
        <v>41922.0</v>
      </c>
      <c r="BF2293" s="2" t="s">
        <v>21160</v>
      </c>
      <c r="BH2293" s="1">
        <v>0.0</v>
      </c>
      <c r="BK2293" s="1" t="s">
        <v>204</v>
      </c>
      <c r="BL2293" s="1" t="str">
        <f>"1342"</f>
        <v>1342</v>
      </c>
      <c r="BM2293" s="1" t="str">
        <f t="shared" si="1497"/>
        <v>0</v>
      </c>
      <c r="BN2293" s="1">
        <v>2600.0</v>
      </c>
      <c r="BO2293" s="1">
        <v>0.0</v>
      </c>
      <c r="BQ2293" s="1">
        <v>299.0</v>
      </c>
      <c r="BR2293" s="1">
        <v>299.0</v>
      </c>
      <c r="BS2293" s="1">
        <v>299.0</v>
      </c>
      <c r="BU2293" s="1" t="s">
        <v>2121</v>
      </c>
      <c r="BV2293" s="1" t="s">
        <v>206</v>
      </c>
      <c r="BW2293" s="1" t="s">
        <v>207</v>
      </c>
      <c r="BX2293" s="1" t="s">
        <v>229</v>
      </c>
      <c r="BY2293" s="1" t="s">
        <v>332</v>
      </c>
      <c r="BZ2293" s="1" t="s">
        <v>209</v>
      </c>
      <c r="CA2293" s="1" t="s">
        <v>210</v>
      </c>
      <c r="CB2293" s="1" t="s">
        <v>229</v>
      </c>
      <c r="CC2293" s="1" t="s">
        <v>542</v>
      </c>
      <c r="CD2293" s="1" t="s">
        <v>206</v>
      </c>
      <c r="CE2293" s="1" t="s">
        <v>207</v>
      </c>
      <c r="CF2293" s="1" t="s">
        <v>229</v>
      </c>
      <c r="CG2293" s="1" t="s">
        <v>516</v>
      </c>
      <c r="CH2293" s="1" t="s">
        <v>209</v>
      </c>
      <c r="CI2293" s="1" t="s">
        <v>210</v>
      </c>
      <c r="CJ2293" s="1" t="s">
        <v>229</v>
      </c>
      <c r="CK2293" s="1" t="s">
        <v>2047</v>
      </c>
      <c r="CL2293" s="1" t="s">
        <v>209</v>
      </c>
      <c r="CM2293" s="1" t="s">
        <v>210</v>
      </c>
      <c r="CN2293" s="1" t="s">
        <v>229</v>
      </c>
      <c r="CO2293" s="1" t="s">
        <v>269</v>
      </c>
      <c r="CP2293" s="1" t="s">
        <v>267</v>
      </c>
      <c r="CQ2293" s="1" t="s">
        <v>588</v>
      </c>
      <c r="CS2293" s="1" t="s">
        <v>647</v>
      </c>
      <c r="CT2293" s="1" t="s">
        <v>206</v>
      </c>
      <c r="CU2293" s="1" t="s">
        <v>207</v>
      </c>
      <c r="CV2293" s="1" t="s">
        <v>229</v>
      </c>
      <c r="CX2293" s="1" t="s">
        <v>204</v>
      </c>
      <c r="DA2293" s="1" t="s">
        <v>192</v>
      </c>
      <c r="DB2293" s="2">
        <v>41943.0</v>
      </c>
      <c r="DC2293" s="1" t="s">
        <v>744</v>
      </c>
      <c r="DD2293" s="1" t="s">
        <v>217</v>
      </c>
      <c r="DE2293" s="1" t="s">
        <v>273</v>
      </c>
      <c r="DF2293" s="1" t="s">
        <v>219</v>
      </c>
      <c r="DG2293" s="1" t="s">
        <v>12438</v>
      </c>
      <c r="DH2293" s="1" t="s">
        <v>220</v>
      </c>
      <c r="DI2293" s="1" t="s">
        <v>1003</v>
      </c>
      <c r="DJ2293" s="1" t="s">
        <v>222</v>
      </c>
      <c r="DL2293" s="1" t="s">
        <v>858</v>
      </c>
      <c r="DM2293" s="1" t="s">
        <v>229</v>
      </c>
      <c r="DN2293" s="1" t="s">
        <v>548</v>
      </c>
      <c r="DO2293" s="1" t="s">
        <v>21161</v>
      </c>
      <c r="DP2293" s="1" t="s">
        <v>276</v>
      </c>
      <c r="DQ2293" s="1" t="s">
        <v>718</v>
      </c>
      <c r="DR2293" s="1" t="s">
        <v>229</v>
      </c>
      <c r="DS2293" s="1" t="s">
        <v>230</v>
      </c>
      <c r="DU2293" s="1" t="s">
        <v>593</v>
      </c>
      <c r="DV2293" s="1" t="s">
        <v>450</v>
      </c>
      <c r="DW2293" s="1" t="s">
        <v>588</v>
      </c>
      <c r="DX2293" s="1" t="s">
        <v>234</v>
      </c>
      <c r="DY2293" s="1" t="s">
        <v>704</v>
      </c>
      <c r="DZ2293" s="1" t="s">
        <v>310</v>
      </c>
      <c r="EA2293" s="1" t="s">
        <v>1027</v>
      </c>
      <c r="EC2293" s="1" t="s">
        <v>406</v>
      </c>
      <c r="ED2293" s="1" t="s">
        <v>555</v>
      </c>
      <c r="EE2293" s="1" t="s">
        <v>187</v>
      </c>
      <c r="EG2293" s="1" t="s">
        <v>450</v>
      </c>
      <c r="EL2293" s="1" t="s">
        <v>3307</v>
      </c>
      <c r="EM2293" s="1" t="s">
        <v>267</v>
      </c>
      <c r="EN2293" s="1" t="s">
        <v>210</v>
      </c>
      <c r="EO2293" s="1" t="s">
        <v>229</v>
      </c>
      <c r="EQ2293" s="1" t="s">
        <v>238</v>
      </c>
      <c r="EU2293" s="1" t="s">
        <v>238</v>
      </c>
      <c r="EY2293" s="1" t="s">
        <v>238</v>
      </c>
      <c r="FC2293" s="1" t="s">
        <v>238</v>
      </c>
      <c r="FF2293" s="1" t="s">
        <v>239</v>
      </c>
      <c r="FG2293" s="1" t="s">
        <v>192</v>
      </c>
      <c r="FH2293" s="1" t="s">
        <v>192</v>
      </c>
      <c r="FJ2293" s="1" t="s">
        <v>412</v>
      </c>
      <c r="FK2293" s="1" t="s">
        <v>229</v>
      </c>
      <c r="FL2293" s="1" t="s">
        <v>5070</v>
      </c>
      <c r="FM2293" s="1">
        <v>12604.0</v>
      </c>
      <c r="FN2293" s="1" t="s">
        <v>5071</v>
      </c>
      <c r="FO2293" s="1" t="s">
        <v>5072</v>
      </c>
      <c r="FP2293" s="1">
        <v>125093.0</v>
      </c>
      <c r="FQ2293" s="1" t="s">
        <v>5073</v>
      </c>
      <c r="FR2293" s="1">
        <v>148835.0</v>
      </c>
      <c r="FU2293" s="1" t="s">
        <v>5085</v>
      </c>
      <c r="FV2293" s="1" t="s">
        <v>200</v>
      </c>
      <c r="FW2293" s="1" t="s">
        <v>530</v>
      </c>
      <c r="FX2293" s="1" t="s">
        <v>238</v>
      </c>
      <c r="FZ2293" s="1" t="s">
        <v>229</v>
      </c>
      <c r="GA2293" s="1" t="s">
        <v>291</v>
      </c>
      <c r="GB2293" s="2">
        <v>41995.0</v>
      </c>
      <c r="GC2293" s="1" t="s">
        <v>21162</v>
      </c>
    </row>
    <row r="2294">
      <c r="A2294" s="1">
        <v>75000.0</v>
      </c>
      <c r="B2294" s="1" t="s">
        <v>185</v>
      </c>
      <c r="C2294" s="1" t="str">
        <f>"08753025"</f>
        <v>08753025</v>
      </c>
      <c r="D2294" s="1" t="s">
        <v>186</v>
      </c>
      <c r="F2294" s="1" t="str">
        <f>"110"</f>
        <v>110</v>
      </c>
      <c r="G2294" s="2">
        <v>41926.0</v>
      </c>
      <c r="H2294" s="1">
        <v>85900.0</v>
      </c>
      <c r="I2294" s="1">
        <v>52.0</v>
      </c>
      <c r="J2294" s="1">
        <v>74900.0</v>
      </c>
      <c r="K2294" s="2">
        <v>41977.0</v>
      </c>
      <c r="L2294" s="1">
        <v>52.0</v>
      </c>
      <c r="M2294" s="2">
        <v>41977.0</v>
      </c>
      <c r="N2294" s="1" t="s">
        <v>249</v>
      </c>
      <c r="O2294" s="2">
        <v>41992.0</v>
      </c>
      <c r="P2294" s="1">
        <v>168502.0</v>
      </c>
      <c r="Q2294" s="1">
        <v>85115.0</v>
      </c>
      <c r="S2294" s="1">
        <v>625.0</v>
      </c>
      <c r="T2294" s="1" t="s">
        <v>21163</v>
      </c>
      <c r="U2294" s="1" t="s">
        <v>189</v>
      </c>
      <c r="V2294" s="1" t="s">
        <v>807</v>
      </c>
      <c r="W2294" s="1">
        <v>60110.0</v>
      </c>
      <c r="X2294" s="1">
        <v>1316.0</v>
      </c>
      <c r="Y2294" s="1" t="s">
        <v>21164</v>
      </c>
      <c r="Z2294" s="1">
        <v>1957.0</v>
      </c>
      <c r="AA2294" s="1" t="s">
        <v>192</v>
      </c>
      <c r="AB2294" s="1" t="s">
        <v>193</v>
      </c>
      <c r="AD2294" s="1" t="s">
        <v>809</v>
      </c>
      <c r="AE2294" s="1" t="s">
        <v>325</v>
      </c>
      <c r="AF2294" s="1" t="s">
        <v>810</v>
      </c>
      <c r="AH2294" s="1" t="s">
        <v>21165</v>
      </c>
      <c r="AK2294" s="1">
        <v>7.0</v>
      </c>
      <c r="AL2294" s="1">
        <v>4.0</v>
      </c>
      <c r="AM2294" s="1">
        <v>1.0</v>
      </c>
      <c r="AN2294" s="1">
        <v>1.0</v>
      </c>
      <c r="AO2294" s="1" t="s">
        <v>229</v>
      </c>
      <c r="AQ2294" s="1" t="s">
        <v>229</v>
      </c>
      <c r="AR2294" s="1" t="s">
        <v>200</v>
      </c>
      <c r="AS2294" s="1" t="s">
        <v>199</v>
      </c>
      <c r="AT2294" s="1">
        <v>1.0</v>
      </c>
      <c r="AV2294" s="1" t="s">
        <v>200</v>
      </c>
      <c r="AW2294" s="1">
        <v>1636.82</v>
      </c>
      <c r="AX2294" s="1">
        <v>2013.0</v>
      </c>
      <c r="AY2294" s="1" t="s">
        <v>387</v>
      </c>
      <c r="AZ2294" s="1" t="s">
        <v>200</v>
      </c>
      <c r="BA2294" s="1" t="str">
        <f>"0312254004"</f>
        <v>0312254004</v>
      </c>
      <c r="BB2294" s="1" t="s">
        <v>200</v>
      </c>
      <c r="BC2294" s="1">
        <v>1596.0</v>
      </c>
      <c r="BD2294" s="1">
        <v>75000.0</v>
      </c>
      <c r="BE2294" s="2">
        <v>41926.0</v>
      </c>
      <c r="BF2294" s="2" t="s">
        <v>21166</v>
      </c>
      <c r="BH2294" s="1">
        <v>0.0</v>
      </c>
      <c r="BK2294" s="1" t="s">
        <v>204</v>
      </c>
      <c r="BL2294" s="1" t="str">
        <f t="shared" ref="BL2294:BM2294" si="1498">""</f>
        <v/>
      </c>
      <c r="BM2294" s="1" t="str">
        <f t="shared" si="1498"/>
        <v/>
      </c>
      <c r="BQ2294" s="1">
        <v>220.0</v>
      </c>
      <c r="BR2294" s="1">
        <v>220.0</v>
      </c>
      <c r="BS2294" s="1">
        <v>220.0</v>
      </c>
      <c r="BU2294" s="1" t="s">
        <v>5954</v>
      </c>
      <c r="BV2294" s="1" t="s">
        <v>206</v>
      </c>
      <c r="BY2294" s="1" t="s">
        <v>584</v>
      </c>
      <c r="BZ2294" s="1" t="s">
        <v>206</v>
      </c>
      <c r="CD2294" s="1" t="s">
        <v>204</v>
      </c>
      <c r="CG2294" s="1" t="s">
        <v>1672</v>
      </c>
      <c r="CH2294" s="1" t="s">
        <v>206</v>
      </c>
      <c r="CK2294" s="1" t="s">
        <v>1672</v>
      </c>
      <c r="CL2294" s="1" t="s">
        <v>206</v>
      </c>
      <c r="CO2294" s="1" t="s">
        <v>699</v>
      </c>
      <c r="CP2294" s="1" t="s">
        <v>206</v>
      </c>
      <c r="CS2294" s="1" t="s">
        <v>2459</v>
      </c>
      <c r="CT2294" s="1" t="s">
        <v>206</v>
      </c>
      <c r="CW2294" s="1" t="s">
        <v>584</v>
      </c>
      <c r="CX2294" s="1" t="s">
        <v>206</v>
      </c>
      <c r="DA2294" s="1" t="s">
        <v>200</v>
      </c>
      <c r="DC2294" s="1" t="s">
        <v>271</v>
      </c>
      <c r="DD2294" s="1" t="s">
        <v>518</v>
      </c>
      <c r="DE2294" s="1" t="s">
        <v>273</v>
      </c>
      <c r="DF2294" s="1" t="s">
        <v>219</v>
      </c>
      <c r="DG2294" s="1" t="s">
        <v>274</v>
      </c>
      <c r="DH2294" s="1" t="s">
        <v>220</v>
      </c>
      <c r="DJ2294" s="1" t="s">
        <v>222</v>
      </c>
      <c r="DL2294" s="1" t="s">
        <v>1853</v>
      </c>
      <c r="DM2294" s="1" t="s">
        <v>229</v>
      </c>
      <c r="DQ2294" s="1" t="s">
        <v>228</v>
      </c>
      <c r="DR2294" s="1" t="s">
        <v>229</v>
      </c>
      <c r="DV2294" s="1" t="s">
        <v>232</v>
      </c>
      <c r="DW2294" s="1" t="s">
        <v>667</v>
      </c>
      <c r="DX2294" s="1" t="s">
        <v>234</v>
      </c>
      <c r="DY2294" s="1" t="s">
        <v>16748</v>
      </c>
      <c r="EA2294" s="1" t="s">
        <v>683</v>
      </c>
      <c r="EC2294" s="1" t="s">
        <v>685</v>
      </c>
      <c r="EM2294" s="1" t="s">
        <v>238</v>
      </c>
      <c r="EQ2294" s="1" t="s">
        <v>238</v>
      </c>
      <c r="EU2294" s="1" t="s">
        <v>238</v>
      </c>
      <c r="EY2294" s="1" t="s">
        <v>238</v>
      </c>
      <c r="FC2294" s="1" t="s">
        <v>238</v>
      </c>
      <c r="FF2294" s="1" t="s">
        <v>239</v>
      </c>
      <c r="FG2294" s="1" t="s">
        <v>192</v>
      </c>
      <c r="FH2294" s="1" t="s">
        <v>192</v>
      </c>
      <c r="FJ2294" s="1" t="s">
        <v>347</v>
      </c>
      <c r="FK2294" s="1" t="s">
        <v>229</v>
      </c>
      <c r="FL2294" s="1" t="s">
        <v>10856</v>
      </c>
      <c r="FM2294" s="1">
        <v>24569.0</v>
      </c>
      <c r="FN2294" s="1" t="s">
        <v>10857</v>
      </c>
      <c r="FO2294" s="1" t="s">
        <v>10858</v>
      </c>
      <c r="FP2294" s="1">
        <v>236309.0</v>
      </c>
      <c r="FR2294" s="1">
        <v>236310.0</v>
      </c>
      <c r="FU2294" s="1" t="s">
        <v>10859</v>
      </c>
      <c r="FV2294" s="1" t="s">
        <v>200</v>
      </c>
      <c r="FW2294" s="1" t="s">
        <v>1307</v>
      </c>
      <c r="FZ2294" s="1" t="s">
        <v>229</v>
      </c>
      <c r="GA2294" s="1" t="s">
        <v>291</v>
      </c>
      <c r="GB2294" s="2">
        <v>41995.0</v>
      </c>
      <c r="GC2294" s="1" t="s">
        <v>21167</v>
      </c>
    </row>
    <row r="2295">
      <c r="A2295" s="1">
        <v>135000.0</v>
      </c>
      <c r="B2295" s="1" t="s">
        <v>185</v>
      </c>
      <c r="C2295" s="1" t="str">
        <f>"08757646"</f>
        <v>08757646</v>
      </c>
      <c r="D2295" s="1" t="s">
        <v>186</v>
      </c>
      <c r="F2295" s="1" t="str">
        <f>"8069"</f>
        <v>8069</v>
      </c>
      <c r="G2295" s="2">
        <v>41932.0</v>
      </c>
      <c r="H2295" s="1">
        <v>124900.0</v>
      </c>
      <c r="I2295" s="1">
        <v>2.0</v>
      </c>
      <c r="J2295" s="1">
        <v>139900.0</v>
      </c>
      <c r="K2295" s="2">
        <v>41933.0</v>
      </c>
      <c r="L2295" s="1">
        <v>2.0</v>
      </c>
      <c r="M2295" s="2">
        <v>41933.0</v>
      </c>
      <c r="N2295" s="1" t="s">
        <v>356</v>
      </c>
      <c r="O2295" s="2">
        <v>41992.0</v>
      </c>
      <c r="P2295" s="1">
        <v>189258.0</v>
      </c>
      <c r="Q2295" s="1">
        <v>85043.0</v>
      </c>
      <c r="R2295" s="1">
        <v>0.0</v>
      </c>
      <c r="S2295" s="1">
        <v>7426.0</v>
      </c>
      <c r="T2295" s="1" t="s">
        <v>14370</v>
      </c>
      <c r="U2295" s="1" t="s">
        <v>189</v>
      </c>
      <c r="V2295" s="1" t="s">
        <v>190</v>
      </c>
      <c r="W2295" s="1">
        <v>60619.0</v>
      </c>
      <c r="Y2295" s="1" t="s">
        <v>21168</v>
      </c>
      <c r="Z2295" s="1" t="s">
        <v>296</v>
      </c>
      <c r="AA2295" s="1" t="s">
        <v>192</v>
      </c>
      <c r="AB2295" s="1" t="s">
        <v>193</v>
      </c>
      <c r="AC2295" s="1" t="s">
        <v>21169</v>
      </c>
      <c r="AD2295" s="1" t="s">
        <v>194</v>
      </c>
      <c r="AE2295" s="1" t="s">
        <v>195</v>
      </c>
      <c r="AF2295" s="1" t="s">
        <v>637</v>
      </c>
      <c r="AG2295" s="1" t="s">
        <v>778</v>
      </c>
      <c r="AH2295" s="1" t="s">
        <v>359</v>
      </c>
      <c r="AK2295" s="1">
        <v>6.0</v>
      </c>
      <c r="AL2295" s="1">
        <v>3.0</v>
      </c>
      <c r="AM2295" s="1">
        <v>2.0</v>
      </c>
      <c r="AN2295" s="1">
        <v>0.0</v>
      </c>
      <c r="AO2295" s="1" t="s">
        <v>229</v>
      </c>
      <c r="AQ2295" s="1" t="s">
        <v>198</v>
      </c>
      <c r="AR2295" s="1" t="s">
        <v>192</v>
      </c>
      <c r="AS2295" s="1" t="s">
        <v>199</v>
      </c>
      <c r="AT2295" s="1">
        <v>2.0</v>
      </c>
      <c r="AV2295" s="1" t="s">
        <v>200</v>
      </c>
      <c r="AW2295" s="1">
        <v>1734.15</v>
      </c>
      <c r="AX2295" s="1">
        <v>2012.0</v>
      </c>
      <c r="AY2295" s="1" t="s">
        <v>229</v>
      </c>
      <c r="AZ2295" s="1" t="s">
        <v>200</v>
      </c>
      <c r="BA2295" s="1" t="str">
        <f>"20272240160000"</f>
        <v>20272240160000</v>
      </c>
      <c r="BC2295" s="1">
        <v>1800.0</v>
      </c>
      <c r="BD2295" s="1">
        <v>135000.0</v>
      </c>
      <c r="BE2295" s="2">
        <v>41932.0</v>
      </c>
      <c r="BF2295" s="1" t="s">
        <v>21170</v>
      </c>
      <c r="BH2295" s="1">
        <v>0.0</v>
      </c>
      <c r="BK2295" s="1" t="s">
        <v>204</v>
      </c>
      <c r="BL2295" s="1" t="str">
        <f>"0"</f>
        <v>0</v>
      </c>
      <c r="BM2295" s="1" t="str">
        <f>"500"</f>
        <v>500</v>
      </c>
      <c r="BN2295" s="1">
        <v>0.0</v>
      </c>
      <c r="BO2295" s="1">
        <v>7400.0</v>
      </c>
      <c r="BQ2295" s="1">
        <v>299.0</v>
      </c>
      <c r="BR2295" s="1">
        <v>299.0</v>
      </c>
      <c r="BS2295" s="1">
        <v>299.0</v>
      </c>
      <c r="BU2295" s="1" t="s">
        <v>3989</v>
      </c>
      <c r="BV2295" s="1" t="s">
        <v>206</v>
      </c>
      <c r="BW2295" s="1" t="s">
        <v>210</v>
      </c>
      <c r="BY2295" s="1" t="s">
        <v>363</v>
      </c>
      <c r="BZ2295" s="1" t="s">
        <v>206</v>
      </c>
      <c r="CA2295" s="1" t="s">
        <v>207</v>
      </c>
      <c r="CD2295" s="1" t="s">
        <v>204</v>
      </c>
      <c r="CG2295" s="1" t="s">
        <v>363</v>
      </c>
      <c r="CH2295" s="1" t="s">
        <v>206</v>
      </c>
      <c r="CK2295" s="1" t="s">
        <v>363</v>
      </c>
      <c r="CL2295" s="1" t="s">
        <v>206</v>
      </c>
      <c r="CM2295" s="1" t="s">
        <v>207</v>
      </c>
      <c r="CO2295" s="1" t="s">
        <v>264</v>
      </c>
      <c r="CP2295" s="1" t="s">
        <v>42</v>
      </c>
      <c r="CQ2295" s="1" t="s">
        <v>268</v>
      </c>
      <c r="CS2295" s="1" t="s">
        <v>269</v>
      </c>
      <c r="CT2295" s="1" t="s">
        <v>206</v>
      </c>
      <c r="CU2295" s="1" t="s">
        <v>207</v>
      </c>
      <c r="CX2295" s="1" t="s">
        <v>204</v>
      </c>
      <c r="DA2295" s="1" t="s">
        <v>200</v>
      </c>
      <c r="DC2295" s="1" t="s">
        <v>216</v>
      </c>
      <c r="DD2295" s="1" t="s">
        <v>731</v>
      </c>
      <c r="DE2295" s="1" t="s">
        <v>1300</v>
      </c>
      <c r="DF2295" s="1" t="s">
        <v>619</v>
      </c>
      <c r="DH2295" s="1" t="s">
        <v>365</v>
      </c>
      <c r="DI2295" s="1" t="s">
        <v>703</v>
      </c>
      <c r="DJ2295" s="1" t="s">
        <v>222</v>
      </c>
      <c r="DL2295" s="1" t="s">
        <v>224</v>
      </c>
      <c r="DM2295" s="1" t="s">
        <v>229</v>
      </c>
      <c r="DP2295" s="1" t="s">
        <v>276</v>
      </c>
      <c r="DQ2295" s="1" t="s">
        <v>228</v>
      </c>
      <c r="DR2295" s="1" t="s">
        <v>229</v>
      </c>
      <c r="DS2295" s="1" t="s">
        <v>277</v>
      </c>
      <c r="DV2295" s="1" t="s">
        <v>374</v>
      </c>
      <c r="DW2295" s="1" t="s">
        <v>279</v>
      </c>
      <c r="DX2295" s="1" t="s">
        <v>234</v>
      </c>
      <c r="EA2295" s="1" t="s">
        <v>644</v>
      </c>
      <c r="EC2295" s="1" t="s">
        <v>685</v>
      </c>
      <c r="EG2295" s="1" t="s">
        <v>374</v>
      </c>
      <c r="EL2295" s="1" t="s">
        <v>269</v>
      </c>
      <c r="EM2295" s="1" t="s">
        <v>206</v>
      </c>
      <c r="EQ2295" s="1" t="s">
        <v>238</v>
      </c>
      <c r="EU2295" s="1" t="s">
        <v>238</v>
      </c>
      <c r="EY2295" s="1" t="s">
        <v>238</v>
      </c>
      <c r="FC2295" s="1" t="s">
        <v>238</v>
      </c>
      <c r="FF2295" s="1" t="s">
        <v>239</v>
      </c>
      <c r="FG2295" s="1" t="s">
        <v>192</v>
      </c>
      <c r="FH2295" s="1" t="s">
        <v>192</v>
      </c>
      <c r="FJ2295" s="1" t="s">
        <v>524</v>
      </c>
      <c r="FK2295" s="1" t="s">
        <v>229</v>
      </c>
      <c r="FL2295" s="1" t="s">
        <v>17890</v>
      </c>
      <c r="FM2295" s="1">
        <v>18960.0</v>
      </c>
      <c r="FN2295" s="1" t="s">
        <v>17891</v>
      </c>
      <c r="FO2295" s="1" t="s">
        <v>21171</v>
      </c>
      <c r="FP2295" s="1">
        <v>153744.0</v>
      </c>
      <c r="FQ2295" s="1" t="s">
        <v>21172</v>
      </c>
      <c r="FR2295" s="1">
        <v>168060.0</v>
      </c>
      <c r="FU2295" s="1" t="s">
        <v>3678</v>
      </c>
      <c r="FV2295" s="1" t="s">
        <v>200</v>
      </c>
      <c r="FW2295" s="1" t="s">
        <v>631</v>
      </c>
      <c r="FX2295" s="1" t="s">
        <v>655</v>
      </c>
      <c r="FZ2295" s="1" t="s">
        <v>229</v>
      </c>
      <c r="GA2295" s="1" t="s">
        <v>291</v>
      </c>
      <c r="GB2295" s="2">
        <v>41993.0</v>
      </c>
      <c r="GC2295" s="1" t="s">
        <v>21173</v>
      </c>
    </row>
    <row r="2296">
      <c r="A2296" s="1">
        <v>185000.0</v>
      </c>
      <c r="B2296" s="1" t="s">
        <v>185</v>
      </c>
      <c r="C2296" s="1" t="str">
        <f>"08753902"</f>
        <v>08753902</v>
      </c>
      <c r="D2296" s="1" t="s">
        <v>186</v>
      </c>
      <c r="F2296" s="1" t="str">
        <f>"8021"</f>
        <v>8021</v>
      </c>
      <c r="G2296" s="2">
        <v>41927.0</v>
      </c>
      <c r="H2296" s="1">
        <v>245900.0</v>
      </c>
      <c r="I2296" s="1">
        <v>108.0</v>
      </c>
      <c r="J2296" s="1">
        <v>174900.0</v>
      </c>
      <c r="K2296" s="2">
        <v>42034.0</v>
      </c>
      <c r="L2296" s="1">
        <v>108.0</v>
      </c>
      <c r="M2296" s="2">
        <v>42034.0</v>
      </c>
      <c r="N2296" s="1" t="s">
        <v>1512</v>
      </c>
      <c r="O2296" s="2">
        <v>42087.0</v>
      </c>
      <c r="P2296" s="1">
        <v>124142.0</v>
      </c>
      <c r="Q2296" s="1">
        <v>18080.0</v>
      </c>
      <c r="S2296" s="1">
        <v>2814.0</v>
      </c>
      <c r="T2296" s="1" t="s">
        <v>10114</v>
      </c>
      <c r="U2296" s="1" t="s">
        <v>189</v>
      </c>
      <c r="V2296" s="1" t="s">
        <v>190</v>
      </c>
      <c r="W2296" s="1">
        <v>60618.0</v>
      </c>
      <c r="Y2296" s="1" t="s">
        <v>21174</v>
      </c>
      <c r="Z2296" s="1">
        <v>1968.0</v>
      </c>
      <c r="AA2296" s="1" t="s">
        <v>192</v>
      </c>
      <c r="AB2296" s="1" t="s">
        <v>193</v>
      </c>
      <c r="AD2296" s="1" t="s">
        <v>194</v>
      </c>
      <c r="AE2296" s="1" t="s">
        <v>195</v>
      </c>
      <c r="AF2296" s="1" t="s">
        <v>196</v>
      </c>
      <c r="AH2296" s="1" t="s">
        <v>359</v>
      </c>
      <c r="AK2296" s="1">
        <v>6.0</v>
      </c>
      <c r="AL2296" s="1">
        <v>3.0</v>
      </c>
      <c r="AM2296" s="1">
        <v>2.0</v>
      </c>
      <c r="AN2296" s="1">
        <v>0.0</v>
      </c>
      <c r="AO2296" s="1" t="s">
        <v>229</v>
      </c>
      <c r="AQ2296" s="1" t="s">
        <v>198</v>
      </c>
      <c r="AR2296" s="1" t="s">
        <v>192</v>
      </c>
      <c r="AS2296" s="1" t="s">
        <v>199</v>
      </c>
      <c r="AT2296" s="1">
        <v>2.0</v>
      </c>
      <c r="AV2296" s="1" t="s">
        <v>200</v>
      </c>
      <c r="AW2296" s="1">
        <v>4111.0</v>
      </c>
      <c r="AX2296" s="1">
        <v>2012.0</v>
      </c>
      <c r="AY2296" s="1" t="s">
        <v>229</v>
      </c>
      <c r="AZ2296" s="1" t="s">
        <v>200</v>
      </c>
      <c r="BA2296" s="1" t="str">
        <f>"13261280460000"</f>
        <v>13261280460000</v>
      </c>
      <c r="BC2296" s="1">
        <v>1408.0</v>
      </c>
      <c r="BD2296" s="1">
        <v>185000.0</v>
      </c>
      <c r="BE2296" s="2">
        <v>41927.0</v>
      </c>
      <c r="BF2296" s="2" t="s">
        <v>21175</v>
      </c>
      <c r="BH2296" s="1">
        <v>0.0</v>
      </c>
      <c r="BK2296" s="1" t="s">
        <v>204</v>
      </c>
      <c r="BL2296" s="1" t="str">
        <f>"2814"</f>
        <v>2814</v>
      </c>
      <c r="BM2296" s="1" t="str">
        <f>"0"</f>
        <v>0</v>
      </c>
      <c r="BN2296" s="1">
        <v>3700.0</v>
      </c>
      <c r="BO2296" s="1">
        <v>0.0</v>
      </c>
      <c r="BQ2296" s="1">
        <v>299.0</v>
      </c>
      <c r="BR2296" s="1">
        <v>299.0</v>
      </c>
      <c r="BS2296" s="1">
        <v>299.0</v>
      </c>
      <c r="BU2296" s="1" t="s">
        <v>302</v>
      </c>
      <c r="BV2296" s="1" t="s">
        <v>206</v>
      </c>
      <c r="BW2296" s="1" t="s">
        <v>207</v>
      </c>
      <c r="BY2296" s="1" t="s">
        <v>212</v>
      </c>
      <c r="BZ2296" s="1" t="s">
        <v>206</v>
      </c>
      <c r="CD2296" s="1" t="s">
        <v>204</v>
      </c>
      <c r="CG2296" s="1" t="s">
        <v>264</v>
      </c>
      <c r="CH2296" s="1" t="s">
        <v>206</v>
      </c>
      <c r="CK2296" s="1" t="s">
        <v>543</v>
      </c>
      <c r="CL2296" s="1" t="s">
        <v>206</v>
      </c>
      <c r="CO2296" s="1" t="s">
        <v>269</v>
      </c>
      <c r="CP2296" s="1" t="s">
        <v>42</v>
      </c>
      <c r="CS2296" s="1" t="s">
        <v>6055</v>
      </c>
      <c r="CT2296" s="1" t="s">
        <v>206</v>
      </c>
      <c r="CU2296" s="1" t="s">
        <v>617</v>
      </c>
      <c r="CX2296" s="1" t="s">
        <v>204</v>
      </c>
      <c r="DA2296" s="1" t="s">
        <v>200</v>
      </c>
      <c r="DC2296" s="1" t="s">
        <v>517</v>
      </c>
      <c r="DE2296" s="1" t="s">
        <v>229</v>
      </c>
      <c r="DF2296" s="1" t="s">
        <v>619</v>
      </c>
      <c r="DH2296" s="1" t="s">
        <v>365</v>
      </c>
      <c r="DJ2296" s="1" t="s">
        <v>222</v>
      </c>
      <c r="DL2296" s="1" t="s">
        <v>224</v>
      </c>
      <c r="DM2296" s="1" t="s">
        <v>229</v>
      </c>
      <c r="DQ2296" s="1" t="s">
        <v>228</v>
      </c>
      <c r="DR2296" s="1" t="s">
        <v>229</v>
      </c>
      <c r="DV2296" s="1" t="s">
        <v>232</v>
      </c>
      <c r="DW2296" s="1" t="s">
        <v>279</v>
      </c>
      <c r="DX2296" s="1" t="s">
        <v>234</v>
      </c>
      <c r="DY2296" s="1" t="s">
        <v>704</v>
      </c>
      <c r="EA2296" s="1" t="s">
        <v>683</v>
      </c>
      <c r="EC2296" s="1" t="s">
        <v>685</v>
      </c>
      <c r="EM2296" s="1" t="s">
        <v>238</v>
      </c>
      <c r="EQ2296" s="1" t="s">
        <v>238</v>
      </c>
      <c r="EU2296" s="1" t="s">
        <v>238</v>
      </c>
      <c r="EY2296" s="1" t="s">
        <v>238</v>
      </c>
      <c r="FC2296" s="1" t="s">
        <v>238</v>
      </c>
      <c r="FF2296" s="1" t="s">
        <v>239</v>
      </c>
      <c r="FG2296" s="1" t="s">
        <v>192</v>
      </c>
      <c r="FH2296" s="1" t="s">
        <v>192</v>
      </c>
      <c r="FJ2296" s="1" t="s">
        <v>347</v>
      </c>
      <c r="FK2296" s="1" t="s">
        <v>229</v>
      </c>
      <c r="FL2296" s="1" t="s">
        <v>4048</v>
      </c>
      <c r="FM2296" s="1">
        <v>84077.0</v>
      </c>
      <c r="FN2296" s="1" t="s">
        <v>4049</v>
      </c>
      <c r="FO2296" s="1" t="s">
        <v>4050</v>
      </c>
      <c r="FP2296" s="1">
        <v>175275.0</v>
      </c>
      <c r="FU2296" s="1" t="s">
        <v>21176</v>
      </c>
      <c r="FV2296" s="1" t="s">
        <v>200</v>
      </c>
      <c r="FW2296" s="1" t="s">
        <v>290</v>
      </c>
      <c r="FX2296" s="1" t="s">
        <v>238</v>
      </c>
      <c r="FZ2296" s="1" t="s">
        <v>229</v>
      </c>
      <c r="GA2296" s="1" t="s">
        <v>291</v>
      </c>
      <c r="GB2296" s="2">
        <v>42088.0</v>
      </c>
      <c r="GC2296" s="1" t="s">
        <v>21177</v>
      </c>
    </row>
    <row r="2297">
      <c r="A2297" s="1">
        <v>84000.0</v>
      </c>
      <c r="B2297" s="1" t="s">
        <v>185</v>
      </c>
      <c r="C2297" s="1" t="str">
        <f>"08756705"</f>
        <v>08756705</v>
      </c>
      <c r="D2297" s="1" t="s">
        <v>186</v>
      </c>
      <c r="F2297" s="1" t="str">
        <f>"146"</f>
        <v>146</v>
      </c>
      <c r="G2297" s="2">
        <v>41932.0</v>
      </c>
      <c r="H2297" s="1">
        <v>99900.0</v>
      </c>
      <c r="I2297" s="1">
        <v>149.0</v>
      </c>
      <c r="J2297" s="1">
        <v>88500.0</v>
      </c>
      <c r="K2297" s="2">
        <v>42080.0</v>
      </c>
      <c r="L2297" s="1">
        <v>149.0</v>
      </c>
      <c r="M2297" s="2">
        <v>42080.0</v>
      </c>
      <c r="N2297" s="1" t="s">
        <v>187</v>
      </c>
      <c r="O2297" s="2">
        <v>42107.0</v>
      </c>
      <c r="P2297" s="1">
        <v>351096.0</v>
      </c>
      <c r="Q2297" s="1">
        <v>35108.0</v>
      </c>
      <c r="S2297" s="1">
        <v>307.0</v>
      </c>
      <c r="T2297" s="1" t="s">
        <v>2399</v>
      </c>
      <c r="U2297" s="1" t="s">
        <v>320</v>
      </c>
      <c r="V2297" s="1" t="s">
        <v>7526</v>
      </c>
      <c r="W2297" s="1">
        <v>60146.0</v>
      </c>
      <c r="Y2297" s="1" t="s">
        <v>21178</v>
      </c>
      <c r="Z2297" s="1" t="s">
        <v>296</v>
      </c>
      <c r="AA2297" s="1" t="s">
        <v>192</v>
      </c>
      <c r="AB2297" s="1" t="s">
        <v>193</v>
      </c>
      <c r="AD2297" s="1" t="s">
        <v>7528</v>
      </c>
      <c r="AE2297" s="1" t="s">
        <v>613</v>
      </c>
      <c r="AF2297" s="1" t="s">
        <v>5046</v>
      </c>
      <c r="AH2297" s="1" t="s">
        <v>21179</v>
      </c>
      <c r="AI2297" s="1">
        <v>0.2362</v>
      </c>
      <c r="AK2297" s="1">
        <v>7.0</v>
      </c>
      <c r="AL2297" s="1">
        <v>4.0</v>
      </c>
      <c r="AM2297" s="1">
        <v>1.0</v>
      </c>
      <c r="AN2297" s="1">
        <v>1.0</v>
      </c>
      <c r="AO2297" s="1" t="s">
        <v>229</v>
      </c>
      <c r="AQ2297" s="1" t="s">
        <v>1314</v>
      </c>
      <c r="AR2297" s="1" t="s">
        <v>192</v>
      </c>
      <c r="AS2297" s="1" t="s">
        <v>199</v>
      </c>
      <c r="AT2297" s="1">
        <v>1.0</v>
      </c>
      <c r="AV2297" s="1" t="s">
        <v>200</v>
      </c>
      <c r="AW2297" s="1">
        <v>4456.02</v>
      </c>
      <c r="AX2297" s="1">
        <v>2013.0</v>
      </c>
      <c r="AZ2297" s="1" t="s">
        <v>200</v>
      </c>
      <c r="BA2297" s="1" t="str">
        <f>"0126255008"</f>
        <v>0126255008</v>
      </c>
      <c r="BC2297" s="1">
        <v>1580.0</v>
      </c>
      <c r="BD2297" s="1">
        <v>84000.0</v>
      </c>
      <c r="BE2297" s="2">
        <v>41932.0</v>
      </c>
      <c r="BF2297" s="2" t="s">
        <v>21180</v>
      </c>
      <c r="BH2297" s="1">
        <v>0.0</v>
      </c>
      <c r="BK2297" s="1" t="s">
        <v>204</v>
      </c>
      <c r="BL2297" s="1" t="str">
        <f t="shared" ref="BL2297:BM2297" si="1499">"0"</f>
        <v>0</v>
      </c>
      <c r="BM2297" s="1" t="str">
        <f t="shared" si="1499"/>
        <v>0</v>
      </c>
      <c r="BN2297" s="1">
        <v>0.0</v>
      </c>
      <c r="BO2297" s="1">
        <v>0.0</v>
      </c>
      <c r="BQ2297" s="1">
        <v>426.0</v>
      </c>
      <c r="BR2297" s="1">
        <v>426.0</v>
      </c>
      <c r="BS2297" s="1">
        <v>426.0</v>
      </c>
      <c r="BU2297" s="1" t="s">
        <v>784</v>
      </c>
      <c r="BV2297" s="1" t="s">
        <v>206</v>
      </c>
      <c r="BY2297" s="1" t="s">
        <v>262</v>
      </c>
      <c r="BZ2297" s="1" t="s">
        <v>209</v>
      </c>
      <c r="CD2297" s="1" t="s">
        <v>204</v>
      </c>
      <c r="CG2297" s="1" t="s">
        <v>264</v>
      </c>
      <c r="CH2297" s="1" t="s">
        <v>209</v>
      </c>
      <c r="CK2297" s="1" t="s">
        <v>543</v>
      </c>
      <c r="CL2297" s="1" t="s">
        <v>209</v>
      </c>
      <c r="CO2297" s="1" t="s">
        <v>211</v>
      </c>
      <c r="CP2297" s="1" t="s">
        <v>267</v>
      </c>
      <c r="CS2297" s="1" t="s">
        <v>664</v>
      </c>
      <c r="CT2297" s="1" t="s">
        <v>206</v>
      </c>
      <c r="CW2297" s="1" t="s">
        <v>1117</v>
      </c>
      <c r="CX2297" s="1" t="s">
        <v>267</v>
      </c>
      <c r="DA2297" s="1" t="s">
        <v>200</v>
      </c>
      <c r="DC2297" s="1" t="s">
        <v>545</v>
      </c>
      <c r="DE2297" s="1" t="s">
        <v>229</v>
      </c>
      <c r="DF2297" s="1" t="s">
        <v>219</v>
      </c>
      <c r="DH2297" s="1" t="s">
        <v>220</v>
      </c>
      <c r="DJ2297" s="1" t="s">
        <v>222</v>
      </c>
      <c r="DL2297" s="1" t="s">
        <v>858</v>
      </c>
      <c r="DM2297" s="1" t="s">
        <v>229</v>
      </c>
      <c r="DQ2297" s="1" t="s">
        <v>228</v>
      </c>
      <c r="DR2297" s="1" t="s">
        <v>229</v>
      </c>
      <c r="DV2297" s="1" t="s">
        <v>232</v>
      </c>
      <c r="DW2297" s="1" t="s">
        <v>934</v>
      </c>
      <c r="DX2297" s="1" t="s">
        <v>234</v>
      </c>
      <c r="EC2297" s="1" t="s">
        <v>284</v>
      </c>
      <c r="EM2297" s="1" t="s">
        <v>238</v>
      </c>
      <c r="EQ2297" s="1" t="s">
        <v>238</v>
      </c>
      <c r="EU2297" s="1" t="s">
        <v>238</v>
      </c>
      <c r="EY2297" s="1" t="s">
        <v>238</v>
      </c>
      <c r="FC2297" s="1" t="s">
        <v>238</v>
      </c>
      <c r="FF2297" s="1" t="s">
        <v>239</v>
      </c>
      <c r="FG2297" s="1" t="s">
        <v>192</v>
      </c>
      <c r="FH2297" s="1" t="s">
        <v>192</v>
      </c>
      <c r="FJ2297" s="1" t="s">
        <v>21181</v>
      </c>
      <c r="FK2297" s="1" t="s">
        <v>229</v>
      </c>
      <c r="FL2297" s="1" t="s">
        <v>1289</v>
      </c>
      <c r="FM2297" s="1">
        <v>35108.0</v>
      </c>
      <c r="FN2297" s="1" t="s">
        <v>21182</v>
      </c>
      <c r="FO2297" s="1" t="s">
        <v>21183</v>
      </c>
      <c r="FP2297" s="1">
        <v>351096.0</v>
      </c>
      <c r="FQ2297" s="1" t="s">
        <v>21184</v>
      </c>
      <c r="FS2297" s="1" t="s">
        <v>21185</v>
      </c>
      <c r="FU2297" s="1" t="s">
        <v>21186</v>
      </c>
      <c r="FV2297" s="1" t="s">
        <v>192</v>
      </c>
      <c r="FW2297" s="1" t="s">
        <v>1293</v>
      </c>
      <c r="FX2297" s="1" t="s">
        <v>655</v>
      </c>
      <c r="FZ2297" s="1" t="s">
        <v>229</v>
      </c>
      <c r="GA2297" s="1" t="s">
        <v>247</v>
      </c>
      <c r="GB2297" s="2">
        <v>42107.0</v>
      </c>
      <c r="GC2297" s="1" t="s">
        <v>21187</v>
      </c>
    </row>
    <row r="2298">
      <c r="A2298" s="1">
        <v>230000.0</v>
      </c>
      <c r="B2298" s="1" t="s">
        <v>185</v>
      </c>
      <c r="C2298" s="1" t="str">
        <f>"08754215"</f>
        <v>08754215</v>
      </c>
      <c r="D2298" s="1" t="s">
        <v>186</v>
      </c>
      <c r="F2298" s="1" t="str">
        <f>"140"</f>
        <v>140</v>
      </c>
      <c r="G2298" s="2">
        <v>41928.0</v>
      </c>
      <c r="H2298" s="1">
        <v>239900.0</v>
      </c>
      <c r="I2298" s="1">
        <v>27.0</v>
      </c>
      <c r="J2298" s="1">
        <v>239900.0</v>
      </c>
      <c r="K2298" s="2">
        <v>41953.0</v>
      </c>
      <c r="L2298" s="1">
        <v>27.0</v>
      </c>
      <c r="M2298" s="2">
        <v>41953.0</v>
      </c>
      <c r="N2298" s="1" t="s">
        <v>356</v>
      </c>
      <c r="O2298" s="2">
        <v>41985.0</v>
      </c>
      <c r="P2298" s="1">
        <v>7567.0</v>
      </c>
      <c r="Q2298" s="1">
        <v>262.0</v>
      </c>
      <c r="S2298" s="1">
        <v>1760.0</v>
      </c>
      <c r="T2298" s="1" t="s">
        <v>21188</v>
      </c>
      <c r="U2298" s="1" t="s">
        <v>464</v>
      </c>
      <c r="V2298" s="1" t="s">
        <v>321</v>
      </c>
      <c r="W2298" s="1">
        <v>60140.0</v>
      </c>
      <c r="Y2298" s="1" t="s">
        <v>21189</v>
      </c>
      <c r="Z2298" s="1">
        <v>2012.0</v>
      </c>
      <c r="AA2298" s="1" t="s">
        <v>200</v>
      </c>
      <c r="AB2298" s="1" t="s">
        <v>193</v>
      </c>
      <c r="AC2298" s="1" t="s">
        <v>11957</v>
      </c>
      <c r="AD2298" s="1" t="s">
        <v>324</v>
      </c>
      <c r="AE2298" s="1" t="s">
        <v>325</v>
      </c>
      <c r="AF2298" s="1" t="s">
        <v>324</v>
      </c>
      <c r="AG2298" s="1" t="s">
        <v>1313</v>
      </c>
      <c r="AH2298" s="1" t="s">
        <v>21190</v>
      </c>
      <c r="AK2298" s="1">
        <v>10.0</v>
      </c>
      <c r="AL2298" s="1">
        <v>4.0</v>
      </c>
      <c r="AM2298" s="1">
        <v>2.0</v>
      </c>
      <c r="AN2298" s="1">
        <v>1.0</v>
      </c>
      <c r="AO2298" s="1" t="s">
        <v>198</v>
      </c>
      <c r="AP2298" s="1">
        <v>1.0</v>
      </c>
      <c r="AQ2298" s="1" t="s">
        <v>198</v>
      </c>
      <c r="AR2298" s="1" t="s">
        <v>200</v>
      </c>
      <c r="AS2298" s="1" t="s">
        <v>199</v>
      </c>
      <c r="AT2298" s="1">
        <v>2.0</v>
      </c>
      <c r="AV2298" s="1" t="s">
        <v>200</v>
      </c>
      <c r="AW2298" s="1">
        <v>7572.0</v>
      </c>
      <c r="AX2298" s="1">
        <v>2013.0</v>
      </c>
      <c r="AY2298" s="1" t="s">
        <v>387</v>
      </c>
      <c r="AZ2298" s="1" t="s">
        <v>200</v>
      </c>
      <c r="BA2298" s="1" t="str">
        <f>"0112496004"</f>
        <v>0112496004</v>
      </c>
      <c r="BB2298" s="1" t="s">
        <v>200</v>
      </c>
      <c r="BC2298" s="1">
        <v>2282.0</v>
      </c>
      <c r="BD2298" s="1">
        <v>230000.0</v>
      </c>
      <c r="BE2298" s="2">
        <v>41927.0</v>
      </c>
      <c r="BF2298" s="2" t="s">
        <v>21191</v>
      </c>
      <c r="BG2298" s="1" t="s">
        <v>6193</v>
      </c>
      <c r="BH2298" s="1">
        <v>34.0</v>
      </c>
      <c r="BI2298" s="1" t="s">
        <v>5040</v>
      </c>
      <c r="BJ2298" s="1" t="s">
        <v>1182</v>
      </c>
      <c r="BK2298" s="1" t="s">
        <v>474</v>
      </c>
      <c r="BL2298" s="1" t="str">
        <f t="shared" ref="BL2298:BM2298" si="1500">""</f>
        <v/>
      </c>
      <c r="BM2298" s="1" t="str">
        <f t="shared" si="1500"/>
        <v/>
      </c>
      <c r="BQ2298" s="1">
        <v>300.0</v>
      </c>
      <c r="BR2298" s="1">
        <v>300.0</v>
      </c>
      <c r="BS2298" s="1">
        <v>300.0</v>
      </c>
      <c r="BU2298" s="1" t="s">
        <v>663</v>
      </c>
      <c r="BV2298" s="1" t="s">
        <v>206</v>
      </c>
      <c r="BW2298" s="1" t="s">
        <v>210</v>
      </c>
      <c r="BX2298" s="1" t="s">
        <v>229</v>
      </c>
      <c r="BY2298" s="1" t="s">
        <v>1350</v>
      </c>
      <c r="BZ2298" s="1" t="s">
        <v>209</v>
      </c>
      <c r="CA2298" s="1" t="s">
        <v>210</v>
      </c>
      <c r="CB2298" s="1" t="s">
        <v>1549</v>
      </c>
      <c r="CC2298" s="1" t="s">
        <v>1351</v>
      </c>
      <c r="CD2298" s="1" t="s">
        <v>206</v>
      </c>
      <c r="CE2298" s="1" t="s">
        <v>210</v>
      </c>
      <c r="CF2298" s="1" t="s">
        <v>431</v>
      </c>
      <c r="CG2298" s="1" t="s">
        <v>303</v>
      </c>
      <c r="CH2298" s="1" t="s">
        <v>209</v>
      </c>
      <c r="CI2298" s="1" t="s">
        <v>210</v>
      </c>
      <c r="CJ2298" s="1" t="s">
        <v>1118</v>
      </c>
      <c r="CK2298" s="1" t="s">
        <v>303</v>
      </c>
      <c r="CL2298" s="1" t="s">
        <v>209</v>
      </c>
      <c r="CM2298" s="1" t="s">
        <v>210</v>
      </c>
      <c r="CO2298" s="1" t="s">
        <v>269</v>
      </c>
      <c r="CP2298" s="1" t="s">
        <v>209</v>
      </c>
      <c r="CQ2298" s="1" t="s">
        <v>210</v>
      </c>
      <c r="CS2298" s="1" t="s">
        <v>1352</v>
      </c>
      <c r="CT2298" s="1" t="s">
        <v>206</v>
      </c>
      <c r="CU2298" s="1" t="s">
        <v>207</v>
      </c>
      <c r="CV2298" s="1" t="s">
        <v>229</v>
      </c>
      <c r="CW2298" s="1" t="s">
        <v>214</v>
      </c>
      <c r="CX2298" s="1" t="s">
        <v>206</v>
      </c>
      <c r="CY2298" s="1" t="s">
        <v>210</v>
      </c>
      <c r="CZ2298" s="1" t="s">
        <v>1118</v>
      </c>
      <c r="DA2298" s="1" t="s">
        <v>200</v>
      </c>
      <c r="DC2298" s="1" t="s">
        <v>1046</v>
      </c>
      <c r="DD2298" s="1" t="s">
        <v>336</v>
      </c>
      <c r="DE2298" s="1" t="s">
        <v>273</v>
      </c>
      <c r="DF2298" s="1" t="s">
        <v>219</v>
      </c>
      <c r="DG2298" s="1" t="s">
        <v>1602</v>
      </c>
      <c r="DH2298" s="1" t="s">
        <v>220</v>
      </c>
      <c r="DI2298" s="1" t="s">
        <v>221</v>
      </c>
      <c r="DJ2298" s="1" t="s">
        <v>222</v>
      </c>
      <c r="DL2298" s="1" t="s">
        <v>223</v>
      </c>
      <c r="DM2298" s="1" t="s">
        <v>338</v>
      </c>
      <c r="DN2298" s="1" t="s">
        <v>548</v>
      </c>
      <c r="DP2298" s="1" t="s">
        <v>340</v>
      </c>
      <c r="DQ2298" s="1" t="s">
        <v>228</v>
      </c>
      <c r="DR2298" s="1" t="s">
        <v>2593</v>
      </c>
      <c r="DV2298" s="1" t="s">
        <v>21192</v>
      </c>
      <c r="DW2298" s="1" t="s">
        <v>233</v>
      </c>
      <c r="DX2298" s="1" t="s">
        <v>234</v>
      </c>
      <c r="DY2298" s="1" t="s">
        <v>596</v>
      </c>
      <c r="DZ2298" s="1" t="s">
        <v>21193</v>
      </c>
      <c r="EA2298" s="1" t="s">
        <v>1027</v>
      </c>
      <c r="EB2298" s="1" t="s">
        <v>684</v>
      </c>
      <c r="EC2298" s="1" t="s">
        <v>237</v>
      </c>
      <c r="EE2298" s="1" t="s">
        <v>493</v>
      </c>
      <c r="EG2298" s="1" t="s">
        <v>1028</v>
      </c>
      <c r="EH2298" s="1" t="s">
        <v>556</v>
      </c>
      <c r="EI2298" s="1" t="s">
        <v>408</v>
      </c>
      <c r="EL2298" s="1" t="s">
        <v>269</v>
      </c>
      <c r="EM2298" s="1" t="s">
        <v>206</v>
      </c>
      <c r="EN2298" s="1" t="s">
        <v>210</v>
      </c>
      <c r="EO2298" s="1" t="s">
        <v>229</v>
      </c>
      <c r="EP2298" s="1" t="s">
        <v>1316</v>
      </c>
      <c r="EQ2298" s="1" t="s">
        <v>206</v>
      </c>
      <c r="ER2298" s="1" t="s">
        <v>207</v>
      </c>
      <c r="ET2298" s="1" t="s">
        <v>2223</v>
      </c>
      <c r="EU2298" s="1" t="s">
        <v>206</v>
      </c>
      <c r="EV2298" s="1" t="s">
        <v>207</v>
      </c>
      <c r="EY2298" s="1" t="s">
        <v>238</v>
      </c>
      <c r="FC2298" s="1" t="s">
        <v>238</v>
      </c>
      <c r="FF2298" s="1" t="s">
        <v>239</v>
      </c>
      <c r="FG2298" s="1" t="s">
        <v>192</v>
      </c>
      <c r="FH2298" s="1" t="s">
        <v>192</v>
      </c>
      <c r="FJ2298" s="1" t="s">
        <v>2133</v>
      </c>
      <c r="FK2298" s="1" t="s">
        <v>229</v>
      </c>
      <c r="FL2298" s="1" t="s">
        <v>5530</v>
      </c>
      <c r="FM2298" s="1">
        <v>8101.0</v>
      </c>
      <c r="FN2298" s="1" t="s">
        <v>21194</v>
      </c>
      <c r="FO2298" s="1" t="s">
        <v>21195</v>
      </c>
      <c r="FP2298" s="1">
        <v>86136.0</v>
      </c>
      <c r="FQ2298" s="1" t="s">
        <v>21196</v>
      </c>
      <c r="FU2298" s="1" t="s">
        <v>21197</v>
      </c>
      <c r="FV2298" s="1" t="s">
        <v>200</v>
      </c>
      <c r="FW2298" s="1" t="s">
        <v>530</v>
      </c>
      <c r="FZ2298" s="1" t="s">
        <v>229</v>
      </c>
      <c r="GA2298" s="1" t="s">
        <v>291</v>
      </c>
      <c r="GB2298" s="2">
        <v>41985.0</v>
      </c>
      <c r="GC2298" s="1" t="s">
        <v>21198</v>
      </c>
    </row>
    <row r="2299">
      <c r="A2299" s="1">
        <v>262000.0</v>
      </c>
      <c r="B2299" s="1" t="s">
        <v>185</v>
      </c>
      <c r="C2299" s="1" t="str">
        <f>"08752618"</f>
        <v>08752618</v>
      </c>
      <c r="D2299" s="1" t="s">
        <v>186</v>
      </c>
      <c r="F2299" s="1" t="str">
        <f>"656"</f>
        <v>656</v>
      </c>
      <c r="G2299" s="2">
        <v>41926.0</v>
      </c>
      <c r="H2299" s="1">
        <v>315000.0</v>
      </c>
      <c r="I2299" s="1">
        <v>126.0</v>
      </c>
      <c r="J2299" s="1">
        <v>274900.0</v>
      </c>
      <c r="K2299" s="2">
        <v>42051.0</v>
      </c>
      <c r="L2299" s="1">
        <v>126.0</v>
      </c>
      <c r="M2299" s="2">
        <v>42051.0</v>
      </c>
      <c r="N2299" s="1" t="s">
        <v>187</v>
      </c>
      <c r="O2299" s="2">
        <v>42095.0</v>
      </c>
      <c r="P2299" s="1">
        <v>120999.0</v>
      </c>
      <c r="Q2299" s="1">
        <v>10840.0</v>
      </c>
      <c r="S2299" s="1">
        <v>7405.0</v>
      </c>
      <c r="T2299" s="1" t="s">
        <v>21199</v>
      </c>
      <c r="U2299" s="1" t="s">
        <v>320</v>
      </c>
      <c r="V2299" s="1" t="s">
        <v>2344</v>
      </c>
      <c r="W2299" s="1">
        <v>60706.0</v>
      </c>
      <c r="Y2299" s="1" t="s">
        <v>21200</v>
      </c>
      <c r="Z2299" s="1">
        <v>1952.0</v>
      </c>
      <c r="AA2299" s="1" t="s">
        <v>192</v>
      </c>
      <c r="AB2299" s="1" t="s">
        <v>193</v>
      </c>
      <c r="AD2299" s="1" t="s">
        <v>2346</v>
      </c>
      <c r="AE2299" s="1" t="s">
        <v>195</v>
      </c>
      <c r="AF2299" s="1" t="s">
        <v>2347</v>
      </c>
      <c r="AH2299" s="1" t="s">
        <v>21201</v>
      </c>
      <c r="AI2299" s="1">
        <v>0.1303</v>
      </c>
      <c r="AK2299" s="1">
        <v>8.0</v>
      </c>
      <c r="AL2299" s="1">
        <v>4.0</v>
      </c>
      <c r="AM2299" s="1">
        <v>2.0</v>
      </c>
      <c r="AN2299" s="1">
        <v>0.0</v>
      </c>
      <c r="AO2299" s="1" t="s">
        <v>1261</v>
      </c>
      <c r="AP2299" s="1">
        <v>1.0</v>
      </c>
      <c r="AQ2299" s="1" t="s">
        <v>5726</v>
      </c>
      <c r="AR2299" s="1" t="s">
        <v>200</v>
      </c>
      <c r="AS2299" s="1" t="s">
        <v>199</v>
      </c>
      <c r="AT2299" s="1">
        <v>2.0</v>
      </c>
      <c r="AV2299" s="1" t="s">
        <v>200</v>
      </c>
      <c r="AW2299" s="1">
        <v>3312.57</v>
      </c>
      <c r="AX2299" s="1">
        <v>2012.0</v>
      </c>
      <c r="AY2299" s="1" t="s">
        <v>1179</v>
      </c>
      <c r="AZ2299" s="1" t="s">
        <v>200</v>
      </c>
      <c r="BA2299" s="1" t="str">
        <f>"12124230170000"</f>
        <v>12124230170000</v>
      </c>
      <c r="BC2299" s="1">
        <v>1460.0</v>
      </c>
      <c r="BD2299" s="1">
        <v>262000.0</v>
      </c>
      <c r="BE2299" s="2">
        <v>41926.0</v>
      </c>
      <c r="BF2299" s="2" t="s">
        <v>21202</v>
      </c>
      <c r="BG2299" s="1" t="s">
        <v>17588</v>
      </c>
      <c r="BH2299" s="1">
        <v>0.0</v>
      </c>
      <c r="BI2299" s="1" t="s">
        <v>17588</v>
      </c>
      <c r="BJ2299" s="1" t="s">
        <v>17589</v>
      </c>
      <c r="BK2299" s="1" t="s">
        <v>204</v>
      </c>
      <c r="BL2299" s="1" t="str">
        <f>"7"</f>
        <v>7</v>
      </c>
      <c r="BM2299" s="1" t="str">
        <f>""</f>
        <v/>
      </c>
      <c r="BN2299" s="1">
        <v>8.0</v>
      </c>
      <c r="BQ2299" s="1">
        <v>79.0</v>
      </c>
      <c r="BR2299" s="1">
        <v>207.0</v>
      </c>
      <c r="BS2299" s="1">
        <v>79.0</v>
      </c>
      <c r="BU2299" s="1" t="s">
        <v>2900</v>
      </c>
      <c r="BV2299" s="1" t="s">
        <v>206</v>
      </c>
      <c r="BW2299" s="1" t="s">
        <v>210</v>
      </c>
      <c r="BX2299" s="1" t="s">
        <v>239</v>
      </c>
      <c r="BY2299" s="1" t="s">
        <v>1064</v>
      </c>
      <c r="BZ2299" s="1" t="s">
        <v>206</v>
      </c>
      <c r="CA2299" s="1" t="s">
        <v>210</v>
      </c>
      <c r="CB2299" s="1" t="s">
        <v>239</v>
      </c>
      <c r="CD2299" s="1" t="s">
        <v>204</v>
      </c>
      <c r="CG2299" s="1" t="s">
        <v>2459</v>
      </c>
      <c r="CH2299" s="1" t="s">
        <v>209</v>
      </c>
      <c r="CI2299" s="1" t="s">
        <v>207</v>
      </c>
      <c r="CJ2299" s="1" t="s">
        <v>239</v>
      </c>
      <c r="CK2299" s="1" t="s">
        <v>302</v>
      </c>
      <c r="CL2299" s="1" t="s">
        <v>209</v>
      </c>
      <c r="CM2299" s="1" t="s">
        <v>207</v>
      </c>
      <c r="CN2299" s="1" t="s">
        <v>239</v>
      </c>
      <c r="CO2299" s="1" t="s">
        <v>9781</v>
      </c>
      <c r="CP2299" s="1" t="s">
        <v>391</v>
      </c>
      <c r="CQ2299" s="1" t="s">
        <v>210</v>
      </c>
      <c r="CR2299" s="1" t="s">
        <v>239</v>
      </c>
      <c r="CS2299" s="1" t="s">
        <v>215</v>
      </c>
      <c r="CT2299" s="1" t="s">
        <v>206</v>
      </c>
      <c r="CU2299" s="1" t="s">
        <v>268</v>
      </c>
      <c r="CV2299" s="1" t="s">
        <v>239</v>
      </c>
      <c r="CW2299" s="1" t="s">
        <v>1068</v>
      </c>
      <c r="CX2299" s="1" t="s">
        <v>206</v>
      </c>
      <c r="CY2299" s="1" t="s">
        <v>210</v>
      </c>
      <c r="CZ2299" s="1" t="s">
        <v>239</v>
      </c>
      <c r="DA2299" s="1" t="s">
        <v>200</v>
      </c>
      <c r="DC2299" s="1" t="s">
        <v>702</v>
      </c>
      <c r="DD2299" s="1" t="s">
        <v>21203</v>
      </c>
      <c r="DE2299" s="1" t="s">
        <v>273</v>
      </c>
      <c r="DF2299" s="1" t="s">
        <v>219</v>
      </c>
      <c r="DH2299" s="1" t="s">
        <v>365</v>
      </c>
      <c r="DI2299" s="1" t="s">
        <v>680</v>
      </c>
      <c r="DJ2299" s="1" t="s">
        <v>222</v>
      </c>
      <c r="DK2299" s="1" t="s">
        <v>223</v>
      </c>
      <c r="DL2299" s="1" t="s">
        <v>224</v>
      </c>
      <c r="DM2299" s="1" t="s">
        <v>1658</v>
      </c>
      <c r="DN2299" s="1" t="s">
        <v>367</v>
      </c>
      <c r="DQ2299" s="1" t="s">
        <v>228</v>
      </c>
      <c r="DR2299" s="1" t="s">
        <v>229</v>
      </c>
      <c r="DS2299" s="1" t="s">
        <v>230</v>
      </c>
      <c r="DU2299" s="1" t="s">
        <v>3487</v>
      </c>
      <c r="DV2299" s="1" t="s">
        <v>450</v>
      </c>
      <c r="DW2299" s="1" t="s">
        <v>934</v>
      </c>
      <c r="DX2299" s="1" t="s">
        <v>234</v>
      </c>
      <c r="DY2299" s="1" t="s">
        <v>553</v>
      </c>
      <c r="DZ2299" s="1" t="s">
        <v>405</v>
      </c>
      <c r="EA2299" s="1" t="s">
        <v>1075</v>
      </c>
      <c r="EB2299" s="1" t="s">
        <v>5230</v>
      </c>
      <c r="EC2299" s="1" t="s">
        <v>284</v>
      </c>
      <c r="ED2299" s="1" t="s">
        <v>407</v>
      </c>
      <c r="EE2299" s="1" t="s">
        <v>493</v>
      </c>
      <c r="EG2299" s="1" t="s">
        <v>450</v>
      </c>
      <c r="EL2299" s="1" t="s">
        <v>2924</v>
      </c>
      <c r="EM2299" s="1" t="s">
        <v>267</v>
      </c>
      <c r="EN2299" s="1" t="s">
        <v>210</v>
      </c>
      <c r="EO2299" s="1" t="s">
        <v>239</v>
      </c>
      <c r="EQ2299" s="1" t="s">
        <v>238</v>
      </c>
      <c r="EU2299" s="1" t="s">
        <v>238</v>
      </c>
      <c r="EY2299" s="1" t="s">
        <v>238</v>
      </c>
      <c r="FC2299" s="1" t="s">
        <v>238</v>
      </c>
      <c r="FF2299" s="1" t="s">
        <v>239</v>
      </c>
      <c r="FG2299" s="1" t="s">
        <v>192</v>
      </c>
      <c r="FH2299" s="1" t="s">
        <v>192</v>
      </c>
      <c r="FJ2299" s="1" t="s">
        <v>9053</v>
      </c>
      <c r="FK2299" s="1" t="s">
        <v>229</v>
      </c>
      <c r="FL2299" s="1" t="s">
        <v>21204</v>
      </c>
      <c r="FM2299" s="1">
        <v>24477.0</v>
      </c>
      <c r="FN2299" s="1" t="s">
        <v>21205</v>
      </c>
      <c r="FO2299" s="1" t="s">
        <v>21206</v>
      </c>
      <c r="FP2299" s="1">
        <v>225743.0</v>
      </c>
      <c r="FQ2299" s="1" t="s">
        <v>21207</v>
      </c>
      <c r="FS2299" s="1" t="s">
        <v>21208</v>
      </c>
      <c r="FU2299" s="1" t="s">
        <v>21209</v>
      </c>
      <c r="FV2299" s="1" t="s">
        <v>200</v>
      </c>
      <c r="FW2299" s="1" t="s">
        <v>290</v>
      </c>
      <c r="FX2299" s="1" t="s">
        <v>246</v>
      </c>
      <c r="FZ2299" s="1" t="s">
        <v>229</v>
      </c>
      <c r="GA2299" s="1" t="s">
        <v>291</v>
      </c>
      <c r="GB2299" s="2">
        <v>42095.0</v>
      </c>
      <c r="GC2299" s="1" t="s">
        <v>21210</v>
      </c>
    </row>
    <row r="2300">
      <c r="A2300" s="1">
        <v>79900.0</v>
      </c>
      <c r="B2300" s="1" t="s">
        <v>185</v>
      </c>
      <c r="C2300" s="1" t="str">
        <f>"08754633"</f>
        <v>08754633</v>
      </c>
      <c r="D2300" s="1" t="s">
        <v>186</v>
      </c>
      <c r="F2300" s="1" t="str">
        <f>"8066"</f>
        <v>8066</v>
      </c>
      <c r="G2300" s="2">
        <v>41928.0</v>
      </c>
      <c r="H2300" s="1">
        <v>79900.0</v>
      </c>
      <c r="I2300" s="1">
        <v>31.0</v>
      </c>
      <c r="J2300" s="1">
        <v>79900.0</v>
      </c>
      <c r="K2300" s="2">
        <v>41957.0</v>
      </c>
      <c r="L2300" s="1">
        <v>31.0</v>
      </c>
      <c r="M2300" s="2">
        <v>41957.0</v>
      </c>
      <c r="N2300" s="1" t="s">
        <v>249</v>
      </c>
      <c r="O2300" s="2">
        <v>41981.0</v>
      </c>
      <c r="P2300" s="1">
        <v>130860.0</v>
      </c>
      <c r="Q2300" s="1">
        <v>84624.0</v>
      </c>
      <c r="S2300" s="1">
        <v>3447.0</v>
      </c>
      <c r="T2300" s="1" t="s">
        <v>14135</v>
      </c>
      <c r="U2300" s="1" t="s">
        <v>694</v>
      </c>
      <c r="V2300" s="1" t="s">
        <v>190</v>
      </c>
      <c r="W2300" s="1">
        <v>60629.0</v>
      </c>
      <c r="Y2300" s="1" t="s">
        <v>21211</v>
      </c>
      <c r="Z2300" s="1">
        <v>1949.0</v>
      </c>
      <c r="AA2300" s="1" t="s">
        <v>192</v>
      </c>
      <c r="AB2300" s="1" t="s">
        <v>193</v>
      </c>
      <c r="AD2300" s="1" t="s">
        <v>194</v>
      </c>
      <c r="AE2300" s="1" t="s">
        <v>195</v>
      </c>
      <c r="AF2300" s="1" t="s">
        <v>659</v>
      </c>
      <c r="AH2300" s="1" t="s">
        <v>1501</v>
      </c>
      <c r="AI2300" s="1">
        <v>0.0861</v>
      </c>
      <c r="AK2300" s="1">
        <v>7.0</v>
      </c>
      <c r="AL2300" s="1">
        <v>4.0</v>
      </c>
      <c r="AM2300" s="1">
        <v>1.0</v>
      </c>
      <c r="AN2300" s="1">
        <v>0.0</v>
      </c>
      <c r="AO2300" s="1" t="s">
        <v>229</v>
      </c>
      <c r="AQ2300" s="1" t="s">
        <v>198</v>
      </c>
      <c r="AR2300" s="1" t="s">
        <v>200</v>
      </c>
      <c r="AS2300" s="1" t="s">
        <v>199</v>
      </c>
      <c r="AT2300" s="1">
        <v>2.0</v>
      </c>
      <c r="AV2300" s="1" t="s">
        <v>200</v>
      </c>
      <c r="AW2300" s="1">
        <v>2161.63</v>
      </c>
      <c r="AX2300" s="1">
        <v>2012.0</v>
      </c>
      <c r="AZ2300" s="1" t="s">
        <v>200</v>
      </c>
      <c r="BA2300" s="1" t="str">
        <f>"19262030040000"</f>
        <v>19262030040000</v>
      </c>
      <c r="BC2300" s="1">
        <v>1417.0</v>
      </c>
      <c r="BD2300" s="1">
        <v>79900.0</v>
      </c>
      <c r="BE2300" s="2">
        <v>41927.0</v>
      </c>
      <c r="BF2300" s="2" t="s">
        <v>21212</v>
      </c>
      <c r="BH2300" s="1">
        <v>0.0</v>
      </c>
      <c r="BK2300" s="1" t="s">
        <v>204</v>
      </c>
      <c r="BL2300" s="1" t="str">
        <f t="shared" ref="BL2300:BM2300" si="1501">"0"</f>
        <v>0</v>
      </c>
      <c r="BM2300" s="1" t="str">
        <f t="shared" si="1501"/>
        <v>0</v>
      </c>
      <c r="BN2300" s="1">
        <v>3447.0</v>
      </c>
      <c r="BO2300" s="1">
        <v>7100.0</v>
      </c>
      <c r="BQ2300" s="1">
        <v>299.0</v>
      </c>
      <c r="BR2300" s="1">
        <v>299.0</v>
      </c>
      <c r="BS2300" s="1">
        <v>299.0</v>
      </c>
      <c r="BU2300" s="1" t="s">
        <v>4403</v>
      </c>
      <c r="BV2300" s="1" t="s">
        <v>206</v>
      </c>
      <c r="BY2300" s="1" t="s">
        <v>302</v>
      </c>
      <c r="BZ2300" s="1" t="s">
        <v>206</v>
      </c>
      <c r="CC2300" s="1" t="s">
        <v>542</v>
      </c>
      <c r="CD2300" s="1" t="s">
        <v>206</v>
      </c>
      <c r="CG2300" s="1" t="s">
        <v>302</v>
      </c>
      <c r="CH2300" s="1" t="s">
        <v>206</v>
      </c>
      <c r="CK2300" s="1" t="s">
        <v>1044</v>
      </c>
      <c r="CL2300" s="1" t="s">
        <v>209</v>
      </c>
      <c r="CO2300" s="1" t="s">
        <v>1044</v>
      </c>
      <c r="CP2300" s="1" t="s">
        <v>209</v>
      </c>
      <c r="CS2300" s="1" t="s">
        <v>663</v>
      </c>
      <c r="CT2300" s="1" t="s">
        <v>206</v>
      </c>
      <c r="CX2300" s="1" t="s">
        <v>204</v>
      </c>
      <c r="DA2300" s="1" t="s">
        <v>200</v>
      </c>
      <c r="DC2300" s="1" t="s">
        <v>702</v>
      </c>
      <c r="DE2300" s="1" t="s">
        <v>229</v>
      </c>
      <c r="DF2300" s="1" t="s">
        <v>229</v>
      </c>
      <c r="DH2300" s="1" t="s">
        <v>220</v>
      </c>
      <c r="DJ2300" s="1" t="s">
        <v>222</v>
      </c>
      <c r="DL2300" s="1" t="s">
        <v>223</v>
      </c>
      <c r="DM2300" s="1" t="s">
        <v>229</v>
      </c>
      <c r="DQ2300" s="1" t="s">
        <v>228</v>
      </c>
      <c r="DR2300" s="1" t="s">
        <v>229</v>
      </c>
      <c r="DV2300" s="1" t="s">
        <v>232</v>
      </c>
      <c r="DW2300" s="1" t="s">
        <v>279</v>
      </c>
      <c r="DX2300" s="1" t="s">
        <v>309</v>
      </c>
      <c r="EC2300" s="1" t="s">
        <v>645</v>
      </c>
      <c r="EM2300" s="1" t="s">
        <v>238</v>
      </c>
      <c r="EQ2300" s="1" t="s">
        <v>238</v>
      </c>
      <c r="EU2300" s="1" t="s">
        <v>238</v>
      </c>
      <c r="EY2300" s="1" t="s">
        <v>238</v>
      </c>
      <c r="FC2300" s="1" t="s">
        <v>238</v>
      </c>
      <c r="FF2300" s="1" t="s">
        <v>239</v>
      </c>
      <c r="FG2300" s="1" t="s">
        <v>192</v>
      </c>
      <c r="FH2300" s="1" t="s">
        <v>192</v>
      </c>
      <c r="FJ2300" s="1" t="s">
        <v>13647</v>
      </c>
      <c r="FK2300" s="1" t="s">
        <v>229</v>
      </c>
      <c r="FL2300" s="1" t="s">
        <v>6447</v>
      </c>
      <c r="FM2300" s="1">
        <v>84036.0</v>
      </c>
      <c r="FN2300" s="1" t="s">
        <v>6448</v>
      </c>
      <c r="FO2300" s="1" t="s">
        <v>6449</v>
      </c>
      <c r="FP2300" s="1">
        <v>104172.0</v>
      </c>
      <c r="FQ2300" s="1" t="s">
        <v>6448</v>
      </c>
      <c r="FR2300" s="1">
        <v>189090.0</v>
      </c>
      <c r="FU2300" s="1" t="s">
        <v>3678</v>
      </c>
      <c r="FV2300" s="1" t="s">
        <v>200</v>
      </c>
      <c r="FW2300" s="1" t="s">
        <v>6450</v>
      </c>
      <c r="FX2300" s="1" t="s">
        <v>246</v>
      </c>
      <c r="FZ2300" s="1" t="s">
        <v>229</v>
      </c>
      <c r="GA2300" s="1" t="s">
        <v>291</v>
      </c>
      <c r="GB2300" s="2">
        <v>41981.0</v>
      </c>
      <c r="GC2300" s="1" t="s">
        <v>21213</v>
      </c>
    </row>
    <row r="2301">
      <c r="A2301" s="1">
        <v>189500.0</v>
      </c>
      <c r="B2301" s="1" t="s">
        <v>185</v>
      </c>
      <c r="C2301" s="1" t="str">
        <f>"08753039"</f>
        <v>08753039</v>
      </c>
      <c r="D2301" s="1" t="s">
        <v>186</v>
      </c>
      <c r="F2301" s="1" t="str">
        <f>"8002"</f>
        <v>8002</v>
      </c>
      <c r="G2301" s="2">
        <v>41926.0</v>
      </c>
      <c r="H2301" s="1">
        <v>245000.0</v>
      </c>
      <c r="I2301" s="1">
        <v>82.0</v>
      </c>
      <c r="J2301" s="1">
        <v>245000.0</v>
      </c>
      <c r="K2301" s="2">
        <v>42007.0</v>
      </c>
      <c r="L2301" s="1">
        <v>82.0</v>
      </c>
      <c r="M2301" s="2">
        <v>42007.0</v>
      </c>
      <c r="N2301" s="1" t="s">
        <v>249</v>
      </c>
      <c r="O2301" s="2">
        <v>42047.0</v>
      </c>
      <c r="P2301" s="1">
        <v>105930.0</v>
      </c>
      <c r="Q2301" s="1">
        <v>10267.0</v>
      </c>
      <c r="S2301" s="1">
        <v>6606.0</v>
      </c>
      <c r="T2301" s="1" t="s">
        <v>8150</v>
      </c>
      <c r="U2301" s="1" t="s">
        <v>320</v>
      </c>
      <c r="V2301" s="1" t="s">
        <v>190</v>
      </c>
      <c r="W2301" s="1">
        <v>60645.0</v>
      </c>
      <c r="Y2301" s="1" t="s">
        <v>21214</v>
      </c>
      <c r="Z2301" s="1">
        <v>1925.0</v>
      </c>
      <c r="AA2301" s="1" t="s">
        <v>192</v>
      </c>
      <c r="AB2301" s="1" t="s">
        <v>193</v>
      </c>
      <c r="AD2301" s="1" t="s">
        <v>194</v>
      </c>
      <c r="AE2301" s="1" t="s">
        <v>195</v>
      </c>
      <c r="AF2301" s="1" t="s">
        <v>2323</v>
      </c>
      <c r="AH2301" s="1" t="s">
        <v>21215</v>
      </c>
      <c r="AI2301" s="1">
        <v>0.0692</v>
      </c>
      <c r="AK2301" s="1">
        <v>8.0</v>
      </c>
      <c r="AL2301" s="1">
        <v>4.0</v>
      </c>
      <c r="AM2301" s="1">
        <v>3.0</v>
      </c>
      <c r="AN2301" s="1">
        <v>0.0</v>
      </c>
      <c r="AO2301" s="1" t="s">
        <v>229</v>
      </c>
      <c r="AQ2301" s="1" t="s">
        <v>198</v>
      </c>
      <c r="AR2301" s="1" t="s">
        <v>200</v>
      </c>
      <c r="AS2301" s="1" t="s">
        <v>229</v>
      </c>
      <c r="AV2301" s="1" t="s">
        <v>200</v>
      </c>
      <c r="AW2301" s="1">
        <v>3983.0</v>
      </c>
      <c r="AX2301" s="1">
        <v>2013.0</v>
      </c>
      <c r="AY2301" s="1" t="s">
        <v>387</v>
      </c>
      <c r="AZ2301" s="1" t="s">
        <v>200</v>
      </c>
      <c r="BA2301" s="1" t="str">
        <f>"10363010250000"</f>
        <v>10363010250000</v>
      </c>
      <c r="BB2301" s="1" t="s">
        <v>200</v>
      </c>
      <c r="BC2301" s="1">
        <v>0.0</v>
      </c>
      <c r="BD2301" s="1">
        <v>189500.0</v>
      </c>
      <c r="BE2301" s="2">
        <v>41926.0</v>
      </c>
      <c r="BF2301" s="2" t="s">
        <v>21216</v>
      </c>
      <c r="BH2301" s="1">
        <v>0.0</v>
      </c>
      <c r="BK2301" s="1" t="s">
        <v>204</v>
      </c>
      <c r="BL2301" s="1" t="str">
        <f>"6606"</f>
        <v>6606</v>
      </c>
      <c r="BM2301" s="1" t="str">
        <f>"0"</f>
        <v>0</v>
      </c>
      <c r="BN2301" s="1">
        <v>3050.0</v>
      </c>
      <c r="BO2301" s="1">
        <v>0.0</v>
      </c>
      <c r="BQ2301" s="1">
        <v>299.0</v>
      </c>
      <c r="BR2301" s="1">
        <v>299.0</v>
      </c>
      <c r="BS2301" s="1">
        <v>299.0</v>
      </c>
      <c r="BU2301" s="1" t="s">
        <v>2414</v>
      </c>
      <c r="BV2301" s="1" t="s">
        <v>206</v>
      </c>
      <c r="BY2301" s="1" t="s">
        <v>329</v>
      </c>
      <c r="BZ2301" s="1" t="s">
        <v>209</v>
      </c>
      <c r="CC2301" s="1" t="s">
        <v>495</v>
      </c>
      <c r="CD2301" s="1" t="s">
        <v>206</v>
      </c>
      <c r="CG2301" s="1" t="s">
        <v>497</v>
      </c>
      <c r="CH2301" s="1" t="s">
        <v>209</v>
      </c>
      <c r="CK2301" s="1" t="s">
        <v>264</v>
      </c>
      <c r="CL2301" s="1" t="s">
        <v>209</v>
      </c>
      <c r="CO2301" s="1" t="s">
        <v>263</v>
      </c>
      <c r="CP2301" s="1" t="s">
        <v>206</v>
      </c>
      <c r="CS2301" s="1" t="s">
        <v>212</v>
      </c>
      <c r="CT2301" s="1" t="s">
        <v>206</v>
      </c>
      <c r="CW2301" s="1" t="s">
        <v>5655</v>
      </c>
      <c r="CX2301" s="1" t="s">
        <v>42</v>
      </c>
      <c r="DA2301" s="1" t="s">
        <v>200</v>
      </c>
      <c r="DC2301" s="1" t="s">
        <v>785</v>
      </c>
      <c r="DE2301" s="1" t="s">
        <v>229</v>
      </c>
      <c r="DF2301" s="1" t="s">
        <v>229</v>
      </c>
      <c r="DH2301" s="1" t="s">
        <v>220</v>
      </c>
      <c r="DJ2301" s="1" t="s">
        <v>222</v>
      </c>
      <c r="DK2301" s="1" t="s">
        <v>198</v>
      </c>
      <c r="DL2301" s="1" t="s">
        <v>223</v>
      </c>
      <c r="DM2301" s="1" t="s">
        <v>229</v>
      </c>
      <c r="DP2301" s="1" t="s">
        <v>276</v>
      </c>
      <c r="DQ2301" s="1" t="s">
        <v>718</v>
      </c>
      <c r="DR2301" s="1" t="s">
        <v>229</v>
      </c>
      <c r="DV2301" s="1" t="s">
        <v>232</v>
      </c>
      <c r="DW2301" s="1" t="s">
        <v>279</v>
      </c>
      <c r="DX2301" s="1" t="s">
        <v>234</v>
      </c>
      <c r="DY2301" s="1" t="s">
        <v>6341</v>
      </c>
      <c r="EA2301" s="1" t="s">
        <v>644</v>
      </c>
      <c r="EC2301" s="1" t="s">
        <v>237</v>
      </c>
      <c r="EE2301" s="1" t="s">
        <v>1673</v>
      </c>
      <c r="EM2301" s="1" t="s">
        <v>238</v>
      </c>
      <c r="EQ2301" s="1" t="s">
        <v>238</v>
      </c>
      <c r="EU2301" s="1" t="s">
        <v>238</v>
      </c>
      <c r="EY2301" s="1" t="s">
        <v>238</v>
      </c>
      <c r="FC2301" s="1" t="s">
        <v>238</v>
      </c>
      <c r="FF2301" s="1" t="s">
        <v>239</v>
      </c>
      <c r="FG2301" s="1" t="s">
        <v>192</v>
      </c>
      <c r="FH2301" s="1" t="s">
        <v>192</v>
      </c>
      <c r="FJ2301" s="1" t="s">
        <v>3755</v>
      </c>
      <c r="FK2301" s="1" t="s">
        <v>229</v>
      </c>
      <c r="FL2301" s="1" t="s">
        <v>1124</v>
      </c>
      <c r="FM2301" s="1">
        <v>10267.0</v>
      </c>
      <c r="FN2301" s="1" t="s">
        <v>3908</v>
      </c>
      <c r="FO2301" s="1" t="s">
        <v>21217</v>
      </c>
      <c r="FP2301" s="1">
        <v>105930.0</v>
      </c>
      <c r="FQ2301" s="1" t="s">
        <v>21218</v>
      </c>
      <c r="FU2301" s="1" t="s">
        <v>21219</v>
      </c>
      <c r="FV2301" s="1" t="s">
        <v>200</v>
      </c>
      <c r="FW2301" s="1" t="s">
        <v>2754</v>
      </c>
      <c r="FX2301" s="1" t="s">
        <v>238</v>
      </c>
      <c r="FZ2301" s="1" t="s">
        <v>229</v>
      </c>
      <c r="GA2301" s="1" t="s">
        <v>291</v>
      </c>
      <c r="GB2301" s="2">
        <v>42048.0</v>
      </c>
      <c r="GC2301" s="1" t="s">
        <v>21220</v>
      </c>
    </row>
    <row r="2302">
      <c r="A2302" s="1">
        <v>249900.0</v>
      </c>
      <c r="B2302" s="1" t="s">
        <v>185</v>
      </c>
      <c r="C2302" s="1" t="str">
        <f>"08755041"</f>
        <v>08755041</v>
      </c>
      <c r="D2302" s="1" t="s">
        <v>186</v>
      </c>
      <c r="F2302" s="1" t="str">
        <f>"174"</f>
        <v>174</v>
      </c>
      <c r="G2302" s="2">
        <v>41928.0</v>
      </c>
      <c r="H2302" s="1">
        <v>249900.0</v>
      </c>
      <c r="I2302" s="1">
        <v>4.0</v>
      </c>
      <c r="J2302" s="1">
        <v>249900.0</v>
      </c>
      <c r="K2302" s="2">
        <v>41931.0</v>
      </c>
      <c r="L2302" s="1">
        <v>4.0</v>
      </c>
      <c r="M2302" s="2">
        <v>41931.0</v>
      </c>
      <c r="N2302" s="1" t="s">
        <v>634</v>
      </c>
      <c r="O2302" s="2">
        <v>41981.0</v>
      </c>
      <c r="P2302" s="1">
        <v>175562.0</v>
      </c>
      <c r="Q2302" s="1">
        <v>15140.0</v>
      </c>
      <c r="R2302" s="1">
        <v>4300.0</v>
      </c>
      <c r="S2302" s="1">
        <v>1706.0</v>
      </c>
      <c r="T2302" s="1" t="s">
        <v>21221</v>
      </c>
      <c r="U2302" s="1" t="s">
        <v>1174</v>
      </c>
      <c r="V2302" s="1" t="s">
        <v>1200</v>
      </c>
      <c r="W2302" s="1">
        <v>60174.0</v>
      </c>
      <c r="Y2302" s="1" t="s">
        <v>21222</v>
      </c>
      <c r="Z2302" s="1">
        <v>1965.0</v>
      </c>
      <c r="AA2302" s="1" t="s">
        <v>192</v>
      </c>
      <c r="AB2302" s="1" t="s">
        <v>193</v>
      </c>
      <c r="AD2302" s="1" t="s">
        <v>1203</v>
      </c>
      <c r="AE2302" s="1" t="s">
        <v>325</v>
      </c>
      <c r="AF2302" s="1" t="s">
        <v>1203</v>
      </c>
      <c r="AH2302" s="1">
        <v>0.33</v>
      </c>
      <c r="AI2302" s="1">
        <v>0.33</v>
      </c>
      <c r="AK2302" s="1">
        <v>8.0</v>
      </c>
      <c r="AL2302" s="1">
        <v>3.0</v>
      </c>
      <c r="AM2302" s="1">
        <v>2.0</v>
      </c>
      <c r="AN2302" s="1">
        <v>1.0</v>
      </c>
      <c r="AO2302" s="1" t="s">
        <v>2068</v>
      </c>
      <c r="AP2302" s="1">
        <v>1.0</v>
      </c>
      <c r="AQ2302" s="1" t="s">
        <v>198</v>
      </c>
      <c r="AR2302" s="1" t="s">
        <v>192</v>
      </c>
      <c r="AS2302" s="1" t="s">
        <v>199</v>
      </c>
      <c r="AT2302" s="1">
        <v>2.0</v>
      </c>
      <c r="AV2302" s="1" t="s">
        <v>200</v>
      </c>
      <c r="AW2302" s="1">
        <v>7298.62</v>
      </c>
      <c r="AX2302" s="1">
        <v>2013.0</v>
      </c>
      <c r="AY2302" s="1" t="s">
        <v>387</v>
      </c>
      <c r="AZ2302" s="1" t="s">
        <v>200</v>
      </c>
      <c r="BA2302" s="1" t="str">
        <f>"0935402006"</f>
        <v>0935402006</v>
      </c>
      <c r="BC2302" s="1">
        <v>1200.0</v>
      </c>
      <c r="BD2302" s="1">
        <v>249900.0</v>
      </c>
      <c r="BE2302" s="2">
        <v>41928.0</v>
      </c>
      <c r="BG2302" s="1" t="s">
        <v>5913</v>
      </c>
      <c r="BH2302" s="1">
        <v>0.0</v>
      </c>
      <c r="BI2302" s="1" t="s">
        <v>2143</v>
      </c>
      <c r="BJ2302" s="1" t="s">
        <v>2144</v>
      </c>
      <c r="BK2302" s="1" t="s">
        <v>204</v>
      </c>
      <c r="BL2302" s="1" t="str">
        <f t="shared" ref="BL2302:BM2302" si="1502">""</f>
        <v/>
      </c>
      <c r="BM2302" s="1" t="str">
        <f t="shared" si="1502"/>
        <v/>
      </c>
      <c r="BQ2302" s="1">
        <v>303.0</v>
      </c>
      <c r="BR2302" s="1">
        <v>303.0</v>
      </c>
      <c r="BS2302" s="1">
        <v>303.0</v>
      </c>
      <c r="BU2302" s="1" t="s">
        <v>743</v>
      </c>
      <c r="BV2302" s="1" t="s">
        <v>206</v>
      </c>
      <c r="BW2302" s="1" t="s">
        <v>207</v>
      </c>
      <c r="BX2302" s="1" t="s">
        <v>239</v>
      </c>
      <c r="BY2302" s="1" t="s">
        <v>647</v>
      </c>
      <c r="BZ2302" s="1" t="s">
        <v>206</v>
      </c>
      <c r="CA2302" s="1" t="s">
        <v>207</v>
      </c>
      <c r="CB2302" s="1" t="s">
        <v>239</v>
      </c>
      <c r="CD2302" s="1" t="s">
        <v>204</v>
      </c>
      <c r="CG2302" s="1" t="s">
        <v>495</v>
      </c>
      <c r="CH2302" s="1" t="s">
        <v>206</v>
      </c>
      <c r="CI2302" s="1" t="s">
        <v>210</v>
      </c>
      <c r="CJ2302" s="1" t="s">
        <v>239</v>
      </c>
      <c r="CK2302" s="1" t="s">
        <v>264</v>
      </c>
      <c r="CL2302" s="1" t="s">
        <v>206</v>
      </c>
      <c r="CM2302" s="1" t="s">
        <v>210</v>
      </c>
      <c r="CN2302" s="1" t="s">
        <v>239</v>
      </c>
      <c r="CO2302" s="1" t="s">
        <v>784</v>
      </c>
      <c r="CP2302" s="1" t="s">
        <v>42</v>
      </c>
      <c r="CQ2302" s="1" t="s">
        <v>210</v>
      </c>
      <c r="CR2302" s="1" t="s">
        <v>239</v>
      </c>
      <c r="CS2302" s="1" t="s">
        <v>1117</v>
      </c>
      <c r="CT2302" s="1" t="s">
        <v>206</v>
      </c>
      <c r="CU2302" s="1" t="s">
        <v>268</v>
      </c>
      <c r="CV2302" s="1" t="s">
        <v>239</v>
      </c>
      <c r="CW2302" s="1" t="s">
        <v>5540</v>
      </c>
      <c r="CX2302" s="1" t="s">
        <v>42</v>
      </c>
      <c r="CY2302" s="1" t="s">
        <v>210</v>
      </c>
      <c r="CZ2302" s="1" t="s">
        <v>239</v>
      </c>
      <c r="DA2302" s="1" t="s">
        <v>200</v>
      </c>
      <c r="DC2302" s="1" t="s">
        <v>517</v>
      </c>
      <c r="DD2302" s="1" t="s">
        <v>436</v>
      </c>
      <c r="DE2302" s="1" t="s">
        <v>273</v>
      </c>
      <c r="DF2302" s="1" t="s">
        <v>219</v>
      </c>
      <c r="DH2302" s="1" t="s">
        <v>220</v>
      </c>
      <c r="DI2302" s="1" t="s">
        <v>519</v>
      </c>
      <c r="DJ2302" s="1" t="s">
        <v>222</v>
      </c>
      <c r="DL2302" s="1" t="s">
        <v>224</v>
      </c>
      <c r="DM2302" s="1" t="s">
        <v>229</v>
      </c>
      <c r="DN2302" s="1" t="s">
        <v>793</v>
      </c>
      <c r="DO2302" s="1" t="s">
        <v>1004</v>
      </c>
      <c r="DQ2302" s="1" t="s">
        <v>441</v>
      </c>
      <c r="DR2302" s="1" t="s">
        <v>229</v>
      </c>
      <c r="DU2302" s="1" t="s">
        <v>3890</v>
      </c>
      <c r="DV2302" s="1" t="s">
        <v>21223</v>
      </c>
      <c r="DW2302" s="1" t="s">
        <v>1026</v>
      </c>
      <c r="DX2302" s="1" t="s">
        <v>234</v>
      </c>
      <c r="DY2302" s="1" t="s">
        <v>21224</v>
      </c>
      <c r="EA2302" s="1" t="s">
        <v>683</v>
      </c>
      <c r="EB2302" s="1" t="s">
        <v>345</v>
      </c>
      <c r="EC2302" s="1" t="s">
        <v>685</v>
      </c>
      <c r="ED2302" s="1" t="s">
        <v>407</v>
      </c>
      <c r="EG2302" s="1" t="s">
        <v>449</v>
      </c>
      <c r="EH2302" s="1" t="s">
        <v>310</v>
      </c>
      <c r="EL2302" s="1" t="s">
        <v>264</v>
      </c>
      <c r="EM2302" s="1" t="s">
        <v>206</v>
      </c>
      <c r="EN2302" s="1" t="s">
        <v>268</v>
      </c>
      <c r="EP2302" s="1" t="s">
        <v>5414</v>
      </c>
      <c r="EQ2302" s="1" t="s">
        <v>206</v>
      </c>
      <c r="ER2302" s="1" t="s">
        <v>207</v>
      </c>
      <c r="EU2302" s="1" t="s">
        <v>238</v>
      </c>
      <c r="EY2302" s="1" t="s">
        <v>238</v>
      </c>
      <c r="FC2302" s="1" t="s">
        <v>238</v>
      </c>
      <c r="FF2302" s="1" t="s">
        <v>239</v>
      </c>
      <c r="FG2302" s="1" t="s">
        <v>192</v>
      </c>
      <c r="FH2302" s="1" t="s">
        <v>192</v>
      </c>
      <c r="FJ2302" s="1" t="s">
        <v>498</v>
      </c>
      <c r="FK2302" s="1" t="s">
        <v>348</v>
      </c>
      <c r="FL2302" s="1" t="s">
        <v>6233</v>
      </c>
      <c r="FM2302" s="1">
        <v>7630.0</v>
      </c>
      <c r="FN2302" s="1" t="s">
        <v>6234</v>
      </c>
      <c r="FO2302" s="1" t="s">
        <v>21225</v>
      </c>
      <c r="FP2302" s="1">
        <v>2183.0</v>
      </c>
      <c r="FQ2302" s="1" t="s">
        <v>21226</v>
      </c>
      <c r="FU2302" s="1" t="s">
        <v>2030</v>
      </c>
      <c r="FV2302" s="1" t="s">
        <v>200</v>
      </c>
      <c r="FW2302" s="1" t="s">
        <v>530</v>
      </c>
      <c r="FZ2302" s="1" t="s">
        <v>229</v>
      </c>
      <c r="GA2302" s="1" t="s">
        <v>291</v>
      </c>
      <c r="GB2302" s="2">
        <v>41981.0</v>
      </c>
      <c r="GC2302" s="1" t="s">
        <v>21227</v>
      </c>
    </row>
    <row r="2303">
      <c r="A2303" s="1">
        <v>770000.0</v>
      </c>
      <c r="B2303" s="1" t="s">
        <v>185</v>
      </c>
      <c r="C2303" s="1" t="str">
        <f>"08754815"</f>
        <v>08754815</v>
      </c>
      <c r="D2303" s="1" t="s">
        <v>186</v>
      </c>
      <c r="F2303" s="1" t="str">
        <f>"8077"</f>
        <v>8077</v>
      </c>
      <c r="G2303" s="2">
        <v>41928.0</v>
      </c>
      <c r="H2303" s="1">
        <v>779000.0</v>
      </c>
      <c r="I2303" s="1">
        <v>7.0</v>
      </c>
      <c r="J2303" s="1">
        <v>779000.0</v>
      </c>
      <c r="K2303" s="2">
        <v>41934.0</v>
      </c>
      <c r="L2303" s="1">
        <v>7.0</v>
      </c>
      <c r="M2303" s="2">
        <v>41934.0</v>
      </c>
      <c r="N2303" s="1" t="s">
        <v>187</v>
      </c>
      <c r="O2303" s="2">
        <v>41992.0</v>
      </c>
      <c r="P2303" s="1">
        <v>117915.0</v>
      </c>
      <c r="Q2303" s="1">
        <v>15694.0</v>
      </c>
      <c r="S2303" s="1">
        <v>1309.0</v>
      </c>
      <c r="T2303" s="1" t="s">
        <v>18559</v>
      </c>
      <c r="U2303" s="1" t="s">
        <v>189</v>
      </c>
      <c r="V2303" s="1" t="s">
        <v>190</v>
      </c>
      <c r="W2303" s="1">
        <v>60660.0</v>
      </c>
      <c r="Y2303" s="1" t="s">
        <v>21228</v>
      </c>
      <c r="Z2303" s="1">
        <v>1908.0</v>
      </c>
      <c r="AA2303" s="1" t="s">
        <v>192</v>
      </c>
      <c r="AB2303" s="1" t="s">
        <v>193</v>
      </c>
      <c r="AC2303" s="1" t="s">
        <v>18561</v>
      </c>
      <c r="AD2303" s="1" t="s">
        <v>194</v>
      </c>
      <c r="AE2303" s="1" t="s">
        <v>195</v>
      </c>
      <c r="AF2303" s="1" t="s">
        <v>534</v>
      </c>
      <c r="AH2303" s="1" t="s">
        <v>21229</v>
      </c>
      <c r="AK2303" s="1">
        <v>8.0</v>
      </c>
      <c r="AL2303" s="1">
        <v>4.0</v>
      </c>
      <c r="AM2303" s="1">
        <v>2.0</v>
      </c>
      <c r="AN2303" s="1">
        <v>2.0</v>
      </c>
      <c r="AO2303" s="1" t="s">
        <v>198</v>
      </c>
      <c r="AP2303" s="1">
        <v>1.0</v>
      </c>
      <c r="AQ2303" s="1" t="s">
        <v>198</v>
      </c>
      <c r="AR2303" s="1" t="s">
        <v>192</v>
      </c>
      <c r="AS2303" s="1" t="s">
        <v>199</v>
      </c>
      <c r="AT2303" s="1">
        <v>2.0</v>
      </c>
      <c r="AV2303" s="1" t="s">
        <v>200</v>
      </c>
      <c r="AW2303" s="1">
        <v>7390.11</v>
      </c>
      <c r="AX2303" s="1">
        <v>2013.0</v>
      </c>
      <c r="AY2303" s="1" t="s">
        <v>229</v>
      </c>
      <c r="AZ2303" s="1" t="s">
        <v>200</v>
      </c>
      <c r="BA2303" s="1" t="str">
        <f>"14051250150000"</f>
        <v>14051250150000</v>
      </c>
      <c r="BB2303" s="1" t="s">
        <v>200</v>
      </c>
      <c r="BC2303" s="1">
        <v>0.0</v>
      </c>
      <c r="BD2303" s="1">
        <v>770000.0</v>
      </c>
      <c r="BE2303" s="2">
        <v>41928.0</v>
      </c>
      <c r="BF2303" s="2" t="s">
        <v>21230</v>
      </c>
      <c r="BG2303" s="1" t="s">
        <v>4739</v>
      </c>
      <c r="BH2303" s="1">
        <v>0.0</v>
      </c>
      <c r="BJ2303" s="1" t="s">
        <v>4740</v>
      </c>
      <c r="BK2303" s="1" t="s">
        <v>204</v>
      </c>
      <c r="BL2303" s="1" t="str">
        <f>"6100"</f>
        <v>6100</v>
      </c>
      <c r="BM2303" s="1" t="str">
        <f>"0"</f>
        <v>0</v>
      </c>
      <c r="BN2303" s="1">
        <v>1309.0</v>
      </c>
      <c r="BO2303" s="1">
        <v>0.0</v>
      </c>
      <c r="BQ2303" s="1">
        <v>299.0</v>
      </c>
      <c r="BR2303" s="1">
        <v>299.0</v>
      </c>
      <c r="BS2303" s="1">
        <v>299.0</v>
      </c>
      <c r="BU2303" s="1" t="s">
        <v>2565</v>
      </c>
      <c r="BV2303" s="1" t="s">
        <v>206</v>
      </c>
      <c r="BW2303" s="1" t="s">
        <v>207</v>
      </c>
      <c r="BX2303" s="1" t="s">
        <v>431</v>
      </c>
      <c r="BY2303" s="1" t="s">
        <v>1000</v>
      </c>
      <c r="BZ2303" s="1" t="s">
        <v>391</v>
      </c>
      <c r="CA2303" s="1" t="s">
        <v>207</v>
      </c>
      <c r="CB2303" s="1" t="s">
        <v>431</v>
      </c>
      <c r="CC2303" s="1" t="s">
        <v>329</v>
      </c>
      <c r="CD2303" s="1" t="s">
        <v>206</v>
      </c>
      <c r="CE2303" s="1" t="s">
        <v>207</v>
      </c>
      <c r="CG2303" s="1" t="s">
        <v>3539</v>
      </c>
      <c r="CH2303" s="1" t="s">
        <v>209</v>
      </c>
      <c r="CI2303" s="1" t="s">
        <v>207</v>
      </c>
      <c r="CJ2303" s="1" t="s">
        <v>431</v>
      </c>
      <c r="CK2303" s="1" t="s">
        <v>332</v>
      </c>
      <c r="CL2303" s="1" t="s">
        <v>209</v>
      </c>
      <c r="CM2303" s="1" t="s">
        <v>207</v>
      </c>
      <c r="CN2303" s="1" t="s">
        <v>431</v>
      </c>
      <c r="CO2303" s="1" t="s">
        <v>5311</v>
      </c>
      <c r="CP2303" s="1" t="s">
        <v>209</v>
      </c>
      <c r="CQ2303" s="1" t="s">
        <v>207</v>
      </c>
      <c r="CR2303" s="1" t="s">
        <v>431</v>
      </c>
      <c r="CS2303" s="1" t="s">
        <v>1892</v>
      </c>
      <c r="CT2303" s="1" t="s">
        <v>206</v>
      </c>
      <c r="CU2303" s="1" t="s">
        <v>588</v>
      </c>
      <c r="CX2303" s="1" t="s">
        <v>204</v>
      </c>
      <c r="DA2303" s="1" t="s">
        <v>200</v>
      </c>
      <c r="DC2303" s="1" t="s">
        <v>642</v>
      </c>
      <c r="DD2303" s="1" t="s">
        <v>759</v>
      </c>
      <c r="DE2303" s="1" t="s">
        <v>1905</v>
      </c>
      <c r="DF2303" s="1" t="s">
        <v>4120</v>
      </c>
      <c r="DG2303" s="1" t="s">
        <v>2311</v>
      </c>
      <c r="DH2303" s="1" t="s">
        <v>307</v>
      </c>
      <c r="DI2303" s="1" t="s">
        <v>519</v>
      </c>
      <c r="DJ2303" s="1" t="s">
        <v>222</v>
      </c>
      <c r="DK2303" s="1" t="s">
        <v>224</v>
      </c>
      <c r="DL2303" s="1" t="s">
        <v>858</v>
      </c>
      <c r="DM2303" s="1" t="s">
        <v>229</v>
      </c>
      <c r="DO2303" s="1" t="s">
        <v>549</v>
      </c>
      <c r="DP2303" s="1" t="s">
        <v>340</v>
      </c>
      <c r="DQ2303" s="1" t="s">
        <v>794</v>
      </c>
      <c r="DR2303" s="1" t="s">
        <v>229</v>
      </c>
      <c r="DS2303" s="1" t="s">
        <v>591</v>
      </c>
      <c r="DV2303" s="1" t="s">
        <v>21231</v>
      </c>
      <c r="DW2303" s="1" t="s">
        <v>3576</v>
      </c>
      <c r="DX2303" s="1" t="s">
        <v>234</v>
      </c>
      <c r="DY2303" s="1" t="s">
        <v>704</v>
      </c>
      <c r="DZ2303" s="1" t="s">
        <v>310</v>
      </c>
      <c r="EA2303" s="1" t="s">
        <v>1326</v>
      </c>
      <c r="EB2303" s="1" t="s">
        <v>345</v>
      </c>
      <c r="EC2303" s="1" t="s">
        <v>406</v>
      </c>
      <c r="EE2303" s="1" t="s">
        <v>187</v>
      </c>
      <c r="EG2303" s="1" t="s">
        <v>556</v>
      </c>
      <c r="EH2303" s="1" t="s">
        <v>408</v>
      </c>
      <c r="EI2303" s="1" t="s">
        <v>310</v>
      </c>
      <c r="EL2303" s="1" t="s">
        <v>5311</v>
      </c>
      <c r="EM2303" s="1" t="s">
        <v>206</v>
      </c>
      <c r="EN2303" s="1" t="s">
        <v>207</v>
      </c>
      <c r="EP2303" s="1" t="s">
        <v>2367</v>
      </c>
      <c r="EQ2303" s="1" t="s">
        <v>206</v>
      </c>
      <c r="ER2303" s="1" t="s">
        <v>207</v>
      </c>
      <c r="ET2303" s="1" t="s">
        <v>1190</v>
      </c>
      <c r="EU2303" s="1" t="s">
        <v>209</v>
      </c>
      <c r="EY2303" s="1" t="s">
        <v>238</v>
      </c>
      <c r="FC2303" s="1" t="s">
        <v>238</v>
      </c>
      <c r="FF2303" s="1" t="s">
        <v>239</v>
      </c>
      <c r="FG2303" s="1" t="s">
        <v>192</v>
      </c>
      <c r="FH2303" s="1" t="s">
        <v>192</v>
      </c>
      <c r="FJ2303" s="1" t="s">
        <v>4029</v>
      </c>
      <c r="FK2303" s="1" t="s">
        <v>229</v>
      </c>
      <c r="FL2303" s="1" t="s">
        <v>974</v>
      </c>
      <c r="FM2303" s="1">
        <v>10900.0</v>
      </c>
      <c r="FN2303" s="1" t="s">
        <v>1435</v>
      </c>
      <c r="FO2303" s="1" t="s">
        <v>12679</v>
      </c>
      <c r="FP2303" s="1">
        <v>145626.0</v>
      </c>
      <c r="FU2303" s="1" t="s">
        <v>21232</v>
      </c>
      <c r="FV2303" s="1" t="s">
        <v>200</v>
      </c>
      <c r="FW2303" s="1" t="s">
        <v>567</v>
      </c>
      <c r="FX2303" s="1" t="s">
        <v>246</v>
      </c>
      <c r="FZ2303" s="1" t="s">
        <v>229</v>
      </c>
      <c r="GA2303" s="1" t="s">
        <v>291</v>
      </c>
      <c r="GB2303" s="2">
        <v>42004.0</v>
      </c>
    </row>
    <row r="2304">
      <c r="A2304" s="1">
        <v>199000.0</v>
      </c>
      <c r="B2304" s="1" t="s">
        <v>185</v>
      </c>
      <c r="C2304" s="1" t="str">
        <f>"08751891"</f>
        <v>08751891</v>
      </c>
      <c r="D2304" s="1" t="s">
        <v>186</v>
      </c>
      <c r="F2304" s="1" t="str">
        <f>"8045"</f>
        <v>8045</v>
      </c>
      <c r="G2304" s="2">
        <v>41925.0</v>
      </c>
      <c r="H2304" s="1">
        <v>203900.0</v>
      </c>
      <c r="I2304" s="1">
        <v>7.0</v>
      </c>
      <c r="J2304" s="1">
        <v>203900.0</v>
      </c>
      <c r="K2304" s="2">
        <v>41931.0</v>
      </c>
      <c r="L2304" s="1">
        <v>7.0</v>
      </c>
      <c r="M2304" s="2">
        <v>41931.0</v>
      </c>
      <c r="N2304" s="1" t="s">
        <v>356</v>
      </c>
      <c r="O2304" s="2">
        <v>42003.0</v>
      </c>
      <c r="P2304" s="1">
        <v>237708.0</v>
      </c>
      <c r="Q2304" s="1">
        <v>25046.0</v>
      </c>
      <c r="R2304" s="1">
        <v>4975.0</v>
      </c>
      <c r="S2304" s="1">
        <v>8430.0</v>
      </c>
      <c r="T2304" s="1" t="s">
        <v>21233</v>
      </c>
      <c r="U2304" s="1" t="s">
        <v>189</v>
      </c>
      <c r="V2304" s="1" t="s">
        <v>190</v>
      </c>
      <c r="W2304" s="1">
        <v>60619.0</v>
      </c>
      <c r="Y2304" s="1" t="s">
        <v>21234</v>
      </c>
      <c r="Z2304" s="1">
        <v>1929.0</v>
      </c>
      <c r="AA2304" s="1" t="s">
        <v>192</v>
      </c>
      <c r="AB2304" s="1" t="s">
        <v>193</v>
      </c>
      <c r="AD2304" s="1" t="s">
        <v>194</v>
      </c>
      <c r="AE2304" s="1" t="s">
        <v>195</v>
      </c>
      <c r="AF2304" s="1" t="s">
        <v>637</v>
      </c>
      <c r="AH2304" s="1" t="s">
        <v>21235</v>
      </c>
      <c r="AI2304" s="1">
        <v>0.0</v>
      </c>
      <c r="AK2304" s="1">
        <v>9.0</v>
      </c>
      <c r="AL2304" s="1">
        <v>4.0</v>
      </c>
      <c r="AM2304" s="1">
        <v>3.0</v>
      </c>
      <c r="AN2304" s="1">
        <v>0.0</v>
      </c>
      <c r="AO2304" s="1" t="s">
        <v>229</v>
      </c>
      <c r="AP2304" s="1">
        <v>1.0</v>
      </c>
      <c r="AQ2304" s="1" t="s">
        <v>198</v>
      </c>
      <c r="AR2304" s="1" t="s">
        <v>192</v>
      </c>
      <c r="AS2304" s="1" t="s">
        <v>199</v>
      </c>
      <c r="AT2304" s="1">
        <v>2.0</v>
      </c>
      <c r="AV2304" s="1" t="s">
        <v>200</v>
      </c>
      <c r="AW2304" s="3">
        <v>2085.0</v>
      </c>
      <c r="AX2304" s="1">
        <v>2013.0</v>
      </c>
      <c r="AZ2304" s="1" t="s">
        <v>200</v>
      </c>
      <c r="BA2304" s="1" t="str">
        <f>"20354050290000"</f>
        <v>20354050290000</v>
      </c>
      <c r="BB2304" s="1" t="s">
        <v>200</v>
      </c>
      <c r="BC2304" s="1">
        <v>1800.0</v>
      </c>
      <c r="BD2304" s="1">
        <v>199000.0</v>
      </c>
      <c r="BE2304" s="2">
        <v>41925.0</v>
      </c>
      <c r="BF2304" s="2" t="s">
        <v>21236</v>
      </c>
      <c r="BH2304" s="1">
        <v>0.0</v>
      </c>
      <c r="BK2304" s="1" t="s">
        <v>204</v>
      </c>
      <c r="BL2304" s="1" t="str">
        <f>"0"</f>
        <v>0</v>
      </c>
      <c r="BM2304" s="1" t="str">
        <f>"1400"</f>
        <v>1400</v>
      </c>
      <c r="BN2304" s="1">
        <v>0.0</v>
      </c>
      <c r="BO2304" s="1">
        <v>8430.0</v>
      </c>
      <c r="BQ2304" s="1">
        <v>299.0</v>
      </c>
      <c r="BR2304" s="1">
        <v>299.0</v>
      </c>
      <c r="BS2304" s="1">
        <v>299.0</v>
      </c>
      <c r="BU2304" s="1" t="s">
        <v>1653</v>
      </c>
      <c r="BV2304" s="1" t="s">
        <v>206</v>
      </c>
      <c r="BW2304" s="1" t="s">
        <v>207</v>
      </c>
      <c r="BX2304" s="1" t="s">
        <v>229</v>
      </c>
      <c r="BY2304" s="1" t="s">
        <v>830</v>
      </c>
      <c r="BZ2304" s="1" t="s">
        <v>209</v>
      </c>
      <c r="CA2304" s="1" t="s">
        <v>210</v>
      </c>
      <c r="CB2304" s="1" t="s">
        <v>229</v>
      </c>
      <c r="CC2304" s="1" t="s">
        <v>331</v>
      </c>
      <c r="CD2304" s="1" t="s">
        <v>206</v>
      </c>
      <c r="CE2304" s="1" t="s">
        <v>207</v>
      </c>
      <c r="CF2304" s="1" t="s">
        <v>229</v>
      </c>
      <c r="CG2304" s="1" t="s">
        <v>2460</v>
      </c>
      <c r="CH2304" s="1" t="s">
        <v>206</v>
      </c>
      <c r="CI2304" s="1" t="s">
        <v>207</v>
      </c>
      <c r="CJ2304" s="1" t="s">
        <v>229</v>
      </c>
      <c r="CK2304" s="1" t="s">
        <v>4902</v>
      </c>
      <c r="CL2304" s="1" t="s">
        <v>206</v>
      </c>
      <c r="CM2304" s="1" t="s">
        <v>207</v>
      </c>
      <c r="CN2304" s="1" t="s">
        <v>229</v>
      </c>
      <c r="CO2304" s="1" t="s">
        <v>830</v>
      </c>
      <c r="CP2304" s="1" t="s">
        <v>209</v>
      </c>
      <c r="CQ2304" s="1" t="s">
        <v>210</v>
      </c>
      <c r="CR2304" s="1" t="s">
        <v>229</v>
      </c>
      <c r="CS2304" s="1" t="s">
        <v>2224</v>
      </c>
      <c r="CT2304" s="1" t="s">
        <v>206</v>
      </c>
      <c r="CU2304" s="1" t="s">
        <v>207</v>
      </c>
      <c r="CV2304" s="1" t="s">
        <v>229</v>
      </c>
      <c r="CW2304" s="1" t="s">
        <v>1433</v>
      </c>
      <c r="CX2304" s="1" t="s">
        <v>42</v>
      </c>
      <c r="CY2304" s="1" t="s">
        <v>268</v>
      </c>
      <c r="CZ2304" s="1" t="s">
        <v>229</v>
      </c>
      <c r="DA2304" s="1" t="s">
        <v>200</v>
      </c>
      <c r="DC2304" s="1" t="s">
        <v>785</v>
      </c>
      <c r="DD2304" s="1" t="s">
        <v>272</v>
      </c>
      <c r="DE2304" s="1" t="s">
        <v>229</v>
      </c>
      <c r="DF2304" s="1" t="s">
        <v>219</v>
      </c>
      <c r="DH2304" s="1" t="s">
        <v>220</v>
      </c>
      <c r="DI2304" s="1" t="s">
        <v>21237</v>
      </c>
      <c r="DJ2304" s="1" t="s">
        <v>222</v>
      </c>
      <c r="DL2304" s="1" t="s">
        <v>1161</v>
      </c>
      <c r="DM2304" s="1" t="s">
        <v>1143</v>
      </c>
      <c r="DN2304" s="1" t="s">
        <v>2463</v>
      </c>
      <c r="DP2304" s="1" t="s">
        <v>340</v>
      </c>
      <c r="DQ2304" s="1" t="s">
        <v>441</v>
      </c>
      <c r="DR2304" s="1" t="s">
        <v>229</v>
      </c>
      <c r="DV2304" s="1" t="s">
        <v>557</v>
      </c>
      <c r="DW2304" s="1" t="s">
        <v>279</v>
      </c>
      <c r="DX2304" s="1" t="s">
        <v>234</v>
      </c>
      <c r="DY2304" s="1" t="s">
        <v>553</v>
      </c>
      <c r="EA2304" s="1" t="s">
        <v>644</v>
      </c>
      <c r="EB2304" s="1" t="s">
        <v>345</v>
      </c>
      <c r="EC2304" s="1" t="s">
        <v>645</v>
      </c>
      <c r="ED2304" s="1" t="s">
        <v>4163</v>
      </c>
      <c r="EG2304" s="1" t="s">
        <v>557</v>
      </c>
      <c r="EL2304" s="1" t="s">
        <v>1043</v>
      </c>
      <c r="EM2304" s="1" t="s">
        <v>42</v>
      </c>
      <c r="EN2304" s="1" t="s">
        <v>268</v>
      </c>
      <c r="EO2304" s="1" t="s">
        <v>229</v>
      </c>
      <c r="EQ2304" s="1" t="s">
        <v>238</v>
      </c>
      <c r="EU2304" s="1" t="s">
        <v>238</v>
      </c>
      <c r="EY2304" s="1" t="s">
        <v>238</v>
      </c>
      <c r="FC2304" s="1" t="s">
        <v>238</v>
      </c>
      <c r="FF2304" s="1" t="s">
        <v>239</v>
      </c>
      <c r="FG2304" s="1" t="s">
        <v>192</v>
      </c>
      <c r="FH2304" s="1" t="s">
        <v>192</v>
      </c>
      <c r="FJ2304" s="1" t="s">
        <v>1288</v>
      </c>
      <c r="FK2304" s="1" t="s">
        <v>348</v>
      </c>
      <c r="FL2304" s="1" t="s">
        <v>21238</v>
      </c>
      <c r="FM2304" s="1">
        <v>25829.0</v>
      </c>
      <c r="FN2304" s="1" t="s">
        <v>21239</v>
      </c>
      <c r="FO2304" s="1" t="s">
        <v>21240</v>
      </c>
      <c r="FP2304" s="1">
        <v>502309.0</v>
      </c>
      <c r="FQ2304" s="1" t="s">
        <v>21241</v>
      </c>
      <c r="FU2304" s="1" t="s">
        <v>1438</v>
      </c>
      <c r="FV2304" s="1" t="s">
        <v>200</v>
      </c>
      <c r="FW2304" s="1" t="s">
        <v>21242</v>
      </c>
      <c r="FX2304" s="1" t="s">
        <v>655</v>
      </c>
      <c r="FZ2304" s="1" t="s">
        <v>229</v>
      </c>
      <c r="GA2304" s="1" t="s">
        <v>291</v>
      </c>
      <c r="GB2304" s="2">
        <v>42006.0</v>
      </c>
      <c r="GC2304" s="1" t="s">
        <v>21243</v>
      </c>
    </row>
    <row r="2305">
      <c r="A2305" s="1">
        <v>180000.0</v>
      </c>
      <c r="B2305" s="1" t="s">
        <v>185</v>
      </c>
      <c r="C2305" s="1" t="str">
        <f>"08755422"</f>
        <v>08755422</v>
      </c>
      <c r="D2305" s="1" t="s">
        <v>186</v>
      </c>
      <c r="F2305" s="1" t="str">
        <f>"118"</f>
        <v>118</v>
      </c>
      <c r="G2305" s="2">
        <v>41929.0</v>
      </c>
      <c r="H2305" s="1">
        <v>209900.0</v>
      </c>
      <c r="I2305" s="1">
        <v>103.0</v>
      </c>
      <c r="J2305" s="1">
        <v>189900.0</v>
      </c>
      <c r="K2305" s="2">
        <v>42031.0</v>
      </c>
      <c r="L2305" s="1">
        <v>103.0</v>
      </c>
      <c r="M2305" s="2">
        <v>42031.0</v>
      </c>
      <c r="N2305" s="1" t="s">
        <v>187</v>
      </c>
      <c r="O2305" s="2">
        <v>42061.0</v>
      </c>
      <c r="P2305" s="1">
        <v>63069.0</v>
      </c>
      <c r="Q2305" s="1">
        <v>6018.0</v>
      </c>
      <c r="S2305" s="1">
        <v>18.0</v>
      </c>
      <c r="T2305" s="1" t="s">
        <v>21244</v>
      </c>
      <c r="U2305" s="1" t="s">
        <v>320</v>
      </c>
      <c r="V2305" s="1" t="s">
        <v>11676</v>
      </c>
      <c r="W2305" s="1">
        <v>60118.0</v>
      </c>
      <c r="Y2305" s="1" t="s">
        <v>21245</v>
      </c>
      <c r="Z2305" s="1" t="s">
        <v>296</v>
      </c>
      <c r="AA2305" s="1" t="s">
        <v>192</v>
      </c>
      <c r="AB2305" s="1" t="s">
        <v>193</v>
      </c>
      <c r="AD2305" s="1" t="s">
        <v>18936</v>
      </c>
      <c r="AE2305" s="1" t="s">
        <v>325</v>
      </c>
      <c r="AF2305" s="1" t="s">
        <v>810</v>
      </c>
      <c r="AH2305" s="1" t="s">
        <v>21246</v>
      </c>
      <c r="AK2305" s="1">
        <v>8.0</v>
      </c>
      <c r="AL2305" s="1">
        <v>4.0</v>
      </c>
      <c r="AM2305" s="1">
        <v>2.0</v>
      </c>
      <c r="AN2305" s="1">
        <v>0.0</v>
      </c>
      <c r="AO2305" s="1" t="s">
        <v>198</v>
      </c>
      <c r="AP2305" s="1">
        <v>1.0</v>
      </c>
      <c r="AQ2305" s="1" t="s">
        <v>1314</v>
      </c>
      <c r="AR2305" s="1" t="s">
        <v>200</v>
      </c>
      <c r="AS2305" s="1" t="s">
        <v>199</v>
      </c>
      <c r="AT2305" s="1">
        <v>1.0</v>
      </c>
      <c r="AV2305" s="1" t="s">
        <v>200</v>
      </c>
      <c r="AW2305" s="1">
        <v>4844.0</v>
      </c>
      <c r="AX2305" s="1">
        <v>2013.0</v>
      </c>
      <c r="AY2305" s="1" t="s">
        <v>387</v>
      </c>
      <c r="AZ2305" s="1" t="s">
        <v>200</v>
      </c>
      <c r="BA2305" s="1" t="str">
        <f>"0323182013"</f>
        <v>0323182013</v>
      </c>
      <c r="BC2305" s="1">
        <v>2355.0</v>
      </c>
      <c r="BD2305" s="1">
        <v>180000.0</v>
      </c>
      <c r="BE2305" s="2">
        <v>41929.0</v>
      </c>
      <c r="BF2305" s="2" t="s">
        <v>21247</v>
      </c>
      <c r="BH2305" s="1">
        <v>0.0</v>
      </c>
      <c r="BK2305" s="1" t="s">
        <v>204</v>
      </c>
      <c r="BL2305" s="1" t="str">
        <f t="shared" ref="BL2305:BM2305" si="1503">""</f>
        <v/>
      </c>
      <c r="BM2305" s="1" t="str">
        <f t="shared" si="1503"/>
        <v/>
      </c>
      <c r="BQ2305" s="1">
        <v>300.0</v>
      </c>
      <c r="BR2305" s="1">
        <v>300.0</v>
      </c>
      <c r="BS2305" s="1">
        <v>300.0</v>
      </c>
      <c r="BV2305" s="1" t="s">
        <v>204</v>
      </c>
      <c r="BY2305" s="1" t="s">
        <v>1534</v>
      </c>
      <c r="BZ2305" s="1" t="s">
        <v>209</v>
      </c>
      <c r="CA2305" s="1" t="s">
        <v>210</v>
      </c>
      <c r="CB2305" s="1" t="s">
        <v>1118</v>
      </c>
      <c r="CC2305" s="1" t="s">
        <v>664</v>
      </c>
      <c r="CD2305" s="1" t="s">
        <v>206</v>
      </c>
      <c r="CE2305" s="1" t="s">
        <v>207</v>
      </c>
      <c r="CF2305" s="1" t="s">
        <v>1118</v>
      </c>
      <c r="CG2305" s="1" t="s">
        <v>1117</v>
      </c>
      <c r="CH2305" s="1" t="s">
        <v>209</v>
      </c>
      <c r="CI2305" s="1" t="s">
        <v>210</v>
      </c>
      <c r="CJ2305" s="1" t="s">
        <v>1118</v>
      </c>
      <c r="CK2305" s="1" t="s">
        <v>1382</v>
      </c>
      <c r="CL2305" s="1" t="s">
        <v>209</v>
      </c>
      <c r="CM2305" s="1" t="s">
        <v>210</v>
      </c>
      <c r="CN2305" s="1" t="s">
        <v>1118</v>
      </c>
      <c r="CO2305" s="1" t="s">
        <v>647</v>
      </c>
      <c r="CP2305" s="1" t="s">
        <v>209</v>
      </c>
      <c r="CQ2305" s="1" t="s">
        <v>210</v>
      </c>
      <c r="CR2305" s="1" t="s">
        <v>1118</v>
      </c>
      <c r="CS2305" s="1" t="s">
        <v>1427</v>
      </c>
      <c r="CT2305" s="1" t="s">
        <v>206</v>
      </c>
      <c r="CU2305" s="1" t="s">
        <v>207</v>
      </c>
      <c r="CV2305" s="1" t="s">
        <v>1118</v>
      </c>
      <c r="CW2305" s="1" t="s">
        <v>854</v>
      </c>
      <c r="CX2305" s="1" t="s">
        <v>206</v>
      </c>
      <c r="CY2305" s="1" t="s">
        <v>210</v>
      </c>
      <c r="DA2305" s="1" t="s">
        <v>200</v>
      </c>
      <c r="DC2305" s="1" t="s">
        <v>545</v>
      </c>
      <c r="DD2305" s="1" t="s">
        <v>336</v>
      </c>
      <c r="DE2305" s="1" t="s">
        <v>273</v>
      </c>
      <c r="DF2305" s="1" t="s">
        <v>219</v>
      </c>
      <c r="DG2305" s="1" t="s">
        <v>337</v>
      </c>
      <c r="DH2305" s="1" t="s">
        <v>220</v>
      </c>
      <c r="DI2305" s="1" t="s">
        <v>221</v>
      </c>
      <c r="DJ2305" s="1" t="s">
        <v>222</v>
      </c>
      <c r="DL2305" s="1" t="s">
        <v>858</v>
      </c>
      <c r="DM2305" s="1" t="s">
        <v>338</v>
      </c>
      <c r="DO2305" s="1" t="s">
        <v>549</v>
      </c>
      <c r="DP2305" s="1" t="s">
        <v>340</v>
      </c>
      <c r="DQ2305" s="1" t="s">
        <v>228</v>
      </c>
      <c r="DR2305" s="1" t="s">
        <v>229</v>
      </c>
      <c r="DS2305" s="1" t="s">
        <v>401</v>
      </c>
      <c r="DV2305" s="1" t="s">
        <v>450</v>
      </c>
      <c r="DW2305" s="1" t="s">
        <v>370</v>
      </c>
      <c r="DX2305" s="1" t="s">
        <v>234</v>
      </c>
      <c r="DY2305" s="1" t="s">
        <v>2803</v>
      </c>
      <c r="DZ2305" s="1" t="s">
        <v>2204</v>
      </c>
      <c r="EA2305" s="1" t="s">
        <v>1075</v>
      </c>
      <c r="EB2305" s="1" t="s">
        <v>9273</v>
      </c>
      <c r="EC2305" s="1" t="s">
        <v>237</v>
      </c>
      <c r="ED2305" s="1" t="s">
        <v>407</v>
      </c>
      <c r="EE2305" s="1" t="s">
        <v>522</v>
      </c>
      <c r="EG2305" s="1" t="s">
        <v>450</v>
      </c>
      <c r="EL2305" s="1" t="s">
        <v>784</v>
      </c>
      <c r="EM2305" s="1" t="s">
        <v>42</v>
      </c>
      <c r="EN2305" s="1" t="s">
        <v>210</v>
      </c>
      <c r="EQ2305" s="1" t="s">
        <v>238</v>
      </c>
      <c r="EU2305" s="1" t="s">
        <v>238</v>
      </c>
      <c r="EY2305" s="1" t="s">
        <v>238</v>
      </c>
      <c r="FC2305" s="1" t="s">
        <v>238</v>
      </c>
      <c r="FF2305" s="1" t="s">
        <v>239</v>
      </c>
      <c r="FG2305" s="1" t="s">
        <v>192</v>
      </c>
      <c r="FH2305" s="1" t="s">
        <v>192</v>
      </c>
      <c r="FJ2305" s="1" t="s">
        <v>1231</v>
      </c>
      <c r="FK2305" s="1" t="s">
        <v>229</v>
      </c>
      <c r="FL2305" s="1" t="s">
        <v>19449</v>
      </c>
      <c r="FM2305" s="1">
        <v>8380.0</v>
      </c>
      <c r="FN2305" s="1" t="s">
        <v>19450</v>
      </c>
      <c r="FO2305" s="1" t="s">
        <v>21248</v>
      </c>
      <c r="FP2305" s="1">
        <v>88928.0</v>
      </c>
      <c r="FQ2305" s="1" t="s">
        <v>19450</v>
      </c>
      <c r="FS2305" s="1" t="s">
        <v>21249</v>
      </c>
      <c r="FU2305" s="1" t="s">
        <v>10683</v>
      </c>
      <c r="FV2305" s="1" t="s">
        <v>200</v>
      </c>
      <c r="FW2305" s="1" t="s">
        <v>290</v>
      </c>
      <c r="FZ2305" s="1" t="s">
        <v>229</v>
      </c>
      <c r="GA2305" s="1" t="s">
        <v>291</v>
      </c>
      <c r="GB2305" s="2">
        <v>42061.0</v>
      </c>
      <c r="GC2305" s="1" t="s">
        <v>21250</v>
      </c>
    </row>
    <row r="2306">
      <c r="A2306" s="1">
        <v>240000.0</v>
      </c>
      <c r="B2306" s="1" t="s">
        <v>185</v>
      </c>
      <c r="C2306" s="1" t="str">
        <f>"08754766"</f>
        <v>08754766</v>
      </c>
      <c r="D2306" s="1" t="s">
        <v>186</v>
      </c>
      <c r="F2306" s="1" t="str">
        <f>"8015"</f>
        <v>8015</v>
      </c>
      <c r="G2306" s="2">
        <v>41928.0</v>
      </c>
      <c r="H2306" s="1">
        <v>249900.0</v>
      </c>
      <c r="I2306" s="1">
        <v>70.0</v>
      </c>
      <c r="J2306" s="1">
        <v>249900.0</v>
      </c>
      <c r="K2306" s="2">
        <v>41954.0</v>
      </c>
      <c r="L2306" s="1">
        <v>27.0</v>
      </c>
      <c r="M2306" s="2">
        <v>41954.0</v>
      </c>
      <c r="N2306" s="1" t="s">
        <v>187</v>
      </c>
      <c r="O2306" s="2">
        <v>41988.0</v>
      </c>
      <c r="P2306" s="1">
        <v>170182.0</v>
      </c>
      <c r="Q2306" s="1">
        <v>11000.0</v>
      </c>
      <c r="S2306" s="1">
        <v>4322.0</v>
      </c>
      <c r="T2306" s="1" t="s">
        <v>1282</v>
      </c>
      <c r="U2306" s="1" t="s">
        <v>189</v>
      </c>
      <c r="V2306" s="1" t="s">
        <v>190</v>
      </c>
      <c r="W2306" s="1">
        <v>60634.0</v>
      </c>
      <c r="X2306" s="1">
        <v>1743.0</v>
      </c>
      <c r="Y2306" s="1" t="s">
        <v>21251</v>
      </c>
      <c r="Z2306" s="1">
        <v>1922.0</v>
      </c>
      <c r="AA2306" s="1" t="s">
        <v>192</v>
      </c>
      <c r="AB2306" s="1" t="s">
        <v>193</v>
      </c>
      <c r="AD2306" s="1" t="s">
        <v>194</v>
      </c>
      <c r="AE2306" s="1" t="s">
        <v>195</v>
      </c>
      <c r="AF2306" s="1" t="s">
        <v>196</v>
      </c>
      <c r="AG2306" s="1" t="s">
        <v>778</v>
      </c>
      <c r="AH2306" s="1" t="s">
        <v>1501</v>
      </c>
      <c r="AI2306" s="1">
        <v>0.0861</v>
      </c>
      <c r="AK2306" s="1">
        <v>9.0</v>
      </c>
      <c r="AL2306" s="1">
        <v>4.0</v>
      </c>
      <c r="AM2306" s="1">
        <v>2.0</v>
      </c>
      <c r="AN2306" s="1">
        <v>0.0</v>
      </c>
      <c r="AO2306" s="1" t="s">
        <v>229</v>
      </c>
      <c r="AQ2306" s="1" t="s">
        <v>198</v>
      </c>
      <c r="AR2306" s="1" t="s">
        <v>192</v>
      </c>
      <c r="AS2306" s="1" t="s">
        <v>199</v>
      </c>
      <c r="AT2306" s="1">
        <v>2.0</v>
      </c>
      <c r="AV2306" s="1" t="s">
        <v>200</v>
      </c>
      <c r="AW2306" s="1">
        <v>3051.79</v>
      </c>
      <c r="AX2306" s="1">
        <v>2013.0</v>
      </c>
      <c r="AY2306" s="1" t="s">
        <v>387</v>
      </c>
      <c r="AZ2306" s="1" t="s">
        <v>200</v>
      </c>
      <c r="BA2306" s="1" t="str">
        <f>"13174020330000"</f>
        <v>13174020330000</v>
      </c>
      <c r="BB2306" s="1" t="s">
        <v>200</v>
      </c>
      <c r="BC2306" s="1">
        <v>1600.0</v>
      </c>
      <c r="BD2306" s="1">
        <v>240000.0</v>
      </c>
      <c r="BE2306" s="2">
        <v>41928.0</v>
      </c>
      <c r="BF2306" s="2" t="s">
        <v>21252</v>
      </c>
      <c r="BG2306" s="1" t="s">
        <v>202</v>
      </c>
      <c r="BH2306" s="1">
        <v>0.0</v>
      </c>
      <c r="BI2306" s="1" t="s">
        <v>202</v>
      </c>
      <c r="BJ2306" s="1" t="s">
        <v>1222</v>
      </c>
      <c r="BK2306" s="1" t="s">
        <v>204</v>
      </c>
      <c r="BL2306" s="1" t="str">
        <f>"4322"</f>
        <v>4322</v>
      </c>
      <c r="BM2306" s="1" t="str">
        <f>"0"</f>
        <v>0</v>
      </c>
      <c r="BN2306" s="1">
        <v>5832.0</v>
      </c>
      <c r="BO2306" s="1">
        <v>0.0</v>
      </c>
      <c r="BQ2306" s="1">
        <v>299.0</v>
      </c>
      <c r="BR2306" s="1">
        <v>299.0</v>
      </c>
      <c r="BS2306" s="1">
        <v>299.0</v>
      </c>
      <c r="BU2306" s="1" t="s">
        <v>758</v>
      </c>
      <c r="BV2306" s="1" t="s">
        <v>206</v>
      </c>
      <c r="BW2306" s="1" t="s">
        <v>207</v>
      </c>
      <c r="BX2306" s="1" t="s">
        <v>239</v>
      </c>
      <c r="BY2306" s="1" t="s">
        <v>1378</v>
      </c>
      <c r="BZ2306" s="1" t="s">
        <v>209</v>
      </c>
      <c r="CA2306" s="1" t="s">
        <v>210</v>
      </c>
      <c r="CB2306" s="1" t="s">
        <v>239</v>
      </c>
      <c r="CC2306" s="1" t="s">
        <v>433</v>
      </c>
      <c r="CD2306" s="1" t="s">
        <v>206</v>
      </c>
      <c r="CE2306" s="1" t="s">
        <v>207</v>
      </c>
      <c r="CF2306" s="1" t="s">
        <v>239</v>
      </c>
      <c r="CG2306" s="1" t="s">
        <v>582</v>
      </c>
      <c r="CH2306" s="1" t="s">
        <v>209</v>
      </c>
      <c r="CI2306" s="1" t="s">
        <v>210</v>
      </c>
      <c r="CJ2306" s="1" t="s">
        <v>239</v>
      </c>
      <c r="CK2306" s="1" t="s">
        <v>332</v>
      </c>
      <c r="CL2306" s="1" t="s">
        <v>206</v>
      </c>
      <c r="CM2306" s="1" t="s">
        <v>207</v>
      </c>
      <c r="CN2306" s="1" t="s">
        <v>239</v>
      </c>
      <c r="CO2306" s="1" t="s">
        <v>264</v>
      </c>
      <c r="CP2306" s="1" t="s">
        <v>206</v>
      </c>
      <c r="CQ2306" s="1" t="s">
        <v>207</v>
      </c>
      <c r="CR2306" s="1" t="s">
        <v>239</v>
      </c>
      <c r="CS2306" s="1" t="s">
        <v>262</v>
      </c>
      <c r="CT2306" s="1" t="s">
        <v>206</v>
      </c>
      <c r="CU2306" s="1" t="s">
        <v>268</v>
      </c>
      <c r="CV2306" s="1" t="s">
        <v>239</v>
      </c>
      <c r="CX2306" s="1" t="s">
        <v>204</v>
      </c>
      <c r="DA2306" s="1" t="s">
        <v>200</v>
      </c>
      <c r="DC2306" s="1" t="s">
        <v>216</v>
      </c>
      <c r="DE2306" s="1" t="s">
        <v>273</v>
      </c>
      <c r="DF2306" s="1" t="s">
        <v>219</v>
      </c>
      <c r="DG2306" s="1" t="s">
        <v>2237</v>
      </c>
      <c r="DH2306" s="1" t="s">
        <v>365</v>
      </c>
      <c r="DI2306" s="1" t="s">
        <v>13708</v>
      </c>
      <c r="DJ2306" s="1" t="s">
        <v>222</v>
      </c>
      <c r="DL2306" s="1" t="s">
        <v>224</v>
      </c>
      <c r="DM2306" s="1" t="s">
        <v>1247</v>
      </c>
      <c r="DO2306" s="1" t="s">
        <v>549</v>
      </c>
      <c r="DP2306" s="1" t="s">
        <v>340</v>
      </c>
      <c r="DQ2306" s="1" t="s">
        <v>718</v>
      </c>
      <c r="DR2306" s="1" t="s">
        <v>229</v>
      </c>
      <c r="DS2306" s="1" t="s">
        <v>230</v>
      </c>
      <c r="DV2306" s="1" t="s">
        <v>21253</v>
      </c>
      <c r="DW2306" s="1" t="s">
        <v>279</v>
      </c>
      <c r="DX2306" s="1" t="s">
        <v>309</v>
      </c>
      <c r="DY2306" s="1" t="s">
        <v>1332</v>
      </c>
      <c r="EA2306" s="1" t="s">
        <v>644</v>
      </c>
      <c r="EC2306" s="1" t="s">
        <v>645</v>
      </c>
      <c r="EG2306" s="1" t="s">
        <v>450</v>
      </c>
      <c r="EH2306" s="1" t="s">
        <v>1228</v>
      </c>
      <c r="EL2306" s="1" t="s">
        <v>394</v>
      </c>
      <c r="EM2306" s="1" t="s">
        <v>42</v>
      </c>
      <c r="EP2306" s="1" t="s">
        <v>768</v>
      </c>
      <c r="EQ2306" s="1" t="s">
        <v>206</v>
      </c>
      <c r="ER2306" s="1" t="s">
        <v>301</v>
      </c>
      <c r="EU2306" s="1" t="s">
        <v>238</v>
      </c>
      <c r="EY2306" s="1" t="s">
        <v>238</v>
      </c>
      <c r="FC2306" s="1" t="s">
        <v>238</v>
      </c>
      <c r="FF2306" s="1" t="s">
        <v>239</v>
      </c>
      <c r="FG2306" s="1" t="s">
        <v>192</v>
      </c>
      <c r="FH2306" s="1" t="s">
        <v>192</v>
      </c>
      <c r="FJ2306" s="1" t="s">
        <v>412</v>
      </c>
      <c r="FK2306" s="1" t="s">
        <v>229</v>
      </c>
      <c r="FL2306" s="1" t="s">
        <v>413</v>
      </c>
      <c r="FM2306" s="1">
        <v>13691.0</v>
      </c>
      <c r="FN2306" s="1" t="s">
        <v>414</v>
      </c>
      <c r="FO2306" s="1" t="s">
        <v>19127</v>
      </c>
      <c r="FP2306" s="1">
        <v>110900.0</v>
      </c>
      <c r="FQ2306" s="1" t="s">
        <v>19128</v>
      </c>
      <c r="FS2306" s="1" t="s">
        <v>19129</v>
      </c>
      <c r="FU2306" s="1" t="s">
        <v>1438</v>
      </c>
      <c r="FV2306" s="1" t="s">
        <v>200</v>
      </c>
      <c r="FW2306" s="1" t="s">
        <v>567</v>
      </c>
      <c r="FX2306" s="1" t="s">
        <v>238</v>
      </c>
      <c r="FZ2306" s="1" t="s">
        <v>229</v>
      </c>
      <c r="GA2306" s="1" t="s">
        <v>291</v>
      </c>
      <c r="GB2306" s="2">
        <v>41988.0</v>
      </c>
      <c r="GC2306" s="1" t="s">
        <v>21254</v>
      </c>
    </row>
    <row r="2307">
      <c r="A2307" s="1">
        <v>360000.0</v>
      </c>
      <c r="B2307" s="1" t="s">
        <v>185</v>
      </c>
      <c r="C2307" s="1" t="str">
        <f>"08752913"</f>
        <v>08752913</v>
      </c>
      <c r="D2307" s="1" t="s">
        <v>186</v>
      </c>
      <c r="F2307" s="1" t="str">
        <f>"123"</f>
        <v>123</v>
      </c>
      <c r="G2307" s="2">
        <v>41926.0</v>
      </c>
      <c r="H2307" s="1">
        <v>374500.0</v>
      </c>
      <c r="I2307" s="1">
        <v>131.0</v>
      </c>
      <c r="J2307" s="1">
        <v>374500.0</v>
      </c>
      <c r="K2307" s="2">
        <v>41932.0</v>
      </c>
      <c r="L2307" s="1">
        <v>7.0</v>
      </c>
      <c r="M2307" s="2">
        <v>41932.0</v>
      </c>
      <c r="N2307" s="1" t="s">
        <v>187</v>
      </c>
      <c r="O2307" s="2">
        <v>41983.0</v>
      </c>
      <c r="P2307" s="1">
        <v>77859.0</v>
      </c>
      <c r="Q2307" s="1">
        <v>7450.0</v>
      </c>
      <c r="S2307" s="1">
        <v>599.0</v>
      </c>
      <c r="T2307" s="1" t="s">
        <v>21255</v>
      </c>
      <c r="V2307" s="1" t="s">
        <v>465</v>
      </c>
      <c r="W2307" s="1">
        <v>60124.0</v>
      </c>
      <c r="Y2307" s="1" t="s">
        <v>21256</v>
      </c>
      <c r="Z2307" s="1">
        <v>2006.0</v>
      </c>
      <c r="AA2307" s="1" t="s">
        <v>200</v>
      </c>
      <c r="AB2307" s="1" t="s">
        <v>467</v>
      </c>
      <c r="AC2307" s="1" t="s">
        <v>21257</v>
      </c>
      <c r="AD2307" s="1" t="s">
        <v>469</v>
      </c>
      <c r="AE2307" s="1" t="s">
        <v>325</v>
      </c>
      <c r="AF2307" s="1" t="s">
        <v>469</v>
      </c>
      <c r="AG2307" s="1" t="s">
        <v>21258</v>
      </c>
      <c r="AH2307" s="1" t="s">
        <v>21259</v>
      </c>
      <c r="AK2307" s="1">
        <v>13.0</v>
      </c>
      <c r="AL2307" s="1">
        <v>3.0</v>
      </c>
      <c r="AM2307" s="1">
        <v>3.0</v>
      </c>
      <c r="AN2307" s="1">
        <v>0.0</v>
      </c>
      <c r="AO2307" s="1" t="s">
        <v>198</v>
      </c>
      <c r="AP2307" s="1">
        <v>1.0</v>
      </c>
      <c r="AQ2307" s="1" t="s">
        <v>198</v>
      </c>
      <c r="AR2307" s="1" t="s">
        <v>192</v>
      </c>
      <c r="AS2307" s="1" t="s">
        <v>199</v>
      </c>
      <c r="AT2307" s="1">
        <v>2.0</v>
      </c>
      <c r="AV2307" s="1" t="s">
        <v>200</v>
      </c>
      <c r="AW2307" s="1">
        <v>9796.0</v>
      </c>
      <c r="AX2307" s="1">
        <v>2013.0</v>
      </c>
      <c r="AY2307" s="1" t="s">
        <v>1179</v>
      </c>
      <c r="AZ2307" s="1" t="s">
        <v>200</v>
      </c>
      <c r="BA2307" s="1" t="str">
        <f>"0620479002"</f>
        <v>0620479002</v>
      </c>
      <c r="BB2307" s="1" t="s">
        <v>200</v>
      </c>
      <c r="BC2307" s="1">
        <v>2625.0</v>
      </c>
      <c r="BD2307" s="1">
        <v>360000.0</v>
      </c>
      <c r="BE2307" s="2">
        <v>41926.0</v>
      </c>
      <c r="BF2307" s="2" t="s">
        <v>21260</v>
      </c>
      <c r="BH2307" s="1">
        <v>198.0</v>
      </c>
      <c r="BK2307" s="1" t="s">
        <v>474</v>
      </c>
      <c r="BL2307" s="1" t="str">
        <f>"19"</f>
        <v>19</v>
      </c>
      <c r="BM2307" s="1" t="str">
        <f>""</f>
        <v/>
      </c>
      <c r="BN2307" s="1">
        <v>43.0</v>
      </c>
      <c r="BQ2307" s="1">
        <v>46.0</v>
      </c>
      <c r="BR2307" s="1">
        <v>46.0</v>
      </c>
      <c r="BS2307" s="1">
        <v>46.0</v>
      </c>
      <c r="BV2307" s="1" t="s">
        <v>204</v>
      </c>
      <c r="BY2307" s="1" t="s">
        <v>434</v>
      </c>
      <c r="BZ2307" s="1" t="s">
        <v>206</v>
      </c>
      <c r="CA2307" s="1" t="s">
        <v>210</v>
      </c>
      <c r="CB2307" s="1" t="s">
        <v>239</v>
      </c>
      <c r="CC2307" s="1" t="s">
        <v>212</v>
      </c>
      <c r="CD2307" s="1" t="s">
        <v>206</v>
      </c>
      <c r="CE2307" s="1" t="s">
        <v>210</v>
      </c>
      <c r="CF2307" s="1" t="s">
        <v>229</v>
      </c>
      <c r="CG2307" s="1" t="s">
        <v>332</v>
      </c>
      <c r="CH2307" s="1" t="s">
        <v>206</v>
      </c>
      <c r="CI2307" s="1" t="s">
        <v>210</v>
      </c>
      <c r="CJ2307" s="1" t="s">
        <v>239</v>
      </c>
      <c r="CK2307" s="1" t="s">
        <v>433</v>
      </c>
      <c r="CL2307" s="1" t="s">
        <v>206</v>
      </c>
      <c r="CM2307" s="1" t="s">
        <v>210</v>
      </c>
      <c r="CN2307" s="1" t="s">
        <v>239</v>
      </c>
      <c r="CO2307" s="1" t="s">
        <v>213</v>
      </c>
      <c r="CP2307" s="1" t="s">
        <v>42</v>
      </c>
      <c r="CQ2307" s="1" t="s">
        <v>210</v>
      </c>
      <c r="CR2307" s="1" t="s">
        <v>239</v>
      </c>
      <c r="CS2307" s="1" t="s">
        <v>433</v>
      </c>
      <c r="CT2307" s="1" t="s">
        <v>206</v>
      </c>
      <c r="CU2307" s="1" t="s">
        <v>207</v>
      </c>
      <c r="CV2307" s="1" t="s">
        <v>239</v>
      </c>
      <c r="CX2307" s="1" t="s">
        <v>204</v>
      </c>
      <c r="DA2307" s="1" t="s">
        <v>200</v>
      </c>
      <c r="DC2307" s="1" t="s">
        <v>481</v>
      </c>
      <c r="DD2307" s="1" t="s">
        <v>336</v>
      </c>
      <c r="DE2307" s="1" t="s">
        <v>273</v>
      </c>
      <c r="DF2307" s="1" t="s">
        <v>619</v>
      </c>
      <c r="DG2307" s="1" t="s">
        <v>21261</v>
      </c>
      <c r="DH2307" s="1" t="s">
        <v>220</v>
      </c>
      <c r="DI2307" s="1" t="s">
        <v>1813</v>
      </c>
      <c r="DJ2307" s="1" t="s">
        <v>222</v>
      </c>
      <c r="DK2307" s="1" t="s">
        <v>223</v>
      </c>
      <c r="DL2307" s="1" t="s">
        <v>224</v>
      </c>
      <c r="DM2307" s="1" t="s">
        <v>21262</v>
      </c>
      <c r="DN2307" s="1" t="s">
        <v>485</v>
      </c>
      <c r="DO2307" s="1" t="s">
        <v>1208</v>
      </c>
      <c r="DP2307" s="1" t="s">
        <v>340</v>
      </c>
      <c r="DQ2307" s="1" t="s">
        <v>228</v>
      </c>
      <c r="DR2307" s="1" t="s">
        <v>21263</v>
      </c>
      <c r="DS2307" s="1" t="s">
        <v>230</v>
      </c>
      <c r="DU2307" s="1" t="s">
        <v>21264</v>
      </c>
      <c r="DV2307" s="1" t="s">
        <v>21265</v>
      </c>
      <c r="DW2307" s="1" t="s">
        <v>1072</v>
      </c>
      <c r="DX2307" s="1" t="s">
        <v>234</v>
      </c>
      <c r="DY2307" s="1" t="s">
        <v>3183</v>
      </c>
      <c r="DZ2307" s="1" t="s">
        <v>1661</v>
      </c>
      <c r="EA2307" s="1" t="s">
        <v>683</v>
      </c>
      <c r="EB2307" s="1" t="s">
        <v>492</v>
      </c>
      <c r="EC2307" s="1" t="s">
        <v>685</v>
      </c>
      <c r="ED2307" s="1" t="s">
        <v>407</v>
      </c>
      <c r="EE2307" s="1" t="s">
        <v>187</v>
      </c>
      <c r="EG2307" s="1" t="s">
        <v>556</v>
      </c>
      <c r="EH2307" s="1" t="s">
        <v>1164</v>
      </c>
      <c r="EI2307" s="1" t="s">
        <v>450</v>
      </c>
      <c r="EJ2307" s="1" t="s">
        <v>451</v>
      </c>
      <c r="EK2307" s="1" t="s">
        <v>1103</v>
      </c>
      <c r="EL2307" s="1" t="s">
        <v>1939</v>
      </c>
      <c r="EM2307" s="1" t="s">
        <v>206</v>
      </c>
      <c r="EN2307" s="1" t="s">
        <v>207</v>
      </c>
      <c r="EO2307" s="1" t="s">
        <v>239</v>
      </c>
      <c r="EP2307" s="1" t="s">
        <v>5540</v>
      </c>
      <c r="EQ2307" s="1" t="s">
        <v>206</v>
      </c>
      <c r="ER2307" s="1" t="s">
        <v>210</v>
      </c>
      <c r="ES2307" s="1" t="s">
        <v>229</v>
      </c>
      <c r="ET2307" s="1" t="s">
        <v>2414</v>
      </c>
      <c r="EU2307" s="1" t="s">
        <v>42</v>
      </c>
      <c r="EV2307" s="1" t="s">
        <v>210</v>
      </c>
      <c r="EW2307" s="1" t="s">
        <v>229</v>
      </c>
      <c r="EX2307" s="1" t="s">
        <v>2633</v>
      </c>
      <c r="EY2307" s="1" t="s">
        <v>42</v>
      </c>
      <c r="EZ2307" s="1" t="s">
        <v>210</v>
      </c>
      <c r="FA2307" s="1" t="s">
        <v>229</v>
      </c>
      <c r="FB2307" s="1" t="s">
        <v>6880</v>
      </c>
      <c r="FC2307" s="1" t="s">
        <v>42</v>
      </c>
      <c r="FD2307" s="1" t="s">
        <v>588</v>
      </c>
      <c r="FE2307" s="1" t="s">
        <v>229</v>
      </c>
      <c r="FF2307" s="1" t="s">
        <v>239</v>
      </c>
      <c r="FG2307" s="1" t="s">
        <v>192</v>
      </c>
      <c r="FH2307" s="1" t="s">
        <v>192</v>
      </c>
      <c r="FJ2307" s="1" t="s">
        <v>498</v>
      </c>
      <c r="FK2307" s="1" t="s">
        <v>229</v>
      </c>
      <c r="FL2307" s="1" t="s">
        <v>456</v>
      </c>
      <c r="FM2307" s="1">
        <v>6026.0</v>
      </c>
      <c r="FN2307" s="1" t="s">
        <v>3545</v>
      </c>
      <c r="FO2307" s="1" t="s">
        <v>21266</v>
      </c>
      <c r="FP2307" s="1">
        <v>61673.0</v>
      </c>
      <c r="FQ2307" s="1" t="s">
        <v>21267</v>
      </c>
      <c r="FS2307" s="1" t="s">
        <v>21268</v>
      </c>
      <c r="FU2307" s="1" t="s">
        <v>21269</v>
      </c>
      <c r="FV2307" s="1" t="s">
        <v>200</v>
      </c>
      <c r="FW2307" s="1" t="s">
        <v>530</v>
      </c>
      <c r="FZ2307" s="1" t="s">
        <v>229</v>
      </c>
      <c r="GA2307" s="1" t="s">
        <v>291</v>
      </c>
      <c r="GB2307" s="2">
        <v>41983.0</v>
      </c>
      <c r="GC2307" s="1" t="s">
        <v>21270</v>
      </c>
    </row>
    <row r="2308">
      <c r="A2308" s="1">
        <v>150000.0</v>
      </c>
      <c r="B2308" s="1" t="s">
        <v>185</v>
      </c>
      <c r="C2308" s="1" t="str">
        <f>"08756048"</f>
        <v>08756048</v>
      </c>
      <c r="D2308" s="1" t="s">
        <v>186</v>
      </c>
      <c r="F2308" s="1" t="str">
        <f>"8065"</f>
        <v>8065</v>
      </c>
      <c r="G2308" s="2">
        <v>41929.0</v>
      </c>
      <c r="H2308" s="1">
        <v>165000.0</v>
      </c>
      <c r="I2308" s="1">
        <v>11.0</v>
      </c>
      <c r="J2308" s="1">
        <v>165000.0</v>
      </c>
      <c r="K2308" s="2">
        <v>41939.0</v>
      </c>
      <c r="L2308" s="1">
        <v>11.0</v>
      </c>
      <c r="M2308" s="2">
        <v>41939.0</v>
      </c>
      <c r="N2308" s="1" t="s">
        <v>356</v>
      </c>
      <c r="O2308" s="2">
        <v>42003.0</v>
      </c>
      <c r="P2308" s="1">
        <v>242099.0</v>
      </c>
      <c r="Q2308" s="1">
        <v>24706.0</v>
      </c>
      <c r="S2308" s="1">
        <v>6349.0</v>
      </c>
      <c r="T2308" s="1" t="s">
        <v>7309</v>
      </c>
      <c r="U2308" s="1" t="s">
        <v>189</v>
      </c>
      <c r="V2308" s="1" t="s">
        <v>190</v>
      </c>
      <c r="W2308" s="1">
        <v>60629.0</v>
      </c>
      <c r="Y2308" s="1" t="s">
        <v>21271</v>
      </c>
      <c r="Z2308" s="1">
        <v>1925.0</v>
      </c>
      <c r="AA2308" s="1" t="s">
        <v>192</v>
      </c>
      <c r="AB2308" s="1" t="s">
        <v>193</v>
      </c>
      <c r="AD2308" s="1" t="s">
        <v>194</v>
      </c>
      <c r="AE2308" s="1" t="s">
        <v>195</v>
      </c>
      <c r="AF2308" s="1" t="s">
        <v>659</v>
      </c>
      <c r="AH2308" s="1" t="s">
        <v>2517</v>
      </c>
      <c r="AI2308" s="1">
        <v>0.0861</v>
      </c>
      <c r="AK2308" s="1">
        <v>9.0</v>
      </c>
      <c r="AL2308" s="1">
        <v>3.0</v>
      </c>
      <c r="AM2308" s="1">
        <v>1.0</v>
      </c>
      <c r="AN2308" s="1">
        <v>0.0</v>
      </c>
      <c r="AO2308" s="1" t="s">
        <v>229</v>
      </c>
      <c r="AQ2308" s="1" t="s">
        <v>198</v>
      </c>
      <c r="AR2308" s="1" t="s">
        <v>192</v>
      </c>
      <c r="AS2308" s="1" t="s">
        <v>199</v>
      </c>
      <c r="AT2308" s="1">
        <v>2.0</v>
      </c>
      <c r="AV2308" s="1" t="s">
        <v>200</v>
      </c>
      <c r="AW2308" s="1">
        <v>2094.5</v>
      </c>
      <c r="AX2308" s="1">
        <v>2012.0</v>
      </c>
      <c r="AY2308" s="1" t="s">
        <v>229</v>
      </c>
      <c r="AZ2308" s="1" t="s">
        <v>200</v>
      </c>
      <c r="BA2308" s="1" t="str">
        <f>"19222020210000"</f>
        <v>19222020210000</v>
      </c>
      <c r="BC2308" s="1">
        <v>1329.0</v>
      </c>
      <c r="BD2308" s="1">
        <v>150000.0</v>
      </c>
      <c r="BE2308" s="2">
        <v>41929.0</v>
      </c>
      <c r="BF2308" s="2" t="s">
        <v>21272</v>
      </c>
      <c r="BH2308" s="1">
        <v>0.0</v>
      </c>
      <c r="BK2308" s="1" t="s">
        <v>204</v>
      </c>
      <c r="BL2308" s="1" t="str">
        <f t="shared" ref="BL2308:BM2308" si="1504">"0"</f>
        <v>0</v>
      </c>
      <c r="BM2308" s="1" t="str">
        <f t="shared" si="1504"/>
        <v>0</v>
      </c>
      <c r="BN2308" s="1">
        <v>4300.0</v>
      </c>
      <c r="BO2308" s="1">
        <v>6349.0</v>
      </c>
      <c r="BQ2308" s="1">
        <v>299.0</v>
      </c>
      <c r="BR2308" s="1">
        <v>299.0</v>
      </c>
      <c r="BS2308" s="1">
        <v>299.0</v>
      </c>
      <c r="BU2308" s="1" t="s">
        <v>214</v>
      </c>
      <c r="BV2308" s="1" t="s">
        <v>206</v>
      </c>
      <c r="BW2308" s="1" t="s">
        <v>207</v>
      </c>
      <c r="BY2308" s="1" t="s">
        <v>497</v>
      </c>
      <c r="BZ2308" s="1" t="s">
        <v>206</v>
      </c>
      <c r="CA2308" s="1" t="s">
        <v>207</v>
      </c>
      <c r="CC2308" s="1" t="s">
        <v>454</v>
      </c>
      <c r="CD2308" s="1" t="s">
        <v>206</v>
      </c>
      <c r="CE2308" s="1" t="s">
        <v>207</v>
      </c>
      <c r="CG2308" s="1" t="s">
        <v>5311</v>
      </c>
      <c r="CH2308" s="1" t="s">
        <v>206</v>
      </c>
      <c r="CI2308" s="1" t="s">
        <v>207</v>
      </c>
      <c r="CK2308" s="1" t="s">
        <v>497</v>
      </c>
      <c r="CL2308" s="1" t="s">
        <v>206</v>
      </c>
      <c r="CM2308" s="1" t="s">
        <v>207</v>
      </c>
      <c r="CO2308" s="1" t="s">
        <v>2695</v>
      </c>
      <c r="CP2308" s="1" t="s">
        <v>42</v>
      </c>
      <c r="CQ2308" s="1" t="s">
        <v>617</v>
      </c>
      <c r="CS2308" s="1" t="s">
        <v>1119</v>
      </c>
      <c r="CT2308" s="1" t="s">
        <v>206</v>
      </c>
      <c r="CU2308" s="1" t="s">
        <v>617</v>
      </c>
      <c r="CX2308" s="1" t="s">
        <v>204</v>
      </c>
      <c r="DA2308" s="1" t="s">
        <v>200</v>
      </c>
      <c r="DC2308" s="1" t="s">
        <v>785</v>
      </c>
      <c r="DD2308" s="1" t="s">
        <v>518</v>
      </c>
      <c r="DE2308" s="1" t="s">
        <v>1300</v>
      </c>
      <c r="DF2308" s="1" t="s">
        <v>6818</v>
      </c>
      <c r="DG2308" s="1" t="s">
        <v>337</v>
      </c>
      <c r="DH2308" s="1" t="s">
        <v>307</v>
      </c>
      <c r="DI2308" s="1" t="s">
        <v>831</v>
      </c>
      <c r="DJ2308" s="1" t="s">
        <v>222</v>
      </c>
      <c r="DK2308" s="1" t="s">
        <v>3941</v>
      </c>
      <c r="DL2308" s="1" t="s">
        <v>1161</v>
      </c>
      <c r="DM2308" s="1" t="s">
        <v>225</v>
      </c>
      <c r="DO2308" s="1" t="s">
        <v>549</v>
      </c>
      <c r="DP2308" s="1" t="s">
        <v>340</v>
      </c>
      <c r="DQ2308" s="1" t="s">
        <v>228</v>
      </c>
      <c r="DR2308" s="1" t="s">
        <v>229</v>
      </c>
      <c r="DU2308" s="1" t="s">
        <v>4671</v>
      </c>
      <c r="DV2308" s="1" t="s">
        <v>2891</v>
      </c>
      <c r="DW2308" s="1" t="s">
        <v>279</v>
      </c>
      <c r="DX2308" s="1" t="s">
        <v>234</v>
      </c>
      <c r="DY2308" s="1" t="s">
        <v>553</v>
      </c>
      <c r="EA2308" s="1" t="s">
        <v>644</v>
      </c>
      <c r="EC2308" s="1" t="s">
        <v>685</v>
      </c>
      <c r="EE2308" s="1" t="s">
        <v>1077</v>
      </c>
      <c r="EH2308" s="1" t="s">
        <v>450</v>
      </c>
      <c r="EI2308" s="1" t="s">
        <v>557</v>
      </c>
      <c r="EM2308" s="1" t="s">
        <v>238</v>
      </c>
      <c r="EP2308" s="1" t="s">
        <v>21273</v>
      </c>
      <c r="EQ2308" s="1" t="s">
        <v>42</v>
      </c>
      <c r="ER2308" s="1" t="s">
        <v>617</v>
      </c>
      <c r="ET2308" s="1" t="s">
        <v>1117</v>
      </c>
      <c r="EU2308" s="1" t="s">
        <v>42</v>
      </c>
      <c r="EV2308" s="1" t="s">
        <v>617</v>
      </c>
      <c r="EY2308" s="1" t="s">
        <v>238</v>
      </c>
      <c r="FC2308" s="1" t="s">
        <v>238</v>
      </c>
      <c r="FF2308" s="1" t="s">
        <v>239</v>
      </c>
      <c r="FG2308" s="1" t="s">
        <v>192</v>
      </c>
      <c r="FH2308" s="1" t="s">
        <v>192</v>
      </c>
      <c r="FJ2308" s="1" t="s">
        <v>2133</v>
      </c>
      <c r="FK2308" s="1" t="s">
        <v>229</v>
      </c>
      <c r="FL2308" s="1" t="s">
        <v>1358</v>
      </c>
      <c r="FM2308" s="1">
        <v>22049.0</v>
      </c>
      <c r="FN2308" s="1" t="s">
        <v>10181</v>
      </c>
      <c r="FO2308" s="1" t="s">
        <v>21274</v>
      </c>
      <c r="FP2308" s="1">
        <v>229926.0</v>
      </c>
      <c r="FQ2308" s="1" t="s">
        <v>21275</v>
      </c>
      <c r="FS2308" s="1" t="s">
        <v>21276</v>
      </c>
      <c r="FU2308" s="1" t="s">
        <v>21277</v>
      </c>
      <c r="FV2308" s="1" t="s">
        <v>200</v>
      </c>
      <c r="FW2308" s="1" t="s">
        <v>1511</v>
      </c>
      <c r="FX2308" s="1" t="s">
        <v>655</v>
      </c>
      <c r="FZ2308" s="1" t="s">
        <v>229</v>
      </c>
      <c r="GA2308" s="1" t="s">
        <v>291</v>
      </c>
      <c r="GB2308" s="2">
        <v>42006.0</v>
      </c>
      <c r="GC2308" s="1" t="s">
        <v>21278</v>
      </c>
    </row>
    <row r="2309">
      <c r="A2309" s="1">
        <v>332000.0</v>
      </c>
      <c r="B2309" s="1" t="s">
        <v>185</v>
      </c>
      <c r="C2309" s="1" t="str">
        <f>"08753214"</f>
        <v>08753214</v>
      </c>
      <c r="D2309" s="1" t="s">
        <v>186</v>
      </c>
      <c r="F2309" s="1" t="str">
        <f>"8072"</f>
        <v>8072</v>
      </c>
      <c r="G2309" s="2">
        <v>41927.0</v>
      </c>
      <c r="H2309" s="1">
        <v>339500.0</v>
      </c>
      <c r="I2309" s="1">
        <v>8.0</v>
      </c>
      <c r="J2309" s="1">
        <v>339500.0</v>
      </c>
      <c r="K2309" s="2">
        <v>41933.0</v>
      </c>
      <c r="L2309" s="1">
        <v>8.0</v>
      </c>
      <c r="M2309" s="2">
        <v>41933.0</v>
      </c>
      <c r="N2309" s="1" t="s">
        <v>187</v>
      </c>
      <c r="O2309" s="2">
        <v>41982.0</v>
      </c>
      <c r="P2309" s="1">
        <v>600779.0</v>
      </c>
      <c r="Q2309" s="1">
        <v>60035.0</v>
      </c>
      <c r="S2309" s="1">
        <v>9200.0</v>
      </c>
      <c r="T2309" s="1" t="s">
        <v>21279</v>
      </c>
      <c r="U2309" s="1" t="s">
        <v>320</v>
      </c>
      <c r="V2309" s="1" t="s">
        <v>190</v>
      </c>
      <c r="W2309" s="1">
        <v>60643.0</v>
      </c>
      <c r="Y2309" s="1" t="s">
        <v>21280</v>
      </c>
      <c r="Z2309" s="1">
        <v>1935.0</v>
      </c>
      <c r="AA2309" s="1" t="s">
        <v>192</v>
      </c>
      <c r="AB2309" s="1" t="s">
        <v>193</v>
      </c>
      <c r="AD2309" s="1" t="s">
        <v>194</v>
      </c>
      <c r="AE2309" s="1" t="s">
        <v>195</v>
      </c>
      <c r="AF2309" s="1" t="s">
        <v>659</v>
      </c>
      <c r="AH2309" s="1" t="s">
        <v>21281</v>
      </c>
      <c r="AI2309" s="1">
        <v>0.1424</v>
      </c>
      <c r="AK2309" s="1">
        <v>9.0</v>
      </c>
      <c r="AL2309" s="1">
        <v>4.0</v>
      </c>
      <c r="AM2309" s="1">
        <v>2.0</v>
      </c>
      <c r="AN2309" s="1">
        <v>0.0</v>
      </c>
      <c r="AO2309" s="1" t="s">
        <v>229</v>
      </c>
      <c r="AP2309" s="1">
        <v>1.0</v>
      </c>
      <c r="AQ2309" s="1" t="s">
        <v>198</v>
      </c>
      <c r="AR2309" s="1" t="s">
        <v>200</v>
      </c>
      <c r="AS2309" s="1" t="s">
        <v>510</v>
      </c>
      <c r="AT2309" s="1">
        <v>2.0</v>
      </c>
      <c r="AU2309" s="1">
        <v>1.0</v>
      </c>
      <c r="AV2309" s="1" t="s">
        <v>200</v>
      </c>
      <c r="AW2309" s="1">
        <v>4537.76</v>
      </c>
      <c r="AX2309" s="1">
        <v>2013.0</v>
      </c>
      <c r="AY2309" s="1" t="s">
        <v>387</v>
      </c>
      <c r="AZ2309" s="1" t="s">
        <v>200</v>
      </c>
      <c r="BA2309" s="1" t="str">
        <f>"25063030360000"</f>
        <v>25063030360000</v>
      </c>
      <c r="BB2309" s="1" t="s">
        <v>200</v>
      </c>
      <c r="BC2309" s="1">
        <v>1593.0</v>
      </c>
      <c r="BD2309" s="1">
        <v>332000.0</v>
      </c>
      <c r="BE2309" s="2">
        <v>41926.0</v>
      </c>
      <c r="BF2309" s="2" t="s">
        <v>21282</v>
      </c>
      <c r="BG2309" s="1" t="s">
        <v>7067</v>
      </c>
      <c r="BH2309" s="1">
        <v>0.0</v>
      </c>
      <c r="BK2309" s="1" t="s">
        <v>204</v>
      </c>
      <c r="BL2309" s="1" t="str">
        <f t="shared" ref="BL2309:BM2309" si="1505">"0"</f>
        <v>0</v>
      </c>
      <c r="BM2309" s="1" t="str">
        <f t="shared" si="1505"/>
        <v>0</v>
      </c>
      <c r="BN2309" s="1">
        <v>2200.0</v>
      </c>
      <c r="BO2309" s="1">
        <v>9200.0</v>
      </c>
      <c r="BQ2309" s="1">
        <v>299.0</v>
      </c>
      <c r="BR2309" s="1">
        <v>299.0</v>
      </c>
      <c r="BS2309" s="1">
        <v>299.0</v>
      </c>
      <c r="BU2309" s="1" t="s">
        <v>453</v>
      </c>
      <c r="BV2309" s="1" t="s">
        <v>206</v>
      </c>
      <c r="BW2309" s="1" t="s">
        <v>207</v>
      </c>
      <c r="BY2309" s="1" t="s">
        <v>924</v>
      </c>
      <c r="BZ2309" s="1" t="s">
        <v>209</v>
      </c>
      <c r="CA2309" s="1" t="s">
        <v>207</v>
      </c>
      <c r="CC2309" s="1" t="s">
        <v>332</v>
      </c>
      <c r="CD2309" s="1" t="s">
        <v>206</v>
      </c>
      <c r="CE2309" s="1" t="s">
        <v>207</v>
      </c>
      <c r="CG2309" s="1" t="s">
        <v>361</v>
      </c>
      <c r="CH2309" s="1" t="s">
        <v>209</v>
      </c>
      <c r="CI2309" s="1" t="s">
        <v>207</v>
      </c>
      <c r="CK2309" s="1" t="s">
        <v>331</v>
      </c>
      <c r="CL2309" s="1" t="s">
        <v>206</v>
      </c>
      <c r="CM2309" s="1" t="s">
        <v>207</v>
      </c>
      <c r="CO2309" s="1" t="s">
        <v>497</v>
      </c>
      <c r="CP2309" s="1" t="s">
        <v>206</v>
      </c>
      <c r="CQ2309" s="1" t="s">
        <v>207</v>
      </c>
      <c r="CS2309" s="1" t="s">
        <v>1029</v>
      </c>
      <c r="CT2309" s="1" t="s">
        <v>206</v>
      </c>
      <c r="CU2309" s="1" t="s">
        <v>268</v>
      </c>
      <c r="CW2309" s="1" t="s">
        <v>584</v>
      </c>
      <c r="CX2309" s="1" t="s">
        <v>267</v>
      </c>
      <c r="CY2309" s="1" t="s">
        <v>268</v>
      </c>
      <c r="DA2309" s="1" t="s">
        <v>200</v>
      </c>
      <c r="DC2309" s="1" t="s">
        <v>1399</v>
      </c>
      <c r="DD2309" s="1" t="s">
        <v>7204</v>
      </c>
      <c r="DE2309" s="1" t="s">
        <v>273</v>
      </c>
      <c r="DF2309" s="1" t="s">
        <v>219</v>
      </c>
      <c r="DG2309" s="1" t="s">
        <v>3175</v>
      </c>
      <c r="DH2309" s="1" t="s">
        <v>307</v>
      </c>
      <c r="DI2309" s="1" t="s">
        <v>9434</v>
      </c>
      <c r="DJ2309" s="1" t="s">
        <v>222</v>
      </c>
      <c r="DL2309" s="1" t="s">
        <v>858</v>
      </c>
      <c r="DM2309" s="1" t="s">
        <v>229</v>
      </c>
      <c r="DO2309" s="1" t="s">
        <v>549</v>
      </c>
      <c r="DP2309" s="1" t="s">
        <v>340</v>
      </c>
      <c r="DQ2309" s="1" t="s">
        <v>228</v>
      </c>
      <c r="DR2309" s="1" t="s">
        <v>229</v>
      </c>
      <c r="DS2309" s="1" t="s">
        <v>230</v>
      </c>
      <c r="DU2309" s="1" t="s">
        <v>3021</v>
      </c>
      <c r="DV2309" s="1" t="s">
        <v>19906</v>
      </c>
      <c r="DW2309" s="1" t="s">
        <v>279</v>
      </c>
      <c r="DX2309" s="1" t="s">
        <v>234</v>
      </c>
      <c r="DY2309" s="1" t="s">
        <v>553</v>
      </c>
      <c r="DZ2309" s="1" t="s">
        <v>282</v>
      </c>
      <c r="EA2309" s="1" t="s">
        <v>257</v>
      </c>
      <c r="EB2309" s="1" t="s">
        <v>345</v>
      </c>
      <c r="EC2309" s="1" t="s">
        <v>237</v>
      </c>
      <c r="ED2309" s="1" t="s">
        <v>555</v>
      </c>
      <c r="EF2309" s="1" t="s">
        <v>5843</v>
      </c>
      <c r="EG2309" s="1" t="s">
        <v>598</v>
      </c>
      <c r="EH2309" s="1" t="s">
        <v>408</v>
      </c>
      <c r="EI2309" s="1" t="s">
        <v>374</v>
      </c>
      <c r="EL2309" s="1" t="s">
        <v>363</v>
      </c>
      <c r="EM2309" s="1" t="s">
        <v>267</v>
      </c>
      <c r="EN2309" s="1" t="s">
        <v>268</v>
      </c>
      <c r="EP2309" s="1" t="s">
        <v>2394</v>
      </c>
      <c r="EQ2309" s="1" t="s">
        <v>206</v>
      </c>
      <c r="ER2309" s="1" t="s">
        <v>207</v>
      </c>
      <c r="ET2309" s="1" t="s">
        <v>4046</v>
      </c>
      <c r="EU2309" s="1" t="s">
        <v>206</v>
      </c>
      <c r="EV2309" s="1" t="s">
        <v>268</v>
      </c>
      <c r="EY2309" s="1" t="s">
        <v>238</v>
      </c>
      <c r="FC2309" s="1" t="s">
        <v>238</v>
      </c>
      <c r="FF2309" s="1" t="s">
        <v>239</v>
      </c>
      <c r="FG2309" s="1" t="s">
        <v>192</v>
      </c>
      <c r="FH2309" s="1" t="s">
        <v>192</v>
      </c>
      <c r="FJ2309" s="1" t="s">
        <v>2552</v>
      </c>
      <c r="FK2309" s="1" t="s">
        <v>229</v>
      </c>
      <c r="FL2309" s="1" t="s">
        <v>21283</v>
      </c>
      <c r="FM2309" s="1">
        <v>18891.0</v>
      </c>
      <c r="FN2309" s="1" t="s">
        <v>21284</v>
      </c>
      <c r="FO2309" s="1" t="s">
        <v>21285</v>
      </c>
      <c r="FP2309" s="1">
        <v>162205.0</v>
      </c>
      <c r="FQ2309" s="1" t="s">
        <v>21284</v>
      </c>
      <c r="FU2309" s="1" t="s">
        <v>21286</v>
      </c>
      <c r="FV2309" s="1" t="s">
        <v>200</v>
      </c>
      <c r="FW2309" s="1" t="s">
        <v>290</v>
      </c>
      <c r="FX2309" s="1" t="s">
        <v>655</v>
      </c>
      <c r="FZ2309" s="1" t="s">
        <v>229</v>
      </c>
      <c r="GA2309" s="1" t="s">
        <v>291</v>
      </c>
      <c r="GB2309" s="2">
        <v>41983.0</v>
      </c>
      <c r="GC2309" s="1" t="s">
        <v>21287</v>
      </c>
    </row>
    <row r="2310">
      <c r="A2310" s="1">
        <v>154500.0</v>
      </c>
      <c r="B2310" s="1" t="s">
        <v>185</v>
      </c>
      <c r="C2310" s="1" t="str">
        <f>"08756613"</f>
        <v>08756613</v>
      </c>
      <c r="D2310" s="1" t="s">
        <v>186</v>
      </c>
      <c r="F2310" s="1" t="str">
        <f>"115"</f>
        <v>115</v>
      </c>
      <c r="G2310" s="2">
        <v>41931.0</v>
      </c>
      <c r="H2310" s="1">
        <v>174900.0</v>
      </c>
      <c r="I2310" s="1">
        <v>61.0</v>
      </c>
      <c r="J2310" s="1">
        <v>169900.0</v>
      </c>
      <c r="K2310" s="2">
        <v>41991.0</v>
      </c>
      <c r="L2310" s="1">
        <v>61.0</v>
      </c>
      <c r="M2310" s="2">
        <v>41991.0</v>
      </c>
      <c r="N2310" s="1" t="s">
        <v>356</v>
      </c>
      <c r="O2310" s="2">
        <v>42034.0</v>
      </c>
      <c r="P2310" s="1">
        <v>237417.0</v>
      </c>
      <c r="Q2310" s="1">
        <v>24809.0</v>
      </c>
      <c r="S2310" s="1">
        <v>539.0</v>
      </c>
      <c r="T2310" s="1" t="s">
        <v>2884</v>
      </c>
      <c r="U2310" s="1" t="s">
        <v>464</v>
      </c>
      <c r="V2310" s="1" t="s">
        <v>610</v>
      </c>
      <c r="W2310" s="1">
        <v>60115.0</v>
      </c>
      <c r="Y2310" s="1" t="s">
        <v>21288</v>
      </c>
      <c r="Z2310" s="1">
        <v>1979.0</v>
      </c>
      <c r="AA2310" s="1" t="s">
        <v>200</v>
      </c>
      <c r="AB2310" s="1" t="s">
        <v>193</v>
      </c>
      <c r="AD2310" s="1" t="s">
        <v>612</v>
      </c>
      <c r="AE2310" s="1" t="s">
        <v>613</v>
      </c>
      <c r="AF2310" s="1" t="s">
        <v>612</v>
      </c>
      <c r="AH2310" s="1" t="s">
        <v>21289</v>
      </c>
      <c r="AK2310" s="1">
        <v>9.0</v>
      </c>
      <c r="AL2310" s="1">
        <v>3.0</v>
      </c>
      <c r="AM2310" s="1">
        <v>2.0</v>
      </c>
      <c r="AN2310" s="1">
        <v>1.0</v>
      </c>
      <c r="AO2310" s="1" t="s">
        <v>229</v>
      </c>
      <c r="AP2310" s="1">
        <v>2.0</v>
      </c>
      <c r="AQ2310" s="1" t="s">
        <v>198</v>
      </c>
      <c r="AR2310" s="1" t="s">
        <v>192</v>
      </c>
      <c r="AS2310" s="1" t="s">
        <v>199</v>
      </c>
      <c r="AT2310" s="1">
        <v>2.0</v>
      </c>
      <c r="AV2310" s="1" t="s">
        <v>200</v>
      </c>
      <c r="AW2310" s="1">
        <v>5573.0</v>
      </c>
      <c r="AX2310" s="1">
        <v>2013.0</v>
      </c>
      <c r="AZ2310" s="1" t="s">
        <v>200</v>
      </c>
      <c r="BA2310" s="1" t="str">
        <f>"0815378022"</f>
        <v>0815378022</v>
      </c>
      <c r="BC2310" s="1">
        <v>1600.0</v>
      </c>
      <c r="BD2310" s="1">
        <v>154500.0</v>
      </c>
      <c r="BE2310" s="2">
        <v>41931.0</v>
      </c>
      <c r="BF2310" s="2" t="s">
        <v>21290</v>
      </c>
      <c r="BH2310" s="1">
        <v>0.0</v>
      </c>
      <c r="BK2310" s="1" t="s">
        <v>204</v>
      </c>
      <c r="BL2310" s="1" t="str">
        <f>"40"</f>
        <v>40</v>
      </c>
      <c r="BM2310" s="1" t="str">
        <f>"4"</f>
        <v>4</v>
      </c>
      <c r="BQ2310" s="1">
        <v>438.0</v>
      </c>
      <c r="BR2310" s="1">
        <v>428.0</v>
      </c>
      <c r="BS2310" s="1">
        <v>438.0</v>
      </c>
      <c r="BU2310" s="1" t="s">
        <v>215</v>
      </c>
      <c r="BV2310" s="1" t="s">
        <v>206</v>
      </c>
      <c r="BY2310" s="1" t="s">
        <v>215</v>
      </c>
      <c r="BZ2310" s="1" t="s">
        <v>206</v>
      </c>
      <c r="CC2310" s="1" t="s">
        <v>269</v>
      </c>
      <c r="CD2310" s="1" t="s">
        <v>206</v>
      </c>
      <c r="CG2310" s="1" t="s">
        <v>663</v>
      </c>
      <c r="CH2310" s="1" t="s">
        <v>206</v>
      </c>
      <c r="CK2310" s="1" t="s">
        <v>543</v>
      </c>
      <c r="CL2310" s="1" t="s">
        <v>206</v>
      </c>
      <c r="CO2310" s="1" t="s">
        <v>363</v>
      </c>
      <c r="CP2310" s="1" t="s">
        <v>42</v>
      </c>
      <c r="CS2310" s="1" t="s">
        <v>1229</v>
      </c>
      <c r="CT2310" s="1" t="s">
        <v>206</v>
      </c>
      <c r="CW2310" s="1" t="s">
        <v>1427</v>
      </c>
      <c r="CX2310" s="1" t="s">
        <v>42</v>
      </c>
      <c r="DA2310" s="1" t="s">
        <v>200</v>
      </c>
      <c r="DC2310" s="1" t="s">
        <v>395</v>
      </c>
      <c r="DD2310" s="1" t="s">
        <v>9691</v>
      </c>
      <c r="DE2310" s="1" t="s">
        <v>273</v>
      </c>
      <c r="DF2310" s="1" t="s">
        <v>21291</v>
      </c>
      <c r="DH2310" s="1" t="s">
        <v>220</v>
      </c>
      <c r="DI2310" s="1" t="s">
        <v>21292</v>
      </c>
      <c r="DJ2310" s="1" t="s">
        <v>222</v>
      </c>
      <c r="DL2310" s="1" t="s">
        <v>858</v>
      </c>
      <c r="DM2310" s="1" t="s">
        <v>229</v>
      </c>
      <c r="DP2310" s="1" t="s">
        <v>340</v>
      </c>
      <c r="DQ2310" s="1" t="s">
        <v>441</v>
      </c>
      <c r="DR2310" s="1" t="s">
        <v>229</v>
      </c>
      <c r="DV2310" s="1" t="s">
        <v>5014</v>
      </c>
      <c r="DW2310" s="1" t="s">
        <v>279</v>
      </c>
      <c r="DX2310" s="1" t="s">
        <v>234</v>
      </c>
      <c r="DY2310" s="1" t="s">
        <v>21293</v>
      </c>
      <c r="EB2310" s="1" t="s">
        <v>345</v>
      </c>
      <c r="EC2310" s="1" t="s">
        <v>685</v>
      </c>
      <c r="EG2310" s="1" t="s">
        <v>494</v>
      </c>
      <c r="EH2310" s="1" t="s">
        <v>408</v>
      </c>
      <c r="EL2310" s="1" t="s">
        <v>266</v>
      </c>
      <c r="EM2310" s="1" t="s">
        <v>206</v>
      </c>
      <c r="EP2310" s="1" t="s">
        <v>4153</v>
      </c>
      <c r="EQ2310" s="1" t="s">
        <v>206</v>
      </c>
      <c r="EU2310" s="1" t="s">
        <v>238</v>
      </c>
      <c r="EY2310" s="1" t="s">
        <v>238</v>
      </c>
      <c r="FC2310" s="1" t="s">
        <v>238</v>
      </c>
      <c r="FF2310" s="1" t="s">
        <v>239</v>
      </c>
      <c r="FG2310" s="1" t="s">
        <v>192</v>
      </c>
      <c r="FH2310" s="1" t="s">
        <v>192</v>
      </c>
      <c r="FJ2310" s="1" t="s">
        <v>524</v>
      </c>
      <c r="FK2310" s="1" t="s">
        <v>229</v>
      </c>
      <c r="FL2310" s="1" t="s">
        <v>525</v>
      </c>
      <c r="FM2310" s="1">
        <v>22029.0</v>
      </c>
      <c r="FN2310" s="1" t="s">
        <v>526</v>
      </c>
      <c r="FO2310" s="1" t="s">
        <v>21294</v>
      </c>
      <c r="FP2310" s="1">
        <v>237567.0</v>
      </c>
      <c r="FQ2310" s="1" t="s">
        <v>21295</v>
      </c>
      <c r="FU2310" s="1" t="s">
        <v>21296</v>
      </c>
      <c r="FV2310" s="1" t="s">
        <v>200</v>
      </c>
      <c r="FW2310" s="1" t="s">
        <v>631</v>
      </c>
      <c r="FZ2310" s="1" t="s">
        <v>632</v>
      </c>
      <c r="GA2310" s="1" t="s">
        <v>291</v>
      </c>
      <c r="GB2310" s="2">
        <v>42034.0</v>
      </c>
      <c r="GC2310" s="1" t="s">
        <v>21297</v>
      </c>
    </row>
    <row r="2311">
      <c r="A2311" s="1">
        <v>145000.0</v>
      </c>
      <c r="B2311" s="1" t="s">
        <v>185</v>
      </c>
      <c r="C2311" s="1" t="str">
        <f>"08758187"</f>
        <v>08758187</v>
      </c>
      <c r="D2311" s="1" t="s">
        <v>186</v>
      </c>
      <c r="F2311" s="1" t="str">
        <f>"8025"</f>
        <v>8025</v>
      </c>
      <c r="G2311" s="2">
        <v>41933.0</v>
      </c>
      <c r="H2311" s="1">
        <v>169000.0</v>
      </c>
      <c r="I2311" s="1">
        <v>139.0</v>
      </c>
      <c r="J2311" s="1">
        <v>160000.0</v>
      </c>
      <c r="K2311" s="2">
        <v>42053.0</v>
      </c>
      <c r="L2311" s="1">
        <v>121.0</v>
      </c>
      <c r="M2311" s="2">
        <v>42053.0</v>
      </c>
      <c r="N2311" s="1" t="s">
        <v>187</v>
      </c>
      <c r="O2311" s="2">
        <v>42108.0</v>
      </c>
      <c r="P2311" s="1">
        <v>876009.0</v>
      </c>
      <c r="Q2311" s="1">
        <v>18016.0</v>
      </c>
      <c r="S2311" s="1">
        <v>4831.0</v>
      </c>
      <c r="T2311" s="1" t="s">
        <v>8719</v>
      </c>
      <c r="U2311" s="1" t="s">
        <v>189</v>
      </c>
      <c r="V2311" s="1" t="s">
        <v>190</v>
      </c>
      <c r="W2311" s="1">
        <v>60639.0</v>
      </c>
      <c r="Y2311" s="1" t="s">
        <v>21298</v>
      </c>
      <c r="Z2311" s="1">
        <v>1919.0</v>
      </c>
      <c r="AA2311" s="1" t="s">
        <v>192</v>
      </c>
      <c r="AB2311" s="1" t="s">
        <v>193</v>
      </c>
      <c r="AD2311" s="1" t="s">
        <v>194</v>
      </c>
      <c r="AE2311" s="1" t="s">
        <v>195</v>
      </c>
      <c r="AF2311" s="1" t="s">
        <v>196</v>
      </c>
      <c r="AH2311" s="1" t="s">
        <v>779</v>
      </c>
      <c r="AI2311" s="1">
        <v>0.0983</v>
      </c>
      <c r="AK2311" s="1">
        <v>9.0</v>
      </c>
      <c r="AL2311" s="1">
        <v>4.0</v>
      </c>
      <c r="AM2311" s="1">
        <v>1.0</v>
      </c>
      <c r="AN2311" s="1">
        <v>1.0</v>
      </c>
      <c r="AO2311" s="1" t="s">
        <v>229</v>
      </c>
      <c r="AP2311" s="1">
        <v>0.0</v>
      </c>
      <c r="AQ2311" s="1" t="s">
        <v>198</v>
      </c>
      <c r="AR2311" s="1" t="s">
        <v>200</v>
      </c>
      <c r="AS2311" s="1" t="s">
        <v>510</v>
      </c>
      <c r="AT2311" s="1">
        <v>1.0</v>
      </c>
      <c r="AU2311" s="1">
        <v>1.0</v>
      </c>
      <c r="AV2311" s="1" t="s">
        <v>200</v>
      </c>
      <c r="AW2311" s="1">
        <v>2019.27</v>
      </c>
      <c r="AX2311" s="1">
        <v>2013.0</v>
      </c>
      <c r="AZ2311" s="1" t="s">
        <v>545</v>
      </c>
      <c r="BA2311" s="1" t="str">
        <f>"13334170160000"</f>
        <v>13334170160000</v>
      </c>
      <c r="BC2311" s="1">
        <v>1023.0</v>
      </c>
      <c r="BD2311" s="1">
        <v>145000.0</v>
      </c>
      <c r="BE2311" s="2">
        <v>41933.0</v>
      </c>
      <c r="BF2311" s="2" t="s">
        <v>21299</v>
      </c>
      <c r="BH2311" s="1">
        <v>0.0</v>
      </c>
      <c r="BK2311" s="1" t="s">
        <v>204</v>
      </c>
      <c r="BL2311" s="1" t="str">
        <f>"1700"</f>
        <v>1700</v>
      </c>
      <c r="BM2311" s="1" t="str">
        <f t="shared" ref="BM2311:BM2315" si="1506">"0"</f>
        <v>0</v>
      </c>
      <c r="BN2311" s="1">
        <v>4800.0</v>
      </c>
      <c r="BO2311" s="1">
        <v>0.0</v>
      </c>
      <c r="BQ2311" s="1">
        <v>299.0</v>
      </c>
      <c r="BR2311" s="1">
        <v>299.0</v>
      </c>
      <c r="BS2311" s="1">
        <v>299.0</v>
      </c>
      <c r="BU2311" s="1" t="s">
        <v>329</v>
      </c>
      <c r="BV2311" s="1" t="s">
        <v>206</v>
      </c>
      <c r="BW2311" s="1" t="s">
        <v>207</v>
      </c>
      <c r="BX2311" s="1" t="s">
        <v>431</v>
      </c>
      <c r="BY2311" s="1" t="s">
        <v>392</v>
      </c>
      <c r="BZ2311" s="1" t="s">
        <v>206</v>
      </c>
      <c r="CA2311" s="1" t="s">
        <v>207</v>
      </c>
      <c r="CB2311" s="1" t="s">
        <v>431</v>
      </c>
      <c r="CC2311" s="1" t="s">
        <v>212</v>
      </c>
      <c r="CD2311" s="1" t="s">
        <v>206</v>
      </c>
      <c r="CE2311" s="1" t="s">
        <v>207</v>
      </c>
      <c r="CF2311" s="1" t="s">
        <v>431</v>
      </c>
      <c r="CG2311" s="1" t="s">
        <v>392</v>
      </c>
      <c r="CH2311" s="1" t="s">
        <v>209</v>
      </c>
      <c r="CI2311" s="1" t="s">
        <v>210</v>
      </c>
      <c r="CJ2311" s="1" t="s">
        <v>431</v>
      </c>
      <c r="CK2311" s="1" t="s">
        <v>2365</v>
      </c>
      <c r="CL2311" s="1" t="s">
        <v>209</v>
      </c>
      <c r="CM2311" s="1" t="s">
        <v>210</v>
      </c>
      <c r="CN2311" s="1" t="s">
        <v>431</v>
      </c>
      <c r="CO2311" s="1" t="s">
        <v>392</v>
      </c>
      <c r="CP2311" s="1" t="s">
        <v>206</v>
      </c>
      <c r="CQ2311" s="1" t="s">
        <v>210</v>
      </c>
      <c r="CR2311" s="1" t="s">
        <v>229</v>
      </c>
      <c r="CS2311" s="1" t="s">
        <v>699</v>
      </c>
      <c r="CT2311" s="1" t="s">
        <v>206</v>
      </c>
      <c r="CU2311" s="1" t="s">
        <v>207</v>
      </c>
      <c r="CV2311" s="1" t="s">
        <v>431</v>
      </c>
      <c r="CX2311" s="1" t="s">
        <v>204</v>
      </c>
      <c r="DA2311" s="1" t="s">
        <v>200</v>
      </c>
      <c r="DC2311" s="1" t="s">
        <v>216</v>
      </c>
      <c r="DD2311" s="1" t="s">
        <v>957</v>
      </c>
      <c r="DE2311" s="1" t="s">
        <v>273</v>
      </c>
      <c r="DF2311" s="1" t="s">
        <v>619</v>
      </c>
      <c r="DG2311" s="1" t="s">
        <v>337</v>
      </c>
      <c r="DH2311" s="1" t="s">
        <v>307</v>
      </c>
      <c r="DI2311" s="1" t="s">
        <v>2096</v>
      </c>
      <c r="DJ2311" s="1" t="s">
        <v>222</v>
      </c>
      <c r="DK2311" s="1" t="s">
        <v>224</v>
      </c>
      <c r="DL2311" s="1" t="s">
        <v>224</v>
      </c>
      <c r="DM2311" s="1" t="s">
        <v>1658</v>
      </c>
      <c r="DO2311" s="1" t="s">
        <v>21300</v>
      </c>
      <c r="DP2311" s="1" t="s">
        <v>340</v>
      </c>
      <c r="DQ2311" s="1" t="s">
        <v>228</v>
      </c>
      <c r="DR2311" s="1" t="s">
        <v>229</v>
      </c>
      <c r="DV2311" s="1" t="s">
        <v>4513</v>
      </c>
      <c r="DW2311" s="1" t="s">
        <v>279</v>
      </c>
      <c r="DX2311" s="1" t="s">
        <v>234</v>
      </c>
      <c r="DY2311" s="1" t="s">
        <v>2240</v>
      </c>
      <c r="DZ2311" s="1" t="s">
        <v>1405</v>
      </c>
      <c r="EA2311" s="1" t="s">
        <v>644</v>
      </c>
      <c r="EC2311" s="1" t="s">
        <v>645</v>
      </c>
      <c r="ED2311" s="1" t="s">
        <v>555</v>
      </c>
      <c r="EF2311" s="1" t="s">
        <v>21301</v>
      </c>
      <c r="EG2311" s="1" t="s">
        <v>449</v>
      </c>
      <c r="EH2311" s="1" t="s">
        <v>494</v>
      </c>
      <c r="EL2311" s="1" t="s">
        <v>1029</v>
      </c>
      <c r="EM2311" s="1" t="s">
        <v>206</v>
      </c>
      <c r="EN2311" s="1" t="s">
        <v>268</v>
      </c>
      <c r="EO2311" s="1" t="s">
        <v>431</v>
      </c>
      <c r="EP2311" s="1" t="s">
        <v>392</v>
      </c>
      <c r="EQ2311" s="1" t="s">
        <v>206</v>
      </c>
      <c r="ER2311" s="1" t="s">
        <v>210</v>
      </c>
      <c r="ES2311" s="1" t="s">
        <v>1549</v>
      </c>
      <c r="EU2311" s="1" t="s">
        <v>238</v>
      </c>
      <c r="EY2311" s="1" t="s">
        <v>238</v>
      </c>
      <c r="FC2311" s="1" t="s">
        <v>238</v>
      </c>
      <c r="FF2311" s="1" t="s">
        <v>239</v>
      </c>
      <c r="FG2311" s="1" t="s">
        <v>192</v>
      </c>
      <c r="FH2311" s="1" t="s">
        <v>192</v>
      </c>
      <c r="FJ2311" s="1" t="s">
        <v>4029</v>
      </c>
      <c r="FK2311" s="1" t="s">
        <v>1586</v>
      </c>
      <c r="FL2311" s="1" t="s">
        <v>974</v>
      </c>
      <c r="FM2311" s="1">
        <v>3790.0</v>
      </c>
      <c r="FN2311" s="1" t="s">
        <v>7627</v>
      </c>
      <c r="FO2311" s="1" t="s">
        <v>21302</v>
      </c>
      <c r="FP2311" s="1">
        <v>42117.0</v>
      </c>
      <c r="FQ2311" s="1" t="s">
        <v>21303</v>
      </c>
      <c r="FU2311" s="1" t="s">
        <v>21304</v>
      </c>
      <c r="FV2311" s="1" t="s">
        <v>200</v>
      </c>
      <c r="FW2311" s="1" t="s">
        <v>567</v>
      </c>
      <c r="FX2311" s="1" t="s">
        <v>246</v>
      </c>
      <c r="FZ2311" s="1" t="s">
        <v>229</v>
      </c>
      <c r="GA2311" s="1" t="s">
        <v>291</v>
      </c>
      <c r="GB2311" s="2">
        <v>42110.0</v>
      </c>
      <c r="GC2311" s="1" t="s">
        <v>21305</v>
      </c>
    </row>
    <row r="2312">
      <c r="A2312" s="1">
        <v>600000.0</v>
      </c>
      <c r="B2312" s="1" t="s">
        <v>185</v>
      </c>
      <c r="C2312" s="1" t="str">
        <f>"08753051"</f>
        <v>08753051</v>
      </c>
      <c r="D2312" s="1" t="s">
        <v>186</v>
      </c>
      <c r="F2312" s="1" t="str">
        <f>"8022"</f>
        <v>8022</v>
      </c>
      <c r="G2312" s="2">
        <v>41926.0</v>
      </c>
      <c r="H2312" s="1">
        <v>685000.0</v>
      </c>
      <c r="I2312" s="1">
        <v>135.0</v>
      </c>
      <c r="J2312" s="1">
        <v>649500.0</v>
      </c>
      <c r="K2312" s="2">
        <v>42020.0</v>
      </c>
      <c r="L2312" s="1">
        <v>95.0</v>
      </c>
      <c r="M2312" s="2">
        <v>42020.0</v>
      </c>
      <c r="N2312" s="1" t="s">
        <v>249</v>
      </c>
      <c r="O2312" s="2">
        <v>42047.0</v>
      </c>
      <c r="P2312" s="1">
        <v>107438.0</v>
      </c>
      <c r="Q2312" s="1">
        <v>84025.0</v>
      </c>
      <c r="S2312" s="1">
        <v>2137.0</v>
      </c>
      <c r="T2312" s="1" t="s">
        <v>9311</v>
      </c>
      <c r="U2312" s="1" t="s">
        <v>189</v>
      </c>
      <c r="V2312" s="1" t="s">
        <v>190</v>
      </c>
      <c r="W2312" s="1">
        <v>60647.0</v>
      </c>
      <c r="Y2312" s="1" t="s">
        <v>21306</v>
      </c>
      <c r="Z2312" s="1" t="s">
        <v>296</v>
      </c>
      <c r="AA2312" s="1" t="s">
        <v>192</v>
      </c>
      <c r="AB2312" s="1" t="s">
        <v>193</v>
      </c>
      <c r="AD2312" s="1" t="s">
        <v>194</v>
      </c>
      <c r="AE2312" s="1" t="s">
        <v>195</v>
      </c>
      <c r="AF2312" s="1" t="s">
        <v>534</v>
      </c>
      <c r="AH2312" s="1" t="s">
        <v>21307</v>
      </c>
      <c r="AK2312" s="1">
        <v>8.0</v>
      </c>
      <c r="AL2312" s="1">
        <v>4.0</v>
      </c>
      <c r="AM2312" s="1">
        <v>3.0</v>
      </c>
      <c r="AN2312" s="1">
        <v>0.0</v>
      </c>
      <c r="AO2312" s="1" t="s">
        <v>198</v>
      </c>
      <c r="AQ2312" s="1" t="s">
        <v>472</v>
      </c>
      <c r="AR2312" s="1" t="s">
        <v>192</v>
      </c>
      <c r="AS2312" s="1" t="s">
        <v>199</v>
      </c>
      <c r="AT2312" s="1">
        <v>2.0</v>
      </c>
      <c r="AV2312" s="1" t="s">
        <v>200</v>
      </c>
      <c r="AW2312" s="1">
        <v>4277.0</v>
      </c>
      <c r="AX2312" s="1">
        <v>2013.0</v>
      </c>
      <c r="AZ2312" s="1" t="s">
        <v>200</v>
      </c>
      <c r="BA2312" s="1" t="str">
        <f>"13362240050000"</f>
        <v>13362240050000</v>
      </c>
      <c r="BC2312" s="1">
        <v>0.0</v>
      </c>
      <c r="BD2312" s="1">
        <v>600000.0</v>
      </c>
      <c r="BE2312" s="2">
        <v>41926.0</v>
      </c>
      <c r="BF2312" s="2" t="s">
        <v>21308</v>
      </c>
      <c r="BH2312" s="1">
        <v>0.0</v>
      </c>
      <c r="BK2312" s="1" t="s">
        <v>204</v>
      </c>
      <c r="BL2312" s="1" t="str">
        <f>"2137"</f>
        <v>2137</v>
      </c>
      <c r="BM2312" s="1" t="str">
        <f t="shared" si="1506"/>
        <v>0</v>
      </c>
      <c r="BN2312" s="1">
        <v>2400.0</v>
      </c>
      <c r="BO2312" s="1">
        <v>0.0</v>
      </c>
      <c r="BQ2312" s="1">
        <v>299.0</v>
      </c>
      <c r="BR2312" s="1">
        <v>299.0</v>
      </c>
      <c r="BS2312" s="1">
        <v>299.0</v>
      </c>
      <c r="BU2312" s="1" t="s">
        <v>361</v>
      </c>
      <c r="BV2312" s="1" t="s">
        <v>206</v>
      </c>
      <c r="BW2312" s="1" t="s">
        <v>207</v>
      </c>
      <c r="BY2312" s="1" t="s">
        <v>8789</v>
      </c>
      <c r="BZ2312" s="1" t="s">
        <v>209</v>
      </c>
      <c r="CA2312" s="1" t="s">
        <v>210</v>
      </c>
      <c r="CC2312" s="1" t="s">
        <v>208</v>
      </c>
      <c r="CD2312" s="1" t="s">
        <v>206</v>
      </c>
      <c r="CE2312" s="1" t="s">
        <v>207</v>
      </c>
      <c r="CG2312" s="1" t="s">
        <v>1939</v>
      </c>
      <c r="CH2312" s="1" t="s">
        <v>206</v>
      </c>
      <c r="CI2312" s="1" t="s">
        <v>207</v>
      </c>
      <c r="CK2312" s="1" t="s">
        <v>2613</v>
      </c>
      <c r="CL2312" s="1" t="s">
        <v>206</v>
      </c>
      <c r="CM2312" s="1" t="s">
        <v>207</v>
      </c>
      <c r="CO2312" s="1" t="s">
        <v>332</v>
      </c>
      <c r="CP2312" s="1" t="s">
        <v>267</v>
      </c>
      <c r="CQ2312" s="1" t="s">
        <v>210</v>
      </c>
      <c r="CS2312" s="1" t="s">
        <v>1001</v>
      </c>
      <c r="CT2312" s="1" t="s">
        <v>206</v>
      </c>
      <c r="CU2312" s="1" t="s">
        <v>1790</v>
      </c>
      <c r="CX2312" s="1" t="s">
        <v>204</v>
      </c>
      <c r="DA2312" s="1" t="s">
        <v>200</v>
      </c>
      <c r="DC2312" s="1" t="s">
        <v>1399</v>
      </c>
      <c r="DD2312" s="1" t="s">
        <v>396</v>
      </c>
      <c r="DE2312" s="1" t="s">
        <v>273</v>
      </c>
      <c r="DF2312" s="1" t="s">
        <v>1931</v>
      </c>
      <c r="DH2312" s="1" t="s">
        <v>220</v>
      </c>
      <c r="DI2312" s="1" t="s">
        <v>959</v>
      </c>
      <c r="DJ2312" s="1" t="s">
        <v>222</v>
      </c>
      <c r="DL2312" s="1" t="s">
        <v>224</v>
      </c>
      <c r="DM2312" s="1" t="s">
        <v>1464</v>
      </c>
      <c r="DN2312" s="1" t="s">
        <v>548</v>
      </c>
      <c r="DP2312" s="1" t="s">
        <v>340</v>
      </c>
      <c r="DQ2312" s="1" t="s">
        <v>794</v>
      </c>
      <c r="DR2312" s="1" t="s">
        <v>229</v>
      </c>
      <c r="DV2312" s="1" t="s">
        <v>594</v>
      </c>
      <c r="DW2312" s="1" t="s">
        <v>233</v>
      </c>
      <c r="DX2312" s="1" t="s">
        <v>234</v>
      </c>
      <c r="DY2312" s="1" t="s">
        <v>6341</v>
      </c>
      <c r="DZ2312" s="1" t="s">
        <v>1466</v>
      </c>
      <c r="EC2312" s="1" t="s">
        <v>237</v>
      </c>
      <c r="ED2312" s="1" t="s">
        <v>555</v>
      </c>
      <c r="EG2312" s="1" t="s">
        <v>598</v>
      </c>
      <c r="EH2312" s="1" t="s">
        <v>408</v>
      </c>
      <c r="EL2312" s="1" t="s">
        <v>452</v>
      </c>
      <c r="EM2312" s="1" t="s">
        <v>267</v>
      </c>
      <c r="EN2312" s="1" t="s">
        <v>210</v>
      </c>
      <c r="EP2312" s="1" t="s">
        <v>4413</v>
      </c>
      <c r="EQ2312" s="1" t="s">
        <v>206</v>
      </c>
      <c r="ER2312" s="1" t="s">
        <v>207</v>
      </c>
      <c r="EU2312" s="1" t="s">
        <v>238</v>
      </c>
      <c r="EY2312" s="1" t="s">
        <v>238</v>
      </c>
      <c r="FC2312" s="1" t="s">
        <v>238</v>
      </c>
      <c r="FF2312" s="1" t="s">
        <v>239</v>
      </c>
      <c r="FG2312" s="1" t="s">
        <v>192</v>
      </c>
      <c r="FH2312" s="1" t="s">
        <v>192</v>
      </c>
      <c r="FJ2312" s="1" t="s">
        <v>799</v>
      </c>
      <c r="FK2312" s="1" t="s">
        <v>229</v>
      </c>
      <c r="FL2312" s="1" t="s">
        <v>21309</v>
      </c>
      <c r="FM2312" s="1">
        <v>11062.0</v>
      </c>
      <c r="FN2312" s="1" t="s">
        <v>21310</v>
      </c>
      <c r="FO2312" s="1" t="s">
        <v>21311</v>
      </c>
      <c r="FP2312" s="1">
        <v>148026.0</v>
      </c>
      <c r="FQ2312" s="1" t="s">
        <v>21312</v>
      </c>
      <c r="FU2312" s="1" t="s">
        <v>21313</v>
      </c>
      <c r="FV2312" s="1" t="s">
        <v>200</v>
      </c>
      <c r="FW2312" s="1" t="s">
        <v>290</v>
      </c>
      <c r="FX2312" s="1" t="s">
        <v>238</v>
      </c>
      <c r="FZ2312" s="1" t="s">
        <v>229</v>
      </c>
      <c r="GA2312" s="1" t="s">
        <v>291</v>
      </c>
      <c r="GB2312" s="2">
        <v>42048.0</v>
      </c>
    </row>
    <row r="2313">
      <c r="A2313" s="1">
        <v>172000.0</v>
      </c>
      <c r="B2313" s="1" t="s">
        <v>185</v>
      </c>
      <c r="C2313" s="1" t="str">
        <f>"08759315"</f>
        <v>08759315</v>
      </c>
      <c r="D2313" s="1" t="s">
        <v>186</v>
      </c>
      <c r="F2313" s="1" t="str">
        <f>"8018"</f>
        <v>8018</v>
      </c>
      <c r="G2313" s="2">
        <v>41934.0</v>
      </c>
      <c r="H2313" s="1">
        <v>189500.0</v>
      </c>
      <c r="I2313" s="1">
        <v>12.0</v>
      </c>
      <c r="J2313" s="1">
        <v>189500.0</v>
      </c>
      <c r="K2313" s="2">
        <v>41945.0</v>
      </c>
      <c r="L2313" s="1">
        <v>12.0</v>
      </c>
      <c r="M2313" s="2">
        <v>41945.0</v>
      </c>
      <c r="N2313" s="1" t="s">
        <v>356</v>
      </c>
      <c r="O2313" s="2">
        <v>42002.0</v>
      </c>
      <c r="P2313" s="1">
        <v>922957.0</v>
      </c>
      <c r="Q2313" s="1">
        <v>1986.0</v>
      </c>
      <c r="R2313" s="1">
        <v>5160.0</v>
      </c>
      <c r="S2313" s="1">
        <v>2328.0</v>
      </c>
      <c r="T2313" s="1" t="s">
        <v>21314</v>
      </c>
      <c r="U2313" s="1" t="s">
        <v>189</v>
      </c>
      <c r="V2313" s="1" t="s">
        <v>190</v>
      </c>
      <c r="W2313" s="1">
        <v>60707.0</v>
      </c>
      <c r="Y2313" s="1" t="s">
        <v>21315</v>
      </c>
      <c r="Z2313" s="1">
        <v>1926.0</v>
      </c>
      <c r="AA2313" s="1" t="s">
        <v>192</v>
      </c>
      <c r="AB2313" s="1" t="s">
        <v>193</v>
      </c>
      <c r="AD2313" s="1" t="s">
        <v>194</v>
      </c>
      <c r="AE2313" s="1" t="s">
        <v>195</v>
      </c>
      <c r="AF2313" s="1" t="s">
        <v>196</v>
      </c>
      <c r="AH2313" s="1" t="s">
        <v>21316</v>
      </c>
      <c r="AI2313" s="1">
        <v>0.1136</v>
      </c>
      <c r="AK2313" s="1">
        <v>7.0</v>
      </c>
      <c r="AL2313" s="1">
        <v>4.0</v>
      </c>
      <c r="AM2313" s="1">
        <v>1.0</v>
      </c>
      <c r="AN2313" s="1">
        <v>0.0</v>
      </c>
      <c r="AO2313" s="1" t="s">
        <v>229</v>
      </c>
      <c r="AQ2313" s="1" t="s">
        <v>198</v>
      </c>
      <c r="AR2313" s="1" t="s">
        <v>200</v>
      </c>
      <c r="AS2313" s="1" t="s">
        <v>199</v>
      </c>
      <c r="AT2313" s="1">
        <v>2.0</v>
      </c>
      <c r="AV2313" s="1" t="s">
        <v>200</v>
      </c>
      <c r="AW2313" s="1">
        <v>4590.22</v>
      </c>
      <c r="AX2313" s="1">
        <v>2012.0</v>
      </c>
      <c r="AY2313" s="1" t="s">
        <v>229</v>
      </c>
      <c r="AZ2313" s="1" t="s">
        <v>200</v>
      </c>
      <c r="BA2313" s="1" t="str">
        <f>"13312030150000"</f>
        <v>13312030150000</v>
      </c>
      <c r="BC2313" s="1">
        <v>1553.0</v>
      </c>
      <c r="BD2313" s="1">
        <v>172000.0</v>
      </c>
      <c r="BE2313" s="2">
        <v>41934.0</v>
      </c>
      <c r="BF2313" s="2" t="s">
        <v>21317</v>
      </c>
      <c r="BH2313" s="1">
        <v>0.0</v>
      </c>
      <c r="BK2313" s="1" t="s">
        <v>204</v>
      </c>
      <c r="BL2313" s="1" t="str">
        <f>"2300"</f>
        <v>2300</v>
      </c>
      <c r="BM2313" s="1" t="str">
        <f t="shared" si="1506"/>
        <v>0</v>
      </c>
      <c r="BN2313" s="1">
        <v>6700.0</v>
      </c>
      <c r="BO2313" s="1">
        <v>0.0</v>
      </c>
      <c r="BQ2313" s="1">
        <v>299.0</v>
      </c>
      <c r="BR2313" s="1">
        <v>299.0</v>
      </c>
      <c r="BS2313" s="1">
        <v>299.0</v>
      </c>
      <c r="BU2313" s="1" t="s">
        <v>433</v>
      </c>
      <c r="BV2313" s="1" t="s">
        <v>206</v>
      </c>
      <c r="BW2313" s="1" t="s">
        <v>210</v>
      </c>
      <c r="BX2313" s="1" t="s">
        <v>1549</v>
      </c>
      <c r="BY2313" s="1" t="s">
        <v>264</v>
      </c>
      <c r="BZ2313" s="1" t="s">
        <v>206</v>
      </c>
      <c r="CC2313" s="1" t="s">
        <v>215</v>
      </c>
      <c r="CD2313" s="1" t="s">
        <v>206</v>
      </c>
      <c r="CE2313" s="1" t="s">
        <v>210</v>
      </c>
      <c r="CF2313" s="1" t="s">
        <v>1549</v>
      </c>
      <c r="CG2313" s="1" t="s">
        <v>264</v>
      </c>
      <c r="CH2313" s="1" t="s">
        <v>206</v>
      </c>
      <c r="CK2313" s="1" t="s">
        <v>208</v>
      </c>
      <c r="CL2313" s="1" t="s">
        <v>209</v>
      </c>
      <c r="CO2313" s="1" t="s">
        <v>213</v>
      </c>
      <c r="CP2313" s="1" t="s">
        <v>209</v>
      </c>
      <c r="CS2313" s="1" t="s">
        <v>266</v>
      </c>
      <c r="CT2313" s="1" t="s">
        <v>206</v>
      </c>
      <c r="CU2313" s="1" t="s">
        <v>268</v>
      </c>
      <c r="CV2313" s="1" t="s">
        <v>431</v>
      </c>
      <c r="CX2313" s="1" t="s">
        <v>204</v>
      </c>
      <c r="DA2313" s="1" t="s">
        <v>200</v>
      </c>
      <c r="DC2313" s="1" t="s">
        <v>785</v>
      </c>
      <c r="DD2313" s="1" t="s">
        <v>2094</v>
      </c>
      <c r="DE2313" s="1" t="s">
        <v>1300</v>
      </c>
      <c r="DF2313" s="1" t="s">
        <v>619</v>
      </c>
      <c r="DH2313" s="1" t="s">
        <v>307</v>
      </c>
      <c r="DI2313" s="1" t="s">
        <v>1401</v>
      </c>
      <c r="DJ2313" s="1" t="s">
        <v>222</v>
      </c>
      <c r="DL2313" s="1" t="s">
        <v>223</v>
      </c>
      <c r="DM2313" s="1" t="s">
        <v>229</v>
      </c>
      <c r="DP2313" s="1" t="s">
        <v>340</v>
      </c>
      <c r="DQ2313" s="1" t="s">
        <v>228</v>
      </c>
      <c r="DR2313" s="1" t="s">
        <v>229</v>
      </c>
      <c r="DV2313" s="1" t="s">
        <v>374</v>
      </c>
      <c r="DW2313" s="1" t="s">
        <v>489</v>
      </c>
      <c r="DX2313" s="1" t="s">
        <v>234</v>
      </c>
      <c r="EC2313" s="1" t="s">
        <v>237</v>
      </c>
      <c r="ED2313" s="1" t="s">
        <v>555</v>
      </c>
      <c r="EG2313" s="1" t="s">
        <v>374</v>
      </c>
      <c r="EL2313" s="1" t="s">
        <v>2522</v>
      </c>
      <c r="EM2313" s="1" t="s">
        <v>206</v>
      </c>
      <c r="EQ2313" s="1" t="s">
        <v>238</v>
      </c>
      <c r="EU2313" s="1" t="s">
        <v>238</v>
      </c>
      <c r="EY2313" s="1" t="s">
        <v>238</v>
      </c>
      <c r="FC2313" s="1" t="s">
        <v>238</v>
      </c>
      <c r="FF2313" s="1" t="s">
        <v>239</v>
      </c>
      <c r="FG2313" s="1" t="s">
        <v>192</v>
      </c>
      <c r="FH2313" s="1" t="s">
        <v>192</v>
      </c>
      <c r="FJ2313" s="1" t="s">
        <v>21318</v>
      </c>
      <c r="FK2313" s="1" t="s">
        <v>229</v>
      </c>
      <c r="FL2313" s="1" t="s">
        <v>21319</v>
      </c>
      <c r="FM2313" s="1">
        <v>17846.0</v>
      </c>
      <c r="FN2313" s="1" t="s">
        <v>21320</v>
      </c>
      <c r="FO2313" s="1" t="s">
        <v>21321</v>
      </c>
      <c r="FP2313" s="1">
        <v>165106.0</v>
      </c>
      <c r="FQ2313" s="1" t="s">
        <v>21322</v>
      </c>
      <c r="FU2313" s="1" t="s">
        <v>21323</v>
      </c>
      <c r="FV2313" s="1" t="s">
        <v>200</v>
      </c>
      <c r="FW2313" s="1" t="s">
        <v>1511</v>
      </c>
      <c r="FX2313" s="1" t="s">
        <v>238</v>
      </c>
      <c r="FZ2313" s="1" t="s">
        <v>229</v>
      </c>
      <c r="GA2313" s="1" t="s">
        <v>291</v>
      </c>
      <c r="GB2313" s="2">
        <v>42003.0</v>
      </c>
      <c r="GC2313" s="1" t="s">
        <v>21324</v>
      </c>
    </row>
    <row r="2314">
      <c r="A2314" s="1">
        <v>601500.0</v>
      </c>
      <c r="B2314" s="1" t="s">
        <v>185</v>
      </c>
      <c r="C2314" s="1" t="str">
        <f>"08757033"</f>
        <v>08757033</v>
      </c>
      <c r="D2314" s="1" t="s">
        <v>186</v>
      </c>
      <c r="F2314" s="1" t="str">
        <f>"8077"</f>
        <v>8077</v>
      </c>
      <c r="G2314" s="2">
        <v>41932.0</v>
      </c>
      <c r="H2314" s="1">
        <v>599000.0</v>
      </c>
      <c r="I2314" s="1">
        <v>41.0</v>
      </c>
      <c r="J2314" s="1">
        <v>599000.0</v>
      </c>
      <c r="K2314" s="2">
        <v>41951.0</v>
      </c>
      <c r="L2314" s="1">
        <v>20.0</v>
      </c>
      <c r="M2314" s="2">
        <v>41951.0</v>
      </c>
      <c r="N2314" s="1" t="s">
        <v>187</v>
      </c>
      <c r="O2314" s="2">
        <v>41985.0</v>
      </c>
      <c r="P2314" s="1">
        <v>168534.0</v>
      </c>
      <c r="Q2314" s="1">
        <v>10900.0</v>
      </c>
      <c r="S2314" s="1">
        <v>6244.0</v>
      </c>
      <c r="T2314" s="1" t="s">
        <v>8601</v>
      </c>
      <c r="U2314" s="1" t="s">
        <v>189</v>
      </c>
      <c r="V2314" s="1" t="s">
        <v>190</v>
      </c>
      <c r="W2314" s="1">
        <v>60660.0</v>
      </c>
      <c r="Y2314" s="1" t="s">
        <v>21325</v>
      </c>
      <c r="Z2314" s="1">
        <v>1900.0</v>
      </c>
      <c r="AA2314" s="1" t="s">
        <v>192</v>
      </c>
      <c r="AB2314" s="1" t="s">
        <v>193</v>
      </c>
      <c r="AD2314" s="1" t="s">
        <v>194</v>
      </c>
      <c r="AE2314" s="1" t="s">
        <v>195</v>
      </c>
      <c r="AF2314" s="1" t="s">
        <v>534</v>
      </c>
      <c r="AH2314" s="1" t="s">
        <v>741</v>
      </c>
      <c r="AI2314" s="1">
        <v>0.0649</v>
      </c>
      <c r="AK2314" s="1">
        <v>9.0</v>
      </c>
      <c r="AL2314" s="1">
        <v>3.0</v>
      </c>
      <c r="AM2314" s="1">
        <v>3.0</v>
      </c>
      <c r="AN2314" s="1">
        <v>1.0</v>
      </c>
      <c r="AO2314" s="1" t="s">
        <v>198</v>
      </c>
      <c r="AP2314" s="1">
        <v>0.0</v>
      </c>
      <c r="AQ2314" s="1" t="s">
        <v>198</v>
      </c>
      <c r="AR2314" s="1" t="s">
        <v>192</v>
      </c>
      <c r="AS2314" s="1" t="s">
        <v>199</v>
      </c>
      <c r="AT2314" s="1">
        <v>2.0</v>
      </c>
      <c r="AV2314" s="1" t="s">
        <v>200</v>
      </c>
      <c r="AW2314" s="1">
        <v>4882.0</v>
      </c>
      <c r="AX2314" s="1">
        <v>2012.0</v>
      </c>
      <c r="AY2314" s="1" t="s">
        <v>1179</v>
      </c>
      <c r="AZ2314" s="1" t="s">
        <v>200</v>
      </c>
      <c r="BA2314" s="1" t="str">
        <f>"14051140170000"</f>
        <v>14051140170000</v>
      </c>
      <c r="BB2314" s="1" t="s">
        <v>200</v>
      </c>
      <c r="BC2314" s="1">
        <v>2400.0</v>
      </c>
      <c r="BD2314" s="1">
        <v>601500.0</v>
      </c>
      <c r="BE2314" s="2">
        <v>41932.0</v>
      </c>
      <c r="BF2314" s="2" t="s">
        <v>21326</v>
      </c>
      <c r="BH2314" s="1">
        <v>0.0</v>
      </c>
      <c r="BK2314" s="1" t="s">
        <v>204</v>
      </c>
      <c r="BL2314" s="1" t="str">
        <f>"6200"</f>
        <v>6200</v>
      </c>
      <c r="BM2314" s="1" t="str">
        <f t="shared" si="1506"/>
        <v>0</v>
      </c>
      <c r="BN2314" s="1">
        <v>1000.0</v>
      </c>
      <c r="BO2314" s="1">
        <v>0.0</v>
      </c>
      <c r="BQ2314" s="1">
        <v>299.0</v>
      </c>
      <c r="BR2314" s="1">
        <v>299.0</v>
      </c>
      <c r="BS2314" s="1">
        <v>299.0</v>
      </c>
      <c r="BU2314" s="1" t="s">
        <v>639</v>
      </c>
      <c r="BV2314" s="1" t="s">
        <v>206</v>
      </c>
      <c r="BW2314" s="1" t="s">
        <v>207</v>
      </c>
      <c r="BY2314" s="1" t="s">
        <v>582</v>
      </c>
      <c r="BZ2314" s="1" t="s">
        <v>209</v>
      </c>
      <c r="CA2314" s="1" t="s">
        <v>207</v>
      </c>
      <c r="CC2314" s="1" t="s">
        <v>542</v>
      </c>
      <c r="CD2314" s="1" t="s">
        <v>206</v>
      </c>
      <c r="CE2314" s="1" t="s">
        <v>207</v>
      </c>
      <c r="CG2314" s="1" t="s">
        <v>363</v>
      </c>
      <c r="CH2314" s="1" t="s">
        <v>209</v>
      </c>
      <c r="CI2314" s="1" t="s">
        <v>207</v>
      </c>
      <c r="CK2314" s="1" t="s">
        <v>495</v>
      </c>
      <c r="CL2314" s="1" t="s">
        <v>209</v>
      </c>
      <c r="CM2314" s="1" t="s">
        <v>207</v>
      </c>
      <c r="CO2314" s="1" t="s">
        <v>699</v>
      </c>
      <c r="CP2314" s="1" t="s">
        <v>42</v>
      </c>
      <c r="CQ2314" s="1" t="s">
        <v>210</v>
      </c>
      <c r="CS2314" s="1" t="s">
        <v>332</v>
      </c>
      <c r="CT2314" s="1" t="s">
        <v>206</v>
      </c>
      <c r="CU2314" s="1" t="s">
        <v>207</v>
      </c>
      <c r="CW2314" s="1" t="s">
        <v>664</v>
      </c>
      <c r="CX2314" s="1" t="s">
        <v>206</v>
      </c>
      <c r="CY2314" s="1" t="s">
        <v>207</v>
      </c>
      <c r="DA2314" s="1" t="s">
        <v>200</v>
      </c>
      <c r="DC2314" s="1" t="s">
        <v>642</v>
      </c>
      <c r="DD2314" s="1" t="s">
        <v>436</v>
      </c>
      <c r="DE2314" s="1" t="s">
        <v>273</v>
      </c>
      <c r="DF2314" s="1" t="s">
        <v>219</v>
      </c>
      <c r="DG2314" s="1" t="s">
        <v>1020</v>
      </c>
      <c r="DH2314" s="1" t="s">
        <v>307</v>
      </c>
      <c r="DI2314" s="1" t="s">
        <v>2257</v>
      </c>
      <c r="DJ2314" s="1" t="s">
        <v>222</v>
      </c>
      <c r="DL2314" s="1" t="s">
        <v>224</v>
      </c>
      <c r="DM2314" s="1" t="s">
        <v>229</v>
      </c>
      <c r="DO2314" s="1" t="s">
        <v>549</v>
      </c>
      <c r="DP2314" s="1" t="s">
        <v>276</v>
      </c>
      <c r="DQ2314" s="1" t="s">
        <v>718</v>
      </c>
      <c r="DR2314" s="1" t="s">
        <v>229</v>
      </c>
      <c r="DS2314" s="1" t="s">
        <v>368</v>
      </c>
      <c r="DV2314" s="1" t="s">
        <v>21327</v>
      </c>
      <c r="DW2314" s="1" t="s">
        <v>12642</v>
      </c>
      <c r="DX2314" s="1" t="s">
        <v>234</v>
      </c>
      <c r="DY2314" s="1" t="s">
        <v>1122</v>
      </c>
      <c r="DZ2314" s="1" t="s">
        <v>343</v>
      </c>
      <c r="EA2314" s="1" t="s">
        <v>588</v>
      </c>
      <c r="EC2314" s="1" t="s">
        <v>237</v>
      </c>
      <c r="ED2314" s="1" t="s">
        <v>555</v>
      </c>
      <c r="EG2314" s="1" t="s">
        <v>450</v>
      </c>
      <c r="EH2314" s="1" t="s">
        <v>408</v>
      </c>
      <c r="EI2314" s="1" t="s">
        <v>310</v>
      </c>
      <c r="EL2314" s="1" t="s">
        <v>2120</v>
      </c>
      <c r="EM2314" s="1" t="s">
        <v>42</v>
      </c>
      <c r="EN2314" s="1" t="s">
        <v>210</v>
      </c>
      <c r="EP2314" s="1" t="s">
        <v>1874</v>
      </c>
      <c r="EQ2314" s="1" t="s">
        <v>206</v>
      </c>
      <c r="ER2314" s="1" t="s">
        <v>207</v>
      </c>
      <c r="ET2314" s="1" t="s">
        <v>452</v>
      </c>
      <c r="EU2314" s="1" t="s">
        <v>206</v>
      </c>
      <c r="EY2314" s="1" t="s">
        <v>238</v>
      </c>
      <c r="FC2314" s="1" t="s">
        <v>238</v>
      </c>
      <c r="FF2314" s="1" t="s">
        <v>239</v>
      </c>
      <c r="FG2314" s="1" t="s">
        <v>192</v>
      </c>
      <c r="FH2314" s="1" t="s">
        <v>192</v>
      </c>
      <c r="FJ2314" s="1" t="s">
        <v>561</v>
      </c>
      <c r="FK2314" s="1" t="s">
        <v>229</v>
      </c>
      <c r="FL2314" s="1" t="s">
        <v>562</v>
      </c>
      <c r="FM2314" s="1">
        <v>84025.0</v>
      </c>
      <c r="FN2314" s="1" t="s">
        <v>2509</v>
      </c>
      <c r="FO2314" s="1" t="s">
        <v>21328</v>
      </c>
      <c r="FP2314" s="1">
        <v>108861.0</v>
      </c>
      <c r="FQ2314" s="1" t="s">
        <v>21329</v>
      </c>
      <c r="FU2314" s="1" t="s">
        <v>21330</v>
      </c>
      <c r="FV2314" s="1" t="s">
        <v>200</v>
      </c>
      <c r="FW2314" s="1" t="s">
        <v>290</v>
      </c>
      <c r="FX2314" s="1" t="s">
        <v>238</v>
      </c>
      <c r="FZ2314" s="1" t="s">
        <v>229</v>
      </c>
      <c r="GA2314" s="1" t="s">
        <v>291</v>
      </c>
      <c r="GB2314" s="2">
        <v>41989.0</v>
      </c>
    </row>
    <row r="2315">
      <c r="A2315" s="1">
        <v>845000.0</v>
      </c>
      <c r="B2315" s="1" t="s">
        <v>185</v>
      </c>
      <c r="C2315" s="1" t="str">
        <f>"08759161"</f>
        <v>08759161</v>
      </c>
      <c r="D2315" s="1" t="s">
        <v>186</v>
      </c>
      <c r="F2315" s="1" t="str">
        <f>"8024"</f>
        <v>8024</v>
      </c>
      <c r="G2315" s="2">
        <v>41934.0</v>
      </c>
      <c r="H2315" s="1">
        <v>829000.0</v>
      </c>
      <c r="I2315" s="1">
        <v>9.0</v>
      </c>
      <c r="J2315" s="1">
        <v>829000.0</v>
      </c>
      <c r="K2315" s="2">
        <v>41939.0</v>
      </c>
      <c r="L2315" s="1">
        <v>9.0</v>
      </c>
      <c r="M2315" s="2">
        <v>41939.0</v>
      </c>
      <c r="N2315" s="1" t="s">
        <v>187</v>
      </c>
      <c r="O2315" s="2">
        <v>41978.0</v>
      </c>
      <c r="P2315" s="1">
        <v>874115.0</v>
      </c>
      <c r="Q2315" s="1">
        <v>18026.0</v>
      </c>
      <c r="S2315" s="1">
        <v>1515.0</v>
      </c>
      <c r="T2315" s="1" t="s">
        <v>948</v>
      </c>
      <c r="U2315" s="1" t="s">
        <v>320</v>
      </c>
      <c r="V2315" s="1" t="s">
        <v>190</v>
      </c>
      <c r="W2315" s="1">
        <v>60622.0</v>
      </c>
      <c r="Y2315" s="1" t="s">
        <v>21331</v>
      </c>
      <c r="Z2315" s="1">
        <v>1999.0</v>
      </c>
      <c r="AA2315" s="1" t="s">
        <v>200</v>
      </c>
      <c r="AB2315" s="1" t="s">
        <v>193</v>
      </c>
      <c r="AD2315" s="1" t="s">
        <v>194</v>
      </c>
      <c r="AE2315" s="1" t="s">
        <v>195</v>
      </c>
      <c r="AF2315" s="1" t="s">
        <v>2645</v>
      </c>
      <c r="AH2315" s="1" t="s">
        <v>5462</v>
      </c>
      <c r="AK2315" s="1">
        <v>9.0</v>
      </c>
      <c r="AL2315" s="1">
        <v>4.0</v>
      </c>
      <c r="AM2315" s="1">
        <v>3.0</v>
      </c>
      <c r="AN2315" s="1">
        <v>1.0</v>
      </c>
      <c r="AO2315" s="1" t="s">
        <v>198</v>
      </c>
      <c r="AP2315" s="1">
        <v>2.0</v>
      </c>
      <c r="AQ2315" s="1" t="s">
        <v>472</v>
      </c>
      <c r="AR2315" s="1" t="s">
        <v>192</v>
      </c>
      <c r="AS2315" s="1" t="s">
        <v>199</v>
      </c>
      <c r="AT2315" s="1">
        <v>2.0</v>
      </c>
      <c r="AV2315" s="1" t="s">
        <v>200</v>
      </c>
      <c r="AW2315" s="1">
        <v>10770.7</v>
      </c>
      <c r="AX2315" s="1">
        <v>2013.0</v>
      </c>
      <c r="AY2315" s="1" t="s">
        <v>387</v>
      </c>
      <c r="AZ2315" s="1" t="s">
        <v>200</v>
      </c>
      <c r="BA2315" s="1" t="str">
        <f>"17062060020000"</f>
        <v>17062060020000</v>
      </c>
      <c r="BC2315" s="1">
        <v>0.0</v>
      </c>
      <c r="BD2315" s="1">
        <v>845000.0</v>
      </c>
      <c r="BE2315" s="2">
        <v>41931.0</v>
      </c>
      <c r="BF2315" s="2" t="s">
        <v>21332</v>
      </c>
      <c r="BH2315" s="1">
        <v>0.0</v>
      </c>
      <c r="BK2315" s="1" t="s">
        <v>204</v>
      </c>
      <c r="BL2315" s="1" t="str">
        <f>"1600"</f>
        <v>1600</v>
      </c>
      <c r="BM2315" s="1" t="str">
        <f t="shared" si="1506"/>
        <v>0</v>
      </c>
      <c r="BN2315" s="1">
        <v>1700.0</v>
      </c>
      <c r="BO2315" s="1">
        <v>0.0</v>
      </c>
      <c r="BQ2315" s="1">
        <v>299.0</v>
      </c>
      <c r="BR2315" s="1">
        <v>299.0</v>
      </c>
      <c r="BS2315" s="1">
        <v>299.0</v>
      </c>
      <c r="BU2315" s="1" t="s">
        <v>1378</v>
      </c>
      <c r="BV2315" s="1" t="s">
        <v>206</v>
      </c>
      <c r="BW2315" s="1" t="s">
        <v>207</v>
      </c>
      <c r="BY2315" s="1" t="s">
        <v>743</v>
      </c>
      <c r="BZ2315" s="1" t="s">
        <v>209</v>
      </c>
      <c r="CA2315" s="1" t="s">
        <v>207</v>
      </c>
      <c r="CB2315" s="1" t="s">
        <v>1549</v>
      </c>
      <c r="CC2315" s="1" t="s">
        <v>542</v>
      </c>
      <c r="CD2315" s="1" t="s">
        <v>206</v>
      </c>
      <c r="CE2315" s="1" t="s">
        <v>207</v>
      </c>
      <c r="CF2315" s="1" t="s">
        <v>229</v>
      </c>
      <c r="CG2315" s="1" t="s">
        <v>925</v>
      </c>
      <c r="CH2315" s="1" t="s">
        <v>209</v>
      </c>
      <c r="CI2315" s="1" t="s">
        <v>207</v>
      </c>
      <c r="CK2315" s="1" t="s">
        <v>1352</v>
      </c>
      <c r="CL2315" s="1" t="s">
        <v>209</v>
      </c>
      <c r="CM2315" s="1" t="s">
        <v>207</v>
      </c>
      <c r="CO2315" s="1" t="s">
        <v>208</v>
      </c>
      <c r="CP2315" s="1" t="s">
        <v>267</v>
      </c>
      <c r="CQ2315" s="1" t="s">
        <v>210</v>
      </c>
      <c r="CR2315" s="1" t="s">
        <v>431</v>
      </c>
      <c r="CS2315" s="1" t="s">
        <v>205</v>
      </c>
      <c r="CT2315" s="1" t="s">
        <v>206</v>
      </c>
      <c r="CU2315" s="1" t="s">
        <v>207</v>
      </c>
      <c r="CV2315" s="1" t="s">
        <v>229</v>
      </c>
      <c r="CW2315" s="1" t="s">
        <v>2861</v>
      </c>
      <c r="CX2315" s="1" t="s">
        <v>267</v>
      </c>
      <c r="CY2315" s="1" t="s">
        <v>207</v>
      </c>
      <c r="CZ2315" s="1" t="s">
        <v>1549</v>
      </c>
      <c r="DA2315" s="1" t="s">
        <v>200</v>
      </c>
      <c r="DC2315" s="1" t="s">
        <v>335</v>
      </c>
      <c r="DD2315" s="1" t="s">
        <v>21333</v>
      </c>
      <c r="DE2315" s="1" t="s">
        <v>273</v>
      </c>
      <c r="DF2315" s="1" t="s">
        <v>219</v>
      </c>
      <c r="DG2315" s="1" t="s">
        <v>1160</v>
      </c>
      <c r="DH2315" s="1" t="s">
        <v>365</v>
      </c>
      <c r="DI2315" s="1" t="s">
        <v>12540</v>
      </c>
      <c r="DJ2315" s="1" t="s">
        <v>222</v>
      </c>
      <c r="DL2315" s="1" t="s">
        <v>224</v>
      </c>
      <c r="DM2315" s="1" t="s">
        <v>229</v>
      </c>
      <c r="DN2315" s="1" t="s">
        <v>548</v>
      </c>
      <c r="DQ2315" s="1" t="s">
        <v>228</v>
      </c>
      <c r="DR2315" s="1" t="s">
        <v>229</v>
      </c>
      <c r="DS2315" s="1" t="s">
        <v>230</v>
      </c>
      <c r="DV2315" s="1" t="s">
        <v>494</v>
      </c>
      <c r="DW2315" s="1" t="s">
        <v>279</v>
      </c>
      <c r="DX2315" s="1" t="s">
        <v>280</v>
      </c>
      <c r="DY2315" s="1" t="s">
        <v>404</v>
      </c>
      <c r="DZ2315" s="1" t="s">
        <v>1100</v>
      </c>
      <c r="EA2315" s="1" t="s">
        <v>1027</v>
      </c>
      <c r="EB2315" s="1" t="s">
        <v>492</v>
      </c>
      <c r="EC2315" s="1" t="s">
        <v>237</v>
      </c>
      <c r="ED2315" s="1" t="s">
        <v>555</v>
      </c>
      <c r="EG2315" s="1" t="s">
        <v>494</v>
      </c>
      <c r="EL2315" s="1" t="s">
        <v>924</v>
      </c>
      <c r="EM2315" s="1" t="s">
        <v>206</v>
      </c>
      <c r="EN2315" s="1" t="s">
        <v>207</v>
      </c>
      <c r="EQ2315" s="1" t="s">
        <v>238</v>
      </c>
      <c r="EU2315" s="1" t="s">
        <v>238</v>
      </c>
      <c r="EY2315" s="1" t="s">
        <v>238</v>
      </c>
      <c r="FC2315" s="1" t="s">
        <v>238</v>
      </c>
      <c r="FF2315" s="1" t="s">
        <v>239</v>
      </c>
      <c r="FG2315" s="1" t="s">
        <v>192</v>
      </c>
      <c r="FH2315" s="1" t="s">
        <v>192</v>
      </c>
      <c r="FJ2315" s="1" t="s">
        <v>13406</v>
      </c>
      <c r="FK2315" s="1" t="s">
        <v>229</v>
      </c>
      <c r="FL2315" s="1" t="s">
        <v>21334</v>
      </c>
      <c r="FM2315" s="1">
        <v>18026.0</v>
      </c>
      <c r="FN2315" s="1" t="s">
        <v>21335</v>
      </c>
      <c r="FO2315" s="1" t="s">
        <v>21336</v>
      </c>
      <c r="FP2315" s="1">
        <v>874115.0</v>
      </c>
      <c r="FQ2315" s="1" t="s">
        <v>21337</v>
      </c>
      <c r="FR2315" s="1">
        <v>148273.0</v>
      </c>
      <c r="FU2315" s="1" t="s">
        <v>21338</v>
      </c>
      <c r="FV2315" s="1" t="s">
        <v>200</v>
      </c>
      <c r="FW2315" s="1" t="s">
        <v>290</v>
      </c>
      <c r="FX2315" s="1" t="s">
        <v>238</v>
      </c>
      <c r="FZ2315" s="1" t="s">
        <v>229</v>
      </c>
      <c r="GA2315" s="1" t="s">
        <v>291</v>
      </c>
      <c r="GB2315" s="2">
        <v>41978.0</v>
      </c>
      <c r="GC2315" s="1" t="s">
        <v>21339</v>
      </c>
    </row>
    <row r="2316">
      <c r="A2316" s="1">
        <v>138000.0</v>
      </c>
      <c r="B2316" s="1" t="s">
        <v>185</v>
      </c>
      <c r="C2316" s="1" t="str">
        <f>"08753964"</f>
        <v>08753964</v>
      </c>
      <c r="D2316" s="1" t="s">
        <v>186</v>
      </c>
      <c r="F2316" s="1" t="str">
        <f>"538"</f>
        <v>538</v>
      </c>
      <c r="G2316" s="2">
        <v>41927.0</v>
      </c>
      <c r="H2316" s="1">
        <v>149900.0</v>
      </c>
      <c r="I2316" s="1">
        <v>58.0</v>
      </c>
      <c r="J2316" s="1">
        <v>144750.0</v>
      </c>
      <c r="K2316" s="2">
        <v>41983.0</v>
      </c>
      <c r="L2316" s="1">
        <v>58.0</v>
      </c>
      <c r="M2316" s="2">
        <v>41983.0</v>
      </c>
      <c r="N2316" s="1" t="s">
        <v>187</v>
      </c>
      <c r="O2316" s="2">
        <v>42027.0</v>
      </c>
      <c r="P2316" s="1">
        <v>233258.0</v>
      </c>
      <c r="Q2316" s="1">
        <v>23156.0</v>
      </c>
      <c r="S2316" s="1">
        <v>3.0</v>
      </c>
      <c r="T2316" s="1" t="s">
        <v>21340</v>
      </c>
      <c r="U2316" s="1" t="s">
        <v>464</v>
      </c>
      <c r="V2316" s="1" t="s">
        <v>1340</v>
      </c>
      <c r="W2316" s="1">
        <v>60538.0</v>
      </c>
      <c r="Y2316" s="1" t="s">
        <v>21341</v>
      </c>
      <c r="Z2316" s="1">
        <v>1962.0</v>
      </c>
      <c r="AA2316" s="1" t="s">
        <v>192</v>
      </c>
      <c r="AB2316" s="1" t="s">
        <v>193</v>
      </c>
      <c r="AC2316" s="1" t="s">
        <v>8312</v>
      </c>
      <c r="AD2316" s="1" t="s">
        <v>1343</v>
      </c>
      <c r="AE2316" s="1" t="s">
        <v>849</v>
      </c>
      <c r="AF2316" s="1" t="s">
        <v>1529</v>
      </c>
      <c r="AG2316" s="1" t="s">
        <v>21342</v>
      </c>
      <c r="AH2316" s="1">
        <v>12000.0</v>
      </c>
      <c r="AK2316" s="1">
        <v>8.0</v>
      </c>
      <c r="AL2316" s="1">
        <v>4.0</v>
      </c>
      <c r="AM2316" s="1">
        <v>1.0</v>
      </c>
      <c r="AN2316" s="1">
        <v>1.0</v>
      </c>
      <c r="AO2316" s="1" t="s">
        <v>229</v>
      </c>
      <c r="AQ2316" s="1" t="s">
        <v>257</v>
      </c>
      <c r="AR2316" s="1" t="s">
        <v>192</v>
      </c>
      <c r="AS2316" s="1" t="s">
        <v>199</v>
      </c>
      <c r="AT2316" s="1">
        <v>1.0</v>
      </c>
      <c r="AV2316" s="1" t="s">
        <v>200</v>
      </c>
      <c r="AW2316" s="1">
        <v>4830.0</v>
      </c>
      <c r="AX2316" s="1">
        <v>2013.0</v>
      </c>
      <c r="AY2316" s="1" t="s">
        <v>229</v>
      </c>
      <c r="AZ2316" s="1" t="s">
        <v>200</v>
      </c>
      <c r="BA2316" s="1" t="str">
        <f>"0305453017"</f>
        <v>0305453017</v>
      </c>
      <c r="BC2316" s="1">
        <v>0.0</v>
      </c>
      <c r="BD2316" s="1">
        <v>138000.0</v>
      </c>
      <c r="BE2316" s="2">
        <v>41926.0</v>
      </c>
      <c r="BF2316" s="2" t="s">
        <v>21343</v>
      </c>
      <c r="BH2316" s="1">
        <v>0.0</v>
      </c>
      <c r="BK2316" s="1" t="s">
        <v>204</v>
      </c>
      <c r="BL2316" s="1" t="str">
        <f t="shared" ref="BL2316:BM2316" si="1507">""</f>
        <v/>
      </c>
      <c r="BM2316" s="1" t="str">
        <f t="shared" si="1507"/>
        <v/>
      </c>
      <c r="BQ2316" s="1">
        <v>308.0</v>
      </c>
      <c r="BR2316" s="1">
        <v>308.0</v>
      </c>
      <c r="BS2316" s="1">
        <v>308.0</v>
      </c>
      <c r="BU2316" s="1" t="s">
        <v>433</v>
      </c>
      <c r="BV2316" s="1" t="s">
        <v>206</v>
      </c>
      <c r="BW2316" s="1" t="s">
        <v>301</v>
      </c>
      <c r="BY2316" s="1" t="s">
        <v>392</v>
      </c>
      <c r="BZ2316" s="1" t="s">
        <v>209</v>
      </c>
      <c r="CA2316" s="1" t="s">
        <v>210</v>
      </c>
      <c r="CC2316" s="1" t="s">
        <v>269</v>
      </c>
      <c r="CD2316" s="1" t="s">
        <v>206</v>
      </c>
      <c r="CE2316" s="1" t="s">
        <v>301</v>
      </c>
      <c r="CG2316" s="1" t="s">
        <v>269</v>
      </c>
      <c r="CH2316" s="1" t="s">
        <v>209</v>
      </c>
      <c r="CI2316" s="1" t="s">
        <v>210</v>
      </c>
      <c r="CK2316" s="1" t="s">
        <v>269</v>
      </c>
      <c r="CL2316" s="1" t="s">
        <v>209</v>
      </c>
      <c r="CM2316" s="1" t="s">
        <v>210</v>
      </c>
      <c r="CO2316" s="1" t="s">
        <v>699</v>
      </c>
      <c r="CP2316" s="1" t="s">
        <v>267</v>
      </c>
      <c r="CQ2316" s="1" t="s">
        <v>210</v>
      </c>
      <c r="CS2316" s="1" t="s">
        <v>264</v>
      </c>
      <c r="CT2316" s="1" t="s">
        <v>206</v>
      </c>
      <c r="CU2316" s="1" t="s">
        <v>301</v>
      </c>
      <c r="CW2316" s="1" t="s">
        <v>1117</v>
      </c>
      <c r="CX2316" s="1" t="s">
        <v>267</v>
      </c>
      <c r="CY2316" s="1" t="s">
        <v>210</v>
      </c>
      <c r="DA2316" s="1" t="s">
        <v>200</v>
      </c>
      <c r="DC2316" s="1" t="s">
        <v>271</v>
      </c>
      <c r="DD2316" s="1" t="s">
        <v>518</v>
      </c>
      <c r="DE2316" s="1" t="s">
        <v>273</v>
      </c>
      <c r="DF2316" s="1" t="s">
        <v>219</v>
      </c>
      <c r="DG2316" s="1" t="s">
        <v>19114</v>
      </c>
      <c r="DH2316" s="1" t="s">
        <v>220</v>
      </c>
      <c r="DI2316" s="1" t="s">
        <v>1223</v>
      </c>
      <c r="DJ2316" s="1" t="s">
        <v>222</v>
      </c>
      <c r="DL2316" s="1" t="s">
        <v>224</v>
      </c>
      <c r="DM2316" s="1" t="s">
        <v>229</v>
      </c>
      <c r="DO2316" s="1" t="s">
        <v>590</v>
      </c>
      <c r="DQ2316" s="1" t="s">
        <v>228</v>
      </c>
      <c r="DR2316" s="1" t="s">
        <v>229</v>
      </c>
      <c r="DV2316" s="1" t="s">
        <v>232</v>
      </c>
      <c r="DW2316" s="1" t="s">
        <v>667</v>
      </c>
      <c r="DX2316" s="1" t="s">
        <v>234</v>
      </c>
      <c r="DY2316" s="1" t="s">
        <v>861</v>
      </c>
      <c r="DZ2316" s="1" t="s">
        <v>446</v>
      </c>
      <c r="EA2316" s="1" t="s">
        <v>283</v>
      </c>
      <c r="EC2316" s="1" t="s">
        <v>284</v>
      </c>
      <c r="EM2316" s="1" t="s">
        <v>238</v>
      </c>
      <c r="EQ2316" s="1" t="s">
        <v>238</v>
      </c>
      <c r="EU2316" s="1" t="s">
        <v>238</v>
      </c>
      <c r="EY2316" s="1" t="s">
        <v>238</v>
      </c>
      <c r="FC2316" s="1" t="s">
        <v>238</v>
      </c>
      <c r="FF2316" s="1" t="s">
        <v>239</v>
      </c>
      <c r="FG2316" s="1" t="s">
        <v>192</v>
      </c>
      <c r="FH2316" s="1" t="s">
        <v>192</v>
      </c>
      <c r="FJ2316" s="1" t="s">
        <v>1450</v>
      </c>
      <c r="FK2316" s="1" t="s">
        <v>229</v>
      </c>
      <c r="FL2316" s="1" t="s">
        <v>1289</v>
      </c>
      <c r="FM2316" s="1">
        <v>349.0</v>
      </c>
      <c r="FN2316" s="1" t="s">
        <v>4164</v>
      </c>
      <c r="FO2316" s="1" t="s">
        <v>21344</v>
      </c>
      <c r="FP2316" s="1">
        <v>300059.0</v>
      </c>
      <c r="FQ2316" s="1" t="s">
        <v>21345</v>
      </c>
      <c r="FS2316" s="1" t="s">
        <v>21346</v>
      </c>
      <c r="FU2316" s="1" t="s">
        <v>21347</v>
      </c>
      <c r="FV2316" s="1" t="s">
        <v>200</v>
      </c>
      <c r="FW2316" s="1" t="s">
        <v>2754</v>
      </c>
      <c r="FZ2316" s="1" t="s">
        <v>229</v>
      </c>
      <c r="GA2316" s="1" t="s">
        <v>291</v>
      </c>
      <c r="GB2316" s="2">
        <v>42050.0</v>
      </c>
      <c r="GC2316" s="1" t="s">
        <v>21348</v>
      </c>
    </row>
    <row r="2317">
      <c r="A2317" s="1">
        <v>154900.0</v>
      </c>
      <c r="B2317" s="1" t="s">
        <v>185</v>
      </c>
      <c r="C2317" s="1" t="str">
        <f>"08759301"</f>
        <v>08759301</v>
      </c>
      <c r="D2317" s="1" t="s">
        <v>186</v>
      </c>
      <c r="F2317" s="1" t="str">
        <f>"107"</f>
        <v>107</v>
      </c>
      <c r="G2317" s="2">
        <v>41934.0</v>
      </c>
      <c r="H2317" s="1">
        <v>164900.0</v>
      </c>
      <c r="I2317" s="1">
        <v>60.0</v>
      </c>
      <c r="J2317" s="1">
        <v>154900.0</v>
      </c>
      <c r="K2317" s="2">
        <v>41991.0</v>
      </c>
      <c r="L2317" s="1">
        <v>60.0</v>
      </c>
      <c r="M2317" s="2">
        <v>41991.0</v>
      </c>
      <c r="N2317" s="1" t="s">
        <v>356</v>
      </c>
      <c r="O2317" s="2">
        <v>42033.0</v>
      </c>
      <c r="P2317" s="1">
        <v>62592.0</v>
      </c>
      <c r="Q2317" s="1">
        <v>6097.0</v>
      </c>
      <c r="S2317" s="1">
        <v>142.0</v>
      </c>
      <c r="T2317" s="1" t="s">
        <v>21349</v>
      </c>
      <c r="U2317" s="1" t="s">
        <v>1015</v>
      </c>
      <c r="V2317" s="1" t="s">
        <v>294</v>
      </c>
      <c r="W2317" s="1">
        <v>60107.0</v>
      </c>
      <c r="X2317" s="1">
        <v>1450.0</v>
      </c>
      <c r="Y2317" s="1" t="s">
        <v>21350</v>
      </c>
      <c r="Z2317" s="1">
        <v>1959.0</v>
      </c>
      <c r="AA2317" s="1" t="s">
        <v>192</v>
      </c>
      <c r="AB2317" s="1" t="s">
        <v>193</v>
      </c>
      <c r="AD2317" s="1" t="s">
        <v>297</v>
      </c>
      <c r="AE2317" s="1" t="s">
        <v>195</v>
      </c>
      <c r="AF2317" s="1" t="s">
        <v>298</v>
      </c>
      <c r="AH2317" s="1" t="s">
        <v>21351</v>
      </c>
      <c r="AK2317" s="1">
        <v>7.0</v>
      </c>
      <c r="AL2317" s="1">
        <v>4.0</v>
      </c>
      <c r="AM2317" s="1">
        <v>2.0</v>
      </c>
      <c r="AN2317" s="1">
        <v>0.0</v>
      </c>
      <c r="AO2317" s="1" t="s">
        <v>229</v>
      </c>
      <c r="AP2317" s="1">
        <v>1.0</v>
      </c>
      <c r="AQ2317" s="1" t="s">
        <v>198</v>
      </c>
      <c r="AR2317" s="1" t="s">
        <v>192</v>
      </c>
      <c r="AS2317" s="1" t="s">
        <v>199</v>
      </c>
      <c r="AT2317" s="1">
        <v>2.0</v>
      </c>
      <c r="AV2317" s="1" t="s">
        <v>200</v>
      </c>
      <c r="AW2317" s="1">
        <v>4124.56</v>
      </c>
      <c r="AX2317" s="1">
        <v>2013.0</v>
      </c>
      <c r="AY2317" s="1" t="s">
        <v>387</v>
      </c>
      <c r="AZ2317" s="1" t="s">
        <v>200</v>
      </c>
      <c r="BA2317" s="1" t="str">
        <f>"06233060170000"</f>
        <v>06233060170000</v>
      </c>
      <c r="BB2317" s="1" t="s">
        <v>200</v>
      </c>
      <c r="BC2317" s="1">
        <v>840.0</v>
      </c>
      <c r="BD2317" s="1">
        <v>154900.0</v>
      </c>
      <c r="BE2317" s="2">
        <v>41932.0</v>
      </c>
      <c r="BF2317" s="2" t="s">
        <v>21352</v>
      </c>
      <c r="BH2317" s="1">
        <v>0.0</v>
      </c>
      <c r="BJ2317" s="1" t="s">
        <v>757</v>
      </c>
      <c r="BK2317" s="1" t="s">
        <v>204</v>
      </c>
      <c r="BL2317" s="1" t="str">
        <f t="shared" ref="BL2317:BM2317" si="1508">""</f>
        <v/>
      </c>
      <c r="BM2317" s="1" t="str">
        <f t="shared" si="1508"/>
        <v/>
      </c>
      <c r="BQ2317" s="1">
        <v>46.0</v>
      </c>
      <c r="BR2317" s="1">
        <v>46.0</v>
      </c>
      <c r="BS2317" s="1">
        <v>46.0</v>
      </c>
      <c r="BU2317" s="1" t="s">
        <v>677</v>
      </c>
      <c r="BV2317" s="1" t="s">
        <v>209</v>
      </c>
      <c r="BY2317" s="1" t="s">
        <v>1397</v>
      </c>
      <c r="BZ2317" s="1" t="s">
        <v>209</v>
      </c>
      <c r="CD2317" s="1" t="s">
        <v>204</v>
      </c>
      <c r="CG2317" s="1" t="s">
        <v>1417</v>
      </c>
      <c r="CH2317" s="1" t="s">
        <v>209</v>
      </c>
      <c r="CK2317" s="1" t="s">
        <v>478</v>
      </c>
      <c r="CL2317" s="1" t="s">
        <v>267</v>
      </c>
      <c r="CO2317" s="1" t="s">
        <v>300</v>
      </c>
      <c r="CP2317" s="1" t="s">
        <v>267</v>
      </c>
      <c r="CS2317" s="1" t="s">
        <v>2082</v>
      </c>
      <c r="CT2317" s="1" t="s">
        <v>209</v>
      </c>
      <c r="CW2317" s="1" t="s">
        <v>2923</v>
      </c>
      <c r="CX2317" s="1" t="s">
        <v>267</v>
      </c>
      <c r="DA2317" s="1" t="s">
        <v>200</v>
      </c>
      <c r="DC2317" s="1" t="s">
        <v>271</v>
      </c>
      <c r="DD2317" s="1" t="s">
        <v>518</v>
      </c>
      <c r="DE2317" s="1" t="s">
        <v>273</v>
      </c>
      <c r="DF2317" s="1" t="s">
        <v>219</v>
      </c>
      <c r="DH2317" s="1" t="s">
        <v>220</v>
      </c>
      <c r="DJ2317" s="1" t="s">
        <v>222</v>
      </c>
      <c r="DL2317" s="1" t="s">
        <v>858</v>
      </c>
      <c r="DM2317" s="1" t="s">
        <v>229</v>
      </c>
      <c r="DQ2317" s="1" t="s">
        <v>228</v>
      </c>
      <c r="DR2317" s="1" t="s">
        <v>229</v>
      </c>
      <c r="DV2317" s="1" t="s">
        <v>232</v>
      </c>
      <c r="DW2317" s="1" t="s">
        <v>764</v>
      </c>
      <c r="DX2317" s="1" t="s">
        <v>234</v>
      </c>
      <c r="DZ2317" s="1" t="s">
        <v>310</v>
      </c>
      <c r="EA2317" s="1" t="s">
        <v>1302</v>
      </c>
      <c r="EC2317" s="1" t="s">
        <v>311</v>
      </c>
      <c r="EM2317" s="1" t="s">
        <v>238</v>
      </c>
      <c r="EQ2317" s="1" t="s">
        <v>238</v>
      </c>
      <c r="EU2317" s="1" t="s">
        <v>238</v>
      </c>
      <c r="EY2317" s="1" t="s">
        <v>238</v>
      </c>
      <c r="FC2317" s="1" t="s">
        <v>238</v>
      </c>
      <c r="FF2317" s="1" t="s">
        <v>239</v>
      </c>
      <c r="FG2317" s="1" t="s">
        <v>192</v>
      </c>
      <c r="FH2317" s="1" t="s">
        <v>192</v>
      </c>
      <c r="FJ2317" s="1" t="s">
        <v>347</v>
      </c>
      <c r="FK2317" s="1" t="s">
        <v>229</v>
      </c>
      <c r="FL2317" s="1" t="s">
        <v>10856</v>
      </c>
      <c r="FM2317" s="1">
        <v>24569.0</v>
      </c>
      <c r="FN2317" s="1" t="s">
        <v>10857</v>
      </c>
      <c r="FO2317" s="1" t="s">
        <v>10858</v>
      </c>
      <c r="FP2317" s="1">
        <v>236309.0</v>
      </c>
      <c r="FR2317" s="1">
        <v>236310.0</v>
      </c>
      <c r="FU2317" s="1" t="s">
        <v>10859</v>
      </c>
      <c r="FV2317" s="1" t="s">
        <v>200</v>
      </c>
      <c r="FW2317" s="1" t="s">
        <v>1307</v>
      </c>
      <c r="FZ2317" s="1" t="s">
        <v>229</v>
      </c>
      <c r="GA2317" s="1" t="s">
        <v>291</v>
      </c>
      <c r="GB2317" s="2">
        <v>42034.0</v>
      </c>
      <c r="GC2317" s="1" t="s">
        <v>21353</v>
      </c>
    </row>
    <row r="2318">
      <c r="A2318" s="1">
        <v>1287500.0</v>
      </c>
      <c r="B2318" s="1" t="s">
        <v>185</v>
      </c>
      <c r="C2318" s="1" t="str">
        <f>"08753965"</f>
        <v>08753965</v>
      </c>
      <c r="D2318" s="1" t="s">
        <v>186</v>
      </c>
      <c r="F2318" s="1" t="str">
        <f>"8007"</f>
        <v>8007</v>
      </c>
      <c r="G2318" s="2">
        <v>41927.0</v>
      </c>
      <c r="H2318" s="1">
        <v>1350000.0</v>
      </c>
      <c r="I2318" s="1">
        <v>23.0</v>
      </c>
      <c r="J2318" s="1">
        <v>1350000.0</v>
      </c>
      <c r="K2318" s="2">
        <v>41949.0</v>
      </c>
      <c r="L2318" s="1">
        <v>23.0</v>
      </c>
      <c r="M2318" s="2">
        <v>41949.0</v>
      </c>
      <c r="N2318" s="1" t="s">
        <v>187</v>
      </c>
      <c r="O2318" s="2">
        <v>42053.0</v>
      </c>
      <c r="P2318" s="1">
        <v>150052.0</v>
      </c>
      <c r="Q2318" s="1">
        <v>10646.0</v>
      </c>
      <c r="S2318" s="1">
        <v>2114.0</v>
      </c>
      <c r="T2318" s="1" t="s">
        <v>21354</v>
      </c>
      <c r="U2318" s="1" t="s">
        <v>320</v>
      </c>
      <c r="V2318" s="1" t="s">
        <v>190</v>
      </c>
      <c r="W2318" s="1">
        <v>60614.0</v>
      </c>
      <c r="Y2318" s="1" t="s">
        <v>21355</v>
      </c>
      <c r="Z2318" s="1">
        <v>1876.0</v>
      </c>
      <c r="AA2318" s="1" t="s">
        <v>192</v>
      </c>
      <c r="AB2318" s="1" t="s">
        <v>193</v>
      </c>
      <c r="AD2318" s="1" t="s">
        <v>194</v>
      </c>
      <c r="AE2318" s="1" t="s">
        <v>195</v>
      </c>
      <c r="AF2318" s="1" t="s">
        <v>2645</v>
      </c>
      <c r="AH2318" s="1" t="s">
        <v>7099</v>
      </c>
      <c r="AI2318" s="1">
        <v>0.0746</v>
      </c>
      <c r="AK2318" s="1">
        <v>9.0</v>
      </c>
      <c r="AL2318" s="1">
        <v>4.0</v>
      </c>
      <c r="AM2318" s="1">
        <v>3.0</v>
      </c>
      <c r="AN2318" s="1">
        <v>1.0</v>
      </c>
      <c r="AO2318" s="1" t="s">
        <v>198</v>
      </c>
      <c r="AP2318" s="1">
        <v>1.0</v>
      </c>
      <c r="AQ2318" s="1" t="s">
        <v>1314</v>
      </c>
      <c r="AR2318" s="1" t="s">
        <v>192</v>
      </c>
      <c r="AS2318" s="1" t="s">
        <v>199</v>
      </c>
      <c r="AT2318" s="1">
        <v>2.0</v>
      </c>
      <c r="AV2318" s="1" t="s">
        <v>200</v>
      </c>
      <c r="AW2318" s="1">
        <v>18476.73</v>
      </c>
      <c r="AX2318" s="1">
        <v>2013.0</v>
      </c>
      <c r="AY2318" s="1" t="s">
        <v>387</v>
      </c>
      <c r="AZ2318" s="1" t="s">
        <v>200</v>
      </c>
      <c r="BA2318" s="1" t="str">
        <f>"14322180450000"</f>
        <v>14322180450000</v>
      </c>
      <c r="BC2318" s="1">
        <v>0.0</v>
      </c>
      <c r="BD2318" s="1">
        <v>1287500.0</v>
      </c>
      <c r="BE2318" s="2">
        <v>41927.0</v>
      </c>
      <c r="BF2318" s="2" t="s">
        <v>21356</v>
      </c>
      <c r="BG2318" s="1" t="s">
        <v>3588</v>
      </c>
      <c r="BH2318" s="1">
        <v>0.0</v>
      </c>
      <c r="BI2318" s="1" t="s">
        <v>3588</v>
      </c>
      <c r="BJ2318" s="1" t="s">
        <v>2871</v>
      </c>
      <c r="BK2318" s="1" t="s">
        <v>204</v>
      </c>
      <c r="BL2318" s="1" t="str">
        <f>"2114"</f>
        <v>2114</v>
      </c>
      <c r="BM2318" s="1" t="str">
        <f t="shared" ref="BM2318:BM2320" si="1509">"0"</f>
        <v>0</v>
      </c>
      <c r="BN2318" s="1">
        <v>900.0</v>
      </c>
      <c r="BO2318" s="1">
        <v>0.0</v>
      </c>
      <c r="BQ2318" s="1">
        <v>299.0</v>
      </c>
      <c r="BR2318" s="1">
        <v>299.0</v>
      </c>
      <c r="BS2318" s="1">
        <v>299.0</v>
      </c>
      <c r="BU2318" s="1" t="s">
        <v>6858</v>
      </c>
      <c r="BV2318" s="1" t="s">
        <v>206</v>
      </c>
      <c r="BW2318" s="1" t="s">
        <v>207</v>
      </c>
      <c r="BY2318" s="1" t="s">
        <v>454</v>
      </c>
      <c r="BZ2318" s="1" t="s">
        <v>209</v>
      </c>
      <c r="CA2318" s="1" t="s">
        <v>207</v>
      </c>
      <c r="CC2318" s="1" t="s">
        <v>212</v>
      </c>
      <c r="CD2318" s="1" t="s">
        <v>206</v>
      </c>
      <c r="CE2318" s="1" t="s">
        <v>207</v>
      </c>
      <c r="CG2318" s="1" t="s">
        <v>3475</v>
      </c>
      <c r="CH2318" s="1" t="s">
        <v>209</v>
      </c>
      <c r="CI2318" s="1" t="s">
        <v>207</v>
      </c>
      <c r="CK2318" s="1" t="s">
        <v>212</v>
      </c>
      <c r="CL2318" s="1" t="s">
        <v>209</v>
      </c>
      <c r="CM2318" s="1" t="s">
        <v>207</v>
      </c>
      <c r="CO2318" s="1" t="s">
        <v>329</v>
      </c>
      <c r="CP2318" s="1" t="s">
        <v>267</v>
      </c>
      <c r="CQ2318" s="1" t="s">
        <v>210</v>
      </c>
      <c r="CS2318" s="1" t="s">
        <v>266</v>
      </c>
      <c r="CT2318" s="1" t="s">
        <v>206</v>
      </c>
      <c r="CU2318" s="1" t="s">
        <v>207</v>
      </c>
      <c r="CX2318" s="1" t="s">
        <v>204</v>
      </c>
      <c r="DA2318" s="1" t="s">
        <v>200</v>
      </c>
      <c r="DC2318" s="1" t="s">
        <v>642</v>
      </c>
      <c r="DE2318" s="1" t="s">
        <v>218</v>
      </c>
      <c r="DF2318" s="1" t="s">
        <v>745</v>
      </c>
      <c r="DH2318" s="1" t="s">
        <v>220</v>
      </c>
      <c r="DI2318" s="1" t="s">
        <v>14055</v>
      </c>
      <c r="DJ2318" s="1" t="s">
        <v>222</v>
      </c>
      <c r="DL2318" s="1" t="s">
        <v>986</v>
      </c>
      <c r="DM2318" s="1" t="s">
        <v>229</v>
      </c>
      <c r="DN2318" s="1" t="s">
        <v>666</v>
      </c>
      <c r="DP2318" s="1" t="s">
        <v>340</v>
      </c>
      <c r="DQ2318" s="1" t="s">
        <v>718</v>
      </c>
      <c r="DR2318" s="1" t="s">
        <v>229</v>
      </c>
      <c r="DS2318" s="1" t="s">
        <v>230</v>
      </c>
      <c r="DU2318" s="1" t="s">
        <v>9693</v>
      </c>
      <c r="DV2318" s="1" t="s">
        <v>21357</v>
      </c>
      <c r="DW2318" s="1" t="s">
        <v>279</v>
      </c>
      <c r="DX2318" s="1" t="s">
        <v>234</v>
      </c>
      <c r="DY2318" s="1" t="s">
        <v>747</v>
      </c>
      <c r="DZ2318" s="1" t="s">
        <v>1405</v>
      </c>
      <c r="EA2318" s="1" t="s">
        <v>2466</v>
      </c>
      <c r="EB2318" s="1" t="s">
        <v>345</v>
      </c>
      <c r="EC2318" s="1" t="s">
        <v>237</v>
      </c>
      <c r="ED2318" s="1" t="s">
        <v>555</v>
      </c>
      <c r="EG2318" s="1" t="s">
        <v>556</v>
      </c>
      <c r="EH2318" s="1" t="s">
        <v>598</v>
      </c>
      <c r="EI2318" s="1" t="s">
        <v>408</v>
      </c>
      <c r="EL2318" s="1" t="s">
        <v>332</v>
      </c>
      <c r="EM2318" s="1" t="s">
        <v>206</v>
      </c>
      <c r="EN2318" s="1" t="s">
        <v>207</v>
      </c>
      <c r="EP2318" s="1" t="s">
        <v>699</v>
      </c>
      <c r="EQ2318" s="1" t="s">
        <v>267</v>
      </c>
      <c r="ER2318" s="1" t="s">
        <v>210</v>
      </c>
      <c r="ET2318" s="1" t="s">
        <v>6563</v>
      </c>
      <c r="EU2318" s="1" t="s">
        <v>206</v>
      </c>
      <c r="EV2318" s="1" t="s">
        <v>207</v>
      </c>
      <c r="EY2318" s="1" t="s">
        <v>238</v>
      </c>
      <c r="FC2318" s="1" t="s">
        <v>238</v>
      </c>
      <c r="FF2318" s="1" t="s">
        <v>239</v>
      </c>
      <c r="FG2318" s="1" t="s">
        <v>192</v>
      </c>
      <c r="FH2318" s="1" t="s">
        <v>192</v>
      </c>
      <c r="FJ2318" s="1" t="s">
        <v>733</v>
      </c>
      <c r="FK2318" s="1" t="s">
        <v>229</v>
      </c>
      <c r="FL2318" s="1" t="s">
        <v>974</v>
      </c>
      <c r="FM2318" s="1">
        <v>10317.0</v>
      </c>
      <c r="FN2318" s="1" t="s">
        <v>10741</v>
      </c>
      <c r="FO2318" s="1" t="s">
        <v>21358</v>
      </c>
      <c r="FP2318" s="1">
        <v>106864.0</v>
      </c>
      <c r="FQ2318" s="1" t="s">
        <v>21359</v>
      </c>
      <c r="FR2318" s="1">
        <v>171383.0</v>
      </c>
      <c r="FU2318" s="1" t="s">
        <v>21360</v>
      </c>
      <c r="FV2318" s="1" t="s">
        <v>200</v>
      </c>
      <c r="FW2318" s="1" t="s">
        <v>530</v>
      </c>
      <c r="FX2318" s="1" t="s">
        <v>238</v>
      </c>
      <c r="FZ2318" s="1" t="s">
        <v>229</v>
      </c>
      <c r="GA2318" s="1" t="s">
        <v>291</v>
      </c>
      <c r="GB2318" s="2">
        <v>42053.0</v>
      </c>
    </row>
    <row r="2319">
      <c r="A2319" s="1">
        <v>239900.0</v>
      </c>
      <c r="B2319" s="1" t="s">
        <v>185</v>
      </c>
      <c r="C2319" s="1" t="str">
        <f>"08760441"</f>
        <v>08760441</v>
      </c>
      <c r="D2319" s="1" t="s">
        <v>186</v>
      </c>
      <c r="F2319" s="1" t="str">
        <f>"103"</f>
        <v>103</v>
      </c>
      <c r="G2319" s="2">
        <v>41935.0</v>
      </c>
      <c r="H2319" s="1">
        <v>239900.0</v>
      </c>
      <c r="I2319" s="1">
        <v>10.0</v>
      </c>
      <c r="J2319" s="1">
        <v>239900.0</v>
      </c>
      <c r="K2319" s="2">
        <v>41944.0</v>
      </c>
      <c r="L2319" s="1">
        <v>10.0</v>
      </c>
      <c r="M2319" s="2">
        <v>41944.0</v>
      </c>
      <c r="N2319" s="1" t="s">
        <v>187</v>
      </c>
      <c r="O2319" s="2">
        <v>41995.0</v>
      </c>
      <c r="P2319" s="1">
        <v>243086.0</v>
      </c>
      <c r="Q2319" s="1">
        <v>8059.0</v>
      </c>
      <c r="S2319" s="1">
        <v>4150.0</v>
      </c>
      <c r="T2319" s="1" t="s">
        <v>21361</v>
      </c>
      <c r="U2319" s="1" t="s">
        <v>569</v>
      </c>
      <c r="V2319" s="1" t="s">
        <v>251</v>
      </c>
      <c r="W2319" s="1">
        <v>60133.0</v>
      </c>
      <c r="Y2319" s="1" t="s">
        <v>21362</v>
      </c>
      <c r="Z2319" s="1">
        <v>1977.0</v>
      </c>
      <c r="AA2319" s="1" t="s">
        <v>192</v>
      </c>
      <c r="AB2319" s="1" t="s">
        <v>193</v>
      </c>
      <c r="AC2319" s="1" t="s">
        <v>4290</v>
      </c>
      <c r="AD2319" s="1" t="s">
        <v>254</v>
      </c>
      <c r="AE2319" s="1" t="s">
        <v>1258</v>
      </c>
      <c r="AF2319" s="1" t="s">
        <v>3935</v>
      </c>
      <c r="AH2319" s="1" t="s">
        <v>21363</v>
      </c>
      <c r="AI2319" s="1">
        <v>0.2379</v>
      </c>
      <c r="AK2319" s="1">
        <v>8.0</v>
      </c>
      <c r="AL2319" s="1">
        <v>4.0</v>
      </c>
      <c r="AM2319" s="1">
        <v>3.0</v>
      </c>
      <c r="AN2319" s="1">
        <v>0.0</v>
      </c>
      <c r="AO2319" s="1" t="s">
        <v>198</v>
      </c>
      <c r="AP2319" s="1">
        <v>1.0</v>
      </c>
      <c r="AQ2319" s="1" t="s">
        <v>6771</v>
      </c>
      <c r="AR2319" s="1" t="s">
        <v>192</v>
      </c>
      <c r="AS2319" s="1" t="s">
        <v>199</v>
      </c>
      <c r="AT2319" s="1">
        <v>2.0</v>
      </c>
      <c r="AV2319" s="1" t="s">
        <v>200</v>
      </c>
      <c r="AW2319" s="1">
        <v>4106.0</v>
      </c>
      <c r="AX2319" s="1">
        <v>2013.0</v>
      </c>
      <c r="AY2319" s="1" t="s">
        <v>387</v>
      </c>
      <c r="AZ2319" s="1" t="s">
        <v>200</v>
      </c>
      <c r="BA2319" s="1" t="str">
        <f>"0113311025"</f>
        <v>0113311025</v>
      </c>
      <c r="BB2319" s="1" t="s">
        <v>200</v>
      </c>
      <c r="BC2319" s="1">
        <v>1718.0</v>
      </c>
      <c r="BD2319" s="1">
        <v>239900.0</v>
      </c>
      <c r="BE2319" s="2">
        <v>41935.0</v>
      </c>
      <c r="BF2319" s="2" t="s">
        <v>21364</v>
      </c>
      <c r="BG2319" s="1" t="s">
        <v>4294</v>
      </c>
      <c r="BH2319" s="1">
        <v>0.0</v>
      </c>
      <c r="BI2319" s="1" t="s">
        <v>4295</v>
      </c>
      <c r="BJ2319" s="1" t="s">
        <v>514</v>
      </c>
      <c r="BK2319" s="1" t="s">
        <v>204</v>
      </c>
      <c r="BL2319" s="1" t="str">
        <f>"5"</f>
        <v>5</v>
      </c>
      <c r="BM2319" s="1" t="str">
        <f t="shared" si="1509"/>
        <v>0</v>
      </c>
      <c r="BN2319" s="1">
        <v>27.0</v>
      </c>
      <c r="BO2319" s="1">
        <v>0.0</v>
      </c>
      <c r="BQ2319" s="1">
        <v>46.0</v>
      </c>
      <c r="BR2319" s="1">
        <v>46.0</v>
      </c>
      <c r="BS2319" s="1">
        <v>46.0</v>
      </c>
      <c r="BU2319" s="1" t="s">
        <v>390</v>
      </c>
      <c r="BV2319" s="1" t="s">
        <v>206</v>
      </c>
      <c r="BW2319" s="1" t="s">
        <v>207</v>
      </c>
      <c r="BY2319" s="1" t="s">
        <v>262</v>
      </c>
      <c r="BZ2319" s="1" t="s">
        <v>206</v>
      </c>
      <c r="CA2319" s="1" t="s">
        <v>210</v>
      </c>
      <c r="CC2319" s="1" t="s">
        <v>814</v>
      </c>
      <c r="CD2319" s="1" t="s">
        <v>206</v>
      </c>
      <c r="CE2319" s="1" t="s">
        <v>207</v>
      </c>
      <c r="CG2319" s="1" t="s">
        <v>647</v>
      </c>
      <c r="CH2319" s="1" t="s">
        <v>206</v>
      </c>
      <c r="CI2319" s="1" t="s">
        <v>210</v>
      </c>
      <c r="CK2319" s="1" t="s">
        <v>495</v>
      </c>
      <c r="CL2319" s="1" t="s">
        <v>206</v>
      </c>
      <c r="CM2319" s="1" t="s">
        <v>210</v>
      </c>
      <c r="CO2319" s="1" t="s">
        <v>264</v>
      </c>
      <c r="CP2319" s="1" t="s">
        <v>267</v>
      </c>
      <c r="CQ2319" s="1" t="s">
        <v>1136</v>
      </c>
      <c r="CS2319" s="1" t="s">
        <v>925</v>
      </c>
      <c r="CT2319" s="1" t="s">
        <v>206</v>
      </c>
      <c r="CU2319" s="1" t="s">
        <v>207</v>
      </c>
      <c r="CW2319" s="1" t="s">
        <v>1426</v>
      </c>
      <c r="CX2319" s="1" t="s">
        <v>267</v>
      </c>
      <c r="CY2319" s="1" t="s">
        <v>1136</v>
      </c>
      <c r="DA2319" s="1" t="s">
        <v>200</v>
      </c>
      <c r="DC2319" s="1" t="s">
        <v>395</v>
      </c>
      <c r="DD2319" s="1" t="s">
        <v>518</v>
      </c>
      <c r="DE2319" s="1" t="s">
        <v>273</v>
      </c>
      <c r="DF2319" s="1" t="s">
        <v>219</v>
      </c>
      <c r="DG2319" s="1" t="s">
        <v>337</v>
      </c>
      <c r="DH2319" s="1" t="s">
        <v>365</v>
      </c>
      <c r="DI2319" s="1" t="s">
        <v>519</v>
      </c>
      <c r="DJ2319" s="1" t="s">
        <v>1048</v>
      </c>
      <c r="DK2319" s="1" t="s">
        <v>223</v>
      </c>
      <c r="DL2319" s="1" t="s">
        <v>1161</v>
      </c>
      <c r="DM2319" s="1" t="s">
        <v>229</v>
      </c>
      <c r="DO2319" s="1" t="s">
        <v>1144</v>
      </c>
      <c r="DP2319" s="1" t="s">
        <v>340</v>
      </c>
      <c r="DQ2319" s="1" t="s">
        <v>228</v>
      </c>
      <c r="DR2319" s="1" t="s">
        <v>229</v>
      </c>
      <c r="DS2319" s="1" t="s">
        <v>401</v>
      </c>
      <c r="DU2319" s="1" t="s">
        <v>1331</v>
      </c>
      <c r="DV2319" s="1" t="s">
        <v>232</v>
      </c>
      <c r="DW2319" s="1" t="s">
        <v>764</v>
      </c>
      <c r="DX2319" s="1" t="s">
        <v>234</v>
      </c>
      <c r="DY2319" s="1" t="s">
        <v>553</v>
      </c>
      <c r="DZ2319" s="1" t="s">
        <v>21365</v>
      </c>
      <c r="EA2319" s="1" t="s">
        <v>1302</v>
      </c>
      <c r="EB2319" s="1" t="s">
        <v>1639</v>
      </c>
      <c r="EC2319" s="1" t="s">
        <v>311</v>
      </c>
      <c r="ED2319" s="1" t="s">
        <v>407</v>
      </c>
      <c r="EE2319" s="1" t="s">
        <v>19335</v>
      </c>
      <c r="EM2319" s="1" t="s">
        <v>238</v>
      </c>
      <c r="EQ2319" s="1" t="s">
        <v>238</v>
      </c>
      <c r="EU2319" s="1" t="s">
        <v>238</v>
      </c>
      <c r="EY2319" s="1" t="s">
        <v>238</v>
      </c>
      <c r="FC2319" s="1" t="s">
        <v>238</v>
      </c>
      <c r="FF2319" s="1" t="s">
        <v>239</v>
      </c>
      <c r="FG2319" s="1" t="s">
        <v>192</v>
      </c>
      <c r="FH2319" s="1" t="s">
        <v>192</v>
      </c>
      <c r="FJ2319" s="1" t="s">
        <v>313</v>
      </c>
      <c r="FK2319" s="1" t="s">
        <v>229</v>
      </c>
      <c r="FL2319" s="1" t="s">
        <v>21366</v>
      </c>
      <c r="FM2319" s="1">
        <v>21621.0</v>
      </c>
      <c r="FN2319" s="1" t="s">
        <v>21367</v>
      </c>
      <c r="FO2319" s="1" t="s">
        <v>21368</v>
      </c>
      <c r="FP2319" s="1">
        <v>233344.0</v>
      </c>
      <c r="FQ2319" s="1" t="s">
        <v>21369</v>
      </c>
      <c r="FR2319" s="1">
        <v>242583.0</v>
      </c>
      <c r="FS2319" s="1" t="s">
        <v>21370</v>
      </c>
      <c r="FU2319" s="1" t="s">
        <v>21371</v>
      </c>
      <c r="FV2319" s="1" t="s">
        <v>200</v>
      </c>
      <c r="FW2319" s="1" t="s">
        <v>290</v>
      </c>
      <c r="FZ2319" s="1" t="s">
        <v>229</v>
      </c>
      <c r="GA2319" s="1" t="s">
        <v>247</v>
      </c>
      <c r="GB2319" s="2">
        <v>41998.0</v>
      </c>
    </row>
    <row r="2320">
      <c r="A2320" s="1">
        <v>115000.0</v>
      </c>
      <c r="B2320" s="1" t="s">
        <v>185</v>
      </c>
      <c r="C2320" s="1" t="str">
        <f>"08767595"</f>
        <v>08767595</v>
      </c>
      <c r="D2320" s="1" t="s">
        <v>186</v>
      </c>
      <c r="F2320" s="1" t="str">
        <f>"8025"</f>
        <v>8025</v>
      </c>
      <c r="G2320" s="2">
        <v>41946.0</v>
      </c>
      <c r="H2320" s="1">
        <v>130000.0</v>
      </c>
      <c r="I2320" s="1">
        <v>1.0</v>
      </c>
      <c r="J2320" s="1">
        <v>130000.0</v>
      </c>
      <c r="K2320" s="2">
        <v>41946.0</v>
      </c>
      <c r="L2320" s="1">
        <v>1.0</v>
      </c>
      <c r="M2320" s="2">
        <v>41946.0</v>
      </c>
      <c r="N2320" s="1" t="s">
        <v>356</v>
      </c>
      <c r="O2320" s="2">
        <v>42004.0</v>
      </c>
      <c r="P2320" s="1">
        <v>224310.0</v>
      </c>
      <c r="Q2320" s="1">
        <v>1621.0</v>
      </c>
      <c r="R2320" s="1">
        <v>2875.0</v>
      </c>
      <c r="S2320" s="1">
        <v>5448.0</v>
      </c>
      <c r="T2320" s="1" t="s">
        <v>6011</v>
      </c>
      <c r="U2320" s="1" t="s">
        <v>320</v>
      </c>
      <c r="V2320" s="1" t="s">
        <v>190</v>
      </c>
      <c r="W2320" s="1">
        <v>60644.0</v>
      </c>
      <c r="Y2320" s="1" t="s">
        <v>21372</v>
      </c>
      <c r="Z2320" s="1">
        <v>1895.0</v>
      </c>
      <c r="AA2320" s="1" t="s">
        <v>192</v>
      </c>
      <c r="AB2320" s="1" t="s">
        <v>193</v>
      </c>
      <c r="AD2320" s="1" t="s">
        <v>194</v>
      </c>
      <c r="AE2320" s="1" t="s">
        <v>195</v>
      </c>
      <c r="AF2320" s="1" t="s">
        <v>827</v>
      </c>
      <c r="AH2320" s="1" t="s">
        <v>359</v>
      </c>
      <c r="AI2320" s="1">
        <v>0.0844</v>
      </c>
      <c r="AK2320" s="1">
        <v>7.0</v>
      </c>
      <c r="AL2320" s="1">
        <v>4.0</v>
      </c>
      <c r="AM2320" s="1">
        <v>2.0</v>
      </c>
      <c r="AN2320" s="1">
        <v>0.0</v>
      </c>
      <c r="AO2320" s="1" t="s">
        <v>229</v>
      </c>
      <c r="AQ2320" s="1" t="s">
        <v>198</v>
      </c>
      <c r="AR2320" s="1" t="s">
        <v>200</v>
      </c>
      <c r="AS2320" s="1" t="s">
        <v>828</v>
      </c>
      <c r="AU2320" s="1">
        <v>4.0</v>
      </c>
      <c r="AV2320" s="1" t="s">
        <v>200</v>
      </c>
      <c r="AW2320" s="1">
        <v>1800.0</v>
      </c>
      <c r="AX2320" s="1">
        <v>2013.0</v>
      </c>
      <c r="AZ2320" s="1" t="s">
        <v>200</v>
      </c>
      <c r="BA2320" s="1" t="str">
        <f>"16091080260000"</f>
        <v>16091080260000</v>
      </c>
      <c r="BC2320" s="1">
        <v>1722.0</v>
      </c>
      <c r="BD2320" s="1">
        <v>115000.0</v>
      </c>
      <c r="BE2320" s="2">
        <v>41946.0</v>
      </c>
      <c r="BH2320" s="1">
        <v>0.0</v>
      </c>
      <c r="BK2320" s="1" t="s">
        <v>204</v>
      </c>
      <c r="BL2320" s="1" t="str">
        <f>"400"</f>
        <v>400</v>
      </c>
      <c r="BM2320" s="1" t="str">
        <f t="shared" si="1509"/>
        <v>0</v>
      </c>
      <c r="BN2320" s="1">
        <v>5448.0</v>
      </c>
      <c r="BO2320" s="1">
        <v>0.0</v>
      </c>
      <c r="BQ2320" s="1">
        <v>299.0</v>
      </c>
      <c r="BR2320" s="1">
        <v>299.0</v>
      </c>
      <c r="BS2320" s="1">
        <v>299.0</v>
      </c>
      <c r="BU2320" s="1" t="s">
        <v>433</v>
      </c>
      <c r="BV2320" s="1" t="s">
        <v>206</v>
      </c>
      <c r="BY2320" s="1" t="s">
        <v>215</v>
      </c>
      <c r="BZ2320" s="1" t="s">
        <v>209</v>
      </c>
      <c r="CC2320" s="1" t="s">
        <v>433</v>
      </c>
      <c r="CD2320" s="1" t="s">
        <v>206</v>
      </c>
      <c r="CG2320" s="1" t="s">
        <v>264</v>
      </c>
      <c r="CH2320" s="1" t="s">
        <v>206</v>
      </c>
      <c r="CK2320" s="1" t="s">
        <v>215</v>
      </c>
      <c r="CL2320" s="1" t="s">
        <v>209</v>
      </c>
      <c r="CO2320" s="1" t="s">
        <v>743</v>
      </c>
      <c r="CP2320" s="1" t="s">
        <v>209</v>
      </c>
      <c r="CS2320" s="1" t="s">
        <v>215</v>
      </c>
      <c r="CT2320" s="1" t="s">
        <v>206</v>
      </c>
      <c r="CX2320" s="1" t="s">
        <v>204</v>
      </c>
      <c r="DA2320" s="1" t="s">
        <v>200</v>
      </c>
      <c r="DC2320" s="1" t="s">
        <v>642</v>
      </c>
      <c r="DE2320" s="1" t="s">
        <v>273</v>
      </c>
      <c r="DF2320" s="1" t="s">
        <v>905</v>
      </c>
      <c r="DH2320" s="1" t="s">
        <v>588</v>
      </c>
      <c r="DJ2320" s="1" t="s">
        <v>588</v>
      </c>
      <c r="DL2320" s="1" t="s">
        <v>223</v>
      </c>
      <c r="DM2320" s="1" t="s">
        <v>229</v>
      </c>
      <c r="DQ2320" s="1" t="s">
        <v>228</v>
      </c>
      <c r="DR2320" s="1" t="s">
        <v>229</v>
      </c>
      <c r="DV2320" s="1" t="s">
        <v>232</v>
      </c>
      <c r="DW2320" s="1" t="s">
        <v>370</v>
      </c>
      <c r="DX2320" s="1" t="s">
        <v>234</v>
      </c>
      <c r="EC2320" s="1" t="s">
        <v>237</v>
      </c>
      <c r="EM2320" s="1" t="s">
        <v>238</v>
      </c>
      <c r="EQ2320" s="1" t="s">
        <v>238</v>
      </c>
      <c r="EU2320" s="1" t="s">
        <v>238</v>
      </c>
      <c r="EY2320" s="1" t="s">
        <v>238</v>
      </c>
      <c r="FC2320" s="1" t="s">
        <v>238</v>
      </c>
      <c r="FF2320" s="1" t="s">
        <v>239</v>
      </c>
      <c r="FG2320" s="1" t="s">
        <v>192</v>
      </c>
      <c r="FH2320" s="1" t="s">
        <v>192</v>
      </c>
      <c r="FJ2320" s="1" t="s">
        <v>524</v>
      </c>
      <c r="FK2320" s="1" t="s">
        <v>229</v>
      </c>
      <c r="FL2320" s="1" t="s">
        <v>21373</v>
      </c>
      <c r="FM2320" s="1">
        <v>1621.0</v>
      </c>
      <c r="FN2320" s="1" t="s">
        <v>21374</v>
      </c>
      <c r="FO2320" s="1" t="s">
        <v>21375</v>
      </c>
      <c r="FP2320" s="1">
        <v>224310.0</v>
      </c>
      <c r="FQ2320" s="1" t="s">
        <v>21376</v>
      </c>
      <c r="FU2320" s="1" t="s">
        <v>19480</v>
      </c>
      <c r="FV2320" s="1" t="s">
        <v>200</v>
      </c>
      <c r="FW2320" s="1" t="s">
        <v>290</v>
      </c>
      <c r="FX2320" s="1" t="s">
        <v>246</v>
      </c>
      <c r="FZ2320" s="1" t="s">
        <v>229</v>
      </c>
      <c r="GA2320" s="1" t="s">
        <v>291</v>
      </c>
      <c r="GB2320" s="2">
        <v>42004.0</v>
      </c>
    </row>
    <row r="2321">
      <c r="A2321" s="1">
        <v>275000.0</v>
      </c>
      <c r="B2321" s="1" t="s">
        <v>185</v>
      </c>
      <c r="C2321" s="1" t="str">
        <f>"08753490"</f>
        <v>08753490</v>
      </c>
      <c r="D2321" s="1" t="s">
        <v>186</v>
      </c>
      <c r="F2321" s="1" t="str">
        <f>"134"</f>
        <v>134</v>
      </c>
      <c r="G2321" s="2">
        <v>41927.0</v>
      </c>
      <c r="H2321" s="1">
        <v>289900.0</v>
      </c>
      <c r="I2321" s="1">
        <v>109.0</v>
      </c>
      <c r="J2321" s="1">
        <v>289900.0</v>
      </c>
      <c r="K2321" s="2">
        <v>42025.0</v>
      </c>
      <c r="L2321" s="1">
        <v>99.0</v>
      </c>
      <c r="M2321" s="2">
        <v>42025.0</v>
      </c>
      <c r="N2321" s="1" t="s">
        <v>187</v>
      </c>
      <c r="O2321" s="2">
        <v>42060.0</v>
      </c>
      <c r="P2321" s="1">
        <v>1349.0</v>
      </c>
      <c r="Q2321" s="1">
        <v>370.0</v>
      </c>
      <c r="S2321" s="1">
        <v>240.0</v>
      </c>
      <c r="T2321" s="1" t="s">
        <v>5910</v>
      </c>
      <c r="U2321" s="1" t="s">
        <v>569</v>
      </c>
      <c r="V2321" s="1" t="s">
        <v>421</v>
      </c>
      <c r="W2321" s="1">
        <v>60134.0</v>
      </c>
      <c r="Y2321" s="1" t="s">
        <v>21377</v>
      </c>
      <c r="Z2321" s="1">
        <v>1988.0</v>
      </c>
      <c r="AA2321" s="1" t="s">
        <v>200</v>
      </c>
      <c r="AB2321" s="1" t="s">
        <v>193</v>
      </c>
      <c r="AD2321" s="1" t="s">
        <v>424</v>
      </c>
      <c r="AE2321" s="1" t="s">
        <v>325</v>
      </c>
      <c r="AF2321" s="1" t="s">
        <v>424</v>
      </c>
      <c r="AH2321" s="1" t="s">
        <v>21378</v>
      </c>
      <c r="AI2321" s="1">
        <v>0.458</v>
      </c>
      <c r="AK2321" s="1">
        <v>10.0</v>
      </c>
      <c r="AL2321" s="1">
        <v>4.0</v>
      </c>
      <c r="AM2321" s="1">
        <v>2.0</v>
      </c>
      <c r="AN2321" s="1">
        <v>1.0</v>
      </c>
      <c r="AO2321" s="1" t="s">
        <v>198</v>
      </c>
      <c r="AP2321" s="1">
        <v>1.0</v>
      </c>
      <c r="AQ2321" s="1" t="s">
        <v>1314</v>
      </c>
      <c r="AR2321" s="1" t="s">
        <v>200</v>
      </c>
      <c r="AS2321" s="1" t="s">
        <v>199</v>
      </c>
      <c r="AT2321" s="1">
        <v>2.0</v>
      </c>
      <c r="AV2321" s="1" t="s">
        <v>200</v>
      </c>
      <c r="AW2321" s="1">
        <v>9704.58</v>
      </c>
      <c r="AX2321" s="1">
        <v>2012.0</v>
      </c>
      <c r="AZ2321" s="1" t="s">
        <v>200</v>
      </c>
      <c r="BA2321" s="1" t="str">
        <f>"1204176005"</f>
        <v>1204176005</v>
      </c>
      <c r="BB2321" s="1" t="s">
        <v>200</v>
      </c>
      <c r="BC2321" s="1">
        <v>0.0</v>
      </c>
      <c r="BD2321" s="1">
        <v>275000.0</v>
      </c>
      <c r="BE2321" s="2">
        <v>41927.0</v>
      </c>
      <c r="BF2321" s="2" t="s">
        <v>21379</v>
      </c>
      <c r="BH2321" s="1">
        <v>0.0</v>
      </c>
      <c r="BK2321" s="1" t="s">
        <v>204</v>
      </c>
      <c r="BL2321" s="1" t="str">
        <f t="shared" ref="BL2321:BM2321" si="1510">""</f>
        <v/>
      </c>
      <c r="BM2321" s="1" t="str">
        <f t="shared" si="1510"/>
        <v/>
      </c>
      <c r="BQ2321" s="1">
        <v>304.0</v>
      </c>
      <c r="BR2321" s="1">
        <v>304.0</v>
      </c>
      <c r="BS2321" s="1">
        <v>304.0</v>
      </c>
      <c r="BU2321" s="1" t="s">
        <v>924</v>
      </c>
      <c r="BV2321" s="1" t="s">
        <v>206</v>
      </c>
      <c r="BW2321" s="1" t="s">
        <v>210</v>
      </c>
      <c r="BY2321" s="1" t="s">
        <v>5655</v>
      </c>
      <c r="BZ2321" s="1" t="s">
        <v>209</v>
      </c>
      <c r="CA2321" s="1" t="s">
        <v>210</v>
      </c>
      <c r="CC2321" s="1" t="s">
        <v>262</v>
      </c>
      <c r="CD2321" s="1" t="s">
        <v>206</v>
      </c>
      <c r="CE2321" s="1" t="s">
        <v>210</v>
      </c>
      <c r="CG2321" s="1" t="s">
        <v>433</v>
      </c>
      <c r="CH2321" s="1" t="s">
        <v>209</v>
      </c>
      <c r="CI2321" s="1" t="s">
        <v>210</v>
      </c>
      <c r="CK2321" s="1" t="s">
        <v>363</v>
      </c>
      <c r="CL2321" s="1" t="s">
        <v>209</v>
      </c>
      <c r="CM2321" s="1" t="s">
        <v>210</v>
      </c>
      <c r="CO2321" s="1" t="s">
        <v>363</v>
      </c>
      <c r="CP2321" s="1" t="s">
        <v>209</v>
      </c>
      <c r="CS2321" s="1" t="s">
        <v>205</v>
      </c>
      <c r="CT2321" s="1" t="s">
        <v>206</v>
      </c>
      <c r="CU2321" s="1" t="s">
        <v>207</v>
      </c>
      <c r="CW2321" s="1" t="s">
        <v>924</v>
      </c>
      <c r="CX2321" s="1" t="s">
        <v>206</v>
      </c>
      <c r="DA2321" s="1" t="s">
        <v>200</v>
      </c>
      <c r="DC2321" s="1" t="s">
        <v>305</v>
      </c>
      <c r="DD2321" s="1" t="s">
        <v>731</v>
      </c>
      <c r="DE2321" s="1" t="s">
        <v>273</v>
      </c>
      <c r="DF2321" s="1" t="s">
        <v>905</v>
      </c>
      <c r="DG2321" s="1" t="s">
        <v>482</v>
      </c>
      <c r="DH2321" s="1" t="s">
        <v>220</v>
      </c>
      <c r="DI2321" s="1" t="s">
        <v>21380</v>
      </c>
      <c r="DJ2321" s="1" t="s">
        <v>222</v>
      </c>
      <c r="DL2321" s="1" t="s">
        <v>224</v>
      </c>
      <c r="DM2321" s="1" t="s">
        <v>338</v>
      </c>
      <c r="DN2321" s="1" t="s">
        <v>399</v>
      </c>
      <c r="DP2321" s="1" t="s">
        <v>400</v>
      </c>
      <c r="DQ2321" s="1" t="s">
        <v>441</v>
      </c>
      <c r="DR2321" s="1" t="s">
        <v>229</v>
      </c>
      <c r="DV2321" s="1" t="s">
        <v>2259</v>
      </c>
      <c r="DW2321" s="1" t="s">
        <v>891</v>
      </c>
      <c r="DX2321" s="1" t="s">
        <v>234</v>
      </c>
      <c r="DY2321" s="1" t="s">
        <v>6654</v>
      </c>
      <c r="DZ2321" s="1" t="s">
        <v>236</v>
      </c>
      <c r="EA2321" s="1" t="s">
        <v>344</v>
      </c>
      <c r="EC2321" s="1" t="s">
        <v>237</v>
      </c>
      <c r="EG2321" s="1" t="s">
        <v>449</v>
      </c>
      <c r="EH2321" s="1" t="s">
        <v>450</v>
      </c>
      <c r="EL2321" s="1" t="s">
        <v>543</v>
      </c>
      <c r="EM2321" s="1" t="s">
        <v>206</v>
      </c>
      <c r="EN2321" s="1" t="s">
        <v>207</v>
      </c>
      <c r="EP2321" s="1" t="s">
        <v>6425</v>
      </c>
      <c r="EQ2321" s="1" t="s">
        <v>267</v>
      </c>
      <c r="ER2321" s="1" t="s">
        <v>210</v>
      </c>
      <c r="EU2321" s="1" t="s">
        <v>238</v>
      </c>
      <c r="EY2321" s="1" t="s">
        <v>238</v>
      </c>
      <c r="FC2321" s="1" t="s">
        <v>238</v>
      </c>
      <c r="FF2321" s="1" t="s">
        <v>239</v>
      </c>
      <c r="FG2321" s="1" t="s">
        <v>192</v>
      </c>
      <c r="FH2321" s="1" t="s">
        <v>192</v>
      </c>
      <c r="FJ2321" s="1" t="s">
        <v>2427</v>
      </c>
      <c r="FK2321" s="1" t="s">
        <v>229</v>
      </c>
      <c r="FL2321" s="1" t="s">
        <v>21381</v>
      </c>
      <c r="FM2321" s="1">
        <v>20119.0</v>
      </c>
      <c r="FN2321" s="1" t="s">
        <v>21382</v>
      </c>
      <c r="FO2321" s="1" t="s">
        <v>21383</v>
      </c>
      <c r="FP2321" s="1">
        <v>211891.0</v>
      </c>
      <c r="FQ2321" s="1" t="s">
        <v>21384</v>
      </c>
      <c r="FU2321" s="1" t="s">
        <v>2992</v>
      </c>
      <c r="FV2321" s="1" t="s">
        <v>200</v>
      </c>
      <c r="FW2321" s="1" t="s">
        <v>290</v>
      </c>
      <c r="FX2321" s="1" t="s">
        <v>238</v>
      </c>
      <c r="FZ2321" s="1" t="s">
        <v>229</v>
      </c>
      <c r="GA2321" s="1" t="s">
        <v>291</v>
      </c>
      <c r="GB2321" s="2">
        <v>42061.0</v>
      </c>
      <c r="GC2321" s="1" t="s">
        <v>21385</v>
      </c>
    </row>
    <row r="2322">
      <c r="A2322" s="1">
        <v>218813.0</v>
      </c>
      <c r="B2322" s="1" t="s">
        <v>185</v>
      </c>
      <c r="C2322" s="1" t="str">
        <f>"08758484"</f>
        <v>08758484</v>
      </c>
      <c r="D2322" s="1" t="s">
        <v>186</v>
      </c>
      <c r="F2322" s="1" t="str">
        <f>"538"</f>
        <v>538</v>
      </c>
      <c r="G2322" s="2">
        <v>41933.0</v>
      </c>
      <c r="H2322" s="1">
        <v>224990.0</v>
      </c>
      <c r="I2322" s="1">
        <v>113.0</v>
      </c>
      <c r="J2322" s="1">
        <v>224990.0</v>
      </c>
      <c r="K2322" s="2">
        <v>41933.0</v>
      </c>
      <c r="L2322" s="1">
        <v>1.0</v>
      </c>
      <c r="M2322" s="2">
        <v>41933.0</v>
      </c>
      <c r="N2322" s="1" t="s">
        <v>187</v>
      </c>
      <c r="O2322" s="2">
        <v>41981.0</v>
      </c>
      <c r="P2322" s="1">
        <v>83852.0</v>
      </c>
      <c r="Q2322" s="1">
        <v>2689.0</v>
      </c>
      <c r="S2322" s="1">
        <v>2071.0</v>
      </c>
      <c r="T2322" s="1" t="s">
        <v>1339</v>
      </c>
      <c r="U2322" s="1" t="s">
        <v>569</v>
      </c>
      <c r="V2322" s="1" t="s">
        <v>1340</v>
      </c>
      <c r="W2322" s="1">
        <v>60538.0</v>
      </c>
      <c r="Y2322" s="1" t="s">
        <v>21386</v>
      </c>
      <c r="Z2322" s="1">
        <v>2014.0</v>
      </c>
      <c r="AA2322" s="1" t="s">
        <v>200</v>
      </c>
      <c r="AB2322" s="1" t="s">
        <v>467</v>
      </c>
      <c r="AC2322" s="1" t="s">
        <v>1342</v>
      </c>
      <c r="AD2322" s="1" t="s">
        <v>1343</v>
      </c>
      <c r="AE2322" s="1" t="s">
        <v>849</v>
      </c>
      <c r="AF2322" s="1" t="s">
        <v>1312</v>
      </c>
      <c r="AG2322" s="1" t="s">
        <v>21387</v>
      </c>
      <c r="AH2322" s="1">
        <v>0.0</v>
      </c>
      <c r="AK2322" s="1">
        <v>9.0</v>
      </c>
      <c r="AL2322" s="1">
        <v>4.0</v>
      </c>
      <c r="AM2322" s="1">
        <v>2.0</v>
      </c>
      <c r="AN2322" s="1">
        <v>1.0</v>
      </c>
      <c r="AO2322" s="1" t="s">
        <v>198</v>
      </c>
      <c r="AQ2322" s="1" t="s">
        <v>1314</v>
      </c>
      <c r="AR2322" s="1" t="s">
        <v>200</v>
      </c>
      <c r="AS2322" s="1" t="s">
        <v>199</v>
      </c>
      <c r="AT2322" s="1">
        <v>2.0</v>
      </c>
      <c r="AV2322" s="1" t="s">
        <v>200</v>
      </c>
      <c r="AW2322" s="1" t="s">
        <v>575</v>
      </c>
      <c r="AX2322" s="1">
        <v>2013.0</v>
      </c>
      <c r="AY2322" s="1" t="s">
        <v>229</v>
      </c>
      <c r="AZ2322" s="1" t="s">
        <v>200</v>
      </c>
      <c r="BA2322" s="1" t="str">
        <f>"0201127000"</f>
        <v>0201127000</v>
      </c>
      <c r="BC2322" s="1">
        <v>1988.0</v>
      </c>
      <c r="BD2322" s="1">
        <v>218813.0</v>
      </c>
      <c r="BE2322" s="2">
        <v>41933.0</v>
      </c>
      <c r="BF2322" s="2" t="s">
        <v>21388</v>
      </c>
      <c r="BG2322" s="1" t="s">
        <v>1347</v>
      </c>
      <c r="BH2322" s="1">
        <v>40.0</v>
      </c>
      <c r="BI2322" s="1" t="s">
        <v>1348</v>
      </c>
      <c r="BJ2322" s="1" t="s">
        <v>1349</v>
      </c>
      <c r="BK2322" s="1" t="s">
        <v>580</v>
      </c>
      <c r="BL2322" s="1" t="str">
        <f t="shared" ref="BL2322:BM2322" si="1511">""</f>
        <v/>
      </c>
      <c r="BM2322" s="1" t="str">
        <f t="shared" si="1511"/>
        <v/>
      </c>
      <c r="BQ2322" s="1">
        <v>308.0</v>
      </c>
      <c r="BR2322" s="1">
        <v>308.0</v>
      </c>
      <c r="BS2322" s="1">
        <v>308.0</v>
      </c>
      <c r="BU2322" s="1" t="s">
        <v>623</v>
      </c>
      <c r="BV2322" s="1" t="s">
        <v>206</v>
      </c>
      <c r="BW2322" s="1" t="s">
        <v>210</v>
      </c>
      <c r="BX2322" s="1" t="s">
        <v>229</v>
      </c>
      <c r="BY2322" s="1" t="s">
        <v>213</v>
      </c>
      <c r="BZ2322" s="1" t="s">
        <v>209</v>
      </c>
      <c r="CA2322" s="1" t="s">
        <v>210</v>
      </c>
      <c r="CB2322" s="1" t="s">
        <v>229</v>
      </c>
      <c r="CC2322" s="1" t="s">
        <v>265</v>
      </c>
      <c r="CD2322" s="1" t="s">
        <v>206</v>
      </c>
      <c r="CE2322" s="1" t="s">
        <v>210</v>
      </c>
      <c r="CF2322" s="1" t="s">
        <v>229</v>
      </c>
      <c r="CG2322" s="1" t="s">
        <v>332</v>
      </c>
      <c r="CH2322" s="1" t="s">
        <v>209</v>
      </c>
      <c r="CI2322" s="1" t="s">
        <v>210</v>
      </c>
      <c r="CJ2322" s="1" t="s">
        <v>229</v>
      </c>
      <c r="CK2322" s="1" t="s">
        <v>497</v>
      </c>
      <c r="CL2322" s="1" t="s">
        <v>209</v>
      </c>
      <c r="CM2322" s="1" t="s">
        <v>210</v>
      </c>
      <c r="CN2322" s="1" t="s">
        <v>229</v>
      </c>
      <c r="CO2322" s="1" t="s">
        <v>264</v>
      </c>
      <c r="CP2322" s="1" t="s">
        <v>209</v>
      </c>
      <c r="CQ2322" s="1" t="s">
        <v>210</v>
      </c>
      <c r="CR2322" s="1" t="s">
        <v>229</v>
      </c>
      <c r="CS2322" s="1" t="s">
        <v>1417</v>
      </c>
      <c r="CT2322" s="1" t="s">
        <v>206</v>
      </c>
      <c r="CU2322" s="1" t="s">
        <v>207</v>
      </c>
      <c r="CV2322" s="1" t="s">
        <v>229</v>
      </c>
      <c r="CW2322" s="1" t="s">
        <v>213</v>
      </c>
      <c r="CX2322" s="1" t="s">
        <v>206</v>
      </c>
      <c r="CY2322" s="1" t="s">
        <v>210</v>
      </c>
      <c r="CZ2322" s="1" t="s">
        <v>229</v>
      </c>
      <c r="DA2322" s="1" t="s">
        <v>192</v>
      </c>
      <c r="DB2322" s="2">
        <v>41932.0</v>
      </c>
      <c r="DC2322" s="1" t="s">
        <v>744</v>
      </c>
      <c r="DD2322" s="1" t="s">
        <v>396</v>
      </c>
      <c r="DE2322" s="1" t="s">
        <v>273</v>
      </c>
      <c r="DF2322" s="1" t="s">
        <v>219</v>
      </c>
      <c r="DG2322" s="1" t="s">
        <v>337</v>
      </c>
      <c r="DH2322" s="1" t="s">
        <v>220</v>
      </c>
      <c r="DI2322" s="1" t="s">
        <v>1318</v>
      </c>
      <c r="DJ2322" s="1" t="s">
        <v>222</v>
      </c>
      <c r="DK2322" s="1" t="s">
        <v>1555</v>
      </c>
      <c r="DL2322" s="1" t="s">
        <v>223</v>
      </c>
      <c r="DM2322" s="1" t="s">
        <v>338</v>
      </c>
      <c r="DP2322" s="1" t="s">
        <v>276</v>
      </c>
      <c r="DQ2322" s="1" t="s">
        <v>228</v>
      </c>
      <c r="DR2322" s="1" t="s">
        <v>588</v>
      </c>
      <c r="DS2322" s="1" t="s">
        <v>230</v>
      </c>
      <c r="DV2322" s="1" t="s">
        <v>21389</v>
      </c>
      <c r="DW2322" s="1" t="s">
        <v>233</v>
      </c>
      <c r="DX2322" s="1" t="s">
        <v>234</v>
      </c>
      <c r="EA2322" s="1" t="s">
        <v>344</v>
      </c>
      <c r="EC2322" s="1" t="s">
        <v>237</v>
      </c>
      <c r="EE2322" s="1" t="s">
        <v>493</v>
      </c>
      <c r="EG2322" s="1" t="s">
        <v>556</v>
      </c>
      <c r="EH2322" s="1" t="s">
        <v>2313</v>
      </c>
      <c r="EL2322" s="1" t="s">
        <v>1351</v>
      </c>
      <c r="EM2322" s="1" t="s">
        <v>206</v>
      </c>
      <c r="EN2322" s="1" t="s">
        <v>207</v>
      </c>
      <c r="EO2322" s="1" t="s">
        <v>229</v>
      </c>
      <c r="EP2322" s="1" t="s">
        <v>6147</v>
      </c>
      <c r="EQ2322" s="1" t="s">
        <v>206</v>
      </c>
      <c r="ER2322" s="1" t="s">
        <v>617</v>
      </c>
      <c r="ES2322" s="1" t="s">
        <v>229</v>
      </c>
      <c r="EU2322" s="1" t="s">
        <v>238</v>
      </c>
      <c r="EY2322" s="1" t="s">
        <v>238</v>
      </c>
      <c r="FC2322" s="1" t="s">
        <v>238</v>
      </c>
      <c r="FF2322" s="1" t="s">
        <v>239</v>
      </c>
      <c r="FG2322" s="1" t="s">
        <v>192</v>
      </c>
      <c r="FH2322" s="1" t="s">
        <v>200</v>
      </c>
      <c r="FJ2322" s="1" t="s">
        <v>21390</v>
      </c>
      <c r="FK2322" s="1" t="s">
        <v>229</v>
      </c>
      <c r="FL2322" s="1" t="s">
        <v>1358</v>
      </c>
      <c r="FM2322" s="1">
        <v>23076.0</v>
      </c>
      <c r="FN2322" s="1" t="s">
        <v>1359</v>
      </c>
      <c r="FO2322" s="1" t="s">
        <v>21391</v>
      </c>
      <c r="FP2322" s="1">
        <v>233450.0</v>
      </c>
      <c r="FQ2322" s="1" t="s">
        <v>21392</v>
      </c>
      <c r="FR2322" s="1">
        <v>233288.0</v>
      </c>
      <c r="FS2322" s="1" t="s">
        <v>21393</v>
      </c>
      <c r="FT2322" s="1" t="s">
        <v>21394</v>
      </c>
      <c r="FU2322" s="1" t="s">
        <v>21395</v>
      </c>
      <c r="FV2322" s="1" t="s">
        <v>200</v>
      </c>
      <c r="FW2322" s="1" t="s">
        <v>1037</v>
      </c>
      <c r="FZ2322" s="1" t="s">
        <v>229</v>
      </c>
      <c r="GA2322" s="1" t="s">
        <v>247</v>
      </c>
      <c r="GB2322" s="2">
        <v>41982.0</v>
      </c>
      <c r="GC2322" s="1" t="s">
        <v>21396</v>
      </c>
    </row>
    <row r="2323">
      <c r="A2323" s="1">
        <v>202000.0</v>
      </c>
      <c r="B2323" s="1" t="s">
        <v>185</v>
      </c>
      <c r="C2323" s="1" t="str">
        <f>"08755284"</f>
        <v>08755284</v>
      </c>
      <c r="D2323" s="1" t="s">
        <v>186</v>
      </c>
      <c r="F2323" s="1" t="str">
        <f>"8056"</f>
        <v>8056</v>
      </c>
      <c r="G2323" s="2">
        <v>41929.0</v>
      </c>
      <c r="H2323" s="1">
        <v>224900.0</v>
      </c>
      <c r="I2323" s="1">
        <v>117.0</v>
      </c>
      <c r="J2323" s="1">
        <v>204900.0</v>
      </c>
      <c r="K2323" s="2">
        <v>42020.0</v>
      </c>
      <c r="L2323" s="1">
        <v>92.0</v>
      </c>
      <c r="M2323" s="2">
        <v>42020.0</v>
      </c>
      <c r="N2323" s="1" t="s">
        <v>187</v>
      </c>
      <c r="O2323" s="2">
        <v>42062.0</v>
      </c>
      <c r="P2323" s="1">
        <v>117890.0</v>
      </c>
      <c r="Q2323" s="1">
        <v>12555.0</v>
      </c>
      <c r="R2323" s="1">
        <v>6000.0</v>
      </c>
      <c r="S2323" s="1">
        <v>5109.0</v>
      </c>
      <c r="T2323" s="1" t="s">
        <v>6957</v>
      </c>
      <c r="U2323" s="1" t="s">
        <v>189</v>
      </c>
      <c r="V2323" s="1" t="s">
        <v>190</v>
      </c>
      <c r="W2323" s="1">
        <v>60638.0</v>
      </c>
      <c r="Y2323" s="1" t="s">
        <v>21397</v>
      </c>
      <c r="Z2323" s="1">
        <v>1955.0</v>
      </c>
      <c r="AA2323" s="1" t="s">
        <v>192</v>
      </c>
      <c r="AB2323" s="1" t="s">
        <v>193</v>
      </c>
      <c r="AD2323" s="1" t="s">
        <v>194</v>
      </c>
      <c r="AE2323" s="1" t="s">
        <v>195</v>
      </c>
      <c r="AF2323" s="1" t="s">
        <v>659</v>
      </c>
      <c r="AH2323" s="1" t="s">
        <v>21398</v>
      </c>
      <c r="AK2323" s="1">
        <v>7.0</v>
      </c>
      <c r="AL2323" s="1">
        <v>3.0</v>
      </c>
      <c r="AM2323" s="1">
        <v>1.0</v>
      </c>
      <c r="AN2323" s="1">
        <v>1.0</v>
      </c>
      <c r="AO2323" s="1" t="s">
        <v>229</v>
      </c>
      <c r="AP2323" s="1">
        <v>0.0</v>
      </c>
      <c r="AQ2323" s="1" t="s">
        <v>198</v>
      </c>
      <c r="AR2323" s="1" t="s">
        <v>192</v>
      </c>
      <c r="AS2323" s="1" t="s">
        <v>199</v>
      </c>
      <c r="AT2323" s="1">
        <v>2.0</v>
      </c>
      <c r="AV2323" s="1" t="s">
        <v>200</v>
      </c>
      <c r="AW2323" s="1">
        <v>2158.0</v>
      </c>
      <c r="AX2323" s="1">
        <v>2012.0</v>
      </c>
      <c r="AY2323" s="1" t="s">
        <v>387</v>
      </c>
      <c r="AZ2323" s="1" t="s">
        <v>200</v>
      </c>
      <c r="BA2323" s="1" t="str">
        <f>"19084000790000"</f>
        <v>19084000790000</v>
      </c>
      <c r="BB2323" s="1" t="s">
        <v>200</v>
      </c>
      <c r="BC2323" s="1">
        <v>1500.0</v>
      </c>
      <c r="BD2323" s="1">
        <v>202000.0</v>
      </c>
      <c r="BE2323" s="2">
        <v>41929.0</v>
      </c>
      <c r="BF2323" s="2" t="s">
        <v>21399</v>
      </c>
      <c r="BH2323" s="1">
        <v>0.0</v>
      </c>
      <c r="BK2323" s="1" t="s">
        <v>204</v>
      </c>
      <c r="BL2323" s="1" t="str">
        <f t="shared" ref="BL2323:BM2323" si="1512">"0"</f>
        <v>0</v>
      </c>
      <c r="BM2323" s="1" t="str">
        <f t="shared" si="1512"/>
        <v>0</v>
      </c>
      <c r="BN2323" s="1">
        <v>6000.0</v>
      </c>
      <c r="BO2323" s="1">
        <v>5109.0</v>
      </c>
      <c r="BQ2323" s="1">
        <v>299.0</v>
      </c>
      <c r="BR2323" s="1">
        <v>299.0</v>
      </c>
      <c r="BS2323" s="1">
        <v>299.0</v>
      </c>
      <c r="BU2323" s="1" t="s">
        <v>205</v>
      </c>
      <c r="BV2323" s="1" t="s">
        <v>206</v>
      </c>
      <c r="BW2323" s="1" t="s">
        <v>207</v>
      </c>
      <c r="BX2323" s="1" t="s">
        <v>239</v>
      </c>
      <c r="BY2323" s="1" t="s">
        <v>215</v>
      </c>
      <c r="BZ2323" s="1" t="s">
        <v>206</v>
      </c>
      <c r="CA2323" s="1" t="s">
        <v>207</v>
      </c>
      <c r="CB2323" s="1" t="s">
        <v>239</v>
      </c>
      <c r="CD2323" s="1" t="s">
        <v>204</v>
      </c>
      <c r="CG2323" s="1" t="s">
        <v>363</v>
      </c>
      <c r="CH2323" s="1" t="s">
        <v>206</v>
      </c>
      <c r="CI2323" s="1" t="s">
        <v>207</v>
      </c>
      <c r="CJ2323" s="1" t="s">
        <v>239</v>
      </c>
      <c r="CK2323" s="1" t="s">
        <v>495</v>
      </c>
      <c r="CL2323" s="1" t="s">
        <v>206</v>
      </c>
      <c r="CM2323" s="1" t="s">
        <v>207</v>
      </c>
      <c r="CN2323" s="1" t="s">
        <v>239</v>
      </c>
      <c r="CO2323" s="1" t="s">
        <v>495</v>
      </c>
      <c r="CP2323" s="1" t="s">
        <v>42</v>
      </c>
      <c r="CQ2323" s="1" t="s">
        <v>617</v>
      </c>
      <c r="CR2323" s="1" t="s">
        <v>239</v>
      </c>
      <c r="CS2323" s="1" t="s">
        <v>211</v>
      </c>
      <c r="CT2323" s="1" t="s">
        <v>206</v>
      </c>
      <c r="CU2323" s="1" t="s">
        <v>268</v>
      </c>
      <c r="CV2323" s="1" t="s">
        <v>239</v>
      </c>
      <c r="CW2323" s="1" t="s">
        <v>7412</v>
      </c>
      <c r="CX2323" s="1" t="s">
        <v>42</v>
      </c>
      <c r="CY2323" s="1" t="s">
        <v>617</v>
      </c>
      <c r="CZ2323" s="1" t="s">
        <v>239</v>
      </c>
      <c r="DA2323" s="1" t="s">
        <v>200</v>
      </c>
      <c r="DC2323" s="1" t="s">
        <v>271</v>
      </c>
      <c r="DE2323" s="1" t="s">
        <v>273</v>
      </c>
      <c r="DF2323" s="1" t="s">
        <v>905</v>
      </c>
      <c r="DG2323" s="1" t="s">
        <v>337</v>
      </c>
      <c r="DH2323" s="1" t="s">
        <v>365</v>
      </c>
      <c r="DI2323" s="1" t="s">
        <v>21400</v>
      </c>
      <c r="DJ2323" s="1" t="s">
        <v>222</v>
      </c>
      <c r="DK2323" s="1" t="s">
        <v>223</v>
      </c>
      <c r="DL2323" s="1" t="s">
        <v>224</v>
      </c>
      <c r="DM2323" s="1" t="s">
        <v>1658</v>
      </c>
      <c r="DQ2323" s="1" t="s">
        <v>718</v>
      </c>
      <c r="DR2323" s="1" t="s">
        <v>229</v>
      </c>
      <c r="DS2323" s="1" t="s">
        <v>230</v>
      </c>
      <c r="DU2323" s="1" t="s">
        <v>21401</v>
      </c>
      <c r="DV2323" s="1" t="s">
        <v>1102</v>
      </c>
      <c r="DW2323" s="1" t="s">
        <v>279</v>
      </c>
      <c r="DX2323" s="1" t="s">
        <v>1287</v>
      </c>
      <c r="DY2323" s="1" t="s">
        <v>2240</v>
      </c>
      <c r="DZ2323" s="1" t="s">
        <v>3877</v>
      </c>
      <c r="EA2323" s="1" t="s">
        <v>644</v>
      </c>
      <c r="EC2323" s="1" t="s">
        <v>311</v>
      </c>
      <c r="EE2323" s="1" t="s">
        <v>493</v>
      </c>
      <c r="EG2323" s="1" t="s">
        <v>1102</v>
      </c>
      <c r="EL2323" s="1" t="s">
        <v>21402</v>
      </c>
      <c r="EM2323" s="1" t="s">
        <v>206</v>
      </c>
      <c r="EN2323" s="1" t="s">
        <v>588</v>
      </c>
      <c r="EO2323" s="1" t="s">
        <v>239</v>
      </c>
      <c r="EQ2323" s="1" t="s">
        <v>238</v>
      </c>
      <c r="EU2323" s="1" t="s">
        <v>238</v>
      </c>
      <c r="EY2323" s="1" t="s">
        <v>238</v>
      </c>
      <c r="FC2323" s="1" t="s">
        <v>238</v>
      </c>
      <c r="FF2323" s="1" t="s">
        <v>239</v>
      </c>
      <c r="FG2323" s="1" t="s">
        <v>192</v>
      </c>
      <c r="FH2323" s="1" t="s">
        <v>192</v>
      </c>
      <c r="FJ2323" s="1" t="s">
        <v>2206</v>
      </c>
      <c r="FK2323" s="1" t="s">
        <v>348</v>
      </c>
      <c r="FL2323" s="1" t="s">
        <v>1470</v>
      </c>
      <c r="FM2323" s="1">
        <v>60476.0</v>
      </c>
      <c r="FN2323" s="1" t="s">
        <v>1471</v>
      </c>
      <c r="FO2323" s="1" t="s">
        <v>1472</v>
      </c>
      <c r="FP2323" s="1">
        <v>605367.0</v>
      </c>
      <c r="FQ2323" s="1" t="s">
        <v>1471</v>
      </c>
      <c r="FU2323" s="1" t="s">
        <v>1751</v>
      </c>
      <c r="FV2323" s="1" t="s">
        <v>200</v>
      </c>
      <c r="FW2323" s="1" t="s">
        <v>567</v>
      </c>
      <c r="FX2323" s="1" t="s">
        <v>655</v>
      </c>
      <c r="FZ2323" s="1" t="s">
        <v>229</v>
      </c>
      <c r="GA2323" s="1" t="s">
        <v>291</v>
      </c>
      <c r="GB2323" s="2">
        <v>42062.0</v>
      </c>
      <c r="GC2323" s="1" t="s">
        <v>21403</v>
      </c>
    </row>
    <row r="2324">
      <c r="A2324" s="1">
        <v>217500.0</v>
      </c>
      <c r="B2324" s="1" t="s">
        <v>185</v>
      </c>
      <c r="C2324" s="1" t="str">
        <f>"08755501"</f>
        <v>08755501</v>
      </c>
      <c r="D2324" s="1" t="s">
        <v>186</v>
      </c>
      <c r="F2324" s="1" t="str">
        <f>"118"</f>
        <v>118</v>
      </c>
      <c r="G2324" s="2">
        <v>41929.0</v>
      </c>
      <c r="H2324" s="1">
        <v>279900.0</v>
      </c>
      <c r="I2324" s="1">
        <v>113.0</v>
      </c>
      <c r="J2324" s="1">
        <v>219900.0</v>
      </c>
      <c r="K2324" s="2">
        <v>42041.0</v>
      </c>
      <c r="L2324" s="1">
        <v>113.0</v>
      </c>
      <c r="M2324" s="2">
        <v>42041.0</v>
      </c>
      <c r="N2324" s="1" t="s">
        <v>187</v>
      </c>
      <c r="O2324" s="2">
        <v>42087.0</v>
      </c>
      <c r="P2324" s="1">
        <v>7968.0</v>
      </c>
      <c r="Q2324" s="1">
        <v>372.0</v>
      </c>
      <c r="S2324" s="1">
        <v>2878.0</v>
      </c>
      <c r="T2324" s="1" t="s">
        <v>11683</v>
      </c>
      <c r="U2324" s="1" t="s">
        <v>1174</v>
      </c>
      <c r="V2324" s="1" t="s">
        <v>1086</v>
      </c>
      <c r="W2324" s="1">
        <v>60118.0</v>
      </c>
      <c r="Y2324" s="1" t="s">
        <v>21404</v>
      </c>
      <c r="Z2324" s="1">
        <v>2004.0</v>
      </c>
      <c r="AA2324" s="1" t="s">
        <v>200</v>
      </c>
      <c r="AB2324" s="1" t="s">
        <v>467</v>
      </c>
      <c r="AC2324" s="1" t="s">
        <v>8563</v>
      </c>
      <c r="AD2324" s="1" t="s">
        <v>3394</v>
      </c>
      <c r="AE2324" s="1" t="s">
        <v>325</v>
      </c>
      <c r="AF2324" s="1" t="s">
        <v>810</v>
      </c>
      <c r="AH2324" s="1" t="s">
        <v>21405</v>
      </c>
      <c r="AI2324" s="1">
        <v>0.225</v>
      </c>
      <c r="AK2324" s="1">
        <v>9.0</v>
      </c>
      <c r="AL2324" s="1">
        <v>4.0</v>
      </c>
      <c r="AM2324" s="1">
        <v>2.0</v>
      </c>
      <c r="AN2324" s="1">
        <v>1.0</v>
      </c>
      <c r="AO2324" s="1" t="s">
        <v>198</v>
      </c>
      <c r="AQ2324" s="1" t="s">
        <v>472</v>
      </c>
      <c r="AR2324" s="1" t="s">
        <v>200</v>
      </c>
      <c r="AS2324" s="1" t="s">
        <v>199</v>
      </c>
      <c r="AT2324" s="1">
        <v>3.0</v>
      </c>
      <c r="AV2324" s="1" t="s">
        <v>200</v>
      </c>
      <c r="AW2324" s="1">
        <v>7556.54</v>
      </c>
      <c r="AX2324" s="1">
        <v>2013.0</v>
      </c>
      <c r="AY2324" s="1" t="s">
        <v>229</v>
      </c>
      <c r="AZ2324" s="1" t="s">
        <v>200</v>
      </c>
      <c r="BA2324" s="1" t="str">
        <f>"0320454020"</f>
        <v>0320454020</v>
      </c>
      <c r="BB2324" s="1" t="s">
        <v>200</v>
      </c>
      <c r="BC2324" s="1">
        <v>2184.0</v>
      </c>
      <c r="BD2324" s="1">
        <v>217500.0</v>
      </c>
      <c r="BE2324" s="2">
        <v>41929.0</v>
      </c>
      <c r="BF2324" s="2" t="s">
        <v>21406</v>
      </c>
      <c r="BH2324" s="1">
        <v>40.0</v>
      </c>
      <c r="BK2324" s="1" t="s">
        <v>474</v>
      </c>
      <c r="BL2324" s="1" t="str">
        <f>"20"</f>
        <v>20</v>
      </c>
      <c r="BM2324" s="1" t="str">
        <f>"0"</f>
        <v>0</v>
      </c>
      <c r="BN2324" s="1">
        <v>37.0</v>
      </c>
      <c r="BO2324" s="1">
        <v>0.0</v>
      </c>
      <c r="BQ2324" s="1">
        <v>300.0</v>
      </c>
      <c r="BR2324" s="1">
        <v>300.0</v>
      </c>
      <c r="BS2324" s="1">
        <v>300.0</v>
      </c>
      <c r="BU2324" s="1" t="s">
        <v>215</v>
      </c>
      <c r="BV2324" s="1" t="s">
        <v>206</v>
      </c>
      <c r="BY2324" s="1" t="s">
        <v>390</v>
      </c>
      <c r="BZ2324" s="1" t="s">
        <v>209</v>
      </c>
      <c r="CC2324" s="1" t="s">
        <v>495</v>
      </c>
      <c r="CD2324" s="1" t="s">
        <v>206</v>
      </c>
      <c r="CG2324" s="1" t="s">
        <v>269</v>
      </c>
      <c r="CH2324" s="1" t="s">
        <v>209</v>
      </c>
      <c r="CK2324" s="1" t="s">
        <v>264</v>
      </c>
      <c r="CL2324" s="1" t="s">
        <v>209</v>
      </c>
      <c r="CO2324" s="1" t="s">
        <v>264</v>
      </c>
      <c r="CP2324" s="1" t="s">
        <v>209</v>
      </c>
      <c r="CS2324" s="1" t="s">
        <v>5311</v>
      </c>
      <c r="CT2324" s="1" t="s">
        <v>206</v>
      </c>
      <c r="CW2324" s="1" t="s">
        <v>784</v>
      </c>
      <c r="CX2324" s="1" t="s">
        <v>206</v>
      </c>
      <c r="DA2324" s="1" t="s">
        <v>200</v>
      </c>
      <c r="DC2324" s="1" t="s">
        <v>335</v>
      </c>
      <c r="DD2324" s="1" t="s">
        <v>336</v>
      </c>
      <c r="DE2324" s="1" t="s">
        <v>273</v>
      </c>
      <c r="DF2324" s="1" t="s">
        <v>219</v>
      </c>
      <c r="DG2324" s="1" t="s">
        <v>1485</v>
      </c>
      <c r="DH2324" s="1" t="s">
        <v>220</v>
      </c>
      <c r="DJ2324" s="1" t="s">
        <v>222</v>
      </c>
      <c r="DL2324" s="1" t="s">
        <v>223</v>
      </c>
      <c r="DM2324" s="1" t="s">
        <v>338</v>
      </c>
      <c r="DN2324" s="1" t="s">
        <v>548</v>
      </c>
      <c r="DP2324" s="1" t="s">
        <v>276</v>
      </c>
      <c r="DQ2324" s="1" t="s">
        <v>228</v>
      </c>
      <c r="DR2324" s="1" t="s">
        <v>588</v>
      </c>
      <c r="DV2324" s="1" t="s">
        <v>449</v>
      </c>
      <c r="DW2324" s="1" t="s">
        <v>233</v>
      </c>
      <c r="DX2324" s="1" t="s">
        <v>234</v>
      </c>
      <c r="DY2324" s="1" t="s">
        <v>1051</v>
      </c>
      <c r="DZ2324" s="1" t="s">
        <v>236</v>
      </c>
      <c r="EC2324" s="1" t="s">
        <v>237</v>
      </c>
      <c r="EG2324" s="1" t="s">
        <v>449</v>
      </c>
      <c r="EL2324" s="1" t="s">
        <v>16436</v>
      </c>
      <c r="EM2324" s="1" t="s">
        <v>206</v>
      </c>
      <c r="EQ2324" s="1" t="s">
        <v>238</v>
      </c>
      <c r="EU2324" s="1" t="s">
        <v>238</v>
      </c>
      <c r="EY2324" s="1" t="s">
        <v>238</v>
      </c>
      <c r="FC2324" s="1" t="s">
        <v>238</v>
      </c>
      <c r="FF2324" s="1" t="s">
        <v>239</v>
      </c>
      <c r="FG2324" s="1" t="s">
        <v>192</v>
      </c>
      <c r="FH2324" s="1" t="s">
        <v>192</v>
      </c>
      <c r="FJ2324" s="1" t="s">
        <v>347</v>
      </c>
      <c r="FK2324" s="1" t="s">
        <v>229</v>
      </c>
      <c r="FL2324" s="1" t="s">
        <v>3433</v>
      </c>
      <c r="FM2324" s="1">
        <v>5293.0</v>
      </c>
      <c r="FN2324" s="1" t="s">
        <v>3434</v>
      </c>
      <c r="FO2324" s="1" t="s">
        <v>3435</v>
      </c>
      <c r="FP2324" s="1">
        <v>53957.0</v>
      </c>
      <c r="FU2324" s="1" t="s">
        <v>2697</v>
      </c>
      <c r="FV2324" s="1" t="s">
        <v>200</v>
      </c>
      <c r="FW2324" s="1" t="s">
        <v>290</v>
      </c>
      <c r="FZ2324" s="1" t="s">
        <v>229</v>
      </c>
      <c r="GA2324" s="1" t="s">
        <v>291</v>
      </c>
      <c r="GB2324" s="2">
        <v>42088.0</v>
      </c>
      <c r="GC2324" s="1" t="s">
        <v>21407</v>
      </c>
    </row>
    <row r="2325">
      <c r="A2325" s="1">
        <v>256465.0</v>
      </c>
      <c r="B2325" s="1" t="s">
        <v>185</v>
      </c>
      <c r="C2325" s="1" t="str">
        <f>"08758497"</f>
        <v>08758497</v>
      </c>
      <c r="D2325" s="1" t="s">
        <v>186</v>
      </c>
      <c r="F2325" s="1" t="str">
        <f>"538"</f>
        <v>538</v>
      </c>
      <c r="G2325" s="2">
        <v>41933.0</v>
      </c>
      <c r="H2325" s="1">
        <v>249900.0</v>
      </c>
      <c r="I2325" s="1">
        <v>148.0</v>
      </c>
      <c r="J2325" s="1">
        <v>259990.0</v>
      </c>
      <c r="K2325" s="2">
        <v>42053.0</v>
      </c>
      <c r="L2325" s="1">
        <v>121.0</v>
      </c>
      <c r="M2325" s="2">
        <v>42053.0</v>
      </c>
      <c r="N2325" s="1" t="s">
        <v>249</v>
      </c>
      <c r="O2325" s="2">
        <v>42062.0</v>
      </c>
      <c r="P2325" s="1">
        <v>240720.0</v>
      </c>
      <c r="Q2325" s="1">
        <v>23279.0</v>
      </c>
      <c r="S2325" s="1">
        <v>3058.0</v>
      </c>
      <c r="T2325" s="1" t="s">
        <v>21408</v>
      </c>
      <c r="U2325" s="1" t="s">
        <v>1174</v>
      </c>
      <c r="V2325" s="1" t="s">
        <v>1340</v>
      </c>
      <c r="W2325" s="1">
        <v>60538.0</v>
      </c>
      <c r="Y2325" s="1" t="s">
        <v>21386</v>
      </c>
      <c r="Z2325" s="1">
        <v>2014.0</v>
      </c>
      <c r="AA2325" s="1" t="s">
        <v>200</v>
      </c>
      <c r="AB2325" s="1" t="s">
        <v>467</v>
      </c>
      <c r="AC2325" s="1" t="s">
        <v>19168</v>
      </c>
      <c r="AD2325" s="1" t="s">
        <v>1343</v>
      </c>
      <c r="AE2325" s="1" t="s">
        <v>849</v>
      </c>
      <c r="AF2325" s="1" t="s">
        <v>1312</v>
      </c>
      <c r="AG2325" s="1" t="s">
        <v>21409</v>
      </c>
      <c r="AH2325" s="1" t="s">
        <v>2391</v>
      </c>
      <c r="AK2325" s="1">
        <v>10.0</v>
      </c>
      <c r="AL2325" s="1">
        <v>4.0</v>
      </c>
      <c r="AM2325" s="1">
        <v>2.0</v>
      </c>
      <c r="AN2325" s="1">
        <v>1.0</v>
      </c>
      <c r="AO2325" s="1" t="s">
        <v>198</v>
      </c>
      <c r="AQ2325" s="1" t="s">
        <v>1314</v>
      </c>
      <c r="AR2325" s="1" t="s">
        <v>200</v>
      </c>
      <c r="AS2325" s="1" t="s">
        <v>199</v>
      </c>
      <c r="AT2325" s="1">
        <v>3.0</v>
      </c>
      <c r="AV2325" s="1" t="s">
        <v>200</v>
      </c>
      <c r="AW2325" s="1" t="s">
        <v>575</v>
      </c>
      <c r="AX2325" s="1">
        <v>2013.0</v>
      </c>
      <c r="AY2325" s="1" t="s">
        <v>229</v>
      </c>
      <c r="AZ2325" s="1" t="s">
        <v>200</v>
      </c>
      <c r="BA2325" s="1" t="str">
        <f>"0201190000"</f>
        <v>0201190000</v>
      </c>
      <c r="BB2325" s="1" t="s">
        <v>200</v>
      </c>
      <c r="BC2325" s="1">
        <v>2612.0</v>
      </c>
      <c r="BD2325" s="1">
        <v>256465.0</v>
      </c>
      <c r="BE2325" s="2">
        <v>41933.0</v>
      </c>
      <c r="BF2325" s="2" t="s">
        <v>21410</v>
      </c>
      <c r="BH2325" s="1">
        <v>420.0</v>
      </c>
      <c r="BK2325" s="1" t="s">
        <v>580</v>
      </c>
      <c r="BL2325" s="1" t="str">
        <f t="shared" ref="BL2325:BM2325" si="1513">""</f>
        <v/>
      </c>
      <c r="BM2325" s="1" t="str">
        <f t="shared" si="1513"/>
        <v/>
      </c>
      <c r="BN2325" s="1">
        <v>40.0</v>
      </c>
      <c r="BO2325" s="1">
        <v>10.0</v>
      </c>
      <c r="BQ2325" s="1">
        <v>308.0</v>
      </c>
      <c r="BR2325" s="1">
        <v>308.0</v>
      </c>
      <c r="BS2325" s="1">
        <v>308.0</v>
      </c>
      <c r="BU2325" s="1" t="s">
        <v>699</v>
      </c>
      <c r="BV2325" s="1" t="s">
        <v>206</v>
      </c>
      <c r="BW2325" s="1" t="s">
        <v>210</v>
      </c>
      <c r="BX2325" s="1" t="s">
        <v>229</v>
      </c>
      <c r="BY2325" s="1" t="s">
        <v>214</v>
      </c>
      <c r="BZ2325" s="1" t="s">
        <v>209</v>
      </c>
      <c r="CA2325" s="1" t="s">
        <v>210</v>
      </c>
      <c r="CB2325" s="1" t="s">
        <v>229</v>
      </c>
      <c r="CC2325" s="1" t="s">
        <v>495</v>
      </c>
      <c r="CD2325" s="1" t="s">
        <v>206</v>
      </c>
      <c r="CE2325" s="1" t="s">
        <v>210</v>
      </c>
      <c r="CF2325" s="1" t="s">
        <v>229</v>
      </c>
      <c r="CG2325" s="1" t="s">
        <v>433</v>
      </c>
      <c r="CH2325" s="1" t="s">
        <v>209</v>
      </c>
      <c r="CI2325" s="1" t="s">
        <v>210</v>
      </c>
      <c r="CJ2325" s="1" t="s">
        <v>229</v>
      </c>
      <c r="CK2325" s="1" t="s">
        <v>331</v>
      </c>
      <c r="CL2325" s="1" t="s">
        <v>209</v>
      </c>
      <c r="CM2325" s="1" t="s">
        <v>210</v>
      </c>
      <c r="CN2325" s="1" t="s">
        <v>229</v>
      </c>
      <c r="CO2325" s="1" t="s">
        <v>1417</v>
      </c>
      <c r="CP2325" s="1" t="s">
        <v>209</v>
      </c>
      <c r="CQ2325" s="1" t="s">
        <v>210</v>
      </c>
      <c r="CS2325" s="1" t="s">
        <v>1190</v>
      </c>
      <c r="CT2325" s="1" t="s">
        <v>206</v>
      </c>
      <c r="CU2325" s="1" t="s">
        <v>617</v>
      </c>
      <c r="CV2325" s="1" t="s">
        <v>229</v>
      </c>
      <c r="CW2325" s="1" t="s">
        <v>496</v>
      </c>
      <c r="CX2325" s="1" t="s">
        <v>206</v>
      </c>
      <c r="CY2325" s="1" t="s">
        <v>210</v>
      </c>
      <c r="CZ2325" s="1" t="s">
        <v>229</v>
      </c>
      <c r="DA2325" s="1" t="s">
        <v>192</v>
      </c>
      <c r="DB2325" s="2">
        <v>42035.0</v>
      </c>
      <c r="DC2325" s="1" t="s">
        <v>744</v>
      </c>
      <c r="DD2325" s="1" t="s">
        <v>926</v>
      </c>
      <c r="DE2325" s="1" t="s">
        <v>273</v>
      </c>
      <c r="DF2325" s="1" t="s">
        <v>219</v>
      </c>
      <c r="DG2325" s="1" t="s">
        <v>337</v>
      </c>
      <c r="DH2325" s="1" t="s">
        <v>220</v>
      </c>
      <c r="DI2325" s="1" t="s">
        <v>732</v>
      </c>
      <c r="DJ2325" s="1" t="s">
        <v>222</v>
      </c>
      <c r="DK2325" s="1" t="s">
        <v>1555</v>
      </c>
      <c r="DL2325" s="1" t="s">
        <v>223</v>
      </c>
      <c r="DM2325" s="1" t="s">
        <v>338</v>
      </c>
      <c r="DN2325" s="1" t="s">
        <v>1023</v>
      </c>
      <c r="DP2325" s="1" t="s">
        <v>340</v>
      </c>
      <c r="DQ2325" s="1" t="s">
        <v>228</v>
      </c>
      <c r="DR2325" s="1" t="s">
        <v>588</v>
      </c>
      <c r="DS2325" s="1" t="s">
        <v>368</v>
      </c>
      <c r="DV2325" s="1" t="s">
        <v>21411</v>
      </c>
      <c r="DW2325" s="1" t="s">
        <v>444</v>
      </c>
      <c r="DX2325" s="1" t="s">
        <v>234</v>
      </c>
      <c r="DY2325" s="1" t="s">
        <v>1189</v>
      </c>
      <c r="DZ2325" s="1" t="s">
        <v>343</v>
      </c>
      <c r="EA2325" s="1" t="s">
        <v>344</v>
      </c>
      <c r="EC2325" s="1" t="s">
        <v>237</v>
      </c>
      <c r="EE2325" s="1" t="s">
        <v>493</v>
      </c>
      <c r="EH2325" s="1" t="s">
        <v>556</v>
      </c>
      <c r="EI2325" s="1" t="s">
        <v>1028</v>
      </c>
      <c r="EJ2325" s="1" t="s">
        <v>2313</v>
      </c>
      <c r="EM2325" s="1" t="s">
        <v>238</v>
      </c>
      <c r="EP2325" s="1" t="s">
        <v>1904</v>
      </c>
      <c r="EQ2325" s="1" t="s">
        <v>206</v>
      </c>
      <c r="ER2325" s="1" t="s">
        <v>617</v>
      </c>
      <c r="ES2325" s="1" t="s">
        <v>229</v>
      </c>
      <c r="ET2325" s="1" t="s">
        <v>265</v>
      </c>
      <c r="EU2325" s="1" t="s">
        <v>206</v>
      </c>
      <c r="EV2325" s="1" t="s">
        <v>210</v>
      </c>
      <c r="EW2325" s="1" t="s">
        <v>229</v>
      </c>
      <c r="EX2325" s="1" t="s">
        <v>1746</v>
      </c>
      <c r="EY2325" s="1" t="s">
        <v>206</v>
      </c>
      <c r="EZ2325" s="1" t="s">
        <v>617</v>
      </c>
      <c r="FA2325" s="1" t="s">
        <v>229</v>
      </c>
      <c r="FC2325" s="1" t="s">
        <v>238</v>
      </c>
      <c r="FF2325" s="1" t="s">
        <v>239</v>
      </c>
      <c r="FG2325" s="1" t="s">
        <v>192</v>
      </c>
      <c r="FH2325" s="1" t="s">
        <v>192</v>
      </c>
      <c r="FJ2325" s="1" t="s">
        <v>21412</v>
      </c>
      <c r="FK2325" s="1" t="s">
        <v>229</v>
      </c>
      <c r="FL2325" s="1" t="s">
        <v>1358</v>
      </c>
      <c r="FM2325" s="1">
        <v>23076.0</v>
      </c>
      <c r="FN2325" s="1" t="s">
        <v>1359</v>
      </c>
      <c r="FO2325" s="1" t="s">
        <v>21391</v>
      </c>
      <c r="FP2325" s="1">
        <v>233450.0</v>
      </c>
      <c r="FQ2325" s="1" t="s">
        <v>21392</v>
      </c>
      <c r="FR2325" s="1">
        <v>233288.0</v>
      </c>
      <c r="FS2325" s="1" t="s">
        <v>21393</v>
      </c>
      <c r="FT2325" s="1" t="s">
        <v>21394</v>
      </c>
      <c r="FU2325" s="1" t="s">
        <v>21413</v>
      </c>
      <c r="FV2325" s="1" t="s">
        <v>200</v>
      </c>
      <c r="FW2325" s="1" t="s">
        <v>1037</v>
      </c>
      <c r="FZ2325" s="1" t="s">
        <v>229</v>
      </c>
      <c r="GA2325" s="1" t="s">
        <v>247</v>
      </c>
      <c r="GB2325" s="2">
        <v>42065.0</v>
      </c>
      <c r="GC2325" s="1" t="s">
        <v>21414</v>
      </c>
    </row>
    <row r="2326">
      <c r="A2326" s="1">
        <v>390000.0</v>
      </c>
      <c r="B2326" s="1" t="s">
        <v>185</v>
      </c>
      <c r="C2326" s="1" t="str">
        <f>"08759388"</f>
        <v>08759388</v>
      </c>
      <c r="D2326" s="1" t="s">
        <v>186</v>
      </c>
      <c r="F2326" s="1" t="str">
        <f>"8004"</f>
        <v>8004</v>
      </c>
      <c r="G2326" s="2">
        <v>41934.0</v>
      </c>
      <c r="H2326" s="1">
        <v>445000.0</v>
      </c>
      <c r="I2326" s="1">
        <v>49.0</v>
      </c>
      <c r="J2326" s="1">
        <v>435000.0</v>
      </c>
      <c r="K2326" s="2">
        <v>41982.0</v>
      </c>
      <c r="L2326" s="1">
        <v>49.0</v>
      </c>
      <c r="M2326" s="2">
        <v>41982.0</v>
      </c>
      <c r="N2326" s="1" t="s">
        <v>249</v>
      </c>
      <c r="O2326" s="2">
        <v>41990.0</v>
      </c>
      <c r="P2326" s="1">
        <v>130720.0</v>
      </c>
      <c r="Q2326" s="1">
        <v>17665.0</v>
      </c>
      <c r="S2326" s="1">
        <v>2237.0</v>
      </c>
      <c r="T2326" s="1" t="s">
        <v>6267</v>
      </c>
      <c r="U2326" s="1" t="s">
        <v>320</v>
      </c>
      <c r="V2326" s="1" t="s">
        <v>190</v>
      </c>
      <c r="W2326" s="1">
        <v>60625.0</v>
      </c>
      <c r="Y2326" s="1" t="s">
        <v>21415</v>
      </c>
      <c r="Z2326" s="1">
        <v>1918.0</v>
      </c>
      <c r="AA2326" s="1" t="s">
        <v>192</v>
      </c>
      <c r="AB2326" s="1" t="s">
        <v>193</v>
      </c>
      <c r="AD2326" s="1" t="s">
        <v>194</v>
      </c>
      <c r="AE2326" s="1" t="s">
        <v>195</v>
      </c>
      <c r="AF2326" s="1" t="s">
        <v>534</v>
      </c>
      <c r="AH2326" s="1" t="s">
        <v>21416</v>
      </c>
      <c r="AI2326" s="1">
        <v>0.089</v>
      </c>
      <c r="AK2326" s="1">
        <v>8.0</v>
      </c>
      <c r="AL2326" s="1">
        <v>4.0</v>
      </c>
      <c r="AM2326" s="1">
        <v>3.0</v>
      </c>
      <c r="AN2326" s="1">
        <v>0.0</v>
      </c>
      <c r="AO2326" s="1" t="s">
        <v>229</v>
      </c>
      <c r="AQ2326" s="1" t="s">
        <v>198</v>
      </c>
      <c r="AR2326" s="1" t="s">
        <v>192</v>
      </c>
      <c r="AS2326" s="1" t="s">
        <v>199</v>
      </c>
      <c r="AT2326" s="1">
        <v>2.0</v>
      </c>
      <c r="AV2326" s="1" t="s">
        <v>200</v>
      </c>
      <c r="AW2326" s="1">
        <v>6039.04</v>
      </c>
      <c r="AX2326" s="1">
        <v>2012.0</v>
      </c>
      <c r="AZ2326" s="1" t="s">
        <v>200</v>
      </c>
      <c r="BA2326" s="1" t="str">
        <f>"14073050150000"</f>
        <v>14073050150000</v>
      </c>
      <c r="BC2326" s="1">
        <v>1170.0</v>
      </c>
      <c r="BD2326" s="1">
        <v>390000.0</v>
      </c>
      <c r="BE2326" s="2">
        <v>41934.0</v>
      </c>
      <c r="BF2326" s="2" t="s">
        <v>21417</v>
      </c>
      <c r="BH2326" s="1">
        <v>0.0</v>
      </c>
      <c r="BK2326" s="1" t="s">
        <v>204</v>
      </c>
      <c r="BL2326" s="1" t="str">
        <f>"5100"</f>
        <v>5100</v>
      </c>
      <c r="BM2326" s="1" t="str">
        <f t="shared" ref="BM2326:BM2328" si="1514">"0"</f>
        <v>0</v>
      </c>
      <c r="BN2326" s="1">
        <v>2237.0</v>
      </c>
      <c r="BO2326" s="1">
        <v>0.0</v>
      </c>
      <c r="BQ2326" s="1">
        <v>299.0</v>
      </c>
      <c r="BR2326" s="1">
        <v>299.0</v>
      </c>
      <c r="BS2326" s="1">
        <v>299.0</v>
      </c>
      <c r="BU2326" s="1" t="s">
        <v>715</v>
      </c>
      <c r="BV2326" s="1" t="s">
        <v>206</v>
      </c>
      <c r="BY2326" s="1" t="s">
        <v>1001</v>
      </c>
      <c r="BZ2326" s="1" t="s">
        <v>209</v>
      </c>
      <c r="CC2326" s="1" t="s">
        <v>2459</v>
      </c>
      <c r="CD2326" s="1" t="s">
        <v>206</v>
      </c>
      <c r="CG2326" s="1" t="s">
        <v>584</v>
      </c>
      <c r="CH2326" s="1" t="s">
        <v>209</v>
      </c>
      <c r="CK2326" s="1" t="s">
        <v>543</v>
      </c>
      <c r="CL2326" s="1" t="s">
        <v>206</v>
      </c>
      <c r="CO2326" s="1" t="s">
        <v>640</v>
      </c>
      <c r="CP2326" s="1" t="s">
        <v>206</v>
      </c>
      <c r="CS2326" s="1" t="s">
        <v>699</v>
      </c>
      <c r="CT2326" s="1" t="s">
        <v>206</v>
      </c>
      <c r="CX2326" s="1" t="s">
        <v>204</v>
      </c>
      <c r="DA2326" s="1" t="s">
        <v>200</v>
      </c>
      <c r="DC2326" s="1" t="s">
        <v>216</v>
      </c>
      <c r="DE2326" s="1" t="s">
        <v>229</v>
      </c>
      <c r="DF2326" s="1" t="s">
        <v>4891</v>
      </c>
      <c r="DH2326" s="1" t="s">
        <v>365</v>
      </c>
      <c r="DJ2326" s="1" t="s">
        <v>222</v>
      </c>
      <c r="DL2326" s="1" t="s">
        <v>224</v>
      </c>
      <c r="DM2326" s="1" t="s">
        <v>229</v>
      </c>
      <c r="DQ2326" s="1" t="s">
        <v>228</v>
      </c>
      <c r="DR2326" s="1" t="s">
        <v>229</v>
      </c>
      <c r="DV2326" s="1" t="s">
        <v>21418</v>
      </c>
      <c r="DW2326" s="1" t="s">
        <v>279</v>
      </c>
      <c r="DX2326" s="1" t="s">
        <v>234</v>
      </c>
      <c r="EC2326" s="1" t="s">
        <v>237</v>
      </c>
      <c r="EG2326" s="1" t="s">
        <v>598</v>
      </c>
      <c r="EH2326" s="1" t="s">
        <v>1102</v>
      </c>
      <c r="EL2326" s="1" t="s">
        <v>971</v>
      </c>
      <c r="EM2326" s="1" t="s">
        <v>206</v>
      </c>
      <c r="EP2326" s="1" t="s">
        <v>798</v>
      </c>
      <c r="EQ2326" s="1" t="s">
        <v>206</v>
      </c>
      <c r="EU2326" s="1" t="s">
        <v>238</v>
      </c>
      <c r="EY2326" s="1" t="s">
        <v>238</v>
      </c>
      <c r="FC2326" s="1" t="s">
        <v>238</v>
      </c>
      <c r="FF2326" s="1" t="s">
        <v>239</v>
      </c>
      <c r="FG2326" s="1" t="s">
        <v>192</v>
      </c>
      <c r="FH2326" s="1" t="s">
        <v>192</v>
      </c>
      <c r="FJ2326" s="1" t="s">
        <v>561</v>
      </c>
      <c r="FK2326" s="1" t="s">
        <v>229</v>
      </c>
      <c r="FL2326" s="1" t="s">
        <v>562</v>
      </c>
      <c r="FM2326" s="1">
        <v>14703.0</v>
      </c>
      <c r="FN2326" s="1" t="s">
        <v>2570</v>
      </c>
      <c r="FO2326" s="1" t="s">
        <v>4198</v>
      </c>
      <c r="FP2326" s="1">
        <v>110847.0</v>
      </c>
      <c r="FQ2326" s="1" t="s">
        <v>4199</v>
      </c>
      <c r="FU2326" s="1" t="s">
        <v>21419</v>
      </c>
      <c r="FV2326" s="1" t="s">
        <v>192</v>
      </c>
      <c r="FW2326" s="1" t="s">
        <v>290</v>
      </c>
      <c r="FX2326" s="1" t="s">
        <v>246</v>
      </c>
      <c r="FZ2326" s="1" t="s">
        <v>229</v>
      </c>
      <c r="GA2326" s="1" t="s">
        <v>291</v>
      </c>
      <c r="GB2326" s="2">
        <v>41990.0</v>
      </c>
      <c r="GC2326" s="1" t="s">
        <v>21420</v>
      </c>
    </row>
    <row r="2327">
      <c r="A2327" s="1">
        <v>262500.0</v>
      </c>
      <c r="B2327" s="1" t="s">
        <v>185</v>
      </c>
      <c r="C2327" s="1" t="str">
        <f>"08761909"</f>
        <v>08761909</v>
      </c>
      <c r="D2327" s="1" t="s">
        <v>186</v>
      </c>
      <c r="F2327" s="1" t="str">
        <f>"136"</f>
        <v>136</v>
      </c>
      <c r="G2327" s="2">
        <v>41938.0</v>
      </c>
      <c r="H2327" s="1">
        <v>289000.0</v>
      </c>
      <c r="I2327" s="1">
        <v>91.0</v>
      </c>
      <c r="J2327" s="1">
        <v>289000.0</v>
      </c>
      <c r="K2327" s="2">
        <v>42028.0</v>
      </c>
      <c r="L2327" s="1">
        <v>91.0</v>
      </c>
      <c r="M2327" s="2">
        <v>42028.0</v>
      </c>
      <c r="N2327" s="1" t="s">
        <v>187</v>
      </c>
      <c r="O2327" s="2">
        <v>42072.0</v>
      </c>
      <c r="P2327" s="1">
        <v>172779.0</v>
      </c>
      <c r="Q2327" s="1">
        <v>11062.0</v>
      </c>
      <c r="S2327" s="1">
        <v>104.0</v>
      </c>
      <c r="T2327" s="1" t="s">
        <v>12984</v>
      </c>
      <c r="U2327" s="1" t="s">
        <v>569</v>
      </c>
      <c r="V2327" s="1" t="s">
        <v>5032</v>
      </c>
      <c r="W2327" s="1">
        <v>60136.0</v>
      </c>
      <c r="Y2327" s="1" t="s">
        <v>21421</v>
      </c>
      <c r="Z2327" s="1">
        <v>2003.0</v>
      </c>
      <c r="AA2327" s="1" t="s">
        <v>200</v>
      </c>
      <c r="AB2327" s="1" t="s">
        <v>467</v>
      </c>
      <c r="AC2327" s="1" t="s">
        <v>10785</v>
      </c>
      <c r="AD2327" s="1" t="s">
        <v>5035</v>
      </c>
      <c r="AE2327" s="1" t="s">
        <v>325</v>
      </c>
      <c r="AF2327" s="1" t="s">
        <v>3429</v>
      </c>
      <c r="AH2327" s="1" t="s">
        <v>21422</v>
      </c>
      <c r="AI2327" s="1">
        <v>0.24</v>
      </c>
      <c r="AK2327" s="1">
        <v>10.0</v>
      </c>
      <c r="AL2327" s="1">
        <v>4.0</v>
      </c>
      <c r="AM2327" s="1">
        <v>2.0</v>
      </c>
      <c r="AN2327" s="1">
        <v>1.0</v>
      </c>
      <c r="AO2327" s="1" t="s">
        <v>198</v>
      </c>
      <c r="AP2327" s="1">
        <v>1.0</v>
      </c>
      <c r="AQ2327" s="1" t="s">
        <v>1314</v>
      </c>
      <c r="AR2327" s="1" t="s">
        <v>200</v>
      </c>
      <c r="AS2327" s="1" t="s">
        <v>199</v>
      </c>
      <c r="AT2327" s="1">
        <v>2.0</v>
      </c>
      <c r="AV2327" s="1" t="s">
        <v>200</v>
      </c>
      <c r="AW2327" s="1">
        <v>9161.04</v>
      </c>
      <c r="AX2327" s="1">
        <v>2013.0</v>
      </c>
      <c r="AY2327" s="1" t="s">
        <v>387</v>
      </c>
      <c r="AZ2327" s="1" t="s">
        <v>200</v>
      </c>
      <c r="BA2327" s="1" t="str">
        <f>"0236102010"</f>
        <v>0236102010</v>
      </c>
      <c r="BB2327" s="1" t="s">
        <v>200</v>
      </c>
      <c r="BC2327" s="1">
        <v>3109.0</v>
      </c>
      <c r="BD2327" s="1">
        <v>262500.0</v>
      </c>
      <c r="BE2327" s="2">
        <v>41938.0</v>
      </c>
      <c r="BF2327" s="2" t="s">
        <v>21423</v>
      </c>
      <c r="BH2327" s="1">
        <v>320.0</v>
      </c>
      <c r="BK2327" s="1" t="s">
        <v>580</v>
      </c>
      <c r="BL2327" s="1" t="str">
        <f>"15"</f>
        <v>15</v>
      </c>
      <c r="BM2327" s="1" t="str">
        <f t="shared" si="1514"/>
        <v>0</v>
      </c>
      <c r="BN2327" s="1">
        <v>39.0</v>
      </c>
      <c r="BO2327" s="1">
        <v>0.0</v>
      </c>
      <c r="BQ2327" s="1">
        <v>300.0</v>
      </c>
      <c r="BR2327" s="1">
        <v>300.0</v>
      </c>
      <c r="BS2327" s="1">
        <v>300.0</v>
      </c>
      <c r="BU2327" s="1" t="s">
        <v>215</v>
      </c>
      <c r="BV2327" s="1" t="s">
        <v>206</v>
      </c>
      <c r="BW2327" s="1" t="s">
        <v>210</v>
      </c>
      <c r="BY2327" s="1" t="s">
        <v>583</v>
      </c>
      <c r="BZ2327" s="1" t="s">
        <v>209</v>
      </c>
      <c r="CA2327" s="1" t="s">
        <v>210</v>
      </c>
      <c r="CC2327" s="1" t="s">
        <v>332</v>
      </c>
      <c r="CD2327" s="1" t="s">
        <v>206</v>
      </c>
      <c r="CE2327" s="1" t="s">
        <v>210</v>
      </c>
      <c r="CG2327" s="1" t="s">
        <v>215</v>
      </c>
      <c r="CH2327" s="1" t="s">
        <v>209</v>
      </c>
      <c r="CI2327" s="1" t="s">
        <v>210</v>
      </c>
      <c r="CK2327" s="1" t="s">
        <v>363</v>
      </c>
      <c r="CL2327" s="1" t="s">
        <v>209</v>
      </c>
      <c r="CM2327" s="1" t="s">
        <v>210</v>
      </c>
      <c r="CO2327" s="1" t="s">
        <v>363</v>
      </c>
      <c r="CP2327" s="1" t="s">
        <v>209</v>
      </c>
      <c r="CQ2327" s="1" t="s">
        <v>210</v>
      </c>
      <c r="CS2327" s="1" t="s">
        <v>329</v>
      </c>
      <c r="CT2327" s="1" t="s">
        <v>206</v>
      </c>
      <c r="CU2327" s="1" t="s">
        <v>268</v>
      </c>
      <c r="CW2327" s="1" t="s">
        <v>479</v>
      </c>
      <c r="CX2327" s="1" t="s">
        <v>206</v>
      </c>
      <c r="CY2327" s="1" t="s">
        <v>210</v>
      </c>
      <c r="DA2327" s="1" t="s">
        <v>200</v>
      </c>
      <c r="DC2327" s="1" t="s">
        <v>335</v>
      </c>
      <c r="DD2327" s="1" t="s">
        <v>336</v>
      </c>
      <c r="DE2327" s="1" t="s">
        <v>273</v>
      </c>
      <c r="DF2327" s="1" t="s">
        <v>219</v>
      </c>
      <c r="DG2327" s="1" t="s">
        <v>5602</v>
      </c>
      <c r="DH2327" s="1" t="s">
        <v>220</v>
      </c>
      <c r="DI2327" s="1" t="s">
        <v>221</v>
      </c>
      <c r="DJ2327" s="1" t="s">
        <v>222</v>
      </c>
      <c r="DK2327" s="1" t="s">
        <v>223</v>
      </c>
      <c r="DL2327" s="1" t="s">
        <v>484</v>
      </c>
      <c r="DM2327" s="1" t="s">
        <v>338</v>
      </c>
      <c r="DN2327" s="1" t="s">
        <v>339</v>
      </c>
      <c r="DO2327" s="1" t="s">
        <v>486</v>
      </c>
      <c r="DP2327" s="1" t="s">
        <v>340</v>
      </c>
      <c r="DQ2327" s="1" t="s">
        <v>228</v>
      </c>
      <c r="DR2327" s="1" t="s">
        <v>229</v>
      </c>
      <c r="DU2327" s="1" t="s">
        <v>4274</v>
      </c>
      <c r="DV2327" s="1" t="s">
        <v>8134</v>
      </c>
      <c r="DW2327" s="1" t="s">
        <v>233</v>
      </c>
      <c r="DX2327" s="1" t="s">
        <v>234</v>
      </c>
      <c r="DY2327" s="1" t="s">
        <v>3846</v>
      </c>
      <c r="DZ2327" s="1" t="s">
        <v>236</v>
      </c>
      <c r="EB2327" s="1" t="s">
        <v>937</v>
      </c>
      <c r="EC2327" s="1" t="s">
        <v>237</v>
      </c>
      <c r="ED2327" s="1" t="s">
        <v>407</v>
      </c>
      <c r="EG2327" s="1" t="s">
        <v>449</v>
      </c>
      <c r="EH2327" s="1" t="s">
        <v>341</v>
      </c>
      <c r="EL2327" s="1" t="s">
        <v>212</v>
      </c>
      <c r="EM2327" s="1" t="s">
        <v>206</v>
      </c>
      <c r="EN2327" s="1" t="s">
        <v>207</v>
      </c>
      <c r="EP2327" s="1" t="s">
        <v>758</v>
      </c>
      <c r="EQ2327" s="1" t="s">
        <v>209</v>
      </c>
      <c r="ER2327" s="1" t="s">
        <v>210</v>
      </c>
      <c r="EU2327" s="1" t="s">
        <v>238</v>
      </c>
      <c r="EY2327" s="1" t="s">
        <v>238</v>
      </c>
      <c r="FC2327" s="1" t="s">
        <v>238</v>
      </c>
      <c r="FF2327" s="1" t="s">
        <v>239</v>
      </c>
      <c r="FG2327" s="1" t="s">
        <v>192</v>
      </c>
      <c r="FH2327" s="1" t="s">
        <v>192</v>
      </c>
      <c r="FJ2327" s="1" t="s">
        <v>1123</v>
      </c>
      <c r="FK2327" s="1" t="s">
        <v>229</v>
      </c>
      <c r="FL2327" s="1" t="s">
        <v>1124</v>
      </c>
      <c r="FM2327" s="1">
        <v>8059.0</v>
      </c>
      <c r="FN2327" s="1" t="s">
        <v>7340</v>
      </c>
      <c r="FO2327" s="1" t="s">
        <v>21424</v>
      </c>
      <c r="FP2327" s="1">
        <v>82949.0</v>
      </c>
      <c r="FQ2327" s="1" t="s">
        <v>21425</v>
      </c>
      <c r="FU2327" s="1" t="s">
        <v>21426</v>
      </c>
      <c r="FV2327" s="1" t="s">
        <v>200</v>
      </c>
      <c r="FW2327" s="1" t="s">
        <v>530</v>
      </c>
      <c r="FZ2327" s="1" t="s">
        <v>229</v>
      </c>
      <c r="GA2327" s="1" t="s">
        <v>291</v>
      </c>
      <c r="GB2327" s="2">
        <v>42073.0</v>
      </c>
      <c r="GC2327" s="1" t="s">
        <v>21427</v>
      </c>
    </row>
    <row r="2328">
      <c r="A2328" s="1">
        <v>433000.0</v>
      </c>
      <c r="B2328" s="1" t="s">
        <v>185</v>
      </c>
      <c r="C2328" s="1" t="str">
        <f>"08757472"</f>
        <v>08757472</v>
      </c>
      <c r="D2328" s="1" t="s">
        <v>186</v>
      </c>
      <c r="F2328" s="1" t="str">
        <f>"8015"</f>
        <v>8015</v>
      </c>
      <c r="G2328" s="2">
        <v>41932.0</v>
      </c>
      <c r="H2328" s="1">
        <v>469500.0</v>
      </c>
      <c r="I2328" s="1">
        <v>120.0</v>
      </c>
      <c r="J2328" s="1">
        <v>434000.0</v>
      </c>
      <c r="K2328" s="2">
        <v>41989.0</v>
      </c>
      <c r="L2328" s="1">
        <v>58.0</v>
      </c>
      <c r="M2328" s="2">
        <v>41989.0</v>
      </c>
      <c r="N2328" s="1" t="s">
        <v>187</v>
      </c>
      <c r="O2328" s="2">
        <v>42020.0</v>
      </c>
      <c r="P2328" s="1">
        <v>29349.0</v>
      </c>
      <c r="Q2328" s="1">
        <v>8969.0</v>
      </c>
      <c r="S2328" s="1">
        <v>5639.0</v>
      </c>
      <c r="T2328" s="1" t="s">
        <v>11689</v>
      </c>
      <c r="U2328" s="1" t="s">
        <v>189</v>
      </c>
      <c r="V2328" s="1" t="s">
        <v>190</v>
      </c>
      <c r="W2328" s="1">
        <v>60634.0</v>
      </c>
      <c r="Y2328" s="1" t="s">
        <v>21428</v>
      </c>
      <c r="Z2328" s="1">
        <v>1921.0</v>
      </c>
      <c r="AA2328" s="1" t="s">
        <v>192</v>
      </c>
      <c r="AB2328" s="1" t="s">
        <v>193</v>
      </c>
      <c r="AD2328" s="1" t="s">
        <v>194</v>
      </c>
      <c r="AE2328" s="1" t="s">
        <v>195</v>
      </c>
      <c r="AF2328" s="1" t="s">
        <v>196</v>
      </c>
      <c r="AH2328" s="1" t="s">
        <v>7998</v>
      </c>
      <c r="AI2328" s="1">
        <v>0.0947</v>
      </c>
      <c r="AK2328" s="1">
        <v>8.0</v>
      </c>
      <c r="AL2328" s="1">
        <v>4.0</v>
      </c>
      <c r="AM2328" s="1">
        <v>3.0</v>
      </c>
      <c r="AN2328" s="1">
        <v>1.0</v>
      </c>
      <c r="AO2328" s="1" t="s">
        <v>198</v>
      </c>
      <c r="AP2328" s="1">
        <v>1.0</v>
      </c>
      <c r="AQ2328" s="1" t="s">
        <v>472</v>
      </c>
      <c r="AR2328" s="1" t="s">
        <v>192</v>
      </c>
      <c r="AS2328" s="1" t="s">
        <v>199</v>
      </c>
      <c r="AT2328" s="1">
        <v>2.0</v>
      </c>
      <c r="AV2328" s="1" t="s">
        <v>200</v>
      </c>
      <c r="AW2328" s="1">
        <v>3424.93</v>
      </c>
      <c r="AX2328" s="1">
        <v>2012.0</v>
      </c>
      <c r="AY2328" s="1" t="s">
        <v>387</v>
      </c>
      <c r="AZ2328" s="1" t="s">
        <v>200</v>
      </c>
      <c r="BA2328" s="1" t="str">
        <f>"13202270060000"</f>
        <v>13202270060000</v>
      </c>
      <c r="BB2328" s="1" t="s">
        <v>200</v>
      </c>
      <c r="BC2328" s="1">
        <v>3600.0</v>
      </c>
      <c r="BD2328" s="1">
        <v>433000.0</v>
      </c>
      <c r="BE2328" s="2">
        <v>41932.0</v>
      </c>
      <c r="BF2328" s="2" t="s">
        <v>21429</v>
      </c>
      <c r="BG2328" s="1" t="s">
        <v>21430</v>
      </c>
      <c r="BH2328" s="1">
        <v>0.0</v>
      </c>
      <c r="BI2328" s="1" t="s">
        <v>21430</v>
      </c>
      <c r="BJ2328" s="1" t="s">
        <v>203</v>
      </c>
      <c r="BK2328" s="1" t="s">
        <v>204</v>
      </c>
      <c r="BL2328" s="1" t="str">
        <f>"3700"</f>
        <v>3700</v>
      </c>
      <c r="BM2328" s="1" t="str">
        <f t="shared" si="1514"/>
        <v>0</v>
      </c>
      <c r="BN2328" s="1">
        <v>5639.0</v>
      </c>
      <c r="BO2328" s="1">
        <v>0.0</v>
      </c>
      <c r="BQ2328" s="1">
        <v>299.0</v>
      </c>
      <c r="BR2328" s="1">
        <v>299.0</v>
      </c>
      <c r="BS2328" s="1">
        <v>299.0</v>
      </c>
      <c r="BU2328" s="1" t="s">
        <v>21431</v>
      </c>
      <c r="BV2328" s="1" t="s">
        <v>206</v>
      </c>
      <c r="BW2328" s="1" t="s">
        <v>207</v>
      </c>
      <c r="BX2328" s="1" t="s">
        <v>229</v>
      </c>
      <c r="BY2328" s="1" t="s">
        <v>330</v>
      </c>
      <c r="BZ2328" s="1" t="s">
        <v>209</v>
      </c>
      <c r="CA2328" s="1" t="s">
        <v>207</v>
      </c>
      <c r="CC2328" s="1" t="s">
        <v>1068</v>
      </c>
      <c r="CD2328" s="1" t="s">
        <v>206</v>
      </c>
      <c r="CE2328" s="1" t="s">
        <v>207</v>
      </c>
      <c r="CF2328" s="1" t="s">
        <v>229</v>
      </c>
      <c r="CG2328" s="1" t="s">
        <v>432</v>
      </c>
      <c r="CH2328" s="1" t="s">
        <v>209</v>
      </c>
      <c r="CI2328" s="1" t="s">
        <v>210</v>
      </c>
      <c r="CJ2328" s="1" t="s">
        <v>229</v>
      </c>
      <c r="CK2328" s="1" t="s">
        <v>432</v>
      </c>
      <c r="CL2328" s="1" t="s">
        <v>209</v>
      </c>
      <c r="CM2328" s="1" t="s">
        <v>210</v>
      </c>
      <c r="CO2328" s="1" t="s">
        <v>699</v>
      </c>
      <c r="CP2328" s="1" t="s">
        <v>267</v>
      </c>
      <c r="CQ2328" s="1" t="s">
        <v>210</v>
      </c>
      <c r="CR2328" s="1" t="s">
        <v>1549</v>
      </c>
      <c r="CS2328" s="1" t="s">
        <v>1068</v>
      </c>
      <c r="CT2328" s="1" t="s">
        <v>206</v>
      </c>
      <c r="CU2328" s="1" t="s">
        <v>207</v>
      </c>
      <c r="CV2328" s="1" t="s">
        <v>229</v>
      </c>
      <c r="CW2328" s="1" t="s">
        <v>21431</v>
      </c>
      <c r="CX2328" s="1" t="s">
        <v>206</v>
      </c>
      <c r="CY2328" s="1" t="s">
        <v>207</v>
      </c>
      <c r="DA2328" s="1" t="s">
        <v>200</v>
      </c>
      <c r="DC2328" s="1" t="s">
        <v>216</v>
      </c>
      <c r="DD2328" s="1" t="s">
        <v>4137</v>
      </c>
      <c r="DE2328" s="1" t="s">
        <v>1810</v>
      </c>
      <c r="DF2328" s="1" t="s">
        <v>1811</v>
      </c>
      <c r="DH2328" s="1" t="s">
        <v>365</v>
      </c>
      <c r="DI2328" s="1" t="s">
        <v>308</v>
      </c>
      <c r="DJ2328" s="1" t="s">
        <v>1048</v>
      </c>
      <c r="DK2328" s="1" t="s">
        <v>224</v>
      </c>
      <c r="DL2328" s="1" t="s">
        <v>224</v>
      </c>
      <c r="DM2328" s="1" t="s">
        <v>229</v>
      </c>
      <c r="DN2328" s="1" t="s">
        <v>21432</v>
      </c>
      <c r="DP2328" s="1" t="s">
        <v>10274</v>
      </c>
      <c r="DQ2328" s="1" t="s">
        <v>228</v>
      </c>
      <c r="DR2328" s="1" t="s">
        <v>229</v>
      </c>
      <c r="DS2328" s="1" t="s">
        <v>368</v>
      </c>
      <c r="DV2328" s="1" t="s">
        <v>232</v>
      </c>
      <c r="DW2328" s="1" t="s">
        <v>934</v>
      </c>
      <c r="DX2328" s="1" t="s">
        <v>234</v>
      </c>
      <c r="DY2328" s="1" t="s">
        <v>596</v>
      </c>
      <c r="DZ2328" s="1" t="s">
        <v>7194</v>
      </c>
      <c r="EA2328" s="1" t="s">
        <v>644</v>
      </c>
      <c r="EB2328" s="1" t="s">
        <v>372</v>
      </c>
      <c r="EC2328" s="1" t="s">
        <v>237</v>
      </c>
      <c r="ED2328" s="1" t="s">
        <v>555</v>
      </c>
      <c r="EM2328" s="1" t="s">
        <v>238</v>
      </c>
      <c r="EQ2328" s="1" t="s">
        <v>238</v>
      </c>
      <c r="EU2328" s="1" t="s">
        <v>238</v>
      </c>
      <c r="EY2328" s="1" t="s">
        <v>238</v>
      </c>
      <c r="FC2328" s="1" t="s">
        <v>238</v>
      </c>
      <c r="FF2328" s="1" t="s">
        <v>239</v>
      </c>
      <c r="FG2328" s="1" t="s">
        <v>192</v>
      </c>
      <c r="FH2328" s="1" t="s">
        <v>192</v>
      </c>
      <c r="FJ2328" s="1" t="s">
        <v>21433</v>
      </c>
      <c r="FK2328" s="1" t="s">
        <v>229</v>
      </c>
      <c r="FL2328" s="1" t="s">
        <v>21434</v>
      </c>
      <c r="FM2328" s="1">
        <v>85925.0</v>
      </c>
      <c r="FN2328" s="1" t="s">
        <v>21435</v>
      </c>
      <c r="FO2328" s="1" t="s">
        <v>21436</v>
      </c>
      <c r="FP2328" s="1">
        <v>187589.0</v>
      </c>
      <c r="FQ2328" s="1" t="s">
        <v>21437</v>
      </c>
      <c r="FU2328" s="1" t="s">
        <v>21438</v>
      </c>
      <c r="FV2328" s="1" t="s">
        <v>200</v>
      </c>
      <c r="FW2328" s="1" t="s">
        <v>654</v>
      </c>
      <c r="FX2328" s="1" t="s">
        <v>246</v>
      </c>
      <c r="FZ2328" s="1" t="s">
        <v>229</v>
      </c>
      <c r="GA2328" s="1" t="s">
        <v>291</v>
      </c>
      <c r="GB2328" s="2">
        <v>42020.0</v>
      </c>
      <c r="GC2328" s="1" t="s">
        <v>21439</v>
      </c>
    </row>
    <row r="2329">
      <c r="A2329" s="1">
        <v>175000.0</v>
      </c>
      <c r="B2329" s="1" t="s">
        <v>185</v>
      </c>
      <c r="C2329" s="1" t="str">
        <f>"08759559"</f>
        <v>08759559</v>
      </c>
      <c r="D2329" s="1" t="s">
        <v>186</v>
      </c>
      <c r="F2329" s="1" t="str">
        <f>"560"</f>
        <v>560</v>
      </c>
      <c r="G2329" s="2">
        <v>41934.0</v>
      </c>
      <c r="H2329" s="1">
        <v>199900.0</v>
      </c>
      <c r="I2329" s="1">
        <v>111.0</v>
      </c>
      <c r="J2329" s="1">
        <v>179900.0</v>
      </c>
      <c r="K2329" s="2">
        <v>42025.0</v>
      </c>
      <c r="L2329" s="1">
        <v>92.0</v>
      </c>
      <c r="M2329" s="2">
        <v>42025.0</v>
      </c>
      <c r="N2329" s="1" t="s">
        <v>187</v>
      </c>
      <c r="O2329" s="2">
        <v>42103.0</v>
      </c>
      <c r="P2329" s="1">
        <v>231259.0</v>
      </c>
      <c r="Q2329" s="1">
        <v>25088.0</v>
      </c>
      <c r="S2329" s="1">
        <v>601.0</v>
      </c>
      <c r="T2329" s="1" t="s">
        <v>21440</v>
      </c>
      <c r="U2329" s="1" t="s">
        <v>464</v>
      </c>
      <c r="V2329" s="1" t="s">
        <v>845</v>
      </c>
      <c r="W2329" s="1">
        <v>60560.0</v>
      </c>
      <c r="Y2329" s="1" t="s">
        <v>21441</v>
      </c>
      <c r="Z2329" s="1">
        <v>2005.0</v>
      </c>
      <c r="AA2329" s="1" t="s">
        <v>200</v>
      </c>
      <c r="AB2329" s="1" t="s">
        <v>193</v>
      </c>
      <c r="AC2329" s="1" t="s">
        <v>21442</v>
      </c>
      <c r="AD2329" s="1" t="s">
        <v>848</v>
      </c>
      <c r="AE2329" s="1" t="s">
        <v>849</v>
      </c>
      <c r="AF2329" s="1" t="s">
        <v>2153</v>
      </c>
      <c r="AG2329" s="1" t="s">
        <v>21443</v>
      </c>
      <c r="AH2329" s="1" t="s">
        <v>21444</v>
      </c>
      <c r="AI2329" s="1">
        <v>0.2492</v>
      </c>
      <c r="AK2329" s="1">
        <v>9.0</v>
      </c>
      <c r="AL2329" s="1">
        <v>4.0</v>
      </c>
      <c r="AM2329" s="1">
        <v>2.0</v>
      </c>
      <c r="AN2329" s="1">
        <v>1.0</v>
      </c>
      <c r="AO2329" s="1" t="s">
        <v>198</v>
      </c>
      <c r="AP2329" s="1">
        <v>1.0</v>
      </c>
      <c r="AQ2329" s="1" t="s">
        <v>198</v>
      </c>
      <c r="AR2329" s="1" t="s">
        <v>200</v>
      </c>
      <c r="AS2329" s="1" t="s">
        <v>199</v>
      </c>
      <c r="AT2329" s="1">
        <v>2.0</v>
      </c>
      <c r="AV2329" s="1" t="s">
        <v>200</v>
      </c>
      <c r="AW2329" s="1">
        <v>9218.04</v>
      </c>
      <c r="AX2329" s="1">
        <v>2013.0</v>
      </c>
      <c r="AY2329" s="1" t="s">
        <v>229</v>
      </c>
      <c r="AZ2329" s="1" t="s">
        <v>200</v>
      </c>
      <c r="BA2329" s="1" t="str">
        <f>"0509253001"</f>
        <v>0509253001</v>
      </c>
      <c r="BC2329" s="1">
        <v>2454.0</v>
      </c>
      <c r="BD2329" s="1">
        <v>175000.0</v>
      </c>
      <c r="BE2329" s="2">
        <v>41934.0</v>
      </c>
      <c r="BF2329" s="2" t="s">
        <v>21445</v>
      </c>
      <c r="BG2329" s="1" t="s">
        <v>5552</v>
      </c>
      <c r="BH2329" s="1">
        <v>375.0</v>
      </c>
      <c r="BI2329" s="1" t="s">
        <v>10618</v>
      </c>
      <c r="BJ2329" s="1" t="s">
        <v>3053</v>
      </c>
      <c r="BK2329" s="1" t="s">
        <v>580</v>
      </c>
      <c r="BL2329" s="1" t="str">
        <f t="shared" ref="BL2329:BM2329" si="1515">"0"</f>
        <v>0</v>
      </c>
      <c r="BM2329" s="1" t="str">
        <f t="shared" si="1515"/>
        <v>0</v>
      </c>
      <c r="BN2329" s="1">
        <v>42.0</v>
      </c>
      <c r="BO2329" s="1">
        <v>17.0</v>
      </c>
      <c r="BQ2329" s="1">
        <v>115.0</v>
      </c>
      <c r="BR2329" s="1">
        <v>115.0</v>
      </c>
      <c r="BS2329" s="1">
        <v>115.0</v>
      </c>
      <c r="BU2329" s="1" t="s">
        <v>300</v>
      </c>
      <c r="BV2329" s="1" t="s">
        <v>206</v>
      </c>
      <c r="BW2329" s="1" t="s">
        <v>210</v>
      </c>
      <c r="BX2329" s="1" t="s">
        <v>431</v>
      </c>
      <c r="BY2329" s="1" t="s">
        <v>616</v>
      </c>
      <c r="BZ2329" s="1" t="s">
        <v>209</v>
      </c>
      <c r="CA2329" s="1" t="s">
        <v>210</v>
      </c>
      <c r="CB2329" s="1" t="s">
        <v>431</v>
      </c>
      <c r="CC2329" s="1" t="s">
        <v>302</v>
      </c>
      <c r="CD2329" s="1" t="s">
        <v>206</v>
      </c>
      <c r="CE2329" s="1" t="s">
        <v>210</v>
      </c>
      <c r="CF2329" s="1" t="s">
        <v>431</v>
      </c>
      <c r="CG2329" s="1" t="s">
        <v>269</v>
      </c>
      <c r="CH2329" s="1" t="s">
        <v>209</v>
      </c>
      <c r="CI2329" s="1" t="s">
        <v>210</v>
      </c>
      <c r="CJ2329" s="1" t="s">
        <v>431</v>
      </c>
      <c r="CK2329" s="1" t="s">
        <v>269</v>
      </c>
      <c r="CL2329" s="1" t="s">
        <v>209</v>
      </c>
      <c r="CM2329" s="1" t="s">
        <v>210</v>
      </c>
      <c r="CN2329" s="1" t="s">
        <v>431</v>
      </c>
      <c r="CO2329" s="1" t="s">
        <v>302</v>
      </c>
      <c r="CP2329" s="1" t="s">
        <v>209</v>
      </c>
      <c r="CQ2329" s="1" t="s">
        <v>210</v>
      </c>
      <c r="CR2329" s="1" t="s">
        <v>431</v>
      </c>
      <c r="CS2329" s="1" t="s">
        <v>1584</v>
      </c>
      <c r="CT2329" s="1" t="s">
        <v>206</v>
      </c>
      <c r="CU2329" s="1" t="s">
        <v>207</v>
      </c>
      <c r="CV2329" s="1" t="s">
        <v>431</v>
      </c>
      <c r="CW2329" s="1" t="s">
        <v>213</v>
      </c>
      <c r="CX2329" s="1" t="s">
        <v>206</v>
      </c>
      <c r="CY2329" s="1" t="s">
        <v>210</v>
      </c>
      <c r="CZ2329" s="1" t="s">
        <v>431</v>
      </c>
      <c r="DA2329" s="1" t="s">
        <v>200</v>
      </c>
      <c r="DC2329" s="1" t="s">
        <v>481</v>
      </c>
      <c r="DD2329" s="1" t="s">
        <v>396</v>
      </c>
      <c r="DE2329" s="1" t="s">
        <v>273</v>
      </c>
      <c r="DF2329" s="1" t="s">
        <v>219</v>
      </c>
      <c r="DG2329" s="1" t="s">
        <v>482</v>
      </c>
      <c r="DH2329" s="1" t="s">
        <v>220</v>
      </c>
      <c r="DI2329" s="1" t="s">
        <v>275</v>
      </c>
      <c r="DJ2329" s="1" t="s">
        <v>222</v>
      </c>
      <c r="DL2329" s="1" t="s">
        <v>223</v>
      </c>
      <c r="DM2329" s="1" t="s">
        <v>338</v>
      </c>
      <c r="DN2329" s="1" t="s">
        <v>367</v>
      </c>
      <c r="DO2329" s="1" t="s">
        <v>1004</v>
      </c>
      <c r="DP2329" s="1" t="s">
        <v>340</v>
      </c>
      <c r="DQ2329" s="1" t="s">
        <v>441</v>
      </c>
      <c r="DR2329" s="1" t="s">
        <v>1487</v>
      </c>
      <c r="DS2329" s="1" t="s">
        <v>591</v>
      </c>
      <c r="DU2329" s="1" t="s">
        <v>9153</v>
      </c>
      <c r="DV2329" s="1" t="s">
        <v>21389</v>
      </c>
      <c r="DW2329" s="1" t="s">
        <v>279</v>
      </c>
      <c r="DX2329" s="1" t="s">
        <v>234</v>
      </c>
      <c r="DY2329" s="1" t="s">
        <v>1051</v>
      </c>
      <c r="DZ2329" s="1" t="s">
        <v>282</v>
      </c>
      <c r="EB2329" s="1" t="s">
        <v>345</v>
      </c>
      <c r="EC2329" s="1" t="s">
        <v>237</v>
      </c>
      <c r="ED2329" s="1" t="s">
        <v>407</v>
      </c>
      <c r="EG2329" s="1" t="s">
        <v>556</v>
      </c>
      <c r="EH2329" s="1" t="s">
        <v>2313</v>
      </c>
      <c r="EL2329" s="1" t="s">
        <v>3805</v>
      </c>
      <c r="EM2329" s="1" t="s">
        <v>206</v>
      </c>
      <c r="EN2329" s="1" t="s">
        <v>207</v>
      </c>
      <c r="EO2329" s="1" t="s">
        <v>431</v>
      </c>
      <c r="EP2329" s="1" t="s">
        <v>1852</v>
      </c>
      <c r="EQ2329" s="1" t="s">
        <v>206</v>
      </c>
      <c r="ER2329" s="1" t="s">
        <v>617</v>
      </c>
      <c r="EU2329" s="1" t="s">
        <v>238</v>
      </c>
      <c r="EY2329" s="1" t="s">
        <v>238</v>
      </c>
      <c r="FC2329" s="1" t="s">
        <v>238</v>
      </c>
      <c r="FF2329" s="1" t="s">
        <v>239</v>
      </c>
      <c r="FG2329" s="1" t="s">
        <v>192</v>
      </c>
      <c r="FH2329" s="1" t="s">
        <v>192</v>
      </c>
      <c r="FJ2329" s="1" t="s">
        <v>14653</v>
      </c>
      <c r="FK2329" s="1" t="s">
        <v>1586</v>
      </c>
      <c r="FL2329" s="1" t="s">
        <v>2580</v>
      </c>
      <c r="FM2329" s="1">
        <v>23265.0</v>
      </c>
      <c r="FN2329" s="1" t="s">
        <v>2581</v>
      </c>
      <c r="FO2329" s="1" t="s">
        <v>16869</v>
      </c>
      <c r="FP2329" s="1">
        <v>218055.0</v>
      </c>
      <c r="FQ2329" s="1" t="s">
        <v>16870</v>
      </c>
      <c r="FS2329" s="1" t="s">
        <v>16871</v>
      </c>
      <c r="FU2329" s="1" t="s">
        <v>16872</v>
      </c>
      <c r="FV2329" s="1" t="s">
        <v>200</v>
      </c>
      <c r="FW2329" s="1" t="s">
        <v>290</v>
      </c>
      <c r="FZ2329" s="1" t="s">
        <v>229</v>
      </c>
      <c r="GA2329" s="1" t="s">
        <v>291</v>
      </c>
      <c r="GB2329" s="2">
        <v>42103.0</v>
      </c>
      <c r="GC2329" s="2" t="s">
        <v>21446</v>
      </c>
    </row>
    <row r="2330">
      <c r="A2330" s="1">
        <v>345000.0</v>
      </c>
      <c r="B2330" s="1" t="s">
        <v>185</v>
      </c>
      <c r="C2330" s="1" t="str">
        <f>"08752774"</f>
        <v>08752774</v>
      </c>
      <c r="D2330" s="1" t="s">
        <v>186</v>
      </c>
      <c r="F2330" s="1" t="str">
        <f>"8016"</f>
        <v>8016</v>
      </c>
      <c r="G2330" s="2">
        <v>41926.0</v>
      </c>
      <c r="H2330" s="1">
        <v>349900.0</v>
      </c>
      <c r="I2330" s="1">
        <v>3.0</v>
      </c>
      <c r="J2330" s="1">
        <v>349900.0</v>
      </c>
      <c r="K2330" s="2">
        <v>41928.0</v>
      </c>
      <c r="L2330" s="1">
        <v>3.0</v>
      </c>
      <c r="M2330" s="2">
        <v>41928.0</v>
      </c>
      <c r="N2330" s="1" t="s">
        <v>187</v>
      </c>
      <c r="O2330" s="2">
        <v>41974.0</v>
      </c>
      <c r="P2330" s="1">
        <v>188857.0</v>
      </c>
      <c r="Q2330" s="1">
        <v>10646.0</v>
      </c>
      <c r="S2330" s="1">
        <v>4115.0</v>
      </c>
      <c r="T2330" s="1" t="s">
        <v>8150</v>
      </c>
      <c r="U2330" s="1" t="s">
        <v>320</v>
      </c>
      <c r="V2330" s="1" t="s">
        <v>190</v>
      </c>
      <c r="W2330" s="1">
        <v>60618.0</v>
      </c>
      <c r="Y2330" s="1" t="s">
        <v>21447</v>
      </c>
      <c r="Z2330" s="1" t="s">
        <v>296</v>
      </c>
      <c r="AA2330" s="1" t="s">
        <v>192</v>
      </c>
      <c r="AB2330" s="1" t="s">
        <v>193</v>
      </c>
      <c r="AD2330" s="1" t="s">
        <v>194</v>
      </c>
      <c r="AE2330" s="1" t="s">
        <v>195</v>
      </c>
      <c r="AF2330" s="1" t="s">
        <v>2645</v>
      </c>
      <c r="AH2330" s="1" t="s">
        <v>21448</v>
      </c>
      <c r="AK2330" s="1">
        <v>9.0</v>
      </c>
      <c r="AL2330" s="1">
        <v>4.0</v>
      </c>
      <c r="AM2330" s="1">
        <v>2.0</v>
      </c>
      <c r="AN2330" s="1">
        <v>1.0</v>
      </c>
      <c r="AO2330" s="1" t="s">
        <v>229</v>
      </c>
      <c r="AQ2330" s="1" t="s">
        <v>198</v>
      </c>
      <c r="AR2330" s="1" t="s">
        <v>192</v>
      </c>
      <c r="AS2330" s="1" t="s">
        <v>199</v>
      </c>
      <c r="AT2330" s="1">
        <v>2.0</v>
      </c>
      <c r="AV2330" s="1" t="s">
        <v>200</v>
      </c>
      <c r="AW2330" s="1">
        <v>779.74</v>
      </c>
      <c r="AX2330" s="1">
        <v>2013.0</v>
      </c>
      <c r="AY2330" s="1" t="s">
        <v>1917</v>
      </c>
      <c r="AZ2330" s="1" t="s">
        <v>200</v>
      </c>
      <c r="BA2330" s="1" t="str">
        <f>"13133190120000"</f>
        <v>13133190120000</v>
      </c>
      <c r="BC2330" s="1">
        <v>0.0</v>
      </c>
      <c r="BD2330" s="1">
        <v>345000.0</v>
      </c>
      <c r="BE2330" s="2">
        <v>41926.0</v>
      </c>
      <c r="BF2330" s="2" t="s">
        <v>21449</v>
      </c>
      <c r="BH2330" s="1">
        <v>0.0</v>
      </c>
      <c r="BK2330" s="1" t="s">
        <v>204</v>
      </c>
      <c r="BL2330" s="1" t="str">
        <f>"4115"</f>
        <v>4115</v>
      </c>
      <c r="BM2330" s="1" t="str">
        <f>"0"</f>
        <v>0</v>
      </c>
      <c r="BN2330" s="1">
        <v>3000.0</v>
      </c>
      <c r="BO2330" s="1">
        <v>0.0</v>
      </c>
      <c r="BQ2330" s="1">
        <v>299.0</v>
      </c>
      <c r="BR2330" s="1">
        <v>299.0</v>
      </c>
      <c r="BS2330" s="1">
        <v>299.0</v>
      </c>
      <c r="BU2330" s="1" t="s">
        <v>213</v>
      </c>
      <c r="BV2330" s="1" t="s">
        <v>206</v>
      </c>
      <c r="BW2330" s="1" t="s">
        <v>207</v>
      </c>
      <c r="BY2330" s="1" t="s">
        <v>334</v>
      </c>
      <c r="BZ2330" s="1" t="s">
        <v>209</v>
      </c>
      <c r="CC2330" s="1" t="s">
        <v>361</v>
      </c>
      <c r="CD2330" s="1" t="s">
        <v>206</v>
      </c>
      <c r="CE2330" s="1" t="s">
        <v>207</v>
      </c>
      <c r="CG2330" s="1" t="s">
        <v>497</v>
      </c>
      <c r="CH2330" s="1" t="s">
        <v>209</v>
      </c>
      <c r="CK2330" s="1" t="s">
        <v>269</v>
      </c>
      <c r="CL2330" s="1" t="s">
        <v>206</v>
      </c>
      <c r="CO2330" s="1" t="s">
        <v>269</v>
      </c>
      <c r="CP2330" s="1" t="s">
        <v>206</v>
      </c>
      <c r="CS2330" s="1" t="s">
        <v>1000</v>
      </c>
      <c r="CT2330" s="1" t="s">
        <v>206</v>
      </c>
      <c r="CU2330" s="1" t="s">
        <v>617</v>
      </c>
      <c r="CX2330" s="1" t="s">
        <v>204</v>
      </c>
      <c r="DA2330" s="1" t="s">
        <v>200</v>
      </c>
      <c r="DC2330" s="1" t="s">
        <v>545</v>
      </c>
      <c r="DD2330" s="1" t="s">
        <v>2094</v>
      </c>
      <c r="DE2330" s="1" t="s">
        <v>273</v>
      </c>
      <c r="DF2330" s="1" t="s">
        <v>219</v>
      </c>
      <c r="DH2330" s="1" t="s">
        <v>365</v>
      </c>
      <c r="DI2330" s="1" t="s">
        <v>1223</v>
      </c>
      <c r="DJ2330" s="1" t="s">
        <v>222</v>
      </c>
      <c r="DL2330" s="1" t="s">
        <v>223</v>
      </c>
      <c r="DM2330" s="1" t="s">
        <v>229</v>
      </c>
      <c r="DP2330" s="1" t="s">
        <v>340</v>
      </c>
      <c r="DQ2330" s="1" t="s">
        <v>794</v>
      </c>
      <c r="DR2330" s="1" t="s">
        <v>229</v>
      </c>
      <c r="DV2330" s="1" t="s">
        <v>21450</v>
      </c>
      <c r="DW2330" s="1" t="s">
        <v>370</v>
      </c>
      <c r="DX2330" s="1" t="s">
        <v>234</v>
      </c>
      <c r="DZ2330" s="1" t="s">
        <v>236</v>
      </c>
      <c r="EA2330" s="1" t="s">
        <v>644</v>
      </c>
      <c r="EC2330" s="1" t="s">
        <v>237</v>
      </c>
      <c r="EG2330" s="1" t="s">
        <v>1961</v>
      </c>
      <c r="EH2330" s="1" t="s">
        <v>341</v>
      </c>
      <c r="EL2330" s="1" t="s">
        <v>269</v>
      </c>
      <c r="EM2330" s="1" t="s">
        <v>206</v>
      </c>
      <c r="EN2330" s="1" t="s">
        <v>207</v>
      </c>
      <c r="EP2330" s="1" t="s">
        <v>264</v>
      </c>
      <c r="EQ2330" s="1" t="s">
        <v>209</v>
      </c>
      <c r="EU2330" s="1" t="s">
        <v>238</v>
      </c>
      <c r="EY2330" s="1" t="s">
        <v>238</v>
      </c>
      <c r="FC2330" s="1" t="s">
        <v>238</v>
      </c>
      <c r="FF2330" s="1" t="s">
        <v>239</v>
      </c>
      <c r="FG2330" s="1" t="s">
        <v>192</v>
      </c>
      <c r="FH2330" s="1" t="s">
        <v>192</v>
      </c>
      <c r="FJ2330" s="1" t="s">
        <v>561</v>
      </c>
      <c r="FK2330" s="1" t="s">
        <v>229</v>
      </c>
      <c r="FL2330" s="1" t="s">
        <v>6354</v>
      </c>
      <c r="FM2330" s="1">
        <v>15191.0</v>
      </c>
      <c r="FN2330" s="1" t="s">
        <v>6355</v>
      </c>
      <c r="FO2330" s="1" t="s">
        <v>21451</v>
      </c>
      <c r="FP2330" s="1">
        <v>111060.0</v>
      </c>
      <c r="FQ2330" s="1" t="s">
        <v>21452</v>
      </c>
      <c r="FU2330" s="1" t="s">
        <v>21453</v>
      </c>
      <c r="FV2330" s="1" t="s">
        <v>200</v>
      </c>
      <c r="FW2330" s="1" t="s">
        <v>567</v>
      </c>
      <c r="FX2330" s="1" t="s">
        <v>238</v>
      </c>
      <c r="FZ2330" s="1" t="s">
        <v>229</v>
      </c>
      <c r="GA2330" s="1" t="s">
        <v>291</v>
      </c>
      <c r="GB2330" s="2">
        <v>41974.0</v>
      </c>
      <c r="GC2330" s="1" t="s">
        <v>21454</v>
      </c>
    </row>
    <row r="2331">
      <c r="A2331" s="1">
        <v>225000.0</v>
      </c>
      <c r="B2331" s="1" t="s">
        <v>185</v>
      </c>
      <c r="C2331" s="1" t="str">
        <f>"08757918"</f>
        <v>08757918</v>
      </c>
      <c r="D2331" s="1" t="s">
        <v>186</v>
      </c>
      <c r="F2331" s="1" t="str">
        <f>"543"</f>
        <v>543</v>
      </c>
      <c r="G2331" s="2">
        <v>41933.0</v>
      </c>
      <c r="H2331" s="1">
        <v>225000.0</v>
      </c>
      <c r="I2331" s="1">
        <v>10.0</v>
      </c>
      <c r="J2331" s="1">
        <v>225000.0</v>
      </c>
      <c r="K2331" s="2">
        <v>41942.0</v>
      </c>
      <c r="L2331" s="1">
        <v>10.0</v>
      </c>
      <c r="M2331" s="2">
        <v>41942.0</v>
      </c>
      <c r="N2331" s="1" t="s">
        <v>356</v>
      </c>
      <c r="O2331" s="2">
        <v>41984.0</v>
      </c>
      <c r="P2331" s="1">
        <v>245566.0</v>
      </c>
      <c r="Q2331" s="1">
        <v>25921.0</v>
      </c>
      <c r="S2331" s="1">
        <v>360.0</v>
      </c>
      <c r="T2331" s="1" t="s">
        <v>21455</v>
      </c>
      <c r="U2331" s="1" t="s">
        <v>569</v>
      </c>
      <c r="V2331" s="1" t="s">
        <v>1527</v>
      </c>
      <c r="W2331" s="1">
        <v>60543.0</v>
      </c>
      <c r="Y2331" s="1" t="s">
        <v>21456</v>
      </c>
      <c r="Z2331" s="1">
        <v>1998.0</v>
      </c>
      <c r="AA2331" s="1" t="s">
        <v>200</v>
      </c>
      <c r="AB2331" s="1" t="s">
        <v>467</v>
      </c>
      <c r="AC2331" s="1" t="s">
        <v>13110</v>
      </c>
      <c r="AD2331" s="1" t="s">
        <v>1529</v>
      </c>
      <c r="AE2331" s="1" t="s">
        <v>849</v>
      </c>
      <c r="AF2331" s="1" t="s">
        <v>1529</v>
      </c>
      <c r="AG2331" s="1" t="s">
        <v>7718</v>
      </c>
      <c r="AH2331" s="1" t="s">
        <v>21457</v>
      </c>
      <c r="AK2331" s="1">
        <v>10.0</v>
      </c>
      <c r="AL2331" s="1">
        <v>4.0</v>
      </c>
      <c r="AM2331" s="1">
        <v>2.0</v>
      </c>
      <c r="AN2331" s="1">
        <v>1.0</v>
      </c>
      <c r="AO2331" s="1" t="s">
        <v>198</v>
      </c>
      <c r="AQ2331" s="1" t="s">
        <v>198</v>
      </c>
      <c r="AR2331" s="1" t="s">
        <v>200</v>
      </c>
      <c r="AS2331" s="1" t="s">
        <v>199</v>
      </c>
      <c r="AT2331" s="1">
        <v>2.0</v>
      </c>
      <c r="AV2331" s="1" t="s">
        <v>200</v>
      </c>
      <c r="AW2331" s="1">
        <v>7710.0</v>
      </c>
      <c r="AX2331" s="1">
        <v>2013.0</v>
      </c>
      <c r="AY2331" s="1" t="s">
        <v>387</v>
      </c>
      <c r="AZ2331" s="1" t="s">
        <v>200</v>
      </c>
      <c r="BA2331" s="1" t="str">
        <f>"0320308001"</f>
        <v>0320308001</v>
      </c>
      <c r="BB2331" s="1" t="s">
        <v>200</v>
      </c>
      <c r="BC2331" s="1">
        <v>2501.0</v>
      </c>
      <c r="BD2331" s="1">
        <v>225000.0</v>
      </c>
      <c r="BE2331" s="2">
        <v>41933.0</v>
      </c>
      <c r="BF2331" s="2" t="s">
        <v>21458</v>
      </c>
      <c r="BG2331" s="1" t="s">
        <v>1532</v>
      </c>
      <c r="BH2331" s="1">
        <v>35.0</v>
      </c>
      <c r="BI2331" s="1" t="s">
        <v>1533</v>
      </c>
      <c r="BJ2331" s="1" t="s">
        <v>1349</v>
      </c>
      <c r="BK2331" s="1" t="s">
        <v>580</v>
      </c>
      <c r="BL2331" s="1" t="str">
        <f t="shared" ref="BL2331:BM2331" si="1516">""</f>
        <v/>
      </c>
      <c r="BM2331" s="1" t="str">
        <f t="shared" si="1516"/>
        <v/>
      </c>
      <c r="BQ2331" s="1">
        <v>308.0</v>
      </c>
      <c r="BR2331" s="1">
        <v>308.0</v>
      </c>
      <c r="BS2331" s="1">
        <v>308.0</v>
      </c>
      <c r="BU2331" s="1" t="s">
        <v>211</v>
      </c>
      <c r="BV2331" s="1" t="s">
        <v>206</v>
      </c>
      <c r="BW2331" s="1" t="s">
        <v>210</v>
      </c>
      <c r="BX2331" s="1" t="s">
        <v>431</v>
      </c>
      <c r="BY2331" s="1" t="s">
        <v>205</v>
      </c>
      <c r="BZ2331" s="1" t="s">
        <v>209</v>
      </c>
      <c r="CA2331" s="1" t="s">
        <v>210</v>
      </c>
      <c r="CB2331" s="1" t="s">
        <v>431</v>
      </c>
      <c r="CC2331" s="1" t="s">
        <v>215</v>
      </c>
      <c r="CD2331" s="1" t="s">
        <v>206</v>
      </c>
      <c r="CE2331" s="1" t="s">
        <v>210</v>
      </c>
      <c r="CF2331" s="1" t="s">
        <v>431</v>
      </c>
      <c r="CG2331" s="1" t="s">
        <v>212</v>
      </c>
      <c r="CH2331" s="1" t="s">
        <v>209</v>
      </c>
      <c r="CI2331" s="1" t="s">
        <v>210</v>
      </c>
      <c r="CJ2331" s="1" t="s">
        <v>431</v>
      </c>
      <c r="CK2331" s="1" t="s">
        <v>212</v>
      </c>
      <c r="CL2331" s="1" t="s">
        <v>209</v>
      </c>
      <c r="CM2331" s="1" t="s">
        <v>210</v>
      </c>
      <c r="CN2331" s="1" t="s">
        <v>431</v>
      </c>
      <c r="CO2331" s="1" t="s">
        <v>814</v>
      </c>
      <c r="CP2331" s="1" t="s">
        <v>206</v>
      </c>
      <c r="CQ2331" s="1" t="s">
        <v>210</v>
      </c>
      <c r="CR2331" s="1" t="s">
        <v>431</v>
      </c>
      <c r="CS2331" s="1" t="s">
        <v>215</v>
      </c>
      <c r="CT2331" s="1" t="s">
        <v>206</v>
      </c>
      <c r="CU2331" s="1" t="s">
        <v>301</v>
      </c>
      <c r="CV2331" s="1" t="s">
        <v>431</v>
      </c>
      <c r="CW2331" s="1" t="s">
        <v>1892</v>
      </c>
      <c r="CX2331" s="1" t="s">
        <v>206</v>
      </c>
      <c r="CY2331" s="1" t="s">
        <v>210</v>
      </c>
      <c r="CZ2331" s="1" t="s">
        <v>261</v>
      </c>
      <c r="DA2331" s="1" t="s">
        <v>200</v>
      </c>
      <c r="DC2331" s="1" t="s">
        <v>678</v>
      </c>
      <c r="DD2331" s="1" t="s">
        <v>336</v>
      </c>
      <c r="DE2331" s="1" t="s">
        <v>273</v>
      </c>
      <c r="DF2331" s="1" t="s">
        <v>219</v>
      </c>
      <c r="DG2331" s="1" t="s">
        <v>482</v>
      </c>
      <c r="DH2331" s="1" t="s">
        <v>220</v>
      </c>
      <c r="DI2331" s="1" t="s">
        <v>221</v>
      </c>
      <c r="DJ2331" s="1" t="s">
        <v>222</v>
      </c>
      <c r="DL2331" s="1" t="s">
        <v>223</v>
      </c>
      <c r="DM2331" s="1" t="s">
        <v>338</v>
      </c>
      <c r="DN2331" s="1" t="s">
        <v>399</v>
      </c>
      <c r="DO2331" s="1" t="s">
        <v>590</v>
      </c>
      <c r="DP2331" s="1" t="s">
        <v>340</v>
      </c>
      <c r="DQ2331" s="1" t="s">
        <v>228</v>
      </c>
      <c r="DR2331" s="1" t="s">
        <v>588</v>
      </c>
      <c r="DS2331" s="1" t="s">
        <v>368</v>
      </c>
      <c r="DU2331" s="1" t="s">
        <v>7655</v>
      </c>
      <c r="DV2331" s="1" t="s">
        <v>8941</v>
      </c>
      <c r="DW2331" s="1" t="s">
        <v>444</v>
      </c>
      <c r="DX2331" s="1" t="s">
        <v>234</v>
      </c>
      <c r="DY2331" s="1" t="s">
        <v>21459</v>
      </c>
      <c r="DZ2331" s="1" t="s">
        <v>282</v>
      </c>
      <c r="EC2331" s="1" t="s">
        <v>237</v>
      </c>
      <c r="ED2331" s="1" t="s">
        <v>407</v>
      </c>
      <c r="EG2331" s="1" t="s">
        <v>556</v>
      </c>
      <c r="EH2331" s="1" t="s">
        <v>341</v>
      </c>
      <c r="EL2331" s="1" t="s">
        <v>1875</v>
      </c>
      <c r="EM2331" s="1" t="s">
        <v>206</v>
      </c>
      <c r="EN2331" s="1" t="s">
        <v>301</v>
      </c>
      <c r="EO2331" s="1" t="s">
        <v>431</v>
      </c>
      <c r="EP2331" s="1" t="s">
        <v>1117</v>
      </c>
      <c r="EQ2331" s="1" t="s">
        <v>209</v>
      </c>
      <c r="ER2331" s="1" t="s">
        <v>210</v>
      </c>
      <c r="ES2331" s="1" t="s">
        <v>431</v>
      </c>
      <c r="EU2331" s="1" t="s">
        <v>238</v>
      </c>
      <c r="EY2331" s="1" t="s">
        <v>238</v>
      </c>
      <c r="FC2331" s="1" t="s">
        <v>238</v>
      </c>
      <c r="FF2331" s="1" t="s">
        <v>2447</v>
      </c>
      <c r="FG2331" s="1" t="s">
        <v>192</v>
      </c>
      <c r="FH2331" s="1" t="s">
        <v>192</v>
      </c>
      <c r="FJ2331" s="1" t="s">
        <v>498</v>
      </c>
      <c r="FK2331" s="1" t="s">
        <v>229</v>
      </c>
      <c r="FL2331" s="1" t="s">
        <v>4627</v>
      </c>
      <c r="FM2331" s="1">
        <v>23030.0</v>
      </c>
      <c r="FN2331" s="1" t="s">
        <v>4628</v>
      </c>
      <c r="FO2331" s="1" t="s">
        <v>12961</v>
      </c>
      <c r="FP2331" s="1">
        <v>232924.0</v>
      </c>
      <c r="FQ2331" s="1" t="s">
        <v>12962</v>
      </c>
      <c r="FU2331" s="1" t="s">
        <v>21460</v>
      </c>
      <c r="FV2331" s="1" t="s">
        <v>200</v>
      </c>
      <c r="FW2331" s="1" t="s">
        <v>290</v>
      </c>
      <c r="FZ2331" s="1" t="s">
        <v>632</v>
      </c>
      <c r="GA2331" s="1" t="s">
        <v>291</v>
      </c>
      <c r="GB2331" s="2">
        <v>41984.0</v>
      </c>
    </row>
    <row r="2332">
      <c r="A2332" s="1">
        <v>380000.0</v>
      </c>
      <c r="B2332" s="1" t="s">
        <v>185</v>
      </c>
      <c r="C2332" s="1" t="str">
        <f>"08753826"</f>
        <v>08753826</v>
      </c>
      <c r="D2332" s="1" t="s">
        <v>186</v>
      </c>
      <c r="F2332" s="1" t="str">
        <f>"123"</f>
        <v>123</v>
      </c>
      <c r="G2332" s="2">
        <v>41927.0</v>
      </c>
      <c r="H2332" s="1">
        <v>249500.0</v>
      </c>
      <c r="I2332" s="1">
        <v>35.0</v>
      </c>
      <c r="J2332" s="1">
        <v>249500.0</v>
      </c>
      <c r="K2332" s="2">
        <v>41961.0</v>
      </c>
      <c r="L2332" s="1">
        <v>35.0</v>
      </c>
      <c r="M2332" s="2">
        <v>41961.0</v>
      </c>
      <c r="N2332" s="1" t="s">
        <v>187</v>
      </c>
      <c r="O2332" s="2">
        <v>41996.0</v>
      </c>
      <c r="P2332" s="1">
        <v>1004.0</v>
      </c>
      <c r="Q2332" s="1">
        <v>256.0</v>
      </c>
      <c r="S2332" s="1">
        <v>1015.0</v>
      </c>
      <c r="T2332" s="1" t="s">
        <v>2540</v>
      </c>
      <c r="U2332" s="1" t="s">
        <v>189</v>
      </c>
      <c r="V2332" s="1" t="s">
        <v>465</v>
      </c>
      <c r="W2332" s="1">
        <v>60120.0</v>
      </c>
      <c r="Y2332" s="1" t="s">
        <v>21461</v>
      </c>
      <c r="Z2332" s="1">
        <v>1925.0</v>
      </c>
      <c r="AA2332" s="1" t="s">
        <v>192</v>
      </c>
      <c r="AB2332" s="1" t="s">
        <v>193</v>
      </c>
      <c r="AD2332" s="1" t="s">
        <v>469</v>
      </c>
      <c r="AE2332" s="1" t="s">
        <v>325</v>
      </c>
      <c r="AF2332" s="1" t="s">
        <v>469</v>
      </c>
      <c r="AH2332" s="1">
        <v>17652.0</v>
      </c>
      <c r="AI2332" s="1">
        <v>0.41</v>
      </c>
      <c r="AK2332" s="1">
        <v>9.0</v>
      </c>
      <c r="AL2332" s="1">
        <v>4.0</v>
      </c>
      <c r="AM2332" s="1">
        <v>3.0</v>
      </c>
      <c r="AN2332" s="1">
        <v>1.0</v>
      </c>
      <c r="AO2332" s="1" t="s">
        <v>1261</v>
      </c>
      <c r="AP2332" s="1">
        <v>1.0</v>
      </c>
      <c r="AQ2332" s="1" t="s">
        <v>198</v>
      </c>
      <c r="AR2332" s="1" t="s">
        <v>192</v>
      </c>
      <c r="AS2332" s="1" t="s">
        <v>199</v>
      </c>
      <c r="AT2332" s="1">
        <v>2.0</v>
      </c>
      <c r="AV2332" s="1" t="s">
        <v>200</v>
      </c>
      <c r="AW2332" s="1">
        <v>9965.38</v>
      </c>
      <c r="AX2332" s="1">
        <v>2012.0</v>
      </c>
      <c r="AZ2332" s="1" t="s">
        <v>545</v>
      </c>
      <c r="BA2332" s="1" t="str">
        <f>"0611231003"</f>
        <v>0611231003</v>
      </c>
      <c r="BB2332" s="1" t="s">
        <v>200</v>
      </c>
      <c r="BC2332" s="1">
        <v>3545.0</v>
      </c>
      <c r="BD2332" s="1">
        <v>380000.0</v>
      </c>
      <c r="BE2332" s="2">
        <v>41927.0</v>
      </c>
      <c r="BF2332" s="2" t="s">
        <v>21462</v>
      </c>
      <c r="BH2332" s="1">
        <v>0.0</v>
      </c>
      <c r="BK2332" s="1" t="s">
        <v>204</v>
      </c>
      <c r="BL2332" s="1" t="str">
        <f t="shared" ref="BL2332:BM2332" si="1517">""</f>
        <v/>
      </c>
      <c r="BM2332" s="1" t="str">
        <f t="shared" si="1517"/>
        <v/>
      </c>
      <c r="BQ2332" s="1">
        <v>46.0</v>
      </c>
      <c r="BR2332" s="1">
        <v>46.0</v>
      </c>
      <c r="BS2332" s="1">
        <v>46.0</v>
      </c>
      <c r="BV2332" s="1" t="s">
        <v>204</v>
      </c>
      <c r="BY2332" s="1" t="s">
        <v>2647</v>
      </c>
      <c r="BZ2332" s="1" t="s">
        <v>209</v>
      </c>
      <c r="CA2332" s="1" t="s">
        <v>207</v>
      </c>
      <c r="CC2332" s="1" t="s">
        <v>2647</v>
      </c>
      <c r="CD2332" s="1" t="s">
        <v>206</v>
      </c>
      <c r="CE2332" s="1" t="s">
        <v>207</v>
      </c>
      <c r="CG2332" s="1" t="s">
        <v>663</v>
      </c>
      <c r="CH2332" s="1" t="s">
        <v>209</v>
      </c>
      <c r="CI2332" s="1" t="s">
        <v>207</v>
      </c>
      <c r="CK2332" s="1" t="s">
        <v>303</v>
      </c>
      <c r="CL2332" s="1" t="s">
        <v>209</v>
      </c>
      <c r="CM2332" s="1" t="s">
        <v>207</v>
      </c>
      <c r="CO2332" s="1" t="s">
        <v>269</v>
      </c>
      <c r="CP2332" s="1" t="s">
        <v>209</v>
      </c>
      <c r="CQ2332" s="1" t="s">
        <v>207</v>
      </c>
      <c r="CS2332" s="1" t="s">
        <v>393</v>
      </c>
      <c r="CT2332" s="1" t="s">
        <v>206</v>
      </c>
      <c r="CU2332" s="1" t="s">
        <v>268</v>
      </c>
      <c r="CW2332" s="1" t="s">
        <v>3989</v>
      </c>
      <c r="CX2332" s="1" t="s">
        <v>206</v>
      </c>
      <c r="CY2332" s="1" t="s">
        <v>207</v>
      </c>
      <c r="DA2332" s="1" t="s">
        <v>200</v>
      </c>
      <c r="DC2332" s="1" t="s">
        <v>785</v>
      </c>
      <c r="DD2332" s="1" t="s">
        <v>1976</v>
      </c>
      <c r="DE2332" s="1" t="s">
        <v>273</v>
      </c>
      <c r="DF2332" s="1" t="s">
        <v>619</v>
      </c>
      <c r="DH2332" s="1" t="s">
        <v>220</v>
      </c>
      <c r="DI2332" s="1" t="s">
        <v>308</v>
      </c>
      <c r="DJ2332" s="1" t="s">
        <v>222</v>
      </c>
      <c r="DL2332" s="1" t="s">
        <v>858</v>
      </c>
      <c r="DM2332" s="1" t="s">
        <v>229</v>
      </c>
      <c r="DO2332" s="1" t="s">
        <v>549</v>
      </c>
      <c r="DP2332" s="1" t="s">
        <v>340</v>
      </c>
      <c r="DQ2332" s="1" t="s">
        <v>441</v>
      </c>
      <c r="DR2332" s="1" t="s">
        <v>229</v>
      </c>
      <c r="DV2332" s="1" t="s">
        <v>21463</v>
      </c>
      <c r="DW2332" s="1" t="s">
        <v>279</v>
      </c>
      <c r="DX2332" s="1" t="s">
        <v>234</v>
      </c>
      <c r="DY2332" s="1" t="s">
        <v>704</v>
      </c>
      <c r="DZ2332" s="1" t="s">
        <v>282</v>
      </c>
      <c r="EA2332" s="1" t="s">
        <v>447</v>
      </c>
      <c r="EC2332" s="1" t="s">
        <v>237</v>
      </c>
      <c r="EH2332" s="1" t="s">
        <v>1102</v>
      </c>
      <c r="EI2332" s="1" t="s">
        <v>556</v>
      </c>
      <c r="EJ2332" s="1" t="s">
        <v>408</v>
      </c>
      <c r="EK2332" s="1" t="s">
        <v>1121</v>
      </c>
      <c r="EM2332" s="1" t="s">
        <v>238</v>
      </c>
      <c r="EP2332" s="1" t="s">
        <v>1396</v>
      </c>
      <c r="EQ2332" s="1" t="s">
        <v>206</v>
      </c>
      <c r="ET2332" s="1" t="s">
        <v>663</v>
      </c>
      <c r="EU2332" s="1" t="s">
        <v>206</v>
      </c>
      <c r="EV2332" s="1" t="s">
        <v>207</v>
      </c>
      <c r="EX2332" s="1" t="s">
        <v>475</v>
      </c>
      <c r="EY2332" s="1" t="s">
        <v>206</v>
      </c>
      <c r="EZ2332" s="1" t="s">
        <v>207</v>
      </c>
      <c r="FB2332" s="1" t="s">
        <v>263</v>
      </c>
      <c r="FC2332" s="1" t="s">
        <v>206</v>
      </c>
      <c r="FD2332" s="1" t="s">
        <v>207</v>
      </c>
      <c r="FF2332" s="1" t="s">
        <v>239</v>
      </c>
      <c r="FG2332" s="1" t="s">
        <v>192</v>
      </c>
      <c r="FH2332" s="1" t="s">
        <v>192</v>
      </c>
      <c r="FJ2332" s="1" t="s">
        <v>3334</v>
      </c>
      <c r="FK2332" s="1" t="s">
        <v>229</v>
      </c>
      <c r="FL2332" s="1" t="s">
        <v>1855</v>
      </c>
      <c r="FM2332" s="1">
        <v>41.0</v>
      </c>
      <c r="FN2332" s="1" t="s">
        <v>1856</v>
      </c>
      <c r="FO2332" s="1" t="s">
        <v>1857</v>
      </c>
      <c r="FP2332" s="1">
        <v>8483.0</v>
      </c>
      <c r="FQ2332" s="1" t="s">
        <v>1858</v>
      </c>
      <c r="FS2332" s="1" t="s">
        <v>5934</v>
      </c>
      <c r="FT2332" s="1" t="s">
        <v>1860</v>
      </c>
      <c r="FU2332" s="1" t="s">
        <v>1861</v>
      </c>
      <c r="FV2332" s="1" t="s">
        <v>200</v>
      </c>
      <c r="FW2332" s="1" t="s">
        <v>21464</v>
      </c>
      <c r="FZ2332" s="1" t="s">
        <v>229</v>
      </c>
      <c r="GA2332" s="1" t="s">
        <v>291</v>
      </c>
      <c r="GB2332" s="2">
        <v>42002.0</v>
      </c>
      <c r="GC2332" s="1" t="s">
        <v>21465</v>
      </c>
    </row>
    <row r="2333">
      <c r="A2333" s="1">
        <v>515000.0</v>
      </c>
      <c r="B2333" s="1" t="s">
        <v>185</v>
      </c>
      <c r="C2333" s="1" t="str">
        <f>"08759780"</f>
        <v>08759780</v>
      </c>
      <c r="D2333" s="1" t="s">
        <v>186</v>
      </c>
      <c r="F2333" s="1" t="str">
        <f>"174"</f>
        <v>174</v>
      </c>
      <c r="G2333" s="2">
        <v>41935.0</v>
      </c>
      <c r="H2333" s="1">
        <v>520000.0</v>
      </c>
      <c r="I2333" s="1">
        <v>23.0</v>
      </c>
      <c r="J2333" s="1">
        <v>520000.0</v>
      </c>
      <c r="K2333" s="2">
        <v>41957.0</v>
      </c>
      <c r="L2333" s="1">
        <v>23.0</v>
      </c>
      <c r="M2333" s="2">
        <v>41957.0</v>
      </c>
      <c r="N2333" s="1" t="s">
        <v>187</v>
      </c>
      <c r="O2333" s="2">
        <v>41981.0</v>
      </c>
      <c r="P2333" s="1">
        <v>7842.0</v>
      </c>
      <c r="Q2333" s="1">
        <v>41.0</v>
      </c>
      <c r="S2333" s="1">
        <v>250.0</v>
      </c>
      <c r="T2333" s="1" t="s">
        <v>14754</v>
      </c>
      <c r="U2333" s="1" t="s">
        <v>569</v>
      </c>
      <c r="V2333" s="1" t="s">
        <v>1200</v>
      </c>
      <c r="W2333" s="1">
        <v>60174.0</v>
      </c>
      <c r="Y2333" s="1" t="s">
        <v>21466</v>
      </c>
      <c r="Z2333" s="1">
        <v>1989.0</v>
      </c>
      <c r="AA2333" s="1" t="s">
        <v>200</v>
      </c>
      <c r="AB2333" s="1" t="s">
        <v>193</v>
      </c>
      <c r="AC2333" s="1" t="s">
        <v>17613</v>
      </c>
      <c r="AD2333" s="1" t="s">
        <v>1203</v>
      </c>
      <c r="AE2333" s="1" t="s">
        <v>325</v>
      </c>
      <c r="AF2333" s="1" t="s">
        <v>1203</v>
      </c>
      <c r="AH2333" s="1" t="s">
        <v>21467</v>
      </c>
      <c r="AI2333" s="1">
        <v>0.3834</v>
      </c>
      <c r="AK2333" s="1">
        <v>9.0</v>
      </c>
      <c r="AL2333" s="1">
        <v>4.0</v>
      </c>
      <c r="AM2333" s="1">
        <v>2.0</v>
      </c>
      <c r="AN2333" s="1">
        <v>1.0</v>
      </c>
      <c r="AO2333" s="1" t="s">
        <v>198</v>
      </c>
      <c r="AP2333" s="1">
        <v>2.0</v>
      </c>
      <c r="AQ2333" s="1" t="s">
        <v>198</v>
      </c>
      <c r="AR2333" s="1" t="s">
        <v>200</v>
      </c>
      <c r="AS2333" s="1" t="s">
        <v>199</v>
      </c>
      <c r="AT2333" s="1">
        <v>3.0</v>
      </c>
      <c r="AV2333" s="1" t="s">
        <v>200</v>
      </c>
      <c r="AW2333" s="1">
        <v>14052.02</v>
      </c>
      <c r="AX2333" s="1">
        <v>2013.0</v>
      </c>
      <c r="AY2333" s="1" t="s">
        <v>387</v>
      </c>
      <c r="AZ2333" s="1" t="s">
        <v>200</v>
      </c>
      <c r="BA2333" s="1" t="str">
        <f>"0926154012"</f>
        <v>0926154012</v>
      </c>
      <c r="BC2333" s="1">
        <v>3304.0</v>
      </c>
      <c r="BD2333" s="1">
        <v>515000.0</v>
      </c>
      <c r="BE2333" s="2">
        <v>41935.0</v>
      </c>
      <c r="BF2333" s="2" t="s">
        <v>21468</v>
      </c>
      <c r="BG2333" s="1" t="s">
        <v>5913</v>
      </c>
      <c r="BH2333" s="1">
        <v>0.0</v>
      </c>
      <c r="BI2333" s="1" t="s">
        <v>2143</v>
      </c>
      <c r="BJ2333" s="1" t="s">
        <v>2144</v>
      </c>
      <c r="BK2333" s="1" t="s">
        <v>204</v>
      </c>
      <c r="BL2333" s="1" t="str">
        <f t="shared" ref="BL2333:BM2333" si="1518">""</f>
        <v/>
      </c>
      <c r="BM2333" s="1" t="str">
        <f t="shared" si="1518"/>
        <v/>
      </c>
      <c r="BQ2333" s="1">
        <v>303.0</v>
      </c>
      <c r="BR2333" s="1">
        <v>303.0</v>
      </c>
      <c r="BS2333" s="1">
        <v>303.0</v>
      </c>
      <c r="BU2333" s="1" t="s">
        <v>1001</v>
      </c>
      <c r="BV2333" s="1" t="s">
        <v>206</v>
      </c>
      <c r="BW2333" s="1" t="s">
        <v>207</v>
      </c>
      <c r="BX2333" s="1" t="s">
        <v>239</v>
      </c>
      <c r="BY2333" s="1" t="s">
        <v>5941</v>
      </c>
      <c r="BZ2333" s="1" t="s">
        <v>209</v>
      </c>
      <c r="CA2333" s="1" t="s">
        <v>210</v>
      </c>
      <c r="CB2333" s="1" t="s">
        <v>239</v>
      </c>
      <c r="CC2333" s="1" t="s">
        <v>361</v>
      </c>
      <c r="CD2333" s="1" t="s">
        <v>206</v>
      </c>
      <c r="CE2333" s="1" t="s">
        <v>207</v>
      </c>
      <c r="CF2333" s="1" t="s">
        <v>239</v>
      </c>
      <c r="CG2333" s="1" t="s">
        <v>390</v>
      </c>
      <c r="CH2333" s="1" t="s">
        <v>209</v>
      </c>
      <c r="CI2333" s="1" t="s">
        <v>210</v>
      </c>
      <c r="CJ2333" s="1" t="s">
        <v>239</v>
      </c>
      <c r="CK2333" s="1" t="s">
        <v>215</v>
      </c>
      <c r="CL2333" s="1" t="s">
        <v>209</v>
      </c>
      <c r="CM2333" s="1" t="s">
        <v>210</v>
      </c>
      <c r="CN2333" s="1" t="s">
        <v>239</v>
      </c>
      <c r="CO2333" s="1" t="s">
        <v>363</v>
      </c>
      <c r="CP2333" s="1" t="s">
        <v>209</v>
      </c>
      <c r="CQ2333" s="1" t="s">
        <v>210</v>
      </c>
      <c r="CR2333" s="1" t="s">
        <v>239</v>
      </c>
      <c r="CS2333" s="1" t="s">
        <v>3475</v>
      </c>
      <c r="CT2333" s="1" t="s">
        <v>206</v>
      </c>
      <c r="CU2333" s="1" t="s">
        <v>207</v>
      </c>
      <c r="CV2333" s="1" t="s">
        <v>239</v>
      </c>
      <c r="CW2333" s="1" t="s">
        <v>1534</v>
      </c>
      <c r="CX2333" s="1" t="s">
        <v>206</v>
      </c>
      <c r="CY2333" s="1" t="s">
        <v>207</v>
      </c>
      <c r="CZ2333" s="1" t="s">
        <v>239</v>
      </c>
      <c r="DA2333" s="1" t="s">
        <v>200</v>
      </c>
      <c r="DC2333" s="1" t="s">
        <v>435</v>
      </c>
      <c r="DD2333" s="1" t="s">
        <v>272</v>
      </c>
      <c r="DE2333" s="1" t="s">
        <v>273</v>
      </c>
      <c r="DF2333" s="1" t="s">
        <v>219</v>
      </c>
      <c r="DG2333" s="1" t="s">
        <v>482</v>
      </c>
      <c r="DH2333" s="1" t="s">
        <v>220</v>
      </c>
      <c r="DI2333" s="1" t="s">
        <v>21469</v>
      </c>
      <c r="DJ2333" s="1" t="s">
        <v>222</v>
      </c>
      <c r="DL2333" s="1" t="s">
        <v>223</v>
      </c>
      <c r="DM2333" s="1" t="s">
        <v>229</v>
      </c>
      <c r="DN2333" s="1" t="s">
        <v>548</v>
      </c>
      <c r="DO2333" s="1" t="s">
        <v>486</v>
      </c>
      <c r="DP2333" s="1" t="s">
        <v>340</v>
      </c>
      <c r="DQ2333" s="1" t="s">
        <v>441</v>
      </c>
      <c r="DR2333" s="1" t="s">
        <v>229</v>
      </c>
      <c r="DU2333" s="1" t="s">
        <v>14162</v>
      </c>
      <c r="DV2333" s="1" t="s">
        <v>494</v>
      </c>
      <c r="DW2333" s="1" t="s">
        <v>764</v>
      </c>
      <c r="DX2333" s="1" t="s">
        <v>234</v>
      </c>
      <c r="DY2333" s="1" t="s">
        <v>1051</v>
      </c>
      <c r="DZ2333" s="1" t="s">
        <v>1100</v>
      </c>
      <c r="EA2333" s="1" t="s">
        <v>344</v>
      </c>
      <c r="EB2333" s="1" t="s">
        <v>4251</v>
      </c>
      <c r="EC2333" s="1" t="s">
        <v>237</v>
      </c>
      <c r="ED2333" s="1" t="s">
        <v>407</v>
      </c>
      <c r="EE2333" s="1" t="s">
        <v>187</v>
      </c>
      <c r="EG2333" s="1" t="s">
        <v>494</v>
      </c>
      <c r="EL2333" s="1" t="s">
        <v>215</v>
      </c>
      <c r="EM2333" s="1" t="s">
        <v>206</v>
      </c>
      <c r="EN2333" s="1" t="s">
        <v>207</v>
      </c>
      <c r="EO2333" s="1" t="s">
        <v>239</v>
      </c>
      <c r="EQ2333" s="1" t="s">
        <v>238</v>
      </c>
      <c r="EU2333" s="1" t="s">
        <v>238</v>
      </c>
      <c r="EY2333" s="1" t="s">
        <v>238</v>
      </c>
      <c r="FC2333" s="1" t="s">
        <v>238</v>
      </c>
      <c r="FF2333" s="1" t="s">
        <v>239</v>
      </c>
      <c r="FG2333" s="1" t="s">
        <v>192</v>
      </c>
      <c r="FH2333" s="1" t="s">
        <v>192</v>
      </c>
      <c r="FJ2333" s="1" t="s">
        <v>15266</v>
      </c>
      <c r="FK2333" s="1" t="s">
        <v>229</v>
      </c>
      <c r="FL2333" s="1" t="s">
        <v>1358</v>
      </c>
      <c r="FM2333" s="1">
        <v>23591.0</v>
      </c>
      <c r="FN2333" s="1" t="s">
        <v>2134</v>
      </c>
      <c r="FO2333" s="1" t="s">
        <v>21470</v>
      </c>
      <c r="FP2333" s="1">
        <v>230506.0</v>
      </c>
      <c r="FQ2333" s="1" t="s">
        <v>21471</v>
      </c>
      <c r="FR2333" s="1">
        <v>230508.0</v>
      </c>
      <c r="FS2333" s="1" t="s">
        <v>21472</v>
      </c>
      <c r="FU2333" s="1" t="s">
        <v>21473</v>
      </c>
      <c r="FV2333" s="1" t="s">
        <v>200</v>
      </c>
      <c r="FW2333" s="1" t="s">
        <v>290</v>
      </c>
      <c r="FZ2333" s="1" t="s">
        <v>229</v>
      </c>
      <c r="GA2333" s="1" t="s">
        <v>291</v>
      </c>
      <c r="GB2333" s="2">
        <v>41981.0</v>
      </c>
      <c r="GC2333" s="1" t="s">
        <v>21474</v>
      </c>
    </row>
    <row r="2334">
      <c r="A2334" s="1">
        <v>208400.0</v>
      </c>
      <c r="B2334" s="1" t="s">
        <v>185</v>
      </c>
      <c r="C2334" s="1" t="str">
        <f>"08756008"</f>
        <v>08756008</v>
      </c>
      <c r="D2334" s="1" t="s">
        <v>186</v>
      </c>
      <c r="F2334" s="1" t="str">
        <f>"123"</f>
        <v>123</v>
      </c>
      <c r="G2334" s="2">
        <v>41929.0</v>
      </c>
      <c r="H2334" s="1">
        <v>214900.0</v>
      </c>
      <c r="I2334" s="1">
        <v>104.0</v>
      </c>
      <c r="J2334" s="1">
        <v>214900.0</v>
      </c>
      <c r="K2334" s="2">
        <v>41946.0</v>
      </c>
      <c r="L2334" s="1">
        <v>18.0</v>
      </c>
      <c r="M2334" s="2">
        <v>41946.0</v>
      </c>
      <c r="N2334" s="1" t="s">
        <v>356</v>
      </c>
      <c r="O2334" s="2">
        <v>41996.0</v>
      </c>
      <c r="P2334" s="1">
        <v>1887.0</v>
      </c>
      <c r="Q2334" s="1">
        <v>7450.0</v>
      </c>
      <c r="R2334" s="1">
        <v>1500.0</v>
      </c>
      <c r="S2334" s="1">
        <v>2166.0</v>
      </c>
      <c r="T2334" s="1" t="s">
        <v>21475</v>
      </c>
      <c r="U2334" s="1" t="s">
        <v>1174</v>
      </c>
      <c r="V2334" s="1" t="s">
        <v>465</v>
      </c>
      <c r="W2334" s="1">
        <v>60123.0</v>
      </c>
      <c r="Y2334" s="1" t="s">
        <v>21476</v>
      </c>
      <c r="Z2334" s="1">
        <v>1989.0</v>
      </c>
      <c r="AA2334" s="1" t="s">
        <v>200</v>
      </c>
      <c r="AB2334" s="1" t="s">
        <v>193</v>
      </c>
      <c r="AD2334" s="1" t="s">
        <v>469</v>
      </c>
      <c r="AE2334" s="1" t="s">
        <v>325</v>
      </c>
      <c r="AF2334" s="1" t="s">
        <v>469</v>
      </c>
      <c r="AH2334" s="1" t="s">
        <v>21477</v>
      </c>
      <c r="AI2334" s="1">
        <v>0.2079</v>
      </c>
      <c r="AK2334" s="1">
        <v>9.0</v>
      </c>
      <c r="AL2334" s="1">
        <v>4.0</v>
      </c>
      <c r="AM2334" s="1">
        <v>2.0</v>
      </c>
      <c r="AN2334" s="1">
        <v>1.0</v>
      </c>
      <c r="AO2334" s="1" t="s">
        <v>198</v>
      </c>
      <c r="AP2334" s="1">
        <v>1.0</v>
      </c>
      <c r="AQ2334" s="1" t="s">
        <v>198</v>
      </c>
      <c r="AR2334" s="1" t="s">
        <v>200</v>
      </c>
      <c r="AS2334" s="1" t="s">
        <v>199</v>
      </c>
      <c r="AT2334" s="1">
        <v>2.0</v>
      </c>
      <c r="AV2334" s="1" t="s">
        <v>200</v>
      </c>
      <c r="AW2334" s="1">
        <v>6036.3</v>
      </c>
      <c r="AX2334" s="1">
        <v>2013.0</v>
      </c>
      <c r="AY2334" s="1" t="s">
        <v>387</v>
      </c>
      <c r="AZ2334" s="1" t="s">
        <v>200</v>
      </c>
      <c r="BA2334" s="1" t="str">
        <f>"0609256005"</f>
        <v>0609256005</v>
      </c>
      <c r="BB2334" s="1" t="s">
        <v>200</v>
      </c>
      <c r="BC2334" s="1">
        <v>2296.0</v>
      </c>
      <c r="BD2334" s="1">
        <v>208400.0</v>
      </c>
      <c r="BE2334" s="2">
        <v>41929.0</v>
      </c>
      <c r="BF2334" s="2" t="s">
        <v>21478</v>
      </c>
      <c r="BG2334" s="1" t="s">
        <v>13029</v>
      </c>
      <c r="BH2334" s="1">
        <v>0.0</v>
      </c>
      <c r="BI2334" s="1" t="s">
        <v>3197</v>
      </c>
      <c r="BJ2334" s="1" t="s">
        <v>675</v>
      </c>
      <c r="BK2334" s="1" t="s">
        <v>204</v>
      </c>
      <c r="BL2334" s="1" t="str">
        <f t="shared" ref="BL2334:BM2334" si="1519">""</f>
        <v/>
      </c>
      <c r="BM2334" s="1" t="str">
        <f t="shared" si="1519"/>
        <v/>
      </c>
      <c r="BQ2334" s="1">
        <v>46.0</v>
      </c>
      <c r="BR2334" s="1">
        <v>46.0</v>
      </c>
      <c r="BS2334" s="1">
        <v>46.0</v>
      </c>
      <c r="BU2334" s="1" t="s">
        <v>262</v>
      </c>
      <c r="BV2334" s="1" t="s">
        <v>206</v>
      </c>
      <c r="BW2334" s="1" t="s">
        <v>210</v>
      </c>
      <c r="BX2334" s="1" t="s">
        <v>261</v>
      </c>
      <c r="BY2334" s="1" t="s">
        <v>205</v>
      </c>
      <c r="BZ2334" s="1" t="s">
        <v>209</v>
      </c>
      <c r="CA2334" s="1" t="s">
        <v>210</v>
      </c>
      <c r="CB2334" s="1" t="s">
        <v>261</v>
      </c>
      <c r="CC2334" s="1" t="s">
        <v>212</v>
      </c>
      <c r="CD2334" s="1" t="s">
        <v>206</v>
      </c>
      <c r="CE2334" s="1" t="s">
        <v>210</v>
      </c>
      <c r="CF2334" s="1" t="s">
        <v>261</v>
      </c>
      <c r="CG2334" s="1" t="s">
        <v>497</v>
      </c>
      <c r="CH2334" s="1" t="s">
        <v>209</v>
      </c>
      <c r="CI2334" s="1" t="s">
        <v>210</v>
      </c>
      <c r="CJ2334" s="1" t="s">
        <v>261</v>
      </c>
      <c r="CK2334" s="1" t="s">
        <v>264</v>
      </c>
      <c r="CL2334" s="1" t="s">
        <v>209</v>
      </c>
      <c r="CM2334" s="1" t="s">
        <v>210</v>
      </c>
      <c r="CN2334" s="1" t="s">
        <v>261</v>
      </c>
      <c r="CO2334" s="1" t="s">
        <v>390</v>
      </c>
      <c r="CP2334" s="1" t="s">
        <v>209</v>
      </c>
      <c r="CQ2334" s="1" t="s">
        <v>210</v>
      </c>
      <c r="CR2334" s="1" t="s">
        <v>261</v>
      </c>
      <c r="CS2334" s="1" t="s">
        <v>497</v>
      </c>
      <c r="CT2334" s="1" t="s">
        <v>206</v>
      </c>
      <c r="CU2334" s="1" t="s">
        <v>268</v>
      </c>
      <c r="CV2334" s="1" t="s">
        <v>1549</v>
      </c>
      <c r="CW2334" s="1" t="s">
        <v>432</v>
      </c>
      <c r="CX2334" s="1" t="s">
        <v>206</v>
      </c>
      <c r="CY2334" s="1" t="s">
        <v>210</v>
      </c>
      <c r="CZ2334" s="1" t="s">
        <v>261</v>
      </c>
      <c r="DA2334" s="1" t="s">
        <v>200</v>
      </c>
      <c r="DC2334" s="1" t="s">
        <v>435</v>
      </c>
      <c r="DD2334" s="1" t="s">
        <v>518</v>
      </c>
      <c r="DE2334" s="1" t="s">
        <v>273</v>
      </c>
      <c r="DF2334" s="1" t="s">
        <v>219</v>
      </c>
      <c r="DG2334" s="1" t="s">
        <v>337</v>
      </c>
      <c r="DH2334" s="1" t="s">
        <v>220</v>
      </c>
      <c r="DI2334" s="1" t="s">
        <v>959</v>
      </c>
      <c r="DJ2334" s="1" t="s">
        <v>222</v>
      </c>
      <c r="DL2334" s="1" t="s">
        <v>858</v>
      </c>
      <c r="DM2334" s="1" t="s">
        <v>3697</v>
      </c>
      <c r="DP2334" s="1" t="s">
        <v>340</v>
      </c>
      <c r="DQ2334" s="1" t="s">
        <v>228</v>
      </c>
      <c r="DR2334" s="1" t="s">
        <v>229</v>
      </c>
      <c r="DS2334" s="1" t="s">
        <v>230</v>
      </c>
      <c r="DV2334" s="1" t="s">
        <v>449</v>
      </c>
      <c r="DW2334" s="1" t="s">
        <v>370</v>
      </c>
      <c r="DX2334" s="1" t="s">
        <v>234</v>
      </c>
      <c r="DY2334" s="1" t="s">
        <v>3846</v>
      </c>
      <c r="DZ2334" s="1" t="s">
        <v>766</v>
      </c>
      <c r="EA2334" s="1" t="s">
        <v>447</v>
      </c>
      <c r="EB2334" s="1" t="s">
        <v>10210</v>
      </c>
      <c r="EC2334" s="1" t="s">
        <v>237</v>
      </c>
      <c r="ED2334" s="1" t="s">
        <v>407</v>
      </c>
      <c r="EG2334" s="1" t="s">
        <v>449</v>
      </c>
      <c r="EL2334" s="1" t="s">
        <v>516</v>
      </c>
      <c r="EM2334" s="1" t="s">
        <v>206</v>
      </c>
      <c r="EN2334" s="1" t="s">
        <v>268</v>
      </c>
      <c r="EO2334" s="1" t="s">
        <v>1549</v>
      </c>
      <c r="EQ2334" s="1" t="s">
        <v>238</v>
      </c>
      <c r="EU2334" s="1" t="s">
        <v>238</v>
      </c>
      <c r="EY2334" s="1" t="s">
        <v>238</v>
      </c>
      <c r="FC2334" s="1" t="s">
        <v>238</v>
      </c>
      <c r="FF2334" s="1" t="s">
        <v>239</v>
      </c>
      <c r="FG2334" s="1" t="s">
        <v>192</v>
      </c>
      <c r="FH2334" s="1" t="s">
        <v>192</v>
      </c>
      <c r="FJ2334" s="1" t="s">
        <v>2493</v>
      </c>
      <c r="FK2334" s="1" t="s">
        <v>229</v>
      </c>
      <c r="FL2334" s="1" t="s">
        <v>456</v>
      </c>
      <c r="FM2334" s="1">
        <v>8012.0</v>
      </c>
      <c r="FN2334" s="1" t="s">
        <v>6869</v>
      </c>
      <c r="FO2334" s="1" t="s">
        <v>21479</v>
      </c>
      <c r="FP2334" s="1">
        <v>81970.0</v>
      </c>
      <c r="FQ2334" s="1" t="s">
        <v>21480</v>
      </c>
      <c r="FU2334" s="1" t="s">
        <v>21481</v>
      </c>
      <c r="FV2334" s="1" t="s">
        <v>200</v>
      </c>
      <c r="FW2334" s="1" t="s">
        <v>21482</v>
      </c>
      <c r="FZ2334" s="1" t="s">
        <v>229</v>
      </c>
      <c r="GA2334" s="1" t="s">
        <v>291</v>
      </c>
      <c r="GB2334" s="2">
        <v>41996.0</v>
      </c>
    </row>
    <row r="2335">
      <c r="A2335" s="1">
        <v>72000.0</v>
      </c>
      <c r="B2335" s="1" t="s">
        <v>185</v>
      </c>
      <c r="C2335" s="1" t="str">
        <f>"08754725"</f>
        <v>08754725</v>
      </c>
      <c r="D2335" s="1" t="s">
        <v>186</v>
      </c>
      <c r="F2335" s="1" t="str">
        <f>"115"</f>
        <v>115</v>
      </c>
      <c r="G2335" s="2">
        <v>41928.0</v>
      </c>
      <c r="H2335" s="1">
        <v>74200.0</v>
      </c>
      <c r="I2335" s="1">
        <v>13.0</v>
      </c>
      <c r="J2335" s="1">
        <v>74200.0</v>
      </c>
      <c r="K2335" s="2">
        <v>41940.0</v>
      </c>
      <c r="L2335" s="1">
        <v>13.0</v>
      </c>
      <c r="M2335" s="2">
        <v>41940.0</v>
      </c>
      <c r="N2335" s="1" t="s">
        <v>356</v>
      </c>
      <c r="O2335" s="2">
        <v>41988.0</v>
      </c>
      <c r="P2335" s="1">
        <v>8819.0</v>
      </c>
      <c r="Q2335" s="1">
        <v>49.0</v>
      </c>
      <c r="R2335" s="1">
        <v>1700.0</v>
      </c>
      <c r="S2335" s="1">
        <v>1138.0</v>
      </c>
      <c r="T2335" s="1" t="s">
        <v>21483</v>
      </c>
      <c r="U2335" s="1" t="s">
        <v>320</v>
      </c>
      <c r="V2335" s="1" t="s">
        <v>610</v>
      </c>
      <c r="W2335" s="1">
        <v>60115.0</v>
      </c>
      <c r="Y2335" s="1" t="s">
        <v>21484</v>
      </c>
      <c r="Z2335" s="1">
        <v>1920.0</v>
      </c>
      <c r="AA2335" s="1" t="s">
        <v>192</v>
      </c>
      <c r="AB2335" s="1" t="s">
        <v>193</v>
      </c>
      <c r="AD2335" s="1" t="s">
        <v>612</v>
      </c>
      <c r="AE2335" s="1" t="s">
        <v>613</v>
      </c>
      <c r="AF2335" s="1" t="s">
        <v>612</v>
      </c>
      <c r="AH2335" s="1" t="s">
        <v>21485</v>
      </c>
      <c r="AI2335" s="1">
        <v>0.1673</v>
      </c>
      <c r="AK2335" s="1">
        <v>8.0</v>
      </c>
      <c r="AL2335" s="1">
        <v>4.0</v>
      </c>
      <c r="AM2335" s="1">
        <v>1.0</v>
      </c>
      <c r="AN2335" s="1">
        <v>0.0</v>
      </c>
      <c r="AO2335" s="1" t="s">
        <v>229</v>
      </c>
      <c r="AQ2335" s="1" t="s">
        <v>198</v>
      </c>
      <c r="AR2335" s="1" t="s">
        <v>200</v>
      </c>
      <c r="AS2335" s="1" t="s">
        <v>199</v>
      </c>
      <c r="AT2335" s="1">
        <v>2.0</v>
      </c>
      <c r="AV2335" s="1" t="s">
        <v>200</v>
      </c>
      <c r="AW2335" s="1">
        <v>4042.0</v>
      </c>
      <c r="AX2335" s="1">
        <v>2013.0</v>
      </c>
      <c r="AY2335" s="1" t="s">
        <v>387</v>
      </c>
      <c r="AZ2335" s="1" t="s">
        <v>200</v>
      </c>
      <c r="BA2335" s="1" t="str">
        <f>"0823280010"</f>
        <v>0823280010</v>
      </c>
      <c r="BB2335" s="1" t="s">
        <v>200</v>
      </c>
      <c r="BC2335" s="1">
        <v>2038.0</v>
      </c>
      <c r="BD2335" s="1">
        <v>72000.0</v>
      </c>
      <c r="BE2335" s="2">
        <v>41928.0</v>
      </c>
      <c r="BF2335" s="1" t="s">
        <v>21486</v>
      </c>
      <c r="BH2335" s="1">
        <v>0.0</v>
      </c>
      <c r="BK2335" s="1" t="s">
        <v>204</v>
      </c>
      <c r="BL2335" s="1" t="str">
        <f t="shared" ref="BL2335:BM2335" si="1520">""</f>
        <v/>
      </c>
      <c r="BM2335" s="1" t="str">
        <f t="shared" si="1520"/>
        <v/>
      </c>
      <c r="BQ2335" s="1">
        <v>428.0</v>
      </c>
      <c r="BR2335" s="1">
        <v>428.0</v>
      </c>
      <c r="BS2335" s="1">
        <v>428.0</v>
      </c>
      <c r="BU2335" s="1" t="s">
        <v>1517</v>
      </c>
      <c r="BV2335" s="1" t="s">
        <v>206</v>
      </c>
      <c r="BW2335" s="1" t="s">
        <v>210</v>
      </c>
      <c r="BX2335" s="1" t="s">
        <v>239</v>
      </c>
      <c r="BY2335" s="1" t="s">
        <v>1351</v>
      </c>
      <c r="BZ2335" s="1" t="s">
        <v>206</v>
      </c>
      <c r="CA2335" s="1" t="s">
        <v>207</v>
      </c>
      <c r="CB2335" s="1" t="s">
        <v>239</v>
      </c>
      <c r="CC2335" s="1" t="s">
        <v>302</v>
      </c>
      <c r="CD2335" s="1" t="s">
        <v>206</v>
      </c>
      <c r="CE2335" s="1" t="s">
        <v>210</v>
      </c>
      <c r="CF2335" s="1" t="s">
        <v>239</v>
      </c>
      <c r="CG2335" s="1" t="s">
        <v>1329</v>
      </c>
      <c r="CH2335" s="1" t="s">
        <v>209</v>
      </c>
      <c r="CI2335" s="1" t="s">
        <v>210</v>
      </c>
      <c r="CJ2335" s="1" t="s">
        <v>239</v>
      </c>
      <c r="CK2335" s="1" t="s">
        <v>263</v>
      </c>
      <c r="CL2335" s="1" t="s">
        <v>209</v>
      </c>
      <c r="CM2335" s="1" t="s">
        <v>210</v>
      </c>
      <c r="CN2335" s="1" t="s">
        <v>239</v>
      </c>
      <c r="CO2335" s="1" t="s">
        <v>1904</v>
      </c>
      <c r="CP2335" s="1" t="s">
        <v>209</v>
      </c>
      <c r="CQ2335" s="1" t="s">
        <v>210</v>
      </c>
      <c r="CR2335" s="1" t="s">
        <v>239</v>
      </c>
      <c r="CS2335" s="1" t="s">
        <v>4180</v>
      </c>
      <c r="CT2335" s="1" t="s">
        <v>206</v>
      </c>
      <c r="CU2335" s="1" t="s">
        <v>617</v>
      </c>
      <c r="CV2335" s="1" t="s">
        <v>239</v>
      </c>
      <c r="CW2335" s="1" t="s">
        <v>2852</v>
      </c>
      <c r="CX2335" s="1" t="s">
        <v>206</v>
      </c>
      <c r="CY2335" s="1" t="s">
        <v>210</v>
      </c>
      <c r="CZ2335" s="1" t="s">
        <v>239</v>
      </c>
      <c r="DA2335" s="1" t="s">
        <v>200</v>
      </c>
      <c r="DC2335" s="1" t="s">
        <v>216</v>
      </c>
      <c r="DD2335" s="1" t="s">
        <v>518</v>
      </c>
      <c r="DE2335" s="1" t="s">
        <v>273</v>
      </c>
      <c r="DF2335" s="1" t="s">
        <v>219</v>
      </c>
      <c r="DH2335" s="1" t="s">
        <v>220</v>
      </c>
      <c r="DJ2335" s="1" t="s">
        <v>222</v>
      </c>
      <c r="DL2335" s="1" t="s">
        <v>223</v>
      </c>
      <c r="DM2335" s="1" t="s">
        <v>229</v>
      </c>
      <c r="DP2335" s="1" t="s">
        <v>276</v>
      </c>
      <c r="DQ2335" s="1" t="s">
        <v>228</v>
      </c>
      <c r="DR2335" s="1" t="s">
        <v>229</v>
      </c>
      <c r="DS2335" s="1" t="s">
        <v>230</v>
      </c>
      <c r="DV2335" s="1" t="s">
        <v>232</v>
      </c>
      <c r="DW2335" s="1" t="s">
        <v>370</v>
      </c>
      <c r="DX2335" s="1" t="s">
        <v>234</v>
      </c>
      <c r="EC2335" s="1" t="s">
        <v>237</v>
      </c>
      <c r="EM2335" s="1" t="s">
        <v>238</v>
      </c>
      <c r="EQ2335" s="1" t="s">
        <v>238</v>
      </c>
      <c r="EU2335" s="1" t="s">
        <v>238</v>
      </c>
      <c r="EY2335" s="1" t="s">
        <v>238</v>
      </c>
      <c r="FC2335" s="1" t="s">
        <v>238</v>
      </c>
      <c r="FF2335" s="1" t="s">
        <v>239</v>
      </c>
      <c r="FG2335" s="1" t="s">
        <v>192</v>
      </c>
      <c r="FH2335" s="1" t="s">
        <v>192</v>
      </c>
      <c r="FJ2335" s="1" t="s">
        <v>347</v>
      </c>
      <c r="FK2335" s="1" t="s">
        <v>229</v>
      </c>
      <c r="FL2335" s="1" t="s">
        <v>2949</v>
      </c>
      <c r="FM2335" s="1">
        <v>93083.0</v>
      </c>
      <c r="FN2335" s="1" t="s">
        <v>2950</v>
      </c>
      <c r="FO2335" s="1" t="s">
        <v>2951</v>
      </c>
      <c r="FP2335" s="1">
        <v>930215.0</v>
      </c>
      <c r="FR2335" s="1">
        <v>930217.0</v>
      </c>
      <c r="FS2335" s="1">
        <v>930217.0</v>
      </c>
      <c r="FU2335" s="1" t="s">
        <v>21487</v>
      </c>
      <c r="FV2335" s="1" t="s">
        <v>200</v>
      </c>
      <c r="FW2335" s="1" t="s">
        <v>1524</v>
      </c>
      <c r="FZ2335" s="1" t="s">
        <v>229</v>
      </c>
      <c r="GA2335" s="1" t="s">
        <v>291</v>
      </c>
      <c r="GB2335" s="2">
        <v>42009.0</v>
      </c>
      <c r="GC2335" s="1" t="s">
        <v>21488</v>
      </c>
    </row>
    <row r="2336">
      <c r="A2336" s="1">
        <v>282000.0</v>
      </c>
      <c r="B2336" s="1" t="s">
        <v>185</v>
      </c>
      <c r="C2336" s="1" t="str">
        <f>"08756120"</f>
        <v>08756120</v>
      </c>
      <c r="D2336" s="1" t="s">
        <v>186</v>
      </c>
      <c r="F2336" s="1" t="str">
        <f>"560"</f>
        <v>560</v>
      </c>
      <c r="G2336" s="2">
        <v>41930.0</v>
      </c>
      <c r="H2336" s="1">
        <v>339900.0</v>
      </c>
      <c r="I2336" s="1">
        <v>68.0</v>
      </c>
      <c r="J2336" s="1">
        <v>289900.0</v>
      </c>
      <c r="K2336" s="2">
        <v>41997.0</v>
      </c>
      <c r="L2336" s="1">
        <v>68.0</v>
      </c>
      <c r="M2336" s="2">
        <v>41997.0</v>
      </c>
      <c r="N2336" s="1" t="s">
        <v>249</v>
      </c>
      <c r="O2336" s="2">
        <v>42024.0</v>
      </c>
      <c r="P2336" s="1">
        <v>102720.0</v>
      </c>
      <c r="Q2336" s="1">
        <v>85945.0</v>
      </c>
      <c r="S2336" s="1">
        <v>941.0</v>
      </c>
      <c r="T2336" s="1" t="s">
        <v>21489</v>
      </c>
      <c r="U2336" s="1" t="s">
        <v>569</v>
      </c>
      <c r="V2336" s="1" t="s">
        <v>845</v>
      </c>
      <c r="W2336" s="1">
        <v>60560.0</v>
      </c>
      <c r="Y2336" s="1" t="s">
        <v>21490</v>
      </c>
      <c r="Z2336" s="1">
        <v>2006.0</v>
      </c>
      <c r="AA2336" s="1" t="s">
        <v>200</v>
      </c>
      <c r="AB2336" s="1" t="s">
        <v>193</v>
      </c>
      <c r="AC2336" s="1" t="s">
        <v>21491</v>
      </c>
      <c r="AD2336" s="1" t="s">
        <v>848</v>
      </c>
      <c r="AE2336" s="1" t="s">
        <v>849</v>
      </c>
      <c r="AF2336" s="1" t="s">
        <v>1312</v>
      </c>
      <c r="AG2336" s="1" t="s">
        <v>21492</v>
      </c>
      <c r="AH2336" s="1" t="s">
        <v>21493</v>
      </c>
      <c r="AK2336" s="1">
        <v>10.0</v>
      </c>
      <c r="AL2336" s="1">
        <v>4.0</v>
      </c>
      <c r="AM2336" s="1">
        <v>3.0</v>
      </c>
      <c r="AN2336" s="1">
        <v>1.0</v>
      </c>
      <c r="AO2336" s="1" t="s">
        <v>198</v>
      </c>
      <c r="AP2336" s="1">
        <v>1.0</v>
      </c>
      <c r="AQ2336" s="1" t="s">
        <v>198</v>
      </c>
      <c r="AR2336" s="1" t="s">
        <v>200</v>
      </c>
      <c r="AS2336" s="1" t="s">
        <v>199</v>
      </c>
      <c r="AT2336" s="1">
        <v>3.0</v>
      </c>
      <c r="AV2336" s="1" t="s">
        <v>200</v>
      </c>
      <c r="AW2336" s="1">
        <v>11572.38</v>
      </c>
      <c r="AX2336" s="1">
        <v>2013.0</v>
      </c>
      <c r="AY2336" s="1" t="s">
        <v>229</v>
      </c>
      <c r="AZ2336" s="1" t="s">
        <v>200</v>
      </c>
      <c r="BA2336" s="1" t="str">
        <f>"0228429020"</f>
        <v>0228429020</v>
      </c>
      <c r="BB2336" s="1" t="s">
        <v>200</v>
      </c>
      <c r="BC2336" s="1">
        <v>3600.0</v>
      </c>
      <c r="BD2336" s="1">
        <v>282000.0</v>
      </c>
      <c r="BE2336" s="2">
        <v>41930.0</v>
      </c>
      <c r="BF2336" s="2" t="s">
        <v>21494</v>
      </c>
      <c r="BH2336" s="1">
        <v>300.0</v>
      </c>
      <c r="BK2336" s="1" t="s">
        <v>580</v>
      </c>
      <c r="BL2336" s="1" t="str">
        <f t="shared" ref="BL2336:BM2336" si="1521">"0"</f>
        <v>0</v>
      </c>
      <c r="BM2336" s="1" t="str">
        <f t="shared" si="1521"/>
        <v>0</v>
      </c>
      <c r="BN2336" s="1">
        <v>47.0</v>
      </c>
      <c r="BO2336" s="1">
        <v>10.0</v>
      </c>
      <c r="BQ2336" s="1">
        <v>115.0</v>
      </c>
      <c r="BR2336" s="1">
        <v>115.0</v>
      </c>
      <c r="BS2336" s="1">
        <v>115.0</v>
      </c>
      <c r="BU2336" s="1" t="s">
        <v>215</v>
      </c>
      <c r="BV2336" s="1" t="s">
        <v>206</v>
      </c>
      <c r="BW2336" s="1" t="s">
        <v>210</v>
      </c>
      <c r="BY2336" s="1" t="s">
        <v>544</v>
      </c>
      <c r="BZ2336" s="1" t="s">
        <v>209</v>
      </c>
      <c r="CA2336" s="1" t="s">
        <v>210</v>
      </c>
      <c r="CC2336" s="1" t="s">
        <v>584</v>
      </c>
      <c r="CD2336" s="1" t="s">
        <v>206</v>
      </c>
      <c r="CE2336" s="1" t="s">
        <v>210</v>
      </c>
      <c r="CG2336" s="1" t="s">
        <v>332</v>
      </c>
      <c r="CH2336" s="1" t="s">
        <v>209</v>
      </c>
      <c r="CI2336" s="1" t="s">
        <v>210</v>
      </c>
      <c r="CK2336" s="1" t="s">
        <v>215</v>
      </c>
      <c r="CL2336" s="1" t="s">
        <v>209</v>
      </c>
      <c r="CM2336" s="1" t="s">
        <v>210</v>
      </c>
      <c r="CO2336" s="1" t="s">
        <v>215</v>
      </c>
      <c r="CP2336" s="1" t="s">
        <v>209</v>
      </c>
      <c r="CQ2336" s="1" t="s">
        <v>210</v>
      </c>
      <c r="CS2336" s="1" t="s">
        <v>584</v>
      </c>
      <c r="CT2336" s="1" t="s">
        <v>206</v>
      </c>
      <c r="CU2336" s="1" t="s">
        <v>207</v>
      </c>
      <c r="CW2336" s="1" t="s">
        <v>1623</v>
      </c>
      <c r="CX2336" s="1" t="s">
        <v>206</v>
      </c>
      <c r="CY2336" s="1" t="s">
        <v>210</v>
      </c>
      <c r="DA2336" s="1" t="s">
        <v>200</v>
      </c>
      <c r="DC2336" s="1" t="s">
        <v>481</v>
      </c>
      <c r="DD2336" s="1" t="s">
        <v>3633</v>
      </c>
      <c r="DE2336" s="1" t="s">
        <v>273</v>
      </c>
      <c r="DF2336" s="1" t="s">
        <v>219</v>
      </c>
      <c r="DG2336" s="1" t="s">
        <v>337</v>
      </c>
      <c r="DH2336" s="1" t="s">
        <v>220</v>
      </c>
      <c r="DI2336" s="1" t="s">
        <v>519</v>
      </c>
      <c r="DJ2336" s="1" t="s">
        <v>222</v>
      </c>
      <c r="DK2336" s="1" t="s">
        <v>223</v>
      </c>
      <c r="DL2336" s="1" t="s">
        <v>223</v>
      </c>
      <c r="DM2336" s="1" t="s">
        <v>229</v>
      </c>
      <c r="DN2336" s="1" t="s">
        <v>399</v>
      </c>
      <c r="DP2336" s="1" t="s">
        <v>340</v>
      </c>
      <c r="DQ2336" s="1" t="s">
        <v>441</v>
      </c>
      <c r="DR2336" s="1" t="s">
        <v>229</v>
      </c>
      <c r="DV2336" s="1" t="s">
        <v>21495</v>
      </c>
      <c r="DW2336" s="1" t="s">
        <v>1145</v>
      </c>
      <c r="DX2336" s="1" t="s">
        <v>234</v>
      </c>
      <c r="DY2336" s="1" t="s">
        <v>1559</v>
      </c>
      <c r="EC2336" s="1" t="s">
        <v>237</v>
      </c>
      <c r="EG2336" s="1" t="s">
        <v>556</v>
      </c>
      <c r="EH2336" s="1" t="s">
        <v>494</v>
      </c>
      <c r="EI2336" s="1" t="s">
        <v>408</v>
      </c>
      <c r="EK2336" s="1" t="s">
        <v>1102</v>
      </c>
      <c r="EL2336" s="1" t="s">
        <v>647</v>
      </c>
      <c r="EM2336" s="1" t="s">
        <v>206</v>
      </c>
      <c r="EN2336" s="1" t="s">
        <v>207</v>
      </c>
      <c r="EO2336" s="1" t="s">
        <v>229</v>
      </c>
      <c r="EP2336" s="1" t="s">
        <v>393</v>
      </c>
      <c r="EQ2336" s="1" t="s">
        <v>206</v>
      </c>
      <c r="ER2336" s="1" t="s">
        <v>207</v>
      </c>
      <c r="ET2336" s="1" t="s">
        <v>5311</v>
      </c>
      <c r="EU2336" s="1" t="s">
        <v>206</v>
      </c>
      <c r="EV2336" s="1" t="s">
        <v>207</v>
      </c>
      <c r="EY2336" s="1" t="s">
        <v>238</v>
      </c>
      <c r="FB2336" s="1" t="s">
        <v>664</v>
      </c>
      <c r="FC2336" s="1" t="s">
        <v>206</v>
      </c>
      <c r="FD2336" s="1" t="s">
        <v>268</v>
      </c>
      <c r="FF2336" s="1" t="s">
        <v>239</v>
      </c>
      <c r="FG2336" s="1" t="s">
        <v>192</v>
      </c>
      <c r="FH2336" s="1" t="s">
        <v>192</v>
      </c>
      <c r="FJ2336" s="1" t="s">
        <v>7472</v>
      </c>
      <c r="FK2336" s="1" t="s">
        <v>229</v>
      </c>
      <c r="FL2336" s="1" t="s">
        <v>7473</v>
      </c>
      <c r="FM2336" s="1">
        <v>303.0</v>
      </c>
      <c r="FN2336" s="1" t="s">
        <v>7474</v>
      </c>
      <c r="FO2336" s="1" t="s">
        <v>7475</v>
      </c>
      <c r="FP2336" s="1">
        <v>8523.0</v>
      </c>
      <c r="FQ2336" s="1" t="s">
        <v>7476</v>
      </c>
      <c r="FU2336" s="1" t="s">
        <v>21496</v>
      </c>
      <c r="FV2336" s="1" t="s">
        <v>200</v>
      </c>
      <c r="FW2336" s="1" t="s">
        <v>290</v>
      </c>
      <c r="FZ2336" s="1" t="s">
        <v>229</v>
      </c>
      <c r="GA2336" s="1" t="s">
        <v>291</v>
      </c>
      <c r="GB2336" s="2">
        <v>42031.0</v>
      </c>
      <c r="GC2336" s="1" t="s">
        <v>21497</v>
      </c>
    </row>
    <row r="2337">
      <c r="A2337" s="1">
        <v>320000.0</v>
      </c>
      <c r="B2337" s="1" t="s">
        <v>185</v>
      </c>
      <c r="C2337" s="1" t="str">
        <f>"08764598"</f>
        <v>08764598</v>
      </c>
      <c r="D2337" s="1" t="s">
        <v>186</v>
      </c>
      <c r="F2337" s="1" t="str">
        <f>"543"</f>
        <v>543</v>
      </c>
      <c r="G2337" s="2">
        <v>41941.0</v>
      </c>
      <c r="H2337" s="1">
        <v>349900.0</v>
      </c>
      <c r="I2337" s="1">
        <v>87.0</v>
      </c>
      <c r="J2337" s="1">
        <v>334900.0</v>
      </c>
      <c r="K2337" s="2">
        <v>42027.0</v>
      </c>
      <c r="L2337" s="1">
        <v>87.0</v>
      </c>
      <c r="M2337" s="2">
        <v>42027.0</v>
      </c>
      <c r="N2337" s="1" t="s">
        <v>187</v>
      </c>
      <c r="O2337" s="2">
        <v>42093.0</v>
      </c>
      <c r="P2337" s="1">
        <v>222714.0</v>
      </c>
      <c r="Q2337" s="1">
        <v>23163.0</v>
      </c>
      <c r="S2337" s="1">
        <v>204.0</v>
      </c>
      <c r="T2337" s="1" t="s">
        <v>21498</v>
      </c>
      <c r="U2337" s="1" t="s">
        <v>420</v>
      </c>
      <c r="V2337" s="1" t="s">
        <v>1527</v>
      </c>
      <c r="W2337" s="1">
        <v>60543.0</v>
      </c>
      <c r="Y2337" s="1" t="s">
        <v>21499</v>
      </c>
      <c r="Z2337" s="1">
        <v>2002.0</v>
      </c>
      <c r="AA2337" s="1" t="s">
        <v>200</v>
      </c>
      <c r="AB2337" s="1" t="s">
        <v>467</v>
      </c>
      <c r="AC2337" s="1" t="s">
        <v>10987</v>
      </c>
      <c r="AD2337" s="1" t="s">
        <v>1529</v>
      </c>
      <c r="AE2337" s="1" t="s">
        <v>849</v>
      </c>
      <c r="AF2337" s="1" t="s">
        <v>1529</v>
      </c>
      <c r="AG2337" s="1" t="s">
        <v>21500</v>
      </c>
      <c r="AH2337" s="1" t="s">
        <v>21501</v>
      </c>
      <c r="AI2337" s="1">
        <v>0.321</v>
      </c>
      <c r="AK2337" s="1">
        <v>9.0</v>
      </c>
      <c r="AL2337" s="1">
        <v>4.0</v>
      </c>
      <c r="AM2337" s="1">
        <v>3.0</v>
      </c>
      <c r="AN2337" s="1">
        <v>0.0</v>
      </c>
      <c r="AO2337" s="1" t="s">
        <v>198</v>
      </c>
      <c r="AP2337" s="1">
        <v>1.0</v>
      </c>
      <c r="AQ2337" s="1" t="s">
        <v>198</v>
      </c>
      <c r="AR2337" s="1" t="s">
        <v>200</v>
      </c>
      <c r="AS2337" s="1" t="s">
        <v>199</v>
      </c>
      <c r="AT2337" s="1">
        <v>2.5</v>
      </c>
      <c r="AV2337" s="1" t="s">
        <v>192</v>
      </c>
      <c r="AW2337" s="1">
        <v>9614.0</v>
      </c>
      <c r="AX2337" s="1">
        <v>2012.0</v>
      </c>
      <c r="AY2337" s="1" t="s">
        <v>387</v>
      </c>
      <c r="AZ2337" s="1" t="s">
        <v>200</v>
      </c>
      <c r="BA2337" s="1" t="str">
        <f>"0309330008"</f>
        <v>0309330008</v>
      </c>
      <c r="BC2337" s="1">
        <v>2950.0</v>
      </c>
      <c r="BD2337" s="1">
        <v>320000.0</v>
      </c>
      <c r="BE2337" s="2">
        <v>41941.0</v>
      </c>
      <c r="BF2337" s="2" t="s">
        <v>21502</v>
      </c>
      <c r="BG2337" s="1" t="s">
        <v>4366</v>
      </c>
      <c r="BH2337" s="1">
        <v>126.0</v>
      </c>
      <c r="BI2337" s="1" t="s">
        <v>1348</v>
      </c>
      <c r="BJ2337" s="1" t="s">
        <v>1349</v>
      </c>
      <c r="BK2337" s="1" t="s">
        <v>1952</v>
      </c>
      <c r="BL2337" s="1" t="str">
        <f t="shared" ref="BL2337:BM2337" si="1522">""</f>
        <v/>
      </c>
      <c r="BM2337" s="1" t="str">
        <f t="shared" si="1522"/>
        <v/>
      </c>
      <c r="BN2337" s="1">
        <v>36.0</v>
      </c>
      <c r="BO2337" s="1">
        <v>11.0</v>
      </c>
      <c r="BQ2337" s="1">
        <v>308.0</v>
      </c>
      <c r="BR2337" s="1">
        <v>308.0</v>
      </c>
      <c r="BS2337" s="1">
        <v>308.0</v>
      </c>
      <c r="BU2337" s="1" t="s">
        <v>584</v>
      </c>
      <c r="BV2337" s="1" t="s">
        <v>206</v>
      </c>
      <c r="BW2337" s="1" t="s">
        <v>210</v>
      </c>
      <c r="BY2337" s="1" t="s">
        <v>1000</v>
      </c>
      <c r="BZ2337" s="1" t="s">
        <v>209</v>
      </c>
      <c r="CA2337" s="1" t="s">
        <v>210</v>
      </c>
      <c r="CB2337" s="1" t="s">
        <v>1118</v>
      </c>
      <c r="CC2337" s="1" t="s">
        <v>433</v>
      </c>
      <c r="CD2337" s="1" t="s">
        <v>206</v>
      </c>
      <c r="CE2337" s="1" t="s">
        <v>207</v>
      </c>
      <c r="CF2337" s="1" t="s">
        <v>1118</v>
      </c>
      <c r="CG2337" s="1" t="s">
        <v>433</v>
      </c>
      <c r="CH2337" s="1" t="s">
        <v>209</v>
      </c>
      <c r="CI2337" s="1" t="s">
        <v>210</v>
      </c>
      <c r="CJ2337" s="1" t="s">
        <v>1118</v>
      </c>
      <c r="CK2337" s="1" t="s">
        <v>392</v>
      </c>
      <c r="CL2337" s="1" t="s">
        <v>206</v>
      </c>
      <c r="CM2337" s="1" t="s">
        <v>210</v>
      </c>
      <c r="CO2337" s="1" t="s">
        <v>495</v>
      </c>
      <c r="CP2337" s="1" t="s">
        <v>206</v>
      </c>
      <c r="CQ2337" s="1" t="s">
        <v>210</v>
      </c>
      <c r="CR2337" s="1" t="s">
        <v>1118</v>
      </c>
      <c r="CS2337" s="1" t="s">
        <v>1244</v>
      </c>
      <c r="CT2337" s="1" t="s">
        <v>206</v>
      </c>
      <c r="CU2337" s="1" t="s">
        <v>207</v>
      </c>
      <c r="CV2337" s="1" t="s">
        <v>1118</v>
      </c>
      <c r="CW2337" s="1" t="s">
        <v>214</v>
      </c>
      <c r="CX2337" s="1" t="s">
        <v>206</v>
      </c>
      <c r="CY2337" s="1" t="s">
        <v>210</v>
      </c>
      <c r="CZ2337" s="1" t="s">
        <v>1118</v>
      </c>
      <c r="DA2337" s="1" t="s">
        <v>200</v>
      </c>
      <c r="DC2337" s="1" t="s">
        <v>335</v>
      </c>
      <c r="DD2337" s="1" t="s">
        <v>4023</v>
      </c>
      <c r="DE2337" s="1" t="s">
        <v>273</v>
      </c>
      <c r="DF2337" s="1" t="s">
        <v>219</v>
      </c>
      <c r="DG2337" s="1" t="s">
        <v>1400</v>
      </c>
      <c r="DH2337" s="1" t="s">
        <v>307</v>
      </c>
      <c r="DI2337" s="1" t="s">
        <v>519</v>
      </c>
      <c r="DJ2337" s="1" t="s">
        <v>1048</v>
      </c>
      <c r="DK2337" s="1" t="s">
        <v>223</v>
      </c>
      <c r="DL2337" s="1" t="s">
        <v>484</v>
      </c>
      <c r="DM2337" s="1" t="s">
        <v>338</v>
      </c>
      <c r="DN2337" s="1" t="s">
        <v>399</v>
      </c>
      <c r="DO2337" s="1" t="s">
        <v>21503</v>
      </c>
      <c r="DP2337" s="1" t="s">
        <v>340</v>
      </c>
      <c r="DQ2337" s="1" t="s">
        <v>441</v>
      </c>
      <c r="DR2337" s="1" t="s">
        <v>1185</v>
      </c>
      <c r="DS2337" s="1" t="s">
        <v>368</v>
      </c>
      <c r="DU2337" s="1" t="s">
        <v>5468</v>
      </c>
      <c r="DV2337" s="1" t="s">
        <v>18928</v>
      </c>
      <c r="DW2337" s="1" t="s">
        <v>764</v>
      </c>
      <c r="DX2337" s="1" t="s">
        <v>234</v>
      </c>
      <c r="DY2337" s="1" t="s">
        <v>21504</v>
      </c>
      <c r="DZ2337" s="1" t="s">
        <v>796</v>
      </c>
      <c r="EA2337" s="1" t="s">
        <v>344</v>
      </c>
      <c r="EB2337" s="1" t="s">
        <v>937</v>
      </c>
      <c r="EC2337" s="1" t="s">
        <v>237</v>
      </c>
      <c r="ED2337" s="1" t="s">
        <v>1406</v>
      </c>
      <c r="EG2337" s="1" t="s">
        <v>494</v>
      </c>
      <c r="EH2337" s="1" t="s">
        <v>409</v>
      </c>
      <c r="EL2337" s="1" t="s">
        <v>363</v>
      </c>
      <c r="EM2337" s="1" t="s">
        <v>206</v>
      </c>
      <c r="EN2337" s="1" t="s">
        <v>210</v>
      </c>
      <c r="EO2337" s="1" t="s">
        <v>1118</v>
      </c>
      <c r="EP2337" s="1" t="s">
        <v>269</v>
      </c>
      <c r="EQ2337" s="1" t="s">
        <v>209</v>
      </c>
      <c r="ER2337" s="1" t="s">
        <v>210</v>
      </c>
      <c r="EU2337" s="1" t="s">
        <v>238</v>
      </c>
      <c r="EY2337" s="1" t="s">
        <v>238</v>
      </c>
      <c r="FC2337" s="1" t="s">
        <v>238</v>
      </c>
      <c r="FF2337" s="1" t="s">
        <v>239</v>
      </c>
      <c r="FG2337" s="1" t="s">
        <v>192</v>
      </c>
      <c r="FH2337" s="1" t="s">
        <v>192</v>
      </c>
      <c r="FJ2337" s="1" t="s">
        <v>561</v>
      </c>
      <c r="FK2337" s="1" t="s">
        <v>229</v>
      </c>
      <c r="FL2337" s="1" t="s">
        <v>456</v>
      </c>
      <c r="FM2337" s="1">
        <v>23156.0</v>
      </c>
      <c r="FN2337" s="1" t="s">
        <v>2553</v>
      </c>
      <c r="FO2337" s="1" t="s">
        <v>14024</v>
      </c>
      <c r="FP2337" s="1">
        <v>233258.0</v>
      </c>
      <c r="FQ2337" s="1" t="s">
        <v>14025</v>
      </c>
      <c r="FU2337" s="1" t="s">
        <v>21505</v>
      </c>
      <c r="FV2337" s="1" t="s">
        <v>200</v>
      </c>
      <c r="FW2337" s="1" t="s">
        <v>1411</v>
      </c>
      <c r="FZ2337" s="1" t="s">
        <v>229</v>
      </c>
      <c r="GA2337" s="1" t="s">
        <v>291</v>
      </c>
      <c r="GB2337" s="2">
        <v>42093.0</v>
      </c>
      <c r="GC2337" s="1" t="s">
        <v>21506</v>
      </c>
    </row>
    <row r="2338">
      <c r="A2338" s="1">
        <v>368000.0</v>
      </c>
      <c r="B2338" s="1" t="s">
        <v>185</v>
      </c>
      <c r="C2338" s="1" t="str">
        <f>"08760743"</f>
        <v>08760743</v>
      </c>
      <c r="D2338" s="1" t="s">
        <v>186</v>
      </c>
      <c r="F2338" s="1" t="str">
        <f>"118"</f>
        <v>118</v>
      </c>
      <c r="G2338" s="2">
        <v>41936.0</v>
      </c>
      <c r="H2338" s="1">
        <v>395000.0</v>
      </c>
      <c r="I2338" s="1">
        <v>132.0</v>
      </c>
      <c r="J2338" s="1">
        <v>395000.0</v>
      </c>
      <c r="K2338" s="2">
        <v>42067.0</v>
      </c>
      <c r="L2338" s="1">
        <v>132.0</v>
      </c>
      <c r="M2338" s="2">
        <v>42067.0</v>
      </c>
      <c r="N2338" s="1" t="s">
        <v>249</v>
      </c>
      <c r="O2338" s="2">
        <v>42128.0</v>
      </c>
      <c r="P2338" s="1">
        <v>83084.0</v>
      </c>
      <c r="Q2338" s="1">
        <v>8094.0</v>
      </c>
      <c r="S2338" s="1" t="s">
        <v>21507</v>
      </c>
      <c r="T2338" s="1" t="s">
        <v>21508</v>
      </c>
      <c r="U2338" s="1" t="s">
        <v>569</v>
      </c>
      <c r="V2338" s="1" t="s">
        <v>1086</v>
      </c>
      <c r="W2338" s="1">
        <v>60118.0</v>
      </c>
      <c r="Y2338" s="1" t="s">
        <v>21509</v>
      </c>
      <c r="Z2338" s="1">
        <v>1990.0</v>
      </c>
      <c r="AA2338" s="1" t="s">
        <v>200</v>
      </c>
      <c r="AB2338" s="1" t="s">
        <v>193</v>
      </c>
      <c r="AC2338" s="1" t="s">
        <v>21510</v>
      </c>
      <c r="AD2338" s="1" t="s">
        <v>810</v>
      </c>
      <c r="AE2338" s="1" t="s">
        <v>325</v>
      </c>
      <c r="AF2338" s="1" t="s">
        <v>810</v>
      </c>
      <c r="AG2338" s="1" t="s">
        <v>752</v>
      </c>
      <c r="AH2338" s="1" t="s">
        <v>21511</v>
      </c>
      <c r="AK2338" s="1">
        <v>9.0</v>
      </c>
      <c r="AL2338" s="1">
        <v>4.0</v>
      </c>
      <c r="AM2338" s="1">
        <v>2.0</v>
      </c>
      <c r="AN2338" s="1">
        <v>1.0</v>
      </c>
      <c r="AO2338" s="1" t="s">
        <v>198</v>
      </c>
      <c r="AP2338" s="1">
        <v>2.0</v>
      </c>
      <c r="AQ2338" s="1" t="s">
        <v>198</v>
      </c>
      <c r="AR2338" s="1" t="s">
        <v>200</v>
      </c>
      <c r="AS2338" s="1" t="s">
        <v>199</v>
      </c>
      <c r="AT2338" s="1">
        <v>3.0</v>
      </c>
      <c r="AV2338" s="1" t="s">
        <v>200</v>
      </c>
      <c r="AW2338" s="1">
        <v>8088.04</v>
      </c>
      <c r="AX2338" s="1">
        <v>2013.0</v>
      </c>
      <c r="AY2338" s="1" t="s">
        <v>1179</v>
      </c>
      <c r="AZ2338" s="1" t="s">
        <v>200</v>
      </c>
      <c r="BA2338" s="1" t="str">
        <f>"0320179007"</f>
        <v>0320179007</v>
      </c>
      <c r="BC2338" s="1">
        <v>3050.0</v>
      </c>
      <c r="BD2338" s="1">
        <v>368000.0</v>
      </c>
      <c r="BE2338" s="2">
        <v>41936.0</v>
      </c>
      <c r="BF2338" s="2" t="s">
        <v>21512</v>
      </c>
      <c r="BG2338" s="1" t="s">
        <v>1181</v>
      </c>
      <c r="BH2338" s="1">
        <v>175.0</v>
      </c>
      <c r="BI2338" s="1" t="s">
        <v>1093</v>
      </c>
      <c r="BJ2338" s="1" t="s">
        <v>1759</v>
      </c>
      <c r="BK2338" s="1" t="s">
        <v>580</v>
      </c>
      <c r="BL2338" s="1" t="str">
        <f t="shared" ref="BL2338:BM2338" si="1523">""</f>
        <v/>
      </c>
      <c r="BM2338" s="1" t="str">
        <f t="shared" si="1523"/>
        <v/>
      </c>
      <c r="BQ2338" s="1">
        <v>300.0</v>
      </c>
      <c r="BR2338" s="1">
        <v>300.0</v>
      </c>
      <c r="BS2338" s="1">
        <v>300.0</v>
      </c>
      <c r="BU2338" s="1" t="s">
        <v>434</v>
      </c>
      <c r="BV2338" s="1" t="s">
        <v>206</v>
      </c>
      <c r="BW2338" s="1" t="s">
        <v>207</v>
      </c>
      <c r="BX2338" s="1" t="s">
        <v>239</v>
      </c>
      <c r="BY2338" s="1" t="s">
        <v>260</v>
      </c>
      <c r="BZ2338" s="1" t="s">
        <v>209</v>
      </c>
      <c r="CA2338" s="1" t="s">
        <v>210</v>
      </c>
      <c r="CB2338" s="1" t="s">
        <v>239</v>
      </c>
      <c r="CC2338" s="1" t="s">
        <v>213</v>
      </c>
      <c r="CD2338" s="1" t="s">
        <v>206</v>
      </c>
      <c r="CE2338" s="1" t="s">
        <v>207</v>
      </c>
      <c r="CF2338" s="1" t="s">
        <v>239</v>
      </c>
      <c r="CG2338" s="1" t="s">
        <v>433</v>
      </c>
      <c r="CH2338" s="1" t="s">
        <v>209</v>
      </c>
      <c r="CI2338" s="1" t="s">
        <v>210</v>
      </c>
      <c r="CJ2338" s="1" t="s">
        <v>239</v>
      </c>
      <c r="CK2338" s="1" t="s">
        <v>433</v>
      </c>
      <c r="CL2338" s="1" t="s">
        <v>209</v>
      </c>
      <c r="CM2338" s="1" t="s">
        <v>210</v>
      </c>
      <c r="CN2338" s="1" t="s">
        <v>239</v>
      </c>
      <c r="CO2338" s="1" t="s">
        <v>433</v>
      </c>
      <c r="CP2338" s="1" t="s">
        <v>209</v>
      </c>
      <c r="CQ2338" s="1" t="s">
        <v>210</v>
      </c>
      <c r="CR2338" s="1" t="s">
        <v>239</v>
      </c>
      <c r="CS2338" s="1" t="s">
        <v>3539</v>
      </c>
      <c r="CT2338" s="1" t="s">
        <v>206</v>
      </c>
      <c r="CU2338" s="1" t="s">
        <v>268</v>
      </c>
      <c r="CV2338" s="1" t="s">
        <v>239</v>
      </c>
      <c r="CW2338" s="1" t="s">
        <v>1825</v>
      </c>
      <c r="CX2338" s="1" t="s">
        <v>206</v>
      </c>
      <c r="CY2338" s="1" t="s">
        <v>207</v>
      </c>
      <c r="CZ2338" s="1" t="s">
        <v>239</v>
      </c>
      <c r="DA2338" s="1" t="s">
        <v>200</v>
      </c>
      <c r="DC2338" s="1" t="s">
        <v>435</v>
      </c>
      <c r="DD2338" s="1" t="s">
        <v>926</v>
      </c>
      <c r="DE2338" s="1" t="s">
        <v>218</v>
      </c>
      <c r="DF2338" s="1" t="s">
        <v>2328</v>
      </c>
      <c r="DG2338" s="1" t="s">
        <v>2123</v>
      </c>
      <c r="DH2338" s="1" t="s">
        <v>856</v>
      </c>
      <c r="DI2338" s="1" t="s">
        <v>703</v>
      </c>
      <c r="DJ2338" s="1" t="s">
        <v>857</v>
      </c>
      <c r="DL2338" s="1" t="s">
        <v>223</v>
      </c>
      <c r="DM2338" s="1" t="s">
        <v>929</v>
      </c>
      <c r="DN2338" s="1" t="s">
        <v>399</v>
      </c>
      <c r="DO2338" s="1" t="s">
        <v>11067</v>
      </c>
      <c r="DP2338" s="1" t="s">
        <v>340</v>
      </c>
      <c r="DQ2338" s="1" t="s">
        <v>931</v>
      </c>
      <c r="DR2338" s="1" t="s">
        <v>588</v>
      </c>
      <c r="DU2338" s="1" t="s">
        <v>21513</v>
      </c>
      <c r="DV2338" s="1" t="s">
        <v>8529</v>
      </c>
      <c r="DW2338" s="1" t="s">
        <v>891</v>
      </c>
      <c r="DX2338" s="1" t="s">
        <v>234</v>
      </c>
      <c r="DY2338" s="1" t="s">
        <v>1821</v>
      </c>
      <c r="DZ2338" s="1" t="s">
        <v>310</v>
      </c>
      <c r="EA2338" s="1" t="s">
        <v>1027</v>
      </c>
      <c r="EB2338" s="1" t="s">
        <v>2183</v>
      </c>
      <c r="EC2338" s="1" t="s">
        <v>237</v>
      </c>
      <c r="ED2338" s="1" t="s">
        <v>864</v>
      </c>
      <c r="EE2338" s="1" t="s">
        <v>187</v>
      </c>
      <c r="EG2338" s="1" t="s">
        <v>494</v>
      </c>
      <c r="EH2338" s="1" t="s">
        <v>1102</v>
      </c>
      <c r="EL2338" s="1" t="s">
        <v>331</v>
      </c>
      <c r="EM2338" s="1" t="s">
        <v>206</v>
      </c>
      <c r="EN2338" s="1" t="s">
        <v>207</v>
      </c>
      <c r="EO2338" s="1" t="s">
        <v>239</v>
      </c>
      <c r="EP2338" s="1" t="s">
        <v>1483</v>
      </c>
      <c r="EQ2338" s="1" t="s">
        <v>206</v>
      </c>
      <c r="ER2338" s="1" t="s">
        <v>207</v>
      </c>
      <c r="ES2338" s="1" t="s">
        <v>239</v>
      </c>
      <c r="EU2338" s="1" t="s">
        <v>238</v>
      </c>
      <c r="EY2338" s="1" t="s">
        <v>238</v>
      </c>
      <c r="FC2338" s="1" t="s">
        <v>238</v>
      </c>
      <c r="FF2338" s="1" t="s">
        <v>239</v>
      </c>
      <c r="FG2338" s="1" t="s">
        <v>192</v>
      </c>
      <c r="FH2338" s="1" t="s">
        <v>192</v>
      </c>
      <c r="FJ2338" s="1" t="s">
        <v>7646</v>
      </c>
      <c r="FK2338" s="1" t="s">
        <v>229</v>
      </c>
      <c r="FL2338" s="1" t="s">
        <v>3218</v>
      </c>
      <c r="FM2338" s="1">
        <v>5040.0</v>
      </c>
      <c r="FN2338" s="1" t="s">
        <v>4893</v>
      </c>
      <c r="FO2338" s="1" t="s">
        <v>21514</v>
      </c>
      <c r="FP2338" s="1">
        <v>52787.0</v>
      </c>
      <c r="FQ2338" s="1" t="s">
        <v>21515</v>
      </c>
      <c r="FS2338" s="1" t="s">
        <v>21516</v>
      </c>
      <c r="FU2338" s="1" t="s">
        <v>6385</v>
      </c>
      <c r="FV2338" s="1" t="s">
        <v>200</v>
      </c>
      <c r="FW2338" s="1" t="s">
        <v>21517</v>
      </c>
      <c r="FZ2338" s="1" t="s">
        <v>229</v>
      </c>
      <c r="GA2338" s="1" t="s">
        <v>291</v>
      </c>
      <c r="GB2338" s="2">
        <v>42128.0</v>
      </c>
    </row>
    <row r="2339">
      <c r="A2339" s="1">
        <v>227000.0</v>
      </c>
      <c r="B2339" s="1" t="s">
        <v>185</v>
      </c>
      <c r="C2339" s="1" t="str">
        <f>"08758728"</f>
        <v>08758728</v>
      </c>
      <c r="D2339" s="1" t="s">
        <v>186</v>
      </c>
      <c r="F2339" s="1" t="str">
        <f>"8018"</f>
        <v>8018</v>
      </c>
      <c r="G2339" s="2">
        <v>41934.0</v>
      </c>
      <c r="H2339" s="1">
        <v>239900.0</v>
      </c>
      <c r="I2339" s="1">
        <v>252.0</v>
      </c>
      <c r="J2339" s="1">
        <v>229900.0</v>
      </c>
      <c r="K2339" s="2">
        <v>42008.0</v>
      </c>
      <c r="L2339" s="1">
        <v>75.0</v>
      </c>
      <c r="M2339" s="2">
        <v>42008.0</v>
      </c>
      <c r="N2339" s="1" t="s">
        <v>187</v>
      </c>
      <c r="O2339" s="2">
        <v>42053.0</v>
      </c>
      <c r="P2339" s="1">
        <v>80350.0</v>
      </c>
      <c r="Q2339" s="1">
        <v>22029.0</v>
      </c>
      <c r="R2339" s="1">
        <v>5000.0</v>
      </c>
      <c r="S2339" s="1">
        <v>2737.0</v>
      </c>
      <c r="T2339" s="1" t="s">
        <v>14608</v>
      </c>
      <c r="U2339" s="1" t="s">
        <v>189</v>
      </c>
      <c r="V2339" s="1" t="s">
        <v>190</v>
      </c>
      <c r="W2339" s="1">
        <v>60707.0</v>
      </c>
      <c r="Y2339" s="1" t="s">
        <v>21518</v>
      </c>
      <c r="Z2339" s="1">
        <v>1923.0</v>
      </c>
      <c r="AA2339" s="1" t="s">
        <v>192</v>
      </c>
      <c r="AB2339" s="1" t="s">
        <v>193</v>
      </c>
      <c r="AC2339" s="1" t="s">
        <v>17788</v>
      </c>
      <c r="AD2339" s="1" t="s">
        <v>194</v>
      </c>
      <c r="AE2339" s="1" t="s">
        <v>195</v>
      </c>
      <c r="AF2339" s="1" t="s">
        <v>196</v>
      </c>
      <c r="AH2339" s="1" t="s">
        <v>9060</v>
      </c>
      <c r="AI2339" s="1">
        <v>0.1085</v>
      </c>
      <c r="AK2339" s="1">
        <v>8.0</v>
      </c>
      <c r="AL2339" s="1">
        <v>4.0</v>
      </c>
      <c r="AM2339" s="1">
        <v>3.0</v>
      </c>
      <c r="AN2339" s="1">
        <v>0.0</v>
      </c>
      <c r="AO2339" s="1" t="s">
        <v>229</v>
      </c>
      <c r="AQ2339" s="1" t="s">
        <v>198</v>
      </c>
      <c r="AR2339" s="1" t="s">
        <v>192</v>
      </c>
      <c r="AS2339" s="1" t="s">
        <v>199</v>
      </c>
      <c r="AT2339" s="1">
        <v>2.0</v>
      </c>
      <c r="AV2339" s="1" t="s">
        <v>200</v>
      </c>
      <c r="AW2339" s="1">
        <v>2926.03</v>
      </c>
      <c r="AX2339" s="1">
        <v>2012.0</v>
      </c>
      <c r="AZ2339" s="1" t="s">
        <v>200</v>
      </c>
      <c r="BA2339" s="1" t="str">
        <f>"13303070060000"</f>
        <v>13303070060000</v>
      </c>
      <c r="BB2339" s="1" t="s">
        <v>200</v>
      </c>
      <c r="BC2339" s="1">
        <v>0.0</v>
      </c>
      <c r="BD2339" s="1">
        <v>227000.0</v>
      </c>
      <c r="BE2339" s="2">
        <v>41934.0</v>
      </c>
      <c r="BF2339" s="2" t="s">
        <v>21519</v>
      </c>
      <c r="BH2339" s="1">
        <v>0.0</v>
      </c>
      <c r="BK2339" s="1" t="s">
        <v>204</v>
      </c>
      <c r="BL2339" s="1" t="str">
        <f>"2737"</f>
        <v>2737</v>
      </c>
      <c r="BM2339" s="1" t="str">
        <f t="shared" ref="BM2339:BM2341" si="1524">"0"</f>
        <v>0</v>
      </c>
      <c r="BN2339" s="1">
        <v>6900.0</v>
      </c>
      <c r="BO2339" s="1">
        <v>0.0</v>
      </c>
      <c r="BQ2339" s="1">
        <v>299.0</v>
      </c>
      <c r="BR2339" s="1">
        <v>299.0</v>
      </c>
      <c r="BS2339" s="1">
        <v>299.0</v>
      </c>
      <c r="BU2339" s="1" t="s">
        <v>478</v>
      </c>
      <c r="BV2339" s="1" t="s">
        <v>206</v>
      </c>
      <c r="BW2339" s="1" t="s">
        <v>210</v>
      </c>
      <c r="BY2339" s="1" t="s">
        <v>264</v>
      </c>
      <c r="BZ2339" s="1" t="s">
        <v>206</v>
      </c>
      <c r="CA2339" s="1" t="s">
        <v>210</v>
      </c>
      <c r="CC2339" s="1" t="s">
        <v>363</v>
      </c>
      <c r="CD2339" s="1" t="s">
        <v>206</v>
      </c>
      <c r="CE2339" s="1" t="s">
        <v>210</v>
      </c>
      <c r="CG2339" s="1" t="s">
        <v>269</v>
      </c>
      <c r="CH2339" s="1" t="s">
        <v>206</v>
      </c>
      <c r="CI2339" s="1" t="s">
        <v>210</v>
      </c>
      <c r="CK2339" s="1" t="s">
        <v>1395</v>
      </c>
      <c r="CL2339" s="1" t="s">
        <v>209</v>
      </c>
      <c r="CM2339" s="1" t="s">
        <v>207</v>
      </c>
      <c r="CO2339" s="1" t="s">
        <v>2224</v>
      </c>
      <c r="CP2339" s="1" t="s">
        <v>209</v>
      </c>
      <c r="CQ2339" s="1" t="s">
        <v>207</v>
      </c>
      <c r="CS2339" s="1" t="s">
        <v>2082</v>
      </c>
      <c r="CT2339" s="1" t="s">
        <v>206</v>
      </c>
      <c r="CU2339" s="1" t="s">
        <v>268</v>
      </c>
      <c r="CW2339" s="1" t="s">
        <v>3092</v>
      </c>
      <c r="CX2339" s="1" t="s">
        <v>42</v>
      </c>
      <c r="CY2339" s="1" t="s">
        <v>617</v>
      </c>
      <c r="DA2339" s="1" t="s">
        <v>200</v>
      </c>
      <c r="DC2339" s="1" t="s">
        <v>216</v>
      </c>
      <c r="DD2339" s="1" t="s">
        <v>396</v>
      </c>
      <c r="DE2339" s="1" t="s">
        <v>273</v>
      </c>
      <c r="DF2339" s="1" t="s">
        <v>219</v>
      </c>
      <c r="DG2339" s="1" t="s">
        <v>337</v>
      </c>
      <c r="DH2339" s="1" t="s">
        <v>365</v>
      </c>
      <c r="DI2339" s="1" t="s">
        <v>3624</v>
      </c>
      <c r="DJ2339" s="1" t="s">
        <v>222</v>
      </c>
      <c r="DL2339" s="1" t="s">
        <v>986</v>
      </c>
      <c r="DM2339" s="1" t="s">
        <v>229</v>
      </c>
      <c r="DO2339" s="1" t="s">
        <v>549</v>
      </c>
      <c r="DP2339" s="1" t="s">
        <v>340</v>
      </c>
      <c r="DQ2339" s="1" t="s">
        <v>794</v>
      </c>
      <c r="DR2339" s="1" t="s">
        <v>229</v>
      </c>
      <c r="DV2339" s="1" t="s">
        <v>2877</v>
      </c>
      <c r="DW2339" s="1" t="s">
        <v>279</v>
      </c>
      <c r="DX2339" s="1" t="s">
        <v>234</v>
      </c>
      <c r="DY2339" s="1" t="s">
        <v>9395</v>
      </c>
      <c r="EA2339" s="1" t="s">
        <v>1075</v>
      </c>
      <c r="EC2339" s="1" t="s">
        <v>645</v>
      </c>
      <c r="ED2339" s="1" t="s">
        <v>407</v>
      </c>
      <c r="EG2339" s="1" t="s">
        <v>2877</v>
      </c>
      <c r="EL2339" s="1" t="s">
        <v>21520</v>
      </c>
      <c r="EM2339" s="1" t="s">
        <v>206</v>
      </c>
      <c r="EN2339" s="1" t="s">
        <v>268</v>
      </c>
      <c r="EQ2339" s="1" t="s">
        <v>238</v>
      </c>
      <c r="EU2339" s="1" t="s">
        <v>238</v>
      </c>
      <c r="EY2339" s="1" t="s">
        <v>238</v>
      </c>
      <c r="FC2339" s="1" t="s">
        <v>238</v>
      </c>
      <c r="FF2339" s="1" t="s">
        <v>239</v>
      </c>
      <c r="FG2339" s="1" t="s">
        <v>192</v>
      </c>
      <c r="FH2339" s="1" t="s">
        <v>192</v>
      </c>
      <c r="FJ2339" s="1" t="s">
        <v>21521</v>
      </c>
      <c r="FK2339" s="1" t="s">
        <v>229</v>
      </c>
      <c r="FL2339" s="1" t="s">
        <v>3807</v>
      </c>
      <c r="FM2339" s="1">
        <v>12664.0</v>
      </c>
      <c r="FN2339" s="1" t="s">
        <v>3808</v>
      </c>
      <c r="FO2339" s="1" t="s">
        <v>21522</v>
      </c>
      <c r="FP2339" s="1">
        <v>130011.0</v>
      </c>
      <c r="FQ2339" s="1" t="s">
        <v>21523</v>
      </c>
      <c r="FU2339" s="1" t="s">
        <v>21524</v>
      </c>
      <c r="FV2339" s="1" t="s">
        <v>200</v>
      </c>
      <c r="FW2339" s="1" t="s">
        <v>290</v>
      </c>
      <c r="FX2339" s="1" t="s">
        <v>238</v>
      </c>
      <c r="FZ2339" s="1" t="s">
        <v>229</v>
      </c>
      <c r="GA2339" s="1" t="s">
        <v>291</v>
      </c>
      <c r="GB2339" s="2">
        <v>42054.0</v>
      </c>
    </row>
    <row r="2340">
      <c r="A2340" s="1">
        <v>260000.0</v>
      </c>
      <c r="B2340" s="1" t="s">
        <v>185</v>
      </c>
      <c r="C2340" s="1" t="str">
        <f>"08750362"</f>
        <v>08750362</v>
      </c>
      <c r="D2340" s="1" t="s">
        <v>186</v>
      </c>
      <c r="F2340" s="1" t="str">
        <f>"123"</f>
        <v>123</v>
      </c>
      <c r="G2340" s="2">
        <v>41922.0</v>
      </c>
      <c r="H2340" s="1">
        <v>289900.0</v>
      </c>
      <c r="I2340" s="1">
        <v>188.0</v>
      </c>
      <c r="J2340" s="1">
        <v>289900.0</v>
      </c>
      <c r="K2340" s="2">
        <v>41969.0</v>
      </c>
      <c r="L2340" s="1">
        <v>48.0</v>
      </c>
      <c r="M2340" s="2">
        <v>41969.0</v>
      </c>
      <c r="N2340" s="1" t="s">
        <v>249</v>
      </c>
      <c r="O2340" s="2">
        <v>42041.0</v>
      </c>
      <c r="P2340" s="1">
        <v>153079.0</v>
      </c>
      <c r="Q2340" s="1">
        <v>10267.0</v>
      </c>
      <c r="S2340" s="1" t="s">
        <v>21525</v>
      </c>
      <c r="T2340" s="1" t="s">
        <v>16277</v>
      </c>
      <c r="U2340" s="1" t="s">
        <v>4857</v>
      </c>
      <c r="V2340" s="1" t="s">
        <v>465</v>
      </c>
      <c r="W2340" s="1">
        <v>60124.0</v>
      </c>
      <c r="X2340" s="1">
        <v>7993.0</v>
      </c>
      <c r="Y2340" s="1" t="s">
        <v>21526</v>
      </c>
      <c r="Z2340" s="1">
        <v>1988.0</v>
      </c>
      <c r="AA2340" s="1" t="s">
        <v>200</v>
      </c>
      <c r="AB2340" s="1" t="s">
        <v>193</v>
      </c>
      <c r="AC2340" s="1" t="s">
        <v>16279</v>
      </c>
      <c r="AD2340" s="1" t="s">
        <v>1089</v>
      </c>
      <c r="AE2340" s="1" t="s">
        <v>325</v>
      </c>
      <c r="AF2340" s="1" t="s">
        <v>572</v>
      </c>
      <c r="AH2340" s="1" t="s">
        <v>21527</v>
      </c>
      <c r="AI2340" s="1">
        <v>2.13</v>
      </c>
      <c r="AK2340" s="1">
        <v>10.0</v>
      </c>
      <c r="AL2340" s="1">
        <v>3.0</v>
      </c>
      <c r="AM2340" s="1">
        <v>3.0</v>
      </c>
      <c r="AN2340" s="1">
        <v>0.0</v>
      </c>
      <c r="AO2340" s="1" t="s">
        <v>198</v>
      </c>
      <c r="AP2340" s="1">
        <v>1.0</v>
      </c>
      <c r="AQ2340" s="1" t="s">
        <v>198</v>
      </c>
      <c r="AR2340" s="1" t="s">
        <v>192</v>
      </c>
      <c r="AS2340" s="1" t="s">
        <v>199</v>
      </c>
      <c r="AT2340" s="1">
        <v>3.0</v>
      </c>
      <c r="AV2340" s="1" t="s">
        <v>200</v>
      </c>
      <c r="AW2340" s="1">
        <v>9557.34</v>
      </c>
      <c r="AX2340" s="1">
        <v>2013.0</v>
      </c>
      <c r="AY2340" s="1" t="s">
        <v>387</v>
      </c>
      <c r="AZ2340" s="1" t="s">
        <v>200</v>
      </c>
      <c r="BA2340" s="1" t="str">
        <f>"0501251006"</f>
        <v>0501251006</v>
      </c>
      <c r="BC2340" s="1">
        <v>2020.0</v>
      </c>
      <c r="BD2340" s="1">
        <v>260000.0</v>
      </c>
      <c r="BE2340" s="2">
        <v>41922.0</v>
      </c>
      <c r="BF2340" s="2" t="s">
        <v>21528</v>
      </c>
      <c r="BG2340" s="1" t="s">
        <v>1974</v>
      </c>
      <c r="BH2340" s="1">
        <v>0.0</v>
      </c>
      <c r="BI2340" s="1" t="s">
        <v>578</v>
      </c>
      <c r="BJ2340" s="1" t="s">
        <v>579</v>
      </c>
      <c r="BK2340" s="1" t="s">
        <v>204</v>
      </c>
      <c r="BL2340" s="1" t="str">
        <f>"13"</f>
        <v>13</v>
      </c>
      <c r="BM2340" s="1" t="str">
        <f t="shared" si="1524"/>
        <v>0</v>
      </c>
      <c r="BN2340" s="1">
        <v>39.0</v>
      </c>
      <c r="BO2340" s="1">
        <v>0.0</v>
      </c>
      <c r="BQ2340" s="1">
        <v>301.0</v>
      </c>
      <c r="BR2340" s="1">
        <v>301.0</v>
      </c>
      <c r="BS2340" s="1">
        <v>301.0</v>
      </c>
      <c r="BU2340" s="1" t="s">
        <v>434</v>
      </c>
      <c r="BV2340" s="1" t="s">
        <v>206</v>
      </c>
      <c r="BW2340" s="1" t="s">
        <v>210</v>
      </c>
      <c r="BX2340" s="1" t="s">
        <v>1549</v>
      </c>
      <c r="BY2340" s="1" t="s">
        <v>784</v>
      </c>
      <c r="BZ2340" s="1" t="s">
        <v>206</v>
      </c>
      <c r="CA2340" s="1" t="s">
        <v>617</v>
      </c>
      <c r="CB2340" s="1" t="s">
        <v>239</v>
      </c>
      <c r="CC2340" s="1" t="s">
        <v>332</v>
      </c>
      <c r="CD2340" s="1" t="s">
        <v>206</v>
      </c>
      <c r="CE2340" s="1" t="s">
        <v>210</v>
      </c>
      <c r="CF2340" s="1" t="s">
        <v>1549</v>
      </c>
      <c r="CG2340" s="1" t="s">
        <v>331</v>
      </c>
      <c r="CH2340" s="1" t="s">
        <v>206</v>
      </c>
      <c r="CI2340" s="1" t="s">
        <v>210</v>
      </c>
      <c r="CJ2340" s="1" t="s">
        <v>239</v>
      </c>
      <c r="CK2340" s="1" t="s">
        <v>212</v>
      </c>
      <c r="CL2340" s="1" t="s">
        <v>206</v>
      </c>
      <c r="CM2340" s="1" t="s">
        <v>210</v>
      </c>
      <c r="CN2340" s="1" t="s">
        <v>239</v>
      </c>
      <c r="CO2340" s="1" t="s">
        <v>331</v>
      </c>
      <c r="CP2340" s="1" t="s">
        <v>42</v>
      </c>
      <c r="CQ2340" s="1" t="s">
        <v>301</v>
      </c>
      <c r="CR2340" s="1" t="s">
        <v>239</v>
      </c>
      <c r="CS2340" s="1" t="s">
        <v>541</v>
      </c>
      <c r="CT2340" s="1" t="s">
        <v>206</v>
      </c>
      <c r="CU2340" s="1" t="s">
        <v>617</v>
      </c>
      <c r="CV2340" s="1" t="s">
        <v>1549</v>
      </c>
      <c r="CW2340" s="1" t="s">
        <v>544</v>
      </c>
      <c r="CX2340" s="1" t="s">
        <v>42</v>
      </c>
      <c r="CY2340" s="1" t="s">
        <v>617</v>
      </c>
      <c r="CZ2340" s="1" t="s">
        <v>229</v>
      </c>
      <c r="DA2340" s="1" t="s">
        <v>200</v>
      </c>
      <c r="DC2340" s="1" t="s">
        <v>305</v>
      </c>
      <c r="DD2340" s="1" t="s">
        <v>518</v>
      </c>
      <c r="DE2340" s="1" t="s">
        <v>273</v>
      </c>
      <c r="DF2340" s="1" t="s">
        <v>219</v>
      </c>
      <c r="DG2340" s="1" t="s">
        <v>1553</v>
      </c>
      <c r="DH2340" s="1" t="s">
        <v>856</v>
      </c>
      <c r="DI2340" s="1" t="s">
        <v>8963</v>
      </c>
      <c r="DJ2340" s="1" t="s">
        <v>857</v>
      </c>
      <c r="DK2340" s="1" t="s">
        <v>223</v>
      </c>
      <c r="DL2340" s="1" t="s">
        <v>224</v>
      </c>
      <c r="DM2340" s="1" t="s">
        <v>338</v>
      </c>
      <c r="DN2340" s="1" t="s">
        <v>399</v>
      </c>
      <c r="DO2340" s="1" t="s">
        <v>486</v>
      </c>
      <c r="DP2340" s="1" t="s">
        <v>340</v>
      </c>
      <c r="DQ2340" s="1" t="s">
        <v>860</v>
      </c>
      <c r="DR2340" s="1" t="s">
        <v>229</v>
      </c>
      <c r="DS2340" s="1" t="s">
        <v>368</v>
      </c>
      <c r="DU2340" s="1" t="s">
        <v>1005</v>
      </c>
      <c r="DV2340" s="1" t="s">
        <v>4425</v>
      </c>
      <c r="DW2340" s="1" t="s">
        <v>370</v>
      </c>
      <c r="DX2340" s="1" t="s">
        <v>234</v>
      </c>
      <c r="DY2340" s="1" t="s">
        <v>13201</v>
      </c>
      <c r="DZ2340" s="1" t="s">
        <v>236</v>
      </c>
      <c r="EA2340" s="1" t="s">
        <v>683</v>
      </c>
      <c r="EB2340" s="1" t="s">
        <v>448</v>
      </c>
      <c r="EC2340" s="1" t="s">
        <v>685</v>
      </c>
      <c r="ED2340" s="1" t="s">
        <v>407</v>
      </c>
      <c r="EG2340" s="1" t="s">
        <v>450</v>
      </c>
      <c r="EH2340" s="1" t="s">
        <v>451</v>
      </c>
      <c r="EL2340" s="1" t="s">
        <v>5655</v>
      </c>
      <c r="EM2340" s="1" t="s">
        <v>42</v>
      </c>
      <c r="EN2340" s="1" t="s">
        <v>617</v>
      </c>
      <c r="EO2340" s="1" t="s">
        <v>229</v>
      </c>
      <c r="EP2340" s="1" t="s">
        <v>647</v>
      </c>
      <c r="EQ2340" s="1" t="s">
        <v>42</v>
      </c>
      <c r="ER2340" s="1" t="s">
        <v>617</v>
      </c>
      <c r="ES2340" s="1" t="s">
        <v>229</v>
      </c>
      <c r="EU2340" s="1" t="s">
        <v>238</v>
      </c>
      <c r="EY2340" s="1" t="s">
        <v>238</v>
      </c>
      <c r="FC2340" s="1" t="s">
        <v>238</v>
      </c>
      <c r="FF2340" s="1" t="s">
        <v>239</v>
      </c>
      <c r="FG2340" s="1" t="s">
        <v>192</v>
      </c>
      <c r="FH2340" s="1" t="s">
        <v>192</v>
      </c>
      <c r="FJ2340" s="1" t="s">
        <v>4181</v>
      </c>
      <c r="FK2340" s="1" t="s">
        <v>229</v>
      </c>
      <c r="FL2340" s="1" t="s">
        <v>1358</v>
      </c>
      <c r="FM2340" s="1">
        <v>23591.0</v>
      </c>
      <c r="FN2340" s="1" t="s">
        <v>2134</v>
      </c>
      <c r="FO2340" s="1" t="s">
        <v>21529</v>
      </c>
      <c r="FP2340" s="1">
        <v>238181.0</v>
      </c>
      <c r="FU2340" s="1" t="s">
        <v>21530</v>
      </c>
      <c r="FV2340" s="1" t="s">
        <v>200</v>
      </c>
      <c r="FW2340" s="1" t="s">
        <v>290</v>
      </c>
      <c r="FZ2340" s="1" t="s">
        <v>229</v>
      </c>
      <c r="GA2340" s="1" t="s">
        <v>291</v>
      </c>
      <c r="GB2340" s="2">
        <v>42044.0</v>
      </c>
      <c r="GC2340" s="1" t="s">
        <v>21531</v>
      </c>
    </row>
    <row r="2341">
      <c r="A2341" s="1">
        <v>1610000.0</v>
      </c>
      <c r="B2341" s="1" t="s">
        <v>185</v>
      </c>
      <c r="C2341" s="1" t="str">
        <f>"08745845"</f>
        <v>08745845</v>
      </c>
      <c r="D2341" s="1" t="s">
        <v>186</v>
      </c>
      <c r="F2341" s="1" t="str">
        <f>"8007"</f>
        <v>8007</v>
      </c>
      <c r="G2341" s="2">
        <v>41918.0</v>
      </c>
      <c r="H2341" s="1">
        <v>1687500.0</v>
      </c>
      <c r="I2341" s="1">
        <v>18.0</v>
      </c>
      <c r="J2341" s="1">
        <v>1649000.0</v>
      </c>
      <c r="K2341" s="2">
        <v>41935.0</v>
      </c>
      <c r="L2341" s="1">
        <v>18.0</v>
      </c>
      <c r="M2341" s="2">
        <v>41935.0</v>
      </c>
      <c r="N2341" s="1" t="s">
        <v>187</v>
      </c>
      <c r="O2341" s="2">
        <v>41981.0</v>
      </c>
      <c r="P2341" s="1">
        <v>129168.0</v>
      </c>
      <c r="Q2341" s="1">
        <v>85475.0</v>
      </c>
      <c r="S2341" s="1">
        <v>1242.0</v>
      </c>
      <c r="T2341" s="1" t="s">
        <v>21532</v>
      </c>
      <c r="U2341" s="1" t="s">
        <v>320</v>
      </c>
      <c r="V2341" s="1" t="s">
        <v>190</v>
      </c>
      <c r="W2341" s="1">
        <v>60614.0</v>
      </c>
      <c r="Y2341" s="1" t="s">
        <v>21533</v>
      </c>
      <c r="Z2341" s="1">
        <v>2004.0</v>
      </c>
      <c r="AA2341" s="1" t="s">
        <v>200</v>
      </c>
      <c r="AB2341" s="1" t="s">
        <v>193</v>
      </c>
      <c r="AD2341" s="1" t="s">
        <v>194</v>
      </c>
      <c r="AE2341" s="1" t="s">
        <v>195</v>
      </c>
      <c r="AF2341" s="1" t="s">
        <v>534</v>
      </c>
      <c r="AH2341" s="1" t="s">
        <v>21534</v>
      </c>
      <c r="AK2341" s="1">
        <v>10.0</v>
      </c>
      <c r="AL2341" s="1">
        <v>4.0</v>
      </c>
      <c r="AM2341" s="1">
        <v>3.0</v>
      </c>
      <c r="AN2341" s="1">
        <v>2.0</v>
      </c>
      <c r="AO2341" s="1" t="s">
        <v>198</v>
      </c>
      <c r="AP2341" s="1">
        <v>1.0</v>
      </c>
      <c r="AQ2341" s="1" t="s">
        <v>257</v>
      </c>
      <c r="AR2341" s="1" t="s">
        <v>192</v>
      </c>
      <c r="AS2341" s="1" t="s">
        <v>199</v>
      </c>
      <c r="AT2341" s="1">
        <v>3.0</v>
      </c>
      <c r="AV2341" s="1" t="s">
        <v>200</v>
      </c>
      <c r="AW2341" s="1">
        <v>17883.0</v>
      </c>
      <c r="AX2341" s="1">
        <v>2012.0</v>
      </c>
      <c r="AY2341" s="1" t="s">
        <v>387</v>
      </c>
      <c r="AZ2341" s="1" t="s">
        <v>200</v>
      </c>
      <c r="BA2341" s="1" t="str">
        <f>"14293160060000"</f>
        <v>14293160060000</v>
      </c>
      <c r="BC2341" s="1">
        <v>4000.0</v>
      </c>
      <c r="BD2341" s="1">
        <v>1610000.0</v>
      </c>
      <c r="BE2341" s="2">
        <v>41918.0</v>
      </c>
      <c r="BF2341" s="2" t="s">
        <v>21535</v>
      </c>
      <c r="BG2341" s="1" t="s">
        <v>3588</v>
      </c>
      <c r="BH2341" s="1">
        <v>0.0</v>
      </c>
      <c r="BJ2341" s="1" t="s">
        <v>2871</v>
      </c>
      <c r="BK2341" s="1" t="s">
        <v>204</v>
      </c>
      <c r="BL2341" s="1" t="str">
        <f>"2500"</f>
        <v>2500</v>
      </c>
      <c r="BM2341" s="1" t="str">
        <f t="shared" si="1524"/>
        <v>0</v>
      </c>
      <c r="BN2341" s="1">
        <v>1242.0</v>
      </c>
      <c r="BO2341" s="1">
        <v>0.0</v>
      </c>
      <c r="BQ2341" s="1">
        <v>299.0</v>
      </c>
      <c r="BR2341" s="1">
        <v>299.0</v>
      </c>
      <c r="BS2341" s="1">
        <v>299.0</v>
      </c>
      <c r="BU2341" s="1" t="s">
        <v>433</v>
      </c>
      <c r="BV2341" s="1" t="s">
        <v>206</v>
      </c>
      <c r="BW2341" s="1" t="s">
        <v>207</v>
      </c>
      <c r="BY2341" s="1" t="s">
        <v>1244</v>
      </c>
      <c r="BZ2341" s="1" t="s">
        <v>209</v>
      </c>
      <c r="CA2341" s="1" t="s">
        <v>207</v>
      </c>
      <c r="CC2341" s="1" t="s">
        <v>584</v>
      </c>
      <c r="CD2341" s="1" t="s">
        <v>206</v>
      </c>
      <c r="CE2341" s="1" t="s">
        <v>207</v>
      </c>
      <c r="CG2341" s="1" t="s">
        <v>2459</v>
      </c>
      <c r="CH2341" s="1" t="s">
        <v>209</v>
      </c>
      <c r="CI2341" s="1" t="s">
        <v>207</v>
      </c>
      <c r="CK2341" s="1" t="s">
        <v>2459</v>
      </c>
      <c r="CL2341" s="1" t="s">
        <v>209</v>
      </c>
      <c r="CM2341" s="1" t="s">
        <v>207</v>
      </c>
      <c r="CO2341" s="1" t="s">
        <v>478</v>
      </c>
      <c r="CP2341" s="1" t="s">
        <v>267</v>
      </c>
      <c r="CQ2341" s="1" t="s">
        <v>210</v>
      </c>
      <c r="CS2341" s="1" t="s">
        <v>6146</v>
      </c>
      <c r="CT2341" s="1" t="s">
        <v>206</v>
      </c>
      <c r="CU2341" s="1" t="s">
        <v>207</v>
      </c>
      <c r="CW2341" s="1" t="s">
        <v>3154</v>
      </c>
      <c r="CX2341" s="1" t="s">
        <v>206</v>
      </c>
      <c r="CY2341" s="1" t="s">
        <v>207</v>
      </c>
      <c r="DA2341" s="1" t="s">
        <v>200</v>
      </c>
      <c r="DC2341" s="1" t="s">
        <v>481</v>
      </c>
      <c r="DD2341" s="1" t="s">
        <v>1930</v>
      </c>
      <c r="DE2341" s="1" t="s">
        <v>218</v>
      </c>
      <c r="DF2341" s="1" t="s">
        <v>219</v>
      </c>
      <c r="DG2341" s="1" t="s">
        <v>1657</v>
      </c>
      <c r="DH2341" s="1" t="s">
        <v>365</v>
      </c>
      <c r="DI2341" s="1" t="s">
        <v>21536</v>
      </c>
      <c r="DJ2341" s="1" t="s">
        <v>3345</v>
      </c>
      <c r="DK2341" s="1" t="s">
        <v>3740</v>
      </c>
      <c r="DL2341" s="1" t="s">
        <v>1161</v>
      </c>
      <c r="DM2341" s="1" t="s">
        <v>229</v>
      </c>
      <c r="DN2341" s="1" t="s">
        <v>2873</v>
      </c>
      <c r="DP2341" s="1" t="s">
        <v>340</v>
      </c>
      <c r="DQ2341" s="1" t="s">
        <v>718</v>
      </c>
      <c r="DR2341" s="1" t="s">
        <v>229</v>
      </c>
      <c r="DS2341" s="1" t="s">
        <v>368</v>
      </c>
      <c r="DV2341" s="1" t="s">
        <v>21537</v>
      </c>
      <c r="DW2341" s="1" t="s">
        <v>3876</v>
      </c>
      <c r="DX2341" s="1" t="s">
        <v>234</v>
      </c>
      <c r="DY2341" s="1" t="s">
        <v>21538</v>
      </c>
      <c r="EA2341" s="1" t="s">
        <v>344</v>
      </c>
      <c r="EB2341" s="1" t="s">
        <v>4251</v>
      </c>
      <c r="EC2341" s="1" t="s">
        <v>237</v>
      </c>
      <c r="ED2341" s="1" t="s">
        <v>407</v>
      </c>
      <c r="EG2341" s="1" t="s">
        <v>598</v>
      </c>
      <c r="EH2341" s="1" t="s">
        <v>2023</v>
      </c>
      <c r="EI2341" s="1" t="s">
        <v>720</v>
      </c>
      <c r="EJ2341" s="1" t="s">
        <v>310</v>
      </c>
      <c r="EL2341" s="1" t="s">
        <v>497</v>
      </c>
      <c r="EM2341" s="1" t="s">
        <v>267</v>
      </c>
      <c r="EN2341" s="1" t="s">
        <v>210</v>
      </c>
      <c r="EP2341" s="1" t="s">
        <v>1534</v>
      </c>
      <c r="EQ2341" s="1" t="s">
        <v>267</v>
      </c>
      <c r="ER2341" s="1" t="s">
        <v>210</v>
      </c>
      <c r="ET2341" s="1" t="s">
        <v>12670</v>
      </c>
      <c r="EU2341" s="1" t="s">
        <v>267</v>
      </c>
      <c r="EX2341" s="1" t="s">
        <v>19179</v>
      </c>
      <c r="EY2341" s="1" t="s">
        <v>206</v>
      </c>
      <c r="FC2341" s="1" t="s">
        <v>238</v>
      </c>
      <c r="FF2341" s="1" t="s">
        <v>239</v>
      </c>
      <c r="FG2341" s="1" t="s">
        <v>192</v>
      </c>
      <c r="FH2341" s="1" t="s">
        <v>192</v>
      </c>
      <c r="FJ2341" s="1" t="s">
        <v>561</v>
      </c>
      <c r="FK2341" s="1" t="s">
        <v>229</v>
      </c>
      <c r="FL2341" s="1" t="s">
        <v>562</v>
      </c>
      <c r="FM2341" s="1">
        <v>16379.0</v>
      </c>
      <c r="FN2341" s="1" t="s">
        <v>563</v>
      </c>
      <c r="FO2341" s="1" t="s">
        <v>21539</v>
      </c>
      <c r="FP2341" s="1">
        <v>112238.0</v>
      </c>
      <c r="FQ2341" s="1" t="s">
        <v>21540</v>
      </c>
      <c r="FU2341" s="1" t="s">
        <v>21541</v>
      </c>
      <c r="FV2341" s="1" t="s">
        <v>200</v>
      </c>
      <c r="FW2341" s="1" t="s">
        <v>530</v>
      </c>
      <c r="FX2341" s="1" t="s">
        <v>246</v>
      </c>
      <c r="FZ2341" s="1" t="s">
        <v>229</v>
      </c>
      <c r="GA2341" s="1" t="s">
        <v>291</v>
      </c>
      <c r="GB2341" s="2">
        <v>41981.0</v>
      </c>
      <c r="GC2341" s="1" t="s">
        <v>21542</v>
      </c>
    </row>
    <row r="2342">
      <c r="A2342" s="1">
        <v>320000.0</v>
      </c>
      <c r="B2342" s="1" t="s">
        <v>185</v>
      </c>
      <c r="C2342" s="1" t="str">
        <f>"08752762"</f>
        <v>08752762</v>
      </c>
      <c r="D2342" s="1" t="s">
        <v>186</v>
      </c>
      <c r="F2342" s="1" t="str">
        <f>"8072"</f>
        <v>8072</v>
      </c>
      <c r="G2342" s="2">
        <v>41926.0</v>
      </c>
      <c r="H2342" s="1">
        <v>363000.0</v>
      </c>
      <c r="I2342" s="1">
        <v>181.0</v>
      </c>
      <c r="J2342" s="1">
        <v>363000.0</v>
      </c>
      <c r="K2342" s="2">
        <v>42106.0</v>
      </c>
      <c r="L2342" s="1">
        <v>181.0</v>
      </c>
      <c r="M2342" s="2">
        <v>42106.0</v>
      </c>
      <c r="N2342" s="1" t="s">
        <v>249</v>
      </c>
      <c r="O2342" s="2">
        <v>42123.0</v>
      </c>
      <c r="P2342" s="1">
        <v>230791.0</v>
      </c>
      <c r="Q2342" s="1">
        <v>23638.0</v>
      </c>
      <c r="S2342" s="1">
        <v>9145.0</v>
      </c>
      <c r="T2342" s="1" t="s">
        <v>15903</v>
      </c>
      <c r="U2342" s="1" t="s">
        <v>189</v>
      </c>
      <c r="V2342" s="1" t="s">
        <v>190</v>
      </c>
      <c r="W2342" s="1">
        <v>60643.0</v>
      </c>
      <c r="Y2342" s="1" t="s">
        <v>21543</v>
      </c>
      <c r="Z2342" s="1">
        <v>1910.0</v>
      </c>
      <c r="AA2342" s="1" t="s">
        <v>192</v>
      </c>
      <c r="AB2342" s="1" t="s">
        <v>193</v>
      </c>
      <c r="AD2342" s="1" t="s">
        <v>21544</v>
      </c>
      <c r="AE2342" s="1" t="s">
        <v>195</v>
      </c>
      <c r="AF2342" s="1" t="s">
        <v>659</v>
      </c>
      <c r="AH2342" s="1" t="s">
        <v>21545</v>
      </c>
      <c r="AI2342" s="1">
        <v>0.322</v>
      </c>
      <c r="AK2342" s="1">
        <v>8.0</v>
      </c>
      <c r="AL2342" s="1">
        <v>4.0</v>
      </c>
      <c r="AM2342" s="1">
        <v>3.0</v>
      </c>
      <c r="AN2342" s="1">
        <v>1.0</v>
      </c>
      <c r="AO2342" s="1" t="s">
        <v>229</v>
      </c>
      <c r="AP2342" s="1">
        <v>2.0</v>
      </c>
      <c r="AQ2342" s="1" t="s">
        <v>198</v>
      </c>
      <c r="AR2342" s="1" t="s">
        <v>192</v>
      </c>
      <c r="AS2342" s="1" t="s">
        <v>199</v>
      </c>
      <c r="AT2342" s="1">
        <v>2.0</v>
      </c>
      <c r="AV2342" s="1" t="s">
        <v>200</v>
      </c>
      <c r="AW2342" s="1">
        <v>7166.09</v>
      </c>
      <c r="AX2342" s="1">
        <v>2013.0</v>
      </c>
      <c r="AY2342" s="1" t="s">
        <v>1179</v>
      </c>
      <c r="AZ2342" s="1" t="s">
        <v>200</v>
      </c>
      <c r="BA2342" s="1" t="str">
        <f>"25064000100000"</f>
        <v>25064000100000</v>
      </c>
      <c r="BC2342" s="1">
        <v>2581.0</v>
      </c>
      <c r="BD2342" s="1">
        <v>320000.0</v>
      </c>
      <c r="BE2342" s="2">
        <v>41926.0</v>
      </c>
      <c r="BF2342" s="2" t="s">
        <v>21546</v>
      </c>
      <c r="BH2342" s="1">
        <v>0.0</v>
      </c>
      <c r="BK2342" s="1" t="s">
        <v>204</v>
      </c>
      <c r="BL2342" s="1" t="str">
        <f t="shared" ref="BL2342:BM2342" si="1525">"0"</f>
        <v>0</v>
      </c>
      <c r="BM2342" s="1" t="str">
        <f t="shared" si="1525"/>
        <v>0</v>
      </c>
      <c r="BN2342" s="1">
        <v>2000.0</v>
      </c>
      <c r="BO2342" s="1">
        <v>9145.0</v>
      </c>
      <c r="BQ2342" s="1">
        <v>299.0</v>
      </c>
      <c r="BR2342" s="1">
        <v>299.0</v>
      </c>
      <c r="BS2342" s="1">
        <v>299.0</v>
      </c>
      <c r="BU2342" s="1" t="s">
        <v>433</v>
      </c>
      <c r="BV2342" s="1" t="s">
        <v>206</v>
      </c>
      <c r="BW2342" s="1" t="s">
        <v>210</v>
      </c>
      <c r="BY2342" s="1" t="s">
        <v>211</v>
      </c>
      <c r="BZ2342" s="1" t="s">
        <v>209</v>
      </c>
      <c r="CA2342" s="1" t="s">
        <v>207</v>
      </c>
      <c r="CC2342" s="1" t="s">
        <v>758</v>
      </c>
      <c r="CD2342" s="1" t="s">
        <v>206</v>
      </c>
      <c r="CE2342" s="1" t="s">
        <v>210</v>
      </c>
      <c r="CG2342" s="1" t="s">
        <v>699</v>
      </c>
      <c r="CH2342" s="1" t="s">
        <v>209</v>
      </c>
      <c r="CI2342" s="1" t="s">
        <v>617</v>
      </c>
      <c r="CK2342" s="1" t="s">
        <v>215</v>
      </c>
      <c r="CL2342" s="1" t="s">
        <v>209</v>
      </c>
      <c r="CM2342" s="1" t="s">
        <v>617</v>
      </c>
      <c r="CO2342" s="1" t="s">
        <v>393</v>
      </c>
      <c r="CP2342" s="1" t="s">
        <v>209</v>
      </c>
      <c r="CQ2342" s="1" t="s">
        <v>617</v>
      </c>
      <c r="CS2342" s="1" t="s">
        <v>331</v>
      </c>
      <c r="CT2342" s="1" t="s">
        <v>206</v>
      </c>
      <c r="CU2342" s="1" t="s">
        <v>617</v>
      </c>
      <c r="CW2342" s="1" t="s">
        <v>4597</v>
      </c>
      <c r="CX2342" s="1" t="s">
        <v>206</v>
      </c>
      <c r="CY2342" s="1" t="s">
        <v>210</v>
      </c>
      <c r="DA2342" s="1" t="s">
        <v>200</v>
      </c>
      <c r="DC2342" s="1" t="s">
        <v>642</v>
      </c>
      <c r="DD2342" s="1" t="s">
        <v>518</v>
      </c>
      <c r="DE2342" s="1" t="s">
        <v>273</v>
      </c>
      <c r="DF2342" s="1" t="s">
        <v>4120</v>
      </c>
      <c r="DH2342" s="1" t="s">
        <v>365</v>
      </c>
      <c r="DI2342" s="1" t="s">
        <v>221</v>
      </c>
      <c r="DJ2342" s="1" t="s">
        <v>222</v>
      </c>
      <c r="DK2342" s="1" t="s">
        <v>3941</v>
      </c>
      <c r="DL2342" s="1" t="s">
        <v>223</v>
      </c>
      <c r="DM2342" s="1" t="s">
        <v>1143</v>
      </c>
      <c r="DP2342" s="1" t="s">
        <v>340</v>
      </c>
      <c r="DQ2342" s="1" t="s">
        <v>228</v>
      </c>
      <c r="DR2342" s="1" t="s">
        <v>229</v>
      </c>
      <c r="DS2342" s="1" t="s">
        <v>230</v>
      </c>
      <c r="DV2342" s="1" t="s">
        <v>232</v>
      </c>
      <c r="DW2342" s="1" t="s">
        <v>3576</v>
      </c>
      <c r="DX2342" s="1" t="s">
        <v>1287</v>
      </c>
      <c r="DZ2342" s="1" t="s">
        <v>282</v>
      </c>
      <c r="EC2342" s="1" t="s">
        <v>237</v>
      </c>
      <c r="EM2342" s="1" t="s">
        <v>238</v>
      </c>
      <c r="EQ2342" s="1" t="s">
        <v>238</v>
      </c>
      <c r="EU2342" s="1" t="s">
        <v>238</v>
      </c>
      <c r="EY2342" s="1" t="s">
        <v>238</v>
      </c>
      <c r="FC2342" s="1" t="s">
        <v>238</v>
      </c>
      <c r="FF2342" s="1" t="s">
        <v>239</v>
      </c>
      <c r="FG2342" s="1" t="s">
        <v>192</v>
      </c>
      <c r="FH2342" s="1" t="s">
        <v>192</v>
      </c>
      <c r="FJ2342" s="1" t="s">
        <v>3062</v>
      </c>
      <c r="FK2342" s="1" t="s">
        <v>229</v>
      </c>
      <c r="FL2342" s="1" t="s">
        <v>3272</v>
      </c>
      <c r="FM2342" s="1">
        <v>12511.0</v>
      </c>
      <c r="FN2342" s="1" t="s">
        <v>3273</v>
      </c>
      <c r="FO2342" s="1" t="s">
        <v>5741</v>
      </c>
      <c r="FP2342" s="1">
        <v>121686.0</v>
      </c>
      <c r="FQ2342" s="1" t="s">
        <v>5742</v>
      </c>
      <c r="FU2342" s="1" t="s">
        <v>21547</v>
      </c>
      <c r="FV2342" s="1" t="s">
        <v>200</v>
      </c>
      <c r="FW2342" s="1" t="s">
        <v>530</v>
      </c>
      <c r="FX2342" s="1" t="s">
        <v>655</v>
      </c>
      <c r="FZ2342" s="1" t="s">
        <v>229</v>
      </c>
      <c r="GA2342" s="1" t="s">
        <v>291</v>
      </c>
      <c r="GB2342" s="2">
        <v>42124.0</v>
      </c>
      <c r="GC2342" s="1" t="s">
        <v>21548</v>
      </c>
    </row>
    <row r="2343">
      <c r="A2343" s="1">
        <v>172500.0</v>
      </c>
      <c r="B2343" s="1" t="s">
        <v>185</v>
      </c>
      <c r="C2343" s="1" t="str">
        <f>"08746077"</f>
        <v>08746077</v>
      </c>
      <c r="D2343" s="1" t="s">
        <v>186</v>
      </c>
      <c r="F2343" s="1" t="str">
        <f>"115"</f>
        <v>115</v>
      </c>
      <c r="G2343" s="2">
        <v>41918.0</v>
      </c>
      <c r="H2343" s="1">
        <v>185900.0</v>
      </c>
      <c r="I2343" s="1">
        <v>23.0</v>
      </c>
      <c r="J2343" s="1">
        <v>185900.0</v>
      </c>
      <c r="K2343" s="2">
        <v>41940.0</v>
      </c>
      <c r="L2343" s="1">
        <v>23.0</v>
      </c>
      <c r="M2343" s="2">
        <v>41940.0</v>
      </c>
      <c r="N2343" s="1" t="s">
        <v>356</v>
      </c>
      <c r="O2343" s="2">
        <v>41982.0</v>
      </c>
      <c r="P2343" s="1">
        <v>242111.0</v>
      </c>
      <c r="Q2343" s="1">
        <v>23279.0</v>
      </c>
      <c r="R2343" s="1">
        <v>500.0</v>
      </c>
      <c r="S2343" s="1">
        <v>384.0</v>
      </c>
      <c r="T2343" s="1" t="s">
        <v>21549</v>
      </c>
      <c r="U2343" s="1" t="s">
        <v>1174</v>
      </c>
      <c r="V2343" s="1" t="s">
        <v>610</v>
      </c>
      <c r="W2343" s="1">
        <v>60115.0</v>
      </c>
      <c r="Y2343" s="1" t="s">
        <v>21550</v>
      </c>
      <c r="Z2343" s="1">
        <v>2005.0</v>
      </c>
      <c r="AA2343" s="1" t="s">
        <v>200</v>
      </c>
      <c r="AB2343" s="1" t="s">
        <v>467</v>
      </c>
      <c r="AC2343" s="1" t="s">
        <v>10930</v>
      </c>
      <c r="AD2343" s="1" t="s">
        <v>612</v>
      </c>
      <c r="AE2343" s="1" t="s">
        <v>613</v>
      </c>
      <c r="AF2343" s="1" t="s">
        <v>612</v>
      </c>
      <c r="AH2343" s="1" t="s">
        <v>21551</v>
      </c>
      <c r="AK2343" s="1">
        <v>8.0</v>
      </c>
      <c r="AL2343" s="1">
        <v>4.0</v>
      </c>
      <c r="AM2343" s="1">
        <v>2.0</v>
      </c>
      <c r="AN2343" s="1">
        <v>1.0</v>
      </c>
      <c r="AO2343" s="1" t="s">
        <v>198</v>
      </c>
      <c r="AP2343" s="1">
        <v>1.0</v>
      </c>
      <c r="AQ2343" s="1" t="s">
        <v>198</v>
      </c>
      <c r="AR2343" s="1" t="s">
        <v>200</v>
      </c>
      <c r="AS2343" s="1" t="s">
        <v>199</v>
      </c>
      <c r="AT2343" s="1">
        <v>2.0</v>
      </c>
      <c r="AV2343" s="1" t="s">
        <v>200</v>
      </c>
      <c r="AW2343" s="1">
        <v>6025.44</v>
      </c>
      <c r="AX2343" s="1">
        <v>2013.0</v>
      </c>
      <c r="AY2343" s="1" t="s">
        <v>387</v>
      </c>
      <c r="AZ2343" s="1" t="s">
        <v>200</v>
      </c>
      <c r="BA2343" s="1" t="str">
        <f>"0821322033"</f>
        <v>0821322033</v>
      </c>
      <c r="BC2343" s="1">
        <v>2100.0</v>
      </c>
      <c r="BD2343" s="1">
        <v>172500.0</v>
      </c>
      <c r="BE2343" s="2">
        <v>41918.0</v>
      </c>
      <c r="BF2343" s="2" t="s">
        <v>21552</v>
      </c>
      <c r="BH2343" s="1">
        <v>125.0</v>
      </c>
      <c r="BK2343" s="1" t="s">
        <v>580</v>
      </c>
      <c r="BL2343" s="1" t="str">
        <f t="shared" ref="BL2343:BM2343" si="1526">""</f>
        <v/>
      </c>
      <c r="BM2343" s="1" t="str">
        <f t="shared" si="1526"/>
        <v/>
      </c>
      <c r="BQ2343" s="1">
        <v>428.0</v>
      </c>
      <c r="BR2343" s="1">
        <v>428.0</v>
      </c>
      <c r="BS2343" s="1">
        <v>428.0</v>
      </c>
      <c r="BU2343" s="1" t="s">
        <v>363</v>
      </c>
      <c r="BV2343" s="1" t="s">
        <v>206</v>
      </c>
      <c r="BW2343" s="1" t="s">
        <v>210</v>
      </c>
      <c r="BX2343" s="1" t="s">
        <v>431</v>
      </c>
      <c r="BY2343" s="1" t="s">
        <v>1891</v>
      </c>
      <c r="BZ2343" s="1" t="s">
        <v>209</v>
      </c>
      <c r="CA2343" s="1" t="s">
        <v>210</v>
      </c>
      <c r="CB2343" s="1" t="s">
        <v>431</v>
      </c>
      <c r="CC2343" s="1" t="s">
        <v>264</v>
      </c>
      <c r="CD2343" s="1" t="s">
        <v>206</v>
      </c>
      <c r="CE2343" s="1" t="s">
        <v>210</v>
      </c>
      <c r="CF2343" s="1" t="s">
        <v>431</v>
      </c>
      <c r="CG2343" s="1" t="s">
        <v>1426</v>
      </c>
      <c r="CH2343" s="1" t="s">
        <v>209</v>
      </c>
      <c r="CI2343" s="1" t="s">
        <v>210</v>
      </c>
      <c r="CJ2343" s="1" t="s">
        <v>431</v>
      </c>
      <c r="CK2343" s="1" t="s">
        <v>699</v>
      </c>
      <c r="CL2343" s="1" t="s">
        <v>209</v>
      </c>
      <c r="CM2343" s="1" t="s">
        <v>210</v>
      </c>
      <c r="CN2343" s="1" t="s">
        <v>229</v>
      </c>
      <c r="CO2343" s="1" t="s">
        <v>269</v>
      </c>
      <c r="CP2343" s="1" t="s">
        <v>209</v>
      </c>
      <c r="CQ2343" s="1" t="s">
        <v>210</v>
      </c>
      <c r="CR2343" s="1" t="s">
        <v>229</v>
      </c>
      <c r="CS2343" s="1" t="s">
        <v>363</v>
      </c>
      <c r="CT2343" s="1" t="s">
        <v>206</v>
      </c>
      <c r="CU2343" s="1" t="s">
        <v>268</v>
      </c>
      <c r="CV2343" s="1" t="s">
        <v>431</v>
      </c>
      <c r="CW2343" s="1" t="s">
        <v>1426</v>
      </c>
      <c r="CX2343" s="1" t="s">
        <v>206</v>
      </c>
      <c r="CY2343" s="1" t="s">
        <v>210</v>
      </c>
      <c r="CZ2343" s="1" t="s">
        <v>431</v>
      </c>
      <c r="DA2343" s="1" t="s">
        <v>200</v>
      </c>
      <c r="DC2343" s="1" t="s">
        <v>481</v>
      </c>
      <c r="DD2343" s="1" t="s">
        <v>518</v>
      </c>
      <c r="DE2343" s="1" t="s">
        <v>273</v>
      </c>
      <c r="DF2343" s="1" t="s">
        <v>619</v>
      </c>
      <c r="DG2343" s="1" t="s">
        <v>337</v>
      </c>
      <c r="DH2343" s="1" t="s">
        <v>220</v>
      </c>
      <c r="DI2343" s="1" t="s">
        <v>14345</v>
      </c>
      <c r="DJ2343" s="1" t="s">
        <v>222</v>
      </c>
      <c r="DK2343" s="1" t="s">
        <v>198</v>
      </c>
      <c r="DL2343" s="1" t="s">
        <v>484</v>
      </c>
      <c r="DM2343" s="1" t="s">
        <v>338</v>
      </c>
      <c r="DP2343" s="1" t="s">
        <v>340</v>
      </c>
      <c r="DQ2343" s="1" t="s">
        <v>228</v>
      </c>
      <c r="DR2343" s="1" t="s">
        <v>229</v>
      </c>
      <c r="DS2343" s="1" t="s">
        <v>230</v>
      </c>
      <c r="DV2343" s="1" t="s">
        <v>232</v>
      </c>
      <c r="DW2343" s="1" t="s">
        <v>444</v>
      </c>
      <c r="DX2343" s="1" t="s">
        <v>234</v>
      </c>
      <c r="DY2343" s="1" t="s">
        <v>3075</v>
      </c>
      <c r="DZ2343" s="1" t="s">
        <v>282</v>
      </c>
      <c r="EB2343" s="1" t="s">
        <v>492</v>
      </c>
      <c r="EC2343" s="1" t="s">
        <v>237</v>
      </c>
      <c r="EE2343" s="1" t="s">
        <v>1334</v>
      </c>
      <c r="EM2343" s="1" t="s">
        <v>238</v>
      </c>
      <c r="EQ2343" s="1" t="s">
        <v>238</v>
      </c>
      <c r="EU2343" s="1" t="s">
        <v>238</v>
      </c>
      <c r="EY2343" s="1" t="s">
        <v>238</v>
      </c>
      <c r="FC2343" s="1" t="s">
        <v>238</v>
      </c>
      <c r="FF2343" s="1" t="s">
        <v>239</v>
      </c>
      <c r="FG2343" s="1" t="s">
        <v>192</v>
      </c>
      <c r="FH2343" s="1" t="s">
        <v>192</v>
      </c>
      <c r="FJ2343" s="1" t="s">
        <v>3062</v>
      </c>
      <c r="FK2343" s="1" t="s">
        <v>348</v>
      </c>
      <c r="FL2343" s="1" t="s">
        <v>2926</v>
      </c>
      <c r="FM2343" s="1">
        <v>24809.0</v>
      </c>
      <c r="FN2343" s="1" t="s">
        <v>2927</v>
      </c>
      <c r="FO2343" s="1" t="s">
        <v>9003</v>
      </c>
      <c r="FP2343" s="1">
        <v>237428.0</v>
      </c>
      <c r="FQ2343" s="1" t="s">
        <v>9004</v>
      </c>
      <c r="FU2343" s="1" t="s">
        <v>21553</v>
      </c>
      <c r="FV2343" s="1" t="s">
        <v>200</v>
      </c>
      <c r="FW2343" s="1" t="s">
        <v>530</v>
      </c>
      <c r="FZ2343" s="1" t="s">
        <v>229</v>
      </c>
      <c r="GA2343" s="1" t="s">
        <v>247</v>
      </c>
      <c r="GB2343" s="2">
        <v>41982.0</v>
      </c>
      <c r="GC2343" s="1" t="s">
        <v>21554</v>
      </c>
    </row>
    <row r="2344">
      <c r="A2344" s="1">
        <v>274990.0</v>
      </c>
      <c r="B2344" s="1" t="s">
        <v>185</v>
      </c>
      <c r="C2344" s="1" t="str">
        <f>"08752177"</f>
        <v>08752177</v>
      </c>
      <c r="D2344" s="1" t="s">
        <v>186</v>
      </c>
      <c r="F2344" s="1" t="str">
        <f>"140"</f>
        <v>140</v>
      </c>
      <c r="G2344" s="2">
        <v>41925.0</v>
      </c>
      <c r="H2344" s="1">
        <v>275990.0</v>
      </c>
      <c r="I2344" s="1">
        <v>13.0</v>
      </c>
      <c r="J2344" s="1">
        <v>275990.0</v>
      </c>
      <c r="K2344" s="2">
        <v>41937.0</v>
      </c>
      <c r="L2344" s="1">
        <v>13.0</v>
      </c>
      <c r="M2344" s="2">
        <v>41937.0</v>
      </c>
      <c r="N2344" s="1" t="s">
        <v>187</v>
      </c>
      <c r="O2344" s="2">
        <v>41992.0</v>
      </c>
      <c r="P2344" s="1">
        <v>99995.0</v>
      </c>
      <c r="Q2344" s="1" t="s">
        <v>947</v>
      </c>
      <c r="R2344" s="1">
        <v>1000.0</v>
      </c>
      <c r="S2344" s="1">
        <v>123.0</v>
      </c>
      <c r="T2344" s="1" t="s">
        <v>20387</v>
      </c>
      <c r="U2344" s="1" t="s">
        <v>1015</v>
      </c>
      <c r="V2344" s="1" t="s">
        <v>4858</v>
      </c>
      <c r="W2344" s="1">
        <v>60140.0</v>
      </c>
      <c r="Y2344" s="1" t="s">
        <v>20388</v>
      </c>
      <c r="Z2344" s="1">
        <v>2014.0</v>
      </c>
      <c r="AA2344" s="1" t="s">
        <v>200</v>
      </c>
      <c r="AB2344" s="1" t="s">
        <v>467</v>
      </c>
      <c r="AC2344" s="1" t="s">
        <v>8130</v>
      </c>
      <c r="AD2344" s="1" t="s">
        <v>4860</v>
      </c>
      <c r="AE2344" s="1" t="s">
        <v>325</v>
      </c>
      <c r="AF2344" s="1" t="s">
        <v>3429</v>
      </c>
      <c r="AG2344" s="1" t="s">
        <v>8118</v>
      </c>
      <c r="AH2344" s="1" t="s">
        <v>4132</v>
      </c>
      <c r="AK2344" s="1">
        <v>9.0</v>
      </c>
      <c r="AL2344" s="1">
        <v>4.0</v>
      </c>
      <c r="AM2344" s="1">
        <v>2.0</v>
      </c>
      <c r="AN2344" s="1">
        <v>1.0</v>
      </c>
      <c r="AO2344" s="1" t="s">
        <v>198</v>
      </c>
      <c r="AQ2344" s="1" t="s">
        <v>198</v>
      </c>
      <c r="AR2344" s="1" t="s">
        <v>200</v>
      </c>
      <c r="AS2344" s="1" t="s">
        <v>199</v>
      </c>
      <c r="AT2344" s="1">
        <v>2.0</v>
      </c>
      <c r="AV2344" s="1" t="s">
        <v>200</v>
      </c>
      <c r="AW2344" s="1" t="s">
        <v>575</v>
      </c>
      <c r="AX2344" s="1">
        <v>2013.0</v>
      </c>
      <c r="AY2344" s="1" t="s">
        <v>229</v>
      </c>
      <c r="AZ2344" s="1" t="s">
        <v>200</v>
      </c>
      <c r="BA2344" s="1" t="str">
        <f>"0233230004"</f>
        <v>0233230004</v>
      </c>
      <c r="BC2344" s="1">
        <v>2475.0</v>
      </c>
      <c r="BD2344" s="1">
        <v>274990.0</v>
      </c>
      <c r="BE2344" s="2">
        <v>41925.0</v>
      </c>
      <c r="BF2344" s="2" t="s">
        <v>21555</v>
      </c>
      <c r="BG2344" s="1" t="s">
        <v>6193</v>
      </c>
      <c r="BH2344" s="1">
        <v>62.0</v>
      </c>
      <c r="BI2344" s="1" t="s">
        <v>5040</v>
      </c>
      <c r="BJ2344" s="1" t="s">
        <v>1182</v>
      </c>
      <c r="BK2344" s="1" t="s">
        <v>474</v>
      </c>
      <c r="BL2344" s="1" t="str">
        <f t="shared" ref="BL2344:BM2344" si="1527">""</f>
        <v/>
      </c>
      <c r="BM2344" s="1" t="str">
        <f t="shared" si="1527"/>
        <v/>
      </c>
      <c r="BP2344" s="1" t="s">
        <v>6194</v>
      </c>
      <c r="BQ2344" s="1">
        <v>300.0</v>
      </c>
      <c r="BR2344" s="1">
        <v>300.0</v>
      </c>
      <c r="BS2344" s="1">
        <v>300.0</v>
      </c>
      <c r="BU2344" s="1" t="s">
        <v>302</v>
      </c>
      <c r="BV2344" s="1" t="s">
        <v>206</v>
      </c>
      <c r="BW2344" s="1" t="s">
        <v>210</v>
      </c>
      <c r="BY2344" s="1" t="s">
        <v>662</v>
      </c>
      <c r="BZ2344" s="1" t="s">
        <v>209</v>
      </c>
      <c r="CA2344" s="1" t="s">
        <v>210</v>
      </c>
      <c r="CC2344" s="1" t="s">
        <v>1351</v>
      </c>
      <c r="CD2344" s="1" t="s">
        <v>206</v>
      </c>
      <c r="CE2344" s="1" t="s">
        <v>210</v>
      </c>
      <c r="CG2344" s="1" t="s">
        <v>497</v>
      </c>
      <c r="CH2344" s="1" t="s">
        <v>209</v>
      </c>
      <c r="CI2344" s="1" t="s">
        <v>210</v>
      </c>
      <c r="CK2344" s="1" t="s">
        <v>663</v>
      </c>
      <c r="CL2344" s="1" t="s">
        <v>209</v>
      </c>
      <c r="CM2344" s="1" t="s">
        <v>210</v>
      </c>
      <c r="CO2344" s="1" t="s">
        <v>363</v>
      </c>
      <c r="CP2344" s="1" t="s">
        <v>209</v>
      </c>
      <c r="CQ2344" s="1" t="s">
        <v>210</v>
      </c>
      <c r="CS2344" s="1" t="s">
        <v>925</v>
      </c>
      <c r="CT2344" s="1" t="s">
        <v>206</v>
      </c>
      <c r="CU2344" s="1" t="s">
        <v>301</v>
      </c>
      <c r="CW2344" s="1" t="s">
        <v>924</v>
      </c>
      <c r="CX2344" s="1" t="s">
        <v>206</v>
      </c>
      <c r="CY2344" s="1" t="s">
        <v>210</v>
      </c>
      <c r="DA2344" s="1" t="s">
        <v>192</v>
      </c>
      <c r="DB2344" s="2">
        <v>41971.0</v>
      </c>
      <c r="DC2344" s="1" t="s">
        <v>1353</v>
      </c>
      <c r="DD2344" s="1" t="s">
        <v>1930</v>
      </c>
      <c r="DE2344" s="1" t="s">
        <v>273</v>
      </c>
      <c r="DF2344" s="1" t="s">
        <v>219</v>
      </c>
      <c r="DG2344" s="1" t="s">
        <v>20390</v>
      </c>
      <c r="DH2344" s="1" t="s">
        <v>220</v>
      </c>
      <c r="DI2344" s="1" t="s">
        <v>732</v>
      </c>
      <c r="DJ2344" s="1" t="s">
        <v>222</v>
      </c>
      <c r="DL2344" s="1" t="s">
        <v>223</v>
      </c>
      <c r="DM2344" s="1" t="s">
        <v>1022</v>
      </c>
      <c r="DN2344" s="1" t="s">
        <v>20391</v>
      </c>
      <c r="DO2344" s="1" t="s">
        <v>20392</v>
      </c>
      <c r="DP2344" s="1" t="s">
        <v>340</v>
      </c>
      <c r="DQ2344" s="1" t="s">
        <v>228</v>
      </c>
      <c r="DR2344" s="1" t="s">
        <v>1980</v>
      </c>
      <c r="DS2344" s="1" t="s">
        <v>591</v>
      </c>
      <c r="DT2344" s="1" t="s">
        <v>20393</v>
      </c>
      <c r="DV2344" s="1" t="s">
        <v>449</v>
      </c>
      <c r="DW2344" s="1" t="s">
        <v>444</v>
      </c>
      <c r="DX2344" s="1" t="s">
        <v>234</v>
      </c>
      <c r="DY2344" s="1" t="s">
        <v>521</v>
      </c>
      <c r="DZ2344" s="1" t="s">
        <v>236</v>
      </c>
      <c r="EA2344" s="1" t="s">
        <v>344</v>
      </c>
      <c r="EC2344" s="1" t="s">
        <v>237</v>
      </c>
      <c r="ED2344" s="1" t="s">
        <v>1761</v>
      </c>
      <c r="EE2344" s="1" t="s">
        <v>493</v>
      </c>
      <c r="EG2344" s="1" t="s">
        <v>449</v>
      </c>
      <c r="EL2344" s="1" t="s">
        <v>212</v>
      </c>
      <c r="EM2344" s="1" t="s">
        <v>206</v>
      </c>
      <c r="EN2344" s="1" t="s">
        <v>301</v>
      </c>
      <c r="EQ2344" s="1" t="s">
        <v>238</v>
      </c>
      <c r="EU2344" s="1" t="s">
        <v>238</v>
      </c>
      <c r="EY2344" s="1" t="s">
        <v>238</v>
      </c>
      <c r="FC2344" s="1" t="s">
        <v>238</v>
      </c>
      <c r="FF2344" s="1" t="s">
        <v>239</v>
      </c>
      <c r="FG2344" s="1" t="s">
        <v>192</v>
      </c>
      <c r="FH2344" s="1" t="s">
        <v>192</v>
      </c>
      <c r="FJ2344" s="1" t="s">
        <v>347</v>
      </c>
      <c r="FK2344" s="1" t="s">
        <v>229</v>
      </c>
      <c r="FL2344" s="1" t="s">
        <v>2448</v>
      </c>
      <c r="FM2344" s="1">
        <v>92038.0</v>
      </c>
      <c r="FN2344" s="1" t="s">
        <v>2449</v>
      </c>
      <c r="FO2344" s="1" t="s">
        <v>2450</v>
      </c>
      <c r="FP2344" s="1">
        <v>21137.0</v>
      </c>
      <c r="FQ2344" s="1" t="s">
        <v>2451</v>
      </c>
      <c r="FT2344" s="1" t="s">
        <v>6199</v>
      </c>
      <c r="FU2344" s="1" t="s">
        <v>21556</v>
      </c>
      <c r="FV2344" s="1" t="s">
        <v>200</v>
      </c>
      <c r="FW2344" s="1" t="s">
        <v>6201</v>
      </c>
      <c r="FZ2344" s="1" t="s">
        <v>229</v>
      </c>
      <c r="GA2344" s="1" t="s">
        <v>291</v>
      </c>
      <c r="GB2344" s="2">
        <v>41994.0</v>
      </c>
      <c r="GC2344" s="1" t="s">
        <v>21557</v>
      </c>
    </row>
    <row r="2345">
      <c r="A2345" s="1">
        <v>440000.0</v>
      </c>
      <c r="B2345" s="1" t="s">
        <v>185</v>
      </c>
      <c r="C2345" s="1" t="str">
        <f>"08750576"</f>
        <v>08750576</v>
      </c>
      <c r="D2345" s="1" t="s">
        <v>186</v>
      </c>
      <c r="F2345" s="1" t="str">
        <f>"10"</f>
        <v>10</v>
      </c>
      <c r="G2345" s="2">
        <v>41922.0</v>
      </c>
      <c r="H2345" s="1">
        <v>519900.0</v>
      </c>
      <c r="I2345" s="1">
        <v>170.0</v>
      </c>
      <c r="J2345" s="1">
        <v>465000.0</v>
      </c>
      <c r="K2345" s="2">
        <v>42091.0</v>
      </c>
      <c r="L2345" s="1">
        <v>170.0</v>
      </c>
      <c r="M2345" s="2">
        <v>42091.0</v>
      </c>
      <c r="N2345" s="1" t="s">
        <v>187</v>
      </c>
      <c r="O2345" s="2">
        <v>42132.0</v>
      </c>
      <c r="P2345" s="1">
        <v>62479.0</v>
      </c>
      <c r="Q2345" s="1">
        <v>6018.0</v>
      </c>
      <c r="S2345" s="1">
        <v>518.0</v>
      </c>
      <c r="T2345" s="1" t="s">
        <v>21558</v>
      </c>
      <c r="U2345" s="1" t="s">
        <v>569</v>
      </c>
      <c r="V2345" s="1" t="s">
        <v>1706</v>
      </c>
      <c r="W2345" s="1">
        <v>60010.0</v>
      </c>
      <c r="Y2345" s="1" t="s">
        <v>21559</v>
      </c>
      <c r="Z2345" s="1">
        <v>1972.0</v>
      </c>
      <c r="AA2345" s="1" t="s">
        <v>192</v>
      </c>
      <c r="AB2345" s="1" t="s">
        <v>193</v>
      </c>
      <c r="AC2345" s="1" t="s">
        <v>5808</v>
      </c>
      <c r="AD2345" s="1" t="s">
        <v>1948</v>
      </c>
      <c r="AE2345" s="1" t="s">
        <v>917</v>
      </c>
      <c r="AF2345" s="1" t="s">
        <v>918</v>
      </c>
      <c r="AH2345" s="1" t="s">
        <v>21560</v>
      </c>
      <c r="AI2345" s="1">
        <v>0.5719</v>
      </c>
      <c r="AK2345" s="1">
        <v>8.0</v>
      </c>
      <c r="AL2345" s="1">
        <v>4.0</v>
      </c>
      <c r="AM2345" s="1">
        <v>2.0</v>
      </c>
      <c r="AN2345" s="1">
        <v>0.0</v>
      </c>
      <c r="AO2345" s="1" t="s">
        <v>198</v>
      </c>
      <c r="AP2345" s="1">
        <v>1.0</v>
      </c>
      <c r="AQ2345" s="1" t="s">
        <v>1314</v>
      </c>
      <c r="AR2345" s="1" t="s">
        <v>200</v>
      </c>
      <c r="AS2345" s="1" t="s">
        <v>199</v>
      </c>
      <c r="AT2345" s="1">
        <v>2.0</v>
      </c>
      <c r="AV2345" s="1" t="s">
        <v>200</v>
      </c>
      <c r="AW2345" s="1">
        <v>9886.0</v>
      </c>
      <c r="AX2345" s="1">
        <v>2013.0</v>
      </c>
      <c r="AZ2345" s="1" t="s">
        <v>200</v>
      </c>
      <c r="BA2345" s="1" t="str">
        <f>"14314020140000"</f>
        <v>14314020140000</v>
      </c>
      <c r="BB2345" s="1" t="s">
        <v>200</v>
      </c>
      <c r="BC2345" s="1">
        <v>2291.0</v>
      </c>
      <c r="BD2345" s="1">
        <v>440000.0</v>
      </c>
      <c r="BE2345" s="2">
        <v>41922.0</v>
      </c>
      <c r="BF2345" s="2" t="s">
        <v>21561</v>
      </c>
      <c r="BG2345" s="1" t="s">
        <v>1712</v>
      </c>
      <c r="BH2345" s="1">
        <v>926.0</v>
      </c>
      <c r="BI2345" s="1" t="s">
        <v>2012</v>
      </c>
      <c r="BJ2345" s="1" t="s">
        <v>1714</v>
      </c>
      <c r="BK2345" s="1" t="s">
        <v>580</v>
      </c>
      <c r="BL2345" s="1" t="str">
        <f>"20"</f>
        <v>20</v>
      </c>
      <c r="BM2345" s="1" t="str">
        <f>""</f>
        <v/>
      </c>
      <c r="BN2345" s="1">
        <v>24.0</v>
      </c>
      <c r="BQ2345" s="1">
        <v>220.0</v>
      </c>
      <c r="BR2345" s="1">
        <v>220.0</v>
      </c>
      <c r="BS2345" s="1">
        <v>220.0</v>
      </c>
      <c r="BU2345" s="1" t="s">
        <v>784</v>
      </c>
      <c r="BV2345" s="1" t="s">
        <v>206</v>
      </c>
      <c r="BW2345" s="1" t="s">
        <v>210</v>
      </c>
      <c r="BX2345" s="1" t="s">
        <v>229</v>
      </c>
      <c r="BY2345" s="1" t="s">
        <v>758</v>
      </c>
      <c r="BZ2345" s="1" t="s">
        <v>206</v>
      </c>
      <c r="CA2345" s="1" t="s">
        <v>210</v>
      </c>
      <c r="CB2345" s="1" t="s">
        <v>431</v>
      </c>
      <c r="CC2345" s="1" t="s">
        <v>262</v>
      </c>
      <c r="CD2345" s="1" t="s">
        <v>206</v>
      </c>
      <c r="CE2345" s="1" t="s">
        <v>207</v>
      </c>
      <c r="CF2345" s="1" t="s">
        <v>229</v>
      </c>
      <c r="CG2345" s="1" t="s">
        <v>264</v>
      </c>
      <c r="CH2345" s="1" t="s">
        <v>206</v>
      </c>
      <c r="CI2345" s="1" t="s">
        <v>210</v>
      </c>
      <c r="CJ2345" s="1" t="s">
        <v>1549</v>
      </c>
      <c r="CK2345" s="1" t="s">
        <v>215</v>
      </c>
      <c r="CL2345" s="1" t="s">
        <v>206</v>
      </c>
      <c r="CM2345" s="1" t="s">
        <v>210</v>
      </c>
      <c r="CN2345" s="1" t="s">
        <v>431</v>
      </c>
      <c r="CO2345" s="1" t="s">
        <v>264</v>
      </c>
      <c r="CP2345" s="1" t="s">
        <v>206</v>
      </c>
      <c r="CQ2345" s="1" t="s">
        <v>210</v>
      </c>
      <c r="CR2345" s="1" t="s">
        <v>431</v>
      </c>
      <c r="CS2345" s="1" t="s">
        <v>2224</v>
      </c>
      <c r="CT2345" s="1" t="s">
        <v>206</v>
      </c>
      <c r="CU2345" s="1" t="s">
        <v>207</v>
      </c>
      <c r="CV2345" s="1" t="s">
        <v>261</v>
      </c>
      <c r="CW2345" s="1" t="s">
        <v>432</v>
      </c>
      <c r="CX2345" s="1" t="s">
        <v>206</v>
      </c>
      <c r="CY2345" s="1" t="s">
        <v>207</v>
      </c>
      <c r="CZ2345" s="1" t="s">
        <v>261</v>
      </c>
      <c r="DA2345" s="1" t="s">
        <v>200</v>
      </c>
      <c r="DC2345" s="1" t="s">
        <v>517</v>
      </c>
      <c r="DD2345" s="1" t="s">
        <v>518</v>
      </c>
      <c r="DE2345" s="1" t="s">
        <v>273</v>
      </c>
      <c r="DF2345" s="1" t="s">
        <v>219</v>
      </c>
      <c r="DG2345" s="1" t="s">
        <v>21562</v>
      </c>
      <c r="DH2345" s="1" t="s">
        <v>220</v>
      </c>
      <c r="DI2345" s="1" t="s">
        <v>11744</v>
      </c>
      <c r="DJ2345" s="1" t="s">
        <v>222</v>
      </c>
      <c r="DL2345" s="1" t="s">
        <v>223</v>
      </c>
      <c r="DM2345" s="1" t="s">
        <v>929</v>
      </c>
      <c r="DO2345" s="1" t="s">
        <v>930</v>
      </c>
      <c r="DP2345" s="1" t="s">
        <v>340</v>
      </c>
      <c r="DQ2345" s="1" t="s">
        <v>1557</v>
      </c>
      <c r="DR2345" s="1" t="s">
        <v>21563</v>
      </c>
      <c r="DU2345" s="1" t="s">
        <v>7494</v>
      </c>
      <c r="DV2345" s="1" t="s">
        <v>408</v>
      </c>
      <c r="DW2345" s="1" t="s">
        <v>279</v>
      </c>
      <c r="DX2345" s="1" t="s">
        <v>234</v>
      </c>
      <c r="DY2345" s="1" t="s">
        <v>3183</v>
      </c>
      <c r="DZ2345" s="1" t="s">
        <v>17463</v>
      </c>
      <c r="EA2345" s="1" t="s">
        <v>683</v>
      </c>
      <c r="EB2345" s="1" t="s">
        <v>937</v>
      </c>
      <c r="EC2345" s="1" t="s">
        <v>685</v>
      </c>
      <c r="ED2345" s="1" t="s">
        <v>407</v>
      </c>
      <c r="EG2345" s="1" t="s">
        <v>408</v>
      </c>
      <c r="EL2345" s="1" t="s">
        <v>6414</v>
      </c>
      <c r="EM2345" s="1" t="s">
        <v>206</v>
      </c>
      <c r="EN2345" s="1" t="s">
        <v>207</v>
      </c>
      <c r="EO2345" s="1" t="s">
        <v>229</v>
      </c>
      <c r="EQ2345" s="1" t="s">
        <v>238</v>
      </c>
      <c r="EU2345" s="1" t="s">
        <v>238</v>
      </c>
      <c r="EY2345" s="1" t="s">
        <v>238</v>
      </c>
      <c r="FC2345" s="1" t="s">
        <v>238</v>
      </c>
      <c r="FF2345" s="1" t="s">
        <v>239</v>
      </c>
      <c r="FG2345" s="1" t="s">
        <v>192</v>
      </c>
      <c r="FH2345" s="1" t="s">
        <v>192</v>
      </c>
      <c r="FJ2345" s="1" t="s">
        <v>1469</v>
      </c>
      <c r="FK2345" s="1" t="s">
        <v>229</v>
      </c>
      <c r="FL2345" s="1" t="s">
        <v>2026</v>
      </c>
      <c r="FM2345" s="1">
        <v>6018.0</v>
      </c>
      <c r="FN2345" s="1" t="s">
        <v>2027</v>
      </c>
      <c r="FO2345" s="1" t="s">
        <v>10944</v>
      </c>
      <c r="FP2345" s="1">
        <v>61461.0</v>
      </c>
      <c r="FS2345" s="1" t="s">
        <v>10945</v>
      </c>
      <c r="FU2345" s="1" t="s">
        <v>21564</v>
      </c>
      <c r="FV2345" s="1" t="s">
        <v>200</v>
      </c>
      <c r="FW2345" s="1" t="s">
        <v>530</v>
      </c>
      <c r="FZ2345" s="1" t="s">
        <v>229</v>
      </c>
      <c r="GA2345" s="1" t="s">
        <v>291</v>
      </c>
      <c r="GB2345" s="2">
        <v>42135.0</v>
      </c>
      <c r="GC2345" s="1" t="s">
        <v>21565</v>
      </c>
    </row>
    <row r="2346">
      <c r="A2346" s="1">
        <v>425000.0</v>
      </c>
      <c r="B2346" s="1" t="s">
        <v>185</v>
      </c>
      <c r="C2346" s="1" t="str">
        <f>"08747802"</f>
        <v>08747802</v>
      </c>
      <c r="D2346" s="1" t="s">
        <v>186</v>
      </c>
      <c r="F2346" s="1" t="str">
        <f>"134"</f>
        <v>134</v>
      </c>
      <c r="G2346" s="2">
        <v>41920.0</v>
      </c>
      <c r="H2346" s="1">
        <v>449900.0</v>
      </c>
      <c r="I2346" s="1">
        <v>177.0</v>
      </c>
      <c r="J2346" s="1">
        <v>444900.0</v>
      </c>
      <c r="K2346" s="2">
        <v>41968.0</v>
      </c>
      <c r="L2346" s="1">
        <v>49.0</v>
      </c>
      <c r="M2346" s="2">
        <v>41968.0</v>
      </c>
      <c r="N2346" s="1" t="s">
        <v>187</v>
      </c>
      <c r="O2346" s="2">
        <v>42002.0</v>
      </c>
      <c r="P2346" s="1">
        <v>1333.0</v>
      </c>
      <c r="Q2346" s="1">
        <v>464.0</v>
      </c>
      <c r="S2346" s="1">
        <v>2012.0</v>
      </c>
      <c r="T2346" s="1" t="s">
        <v>21566</v>
      </c>
      <c r="U2346" s="1" t="s">
        <v>569</v>
      </c>
      <c r="V2346" s="1" t="s">
        <v>421</v>
      </c>
      <c r="W2346" s="1">
        <v>60134.0</v>
      </c>
      <c r="Y2346" s="1" t="s">
        <v>21567</v>
      </c>
      <c r="Z2346" s="1">
        <v>1997.0</v>
      </c>
      <c r="AA2346" s="1" t="s">
        <v>200</v>
      </c>
      <c r="AB2346" s="1" t="s">
        <v>193</v>
      </c>
      <c r="AC2346" s="1" t="s">
        <v>3521</v>
      </c>
      <c r="AD2346" s="1" t="s">
        <v>424</v>
      </c>
      <c r="AE2346" s="1" t="s">
        <v>325</v>
      </c>
      <c r="AF2346" s="1" t="s">
        <v>424</v>
      </c>
      <c r="AH2346" s="1" t="s">
        <v>21568</v>
      </c>
      <c r="AI2346" s="1">
        <v>0.24</v>
      </c>
      <c r="AK2346" s="1">
        <v>12.0</v>
      </c>
      <c r="AL2346" s="1">
        <v>4.0</v>
      </c>
      <c r="AM2346" s="1">
        <v>4.0</v>
      </c>
      <c r="AN2346" s="1">
        <v>1.0</v>
      </c>
      <c r="AO2346" s="1" t="s">
        <v>198</v>
      </c>
      <c r="AP2346" s="1">
        <v>1.0</v>
      </c>
      <c r="AQ2346" s="1" t="s">
        <v>198</v>
      </c>
      <c r="AR2346" s="1" t="s">
        <v>192</v>
      </c>
      <c r="AS2346" s="1" t="s">
        <v>199</v>
      </c>
      <c r="AT2346" s="1">
        <v>3.0</v>
      </c>
      <c r="AV2346" s="1" t="s">
        <v>200</v>
      </c>
      <c r="AW2346" s="1">
        <v>14525.06</v>
      </c>
      <c r="AX2346" s="1">
        <v>2013.0</v>
      </c>
      <c r="AY2346" s="1" t="s">
        <v>387</v>
      </c>
      <c r="AZ2346" s="1" t="s">
        <v>200</v>
      </c>
      <c r="BA2346" s="1" t="str">
        <f>"1209353018"</f>
        <v>1209353018</v>
      </c>
      <c r="BB2346" s="1" t="s">
        <v>200</v>
      </c>
      <c r="BC2346" s="1">
        <v>3151.0</v>
      </c>
      <c r="BD2346" s="1">
        <v>425000.0</v>
      </c>
      <c r="BE2346" s="2">
        <v>41920.0</v>
      </c>
      <c r="BF2346" s="2" t="s">
        <v>21569</v>
      </c>
      <c r="BG2346" s="1" t="s">
        <v>3524</v>
      </c>
      <c r="BH2346" s="1">
        <v>0.0</v>
      </c>
      <c r="BI2346" s="1" t="s">
        <v>429</v>
      </c>
      <c r="BJ2346" s="1" t="s">
        <v>430</v>
      </c>
      <c r="BK2346" s="1" t="s">
        <v>204</v>
      </c>
      <c r="BL2346" s="1" t="str">
        <f t="shared" ref="BL2346:BM2346" si="1528">"0"</f>
        <v>0</v>
      </c>
      <c r="BM2346" s="1" t="str">
        <f t="shared" si="1528"/>
        <v>0</v>
      </c>
      <c r="BN2346" s="1">
        <v>36.0</v>
      </c>
      <c r="BO2346" s="1">
        <v>0.0</v>
      </c>
      <c r="BQ2346" s="1">
        <v>304.0</v>
      </c>
      <c r="BR2346" s="1">
        <v>304.0</v>
      </c>
      <c r="BS2346" s="1">
        <v>304.0</v>
      </c>
      <c r="BU2346" s="1" t="s">
        <v>2120</v>
      </c>
      <c r="BV2346" s="1" t="s">
        <v>206</v>
      </c>
      <c r="BW2346" s="1" t="s">
        <v>210</v>
      </c>
      <c r="BY2346" s="1" t="s">
        <v>1534</v>
      </c>
      <c r="BZ2346" s="1" t="s">
        <v>209</v>
      </c>
      <c r="CA2346" s="1" t="s">
        <v>210</v>
      </c>
      <c r="CB2346" s="1" t="s">
        <v>239</v>
      </c>
      <c r="CC2346" s="1" t="s">
        <v>758</v>
      </c>
      <c r="CD2346" s="1" t="s">
        <v>206</v>
      </c>
      <c r="CE2346" s="1" t="s">
        <v>210</v>
      </c>
      <c r="CG2346" s="1" t="s">
        <v>215</v>
      </c>
      <c r="CH2346" s="1" t="s">
        <v>209</v>
      </c>
      <c r="CI2346" s="1" t="s">
        <v>210</v>
      </c>
      <c r="CJ2346" s="1" t="s">
        <v>239</v>
      </c>
      <c r="CK2346" s="1" t="s">
        <v>329</v>
      </c>
      <c r="CL2346" s="1" t="s">
        <v>209</v>
      </c>
      <c r="CM2346" s="1" t="s">
        <v>210</v>
      </c>
      <c r="CN2346" s="1" t="s">
        <v>239</v>
      </c>
      <c r="CO2346" s="1" t="s">
        <v>433</v>
      </c>
      <c r="CP2346" s="1" t="s">
        <v>209</v>
      </c>
      <c r="CQ2346" s="1" t="s">
        <v>210</v>
      </c>
      <c r="CS2346" s="1" t="s">
        <v>433</v>
      </c>
      <c r="CT2346" s="1" t="s">
        <v>206</v>
      </c>
      <c r="CU2346" s="1" t="s">
        <v>207</v>
      </c>
      <c r="CV2346" s="1" t="s">
        <v>239</v>
      </c>
      <c r="CW2346" s="1" t="s">
        <v>479</v>
      </c>
      <c r="CX2346" s="1" t="s">
        <v>206</v>
      </c>
      <c r="CY2346" s="1" t="s">
        <v>210</v>
      </c>
      <c r="CZ2346" s="1" t="s">
        <v>239</v>
      </c>
      <c r="DA2346" s="1" t="s">
        <v>200</v>
      </c>
      <c r="DC2346" s="1" t="s">
        <v>678</v>
      </c>
      <c r="DD2346" s="1" t="s">
        <v>272</v>
      </c>
      <c r="DE2346" s="1" t="s">
        <v>273</v>
      </c>
      <c r="DF2346" s="1" t="s">
        <v>219</v>
      </c>
      <c r="DG2346" s="1" t="s">
        <v>482</v>
      </c>
      <c r="DH2346" s="1" t="s">
        <v>220</v>
      </c>
      <c r="DI2346" s="1" t="s">
        <v>18165</v>
      </c>
      <c r="DJ2346" s="1" t="s">
        <v>222</v>
      </c>
      <c r="DK2346" s="1" t="s">
        <v>12372</v>
      </c>
      <c r="DL2346" s="1" t="s">
        <v>224</v>
      </c>
      <c r="DM2346" s="1" t="s">
        <v>929</v>
      </c>
      <c r="DN2346" s="1" t="s">
        <v>399</v>
      </c>
      <c r="DO2346" s="1" t="s">
        <v>486</v>
      </c>
      <c r="DP2346" s="1" t="s">
        <v>340</v>
      </c>
      <c r="DQ2346" s="1" t="s">
        <v>441</v>
      </c>
      <c r="DR2346" s="1" t="s">
        <v>229</v>
      </c>
      <c r="DS2346" s="1" t="s">
        <v>368</v>
      </c>
      <c r="DU2346" s="1" t="s">
        <v>21570</v>
      </c>
      <c r="DV2346" s="1" t="s">
        <v>21571</v>
      </c>
      <c r="DW2346" s="1" t="s">
        <v>764</v>
      </c>
      <c r="DX2346" s="1" t="s">
        <v>234</v>
      </c>
      <c r="DY2346" s="1" t="s">
        <v>3125</v>
      </c>
      <c r="DZ2346" s="1" t="s">
        <v>13370</v>
      </c>
      <c r="EA2346" s="1" t="s">
        <v>344</v>
      </c>
      <c r="EB2346" s="1" t="s">
        <v>2915</v>
      </c>
      <c r="EC2346" s="1" t="s">
        <v>237</v>
      </c>
      <c r="ED2346" s="1" t="s">
        <v>407</v>
      </c>
      <c r="EE2346" s="1" t="s">
        <v>493</v>
      </c>
      <c r="EG2346" s="1" t="s">
        <v>494</v>
      </c>
      <c r="EH2346" s="1" t="s">
        <v>450</v>
      </c>
      <c r="EI2346" s="1" t="s">
        <v>451</v>
      </c>
      <c r="EJ2346" s="1" t="s">
        <v>2971</v>
      </c>
      <c r="EK2346" s="1" t="s">
        <v>556</v>
      </c>
      <c r="EL2346" s="1" t="s">
        <v>478</v>
      </c>
      <c r="EM2346" s="1" t="s">
        <v>206</v>
      </c>
      <c r="EN2346" s="1" t="s">
        <v>207</v>
      </c>
      <c r="EO2346" s="1" t="s">
        <v>239</v>
      </c>
      <c r="EP2346" s="1" t="s">
        <v>2625</v>
      </c>
      <c r="EQ2346" s="1" t="s">
        <v>42</v>
      </c>
      <c r="ER2346" s="1" t="s">
        <v>210</v>
      </c>
      <c r="ES2346" s="1" t="s">
        <v>229</v>
      </c>
      <c r="ET2346" s="1" t="s">
        <v>12437</v>
      </c>
      <c r="EU2346" s="1" t="s">
        <v>42</v>
      </c>
      <c r="EV2346" s="1" t="s">
        <v>210</v>
      </c>
      <c r="EW2346" s="1" t="s">
        <v>229</v>
      </c>
      <c r="EX2346" s="1" t="s">
        <v>363</v>
      </c>
      <c r="EY2346" s="1" t="s">
        <v>42</v>
      </c>
      <c r="EZ2346" s="1" t="s">
        <v>210</v>
      </c>
      <c r="FA2346" s="1" t="s">
        <v>229</v>
      </c>
      <c r="FB2346" s="1" t="s">
        <v>363</v>
      </c>
      <c r="FC2346" s="1" t="s">
        <v>206</v>
      </c>
      <c r="FD2346" s="1" t="s">
        <v>207</v>
      </c>
      <c r="FF2346" s="1" t="s">
        <v>239</v>
      </c>
      <c r="FG2346" s="1" t="s">
        <v>192</v>
      </c>
      <c r="FH2346" s="1" t="s">
        <v>192</v>
      </c>
      <c r="FJ2346" s="1" t="s">
        <v>7414</v>
      </c>
      <c r="FK2346" s="1" t="s">
        <v>557</v>
      </c>
      <c r="FL2346" s="1" t="s">
        <v>1358</v>
      </c>
      <c r="FM2346" s="1">
        <v>23591.0</v>
      </c>
      <c r="FN2346" s="1" t="s">
        <v>2134</v>
      </c>
      <c r="FO2346" s="1" t="s">
        <v>4614</v>
      </c>
      <c r="FP2346" s="1">
        <v>245649.0</v>
      </c>
      <c r="FQ2346" s="1" t="s">
        <v>4615</v>
      </c>
      <c r="FS2346" s="1" t="s">
        <v>4616</v>
      </c>
      <c r="FU2346" s="1" t="s">
        <v>16300</v>
      </c>
      <c r="FV2346" s="1" t="s">
        <v>200</v>
      </c>
      <c r="FW2346" s="1" t="s">
        <v>290</v>
      </c>
      <c r="FZ2346" s="1" t="s">
        <v>229</v>
      </c>
      <c r="GA2346" s="1" t="s">
        <v>291</v>
      </c>
      <c r="GB2346" s="2">
        <v>42002.0</v>
      </c>
      <c r="GC2346" s="1" t="s">
        <v>21572</v>
      </c>
    </row>
    <row r="2347">
      <c r="A2347" s="1">
        <v>229990.0</v>
      </c>
      <c r="B2347" s="1" t="s">
        <v>185</v>
      </c>
      <c r="C2347" s="1" t="str">
        <f>"08752870"</f>
        <v>08752870</v>
      </c>
      <c r="D2347" s="1" t="s">
        <v>186</v>
      </c>
      <c r="F2347" s="1" t="str">
        <f>"140"</f>
        <v>140</v>
      </c>
      <c r="G2347" s="2">
        <v>41926.0</v>
      </c>
      <c r="H2347" s="1">
        <v>242990.0</v>
      </c>
      <c r="I2347" s="1">
        <v>69.0</v>
      </c>
      <c r="J2347" s="1">
        <v>234990.0</v>
      </c>
      <c r="K2347" s="2">
        <v>41994.0</v>
      </c>
      <c r="L2347" s="1">
        <v>69.0</v>
      </c>
      <c r="M2347" s="2">
        <v>41994.0</v>
      </c>
      <c r="N2347" s="1" t="s">
        <v>187</v>
      </c>
      <c r="O2347" s="2">
        <v>42024.0</v>
      </c>
      <c r="P2347" s="1">
        <v>922650.0</v>
      </c>
      <c r="Q2347" s="1">
        <v>25645.0</v>
      </c>
      <c r="S2347" s="1">
        <v>1595.0</v>
      </c>
      <c r="T2347" s="1" t="s">
        <v>21573</v>
      </c>
      <c r="U2347" s="1" t="s">
        <v>1015</v>
      </c>
      <c r="V2347" s="1" t="s">
        <v>4858</v>
      </c>
      <c r="W2347" s="1">
        <v>60140.0</v>
      </c>
      <c r="Y2347" s="1" t="s">
        <v>21574</v>
      </c>
      <c r="Z2347" s="1">
        <v>2014.0</v>
      </c>
      <c r="AA2347" s="1" t="s">
        <v>200</v>
      </c>
      <c r="AB2347" s="1" t="s">
        <v>467</v>
      </c>
      <c r="AC2347" s="1" t="s">
        <v>8130</v>
      </c>
      <c r="AD2347" s="1" t="s">
        <v>4860</v>
      </c>
      <c r="AE2347" s="1" t="s">
        <v>325</v>
      </c>
      <c r="AF2347" s="1" t="s">
        <v>3429</v>
      </c>
      <c r="AG2347" s="1" t="s">
        <v>9643</v>
      </c>
      <c r="AH2347" s="1" t="s">
        <v>21575</v>
      </c>
      <c r="AK2347" s="1">
        <v>10.0</v>
      </c>
      <c r="AL2347" s="1">
        <v>4.0</v>
      </c>
      <c r="AM2347" s="1">
        <v>2.0</v>
      </c>
      <c r="AN2347" s="1">
        <v>1.0</v>
      </c>
      <c r="AO2347" s="1" t="s">
        <v>198</v>
      </c>
      <c r="AQ2347" s="1" t="s">
        <v>198</v>
      </c>
      <c r="AR2347" s="1" t="s">
        <v>200</v>
      </c>
      <c r="AS2347" s="1" t="s">
        <v>199</v>
      </c>
      <c r="AT2347" s="1">
        <v>2.0</v>
      </c>
      <c r="AV2347" s="1" t="s">
        <v>200</v>
      </c>
      <c r="AW2347" s="1" t="s">
        <v>575</v>
      </c>
      <c r="AX2347" s="1">
        <v>2013.0</v>
      </c>
      <c r="AZ2347" s="1" t="s">
        <v>200</v>
      </c>
      <c r="BA2347" s="1" t="str">
        <f>"0229327015"</f>
        <v>0229327015</v>
      </c>
      <c r="BC2347" s="1">
        <v>2217.0</v>
      </c>
      <c r="BD2347" s="1">
        <v>229990.0</v>
      </c>
      <c r="BE2347" s="2">
        <v>41926.0</v>
      </c>
      <c r="BF2347" s="2" t="s">
        <v>21576</v>
      </c>
      <c r="BG2347" s="1" t="s">
        <v>6193</v>
      </c>
      <c r="BH2347" s="1">
        <v>62.0</v>
      </c>
      <c r="BI2347" s="1" t="s">
        <v>5040</v>
      </c>
      <c r="BJ2347" s="1" t="s">
        <v>1182</v>
      </c>
      <c r="BK2347" s="1" t="s">
        <v>474</v>
      </c>
      <c r="BL2347" s="1" t="str">
        <f t="shared" ref="BL2347:BM2347" si="1529">""</f>
        <v/>
      </c>
      <c r="BM2347" s="1" t="str">
        <f t="shared" si="1529"/>
        <v/>
      </c>
      <c r="BP2347" s="1" t="s">
        <v>9646</v>
      </c>
      <c r="BQ2347" s="1">
        <v>300.0</v>
      </c>
      <c r="BR2347" s="1">
        <v>300.0</v>
      </c>
      <c r="BS2347" s="1">
        <v>300.0</v>
      </c>
      <c r="BU2347" s="1" t="s">
        <v>264</v>
      </c>
      <c r="BV2347" s="1" t="s">
        <v>206</v>
      </c>
      <c r="BW2347" s="1" t="s">
        <v>210</v>
      </c>
      <c r="BY2347" s="1" t="s">
        <v>1063</v>
      </c>
      <c r="BZ2347" s="1" t="s">
        <v>209</v>
      </c>
      <c r="CA2347" s="1" t="s">
        <v>210</v>
      </c>
      <c r="CC2347" s="1" t="s">
        <v>729</v>
      </c>
      <c r="CD2347" s="1" t="s">
        <v>206</v>
      </c>
      <c r="CE2347" s="1" t="s">
        <v>210</v>
      </c>
      <c r="CG2347" s="1" t="s">
        <v>495</v>
      </c>
      <c r="CH2347" s="1" t="s">
        <v>209</v>
      </c>
      <c r="CI2347" s="1" t="s">
        <v>210</v>
      </c>
      <c r="CK2347" s="1" t="s">
        <v>699</v>
      </c>
      <c r="CL2347" s="1" t="s">
        <v>209</v>
      </c>
      <c r="CM2347" s="1" t="s">
        <v>210</v>
      </c>
      <c r="CO2347" s="1" t="s">
        <v>269</v>
      </c>
      <c r="CP2347" s="1" t="s">
        <v>209</v>
      </c>
      <c r="CQ2347" s="1" t="s">
        <v>210</v>
      </c>
      <c r="CS2347" s="1" t="s">
        <v>1760</v>
      </c>
      <c r="CT2347" s="1" t="s">
        <v>206</v>
      </c>
      <c r="CU2347" s="1" t="s">
        <v>617</v>
      </c>
      <c r="CW2347" s="1" t="s">
        <v>582</v>
      </c>
      <c r="CX2347" s="1" t="s">
        <v>206</v>
      </c>
      <c r="CY2347" s="1" t="s">
        <v>210</v>
      </c>
      <c r="DA2347" s="1" t="s">
        <v>192</v>
      </c>
      <c r="DB2347" s="2">
        <v>41971.0</v>
      </c>
      <c r="DC2347" s="1" t="s">
        <v>1353</v>
      </c>
      <c r="DD2347" s="1" t="s">
        <v>518</v>
      </c>
      <c r="DE2347" s="1" t="s">
        <v>273</v>
      </c>
      <c r="DF2347" s="1" t="s">
        <v>219</v>
      </c>
      <c r="DG2347" s="1" t="s">
        <v>5454</v>
      </c>
      <c r="DH2347" s="1" t="s">
        <v>220</v>
      </c>
      <c r="DI2347" s="1" t="s">
        <v>2547</v>
      </c>
      <c r="DJ2347" s="1" t="s">
        <v>222</v>
      </c>
      <c r="DK2347" s="1" t="s">
        <v>223</v>
      </c>
      <c r="DL2347" s="1" t="s">
        <v>223</v>
      </c>
      <c r="DM2347" s="1" t="s">
        <v>1022</v>
      </c>
      <c r="DN2347" s="1" t="s">
        <v>485</v>
      </c>
      <c r="DP2347" s="1" t="s">
        <v>276</v>
      </c>
      <c r="DQ2347" s="1" t="s">
        <v>228</v>
      </c>
      <c r="DR2347" s="1" t="s">
        <v>1980</v>
      </c>
      <c r="DS2347" s="1" t="s">
        <v>591</v>
      </c>
      <c r="DT2347" s="1" t="s">
        <v>21577</v>
      </c>
      <c r="DV2347" s="1" t="s">
        <v>8134</v>
      </c>
      <c r="DW2347" s="1" t="s">
        <v>233</v>
      </c>
      <c r="DX2347" s="1" t="s">
        <v>234</v>
      </c>
      <c r="DY2347" s="1" t="s">
        <v>3075</v>
      </c>
      <c r="DZ2347" s="1" t="s">
        <v>343</v>
      </c>
      <c r="EA2347" s="1" t="s">
        <v>344</v>
      </c>
      <c r="EC2347" s="1" t="s">
        <v>237</v>
      </c>
      <c r="ED2347" s="1" t="s">
        <v>1761</v>
      </c>
      <c r="EE2347" s="1" t="s">
        <v>493</v>
      </c>
      <c r="EG2347" s="1" t="s">
        <v>449</v>
      </c>
      <c r="EH2347" s="1" t="s">
        <v>341</v>
      </c>
      <c r="EL2347" s="1" t="s">
        <v>3594</v>
      </c>
      <c r="EM2347" s="1" t="s">
        <v>206</v>
      </c>
      <c r="EN2347" s="1" t="s">
        <v>617</v>
      </c>
      <c r="EP2347" s="1" t="s">
        <v>264</v>
      </c>
      <c r="EQ2347" s="1" t="s">
        <v>209</v>
      </c>
      <c r="ER2347" s="1" t="s">
        <v>210</v>
      </c>
      <c r="EU2347" s="1" t="s">
        <v>238</v>
      </c>
      <c r="EY2347" s="1" t="s">
        <v>238</v>
      </c>
      <c r="FC2347" s="1" t="s">
        <v>238</v>
      </c>
      <c r="FF2347" s="1" t="s">
        <v>239</v>
      </c>
      <c r="FG2347" s="1" t="s">
        <v>192</v>
      </c>
      <c r="FH2347" s="1" t="s">
        <v>192</v>
      </c>
      <c r="FJ2347" s="1" t="s">
        <v>347</v>
      </c>
      <c r="FK2347" s="1" t="s">
        <v>229</v>
      </c>
      <c r="FL2347" s="1" t="s">
        <v>2448</v>
      </c>
      <c r="FM2347" s="1">
        <v>92038.0</v>
      </c>
      <c r="FN2347" s="1" t="s">
        <v>2449</v>
      </c>
      <c r="FO2347" s="1" t="s">
        <v>2450</v>
      </c>
      <c r="FP2347" s="1">
        <v>21137.0</v>
      </c>
      <c r="FQ2347" s="1" t="s">
        <v>2451</v>
      </c>
      <c r="FT2347" s="1" t="s">
        <v>6199</v>
      </c>
      <c r="FU2347" s="1" t="s">
        <v>21578</v>
      </c>
      <c r="FV2347" s="1" t="s">
        <v>200</v>
      </c>
      <c r="FW2347" s="1" t="s">
        <v>11114</v>
      </c>
      <c r="FZ2347" s="1" t="s">
        <v>229</v>
      </c>
      <c r="GA2347" s="1" t="s">
        <v>291</v>
      </c>
      <c r="GB2347" s="2">
        <v>42029.0</v>
      </c>
      <c r="GC2347" s="1" t="s">
        <v>21579</v>
      </c>
    </row>
    <row r="2348">
      <c r="A2348" s="1">
        <v>168900.0</v>
      </c>
      <c r="B2348" s="1" t="s">
        <v>185</v>
      </c>
      <c r="C2348" s="1" t="str">
        <f>"08749791"</f>
        <v>08749791</v>
      </c>
      <c r="D2348" s="1" t="s">
        <v>186</v>
      </c>
      <c r="F2348" s="1" t="str">
        <f>"107"</f>
        <v>107</v>
      </c>
      <c r="G2348" s="2">
        <v>41922.0</v>
      </c>
      <c r="H2348" s="1">
        <v>179900.0</v>
      </c>
      <c r="I2348" s="1">
        <v>51.0</v>
      </c>
      <c r="J2348" s="1">
        <v>168900.0</v>
      </c>
      <c r="K2348" s="2">
        <v>41961.0</v>
      </c>
      <c r="L2348" s="1">
        <v>40.0</v>
      </c>
      <c r="M2348" s="2">
        <v>41961.0</v>
      </c>
      <c r="N2348" s="1" t="s">
        <v>187</v>
      </c>
      <c r="O2348" s="2">
        <v>42003.0</v>
      </c>
      <c r="P2348" s="1">
        <v>34927.0</v>
      </c>
      <c r="Q2348" s="1">
        <v>3600.0</v>
      </c>
      <c r="R2348" s="1">
        <v>4000.0</v>
      </c>
      <c r="S2348" s="1">
        <v>228.0</v>
      </c>
      <c r="T2348" s="1" t="s">
        <v>3412</v>
      </c>
      <c r="U2348" s="1" t="s">
        <v>420</v>
      </c>
      <c r="V2348" s="1" t="s">
        <v>294</v>
      </c>
      <c r="W2348" s="1">
        <v>60107.0</v>
      </c>
      <c r="Y2348" s="1" t="s">
        <v>21580</v>
      </c>
      <c r="Z2348" s="1">
        <v>1969.0</v>
      </c>
      <c r="AA2348" s="1" t="s">
        <v>192</v>
      </c>
      <c r="AB2348" s="1" t="s">
        <v>193</v>
      </c>
      <c r="AD2348" s="1" t="s">
        <v>297</v>
      </c>
      <c r="AE2348" s="1" t="s">
        <v>195</v>
      </c>
      <c r="AF2348" s="1" t="s">
        <v>298</v>
      </c>
      <c r="AH2348" s="1">
        <v>9468.0</v>
      </c>
      <c r="AI2348" s="1">
        <v>0.2174</v>
      </c>
      <c r="AK2348" s="1">
        <v>7.0</v>
      </c>
      <c r="AL2348" s="1">
        <v>4.0</v>
      </c>
      <c r="AM2348" s="1">
        <v>1.0</v>
      </c>
      <c r="AN2348" s="1">
        <v>0.0</v>
      </c>
      <c r="AO2348" s="1" t="s">
        <v>229</v>
      </c>
      <c r="AQ2348" s="1" t="s">
        <v>229</v>
      </c>
      <c r="AR2348" s="1" t="s">
        <v>200</v>
      </c>
      <c r="AS2348" s="1" t="s">
        <v>199</v>
      </c>
      <c r="AT2348" s="1">
        <v>3.0</v>
      </c>
      <c r="AV2348" s="1" t="s">
        <v>200</v>
      </c>
      <c r="AW2348" s="1">
        <v>3921.87</v>
      </c>
      <c r="AX2348" s="1">
        <v>2013.0</v>
      </c>
      <c r="AZ2348" s="1" t="s">
        <v>200</v>
      </c>
      <c r="BA2348" s="1" t="str">
        <f>"06134010150000"</f>
        <v>06134010150000</v>
      </c>
      <c r="BC2348" s="1">
        <v>1200.0</v>
      </c>
      <c r="BD2348" s="1">
        <v>168900.0</v>
      </c>
      <c r="BE2348" s="2">
        <v>41922.0</v>
      </c>
      <c r="BF2348" s="2" t="s">
        <v>21581</v>
      </c>
      <c r="BH2348" s="1">
        <v>0.0</v>
      </c>
      <c r="BK2348" s="1" t="s">
        <v>204</v>
      </c>
      <c r="BL2348" s="1" t="str">
        <f t="shared" ref="BL2348:BM2348" si="1530">""</f>
        <v/>
      </c>
      <c r="BM2348" s="1" t="str">
        <f t="shared" si="1530"/>
        <v/>
      </c>
      <c r="BQ2348" s="1">
        <v>46.0</v>
      </c>
      <c r="BR2348" s="1">
        <v>46.0</v>
      </c>
      <c r="BS2348" s="1">
        <v>46.0</v>
      </c>
      <c r="BU2348" s="1" t="s">
        <v>300</v>
      </c>
      <c r="BV2348" s="1" t="s">
        <v>206</v>
      </c>
      <c r="BY2348" s="1" t="s">
        <v>300</v>
      </c>
      <c r="BZ2348" s="1" t="s">
        <v>206</v>
      </c>
      <c r="CC2348" s="1" t="s">
        <v>264</v>
      </c>
      <c r="CD2348" s="1" t="s">
        <v>206</v>
      </c>
      <c r="CG2348" s="1" t="s">
        <v>363</v>
      </c>
      <c r="CH2348" s="1" t="s">
        <v>206</v>
      </c>
      <c r="CK2348" s="1" t="s">
        <v>363</v>
      </c>
      <c r="CL2348" s="1" t="s">
        <v>206</v>
      </c>
      <c r="CO2348" s="1" t="s">
        <v>2261</v>
      </c>
      <c r="CP2348" s="1" t="s">
        <v>206</v>
      </c>
      <c r="CS2348" s="1" t="s">
        <v>363</v>
      </c>
      <c r="CT2348" s="1" t="s">
        <v>206</v>
      </c>
      <c r="CX2348" s="1" t="s">
        <v>204</v>
      </c>
      <c r="DA2348" s="1" t="s">
        <v>200</v>
      </c>
      <c r="DC2348" s="1" t="s">
        <v>517</v>
      </c>
      <c r="DE2348" s="1" t="s">
        <v>273</v>
      </c>
      <c r="DF2348" s="1" t="s">
        <v>219</v>
      </c>
      <c r="DH2348" s="1" t="s">
        <v>365</v>
      </c>
      <c r="DJ2348" s="1" t="s">
        <v>222</v>
      </c>
      <c r="DL2348" s="1" t="s">
        <v>1853</v>
      </c>
      <c r="DM2348" s="1" t="s">
        <v>229</v>
      </c>
      <c r="DQ2348" s="1" t="s">
        <v>228</v>
      </c>
      <c r="DR2348" s="1" t="s">
        <v>229</v>
      </c>
      <c r="DV2348" s="1" t="s">
        <v>232</v>
      </c>
      <c r="DW2348" s="1" t="s">
        <v>21582</v>
      </c>
      <c r="DX2348" s="1" t="s">
        <v>234</v>
      </c>
      <c r="EC2348" s="1" t="s">
        <v>685</v>
      </c>
      <c r="EM2348" s="1" t="s">
        <v>238</v>
      </c>
      <c r="EQ2348" s="1" t="s">
        <v>238</v>
      </c>
      <c r="EU2348" s="1" t="s">
        <v>238</v>
      </c>
      <c r="EY2348" s="1" t="s">
        <v>238</v>
      </c>
      <c r="FC2348" s="1" t="s">
        <v>238</v>
      </c>
      <c r="FF2348" s="1" t="s">
        <v>239</v>
      </c>
      <c r="FG2348" s="1" t="s">
        <v>192</v>
      </c>
      <c r="FH2348" s="1" t="s">
        <v>192</v>
      </c>
      <c r="FJ2348" s="1" t="s">
        <v>9377</v>
      </c>
      <c r="FK2348" s="1" t="s">
        <v>229</v>
      </c>
      <c r="FL2348" s="1" t="s">
        <v>7278</v>
      </c>
      <c r="FM2348" s="1">
        <v>17589.0</v>
      </c>
      <c r="FN2348" s="1" t="s">
        <v>7279</v>
      </c>
      <c r="FO2348" s="1" t="s">
        <v>7280</v>
      </c>
      <c r="FP2348" s="1">
        <v>132655.0</v>
      </c>
      <c r="FQ2348" s="1" t="s">
        <v>7281</v>
      </c>
      <c r="FU2348" s="1" t="s">
        <v>21583</v>
      </c>
      <c r="FV2348" s="1" t="s">
        <v>200</v>
      </c>
      <c r="FW2348" s="1" t="s">
        <v>631</v>
      </c>
      <c r="FZ2348" s="1" t="s">
        <v>229</v>
      </c>
      <c r="GA2348" s="1" t="s">
        <v>291</v>
      </c>
      <c r="GB2348" s="2">
        <v>42005.0</v>
      </c>
      <c r="GC2348" s="1" t="s">
        <v>21584</v>
      </c>
    </row>
    <row r="2349">
      <c r="A2349" s="1">
        <v>239000.0</v>
      </c>
      <c r="B2349" s="1" t="s">
        <v>185</v>
      </c>
      <c r="C2349" s="1" t="str">
        <f>"08749133"</f>
        <v>08749133</v>
      </c>
      <c r="D2349" s="1" t="s">
        <v>186</v>
      </c>
      <c r="F2349" s="1" t="str">
        <f>"8070"</f>
        <v>8070</v>
      </c>
      <c r="G2349" s="2">
        <v>41921.0</v>
      </c>
      <c r="H2349" s="1">
        <v>239000.0</v>
      </c>
      <c r="I2349" s="1">
        <v>7.0</v>
      </c>
      <c r="J2349" s="1">
        <v>239000.0</v>
      </c>
      <c r="K2349" s="2">
        <v>41927.0</v>
      </c>
      <c r="L2349" s="1">
        <v>7.0</v>
      </c>
      <c r="M2349" s="2">
        <v>41927.0</v>
      </c>
      <c r="N2349" s="1" t="s">
        <v>634</v>
      </c>
      <c r="O2349" s="2">
        <v>42002.0</v>
      </c>
      <c r="P2349" s="1">
        <v>173872.0</v>
      </c>
      <c r="Q2349" s="1">
        <v>85131.0</v>
      </c>
      <c r="R2349" s="1">
        <v>2.0</v>
      </c>
      <c r="S2349" s="1">
        <v>3261.0</v>
      </c>
      <c r="T2349" s="1" t="s">
        <v>3351</v>
      </c>
      <c r="U2349" s="1" t="s">
        <v>320</v>
      </c>
      <c r="V2349" s="1" t="s">
        <v>190</v>
      </c>
      <c r="W2349" s="1">
        <v>60652.0</v>
      </c>
      <c r="Y2349" s="1" t="s">
        <v>21585</v>
      </c>
      <c r="Z2349" s="1">
        <v>1955.0</v>
      </c>
      <c r="AA2349" s="1" t="s">
        <v>192</v>
      </c>
      <c r="AB2349" s="1" t="s">
        <v>193</v>
      </c>
      <c r="AD2349" s="1" t="s">
        <v>194</v>
      </c>
      <c r="AE2349" s="1" t="s">
        <v>195</v>
      </c>
      <c r="AF2349" s="1" t="s">
        <v>659</v>
      </c>
      <c r="AH2349" s="1" t="s">
        <v>5022</v>
      </c>
      <c r="AK2349" s="1">
        <v>8.0</v>
      </c>
      <c r="AL2349" s="1">
        <v>4.0</v>
      </c>
      <c r="AM2349" s="1">
        <v>2.0</v>
      </c>
      <c r="AN2349" s="1">
        <v>0.0</v>
      </c>
      <c r="AO2349" s="1" t="s">
        <v>198</v>
      </c>
      <c r="AQ2349" s="1" t="s">
        <v>198</v>
      </c>
      <c r="AR2349" s="1" t="s">
        <v>200</v>
      </c>
      <c r="AS2349" s="1" t="s">
        <v>199</v>
      </c>
      <c r="AT2349" s="1">
        <v>2.0</v>
      </c>
      <c r="AV2349" s="1" t="s">
        <v>200</v>
      </c>
      <c r="AW2349" s="1">
        <v>2911.0</v>
      </c>
      <c r="AX2349" s="1">
        <v>2013.0</v>
      </c>
      <c r="AZ2349" s="1" t="s">
        <v>200</v>
      </c>
      <c r="BA2349" s="1" t="str">
        <f>"19354210310000"</f>
        <v>19354210310000</v>
      </c>
      <c r="BC2349" s="1">
        <v>1850.0</v>
      </c>
      <c r="BD2349" s="1">
        <v>239000.0</v>
      </c>
      <c r="BE2349" s="2">
        <v>41921.0</v>
      </c>
      <c r="BF2349" s="2" t="s">
        <v>21586</v>
      </c>
      <c r="BH2349" s="1">
        <v>0.0</v>
      </c>
      <c r="BK2349" s="1" t="s">
        <v>204</v>
      </c>
      <c r="BL2349" s="1" t="str">
        <f t="shared" ref="BL2349:BM2349" si="1531">"0"</f>
        <v>0</v>
      </c>
      <c r="BM2349" s="1" t="str">
        <f t="shared" si="1531"/>
        <v>0</v>
      </c>
      <c r="BN2349" s="1">
        <v>3261.0</v>
      </c>
      <c r="BO2349" s="1">
        <v>8500.0</v>
      </c>
      <c r="BQ2349" s="1">
        <v>299.0</v>
      </c>
      <c r="BR2349" s="1">
        <v>299.0</v>
      </c>
      <c r="BS2349" s="1">
        <v>299.0</v>
      </c>
      <c r="BU2349" s="1" t="s">
        <v>333</v>
      </c>
      <c r="BV2349" s="1" t="s">
        <v>206</v>
      </c>
      <c r="BW2349" s="1" t="s">
        <v>207</v>
      </c>
      <c r="BX2349" s="1" t="s">
        <v>239</v>
      </c>
      <c r="BY2349" s="1" t="s">
        <v>454</v>
      </c>
      <c r="BZ2349" s="1" t="s">
        <v>209</v>
      </c>
      <c r="CA2349" s="1" t="s">
        <v>207</v>
      </c>
      <c r="CB2349" s="1" t="s">
        <v>239</v>
      </c>
      <c r="CC2349" s="1" t="s">
        <v>264</v>
      </c>
      <c r="CD2349" s="1" t="s">
        <v>206</v>
      </c>
      <c r="CE2349" s="1" t="s">
        <v>207</v>
      </c>
      <c r="CF2349" s="1" t="s">
        <v>239</v>
      </c>
      <c r="CG2349" s="1" t="s">
        <v>433</v>
      </c>
      <c r="CH2349" s="1" t="s">
        <v>209</v>
      </c>
      <c r="CI2349" s="1" t="s">
        <v>207</v>
      </c>
      <c r="CJ2349" s="1" t="s">
        <v>239</v>
      </c>
      <c r="CK2349" s="1" t="s">
        <v>212</v>
      </c>
      <c r="CL2349" s="1" t="s">
        <v>209</v>
      </c>
      <c r="CM2349" s="1" t="s">
        <v>207</v>
      </c>
      <c r="CN2349" s="1" t="s">
        <v>239</v>
      </c>
      <c r="CO2349" s="1" t="s">
        <v>212</v>
      </c>
      <c r="CP2349" s="1" t="s">
        <v>209</v>
      </c>
      <c r="CQ2349" s="1" t="s">
        <v>207</v>
      </c>
      <c r="CR2349" s="1" t="s">
        <v>239</v>
      </c>
      <c r="CS2349" s="1" t="s">
        <v>1875</v>
      </c>
      <c r="CT2349" s="1" t="s">
        <v>206</v>
      </c>
      <c r="CU2349" s="1" t="s">
        <v>268</v>
      </c>
      <c r="CV2349" s="1" t="s">
        <v>239</v>
      </c>
      <c r="CW2349" s="1" t="s">
        <v>3817</v>
      </c>
      <c r="CX2349" s="1" t="s">
        <v>267</v>
      </c>
      <c r="CY2349" s="1" t="s">
        <v>268</v>
      </c>
      <c r="CZ2349" s="1" t="s">
        <v>239</v>
      </c>
      <c r="DA2349" s="1" t="s">
        <v>200</v>
      </c>
      <c r="DC2349" s="1" t="s">
        <v>271</v>
      </c>
      <c r="DE2349" s="1" t="s">
        <v>273</v>
      </c>
      <c r="DF2349" s="1" t="s">
        <v>219</v>
      </c>
      <c r="DH2349" s="1" t="s">
        <v>220</v>
      </c>
      <c r="DJ2349" s="1" t="s">
        <v>222</v>
      </c>
      <c r="DL2349" s="1" t="s">
        <v>224</v>
      </c>
      <c r="DM2349" s="1" t="s">
        <v>229</v>
      </c>
      <c r="DQ2349" s="1" t="s">
        <v>441</v>
      </c>
      <c r="DR2349" s="1" t="s">
        <v>229</v>
      </c>
      <c r="DV2349" s="1" t="s">
        <v>232</v>
      </c>
      <c r="DW2349" s="1" t="s">
        <v>279</v>
      </c>
      <c r="DX2349" s="1" t="s">
        <v>234</v>
      </c>
      <c r="EC2349" s="1" t="s">
        <v>4613</v>
      </c>
      <c r="EM2349" s="1" t="s">
        <v>238</v>
      </c>
      <c r="EQ2349" s="1" t="s">
        <v>238</v>
      </c>
      <c r="EU2349" s="1" t="s">
        <v>238</v>
      </c>
      <c r="EY2349" s="1" t="s">
        <v>238</v>
      </c>
      <c r="FC2349" s="1" t="s">
        <v>238</v>
      </c>
      <c r="FF2349" s="1" t="s">
        <v>239</v>
      </c>
      <c r="FG2349" s="1" t="s">
        <v>192</v>
      </c>
      <c r="FH2349" s="1" t="s">
        <v>192</v>
      </c>
      <c r="FJ2349" s="1" t="s">
        <v>3917</v>
      </c>
      <c r="FK2349" s="1" t="s">
        <v>229</v>
      </c>
      <c r="FL2349" s="1" t="s">
        <v>3918</v>
      </c>
      <c r="FM2349" s="1">
        <v>18202.0</v>
      </c>
      <c r="FN2349" s="1" t="s">
        <v>3919</v>
      </c>
      <c r="FO2349" s="1" t="s">
        <v>3920</v>
      </c>
      <c r="FP2349" s="1">
        <v>104896.0</v>
      </c>
      <c r="FQ2349" s="1" t="s">
        <v>3919</v>
      </c>
      <c r="FU2349" s="1" t="s">
        <v>21587</v>
      </c>
      <c r="FV2349" s="1" t="s">
        <v>200</v>
      </c>
      <c r="FW2349" s="1" t="s">
        <v>567</v>
      </c>
      <c r="FX2349" s="1" t="s">
        <v>246</v>
      </c>
      <c r="FZ2349" s="1" t="s">
        <v>229</v>
      </c>
      <c r="GA2349" s="1" t="s">
        <v>291</v>
      </c>
      <c r="GB2349" s="2">
        <v>42003.0</v>
      </c>
    </row>
    <row r="2350">
      <c r="A2350" s="1">
        <v>208000.0</v>
      </c>
      <c r="B2350" s="1" t="s">
        <v>185</v>
      </c>
      <c r="C2350" s="1" t="str">
        <f>"08753766"</f>
        <v>08753766</v>
      </c>
      <c r="D2350" s="1" t="s">
        <v>186</v>
      </c>
      <c r="F2350" s="1" t="str">
        <f>"8072"</f>
        <v>8072</v>
      </c>
      <c r="G2350" s="2">
        <v>41927.0</v>
      </c>
      <c r="H2350" s="1">
        <v>199900.0</v>
      </c>
      <c r="I2350" s="1">
        <v>8.0</v>
      </c>
      <c r="J2350" s="1">
        <v>199900.0</v>
      </c>
      <c r="K2350" s="2">
        <v>41933.0</v>
      </c>
      <c r="L2350" s="1">
        <v>8.0</v>
      </c>
      <c r="M2350" s="2">
        <v>41933.0</v>
      </c>
      <c r="N2350" s="1" t="s">
        <v>356</v>
      </c>
      <c r="O2350" s="2">
        <v>41974.0</v>
      </c>
      <c r="P2350" s="1">
        <v>240117.0</v>
      </c>
      <c r="Q2350" s="1">
        <v>24174.0</v>
      </c>
      <c r="R2350" s="1">
        <v>8000.0</v>
      </c>
      <c r="S2350" s="1">
        <v>2855.0</v>
      </c>
      <c r="T2350" s="1" t="s">
        <v>3724</v>
      </c>
      <c r="U2350" s="1" t="s">
        <v>694</v>
      </c>
      <c r="V2350" s="1" t="s">
        <v>190</v>
      </c>
      <c r="W2350" s="1">
        <v>60655.0</v>
      </c>
      <c r="Y2350" s="1" t="s">
        <v>21588</v>
      </c>
      <c r="Z2350" s="1">
        <v>1952.0</v>
      </c>
      <c r="AA2350" s="1" t="s">
        <v>192</v>
      </c>
      <c r="AB2350" s="1" t="s">
        <v>193</v>
      </c>
      <c r="AD2350" s="1" t="s">
        <v>194</v>
      </c>
      <c r="AE2350" s="1" t="s">
        <v>195</v>
      </c>
      <c r="AF2350" s="1" t="s">
        <v>659</v>
      </c>
      <c r="AH2350" s="1" t="s">
        <v>21589</v>
      </c>
      <c r="AI2350" s="1">
        <v>0.0836</v>
      </c>
      <c r="AK2350" s="1">
        <v>8.0</v>
      </c>
      <c r="AL2350" s="1">
        <v>4.0</v>
      </c>
      <c r="AM2350" s="1">
        <v>2.0</v>
      </c>
      <c r="AN2350" s="1">
        <v>1.0</v>
      </c>
      <c r="AO2350" s="1" t="s">
        <v>229</v>
      </c>
      <c r="AQ2350" s="1" t="s">
        <v>198</v>
      </c>
      <c r="AR2350" s="1" t="s">
        <v>200</v>
      </c>
      <c r="AS2350" s="1" t="s">
        <v>199</v>
      </c>
      <c r="AT2350" s="1">
        <v>1.5</v>
      </c>
      <c r="AV2350" s="1" t="s">
        <v>200</v>
      </c>
      <c r="AW2350" s="1">
        <v>2766.43</v>
      </c>
      <c r="AX2350" s="1">
        <v>2012.0</v>
      </c>
      <c r="AY2350" s="1" t="s">
        <v>1179</v>
      </c>
      <c r="AZ2350" s="1" t="s">
        <v>200</v>
      </c>
      <c r="BA2350" s="1" t="str">
        <f>"24123160570000"</f>
        <v>24123160570000</v>
      </c>
      <c r="BC2350" s="1">
        <v>1283.0</v>
      </c>
      <c r="BD2350" s="1">
        <v>208000.0</v>
      </c>
      <c r="BE2350" s="2">
        <v>41926.0</v>
      </c>
      <c r="BF2350" s="2" t="s">
        <v>21590</v>
      </c>
      <c r="BH2350" s="1">
        <v>0.0</v>
      </c>
      <c r="BK2350" s="1" t="s">
        <v>204</v>
      </c>
      <c r="BL2350" s="1" t="str">
        <f t="shared" ref="BL2350:BM2350" si="1532">"0"</f>
        <v>0</v>
      </c>
      <c r="BM2350" s="1" t="str">
        <f t="shared" si="1532"/>
        <v>0</v>
      </c>
      <c r="BN2350" s="1">
        <v>2855.0</v>
      </c>
      <c r="BO2350" s="1">
        <v>10250.0</v>
      </c>
      <c r="BQ2350" s="1">
        <v>299.0</v>
      </c>
      <c r="BR2350" s="1">
        <v>299.0</v>
      </c>
      <c r="BS2350" s="1">
        <v>299.0</v>
      </c>
      <c r="BU2350" s="1" t="s">
        <v>3888</v>
      </c>
      <c r="BV2350" s="1" t="s">
        <v>206</v>
      </c>
      <c r="BW2350" s="1" t="s">
        <v>207</v>
      </c>
      <c r="BY2350" s="1" t="s">
        <v>497</v>
      </c>
      <c r="BZ2350" s="1" t="s">
        <v>206</v>
      </c>
      <c r="CA2350" s="1" t="s">
        <v>207</v>
      </c>
      <c r="CC2350" s="1" t="s">
        <v>363</v>
      </c>
      <c r="CD2350" s="1" t="s">
        <v>206</v>
      </c>
      <c r="CE2350" s="1" t="s">
        <v>207</v>
      </c>
      <c r="CG2350" s="1" t="s">
        <v>1417</v>
      </c>
      <c r="CH2350" s="1" t="s">
        <v>209</v>
      </c>
      <c r="CI2350" s="1" t="s">
        <v>207</v>
      </c>
      <c r="CK2350" s="1" t="s">
        <v>1417</v>
      </c>
      <c r="CL2350" s="1" t="s">
        <v>209</v>
      </c>
      <c r="CM2350" s="1" t="s">
        <v>207</v>
      </c>
      <c r="CO2350" s="1" t="s">
        <v>495</v>
      </c>
      <c r="CP2350" s="1" t="s">
        <v>209</v>
      </c>
      <c r="CQ2350" s="1" t="s">
        <v>207</v>
      </c>
      <c r="CS2350" s="1" t="s">
        <v>300</v>
      </c>
      <c r="CT2350" s="1" t="s">
        <v>206</v>
      </c>
      <c r="CU2350" s="1" t="s">
        <v>301</v>
      </c>
      <c r="CW2350" s="1" t="s">
        <v>3045</v>
      </c>
      <c r="CX2350" s="1" t="s">
        <v>206</v>
      </c>
      <c r="CY2350" s="1" t="s">
        <v>207</v>
      </c>
      <c r="DA2350" s="1" t="s">
        <v>200</v>
      </c>
      <c r="DC2350" s="1" t="s">
        <v>702</v>
      </c>
      <c r="DD2350" s="1" t="s">
        <v>518</v>
      </c>
      <c r="DE2350" s="1" t="s">
        <v>273</v>
      </c>
      <c r="DF2350" s="1" t="s">
        <v>2275</v>
      </c>
      <c r="DH2350" s="1" t="s">
        <v>307</v>
      </c>
      <c r="DJ2350" s="1" t="s">
        <v>1048</v>
      </c>
      <c r="DL2350" s="1" t="s">
        <v>223</v>
      </c>
      <c r="DM2350" s="1" t="s">
        <v>229</v>
      </c>
      <c r="DP2350" s="1" t="s">
        <v>340</v>
      </c>
      <c r="DQ2350" s="1" t="s">
        <v>718</v>
      </c>
      <c r="DR2350" s="1" t="s">
        <v>229</v>
      </c>
      <c r="DS2350" s="1" t="s">
        <v>401</v>
      </c>
      <c r="DV2350" s="1" t="s">
        <v>232</v>
      </c>
      <c r="DW2350" s="1" t="s">
        <v>444</v>
      </c>
      <c r="DX2350" s="1" t="s">
        <v>234</v>
      </c>
      <c r="DY2350" s="1" t="s">
        <v>553</v>
      </c>
      <c r="DZ2350" s="1" t="s">
        <v>405</v>
      </c>
      <c r="EA2350" s="1" t="s">
        <v>554</v>
      </c>
      <c r="EC2350" s="1" t="s">
        <v>645</v>
      </c>
      <c r="EM2350" s="1" t="s">
        <v>238</v>
      </c>
      <c r="EQ2350" s="1" t="s">
        <v>238</v>
      </c>
      <c r="EU2350" s="1" t="s">
        <v>238</v>
      </c>
      <c r="EY2350" s="1" t="s">
        <v>238</v>
      </c>
      <c r="FC2350" s="1" t="s">
        <v>238</v>
      </c>
      <c r="FF2350" s="1" t="s">
        <v>239</v>
      </c>
      <c r="FG2350" s="1" t="s">
        <v>192</v>
      </c>
      <c r="FH2350" s="1" t="s">
        <v>192</v>
      </c>
      <c r="FJ2350" s="1" t="s">
        <v>19291</v>
      </c>
      <c r="FK2350" s="1" t="s">
        <v>229</v>
      </c>
      <c r="FL2350" s="1" t="s">
        <v>19292</v>
      </c>
      <c r="FM2350" s="1">
        <v>12762.0</v>
      </c>
      <c r="FN2350" s="1" t="s">
        <v>19293</v>
      </c>
      <c r="FO2350" s="1" t="s">
        <v>19294</v>
      </c>
      <c r="FP2350" s="1">
        <v>127154.0</v>
      </c>
      <c r="FQ2350" s="1" t="s">
        <v>19295</v>
      </c>
      <c r="FU2350" s="1" t="s">
        <v>21591</v>
      </c>
      <c r="FV2350" s="1" t="s">
        <v>200</v>
      </c>
      <c r="FW2350" s="1" t="s">
        <v>1411</v>
      </c>
      <c r="FX2350" s="1" t="s">
        <v>246</v>
      </c>
      <c r="FZ2350" s="1" t="s">
        <v>229</v>
      </c>
      <c r="GA2350" s="1" t="s">
        <v>291</v>
      </c>
      <c r="GB2350" s="2">
        <v>41974.0</v>
      </c>
      <c r="GC2350" s="1" t="s">
        <v>21592</v>
      </c>
    </row>
    <row r="2351">
      <c r="A2351" s="1">
        <v>287000.0</v>
      </c>
      <c r="B2351" s="1" t="s">
        <v>185</v>
      </c>
      <c r="C2351" s="1" t="str">
        <f>"08756463"</f>
        <v>08756463</v>
      </c>
      <c r="D2351" s="1" t="s">
        <v>186</v>
      </c>
      <c r="F2351" s="1" t="str">
        <f>"543"</f>
        <v>543</v>
      </c>
      <c r="G2351" s="2">
        <v>41931.0</v>
      </c>
      <c r="H2351" s="1">
        <v>287000.0</v>
      </c>
      <c r="I2351" s="1">
        <v>12.0</v>
      </c>
      <c r="J2351" s="1">
        <v>287000.0</v>
      </c>
      <c r="K2351" s="2">
        <v>41942.0</v>
      </c>
      <c r="L2351" s="1">
        <v>12.0</v>
      </c>
      <c r="M2351" s="2">
        <v>41942.0</v>
      </c>
      <c r="N2351" s="1" t="s">
        <v>187</v>
      </c>
      <c r="O2351" s="2">
        <v>41978.0</v>
      </c>
      <c r="P2351" s="1">
        <v>242533.0</v>
      </c>
      <c r="Q2351" s="1">
        <v>25792.0</v>
      </c>
      <c r="R2351" s="1">
        <v>5000.0</v>
      </c>
      <c r="S2351" s="1">
        <v>734.0</v>
      </c>
      <c r="T2351" s="1" t="s">
        <v>21593</v>
      </c>
      <c r="U2351" s="1" t="s">
        <v>982</v>
      </c>
      <c r="V2351" s="1" t="s">
        <v>1527</v>
      </c>
      <c r="W2351" s="1">
        <v>60543.0</v>
      </c>
      <c r="X2351" s="1">
        <v>6019.0</v>
      </c>
      <c r="Y2351" s="1" t="s">
        <v>21594</v>
      </c>
      <c r="Z2351" s="1">
        <v>2006.0</v>
      </c>
      <c r="AA2351" s="1" t="s">
        <v>200</v>
      </c>
      <c r="AB2351" s="1" t="s">
        <v>467</v>
      </c>
      <c r="AC2351" s="1" t="s">
        <v>4267</v>
      </c>
      <c r="AD2351" s="1" t="s">
        <v>1529</v>
      </c>
      <c r="AE2351" s="1" t="s">
        <v>849</v>
      </c>
      <c r="AF2351" s="1" t="s">
        <v>1529</v>
      </c>
      <c r="AG2351" s="1" t="s">
        <v>21595</v>
      </c>
      <c r="AH2351" s="1" t="s">
        <v>21596</v>
      </c>
      <c r="AI2351" s="1">
        <v>0.3431</v>
      </c>
      <c r="AK2351" s="1">
        <v>10.0</v>
      </c>
      <c r="AL2351" s="1">
        <v>4.0</v>
      </c>
      <c r="AM2351" s="1">
        <v>2.0</v>
      </c>
      <c r="AN2351" s="1">
        <v>1.0</v>
      </c>
      <c r="AO2351" s="1" t="s">
        <v>198</v>
      </c>
      <c r="AQ2351" s="1" t="s">
        <v>1314</v>
      </c>
      <c r="AR2351" s="1" t="s">
        <v>200</v>
      </c>
      <c r="AS2351" s="1" t="s">
        <v>199</v>
      </c>
      <c r="AT2351" s="1">
        <v>3.0</v>
      </c>
      <c r="AV2351" s="1" t="s">
        <v>200</v>
      </c>
      <c r="AW2351" s="1">
        <v>9450.24</v>
      </c>
      <c r="AX2351" s="1">
        <v>2013.0</v>
      </c>
      <c r="AY2351" s="1" t="s">
        <v>387</v>
      </c>
      <c r="AZ2351" s="1" t="s">
        <v>200</v>
      </c>
      <c r="BA2351" s="1" t="str">
        <f>"0311307001"</f>
        <v>0311307001</v>
      </c>
      <c r="BB2351" s="1" t="s">
        <v>200</v>
      </c>
      <c r="BC2351" s="1">
        <v>3451.0</v>
      </c>
      <c r="BD2351" s="1">
        <v>287000.0</v>
      </c>
      <c r="BE2351" s="2">
        <v>41931.0</v>
      </c>
      <c r="BF2351" s="2" t="s">
        <v>21597</v>
      </c>
      <c r="BG2351" s="1" t="s">
        <v>4271</v>
      </c>
      <c r="BH2351" s="1">
        <v>524.0</v>
      </c>
      <c r="BI2351" s="1" t="s">
        <v>3647</v>
      </c>
      <c r="BJ2351" s="1" t="s">
        <v>2546</v>
      </c>
      <c r="BK2351" s="1" t="s">
        <v>580</v>
      </c>
      <c r="BL2351" s="1" t="str">
        <f t="shared" ref="BL2351:BM2351" si="1533">""</f>
        <v/>
      </c>
      <c r="BM2351" s="1" t="str">
        <f t="shared" si="1533"/>
        <v/>
      </c>
      <c r="BQ2351" s="1">
        <v>308.0</v>
      </c>
      <c r="BR2351" s="1">
        <v>308.0</v>
      </c>
      <c r="BS2351" s="1">
        <v>308.0</v>
      </c>
      <c r="BU2351" s="1" t="s">
        <v>743</v>
      </c>
      <c r="BV2351" s="1" t="s">
        <v>206</v>
      </c>
      <c r="BW2351" s="1" t="s">
        <v>207</v>
      </c>
      <c r="BX2351" s="1" t="s">
        <v>431</v>
      </c>
      <c r="BY2351" s="1" t="s">
        <v>2120</v>
      </c>
      <c r="BZ2351" s="1" t="s">
        <v>209</v>
      </c>
      <c r="CA2351" s="1" t="s">
        <v>210</v>
      </c>
      <c r="CB2351" s="1" t="s">
        <v>431</v>
      </c>
      <c r="CC2351" s="1" t="s">
        <v>331</v>
      </c>
      <c r="CD2351" s="1" t="s">
        <v>206</v>
      </c>
      <c r="CE2351" s="1" t="s">
        <v>207</v>
      </c>
      <c r="CF2351" s="1" t="s">
        <v>431</v>
      </c>
      <c r="CG2351" s="1" t="s">
        <v>215</v>
      </c>
      <c r="CH2351" s="1" t="s">
        <v>209</v>
      </c>
      <c r="CI2351" s="1" t="s">
        <v>210</v>
      </c>
      <c r="CJ2351" s="1" t="s">
        <v>431</v>
      </c>
      <c r="CK2351" s="1" t="s">
        <v>363</v>
      </c>
      <c r="CL2351" s="1" t="s">
        <v>209</v>
      </c>
      <c r="CM2351" s="1" t="s">
        <v>210</v>
      </c>
      <c r="CN2351" s="1" t="s">
        <v>431</v>
      </c>
      <c r="CO2351" s="1" t="s">
        <v>211</v>
      </c>
      <c r="CP2351" s="1" t="s">
        <v>209</v>
      </c>
      <c r="CQ2351" s="1" t="s">
        <v>210</v>
      </c>
      <c r="CR2351" s="1" t="s">
        <v>431</v>
      </c>
      <c r="CS2351" s="1" t="s">
        <v>262</v>
      </c>
      <c r="CT2351" s="1" t="s">
        <v>206</v>
      </c>
      <c r="CU2351" s="1" t="s">
        <v>268</v>
      </c>
      <c r="CV2351" s="1" t="s">
        <v>431</v>
      </c>
      <c r="CW2351" s="1" t="s">
        <v>1244</v>
      </c>
      <c r="CX2351" s="1" t="s">
        <v>206</v>
      </c>
      <c r="CY2351" s="1" t="s">
        <v>207</v>
      </c>
      <c r="CZ2351" s="1" t="s">
        <v>431</v>
      </c>
      <c r="DA2351" s="1" t="s">
        <v>200</v>
      </c>
      <c r="DC2351" s="1" t="s">
        <v>481</v>
      </c>
      <c r="DD2351" s="1" t="s">
        <v>1838</v>
      </c>
      <c r="DE2351" s="1" t="s">
        <v>273</v>
      </c>
      <c r="DF2351" s="1" t="s">
        <v>219</v>
      </c>
      <c r="DG2351" s="1" t="s">
        <v>6030</v>
      </c>
      <c r="DH2351" s="1" t="s">
        <v>220</v>
      </c>
      <c r="DI2351" s="1" t="s">
        <v>1813</v>
      </c>
      <c r="DJ2351" s="1" t="s">
        <v>222</v>
      </c>
      <c r="DL2351" s="1" t="s">
        <v>3611</v>
      </c>
      <c r="DM2351" s="1" t="s">
        <v>229</v>
      </c>
      <c r="DN2351" s="1" t="s">
        <v>485</v>
      </c>
      <c r="DP2351" s="1" t="s">
        <v>340</v>
      </c>
      <c r="DQ2351" s="1" t="s">
        <v>441</v>
      </c>
      <c r="DR2351" s="1" t="s">
        <v>4273</v>
      </c>
      <c r="DU2351" s="1" t="s">
        <v>10324</v>
      </c>
      <c r="DV2351" s="1" t="s">
        <v>21598</v>
      </c>
      <c r="DW2351" s="1" t="s">
        <v>444</v>
      </c>
      <c r="DX2351" s="1" t="s">
        <v>234</v>
      </c>
      <c r="DY2351" s="1" t="s">
        <v>596</v>
      </c>
      <c r="DZ2351" s="1" t="s">
        <v>1959</v>
      </c>
      <c r="EA2351" s="1" t="s">
        <v>344</v>
      </c>
      <c r="EC2351" s="1" t="s">
        <v>237</v>
      </c>
      <c r="ED2351" s="1" t="s">
        <v>10039</v>
      </c>
      <c r="EE2351" s="1" t="s">
        <v>493</v>
      </c>
      <c r="EG2351" s="1" t="s">
        <v>557</v>
      </c>
      <c r="EH2351" s="1" t="s">
        <v>1571</v>
      </c>
      <c r="EI2351" s="1" t="s">
        <v>494</v>
      </c>
      <c r="EL2351" s="1" t="s">
        <v>1244</v>
      </c>
      <c r="EM2351" s="1" t="s">
        <v>209</v>
      </c>
      <c r="EN2351" s="1" t="s">
        <v>210</v>
      </c>
      <c r="EO2351" s="1" t="s">
        <v>431</v>
      </c>
      <c r="EP2351" s="1" t="s">
        <v>939</v>
      </c>
      <c r="EQ2351" s="1" t="s">
        <v>209</v>
      </c>
      <c r="ER2351" s="1" t="s">
        <v>617</v>
      </c>
      <c r="ES2351" s="1" t="s">
        <v>229</v>
      </c>
      <c r="ET2351" s="1" t="s">
        <v>215</v>
      </c>
      <c r="EU2351" s="1" t="s">
        <v>206</v>
      </c>
      <c r="EV2351" s="1" t="s">
        <v>207</v>
      </c>
      <c r="EW2351" s="1" t="s">
        <v>431</v>
      </c>
      <c r="EY2351" s="1" t="s">
        <v>238</v>
      </c>
      <c r="FC2351" s="1" t="s">
        <v>238</v>
      </c>
      <c r="FF2351" s="1" t="s">
        <v>239</v>
      </c>
      <c r="FG2351" s="1" t="s">
        <v>192</v>
      </c>
      <c r="FH2351" s="1" t="s">
        <v>192</v>
      </c>
      <c r="FJ2351" s="1" t="s">
        <v>5571</v>
      </c>
      <c r="FK2351" s="1" t="s">
        <v>229</v>
      </c>
      <c r="FL2351" s="1" t="s">
        <v>456</v>
      </c>
      <c r="FM2351" s="1">
        <v>23156.0</v>
      </c>
      <c r="FN2351" s="1" t="s">
        <v>2553</v>
      </c>
      <c r="FO2351" s="1" t="s">
        <v>21599</v>
      </c>
      <c r="FP2351" s="1">
        <v>231114.0</v>
      </c>
      <c r="FQ2351" s="1" t="s">
        <v>21600</v>
      </c>
      <c r="FU2351" s="1" t="s">
        <v>21601</v>
      </c>
      <c r="FV2351" s="1" t="s">
        <v>200</v>
      </c>
      <c r="FW2351" s="1" t="s">
        <v>4583</v>
      </c>
      <c r="FZ2351" s="1" t="s">
        <v>229</v>
      </c>
      <c r="GA2351" s="1" t="s">
        <v>291</v>
      </c>
      <c r="GB2351" s="2">
        <v>41978.0</v>
      </c>
      <c r="GC2351" s="1" t="s">
        <v>21602</v>
      </c>
    </row>
    <row r="2352">
      <c r="A2352" s="1">
        <v>325000.0</v>
      </c>
      <c r="B2352" s="1" t="s">
        <v>185</v>
      </c>
      <c r="C2352" s="1" t="str">
        <f>"08753192"</f>
        <v>08753192</v>
      </c>
      <c r="D2352" s="1" t="s">
        <v>186</v>
      </c>
      <c r="F2352" s="1" t="str">
        <f>"8038"</f>
        <v>8038</v>
      </c>
      <c r="G2352" s="2">
        <v>41926.0</v>
      </c>
      <c r="H2352" s="1">
        <v>365000.0</v>
      </c>
      <c r="I2352" s="1">
        <v>59.0</v>
      </c>
      <c r="J2352" s="1">
        <v>365000.0</v>
      </c>
      <c r="K2352" s="2">
        <v>41984.0</v>
      </c>
      <c r="L2352" s="1">
        <v>59.0</v>
      </c>
      <c r="M2352" s="2">
        <v>41984.0</v>
      </c>
      <c r="N2352" s="1" t="s">
        <v>249</v>
      </c>
      <c r="O2352" s="2">
        <v>42027.0</v>
      </c>
      <c r="P2352" s="1">
        <v>170468.0</v>
      </c>
      <c r="Q2352" s="1">
        <v>18476.0</v>
      </c>
      <c r="S2352" s="1">
        <v>4817.0</v>
      </c>
      <c r="T2352" s="1" t="s">
        <v>21603</v>
      </c>
      <c r="U2352" s="1" t="s">
        <v>189</v>
      </c>
      <c r="V2352" s="1" t="s">
        <v>190</v>
      </c>
      <c r="W2352" s="1">
        <v>60615.0</v>
      </c>
      <c r="Y2352" s="1" t="s">
        <v>21604</v>
      </c>
      <c r="Z2352" s="1">
        <v>1896.0</v>
      </c>
      <c r="AA2352" s="1" t="s">
        <v>192</v>
      </c>
      <c r="AB2352" s="1" t="s">
        <v>193</v>
      </c>
      <c r="AD2352" s="1" t="s">
        <v>194</v>
      </c>
      <c r="AE2352" s="1" t="s">
        <v>195</v>
      </c>
      <c r="AF2352" s="1" t="s">
        <v>637</v>
      </c>
      <c r="AH2352" s="1" t="s">
        <v>21605</v>
      </c>
      <c r="AK2352" s="1">
        <v>8.0</v>
      </c>
      <c r="AL2352" s="1">
        <v>3.0</v>
      </c>
      <c r="AM2352" s="1">
        <v>3.0</v>
      </c>
      <c r="AN2352" s="1">
        <v>1.0</v>
      </c>
      <c r="AO2352" s="1" t="s">
        <v>198</v>
      </c>
      <c r="AP2352" s="1">
        <v>1.0</v>
      </c>
      <c r="AQ2352" s="1" t="s">
        <v>198</v>
      </c>
      <c r="AR2352" s="1" t="s">
        <v>192</v>
      </c>
      <c r="AS2352" s="1" t="s">
        <v>199</v>
      </c>
      <c r="AT2352" s="1">
        <v>2.0</v>
      </c>
      <c r="AV2352" s="1" t="s">
        <v>200</v>
      </c>
      <c r="AW2352" s="1">
        <v>2775.02</v>
      </c>
      <c r="AX2352" s="1">
        <v>2013.0</v>
      </c>
      <c r="AY2352" s="1" t="s">
        <v>229</v>
      </c>
      <c r="AZ2352" s="1" t="s">
        <v>200</v>
      </c>
      <c r="BA2352" s="1" t="str">
        <f>"20102100070000"</f>
        <v>20102100070000</v>
      </c>
      <c r="BB2352" s="1" t="s">
        <v>200</v>
      </c>
      <c r="BC2352" s="1">
        <v>3900.0</v>
      </c>
      <c r="BD2352" s="1">
        <v>325000.0</v>
      </c>
      <c r="BE2352" s="2">
        <v>41926.0</v>
      </c>
      <c r="BF2352" s="1" t="s">
        <v>21606</v>
      </c>
      <c r="BH2352" s="1">
        <v>0.0</v>
      </c>
      <c r="BK2352" s="1" t="s">
        <v>204</v>
      </c>
      <c r="BL2352" s="1" t="str">
        <f t="shared" ref="BL2352:BL2353" si="1534">"0"</f>
        <v>0</v>
      </c>
      <c r="BM2352" s="1" t="str">
        <f>"500"</f>
        <v>500</v>
      </c>
      <c r="BN2352" s="1">
        <v>0.0</v>
      </c>
      <c r="BO2352" s="1">
        <v>4700.0</v>
      </c>
      <c r="BQ2352" s="1">
        <v>299.0</v>
      </c>
      <c r="BR2352" s="1">
        <v>299.0</v>
      </c>
      <c r="BS2352" s="1">
        <v>299.0</v>
      </c>
      <c r="BU2352" s="1" t="s">
        <v>214</v>
      </c>
      <c r="BV2352" s="1" t="s">
        <v>206</v>
      </c>
      <c r="BW2352" s="1" t="s">
        <v>207</v>
      </c>
      <c r="BY2352" s="1" t="s">
        <v>496</v>
      </c>
      <c r="BZ2352" s="1" t="s">
        <v>209</v>
      </c>
      <c r="CA2352" s="1" t="s">
        <v>210</v>
      </c>
      <c r="CC2352" s="1" t="s">
        <v>3375</v>
      </c>
      <c r="CD2352" s="1" t="s">
        <v>206</v>
      </c>
      <c r="CE2352" s="1" t="s">
        <v>207</v>
      </c>
      <c r="CG2352" s="1" t="s">
        <v>212</v>
      </c>
      <c r="CH2352" s="1" t="s">
        <v>209</v>
      </c>
      <c r="CI2352" s="1" t="s">
        <v>210</v>
      </c>
      <c r="CK2352" s="1" t="s">
        <v>264</v>
      </c>
      <c r="CL2352" s="1" t="s">
        <v>209</v>
      </c>
      <c r="CM2352" s="1" t="s">
        <v>210</v>
      </c>
      <c r="CO2352" s="1" t="s">
        <v>264</v>
      </c>
      <c r="CP2352" s="1" t="s">
        <v>42</v>
      </c>
      <c r="CQ2352" s="1" t="s">
        <v>268</v>
      </c>
      <c r="CS2352" s="1" t="s">
        <v>616</v>
      </c>
      <c r="CT2352" s="1" t="s">
        <v>206</v>
      </c>
      <c r="CU2352" s="1" t="s">
        <v>207</v>
      </c>
      <c r="CW2352" s="1" t="s">
        <v>769</v>
      </c>
      <c r="CX2352" s="1" t="s">
        <v>42</v>
      </c>
      <c r="CY2352" s="1" t="s">
        <v>268</v>
      </c>
      <c r="DA2352" s="1" t="s">
        <v>200</v>
      </c>
      <c r="DC2352" s="1" t="s">
        <v>642</v>
      </c>
      <c r="DE2352" s="1" t="s">
        <v>273</v>
      </c>
      <c r="DF2352" s="1" t="s">
        <v>219</v>
      </c>
      <c r="DH2352" s="1" t="s">
        <v>307</v>
      </c>
      <c r="DI2352" s="1" t="s">
        <v>308</v>
      </c>
      <c r="DJ2352" s="1" t="s">
        <v>1048</v>
      </c>
      <c r="DL2352" s="1" t="s">
        <v>224</v>
      </c>
      <c r="DM2352" s="1" t="s">
        <v>229</v>
      </c>
      <c r="DQ2352" s="1" t="s">
        <v>228</v>
      </c>
      <c r="DR2352" s="1" t="s">
        <v>229</v>
      </c>
      <c r="DS2352" s="1" t="s">
        <v>230</v>
      </c>
      <c r="DV2352" s="1" t="s">
        <v>232</v>
      </c>
      <c r="DW2352" s="1" t="s">
        <v>279</v>
      </c>
      <c r="DX2352" s="1" t="s">
        <v>234</v>
      </c>
      <c r="DY2352" s="1" t="s">
        <v>704</v>
      </c>
      <c r="DZ2352" s="1" t="s">
        <v>282</v>
      </c>
      <c r="EB2352" s="1" t="s">
        <v>684</v>
      </c>
      <c r="EC2352" s="1" t="s">
        <v>237</v>
      </c>
      <c r="ED2352" s="1" t="s">
        <v>555</v>
      </c>
      <c r="EE2352" s="1" t="s">
        <v>493</v>
      </c>
      <c r="EM2352" s="1" t="s">
        <v>238</v>
      </c>
      <c r="EQ2352" s="1" t="s">
        <v>238</v>
      </c>
      <c r="EU2352" s="1" t="s">
        <v>238</v>
      </c>
      <c r="EY2352" s="1" t="s">
        <v>238</v>
      </c>
      <c r="FC2352" s="1" t="s">
        <v>238</v>
      </c>
      <c r="FF2352" s="1" t="s">
        <v>239</v>
      </c>
      <c r="FG2352" s="1" t="s">
        <v>192</v>
      </c>
      <c r="FH2352" s="1" t="s">
        <v>192</v>
      </c>
      <c r="FJ2352" s="1" t="s">
        <v>988</v>
      </c>
      <c r="FK2352" s="1" t="s">
        <v>229</v>
      </c>
      <c r="FL2352" s="1" t="s">
        <v>21607</v>
      </c>
      <c r="FM2352" s="1">
        <v>84157.0</v>
      </c>
      <c r="FN2352" s="1" t="s">
        <v>21608</v>
      </c>
      <c r="FO2352" s="1" t="s">
        <v>21609</v>
      </c>
      <c r="FP2352" s="1">
        <v>841071.0</v>
      </c>
      <c r="FU2352" s="1" t="s">
        <v>21610</v>
      </c>
      <c r="FV2352" s="1" t="s">
        <v>200</v>
      </c>
      <c r="FW2352" s="1" t="s">
        <v>631</v>
      </c>
      <c r="FX2352" s="1" t="s">
        <v>655</v>
      </c>
      <c r="FZ2352" s="1" t="s">
        <v>229</v>
      </c>
      <c r="GA2352" s="1" t="s">
        <v>291</v>
      </c>
      <c r="GB2352" s="2">
        <v>42027.0</v>
      </c>
    </row>
    <row r="2353">
      <c r="A2353" s="1">
        <v>193000.0</v>
      </c>
      <c r="B2353" s="1" t="s">
        <v>185</v>
      </c>
      <c r="C2353" s="1" t="str">
        <f>"08748636"</f>
        <v>08748636</v>
      </c>
      <c r="D2353" s="1" t="s">
        <v>186</v>
      </c>
      <c r="F2353" s="1" t="str">
        <f>"8057"</f>
        <v>8057</v>
      </c>
      <c r="G2353" s="2">
        <v>41920.0</v>
      </c>
      <c r="H2353" s="1">
        <v>193900.0</v>
      </c>
      <c r="I2353" s="1">
        <v>41.0</v>
      </c>
      <c r="J2353" s="1">
        <v>193900.0</v>
      </c>
      <c r="K2353" s="2">
        <v>41960.0</v>
      </c>
      <c r="L2353" s="1">
        <v>41.0</v>
      </c>
      <c r="M2353" s="2">
        <v>41960.0</v>
      </c>
      <c r="N2353" s="1" t="s">
        <v>356</v>
      </c>
      <c r="O2353" s="2">
        <v>41999.0</v>
      </c>
      <c r="P2353" s="1">
        <v>238047.0</v>
      </c>
      <c r="Q2353" s="1">
        <v>23959.0</v>
      </c>
      <c r="S2353" s="1">
        <v>5030.0</v>
      </c>
      <c r="T2353" s="1" t="s">
        <v>16951</v>
      </c>
      <c r="U2353" s="1" t="s">
        <v>189</v>
      </c>
      <c r="V2353" s="1" t="s">
        <v>190</v>
      </c>
      <c r="W2353" s="1">
        <v>60632.0</v>
      </c>
      <c r="Y2353" s="1" t="s">
        <v>21611</v>
      </c>
      <c r="Z2353" s="1">
        <v>1937.0</v>
      </c>
      <c r="AA2353" s="1" t="s">
        <v>192</v>
      </c>
      <c r="AB2353" s="1" t="s">
        <v>193</v>
      </c>
      <c r="AD2353" s="1" t="s">
        <v>194</v>
      </c>
      <c r="AE2353" s="1" t="s">
        <v>195</v>
      </c>
      <c r="AF2353" s="1" t="s">
        <v>1154</v>
      </c>
      <c r="AH2353" s="1">
        <v>0.0</v>
      </c>
      <c r="AK2353" s="1">
        <v>7.0</v>
      </c>
      <c r="AL2353" s="1">
        <v>2.0</v>
      </c>
      <c r="AM2353" s="1">
        <v>2.0</v>
      </c>
      <c r="AN2353" s="1">
        <v>0.0</v>
      </c>
      <c r="AO2353" s="1" t="s">
        <v>229</v>
      </c>
      <c r="AQ2353" s="1" t="s">
        <v>198</v>
      </c>
      <c r="AR2353" s="1" t="s">
        <v>192</v>
      </c>
      <c r="AS2353" s="1" t="s">
        <v>199</v>
      </c>
      <c r="AT2353" s="1">
        <v>2.5</v>
      </c>
      <c r="AV2353" s="1" t="s">
        <v>200</v>
      </c>
      <c r="AW2353" s="1">
        <v>1924.57</v>
      </c>
      <c r="AX2353" s="1">
        <v>2013.0</v>
      </c>
      <c r="AZ2353" s="1" t="s">
        <v>200</v>
      </c>
      <c r="BA2353" s="1" t="str">
        <f>"19101230440000"</f>
        <v>19101230440000</v>
      </c>
      <c r="BC2353" s="1">
        <v>0.0</v>
      </c>
      <c r="BD2353" s="1">
        <v>193000.0</v>
      </c>
      <c r="BE2353" s="2">
        <v>41920.0</v>
      </c>
      <c r="BF2353" s="2" t="s">
        <v>21612</v>
      </c>
      <c r="BH2353" s="1">
        <v>0.0</v>
      </c>
      <c r="BK2353" s="1" t="s">
        <v>204</v>
      </c>
      <c r="BL2353" s="1" t="str">
        <f t="shared" si="1534"/>
        <v>0</v>
      </c>
      <c r="BM2353" s="1" t="str">
        <f t="shared" ref="BM2353:BM2355" si="1535">"0"</f>
        <v>0</v>
      </c>
      <c r="BN2353" s="1">
        <v>4400.0</v>
      </c>
      <c r="BO2353" s="1">
        <v>5030.0</v>
      </c>
      <c r="BQ2353" s="1">
        <v>299.0</v>
      </c>
      <c r="BR2353" s="1">
        <v>299.0</v>
      </c>
      <c r="BS2353" s="1">
        <v>299.0</v>
      </c>
      <c r="BU2353" s="1" t="s">
        <v>300</v>
      </c>
      <c r="BV2353" s="1" t="s">
        <v>206</v>
      </c>
      <c r="BW2353" s="1" t="s">
        <v>207</v>
      </c>
      <c r="BX2353" s="1" t="s">
        <v>431</v>
      </c>
      <c r="BY2353" s="1" t="s">
        <v>303</v>
      </c>
      <c r="BZ2353" s="1" t="s">
        <v>206</v>
      </c>
      <c r="CA2353" s="1" t="s">
        <v>207</v>
      </c>
      <c r="CB2353" s="1" t="s">
        <v>431</v>
      </c>
      <c r="CC2353" s="1" t="s">
        <v>5359</v>
      </c>
      <c r="CD2353" s="1" t="s">
        <v>206</v>
      </c>
      <c r="CE2353" s="1" t="s">
        <v>207</v>
      </c>
      <c r="CF2353" s="1" t="s">
        <v>431</v>
      </c>
      <c r="CG2353" s="1" t="s">
        <v>516</v>
      </c>
      <c r="CH2353" s="1" t="s">
        <v>206</v>
      </c>
      <c r="CI2353" s="1" t="s">
        <v>207</v>
      </c>
      <c r="CJ2353" s="1" t="s">
        <v>431</v>
      </c>
      <c r="CK2353" s="1" t="s">
        <v>212</v>
      </c>
      <c r="CL2353" s="1" t="s">
        <v>42</v>
      </c>
      <c r="CM2353" s="1" t="s">
        <v>268</v>
      </c>
      <c r="CO2353" s="1" t="s">
        <v>1745</v>
      </c>
      <c r="CP2353" s="1" t="s">
        <v>42</v>
      </c>
      <c r="CQ2353" s="1" t="s">
        <v>268</v>
      </c>
      <c r="CS2353" s="1" t="s">
        <v>798</v>
      </c>
      <c r="CT2353" s="1" t="s">
        <v>206</v>
      </c>
      <c r="CU2353" s="1" t="s">
        <v>207</v>
      </c>
      <c r="CV2353" s="1" t="s">
        <v>431</v>
      </c>
      <c r="CX2353" s="1" t="s">
        <v>204</v>
      </c>
      <c r="DA2353" s="1" t="s">
        <v>200</v>
      </c>
      <c r="DC2353" s="1" t="s">
        <v>1399</v>
      </c>
      <c r="DE2353" s="1" t="s">
        <v>273</v>
      </c>
      <c r="DF2353" s="1" t="s">
        <v>2275</v>
      </c>
      <c r="DH2353" s="1" t="s">
        <v>220</v>
      </c>
      <c r="DJ2353" s="1" t="s">
        <v>222</v>
      </c>
      <c r="DL2353" s="1" t="s">
        <v>224</v>
      </c>
      <c r="DM2353" s="1" t="s">
        <v>1464</v>
      </c>
      <c r="DQ2353" s="1" t="s">
        <v>228</v>
      </c>
      <c r="DR2353" s="1" t="s">
        <v>229</v>
      </c>
      <c r="DV2353" s="1" t="s">
        <v>232</v>
      </c>
      <c r="DW2353" s="1" t="s">
        <v>279</v>
      </c>
      <c r="DX2353" s="1" t="s">
        <v>234</v>
      </c>
      <c r="EC2353" s="1" t="s">
        <v>685</v>
      </c>
      <c r="EM2353" s="1" t="s">
        <v>238</v>
      </c>
      <c r="EQ2353" s="1" t="s">
        <v>238</v>
      </c>
      <c r="EU2353" s="1" t="s">
        <v>238</v>
      </c>
      <c r="EY2353" s="1" t="s">
        <v>238</v>
      </c>
      <c r="FC2353" s="1" t="s">
        <v>238</v>
      </c>
      <c r="FF2353" s="1" t="s">
        <v>239</v>
      </c>
      <c r="FG2353" s="1" t="s">
        <v>192</v>
      </c>
      <c r="FH2353" s="1" t="s">
        <v>192</v>
      </c>
      <c r="FJ2353" s="1" t="s">
        <v>3613</v>
      </c>
      <c r="FK2353" s="1" t="s">
        <v>229</v>
      </c>
      <c r="FL2353" s="1" t="s">
        <v>3207</v>
      </c>
      <c r="FM2353" s="1">
        <v>85486.0</v>
      </c>
      <c r="FN2353" s="1" t="s">
        <v>3208</v>
      </c>
      <c r="FO2353" s="1" t="s">
        <v>21613</v>
      </c>
      <c r="FP2353" s="1">
        <v>161173.0</v>
      </c>
      <c r="FQ2353" s="1" t="s">
        <v>21614</v>
      </c>
      <c r="FU2353" s="1" t="s">
        <v>21615</v>
      </c>
      <c r="FV2353" s="1" t="s">
        <v>200</v>
      </c>
      <c r="FW2353" s="1" t="s">
        <v>567</v>
      </c>
      <c r="FX2353" s="1" t="s">
        <v>655</v>
      </c>
      <c r="FZ2353" s="1" t="s">
        <v>229</v>
      </c>
      <c r="GA2353" s="1" t="s">
        <v>291</v>
      </c>
      <c r="GB2353" s="2">
        <v>41999.0</v>
      </c>
      <c r="GC2353" s="1" t="s">
        <v>21616</v>
      </c>
    </row>
    <row r="2354">
      <c r="A2354" s="1">
        <v>115000.0</v>
      </c>
      <c r="B2354" s="1" t="s">
        <v>185</v>
      </c>
      <c r="C2354" s="1" t="str">
        <f>"08753543"</f>
        <v>08753543</v>
      </c>
      <c r="D2354" s="1" t="s">
        <v>186</v>
      </c>
      <c r="F2354" s="1" t="str">
        <f>"8019"</f>
        <v>8019</v>
      </c>
      <c r="G2354" s="2">
        <v>41927.0</v>
      </c>
      <c r="H2354" s="1">
        <v>108000.0</v>
      </c>
      <c r="I2354" s="1">
        <v>97.0</v>
      </c>
      <c r="J2354" s="1">
        <v>108000.0</v>
      </c>
      <c r="K2354" s="2">
        <v>41942.0</v>
      </c>
      <c r="L2354" s="1">
        <v>16.0</v>
      </c>
      <c r="M2354" s="2">
        <v>41942.0</v>
      </c>
      <c r="N2354" s="1" t="s">
        <v>249</v>
      </c>
      <c r="O2354" s="2">
        <v>42035.0</v>
      </c>
      <c r="P2354" s="1">
        <v>123396.0</v>
      </c>
      <c r="Q2354" s="1">
        <v>16711.0</v>
      </c>
      <c r="S2354" s="1">
        <v>2236.0</v>
      </c>
      <c r="T2354" s="1" t="s">
        <v>384</v>
      </c>
      <c r="U2354" s="1" t="s">
        <v>189</v>
      </c>
      <c r="V2354" s="1" t="s">
        <v>190</v>
      </c>
      <c r="W2354" s="1">
        <v>60639.0</v>
      </c>
      <c r="Y2354" s="1" t="s">
        <v>21617</v>
      </c>
      <c r="Z2354" s="1">
        <v>1919.0</v>
      </c>
      <c r="AA2354" s="1" t="s">
        <v>192</v>
      </c>
      <c r="AB2354" s="1" t="s">
        <v>193</v>
      </c>
      <c r="AD2354" s="1" t="s">
        <v>194</v>
      </c>
      <c r="AE2354" s="1" t="s">
        <v>195</v>
      </c>
      <c r="AF2354" s="1" t="s">
        <v>196</v>
      </c>
      <c r="AG2354" s="1" t="s">
        <v>778</v>
      </c>
      <c r="AH2354" s="1" t="s">
        <v>359</v>
      </c>
      <c r="AI2354" s="1">
        <v>0.0861</v>
      </c>
      <c r="AK2354" s="1">
        <v>7.0</v>
      </c>
      <c r="AL2354" s="1">
        <v>4.0</v>
      </c>
      <c r="AM2354" s="1">
        <v>1.0</v>
      </c>
      <c r="AN2354" s="1">
        <v>0.0</v>
      </c>
      <c r="AO2354" s="1" t="s">
        <v>229</v>
      </c>
      <c r="AQ2354" s="1" t="s">
        <v>198</v>
      </c>
      <c r="AR2354" s="1" t="s">
        <v>200</v>
      </c>
      <c r="AS2354" s="1" t="s">
        <v>199</v>
      </c>
      <c r="AT2354" s="1">
        <v>2.0</v>
      </c>
      <c r="AV2354" s="1" t="s">
        <v>200</v>
      </c>
      <c r="AW2354" s="1">
        <v>3408.0</v>
      </c>
      <c r="AX2354" s="1">
        <v>2013.0</v>
      </c>
      <c r="AY2354" s="1" t="s">
        <v>229</v>
      </c>
      <c r="AZ2354" s="1" t="s">
        <v>200</v>
      </c>
      <c r="BA2354" s="1" t="str">
        <f>"13341070290000"</f>
        <v>13341070290000</v>
      </c>
      <c r="BB2354" s="1" t="s">
        <v>200</v>
      </c>
      <c r="BC2354" s="1">
        <v>1252.0</v>
      </c>
      <c r="BD2354" s="1">
        <v>115000.0</v>
      </c>
      <c r="BE2354" s="2">
        <v>41927.0</v>
      </c>
      <c r="BF2354" s="1" t="s">
        <v>21618</v>
      </c>
      <c r="BH2354" s="1">
        <v>0.0</v>
      </c>
      <c r="BK2354" s="1" t="s">
        <v>204</v>
      </c>
      <c r="BL2354" s="1" t="str">
        <f>"2236"</f>
        <v>2236</v>
      </c>
      <c r="BM2354" s="1" t="str">
        <f t="shared" si="1535"/>
        <v>0</v>
      </c>
      <c r="BN2354" s="1">
        <v>4700.0</v>
      </c>
      <c r="BO2354" s="1">
        <v>0.0</v>
      </c>
      <c r="BQ2354" s="1">
        <v>299.0</v>
      </c>
      <c r="BR2354" s="1">
        <v>299.0</v>
      </c>
      <c r="BS2354" s="1">
        <v>299.0</v>
      </c>
      <c r="BU2354" s="1" t="s">
        <v>743</v>
      </c>
      <c r="BV2354" s="1" t="s">
        <v>206</v>
      </c>
      <c r="BW2354" s="1" t="s">
        <v>207</v>
      </c>
      <c r="BY2354" s="1" t="s">
        <v>300</v>
      </c>
      <c r="BZ2354" s="1" t="s">
        <v>206</v>
      </c>
      <c r="CA2354" s="1" t="s">
        <v>207</v>
      </c>
      <c r="CC2354" s="1" t="s">
        <v>480</v>
      </c>
      <c r="CD2354" s="1" t="s">
        <v>206</v>
      </c>
      <c r="CE2354" s="1" t="s">
        <v>207</v>
      </c>
      <c r="CG2354" s="1" t="s">
        <v>300</v>
      </c>
      <c r="CH2354" s="1" t="s">
        <v>209</v>
      </c>
      <c r="CK2354" s="1" t="s">
        <v>393</v>
      </c>
      <c r="CL2354" s="1" t="s">
        <v>209</v>
      </c>
      <c r="CO2354" s="1" t="s">
        <v>393</v>
      </c>
      <c r="CP2354" s="1" t="s">
        <v>209</v>
      </c>
      <c r="CS2354" s="1" t="s">
        <v>677</v>
      </c>
      <c r="CT2354" s="1" t="s">
        <v>206</v>
      </c>
      <c r="CU2354" s="1" t="s">
        <v>207</v>
      </c>
      <c r="CX2354" s="1" t="s">
        <v>204</v>
      </c>
      <c r="DA2354" s="1" t="s">
        <v>200</v>
      </c>
      <c r="DC2354" s="1" t="s">
        <v>216</v>
      </c>
      <c r="DD2354" s="1" t="s">
        <v>306</v>
      </c>
      <c r="DE2354" s="1" t="s">
        <v>229</v>
      </c>
      <c r="DF2354" s="1" t="s">
        <v>619</v>
      </c>
      <c r="DH2354" s="1" t="s">
        <v>220</v>
      </c>
      <c r="DJ2354" s="1" t="s">
        <v>222</v>
      </c>
      <c r="DK2354" s="1" t="s">
        <v>790</v>
      </c>
      <c r="DL2354" s="1" t="s">
        <v>223</v>
      </c>
      <c r="DM2354" s="1" t="s">
        <v>229</v>
      </c>
      <c r="DP2354" s="1" t="s">
        <v>340</v>
      </c>
      <c r="DQ2354" s="1" t="s">
        <v>718</v>
      </c>
      <c r="DR2354" s="1" t="s">
        <v>229</v>
      </c>
      <c r="DV2354" s="1" t="s">
        <v>232</v>
      </c>
      <c r="DW2354" s="1" t="s">
        <v>279</v>
      </c>
      <c r="DX2354" s="1" t="s">
        <v>234</v>
      </c>
      <c r="DY2354" s="1" t="s">
        <v>553</v>
      </c>
      <c r="EA2354" s="1" t="s">
        <v>644</v>
      </c>
      <c r="EC2354" s="1" t="s">
        <v>645</v>
      </c>
      <c r="EM2354" s="1" t="s">
        <v>238</v>
      </c>
      <c r="EQ2354" s="1" t="s">
        <v>238</v>
      </c>
      <c r="EU2354" s="1" t="s">
        <v>238</v>
      </c>
      <c r="EY2354" s="1" t="s">
        <v>238</v>
      </c>
      <c r="FC2354" s="1" t="s">
        <v>238</v>
      </c>
      <c r="FF2354" s="1" t="s">
        <v>239</v>
      </c>
      <c r="FG2354" s="1" t="s">
        <v>192</v>
      </c>
      <c r="FH2354" s="1" t="s">
        <v>192</v>
      </c>
      <c r="FJ2354" s="1" t="s">
        <v>3334</v>
      </c>
      <c r="FK2354" s="1" t="s">
        <v>229</v>
      </c>
      <c r="FL2354" s="1" t="s">
        <v>19253</v>
      </c>
      <c r="FM2354" s="1">
        <v>90811.0</v>
      </c>
      <c r="FN2354" s="1" t="s">
        <v>19254</v>
      </c>
      <c r="FO2354" s="1" t="s">
        <v>19255</v>
      </c>
      <c r="FP2354" s="1">
        <v>900642.0</v>
      </c>
      <c r="FQ2354" s="1" t="s">
        <v>19256</v>
      </c>
      <c r="FR2354" s="1">
        <v>901705.0</v>
      </c>
      <c r="FU2354" s="1" t="s">
        <v>3993</v>
      </c>
      <c r="FV2354" s="1" t="s">
        <v>200</v>
      </c>
      <c r="FW2354" s="1" t="s">
        <v>21619</v>
      </c>
      <c r="FX2354" s="1" t="s">
        <v>238</v>
      </c>
      <c r="FZ2354" s="1" t="s">
        <v>229</v>
      </c>
      <c r="GA2354" s="1" t="s">
        <v>291</v>
      </c>
      <c r="GB2354" s="2">
        <v>42037.0</v>
      </c>
      <c r="GC2354" s="1" t="s">
        <v>21620</v>
      </c>
    </row>
    <row r="2355">
      <c r="A2355" s="1">
        <v>266000.0</v>
      </c>
      <c r="B2355" s="1" t="s">
        <v>185</v>
      </c>
      <c r="C2355" s="1" t="str">
        <f>"08751741"</f>
        <v>08751741</v>
      </c>
      <c r="D2355" s="1" t="s">
        <v>186</v>
      </c>
      <c r="F2355" s="1" t="str">
        <f>"103"</f>
        <v>103</v>
      </c>
      <c r="G2355" s="2">
        <v>41925.0</v>
      </c>
      <c r="H2355" s="1">
        <v>288000.0</v>
      </c>
      <c r="I2355" s="1">
        <v>99.0</v>
      </c>
      <c r="J2355" s="1">
        <v>269900.0</v>
      </c>
      <c r="K2355" s="2">
        <v>42023.0</v>
      </c>
      <c r="L2355" s="1">
        <v>99.0</v>
      </c>
      <c r="M2355" s="2">
        <v>42023.0</v>
      </c>
      <c r="N2355" s="1" t="s">
        <v>187</v>
      </c>
      <c r="O2355" s="2">
        <v>42073.0</v>
      </c>
      <c r="P2355" s="1">
        <v>241516.0</v>
      </c>
      <c r="Q2355" s="1">
        <v>23076.0</v>
      </c>
      <c r="S2355" s="1">
        <v>1920.0</v>
      </c>
      <c r="T2355" s="1" t="s">
        <v>21621</v>
      </c>
      <c r="U2355" s="1" t="s">
        <v>1174</v>
      </c>
      <c r="V2355" s="1" t="s">
        <v>251</v>
      </c>
      <c r="W2355" s="1">
        <v>60133.0</v>
      </c>
      <c r="Y2355" s="1" t="s">
        <v>21622</v>
      </c>
      <c r="Z2355" s="1">
        <v>1993.0</v>
      </c>
      <c r="AA2355" s="1" t="s">
        <v>200</v>
      </c>
      <c r="AB2355" s="1" t="s">
        <v>193</v>
      </c>
      <c r="AC2355" s="1" t="s">
        <v>3974</v>
      </c>
      <c r="AD2355" s="1" t="s">
        <v>254</v>
      </c>
      <c r="AE2355" s="1" t="s">
        <v>1258</v>
      </c>
      <c r="AF2355" s="1" t="s">
        <v>3935</v>
      </c>
      <c r="AG2355" s="1" t="s">
        <v>21623</v>
      </c>
      <c r="AH2355" s="1" t="s">
        <v>21624</v>
      </c>
      <c r="AK2355" s="1">
        <v>8.0</v>
      </c>
      <c r="AL2355" s="1">
        <v>4.0</v>
      </c>
      <c r="AM2355" s="1">
        <v>2.0</v>
      </c>
      <c r="AN2355" s="1">
        <v>1.0</v>
      </c>
      <c r="AO2355" s="1" t="s">
        <v>198</v>
      </c>
      <c r="AP2355" s="1">
        <v>1.0</v>
      </c>
      <c r="AQ2355" s="1" t="s">
        <v>198</v>
      </c>
      <c r="AR2355" s="1" t="s">
        <v>200</v>
      </c>
      <c r="AS2355" s="1" t="s">
        <v>199</v>
      </c>
      <c r="AT2355" s="1">
        <v>3.0</v>
      </c>
      <c r="AV2355" s="1" t="s">
        <v>200</v>
      </c>
      <c r="AW2355" s="1">
        <v>11527.0</v>
      </c>
      <c r="AX2355" s="1">
        <v>2013.0</v>
      </c>
      <c r="AY2355" s="1" t="s">
        <v>229</v>
      </c>
      <c r="AZ2355" s="1" t="s">
        <v>200</v>
      </c>
      <c r="BA2355" s="1" t="str">
        <f>"0112214012"</f>
        <v>0112214012</v>
      </c>
      <c r="BB2355" s="1" t="s">
        <v>200</v>
      </c>
      <c r="BC2355" s="1">
        <v>2230.0</v>
      </c>
      <c r="BD2355" s="1">
        <v>266000.0</v>
      </c>
      <c r="BE2355" s="2">
        <v>41925.0</v>
      </c>
      <c r="BF2355" s="2" t="s">
        <v>21625</v>
      </c>
      <c r="BG2355" s="1" t="s">
        <v>16019</v>
      </c>
      <c r="BH2355" s="1">
        <v>14.0</v>
      </c>
      <c r="BI2355" s="1" t="s">
        <v>513</v>
      </c>
      <c r="BJ2355" s="1" t="s">
        <v>514</v>
      </c>
      <c r="BK2355" s="1" t="s">
        <v>474</v>
      </c>
      <c r="BL2355" s="1" t="str">
        <f>"6"</f>
        <v>6</v>
      </c>
      <c r="BM2355" s="1" t="str">
        <f t="shared" si="1535"/>
        <v>0</v>
      </c>
      <c r="BN2355" s="1">
        <v>27.0</v>
      </c>
      <c r="BO2355" s="1">
        <v>0.0</v>
      </c>
      <c r="BQ2355" s="1">
        <v>46.0</v>
      </c>
      <c r="BR2355" s="1">
        <v>46.0</v>
      </c>
      <c r="BS2355" s="1">
        <v>46.0</v>
      </c>
      <c r="BU2355" s="1" t="s">
        <v>390</v>
      </c>
      <c r="BV2355" s="1" t="s">
        <v>206</v>
      </c>
      <c r="BW2355" s="1" t="s">
        <v>207</v>
      </c>
      <c r="BX2355" s="1" t="s">
        <v>431</v>
      </c>
      <c r="BY2355" s="1" t="s">
        <v>390</v>
      </c>
      <c r="BZ2355" s="1" t="s">
        <v>209</v>
      </c>
      <c r="CA2355" s="1" t="s">
        <v>210</v>
      </c>
      <c r="CC2355" s="1" t="s">
        <v>699</v>
      </c>
      <c r="CD2355" s="1" t="s">
        <v>206</v>
      </c>
      <c r="CE2355" s="1" t="s">
        <v>207</v>
      </c>
      <c r="CF2355" s="1" t="s">
        <v>431</v>
      </c>
      <c r="CG2355" s="1" t="s">
        <v>699</v>
      </c>
      <c r="CH2355" s="1" t="s">
        <v>209</v>
      </c>
      <c r="CI2355" s="1" t="s">
        <v>210</v>
      </c>
      <c r="CJ2355" s="1" t="s">
        <v>431</v>
      </c>
      <c r="CK2355" s="1" t="s">
        <v>699</v>
      </c>
      <c r="CL2355" s="1" t="s">
        <v>209</v>
      </c>
      <c r="CM2355" s="1" t="s">
        <v>210</v>
      </c>
      <c r="CO2355" s="1" t="s">
        <v>215</v>
      </c>
      <c r="CP2355" s="1" t="s">
        <v>209</v>
      </c>
      <c r="CQ2355" s="1" t="s">
        <v>210</v>
      </c>
      <c r="CR2355" s="1" t="s">
        <v>431</v>
      </c>
      <c r="CS2355" s="1" t="s">
        <v>2403</v>
      </c>
      <c r="CT2355" s="1" t="s">
        <v>206</v>
      </c>
      <c r="CU2355" s="1" t="s">
        <v>268</v>
      </c>
      <c r="CV2355" s="1" t="s">
        <v>431</v>
      </c>
      <c r="CW2355" s="1" t="s">
        <v>390</v>
      </c>
      <c r="CX2355" s="1" t="s">
        <v>206</v>
      </c>
      <c r="CY2355" s="1" t="s">
        <v>207</v>
      </c>
      <c r="CZ2355" s="1" t="s">
        <v>431</v>
      </c>
      <c r="DA2355" s="1" t="s">
        <v>200</v>
      </c>
      <c r="DC2355" s="1" t="s">
        <v>435</v>
      </c>
      <c r="DD2355" s="1" t="s">
        <v>436</v>
      </c>
      <c r="DE2355" s="1" t="s">
        <v>273</v>
      </c>
      <c r="DF2355" s="1" t="s">
        <v>219</v>
      </c>
      <c r="DG2355" s="1" t="s">
        <v>2237</v>
      </c>
      <c r="DH2355" s="1" t="s">
        <v>365</v>
      </c>
      <c r="DI2355" s="1" t="s">
        <v>16063</v>
      </c>
      <c r="DJ2355" s="1" t="s">
        <v>222</v>
      </c>
      <c r="DL2355" s="1" t="s">
        <v>224</v>
      </c>
      <c r="DM2355" s="1" t="s">
        <v>229</v>
      </c>
      <c r="DP2355" s="1" t="s">
        <v>276</v>
      </c>
      <c r="DQ2355" s="1" t="s">
        <v>228</v>
      </c>
      <c r="DR2355" s="1" t="s">
        <v>229</v>
      </c>
      <c r="DU2355" s="1" t="s">
        <v>1226</v>
      </c>
      <c r="DV2355" s="1" t="s">
        <v>232</v>
      </c>
      <c r="DW2355" s="1" t="s">
        <v>2602</v>
      </c>
      <c r="DX2355" s="1" t="s">
        <v>234</v>
      </c>
      <c r="DY2355" s="1" t="s">
        <v>21626</v>
      </c>
      <c r="EB2355" s="1" t="s">
        <v>937</v>
      </c>
      <c r="EC2355" s="1" t="s">
        <v>237</v>
      </c>
      <c r="EM2355" s="1" t="s">
        <v>238</v>
      </c>
      <c r="EQ2355" s="1" t="s">
        <v>238</v>
      </c>
      <c r="EU2355" s="1" t="s">
        <v>238</v>
      </c>
      <c r="EY2355" s="1" t="s">
        <v>238</v>
      </c>
      <c r="FC2355" s="1" t="s">
        <v>238</v>
      </c>
      <c r="FF2355" s="1" t="s">
        <v>239</v>
      </c>
      <c r="FG2355" s="1" t="s">
        <v>192</v>
      </c>
      <c r="FH2355" s="1" t="s">
        <v>192</v>
      </c>
      <c r="FJ2355" s="1" t="s">
        <v>13406</v>
      </c>
      <c r="FK2355" s="1" t="s">
        <v>229</v>
      </c>
      <c r="FL2355" s="1" t="s">
        <v>456</v>
      </c>
      <c r="FM2355" s="1">
        <v>1837.0</v>
      </c>
      <c r="FN2355" s="1" t="s">
        <v>3545</v>
      </c>
      <c r="FO2355" s="1" t="s">
        <v>21627</v>
      </c>
      <c r="FP2355" s="1">
        <v>27088.0</v>
      </c>
      <c r="FQ2355" s="1" t="s">
        <v>21628</v>
      </c>
      <c r="FU2355" s="1" t="s">
        <v>21629</v>
      </c>
      <c r="FV2355" s="1" t="s">
        <v>200</v>
      </c>
      <c r="FW2355" s="1" t="s">
        <v>290</v>
      </c>
      <c r="FZ2355" s="1" t="s">
        <v>504</v>
      </c>
      <c r="GA2355" s="1" t="s">
        <v>291</v>
      </c>
      <c r="GB2355" s="2">
        <v>42074.0</v>
      </c>
      <c r="GC2355" s="1" t="s">
        <v>21630</v>
      </c>
    </row>
    <row r="2356">
      <c r="A2356" s="1">
        <v>159000.0</v>
      </c>
      <c r="B2356" s="1" t="s">
        <v>185</v>
      </c>
      <c r="C2356" s="1" t="str">
        <f>"08752072"</f>
        <v>08752072</v>
      </c>
      <c r="D2356" s="1" t="s">
        <v>186</v>
      </c>
      <c r="F2356" s="1" t="str">
        <f>"115"</f>
        <v>115</v>
      </c>
      <c r="G2356" s="2">
        <v>41925.0</v>
      </c>
      <c r="H2356" s="1">
        <v>160000.0</v>
      </c>
      <c r="I2356" s="1">
        <v>139.0</v>
      </c>
      <c r="J2356" s="1">
        <v>160000.0</v>
      </c>
      <c r="K2356" s="2">
        <v>42063.0</v>
      </c>
      <c r="L2356" s="1">
        <v>139.0</v>
      </c>
      <c r="M2356" s="2">
        <v>42063.0</v>
      </c>
      <c r="N2356" s="1" t="s">
        <v>187</v>
      </c>
      <c r="O2356" s="2">
        <v>42107.0</v>
      </c>
      <c r="P2356" s="1">
        <v>237458.0</v>
      </c>
      <c r="Q2356" s="1">
        <v>24811.0</v>
      </c>
      <c r="R2356" s="1">
        <v>4770.0</v>
      </c>
      <c r="S2356" s="1">
        <v>401.0</v>
      </c>
      <c r="T2356" s="1" t="s">
        <v>21631</v>
      </c>
      <c r="U2356" s="1" t="s">
        <v>569</v>
      </c>
      <c r="V2356" s="1" t="s">
        <v>610</v>
      </c>
      <c r="W2356" s="1">
        <v>60115.0</v>
      </c>
      <c r="Y2356" s="1" t="s">
        <v>21632</v>
      </c>
      <c r="Z2356" s="1">
        <v>1969.0</v>
      </c>
      <c r="AA2356" s="1" t="s">
        <v>192</v>
      </c>
      <c r="AB2356" s="1" t="s">
        <v>193</v>
      </c>
      <c r="AD2356" s="1" t="s">
        <v>612</v>
      </c>
      <c r="AE2356" s="1" t="s">
        <v>613</v>
      </c>
      <c r="AF2356" s="1" t="s">
        <v>612</v>
      </c>
      <c r="AH2356" s="1" t="s">
        <v>21633</v>
      </c>
      <c r="AK2356" s="1">
        <v>7.0</v>
      </c>
      <c r="AL2356" s="1">
        <v>4.0</v>
      </c>
      <c r="AM2356" s="1">
        <v>2.0</v>
      </c>
      <c r="AN2356" s="1">
        <v>1.0</v>
      </c>
      <c r="AO2356" s="1" t="s">
        <v>198</v>
      </c>
      <c r="AQ2356" s="1" t="s">
        <v>229</v>
      </c>
      <c r="AR2356" s="1" t="s">
        <v>200</v>
      </c>
      <c r="AS2356" s="1" t="s">
        <v>199</v>
      </c>
      <c r="AT2356" s="1">
        <v>2.0</v>
      </c>
      <c r="AV2356" s="1" t="s">
        <v>200</v>
      </c>
      <c r="AW2356" s="1">
        <v>5374.0</v>
      </c>
      <c r="AX2356" s="1">
        <v>2013.0</v>
      </c>
      <c r="AY2356" s="1" t="s">
        <v>229</v>
      </c>
      <c r="AZ2356" s="1" t="s">
        <v>200</v>
      </c>
      <c r="BA2356" s="1" t="str">
        <f>"0815426007"</f>
        <v>0815426007</v>
      </c>
      <c r="BC2356" s="1">
        <v>2128.0</v>
      </c>
      <c r="BD2356" s="1">
        <v>159000.0</v>
      </c>
      <c r="BE2356" s="2">
        <v>41925.0</v>
      </c>
      <c r="BF2356" s="2" t="s">
        <v>21634</v>
      </c>
      <c r="BH2356" s="1">
        <v>0.0</v>
      </c>
      <c r="BK2356" s="1" t="s">
        <v>204</v>
      </c>
      <c r="BL2356" s="1" t="str">
        <f t="shared" ref="BL2356:BM2356" si="1536">""</f>
        <v/>
      </c>
      <c r="BM2356" s="1" t="str">
        <f t="shared" si="1536"/>
        <v/>
      </c>
      <c r="BQ2356" s="1">
        <v>428.0</v>
      </c>
      <c r="BR2356" s="1">
        <v>428.0</v>
      </c>
      <c r="BS2356" s="1">
        <v>428.0</v>
      </c>
      <c r="BU2356" s="1" t="s">
        <v>1244</v>
      </c>
      <c r="BV2356" s="1" t="s">
        <v>209</v>
      </c>
      <c r="BY2356" s="1" t="s">
        <v>331</v>
      </c>
      <c r="BZ2356" s="1" t="s">
        <v>209</v>
      </c>
      <c r="CD2356" s="1" t="s">
        <v>204</v>
      </c>
      <c r="CG2356" s="1" t="s">
        <v>215</v>
      </c>
      <c r="CH2356" s="1" t="s">
        <v>209</v>
      </c>
      <c r="CK2356" s="1" t="s">
        <v>363</v>
      </c>
      <c r="CL2356" s="1" t="s">
        <v>209</v>
      </c>
      <c r="CO2356" s="1" t="s">
        <v>332</v>
      </c>
      <c r="CP2356" s="1" t="s">
        <v>206</v>
      </c>
      <c r="CS2356" s="1" t="s">
        <v>1138</v>
      </c>
      <c r="CT2356" s="1" t="s">
        <v>209</v>
      </c>
      <c r="CW2356" s="1" t="s">
        <v>1244</v>
      </c>
      <c r="CX2356" s="1" t="s">
        <v>206</v>
      </c>
      <c r="DA2356" s="1" t="s">
        <v>200</v>
      </c>
      <c r="DC2356" s="1" t="s">
        <v>517</v>
      </c>
      <c r="DE2356" s="1" t="s">
        <v>273</v>
      </c>
      <c r="DF2356" s="1" t="s">
        <v>219</v>
      </c>
      <c r="DH2356" s="1" t="s">
        <v>220</v>
      </c>
      <c r="DJ2356" s="1" t="s">
        <v>222</v>
      </c>
      <c r="DL2356" s="1" t="s">
        <v>229</v>
      </c>
      <c r="DM2356" s="1" t="s">
        <v>338</v>
      </c>
      <c r="DQ2356" s="1" t="s">
        <v>1557</v>
      </c>
      <c r="DR2356" s="1" t="s">
        <v>229</v>
      </c>
      <c r="DV2356" s="1" t="s">
        <v>232</v>
      </c>
      <c r="DW2356" s="1" t="s">
        <v>279</v>
      </c>
      <c r="DX2356" s="1" t="s">
        <v>3205</v>
      </c>
      <c r="DZ2356" s="1" t="s">
        <v>282</v>
      </c>
      <c r="EC2356" s="1" t="s">
        <v>21635</v>
      </c>
      <c r="EM2356" s="1" t="s">
        <v>238</v>
      </c>
      <c r="EQ2356" s="1" t="s">
        <v>238</v>
      </c>
      <c r="EU2356" s="1" t="s">
        <v>238</v>
      </c>
      <c r="EY2356" s="1" t="s">
        <v>238</v>
      </c>
      <c r="FC2356" s="1" t="s">
        <v>238</v>
      </c>
      <c r="FF2356" s="1" t="s">
        <v>239</v>
      </c>
      <c r="FG2356" s="1" t="s">
        <v>192</v>
      </c>
      <c r="FH2356" s="1" t="s">
        <v>192</v>
      </c>
      <c r="FJ2356" s="1" t="s">
        <v>624</v>
      </c>
      <c r="FK2356" s="1" t="s">
        <v>348</v>
      </c>
      <c r="FL2356" s="1" t="s">
        <v>2926</v>
      </c>
      <c r="FM2356" s="1">
        <v>24809.0</v>
      </c>
      <c r="FN2356" s="1" t="s">
        <v>2927</v>
      </c>
      <c r="FO2356" s="1" t="s">
        <v>21636</v>
      </c>
      <c r="FP2356" s="1">
        <v>237438.0</v>
      </c>
      <c r="FS2356" s="1" t="s">
        <v>21637</v>
      </c>
      <c r="FU2356" s="1" t="s">
        <v>21638</v>
      </c>
      <c r="FV2356" s="1" t="s">
        <v>200</v>
      </c>
      <c r="FW2356" s="1" t="s">
        <v>530</v>
      </c>
      <c r="FZ2356" s="1" t="s">
        <v>229</v>
      </c>
      <c r="GA2356" s="1" t="s">
        <v>291</v>
      </c>
      <c r="GB2356" s="2">
        <v>42108.0</v>
      </c>
    </row>
    <row r="2357">
      <c r="A2357" s="1">
        <v>244000.0</v>
      </c>
      <c r="B2357" s="1" t="s">
        <v>185</v>
      </c>
      <c r="C2357" s="1" t="str">
        <f>"08753069"</f>
        <v>08753069</v>
      </c>
      <c r="D2357" s="1" t="s">
        <v>186</v>
      </c>
      <c r="F2357" s="1" t="str">
        <f>"634"</f>
        <v>634</v>
      </c>
      <c r="G2357" s="2">
        <v>41926.0</v>
      </c>
      <c r="H2357" s="1">
        <v>259900.0</v>
      </c>
      <c r="I2357" s="1">
        <v>87.0</v>
      </c>
      <c r="J2357" s="1">
        <v>249900.0</v>
      </c>
      <c r="K2357" s="2">
        <v>42012.0</v>
      </c>
      <c r="L2357" s="1">
        <v>87.0</v>
      </c>
      <c r="M2357" s="2">
        <v>42012.0</v>
      </c>
      <c r="N2357" s="1" t="s">
        <v>187</v>
      </c>
      <c r="O2357" s="2">
        <v>42055.0</v>
      </c>
      <c r="P2357" s="1">
        <v>152117.0</v>
      </c>
      <c r="Q2357" s="1">
        <v>15391.0</v>
      </c>
      <c r="S2357" s="1">
        <v>7962.0</v>
      </c>
      <c r="T2357" s="1" t="s">
        <v>16133</v>
      </c>
      <c r="U2357" s="1" t="s">
        <v>189</v>
      </c>
      <c r="V2357" s="1" t="s">
        <v>6388</v>
      </c>
      <c r="W2357" s="1">
        <v>60706.0</v>
      </c>
      <c r="Y2357" s="1" t="s">
        <v>21639</v>
      </c>
      <c r="Z2357" s="1">
        <v>1951.0</v>
      </c>
      <c r="AA2357" s="1" t="s">
        <v>192</v>
      </c>
      <c r="AB2357" s="1" t="s">
        <v>193</v>
      </c>
      <c r="AD2357" s="1" t="s">
        <v>6390</v>
      </c>
      <c r="AE2357" s="1" t="s">
        <v>195</v>
      </c>
      <c r="AF2357" s="1" t="s">
        <v>2347</v>
      </c>
      <c r="AH2357" s="1" t="s">
        <v>21640</v>
      </c>
      <c r="AI2357" s="1">
        <v>0.1194</v>
      </c>
      <c r="AK2357" s="1">
        <v>8.0</v>
      </c>
      <c r="AL2357" s="1">
        <v>4.0</v>
      </c>
      <c r="AM2357" s="1">
        <v>2.0</v>
      </c>
      <c r="AN2357" s="1">
        <v>0.0</v>
      </c>
      <c r="AO2357" s="1" t="s">
        <v>229</v>
      </c>
      <c r="AQ2357" s="1" t="s">
        <v>198</v>
      </c>
      <c r="AR2357" s="1" t="s">
        <v>200</v>
      </c>
      <c r="AS2357" s="1" t="s">
        <v>199</v>
      </c>
      <c r="AT2357" s="1">
        <v>1.0</v>
      </c>
      <c r="AV2357" s="1" t="s">
        <v>200</v>
      </c>
      <c r="AW2357" s="1">
        <v>3925.0</v>
      </c>
      <c r="AX2357" s="1">
        <v>2013.0</v>
      </c>
      <c r="AY2357" s="1" t="s">
        <v>1179</v>
      </c>
      <c r="AZ2357" s="1" t="s">
        <v>200</v>
      </c>
      <c r="BA2357" s="1" t="str">
        <f>"12142070390000"</f>
        <v>12142070390000</v>
      </c>
      <c r="BB2357" s="1" t="s">
        <v>200</v>
      </c>
      <c r="BC2357" s="1">
        <v>1685.0</v>
      </c>
      <c r="BD2357" s="1">
        <v>244000.0</v>
      </c>
      <c r="BE2357" s="2">
        <v>41926.0</v>
      </c>
      <c r="BF2357" s="2" t="s">
        <v>21641</v>
      </c>
      <c r="BG2357" s="1" t="s">
        <v>21642</v>
      </c>
      <c r="BH2357" s="1">
        <v>0.0</v>
      </c>
      <c r="BI2357" s="1" t="s">
        <v>21642</v>
      </c>
      <c r="BJ2357" s="1" t="s">
        <v>2352</v>
      </c>
      <c r="BK2357" s="1" t="s">
        <v>204</v>
      </c>
      <c r="BL2357" s="1" t="str">
        <f>"4400"</f>
        <v>4400</v>
      </c>
      <c r="BM2357" s="1" t="str">
        <f>"0"</f>
        <v>0</v>
      </c>
      <c r="BN2357" s="1">
        <v>7962.0</v>
      </c>
      <c r="BO2357" s="1">
        <v>0.0</v>
      </c>
      <c r="BQ2357" s="1">
        <v>80.0</v>
      </c>
      <c r="BR2357" s="1">
        <v>234.0</v>
      </c>
      <c r="BS2357" s="1">
        <v>80.0</v>
      </c>
      <c r="BU2357" s="1" t="s">
        <v>454</v>
      </c>
      <c r="BV2357" s="1" t="s">
        <v>206</v>
      </c>
      <c r="BW2357" s="1" t="s">
        <v>210</v>
      </c>
      <c r="BX2357" s="1" t="s">
        <v>239</v>
      </c>
      <c r="BY2357" s="1" t="s">
        <v>262</v>
      </c>
      <c r="BZ2357" s="1" t="s">
        <v>209</v>
      </c>
      <c r="CA2357" s="1" t="s">
        <v>210</v>
      </c>
      <c r="CB2357" s="1" t="s">
        <v>239</v>
      </c>
      <c r="CD2357" s="1" t="s">
        <v>204</v>
      </c>
      <c r="CG2357" s="1" t="s">
        <v>495</v>
      </c>
      <c r="CH2357" s="1" t="s">
        <v>206</v>
      </c>
      <c r="CI2357" s="1" t="s">
        <v>210</v>
      </c>
      <c r="CJ2357" s="1" t="s">
        <v>239</v>
      </c>
      <c r="CK2357" s="1" t="s">
        <v>265</v>
      </c>
      <c r="CL2357" s="1" t="s">
        <v>209</v>
      </c>
      <c r="CM2357" s="1" t="s">
        <v>210</v>
      </c>
      <c r="CN2357" s="1" t="s">
        <v>239</v>
      </c>
      <c r="CO2357" s="1" t="s">
        <v>266</v>
      </c>
      <c r="CP2357" s="1" t="s">
        <v>209</v>
      </c>
      <c r="CQ2357" s="1" t="s">
        <v>210</v>
      </c>
      <c r="CS2357" s="1" t="s">
        <v>4180</v>
      </c>
      <c r="CT2357" s="1" t="s">
        <v>206</v>
      </c>
      <c r="CU2357" s="1" t="s">
        <v>268</v>
      </c>
      <c r="CV2357" s="1" t="s">
        <v>239</v>
      </c>
      <c r="CW2357" s="1" t="s">
        <v>495</v>
      </c>
      <c r="CX2357" s="1" t="s">
        <v>206</v>
      </c>
      <c r="CY2357" s="1" t="s">
        <v>210</v>
      </c>
      <c r="CZ2357" s="1" t="s">
        <v>239</v>
      </c>
      <c r="DA2357" s="1" t="s">
        <v>200</v>
      </c>
      <c r="DC2357" s="1" t="s">
        <v>702</v>
      </c>
      <c r="DD2357" s="1" t="s">
        <v>436</v>
      </c>
      <c r="DE2357" s="1" t="s">
        <v>273</v>
      </c>
      <c r="DF2357" s="1" t="s">
        <v>219</v>
      </c>
      <c r="DG2357" s="1" t="s">
        <v>337</v>
      </c>
      <c r="DH2357" s="1" t="s">
        <v>365</v>
      </c>
      <c r="DI2357" s="1" t="s">
        <v>6108</v>
      </c>
      <c r="DJ2357" s="1" t="s">
        <v>222</v>
      </c>
      <c r="DL2357" s="1" t="s">
        <v>223</v>
      </c>
      <c r="DM2357" s="1" t="s">
        <v>229</v>
      </c>
      <c r="DO2357" s="1" t="s">
        <v>549</v>
      </c>
      <c r="DQ2357" s="1" t="s">
        <v>228</v>
      </c>
      <c r="DR2357" s="1" t="s">
        <v>229</v>
      </c>
      <c r="DV2357" s="1" t="s">
        <v>598</v>
      </c>
      <c r="DW2357" s="1" t="s">
        <v>934</v>
      </c>
      <c r="DX2357" s="1" t="s">
        <v>234</v>
      </c>
      <c r="DY2357" s="1" t="s">
        <v>1371</v>
      </c>
      <c r="EA2357" s="1" t="s">
        <v>1075</v>
      </c>
      <c r="EC2357" s="1" t="s">
        <v>645</v>
      </c>
      <c r="ED2357" s="1" t="s">
        <v>555</v>
      </c>
      <c r="EH2357" s="1" t="s">
        <v>598</v>
      </c>
      <c r="EM2357" s="1" t="s">
        <v>238</v>
      </c>
      <c r="EP2357" s="1" t="s">
        <v>798</v>
      </c>
      <c r="EQ2357" s="1" t="s">
        <v>209</v>
      </c>
      <c r="ER2357" s="1" t="s">
        <v>210</v>
      </c>
      <c r="EU2357" s="1" t="s">
        <v>238</v>
      </c>
      <c r="EY2357" s="1" t="s">
        <v>238</v>
      </c>
      <c r="FC2357" s="1" t="s">
        <v>238</v>
      </c>
      <c r="FF2357" s="1" t="s">
        <v>239</v>
      </c>
      <c r="FG2357" s="1" t="s">
        <v>192</v>
      </c>
      <c r="FH2357" s="1" t="s">
        <v>192</v>
      </c>
      <c r="FJ2357" s="1" t="s">
        <v>21643</v>
      </c>
      <c r="FK2357" s="1" t="s">
        <v>229</v>
      </c>
      <c r="FL2357" s="1" t="s">
        <v>1124</v>
      </c>
      <c r="FM2357" s="1">
        <v>8058.0</v>
      </c>
      <c r="FN2357" s="1" t="s">
        <v>1125</v>
      </c>
      <c r="FO2357" s="1" t="s">
        <v>21644</v>
      </c>
      <c r="FP2357" s="1">
        <v>88898.0</v>
      </c>
      <c r="FQ2357" s="1" t="s">
        <v>21645</v>
      </c>
      <c r="FU2357" s="1" t="s">
        <v>21646</v>
      </c>
      <c r="FV2357" s="1" t="s">
        <v>200</v>
      </c>
      <c r="FW2357" s="1" t="s">
        <v>530</v>
      </c>
      <c r="FX2357" s="1" t="s">
        <v>246</v>
      </c>
      <c r="FZ2357" s="1" t="s">
        <v>229</v>
      </c>
      <c r="GA2357" s="1" t="s">
        <v>291</v>
      </c>
      <c r="GB2357" s="2">
        <v>42055.0</v>
      </c>
    </row>
    <row r="2358">
      <c r="A2358" s="1">
        <v>198000.0</v>
      </c>
      <c r="B2358" s="1" t="s">
        <v>185</v>
      </c>
      <c r="C2358" s="1" t="str">
        <f>"08755214"</f>
        <v>08755214</v>
      </c>
      <c r="D2358" s="1" t="s">
        <v>186</v>
      </c>
      <c r="F2358" s="1" t="str">
        <f>"8064"</f>
        <v>8064</v>
      </c>
      <c r="G2358" s="2">
        <v>41929.0</v>
      </c>
      <c r="H2358" s="1">
        <v>224900.0</v>
      </c>
      <c r="I2358" s="1">
        <v>101.0</v>
      </c>
      <c r="J2358" s="1">
        <v>202900.0</v>
      </c>
      <c r="K2358" s="2">
        <v>42010.0</v>
      </c>
      <c r="L2358" s="1">
        <v>83.0</v>
      </c>
      <c r="M2358" s="2">
        <v>42010.0</v>
      </c>
      <c r="N2358" s="1" t="s">
        <v>634</v>
      </c>
      <c r="O2358" s="2">
        <v>42058.0</v>
      </c>
      <c r="P2358" s="1">
        <v>141749.0</v>
      </c>
      <c r="Q2358" s="1">
        <v>15905.0</v>
      </c>
      <c r="S2358" s="1">
        <v>6025.0</v>
      </c>
      <c r="T2358" s="1" t="s">
        <v>17836</v>
      </c>
      <c r="U2358" s="1" t="s">
        <v>189</v>
      </c>
      <c r="V2358" s="1" t="s">
        <v>190</v>
      </c>
      <c r="W2358" s="1">
        <v>60638.0</v>
      </c>
      <c r="Y2358" s="1" t="s">
        <v>21647</v>
      </c>
      <c r="Z2358" s="1">
        <v>1952.0</v>
      </c>
      <c r="AA2358" s="1" t="s">
        <v>192</v>
      </c>
      <c r="AB2358" s="1" t="s">
        <v>193</v>
      </c>
      <c r="AD2358" s="1" t="s">
        <v>194</v>
      </c>
      <c r="AE2358" s="1" t="s">
        <v>195</v>
      </c>
      <c r="AF2358" s="1" t="s">
        <v>659</v>
      </c>
      <c r="AH2358" s="1" t="s">
        <v>1501</v>
      </c>
      <c r="AK2358" s="1">
        <v>7.0</v>
      </c>
      <c r="AL2358" s="1">
        <v>3.0</v>
      </c>
      <c r="AM2358" s="1">
        <v>2.0</v>
      </c>
      <c r="AN2358" s="1">
        <v>0.0</v>
      </c>
      <c r="AO2358" s="1" t="s">
        <v>229</v>
      </c>
      <c r="AQ2358" s="1" t="s">
        <v>198</v>
      </c>
      <c r="AR2358" s="1" t="s">
        <v>192</v>
      </c>
      <c r="AS2358" s="1" t="s">
        <v>199</v>
      </c>
      <c r="AT2358" s="1">
        <v>2.0</v>
      </c>
      <c r="AV2358" s="1" t="s">
        <v>200</v>
      </c>
      <c r="AW2358" s="1">
        <v>2895.0</v>
      </c>
      <c r="AX2358" s="1">
        <v>2012.0</v>
      </c>
      <c r="AY2358" s="1" t="s">
        <v>387</v>
      </c>
      <c r="AZ2358" s="1" t="s">
        <v>545</v>
      </c>
      <c r="BA2358" s="1" t="str">
        <f>"19174090090000"</f>
        <v>19174090090000</v>
      </c>
      <c r="BC2358" s="1">
        <v>1450.0</v>
      </c>
      <c r="BD2358" s="1">
        <v>198000.0</v>
      </c>
      <c r="BE2358" s="2">
        <v>41928.0</v>
      </c>
      <c r="BF2358" s="2" t="s">
        <v>21648</v>
      </c>
      <c r="BH2358" s="1">
        <v>0.0</v>
      </c>
      <c r="BK2358" s="1" t="s">
        <v>204</v>
      </c>
      <c r="BL2358" s="1" t="str">
        <f t="shared" ref="BL2358:BM2358" si="1537">"0"</f>
        <v>0</v>
      </c>
      <c r="BM2358" s="1" t="str">
        <f t="shared" si="1537"/>
        <v>0</v>
      </c>
      <c r="BN2358" s="1">
        <v>5932.0</v>
      </c>
      <c r="BO2358" s="1">
        <v>6000.0</v>
      </c>
      <c r="BQ2358" s="1">
        <v>299.0</v>
      </c>
      <c r="BR2358" s="1">
        <v>299.0</v>
      </c>
      <c r="BS2358" s="1">
        <v>299.0</v>
      </c>
      <c r="BU2358" s="1" t="s">
        <v>743</v>
      </c>
      <c r="BV2358" s="1" t="s">
        <v>206</v>
      </c>
      <c r="BW2358" s="1" t="s">
        <v>207</v>
      </c>
      <c r="BY2358" s="1" t="s">
        <v>433</v>
      </c>
      <c r="BZ2358" s="1" t="s">
        <v>206</v>
      </c>
      <c r="CA2358" s="1" t="s">
        <v>207</v>
      </c>
      <c r="CD2358" s="1" t="s">
        <v>204</v>
      </c>
      <c r="CG2358" s="1" t="s">
        <v>363</v>
      </c>
      <c r="CH2358" s="1" t="s">
        <v>206</v>
      </c>
      <c r="CI2358" s="1" t="s">
        <v>207</v>
      </c>
      <c r="CK2358" s="1" t="s">
        <v>264</v>
      </c>
      <c r="CL2358" s="1" t="s">
        <v>206</v>
      </c>
      <c r="CM2358" s="1" t="s">
        <v>207</v>
      </c>
      <c r="CO2358" s="1" t="s">
        <v>433</v>
      </c>
      <c r="CP2358" s="1" t="s">
        <v>42</v>
      </c>
      <c r="CQ2358" s="1" t="s">
        <v>268</v>
      </c>
      <c r="CS2358" s="1" t="s">
        <v>361</v>
      </c>
      <c r="CT2358" s="1" t="s">
        <v>206</v>
      </c>
      <c r="CU2358" s="1" t="s">
        <v>268</v>
      </c>
      <c r="CW2358" s="1" t="s">
        <v>4560</v>
      </c>
      <c r="CX2358" s="1" t="s">
        <v>42</v>
      </c>
      <c r="CY2358" s="1" t="s">
        <v>268</v>
      </c>
      <c r="DA2358" s="1" t="s">
        <v>200</v>
      </c>
      <c r="DC2358" s="1" t="s">
        <v>702</v>
      </c>
      <c r="DE2358" s="1" t="s">
        <v>273</v>
      </c>
      <c r="DF2358" s="1" t="s">
        <v>905</v>
      </c>
      <c r="DH2358" s="1" t="s">
        <v>220</v>
      </c>
      <c r="DI2358" s="1" t="s">
        <v>308</v>
      </c>
      <c r="DJ2358" s="1" t="s">
        <v>222</v>
      </c>
      <c r="DL2358" s="1" t="s">
        <v>224</v>
      </c>
      <c r="DM2358" s="1" t="s">
        <v>229</v>
      </c>
      <c r="DQ2358" s="1" t="s">
        <v>718</v>
      </c>
      <c r="DR2358" s="1" t="s">
        <v>229</v>
      </c>
      <c r="DS2358" s="1" t="s">
        <v>230</v>
      </c>
      <c r="DV2358" s="1" t="s">
        <v>232</v>
      </c>
      <c r="DW2358" s="1" t="s">
        <v>279</v>
      </c>
      <c r="DX2358" s="1" t="s">
        <v>1287</v>
      </c>
      <c r="DY2358" s="1" t="s">
        <v>1371</v>
      </c>
      <c r="EC2358" s="1" t="s">
        <v>685</v>
      </c>
      <c r="EE2358" s="1" t="s">
        <v>493</v>
      </c>
      <c r="EM2358" s="1" t="s">
        <v>238</v>
      </c>
      <c r="EQ2358" s="1" t="s">
        <v>238</v>
      </c>
      <c r="EU2358" s="1" t="s">
        <v>238</v>
      </c>
      <c r="EY2358" s="1" t="s">
        <v>238</v>
      </c>
      <c r="FC2358" s="1" t="s">
        <v>238</v>
      </c>
      <c r="FF2358" s="1" t="s">
        <v>239</v>
      </c>
      <c r="FG2358" s="1" t="s">
        <v>192</v>
      </c>
      <c r="FH2358" s="1" t="s">
        <v>192</v>
      </c>
      <c r="FJ2358" s="1" t="s">
        <v>1469</v>
      </c>
      <c r="FK2358" s="1" t="s">
        <v>348</v>
      </c>
      <c r="FL2358" s="1" t="s">
        <v>1470</v>
      </c>
      <c r="FM2358" s="1">
        <v>60476.0</v>
      </c>
      <c r="FN2358" s="1" t="s">
        <v>1471</v>
      </c>
      <c r="FO2358" s="1" t="s">
        <v>1472</v>
      </c>
      <c r="FP2358" s="1">
        <v>605367.0</v>
      </c>
      <c r="FQ2358" s="1" t="s">
        <v>1471</v>
      </c>
      <c r="FU2358" s="1" t="s">
        <v>1751</v>
      </c>
      <c r="FV2358" s="1" t="s">
        <v>200</v>
      </c>
      <c r="FW2358" s="1" t="s">
        <v>567</v>
      </c>
      <c r="FX2358" s="1" t="s">
        <v>655</v>
      </c>
      <c r="FZ2358" s="1" t="s">
        <v>229</v>
      </c>
      <c r="GA2358" s="1" t="s">
        <v>291</v>
      </c>
      <c r="GB2358" s="2">
        <v>42058.0</v>
      </c>
      <c r="GC2358" s="1" t="s">
        <v>21649</v>
      </c>
    </row>
    <row r="2359">
      <c r="A2359" s="1">
        <v>159000.0</v>
      </c>
      <c r="B2359" s="1" t="s">
        <v>185</v>
      </c>
      <c r="C2359" s="1" t="str">
        <f>"08749348"</f>
        <v>08749348</v>
      </c>
      <c r="D2359" s="1" t="s">
        <v>186</v>
      </c>
      <c r="F2359" s="1" t="str">
        <f>"554"</f>
        <v>554</v>
      </c>
      <c r="G2359" s="2">
        <v>41921.0</v>
      </c>
      <c r="H2359" s="1">
        <v>164900.0</v>
      </c>
      <c r="I2359" s="1">
        <v>7.0</v>
      </c>
      <c r="J2359" s="1">
        <v>164900.0</v>
      </c>
      <c r="K2359" s="2">
        <v>41927.0</v>
      </c>
      <c r="L2359" s="1">
        <v>7.0</v>
      </c>
      <c r="M2359" s="2">
        <v>41927.0</v>
      </c>
      <c r="N2359" s="1" t="s">
        <v>356</v>
      </c>
      <c r="O2359" s="2">
        <v>41983.0</v>
      </c>
      <c r="P2359" s="1">
        <v>235723.0</v>
      </c>
      <c r="Q2359" s="1">
        <v>23099.0</v>
      </c>
      <c r="S2359" s="1">
        <v>101.0</v>
      </c>
      <c r="T2359" s="1" t="s">
        <v>21650</v>
      </c>
      <c r="U2359" s="1" t="s">
        <v>189</v>
      </c>
      <c r="V2359" s="1" t="s">
        <v>2212</v>
      </c>
      <c r="W2359" s="1">
        <v>60554.0</v>
      </c>
      <c r="Y2359" s="1" t="s">
        <v>21651</v>
      </c>
      <c r="Z2359" s="1">
        <v>1996.0</v>
      </c>
      <c r="AA2359" s="1" t="s">
        <v>200</v>
      </c>
      <c r="AB2359" s="1" t="s">
        <v>193</v>
      </c>
      <c r="AC2359" s="1" t="s">
        <v>21652</v>
      </c>
      <c r="AD2359" s="1" t="s">
        <v>1887</v>
      </c>
      <c r="AE2359" s="1" t="s">
        <v>325</v>
      </c>
      <c r="AF2359" s="1" t="s">
        <v>1887</v>
      </c>
      <c r="AH2359" s="1" t="s">
        <v>21653</v>
      </c>
      <c r="AK2359" s="1">
        <v>7.0</v>
      </c>
      <c r="AL2359" s="1">
        <v>4.0</v>
      </c>
      <c r="AM2359" s="1">
        <v>2.0</v>
      </c>
      <c r="AN2359" s="1">
        <v>1.0</v>
      </c>
      <c r="AO2359" s="1" t="s">
        <v>198</v>
      </c>
      <c r="AQ2359" s="1" t="s">
        <v>198</v>
      </c>
      <c r="AR2359" s="1" t="s">
        <v>200</v>
      </c>
      <c r="AS2359" s="1" t="s">
        <v>199</v>
      </c>
      <c r="AT2359" s="1">
        <v>2.0</v>
      </c>
      <c r="AV2359" s="1" t="s">
        <v>200</v>
      </c>
      <c r="AW2359" s="1">
        <v>6378.0</v>
      </c>
      <c r="AX2359" s="1">
        <v>2012.0</v>
      </c>
      <c r="AZ2359" s="1" t="s">
        <v>200</v>
      </c>
      <c r="BA2359" s="1" t="str">
        <f>"1421276012"</f>
        <v>1421276012</v>
      </c>
      <c r="BB2359" s="1" t="s">
        <v>200</v>
      </c>
      <c r="BC2359" s="1">
        <v>2136.0</v>
      </c>
      <c r="BD2359" s="1">
        <v>159000.0</v>
      </c>
      <c r="BE2359" s="2">
        <v>41921.0</v>
      </c>
      <c r="BF2359" s="1" t="s">
        <v>21654</v>
      </c>
      <c r="BH2359" s="1">
        <v>0.0</v>
      </c>
      <c r="BK2359" s="1" t="s">
        <v>204</v>
      </c>
      <c r="BL2359" s="1" t="str">
        <f t="shared" ref="BL2359:BM2359" si="1538">"0"</f>
        <v>0</v>
      </c>
      <c r="BM2359" s="1" t="str">
        <f t="shared" si="1538"/>
        <v>0</v>
      </c>
      <c r="BN2359" s="1">
        <v>42.0</v>
      </c>
      <c r="BO2359" s="1">
        <v>7.0</v>
      </c>
      <c r="BQ2359" s="1">
        <v>302.0</v>
      </c>
      <c r="BR2359" s="1">
        <v>302.0</v>
      </c>
      <c r="BS2359" s="1">
        <v>302.0</v>
      </c>
      <c r="BU2359" s="1" t="s">
        <v>1426</v>
      </c>
      <c r="BV2359" s="1" t="s">
        <v>206</v>
      </c>
      <c r="BW2359" s="1" t="s">
        <v>210</v>
      </c>
      <c r="BY2359" s="1" t="s">
        <v>213</v>
      </c>
      <c r="BZ2359" s="1" t="s">
        <v>209</v>
      </c>
      <c r="CA2359" s="1" t="s">
        <v>210</v>
      </c>
      <c r="CC2359" s="1" t="s">
        <v>215</v>
      </c>
      <c r="CD2359" s="1" t="s">
        <v>206</v>
      </c>
      <c r="CE2359" s="1" t="s">
        <v>210</v>
      </c>
      <c r="CG2359" s="1" t="s">
        <v>329</v>
      </c>
      <c r="CH2359" s="1" t="s">
        <v>209</v>
      </c>
      <c r="CI2359" s="1" t="s">
        <v>210</v>
      </c>
      <c r="CK2359" s="1" t="s">
        <v>332</v>
      </c>
      <c r="CL2359" s="1" t="s">
        <v>209</v>
      </c>
      <c r="CM2359" s="1" t="s">
        <v>210</v>
      </c>
      <c r="CO2359" s="1" t="s">
        <v>363</v>
      </c>
      <c r="CP2359" s="1" t="s">
        <v>209</v>
      </c>
      <c r="CQ2359" s="1" t="s">
        <v>210</v>
      </c>
      <c r="CS2359" s="1" t="s">
        <v>211</v>
      </c>
      <c r="CT2359" s="1" t="s">
        <v>206</v>
      </c>
      <c r="CU2359" s="1" t="s">
        <v>207</v>
      </c>
      <c r="CX2359" s="1" t="s">
        <v>204</v>
      </c>
      <c r="DA2359" s="1" t="s">
        <v>200</v>
      </c>
      <c r="DC2359" s="1" t="s">
        <v>678</v>
      </c>
      <c r="DE2359" s="1" t="s">
        <v>273</v>
      </c>
      <c r="DF2359" s="1" t="s">
        <v>219</v>
      </c>
      <c r="DH2359" s="1" t="s">
        <v>220</v>
      </c>
      <c r="DJ2359" s="1" t="s">
        <v>222</v>
      </c>
      <c r="DL2359" s="1" t="s">
        <v>224</v>
      </c>
      <c r="DM2359" s="1" t="s">
        <v>229</v>
      </c>
      <c r="DQ2359" s="1" t="s">
        <v>228</v>
      </c>
      <c r="DR2359" s="1" t="s">
        <v>229</v>
      </c>
      <c r="DV2359" s="1" t="s">
        <v>232</v>
      </c>
      <c r="DW2359" s="1" t="s">
        <v>370</v>
      </c>
      <c r="DX2359" s="1" t="s">
        <v>234</v>
      </c>
      <c r="EC2359" s="1" t="s">
        <v>237</v>
      </c>
      <c r="EM2359" s="1" t="s">
        <v>238</v>
      </c>
      <c r="EQ2359" s="1" t="s">
        <v>238</v>
      </c>
      <c r="EU2359" s="1" t="s">
        <v>238</v>
      </c>
      <c r="EY2359" s="1" t="s">
        <v>238</v>
      </c>
      <c r="FC2359" s="1" t="s">
        <v>238</v>
      </c>
      <c r="FF2359" s="1" t="s">
        <v>239</v>
      </c>
      <c r="FG2359" s="1" t="s">
        <v>192</v>
      </c>
      <c r="FH2359" s="1" t="s">
        <v>200</v>
      </c>
      <c r="FJ2359" s="1" t="s">
        <v>21655</v>
      </c>
      <c r="FK2359" s="1" t="s">
        <v>229</v>
      </c>
      <c r="FL2359" s="1" t="s">
        <v>4627</v>
      </c>
      <c r="FM2359" s="1">
        <v>23030.0</v>
      </c>
      <c r="FN2359" s="1" t="s">
        <v>4628</v>
      </c>
      <c r="FO2359" s="1" t="s">
        <v>21656</v>
      </c>
      <c r="FP2359" s="1">
        <v>230633.0</v>
      </c>
      <c r="FQ2359" s="1" t="s">
        <v>21657</v>
      </c>
      <c r="FU2359" s="1" t="s">
        <v>21658</v>
      </c>
      <c r="FV2359" s="1" t="s">
        <v>200</v>
      </c>
      <c r="FW2359" s="1" t="s">
        <v>1511</v>
      </c>
      <c r="FZ2359" s="1" t="s">
        <v>229</v>
      </c>
      <c r="GA2359" s="1" t="s">
        <v>291</v>
      </c>
      <c r="GB2359" s="2">
        <v>41985.0</v>
      </c>
    </row>
    <row r="2360">
      <c r="A2360" s="1">
        <v>465000.0</v>
      </c>
      <c r="B2360" s="1" t="s">
        <v>185</v>
      </c>
      <c r="C2360" s="1" t="str">
        <f>"08753356"</f>
        <v>08753356</v>
      </c>
      <c r="D2360" s="1" t="s">
        <v>186</v>
      </c>
      <c r="F2360" s="1" t="str">
        <f>"8012"</f>
        <v>8012</v>
      </c>
      <c r="G2360" s="2">
        <v>41927.0</v>
      </c>
      <c r="H2360" s="1">
        <v>525000.0</v>
      </c>
      <c r="I2360" s="1">
        <v>172.0</v>
      </c>
      <c r="J2360" s="1">
        <v>499000.0</v>
      </c>
      <c r="K2360" s="2">
        <v>41958.0</v>
      </c>
      <c r="L2360" s="1">
        <v>32.0</v>
      </c>
      <c r="M2360" s="2">
        <v>41958.0</v>
      </c>
      <c r="N2360" s="1" t="s">
        <v>187</v>
      </c>
      <c r="O2360" s="2">
        <v>42019.0</v>
      </c>
      <c r="P2360" s="1">
        <v>129713.0</v>
      </c>
      <c r="Q2360" s="1">
        <v>84729.0</v>
      </c>
      <c r="S2360" s="1">
        <v>5941.0</v>
      </c>
      <c r="T2360" s="1" t="s">
        <v>21659</v>
      </c>
      <c r="U2360" s="1" t="s">
        <v>189</v>
      </c>
      <c r="V2360" s="1" t="s">
        <v>190</v>
      </c>
      <c r="W2360" s="1">
        <v>60646.0</v>
      </c>
      <c r="Y2360" s="1" t="s">
        <v>21660</v>
      </c>
      <c r="Z2360" s="1">
        <v>1926.0</v>
      </c>
      <c r="AA2360" s="1" t="s">
        <v>192</v>
      </c>
      <c r="AB2360" s="1" t="s">
        <v>193</v>
      </c>
      <c r="AD2360" s="1" t="s">
        <v>194</v>
      </c>
      <c r="AE2360" s="1" t="s">
        <v>195</v>
      </c>
      <c r="AF2360" s="1" t="s">
        <v>196</v>
      </c>
      <c r="AH2360" s="1" t="s">
        <v>21661</v>
      </c>
      <c r="AK2360" s="1">
        <v>8.0</v>
      </c>
      <c r="AL2360" s="1">
        <v>4.0</v>
      </c>
      <c r="AM2360" s="1">
        <v>2.0</v>
      </c>
      <c r="AN2360" s="1">
        <v>1.0</v>
      </c>
      <c r="AO2360" s="1" t="s">
        <v>1261</v>
      </c>
      <c r="AP2360" s="1">
        <v>1.0</v>
      </c>
      <c r="AQ2360" s="1" t="s">
        <v>198</v>
      </c>
      <c r="AR2360" s="1" t="s">
        <v>192</v>
      </c>
      <c r="AS2360" s="1" t="s">
        <v>199</v>
      </c>
      <c r="AT2360" s="1">
        <v>2.0</v>
      </c>
      <c r="AV2360" s="1" t="s">
        <v>200</v>
      </c>
      <c r="AW2360" s="1">
        <v>7244.0</v>
      </c>
      <c r="AX2360" s="1">
        <v>2012.0</v>
      </c>
      <c r="AY2360" s="1" t="s">
        <v>229</v>
      </c>
      <c r="AZ2360" s="1" t="s">
        <v>200</v>
      </c>
      <c r="BA2360" s="1" t="str">
        <f>"13033030120000"</f>
        <v>13033030120000</v>
      </c>
      <c r="BC2360" s="1">
        <v>2137.0</v>
      </c>
      <c r="BD2360" s="1">
        <v>465000.0</v>
      </c>
      <c r="BE2360" s="2">
        <v>41927.0</v>
      </c>
      <c r="BF2360" s="2" t="s">
        <v>21662</v>
      </c>
      <c r="BH2360" s="1">
        <v>0.0</v>
      </c>
      <c r="BK2360" s="1" t="s">
        <v>204</v>
      </c>
      <c r="BL2360" s="1" t="str">
        <f>"5941"</f>
        <v>5941</v>
      </c>
      <c r="BM2360" s="1" t="str">
        <f>"0"</f>
        <v>0</v>
      </c>
      <c r="BN2360" s="1">
        <v>4600.0</v>
      </c>
      <c r="BO2360" s="1">
        <v>0.0</v>
      </c>
      <c r="BQ2360" s="1">
        <v>299.0</v>
      </c>
      <c r="BR2360" s="1">
        <v>299.0</v>
      </c>
      <c r="BS2360" s="1">
        <v>299.0</v>
      </c>
      <c r="BU2360" s="1" t="s">
        <v>1044</v>
      </c>
      <c r="BV2360" s="1" t="s">
        <v>206</v>
      </c>
      <c r="BW2360" s="1" t="s">
        <v>207</v>
      </c>
      <c r="BY2360" s="1" t="s">
        <v>830</v>
      </c>
      <c r="BZ2360" s="1" t="s">
        <v>209</v>
      </c>
      <c r="CA2360" s="1" t="s">
        <v>207</v>
      </c>
      <c r="CC2360" s="1" t="s">
        <v>2713</v>
      </c>
      <c r="CD2360" s="1" t="s">
        <v>206</v>
      </c>
      <c r="CE2360" s="1" t="s">
        <v>207</v>
      </c>
      <c r="CG2360" s="1" t="s">
        <v>7760</v>
      </c>
      <c r="CH2360" s="1" t="s">
        <v>209</v>
      </c>
      <c r="CI2360" s="1" t="s">
        <v>207</v>
      </c>
      <c r="CK2360" s="1" t="s">
        <v>363</v>
      </c>
      <c r="CL2360" s="1" t="s">
        <v>206</v>
      </c>
      <c r="CM2360" s="1" t="s">
        <v>207</v>
      </c>
      <c r="CO2360" s="1" t="s">
        <v>363</v>
      </c>
      <c r="CP2360" s="1" t="s">
        <v>206</v>
      </c>
      <c r="CQ2360" s="1" t="s">
        <v>207</v>
      </c>
      <c r="CS2360" s="1" t="s">
        <v>21663</v>
      </c>
      <c r="CT2360" s="1" t="s">
        <v>206</v>
      </c>
      <c r="CU2360" s="1" t="s">
        <v>207</v>
      </c>
      <c r="CW2360" s="1" t="s">
        <v>17542</v>
      </c>
      <c r="CX2360" s="1" t="s">
        <v>206</v>
      </c>
      <c r="CY2360" s="1" t="s">
        <v>207</v>
      </c>
      <c r="DA2360" s="1" t="s">
        <v>200</v>
      </c>
      <c r="DC2360" s="1" t="s">
        <v>785</v>
      </c>
      <c r="DD2360" s="1" t="s">
        <v>618</v>
      </c>
      <c r="DE2360" s="1" t="s">
        <v>1300</v>
      </c>
      <c r="DF2360" s="1" t="s">
        <v>787</v>
      </c>
      <c r="DG2360" s="1" t="s">
        <v>337</v>
      </c>
      <c r="DH2360" s="1" t="s">
        <v>307</v>
      </c>
      <c r="DI2360" s="1" t="s">
        <v>1141</v>
      </c>
      <c r="DJ2360" s="1" t="s">
        <v>222</v>
      </c>
      <c r="DK2360" s="1" t="s">
        <v>223</v>
      </c>
      <c r="DL2360" s="1" t="s">
        <v>858</v>
      </c>
      <c r="DM2360" s="1" t="s">
        <v>229</v>
      </c>
      <c r="DN2360" s="1" t="s">
        <v>367</v>
      </c>
      <c r="DO2360" s="1" t="s">
        <v>5000</v>
      </c>
      <c r="DP2360" s="1" t="s">
        <v>340</v>
      </c>
      <c r="DQ2360" s="1" t="s">
        <v>794</v>
      </c>
      <c r="DR2360" s="1" t="s">
        <v>229</v>
      </c>
      <c r="DS2360" s="1" t="s">
        <v>230</v>
      </c>
      <c r="DV2360" s="1" t="s">
        <v>232</v>
      </c>
      <c r="DW2360" s="1" t="s">
        <v>279</v>
      </c>
      <c r="DX2360" s="1" t="s">
        <v>234</v>
      </c>
      <c r="DY2360" s="1" t="s">
        <v>3231</v>
      </c>
      <c r="DZ2360" s="1" t="s">
        <v>1100</v>
      </c>
      <c r="EA2360" s="1" t="s">
        <v>2535</v>
      </c>
      <c r="EB2360" s="1" t="s">
        <v>345</v>
      </c>
      <c r="EC2360" s="1" t="s">
        <v>237</v>
      </c>
      <c r="ED2360" s="1" t="s">
        <v>407</v>
      </c>
      <c r="EM2360" s="1" t="s">
        <v>238</v>
      </c>
      <c r="EQ2360" s="1" t="s">
        <v>238</v>
      </c>
      <c r="EU2360" s="1" t="s">
        <v>238</v>
      </c>
      <c r="EY2360" s="1" t="s">
        <v>238</v>
      </c>
      <c r="FC2360" s="1" t="s">
        <v>238</v>
      </c>
      <c r="FF2360" s="1" t="s">
        <v>239</v>
      </c>
      <c r="FG2360" s="1" t="s">
        <v>192</v>
      </c>
      <c r="FH2360" s="1" t="s">
        <v>192</v>
      </c>
      <c r="FJ2360" s="1" t="s">
        <v>799</v>
      </c>
      <c r="FK2360" s="1" t="s">
        <v>229</v>
      </c>
      <c r="FL2360" s="1" t="s">
        <v>3156</v>
      </c>
      <c r="FM2360" s="1">
        <v>84729.0</v>
      </c>
      <c r="FN2360" s="1" t="s">
        <v>3157</v>
      </c>
      <c r="FO2360" s="1" t="s">
        <v>21664</v>
      </c>
      <c r="FP2360" s="1">
        <v>129713.0</v>
      </c>
      <c r="FQ2360" s="1" t="s">
        <v>21665</v>
      </c>
      <c r="FU2360" s="1" t="s">
        <v>21666</v>
      </c>
      <c r="FV2360" s="1" t="s">
        <v>200</v>
      </c>
      <c r="FW2360" s="1" t="s">
        <v>290</v>
      </c>
      <c r="FX2360" s="1" t="s">
        <v>238</v>
      </c>
      <c r="FZ2360" s="1" t="s">
        <v>229</v>
      </c>
      <c r="GA2360" s="1" t="s">
        <v>291</v>
      </c>
      <c r="GB2360" s="2">
        <v>42020.0</v>
      </c>
    </row>
    <row r="2361">
      <c r="A2361" s="1">
        <v>260000.0</v>
      </c>
      <c r="B2361" s="1" t="s">
        <v>185</v>
      </c>
      <c r="C2361" s="1" t="str">
        <f>"08754086"</f>
        <v>08754086</v>
      </c>
      <c r="D2361" s="1" t="s">
        <v>186</v>
      </c>
      <c r="F2361" s="1" t="str">
        <f>"8056"</f>
        <v>8056</v>
      </c>
      <c r="G2361" s="2">
        <v>41927.0</v>
      </c>
      <c r="H2361" s="1">
        <v>265000.0</v>
      </c>
      <c r="I2361" s="1">
        <v>27.0</v>
      </c>
      <c r="J2361" s="1">
        <v>265000.0</v>
      </c>
      <c r="K2361" s="2">
        <v>41932.0</v>
      </c>
      <c r="L2361" s="1">
        <v>6.0</v>
      </c>
      <c r="M2361" s="2">
        <v>41932.0</v>
      </c>
      <c r="N2361" s="1" t="s">
        <v>187</v>
      </c>
      <c r="O2361" s="2">
        <v>41988.0</v>
      </c>
      <c r="P2361" s="1">
        <v>109767.0</v>
      </c>
      <c r="Q2361" s="1">
        <v>18235.0</v>
      </c>
      <c r="R2361" s="1">
        <v>1000.0</v>
      </c>
      <c r="S2361" s="1">
        <v>5700.0</v>
      </c>
      <c r="T2361" s="1" t="s">
        <v>8264</v>
      </c>
      <c r="U2361" s="1" t="s">
        <v>189</v>
      </c>
      <c r="V2361" s="1" t="s">
        <v>190</v>
      </c>
      <c r="W2361" s="1">
        <v>60638.0</v>
      </c>
      <c r="Y2361" s="1" t="s">
        <v>21667</v>
      </c>
      <c r="Z2361" s="1">
        <v>1952.0</v>
      </c>
      <c r="AA2361" s="1" t="s">
        <v>192</v>
      </c>
      <c r="AB2361" s="1" t="s">
        <v>193</v>
      </c>
      <c r="AD2361" s="1" t="s">
        <v>194</v>
      </c>
      <c r="AE2361" s="1" t="s">
        <v>195</v>
      </c>
      <c r="AF2361" s="1" t="s">
        <v>659</v>
      </c>
      <c r="AG2361" s="1" t="s">
        <v>1392</v>
      </c>
      <c r="AH2361" s="1" t="s">
        <v>21668</v>
      </c>
      <c r="AK2361" s="1">
        <v>7.0</v>
      </c>
      <c r="AL2361" s="1">
        <v>4.0</v>
      </c>
      <c r="AM2361" s="1">
        <v>3.0</v>
      </c>
      <c r="AN2361" s="1">
        <v>0.0</v>
      </c>
      <c r="AO2361" s="1" t="s">
        <v>229</v>
      </c>
      <c r="AQ2361" s="1" t="s">
        <v>198</v>
      </c>
      <c r="AR2361" s="1" t="s">
        <v>192</v>
      </c>
      <c r="AS2361" s="1" t="s">
        <v>199</v>
      </c>
      <c r="AT2361" s="1">
        <v>2.0</v>
      </c>
      <c r="AV2361" s="1" t="s">
        <v>200</v>
      </c>
      <c r="AW2361" s="1">
        <v>3704.0</v>
      </c>
      <c r="AX2361" s="1">
        <v>2012.0</v>
      </c>
      <c r="AY2361" s="1" t="s">
        <v>387</v>
      </c>
      <c r="AZ2361" s="1" t="s">
        <v>200</v>
      </c>
      <c r="BA2361" s="1" t="str">
        <f>"19171200400000"</f>
        <v>19171200400000</v>
      </c>
      <c r="BC2361" s="1">
        <v>1087.0</v>
      </c>
      <c r="BD2361" s="1">
        <v>260000.0</v>
      </c>
      <c r="BE2361" s="2">
        <v>41927.0</v>
      </c>
      <c r="BF2361" s="2" t="s">
        <v>21669</v>
      </c>
      <c r="BH2361" s="1">
        <v>0.0</v>
      </c>
      <c r="BK2361" s="1" t="s">
        <v>204</v>
      </c>
      <c r="BL2361" s="1" t="str">
        <f t="shared" ref="BL2361:BM2361" si="1539">"0"</f>
        <v>0</v>
      </c>
      <c r="BM2361" s="1" t="str">
        <f t="shared" si="1539"/>
        <v>0</v>
      </c>
      <c r="BN2361" s="1">
        <v>6400.0</v>
      </c>
      <c r="BO2361" s="1">
        <v>5734.0</v>
      </c>
      <c r="BQ2361" s="1">
        <v>299.0</v>
      </c>
      <c r="BR2361" s="1">
        <v>299.0</v>
      </c>
      <c r="BS2361" s="1">
        <v>299.0</v>
      </c>
      <c r="BU2361" s="1" t="s">
        <v>205</v>
      </c>
      <c r="BV2361" s="1" t="s">
        <v>206</v>
      </c>
      <c r="BW2361" s="1" t="s">
        <v>207</v>
      </c>
      <c r="BY2361" s="1" t="s">
        <v>332</v>
      </c>
      <c r="BZ2361" s="1" t="s">
        <v>206</v>
      </c>
      <c r="CA2361" s="1" t="s">
        <v>207</v>
      </c>
      <c r="CD2361" s="1" t="s">
        <v>204</v>
      </c>
      <c r="CG2361" s="1" t="s">
        <v>212</v>
      </c>
      <c r="CH2361" s="1" t="s">
        <v>206</v>
      </c>
      <c r="CI2361" s="1" t="s">
        <v>207</v>
      </c>
      <c r="CK2361" s="1" t="s">
        <v>433</v>
      </c>
      <c r="CL2361" s="1" t="s">
        <v>209</v>
      </c>
      <c r="CM2361" s="1" t="s">
        <v>210</v>
      </c>
      <c r="CO2361" s="1" t="s">
        <v>363</v>
      </c>
      <c r="CP2361" s="1" t="s">
        <v>209</v>
      </c>
      <c r="CQ2361" s="1" t="s">
        <v>210</v>
      </c>
      <c r="CS2361" s="1" t="s">
        <v>302</v>
      </c>
      <c r="CT2361" s="1" t="s">
        <v>206</v>
      </c>
      <c r="CU2361" s="1" t="s">
        <v>207</v>
      </c>
      <c r="CW2361" s="1" t="s">
        <v>1377</v>
      </c>
      <c r="CX2361" s="1" t="s">
        <v>42</v>
      </c>
      <c r="CY2361" s="1" t="s">
        <v>210</v>
      </c>
      <c r="DA2361" s="1" t="s">
        <v>200</v>
      </c>
      <c r="DC2361" s="1" t="s">
        <v>702</v>
      </c>
      <c r="DE2361" s="1" t="s">
        <v>273</v>
      </c>
      <c r="DF2361" s="1" t="s">
        <v>219</v>
      </c>
      <c r="DH2361" s="1" t="s">
        <v>307</v>
      </c>
      <c r="DI2361" s="1" t="s">
        <v>2567</v>
      </c>
      <c r="DJ2361" s="1" t="s">
        <v>222</v>
      </c>
      <c r="DL2361" s="1" t="s">
        <v>224</v>
      </c>
      <c r="DM2361" s="1" t="s">
        <v>229</v>
      </c>
      <c r="DQ2361" s="1" t="s">
        <v>228</v>
      </c>
      <c r="DR2361" s="1" t="s">
        <v>229</v>
      </c>
      <c r="DV2361" s="1" t="s">
        <v>232</v>
      </c>
      <c r="DW2361" s="1" t="s">
        <v>279</v>
      </c>
      <c r="DX2361" s="1" t="s">
        <v>309</v>
      </c>
      <c r="DY2361" s="1" t="s">
        <v>2579</v>
      </c>
      <c r="EA2361" s="1" t="s">
        <v>1075</v>
      </c>
      <c r="EC2361" s="1" t="s">
        <v>237</v>
      </c>
      <c r="ED2361" s="1" t="s">
        <v>407</v>
      </c>
      <c r="EM2361" s="1" t="s">
        <v>238</v>
      </c>
      <c r="EQ2361" s="1" t="s">
        <v>238</v>
      </c>
      <c r="EU2361" s="1" t="s">
        <v>238</v>
      </c>
      <c r="EY2361" s="1" t="s">
        <v>238</v>
      </c>
      <c r="FC2361" s="1" t="s">
        <v>238</v>
      </c>
      <c r="FF2361" s="1" t="s">
        <v>239</v>
      </c>
      <c r="FG2361" s="1" t="s">
        <v>192</v>
      </c>
      <c r="FH2361" s="1" t="s">
        <v>192</v>
      </c>
      <c r="FJ2361" s="1" t="s">
        <v>21670</v>
      </c>
      <c r="FK2361" s="1" t="s">
        <v>348</v>
      </c>
      <c r="FL2361" s="1" t="s">
        <v>21671</v>
      </c>
      <c r="FM2361" s="1">
        <v>23541.0</v>
      </c>
      <c r="FN2361" s="1" t="s">
        <v>21672</v>
      </c>
      <c r="FO2361" s="1" t="s">
        <v>21673</v>
      </c>
      <c r="FP2361" s="1">
        <v>606164.0</v>
      </c>
      <c r="FQ2361" s="1" t="s">
        <v>21674</v>
      </c>
      <c r="FU2361" s="1" t="s">
        <v>21675</v>
      </c>
      <c r="FV2361" s="1" t="s">
        <v>200</v>
      </c>
      <c r="FW2361" s="1" t="s">
        <v>290</v>
      </c>
      <c r="FX2361" s="1" t="s">
        <v>655</v>
      </c>
      <c r="FZ2361" s="1" t="s">
        <v>229</v>
      </c>
      <c r="GA2361" s="1" t="s">
        <v>291</v>
      </c>
      <c r="GB2361" s="2">
        <v>41988.0</v>
      </c>
      <c r="GC2361" s="1" t="s">
        <v>21676</v>
      </c>
    </row>
    <row r="2362">
      <c r="A2362" s="1">
        <v>455000.0</v>
      </c>
      <c r="B2362" s="1" t="s">
        <v>185</v>
      </c>
      <c r="C2362" s="1" t="str">
        <f>"08753201"</f>
        <v>08753201</v>
      </c>
      <c r="D2362" s="1" t="s">
        <v>186</v>
      </c>
      <c r="F2362" s="1" t="str">
        <f>"134"</f>
        <v>134</v>
      </c>
      <c r="G2362" s="2">
        <v>41926.0</v>
      </c>
      <c r="H2362" s="1">
        <v>489900.0</v>
      </c>
      <c r="I2362" s="1">
        <v>537.0</v>
      </c>
      <c r="J2362" s="1">
        <v>489900.0</v>
      </c>
      <c r="K2362" s="2">
        <v>42069.0</v>
      </c>
      <c r="L2362" s="1">
        <v>144.0</v>
      </c>
      <c r="M2362" s="2">
        <v>42069.0</v>
      </c>
      <c r="N2362" s="1" t="s">
        <v>187</v>
      </c>
      <c r="O2362" s="2">
        <v>42102.0</v>
      </c>
      <c r="P2362" s="1">
        <v>381.0</v>
      </c>
      <c r="Q2362" s="1">
        <v>604.0</v>
      </c>
      <c r="S2362" s="1">
        <v>1055.0</v>
      </c>
      <c r="T2362" s="1" t="s">
        <v>21677</v>
      </c>
      <c r="U2362" s="1" t="s">
        <v>1015</v>
      </c>
      <c r="V2362" s="1" t="s">
        <v>421</v>
      </c>
      <c r="W2362" s="1">
        <v>60134.0</v>
      </c>
      <c r="Y2362" s="1" t="s">
        <v>21678</v>
      </c>
      <c r="Z2362" s="1">
        <v>1992.0</v>
      </c>
      <c r="AA2362" s="1" t="s">
        <v>200</v>
      </c>
      <c r="AB2362" s="1" t="s">
        <v>193</v>
      </c>
      <c r="AC2362" s="1" t="s">
        <v>3521</v>
      </c>
      <c r="AD2362" s="1" t="s">
        <v>424</v>
      </c>
      <c r="AE2362" s="1" t="s">
        <v>325</v>
      </c>
      <c r="AF2362" s="1" t="s">
        <v>424</v>
      </c>
      <c r="AH2362" s="1" t="s">
        <v>21679</v>
      </c>
      <c r="AK2362" s="1">
        <v>13.0</v>
      </c>
      <c r="AL2362" s="1">
        <v>4.0</v>
      </c>
      <c r="AM2362" s="1">
        <v>4.0</v>
      </c>
      <c r="AN2362" s="1">
        <v>0.0</v>
      </c>
      <c r="AO2362" s="1" t="s">
        <v>198</v>
      </c>
      <c r="AP2362" s="1">
        <v>1.0</v>
      </c>
      <c r="AQ2362" s="1" t="s">
        <v>198</v>
      </c>
      <c r="AR2362" s="1" t="s">
        <v>192</v>
      </c>
      <c r="AS2362" s="1" t="s">
        <v>199</v>
      </c>
      <c r="AT2362" s="1">
        <v>3.0</v>
      </c>
      <c r="AV2362" s="1" t="s">
        <v>200</v>
      </c>
      <c r="AW2362" s="1">
        <v>13641.26</v>
      </c>
      <c r="AX2362" s="1">
        <v>2013.0</v>
      </c>
      <c r="AY2362" s="1" t="s">
        <v>387</v>
      </c>
      <c r="AZ2362" s="1" t="s">
        <v>200</v>
      </c>
      <c r="BA2362" s="1" t="str">
        <f>"1209154007"</f>
        <v>1209154007</v>
      </c>
      <c r="BC2362" s="1">
        <v>3475.0</v>
      </c>
      <c r="BD2362" s="1">
        <v>455000.0</v>
      </c>
      <c r="BE2362" s="2">
        <v>41926.0</v>
      </c>
      <c r="BF2362" s="2" t="s">
        <v>21680</v>
      </c>
      <c r="BG2362" s="1" t="s">
        <v>3524</v>
      </c>
      <c r="BH2362" s="1">
        <v>0.0</v>
      </c>
      <c r="BI2362" s="1" t="s">
        <v>429</v>
      </c>
      <c r="BJ2362" s="1" t="s">
        <v>430</v>
      </c>
      <c r="BK2362" s="1" t="s">
        <v>204</v>
      </c>
      <c r="BL2362" s="1" t="str">
        <f t="shared" ref="BL2362:BM2362" si="1540">""</f>
        <v/>
      </c>
      <c r="BM2362" s="1" t="str">
        <f t="shared" si="1540"/>
        <v/>
      </c>
      <c r="BQ2362" s="1">
        <v>304.0</v>
      </c>
      <c r="BR2362" s="1">
        <v>304.0</v>
      </c>
      <c r="BS2362" s="1">
        <v>304.0</v>
      </c>
      <c r="BU2362" s="1" t="s">
        <v>1043</v>
      </c>
      <c r="BV2362" s="1" t="s">
        <v>206</v>
      </c>
      <c r="BW2362" s="1" t="s">
        <v>210</v>
      </c>
      <c r="BY2362" s="1" t="s">
        <v>1517</v>
      </c>
      <c r="BZ2362" s="1" t="s">
        <v>209</v>
      </c>
      <c r="CA2362" s="1" t="s">
        <v>210</v>
      </c>
      <c r="CC2362" s="1" t="s">
        <v>1395</v>
      </c>
      <c r="CD2362" s="1" t="s">
        <v>206</v>
      </c>
      <c r="CE2362" s="1" t="s">
        <v>210</v>
      </c>
      <c r="CG2362" s="1" t="s">
        <v>363</v>
      </c>
      <c r="CH2362" s="1" t="s">
        <v>209</v>
      </c>
      <c r="CI2362" s="1" t="s">
        <v>210</v>
      </c>
      <c r="CK2362" s="1" t="s">
        <v>1417</v>
      </c>
      <c r="CL2362" s="1" t="s">
        <v>209</v>
      </c>
      <c r="CM2362" s="1" t="s">
        <v>210</v>
      </c>
      <c r="CO2362" s="1" t="s">
        <v>2109</v>
      </c>
      <c r="CP2362" s="1" t="s">
        <v>209</v>
      </c>
      <c r="CQ2362" s="1" t="s">
        <v>210</v>
      </c>
      <c r="CS2362" s="1" t="s">
        <v>10619</v>
      </c>
      <c r="CT2362" s="1" t="s">
        <v>206</v>
      </c>
      <c r="CU2362" s="1" t="s">
        <v>207</v>
      </c>
      <c r="CW2362" s="1" t="s">
        <v>6645</v>
      </c>
      <c r="CX2362" s="1" t="s">
        <v>206</v>
      </c>
      <c r="CY2362" s="1" t="s">
        <v>210</v>
      </c>
      <c r="DA2362" s="1" t="s">
        <v>200</v>
      </c>
      <c r="DC2362" s="1" t="s">
        <v>435</v>
      </c>
      <c r="DD2362" s="1" t="s">
        <v>1838</v>
      </c>
      <c r="DE2362" s="1" t="s">
        <v>218</v>
      </c>
      <c r="DF2362" s="1" t="s">
        <v>745</v>
      </c>
      <c r="DG2362" s="1" t="s">
        <v>337</v>
      </c>
      <c r="DH2362" s="1" t="s">
        <v>220</v>
      </c>
      <c r="DI2362" s="1" t="s">
        <v>221</v>
      </c>
      <c r="DJ2362" s="1" t="s">
        <v>222</v>
      </c>
      <c r="DK2362" s="1" t="s">
        <v>198</v>
      </c>
      <c r="DL2362" s="1" t="s">
        <v>224</v>
      </c>
      <c r="DM2362" s="1" t="s">
        <v>338</v>
      </c>
      <c r="DN2362" s="1" t="s">
        <v>399</v>
      </c>
      <c r="DO2362" s="1" t="s">
        <v>930</v>
      </c>
      <c r="DP2362" s="1" t="s">
        <v>340</v>
      </c>
      <c r="DQ2362" s="1" t="s">
        <v>441</v>
      </c>
      <c r="DR2362" s="1" t="s">
        <v>229</v>
      </c>
      <c r="DS2362" s="1" t="s">
        <v>591</v>
      </c>
      <c r="DU2362" s="1" t="s">
        <v>21681</v>
      </c>
      <c r="DV2362" s="1" t="s">
        <v>21682</v>
      </c>
      <c r="DW2362" s="1" t="s">
        <v>764</v>
      </c>
      <c r="DX2362" s="1" t="s">
        <v>1287</v>
      </c>
      <c r="DY2362" s="1" t="s">
        <v>16298</v>
      </c>
      <c r="DZ2362" s="1" t="s">
        <v>1100</v>
      </c>
      <c r="EB2362" s="1" t="s">
        <v>492</v>
      </c>
      <c r="EC2362" s="1" t="s">
        <v>237</v>
      </c>
      <c r="ED2362" s="1" t="s">
        <v>407</v>
      </c>
      <c r="EG2362" s="1" t="s">
        <v>494</v>
      </c>
      <c r="EH2362" s="1" t="s">
        <v>1121</v>
      </c>
      <c r="EI2362" s="1" t="s">
        <v>450</v>
      </c>
      <c r="EJ2362" s="1" t="s">
        <v>2023</v>
      </c>
      <c r="EK2362" s="1" t="s">
        <v>1491</v>
      </c>
      <c r="EL2362" s="1" t="s">
        <v>392</v>
      </c>
      <c r="EM2362" s="1" t="s">
        <v>206</v>
      </c>
      <c r="EN2362" s="1" t="s">
        <v>210</v>
      </c>
      <c r="EP2362" s="1" t="s">
        <v>411</v>
      </c>
      <c r="EQ2362" s="1" t="s">
        <v>209</v>
      </c>
      <c r="ER2362" s="1" t="s">
        <v>207</v>
      </c>
      <c r="ET2362" s="1" t="s">
        <v>13154</v>
      </c>
      <c r="EU2362" s="1" t="s">
        <v>42</v>
      </c>
      <c r="EV2362" s="1" t="s">
        <v>210</v>
      </c>
      <c r="EX2362" s="1" t="s">
        <v>4851</v>
      </c>
      <c r="EY2362" s="1" t="s">
        <v>42</v>
      </c>
      <c r="EZ2362" s="1" t="s">
        <v>210</v>
      </c>
      <c r="FB2362" s="1" t="s">
        <v>212</v>
      </c>
      <c r="FC2362" s="1" t="s">
        <v>42</v>
      </c>
      <c r="FD2362" s="1" t="s">
        <v>588</v>
      </c>
      <c r="FF2362" s="1" t="s">
        <v>239</v>
      </c>
      <c r="FG2362" s="1" t="s">
        <v>200</v>
      </c>
      <c r="FH2362" s="1" t="s">
        <v>192</v>
      </c>
      <c r="FJ2362" s="1" t="s">
        <v>21683</v>
      </c>
      <c r="FK2362" s="1" t="s">
        <v>229</v>
      </c>
      <c r="FL2362" s="1" t="s">
        <v>3527</v>
      </c>
      <c r="FM2362" s="1">
        <v>464.0</v>
      </c>
      <c r="FN2362" s="1" t="s">
        <v>3528</v>
      </c>
      <c r="FO2362" s="1" t="s">
        <v>18929</v>
      </c>
      <c r="FP2362" s="1">
        <v>8800.0</v>
      </c>
      <c r="FQ2362" s="1" t="s">
        <v>18930</v>
      </c>
      <c r="FU2362" s="1" t="s">
        <v>21684</v>
      </c>
      <c r="FV2362" s="1" t="s">
        <v>200</v>
      </c>
      <c r="FW2362" s="1" t="s">
        <v>631</v>
      </c>
      <c r="FZ2362" s="1" t="s">
        <v>229</v>
      </c>
      <c r="GA2362" s="1" t="s">
        <v>291</v>
      </c>
      <c r="GB2362" s="2">
        <v>42103.0</v>
      </c>
      <c r="GC2362" s="1" t="s">
        <v>21685</v>
      </c>
    </row>
    <row r="2363">
      <c r="A2363" s="1">
        <v>260000.0</v>
      </c>
      <c r="B2363" s="1" t="s">
        <v>185</v>
      </c>
      <c r="C2363" s="1" t="str">
        <f>"08760532"</f>
        <v>08760532</v>
      </c>
      <c r="D2363" s="1" t="s">
        <v>186</v>
      </c>
      <c r="F2363" s="1" t="str">
        <f>"123"</f>
        <v>123</v>
      </c>
      <c r="G2363" s="2">
        <v>41936.0</v>
      </c>
      <c r="H2363" s="1">
        <v>264500.0</v>
      </c>
      <c r="I2363" s="1">
        <v>15.0</v>
      </c>
      <c r="J2363" s="1">
        <v>264500.0</v>
      </c>
      <c r="K2363" s="2">
        <v>41950.0</v>
      </c>
      <c r="L2363" s="1">
        <v>15.0</v>
      </c>
      <c r="M2363" s="2">
        <v>41950.0</v>
      </c>
      <c r="N2363" s="1" t="s">
        <v>356</v>
      </c>
      <c r="O2363" s="2">
        <v>41985.0</v>
      </c>
      <c r="P2363" s="1">
        <v>80167.0</v>
      </c>
      <c r="Q2363" s="1">
        <v>8012.0</v>
      </c>
      <c r="S2363" s="1">
        <v>1043.0</v>
      </c>
      <c r="T2363" s="1" t="s">
        <v>21686</v>
      </c>
      <c r="U2363" s="1" t="s">
        <v>320</v>
      </c>
      <c r="V2363" s="1" t="s">
        <v>465</v>
      </c>
      <c r="W2363" s="1">
        <v>60123.0</v>
      </c>
      <c r="X2363" s="1">
        <v>8580.0</v>
      </c>
      <c r="Y2363" s="1" t="s">
        <v>21687</v>
      </c>
      <c r="Z2363" s="1">
        <v>2000.0</v>
      </c>
      <c r="AA2363" s="1" t="s">
        <v>200</v>
      </c>
      <c r="AB2363" s="1" t="s">
        <v>193</v>
      </c>
      <c r="AC2363" s="1" t="s">
        <v>21688</v>
      </c>
      <c r="AD2363" s="1" t="s">
        <v>469</v>
      </c>
      <c r="AE2363" s="1" t="s">
        <v>325</v>
      </c>
      <c r="AF2363" s="1" t="s">
        <v>469</v>
      </c>
      <c r="AG2363" s="1" t="s">
        <v>8072</v>
      </c>
      <c r="AH2363" s="1" t="s">
        <v>21689</v>
      </c>
      <c r="AK2363" s="1">
        <v>10.0</v>
      </c>
      <c r="AL2363" s="1">
        <v>4.0</v>
      </c>
      <c r="AM2363" s="1">
        <v>2.0</v>
      </c>
      <c r="AN2363" s="1">
        <v>1.0</v>
      </c>
      <c r="AO2363" s="1" t="s">
        <v>198</v>
      </c>
      <c r="AQ2363" s="1" t="s">
        <v>198</v>
      </c>
      <c r="AR2363" s="1" t="s">
        <v>200</v>
      </c>
      <c r="AS2363" s="1" t="s">
        <v>199</v>
      </c>
      <c r="AT2363" s="1">
        <v>2.0</v>
      </c>
      <c r="AV2363" s="1" t="s">
        <v>200</v>
      </c>
      <c r="AW2363" s="1">
        <v>7074.62</v>
      </c>
      <c r="AX2363" s="1">
        <v>2013.0</v>
      </c>
      <c r="AY2363" s="1" t="s">
        <v>387</v>
      </c>
      <c r="AZ2363" s="1" t="s">
        <v>200</v>
      </c>
      <c r="BA2363" s="1" t="str">
        <f>"0628453038"</f>
        <v>0628453038</v>
      </c>
      <c r="BB2363" s="1" t="s">
        <v>200</v>
      </c>
      <c r="BC2363" s="1">
        <v>2500.0</v>
      </c>
      <c r="BD2363" s="1">
        <v>260000.0</v>
      </c>
      <c r="BE2363" s="2">
        <v>41936.0</v>
      </c>
      <c r="BF2363" s="2" t="s">
        <v>21690</v>
      </c>
      <c r="BH2363" s="1">
        <v>135.0</v>
      </c>
      <c r="BK2363" s="1" t="s">
        <v>580</v>
      </c>
      <c r="BL2363" s="1" t="str">
        <f>"9"</f>
        <v>9</v>
      </c>
      <c r="BM2363" s="1" t="str">
        <f>"0"</f>
        <v>0</v>
      </c>
      <c r="BN2363" s="1">
        <v>36.0</v>
      </c>
      <c r="BO2363" s="1">
        <v>0.0</v>
      </c>
      <c r="BQ2363" s="1">
        <v>46.0</v>
      </c>
      <c r="BR2363" s="1">
        <v>46.0</v>
      </c>
      <c r="BS2363" s="1">
        <v>46.0</v>
      </c>
      <c r="BU2363" s="1" t="s">
        <v>332</v>
      </c>
      <c r="BV2363" s="1" t="s">
        <v>206</v>
      </c>
      <c r="BW2363" s="1" t="s">
        <v>207</v>
      </c>
      <c r="BX2363" s="1" t="s">
        <v>261</v>
      </c>
      <c r="BY2363" s="1" t="s">
        <v>743</v>
      </c>
      <c r="BZ2363" s="1" t="s">
        <v>209</v>
      </c>
      <c r="CA2363" s="1" t="s">
        <v>210</v>
      </c>
      <c r="CB2363" s="1" t="s">
        <v>261</v>
      </c>
      <c r="CC2363" s="1" t="s">
        <v>212</v>
      </c>
      <c r="CD2363" s="1" t="s">
        <v>206</v>
      </c>
      <c r="CE2363" s="1" t="s">
        <v>207</v>
      </c>
      <c r="CF2363" s="1" t="s">
        <v>261</v>
      </c>
      <c r="CG2363" s="1" t="s">
        <v>495</v>
      </c>
      <c r="CH2363" s="1" t="s">
        <v>209</v>
      </c>
      <c r="CI2363" s="1" t="s">
        <v>210</v>
      </c>
      <c r="CJ2363" s="1" t="s">
        <v>261</v>
      </c>
      <c r="CK2363" s="1" t="s">
        <v>699</v>
      </c>
      <c r="CL2363" s="1" t="s">
        <v>209</v>
      </c>
      <c r="CM2363" s="1" t="s">
        <v>210</v>
      </c>
      <c r="CN2363" s="1" t="s">
        <v>261</v>
      </c>
      <c r="CO2363" s="1" t="s">
        <v>264</v>
      </c>
      <c r="CP2363" s="1" t="s">
        <v>209</v>
      </c>
      <c r="CQ2363" s="1" t="s">
        <v>210</v>
      </c>
      <c r="CR2363" s="1" t="s">
        <v>261</v>
      </c>
      <c r="CS2363" s="1" t="s">
        <v>212</v>
      </c>
      <c r="CT2363" s="1" t="s">
        <v>206</v>
      </c>
      <c r="CU2363" s="1" t="s">
        <v>207</v>
      </c>
      <c r="CV2363" s="1" t="s">
        <v>261</v>
      </c>
      <c r="CW2363" s="1" t="s">
        <v>480</v>
      </c>
      <c r="CX2363" s="1" t="s">
        <v>206</v>
      </c>
      <c r="CY2363" s="1" t="s">
        <v>210</v>
      </c>
      <c r="CZ2363" s="1" t="s">
        <v>261</v>
      </c>
      <c r="DA2363" s="1" t="s">
        <v>200</v>
      </c>
      <c r="DC2363" s="1" t="s">
        <v>335</v>
      </c>
      <c r="DD2363" s="1" t="s">
        <v>1954</v>
      </c>
      <c r="DE2363" s="1" t="s">
        <v>273</v>
      </c>
      <c r="DF2363" s="1" t="s">
        <v>219</v>
      </c>
      <c r="DG2363" s="1" t="s">
        <v>1020</v>
      </c>
      <c r="DH2363" s="1" t="s">
        <v>220</v>
      </c>
      <c r="DI2363" s="1" t="s">
        <v>14345</v>
      </c>
      <c r="DJ2363" s="1" t="s">
        <v>222</v>
      </c>
      <c r="DK2363" s="1" t="s">
        <v>223</v>
      </c>
      <c r="DL2363" s="1" t="s">
        <v>223</v>
      </c>
      <c r="DM2363" s="1" t="s">
        <v>229</v>
      </c>
      <c r="DN2363" s="1" t="s">
        <v>1659</v>
      </c>
      <c r="DO2363" s="1" t="s">
        <v>5000</v>
      </c>
      <c r="DP2363" s="1" t="s">
        <v>340</v>
      </c>
      <c r="DQ2363" s="1" t="s">
        <v>228</v>
      </c>
      <c r="DR2363" s="1" t="s">
        <v>588</v>
      </c>
      <c r="DS2363" s="1" t="s">
        <v>591</v>
      </c>
      <c r="DU2363" s="1" t="s">
        <v>2070</v>
      </c>
      <c r="DV2363" s="1" t="s">
        <v>21691</v>
      </c>
      <c r="DW2363" s="1" t="s">
        <v>444</v>
      </c>
      <c r="DX2363" s="1" t="s">
        <v>234</v>
      </c>
      <c r="DY2363" s="1" t="s">
        <v>490</v>
      </c>
      <c r="DZ2363" s="1" t="s">
        <v>6413</v>
      </c>
      <c r="EA2363" s="1" t="s">
        <v>344</v>
      </c>
      <c r="EC2363" s="1" t="s">
        <v>237</v>
      </c>
      <c r="ED2363" s="1" t="s">
        <v>555</v>
      </c>
      <c r="EG2363" s="1" t="s">
        <v>556</v>
      </c>
      <c r="EH2363" s="1" t="s">
        <v>1961</v>
      </c>
      <c r="EI2363" s="1" t="s">
        <v>408</v>
      </c>
      <c r="EJ2363" s="1" t="s">
        <v>2877</v>
      </c>
      <c r="EK2363" s="1" t="s">
        <v>409</v>
      </c>
      <c r="EL2363" s="1" t="s">
        <v>2505</v>
      </c>
      <c r="EM2363" s="1" t="s">
        <v>206</v>
      </c>
      <c r="EN2363" s="1" t="s">
        <v>207</v>
      </c>
      <c r="EO2363" s="1" t="s">
        <v>261</v>
      </c>
      <c r="EP2363" s="1" t="s">
        <v>331</v>
      </c>
      <c r="EQ2363" s="1" t="s">
        <v>206</v>
      </c>
      <c r="ER2363" s="1" t="s">
        <v>210</v>
      </c>
      <c r="ES2363" s="1" t="s">
        <v>261</v>
      </c>
      <c r="ET2363" s="1" t="s">
        <v>1382</v>
      </c>
      <c r="EU2363" s="1" t="s">
        <v>206</v>
      </c>
      <c r="EV2363" s="1" t="s">
        <v>207</v>
      </c>
      <c r="EW2363" s="1" t="s">
        <v>1549</v>
      </c>
      <c r="EX2363" s="1" t="s">
        <v>3296</v>
      </c>
      <c r="EY2363" s="1" t="s">
        <v>206</v>
      </c>
      <c r="EZ2363" s="1" t="s">
        <v>207</v>
      </c>
      <c r="FB2363" s="1" t="s">
        <v>6414</v>
      </c>
      <c r="FC2363" s="1" t="s">
        <v>209</v>
      </c>
      <c r="FD2363" s="1" t="s">
        <v>210</v>
      </c>
      <c r="FF2363" s="1" t="s">
        <v>239</v>
      </c>
      <c r="FG2363" s="1" t="s">
        <v>192</v>
      </c>
      <c r="FH2363" s="1" t="s">
        <v>192</v>
      </c>
      <c r="FJ2363" s="1" t="s">
        <v>2262</v>
      </c>
      <c r="FK2363" s="1" t="s">
        <v>229</v>
      </c>
      <c r="FL2363" s="1" t="s">
        <v>836</v>
      </c>
      <c r="FM2363" s="1">
        <v>18080.0</v>
      </c>
      <c r="FN2363" s="1" t="s">
        <v>837</v>
      </c>
      <c r="FO2363" s="1" t="s">
        <v>21692</v>
      </c>
      <c r="FP2363" s="1">
        <v>111205.0</v>
      </c>
      <c r="FQ2363" s="1" t="s">
        <v>21693</v>
      </c>
      <c r="FU2363" s="1" t="s">
        <v>21694</v>
      </c>
      <c r="FV2363" s="1" t="s">
        <v>200</v>
      </c>
      <c r="FW2363" s="1" t="s">
        <v>530</v>
      </c>
      <c r="FZ2363" s="1" t="s">
        <v>229</v>
      </c>
      <c r="GA2363" s="1" t="s">
        <v>291</v>
      </c>
      <c r="GB2363" s="2">
        <v>41988.0</v>
      </c>
      <c r="GC2363" s="1" t="s">
        <v>21695</v>
      </c>
    </row>
    <row r="2364">
      <c r="A2364" s="1">
        <v>114440.0</v>
      </c>
      <c r="B2364" s="1" t="s">
        <v>185</v>
      </c>
      <c r="C2364" s="1" t="str">
        <f>"08756774"</f>
        <v>08756774</v>
      </c>
      <c r="D2364" s="1" t="s">
        <v>186</v>
      </c>
      <c r="F2364" s="1" t="str">
        <f>"8065"</f>
        <v>8065</v>
      </c>
      <c r="G2364" s="2">
        <v>41932.0</v>
      </c>
      <c r="H2364" s="1">
        <v>126500.0</v>
      </c>
      <c r="I2364" s="1">
        <v>62.0</v>
      </c>
      <c r="J2364" s="1">
        <v>123000.0</v>
      </c>
      <c r="K2364" s="2">
        <v>41990.0</v>
      </c>
      <c r="L2364" s="1">
        <v>62.0</v>
      </c>
      <c r="M2364" s="2">
        <v>41990.0</v>
      </c>
      <c r="N2364" s="1" t="s">
        <v>1512</v>
      </c>
      <c r="O2364" s="2">
        <v>42067.0</v>
      </c>
      <c r="P2364" s="1">
        <v>122915.0</v>
      </c>
      <c r="Q2364" s="1">
        <v>12555.0</v>
      </c>
      <c r="R2364" s="1">
        <v>3600.0</v>
      </c>
      <c r="S2364" s="1">
        <v>3724.0</v>
      </c>
      <c r="T2364" s="1" t="s">
        <v>3162</v>
      </c>
      <c r="U2364" s="1" t="s">
        <v>694</v>
      </c>
      <c r="V2364" s="1" t="s">
        <v>190</v>
      </c>
      <c r="W2364" s="1">
        <v>60629.0</v>
      </c>
      <c r="Y2364" s="1" t="s">
        <v>21696</v>
      </c>
      <c r="Z2364" s="1">
        <v>1890.0</v>
      </c>
      <c r="AA2364" s="1" t="s">
        <v>192</v>
      </c>
      <c r="AB2364" s="1" t="s">
        <v>193</v>
      </c>
      <c r="AD2364" s="1" t="s">
        <v>194</v>
      </c>
      <c r="AE2364" s="1" t="s">
        <v>195</v>
      </c>
      <c r="AF2364" s="1" t="s">
        <v>659</v>
      </c>
      <c r="AH2364" s="1" t="s">
        <v>6907</v>
      </c>
      <c r="AI2364" s="1">
        <v>0.109</v>
      </c>
      <c r="AK2364" s="1">
        <v>8.0</v>
      </c>
      <c r="AL2364" s="1">
        <v>4.0</v>
      </c>
      <c r="AM2364" s="1">
        <v>2.0</v>
      </c>
      <c r="AN2364" s="1">
        <v>1.0</v>
      </c>
      <c r="AO2364" s="1" t="s">
        <v>198</v>
      </c>
      <c r="AQ2364" s="1" t="s">
        <v>1314</v>
      </c>
      <c r="AR2364" s="1" t="s">
        <v>192</v>
      </c>
      <c r="AS2364" s="1" t="s">
        <v>199</v>
      </c>
      <c r="AT2364" s="1">
        <v>2.0</v>
      </c>
      <c r="AV2364" s="1" t="s">
        <v>200</v>
      </c>
      <c r="AW2364" s="1">
        <v>3267.72</v>
      </c>
      <c r="AX2364" s="1">
        <v>2012.0</v>
      </c>
      <c r="AZ2364" s="1" t="s">
        <v>200</v>
      </c>
      <c r="BA2364" s="1" t="str">
        <f>"19143100360000"</f>
        <v>19143100360000</v>
      </c>
      <c r="BC2364" s="1">
        <v>1796.0</v>
      </c>
      <c r="BD2364" s="1">
        <v>114440.0</v>
      </c>
      <c r="BE2364" s="2">
        <v>41929.0</v>
      </c>
      <c r="BF2364" s="1" t="s">
        <v>21697</v>
      </c>
      <c r="BH2364" s="1">
        <v>0.0</v>
      </c>
      <c r="BK2364" s="1" t="s">
        <v>204</v>
      </c>
      <c r="BL2364" s="1" t="str">
        <f t="shared" ref="BL2364:BM2364" si="1541">"0"</f>
        <v>0</v>
      </c>
      <c r="BM2364" s="1" t="str">
        <f t="shared" si="1541"/>
        <v>0</v>
      </c>
      <c r="BN2364" s="1">
        <v>3721.0</v>
      </c>
      <c r="BO2364" s="1">
        <v>600.0</v>
      </c>
      <c r="BQ2364" s="1">
        <v>299.0</v>
      </c>
      <c r="BR2364" s="1">
        <v>299.0</v>
      </c>
      <c r="BS2364" s="1">
        <v>299.0</v>
      </c>
      <c r="BU2364" s="1" t="s">
        <v>1395</v>
      </c>
      <c r="BV2364" s="1" t="s">
        <v>206</v>
      </c>
      <c r="BY2364" s="1" t="s">
        <v>454</v>
      </c>
      <c r="BZ2364" s="1" t="s">
        <v>206</v>
      </c>
      <c r="CC2364" s="1" t="s">
        <v>1395</v>
      </c>
      <c r="CD2364" s="1" t="s">
        <v>206</v>
      </c>
      <c r="CG2364" s="1" t="s">
        <v>1417</v>
      </c>
      <c r="CH2364" s="1" t="s">
        <v>206</v>
      </c>
      <c r="CK2364" s="1" t="s">
        <v>1417</v>
      </c>
      <c r="CL2364" s="1" t="s">
        <v>209</v>
      </c>
      <c r="CO2364" s="1" t="s">
        <v>1417</v>
      </c>
      <c r="CP2364" s="1" t="s">
        <v>209</v>
      </c>
      <c r="CS2364" s="1" t="s">
        <v>332</v>
      </c>
      <c r="CT2364" s="1" t="s">
        <v>206</v>
      </c>
      <c r="CW2364" s="1" t="s">
        <v>454</v>
      </c>
      <c r="CX2364" s="1" t="s">
        <v>206</v>
      </c>
      <c r="DA2364" s="1" t="s">
        <v>200</v>
      </c>
      <c r="DC2364" s="1" t="s">
        <v>642</v>
      </c>
      <c r="DE2364" s="1" t="s">
        <v>273</v>
      </c>
      <c r="DF2364" s="1" t="s">
        <v>619</v>
      </c>
      <c r="DH2364" s="1" t="s">
        <v>220</v>
      </c>
      <c r="DJ2364" s="1" t="s">
        <v>222</v>
      </c>
      <c r="DL2364" s="1" t="s">
        <v>223</v>
      </c>
      <c r="DM2364" s="1" t="s">
        <v>229</v>
      </c>
      <c r="DQ2364" s="1" t="s">
        <v>228</v>
      </c>
      <c r="DR2364" s="1" t="s">
        <v>229</v>
      </c>
      <c r="DV2364" s="1" t="s">
        <v>232</v>
      </c>
      <c r="DW2364" s="1" t="s">
        <v>667</v>
      </c>
      <c r="DX2364" s="1" t="s">
        <v>234</v>
      </c>
      <c r="DZ2364" s="1" t="s">
        <v>343</v>
      </c>
      <c r="EA2364" s="1" t="s">
        <v>447</v>
      </c>
      <c r="EC2364" s="1" t="s">
        <v>237</v>
      </c>
      <c r="EM2364" s="1" t="s">
        <v>238</v>
      </c>
      <c r="EQ2364" s="1" t="s">
        <v>238</v>
      </c>
      <c r="EU2364" s="1" t="s">
        <v>238</v>
      </c>
      <c r="EY2364" s="1" t="s">
        <v>238</v>
      </c>
      <c r="FC2364" s="1" t="s">
        <v>238</v>
      </c>
      <c r="FF2364" s="1" t="s">
        <v>239</v>
      </c>
      <c r="FG2364" s="1" t="s">
        <v>192</v>
      </c>
      <c r="FH2364" s="1" t="s">
        <v>192</v>
      </c>
      <c r="FJ2364" s="1" t="s">
        <v>21698</v>
      </c>
      <c r="FK2364" s="1" t="s">
        <v>229</v>
      </c>
      <c r="FL2364" s="1" t="s">
        <v>21699</v>
      </c>
      <c r="FM2364" s="1">
        <v>25104.0</v>
      </c>
      <c r="FN2364" s="1" t="s">
        <v>21700</v>
      </c>
      <c r="FO2364" s="1" t="s">
        <v>21701</v>
      </c>
      <c r="FP2364" s="1">
        <v>237310.0</v>
      </c>
      <c r="FU2364" s="1" t="s">
        <v>710</v>
      </c>
      <c r="FV2364" s="1" t="s">
        <v>200</v>
      </c>
      <c r="FW2364" s="1" t="s">
        <v>290</v>
      </c>
      <c r="FX2364" s="1" t="s">
        <v>246</v>
      </c>
      <c r="FZ2364" s="1" t="s">
        <v>229</v>
      </c>
      <c r="GA2364" s="1" t="s">
        <v>291</v>
      </c>
      <c r="GB2364" s="2">
        <v>42068.0</v>
      </c>
      <c r="GC2364" s="1" t="s">
        <v>21702</v>
      </c>
    </row>
    <row r="2365">
      <c r="A2365" s="1">
        <v>325000.0</v>
      </c>
      <c r="B2365" s="1" t="s">
        <v>185</v>
      </c>
      <c r="C2365" s="1" t="str">
        <f>"08752524"</f>
        <v>08752524</v>
      </c>
      <c r="D2365" s="1" t="s">
        <v>186</v>
      </c>
      <c r="F2365" s="1" t="str">
        <f>"8074"</f>
        <v>8074</v>
      </c>
      <c r="G2365" s="2">
        <v>41926.0</v>
      </c>
      <c r="H2365" s="1">
        <v>335000.0</v>
      </c>
      <c r="I2365" s="1">
        <v>53.0</v>
      </c>
      <c r="J2365" s="1">
        <v>325000.0</v>
      </c>
      <c r="K2365" s="2">
        <v>41978.0</v>
      </c>
      <c r="L2365" s="1">
        <v>53.0</v>
      </c>
      <c r="M2365" s="2">
        <v>41978.0</v>
      </c>
      <c r="N2365" s="1" t="s">
        <v>187</v>
      </c>
      <c r="O2365" s="2">
        <v>42020.0</v>
      </c>
      <c r="P2365" s="1">
        <v>223100.0</v>
      </c>
      <c r="Q2365" s="1">
        <v>24247.0</v>
      </c>
      <c r="S2365" s="1">
        <v>3251.0</v>
      </c>
      <c r="T2365" s="1" t="s">
        <v>4115</v>
      </c>
      <c r="U2365" s="1" t="s">
        <v>694</v>
      </c>
      <c r="V2365" s="1" t="s">
        <v>190</v>
      </c>
      <c r="W2365" s="1">
        <v>60655.0</v>
      </c>
      <c r="Y2365" s="1" t="s">
        <v>21703</v>
      </c>
      <c r="Z2365" s="1">
        <v>1995.0</v>
      </c>
      <c r="AA2365" s="1" t="s">
        <v>200</v>
      </c>
      <c r="AB2365" s="1" t="s">
        <v>193</v>
      </c>
      <c r="AD2365" s="1" t="s">
        <v>194</v>
      </c>
      <c r="AE2365" s="1" t="s">
        <v>195</v>
      </c>
      <c r="AF2365" s="1" t="s">
        <v>21704</v>
      </c>
      <c r="AH2365" s="1" t="s">
        <v>21705</v>
      </c>
      <c r="AK2365" s="1">
        <v>10.0</v>
      </c>
      <c r="AL2365" s="1">
        <v>4.0</v>
      </c>
      <c r="AM2365" s="1">
        <v>2.0</v>
      </c>
      <c r="AN2365" s="1">
        <v>0.0</v>
      </c>
      <c r="AO2365" s="1" t="s">
        <v>1261</v>
      </c>
      <c r="AP2365" s="1">
        <v>1.0</v>
      </c>
      <c r="AQ2365" s="1" t="s">
        <v>1314</v>
      </c>
      <c r="AR2365" s="1" t="s">
        <v>192</v>
      </c>
      <c r="AS2365" s="1" t="s">
        <v>199</v>
      </c>
      <c r="AT2365" s="1">
        <v>2.5</v>
      </c>
      <c r="AV2365" s="1" t="s">
        <v>200</v>
      </c>
      <c r="AW2365" s="1">
        <v>3334.0</v>
      </c>
      <c r="AX2365" s="1">
        <v>2013.0</v>
      </c>
      <c r="AY2365" s="1" t="s">
        <v>387</v>
      </c>
      <c r="AZ2365" s="1" t="s">
        <v>200</v>
      </c>
      <c r="BA2365" s="1" t="str">
        <f>"24144101440000"</f>
        <v>24144101440000</v>
      </c>
      <c r="BB2365" s="1" t="s">
        <v>200</v>
      </c>
      <c r="BC2365" s="1">
        <v>0.0</v>
      </c>
      <c r="BD2365" s="1">
        <v>325000.0</v>
      </c>
      <c r="BE2365" s="2">
        <v>41926.0</v>
      </c>
      <c r="BF2365" s="2" t="s">
        <v>21706</v>
      </c>
      <c r="BH2365" s="1">
        <v>0.0</v>
      </c>
      <c r="BK2365" s="1" t="s">
        <v>204</v>
      </c>
      <c r="BL2365" s="1" t="str">
        <f t="shared" ref="BL2365:BM2365" si="1542">"0"</f>
        <v>0</v>
      </c>
      <c r="BM2365" s="1" t="str">
        <f t="shared" si="1542"/>
        <v>0</v>
      </c>
      <c r="BN2365" s="1">
        <v>3251.0</v>
      </c>
      <c r="BO2365" s="1">
        <v>10850.0</v>
      </c>
      <c r="BQ2365" s="1">
        <v>299.0</v>
      </c>
      <c r="BR2365" s="1">
        <v>299.0</v>
      </c>
      <c r="BS2365" s="1">
        <v>299.0</v>
      </c>
      <c r="BU2365" s="1" t="s">
        <v>1891</v>
      </c>
      <c r="BV2365" s="1" t="s">
        <v>206</v>
      </c>
      <c r="BW2365" s="1" t="s">
        <v>207</v>
      </c>
      <c r="BX2365" s="1" t="s">
        <v>239</v>
      </c>
      <c r="BY2365" s="1" t="s">
        <v>329</v>
      </c>
      <c r="BZ2365" s="1" t="s">
        <v>209</v>
      </c>
      <c r="CA2365" s="1" t="s">
        <v>301</v>
      </c>
      <c r="CB2365" s="1" t="s">
        <v>239</v>
      </c>
      <c r="CC2365" s="1" t="s">
        <v>332</v>
      </c>
      <c r="CD2365" s="1" t="s">
        <v>206</v>
      </c>
      <c r="CE2365" s="1" t="s">
        <v>207</v>
      </c>
      <c r="CF2365" s="1" t="s">
        <v>239</v>
      </c>
      <c r="CG2365" s="1" t="s">
        <v>212</v>
      </c>
      <c r="CH2365" s="1" t="s">
        <v>209</v>
      </c>
      <c r="CI2365" s="1" t="s">
        <v>301</v>
      </c>
      <c r="CJ2365" s="1" t="s">
        <v>239</v>
      </c>
      <c r="CK2365" s="1" t="s">
        <v>699</v>
      </c>
      <c r="CL2365" s="1" t="s">
        <v>209</v>
      </c>
      <c r="CM2365" s="1" t="s">
        <v>301</v>
      </c>
      <c r="CN2365" s="1" t="s">
        <v>239</v>
      </c>
      <c r="CO2365" s="1" t="s">
        <v>363</v>
      </c>
      <c r="CP2365" s="1" t="s">
        <v>267</v>
      </c>
      <c r="CQ2365" s="1" t="s">
        <v>617</v>
      </c>
      <c r="CR2365" s="1" t="s">
        <v>229</v>
      </c>
      <c r="CS2365" s="1" t="s">
        <v>363</v>
      </c>
      <c r="CT2365" s="1" t="s">
        <v>206</v>
      </c>
      <c r="CU2365" s="1" t="s">
        <v>268</v>
      </c>
      <c r="CV2365" s="1" t="s">
        <v>239</v>
      </c>
      <c r="CW2365" s="1" t="s">
        <v>4399</v>
      </c>
      <c r="CX2365" s="1" t="s">
        <v>267</v>
      </c>
      <c r="CY2365" s="1" t="s">
        <v>207</v>
      </c>
      <c r="CZ2365" s="1" t="s">
        <v>239</v>
      </c>
      <c r="DA2365" s="1" t="s">
        <v>200</v>
      </c>
      <c r="DC2365" s="1" t="s">
        <v>678</v>
      </c>
      <c r="DD2365" s="1" t="s">
        <v>518</v>
      </c>
      <c r="DE2365" s="1" t="s">
        <v>273</v>
      </c>
      <c r="DF2365" s="1" t="s">
        <v>219</v>
      </c>
      <c r="DH2365" s="1" t="s">
        <v>365</v>
      </c>
      <c r="DI2365" s="1" t="s">
        <v>21707</v>
      </c>
      <c r="DJ2365" s="1" t="s">
        <v>222</v>
      </c>
      <c r="DL2365" s="1" t="s">
        <v>13677</v>
      </c>
      <c r="DM2365" s="1" t="s">
        <v>1402</v>
      </c>
      <c r="DN2365" s="1" t="s">
        <v>666</v>
      </c>
      <c r="DO2365" s="1" t="s">
        <v>440</v>
      </c>
      <c r="DP2365" s="1" t="s">
        <v>340</v>
      </c>
      <c r="DQ2365" s="1" t="s">
        <v>228</v>
      </c>
      <c r="DR2365" s="1" t="s">
        <v>229</v>
      </c>
      <c r="DS2365" s="1" t="s">
        <v>401</v>
      </c>
      <c r="DU2365" s="1" t="s">
        <v>5750</v>
      </c>
      <c r="DV2365" s="1" t="s">
        <v>21708</v>
      </c>
      <c r="DW2365" s="1" t="s">
        <v>279</v>
      </c>
      <c r="DX2365" s="1" t="s">
        <v>1287</v>
      </c>
      <c r="DY2365" s="1" t="s">
        <v>4698</v>
      </c>
      <c r="DZ2365" s="1" t="s">
        <v>6413</v>
      </c>
      <c r="EA2365" s="1" t="s">
        <v>344</v>
      </c>
      <c r="EB2365" s="1" t="s">
        <v>492</v>
      </c>
      <c r="EC2365" s="1" t="s">
        <v>4613</v>
      </c>
      <c r="ED2365" s="1" t="s">
        <v>407</v>
      </c>
      <c r="EE2365" s="1" t="s">
        <v>493</v>
      </c>
      <c r="EG2365" s="1" t="s">
        <v>1028</v>
      </c>
      <c r="EH2365" s="1" t="s">
        <v>1824</v>
      </c>
      <c r="EI2365" s="1" t="s">
        <v>1102</v>
      </c>
      <c r="EL2365" s="1" t="s">
        <v>2459</v>
      </c>
      <c r="EM2365" s="1" t="s">
        <v>267</v>
      </c>
      <c r="EN2365" s="1" t="s">
        <v>301</v>
      </c>
      <c r="EO2365" s="1" t="s">
        <v>239</v>
      </c>
      <c r="EP2365" s="1" t="s">
        <v>331</v>
      </c>
      <c r="EQ2365" s="1" t="s">
        <v>267</v>
      </c>
      <c r="ER2365" s="1" t="s">
        <v>617</v>
      </c>
      <c r="ES2365" s="1" t="s">
        <v>229</v>
      </c>
      <c r="ET2365" s="1" t="s">
        <v>205</v>
      </c>
      <c r="EU2365" s="1" t="s">
        <v>206</v>
      </c>
      <c r="EV2365" s="1" t="s">
        <v>588</v>
      </c>
      <c r="EW2365" s="1" t="s">
        <v>239</v>
      </c>
      <c r="EY2365" s="1" t="s">
        <v>238</v>
      </c>
      <c r="FC2365" s="1" t="s">
        <v>238</v>
      </c>
      <c r="FF2365" s="1" t="s">
        <v>239</v>
      </c>
      <c r="FG2365" s="1" t="s">
        <v>192</v>
      </c>
      <c r="FH2365" s="1" t="s">
        <v>192</v>
      </c>
      <c r="FJ2365" s="1" t="s">
        <v>3613</v>
      </c>
      <c r="FK2365" s="1" t="s">
        <v>229</v>
      </c>
      <c r="FL2365" s="1" t="s">
        <v>21709</v>
      </c>
      <c r="FM2365" s="1">
        <v>60239.0</v>
      </c>
      <c r="FN2365" s="1" t="s">
        <v>21710</v>
      </c>
      <c r="FO2365" s="1" t="s">
        <v>21711</v>
      </c>
      <c r="FP2365" s="1">
        <v>600598.0</v>
      </c>
      <c r="FQ2365" s="1" t="s">
        <v>21710</v>
      </c>
      <c r="FS2365" s="1" t="s">
        <v>21712</v>
      </c>
      <c r="FU2365" s="1" t="s">
        <v>21713</v>
      </c>
      <c r="FV2365" s="1" t="s">
        <v>200</v>
      </c>
      <c r="FW2365" s="1" t="s">
        <v>567</v>
      </c>
      <c r="FX2365" s="1" t="s">
        <v>246</v>
      </c>
      <c r="FZ2365" s="1" t="s">
        <v>229</v>
      </c>
      <c r="GA2365" s="1" t="s">
        <v>291</v>
      </c>
      <c r="GB2365" s="2">
        <v>42021.0</v>
      </c>
    </row>
    <row r="2366">
      <c r="A2366" s="1">
        <v>305000.0</v>
      </c>
      <c r="B2366" s="1" t="s">
        <v>185</v>
      </c>
      <c r="C2366" s="1" t="str">
        <f>"08750965"</f>
        <v>08750965</v>
      </c>
      <c r="D2366" s="1" t="s">
        <v>186</v>
      </c>
      <c r="F2366" s="1" t="str">
        <f>"8013"</f>
        <v>8013</v>
      </c>
      <c r="G2366" s="2">
        <v>41923.0</v>
      </c>
      <c r="H2366" s="1">
        <v>350000.0</v>
      </c>
      <c r="I2366" s="1">
        <v>110.0</v>
      </c>
      <c r="J2366" s="1">
        <v>324900.0</v>
      </c>
      <c r="K2366" s="2">
        <v>42032.0</v>
      </c>
      <c r="L2366" s="1">
        <v>110.0</v>
      </c>
      <c r="M2366" s="2">
        <v>42032.0</v>
      </c>
      <c r="N2366" s="1" t="s">
        <v>187</v>
      </c>
      <c r="O2366" s="2">
        <v>42076.0</v>
      </c>
      <c r="P2366" s="1">
        <v>236043.0</v>
      </c>
      <c r="Q2366" s="1">
        <v>24688.0</v>
      </c>
      <c r="S2366" s="1">
        <v>5129.0</v>
      </c>
      <c r="T2366" s="1" t="s">
        <v>8322</v>
      </c>
      <c r="U2366" s="1" t="s">
        <v>189</v>
      </c>
      <c r="V2366" s="1" t="s">
        <v>190</v>
      </c>
      <c r="W2366" s="1">
        <v>60625.0</v>
      </c>
      <c r="Y2366" s="1" t="s">
        <v>21714</v>
      </c>
      <c r="Z2366" s="1">
        <v>1921.0</v>
      </c>
      <c r="AA2366" s="1" t="s">
        <v>192</v>
      </c>
      <c r="AB2366" s="1" t="s">
        <v>193</v>
      </c>
      <c r="AD2366" s="1" t="s">
        <v>194</v>
      </c>
      <c r="AE2366" s="1" t="s">
        <v>195</v>
      </c>
      <c r="AF2366" s="1" t="s">
        <v>196</v>
      </c>
      <c r="AH2366" s="1" t="s">
        <v>21715</v>
      </c>
      <c r="AI2366" s="1">
        <v>0.1004</v>
      </c>
      <c r="AK2366" s="1">
        <v>7.0</v>
      </c>
      <c r="AL2366" s="1">
        <v>4.0</v>
      </c>
      <c r="AM2366" s="1">
        <v>2.0</v>
      </c>
      <c r="AN2366" s="1">
        <v>0.0</v>
      </c>
      <c r="AO2366" s="1" t="s">
        <v>229</v>
      </c>
      <c r="AP2366" s="1">
        <v>1.0</v>
      </c>
      <c r="AQ2366" s="1" t="s">
        <v>198</v>
      </c>
      <c r="AR2366" s="1" t="s">
        <v>200</v>
      </c>
      <c r="AS2366" s="1" t="s">
        <v>199</v>
      </c>
      <c r="AT2366" s="1">
        <v>3.0</v>
      </c>
      <c r="AV2366" s="1" t="s">
        <v>200</v>
      </c>
      <c r="AW2366" s="1">
        <v>4766.62</v>
      </c>
      <c r="AX2366" s="1">
        <v>2012.0</v>
      </c>
      <c r="AZ2366" s="1" t="s">
        <v>545</v>
      </c>
      <c r="BA2366" s="1" t="str">
        <f>"13114020090000"</f>
        <v>13114020090000</v>
      </c>
      <c r="BC2366" s="1">
        <v>1404.0</v>
      </c>
      <c r="BD2366" s="1">
        <v>305000.0</v>
      </c>
      <c r="BE2366" s="2">
        <v>41923.0</v>
      </c>
      <c r="BF2366" s="2" t="s">
        <v>21716</v>
      </c>
      <c r="BH2366" s="1">
        <v>0.0</v>
      </c>
      <c r="BK2366" s="1" t="s">
        <v>204</v>
      </c>
      <c r="BL2366" s="1" t="str">
        <f>"5129"</f>
        <v>5129</v>
      </c>
      <c r="BM2366" s="1" t="str">
        <f>"0"</f>
        <v>0</v>
      </c>
      <c r="BN2366" s="1">
        <v>3500.0</v>
      </c>
      <c r="BO2366" s="1">
        <v>0.0</v>
      </c>
      <c r="BQ2366" s="1">
        <v>299.0</v>
      </c>
      <c r="BR2366" s="1">
        <v>299.0</v>
      </c>
      <c r="BS2366" s="1">
        <v>299.0</v>
      </c>
      <c r="BU2366" s="1" t="s">
        <v>878</v>
      </c>
      <c r="BV2366" s="1" t="s">
        <v>206</v>
      </c>
      <c r="BW2366" s="1" t="s">
        <v>207</v>
      </c>
      <c r="BY2366" s="1" t="s">
        <v>663</v>
      </c>
      <c r="BZ2366" s="1" t="s">
        <v>206</v>
      </c>
      <c r="CA2366" s="1" t="s">
        <v>207</v>
      </c>
      <c r="CC2366" s="1" t="s">
        <v>1483</v>
      </c>
      <c r="CD2366" s="1" t="s">
        <v>206</v>
      </c>
      <c r="CE2366" s="1" t="s">
        <v>207</v>
      </c>
      <c r="CG2366" s="1" t="s">
        <v>269</v>
      </c>
      <c r="CH2366" s="1" t="s">
        <v>206</v>
      </c>
      <c r="CK2366" s="1" t="s">
        <v>663</v>
      </c>
      <c r="CL2366" s="1" t="s">
        <v>209</v>
      </c>
      <c r="CM2366" s="1" t="s">
        <v>210</v>
      </c>
      <c r="CO2366" s="1" t="s">
        <v>743</v>
      </c>
      <c r="CP2366" s="1" t="s">
        <v>209</v>
      </c>
      <c r="CQ2366" s="1" t="s">
        <v>210</v>
      </c>
      <c r="CS2366" s="1" t="s">
        <v>663</v>
      </c>
      <c r="CT2366" s="1" t="s">
        <v>206</v>
      </c>
      <c r="CU2366" s="1" t="s">
        <v>588</v>
      </c>
      <c r="CX2366" s="1" t="s">
        <v>204</v>
      </c>
      <c r="DA2366" s="1" t="s">
        <v>200</v>
      </c>
      <c r="DC2366" s="1" t="s">
        <v>216</v>
      </c>
      <c r="DE2366" s="1" t="s">
        <v>229</v>
      </c>
      <c r="DF2366" s="1" t="s">
        <v>619</v>
      </c>
      <c r="DH2366" s="1" t="s">
        <v>365</v>
      </c>
      <c r="DI2366" s="1" t="s">
        <v>831</v>
      </c>
      <c r="DJ2366" s="1" t="s">
        <v>222</v>
      </c>
      <c r="DK2366" s="1" t="s">
        <v>224</v>
      </c>
      <c r="DL2366" s="1" t="s">
        <v>223</v>
      </c>
      <c r="DM2366" s="1" t="s">
        <v>229</v>
      </c>
      <c r="DP2366" s="1" t="s">
        <v>340</v>
      </c>
      <c r="DQ2366" s="1" t="s">
        <v>228</v>
      </c>
      <c r="DR2366" s="1" t="s">
        <v>229</v>
      </c>
      <c r="DV2366" s="1" t="s">
        <v>232</v>
      </c>
      <c r="DW2366" s="1" t="s">
        <v>279</v>
      </c>
      <c r="DX2366" s="1" t="s">
        <v>234</v>
      </c>
      <c r="DY2366" s="1" t="s">
        <v>1122</v>
      </c>
      <c r="EC2366" s="1" t="s">
        <v>685</v>
      </c>
      <c r="ED2366" s="1" t="s">
        <v>9274</v>
      </c>
      <c r="EM2366" s="1" t="s">
        <v>238</v>
      </c>
      <c r="EQ2366" s="1" t="s">
        <v>238</v>
      </c>
      <c r="EU2366" s="1" t="s">
        <v>238</v>
      </c>
      <c r="EY2366" s="1" t="s">
        <v>238</v>
      </c>
      <c r="FC2366" s="1" t="s">
        <v>238</v>
      </c>
      <c r="FF2366" s="1" t="s">
        <v>239</v>
      </c>
      <c r="FG2366" s="1" t="s">
        <v>200</v>
      </c>
      <c r="FH2366" s="1" t="s">
        <v>192</v>
      </c>
      <c r="FJ2366" s="1" t="s">
        <v>1450</v>
      </c>
      <c r="FK2366" s="1" t="s">
        <v>229</v>
      </c>
      <c r="FL2366" s="1" t="s">
        <v>21717</v>
      </c>
      <c r="FM2366" s="1">
        <v>24688.0</v>
      </c>
      <c r="FN2366" s="1" t="s">
        <v>21718</v>
      </c>
      <c r="FO2366" s="1" t="s">
        <v>21719</v>
      </c>
      <c r="FP2366" s="1">
        <v>236043.0</v>
      </c>
      <c r="FQ2366" s="1" t="s">
        <v>21720</v>
      </c>
      <c r="FU2366" s="1" t="s">
        <v>21721</v>
      </c>
      <c r="FV2366" s="1" t="s">
        <v>200</v>
      </c>
      <c r="FW2366" s="1" t="s">
        <v>290</v>
      </c>
      <c r="FX2366" s="1" t="s">
        <v>238</v>
      </c>
      <c r="FZ2366" s="1" t="s">
        <v>229</v>
      </c>
      <c r="GA2366" s="1" t="s">
        <v>291</v>
      </c>
      <c r="GB2366" s="2">
        <v>42079.0</v>
      </c>
      <c r="GC2366" s="1" t="s">
        <v>21722</v>
      </c>
    </row>
    <row r="2367">
      <c r="A2367" s="1">
        <v>347500.0</v>
      </c>
      <c r="B2367" s="1" t="s">
        <v>185</v>
      </c>
      <c r="C2367" s="1" t="str">
        <f>"08751865"</f>
        <v>08751865</v>
      </c>
      <c r="D2367" s="1" t="s">
        <v>186</v>
      </c>
      <c r="F2367" s="1" t="str">
        <f>"543"</f>
        <v>543</v>
      </c>
      <c r="G2367" s="2">
        <v>41925.0</v>
      </c>
      <c r="H2367" s="1">
        <v>387300.0</v>
      </c>
      <c r="I2367" s="1">
        <v>154.0</v>
      </c>
      <c r="J2367" s="1">
        <v>359990.0</v>
      </c>
      <c r="K2367" s="2">
        <v>42078.0</v>
      </c>
      <c r="L2367" s="1">
        <v>154.0</v>
      </c>
      <c r="M2367" s="2">
        <v>42078.0</v>
      </c>
      <c r="N2367" s="1" t="s">
        <v>187</v>
      </c>
      <c r="O2367" s="2">
        <v>42122.0</v>
      </c>
      <c r="P2367" s="1">
        <v>241437.0</v>
      </c>
      <c r="Q2367" s="1">
        <v>23312.0</v>
      </c>
      <c r="S2367" s="1">
        <v>477.0</v>
      </c>
      <c r="T2367" s="1" t="s">
        <v>21723</v>
      </c>
      <c r="U2367" s="1" t="s">
        <v>1015</v>
      </c>
      <c r="V2367" s="1" t="s">
        <v>1527</v>
      </c>
      <c r="W2367" s="1">
        <v>60543.0</v>
      </c>
      <c r="Y2367" s="1" t="s">
        <v>21724</v>
      </c>
      <c r="Z2367" s="1">
        <v>2014.0</v>
      </c>
      <c r="AA2367" s="1" t="s">
        <v>200</v>
      </c>
      <c r="AB2367" s="1" t="s">
        <v>467</v>
      </c>
      <c r="AC2367" s="1" t="s">
        <v>8196</v>
      </c>
      <c r="AD2367" s="1" t="s">
        <v>1529</v>
      </c>
      <c r="AE2367" s="1" t="s">
        <v>849</v>
      </c>
      <c r="AF2367" s="1" t="s">
        <v>1529</v>
      </c>
      <c r="AG2367" s="1" t="s">
        <v>21725</v>
      </c>
      <c r="AH2367" s="1" t="s">
        <v>8198</v>
      </c>
      <c r="AK2367" s="1">
        <v>9.0</v>
      </c>
      <c r="AL2367" s="1">
        <v>4.0</v>
      </c>
      <c r="AM2367" s="1">
        <v>2.0</v>
      </c>
      <c r="AN2367" s="1">
        <v>1.0</v>
      </c>
      <c r="AO2367" s="1" t="s">
        <v>198</v>
      </c>
      <c r="AP2367" s="1">
        <v>1.0</v>
      </c>
      <c r="AQ2367" s="1" t="s">
        <v>198</v>
      </c>
      <c r="AR2367" s="1" t="s">
        <v>200</v>
      </c>
      <c r="AS2367" s="1" t="s">
        <v>199</v>
      </c>
      <c r="AT2367" s="1">
        <v>3.0</v>
      </c>
      <c r="AV2367" s="1" t="s">
        <v>200</v>
      </c>
      <c r="AW2367" s="1" t="s">
        <v>575</v>
      </c>
      <c r="AX2367" s="1">
        <v>2013.0</v>
      </c>
      <c r="AZ2367" s="1" t="s">
        <v>200</v>
      </c>
      <c r="BA2367" s="1" t="str">
        <f>"0321178003"</f>
        <v>0321178003</v>
      </c>
      <c r="BB2367" s="1" t="s">
        <v>200</v>
      </c>
      <c r="BC2367" s="1">
        <v>3500.0</v>
      </c>
      <c r="BD2367" s="1">
        <v>347500.0</v>
      </c>
      <c r="BE2367" s="2">
        <v>41925.0</v>
      </c>
      <c r="BF2367" s="2" t="s">
        <v>21726</v>
      </c>
      <c r="BG2367" s="1" t="s">
        <v>8200</v>
      </c>
      <c r="BH2367" s="1">
        <v>150.0</v>
      </c>
      <c r="BI2367" s="1" t="s">
        <v>1533</v>
      </c>
      <c r="BJ2367" s="1" t="s">
        <v>1349</v>
      </c>
      <c r="BK2367" s="1" t="s">
        <v>1952</v>
      </c>
      <c r="BL2367" s="1" t="str">
        <f t="shared" ref="BL2367:BM2367" si="1543">""</f>
        <v/>
      </c>
      <c r="BM2367" s="1" t="str">
        <f t="shared" si="1543"/>
        <v/>
      </c>
      <c r="BQ2367" s="1">
        <v>308.0</v>
      </c>
      <c r="BR2367" s="1">
        <v>308.0</v>
      </c>
      <c r="BS2367" s="1">
        <v>308.0</v>
      </c>
      <c r="BV2367" s="1" t="s">
        <v>204</v>
      </c>
      <c r="BY2367" s="1" t="s">
        <v>1623</v>
      </c>
      <c r="BZ2367" s="1" t="s">
        <v>209</v>
      </c>
      <c r="CC2367" s="1" t="s">
        <v>205</v>
      </c>
      <c r="CD2367" s="1" t="s">
        <v>206</v>
      </c>
      <c r="CE2367" s="1" t="s">
        <v>207</v>
      </c>
      <c r="CG2367" s="1" t="s">
        <v>363</v>
      </c>
      <c r="CH2367" s="1" t="s">
        <v>209</v>
      </c>
      <c r="CK2367" s="1" t="s">
        <v>331</v>
      </c>
      <c r="CL2367" s="1" t="s">
        <v>209</v>
      </c>
      <c r="CO2367" s="1" t="s">
        <v>329</v>
      </c>
      <c r="CP2367" s="1" t="s">
        <v>209</v>
      </c>
      <c r="CS2367" s="1" t="s">
        <v>392</v>
      </c>
      <c r="CT2367" s="1" t="s">
        <v>206</v>
      </c>
      <c r="CU2367" s="1" t="s">
        <v>207</v>
      </c>
      <c r="CW2367" s="1" t="s">
        <v>1623</v>
      </c>
      <c r="CX2367" s="1" t="s">
        <v>206</v>
      </c>
      <c r="DA2367" s="1" t="s">
        <v>192</v>
      </c>
      <c r="DB2367" s="2">
        <v>42124.0</v>
      </c>
      <c r="DC2367" s="1" t="s">
        <v>1353</v>
      </c>
      <c r="DD2367" s="1" t="s">
        <v>396</v>
      </c>
      <c r="DE2367" s="1" t="s">
        <v>273</v>
      </c>
      <c r="DF2367" s="1" t="s">
        <v>219</v>
      </c>
      <c r="DG2367" s="1" t="s">
        <v>8201</v>
      </c>
      <c r="DH2367" s="1" t="s">
        <v>220</v>
      </c>
      <c r="DI2367" s="1" t="s">
        <v>589</v>
      </c>
      <c r="DJ2367" s="1" t="s">
        <v>222</v>
      </c>
      <c r="DK2367" s="1" t="s">
        <v>223</v>
      </c>
      <c r="DL2367" s="1" t="s">
        <v>223</v>
      </c>
      <c r="DM2367" s="1" t="s">
        <v>338</v>
      </c>
      <c r="DN2367" s="1" t="s">
        <v>485</v>
      </c>
      <c r="DP2367" s="1" t="s">
        <v>340</v>
      </c>
      <c r="DQ2367" s="1" t="s">
        <v>228</v>
      </c>
      <c r="DR2367" s="1" t="s">
        <v>2593</v>
      </c>
      <c r="DS2367" s="1" t="s">
        <v>368</v>
      </c>
      <c r="DU2367" s="1" t="s">
        <v>550</v>
      </c>
      <c r="DV2367" s="1" t="s">
        <v>2941</v>
      </c>
      <c r="DW2367" s="1" t="s">
        <v>8203</v>
      </c>
      <c r="DX2367" s="1" t="s">
        <v>234</v>
      </c>
      <c r="DY2367" s="1" t="s">
        <v>704</v>
      </c>
      <c r="EA2367" s="1" t="s">
        <v>344</v>
      </c>
      <c r="EB2367" s="1" t="s">
        <v>8204</v>
      </c>
      <c r="EC2367" s="1" t="s">
        <v>237</v>
      </c>
      <c r="EE2367" s="1" t="s">
        <v>493</v>
      </c>
      <c r="EG2367" s="1" t="s">
        <v>449</v>
      </c>
      <c r="EH2367" s="1" t="s">
        <v>1028</v>
      </c>
      <c r="EL2367" s="1" t="s">
        <v>264</v>
      </c>
      <c r="EM2367" s="1" t="s">
        <v>206</v>
      </c>
      <c r="EN2367" s="1" t="s">
        <v>207</v>
      </c>
      <c r="EP2367" s="1" t="s">
        <v>393</v>
      </c>
      <c r="EQ2367" s="1" t="s">
        <v>206</v>
      </c>
      <c r="ER2367" s="1" t="s">
        <v>207</v>
      </c>
      <c r="EU2367" s="1" t="s">
        <v>238</v>
      </c>
      <c r="EY2367" s="1" t="s">
        <v>238</v>
      </c>
      <c r="FC2367" s="1" t="s">
        <v>238</v>
      </c>
      <c r="FF2367" s="1" t="s">
        <v>239</v>
      </c>
      <c r="FG2367" s="1" t="s">
        <v>192</v>
      </c>
      <c r="FH2367" s="1" t="s">
        <v>192</v>
      </c>
      <c r="FJ2367" s="1" t="s">
        <v>21727</v>
      </c>
      <c r="FK2367" s="1" t="s">
        <v>557</v>
      </c>
      <c r="FL2367" s="1" t="s">
        <v>8206</v>
      </c>
      <c r="FM2367" s="1">
        <v>23223.0</v>
      </c>
      <c r="FN2367" s="1" t="s">
        <v>8207</v>
      </c>
      <c r="FO2367" s="1" t="s">
        <v>8208</v>
      </c>
      <c r="FP2367" s="1">
        <v>236300.0</v>
      </c>
      <c r="FR2367" s="1">
        <v>210778.0</v>
      </c>
      <c r="FT2367" s="1" t="s">
        <v>11002</v>
      </c>
      <c r="FU2367" s="1" t="s">
        <v>11003</v>
      </c>
      <c r="FV2367" s="1" t="s">
        <v>200</v>
      </c>
      <c r="FW2367" s="1" t="s">
        <v>8211</v>
      </c>
      <c r="FX2367" s="1" t="s">
        <v>246</v>
      </c>
      <c r="FZ2367" s="1" t="s">
        <v>229</v>
      </c>
      <c r="GA2367" s="1" t="s">
        <v>247</v>
      </c>
      <c r="GB2367" s="2">
        <v>42123.0</v>
      </c>
      <c r="GC2367" s="1" t="s">
        <v>21728</v>
      </c>
    </row>
    <row r="2368">
      <c r="A2368" s="1">
        <v>207500.0</v>
      </c>
      <c r="B2368" s="1" t="s">
        <v>185</v>
      </c>
      <c r="C2368" s="1" t="str">
        <f>"08752437"</f>
        <v>08752437</v>
      </c>
      <c r="D2368" s="1" t="s">
        <v>186</v>
      </c>
      <c r="F2368" s="1" t="str">
        <f>"115"</f>
        <v>115</v>
      </c>
      <c r="G2368" s="2">
        <v>41926.0</v>
      </c>
      <c r="H2368" s="1">
        <v>224900.0</v>
      </c>
      <c r="I2368" s="1">
        <v>116.0</v>
      </c>
      <c r="J2368" s="1">
        <v>214900.0</v>
      </c>
      <c r="K2368" s="2">
        <v>42040.0</v>
      </c>
      <c r="L2368" s="1">
        <v>116.0</v>
      </c>
      <c r="M2368" s="2">
        <v>42040.0</v>
      </c>
      <c r="N2368" s="1" t="s">
        <v>187</v>
      </c>
      <c r="O2368" s="2">
        <v>42079.0</v>
      </c>
      <c r="P2368" s="1">
        <v>930149.0</v>
      </c>
      <c r="Q2368" s="1">
        <v>93043.0</v>
      </c>
      <c r="S2368" s="1">
        <v>3221.0</v>
      </c>
      <c r="T2368" s="1" t="s">
        <v>21729</v>
      </c>
      <c r="V2368" s="1" t="s">
        <v>610</v>
      </c>
      <c r="W2368" s="1">
        <v>60115.0</v>
      </c>
      <c r="Y2368" s="1" t="s">
        <v>21730</v>
      </c>
      <c r="Z2368" s="1" t="s">
        <v>296</v>
      </c>
      <c r="AA2368" s="1" t="s">
        <v>200</v>
      </c>
      <c r="AB2368" s="1" t="s">
        <v>193</v>
      </c>
      <c r="AD2368" s="1" t="s">
        <v>612</v>
      </c>
      <c r="AE2368" s="1" t="s">
        <v>613</v>
      </c>
      <c r="AF2368" s="1" t="s">
        <v>612</v>
      </c>
      <c r="AH2368" s="1" t="s">
        <v>21731</v>
      </c>
      <c r="AI2368" s="1">
        <v>0.24</v>
      </c>
      <c r="AK2368" s="1">
        <v>9.0</v>
      </c>
      <c r="AL2368" s="1">
        <v>4.0</v>
      </c>
      <c r="AM2368" s="1">
        <v>2.0</v>
      </c>
      <c r="AN2368" s="1">
        <v>1.0</v>
      </c>
      <c r="AO2368" s="1" t="s">
        <v>198</v>
      </c>
      <c r="AP2368" s="1">
        <v>1.0</v>
      </c>
      <c r="AQ2368" s="1" t="s">
        <v>198</v>
      </c>
      <c r="AR2368" s="1" t="s">
        <v>200</v>
      </c>
      <c r="AS2368" s="1" t="s">
        <v>510</v>
      </c>
      <c r="AT2368" s="1">
        <v>2.0</v>
      </c>
      <c r="AU2368" s="1">
        <v>4.0</v>
      </c>
      <c r="AV2368" s="1" t="s">
        <v>200</v>
      </c>
      <c r="AW2368" s="1">
        <v>6905.62</v>
      </c>
      <c r="AX2368" s="1">
        <v>2013.0</v>
      </c>
      <c r="AY2368" s="1" t="s">
        <v>387</v>
      </c>
      <c r="AZ2368" s="1" t="s">
        <v>200</v>
      </c>
      <c r="BA2368" s="1" t="str">
        <f>"0801360016"</f>
        <v>0801360016</v>
      </c>
      <c r="BB2368" s="1" t="s">
        <v>200</v>
      </c>
      <c r="BC2368" s="1">
        <v>2220.0</v>
      </c>
      <c r="BD2368" s="1">
        <v>207500.0</v>
      </c>
      <c r="BE2368" s="2">
        <v>41925.0</v>
      </c>
      <c r="BF2368" s="2" t="s">
        <v>21732</v>
      </c>
      <c r="BH2368" s="1">
        <v>0.0</v>
      </c>
      <c r="BK2368" s="1" t="s">
        <v>204</v>
      </c>
      <c r="BL2368" s="1" t="str">
        <f t="shared" ref="BL2368:BM2368" si="1544">""</f>
        <v/>
      </c>
      <c r="BM2368" s="1" t="str">
        <f t="shared" si="1544"/>
        <v/>
      </c>
      <c r="BQ2368" s="1">
        <v>428.0</v>
      </c>
      <c r="BR2368" s="1">
        <v>428.0</v>
      </c>
      <c r="BS2368" s="1">
        <v>428.0</v>
      </c>
      <c r="BU2368" s="1" t="s">
        <v>2647</v>
      </c>
      <c r="BV2368" s="1" t="s">
        <v>206</v>
      </c>
      <c r="BW2368" s="1" t="s">
        <v>210</v>
      </c>
      <c r="BX2368" s="1" t="s">
        <v>239</v>
      </c>
      <c r="BY2368" s="1" t="s">
        <v>1044</v>
      </c>
      <c r="BZ2368" s="1" t="s">
        <v>209</v>
      </c>
      <c r="CA2368" s="1" t="s">
        <v>210</v>
      </c>
      <c r="CB2368" s="1" t="s">
        <v>239</v>
      </c>
      <c r="CC2368" s="1" t="s">
        <v>363</v>
      </c>
      <c r="CD2368" s="1" t="s">
        <v>206</v>
      </c>
      <c r="CE2368" s="1" t="s">
        <v>210</v>
      </c>
      <c r="CF2368" s="1" t="s">
        <v>239</v>
      </c>
      <c r="CG2368" s="1" t="s">
        <v>663</v>
      </c>
      <c r="CH2368" s="1" t="s">
        <v>209</v>
      </c>
      <c r="CI2368" s="1" t="s">
        <v>210</v>
      </c>
      <c r="CJ2368" s="1" t="s">
        <v>239</v>
      </c>
      <c r="CK2368" s="1" t="s">
        <v>1351</v>
      </c>
      <c r="CL2368" s="1" t="s">
        <v>209</v>
      </c>
      <c r="CM2368" s="1" t="s">
        <v>210</v>
      </c>
      <c r="CN2368" s="1" t="s">
        <v>239</v>
      </c>
      <c r="CO2368" s="1" t="s">
        <v>269</v>
      </c>
      <c r="CP2368" s="1" t="s">
        <v>209</v>
      </c>
      <c r="CQ2368" s="1" t="s">
        <v>210</v>
      </c>
      <c r="CR2368" s="1" t="s">
        <v>239</v>
      </c>
      <c r="CS2368" s="1" t="s">
        <v>3888</v>
      </c>
      <c r="CT2368" s="1" t="s">
        <v>206</v>
      </c>
      <c r="CU2368" s="1" t="s">
        <v>268</v>
      </c>
      <c r="CV2368" s="1" t="s">
        <v>239</v>
      </c>
      <c r="CW2368" s="1" t="s">
        <v>1044</v>
      </c>
      <c r="CX2368" s="1" t="s">
        <v>206</v>
      </c>
      <c r="CY2368" s="1" t="s">
        <v>210</v>
      </c>
      <c r="CZ2368" s="1" t="s">
        <v>239</v>
      </c>
      <c r="DA2368" s="1" t="s">
        <v>200</v>
      </c>
      <c r="DC2368" s="1" t="s">
        <v>435</v>
      </c>
      <c r="DD2368" s="1" t="s">
        <v>396</v>
      </c>
      <c r="DE2368" s="1" t="s">
        <v>273</v>
      </c>
      <c r="DF2368" s="1" t="s">
        <v>219</v>
      </c>
      <c r="DG2368" s="1" t="s">
        <v>3020</v>
      </c>
      <c r="DH2368" s="1" t="s">
        <v>220</v>
      </c>
      <c r="DI2368" s="1" t="s">
        <v>397</v>
      </c>
      <c r="DJ2368" s="1" t="s">
        <v>222</v>
      </c>
      <c r="DK2368" s="1" t="s">
        <v>223</v>
      </c>
      <c r="DL2368" s="1" t="s">
        <v>858</v>
      </c>
      <c r="DM2368" s="1" t="s">
        <v>338</v>
      </c>
      <c r="DN2368" s="1" t="s">
        <v>226</v>
      </c>
      <c r="DP2368" s="1" t="s">
        <v>340</v>
      </c>
      <c r="DQ2368" s="1" t="s">
        <v>228</v>
      </c>
      <c r="DR2368" s="1" t="s">
        <v>229</v>
      </c>
      <c r="DS2368" s="1" t="s">
        <v>230</v>
      </c>
      <c r="DV2368" s="1" t="s">
        <v>450</v>
      </c>
      <c r="DW2368" s="1" t="s">
        <v>764</v>
      </c>
      <c r="DX2368" s="1" t="s">
        <v>234</v>
      </c>
      <c r="DY2368" s="1" t="s">
        <v>2961</v>
      </c>
      <c r="DZ2368" s="1" t="s">
        <v>491</v>
      </c>
      <c r="EA2368" s="1" t="s">
        <v>344</v>
      </c>
      <c r="EB2368" s="1" t="s">
        <v>684</v>
      </c>
      <c r="EC2368" s="1" t="s">
        <v>237</v>
      </c>
      <c r="ED2368" s="1" t="s">
        <v>407</v>
      </c>
      <c r="EF2368" s="1" t="s">
        <v>7505</v>
      </c>
      <c r="EG2368" s="1" t="s">
        <v>450</v>
      </c>
      <c r="EL2368" s="1" t="s">
        <v>5955</v>
      </c>
      <c r="EM2368" s="1" t="s">
        <v>42</v>
      </c>
      <c r="EN2368" s="1" t="s">
        <v>210</v>
      </c>
      <c r="EQ2368" s="1" t="s">
        <v>238</v>
      </c>
      <c r="EU2368" s="1" t="s">
        <v>238</v>
      </c>
      <c r="EY2368" s="1" t="s">
        <v>238</v>
      </c>
      <c r="FC2368" s="1" t="s">
        <v>238</v>
      </c>
      <c r="FF2368" s="1" t="s">
        <v>239</v>
      </c>
      <c r="FG2368" s="1" t="s">
        <v>192</v>
      </c>
      <c r="FH2368" s="1" t="s">
        <v>192</v>
      </c>
      <c r="FJ2368" s="1" t="s">
        <v>624</v>
      </c>
      <c r="FK2368" s="1" t="s">
        <v>348</v>
      </c>
      <c r="FL2368" s="1" t="s">
        <v>2926</v>
      </c>
      <c r="FM2368" s="1">
        <v>24809.0</v>
      </c>
      <c r="FN2368" s="1" t="s">
        <v>2927</v>
      </c>
      <c r="FO2368" s="1" t="s">
        <v>21733</v>
      </c>
      <c r="FP2368" s="1">
        <v>237425.0</v>
      </c>
      <c r="FQ2368" s="1" t="s">
        <v>21734</v>
      </c>
      <c r="FS2368" s="1" t="s">
        <v>21735</v>
      </c>
      <c r="FU2368" s="1" t="s">
        <v>12607</v>
      </c>
      <c r="FV2368" s="1" t="s">
        <v>200</v>
      </c>
      <c r="FW2368" s="1" t="s">
        <v>530</v>
      </c>
      <c r="FZ2368" s="1" t="s">
        <v>229</v>
      </c>
      <c r="GA2368" s="1" t="s">
        <v>291</v>
      </c>
      <c r="GB2368" s="2">
        <v>42079.0</v>
      </c>
      <c r="GC2368" s="1" t="s">
        <v>21736</v>
      </c>
    </row>
    <row r="2369">
      <c r="A2369" s="1">
        <v>252000.0</v>
      </c>
      <c r="B2369" s="1" t="s">
        <v>185</v>
      </c>
      <c r="C2369" s="1" t="str">
        <f>"08754573"</f>
        <v>08754573</v>
      </c>
      <c r="D2369" s="1" t="s">
        <v>186</v>
      </c>
      <c r="F2369" s="1" t="str">
        <f>"123"</f>
        <v>123</v>
      </c>
      <c r="G2369" s="2">
        <v>41928.0</v>
      </c>
      <c r="H2369" s="1">
        <v>274900.0</v>
      </c>
      <c r="I2369" s="1">
        <v>48.0</v>
      </c>
      <c r="J2369" s="1">
        <v>264900.0</v>
      </c>
      <c r="K2369" s="2">
        <v>41975.0</v>
      </c>
      <c r="L2369" s="1">
        <v>48.0</v>
      </c>
      <c r="M2369" s="2">
        <v>41975.0</v>
      </c>
      <c r="N2369" s="1" t="s">
        <v>187</v>
      </c>
      <c r="O2369" s="2">
        <v>42013.0</v>
      </c>
      <c r="P2369" s="1">
        <v>227647.0</v>
      </c>
      <c r="Q2369" s="1">
        <v>26032.0</v>
      </c>
      <c r="S2369" s="1">
        <v>735.0</v>
      </c>
      <c r="T2369" s="1" t="s">
        <v>21737</v>
      </c>
      <c r="U2369" s="1" t="s">
        <v>1174</v>
      </c>
      <c r="V2369" s="1" t="s">
        <v>465</v>
      </c>
      <c r="W2369" s="1">
        <v>60123.0</v>
      </c>
      <c r="Y2369" s="1" t="s">
        <v>21738</v>
      </c>
      <c r="Z2369" s="1">
        <v>1988.0</v>
      </c>
      <c r="AA2369" s="1" t="s">
        <v>200</v>
      </c>
      <c r="AB2369" s="1" t="s">
        <v>193</v>
      </c>
      <c r="AC2369" s="1" t="s">
        <v>5692</v>
      </c>
      <c r="AD2369" s="1" t="s">
        <v>469</v>
      </c>
      <c r="AE2369" s="1" t="s">
        <v>325</v>
      </c>
      <c r="AF2369" s="1" t="s">
        <v>469</v>
      </c>
      <c r="AG2369" s="1" t="s">
        <v>21739</v>
      </c>
      <c r="AH2369" s="1" t="s">
        <v>21740</v>
      </c>
      <c r="AK2369" s="1">
        <v>10.0</v>
      </c>
      <c r="AL2369" s="1">
        <v>4.0</v>
      </c>
      <c r="AM2369" s="1">
        <v>2.0</v>
      </c>
      <c r="AN2369" s="1">
        <v>1.0</v>
      </c>
      <c r="AO2369" s="1" t="s">
        <v>198</v>
      </c>
      <c r="AP2369" s="1">
        <v>1.0</v>
      </c>
      <c r="AQ2369" s="1" t="s">
        <v>198</v>
      </c>
      <c r="AR2369" s="1" t="s">
        <v>200</v>
      </c>
      <c r="AS2369" s="1" t="s">
        <v>199</v>
      </c>
      <c r="AT2369" s="1">
        <v>3.0</v>
      </c>
      <c r="AV2369" s="1" t="s">
        <v>200</v>
      </c>
      <c r="AW2369" s="1">
        <v>6457.38</v>
      </c>
      <c r="AX2369" s="1">
        <v>2013.0</v>
      </c>
      <c r="AY2369" s="1" t="s">
        <v>387</v>
      </c>
      <c r="AZ2369" s="1" t="s">
        <v>200</v>
      </c>
      <c r="BA2369" s="1" t="str">
        <f>"0609253011"</f>
        <v>0609253011</v>
      </c>
      <c r="BB2369" s="1" t="s">
        <v>200</v>
      </c>
      <c r="BC2369" s="1">
        <v>2606.0</v>
      </c>
      <c r="BD2369" s="1">
        <v>252000.0</v>
      </c>
      <c r="BE2369" s="2">
        <v>41928.0</v>
      </c>
      <c r="BF2369" s="2" t="s">
        <v>21741</v>
      </c>
      <c r="BH2369" s="1">
        <v>0.0</v>
      </c>
      <c r="BK2369" s="1" t="s">
        <v>204</v>
      </c>
      <c r="BL2369" s="1" t="str">
        <f t="shared" ref="BL2369:BM2369" si="1545">""</f>
        <v/>
      </c>
      <c r="BM2369" s="1" t="str">
        <f t="shared" si="1545"/>
        <v/>
      </c>
      <c r="BQ2369" s="1">
        <v>46.0</v>
      </c>
      <c r="BR2369" s="1">
        <v>46.0</v>
      </c>
      <c r="BS2369" s="1">
        <v>46.0</v>
      </c>
      <c r="BU2369" s="1" t="s">
        <v>2713</v>
      </c>
      <c r="BV2369" s="1" t="s">
        <v>206</v>
      </c>
      <c r="BW2369" s="1" t="s">
        <v>588</v>
      </c>
      <c r="BY2369" s="1" t="s">
        <v>362</v>
      </c>
      <c r="BZ2369" s="1" t="s">
        <v>209</v>
      </c>
      <c r="CA2369" s="1" t="s">
        <v>588</v>
      </c>
      <c r="CC2369" s="1" t="s">
        <v>363</v>
      </c>
      <c r="CD2369" s="1" t="s">
        <v>206</v>
      </c>
      <c r="CE2369" s="1" t="s">
        <v>588</v>
      </c>
      <c r="CG2369" s="1" t="s">
        <v>302</v>
      </c>
      <c r="CH2369" s="1" t="s">
        <v>209</v>
      </c>
      <c r="CI2369" s="1" t="s">
        <v>588</v>
      </c>
      <c r="CK2369" s="1" t="s">
        <v>699</v>
      </c>
      <c r="CL2369" s="1" t="s">
        <v>209</v>
      </c>
      <c r="CM2369" s="1" t="s">
        <v>588</v>
      </c>
      <c r="CO2369" s="1" t="s">
        <v>663</v>
      </c>
      <c r="CP2369" s="1" t="s">
        <v>209</v>
      </c>
      <c r="CQ2369" s="1" t="s">
        <v>588</v>
      </c>
      <c r="CS2369" s="1" t="s">
        <v>300</v>
      </c>
      <c r="CT2369" s="1" t="s">
        <v>206</v>
      </c>
      <c r="CU2369" s="1" t="s">
        <v>617</v>
      </c>
      <c r="CW2369" s="1" t="s">
        <v>2442</v>
      </c>
      <c r="CX2369" s="1" t="s">
        <v>206</v>
      </c>
      <c r="CY2369" s="1" t="s">
        <v>588</v>
      </c>
      <c r="DA2369" s="1" t="s">
        <v>200</v>
      </c>
      <c r="DC2369" s="1" t="s">
        <v>305</v>
      </c>
      <c r="DD2369" s="1" t="s">
        <v>518</v>
      </c>
      <c r="DE2369" s="1" t="s">
        <v>273</v>
      </c>
      <c r="DF2369" s="1" t="s">
        <v>219</v>
      </c>
      <c r="DH2369" s="1" t="s">
        <v>220</v>
      </c>
      <c r="DI2369" s="1" t="s">
        <v>366</v>
      </c>
      <c r="DJ2369" s="1" t="s">
        <v>222</v>
      </c>
      <c r="DK2369" s="1" t="s">
        <v>223</v>
      </c>
      <c r="DL2369" s="1" t="s">
        <v>223</v>
      </c>
      <c r="DM2369" s="1" t="s">
        <v>229</v>
      </c>
      <c r="DN2369" s="1" t="s">
        <v>548</v>
      </c>
      <c r="DO2369" s="1" t="s">
        <v>549</v>
      </c>
      <c r="DP2369" s="1" t="s">
        <v>276</v>
      </c>
      <c r="DQ2369" s="1" t="s">
        <v>228</v>
      </c>
      <c r="DR2369" s="1" t="s">
        <v>229</v>
      </c>
      <c r="DS2369" s="1" t="s">
        <v>230</v>
      </c>
      <c r="DU2369" s="1" t="s">
        <v>1840</v>
      </c>
      <c r="DV2369" s="1" t="s">
        <v>2381</v>
      </c>
      <c r="DW2369" s="1" t="s">
        <v>233</v>
      </c>
      <c r="DX2369" s="1" t="s">
        <v>234</v>
      </c>
      <c r="DY2369" s="1" t="s">
        <v>5197</v>
      </c>
      <c r="DZ2369" s="1" t="s">
        <v>282</v>
      </c>
      <c r="EB2369" s="1" t="s">
        <v>937</v>
      </c>
      <c r="EC2369" s="1" t="s">
        <v>237</v>
      </c>
      <c r="ED2369" s="1" t="s">
        <v>555</v>
      </c>
      <c r="EE2369" s="1" t="s">
        <v>522</v>
      </c>
      <c r="EG2369" s="1" t="s">
        <v>494</v>
      </c>
      <c r="EH2369" s="1" t="s">
        <v>556</v>
      </c>
      <c r="EL2369" s="1" t="s">
        <v>302</v>
      </c>
      <c r="EM2369" s="1" t="s">
        <v>206</v>
      </c>
      <c r="EN2369" s="1" t="s">
        <v>588</v>
      </c>
      <c r="EP2369" s="1" t="s">
        <v>303</v>
      </c>
      <c r="EQ2369" s="1" t="s">
        <v>206</v>
      </c>
      <c r="ER2369" s="1" t="s">
        <v>617</v>
      </c>
      <c r="EU2369" s="1" t="s">
        <v>238</v>
      </c>
      <c r="EY2369" s="1" t="s">
        <v>238</v>
      </c>
      <c r="FC2369" s="1" t="s">
        <v>238</v>
      </c>
      <c r="FF2369" s="1" t="s">
        <v>239</v>
      </c>
      <c r="FG2369" s="1" t="s">
        <v>192</v>
      </c>
      <c r="FH2369" s="1" t="s">
        <v>192</v>
      </c>
      <c r="FJ2369" s="1" t="s">
        <v>1419</v>
      </c>
      <c r="FK2369" s="1" t="s">
        <v>229</v>
      </c>
      <c r="FL2369" s="1" t="s">
        <v>3848</v>
      </c>
      <c r="FM2369" s="1">
        <v>432.0</v>
      </c>
      <c r="FN2369" s="1" t="s">
        <v>3849</v>
      </c>
      <c r="FO2369" s="1" t="s">
        <v>21742</v>
      </c>
      <c r="FP2369" s="1">
        <v>70207.0</v>
      </c>
      <c r="FQ2369" s="1" t="s">
        <v>21743</v>
      </c>
      <c r="FU2369" s="1" t="s">
        <v>13396</v>
      </c>
      <c r="FV2369" s="1" t="s">
        <v>200</v>
      </c>
      <c r="FW2369" s="1" t="s">
        <v>290</v>
      </c>
      <c r="FZ2369" s="1" t="s">
        <v>229</v>
      </c>
      <c r="GA2369" s="1" t="s">
        <v>291</v>
      </c>
      <c r="GB2369" s="2">
        <v>42013.0</v>
      </c>
    </row>
    <row r="2370">
      <c r="A2370" s="1">
        <v>225000.0</v>
      </c>
      <c r="B2370" s="1" t="s">
        <v>185</v>
      </c>
      <c r="C2370" s="1" t="str">
        <f>"08758645"</f>
        <v>08758645</v>
      </c>
      <c r="D2370" s="1" t="s">
        <v>186</v>
      </c>
      <c r="F2370" s="1" t="str">
        <f>"8062"</f>
        <v>8062</v>
      </c>
      <c r="G2370" s="2">
        <v>41934.0</v>
      </c>
      <c r="H2370" s="1">
        <v>229500.0</v>
      </c>
      <c r="I2370" s="1">
        <v>38.0</v>
      </c>
      <c r="J2370" s="1">
        <v>229500.0</v>
      </c>
      <c r="K2370" s="2">
        <v>41941.0</v>
      </c>
      <c r="L2370" s="1">
        <v>8.0</v>
      </c>
      <c r="M2370" s="2">
        <v>41941.0</v>
      </c>
      <c r="N2370" s="1" t="s">
        <v>356</v>
      </c>
      <c r="O2370" s="2">
        <v>42017.0</v>
      </c>
      <c r="P2370" s="1">
        <v>875815.0</v>
      </c>
      <c r="Q2370" s="1">
        <v>12555.0</v>
      </c>
      <c r="R2370" s="1">
        <v>1000.0</v>
      </c>
      <c r="S2370" s="1">
        <v>5844.0</v>
      </c>
      <c r="T2370" s="1" t="s">
        <v>7179</v>
      </c>
      <c r="U2370" s="1" t="s">
        <v>189</v>
      </c>
      <c r="V2370" s="1" t="s">
        <v>190</v>
      </c>
      <c r="W2370" s="1">
        <v>60629.0</v>
      </c>
      <c r="Y2370" s="1" t="s">
        <v>21744</v>
      </c>
      <c r="Z2370" s="1">
        <v>1924.0</v>
      </c>
      <c r="AA2370" s="1" t="s">
        <v>192</v>
      </c>
      <c r="AB2370" s="1" t="s">
        <v>193</v>
      </c>
      <c r="AD2370" s="1" t="s">
        <v>194</v>
      </c>
      <c r="AE2370" s="1" t="s">
        <v>195</v>
      </c>
      <c r="AF2370" s="1" t="s">
        <v>659</v>
      </c>
      <c r="AH2370" s="1" t="s">
        <v>1115</v>
      </c>
      <c r="AI2370" s="1">
        <v>0.0868</v>
      </c>
      <c r="AK2370" s="1">
        <v>8.0</v>
      </c>
      <c r="AL2370" s="1">
        <v>3.0</v>
      </c>
      <c r="AM2370" s="1">
        <v>2.0</v>
      </c>
      <c r="AN2370" s="1">
        <v>0.0</v>
      </c>
      <c r="AO2370" s="1" t="s">
        <v>229</v>
      </c>
      <c r="AQ2370" s="1" t="s">
        <v>198</v>
      </c>
      <c r="AR2370" s="1" t="s">
        <v>192</v>
      </c>
      <c r="AS2370" s="1" t="s">
        <v>199</v>
      </c>
      <c r="AT2370" s="1">
        <v>2.0</v>
      </c>
      <c r="AV2370" s="1" t="s">
        <v>200</v>
      </c>
      <c r="AW2370" s="1">
        <v>303.57</v>
      </c>
      <c r="AX2370" s="1">
        <v>2013.0</v>
      </c>
      <c r="AY2370" s="1" t="s">
        <v>1917</v>
      </c>
      <c r="AZ2370" s="1" t="s">
        <v>200</v>
      </c>
      <c r="BA2370" s="1" t="str">
        <f>"19152250270000"</f>
        <v>19152250270000</v>
      </c>
      <c r="BB2370" s="1" t="s">
        <v>200</v>
      </c>
      <c r="BC2370" s="1">
        <v>0.0</v>
      </c>
      <c r="BD2370" s="1">
        <v>225000.0</v>
      </c>
      <c r="BE2370" s="2">
        <v>41934.0</v>
      </c>
      <c r="BF2370" s="2" t="s">
        <v>21745</v>
      </c>
      <c r="BG2370" s="1" t="s">
        <v>21746</v>
      </c>
      <c r="BH2370" s="1">
        <v>0.0</v>
      </c>
      <c r="BJ2370" s="1" t="s">
        <v>21747</v>
      </c>
      <c r="BK2370" s="1" t="s">
        <v>204</v>
      </c>
      <c r="BL2370" s="1" t="str">
        <f t="shared" ref="BL2370:BM2370" si="1546">"0"</f>
        <v>0</v>
      </c>
      <c r="BM2370" s="1" t="str">
        <f t="shared" si="1546"/>
        <v>0</v>
      </c>
      <c r="BN2370" s="1">
        <v>4232.0</v>
      </c>
      <c r="BO2370" s="1">
        <v>5844.0</v>
      </c>
      <c r="BQ2370" s="1">
        <v>299.0</v>
      </c>
      <c r="BR2370" s="1">
        <v>299.0</v>
      </c>
      <c r="BS2370" s="1">
        <v>299.0</v>
      </c>
      <c r="BU2370" s="1" t="s">
        <v>300</v>
      </c>
      <c r="BV2370" s="1" t="s">
        <v>206</v>
      </c>
      <c r="BW2370" s="1" t="s">
        <v>207</v>
      </c>
      <c r="BY2370" s="1" t="s">
        <v>392</v>
      </c>
      <c r="BZ2370" s="1" t="s">
        <v>206</v>
      </c>
      <c r="CA2370" s="1" t="s">
        <v>207</v>
      </c>
      <c r="CC2370" s="1" t="s">
        <v>212</v>
      </c>
      <c r="CD2370" s="1" t="s">
        <v>206</v>
      </c>
      <c r="CE2370" s="1" t="s">
        <v>207</v>
      </c>
      <c r="CG2370" s="1" t="s">
        <v>1117</v>
      </c>
      <c r="CH2370" s="1" t="s">
        <v>209</v>
      </c>
      <c r="CI2370" s="1" t="s">
        <v>210</v>
      </c>
      <c r="CK2370" s="1" t="s">
        <v>433</v>
      </c>
      <c r="CL2370" s="1" t="s">
        <v>209</v>
      </c>
      <c r="CM2370" s="1" t="s">
        <v>210</v>
      </c>
      <c r="CO2370" s="1" t="s">
        <v>264</v>
      </c>
      <c r="CP2370" s="1" t="s">
        <v>42</v>
      </c>
      <c r="CS2370" s="1" t="s">
        <v>8771</v>
      </c>
      <c r="CT2370" s="1" t="s">
        <v>206</v>
      </c>
      <c r="CU2370" s="1" t="s">
        <v>207</v>
      </c>
      <c r="CW2370" s="1" t="s">
        <v>3415</v>
      </c>
      <c r="CX2370" s="1" t="s">
        <v>42</v>
      </c>
      <c r="DA2370" s="1" t="s">
        <v>200</v>
      </c>
      <c r="DC2370" s="1" t="s">
        <v>785</v>
      </c>
      <c r="DD2370" s="1" t="s">
        <v>518</v>
      </c>
      <c r="DE2370" s="1" t="s">
        <v>273</v>
      </c>
      <c r="DF2370" s="1" t="s">
        <v>219</v>
      </c>
      <c r="DG2370" s="1" t="s">
        <v>482</v>
      </c>
      <c r="DH2370" s="1" t="s">
        <v>365</v>
      </c>
      <c r="DI2370" s="1" t="s">
        <v>1141</v>
      </c>
      <c r="DJ2370" s="1" t="s">
        <v>222</v>
      </c>
      <c r="DK2370" s="1" t="s">
        <v>2506</v>
      </c>
      <c r="DL2370" s="1" t="s">
        <v>224</v>
      </c>
      <c r="DM2370" s="1" t="s">
        <v>229</v>
      </c>
      <c r="DO2370" s="1" t="s">
        <v>549</v>
      </c>
      <c r="DP2370" s="1" t="s">
        <v>340</v>
      </c>
      <c r="DQ2370" s="1" t="s">
        <v>228</v>
      </c>
      <c r="DR2370" s="1" t="s">
        <v>229</v>
      </c>
      <c r="DS2370" s="1" t="s">
        <v>230</v>
      </c>
      <c r="DV2370" s="1" t="s">
        <v>374</v>
      </c>
      <c r="DW2370" s="1" t="s">
        <v>279</v>
      </c>
      <c r="DX2370" s="1" t="s">
        <v>234</v>
      </c>
      <c r="DY2370" s="1" t="s">
        <v>553</v>
      </c>
      <c r="DZ2370" s="1" t="s">
        <v>405</v>
      </c>
      <c r="EA2370" s="1" t="s">
        <v>644</v>
      </c>
      <c r="EC2370" s="1" t="s">
        <v>645</v>
      </c>
      <c r="EE2370" s="1" t="s">
        <v>493</v>
      </c>
      <c r="EI2370" s="1" t="s">
        <v>374</v>
      </c>
      <c r="EM2370" s="1" t="s">
        <v>238</v>
      </c>
      <c r="EQ2370" s="1" t="s">
        <v>238</v>
      </c>
      <c r="ET2370" s="1" t="s">
        <v>1137</v>
      </c>
      <c r="EU2370" s="1" t="s">
        <v>206</v>
      </c>
      <c r="EY2370" s="1" t="s">
        <v>238</v>
      </c>
      <c r="FC2370" s="1" t="s">
        <v>238</v>
      </c>
      <c r="FF2370" s="1" t="s">
        <v>239</v>
      </c>
      <c r="FG2370" s="1" t="s">
        <v>192</v>
      </c>
      <c r="FH2370" s="1" t="s">
        <v>192</v>
      </c>
      <c r="FJ2370" s="1" t="s">
        <v>1469</v>
      </c>
      <c r="FK2370" s="1" t="s">
        <v>229</v>
      </c>
      <c r="FL2370" s="1" t="s">
        <v>2037</v>
      </c>
      <c r="FM2370" s="1">
        <v>84624.0</v>
      </c>
      <c r="FN2370" s="1" t="s">
        <v>4240</v>
      </c>
      <c r="FO2370" s="1" t="s">
        <v>21748</v>
      </c>
      <c r="FP2370" s="1">
        <v>107543.0</v>
      </c>
      <c r="FQ2370" s="1" t="s">
        <v>21749</v>
      </c>
      <c r="FS2370" s="1" t="s">
        <v>21749</v>
      </c>
      <c r="FU2370" s="1" t="s">
        <v>1751</v>
      </c>
      <c r="FV2370" s="1" t="s">
        <v>200</v>
      </c>
      <c r="FW2370" s="1" t="s">
        <v>567</v>
      </c>
      <c r="FX2370" s="1" t="s">
        <v>655</v>
      </c>
      <c r="FZ2370" s="1" t="s">
        <v>229</v>
      </c>
      <c r="GA2370" s="1" t="s">
        <v>291</v>
      </c>
      <c r="GB2370" s="2">
        <v>42018.0</v>
      </c>
    </row>
    <row r="2371">
      <c r="A2371" s="1">
        <v>365000.0</v>
      </c>
      <c r="B2371" s="1" t="s">
        <v>185</v>
      </c>
      <c r="C2371" s="1" t="str">
        <f>"08753882"</f>
        <v>08753882</v>
      </c>
      <c r="D2371" s="1" t="s">
        <v>186</v>
      </c>
      <c r="F2371" s="1" t="str">
        <f>"8023"</f>
        <v>8023</v>
      </c>
      <c r="G2371" s="2">
        <v>41927.0</v>
      </c>
      <c r="H2371" s="1">
        <v>379900.0</v>
      </c>
      <c r="I2371" s="1">
        <v>137.0</v>
      </c>
      <c r="J2371" s="1">
        <v>379900.0</v>
      </c>
      <c r="K2371" s="2">
        <v>41955.0</v>
      </c>
      <c r="L2371" s="1">
        <v>29.0</v>
      </c>
      <c r="M2371" s="2">
        <v>41955.0</v>
      </c>
      <c r="N2371" s="1" t="s">
        <v>187</v>
      </c>
      <c r="O2371" s="2">
        <v>42013.0</v>
      </c>
      <c r="P2371" s="1">
        <v>875701.0</v>
      </c>
      <c r="Q2371" s="1">
        <v>84025.0</v>
      </c>
      <c r="S2371" s="1">
        <v>3357.0</v>
      </c>
      <c r="T2371" s="1" t="s">
        <v>13933</v>
      </c>
      <c r="U2371" s="1" t="s">
        <v>189</v>
      </c>
      <c r="V2371" s="1" t="s">
        <v>190</v>
      </c>
      <c r="W2371" s="1">
        <v>60651.0</v>
      </c>
      <c r="Y2371" s="1" t="s">
        <v>21750</v>
      </c>
      <c r="Z2371" s="1">
        <v>1890.0</v>
      </c>
      <c r="AA2371" s="1" t="s">
        <v>192</v>
      </c>
      <c r="AB2371" s="1" t="s">
        <v>193</v>
      </c>
      <c r="AD2371" s="1" t="s">
        <v>194</v>
      </c>
      <c r="AE2371" s="1" t="s">
        <v>195</v>
      </c>
      <c r="AF2371" s="1" t="s">
        <v>2645</v>
      </c>
      <c r="AH2371" s="1" t="s">
        <v>21751</v>
      </c>
      <c r="AK2371" s="1">
        <v>8.0</v>
      </c>
      <c r="AL2371" s="1">
        <v>4.0</v>
      </c>
      <c r="AM2371" s="1">
        <v>3.0</v>
      </c>
      <c r="AN2371" s="1">
        <v>1.0</v>
      </c>
      <c r="AO2371" s="1" t="s">
        <v>198</v>
      </c>
      <c r="AQ2371" s="1" t="s">
        <v>257</v>
      </c>
      <c r="AR2371" s="1" t="s">
        <v>192</v>
      </c>
      <c r="AS2371" s="1" t="s">
        <v>199</v>
      </c>
      <c r="AT2371" s="1">
        <v>2.0</v>
      </c>
      <c r="AV2371" s="1" t="s">
        <v>200</v>
      </c>
      <c r="AW2371" s="1" t="s">
        <v>575</v>
      </c>
      <c r="AX2371" s="1">
        <v>2013.0</v>
      </c>
      <c r="AY2371" s="1" t="s">
        <v>387</v>
      </c>
      <c r="AZ2371" s="1" t="s">
        <v>200</v>
      </c>
      <c r="BA2371" s="1" t="str">
        <f>"16022250020000"</f>
        <v>16022250020000</v>
      </c>
      <c r="BC2371" s="1">
        <v>0.0</v>
      </c>
      <c r="BD2371" s="1">
        <v>365000.0</v>
      </c>
      <c r="BE2371" s="2">
        <v>41927.0</v>
      </c>
      <c r="BF2371" s="2" t="s">
        <v>21752</v>
      </c>
      <c r="BH2371" s="1">
        <v>0.0</v>
      </c>
      <c r="BK2371" s="1" t="s">
        <v>204</v>
      </c>
      <c r="BL2371" s="1" t="str">
        <f>"1400"</f>
        <v>1400</v>
      </c>
      <c r="BM2371" s="1" t="str">
        <f t="shared" ref="BM2371:BM2373" si="1547">"0"</f>
        <v>0</v>
      </c>
      <c r="BN2371" s="1">
        <v>3357.0</v>
      </c>
      <c r="BO2371" s="1">
        <v>0.0</v>
      </c>
      <c r="BQ2371" s="1">
        <v>299.0</v>
      </c>
      <c r="BR2371" s="1">
        <v>299.0</v>
      </c>
      <c r="BS2371" s="1">
        <v>299.0</v>
      </c>
      <c r="BU2371" s="1" t="s">
        <v>1567</v>
      </c>
      <c r="BV2371" s="1" t="s">
        <v>206</v>
      </c>
      <c r="BW2371" s="1" t="s">
        <v>207</v>
      </c>
      <c r="BY2371" s="1" t="s">
        <v>478</v>
      </c>
      <c r="BZ2371" s="1" t="s">
        <v>209</v>
      </c>
      <c r="CA2371" s="1" t="s">
        <v>207</v>
      </c>
      <c r="CC2371" s="1" t="s">
        <v>542</v>
      </c>
      <c r="CD2371" s="1" t="s">
        <v>206</v>
      </c>
      <c r="CE2371" s="1" t="s">
        <v>207</v>
      </c>
      <c r="CG2371" s="1" t="s">
        <v>663</v>
      </c>
      <c r="CH2371" s="1" t="s">
        <v>209</v>
      </c>
      <c r="CI2371" s="1" t="s">
        <v>207</v>
      </c>
      <c r="CK2371" s="1" t="s">
        <v>663</v>
      </c>
      <c r="CL2371" s="1" t="s">
        <v>209</v>
      </c>
      <c r="CM2371" s="1" t="s">
        <v>207</v>
      </c>
      <c r="CO2371" s="1" t="s">
        <v>815</v>
      </c>
      <c r="CP2371" s="1" t="s">
        <v>267</v>
      </c>
      <c r="CQ2371" s="1" t="s">
        <v>268</v>
      </c>
      <c r="CS2371" s="1" t="s">
        <v>2425</v>
      </c>
      <c r="CT2371" s="1" t="s">
        <v>206</v>
      </c>
      <c r="CU2371" s="1" t="s">
        <v>207</v>
      </c>
      <c r="CW2371" s="1" t="s">
        <v>330</v>
      </c>
      <c r="CX2371" s="1" t="s">
        <v>267</v>
      </c>
      <c r="CY2371" s="1" t="s">
        <v>268</v>
      </c>
      <c r="DA2371" s="1" t="s">
        <v>200</v>
      </c>
      <c r="DC2371" s="1" t="s">
        <v>642</v>
      </c>
      <c r="DD2371" s="1" t="s">
        <v>731</v>
      </c>
      <c r="DE2371" s="1" t="s">
        <v>273</v>
      </c>
      <c r="DF2371" s="1" t="s">
        <v>619</v>
      </c>
      <c r="DH2371" s="1" t="s">
        <v>365</v>
      </c>
      <c r="DI2371" s="1" t="s">
        <v>11744</v>
      </c>
      <c r="DJ2371" s="1" t="s">
        <v>222</v>
      </c>
      <c r="DL2371" s="1" t="s">
        <v>224</v>
      </c>
      <c r="DM2371" s="1" t="s">
        <v>229</v>
      </c>
      <c r="DN2371" s="1" t="s">
        <v>226</v>
      </c>
      <c r="DP2371" s="1" t="s">
        <v>276</v>
      </c>
      <c r="DQ2371" s="1" t="s">
        <v>718</v>
      </c>
      <c r="DR2371" s="1" t="s">
        <v>229</v>
      </c>
      <c r="DV2371" s="1" t="s">
        <v>1103</v>
      </c>
      <c r="DW2371" s="1" t="s">
        <v>444</v>
      </c>
      <c r="DX2371" s="1" t="s">
        <v>234</v>
      </c>
      <c r="DY2371" s="1" t="s">
        <v>704</v>
      </c>
      <c r="DZ2371" s="1" t="s">
        <v>310</v>
      </c>
      <c r="EC2371" s="1" t="s">
        <v>237</v>
      </c>
      <c r="EG2371" s="1" t="s">
        <v>1103</v>
      </c>
      <c r="EL2371" s="1" t="s">
        <v>599</v>
      </c>
      <c r="EM2371" s="1" t="s">
        <v>267</v>
      </c>
      <c r="EN2371" s="1" t="s">
        <v>268</v>
      </c>
      <c r="EQ2371" s="1" t="s">
        <v>238</v>
      </c>
      <c r="EU2371" s="1" t="s">
        <v>238</v>
      </c>
      <c r="EY2371" s="1" t="s">
        <v>238</v>
      </c>
      <c r="FC2371" s="1" t="s">
        <v>238</v>
      </c>
      <c r="FF2371" s="1" t="s">
        <v>239</v>
      </c>
      <c r="FG2371" s="1" t="s">
        <v>192</v>
      </c>
      <c r="FH2371" s="1" t="s">
        <v>192</v>
      </c>
      <c r="FJ2371" s="1" t="s">
        <v>561</v>
      </c>
      <c r="FK2371" s="1" t="s">
        <v>229</v>
      </c>
      <c r="FL2371" s="1" t="s">
        <v>21753</v>
      </c>
      <c r="FM2371" s="1">
        <v>84966.0</v>
      </c>
      <c r="FN2371" s="1" t="s">
        <v>21754</v>
      </c>
      <c r="FO2371" s="1" t="s">
        <v>21755</v>
      </c>
      <c r="FP2371" s="1">
        <v>189493.0</v>
      </c>
      <c r="FQ2371" s="1" t="s">
        <v>21756</v>
      </c>
      <c r="FU2371" s="1" t="s">
        <v>21757</v>
      </c>
      <c r="FV2371" s="1" t="s">
        <v>200</v>
      </c>
      <c r="FW2371" s="1" t="s">
        <v>567</v>
      </c>
      <c r="FX2371" s="1" t="s">
        <v>246</v>
      </c>
      <c r="FZ2371" s="1" t="s">
        <v>229</v>
      </c>
      <c r="GA2371" s="1" t="s">
        <v>291</v>
      </c>
      <c r="GB2371" s="2">
        <v>42013.0</v>
      </c>
      <c r="GC2371" s="1" t="s">
        <v>21758</v>
      </c>
    </row>
    <row r="2372">
      <c r="A2372" s="1">
        <v>740000.0</v>
      </c>
      <c r="B2372" s="1" t="s">
        <v>185</v>
      </c>
      <c r="C2372" s="1" t="str">
        <f>"08758177"</f>
        <v>08758177</v>
      </c>
      <c r="D2372" s="1" t="s">
        <v>186</v>
      </c>
      <c r="F2372" s="1" t="str">
        <f>"8016"</f>
        <v>8016</v>
      </c>
      <c r="G2372" s="2">
        <v>41933.0</v>
      </c>
      <c r="H2372" s="1">
        <v>799000.0</v>
      </c>
      <c r="I2372" s="1">
        <v>77.0</v>
      </c>
      <c r="J2372" s="1">
        <v>749000.0</v>
      </c>
      <c r="K2372" s="2">
        <v>42009.0</v>
      </c>
      <c r="L2372" s="1">
        <v>77.0</v>
      </c>
      <c r="M2372" s="2">
        <v>42009.0</v>
      </c>
      <c r="N2372" s="1" t="s">
        <v>187</v>
      </c>
      <c r="O2372" s="2">
        <v>42041.0</v>
      </c>
      <c r="P2372" s="1">
        <v>114206.0</v>
      </c>
      <c r="Q2372" s="1">
        <v>15191.0</v>
      </c>
      <c r="S2372" s="1">
        <v>3839.0</v>
      </c>
      <c r="T2372" s="1" t="s">
        <v>739</v>
      </c>
      <c r="U2372" s="1" t="s">
        <v>189</v>
      </c>
      <c r="V2372" s="1" t="s">
        <v>190</v>
      </c>
      <c r="W2372" s="1">
        <v>60618.0</v>
      </c>
      <c r="Y2372" s="1" t="s">
        <v>21759</v>
      </c>
      <c r="Z2372" s="1">
        <v>2014.0</v>
      </c>
      <c r="AA2372" s="1" t="s">
        <v>200</v>
      </c>
      <c r="AB2372" s="1" t="s">
        <v>193</v>
      </c>
      <c r="AD2372" s="1" t="s">
        <v>194</v>
      </c>
      <c r="AE2372" s="1" t="s">
        <v>195</v>
      </c>
      <c r="AF2372" s="1" t="s">
        <v>196</v>
      </c>
      <c r="AH2372" s="1" t="s">
        <v>20914</v>
      </c>
      <c r="AK2372" s="1">
        <v>10.0</v>
      </c>
      <c r="AL2372" s="1">
        <v>4.0</v>
      </c>
      <c r="AM2372" s="1">
        <v>3.0</v>
      </c>
      <c r="AN2372" s="1">
        <v>1.0</v>
      </c>
      <c r="AO2372" s="1" t="s">
        <v>198</v>
      </c>
      <c r="AP2372" s="1">
        <v>1.0</v>
      </c>
      <c r="AQ2372" s="1" t="s">
        <v>472</v>
      </c>
      <c r="AR2372" s="1" t="s">
        <v>192</v>
      </c>
      <c r="AS2372" s="1" t="s">
        <v>199</v>
      </c>
      <c r="AT2372" s="1">
        <v>2.0</v>
      </c>
      <c r="AV2372" s="1" t="s">
        <v>200</v>
      </c>
      <c r="AW2372" s="1" t="s">
        <v>575</v>
      </c>
      <c r="AX2372" s="1">
        <v>2013.0</v>
      </c>
      <c r="AZ2372" s="1" t="s">
        <v>200</v>
      </c>
      <c r="BA2372" s="1" t="str">
        <f>"13232140080000"</f>
        <v>13232140080000</v>
      </c>
      <c r="BC2372" s="1">
        <v>3600.0</v>
      </c>
      <c r="BD2372" s="1">
        <v>740000.0</v>
      </c>
      <c r="BE2372" s="2">
        <v>41933.0</v>
      </c>
      <c r="BF2372" s="2" t="s">
        <v>21760</v>
      </c>
      <c r="BG2372" s="1" t="s">
        <v>21761</v>
      </c>
      <c r="BH2372" s="1">
        <v>0.0</v>
      </c>
      <c r="BJ2372" s="1" t="s">
        <v>203</v>
      </c>
      <c r="BK2372" s="1" t="s">
        <v>204</v>
      </c>
      <c r="BL2372" s="1" t="str">
        <f>"3839"</f>
        <v>3839</v>
      </c>
      <c r="BM2372" s="1" t="str">
        <f t="shared" si="1547"/>
        <v>0</v>
      </c>
      <c r="BN2372" s="1">
        <v>3334.0</v>
      </c>
      <c r="BO2372" s="1">
        <v>0.0</v>
      </c>
      <c r="BQ2372" s="1">
        <v>299.0</v>
      </c>
      <c r="BR2372" s="1">
        <v>299.0</v>
      </c>
      <c r="BS2372" s="1">
        <v>299.0</v>
      </c>
      <c r="BU2372" s="1" t="s">
        <v>361</v>
      </c>
      <c r="BV2372" s="1" t="s">
        <v>206</v>
      </c>
      <c r="BW2372" s="1" t="s">
        <v>207</v>
      </c>
      <c r="BY2372" s="1" t="s">
        <v>480</v>
      </c>
      <c r="BZ2372" s="1" t="s">
        <v>209</v>
      </c>
      <c r="CA2372" s="1" t="s">
        <v>207</v>
      </c>
      <c r="CC2372" s="1" t="s">
        <v>262</v>
      </c>
      <c r="CD2372" s="1" t="s">
        <v>206</v>
      </c>
      <c r="CG2372" s="1" t="s">
        <v>212</v>
      </c>
      <c r="CH2372" s="1" t="s">
        <v>209</v>
      </c>
      <c r="CI2372" s="1" t="s">
        <v>207</v>
      </c>
      <c r="CK2372" s="1" t="s">
        <v>1158</v>
      </c>
      <c r="CL2372" s="1" t="s">
        <v>209</v>
      </c>
      <c r="CM2372" s="1" t="s">
        <v>207</v>
      </c>
      <c r="CO2372" s="1" t="s">
        <v>924</v>
      </c>
      <c r="CP2372" s="1" t="s">
        <v>267</v>
      </c>
      <c r="CQ2372" s="1" t="s">
        <v>210</v>
      </c>
      <c r="CS2372" s="1" t="s">
        <v>782</v>
      </c>
      <c r="CT2372" s="1" t="s">
        <v>206</v>
      </c>
      <c r="CU2372" s="1" t="s">
        <v>207</v>
      </c>
      <c r="CW2372" s="1" t="s">
        <v>784</v>
      </c>
      <c r="CX2372" s="1" t="s">
        <v>206</v>
      </c>
      <c r="CY2372" s="1" t="s">
        <v>207</v>
      </c>
      <c r="DA2372" s="1" t="s">
        <v>192</v>
      </c>
      <c r="DB2372" s="2">
        <v>41944.0</v>
      </c>
      <c r="DC2372" s="1" t="s">
        <v>1353</v>
      </c>
      <c r="DD2372" s="1" t="s">
        <v>272</v>
      </c>
      <c r="DE2372" s="1" t="s">
        <v>218</v>
      </c>
      <c r="DF2372" s="1" t="s">
        <v>2328</v>
      </c>
      <c r="DG2372" s="1" t="s">
        <v>1657</v>
      </c>
      <c r="DH2372" s="1" t="s">
        <v>365</v>
      </c>
      <c r="DI2372" s="1" t="s">
        <v>3590</v>
      </c>
      <c r="DJ2372" s="1" t="s">
        <v>13210</v>
      </c>
      <c r="DL2372" s="1" t="s">
        <v>224</v>
      </c>
      <c r="DM2372" s="1" t="s">
        <v>229</v>
      </c>
      <c r="DN2372" s="1" t="s">
        <v>8882</v>
      </c>
      <c r="DP2372" s="1" t="s">
        <v>276</v>
      </c>
      <c r="DQ2372" s="1" t="s">
        <v>794</v>
      </c>
      <c r="DR2372" s="1" t="s">
        <v>229</v>
      </c>
      <c r="DS2372" s="1" t="s">
        <v>230</v>
      </c>
      <c r="DU2372" s="1" t="s">
        <v>231</v>
      </c>
      <c r="DV2372" s="1" t="s">
        <v>21762</v>
      </c>
      <c r="DW2372" s="1" t="s">
        <v>279</v>
      </c>
      <c r="DX2372" s="1" t="s">
        <v>234</v>
      </c>
      <c r="DZ2372" s="1" t="s">
        <v>5293</v>
      </c>
      <c r="EA2372" s="1" t="s">
        <v>1027</v>
      </c>
      <c r="EC2372" s="1" t="s">
        <v>237</v>
      </c>
      <c r="EG2372" s="1" t="s">
        <v>450</v>
      </c>
      <c r="EH2372" s="1" t="s">
        <v>449</v>
      </c>
      <c r="EI2372" s="1" t="s">
        <v>2971</v>
      </c>
      <c r="EJ2372" s="1" t="s">
        <v>2971</v>
      </c>
      <c r="EL2372" s="1" t="s">
        <v>1623</v>
      </c>
      <c r="EM2372" s="1" t="s">
        <v>267</v>
      </c>
      <c r="EN2372" s="1" t="s">
        <v>210</v>
      </c>
      <c r="EP2372" s="1" t="s">
        <v>1939</v>
      </c>
      <c r="EQ2372" s="1" t="s">
        <v>206</v>
      </c>
      <c r="ER2372" s="1" t="s">
        <v>207</v>
      </c>
      <c r="ET2372" s="1" t="s">
        <v>940</v>
      </c>
      <c r="EU2372" s="1" t="s">
        <v>391</v>
      </c>
      <c r="EV2372" s="1" t="s">
        <v>207</v>
      </c>
      <c r="EX2372" s="1" t="s">
        <v>2880</v>
      </c>
      <c r="EY2372" s="1" t="s">
        <v>267</v>
      </c>
      <c r="EZ2372" s="1" t="s">
        <v>268</v>
      </c>
      <c r="FC2372" s="1" t="s">
        <v>238</v>
      </c>
      <c r="FF2372" s="1" t="s">
        <v>239</v>
      </c>
      <c r="FG2372" s="1" t="s">
        <v>192</v>
      </c>
      <c r="FH2372" s="1" t="s">
        <v>192</v>
      </c>
      <c r="FJ2372" s="1" t="s">
        <v>733</v>
      </c>
      <c r="FK2372" s="1" t="s">
        <v>229</v>
      </c>
      <c r="FL2372" s="1" t="s">
        <v>974</v>
      </c>
      <c r="FM2372" s="1">
        <v>1746.0</v>
      </c>
      <c r="FN2372" s="1" t="s">
        <v>2523</v>
      </c>
      <c r="FO2372" s="1" t="s">
        <v>9261</v>
      </c>
      <c r="FP2372" s="1">
        <v>83991.0</v>
      </c>
      <c r="FQ2372" s="1" t="s">
        <v>9262</v>
      </c>
      <c r="FS2372" s="1" t="s">
        <v>9263</v>
      </c>
      <c r="FU2372" s="1" t="s">
        <v>1438</v>
      </c>
      <c r="FV2372" s="1" t="s">
        <v>200</v>
      </c>
      <c r="FW2372" s="1" t="s">
        <v>530</v>
      </c>
      <c r="FX2372" s="1" t="s">
        <v>238</v>
      </c>
      <c r="FZ2372" s="1" t="s">
        <v>229</v>
      </c>
      <c r="GA2372" s="1" t="s">
        <v>291</v>
      </c>
      <c r="GB2372" s="2">
        <v>42046.0</v>
      </c>
      <c r="GC2372" s="1" t="s">
        <v>21763</v>
      </c>
    </row>
    <row r="2373">
      <c r="A2373" s="1">
        <v>145000.0</v>
      </c>
      <c r="B2373" s="1" t="s">
        <v>185</v>
      </c>
      <c r="C2373" s="1" t="str">
        <f>"08756067"</f>
        <v>08756067</v>
      </c>
      <c r="D2373" s="1" t="s">
        <v>186</v>
      </c>
      <c r="F2373" s="1" t="str">
        <f>"8019"</f>
        <v>8019</v>
      </c>
      <c r="G2373" s="2">
        <v>41929.0</v>
      </c>
      <c r="H2373" s="1">
        <v>150000.0</v>
      </c>
      <c r="I2373" s="1">
        <v>1.0</v>
      </c>
      <c r="J2373" s="1">
        <v>150000.0</v>
      </c>
      <c r="K2373" s="2">
        <v>41929.0</v>
      </c>
      <c r="L2373" s="1">
        <v>1.0</v>
      </c>
      <c r="M2373" s="2">
        <v>41929.0</v>
      </c>
      <c r="N2373" s="1" t="s">
        <v>187</v>
      </c>
      <c r="O2373" s="2">
        <v>41997.0</v>
      </c>
      <c r="P2373" s="1">
        <v>116756.0</v>
      </c>
      <c r="Q2373" s="1">
        <v>10889.0</v>
      </c>
      <c r="S2373" s="1">
        <v>2904.0</v>
      </c>
      <c r="T2373" s="1" t="s">
        <v>2054</v>
      </c>
      <c r="U2373" s="1" t="s">
        <v>189</v>
      </c>
      <c r="V2373" s="1" t="s">
        <v>190</v>
      </c>
      <c r="W2373" s="1">
        <v>60634.0</v>
      </c>
      <c r="Y2373" s="1" t="s">
        <v>21764</v>
      </c>
      <c r="Z2373" s="1" t="s">
        <v>296</v>
      </c>
      <c r="AA2373" s="1" t="s">
        <v>192</v>
      </c>
      <c r="AB2373" s="1" t="s">
        <v>193</v>
      </c>
      <c r="AD2373" s="1" t="s">
        <v>194</v>
      </c>
      <c r="AE2373" s="1" t="s">
        <v>195</v>
      </c>
      <c r="AF2373" s="1" t="s">
        <v>2645</v>
      </c>
      <c r="AG2373" s="1" t="s">
        <v>21765</v>
      </c>
      <c r="AH2373" s="1" t="s">
        <v>359</v>
      </c>
      <c r="AK2373" s="1">
        <v>7.0</v>
      </c>
      <c r="AL2373" s="1">
        <v>4.0</v>
      </c>
      <c r="AM2373" s="1">
        <v>2.0</v>
      </c>
      <c r="AN2373" s="1">
        <v>0.0</v>
      </c>
      <c r="AO2373" s="1" t="s">
        <v>229</v>
      </c>
      <c r="AQ2373" s="1" t="s">
        <v>327</v>
      </c>
      <c r="AR2373" s="1" t="s">
        <v>192</v>
      </c>
      <c r="AS2373" s="1" t="s">
        <v>199</v>
      </c>
      <c r="AT2373" s="1">
        <v>2.0</v>
      </c>
      <c r="AV2373" s="1" t="s">
        <v>200</v>
      </c>
      <c r="AW2373" s="1">
        <v>3108.26</v>
      </c>
      <c r="AX2373" s="1">
        <v>2012.0</v>
      </c>
      <c r="AY2373" s="1" t="s">
        <v>387</v>
      </c>
      <c r="AZ2373" s="1" t="s">
        <v>200</v>
      </c>
      <c r="BA2373" s="1" t="str">
        <f>"13292220380000"</f>
        <v>13292220380000</v>
      </c>
      <c r="BB2373" s="1" t="s">
        <v>200</v>
      </c>
      <c r="BC2373" s="1">
        <v>0.0</v>
      </c>
      <c r="BD2373" s="1">
        <v>145000.0</v>
      </c>
      <c r="BE2373" s="2">
        <v>41929.0</v>
      </c>
      <c r="BF2373" s="1" t="s">
        <v>21766</v>
      </c>
      <c r="BH2373" s="1">
        <v>0.0</v>
      </c>
      <c r="BK2373" s="1" t="s">
        <v>204</v>
      </c>
      <c r="BL2373" s="1" t="str">
        <f>"2904"</f>
        <v>2904</v>
      </c>
      <c r="BM2373" s="1" t="str">
        <f t="shared" si="1547"/>
        <v>0</v>
      </c>
      <c r="BN2373" s="1">
        <v>5600.0</v>
      </c>
      <c r="BO2373" s="1">
        <v>0.0</v>
      </c>
      <c r="BQ2373" s="1">
        <v>299.0</v>
      </c>
      <c r="BR2373" s="1">
        <v>299.0</v>
      </c>
      <c r="BS2373" s="1">
        <v>299.0</v>
      </c>
      <c r="BU2373" s="1" t="s">
        <v>433</v>
      </c>
      <c r="BV2373" s="1" t="s">
        <v>206</v>
      </c>
      <c r="BW2373" s="1" t="s">
        <v>207</v>
      </c>
      <c r="BY2373" s="1" t="s">
        <v>264</v>
      </c>
      <c r="BZ2373" s="1" t="s">
        <v>206</v>
      </c>
      <c r="CA2373" s="1" t="s">
        <v>207</v>
      </c>
      <c r="CC2373" s="1" t="s">
        <v>363</v>
      </c>
      <c r="CD2373" s="1" t="s">
        <v>206</v>
      </c>
      <c r="CE2373" s="1" t="s">
        <v>207</v>
      </c>
      <c r="CG2373" s="1" t="s">
        <v>264</v>
      </c>
      <c r="CH2373" s="1" t="s">
        <v>206</v>
      </c>
      <c r="CI2373" s="1" t="s">
        <v>210</v>
      </c>
      <c r="CK2373" s="1" t="s">
        <v>269</v>
      </c>
      <c r="CL2373" s="1" t="s">
        <v>114</v>
      </c>
      <c r="CM2373" s="1" t="s">
        <v>210</v>
      </c>
      <c r="CO2373" s="1" t="s">
        <v>495</v>
      </c>
      <c r="CP2373" s="1" t="s">
        <v>114</v>
      </c>
      <c r="CQ2373" s="1" t="s">
        <v>210</v>
      </c>
      <c r="CR2373" s="1" t="s">
        <v>229</v>
      </c>
      <c r="CS2373" s="1" t="s">
        <v>663</v>
      </c>
      <c r="CT2373" s="1" t="s">
        <v>206</v>
      </c>
      <c r="CU2373" s="1" t="s">
        <v>617</v>
      </c>
      <c r="CX2373" s="1" t="s">
        <v>204</v>
      </c>
      <c r="DA2373" s="1" t="s">
        <v>200</v>
      </c>
      <c r="DC2373" s="1" t="s">
        <v>545</v>
      </c>
      <c r="DD2373" s="1" t="s">
        <v>518</v>
      </c>
      <c r="DE2373" s="1" t="s">
        <v>229</v>
      </c>
      <c r="DF2373" s="1" t="s">
        <v>21767</v>
      </c>
      <c r="DG2373" s="1" t="s">
        <v>588</v>
      </c>
      <c r="DH2373" s="1" t="s">
        <v>307</v>
      </c>
      <c r="DI2373" s="1" t="s">
        <v>831</v>
      </c>
      <c r="DJ2373" s="1" t="s">
        <v>222</v>
      </c>
      <c r="DK2373" s="1" t="s">
        <v>2506</v>
      </c>
      <c r="DL2373" s="1" t="s">
        <v>224</v>
      </c>
      <c r="DM2373" s="1" t="s">
        <v>229</v>
      </c>
      <c r="DO2373" s="1" t="s">
        <v>549</v>
      </c>
      <c r="DP2373" s="1" t="s">
        <v>340</v>
      </c>
      <c r="DQ2373" s="1" t="s">
        <v>718</v>
      </c>
      <c r="DR2373" s="1" t="s">
        <v>229</v>
      </c>
      <c r="DS2373" s="1" t="s">
        <v>230</v>
      </c>
      <c r="DV2373" s="1" t="s">
        <v>232</v>
      </c>
      <c r="DW2373" s="1" t="s">
        <v>279</v>
      </c>
      <c r="DX2373" s="1" t="s">
        <v>234</v>
      </c>
      <c r="DY2373" s="1" t="s">
        <v>833</v>
      </c>
      <c r="EA2373" s="1" t="s">
        <v>644</v>
      </c>
      <c r="EC2373" s="1" t="s">
        <v>645</v>
      </c>
      <c r="EM2373" s="1" t="s">
        <v>238</v>
      </c>
      <c r="EQ2373" s="1" t="s">
        <v>238</v>
      </c>
      <c r="EU2373" s="1" t="s">
        <v>238</v>
      </c>
      <c r="EY2373" s="1" t="s">
        <v>238</v>
      </c>
      <c r="FC2373" s="1" t="s">
        <v>238</v>
      </c>
      <c r="FF2373" s="1" t="s">
        <v>239</v>
      </c>
      <c r="FG2373" s="1" t="s">
        <v>192</v>
      </c>
      <c r="FH2373" s="1" t="s">
        <v>192</v>
      </c>
      <c r="FJ2373" s="1" t="s">
        <v>21768</v>
      </c>
      <c r="FK2373" s="1" t="s">
        <v>1586</v>
      </c>
      <c r="FL2373" s="1" t="s">
        <v>21769</v>
      </c>
      <c r="FM2373" s="1">
        <v>10889.0</v>
      </c>
      <c r="FN2373" s="1" t="s">
        <v>21770</v>
      </c>
      <c r="FO2373" s="1" t="s">
        <v>21771</v>
      </c>
      <c r="FP2373" s="1">
        <v>116756.0</v>
      </c>
      <c r="FQ2373" s="1" t="s">
        <v>21772</v>
      </c>
      <c r="FU2373" s="1" t="s">
        <v>21773</v>
      </c>
      <c r="FV2373" s="1" t="s">
        <v>200</v>
      </c>
      <c r="FW2373" s="1" t="s">
        <v>21774</v>
      </c>
      <c r="FX2373" s="1" t="s">
        <v>238</v>
      </c>
      <c r="FZ2373" s="1" t="s">
        <v>229</v>
      </c>
      <c r="GA2373" s="1" t="s">
        <v>291</v>
      </c>
      <c r="GB2373" s="2">
        <v>42002.0</v>
      </c>
      <c r="GC2373" s="1" t="s">
        <v>21775</v>
      </c>
    </row>
    <row r="2374">
      <c r="A2374" s="1">
        <v>335000.0</v>
      </c>
      <c r="B2374" s="1" t="s">
        <v>185</v>
      </c>
      <c r="C2374" s="1" t="str">
        <f>"08757789"</f>
        <v>08757789</v>
      </c>
      <c r="D2374" s="1" t="s">
        <v>186</v>
      </c>
      <c r="F2374" s="1" t="str">
        <f>"543"</f>
        <v>543</v>
      </c>
      <c r="G2374" s="2">
        <v>41933.0</v>
      </c>
      <c r="H2374" s="1">
        <v>365000.0</v>
      </c>
      <c r="I2374" s="1">
        <v>64.0</v>
      </c>
      <c r="J2374" s="1">
        <v>359900.0</v>
      </c>
      <c r="K2374" s="2">
        <v>41996.0</v>
      </c>
      <c r="L2374" s="1">
        <v>64.0</v>
      </c>
      <c r="M2374" s="2">
        <v>41996.0</v>
      </c>
      <c r="N2374" s="1" t="s">
        <v>187</v>
      </c>
      <c r="O2374" s="2">
        <v>42062.0</v>
      </c>
      <c r="P2374" s="1">
        <v>300050.0</v>
      </c>
      <c r="Q2374" s="1">
        <v>87.0</v>
      </c>
      <c r="S2374" s="1">
        <v>218.0</v>
      </c>
      <c r="T2374" s="1" t="s">
        <v>10400</v>
      </c>
      <c r="U2374" s="1" t="s">
        <v>844</v>
      </c>
      <c r="V2374" s="1" t="s">
        <v>1527</v>
      </c>
      <c r="W2374" s="1">
        <v>60543.0</v>
      </c>
      <c r="Y2374" s="1" t="s">
        <v>21776</v>
      </c>
      <c r="Z2374" s="1">
        <v>2005.0</v>
      </c>
      <c r="AA2374" s="1" t="s">
        <v>200</v>
      </c>
      <c r="AB2374" s="1" t="s">
        <v>193</v>
      </c>
      <c r="AD2374" s="1" t="s">
        <v>1529</v>
      </c>
      <c r="AE2374" s="1" t="s">
        <v>849</v>
      </c>
      <c r="AF2374" s="1" t="s">
        <v>1529</v>
      </c>
      <c r="AH2374" s="1" t="s">
        <v>21777</v>
      </c>
      <c r="AK2374" s="1">
        <v>9.0</v>
      </c>
      <c r="AL2374" s="1">
        <v>4.0</v>
      </c>
      <c r="AM2374" s="1">
        <v>2.0</v>
      </c>
      <c r="AN2374" s="1">
        <v>1.0</v>
      </c>
      <c r="AO2374" s="1" t="s">
        <v>198</v>
      </c>
      <c r="AP2374" s="1">
        <v>1.0</v>
      </c>
      <c r="AQ2374" s="1" t="s">
        <v>198</v>
      </c>
      <c r="AR2374" s="1" t="s">
        <v>200</v>
      </c>
      <c r="AS2374" s="1" t="s">
        <v>199</v>
      </c>
      <c r="AT2374" s="1">
        <v>3.0</v>
      </c>
      <c r="AV2374" s="1" t="s">
        <v>200</v>
      </c>
      <c r="AW2374" s="1">
        <v>10614.26</v>
      </c>
      <c r="AX2374" s="1">
        <v>2013.0</v>
      </c>
      <c r="AZ2374" s="1" t="s">
        <v>200</v>
      </c>
      <c r="BA2374" s="1" t="str">
        <f>"0316276006"</f>
        <v>0316276006</v>
      </c>
      <c r="BC2374" s="1">
        <v>4020.0</v>
      </c>
      <c r="BD2374" s="1">
        <v>335000.0</v>
      </c>
      <c r="BE2374" s="2">
        <v>41933.0</v>
      </c>
      <c r="BF2374" s="2" t="s">
        <v>21778</v>
      </c>
      <c r="BH2374" s="1">
        <v>0.0</v>
      </c>
      <c r="BK2374" s="1" t="s">
        <v>204</v>
      </c>
      <c r="BL2374" s="1" t="str">
        <f t="shared" ref="BL2374:BM2374" si="1548">""</f>
        <v/>
      </c>
      <c r="BM2374" s="1" t="str">
        <f t="shared" si="1548"/>
        <v/>
      </c>
      <c r="BQ2374" s="1">
        <v>308.0</v>
      </c>
      <c r="BR2374" s="1">
        <v>308.0</v>
      </c>
      <c r="BS2374" s="1">
        <v>308.0</v>
      </c>
      <c r="BU2374" s="1" t="s">
        <v>205</v>
      </c>
      <c r="BV2374" s="1" t="s">
        <v>206</v>
      </c>
      <c r="BW2374" s="1" t="s">
        <v>210</v>
      </c>
      <c r="BY2374" s="1" t="s">
        <v>9232</v>
      </c>
      <c r="BZ2374" s="1" t="s">
        <v>209</v>
      </c>
      <c r="CA2374" s="1" t="s">
        <v>210</v>
      </c>
      <c r="CC2374" s="1" t="s">
        <v>1426</v>
      </c>
      <c r="CD2374" s="1" t="s">
        <v>206</v>
      </c>
      <c r="CE2374" s="1" t="s">
        <v>210</v>
      </c>
      <c r="CG2374" s="1" t="s">
        <v>211</v>
      </c>
      <c r="CH2374" s="1" t="s">
        <v>209</v>
      </c>
      <c r="CI2374" s="1" t="s">
        <v>210</v>
      </c>
      <c r="CK2374" s="1" t="s">
        <v>758</v>
      </c>
      <c r="CL2374" s="1" t="s">
        <v>209</v>
      </c>
      <c r="CM2374" s="1" t="s">
        <v>210</v>
      </c>
      <c r="CO2374" s="1" t="s">
        <v>584</v>
      </c>
      <c r="CP2374" s="1" t="s">
        <v>209</v>
      </c>
      <c r="CQ2374" s="1" t="s">
        <v>210</v>
      </c>
      <c r="CS2374" s="1" t="s">
        <v>2205</v>
      </c>
      <c r="CT2374" s="1" t="s">
        <v>206</v>
      </c>
      <c r="CU2374" s="1" t="s">
        <v>207</v>
      </c>
      <c r="CW2374" s="1" t="s">
        <v>477</v>
      </c>
      <c r="CX2374" s="1" t="s">
        <v>206</v>
      </c>
      <c r="CY2374" s="1" t="s">
        <v>210</v>
      </c>
      <c r="DA2374" s="1" t="s">
        <v>200</v>
      </c>
      <c r="DC2374" s="1" t="s">
        <v>481</v>
      </c>
      <c r="DD2374" s="1" t="s">
        <v>518</v>
      </c>
      <c r="DE2374" s="1" t="s">
        <v>273</v>
      </c>
      <c r="DF2374" s="1" t="s">
        <v>619</v>
      </c>
      <c r="DG2374" s="1" t="s">
        <v>274</v>
      </c>
      <c r="DH2374" s="1" t="s">
        <v>220</v>
      </c>
      <c r="DI2374" s="1" t="s">
        <v>9924</v>
      </c>
      <c r="DJ2374" s="1" t="s">
        <v>222</v>
      </c>
      <c r="DL2374" s="1" t="s">
        <v>223</v>
      </c>
      <c r="DM2374" s="1" t="s">
        <v>229</v>
      </c>
      <c r="DP2374" s="1" t="s">
        <v>340</v>
      </c>
      <c r="DQ2374" s="1" t="s">
        <v>228</v>
      </c>
      <c r="DR2374" s="1" t="s">
        <v>229</v>
      </c>
      <c r="DV2374" s="1" t="s">
        <v>1028</v>
      </c>
      <c r="DW2374" s="1" t="s">
        <v>233</v>
      </c>
      <c r="DX2374" s="1" t="s">
        <v>234</v>
      </c>
      <c r="EA2374" s="1" t="s">
        <v>344</v>
      </c>
      <c r="EB2374" s="1" t="s">
        <v>684</v>
      </c>
      <c r="EC2374" s="1" t="s">
        <v>237</v>
      </c>
      <c r="ED2374" s="1" t="s">
        <v>1761</v>
      </c>
      <c r="EG2374" s="1" t="s">
        <v>1028</v>
      </c>
      <c r="EL2374" s="1" t="s">
        <v>329</v>
      </c>
      <c r="EM2374" s="1" t="s">
        <v>206</v>
      </c>
      <c r="EN2374" s="1" t="s">
        <v>210</v>
      </c>
      <c r="EQ2374" s="1" t="s">
        <v>238</v>
      </c>
      <c r="EU2374" s="1" t="s">
        <v>238</v>
      </c>
      <c r="EY2374" s="1" t="s">
        <v>238</v>
      </c>
      <c r="FC2374" s="1" t="s">
        <v>238</v>
      </c>
      <c r="FF2374" s="1" t="s">
        <v>239</v>
      </c>
      <c r="FG2374" s="1" t="s">
        <v>192</v>
      </c>
      <c r="FH2374" s="1" t="s">
        <v>192</v>
      </c>
      <c r="FJ2374" s="1" t="s">
        <v>1419</v>
      </c>
      <c r="FK2374" s="1" t="s">
        <v>229</v>
      </c>
      <c r="FL2374" s="1" t="s">
        <v>10232</v>
      </c>
      <c r="FM2374" s="1">
        <v>370.0</v>
      </c>
      <c r="FN2374" s="1" t="s">
        <v>10233</v>
      </c>
      <c r="FO2374" s="1" t="s">
        <v>10234</v>
      </c>
      <c r="FP2374" s="1">
        <v>1349.0</v>
      </c>
      <c r="FQ2374" s="1" t="s">
        <v>10235</v>
      </c>
      <c r="FU2374" s="1" t="s">
        <v>10106</v>
      </c>
      <c r="FV2374" s="1" t="s">
        <v>200</v>
      </c>
      <c r="FW2374" s="1" t="s">
        <v>290</v>
      </c>
      <c r="FZ2374" s="1" t="s">
        <v>229</v>
      </c>
      <c r="GA2374" s="1" t="s">
        <v>291</v>
      </c>
      <c r="GB2374" s="2">
        <v>42065.0</v>
      </c>
    </row>
    <row r="2375">
      <c r="A2375" s="1">
        <v>579000.0</v>
      </c>
      <c r="B2375" s="1" t="s">
        <v>185</v>
      </c>
      <c r="C2375" s="1" t="str">
        <f>"08752669"</f>
        <v>08752669</v>
      </c>
      <c r="D2375" s="1" t="s">
        <v>186</v>
      </c>
      <c r="F2375" s="1" t="str">
        <f>"8016"</f>
        <v>8016</v>
      </c>
      <c r="G2375" s="2">
        <v>41926.0</v>
      </c>
      <c r="H2375" s="1">
        <v>599000.0</v>
      </c>
      <c r="I2375" s="1">
        <v>107.0</v>
      </c>
      <c r="J2375" s="1">
        <v>575000.0</v>
      </c>
      <c r="K2375" s="2">
        <v>42017.0</v>
      </c>
      <c r="L2375" s="1">
        <v>92.0</v>
      </c>
      <c r="M2375" s="2">
        <v>42017.0</v>
      </c>
      <c r="N2375" s="1" t="s">
        <v>249</v>
      </c>
      <c r="O2375" s="2">
        <v>42054.0</v>
      </c>
      <c r="P2375" s="1">
        <v>133045.0</v>
      </c>
      <c r="Q2375" s="1">
        <v>84404.0</v>
      </c>
      <c r="S2375" s="1">
        <v>4123.0</v>
      </c>
      <c r="T2375" s="1" t="s">
        <v>5893</v>
      </c>
      <c r="U2375" s="1" t="s">
        <v>189</v>
      </c>
      <c r="V2375" s="1" t="s">
        <v>190</v>
      </c>
      <c r="W2375" s="1">
        <v>60618.0</v>
      </c>
      <c r="Y2375" s="1" t="s">
        <v>5894</v>
      </c>
      <c r="Z2375" s="1">
        <v>2014.0</v>
      </c>
      <c r="AA2375" s="1" t="s">
        <v>200</v>
      </c>
      <c r="AB2375" s="1" t="s">
        <v>193</v>
      </c>
      <c r="AD2375" s="1" t="s">
        <v>194</v>
      </c>
      <c r="AE2375" s="1" t="s">
        <v>195</v>
      </c>
      <c r="AF2375" s="1" t="s">
        <v>196</v>
      </c>
      <c r="AH2375" s="1" t="s">
        <v>359</v>
      </c>
      <c r="AK2375" s="1">
        <v>9.0</v>
      </c>
      <c r="AL2375" s="1">
        <v>3.0</v>
      </c>
      <c r="AM2375" s="1">
        <v>3.0</v>
      </c>
      <c r="AN2375" s="1">
        <v>1.0</v>
      </c>
      <c r="AO2375" s="1" t="s">
        <v>198</v>
      </c>
      <c r="AQ2375" s="1" t="s">
        <v>198</v>
      </c>
      <c r="AR2375" s="1" t="s">
        <v>192</v>
      </c>
      <c r="AS2375" s="1" t="s">
        <v>199</v>
      </c>
      <c r="AT2375" s="1">
        <v>2.0</v>
      </c>
      <c r="AV2375" s="1" t="s">
        <v>200</v>
      </c>
      <c r="AW2375" s="1">
        <v>6605.42</v>
      </c>
      <c r="AX2375" s="1">
        <v>2013.0</v>
      </c>
      <c r="AY2375" s="1" t="s">
        <v>229</v>
      </c>
      <c r="AZ2375" s="1" t="s">
        <v>200</v>
      </c>
      <c r="BA2375" s="1" t="str">
        <f>"13143230120000"</f>
        <v>13143230120000</v>
      </c>
      <c r="BC2375" s="1">
        <v>3240.0</v>
      </c>
      <c r="BD2375" s="1">
        <v>579000.0</v>
      </c>
      <c r="BE2375" s="2">
        <v>41926.0</v>
      </c>
      <c r="BF2375" s="2" t="s">
        <v>5895</v>
      </c>
      <c r="BG2375" s="1" t="s">
        <v>5896</v>
      </c>
      <c r="BH2375" s="1">
        <v>0.0</v>
      </c>
      <c r="BK2375" s="1" t="s">
        <v>204</v>
      </c>
      <c r="BL2375" s="1" t="str">
        <f>"4123"</f>
        <v>4123</v>
      </c>
      <c r="BM2375" s="1" t="str">
        <f t="shared" ref="BM2375:BM2377" si="1549">"0"</f>
        <v>0</v>
      </c>
      <c r="BN2375" s="1">
        <v>3800.0</v>
      </c>
      <c r="BO2375" s="1">
        <v>0.0</v>
      </c>
      <c r="BQ2375" s="1">
        <v>299.0</v>
      </c>
      <c r="BR2375" s="1">
        <v>299.0</v>
      </c>
      <c r="BS2375" s="1">
        <v>299.0</v>
      </c>
      <c r="BU2375" s="1" t="s">
        <v>616</v>
      </c>
      <c r="BV2375" s="1" t="s">
        <v>206</v>
      </c>
      <c r="BW2375" s="1" t="s">
        <v>207</v>
      </c>
      <c r="BY2375" s="1" t="s">
        <v>329</v>
      </c>
      <c r="BZ2375" s="1" t="s">
        <v>209</v>
      </c>
      <c r="CA2375" s="1" t="s">
        <v>210</v>
      </c>
      <c r="CC2375" s="1" t="s">
        <v>392</v>
      </c>
      <c r="CD2375" s="1" t="s">
        <v>206</v>
      </c>
      <c r="CE2375" s="1" t="s">
        <v>207</v>
      </c>
      <c r="CG2375" s="1" t="s">
        <v>332</v>
      </c>
      <c r="CH2375" s="1" t="s">
        <v>209</v>
      </c>
      <c r="CI2375" s="1" t="s">
        <v>210</v>
      </c>
      <c r="CK2375" s="1" t="s">
        <v>262</v>
      </c>
      <c r="CL2375" s="1" t="s">
        <v>209</v>
      </c>
      <c r="CM2375" s="1" t="s">
        <v>210</v>
      </c>
      <c r="CO2375" s="1" t="s">
        <v>363</v>
      </c>
      <c r="CP2375" s="1" t="s">
        <v>42</v>
      </c>
      <c r="CQ2375" s="1" t="s">
        <v>210</v>
      </c>
      <c r="CS2375" s="1" t="s">
        <v>361</v>
      </c>
      <c r="CT2375" s="1" t="s">
        <v>206</v>
      </c>
      <c r="CU2375" s="1" t="s">
        <v>207</v>
      </c>
      <c r="CW2375" s="1" t="s">
        <v>743</v>
      </c>
      <c r="CX2375" s="1" t="s">
        <v>206</v>
      </c>
      <c r="CY2375" s="1" t="s">
        <v>207</v>
      </c>
      <c r="DA2375" s="1" t="s">
        <v>192</v>
      </c>
      <c r="DB2375" s="2">
        <v>41927.0</v>
      </c>
      <c r="DC2375" s="1" t="s">
        <v>1353</v>
      </c>
      <c r="DE2375" s="1" t="s">
        <v>218</v>
      </c>
      <c r="DF2375" s="1" t="s">
        <v>745</v>
      </c>
      <c r="DG2375" s="1" t="s">
        <v>482</v>
      </c>
      <c r="DH2375" s="1" t="s">
        <v>220</v>
      </c>
      <c r="DI2375" s="1" t="s">
        <v>519</v>
      </c>
      <c r="DJ2375" s="1" t="s">
        <v>222</v>
      </c>
      <c r="DK2375" s="1" t="s">
        <v>223</v>
      </c>
      <c r="DL2375" s="1" t="s">
        <v>224</v>
      </c>
      <c r="DM2375" s="1" t="s">
        <v>229</v>
      </c>
      <c r="DN2375" s="1" t="s">
        <v>3293</v>
      </c>
      <c r="DQ2375" s="1" t="s">
        <v>228</v>
      </c>
      <c r="DR2375" s="1" t="s">
        <v>229</v>
      </c>
      <c r="DU2375" s="1" t="s">
        <v>231</v>
      </c>
      <c r="DV2375" s="1" t="s">
        <v>450</v>
      </c>
      <c r="DW2375" s="1" t="s">
        <v>588</v>
      </c>
      <c r="DX2375" s="1" t="s">
        <v>234</v>
      </c>
      <c r="DY2375" s="1" t="s">
        <v>747</v>
      </c>
      <c r="DZ2375" s="1" t="s">
        <v>310</v>
      </c>
      <c r="EC2375" s="1" t="s">
        <v>237</v>
      </c>
      <c r="ED2375" s="1" t="s">
        <v>555</v>
      </c>
      <c r="EG2375" s="1" t="s">
        <v>450</v>
      </c>
      <c r="EL2375" s="1" t="s">
        <v>748</v>
      </c>
      <c r="EM2375" s="1" t="s">
        <v>42</v>
      </c>
      <c r="EN2375" s="1" t="s">
        <v>210</v>
      </c>
      <c r="EQ2375" s="1" t="s">
        <v>238</v>
      </c>
      <c r="EU2375" s="1" t="s">
        <v>238</v>
      </c>
      <c r="EY2375" s="1" t="s">
        <v>238</v>
      </c>
      <c r="FC2375" s="1" t="s">
        <v>238</v>
      </c>
      <c r="FF2375" s="1" t="s">
        <v>239</v>
      </c>
      <c r="FG2375" s="1" t="s">
        <v>192</v>
      </c>
      <c r="FH2375" s="1" t="s">
        <v>192</v>
      </c>
      <c r="FJ2375" s="1" t="s">
        <v>2285</v>
      </c>
      <c r="FK2375" s="1" t="s">
        <v>229</v>
      </c>
      <c r="FL2375" s="1" t="s">
        <v>734</v>
      </c>
      <c r="FM2375" s="1">
        <v>10646.0</v>
      </c>
      <c r="FN2375" s="1" t="s">
        <v>735</v>
      </c>
      <c r="FO2375" s="1" t="s">
        <v>736</v>
      </c>
      <c r="FP2375" s="1">
        <v>139913.0</v>
      </c>
      <c r="FQ2375" s="1" t="s">
        <v>737</v>
      </c>
      <c r="FU2375" s="1" t="s">
        <v>738</v>
      </c>
      <c r="FV2375" s="1" t="s">
        <v>200</v>
      </c>
      <c r="FW2375" s="1" t="s">
        <v>530</v>
      </c>
      <c r="FX2375" s="1" t="s">
        <v>238</v>
      </c>
      <c r="FZ2375" s="1" t="s">
        <v>229</v>
      </c>
      <c r="GA2375" s="1" t="s">
        <v>291</v>
      </c>
      <c r="GB2375" s="2">
        <v>42055.0</v>
      </c>
    </row>
    <row r="2376">
      <c r="A2376" s="1">
        <v>575000.0</v>
      </c>
      <c r="B2376" s="1" t="s">
        <v>185</v>
      </c>
      <c r="C2376" s="1" t="str">
        <f>"08785876"</f>
        <v>08785876</v>
      </c>
      <c r="D2376" s="1" t="s">
        <v>186</v>
      </c>
      <c r="F2376" s="1" t="str">
        <f>"8077"</f>
        <v>8077</v>
      </c>
      <c r="G2376" s="2">
        <v>41956.0</v>
      </c>
      <c r="H2376" s="1">
        <v>599000.0</v>
      </c>
      <c r="I2376" s="1">
        <v>15.0</v>
      </c>
      <c r="J2376" s="1">
        <v>599000.0</v>
      </c>
      <c r="K2376" s="2">
        <v>41915.0</v>
      </c>
      <c r="L2376" s="1">
        <v>15.0</v>
      </c>
      <c r="M2376" s="2">
        <v>41915.0</v>
      </c>
      <c r="N2376" s="1" t="s">
        <v>187</v>
      </c>
      <c r="O2376" s="2">
        <v>42002.0</v>
      </c>
      <c r="P2376" s="1">
        <v>102113.0</v>
      </c>
      <c r="Q2376" s="1">
        <v>16379.0</v>
      </c>
      <c r="S2376" s="1">
        <v>5411.0</v>
      </c>
      <c r="T2376" s="1" t="s">
        <v>3870</v>
      </c>
      <c r="U2376" s="1" t="s">
        <v>189</v>
      </c>
      <c r="V2376" s="1" t="s">
        <v>190</v>
      </c>
      <c r="W2376" s="1">
        <v>60640.0</v>
      </c>
      <c r="Y2376" s="1" t="s">
        <v>21779</v>
      </c>
      <c r="Z2376" s="1">
        <v>1909.0</v>
      </c>
      <c r="AA2376" s="1" t="s">
        <v>192</v>
      </c>
      <c r="AB2376" s="1" t="s">
        <v>193</v>
      </c>
      <c r="AC2376" s="1" t="s">
        <v>21780</v>
      </c>
      <c r="AD2376" s="1" t="s">
        <v>194</v>
      </c>
      <c r="AE2376" s="1" t="s">
        <v>195</v>
      </c>
      <c r="AF2376" s="1" t="s">
        <v>534</v>
      </c>
      <c r="AH2376" s="1" t="s">
        <v>21781</v>
      </c>
      <c r="AI2376" s="1">
        <v>0.1059</v>
      </c>
      <c r="AK2376" s="1">
        <v>9.0</v>
      </c>
      <c r="AL2376" s="1">
        <v>4.0</v>
      </c>
      <c r="AM2376" s="1">
        <v>1.0</v>
      </c>
      <c r="AN2376" s="1">
        <v>1.0</v>
      </c>
      <c r="AO2376" s="1" t="s">
        <v>229</v>
      </c>
      <c r="AP2376" s="1">
        <v>0.0</v>
      </c>
      <c r="AQ2376" s="1" t="s">
        <v>198</v>
      </c>
      <c r="AR2376" s="1" t="s">
        <v>200</v>
      </c>
      <c r="AS2376" s="1" t="s">
        <v>199</v>
      </c>
      <c r="AT2376" s="1">
        <v>2.0</v>
      </c>
      <c r="AV2376" s="1" t="s">
        <v>200</v>
      </c>
      <c r="AW2376" s="1">
        <v>10608.59</v>
      </c>
      <c r="AX2376" s="1">
        <v>2013.0</v>
      </c>
      <c r="AY2376" s="1" t="s">
        <v>1179</v>
      </c>
      <c r="AZ2376" s="1" t="s">
        <v>200</v>
      </c>
      <c r="BA2376" s="1" t="str">
        <f>"14081110160000"</f>
        <v>14081110160000</v>
      </c>
      <c r="BC2376" s="1">
        <v>0.0</v>
      </c>
      <c r="BD2376" s="1">
        <v>575000.0</v>
      </c>
      <c r="BE2376" s="2">
        <v>41901.0</v>
      </c>
      <c r="BF2376" s="2" t="s">
        <v>21782</v>
      </c>
      <c r="BG2376" s="1" t="s">
        <v>4739</v>
      </c>
      <c r="BH2376" s="1">
        <v>0.0</v>
      </c>
      <c r="BJ2376" s="1" t="s">
        <v>2327</v>
      </c>
      <c r="BK2376" s="1" t="s">
        <v>204</v>
      </c>
      <c r="BL2376" s="1" t="str">
        <f>"5511"</f>
        <v>5511</v>
      </c>
      <c r="BM2376" s="1" t="str">
        <f t="shared" si="1549"/>
        <v>0</v>
      </c>
      <c r="BN2376" s="1">
        <v>1350.0</v>
      </c>
      <c r="BO2376" s="1">
        <v>0.0</v>
      </c>
      <c r="BQ2376" s="1">
        <v>299.0</v>
      </c>
      <c r="BR2376" s="1">
        <v>299.0</v>
      </c>
      <c r="BS2376" s="1">
        <v>299.0</v>
      </c>
      <c r="BU2376" s="1" t="s">
        <v>3123</v>
      </c>
      <c r="BV2376" s="1" t="s">
        <v>206</v>
      </c>
      <c r="BW2376" s="1" t="s">
        <v>207</v>
      </c>
      <c r="BY2376" s="1" t="s">
        <v>1395</v>
      </c>
      <c r="BZ2376" s="1" t="s">
        <v>209</v>
      </c>
      <c r="CA2376" s="1" t="s">
        <v>207</v>
      </c>
      <c r="CC2376" s="1" t="s">
        <v>393</v>
      </c>
      <c r="CD2376" s="1" t="s">
        <v>206</v>
      </c>
      <c r="CE2376" s="1" t="s">
        <v>207</v>
      </c>
      <c r="CG2376" s="1" t="s">
        <v>1483</v>
      </c>
      <c r="CH2376" s="1" t="s">
        <v>209</v>
      </c>
      <c r="CI2376" s="1" t="s">
        <v>207</v>
      </c>
      <c r="CK2376" s="1" t="s">
        <v>264</v>
      </c>
      <c r="CL2376" s="1" t="s">
        <v>209</v>
      </c>
      <c r="CM2376" s="1" t="s">
        <v>207</v>
      </c>
      <c r="CO2376" s="1" t="s">
        <v>1760</v>
      </c>
      <c r="CP2376" s="1" t="s">
        <v>209</v>
      </c>
      <c r="CQ2376" s="1" t="s">
        <v>207</v>
      </c>
      <c r="CS2376" s="1" t="s">
        <v>393</v>
      </c>
      <c r="CT2376" s="1" t="s">
        <v>206</v>
      </c>
      <c r="CU2376" s="1" t="s">
        <v>617</v>
      </c>
      <c r="CW2376" s="1" t="s">
        <v>300</v>
      </c>
      <c r="CX2376" s="1" t="s">
        <v>206</v>
      </c>
      <c r="CY2376" s="1" t="s">
        <v>210</v>
      </c>
      <c r="DA2376" s="1" t="s">
        <v>200</v>
      </c>
      <c r="DC2376" s="1" t="s">
        <v>642</v>
      </c>
      <c r="DD2376" s="1" t="s">
        <v>518</v>
      </c>
      <c r="DE2376" s="1" t="s">
        <v>229</v>
      </c>
      <c r="DF2376" s="1" t="s">
        <v>4120</v>
      </c>
      <c r="DG2376" s="1" t="s">
        <v>337</v>
      </c>
      <c r="DH2376" s="1" t="s">
        <v>365</v>
      </c>
      <c r="DI2376" s="1" t="s">
        <v>1223</v>
      </c>
      <c r="DJ2376" s="1" t="s">
        <v>222</v>
      </c>
      <c r="DK2376" s="1" t="s">
        <v>13709</v>
      </c>
      <c r="DL2376" s="1" t="s">
        <v>223</v>
      </c>
      <c r="DM2376" s="1" t="s">
        <v>21783</v>
      </c>
      <c r="DP2376" s="1" t="s">
        <v>340</v>
      </c>
      <c r="DQ2376" s="1" t="s">
        <v>931</v>
      </c>
      <c r="DR2376" s="1" t="s">
        <v>229</v>
      </c>
      <c r="DS2376" s="1" t="s">
        <v>230</v>
      </c>
      <c r="DV2376" s="1" t="s">
        <v>114</v>
      </c>
      <c r="DW2376" s="1" t="s">
        <v>21784</v>
      </c>
      <c r="DX2376" s="1" t="s">
        <v>234</v>
      </c>
      <c r="DY2376" s="1" t="s">
        <v>235</v>
      </c>
      <c r="DZ2376" s="1" t="s">
        <v>236</v>
      </c>
      <c r="EA2376" s="1" t="s">
        <v>3112</v>
      </c>
      <c r="EC2376" s="1" t="s">
        <v>406</v>
      </c>
      <c r="EE2376" s="1" t="s">
        <v>187</v>
      </c>
      <c r="EG2376" s="1" t="s">
        <v>114</v>
      </c>
      <c r="EL2376" s="1" t="s">
        <v>1138</v>
      </c>
      <c r="EM2376" s="1" t="s">
        <v>391</v>
      </c>
      <c r="EN2376" s="1" t="s">
        <v>588</v>
      </c>
      <c r="EQ2376" s="1" t="s">
        <v>238</v>
      </c>
      <c r="EU2376" s="1" t="s">
        <v>238</v>
      </c>
      <c r="EY2376" s="1" t="s">
        <v>238</v>
      </c>
      <c r="FC2376" s="1" t="s">
        <v>238</v>
      </c>
      <c r="FF2376" s="1" t="s">
        <v>239</v>
      </c>
      <c r="FG2376" s="1" t="s">
        <v>192</v>
      </c>
      <c r="FH2376" s="1" t="s">
        <v>192</v>
      </c>
      <c r="FJ2376" s="1" t="s">
        <v>561</v>
      </c>
      <c r="FK2376" s="1" t="s">
        <v>229</v>
      </c>
      <c r="FL2376" s="1" t="s">
        <v>562</v>
      </c>
      <c r="FM2376" s="1">
        <v>16379.0</v>
      </c>
      <c r="FN2376" s="1" t="s">
        <v>563</v>
      </c>
      <c r="FO2376" s="1" t="s">
        <v>21785</v>
      </c>
      <c r="FP2376" s="1">
        <v>113709.0</v>
      </c>
      <c r="FQ2376" s="1" t="s">
        <v>21786</v>
      </c>
      <c r="FS2376" s="1" t="s">
        <v>21787</v>
      </c>
      <c r="FU2376" s="1" t="s">
        <v>12747</v>
      </c>
      <c r="FV2376" s="1" t="s">
        <v>200</v>
      </c>
      <c r="FW2376" s="1" t="s">
        <v>530</v>
      </c>
      <c r="FX2376" s="1" t="s">
        <v>238</v>
      </c>
      <c r="FZ2376" s="1" t="s">
        <v>229</v>
      </c>
      <c r="GA2376" s="1" t="s">
        <v>291</v>
      </c>
      <c r="GB2376" s="2">
        <v>42002.0</v>
      </c>
    </row>
    <row r="2377">
      <c r="A2377" s="1">
        <v>257000.0</v>
      </c>
      <c r="B2377" s="1" t="s">
        <v>185</v>
      </c>
      <c r="C2377" s="1" t="str">
        <f>"08753761"</f>
        <v>08753761</v>
      </c>
      <c r="D2377" s="1" t="s">
        <v>186</v>
      </c>
      <c r="F2377" s="1" t="str">
        <f>"8012"</f>
        <v>8012</v>
      </c>
      <c r="G2377" s="2">
        <v>41927.0</v>
      </c>
      <c r="H2377" s="1">
        <v>329000.0</v>
      </c>
      <c r="I2377" s="1">
        <v>192.0</v>
      </c>
      <c r="J2377" s="1">
        <v>259900.0</v>
      </c>
      <c r="K2377" s="2">
        <v>42118.0</v>
      </c>
      <c r="L2377" s="1">
        <v>192.0</v>
      </c>
      <c r="M2377" s="2">
        <v>42118.0</v>
      </c>
      <c r="N2377" s="1" t="s">
        <v>187</v>
      </c>
      <c r="O2377" s="2">
        <v>42146.0</v>
      </c>
      <c r="P2377" s="1">
        <v>26743.0</v>
      </c>
      <c r="Q2377" s="1">
        <v>8666.0</v>
      </c>
      <c r="R2377" s="1">
        <v>5000.0</v>
      </c>
      <c r="S2377" s="1">
        <v>4959.0</v>
      </c>
      <c r="T2377" s="1" t="s">
        <v>6267</v>
      </c>
      <c r="U2377" s="1" t="s">
        <v>320</v>
      </c>
      <c r="V2377" s="1" t="s">
        <v>190</v>
      </c>
      <c r="W2377" s="1">
        <v>60630.0</v>
      </c>
      <c r="Y2377" s="1" t="s">
        <v>21788</v>
      </c>
      <c r="Z2377" s="1">
        <v>1930.0</v>
      </c>
      <c r="AA2377" s="1" t="s">
        <v>192</v>
      </c>
      <c r="AB2377" s="1" t="s">
        <v>193</v>
      </c>
      <c r="AD2377" s="1" t="s">
        <v>194</v>
      </c>
      <c r="AE2377" s="1" t="s">
        <v>195</v>
      </c>
      <c r="AF2377" s="1" t="s">
        <v>196</v>
      </c>
      <c r="AH2377" s="1" t="s">
        <v>359</v>
      </c>
      <c r="AK2377" s="1">
        <v>9.0</v>
      </c>
      <c r="AL2377" s="1">
        <v>4.0</v>
      </c>
      <c r="AM2377" s="1">
        <v>2.0</v>
      </c>
      <c r="AN2377" s="1">
        <v>0.0</v>
      </c>
      <c r="AO2377" s="1" t="s">
        <v>229</v>
      </c>
      <c r="AQ2377" s="1" t="s">
        <v>198</v>
      </c>
      <c r="AR2377" s="1" t="s">
        <v>200</v>
      </c>
      <c r="AS2377" s="1" t="s">
        <v>199</v>
      </c>
      <c r="AT2377" s="1">
        <v>2.0</v>
      </c>
      <c r="AV2377" s="1" t="s">
        <v>200</v>
      </c>
      <c r="AW2377" s="1">
        <v>5288.97</v>
      </c>
      <c r="AX2377" s="1">
        <v>2013.0</v>
      </c>
      <c r="AY2377" s="1" t="s">
        <v>229</v>
      </c>
      <c r="AZ2377" s="1" t="s">
        <v>545</v>
      </c>
      <c r="BA2377" s="1" t="str">
        <f>"13094070020000"</f>
        <v>13094070020000</v>
      </c>
      <c r="BC2377" s="1">
        <v>2500.0</v>
      </c>
      <c r="BD2377" s="1">
        <v>257000.0</v>
      </c>
      <c r="BE2377" s="2">
        <v>41927.0</v>
      </c>
      <c r="BF2377" s="2" t="s">
        <v>21789</v>
      </c>
      <c r="BH2377" s="1">
        <v>0.0</v>
      </c>
      <c r="BK2377" s="1" t="s">
        <v>204</v>
      </c>
      <c r="BL2377" s="1" t="str">
        <f>"5100"</f>
        <v>5100</v>
      </c>
      <c r="BM2377" s="1" t="str">
        <f t="shared" si="1549"/>
        <v>0</v>
      </c>
      <c r="BN2377" s="1">
        <v>4959.0</v>
      </c>
      <c r="BO2377" s="1">
        <v>0.0</v>
      </c>
      <c r="BQ2377" s="1">
        <v>299.0</v>
      </c>
      <c r="BR2377" s="1">
        <v>299.0</v>
      </c>
      <c r="BS2377" s="1">
        <v>299.0</v>
      </c>
      <c r="BU2377" s="1" t="s">
        <v>208</v>
      </c>
      <c r="BV2377" s="1" t="s">
        <v>206</v>
      </c>
      <c r="BW2377" s="1" t="s">
        <v>207</v>
      </c>
      <c r="BY2377" s="1" t="s">
        <v>543</v>
      </c>
      <c r="BZ2377" s="1" t="s">
        <v>206</v>
      </c>
      <c r="CA2377" s="1" t="s">
        <v>207</v>
      </c>
      <c r="CC2377" s="1" t="s">
        <v>647</v>
      </c>
      <c r="CD2377" s="1" t="s">
        <v>206</v>
      </c>
      <c r="CE2377" s="1" t="s">
        <v>207</v>
      </c>
      <c r="CG2377" s="1" t="s">
        <v>265</v>
      </c>
      <c r="CH2377" s="1" t="s">
        <v>206</v>
      </c>
      <c r="CI2377" s="1" t="s">
        <v>207</v>
      </c>
      <c r="CK2377" s="1" t="s">
        <v>6797</v>
      </c>
      <c r="CL2377" s="1" t="s">
        <v>209</v>
      </c>
      <c r="CM2377" s="1" t="s">
        <v>210</v>
      </c>
      <c r="CO2377" s="1" t="s">
        <v>433</v>
      </c>
      <c r="CP2377" s="1" t="s">
        <v>209</v>
      </c>
      <c r="CQ2377" s="1" t="s">
        <v>210</v>
      </c>
      <c r="CS2377" s="1" t="s">
        <v>264</v>
      </c>
      <c r="CT2377" s="1" t="s">
        <v>206</v>
      </c>
      <c r="CU2377" s="1" t="s">
        <v>268</v>
      </c>
      <c r="CX2377" s="1" t="s">
        <v>204</v>
      </c>
      <c r="DA2377" s="1" t="s">
        <v>200</v>
      </c>
      <c r="DC2377" s="1" t="s">
        <v>785</v>
      </c>
      <c r="DE2377" s="1" t="s">
        <v>229</v>
      </c>
      <c r="DF2377" s="1" t="s">
        <v>21018</v>
      </c>
      <c r="DH2377" s="1" t="s">
        <v>220</v>
      </c>
      <c r="DJ2377" s="1" t="s">
        <v>222</v>
      </c>
      <c r="DL2377" s="1" t="s">
        <v>223</v>
      </c>
      <c r="DM2377" s="1" t="s">
        <v>1919</v>
      </c>
      <c r="DQ2377" s="1" t="s">
        <v>228</v>
      </c>
      <c r="DR2377" s="1" t="s">
        <v>229</v>
      </c>
      <c r="DV2377" s="1" t="s">
        <v>7291</v>
      </c>
      <c r="DW2377" s="1" t="s">
        <v>279</v>
      </c>
      <c r="DX2377" s="1" t="s">
        <v>234</v>
      </c>
      <c r="EA2377" s="1" t="s">
        <v>644</v>
      </c>
      <c r="EC2377" s="1" t="s">
        <v>645</v>
      </c>
      <c r="EG2377" s="1" t="s">
        <v>494</v>
      </c>
      <c r="EH2377" s="1" t="s">
        <v>450</v>
      </c>
      <c r="EL2377" s="1" t="s">
        <v>3596</v>
      </c>
      <c r="EM2377" s="1" t="s">
        <v>206</v>
      </c>
      <c r="EN2377" s="1" t="s">
        <v>210</v>
      </c>
      <c r="EP2377" s="1" t="s">
        <v>12686</v>
      </c>
      <c r="EQ2377" s="1" t="s">
        <v>42</v>
      </c>
      <c r="ER2377" s="1" t="s">
        <v>588</v>
      </c>
      <c r="EU2377" s="1" t="s">
        <v>238</v>
      </c>
      <c r="EY2377" s="1" t="s">
        <v>238</v>
      </c>
      <c r="FC2377" s="1" t="s">
        <v>238</v>
      </c>
      <c r="FF2377" s="1" t="s">
        <v>239</v>
      </c>
      <c r="FG2377" s="1" t="s">
        <v>192</v>
      </c>
      <c r="FH2377" s="1" t="s">
        <v>192</v>
      </c>
      <c r="FJ2377" s="1" t="s">
        <v>10500</v>
      </c>
      <c r="FK2377" s="1" t="s">
        <v>229</v>
      </c>
      <c r="FL2377" s="1" t="s">
        <v>10508</v>
      </c>
      <c r="FM2377" s="1">
        <v>15409.0</v>
      </c>
      <c r="FN2377" s="1" t="s">
        <v>10509</v>
      </c>
      <c r="FO2377" s="1" t="s">
        <v>10510</v>
      </c>
      <c r="FP2377" s="1">
        <v>130728.0</v>
      </c>
      <c r="FQ2377" s="1" t="s">
        <v>10509</v>
      </c>
      <c r="FU2377" s="1" t="s">
        <v>21790</v>
      </c>
      <c r="FV2377" s="1" t="s">
        <v>200</v>
      </c>
      <c r="FW2377" s="1" t="s">
        <v>4843</v>
      </c>
      <c r="FX2377" s="1" t="s">
        <v>246</v>
      </c>
      <c r="FZ2377" s="1" t="s">
        <v>229</v>
      </c>
      <c r="GA2377" s="1" t="s">
        <v>291</v>
      </c>
      <c r="GB2377" s="2">
        <v>42146.0</v>
      </c>
      <c r="GC2377" s="1" t="s">
        <v>21791</v>
      </c>
    </row>
    <row r="2378">
      <c r="A2378" s="1">
        <v>160000.0</v>
      </c>
      <c r="B2378" s="1" t="s">
        <v>185</v>
      </c>
      <c r="C2378" s="1" t="str">
        <f>"08758581"</f>
        <v>08758581</v>
      </c>
      <c r="D2378" s="1" t="s">
        <v>186</v>
      </c>
      <c r="F2378" s="1" t="str">
        <f>"8045"</f>
        <v>8045</v>
      </c>
      <c r="G2378" s="2">
        <v>41933.0</v>
      </c>
      <c r="H2378" s="1">
        <v>189900.0</v>
      </c>
      <c r="I2378" s="1">
        <v>158.0</v>
      </c>
      <c r="J2378" s="1">
        <v>169900.0</v>
      </c>
      <c r="K2378" s="2">
        <v>42090.0</v>
      </c>
      <c r="L2378" s="1">
        <v>158.0</v>
      </c>
      <c r="M2378" s="2">
        <v>42090.0</v>
      </c>
      <c r="N2378" s="1" t="s">
        <v>356</v>
      </c>
      <c r="O2378" s="2">
        <v>42090.0</v>
      </c>
      <c r="P2378" s="1">
        <v>165240.0</v>
      </c>
      <c r="Q2378" s="1">
        <v>40335.0</v>
      </c>
      <c r="S2378" s="1">
        <v>8507.0</v>
      </c>
      <c r="T2378" s="1" t="s">
        <v>18737</v>
      </c>
      <c r="U2378" s="1" t="s">
        <v>189</v>
      </c>
      <c r="V2378" s="1" t="s">
        <v>190</v>
      </c>
      <c r="W2378" s="1">
        <v>60619.0</v>
      </c>
      <c r="Y2378" s="1" t="s">
        <v>21792</v>
      </c>
      <c r="Z2378" s="1">
        <v>1946.0</v>
      </c>
      <c r="AA2378" s="1" t="s">
        <v>192</v>
      </c>
      <c r="AB2378" s="1" t="s">
        <v>193</v>
      </c>
      <c r="AD2378" s="1" t="s">
        <v>194</v>
      </c>
      <c r="AE2378" s="1" t="s">
        <v>195</v>
      </c>
      <c r="AF2378" s="1" t="s">
        <v>637</v>
      </c>
      <c r="AH2378" s="1" t="s">
        <v>741</v>
      </c>
      <c r="AI2378" s="1">
        <v>0.0861</v>
      </c>
      <c r="AK2378" s="1">
        <v>9.0</v>
      </c>
      <c r="AL2378" s="1">
        <v>3.0</v>
      </c>
      <c r="AM2378" s="1">
        <v>1.0</v>
      </c>
      <c r="AN2378" s="1">
        <v>1.0</v>
      </c>
      <c r="AO2378" s="1" t="s">
        <v>229</v>
      </c>
      <c r="AQ2378" s="1" t="s">
        <v>198</v>
      </c>
      <c r="AR2378" s="1" t="s">
        <v>200</v>
      </c>
      <c r="AS2378" s="1" t="s">
        <v>199</v>
      </c>
      <c r="AT2378" s="1">
        <v>2.0</v>
      </c>
      <c r="AV2378" s="1" t="s">
        <v>200</v>
      </c>
      <c r="AW2378" s="1">
        <v>2435.47</v>
      </c>
      <c r="AX2378" s="1">
        <v>2012.0</v>
      </c>
      <c r="AY2378" s="1" t="s">
        <v>387</v>
      </c>
      <c r="AZ2378" s="1" t="s">
        <v>200</v>
      </c>
      <c r="BA2378" s="1" t="str">
        <f>"20354090030000"</f>
        <v>20354090030000</v>
      </c>
      <c r="BC2378" s="1">
        <v>1800.0</v>
      </c>
      <c r="BD2378" s="1">
        <v>160000.0</v>
      </c>
      <c r="BE2378" s="2">
        <v>41933.0</v>
      </c>
      <c r="BF2378" s="2" t="s">
        <v>21793</v>
      </c>
      <c r="BH2378" s="1">
        <v>0.0</v>
      </c>
      <c r="BK2378" s="1" t="s">
        <v>204</v>
      </c>
      <c r="BL2378" s="1" t="str">
        <f>"0"</f>
        <v>0</v>
      </c>
      <c r="BM2378" s="1" t="str">
        <f>"1500"</f>
        <v>1500</v>
      </c>
      <c r="BN2378" s="1">
        <v>0.0</v>
      </c>
      <c r="BO2378" s="1">
        <v>8500.0</v>
      </c>
      <c r="BQ2378" s="1">
        <v>299.0</v>
      </c>
      <c r="BR2378" s="1">
        <v>299.0</v>
      </c>
      <c r="BS2378" s="1">
        <v>299.0</v>
      </c>
      <c r="BU2378" s="1" t="s">
        <v>663</v>
      </c>
      <c r="BV2378" s="1" t="s">
        <v>206</v>
      </c>
      <c r="BW2378" s="1" t="s">
        <v>207</v>
      </c>
      <c r="BX2378" s="1" t="s">
        <v>229</v>
      </c>
      <c r="BY2378" s="1" t="s">
        <v>1352</v>
      </c>
      <c r="BZ2378" s="1" t="s">
        <v>209</v>
      </c>
      <c r="CA2378" s="1" t="s">
        <v>207</v>
      </c>
      <c r="CB2378" s="1" t="s">
        <v>229</v>
      </c>
      <c r="CC2378" s="1" t="s">
        <v>663</v>
      </c>
      <c r="CD2378" s="1" t="s">
        <v>206</v>
      </c>
      <c r="CE2378" s="1" t="s">
        <v>207</v>
      </c>
      <c r="CF2378" s="1" t="s">
        <v>229</v>
      </c>
      <c r="CG2378" s="1" t="s">
        <v>663</v>
      </c>
      <c r="CH2378" s="1" t="s">
        <v>209</v>
      </c>
      <c r="CI2378" s="1" t="s">
        <v>207</v>
      </c>
      <c r="CJ2378" s="1" t="s">
        <v>229</v>
      </c>
      <c r="CK2378" s="1" t="s">
        <v>516</v>
      </c>
      <c r="CL2378" s="1" t="s">
        <v>209</v>
      </c>
      <c r="CM2378" s="1" t="s">
        <v>207</v>
      </c>
      <c r="CN2378" s="1" t="s">
        <v>229</v>
      </c>
      <c r="CO2378" s="1" t="s">
        <v>212</v>
      </c>
      <c r="CP2378" s="1" t="s">
        <v>42</v>
      </c>
      <c r="CQ2378" s="1" t="s">
        <v>301</v>
      </c>
      <c r="CR2378" s="1" t="s">
        <v>229</v>
      </c>
      <c r="CS2378" s="1" t="s">
        <v>663</v>
      </c>
      <c r="CT2378" s="1" t="s">
        <v>206</v>
      </c>
      <c r="CU2378" s="1" t="s">
        <v>268</v>
      </c>
      <c r="CV2378" s="1" t="s">
        <v>229</v>
      </c>
      <c r="CW2378" s="1" t="s">
        <v>393</v>
      </c>
      <c r="CX2378" s="1" t="s">
        <v>42</v>
      </c>
      <c r="CY2378" s="1" t="s">
        <v>268</v>
      </c>
      <c r="CZ2378" s="1" t="s">
        <v>229</v>
      </c>
      <c r="DA2378" s="1" t="s">
        <v>200</v>
      </c>
      <c r="DC2378" s="1" t="s">
        <v>702</v>
      </c>
      <c r="DD2378" s="1" t="s">
        <v>618</v>
      </c>
      <c r="DE2378" s="1" t="s">
        <v>273</v>
      </c>
      <c r="DF2378" s="1" t="s">
        <v>219</v>
      </c>
      <c r="DH2378" s="1" t="s">
        <v>220</v>
      </c>
      <c r="DI2378" s="1" t="s">
        <v>366</v>
      </c>
      <c r="DJ2378" s="1" t="s">
        <v>222</v>
      </c>
      <c r="DL2378" s="1" t="s">
        <v>224</v>
      </c>
      <c r="DM2378" s="1" t="s">
        <v>229</v>
      </c>
      <c r="DP2378" s="1" t="s">
        <v>340</v>
      </c>
      <c r="DQ2378" s="1" t="s">
        <v>228</v>
      </c>
      <c r="DR2378" s="1" t="s">
        <v>229</v>
      </c>
      <c r="DS2378" s="1" t="s">
        <v>401</v>
      </c>
      <c r="DV2378" s="1" t="s">
        <v>557</v>
      </c>
      <c r="DW2378" s="1" t="s">
        <v>279</v>
      </c>
      <c r="DX2378" s="1" t="s">
        <v>234</v>
      </c>
      <c r="DY2378" s="1" t="s">
        <v>21794</v>
      </c>
      <c r="DZ2378" s="1" t="s">
        <v>310</v>
      </c>
      <c r="EC2378" s="1" t="s">
        <v>237</v>
      </c>
      <c r="EE2378" s="1" t="s">
        <v>493</v>
      </c>
      <c r="EG2378" s="1" t="s">
        <v>557</v>
      </c>
      <c r="EL2378" s="1" t="s">
        <v>264</v>
      </c>
      <c r="EM2378" s="1" t="s">
        <v>42</v>
      </c>
      <c r="EN2378" s="1" t="s">
        <v>301</v>
      </c>
      <c r="EO2378" s="1" t="s">
        <v>229</v>
      </c>
      <c r="EQ2378" s="1" t="s">
        <v>238</v>
      </c>
      <c r="EU2378" s="1" t="s">
        <v>238</v>
      </c>
      <c r="EY2378" s="1" t="s">
        <v>238</v>
      </c>
      <c r="FC2378" s="1" t="s">
        <v>238</v>
      </c>
      <c r="FF2378" s="1" t="s">
        <v>239</v>
      </c>
      <c r="FG2378" s="1" t="s">
        <v>192</v>
      </c>
      <c r="FH2378" s="1" t="s">
        <v>192</v>
      </c>
      <c r="FJ2378" s="1" t="s">
        <v>2552</v>
      </c>
      <c r="FK2378" s="1" t="s">
        <v>229</v>
      </c>
      <c r="FL2378" s="1" t="s">
        <v>21795</v>
      </c>
      <c r="FM2378" s="1">
        <v>12469.0</v>
      </c>
      <c r="FN2378" s="1" t="s">
        <v>21796</v>
      </c>
      <c r="FO2378" s="1" t="s">
        <v>21797</v>
      </c>
      <c r="FP2378" s="1">
        <v>126351.0</v>
      </c>
      <c r="FQ2378" s="1" t="s">
        <v>21798</v>
      </c>
      <c r="FU2378" s="1" t="s">
        <v>2030</v>
      </c>
      <c r="FV2378" s="1" t="s">
        <v>200</v>
      </c>
      <c r="FW2378" s="1" t="s">
        <v>530</v>
      </c>
      <c r="FX2378" s="1" t="s">
        <v>655</v>
      </c>
      <c r="FZ2378" s="1" t="s">
        <v>229</v>
      </c>
      <c r="GA2378" s="1" t="s">
        <v>291</v>
      </c>
      <c r="GB2378" s="2">
        <v>42093.0</v>
      </c>
      <c r="GC2378" s="1" t="s">
        <v>21799</v>
      </c>
    </row>
    <row r="2379">
      <c r="A2379" s="1">
        <v>79400.0</v>
      </c>
      <c r="B2379" s="1" t="s">
        <v>185</v>
      </c>
      <c r="C2379" s="1" t="str">
        <f>"08756441"</f>
        <v>08756441</v>
      </c>
      <c r="D2379" s="1" t="s">
        <v>186</v>
      </c>
      <c r="F2379" s="1" t="str">
        <f>"8020"</f>
        <v>8020</v>
      </c>
      <c r="G2379" s="2">
        <v>41930.0</v>
      </c>
      <c r="H2379" s="1">
        <v>79900.0</v>
      </c>
      <c r="I2379" s="1">
        <v>8.0</v>
      </c>
      <c r="J2379" s="1">
        <v>79900.0</v>
      </c>
      <c r="K2379" s="2">
        <v>41937.0</v>
      </c>
      <c r="L2379" s="1">
        <v>8.0</v>
      </c>
      <c r="M2379" s="2">
        <v>41937.0</v>
      </c>
      <c r="N2379" s="1" t="s">
        <v>249</v>
      </c>
      <c r="O2379" s="2">
        <v>41971.0</v>
      </c>
      <c r="P2379" s="1">
        <v>125545.0</v>
      </c>
      <c r="Q2379" s="1">
        <v>15791.0</v>
      </c>
      <c r="S2379" s="1">
        <v>2416.0</v>
      </c>
      <c r="T2379" s="1" t="s">
        <v>3314</v>
      </c>
      <c r="U2379" s="1" t="s">
        <v>189</v>
      </c>
      <c r="V2379" s="1" t="s">
        <v>190</v>
      </c>
      <c r="W2379" s="1">
        <v>60639.0</v>
      </c>
      <c r="Y2379" s="1" t="s">
        <v>21800</v>
      </c>
      <c r="Z2379" s="1">
        <v>1900.0</v>
      </c>
      <c r="AA2379" s="1" t="s">
        <v>192</v>
      </c>
      <c r="AB2379" s="1" t="s">
        <v>193</v>
      </c>
      <c r="AD2379" s="1" t="s">
        <v>194</v>
      </c>
      <c r="AE2379" s="1" t="s">
        <v>195</v>
      </c>
      <c r="AF2379" s="1" t="s">
        <v>196</v>
      </c>
      <c r="AH2379" s="1" t="s">
        <v>359</v>
      </c>
      <c r="AI2379" s="1">
        <v>0.0717</v>
      </c>
      <c r="AK2379" s="1">
        <v>8.0</v>
      </c>
      <c r="AL2379" s="1">
        <v>4.0</v>
      </c>
      <c r="AM2379" s="1">
        <v>3.0</v>
      </c>
      <c r="AN2379" s="1">
        <v>0.0</v>
      </c>
      <c r="AO2379" s="1" t="s">
        <v>229</v>
      </c>
      <c r="AQ2379" s="1" t="s">
        <v>198</v>
      </c>
      <c r="AR2379" s="1" t="s">
        <v>192</v>
      </c>
      <c r="AS2379" s="1" t="s">
        <v>199</v>
      </c>
      <c r="AT2379" s="1">
        <v>2.0</v>
      </c>
      <c r="AV2379" s="1" t="s">
        <v>200</v>
      </c>
      <c r="AW2379" s="1">
        <v>3249.28</v>
      </c>
      <c r="AX2379" s="1">
        <v>2012.0</v>
      </c>
      <c r="AY2379" s="1" t="s">
        <v>387</v>
      </c>
      <c r="AZ2379" s="1" t="s">
        <v>200</v>
      </c>
      <c r="BA2379" s="1" t="str">
        <f>"13274190270000"</f>
        <v>13274190270000</v>
      </c>
      <c r="BB2379" s="1" t="s">
        <v>200</v>
      </c>
      <c r="BC2379" s="1">
        <v>830.0</v>
      </c>
      <c r="BD2379" s="1">
        <v>79400.0</v>
      </c>
      <c r="BE2379" s="2">
        <v>41930.0</v>
      </c>
      <c r="BF2379" s="2" t="s">
        <v>21801</v>
      </c>
      <c r="BH2379" s="1">
        <v>0.0</v>
      </c>
      <c r="BK2379" s="1" t="s">
        <v>204</v>
      </c>
      <c r="BL2379" s="1" t="str">
        <f>"2416"</f>
        <v>2416</v>
      </c>
      <c r="BM2379" s="1" t="str">
        <f>"0"</f>
        <v>0</v>
      </c>
      <c r="BN2379" s="1">
        <v>4200.0</v>
      </c>
      <c r="BO2379" s="1">
        <v>0.0</v>
      </c>
      <c r="BQ2379" s="1">
        <v>299.0</v>
      </c>
      <c r="BR2379" s="1">
        <v>299.0</v>
      </c>
      <c r="BS2379" s="1">
        <v>299.0</v>
      </c>
      <c r="BU2379" s="1" t="s">
        <v>302</v>
      </c>
      <c r="BV2379" s="1" t="s">
        <v>206</v>
      </c>
      <c r="BW2379" s="1" t="s">
        <v>207</v>
      </c>
      <c r="BY2379" s="1" t="s">
        <v>1418</v>
      </c>
      <c r="BZ2379" s="1" t="s">
        <v>206</v>
      </c>
      <c r="CA2379" s="1" t="s">
        <v>210</v>
      </c>
      <c r="CC2379" s="1" t="s">
        <v>363</v>
      </c>
      <c r="CD2379" s="1" t="s">
        <v>206</v>
      </c>
      <c r="CE2379" s="1" t="s">
        <v>207</v>
      </c>
      <c r="CG2379" s="1" t="s">
        <v>1418</v>
      </c>
      <c r="CH2379" s="1" t="s">
        <v>206</v>
      </c>
      <c r="CI2379" s="1" t="s">
        <v>210</v>
      </c>
      <c r="CK2379" s="1" t="s">
        <v>269</v>
      </c>
      <c r="CL2379" s="1" t="s">
        <v>206</v>
      </c>
      <c r="CO2379" s="1" t="s">
        <v>269</v>
      </c>
      <c r="CP2379" s="1" t="s">
        <v>206</v>
      </c>
      <c r="CS2379" s="1" t="s">
        <v>2082</v>
      </c>
      <c r="CT2379" s="1" t="s">
        <v>206</v>
      </c>
      <c r="CU2379" s="1" t="s">
        <v>617</v>
      </c>
      <c r="CW2379" s="1" t="s">
        <v>300</v>
      </c>
      <c r="CX2379" s="1" t="s">
        <v>209</v>
      </c>
      <c r="CY2379" s="1" t="s">
        <v>207</v>
      </c>
      <c r="DA2379" s="1" t="s">
        <v>200</v>
      </c>
      <c r="DC2379" s="1" t="s">
        <v>642</v>
      </c>
      <c r="DE2379" s="1" t="s">
        <v>229</v>
      </c>
      <c r="DF2379" s="1" t="s">
        <v>905</v>
      </c>
      <c r="DH2379" s="1" t="s">
        <v>307</v>
      </c>
      <c r="DJ2379" s="1" t="s">
        <v>222</v>
      </c>
      <c r="DK2379" s="1" t="s">
        <v>224</v>
      </c>
      <c r="DL2379" s="1" t="s">
        <v>858</v>
      </c>
      <c r="DM2379" s="1" t="s">
        <v>229</v>
      </c>
      <c r="DQ2379" s="1" t="s">
        <v>718</v>
      </c>
      <c r="DR2379" s="1" t="s">
        <v>229</v>
      </c>
      <c r="DS2379" s="1" t="s">
        <v>230</v>
      </c>
      <c r="DV2379" s="1" t="s">
        <v>232</v>
      </c>
      <c r="DW2379" s="1" t="s">
        <v>588</v>
      </c>
      <c r="DX2379" s="1" t="s">
        <v>234</v>
      </c>
      <c r="EA2379" s="1" t="s">
        <v>644</v>
      </c>
      <c r="EC2379" s="1" t="s">
        <v>645</v>
      </c>
      <c r="EM2379" s="1" t="s">
        <v>238</v>
      </c>
      <c r="EQ2379" s="1" t="s">
        <v>238</v>
      </c>
      <c r="EU2379" s="1" t="s">
        <v>238</v>
      </c>
      <c r="EY2379" s="1" t="s">
        <v>238</v>
      </c>
      <c r="FC2379" s="1" t="s">
        <v>238</v>
      </c>
      <c r="FF2379" s="1" t="s">
        <v>229</v>
      </c>
      <c r="FG2379" s="1" t="s">
        <v>200</v>
      </c>
      <c r="FH2379" s="1" t="s">
        <v>200</v>
      </c>
      <c r="FJ2379" s="1" t="s">
        <v>770</v>
      </c>
      <c r="FK2379" s="1" t="s">
        <v>229</v>
      </c>
      <c r="FL2379" s="1" t="s">
        <v>6447</v>
      </c>
      <c r="FM2379" s="1">
        <v>84036.0</v>
      </c>
      <c r="FN2379" s="1" t="s">
        <v>6448</v>
      </c>
      <c r="FO2379" s="1" t="s">
        <v>6449</v>
      </c>
      <c r="FP2379" s="1">
        <v>104172.0</v>
      </c>
      <c r="FQ2379" s="1" t="s">
        <v>6448</v>
      </c>
      <c r="FR2379" s="1">
        <v>874466.0</v>
      </c>
      <c r="FU2379" s="1" t="s">
        <v>1438</v>
      </c>
      <c r="FV2379" s="1" t="s">
        <v>200</v>
      </c>
      <c r="FW2379" s="1" t="s">
        <v>13236</v>
      </c>
      <c r="FX2379" s="1" t="s">
        <v>238</v>
      </c>
      <c r="FZ2379" s="1" t="s">
        <v>229</v>
      </c>
      <c r="GA2379" s="1" t="s">
        <v>291</v>
      </c>
      <c r="GB2379" s="2">
        <v>41972.0</v>
      </c>
      <c r="GC2379" s="1" t="s">
        <v>21802</v>
      </c>
    </row>
    <row r="2380">
      <c r="A2380" s="1">
        <v>800000.0</v>
      </c>
      <c r="B2380" s="1" t="s">
        <v>185</v>
      </c>
      <c r="C2380" s="1" t="str">
        <f>"08756117"</f>
        <v>08756117</v>
      </c>
      <c r="D2380" s="1" t="s">
        <v>186</v>
      </c>
      <c r="F2380" s="1" t="str">
        <f>"8041"</f>
        <v>8041</v>
      </c>
      <c r="G2380" s="2">
        <v>41930.0</v>
      </c>
      <c r="H2380" s="1">
        <v>875000.0</v>
      </c>
      <c r="I2380" s="1">
        <v>78.0</v>
      </c>
      <c r="J2380" s="1">
        <v>875000.0</v>
      </c>
      <c r="K2380" s="2">
        <v>42006.0</v>
      </c>
      <c r="L2380" s="1">
        <v>78.0</v>
      </c>
      <c r="M2380" s="2">
        <v>42006.0</v>
      </c>
      <c r="N2380" s="1" t="s">
        <v>187</v>
      </c>
      <c r="O2380" s="2">
        <v>42041.0</v>
      </c>
      <c r="P2380" s="1">
        <v>101509.0</v>
      </c>
      <c r="Q2380" s="1">
        <v>12937.0</v>
      </c>
      <c r="S2380" s="1">
        <v>5209.0</v>
      </c>
      <c r="T2380" s="1" t="s">
        <v>8960</v>
      </c>
      <c r="U2380" s="1" t="s">
        <v>189</v>
      </c>
      <c r="V2380" s="1" t="s">
        <v>190</v>
      </c>
      <c r="W2380" s="1">
        <v>60615.0</v>
      </c>
      <c r="Y2380" s="1" t="s">
        <v>21803</v>
      </c>
      <c r="Z2380" s="1">
        <v>1890.0</v>
      </c>
      <c r="AA2380" s="1" t="s">
        <v>192</v>
      </c>
      <c r="AB2380" s="1" t="s">
        <v>193</v>
      </c>
      <c r="AD2380" s="1" t="s">
        <v>194</v>
      </c>
      <c r="AE2380" s="1" t="s">
        <v>195</v>
      </c>
      <c r="AF2380" s="1" t="s">
        <v>637</v>
      </c>
      <c r="AH2380" s="1" t="s">
        <v>16984</v>
      </c>
      <c r="AI2380" s="1">
        <v>0.0513</v>
      </c>
      <c r="AK2380" s="1">
        <v>8.0</v>
      </c>
      <c r="AL2380" s="1">
        <v>4.0</v>
      </c>
      <c r="AM2380" s="1">
        <v>3.0</v>
      </c>
      <c r="AN2380" s="1">
        <v>1.0</v>
      </c>
      <c r="AO2380" s="1" t="s">
        <v>198</v>
      </c>
      <c r="AQ2380" s="1" t="s">
        <v>198</v>
      </c>
      <c r="AR2380" s="1" t="s">
        <v>200</v>
      </c>
      <c r="AS2380" s="1" t="s">
        <v>828</v>
      </c>
      <c r="AU2380" s="1">
        <v>1.0</v>
      </c>
      <c r="AV2380" s="1" t="s">
        <v>200</v>
      </c>
      <c r="AW2380" s="1">
        <v>7928.1</v>
      </c>
      <c r="AX2380" s="1">
        <v>2012.0</v>
      </c>
      <c r="AZ2380" s="1" t="s">
        <v>200</v>
      </c>
      <c r="BA2380" s="1" t="str">
        <f>"20114090260000"</f>
        <v>20114090260000</v>
      </c>
      <c r="BC2380" s="1">
        <v>2400.0</v>
      </c>
      <c r="BD2380" s="1">
        <v>800000.0</v>
      </c>
      <c r="BE2380" s="2">
        <v>41929.0</v>
      </c>
      <c r="BF2380" s="2" t="s">
        <v>21804</v>
      </c>
      <c r="BH2380" s="1">
        <v>0.0</v>
      </c>
      <c r="BK2380" s="1" t="s">
        <v>204</v>
      </c>
      <c r="BL2380" s="1" t="str">
        <f t="shared" ref="BL2380:BL2381" si="1550">"0"</f>
        <v>0</v>
      </c>
      <c r="BM2380" s="1" t="str">
        <f>"1200"</f>
        <v>1200</v>
      </c>
      <c r="BN2380" s="1">
        <v>0.0</v>
      </c>
      <c r="BO2380" s="1">
        <v>5209.0</v>
      </c>
      <c r="BQ2380" s="1">
        <v>299.0</v>
      </c>
      <c r="BR2380" s="1">
        <v>299.0</v>
      </c>
      <c r="BS2380" s="1">
        <v>299.0</v>
      </c>
      <c r="BU2380" s="1" t="s">
        <v>1426</v>
      </c>
      <c r="BV2380" s="1" t="s">
        <v>206</v>
      </c>
      <c r="BY2380" s="1" t="s">
        <v>480</v>
      </c>
      <c r="BZ2380" s="1" t="s">
        <v>391</v>
      </c>
      <c r="CC2380" s="1" t="s">
        <v>582</v>
      </c>
      <c r="CD2380" s="1" t="s">
        <v>206</v>
      </c>
      <c r="CG2380" s="1" t="s">
        <v>329</v>
      </c>
      <c r="CH2380" s="1" t="s">
        <v>209</v>
      </c>
      <c r="CK2380" s="1" t="s">
        <v>363</v>
      </c>
      <c r="CL2380" s="1" t="s">
        <v>209</v>
      </c>
      <c r="CO2380" s="1" t="s">
        <v>265</v>
      </c>
      <c r="CP2380" s="1" t="s">
        <v>209</v>
      </c>
      <c r="CS2380" s="1" t="s">
        <v>497</v>
      </c>
      <c r="CT2380" s="1" t="s">
        <v>206</v>
      </c>
      <c r="CW2380" s="1" t="s">
        <v>623</v>
      </c>
      <c r="CX2380" s="1" t="s">
        <v>206</v>
      </c>
      <c r="DA2380" s="1" t="s">
        <v>200</v>
      </c>
      <c r="DC2380" s="1" t="s">
        <v>642</v>
      </c>
      <c r="DE2380" s="1" t="s">
        <v>273</v>
      </c>
      <c r="DF2380" s="1" t="s">
        <v>619</v>
      </c>
      <c r="DH2380" s="1" t="s">
        <v>365</v>
      </c>
      <c r="DJ2380" s="1" t="s">
        <v>222</v>
      </c>
      <c r="DL2380" s="1" t="s">
        <v>858</v>
      </c>
      <c r="DM2380" s="1" t="s">
        <v>21783</v>
      </c>
      <c r="DQ2380" s="1" t="s">
        <v>228</v>
      </c>
      <c r="DR2380" s="1" t="s">
        <v>229</v>
      </c>
      <c r="DV2380" s="1" t="s">
        <v>232</v>
      </c>
      <c r="DW2380" s="1" t="s">
        <v>279</v>
      </c>
      <c r="DX2380" s="1" t="s">
        <v>234</v>
      </c>
      <c r="EC2380" s="1" t="s">
        <v>406</v>
      </c>
      <c r="EM2380" s="1" t="s">
        <v>238</v>
      </c>
      <c r="EQ2380" s="1" t="s">
        <v>238</v>
      </c>
      <c r="EU2380" s="1" t="s">
        <v>238</v>
      </c>
      <c r="EY2380" s="1" t="s">
        <v>238</v>
      </c>
      <c r="FC2380" s="1" t="s">
        <v>238</v>
      </c>
      <c r="FF2380" s="1" t="s">
        <v>239</v>
      </c>
      <c r="FG2380" s="1" t="s">
        <v>192</v>
      </c>
      <c r="FH2380" s="1" t="s">
        <v>192</v>
      </c>
      <c r="FJ2380" s="1" t="s">
        <v>8754</v>
      </c>
      <c r="FK2380" s="1" t="s">
        <v>229</v>
      </c>
      <c r="FL2380" s="1" t="s">
        <v>19476</v>
      </c>
      <c r="FM2380" s="1">
        <v>85175.0</v>
      </c>
      <c r="FN2380" s="1" t="s">
        <v>19477</v>
      </c>
      <c r="FO2380" s="1" t="s">
        <v>21805</v>
      </c>
      <c r="FP2380" s="1">
        <v>173389.0</v>
      </c>
      <c r="FQ2380" s="1" t="s">
        <v>21806</v>
      </c>
      <c r="FU2380" s="1" t="s">
        <v>21807</v>
      </c>
      <c r="FV2380" s="1" t="s">
        <v>200</v>
      </c>
      <c r="FW2380" s="1" t="s">
        <v>4583</v>
      </c>
      <c r="FX2380" s="1" t="s">
        <v>655</v>
      </c>
      <c r="FZ2380" s="1" t="s">
        <v>229</v>
      </c>
      <c r="GA2380" s="1" t="s">
        <v>291</v>
      </c>
      <c r="GB2380" s="2">
        <v>42043.0</v>
      </c>
    </row>
    <row r="2381">
      <c r="A2381" s="1">
        <v>302000.0</v>
      </c>
      <c r="B2381" s="1" t="s">
        <v>185</v>
      </c>
      <c r="C2381" s="1" t="str">
        <f>"08756596"</f>
        <v>08756596</v>
      </c>
      <c r="D2381" s="1" t="s">
        <v>186</v>
      </c>
      <c r="F2381" s="1" t="str">
        <f>"8075"</f>
        <v>8075</v>
      </c>
      <c r="G2381" s="2">
        <v>41931.0</v>
      </c>
      <c r="H2381" s="1">
        <v>345000.0</v>
      </c>
      <c r="I2381" s="1">
        <v>231.0</v>
      </c>
      <c r="J2381" s="1">
        <v>329500.0</v>
      </c>
      <c r="K2381" s="2">
        <v>42039.0</v>
      </c>
      <c r="L2381" s="1">
        <v>109.0</v>
      </c>
      <c r="M2381" s="2">
        <v>42039.0</v>
      </c>
      <c r="N2381" s="1" t="s">
        <v>356</v>
      </c>
      <c r="O2381" s="2">
        <v>42062.0</v>
      </c>
      <c r="P2381" s="1">
        <v>840111.0</v>
      </c>
      <c r="Q2381" s="1">
        <v>18426.0</v>
      </c>
      <c r="S2381" s="1">
        <v>10920.0</v>
      </c>
      <c r="T2381" s="1" t="s">
        <v>10079</v>
      </c>
      <c r="U2381" s="1" t="s">
        <v>189</v>
      </c>
      <c r="V2381" s="1" t="s">
        <v>190</v>
      </c>
      <c r="W2381" s="1">
        <v>60643.0</v>
      </c>
      <c r="Y2381" s="1" t="s">
        <v>21808</v>
      </c>
      <c r="Z2381" s="1">
        <v>1891.0</v>
      </c>
      <c r="AA2381" s="1" t="s">
        <v>192</v>
      </c>
      <c r="AB2381" s="1" t="s">
        <v>193</v>
      </c>
      <c r="AD2381" s="1" t="s">
        <v>194</v>
      </c>
      <c r="AE2381" s="1" t="s">
        <v>195</v>
      </c>
      <c r="AF2381" s="1" t="s">
        <v>659</v>
      </c>
      <c r="AH2381" s="1" t="s">
        <v>21809</v>
      </c>
      <c r="AI2381" s="1">
        <v>0.2261</v>
      </c>
      <c r="AK2381" s="1">
        <v>9.0</v>
      </c>
      <c r="AL2381" s="1">
        <v>4.0</v>
      </c>
      <c r="AM2381" s="1">
        <v>1.0</v>
      </c>
      <c r="AN2381" s="1">
        <v>1.0</v>
      </c>
      <c r="AO2381" s="1" t="s">
        <v>1261</v>
      </c>
      <c r="AP2381" s="1">
        <v>1.0</v>
      </c>
      <c r="AQ2381" s="1" t="s">
        <v>198</v>
      </c>
      <c r="AR2381" s="1" t="s">
        <v>200</v>
      </c>
      <c r="AS2381" s="1" t="s">
        <v>510</v>
      </c>
      <c r="AT2381" s="1">
        <v>2.5</v>
      </c>
      <c r="AU2381" s="1">
        <v>2.0</v>
      </c>
      <c r="AV2381" s="1" t="s">
        <v>200</v>
      </c>
      <c r="AW2381" s="1">
        <v>5174.0</v>
      </c>
      <c r="AX2381" s="1">
        <v>2012.0</v>
      </c>
      <c r="AY2381" s="1" t="s">
        <v>1179</v>
      </c>
      <c r="AZ2381" s="1" t="s">
        <v>200</v>
      </c>
      <c r="BA2381" s="1" t="str">
        <f>"25183110260000"</f>
        <v>25183110260000</v>
      </c>
      <c r="BB2381" s="1" t="s">
        <v>200</v>
      </c>
      <c r="BC2381" s="1">
        <v>2887.0</v>
      </c>
      <c r="BD2381" s="1">
        <v>302000.0</v>
      </c>
      <c r="BE2381" s="2">
        <v>41931.0</v>
      </c>
      <c r="BF2381" s="2" t="s">
        <v>21810</v>
      </c>
      <c r="BG2381" s="1" t="s">
        <v>6941</v>
      </c>
      <c r="BH2381" s="1">
        <v>0.0</v>
      </c>
      <c r="BI2381" s="1" t="s">
        <v>6941</v>
      </c>
      <c r="BJ2381" s="1" t="s">
        <v>5825</v>
      </c>
      <c r="BK2381" s="1" t="s">
        <v>204</v>
      </c>
      <c r="BL2381" s="1" t="str">
        <f t="shared" si="1550"/>
        <v>0</v>
      </c>
      <c r="BM2381" s="1" t="str">
        <f>"0"</f>
        <v>0</v>
      </c>
      <c r="BN2381" s="1">
        <v>2000.0</v>
      </c>
      <c r="BO2381" s="1">
        <v>10900.0</v>
      </c>
      <c r="BQ2381" s="1">
        <v>299.0</v>
      </c>
      <c r="BR2381" s="1">
        <v>299.0</v>
      </c>
      <c r="BS2381" s="1">
        <v>299.0</v>
      </c>
      <c r="BU2381" s="1" t="s">
        <v>2849</v>
      </c>
      <c r="BV2381" s="1" t="s">
        <v>206</v>
      </c>
      <c r="BW2381" s="1" t="s">
        <v>207</v>
      </c>
      <c r="BX2381" s="1" t="s">
        <v>1549</v>
      </c>
      <c r="BY2381" s="1" t="s">
        <v>830</v>
      </c>
      <c r="BZ2381" s="1" t="s">
        <v>209</v>
      </c>
      <c r="CA2381" s="1" t="s">
        <v>207</v>
      </c>
      <c r="CB2381" s="1" t="s">
        <v>1549</v>
      </c>
      <c r="CC2381" s="1" t="s">
        <v>1567</v>
      </c>
      <c r="CD2381" s="1" t="s">
        <v>206</v>
      </c>
      <c r="CE2381" s="1" t="s">
        <v>207</v>
      </c>
      <c r="CF2381" s="1" t="s">
        <v>1549</v>
      </c>
      <c r="CG2381" s="1" t="s">
        <v>1417</v>
      </c>
      <c r="CH2381" s="1" t="s">
        <v>206</v>
      </c>
      <c r="CI2381" s="1" t="s">
        <v>207</v>
      </c>
      <c r="CJ2381" s="1" t="s">
        <v>1549</v>
      </c>
      <c r="CK2381" s="1" t="s">
        <v>262</v>
      </c>
      <c r="CL2381" s="1" t="s">
        <v>209</v>
      </c>
      <c r="CM2381" s="1" t="s">
        <v>207</v>
      </c>
      <c r="CN2381" s="1" t="s">
        <v>1549</v>
      </c>
      <c r="CO2381" s="1" t="s">
        <v>1043</v>
      </c>
      <c r="CP2381" s="1" t="s">
        <v>209</v>
      </c>
      <c r="CQ2381" s="1" t="s">
        <v>207</v>
      </c>
      <c r="CR2381" s="1" t="s">
        <v>1549</v>
      </c>
      <c r="CS2381" s="1" t="s">
        <v>584</v>
      </c>
      <c r="CT2381" s="1" t="s">
        <v>206</v>
      </c>
      <c r="CU2381" s="1" t="s">
        <v>617</v>
      </c>
      <c r="CV2381" s="1" t="s">
        <v>1549</v>
      </c>
      <c r="CX2381" s="1" t="s">
        <v>204</v>
      </c>
      <c r="DA2381" s="1" t="s">
        <v>200</v>
      </c>
      <c r="DC2381" s="1" t="s">
        <v>642</v>
      </c>
      <c r="DD2381" s="1" t="s">
        <v>518</v>
      </c>
      <c r="DE2381" s="1" t="s">
        <v>1905</v>
      </c>
      <c r="DF2381" s="1" t="s">
        <v>619</v>
      </c>
      <c r="DG2381" s="1" t="s">
        <v>337</v>
      </c>
      <c r="DH2381" s="1" t="s">
        <v>307</v>
      </c>
      <c r="DI2381" s="1" t="s">
        <v>703</v>
      </c>
      <c r="DJ2381" s="1" t="s">
        <v>222</v>
      </c>
      <c r="DL2381" s="1" t="s">
        <v>223</v>
      </c>
      <c r="DM2381" s="1" t="s">
        <v>229</v>
      </c>
      <c r="DP2381" s="1" t="s">
        <v>340</v>
      </c>
      <c r="DQ2381" s="1" t="s">
        <v>228</v>
      </c>
      <c r="DR2381" s="1" t="s">
        <v>229</v>
      </c>
      <c r="DS2381" s="1" t="s">
        <v>401</v>
      </c>
      <c r="DU2381" s="1" t="s">
        <v>2070</v>
      </c>
      <c r="DV2381" s="1" t="s">
        <v>21811</v>
      </c>
      <c r="DW2381" s="1" t="s">
        <v>3576</v>
      </c>
      <c r="DX2381" s="1" t="s">
        <v>234</v>
      </c>
      <c r="DY2381" s="1" t="s">
        <v>704</v>
      </c>
      <c r="DZ2381" s="1" t="s">
        <v>766</v>
      </c>
      <c r="EA2381" s="1" t="s">
        <v>344</v>
      </c>
      <c r="EB2381" s="1" t="s">
        <v>345</v>
      </c>
      <c r="EC2381" s="1" t="s">
        <v>237</v>
      </c>
      <c r="ED2381" s="1" t="s">
        <v>14964</v>
      </c>
      <c r="EF2381" s="1" t="s">
        <v>7505</v>
      </c>
      <c r="EG2381" s="1" t="s">
        <v>598</v>
      </c>
      <c r="EH2381" s="1" t="s">
        <v>5798</v>
      </c>
      <c r="EI2381" s="1" t="s">
        <v>374</v>
      </c>
      <c r="EJ2381" s="1" t="s">
        <v>2877</v>
      </c>
      <c r="EK2381" s="1" t="s">
        <v>408</v>
      </c>
      <c r="EL2381" s="1" t="s">
        <v>303</v>
      </c>
      <c r="EM2381" s="1" t="s">
        <v>209</v>
      </c>
      <c r="EN2381" s="1" t="s">
        <v>207</v>
      </c>
      <c r="EO2381" s="1" t="s">
        <v>1549</v>
      </c>
      <c r="EP2381" s="1" t="s">
        <v>3054</v>
      </c>
      <c r="EQ2381" s="1" t="s">
        <v>209</v>
      </c>
      <c r="ET2381" s="1" t="s">
        <v>21812</v>
      </c>
      <c r="EU2381" s="1" t="s">
        <v>206</v>
      </c>
      <c r="EV2381" s="1" t="s">
        <v>207</v>
      </c>
      <c r="EW2381" s="1" t="s">
        <v>1549</v>
      </c>
      <c r="EX2381" s="1" t="s">
        <v>21813</v>
      </c>
      <c r="EY2381" s="1" t="s">
        <v>206</v>
      </c>
      <c r="EZ2381" s="1" t="s">
        <v>617</v>
      </c>
      <c r="FA2381" s="1" t="s">
        <v>1549</v>
      </c>
      <c r="FB2381" s="1" t="s">
        <v>2242</v>
      </c>
      <c r="FC2381" s="1" t="s">
        <v>206</v>
      </c>
      <c r="FD2381" s="1" t="s">
        <v>207</v>
      </c>
      <c r="FE2381" s="1" t="s">
        <v>1549</v>
      </c>
      <c r="FF2381" s="1" t="s">
        <v>239</v>
      </c>
      <c r="FG2381" s="1" t="s">
        <v>200</v>
      </c>
      <c r="FH2381" s="1" t="s">
        <v>192</v>
      </c>
      <c r="FJ2381" s="1" t="s">
        <v>770</v>
      </c>
      <c r="FK2381" s="1" t="s">
        <v>229</v>
      </c>
      <c r="FL2381" s="1" t="s">
        <v>7072</v>
      </c>
      <c r="FM2381" s="1">
        <v>24891.0</v>
      </c>
      <c r="FN2381" s="1" t="s">
        <v>7073</v>
      </c>
      <c r="FO2381" s="1" t="s">
        <v>7074</v>
      </c>
      <c r="FP2381" s="1">
        <v>237799.0</v>
      </c>
      <c r="FU2381" s="1" t="s">
        <v>21814</v>
      </c>
      <c r="FV2381" s="1" t="s">
        <v>200</v>
      </c>
      <c r="FW2381" s="1" t="s">
        <v>290</v>
      </c>
      <c r="FX2381" s="1" t="s">
        <v>655</v>
      </c>
      <c r="FZ2381" s="1" t="s">
        <v>229</v>
      </c>
      <c r="GA2381" s="1" t="s">
        <v>247</v>
      </c>
      <c r="GB2381" s="2">
        <v>42062.0</v>
      </c>
      <c r="GC2381" s="1" t="s">
        <v>21815</v>
      </c>
    </row>
    <row r="2382">
      <c r="A2382" s="1">
        <v>221000.0</v>
      </c>
      <c r="B2382" s="1" t="s">
        <v>185</v>
      </c>
      <c r="C2382" s="1" t="str">
        <f>"08759026"</f>
        <v>08759026</v>
      </c>
      <c r="D2382" s="1" t="s">
        <v>186</v>
      </c>
      <c r="F2382" s="1" t="str">
        <f>"510"</f>
        <v>510</v>
      </c>
      <c r="G2382" s="2">
        <v>41934.0</v>
      </c>
      <c r="H2382" s="1">
        <v>239900.0</v>
      </c>
      <c r="I2382" s="1">
        <v>144.0</v>
      </c>
      <c r="J2382" s="1">
        <v>229900.0</v>
      </c>
      <c r="K2382" s="2">
        <v>42076.0</v>
      </c>
      <c r="L2382" s="1">
        <v>144.0</v>
      </c>
      <c r="M2382" s="2">
        <v>42076.0</v>
      </c>
      <c r="N2382" s="1" t="s">
        <v>356</v>
      </c>
      <c r="O2382" s="2">
        <v>42131.0</v>
      </c>
      <c r="P2382" s="1">
        <v>230445.0</v>
      </c>
      <c r="Q2382" s="1">
        <v>23591.0</v>
      </c>
      <c r="S2382" s="1">
        <v>1214.0</v>
      </c>
      <c r="T2382" s="1" t="s">
        <v>4602</v>
      </c>
      <c r="U2382" s="1" t="s">
        <v>320</v>
      </c>
      <c r="V2382" s="1" t="s">
        <v>2700</v>
      </c>
      <c r="W2382" s="1">
        <v>60510.0</v>
      </c>
      <c r="Y2382" s="1" t="s">
        <v>21816</v>
      </c>
      <c r="Z2382" s="1">
        <v>1978.0</v>
      </c>
      <c r="AA2382" s="1" t="s">
        <v>200</v>
      </c>
      <c r="AB2382" s="1" t="s">
        <v>193</v>
      </c>
      <c r="AC2382" s="1" t="s">
        <v>8371</v>
      </c>
      <c r="AD2382" s="1" t="s">
        <v>2702</v>
      </c>
      <c r="AE2382" s="1" t="s">
        <v>325</v>
      </c>
      <c r="AF2382" s="1" t="s">
        <v>2702</v>
      </c>
      <c r="AH2382" s="1" t="s">
        <v>21817</v>
      </c>
      <c r="AI2382" s="1">
        <v>0.2922</v>
      </c>
      <c r="AK2382" s="1">
        <v>8.0</v>
      </c>
      <c r="AL2382" s="1">
        <v>4.0</v>
      </c>
      <c r="AM2382" s="1">
        <v>2.0</v>
      </c>
      <c r="AN2382" s="1">
        <v>1.0</v>
      </c>
      <c r="AO2382" s="1" t="s">
        <v>198</v>
      </c>
      <c r="AP2382" s="1">
        <v>1.0</v>
      </c>
      <c r="AQ2382" s="1" t="s">
        <v>1314</v>
      </c>
      <c r="AR2382" s="1" t="s">
        <v>200</v>
      </c>
      <c r="AS2382" s="1" t="s">
        <v>199</v>
      </c>
      <c r="AT2382" s="1">
        <v>2.0</v>
      </c>
      <c r="AV2382" s="1" t="s">
        <v>200</v>
      </c>
      <c r="AW2382" s="1">
        <v>8506.86</v>
      </c>
      <c r="AX2382" s="1">
        <v>2013.0</v>
      </c>
      <c r="AY2382" s="1" t="s">
        <v>387</v>
      </c>
      <c r="AZ2382" s="1" t="s">
        <v>200</v>
      </c>
      <c r="BA2382" s="1" t="str">
        <f>"1223478004"</f>
        <v>1223478004</v>
      </c>
      <c r="BC2382" s="1">
        <v>2700.0</v>
      </c>
      <c r="BD2382" s="1">
        <v>221000.0</v>
      </c>
      <c r="BE2382" s="2">
        <v>41933.0</v>
      </c>
      <c r="BF2382" s="2" t="s">
        <v>21818</v>
      </c>
      <c r="BH2382" s="1">
        <v>0.0</v>
      </c>
      <c r="BK2382" s="1" t="s">
        <v>204</v>
      </c>
      <c r="BL2382" s="1" t="str">
        <f t="shared" ref="BL2382:BM2382" si="1551">""</f>
        <v/>
      </c>
      <c r="BM2382" s="1" t="str">
        <f t="shared" si="1551"/>
        <v/>
      </c>
      <c r="BQ2382" s="1">
        <v>101.0</v>
      </c>
      <c r="BR2382" s="1">
        <v>101.0</v>
      </c>
      <c r="BS2382" s="1">
        <v>101.0</v>
      </c>
      <c r="BU2382" s="1" t="s">
        <v>1117</v>
      </c>
      <c r="BV2382" s="1" t="s">
        <v>206</v>
      </c>
      <c r="BW2382" s="1" t="s">
        <v>210</v>
      </c>
      <c r="BX2382" s="1" t="s">
        <v>239</v>
      </c>
      <c r="BY2382" s="1" t="s">
        <v>211</v>
      </c>
      <c r="BZ2382" s="1" t="s">
        <v>209</v>
      </c>
      <c r="CA2382" s="1" t="s">
        <v>210</v>
      </c>
      <c r="CB2382" s="1" t="s">
        <v>239</v>
      </c>
      <c r="CC2382" s="1" t="s">
        <v>363</v>
      </c>
      <c r="CD2382" s="1" t="s">
        <v>206</v>
      </c>
      <c r="CE2382" s="1" t="s">
        <v>210</v>
      </c>
      <c r="CF2382" s="1" t="s">
        <v>239</v>
      </c>
      <c r="CG2382" s="1" t="s">
        <v>1183</v>
      </c>
      <c r="CH2382" s="1" t="s">
        <v>209</v>
      </c>
      <c r="CI2382" s="1" t="s">
        <v>210</v>
      </c>
      <c r="CJ2382" s="1" t="s">
        <v>239</v>
      </c>
      <c r="CK2382" s="1" t="s">
        <v>331</v>
      </c>
      <c r="CL2382" s="1" t="s">
        <v>209</v>
      </c>
      <c r="CM2382" s="1" t="s">
        <v>210</v>
      </c>
      <c r="CN2382" s="1" t="s">
        <v>239</v>
      </c>
      <c r="CO2382" s="1" t="s">
        <v>266</v>
      </c>
      <c r="CP2382" s="1" t="s">
        <v>209</v>
      </c>
      <c r="CQ2382" s="1" t="s">
        <v>210</v>
      </c>
      <c r="CR2382" s="1" t="s">
        <v>239</v>
      </c>
      <c r="CS2382" s="1" t="s">
        <v>432</v>
      </c>
      <c r="CT2382" s="1" t="s">
        <v>206</v>
      </c>
      <c r="CU2382" s="1" t="s">
        <v>301</v>
      </c>
      <c r="CV2382" s="1" t="s">
        <v>239</v>
      </c>
      <c r="CW2382" s="1" t="s">
        <v>260</v>
      </c>
      <c r="CX2382" s="1" t="s">
        <v>206</v>
      </c>
      <c r="CY2382" s="1" t="s">
        <v>210</v>
      </c>
      <c r="CZ2382" s="1" t="s">
        <v>239</v>
      </c>
      <c r="DA2382" s="1" t="s">
        <v>200</v>
      </c>
      <c r="DC2382" s="1" t="s">
        <v>395</v>
      </c>
      <c r="DD2382" s="1" t="s">
        <v>396</v>
      </c>
      <c r="DE2382" s="1" t="s">
        <v>273</v>
      </c>
      <c r="DF2382" s="1" t="s">
        <v>219</v>
      </c>
      <c r="DH2382" s="1" t="s">
        <v>220</v>
      </c>
      <c r="DI2382" s="1" t="s">
        <v>519</v>
      </c>
      <c r="DJ2382" s="1" t="s">
        <v>222</v>
      </c>
      <c r="DL2382" s="1" t="s">
        <v>3611</v>
      </c>
      <c r="DM2382" s="1" t="s">
        <v>338</v>
      </c>
      <c r="DO2382" s="1" t="s">
        <v>549</v>
      </c>
      <c r="DP2382" s="1" t="s">
        <v>400</v>
      </c>
      <c r="DQ2382" s="1" t="s">
        <v>441</v>
      </c>
      <c r="DR2382" s="1" t="s">
        <v>229</v>
      </c>
      <c r="DU2382" s="1" t="s">
        <v>14724</v>
      </c>
      <c r="DV2382" s="1" t="s">
        <v>1102</v>
      </c>
      <c r="DW2382" s="1" t="s">
        <v>891</v>
      </c>
      <c r="DX2382" s="1" t="s">
        <v>234</v>
      </c>
      <c r="DZ2382" s="1" t="s">
        <v>2204</v>
      </c>
      <c r="EB2382" s="1" t="s">
        <v>345</v>
      </c>
      <c r="EC2382" s="1" t="s">
        <v>237</v>
      </c>
      <c r="EG2382" s="1" t="s">
        <v>1102</v>
      </c>
      <c r="EL2382" s="1" t="s">
        <v>2481</v>
      </c>
      <c r="EM2382" s="1" t="s">
        <v>206</v>
      </c>
      <c r="EN2382" s="1" t="s">
        <v>210</v>
      </c>
      <c r="EO2382" s="1" t="s">
        <v>239</v>
      </c>
      <c r="EQ2382" s="1" t="s">
        <v>238</v>
      </c>
      <c r="EU2382" s="1" t="s">
        <v>238</v>
      </c>
      <c r="EY2382" s="1" t="s">
        <v>238</v>
      </c>
      <c r="FC2382" s="1" t="s">
        <v>238</v>
      </c>
      <c r="FF2382" s="1" t="s">
        <v>239</v>
      </c>
      <c r="FG2382" s="1" t="s">
        <v>192</v>
      </c>
      <c r="FH2382" s="1" t="s">
        <v>192</v>
      </c>
      <c r="FJ2382" s="1" t="s">
        <v>770</v>
      </c>
      <c r="FK2382" s="1" t="s">
        <v>229</v>
      </c>
      <c r="FL2382" s="1" t="s">
        <v>1212</v>
      </c>
      <c r="FM2382" s="1">
        <v>30.0</v>
      </c>
      <c r="FN2382" s="1" t="s">
        <v>1213</v>
      </c>
      <c r="FO2382" s="1" t="s">
        <v>21819</v>
      </c>
      <c r="FP2382" s="1">
        <v>359.0</v>
      </c>
      <c r="FQ2382" s="1" t="s">
        <v>21820</v>
      </c>
      <c r="FS2382" s="1" t="s">
        <v>21821</v>
      </c>
      <c r="FU2382" s="1" t="s">
        <v>21822</v>
      </c>
      <c r="FV2382" s="1" t="s">
        <v>200</v>
      </c>
      <c r="FW2382" s="1" t="s">
        <v>461</v>
      </c>
      <c r="FZ2382" s="1" t="s">
        <v>229</v>
      </c>
      <c r="GA2382" s="1" t="s">
        <v>291</v>
      </c>
      <c r="GB2382" s="2">
        <v>42131.0</v>
      </c>
      <c r="GC2382" s="1" t="s">
        <v>21823</v>
      </c>
    </row>
    <row r="2383">
      <c r="A2383" s="1">
        <v>740000.0</v>
      </c>
      <c r="B2383" s="1" t="s">
        <v>185</v>
      </c>
      <c r="C2383" s="1" t="str">
        <f>"08785495"</f>
        <v>08785495</v>
      </c>
      <c r="D2383" s="1" t="s">
        <v>186</v>
      </c>
      <c r="F2383" s="1" t="str">
        <f>"8024"</f>
        <v>8024</v>
      </c>
      <c r="G2383" s="2">
        <v>41956.0</v>
      </c>
      <c r="H2383" s="1">
        <v>799900.0</v>
      </c>
      <c r="I2383" s="1">
        <v>67.0</v>
      </c>
      <c r="J2383" s="1">
        <v>799900.0</v>
      </c>
      <c r="K2383" s="2">
        <v>42022.0</v>
      </c>
      <c r="L2383" s="1">
        <v>67.0</v>
      </c>
      <c r="M2383" s="2">
        <v>42022.0</v>
      </c>
      <c r="N2383" s="1" t="s">
        <v>187</v>
      </c>
      <c r="O2383" s="2">
        <v>42081.0</v>
      </c>
      <c r="P2383" s="1">
        <v>214731.0</v>
      </c>
      <c r="Q2383" s="1">
        <v>21933.0</v>
      </c>
      <c r="S2383" s="1">
        <v>2008.0</v>
      </c>
      <c r="T2383" s="1" t="s">
        <v>6011</v>
      </c>
      <c r="U2383" s="1" t="s">
        <v>320</v>
      </c>
      <c r="V2383" s="1" t="s">
        <v>190</v>
      </c>
      <c r="W2383" s="1">
        <v>60612.0</v>
      </c>
      <c r="Y2383" s="1" t="s">
        <v>21824</v>
      </c>
      <c r="Z2383" s="1">
        <v>2002.0</v>
      </c>
      <c r="AA2383" s="1" t="s">
        <v>200</v>
      </c>
      <c r="AB2383" s="1" t="s">
        <v>193</v>
      </c>
      <c r="AC2383" s="1" t="s">
        <v>21825</v>
      </c>
      <c r="AD2383" s="1" t="s">
        <v>194</v>
      </c>
      <c r="AE2383" s="1" t="s">
        <v>195</v>
      </c>
      <c r="AF2383" s="1" t="s">
        <v>827</v>
      </c>
      <c r="AH2383" s="1" t="s">
        <v>21826</v>
      </c>
      <c r="AI2383" s="1">
        <v>0.0672</v>
      </c>
      <c r="AK2383" s="1">
        <v>9.0</v>
      </c>
      <c r="AL2383" s="1">
        <v>3.0</v>
      </c>
      <c r="AM2383" s="1">
        <v>3.0</v>
      </c>
      <c r="AN2383" s="1">
        <v>1.0</v>
      </c>
      <c r="AO2383" s="1" t="s">
        <v>198</v>
      </c>
      <c r="AQ2383" s="1" t="s">
        <v>198</v>
      </c>
      <c r="AR2383" s="1" t="s">
        <v>192</v>
      </c>
      <c r="AS2383" s="1" t="s">
        <v>199</v>
      </c>
      <c r="AT2383" s="1">
        <v>2.0</v>
      </c>
      <c r="AV2383" s="1" t="s">
        <v>200</v>
      </c>
      <c r="AW2383" s="1">
        <v>12679.65</v>
      </c>
      <c r="AX2383" s="1">
        <v>2013.0</v>
      </c>
      <c r="AY2383" s="1" t="s">
        <v>229</v>
      </c>
      <c r="AZ2383" s="1" t="s">
        <v>200</v>
      </c>
      <c r="BA2383" s="1" t="str">
        <f>"17071160440000"</f>
        <v>17071160440000</v>
      </c>
      <c r="BB2383" s="1" t="s">
        <v>200</v>
      </c>
      <c r="BC2383" s="1">
        <v>4000.0</v>
      </c>
      <c r="BD2383" s="1">
        <v>740000.0</v>
      </c>
      <c r="BE2383" s="2">
        <v>41956.0</v>
      </c>
      <c r="BF2383" s="2" t="s">
        <v>21827</v>
      </c>
      <c r="BH2383" s="1">
        <v>0.0</v>
      </c>
      <c r="BK2383" s="1" t="s">
        <v>204</v>
      </c>
      <c r="BL2383" s="1" t="str">
        <f>"650"</f>
        <v>650</v>
      </c>
      <c r="BM2383" s="1" t="str">
        <f>"0"</f>
        <v>0</v>
      </c>
      <c r="BN2383" s="1">
        <v>2010.0</v>
      </c>
      <c r="BO2383" s="1">
        <v>0.0</v>
      </c>
      <c r="BQ2383" s="1">
        <v>299.0</v>
      </c>
      <c r="BR2383" s="1">
        <v>299.0</v>
      </c>
      <c r="BS2383" s="1">
        <v>299.0</v>
      </c>
      <c r="BU2383" s="1" t="s">
        <v>1600</v>
      </c>
      <c r="BV2383" s="1" t="s">
        <v>206</v>
      </c>
      <c r="BW2383" s="1" t="s">
        <v>207</v>
      </c>
      <c r="BY2383" s="1" t="s">
        <v>394</v>
      </c>
      <c r="BZ2383" s="1" t="s">
        <v>209</v>
      </c>
      <c r="CA2383" s="1" t="s">
        <v>210</v>
      </c>
      <c r="CC2383" s="1" t="s">
        <v>21828</v>
      </c>
      <c r="CD2383" s="1" t="s">
        <v>206</v>
      </c>
      <c r="CE2383" s="1" t="s">
        <v>207</v>
      </c>
      <c r="CG2383" s="1" t="s">
        <v>392</v>
      </c>
      <c r="CH2383" s="1" t="s">
        <v>209</v>
      </c>
      <c r="CI2383" s="1" t="s">
        <v>210</v>
      </c>
      <c r="CK2383" s="1" t="s">
        <v>205</v>
      </c>
      <c r="CL2383" s="1" t="s">
        <v>209</v>
      </c>
      <c r="CM2383" s="1" t="s">
        <v>210</v>
      </c>
      <c r="CO2383" s="1" t="s">
        <v>390</v>
      </c>
      <c r="CP2383" s="1" t="s">
        <v>42</v>
      </c>
      <c r="CQ2383" s="1" t="s">
        <v>210</v>
      </c>
      <c r="CS2383" s="1" t="s">
        <v>11092</v>
      </c>
      <c r="CT2383" s="1" t="s">
        <v>206</v>
      </c>
      <c r="CU2383" s="1" t="s">
        <v>207</v>
      </c>
      <c r="CW2383" s="1" t="s">
        <v>3817</v>
      </c>
      <c r="CX2383" s="1" t="s">
        <v>206</v>
      </c>
      <c r="CY2383" s="1" t="s">
        <v>207</v>
      </c>
      <c r="DA2383" s="1" t="s">
        <v>200</v>
      </c>
      <c r="DC2383" s="1" t="s">
        <v>335</v>
      </c>
      <c r="DD2383" s="1" t="s">
        <v>618</v>
      </c>
      <c r="DE2383" s="1" t="s">
        <v>218</v>
      </c>
      <c r="DF2383" s="1" t="s">
        <v>21829</v>
      </c>
      <c r="DG2383" s="1" t="s">
        <v>274</v>
      </c>
      <c r="DH2383" s="1" t="s">
        <v>365</v>
      </c>
      <c r="DI2383" s="1" t="s">
        <v>221</v>
      </c>
      <c r="DJ2383" s="1" t="s">
        <v>222</v>
      </c>
      <c r="DL2383" s="1" t="s">
        <v>1161</v>
      </c>
      <c r="DM2383" s="1" t="s">
        <v>229</v>
      </c>
      <c r="DN2383" s="1" t="s">
        <v>666</v>
      </c>
      <c r="DO2383" s="1" t="s">
        <v>549</v>
      </c>
      <c r="DP2383" s="1" t="s">
        <v>276</v>
      </c>
      <c r="DQ2383" s="1" t="s">
        <v>228</v>
      </c>
      <c r="DR2383" s="1" t="s">
        <v>229</v>
      </c>
      <c r="DS2383" s="1" t="s">
        <v>230</v>
      </c>
      <c r="DU2383" s="1" t="s">
        <v>4323</v>
      </c>
      <c r="DV2383" s="1" t="s">
        <v>7130</v>
      </c>
      <c r="DW2383" s="1" t="s">
        <v>21830</v>
      </c>
      <c r="DX2383" s="1" t="s">
        <v>234</v>
      </c>
      <c r="DZ2383" s="1" t="s">
        <v>18149</v>
      </c>
      <c r="EA2383" s="1" t="s">
        <v>1027</v>
      </c>
      <c r="EC2383" s="1" t="s">
        <v>406</v>
      </c>
      <c r="EG2383" s="1" t="s">
        <v>720</v>
      </c>
      <c r="EH2383" s="1" t="s">
        <v>450</v>
      </c>
      <c r="EL2383" s="1" t="s">
        <v>10096</v>
      </c>
      <c r="EM2383" s="1" t="s">
        <v>42</v>
      </c>
      <c r="EN2383" s="1" t="s">
        <v>210</v>
      </c>
      <c r="EO2383" s="1" t="s">
        <v>229</v>
      </c>
      <c r="EP2383" s="1" t="s">
        <v>5223</v>
      </c>
      <c r="EQ2383" s="1" t="s">
        <v>42</v>
      </c>
      <c r="ER2383" s="1" t="s">
        <v>210</v>
      </c>
      <c r="EU2383" s="1" t="s">
        <v>238</v>
      </c>
      <c r="EY2383" s="1" t="s">
        <v>238</v>
      </c>
      <c r="FC2383" s="1" t="s">
        <v>238</v>
      </c>
      <c r="FF2383" s="1" t="s">
        <v>239</v>
      </c>
      <c r="FG2383" s="1" t="s">
        <v>192</v>
      </c>
      <c r="FH2383" s="1" t="s">
        <v>192</v>
      </c>
      <c r="FJ2383" s="1" t="s">
        <v>2285</v>
      </c>
      <c r="FK2383" s="1" t="s">
        <v>348</v>
      </c>
      <c r="FL2383" s="1" t="s">
        <v>974</v>
      </c>
      <c r="FM2383" s="1">
        <v>10988.0</v>
      </c>
      <c r="FN2383" s="1" t="s">
        <v>975</v>
      </c>
      <c r="FO2383" s="1" t="s">
        <v>21831</v>
      </c>
      <c r="FP2383" s="1">
        <v>130278.0</v>
      </c>
      <c r="FQ2383" s="1" t="s">
        <v>21832</v>
      </c>
      <c r="FS2383" s="1" t="s">
        <v>21833</v>
      </c>
      <c r="FU2383" s="1" t="s">
        <v>21834</v>
      </c>
      <c r="FV2383" s="1" t="s">
        <v>200</v>
      </c>
      <c r="FW2383" s="1" t="s">
        <v>567</v>
      </c>
      <c r="FX2383" s="1" t="s">
        <v>246</v>
      </c>
      <c r="FZ2383" s="1" t="s">
        <v>229</v>
      </c>
      <c r="GA2383" s="1" t="s">
        <v>291</v>
      </c>
      <c r="GB2383" s="2">
        <v>42083.0</v>
      </c>
      <c r="GC2383" s="1" t="s">
        <v>21835</v>
      </c>
    </row>
    <row r="2384">
      <c r="A2384" s="1">
        <v>253900.0</v>
      </c>
      <c r="B2384" s="1" t="s">
        <v>185</v>
      </c>
      <c r="C2384" s="1" t="str">
        <f>"08759690"</f>
        <v>08759690</v>
      </c>
      <c r="D2384" s="1" t="s">
        <v>186</v>
      </c>
      <c r="F2384" s="1" t="str">
        <f>"560"</f>
        <v>560</v>
      </c>
      <c r="G2384" s="2">
        <v>41935.0</v>
      </c>
      <c r="H2384" s="1">
        <v>314900.0</v>
      </c>
      <c r="I2384" s="1">
        <v>111.0</v>
      </c>
      <c r="J2384" s="1">
        <v>269900.0</v>
      </c>
      <c r="K2384" s="2">
        <v>42043.0</v>
      </c>
      <c r="L2384" s="1">
        <v>111.0</v>
      </c>
      <c r="M2384" s="2">
        <v>42043.0</v>
      </c>
      <c r="N2384" s="1" t="s">
        <v>187</v>
      </c>
      <c r="O2384" s="2">
        <v>42073.0</v>
      </c>
      <c r="P2384" s="1">
        <v>237326.0</v>
      </c>
      <c r="Q2384" s="1">
        <v>23156.0</v>
      </c>
      <c r="S2384" s="1">
        <v>1106.0</v>
      </c>
      <c r="T2384" s="1" t="s">
        <v>21491</v>
      </c>
      <c r="U2384" s="1" t="s">
        <v>569</v>
      </c>
      <c r="V2384" s="1" t="s">
        <v>845</v>
      </c>
      <c r="W2384" s="1">
        <v>60560.0</v>
      </c>
      <c r="Y2384" s="1" t="s">
        <v>21836</v>
      </c>
      <c r="Z2384" s="1">
        <v>2003.0</v>
      </c>
      <c r="AA2384" s="1" t="s">
        <v>200</v>
      </c>
      <c r="AB2384" s="1" t="s">
        <v>467</v>
      </c>
      <c r="AD2384" s="1" t="s">
        <v>848</v>
      </c>
      <c r="AE2384" s="1" t="s">
        <v>849</v>
      </c>
      <c r="AF2384" s="1" t="s">
        <v>1312</v>
      </c>
      <c r="AH2384" s="1" t="s">
        <v>14550</v>
      </c>
      <c r="AI2384" s="1">
        <v>0.2252</v>
      </c>
      <c r="AK2384" s="1">
        <v>12.0</v>
      </c>
      <c r="AL2384" s="1">
        <v>4.0</v>
      </c>
      <c r="AM2384" s="1">
        <v>2.0</v>
      </c>
      <c r="AN2384" s="1">
        <v>1.0</v>
      </c>
      <c r="AO2384" s="1" t="s">
        <v>198</v>
      </c>
      <c r="AP2384" s="1">
        <v>1.0</v>
      </c>
      <c r="AQ2384" s="1" t="s">
        <v>198</v>
      </c>
      <c r="AR2384" s="1" t="s">
        <v>200</v>
      </c>
      <c r="AS2384" s="1" t="s">
        <v>199</v>
      </c>
      <c r="AT2384" s="1">
        <v>3.0</v>
      </c>
      <c r="AV2384" s="1" t="s">
        <v>200</v>
      </c>
      <c r="AW2384" s="1">
        <v>8045.7</v>
      </c>
      <c r="AX2384" s="1">
        <v>2012.0</v>
      </c>
      <c r="AZ2384" s="1" t="s">
        <v>200</v>
      </c>
      <c r="BA2384" s="1" t="str">
        <f>"0227305001"</f>
        <v>0227305001</v>
      </c>
      <c r="BB2384" s="1" t="s">
        <v>200</v>
      </c>
      <c r="BC2384" s="1">
        <v>2906.0</v>
      </c>
      <c r="BD2384" s="1">
        <v>253900.0</v>
      </c>
      <c r="BE2384" s="2">
        <v>41933.0</v>
      </c>
      <c r="BF2384" s="2" t="s">
        <v>21837</v>
      </c>
      <c r="BH2384" s="1">
        <v>500.0</v>
      </c>
      <c r="BK2384" s="1" t="s">
        <v>580</v>
      </c>
      <c r="BL2384" s="1" t="str">
        <f t="shared" ref="BL2384:BM2384" si="1552">""</f>
        <v/>
      </c>
      <c r="BM2384" s="1" t="str">
        <f t="shared" si="1552"/>
        <v/>
      </c>
      <c r="BQ2384" s="1">
        <v>115.0</v>
      </c>
      <c r="BR2384" s="1">
        <v>115.0</v>
      </c>
      <c r="BS2384" s="1">
        <v>115.0</v>
      </c>
      <c r="BU2384" s="1" t="s">
        <v>433</v>
      </c>
      <c r="BV2384" s="1" t="s">
        <v>206</v>
      </c>
      <c r="BW2384" s="1" t="s">
        <v>210</v>
      </c>
      <c r="BY2384" s="1" t="s">
        <v>432</v>
      </c>
      <c r="BZ2384" s="1" t="s">
        <v>209</v>
      </c>
      <c r="CA2384" s="1" t="s">
        <v>210</v>
      </c>
      <c r="CC2384" s="1" t="s">
        <v>211</v>
      </c>
      <c r="CD2384" s="1" t="s">
        <v>206</v>
      </c>
      <c r="CE2384" s="1" t="s">
        <v>210</v>
      </c>
      <c r="CG2384" s="1" t="s">
        <v>215</v>
      </c>
      <c r="CH2384" s="1" t="s">
        <v>209</v>
      </c>
      <c r="CI2384" s="1" t="s">
        <v>210</v>
      </c>
      <c r="CK2384" s="1" t="s">
        <v>212</v>
      </c>
      <c r="CL2384" s="1" t="s">
        <v>209</v>
      </c>
      <c r="CM2384" s="1" t="s">
        <v>210</v>
      </c>
      <c r="CO2384" s="1" t="s">
        <v>433</v>
      </c>
      <c r="CP2384" s="1" t="s">
        <v>209</v>
      </c>
      <c r="CQ2384" s="1" t="s">
        <v>210</v>
      </c>
      <c r="CS2384" s="1" t="s">
        <v>664</v>
      </c>
      <c r="CT2384" s="1" t="s">
        <v>206</v>
      </c>
      <c r="CU2384" s="1" t="s">
        <v>207</v>
      </c>
      <c r="CW2384" s="1" t="s">
        <v>434</v>
      </c>
      <c r="CX2384" s="1" t="s">
        <v>206</v>
      </c>
      <c r="CY2384" s="1" t="s">
        <v>210</v>
      </c>
      <c r="DA2384" s="1" t="s">
        <v>200</v>
      </c>
      <c r="DC2384" s="1" t="s">
        <v>335</v>
      </c>
      <c r="DD2384" s="1" t="s">
        <v>1838</v>
      </c>
      <c r="DE2384" s="1" t="s">
        <v>273</v>
      </c>
      <c r="DF2384" s="1" t="s">
        <v>219</v>
      </c>
      <c r="DG2384" s="1" t="s">
        <v>21838</v>
      </c>
      <c r="DH2384" s="1" t="s">
        <v>220</v>
      </c>
      <c r="DJ2384" s="1" t="s">
        <v>222</v>
      </c>
      <c r="DL2384" s="1" t="s">
        <v>1536</v>
      </c>
      <c r="DM2384" s="1" t="s">
        <v>338</v>
      </c>
      <c r="DN2384" s="1" t="s">
        <v>439</v>
      </c>
      <c r="DP2384" s="1" t="s">
        <v>340</v>
      </c>
      <c r="DQ2384" s="1" t="s">
        <v>228</v>
      </c>
      <c r="DR2384" s="1" t="s">
        <v>3096</v>
      </c>
      <c r="DS2384" s="1" t="s">
        <v>368</v>
      </c>
      <c r="DV2384" s="1" t="s">
        <v>21839</v>
      </c>
      <c r="DW2384" s="1" t="s">
        <v>444</v>
      </c>
      <c r="DX2384" s="1" t="s">
        <v>234</v>
      </c>
      <c r="DY2384" s="1" t="s">
        <v>1936</v>
      </c>
      <c r="DZ2384" s="1" t="s">
        <v>8616</v>
      </c>
      <c r="EC2384" s="1" t="s">
        <v>237</v>
      </c>
      <c r="ED2384" s="1" t="s">
        <v>555</v>
      </c>
      <c r="EE2384" s="1" t="s">
        <v>493</v>
      </c>
      <c r="EG2384" s="1" t="s">
        <v>598</v>
      </c>
      <c r="EH2384" s="1" t="s">
        <v>450</v>
      </c>
      <c r="EI2384" s="1" t="s">
        <v>494</v>
      </c>
      <c r="EJ2384" s="1" t="s">
        <v>1467</v>
      </c>
      <c r="EK2384" s="1" t="s">
        <v>588</v>
      </c>
      <c r="EL2384" s="1" t="s">
        <v>925</v>
      </c>
      <c r="EM2384" s="1" t="s">
        <v>42</v>
      </c>
      <c r="EN2384" s="1" t="s">
        <v>210</v>
      </c>
      <c r="EP2384" s="1" t="s">
        <v>4793</v>
      </c>
      <c r="EQ2384" s="1" t="s">
        <v>42</v>
      </c>
      <c r="ER2384" s="1" t="s">
        <v>210</v>
      </c>
      <c r="ET2384" s="1" t="s">
        <v>363</v>
      </c>
      <c r="EU2384" s="1" t="s">
        <v>206</v>
      </c>
      <c r="EV2384" s="1" t="s">
        <v>210</v>
      </c>
      <c r="EX2384" s="1" t="s">
        <v>213</v>
      </c>
      <c r="EY2384" s="1" t="s">
        <v>42</v>
      </c>
      <c r="EZ2384" s="1" t="s">
        <v>210</v>
      </c>
      <c r="FB2384" s="1" t="s">
        <v>1746</v>
      </c>
      <c r="FC2384" s="1" t="s">
        <v>42</v>
      </c>
      <c r="FD2384" s="1" t="s">
        <v>588</v>
      </c>
      <c r="FF2384" s="1" t="s">
        <v>239</v>
      </c>
      <c r="FG2384" s="1" t="s">
        <v>192</v>
      </c>
      <c r="FH2384" s="1" t="s">
        <v>192</v>
      </c>
      <c r="FJ2384" s="1" t="s">
        <v>1248</v>
      </c>
      <c r="FK2384" s="1" t="s">
        <v>557</v>
      </c>
      <c r="FL2384" s="1" t="s">
        <v>1007</v>
      </c>
      <c r="FM2384" s="1">
        <v>22588.0</v>
      </c>
      <c r="FN2384" s="1" t="s">
        <v>1321</v>
      </c>
      <c r="FO2384" s="1" t="s">
        <v>3635</v>
      </c>
      <c r="FP2384" s="1">
        <v>222152.0</v>
      </c>
      <c r="FQ2384" s="1" t="s">
        <v>3636</v>
      </c>
      <c r="FR2384" s="1">
        <v>226878.0</v>
      </c>
      <c r="FS2384" s="1" t="s">
        <v>3637</v>
      </c>
      <c r="FU2384" s="1" t="s">
        <v>21840</v>
      </c>
      <c r="FV2384" s="1" t="s">
        <v>200</v>
      </c>
      <c r="FW2384" s="1" t="s">
        <v>354</v>
      </c>
      <c r="FZ2384" s="1" t="s">
        <v>229</v>
      </c>
      <c r="GA2384" s="1" t="s">
        <v>291</v>
      </c>
      <c r="GB2384" s="2">
        <v>42074.0</v>
      </c>
      <c r="GC2384" s="1" t="s">
        <v>21841</v>
      </c>
    </row>
    <row r="2385">
      <c r="A2385" s="1">
        <v>645000.0</v>
      </c>
      <c r="B2385" s="1" t="s">
        <v>185</v>
      </c>
      <c r="C2385" s="1" t="str">
        <f>"08767933"</f>
        <v>08767933</v>
      </c>
      <c r="D2385" s="1" t="s">
        <v>186</v>
      </c>
      <c r="F2385" s="1" t="str">
        <f>"10"</f>
        <v>10</v>
      </c>
      <c r="G2385" s="2">
        <v>41946.0</v>
      </c>
      <c r="H2385" s="1">
        <v>650000.0</v>
      </c>
      <c r="I2385" s="1">
        <v>33.0</v>
      </c>
      <c r="J2385" s="1">
        <v>650000.0</v>
      </c>
      <c r="K2385" s="2">
        <v>41978.0</v>
      </c>
      <c r="L2385" s="1">
        <v>33.0</v>
      </c>
      <c r="M2385" s="2">
        <v>41978.0</v>
      </c>
      <c r="N2385" s="1" t="s">
        <v>5859</v>
      </c>
      <c r="O2385" s="2">
        <v>42040.0</v>
      </c>
      <c r="P2385" s="1">
        <v>55651.0</v>
      </c>
      <c r="Q2385" s="1">
        <v>5547.0</v>
      </c>
      <c r="S2385" s="1">
        <v>4.0</v>
      </c>
      <c r="T2385" s="1" t="s">
        <v>6708</v>
      </c>
      <c r="U2385" s="1" t="s">
        <v>420</v>
      </c>
      <c r="V2385" s="1" t="s">
        <v>5237</v>
      </c>
      <c r="W2385" s="1">
        <v>60010.0</v>
      </c>
      <c r="Y2385" s="1" t="s">
        <v>21842</v>
      </c>
      <c r="Z2385" s="1">
        <v>1989.0</v>
      </c>
      <c r="AA2385" s="1" t="s">
        <v>200</v>
      </c>
      <c r="AB2385" s="1" t="s">
        <v>467</v>
      </c>
      <c r="AC2385" s="1" t="s">
        <v>21843</v>
      </c>
      <c r="AD2385" s="1" t="s">
        <v>5239</v>
      </c>
      <c r="AE2385" s="1" t="s">
        <v>195</v>
      </c>
      <c r="AF2385" s="1" t="s">
        <v>1948</v>
      </c>
      <c r="AH2385" s="1" t="s">
        <v>21844</v>
      </c>
      <c r="AI2385" s="1">
        <v>1.5</v>
      </c>
      <c r="AK2385" s="1">
        <v>11.0</v>
      </c>
      <c r="AL2385" s="1">
        <v>4.0</v>
      </c>
      <c r="AM2385" s="1">
        <v>4.0</v>
      </c>
      <c r="AN2385" s="1">
        <v>1.0</v>
      </c>
      <c r="AO2385" s="1" t="s">
        <v>198</v>
      </c>
      <c r="AP2385" s="1">
        <v>3.0</v>
      </c>
      <c r="AQ2385" s="1" t="s">
        <v>198</v>
      </c>
      <c r="AR2385" s="1" t="s">
        <v>200</v>
      </c>
      <c r="AS2385" s="1" t="s">
        <v>199</v>
      </c>
      <c r="AT2385" s="1">
        <v>3.0</v>
      </c>
      <c r="AV2385" s="1" t="s">
        <v>200</v>
      </c>
      <c r="AW2385" s="1">
        <v>20949.0</v>
      </c>
      <c r="AX2385" s="1">
        <v>2013.0</v>
      </c>
      <c r="AY2385" s="1" t="s">
        <v>1179</v>
      </c>
      <c r="AZ2385" s="1" t="s">
        <v>545</v>
      </c>
      <c r="BA2385" s="1" t="str">
        <f>"01341010140000"</f>
        <v>01341010140000</v>
      </c>
      <c r="BB2385" s="1" t="s">
        <v>192</v>
      </c>
      <c r="BC2385" s="1">
        <v>0.0</v>
      </c>
      <c r="BD2385" s="1">
        <v>645000.0</v>
      </c>
      <c r="BE2385" s="2">
        <v>41946.0</v>
      </c>
      <c r="BF2385" s="2" t="s">
        <v>21845</v>
      </c>
      <c r="BG2385" s="1" t="s">
        <v>5242</v>
      </c>
      <c r="BH2385" s="1">
        <v>1038.0</v>
      </c>
      <c r="BI2385" s="1" t="s">
        <v>1713</v>
      </c>
      <c r="BJ2385" s="1" t="s">
        <v>1714</v>
      </c>
      <c r="BK2385" s="1" t="s">
        <v>580</v>
      </c>
      <c r="BL2385" s="1" t="str">
        <f>"13"</f>
        <v>13</v>
      </c>
      <c r="BM2385" s="1" t="str">
        <f>"0"</f>
        <v>0</v>
      </c>
      <c r="BN2385" s="1">
        <v>27.0</v>
      </c>
      <c r="BO2385" s="1">
        <v>0.0</v>
      </c>
      <c r="BQ2385" s="1">
        <v>220.0</v>
      </c>
      <c r="BR2385" s="1">
        <v>220.0</v>
      </c>
      <c r="BS2385" s="1">
        <v>220.0</v>
      </c>
      <c r="BU2385" s="1" t="s">
        <v>2749</v>
      </c>
      <c r="BV2385" s="1" t="s">
        <v>206</v>
      </c>
      <c r="BW2385" s="1" t="s">
        <v>207</v>
      </c>
      <c r="BY2385" s="1" t="s">
        <v>2749</v>
      </c>
      <c r="BZ2385" s="1" t="s">
        <v>209</v>
      </c>
      <c r="CA2385" s="1" t="s">
        <v>210</v>
      </c>
      <c r="CC2385" s="1" t="s">
        <v>329</v>
      </c>
      <c r="CD2385" s="1" t="s">
        <v>206</v>
      </c>
      <c r="CE2385" s="1" t="s">
        <v>207</v>
      </c>
      <c r="CG2385" s="1" t="s">
        <v>758</v>
      </c>
      <c r="CH2385" s="1" t="s">
        <v>209</v>
      </c>
      <c r="CI2385" s="1" t="s">
        <v>210</v>
      </c>
      <c r="CK2385" s="1" t="s">
        <v>454</v>
      </c>
      <c r="CL2385" s="1" t="s">
        <v>209</v>
      </c>
      <c r="CM2385" s="1" t="s">
        <v>210</v>
      </c>
      <c r="CO2385" s="1" t="s">
        <v>758</v>
      </c>
      <c r="CP2385" s="1" t="s">
        <v>209</v>
      </c>
      <c r="CQ2385" s="1" t="s">
        <v>210</v>
      </c>
      <c r="CS2385" s="1" t="s">
        <v>1000</v>
      </c>
      <c r="CT2385" s="1" t="s">
        <v>206</v>
      </c>
      <c r="CU2385" s="1" t="s">
        <v>207</v>
      </c>
      <c r="CW2385" s="1" t="s">
        <v>3092</v>
      </c>
      <c r="CX2385" s="1" t="s">
        <v>206</v>
      </c>
      <c r="CY2385" s="1" t="s">
        <v>207</v>
      </c>
      <c r="DA2385" s="1" t="s">
        <v>200</v>
      </c>
      <c r="DC2385" s="1" t="s">
        <v>435</v>
      </c>
      <c r="DD2385" s="1" t="s">
        <v>436</v>
      </c>
      <c r="DE2385" s="1" t="s">
        <v>273</v>
      </c>
      <c r="DF2385" s="1" t="s">
        <v>219</v>
      </c>
      <c r="DG2385" s="1" t="s">
        <v>4976</v>
      </c>
      <c r="DH2385" s="1" t="s">
        <v>856</v>
      </c>
      <c r="DI2385" s="1" t="s">
        <v>21846</v>
      </c>
      <c r="DJ2385" s="1" t="s">
        <v>857</v>
      </c>
      <c r="DK2385" s="1" t="s">
        <v>223</v>
      </c>
      <c r="DL2385" s="1" t="s">
        <v>223</v>
      </c>
      <c r="DM2385" s="1" t="s">
        <v>1022</v>
      </c>
      <c r="DN2385" s="1" t="s">
        <v>439</v>
      </c>
      <c r="DO2385" s="1" t="s">
        <v>440</v>
      </c>
      <c r="DP2385" s="1" t="s">
        <v>340</v>
      </c>
      <c r="DQ2385" s="1" t="s">
        <v>931</v>
      </c>
      <c r="DR2385" s="1" t="s">
        <v>229</v>
      </c>
      <c r="DS2385" s="1" t="s">
        <v>591</v>
      </c>
      <c r="DU2385" s="1" t="s">
        <v>2959</v>
      </c>
      <c r="DV2385" s="1" t="s">
        <v>21847</v>
      </c>
      <c r="DW2385" s="1" t="s">
        <v>764</v>
      </c>
      <c r="DX2385" s="1" t="s">
        <v>234</v>
      </c>
      <c r="DY2385" s="1" t="s">
        <v>1559</v>
      </c>
      <c r="DZ2385" s="1" t="s">
        <v>310</v>
      </c>
      <c r="EA2385" s="1" t="s">
        <v>344</v>
      </c>
      <c r="EB2385" s="1" t="s">
        <v>13148</v>
      </c>
      <c r="EC2385" s="1" t="s">
        <v>237</v>
      </c>
      <c r="ED2385" s="1" t="s">
        <v>555</v>
      </c>
      <c r="EG2385" s="1" t="s">
        <v>1028</v>
      </c>
      <c r="EH2385" s="1" t="s">
        <v>1121</v>
      </c>
      <c r="EI2385" s="1" t="s">
        <v>1102</v>
      </c>
      <c r="EJ2385" s="1" t="s">
        <v>1824</v>
      </c>
      <c r="EL2385" s="1" t="s">
        <v>454</v>
      </c>
      <c r="EM2385" s="1" t="s">
        <v>206</v>
      </c>
      <c r="EN2385" s="1" t="s">
        <v>207</v>
      </c>
      <c r="EP2385" s="1" t="s">
        <v>392</v>
      </c>
      <c r="EQ2385" s="1" t="s">
        <v>209</v>
      </c>
      <c r="ER2385" s="1" t="s">
        <v>207</v>
      </c>
      <c r="ET2385" s="1" t="s">
        <v>454</v>
      </c>
      <c r="EU2385" s="1" t="s">
        <v>206</v>
      </c>
      <c r="EV2385" s="1" t="s">
        <v>207</v>
      </c>
      <c r="EX2385" s="1" t="s">
        <v>433</v>
      </c>
      <c r="EY2385" s="1" t="s">
        <v>209</v>
      </c>
      <c r="EZ2385" s="1" t="s">
        <v>210</v>
      </c>
      <c r="FC2385" s="1" t="s">
        <v>238</v>
      </c>
      <c r="FF2385" s="1" t="s">
        <v>239</v>
      </c>
      <c r="FG2385" s="1" t="s">
        <v>192</v>
      </c>
      <c r="FH2385" s="1" t="s">
        <v>192</v>
      </c>
      <c r="FJ2385" s="1" t="s">
        <v>1469</v>
      </c>
      <c r="FK2385" s="1" t="s">
        <v>348</v>
      </c>
      <c r="FL2385" s="1" t="s">
        <v>1962</v>
      </c>
      <c r="FM2385" s="1">
        <v>8073.0</v>
      </c>
      <c r="FN2385" s="1" t="s">
        <v>1963</v>
      </c>
      <c r="FO2385" s="1" t="s">
        <v>1964</v>
      </c>
      <c r="FP2385" s="1">
        <v>83240.0</v>
      </c>
      <c r="FQ2385" s="1" t="s">
        <v>1965</v>
      </c>
      <c r="FU2385" s="1" t="s">
        <v>21848</v>
      </c>
      <c r="FV2385" s="1" t="s">
        <v>200</v>
      </c>
      <c r="FW2385" s="1" t="s">
        <v>290</v>
      </c>
      <c r="FZ2385" s="1" t="s">
        <v>229</v>
      </c>
      <c r="GA2385" s="1" t="s">
        <v>291</v>
      </c>
      <c r="GB2385" s="2">
        <v>42041.0</v>
      </c>
      <c r="GC2385" s="1" t="s">
        <v>21849</v>
      </c>
    </row>
    <row r="2386">
      <c r="A2386" s="1">
        <v>105200.0</v>
      </c>
      <c r="B2386" s="1" t="s">
        <v>185</v>
      </c>
      <c r="C2386" s="1" t="str">
        <f>"08758313"</f>
        <v>08758313</v>
      </c>
      <c r="D2386" s="1" t="s">
        <v>186</v>
      </c>
      <c r="F2386" s="1" t="str">
        <f>"8075"</f>
        <v>8075</v>
      </c>
      <c r="G2386" s="2">
        <v>41933.0</v>
      </c>
      <c r="H2386" s="1">
        <v>150000.0</v>
      </c>
      <c r="I2386" s="1">
        <v>37.0</v>
      </c>
      <c r="J2386" s="1">
        <v>100000.0</v>
      </c>
      <c r="K2386" s="2">
        <v>41969.0</v>
      </c>
      <c r="L2386" s="1">
        <v>37.0</v>
      </c>
      <c r="M2386" s="2">
        <v>41969.0</v>
      </c>
      <c r="N2386" s="1" t="s">
        <v>249</v>
      </c>
      <c r="O2386" s="2">
        <v>42047.0</v>
      </c>
      <c r="P2386" s="1">
        <v>240231.0</v>
      </c>
      <c r="Q2386" s="1">
        <v>25632.0</v>
      </c>
      <c r="S2386" s="1">
        <v>2547.0</v>
      </c>
      <c r="T2386" s="1" t="s">
        <v>21850</v>
      </c>
      <c r="U2386" s="1" t="s">
        <v>320</v>
      </c>
      <c r="V2386" s="1" t="s">
        <v>190</v>
      </c>
      <c r="W2386" s="1">
        <v>60655.0</v>
      </c>
      <c r="Y2386" s="1" t="s">
        <v>21851</v>
      </c>
      <c r="Z2386" s="1">
        <v>1956.0</v>
      </c>
      <c r="AA2386" s="1" t="s">
        <v>192</v>
      </c>
      <c r="AB2386" s="1" t="s">
        <v>193</v>
      </c>
      <c r="AD2386" s="1" t="s">
        <v>194</v>
      </c>
      <c r="AE2386" s="1" t="s">
        <v>195</v>
      </c>
      <c r="AF2386" s="1" t="s">
        <v>659</v>
      </c>
      <c r="AG2386" s="1" t="s">
        <v>1132</v>
      </c>
      <c r="AH2386" s="1" t="s">
        <v>21852</v>
      </c>
      <c r="AK2386" s="1">
        <v>8.0</v>
      </c>
      <c r="AL2386" s="1">
        <v>3.0</v>
      </c>
      <c r="AM2386" s="1">
        <v>2.0</v>
      </c>
      <c r="AN2386" s="1">
        <v>0.0</v>
      </c>
      <c r="AO2386" s="1" t="s">
        <v>229</v>
      </c>
      <c r="AQ2386" s="1" t="s">
        <v>198</v>
      </c>
      <c r="AR2386" s="1" t="s">
        <v>192</v>
      </c>
      <c r="AS2386" s="1" t="s">
        <v>199</v>
      </c>
      <c r="AT2386" s="1">
        <v>2.0</v>
      </c>
      <c r="AV2386" s="1" t="s">
        <v>200</v>
      </c>
      <c r="AW2386" s="1">
        <v>2594.71</v>
      </c>
      <c r="AX2386" s="1">
        <v>2013.0</v>
      </c>
      <c r="AY2386" s="1" t="s">
        <v>387</v>
      </c>
      <c r="AZ2386" s="1" t="s">
        <v>200</v>
      </c>
      <c r="BA2386" s="1" t="str">
        <f>"24244160040000"</f>
        <v>24244160040000</v>
      </c>
      <c r="BB2386" s="1" t="s">
        <v>200</v>
      </c>
      <c r="BC2386" s="1">
        <v>1200.0</v>
      </c>
      <c r="BD2386" s="1">
        <v>105200.0</v>
      </c>
      <c r="BE2386" s="2">
        <v>41933.0</v>
      </c>
      <c r="BF2386" s="2" t="s">
        <v>21853</v>
      </c>
      <c r="BH2386" s="1">
        <v>0.0</v>
      </c>
      <c r="BK2386" s="1" t="s">
        <v>204</v>
      </c>
      <c r="BL2386" s="1" t="str">
        <f t="shared" ref="BL2386:BM2386" si="1553">"0"</f>
        <v>0</v>
      </c>
      <c r="BM2386" s="1" t="str">
        <f t="shared" si="1553"/>
        <v>0</v>
      </c>
      <c r="BN2386" s="1">
        <v>2547.0</v>
      </c>
      <c r="BO2386" s="1">
        <v>11800.0</v>
      </c>
      <c r="BQ2386" s="1">
        <v>299.0</v>
      </c>
      <c r="BR2386" s="1">
        <v>299.0</v>
      </c>
      <c r="BS2386" s="1">
        <v>299.0</v>
      </c>
      <c r="BU2386" s="1" t="s">
        <v>454</v>
      </c>
      <c r="BV2386" s="1" t="s">
        <v>206</v>
      </c>
      <c r="BW2386" s="1" t="s">
        <v>210</v>
      </c>
      <c r="BY2386" s="1" t="s">
        <v>363</v>
      </c>
      <c r="BZ2386" s="1" t="s">
        <v>206</v>
      </c>
      <c r="CA2386" s="1" t="s">
        <v>210</v>
      </c>
      <c r="CD2386" s="1" t="s">
        <v>204</v>
      </c>
      <c r="CG2386" s="1" t="s">
        <v>265</v>
      </c>
      <c r="CH2386" s="1" t="s">
        <v>206</v>
      </c>
      <c r="CI2386" s="1" t="s">
        <v>210</v>
      </c>
      <c r="CK2386" s="1" t="s">
        <v>212</v>
      </c>
      <c r="CL2386" s="1" t="s">
        <v>206</v>
      </c>
      <c r="CM2386" s="1" t="s">
        <v>210</v>
      </c>
      <c r="CO2386" s="1" t="s">
        <v>699</v>
      </c>
      <c r="CP2386" s="1" t="s">
        <v>42</v>
      </c>
      <c r="CQ2386" s="1" t="s">
        <v>617</v>
      </c>
      <c r="CS2386" s="1" t="s">
        <v>2713</v>
      </c>
      <c r="CT2386" s="1" t="s">
        <v>206</v>
      </c>
      <c r="CU2386" s="1" t="s">
        <v>268</v>
      </c>
      <c r="CV2386" s="1" t="s">
        <v>229</v>
      </c>
      <c r="CX2386" s="1" t="s">
        <v>204</v>
      </c>
      <c r="DA2386" s="1" t="s">
        <v>200</v>
      </c>
      <c r="DC2386" s="1" t="s">
        <v>271</v>
      </c>
      <c r="DD2386" s="1" t="s">
        <v>957</v>
      </c>
      <c r="DE2386" s="1" t="s">
        <v>273</v>
      </c>
      <c r="DF2386" s="1" t="s">
        <v>219</v>
      </c>
      <c r="DG2386" s="1" t="s">
        <v>337</v>
      </c>
      <c r="DH2386" s="1" t="s">
        <v>307</v>
      </c>
      <c r="DI2386" s="1" t="s">
        <v>703</v>
      </c>
      <c r="DJ2386" s="1" t="s">
        <v>222</v>
      </c>
      <c r="DL2386" s="1" t="s">
        <v>224</v>
      </c>
      <c r="DM2386" s="1" t="s">
        <v>229</v>
      </c>
      <c r="DQ2386" s="1" t="s">
        <v>718</v>
      </c>
      <c r="DR2386" s="1" t="s">
        <v>229</v>
      </c>
      <c r="DS2386" s="1" t="s">
        <v>401</v>
      </c>
      <c r="DV2386" s="1" t="s">
        <v>21854</v>
      </c>
      <c r="DW2386" s="1" t="s">
        <v>279</v>
      </c>
      <c r="DX2386" s="1" t="s">
        <v>234</v>
      </c>
      <c r="DY2386" s="1" t="s">
        <v>1404</v>
      </c>
      <c r="DZ2386" s="1" t="s">
        <v>310</v>
      </c>
      <c r="EA2386" s="1" t="s">
        <v>683</v>
      </c>
      <c r="EC2386" s="1" t="s">
        <v>311</v>
      </c>
      <c r="EE2386" s="1" t="s">
        <v>2649</v>
      </c>
      <c r="EG2386" s="1" t="s">
        <v>1407</v>
      </c>
      <c r="EH2386" s="1" t="s">
        <v>1228</v>
      </c>
      <c r="EJ2386" s="1" t="s">
        <v>310</v>
      </c>
      <c r="EL2386" s="1" t="s">
        <v>1746</v>
      </c>
      <c r="EM2386" s="1" t="s">
        <v>42</v>
      </c>
      <c r="EN2386" s="1" t="s">
        <v>617</v>
      </c>
      <c r="EP2386" s="1" t="s">
        <v>4046</v>
      </c>
      <c r="EQ2386" s="1" t="s">
        <v>42</v>
      </c>
      <c r="ER2386" s="1" t="s">
        <v>617</v>
      </c>
      <c r="EU2386" s="1" t="s">
        <v>238</v>
      </c>
      <c r="EX2386" s="1" t="s">
        <v>13767</v>
      </c>
      <c r="EY2386" s="1" t="s">
        <v>206</v>
      </c>
      <c r="FC2386" s="1" t="s">
        <v>238</v>
      </c>
      <c r="FF2386" s="1" t="s">
        <v>239</v>
      </c>
      <c r="FG2386" s="1" t="s">
        <v>192</v>
      </c>
      <c r="FH2386" s="1" t="s">
        <v>192</v>
      </c>
      <c r="FJ2386" s="1" t="s">
        <v>524</v>
      </c>
      <c r="FK2386" s="1" t="s">
        <v>1586</v>
      </c>
      <c r="FL2386" s="1" t="s">
        <v>4548</v>
      </c>
      <c r="FM2386" s="1">
        <v>18720.0</v>
      </c>
      <c r="FN2386" s="1" t="s">
        <v>4549</v>
      </c>
      <c r="FO2386" s="1" t="s">
        <v>4550</v>
      </c>
      <c r="FP2386" s="1">
        <v>158518.0</v>
      </c>
      <c r="FQ2386" s="1" t="s">
        <v>4551</v>
      </c>
      <c r="FU2386" s="1" t="s">
        <v>21855</v>
      </c>
      <c r="FV2386" s="1" t="s">
        <v>200</v>
      </c>
      <c r="FW2386" s="1" t="s">
        <v>290</v>
      </c>
      <c r="FX2386" s="1" t="s">
        <v>246</v>
      </c>
      <c r="FZ2386" s="1" t="s">
        <v>229</v>
      </c>
      <c r="GA2386" s="1" t="s">
        <v>291</v>
      </c>
      <c r="GB2386" s="2">
        <v>42052.0</v>
      </c>
      <c r="GC2386" s="1" t="s">
        <v>21856</v>
      </c>
    </row>
    <row r="2387">
      <c r="A2387" s="1">
        <v>192000.0</v>
      </c>
      <c r="B2387" s="1" t="s">
        <v>185</v>
      </c>
      <c r="C2387" s="1" t="str">
        <f>"08760617"</f>
        <v>08760617</v>
      </c>
      <c r="D2387" s="1" t="s">
        <v>186</v>
      </c>
      <c r="F2387" s="1" t="str">
        <f>"560"</f>
        <v>560</v>
      </c>
      <c r="G2387" s="2">
        <v>41936.0</v>
      </c>
      <c r="H2387" s="1">
        <v>224995.0</v>
      </c>
      <c r="I2387" s="1">
        <v>103.0</v>
      </c>
      <c r="J2387" s="1">
        <v>192000.0</v>
      </c>
      <c r="K2387" s="2">
        <v>42038.0</v>
      </c>
      <c r="L2387" s="1">
        <v>103.0</v>
      </c>
      <c r="M2387" s="2">
        <v>42038.0</v>
      </c>
      <c r="N2387" s="1" t="s">
        <v>634</v>
      </c>
      <c r="O2387" s="2">
        <v>42075.0</v>
      </c>
      <c r="P2387" s="1">
        <v>214605.0</v>
      </c>
      <c r="Q2387" s="1">
        <v>25309.0</v>
      </c>
      <c r="S2387" s="1">
        <v>855.0</v>
      </c>
      <c r="T2387" s="1" t="s">
        <v>21857</v>
      </c>
      <c r="U2387" s="1" t="s">
        <v>1174</v>
      </c>
      <c r="V2387" s="1" t="s">
        <v>845</v>
      </c>
      <c r="W2387" s="1">
        <v>60560.0</v>
      </c>
      <c r="Y2387" s="1" t="s">
        <v>21858</v>
      </c>
      <c r="Z2387" s="1">
        <v>2006.0</v>
      </c>
      <c r="AA2387" s="1" t="s">
        <v>200</v>
      </c>
      <c r="AB2387" s="1" t="s">
        <v>467</v>
      </c>
      <c r="AC2387" s="1" t="s">
        <v>2375</v>
      </c>
      <c r="AD2387" s="1" t="s">
        <v>848</v>
      </c>
      <c r="AE2387" s="1" t="s">
        <v>849</v>
      </c>
      <c r="AF2387" s="1" t="s">
        <v>2153</v>
      </c>
      <c r="AH2387" s="1" t="s">
        <v>21859</v>
      </c>
      <c r="AK2387" s="1">
        <v>9.0</v>
      </c>
      <c r="AL2387" s="1">
        <v>4.0</v>
      </c>
      <c r="AM2387" s="1">
        <v>2.0</v>
      </c>
      <c r="AN2387" s="1">
        <v>1.0</v>
      </c>
      <c r="AO2387" s="1" t="s">
        <v>198</v>
      </c>
      <c r="AP2387" s="1">
        <v>1.0</v>
      </c>
      <c r="AQ2387" s="1" t="s">
        <v>1314</v>
      </c>
      <c r="AR2387" s="1" t="s">
        <v>200</v>
      </c>
      <c r="AS2387" s="1" t="s">
        <v>199</v>
      </c>
      <c r="AT2387" s="1">
        <v>2.0</v>
      </c>
      <c r="AV2387" s="1" t="s">
        <v>200</v>
      </c>
      <c r="AW2387" s="1">
        <v>8124.0</v>
      </c>
      <c r="AX2387" s="1">
        <v>2013.0</v>
      </c>
      <c r="AY2387" s="1" t="s">
        <v>387</v>
      </c>
      <c r="AZ2387" s="1" t="s">
        <v>200</v>
      </c>
      <c r="BA2387" s="1" t="str">
        <f>"0510101004"</f>
        <v>0510101004</v>
      </c>
      <c r="BB2387" s="1" t="s">
        <v>200</v>
      </c>
      <c r="BC2387" s="1">
        <v>2637.0</v>
      </c>
      <c r="BD2387" s="1">
        <v>192000.0</v>
      </c>
      <c r="BE2387" s="2">
        <v>41936.0</v>
      </c>
      <c r="BF2387" s="2" t="s">
        <v>21860</v>
      </c>
      <c r="BG2387" s="1" t="s">
        <v>5552</v>
      </c>
      <c r="BH2387" s="1">
        <v>155.0</v>
      </c>
      <c r="BI2387" s="1" t="s">
        <v>3052</v>
      </c>
      <c r="BJ2387" s="1" t="s">
        <v>3053</v>
      </c>
      <c r="BK2387" s="1" t="s">
        <v>1952</v>
      </c>
      <c r="BL2387" s="1" t="str">
        <f t="shared" ref="BL2387:BM2387" si="1554">""</f>
        <v/>
      </c>
      <c r="BM2387" s="1" t="str">
        <f t="shared" si="1554"/>
        <v/>
      </c>
      <c r="BQ2387" s="1">
        <v>115.0</v>
      </c>
      <c r="BR2387" s="1">
        <v>115.0</v>
      </c>
      <c r="BS2387" s="1">
        <v>115.0</v>
      </c>
      <c r="BU2387" s="1" t="s">
        <v>215</v>
      </c>
      <c r="BV2387" s="1" t="s">
        <v>206</v>
      </c>
      <c r="BW2387" s="1" t="s">
        <v>210</v>
      </c>
      <c r="BX2387" s="1" t="s">
        <v>239</v>
      </c>
      <c r="BY2387" s="1" t="s">
        <v>854</v>
      </c>
      <c r="BZ2387" s="1" t="s">
        <v>209</v>
      </c>
      <c r="CA2387" s="1" t="s">
        <v>210</v>
      </c>
      <c r="CB2387" s="1" t="s">
        <v>239</v>
      </c>
      <c r="CC2387" s="1" t="s">
        <v>363</v>
      </c>
      <c r="CD2387" s="1" t="s">
        <v>206</v>
      </c>
      <c r="CE2387" s="1" t="s">
        <v>210</v>
      </c>
      <c r="CF2387" s="1" t="s">
        <v>239</v>
      </c>
      <c r="CG2387" s="1" t="s">
        <v>332</v>
      </c>
      <c r="CH2387" s="1" t="s">
        <v>209</v>
      </c>
      <c r="CI2387" s="1" t="s">
        <v>210</v>
      </c>
      <c r="CJ2387" s="1" t="s">
        <v>239</v>
      </c>
      <c r="CK2387" s="1" t="s">
        <v>497</v>
      </c>
      <c r="CL2387" s="1" t="s">
        <v>209</v>
      </c>
      <c r="CM2387" s="1" t="s">
        <v>210</v>
      </c>
      <c r="CN2387" s="1" t="s">
        <v>431</v>
      </c>
      <c r="CO2387" s="1" t="s">
        <v>495</v>
      </c>
      <c r="CP2387" s="1" t="s">
        <v>209</v>
      </c>
      <c r="CQ2387" s="1" t="s">
        <v>210</v>
      </c>
      <c r="CR2387" s="1" t="s">
        <v>239</v>
      </c>
      <c r="CS2387" s="1" t="s">
        <v>2121</v>
      </c>
      <c r="CT2387" s="1" t="s">
        <v>206</v>
      </c>
      <c r="CU2387" s="1" t="s">
        <v>207</v>
      </c>
      <c r="CV2387" s="1" t="s">
        <v>239</v>
      </c>
      <c r="CW2387" s="1" t="s">
        <v>434</v>
      </c>
      <c r="CX2387" s="1" t="s">
        <v>206</v>
      </c>
      <c r="CY2387" s="1" t="s">
        <v>210</v>
      </c>
      <c r="CZ2387" s="1" t="s">
        <v>239</v>
      </c>
      <c r="DA2387" s="1" t="s">
        <v>200</v>
      </c>
      <c r="DC2387" s="1" t="s">
        <v>481</v>
      </c>
      <c r="DD2387" s="1" t="s">
        <v>586</v>
      </c>
      <c r="DE2387" s="1" t="s">
        <v>273</v>
      </c>
      <c r="DF2387" s="1" t="s">
        <v>219</v>
      </c>
      <c r="DG2387" s="1" t="s">
        <v>21861</v>
      </c>
      <c r="DH2387" s="1" t="s">
        <v>220</v>
      </c>
      <c r="DI2387" s="1" t="s">
        <v>1003</v>
      </c>
      <c r="DJ2387" s="1" t="s">
        <v>222</v>
      </c>
      <c r="DL2387" s="1" t="s">
        <v>3611</v>
      </c>
      <c r="DM2387" s="1" t="s">
        <v>229</v>
      </c>
      <c r="DP2387" s="1" t="s">
        <v>340</v>
      </c>
      <c r="DQ2387" s="1" t="s">
        <v>228</v>
      </c>
      <c r="DR2387" s="1" t="s">
        <v>2593</v>
      </c>
      <c r="DS2387" s="1" t="s">
        <v>230</v>
      </c>
      <c r="DU2387" s="1" t="s">
        <v>2464</v>
      </c>
      <c r="DV2387" s="1" t="s">
        <v>494</v>
      </c>
      <c r="DW2387" s="1" t="s">
        <v>233</v>
      </c>
      <c r="DX2387" s="1" t="s">
        <v>234</v>
      </c>
      <c r="DY2387" s="1" t="s">
        <v>1936</v>
      </c>
      <c r="EB2387" s="1" t="s">
        <v>863</v>
      </c>
      <c r="EC2387" s="1" t="s">
        <v>237</v>
      </c>
      <c r="ED2387" s="1" t="s">
        <v>407</v>
      </c>
      <c r="EG2387" s="1" t="s">
        <v>494</v>
      </c>
      <c r="EL2387" s="1" t="s">
        <v>495</v>
      </c>
      <c r="EM2387" s="1" t="s">
        <v>206</v>
      </c>
      <c r="EN2387" s="1" t="s">
        <v>210</v>
      </c>
      <c r="EO2387" s="1" t="s">
        <v>239</v>
      </c>
      <c r="EQ2387" s="1" t="s">
        <v>238</v>
      </c>
      <c r="EU2387" s="1" t="s">
        <v>238</v>
      </c>
      <c r="EY2387" s="1" t="s">
        <v>238</v>
      </c>
      <c r="FC2387" s="1" t="s">
        <v>238</v>
      </c>
      <c r="FF2387" s="1" t="s">
        <v>239</v>
      </c>
      <c r="FG2387" s="1" t="s">
        <v>192</v>
      </c>
      <c r="FH2387" s="1" t="s">
        <v>192</v>
      </c>
      <c r="FJ2387" s="1" t="s">
        <v>15691</v>
      </c>
      <c r="FK2387" s="1" t="s">
        <v>229</v>
      </c>
      <c r="FL2387" s="1" t="s">
        <v>4627</v>
      </c>
      <c r="FM2387" s="1">
        <v>23030.0</v>
      </c>
      <c r="FN2387" s="1" t="s">
        <v>4628</v>
      </c>
      <c r="FO2387" s="1" t="s">
        <v>21862</v>
      </c>
      <c r="FP2387" s="1">
        <v>232249.0</v>
      </c>
      <c r="FQ2387" s="1" t="s">
        <v>21863</v>
      </c>
      <c r="FT2387" s="1" t="s">
        <v>21864</v>
      </c>
      <c r="FU2387" s="1" t="s">
        <v>21865</v>
      </c>
      <c r="FV2387" s="1" t="s">
        <v>200</v>
      </c>
      <c r="FW2387" s="1" t="s">
        <v>21866</v>
      </c>
      <c r="FZ2387" s="1" t="s">
        <v>229</v>
      </c>
      <c r="GA2387" s="1" t="s">
        <v>291</v>
      </c>
      <c r="GB2387" s="2">
        <v>42075.0</v>
      </c>
      <c r="GC2387" s="1" t="s">
        <v>21867</v>
      </c>
    </row>
    <row r="2388">
      <c r="A2388" s="1">
        <v>295000.0</v>
      </c>
      <c r="B2388" s="1" t="s">
        <v>185</v>
      </c>
      <c r="C2388" s="1" t="str">
        <f>"08754572"</f>
        <v>08754572</v>
      </c>
      <c r="D2388" s="1" t="s">
        <v>186</v>
      </c>
      <c r="F2388" s="1" t="str">
        <f>"118"</f>
        <v>118</v>
      </c>
      <c r="G2388" s="2">
        <v>41928.0</v>
      </c>
      <c r="H2388" s="1">
        <v>299900.0</v>
      </c>
      <c r="I2388" s="1">
        <v>111.0</v>
      </c>
      <c r="J2388" s="1">
        <v>299900.0</v>
      </c>
      <c r="K2388" s="2">
        <v>41946.0</v>
      </c>
      <c r="L2388" s="1">
        <v>19.0</v>
      </c>
      <c r="M2388" s="2">
        <v>41946.0</v>
      </c>
      <c r="N2388" s="1" t="s">
        <v>356</v>
      </c>
      <c r="O2388" s="2">
        <v>42009.0</v>
      </c>
      <c r="P2388" s="1">
        <v>55332.0</v>
      </c>
      <c r="Q2388" s="1">
        <v>5152.0</v>
      </c>
      <c r="R2388" s="1">
        <v>1000.0</v>
      </c>
      <c r="S2388" s="1">
        <v>912.0</v>
      </c>
      <c r="T2388" s="1" t="s">
        <v>8580</v>
      </c>
      <c r="U2388" s="1" t="s">
        <v>569</v>
      </c>
      <c r="V2388" s="1" t="s">
        <v>3438</v>
      </c>
      <c r="W2388" s="1">
        <v>60118.0</v>
      </c>
      <c r="Y2388" s="1" t="s">
        <v>21868</v>
      </c>
      <c r="Z2388" s="1">
        <v>1988.0</v>
      </c>
      <c r="AA2388" s="1" t="s">
        <v>200</v>
      </c>
      <c r="AB2388" s="1" t="s">
        <v>193</v>
      </c>
      <c r="AC2388" s="1" t="s">
        <v>21869</v>
      </c>
      <c r="AD2388" s="1" t="s">
        <v>3440</v>
      </c>
      <c r="AE2388" s="1" t="s">
        <v>325</v>
      </c>
      <c r="AF2388" s="1" t="s">
        <v>810</v>
      </c>
      <c r="AH2388" s="1" t="s">
        <v>21870</v>
      </c>
      <c r="AI2388" s="1">
        <v>0.679</v>
      </c>
      <c r="AK2388" s="1">
        <v>11.0</v>
      </c>
      <c r="AL2388" s="1">
        <v>4.0</v>
      </c>
      <c r="AM2388" s="1">
        <v>2.0</v>
      </c>
      <c r="AN2388" s="1">
        <v>1.0</v>
      </c>
      <c r="AO2388" s="1" t="s">
        <v>198</v>
      </c>
      <c r="AP2388" s="1">
        <v>1.0</v>
      </c>
      <c r="AQ2388" s="1" t="s">
        <v>198</v>
      </c>
      <c r="AR2388" s="1" t="s">
        <v>200</v>
      </c>
      <c r="AS2388" s="1" t="s">
        <v>199</v>
      </c>
      <c r="AT2388" s="1">
        <v>2.0</v>
      </c>
      <c r="AV2388" s="1" t="s">
        <v>200</v>
      </c>
      <c r="AW2388" s="4">
        <v>7353.1</v>
      </c>
      <c r="AX2388" s="1">
        <v>2013.0</v>
      </c>
      <c r="AY2388" s="1" t="s">
        <v>6616</v>
      </c>
      <c r="AZ2388" s="1" t="s">
        <v>200</v>
      </c>
      <c r="BA2388" s="1" t="str">
        <f>"0328427017"</f>
        <v>0328427017</v>
      </c>
      <c r="BB2388" s="1" t="s">
        <v>200</v>
      </c>
      <c r="BC2388" s="1">
        <v>2669.0</v>
      </c>
      <c r="BD2388" s="1">
        <v>295000.0</v>
      </c>
      <c r="BE2388" s="2">
        <v>41928.0</v>
      </c>
      <c r="BF2388" s="2" t="s">
        <v>21871</v>
      </c>
      <c r="BH2388" s="1">
        <v>0.0</v>
      </c>
      <c r="BK2388" s="1" t="s">
        <v>204</v>
      </c>
      <c r="BL2388" s="1" t="str">
        <f t="shared" ref="BL2388:BM2388" si="1555">""</f>
        <v/>
      </c>
      <c r="BM2388" s="1" t="str">
        <f t="shared" si="1555"/>
        <v/>
      </c>
      <c r="BQ2388" s="1">
        <v>300.0</v>
      </c>
      <c r="BR2388" s="1">
        <v>300.0</v>
      </c>
      <c r="BS2388" s="1">
        <v>300.0</v>
      </c>
      <c r="BU2388" s="1" t="s">
        <v>331</v>
      </c>
      <c r="BV2388" s="1" t="s">
        <v>206</v>
      </c>
      <c r="BW2388" s="1" t="s">
        <v>210</v>
      </c>
      <c r="BY2388" s="1" t="s">
        <v>1000</v>
      </c>
      <c r="BZ2388" s="1" t="s">
        <v>209</v>
      </c>
      <c r="CA2388" s="1" t="s">
        <v>210</v>
      </c>
      <c r="CC2388" s="1" t="s">
        <v>211</v>
      </c>
      <c r="CD2388" s="1" t="s">
        <v>206</v>
      </c>
      <c r="CE2388" s="1" t="s">
        <v>207</v>
      </c>
      <c r="CG2388" s="1" t="s">
        <v>329</v>
      </c>
      <c r="CH2388" s="1" t="s">
        <v>209</v>
      </c>
      <c r="CI2388" s="1" t="s">
        <v>210</v>
      </c>
      <c r="CK2388" s="1" t="s">
        <v>454</v>
      </c>
      <c r="CL2388" s="1" t="s">
        <v>209</v>
      </c>
      <c r="CM2388" s="1" t="s">
        <v>210</v>
      </c>
      <c r="CO2388" s="1" t="s">
        <v>212</v>
      </c>
      <c r="CP2388" s="1" t="s">
        <v>209</v>
      </c>
      <c r="CQ2388" s="1" t="s">
        <v>210</v>
      </c>
      <c r="CS2388" s="1" t="s">
        <v>393</v>
      </c>
      <c r="CT2388" s="1" t="s">
        <v>206</v>
      </c>
      <c r="CU2388" s="1" t="s">
        <v>268</v>
      </c>
      <c r="CW2388" s="1" t="s">
        <v>924</v>
      </c>
      <c r="CX2388" s="1" t="s">
        <v>206</v>
      </c>
      <c r="CY2388" s="1" t="s">
        <v>207</v>
      </c>
      <c r="DA2388" s="1" t="s">
        <v>200</v>
      </c>
      <c r="DC2388" s="1" t="s">
        <v>305</v>
      </c>
      <c r="DD2388" s="1" t="s">
        <v>336</v>
      </c>
      <c r="DE2388" s="1" t="s">
        <v>273</v>
      </c>
      <c r="DF2388" s="1" t="s">
        <v>219</v>
      </c>
      <c r="DH2388" s="1" t="s">
        <v>220</v>
      </c>
      <c r="DI2388" s="1" t="s">
        <v>21872</v>
      </c>
      <c r="DJ2388" s="1" t="s">
        <v>857</v>
      </c>
      <c r="DK2388" s="1" t="s">
        <v>223</v>
      </c>
      <c r="DL2388" s="1" t="s">
        <v>858</v>
      </c>
      <c r="DM2388" s="1" t="s">
        <v>1268</v>
      </c>
      <c r="DN2388" s="1" t="s">
        <v>399</v>
      </c>
      <c r="DO2388" s="1" t="s">
        <v>486</v>
      </c>
      <c r="DP2388" s="1" t="s">
        <v>340</v>
      </c>
      <c r="DQ2388" s="1" t="s">
        <v>1557</v>
      </c>
      <c r="DR2388" s="1" t="s">
        <v>229</v>
      </c>
      <c r="DS2388" s="1" t="s">
        <v>230</v>
      </c>
      <c r="DU2388" s="1" t="s">
        <v>21873</v>
      </c>
      <c r="DV2388" s="1" t="s">
        <v>21874</v>
      </c>
      <c r="DW2388" s="1" t="s">
        <v>233</v>
      </c>
      <c r="DX2388" s="1" t="s">
        <v>234</v>
      </c>
      <c r="DY2388" s="1" t="s">
        <v>490</v>
      </c>
      <c r="DZ2388" s="1" t="s">
        <v>21875</v>
      </c>
      <c r="EB2388" s="1" t="s">
        <v>5230</v>
      </c>
      <c r="EC2388" s="1" t="s">
        <v>237</v>
      </c>
      <c r="ED2388" s="1" t="s">
        <v>407</v>
      </c>
      <c r="EE2388" s="1" t="s">
        <v>493</v>
      </c>
      <c r="EG2388" s="1" t="s">
        <v>449</v>
      </c>
      <c r="EH2388" s="1" t="s">
        <v>1121</v>
      </c>
      <c r="EI2388" s="1" t="s">
        <v>450</v>
      </c>
      <c r="EL2388" s="1" t="s">
        <v>497</v>
      </c>
      <c r="EM2388" s="1" t="s">
        <v>206</v>
      </c>
      <c r="EN2388" s="1" t="s">
        <v>268</v>
      </c>
      <c r="EP2388" s="1" t="s">
        <v>924</v>
      </c>
      <c r="EQ2388" s="1" t="s">
        <v>209</v>
      </c>
      <c r="ER2388" s="1" t="s">
        <v>210</v>
      </c>
      <c r="ET2388" s="1" t="s">
        <v>21876</v>
      </c>
      <c r="EU2388" s="1" t="s">
        <v>267</v>
      </c>
      <c r="EV2388" s="1" t="s">
        <v>210</v>
      </c>
      <c r="EY2388" s="1" t="s">
        <v>238</v>
      </c>
      <c r="FC2388" s="1" t="s">
        <v>238</v>
      </c>
      <c r="FF2388" s="1" t="s">
        <v>239</v>
      </c>
      <c r="FG2388" s="1" t="s">
        <v>192</v>
      </c>
      <c r="FH2388" s="1" t="s">
        <v>192</v>
      </c>
      <c r="FJ2388" s="1" t="s">
        <v>2552</v>
      </c>
      <c r="FK2388" s="1" t="s">
        <v>348</v>
      </c>
      <c r="FL2388" s="1" t="s">
        <v>1451</v>
      </c>
      <c r="FM2388" s="1">
        <v>7450.0</v>
      </c>
      <c r="FN2388" s="1" t="s">
        <v>1452</v>
      </c>
      <c r="FO2388" s="1" t="s">
        <v>5583</v>
      </c>
      <c r="FP2388" s="1">
        <v>70036.0</v>
      </c>
      <c r="FQ2388" s="1" t="s">
        <v>5584</v>
      </c>
      <c r="FR2388" s="1">
        <v>77640.0</v>
      </c>
      <c r="FU2388" s="1" t="s">
        <v>5585</v>
      </c>
      <c r="FV2388" s="1" t="s">
        <v>200</v>
      </c>
      <c r="FW2388" s="1" t="s">
        <v>290</v>
      </c>
      <c r="FZ2388" s="1" t="s">
        <v>632</v>
      </c>
      <c r="GA2388" s="1" t="s">
        <v>291</v>
      </c>
      <c r="GB2388" s="2">
        <v>42009.0</v>
      </c>
      <c r="GC2388" s="1" t="s">
        <v>21877</v>
      </c>
    </row>
    <row r="2389">
      <c r="A2389" s="1">
        <v>215000.0</v>
      </c>
      <c r="B2389" s="1" t="s">
        <v>185</v>
      </c>
      <c r="C2389" s="1" t="str">
        <f>"08753514"</f>
        <v>08753514</v>
      </c>
      <c r="D2389" s="1" t="s">
        <v>186</v>
      </c>
      <c r="F2389" s="1" t="str">
        <f>"103"</f>
        <v>103</v>
      </c>
      <c r="G2389" s="2">
        <v>41927.0</v>
      </c>
      <c r="H2389" s="1">
        <v>219900.0</v>
      </c>
      <c r="I2389" s="1">
        <v>6.0</v>
      </c>
      <c r="J2389" s="1">
        <v>219900.0</v>
      </c>
      <c r="K2389" s="2">
        <v>41932.0</v>
      </c>
      <c r="L2389" s="1">
        <v>6.0</v>
      </c>
      <c r="M2389" s="2">
        <v>41932.0</v>
      </c>
      <c r="N2389" s="1" t="s">
        <v>187</v>
      </c>
      <c r="O2389" s="2">
        <v>41988.0</v>
      </c>
      <c r="P2389" s="1">
        <v>81441.0</v>
      </c>
      <c r="Q2389" s="1">
        <v>1109.0</v>
      </c>
      <c r="R2389" s="1">
        <v>2660.0</v>
      </c>
      <c r="S2389" s="1">
        <v>2144.0</v>
      </c>
      <c r="T2389" s="1" t="s">
        <v>5164</v>
      </c>
      <c r="U2389" s="1" t="s">
        <v>1015</v>
      </c>
      <c r="V2389" s="1" t="s">
        <v>251</v>
      </c>
      <c r="W2389" s="1">
        <v>60133.0</v>
      </c>
      <c r="Y2389" s="1" t="s">
        <v>21878</v>
      </c>
      <c r="Z2389" s="1">
        <v>1991.0</v>
      </c>
      <c r="AA2389" s="1" t="s">
        <v>200</v>
      </c>
      <c r="AB2389" s="1" t="s">
        <v>193</v>
      </c>
      <c r="AC2389" s="1" t="s">
        <v>21879</v>
      </c>
      <c r="AD2389" s="1" t="s">
        <v>254</v>
      </c>
      <c r="AE2389" s="1" t="s">
        <v>1258</v>
      </c>
      <c r="AF2389" s="1" t="s">
        <v>298</v>
      </c>
      <c r="AG2389" s="1" t="s">
        <v>21880</v>
      </c>
      <c r="AH2389" s="6">
        <v>6686.0</v>
      </c>
      <c r="AK2389" s="1">
        <v>8.0</v>
      </c>
      <c r="AL2389" s="1">
        <v>4.0</v>
      </c>
      <c r="AM2389" s="1">
        <v>2.0</v>
      </c>
      <c r="AN2389" s="1">
        <v>1.0</v>
      </c>
      <c r="AO2389" s="1" t="s">
        <v>198</v>
      </c>
      <c r="AQ2389" s="1" t="s">
        <v>1314</v>
      </c>
      <c r="AR2389" s="1" t="s">
        <v>200</v>
      </c>
      <c r="AS2389" s="1" t="s">
        <v>199</v>
      </c>
      <c r="AT2389" s="1">
        <v>2.0</v>
      </c>
      <c r="AV2389" s="1" t="s">
        <v>200</v>
      </c>
      <c r="AW2389" s="1">
        <v>8154.0</v>
      </c>
      <c r="AX2389" s="1">
        <v>2013.0</v>
      </c>
      <c r="AY2389" s="1" t="s">
        <v>387</v>
      </c>
      <c r="AZ2389" s="1" t="s">
        <v>200</v>
      </c>
      <c r="BA2389" s="1" t="str">
        <f>"0112213020"</f>
        <v>0112213020</v>
      </c>
      <c r="BC2389" s="1">
        <v>2052.0</v>
      </c>
      <c r="BD2389" s="1">
        <v>215000.0</v>
      </c>
      <c r="BE2389" s="2">
        <v>41927.0</v>
      </c>
      <c r="BF2389" s="2" t="s">
        <v>21881</v>
      </c>
      <c r="BG2389" s="1" t="s">
        <v>16019</v>
      </c>
      <c r="BH2389" s="1">
        <v>0.0</v>
      </c>
      <c r="BI2389" s="1" t="s">
        <v>513</v>
      </c>
      <c r="BJ2389" s="1" t="s">
        <v>514</v>
      </c>
      <c r="BK2389" s="1" t="s">
        <v>204</v>
      </c>
      <c r="BL2389" s="1" t="str">
        <f t="shared" ref="BL2389:BM2389" si="1556">""</f>
        <v/>
      </c>
      <c r="BM2389" s="1" t="str">
        <f t="shared" si="1556"/>
        <v/>
      </c>
      <c r="BQ2389" s="1">
        <v>46.0</v>
      </c>
      <c r="BR2389" s="1">
        <v>46.0</v>
      </c>
      <c r="BS2389" s="1">
        <v>46.0</v>
      </c>
      <c r="BU2389" s="1" t="s">
        <v>454</v>
      </c>
      <c r="BV2389" s="1" t="s">
        <v>206</v>
      </c>
      <c r="BW2389" s="1" t="s">
        <v>207</v>
      </c>
      <c r="BY2389" s="1" t="s">
        <v>205</v>
      </c>
      <c r="BZ2389" s="1" t="s">
        <v>209</v>
      </c>
      <c r="CA2389" s="1" t="s">
        <v>210</v>
      </c>
      <c r="CC2389" s="1" t="s">
        <v>332</v>
      </c>
      <c r="CD2389" s="1" t="s">
        <v>206</v>
      </c>
      <c r="CE2389" s="1" t="s">
        <v>207</v>
      </c>
      <c r="CG2389" s="1" t="s">
        <v>212</v>
      </c>
      <c r="CH2389" s="1" t="s">
        <v>209</v>
      </c>
      <c r="CI2389" s="1" t="s">
        <v>210</v>
      </c>
      <c r="CK2389" s="1" t="s">
        <v>212</v>
      </c>
      <c r="CL2389" s="1" t="s">
        <v>209</v>
      </c>
      <c r="CM2389" s="1" t="s">
        <v>210</v>
      </c>
      <c r="CO2389" s="1" t="s">
        <v>264</v>
      </c>
      <c r="CP2389" s="1" t="s">
        <v>209</v>
      </c>
      <c r="CQ2389" s="1" t="s">
        <v>210</v>
      </c>
      <c r="CS2389" s="1" t="s">
        <v>955</v>
      </c>
      <c r="CT2389" s="1" t="s">
        <v>206</v>
      </c>
      <c r="CU2389" s="1" t="s">
        <v>268</v>
      </c>
      <c r="CW2389" s="1" t="s">
        <v>784</v>
      </c>
      <c r="CX2389" s="1" t="s">
        <v>206</v>
      </c>
      <c r="CY2389" s="1" t="s">
        <v>207</v>
      </c>
      <c r="DA2389" s="1" t="s">
        <v>200</v>
      </c>
      <c r="DC2389" s="1" t="s">
        <v>435</v>
      </c>
      <c r="DD2389" s="1" t="s">
        <v>396</v>
      </c>
      <c r="DE2389" s="1" t="s">
        <v>273</v>
      </c>
      <c r="DF2389" s="1" t="s">
        <v>219</v>
      </c>
      <c r="DH2389" s="1" t="s">
        <v>365</v>
      </c>
      <c r="DI2389" s="1" t="s">
        <v>959</v>
      </c>
      <c r="DJ2389" s="1" t="s">
        <v>222</v>
      </c>
      <c r="DL2389" s="1" t="s">
        <v>1267</v>
      </c>
      <c r="DM2389" s="1" t="s">
        <v>229</v>
      </c>
      <c r="DP2389" s="1" t="s">
        <v>340</v>
      </c>
      <c r="DQ2389" s="1" t="s">
        <v>228</v>
      </c>
      <c r="DR2389" s="1" t="s">
        <v>229</v>
      </c>
      <c r="DV2389" s="1" t="s">
        <v>232</v>
      </c>
      <c r="DW2389" s="1" t="s">
        <v>444</v>
      </c>
      <c r="DX2389" s="1" t="s">
        <v>234</v>
      </c>
      <c r="DY2389" s="1" t="s">
        <v>2972</v>
      </c>
      <c r="EC2389" s="1" t="s">
        <v>237</v>
      </c>
      <c r="EE2389" s="1" t="s">
        <v>493</v>
      </c>
      <c r="EM2389" s="1" t="s">
        <v>238</v>
      </c>
      <c r="EQ2389" s="1" t="s">
        <v>238</v>
      </c>
      <c r="EU2389" s="1" t="s">
        <v>238</v>
      </c>
      <c r="EY2389" s="1" t="s">
        <v>238</v>
      </c>
      <c r="FC2389" s="1" t="s">
        <v>238</v>
      </c>
      <c r="FF2389" s="1" t="s">
        <v>239</v>
      </c>
      <c r="FG2389" s="1" t="s">
        <v>192</v>
      </c>
      <c r="FH2389" s="1" t="s">
        <v>192</v>
      </c>
      <c r="FJ2389" s="1" t="s">
        <v>706</v>
      </c>
      <c r="FK2389" s="1" t="s">
        <v>229</v>
      </c>
      <c r="FL2389" s="1" t="s">
        <v>21882</v>
      </c>
      <c r="FM2389" s="1">
        <v>4563.0</v>
      </c>
      <c r="FN2389" s="1" t="s">
        <v>21883</v>
      </c>
      <c r="FO2389" s="1" t="s">
        <v>21884</v>
      </c>
      <c r="FP2389" s="1">
        <v>37272.0</v>
      </c>
      <c r="FQ2389" s="1" t="s">
        <v>21885</v>
      </c>
      <c r="FU2389" s="1" t="s">
        <v>21886</v>
      </c>
      <c r="FV2389" s="1" t="s">
        <v>200</v>
      </c>
      <c r="FW2389" s="1" t="s">
        <v>290</v>
      </c>
      <c r="FZ2389" s="1" t="s">
        <v>229</v>
      </c>
      <c r="GA2389" s="1" t="s">
        <v>291</v>
      </c>
      <c r="GB2389" s="2">
        <v>41988.0</v>
      </c>
      <c r="GC2389" s="1" t="s">
        <v>21887</v>
      </c>
    </row>
    <row r="2390">
      <c r="A2390" s="1">
        <v>141018.0</v>
      </c>
      <c r="B2390" s="1" t="s">
        <v>185</v>
      </c>
      <c r="C2390" s="1" t="str">
        <f>"08758550"</f>
        <v>08758550</v>
      </c>
      <c r="D2390" s="1" t="s">
        <v>186</v>
      </c>
      <c r="F2390" s="1" t="str">
        <f>"8075"</f>
        <v>8075</v>
      </c>
      <c r="G2390" s="2">
        <v>41933.0</v>
      </c>
      <c r="H2390" s="1">
        <v>115500.0</v>
      </c>
      <c r="I2390" s="1">
        <v>106.0</v>
      </c>
      <c r="J2390" s="1">
        <v>115500.0</v>
      </c>
      <c r="K2390" s="2">
        <v>42038.0</v>
      </c>
      <c r="L2390" s="1">
        <v>106.0</v>
      </c>
      <c r="M2390" s="2">
        <v>42038.0</v>
      </c>
      <c r="N2390" s="1" t="s">
        <v>249</v>
      </c>
      <c r="O2390" s="2">
        <v>42083.0</v>
      </c>
      <c r="P2390" s="1">
        <v>236593.0</v>
      </c>
      <c r="Q2390" s="1">
        <v>25586.0</v>
      </c>
      <c r="S2390" s="1">
        <v>2350.0</v>
      </c>
      <c r="T2390" s="1" t="s">
        <v>21888</v>
      </c>
      <c r="U2390" s="1" t="s">
        <v>320</v>
      </c>
      <c r="V2390" s="1" t="s">
        <v>190</v>
      </c>
      <c r="W2390" s="1">
        <v>60643.0</v>
      </c>
      <c r="Y2390" s="1" t="s">
        <v>21889</v>
      </c>
      <c r="Z2390" s="1">
        <v>1900.0</v>
      </c>
      <c r="AA2390" s="1" t="s">
        <v>192</v>
      </c>
      <c r="AB2390" s="1" t="s">
        <v>193</v>
      </c>
      <c r="AD2390" s="1" t="s">
        <v>194</v>
      </c>
      <c r="AE2390" s="1" t="s">
        <v>195</v>
      </c>
      <c r="AF2390" s="1" t="s">
        <v>659</v>
      </c>
      <c r="AH2390" s="1" t="s">
        <v>21890</v>
      </c>
      <c r="AI2390" s="1">
        <v>0.1722</v>
      </c>
      <c r="AK2390" s="1">
        <v>8.0</v>
      </c>
      <c r="AL2390" s="1">
        <v>4.0</v>
      </c>
      <c r="AM2390" s="1">
        <v>2.0</v>
      </c>
      <c r="AN2390" s="1">
        <v>0.0</v>
      </c>
      <c r="AO2390" s="1" t="s">
        <v>229</v>
      </c>
      <c r="AQ2390" s="1" t="s">
        <v>198</v>
      </c>
      <c r="AR2390" s="1" t="s">
        <v>200</v>
      </c>
      <c r="AS2390" s="1" t="s">
        <v>229</v>
      </c>
      <c r="AV2390" s="1" t="s">
        <v>200</v>
      </c>
      <c r="AW2390" s="1">
        <v>4101.25</v>
      </c>
      <c r="AX2390" s="1">
        <v>2012.0</v>
      </c>
      <c r="AZ2390" s="1" t="s">
        <v>200</v>
      </c>
      <c r="BA2390" s="1" t="str">
        <f>"25183090190000"</f>
        <v>25183090190000</v>
      </c>
      <c r="BC2390" s="1">
        <v>0.0</v>
      </c>
      <c r="BD2390" s="1">
        <v>141018.0</v>
      </c>
      <c r="BE2390" s="2">
        <v>41933.0</v>
      </c>
      <c r="BF2390" s="1" t="s">
        <v>21891</v>
      </c>
      <c r="BH2390" s="1">
        <v>0.0</v>
      </c>
      <c r="BK2390" s="1" t="s">
        <v>204</v>
      </c>
      <c r="BL2390" s="1" t="str">
        <f t="shared" ref="BL2390:BM2390" si="1557">"0"</f>
        <v>0</v>
      </c>
      <c r="BM2390" s="1" t="str">
        <f t="shared" si="1557"/>
        <v>0</v>
      </c>
      <c r="BN2390" s="1">
        <v>2350.0</v>
      </c>
      <c r="BO2390" s="1">
        <v>11000.0</v>
      </c>
      <c r="BQ2390" s="1">
        <v>299.0</v>
      </c>
      <c r="BR2390" s="1">
        <v>299.0</v>
      </c>
      <c r="BS2390" s="1">
        <v>299.0</v>
      </c>
      <c r="BU2390" s="1" t="s">
        <v>333</v>
      </c>
      <c r="BV2390" s="1" t="s">
        <v>206</v>
      </c>
      <c r="BY2390" s="1" t="s">
        <v>363</v>
      </c>
      <c r="BZ2390" s="1" t="s">
        <v>209</v>
      </c>
      <c r="CC2390" s="1" t="s">
        <v>393</v>
      </c>
      <c r="CD2390" s="1" t="s">
        <v>206</v>
      </c>
      <c r="CG2390" s="1" t="s">
        <v>699</v>
      </c>
      <c r="CH2390" s="1" t="s">
        <v>209</v>
      </c>
      <c r="CK2390" s="1" t="s">
        <v>269</v>
      </c>
      <c r="CL2390" s="1" t="s">
        <v>209</v>
      </c>
      <c r="CO2390" s="1" t="s">
        <v>269</v>
      </c>
      <c r="CP2390" s="1" t="s">
        <v>209</v>
      </c>
      <c r="CS2390" s="1" t="s">
        <v>264</v>
      </c>
      <c r="CT2390" s="1" t="s">
        <v>206</v>
      </c>
      <c r="CW2390" s="1" t="s">
        <v>333</v>
      </c>
      <c r="CX2390" s="1" t="s">
        <v>206</v>
      </c>
      <c r="DA2390" s="1" t="s">
        <v>200</v>
      </c>
      <c r="DC2390" s="1" t="s">
        <v>642</v>
      </c>
      <c r="DE2390" s="1" t="s">
        <v>229</v>
      </c>
      <c r="DF2390" s="1" t="s">
        <v>619</v>
      </c>
      <c r="DH2390" s="1" t="s">
        <v>220</v>
      </c>
      <c r="DJ2390" s="1" t="s">
        <v>222</v>
      </c>
      <c r="DL2390" s="1" t="s">
        <v>223</v>
      </c>
      <c r="DM2390" s="1" t="s">
        <v>3575</v>
      </c>
      <c r="DQ2390" s="1" t="s">
        <v>228</v>
      </c>
      <c r="DR2390" s="1" t="s">
        <v>229</v>
      </c>
      <c r="DV2390" s="1" t="s">
        <v>232</v>
      </c>
      <c r="DW2390" s="1" t="s">
        <v>667</v>
      </c>
      <c r="DX2390" s="1" t="s">
        <v>234</v>
      </c>
      <c r="EC2390" s="1" t="s">
        <v>237</v>
      </c>
      <c r="EM2390" s="1" t="s">
        <v>238</v>
      </c>
      <c r="EQ2390" s="1" t="s">
        <v>238</v>
      </c>
      <c r="EU2390" s="1" t="s">
        <v>238</v>
      </c>
      <c r="EY2390" s="1" t="s">
        <v>238</v>
      </c>
      <c r="FC2390" s="1" t="s">
        <v>238</v>
      </c>
      <c r="FF2390" s="1" t="s">
        <v>239</v>
      </c>
      <c r="FG2390" s="1" t="s">
        <v>192</v>
      </c>
      <c r="FH2390" s="1" t="s">
        <v>192</v>
      </c>
      <c r="FJ2390" s="1" t="s">
        <v>1248</v>
      </c>
      <c r="FK2390" s="1" t="s">
        <v>229</v>
      </c>
      <c r="FL2390" s="1" t="s">
        <v>3272</v>
      </c>
      <c r="FM2390" s="1">
        <v>12511.0</v>
      </c>
      <c r="FN2390" s="1" t="s">
        <v>3273</v>
      </c>
      <c r="FO2390" s="1" t="s">
        <v>3274</v>
      </c>
      <c r="FP2390" s="1">
        <v>121408.0</v>
      </c>
      <c r="FQ2390" s="1" t="s">
        <v>3275</v>
      </c>
      <c r="FU2390" s="1" t="s">
        <v>3276</v>
      </c>
      <c r="FV2390" s="1" t="s">
        <v>200</v>
      </c>
      <c r="FW2390" s="1" t="s">
        <v>1307</v>
      </c>
      <c r="FX2390" s="1" t="s">
        <v>246</v>
      </c>
      <c r="FZ2390" s="1" t="s">
        <v>229</v>
      </c>
      <c r="GA2390" s="1" t="s">
        <v>291</v>
      </c>
      <c r="GB2390" s="2">
        <v>42086.0</v>
      </c>
      <c r="GC2390" s="1" t="s">
        <v>21892</v>
      </c>
    </row>
    <row r="2391">
      <c r="A2391" s="1">
        <v>975000.0</v>
      </c>
      <c r="B2391" s="1" t="s">
        <v>185</v>
      </c>
      <c r="C2391" s="1" t="str">
        <f>"08758950"</f>
        <v>08758950</v>
      </c>
      <c r="D2391" s="1" t="s">
        <v>186</v>
      </c>
      <c r="F2391" s="1" t="str">
        <f>"8007"</f>
        <v>8007</v>
      </c>
      <c r="G2391" s="2">
        <v>41934.0</v>
      </c>
      <c r="H2391" s="1">
        <v>1049900.0</v>
      </c>
      <c r="I2391" s="1">
        <v>122.0</v>
      </c>
      <c r="J2391" s="1">
        <v>1025000.0</v>
      </c>
      <c r="K2391" s="2">
        <v>41967.0</v>
      </c>
      <c r="L2391" s="1">
        <v>34.0</v>
      </c>
      <c r="M2391" s="2">
        <v>41967.0</v>
      </c>
      <c r="N2391" s="1" t="s">
        <v>187</v>
      </c>
      <c r="O2391" s="2">
        <v>42003.0</v>
      </c>
      <c r="P2391" s="1">
        <v>126952.0</v>
      </c>
      <c r="Q2391" s="1">
        <v>84215.0</v>
      </c>
      <c r="S2391" s="1">
        <v>2730.0</v>
      </c>
      <c r="T2391" s="1" t="s">
        <v>6648</v>
      </c>
      <c r="U2391" s="1" t="s">
        <v>189</v>
      </c>
      <c r="V2391" s="1" t="s">
        <v>190</v>
      </c>
      <c r="W2391" s="1">
        <v>60614.0</v>
      </c>
      <c r="Y2391" s="1" t="s">
        <v>21893</v>
      </c>
      <c r="Z2391" s="1">
        <v>2001.0</v>
      </c>
      <c r="AA2391" s="1" t="s">
        <v>200</v>
      </c>
      <c r="AB2391" s="1" t="s">
        <v>193</v>
      </c>
      <c r="AD2391" s="1" t="s">
        <v>194</v>
      </c>
      <c r="AE2391" s="1" t="s">
        <v>195</v>
      </c>
      <c r="AF2391" s="1" t="s">
        <v>534</v>
      </c>
      <c r="AH2391" s="1" t="s">
        <v>12313</v>
      </c>
      <c r="AK2391" s="1">
        <v>10.0</v>
      </c>
      <c r="AL2391" s="1">
        <v>4.0</v>
      </c>
      <c r="AM2391" s="1">
        <v>3.0</v>
      </c>
      <c r="AN2391" s="1">
        <v>1.0</v>
      </c>
      <c r="AO2391" s="1" t="s">
        <v>198</v>
      </c>
      <c r="AP2391" s="1">
        <v>2.0</v>
      </c>
      <c r="AQ2391" s="1" t="s">
        <v>472</v>
      </c>
      <c r="AR2391" s="1" t="s">
        <v>192</v>
      </c>
      <c r="AS2391" s="1" t="s">
        <v>199</v>
      </c>
      <c r="AT2391" s="1">
        <v>2.0</v>
      </c>
      <c r="AV2391" s="1" t="s">
        <v>200</v>
      </c>
      <c r="AW2391" s="1">
        <v>14056.43</v>
      </c>
      <c r="AX2391" s="1">
        <v>2013.0</v>
      </c>
      <c r="AY2391" s="1" t="s">
        <v>387</v>
      </c>
      <c r="AZ2391" s="1" t="s">
        <v>200</v>
      </c>
      <c r="BA2391" s="1" t="str">
        <f>"14304040170000"</f>
        <v>14304040170000</v>
      </c>
      <c r="BC2391" s="1">
        <v>0.0</v>
      </c>
      <c r="BD2391" s="1">
        <v>975000.0</v>
      </c>
      <c r="BE2391" s="2">
        <v>41934.0</v>
      </c>
      <c r="BF2391" s="2" t="s">
        <v>21894</v>
      </c>
      <c r="BH2391" s="1">
        <v>0.0</v>
      </c>
      <c r="BK2391" s="1" t="s">
        <v>204</v>
      </c>
      <c r="BL2391" s="1" t="str">
        <f>"2730"</f>
        <v>2730</v>
      </c>
      <c r="BM2391" s="1" t="str">
        <f>"0"</f>
        <v>0</v>
      </c>
      <c r="BN2391" s="1">
        <v>1650.0</v>
      </c>
      <c r="BO2391" s="1">
        <v>0.0</v>
      </c>
      <c r="BQ2391" s="1">
        <v>299.0</v>
      </c>
      <c r="BR2391" s="1">
        <v>299.0</v>
      </c>
      <c r="BS2391" s="1">
        <v>299.0</v>
      </c>
      <c r="BU2391" s="1" t="s">
        <v>639</v>
      </c>
      <c r="BV2391" s="1" t="s">
        <v>206</v>
      </c>
      <c r="BW2391" s="1" t="s">
        <v>207</v>
      </c>
      <c r="BY2391" s="1" t="s">
        <v>854</v>
      </c>
      <c r="BZ2391" s="1" t="s">
        <v>209</v>
      </c>
      <c r="CA2391" s="1" t="s">
        <v>207</v>
      </c>
      <c r="CC2391" s="1" t="s">
        <v>664</v>
      </c>
      <c r="CD2391" s="1" t="s">
        <v>206</v>
      </c>
      <c r="CE2391" s="1" t="s">
        <v>207</v>
      </c>
      <c r="CG2391" s="1" t="s">
        <v>663</v>
      </c>
      <c r="CH2391" s="1" t="s">
        <v>209</v>
      </c>
      <c r="CI2391" s="1" t="s">
        <v>207</v>
      </c>
      <c r="CK2391" s="1" t="s">
        <v>205</v>
      </c>
      <c r="CL2391" s="1" t="s">
        <v>209</v>
      </c>
      <c r="CM2391" s="1" t="s">
        <v>207</v>
      </c>
      <c r="CO2391" s="1" t="s">
        <v>329</v>
      </c>
      <c r="CP2391" s="1" t="s">
        <v>267</v>
      </c>
      <c r="CQ2391" s="1" t="s">
        <v>210</v>
      </c>
      <c r="CS2391" s="1" t="s">
        <v>639</v>
      </c>
      <c r="CT2391" s="1" t="s">
        <v>206</v>
      </c>
      <c r="CU2391" s="1" t="s">
        <v>207</v>
      </c>
      <c r="CW2391" s="1" t="s">
        <v>21895</v>
      </c>
      <c r="CX2391" s="1" t="s">
        <v>267</v>
      </c>
      <c r="CY2391" s="1" t="s">
        <v>210</v>
      </c>
      <c r="DA2391" s="1" t="s">
        <v>200</v>
      </c>
      <c r="DC2391" s="1" t="s">
        <v>335</v>
      </c>
      <c r="DD2391" s="1" t="s">
        <v>306</v>
      </c>
      <c r="DE2391" s="1" t="s">
        <v>218</v>
      </c>
      <c r="DF2391" s="1" t="s">
        <v>2328</v>
      </c>
      <c r="DH2391" s="1" t="s">
        <v>365</v>
      </c>
      <c r="DI2391" s="1" t="s">
        <v>1813</v>
      </c>
      <c r="DJ2391" s="1" t="s">
        <v>1379</v>
      </c>
      <c r="DL2391" s="1" t="s">
        <v>224</v>
      </c>
      <c r="DM2391" s="1" t="s">
        <v>229</v>
      </c>
      <c r="DN2391" s="1" t="s">
        <v>399</v>
      </c>
      <c r="DP2391" s="1" t="s">
        <v>276</v>
      </c>
      <c r="DQ2391" s="1" t="s">
        <v>718</v>
      </c>
      <c r="DR2391" s="1" t="s">
        <v>229</v>
      </c>
      <c r="DS2391" s="1" t="s">
        <v>230</v>
      </c>
      <c r="DU2391" s="1" t="s">
        <v>19796</v>
      </c>
      <c r="DV2391" s="1" t="s">
        <v>21896</v>
      </c>
      <c r="DW2391" s="1" t="s">
        <v>489</v>
      </c>
      <c r="DX2391" s="1" t="s">
        <v>234</v>
      </c>
      <c r="DY2391" s="1" t="s">
        <v>16881</v>
      </c>
      <c r="EB2391" s="1" t="s">
        <v>15551</v>
      </c>
      <c r="EC2391" s="1" t="s">
        <v>237</v>
      </c>
      <c r="EG2391" s="1" t="s">
        <v>1164</v>
      </c>
      <c r="EH2391" s="1" t="s">
        <v>1467</v>
      </c>
      <c r="EI2391" s="1" t="s">
        <v>2877</v>
      </c>
      <c r="EK2391" s="1" t="s">
        <v>310</v>
      </c>
      <c r="EL2391" s="1" t="s">
        <v>434</v>
      </c>
      <c r="EM2391" s="1" t="s">
        <v>206</v>
      </c>
      <c r="EN2391" s="1" t="s">
        <v>207</v>
      </c>
      <c r="EP2391" s="1" t="s">
        <v>13629</v>
      </c>
      <c r="EQ2391" s="1" t="s">
        <v>267</v>
      </c>
      <c r="ER2391" s="1" t="s">
        <v>268</v>
      </c>
      <c r="ES2391" s="1" t="s">
        <v>229</v>
      </c>
      <c r="ET2391" s="1" t="s">
        <v>12606</v>
      </c>
      <c r="EU2391" s="1" t="s">
        <v>206</v>
      </c>
      <c r="EV2391" s="1" t="s">
        <v>207</v>
      </c>
      <c r="EW2391" s="1" t="s">
        <v>229</v>
      </c>
      <c r="EY2391" s="1" t="s">
        <v>238</v>
      </c>
      <c r="FB2391" s="1" t="s">
        <v>904</v>
      </c>
      <c r="FC2391" s="1" t="s">
        <v>206</v>
      </c>
      <c r="FD2391" s="1" t="s">
        <v>588</v>
      </c>
      <c r="FE2391" s="1" t="s">
        <v>229</v>
      </c>
      <c r="FF2391" s="1" t="s">
        <v>239</v>
      </c>
      <c r="FG2391" s="1" t="s">
        <v>192</v>
      </c>
      <c r="FH2391" s="1" t="s">
        <v>192</v>
      </c>
      <c r="FJ2391" s="1" t="s">
        <v>561</v>
      </c>
      <c r="FK2391" s="1" t="s">
        <v>229</v>
      </c>
      <c r="FL2391" s="1" t="s">
        <v>562</v>
      </c>
      <c r="FM2391" s="1">
        <v>84730.0</v>
      </c>
      <c r="FN2391" s="1" t="s">
        <v>1147</v>
      </c>
      <c r="FO2391" s="1" t="s">
        <v>21897</v>
      </c>
      <c r="FP2391" s="1">
        <v>129552.0</v>
      </c>
      <c r="FQ2391" s="1" t="s">
        <v>21898</v>
      </c>
      <c r="FU2391" s="1" t="s">
        <v>21899</v>
      </c>
      <c r="FV2391" s="1" t="s">
        <v>192</v>
      </c>
      <c r="FW2391" s="1" t="s">
        <v>530</v>
      </c>
      <c r="FX2391" s="1" t="s">
        <v>238</v>
      </c>
      <c r="FZ2391" s="1" t="s">
        <v>229</v>
      </c>
      <c r="GA2391" s="1" t="s">
        <v>291</v>
      </c>
      <c r="GB2391" s="2">
        <v>42003.0</v>
      </c>
      <c r="GC2391" s="1" t="s">
        <v>21900</v>
      </c>
    </row>
    <row r="2392">
      <c r="A2392" s="1">
        <v>200000.0</v>
      </c>
      <c r="B2392" s="1" t="s">
        <v>185</v>
      </c>
      <c r="C2392" s="1" t="str">
        <f>"08756540"</f>
        <v>08756540</v>
      </c>
      <c r="D2392" s="1" t="s">
        <v>186</v>
      </c>
      <c r="F2392" s="1" t="str">
        <f>"543"</f>
        <v>543</v>
      </c>
      <c r="G2392" s="2">
        <v>41931.0</v>
      </c>
      <c r="H2392" s="1">
        <v>239900.0</v>
      </c>
      <c r="I2392" s="1">
        <v>89.0</v>
      </c>
      <c r="J2392" s="1">
        <v>199900.0</v>
      </c>
      <c r="K2392" s="2">
        <v>42019.0</v>
      </c>
      <c r="L2392" s="1">
        <v>89.0</v>
      </c>
      <c r="M2392" s="2">
        <v>42019.0</v>
      </c>
      <c r="N2392" s="1" t="s">
        <v>187</v>
      </c>
      <c r="O2392" s="2">
        <v>42080.0</v>
      </c>
      <c r="P2392" s="1">
        <v>241902.0</v>
      </c>
      <c r="Q2392" s="1">
        <v>8079.0</v>
      </c>
      <c r="S2392" s="1">
        <v>421.0</v>
      </c>
      <c r="T2392" s="1" t="s">
        <v>21901</v>
      </c>
      <c r="U2392" s="1" t="s">
        <v>569</v>
      </c>
      <c r="V2392" s="1" t="s">
        <v>1527</v>
      </c>
      <c r="W2392" s="1">
        <v>60543.0</v>
      </c>
      <c r="Y2392" s="1" t="s">
        <v>21902</v>
      </c>
      <c r="Z2392" s="1">
        <v>2000.0</v>
      </c>
      <c r="AA2392" s="1" t="s">
        <v>200</v>
      </c>
      <c r="AB2392" s="1" t="s">
        <v>467</v>
      </c>
      <c r="AC2392" s="1" t="s">
        <v>21903</v>
      </c>
      <c r="AD2392" s="1" t="s">
        <v>1529</v>
      </c>
      <c r="AE2392" s="1" t="s">
        <v>849</v>
      </c>
      <c r="AF2392" s="1" t="s">
        <v>1529</v>
      </c>
      <c r="AH2392" s="1" t="s">
        <v>21904</v>
      </c>
      <c r="AI2392" s="1">
        <v>0.0</v>
      </c>
      <c r="AK2392" s="1">
        <v>8.0</v>
      </c>
      <c r="AL2392" s="1">
        <v>4.0</v>
      </c>
      <c r="AM2392" s="1">
        <v>2.0</v>
      </c>
      <c r="AN2392" s="1">
        <v>1.0</v>
      </c>
      <c r="AO2392" s="1" t="s">
        <v>198</v>
      </c>
      <c r="AP2392" s="1">
        <v>0.0</v>
      </c>
      <c r="AQ2392" s="1" t="s">
        <v>198</v>
      </c>
      <c r="AR2392" s="1" t="s">
        <v>200</v>
      </c>
      <c r="AS2392" s="1" t="s">
        <v>199</v>
      </c>
      <c r="AT2392" s="1">
        <v>3.0</v>
      </c>
      <c r="AV2392" s="1" t="s">
        <v>200</v>
      </c>
      <c r="AW2392" s="4">
        <v>7382.08</v>
      </c>
      <c r="AX2392" s="1">
        <v>2013.0</v>
      </c>
      <c r="AY2392" s="1" t="s">
        <v>387</v>
      </c>
      <c r="AZ2392" s="1" t="s">
        <v>200</v>
      </c>
      <c r="BA2392" s="1" t="str">
        <f>"0311226004"</f>
        <v>0311226004</v>
      </c>
      <c r="BB2392" s="1" t="s">
        <v>200</v>
      </c>
      <c r="BC2392" s="1">
        <v>2273.0</v>
      </c>
      <c r="BD2392" s="1">
        <v>200000.0</v>
      </c>
      <c r="BE2392" s="2">
        <v>41931.0</v>
      </c>
      <c r="BF2392" s="2" t="s">
        <v>21905</v>
      </c>
      <c r="BG2392" s="1" t="s">
        <v>4271</v>
      </c>
      <c r="BH2392" s="1">
        <v>225.0</v>
      </c>
      <c r="BI2392" s="1" t="s">
        <v>3647</v>
      </c>
      <c r="BJ2392" s="1" t="s">
        <v>2546</v>
      </c>
      <c r="BK2392" s="1" t="s">
        <v>580</v>
      </c>
      <c r="BL2392" s="1" t="str">
        <f t="shared" ref="BL2392:BM2392" si="1558">"0"</f>
        <v>0</v>
      </c>
      <c r="BM2392" s="1" t="str">
        <f t="shared" si="1558"/>
        <v>0</v>
      </c>
      <c r="BN2392" s="1">
        <v>34.0</v>
      </c>
      <c r="BO2392" s="1">
        <v>10.0</v>
      </c>
      <c r="BQ2392" s="1">
        <v>308.0</v>
      </c>
      <c r="BR2392" s="1">
        <v>308.0</v>
      </c>
      <c r="BS2392" s="1">
        <v>308.0</v>
      </c>
      <c r="BU2392" s="1" t="s">
        <v>616</v>
      </c>
      <c r="BV2392" s="1" t="s">
        <v>206</v>
      </c>
      <c r="BW2392" s="1" t="s">
        <v>210</v>
      </c>
      <c r="BY2392" s="1" t="s">
        <v>1117</v>
      </c>
      <c r="BZ2392" s="1" t="s">
        <v>209</v>
      </c>
      <c r="CA2392" s="1" t="s">
        <v>210</v>
      </c>
      <c r="CC2392" s="1" t="s">
        <v>392</v>
      </c>
      <c r="CD2392" s="1" t="s">
        <v>206</v>
      </c>
      <c r="CE2392" s="1" t="s">
        <v>210</v>
      </c>
      <c r="CG2392" s="1" t="s">
        <v>699</v>
      </c>
      <c r="CH2392" s="1" t="s">
        <v>209</v>
      </c>
      <c r="CI2392" s="1" t="s">
        <v>588</v>
      </c>
      <c r="CK2392" s="1" t="s">
        <v>495</v>
      </c>
      <c r="CL2392" s="1" t="s">
        <v>209</v>
      </c>
      <c r="CM2392" s="1" t="s">
        <v>210</v>
      </c>
      <c r="CO2392" s="1" t="s">
        <v>269</v>
      </c>
      <c r="CP2392" s="1" t="s">
        <v>209</v>
      </c>
      <c r="CQ2392" s="1" t="s">
        <v>210</v>
      </c>
      <c r="CS2392" s="1" t="s">
        <v>260</v>
      </c>
      <c r="CT2392" s="1" t="s">
        <v>206</v>
      </c>
      <c r="CU2392" s="1" t="s">
        <v>268</v>
      </c>
      <c r="CW2392" s="1" t="s">
        <v>361</v>
      </c>
      <c r="CX2392" s="1" t="s">
        <v>206</v>
      </c>
      <c r="CY2392" s="1" t="s">
        <v>210</v>
      </c>
      <c r="DA2392" s="1" t="s">
        <v>200</v>
      </c>
      <c r="DC2392" s="1" t="s">
        <v>335</v>
      </c>
      <c r="DD2392" s="1" t="s">
        <v>1838</v>
      </c>
      <c r="DE2392" s="1" t="s">
        <v>273</v>
      </c>
      <c r="DF2392" s="1" t="s">
        <v>219</v>
      </c>
      <c r="DG2392" s="1" t="s">
        <v>482</v>
      </c>
      <c r="DH2392" s="1" t="s">
        <v>220</v>
      </c>
      <c r="DI2392" s="1" t="s">
        <v>1003</v>
      </c>
      <c r="DJ2392" s="1" t="s">
        <v>222</v>
      </c>
      <c r="DL2392" s="1" t="s">
        <v>223</v>
      </c>
      <c r="DM2392" s="1" t="s">
        <v>338</v>
      </c>
      <c r="DN2392" s="1" t="s">
        <v>439</v>
      </c>
      <c r="DO2392" s="1" t="s">
        <v>549</v>
      </c>
      <c r="DP2392" s="1" t="s">
        <v>340</v>
      </c>
      <c r="DQ2392" s="1" t="s">
        <v>441</v>
      </c>
      <c r="DR2392" s="1" t="s">
        <v>1487</v>
      </c>
      <c r="DS2392" s="1" t="s">
        <v>230</v>
      </c>
      <c r="DV2392" s="1" t="s">
        <v>232</v>
      </c>
      <c r="DW2392" s="1" t="s">
        <v>233</v>
      </c>
      <c r="DX2392" s="1" t="s">
        <v>234</v>
      </c>
      <c r="DY2392" s="1" t="s">
        <v>2961</v>
      </c>
      <c r="EC2392" s="1" t="s">
        <v>237</v>
      </c>
      <c r="EM2392" s="1" t="s">
        <v>238</v>
      </c>
      <c r="EQ2392" s="1" t="s">
        <v>238</v>
      </c>
      <c r="EU2392" s="1" t="s">
        <v>238</v>
      </c>
      <c r="EY2392" s="1" t="s">
        <v>238</v>
      </c>
      <c r="FC2392" s="1" t="s">
        <v>238</v>
      </c>
      <c r="FF2392" s="1" t="s">
        <v>239</v>
      </c>
      <c r="FG2392" s="1" t="s">
        <v>192</v>
      </c>
      <c r="FH2392" s="1" t="s">
        <v>192</v>
      </c>
      <c r="FJ2392" s="1" t="s">
        <v>7472</v>
      </c>
      <c r="FK2392" s="1" t="s">
        <v>229</v>
      </c>
      <c r="FL2392" s="1" t="s">
        <v>7473</v>
      </c>
      <c r="FM2392" s="1">
        <v>303.0</v>
      </c>
      <c r="FN2392" s="1" t="s">
        <v>7474</v>
      </c>
      <c r="FO2392" s="1" t="s">
        <v>7475</v>
      </c>
      <c r="FP2392" s="1">
        <v>8523.0</v>
      </c>
      <c r="FQ2392" s="1" t="s">
        <v>7476</v>
      </c>
      <c r="FU2392" s="1" t="s">
        <v>21496</v>
      </c>
      <c r="FV2392" s="1" t="s">
        <v>200</v>
      </c>
      <c r="FW2392" s="1" t="s">
        <v>290</v>
      </c>
      <c r="FZ2392" s="1" t="s">
        <v>229</v>
      </c>
      <c r="GA2392" s="1" t="s">
        <v>291</v>
      </c>
      <c r="GB2392" s="2">
        <v>42087.0</v>
      </c>
      <c r="GC2392" s="1" t="s">
        <v>21906</v>
      </c>
    </row>
    <row r="2393">
      <c r="A2393" s="1">
        <v>126000.0</v>
      </c>
      <c r="B2393" s="1" t="s">
        <v>185</v>
      </c>
      <c r="C2393" s="1" t="str">
        <f>"08621588"</f>
        <v>08621588</v>
      </c>
      <c r="D2393" s="1" t="s">
        <v>186</v>
      </c>
      <c r="F2393" s="1" t="str">
        <f>"174"</f>
        <v>174</v>
      </c>
      <c r="G2393" s="2">
        <v>41780.0</v>
      </c>
      <c r="H2393" s="1">
        <v>286000.0</v>
      </c>
      <c r="I2393" s="1">
        <v>224.0</v>
      </c>
      <c r="J2393" s="1">
        <v>130900.0</v>
      </c>
      <c r="K2393" s="2">
        <v>42003.0</v>
      </c>
      <c r="L2393" s="1">
        <v>224.0</v>
      </c>
      <c r="M2393" s="2">
        <v>42003.0</v>
      </c>
      <c r="N2393" s="1" t="s">
        <v>249</v>
      </c>
      <c r="O2393" s="2">
        <v>42041.0</v>
      </c>
      <c r="P2393" s="1">
        <v>40862.0</v>
      </c>
      <c r="Q2393" s="1">
        <v>3910.0</v>
      </c>
      <c r="S2393" s="1">
        <v>820.0</v>
      </c>
      <c r="T2393" s="1" t="s">
        <v>21907</v>
      </c>
      <c r="U2393" s="1" t="s">
        <v>320</v>
      </c>
      <c r="V2393" s="1" t="s">
        <v>1200</v>
      </c>
      <c r="W2393" s="1">
        <v>60174.0</v>
      </c>
      <c r="Y2393" s="1" t="s">
        <v>21908</v>
      </c>
      <c r="Z2393" s="1" t="s">
        <v>296</v>
      </c>
      <c r="AA2393" s="1" t="s">
        <v>192</v>
      </c>
      <c r="AB2393" s="1" t="s">
        <v>193</v>
      </c>
      <c r="AD2393" s="1" t="s">
        <v>1203</v>
      </c>
      <c r="AE2393" s="1" t="s">
        <v>325</v>
      </c>
      <c r="AF2393" s="1" t="s">
        <v>1203</v>
      </c>
      <c r="AH2393" s="1" t="s">
        <v>7981</v>
      </c>
      <c r="AK2393" s="1">
        <v>7.0</v>
      </c>
      <c r="AL2393" s="1">
        <v>4.0</v>
      </c>
      <c r="AM2393" s="1">
        <v>3.0</v>
      </c>
      <c r="AN2393" s="1">
        <v>0.0</v>
      </c>
      <c r="AO2393" s="1" t="s">
        <v>198</v>
      </c>
      <c r="AQ2393" s="1" t="s">
        <v>229</v>
      </c>
      <c r="AR2393" s="1" t="s">
        <v>200</v>
      </c>
      <c r="AS2393" s="1" t="s">
        <v>199</v>
      </c>
      <c r="AT2393" s="1">
        <v>2.0</v>
      </c>
      <c r="AV2393" s="1" t="s">
        <v>200</v>
      </c>
      <c r="AW2393" s="1">
        <v>5475.0</v>
      </c>
      <c r="AX2393" s="1">
        <v>2012.0</v>
      </c>
      <c r="AZ2393" s="1" t="s">
        <v>200</v>
      </c>
      <c r="BA2393" s="1" t="str">
        <f>"0928478003"</f>
        <v>0928478003</v>
      </c>
      <c r="BC2393" s="1">
        <v>2380.0</v>
      </c>
      <c r="BD2393" s="1">
        <v>126000.0</v>
      </c>
      <c r="BE2393" s="2">
        <v>41780.0</v>
      </c>
      <c r="BF2393" s="2" t="s">
        <v>21909</v>
      </c>
      <c r="BH2393" s="1">
        <v>0.0</v>
      </c>
      <c r="BK2393" s="1" t="s">
        <v>204</v>
      </c>
      <c r="BL2393" s="1" t="str">
        <f t="shared" ref="BL2393:BM2393" si="1559">""</f>
        <v/>
      </c>
      <c r="BM2393" s="1" t="str">
        <f t="shared" si="1559"/>
        <v/>
      </c>
      <c r="BQ2393" s="1">
        <v>303.0</v>
      </c>
      <c r="BR2393" s="1">
        <v>303.0</v>
      </c>
      <c r="BS2393" s="1">
        <v>303.0</v>
      </c>
      <c r="BU2393" s="1" t="s">
        <v>4045</v>
      </c>
      <c r="BV2393" s="1" t="s">
        <v>206</v>
      </c>
      <c r="BY2393" s="1" t="s">
        <v>1329</v>
      </c>
      <c r="BZ2393" s="1" t="s">
        <v>206</v>
      </c>
      <c r="CC2393" s="1" t="s">
        <v>542</v>
      </c>
      <c r="CD2393" s="1" t="s">
        <v>206</v>
      </c>
      <c r="CG2393" s="1" t="s">
        <v>300</v>
      </c>
      <c r="CH2393" s="1" t="s">
        <v>209</v>
      </c>
      <c r="CK2393" s="1" t="s">
        <v>1352</v>
      </c>
      <c r="CL2393" s="1" t="s">
        <v>209</v>
      </c>
      <c r="CO2393" s="1" t="s">
        <v>300</v>
      </c>
      <c r="CP2393" s="1" t="s">
        <v>209</v>
      </c>
      <c r="CS2393" s="1" t="s">
        <v>300</v>
      </c>
      <c r="CT2393" s="1" t="s">
        <v>206</v>
      </c>
      <c r="CX2393" s="1" t="s">
        <v>204</v>
      </c>
      <c r="DA2393" s="1" t="s">
        <v>200</v>
      </c>
      <c r="DC2393" s="1" t="s">
        <v>702</v>
      </c>
      <c r="DE2393" s="1" t="s">
        <v>229</v>
      </c>
      <c r="DF2393" s="1" t="s">
        <v>219</v>
      </c>
      <c r="DH2393" s="1" t="s">
        <v>365</v>
      </c>
      <c r="DJ2393" s="1" t="s">
        <v>222</v>
      </c>
      <c r="DL2393" s="1" t="s">
        <v>229</v>
      </c>
      <c r="DM2393" s="1" t="s">
        <v>229</v>
      </c>
      <c r="DQ2393" s="1" t="s">
        <v>228</v>
      </c>
      <c r="DR2393" s="1" t="s">
        <v>229</v>
      </c>
      <c r="DV2393" s="1" t="s">
        <v>232</v>
      </c>
      <c r="DW2393" s="1" t="s">
        <v>891</v>
      </c>
      <c r="DX2393" s="1" t="s">
        <v>234</v>
      </c>
      <c r="EC2393" s="1" t="s">
        <v>237</v>
      </c>
      <c r="EM2393" s="1" t="s">
        <v>238</v>
      </c>
      <c r="EQ2393" s="1" t="s">
        <v>238</v>
      </c>
      <c r="EU2393" s="1" t="s">
        <v>238</v>
      </c>
      <c r="EY2393" s="1" t="s">
        <v>238</v>
      </c>
      <c r="FC2393" s="1" t="s">
        <v>238</v>
      </c>
      <c r="FF2393" s="1" t="s">
        <v>239</v>
      </c>
      <c r="FG2393" s="1" t="s">
        <v>192</v>
      </c>
      <c r="FH2393" s="1" t="s">
        <v>192</v>
      </c>
      <c r="FJ2393" s="1" t="s">
        <v>347</v>
      </c>
      <c r="FK2393" s="1" t="s">
        <v>229</v>
      </c>
      <c r="FL2393" s="1" t="s">
        <v>3443</v>
      </c>
      <c r="FM2393" s="1">
        <v>8658.0</v>
      </c>
      <c r="FN2393" s="1" t="s">
        <v>3444</v>
      </c>
      <c r="FO2393" s="1" t="s">
        <v>3445</v>
      </c>
      <c r="FP2393" s="1">
        <v>84760.0</v>
      </c>
      <c r="FQ2393" s="1" t="s">
        <v>3444</v>
      </c>
      <c r="FS2393" s="1" t="s">
        <v>11710</v>
      </c>
      <c r="FU2393" s="1" t="s">
        <v>885</v>
      </c>
      <c r="FV2393" s="1" t="s">
        <v>200</v>
      </c>
      <c r="FW2393" s="1" t="s">
        <v>290</v>
      </c>
      <c r="FZ2393" s="1" t="s">
        <v>229</v>
      </c>
      <c r="GA2393" s="1" t="s">
        <v>291</v>
      </c>
      <c r="GB2393" s="2">
        <v>42051.0</v>
      </c>
      <c r="GC2393" s="1" t="s">
        <v>21910</v>
      </c>
    </row>
    <row r="2394">
      <c r="A2394" s="1">
        <v>85500.0</v>
      </c>
      <c r="B2394" s="1" t="s">
        <v>185</v>
      </c>
      <c r="C2394" s="1" t="str">
        <f>"08468207"</f>
        <v>08468207</v>
      </c>
      <c r="D2394" s="1" t="s">
        <v>186</v>
      </c>
      <c r="F2394" s="1" t="str">
        <f>"140"</f>
        <v>140</v>
      </c>
      <c r="G2394" s="2">
        <v>41562.0</v>
      </c>
      <c r="H2394" s="1">
        <v>239900.0</v>
      </c>
      <c r="I2394" s="1">
        <v>354.0</v>
      </c>
      <c r="J2394" s="1">
        <v>174900.0</v>
      </c>
      <c r="K2394" s="2">
        <v>41915.0</v>
      </c>
      <c r="L2394" s="1">
        <v>354.0</v>
      </c>
      <c r="M2394" s="2">
        <v>41915.0</v>
      </c>
      <c r="N2394" s="1" t="s">
        <v>249</v>
      </c>
      <c r="O2394" s="2">
        <v>41996.0</v>
      </c>
      <c r="P2394" s="1">
        <v>99999.0</v>
      </c>
      <c r="Q2394" s="1" t="s">
        <v>947</v>
      </c>
      <c r="S2394" s="1" t="s">
        <v>21911</v>
      </c>
      <c r="T2394" s="1" t="s">
        <v>4384</v>
      </c>
      <c r="U2394" s="1" t="s">
        <v>464</v>
      </c>
      <c r="V2394" s="1" t="s">
        <v>321</v>
      </c>
      <c r="W2394" s="1">
        <v>60140.0</v>
      </c>
      <c r="Y2394" s="1" t="s">
        <v>21912</v>
      </c>
      <c r="Z2394" s="1">
        <v>1954.0</v>
      </c>
      <c r="AA2394" s="1" t="s">
        <v>192</v>
      </c>
      <c r="AB2394" s="1" t="s">
        <v>193</v>
      </c>
      <c r="AD2394" s="1" t="s">
        <v>1089</v>
      </c>
      <c r="AE2394" s="1" t="s">
        <v>325</v>
      </c>
      <c r="AF2394" s="1" t="s">
        <v>4384</v>
      </c>
      <c r="AH2394" s="1" t="s">
        <v>21913</v>
      </c>
      <c r="AI2394" s="1">
        <v>0.95</v>
      </c>
      <c r="AK2394" s="1">
        <v>12.0</v>
      </c>
      <c r="AL2394" s="1">
        <v>4.0</v>
      </c>
      <c r="AM2394" s="1">
        <v>2.0</v>
      </c>
      <c r="AN2394" s="1">
        <v>1.0</v>
      </c>
      <c r="AO2394" s="1" t="s">
        <v>198</v>
      </c>
      <c r="AP2394" s="1">
        <v>2.0</v>
      </c>
      <c r="AQ2394" s="1" t="s">
        <v>198</v>
      </c>
      <c r="AR2394" s="1" t="s">
        <v>200</v>
      </c>
      <c r="AS2394" s="1" t="s">
        <v>199</v>
      </c>
      <c r="AT2394" s="1">
        <v>4.0</v>
      </c>
      <c r="AV2394" s="1" t="s">
        <v>200</v>
      </c>
      <c r="AW2394" s="1">
        <v>8892.0</v>
      </c>
      <c r="AX2394" s="1">
        <v>2012.0</v>
      </c>
      <c r="AZ2394" s="1" t="s">
        <v>200</v>
      </c>
      <c r="BA2394" s="1" t="str">
        <f>"0404300003"</f>
        <v>0404300003</v>
      </c>
      <c r="BB2394" s="1" t="s">
        <v>200</v>
      </c>
      <c r="BC2394" s="1">
        <v>3950.0</v>
      </c>
      <c r="BD2394" s="1">
        <v>85500.0</v>
      </c>
      <c r="BE2394" s="2">
        <v>41562.0</v>
      </c>
      <c r="BF2394" s="2" t="s">
        <v>21914</v>
      </c>
      <c r="BH2394" s="1">
        <v>0.0</v>
      </c>
      <c r="BK2394" s="1" t="s">
        <v>204</v>
      </c>
      <c r="BL2394" s="1" t="str">
        <f t="shared" ref="BL2394:BM2394" si="1560">""</f>
        <v/>
      </c>
      <c r="BM2394" s="1" t="str">
        <f t="shared" si="1560"/>
        <v/>
      </c>
      <c r="BQ2394" s="1">
        <v>301.0</v>
      </c>
      <c r="BR2394" s="1">
        <v>301.0</v>
      </c>
      <c r="BS2394" s="1">
        <v>301.0</v>
      </c>
      <c r="BU2394" s="1" t="s">
        <v>334</v>
      </c>
      <c r="BV2394" s="1" t="s">
        <v>206</v>
      </c>
      <c r="BY2394" s="1" t="s">
        <v>1043</v>
      </c>
      <c r="BZ2394" s="1" t="s">
        <v>206</v>
      </c>
      <c r="CC2394" s="1" t="s">
        <v>663</v>
      </c>
      <c r="CD2394" s="1" t="s">
        <v>206</v>
      </c>
      <c r="CG2394" s="1" t="s">
        <v>830</v>
      </c>
      <c r="CH2394" s="1" t="s">
        <v>206</v>
      </c>
      <c r="CK2394" s="1" t="s">
        <v>1395</v>
      </c>
      <c r="CL2394" s="1" t="s">
        <v>209</v>
      </c>
      <c r="CO2394" s="1" t="s">
        <v>478</v>
      </c>
      <c r="CP2394" s="1" t="s">
        <v>209</v>
      </c>
      <c r="CS2394" s="1" t="s">
        <v>830</v>
      </c>
      <c r="CT2394" s="1" t="s">
        <v>206</v>
      </c>
      <c r="CW2394" s="1" t="s">
        <v>6801</v>
      </c>
      <c r="CX2394" s="1" t="s">
        <v>206</v>
      </c>
      <c r="DA2394" s="1" t="s">
        <v>200</v>
      </c>
      <c r="DC2394" s="1" t="s">
        <v>271</v>
      </c>
      <c r="DE2394" s="1" t="s">
        <v>273</v>
      </c>
      <c r="DF2394" s="1" t="s">
        <v>219</v>
      </c>
      <c r="DH2394" s="1" t="s">
        <v>856</v>
      </c>
      <c r="DJ2394" s="1" t="s">
        <v>857</v>
      </c>
      <c r="DL2394" s="1" t="s">
        <v>223</v>
      </c>
      <c r="DM2394" s="1" t="s">
        <v>229</v>
      </c>
      <c r="DQ2394" s="1" t="s">
        <v>1557</v>
      </c>
      <c r="DR2394" s="1" t="s">
        <v>229</v>
      </c>
      <c r="DV2394" s="1" t="s">
        <v>21915</v>
      </c>
      <c r="DW2394" s="1" t="s">
        <v>552</v>
      </c>
      <c r="DX2394" s="1" t="s">
        <v>234</v>
      </c>
      <c r="DY2394" s="1" t="s">
        <v>17902</v>
      </c>
      <c r="DZ2394" s="1" t="s">
        <v>310</v>
      </c>
      <c r="EC2394" s="1" t="s">
        <v>237</v>
      </c>
      <c r="ED2394" s="1" t="s">
        <v>6543</v>
      </c>
      <c r="EG2394" s="1" t="s">
        <v>494</v>
      </c>
      <c r="EH2394" s="1" t="s">
        <v>341</v>
      </c>
      <c r="EI2394" s="1" t="s">
        <v>450</v>
      </c>
      <c r="EJ2394" s="1" t="s">
        <v>1729</v>
      </c>
      <c r="EL2394" s="1" t="s">
        <v>302</v>
      </c>
      <c r="EM2394" s="1" t="s">
        <v>206</v>
      </c>
      <c r="EP2394" s="1" t="s">
        <v>21916</v>
      </c>
      <c r="EQ2394" s="1" t="s">
        <v>209</v>
      </c>
      <c r="ET2394" s="1" t="s">
        <v>12830</v>
      </c>
      <c r="EU2394" s="1" t="s">
        <v>267</v>
      </c>
      <c r="EX2394" s="1" t="s">
        <v>1483</v>
      </c>
      <c r="EY2394" s="1" t="s">
        <v>206</v>
      </c>
      <c r="FC2394" s="1" t="s">
        <v>238</v>
      </c>
      <c r="FF2394" s="1" t="s">
        <v>239</v>
      </c>
      <c r="FG2394" s="1" t="s">
        <v>192</v>
      </c>
      <c r="FH2394" s="1" t="s">
        <v>192</v>
      </c>
      <c r="FJ2394" s="1" t="s">
        <v>21917</v>
      </c>
      <c r="FK2394" s="1" t="s">
        <v>229</v>
      </c>
      <c r="FL2394" s="1" t="s">
        <v>5844</v>
      </c>
      <c r="FM2394" s="1">
        <v>93084.0</v>
      </c>
      <c r="FN2394" s="1" t="s">
        <v>5845</v>
      </c>
      <c r="FO2394" s="1" t="s">
        <v>6830</v>
      </c>
      <c r="FP2394" s="1">
        <v>930228.0</v>
      </c>
      <c r="FQ2394" s="1" t="s">
        <v>6831</v>
      </c>
      <c r="FU2394" s="1" t="s">
        <v>21918</v>
      </c>
      <c r="FV2394" s="1" t="s">
        <v>200</v>
      </c>
      <c r="FW2394" s="1" t="s">
        <v>3082</v>
      </c>
      <c r="FZ2394" s="1" t="s">
        <v>229</v>
      </c>
      <c r="GA2394" s="1" t="s">
        <v>291</v>
      </c>
      <c r="GB2394" s="2">
        <v>41997.0</v>
      </c>
      <c r="GC2394" s="1" t="s">
        <v>21919</v>
      </c>
    </row>
    <row r="2395">
      <c r="A2395" s="1">
        <v>88000.0</v>
      </c>
      <c r="B2395" s="1" t="s">
        <v>185</v>
      </c>
      <c r="C2395" s="1" t="str">
        <f>"08477574"</f>
        <v>08477574</v>
      </c>
      <c r="D2395" s="1" t="s">
        <v>186</v>
      </c>
      <c r="F2395" s="1" t="str">
        <f>"123"</f>
        <v>123</v>
      </c>
      <c r="G2395" s="2">
        <v>41576.0</v>
      </c>
      <c r="H2395" s="1">
        <v>114900.0</v>
      </c>
      <c r="I2395" s="1">
        <v>35.0</v>
      </c>
      <c r="J2395" s="1">
        <v>99900.0</v>
      </c>
      <c r="K2395" s="2">
        <v>41610.0</v>
      </c>
      <c r="L2395" s="1">
        <v>35.0</v>
      </c>
      <c r="M2395" s="2">
        <v>41610.0</v>
      </c>
      <c r="N2395" s="1" t="s">
        <v>187</v>
      </c>
      <c r="O2395" s="2">
        <v>42094.0</v>
      </c>
      <c r="P2395" s="1">
        <v>70016.0</v>
      </c>
      <c r="Q2395" s="1">
        <v>7450.0</v>
      </c>
      <c r="S2395" s="1">
        <v>565.0</v>
      </c>
      <c r="T2395" s="1" t="s">
        <v>21920</v>
      </c>
      <c r="U2395" s="1" t="s">
        <v>320</v>
      </c>
      <c r="V2395" s="1" t="s">
        <v>465</v>
      </c>
      <c r="W2395" s="1">
        <v>60123.0</v>
      </c>
      <c r="Y2395" s="1" t="s">
        <v>21921</v>
      </c>
      <c r="Z2395" s="1">
        <v>1952.0</v>
      </c>
      <c r="AA2395" s="1" t="s">
        <v>192</v>
      </c>
      <c r="AB2395" s="1" t="s">
        <v>193</v>
      </c>
      <c r="AD2395" s="1" t="s">
        <v>469</v>
      </c>
      <c r="AE2395" s="1" t="s">
        <v>325</v>
      </c>
      <c r="AF2395" s="1" t="s">
        <v>469</v>
      </c>
      <c r="AH2395" s="1" t="s">
        <v>3573</v>
      </c>
      <c r="AI2395" s="1">
        <v>0.2</v>
      </c>
      <c r="AK2395" s="1">
        <v>6.0</v>
      </c>
      <c r="AL2395" s="1">
        <v>4.0</v>
      </c>
      <c r="AM2395" s="1">
        <v>1.0</v>
      </c>
      <c r="AN2395" s="1">
        <v>1.0</v>
      </c>
      <c r="AO2395" s="1" t="s">
        <v>229</v>
      </c>
      <c r="AP2395" s="1">
        <v>0.0</v>
      </c>
      <c r="AQ2395" s="1" t="s">
        <v>198</v>
      </c>
      <c r="AR2395" s="1" t="s">
        <v>192</v>
      </c>
      <c r="AS2395" s="1" t="s">
        <v>199</v>
      </c>
      <c r="AT2395" s="1">
        <v>1.0</v>
      </c>
      <c r="AV2395" s="1" t="s">
        <v>200</v>
      </c>
      <c r="AW2395" s="4">
        <v>3844.74</v>
      </c>
      <c r="AX2395" s="1">
        <v>2012.0</v>
      </c>
      <c r="AY2395" s="1" t="s">
        <v>387</v>
      </c>
      <c r="AZ2395" s="1" t="s">
        <v>200</v>
      </c>
      <c r="BA2395" s="1" t="str">
        <f>"0611352004"</f>
        <v>0611352004</v>
      </c>
      <c r="BC2395" s="1">
        <v>1200.0</v>
      </c>
      <c r="BD2395" s="1">
        <v>88000.0</v>
      </c>
      <c r="BE2395" s="2">
        <v>41576.0</v>
      </c>
      <c r="BF2395" s="2" t="s">
        <v>21922</v>
      </c>
      <c r="BH2395" s="1">
        <v>0.0</v>
      </c>
      <c r="BK2395" s="1" t="s">
        <v>204</v>
      </c>
      <c r="BL2395" s="1" t="str">
        <f>"12"</f>
        <v>12</v>
      </c>
      <c r="BM2395" s="1" t="str">
        <f>"0"</f>
        <v>0</v>
      </c>
      <c r="BN2395" s="1">
        <v>34.0</v>
      </c>
      <c r="BO2395" s="1">
        <v>0.0</v>
      </c>
      <c r="BQ2395" s="1">
        <v>46.0</v>
      </c>
      <c r="BR2395" s="1">
        <v>46.0</v>
      </c>
      <c r="BS2395" s="1">
        <v>46.0</v>
      </c>
      <c r="BU2395" s="1" t="s">
        <v>1426</v>
      </c>
      <c r="BV2395" s="1" t="s">
        <v>206</v>
      </c>
      <c r="BW2395" s="1" t="s">
        <v>207</v>
      </c>
      <c r="BY2395" s="1" t="s">
        <v>215</v>
      </c>
      <c r="BZ2395" s="1" t="s">
        <v>209</v>
      </c>
      <c r="CA2395" s="1" t="s">
        <v>210</v>
      </c>
      <c r="CD2395" s="1" t="s">
        <v>204</v>
      </c>
      <c r="CG2395" s="1" t="s">
        <v>212</v>
      </c>
      <c r="CH2395" s="1" t="s">
        <v>209</v>
      </c>
      <c r="CI2395" s="1" t="s">
        <v>210</v>
      </c>
      <c r="CK2395" s="1" t="s">
        <v>1298</v>
      </c>
      <c r="CL2395" s="1" t="s">
        <v>206</v>
      </c>
      <c r="CM2395" s="1" t="s">
        <v>207</v>
      </c>
      <c r="CO2395" s="1" t="s">
        <v>5311</v>
      </c>
      <c r="CP2395" s="1" t="s">
        <v>206</v>
      </c>
      <c r="CQ2395" s="1" t="s">
        <v>207</v>
      </c>
      <c r="CS2395" s="1" t="s">
        <v>699</v>
      </c>
      <c r="CT2395" s="1" t="s">
        <v>206</v>
      </c>
      <c r="CU2395" s="1" t="s">
        <v>268</v>
      </c>
      <c r="CX2395" s="1" t="s">
        <v>204</v>
      </c>
      <c r="DA2395" s="1" t="s">
        <v>200</v>
      </c>
      <c r="DC2395" s="1" t="s">
        <v>702</v>
      </c>
      <c r="DD2395" s="1" t="s">
        <v>518</v>
      </c>
      <c r="DE2395" s="1" t="s">
        <v>229</v>
      </c>
      <c r="DF2395" s="1" t="s">
        <v>219</v>
      </c>
      <c r="DH2395" s="1" t="s">
        <v>220</v>
      </c>
      <c r="DI2395" s="1" t="s">
        <v>1223</v>
      </c>
      <c r="DJ2395" s="1" t="s">
        <v>222</v>
      </c>
      <c r="DL2395" s="1" t="s">
        <v>858</v>
      </c>
      <c r="DM2395" s="1" t="s">
        <v>338</v>
      </c>
      <c r="DO2395" s="1" t="s">
        <v>549</v>
      </c>
      <c r="DQ2395" s="1" t="s">
        <v>228</v>
      </c>
      <c r="DR2395" s="1" t="s">
        <v>229</v>
      </c>
      <c r="DS2395" s="1" t="s">
        <v>3008</v>
      </c>
      <c r="DU2395" s="1" t="s">
        <v>2070</v>
      </c>
      <c r="DV2395" s="1" t="s">
        <v>232</v>
      </c>
      <c r="DW2395" s="1" t="s">
        <v>667</v>
      </c>
      <c r="DX2395" s="1" t="s">
        <v>234</v>
      </c>
      <c r="DY2395" s="1" t="s">
        <v>2240</v>
      </c>
      <c r="EA2395" s="1" t="s">
        <v>1075</v>
      </c>
      <c r="EC2395" s="1" t="s">
        <v>237</v>
      </c>
      <c r="EE2395" s="1" t="s">
        <v>1960</v>
      </c>
      <c r="EM2395" s="1" t="s">
        <v>238</v>
      </c>
      <c r="EQ2395" s="1" t="s">
        <v>238</v>
      </c>
      <c r="EU2395" s="1" t="s">
        <v>238</v>
      </c>
      <c r="EY2395" s="1" t="s">
        <v>238</v>
      </c>
      <c r="FC2395" s="1" t="s">
        <v>238</v>
      </c>
      <c r="FF2395" s="1" t="s">
        <v>239</v>
      </c>
      <c r="FG2395" s="1" t="s">
        <v>192</v>
      </c>
      <c r="FH2395" s="1" t="s">
        <v>192</v>
      </c>
      <c r="FJ2395" s="1" t="s">
        <v>2552</v>
      </c>
      <c r="FK2395" s="1" t="s">
        <v>11327</v>
      </c>
      <c r="FL2395" s="1" t="s">
        <v>1451</v>
      </c>
      <c r="FM2395" s="1">
        <v>7450.0</v>
      </c>
      <c r="FN2395" s="1" t="s">
        <v>1452</v>
      </c>
      <c r="FO2395" s="1" t="s">
        <v>5583</v>
      </c>
      <c r="FP2395" s="1">
        <v>70036.0</v>
      </c>
      <c r="FQ2395" s="1" t="s">
        <v>5584</v>
      </c>
      <c r="FR2395" s="1">
        <v>77640.0</v>
      </c>
      <c r="FU2395" s="1" t="s">
        <v>5585</v>
      </c>
      <c r="FV2395" s="1" t="s">
        <v>200</v>
      </c>
      <c r="FW2395" s="1" t="s">
        <v>290</v>
      </c>
      <c r="FZ2395" s="1" t="s">
        <v>229</v>
      </c>
      <c r="GA2395" s="1" t="s">
        <v>291</v>
      </c>
      <c r="GB2395" s="2">
        <v>42094.0</v>
      </c>
      <c r="GC2395" s="1" t="s">
        <v>21923</v>
      </c>
    </row>
    <row r="2396">
      <c r="A2396" s="1">
        <v>37000.0</v>
      </c>
      <c r="B2396" s="1" t="s">
        <v>185</v>
      </c>
      <c r="C2396" s="1" t="str">
        <f>"08477334"</f>
        <v>08477334</v>
      </c>
      <c r="D2396" s="1" t="s">
        <v>186</v>
      </c>
      <c r="F2396" s="1" t="str">
        <f>"8071"</f>
        <v>8071</v>
      </c>
      <c r="G2396" s="2">
        <v>41576.0</v>
      </c>
      <c r="H2396" s="1">
        <v>75000.0</v>
      </c>
      <c r="I2396" s="1">
        <v>460.0</v>
      </c>
      <c r="J2396" s="1">
        <v>60000.0</v>
      </c>
      <c r="K2396" s="2">
        <v>42033.0</v>
      </c>
      <c r="L2396" s="1">
        <v>460.0</v>
      </c>
      <c r="M2396" s="2">
        <v>42033.0</v>
      </c>
      <c r="N2396" s="1" t="s">
        <v>5859</v>
      </c>
      <c r="O2396" s="2">
        <v>42094.0</v>
      </c>
      <c r="P2396" s="1">
        <v>504341.0</v>
      </c>
      <c r="Q2396" s="1">
        <v>51720.0</v>
      </c>
      <c r="S2396" s="1">
        <v>8124.0</v>
      </c>
      <c r="T2396" s="1" t="s">
        <v>4089</v>
      </c>
      <c r="V2396" s="1" t="s">
        <v>190</v>
      </c>
      <c r="W2396" s="1">
        <v>60620.0</v>
      </c>
      <c r="X2396" s="1">
        <v>3019.0</v>
      </c>
      <c r="Y2396" s="1" t="s">
        <v>21924</v>
      </c>
      <c r="Z2396" s="1">
        <v>1919.0</v>
      </c>
      <c r="AA2396" s="1" t="s">
        <v>192</v>
      </c>
      <c r="AB2396" s="1" t="s">
        <v>193</v>
      </c>
      <c r="AD2396" s="1" t="s">
        <v>194</v>
      </c>
      <c r="AE2396" s="1" t="s">
        <v>195</v>
      </c>
      <c r="AF2396" s="1" t="s">
        <v>659</v>
      </c>
      <c r="AH2396" s="1" t="s">
        <v>21925</v>
      </c>
      <c r="AI2396" s="1">
        <v>0.1004</v>
      </c>
      <c r="AK2396" s="1">
        <v>8.0</v>
      </c>
      <c r="AL2396" s="1">
        <v>4.0</v>
      </c>
      <c r="AM2396" s="1">
        <v>1.0</v>
      </c>
      <c r="AN2396" s="1">
        <v>0.0</v>
      </c>
      <c r="AO2396" s="1" t="s">
        <v>229</v>
      </c>
      <c r="AQ2396" s="1" t="s">
        <v>198</v>
      </c>
      <c r="AR2396" s="1" t="s">
        <v>200</v>
      </c>
      <c r="AS2396" s="1" t="s">
        <v>199</v>
      </c>
      <c r="AT2396" s="1">
        <v>1.0</v>
      </c>
      <c r="AV2396" s="1" t="s">
        <v>200</v>
      </c>
      <c r="AW2396" s="1">
        <v>2100.25</v>
      </c>
      <c r="AX2396" s="1">
        <v>2012.0</v>
      </c>
      <c r="AY2396" s="1" t="s">
        <v>1917</v>
      </c>
      <c r="AZ2396" s="1" t="s">
        <v>200</v>
      </c>
      <c r="BA2396" s="1" t="str">
        <f>"20322180230000"</f>
        <v>20322180230000</v>
      </c>
      <c r="BB2396" s="1" t="s">
        <v>200</v>
      </c>
      <c r="BC2396" s="1">
        <v>1400.0</v>
      </c>
      <c r="BD2396" s="1">
        <v>37000.0</v>
      </c>
      <c r="BE2396" s="2">
        <v>41574.0</v>
      </c>
      <c r="BF2396" s="2" t="s">
        <v>21926</v>
      </c>
      <c r="BH2396" s="1">
        <v>0.0</v>
      </c>
      <c r="BK2396" s="1" t="s">
        <v>204</v>
      </c>
      <c r="BL2396" s="1" t="str">
        <f t="shared" ref="BL2396:BM2396" si="1561">"0"</f>
        <v>0</v>
      </c>
      <c r="BM2396" s="1" t="str">
        <f t="shared" si="1561"/>
        <v>0</v>
      </c>
      <c r="BN2396" s="1">
        <v>1200.0</v>
      </c>
      <c r="BO2396" s="1">
        <v>8124.0</v>
      </c>
      <c r="BQ2396" s="1">
        <v>299.0</v>
      </c>
      <c r="BR2396" s="1">
        <v>299.0</v>
      </c>
      <c r="BS2396" s="1">
        <v>299.0</v>
      </c>
      <c r="BU2396" s="1" t="s">
        <v>3475</v>
      </c>
      <c r="BV2396" s="1" t="s">
        <v>206</v>
      </c>
      <c r="BY2396" s="1" t="s">
        <v>392</v>
      </c>
      <c r="BZ2396" s="1" t="s">
        <v>206</v>
      </c>
      <c r="CA2396" s="1" t="s">
        <v>207</v>
      </c>
      <c r="CC2396" s="1" t="s">
        <v>211</v>
      </c>
      <c r="CD2396" s="1" t="s">
        <v>206</v>
      </c>
      <c r="CG2396" s="1" t="s">
        <v>212</v>
      </c>
      <c r="CH2396" s="1" t="s">
        <v>206</v>
      </c>
      <c r="CI2396" s="1" t="s">
        <v>207</v>
      </c>
      <c r="CK2396" s="1" t="s">
        <v>495</v>
      </c>
      <c r="CL2396" s="1" t="s">
        <v>206</v>
      </c>
      <c r="CM2396" s="1" t="s">
        <v>207</v>
      </c>
      <c r="CO2396" s="1" t="s">
        <v>264</v>
      </c>
      <c r="CP2396" s="1" t="s">
        <v>209</v>
      </c>
      <c r="CQ2396" s="1" t="s">
        <v>207</v>
      </c>
      <c r="CS2396" s="1" t="s">
        <v>329</v>
      </c>
      <c r="CT2396" s="1" t="s">
        <v>206</v>
      </c>
      <c r="CU2396" s="1" t="s">
        <v>268</v>
      </c>
      <c r="CW2396" s="1" t="s">
        <v>453</v>
      </c>
      <c r="CX2396" s="1" t="s">
        <v>42</v>
      </c>
      <c r="CY2396" s="1" t="s">
        <v>617</v>
      </c>
      <c r="DA2396" s="1" t="s">
        <v>200</v>
      </c>
      <c r="DC2396" s="1" t="s">
        <v>216</v>
      </c>
      <c r="DD2396" s="1" t="s">
        <v>518</v>
      </c>
      <c r="DE2396" s="1" t="s">
        <v>6909</v>
      </c>
      <c r="DF2396" s="1" t="s">
        <v>21927</v>
      </c>
      <c r="DH2396" s="1" t="s">
        <v>365</v>
      </c>
      <c r="DI2396" s="1" t="s">
        <v>1401</v>
      </c>
      <c r="DJ2396" s="1" t="s">
        <v>222</v>
      </c>
      <c r="DK2396" s="1" t="s">
        <v>2097</v>
      </c>
      <c r="DL2396" s="1" t="s">
        <v>223</v>
      </c>
      <c r="DM2396" s="1" t="s">
        <v>398</v>
      </c>
      <c r="DN2396" s="1" t="s">
        <v>793</v>
      </c>
      <c r="DP2396" s="1" t="s">
        <v>340</v>
      </c>
      <c r="DQ2396" s="1" t="s">
        <v>794</v>
      </c>
      <c r="DR2396" s="1" t="s">
        <v>229</v>
      </c>
      <c r="DS2396" s="1" t="s">
        <v>230</v>
      </c>
      <c r="DU2396" s="1" t="s">
        <v>2070</v>
      </c>
      <c r="DV2396" s="1" t="s">
        <v>232</v>
      </c>
      <c r="DW2396" s="1" t="s">
        <v>279</v>
      </c>
      <c r="DX2396" s="1" t="s">
        <v>234</v>
      </c>
      <c r="DY2396" s="1" t="s">
        <v>553</v>
      </c>
      <c r="EA2396" s="1" t="s">
        <v>644</v>
      </c>
      <c r="EC2396" s="1" t="s">
        <v>645</v>
      </c>
      <c r="ED2396" s="1" t="s">
        <v>407</v>
      </c>
      <c r="EE2396" s="1" t="s">
        <v>187</v>
      </c>
      <c r="EM2396" s="1" t="s">
        <v>238</v>
      </c>
      <c r="EQ2396" s="1" t="s">
        <v>238</v>
      </c>
      <c r="EU2396" s="1" t="s">
        <v>238</v>
      </c>
      <c r="EY2396" s="1" t="s">
        <v>238</v>
      </c>
      <c r="FC2396" s="1" t="s">
        <v>238</v>
      </c>
      <c r="FF2396" s="1" t="s">
        <v>239</v>
      </c>
      <c r="FG2396" s="1" t="s">
        <v>192</v>
      </c>
      <c r="FH2396" s="1" t="s">
        <v>192</v>
      </c>
      <c r="FJ2396" s="1" t="s">
        <v>524</v>
      </c>
      <c r="FK2396" s="1" t="s">
        <v>348</v>
      </c>
      <c r="FL2396" s="1" t="s">
        <v>456</v>
      </c>
      <c r="FM2396" s="1">
        <v>60021.0</v>
      </c>
      <c r="FN2396" s="1" t="s">
        <v>2170</v>
      </c>
      <c r="FO2396" s="1" t="s">
        <v>21928</v>
      </c>
      <c r="FP2396" s="1">
        <v>603276.0</v>
      </c>
      <c r="FS2396" s="1" t="s">
        <v>21929</v>
      </c>
      <c r="FU2396" s="1" t="s">
        <v>20925</v>
      </c>
      <c r="FV2396" s="1" t="s">
        <v>200</v>
      </c>
      <c r="FW2396" s="1" t="s">
        <v>21930</v>
      </c>
      <c r="FX2396" s="1" t="s">
        <v>655</v>
      </c>
      <c r="FZ2396" s="1" t="s">
        <v>229</v>
      </c>
      <c r="GA2396" s="1" t="s">
        <v>291</v>
      </c>
      <c r="GB2396" s="2">
        <v>42102.0</v>
      </c>
      <c r="GC2396" s="1" t="s">
        <v>21931</v>
      </c>
    </row>
    <row r="2397">
      <c r="A2397" s="1">
        <v>235000.0</v>
      </c>
      <c r="B2397" s="1" t="s">
        <v>185</v>
      </c>
      <c r="C2397" s="1" t="str">
        <f>"08480669"</f>
        <v>08480669</v>
      </c>
      <c r="D2397" s="1" t="s">
        <v>186</v>
      </c>
      <c r="F2397" s="1" t="str">
        <f>"140"</f>
        <v>140</v>
      </c>
      <c r="G2397" s="2">
        <v>41581.0</v>
      </c>
      <c r="H2397" s="1">
        <v>250000.0</v>
      </c>
      <c r="I2397" s="1">
        <v>367.0</v>
      </c>
      <c r="J2397" s="1">
        <v>235000.0</v>
      </c>
      <c r="K2397" s="2">
        <v>41946.0</v>
      </c>
      <c r="L2397" s="1">
        <v>367.0</v>
      </c>
      <c r="M2397" s="2">
        <v>41946.0</v>
      </c>
      <c r="N2397" s="1" t="s">
        <v>187</v>
      </c>
      <c r="O2397" s="2">
        <v>42033.0</v>
      </c>
      <c r="P2397" s="1">
        <v>8423.0</v>
      </c>
      <c r="Q2397" s="1">
        <v>7450.0</v>
      </c>
      <c r="S2397" s="1">
        <v>441.0</v>
      </c>
      <c r="T2397" s="1" t="s">
        <v>21932</v>
      </c>
      <c r="U2397" s="1" t="s">
        <v>569</v>
      </c>
      <c r="V2397" s="1" t="s">
        <v>4858</v>
      </c>
      <c r="W2397" s="1">
        <v>60140.0</v>
      </c>
      <c r="Y2397" s="1" t="s">
        <v>21933</v>
      </c>
      <c r="Z2397" s="1">
        <v>2005.0</v>
      </c>
      <c r="AA2397" s="1" t="s">
        <v>200</v>
      </c>
      <c r="AB2397" s="1" t="s">
        <v>193</v>
      </c>
      <c r="AC2397" s="1" t="s">
        <v>6189</v>
      </c>
      <c r="AD2397" s="1" t="s">
        <v>4860</v>
      </c>
      <c r="AE2397" s="1" t="s">
        <v>325</v>
      </c>
      <c r="AF2397" s="1" t="s">
        <v>3429</v>
      </c>
      <c r="AG2397" s="1" t="s">
        <v>21074</v>
      </c>
      <c r="AH2397" s="1" t="s">
        <v>21934</v>
      </c>
      <c r="AK2397" s="1">
        <v>10.0</v>
      </c>
      <c r="AL2397" s="1">
        <v>4.0</v>
      </c>
      <c r="AM2397" s="1">
        <v>2.0</v>
      </c>
      <c r="AN2397" s="1">
        <v>1.0</v>
      </c>
      <c r="AO2397" s="1" t="s">
        <v>198</v>
      </c>
      <c r="AP2397" s="1">
        <v>1.0</v>
      </c>
      <c r="AQ2397" s="1" t="s">
        <v>472</v>
      </c>
      <c r="AR2397" s="1" t="s">
        <v>200</v>
      </c>
      <c r="AS2397" s="1" t="s">
        <v>199</v>
      </c>
      <c r="AT2397" s="1">
        <v>2.0</v>
      </c>
      <c r="AV2397" s="1" t="s">
        <v>200</v>
      </c>
      <c r="AW2397" s="1">
        <v>8144.7</v>
      </c>
      <c r="AX2397" s="1">
        <v>2013.0</v>
      </c>
      <c r="AY2397" s="1" t="s">
        <v>387</v>
      </c>
      <c r="AZ2397" s="1" t="s">
        <v>200</v>
      </c>
      <c r="BA2397" s="1" t="str">
        <f>"1148088800"</f>
        <v>1148088800</v>
      </c>
      <c r="BB2397" s="1" t="s">
        <v>200</v>
      </c>
      <c r="BC2397" s="1">
        <v>3018.0</v>
      </c>
      <c r="BD2397" s="1">
        <v>235000.0</v>
      </c>
      <c r="BE2397" s="2">
        <v>41580.0</v>
      </c>
      <c r="BF2397" s="2" t="s">
        <v>21935</v>
      </c>
      <c r="BH2397" s="1">
        <v>62.0</v>
      </c>
      <c r="BK2397" s="1" t="s">
        <v>474</v>
      </c>
      <c r="BL2397" s="1" t="str">
        <f>"13"</f>
        <v>13</v>
      </c>
      <c r="BM2397" s="1" t="str">
        <f>""</f>
        <v/>
      </c>
      <c r="BN2397" s="1">
        <v>41.0</v>
      </c>
      <c r="BQ2397" s="1">
        <v>300.0</v>
      </c>
      <c r="BR2397" s="1">
        <v>300.0</v>
      </c>
      <c r="BS2397" s="1">
        <v>300.0</v>
      </c>
      <c r="BU2397" s="1" t="s">
        <v>215</v>
      </c>
      <c r="BV2397" s="1" t="s">
        <v>206</v>
      </c>
      <c r="BW2397" s="1" t="s">
        <v>207</v>
      </c>
      <c r="BY2397" s="1" t="s">
        <v>330</v>
      </c>
      <c r="BZ2397" s="1" t="s">
        <v>209</v>
      </c>
      <c r="CA2397" s="1" t="s">
        <v>210</v>
      </c>
      <c r="CC2397" s="1" t="s">
        <v>264</v>
      </c>
      <c r="CD2397" s="1" t="s">
        <v>206</v>
      </c>
      <c r="CE2397" s="1" t="s">
        <v>207</v>
      </c>
      <c r="CG2397" s="1" t="s">
        <v>213</v>
      </c>
      <c r="CH2397" s="1" t="s">
        <v>209</v>
      </c>
      <c r="CI2397" s="1" t="s">
        <v>210</v>
      </c>
      <c r="CK2397" s="1" t="s">
        <v>363</v>
      </c>
      <c r="CL2397" s="1" t="s">
        <v>209</v>
      </c>
      <c r="CM2397" s="1" t="s">
        <v>210</v>
      </c>
      <c r="CO2397" s="1" t="s">
        <v>212</v>
      </c>
      <c r="CP2397" s="1" t="s">
        <v>209</v>
      </c>
      <c r="CQ2397" s="1" t="s">
        <v>210</v>
      </c>
      <c r="CS2397" s="1" t="s">
        <v>2155</v>
      </c>
      <c r="CT2397" s="1" t="s">
        <v>206</v>
      </c>
      <c r="CU2397" s="1" t="s">
        <v>207</v>
      </c>
      <c r="CW2397" s="1" t="s">
        <v>616</v>
      </c>
      <c r="CX2397" s="1" t="s">
        <v>206</v>
      </c>
      <c r="CY2397" s="1" t="s">
        <v>210</v>
      </c>
      <c r="DA2397" s="1" t="s">
        <v>200</v>
      </c>
      <c r="DC2397" s="1" t="s">
        <v>481</v>
      </c>
      <c r="DD2397" s="1" t="s">
        <v>926</v>
      </c>
      <c r="DE2397" s="1" t="s">
        <v>273</v>
      </c>
      <c r="DF2397" s="1" t="s">
        <v>219</v>
      </c>
      <c r="DH2397" s="1" t="s">
        <v>220</v>
      </c>
      <c r="DI2397" s="1" t="s">
        <v>11960</v>
      </c>
      <c r="DJ2397" s="1" t="s">
        <v>222</v>
      </c>
      <c r="DK2397" s="1" t="s">
        <v>223</v>
      </c>
      <c r="DL2397" s="1" t="s">
        <v>223</v>
      </c>
      <c r="DM2397" s="1" t="s">
        <v>229</v>
      </c>
      <c r="DN2397" s="1" t="s">
        <v>399</v>
      </c>
      <c r="DO2397" s="1" t="s">
        <v>21936</v>
      </c>
      <c r="DP2397" s="1" t="s">
        <v>340</v>
      </c>
      <c r="DQ2397" s="1" t="s">
        <v>228</v>
      </c>
      <c r="DR2397" s="1" t="s">
        <v>2593</v>
      </c>
      <c r="DU2397" s="1" t="s">
        <v>487</v>
      </c>
      <c r="DV2397" s="1" t="s">
        <v>6535</v>
      </c>
      <c r="DW2397" s="1" t="s">
        <v>370</v>
      </c>
      <c r="DX2397" s="1" t="s">
        <v>234</v>
      </c>
      <c r="DY2397" s="1" t="s">
        <v>596</v>
      </c>
      <c r="DZ2397" s="1" t="s">
        <v>310</v>
      </c>
      <c r="EB2397" s="1" t="s">
        <v>1639</v>
      </c>
      <c r="EC2397" s="1" t="s">
        <v>237</v>
      </c>
      <c r="ED2397" s="1" t="s">
        <v>1761</v>
      </c>
      <c r="EE2397" s="1" t="s">
        <v>493</v>
      </c>
      <c r="EG2397" s="1" t="s">
        <v>598</v>
      </c>
      <c r="EH2397" s="1" t="s">
        <v>341</v>
      </c>
      <c r="EL2397" s="1" t="s">
        <v>497</v>
      </c>
      <c r="EM2397" s="1" t="s">
        <v>206</v>
      </c>
      <c r="EN2397" s="1" t="s">
        <v>210</v>
      </c>
      <c r="EP2397" s="1" t="s">
        <v>215</v>
      </c>
      <c r="EQ2397" s="1" t="s">
        <v>209</v>
      </c>
      <c r="ER2397" s="1" t="s">
        <v>210</v>
      </c>
      <c r="EU2397" s="1" t="s">
        <v>238</v>
      </c>
      <c r="EY2397" s="1" t="s">
        <v>238</v>
      </c>
      <c r="FC2397" s="1" t="s">
        <v>238</v>
      </c>
      <c r="FF2397" s="1" t="s">
        <v>239</v>
      </c>
      <c r="FG2397" s="1" t="s">
        <v>192</v>
      </c>
      <c r="FH2397" s="1" t="s">
        <v>192</v>
      </c>
      <c r="FJ2397" s="1" t="s">
        <v>2206</v>
      </c>
      <c r="FK2397" s="1" t="s">
        <v>1586</v>
      </c>
      <c r="FL2397" s="1" t="s">
        <v>3218</v>
      </c>
      <c r="FM2397" s="1">
        <v>6076.0</v>
      </c>
      <c r="FN2397" s="1" t="s">
        <v>14727</v>
      </c>
      <c r="FO2397" s="1" t="s">
        <v>21937</v>
      </c>
      <c r="FP2397" s="1">
        <v>62612.0</v>
      </c>
      <c r="FQ2397" s="1" t="s">
        <v>21938</v>
      </c>
      <c r="FU2397" s="1" t="s">
        <v>21939</v>
      </c>
      <c r="FV2397" s="1" t="s">
        <v>200</v>
      </c>
      <c r="FW2397" s="1" t="s">
        <v>290</v>
      </c>
      <c r="FZ2397" s="1" t="s">
        <v>229</v>
      </c>
      <c r="GA2397" s="1" t="s">
        <v>291</v>
      </c>
      <c r="GB2397" s="2">
        <v>42033.0</v>
      </c>
      <c r="GC2397" s="1" t="s">
        <v>21940</v>
      </c>
    </row>
    <row r="2398">
      <c r="A2398" s="1">
        <v>2910000.0</v>
      </c>
      <c r="B2398" s="1" t="s">
        <v>185</v>
      </c>
      <c r="C2398" s="1" t="str">
        <f>"08471511"</f>
        <v>08471511</v>
      </c>
      <c r="D2398" s="1" t="s">
        <v>186</v>
      </c>
      <c r="F2398" s="1" t="str">
        <f>"8006"</f>
        <v>8006</v>
      </c>
      <c r="G2398" s="2">
        <v>41568.0</v>
      </c>
      <c r="H2398" s="1">
        <v>2999000.0</v>
      </c>
      <c r="I2398" s="1">
        <v>461.0</v>
      </c>
      <c r="J2398" s="1">
        <v>2999000.0</v>
      </c>
      <c r="K2398" s="2">
        <v>41913.0</v>
      </c>
      <c r="L2398" s="1">
        <v>346.0</v>
      </c>
      <c r="M2398" s="2">
        <v>41913.0</v>
      </c>
      <c r="N2398" s="1" t="s">
        <v>187</v>
      </c>
      <c r="O2398" s="2">
        <v>41975.0</v>
      </c>
      <c r="P2398" s="1">
        <v>124303.0</v>
      </c>
      <c r="Q2398" s="1">
        <v>11000.0</v>
      </c>
      <c r="S2398" s="1">
        <v>3826.0</v>
      </c>
      <c r="T2398" s="1" t="s">
        <v>3870</v>
      </c>
      <c r="U2398" s="1" t="s">
        <v>320</v>
      </c>
      <c r="V2398" s="1" t="s">
        <v>190</v>
      </c>
      <c r="W2398" s="1">
        <v>60613.0</v>
      </c>
      <c r="Y2398" s="1" t="s">
        <v>21941</v>
      </c>
      <c r="Z2398" s="1">
        <v>2005.0</v>
      </c>
      <c r="AA2398" s="1" t="s">
        <v>200</v>
      </c>
      <c r="AB2398" s="1" t="s">
        <v>193</v>
      </c>
      <c r="AD2398" s="1" t="s">
        <v>194</v>
      </c>
      <c r="AE2398" s="1" t="s">
        <v>195</v>
      </c>
      <c r="AF2398" s="1" t="s">
        <v>534</v>
      </c>
      <c r="AH2398" s="1" t="s">
        <v>21942</v>
      </c>
      <c r="AI2398" s="1">
        <v>0.1033</v>
      </c>
      <c r="AK2398" s="1">
        <v>12.0</v>
      </c>
      <c r="AL2398" s="1">
        <v>4.0</v>
      </c>
      <c r="AM2398" s="1">
        <v>5.0</v>
      </c>
      <c r="AN2398" s="1">
        <v>2.0</v>
      </c>
      <c r="AO2398" s="1" t="s">
        <v>198</v>
      </c>
      <c r="AQ2398" s="1" t="s">
        <v>472</v>
      </c>
      <c r="AR2398" s="1" t="s">
        <v>192</v>
      </c>
      <c r="AS2398" s="1" t="s">
        <v>199</v>
      </c>
      <c r="AT2398" s="1">
        <v>3.0</v>
      </c>
      <c r="AV2398" s="1" t="s">
        <v>200</v>
      </c>
      <c r="AW2398" s="1">
        <v>23826.12</v>
      </c>
      <c r="AX2398" s="1">
        <v>2012.0</v>
      </c>
      <c r="AZ2398" s="1" t="s">
        <v>200</v>
      </c>
      <c r="BA2398" s="1" t="str">
        <f>"14201080280000"</f>
        <v>14201080280000</v>
      </c>
      <c r="BC2398" s="1">
        <v>6210.0</v>
      </c>
      <c r="BD2398" s="1">
        <v>2910000.0</v>
      </c>
      <c r="BE2398" s="2">
        <v>41568.0</v>
      </c>
      <c r="BF2398" s="2" t="s">
        <v>21943</v>
      </c>
      <c r="BH2398" s="1">
        <v>0.0</v>
      </c>
      <c r="BK2398" s="1" t="s">
        <v>204</v>
      </c>
      <c r="BL2398" s="1" t="str">
        <f>"3826"</f>
        <v>3826</v>
      </c>
      <c r="BM2398" s="1" t="str">
        <f>"0"</f>
        <v>0</v>
      </c>
      <c r="BN2398" s="1">
        <v>1300.0</v>
      </c>
      <c r="BO2398" s="1">
        <v>0.0</v>
      </c>
      <c r="BQ2398" s="1">
        <v>299.0</v>
      </c>
      <c r="BR2398" s="1">
        <v>299.0</v>
      </c>
      <c r="BS2398" s="1">
        <v>299.0</v>
      </c>
      <c r="BU2398" s="1" t="s">
        <v>639</v>
      </c>
      <c r="BV2398" s="1" t="s">
        <v>206</v>
      </c>
      <c r="BW2398" s="1" t="s">
        <v>207</v>
      </c>
      <c r="BX2398" s="1" t="s">
        <v>1549</v>
      </c>
      <c r="BY2398" s="1" t="s">
        <v>1534</v>
      </c>
      <c r="BZ2398" s="1" t="s">
        <v>209</v>
      </c>
      <c r="CA2398" s="1" t="s">
        <v>210</v>
      </c>
      <c r="CC2398" s="1" t="s">
        <v>215</v>
      </c>
      <c r="CD2398" s="1" t="s">
        <v>206</v>
      </c>
      <c r="CE2398" s="1" t="s">
        <v>207</v>
      </c>
      <c r="CF2398" s="1" t="s">
        <v>1549</v>
      </c>
      <c r="CG2398" s="1" t="s">
        <v>332</v>
      </c>
      <c r="CH2398" s="1" t="s">
        <v>209</v>
      </c>
      <c r="CI2398" s="1" t="s">
        <v>210</v>
      </c>
      <c r="CK2398" s="1" t="s">
        <v>925</v>
      </c>
      <c r="CL2398" s="1" t="s">
        <v>209</v>
      </c>
      <c r="CM2398" s="1" t="s">
        <v>210</v>
      </c>
      <c r="CO2398" s="1" t="s">
        <v>433</v>
      </c>
      <c r="CP2398" s="1" t="s">
        <v>267</v>
      </c>
      <c r="CQ2398" s="1" t="s">
        <v>210</v>
      </c>
      <c r="CS2398" s="1" t="s">
        <v>434</v>
      </c>
      <c r="CT2398" s="1" t="s">
        <v>206</v>
      </c>
      <c r="CU2398" s="1" t="s">
        <v>2128</v>
      </c>
      <c r="CW2398" s="1" t="s">
        <v>7202</v>
      </c>
      <c r="CX2398" s="1" t="s">
        <v>206</v>
      </c>
      <c r="CY2398" s="1" t="s">
        <v>2128</v>
      </c>
      <c r="DA2398" s="1" t="s">
        <v>200</v>
      </c>
      <c r="DC2398" s="1" t="s">
        <v>481</v>
      </c>
      <c r="DD2398" s="1" t="s">
        <v>5326</v>
      </c>
      <c r="DE2398" s="1" t="s">
        <v>3750</v>
      </c>
      <c r="DF2398" s="1" t="s">
        <v>13333</v>
      </c>
      <c r="DH2398" s="1" t="s">
        <v>220</v>
      </c>
      <c r="DI2398" s="1" t="s">
        <v>21944</v>
      </c>
      <c r="DJ2398" s="1" t="s">
        <v>222</v>
      </c>
      <c r="DL2398" s="1" t="s">
        <v>224</v>
      </c>
      <c r="DM2398" s="1" t="s">
        <v>229</v>
      </c>
      <c r="DP2398" s="1" t="s">
        <v>340</v>
      </c>
      <c r="DQ2398" s="1" t="s">
        <v>794</v>
      </c>
      <c r="DR2398" s="1" t="s">
        <v>229</v>
      </c>
      <c r="DS2398" s="1" t="s">
        <v>591</v>
      </c>
      <c r="DV2398" s="1" t="s">
        <v>21945</v>
      </c>
      <c r="DW2398" s="1" t="s">
        <v>1145</v>
      </c>
      <c r="DX2398" s="1" t="s">
        <v>1287</v>
      </c>
      <c r="EC2398" s="1" t="s">
        <v>4792</v>
      </c>
      <c r="ED2398" s="1" t="s">
        <v>12249</v>
      </c>
      <c r="EG2398" s="1" t="s">
        <v>1961</v>
      </c>
      <c r="EH2398" s="1" t="s">
        <v>598</v>
      </c>
      <c r="EI2398" s="1" t="s">
        <v>450</v>
      </c>
      <c r="EJ2398" s="1" t="s">
        <v>1824</v>
      </c>
      <c r="EL2398" s="1" t="s">
        <v>1329</v>
      </c>
      <c r="EM2398" s="1" t="s">
        <v>209</v>
      </c>
      <c r="EN2398" s="1" t="s">
        <v>207</v>
      </c>
      <c r="EP2398" s="1" t="s">
        <v>363</v>
      </c>
      <c r="EQ2398" s="1" t="s">
        <v>391</v>
      </c>
      <c r="ET2398" s="1" t="s">
        <v>10207</v>
      </c>
      <c r="EU2398" s="1" t="s">
        <v>267</v>
      </c>
      <c r="EX2398" s="1" t="s">
        <v>2120</v>
      </c>
      <c r="EY2398" s="1" t="s">
        <v>391</v>
      </c>
      <c r="FC2398" s="1" t="s">
        <v>238</v>
      </c>
      <c r="FF2398" s="1" t="s">
        <v>239</v>
      </c>
      <c r="FG2398" s="1" t="s">
        <v>192</v>
      </c>
      <c r="FH2398" s="1" t="s">
        <v>192</v>
      </c>
      <c r="FJ2398" s="1" t="s">
        <v>412</v>
      </c>
      <c r="FK2398" s="1" t="s">
        <v>229</v>
      </c>
      <c r="FL2398" s="1" t="s">
        <v>456</v>
      </c>
      <c r="FM2398" s="1">
        <v>11000.0</v>
      </c>
      <c r="FN2398" s="1" t="s">
        <v>4123</v>
      </c>
      <c r="FO2398" s="1" t="s">
        <v>13828</v>
      </c>
      <c r="FP2398" s="1">
        <v>124303.0</v>
      </c>
      <c r="FQ2398" s="1" t="s">
        <v>13829</v>
      </c>
      <c r="FU2398" s="1" t="s">
        <v>21946</v>
      </c>
      <c r="FV2398" s="1" t="s">
        <v>192</v>
      </c>
      <c r="FW2398" s="1" t="s">
        <v>530</v>
      </c>
      <c r="FX2398" s="1" t="s">
        <v>238</v>
      </c>
      <c r="FZ2398" s="1" t="s">
        <v>229</v>
      </c>
      <c r="GA2398" s="1" t="s">
        <v>291</v>
      </c>
      <c r="GB2398" s="2">
        <v>41976.0</v>
      </c>
      <c r="GC2398" s="1" t="s">
        <v>21947</v>
      </c>
    </row>
    <row r="2399">
      <c r="A2399" s="1">
        <v>220000.0</v>
      </c>
      <c r="B2399" s="1" t="s">
        <v>185</v>
      </c>
      <c r="C2399" s="1" t="str">
        <f>"08477782"</f>
        <v>08477782</v>
      </c>
      <c r="D2399" s="1" t="s">
        <v>186</v>
      </c>
      <c r="F2399" s="1" t="str">
        <f>"538"</f>
        <v>538</v>
      </c>
      <c r="G2399" s="2">
        <v>41577.0</v>
      </c>
      <c r="H2399" s="1">
        <v>239000.0</v>
      </c>
      <c r="I2399" s="1">
        <v>327.0</v>
      </c>
      <c r="J2399" s="1">
        <v>225000.0</v>
      </c>
      <c r="K2399" s="2">
        <v>41903.0</v>
      </c>
      <c r="L2399" s="1">
        <v>327.0</v>
      </c>
      <c r="M2399" s="2">
        <v>41903.0</v>
      </c>
      <c r="N2399" s="1" t="s">
        <v>356</v>
      </c>
      <c r="O2399" s="2">
        <v>42017.0</v>
      </c>
      <c r="P2399" s="1">
        <v>8811.0</v>
      </c>
      <c r="Q2399" s="1">
        <v>31360.0</v>
      </c>
      <c r="S2399" s="1">
        <v>2451.0</v>
      </c>
      <c r="T2399" s="1" t="s">
        <v>21948</v>
      </c>
      <c r="U2399" s="1" t="s">
        <v>569</v>
      </c>
      <c r="V2399" s="1" t="s">
        <v>1340</v>
      </c>
      <c r="W2399" s="1">
        <v>60538.0</v>
      </c>
      <c r="Y2399" s="1" t="s">
        <v>21949</v>
      </c>
      <c r="Z2399" s="1">
        <v>2003.0</v>
      </c>
      <c r="AA2399" s="1" t="s">
        <v>200</v>
      </c>
      <c r="AB2399" s="1" t="s">
        <v>193</v>
      </c>
      <c r="AC2399" s="1" t="s">
        <v>21950</v>
      </c>
      <c r="AD2399" s="1" t="s">
        <v>1343</v>
      </c>
      <c r="AE2399" s="1" t="s">
        <v>849</v>
      </c>
      <c r="AF2399" s="1" t="s">
        <v>1312</v>
      </c>
      <c r="AH2399" s="1" t="s">
        <v>21951</v>
      </c>
      <c r="AK2399" s="1">
        <v>9.0</v>
      </c>
      <c r="AL2399" s="1">
        <v>4.0</v>
      </c>
      <c r="AM2399" s="1">
        <v>2.0</v>
      </c>
      <c r="AN2399" s="1">
        <v>1.0</v>
      </c>
      <c r="AO2399" s="1" t="s">
        <v>198</v>
      </c>
      <c r="AP2399" s="1">
        <v>1.0</v>
      </c>
      <c r="AQ2399" s="1" t="s">
        <v>198</v>
      </c>
      <c r="AR2399" s="1" t="s">
        <v>200</v>
      </c>
      <c r="AS2399" s="1" t="s">
        <v>199</v>
      </c>
      <c r="AT2399" s="1">
        <v>2.0</v>
      </c>
      <c r="AV2399" s="1" t="s">
        <v>200</v>
      </c>
      <c r="AW2399" s="1">
        <v>6333.36</v>
      </c>
      <c r="AX2399" s="1">
        <v>2013.0</v>
      </c>
      <c r="AY2399" s="1" t="s">
        <v>387</v>
      </c>
      <c r="AZ2399" s="1" t="s">
        <v>200</v>
      </c>
      <c r="BA2399" s="1" t="str">
        <f>"0202331015"</f>
        <v>0202331015</v>
      </c>
      <c r="BC2399" s="1">
        <v>2500.0</v>
      </c>
      <c r="BD2399" s="1">
        <v>220000.0</v>
      </c>
      <c r="BE2399" s="2">
        <v>41577.0</v>
      </c>
      <c r="BF2399" s="2" t="s">
        <v>21952</v>
      </c>
      <c r="BH2399" s="1">
        <v>0.0</v>
      </c>
      <c r="BK2399" s="1" t="s">
        <v>204</v>
      </c>
      <c r="BL2399" s="1" t="str">
        <f t="shared" ref="BL2399:BM2399" si="1562">""</f>
        <v/>
      </c>
      <c r="BM2399" s="1" t="str">
        <f t="shared" si="1562"/>
        <v/>
      </c>
      <c r="BQ2399" s="1">
        <v>308.0</v>
      </c>
      <c r="BR2399" s="1">
        <v>308.0</v>
      </c>
      <c r="BS2399" s="1">
        <v>308.0</v>
      </c>
      <c r="BU2399" s="1" t="s">
        <v>269</v>
      </c>
      <c r="BV2399" s="1" t="s">
        <v>206</v>
      </c>
      <c r="BW2399" s="1" t="s">
        <v>210</v>
      </c>
      <c r="BX2399" s="1" t="s">
        <v>239</v>
      </c>
      <c r="BY2399" s="1" t="s">
        <v>782</v>
      </c>
      <c r="BZ2399" s="1" t="s">
        <v>209</v>
      </c>
      <c r="CA2399" s="1" t="s">
        <v>210</v>
      </c>
      <c r="CB2399" s="1" t="s">
        <v>239</v>
      </c>
      <c r="CC2399" s="1" t="s">
        <v>269</v>
      </c>
      <c r="CD2399" s="1" t="s">
        <v>206</v>
      </c>
      <c r="CE2399" s="1" t="s">
        <v>210</v>
      </c>
      <c r="CF2399" s="1" t="s">
        <v>239</v>
      </c>
      <c r="CG2399" s="1" t="s">
        <v>497</v>
      </c>
      <c r="CH2399" s="1" t="s">
        <v>209</v>
      </c>
      <c r="CI2399" s="1" t="s">
        <v>210</v>
      </c>
      <c r="CJ2399" s="1" t="s">
        <v>239</v>
      </c>
      <c r="CK2399" s="1" t="s">
        <v>264</v>
      </c>
      <c r="CL2399" s="1" t="s">
        <v>209</v>
      </c>
      <c r="CM2399" s="1" t="s">
        <v>210</v>
      </c>
      <c r="CN2399" s="1" t="s">
        <v>239</v>
      </c>
      <c r="CO2399" s="1" t="s">
        <v>269</v>
      </c>
      <c r="CP2399" s="1" t="s">
        <v>209</v>
      </c>
      <c r="CQ2399" s="1" t="s">
        <v>210</v>
      </c>
      <c r="CR2399" s="1" t="s">
        <v>239</v>
      </c>
      <c r="CS2399" s="1" t="s">
        <v>1000</v>
      </c>
      <c r="CT2399" s="1" t="s">
        <v>206</v>
      </c>
      <c r="CU2399" s="1" t="s">
        <v>207</v>
      </c>
      <c r="CV2399" s="1" t="s">
        <v>239</v>
      </c>
      <c r="CW2399" s="1" t="s">
        <v>924</v>
      </c>
      <c r="CX2399" s="1" t="s">
        <v>206</v>
      </c>
      <c r="CY2399" s="1" t="s">
        <v>210</v>
      </c>
      <c r="CZ2399" s="1" t="s">
        <v>239</v>
      </c>
      <c r="DA2399" s="1" t="s">
        <v>200</v>
      </c>
      <c r="DC2399" s="1" t="s">
        <v>335</v>
      </c>
      <c r="DD2399" s="1" t="s">
        <v>586</v>
      </c>
      <c r="DE2399" s="1" t="s">
        <v>273</v>
      </c>
      <c r="DF2399" s="1" t="s">
        <v>219</v>
      </c>
      <c r="DG2399" s="1" t="s">
        <v>16520</v>
      </c>
      <c r="DH2399" s="1" t="s">
        <v>220</v>
      </c>
      <c r="DI2399" s="1" t="s">
        <v>221</v>
      </c>
      <c r="DJ2399" s="1" t="s">
        <v>222</v>
      </c>
      <c r="DL2399" s="1" t="s">
        <v>223</v>
      </c>
      <c r="DM2399" s="1" t="s">
        <v>338</v>
      </c>
      <c r="DN2399" s="1" t="s">
        <v>548</v>
      </c>
      <c r="DP2399" s="1" t="s">
        <v>276</v>
      </c>
      <c r="DQ2399" s="1" t="s">
        <v>228</v>
      </c>
      <c r="DR2399" s="1" t="s">
        <v>229</v>
      </c>
      <c r="DS2399" s="1" t="s">
        <v>230</v>
      </c>
      <c r="DU2399" s="1" t="s">
        <v>21953</v>
      </c>
      <c r="DV2399" s="1" t="s">
        <v>494</v>
      </c>
      <c r="DW2399" s="1" t="s">
        <v>891</v>
      </c>
      <c r="DX2399" s="1" t="s">
        <v>234</v>
      </c>
      <c r="DY2399" s="1" t="s">
        <v>490</v>
      </c>
      <c r="DZ2399" s="1" t="s">
        <v>310</v>
      </c>
      <c r="EA2399" s="1" t="s">
        <v>1027</v>
      </c>
      <c r="EB2399" s="1" t="s">
        <v>937</v>
      </c>
      <c r="EC2399" s="1" t="s">
        <v>237</v>
      </c>
      <c r="ED2399" s="1" t="s">
        <v>407</v>
      </c>
      <c r="EE2399" s="1" t="s">
        <v>493</v>
      </c>
      <c r="EG2399" s="1" t="s">
        <v>494</v>
      </c>
      <c r="EL2399" s="1" t="s">
        <v>269</v>
      </c>
      <c r="EM2399" s="1" t="s">
        <v>206</v>
      </c>
      <c r="EN2399" s="1" t="s">
        <v>207</v>
      </c>
      <c r="EO2399" s="1" t="s">
        <v>239</v>
      </c>
      <c r="EQ2399" s="1" t="s">
        <v>238</v>
      </c>
      <c r="EU2399" s="1" t="s">
        <v>238</v>
      </c>
      <c r="EY2399" s="1" t="s">
        <v>238</v>
      </c>
      <c r="FC2399" s="1" t="s">
        <v>238</v>
      </c>
      <c r="FF2399" s="1" t="s">
        <v>239</v>
      </c>
      <c r="FG2399" s="1" t="s">
        <v>192</v>
      </c>
      <c r="FH2399" s="1" t="s">
        <v>192</v>
      </c>
      <c r="FJ2399" s="1" t="s">
        <v>21954</v>
      </c>
      <c r="FK2399" s="1" t="s">
        <v>1586</v>
      </c>
      <c r="FL2399" s="1" t="s">
        <v>1007</v>
      </c>
      <c r="FM2399" s="1">
        <v>23196.0</v>
      </c>
      <c r="FN2399" s="1" t="s">
        <v>3741</v>
      </c>
      <c r="FO2399" s="1" t="s">
        <v>14445</v>
      </c>
      <c r="FP2399" s="1">
        <v>231926.0</v>
      </c>
      <c r="FQ2399" s="1" t="s">
        <v>14446</v>
      </c>
      <c r="FS2399" s="1" t="s">
        <v>21955</v>
      </c>
      <c r="FU2399" s="1" t="s">
        <v>11749</v>
      </c>
      <c r="FV2399" s="1" t="s">
        <v>200</v>
      </c>
      <c r="FW2399" s="1" t="s">
        <v>290</v>
      </c>
      <c r="FZ2399" s="1" t="s">
        <v>229</v>
      </c>
      <c r="GA2399" s="1" t="s">
        <v>291</v>
      </c>
      <c r="GB2399" s="2">
        <v>42017.0</v>
      </c>
      <c r="GC2399" s="1" t="s">
        <v>21956</v>
      </c>
    </row>
    <row r="2400">
      <c r="A2400" s="1">
        <v>550000.0</v>
      </c>
      <c r="B2400" s="1" t="s">
        <v>185</v>
      </c>
      <c r="C2400" s="1" t="str">
        <f>"08476816"</f>
        <v>08476816</v>
      </c>
      <c r="D2400" s="1" t="s">
        <v>186</v>
      </c>
      <c r="F2400" s="1" t="str">
        <f>"10"</f>
        <v>10</v>
      </c>
      <c r="G2400" s="2">
        <v>41575.0</v>
      </c>
      <c r="H2400" s="1">
        <v>569000.0</v>
      </c>
      <c r="I2400" s="1">
        <v>607.0</v>
      </c>
      <c r="J2400" s="1">
        <v>569000.0</v>
      </c>
      <c r="K2400" s="2">
        <v>41810.0</v>
      </c>
      <c r="L2400" s="1">
        <v>236.0</v>
      </c>
      <c r="M2400" s="2">
        <v>41810.0</v>
      </c>
      <c r="N2400" s="1" t="s">
        <v>187</v>
      </c>
      <c r="O2400" s="2">
        <v>42025.0</v>
      </c>
      <c r="P2400" s="1">
        <v>61794.0</v>
      </c>
      <c r="Q2400" s="1">
        <v>6018.0</v>
      </c>
      <c r="S2400" s="1">
        <v>9.0</v>
      </c>
      <c r="T2400" s="1" t="s">
        <v>21957</v>
      </c>
      <c r="U2400" s="1" t="s">
        <v>464</v>
      </c>
      <c r="V2400" s="1" t="s">
        <v>1945</v>
      </c>
      <c r="W2400" s="1">
        <v>60010.0</v>
      </c>
      <c r="Y2400" s="1" t="s">
        <v>21958</v>
      </c>
      <c r="Z2400" s="1">
        <v>1963.0</v>
      </c>
      <c r="AA2400" s="1" t="s">
        <v>192</v>
      </c>
      <c r="AB2400" s="1" t="s">
        <v>193</v>
      </c>
      <c r="AC2400" s="1" t="s">
        <v>21959</v>
      </c>
      <c r="AD2400" s="1" t="s">
        <v>9765</v>
      </c>
      <c r="AE2400" s="1" t="s">
        <v>195</v>
      </c>
      <c r="AF2400" s="1" t="s">
        <v>1948</v>
      </c>
      <c r="AH2400" s="1" t="s">
        <v>21960</v>
      </c>
      <c r="AI2400" s="1">
        <v>5.435</v>
      </c>
      <c r="AK2400" s="1">
        <v>12.0</v>
      </c>
      <c r="AL2400" s="1">
        <v>4.0</v>
      </c>
      <c r="AM2400" s="1">
        <v>3.0</v>
      </c>
      <c r="AN2400" s="1">
        <v>0.0</v>
      </c>
      <c r="AO2400" s="1" t="s">
        <v>198</v>
      </c>
      <c r="AP2400" s="1">
        <v>1.0</v>
      </c>
      <c r="AQ2400" s="1" t="s">
        <v>1314</v>
      </c>
      <c r="AR2400" s="1" t="s">
        <v>200</v>
      </c>
      <c r="AS2400" s="1" t="s">
        <v>199</v>
      </c>
      <c r="AT2400" s="1">
        <v>2.0</v>
      </c>
      <c r="AV2400" s="1" t="s">
        <v>200</v>
      </c>
      <c r="AW2400" s="1">
        <v>16192.39</v>
      </c>
      <c r="AX2400" s="1">
        <v>2012.0</v>
      </c>
      <c r="AZ2400" s="1" t="s">
        <v>200</v>
      </c>
      <c r="BA2400" s="1" t="str">
        <f>"01021000270000"</f>
        <v>01021000270000</v>
      </c>
      <c r="BB2400" s="1" t="s">
        <v>200</v>
      </c>
      <c r="BC2400" s="1">
        <v>2965.0</v>
      </c>
      <c r="BD2400" s="1">
        <v>550000.0</v>
      </c>
      <c r="BE2400" s="2">
        <v>41575.0</v>
      </c>
      <c r="BF2400" s="2" t="s">
        <v>21961</v>
      </c>
      <c r="BG2400" s="1" t="s">
        <v>9768</v>
      </c>
      <c r="BH2400" s="1">
        <v>500.0</v>
      </c>
      <c r="BI2400" s="1" t="s">
        <v>1713</v>
      </c>
      <c r="BJ2400" s="1" t="s">
        <v>1714</v>
      </c>
      <c r="BK2400" s="1" t="s">
        <v>580</v>
      </c>
      <c r="BL2400" s="1" t="str">
        <f>"18"</f>
        <v>18</v>
      </c>
      <c r="BM2400" s="1" t="str">
        <f>"0"</f>
        <v>0</v>
      </c>
      <c r="BN2400" s="1">
        <v>26.0</v>
      </c>
      <c r="BO2400" s="1">
        <v>0.0</v>
      </c>
      <c r="BQ2400" s="1">
        <v>220.0</v>
      </c>
      <c r="BR2400" s="1">
        <v>220.0</v>
      </c>
      <c r="BS2400" s="1">
        <v>220.0</v>
      </c>
      <c r="BU2400" s="1" t="s">
        <v>1535</v>
      </c>
      <c r="BV2400" s="1" t="s">
        <v>206</v>
      </c>
      <c r="BW2400" s="1" t="s">
        <v>207</v>
      </c>
      <c r="BY2400" s="1" t="s">
        <v>361</v>
      </c>
      <c r="BZ2400" s="1" t="s">
        <v>209</v>
      </c>
      <c r="CA2400" s="1" t="s">
        <v>207</v>
      </c>
      <c r="CC2400" s="1" t="s">
        <v>3475</v>
      </c>
      <c r="CD2400" s="1" t="s">
        <v>206</v>
      </c>
      <c r="CE2400" s="1" t="s">
        <v>268</v>
      </c>
      <c r="CG2400" s="1" t="s">
        <v>212</v>
      </c>
      <c r="CH2400" s="1" t="s">
        <v>209</v>
      </c>
      <c r="CI2400" s="1" t="s">
        <v>207</v>
      </c>
      <c r="CK2400" s="1" t="s">
        <v>495</v>
      </c>
      <c r="CL2400" s="1" t="s">
        <v>209</v>
      </c>
      <c r="CM2400" s="1" t="s">
        <v>207</v>
      </c>
      <c r="CO2400" s="1" t="s">
        <v>699</v>
      </c>
      <c r="CP2400" s="1" t="s">
        <v>209</v>
      </c>
      <c r="CQ2400" s="1" t="s">
        <v>207</v>
      </c>
      <c r="CS2400" s="1" t="s">
        <v>264</v>
      </c>
      <c r="CT2400" s="1" t="s">
        <v>206</v>
      </c>
      <c r="CU2400" s="1" t="s">
        <v>207</v>
      </c>
      <c r="CW2400" s="1" t="s">
        <v>8668</v>
      </c>
      <c r="CX2400" s="1" t="s">
        <v>206</v>
      </c>
      <c r="CY2400" s="1" t="s">
        <v>1715</v>
      </c>
      <c r="DA2400" s="1" t="s">
        <v>200</v>
      </c>
      <c r="DC2400" s="1" t="s">
        <v>271</v>
      </c>
      <c r="DD2400" s="1" t="s">
        <v>396</v>
      </c>
      <c r="DE2400" s="1" t="s">
        <v>21962</v>
      </c>
      <c r="DF2400" s="1" t="s">
        <v>21963</v>
      </c>
      <c r="DG2400" s="1" t="s">
        <v>21964</v>
      </c>
      <c r="DH2400" s="1" t="s">
        <v>856</v>
      </c>
      <c r="DI2400" s="1" t="s">
        <v>789</v>
      </c>
      <c r="DJ2400" s="1" t="s">
        <v>857</v>
      </c>
      <c r="DK2400" s="1" t="s">
        <v>3740</v>
      </c>
      <c r="DL2400" s="1" t="s">
        <v>15274</v>
      </c>
      <c r="DM2400" s="1" t="s">
        <v>338</v>
      </c>
      <c r="DO2400" s="1" t="s">
        <v>3943</v>
      </c>
      <c r="DP2400" s="1" t="s">
        <v>340</v>
      </c>
      <c r="DQ2400" s="1" t="s">
        <v>6366</v>
      </c>
      <c r="DR2400" s="1" t="s">
        <v>588</v>
      </c>
      <c r="DS2400" s="1" t="s">
        <v>591</v>
      </c>
      <c r="DV2400" s="1" t="s">
        <v>21965</v>
      </c>
      <c r="DW2400" s="1" t="s">
        <v>964</v>
      </c>
      <c r="DX2400" s="1" t="s">
        <v>234</v>
      </c>
      <c r="DY2400" s="1" t="s">
        <v>879</v>
      </c>
      <c r="DZ2400" s="1" t="s">
        <v>21966</v>
      </c>
      <c r="EA2400" s="1" t="s">
        <v>344</v>
      </c>
      <c r="EB2400" s="1" t="s">
        <v>345</v>
      </c>
      <c r="EC2400" s="1" t="s">
        <v>4613</v>
      </c>
      <c r="ED2400" s="1" t="s">
        <v>555</v>
      </c>
      <c r="EG2400" s="1" t="s">
        <v>494</v>
      </c>
      <c r="EH2400" s="1" t="s">
        <v>449</v>
      </c>
      <c r="EI2400" s="1" t="s">
        <v>450</v>
      </c>
      <c r="EJ2400" s="1" t="s">
        <v>2129</v>
      </c>
      <c r="EK2400" s="1" t="s">
        <v>2129</v>
      </c>
      <c r="EL2400" s="1" t="s">
        <v>361</v>
      </c>
      <c r="EM2400" s="1" t="s">
        <v>267</v>
      </c>
      <c r="EN2400" s="1" t="s">
        <v>207</v>
      </c>
      <c r="EP2400" s="1" t="s">
        <v>264</v>
      </c>
      <c r="EQ2400" s="1" t="s">
        <v>206</v>
      </c>
      <c r="ER2400" s="1" t="s">
        <v>207</v>
      </c>
      <c r="ET2400" s="1" t="s">
        <v>361</v>
      </c>
      <c r="EU2400" s="1" t="s">
        <v>42</v>
      </c>
      <c r="EV2400" s="1" t="s">
        <v>210</v>
      </c>
      <c r="EX2400" s="1" t="s">
        <v>1068</v>
      </c>
      <c r="EY2400" s="1" t="s">
        <v>206</v>
      </c>
      <c r="FB2400" s="1" t="s">
        <v>2442</v>
      </c>
      <c r="FC2400" s="1" t="s">
        <v>267</v>
      </c>
      <c r="FF2400" s="1" t="s">
        <v>239</v>
      </c>
      <c r="FG2400" s="1" t="s">
        <v>192</v>
      </c>
      <c r="FH2400" s="1" t="s">
        <v>192</v>
      </c>
      <c r="FJ2400" s="1" t="s">
        <v>5605</v>
      </c>
      <c r="FK2400" s="1" t="s">
        <v>1586</v>
      </c>
      <c r="FL2400" s="1" t="s">
        <v>2026</v>
      </c>
      <c r="FM2400" s="1">
        <v>6018.0</v>
      </c>
      <c r="FN2400" s="1" t="s">
        <v>2027</v>
      </c>
      <c r="FO2400" s="1" t="s">
        <v>10944</v>
      </c>
      <c r="FP2400" s="1">
        <v>61461.0</v>
      </c>
      <c r="FS2400" s="1" t="s">
        <v>10945</v>
      </c>
      <c r="FU2400" s="1" t="s">
        <v>21967</v>
      </c>
      <c r="FV2400" s="1" t="s">
        <v>200</v>
      </c>
      <c r="FW2400" s="1" t="s">
        <v>530</v>
      </c>
      <c r="FZ2400" s="1" t="s">
        <v>229</v>
      </c>
      <c r="GA2400" s="1" t="s">
        <v>291</v>
      </c>
      <c r="GB2400" s="2">
        <v>42026.0</v>
      </c>
      <c r="GC2400" s="1" t="s">
        <v>21968</v>
      </c>
    </row>
    <row r="2401">
      <c r="A2401" s="1">
        <v>207000.0</v>
      </c>
      <c r="B2401" s="1" t="s">
        <v>185</v>
      </c>
      <c r="C2401" s="1" t="str">
        <f>"08483851"</f>
        <v>08483851</v>
      </c>
      <c r="D2401" s="1" t="s">
        <v>186</v>
      </c>
      <c r="F2401" s="1" t="str">
        <f>"543"</f>
        <v>543</v>
      </c>
      <c r="G2401" s="2">
        <v>41585.0</v>
      </c>
      <c r="H2401" s="1">
        <v>249900.0</v>
      </c>
      <c r="I2401" s="1">
        <v>250.0</v>
      </c>
      <c r="J2401" s="1">
        <v>205000.0</v>
      </c>
      <c r="K2401" s="2">
        <v>41834.0</v>
      </c>
      <c r="L2401" s="1">
        <v>250.0</v>
      </c>
      <c r="M2401" s="2">
        <v>41834.0</v>
      </c>
      <c r="N2401" s="1" t="s">
        <v>356</v>
      </c>
      <c r="O2401" s="2">
        <v>41976.0</v>
      </c>
      <c r="P2401" s="1">
        <v>237154.0</v>
      </c>
      <c r="Q2401" s="1">
        <v>22029.0</v>
      </c>
      <c r="R2401" s="1">
        <v>2000.0</v>
      </c>
      <c r="S2401" s="1">
        <v>4618.0</v>
      </c>
      <c r="T2401" s="1" t="s">
        <v>13504</v>
      </c>
      <c r="U2401" s="1" t="s">
        <v>569</v>
      </c>
      <c r="V2401" s="1" t="s">
        <v>1527</v>
      </c>
      <c r="W2401" s="1">
        <v>60543.0</v>
      </c>
      <c r="Y2401" s="1" t="s">
        <v>21969</v>
      </c>
      <c r="Z2401" s="1">
        <v>2010.0</v>
      </c>
      <c r="AA2401" s="1" t="s">
        <v>200</v>
      </c>
      <c r="AB2401" s="1" t="s">
        <v>193</v>
      </c>
      <c r="AC2401" s="1" t="s">
        <v>8934</v>
      </c>
      <c r="AD2401" s="1" t="s">
        <v>1529</v>
      </c>
      <c r="AE2401" s="1" t="s">
        <v>849</v>
      </c>
      <c r="AF2401" s="1" t="s">
        <v>1529</v>
      </c>
      <c r="AG2401" s="1" t="s">
        <v>8936</v>
      </c>
      <c r="AH2401" s="1" t="s">
        <v>21970</v>
      </c>
      <c r="AK2401" s="1">
        <v>8.0</v>
      </c>
      <c r="AL2401" s="1">
        <v>4.0</v>
      </c>
      <c r="AM2401" s="1">
        <v>2.0</v>
      </c>
      <c r="AN2401" s="1">
        <v>1.0</v>
      </c>
      <c r="AO2401" s="1" t="s">
        <v>198</v>
      </c>
      <c r="AQ2401" s="1" t="s">
        <v>1314</v>
      </c>
      <c r="AR2401" s="1" t="s">
        <v>200</v>
      </c>
      <c r="AS2401" s="1" t="s">
        <v>199</v>
      </c>
      <c r="AT2401" s="1">
        <v>2.0</v>
      </c>
      <c r="AV2401" s="1" t="s">
        <v>200</v>
      </c>
      <c r="AW2401" s="1">
        <v>7743.52</v>
      </c>
      <c r="AX2401" s="1">
        <v>2012.0</v>
      </c>
      <c r="AY2401" s="1" t="s">
        <v>387</v>
      </c>
      <c r="AZ2401" s="1" t="s">
        <v>200</v>
      </c>
      <c r="BA2401" s="1" t="str">
        <f>"0225427018"</f>
        <v>0225427018</v>
      </c>
      <c r="BC2401" s="1">
        <v>2670.0</v>
      </c>
      <c r="BD2401" s="1">
        <v>207000.0</v>
      </c>
      <c r="BE2401" s="2">
        <v>41585.0</v>
      </c>
      <c r="BF2401" s="2" t="s">
        <v>21971</v>
      </c>
      <c r="BG2401" s="1" t="s">
        <v>8939</v>
      </c>
      <c r="BH2401" s="1">
        <v>550.0</v>
      </c>
      <c r="BI2401" s="1" t="s">
        <v>1533</v>
      </c>
      <c r="BJ2401" s="1" t="s">
        <v>1349</v>
      </c>
      <c r="BK2401" s="1" t="s">
        <v>580</v>
      </c>
      <c r="BL2401" s="1" t="str">
        <f t="shared" ref="BL2401:BM2401" si="1563">"0"</f>
        <v>0</v>
      </c>
      <c r="BM2401" s="1" t="str">
        <f t="shared" si="1563"/>
        <v>0</v>
      </c>
      <c r="BN2401" s="1">
        <v>0.0</v>
      </c>
      <c r="BO2401" s="1">
        <v>0.0</v>
      </c>
      <c r="BQ2401" s="1">
        <v>308.0</v>
      </c>
      <c r="BR2401" s="1">
        <v>308.0</v>
      </c>
      <c r="BS2401" s="1">
        <v>308.0</v>
      </c>
      <c r="BU2401" s="1" t="s">
        <v>743</v>
      </c>
      <c r="BV2401" s="1" t="s">
        <v>206</v>
      </c>
      <c r="BW2401" s="1" t="s">
        <v>210</v>
      </c>
      <c r="BY2401" s="1" t="s">
        <v>1350</v>
      </c>
      <c r="BZ2401" s="1" t="s">
        <v>209</v>
      </c>
      <c r="CA2401" s="1" t="s">
        <v>210</v>
      </c>
      <c r="CC2401" s="1" t="s">
        <v>212</v>
      </c>
      <c r="CD2401" s="1" t="s">
        <v>206</v>
      </c>
      <c r="CE2401" s="1" t="s">
        <v>210</v>
      </c>
      <c r="CG2401" s="1" t="s">
        <v>363</v>
      </c>
      <c r="CH2401" s="1" t="s">
        <v>209</v>
      </c>
      <c r="CI2401" s="1" t="s">
        <v>210</v>
      </c>
      <c r="CK2401" s="1" t="s">
        <v>1417</v>
      </c>
      <c r="CL2401" s="1" t="s">
        <v>209</v>
      </c>
      <c r="CM2401" s="1" t="s">
        <v>210</v>
      </c>
      <c r="CO2401" s="1" t="s">
        <v>302</v>
      </c>
      <c r="CP2401" s="1" t="s">
        <v>209</v>
      </c>
      <c r="CQ2401" s="1" t="s">
        <v>210</v>
      </c>
      <c r="CS2401" s="1" t="s">
        <v>302</v>
      </c>
      <c r="CT2401" s="1" t="s">
        <v>206</v>
      </c>
      <c r="CU2401" s="1" t="s">
        <v>617</v>
      </c>
      <c r="CW2401" s="1" t="s">
        <v>743</v>
      </c>
      <c r="CX2401" s="1" t="s">
        <v>206</v>
      </c>
      <c r="CY2401" s="1" t="s">
        <v>210</v>
      </c>
      <c r="DA2401" s="1" t="s">
        <v>200</v>
      </c>
      <c r="DC2401" s="1" t="s">
        <v>1046</v>
      </c>
      <c r="DD2401" s="1" t="s">
        <v>336</v>
      </c>
      <c r="DE2401" s="1" t="s">
        <v>273</v>
      </c>
      <c r="DF2401" s="1" t="s">
        <v>219</v>
      </c>
      <c r="DG2401" s="1" t="s">
        <v>3259</v>
      </c>
      <c r="DH2401" s="1" t="s">
        <v>220</v>
      </c>
      <c r="DJ2401" s="1" t="s">
        <v>1048</v>
      </c>
      <c r="DK2401" s="1" t="s">
        <v>223</v>
      </c>
      <c r="DL2401" s="1" t="s">
        <v>224</v>
      </c>
      <c r="DM2401" s="1" t="s">
        <v>338</v>
      </c>
      <c r="DN2401" s="1" t="s">
        <v>485</v>
      </c>
      <c r="DP2401" s="1" t="s">
        <v>276</v>
      </c>
      <c r="DQ2401" s="1" t="s">
        <v>228</v>
      </c>
      <c r="DR2401" s="1" t="s">
        <v>2593</v>
      </c>
      <c r="DU2401" s="1" t="s">
        <v>1840</v>
      </c>
      <c r="DV2401" s="1" t="s">
        <v>232</v>
      </c>
      <c r="DW2401" s="1" t="s">
        <v>233</v>
      </c>
      <c r="DX2401" s="1" t="s">
        <v>234</v>
      </c>
      <c r="DY2401" s="1" t="s">
        <v>3075</v>
      </c>
      <c r="DZ2401" s="1" t="s">
        <v>343</v>
      </c>
      <c r="EA2401" s="1" t="s">
        <v>344</v>
      </c>
      <c r="EC2401" s="1" t="s">
        <v>237</v>
      </c>
      <c r="ED2401" s="1" t="s">
        <v>555</v>
      </c>
      <c r="EM2401" s="1" t="s">
        <v>238</v>
      </c>
      <c r="EQ2401" s="1" t="s">
        <v>238</v>
      </c>
      <c r="EU2401" s="1" t="s">
        <v>238</v>
      </c>
      <c r="EY2401" s="1" t="s">
        <v>238</v>
      </c>
      <c r="FC2401" s="1" t="s">
        <v>238</v>
      </c>
      <c r="FF2401" s="1" t="s">
        <v>239</v>
      </c>
      <c r="FG2401" s="1" t="s">
        <v>192</v>
      </c>
      <c r="FH2401" s="1" t="s">
        <v>192</v>
      </c>
      <c r="FJ2401" s="1" t="s">
        <v>2025</v>
      </c>
      <c r="FK2401" s="1" t="s">
        <v>1586</v>
      </c>
      <c r="FL2401" s="1" t="s">
        <v>2382</v>
      </c>
      <c r="FM2401" s="1">
        <v>23842.0</v>
      </c>
      <c r="FN2401" s="1" t="s">
        <v>2383</v>
      </c>
      <c r="FO2401" s="1" t="s">
        <v>2384</v>
      </c>
      <c r="FP2401" s="1">
        <v>217273.0</v>
      </c>
      <c r="FQ2401" s="1" t="s">
        <v>2385</v>
      </c>
      <c r="FU2401" s="1" t="s">
        <v>710</v>
      </c>
      <c r="FV2401" s="1" t="s">
        <v>200</v>
      </c>
      <c r="FW2401" s="1" t="s">
        <v>21972</v>
      </c>
      <c r="FZ2401" s="1" t="s">
        <v>229</v>
      </c>
      <c r="GA2401" s="1" t="s">
        <v>291</v>
      </c>
      <c r="GB2401" s="2">
        <v>41976.0</v>
      </c>
      <c r="GC2401" s="2" t="s">
        <v>21973</v>
      </c>
    </row>
    <row r="2402">
      <c r="A2402" s="1">
        <v>9000.0</v>
      </c>
      <c r="B2402" s="1" t="s">
        <v>185</v>
      </c>
      <c r="C2402" s="1" t="str">
        <f>"08818696"</f>
        <v>08818696</v>
      </c>
      <c r="D2402" s="1" t="s">
        <v>186</v>
      </c>
      <c r="F2402" s="1" t="str">
        <f>"8061"</f>
        <v>8061</v>
      </c>
      <c r="G2402" s="2">
        <v>42021.0</v>
      </c>
      <c r="H2402" s="1">
        <v>8000.0</v>
      </c>
      <c r="I2402" s="1">
        <v>39.0</v>
      </c>
      <c r="J2402" s="1">
        <v>8000.0</v>
      </c>
      <c r="K2402" s="2">
        <v>42058.0</v>
      </c>
      <c r="L2402" s="1">
        <v>39.0</v>
      </c>
      <c r="M2402" s="2">
        <v>42058.0</v>
      </c>
      <c r="N2402" s="1" t="s">
        <v>249</v>
      </c>
      <c r="O2402" s="2">
        <v>42083.0</v>
      </c>
      <c r="P2402" s="1">
        <v>187917.0</v>
      </c>
      <c r="Q2402" s="1">
        <v>12555.0</v>
      </c>
      <c r="S2402" s="1">
        <v>5328.0</v>
      </c>
      <c r="T2402" s="1" t="s">
        <v>12142</v>
      </c>
      <c r="U2402" s="1" t="s">
        <v>320</v>
      </c>
      <c r="V2402" s="1" t="s">
        <v>190</v>
      </c>
      <c r="W2402" s="1">
        <v>60609.0</v>
      </c>
      <c r="Y2402" s="1" t="s">
        <v>21974</v>
      </c>
      <c r="Z2402" s="1" t="s">
        <v>296</v>
      </c>
      <c r="AA2402" s="1" t="s">
        <v>192</v>
      </c>
      <c r="AB2402" s="1" t="s">
        <v>193</v>
      </c>
      <c r="AD2402" s="1" t="s">
        <v>194</v>
      </c>
      <c r="AE2402" s="1" t="s">
        <v>195</v>
      </c>
      <c r="AF2402" s="1" t="s">
        <v>659</v>
      </c>
      <c r="AH2402" s="1">
        <v>0.0</v>
      </c>
      <c r="AI2402" s="1">
        <v>0.0712</v>
      </c>
      <c r="AK2402" s="1">
        <v>7.0</v>
      </c>
      <c r="AL2402" s="1">
        <v>4.0</v>
      </c>
      <c r="AM2402" s="1">
        <v>0.0</v>
      </c>
      <c r="AN2402" s="1">
        <v>0.0</v>
      </c>
      <c r="AO2402" s="1" t="s">
        <v>229</v>
      </c>
      <c r="AQ2402" s="1" t="s">
        <v>229</v>
      </c>
      <c r="AR2402" s="1" t="s">
        <v>200</v>
      </c>
      <c r="AS2402" s="1" t="s">
        <v>229</v>
      </c>
      <c r="AV2402" s="1" t="s">
        <v>200</v>
      </c>
      <c r="AW2402" s="1">
        <v>1462.64</v>
      </c>
      <c r="AX2402" s="1">
        <v>2012.0</v>
      </c>
      <c r="AZ2402" s="1" t="s">
        <v>545</v>
      </c>
      <c r="BA2402" s="1" t="str">
        <f>"20084150330000"</f>
        <v>20084150330000</v>
      </c>
      <c r="BC2402" s="1">
        <v>0.0</v>
      </c>
      <c r="BD2402" s="1">
        <v>9000.0</v>
      </c>
      <c r="BE2402" s="2">
        <v>42020.0</v>
      </c>
      <c r="BF2402" s="1" t="s">
        <v>21975</v>
      </c>
      <c r="BH2402" s="1">
        <v>0.0</v>
      </c>
      <c r="BK2402" s="1" t="s">
        <v>204</v>
      </c>
      <c r="BL2402" s="1" t="str">
        <f t="shared" ref="BL2402:BM2402" si="1564">"0"</f>
        <v>0</v>
      </c>
      <c r="BM2402" s="1" t="str">
        <f t="shared" si="1564"/>
        <v>0</v>
      </c>
      <c r="BN2402" s="1">
        <v>1132.0</v>
      </c>
      <c r="BO2402" s="1">
        <v>5328.0</v>
      </c>
      <c r="BQ2402" s="1">
        <v>299.0</v>
      </c>
      <c r="BR2402" s="1">
        <v>299.0</v>
      </c>
      <c r="BS2402" s="1">
        <v>299.0</v>
      </c>
      <c r="BU2402" s="1" t="s">
        <v>303</v>
      </c>
      <c r="BV2402" s="1" t="s">
        <v>206</v>
      </c>
      <c r="BY2402" s="1" t="s">
        <v>269</v>
      </c>
      <c r="BZ2402" s="1" t="s">
        <v>206</v>
      </c>
      <c r="CC2402" s="1" t="s">
        <v>303</v>
      </c>
      <c r="CD2402" s="1" t="s">
        <v>206</v>
      </c>
      <c r="CG2402" s="1" t="s">
        <v>269</v>
      </c>
      <c r="CH2402" s="1" t="s">
        <v>206</v>
      </c>
      <c r="CK2402" s="1" t="s">
        <v>269</v>
      </c>
      <c r="CL2402" s="1" t="s">
        <v>209</v>
      </c>
      <c r="CO2402" s="1" t="s">
        <v>269</v>
      </c>
      <c r="CP2402" s="1" t="s">
        <v>209</v>
      </c>
      <c r="CS2402" s="1" t="s">
        <v>269</v>
      </c>
      <c r="CT2402" s="1" t="s">
        <v>206</v>
      </c>
      <c r="CX2402" s="1" t="s">
        <v>204</v>
      </c>
      <c r="DA2402" s="1" t="s">
        <v>200</v>
      </c>
      <c r="DC2402" s="1" t="s">
        <v>545</v>
      </c>
      <c r="DE2402" s="1" t="s">
        <v>229</v>
      </c>
      <c r="DF2402" s="1" t="s">
        <v>229</v>
      </c>
      <c r="DH2402" s="1" t="s">
        <v>220</v>
      </c>
      <c r="DJ2402" s="1" t="s">
        <v>222</v>
      </c>
      <c r="DL2402" s="1" t="s">
        <v>520</v>
      </c>
      <c r="DM2402" s="1" t="s">
        <v>229</v>
      </c>
      <c r="DQ2402" s="1" t="s">
        <v>228</v>
      </c>
      <c r="DR2402" s="1" t="s">
        <v>229</v>
      </c>
      <c r="DV2402" s="1" t="s">
        <v>232</v>
      </c>
      <c r="DW2402" s="1" t="s">
        <v>667</v>
      </c>
      <c r="DX2402" s="1" t="s">
        <v>1287</v>
      </c>
      <c r="EC2402" s="1" t="s">
        <v>645</v>
      </c>
      <c r="EM2402" s="1" t="s">
        <v>238</v>
      </c>
      <c r="EQ2402" s="1" t="s">
        <v>238</v>
      </c>
      <c r="EU2402" s="1" t="s">
        <v>238</v>
      </c>
      <c r="EY2402" s="1" t="s">
        <v>238</v>
      </c>
      <c r="FC2402" s="1" t="s">
        <v>238</v>
      </c>
      <c r="FF2402" s="1" t="s">
        <v>239</v>
      </c>
      <c r="FG2402" s="1" t="s">
        <v>192</v>
      </c>
      <c r="FH2402" s="1" t="s">
        <v>192</v>
      </c>
      <c r="FJ2402" s="1" t="s">
        <v>770</v>
      </c>
      <c r="FK2402" s="1" t="s">
        <v>229</v>
      </c>
      <c r="FL2402" s="1" t="s">
        <v>21976</v>
      </c>
      <c r="FM2402" s="1">
        <v>14624.0</v>
      </c>
      <c r="FN2402" s="1" t="s">
        <v>21977</v>
      </c>
      <c r="FO2402" s="1" t="s">
        <v>21978</v>
      </c>
      <c r="FP2402" s="1">
        <v>107547.0</v>
      </c>
      <c r="FQ2402" s="1" t="s">
        <v>21977</v>
      </c>
      <c r="FU2402" s="1" t="s">
        <v>21979</v>
      </c>
      <c r="FV2402" s="1" t="s">
        <v>200</v>
      </c>
      <c r="FW2402" s="1" t="s">
        <v>530</v>
      </c>
      <c r="FX2402" s="1" t="s">
        <v>655</v>
      </c>
      <c r="FZ2402" s="1" t="s">
        <v>229</v>
      </c>
      <c r="GA2402" s="1" t="s">
        <v>291</v>
      </c>
      <c r="GB2402" s="2">
        <v>42084.0</v>
      </c>
      <c r="GC2402" s="1" t="s">
        <v>21980</v>
      </c>
    </row>
    <row r="2403">
      <c r="A2403" s="1">
        <v>387000.0</v>
      </c>
      <c r="B2403" s="1" t="s">
        <v>185</v>
      </c>
      <c r="C2403" s="1" t="str">
        <f>"08811431"</f>
        <v>08811431</v>
      </c>
      <c r="D2403" s="1" t="s">
        <v>186</v>
      </c>
      <c r="F2403" s="1" t="str">
        <f>"8010"</f>
        <v>8010</v>
      </c>
      <c r="G2403" s="2">
        <v>42011.0</v>
      </c>
      <c r="H2403" s="1">
        <v>399777.0</v>
      </c>
      <c r="I2403" s="1">
        <v>104.0</v>
      </c>
      <c r="J2403" s="1">
        <v>399777.0</v>
      </c>
      <c r="K2403" s="2">
        <v>42037.0</v>
      </c>
      <c r="L2403" s="1">
        <v>27.0</v>
      </c>
      <c r="M2403" s="2">
        <v>42037.0</v>
      </c>
      <c r="N2403" s="1" t="s">
        <v>634</v>
      </c>
      <c r="O2403" s="2">
        <v>42080.0</v>
      </c>
      <c r="P2403" s="1">
        <v>874935.0</v>
      </c>
      <c r="Q2403" s="1">
        <v>13691.0</v>
      </c>
      <c r="R2403" s="1">
        <v>5103.0</v>
      </c>
      <c r="S2403" s="1">
        <v>5446.0</v>
      </c>
      <c r="T2403" s="1" t="s">
        <v>21314</v>
      </c>
      <c r="U2403" s="1" t="s">
        <v>189</v>
      </c>
      <c r="V2403" s="1" t="s">
        <v>190</v>
      </c>
      <c r="W2403" s="1">
        <v>60656.0</v>
      </c>
      <c r="Y2403" s="1" t="s">
        <v>21981</v>
      </c>
      <c r="Z2403" s="1" t="s">
        <v>296</v>
      </c>
      <c r="AA2403" s="1" t="s">
        <v>192</v>
      </c>
      <c r="AB2403" s="1" t="s">
        <v>193</v>
      </c>
      <c r="AD2403" s="1" t="s">
        <v>194</v>
      </c>
      <c r="AE2403" s="1" t="s">
        <v>195</v>
      </c>
      <c r="AF2403" s="1" t="s">
        <v>196</v>
      </c>
      <c r="AH2403" s="1" t="s">
        <v>1284</v>
      </c>
      <c r="AK2403" s="1">
        <v>10.0</v>
      </c>
      <c r="AL2403" s="1">
        <v>3.0</v>
      </c>
      <c r="AM2403" s="1">
        <v>2.0</v>
      </c>
      <c r="AN2403" s="1">
        <v>1.0</v>
      </c>
      <c r="AO2403" s="1" t="s">
        <v>229</v>
      </c>
      <c r="AQ2403" s="1" t="s">
        <v>198</v>
      </c>
      <c r="AR2403" s="1" t="s">
        <v>192</v>
      </c>
      <c r="AS2403" s="1" t="s">
        <v>199</v>
      </c>
      <c r="AT2403" s="1">
        <v>2.0</v>
      </c>
      <c r="AV2403" s="1" t="s">
        <v>200</v>
      </c>
      <c r="AW2403" s="1">
        <v>3450.0</v>
      </c>
      <c r="AX2403" s="1">
        <v>2013.0</v>
      </c>
      <c r="AY2403" s="1" t="s">
        <v>229</v>
      </c>
      <c r="AZ2403" s="1" t="s">
        <v>200</v>
      </c>
      <c r="BA2403" s="1" t="str">
        <f>"13072020090000"</f>
        <v>13072020090000</v>
      </c>
      <c r="BC2403" s="1">
        <v>2200.0</v>
      </c>
      <c r="BD2403" s="1">
        <v>387000.0</v>
      </c>
      <c r="BE2403" s="2">
        <v>42011.0</v>
      </c>
      <c r="BF2403" s="2" t="s">
        <v>21982</v>
      </c>
      <c r="BG2403" s="1" t="s">
        <v>10629</v>
      </c>
      <c r="BH2403" s="1">
        <v>0.0</v>
      </c>
      <c r="BJ2403" s="1" t="s">
        <v>1222</v>
      </c>
      <c r="BK2403" s="1" t="s">
        <v>204</v>
      </c>
      <c r="BL2403" s="1" t="str">
        <f>"5446"</f>
        <v>5446</v>
      </c>
      <c r="BM2403" s="1" t="str">
        <f>"0"</f>
        <v>0</v>
      </c>
      <c r="BN2403" s="1">
        <v>6700.0</v>
      </c>
      <c r="BO2403" s="1">
        <v>0.0</v>
      </c>
      <c r="BQ2403" s="1">
        <v>299.0</v>
      </c>
      <c r="BR2403" s="1">
        <v>299.0</v>
      </c>
      <c r="BS2403" s="1">
        <v>299.0</v>
      </c>
      <c r="BU2403" s="1" t="s">
        <v>1519</v>
      </c>
      <c r="BV2403" s="1" t="s">
        <v>206</v>
      </c>
      <c r="BW2403" s="1" t="s">
        <v>207</v>
      </c>
      <c r="BY2403" s="1" t="s">
        <v>478</v>
      </c>
      <c r="BZ2403" s="1" t="s">
        <v>209</v>
      </c>
      <c r="CA2403" s="1" t="s">
        <v>210</v>
      </c>
      <c r="CC2403" s="1" t="s">
        <v>663</v>
      </c>
      <c r="CD2403" s="1" t="s">
        <v>206</v>
      </c>
      <c r="CE2403" s="1" t="s">
        <v>207</v>
      </c>
      <c r="CG2403" s="1" t="s">
        <v>1852</v>
      </c>
      <c r="CH2403" s="1" t="s">
        <v>209</v>
      </c>
      <c r="CI2403" s="1" t="s">
        <v>210</v>
      </c>
      <c r="CK2403" s="1" t="s">
        <v>302</v>
      </c>
      <c r="CL2403" s="1" t="s">
        <v>206</v>
      </c>
      <c r="CM2403" s="1" t="s">
        <v>207</v>
      </c>
      <c r="CO2403" s="1" t="s">
        <v>302</v>
      </c>
      <c r="CP2403" s="1" t="s">
        <v>42</v>
      </c>
      <c r="CQ2403" s="1" t="s">
        <v>210</v>
      </c>
      <c r="CS2403" s="1" t="s">
        <v>478</v>
      </c>
      <c r="CT2403" s="1" t="s">
        <v>206</v>
      </c>
      <c r="CU2403" s="1" t="s">
        <v>207</v>
      </c>
      <c r="CW2403" s="1" t="s">
        <v>21983</v>
      </c>
      <c r="CX2403" s="1" t="s">
        <v>42</v>
      </c>
      <c r="CY2403" s="1" t="s">
        <v>210</v>
      </c>
      <c r="DA2403" s="1" t="s">
        <v>200</v>
      </c>
      <c r="DC2403" s="1" t="s">
        <v>545</v>
      </c>
      <c r="DD2403" s="1" t="s">
        <v>731</v>
      </c>
      <c r="DE2403" s="1" t="s">
        <v>273</v>
      </c>
      <c r="DF2403" s="1" t="s">
        <v>745</v>
      </c>
      <c r="DH2403" s="1" t="s">
        <v>365</v>
      </c>
      <c r="DI2403" s="1" t="s">
        <v>366</v>
      </c>
      <c r="DJ2403" s="1" t="s">
        <v>222</v>
      </c>
      <c r="DL2403" s="1" t="s">
        <v>224</v>
      </c>
      <c r="DM2403" s="1" t="s">
        <v>229</v>
      </c>
      <c r="DN2403" s="1" t="s">
        <v>666</v>
      </c>
      <c r="DP2403" s="1" t="s">
        <v>276</v>
      </c>
      <c r="DQ2403" s="1" t="s">
        <v>228</v>
      </c>
      <c r="DR2403" s="1" t="s">
        <v>229</v>
      </c>
      <c r="DV2403" s="1" t="s">
        <v>21984</v>
      </c>
      <c r="DW2403" s="1" t="s">
        <v>279</v>
      </c>
      <c r="DX2403" s="1" t="s">
        <v>234</v>
      </c>
      <c r="DY2403" s="1" t="s">
        <v>16598</v>
      </c>
      <c r="EA2403" s="1" t="s">
        <v>257</v>
      </c>
      <c r="EC2403" s="1" t="s">
        <v>645</v>
      </c>
      <c r="ED2403" s="1" t="s">
        <v>555</v>
      </c>
      <c r="EG2403" s="1" t="s">
        <v>1028</v>
      </c>
      <c r="EH2403" s="1" t="s">
        <v>557</v>
      </c>
      <c r="EL2403" s="1" t="s">
        <v>6296</v>
      </c>
      <c r="EM2403" s="1" t="s">
        <v>209</v>
      </c>
      <c r="EN2403" s="1" t="s">
        <v>210</v>
      </c>
      <c r="EP2403" s="1" t="s">
        <v>663</v>
      </c>
      <c r="EQ2403" s="1" t="s">
        <v>206</v>
      </c>
      <c r="ER2403" s="1" t="s">
        <v>207</v>
      </c>
      <c r="EU2403" s="1" t="s">
        <v>238</v>
      </c>
      <c r="EY2403" s="1" t="s">
        <v>238</v>
      </c>
      <c r="FC2403" s="1" t="s">
        <v>238</v>
      </c>
      <c r="FF2403" s="1" t="s">
        <v>239</v>
      </c>
      <c r="FG2403" s="1" t="s">
        <v>192</v>
      </c>
      <c r="FH2403" s="1" t="s">
        <v>192</v>
      </c>
      <c r="FJ2403" s="1" t="s">
        <v>1450</v>
      </c>
      <c r="FK2403" s="1" t="s">
        <v>229</v>
      </c>
      <c r="FL2403" s="1" t="s">
        <v>21985</v>
      </c>
      <c r="FM2403" s="1">
        <v>15218.0</v>
      </c>
      <c r="FN2403" s="1" t="s">
        <v>21986</v>
      </c>
      <c r="FO2403" s="1" t="s">
        <v>21987</v>
      </c>
      <c r="FP2403" s="1">
        <v>149970.0</v>
      </c>
      <c r="FQ2403" s="1" t="s">
        <v>21988</v>
      </c>
      <c r="FU2403" s="1" t="s">
        <v>21989</v>
      </c>
      <c r="FV2403" s="1" t="s">
        <v>200</v>
      </c>
      <c r="FW2403" s="1" t="s">
        <v>530</v>
      </c>
      <c r="FX2403" s="1" t="s">
        <v>238</v>
      </c>
      <c r="FZ2403" s="1" t="s">
        <v>229</v>
      </c>
      <c r="GA2403" s="1" t="s">
        <v>291</v>
      </c>
      <c r="GB2403" s="2">
        <v>42080.0</v>
      </c>
    </row>
    <row r="2404">
      <c r="A2404" s="1">
        <v>130000.0</v>
      </c>
      <c r="B2404" s="1" t="s">
        <v>185</v>
      </c>
      <c r="C2404" s="1" t="str">
        <f>"08809128"</f>
        <v>08809128</v>
      </c>
      <c r="D2404" s="1" t="s">
        <v>186</v>
      </c>
      <c r="F2404" s="1" t="str">
        <f>"8065"</f>
        <v>8065</v>
      </c>
      <c r="G2404" s="2">
        <v>42008.0</v>
      </c>
      <c r="H2404" s="1">
        <v>125000.0</v>
      </c>
      <c r="I2404" s="1">
        <v>208.0</v>
      </c>
      <c r="J2404" s="1">
        <v>125000.0</v>
      </c>
      <c r="K2404" s="2">
        <v>42025.0</v>
      </c>
      <c r="L2404" s="1">
        <v>21.0</v>
      </c>
      <c r="M2404" s="2">
        <v>42025.0</v>
      </c>
      <c r="N2404" s="1" t="s">
        <v>1512</v>
      </c>
      <c r="O2404" s="2">
        <v>42090.0</v>
      </c>
      <c r="P2404" s="1">
        <v>219100.0</v>
      </c>
      <c r="Q2404" s="1">
        <v>60321.0</v>
      </c>
      <c r="R2404" s="1">
        <v>2000.0</v>
      </c>
      <c r="S2404" s="1">
        <v>3709.0</v>
      </c>
      <c r="T2404" s="1" t="s">
        <v>21990</v>
      </c>
      <c r="U2404" s="1" t="s">
        <v>320</v>
      </c>
      <c r="V2404" s="1" t="s">
        <v>190</v>
      </c>
      <c r="W2404" s="1">
        <v>60629.0</v>
      </c>
      <c r="Y2404" s="1" t="s">
        <v>21991</v>
      </c>
      <c r="Z2404" s="1">
        <v>1913.0</v>
      </c>
      <c r="AA2404" s="1" t="s">
        <v>192</v>
      </c>
      <c r="AB2404" s="1" t="s">
        <v>193</v>
      </c>
      <c r="AD2404" s="1" t="s">
        <v>194</v>
      </c>
      <c r="AE2404" s="1" t="s">
        <v>195</v>
      </c>
      <c r="AF2404" s="1" t="s">
        <v>659</v>
      </c>
      <c r="AH2404" s="1" t="s">
        <v>21992</v>
      </c>
      <c r="AK2404" s="1">
        <v>8.0</v>
      </c>
      <c r="AL2404" s="1">
        <v>4.0</v>
      </c>
      <c r="AM2404" s="1">
        <v>2.0</v>
      </c>
      <c r="AN2404" s="1">
        <v>0.0</v>
      </c>
      <c r="AO2404" s="1" t="s">
        <v>229</v>
      </c>
      <c r="AQ2404" s="1" t="s">
        <v>198</v>
      </c>
      <c r="AR2404" s="1" t="s">
        <v>200</v>
      </c>
      <c r="AS2404" s="1" t="s">
        <v>199</v>
      </c>
      <c r="AT2404" s="1">
        <v>2.0</v>
      </c>
      <c r="AV2404" s="1" t="s">
        <v>200</v>
      </c>
      <c r="AW2404" s="1">
        <v>2668.0</v>
      </c>
      <c r="AX2404" s="1">
        <v>2013.0</v>
      </c>
      <c r="AZ2404" s="1" t="s">
        <v>545</v>
      </c>
      <c r="BA2404" s="1" t="str">
        <f>"19231180150000"</f>
        <v>19231180150000</v>
      </c>
      <c r="BC2404" s="1">
        <v>1621.0</v>
      </c>
      <c r="BD2404" s="1">
        <v>130000.0</v>
      </c>
      <c r="BE2404" s="2">
        <v>42005.0</v>
      </c>
      <c r="BF2404" s="2" t="s">
        <v>21993</v>
      </c>
      <c r="BH2404" s="1">
        <v>0.0</v>
      </c>
      <c r="BK2404" s="1" t="s">
        <v>204</v>
      </c>
      <c r="BL2404" s="1" t="str">
        <f t="shared" ref="BL2404:BM2404" si="1565">"0"</f>
        <v>0</v>
      </c>
      <c r="BM2404" s="1" t="str">
        <f t="shared" si="1565"/>
        <v>0</v>
      </c>
      <c r="BN2404" s="1">
        <v>3709.0</v>
      </c>
      <c r="BO2404" s="1">
        <v>6500.0</v>
      </c>
      <c r="BQ2404" s="1">
        <v>299.0</v>
      </c>
      <c r="BR2404" s="1">
        <v>299.0</v>
      </c>
      <c r="BS2404" s="1">
        <v>299.0</v>
      </c>
      <c r="BU2404" s="1" t="s">
        <v>647</v>
      </c>
      <c r="BV2404" s="1" t="s">
        <v>206</v>
      </c>
      <c r="BY2404" s="1" t="s">
        <v>392</v>
      </c>
      <c r="BZ2404" s="1" t="s">
        <v>206</v>
      </c>
      <c r="CC2404" s="1" t="s">
        <v>392</v>
      </c>
      <c r="CD2404" s="1" t="s">
        <v>206</v>
      </c>
      <c r="CG2404" s="1" t="s">
        <v>264</v>
      </c>
      <c r="CH2404" s="1" t="s">
        <v>206</v>
      </c>
      <c r="CK2404" s="1" t="s">
        <v>830</v>
      </c>
      <c r="CL2404" s="1" t="s">
        <v>209</v>
      </c>
      <c r="CO2404" s="1" t="s">
        <v>1395</v>
      </c>
      <c r="CP2404" s="1" t="s">
        <v>209</v>
      </c>
      <c r="CS2404" s="1" t="s">
        <v>497</v>
      </c>
      <c r="CT2404" s="1" t="s">
        <v>206</v>
      </c>
      <c r="CW2404" s="1" t="s">
        <v>2713</v>
      </c>
      <c r="CX2404" s="1" t="s">
        <v>209</v>
      </c>
      <c r="DA2404" s="1" t="s">
        <v>200</v>
      </c>
      <c r="DC2404" s="1" t="s">
        <v>642</v>
      </c>
      <c r="DD2404" s="1" t="s">
        <v>518</v>
      </c>
      <c r="DE2404" s="1" t="s">
        <v>229</v>
      </c>
      <c r="DF2404" s="1" t="s">
        <v>219</v>
      </c>
      <c r="DH2404" s="1" t="s">
        <v>365</v>
      </c>
      <c r="DJ2404" s="1" t="s">
        <v>222</v>
      </c>
      <c r="DL2404" s="1" t="s">
        <v>223</v>
      </c>
      <c r="DM2404" s="1" t="s">
        <v>229</v>
      </c>
      <c r="DP2404" s="1" t="s">
        <v>340</v>
      </c>
      <c r="DQ2404" s="1" t="s">
        <v>228</v>
      </c>
      <c r="DR2404" s="1" t="s">
        <v>229</v>
      </c>
      <c r="DS2404" s="1" t="s">
        <v>230</v>
      </c>
      <c r="DV2404" s="1" t="s">
        <v>232</v>
      </c>
      <c r="DW2404" s="1" t="s">
        <v>279</v>
      </c>
      <c r="DX2404" s="1" t="s">
        <v>234</v>
      </c>
      <c r="DZ2404" s="1" t="s">
        <v>405</v>
      </c>
      <c r="EA2404" s="1" t="s">
        <v>644</v>
      </c>
      <c r="EC2404" s="1" t="s">
        <v>645</v>
      </c>
      <c r="EM2404" s="1" t="s">
        <v>238</v>
      </c>
      <c r="EQ2404" s="1" t="s">
        <v>238</v>
      </c>
      <c r="EU2404" s="1" t="s">
        <v>238</v>
      </c>
      <c r="EY2404" s="1" t="s">
        <v>238</v>
      </c>
      <c r="FC2404" s="1" t="s">
        <v>238</v>
      </c>
      <c r="FF2404" s="1" t="s">
        <v>239</v>
      </c>
      <c r="FG2404" s="1" t="s">
        <v>192</v>
      </c>
      <c r="FH2404" s="1" t="s">
        <v>192</v>
      </c>
      <c r="FJ2404" s="1" t="s">
        <v>347</v>
      </c>
      <c r="FK2404" s="1" t="s">
        <v>229</v>
      </c>
      <c r="FL2404" s="1" t="s">
        <v>3319</v>
      </c>
      <c r="FM2404" s="1">
        <v>15920.0</v>
      </c>
      <c r="FN2404" s="1" t="s">
        <v>3320</v>
      </c>
      <c r="FO2404" s="1" t="s">
        <v>3321</v>
      </c>
      <c r="FP2404" s="1">
        <v>125398.0</v>
      </c>
      <c r="FQ2404" s="1" t="s">
        <v>3320</v>
      </c>
      <c r="FU2404" s="1" t="s">
        <v>353</v>
      </c>
      <c r="FV2404" s="1" t="s">
        <v>200</v>
      </c>
      <c r="FW2404" s="1" t="s">
        <v>354</v>
      </c>
      <c r="FX2404" s="1" t="s">
        <v>246</v>
      </c>
      <c r="FZ2404" s="1" t="s">
        <v>229</v>
      </c>
      <c r="GA2404" s="1" t="s">
        <v>291</v>
      </c>
      <c r="GB2404" s="2">
        <v>42094.0</v>
      </c>
      <c r="GC2404" s="1" t="s">
        <v>21994</v>
      </c>
    </row>
    <row r="2405">
      <c r="A2405" s="1">
        <v>250000.0</v>
      </c>
      <c r="B2405" s="1" t="s">
        <v>185</v>
      </c>
      <c r="C2405" s="1" t="str">
        <f>"08821462"</f>
        <v>08821462</v>
      </c>
      <c r="D2405" s="1" t="s">
        <v>186</v>
      </c>
      <c r="F2405" s="1" t="str">
        <f>"543"</f>
        <v>543</v>
      </c>
      <c r="G2405" s="2">
        <v>42025.0</v>
      </c>
      <c r="H2405" s="1">
        <v>249900.0</v>
      </c>
      <c r="I2405" s="1">
        <v>7.0</v>
      </c>
      <c r="J2405" s="1">
        <v>249900.0</v>
      </c>
      <c r="K2405" s="2">
        <v>42031.0</v>
      </c>
      <c r="L2405" s="1">
        <v>7.0</v>
      </c>
      <c r="M2405" s="2">
        <v>42031.0</v>
      </c>
      <c r="N2405" s="1" t="s">
        <v>187</v>
      </c>
      <c r="O2405" s="2">
        <v>42125.0</v>
      </c>
      <c r="P2405" s="1">
        <v>232566.0</v>
      </c>
      <c r="Q2405" s="1">
        <v>23076.0</v>
      </c>
      <c r="S2405" s="1">
        <v>786.0</v>
      </c>
      <c r="T2405" s="1" t="s">
        <v>21995</v>
      </c>
      <c r="U2405" s="1" t="s">
        <v>569</v>
      </c>
      <c r="V2405" s="1" t="s">
        <v>1527</v>
      </c>
      <c r="W2405" s="1">
        <v>60543.0</v>
      </c>
      <c r="Y2405" s="1" t="s">
        <v>21996</v>
      </c>
      <c r="Z2405" s="1">
        <v>2006.0</v>
      </c>
      <c r="AA2405" s="1" t="s">
        <v>200</v>
      </c>
      <c r="AB2405" s="1" t="s">
        <v>467</v>
      </c>
      <c r="AC2405" s="1" t="s">
        <v>4267</v>
      </c>
      <c r="AD2405" s="1" t="s">
        <v>1529</v>
      </c>
      <c r="AE2405" s="1" t="s">
        <v>849</v>
      </c>
      <c r="AF2405" s="1" t="s">
        <v>1529</v>
      </c>
      <c r="AH2405" s="1" t="s">
        <v>21997</v>
      </c>
      <c r="AK2405" s="1">
        <v>8.0</v>
      </c>
      <c r="AL2405" s="1">
        <v>4.0</v>
      </c>
      <c r="AM2405" s="1">
        <v>2.0</v>
      </c>
      <c r="AN2405" s="1">
        <v>1.0</v>
      </c>
      <c r="AO2405" s="1" t="s">
        <v>198</v>
      </c>
      <c r="AQ2405" s="1" t="s">
        <v>1314</v>
      </c>
      <c r="AR2405" s="1" t="s">
        <v>200</v>
      </c>
      <c r="AS2405" s="1" t="s">
        <v>199</v>
      </c>
      <c r="AT2405" s="1">
        <v>2.0</v>
      </c>
      <c r="AV2405" s="1" t="s">
        <v>200</v>
      </c>
      <c r="AW2405" s="1">
        <v>8184.26</v>
      </c>
      <c r="AX2405" s="1">
        <v>2013.0</v>
      </c>
      <c r="AY2405" s="1" t="s">
        <v>387</v>
      </c>
      <c r="AZ2405" s="1" t="s">
        <v>200</v>
      </c>
      <c r="BA2405" s="1" t="str">
        <f>"0311313005"</f>
        <v>0311313005</v>
      </c>
      <c r="BC2405" s="1">
        <v>2764.0</v>
      </c>
      <c r="BD2405" s="1">
        <v>250000.0</v>
      </c>
      <c r="BE2405" s="2">
        <v>42025.0</v>
      </c>
      <c r="BF2405" s="2" t="s">
        <v>21998</v>
      </c>
      <c r="BG2405" s="1" t="s">
        <v>4271</v>
      </c>
      <c r="BH2405" s="1">
        <v>20.0</v>
      </c>
      <c r="BI2405" s="1" t="s">
        <v>3647</v>
      </c>
      <c r="BJ2405" s="1" t="s">
        <v>2546</v>
      </c>
      <c r="BK2405" s="1" t="s">
        <v>474</v>
      </c>
      <c r="BL2405" s="1" t="str">
        <f t="shared" ref="BL2405:BM2405" si="1566">""</f>
        <v/>
      </c>
      <c r="BM2405" s="1" t="str">
        <f t="shared" si="1566"/>
        <v/>
      </c>
      <c r="BQ2405" s="1">
        <v>308.0</v>
      </c>
      <c r="BR2405" s="1">
        <v>308.0</v>
      </c>
      <c r="BS2405" s="1">
        <v>308.0</v>
      </c>
      <c r="BU2405" s="1" t="s">
        <v>264</v>
      </c>
      <c r="BV2405" s="1" t="s">
        <v>206</v>
      </c>
      <c r="BW2405" s="1" t="s">
        <v>210</v>
      </c>
      <c r="BX2405" s="1" t="s">
        <v>229</v>
      </c>
      <c r="BY2405" s="1" t="s">
        <v>362</v>
      </c>
      <c r="BZ2405" s="1" t="s">
        <v>209</v>
      </c>
      <c r="CA2405" s="1" t="s">
        <v>210</v>
      </c>
      <c r="CB2405" s="1" t="s">
        <v>229</v>
      </c>
      <c r="CC2405" s="1" t="s">
        <v>584</v>
      </c>
      <c r="CD2405" s="1" t="s">
        <v>206</v>
      </c>
      <c r="CE2405" s="1" t="s">
        <v>210</v>
      </c>
      <c r="CF2405" s="1" t="s">
        <v>229</v>
      </c>
      <c r="CG2405" s="1" t="s">
        <v>332</v>
      </c>
      <c r="CH2405" s="1" t="s">
        <v>209</v>
      </c>
      <c r="CI2405" s="1" t="s">
        <v>210</v>
      </c>
      <c r="CJ2405" s="1" t="s">
        <v>229</v>
      </c>
      <c r="CK2405" s="1" t="s">
        <v>332</v>
      </c>
      <c r="CL2405" s="1" t="s">
        <v>209</v>
      </c>
      <c r="CM2405" s="1" t="s">
        <v>210</v>
      </c>
      <c r="CN2405" s="1" t="s">
        <v>229</v>
      </c>
      <c r="CO2405" s="1" t="s">
        <v>212</v>
      </c>
      <c r="CP2405" s="1" t="s">
        <v>209</v>
      </c>
      <c r="CQ2405" s="1" t="s">
        <v>210</v>
      </c>
      <c r="CS2405" s="1" t="s">
        <v>208</v>
      </c>
      <c r="CT2405" s="1" t="s">
        <v>206</v>
      </c>
      <c r="CU2405" s="1" t="s">
        <v>617</v>
      </c>
      <c r="CW2405" s="1" t="s">
        <v>782</v>
      </c>
      <c r="CX2405" s="1" t="s">
        <v>206</v>
      </c>
      <c r="CY2405" s="1" t="s">
        <v>210</v>
      </c>
      <c r="CZ2405" s="1" t="s">
        <v>229</v>
      </c>
      <c r="DA2405" s="1" t="s">
        <v>200</v>
      </c>
      <c r="DC2405" s="1" t="s">
        <v>481</v>
      </c>
      <c r="DD2405" s="1" t="s">
        <v>1838</v>
      </c>
      <c r="DE2405" s="1" t="s">
        <v>273</v>
      </c>
      <c r="DF2405" s="1" t="s">
        <v>219</v>
      </c>
      <c r="DG2405" s="1" t="s">
        <v>6030</v>
      </c>
      <c r="DH2405" s="1" t="s">
        <v>220</v>
      </c>
      <c r="DI2405" s="1" t="s">
        <v>275</v>
      </c>
      <c r="DJ2405" s="1" t="s">
        <v>222</v>
      </c>
      <c r="DL2405" s="1" t="s">
        <v>223</v>
      </c>
      <c r="DM2405" s="1" t="s">
        <v>338</v>
      </c>
      <c r="DN2405" s="1" t="s">
        <v>485</v>
      </c>
      <c r="DP2405" s="1" t="s">
        <v>340</v>
      </c>
      <c r="DQ2405" s="1" t="s">
        <v>441</v>
      </c>
      <c r="DR2405" s="1" t="s">
        <v>1980</v>
      </c>
      <c r="DV2405" s="1" t="s">
        <v>232</v>
      </c>
      <c r="DW2405" s="1" t="s">
        <v>444</v>
      </c>
      <c r="DX2405" s="1" t="s">
        <v>234</v>
      </c>
      <c r="DY2405" s="1" t="s">
        <v>1189</v>
      </c>
      <c r="EC2405" s="1" t="s">
        <v>237</v>
      </c>
      <c r="ED2405" s="1" t="s">
        <v>555</v>
      </c>
      <c r="EE2405" s="1" t="s">
        <v>493</v>
      </c>
      <c r="EM2405" s="1" t="s">
        <v>238</v>
      </c>
      <c r="EQ2405" s="1" t="s">
        <v>238</v>
      </c>
      <c r="EU2405" s="1" t="s">
        <v>238</v>
      </c>
      <c r="EY2405" s="1" t="s">
        <v>238</v>
      </c>
      <c r="FC2405" s="1" t="s">
        <v>238</v>
      </c>
      <c r="FF2405" s="1" t="s">
        <v>239</v>
      </c>
      <c r="FG2405" s="1" t="s">
        <v>192</v>
      </c>
      <c r="FH2405" s="1" t="s">
        <v>192</v>
      </c>
      <c r="FJ2405" s="1" t="s">
        <v>2262</v>
      </c>
      <c r="FK2405" s="1" t="s">
        <v>1586</v>
      </c>
      <c r="FL2405" s="1" t="s">
        <v>2580</v>
      </c>
      <c r="FM2405" s="1">
        <v>23265.0</v>
      </c>
      <c r="FN2405" s="1" t="s">
        <v>2581</v>
      </c>
      <c r="FO2405" s="1" t="s">
        <v>16869</v>
      </c>
      <c r="FP2405" s="1">
        <v>218055.0</v>
      </c>
      <c r="FQ2405" s="1" t="s">
        <v>16870</v>
      </c>
      <c r="FS2405" s="1" t="s">
        <v>16871</v>
      </c>
      <c r="FU2405" s="1" t="s">
        <v>16872</v>
      </c>
      <c r="FV2405" s="1" t="s">
        <v>200</v>
      </c>
      <c r="FW2405" s="1" t="s">
        <v>530</v>
      </c>
      <c r="FZ2405" s="1" t="s">
        <v>229</v>
      </c>
      <c r="GA2405" s="1" t="s">
        <v>291</v>
      </c>
      <c r="GB2405" s="2">
        <v>42125.0</v>
      </c>
      <c r="GC2405" s="2" t="s">
        <v>21999</v>
      </c>
    </row>
    <row r="2406">
      <c r="A2406" s="1">
        <v>380000.0</v>
      </c>
      <c r="B2406" s="1" t="s">
        <v>185</v>
      </c>
      <c r="C2406" s="1" t="str">
        <f>"08811477"</f>
        <v>08811477</v>
      </c>
      <c r="D2406" s="1" t="s">
        <v>186</v>
      </c>
      <c r="F2406" s="1" t="str">
        <f>"178"</f>
        <v>178</v>
      </c>
      <c r="G2406" s="2">
        <v>42011.0</v>
      </c>
      <c r="H2406" s="1">
        <v>425000.0</v>
      </c>
      <c r="I2406" s="1">
        <v>22.0</v>
      </c>
      <c r="J2406" s="1">
        <v>425000.0</v>
      </c>
      <c r="K2406" s="2">
        <v>42032.0</v>
      </c>
      <c r="L2406" s="1">
        <v>22.0</v>
      </c>
      <c r="M2406" s="2">
        <v>42032.0</v>
      </c>
      <c r="N2406" s="1" t="s">
        <v>187</v>
      </c>
      <c r="O2406" s="2">
        <v>42069.0</v>
      </c>
      <c r="P2406" s="1">
        <v>237425.0</v>
      </c>
      <c r="Q2406" s="1">
        <v>24809.0</v>
      </c>
      <c r="S2406" s="1">
        <v>465.0</v>
      </c>
      <c r="T2406" s="1" t="s">
        <v>22000</v>
      </c>
      <c r="U2406" s="1" t="s">
        <v>569</v>
      </c>
      <c r="V2406" s="1" t="s">
        <v>994</v>
      </c>
      <c r="W2406" s="1">
        <v>60178.0</v>
      </c>
      <c r="Y2406" s="1" t="s">
        <v>22001</v>
      </c>
      <c r="Z2406" s="1">
        <v>2006.0</v>
      </c>
      <c r="AA2406" s="1" t="s">
        <v>200</v>
      </c>
      <c r="AB2406" s="1" t="s">
        <v>467</v>
      </c>
      <c r="AC2406" s="1" t="s">
        <v>10967</v>
      </c>
      <c r="AD2406" s="1" t="s">
        <v>997</v>
      </c>
      <c r="AE2406" s="1" t="s">
        <v>613</v>
      </c>
      <c r="AF2406" s="1" t="s">
        <v>997</v>
      </c>
      <c r="AH2406" s="1" t="s">
        <v>22002</v>
      </c>
      <c r="AK2406" s="1">
        <v>9.0</v>
      </c>
      <c r="AL2406" s="1">
        <v>4.0</v>
      </c>
      <c r="AM2406" s="1">
        <v>2.0</v>
      </c>
      <c r="AN2406" s="1">
        <v>1.0</v>
      </c>
      <c r="AO2406" s="1" t="s">
        <v>198</v>
      </c>
      <c r="AP2406" s="1">
        <v>1.0</v>
      </c>
      <c r="AQ2406" s="1" t="s">
        <v>198</v>
      </c>
      <c r="AR2406" s="1" t="s">
        <v>200</v>
      </c>
      <c r="AS2406" s="1" t="s">
        <v>199</v>
      </c>
      <c r="AT2406" s="1">
        <v>3.0</v>
      </c>
      <c r="AV2406" s="1" t="s">
        <v>200</v>
      </c>
      <c r="AW2406" s="1">
        <v>9838.0</v>
      </c>
      <c r="AX2406" s="1">
        <v>2013.0</v>
      </c>
      <c r="AY2406" s="1" t="s">
        <v>387</v>
      </c>
      <c r="AZ2406" s="1" t="s">
        <v>200</v>
      </c>
      <c r="BA2406" s="1" t="str">
        <f>"0620425002"</f>
        <v>0620425002</v>
      </c>
      <c r="BC2406" s="1">
        <v>4200.0</v>
      </c>
      <c r="BD2406" s="1">
        <v>380000.0</v>
      </c>
      <c r="BE2406" s="2">
        <v>42011.0</v>
      </c>
      <c r="BF2406" s="2" t="s">
        <v>22003</v>
      </c>
      <c r="BG2406" s="1" t="s">
        <v>18268</v>
      </c>
      <c r="BH2406" s="1">
        <v>325.0</v>
      </c>
      <c r="BI2406" s="1" t="s">
        <v>4135</v>
      </c>
      <c r="BJ2406" s="1" t="s">
        <v>4136</v>
      </c>
      <c r="BK2406" s="1" t="s">
        <v>580</v>
      </c>
      <c r="BL2406" s="1" t="str">
        <f t="shared" ref="BL2406:BM2406" si="1567">""</f>
        <v/>
      </c>
      <c r="BM2406" s="1" t="str">
        <f t="shared" si="1567"/>
        <v/>
      </c>
      <c r="BQ2406" s="1">
        <v>427.0</v>
      </c>
      <c r="BR2406" s="1">
        <v>427.0</v>
      </c>
      <c r="BS2406" s="1">
        <v>427.0</v>
      </c>
      <c r="BU2406" s="1" t="s">
        <v>478</v>
      </c>
      <c r="BV2406" s="1" t="s">
        <v>206</v>
      </c>
      <c r="BW2406" s="1" t="s">
        <v>207</v>
      </c>
      <c r="BX2406" s="1" t="s">
        <v>1549</v>
      </c>
      <c r="BY2406" s="1" t="s">
        <v>6591</v>
      </c>
      <c r="BZ2406" s="1" t="s">
        <v>209</v>
      </c>
      <c r="CA2406" s="1" t="s">
        <v>210</v>
      </c>
      <c r="CB2406" s="1" t="s">
        <v>431</v>
      </c>
      <c r="CC2406" s="1" t="s">
        <v>363</v>
      </c>
      <c r="CD2406" s="1" t="s">
        <v>206</v>
      </c>
      <c r="CE2406" s="1" t="s">
        <v>207</v>
      </c>
      <c r="CF2406" s="1" t="s">
        <v>1549</v>
      </c>
      <c r="CG2406" s="1" t="s">
        <v>300</v>
      </c>
      <c r="CH2406" s="1" t="s">
        <v>209</v>
      </c>
      <c r="CI2406" s="1" t="s">
        <v>210</v>
      </c>
      <c r="CJ2406" s="1" t="s">
        <v>431</v>
      </c>
      <c r="CK2406" s="1" t="s">
        <v>478</v>
      </c>
      <c r="CL2406" s="1" t="s">
        <v>209</v>
      </c>
      <c r="CM2406" s="1" t="s">
        <v>210</v>
      </c>
      <c r="CN2406" s="1" t="s">
        <v>431</v>
      </c>
      <c r="CO2406" s="1" t="s">
        <v>212</v>
      </c>
      <c r="CP2406" s="1" t="s">
        <v>209</v>
      </c>
      <c r="CQ2406" s="1" t="s">
        <v>210</v>
      </c>
      <c r="CR2406" s="1" t="s">
        <v>431</v>
      </c>
      <c r="CS2406" s="1" t="s">
        <v>3539</v>
      </c>
      <c r="CT2406" s="1" t="s">
        <v>206</v>
      </c>
      <c r="CU2406" s="1" t="s">
        <v>207</v>
      </c>
      <c r="CV2406" s="1" t="s">
        <v>431</v>
      </c>
      <c r="CW2406" s="1" t="s">
        <v>6591</v>
      </c>
      <c r="CX2406" s="1" t="s">
        <v>206</v>
      </c>
      <c r="CY2406" s="1" t="s">
        <v>207</v>
      </c>
      <c r="CZ2406" s="1" t="s">
        <v>1549</v>
      </c>
      <c r="DA2406" s="1" t="s">
        <v>200</v>
      </c>
      <c r="DC2406" s="1" t="s">
        <v>481</v>
      </c>
      <c r="DD2406" s="1" t="s">
        <v>1484</v>
      </c>
      <c r="DE2406" s="1" t="s">
        <v>273</v>
      </c>
      <c r="DF2406" s="1" t="s">
        <v>4878</v>
      </c>
      <c r="DH2406" s="1" t="s">
        <v>220</v>
      </c>
      <c r="DI2406" s="1" t="s">
        <v>732</v>
      </c>
      <c r="DJ2406" s="1" t="s">
        <v>222</v>
      </c>
      <c r="DL2406" s="1" t="s">
        <v>1536</v>
      </c>
      <c r="DM2406" s="1" t="s">
        <v>338</v>
      </c>
      <c r="DN2406" s="1" t="s">
        <v>399</v>
      </c>
      <c r="DP2406" s="1" t="s">
        <v>276</v>
      </c>
      <c r="DQ2406" s="1" t="s">
        <v>1557</v>
      </c>
      <c r="DR2406" s="1" t="s">
        <v>588</v>
      </c>
      <c r="DS2406" s="1" t="s">
        <v>230</v>
      </c>
      <c r="DU2406" s="1" t="s">
        <v>10037</v>
      </c>
      <c r="DV2406" s="1" t="s">
        <v>22004</v>
      </c>
      <c r="DW2406" s="1" t="s">
        <v>279</v>
      </c>
      <c r="DX2406" s="1" t="s">
        <v>280</v>
      </c>
      <c r="DY2406" s="1" t="s">
        <v>5197</v>
      </c>
      <c r="DZ2406" s="1" t="s">
        <v>2424</v>
      </c>
      <c r="EA2406" s="1" t="s">
        <v>344</v>
      </c>
      <c r="EB2406" s="1" t="s">
        <v>937</v>
      </c>
      <c r="EC2406" s="1" t="s">
        <v>237</v>
      </c>
      <c r="EG2406" s="1" t="s">
        <v>341</v>
      </c>
      <c r="EH2406" s="1" t="s">
        <v>409</v>
      </c>
      <c r="EL2406" s="1" t="s">
        <v>453</v>
      </c>
      <c r="EM2406" s="1" t="s">
        <v>209</v>
      </c>
      <c r="EN2406" s="1" t="s">
        <v>210</v>
      </c>
      <c r="EO2406" s="1" t="s">
        <v>431</v>
      </c>
      <c r="EP2406" s="1" t="s">
        <v>212</v>
      </c>
      <c r="EQ2406" s="1" t="s">
        <v>209</v>
      </c>
      <c r="ER2406" s="1" t="s">
        <v>210</v>
      </c>
      <c r="ES2406" s="1" t="s">
        <v>431</v>
      </c>
      <c r="EU2406" s="1" t="s">
        <v>238</v>
      </c>
      <c r="EY2406" s="1" t="s">
        <v>238</v>
      </c>
      <c r="FC2406" s="1" t="s">
        <v>238</v>
      </c>
      <c r="FF2406" s="1" t="s">
        <v>239</v>
      </c>
      <c r="FG2406" s="1" t="s">
        <v>192</v>
      </c>
      <c r="FH2406" s="1" t="s">
        <v>192</v>
      </c>
      <c r="FJ2406" s="1" t="s">
        <v>22005</v>
      </c>
      <c r="FK2406" s="1" t="s">
        <v>348</v>
      </c>
      <c r="FL2406" s="1" t="s">
        <v>3597</v>
      </c>
      <c r="FM2406" s="1">
        <v>24451.0</v>
      </c>
      <c r="FN2406" s="1" t="s">
        <v>3598</v>
      </c>
      <c r="FO2406" s="1" t="s">
        <v>3599</v>
      </c>
      <c r="FP2406" s="1">
        <v>256870.0</v>
      </c>
      <c r="FQ2406" s="1" t="s">
        <v>3598</v>
      </c>
      <c r="FS2406" s="1" t="s">
        <v>3600</v>
      </c>
      <c r="FT2406" s="1" t="s">
        <v>22006</v>
      </c>
      <c r="FU2406" s="1" t="s">
        <v>22007</v>
      </c>
      <c r="FV2406" s="1" t="s">
        <v>200</v>
      </c>
      <c r="FW2406" s="1" t="s">
        <v>22008</v>
      </c>
      <c r="FZ2406" s="1" t="s">
        <v>229</v>
      </c>
      <c r="GA2406" s="1" t="s">
        <v>247</v>
      </c>
      <c r="GB2406" s="2">
        <v>42072.0</v>
      </c>
      <c r="GC2406" s="1" t="s">
        <v>22009</v>
      </c>
    </row>
    <row r="2407">
      <c r="A2407" s="1">
        <v>368000.0</v>
      </c>
      <c r="B2407" s="1" t="s">
        <v>185</v>
      </c>
      <c r="C2407" s="1" t="str">
        <f>"08809471"</f>
        <v>08809471</v>
      </c>
      <c r="D2407" s="1" t="s">
        <v>186</v>
      </c>
      <c r="F2407" s="1" t="str">
        <f>"8015"</f>
        <v>8015</v>
      </c>
      <c r="G2407" s="2">
        <v>42009.0</v>
      </c>
      <c r="H2407" s="1">
        <v>399900.0</v>
      </c>
      <c r="I2407" s="1">
        <v>87.0</v>
      </c>
      <c r="J2407" s="1">
        <v>379900.0</v>
      </c>
      <c r="K2407" s="2">
        <v>42095.0</v>
      </c>
      <c r="L2407" s="1">
        <v>87.0</v>
      </c>
      <c r="M2407" s="2">
        <v>42095.0</v>
      </c>
      <c r="N2407" s="1" t="s">
        <v>187</v>
      </c>
      <c r="O2407" s="2">
        <v>42139.0</v>
      </c>
      <c r="P2407" s="1">
        <v>168284.0</v>
      </c>
      <c r="Q2407" s="1">
        <v>18150.0</v>
      </c>
      <c r="S2407" s="1">
        <v>5516.0</v>
      </c>
      <c r="T2407" s="1" t="s">
        <v>9239</v>
      </c>
      <c r="U2407" s="1" t="s">
        <v>320</v>
      </c>
      <c r="V2407" s="1" t="s">
        <v>190</v>
      </c>
      <c r="W2407" s="1">
        <v>60641.0</v>
      </c>
      <c r="Y2407" s="1" t="s">
        <v>22010</v>
      </c>
      <c r="Z2407" s="1">
        <v>1923.0</v>
      </c>
      <c r="AA2407" s="1" t="s">
        <v>192</v>
      </c>
      <c r="AB2407" s="1" t="s">
        <v>193</v>
      </c>
      <c r="AD2407" s="1" t="s">
        <v>194</v>
      </c>
      <c r="AE2407" s="1" t="s">
        <v>195</v>
      </c>
      <c r="AF2407" s="1" t="s">
        <v>196</v>
      </c>
      <c r="AH2407" s="1" t="s">
        <v>1501</v>
      </c>
      <c r="AI2407" s="1">
        <v>0.0947</v>
      </c>
      <c r="AK2407" s="1">
        <v>9.0</v>
      </c>
      <c r="AL2407" s="1">
        <v>3.0</v>
      </c>
      <c r="AM2407" s="1">
        <v>3.0</v>
      </c>
      <c r="AN2407" s="1">
        <v>0.0</v>
      </c>
      <c r="AO2407" s="1" t="s">
        <v>198</v>
      </c>
      <c r="AQ2407" s="1" t="s">
        <v>198</v>
      </c>
      <c r="AR2407" s="1" t="s">
        <v>192</v>
      </c>
      <c r="AS2407" s="1" t="s">
        <v>199</v>
      </c>
      <c r="AT2407" s="1">
        <v>1.0</v>
      </c>
      <c r="AV2407" s="1" t="s">
        <v>200</v>
      </c>
      <c r="AW2407" s="1">
        <v>3121.91</v>
      </c>
      <c r="AX2407" s="1">
        <v>2013.0</v>
      </c>
      <c r="AZ2407" s="1" t="s">
        <v>200</v>
      </c>
      <c r="BA2407" s="1" t="str">
        <f>"13213120290000"</f>
        <v>13213120290000</v>
      </c>
      <c r="BC2407" s="1">
        <v>0.0</v>
      </c>
      <c r="BD2407" s="1">
        <v>368000.0</v>
      </c>
      <c r="BE2407" s="2">
        <v>42009.0</v>
      </c>
      <c r="BF2407" s="2" t="s">
        <v>22011</v>
      </c>
      <c r="BH2407" s="1">
        <v>0.0</v>
      </c>
      <c r="BK2407" s="1" t="s">
        <v>204</v>
      </c>
      <c r="BL2407" s="1" t="str">
        <f>"3400"</f>
        <v>3400</v>
      </c>
      <c r="BM2407" s="1" t="str">
        <f t="shared" ref="BM2407:BM2408" si="1568">"0"</f>
        <v>0</v>
      </c>
      <c r="BN2407" s="1">
        <v>5516.0</v>
      </c>
      <c r="BO2407" s="1">
        <v>0.0</v>
      </c>
      <c r="BQ2407" s="1">
        <v>299.0</v>
      </c>
      <c r="BR2407" s="1">
        <v>299.0</v>
      </c>
      <c r="BS2407" s="1">
        <v>299.0</v>
      </c>
      <c r="BU2407" s="1" t="s">
        <v>544</v>
      </c>
      <c r="BV2407" s="1" t="s">
        <v>206</v>
      </c>
      <c r="BW2407" s="1" t="s">
        <v>207</v>
      </c>
      <c r="BY2407" s="1" t="s">
        <v>924</v>
      </c>
      <c r="BZ2407" s="1" t="s">
        <v>209</v>
      </c>
      <c r="CA2407" s="1" t="s">
        <v>207</v>
      </c>
      <c r="CC2407" s="1" t="s">
        <v>213</v>
      </c>
      <c r="CD2407" s="1" t="s">
        <v>206</v>
      </c>
      <c r="CE2407" s="1" t="s">
        <v>207</v>
      </c>
      <c r="CG2407" s="1" t="s">
        <v>454</v>
      </c>
      <c r="CH2407" s="1" t="s">
        <v>209</v>
      </c>
      <c r="CI2407" s="1" t="s">
        <v>207</v>
      </c>
      <c r="CK2407" s="1" t="s">
        <v>758</v>
      </c>
      <c r="CL2407" s="1" t="s">
        <v>206</v>
      </c>
      <c r="CO2407" s="1" t="s">
        <v>361</v>
      </c>
      <c r="CP2407" s="1" t="s">
        <v>42</v>
      </c>
      <c r="CS2407" s="1" t="s">
        <v>743</v>
      </c>
      <c r="CT2407" s="1" t="s">
        <v>206</v>
      </c>
      <c r="CU2407" s="1" t="s">
        <v>207</v>
      </c>
      <c r="CW2407" s="1" t="s">
        <v>878</v>
      </c>
      <c r="CX2407" s="1" t="s">
        <v>42</v>
      </c>
      <c r="CY2407" s="1" t="s">
        <v>210</v>
      </c>
      <c r="DA2407" s="1" t="s">
        <v>200</v>
      </c>
      <c r="DC2407" s="1" t="s">
        <v>216</v>
      </c>
      <c r="DE2407" s="1" t="s">
        <v>273</v>
      </c>
      <c r="DF2407" s="1" t="s">
        <v>619</v>
      </c>
      <c r="DH2407" s="1" t="s">
        <v>365</v>
      </c>
      <c r="DJ2407" s="1" t="s">
        <v>222</v>
      </c>
      <c r="DL2407" s="1" t="s">
        <v>224</v>
      </c>
      <c r="DM2407" s="1" t="s">
        <v>1268</v>
      </c>
      <c r="DN2407" s="1" t="s">
        <v>439</v>
      </c>
      <c r="DQ2407" s="1" t="s">
        <v>228</v>
      </c>
      <c r="DR2407" s="1" t="s">
        <v>229</v>
      </c>
      <c r="DV2407" s="1" t="s">
        <v>21418</v>
      </c>
      <c r="DW2407" s="1" t="s">
        <v>279</v>
      </c>
      <c r="DX2407" s="1" t="s">
        <v>234</v>
      </c>
      <c r="DY2407" s="1" t="s">
        <v>4467</v>
      </c>
      <c r="EC2407" s="1" t="s">
        <v>645</v>
      </c>
      <c r="EG2407" s="1" t="s">
        <v>598</v>
      </c>
      <c r="EH2407" s="1" t="s">
        <v>1102</v>
      </c>
      <c r="EL2407" s="1" t="s">
        <v>4153</v>
      </c>
      <c r="EM2407" s="1" t="s">
        <v>206</v>
      </c>
      <c r="EN2407" s="1" t="s">
        <v>207</v>
      </c>
      <c r="EP2407" s="1" t="s">
        <v>375</v>
      </c>
      <c r="EQ2407" s="1" t="s">
        <v>206</v>
      </c>
      <c r="EU2407" s="1" t="s">
        <v>238</v>
      </c>
      <c r="EY2407" s="1" t="s">
        <v>238</v>
      </c>
      <c r="FC2407" s="1" t="s">
        <v>238</v>
      </c>
      <c r="FF2407" s="1" t="s">
        <v>239</v>
      </c>
      <c r="FG2407" s="1" t="s">
        <v>192</v>
      </c>
      <c r="FH2407" s="1" t="s">
        <v>192</v>
      </c>
      <c r="FJ2407" s="1" t="s">
        <v>561</v>
      </c>
      <c r="FK2407" s="1" t="s">
        <v>229</v>
      </c>
      <c r="FL2407" s="1" t="s">
        <v>562</v>
      </c>
      <c r="FM2407" s="1">
        <v>84025.0</v>
      </c>
      <c r="FN2407" s="1" t="s">
        <v>2509</v>
      </c>
      <c r="FO2407" s="1" t="s">
        <v>12696</v>
      </c>
      <c r="FP2407" s="1">
        <v>146501.0</v>
      </c>
      <c r="FQ2407" s="1" t="s">
        <v>12697</v>
      </c>
      <c r="FR2407" s="1">
        <v>166792.0</v>
      </c>
      <c r="FU2407" s="1" t="s">
        <v>4897</v>
      </c>
      <c r="FV2407" s="1" t="s">
        <v>192</v>
      </c>
      <c r="FW2407" s="1" t="s">
        <v>290</v>
      </c>
      <c r="FX2407" s="1" t="s">
        <v>246</v>
      </c>
      <c r="FZ2407" s="1" t="s">
        <v>229</v>
      </c>
      <c r="GA2407" s="1" t="s">
        <v>291</v>
      </c>
      <c r="GB2407" s="2">
        <v>42139.0</v>
      </c>
    </row>
    <row r="2408">
      <c r="A2408" s="1">
        <v>1200000.0</v>
      </c>
      <c r="B2408" s="1" t="s">
        <v>185</v>
      </c>
      <c r="C2408" s="1" t="str">
        <f>"08810447"</f>
        <v>08810447</v>
      </c>
      <c r="D2408" s="1" t="s">
        <v>186</v>
      </c>
      <c r="F2408" s="1" t="str">
        <f>"8007"</f>
        <v>8007</v>
      </c>
      <c r="G2408" s="2">
        <v>42010.0</v>
      </c>
      <c r="H2408" s="1">
        <v>1299000.0</v>
      </c>
      <c r="I2408" s="1">
        <v>198.0</v>
      </c>
      <c r="J2408" s="1">
        <v>1299000.0</v>
      </c>
      <c r="K2408" s="2">
        <v>42018.0</v>
      </c>
      <c r="L2408" s="1">
        <v>9.0</v>
      </c>
      <c r="M2408" s="2">
        <v>42018.0</v>
      </c>
      <c r="N2408" s="1" t="s">
        <v>187</v>
      </c>
      <c r="O2408" s="2">
        <v>42081.0</v>
      </c>
      <c r="P2408" s="1">
        <v>122909.0</v>
      </c>
      <c r="Q2408" s="1">
        <v>14095.0</v>
      </c>
      <c r="S2408" s="1">
        <v>2142.0</v>
      </c>
      <c r="T2408" s="1" t="s">
        <v>3935</v>
      </c>
      <c r="U2408" s="1" t="s">
        <v>189</v>
      </c>
      <c r="V2408" s="1" t="s">
        <v>190</v>
      </c>
      <c r="W2408" s="1">
        <v>60614.0</v>
      </c>
      <c r="Y2408" s="1" t="s">
        <v>22012</v>
      </c>
      <c r="Z2408" s="1">
        <v>1990.0</v>
      </c>
      <c r="AA2408" s="1" t="s">
        <v>200</v>
      </c>
      <c r="AB2408" s="1" t="s">
        <v>193</v>
      </c>
      <c r="AD2408" s="1" t="s">
        <v>194</v>
      </c>
      <c r="AE2408" s="1" t="s">
        <v>195</v>
      </c>
      <c r="AF2408" s="1" t="s">
        <v>2645</v>
      </c>
      <c r="AH2408" s="1" t="s">
        <v>741</v>
      </c>
      <c r="AK2408" s="1">
        <v>9.0</v>
      </c>
      <c r="AL2408" s="1">
        <v>4.0</v>
      </c>
      <c r="AM2408" s="1">
        <v>3.0</v>
      </c>
      <c r="AN2408" s="1">
        <v>1.0</v>
      </c>
      <c r="AO2408" s="1" t="s">
        <v>198</v>
      </c>
      <c r="AP2408" s="1">
        <v>3.0</v>
      </c>
      <c r="AQ2408" s="1" t="s">
        <v>472</v>
      </c>
      <c r="AR2408" s="1" t="s">
        <v>192</v>
      </c>
      <c r="AS2408" s="1" t="s">
        <v>199</v>
      </c>
      <c r="AT2408" s="1">
        <v>2.0</v>
      </c>
      <c r="AV2408" s="1" t="s">
        <v>200</v>
      </c>
      <c r="AW2408" s="1">
        <v>19872.65</v>
      </c>
      <c r="AX2408" s="1">
        <v>2013.0</v>
      </c>
      <c r="AY2408" s="1" t="s">
        <v>387</v>
      </c>
      <c r="AZ2408" s="1" t="s">
        <v>200</v>
      </c>
      <c r="BA2408" s="1" t="str">
        <f>"14321240260000"</f>
        <v>14321240260000</v>
      </c>
      <c r="BB2408" s="1" t="s">
        <v>200</v>
      </c>
      <c r="BC2408" s="1">
        <v>0.0</v>
      </c>
      <c r="BD2408" s="1">
        <v>1200000.0</v>
      </c>
      <c r="BE2408" s="2">
        <v>42010.0</v>
      </c>
      <c r="BF2408" s="2" t="s">
        <v>22013</v>
      </c>
      <c r="BG2408" s="1" t="s">
        <v>3588</v>
      </c>
      <c r="BH2408" s="1">
        <v>0.0</v>
      </c>
      <c r="BI2408" s="1" t="s">
        <v>3588</v>
      </c>
      <c r="BJ2408" s="1" t="s">
        <v>2871</v>
      </c>
      <c r="BK2408" s="1" t="s">
        <v>204</v>
      </c>
      <c r="BL2408" s="1" t="str">
        <f>"2142"</f>
        <v>2142</v>
      </c>
      <c r="BM2408" s="1" t="str">
        <f t="shared" si="1568"/>
        <v>0</v>
      </c>
      <c r="BN2408" s="1">
        <v>1350.0</v>
      </c>
      <c r="BO2408" s="1">
        <v>0.0</v>
      </c>
      <c r="BQ2408" s="1">
        <v>299.0</v>
      </c>
      <c r="BR2408" s="1">
        <v>299.0</v>
      </c>
      <c r="BS2408" s="1">
        <v>299.0</v>
      </c>
      <c r="BU2408" s="1" t="s">
        <v>333</v>
      </c>
      <c r="BV2408" s="1" t="s">
        <v>206</v>
      </c>
      <c r="BW2408" s="1" t="s">
        <v>207</v>
      </c>
      <c r="BX2408" s="1" t="s">
        <v>1549</v>
      </c>
      <c r="BY2408" s="1" t="s">
        <v>333</v>
      </c>
      <c r="BZ2408" s="1" t="s">
        <v>209</v>
      </c>
      <c r="CA2408" s="1" t="s">
        <v>210</v>
      </c>
      <c r="CB2408" s="1" t="s">
        <v>1549</v>
      </c>
      <c r="CC2408" s="1" t="s">
        <v>213</v>
      </c>
      <c r="CD2408" s="1" t="s">
        <v>206</v>
      </c>
      <c r="CE2408" s="1" t="s">
        <v>207</v>
      </c>
      <c r="CF2408" s="1" t="s">
        <v>1549</v>
      </c>
      <c r="CG2408" s="1" t="s">
        <v>647</v>
      </c>
      <c r="CH2408" s="1" t="s">
        <v>209</v>
      </c>
      <c r="CI2408" s="1" t="s">
        <v>210</v>
      </c>
      <c r="CJ2408" s="1" t="s">
        <v>229</v>
      </c>
      <c r="CK2408" s="1" t="s">
        <v>640</v>
      </c>
      <c r="CL2408" s="1" t="s">
        <v>209</v>
      </c>
      <c r="CM2408" s="1" t="s">
        <v>210</v>
      </c>
      <c r="CN2408" s="1" t="s">
        <v>1549</v>
      </c>
      <c r="CO2408" s="1" t="s">
        <v>758</v>
      </c>
      <c r="CP2408" s="1" t="s">
        <v>267</v>
      </c>
      <c r="CQ2408" s="1" t="s">
        <v>210</v>
      </c>
      <c r="CR2408" s="1" t="s">
        <v>431</v>
      </c>
      <c r="CS2408" s="1" t="s">
        <v>329</v>
      </c>
      <c r="CT2408" s="1" t="s">
        <v>206</v>
      </c>
      <c r="CU2408" s="1" t="s">
        <v>207</v>
      </c>
      <c r="CV2408" s="1" t="s">
        <v>1549</v>
      </c>
      <c r="CW2408" s="1" t="s">
        <v>432</v>
      </c>
      <c r="CX2408" s="1" t="s">
        <v>206</v>
      </c>
      <c r="CY2408" s="1" t="s">
        <v>207</v>
      </c>
      <c r="CZ2408" s="1" t="s">
        <v>431</v>
      </c>
      <c r="DA2408" s="1" t="s">
        <v>200</v>
      </c>
      <c r="DC2408" s="1" t="s">
        <v>435</v>
      </c>
      <c r="DD2408" s="1" t="s">
        <v>679</v>
      </c>
      <c r="DE2408" s="1" t="s">
        <v>273</v>
      </c>
      <c r="DF2408" s="1" t="s">
        <v>219</v>
      </c>
      <c r="DG2408" s="1" t="s">
        <v>1657</v>
      </c>
      <c r="DH2408" s="1" t="s">
        <v>307</v>
      </c>
      <c r="DI2408" s="1" t="s">
        <v>22014</v>
      </c>
      <c r="DJ2408" s="1" t="s">
        <v>1048</v>
      </c>
      <c r="DL2408" s="1" t="s">
        <v>224</v>
      </c>
      <c r="DM2408" s="1" t="s">
        <v>229</v>
      </c>
      <c r="DN2408" s="1" t="s">
        <v>13634</v>
      </c>
      <c r="DO2408" s="1" t="s">
        <v>717</v>
      </c>
      <c r="DP2408" s="1" t="s">
        <v>340</v>
      </c>
      <c r="DQ2408" s="1" t="s">
        <v>718</v>
      </c>
      <c r="DR2408" s="1" t="s">
        <v>229</v>
      </c>
      <c r="DS2408" s="1" t="s">
        <v>368</v>
      </c>
      <c r="DU2408" s="1" t="s">
        <v>746</v>
      </c>
      <c r="DV2408" s="1" t="s">
        <v>22015</v>
      </c>
      <c r="DW2408" s="1" t="s">
        <v>1026</v>
      </c>
      <c r="DX2408" s="1" t="s">
        <v>234</v>
      </c>
      <c r="DY2408" s="1" t="s">
        <v>15513</v>
      </c>
      <c r="DZ2408" s="1" t="s">
        <v>5293</v>
      </c>
      <c r="EA2408" s="1" t="s">
        <v>344</v>
      </c>
      <c r="EB2408" s="1" t="s">
        <v>8532</v>
      </c>
      <c r="EC2408" s="1" t="s">
        <v>237</v>
      </c>
      <c r="ED2408" s="1" t="s">
        <v>555</v>
      </c>
      <c r="EG2408" s="1" t="s">
        <v>450</v>
      </c>
      <c r="EH2408" s="1" t="s">
        <v>408</v>
      </c>
      <c r="EI2408" s="1" t="s">
        <v>409</v>
      </c>
      <c r="EJ2408" s="1" t="s">
        <v>310</v>
      </c>
      <c r="EK2408" s="1" t="s">
        <v>588</v>
      </c>
      <c r="EL2408" s="1" t="s">
        <v>334</v>
      </c>
      <c r="EM2408" s="1" t="s">
        <v>267</v>
      </c>
      <c r="EN2408" s="1" t="s">
        <v>210</v>
      </c>
      <c r="EO2408" s="1" t="s">
        <v>431</v>
      </c>
      <c r="EP2408" s="1" t="s">
        <v>2394</v>
      </c>
      <c r="EQ2408" s="1" t="s">
        <v>206</v>
      </c>
      <c r="ER2408" s="1" t="s">
        <v>1065</v>
      </c>
      <c r="ES2408" s="1" t="s">
        <v>229</v>
      </c>
      <c r="ET2408" s="1" t="s">
        <v>1029</v>
      </c>
      <c r="EU2408" s="1" t="s">
        <v>209</v>
      </c>
      <c r="EV2408" s="1" t="s">
        <v>210</v>
      </c>
      <c r="EW2408" s="1" t="s">
        <v>229</v>
      </c>
      <c r="EX2408" s="1" t="s">
        <v>3154</v>
      </c>
      <c r="EY2408" s="1" t="s">
        <v>206</v>
      </c>
      <c r="EZ2408" s="1" t="s">
        <v>588</v>
      </c>
      <c r="FA2408" s="1" t="s">
        <v>229</v>
      </c>
      <c r="FB2408" s="1" t="s">
        <v>1874</v>
      </c>
      <c r="FC2408" s="1" t="s">
        <v>209</v>
      </c>
      <c r="FD2408" s="1" t="s">
        <v>210</v>
      </c>
      <c r="FE2408" s="1" t="s">
        <v>229</v>
      </c>
      <c r="FF2408" s="1" t="s">
        <v>239</v>
      </c>
      <c r="FG2408" s="1" t="s">
        <v>192</v>
      </c>
      <c r="FH2408" s="1" t="s">
        <v>192</v>
      </c>
      <c r="FJ2408" s="1" t="s">
        <v>22016</v>
      </c>
      <c r="FK2408" s="1" t="s">
        <v>229</v>
      </c>
      <c r="FL2408" s="1" t="s">
        <v>974</v>
      </c>
      <c r="FM2408" s="1">
        <v>84228.0</v>
      </c>
      <c r="FN2408" s="1" t="s">
        <v>6049</v>
      </c>
      <c r="FO2408" s="1" t="s">
        <v>6050</v>
      </c>
      <c r="FP2408" s="1">
        <v>121063.0</v>
      </c>
      <c r="FQ2408" s="1" t="s">
        <v>6051</v>
      </c>
      <c r="FU2408" s="1" t="s">
        <v>22017</v>
      </c>
      <c r="FV2408" s="1" t="s">
        <v>200</v>
      </c>
      <c r="FW2408" s="1" t="s">
        <v>567</v>
      </c>
      <c r="FX2408" s="1" t="s">
        <v>238</v>
      </c>
      <c r="FZ2408" s="1" t="s">
        <v>229</v>
      </c>
      <c r="GA2408" s="1" t="s">
        <v>291</v>
      </c>
      <c r="GB2408" s="2">
        <v>42082.0</v>
      </c>
    </row>
    <row r="2409">
      <c r="A2409" s="1">
        <v>164900.0</v>
      </c>
      <c r="B2409" s="1" t="s">
        <v>185</v>
      </c>
      <c r="C2409" s="1" t="str">
        <f>"08811181"</f>
        <v>08811181</v>
      </c>
      <c r="D2409" s="1" t="s">
        <v>186</v>
      </c>
      <c r="F2409" s="1" t="str">
        <f>"8073"</f>
        <v>8073</v>
      </c>
      <c r="G2409" s="2">
        <v>42011.0</v>
      </c>
      <c r="H2409" s="1">
        <v>164900.0</v>
      </c>
      <c r="I2409" s="1">
        <v>9.0</v>
      </c>
      <c r="J2409" s="1">
        <v>164900.0</v>
      </c>
      <c r="K2409" s="2">
        <v>42019.0</v>
      </c>
      <c r="L2409" s="1">
        <v>9.0</v>
      </c>
      <c r="M2409" s="2">
        <v>42019.0</v>
      </c>
      <c r="N2409" s="1" t="s">
        <v>356</v>
      </c>
      <c r="O2409" s="2">
        <v>42055.0</v>
      </c>
      <c r="P2409" s="1">
        <v>152643.0</v>
      </c>
      <c r="Q2409" s="1">
        <v>16072.0</v>
      </c>
      <c r="R2409" s="1">
        <v>3.0</v>
      </c>
      <c r="S2409" s="1">
        <v>9639.0</v>
      </c>
      <c r="T2409" s="1" t="s">
        <v>9841</v>
      </c>
      <c r="U2409" s="1" t="s">
        <v>189</v>
      </c>
      <c r="V2409" s="1" t="s">
        <v>190</v>
      </c>
      <c r="W2409" s="1">
        <v>60628.0</v>
      </c>
      <c r="Y2409" s="1" t="s">
        <v>22018</v>
      </c>
      <c r="Z2409" s="1">
        <v>1958.0</v>
      </c>
      <c r="AA2409" s="1" t="s">
        <v>192</v>
      </c>
      <c r="AB2409" s="1" t="s">
        <v>193</v>
      </c>
      <c r="AD2409" s="1" t="s">
        <v>194</v>
      </c>
      <c r="AE2409" s="1" t="s">
        <v>195</v>
      </c>
      <c r="AF2409" s="1" t="s">
        <v>659</v>
      </c>
      <c r="AH2409" s="1" t="s">
        <v>741</v>
      </c>
      <c r="AI2409" s="1">
        <v>0.0717</v>
      </c>
      <c r="AK2409" s="1">
        <v>7.0</v>
      </c>
      <c r="AL2409" s="1">
        <v>3.0</v>
      </c>
      <c r="AM2409" s="1">
        <v>2.0</v>
      </c>
      <c r="AN2409" s="1">
        <v>0.0</v>
      </c>
      <c r="AO2409" s="1" t="s">
        <v>229</v>
      </c>
      <c r="AQ2409" s="1" t="s">
        <v>198</v>
      </c>
      <c r="AR2409" s="1" t="s">
        <v>192</v>
      </c>
      <c r="AS2409" s="1" t="s">
        <v>199</v>
      </c>
      <c r="AT2409" s="1">
        <v>2.0</v>
      </c>
      <c r="AV2409" s="1" t="s">
        <v>200</v>
      </c>
      <c r="AW2409" s="1">
        <v>2139.45</v>
      </c>
      <c r="AX2409" s="1">
        <v>2013.0</v>
      </c>
      <c r="AY2409" s="1" t="s">
        <v>229</v>
      </c>
      <c r="AZ2409" s="1" t="s">
        <v>200</v>
      </c>
      <c r="BA2409" s="1" t="str">
        <f>"25091110160000"</f>
        <v>25091110160000</v>
      </c>
      <c r="BC2409" s="1">
        <v>1040.0</v>
      </c>
      <c r="BD2409" s="1">
        <v>164900.0</v>
      </c>
      <c r="BE2409" s="2">
        <v>42011.0</v>
      </c>
      <c r="BF2409" s="2" t="s">
        <v>22019</v>
      </c>
      <c r="BH2409" s="1">
        <v>0.0</v>
      </c>
      <c r="BK2409" s="1" t="s">
        <v>204</v>
      </c>
      <c r="BL2409" s="1" t="str">
        <f t="shared" ref="BL2409:BM2409" si="1569">"0"</f>
        <v>0</v>
      </c>
      <c r="BM2409" s="1" t="str">
        <f t="shared" si="1569"/>
        <v>0</v>
      </c>
      <c r="BN2409" s="1">
        <v>632.0</v>
      </c>
      <c r="BO2409" s="1">
        <v>9639.0</v>
      </c>
      <c r="BQ2409" s="1">
        <v>299.0</v>
      </c>
      <c r="BR2409" s="1">
        <v>299.0</v>
      </c>
      <c r="BS2409" s="1">
        <v>299.0</v>
      </c>
      <c r="BU2409" s="1" t="s">
        <v>1426</v>
      </c>
      <c r="BV2409" s="1" t="s">
        <v>206</v>
      </c>
      <c r="BW2409" s="1" t="s">
        <v>207</v>
      </c>
      <c r="BY2409" s="1" t="s">
        <v>647</v>
      </c>
      <c r="BZ2409" s="1" t="s">
        <v>206</v>
      </c>
      <c r="CA2409" s="1" t="s">
        <v>207</v>
      </c>
      <c r="CD2409" s="1" t="s">
        <v>204</v>
      </c>
      <c r="CG2409" s="1" t="s">
        <v>495</v>
      </c>
      <c r="CH2409" s="1" t="s">
        <v>206</v>
      </c>
      <c r="CI2409" s="1" t="s">
        <v>207</v>
      </c>
      <c r="CK2409" s="1" t="s">
        <v>495</v>
      </c>
      <c r="CL2409" s="1" t="s">
        <v>206</v>
      </c>
      <c r="CM2409" s="1" t="s">
        <v>207</v>
      </c>
      <c r="CO2409" s="1" t="s">
        <v>1158</v>
      </c>
      <c r="CP2409" s="1" t="s">
        <v>42</v>
      </c>
      <c r="CQ2409" s="1" t="s">
        <v>268</v>
      </c>
      <c r="CS2409" s="1" t="s">
        <v>2224</v>
      </c>
      <c r="CT2409" s="1" t="s">
        <v>206</v>
      </c>
      <c r="CU2409" s="1" t="s">
        <v>207</v>
      </c>
      <c r="CW2409" s="1" t="s">
        <v>2282</v>
      </c>
      <c r="CX2409" s="1" t="s">
        <v>42</v>
      </c>
      <c r="CY2409" s="1" t="s">
        <v>268</v>
      </c>
      <c r="DA2409" s="1" t="s">
        <v>200</v>
      </c>
      <c r="DC2409" s="1" t="s">
        <v>271</v>
      </c>
      <c r="DD2409" s="1" t="s">
        <v>518</v>
      </c>
      <c r="DE2409" s="1" t="s">
        <v>273</v>
      </c>
      <c r="DF2409" s="1" t="s">
        <v>219</v>
      </c>
      <c r="DG2409" s="1" t="s">
        <v>482</v>
      </c>
      <c r="DH2409" s="1" t="s">
        <v>365</v>
      </c>
      <c r="DI2409" s="1" t="s">
        <v>366</v>
      </c>
      <c r="DJ2409" s="1" t="s">
        <v>222</v>
      </c>
      <c r="DL2409" s="1" t="s">
        <v>224</v>
      </c>
      <c r="DM2409" s="1" t="s">
        <v>1143</v>
      </c>
      <c r="DN2409" s="1" t="s">
        <v>439</v>
      </c>
      <c r="DO2409" s="1" t="s">
        <v>549</v>
      </c>
      <c r="DQ2409" s="1" t="s">
        <v>718</v>
      </c>
      <c r="DR2409" s="1" t="s">
        <v>229</v>
      </c>
      <c r="DS2409" s="1" t="s">
        <v>401</v>
      </c>
      <c r="DU2409" s="1" t="s">
        <v>2070</v>
      </c>
      <c r="DV2409" s="1" t="s">
        <v>232</v>
      </c>
      <c r="DW2409" s="1" t="s">
        <v>279</v>
      </c>
      <c r="DX2409" s="1" t="s">
        <v>234</v>
      </c>
      <c r="DY2409" s="1" t="s">
        <v>4467</v>
      </c>
      <c r="EA2409" s="1" t="s">
        <v>683</v>
      </c>
      <c r="EC2409" s="1" t="s">
        <v>685</v>
      </c>
      <c r="ED2409" s="1" t="s">
        <v>407</v>
      </c>
      <c r="EE2409" s="1" t="s">
        <v>493</v>
      </c>
      <c r="EM2409" s="1" t="s">
        <v>238</v>
      </c>
      <c r="EQ2409" s="1" t="s">
        <v>238</v>
      </c>
      <c r="EU2409" s="1" t="s">
        <v>238</v>
      </c>
      <c r="EY2409" s="1" t="s">
        <v>238</v>
      </c>
      <c r="FC2409" s="1" t="s">
        <v>238</v>
      </c>
      <c r="FF2409" s="1" t="s">
        <v>239</v>
      </c>
      <c r="FG2409" s="1" t="s">
        <v>200</v>
      </c>
      <c r="FH2409" s="1" t="s">
        <v>192</v>
      </c>
      <c r="FJ2409" s="1" t="s">
        <v>770</v>
      </c>
      <c r="FK2409" s="1" t="s">
        <v>229</v>
      </c>
      <c r="FL2409" s="1" t="s">
        <v>3358</v>
      </c>
      <c r="FM2409" s="1">
        <v>84818.0</v>
      </c>
      <c r="FN2409" s="1" t="s">
        <v>3359</v>
      </c>
      <c r="FO2409" s="1" t="s">
        <v>5619</v>
      </c>
      <c r="FP2409" s="1">
        <v>162070.0</v>
      </c>
      <c r="FQ2409" s="1" t="s">
        <v>5620</v>
      </c>
      <c r="FR2409" s="1">
        <v>841730.0</v>
      </c>
      <c r="FU2409" s="1" t="s">
        <v>5621</v>
      </c>
      <c r="FV2409" s="1" t="s">
        <v>200</v>
      </c>
      <c r="FW2409" s="1" t="s">
        <v>530</v>
      </c>
      <c r="FX2409" s="1" t="s">
        <v>655</v>
      </c>
      <c r="FZ2409" s="1" t="s">
        <v>229</v>
      </c>
      <c r="GA2409" s="1" t="s">
        <v>291</v>
      </c>
      <c r="GB2409" s="2">
        <v>42057.0</v>
      </c>
      <c r="GC2409" s="1" t="s">
        <v>22020</v>
      </c>
    </row>
    <row r="2410">
      <c r="A2410" s="1">
        <v>130000.0</v>
      </c>
      <c r="B2410" s="1" t="s">
        <v>185</v>
      </c>
      <c r="C2410" s="1" t="str">
        <f>"08811658"</f>
        <v>08811658</v>
      </c>
      <c r="D2410" s="1" t="s">
        <v>186</v>
      </c>
      <c r="F2410" s="1" t="str">
        <f>"8059"</f>
        <v>8059</v>
      </c>
      <c r="G2410" s="2">
        <v>42011.0</v>
      </c>
      <c r="H2410" s="1">
        <v>135000.0</v>
      </c>
      <c r="I2410" s="1">
        <v>296.0</v>
      </c>
      <c r="J2410" s="1">
        <v>135000.0</v>
      </c>
      <c r="K2410" s="2">
        <v>42057.0</v>
      </c>
      <c r="L2410" s="1">
        <v>47.0</v>
      </c>
      <c r="M2410" s="2">
        <v>42057.0</v>
      </c>
      <c r="N2410" s="1" t="s">
        <v>187</v>
      </c>
      <c r="O2410" s="2">
        <v>42101.0</v>
      </c>
      <c r="P2410" s="1">
        <v>876438.0</v>
      </c>
      <c r="Q2410" s="1">
        <v>85403.0</v>
      </c>
      <c r="R2410" s="1">
        <v>5000.0</v>
      </c>
      <c r="S2410" s="1">
        <v>1626.0</v>
      </c>
      <c r="T2410" s="1" t="s">
        <v>22021</v>
      </c>
      <c r="U2410" s="1" t="s">
        <v>464</v>
      </c>
      <c r="V2410" s="1" t="s">
        <v>190</v>
      </c>
      <c r="W2410" s="1">
        <v>60609.0</v>
      </c>
      <c r="Y2410" s="1" t="s">
        <v>22022</v>
      </c>
      <c r="Z2410" s="1" t="s">
        <v>296</v>
      </c>
      <c r="AA2410" s="1" t="s">
        <v>192</v>
      </c>
      <c r="AB2410" s="1" t="s">
        <v>193</v>
      </c>
      <c r="AD2410" s="1" t="s">
        <v>194</v>
      </c>
      <c r="AE2410" s="1" t="s">
        <v>195</v>
      </c>
      <c r="AF2410" s="1" t="s">
        <v>1154</v>
      </c>
      <c r="AH2410" s="1" t="s">
        <v>359</v>
      </c>
      <c r="AI2410" s="1">
        <v>0.0677</v>
      </c>
      <c r="AK2410" s="1">
        <v>7.0</v>
      </c>
      <c r="AL2410" s="1">
        <v>4.0</v>
      </c>
      <c r="AM2410" s="1">
        <v>3.0</v>
      </c>
      <c r="AN2410" s="1">
        <v>0.0</v>
      </c>
      <c r="AO2410" s="1" t="s">
        <v>198</v>
      </c>
      <c r="AP2410" s="1">
        <v>0.0</v>
      </c>
      <c r="AQ2410" s="1" t="s">
        <v>229</v>
      </c>
      <c r="AR2410" s="1" t="s">
        <v>200</v>
      </c>
      <c r="AS2410" s="1" t="s">
        <v>229</v>
      </c>
      <c r="AV2410" s="1" t="s">
        <v>200</v>
      </c>
      <c r="AW2410" s="1" t="s">
        <v>22023</v>
      </c>
      <c r="AX2410" s="1">
        <v>2013.0</v>
      </c>
      <c r="AY2410" s="1" t="s">
        <v>387</v>
      </c>
      <c r="AZ2410" s="1" t="s">
        <v>200</v>
      </c>
      <c r="BA2410" s="1" t="str">
        <f>"17314310320000"</f>
        <v>17314310320000</v>
      </c>
      <c r="BC2410" s="1">
        <v>1779.0</v>
      </c>
      <c r="BD2410" s="1">
        <v>130000.0</v>
      </c>
      <c r="BE2410" s="2">
        <v>42011.0</v>
      </c>
      <c r="BF2410" s="2" t="s">
        <v>22024</v>
      </c>
      <c r="BH2410" s="1">
        <v>0.0</v>
      </c>
      <c r="BK2410" s="1" t="s">
        <v>204</v>
      </c>
      <c r="BL2410" s="1" t="str">
        <f t="shared" ref="BL2410:BM2410" si="1570">"0"</f>
        <v>0</v>
      </c>
      <c r="BM2410" s="1" t="str">
        <f t="shared" si="1570"/>
        <v>0</v>
      </c>
      <c r="BN2410" s="1">
        <v>1626.0</v>
      </c>
      <c r="BO2410" s="1">
        <v>3900.0</v>
      </c>
      <c r="BQ2410" s="1">
        <v>299.0</v>
      </c>
      <c r="BR2410" s="1">
        <v>299.0</v>
      </c>
      <c r="BS2410" s="1">
        <v>299.0</v>
      </c>
      <c r="BU2410" s="1" t="s">
        <v>8887</v>
      </c>
      <c r="BV2410" s="1" t="s">
        <v>267</v>
      </c>
      <c r="BW2410" s="1" t="s">
        <v>301</v>
      </c>
      <c r="BX2410" s="1" t="s">
        <v>229</v>
      </c>
      <c r="BY2410" s="1" t="s">
        <v>213</v>
      </c>
      <c r="BZ2410" s="1" t="s">
        <v>209</v>
      </c>
      <c r="CA2410" s="1" t="s">
        <v>210</v>
      </c>
      <c r="CB2410" s="1" t="s">
        <v>1550</v>
      </c>
      <c r="CC2410" s="1" t="s">
        <v>677</v>
      </c>
      <c r="CD2410" s="1" t="s">
        <v>206</v>
      </c>
      <c r="CE2410" s="1" t="s">
        <v>301</v>
      </c>
      <c r="CF2410" s="1" t="s">
        <v>1549</v>
      </c>
      <c r="CG2410" s="1" t="s">
        <v>1352</v>
      </c>
      <c r="CH2410" s="1" t="s">
        <v>206</v>
      </c>
      <c r="CI2410" s="1" t="s">
        <v>210</v>
      </c>
      <c r="CJ2410" s="1" t="s">
        <v>1549</v>
      </c>
      <c r="CK2410" s="1" t="s">
        <v>815</v>
      </c>
      <c r="CL2410" s="1" t="s">
        <v>206</v>
      </c>
      <c r="CM2410" s="1" t="s">
        <v>1790</v>
      </c>
      <c r="CN2410" s="1" t="s">
        <v>1549</v>
      </c>
      <c r="CO2410" s="1" t="s">
        <v>495</v>
      </c>
      <c r="CP2410" s="1" t="s">
        <v>267</v>
      </c>
      <c r="CQ2410" s="1" t="s">
        <v>210</v>
      </c>
      <c r="CR2410" s="1" t="s">
        <v>229</v>
      </c>
      <c r="CS2410" s="1" t="s">
        <v>211</v>
      </c>
      <c r="CT2410" s="1" t="s">
        <v>206</v>
      </c>
      <c r="CU2410" s="1" t="s">
        <v>268</v>
      </c>
      <c r="CV2410" s="1" t="s">
        <v>1549</v>
      </c>
      <c r="CX2410" s="1" t="s">
        <v>204</v>
      </c>
      <c r="DA2410" s="1" t="s">
        <v>200</v>
      </c>
      <c r="DC2410" s="1" t="s">
        <v>642</v>
      </c>
      <c r="DD2410" s="1" t="s">
        <v>518</v>
      </c>
      <c r="DE2410" s="1" t="s">
        <v>1300</v>
      </c>
      <c r="DF2410" s="1" t="s">
        <v>905</v>
      </c>
      <c r="DG2410" s="1" t="s">
        <v>2237</v>
      </c>
      <c r="DH2410" s="1" t="s">
        <v>365</v>
      </c>
      <c r="DI2410" s="1" t="s">
        <v>1463</v>
      </c>
      <c r="DJ2410" s="1" t="s">
        <v>857</v>
      </c>
      <c r="DK2410" s="1" t="s">
        <v>224</v>
      </c>
      <c r="DL2410" s="1" t="s">
        <v>229</v>
      </c>
      <c r="DM2410" s="1" t="s">
        <v>1143</v>
      </c>
      <c r="DO2410" s="1" t="s">
        <v>549</v>
      </c>
      <c r="DP2410" s="1" t="s">
        <v>340</v>
      </c>
      <c r="DQ2410" s="1" t="s">
        <v>228</v>
      </c>
      <c r="DR2410" s="1" t="s">
        <v>229</v>
      </c>
      <c r="DS2410" s="1" t="s">
        <v>277</v>
      </c>
      <c r="DV2410" s="1" t="s">
        <v>22025</v>
      </c>
      <c r="DW2410" s="1" t="s">
        <v>370</v>
      </c>
      <c r="DX2410" s="1" t="s">
        <v>234</v>
      </c>
      <c r="DY2410" s="1" t="s">
        <v>22026</v>
      </c>
      <c r="EA2410" s="1" t="s">
        <v>588</v>
      </c>
      <c r="EC2410" s="1" t="s">
        <v>406</v>
      </c>
      <c r="EG2410" s="1" t="s">
        <v>408</v>
      </c>
      <c r="EH2410" s="1" t="s">
        <v>1103</v>
      </c>
      <c r="EI2410" s="1" t="s">
        <v>1102</v>
      </c>
      <c r="EL2410" s="1" t="s">
        <v>8357</v>
      </c>
      <c r="EM2410" s="1" t="s">
        <v>267</v>
      </c>
      <c r="EN2410" s="1" t="s">
        <v>588</v>
      </c>
      <c r="EO2410" s="1" t="s">
        <v>1549</v>
      </c>
      <c r="EP2410" s="1" t="s">
        <v>1796</v>
      </c>
      <c r="EQ2410" s="1" t="s">
        <v>209</v>
      </c>
      <c r="ER2410" s="1" t="s">
        <v>210</v>
      </c>
      <c r="ES2410" s="1" t="s">
        <v>229</v>
      </c>
      <c r="ET2410" s="1" t="s">
        <v>2460</v>
      </c>
      <c r="EU2410" s="1" t="s">
        <v>206</v>
      </c>
      <c r="EV2410" s="1" t="s">
        <v>301</v>
      </c>
      <c r="EW2410" s="1" t="s">
        <v>1549</v>
      </c>
      <c r="EY2410" s="1" t="s">
        <v>238</v>
      </c>
      <c r="FC2410" s="1" t="s">
        <v>238</v>
      </c>
      <c r="FF2410" s="1" t="s">
        <v>239</v>
      </c>
      <c r="FG2410" s="1" t="s">
        <v>192</v>
      </c>
      <c r="FH2410" s="1" t="s">
        <v>192</v>
      </c>
      <c r="FJ2410" s="1" t="s">
        <v>14504</v>
      </c>
      <c r="FK2410" s="1" t="s">
        <v>229</v>
      </c>
      <c r="FL2410" s="1" t="s">
        <v>1168</v>
      </c>
      <c r="FM2410" s="1">
        <v>14165.0</v>
      </c>
      <c r="FN2410" s="1" t="s">
        <v>1169</v>
      </c>
      <c r="FO2410" s="1" t="s">
        <v>1170</v>
      </c>
      <c r="FP2410" s="1">
        <v>158356.0</v>
      </c>
      <c r="FQ2410" s="1" t="s">
        <v>1171</v>
      </c>
      <c r="FU2410" s="1" t="s">
        <v>22027</v>
      </c>
      <c r="FV2410" s="1" t="s">
        <v>192</v>
      </c>
      <c r="FW2410" s="1" t="s">
        <v>290</v>
      </c>
      <c r="FX2410" s="1" t="s">
        <v>246</v>
      </c>
      <c r="FZ2410" s="1" t="s">
        <v>229</v>
      </c>
      <c r="GA2410" s="1" t="s">
        <v>291</v>
      </c>
      <c r="GB2410" s="2">
        <v>42101.0</v>
      </c>
      <c r="GC2410" s="1" t="s">
        <v>22028</v>
      </c>
    </row>
    <row r="2411">
      <c r="A2411" s="1">
        <v>230000.0</v>
      </c>
      <c r="B2411" s="1" t="s">
        <v>185</v>
      </c>
      <c r="C2411" s="1" t="str">
        <f>"08809034"</f>
        <v>08809034</v>
      </c>
      <c r="D2411" s="1" t="s">
        <v>186</v>
      </c>
      <c r="F2411" s="1" t="str">
        <f t="shared" ref="F2411:F2412" si="1572">"123"</f>
        <v>123</v>
      </c>
      <c r="G2411" s="2">
        <v>42007.0</v>
      </c>
      <c r="H2411" s="1">
        <v>230000.0</v>
      </c>
      <c r="I2411" s="1">
        <v>6.0</v>
      </c>
      <c r="J2411" s="1">
        <v>230000.0</v>
      </c>
      <c r="K2411" s="2">
        <v>42012.0</v>
      </c>
      <c r="L2411" s="1">
        <v>6.0</v>
      </c>
      <c r="M2411" s="2">
        <v>42012.0</v>
      </c>
      <c r="N2411" s="1" t="s">
        <v>187</v>
      </c>
      <c r="O2411" s="2">
        <v>42065.0</v>
      </c>
      <c r="P2411" s="1">
        <v>83762.0</v>
      </c>
      <c r="Q2411" s="1">
        <v>25050.0</v>
      </c>
      <c r="R2411" s="1">
        <v>2000.0</v>
      </c>
      <c r="S2411" s="1">
        <v>3312.0</v>
      </c>
      <c r="T2411" s="1" t="s">
        <v>22029</v>
      </c>
      <c r="U2411" s="1" t="s">
        <v>420</v>
      </c>
      <c r="V2411" s="1" t="s">
        <v>465</v>
      </c>
      <c r="W2411" s="1">
        <v>60124.0</v>
      </c>
      <c r="Y2411" s="1" t="s">
        <v>22030</v>
      </c>
      <c r="Z2411" s="1">
        <v>2005.0</v>
      </c>
      <c r="AA2411" s="1" t="s">
        <v>200</v>
      </c>
      <c r="AB2411" s="1" t="s">
        <v>467</v>
      </c>
      <c r="AD2411" s="1" t="s">
        <v>469</v>
      </c>
      <c r="AE2411" s="1" t="s">
        <v>325</v>
      </c>
      <c r="AF2411" s="1" t="s">
        <v>469</v>
      </c>
      <c r="AH2411" s="1" t="s">
        <v>22031</v>
      </c>
      <c r="AI2411" s="1">
        <v>0.2339</v>
      </c>
      <c r="AK2411" s="1">
        <v>8.0</v>
      </c>
      <c r="AL2411" s="1">
        <v>4.0</v>
      </c>
      <c r="AM2411" s="1">
        <v>2.0</v>
      </c>
      <c r="AN2411" s="1">
        <v>1.0</v>
      </c>
      <c r="AO2411" s="1" t="s">
        <v>198</v>
      </c>
      <c r="AQ2411" s="1" t="s">
        <v>198</v>
      </c>
      <c r="AR2411" s="1" t="s">
        <v>200</v>
      </c>
      <c r="AS2411" s="1" t="s">
        <v>199</v>
      </c>
      <c r="AT2411" s="1">
        <v>2.0</v>
      </c>
      <c r="AV2411" s="1" t="s">
        <v>200</v>
      </c>
      <c r="AW2411" s="1">
        <v>8310.28</v>
      </c>
      <c r="AX2411" s="1">
        <v>2013.0</v>
      </c>
      <c r="AZ2411" s="1" t="s">
        <v>545</v>
      </c>
      <c r="BA2411" s="1" t="str">
        <f>"0607430009"</f>
        <v>0607430009</v>
      </c>
      <c r="BC2411" s="1">
        <v>2508.0</v>
      </c>
      <c r="BD2411" s="1">
        <v>230000.0</v>
      </c>
      <c r="BE2411" s="2">
        <v>42007.0</v>
      </c>
      <c r="BF2411" s="1" t="s">
        <v>22032</v>
      </c>
      <c r="BH2411" s="1">
        <v>38.0</v>
      </c>
      <c r="BK2411" s="1" t="s">
        <v>474</v>
      </c>
      <c r="BL2411" s="1" t="str">
        <f t="shared" ref="BL2411:BM2411" si="1571">""</f>
        <v/>
      </c>
      <c r="BM2411" s="1" t="str">
        <f t="shared" si="1571"/>
        <v/>
      </c>
      <c r="BQ2411" s="1">
        <v>301.0</v>
      </c>
      <c r="BR2411" s="1">
        <v>301.0</v>
      </c>
      <c r="BS2411" s="1">
        <v>301.0</v>
      </c>
      <c r="BU2411" s="1" t="s">
        <v>212</v>
      </c>
      <c r="BV2411" s="1" t="s">
        <v>206</v>
      </c>
      <c r="BY2411" s="1" t="s">
        <v>390</v>
      </c>
      <c r="BZ2411" s="1" t="s">
        <v>209</v>
      </c>
      <c r="CC2411" s="1" t="s">
        <v>363</v>
      </c>
      <c r="CD2411" s="1" t="s">
        <v>206</v>
      </c>
      <c r="CG2411" s="1" t="s">
        <v>392</v>
      </c>
      <c r="CH2411" s="1" t="s">
        <v>209</v>
      </c>
      <c r="CK2411" s="1" t="s">
        <v>212</v>
      </c>
      <c r="CL2411" s="1" t="s">
        <v>209</v>
      </c>
      <c r="CO2411" s="1" t="s">
        <v>495</v>
      </c>
      <c r="CP2411" s="1" t="s">
        <v>209</v>
      </c>
      <c r="CS2411" s="1" t="s">
        <v>331</v>
      </c>
      <c r="CT2411" s="1" t="s">
        <v>206</v>
      </c>
      <c r="CW2411" s="1" t="s">
        <v>208</v>
      </c>
      <c r="CX2411" s="1" t="s">
        <v>206</v>
      </c>
      <c r="DA2411" s="1" t="s">
        <v>200</v>
      </c>
      <c r="DC2411" s="1" t="s">
        <v>481</v>
      </c>
      <c r="DE2411" s="1" t="s">
        <v>273</v>
      </c>
      <c r="DF2411" s="1" t="s">
        <v>219</v>
      </c>
      <c r="DH2411" s="1" t="s">
        <v>220</v>
      </c>
      <c r="DJ2411" s="1" t="s">
        <v>222</v>
      </c>
      <c r="DL2411" s="1" t="s">
        <v>223</v>
      </c>
      <c r="DM2411" s="1" t="s">
        <v>229</v>
      </c>
      <c r="DQ2411" s="1" t="s">
        <v>228</v>
      </c>
      <c r="DR2411" s="1" t="s">
        <v>229</v>
      </c>
      <c r="DV2411" s="1" t="s">
        <v>232</v>
      </c>
      <c r="DW2411" s="1" t="s">
        <v>233</v>
      </c>
      <c r="DX2411" s="1" t="s">
        <v>234</v>
      </c>
      <c r="EC2411" s="1" t="s">
        <v>237</v>
      </c>
      <c r="EM2411" s="1" t="s">
        <v>238</v>
      </c>
      <c r="EQ2411" s="1" t="s">
        <v>238</v>
      </c>
      <c r="EU2411" s="1" t="s">
        <v>238</v>
      </c>
      <c r="EY2411" s="1" t="s">
        <v>238</v>
      </c>
      <c r="FC2411" s="1" t="s">
        <v>238</v>
      </c>
      <c r="FF2411" s="1" t="s">
        <v>239</v>
      </c>
      <c r="FG2411" s="1" t="s">
        <v>192</v>
      </c>
      <c r="FH2411" s="1" t="s">
        <v>192</v>
      </c>
      <c r="FJ2411" s="1" t="s">
        <v>347</v>
      </c>
      <c r="FK2411" s="1" t="s">
        <v>229</v>
      </c>
      <c r="FL2411" s="1" t="s">
        <v>906</v>
      </c>
      <c r="FM2411" s="1">
        <v>25050.0</v>
      </c>
      <c r="FN2411" s="1" t="s">
        <v>907</v>
      </c>
      <c r="FO2411" s="1" t="s">
        <v>908</v>
      </c>
      <c r="FP2411" s="1">
        <v>229929.0</v>
      </c>
      <c r="FQ2411" s="1" t="s">
        <v>909</v>
      </c>
      <c r="FU2411" s="1" t="s">
        <v>910</v>
      </c>
      <c r="FV2411" s="1" t="s">
        <v>200</v>
      </c>
      <c r="FW2411" s="1" t="s">
        <v>22033</v>
      </c>
      <c r="FZ2411" s="1" t="s">
        <v>229</v>
      </c>
      <c r="GA2411" s="1" t="s">
        <v>247</v>
      </c>
      <c r="GB2411" s="2">
        <v>42067.0</v>
      </c>
      <c r="GC2411" s="1" t="s">
        <v>22034</v>
      </c>
    </row>
    <row r="2412">
      <c r="A2412" s="1">
        <v>293000.0</v>
      </c>
      <c r="B2412" s="1" t="s">
        <v>185</v>
      </c>
      <c r="C2412" s="1" t="str">
        <f>"08811532"</f>
        <v>08811532</v>
      </c>
      <c r="D2412" s="1" t="s">
        <v>186</v>
      </c>
      <c r="F2412" s="1" t="str">
        <f t="shared" si="1572"/>
        <v>123</v>
      </c>
      <c r="G2412" s="2">
        <v>42011.0</v>
      </c>
      <c r="H2412" s="1">
        <v>309900.0</v>
      </c>
      <c r="I2412" s="1">
        <v>12.0</v>
      </c>
      <c r="J2412" s="1">
        <v>309900.0</v>
      </c>
      <c r="K2412" s="2">
        <v>42022.0</v>
      </c>
      <c r="L2412" s="1">
        <v>12.0</v>
      </c>
      <c r="M2412" s="2">
        <v>42022.0</v>
      </c>
      <c r="N2412" s="1" t="s">
        <v>187</v>
      </c>
      <c r="O2412" s="2">
        <v>42072.0</v>
      </c>
      <c r="P2412" s="1">
        <v>82289.0</v>
      </c>
      <c r="Q2412" s="1">
        <v>8096.0</v>
      </c>
      <c r="S2412" s="1">
        <v>463.0</v>
      </c>
      <c r="T2412" s="1" t="s">
        <v>16443</v>
      </c>
      <c r="U2412" s="1" t="s">
        <v>569</v>
      </c>
      <c r="V2412" s="1" t="s">
        <v>465</v>
      </c>
      <c r="W2412" s="1">
        <v>60124.0</v>
      </c>
      <c r="Y2412" s="1" t="s">
        <v>22035</v>
      </c>
      <c r="Z2412" s="1">
        <v>2007.0</v>
      </c>
      <c r="AA2412" s="1" t="s">
        <v>200</v>
      </c>
      <c r="AB2412" s="1" t="s">
        <v>467</v>
      </c>
      <c r="AC2412" s="1" t="s">
        <v>22036</v>
      </c>
      <c r="AD2412" s="1" t="s">
        <v>469</v>
      </c>
      <c r="AE2412" s="1" t="s">
        <v>325</v>
      </c>
      <c r="AF2412" s="1" t="s">
        <v>469</v>
      </c>
      <c r="AG2412" s="1" t="s">
        <v>17232</v>
      </c>
      <c r="AH2412" s="1" t="s">
        <v>22037</v>
      </c>
      <c r="AI2412" s="1">
        <v>0.28</v>
      </c>
      <c r="AK2412" s="1">
        <v>11.0</v>
      </c>
      <c r="AL2412" s="1">
        <v>4.0</v>
      </c>
      <c r="AM2412" s="1">
        <v>2.0</v>
      </c>
      <c r="AN2412" s="1">
        <v>1.0</v>
      </c>
      <c r="AO2412" s="1" t="s">
        <v>198</v>
      </c>
      <c r="AP2412" s="1">
        <v>1.0</v>
      </c>
      <c r="AQ2412" s="1" t="s">
        <v>1314</v>
      </c>
      <c r="AR2412" s="1" t="s">
        <v>200</v>
      </c>
      <c r="AS2412" s="1" t="s">
        <v>199</v>
      </c>
      <c r="AT2412" s="1">
        <v>2.0</v>
      </c>
      <c r="AV2412" s="1" t="s">
        <v>200</v>
      </c>
      <c r="AW2412" s="1">
        <v>8395.0</v>
      </c>
      <c r="AX2412" s="1">
        <v>2013.0</v>
      </c>
      <c r="AY2412" s="1" t="s">
        <v>387</v>
      </c>
      <c r="AZ2412" s="1" t="s">
        <v>200</v>
      </c>
      <c r="BA2412" s="1" t="str">
        <f>"0607473008"</f>
        <v>0607473008</v>
      </c>
      <c r="BB2412" s="1" t="s">
        <v>200</v>
      </c>
      <c r="BC2412" s="1">
        <v>2780.0</v>
      </c>
      <c r="BD2412" s="1">
        <v>293000.0</v>
      </c>
      <c r="BE2412" s="2">
        <v>42011.0</v>
      </c>
      <c r="BF2412" s="2" t="s">
        <v>22038</v>
      </c>
      <c r="BG2412" s="1" t="s">
        <v>1974</v>
      </c>
      <c r="BH2412" s="1">
        <v>345.0</v>
      </c>
      <c r="BI2412" s="1" t="s">
        <v>1975</v>
      </c>
      <c r="BJ2412" s="1" t="s">
        <v>579</v>
      </c>
      <c r="BK2412" s="1" t="s">
        <v>580</v>
      </c>
      <c r="BL2412" s="1" t="str">
        <f>"12"</f>
        <v>12</v>
      </c>
      <c r="BM2412" s="1" t="str">
        <f>"0"</f>
        <v>0</v>
      </c>
      <c r="BN2412" s="1">
        <v>38.0</v>
      </c>
      <c r="BO2412" s="1">
        <v>0.0</v>
      </c>
      <c r="BQ2412" s="1">
        <v>301.0</v>
      </c>
      <c r="BR2412" s="1">
        <v>301.0</v>
      </c>
      <c r="BS2412" s="1">
        <v>301.0</v>
      </c>
      <c r="BU2412" s="1" t="s">
        <v>363</v>
      </c>
      <c r="BV2412" s="1" t="s">
        <v>206</v>
      </c>
      <c r="BW2412" s="1" t="s">
        <v>210</v>
      </c>
      <c r="BY2412" s="1" t="s">
        <v>544</v>
      </c>
      <c r="BZ2412" s="1" t="s">
        <v>209</v>
      </c>
      <c r="CA2412" s="1" t="s">
        <v>210</v>
      </c>
      <c r="CC2412" s="1" t="s">
        <v>212</v>
      </c>
      <c r="CD2412" s="1" t="s">
        <v>206</v>
      </c>
      <c r="CE2412" s="1" t="s">
        <v>210</v>
      </c>
      <c r="CG2412" s="1" t="s">
        <v>332</v>
      </c>
      <c r="CH2412" s="1" t="s">
        <v>209</v>
      </c>
      <c r="CI2412" s="1" t="s">
        <v>210</v>
      </c>
      <c r="CK2412" s="1" t="s">
        <v>264</v>
      </c>
      <c r="CL2412" s="1" t="s">
        <v>209</v>
      </c>
      <c r="CM2412" s="1" t="s">
        <v>210</v>
      </c>
      <c r="CO2412" s="1" t="s">
        <v>495</v>
      </c>
      <c r="CP2412" s="1" t="s">
        <v>209</v>
      </c>
      <c r="CQ2412" s="1" t="s">
        <v>210</v>
      </c>
      <c r="CS2412" s="1" t="s">
        <v>213</v>
      </c>
      <c r="CT2412" s="1" t="s">
        <v>206</v>
      </c>
      <c r="CU2412" s="1" t="s">
        <v>207</v>
      </c>
      <c r="CW2412" s="1" t="s">
        <v>743</v>
      </c>
      <c r="CX2412" s="1" t="s">
        <v>206</v>
      </c>
      <c r="CY2412" s="1" t="s">
        <v>210</v>
      </c>
      <c r="DA2412" s="1" t="s">
        <v>200</v>
      </c>
      <c r="DC2412" s="1" t="s">
        <v>481</v>
      </c>
      <c r="DD2412" s="1" t="s">
        <v>1838</v>
      </c>
      <c r="DE2412" s="1" t="s">
        <v>273</v>
      </c>
      <c r="DF2412" s="1" t="s">
        <v>219</v>
      </c>
      <c r="DG2412" s="1" t="s">
        <v>482</v>
      </c>
      <c r="DH2412" s="1" t="s">
        <v>220</v>
      </c>
      <c r="DI2412" s="1" t="s">
        <v>275</v>
      </c>
      <c r="DJ2412" s="1" t="s">
        <v>222</v>
      </c>
      <c r="DL2412" s="1" t="s">
        <v>3611</v>
      </c>
      <c r="DM2412" s="1" t="s">
        <v>338</v>
      </c>
      <c r="DN2412" s="1" t="s">
        <v>1486</v>
      </c>
      <c r="DO2412" s="1" t="s">
        <v>486</v>
      </c>
      <c r="DP2412" s="1" t="s">
        <v>276</v>
      </c>
      <c r="DQ2412" s="1" t="s">
        <v>441</v>
      </c>
      <c r="DR2412" s="1" t="s">
        <v>588</v>
      </c>
      <c r="DS2412" s="1" t="s">
        <v>230</v>
      </c>
      <c r="DU2412" s="1" t="s">
        <v>1005</v>
      </c>
      <c r="DV2412" s="1" t="s">
        <v>22039</v>
      </c>
      <c r="DW2412" s="1" t="s">
        <v>444</v>
      </c>
      <c r="DX2412" s="1" t="s">
        <v>234</v>
      </c>
      <c r="DY2412" s="1" t="s">
        <v>1936</v>
      </c>
      <c r="DZ2412" s="1" t="s">
        <v>11452</v>
      </c>
      <c r="EA2412" s="1" t="s">
        <v>344</v>
      </c>
      <c r="EB2412" s="1" t="s">
        <v>345</v>
      </c>
      <c r="EC2412" s="1" t="s">
        <v>237</v>
      </c>
      <c r="ED2412" s="1" t="s">
        <v>407</v>
      </c>
      <c r="EE2412" s="1" t="s">
        <v>493</v>
      </c>
      <c r="EG2412" s="1" t="s">
        <v>449</v>
      </c>
      <c r="EH2412" s="1" t="s">
        <v>598</v>
      </c>
      <c r="EI2412" s="1" t="s">
        <v>341</v>
      </c>
      <c r="EJ2412" s="1" t="s">
        <v>408</v>
      </c>
      <c r="EK2412" s="1" t="s">
        <v>409</v>
      </c>
      <c r="EL2412" s="1" t="s">
        <v>454</v>
      </c>
      <c r="EM2412" s="1" t="s">
        <v>206</v>
      </c>
      <c r="EN2412" s="1" t="s">
        <v>207</v>
      </c>
      <c r="EP2412" s="1" t="s">
        <v>269</v>
      </c>
      <c r="EQ2412" s="1" t="s">
        <v>206</v>
      </c>
      <c r="ER2412" s="1" t="s">
        <v>210</v>
      </c>
      <c r="ET2412" s="1" t="s">
        <v>392</v>
      </c>
      <c r="EU2412" s="1" t="s">
        <v>209</v>
      </c>
      <c r="EV2412" s="1" t="s">
        <v>210</v>
      </c>
      <c r="EX2412" s="1" t="s">
        <v>1939</v>
      </c>
      <c r="EY2412" s="1" t="s">
        <v>206</v>
      </c>
      <c r="EZ2412" s="1" t="s">
        <v>207</v>
      </c>
      <c r="FB2412" s="1" t="s">
        <v>558</v>
      </c>
      <c r="FC2412" s="1" t="s">
        <v>209</v>
      </c>
      <c r="FD2412" s="1" t="s">
        <v>210</v>
      </c>
      <c r="FF2412" s="1" t="s">
        <v>239</v>
      </c>
      <c r="FG2412" s="1" t="s">
        <v>192</v>
      </c>
      <c r="FH2412" s="1" t="s">
        <v>192</v>
      </c>
      <c r="FJ2412" s="1" t="s">
        <v>799</v>
      </c>
      <c r="FK2412" s="1" t="s">
        <v>229</v>
      </c>
      <c r="FL2412" s="1" t="s">
        <v>8240</v>
      </c>
      <c r="FM2412" s="1">
        <v>8340.0</v>
      </c>
      <c r="FN2412" s="1" t="s">
        <v>8241</v>
      </c>
      <c r="FO2412" s="1" t="s">
        <v>22040</v>
      </c>
      <c r="FP2412" s="1">
        <v>89771.0</v>
      </c>
      <c r="FQ2412" s="1" t="s">
        <v>22041</v>
      </c>
      <c r="FR2412" s="1">
        <v>82980.0</v>
      </c>
      <c r="FS2412" s="1" t="s">
        <v>22042</v>
      </c>
      <c r="FU2412" s="1" t="s">
        <v>22043</v>
      </c>
      <c r="FV2412" s="1" t="s">
        <v>200</v>
      </c>
      <c r="FW2412" s="1" t="s">
        <v>290</v>
      </c>
      <c r="FX2412" s="1" t="s">
        <v>1739</v>
      </c>
      <c r="FZ2412" s="1" t="s">
        <v>632</v>
      </c>
      <c r="GA2412" s="1" t="s">
        <v>291</v>
      </c>
      <c r="GB2412" s="2">
        <v>42073.0</v>
      </c>
      <c r="GC2412" s="1" t="s">
        <v>22044</v>
      </c>
    </row>
    <row r="2413">
      <c r="A2413" s="1">
        <v>405000.0</v>
      </c>
      <c r="B2413" s="1" t="s">
        <v>185</v>
      </c>
      <c r="C2413" s="1" t="str">
        <f>"08809290"</f>
        <v>08809290</v>
      </c>
      <c r="D2413" s="1" t="s">
        <v>186</v>
      </c>
      <c r="F2413" s="1" t="str">
        <f>"174"</f>
        <v>174</v>
      </c>
      <c r="G2413" s="2">
        <v>42008.0</v>
      </c>
      <c r="H2413" s="1">
        <v>425000.0</v>
      </c>
      <c r="I2413" s="1">
        <v>222.0</v>
      </c>
      <c r="J2413" s="1">
        <v>425000.0</v>
      </c>
      <c r="K2413" s="2">
        <v>42008.0</v>
      </c>
      <c r="L2413" s="1">
        <v>1.0</v>
      </c>
      <c r="M2413" s="2">
        <v>42008.0</v>
      </c>
      <c r="N2413" s="1" t="s">
        <v>187</v>
      </c>
      <c r="O2413" s="2">
        <v>42079.0</v>
      </c>
      <c r="P2413" s="1">
        <v>256018.0</v>
      </c>
      <c r="Q2413" s="1">
        <v>25309.0</v>
      </c>
      <c r="S2413" s="1" t="s">
        <v>22045</v>
      </c>
      <c r="T2413" s="1" t="s">
        <v>4331</v>
      </c>
      <c r="U2413" s="1" t="s">
        <v>1174</v>
      </c>
      <c r="V2413" s="1" t="s">
        <v>11389</v>
      </c>
      <c r="W2413" s="1">
        <v>60175.0</v>
      </c>
      <c r="Y2413" s="1" t="s">
        <v>22046</v>
      </c>
      <c r="Z2413" s="1">
        <v>2002.0</v>
      </c>
      <c r="AA2413" s="1" t="s">
        <v>200</v>
      </c>
      <c r="AB2413" s="1" t="s">
        <v>193</v>
      </c>
      <c r="AD2413" s="1" t="s">
        <v>1089</v>
      </c>
      <c r="AE2413" s="1" t="s">
        <v>325</v>
      </c>
      <c r="AF2413" s="1" t="s">
        <v>1632</v>
      </c>
      <c r="AH2413" s="1" t="s">
        <v>22047</v>
      </c>
      <c r="AI2413" s="1">
        <v>1.7298</v>
      </c>
      <c r="AK2413" s="1">
        <v>11.0</v>
      </c>
      <c r="AL2413" s="1">
        <v>4.0</v>
      </c>
      <c r="AM2413" s="1">
        <v>2.0</v>
      </c>
      <c r="AN2413" s="1">
        <v>1.0</v>
      </c>
      <c r="AO2413" s="1" t="s">
        <v>198</v>
      </c>
      <c r="AP2413" s="1">
        <v>1.0</v>
      </c>
      <c r="AQ2413" s="1" t="s">
        <v>472</v>
      </c>
      <c r="AR2413" s="1" t="s">
        <v>200</v>
      </c>
      <c r="AS2413" s="1" t="s">
        <v>199</v>
      </c>
      <c r="AT2413" s="1">
        <v>3.0</v>
      </c>
      <c r="AV2413" s="1" t="s">
        <v>200</v>
      </c>
      <c r="AW2413" s="1">
        <v>11800.0</v>
      </c>
      <c r="AX2413" s="1">
        <v>2013.0</v>
      </c>
      <c r="AY2413" s="1" t="s">
        <v>387</v>
      </c>
      <c r="AZ2413" s="1" t="s">
        <v>200</v>
      </c>
      <c r="BA2413" s="1" t="str">
        <f>"0821151017"</f>
        <v>0821151017</v>
      </c>
      <c r="BB2413" s="1" t="s">
        <v>200</v>
      </c>
      <c r="BC2413" s="1">
        <v>3608.0</v>
      </c>
      <c r="BD2413" s="1">
        <v>405000.0</v>
      </c>
      <c r="BE2413" s="2">
        <v>42008.0</v>
      </c>
      <c r="BF2413" s="2" t="s">
        <v>22048</v>
      </c>
      <c r="BH2413" s="1">
        <v>0.0</v>
      </c>
      <c r="BJ2413" s="1" t="s">
        <v>2200</v>
      </c>
      <c r="BK2413" s="1" t="s">
        <v>204</v>
      </c>
      <c r="BL2413" s="1" t="str">
        <f t="shared" ref="BL2413:BM2413" si="1573">""</f>
        <v/>
      </c>
      <c r="BM2413" s="1" t="str">
        <f t="shared" si="1573"/>
        <v/>
      </c>
      <c r="BQ2413" s="1">
        <v>303.0</v>
      </c>
      <c r="BR2413" s="1">
        <v>303.0</v>
      </c>
      <c r="BS2413" s="1">
        <v>303.0</v>
      </c>
      <c r="BU2413" s="1" t="s">
        <v>784</v>
      </c>
      <c r="BV2413" s="1" t="s">
        <v>206</v>
      </c>
      <c r="BW2413" s="1" t="s">
        <v>210</v>
      </c>
      <c r="BY2413" s="1" t="s">
        <v>3817</v>
      </c>
      <c r="BZ2413" s="1" t="s">
        <v>209</v>
      </c>
      <c r="CA2413" s="1" t="s">
        <v>210</v>
      </c>
      <c r="CC2413" s="1" t="s">
        <v>743</v>
      </c>
      <c r="CD2413" s="1" t="s">
        <v>206</v>
      </c>
      <c r="CE2413" s="1" t="s">
        <v>207</v>
      </c>
      <c r="CG2413" s="1" t="s">
        <v>758</v>
      </c>
      <c r="CH2413" s="1" t="s">
        <v>209</v>
      </c>
      <c r="CI2413" s="1" t="s">
        <v>210</v>
      </c>
      <c r="CK2413" s="1" t="s">
        <v>393</v>
      </c>
      <c r="CL2413" s="1" t="s">
        <v>209</v>
      </c>
      <c r="CM2413" s="1" t="s">
        <v>210</v>
      </c>
      <c r="CO2413" s="1" t="s">
        <v>332</v>
      </c>
      <c r="CP2413" s="1" t="s">
        <v>209</v>
      </c>
      <c r="CQ2413" s="1" t="s">
        <v>210</v>
      </c>
      <c r="CS2413" s="1" t="s">
        <v>2592</v>
      </c>
      <c r="CT2413" s="1" t="s">
        <v>206</v>
      </c>
      <c r="CU2413" s="1" t="s">
        <v>207</v>
      </c>
      <c r="CW2413" s="1" t="s">
        <v>2014</v>
      </c>
      <c r="CX2413" s="1" t="s">
        <v>206</v>
      </c>
      <c r="CY2413" s="1" t="s">
        <v>207</v>
      </c>
      <c r="DA2413" s="1" t="s">
        <v>200</v>
      </c>
      <c r="DC2413" s="1" t="s">
        <v>335</v>
      </c>
      <c r="DD2413" s="1" t="s">
        <v>336</v>
      </c>
      <c r="DE2413" s="1" t="s">
        <v>1810</v>
      </c>
      <c r="DF2413" s="1" t="s">
        <v>546</v>
      </c>
      <c r="DG2413" s="1" t="s">
        <v>1553</v>
      </c>
      <c r="DH2413" s="1" t="s">
        <v>856</v>
      </c>
      <c r="DI2413" s="1" t="s">
        <v>9680</v>
      </c>
      <c r="DJ2413" s="1" t="s">
        <v>857</v>
      </c>
      <c r="DK2413" s="1" t="s">
        <v>223</v>
      </c>
      <c r="DL2413" s="1" t="s">
        <v>1870</v>
      </c>
      <c r="DM2413" s="1" t="s">
        <v>929</v>
      </c>
      <c r="DN2413" s="1" t="s">
        <v>399</v>
      </c>
      <c r="DO2413" s="1" t="s">
        <v>4388</v>
      </c>
      <c r="DP2413" s="1" t="s">
        <v>340</v>
      </c>
      <c r="DQ2413" s="1" t="s">
        <v>931</v>
      </c>
      <c r="DR2413" s="1" t="s">
        <v>229</v>
      </c>
      <c r="DS2413" s="1" t="s">
        <v>368</v>
      </c>
      <c r="DU2413" s="1" t="s">
        <v>22049</v>
      </c>
      <c r="DV2413" s="1" t="s">
        <v>22050</v>
      </c>
      <c r="DW2413" s="1" t="s">
        <v>764</v>
      </c>
      <c r="DX2413" s="1" t="s">
        <v>234</v>
      </c>
      <c r="DY2413" s="1" t="s">
        <v>9546</v>
      </c>
      <c r="EA2413" s="1" t="s">
        <v>344</v>
      </c>
      <c r="EB2413" s="1" t="s">
        <v>4251</v>
      </c>
      <c r="EC2413" s="1" t="s">
        <v>237</v>
      </c>
      <c r="ED2413" s="1" t="s">
        <v>1406</v>
      </c>
      <c r="EG2413" s="1" t="s">
        <v>494</v>
      </c>
      <c r="EH2413" s="1" t="s">
        <v>1121</v>
      </c>
      <c r="EI2413" s="1" t="s">
        <v>408</v>
      </c>
      <c r="EJ2413" s="1" t="s">
        <v>409</v>
      </c>
      <c r="EK2413" s="1" t="s">
        <v>557</v>
      </c>
      <c r="EL2413" s="1" t="s">
        <v>331</v>
      </c>
      <c r="EM2413" s="1" t="s">
        <v>206</v>
      </c>
      <c r="EN2413" s="1" t="s">
        <v>210</v>
      </c>
      <c r="EP2413" s="1" t="s">
        <v>495</v>
      </c>
      <c r="EQ2413" s="1" t="s">
        <v>209</v>
      </c>
      <c r="ER2413" s="1" t="s">
        <v>210</v>
      </c>
      <c r="ET2413" s="1" t="s">
        <v>1875</v>
      </c>
      <c r="EU2413" s="1" t="s">
        <v>206</v>
      </c>
      <c r="EV2413" s="1" t="s">
        <v>207</v>
      </c>
      <c r="EX2413" s="1" t="s">
        <v>19105</v>
      </c>
      <c r="EY2413" s="1" t="s">
        <v>209</v>
      </c>
      <c r="EZ2413" s="1" t="s">
        <v>210</v>
      </c>
      <c r="FB2413" s="1" t="s">
        <v>392</v>
      </c>
      <c r="FC2413" s="1" t="s">
        <v>209</v>
      </c>
      <c r="FD2413" s="1" t="s">
        <v>210</v>
      </c>
      <c r="FF2413" s="1" t="s">
        <v>239</v>
      </c>
      <c r="FG2413" s="1" t="s">
        <v>192</v>
      </c>
      <c r="FH2413" s="1" t="s">
        <v>192</v>
      </c>
      <c r="FJ2413" s="1" t="s">
        <v>1538</v>
      </c>
      <c r="FK2413" s="1" t="s">
        <v>229</v>
      </c>
      <c r="FL2413" s="1" t="s">
        <v>1358</v>
      </c>
      <c r="FM2413" s="1">
        <v>23591.0</v>
      </c>
      <c r="FN2413" s="1" t="s">
        <v>2134</v>
      </c>
      <c r="FO2413" s="1" t="s">
        <v>2843</v>
      </c>
      <c r="FP2413" s="1">
        <v>230482.0</v>
      </c>
      <c r="FQ2413" s="1" t="s">
        <v>2844</v>
      </c>
      <c r="FU2413" s="1" t="s">
        <v>13193</v>
      </c>
      <c r="FV2413" s="1" t="s">
        <v>200</v>
      </c>
      <c r="FW2413" s="1" t="s">
        <v>290</v>
      </c>
      <c r="FZ2413" s="1" t="s">
        <v>229</v>
      </c>
      <c r="GA2413" s="1" t="s">
        <v>291</v>
      </c>
      <c r="GB2413" s="2">
        <v>42079.0</v>
      </c>
    </row>
    <row r="2414">
      <c r="A2414" s="1">
        <v>150000.0</v>
      </c>
      <c r="B2414" s="1" t="s">
        <v>185</v>
      </c>
      <c r="C2414" s="1" t="str">
        <f>"08809627"</f>
        <v>08809627</v>
      </c>
      <c r="D2414" s="1" t="s">
        <v>186</v>
      </c>
      <c r="F2414" s="1" t="str">
        <f>"107"</f>
        <v>107</v>
      </c>
      <c r="G2414" s="2">
        <v>42009.0</v>
      </c>
      <c r="H2414" s="1">
        <v>155000.0</v>
      </c>
      <c r="I2414" s="1">
        <v>147.0</v>
      </c>
      <c r="J2414" s="1">
        <v>155000.0</v>
      </c>
      <c r="K2414" s="2">
        <v>42049.0</v>
      </c>
      <c r="L2414" s="1">
        <v>41.0</v>
      </c>
      <c r="M2414" s="2">
        <v>42049.0</v>
      </c>
      <c r="N2414" s="1" t="s">
        <v>356</v>
      </c>
      <c r="O2414" s="2">
        <v>42104.0</v>
      </c>
      <c r="P2414" s="1">
        <v>83905.0</v>
      </c>
      <c r="Q2414" s="1">
        <v>8965.0</v>
      </c>
      <c r="R2414" s="1">
        <v>4500.0</v>
      </c>
      <c r="S2414" s="1">
        <v>107.0</v>
      </c>
      <c r="T2414" s="1" t="s">
        <v>10789</v>
      </c>
      <c r="U2414" s="1" t="s">
        <v>569</v>
      </c>
      <c r="V2414" s="1" t="s">
        <v>294</v>
      </c>
      <c r="W2414" s="1">
        <v>60107.0</v>
      </c>
      <c r="Y2414" s="1" t="s">
        <v>22051</v>
      </c>
      <c r="Z2414" s="1">
        <v>1959.0</v>
      </c>
      <c r="AA2414" s="1" t="s">
        <v>192</v>
      </c>
      <c r="AB2414" s="1" t="s">
        <v>193</v>
      </c>
      <c r="AC2414" s="1" t="s">
        <v>4037</v>
      </c>
      <c r="AD2414" s="1" t="s">
        <v>297</v>
      </c>
      <c r="AE2414" s="1" t="s">
        <v>195</v>
      </c>
      <c r="AF2414" s="1" t="s">
        <v>298</v>
      </c>
      <c r="AG2414" s="1" t="s">
        <v>874</v>
      </c>
      <c r="AH2414" s="1">
        <v>9389.0</v>
      </c>
      <c r="AI2414" s="1">
        <v>0.2155</v>
      </c>
      <c r="AK2414" s="1">
        <v>7.0</v>
      </c>
      <c r="AL2414" s="1">
        <v>4.0</v>
      </c>
      <c r="AM2414" s="1">
        <v>1.0</v>
      </c>
      <c r="AN2414" s="1">
        <v>0.0</v>
      </c>
      <c r="AO2414" s="1" t="s">
        <v>1261</v>
      </c>
      <c r="AP2414" s="1">
        <v>0.0</v>
      </c>
      <c r="AQ2414" s="1" t="s">
        <v>229</v>
      </c>
      <c r="AR2414" s="1" t="s">
        <v>200</v>
      </c>
      <c r="AS2414" s="1" t="s">
        <v>828</v>
      </c>
      <c r="AU2414" s="1">
        <v>4.0</v>
      </c>
      <c r="AV2414" s="1" t="s">
        <v>200</v>
      </c>
      <c r="AW2414" s="1">
        <v>3467.27</v>
      </c>
      <c r="AX2414" s="1">
        <v>2013.0</v>
      </c>
      <c r="AY2414" s="1" t="s">
        <v>387</v>
      </c>
      <c r="AZ2414" s="1" t="s">
        <v>200</v>
      </c>
      <c r="BA2414" s="1" t="str">
        <f>"06261020290000"</f>
        <v>06261020290000</v>
      </c>
      <c r="BB2414" s="1" t="s">
        <v>200</v>
      </c>
      <c r="BC2414" s="1">
        <v>1060.0</v>
      </c>
      <c r="BD2414" s="1">
        <v>150000.0</v>
      </c>
      <c r="BE2414" s="2">
        <v>42009.0</v>
      </c>
      <c r="BF2414" s="2" t="s">
        <v>22052</v>
      </c>
      <c r="BG2414" s="1" t="s">
        <v>22053</v>
      </c>
      <c r="BH2414" s="1">
        <v>0.0</v>
      </c>
      <c r="BI2414" s="1" t="s">
        <v>513</v>
      </c>
      <c r="BJ2414" s="1" t="s">
        <v>757</v>
      </c>
      <c r="BK2414" s="1" t="s">
        <v>204</v>
      </c>
      <c r="BL2414" s="1" t="str">
        <f t="shared" ref="BL2414:BM2414" si="1574">""</f>
        <v/>
      </c>
      <c r="BM2414" s="1" t="str">
        <f t="shared" si="1574"/>
        <v/>
      </c>
      <c r="BQ2414" s="1">
        <v>46.0</v>
      </c>
      <c r="BR2414" s="1">
        <v>46.0</v>
      </c>
      <c r="BS2414" s="1">
        <v>46.0</v>
      </c>
      <c r="BU2414" s="1" t="s">
        <v>205</v>
      </c>
      <c r="BV2414" s="1" t="s">
        <v>206</v>
      </c>
      <c r="BW2414" s="1" t="s">
        <v>301</v>
      </c>
      <c r="BX2414" s="1" t="s">
        <v>1549</v>
      </c>
      <c r="BY2414" s="1" t="s">
        <v>2713</v>
      </c>
      <c r="BZ2414" s="1" t="s">
        <v>206</v>
      </c>
      <c r="CA2414" s="1" t="s">
        <v>210</v>
      </c>
      <c r="CB2414" s="1" t="s">
        <v>431</v>
      </c>
      <c r="CC2414" s="1" t="s">
        <v>264</v>
      </c>
      <c r="CD2414" s="1" t="s">
        <v>206</v>
      </c>
      <c r="CE2414" s="1" t="s">
        <v>301</v>
      </c>
      <c r="CF2414" s="1" t="s">
        <v>1549</v>
      </c>
      <c r="CG2414" s="1" t="s">
        <v>331</v>
      </c>
      <c r="CH2414" s="1" t="s">
        <v>206</v>
      </c>
      <c r="CI2414" s="1" t="s">
        <v>617</v>
      </c>
      <c r="CJ2414" s="1" t="s">
        <v>431</v>
      </c>
      <c r="CK2414" s="1" t="s">
        <v>303</v>
      </c>
      <c r="CL2414" s="1" t="s">
        <v>206</v>
      </c>
      <c r="CM2414" s="1" t="s">
        <v>617</v>
      </c>
      <c r="CN2414" s="1" t="s">
        <v>431</v>
      </c>
      <c r="CO2414" s="1" t="s">
        <v>269</v>
      </c>
      <c r="CP2414" s="1" t="s">
        <v>206</v>
      </c>
      <c r="CQ2414" s="1" t="s">
        <v>617</v>
      </c>
      <c r="CR2414" s="1" t="s">
        <v>431</v>
      </c>
      <c r="CS2414" s="1" t="s">
        <v>392</v>
      </c>
      <c r="CT2414" s="1" t="s">
        <v>206</v>
      </c>
      <c r="CU2414" s="1" t="s">
        <v>301</v>
      </c>
      <c r="CV2414" s="1" t="s">
        <v>431</v>
      </c>
      <c r="CX2414" s="1" t="s">
        <v>204</v>
      </c>
      <c r="DA2414" s="1" t="s">
        <v>200</v>
      </c>
      <c r="DC2414" s="1" t="s">
        <v>271</v>
      </c>
      <c r="DE2414" s="1" t="s">
        <v>273</v>
      </c>
      <c r="DF2414" s="1" t="s">
        <v>219</v>
      </c>
      <c r="DG2414" s="1" t="s">
        <v>337</v>
      </c>
      <c r="DH2414" s="1" t="s">
        <v>365</v>
      </c>
      <c r="DI2414" s="1" t="s">
        <v>703</v>
      </c>
      <c r="DJ2414" s="1" t="s">
        <v>222</v>
      </c>
      <c r="DK2414" s="1" t="s">
        <v>3740</v>
      </c>
      <c r="DL2414" s="1" t="s">
        <v>520</v>
      </c>
      <c r="DM2414" s="1" t="s">
        <v>229</v>
      </c>
      <c r="DQ2414" s="1" t="s">
        <v>228</v>
      </c>
      <c r="DR2414" s="1" t="s">
        <v>229</v>
      </c>
      <c r="DU2414" s="1" t="s">
        <v>2070</v>
      </c>
      <c r="DV2414" s="1" t="s">
        <v>232</v>
      </c>
      <c r="DW2414" s="1" t="s">
        <v>3142</v>
      </c>
      <c r="DX2414" s="1" t="s">
        <v>234</v>
      </c>
      <c r="DY2414" s="1" t="s">
        <v>12578</v>
      </c>
      <c r="DZ2414" s="1" t="s">
        <v>6413</v>
      </c>
      <c r="EA2414" s="1" t="s">
        <v>683</v>
      </c>
      <c r="EC2414" s="1" t="s">
        <v>685</v>
      </c>
      <c r="EE2414" s="1" t="s">
        <v>493</v>
      </c>
      <c r="EF2414" s="1" t="s">
        <v>523</v>
      </c>
      <c r="EM2414" s="1" t="s">
        <v>238</v>
      </c>
      <c r="EQ2414" s="1" t="s">
        <v>238</v>
      </c>
      <c r="EU2414" s="1" t="s">
        <v>238</v>
      </c>
      <c r="EY2414" s="1" t="s">
        <v>238</v>
      </c>
      <c r="FC2414" s="1" t="s">
        <v>238</v>
      </c>
      <c r="FF2414" s="1" t="s">
        <v>239</v>
      </c>
      <c r="FG2414" s="1" t="s">
        <v>192</v>
      </c>
      <c r="FH2414" s="1" t="s">
        <v>192</v>
      </c>
      <c r="FJ2414" s="1" t="s">
        <v>412</v>
      </c>
      <c r="FK2414" s="1" t="s">
        <v>229</v>
      </c>
      <c r="FL2414" s="1" t="s">
        <v>22054</v>
      </c>
      <c r="FM2414" s="1">
        <v>25211.0</v>
      </c>
      <c r="FN2414" s="1" t="s">
        <v>22055</v>
      </c>
      <c r="FO2414" s="1" t="s">
        <v>22056</v>
      </c>
      <c r="FP2414" s="1">
        <v>26732.0</v>
      </c>
      <c r="FQ2414" s="1" t="s">
        <v>22057</v>
      </c>
      <c r="FR2414" s="1">
        <v>21207.0</v>
      </c>
      <c r="FS2414" s="1" t="s">
        <v>22058</v>
      </c>
      <c r="FU2414" s="1" t="s">
        <v>22059</v>
      </c>
      <c r="FV2414" s="1" t="s">
        <v>200</v>
      </c>
      <c r="FW2414" s="1" t="s">
        <v>631</v>
      </c>
      <c r="FZ2414" s="1" t="s">
        <v>229</v>
      </c>
      <c r="GA2414" s="1" t="s">
        <v>291</v>
      </c>
      <c r="GB2414" s="2">
        <v>42110.0</v>
      </c>
    </row>
    <row r="2415">
      <c r="A2415" s="1">
        <v>316455.0</v>
      </c>
      <c r="B2415" s="1" t="s">
        <v>185</v>
      </c>
      <c r="C2415" s="1" t="str">
        <f>"08811719"</f>
        <v>08811719</v>
      </c>
      <c r="D2415" s="1" t="s">
        <v>186</v>
      </c>
      <c r="F2415" s="1" t="str">
        <f>"136"</f>
        <v>136</v>
      </c>
      <c r="G2415" s="2">
        <v>42011.0</v>
      </c>
      <c r="H2415" s="1">
        <v>314850.0</v>
      </c>
      <c r="I2415" s="1">
        <v>1.0</v>
      </c>
      <c r="J2415" s="1">
        <v>314850.0</v>
      </c>
      <c r="K2415" s="2">
        <v>42009.0</v>
      </c>
      <c r="L2415" s="1">
        <v>1.0</v>
      </c>
      <c r="M2415" s="2">
        <v>42009.0</v>
      </c>
      <c r="N2415" s="1" t="s">
        <v>356</v>
      </c>
      <c r="O2415" s="2">
        <v>42088.0</v>
      </c>
      <c r="P2415" s="1">
        <v>56013.0</v>
      </c>
      <c r="Q2415" s="1">
        <v>5123.0</v>
      </c>
      <c r="R2415" s="1">
        <v>4000.0</v>
      </c>
      <c r="S2415" s="1">
        <v>284.0</v>
      </c>
      <c r="T2415" s="1" t="s">
        <v>22060</v>
      </c>
      <c r="U2415" s="1" t="s">
        <v>1442</v>
      </c>
      <c r="V2415" s="1" t="s">
        <v>5032</v>
      </c>
      <c r="W2415" s="1">
        <v>60136.0</v>
      </c>
      <c r="Y2415" s="1" t="s">
        <v>22061</v>
      </c>
      <c r="Z2415" s="1">
        <v>2015.0</v>
      </c>
      <c r="AA2415" s="1" t="s">
        <v>200</v>
      </c>
      <c r="AB2415" s="1" t="s">
        <v>193</v>
      </c>
      <c r="AC2415" s="1" t="s">
        <v>5034</v>
      </c>
      <c r="AD2415" s="1" t="s">
        <v>5035</v>
      </c>
      <c r="AE2415" s="1" t="s">
        <v>325</v>
      </c>
      <c r="AF2415" s="1" t="s">
        <v>3429</v>
      </c>
      <c r="AG2415" s="1" t="s">
        <v>8131</v>
      </c>
      <c r="AH2415" s="1" t="s">
        <v>5037</v>
      </c>
      <c r="AI2415" s="1">
        <v>0.19</v>
      </c>
      <c r="AK2415" s="1">
        <v>8.0</v>
      </c>
      <c r="AL2415" s="1">
        <v>4.0</v>
      </c>
      <c r="AM2415" s="1">
        <v>2.0</v>
      </c>
      <c r="AN2415" s="1">
        <v>1.0</v>
      </c>
      <c r="AO2415" s="1" t="s">
        <v>198</v>
      </c>
      <c r="AP2415" s="1">
        <v>1.0</v>
      </c>
      <c r="AQ2415" s="1" t="s">
        <v>1314</v>
      </c>
      <c r="AR2415" s="1" t="s">
        <v>200</v>
      </c>
      <c r="AS2415" s="1" t="s">
        <v>199</v>
      </c>
      <c r="AT2415" s="1">
        <v>3.0</v>
      </c>
      <c r="AV2415" s="1" t="s">
        <v>200</v>
      </c>
      <c r="AW2415" s="1">
        <v>0.0</v>
      </c>
      <c r="AX2415" s="1">
        <v>2013.0</v>
      </c>
      <c r="AZ2415" s="1" t="s">
        <v>200</v>
      </c>
      <c r="BA2415" s="1" t="str">
        <f>"0387401000"</f>
        <v>0387401000</v>
      </c>
      <c r="BC2415" s="1">
        <v>2240.0</v>
      </c>
      <c r="BD2415" s="1">
        <v>316455.0</v>
      </c>
      <c r="BE2415" s="2">
        <v>42009.0</v>
      </c>
      <c r="BF2415" s="1" t="s">
        <v>1019</v>
      </c>
      <c r="BG2415" s="1" t="s">
        <v>5039</v>
      </c>
      <c r="BH2415" s="1">
        <v>29.0</v>
      </c>
      <c r="BI2415" s="1" t="s">
        <v>5040</v>
      </c>
      <c r="BJ2415" s="1" t="s">
        <v>1182</v>
      </c>
      <c r="BK2415" s="1" t="s">
        <v>474</v>
      </c>
      <c r="BL2415" s="1" t="str">
        <f t="shared" ref="BL2415:BM2415" si="1575">""</f>
        <v/>
      </c>
      <c r="BM2415" s="1" t="str">
        <f t="shared" si="1575"/>
        <v/>
      </c>
      <c r="BQ2415" s="1">
        <v>300.0</v>
      </c>
      <c r="BR2415" s="1">
        <v>300.0</v>
      </c>
      <c r="BS2415" s="1">
        <v>300.0</v>
      </c>
      <c r="BV2415" s="1" t="s">
        <v>204</v>
      </c>
      <c r="BY2415" s="1" t="s">
        <v>2120</v>
      </c>
      <c r="BZ2415" s="1" t="s">
        <v>209</v>
      </c>
      <c r="CA2415" s="1" t="s">
        <v>210</v>
      </c>
      <c r="CD2415" s="1" t="s">
        <v>204</v>
      </c>
      <c r="CG2415" s="1" t="s">
        <v>1417</v>
      </c>
      <c r="CH2415" s="1" t="s">
        <v>209</v>
      </c>
      <c r="CI2415" s="1" t="s">
        <v>210</v>
      </c>
      <c r="CK2415" s="1" t="s">
        <v>699</v>
      </c>
      <c r="CL2415" s="1" t="s">
        <v>209</v>
      </c>
      <c r="CM2415" s="1" t="s">
        <v>210</v>
      </c>
      <c r="CO2415" s="1" t="s">
        <v>699</v>
      </c>
      <c r="CP2415" s="1" t="s">
        <v>209</v>
      </c>
      <c r="CQ2415" s="1" t="s">
        <v>210</v>
      </c>
      <c r="CS2415" s="1" t="s">
        <v>1190</v>
      </c>
      <c r="CT2415" s="1" t="s">
        <v>206</v>
      </c>
      <c r="CU2415" s="1" t="s">
        <v>207</v>
      </c>
      <c r="CW2415" s="1" t="s">
        <v>677</v>
      </c>
      <c r="CX2415" s="1" t="s">
        <v>206</v>
      </c>
      <c r="CY2415" s="1" t="s">
        <v>210</v>
      </c>
      <c r="DA2415" s="1" t="s">
        <v>192</v>
      </c>
      <c r="DB2415" s="2">
        <v>42124.0</v>
      </c>
      <c r="DC2415" s="1" t="s">
        <v>744</v>
      </c>
      <c r="DD2415" s="1" t="s">
        <v>396</v>
      </c>
      <c r="DE2415" s="1" t="s">
        <v>229</v>
      </c>
      <c r="DF2415" s="1" t="s">
        <v>219</v>
      </c>
      <c r="DG2415" s="1" t="s">
        <v>1020</v>
      </c>
      <c r="DH2415" s="1" t="s">
        <v>220</v>
      </c>
      <c r="DI2415" s="1" t="s">
        <v>1318</v>
      </c>
      <c r="DJ2415" s="1" t="s">
        <v>222</v>
      </c>
      <c r="DL2415" s="1" t="s">
        <v>223</v>
      </c>
      <c r="DM2415" s="1" t="s">
        <v>1022</v>
      </c>
      <c r="DO2415" s="1" t="s">
        <v>486</v>
      </c>
      <c r="DQ2415" s="1" t="s">
        <v>228</v>
      </c>
      <c r="DR2415" s="1" t="s">
        <v>588</v>
      </c>
      <c r="DS2415" s="1" t="s">
        <v>230</v>
      </c>
      <c r="DU2415" s="1" t="s">
        <v>550</v>
      </c>
      <c r="DV2415" s="1" t="s">
        <v>2445</v>
      </c>
      <c r="DW2415" s="1" t="s">
        <v>444</v>
      </c>
      <c r="DX2415" s="1" t="s">
        <v>234</v>
      </c>
      <c r="DY2415" s="1" t="s">
        <v>704</v>
      </c>
      <c r="EA2415" s="1" t="s">
        <v>1027</v>
      </c>
      <c r="EB2415" s="1" t="s">
        <v>937</v>
      </c>
      <c r="EC2415" s="1" t="s">
        <v>237</v>
      </c>
      <c r="EG2415" s="1" t="s">
        <v>556</v>
      </c>
      <c r="EH2415" s="1" t="s">
        <v>557</v>
      </c>
      <c r="EL2415" s="1" t="s">
        <v>2460</v>
      </c>
      <c r="EM2415" s="1" t="s">
        <v>206</v>
      </c>
      <c r="EN2415" s="1" t="s">
        <v>207</v>
      </c>
      <c r="EP2415" s="1" t="s">
        <v>362</v>
      </c>
      <c r="EQ2415" s="1" t="s">
        <v>206</v>
      </c>
      <c r="ER2415" s="1" t="s">
        <v>210</v>
      </c>
      <c r="EU2415" s="1" t="s">
        <v>238</v>
      </c>
      <c r="EY2415" s="1" t="s">
        <v>238</v>
      </c>
      <c r="FC2415" s="1" t="s">
        <v>238</v>
      </c>
      <c r="FF2415" s="1" t="s">
        <v>239</v>
      </c>
      <c r="FG2415" s="1" t="s">
        <v>192</v>
      </c>
      <c r="FH2415" s="1" t="s">
        <v>192</v>
      </c>
      <c r="FJ2415" s="1" t="s">
        <v>22062</v>
      </c>
      <c r="FK2415" s="1" t="s">
        <v>229</v>
      </c>
      <c r="FL2415" s="1" t="s">
        <v>1031</v>
      </c>
      <c r="FM2415" s="1">
        <v>222.0</v>
      </c>
      <c r="FN2415" s="1" t="s">
        <v>1032</v>
      </c>
      <c r="FO2415" s="1" t="s">
        <v>1033</v>
      </c>
      <c r="FP2415" s="1">
        <v>1305.0</v>
      </c>
      <c r="FQ2415" s="1" t="s">
        <v>1034</v>
      </c>
      <c r="FT2415" s="1" t="s">
        <v>1035</v>
      </c>
      <c r="FU2415" s="1" t="s">
        <v>1036</v>
      </c>
      <c r="FV2415" s="1" t="s">
        <v>200</v>
      </c>
      <c r="FW2415" s="1" t="s">
        <v>1037</v>
      </c>
      <c r="FZ2415" s="1" t="s">
        <v>229</v>
      </c>
      <c r="GA2415" s="1" t="s">
        <v>291</v>
      </c>
      <c r="GB2415" s="2">
        <v>42089.0</v>
      </c>
      <c r="GC2415" s="1" t="s">
        <v>1038</v>
      </c>
    </row>
    <row r="2416">
      <c r="A2416" s="1">
        <v>310500.0</v>
      </c>
      <c r="B2416" s="1" t="s">
        <v>185</v>
      </c>
      <c r="C2416" s="1" t="str">
        <f>"08813338"</f>
        <v>08813338</v>
      </c>
      <c r="D2416" s="1" t="s">
        <v>186</v>
      </c>
      <c r="F2416" s="1" t="str">
        <f>"118"</f>
        <v>118</v>
      </c>
      <c r="G2416" s="2">
        <v>42013.0</v>
      </c>
      <c r="H2416" s="1">
        <v>319900.0</v>
      </c>
      <c r="I2416" s="1">
        <v>37.0</v>
      </c>
      <c r="J2416" s="1">
        <v>299900.0</v>
      </c>
      <c r="K2416" s="2">
        <v>42049.0</v>
      </c>
      <c r="L2416" s="1">
        <v>37.0</v>
      </c>
      <c r="M2416" s="2">
        <v>42049.0</v>
      </c>
      <c r="N2416" s="1" t="s">
        <v>356</v>
      </c>
      <c r="O2416" s="2">
        <v>42100.0</v>
      </c>
      <c r="P2416" s="1">
        <v>103409.0</v>
      </c>
      <c r="Q2416" s="1">
        <v>10267.0</v>
      </c>
      <c r="S2416" s="1">
        <v>641.0</v>
      </c>
      <c r="T2416" s="1" t="s">
        <v>18360</v>
      </c>
      <c r="U2416" s="1" t="s">
        <v>1442</v>
      </c>
      <c r="V2416" s="1" t="s">
        <v>1086</v>
      </c>
      <c r="W2416" s="1">
        <v>60118.0</v>
      </c>
      <c r="Y2416" s="1" t="s">
        <v>22063</v>
      </c>
      <c r="Z2416" s="1">
        <v>2004.0</v>
      </c>
      <c r="AA2416" s="1" t="s">
        <v>200</v>
      </c>
      <c r="AB2416" s="1" t="s">
        <v>467</v>
      </c>
      <c r="AC2416" s="1" t="s">
        <v>22064</v>
      </c>
      <c r="AD2416" s="1" t="s">
        <v>810</v>
      </c>
      <c r="AE2416" s="1" t="s">
        <v>325</v>
      </c>
      <c r="AF2416" s="1" t="s">
        <v>810</v>
      </c>
      <c r="AG2416" s="1" t="s">
        <v>8072</v>
      </c>
      <c r="AH2416" s="1">
        <v>10890.0</v>
      </c>
      <c r="AI2416" s="1">
        <v>0.25</v>
      </c>
      <c r="AK2416" s="1">
        <v>9.0</v>
      </c>
      <c r="AL2416" s="1">
        <v>4.0</v>
      </c>
      <c r="AM2416" s="1">
        <v>2.0</v>
      </c>
      <c r="AN2416" s="1">
        <v>1.0</v>
      </c>
      <c r="AO2416" s="1" t="s">
        <v>198</v>
      </c>
      <c r="AP2416" s="1">
        <v>1.0</v>
      </c>
      <c r="AQ2416" s="1" t="s">
        <v>327</v>
      </c>
      <c r="AR2416" s="1" t="s">
        <v>200</v>
      </c>
      <c r="AS2416" s="1" t="s">
        <v>199</v>
      </c>
      <c r="AT2416" s="1">
        <v>3.0</v>
      </c>
      <c r="AV2416" s="1" t="s">
        <v>200</v>
      </c>
      <c r="AW2416" s="1">
        <v>10063.0</v>
      </c>
      <c r="AX2416" s="1">
        <v>2013.0</v>
      </c>
      <c r="AY2416" s="1" t="s">
        <v>387</v>
      </c>
      <c r="AZ2416" s="1" t="s">
        <v>200</v>
      </c>
      <c r="BA2416" s="1" t="str">
        <f>"0320378005"</f>
        <v>0320378005</v>
      </c>
      <c r="BB2416" s="1" t="s">
        <v>200</v>
      </c>
      <c r="BC2416" s="1">
        <v>0.0</v>
      </c>
      <c r="BD2416" s="1">
        <v>310500.0</v>
      </c>
      <c r="BE2416" s="2">
        <v>42013.0</v>
      </c>
      <c r="BF2416" s="2" t="s">
        <v>22065</v>
      </c>
      <c r="BG2416" s="1" t="s">
        <v>1092</v>
      </c>
      <c r="BH2416" s="1">
        <v>48.0</v>
      </c>
      <c r="BI2416" s="1" t="s">
        <v>1093</v>
      </c>
      <c r="BJ2416" s="1" t="s">
        <v>1094</v>
      </c>
      <c r="BK2416" s="1" t="s">
        <v>474</v>
      </c>
      <c r="BL2416" s="1" t="str">
        <f t="shared" ref="BL2416:BM2416" si="1576">""</f>
        <v/>
      </c>
      <c r="BM2416" s="1" t="str">
        <f t="shared" si="1576"/>
        <v/>
      </c>
      <c r="BQ2416" s="1">
        <v>300.0</v>
      </c>
      <c r="BR2416" s="1">
        <v>300.0</v>
      </c>
      <c r="BS2416" s="1">
        <v>300.0</v>
      </c>
      <c r="BU2416" s="1" t="s">
        <v>332</v>
      </c>
      <c r="BV2416" s="1" t="s">
        <v>206</v>
      </c>
      <c r="BW2416" s="1" t="s">
        <v>210</v>
      </c>
      <c r="BX2416" s="1" t="s">
        <v>229</v>
      </c>
      <c r="BY2416" s="1" t="s">
        <v>213</v>
      </c>
      <c r="BZ2416" s="1" t="s">
        <v>209</v>
      </c>
      <c r="CA2416" s="1" t="s">
        <v>210</v>
      </c>
      <c r="CB2416" s="1" t="s">
        <v>229</v>
      </c>
      <c r="CC2416" s="1" t="s">
        <v>212</v>
      </c>
      <c r="CD2416" s="1" t="s">
        <v>206</v>
      </c>
      <c r="CE2416" s="1" t="s">
        <v>210</v>
      </c>
      <c r="CF2416" s="1" t="s">
        <v>229</v>
      </c>
      <c r="CG2416" s="1" t="s">
        <v>264</v>
      </c>
      <c r="CH2416" s="1" t="s">
        <v>209</v>
      </c>
      <c r="CI2416" s="1" t="s">
        <v>210</v>
      </c>
      <c r="CJ2416" s="1" t="s">
        <v>229</v>
      </c>
      <c r="CK2416" s="1" t="s">
        <v>495</v>
      </c>
      <c r="CL2416" s="1" t="s">
        <v>209</v>
      </c>
      <c r="CM2416" s="1" t="s">
        <v>210</v>
      </c>
      <c r="CN2416" s="1" t="s">
        <v>229</v>
      </c>
      <c r="CO2416" s="1" t="s">
        <v>495</v>
      </c>
      <c r="CP2416" s="1" t="s">
        <v>209</v>
      </c>
      <c r="CQ2416" s="1" t="s">
        <v>210</v>
      </c>
      <c r="CR2416" s="1" t="s">
        <v>229</v>
      </c>
      <c r="CS2416" s="1" t="s">
        <v>264</v>
      </c>
      <c r="CT2416" s="1" t="s">
        <v>206</v>
      </c>
      <c r="CU2416" s="1" t="s">
        <v>207</v>
      </c>
      <c r="CV2416" s="1" t="s">
        <v>229</v>
      </c>
      <c r="CW2416" s="1" t="s">
        <v>1534</v>
      </c>
      <c r="CX2416" s="1" t="s">
        <v>206</v>
      </c>
      <c r="CY2416" s="1" t="s">
        <v>207</v>
      </c>
      <c r="CZ2416" s="1" t="s">
        <v>229</v>
      </c>
      <c r="DA2416" s="1" t="s">
        <v>200</v>
      </c>
      <c r="DC2416" s="1" t="s">
        <v>335</v>
      </c>
      <c r="DD2416" s="1" t="s">
        <v>5326</v>
      </c>
      <c r="DE2416" s="1" t="s">
        <v>273</v>
      </c>
      <c r="DF2416" s="1" t="s">
        <v>219</v>
      </c>
      <c r="DG2416" s="1" t="s">
        <v>482</v>
      </c>
      <c r="DH2416" s="1" t="s">
        <v>220</v>
      </c>
      <c r="DJ2416" s="1" t="s">
        <v>222</v>
      </c>
      <c r="DK2416" s="1" t="s">
        <v>1555</v>
      </c>
      <c r="DL2416" s="1" t="s">
        <v>223</v>
      </c>
      <c r="DM2416" s="1" t="s">
        <v>338</v>
      </c>
      <c r="DN2416" s="1" t="s">
        <v>399</v>
      </c>
      <c r="DP2416" s="1" t="s">
        <v>340</v>
      </c>
      <c r="DQ2416" s="1" t="s">
        <v>441</v>
      </c>
      <c r="DR2416" s="1" t="s">
        <v>229</v>
      </c>
      <c r="DS2416" s="1" t="s">
        <v>591</v>
      </c>
      <c r="DV2416" s="1" t="s">
        <v>494</v>
      </c>
      <c r="DW2416" s="1" t="s">
        <v>279</v>
      </c>
      <c r="DX2416" s="1" t="s">
        <v>234</v>
      </c>
      <c r="DY2416" s="1" t="s">
        <v>1006</v>
      </c>
      <c r="DZ2416" s="1" t="s">
        <v>310</v>
      </c>
      <c r="EA2416" s="1" t="s">
        <v>1027</v>
      </c>
      <c r="EB2416" s="1" t="s">
        <v>937</v>
      </c>
      <c r="EC2416" s="1" t="s">
        <v>237</v>
      </c>
      <c r="EG2416" s="1" t="s">
        <v>494</v>
      </c>
      <c r="EL2416" s="1" t="s">
        <v>331</v>
      </c>
      <c r="EM2416" s="1" t="s">
        <v>206</v>
      </c>
      <c r="EN2416" s="1" t="s">
        <v>210</v>
      </c>
      <c r="EO2416" s="1" t="s">
        <v>229</v>
      </c>
      <c r="EQ2416" s="1" t="s">
        <v>238</v>
      </c>
      <c r="EU2416" s="1" t="s">
        <v>238</v>
      </c>
      <c r="EY2416" s="1" t="s">
        <v>238</v>
      </c>
      <c r="FC2416" s="1" t="s">
        <v>238</v>
      </c>
      <c r="FF2416" s="1" t="s">
        <v>239</v>
      </c>
      <c r="FG2416" s="1" t="s">
        <v>192</v>
      </c>
      <c r="FH2416" s="1" t="s">
        <v>192</v>
      </c>
      <c r="FJ2416" s="1" t="s">
        <v>347</v>
      </c>
      <c r="FK2416" s="1" t="s">
        <v>229</v>
      </c>
      <c r="FL2416" s="1" t="s">
        <v>4635</v>
      </c>
      <c r="FM2416" s="1">
        <v>1666.0</v>
      </c>
      <c r="FN2416" s="1" t="s">
        <v>4636</v>
      </c>
      <c r="FO2416" s="1" t="s">
        <v>4637</v>
      </c>
      <c r="FP2416" s="1">
        <v>26352.0</v>
      </c>
      <c r="FQ2416" s="1" t="s">
        <v>4638</v>
      </c>
      <c r="FU2416" s="1" t="s">
        <v>4639</v>
      </c>
      <c r="FV2416" s="1" t="s">
        <v>200</v>
      </c>
      <c r="FW2416" s="1" t="s">
        <v>354</v>
      </c>
      <c r="FZ2416" s="1" t="s">
        <v>229</v>
      </c>
      <c r="GA2416" s="1" t="s">
        <v>291</v>
      </c>
      <c r="GB2416" s="2">
        <v>42100.0</v>
      </c>
      <c r="GC2416" s="1" t="s">
        <v>4640</v>
      </c>
    </row>
    <row r="2417">
      <c r="A2417" s="1">
        <v>269000.0</v>
      </c>
      <c r="B2417" s="1" t="s">
        <v>185</v>
      </c>
      <c r="C2417" s="1" t="str">
        <f>"08812698"</f>
        <v>08812698</v>
      </c>
      <c r="D2417" s="1" t="s">
        <v>186</v>
      </c>
      <c r="F2417" s="1" t="str">
        <f>"115"</f>
        <v>115</v>
      </c>
      <c r="G2417" s="2">
        <v>42012.0</v>
      </c>
      <c r="H2417" s="1">
        <v>274900.0</v>
      </c>
      <c r="I2417" s="1">
        <v>16.0</v>
      </c>
      <c r="J2417" s="1">
        <v>274900.0</v>
      </c>
      <c r="K2417" s="2">
        <v>42027.0</v>
      </c>
      <c r="L2417" s="1">
        <v>16.0</v>
      </c>
      <c r="M2417" s="2">
        <v>42027.0</v>
      </c>
      <c r="N2417" s="1" t="s">
        <v>187</v>
      </c>
      <c r="O2417" s="2">
        <v>42068.0</v>
      </c>
      <c r="P2417" s="1">
        <v>99999.0</v>
      </c>
      <c r="Q2417" s="1" t="s">
        <v>947</v>
      </c>
      <c r="S2417" s="1">
        <v>447.0</v>
      </c>
      <c r="T2417" s="1" t="s">
        <v>22066</v>
      </c>
      <c r="U2417" s="1" t="s">
        <v>464</v>
      </c>
      <c r="V2417" s="1" t="s">
        <v>610</v>
      </c>
      <c r="W2417" s="1">
        <v>60115.0</v>
      </c>
      <c r="Y2417" s="1" t="s">
        <v>22067</v>
      </c>
      <c r="Z2417" s="1">
        <v>2010.0</v>
      </c>
      <c r="AA2417" s="1" t="s">
        <v>200</v>
      </c>
      <c r="AB2417" s="1" t="s">
        <v>193</v>
      </c>
      <c r="AC2417" s="1" t="s">
        <v>14480</v>
      </c>
      <c r="AD2417" s="1" t="s">
        <v>612</v>
      </c>
      <c r="AE2417" s="1" t="s">
        <v>613</v>
      </c>
      <c r="AF2417" s="1" t="s">
        <v>612</v>
      </c>
      <c r="AG2417" s="1" t="s">
        <v>874</v>
      </c>
      <c r="AH2417" s="1" t="s">
        <v>22068</v>
      </c>
      <c r="AI2417" s="1">
        <v>0.25</v>
      </c>
      <c r="AK2417" s="1">
        <v>11.0</v>
      </c>
      <c r="AL2417" s="1">
        <v>4.0</v>
      </c>
      <c r="AM2417" s="1">
        <v>3.0</v>
      </c>
      <c r="AN2417" s="1">
        <v>1.0</v>
      </c>
      <c r="AO2417" s="1" t="s">
        <v>198</v>
      </c>
      <c r="AP2417" s="1">
        <v>2.0</v>
      </c>
      <c r="AQ2417" s="1" t="s">
        <v>198</v>
      </c>
      <c r="AR2417" s="1" t="s">
        <v>192</v>
      </c>
      <c r="AS2417" s="1" t="s">
        <v>199</v>
      </c>
      <c r="AT2417" s="1">
        <v>3.0</v>
      </c>
      <c r="AV2417" s="1" t="s">
        <v>200</v>
      </c>
      <c r="AW2417" s="4">
        <v>9457.04</v>
      </c>
      <c r="AX2417" s="1">
        <v>2013.0</v>
      </c>
      <c r="AY2417" s="1" t="s">
        <v>229</v>
      </c>
      <c r="AZ2417" s="1" t="s">
        <v>200</v>
      </c>
      <c r="BA2417" s="1" t="str">
        <f>"0802324008"</f>
        <v>0802324008</v>
      </c>
      <c r="BB2417" s="1" t="s">
        <v>200</v>
      </c>
      <c r="BC2417" s="1">
        <v>2375.0</v>
      </c>
      <c r="BD2417" s="1">
        <v>269000.0</v>
      </c>
      <c r="BE2417" s="2">
        <v>42012.0</v>
      </c>
      <c r="BF2417" s="2" t="s">
        <v>22069</v>
      </c>
      <c r="BH2417" s="1">
        <v>207.0</v>
      </c>
      <c r="BK2417" s="1" t="s">
        <v>1952</v>
      </c>
      <c r="BL2417" s="1" t="str">
        <f t="shared" ref="BL2417:BM2417" si="1577">""</f>
        <v/>
      </c>
      <c r="BM2417" s="1" t="str">
        <f t="shared" si="1577"/>
        <v/>
      </c>
      <c r="BQ2417" s="1">
        <v>428.0</v>
      </c>
      <c r="BR2417" s="1">
        <v>428.0</v>
      </c>
      <c r="BS2417" s="1">
        <v>428.0</v>
      </c>
      <c r="BV2417" s="1" t="s">
        <v>204</v>
      </c>
      <c r="BY2417" s="1" t="s">
        <v>22070</v>
      </c>
      <c r="BZ2417" s="1" t="s">
        <v>206</v>
      </c>
      <c r="CA2417" s="1" t="s">
        <v>210</v>
      </c>
      <c r="CB2417" s="1" t="s">
        <v>431</v>
      </c>
      <c r="CC2417" s="1" t="s">
        <v>363</v>
      </c>
      <c r="CD2417" s="1" t="s">
        <v>206</v>
      </c>
      <c r="CE2417" s="1" t="s">
        <v>207</v>
      </c>
      <c r="CF2417" s="1" t="s">
        <v>431</v>
      </c>
      <c r="CG2417" s="1" t="s">
        <v>758</v>
      </c>
      <c r="CH2417" s="1" t="s">
        <v>206</v>
      </c>
      <c r="CI2417" s="1" t="s">
        <v>210</v>
      </c>
      <c r="CJ2417" s="1" t="s">
        <v>431</v>
      </c>
      <c r="CK2417" s="1" t="s">
        <v>584</v>
      </c>
      <c r="CL2417" s="1" t="s">
        <v>206</v>
      </c>
      <c r="CM2417" s="1" t="s">
        <v>210</v>
      </c>
      <c r="CN2417" s="1" t="s">
        <v>431</v>
      </c>
      <c r="CO2417" s="1" t="s">
        <v>211</v>
      </c>
      <c r="CP2417" s="1" t="s">
        <v>206</v>
      </c>
      <c r="CQ2417" s="1" t="s">
        <v>207</v>
      </c>
      <c r="CR2417" s="1" t="s">
        <v>431</v>
      </c>
      <c r="CS2417" s="1" t="s">
        <v>584</v>
      </c>
      <c r="CT2417" s="1" t="s">
        <v>206</v>
      </c>
      <c r="CU2417" s="1" t="s">
        <v>207</v>
      </c>
      <c r="CV2417" s="1" t="s">
        <v>431</v>
      </c>
      <c r="CW2417" s="1" t="s">
        <v>2181</v>
      </c>
      <c r="CX2417" s="1" t="s">
        <v>206</v>
      </c>
      <c r="CY2417" s="1" t="s">
        <v>207</v>
      </c>
      <c r="CZ2417" s="1" t="s">
        <v>431</v>
      </c>
      <c r="DA2417" s="1" t="s">
        <v>200</v>
      </c>
      <c r="DC2417" s="1" t="s">
        <v>1046</v>
      </c>
      <c r="DD2417" s="1" t="s">
        <v>217</v>
      </c>
      <c r="DE2417" s="1" t="s">
        <v>273</v>
      </c>
      <c r="DF2417" s="1" t="s">
        <v>219</v>
      </c>
      <c r="DG2417" s="1" t="s">
        <v>3020</v>
      </c>
      <c r="DH2417" s="1" t="s">
        <v>220</v>
      </c>
      <c r="DI2417" s="1" t="s">
        <v>437</v>
      </c>
      <c r="DJ2417" s="1" t="s">
        <v>222</v>
      </c>
      <c r="DL2417" s="1" t="s">
        <v>224</v>
      </c>
      <c r="DM2417" s="1" t="s">
        <v>338</v>
      </c>
      <c r="DN2417" s="1" t="s">
        <v>399</v>
      </c>
      <c r="DP2417" s="1" t="s">
        <v>340</v>
      </c>
      <c r="DQ2417" s="1" t="s">
        <v>441</v>
      </c>
      <c r="DR2417" s="1" t="s">
        <v>588</v>
      </c>
      <c r="DS2417" s="1" t="s">
        <v>591</v>
      </c>
      <c r="DU2417" s="1" t="s">
        <v>5750</v>
      </c>
      <c r="DV2417" s="1" t="s">
        <v>22071</v>
      </c>
      <c r="DW2417" s="1" t="s">
        <v>279</v>
      </c>
      <c r="DX2417" s="1" t="s">
        <v>234</v>
      </c>
      <c r="DY2417" s="1" t="s">
        <v>1958</v>
      </c>
      <c r="DZ2417" s="1" t="s">
        <v>282</v>
      </c>
      <c r="EA2417" s="1" t="s">
        <v>1027</v>
      </c>
      <c r="EB2417" s="1" t="s">
        <v>492</v>
      </c>
      <c r="EC2417" s="1" t="s">
        <v>685</v>
      </c>
      <c r="ED2417" s="1" t="s">
        <v>407</v>
      </c>
      <c r="EG2417" s="1" t="s">
        <v>494</v>
      </c>
      <c r="EH2417" s="1" t="s">
        <v>451</v>
      </c>
      <c r="EI2417" s="1" t="s">
        <v>450</v>
      </c>
      <c r="EJ2417" s="1" t="s">
        <v>5798</v>
      </c>
      <c r="EL2417" s="1" t="s">
        <v>363</v>
      </c>
      <c r="EM2417" s="1" t="s">
        <v>42</v>
      </c>
      <c r="EN2417" s="1" t="s">
        <v>210</v>
      </c>
      <c r="EP2417" s="1" t="s">
        <v>584</v>
      </c>
      <c r="EQ2417" s="1" t="s">
        <v>42</v>
      </c>
      <c r="ER2417" s="1" t="s">
        <v>210</v>
      </c>
      <c r="ET2417" s="1" t="s">
        <v>15177</v>
      </c>
      <c r="EU2417" s="1" t="s">
        <v>42</v>
      </c>
      <c r="EV2417" s="1" t="s">
        <v>210</v>
      </c>
      <c r="EX2417" s="1" t="s">
        <v>543</v>
      </c>
      <c r="EY2417" s="1" t="s">
        <v>42</v>
      </c>
      <c r="EZ2417" s="1" t="s">
        <v>210</v>
      </c>
      <c r="FC2417" s="1" t="s">
        <v>238</v>
      </c>
      <c r="FF2417" s="1" t="s">
        <v>239</v>
      </c>
      <c r="FG2417" s="1" t="s">
        <v>192</v>
      </c>
      <c r="FH2417" s="1" t="s">
        <v>192</v>
      </c>
      <c r="FJ2417" s="1" t="s">
        <v>15409</v>
      </c>
      <c r="FK2417" s="1" t="s">
        <v>229</v>
      </c>
      <c r="FL2417" s="1" t="s">
        <v>22072</v>
      </c>
      <c r="FM2417" s="1">
        <v>93175.0</v>
      </c>
      <c r="FN2417" s="1" t="s">
        <v>22073</v>
      </c>
      <c r="FO2417" s="1" t="s">
        <v>22074</v>
      </c>
      <c r="FP2417" s="1">
        <v>931569.0</v>
      </c>
      <c r="FQ2417" s="1" t="s">
        <v>22075</v>
      </c>
      <c r="FU2417" s="1" t="s">
        <v>22076</v>
      </c>
      <c r="FV2417" s="1" t="s">
        <v>192</v>
      </c>
      <c r="FW2417" s="1" t="s">
        <v>290</v>
      </c>
      <c r="FZ2417" s="1" t="s">
        <v>229</v>
      </c>
      <c r="GA2417" s="1" t="s">
        <v>291</v>
      </c>
      <c r="GB2417" s="2">
        <v>42068.0</v>
      </c>
      <c r="GC2417" s="1" t="s">
        <v>22077</v>
      </c>
    </row>
    <row r="2418">
      <c r="A2418" s="1">
        <v>101664.0</v>
      </c>
      <c r="B2418" s="1" t="s">
        <v>185</v>
      </c>
      <c r="C2418" s="1" t="str">
        <f>"08809541"</f>
        <v>08809541</v>
      </c>
      <c r="D2418" s="1" t="s">
        <v>186</v>
      </c>
      <c r="F2418" s="1" t="str">
        <f>"8074"</f>
        <v>8074</v>
      </c>
      <c r="G2418" s="2">
        <v>42009.0</v>
      </c>
      <c r="H2418" s="1">
        <v>121900.0</v>
      </c>
      <c r="I2418" s="1">
        <v>58.0</v>
      </c>
      <c r="J2418" s="1">
        <v>96000.0</v>
      </c>
      <c r="K2418" s="2">
        <v>42066.0</v>
      </c>
      <c r="L2418" s="1">
        <v>58.0</v>
      </c>
      <c r="M2418" s="2">
        <v>42066.0</v>
      </c>
      <c r="N2418" s="1" t="s">
        <v>249</v>
      </c>
      <c r="O2418" s="2">
        <v>42089.0</v>
      </c>
      <c r="P2418" s="1">
        <v>601730.0</v>
      </c>
      <c r="Q2418" s="1">
        <v>60035.0</v>
      </c>
      <c r="S2418" s="1">
        <v>10452.0</v>
      </c>
      <c r="T2418" s="1" t="s">
        <v>2643</v>
      </c>
      <c r="U2418" s="1" t="s">
        <v>189</v>
      </c>
      <c r="V2418" s="1" t="s">
        <v>190</v>
      </c>
      <c r="W2418" s="1">
        <v>60655.0</v>
      </c>
      <c r="Y2418" s="1" t="s">
        <v>22078</v>
      </c>
      <c r="Z2418" s="1">
        <v>1946.0</v>
      </c>
      <c r="AA2418" s="1" t="s">
        <v>192</v>
      </c>
      <c r="AB2418" s="1" t="s">
        <v>193</v>
      </c>
      <c r="AD2418" s="1" t="s">
        <v>194</v>
      </c>
      <c r="AE2418" s="1" t="s">
        <v>195</v>
      </c>
      <c r="AF2418" s="1" t="s">
        <v>659</v>
      </c>
      <c r="AH2418" s="1">
        <v>2365.0</v>
      </c>
      <c r="AI2418" s="1">
        <v>0.0861</v>
      </c>
      <c r="AK2418" s="1">
        <v>8.0</v>
      </c>
      <c r="AL2418" s="1">
        <v>4.0</v>
      </c>
      <c r="AM2418" s="1">
        <v>2.0</v>
      </c>
      <c r="AN2418" s="1">
        <v>1.0</v>
      </c>
      <c r="AO2418" s="1" t="s">
        <v>229</v>
      </c>
      <c r="AP2418" s="1">
        <v>1.0</v>
      </c>
      <c r="AQ2418" s="1" t="s">
        <v>198</v>
      </c>
      <c r="AR2418" s="1" t="s">
        <v>200</v>
      </c>
      <c r="AS2418" s="1" t="s">
        <v>229</v>
      </c>
      <c r="AV2418" s="1" t="s">
        <v>200</v>
      </c>
      <c r="AW2418" s="1">
        <v>2242.03</v>
      </c>
      <c r="AX2418" s="1">
        <v>2012.0</v>
      </c>
      <c r="AZ2418" s="1" t="s">
        <v>545</v>
      </c>
      <c r="BA2418" s="1" t="str">
        <f>"24131070510000"</f>
        <v>24131070510000</v>
      </c>
      <c r="BB2418" s="1" t="s">
        <v>192</v>
      </c>
      <c r="BC2418" s="1">
        <v>1275.0</v>
      </c>
      <c r="BD2418" s="1">
        <v>101664.0</v>
      </c>
      <c r="BE2418" s="2">
        <v>42009.0</v>
      </c>
      <c r="BF2418" s="2" t="s">
        <v>3507</v>
      </c>
      <c r="BH2418" s="1">
        <v>0.0</v>
      </c>
      <c r="BK2418" s="1" t="s">
        <v>204</v>
      </c>
      <c r="BL2418" s="1" t="str">
        <f t="shared" ref="BL2418:BM2418" si="1578">"0"</f>
        <v>0</v>
      </c>
      <c r="BM2418" s="1" t="str">
        <f t="shared" si="1578"/>
        <v>0</v>
      </c>
      <c r="BN2418" s="1">
        <v>3000.0</v>
      </c>
      <c r="BO2418" s="1">
        <v>10452.0</v>
      </c>
      <c r="BQ2418" s="1">
        <v>299.0</v>
      </c>
      <c r="BR2418" s="1">
        <v>299.0</v>
      </c>
      <c r="BS2418" s="1">
        <v>299.0</v>
      </c>
      <c r="BU2418" s="1" t="s">
        <v>582</v>
      </c>
      <c r="BV2418" s="1" t="s">
        <v>206</v>
      </c>
      <c r="BY2418" s="1" t="s">
        <v>332</v>
      </c>
      <c r="BZ2418" s="1" t="s">
        <v>206</v>
      </c>
      <c r="CC2418" s="1" t="s">
        <v>269</v>
      </c>
      <c r="CD2418" s="1" t="s">
        <v>206</v>
      </c>
      <c r="CG2418" s="1" t="s">
        <v>269</v>
      </c>
      <c r="CH2418" s="1" t="s">
        <v>206</v>
      </c>
      <c r="CK2418" s="1" t="s">
        <v>543</v>
      </c>
      <c r="CL2418" s="1" t="s">
        <v>209</v>
      </c>
      <c r="CO2418" s="1" t="s">
        <v>212</v>
      </c>
      <c r="CP2418" s="1" t="s">
        <v>209</v>
      </c>
      <c r="CS2418" s="1" t="s">
        <v>392</v>
      </c>
      <c r="CT2418" s="1" t="s">
        <v>206</v>
      </c>
      <c r="CW2418" s="1" t="s">
        <v>1623</v>
      </c>
      <c r="CX2418" s="1" t="s">
        <v>42</v>
      </c>
      <c r="DA2418" s="1" t="s">
        <v>200</v>
      </c>
      <c r="DC2418" s="1" t="s">
        <v>702</v>
      </c>
      <c r="DE2418" s="1" t="s">
        <v>273</v>
      </c>
      <c r="DF2418" s="1" t="s">
        <v>219</v>
      </c>
      <c r="DH2418" s="1" t="s">
        <v>307</v>
      </c>
      <c r="DJ2418" s="1" t="s">
        <v>222</v>
      </c>
      <c r="DL2418" s="1" t="s">
        <v>858</v>
      </c>
      <c r="DM2418" s="1" t="s">
        <v>229</v>
      </c>
      <c r="DQ2418" s="1" t="s">
        <v>228</v>
      </c>
      <c r="DR2418" s="1" t="s">
        <v>229</v>
      </c>
      <c r="DV2418" s="1" t="s">
        <v>232</v>
      </c>
      <c r="DW2418" s="1" t="s">
        <v>370</v>
      </c>
      <c r="DX2418" s="1" t="s">
        <v>234</v>
      </c>
      <c r="EC2418" s="1" t="s">
        <v>645</v>
      </c>
      <c r="EE2418" s="1" t="s">
        <v>1960</v>
      </c>
      <c r="EM2418" s="1" t="s">
        <v>238</v>
      </c>
      <c r="EQ2418" s="1" t="s">
        <v>238</v>
      </c>
      <c r="EU2418" s="1" t="s">
        <v>238</v>
      </c>
      <c r="EY2418" s="1" t="s">
        <v>238</v>
      </c>
      <c r="FC2418" s="1" t="s">
        <v>238</v>
      </c>
      <c r="FF2418" s="1" t="s">
        <v>239</v>
      </c>
      <c r="FG2418" s="1" t="s">
        <v>192</v>
      </c>
      <c r="FH2418" s="1" t="s">
        <v>192</v>
      </c>
      <c r="FJ2418" s="1" t="s">
        <v>347</v>
      </c>
      <c r="FK2418" s="1" t="s">
        <v>229</v>
      </c>
      <c r="FL2418" s="1" t="s">
        <v>3033</v>
      </c>
      <c r="FM2418" s="1">
        <v>1984.0</v>
      </c>
      <c r="FN2418" s="1" t="s">
        <v>3034</v>
      </c>
      <c r="FO2418" s="1" t="s">
        <v>8682</v>
      </c>
      <c r="FP2418" s="1">
        <v>923546.0</v>
      </c>
      <c r="FQ2418" s="1" t="s">
        <v>8683</v>
      </c>
      <c r="FU2418" s="1" t="s">
        <v>3036</v>
      </c>
      <c r="FV2418" s="1" t="s">
        <v>200</v>
      </c>
      <c r="FW2418" s="1" t="s">
        <v>4959</v>
      </c>
      <c r="FX2418" s="1" t="s">
        <v>655</v>
      </c>
      <c r="FZ2418" s="1" t="s">
        <v>229</v>
      </c>
      <c r="GA2418" s="1" t="s">
        <v>291</v>
      </c>
      <c r="GB2418" s="2">
        <v>42090.0</v>
      </c>
      <c r="GC2418" s="1" t="s">
        <v>7564</v>
      </c>
    </row>
    <row r="2419">
      <c r="A2419" s="1">
        <v>163000.0</v>
      </c>
      <c r="B2419" s="1" t="s">
        <v>185</v>
      </c>
      <c r="C2419" s="1" t="str">
        <f>"08812398"</f>
        <v>08812398</v>
      </c>
      <c r="D2419" s="1" t="s">
        <v>186</v>
      </c>
      <c r="F2419" s="1" t="str">
        <f>"115"</f>
        <v>115</v>
      </c>
      <c r="G2419" s="2">
        <v>42012.0</v>
      </c>
      <c r="H2419" s="1">
        <v>172000.0</v>
      </c>
      <c r="I2419" s="1">
        <v>78.0</v>
      </c>
      <c r="J2419" s="1">
        <v>167000.0</v>
      </c>
      <c r="K2419" s="2">
        <v>42089.0</v>
      </c>
      <c r="L2419" s="1">
        <v>78.0</v>
      </c>
      <c r="M2419" s="2">
        <v>42089.0</v>
      </c>
      <c r="N2419" s="1" t="s">
        <v>356</v>
      </c>
      <c r="O2419" s="2">
        <v>42143.0</v>
      </c>
      <c r="P2419" s="1">
        <v>930222.0</v>
      </c>
      <c r="Q2419" s="1">
        <v>93084.0</v>
      </c>
      <c r="S2419" s="1">
        <v>1717.0</v>
      </c>
      <c r="T2419" s="1" t="s">
        <v>22079</v>
      </c>
      <c r="U2419" s="1" t="s">
        <v>1174</v>
      </c>
      <c r="V2419" s="1" t="s">
        <v>610</v>
      </c>
      <c r="W2419" s="1">
        <v>60115.0</v>
      </c>
      <c r="Y2419" s="1" t="s">
        <v>22080</v>
      </c>
      <c r="Z2419" s="1">
        <v>1966.0</v>
      </c>
      <c r="AA2419" s="1" t="s">
        <v>192</v>
      </c>
      <c r="AB2419" s="1" t="s">
        <v>193</v>
      </c>
      <c r="AD2419" s="1" t="s">
        <v>612</v>
      </c>
      <c r="AE2419" s="1" t="s">
        <v>613</v>
      </c>
      <c r="AF2419" s="1" t="s">
        <v>612</v>
      </c>
      <c r="AH2419" s="1" t="s">
        <v>22081</v>
      </c>
      <c r="AK2419" s="1">
        <v>10.0</v>
      </c>
      <c r="AL2419" s="1">
        <v>4.0</v>
      </c>
      <c r="AM2419" s="1">
        <v>2.0</v>
      </c>
      <c r="AN2419" s="1">
        <v>1.0</v>
      </c>
      <c r="AO2419" s="1" t="s">
        <v>198</v>
      </c>
      <c r="AP2419" s="1">
        <v>1.0</v>
      </c>
      <c r="AQ2419" s="1" t="s">
        <v>198</v>
      </c>
      <c r="AR2419" s="1" t="s">
        <v>200</v>
      </c>
      <c r="AS2419" s="1" t="s">
        <v>199</v>
      </c>
      <c r="AT2419" s="1">
        <v>2.0</v>
      </c>
      <c r="AV2419" s="1" t="s">
        <v>200</v>
      </c>
      <c r="AW2419" s="1">
        <v>4900.96</v>
      </c>
      <c r="AX2419" s="1">
        <v>2013.0</v>
      </c>
      <c r="AY2419" s="1" t="s">
        <v>387</v>
      </c>
      <c r="AZ2419" s="1" t="s">
        <v>200</v>
      </c>
      <c r="BA2419" s="1" t="str">
        <f>"0814106006"</f>
        <v>0814106006</v>
      </c>
      <c r="BC2419" s="1">
        <v>1936.0</v>
      </c>
      <c r="BD2419" s="1">
        <v>163000.0</v>
      </c>
      <c r="BE2419" s="2">
        <v>42012.0</v>
      </c>
      <c r="BF2419" s="2" t="s">
        <v>22082</v>
      </c>
      <c r="BH2419" s="1">
        <v>0.0</v>
      </c>
      <c r="BK2419" s="1" t="s">
        <v>204</v>
      </c>
      <c r="BL2419" s="1" t="str">
        <f t="shared" ref="BL2419:BM2419" si="1579">""</f>
        <v/>
      </c>
      <c r="BM2419" s="1" t="str">
        <f t="shared" si="1579"/>
        <v/>
      </c>
      <c r="BQ2419" s="1">
        <v>428.0</v>
      </c>
      <c r="BR2419" s="1">
        <v>428.0</v>
      </c>
      <c r="BS2419" s="1">
        <v>428.0</v>
      </c>
      <c r="BU2419" s="1" t="s">
        <v>3888</v>
      </c>
      <c r="BV2419" s="1" t="s">
        <v>206</v>
      </c>
      <c r="BW2419" s="1" t="s">
        <v>207</v>
      </c>
      <c r="BX2419" s="1" t="s">
        <v>239</v>
      </c>
      <c r="BY2419" s="1" t="s">
        <v>1350</v>
      </c>
      <c r="BZ2419" s="1" t="s">
        <v>209</v>
      </c>
      <c r="CA2419" s="1" t="s">
        <v>210</v>
      </c>
      <c r="CB2419" s="1" t="s">
        <v>239</v>
      </c>
      <c r="CD2419" s="1" t="s">
        <v>204</v>
      </c>
      <c r="CG2419" s="1" t="s">
        <v>2459</v>
      </c>
      <c r="CH2419" s="1" t="s">
        <v>209</v>
      </c>
      <c r="CI2419" s="1" t="s">
        <v>210</v>
      </c>
      <c r="CJ2419" s="1" t="s">
        <v>239</v>
      </c>
      <c r="CK2419" s="1" t="s">
        <v>663</v>
      </c>
      <c r="CL2419" s="1" t="s">
        <v>209</v>
      </c>
      <c r="CM2419" s="1" t="s">
        <v>210</v>
      </c>
      <c r="CN2419" s="1" t="s">
        <v>239</v>
      </c>
      <c r="CO2419" s="1" t="s">
        <v>1760</v>
      </c>
      <c r="CP2419" s="1" t="s">
        <v>209</v>
      </c>
      <c r="CQ2419" s="1" t="s">
        <v>210</v>
      </c>
      <c r="CR2419" s="1" t="s">
        <v>239</v>
      </c>
      <c r="CS2419" s="1" t="s">
        <v>2082</v>
      </c>
      <c r="CT2419" s="1" t="s">
        <v>206</v>
      </c>
      <c r="CU2419" s="1" t="s">
        <v>207</v>
      </c>
      <c r="CV2419" s="1" t="s">
        <v>239</v>
      </c>
      <c r="CW2419" s="1" t="s">
        <v>1183</v>
      </c>
      <c r="CX2419" s="1" t="s">
        <v>206</v>
      </c>
      <c r="CY2419" s="1" t="s">
        <v>301</v>
      </c>
      <c r="CZ2419" s="1" t="s">
        <v>239</v>
      </c>
      <c r="DA2419" s="1" t="s">
        <v>200</v>
      </c>
      <c r="DC2419" s="1" t="s">
        <v>517</v>
      </c>
      <c r="DD2419" s="1" t="s">
        <v>518</v>
      </c>
      <c r="DE2419" s="1" t="s">
        <v>273</v>
      </c>
      <c r="DF2419" s="1" t="s">
        <v>372</v>
      </c>
      <c r="DH2419" s="1" t="s">
        <v>220</v>
      </c>
      <c r="DI2419" s="1" t="s">
        <v>221</v>
      </c>
      <c r="DJ2419" s="1" t="s">
        <v>222</v>
      </c>
      <c r="DL2419" s="1" t="s">
        <v>858</v>
      </c>
      <c r="DM2419" s="1" t="s">
        <v>229</v>
      </c>
      <c r="DO2419" s="1" t="s">
        <v>549</v>
      </c>
      <c r="DQ2419" s="1" t="s">
        <v>228</v>
      </c>
      <c r="DR2419" s="1" t="s">
        <v>229</v>
      </c>
      <c r="DS2419" s="1" t="s">
        <v>230</v>
      </c>
      <c r="DU2419" s="1" t="s">
        <v>2550</v>
      </c>
      <c r="DV2419" s="1" t="s">
        <v>22083</v>
      </c>
      <c r="DW2419" s="1" t="s">
        <v>444</v>
      </c>
      <c r="DX2419" s="1" t="s">
        <v>234</v>
      </c>
      <c r="DY2419" s="1" t="s">
        <v>22084</v>
      </c>
      <c r="DZ2419" s="1" t="s">
        <v>282</v>
      </c>
      <c r="EB2419" s="1" t="s">
        <v>15551</v>
      </c>
      <c r="EC2419" s="1" t="s">
        <v>237</v>
      </c>
      <c r="ED2419" s="1" t="s">
        <v>407</v>
      </c>
      <c r="EG2419" s="1" t="s">
        <v>598</v>
      </c>
      <c r="EH2419" s="1" t="s">
        <v>450</v>
      </c>
      <c r="EI2419" s="1" t="s">
        <v>1729</v>
      </c>
      <c r="EL2419" s="1" t="s">
        <v>4470</v>
      </c>
      <c r="EM2419" s="1" t="s">
        <v>42</v>
      </c>
      <c r="EN2419" s="1" t="s">
        <v>617</v>
      </c>
      <c r="EP2419" s="1" t="s">
        <v>878</v>
      </c>
      <c r="EQ2419" s="1" t="s">
        <v>42</v>
      </c>
      <c r="ET2419" s="1" t="s">
        <v>363</v>
      </c>
      <c r="EU2419" s="1" t="s">
        <v>206</v>
      </c>
      <c r="EV2419" s="1" t="s">
        <v>301</v>
      </c>
      <c r="EY2419" s="1" t="s">
        <v>238</v>
      </c>
      <c r="FC2419" s="1" t="s">
        <v>238</v>
      </c>
      <c r="FF2419" s="1" t="s">
        <v>239</v>
      </c>
      <c r="FG2419" s="1" t="s">
        <v>192</v>
      </c>
      <c r="FH2419" s="1" t="s">
        <v>192</v>
      </c>
      <c r="FJ2419" s="1" t="s">
        <v>624</v>
      </c>
      <c r="FK2419" s="1" t="s">
        <v>229</v>
      </c>
      <c r="FL2419" s="1" t="s">
        <v>2926</v>
      </c>
      <c r="FM2419" s="1">
        <v>24809.0</v>
      </c>
      <c r="FN2419" s="1" t="s">
        <v>2927</v>
      </c>
      <c r="FO2419" s="1" t="s">
        <v>3895</v>
      </c>
      <c r="FP2419" s="1">
        <v>237420.0</v>
      </c>
      <c r="FQ2419" s="1" t="s">
        <v>3896</v>
      </c>
      <c r="FS2419" s="1" t="s">
        <v>3897</v>
      </c>
      <c r="FU2419" s="1" t="s">
        <v>22085</v>
      </c>
      <c r="FV2419" s="1" t="s">
        <v>200</v>
      </c>
      <c r="FW2419" s="1" t="s">
        <v>22086</v>
      </c>
      <c r="FZ2419" s="1" t="s">
        <v>229</v>
      </c>
      <c r="GA2419" s="1" t="s">
        <v>291</v>
      </c>
      <c r="GB2419" s="2">
        <v>42143.0</v>
      </c>
      <c r="GC2419" s="1" t="s">
        <v>22087</v>
      </c>
    </row>
    <row r="2420">
      <c r="A2420" s="1">
        <v>415000.0</v>
      </c>
      <c r="B2420" s="1" t="s">
        <v>185</v>
      </c>
      <c r="C2420" s="1" t="str">
        <f>"08811963"</f>
        <v>08811963</v>
      </c>
      <c r="D2420" s="1" t="s">
        <v>186</v>
      </c>
      <c r="F2420" s="1" t="str">
        <f>"8010"</f>
        <v>8010</v>
      </c>
      <c r="G2420" s="2">
        <v>42012.0</v>
      </c>
      <c r="H2420" s="1">
        <v>429900.0</v>
      </c>
      <c r="I2420" s="1">
        <v>6.0</v>
      </c>
      <c r="J2420" s="1">
        <v>429900.0</v>
      </c>
      <c r="K2420" s="2">
        <v>42017.0</v>
      </c>
      <c r="L2420" s="1">
        <v>6.0</v>
      </c>
      <c r="M2420" s="2">
        <v>42017.0</v>
      </c>
      <c r="N2420" s="1" t="s">
        <v>187</v>
      </c>
      <c r="O2420" s="2">
        <v>42103.0</v>
      </c>
      <c r="P2420" s="1">
        <v>109954.0</v>
      </c>
      <c r="Q2420" s="1">
        <v>10840.0</v>
      </c>
      <c r="R2420" s="1">
        <v>5000.0</v>
      </c>
      <c r="S2420" s="1">
        <v>5706.0</v>
      </c>
      <c r="T2420" s="1" t="s">
        <v>13232</v>
      </c>
      <c r="U2420" s="1" t="s">
        <v>189</v>
      </c>
      <c r="V2420" s="1" t="s">
        <v>190</v>
      </c>
      <c r="W2420" s="1">
        <v>60631.0</v>
      </c>
      <c r="Y2420" s="1" t="s">
        <v>22088</v>
      </c>
      <c r="Z2420" s="1">
        <v>1954.0</v>
      </c>
      <c r="AA2420" s="1" t="s">
        <v>192</v>
      </c>
      <c r="AB2420" s="1" t="s">
        <v>193</v>
      </c>
      <c r="AD2420" s="1" t="s">
        <v>194</v>
      </c>
      <c r="AE2420" s="1" t="s">
        <v>195</v>
      </c>
      <c r="AF2420" s="1" t="s">
        <v>196</v>
      </c>
      <c r="AH2420" s="1" t="s">
        <v>22089</v>
      </c>
      <c r="AI2420" s="1">
        <v>0.169</v>
      </c>
      <c r="AK2420" s="1">
        <v>8.0</v>
      </c>
      <c r="AL2420" s="1">
        <v>3.0</v>
      </c>
      <c r="AM2420" s="1">
        <v>2.0</v>
      </c>
      <c r="AN2420" s="1">
        <v>0.0</v>
      </c>
      <c r="AO2420" s="1" t="s">
        <v>229</v>
      </c>
      <c r="AQ2420" s="1" t="s">
        <v>198</v>
      </c>
      <c r="AR2420" s="1" t="s">
        <v>192</v>
      </c>
      <c r="AS2420" s="1" t="s">
        <v>199</v>
      </c>
      <c r="AT2420" s="1">
        <v>1.0</v>
      </c>
      <c r="AV2420" s="1" t="s">
        <v>200</v>
      </c>
      <c r="AW2420" s="1">
        <v>4395.2</v>
      </c>
      <c r="AX2420" s="1">
        <v>2013.0</v>
      </c>
      <c r="AZ2420" s="1" t="s">
        <v>200</v>
      </c>
      <c r="BA2420" s="1" t="str">
        <f>"12014220320000"</f>
        <v>12014220320000</v>
      </c>
      <c r="BC2420" s="1">
        <v>1381.0</v>
      </c>
      <c r="BD2420" s="1">
        <v>415000.0</v>
      </c>
      <c r="BE2420" s="2">
        <v>42012.0</v>
      </c>
      <c r="BF2420" s="2" t="s">
        <v>22090</v>
      </c>
      <c r="BG2420" s="1" t="s">
        <v>14472</v>
      </c>
      <c r="BH2420" s="1">
        <v>0.0</v>
      </c>
      <c r="BJ2420" s="1" t="s">
        <v>1222</v>
      </c>
      <c r="BK2420" s="1" t="s">
        <v>204</v>
      </c>
      <c r="BL2420" s="1" t="str">
        <f>"5706"</f>
        <v>5706</v>
      </c>
      <c r="BM2420" s="1" t="str">
        <f>"0"</f>
        <v>0</v>
      </c>
      <c r="BN2420" s="1">
        <v>7400.0</v>
      </c>
      <c r="BO2420" s="1">
        <v>0.0</v>
      </c>
      <c r="BQ2420" s="1">
        <v>299.0</v>
      </c>
      <c r="BR2420" s="1">
        <v>299.0</v>
      </c>
      <c r="BS2420" s="1">
        <v>299.0</v>
      </c>
      <c r="BU2420" s="1" t="s">
        <v>1117</v>
      </c>
      <c r="BV2420" s="1" t="s">
        <v>206</v>
      </c>
      <c r="BW2420" s="1" t="s">
        <v>207</v>
      </c>
      <c r="BX2420" s="1" t="s">
        <v>229</v>
      </c>
      <c r="BY2420" s="1" t="s">
        <v>1064</v>
      </c>
      <c r="BZ2420" s="1" t="s">
        <v>206</v>
      </c>
      <c r="CA2420" s="1" t="s">
        <v>207</v>
      </c>
      <c r="CB2420" s="1" t="s">
        <v>229</v>
      </c>
      <c r="CC2420" s="1" t="s">
        <v>542</v>
      </c>
      <c r="CD2420" s="1" t="s">
        <v>206</v>
      </c>
      <c r="CE2420" s="1" t="s">
        <v>207</v>
      </c>
      <c r="CF2420" s="1" t="s">
        <v>229</v>
      </c>
      <c r="CG2420" s="1" t="s">
        <v>495</v>
      </c>
      <c r="CH2420" s="1" t="s">
        <v>206</v>
      </c>
      <c r="CI2420" s="1" t="s">
        <v>207</v>
      </c>
      <c r="CJ2420" s="1" t="s">
        <v>229</v>
      </c>
      <c r="CK2420" s="1" t="s">
        <v>543</v>
      </c>
      <c r="CL2420" s="1" t="s">
        <v>206</v>
      </c>
      <c r="CM2420" s="1" t="s">
        <v>268</v>
      </c>
      <c r="CN2420" s="1" t="s">
        <v>229</v>
      </c>
      <c r="CO2420" s="1" t="s">
        <v>1774</v>
      </c>
      <c r="CP2420" s="1" t="s">
        <v>42</v>
      </c>
      <c r="CQ2420" s="1" t="s">
        <v>268</v>
      </c>
      <c r="CR2420" s="1" t="s">
        <v>229</v>
      </c>
      <c r="CS2420" s="1" t="s">
        <v>454</v>
      </c>
      <c r="CT2420" s="1" t="s">
        <v>206</v>
      </c>
      <c r="CU2420" s="1" t="s">
        <v>268</v>
      </c>
      <c r="CV2420" s="1" t="s">
        <v>229</v>
      </c>
      <c r="CW2420" s="1" t="s">
        <v>19989</v>
      </c>
      <c r="CX2420" s="1" t="s">
        <v>42</v>
      </c>
      <c r="CY2420" s="1" t="s">
        <v>268</v>
      </c>
      <c r="CZ2420" s="1" t="s">
        <v>229</v>
      </c>
      <c r="DA2420" s="1" t="s">
        <v>200</v>
      </c>
      <c r="DC2420" s="1" t="s">
        <v>702</v>
      </c>
      <c r="DD2420" s="1" t="s">
        <v>396</v>
      </c>
      <c r="DE2420" s="1" t="s">
        <v>273</v>
      </c>
      <c r="DF2420" s="1" t="s">
        <v>619</v>
      </c>
      <c r="DH2420" s="1" t="s">
        <v>365</v>
      </c>
      <c r="DI2420" s="1" t="s">
        <v>4562</v>
      </c>
      <c r="DJ2420" s="1" t="s">
        <v>222</v>
      </c>
      <c r="DL2420" s="1" t="s">
        <v>224</v>
      </c>
      <c r="DM2420" s="1" t="s">
        <v>1268</v>
      </c>
      <c r="DN2420" s="1" t="s">
        <v>666</v>
      </c>
      <c r="DP2420" s="1" t="s">
        <v>276</v>
      </c>
      <c r="DQ2420" s="1" t="s">
        <v>228</v>
      </c>
      <c r="DR2420" s="1" t="s">
        <v>229</v>
      </c>
      <c r="DS2420" s="1" t="s">
        <v>277</v>
      </c>
      <c r="DV2420" s="1" t="s">
        <v>232</v>
      </c>
      <c r="DW2420" s="1" t="s">
        <v>279</v>
      </c>
      <c r="DX2420" s="1" t="s">
        <v>234</v>
      </c>
      <c r="DY2420" s="1" t="s">
        <v>4097</v>
      </c>
      <c r="EA2420" s="1" t="s">
        <v>683</v>
      </c>
      <c r="EC2420" s="1" t="s">
        <v>311</v>
      </c>
      <c r="EE2420" s="1" t="s">
        <v>1077</v>
      </c>
      <c r="EM2420" s="1" t="s">
        <v>238</v>
      </c>
      <c r="EQ2420" s="1" t="s">
        <v>238</v>
      </c>
      <c r="EU2420" s="1" t="s">
        <v>238</v>
      </c>
      <c r="EY2420" s="1" t="s">
        <v>238</v>
      </c>
      <c r="FC2420" s="1" t="s">
        <v>238</v>
      </c>
      <c r="FF2420" s="1" t="s">
        <v>239</v>
      </c>
      <c r="FG2420" s="1" t="s">
        <v>192</v>
      </c>
      <c r="FH2420" s="1" t="s">
        <v>192</v>
      </c>
      <c r="FJ2420" s="1" t="s">
        <v>3263</v>
      </c>
      <c r="FK2420" s="1" t="s">
        <v>229</v>
      </c>
      <c r="FL2420" s="1" t="s">
        <v>9129</v>
      </c>
      <c r="FM2420" s="1">
        <v>18499.0</v>
      </c>
      <c r="FN2420" s="1" t="s">
        <v>5976</v>
      </c>
      <c r="FO2420" s="1" t="s">
        <v>22091</v>
      </c>
      <c r="FP2420" s="1">
        <v>173234.0</v>
      </c>
      <c r="FQ2420" s="1" t="s">
        <v>22092</v>
      </c>
      <c r="FU2420" s="1" t="s">
        <v>4733</v>
      </c>
      <c r="FV2420" s="1" t="s">
        <v>200</v>
      </c>
      <c r="FW2420" s="1" t="s">
        <v>290</v>
      </c>
      <c r="FX2420" s="1" t="s">
        <v>238</v>
      </c>
      <c r="FZ2420" s="1" t="s">
        <v>632</v>
      </c>
      <c r="GA2420" s="1" t="s">
        <v>291</v>
      </c>
      <c r="GB2420" s="2">
        <v>42104.0</v>
      </c>
      <c r="GC2420" s="1" t="s">
        <v>22093</v>
      </c>
    </row>
    <row r="2421">
      <c r="A2421" s="1">
        <v>217350.0</v>
      </c>
      <c r="B2421" s="1" t="s">
        <v>185</v>
      </c>
      <c r="C2421" s="1" t="str">
        <f>"08815378"</f>
        <v>08815378</v>
      </c>
      <c r="D2421" s="1" t="s">
        <v>186</v>
      </c>
      <c r="F2421" s="1" t="str">
        <f>"178"</f>
        <v>178</v>
      </c>
      <c r="G2421" s="2">
        <v>42017.0</v>
      </c>
      <c r="H2421" s="1">
        <v>224900.0</v>
      </c>
      <c r="I2421" s="1">
        <v>10.0</v>
      </c>
      <c r="J2421" s="1">
        <v>224900.0</v>
      </c>
      <c r="K2421" s="2">
        <v>42026.0</v>
      </c>
      <c r="L2421" s="1">
        <v>10.0</v>
      </c>
      <c r="M2421" s="2">
        <v>42026.0</v>
      </c>
      <c r="N2421" s="1" t="s">
        <v>187</v>
      </c>
      <c r="O2421" s="2">
        <v>42080.0</v>
      </c>
      <c r="P2421" s="1">
        <v>930123.0</v>
      </c>
      <c r="Q2421" s="1">
        <v>93041.0</v>
      </c>
      <c r="S2421" s="1">
        <v>1021.0</v>
      </c>
      <c r="T2421" s="1" t="s">
        <v>22094</v>
      </c>
      <c r="U2421" s="1" t="s">
        <v>569</v>
      </c>
      <c r="V2421" s="1" t="s">
        <v>994</v>
      </c>
      <c r="W2421" s="1">
        <v>60178.0</v>
      </c>
      <c r="Y2421" s="1" t="s">
        <v>22095</v>
      </c>
      <c r="Z2421" s="1">
        <v>1985.0</v>
      </c>
      <c r="AA2421" s="1" t="s">
        <v>200</v>
      </c>
      <c r="AB2421" s="1" t="s">
        <v>193</v>
      </c>
      <c r="AD2421" s="1" t="s">
        <v>997</v>
      </c>
      <c r="AE2421" s="1" t="s">
        <v>613</v>
      </c>
      <c r="AF2421" s="1" t="s">
        <v>997</v>
      </c>
      <c r="AH2421" s="1" t="s">
        <v>22096</v>
      </c>
      <c r="AI2421" s="1">
        <v>0.27</v>
      </c>
      <c r="AK2421" s="1">
        <v>10.0</v>
      </c>
      <c r="AL2421" s="1">
        <v>4.0</v>
      </c>
      <c r="AM2421" s="1">
        <v>2.0</v>
      </c>
      <c r="AN2421" s="1">
        <v>1.0</v>
      </c>
      <c r="AO2421" s="1" t="s">
        <v>198</v>
      </c>
      <c r="AP2421" s="1">
        <v>2.0</v>
      </c>
      <c r="AQ2421" s="1" t="s">
        <v>198</v>
      </c>
      <c r="AR2421" s="1" t="s">
        <v>200</v>
      </c>
      <c r="AS2421" s="1" t="s">
        <v>199</v>
      </c>
      <c r="AT2421" s="1">
        <v>2.5</v>
      </c>
      <c r="AV2421" s="1" t="s">
        <v>200</v>
      </c>
      <c r="AW2421" s="1">
        <v>6834.3</v>
      </c>
      <c r="AX2421" s="1">
        <v>2013.0</v>
      </c>
      <c r="AY2421" s="1" t="s">
        <v>852</v>
      </c>
      <c r="AZ2421" s="1" t="s">
        <v>200</v>
      </c>
      <c r="BA2421" s="1" t="str">
        <f>"0906231013"</f>
        <v>0906231013</v>
      </c>
      <c r="BB2421" s="1" t="s">
        <v>200</v>
      </c>
      <c r="BC2421" s="1">
        <v>2126.0</v>
      </c>
      <c r="BD2421" s="1">
        <v>217350.0</v>
      </c>
      <c r="BE2421" s="2">
        <v>42017.0</v>
      </c>
      <c r="BF2421" s="2" t="s">
        <v>22097</v>
      </c>
      <c r="BH2421" s="1">
        <v>0.0</v>
      </c>
      <c r="BK2421" s="1" t="s">
        <v>204</v>
      </c>
      <c r="BL2421" s="1" t="str">
        <f t="shared" ref="BL2421:BM2421" si="1580">""</f>
        <v/>
      </c>
      <c r="BM2421" s="1" t="str">
        <f t="shared" si="1580"/>
        <v/>
      </c>
      <c r="BQ2421" s="1">
        <v>427.0</v>
      </c>
      <c r="BR2421" s="1">
        <v>427.0</v>
      </c>
      <c r="BS2421" s="1">
        <v>427.0</v>
      </c>
      <c r="BU2421" s="1" t="s">
        <v>205</v>
      </c>
      <c r="BV2421" s="1" t="s">
        <v>206</v>
      </c>
      <c r="BW2421" s="1" t="s">
        <v>210</v>
      </c>
      <c r="BY2421" s="1" t="s">
        <v>433</v>
      </c>
      <c r="BZ2421" s="1" t="s">
        <v>209</v>
      </c>
      <c r="CA2421" s="1" t="s">
        <v>210</v>
      </c>
      <c r="CC2421" s="1" t="s">
        <v>454</v>
      </c>
      <c r="CD2421" s="1" t="s">
        <v>206</v>
      </c>
      <c r="CE2421" s="1" t="s">
        <v>207</v>
      </c>
      <c r="CG2421" s="1" t="s">
        <v>329</v>
      </c>
      <c r="CH2421" s="1" t="s">
        <v>209</v>
      </c>
      <c r="CI2421" s="1" t="s">
        <v>210</v>
      </c>
      <c r="CK2421" s="1" t="s">
        <v>640</v>
      </c>
      <c r="CL2421" s="1" t="s">
        <v>209</v>
      </c>
      <c r="CM2421" s="1" t="s">
        <v>210</v>
      </c>
      <c r="CO2421" s="1" t="s">
        <v>640</v>
      </c>
      <c r="CP2421" s="1" t="s">
        <v>209</v>
      </c>
      <c r="CQ2421" s="1" t="s">
        <v>210</v>
      </c>
      <c r="CS2421" s="1" t="s">
        <v>22098</v>
      </c>
      <c r="CT2421" s="1" t="s">
        <v>206</v>
      </c>
      <c r="CU2421" s="1" t="s">
        <v>617</v>
      </c>
      <c r="CW2421" s="1" t="s">
        <v>7202</v>
      </c>
      <c r="CX2421" s="1" t="s">
        <v>206</v>
      </c>
      <c r="CY2421" s="1" t="s">
        <v>210</v>
      </c>
      <c r="DA2421" s="1" t="s">
        <v>200</v>
      </c>
      <c r="DC2421" s="1" t="s">
        <v>305</v>
      </c>
      <c r="DD2421" s="1" t="s">
        <v>396</v>
      </c>
      <c r="DE2421" s="1" t="s">
        <v>273</v>
      </c>
      <c r="DF2421" s="1" t="s">
        <v>219</v>
      </c>
      <c r="DH2421" s="1" t="s">
        <v>220</v>
      </c>
      <c r="DI2421" s="1" t="s">
        <v>221</v>
      </c>
      <c r="DJ2421" s="1" t="s">
        <v>222</v>
      </c>
      <c r="DL2421" s="1" t="s">
        <v>858</v>
      </c>
      <c r="DM2421" s="1" t="s">
        <v>229</v>
      </c>
      <c r="DO2421" s="1" t="s">
        <v>590</v>
      </c>
      <c r="DP2421" s="1" t="s">
        <v>340</v>
      </c>
      <c r="DQ2421" s="1" t="s">
        <v>441</v>
      </c>
      <c r="DR2421" s="1" t="s">
        <v>229</v>
      </c>
      <c r="DS2421" s="1" t="s">
        <v>368</v>
      </c>
      <c r="DU2421" s="1" t="s">
        <v>9303</v>
      </c>
      <c r="DV2421" s="1" t="s">
        <v>22099</v>
      </c>
      <c r="DW2421" s="1" t="s">
        <v>233</v>
      </c>
      <c r="DX2421" s="1" t="s">
        <v>234</v>
      </c>
      <c r="DY2421" s="1" t="s">
        <v>1051</v>
      </c>
      <c r="DZ2421" s="1" t="s">
        <v>310</v>
      </c>
      <c r="EA2421" s="1" t="s">
        <v>3577</v>
      </c>
      <c r="EB2421" s="1" t="s">
        <v>10210</v>
      </c>
      <c r="EC2421" s="1" t="s">
        <v>237</v>
      </c>
      <c r="ED2421" s="1" t="s">
        <v>555</v>
      </c>
      <c r="EG2421" s="1" t="s">
        <v>598</v>
      </c>
      <c r="EH2421" s="1" t="s">
        <v>450</v>
      </c>
      <c r="EI2421" s="1" t="s">
        <v>408</v>
      </c>
      <c r="EJ2421" s="1" t="s">
        <v>1102</v>
      </c>
      <c r="EL2421" s="1" t="s">
        <v>264</v>
      </c>
      <c r="EM2421" s="1" t="s">
        <v>206</v>
      </c>
      <c r="EN2421" s="1" t="s">
        <v>210</v>
      </c>
      <c r="EP2421" s="1" t="s">
        <v>11657</v>
      </c>
      <c r="EQ2421" s="1" t="s">
        <v>42</v>
      </c>
      <c r="ER2421" s="1" t="s">
        <v>210</v>
      </c>
      <c r="ET2421" s="1" t="s">
        <v>392</v>
      </c>
      <c r="EU2421" s="1" t="s">
        <v>206</v>
      </c>
      <c r="EV2421" s="1" t="s">
        <v>207</v>
      </c>
      <c r="EX2421" s="1" t="s">
        <v>647</v>
      </c>
      <c r="EY2421" s="1" t="s">
        <v>206</v>
      </c>
      <c r="EZ2421" s="1" t="s">
        <v>1715</v>
      </c>
      <c r="FA2421" s="1" t="s">
        <v>431</v>
      </c>
      <c r="FC2421" s="1" t="s">
        <v>238</v>
      </c>
      <c r="FF2421" s="1" t="s">
        <v>239</v>
      </c>
      <c r="FG2421" s="1" t="s">
        <v>192</v>
      </c>
      <c r="FH2421" s="1" t="s">
        <v>192</v>
      </c>
      <c r="FJ2421" s="1" t="s">
        <v>3062</v>
      </c>
      <c r="FK2421" s="1" t="s">
        <v>348</v>
      </c>
      <c r="FL2421" s="1" t="s">
        <v>2926</v>
      </c>
      <c r="FM2421" s="1">
        <v>24809.0</v>
      </c>
      <c r="FN2421" s="1" t="s">
        <v>2927</v>
      </c>
      <c r="FO2421" s="1" t="s">
        <v>9295</v>
      </c>
      <c r="FP2421" s="1">
        <v>237413.0</v>
      </c>
      <c r="FQ2421" s="1" t="s">
        <v>9296</v>
      </c>
      <c r="FS2421" s="1" t="s">
        <v>22100</v>
      </c>
      <c r="FU2421" s="1" t="s">
        <v>22101</v>
      </c>
      <c r="FV2421" s="1" t="s">
        <v>200</v>
      </c>
      <c r="FW2421" s="1" t="s">
        <v>290</v>
      </c>
      <c r="FZ2421" s="1" t="s">
        <v>229</v>
      </c>
      <c r="GA2421" s="1" t="s">
        <v>291</v>
      </c>
      <c r="GB2421" s="2">
        <v>42080.0</v>
      </c>
      <c r="GC2421" s="1" t="s">
        <v>22102</v>
      </c>
    </row>
    <row r="2422">
      <c r="A2422" s="1">
        <v>255000.0</v>
      </c>
      <c r="B2422" s="1" t="s">
        <v>185</v>
      </c>
      <c r="C2422" s="1" t="str">
        <f>"08811132"</f>
        <v>08811132</v>
      </c>
      <c r="D2422" s="1" t="s">
        <v>186</v>
      </c>
      <c r="F2422" s="1" t="str">
        <f>"8017"</f>
        <v>8017</v>
      </c>
      <c r="G2422" s="2">
        <v>42010.0</v>
      </c>
      <c r="H2422" s="1">
        <v>266500.0</v>
      </c>
      <c r="I2422" s="1">
        <v>151.0</v>
      </c>
      <c r="J2422" s="1">
        <v>266500.0</v>
      </c>
      <c r="K2422" s="2">
        <v>42014.0</v>
      </c>
      <c r="L2422" s="1">
        <v>5.0</v>
      </c>
      <c r="M2422" s="2">
        <v>42014.0</v>
      </c>
      <c r="N2422" s="1" t="s">
        <v>187</v>
      </c>
      <c r="O2422" s="2">
        <v>42054.0</v>
      </c>
      <c r="P2422" s="1">
        <v>110923.0</v>
      </c>
      <c r="Q2422" s="1">
        <v>17299.0</v>
      </c>
      <c r="S2422" s="1">
        <v>7035.0</v>
      </c>
      <c r="T2422" s="1" t="s">
        <v>6044</v>
      </c>
      <c r="U2422" s="1" t="s">
        <v>320</v>
      </c>
      <c r="V2422" s="1" t="s">
        <v>190</v>
      </c>
      <c r="W2422" s="1">
        <v>60634.0</v>
      </c>
      <c r="Y2422" s="1" t="s">
        <v>22103</v>
      </c>
      <c r="Z2422" s="1">
        <v>1950.0</v>
      </c>
      <c r="AA2422" s="1" t="s">
        <v>192</v>
      </c>
      <c r="AB2422" s="1" t="s">
        <v>193</v>
      </c>
      <c r="AD2422" s="1" t="s">
        <v>194</v>
      </c>
      <c r="AE2422" s="1" t="s">
        <v>195</v>
      </c>
      <c r="AF2422" s="1" t="s">
        <v>196</v>
      </c>
      <c r="AG2422" s="1" t="s">
        <v>22104</v>
      </c>
      <c r="AH2422" s="1" t="s">
        <v>22105</v>
      </c>
      <c r="AI2422" s="1">
        <v>0.0892</v>
      </c>
      <c r="AK2422" s="1">
        <v>9.0</v>
      </c>
      <c r="AL2422" s="1">
        <v>4.0</v>
      </c>
      <c r="AM2422" s="1">
        <v>3.0</v>
      </c>
      <c r="AN2422" s="1">
        <v>0.0</v>
      </c>
      <c r="AO2422" s="1" t="s">
        <v>229</v>
      </c>
      <c r="AQ2422" s="1" t="s">
        <v>198</v>
      </c>
      <c r="AR2422" s="1" t="s">
        <v>192</v>
      </c>
      <c r="AS2422" s="1" t="s">
        <v>199</v>
      </c>
      <c r="AT2422" s="1">
        <v>1.0</v>
      </c>
      <c r="AV2422" s="1" t="s">
        <v>200</v>
      </c>
      <c r="AW2422" s="1">
        <v>1971.0</v>
      </c>
      <c r="AX2422" s="1">
        <v>2013.0</v>
      </c>
      <c r="AY2422" s="1" t="s">
        <v>1917</v>
      </c>
      <c r="AZ2422" s="1" t="s">
        <v>200</v>
      </c>
      <c r="BA2422" s="1" t="str">
        <f>"13193210030000"</f>
        <v>13193210030000</v>
      </c>
      <c r="BB2422" s="1" t="s">
        <v>200</v>
      </c>
      <c r="BC2422" s="1">
        <v>1600.0</v>
      </c>
      <c r="BD2422" s="1">
        <v>255000.0</v>
      </c>
      <c r="BE2422" s="2">
        <v>42010.0</v>
      </c>
      <c r="BF2422" s="2" t="s">
        <v>22106</v>
      </c>
      <c r="BH2422" s="1">
        <v>0.0</v>
      </c>
      <c r="BJ2422" s="1" t="s">
        <v>13963</v>
      </c>
      <c r="BK2422" s="1" t="s">
        <v>204</v>
      </c>
      <c r="BL2422" s="1" t="str">
        <f>"3200"</f>
        <v>3200</v>
      </c>
      <c r="BM2422" s="1" t="str">
        <f t="shared" ref="BM2422:BM2424" si="1581">"0"</f>
        <v>0</v>
      </c>
      <c r="BN2422" s="1">
        <v>6900.0</v>
      </c>
      <c r="BO2422" s="1">
        <v>0.0</v>
      </c>
      <c r="BQ2422" s="1">
        <v>299.0</v>
      </c>
      <c r="BR2422" s="1">
        <v>299.0</v>
      </c>
      <c r="BS2422" s="1">
        <v>299.0</v>
      </c>
      <c r="BU2422" s="1" t="s">
        <v>1426</v>
      </c>
      <c r="BV2422" s="1" t="s">
        <v>206</v>
      </c>
      <c r="BW2422" s="1" t="s">
        <v>207</v>
      </c>
      <c r="BX2422" s="1" t="s">
        <v>261</v>
      </c>
      <c r="BY2422" s="1" t="s">
        <v>2459</v>
      </c>
      <c r="BZ2422" s="1" t="s">
        <v>206</v>
      </c>
      <c r="CA2422" s="1" t="s">
        <v>207</v>
      </c>
      <c r="CB2422" s="1" t="s">
        <v>1550</v>
      </c>
      <c r="CC2422" s="1" t="s">
        <v>699</v>
      </c>
      <c r="CD2422" s="1" t="s">
        <v>206</v>
      </c>
      <c r="CE2422" s="1" t="s">
        <v>207</v>
      </c>
      <c r="CF2422" s="1" t="s">
        <v>261</v>
      </c>
      <c r="CG2422" s="1" t="s">
        <v>495</v>
      </c>
      <c r="CH2422" s="1" t="s">
        <v>206</v>
      </c>
      <c r="CI2422" s="1" t="s">
        <v>207</v>
      </c>
      <c r="CJ2422" s="1" t="s">
        <v>1550</v>
      </c>
      <c r="CK2422" s="1" t="s">
        <v>2713</v>
      </c>
      <c r="CL2422" s="1" t="s">
        <v>209</v>
      </c>
      <c r="CM2422" s="1" t="s">
        <v>210</v>
      </c>
      <c r="CN2422" s="1" t="s">
        <v>1549</v>
      </c>
      <c r="CO2422" s="1" t="s">
        <v>329</v>
      </c>
      <c r="CP2422" s="1" t="s">
        <v>209</v>
      </c>
      <c r="CQ2422" s="1" t="s">
        <v>210</v>
      </c>
      <c r="CR2422" s="1" t="s">
        <v>1549</v>
      </c>
      <c r="CS2422" s="1" t="s">
        <v>4045</v>
      </c>
      <c r="CT2422" s="1" t="s">
        <v>206</v>
      </c>
      <c r="CU2422" s="1" t="s">
        <v>268</v>
      </c>
      <c r="CV2422" s="1" t="s">
        <v>1549</v>
      </c>
      <c r="CX2422" s="1" t="s">
        <v>204</v>
      </c>
      <c r="DA2422" s="1" t="s">
        <v>200</v>
      </c>
      <c r="DC2422" s="1" t="s">
        <v>702</v>
      </c>
      <c r="DD2422" s="1" t="s">
        <v>518</v>
      </c>
      <c r="DE2422" s="1" t="s">
        <v>1810</v>
      </c>
      <c r="DF2422" s="1" t="s">
        <v>2328</v>
      </c>
      <c r="DG2422" s="1" t="s">
        <v>2311</v>
      </c>
      <c r="DH2422" s="1" t="s">
        <v>365</v>
      </c>
      <c r="DI2422" s="1" t="s">
        <v>1401</v>
      </c>
      <c r="DJ2422" s="1" t="s">
        <v>222</v>
      </c>
      <c r="DK2422" s="1" t="s">
        <v>1380</v>
      </c>
      <c r="DL2422" s="1" t="s">
        <v>858</v>
      </c>
      <c r="DM2422" s="1" t="s">
        <v>225</v>
      </c>
      <c r="DP2422" s="1" t="s">
        <v>340</v>
      </c>
      <c r="DQ2422" s="1" t="s">
        <v>794</v>
      </c>
      <c r="DR2422" s="1" t="s">
        <v>229</v>
      </c>
      <c r="DS2422" s="1" t="s">
        <v>401</v>
      </c>
      <c r="DU2422" s="1" t="s">
        <v>12035</v>
      </c>
      <c r="DV2422" s="1" t="s">
        <v>16291</v>
      </c>
      <c r="DW2422" s="1" t="s">
        <v>279</v>
      </c>
      <c r="DX2422" s="1" t="s">
        <v>234</v>
      </c>
      <c r="DY2422" s="1" t="s">
        <v>704</v>
      </c>
      <c r="DZ2422" s="1" t="s">
        <v>282</v>
      </c>
      <c r="EA2422" s="1" t="s">
        <v>2535</v>
      </c>
      <c r="EC2422" s="1" t="s">
        <v>645</v>
      </c>
      <c r="ED2422" s="1" t="s">
        <v>555</v>
      </c>
      <c r="EE2422" s="1" t="s">
        <v>493</v>
      </c>
      <c r="EG2422" s="1" t="s">
        <v>408</v>
      </c>
      <c r="EH2422" s="1" t="s">
        <v>450</v>
      </c>
      <c r="EI2422" s="1" t="s">
        <v>1491</v>
      </c>
      <c r="EL2422" s="1" t="s">
        <v>2394</v>
      </c>
      <c r="EM2422" s="1" t="s">
        <v>206</v>
      </c>
      <c r="EN2422" s="1" t="s">
        <v>268</v>
      </c>
      <c r="EP2422" s="1" t="s">
        <v>3893</v>
      </c>
      <c r="EQ2422" s="1" t="s">
        <v>42</v>
      </c>
      <c r="ER2422" s="1" t="s">
        <v>617</v>
      </c>
      <c r="ES2422" s="1" t="s">
        <v>229</v>
      </c>
      <c r="ET2422" s="1" t="s">
        <v>15942</v>
      </c>
      <c r="EU2422" s="1" t="s">
        <v>42</v>
      </c>
      <c r="EV2422" s="1" t="s">
        <v>617</v>
      </c>
      <c r="EY2422" s="1" t="s">
        <v>238</v>
      </c>
      <c r="FC2422" s="1" t="s">
        <v>238</v>
      </c>
      <c r="FF2422" s="1" t="s">
        <v>239</v>
      </c>
      <c r="FG2422" s="1" t="s">
        <v>200</v>
      </c>
      <c r="FH2422" s="1" t="s">
        <v>192</v>
      </c>
      <c r="FJ2422" s="1" t="s">
        <v>2262</v>
      </c>
      <c r="FK2422" s="1" t="s">
        <v>229</v>
      </c>
      <c r="FL2422" s="1" t="s">
        <v>22107</v>
      </c>
      <c r="FM2422" s="1">
        <v>25514.0</v>
      </c>
      <c r="FN2422" s="1" t="s">
        <v>22108</v>
      </c>
      <c r="FO2422" s="1" t="s">
        <v>22109</v>
      </c>
      <c r="FP2422" s="1">
        <v>239605.0</v>
      </c>
      <c r="FQ2422" s="1" t="s">
        <v>22110</v>
      </c>
      <c r="FU2422" s="1" t="s">
        <v>353</v>
      </c>
      <c r="FV2422" s="1" t="s">
        <v>200</v>
      </c>
      <c r="FW2422" s="1" t="s">
        <v>530</v>
      </c>
      <c r="FX2422" s="1" t="s">
        <v>246</v>
      </c>
      <c r="FZ2422" s="1" t="s">
        <v>229</v>
      </c>
      <c r="GA2422" s="1" t="s">
        <v>291</v>
      </c>
      <c r="GB2422" s="2">
        <v>42055.0</v>
      </c>
      <c r="GC2422" s="1" t="s">
        <v>22111</v>
      </c>
    </row>
    <row r="2423">
      <c r="A2423" s="1">
        <v>460000.0</v>
      </c>
      <c r="B2423" s="1" t="s">
        <v>185</v>
      </c>
      <c r="C2423" s="1" t="str">
        <f>"08812017"</f>
        <v>08812017</v>
      </c>
      <c r="D2423" s="1" t="s">
        <v>186</v>
      </c>
      <c r="F2423" s="1" t="str">
        <f>"8005"</f>
        <v>8005</v>
      </c>
      <c r="G2423" s="2">
        <v>42012.0</v>
      </c>
      <c r="H2423" s="1">
        <v>499000.0</v>
      </c>
      <c r="I2423" s="1">
        <v>40.0</v>
      </c>
      <c r="J2423" s="1">
        <v>499000.0</v>
      </c>
      <c r="K2423" s="2">
        <v>42051.0</v>
      </c>
      <c r="L2423" s="1">
        <v>40.0</v>
      </c>
      <c r="M2423" s="2">
        <v>42051.0</v>
      </c>
      <c r="N2423" s="1" t="s">
        <v>187</v>
      </c>
      <c r="O2423" s="2">
        <v>42086.0</v>
      </c>
      <c r="P2423" s="1">
        <v>106635.0</v>
      </c>
      <c r="Q2423" s="1">
        <v>84729.0</v>
      </c>
      <c r="S2423" s="1">
        <v>1830.0</v>
      </c>
      <c r="T2423" s="1" t="s">
        <v>22112</v>
      </c>
      <c r="U2423" s="1" t="s">
        <v>189</v>
      </c>
      <c r="V2423" s="1" t="s">
        <v>190</v>
      </c>
      <c r="W2423" s="1">
        <v>60613.0</v>
      </c>
      <c r="Y2423" s="1" t="s">
        <v>22113</v>
      </c>
      <c r="Z2423" s="1">
        <v>1886.0</v>
      </c>
      <c r="AA2423" s="1" t="s">
        <v>192</v>
      </c>
      <c r="AB2423" s="1" t="s">
        <v>193</v>
      </c>
      <c r="AD2423" s="1" t="s">
        <v>194</v>
      </c>
      <c r="AE2423" s="1" t="s">
        <v>195</v>
      </c>
      <c r="AF2423" s="1" t="s">
        <v>534</v>
      </c>
      <c r="AH2423" s="1" t="s">
        <v>22114</v>
      </c>
      <c r="AK2423" s="1">
        <v>9.0</v>
      </c>
      <c r="AL2423" s="1">
        <v>4.0</v>
      </c>
      <c r="AM2423" s="1">
        <v>1.0</v>
      </c>
      <c r="AN2423" s="1">
        <v>0.0</v>
      </c>
      <c r="AO2423" s="1" t="s">
        <v>229</v>
      </c>
      <c r="AQ2423" s="1" t="s">
        <v>198</v>
      </c>
      <c r="AR2423" s="1" t="s">
        <v>200</v>
      </c>
      <c r="AS2423" s="1" t="s">
        <v>199</v>
      </c>
      <c r="AT2423" s="1">
        <v>2.0</v>
      </c>
      <c r="AV2423" s="1" t="s">
        <v>200</v>
      </c>
      <c r="AW2423" s="1">
        <v>7148.0</v>
      </c>
      <c r="AX2423" s="1">
        <v>2013.0</v>
      </c>
      <c r="AY2423" s="1" t="s">
        <v>387</v>
      </c>
      <c r="AZ2423" s="1" t="s">
        <v>545</v>
      </c>
      <c r="BA2423" s="1" t="str">
        <f>"14184170240000"</f>
        <v>14184170240000</v>
      </c>
      <c r="BC2423" s="1">
        <v>2000.0</v>
      </c>
      <c r="BD2423" s="1">
        <v>460000.0</v>
      </c>
      <c r="BE2423" s="2">
        <v>42012.0</v>
      </c>
      <c r="BF2423" s="2" t="s">
        <v>22115</v>
      </c>
      <c r="BH2423" s="1">
        <v>0.0</v>
      </c>
      <c r="BK2423" s="1" t="s">
        <v>204</v>
      </c>
      <c r="BL2423" s="1" t="str">
        <f>"4000"</f>
        <v>4000</v>
      </c>
      <c r="BM2423" s="1" t="str">
        <f t="shared" si="1581"/>
        <v>0</v>
      </c>
      <c r="BN2423" s="1">
        <v>1830.0</v>
      </c>
      <c r="BO2423" s="1">
        <v>0.0</v>
      </c>
      <c r="BQ2423" s="1">
        <v>299.0</v>
      </c>
      <c r="BR2423" s="1">
        <v>299.0</v>
      </c>
      <c r="BS2423" s="1">
        <v>299.0</v>
      </c>
      <c r="BU2423" s="1" t="s">
        <v>616</v>
      </c>
      <c r="BV2423" s="1" t="s">
        <v>206</v>
      </c>
      <c r="BW2423" s="1" t="s">
        <v>207</v>
      </c>
      <c r="BY2423" s="1" t="s">
        <v>433</v>
      </c>
      <c r="BZ2423" s="1" t="s">
        <v>209</v>
      </c>
      <c r="CA2423" s="1" t="s">
        <v>210</v>
      </c>
      <c r="CC2423" s="1" t="s">
        <v>758</v>
      </c>
      <c r="CD2423" s="1" t="s">
        <v>206</v>
      </c>
      <c r="CE2423" s="1" t="s">
        <v>207</v>
      </c>
      <c r="CG2423" s="1" t="s">
        <v>363</v>
      </c>
      <c r="CH2423" s="1" t="s">
        <v>209</v>
      </c>
      <c r="CI2423" s="1" t="s">
        <v>210</v>
      </c>
      <c r="CK2423" s="1" t="s">
        <v>454</v>
      </c>
      <c r="CL2423" s="1" t="s">
        <v>209</v>
      </c>
      <c r="CM2423" s="1" t="s">
        <v>617</v>
      </c>
      <c r="CO2423" s="1" t="s">
        <v>269</v>
      </c>
      <c r="CP2423" s="1" t="s">
        <v>206</v>
      </c>
      <c r="CQ2423" s="1" t="s">
        <v>207</v>
      </c>
      <c r="CS2423" s="1" t="s">
        <v>454</v>
      </c>
      <c r="CT2423" s="1" t="s">
        <v>206</v>
      </c>
      <c r="CU2423" s="1" t="s">
        <v>301</v>
      </c>
      <c r="CX2423" s="1" t="s">
        <v>204</v>
      </c>
      <c r="DA2423" s="1" t="s">
        <v>200</v>
      </c>
      <c r="DC2423" s="1" t="s">
        <v>642</v>
      </c>
      <c r="DE2423" s="1" t="s">
        <v>273</v>
      </c>
      <c r="DF2423" s="1" t="s">
        <v>219</v>
      </c>
      <c r="DH2423" s="1" t="s">
        <v>220</v>
      </c>
      <c r="DI2423" s="1" t="s">
        <v>789</v>
      </c>
      <c r="DJ2423" s="1" t="s">
        <v>222</v>
      </c>
      <c r="DK2423" s="1" t="s">
        <v>3740</v>
      </c>
      <c r="DL2423" s="1" t="s">
        <v>223</v>
      </c>
      <c r="DM2423" s="1" t="s">
        <v>229</v>
      </c>
      <c r="DP2423" s="1" t="s">
        <v>340</v>
      </c>
      <c r="DQ2423" s="1" t="s">
        <v>228</v>
      </c>
      <c r="DR2423" s="1" t="s">
        <v>229</v>
      </c>
      <c r="DV2423" s="1" t="s">
        <v>22116</v>
      </c>
      <c r="DW2423" s="1" t="s">
        <v>667</v>
      </c>
      <c r="DX2423" s="1" t="s">
        <v>309</v>
      </c>
      <c r="DY2423" s="1" t="s">
        <v>704</v>
      </c>
      <c r="EA2423" s="1" t="s">
        <v>3112</v>
      </c>
      <c r="EC2423" s="1" t="s">
        <v>237</v>
      </c>
      <c r="EG2423" s="1" t="s">
        <v>598</v>
      </c>
      <c r="EH2423" s="1" t="s">
        <v>720</v>
      </c>
      <c r="EI2423" s="1" t="s">
        <v>1228</v>
      </c>
      <c r="EL2423" s="1" t="s">
        <v>266</v>
      </c>
      <c r="EM2423" s="1" t="s">
        <v>206</v>
      </c>
      <c r="EN2423" s="1" t="s">
        <v>1790</v>
      </c>
      <c r="EP2423" s="1" t="s">
        <v>1137</v>
      </c>
      <c r="EQ2423" s="1" t="s">
        <v>206</v>
      </c>
      <c r="ET2423" s="1" t="s">
        <v>699</v>
      </c>
      <c r="EU2423" s="1" t="s">
        <v>209</v>
      </c>
      <c r="EV2423" s="1" t="s">
        <v>210</v>
      </c>
      <c r="EY2423" s="1" t="s">
        <v>238</v>
      </c>
      <c r="FC2423" s="1" t="s">
        <v>238</v>
      </c>
      <c r="FF2423" s="1" t="s">
        <v>239</v>
      </c>
      <c r="FG2423" s="1" t="s">
        <v>192</v>
      </c>
      <c r="FH2423" s="1" t="s">
        <v>192</v>
      </c>
      <c r="FJ2423" s="1" t="s">
        <v>4029</v>
      </c>
      <c r="FK2423" s="1" t="s">
        <v>229</v>
      </c>
      <c r="FL2423" s="1" t="s">
        <v>6182</v>
      </c>
      <c r="FM2423" s="1">
        <v>3145.0</v>
      </c>
      <c r="FN2423" s="1" t="s">
        <v>12054</v>
      </c>
      <c r="FO2423" s="1" t="s">
        <v>22117</v>
      </c>
      <c r="FP2423" s="1">
        <v>33847.0</v>
      </c>
      <c r="FQ2423" s="1" t="s">
        <v>22118</v>
      </c>
      <c r="FU2423" s="1" t="s">
        <v>22119</v>
      </c>
      <c r="FV2423" s="1" t="s">
        <v>200</v>
      </c>
      <c r="FW2423" s="1" t="s">
        <v>22120</v>
      </c>
      <c r="FX2423" s="1" t="s">
        <v>246</v>
      </c>
      <c r="FZ2423" s="1" t="s">
        <v>229</v>
      </c>
      <c r="GA2423" s="1" t="s">
        <v>291</v>
      </c>
      <c r="GB2423" s="2">
        <v>42088.0</v>
      </c>
      <c r="GC2423" s="1" t="s">
        <v>22121</v>
      </c>
    </row>
    <row r="2424">
      <c r="A2424" s="1">
        <v>665500.0</v>
      </c>
      <c r="B2424" s="1" t="s">
        <v>185</v>
      </c>
      <c r="C2424" s="1" t="str">
        <f>"08815420"</f>
        <v>08815420</v>
      </c>
      <c r="D2424" s="1" t="s">
        <v>186</v>
      </c>
      <c r="F2424" s="1" t="str">
        <f>"8022"</f>
        <v>8022</v>
      </c>
      <c r="G2424" s="2">
        <v>42017.0</v>
      </c>
      <c r="H2424" s="1">
        <v>679000.0</v>
      </c>
      <c r="I2424" s="1">
        <v>21.0</v>
      </c>
      <c r="J2424" s="1">
        <v>679000.0</v>
      </c>
      <c r="K2424" s="2">
        <v>42037.0</v>
      </c>
      <c r="L2424" s="1">
        <v>21.0</v>
      </c>
      <c r="M2424" s="2">
        <v>42037.0</v>
      </c>
      <c r="N2424" s="1" t="s">
        <v>187</v>
      </c>
      <c r="O2424" s="2">
        <v>42073.0</v>
      </c>
      <c r="P2424" s="1">
        <v>189932.0</v>
      </c>
      <c r="Q2424" s="1">
        <v>10646.0</v>
      </c>
      <c r="S2424" s="1">
        <v>1811.0</v>
      </c>
      <c r="T2424" s="1" t="s">
        <v>8505</v>
      </c>
      <c r="U2424" s="1" t="s">
        <v>320</v>
      </c>
      <c r="V2424" s="1" t="s">
        <v>190</v>
      </c>
      <c r="W2424" s="1">
        <v>60647.0</v>
      </c>
      <c r="Y2424" s="1" t="s">
        <v>9030</v>
      </c>
      <c r="Z2424" s="1">
        <v>2014.0</v>
      </c>
      <c r="AA2424" s="1" t="s">
        <v>200</v>
      </c>
      <c r="AB2424" s="1" t="s">
        <v>193</v>
      </c>
      <c r="AD2424" s="1" t="s">
        <v>194</v>
      </c>
      <c r="AE2424" s="1" t="s">
        <v>195</v>
      </c>
      <c r="AF2424" s="1" t="s">
        <v>2645</v>
      </c>
      <c r="AH2424" s="1" t="s">
        <v>2611</v>
      </c>
      <c r="AK2424" s="1">
        <v>8.0</v>
      </c>
      <c r="AL2424" s="1">
        <v>4.0</v>
      </c>
      <c r="AM2424" s="1">
        <v>3.0</v>
      </c>
      <c r="AN2424" s="1">
        <v>1.0</v>
      </c>
      <c r="AO2424" s="1" t="s">
        <v>198</v>
      </c>
      <c r="AQ2424" s="1" t="s">
        <v>472</v>
      </c>
      <c r="AR2424" s="1" t="s">
        <v>192</v>
      </c>
      <c r="AS2424" s="1" t="s">
        <v>199</v>
      </c>
      <c r="AT2424" s="1">
        <v>2.0</v>
      </c>
      <c r="AV2424" s="1" t="s">
        <v>200</v>
      </c>
      <c r="AW2424" s="1" t="s">
        <v>575</v>
      </c>
      <c r="AX2424" s="1">
        <v>2013.0</v>
      </c>
      <c r="AZ2424" s="1" t="s">
        <v>200</v>
      </c>
      <c r="BA2424" s="1" t="str">
        <f>"13363150190000"</f>
        <v>13363150190000</v>
      </c>
      <c r="BC2424" s="1">
        <v>2900.0</v>
      </c>
      <c r="BD2424" s="1">
        <v>665500.0</v>
      </c>
      <c r="BE2424" s="2">
        <v>42017.0</v>
      </c>
      <c r="BF2424" s="2" t="s">
        <v>9031</v>
      </c>
      <c r="BH2424" s="1">
        <v>0.0</v>
      </c>
      <c r="BK2424" s="1" t="s">
        <v>204</v>
      </c>
      <c r="BL2424" s="1" t="str">
        <f>"1811"</f>
        <v>1811</v>
      </c>
      <c r="BM2424" s="1" t="str">
        <f t="shared" si="1581"/>
        <v>0</v>
      </c>
      <c r="BN2424" s="1">
        <v>2800.0</v>
      </c>
      <c r="BO2424" s="1">
        <v>0.0</v>
      </c>
      <c r="BQ2424" s="1">
        <v>299.0</v>
      </c>
      <c r="BR2424" s="1">
        <v>299.0</v>
      </c>
      <c r="BS2424" s="1">
        <v>299.0</v>
      </c>
      <c r="BU2424" s="1" t="s">
        <v>583</v>
      </c>
      <c r="BV2424" s="1" t="s">
        <v>206</v>
      </c>
      <c r="BW2424" s="1" t="s">
        <v>207</v>
      </c>
      <c r="BX2424" s="1" t="s">
        <v>229</v>
      </c>
      <c r="BY2424" s="1" t="s">
        <v>454</v>
      </c>
      <c r="BZ2424" s="1" t="s">
        <v>209</v>
      </c>
      <c r="CA2424" s="1" t="s">
        <v>210</v>
      </c>
      <c r="CB2424" s="1" t="s">
        <v>229</v>
      </c>
      <c r="CC2424" s="1" t="s">
        <v>205</v>
      </c>
      <c r="CD2424" s="1" t="s">
        <v>206</v>
      </c>
      <c r="CE2424" s="1" t="s">
        <v>207</v>
      </c>
      <c r="CF2424" s="1" t="s">
        <v>229</v>
      </c>
      <c r="CG2424" s="1" t="s">
        <v>647</v>
      </c>
      <c r="CH2424" s="1" t="s">
        <v>209</v>
      </c>
      <c r="CI2424" s="1" t="s">
        <v>210</v>
      </c>
      <c r="CJ2424" s="1" t="s">
        <v>229</v>
      </c>
      <c r="CK2424" s="1" t="s">
        <v>264</v>
      </c>
      <c r="CL2424" s="1" t="s">
        <v>209</v>
      </c>
      <c r="CM2424" s="1" t="s">
        <v>210</v>
      </c>
      <c r="CN2424" s="1" t="s">
        <v>229</v>
      </c>
      <c r="CO2424" s="1" t="s">
        <v>212</v>
      </c>
      <c r="CP2424" s="1" t="s">
        <v>267</v>
      </c>
      <c r="CQ2424" s="1" t="s">
        <v>210</v>
      </c>
      <c r="CR2424" s="1" t="s">
        <v>229</v>
      </c>
      <c r="CS2424" s="1" t="s">
        <v>361</v>
      </c>
      <c r="CT2424" s="1" t="s">
        <v>206</v>
      </c>
      <c r="CU2424" s="1" t="s">
        <v>207</v>
      </c>
      <c r="CV2424" s="1" t="s">
        <v>229</v>
      </c>
      <c r="CW2424" s="1" t="s">
        <v>9032</v>
      </c>
      <c r="CX2424" s="1" t="s">
        <v>267</v>
      </c>
      <c r="CY2424" s="1" t="s">
        <v>588</v>
      </c>
      <c r="CZ2424" s="1" t="s">
        <v>229</v>
      </c>
      <c r="DA2424" s="1" t="s">
        <v>200</v>
      </c>
      <c r="DC2424" s="1" t="s">
        <v>1046</v>
      </c>
      <c r="DD2424" s="1" t="s">
        <v>731</v>
      </c>
      <c r="DE2424" s="1" t="s">
        <v>273</v>
      </c>
      <c r="DF2424" s="1" t="s">
        <v>219</v>
      </c>
      <c r="DH2424" s="1" t="s">
        <v>307</v>
      </c>
      <c r="DI2424" s="1" t="s">
        <v>9033</v>
      </c>
      <c r="DJ2424" s="1" t="s">
        <v>222</v>
      </c>
      <c r="DL2424" s="1" t="s">
        <v>224</v>
      </c>
      <c r="DM2424" s="1" t="s">
        <v>229</v>
      </c>
      <c r="DP2424" s="1" t="s">
        <v>2380</v>
      </c>
      <c r="DQ2424" s="1" t="s">
        <v>718</v>
      </c>
      <c r="DR2424" s="1" t="s">
        <v>229</v>
      </c>
      <c r="DU2424" s="1" t="s">
        <v>1933</v>
      </c>
      <c r="DV2424" s="1" t="s">
        <v>232</v>
      </c>
      <c r="DW2424" s="1" t="s">
        <v>489</v>
      </c>
      <c r="DX2424" s="1" t="s">
        <v>234</v>
      </c>
      <c r="EC2424" s="1" t="s">
        <v>237</v>
      </c>
      <c r="EM2424" s="1" t="s">
        <v>238</v>
      </c>
      <c r="EQ2424" s="1" t="s">
        <v>238</v>
      </c>
      <c r="EU2424" s="1" t="s">
        <v>238</v>
      </c>
      <c r="EY2424" s="1" t="s">
        <v>238</v>
      </c>
      <c r="FC2424" s="1" t="s">
        <v>238</v>
      </c>
      <c r="FF2424" s="1" t="s">
        <v>239</v>
      </c>
      <c r="FG2424" s="1" t="s">
        <v>192</v>
      </c>
      <c r="FH2424" s="1" t="s">
        <v>192</v>
      </c>
      <c r="FJ2424" s="1" t="s">
        <v>799</v>
      </c>
      <c r="FK2424" s="1" t="s">
        <v>229</v>
      </c>
      <c r="FL2424" s="1" t="s">
        <v>562</v>
      </c>
      <c r="FM2424" s="1">
        <v>16379.0</v>
      </c>
      <c r="FN2424" s="1" t="s">
        <v>563</v>
      </c>
      <c r="FO2424" s="1" t="s">
        <v>9034</v>
      </c>
      <c r="FP2424" s="1">
        <v>181397.0</v>
      </c>
      <c r="FR2424" s="1">
        <v>878086.0</v>
      </c>
      <c r="FU2424" s="1" t="s">
        <v>22122</v>
      </c>
      <c r="FV2424" s="1" t="s">
        <v>200</v>
      </c>
      <c r="FW2424" s="1" t="s">
        <v>290</v>
      </c>
      <c r="FX2424" s="1" t="s">
        <v>238</v>
      </c>
      <c r="FZ2424" s="1" t="s">
        <v>229</v>
      </c>
      <c r="GA2424" s="1" t="s">
        <v>291</v>
      </c>
      <c r="GB2424" s="2">
        <v>42076.0</v>
      </c>
      <c r="GC2424" s="1" t="s">
        <v>22123</v>
      </c>
    </row>
    <row r="2425">
      <c r="A2425" s="1">
        <v>260000.0</v>
      </c>
      <c r="B2425" s="1" t="s">
        <v>185</v>
      </c>
      <c r="C2425" s="1" t="str">
        <f>"08816708"</f>
        <v>08816708</v>
      </c>
      <c r="D2425" s="1" t="s">
        <v>186</v>
      </c>
      <c r="F2425" s="1" t="str">
        <f>"10"</f>
        <v>10</v>
      </c>
      <c r="G2425" s="2">
        <v>42019.0</v>
      </c>
      <c r="H2425" s="1">
        <v>269900.0</v>
      </c>
      <c r="I2425" s="1">
        <v>240.0</v>
      </c>
      <c r="J2425" s="1">
        <v>269900.0</v>
      </c>
      <c r="K2425" s="2">
        <v>42055.0</v>
      </c>
      <c r="L2425" s="1">
        <v>37.0</v>
      </c>
      <c r="M2425" s="2">
        <v>42055.0</v>
      </c>
      <c r="N2425" s="1" t="s">
        <v>187</v>
      </c>
      <c r="O2425" s="2">
        <v>42117.0</v>
      </c>
      <c r="P2425" s="1">
        <v>88401.0</v>
      </c>
      <c r="Q2425" s="1">
        <v>8666.0</v>
      </c>
      <c r="S2425" s="1">
        <v>502.0</v>
      </c>
      <c r="T2425" s="1" t="s">
        <v>22124</v>
      </c>
      <c r="U2425" s="1" t="s">
        <v>1174</v>
      </c>
      <c r="V2425" s="1" t="s">
        <v>5677</v>
      </c>
      <c r="W2425" s="1">
        <v>60010.0</v>
      </c>
      <c r="Y2425" s="1" t="s">
        <v>22125</v>
      </c>
      <c r="Z2425" s="1">
        <v>2001.0</v>
      </c>
      <c r="AA2425" s="1" t="s">
        <v>200</v>
      </c>
      <c r="AB2425" s="1" t="s">
        <v>193</v>
      </c>
      <c r="AC2425" s="1" t="s">
        <v>22126</v>
      </c>
      <c r="AD2425" s="1" t="s">
        <v>5680</v>
      </c>
      <c r="AE2425" s="1" t="s">
        <v>5681</v>
      </c>
      <c r="AF2425" s="1" t="s">
        <v>22127</v>
      </c>
      <c r="AG2425" s="1" t="s">
        <v>10786</v>
      </c>
      <c r="AH2425" s="1" t="s">
        <v>22128</v>
      </c>
      <c r="AI2425" s="1">
        <v>0.2833</v>
      </c>
      <c r="AK2425" s="1">
        <v>9.0</v>
      </c>
      <c r="AL2425" s="1">
        <v>4.0</v>
      </c>
      <c r="AM2425" s="1">
        <v>2.0</v>
      </c>
      <c r="AN2425" s="1">
        <v>1.0</v>
      </c>
      <c r="AO2425" s="1" t="s">
        <v>198</v>
      </c>
      <c r="AQ2425" s="1" t="s">
        <v>198</v>
      </c>
      <c r="AR2425" s="1" t="s">
        <v>200</v>
      </c>
      <c r="AS2425" s="1" t="s">
        <v>199</v>
      </c>
      <c r="AT2425" s="1">
        <v>2.0</v>
      </c>
      <c r="AV2425" s="1" t="s">
        <v>200</v>
      </c>
      <c r="AW2425" s="1">
        <v>7324.14</v>
      </c>
      <c r="AX2425" s="1">
        <v>2013.0</v>
      </c>
      <c r="AY2425" s="1" t="s">
        <v>387</v>
      </c>
      <c r="AZ2425" s="1" t="s">
        <v>200</v>
      </c>
      <c r="BA2425" s="1" t="str">
        <f>"1532429001"</f>
        <v>1532429001</v>
      </c>
      <c r="BB2425" s="1" t="s">
        <v>200</v>
      </c>
      <c r="BC2425" s="1">
        <v>2479.0</v>
      </c>
      <c r="BD2425" s="1">
        <v>260000.0</v>
      </c>
      <c r="BE2425" s="2">
        <v>42019.0</v>
      </c>
      <c r="BF2425" s="2" t="s">
        <v>22129</v>
      </c>
      <c r="BG2425" s="1" t="s">
        <v>22130</v>
      </c>
      <c r="BH2425" s="1">
        <v>55.0</v>
      </c>
      <c r="BI2425" s="1" t="s">
        <v>22131</v>
      </c>
      <c r="BJ2425" s="1" t="s">
        <v>22132</v>
      </c>
      <c r="BK2425" s="1" t="s">
        <v>474</v>
      </c>
      <c r="BL2425" s="1" t="str">
        <f t="shared" ref="BL2425:BM2425" si="1582">""</f>
        <v/>
      </c>
      <c r="BM2425" s="1" t="str">
        <f t="shared" si="1582"/>
        <v/>
      </c>
      <c r="BQ2425" s="1">
        <v>118.0</v>
      </c>
      <c r="BR2425" s="1">
        <v>118.0</v>
      </c>
      <c r="BS2425" s="1">
        <v>118.0</v>
      </c>
      <c r="BU2425" s="1" t="s">
        <v>214</v>
      </c>
      <c r="BV2425" s="1" t="s">
        <v>206</v>
      </c>
      <c r="BW2425" s="1" t="s">
        <v>210</v>
      </c>
      <c r="BX2425" s="1" t="s">
        <v>239</v>
      </c>
      <c r="BY2425" s="1" t="s">
        <v>477</v>
      </c>
      <c r="BZ2425" s="1" t="s">
        <v>209</v>
      </c>
      <c r="CA2425" s="1" t="s">
        <v>210</v>
      </c>
      <c r="CB2425" s="1" t="s">
        <v>239</v>
      </c>
      <c r="CC2425" s="1" t="s">
        <v>433</v>
      </c>
      <c r="CD2425" s="1" t="s">
        <v>206</v>
      </c>
      <c r="CE2425" s="1" t="s">
        <v>210</v>
      </c>
      <c r="CF2425" s="1" t="s">
        <v>239</v>
      </c>
      <c r="CG2425" s="1" t="s">
        <v>212</v>
      </c>
      <c r="CH2425" s="1" t="s">
        <v>209</v>
      </c>
      <c r="CI2425" s="1" t="s">
        <v>210</v>
      </c>
      <c r="CJ2425" s="1" t="s">
        <v>239</v>
      </c>
      <c r="CK2425" s="1" t="s">
        <v>212</v>
      </c>
      <c r="CL2425" s="1" t="s">
        <v>209</v>
      </c>
      <c r="CM2425" s="1" t="s">
        <v>210</v>
      </c>
      <c r="CN2425" s="1" t="s">
        <v>239</v>
      </c>
      <c r="CO2425" s="1" t="s">
        <v>212</v>
      </c>
      <c r="CP2425" s="1" t="s">
        <v>209</v>
      </c>
      <c r="CQ2425" s="1" t="s">
        <v>210</v>
      </c>
      <c r="CR2425" s="1" t="s">
        <v>239</v>
      </c>
      <c r="CS2425" s="1" t="s">
        <v>392</v>
      </c>
      <c r="CT2425" s="1" t="s">
        <v>206</v>
      </c>
      <c r="CU2425" s="1" t="s">
        <v>268</v>
      </c>
      <c r="CV2425" s="1" t="s">
        <v>239</v>
      </c>
      <c r="CW2425" s="1" t="s">
        <v>433</v>
      </c>
      <c r="CX2425" s="1" t="s">
        <v>206</v>
      </c>
      <c r="CY2425" s="1" t="s">
        <v>210</v>
      </c>
      <c r="CZ2425" s="1" t="s">
        <v>239</v>
      </c>
      <c r="DA2425" s="1" t="s">
        <v>200</v>
      </c>
      <c r="DC2425" s="1" t="s">
        <v>335</v>
      </c>
      <c r="DD2425" s="1" t="s">
        <v>957</v>
      </c>
      <c r="DE2425" s="1" t="s">
        <v>273</v>
      </c>
      <c r="DF2425" s="1" t="s">
        <v>219</v>
      </c>
      <c r="DG2425" s="1" t="s">
        <v>482</v>
      </c>
      <c r="DH2425" s="1" t="s">
        <v>856</v>
      </c>
      <c r="DI2425" s="1" t="s">
        <v>221</v>
      </c>
      <c r="DJ2425" s="1" t="s">
        <v>222</v>
      </c>
      <c r="DK2425" s="1" t="s">
        <v>223</v>
      </c>
      <c r="DL2425" s="1" t="s">
        <v>223</v>
      </c>
      <c r="DM2425" s="1" t="s">
        <v>338</v>
      </c>
      <c r="DN2425" s="1" t="s">
        <v>485</v>
      </c>
      <c r="DO2425" s="1" t="s">
        <v>590</v>
      </c>
      <c r="DP2425" s="1" t="s">
        <v>340</v>
      </c>
      <c r="DQ2425" s="1" t="s">
        <v>441</v>
      </c>
      <c r="DR2425" s="1" t="s">
        <v>1185</v>
      </c>
      <c r="DS2425" s="1" t="s">
        <v>368</v>
      </c>
      <c r="DU2425" s="1" t="s">
        <v>22133</v>
      </c>
      <c r="DV2425" s="1" t="s">
        <v>22134</v>
      </c>
      <c r="DW2425" s="1" t="s">
        <v>233</v>
      </c>
      <c r="DX2425" s="1" t="s">
        <v>234</v>
      </c>
      <c r="DY2425" s="1" t="s">
        <v>1189</v>
      </c>
      <c r="DZ2425" s="1" t="s">
        <v>22135</v>
      </c>
      <c r="EA2425" s="1" t="s">
        <v>447</v>
      </c>
      <c r="EC2425" s="1" t="s">
        <v>237</v>
      </c>
      <c r="ED2425" s="1" t="s">
        <v>864</v>
      </c>
      <c r="EE2425" s="1" t="s">
        <v>493</v>
      </c>
      <c r="EG2425" s="1" t="s">
        <v>449</v>
      </c>
      <c r="EH2425" s="1" t="s">
        <v>408</v>
      </c>
      <c r="EI2425" s="1" t="s">
        <v>1270</v>
      </c>
      <c r="EL2425" s="1" t="s">
        <v>363</v>
      </c>
      <c r="EM2425" s="1" t="s">
        <v>206</v>
      </c>
      <c r="EN2425" s="1" t="s">
        <v>268</v>
      </c>
      <c r="EO2425" s="1" t="s">
        <v>239</v>
      </c>
      <c r="EP2425" s="1" t="s">
        <v>1796</v>
      </c>
      <c r="EQ2425" s="1" t="s">
        <v>206</v>
      </c>
      <c r="ER2425" s="1" t="s">
        <v>268</v>
      </c>
      <c r="ET2425" s="1" t="s">
        <v>16933</v>
      </c>
      <c r="EU2425" s="1" t="s">
        <v>42</v>
      </c>
      <c r="EY2425" s="1" t="s">
        <v>238</v>
      </c>
      <c r="FC2425" s="1" t="s">
        <v>238</v>
      </c>
      <c r="FF2425" s="1" t="s">
        <v>239</v>
      </c>
      <c r="FG2425" s="1" t="s">
        <v>192</v>
      </c>
      <c r="FH2425" s="1" t="s">
        <v>192</v>
      </c>
      <c r="FJ2425" s="1" t="s">
        <v>799</v>
      </c>
      <c r="FK2425" s="1" t="s">
        <v>229</v>
      </c>
      <c r="FL2425" s="1" t="s">
        <v>8240</v>
      </c>
      <c r="FM2425" s="1">
        <v>8340.0</v>
      </c>
      <c r="FN2425" s="1" t="s">
        <v>8241</v>
      </c>
      <c r="FO2425" s="1" t="s">
        <v>22136</v>
      </c>
      <c r="FP2425" s="1">
        <v>238382.0</v>
      </c>
      <c r="FU2425" s="1" t="s">
        <v>22137</v>
      </c>
      <c r="FV2425" s="1" t="s">
        <v>200</v>
      </c>
      <c r="FW2425" s="1" t="s">
        <v>290</v>
      </c>
      <c r="FZ2425" s="1" t="s">
        <v>2993</v>
      </c>
      <c r="GA2425" s="1" t="s">
        <v>291</v>
      </c>
      <c r="GB2425" s="2">
        <v>42119.0</v>
      </c>
      <c r="GC2425" s="1" t="s">
        <v>22138</v>
      </c>
    </row>
    <row r="2426">
      <c r="A2426" s="1">
        <v>81000.0</v>
      </c>
      <c r="B2426" s="1" t="s">
        <v>185</v>
      </c>
      <c r="C2426" s="1" t="str">
        <f>"08816370"</f>
        <v>08816370</v>
      </c>
      <c r="D2426" s="1" t="s">
        <v>186</v>
      </c>
      <c r="F2426" s="1" t="str">
        <f>"8023"</f>
        <v>8023</v>
      </c>
      <c r="G2426" s="2">
        <v>42018.0</v>
      </c>
      <c r="H2426" s="1">
        <v>79900.0</v>
      </c>
      <c r="I2426" s="1">
        <v>16.0</v>
      </c>
      <c r="J2426" s="1">
        <v>79900.0</v>
      </c>
      <c r="K2426" s="2">
        <v>42033.0</v>
      </c>
      <c r="L2426" s="1">
        <v>16.0</v>
      </c>
      <c r="M2426" s="2">
        <v>42033.0</v>
      </c>
      <c r="N2426" s="1" t="s">
        <v>249</v>
      </c>
      <c r="O2426" s="2">
        <v>42052.0</v>
      </c>
      <c r="P2426" s="1">
        <v>125145.0</v>
      </c>
      <c r="Q2426" s="1">
        <v>84301.0</v>
      </c>
      <c r="S2426" s="1">
        <v>1043.0</v>
      </c>
      <c r="T2426" s="1" t="s">
        <v>3654</v>
      </c>
      <c r="U2426" s="1" t="s">
        <v>189</v>
      </c>
      <c r="V2426" s="1" t="s">
        <v>190</v>
      </c>
      <c r="W2426" s="1">
        <v>60651.0</v>
      </c>
      <c r="Y2426" s="1" t="s">
        <v>22139</v>
      </c>
      <c r="Z2426" s="1">
        <v>1909.0</v>
      </c>
      <c r="AA2426" s="1" t="s">
        <v>192</v>
      </c>
      <c r="AB2426" s="1" t="s">
        <v>193</v>
      </c>
      <c r="AD2426" s="1" t="s">
        <v>194</v>
      </c>
      <c r="AE2426" s="1" t="s">
        <v>195</v>
      </c>
      <c r="AF2426" s="1" t="s">
        <v>827</v>
      </c>
      <c r="AH2426" s="1" t="s">
        <v>1501</v>
      </c>
      <c r="AI2426" s="1">
        <v>0.0875</v>
      </c>
      <c r="AK2426" s="1">
        <v>8.0</v>
      </c>
      <c r="AL2426" s="1">
        <v>4.0</v>
      </c>
      <c r="AM2426" s="1">
        <v>3.0</v>
      </c>
      <c r="AN2426" s="1">
        <v>0.0</v>
      </c>
      <c r="AO2426" s="1" t="s">
        <v>229</v>
      </c>
      <c r="AQ2426" s="1" t="s">
        <v>198</v>
      </c>
      <c r="AR2426" s="1" t="s">
        <v>192</v>
      </c>
      <c r="AS2426" s="1" t="s">
        <v>199</v>
      </c>
      <c r="AT2426" s="1">
        <v>2.0</v>
      </c>
      <c r="AV2426" s="1" t="s">
        <v>200</v>
      </c>
      <c r="AW2426" s="1">
        <v>2151.0</v>
      </c>
      <c r="AX2426" s="1">
        <v>2012.0</v>
      </c>
      <c r="AZ2426" s="1" t="s">
        <v>200</v>
      </c>
      <c r="BA2426" s="1" t="str">
        <f>"16034130060000"</f>
        <v>16034130060000</v>
      </c>
      <c r="BC2426" s="1">
        <v>920.0</v>
      </c>
      <c r="BD2426" s="1">
        <v>81000.0</v>
      </c>
      <c r="BE2426" s="2">
        <v>42018.0</v>
      </c>
      <c r="BF2426" s="2" t="s">
        <v>22140</v>
      </c>
      <c r="BH2426" s="1">
        <v>0.0</v>
      </c>
      <c r="BK2426" s="1" t="s">
        <v>204</v>
      </c>
      <c r="BL2426" s="1" t="str">
        <f>"1043"</f>
        <v>1043</v>
      </c>
      <c r="BM2426" s="1" t="str">
        <f t="shared" ref="BM2426:BM2428" si="1583">"0"</f>
        <v>0</v>
      </c>
      <c r="BN2426" s="1">
        <v>4134.0</v>
      </c>
      <c r="BO2426" s="1">
        <v>0.0</v>
      </c>
      <c r="BQ2426" s="1">
        <v>299.0</v>
      </c>
      <c r="BR2426" s="1">
        <v>299.0</v>
      </c>
      <c r="BS2426" s="1">
        <v>299.0</v>
      </c>
      <c r="BU2426" s="1" t="s">
        <v>215</v>
      </c>
      <c r="BV2426" s="1" t="s">
        <v>206</v>
      </c>
      <c r="BY2426" s="1" t="s">
        <v>3318</v>
      </c>
      <c r="BZ2426" s="1" t="s">
        <v>206</v>
      </c>
      <c r="CC2426" s="1" t="s">
        <v>363</v>
      </c>
      <c r="CD2426" s="1" t="s">
        <v>206</v>
      </c>
      <c r="CG2426" s="1" t="s">
        <v>4975</v>
      </c>
      <c r="CH2426" s="1" t="s">
        <v>206</v>
      </c>
      <c r="CK2426" s="1" t="s">
        <v>4975</v>
      </c>
      <c r="CL2426" s="1" t="s">
        <v>206</v>
      </c>
      <c r="CO2426" s="1" t="s">
        <v>215</v>
      </c>
      <c r="CP2426" s="1" t="s">
        <v>206</v>
      </c>
      <c r="CS2426" s="1" t="s">
        <v>1119</v>
      </c>
      <c r="CT2426" s="1" t="s">
        <v>206</v>
      </c>
      <c r="CW2426" s="1" t="s">
        <v>3538</v>
      </c>
      <c r="CX2426" s="1" t="s">
        <v>209</v>
      </c>
      <c r="DA2426" s="1" t="s">
        <v>200</v>
      </c>
      <c r="DC2426" s="1" t="s">
        <v>642</v>
      </c>
      <c r="DE2426" s="1" t="s">
        <v>229</v>
      </c>
      <c r="DF2426" s="1" t="s">
        <v>619</v>
      </c>
      <c r="DH2426" s="1" t="s">
        <v>220</v>
      </c>
      <c r="DJ2426" s="1" t="s">
        <v>222</v>
      </c>
      <c r="DL2426" s="1" t="s">
        <v>224</v>
      </c>
      <c r="DM2426" s="1" t="s">
        <v>229</v>
      </c>
      <c r="DQ2426" s="1" t="s">
        <v>228</v>
      </c>
      <c r="DR2426" s="1" t="s">
        <v>229</v>
      </c>
      <c r="DV2426" s="1" t="s">
        <v>232</v>
      </c>
      <c r="DW2426" s="1" t="s">
        <v>279</v>
      </c>
      <c r="DX2426" s="1" t="s">
        <v>234</v>
      </c>
      <c r="EC2426" s="1" t="s">
        <v>645</v>
      </c>
      <c r="EM2426" s="1" t="s">
        <v>238</v>
      </c>
      <c r="EQ2426" s="1" t="s">
        <v>238</v>
      </c>
      <c r="EU2426" s="1" t="s">
        <v>238</v>
      </c>
      <c r="EY2426" s="1" t="s">
        <v>238</v>
      </c>
      <c r="FC2426" s="1" t="s">
        <v>238</v>
      </c>
      <c r="FF2426" s="1" t="s">
        <v>239</v>
      </c>
      <c r="FG2426" s="1" t="s">
        <v>192</v>
      </c>
      <c r="FH2426" s="1" t="s">
        <v>192</v>
      </c>
      <c r="FJ2426" s="1" t="s">
        <v>770</v>
      </c>
      <c r="FK2426" s="1" t="s">
        <v>229</v>
      </c>
      <c r="FL2426" s="1" t="s">
        <v>22141</v>
      </c>
      <c r="FM2426" s="1">
        <v>15268.0</v>
      </c>
      <c r="FN2426" s="1" t="s">
        <v>22142</v>
      </c>
      <c r="FO2426" s="1" t="s">
        <v>22143</v>
      </c>
      <c r="FP2426" s="1">
        <v>112996.0</v>
      </c>
      <c r="FU2426" s="1" t="s">
        <v>6936</v>
      </c>
      <c r="FV2426" s="1" t="s">
        <v>200</v>
      </c>
      <c r="FW2426" s="1" t="s">
        <v>290</v>
      </c>
      <c r="FX2426" s="1" t="s">
        <v>238</v>
      </c>
      <c r="FZ2426" s="1" t="s">
        <v>229</v>
      </c>
      <c r="GA2426" s="1" t="s">
        <v>291</v>
      </c>
      <c r="GB2426" s="2">
        <v>42052.0</v>
      </c>
      <c r="GC2426" s="1" t="s">
        <v>22144</v>
      </c>
    </row>
    <row r="2427">
      <c r="A2427" s="1">
        <v>720000.0</v>
      </c>
      <c r="B2427" s="1" t="s">
        <v>185</v>
      </c>
      <c r="C2427" s="1" t="str">
        <f>"08830766"</f>
        <v>08830766</v>
      </c>
      <c r="D2427" s="1" t="s">
        <v>186</v>
      </c>
      <c r="F2427" s="1" t="str">
        <f>"8077"</f>
        <v>8077</v>
      </c>
      <c r="G2427" s="2">
        <v>42039.0</v>
      </c>
      <c r="H2427" s="1">
        <v>738000.0</v>
      </c>
      <c r="I2427" s="1">
        <v>24.0</v>
      </c>
      <c r="J2427" s="1">
        <v>738000.0</v>
      </c>
      <c r="K2427" s="2">
        <v>42037.0</v>
      </c>
      <c r="L2427" s="1">
        <v>2.0</v>
      </c>
      <c r="M2427" s="2">
        <v>42037.0</v>
      </c>
      <c r="N2427" s="1" t="s">
        <v>187</v>
      </c>
      <c r="O2427" s="2">
        <v>42047.0</v>
      </c>
      <c r="P2427" s="1">
        <v>37482.0</v>
      </c>
      <c r="Q2427" s="1">
        <v>3145.0</v>
      </c>
      <c r="S2427" s="1">
        <v>1606.0</v>
      </c>
      <c r="T2427" s="1" t="s">
        <v>22145</v>
      </c>
      <c r="U2427" s="1" t="s">
        <v>189</v>
      </c>
      <c r="V2427" s="1" t="s">
        <v>190</v>
      </c>
      <c r="W2427" s="1">
        <v>60660.0</v>
      </c>
      <c r="Y2427" s="1" t="s">
        <v>22146</v>
      </c>
      <c r="Z2427" s="1">
        <v>2005.0</v>
      </c>
      <c r="AA2427" s="1" t="s">
        <v>200</v>
      </c>
      <c r="AB2427" s="1" t="s">
        <v>193</v>
      </c>
      <c r="AC2427" s="1" t="s">
        <v>22147</v>
      </c>
      <c r="AD2427" s="1" t="s">
        <v>194</v>
      </c>
      <c r="AE2427" s="1" t="s">
        <v>195</v>
      </c>
      <c r="AF2427" s="1" t="s">
        <v>534</v>
      </c>
      <c r="AH2427" s="1" t="s">
        <v>741</v>
      </c>
      <c r="AK2427" s="1">
        <v>9.0</v>
      </c>
      <c r="AL2427" s="1">
        <v>3.0</v>
      </c>
      <c r="AM2427" s="1">
        <v>3.0</v>
      </c>
      <c r="AN2427" s="1">
        <v>1.0</v>
      </c>
      <c r="AO2427" s="1" t="s">
        <v>198</v>
      </c>
      <c r="AP2427" s="1">
        <v>2.0</v>
      </c>
      <c r="AQ2427" s="1" t="s">
        <v>198</v>
      </c>
      <c r="AR2427" s="1" t="s">
        <v>192</v>
      </c>
      <c r="AS2427" s="1" t="s">
        <v>199</v>
      </c>
      <c r="AT2427" s="1">
        <v>2.0</v>
      </c>
      <c r="AV2427" s="1" t="s">
        <v>200</v>
      </c>
      <c r="AW2427" s="1">
        <v>12801.32</v>
      </c>
      <c r="AX2427" s="1">
        <v>2013.0</v>
      </c>
      <c r="AY2427" s="1" t="s">
        <v>387</v>
      </c>
      <c r="AZ2427" s="1" t="s">
        <v>200</v>
      </c>
      <c r="BA2427" s="1" t="str">
        <f>"14064080510000"</f>
        <v>14064080510000</v>
      </c>
      <c r="BC2427" s="1">
        <v>3100.0</v>
      </c>
      <c r="BD2427" s="1">
        <v>720000.0</v>
      </c>
      <c r="BE2427" s="2">
        <v>42036.0</v>
      </c>
      <c r="BF2427" s="2" t="s">
        <v>22148</v>
      </c>
      <c r="BG2427" s="1" t="s">
        <v>4739</v>
      </c>
      <c r="BH2427" s="1">
        <v>0.0</v>
      </c>
      <c r="BK2427" s="1" t="s">
        <v>204</v>
      </c>
      <c r="BL2427" s="1" t="str">
        <f>"5700"</f>
        <v>5700</v>
      </c>
      <c r="BM2427" s="1" t="str">
        <f t="shared" si="1583"/>
        <v>0</v>
      </c>
      <c r="BN2427" s="1">
        <v>1600.0</v>
      </c>
      <c r="BO2427" s="1">
        <v>0.0</v>
      </c>
      <c r="BQ2427" s="1">
        <v>299.0</v>
      </c>
      <c r="BR2427" s="1">
        <v>299.0</v>
      </c>
      <c r="BS2427" s="1">
        <v>299.0</v>
      </c>
      <c r="BU2427" s="1" t="s">
        <v>639</v>
      </c>
      <c r="BV2427" s="1" t="s">
        <v>206</v>
      </c>
      <c r="BW2427" s="1" t="s">
        <v>207</v>
      </c>
      <c r="BY2427" s="1" t="s">
        <v>333</v>
      </c>
      <c r="BZ2427" s="1" t="s">
        <v>209</v>
      </c>
      <c r="CA2427" s="1" t="s">
        <v>210</v>
      </c>
      <c r="CC2427" s="1" t="s">
        <v>647</v>
      </c>
      <c r="CD2427" s="1" t="s">
        <v>206</v>
      </c>
      <c r="CE2427" s="1" t="s">
        <v>207</v>
      </c>
      <c r="CG2427" s="1" t="s">
        <v>213</v>
      </c>
      <c r="CH2427" s="1" t="s">
        <v>209</v>
      </c>
      <c r="CI2427" s="1" t="s">
        <v>210</v>
      </c>
      <c r="CK2427" s="1" t="s">
        <v>212</v>
      </c>
      <c r="CL2427" s="1" t="s">
        <v>209</v>
      </c>
      <c r="CM2427" s="1" t="s">
        <v>210</v>
      </c>
      <c r="CO2427" s="1" t="s">
        <v>269</v>
      </c>
      <c r="CP2427" s="1" t="s">
        <v>42</v>
      </c>
      <c r="CQ2427" s="1" t="s">
        <v>210</v>
      </c>
      <c r="CS2427" s="1" t="s">
        <v>262</v>
      </c>
      <c r="CT2427" s="1" t="s">
        <v>206</v>
      </c>
      <c r="CU2427" s="1" t="s">
        <v>207</v>
      </c>
      <c r="CW2427" s="1" t="s">
        <v>260</v>
      </c>
      <c r="CX2427" s="1" t="s">
        <v>206</v>
      </c>
      <c r="CY2427" s="1" t="s">
        <v>207</v>
      </c>
      <c r="DA2427" s="1" t="s">
        <v>200</v>
      </c>
      <c r="DC2427" s="1" t="s">
        <v>481</v>
      </c>
      <c r="DD2427" s="1" t="s">
        <v>679</v>
      </c>
      <c r="DE2427" s="1" t="s">
        <v>218</v>
      </c>
      <c r="DF2427" s="1" t="s">
        <v>219</v>
      </c>
      <c r="DG2427" s="1" t="s">
        <v>2311</v>
      </c>
      <c r="DH2427" s="1" t="s">
        <v>365</v>
      </c>
      <c r="DI2427" s="1" t="s">
        <v>2329</v>
      </c>
      <c r="DJ2427" s="1" t="s">
        <v>222</v>
      </c>
      <c r="DK2427" s="1" t="s">
        <v>1555</v>
      </c>
      <c r="DL2427" s="1" t="s">
        <v>1161</v>
      </c>
      <c r="DM2427" s="1" t="s">
        <v>225</v>
      </c>
      <c r="DN2427" s="1" t="s">
        <v>485</v>
      </c>
      <c r="DO2427" s="1" t="s">
        <v>549</v>
      </c>
      <c r="DP2427" s="1" t="s">
        <v>340</v>
      </c>
      <c r="DQ2427" s="1" t="s">
        <v>718</v>
      </c>
      <c r="DR2427" s="1" t="s">
        <v>229</v>
      </c>
      <c r="DS2427" s="1" t="s">
        <v>591</v>
      </c>
      <c r="DU2427" s="1" t="s">
        <v>746</v>
      </c>
      <c r="DV2427" s="1" t="s">
        <v>22149</v>
      </c>
      <c r="DW2427" s="1" t="s">
        <v>9914</v>
      </c>
      <c r="DX2427" s="1" t="s">
        <v>234</v>
      </c>
      <c r="DY2427" s="1" t="s">
        <v>1936</v>
      </c>
      <c r="DZ2427" s="1" t="s">
        <v>22150</v>
      </c>
      <c r="EB2427" s="1" t="s">
        <v>767</v>
      </c>
      <c r="EC2427" s="1" t="s">
        <v>237</v>
      </c>
      <c r="ED2427" s="1" t="s">
        <v>555</v>
      </c>
      <c r="EG2427" s="1" t="s">
        <v>450</v>
      </c>
      <c r="EH2427" s="1" t="s">
        <v>1103</v>
      </c>
      <c r="EI2427" s="1" t="s">
        <v>408</v>
      </c>
      <c r="EL2427" s="1" t="s">
        <v>2592</v>
      </c>
      <c r="EM2427" s="1" t="s">
        <v>42</v>
      </c>
      <c r="EN2427" s="1" t="s">
        <v>210</v>
      </c>
      <c r="EP2427" s="1" t="s">
        <v>205</v>
      </c>
      <c r="EQ2427" s="1" t="s">
        <v>42</v>
      </c>
      <c r="ER2427" s="1" t="s">
        <v>588</v>
      </c>
      <c r="ET2427" s="1" t="s">
        <v>1052</v>
      </c>
      <c r="EU2427" s="1" t="s">
        <v>206</v>
      </c>
      <c r="EV2427" s="1" t="s">
        <v>207</v>
      </c>
      <c r="EY2427" s="1" t="s">
        <v>238</v>
      </c>
      <c r="FC2427" s="1" t="s">
        <v>238</v>
      </c>
      <c r="FF2427" s="1" t="s">
        <v>239</v>
      </c>
      <c r="FG2427" s="1" t="s">
        <v>192</v>
      </c>
      <c r="FH2427" s="1" t="s">
        <v>192</v>
      </c>
      <c r="FJ2427" s="1" t="s">
        <v>561</v>
      </c>
      <c r="FK2427" s="1" t="s">
        <v>229</v>
      </c>
      <c r="FL2427" s="1" t="s">
        <v>3156</v>
      </c>
      <c r="FM2427" s="1">
        <v>84729.0</v>
      </c>
      <c r="FN2427" s="1" t="s">
        <v>3157</v>
      </c>
      <c r="FO2427" s="1" t="s">
        <v>22151</v>
      </c>
      <c r="FP2427" s="1">
        <v>150296.0</v>
      </c>
      <c r="FQ2427" s="1" t="s">
        <v>22152</v>
      </c>
      <c r="FU2427" s="1" t="s">
        <v>22153</v>
      </c>
      <c r="FV2427" s="1" t="s">
        <v>200</v>
      </c>
      <c r="FW2427" s="1" t="s">
        <v>530</v>
      </c>
      <c r="FX2427" s="1" t="s">
        <v>246</v>
      </c>
      <c r="FZ2427" s="1" t="s">
        <v>229</v>
      </c>
      <c r="GA2427" s="1" t="s">
        <v>291</v>
      </c>
      <c r="GB2427" s="2">
        <v>42048.0</v>
      </c>
      <c r="GC2427" s="1" t="s">
        <v>22154</v>
      </c>
    </row>
    <row r="2428">
      <c r="A2428" s="1">
        <v>39000.0</v>
      </c>
      <c r="B2428" s="1" t="s">
        <v>185</v>
      </c>
      <c r="C2428" s="1" t="str">
        <f>"08817383"</f>
        <v>08817383</v>
      </c>
      <c r="D2428" s="1" t="s">
        <v>186</v>
      </c>
      <c r="F2428" s="1" t="str">
        <f>"8023"</f>
        <v>8023</v>
      </c>
      <c r="G2428" s="2">
        <v>42019.0</v>
      </c>
      <c r="H2428" s="1">
        <v>39900.0</v>
      </c>
      <c r="I2428" s="1">
        <v>26.0</v>
      </c>
      <c r="J2428" s="1">
        <v>39900.0</v>
      </c>
      <c r="K2428" s="2">
        <v>42044.0</v>
      </c>
      <c r="L2428" s="1">
        <v>26.0</v>
      </c>
      <c r="M2428" s="2">
        <v>42044.0</v>
      </c>
      <c r="N2428" s="1" t="s">
        <v>249</v>
      </c>
      <c r="O2428" s="2">
        <v>42061.0</v>
      </c>
      <c r="P2428" s="1">
        <v>107774.0</v>
      </c>
      <c r="Q2428" s="1">
        <v>84291.0</v>
      </c>
      <c r="S2428" s="1">
        <v>1126.0</v>
      </c>
      <c r="T2428" s="1" t="s">
        <v>3708</v>
      </c>
      <c r="U2428" s="1" t="s">
        <v>189</v>
      </c>
      <c r="V2428" s="1" t="s">
        <v>190</v>
      </c>
      <c r="W2428" s="1">
        <v>60651.0</v>
      </c>
      <c r="Y2428" s="1" t="s">
        <v>22155</v>
      </c>
      <c r="Z2428" s="1">
        <v>1886.0</v>
      </c>
      <c r="AA2428" s="1" t="s">
        <v>192</v>
      </c>
      <c r="AB2428" s="1" t="s">
        <v>193</v>
      </c>
      <c r="AD2428" s="1" t="s">
        <v>194</v>
      </c>
      <c r="AE2428" s="1" t="s">
        <v>195</v>
      </c>
      <c r="AF2428" s="1" t="s">
        <v>827</v>
      </c>
      <c r="AH2428" s="1" t="s">
        <v>22156</v>
      </c>
      <c r="AI2428" s="1">
        <v>0.0717</v>
      </c>
      <c r="AK2428" s="1">
        <v>7.0</v>
      </c>
      <c r="AL2428" s="1">
        <v>4.0</v>
      </c>
      <c r="AM2428" s="1">
        <v>1.0</v>
      </c>
      <c r="AN2428" s="1">
        <v>0.0</v>
      </c>
      <c r="AO2428" s="1" t="s">
        <v>229</v>
      </c>
      <c r="AQ2428" s="1" t="s">
        <v>229</v>
      </c>
      <c r="AR2428" s="1" t="s">
        <v>200</v>
      </c>
      <c r="AS2428" s="1" t="s">
        <v>199</v>
      </c>
      <c r="AT2428" s="1">
        <v>2.0</v>
      </c>
      <c r="AV2428" s="1" t="s">
        <v>200</v>
      </c>
      <c r="AW2428" s="1">
        <v>1835.0</v>
      </c>
      <c r="AX2428" s="1">
        <v>2013.0</v>
      </c>
      <c r="AZ2428" s="1" t="s">
        <v>200</v>
      </c>
      <c r="BA2428" s="1" t="str">
        <f>"16023030300000"</f>
        <v>16023030300000</v>
      </c>
      <c r="BC2428" s="1">
        <v>1100.0</v>
      </c>
      <c r="BD2428" s="1">
        <v>39000.0</v>
      </c>
      <c r="BE2428" s="2">
        <v>42019.0</v>
      </c>
      <c r="BF2428" s="1" t="s">
        <v>22157</v>
      </c>
      <c r="BH2428" s="1">
        <v>0.0</v>
      </c>
      <c r="BK2428" s="1" t="s">
        <v>204</v>
      </c>
      <c r="BL2428" s="1" t="str">
        <f>"1126"</f>
        <v>1126</v>
      </c>
      <c r="BM2428" s="1" t="str">
        <f t="shared" si="1583"/>
        <v>0</v>
      </c>
      <c r="BN2428" s="1">
        <v>3800.0</v>
      </c>
      <c r="BO2428" s="1">
        <v>0.0</v>
      </c>
      <c r="BQ2428" s="1">
        <v>299.0</v>
      </c>
      <c r="BR2428" s="1">
        <v>299.0</v>
      </c>
      <c r="BS2428" s="1">
        <v>299.0</v>
      </c>
      <c r="BU2428" s="1" t="s">
        <v>262</v>
      </c>
      <c r="BV2428" s="1" t="s">
        <v>206</v>
      </c>
      <c r="BW2428" s="1" t="s">
        <v>1790</v>
      </c>
      <c r="BX2428" s="1" t="s">
        <v>229</v>
      </c>
      <c r="BY2428" s="1" t="s">
        <v>2695</v>
      </c>
      <c r="BZ2428" s="1" t="s">
        <v>206</v>
      </c>
      <c r="CB2428" s="1" t="s">
        <v>229</v>
      </c>
      <c r="CC2428" s="1" t="s">
        <v>262</v>
      </c>
      <c r="CD2428" s="1" t="s">
        <v>206</v>
      </c>
      <c r="CE2428" s="1" t="s">
        <v>1790</v>
      </c>
      <c r="CF2428" s="1" t="s">
        <v>229</v>
      </c>
      <c r="CG2428" s="1" t="s">
        <v>5359</v>
      </c>
      <c r="CH2428" s="1" t="s">
        <v>206</v>
      </c>
      <c r="CJ2428" s="1" t="s">
        <v>229</v>
      </c>
      <c r="CK2428" s="1" t="s">
        <v>2047</v>
      </c>
      <c r="CL2428" s="1" t="s">
        <v>206</v>
      </c>
      <c r="CN2428" s="1" t="s">
        <v>229</v>
      </c>
      <c r="CO2428" s="1" t="s">
        <v>663</v>
      </c>
      <c r="CP2428" s="1" t="s">
        <v>206</v>
      </c>
      <c r="CR2428" s="1" t="s">
        <v>229</v>
      </c>
      <c r="CS2428" s="1" t="s">
        <v>582</v>
      </c>
      <c r="CT2428" s="1" t="s">
        <v>206</v>
      </c>
      <c r="CU2428" s="1" t="s">
        <v>617</v>
      </c>
      <c r="CV2428" s="1" t="s">
        <v>229</v>
      </c>
      <c r="CX2428" s="1" t="s">
        <v>204</v>
      </c>
      <c r="DA2428" s="1" t="s">
        <v>200</v>
      </c>
      <c r="DC2428" s="1" t="s">
        <v>642</v>
      </c>
      <c r="DE2428" s="1" t="s">
        <v>229</v>
      </c>
      <c r="DF2428" s="1" t="s">
        <v>22158</v>
      </c>
      <c r="DH2428" s="1" t="s">
        <v>365</v>
      </c>
      <c r="DJ2428" s="1" t="s">
        <v>222</v>
      </c>
      <c r="DL2428" s="1" t="s">
        <v>229</v>
      </c>
      <c r="DM2428" s="1" t="s">
        <v>229</v>
      </c>
      <c r="DQ2428" s="1" t="s">
        <v>228</v>
      </c>
      <c r="DR2428" s="1" t="s">
        <v>229</v>
      </c>
      <c r="DV2428" s="1" t="s">
        <v>232</v>
      </c>
      <c r="DW2428" s="1" t="s">
        <v>279</v>
      </c>
      <c r="DX2428" s="1" t="s">
        <v>234</v>
      </c>
      <c r="EC2428" s="1" t="s">
        <v>685</v>
      </c>
      <c r="EM2428" s="1" t="s">
        <v>238</v>
      </c>
      <c r="EQ2428" s="1" t="s">
        <v>238</v>
      </c>
      <c r="EU2428" s="1" t="s">
        <v>238</v>
      </c>
      <c r="EY2428" s="1" t="s">
        <v>238</v>
      </c>
      <c r="FC2428" s="1" t="s">
        <v>238</v>
      </c>
      <c r="FF2428" s="1" t="s">
        <v>239</v>
      </c>
      <c r="FG2428" s="1" t="s">
        <v>192</v>
      </c>
      <c r="FH2428" s="1" t="s">
        <v>192</v>
      </c>
      <c r="FJ2428" s="1" t="s">
        <v>347</v>
      </c>
      <c r="FK2428" s="1" t="s">
        <v>229</v>
      </c>
      <c r="FL2428" s="1" t="s">
        <v>1358</v>
      </c>
      <c r="FM2428" s="1">
        <v>10115.0</v>
      </c>
      <c r="FN2428" s="1" t="s">
        <v>2286</v>
      </c>
      <c r="FO2428" s="1" t="s">
        <v>9890</v>
      </c>
      <c r="FP2428" s="1">
        <v>172449.0</v>
      </c>
      <c r="FU2428" s="1" t="s">
        <v>3447</v>
      </c>
      <c r="FV2428" s="1" t="s">
        <v>200</v>
      </c>
      <c r="FW2428" s="1" t="s">
        <v>1307</v>
      </c>
      <c r="FX2428" s="1" t="s">
        <v>238</v>
      </c>
      <c r="FZ2428" s="1" t="s">
        <v>229</v>
      </c>
      <c r="GA2428" s="1" t="s">
        <v>291</v>
      </c>
      <c r="GB2428" s="2">
        <v>42061.0</v>
      </c>
      <c r="GC2428" s="1" t="s">
        <v>22159</v>
      </c>
    </row>
    <row r="2429">
      <c r="A2429" s="1">
        <v>275000.0</v>
      </c>
      <c r="B2429" s="1" t="s">
        <v>185</v>
      </c>
      <c r="C2429" s="1" t="str">
        <f>"08809319"</f>
        <v>08809319</v>
      </c>
      <c r="D2429" s="1" t="s">
        <v>186</v>
      </c>
      <c r="F2429" s="1" t="str">
        <f>"8056"</f>
        <v>8056</v>
      </c>
      <c r="G2429" s="2">
        <v>42009.0</v>
      </c>
      <c r="H2429" s="1">
        <v>289000.0</v>
      </c>
      <c r="I2429" s="1">
        <v>37.0</v>
      </c>
      <c r="J2429" s="1">
        <v>289000.0</v>
      </c>
      <c r="K2429" s="2">
        <v>42021.0</v>
      </c>
      <c r="L2429" s="1">
        <v>13.0</v>
      </c>
      <c r="M2429" s="2">
        <v>42021.0</v>
      </c>
      <c r="N2429" s="1" t="s">
        <v>634</v>
      </c>
      <c r="O2429" s="2">
        <v>42062.0</v>
      </c>
      <c r="P2429" s="1">
        <v>605367.0</v>
      </c>
      <c r="Q2429" s="1">
        <v>60476.0</v>
      </c>
      <c r="R2429" s="1">
        <v>6000.0</v>
      </c>
      <c r="S2429" s="1">
        <v>5540.0</v>
      </c>
      <c r="T2429" s="1" t="s">
        <v>14332</v>
      </c>
      <c r="U2429" s="1" t="s">
        <v>189</v>
      </c>
      <c r="V2429" s="1" t="s">
        <v>190</v>
      </c>
      <c r="W2429" s="1">
        <v>60638.0</v>
      </c>
      <c r="Y2429" s="1" t="s">
        <v>22160</v>
      </c>
      <c r="Z2429" s="1">
        <v>1943.0</v>
      </c>
      <c r="AA2429" s="1" t="s">
        <v>192</v>
      </c>
      <c r="AB2429" s="1" t="s">
        <v>193</v>
      </c>
      <c r="AD2429" s="1" t="s">
        <v>194</v>
      </c>
      <c r="AE2429" s="1" t="s">
        <v>195</v>
      </c>
      <c r="AF2429" s="1" t="s">
        <v>659</v>
      </c>
      <c r="AG2429" s="1" t="s">
        <v>1132</v>
      </c>
      <c r="AH2429" s="1" t="s">
        <v>17263</v>
      </c>
      <c r="AK2429" s="1">
        <v>6.0</v>
      </c>
      <c r="AL2429" s="1">
        <v>2.0</v>
      </c>
      <c r="AM2429" s="1">
        <v>1.0</v>
      </c>
      <c r="AN2429" s="1">
        <v>1.0</v>
      </c>
      <c r="AO2429" s="1" t="s">
        <v>229</v>
      </c>
      <c r="AQ2429" s="1" t="s">
        <v>198</v>
      </c>
      <c r="AR2429" s="1" t="s">
        <v>192</v>
      </c>
      <c r="AS2429" s="1" t="s">
        <v>510</v>
      </c>
      <c r="AT2429" s="1">
        <v>2.0</v>
      </c>
      <c r="AU2429" s="1">
        <v>4.0</v>
      </c>
      <c r="AV2429" s="1" t="s">
        <v>200</v>
      </c>
      <c r="AW2429" s="1">
        <v>443.0</v>
      </c>
      <c r="AX2429" s="1">
        <v>2012.0</v>
      </c>
      <c r="AY2429" s="1" t="s">
        <v>14152</v>
      </c>
      <c r="AZ2429" s="1" t="s">
        <v>200</v>
      </c>
      <c r="BA2429" s="1" t="str">
        <f>"19182000450000"</f>
        <v>19182000450000</v>
      </c>
      <c r="BB2429" s="1" t="s">
        <v>200</v>
      </c>
      <c r="BC2429" s="1">
        <v>948.0</v>
      </c>
      <c r="BD2429" s="1">
        <v>275000.0</v>
      </c>
      <c r="BE2429" s="2">
        <v>42009.0</v>
      </c>
      <c r="BF2429" s="2" t="s">
        <v>22161</v>
      </c>
      <c r="BH2429" s="1">
        <v>0.0</v>
      </c>
      <c r="BK2429" s="1" t="s">
        <v>204</v>
      </c>
      <c r="BL2429" s="1" t="str">
        <f t="shared" ref="BL2429:BM2429" si="1584">"0"</f>
        <v>0</v>
      </c>
      <c r="BM2429" s="1" t="str">
        <f t="shared" si="1584"/>
        <v>0</v>
      </c>
      <c r="BN2429" s="1">
        <v>6700.0</v>
      </c>
      <c r="BO2429" s="1">
        <v>5540.0</v>
      </c>
      <c r="BQ2429" s="1">
        <v>299.0</v>
      </c>
      <c r="BR2429" s="1">
        <v>299.0</v>
      </c>
      <c r="BS2429" s="1">
        <v>299.0</v>
      </c>
      <c r="BU2429" s="1" t="s">
        <v>4817</v>
      </c>
      <c r="BV2429" s="1" t="s">
        <v>206</v>
      </c>
      <c r="BW2429" s="1" t="s">
        <v>210</v>
      </c>
      <c r="BX2429" s="1" t="s">
        <v>1549</v>
      </c>
      <c r="BY2429" s="1" t="s">
        <v>302</v>
      </c>
      <c r="BZ2429" s="1" t="s">
        <v>206</v>
      </c>
      <c r="CA2429" s="1" t="s">
        <v>210</v>
      </c>
      <c r="CB2429" s="1" t="s">
        <v>1549</v>
      </c>
      <c r="CD2429" s="1" t="s">
        <v>204</v>
      </c>
      <c r="CG2429" s="1" t="s">
        <v>1417</v>
      </c>
      <c r="CH2429" s="1" t="s">
        <v>206</v>
      </c>
      <c r="CI2429" s="1" t="s">
        <v>210</v>
      </c>
      <c r="CJ2429" s="1" t="s">
        <v>229</v>
      </c>
      <c r="CK2429" s="1" t="s">
        <v>1672</v>
      </c>
      <c r="CL2429" s="1" t="s">
        <v>42</v>
      </c>
      <c r="CM2429" s="1" t="s">
        <v>268</v>
      </c>
      <c r="CO2429" s="1" t="s">
        <v>1672</v>
      </c>
      <c r="CP2429" s="1" t="s">
        <v>42</v>
      </c>
      <c r="CQ2429" s="1" t="s">
        <v>268</v>
      </c>
      <c r="CS2429" s="1" t="s">
        <v>4817</v>
      </c>
      <c r="CT2429" s="1" t="s">
        <v>206</v>
      </c>
      <c r="CU2429" s="1" t="s">
        <v>617</v>
      </c>
      <c r="CV2429" s="1" t="s">
        <v>229</v>
      </c>
      <c r="CX2429" s="1" t="s">
        <v>204</v>
      </c>
      <c r="DA2429" s="1" t="s">
        <v>200</v>
      </c>
      <c r="DC2429" s="1" t="s">
        <v>1399</v>
      </c>
      <c r="DE2429" s="1" t="s">
        <v>273</v>
      </c>
      <c r="DF2429" s="1" t="s">
        <v>219</v>
      </c>
      <c r="DG2429" s="1" t="s">
        <v>337</v>
      </c>
      <c r="DH2429" s="1" t="s">
        <v>307</v>
      </c>
      <c r="DI2429" s="1" t="s">
        <v>703</v>
      </c>
      <c r="DJ2429" s="1" t="s">
        <v>1048</v>
      </c>
      <c r="DK2429" s="1" t="s">
        <v>3740</v>
      </c>
      <c r="DL2429" s="1" t="s">
        <v>224</v>
      </c>
      <c r="DM2429" s="1" t="s">
        <v>1919</v>
      </c>
      <c r="DN2429" s="1" t="s">
        <v>793</v>
      </c>
      <c r="DQ2429" s="1" t="s">
        <v>794</v>
      </c>
      <c r="DR2429" s="1" t="s">
        <v>229</v>
      </c>
      <c r="DS2429" s="1" t="s">
        <v>401</v>
      </c>
      <c r="DU2429" s="1" t="s">
        <v>681</v>
      </c>
      <c r="DV2429" s="1" t="s">
        <v>1102</v>
      </c>
      <c r="DW2429" s="1" t="s">
        <v>279</v>
      </c>
      <c r="DX2429" s="1" t="s">
        <v>234</v>
      </c>
      <c r="DY2429" s="1" t="s">
        <v>704</v>
      </c>
      <c r="DZ2429" s="1" t="s">
        <v>3951</v>
      </c>
      <c r="EA2429" s="1" t="s">
        <v>683</v>
      </c>
      <c r="EC2429" s="1" t="s">
        <v>311</v>
      </c>
      <c r="ED2429" s="1" t="s">
        <v>407</v>
      </c>
      <c r="EE2429" s="1" t="s">
        <v>1077</v>
      </c>
      <c r="EF2429" s="1" t="s">
        <v>5843</v>
      </c>
      <c r="EG2429" s="1" t="s">
        <v>1102</v>
      </c>
      <c r="EL2429" s="1" t="s">
        <v>330</v>
      </c>
      <c r="EM2429" s="1" t="s">
        <v>206</v>
      </c>
      <c r="EO2429" s="1" t="s">
        <v>229</v>
      </c>
      <c r="EQ2429" s="1" t="s">
        <v>238</v>
      </c>
      <c r="EU2429" s="1" t="s">
        <v>238</v>
      </c>
      <c r="EY2429" s="1" t="s">
        <v>238</v>
      </c>
      <c r="FC2429" s="1" t="s">
        <v>238</v>
      </c>
      <c r="FF2429" s="1" t="s">
        <v>239</v>
      </c>
      <c r="FG2429" s="1" t="s">
        <v>200</v>
      </c>
      <c r="FH2429" s="1" t="s">
        <v>192</v>
      </c>
      <c r="FJ2429" s="1" t="s">
        <v>6734</v>
      </c>
      <c r="FK2429" s="1" t="s">
        <v>229</v>
      </c>
      <c r="FL2429" s="1" t="s">
        <v>9531</v>
      </c>
      <c r="FM2429" s="1">
        <v>61153.0</v>
      </c>
      <c r="FN2429" s="1" t="s">
        <v>9532</v>
      </c>
      <c r="FO2429" s="1" t="s">
        <v>22162</v>
      </c>
      <c r="FP2429" s="1">
        <v>226034.0</v>
      </c>
      <c r="FQ2429" s="1" t="s">
        <v>22163</v>
      </c>
      <c r="FU2429" s="1" t="s">
        <v>22164</v>
      </c>
      <c r="FV2429" s="1" t="s">
        <v>200</v>
      </c>
      <c r="FW2429" s="1" t="s">
        <v>8260</v>
      </c>
      <c r="FX2429" s="1" t="s">
        <v>655</v>
      </c>
      <c r="FZ2429" s="1" t="s">
        <v>229</v>
      </c>
      <c r="GA2429" s="1" t="s">
        <v>291</v>
      </c>
      <c r="GB2429" s="2">
        <v>42063.0</v>
      </c>
      <c r="GC2429" s="1" t="s">
        <v>22165</v>
      </c>
    </row>
    <row r="2430">
      <c r="A2430" s="1">
        <v>55000.0</v>
      </c>
      <c r="B2430" s="1" t="s">
        <v>185</v>
      </c>
      <c r="C2430" s="1" t="str">
        <f>"08812344"</f>
        <v>08812344</v>
      </c>
      <c r="D2430" s="1" t="s">
        <v>186</v>
      </c>
      <c r="F2430" s="1" t="str">
        <f>"8025"</f>
        <v>8025</v>
      </c>
      <c r="G2430" s="2">
        <v>42012.0</v>
      </c>
      <c r="H2430" s="1">
        <v>67900.0</v>
      </c>
      <c r="I2430" s="1">
        <v>62.0</v>
      </c>
      <c r="J2430" s="1">
        <v>67900.0</v>
      </c>
      <c r="K2430" s="2">
        <v>42017.0</v>
      </c>
      <c r="L2430" s="1">
        <v>6.0</v>
      </c>
      <c r="M2430" s="2">
        <v>42017.0</v>
      </c>
      <c r="N2430" s="1" t="s">
        <v>249</v>
      </c>
      <c r="O2430" s="2">
        <v>42027.0</v>
      </c>
      <c r="P2430" s="1">
        <v>106708.0</v>
      </c>
      <c r="Q2430" s="1">
        <v>18080.0</v>
      </c>
      <c r="S2430" s="1">
        <v>1025.0</v>
      </c>
      <c r="T2430" s="1" t="s">
        <v>6346</v>
      </c>
      <c r="U2430" s="1" t="s">
        <v>189</v>
      </c>
      <c r="V2430" s="1" t="s">
        <v>190</v>
      </c>
      <c r="W2430" s="1">
        <v>60651.0</v>
      </c>
      <c r="Y2430" s="1" t="s">
        <v>22166</v>
      </c>
      <c r="Z2430" s="1">
        <v>1907.0</v>
      </c>
      <c r="AA2430" s="1" t="s">
        <v>192</v>
      </c>
      <c r="AB2430" s="1" t="s">
        <v>193</v>
      </c>
      <c r="AC2430" s="1" t="s">
        <v>22167</v>
      </c>
      <c r="AD2430" s="1" t="s">
        <v>194</v>
      </c>
      <c r="AE2430" s="1" t="s">
        <v>195</v>
      </c>
      <c r="AF2430" s="1" t="s">
        <v>827</v>
      </c>
      <c r="AG2430" s="1" t="s">
        <v>778</v>
      </c>
      <c r="AH2430" s="1" t="s">
        <v>741</v>
      </c>
      <c r="AK2430" s="1">
        <v>8.0</v>
      </c>
      <c r="AL2430" s="1">
        <v>4.0</v>
      </c>
      <c r="AM2430" s="1">
        <v>2.0</v>
      </c>
      <c r="AN2430" s="1">
        <v>0.0</v>
      </c>
      <c r="AO2430" s="1" t="s">
        <v>229</v>
      </c>
      <c r="AQ2430" s="1" t="s">
        <v>198</v>
      </c>
      <c r="AR2430" s="1" t="s">
        <v>200</v>
      </c>
      <c r="AS2430" s="1" t="s">
        <v>828</v>
      </c>
      <c r="AU2430" s="1">
        <v>2.0</v>
      </c>
      <c r="AV2430" s="1" t="s">
        <v>200</v>
      </c>
      <c r="AW2430" s="1">
        <v>1519.0</v>
      </c>
      <c r="AX2430" s="1">
        <v>2013.0</v>
      </c>
      <c r="AY2430" s="1" t="s">
        <v>229</v>
      </c>
      <c r="AZ2430" s="1" t="s">
        <v>200</v>
      </c>
      <c r="BA2430" s="1" t="str">
        <f>"16054100100000"</f>
        <v>16054100100000</v>
      </c>
      <c r="BB2430" s="1" t="s">
        <v>200</v>
      </c>
      <c r="BC2430" s="1">
        <v>1400.0</v>
      </c>
      <c r="BD2430" s="1">
        <v>55000.0</v>
      </c>
      <c r="BE2430" s="2">
        <v>42012.0</v>
      </c>
      <c r="BF2430" s="2" t="s">
        <v>22168</v>
      </c>
      <c r="BH2430" s="1">
        <v>0.0</v>
      </c>
      <c r="BK2430" s="1" t="s">
        <v>204</v>
      </c>
      <c r="BL2430" s="1" t="str">
        <f>"1025"</f>
        <v>1025</v>
      </c>
      <c r="BM2430" s="1" t="str">
        <f>"0"</f>
        <v>0</v>
      </c>
      <c r="BN2430" s="1">
        <v>5800.0</v>
      </c>
      <c r="BO2430" s="1">
        <v>0.0</v>
      </c>
      <c r="BQ2430" s="1">
        <v>299.0</v>
      </c>
      <c r="BR2430" s="1">
        <v>299.0</v>
      </c>
      <c r="BS2430" s="1">
        <v>299.0</v>
      </c>
      <c r="BU2430" s="1" t="s">
        <v>433</v>
      </c>
      <c r="BV2430" s="1" t="s">
        <v>206</v>
      </c>
      <c r="BW2430" s="1" t="s">
        <v>207</v>
      </c>
      <c r="BX2430" s="1" t="s">
        <v>229</v>
      </c>
      <c r="BY2430" s="1" t="s">
        <v>215</v>
      </c>
      <c r="BZ2430" s="1" t="s">
        <v>206</v>
      </c>
      <c r="CA2430" s="1" t="s">
        <v>207</v>
      </c>
      <c r="CB2430" s="1" t="s">
        <v>229</v>
      </c>
      <c r="CC2430" s="1" t="s">
        <v>215</v>
      </c>
      <c r="CD2430" s="1" t="s">
        <v>206</v>
      </c>
      <c r="CE2430" s="1" t="s">
        <v>207</v>
      </c>
      <c r="CF2430" s="1" t="s">
        <v>229</v>
      </c>
      <c r="CG2430" s="1" t="s">
        <v>495</v>
      </c>
      <c r="CH2430" s="1" t="s">
        <v>206</v>
      </c>
      <c r="CI2430" s="1" t="s">
        <v>207</v>
      </c>
      <c r="CJ2430" s="1" t="s">
        <v>229</v>
      </c>
      <c r="CK2430" s="1" t="s">
        <v>363</v>
      </c>
      <c r="CL2430" s="1" t="s">
        <v>209</v>
      </c>
      <c r="CM2430" s="1" t="s">
        <v>210</v>
      </c>
      <c r="CN2430" s="1" t="s">
        <v>229</v>
      </c>
      <c r="CO2430" s="1" t="s">
        <v>303</v>
      </c>
      <c r="CP2430" s="1" t="s">
        <v>209</v>
      </c>
      <c r="CQ2430" s="1" t="s">
        <v>210</v>
      </c>
      <c r="CR2430" s="1" t="s">
        <v>229</v>
      </c>
      <c r="CS2430" s="1" t="s">
        <v>269</v>
      </c>
      <c r="CT2430" s="1" t="s">
        <v>206</v>
      </c>
      <c r="CU2430" s="1" t="s">
        <v>617</v>
      </c>
      <c r="CV2430" s="1" t="s">
        <v>229</v>
      </c>
      <c r="CW2430" s="1" t="s">
        <v>215</v>
      </c>
      <c r="CX2430" s="1" t="s">
        <v>209</v>
      </c>
      <c r="CY2430" s="1" t="s">
        <v>210</v>
      </c>
      <c r="CZ2430" s="1" t="s">
        <v>229</v>
      </c>
      <c r="DA2430" s="1" t="s">
        <v>200</v>
      </c>
      <c r="DC2430" s="1" t="s">
        <v>642</v>
      </c>
      <c r="DE2430" s="1" t="s">
        <v>229</v>
      </c>
      <c r="DF2430" s="1" t="s">
        <v>619</v>
      </c>
      <c r="DG2430" s="1" t="s">
        <v>482</v>
      </c>
      <c r="DH2430" s="1" t="s">
        <v>220</v>
      </c>
      <c r="DJ2430" s="1" t="s">
        <v>222</v>
      </c>
      <c r="DL2430" s="1" t="s">
        <v>223</v>
      </c>
      <c r="DM2430" s="1" t="s">
        <v>1658</v>
      </c>
      <c r="DP2430" s="1" t="s">
        <v>340</v>
      </c>
      <c r="DQ2430" s="1" t="s">
        <v>228</v>
      </c>
      <c r="DR2430" s="1" t="s">
        <v>229</v>
      </c>
      <c r="DS2430" s="1" t="s">
        <v>230</v>
      </c>
      <c r="DV2430" s="1" t="s">
        <v>232</v>
      </c>
      <c r="DW2430" s="1" t="s">
        <v>279</v>
      </c>
      <c r="DX2430" s="1" t="s">
        <v>309</v>
      </c>
      <c r="DZ2430" s="1" t="s">
        <v>1333</v>
      </c>
      <c r="EA2430" s="1" t="s">
        <v>1075</v>
      </c>
      <c r="EC2430" s="1" t="s">
        <v>645</v>
      </c>
      <c r="EE2430" s="1" t="s">
        <v>1960</v>
      </c>
      <c r="EF2430" s="1" t="s">
        <v>7505</v>
      </c>
      <c r="EM2430" s="1" t="s">
        <v>238</v>
      </c>
      <c r="EQ2430" s="1" t="s">
        <v>238</v>
      </c>
      <c r="EU2430" s="1" t="s">
        <v>238</v>
      </c>
      <c r="EY2430" s="1" t="s">
        <v>238</v>
      </c>
      <c r="FC2430" s="1" t="s">
        <v>238</v>
      </c>
      <c r="FF2430" s="1" t="s">
        <v>239</v>
      </c>
      <c r="FG2430" s="1" t="s">
        <v>192</v>
      </c>
      <c r="FH2430" s="1" t="s">
        <v>192</v>
      </c>
      <c r="FJ2430" s="1" t="s">
        <v>14653</v>
      </c>
      <c r="FK2430" s="1" t="s">
        <v>229</v>
      </c>
      <c r="FL2430" s="1" t="s">
        <v>836</v>
      </c>
      <c r="FM2430" s="1">
        <v>18080.0</v>
      </c>
      <c r="FN2430" s="1" t="s">
        <v>837</v>
      </c>
      <c r="FO2430" s="1" t="s">
        <v>838</v>
      </c>
      <c r="FP2430" s="1">
        <v>106708.0</v>
      </c>
      <c r="FQ2430" s="1" t="s">
        <v>839</v>
      </c>
      <c r="FU2430" s="1" t="s">
        <v>885</v>
      </c>
      <c r="FV2430" s="1" t="s">
        <v>200</v>
      </c>
      <c r="FW2430" s="1" t="s">
        <v>22169</v>
      </c>
      <c r="FX2430" s="1" t="s">
        <v>238</v>
      </c>
      <c r="FZ2430" s="1" t="s">
        <v>229</v>
      </c>
      <c r="GA2430" s="1" t="s">
        <v>291</v>
      </c>
      <c r="GB2430" s="2">
        <v>42027.0</v>
      </c>
      <c r="GC2430" s="1" t="s">
        <v>22170</v>
      </c>
    </row>
    <row r="2431">
      <c r="A2431" s="1">
        <v>18250.0</v>
      </c>
      <c r="B2431" s="1" t="s">
        <v>185</v>
      </c>
      <c r="C2431" s="1" t="str">
        <f>"08818579"</f>
        <v>08818579</v>
      </c>
      <c r="D2431" s="1" t="s">
        <v>186</v>
      </c>
      <c r="F2431" s="1" t="str">
        <f>"8027"</f>
        <v>8027</v>
      </c>
      <c r="G2431" s="2">
        <v>42021.0</v>
      </c>
      <c r="H2431" s="1">
        <v>26250.0</v>
      </c>
      <c r="I2431" s="1">
        <v>34.0</v>
      </c>
      <c r="J2431" s="1">
        <v>26250.0</v>
      </c>
      <c r="K2431" s="2">
        <v>42054.0</v>
      </c>
      <c r="L2431" s="1">
        <v>34.0</v>
      </c>
      <c r="M2431" s="2">
        <v>42054.0</v>
      </c>
      <c r="N2431" s="1" t="s">
        <v>249</v>
      </c>
      <c r="O2431" s="2">
        <v>42061.0</v>
      </c>
      <c r="P2431" s="1">
        <v>405390.0</v>
      </c>
      <c r="Q2431" s="1">
        <v>40121.0</v>
      </c>
      <c r="S2431" s="1">
        <v>12.0</v>
      </c>
      <c r="T2431" s="1" t="s">
        <v>2162</v>
      </c>
      <c r="U2431" s="1" t="s">
        <v>189</v>
      </c>
      <c r="V2431" s="1" t="s">
        <v>190</v>
      </c>
      <c r="W2431" s="1">
        <v>60612.0</v>
      </c>
      <c r="Y2431" s="1" t="s">
        <v>22171</v>
      </c>
      <c r="Z2431" s="1">
        <v>1885.0</v>
      </c>
      <c r="AA2431" s="1" t="s">
        <v>192</v>
      </c>
      <c r="AB2431" s="1" t="s">
        <v>193</v>
      </c>
      <c r="AD2431" s="1" t="s">
        <v>194</v>
      </c>
      <c r="AE2431" s="1" t="s">
        <v>195</v>
      </c>
      <c r="AF2431" s="1" t="s">
        <v>827</v>
      </c>
      <c r="AH2431" s="1" t="s">
        <v>22172</v>
      </c>
      <c r="AI2431" s="1">
        <v>0.049</v>
      </c>
      <c r="AK2431" s="1">
        <v>6.0</v>
      </c>
      <c r="AL2431" s="1">
        <v>4.0</v>
      </c>
      <c r="AM2431" s="1">
        <v>1.0</v>
      </c>
      <c r="AN2431" s="1">
        <v>0.0</v>
      </c>
      <c r="AO2431" s="1" t="s">
        <v>229</v>
      </c>
      <c r="AQ2431" s="1" t="s">
        <v>198</v>
      </c>
      <c r="AR2431" s="1" t="s">
        <v>200</v>
      </c>
      <c r="AS2431" s="1" t="s">
        <v>199</v>
      </c>
      <c r="AT2431" s="1">
        <v>1.0</v>
      </c>
      <c r="AV2431" s="1" t="s">
        <v>200</v>
      </c>
      <c r="AW2431" s="1">
        <v>1064.1</v>
      </c>
      <c r="AX2431" s="1">
        <v>2012.0</v>
      </c>
      <c r="AZ2431" s="1" t="s">
        <v>200</v>
      </c>
      <c r="BA2431" s="1" t="str">
        <f>"16131000450000"</f>
        <v>16131000450000</v>
      </c>
      <c r="BC2431" s="1">
        <v>820.0</v>
      </c>
      <c r="BD2431" s="1">
        <v>18250.0</v>
      </c>
      <c r="BE2431" s="2">
        <v>42021.0</v>
      </c>
      <c r="BF2431" s="2" t="s">
        <v>22173</v>
      </c>
      <c r="BH2431" s="1">
        <v>0.0</v>
      </c>
      <c r="BK2431" s="1" t="s">
        <v>204</v>
      </c>
      <c r="BL2431" s="1" t="str">
        <f t="shared" ref="BL2431:BM2431" si="1585">"0"</f>
        <v>0</v>
      </c>
      <c r="BM2431" s="1" t="str">
        <f t="shared" si="1585"/>
        <v>0</v>
      </c>
      <c r="BN2431" s="1">
        <v>3100.0</v>
      </c>
      <c r="BO2431" s="1">
        <v>12.0</v>
      </c>
      <c r="BQ2431" s="1">
        <v>299.0</v>
      </c>
      <c r="BR2431" s="1">
        <v>299.0</v>
      </c>
      <c r="BS2431" s="1">
        <v>299.0</v>
      </c>
      <c r="BU2431" s="1" t="s">
        <v>264</v>
      </c>
      <c r="BV2431" s="1" t="s">
        <v>206</v>
      </c>
      <c r="BY2431" s="1" t="s">
        <v>269</v>
      </c>
      <c r="BZ2431" s="1" t="s">
        <v>209</v>
      </c>
      <c r="CD2431" s="1" t="s">
        <v>204</v>
      </c>
      <c r="CG2431" s="1" t="s">
        <v>516</v>
      </c>
      <c r="CH2431" s="1" t="s">
        <v>206</v>
      </c>
      <c r="CK2431" s="1" t="s">
        <v>798</v>
      </c>
      <c r="CL2431" s="1" t="s">
        <v>206</v>
      </c>
      <c r="CO2431" s="1" t="s">
        <v>1688</v>
      </c>
      <c r="CP2431" s="1" t="s">
        <v>206</v>
      </c>
      <c r="CS2431" s="1" t="s">
        <v>1852</v>
      </c>
      <c r="CT2431" s="1" t="s">
        <v>206</v>
      </c>
      <c r="CX2431" s="1" t="s">
        <v>204</v>
      </c>
      <c r="DA2431" s="1" t="s">
        <v>200</v>
      </c>
      <c r="DC2431" s="1" t="s">
        <v>642</v>
      </c>
      <c r="DE2431" s="1" t="s">
        <v>229</v>
      </c>
      <c r="DF2431" s="1" t="s">
        <v>619</v>
      </c>
      <c r="DH2431" s="1" t="s">
        <v>220</v>
      </c>
      <c r="DJ2431" s="1" t="s">
        <v>222</v>
      </c>
      <c r="DL2431" s="1" t="s">
        <v>223</v>
      </c>
      <c r="DM2431" s="1" t="s">
        <v>229</v>
      </c>
      <c r="DQ2431" s="1" t="s">
        <v>228</v>
      </c>
      <c r="DR2431" s="1" t="s">
        <v>229</v>
      </c>
      <c r="DV2431" s="1" t="s">
        <v>232</v>
      </c>
      <c r="DW2431" s="1" t="s">
        <v>279</v>
      </c>
      <c r="DX2431" s="1" t="s">
        <v>234</v>
      </c>
      <c r="EC2431" s="1" t="s">
        <v>237</v>
      </c>
      <c r="EM2431" s="1" t="s">
        <v>238</v>
      </c>
      <c r="EQ2431" s="1" t="s">
        <v>238</v>
      </c>
      <c r="EU2431" s="1" t="s">
        <v>238</v>
      </c>
      <c r="EY2431" s="1" t="s">
        <v>238</v>
      </c>
      <c r="FC2431" s="1" t="s">
        <v>238</v>
      </c>
      <c r="FF2431" s="1" t="s">
        <v>239</v>
      </c>
      <c r="FG2431" s="1" t="s">
        <v>200</v>
      </c>
      <c r="FH2431" s="1" t="s">
        <v>192</v>
      </c>
      <c r="FJ2431" s="1" t="s">
        <v>22174</v>
      </c>
      <c r="FK2431" s="1" t="s">
        <v>229</v>
      </c>
      <c r="FL2431" s="1" t="s">
        <v>2604</v>
      </c>
      <c r="FM2431" s="1">
        <v>18016.0</v>
      </c>
      <c r="FN2431" s="1" t="s">
        <v>2605</v>
      </c>
      <c r="FO2431" s="1" t="s">
        <v>2606</v>
      </c>
      <c r="FP2431" s="1">
        <v>158141.0</v>
      </c>
      <c r="FQ2431" s="1" t="s">
        <v>2605</v>
      </c>
      <c r="FU2431" s="1" t="s">
        <v>6077</v>
      </c>
      <c r="FV2431" s="1" t="s">
        <v>200</v>
      </c>
      <c r="FW2431" s="1" t="s">
        <v>290</v>
      </c>
      <c r="FX2431" s="1" t="s">
        <v>655</v>
      </c>
      <c r="FZ2431" s="1" t="s">
        <v>229</v>
      </c>
      <c r="GA2431" s="1" t="s">
        <v>291</v>
      </c>
      <c r="GB2431" s="2">
        <v>42073.0</v>
      </c>
      <c r="GC2431" s="1" t="s">
        <v>22175</v>
      </c>
    </row>
    <row r="2432">
      <c r="A2432" s="1">
        <v>330000.0</v>
      </c>
      <c r="B2432" s="1" t="s">
        <v>185</v>
      </c>
      <c r="C2432" s="1" t="str">
        <f>"08814059"</f>
        <v>08814059</v>
      </c>
      <c r="D2432" s="1" t="s">
        <v>186</v>
      </c>
      <c r="F2432" s="1" t="str">
        <f>"8009"</f>
        <v>8009</v>
      </c>
      <c r="G2432" s="2">
        <v>42015.0</v>
      </c>
      <c r="H2432" s="1">
        <v>339900.0</v>
      </c>
      <c r="I2432" s="1">
        <v>2.0</v>
      </c>
      <c r="J2432" s="1">
        <v>339900.0</v>
      </c>
      <c r="K2432" s="2">
        <v>42016.0</v>
      </c>
      <c r="L2432" s="1">
        <v>2.0</v>
      </c>
      <c r="M2432" s="2">
        <v>42016.0</v>
      </c>
      <c r="N2432" s="1" t="s">
        <v>187</v>
      </c>
      <c r="O2432" s="2">
        <v>42052.0</v>
      </c>
      <c r="P2432" s="1">
        <v>118648.0</v>
      </c>
      <c r="Q2432" s="1">
        <v>10267.0</v>
      </c>
      <c r="S2432" s="1">
        <v>7246.0</v>
      </c>
      <c r="T2432" s="1" t="s">
        <v>19798</v>
      </c>
      <c r="U2432" s="1" t="s">
        <v>189</v>
      </c>
      <c r="V2432" s="1" t="s">
        <v>190</v>
      </c>
      <c r="W2432" s="1">
        <v>60631.0</v>
      </c>
      <c r="Y2432" s="1" t="s">
        <v>22176</v>
      </c>
      <c r="Z2432" s="1">
        <v>1954.0</v>
      </c>
      <c r="AA2432" s="1" t="s">
        <v>192</v>
      </c>
      <c r="AB2432" s="1" t="s">
        <v>193</v>
      </c>
      <c r="AD2432" s="1" t="s">
        <v>194</v>
      </c>
      <c r="AE2432" s="1" t="s">
        <v>195</v>
      </c>
      <c r="AF2432" s="1" t="s">
        <v>196</v>
      </c>
      <c r="AH2432" s="1" t="s">
        <v>779</v>
      </c>
      <c r="AI2432" s="1">
        <v>0.0828</v>
      </c>
      <c r="AK2432" s="1">
        <v>7.0</v>
      </c>
      <c r="AL2432" s="1">
        <v>4.0</v>
      </c>
      <c r="AM2432" s="1">
        <v>1.0</v>
      </c>
      <c r="AN2432" s="1">
        <v>1.0</v>
      </c>
      <c r="AO2432" s="1" t="s">
        <v>229</v>
      </c>
      <c r="AQ2432" s="1" t="s">
        <v>198</v>
      </c>
      <c r="AR2432" s="1" t="s">
        <v>200</v>
      </c>
      <c r="AS2432" s="1" t="s">
        <v>199</v>
      </c>
      <c r="AT2432" s="1">
        <v>2.5</v>
      </c>
      <c r="AV2432" s="1" t="s">
        <v>200</v>
      </c>
      <c r="AW2432" s="1">
        <v>4528.3</v>
      </c>
      <c r="AX2432" s="1">
        <v>2012.0</v>
      </c>
      <c r="AY2432" s="1" t="s">
        <v>229</v>
      </c>
      <c r="AZ2432" s="1" t="s">
        <v>200</v>
      </c>
      <c r="BA2432" s="1" t="str">
        <f>"09362050180000"</f>
        <v>09362050180000</v>
      </c>
      <c r="BC2432" s="1">
        <v>1421.0</v>
      </c>
      <c r="BD2432" s="1">
        <v>330000.0</v>
      </c>
      <c r="BE2432" s="2">
        <v>42015.0</v>
      </c>
      <c r="BF2432" s="2" t="s">
        <v>22177</v>
      </c>
      <c r="BH2432" s="1">
        <v>0.0</v>
      </c>
      <c r="BK2432" s="1" t="s">
        <v>204</v>
      </c>
      <c r="BL2432" s="1" t="str">
        <f>"7150"</f>
        <v>7150</v>
      </c>
      <c r="BM2432" s="1" t="str">
        <f>"0"</f>
        <v>0</v>
      </c>
      <c r="BN2432" s="1">
        <v>7246.0</v>
      </c>
      <c r="BO2432" s="1">
        <v>0.0</v>
      </c>
      <c r="BQ2432" s="1">
        <v>299.0</v>
      </c>
      <c r="BR2432" s="1">
        <v>299.0</v>
      </c>
      <c r="BS2432" s="1">
        <v>299.0</v>
      </c>
      <c r="BU2432" s="1" t="s">
        <v>1426</v>
      </c>
      <c r="BV2432" s="1" t="s">
        <v>206</v>
      </c>
      <c r="BW2432" s="1" t="s">
        <v>207</v>
      </c>
      <c r="BY2432" s="1" t="s">
        <v>2120</v>
      </c>
      <c r="BZ2432" s="1" t="s">
        <v>209</v>
      </c>
      <c r="CA2432" s="1" t="s">
        <v>210</v>
      </c>
      <c r="CD2432" s="1" t="s">
        <v>204</v>
      </c>
      <c r="CG2432" s="1" t="s">
        <v>390</v>
      </c>
      <c r="CH2432" s="1" t="s">
        <v>209</v>
      </c>
      <c r="CI2432" s="1" t="s">
        <v>210</v>
      </c>
      <c r="CK2432" s="1" t="s">
        <v>264</v>
      </c>
      <c r="CL2432" s="1" t="s">
        <v>206</v>
      </c>
      <c r="CM2432" s="1" t="s">
        <v>207</v>
      </c>
      <c r="CO2432" s="1" t="s">
        <v>303</v>
      </c>
      <c r="CP2432" s="1" t="s">
        <v>206</v>
      </c>
      <c r="CQ2432" s="1" t="s">
        <v>207</v>
      </c>
      <c r="CS2432" s="1" t="s">
        <v>454</v>
      </c>
      <c r="CT2432" s="1" t="s">
        <v>206</v>
      </c>
      <c r="CW2432" s="1" t="s">
        <v>2182</v>
      </c>
      <c r="CX2432" s="1" t="s">
        <v>42</v>
      </c>
      <c r="DA2432" s="1" t="s">
        <v>200</v>
      </c>
      <c r="DC2432" s="1" t="s">
        <v>702</v>
      </c>
      <c r="DE2432" s="1" t="s">
        <v>273</v>
      </c>
      <c r="DF2432" s="1" t="s">
        <v>219</v>
      </c>
      <c r="DH2432" s="1" t="s">
        <v>307</v>
      </c>
      <c r="DI2432" s="1" t="s">
        <v>831</v>
      </c>
      <c r="DJ2432" s="1" t="s">
        <v>222</v>
      </c>
      <c r="DL2432" s="1" t="s">
        <v>224</v>
      </c>
      <c r="DM2432" s="1" t="s">
        <v>229</v>
      </c>
      <c r="DQ2432" s="1" t="s">
        <v>718</v>
      </c>
      <c r="DR2432" s="1" t="s">
        <v>229</v>
      </c>
      <c r="DS2432" s="1" t="s">
        <v>230</v>
      </c>
      <c r="DV2432" s="1" t="s">
        <v>374</v>
      </c>
      <c r="DW2432" s="1" t="s">
        <v>279</v>
      </c>
      <c r="DX2432" s="1" t="s">
        <v>234</v>
      </c>
      <c r="EA2432" s="1" t="s">
        <v>257</v>
      </c>
      <c r="EC2432" s="1" t="s">
        <v>237</v>
      </c>
      <c r="EG2432" s="1" t="s">
        <v>374</v>
      </c>
      <c r="EL2432" s="1" t="s">
        <v>4470</v>
      </c>
      <c r="EM2432" s="1" t="s">
        <v>206</v>
      </c>
      <c r="EQ2432" s="1" t="s">
        <v>238</v>
      </c>
      <c r="EU2432" s="1" t="s">
        <v>238</v>
      </c>
      <c r="EY2432" s="1" t="s">
        <v>238</v>
      </c>
      <c r="FC2432" s="1" t="s">
        <v>238</v>
      </c>
      <c r="FF2432" s="1" t="s">
        <v>239</v>
      </c>
      <c r="FG2432" s="1" t="s">
        <v>192</v>
      </c>
      <c r="FH2432" s="1" t="s">
        <v>192</v>
      </c>
      <c r="FJ2432" s="1" t="s">
        <v>10843</v>
      </c>
      <c r="FK2432" s="1" t="s">
        <v>229</v>
      </c>
      <c r="FL2432" s="1" t="s">
        <v>5642</v>
      </c>
      <c r="FM2432" s="1">
        <v>15391.0</v>
      </c>
      <c r="FN2432" s="1" t="s">
        <v>5643</v>
      </c>
      <c r="FO2432" s="1" t="s">
        <v>22178</v>
      </c>
      <c r="FP2432" s="1">
        <v>143229.0</v>
      </c>
      <c r="FQ2432" s="1" t="s">
        <v>22179</v>
      </c>
      <c r="FR2432" s="1">
        <v>109955.0</v>
      </c>
      <c r="FU2432" s="1" t="s">
        <v>3678</v>
      </c>
      <c r="FV2432" s="1" t="s">
        <v>200</v>
      </c>
      <c r="FW2432" s="1" t="s">
        <v>1293</v>
      </c>
      <c r="FX2432" s="1" t="s">
        <v>246</v>
      </c>
      <c r="FZ2432" s="1" t="s">
        <v>229</v>
      </c>
      <c r="GA2432" s="1" t="s">
        <v>291</v>
      </c>
      <c r="GB2432" s="2">
        <v>42052.0</v>
      </c>
      <c r="GC2432" s="1" t="s">
        <v>22180</v>
      </c>
    </row>
    <row r="2433">
      <c r="A2433" s="1">
        <v>400000.0</v>
      </c>
      <c r="B2433" s="1" t="s">
        <v>185</v>
      </c>
      <c r="C2433" s="1" t="str">
        <f>"08817348"</f>
        <v>08817348</v>
      </c>
      <c r="D2433" s="1" t="s">
        <v>186</v>
      </c>
      <c r="F2433" s="1" t="str">
        <f>"8075"</f>
        <v>8075</v>
      </c>
      <c r="G2433" s="2">
        <v>42019.0</v>
      </c>
      <c r="H2433" s="1">
        <v>428800.0</v>
      </c>
      <c r="I2433" s="1">
        <v>69.0</v>
      </c>
      <c r="J2433" s="1">
        <v>428800.0</v>
      </c>
      <c r="K2433" s="2">
        <v>42019.0</v>
      </c>
      <c r="L2433" s="1">
        <v>1.0</v>
      </c>
      <c r="M2433" s="2">
        <v>42019.0</v>
      </c>
      <c r="N2433" s="1" t="s">
        <v>187</v>
      </c>
      <c r="O2433" s="2">
        <v>42066.0</v>
      </c>
      <c r="P2433" s="1">
        <v>111269.0</v>
      </c>
      <c r="Q2433" s="1">
        <v>85646.0</v>
      </c>
      <c r="R2433" s="1">
        <v>2.0</v>
      </c>
      <c r="S2433" s="1">
        <v>10882.0</v>
      </c>
      <c r="T2433" s="1" t="s">
        <v>21573</v>
      </c>
      <c r="U2433" s="1" t="s">
        <v>189</v>
      </c>
      <c r="V2433" s="1" t="s">
        <v>190</v>
      </c>
      <c r="W2433" s="1">
        <v>60643.0</v>
      </c>
      <c r="Y2433" s="1" t="s">
        <v>22181</v>
      </c>
      <c r="Z2433" s="1">
        <v>1884.0</v>
      </c>
      <c r="AA2433" s="1" t="s">
        <v>192</v>
      </c>
      <c r="AB2433" s="1" t="s">
        <v>193</v>
      </c>
      <c r="AD2433" s="1" t="s">
        <v>194</v>
      </c>
      <c r="AE2433" s="1" t="s">
        <v>195</v>
      </c>
      <c r="AF2433" s="1" t="s">
        <v>659</v>
      </c>
      <c r="AH2433" s="1" t="s">
        <v>22182</v>
      </c>
      <c r="AI2433" s="1">
        <v>0.2491</v>
      </c>
      <c r="AK2433" s="1">
        <v>10.0</v>
      </c>
      <c r="AL2433" s="1">
        <v>4.0</v>
      </c>
      <c r="AM2433" s="1">
        <v>4.0</v>
      </c>
      <c r="AN2433" s="1">
        <v>1.0</v>
      </c>
      <c r="AO2433" s="1" t="s">
        <v>198</v>
      </c>
      <c r="AP2433" s="1">
        <v>1.0</v>
      </c>
      <c r="AQ2433" s="1" t="s">
        <v>198</v>
      </c>
      <c r="AR2433" s="1" t="s">
        <v>200</v>
      </c>
      <c r="AS2433" s="1" t="s">
        <v>199</v>
      </c>
      <c r="AT2433" s="1">
        <v>2.0</v>
      </c>
      <c r="AV2433" s="1" t="s">
        <v>200</v>
      </c>
      <c r="AW2433" s="1">
        <v>2707.0</v>
      </c>
      <c r="AX2433" s="1">
        <v>2013.0</v>
      </c>
      <c r="AY2433" s="1" t="s">
        <v>387</v>
      </c>
      <c r="AZ2433" s="1" t="s">
        <v>200</v>
      </c>
      <c r="BA2433" s="1" t="str">
        <f>"25184040230000"</f>
        <v>25184040230000</v>
      </c>
      <c r="BB2433" s="1" t="s">
        <v>200</v>
      </c>
      <c r="BC2433" s="1">
        <v>2800.0</v>
      </c>
      <c r="BD2433" s="1">
        <v>400000.0</v>
      </c>
      <c r="BE2433" s="2">
        <v>42019.0</v>
      </c>
      <c r="BF2433" s="2" t="s">
        <v>22183</v>
      </c>
      <c r="BH2433" s="1">
        <v>0.0</v>
      </c>
      <c r="BK2433" s="1" t="s">
        <v>204</v>
      </c>
      <c r="BL2433" s="1" t="str">
        <f t="shared" ref="BL2433:BM2433" si="1586">"0"</f>
        <v>0</v>
      </c>
      <c r="BM2433" s="1" t="str">
        <f t="shared" si="1586"/>
        <v>0</v>
      </c>
      <c r="BN2433" s="1">
        <v>1721.0</v>
      </c>
      <c r="BO2433" s="1">
        <v>10882.0</v>
      </c>
      <c r="BQ2433" s="1">
        <v>299.0</v>
      </c>
      <c r="BR2433" s="1">
        <v>299.0</v>
      </c>
      <c r="BS2433" s="1">
        <v>299.0</v>
      </c>
      <c r="BU2433" s="1" t="s">
        <v>1652</v>
      </c>
      <c r="BV2433" s="1" t="s">
        <v>206</v>
      </c>
      <c r="BW2433" s="1" t="s">
        <v>207</v>
      </c>
      <c r="BY2433" s="1" t="s">
        <v>1350</v>
      </c>
      <c r="BZ2433" s="1" t="s">
        <v>209</v>
      </c>
      <c r="CA2433" s="1" t="s">
        <v>207</v>
      </c>
      <c r="CC2433" s="1" t="s">
        <v>582</v>
      </c>
      <c r="CD2433" s="1" t="s">
        <v>206</v>
      </c>
      <c r="CE2433" s="1" t="s">
        <v>207</v>
      </c>
      <c r="CG2433" s="1" t="s">
        <v>3888</v>
      </c>
      <c r="CH2433" s="1" t="s">
        <v>209</v>
      </c>
      <c r="CI2433" s="1" t="s">
        <v>207</v>
      </c>
      <c r="CK2433" s="1" t="s">
        <v>497</v>
      </c>
      <c r="CL2433" s="1" t="s">
        <v>209</v>
      </c>
      <c r="CM2433" s="1" t="s">
        <v>207</v>
      </c>
      <c r="CO2433" s="1" t="s">
        <v>363</v>
      </c>
      <c r="CP2433" s="1" t="s">
        <v>206</v>
      </c>
      <c r="CQ2433" s="1" t="s">
        <v>207</v>
      </c>
      <c r="CS2433" s="1" t="s">
        <v>3595</v>
      </c>
      <c r="CT2433" s="1" t="s">
        <v>206</v>
      </c>
      <c r="CU2433" s="1" t="s">
        <v>207</v>
      </c>
      <c r="CX2433" s="1" t="s">
        <v>204</v>
      </c>
      <c r="DA2433" s="1" t="s">
        <v>200</v>
      </c>
      <c r="DC2433" s="1" t="s">
        <v>642</v>
      </c>
      <c r="DD2433" s="1" t="s">
        <v>518</v>
      </c>
      <c r="DE2433" s="1" t="s">
        <v>3750</v>
      </c>
      <c r="DF2433" s="1" t="s">
        <v>2328</v>
      </c>
      <c r="DH2433" s="1" t="s">
        <v>365</v>
      </c>
      <c r="DI2433" s="1" t="s">
        <v>6458</v>
      </c>
      <c r="DJ2433" s="1" t="s">
        <v>222</v>
      </c>
      <c r="DK2433" s="1" t="s">
        <v>12372</v>
      </c>
      <c r="DL2433" s="1" t="s">
        <v>224</v>
      </c>
      <c r="DM2433" s="1" t="s">
        <v>229</v>
      </c>
      <c r="DO2433" s="1" t="s">
        <v>549</v>
      </c>
      <c r="DQ2433" s="1" t="s">
        <v>794</v>
      </c>
      <c r="DR2433" s="1" t="s">
        <v>229</v>
      </c>
      <c r="DS2433" s="1" t="s">
        <v>591</v>
      </c>
      <c r="DV2433" s="1" t="s">
        <v>22184</v>
      </c>
      <c r="DW2433" s="1" t="s">
        <v>552</v>
      </c>
      <c r="DX2433" s="1" t="s">
        <v>234</v>
      </c>
      <c r="EA2433" s="1" t="s">
        <v>1695</v>
      </c>
      <c r="EB2433" s="1" t="s">
        <v>345</v>
      </c>
      <c r="EC2433" s="1" t="s">
        <v>237</v>
      </c>
      <c r="EG2433" s="1" t="s">
        <v>598</v>
      </c>
      <c r="EH2433" s="1" t="s">
        <v>450</v>
      </c>
      <c r="EI2433" s="1" t="s">
        <v>1121</v>
      </c>
      <c r="EL2433" s="1" t="s">
        <v>639</v>
      </c>
      <c r="EM2433" s="1" t="s">
        <v>42</v>
      </c>
      <c r="EN2433" s="1" t="s">
        <v>210</v>
      </c>
      <c r="EP2433" s="1" t="s">
        <v>6783</v>
      </c>
      <c r="EQ2433" s="1" t="s">
        <v>42</v>
      </c>
      <c r="ER2433" s="1" t="s">
        <v>210</v>
      </c>
      <c r="ET2433" s="1" t="s">
        <v>1688</v>
      </c>
      <c r="EU2433" s="1" t="s">
        <v>209</v>
      </c>
      <c r="EV2433" s="1" t="s">
        <v>207</v>
      </c>
      <c r="EY2433" s="1" t="s">
        <v>238</v>
      </c>
      <c r="FC2433" s="1" t="s">
        <v>238</v>
      </c>
      <c r="FF2433" s="1" t="s">
        <v>239</v>
      </c>
      <c r="FG2433" s="1" t="s">
        <v>192</v>
      </c>
      <c r="FH2433" s="1" t="s">
        <v>192</v>
      </c>
      <c r="FJ2433" s="1" t="s">
        <v>22185</v>
      </c>
      <c r="FK2433" s="1" t="s">
        <v>229</v>
      </c>
      <c r="FL2433" s="1" t="s">
        <v>22186</v>
      </c>
      <c r="FM2433" s="1">
        <v>8902.0</v>
      </c>
      <c r="FN2433" s="1" t="s">
        <v>22187</v>
      </c>
      <c r="FO2433" s="1" t="s">
        <v>22188</v>
      </c>
      <c r="FP2433" s="1">
        <v>89900.0</v>
      </c>
      <c r="FQ2433" s="1" t="s">
        <v>22189</v>
      </c>
      <c r="FU2433" s="1" t="s">
        <v>22190</v>
      </c>
      <c r="FV2433" s="1" t="s">
        <v>200</v>
      </c>
      <c r="FW2433" s="1" t="s">
        <v>290</v>
      </c>
      <c r="FX2433" s="1" t="s">
        <v>655</v>
      </c>
      <c r="FZ2433" s="1" t="s">
        <v>632</v>
      </c>
      <c r="GA2433" s="1" t="s">
        <v>291</v>
      </c>
      <c r="GB2433" s="2">
        <v>42067.0</v>
      </c>
      <c r="GC2433" s="1" t="s">
        <v>22191</v>
      </c>
    </row>
    <row r="2434">
      <c r="A2434" s="1">
        <v>173300.0</v>
      </c>
      <c r="B2434" s="1" t="s">
        <v>185</v>
      </c>
      <c r="C2434" s="1" t="str">
        <f>"08819670"</f>
        <v>08819670</v>
      </c>
      <c r="D2434" s="1" t="s">
        <v>186</v>
      </c>
      <c r="F2434" s="1" t="str">
        <f>"8017"</f>
        <v>8017</v>
      </c>
      <c r="G2434" s="2">
        <v>42023.0</v>
      </c>
      <c r="H2434" s="1">
        <v>180000.0</v>
      </c>
      <c r="I2434" s="1">
        <v>67.0</v>
      </c>
      <c r="J2434" s="1">
        <v>180000.0</v>
      </c>
      <c r="K2434" s="2">
        <v>42089.0</v>
      </c>
      <c r="L2434" s="1">
        <v>67.0</v>
      </c>
      <c r="M2434" s="2">
        <v>42089.0</v>
      </c>
      <c r="N2434" s="1" t="s">
        <v>249</v>
      </c>
      <c r="O2434" s="2">
        <v>42103.0</v>
      </c>
      <c r="P2434" s="1">
        <v>131249.0</v>
      </c>
      <c r="Q2434" s="1">
        <v>84869.0</v>
      </c>
      <c r="S2434" s="1">
        <v>3222.0</v>
      </c>
      <c r="T2434" s="1" t="s">
        <v>22192</v>
      </c>
      <c r="U2434" s="1" t="s">
        <v>189</v>
      </c>
      <c r="V2434" s="1" t="s">
        <v>190</v>
      </c>
      <c r="W2434" s="1">
        <v>60634.0</v>
      </c>
      <c r="Y2434" s="1" t="s">
        <v>22193</v>
      </c>
      <c r="Z2434" s="1" t="s">
        <v>296</v>
      </c>
      <c r="AA2434" s="1" t="s">
        <v>192</v>
      </c>
      <c r="AB2434" s="1" t="s">
        <v>193</v>
      </c>
      <c r="AD2434" s="1" t="s">
        <v>194</v>
      </c>
      <c r="AE2434" s="1" t="s">
        <v>195</v>
      </c>
      <c r="AF2434" s="1" t="s">
        <v>196</v>
      </c>
      <c r="AH2434" s="1">
        <v>3750.0</v>
      </c>
      <c r="AI2434" s="1">
        <v>0.0861</v>
      </c>
      <c r="AK2434" s="1">
        <v>7.0</v>
      </c>
      <c r="AL2434" s="1">
        <v>3.0</v>
      </c>
      <c r="AM2434" s="1">
        <v>3.0</v>
      </c>
      <c r="AN2434" s="1">
        <v>0.0</v>
      </c>
      <c r="AO2434" s="1" t="s">
        <v>229</v>
      </c>
      <c r="AQ2434" s="1" t="s">
        <v>198</v>
      </c>
      <c r="AR2434" s="1" t="s">
        <v>192</v>
      </c>
      <c r="AS2434" s="1" t="s">
        <v>199</v>
      </c>
      <c r="AT2434" s="1">
        <v>2.0</v>
      </c>
      <c r="AV2434" s="1" t="s">
        <v>200</v>
      </c>
      <c r="AW2434" s="1">
        <v>2678.0</v>
      </c>
      <c r="AX2434" s="1">
        <v>2013.0</v>
      </c>
      <c r="AY2434" s="1" t="s">
        <v>387</v>
      </c>
      <c r="AZ2434" s="1" t="s">
        <v>200</v>
      </c>
      <c r="BA2434" s="1" t="str">
        <f>"12243240420000"</f>
        <v>12243240420000</v>
      </c>
      <c r="BC2434" s="1">
        <v>0.0</v>
      </c>
      <c r="BD2434" s="1">
        <v>173300.0</v>
      </c>
      <c r="BE2434" s="2">
        <v>42023.0</v>
      </c>
      <c r="BF2434" s="1" t="s">
        <v>22194</v>
      </c>
      <c r="BH2434" s="1">
        <v>0.0</v>
      </c>
      <c r="BK2434" s="1" t="s">
        <v>204</v>
      </c>
      <c r="BL2434" s="1" t="str">
        <f>"3222"</f>
        <v>3222</v>
      </c>
      <c r="BM2434" s="1" t="str">
        <f>"0"</f>
        <v>0</v>
      </c>
      <c r="BN2434" s="1">
        <v>7950.0</v>
      </c>
      <c r="BO2434" s="1">
        <v>0.0</v>
      </c>
      <c r="BQ2434" s="1">
        <v>299.0</v>
      </c>
      <c r="BR2434" s="1">
        <v>299.0</v>
      </c>
      <c r="BS2434" s="1">
        <v>299.0</v>
      </c>
      <c r="BU2434" s="1" t="s">
        <v>7950</v>
      </c>
      <c r="BV2434" s="1" t="s">
        <v>206</v>
      </c>
      <c r="BY2434" s="1" t="s">
        <v>214</v>
      </c>
      <c r="BZ2434" s="1" t="s">
        <v>209</v>
      </c>
      <c r="CC2434" s="1" t="s">
        <v>542</v>
      </c>
      <c r="CD2434" s="1" t="s">
        <v>206</v>
      </c>
      <c r="CG2434" s="1" t="s">
        <v>211</v>
      </c>
      <c r="CH2434" s="1" t="s">
        <v>209</v>
      </c>
      <c r="CK2434" s="1" t="s">
        <v>269</v>
      </c>
      <c r="CL2434" s="1" t="s">
        <v>206</v>
      </c>
      <c r="CM2434" s="1" t="s">
        <v>210</v>
      </c>
      <c r="CO2434" s="1" t="s">
        <v>269</v>
      </c>
      <c r="CP2434" s="1" t="s">
        <v>42</v>
      </c>
      <c r="CS2434" s="1" t="s">
        <v>663</v>
      </c>
      <c r="CT2434" s="1" t="s">
        <v>206</v>
      </c>
      <c r="CX2434" s="1" t="s">
        <v>204</v>
      </c>
      <c r="DA2434" s="1" t="s">
        <v>200</v>
      </c>
      <c r="DC2434" s="1" t="s">
        <v>545</v>
      </c>
      <c r="DE2434" s="1" t="s">
        <v>229</v>
      </c>
      <c r="DF2434" s="1" t="s">
        <v>619</v>
      </c>
      <c r="DH2434" s="1" t="s">
        <v>307</v>
      </c>
      <c r="DJ2434" s="1" t="s">
        <v>222</v>
      </c>
      <c r="DL2434" s="1" t="s">
        <v>223</v>
      </c>
      <c r="DM2434" s="1" t="s">
        <v>229</v>
      </c>
      <c r="DQ2434" s="1" t="s">
        <v>228</v>
      </c>
      <c r="DR2434" s="1" t="s">
        <v>229</v>
      </c>
      <c r="DV2434" s="1" t="s">
        <v>232</v>
      </c>
      <c r="DW2434" s="1" t="s">
        <v>233</v>
      </c>
      <c r="DX2434" s="1" t="s">
        <v>234</v>
      </c>
      <c r="EC2434" s="1" t="s">
        <v>645</v>
      </c>
      <c r="EM2434" s="1" t="s">
        <v>238</v>
      </c>
      <c r="EQ2434" s="1" t="s">
        <v>238</v>
      </c>
      <c r="EU2434" s="1" t="s">
        <v>238</v>
      </c>
      <c r="EY2434" s="1" t="s">
        <v>238</v>
      </c>
      <c r="FC2434" s="1" t="s">
        <v>238</v>
      </c>
      <c r="FF2434" s="1" t="s">
        <v>239</v>
      </c>
      <c r="FG2434" s="1" t="s">
        <v>192</v>
      </c>
      <c r="FH2434" s="1" t="s">
        <v>192</v>
      </c>
      <c r="FJ2434" s="1" t="s">
        <v>1982</v>
      </c>
      <c r="FK2434" s="1" t="s">
        <v>229</v>
      </c>
      <c r="FL2434" s="1" t="s">
        <v>22195</v>
      </c>
      <c r="FM2434" s="1">
        <v>1986.0</v>
      </c>
      <c r="FN2434" s="1" t="s">
        <v>22196</v>
      </c>
      <c r="FO2434" s="1" t="s">
        <v>22197</v>
      </c>
      <c r="FP2434" s="1">
        <v>922957.0</v>
      </c>
      <c r="FU2434" s="1" t="s">
        <v>22198</v>
      </c>
      <c r="FV2434" s="1" t="s">
        <v>192</v>
      </c>
      <c r="FW2434" s="1" t="s">
        <v>530</v>
      </c>
      <c r="FX2434" s="1" t="s">
        <v>238</v>
      </c>
      <c r="FZ2434" s="1" t="s">
        <v>229</v>
      </c>
      <c r="GA2434" s="1" t="s">
        <v>291</v>
      </c>
      <c r="GB2434" s="2">
        <v>42116.0</v>
      </c>
      <c r="GC2434" s="1" t="s">
        <v>22199</v>
      </c>
    </row>
    <row r="2435">
      <c r="A2435" s="1">
        <v>244500.0</v>
      </c>
      <c r="B2435" s="1" t="s">
        <v>185</v>
      </c>
      <c r="C2435" s="1" t="str">
        <f>"08814450"</f>
        <v>08814450</v>
      </c>
      <c r="D2435" s="1" t="s">
        <v>186</v>
      </c>
      <c r="F2435" s="1" t="str">
        <f t="shared" ref="F2435:F2436" si="1588">"123"</f>
        <v>123</v>
      </c>
      <c r="G2435" s="2">
        <v>42016.0</v>
      </c>
      <c r="H2435" s="1">
        <v>249900.0</v>
      </c>
      <c r="I2435" s="1">
        <v>21.0</v>
      </c>
      <c r="J2435" s="1">
        <v>249900.0</v>
      </c>
      <c r="K2435" s="2">
        <v>42036.0</v>
      </c>
      <c r="L2435" s="1">
        <v>21.0</v>
      </c>
      <c r="M2435" s="2">
        <v>42036.0</v>
      </c>
      <c r="N2435" s="1" t="s">
        <v>356</v>
      </c>
      <c r="O2435" s="2">
        <v>42088.0</v>
      </c>
      <c r="P2435" s="1">
        <v>253586.0</v>
      </c>
      <c r="Q2435" s="1">
        <v>8073.0</v>
      </c>
      <c r="S2435" s="1">
        <v>1045.0</v>
      </c>
      <c r="T2435" s="1" t="s">
        <v>15371</v>
      </c>
      <c r="V2435" s="1" t="s">
        <v>465</v>
      </c>
      <c r="W2435" s="1">
        <v>60120.0</v>
      </c>
      <c r="Y2435" s="1" t="s">
        <v>22200</v>
      </c>
      <c r="Z2435" s="1">
        <v>1991.0</v>
      </c>
      <c r="AA2435" s="1" t="s">
        <v>200</v>
      </c>
      <c r="AB2435" s="1" t="s">
        <v>467</v>
      </c>
      <c r="AC2435" s="1" t="s">
        <v>6396</v>
      </c>
      <c r="AD2435" s="1" t="s">
        <v>469</v>
      </c>
      <c r="AE2435" s="1" t="s">
        <v>195</v>
      </c>
      <c r="AF2435" s="1" t="s">
        <v>298</v>
      </c>
      <c r="AG2435" s="1" t="s">
        <v>7246</v>
      </c>
      <c r="AH2435" s="1">
        <v>8996.0</v>
      </c>
      <c r="AK2435" s="1">
        <v>9.0</v>
      </c>
      <c r="AL2435" s="1">
        <v>4.0</v>
      </c>
      <c r="AM2435" s="1">
        <v>2.0</v>
      </c>
      <c r="AN2435" s="1">
        <v>1.0</v>
      </c>
      <c r="AO2435" s="1" t="s">
        <v>198</v>
      </c>
      <c r="AQ2435" s="1" t="s">
        <v>1314</v>
      </c>
      <c r="AR2435" s="1" t="s">
        <v>200</v>
      </c>
      <c r="AS2435" s="1" t="s">
        <v>199</v>
      </c>
      <c r="AT2435" s="1">
        <v>2.0</v>
      </c>
      <c r="AV2435" s="1" t="s">
        <v>200</v>
      </c>
      <c r="AW2435" s="1">
        <v>8900.0</v>
      </c>
      <c r="AX2435" s="1">
        <v>2013.0</v>
      </c>
      <c r="AZ2435" s="1" t="s">
        <v>200</v>
      </c>
      <c r="BA2435" s="1" t="str">
        <f>"06072040150000"</f>
        <v>06072040150000</v>
      </c>
      <c r="BC2435" s="1">
        <v>2500.0</v>
      </c>
      <c r="BD2435" s="1">
        <v>244500.0</v>
      </c>
      <c r="BE2435" s="2">
        <v>42016.0</v>
      </c>
      <c r="BF2435" s="2" t="s">
        <v>22201</v>
      </c>
      <c r="BH2435" s="1">
        <v>183.0</v>
      </c>
      <c r="BK2435" s="1" t="s">
        <v>580</v>
      </c>
      <c r="BL2435" s="1" t="str">
        <f t="shared" ref="BL2435:BM2435" si="1587">""</f>
        <v/>
      </c>
      <c r="BM2435" s="1" t="str">
        <f t="shared" si="1587"/>
        <v/>
      </c>
      <c r="BQ2435" s="1">
        <v>46.0</v>
      </c>
      <c r="BR2435" s="1">
        <v>46.0</v>
      </c>
      <c r="BS2435" s="1">
        <v>46.0</v>
      </c>
      <c r="BU2435" s="1" t="s">
        <v>1395</v>
      </c>
      <c r="BV2435" s="1" t="s">
        <v>206</v>
      </c>
      <c r="BW2435" s="1" t="s">
        <v>210</v>
      </c>
      <c r="BX2435" s="1" t="s">
        <v>431</v>
      </c>
      <c r="BY2435" s="1" t="s">
        <v>664</v>
      </c>
      <c r="BZ2435" s="1" t="s">
        <v>209</v>
      </c>
      <c r="CA2435" s="1" t="s">
        <v>210</v>
      </c>
      <c r="CB2435" s="1" t="s">
        <v>431</v>
      </c>
      <c r="CC2435" s="1" t="s">
        <v>215</v>
      </c>
      <c r="CD2435" s="1" t="s">
        <v>206</v>
      </c>
      <c r="CE2435" s="1" t="s">
        <v>210</v>
      </c>
      <c r="CF2435" s="1" t="s">
        <v>431</v>
      </c>
      <c r="CG2435" s="1" t="s">
        <v>332</v>
      </c>
      <c r="CH2435" s="1" t="s">
        <v>209</v>
      </c>
      <c r="CI2435" s="1" t="s">
        <v>210</v>
      </c>
      <c r="CJ2435" s="1" t="s">
        <v>431</v>
      </c>
      <c r="CK2435" s="1" t="s">
        <v>264</v>
      </c>
      <c r="CL2435" s="1" t="s">
        <v>209</v>
      </c>
      <c r="CO2435" s="1" t="s">
        <v>264</v>
      </c>
      <c r="CP2435" s="1" t="s">
        <v>209</v>
      </c>
      <c r="CQ2435" s="1" t="s">
        <v>210</v>
      </c>
      <c r="CR2435" s="1" t="s">
        <v>431</v>
      </c>
      <c r="CS2435" s="1" t="s">
        <v>215</v>
      </c>
      <c r="CT2435" s="1" t="s">
        <v>206</v>
      </c>
      <c r="CU2435" s="1" t="s">
        <v>207</v>
      </c>
      <c r="CV2435" s="1" t="s">
        <v>431</v>
      </c>
      <c r="CW2435" s="1" t="s">
        <v>1043</v>
      </c>
      <c r="CX2435" s="1" t="s">
        <v>206</v>
      </c>
      <c r="CY2435" s="1" t="s">
        <v>207</v>
      </c>
      <c r="CZ2435" s="1" t="s">
        <v>229</v>
      </c>
      <c r="DA2435" s="1" t="s">
        <v>200</v>
      </c>
      <c r="DC2435" s="1" t="s">
        <v>435</v>
      </c>
      <c r="DD2435" s="1" t="s">
        <v>3633</v>
      </c>
      <c r="DE2435" s="1" t="s">
        <v>273</v>
      </c>
      <c r="DF2435" s="1" t="s">
        <v>219</v>
      </c>
      <c r="DH2435" s="1" t="s">
        <v>220</v>
      </c>
      <c r="DI2435" s="1" t="s">
        <v>789</v>
      </c>
      <c r="DJ2435" s="1" t="s">
        <v>222</v>
      </c>
      <c r="DL2435" s="1" t="s">
        <v>223</v>
      </c>
      <c r="DM2435" s="1" t="s">
        <v>338</v>
      </c>
      <c r="DP2435" s="1" t="s">
        <v>340</v>
      </c>
      <c r="DQ2435" s="1" t="s">
        <v>228</v>
      </c>
      <c r="DR2435" s="1" t="s">
        <v>229</v>
      </c>
      <c r="DV2435" s="1" t="s">
        <v>494</v>
      </c>
      <c r="DW2435" s="1" t="s">
        <v>233</v>
      </c>
      <c r="DX2435" s="1" t="s">
        <v>234</v>
      </c>
      <c r="EC2435" s="1" t="s">
        <v>237</v>
      </c>
      <c r="EE2435" s="1" t="s">
        <v>493</v>
      </c>
      <c r="EG2435" s="1" t="s">
        <v>494</v>
      </c>
      <c r="EL2435" s="1" t="s">
        <v>264</v>
      </c>
      <c r="EM2435" s="1" t="s">
        <v>206</v>
      </c>
      <c r="EN2435" s="1" t="s">
        <v>210</v>
      </c>
      <c r="EO2435" s="1" t="s">
        <v>431</v>
      </c>
      <c r="EQ2435" s="1" t="s">
        <v>238</v>
      </c>
      <c r="EU2435" s="1" t="s">
        <v>238</v>
      </c>
      <c r="EY2435" s="1" t="s">
        <v>238</v>
      </c>
      <c r="FC2435" s="1" t="s">
        <v>238</v>
      </c>
      <c r="FF2435" s="1" t="s">
        <v>239</v>
      </c>
      <c r="FG2435" s="1" t="s">
        <v>192</v>
      </c>
      <c r="FH2435" s="1" t="s">
        <v>192</v>
      </c>
      <c r="FJ2435" s="1" t="s">
        <v>412</v>
      </c>
      <c r="FK2435" s="1" t="s">
        <v>229</v>
      </c>
      <c r="FL2435" s="1" t="s">
        <v>2263</v>
      </c>
      <c r="FM2435" s="1">
        <v>7661.0</v>
      </c>
      <c r="FN2435" s="1" t="s">
        <v>4356</v>
      </c>
      <c r="FO2435" s="1" t="s">
        <v>22202</v>
      </c>
      <c r="FP2435" s="1">
        <v>7909.0</v>
      </c>
      <c r="FQ2435" s="1" t="s">
        <v>22203</v>
      </c>
      <c r="FR2435" s="1">
        <v>7895.0</v>
      </c>
      <c r="FT2435" s="1" t="s">
        <v>22204</v>
      </c>
      <c r="FU2435" s="1" t="s">
        <v>6737</v>
      </c>
      <c r="FV2435" s="1" t="s">
        <v>200</v>
      </c>
      <c r="FW2435" s="1" t="s">
        <v>530</v>
      </c>
      <c r="FZ2435" s="1" t="s">
        <v>632</v>
      </c>
      <c r="GA2435" s="1" t="s">
        <v>291</v>
      </c>
      <c r="GB2435" s="2">
        <v>42088.0</v>
      </c>
      <c r="GC2435" s="1" t="s">
        <v>22205</v>
      </c>
    </row>
    <row r="2436">
      <c r="A2436" s="1">
        <v>190000.0</v>
      </c>
      <c r="B2436" s="1" t="s">
        <v>185</v>
      </c>
      <c r="C2436" s="1" t="str">
        <f>"08818626"</f>
        <v>08818626</v>
      </c>
      <c r="D2436" s="1" t="s">
        <v>186</v>
      </c>
      <c r="F2436" s="1" t="str">
        <f t="shared" si="1588"/>
        <v>123</v>
      </c>
      <c r="G2436" s="2">
        <v>42021.0</v>
      </c>
      <c r="H2436" s="1">
        <v>189900.0</v>
      </c>
      <c r="I2436" s="1">
        <v>12.0</v>
      </c>
      <c r="J2436" s="1">
        <v>189900.0</v>
      </c>
      <c r="K2436" s="2">
        <v>42032.0</v>
      </c>
      <c r="L2436" s="1">
        <v>12.0</v>
      </c>
      <c r="M2436" s="2">
        <v>42032.0</v>
      </c>
      <c r="N2436" s="1" t="s">
        <v>187</v>
      </c>
      <c r="O2436" s="2">
        <v>42083.0</v>
      </c>
      <c r="P2436" s="1">
        <v>56177.0</v>
      </c>
      <c r="Q2436" s="1">
        <v>7630.0</v>
      </c>
      <c r="S2436" s="1">
        <v>887.0</v>
      </c>
      <c r="T2436" s="1" t="s">
        <v>22206</v>
      </c>
      <c r="U2436" s="1" t="s">
        <v>189</v>
      </c>
      <c r="V2436" s="1" t="s">
        <v>465</v>
      </c>
      <c r="W2436" s="1">
        <v>60123.0</v>
      </c>
      <c r="Y2436" s="1" t="s">
        <v>22207</v>
      </c>
      <c r="Z2436" s="1">
        <v>1960.0</v>
      </c>
      <c r="AA2436" s="1" t="s">
        <v>192</v>
      </c>
      <c r="AB2436" s="1" t="s">
        <v>193</v>
      </c>
      <c r="AC2436" s="1" t="s">
        <v>14039</v>
      </c>
      <c r="AD2436" s="1" t="s">
        <v>469</v>
      </c>
      <c r="AE2436" s="1" t="s">
        <v>325</v>
      </c>
      <c r="AF2436" s="1" t="s">
        <v>469</v>
      </c>
      <c r="AH2436" s="1" t="s">
        <v>22208</v>
      </c>
      <c r="AI2436" s="1">
        <v>0.24</v>
      </c>
      <c r="AK2436" s="1">
        <v>9.0</v>
      </c>
      <c r="AL2436" s="1">
        <v>3.0</v>
      </c>
      <c r="AM2436" s="1">
        <v>2.0</v>
      </c>
      <c r="AN2436" s="1">
        <v>1.0</v>
      </c>
      <c r="AO2436" s="1" t="s">
        <v>2068</v>
      </c>
      <c r="AP2436" s="1">
        <v>1.0</v>
      </c>
      <c r="AQ2436" s="1" t="s">
        <v>198</v>
      </c>
      <c r="AR2436" s="1" t="s">
        <v>192</v>
      </c>
      <c r="AS2436" s="1" t="s">
        <v>510</v>
      </c>
      <c r="AT2436" s="1">
        <v>1.0</v>
      </c>
      <c r="AU2436" s="1">
        <v>2.0</v>
      </c>
      <c r="AV2436" s="1" t="s">
        <v>200</v>
      </c>
      <c r="AW2436" s="1">
        <v>4236.44</v>
      </c>
      <c r="AX2436" s="1">
        <v>2013.0</v>
      </c>
      <c r="AY2436" s="1" t="s">
        <v>387</v>
      </c>
      <c r="AZ2436" s="1" t="s">
        <v>200</v>
      </c>
      <c r="BA2436" s="1" t="str">
        <f>"0610106012"</f>
        <v>0610106012</v>
      </c>
      <c r="BB2436" s="1" t="s">
        <v>200</v>
      </c>
      <c r="BC2436" s="1">
        <v>1664.0</v>
      </c>
      <c r="BD2436" s="1">
        <v>190000.0</v>
      </c>
      <c r="BE2436" s="2">
        <v>42021.0</v>
      </c>
      <c r="BF2436" s="2" t="s">
        <v>22209</v>
      </c>
      <c r="BG2436" s="1" t="s">
        <v>13029</v>
      </c>
      <c r="BH2436" s="1">
        <v>0.0</v>
      </c>
      <c r="BI2436" s="1" t="s">
        <v>3197</v>
      </c>
      <c r="BJ2436" s="1" t="s">
        <v>675</v>
      </c>
      <c r="BK2436" s="1" t="s">
        <v>204</v>
      </c>
      <c r="BL2436" s="1" t="str">
        <f>"12"</f>
        <v>12</v>
      </c>
      <c r="BM2436" s="1" t="str">
        <f>"0"</f>
        <v>0</v>
      </c>
      <c r="BN2436" s="1">
        <v>35.0</v>
      </c>
      <c r="BO2436" s="1">
        <v>0.0</v>
      </c>
      <c r="BQ2436" s="1">
        <v>46.0</v>
      </c>
      <c r="BR2436" s="1">
        <v>46.0</v>
      </c>
      <c r="BS2436" s="1">
        <v>46.0</v>
      </c>
      <c r="BU2436" s="1" t="s">
        <v>453</v>
      </c>
      <c r="BV2436" s="1" t="s">
        <v>206</v>
      </c>
      <c r="BW2436" s="1" t="s">
        <v>207</v>
      </c>
      <c r="BY2436" s="1" t="s">
        <v>331</v>
      </c>
      <c r="BZ2436" s="1" t="s">
        <v>206</v>
      </c>
      <c r="CA2436" s="1" t="s">
        <v>207</v>
      </c>
      <c r="CB2436" s="1" t="s">
        <v>431</v>
      </c>
      <c r="CC2436" s="1" t="s">
        <v>542</v>
      </c>
      <c r="CD2436" s="1" t="s">
        <v>206</v>
      </c>
      <c r="CE2436" s="1" t="s">
        <v>207</v>
      </c>
      <c r="CF2436" s="1" t="s">
        <v>229</v>
      </c>
      <c r="CG2436" s="1" t="s">
        <v>266</v>
      </c>
      <c r="CH2436" s="1" t="s">
        <v>206</v>
      </c>
      <c r="CI2436" s="1" t="s">
        <v>207</v>
      </c>
      <c r="CJ2436" s="1" t="s">
        <v>431</v>
      </c>
      <c r="CK2436" s="1" t="s">
        <v>516</v>
      </c>
      <c r="CL2436" s="1" t="s">
        <v>206</v>
      </c>
      <c r="CM2436" s="1" t="s">
        <v>207</v>
      </c>
      <c r="CN2436" s="1" t="s">
        <v>431</v>
      </c>
      <c r="CO2436" s="1" t="s">
        <v>375</v>
      </c>
      <c r="CP2436" s="1" t="s">
        <v>42</v>
      </c>
      <c r="CQ2436" s="1" t="s">
        <v>210</v>
      </c>
      <c r="CR2436" s="1" t="s">
        <v>1549</v>
      </c>
      <c r="CS2436" s="1" t="s">
        <v>700</v>
      </c>
      <c r="CT2436" s="1" t="s">
        <v>206</v>
      </c>
      <c r="CU2436" s="1" t="s">
        <v>207</v>
      </c>
      <c r="CV2436" s="1" t="s">
        <v>239</v>
      </c>
      <c r="CW2436" s="1" t="s">
        <v>854</v>
      </c>
      <c r="CX2436" s="1" t="s">
        <v>206</v>
      </c>
      <c r="CY2436" s="1" t="s">
        <v>210</v>
      </c>
      <c r="CZ2436" s="1" t="s">
        <v>431</v>
      </c>
      <c r="DA2436" s="1" t="s">
        <v>200</v>
      </c>
      <c r="DC2436" s="1" t="s">
        <v>271</v>
      </c>
      <c r="DD2436" s="1" t="s">
        <v>731</v>
      </c>
      <c r="DE2436" s="1" t="s">
        <v>273</v>
      </c>
      <c r="DF2436" s="1" t="s">
        <v>219</v>
      </c>
      <c r="DG2436" s="1" t="s">
        <v>482</v>
      </c>
      <c r="DH2436" s="1" t="s">
        <v>220</v>
      </c>
      <c r="DI2436" s="1" t="s">
        <v>703</v>
      </c>
      <c r="DJ2436" s="1" t="s">
        <v>222</v>
      </c>
      <c r="DL2436" s="1" t="s">
        <v>224</v>
      </c>
      <c r="DM2436" s="1" t="s">
        <v>1464</v>
      </c>
      <c r="DO2436" s="1" t="s">
        <v>549</v>
      </c>
      <c r="DP2436" s="1" t="s">
        <v>400</v>
      </c>
      <c r="DQ2436" s="1" t="s">
        <v>228</v>
      </c>
      <c r="DR2436" s="1" t="s">
        <v>229</v>
      </c>
      <c r="DS2436" s="1" t="s">
        <v>230</v>
      </c>
      <c r="DU2436" s="1" t="s">
        <v>22210</v>
      </c>
      <c r="DV2436" s="1" t="s">
        <v>5469</v>
      </c>
      <c r="DW2436" s="1" t="s">
        <v>489</v>
      </c>
      <c r="DX2436" s="1" t="s">
        <v>234</v>
      </c>
      <c r="DY2436" s="1" t="s">
        <v>553</v>
      </c>
      <c r="DZ2436" s="1" t="s">
        <v>6413</v>
      </c>
      <c r="EA2436" s="1" t="s">
        <v>683</v>
      </c>
      <c r="EB2436" s="1" t="s">
        <v>2915</v>
      </c>
      <c r="EC2436" s="1" t="s">
        <v>685</v>
      </c>
      <c r="ED2436" s="1" t="s">
        <v>407</v>
      </c>
      <c r="EE2436" s="1" t="s">
        <v>493</v>
      </c>
      <c r="EF2436" s="1" t="s">
        <v>7505</v>
      </c>
      <c r="EG2436" s="1" t="s">
        <v>450</v>
      </c>
      <c r="EH2436" s="1" t="s">
        <v>2971</v>
      </c>
      <c r="EL2436" s="1" t="s">
        <v>1000</v>
      </c>
      <c r="EM2436" s="1" t="s">
        <v>42</v>
      </c>
      <c r="EN2436" s="1" t="s">
        <v>210</v>
      </c>
      <c r="EO2436" s="1" t="s">
        <v>229</v>
      </c>
      <c r="EP2436" s="1" t="s">
        <v>265</v>
      </c>
      <c r="EQ2436" s="1" t="s">
        <v>42</v>
      </c>
      <c r="ER2436" s="1" t="s">
        <v>268</v>
      </c>
      <c r="ES2436" s="1" t="s">
        <v>229</v>
      </c>
      <c r="EU2436" s="1" t="s">
        <v>238</v>
      </c>
      <c r="EY2436" s="1" t="s">
        <v>238</v>
      </c>
      <c r="FC2436" s="1" t="s">
        <v>238</v>
      </c>
      <c r="FF2436" s="1" t="s">
        <v>239</v>
      </c>
      <c r="FG2436" s="1" t="s">
        <v>192</v>
      </c>
      <c r="FH2436" s="1" t="s">
        <v>192</v>
      </c>
      <c r="FJ2436" s="1" t="s">
        <v>524</v>
      </c>
      <c r="FK2436" s="1" t="s">
        <v>348</v>
      </c>
      <c r="FL2436" s="1" t="s">
        <v>1451</v>
      </c>
      <c r="FM2436" s="1">
        <v>7450.0</v>
      </c>
      <c r="FN2436" s="1" t="s">
        <v>1452</v>
      </c>
      <c r="FO2436" s="1" t="s">
        <v>13500</v>
      </c>
      <c r="FP2436" s="1">
        <v>77859.0</v>
      </c>
      <c r="FS2436" s="1" t="s">
        <v>13501</v>
      </c>
      <c r="FU2436" s="1" t="s">
        <v>13502</v>
      </c>
      <c r="FV2436" s="1" t="s">
        <v>200</v>
      </c>
      <c r="FW2436" s="1" t="s">
        <v>461</v>
      </c>
      <c r="FZ2436" s="1" t="s">
        <v>229</v>
      </c>
      <c r="GA2436" s="1" t="s">
        <v>291</v>
      </c>
      <c r="GB2436" s="2">
        <v>42093.0</v>
      </c>
      <c r="GC2436" s="1" t="s">
        <v>22211</v>
      </c>
    </row>
    <row r="2437">
      <c r="A2437" s="1">
        <v>247000.0</v>
      </c>
      <c r="B2437" s="1" t="s">
        <v>185</v>
      </c>
      <c r="C2437" s="1" t="str">
        <f>"08819823"</f>
        <v>08819823</v>
      </c>
      <c r="D2437" s="1" t="s">
        <v>186</v>
      </c>
      <c r="F2437" s="1" t="str">
        <f>"543"</f>
        <v>543</v>
      </c>
      <c r="G2437" s="2">
        <v>42024.0</v>
      </c>
      <c r="H2437" s="1">
        <v>254900.0</v>
      </c>
      <c r="I2437" s="1">
        <v>292.0</v>
      </c>
      <c r="J2437" s="1">
        <v>254900.0</v>
      </c>
      <c r="K2437" s="2">
        <v>42065.0</v>
      </c>
      <c r="L2437" s="1">
        <v>42.0</v>
      </c>
      <c r="M2437" s="2">
        <v>42065.0</v>
      </c>
      <c r="N2437" s="1" t="s">
        <v>356</v>
      </c>
      <c r="O2437" s="2">
        <v>42104.0</v>
      </c>
      <c r="P2437" s="1">
        <v>131740.0</v>
      </c>
      <c r="Q2437" s="1">
        <v>84467.0</v>
      </c>
      <c r="S2437" s="1">
        <v>407.0</v>
      </c>
      <c r="T2437" s="1" t="s">
        <v>12381</v>
      </c>
      <c r="U2437" s="1" t="s">
        <v>569</v>
      </c>
      <c r="V2437" s="1" t="s">
        <v>1527</v>
      </c>
      <c r="W2437" s="1">
        <v>60543.0</v>
      </c>
      <c r="Y2437" s="1" t="s">
        <v>22212</v>
      </c>
      <c r="Z2437" s="1">
        <v>2000.0</v>
      </c>
      <c r="AA2437" s="1" t="s">
        <v>200</v>
      </c>
      <c r="AB2437" s="1" t="s">
        <v>467</v>
      </c>
      <c r="AC2437" s="1" t="s">
        <v>21903</v>
      </c>
      <c r="AD2437" s="1" t="s">
        <v>1529</v>
      </c>
      <c r="AE2437" s="1" t="s">
        <v>849</v>
      </c>
      <c r="AF2437" s="1" t="s">
        <v>1529</v>
      </c>
      <c r="AH2437" s="1" t="s">
        <v>326</v>
      </c>
      <c r="AK2437" s="1">
        <v>9.0</v>
      </c>
      <c r="AL2437" s="1">
        <v>4.0</v>
      </c>
      <c r="AM2437" s="1">
        <v>2.0</v>
      </c>
      <c r="AN2437" s="1">
        <v>1.0</v>
      </c>
      <c r="AO2437" s="1" t="s">
        <v>198</v>
      </c>
      <c r="AP2437" s="1">
        <v>1.0</v>
      </c>
      <c r="AQ2437" s="1" t="s">
        <v>198</v>
      </c>
      <c r="AR2437" s="1" t="s">
        <v>200</v>
      </c>
      <c r="AS2437" s="1" t="s">
        <v>199</v>
      </c>
      <c r="AT2437" s="1">
        <v>2.0</v>
      </c>
      <c r="AV2437" s="1" t="s">
        <v>200</v>
      </c>
      <c r="AW2437" s="1">
        <v>8099.0</v>
      </c>
      <c r="AX2437" s="1">
        <v>2013.0</v>
      </c>
      <c r="AY2437" s="1" t="s">
        <v>1179</v>
      </c>
      <c r="AZ2437" s="1" t="s">
        <v>200</v>
      </c>
      <c r="BA2437" s="1" t="str">
        <f>"0311203004"</f>
        <v>0311203004</v>
      </c>
      <c r="BB2437" s="1" t="s">
        <v>200</v>
      </c>
      <c r="BC2437" s="1">
        <v>2791.0</v>
      </c>
      <c r="BD2437" s="1">
        <v>247000.0</v>
      </c>
      <c r="BE2437" s="2">
        <v>42024.0</v>
      </c>
      <c r="BF2437" s="2" t="s">
        <v>22213</v>
      </c>
      <c r="BG2437" s="1" t="s">
        <v>4271</v>
      </c>
      <c r="BH2437" s="1">
        <v>275.0</v>
      </c>
      <c r="BI2437" s="1" t="s">
        <v>3647</v>
      </c>
      <c r="BJ2437" s="1" t="s">
        <v>2546</v>
      </c>
      <c r="BK2437" s="1" t="s">
        <v>580</v>
      </c>
      <c r="BL2437" s="1" t="str">
        <f t="shared" ref="BL2437:BM2437" si="1589">"0"</f>
        <v>0</v>
      </c>
      <c r="BM2437" s="1" t="str">
        <f t="shared" si="1589"/>
        <v>0</v>
      </c>
      <c r="BN2437" s="1">
        <v>34.0</v>
      </c>
      <c r="BO2437" s="1">
        <v>11.0</v>
      </c>
      <c r="BQ2437" s="1">
        <v>308.0</v>
      </c>
      <c r="BR2437" s="1">
        <v>308.0</v>
      </c>
      <c r="BS2437" s="1">
        <v>308.0</v>
      </c>
      <c r="BU2437" s="1" t="s">
        <v>331</v>
      </c>
      <c r="BV2437" s="1" t="s">
        <v>206</v>
      </c>
      <c r="BW2437" s="1" t="s">
        <v>210</v>
      </c>
      <c r="BX2437" s="1" t="s">
        <v>1549</v>
      </c>
      <c r="BY2437" s="1" t="s">
        <v>15038</v>
      </c>
      <c r="BZ2437" s="1" t="s">
        <v>209</v>
      </c>
      <c r="CA2437" s="1" t="s">
        <v>210</v>
      </c>
      <c r="CC2437" s="1" t="s">
        <v>331</v>
      </c>
      <c r="CD2437" s="1" t="s">
        <v>206</v>
      </c>
      <c r="CE2437" s="1" t="s">
        <v>210</v>
      </c>
      <c r="CF2437" s="1" t="s">
        <v>1549</v>
      </c>
      <c r="CG2437" s="1" t="s">
        <v>331</v>
      </c>
      <c r="CH2437" s="1" t="s">
        <v>209</v>
      </c>
      <c r="CI2437" s="1" t="s">
        <v>210</v>
      </c>
      <c r="CK2437" s="1" t="s">
        <v>302</v>
      </c>
      <c r="CL2437" s="1" t="s">
        <v>209</v>
      </c>
      <c r="CM2437" s="1" t="s">
        <v>210</v>
      </c>
      <c r="CO2437" s="1" t="s">
        <v>302</v>
      </c>
      <c r="CP2437" s="1" t="s">
        <v>209</v>
      </c>
      <c r="CQ2437" s="1" t="s">
        <v>210</v>
      </c>
      <c r="CS2437" s="1" t="s">
        <v>6175</v>
      </c>
      <c r="CT2437" s="1" t="s">
        <v>206</v>
      </c>
      <c r="CU2437" s="1" t="s">
        <v>268</v>
      </c>
      <c r="CV2437" s="1" t="s">
        <v>431</v>
      </c>
      <c r="CW2437" s="1" t="s">
        <v>260</v>
      </c>
      <c r="CX2437" s="1" t="s">
        <v>206</v>
      </c>
      <c r="CY2437" s="1" t="s">
        <v>210</v>
      </c>
      <c r="CZ2437" s="1" t="s">
        <v>431</v>
      </c>
      <c r="DA2437" s="1" t="s">
        <v>200</v>
      </c>
      <c r="DC2437" s="1" t="s">
        <v>335</v>
      </c>
      <c r="DD2437" s="1" t="s">
        <v>1838</v>
      </c>
      <c r="DE2437" s="1" t="s">
        <v>273</v>
      </c>
      <c r="DF2437" s="1" t="s">
        <v>219</v>
      </c>
      <c r="DG2437" s="1" t="s">
        <v>3110</v>
      </c>
      <c r="DH2437" s="1" t="s">
        <v>220</v>
      </c>
      <c r="DI2437" s="1" t="s">
        <v>14345</v>
      </c>
      <c r="DJ2437" s="1" t="s">
        <v>1048</v>
      </c>
      <c r="DK2437" s="1" t="s">
        <v>223</v>
      </c>
      <c r="DL2437" s="1" t="s">
        <v>484</v>
      </c>
      <c r="DM2437" s="1" t="s">
        <v>338</v>
      </c>
      <c r="DN2437" s="1" t="s">
        <v>399</v>
      </c>
      <c r="DP2437" s="1" t="s">
        <v>340</v>
      </c>
      <c r="DQ2437" s="1" t="s">
        <v>228</v>
      </c>
      <c r="DR2437" s="1" t="s">
        <v>1487</v>
      </c>
      <c r="DS2437" s="1" t="s">
        <v>401</v>
      </c>
      <c r="DU2437" s="1" t="s">
        <v>22214</v>
      </c>
      <c r="DV2437" s="1" t="s">
        <v>8529</v>
      </c>
      <c r="DW2437" s="1" t="s">
        <v>444</v>
      </c>
      <c r="DX2437" s="1" t="s">
        <v>234</v>
      </c>
      <c r="DY2437" s="1" t="s">
        <v>3846</v>
      </c>
      <c r="DZ2437" s="1" t="s">
        <v>2424</v>
      </c>
      <c r="EB2437" s="1" t="s">
        <v>2915</v>
      </c>
      <c r="EC2437" s="1" t="s">
        <v>237</v>
      </c>
      <c r="ED2437" s="1" t="s">
        <v>407</v>
      </c>
      <c r="EE2437" s="1" t="s">
        <v>1334</v>
      </c>
      <c r="EG2437" s="1" t="s">
        <v>494</v>
      </c>
      <c r="EI2437" s="1" t="s">
        <v>1102</v>
      </c>
      <c r="EL2437" s="1" t="s">
        <v>303</v>
      </c>
      <c r="EM2437" s="1" t="s">
        <v>206</v>
      </c>
      <c r="EN2437" s="1" t="s">
        <v>210</v>
      </c>
      <c r="EO2437" s="1" t="s">
        <v>431</v>
      </c>
      <c r="EQ2437" s="1" t="s">
        <v>238</v>
      </c>
      <c r="ET2437" s="1" t="s">
        <v>454</v>
      </c>
      <c r="EU2437" s="1" t="s">
        <v>206</v>
      </c>
      <c r="EV2437" s="1" t="s">
        <v>268</v>
      </c>
      <c r="EW2437" s="1" t="s">
        <v>431</v>
      </c>
      <c r="EY2437" s="1" t="s">
        <v>238</v>
      </c>
      <c r="FC2437" s="1" t="s">
        <v>238</v>
      </c>
      <c r="FF2437" s="1" t="s">
        <v>239</v>
      </c>
      <c r="FG2437" s="1" t="s">
        <v>200</v>
      </c>
      <c r="FH2437" s="1" t="s">
        <v>192</v>
      </c>
      <c r="FJ2437" s="1" t="s">
        <v>2133</v>
      </c>
      <c r="FK2437" s="1" t="s">
        <v>229</v>
      </c>
      <c r="FL2437" s="1" t="s">
        <v>4369</v>
      </c>
      <c r="FM2437" s="1">
        <v>23279.0</v>
      </c>
      <c r="FN2437" s="1" t="s">
        <v>6096</v>
      </c>
      <c r="FO2437" s="1" t="s">
        <v>6097</v>
      </c>
      <c r="FP2437" s="1">
        <v>241401.0</v>
      </c>
      <c r="FS2437" s="1" t="s">
        <v>13509</v>
      </c>
      <c r="FU2437" s="1" t="s">
        <v>22215</v>
      </c>
      <c r="FV2437" s="1" t="s">
        <v>200</v>
      </c>
      <c r="FW2437" s="1" t="s">
        <v>290</v>
      </c>
      <c r="FZ2437" s="1" t="s">
        <v>504</v>
      </c>
      <c r="GA2437" s="1" t="s">
        <v>291</v>
      </c>
      <c r="GB2437" s="2">
        <v>42105.0</v>
      </c>
      <c r="GC2437" s="1" t="s">
        <v>22216</v>
      </c>
    </row>
    <row r="2438">
      <c r="A2438" s="1">
        <v>180000.0</v>
      </c>
      <c r="B2438" s="1" t="s">
        <v>185</v>
      </c>
      <c r="C2438" s="1" t="str">
        <f>"08819060"</f>
        <v>08819060</v>
      </c>
      <c r="D2438" s="1" t="s">
        <v>186</v>
      </c>
      <c r="F2438" s="1" t="str">
        <f>"8070"</f>
        <v>8070</v>
      </c>
      <c r="G2438" s="2">
        <v>42023.0</v>
      </c>
      <c r="H2438" s="1">
        <v>179900.0</v>
      </c>
      <c r="I2438" s="1">
        <v>10.0</v>
      </c>
      <c r="J2438" s="1">
        <v>179900.0</v>
      </c>
      <c r="K2438" s="2">
        <v>42032.0</v>
      </c>
      <c r="L2438" s="1">
        <v>10.0</v>
      </c>
      <c r="M2438" s="2">
        <v>42032.0</v>
      </c>
      <c r="N2438" s="1" t="s">
        <v>634</v>
      </c>
      <c r="O2438" s="2">
        <v>42073.0</v>
      </c>
      <c r="P2438" s="1">
        <v>108182.0</v>
      </c>
      <c r="Q2438" s="1">
        <v>10115.0</v>
      </c>
      <c r="R2438" s="1">
        <v>5000.0</v>
      </c>
      <c r="S2438" s="1">
        <v>3851.0</v>
      </c>
      <c r="T2438" s="1" t="s">
        <v>22217</v>
      </c>
      <c r="U2438" s="1" t="s">
        <v>694</v>
      </c>
      <c r="V2438" s="1" t="s">
        <v>190</v>
      </c>
      <c r="W2438" s="1">
        <v>60652.0</v>
      </c>
      <c r="Y2438" s="1" t="s">
        <v>22218</v>
      </c>
      <c r="Z2438" s="1">
        <v>1957.0</v>
      </c>
      <c r="AA2438" s="1" t="s">
        <v>192</v>
      </c>
      <c r="AB2438" s="1" t="s">
        <v>193</v>
      </c>
      <c r="AD2438" s="1" t="s">
        <v>194</v>
      </c>
      <c r="AE2438" s="1" t="s">
        <v>195</v>
      </c>
      <c r="AF2438" s="1" t="s">
        <v>659</v>
      </c>
      <c r="AH2438" s="1" t="s">
        <v>1501</v>
      </c>
      <c r="AK2438" s="1">
        <v>7.0</v>
      </c>
      <c r="AL2438" s="1">
        <v>3.0</v>
      </c>
      <c r="AM2438" s="1">
        <v>2.0</v>
      </c>
      <c r="AN2438" s="1">
        <v>0.0</v>
      </c>
      <c r="AO2438" s="1" t="s">
        <v>229</v>
      </c>
      <c r="AP2438" s="1">
        <v>0.0</v>
      </c>
      <c r="AQ2438" s="1" t="s">
        <v>327</v>
      </c>
      <c r="AR2438" s="1" t="s">
        <v>192</v>
      </c>
      <c r="AS2438" s="1" t="s">
        <v>199</v>
      </c>
      <c r="AT2438" s="1">
        <v>2.0</v>
      </c>
      <c r="AV2438" s="1" t="s">
        <v>200</v>
      </c>
      <c r="AW2438" s="1">
        <v>2464.0</v>
      </c>
      <c r="AX2438" s="1">
        <v>2013.0</v>
      </c>
      <c r="AY2438" s="1" t="s">
        <v>229</v>
      </c>
      <c r="AZ2438" s="1" t="s">
        <v>200</v>
      </c>
      <c r="BA2438" s="1" t="str">
        <f>"19351180650000"</f>
        <v>19351180650000</v>
      </c>
      <c r="BB2438" s="1" t="s">
        <v>200</v>
      </c>
      <c r="BC2438" s="1">
        <v>1600.0</v>
      </c>
      <c r="BD2438" s="1">
        <v>180000.0</v>
      </c>
      <c r="BE2438" s="2">
        <v>42023.0</v>
      </c>
      <c r="BF2438" s="2" t="s">
        <v>22219</v>
      </c>
      <c r="BH2438" s="1">
        <v>0.0</v>
      </c>
      <c r="BK2438" s="1" t="s">
        <v>204</v>
      </c>
      <c r="BL2438" s="1" t="str">
        <f t="shared" ref="BL2438:BM2438" si="1590">"0"</f>
        <v>0</v>
      </c>
      <c r="BM2438" s="1" t="str">
        <f t="shared" si="1590"/>
        <v>0</v>
      </c>
      <c r="BN2438" s="1">
        <v>3851.0</v>
      </c>
      <c r="BO2438" s="1">
        <v>8100.0</v>
      </c>
      <c r="BQ2438" s="1">
        <v>299.0</v>
      </c>
      <c r="BR2438" s="1">
        <v>299.0</v>
      </c>
      <c r="BS2438" s="1">
        <v>299.0</v>
      </c>
      <c r="BU2438" s="1" t="s">
        <v>208</v>
      </c>
      <c r="BV2438" s="1" t="s">
        <v>206</v>
      </c>
      <c r="BW2438" s="1" t="s">
        <v>207</v>
      </c>
      <c r="BY2438" s="1" t="s">
        <v>332</v>
      </c>
      <c r="BZ2438" s="1" t="s">
        <v>206</v>
      </c>
      <c r="CA2438" s="1" t="s">
        <v>207</v>
      </c>
      <c r="CD2438" s="1" t="s">
        <v>204</v>
      </c>
      <c r="CG2438" s="1" t="s">
        <v>495</v>
      </c>
      <c r="CH2438" s="1" t="s">
        <v>206</v>
      </c>
      <c r="CI2438" s="1" t="s">
        <v>207</v>
      </c>
      <c r="CK2438" s="1" t="s">
        <v>495</v>
      </c>
      <c r="CL2438" s="1" t="s">
        <v>206</v>
      </c>
      <c r="CM2438" s="1" t="s">
        <v>207</v>
      </c>
      <c r="CO2438" s="1" t="s">
        <v>1891</v>
      </c>
      <c r="CP2438" s="1" t="s">
        <v>42</v>
      </c>
      <c r="CQ2438" s="1" t="s">
        <v>268</v>
      </c>
      <c r="CS2438" s="1" t="s">
        <v>729</v>
      </c>
      <c r="CT2438" s="1" t="s">
        <v>206</v>
      </c>
      <c r="CU2438" s="1" t="s">
        <v>207</v>
      </c>
      <c r="CW2438" s="1" t="s">
        <v>1378</v>
      </c>
      <c r="CX2438" s="1" t="s">
        <v>42</v>
      </c>
      <c r="CY2438" s="1" t="s">
        <v>268</v>
      </c>
      <c r="DA2438" s="1" t="s">
        <v>200</v>
      </c>
      <c r="DC2438" s="1" t="s">
        <v>271</v>
      </c>
      <c r="DD2438" s="1" t="s">
        <v>518</v>
      </c>
      <c r="DE2438" s="1" t="s">
        <v>273</v>
      </c>
      <c r="DF2438" s="1" t="s">
        <v>219</v>
      </c>
      <c r="DH2438" s="1" t="s">
        <v>365</v>
      </c>
      <c r="DI2438" s="1" t="s">
        <v>308</v>
      </c>
      <c r="DJ2438" s="1" t="s">
        <v>222</v>
      </c>
      <c r="DL2438" s="1" t="s">
        <v>224</v>
      </c>
      <c r="DM2438" s="1" t="s">
        <v>229</v>
      </c>
      <c r="DQ2438" s="1" t="s">
        <v>228</v>
      </c>
      <c r="DR2438" s="1" t="s">
        <v>229</v>
      </c>
      <c r="DS2438" s="1" t="s">
        <v>401</v>
      </c>
      <c r="DV2438" s="1" t="s">
        <v>232</v>
      </c>
      <c r="DW2438" s="1" t="s">
        <v>279</v>
      </c>
      <c r="DX2438" s="1" t="s">
        <v>234</v>
      </c>
      <c r="EA2438" s="1" t="s">
        <v>683</v>
      </c>
      <c r="EC2438" s="1" t="s">
        <v>311</v>
      </c>
      <c r="EE2438" s="1" t="s">
        <v>522</v>
      </c>
      <c r="EM2438" s="1" t="s">
        <v>238</v>
      </c>
      <c r="EQ2438" s="1" t="s">
        <v>238</v>
      </c>
      <c r="EU2438" s="1" t="s">
        <v>238</v>
      </c>
      <c r="EY2438" s="1" t="s">
        <v>238</v>
      </c>
      <c r="FC2438" s="1" t="s">
        <v>238</v>
      </c>
      <c r="FF2438" s="1" t="s">
        <v>239</v>
      </c>
      <c r="FG2438" s="1" t="s">
        <v>192</v>
      </c>
      <c r="FH2438" s="1" t="s">
        <v>192</v>
      </c>
      <c r="FJ2438" s="1" t="s">
        <v>14504</v>
      </c>
      <c r="FK2438" s="1" t="s">
        <v>229</v>
      </c>
      <c r="FL2438" s="1" t="s">
        <v>3282</v>
      </c>
      <c r="FM2438" s="1">
        <v>18570.0</v>
      </c>
      <c r="FN2438" s="1" t="s">
        <v>3283</v>
      </c>
      <c r="FO2438" s="1" t="s">
        <v>3284</v>
      </c>
      <c r="FP2438" s="1">
        <v>114993.0</v>
      </c>
      <c r="FQ2438" s="1" t="s">
        <v>3285</v>
      </c>
      <c r="FR2438" s="1">
        <v>128533.0</v>
      </c>
      <c r="FU2438" s="1" t="s">
        <v>885</v>
      </c>
      <c r="FV2438" s="1" t="s">
        <v>192</v>
      </c>
      <c r="FW2438" s="1" t="s">
        <v>22220</v>
      </c>
      <c r="FX2438" s="1" t="s">
        <v>246</v>
      </c>
      <c r="FZ2438" s="1" t="s">
        <v>229</v>
      </c>
      <c r="GA2438" s="1" t="s">
        <v>291</v>
      </c>
      <c r="GB2438" s="2">
        <v>42073.0</v>
      </c>
      <c r="GC2438" s="1" t="s">
        <v>20853</v>
      </c>
    </row>
    <row r="2439">
      <c r="A2439" s="1">
        <v>38000.0</v>
      </c>
      <c r="B2439" s="1" t="s">
        <v>185</v>
      </c>
      <c r="C2439" s="1" t="str">
        <f>"08815743"</f>
        <v>08815743</v>
      </c>
      <c r="D2439" s="1" t="s">
        <v>186</v>
      </c>
      <c r="F2439" s="1" t="str">
        <f>"8046"</f>
        <v>8046</v>
      </c>
      <c r="G2439" s="2">
        <v>42017.0</v>
      </c>
      <c r="H2439" s="1">
        <v>36750.0</v>
      </c>
      <c r="I2439" s="1">
        <v>87.0</v>
      </c>
      <c r="J2439" s="1">
        <v>36750.0</v>
      </c>
      <c r="K2439" s="2">
        <v>42103.0</v>
      </c>
      <c r="L2439" s="1">
        <v>87.0</v>
      </c>
      <c r="M2439" s="2">
        <v>42103.0</v>
      </c>
      <c r="N2439" s="1" t="s">
        <v>249</v>
      </c>
      <c r="O2439" s="2">
        <v>42124.0</v>
      </c>
      <c r="P2439" s="1">
        <v>111741.0</v>
      </c>
      <c r="Q2439" s="1">
        <v>16734.0</v>
      </c>
      <c r="S2439" s="1">
        <v>7933.0</v>
      </c>
      <c r="T2439" s="1" t="s">
        <v>22221</v>
      </c>
      <c r="U2439" s="1" t="s">
        <v>569</v>
      </c>
      <c r="V2439" s="1" t="s">
        <v>190</v>
      </c>
      <c r="W2439" s="1">
        <v>60617.0</v>
      </c>
      <c r="Y2439" s="1" t="s">
        <v>22222</v>
      </c>
      <c r="Z2439" s="1">
        <v>1924.0</v>
      </c>
      <c r="AA2439" s="1" t="s">
        <v>192</v>
      </c>
      <c r="AB2439" s="1" t="s">
        <v>193</v>
      </c>
      <c r="AD2439" s="1" t="s">
        <v>194</v>
      </c>
      <c r="AE2439" s="1" t="s">
        <v>195</v>
      </c>
      <c r="AF2439" s="1" t="s">
        <v>637</v>
      </c>
      <c r="AH2439" s="1" t="s">
        <v>741</v>
      </c>
      <c r="AI2439" s="1">
        <v>0.0712</v>
      </c>
      <c r="AK2439" s="1">
        <v>9.0</v>
      </c>
      <c r="AL2439" s="1">
        <v>4.0</v>
      </c>
      <c r="AM2439" s="1">
        <v>2.0</v>
      </c>
      <c r="AN2439" s="1">
        <v>1.0</v>
      </c>
      <c r="AO2439" s="1" t="s">
        <v>229</v>
      </c>
      <c r="AQ2439" s="1" t="s">
        <v>198</v>
      </c>
      <c r="AR2439" s="1" t="s">
        <v>192</v>
      </c>
      <c r="AS2439" s="1" t="s">
        <v>199</v>
      </c>
      <c r="AT2439" s="1">
        <v>2.0</v>
      </c>
      <c r="AV2439" s="1" t="s">
        <v>200</v>
      </c>
      <c r="AW2439" s="1">
        <v>2115.19</v>
      </c>
      <c r="AX2439" s="1">
        <v>2013.0</v>
      </c>
      <c r="AY2439" s="1" t="s">
        <v>229</v>
      </c>
      <c r="AZ2439" s="1" t="s">
        <v>200</v>
      </c>
      <c r="BA2439" s="1" t="str">
        <f>"21312070160000"</f>
        <v>21312070160000</v>
      </c>
      <c r="BC2439" s="1">
        <v>1600.0</v>
      </c>
      <c r="BD2439" s="1">
        <v>38000.0</v>
      </c>
      <c r="BE2439" s="2">
        <v>42017.0</v>
      </c>
      <c r="BF2439" s="2" t="s">
        <v>22223</v>
      </c>
      <c r="BH2439" s="1">
        <v>0.0</v>
      </c>
      <c r="BK2439" s="1" t="s">
        <v>204</v>
      </c>
      <c r="BL2439" s="1" t="str">
        <f t="shared" ref="BL2439:BL2440" si="1591">"0"</f>
        <v>0</v>
      </c>
      <c r="BM2439" s="1" t="str">
        <f>"3300"</f>
        <v>3300</v>
      </c>
      <c r="BN2439" s="1">
        <v>0.0</v>
      </c>
      <c r="BO2439" s="1">
        <v>7933.0</v>
      </c>
      <c r="BQ2439" s="1">
        <v>299.0</v>
      </c>
      <c r="BR2439" s="1">
        <v>299.0</v>
      </c>
      <c r="BS2439" s="1">
        <v>299.0</v>
      </c>
      <c r="BU2439" s="1" t="s">
        <v>433</v>
      </c>
      <c r="BV2439" s="1" t="s">
        <v>206</v>
      </c>
      <c r="BY2439" s="1" t="s">
        <v>212</v>
      </c>
      <c r="BZ2439" s="1" t="s">
        <v>209</v>
      </c>
      <c r="CC2439" s="1" t="s">
        <v>212</v>
      </c>
      <c r="CD2439" s="1" t="s">
        <v>206</v>
      </c>
      <c r="CG2439" s="1" t="s">
        <v>495</v>
      </c>
      <c r="CH2439" s="1" t="s">
        <v>209</v>
      </c>
      <c r="CK2439" s="1" t="s">
        <v>264</v>
      </c>
      <c r="CL2439" s="1" t="s">
        <v>206</v>
      </c>
      <c r="CO2439" s="1" t="s">
        <v>495</v>
      </c>
      <c r="CP2439" s="1" t="s">
        <v>206</v>
      </c>
      <c r="CS2439" s="1" t="s">
        <v>433</v>
      </c>
      <c r="CT2439" s="1" t="s">
        <v>206</v>
      </c>
      <c r="CW2439" s="1" t="s">
        <v>215</v>
      </c>
      <c r="CX2439" s="1" t="s">
        <v>206</v>
      </c>
      <c r="DA2439" s="1" t="s">
        <v>200</v>
      </c>
      <c r="DC2439" s="1" t="s">
        <v>216</v>
      </c>
      <c r="DE2439" s="1" t="s">
        <v>229</v>
      </c>
      <c r="DF2439" s="1" t="s">
        <v>619</v>
      </c>
      <c r="DH2439" s="1" t="s">
        <v>365</v>
      </c>
      <c r="DJ2439" s="1" t="s">
        <v>222</v>
      </c>
      <c r="DL2439" s="1" t="s">
        <v>223</v>
      </c>
      <c r="DM2439" s="1" t="s">
        <v>229</v>
      </c>
      <c r="DQ2439" s="1" t="s">
        <v>228</v>
      </c>
      <c r="DR2439" s="1" t="s">
        <v>229</v>
      </c>
      <c r="DV2439" s="1" t="s">
        <v>14336</v>
      </c>
      <c r="DW2439" s="1" t="s">
        <v>279</v>
      </c>
      <c r="DX2439" s="1" t="s">
        <v>234</v>
      </c>
      <c r="EC2439" s="1" t="s">
        <v>237</v>
      </c>
      <c r="EG2439" s="1" t="s">
        <v>1407</v>
      </c>
      <c r="EH2439" s="1" t="s">
        <v>374</v>
      </c>
      <c r="EL2439" s="1" t="s">
        <v>433</v>
      </c>
      <c r="EM2439" s="1" t="s">
        <v>209</v>
      </c>
      <c r="EP2439" s="1" t="s">
        <v>263</v>
      </c>
      <c r="EQ2439" s="1" t="s">
        <v>209</v>
      </c>
      <c r="EU2439" s="1" t="s">
        <v>238</v>
      </c>
      <c r="EY2439" s="1" t="s">
        <v>238</v>
      </c>
      <c r="FC2439" s="1" t="s">
        <v>238</v>
      </c>
      <c r="FF2439" s="1" t="s">
        <v>239</v>
      </c>
      <c r="FG2439" s="1" t="s">
        <v>192</v>
      </c>
      <c r="FH2439" s="1" t="s">
        <v>192</v>
      </c>
      <c r="FJ2439" s="1" t="s">
        <v>16660</v>
      </c>
      <c r="FK2439" s="1" t="s">
        <v>229</v>
      </c>
      <c r="FL2439" s="1" t="s">
        <v>3794</v>
      </c>
      <c r="FM2439" s="1">
        <v>16734.0</v>
      </c>
      <c r="FN2439" s="1" t="s">
        <v>6021</v>
      </c>
      <c r="FO2439" s="1" t="s">
        <v>16661</v>
      </c>
      <c r="FP2439" s="1">
        <v>111741.0</v>
      </c>
      <c r="FQ2439" s="1" t="s">
        <v>16662</v>
      </c>
      <c r="FU2439" s="1" t="s">
        <v>16663</v>
      </c>
      <c r="FV2439" s="1" t="s">
        <v>200</v>
      </c>
      <c r="FW2439" s="1" t="s">
        <v>354</v>
      </c>
      <c r="FX2439" s="1" t="s">
        <v>655</v>
      </c>
      <c r="FZ2439" s="1" t="s">
        <v>229</v>
      </c>
      <c r="GA2439" s="1" t="s">
        <v>291</v>
      </c>
      <c r="GB2439" s="2">
        <v>42125.0</v>
      </c>
      <c r="GC2439" s="1" t="s">
        <v>22224</v>
      </c>
    </row>
    <row r="2440">
      <c r="A2440" s="1">
        <v>152000.0</v>
      </c>
      <c r="B2440" s="1" t="s">
        <v>185</v>
      </c>
      <c r="C2440" s="1" t="str">
        <f>"08815814"</f>
        <v>08815814</v>
      </c>
      <c r="D2440" s="1" t="s">
        <v>186</v>
      </c>
      <c r="F2440" s="1" t="str">
        <f>"8030"</f>
        <v>8030</v>
      </c>
      <c r="G2440" s="2">
        <v>42017.0</v>
      </c>
      <c r="H2440" s="1">
        <v>160000.0</v>
      </c>
      <c r="I2440" s="1">
        <v>7.0</v>
      </c>
      <c r="J2440" s="1">
        <v>160000.0</v>
      </c>
      <c r="K2440" s="2">
        <v>42023.0</v>
      </c>
      <c r="L2440" s="1">
        <v>7.0</v>
      </c>
      <c r="M2440" s="2">
        <v>42023.0</v>
      </c>
      <c r="N2440" s="1" t="s">
        <v>187</v>
      </c>
      <c r="O2440" s="2">
        <v>42062.0</v>
      </c>
      <c r="P2440" s="1">
        <v>106514.0</v>
      </c>
      <c r="Q2440" s="1">
        <v>12555.0</v>
      </c>
      <c r="S2440" s="1">
        <v>3018.0</v>
      </c>
      <c r="T2440" s="1" t="s">
        <v>9037</v>
      </c>
      <c r="U2440" s="1" t="s">
        <v>189</v>
      </c>
      <c r="V2440" s="1" t="s">
        <v>190</v>
      </c>
      <c r="W2440" s="1">
        <v>60623.0</v>
      </c>
      <c r="Y2440" s="1" t="s">
        <v>22225</v>
      </c>
      <c r="Z2440" s="1">
        <v>1925.0</v>
      </c>
      <c r="AA2440" s="1" t="s">
        <v>192</v>
      </c>
      <c r="AB2440" s="1" t="s">
        <v>193</v>
      </c>
      <c r="AC2440" s="1" t="s">
        <v>7008</v>
      </c>
      <c r="AD2440" s="1" t="s">
        <v>194</v>
      </c>
      <c r="AE2440" s="1" t="s">
        <v>195</v>
      </c>
      <c r="AF2440" s="1" t="s">
        <v>827</v>
      </c>
      <c r="AH2440" s="1" t="s">
        <v>359</v>
      </c>
      <c r="AK2440" s="1">
        <v>8.0</v>
      </c>
      <c r="AL2440" s="1">
        <v>4.0</v>
      </c>
      <c r="AM2440" s="1">
        <v>3.0</v>
      </c>
      <c r="AN2440" s="1">
        <v>0.0</v>
      </c>
      <c r="AO2440" s="1" t="s">
        <v>198</v>
      </c>
      <c r="AP2440" s="1">
        <v>0.0</v>
      </c>
      <c r="AQ2440" s="1" t="s">
        <v>198</v>
      </c>
      <c r="AR2440" s="1" t="s">
        <v>192</v>
      </c>
      <c r="AS2440" s="1" t="s">
        <v>199</v>
      </c>
      <c r="AT2440" s="1">
        <v>2.0</v>
      </c>
      <c r="AV2440" s="1" t="s">
        <v>200</v>
      </c>
      <c r="AW2440" s="1">
        <v>1346.0</v>
      </c>
      <c r="AX2440" s="1">
        <v>2013.0</v>
      </c>
      <c r="AZ2440" s="1" t="s">
        <v>200</v>
      </c>
      <c r="BA2440" s="1" t="str">
        <f>"16274300250000"</f>
        <v>16274300250000</v>
      </c>
      <c r="BC2440" s="1">
        <v>1366.0</v>
      </c>
      <c r="BD2440" s="1">
        <v>152000.0</v>
      </c>
      <c r="BE2440" s="2">
        <v>42017.0</v>
      </c>
      <c r="BF2440" s="2" t="s">
        <v>22226</v>
      </c>
      <c r="BH2440" s="1">
        <v>0.0</v>
      </c>
      <c r="BK2440" s="1" t="s">
        <v>204</v>
      </c>
      <c r="BL2440" s="1" t="str">
        <f t="shared" si="1591"/>
        <v>0</v>
      </c>
      <c r="BM2440" s="1" t="str">
        <f t="shared" ref="BM2440:BM2444" si="1592">"0"</f>
        <v>0</v>
      </c>
      <c r="BN2440" s="1">
        <v>4050.0</v>
      </c>
      <c r="BO2440" s="1">
        <v>3000.0</v>
      </c>
      <c r="BQ2440" s="1">
        <v>299.0</v>
      </c>
      <c r="BR2440" s="1">
        <v>299.0</v>
      </c>
      <c r="BS2440" s="1">
        <v>299.0</v>
      </c>
      <c r="BU2440" s="1" t="s">
        <v>1183</v>
      </c>
      <c r="BV2440" s="1" t="s">
        <v>206</v>
      </c>
      <c r="BW2440" s="1" t="s">
        <v>207</v>
      </c>
      <c r="BX2440" s="1" t="s">
        <v>229</v>
      </c>
      <c r="BY2440" s="1" t="s">
        <v>12543</v>
      </c>
      <c r="BZ2440" s="1" t="s">
        <v>209</v>
      </c>
      <c r="CA2440" s="1" t="s">
        <v>210</v>
      </c>
      <c r="CB2440" s="1" t="s">
        <v>229</v>
      </c>
      <c r="CC2440" s="1" t="s">
        <v>623</v>
      </c>
      <c r="CD2440" s="1" t="s">
        <v>206</v>
      </c>
      <c r="CE2440" s="1" t="s">
        <v>301</v>
      </c>
      <c r="CG2440" s="1" t="s">
        <v>3594</v>
      </c>
      <c r="CH2440" s="1" t="s">
        <v>206</v>
      </c>
      <c r="CI2440" s="1" t="s">
        <v>207</v>
      </c>
      <c r="CJ2440" s="1" t="s">
        <v>229</v>
      </c>
      <c r="CK2440" s="1" t="s">
        <v>1852</v>
      </c>
      <c r="CL2440" s="1" t="s">
        <v>206</v>
      </c>
      <c r="CM2440" s="1" t="s">
        <v>207</v>
      </c>
      <c r="CN2440" s="1" t="s">
        <v>229</v>
      </c>
      <c r="CO2440" s="1" t="s">
        <v>3508</v>
      </c>
      <c r="CP2440" s="1" t="s">
        <v>206</v>
      </c>
      <c r="CQ2440" s="1" t="s">
        <v>207</v>
      </c>
      <c r="CR2440" s="1" t="s">
        <v>229</v>
      </c>
      <c r="CS2440" s="1" t="s">
        <v>1397</v>
      </c>
      <c r="CT2440" s="1" t="s">
        <v>206</v>
      </c>
      <c r="CU2440" s="1" t="s">
        <v>207</v>
      </c>
      <c r="CV2440" s="1" t="s">
        <v>229</v>
      </c>
      <c r="CX2440" s="1" t="s">
        <v>204</v>
      </c>
      <c r="DA2440" s="1" t="s">
        <v>200</v>
      </c>
      <c r="DC2440" s="1" t="s">
        <v>785</v>
      </c>
      <c r="DD2440" s="1" t="s">
        <v>3633</v>
      </c>
      <c r="DE2440" s="1" t="s">
        <v>273</v>
      </c>
      <c r="DF2440" s="1" t="s">
        <v>219</v>
      </c>
      <c r="DH2440" s="1" t="s">
        <v>365</v>
      </c>
      <c r="DI2440" s="1" t="s">
        <v>3203</v>
      </c>
      <c r="DJ2440" s="1" t="s">
        <v>222</v>
      </c>
      <c r="DL2440" s="1" t="s">
        <v>986</v>
      </c>
      <c r="DM2440" s="1" t="s">
        <v>229</v>
      </c>
      <c r="DP2440" s="1" t="s">
        <v>340</v>
      </c>
      <c r="DQ2440" s="1" t="s">
        <v>441</v>
      </c>
      <c r="DR2440" s="1" t="s">
        <v>229</v>
      </c>
      <c r="DS2440" s="1" t="s">
        <v>401</v>
      </c>
      <c r="DU2440" s="1" t="s">
        <v>681</v>
      </c>
      <c r="DV2440" s="1" t="s">
        <v>598</v>
      </c>
      <c r="DW2440" s="1" t="s">
        <v>279</v>
      </c>
      <c r="DX2440" s="1" t="s">
        <v>234</v>
      </c>
      <c r="DY2440" s="1" t="s">
        <v>1122</v>
      </c>
      <c r="DZ2440" s="1" t="s">
        <v>282</v>
      </c>
      <c r="EC2440" s="1" t="s">
        <v>645</v>
      </c>
      <c r="ED2440" s="1" t="s">
        <v>407</v>
      </c>
      <c r="EG2440" s="1" t="s">
        <v>598</v>
      </c>
      <c r="EL2440" s="1" t="s">
        <v>363</v>
      </c>
      <c r="EM2440" s="1" t="s">
        <v>209</v>
      </c>
      <c r="EN2440" s="1" t="s">
        <v>210</v>
      </c>
      <c r="EO2440" s="1" t="s">
        <v>229</v>
      </c>
      <c r="EQ2440" s="1" t="s">
        <v>238</v>
      </c>
      <c r="EU2440" s="1" t="s">
        <v>238</v>
      </c>
      <c r="EY2440" s="1" t="s">
        <v>238</v>
      </c>
      <c r="FC2440" s="1" t="s">
        <v>238</v>
      </c>
      <c r="FF2440" s="1" t="s">
        <v>239</v>
      </c>
      <c r="FG2440" s="1" t="s">
        <v>192</v>
      </c>
      <c r="FH2440" s="1" t="s">
        <v>192</v>
      </c>
      <c r="FJ2440" s="1" t="s">
        <v>2427</v>
      </c>
      <c r="FK2440" s="1" t="s">
        <v>229</v>
      </c>
      <c r="FL2440" s="1" t="s">
        <v>9215</v>
      </c>
      <c r="FM2440" s="1">
        <v>85240.0</v>
      </c>
      <c r="FN2440" s="1" t="s">
        <v>9216</v>
      </c>
      <c r="FO2440" s="1" t="s">
        <v>22227</v>
      </c>
      <c r="FP2440" s="1">
        <v>189921.0</v>
      </c>
      <c r="FQ2440" s="1" t="s">
        <v>22228</v>
      </c>
      <c r="FU2440" s="1" t="s">
        <v>22229</v>
      </c>
      <c r="FV2440" s="1" t="s">
        <v>200</v>
      </c>
      <c r="FW2440" s="1" t="s">
        <v>290</v>
      </c>
      <c r="FX2440" s="1" t="s">
        <v>655</v>
      </c>
      <c r="FZ2440" s="1" t="s">
        <v>229</v>
      </c>
      <c r="GA2440" s="1" t="s">
        <v>291</v>
      </c>
      <c r="GB2440" s="2">
        <v>42062.0</v>
      </c>
    </row>
    <row r="2441">
      <c r="A2441" s="1">
        <v>225000.0</v>
      </c>
      <c r="B2441" s="1" t="s">
        <v>185</v>
      </c>
      <c r="C2441" s="1" t="str">
        <f>"08818481"</f>
        <v>08818481</v>
      </c>
      <c r="D2441" s="1" t="s">
        <v>186</v>
      </c>
      <c r="F2441" s="1" t="str">
        <f>"8014"</f>
        <v>8014</v>
      </c>
      <c r="G2441" s="2">
        <v>42021.0</v>
      </c>
      <c r="H2441" s="1">
        <v>223400.0</v>
      </c>
      <c r="I2441" s="1">
        <v>18.0</v>
      </c>
      <c r="J2441" s="1">
        <v>223400.0</v>
      </c>
      <c r="K2441" s="2">
        <v>42038.0</v>
      </c>
      <c r="L2441" s="1">
        <v>18.0</v>
      </c>
      <c r="M2441" s="2">
        <v>42038.0</v>
      </c>
      <c r="N2441" s="1" t="s">
        <v>356</v>
      </c>
      <c r="O2441" s="2">
        <v>42087.0</v>
      </c>
      <c r="P2441" s="1">
        <v>167109.0</v>
      </c>
      <c r="Q2441" s="1">
        <v>85917.0</v>
      </c>
      <c r="S2441" s="1">
        <v>4614.0</v>
      </c>
      <c r="T2441" s="1" t="s">
        <v>22230</v>
      </c>
      <c r="U2441" s="1" t="s">
        <v>189</v>
      </c>
      <c r="V2441" s="1" t="s">
        <v>190</v>
      </c>
      <c r="W2441" s="1">
        <v>60630.0</v>
      </c>
      <c r="Y2441" s="1" t="s">
        <v>22231</v>
      </c>
      <c r="Z2441" s="1">
        <v>1958.0</v>
      </c>
      <c r="AA2441" s="1" t="s">
        <v>192</v>
      </c>
      <c r="AB2441" s="1" t="s">
        <v>193</v>
      </c>
      <c r="AD2441" s="1" t="s">
        <v>194</v>
      </c>
      <c r="AE2441" s="1" t="s">
        <v>195</v>
      </c>
      <c r="AF2441" s="1" t="s">
        <v>196</v>
      </c>
      <c r="AH2441" s="1">
        <v>3125.0</v>
      </c>
      <c r="AI2441" s="1">
        <v>0.0717</v>
      </c>
      <c r="AK2441" s="1">
        <v>9.0</v>
      </c>
      <c r="AL2441" s="1">
        <v>3.0</v>
      </c>
      <c r="AM2441" s="1">
        <v>2.0</v>
      </c>
      <c r="AN2441" s="1">
        <v>0.0</v>
      </c>
      <c r="AO2441" s="1" t="s">
        <v>229</v>
      </c>
      <c r="AP2441" s="1">
        <v>1.0</v>
      </c>
      <c r="AQ2441" s="1" t="s">
        <v>198</v>
      </c>
      <c r="AR2441" s="1" t="s">
        <v>192</v>
      </c>
      <c r="AS2441" s="1" t="s">
        <v>199</v>
      </c>
      <c r="AT2441" s="1">
        <v>2.0</v>
      </c>
      <c r="AV2441" s="1" t="s">
        <v>200</v>
      </c>
      <c r="AW2441" s="1">
        <v>3897.0</v>
      </c>
      <c r="AX2441" s="1">
        <v>2013.0</v>
      </c>
      <c r="AY2441" s="1" t="s">
        <v>387</v>
      </c>
      <c r="AZ2441" s="1" t="s">
        <v>200</v>
      </c>
      <c r="BA2441" s="1" t="str">
        <f>"13152180260000"</f>
        <v>13152180260000</v>
      </c>
      <c r="BB2441" s="1" t="s">
        <v>200</v>
      </c>
      <c r="BC2441" s="1">
        <v>1000.0</v>
      </c>
      <c r="BD2441" s="1">
        <v>225000.0</v>
      </c>
      <c r="BE2441" s="2">
        <v>42021.0</v>
      </c>
      <c r="BF2441" s="2" t="s">
        <v>22232</v>
      </c>
      <c r="BH2441" s="1">
        <v>0.0</v>
      </c>
      <c r="BK2441" s="1" t="s">
        <v>204</v>
      </c>
      <c r="BL2441" s="1" t="str">
        <f>"4614"</f>
        <v>4614</v>
      </c>
      <c r="BM2441" s="1" t="str">
        <f t="shared" si="1592"/>
        <v>0</v>
      </c>
      <c r="BN2441" s="1">
        <v>4134.0</v>
      </c>
      <c r="BO2441" s="1">
        <v>0.0</v>
      </c>
      <c r="BQ2441" s="1">
        <v>299.0</v>
      </c>
      <c r="BR2441" s="1">
        <v>299.0</v>
      </c>
      <c r="BS2441" s="1">
        <v>299.0</v>
      </c>
      <c r="BU2441" s="1" t="s">
        <v>432</v>
      </c>
      <c r="BV2441" s="1" t="s">
        <v>206</v>
      </c>
      <c r="BW2441" s="1" t="s">
        <v>207</v>
      </c>
      <c r="BY2441" s="1" t="s">
        <v>497</v>
      </c>
      <c r="BZ2441" s="1" t="s">
        <v>206</v>
      </c>
      <c r="CA2441" s="1" t="s">
        <v>207</v>
      </c>
      <c r="CC2441" s="1" t="s">
        <v>542</v>
      </c>
      <c r="CD2441" s="1" t="s">
        <v>206</v>
      </c>
      <c r="CE2441" s="1" t="s">
        <v>207</v>
      </c>
      <c r="CG2441" s="1" t="s">
        <v>264</v>
      </c>
      <c r="CH2441" s="1" t="s">
        <v>206</v>
      </c>
      <c r="CI2441" s="1" t="s">
        <v>207</v>
      </c>
      <c r="CK2441" s="1" t="s">
        <v>495</v>
      </c>
      <c r="CL2441" s="1" t="s">
        <v>206</v>
      </c>
      <c r="CM2441" s="1" t="s">
        <v>207</v>
      </c>
      <c r="CO2441" s="1" t="s">
        <v>454</v>
      </c>
      <c r="CP2441" s="1" t="s">
        <v>42</v>
      </c>
      <c r="CQ2441" s="1" t="s">
        <v>268</v>
      </c>
      <c r="CS2441" s="1" t="s">
        <v>2461</v>
      </c>
      <c r="CT2441" s="1" t="s">
        <v>206</v>
      </c>
      <c r="CU2441" s="1" t="s">
        <v>617</v>
      </c>
      <c r="CW2441" s="1" t="s">
        <v>1117</v>
      </c>
      <c r="CX2441" s="1" t="s">
        <v>42</v>
      </c>
      <c r="CY2441" s="1" t="s">
        <v>268</v>
      </c>
      <c r="DA2441" s="1" t="s">
        <v>200</v>
      </c>
      <c r="DC2441" s="1" t="s">
        <v>271</v>
      </c>
      <c r="DD2441" s="1" t="s">
        <v>518</v>
      </c>
      <c r="DE2441" s="1" t="s">
        <v>273</v>
      </c>
      <c r="DF2441" s="1" t="s">
        <v>219</v>
      </c>
      <c r="DH2441" s="1" t="s">
        <v>365</v>
      </c>
      <c r="DJ2441" s="1" t="s">
        <v>222</v>
      </c>
      <c r="DL2441" s="1" t="s">
        <v>224</v>
      </c>
      <c r="DM2441" s="1" t="s">
        <v>229</v>
      </c>
      <c r="DP2441" s="1" t="s">
        <v>276</v>
      </c>
      <c r="DQ2441" s="1" t="s">
        <v>228</v>
      </c>
      <c r="DR2441" s="1" t="s">
        <v>229</v>
      </c>
      <c r="DV2441" s="1" t="s">
        <v>22233</v>
      </c>
      <c r="DW2441" s="1" t="s">
        <v>279</v>
      </c>
      <c r="DX2441" s="1" t="s">
        <v>234</v>
      </c>
      <c r="EA2441" s="1" t="s">
        <v>1302</v>
      </c>
      <c r="EC2441" s="1" t="s">
        <v>685</v>
      </c>
      <c r="EG2441" s="1" t="s">
        <v>598</v>
      </c>
      <c r="EH2441" s="1" t="s">
        <v>409</v>
      </c>
      <c r="EL2441" s="1" t="s">
        <v>495</v>
      </c>
      <c r="EM2441" s="1" t="s">
        <v>42</v>
      </c>
      <c r="EN2441" s="1" t="s">
        <v>268</v>
      </c>
      <c r="EP2441" s="1" t="s">
        <v>971</v>
      </c>
      <c r="EQ2441" s="1" t="s">
        <v>42</v>
      </c>
      <c r="ER2441" s="1" t="s">
        <v>268</v>
      </c>
      <c r="EU2441" s="1" t="s">
        <v>238</v>
      </c>
      <c r="EY2441" s="1" t="s">
        <v>238</v>
      </c>
      <c r="FC2441" s="1" t="s">
        <v>238</v>
      </c>
      <c r="FF2441" s="1" t="s">
        <v>239</v>
      </c>
      <c r="FG2441" s="1" t="s">
        <v>192</v>
      </c>
      <c r="FH2441" s="1" t="s">
        <v>192</v>
      </c>
      <c r="FJ2441" s="1" t="s">
        <v>22234</v>
      </c>
      <c r="FK2441" s="1" t="s">
        <v>229</v>
      </c>
      <c r="FL2441" s="1" t="s">
        <v>3794</v>
      </c>
      <c r="FM2441" s="1">
        <v>3592.0</v>
      </c>
      <c r="FN2441" s="1" t="s">
        <v>3795</v>
      </c>
      <c r="FO2441" s="1" t="s">
        <v>3796</v>
      </c>
      <c r="FP2441" s="1">
        <v>35051.0</v>
      </c>
      <c r="FQ2441" s="1" t="s">
        <v>3797</v>
      </c>
      <c r="FU2441" s="1" t="s">
        <v>3798</v>
      </c>
      <c r="FV2441" s="1" t="s">
        <v>200</v>
      </c>
      <c r="FW2441" s="1" t="s">
        <v>290</v>
      </c>
      <c r="FX2441" s="1" t="s">
        <v>238</v>
      </c>
      <c r="FZ2441" s="1" t="s">
        <v>229</v>
      </c>
      <c r="GA2441" s="1" t="s">
        <v>291</v>
      </c>
      <c r="GB2441" s="2">
        <v>42088.0</v>
      </c>
      <c r="GC2441" s="1" t="s">
        <v>22235</v>
      </c>
    </row>
    <row r="2442">
      <c r="A2442" s="1">
        <v>239500.0</v>
      </c>
      <c r="B2442" s="1" t="s">
        <v>185</v>
      </c>
      <c r="C2442" s="1" t="str">
        <f>"08818869"</f>
        <v>08818869</v>
      </c>
      <c r="D2442" s="1" t="s">
        <v>186</v>
      </c>
      <c r="F2442" s="1" t="str">
        <f>"123"</f>
        <v>123</v>
      </c>
      <c r="G2442" s="2">
        <v>42022.0</v>
      </c>
      <c r="H2442" s="1">
        <v>249900.0</v>
      </c>
      <c r="I2442" s="1">
        <v>19.0</v>
      </c>
      <c r="J2442" s="1">
        <v>249900.0</v>
      </c>
      <c r="K2442" s="2">
        <v>42040.0</v>
      </c>
      <c r="L2442" s="1">
        <v>19.0</v>
      </c>
      <c r="M2442" s="2">
        <v>42040.0</v>
      </c>
      <c r="N2442" s="1" t="s">
        <v>187</v>
      </c>
      <c r="O2442" s="2">
        <v>42080.0</v>
      </c>
      <c r="P2442" s="1">
        <v>233200.0</v>
      </c>
      <c r="Q2442" s="1">
        <v>21198.0</v>
      </c>
      <c r="S2442" s="1">
        <v>2886.0</v>
      </c>
      <c r="T2442" s="1" t="s">
        <v>22236</v>
      </c>
      <c r="U2442" s="1" t="s">
        <v>464</v>
      </c>
      <c r="V2442" s="1" t="s">
        <v>465</v>
      </c>
      <c r="W2442" s="1">
        <v>60124.0</v>
      </c>
      <c r="Y2442" s="1" t="s">
        <v>22237</v>
      </c>
      <c r="Z2442" s="1">
        <v>1995.0</v>
      </c>
      <c r="AA2442" s="1" t="s">
        <v>200</v>
      </c>
      <c r="AB2442" s="1" t="s">
        <v>193</v>
      </c>
      <c r="AC2442" s="1" t="s">
        <v>11714</v>
      </c>
      <c r="AD2442" s="1" t="s">
        <v>469</v>
      </c>
      <c r="AE2442" s="1" t="s">
        <v>325</v>
      </c>
      <c r="AF2442" s="1" t="s">
        <v>469</v>
      </c>
      <c r="AH2442" s="6">
        <v>12323.0</v>
      </c>
      <c r="AK2442" s="1">
        <v>9.0</v>
      </c>
      <c r="AL2442" s="1">
        <v>4.0</v>
      </c>
      <c r="AM2442" s="1">
        <v>2.0</v>
      </c>
      <c r="AN2442" s="1">
        <v>1.0</v>
      </c>
      <c r="AO2442" s="1" t="s">
        <v>198</v>
      </c>
      <c r="AP2442" s="1">
        <v>1.0</v>
      </c>
      <c r="AQ2442" s="1" t="s">
        <v>1314</v>
      </c>
      <c r="AR2442" s="1" t="s">
        <v>200</v>
      </c>
      <c r="AS2442" s="1" t="s">
        <v>199</v>
      </c>
      <c r="AT2442" s="1">
        <v>2.0</v>
      </c>
      <c r="AV2442" s="1" t="s">
        <v>200</v>
      </c>
      <c r="AW2442" s="1">
        <v>6741.0</v>
      </c>
      <c r="AX2442" s="1">
        <v>2013.0</v>
      </c>
      <c r="AY2442" s="1" t="s">
        <v>387</v>
      </c>
      <c r="AZ2442" s="1" t="s">
        <v>200</v>
      </c>
      <c r="BA2442" s="1" t="str">
        <f>"0617181001"</f>
        <v>0617181001</v>
      </c>
      <c r="BC2442" s="1">
        <v>2018.0</v>
      </c>
      <c r="BD2442" s="1">
        <v>239500.0</v>
      </c>
      <c r="BE2442" s="2">
        <v>42022.0</v>
      </c>
      <c r="BF2442" s="2" t="s">
        <v>22238</v>
      </c>
      <c r="BH2442" s="1">
        <v>0.0</v>
      </c>
      <c r="BK2442" s="1" t="s">
        <v>204</v>
      </c>
      <c r="BL2442" s="1" t="str">
        <f>"11"</f>
        <v>11</v>
      </c>
      <c r="BM2442" s="1" t="str">
        <f t="shared" si="1592"/>
        <v>0</v>
      </c>
      <c r="BN2442" s="1">
        <v>37.0</v>
      </c>
      <c r="BO2442" s="1">
        <v>0.0</v>
      </c>
      <c r="BQ2442" s="1">
        <v>301.0</v>
      </c>
      <c r="BR2442" s="1">
        <v>301.0</v>
      </c>
      <c r="BS2442" s="1">
        <v>301.0</v>
      </c>
      <c r="BU2442" s="1" t="s">
        <v>211</v>
      </c>
      <c r="BV2442" s="1" t="s">
        <v>206</v>
      </c>
      <c r="BW2442" s="1" t="s">
        <v>210</v>
      </c>
      <c r="BX2442" s="1" t="s">
        <v>229</v>
      </c>
      <c r="BY2442" s="1" t="s">
        <v>541</v>
      </c>
      <c r="BZ2442" s="1" t="s">
        <v>209</v>
      </c>
      <c r="CA2442" s="1" t="s">
        <v>210</v>
      </c>
      <c r="CB2442" s="1" t="s">
        <v>239</v>
      </c>
      <c r="CC2442" s="1" t="s">
        <v>497</v>
      </c>
      <c r="CD2442" s="1" t="s">
        <v>206</v>
      </c>
      <c r="CE2442" s="1" t="s">
        <v>210</v>
      </c>
      <c r="CF2442" s="1" t="s">
        <v>229</v>
      </c>
      <c r="CG2442" s="1" t="s">
        <v>212</v>
      </c>
      <c r="CH2442" s="1" t="s">
        <v>209</v>
      </c>
      <c r="CI2442" s="1" t="s">
        <v>210</v>
      </c>
      <c r="CJ2442" s="1" t="s">
        <v>239</v>
      </c>
      <c r="CK2442" s="1" t="s">
        <v>212</v>
      </c>
      <c r="CL2442" s="1" t="s">
        <v>209</v>
      </c>
      <c r="CM2442" s="1" t="s">
        <v>210</v>
      </c>
      <c r="CN2442" s="1" t="s">
        <v>239</v>
      </c>
      <c r="CO2442" s="1" t="s">
        <v>269</v>
      </c>
      <c r="CP2442" s="1" t="s">
        <v>209</v>
      </c>
      <c r="CQ2442" s="1" t="s">
        <v>210</v>
      </c>
      <c r="CR2442" s="1" t="s">
        <v>239</v>
      </c>
      <c r="CS2442" s="1" t="s">
        <v>700</v>
      </c>
      <c r="CT2442" s="1" t="s">
        <v>206</v>
      </c>
      <c r="CU2442" s="1" t="s">
        <v>301</v>
      </c>
      <c r="CV2442" s="1" t="s">
        <v>239</v>
      </c>
      <c r="CW2442" s="1" t="s">
        <v>434</v>
      </c>
      <c r="CX2442" s="1" t="s">
        <v>206</v>
      </c>
      <c r="CY2442" s="1" t="s">
        <v>210</v>
      </c>
      <c r="CZ2442" s="1" t="s">
        <v>239</v>
      </c>
      <c r="DA2442" s="1" t="s">
        <v>200</v>
      </c>
      <c r="DC2442" s="1" t="s">
        <v>678</v>
      </c>
      <c r="DD2442" s="1" t="s">
        <v>518</v>
      </c>
      <c r="DE2442" s="1" t="s">
        <v>273</v>
      </c>
      <c r="DF2442" s="1" t="s">
        <v>219</v>
      </c>
      <c r="DH2442" s="1" t="s">
        <v>220</v>
      </c>
      <c r="DI2442" s="1" t="s">
        <v>519</v>
      </c>
      <c r="DJ2442" s="1" t="s">
        <v>222</v>
      </c>
      <c r="DL2442" s="1" t="s">
        <v>224</v>
      </c>
      <c r="DM2442" s="1" t="s">
        <v>338</v>
      </c>
      <c r="DN2442" s="1" t="s">
        <v>548</v>
      </c>
      <c r="DO2442" s="1" t="s">
        <v>590</v>
      </c>
      <c r="DP2442" s="1" t="s">
        <v>400</v>
      </c>
      <c r="DQ2442" s="1" t="s">
        <v>441</v>
      </c>
      <c r="DR2442" s="1" t="s">
        <v>229</v>
      </c>
      <c r="DS2442" s="1" t="s">
        <v>230</v>
      </c>
      <c r="DV2442" s="1" t="s">
        <v>450</v>
      </c>
      <c r="DW2442" s="1" t="s">
        <v>370</v>
      </c>
      <c r="DX2442" s="1" t="s">
        <v>234</v>
      </c>
      <c r="DY2442" s="1" t="s">
        <v>861</v>
      </c>
      <c r="DZ2442" s="1" t="s">
        <v>282</v>
      </c>
      <c r="EA2442" s="1" t="s">
        <v>447</v>
      </c>
      <c r="EB2442" s="1" t="s">
        <v>684</v>
      </c>
      <c r="EC2442" s="1" t="s">
        <v>237</v>
      </c>
      <c r="ED2442" s="1" t="s">
        <v>407</v>
      </c>
      <c r="EG2442" s="1" t="s">
        <v>450</v>
      </c>
      <c r="EL2442" s="1" t="s">
        <v>1396</v>
      </c>
      <c r="EM2442" s="1" t="s">
        <v>42</v>
      </c>
      <c r="EN2442" s="1" t="s">
        <v>210</v>
      </c>
      <c r="EO2442" s="1" t="s">
        <v>229</v>
      </c>
      <c r="EQ2442" s="1" t="s">
        <v>238</v>
      </c>
      <c r="EU2442" s="1" t="s">
        <v>238</v>
      </c>
      <c r="EY2442" s="1" t="s">
        <v>238</v>
      </c>
      <c r="FC2442" s="1" t="s">
        <v>238</v>
      </c>
      <c r="FF2442" s="1" t="s">
        <v>239</v>
      </c>
      <c r="FG2442" s="1" t="s">
        <v>192</v>
      </c>
      <c r="FH2442" s="1" t="s">
        <v>192</v>
      </c>
      <c r="FJ2442" s="1" t="s">
        <v>22239</v>
      </c>
      <c r="FK2442" s="1" t="s">
        <v>229</v>
      </c>
      <c r="FL2442" s="1" t="s">
        <v>5530</v>
      </c>
      <c r="FM2442" s="1">
        <v>8079.0</v>
      </c>
      <c r="FN2442" s="1" t="s">
        <v>5531</v>
      </c>
      <c r="FO2442" s="1" t="s">
        <v>22240</v>
      </c>
      <c r="FP2442" s="1">
        <v>80714.0</v>
      </c>
      <c r="FQ2442" s="1" t="s">
        <v>22241</v>
      </c>
      <c r="FT2442" s="1" t="s">
        <v>11211</v>
      </c>
      <c r="FU2442" s="1" t="s">
        <v>22242</v>
      </c>
      <c r="FV2442" s="1" t="s">
        <v>200</v>
      </c>
      <c r="FW2442" s="1" t="s">
        <v>631</v>
      </c>
      <c r="FZ2442" s="1" t="s">
        <v>229</v>
      </c>
      <c r="GA2442" s="1" t="s">
        <v>291</v>
      </c>
      <c r="GB2442" s="2">
        <v>42080.0</v>
      </c>
      <c r="GC2442" s="1" t="s">
        <v>22243</v>
      </c>
    </row>
    <row r="2443">
      <c r="A2443" s="1">
        <v>650000.0</v>
      </c>
      <c r="B2443" s="1" t="s">
        <v>185</v>
      </c>
      <c r="C2443" s="1" t="str">
        <f>"08814283"</f>
        <v>08814283</v>
      </c>
      <c r="D2443" s="1" t="s">
        <v>186</v>
      </c>
      <c r="F2443" s="1" t="str">
        <f>"174"</f>
        <v>174</v>
      </c>
      <c r="G2443" s="2">
        <v>42016.0</v>
      </c>
      <c r="H2443" s="1">
        <v>689900.0</v>
      </c>
      <c r="I2443" s="1">
        <v>282.0</v>
      </c>
      <c r="J2443" s="1">
        <v>689900.0</v>
      </c>
      <c r="K2443" s="2">
        <v>42069.0</v>
      </c>
      <c r="L2443" s="1">
        <v>54.0</v>
      </c>
      <c r="M2443" s="2">
        <v>42069.0</v>
      </c>
      <c r="N2443" s="1" t="s">
        <v>249</v>
      </c>
      <c r="O2443" s="2">
        <v>42083.0</v>
      </c>
      <c r="P2443" s="1">
        <v>35001.0</v>
      </c>
      <c r="Q2443" s="1">
        <v>3970.0</v>
      </c>
      <c r="S2443" s="1">
        <v>3809.0</v>
      </c>
      <c r="T2443" s="1" t="s">
        <v>22244</v>
      </c>
      <c r="U2443" s="1" t="s">
        <v>420</v>
      </c>
      <c r="V2443" s="1" t="s">
        <v>1200</v>
      </c>
      <c r="W2443" s="1">
        <v>60175.0</v>
      </c>
      <c r="Y2443" s="1" t="s">
        <v>22245</v>
      </c>
      <c r="Z2443" s="1">
        <v>2000.0</v>
      </c>
      <c r="AA2443" s="1" t="s">
        <v>200</v>
      </c>
      <c r="AB2443" s="1" t="s">
        <v>193</v>
      </c>
      <c r="AC2443" s="1" t="s">
        <v>22246</v>
      </c>
      <c r="AD2443" s="1" t="s">
        <v>1203</v>
      </c>
      <c r="AE2443" s="1" t="s">
        <v>325</v>
      </c>
      <c r="AF2443" s="1" t="s">
        <v>1203</v>
      </c>
      <c r="AH2443" s="1" t="s">
        <v>22247</v>
      </c>
      <c r="AI2443" s="1">
        <v>0.75</v>
      </c>
      <c r="AK2443" s="1">
        <v>12.0</v>
      </c>
      <c r="AL2443" s="1">
        <v>4.0</v>
      </c>
      <c r="AM2443" s="1">
        <v>3.0</v>
      </c>
      <c r="AN2443" s="1">
        <v>1.0</v>
      </c>
      <c r="AO2443" s="1" t="s">
        <v>198</v>
      </c>
      <c r="AP2443" s="1">
        <v>2.0</v>
      </c>
      <c r="AQ2443" s="1" t="s">
        <v>472</v>
      </c>
      <c r="AR2443" s="1" t="s">
        <v>192</v>
      </c>
      <c r="AS2443" s="1" t="s">
        <v>199</v>
      </c>
      <c r="AT2443" s="1">
        <v>3.0</v>
      </c>
      <c r="AV2443" s="1" t="s">
        <v>200</v>
      </c>
      <c r="AW2443" s="1">
        <v>15692.0</v>
      </c>
      <c r="AX2443" s="1">
        <v>2013.0</v>
      </c>
      <c r="AY2443" s="1" t="s">
        <v>387</v>
      </c>
      <c r="AZ2443" s="1" t="s">
        <v>200</v>
      </c>
      <c r="BA2443" s="1" t="str">
        <f>"0916176025"</f>
        <v>0916176025</v>
      </c>
      <c r="BB2443" s="1" t="s">
        <v>200</v>
      </c>
      <c r="BC2443" s="1">
        <v>3900.0</v>
      </c>
      <c r="BD2443" s="1">
        <v>650000.0</v>
      </c>
      <c r="BE2443" s="2">
        <v>42016.0</v>
      </c>
      <c r="BF2443" s="2" t="s">
        <v>22248</v>
      </c>
      <c r="BG2443" s="1" t="s">
        <v>10567</v>
      </c>
      <c r="BH2443" s="1">
        <v>1500.0</v>
      </c>
      <c r="BI2443" s="1" t="s">
        <v>4511</v>
      </c>
      <c r="BJ2443" s="1" t="s">
        <v>2200</v>
      </c>
      <c r="BK2443" s="1" t="s">
        <v>580</v>
      </c>
      <c r="BL2443" s="1" t="str">
        <f>"5"</f>
        <v>5</v>
      </c>
      <c r="BM2443" s="1" t="str">
        <f t="shared" si="1592"/>
        <v>0</v>
      </c>
      <c r="BN2443" s="1">
        <v>37.0</v>
      </c>
      <c r="BO2443" s="1">
        <v>0.0</v>
      </c>
      <c r="BQ2443" s="1">
        <v>303.0</v>
      </c>
      <c r="BR2443" s="1">
        <v>303.0</v>
      </c>
      <c r="BS2443" s="1">
        <v>303.0</v>
      </c>
      <c r="BU2443" s="1" t="s">
        <v>434</v>
      </c>
      <c r="BV2443" s="1" t="s">
        <v>206</v>
      </c>
      <c r="BW2443" s="1" t="s">
        <v>207</v>
      </c>
      <c r="BY2443" s="1" t="s">
        <v>2800</v>
      </c>
      <c r="BZ2443" s="1" t="s">
        <v>209</v>
      </c>
      <c r="CA2443" s="1" t="s">
        <v>210</v>
      </c>
      <c r="CC2443" s="1" t="s">
        <v>361</v>
      </c>
      <c r="CD2443" s="1" t="s">
        <v>206</v>
      </c>
      <c r="CE2443" s="1" t="s">
        <v>207</v>
      </c>
      <c r="CG2443" s="1" t="s">
        <v>454</v>
      </c>
      <c r="CH2443" s="1" t="s">
        <v>209</v>
      </c>
      <c r="CI2443" s="1" t="s">
        <v>210</v>
      </c>
      <c r="CK2443" s="1" t="s">
        <v>361</v>
      </c>
      <c r="CL2443" s="1" t="s">
        <v>209</v>
      </c>
      <c r="CM2443" s="1" t="s">
        <v>210</v>
      </c>
      <c r="CO2443" s="1" t="s">
        <v>213</v>
      </c>
      <c r="CP2443" s="1" t="s">
        <v>209</v>
      </c>
      <c r="CQ2443" s="1" t="s">
        <v>210</v>
      </c>
      <c r="CS2443" s="1" t="s">
        <v>479</v>
      </c>
      <c r="CT2443" s="1" t="s">
        <v>206</v>
      </c>
      <c r="CU2443" s="1" t="s">
        <v>268</v>
      </c>
      <c r="CW2443" s="1" t="s">
        <v>854</v>
      </c>
      <c r="CX2443" s="1" t="s">
        <v>206</v>
      </c>
      <c r="CY2443" s="1" t="s">
        <v>210</v>
      </c>
      <c r="DA2443" s="1" t="s">
        <v>200</v>
      </c>
      <c r="DC2443" s="1" t="s">
        <v>335</v>
      </c>
      <c r="DD2443" s="1" t="s">
        <v>786</v>
      </c>
      <c r="DE2443" s="1" t="s">
        <v>218</v>
      </c>
      <c r="DF2443" s="1" t="s">
        <v>219</v>
      </c>
      <c r="DG2443" s="1" t="s">
        <v>337</v>
      </c>
      <c r="DH2443" s="1" t="s">
        <v>220</v>
      </c>
      <c r="DI2443" s="1" t="s">
        <v>5225</v>
      </c>
      <c r="DJ2443" s="1" t="s">
        <v>222</v>
      </c>
      <c r="DL2443" s="1" t="s">
        <v>224</v>
      </c>
      <c r="DM2443" s="1" t="s">
        <v>338</v>
      </c>
      <c r="DN2443" s="1" t="s">
        <v>399</v>
      </c>
      <c r="DO2443" s="1" t="s">
        <v>22249</v>
      </c>
      <c r="DP2443" s="1" t="s">
        <v>340</v>
      </c>
      <c r="DQ2443" s="1" t="s">
        <v>1557</v>
      </c>
      <c r="DR2443" s="1" t="s">
        <v>588</v>
      </c>
      <c r="DU2443" s="1" t="s">
        <v>19773</v>
      </c>
      <c r="DV2443" s="1" t="s">
        <v>22250</v>
      </c>
      <c r="DW2443" s="1" t="s">
        <v>764</v>
      </c>
      <c r="DX2443" s="1" t="s">
        <v>234</v>
      </c>
      <c r="DY2443" s="1" t="s">
        <v>6583</v>
      </c>
      <c r="DZ2443" s="1" t="s">
        <v>22251</v>
      </c>
      <c r="EB2443" s="1" t="s">
        <v>684</v>
      </c>
      <c r="EC2443" s="1" t="s">
        <v>237</v>
      </c>
      <c r="ED2443" s="1" t="s">
        <v>407</v>
      </c>
      <c r="EG2443" s="1" t="s">
        <v>494</v>
      </c>
      <c r="EH2443" s="1" t="s">
        <v>450</v>
      </c>
      <c r="EI2443" s="1" t="s">
        <v>451</v>
      </c>
      <c r="EJ2443" s="1" t="s">
        <v>1121</v>
      </c>
      <c r="EK2443" s="1" t="s">
        <v>2971</v>
      </c>
      <c r="EL2443" s="1" t="s">
        <v>363</v>
      </c>
      <c r="EM2443" s="1" t="s">
        <v>206</v>
      </c>
      <c r="EN2443" s="1" t="s">
        <v>207</v>
      </c>
      <c r="EP2443" s="1" t="s">
        <v>1279</v>
      </c>
      <c r="EQ2443" s="1" t="s">
        <v>42</v>
      </c>
      <c r="ER2443" s="1" t="s">
        <v>210</v>
      </c>
      <c r="ET2443" s="1" t="s">
        <v>22252</v>
      </c>
      <c r="EU2443" s="1" t="s">
        <v>42</v>
      </c>
      <c r="EV2443" s="1" t="s">
        <v>210</v>
      </c>
      <c r="EX2443" s="1" t="s">
        <v>264</v>
      </c>
      <c r="EY2443" s="1" t="s">
        <v>209</v>
      </c>
      <c r="EZ2443" s="1" t="s">
        <v>210</v>
      </c>
      <c r="FB2443" s="1" t="s">
        <v>1483</v>
      </c>
      <c r="FC2443" s="1" t="s">
        <v>42</v>
      </c>
      <c r="FD2443" s="1" t="s">
        <v>2615</v>
      </c>
      <c r="FF2443" s="1" t="s">
        <v>239</v>
      </c>
      <c r="FG2443" s="1" t="s">
        <v>192</v>
      </c>
      <c r="FH2443" s="1" t="s">
        <v>192</v>
      </c>
      <c r="FJ2443" s="1" t="s">
        <v>1469</v>
      </c>
      <c r="FK2443" s="1" t="s">
        <v>229</v>
      </c>
      <c r="FL2443" s="1" t="s">
        <v>893</v>
      </c>
      <c r="FM2443" s="1">
        <v>604.0</v>
      </c>
      <c r="FN2443" s="1" t="s">
        <v>894</v>
      </c>
      <c r="FO2443" s="1" t="s">
        <v>895</v>
      </c>
      <c r="FP2443" s="1">
        <v>381.0</v>
      </c>
      <c r="FQ2443" s="1" t="s">
        <v>896</v>
      </c>
      <c r="FR2443" s="1">
        <v>179.0</v>
      </c>
      <c r="FS2443" s="1" t="s">
        <v>22253</v>
      </c>
      <c r="FU2443" s="1" t="s">
        <v>8533</v>
      </c>
      <c r="FV2443" s="1" t="s">
        <v>200</v>
      </c>
      <c r="FW2443" s="1" t="s">
        <v>290</v>
      </c>
      <c r="FZ2443" s="1" t="s">
        <v>229</v>
      </c>
      <c r="GA2443" s="1" t="s">
        <v>291</v>
      </c>
      <c r="GB2443" s="2">
        <v>42083.0</v>
      </c>
      <c r="GC2443" s="1" t="s">
        <v>22254</v>
      </c>
    </row>
    <row r="2444">
      <c r="A2444" s="1">
        <v>168000.0</v>
      </c>
      <c r="B2444" s="1" t="s">
        <v>185</v>
      </c>
      <c r="C2444" s="1" t="str">
        <f>"08817850"</f>
        <v>08817850</v>
      </c>
      <c r="D2444" s="1" t="s">
        <v>186</v>
      </c>
      <c r="F2444" s="1" t="str">
        <f>"103"</f>
        <v>103</v>
      </c>
      <c r="G2444" s="2">
        <v>42020.0</v>
      </c>
      <c r="H2444" s="1">
        <v>179900.0</v>
      </c>
      <c r="I2444" s="1">
        <v>45.0</v>
      </c>
      <c r="J2444" s="1">
        <v>177900.0</v>
      </c>
      <c r="K2444" s="2">
        <v>42063.0</v>
      </c>
      <c r="L2444" s="1">
        <v>45.0</v>
      </c>
      <c r="M2444" s="2">
        <v>42063.0</v>
      </c>
      <c r="N2444" s="1" t="s">
        <v>356</v>
      </c>
      <c r="O2444" s="2">
        <v>42094.0</v>
      </c>
      <c r="P2444" s="1">
        <v>236248.0</v>
      </c>
      <c r="Q2444" s="1">
        <v>20001.0</v>
      </c>
      <c r="S2444" s="1">
        <v>6731.0</v>
      </c>
      <c r="T2444" s="1" t="s">
        <v>22255</v>
      </c>
      <c r="U2444" s="1" t="s">
        <v>320</v>
      </c>
      <c r="V2444" s="1" t="s">
        <v>251</v>
      </c>
      <c r="W2444" s="1">
        <v>60133.0</v>
      </c>
      <c r="Y2444" s="1" t="s">
        <v>22256</v>
      </c>
      <c r="Z2444" s="1">
        <v>1962.0</v>
      </c>
      <c r="AA2444" s="1" t="s">
        <v>192</v>
      </c>
      <c r="AB2444" s="1" t="s">
        <v>193</v>
      </c>
      <c r="AC2444" s="1" t="s">
        <v>22257</v>
      </c>
      <c r="AD2444" s="1" t="s">
        <v>254</v>
      </c>
      <c r="AE2444" s="1" t="s">
        <v>195</v>
      </c>
      <c r="AF2444" s="1" t="s">
        <v>298</v>
      </c>
      <c r="AH2444" s="1" t="s">
        <v>256</v>
      </c>
      <c r="AI2444" s="1">
        <v>0.18</v>
      </c>
      <c r="AK2444" s="1">
        <v>8.0</v>
      </c>
      <c r="AL2444" s="1">
        <v>4.0</v>
      </c>
      <c r="AM2444" s="1">
        <v>2.0</v>
      </c>
      <c r="AN2444" s="1">
        <v>0.0</v>
      </c>
      <c r="AO2444" s="1" t="s">
        <v>198</v>
      </c>
      <c r="AQ2444" s="1" t="s">
        <v>472</v>
      </c>
      <c r="AR2444" s="1" t="s">
        <v>192</v>
      </c>
      <c r="AS2444" s="1" t="s">
        <v>199</v>
      </c>
      <c r="AT2444" s="1">
        <v>1.0</v>
      </c>
      <c r="AV2444" s="1" t="s">
        <v>200</v>
      </c>
      <c r="AW2444" s="1">
        <v>4393.0</v>
      </c>
      <c r="AX2444" s="1">
        <v>2013.0</v>
      </c>
      <c r="AY2444" s="1" t="s">
        <v>387</v>
      </c>
      <c r="AZ2444" s="1" t="s">
        <v>200</v>
      </c>
      <c r="BA2444" s="1" t="str">
        <f>"06364050080000"</f>
        <v>06364050080000</v>
      </c>
      <c r="BB2444" s="1" t="s">
        <v>200</v>
      </c>
      <c r="BC2444" s="1">
        <v>0.0</v>
      </c>
      <c r="BD2444" s="1">
        <v>168000.0</v>
      </c>
      <c r="BE2444" s="2">
        <v>42019.0</v>
      </c>
      <c r="BF2444" s="2" t="s">
        <v>22258</v>
      </c>
      <c r="BH2444" s="1">
        <v>0.0</v>
      </c>
      <c r="BK2444" s="1" t="s">
        <v>204</v>
      </c>
      <c r="BL2444" s="1" t="str">
        <f>"8"</f>
        <v>8</v>
      </c>
      <c r="BM2444" s="1" t="str">
        <f t="shared" si="1592"/>
        <v>0</v>
      </c>
      <c r="BN2444" s="1">
        <v>27.0</v>
      </c>
      <c r="BO2444" s="1">
        <v>0.0</v>
      </c>
      <c r="BQ2444" s="1">
        <v>46.0</v>
      </c>
      <c r="BR2444" s="1">
        <v>46.0</v>
      </c>
      <c r="BS2444" s="1">
        <v>46.0</v>
      </c>
      <c r="BU2444" s="1" t="s">
        <v>332</v>
      </c>
      <c r="BV2444" s="1" t="s">
        <v>206</v>
      </c>
      <c r="BW2444" s="1" t="s">
        <v>301</v>
      </c>
      <c r="BX2444" s="1" t="s">
        <v>431</v>
      </c>
      <c r="BY2444" s="1" t="s">
        <v>495</v>
      </c>
      <c r="BZ2444" s="1" t="s">
        <v>206</v>
      </c>
      <c r="CA2444" s="1" t="s">
        <v>301</v>
      </c>
      <c r="CB2444" s="1" t="s">
        <v>431</v>
      </c>
      <c r="CC2444" s="1" t="s">
        <v>265</v>
      </c>
      <c r="CD2444" s="1" t="s">
        <v>206</v>
      </c>
      <c r="CE2444" s="1" t="s">
        <v>301</v>
      </c>
      <c r="CF2444" s="1" t="s">
        <v>431</v>
      </c>
      <c r="CG2444" s="1" t="s">
        <v>263</v>
      </c>
      <c r="CH2444" s="1" t="s">
        <v>206</v>
      </c>
      <c r="CI2444" s="1" t="s">
        <v>301</v>
      </c>
      <c r="CJ2444" s="1" t="s">
        <v>431</v>
      </c>
      <c r="CK2444" s="1" t="s">
        <v>264</v>
      </c>
      <c r="CL2444" s="1" t="s">
        <v>206</v>
      </c>
      <c r="CM2444" s="1" t="s">
        <v>301</v>
      </c>
      <c r="CN2444" s="1" t="s">
        <v>431</v>
      </c>
      <c r="CO2444" s="1" t="s">
        <v>700</v>
      </c>
      <c r="CP2444" s="1" t="s">
        <v>267</v>
      </c>
      <c r="CQ2444" s="1" t="s">
        <v>268</v>
      </c>
      <c r="CR2444" s="1" t="s">
        <v>431</v>
      </c>
      <c r="CS2444" s="1" t="s">
        <v>623</v>
      </c>
      <c r="CT2444" s="1" t="s">
        <v>206</v>
      </c>
      <c r="CU2444" s="1" t="s">
        <v>268</v>
      </c>
      <c r="CV2444" s="1" t="s">
        <v>431</v>
      </c>
      <c r="CW2444" s="1" t="s">
        <v>1623</v>
      </c>
      <c r="CX2444" s="1" t="s">
        <v>267</v>
      </c>
      <c r="CY2444" s="1" t="s">
        <v>617</v>
      </c>
      <c r="DA2444" s="1" t="s">
        <v>200</v>
      </c>
      <c r="DC2444" s="1" t="s">
        <v>271</v>
      </c>
      <c r="DD2444" s="1" t="s">
        <v>518</v>
      </c>
      <c r="DE2444" s="1" t="s">
        <v>273</v>
      </c>
      <c r="DF2444" s="1" t="s">
        <v>619</v>
      </c>
      <c r="DG2444" s="1" t="s">
        <v>788</v>
      </c>
      <c r="DH2444" s="1" t="s">
        <v>365</v>
      </c>
      <c r="DI2444" s="1" t="s">
        <v>703</v>
      </c>
      <c r="DJ2444" s="1" t="s">
        <v>1048</v>
      </c>
      <c r="DL2444" s="1" t="s">
        <v>224</v>
      </c>
      <c r="DM2444" s="1" t="s">
        <v>929</v>
      </c>
      <c r="DO2444" s="1" t="s">
        <v>549</v>
      </c>
      <c r="DP2444" s="1" t="s">
        <v>276</v>
      </c>
      <c r="DQ2444" s="1" t="s">
        <v>228</v>
      </c>
      <c r="DR2444" s="1" t="s">
        <v>229</v>
      </c>
      <c r="DS2444" s="1" t="s">
        <v>401</v>
      </c>
      <c r="DU2444" s="1" t="s">
        <v>2070</v>
      </c>
      <c r="DV2444" s="1" t="s">
        <v>232</v>
      </c>
      <c r="DW2444" s="1" t="s">
        <v>2602</v>
      </c>
      <c r="DX2444" s="1" t="s">
        <v>234</v>
      </c>
      <c r="DZ2444" s="1" t="s">
        <v>310</v>
      </c>
      <c r="EA2444" s="1" t="s">
        <v>1302</v>
      </c>
      <c r="EC2444" s="1" t="s">
        <v>311</v>
      </c>
      <c r="ED2444" s="1" t="s">
        <v>555</v>
      </c>
      <c r="EM2444" s="1" t="s">
        <v>238</v>
      </c>
      <c r="EQ2444" s="1" t="s">
        <v>238</v>
      </c>
      <c r="EU2444" s="1" t="s">
        <v>238</v>
      </c>
      <c r="EY2444" s="1" t="s">
        <v>238</v>
      </c>
      <c r="FC2444" s="1" t="s">
        <v>238</v>
      </c>
      <c r="FF2444" s="1" t="s">
        <v>239</v>
      </c>
      <c r="FG2444" s="1" t="s">
        <v>192</v>
      </c>
      <c r="FH2444" s="1" t="s">
        <v>192</v>
      </c>
      <c r="FJ2444" s="1" t="s">
        <v>22259</v>
      </c>
      <c r="FK2444" s="1" t="s">
        <v>229</v>
      </c>
      <c r="FL2444" s="1" t="s">
        <v>14346</v>
      </c>
      <c r="FM2444" s="1">
        <v>8970.0</v>
      </c>
      <c r="FN2444" s="1" t="s">
        <v>14347</v>
      </c>
      <c r="FO2444" s="1" t="s">
        <v>22260</v>
      </c>
      <c r="FP2444" s="1">
        <v>29004.0</v>
      </c>
      <c r="FQ2444" s="1" t="s">
        <v>22261</v>
      </c>
      <c r="FU2444" s="1" t="s">
        <v>10893</v>
      </c>
      <c r="FV2444" s="1" t="s">
        <v>192</v>
      </c>
      <c r="FW2444" s="1" t="s">
        <v>290</v>
      </c>
      <c r="FZ2444" s="1" t="s">
        <v>229</v>
      </c>
      <c r="GA2444" s="1" t="s">
        <v>291</v>
      </c>
      <c r="GB2444" s="2">
        <v>42094.0</v>
      </c>
      <c r="GC2444" s="1" t="s">
        <v>22262</v>
      </c>
    </row>
    <row r="2445">
      <c r="A2445" s="1">
        <v>68000.0</v>
      </c>
      <c r="B2445" s="1" t="s">
        <v>185</v>
      </c>
      <c r="C2445" s="1" t="str">
        <f>"08818369"</f>
        <v>08818369</v>
      </c>
      <c r="D2445" s="1" t="s">
        <v>186</v>
      </c>
      <c r="F2445" s="1" t="str">
        <f>"8073"</f>
        <v>8073</v>
      </c>
      <c r="G2445" s="2">
        <v>42020.0</v>
      </c>
      <c r="H2445" s="1">
        <v>68000.0</v>
      </c>
      <c r="I2445" s="1">
        <v>271.0</v>
      </c>
      <c r="J2445" s="1">
        <v>68000.0</v>
      </c>
      <c r="K2445" s="2">
        <v>42037.0</v>
      </c>
      <c r="L2445" s="1">
        <v>18.0</v>
      </c>
      <c r="M2445" s="2">
        <v>42037.0</v>
      </c>
      <c r="N2445" s="1" t="s">
        <v>249</v>
      </c>
      <c r="O2445" s="2">
        <v>42048.0</v>
      </c>
      <c r="P2445" s="1">
        <v>243437.0</v>
      </c>
      <c r="Q2445" s="1">
        <v>23391.0</v>
      </c>
      <c r="S2445" s="1">
        <v>8926.0</v>
      </c>
      <c r="T2445" s="1" t="s">
        <v>6648</v>
      </c>
      <c r="U2445" s="1" t="s">
        <v>189</v>
      </c>
      <c r="V2445" s="1" t="s">
        <v>190</v>
      </c>
      <c r="W2445" s="1">
        <v>60620.0</v>
      </c>
      <c r="Y2445" s="1" t="s">
        <v>22263</v>
      </c>
      <c r="Z2445" s="1">
        <v>1955.0</v>
      </c>
      <c r="AA2445" s="1" t="s">
        <v>192</v>
      </c>
      <c r="AB2445" s="1" t="s">
        <v>193</v>
      </c>
      <c r="AD2445" s="1" t="s">
        <v>194</v>
      </c>
      <c r="AE2445" s="1" t="s">
        <v>195</v>
      </c>
      <c r="AF2445" s="1" t="s">
        <v>659</v>
      </c>
      <c r="AH2445" s="1" t="s">
        <v>22264</v>
      </c>
      <c r="AI2445" s="1">
        <v>0.0964</v>
      </c>
      <c r="AK2445" s="1">
        <v>8.0</v>
      </c>
      <c r="AL2445" s="1">
        <v>3.0</v>
      </c>
      <c r="AM2445" s="1">
        <v>1.0</v>
      </c>
      <c r="AN2445" s="1">
        <v>1.0</v>
      </c>
      <c r="AO2445" s="1" t="s">
        <v>229</v>
      </c>
      <c r="AQ2445" s="1" t="s">
        <v>198</v>
      </c>
      <c r="AR2445" s="1" t="s">
        <v>192</v>
      </c>
      <c r="AS2445" s="1" t="s">
        <v>199</v>
      </c>
      <c r="AT2445" s="1">
        <v>2.0</v>
      </c>
      <c r="AV2445" s="1" t="s">
        <v>200</v>
      </c>
      <c r="AW2445" s="1">
        <v>2613.0</v>
      </c>
      <c r="AX2445" s="1">
        <v>2013.0</v>
      </c>
      <c r="AY2445" s="1" t="s">
        <v>387</v>
      </c>
      <c r="AZ2445" s="1" t="s">
        <v>200</v>
      </c>
      <c r="BA2445" s="1" t="str">
        <f>"25062160220000"</f>
        <v>25062160220000</v>
      </c>
      <c r="BB2445" s="1" t="s">
        <v>192</v>
      </c>
      <c r="BC2445" s="1">
        <v>1250.0</v>
      </c>
      <c r="BD2445" s="1">
        <v>68000.0</v>
      </c>
      <c r="BE2445" s="2">
        <v>42020.0</v>
      </c>
      <c r="BF2445" s="1" t="s">
        <v>22265</v>
      </c>
      <c r="BH2445" s="1">
        <v>0.0</v>
      </c>
      <c r="BK2445" s="1" t="s">
        <v>204</v>
      </c>
      <c r="BL2445" s="1" t="str">
        <f t="shared" ref="BL2445:BM2445" si="1593">"0"</f>
        <v>0</v>
      </c>
      <c r="BM2445" s="1" t="str">
        <f t="shared" si="1593"/>
        <v>0</v>
      </c>
      <c r="BN2445" s="1">
        <v>1600.0</v>
      </c>
      <c r="BO2445" s="1">
        <v>8926.0</v>
      </c>
      <c r="BQ2445" s="1">
        <v>299.0</v>
      </c>
      <c r="BR2445" s="1">
        <v>299.0</v>
      </c>
      <c r="BS2445" s="1">
        <v>299.0</v>
      </c>
      <c r="BU2445" s="1" t="s">
        <v>1000</v>
      </c>
      <c r="BV2445" s="1" t="s">
        <v>206</v>
      </c>
      <c r="BW2445" s="1" t="s">
        <v>207</v>
      </c>
      <c r="BY2445" s="1" t="s">
        <v>729</v>
      </c>
      <c r="BZ2445" s="1" t="s">
        <v>206</v>
      </c>
      <c r="CA2445" s="1" t="s">
        <v>207</v>
      </c>
      <c r="CC2445" s="1" t="s">
        <v>363</v>
      </c>
      <c r="CD2445" s="1" t="s">
        <v>206</v>
      </c>
      <c r="CE2445" s="1" t="s">
        <v>207</v>
      </c>
      <c r="CG2445" s="1" t="s">
        <v>729</v>
      </c>
      <c r="CH2445" s="1" t="s">
        <v>206</v>
      </c>
      <c r="CI2445" s="1" t="s">
        <v>207</v>
      </c>
      <c r="CK2445" s="1" t="s">
        <v>269</v>
      </c>
      <c r="CL2445" s="1" t="s">
        <v>206</v>
      </c>
      <c r="CM2445" s="1" t="s">
        <v>207</v>
      </c>
      <c r="CO2445" s="1" t="s">
        <v>363</v>
      </c>
      <c r="CP2445" s="1" t="s">
        <v>42</v>
      </c>
      <c r="CS2445" s="1" t="s">
        <v>264</v>
      </c>
      <c r="CT2445" s="1" t="s">
        <v>206</v>
      </c>
      <c r="CW2445" s="1" t="s">
        <v>1117</v>
      </c>
      <c r="CX2445" s="1" t="s">
        <v>42</v>
      </c>
      <c r="DA2445" s="1" t="s">
        <v>200</v>
      </c>
      <c r="DC2445" s="1" t="s">
        <v>271</v>
      </c>
      <c r="DD2445" s="1" t="s">
        <v>306</v>
      </c>
      <c r="DE2445" s="1" t="s">
        <v>273</v>
      </c>
      <c r="DF2445" s="1" t="s">
        <v>219</v>
      </c>
      <c r="DH2445" s="1" t="s">
        <v>307</v>
      </c>
      <c r="DJ2445" s="1" t="s">
        <v>222</v>
      </c>
      <c r="DL2445" s="1" t="s">
        <v>224</v>
      </c>
      <c r="DM2445" s="1" t="s">
        <v>229</v>
      </c>
      <c r="DP2445" s="1" t="s">
        <v>340</v>
      </c>
      <c r="DQ2445" s="1" t="s">
        <v>1557</v>
      </c>
      <c r="DR2445" s="1" t="s">
        <v>229</v>
      </c>
      <c r="DS2445" s="1" t="s">
        <v>230</v>
      </c>
      <c r="DV2445" s="1" t="s">
        <v>1270</v>
      </c>
      <c r="DW2445" s="1" t="s">
        <v>279</v>
      </c>
      <c r="DX2445" s="1" t="s">
        <v>234</v>
      </c>
      <c r="EA2445" s="1" t="s">
        <v>554</v>
      </c>
      <c r="EC2445" s="1" t="s">
        <v>645</v>
      </c>
      <c r="EG2445" s="1" t="s">
        <v>1270</v>
      </c>
      <c r="EL2445" s="1" t="s">
        <v>269</v>
      </c>
      <c r="EM2445" s="1" t="s">
        <v>42</v>
      </c>
      <c r="EQ2445" s="1" t="s">
        <v>238</v>
      </c>
      <c r="EU2445" s="1" t="s">
        <v>238</v>
      </c>
      <c r="EY2445" s="1" t="s">
        <v>238</v>
      </c>
      <c r="FC2445" s="1" t="s">
        <v>238</v>
      </c>
      <c r="FF2445" s="1" t="s">
        <v>239</v>
      </c>
      <c r="FG2445" s="1" t="s">
        <v>192</v>
      </c>
      <c r="FH2445" s="1" t="s">
        <v>200</v>
      </c>
      <c r="FJ2445" s="1" t="s">
        <v>22266</v>
      </c>
      <c r="FK2445" s="1" t="s">
        <v>1586</v>
      </c>
      <c r="FL2445" s="1" t="s">
        <v>1663</v>
      </c>
      <c r="FM2445" s="1">
        <v>17299.0</v>
      </c>
      <c r="FN2445" s="1" t="s">
        <v>1664</v>
      </c>
      <c r="FO2445" s="1" t="s">
        <v>22267</v>
      </c>
      <c r="FP2445" s="1">
        <v>134320.0</v>
      </c>
      <c r="FQ2445" s="1" t="s">
        <v>22268</v>
      </c>
      <c r="FU2445" s="1" t="s">
        <v>22269</v>
      </c>
      <c r="FV2445" s="1" t="s">
        <v>200</v>
      </c>
      <c r="FW2445" s="1" t="s">
        <v>290</v>
      </c>
      <c r="FX2445" s="1" t="s">
        <v>655</v>
      </c>
      <c r="FZ2445" s="1" t="s">
        <v>229</v>
      </c>
      <c r="GA2445" s="1" t="s">
        <v>291</v>
      </c>
      <c r="GB2445" s="2">
        <v>42058.0</v>
      </c>
      <c r="GC2445" s="1" t="s">
        <v>22270</v>
      </c>
    </row>
    <row r="2446">
      <c r="A2446" s="1">
        <v>450000.0</v>
      </c>
      <c r="B2446" s="1" t="s">
        <v>185</v>
      </c>
      <c r="C2446" s="1" t="str">
        <f>"08823344"</f>
        <v>08823344</v>
      </c>
      <c r="D2446" s="1" t="s">
        <v>186</v>
      </c>
      <c r="F2446" s="1" t="str">
        <f>"10"</f>
        <v>10</v>
      </c>
      <c r="G2446" s="2">
        <v>42028.0</v>
      </c>
      <c r="H2446" s="1">
        <v>475000.0</v>
      </c>
      <c r="I2446" s="1">
        <v>57.0</v>
      </c>
      <c r="J2446" s="1">
        <v>475000.0</v>
      </c>
      <c r="K2446" s="2">
        <v>42082.0</v>
      </c>
      <c r="L2446" s="1">
        <v>57.0</v>
      </c>
      <c r="M2446" s="2">
        <v>42082.0</v>
      </c>
      <c r="N2446" s="1" t="s">
        <v>187</v>
      </c>
      <c r="O2446" s="2">
        <v>42124.0</v>
      </c>
      <c r="P2446" s="1">
        <v>62479.0</v>
      </c>
      <c r="Q2446" s="1">
        <v>6018.0</v>
      </c>
      <c r="S2446" s="1">
        <v>16.0</v>
      </c>
      <c r="T2446" s="1" t="s">
        <v>10906</v>
      </c>
      <c r="U2446" s="1" t="s">
        <v>420</v>
      </c>
      <c r="V2446" s="1" t="s">
        <v>2004</v>
      </c>
      <c r="W2446" s="1">
        <v>60010.0</v>
      </c>
      <c r="Y2446" s="1" t="s">
        <v>22271</v>
      </c>
      <c r="Z2446" s="1">
        <v>1973.0</v>
      </c>
      <c r="AA2446" s="1" t="s">
        <v>192</v>
      </c>
      <c r="AB2446" s="1" t="s">
        <v>193</v>
      </c>
      <c r="AD2446" s="1" t="s">
        <v>2007</v>
      </c>
      <c r="AE2446" s="1" t="s">
        <v>917</v>
      </c>
      <c r="AF2446" s="1" t="s">
        <v>2008</v>
      </c>
      <c r="AH2446" s="1" t="s">
        <v>22272</v>
      </c>
      <c r="AI2446" s="1">
        <v>1.9</v>
      </c>
      <c r="AK2446" s="1">
        <v>8.0</v>
      </c>
      <c r="AL2446" s="1">
        <v>4.0</v>
      </c>
      <c r="AM2446" s="1">
        <v>3.0</v>
      </c>
      <c r="AN2446" s="1">
        <v>0.0</v>
      </c>
      <c r="AO2446" s="1" t="s">
        <v>198</v>
      </c>
      <c r="AP2446" s="1">
        <v>2.0</v>
      </c>
      <c r="AQ2446" s="1" t="s">
        <v>951</v>
      </c>
      <c r="AR2446" s="1" t="s">
        <v>192</v>
      </c>
      <c r="AS2446" s="1" t="s">
        <v>199</v>
      </c>
      <c r="AT2446" s="1">
        <v>4.0</v>
      </c>
      <c r="AV2446" s="1" t="s">
        <v>192</v>
      </c>
      <c r="AW2446" s="1">
        <v>9006.0</v>
      </c>
      <c r="AX2446" s="1">
        <v>2013.0</v>
      </c>
      <c r="AY2446" s="1" t="s">
        <v>387</v>
      </c>
      <c r="AZ2446" s="1" t="s">
        <v>200</v>
      </c>
      <c r="BA2446" s="1" t="str">
        <f>"13111040090000"</f>
        <v>13111040090000</v>
      </c>
      <c r="BC2446" s="1">
        <v>2678.0</v>
      </c>
      <c r="BD2446" s="1">
        <v>450000.0</v>
      </c>
      <c r="BE2446" s="2">
        <v>42026.0</v>
      </c>
      <c r="BF2446" s="2" t="s">
        <v>22273</v>
      </c>
      <c r="BG2446" s="1" t="s">
        <v>2011</v>
      </c>
      <c r="BH2446" s="1">
        <v>0.0</v>
      </c>
      <c r="BI2446" s="1" t="s">
        <v>2012</v>
      </c>
      <c r="BJ2446" s="1" t="s">
        <v>1714</v>
      </c>
      <c r="BK2446" s="1" t="s">
        <v>204</v>
      </c>
      <c r="BL2446" s="1" t="str">
        <f>"24"</f>
        <v>24</v>
      </c>
      <c r="BM2446" s="1" t="str">
        <f>""</f>
        <v/>
      </c>
      <c r="BN2446" s="1">
        <v>26.0</v>
      </c>
      <c r="BQ2446" s="1">
        <v>220.0</v>
      </c>
      <c r="BR2446" s="1">
        <v>220.0</v>
      </c>
      <c r="BS2446" s="1">
        <v>220.0</v>
      </c>
      <c r="BU2446" s="1" t="s">
        <v>639</v>
      </c>
      <c r="BV2446" s="1" t="s">
        <v>206</v>
      </c>
      <c r="BW2446" s="1" t="s">
        <v>207</v>
      </c>
      <c r="BX2446" s="1" t="s">
        <v>1549</v>
      </c>
      <c r="BY2446" s="1" t="s">
        <v>260</v>
      </c>
      <c r="BZ2446" s="1" t="s">
        <v>206</v>
      </c>
      <c r="CA2446" s="1" t="s">
        <v>207</v>
      </c>
      <c r="CB2446" s="1" t="s">
        <v>229</v>
      </c>
      <c r="CC2446" s="1" t="s">
        <v>363</v>
      </c>
      <c r="CD2446" s="1" t="s">
        <v>206</v>
      </c>
      <c r="CE2446" s="1" t="s">
        <v>207</v>
      </c>
      <c r="CF2446" s="1" t="s">
        <v>1549</v>
      </c>
      <c r="CG2446" s="1" t="s">
        <v>212</v>
      </c>
      <c r="CH2446" s="1" t="s">
        <v>206</v>
      </c>
      <c r="CI2446" s="1" t="s">
        <v>207</v>
      </c>
      <c r="CJ2446" s="1" t="s">
        <v>229</v>
      </c>
      <c r="CK2446" s="1" t="s">
        <v>212</v>
      </c>
      <c r="CL2446" s="1" t="s">
        <v>206</v>
      </c>
      <c r="CM2446" s="1" t="s">
        <v>207</v>
      </c>
      <c r="CN2446" s="1" t="s">
        <v>229</v>
      </c>
      <c r="CO2446" s="1" t="s">
        <v>363</v>
      </c>
      <c r="CP2446" s="1" t="s">
        <v>267</v>
      </c>
      <c r="CQ2446" s="1" t="s">
        <v>210</v>
      </c>
      <c r="CR2446" s="1" t="s">
        <v>229</v>
      </c>
      <c r="CS2446" s="1" t="s">
        <v>664</v>
      </c>
      <c r="CT2446" s="1" t="s">
        <v>206</v>
      </c>
      <c r="CU2446" s="1" t="s">
        <v>207</v>
      </c>
      <c r="CV2446" s="1" t="s">
        <v>1549</v>
      </c>
      <c r="CW2446" s="1" t="s">
        <v>1378</v>
      </c>
      <c r="CX2446" s="1" t="s">
        <v>267</v>
      </c>
      <c r="CY2446" s="1" t="s">
        <v>210</v>
      </c>
      <c r="CZ2446" s="1" t="s">
        <v>229</v>
      </c>
      <c r="DA2446" s="1" t="s">
        <v>200</v>
      </c>
      <c r="DC2446" s="1" t="s">
        <v>517</v>
      </c>
      <c r="DD2446" s="1" t="s">
        <v>436</v>
      </c>
      <c r="DE2446" s="1" t="s">
        <v>273</v>
      </c>
      <c r="DF2446" s="1" t="s">
        <v>619</v>
      </c>
      <c r="DG2446" s="1" t="s">
        <v>2123</v>
      </c>
      <c r="DH2446" s="1" t="s">
        <v>856</v>
      </c>
      <c r="DI2446" s="1" t="s">
        <v>22274</v>
      </c>
      <c r="DJ2446" s="1" t="s">
        <v>857</v>
      </c>
      <c r="DK2446" s="1" t="s">
        <v>223</v>
      </c>
      <c r="DL2446" s="1" t="s">
        <v>224</v>
      </c>
      <c r="DM2446" s="1" t="s">
        <v>338</v>
      </c>
      <c r="DN2446" s="1" t="s">
        <v>666</v>
      </c>
      <c r="DO2446" s="1" t="s">
        <v>22275</v>
      </c>
      <c r="DQ2446" s="1" t="s">
        <v>931</v>
      </c>
      <c r="DR2446" s="1" t="s">
        <v>229</v>
      </c>
      <c r="DU2446" s="1" t="s">
        <v>22276</v>
      </c>
      <c r="DV2446" s="1" t="s">
        <v>232</v>
      </c>
      <c r="DW2446" s="1" t="s">
        <v>764</v>
      </c>
      <c r="DX2446" s="1" t="s">
        <v>234</v>
      </c>
      <c r="DY2446" s="1" t="s">
        <v>553</v>
      </c>
      <c r="DZ2446" s="1" t="s">
        <v>310</v>
      </c>
      <c r="EA2446" s="1" t="s">
        <v>683</v>
      </c>
      <c r="EB2446" s="1" t="s">
        <v>345</v>
      </c>
      <c r="EC2446" s="1" t="s">
        <v>22277</v>
      </c>
      <c r="ED2446" s="1" t="s">
        <v>6543</v>
      </c>
      <c r="EM2446" s="1" t="s">
        <v>238</v>
      </c>
      <c r="EQ2446" s="1" t="s">
        <v>238</v>
      </c>
      <c r="EU2446" s="1" t="s">
        <v>238</v>
      </c>
      <c r="EY2446" s="1" t="s">
        <v>238</v>
      </c>
      <c r="FC2446" s="1" t="s">
        <v>238</v>
      </c>
      <c r="FF2446" s="1" t="s">
        <v>239</v>
      </c>
      <c r="FG2446" s="1" t="s">
        <v>192</v>
      </c>
      <c r="FH2446" s="1" t="s">
        <v>192</v>
      </c>
      <c r="FJ2446" s="1" t="s">
        <v>1469</v>
      </c>
      <c r="FK2446" s="1" t="s">
        <v>229</v>
      </c>
      <c r="FL2446" s="1" t="s">
        <v>456</v>
      </c>
      <c r="FM2446" s="1">
        <v>6026.0</v>
      </c>
      <c r="FN2446" s="1" t="s">
        <v>3545</v>
      </c>
      <c r="FO2446" s="1" t="s">
        <v>22278</v>
      </c>
      <c r="FP2446" s="1">
        <v>62523.0</v>
      </c>
      <c r="FQ2446" s="1" t="s">
        <v>22279</v>
      </c>
      <c r="FU2446" s="1" t="s">
        <v>22280</v>
      </c>
      <c r="FV2446" s="1" t="s">
        <v>200</v>
      </c>
      <c r="FW2446" s="1" t="s">
        <v>1511</v>
      </c>
      <c r="FX2446" s="1" t="s">
        <v>246</v>
      </c>
      <c r="FZ2446" s="1" t="s">
        <v>229</v>
      </c>
      <c r="GA2446" s="1" t="s">
        <v>291</v>
      </c>
      <c r="GB2446" s="2">
        <v>42125.0</v>
      </c>
      <c r="GC2446" s="1" t="s">
        <v>22281</v>
      </c>
    </row>
    <row r="2447">
      <c r="A2447" s="1">
        <v>339000.0</v>
      </c>
      <c r="B2447" s="1" t="s">
        <v>185</v>
      </c>
      <c r="C2447" s="1" t="str">
        <f>"08820129"</f>
        <v>08820129</v>
      </c>
      <c r="D2447" s="1" t="s">
        <v>186</v>
      </c>
      <c r="F2447" s="1" t="str">
        <f>"123"</f>
        <v>123</v>
      </c>
      <c r="G2447" s="2">
        <v>42024.0</v>
      </c>
      <c r="H2447" s="1">
        <v>349900.0</v>
      </c>
      <c r="I2447" s="1">
        <v>36.0</v>
      </c>
      <c r="J2447" s="1">
        <v>349900.0</v>
      </c>
      <c r="K2447" s="2">
        <v>42059.0</v>
      </c>
      <c r="L2447" s="1">
        <v>36.0</v>
      </c>
      <c r="M2447" s="2">
        <v>42059.0</v>
      </c>
      <c r="N2447" s="1" t="s">
        <v>249</v>
      </c>
      <c r="O2447" s="2">
        <v>42076.0</v>
      </c>
      <c r="P2447" s="1">
        <v>234282.0</v>
      </c>
      <c r="Q2447" s="1">
        <v>23030.0</v>
      </c>
      <c r="S2447" s="1">
        <v>315.0</v>
      </c>
      <c r="T2447" s="1" t="s">
        <v>463</v>
      </c>
      <c r="U2447" s="1" t="s">
        <v>569</v>
      </c>
      <c r="V2447" s="1" t="s">
        <v>465</v>
      </c>
      <c r="W2447" s="1">
        <v>60124.0</v>
      </c>
      <c r="Y2447" s="1" t="s">
        <v>22282</v>
      </c>
      <c r="Z2447" s="1">
        <v>2005.0</v>
      </c>
      <c r="AA2447" s="1" t="s">
        <v>200</v>
      </c>
      <c r="AB2447" s="1" t="s">
        <v>193</v>
      </c>
      <c r="AC2447" s="1" t="s">
        <v>13378</v>
      </c>
      <c r="AD2447" s="1" t="s">
        <v>469</v>
      </c>
      <c r="AE2447" s="1" t="s">
        <v>325</v>
      </c>
      <c r="AF2447" s="1" t="s">
        <v>572</v>
      </c>
      <c r="AG2447" s="1" t="s">
        <v>7246</v>
      </c>
      <c r="AH2447" s="1" t="s">
        <v>22283</v>
      </c>
      <c r="AI2447" s="1">
        <v>0.49</v>
      </c>
      <c r="AK2447" s="1">
        <v>11.0</v>
      </c>
      <c r="AL2447" s="1">
        <v>4.0</v>
      </c>
      <c r="AM2447" s="1">
        <v>2.0</v>
      </c>
      <c r="AN2447" s="1">
        <v>1.0</v>
      </c>
      <c r="AO2447" s="1" t="s">
        <v>198</v>
      </c>
      <c r="AP2447" s="1">
        <v>1.0</v>
      </c>
      <c r="AQ2447" s="1" t="s">
        <v>472</v>
      </c>
      <c r="AR2447" s="1" t="s">
        <v>200</v>
      </c>
      <c r="AS2447" s="1" t="s">
        <v>199</v>
      </c>
      <c r="AT2447" s="1">
        <v>3.0</v>
      </c>
      <c r="AV2447" s="1" t="s">
        <v>200</v>
      </c>
      <c r="AW2447" s="1">
        <v>10284.46</v>
      </c>
      <c r="AX2447" s="1">
        <v>2013.0</v>
      </c>
      <c r="AY2447" s="1" t="s">
        <v>387</v>
      </c>
      <c r="AZ2447" s="1" t="s">
        <v>200</v>
      </c>
      <c r="BA2447" s="1" t="str">
        <f>"0524426008"</f>
        <v>0524426008</v>
      </c>
      <c r="BB2447" s="1" t="s">
        <v>200</v>
      </c>
      <c r="BC2447" s="1">
        <v>3106.0</v>
      </c>
      <c r="BD2447" s="1">
        <v>339000.0</v>
      </c>
      <c r="BE2447" s="2">
        <v>42024.0</v>
      </c>
      <c r="BF2447" s="2" t="s">
        <v>22284</v>
      </c>
      <c r="BH2447" s="1">
        <v>35.0</v>
      </c>
      <c r="BK2447" s="1" t="s">
        <v>474</v>
      </c>
      <c r="BL2447" s="1" t="str">
        <f t="shared" ref="BL2447:BM2447" si="1594">""</f>
        <v/>
      </c>
      <c r="BM2447" s="1" t="str">
        <f t="shared" si="1594"/>
        <v/>
      </c>
      <c r="BQ2447" s="1">
        <v>301.0</v>
      </c>
      <c r="BR2447" s="1">
        <v>301.0</v>
      </c>
      <c r="BS2447" s="1">
        <v>301.0</v>
      </c>
      <c r="BU2447" s="1" t="s">
        <v>302</v>
      </c>
      <c r="BV2447" s="1" t="s">
        <v>206</v>
      </c>
      <c r="BW2447" s="1" t="s">
        <v>210</v>
      </c>
      <c r="BY2447" s="1" t="s">
        <v>334</v>
      </c>
      <c r="BZ2447" s="1" t="s">
        <v>209</v>
      </c>
      <c r="CA2447" s="1" t="s">
        <v>210</v>
      </c>
      <c r="CC2447" s="1" t="s">
        <v>302</v>
      </c>
      <c r="CD2447" s="1" t="s">
        <v>206</v>
      </c>
      <c r="CE2447" s="1" t="s">
        <v>210</v>
      </c>
      <c r="CG2447" s="1" t="s">
        <v>699</v>
      </c>
      <c r="CH2447" s="1" t="s">
        <v>209</v>
      </c>
      <c r="CI2447" s="1" t="s">
        <v>210</v>
      </c>
      <c r="CK2447" s="1" t="s">
        <v>2459</v>
      </c>
      <c r="CL2447" s="1" t="s">
        <v>209</v>
      </c>
      <c r="CM2447" s="1" t="s">
        <v>210</v>
      </c>
      <c r="CO2447" s="1" t="s">
        <v>264</v>
      </c>
      <c r="CP2447" s="1" t="s">
        <v>209</v>
      </c>
      <c r="CQ2447" s="1" t="s">
        <v>210</v>
      </c>
      <c r="CS2447" s="1" t="s">
        <v>300</v>
      </c>
      <c r="CT2447" s="1" t="s">
        <v>206</v>
      </c>
      <c r="CU2447" s="1" t="s">
        <v>268</v>
      </c>
      <c r="CW2447" s="1" t="s">
        <v>334</v>
      </c>
      <c r="CX2447" s="1" t="s">
        <v>206</v>
      </c>
      <c r="CY2447" s="1" t="s">
        <v>210</v>
      </c>
      <c r="DA2447" s="1" t="s">
        <v>200</v>
      </c>
      <c r="DC2447" s="1" t="s">
        <v>481</v>
      </c>
      <c r="DD2447" s="1" t="s">
        <v>336</v>
      </c>
      <c r="DE2447" s="1" t="s">
        <v>273</v>
      </c>
      <c r="DF2447" s="1" t="s">
        <v>219</v>
      </c>
      <c r="DG2447" s="1" t="s">
        <v>482</v>
      </c>
      <c r="DH2447" s="1" t="s">
        <v>220</v>
      </c>
      <c r="DI2447" s="1" t="s">
        <v>22285</v>
      </c>
      <c r="DJ2447" s="1" t="s">
        <v>222</v>
      </c>
      <c r="DL2447" s="1" t="s">
        <v>223</v>
      </c>
      <c r="DM2447" s="1" t="s">
        <v>229</v>
      </c>
      <c r="DN2447" s="1" t="s">
        <v>485</v>
      </c>
      <c r="DO2447" s="1" t="s">
        <v>717</v>
      </c>
      <c r="DP2447" s="1" t="s">
        <v>340</v>
      </c>
      <c r="DQ2447" s="1" t="s">
        <v>441</v>
      </c>
      <c r="DR2447" s="1" t="s">
        <v>1185</v>
      </c>
      <c r="DS2447" s="1" t="s">
        <v>230</v>
      </c>
      <c r="DU2447" s="1" t="s">
        <v>14023</v>
      </c>
      <c r="DV2447" s="1" t="s">
        <v>1841</v>
      </c>
      <c r="DW2447" s="1" t="s">
        <v>1026</v>
      </c>
      <c r="DX2447" s="1" t="s">
        <v>234</v>
      </c>
      <c r="DY2447" s="1" t="s">
        <v>490</v>
      </c>
      <c r="DZ2447" s="1" t="s">
        <v>236</v>
      </c>
      <c r="EA2447" s="1" t="s">
        <v>344</v>
      </c>
      <c r="EB2447" s="1" t="s">
        <v>345</v>
      </c>
      <c r="EC2447" s="1" t="s">
        <v>237</v>
      </c>
      <c r="ED2447" s="1" t="s">
        <v>555</v>
      </c>
      <c r="EG2447" s="1" t="s">
        <v>556</v>
      </c>
      <c r="EH2447" s="1" t="s">
        <v>494</v>
      </c>
      <c r="EI2447" s="1" t="s">
        <v>341</v>
      </c>
      <c r="EL2447" s="1" t="s">
        <v>475</v>
      </c>
      <c r="EM2447" s="1" t="s">
        <v>206</v>
      </c>
      <c r="EN2447" s="1" t="s">
        <v>268</v>
      </c>
      <c r="EP2447" s="1" t="s">
        <v>269</v>
      </c>
      <c r="EQ2447" s="1" t="s">
        <v>206</v>
      </c>
      <c r="ER2447" s="1" t="s">
        <v>210</v>
      </c>
      <c r="ET2447" s="1" t="s">
        <v>300</v>
      </c>
      <c r="EU2447" s="1" t="s">
        <v>209</v>
      </c>
      <c r="EV2447" s="1" t="s">
        <v>210</v>
      </c>
      <c r="EY2447" s="1" t="s">
        <v>238</v>
      </c>
      <c r="FC2447" s="1" t="s">
        <v>238</v>
      </c>
      <c r="FF2447" s="1" t="s">
        <v>239</v>
      </c>
      <c r="FG2447" s="1" t="s">
        <v>192</v>
      </c>
      <c r="FH2447" s="1" t="s">
        <v>192</v>
      </c>
      <c r="FJ2447" s="1" t="s">
        <v>22286</v>
      </c>
      <c r="FK2447" s="1" t="s">
        <v>229</v>
      </c>
      <c r="FL2447" s="1" t="s">
        <v>1031</v>
      </c>
      <c r="FM2447" s="1">
        <v>222.0</v>
      </c>
      <c r="FN2447" s="1" t="s">
        <v>1032</v>
      </c>
      <c r="FO2447" s="1" t="s">
        <v>1033</v>
      </c>
      <c r="FP2447" s="1">
        <v>1305.0</v>
      </c>
      <c r="FQ2447" s="1" t="s">
        <v>1034</v>
      </c>
      <c r="FU2447" s="1" t="s">
        <v>22287</v>
      </c>
      <c r="FV2447" s="1" t="s">
        <v>200</v>
      </c>
      <c r="FW2447" s="1" t="s">
        <v>290</v>
      </c>
      <c r="FZ2447" s="1" t="s">
        <v>229</v>
      </c>
      <c r="GA2447" s="1" t="s">
        <v>291</v>
      </c>
      <c r="GB2447" s="2">
        <v>42076.0</v>
      </c>
    </row>
    <row r="2448">
      <c r="A2448" s="1">
        <v>15500.0</v>
      </c>
      <c r="B2448" s="1" t="s">
        <v>185</v>
      </c>
      <c r="C2448" s="1" t="str">
        <f>"08825461"</f>
        <v>08825461</v>
      </c>
      <c r="D2448" s="1" t="s">
        <v>186</v>
      </c>
      <c r="F2448" s="1" t="str">
        <f>"8067"</f>
        <v>8067</v>
      </c>
      <c r="G2448" s="2">
        <v>42031.0</v>
      </c>
      <c r="H2448" s="1">
        <v>15000.0</v>
      </c>
      <c r="I2448" s="1">
        <v>222.0</v>
      </c>
      <c r="J2448" s="1">
        <v>15000.0</v>
      </c>
      <c r="K2448" s="2">
        <v>42066.0</v>
      </c>
      <c r="L2448" s="1">
        <v>36.0</v>
      </c>
      <c r="M2448" s="2">
        <v>42066.0</v>
      </c>
      <c r="N2448" s="1" t="s">
        <v>249</v>
      </c>
      <c r="O2448" s="2">
        <v>42076.0</v>
      </c>
      <c r="P2448" s="1">
        <v>162465.0</v>
      </c>
      <c r="Q2448" s="1">
        <v>84082.0</v>
      </c>
      <c r="S2448" s="1">
        <v>5541.0</v>
      </c>
      <c r="T2448" s="1" t="s">
        <v>6006</v>
      </c>
      <c r="U2448" s="1" t="s">
        <v>320</v>
      </c>
      <c r="V2448" s="1" t="s">
        <v>190</v>
      </c>
      <c r="W2448" s="1">
        <v>60636.0</v>
      </c>
      <c r="Y2448" s="1" t="s">
        <v>22288</v>
      </c>
      <c r="Z2448" s="1">
        <v>1895.0</v>
      </c>
      <c r="AA2448" s="1" t="s">
        <v>192</v>
      </c>
      <c r="AB2448" s="1" t="s">
        <v>193</v>
      </c>
      <c r="AD2448" s="1" t="s">
        <v>194</v>
      </c>
      <c r="AE2448" s="1" t="s">
        <v>195</v>
      </c>
      <c r="AF2448" s="1" t="s">
        <v>659</v>
      </c>
      <c r="AH2448" s="1" t="s">
        <v>22289</v>
      </c>
      <c r="AK2448" s="1">
        <v>6.0</v>
      </c>
      <c r="AL2448" s="1">
        <v>4.0</v>
      </c>
      <c r="AM2448" s="1">
        <v>1.0</v>
      </c>
      <c r="AN2448" s="1">
        <v>0.0</v>
      </c>
      <c r="AO2448" s="1" t="s">
        <v>229</v>
      </c>
      <c r="AQ2448" s="1" t="s">
        <v>198</v>
      </c>
      <c r="AR2448" s="1" t="s">
        <v>200</v>
      </c>
      <c r="AS2448" s="1" t="s">
        <v>229</v>
      </c>
      <c r="AV2448" s="1" t="s">
        <v>200</v>
      </c>
      <c r="AW2448" s="1">
        <v>1109.18</v>
      </c>
      <c r="AX2448" s="1">
        <v>2013.0</v>
      </c>
      <c r="AZ2448" s="1" t="s">
        <v>200</v>
      </c>
      <c r="BA2448" s="1" t="str">
        <f>"20171060170000"</f>
        <v>20171060170000</v>
      </c>
      <c r="BC2448" s="1">
        <v>903.0</v>
      </c>
      <c r="BD2448" s="1">
        <v>15500.0</v>
      </c>
      <c r="BE2448" s="2">
        <v>42031.0</v>
      </c>
      <c r="BF2448" s="2" t="s">
        <v>22290</v>
      </c>
      <c r="BH2448" s="1">
        <v>0.0</v>
      </c>
      <c r="BK2448" s="1" t="s">
        <v>204</v>
      </c>
      <c r="BL2448" s="1" t="str">
        <f t="shared" ref="BL2448:BM2448" si="1595">"0"</f>
        <v>0</v>
      </c>
      <c r="BM2448" s="1" t="str">
        <f t="shared" si="1595"/>
        <v>0</v>
      </c>
      <c r="BN2448" s="1">
        <v>1250.0</v>
      </c>
      <c r="BO2448" s="1">
        <v>5541.0</v>
      </c>
      <c r="BQ2448" s="1">
        <v>299.0</v>
      </c>
      <c r="BR2448" s="1">
        <v>299.0</v>
      </c>
      <c r="BS2448" s="1">
        <v>299.0</v>
      </c>
      <c r="BU2448" s="1" t="s">
        <v>3893</v>
      </c>
      <c r="BV2448" s="1" t="s">
        <v>206</v>
      </c>
      <c r="BY2448" s="1" t="s">
        <v>363</v>
      </c>
      <c r="BZ2448" s="1" t="s">
        <v>209</v>
      </c>
      <c r="CD2448" s="1" t="s">
        <v>204</v>
      </c>
      <c r="CG2448" s="1" t="s">
        <v>363</v>
      </c>
      <c r="CH2448" s="1" t="s">
        <v>209</v>
      </c>
      <c r="CK2448" s="1" t="s">
        <v>1351</v>
      </c>
      <c r="CL2448" s="1" t="s">
        <v>209</v>
      </c>
      <c r="CO2448" s="1" t="s">
        <v>1584</v>
      </c>
      <c r="CP2448" s="1" t="s">
        <v>209</v>
      </c>
      <c r="CS2448" s="1" t="s">
        <v>543</v>
      </c>
      <c r="CT2448" s="1" t="s">
        <v>206</v>
      </c>
      <c r="CX2448" s="1" t="s">
        <v>204</v>
      </c>
      <c r="DA2448" s="1" t="s">
        <v>200</v>
      </c>
      <c r="DC2448" s="1" t="s">
        <v>642</v>
      </c>
      <c r="DE2448" s="1" t="s">
        <v>229</v>
      </c>
      <c r="DF2448" s="1" t="s">
        <v>905</v>
      </c>
      <c r="DH2448" s="1" t="s">
        <v>307</v>
      </c>
      <c r="DJ2448" s="1" t="s">
        <v>222</v>
      </c>
      <c r="DL2448" s="1" t="s">
        <v>223</v>
      </c>
      <c r="DM2448" s="1" t="s">
        <v>1247</v>
      </c>
      <c r="DQ2448" s="1" t="s">
        <v>718</v>
      </c>
      <c r="DR2448" s="1" t="s">
        <v>229</v>
      </c>
      <c r="DV2448" s="1" t="s">
        <v>232</v>
      </c>
      <c r="DW2448" s="1" t="s">
        <v>832</v>
      </c>
      <c r="DX2448" s="1" t="s">
        <v>234</v>
      </c>
      <c r="EC2448" s="1" t="s">
        <v>685</v>
      </c>
      <c r="EE2448" s="1" t="s">
        <v>1673</v>
      </c>
      <c r="EM2448" s="1" t="s">
        <v>238</v>
      </c>
      <c r="EQ2448" s="1" t="s">
        <v>238</v>
      </c>
      <c r="EU2448" s="1" t="s">
        <v>238</v>
      </c>
      <c r="EY2448" s="1" t="s">
        <v>238</v>
      </c>
      <c r="FC2448" s="1" t="s">
        <v>238</v>
      </c>
      <c r="FF2448" s="1" t="s">
        <v>229</v>
      </c>
      <c r="FG2448" s="1" t="s">
        <v>200</v>
      </c>
      <c r="FH2448" s="1" t="s">
        <v>200</v>
      </c>
      <c r="FJ2448" s="1" t="s">
        <v>524</v>
      </c>
      <c r="FK2448" s="1" t="s">
        <v>229</v>
      </c>
      <c r="FL2448" s="1" t="s">
        <v>22291</v>
      </c>
      <c r="FM2448" s="1">
        <v>84082.0</v>
      </c>
      <c r="FN2448" s="1" t="s">
        <v>22292</v>
      </c>
      <c r="FO2448" s="1" t="s">
        <v>22293</v>
      </c>
      <c r="FP2448" s="1">
        <v>172792.0</v>
      </c>
      <c r="FQ2448" s="1" t="s">
        <v>22294</v>
      </c>
      <c r="FR2448" s="1">
        <v>162465.0</v>
      </c>
      <c r="FU2448" s="1" t="s">
        <v>22295</v>
      </c>
      <c r="FV2448" s="1" t="s">
        <v>200</v>
      </c>
      <c r="FW2448" s="1" t="s">
        <v>530</v>
      </c>
      <c r="FX2448" s="1" t="s">
        <v>655</v>
      </c>
      <c r="FZ2448" s="1" t="s">
        <v>229</v>
      </c>
      <c r="GA2448" s="1" t="s">
        <v>291</v>
      </c>
      <c r="GB2448" s="2">
        <v>42077.0</v>
      </c>
      <c r="GC2448" s="1" t="s">
        <v>22296</v>
      </c>
    </row>
    <row r="2449">
      <c r="A2449" s="1">
        <v>223380.0</v>
      </c>
      <c r="B2449" s="1" t="s">
        <v>185</v>
      </c>
      <c r="C2449" s="1" t="str">
        <f>"08817906"</f>
        <v>08817906</v>
      </c>
      <c r="D2449" s="1" t="s">
        <v>186</v>
      </c>
      <c r="F2449" s="1" t="str">
        <f>"8046"</f>
        <v>8046</v>
      </c>
      <c r="G2449" s="2">
        <v>42020.0</v>
      </c>
      <c r="H2449" s="1">
        <v>219000.0</v>
      </c>
      <c r="I2449" s="1">
        <v>36.0</v>
      </c>
      <c r="J2449" s="1">
        <v>219000.0</v>
      </c>
      <c r="K2449" s="2">
        <v>42055.0</v>
      </c>
      <c r="L2449" s="1">
        <v>36.0</v>
      </c>
      <c r="M2449" s="2">
        <v>42055.0</v>
      </c>
      <c r="N2449" s="1" t="s">
        <v>356</v>
      </c>
      <c r="O2449" s="2">
        <v>42100.0</v>
      </c>
      <c r="P2449" s="1">
        <v>185673.0</v>
      </c>
      <c r="Q2449" s="1">
        <v>85088.0</v>
      </c>
      <c r="R2449" s="1">
        <v>4468.0</v>
      </c>
      <c r="S2449" s="1">
        <v>8034.0</v>
      </c>
      <c r="T2449" s="1" t="s">
        <v>7705</v>
      </c>
      <c r="U2449" s="1" t="s">
        <v>189</v>
      </c>
      <c r="V2449" s="1" t="s">
        <v>190</v>
      </c>
      <c r="W2449" s="1">
        <v>60617.0</v>
      </c>
      <c r="Y2449" s="1" t="s">
        <v>22297</v>
      </c>
      <c r="Z2449" s="1">
        <v>1947.0</v>
      </c>
      <c r="AA2449" s="1" t="s">
        <v>192</v>
      </c>
      <c r="AB2449" s="1" t="s">
        <v>193</v>
      </c>
      <c r="AD2449" s="1" t="s">
        <v>194</v>
      </c>
      <c r="AE2449" s="1" t="s">
        <v>195</v>
      </c>
      <c r="AF2449" s="1" t="s">
        <v>637</v>
      </c>
      <c r="AH2449" s="1" t="s">
        <v>1133</v>
      </c>
      <c r="AK2449" s="1">
        <v>8.0</v>
      </c>
      <c r="AL2449" s="1">
        <v>4.0</v>
      </c>
      <c r="AM2449" s="1">
        <v>3.0</v>
      </c>
      <c r="AN2449" s="1">
        <v>0.0</v>
      </c>
      <c r="AO2449" s="1" t="s">
        <v>229</v>
      </c>
      <c r="AP2449" s="1">
        <v>2.0</v>
      </c>
      <c r="AQ2449" s="1" t="s">
        <v>198</v>
      </c>
      <c r="AR2449" s="1" t="s">
        <v>192</v>
      </c>
      <c r="AS2449" s="1" t="s">
        <v>199</v>
      </c>
      <c r="AT2449" s="1">
        <v>1.1</v>
      </c>
      <c r="AV2449" s="1" t="s">
        <v>200</v>
      </c>
      <c r="AW2449" s="1">
        <v>3556.0</v>
      </c>
      <c r="AX2449" s="1">
        <v>2013.0</v>
      </c>
      <c r="AY2449" s="1" t="s">
        <v>229</v>
      </c>
      <c r="AZ2449" s="1" t="s">
        <v>200</v>
      </c>
      <c r="BA2449" s="1" t="str">
        <f>"20362090230000"</f>
        <v>20362090230000</v>
      </c>
      <c r="BB2449" s="1" t="s">
        <v>200</v>
      </c>
      <c r="BC2449" s="1">
        <v>0.0</v>
      </c>
      <c r="BD2449" s="1">
        <v>223380.0</v>
      </c>
      <c r="BE2449" s="2">
        <v>42020.0</v>
      </c>
      <c r="BF2449" s="2" t="s">
        <v>22298</v>
      </c>
      <c r="BH2449" s="1">
        <v>0.0</v>
      </c>
      <c r="BK2449" s="1" t="s">
        <v>204</v>
      </c>
      <c r="BL2449" s="1" t="str">
        <f>"0"</f>
        <v>0</v>
      </c>
      <c r="BM2449" s="1" t="str">
        <f>"2100"</f>
        <v>2100</v>
      </c>
      <c r="BN2449" s="1">
        <v>0.0</v>
      </c>
      <c r="BO2449" s="1">
        <v>8000.0</v>
      </c>
      <c r="BQ2449" s="1">
        <v>299.0</v>
      </c>
      <c r="BR2449" s="1">
        <v>299.0</v>
      </c>
      <c r="BS2449" s="1">
        <v>299.0</v>
      </c>
      <c r="BU2449" s="1" t="s">
        <v>480</v>
      </c>
      <c r="BV2449" s="1" t="s">
        <v>206</v>
      </c>
      <c r="BW2449" s="1" t="s">
        <v>207</v>
      </c>
      <c r="BY2449" s="1" t="s">
        <v>453</v>
      </c>
      <c r="BZ2449" s="1" t="s">
        <v>209</v>
      </c>
      <c r="CA2449" s="1" t="s">
        <v>207</v>
      </c>
      <c r="CC2449" s="1" t="s">
        <v>205</v>
      </c>
      <c r="CD2449" s="1" t="s">
        <v>206</v>
      </c>
      <c r="CE2449" s="1" t="s">
        <v>207</v>
      </c>
      <c r="CG2449" s="1" t="s">
        <v>616</v>
      </c>
      <c r="CH2449" s="1" t="s">
        <v>209</v>
      </c>
      <c r="CI2449" s="1" t="s">
        <v>207</v>
      </c>
      <c r="CK2449" s="1" t="s">
        <v>264</v>
      </c>
      <c r="CL2449" s="1" t="s">
        <v>209</v>
      </c>
      <c r="CM2449" s="1" t="s">
        <v>207</v>
      </c>
      <c r="CO2449" s="1" t="s">
        <v>497</v>
      </c>
      <c r="CP2449" s="1" t="s">
        <v>206</v>
      </c>
      <c r="CQ2449" s="1" t="s">
        <v>207</v>
      </c>
      <c r="CS2449" s="1" t="s">
        <v>495</v>
      </c>
      <c r="CT2449" s="1" t="s">
        <v>206</v>
      </c>
      <c r="CU2449" s="1" t="s">
        <v>268</v>
      </c>
      <c r="CW2449" s="1" t="s">
        <v>16597</v>
      </c>
      <c r="CX2449" s="1" t="s">
        <v>42</v>
      </c>
      <c r="CY2449" s="1" t="s">
        <v>268</v>
      </c>
      <c r="DA2449" s="1" t="s">
        <v>200</v>
      </c>
      <c r="DC2449" s="1" t="s">
        <v>702</v>
      </c>
      <c r="DE2449" s="1" t="s">
        <v>273</v>
      </c>
      <c r="DF2449" s="1" t="s">
        <v>219</v>
      </c>
      <c r="DH2449" s="1" t="s">
        <v>365</v>
      </c>
      <c r="DI2449" s="1" t="s">
        <v>22299</v>
      </c>
      <c r="DJ2449" s="1" t="s">
        <v>222</v>
      </c>
      <c r="DL2449" s="1" t="s">
        <v>224</v>
      </c>
      <c r="DM2449" s="1" t="s">
        <v>1658</v>
      </c>
      <c r="DN2449" s="1" t="s">
        <v>226</v>
      </c>
      <c r="DO2449" s="1" t="s">
        <v>549</v>
      </c>
      <c r="DP2449" s="1" t="s">
        <v>340</v>
      </c>
      <c r="DQ2449" s="1" t="s">
        <v>228</v>
      </c>
      <c r="DR2449" s="1" t="s">
        <v>229</v>
      </c>
      <c r="DS2449" s="1" t="s">
        <v>230</v>
      </c>
      <c r="DV2449" s="1" t="s">
        <v>1102</v>
      </c>
      <c r="DW2449" s="1" t="s">
        <v>279</v>
      </c>
      <c r="DX2449" s="1" t="s">
        <v>234</v>
      </c>
      <c r="DY2449" s="1" t="s">
        <v>2240</v>
      </c>
      <c r="DZ2449" s="1" t="s">
        <v>22300</v>
      </c>
      <c r="EA2449" s="1" t="s">
        <v>1075</v>
      </c>
      <c r="EB2449" s="1" t="s">
        <v>345</v>
      </c>
      <c r="EC2449" s="1" t="s">
        <v>237</v>
      </c>
      <c r="EE2449" s="1" t="s">
        <v>493</v>
      </c>
      <c r="EG2449" s="1" t="s">
        <v>1102</v>
      </c>
      <c r="EL2449" s="1" t="s">
        <v>1426</v>
      </c>
      <c r="EM2449" s="1" t="s">
        <v>206</v>
      </c>
      <c r="EQ2449" s="1" t="s">
        <v>238</v>
      </c>
      <c r="EU2449" s="1" t="s">
        <v>238</v>
      </c>
      <c r="EY2449" s="1" t="s">
        <v>238</v>
      </c>
      <c r="FC2449" s="1" t="s">
        <v>238</v>
      </c>
      <c r="FF2449" s="1" t="s">
        <v>239</v>
      </c>
      <c r="FG2449" s="1" t="s">
        <v>192</v>
      </c>
      <c r="FH2449" s="1" t="s">
        <v>192</v>
      </c>
      <c r="FJ2449" s="1" t="s">
        <v>13183</v>
      </c>
      <c r="FK2449" s="1" t="s">
        <v>229</v>
      </c>
      <c r="FL2449" s="1" t="s">
        <v>22301</v>
      </c>
      <c r="FM2449" s="1">
        <v>23819.0</v>
      </c>
      <c r="FN2449" s="1" t="s">
        <v>22302</v>
      </c>
      <c r="FO2449" s="1" t="s">
        <v>22301</v>
      </c>
      <c r="FP2449" s="1">
        <v>601452.0</v>
      </c>
      <c r="FQ2449" s="1" t="s">
        <v>22302</v>
      </c>
      <c r="FT2449" s="1" t="s">
        <v>22303</v>
      </c>
      <c r="FU2449" s="1" t="s">
        <v>22304</v>
      </c>
      <c r="FV2449" s="1" t="s">
        <v>200</v>
      </c>
      <c r="FW2449" s="1" t="s">
        <v>22305</v>
      </c>
      <c r="FX2449" s="1" t="s">
        <v>655</v>
      </c>
      <c r="FZ2449" s="1" t="s">
        <v>229</v>
      </c>
      <c r="GA2449" s="1" t="s">
        <v>291</v>
      </c>
      <c r="GB2449" s="2">
        <v>42101.0</v>
      </c>
      <c r="GC2449" s="1" t="s">
        <v>22306</v>
      </c>
    </row>
    <row r="2450">
      <c r="A2450" s="1">
        <v>404000.0</v>
      </c>
      <c r="B2450" s="1" t="s">
        <v>185</v>
      </c>
      <c r="C2450" s="1" t="str">
        <f>"08828442"</f>
        <v>08828442</v>
      </c>
      <c r="D2450" s="1" t="s">
        <v>186</v>
      </c>
      <c r="F2450" s="1" t="str">
        <f>"177"</f>
        <v>177</v>
      </c>
      <c r="G2450" s="2">
        <v>42036.0</v>
      </c>
      <c r="H2450" s="1">
        <v>410000.0</v>
      </c>
      <c r="I2450" s="1">
        <v>22.0</v>
      </c>
      <c r="J2450" s="1">
        <v>410000.0</v>
      </c>
      <c r="K2450" s="2">
        <v>42056.0</v>
      </c>
      <c r="L2450" s="1">
        <v>22.0</v>
      </c>
      <c r="M2450" s="2">
        <v>42056.0</v>
      </c>
      <c r="N2450" s="1" t="s">
        <v>187</v>
      </c>
      <c r="O2450" s="2">
        <v>42124.0</v>
      </c>
      <c r="P2450" s="1">
        <v>7842.0</v>
      </c>
      <c r="Q2450" s="1">
        <v>41.0</v>
      </c>
      <c r="S2450" s="1">
        <v>539.0</v>
      </c>
      <c r="T2450" s="1" t="s">
        <v>22307</v>
      </c>
      <c r="U2450" s="1" t="s">
        <v>569</v>
      </c>
      <c r="V2450" s="1" t="s">
        <v>2249</v>
      </c>
      <c r="W2450" s="1">
        <v>60177.0</v>
      </c>
      <c r="Y2450" s="1" t="s">
        <v>22308</v>
      </c>
      <c r="Z2450" s="1">
        <v>2002.0</v>
      </c>
      <c r="AA2450" s="1" t="s">
        <v>200</v>
      </c>
      <c r="AB2450" s="1" t="s">
        <v>193</v>
      </c>
      <c r="AC2450" s="1" t="s">
        <v>5341</v>
      </c>
      <c r="AD2450" s="1" t="s">
        <v>2252</v>
      </c>
      <c r="AE2450" s="1" t="s">
        <v>325</v>
      </c>
      <c r="AF2450" s="1" t="s">
        <v>1203</v>
      </c>
      <c r="AH2450" s="1" t="s">
        <v>22309</v>
      </c>
      <c r="AK2450" s="1">
        <v>10.0</v>
      </c>
      <c r="AL2450" s="1">
        <v>4.0</v>
      </c>
      <c r="AM2450" s="1">
        <v>3.0</v>
      </c>
      <c r="AN2450" s="1">
        <v>1.0</v>
      </c>
      <c r="AO2450" s="1" t="s">
        <v>198</v>
      </c>
      <c r="AP2450" s="1">
        <v>1.0</v>
      </c>
      <c r="AQ2450" s="1" t="s">
        <v>198</v>
      </c>
      <c r="AR2450" s="1" t="s">
        <v>192</v>
      </c>
      <c r="AS2450" s="1" t="s">
        <v>199</v>
      </c>
      <c r="AT2450" s="1">
        <v>3.0</v>
      </c>
      <c r="AV2450" s="1" t="s">
        <v>200</v>
      </c>
      <c r="AW2450" s="4">
        <v>12579.0</v>
      </c>
      <c r="AX2450" s="1">
        <v>2013.0</v>
      </c>
      <c r="AY2450" s="1" t="s">
        <v>387</v>
      </c>
      <c r="AZ2450" s="1" t="s">
        <v>200</v>
      </c>
      <c r="BA2450" s="1" t="str">
        <f>"0905251036"</f>
        <v>0905251036</v>
      </c>
      <c r="BC2450" s="1">
        <v>2953.0</v>
      </c>
      <c r="BD2450" s="1">
        <v>404000.0</v>
      </c>
      <c r="BE2450" s="2">
        <v>42035.0</v>
      </c>
      <c r="BF2450" s="2" t="s">
        <v>22310</v>
      </c>
      <c r="BG2450" s="1" t="s">
        <v>5221</v>
      </c>
      <c r="BH2450" s="1">
        <v>470.0</v>
      </c>
      <c r="BI2450" s="1" t="s">
        <v>4511</v>
      </c>
      <c r="BJ2450" s="1" t="s">
        <v>2200</v>
      </c>
      <c r="BK2450" s="1" t="s">
        <v>580</v>
      </c>
      <c r="BL2450" s="1" t="str">
        <f t="shared" ref="BL2450:BM2450" si="1596">""</f>
        <v/>
      </c>
      <c r="BM2450" s="1" t="str">
        <f t="shared" si="1596"/>
        <v/>
      </c>
      <c r="BQ2450" s="1">
        <v>303.0</v>
      </c>
      <c r="BR2450" s="1">
        <v>303.0</v>
      </c>
      <c r="BS2450" s="1">
        <v>303.0</v>
      </c>
      <c r="BU2450" s="1" t="s">
        <v>584</v>
      </c>
      <c r="BV2450" s="1" t="s">
        <v>206</v>
      </c>
      <c r="BW2450" s="1" t="s">
        <v>207</v>
      </c>
      <c r="BX2450" s="1" t="s">
        <v>431</v>
      </c>
      <c r="BY2450" s="1" t="s">
        <v>214</v>
      </c>
      <c r="BZ2450" s="1" t="s">
        <v>209</v>
      </c>
      <c r="CA2450" s="1" t="s">
        <v>210</v>
      </c>
      <c r="CB2450" s="1" t="s">
        <v>431</v>
      </c>
      <c r="CC2450" s="1" t="s">
        <v>215</v>
      </c>
      <c r="CD2450" s="1" t="s">
        <v>206</v>
      </c>
      <c r="CE2450" s="1" t="s">
        <v>207</v>
      </c>
      <c r="CF2450" s="1" t="s">
        <v>431</v>
      </c>
      <c r="CG2450" s="1" t="s">
        <v>454</v>
      </c>
      <c r="CH2450" s="1" t="s">
        <v>206</v>
      </c>
      <c r="CI2450" s="1" t="s">
        <v>210</v>
      </c>
      <c r="CJ2450" s="1" t="s">
        <v>431</v>
      </c>
      <c r="CK2450" s="1" t="s">
        <v>332</v>
      </c>
      <c r="CL2450" s="1" t="s">
        <v>209</v>
      </c>
      <c r="CM2450" s="1" t="s">
        <v>210</v>
      </c>
      <c r="CN2450" s="1" t="s">
        <v>431</v>
      </c>
      <c r="CO2450" s="1" t="s">
        <v>215</v>
      </c>
      <c r="CP2450" s="1" t="s">
        <v>209</v>
      </c>
      <c r="CQ2450" s="1" t="s">
        <v>210</v>
      </c>
      <c r="CR2450" s="1" t="s">
        <v>431</v>
      </c>
      <c r="CS2450" s="1" t="s">
        <v>262</v>
      </c>
      <c r="CT2450" s="1" t="s">
        <v>206</v>
      </c>
      <c r="CU2450" s="1" t="s">
        <v>207</v>
      </c>
      <c r="CV2450" s="1" t="s">
        <v>431</v>
      </c>
      <c r="CW2450" s="1" t="s">
        <v>782</v>
      </c>
      <c r="CX2450" s="1" t="s">
        <v>206</v>
      </c>
      <c r="CY2450" s="1" t="s">
        <v>207</v>
      </c>
      <c r="CZ2450" s="1" t="s">
        <v>431</v>
      </c>
      <c r="DA2450" s="1" t="s">
        <v>200</v>
      </c>
      <c r="DC2450" s="1" t="s">
        <v>335</v>
      </c>
      <c r="DD2450" s="1" t="s">
        <v>5553</v>
      </c>
      <c r="DE2450" s="1" t="s">
        <v>273</v>
      </c>
      <c r="DF2450" s="1" t="s">
        <v>219</v>
      </c>
      <c r="DG2450" s="1" t="s">
        <v>6030</v>
      </c>
      <c r="DH2450" s="1" t="s">
        <v>220</v>
      </c>
      <c r="DI2450" s="1" t="s">
        <v>3940</v>
      </c>
      <c r="DJ2450" s="1" t="s">
        <v>222</v>
      </c>
      <c r="DK2450" s="1" t="s">
        <v>4741</v>
      </c>
      <c r="DL2450" s="1" t="s">
        <v>986</v>
      </c>
      <c r="DM2450" s="1" t="s">
        <v>338</v>
      </c>
      <c r="DN2450" s="1" t="s">
        <v>399</v>
      </c>
      <c r="DO2450" s="1" t="s">
        <v>22311</v>
      </c>
      <c r="DP2450" s="1" t="s">
        <v>340</v>
      </c>
      <c r="DQ2450" s="1" t="s">
        <v>441</v>
      </c>
      <c r="DR2450" s="1" t="s">
        <v>3096</v>
      </c>
      <c r="DS2450" s="1" t="s">
        <v>6018</v>
      </c>
      <c r="DV2450" s="1" t="s">
        <v>22312</v>
      </c>
      <c r="DW2450" s="1" t="s">
        <v>444</v>
      </c>
      <c r="DX2450" s="1" t="s">
        <v>234</v>
      </c>
      <c r="DY2450" s="1" t="s">
        <v>1051</v>
      </c>
      <c r="DZ2450" s="1" t="s">
        <v>3232</v>
      </c>
      <c r="EB2450" s="1" t="s">
        <v>684</v>
      </c>
      <c r="EC2450" s="1" t="s">
        <v>237</v>
      </c>
      <c r="ED2450" s="1" t="s">
        <v>407</v>
      </c>
      <c r="EG2450" s="1" t="s">
        <v>598</v>
      </c>
      <c r="EH2450" s="1" t="s">
        <v>450</v>
      </c>
      <c r="EI2450" s="1" t="s">
        <v>1103</v>
      </c>
      <c r="EL2450" s="1" t="s">
        <v>212</v>
      </c>
      <c r="EM2450" s="1" t="s">
        <v>206</v>
      </c>
      <c r="EN2450" s="1" t="s">
        <v>207</v>
      </c>
      <c r="EO2450" s="1" t="s">
        <v>431</v>
      </c>
      <c r="EP2450" s="1" t="s">
        <v>22313</v>
      </c>
      <c r="EQ2450" s="1" t="s">
        <v>267</v>
      </c>
      <c r="ER2450" s="1" t="s">
        <v>210</v>
      </c>
      <c r="ES2450" s="1" t="s">
        <v>431</v>
      </c>
      <c r="ET2450" s="1" t="s">
        <v>454</v>
      </c>
      <c r="EU2450" s="1" t="s">
        <v>267</v>
      </c>
      <c r="EV2450" s="1" t="s">
        <v>588</v>
      </c>
      <c r="EW2450" s="1" t="s">
        <v>229</v>
      </c>
      <c r="EY2450" s="1" t="s">
        <v>238</v>
      </c>
      <c r="FC2450" s="1" t="s">
        <v>238</v>
      </c>
      <c r="FF2450" s="1" t="s">
        <v>239</v>
      </c>
      <c r="FG2450" s="1" t="s">
        <v>192</v>
      </c>
      <c r="FH2450" s="1" t="s">
        <v>192</v>
      </c>
      <c r="FJ2450" s="1" t="s">
        <v>22314</v>
      </c>
      <c r="FK2450" s="1" t="s">
        <v>229</v>
      </c>
      <c r="FL2450" s="1" t="s">
        <v>22315</v>
      </c>
      <c r="FM2450" s="1">
        <v>130.0</v>
      </c>
      <c r="FN2450" s="1" t="s">
        <v>22316</v>
      </c>
      <c r="FO2450" s="1" t="s">
        <v>22317</v>
      </c>
      <c r="FP2450" s="1">
        <v>345.0</v>
      </c>
      <c r="FQ2450" s="1" t="s">
        <v>22316</v>
      </c>
      <c r="FS2450" s="1" t="s">
        <v>22318</v>
      </c>
      <c r="FU2450" s="1" t="s">
        <v>22319</v>
      </c>
      <c r="FV2450" s="1" t="s">
        <v>200</v>
      </c>
      <c r="FW2450" s="1" t="s">
        <v>290</v>
      </c>
      <c r="FZ2450" s="1" t="s">
        <v>229</v>
      </c>
      <c r="GA2450" s="1" t="s">
        <v>291</v>
      </c>
      <c r="GB2450" s="2">
        <v>42128.0</v>
      </c>
      <c r="GC2450" s="1" t="s">
        <v>22320</v>
      </c>
    </row>
    <row r="2451">
      <c r="A2451" s="1">
        <v>215000.0</v>
      </c>
      <c r="B2451" s="1" t="s">
        <v>185</v>
      </c>
      <c r="C2451" s="1" t="str">
        <f>"08816047"</f>
        <v>08816047</v>
      </c>
      <c r="D2451" s="1" t="s">
        <v>186</v>
      </c>
      <c r="F2451" s="1" t="str">
        <f>"8072"</f>
        <v>8072</v>
      </c>
      <c r="G2451" s="2">
        <v>42018.0</v>
      </c>
      <c r="H2451" s="1">
        <v>229900.0</v>
      </c>
      <c r="I2451" s="1">
        <v>311.0</v>
      </c>
      <c r="J2451" s="1">
        <v>229900.0</v>
      </c>
      <c r="K2451" s="2">
        <v>42114.0</v>
      </c>
      <c r="L2451" s="1">
        <v>97.0</v>
      </c>
      <c r="M2451" s="2">
        <v>42114.0</v>
      </c>
      <c r="N2451" s="1" t="s">
        <v>187</v>
      </c>
      <c r="O2451" s="2">
        <v>42139.0</v>
      </c>
      <c r="P2451" s="1">
        <v>121433.0</v>
      </c>
      <c r="Q2451" s="1">
        <v>16700.0</v>
      </c>
      <c r="R2451" s="1">
        <v>5000.0</v>
      </c>
      <c r="S2451" s="1">
        <v>1432.0</v>
      </c>
      <c r="T2451" s="1" t="s">
        <v>7542</v>
      </c>
      <c r="U2451" s="1" t="s">
        <v>694</v>
      </c>
      <c r="V2451" s="1" t="s">
        <v>190</v>
      </c>
      <c r="W2451" s="1">
        <v>60643.0</v>
      </c>
      <c r="Y2451" s="1" t="s">
        <v>22321</v>
      </c>
      <c r="Z2451" s="1">
        <v>1922.0</v>
      </c>
      <c r="AA2451" s="1" t="s">
        <v>192</v>
      </c>
      <c r="AB2451" s="1" t="s">
        <v>193</v>
      </c>
      <c r="AD2451" s="1" t="s">
        <v>194</v>
      </c>
      <c r="AE2451" s="1" t="s">
        <v>195</v>
      </c>
      <c r="AF2451" s="1" t="s">
        <v>659</v>
      </c>
      <c r="AH2451" s="1">
        <v>4125.0</v>
      </c>
      <c r="AK2451" s="1">
        <v>8.0</v>
      </c>
      <c r="AL2451" s="1">
        <v>3.0</v>
      </c>
      <c r="AM2451" s="1">
        <v>3.0</v>
      </c>
      <c r="AN2451" s="1">
        <v>1.0</v>
      </c>
      <c r="AO2451" s="1" t="s">
        <v>198</v>
      </c>
      <c r="AQ2451" s="1" t="s">
        <v>198</v>
      </c>
      <c r="AR2451" s="1" t="s">
        <v>192</v>
      </c>
      <c r="AS2451" s="1" t="s">
        <v>199</v>
      </c>
      <c r="AT2451" s="1">
        <v>2.0</v>
      </c>
      <c r="AV2451" s="1" t="s">
        <v>200</v>
      </c>
      <c r="AW2451" s="1">
        <v>2356.0</v>
      </c>
      <c r="AX2451" s="1">
        <v>2013.0</v>
      </c>
      <c r="AY2451" s="1" t="s">
        <v>387</v>
      </c>
      <c r="AZ2451" s="1" t="s">
        <v>200</v>
      </c>
      <c r="BA2451" s="1" t="str">
        <f>"25171120160000"</f>
        <v>25171120160000</v>
      </c>
      <c r="BC2451" s="1">
        <v>2214.0</v>
      </c>
      <c r="BD2451" s="1">
        <v>215000.0</v>
      </c>
      <c r="BE2451" s="2">
        <v>42018.0</v>
      </c>
      <c r="BF2451" s="2" t="s">
        <v>22322</v>
      </c>
      <c r="BH2451" s="1">
        <v>0.0</v>
      </c>
      <c r="BK2451" s="1" t="s">
        <v>204</v>
      </c>
      <c r="BL2451" s="1" t="str">
        <f t="shared" ref="BL2451:BM2451" si="1597">"0"</f>
        <v>0</v>
      </c>
      <c r="BM2451" s="1" t="str">
        <f t="shared" si="1597"/>
        <v>0</v>
      </c>
      <c r="BN2451" s="1">
        <v>1432.0</v>
      </c>
      <c r="BO2451" s="1">
        <v>10550.0</v>
      </c>
      <c r="BQ2451" s="1">
        <v>299.0</v>
      </c>
      <c r="BR2451" s="1">
        <v>299.0</v>
      </c>
      <c r="BS2451" s="1">
        <v>299.0</v>
      </c>
      <c r="BU2451" s="1" t="s">
        <v>730</v>
      </c>
      <c r="BV2451" s="1" t="s">
        <v>206</v>
      </c>
      <c r="BW2451" s="1" t="s">
        <v>207</v>
      </c>
      <c r="BX2451" s="1" t="s">
        <v>431</v>
      </c>
      <c r="BY2451" s="1" t="s">
        <v>433</v>
      </c>
      <c r="BZ2451" s="1" t="s">
        <v>206</v>
      </c>
      <c r="CA2451" s="1" t="s">
        <v>207</v>
      </c>
      <c r="CB2451" s="1" t="s">
        <v>431</v>
      </c>
      <c r="CC2451" s="1" t="s">
        <v>331</v>
      </c>
      <c r="CD2451" s="1" t="s">
        <v>206</v>
      </c>
      <c r="CE2451" s="1" t="s">
        <v>207</v>
      </c>
      <c r="CF2451" s="1" t="s">
        <v>431</v>
      </c>
      <c r="CG2451" s="1" t="s">
        <v>211</v>
      </c>
      <c r="CH2451" s="1" t="s">
        <v>209</v>
      </c>
      <c r="CI2451" s="1" t="s">
        <v>210</v>
      </c>
      <c r="CJ2451" s="1" t="s">
        <v>229</v>
      </c>
      <c r="CK2451" s="1" t="s">
        <v>784</v>
      </c>
      <c r="CL2451" s="1" t="s">
        <v>209</v>
      </c>
      <c r="CM2451" s="1" t="s">
        <v>210</v>
      </c>
      <c r="CN2451" s="1" t="s">
        <v>229</v>
      </c>
      <c r="CO2451" s="1" t="s">
        <v>392</v>
      </c>
      <c r="CP2451" s="1" t="s">
        <v>42</v>
      </c>
      <c r="CQ2451" s="1" t="s">
        <v>268</v>
      </c>
      <c r="CR2451" s="1" t="s">
        <v>229</v>
      </c>
      <c r="CS2451" s="1" t="s">
        <v>972</v>
      </c>
      <c r="CT2451" s="1" t="s">
        <v>206</v>
      </c>
      <c r="CU2451" s="1" t="s">
        <v>207</v>
      </c>
      <c r="CV2451" s="1" t="s">
        <v>431</v>
      </c>
      <c r="CW2451" s="1" t="s">
        <v>22323</v>
      </c>
      <c r="CX2451" s="1" t="s">
        <v>42</v>
      </c>
      <c r="CY2451" s="1" t="s">
        <v>268</v>
      </c>
      <c r="CZ2451" s="1" t="s">
        <v>229</v>
      </c>
      <c r="DA2451" s="1" t="s">
        <v>200</v>
      </c>
      <c r="DC2451" s="1" t="s">
        <v>216</v>
      </c>
      <c r="DD2451" s="1" t="s">
        <v>306</v>
      </c>
      <c r="DE2451" s="1" t="s">
        <v>273</v>
      </c>
      <c r="DF2451" s="1" t="s">
        <v>619</v>
      </c>
      <c r="DG2451" s="1" t="s">
        <v>337</v>
      </c>
      <c r="DH2451" s="1" t="s">
        <v>220</v>
      </c>
      <c r="DI2451" s="1" t="s">
        <v>366</v>
      </c>
      <c r="DJ2451" s="1" t="s">
        <v>222</v>
      </c>
      <c r="DL2451" s="1" t="s">
        <v>224</v>
      </c>
      <c r="DM2451" s="1" t="s">
        <v>398</v>
      </c>
      <c r="DN2451" s="1" t="s">
        <v>226</v>
      </c>
      <c r="DO2451" s="1" t="s">
        <v>717</v>
      </c>
      <c r="DP2451" s="1" t="s">
        <v>276</v>
      </c>
      <c r="DQ2451" s="1" t="s">
        <v>228</v>
      </c>
      <c r="DR2451" s="1" t="s">
        <v>229</v>
      </c>
      <c r="DU2451" s="1" t="s">
        <v>681</v>
      </c>
      <c r="DV2451" s="1" t="s">
        <v>409</v>
      </c>
      <c r="DW2451" s="1" t="s">
        <v>279</v>
      </c>
      <c r="DX2451" s="1" t="s">
        <v>5015</v>
      </c>
      <c r="DY2451" s="1" t="s">
        <v>553</v>
      </c>
      <c r="EA2451" s="1" t="s">
        <v>644</v>
      </c>
      <c r="EC2451" s="1" t="s">
        <v>645</v>
      </c>
      <c r="ED2451" s="1" t="s">
        <v>407</v>
      </c>
      <c r="EE2451" s="1" t="s">
        <v>493</v>
      </c>
      <c r="EG2451" s="1" t="s">
        <v>409</v>
      </c>
      <c r="EL2451" s="1" t="s">
        <v>558</v>
      </c>
      <c r="EM2451" s="1" t="s">
        <v>206</v>
      </c>
      <c r="EN2451" s="1" t="s">
        <v>207</v>
      </c>
      <c r="EO2451" s="1" t="s">
        <v>229</v>
      </c>
      <c r="EQ2451" s="1" t="s">
        <v>238</v>
      </c>
      <c r="EU2451" s="1" t="s">
        <v>238</v>
      </c>
      <c r="EY2451" s="1" t="s">
        <v>238</v>
      </c>
      <c r="FC2451" s="1" t="s">
        <v>238</v>
      </c>
      <c r="FF2451" s="1" t="s">
        <v>239</v>
      </c>
      <c r="FG2451" s="1" t="s">
        <v>192</v>
      </c>
      <c r="FH2451" s="1" t="s">
        <v>192</v>
      </c>
      <c r="FJ2451" s="1" t="s">
        <v>524</v>
      </c>
      <c r="FK2451" s="1" t="s">
        <v>229</v>
      </c>
      <c r="FL2451" s="1" t="s">
        <v>8307</v>
      </c>
      <c r="FM2451" s="1">
        <v>24990.0</v>
      </c>
      <c r="FN2451" s="1" t="s">
        <v>8308</v>
      </c>
      <c r="FO2451" s="1" t="s">
        <v>8309</v>
      </c>
      <c r="FP2451" s="1">
        <v>220018.0</v>
      </c>
      <c r="FQ2451" s="1" t="s">
        <v>8308</v>
      </c>
      <c r="FU2451" s="1" t="s">
        <v>7218</v>
      </c>
      <c r="FV2451" s="1" t="s">
        <v>200</v>
      </c>
      <c r="FW2451" s="1" t="s">
        <v>567</v>
      </c>
      <c r="FX2451" s="1" t="s">
        <v>246</v>
      </c>
      <c r="FZ2451" s="1" t="s">
        <v>229</v>
      </c>
      <c r="GA2451" s="1" t="s">
        <v>291</v>
      </c>
      <c r="GB2451" s="2">
        <v>42139.0</v>
      </c>
      <c r="GC2451" s="1" t="s">
        <v>22324</v>
      </c>
    </row>
    <row r="2452">
      <c r="A2452" s="1">
        <v>285000.0</v>
      </c>
      <c r="B2452" s="1" t="s">
        <v>185</v>
      </c>
      <c r="C2452" s="1" t="str">
        <f>"08819574"</f>
        <v>08819574</v>
      </c>
      <c r="D2452" s="1" t="s">
        <v>186</v>
      </c>
      <c r="F2452" s="1" t="str">
        <f>"134"</f>
        <v>134</v>
      </c>
      <c r="G2452" s="2">
        <v>42023.0</v>
      </c>
      <c r="H2452" s="1">
        <v>299900.0</v>
      </c>
      <c r="I2452" s="1">
        <v>26.0</v>
      </c>
      <c r="J2452" s="1">
        <v>299900.0</v>
      </c>
      <c r="K2452" s="2">
        <v>42048.0</v>
      </c>
      <c r="L2452" s="1">
        <v>26.0</v>
      </c>
      <c r="M2452" s="2">
        <v>42048.0</v>
      </c>
      <c r="N2452" s="1" t="s">
        <v>187</v>
      </c>
      <c r="O2452" s="2">
        <v>42118.0</v>
      </c>
      <c r="P2452" s="1">
        <v>86178.0</v>
      </c>
      <c r="Q2452" s="1">
        <v>8056.0</v>
      </c>
      <c r="S2452" s="1">
        <v>6.0</v>
      </c>
      <c r="T2452" s="1" t="s">
        <v>14087</v>
      </c>
      <c r="U2452" s="1" t="s">
        <v>1174</v>
      </c>
      <c r="V2452" s="1" t="s">
        <v>421</v>
      </c>
      <c r="W2452" s="1">
        <v>60134.0</v>
      </c>
      <c r="Y2452" s="1" t="s">
        <v>22325</v>
      </c>
      <c r="Z2452" s="1">
        <v>1977.0</v>
      </c>
      <c r="AA2452" s="1" t="s">
        <v>192</v>
      </c>
      <c r="AB2452" s="1" t="s">
        <v>193</v>
      </c>
      <c r="AC2452" s="1" t="s">
        <v>2688</v>
      </c>
      <c r="AD2452" s="1" t="s">
        <v>424</v>
      </c>
      <c r="AE2452" s="1" t="s">
        <v>325</v>
      </c>
      <c r="AF2452" s="1" t="s">
        <v>424</v>
      </c>
      <c r="AH2452" s="1" t="s">
        <v>22326</v>
      </c>
      <c r="AK2452" s="1">
        <v>8.0</v>
      </c>
      <c r="AL2452" s="1">
        <v>4.0</v>
      </c>
      <c r="AM2452" s="1">
        <v>3.0</v>
      </c>
      <c r="AN2452" s="1">
        <v>0.0</v>
      </c>
      <c r="AO2452" s="1" t="s">
        <v>198</v>
      </c>
      <c r="AP2452" s="1">
        <v>1.0</v>
      </c>
      <c r="AQ2452" s="1" t="s">
        <v>229</v>
      </c>
      <c r="AR2452" s="1" t="s">
        <v>200</v>
      </c>
      <c r="AS2452" s="1" t="s">
        <v>199</v>
      </c>
      <c r="AT2452" s="1">
        <v>2.0</v>
      </c>
      <c r="AV2452" s="1" t="s">
        <v>200</v>
      </c>
      <c r="AW2452" s="1">
        <v>7203.0</v>
      </c>
      <c r="AX2452" s="1">
        <v>2013.0</v>
      </c>
      <c r="AY2452" s="1" t="s">
        <v>387</v>
      </c>
      <c r="AZ2452" s="1" t="s">
        <v>200</v>
      </c>
      <c r="BA2452" s="1" t="str">
        <f>"1204329106"</f>
        <v>1204329106</v>
      </c>
      <c r="BB2452" s="1" t="s">
        <v>200</v>
      </c>
      <c r="BC2452" s="1">
        <v>0.0</v>
      </c>
      <c r="BD2452" s="1">
        <v>285000.0</v>
      </c>
      <c r="BE2452" s="2">
        <v>42023.0</v>
      </c>
      <c r="BF2452" s="2" t="s">
        <v>22327</v>
      </c>
      <c r="BH2452" s="1">
        <v>240.0</v>
      </c>
      <c r="BK2452" s="1" t="s">
        <v>580</v>
      </c>
      <c r="BL2452" s="1" t="str">
        <f t="shared" ref="BL2452:BM2452" si="1598">"0"</f>
        <v>0</v>
      </c>
      <c r="BM2452" s="1" t="str">
        <f t="shared" si="1598"/>
        <v>0</v>
      </c>
      <c r="BN2452" s="1">
        <v>39.0</v>
      </c>
      <c r="BO2452" s="1">
        <v>1.0</v>
      </c>
      <c r="BQ2452" s="1">
        <v>304.0</v>
      </c>
      <c r="BR2452" s="1">
        <v>304.0</v>
      </c>
      <c r="BS2452" s="1">
        <v>304.0</v>
      </c>
      <c r="BU2452" s="1" t="s">
        <v>3475</v>
      </c>
      <c r="BV2452" s="1" t="s">
        <v>206</v>
      </c>
      <c r="BW2452" s="1" t="s">
        <v>207</v>
      </c>
      <c r="BY2452" s="1" t="s">
        <v>454</v>
      </c>
      <c r="BZ2452" s="1" t="s">
        <v>206</v>
      </c>
      <c r="CA2452" s="1" t="s">
        <v>207</v>
      </c>
      <c r="CC2452" s="1" t="s">
        <v>542</v>
      </c>
      <c r="CD2452" s="1" t="s">
        <v>206</v>
      </c>
      <c r="CE2452" s="1" t="s">
        <v>207</v>
      </c>
      <c r="CG2452" s="1" t="s">
        <v>262</v>
      </c>
      <c r="CH2452" s="1" t="s">
        <v>206</v>
      </c>
      <c r="CI2452" s="1" t="s">
        <v>207</v>
      </c>
      <c r="CK2452" s="1" t="s">
        <v>264</v>
      </c>
      <c r="CL2452" s="1" t="s">
        <v>206</v>
      </c>
      <c r="CM2452" s="1" t="s">
        <v>207</v>
      </c>
      <c r="CO2452" s="1" t="s">
        <v>1584</v>
      </c>
      <c r="CP2452" s="1" t="s">
        <v>267</v>
      </c>
      <c r="CQ2452" s="1" t="s">
        <v>301</v>
      </c>
      <c r="CS2452" s="1" t="s">
        <v>1138</v>
      </c>
      <c r="CT2452" s="1" t="s">
        <v>206</v>
      </c>
      <c r="CU2452" s="1" t="s">
        <v>207</v>
      </c>
      <c r="CW2452" s="1" t="s">
        <v>6890</v>
      </c>
      <c r="CX2452" s="1" t="s">
        <v>267</v>
      </c>
      <c r="CY2452" s="1" t="s">
        <v>301</v>
      </c>
      <c r="DA2452" s="1" t="s">
        <v>200</v>
      </c>
      <c r="DC2452" s="1" t="s">
        <v>395</v>
      </c>
      <c r="DD2452" s="1" t="s">
        <v>957</v>
      </c>
      <c r="DE2452" s="1" t="s">
        <v>273</v>
      </c>
      <c r="DF2452" s="1" t="s">
        <v>219</v>
      </c>
      <c r="DG2452" s="1" t="s">
        <v>3093</v>
      </c>
      <c r="DH2452" s="1" t="s">
        <v>220</v>
      </c>
      <c r="DI2452" s="1" t="s">
        <v>221</v>
      </c>
      <c r="DJ2452" s="1" t="s">
        <v>222</v>
      </c>
      <c r="DL2452" s="1" t="s">
        <v>229</v>
      </c>
      <c r="DM2452" s="1" t="s">
        <v>229</v>
      </c>
      <c r="DP2452" s="1" t="s">
        <v>276</v>
      </c>
      <c r="DQ2452" s="1" t="s">
        <v>228</v>
      </c>
      <c r="DR2452" s="1" t="s">
        <v>13283</v>
      </c>
      <c r="DU2452" s="1" t="s">
        <v>1162</v>
      </c>
      <c r="DV2452" s="1" t="s">
        <v>232</v>
      </c>
      <c r="DW2452" s="1" t="s">
        <v>1072</v>
      </c>
      <c r="DX2452" s="1" t="s">
        <v>234</v>
      </c>
      <c r="DY2452" s="1" t="s">
        <v>4698</v>
      </c>
      <c r="DZ2452" s="1" t="s">
        <v>16384</v>
      </c>
      <c r="EC2452" s="1" t="s">
        <v>284</v>
      </c>
      <c r="ED2452" s="1" t="s">
        <v>407</v>
      </c>
      <c r="EM2452" s="1" t="s">
        <v>238</v>
      </c>
      <c r="EQ2452" s="1" t="s">
        <v>238</v>
      </c>
      <c r="EU2452" s="1" t="s">
        <v>238</v>
      </c>
      <c r="EY2452" s="1" t="s">
        <v>238</v>
      </c>
      <c r="FC2452" s="1" t="s">
        <v>238</v>
      </c>
      <c r="FF2452" s="1" t="s">
        <v>239</v>
      </c>
      <c r="FG2452" s="1" t="s">
        <v>192</v>
      </c>
      <c r="FH2452" s="1" t="s">
        <v>192</v>
      </c>
      <c r="FJ2452" s="1" t="s">
        <v>4181</v>
      </c>
      <c r="FK2452" s="1" t="s">
        <v>229</v>
      </c>
      <c r="FL2452" s="1" t="s">
        <v>1212</v>
      </c>
      <c r="FM2452" s="1">
        <v>30.0</v>
      </c>
      <c r="FN2452" s="1" t="s">
        <v>1213</v>
      </c>
      <c r="FO2452" s="1" t="s">
        <v>8470</v>
      </c>
      <c r="FP2452" s="1">
        <v>497.0</v>
      </c>
      <c r="FQ2452" s="1" t="s">
        <v>8471</v>
      </c>
      <c r="FR2452" s="1">
        <v>8177.0</v>
      </c>
      <c r="FS2452" s="1">
        <v>8177.0</v>
      </c>
      <c r="FU2452" s="1" t="s">
        <v>10211</v>
      </c>
      <c r="FV2452" s="1" t="s">
        <v>200</v>
      </c>
      <c r="FW2452" s="1" t="s">
        <v>290</v>
      </c>
      <c r="FZ2452" s="1" t="s">
        <v>229</v>
      </c>
      <c r="GA2452" s="1" t="s">
        <v>291</v>
      </c>
      <c r="GB2452" s="2">
        <v>42118.0</v>
      </c>
      <c r="GC2452" s="1" t="s">
        <v>22328</v>
      </c>
    </row>
    <row r="2453">
      <c r="A2453" s="1">
        <v>740000.0</v>
      </c>
      <c r="B2453" s="1" t="s">
        <v>185</v>
      </c>
      <c r="C2453" s="1" t="str">
        <f>"08821820"</f>
        <v>08821820</v>
      </c>
      <c r="D2453" s="1" t="s">
        <v>186</v>
      </c>
      <c r="F2453" s="1" t="str">
        <f>"8024"</f>
        <v>8024</v>
      </c>
      <c r="G2453" s="2">
        <v>42026.0</v>
      </c>
      <c r="H2453" s="1">
        <v>699900.0</v>
      </c>
      <c r="I2453" s="1">
        <v>6.0</v>
      </c>
      <c r="J2453" s="1">
        <v>699900.0</v>
      </c>
      <c r="K2453" s="2">
        <v>42031.0</v>
      </c>
      <c r="L2453" s="1">
        <v>6.0</v>
      </c>
      <c r="M2453" s="2">
        <v>42031.0</v>
      </c>
      <c r="N2453" s="1" t="s">
        <v>356</v>
      </c>
      <c r="O2453" s="2">
        <v>42067.0</v>
      </c>
      <c r="P2453" s="1">
        <v>123111.0</v>
      </c>
      <c r="Q2453" s="1">
        <v>14242.0</v>
      </c>
      <c r="S2453" s="1">
        <v>2118.0</v>
      </c>
      <c r="T2453" s="1" t="s">
        <v>11399</v>
      </c>
      <c r="U2453" s="1" t="s">
        <v>189</v>
      </c>
      <c r="V2453" s="1" t="s">
        <v>190</v>
      </c>
      <c r="W2453" s="1">
        <v>60612.0</v>
      </c>
      <c r="Y2453" s="1" t="s">
        <v>22329</v>
      </c>
      <c r="Z2453" s="1">
        <v>1887.0</v>
      </c>
      <c r="AA2453" s="1" t="s">
        <v>192</v>
      </c>
      <c r="AB2453" s="1" t="s">
        <v>193</v>
      </c>
      <c r="AD2453" s="1" t="s">
        <v>194</v>
      </c>
      <c r="AE2453" s="1" t="s">
        <v>195</v>
      </c>
      <c r="AF2453" s="1" t="s">
        <v>827</v>
      </c>
      <c r="AH2453" s="1" t="s">
        <v>22330</v>
      </c>
      <c r="AK2453" s="1">
        <v>9.0</v>
      </c>
      <c r="AL2453" s="1">
        <v>3.0</v>
      </c>
      <c r="AM2453" s="1">
        <v>3.0</v>
      </c>
      <c r="AN2453" s="1">
        <v>1.0</v>
      </c>
      <c r="AO2453" s="1" t="s">
        <v>198</v>
      </c>
      <c r="AP2453" s="1">
        <v>1.0</v>
      </c>
      <c r="AQ2453" s="1" t="s">
        <v>198</v>
      </c>
      <c r="AR2453" s="1" t="s">
        <v>192</v>
      </c>
      <c r="AS2453" s="1" t="s">
        <v>199</v>
      </c>
      <c r="AT2453" s="1">
        <v>2.0</v>
      </c>
      <c r="AV2453" s="1" t="s">
        <v>200</v>
      </c>
      <c r="AW2453" s="1">
        <v>6390.0</v>
      </c>
      <c r="AX2453" s="1">
        <v>2013.0</v>
      </c>
      <c r="AY2453" s="1" t="s">
        <v>229</v>
      </c>
      <c r="AZ2453" s="1" t="s">
        <v>200</v>
      </c>
      <c r="BA2453" s="1" t="str">
        <f>"17071200390000"</f>
        <v>17071200390000</v>
      </c>
      <c r="BC2453" s="1">
        <v>2497.0</v>
      </c>
      <c r="BD2453" s="1">
        <v>740000.0</v>
      </c>
      <c r="BE2453" s="2">
        <v>42026.0</v>
      </c>
      <c r="BF2453" s="2" t="s">
        <v>22331</v>
      </c>
      <c r="BH2453" s="1">
        <v>0.0</v>
      </c>
      <c r="BK2453" s="1" t="s">
        <v>204</v>
      </c>
      <c r="BL2453" s="1" t="str">
        <f>"550"</f>
        <v>550</v>
      </c>
      <c r="BM2453" s="1" t="str">
        <f>"0"</f>
        <v>0</v>
      </c>
      <c r="BN2453" s="1">
        <v>2118.0</v>
      </c>
      <c r="BO2453" s="1">
        <v>0.0</v>
      </c>
      <c r="BQ2453" s="1">
        <v>299.0</v>
      </c>
      <c r="BR2453" s="1">
        <v>299.0</v>
      </c>
      <c r="BS2453" s="1">
        <v>299.0</v>
      </c>
      <c r="BU2453" s="1" t="s">
        <v>2749</v>
      </c>
      <c r="BV2453" s="1" t="s">
        <v>206</v>
      </c>
      <c r="BW2453" s="1" t="s">
        <v>207</v>
      </c>
      <c r="BY2453" s="1" t="s">
        <v>2219</v>
      </c>
      <c r="BZ2453" s="1" t="s">
        <v>209</v>
      </c>
      <c r="CA2453" s="1" t="s">
        <v>210</v>
      </c>
      <c r="CC2453" s="1" t="s">
        <v>264</v>
      </c>
      <c r="CD2453" s="1" t="s">
        <v>206</v>
      </c>
      <c r="CE2453" s="1" t="s">
        <v>207</v>
      </c>
      <c r="CG2453" s="1" t="s">
        <v>699</v>
      </c>
      <c r="CH2453" s="1" t="s">
        <v>209</v>
      </c>
      <c r="CI2453" s="1" t="s">
        <v>210</v>
      </c>
      <c r="CK2453" s="1" t="s">
        <v>699</v>
      </c>
      <c r="CL2453" s="1" t="s">
        <v>209</v>
      </c>
      <c r="CM2453" s="1" t="s">
        <v>207</v>
      </c>
      <c r="CO2453" s="1" t="s">
        <v>213</v>
      </c>
      <c r="CP2453" s="1" t="s">
        <v>42</v>
      </c>
      <c r="CQ2453" s="1" t="s">
        <v>210</v>
      </c>
      <c r="CS2453" s="1" t="s">
        <v>264</v>
      </c>
      <c r="CT2453" s="1" t="s">
        <v>206</v>
      </c>
      <c r="CU2453" s="1" t="s">
        <v>207</v>
      </c>
      <c r="CW2453" s="1" t="s">
        <v>583</v>
      </c>
      <c r="CX2453" s="1" t="s">
        <v>206</v>
      </c>
      <c r="CY2453" s="1" t="s">
        <v>207</v>
      </c>
      <c r="DA2453" s="1" t="s">
        <v>200</v>
      </c>
      <c r="DC2453" s="1" t="s">
        <v>642</v>
      </c>
      <c r="DE2453" s="1" t="s">
        <v>3750</v>
      </c>
      <c r="DF2453" s="1" t="s">
        <v>219</v>
      </c>
      <c r="DH2453" s="1" t="s">
        <v>307</v>
      </c>
      <c r="DJ2453" s="1" t="s">
        <v>222</v>
      </c>
      <c r="DL2453" s="1" t="s">
        <v>224</v>
      </c>
      <c r="DM2453" s="1" t="s">
        <v>1464</v>
      </c>
      <c r="DN2453" s="1" t="s">
        <v>399</v>
      </c>
      <c r="DQ2453" s="1" t="s">
        <v>228</v>
      </c>
      <c r="DR2453" s="1" t="s">
        <v>229</v>
      </c>
      <c r="DV2453" s="1" t="s">
        <v>450</v>
      </c>
      <c r="DW2453" s="1" t="s">
        <v>279</v>
      </c>
      <c r="DX2453" s="1" t="s">
        <v>234</v>
      </c>
      <c r="DY2453" s="1" t="s">
        <v>2972</v>
      </c>
      <c r="DZ2453" s="1" t="s">
        <v>4791</v>
      </c>
      <c r="EC2453" s="1" t="s">
        <v>237</v>
      </c>
      <c r="EG2453" s="1" t="s">
        <v>450</v>
      </c>
      <c r="EL2453" s="1" t="s">
        <v>1117</v>
      </c>
      <c r="EM2453" s="1" t="s">
        <v>42</v>
      </c>
      <c r="EN2453" s="1" t="s">
        <v>210</v>
      </c>
      <c r="EQ2453" s="1" t="s">
        <v>238</v>
      </c>
      <c r="EU2453" s="1" t="s">
        <v>238</v>
      </c>
      <c r="EY2453" s="1" t="s">
        <v>238</v>
      </c>
      <c r="FC2453" s="1" t="s">
        <v>238</v>
      </c>
      <c r="FF2453" s="1" t="s">
        <v>239</v>
      </c>
      <c r="FG2453" s="1" t="s">
        <v>192</v>
      </c>
      <c r="FH2453" s="1" t="s">
        <v>192</v>
      </c>
      <c r="FJ2453" s="1" t="s">
        <v>1469</v>
      </c>
      <c r="FK2453" s="1" t="s">
        <v>229</v>
      </c>
      <c r="FL2453" s="1" t="s">
        <v>3282</v>
      </c>
      <c r="FM2453" s="1">
        <v>18570.0</v>
      </c>
      <c r="FN2453" s="1" t="s">
        <v>3283</v>
      </c>
      <c r="FO2453" s="1" t="s">
        <v>22332</v>
      </c>
      <c r="FP2453" s="1">
        <v>128533.0</v>
      </c>
      <c r="FQ2453" s="1" t="s">
        <v>22333</v>
      </c>
      <c r="FR2453" s="1">
        <v>114993.0</v>
      </c>
      <c r="FU2453" s="1" t="s">
        <v>3993</v>
      </c>
      <c r="FV2453" s="1" t="s">
        <v>192</v>
      </c>
      <c r="FW2453" s="1" t="s">
        <v>530</v>
      </c>
      <c r="FX2453" s="1" t="s">
        <v>246</v>
      </c>
      <c r="FZ2453" s="1" t="s">
        <v>229</v>
      </c>
      <c r="GA2453" s="1" t="s">
        <v>291</v>
      </c>
      <c r="GB2453" s="2">
        <v>42068.0</v>
      </c>
      <c r="GC2453" s="1" t="s">
        <v>22334</v>
      </c>
    </row>
    <row r="2454">
      <c r="A2454" s="1">
        <v>190000.0</v>
      </c>
      <c r="B2454" s="1" t="s">
        <v>185</v>
      </c>
      <c r="C2454" s="1" t="str">
        <f>"08819750"</f>
        <v>08819750</v>
      </c>
      <c r="D2454" s="1" t="s">
        <v>186</v>
      </c>
      <c r="F2454" s="1" t="str">
        <f>"8069"</f>
        <v>8069</v>
      </c>
      <c r="G2454" s="2">
        <v>42023.0</v>
      </c>
      <c r="H2454" s="1">
        <v>192500.0</v>
      </c>
      <c r="I2454" s="1">
        <v>23.0</v>
      </c>
      <c r="J2454" s="1">
        <v>192500.0</v>
      </c>
      <c r="K2454" s="2">
        <v>42045.0</v>
      </c>
      <c r="L2454" s="1">
        <v>23.0</v>
      </c>
      <c r="M2454" s="2">
        <v>42045.0</v>
      </c>
      <c r="N2454" s="1" t="s">
        <v>356</v>
      </c>
      <c r="O2454" s="2">
        <v>42087.0</v>
      </c>
      <c r="P2454" s="1">
        <v>86206.0</v>
      </c>
      <c r="Q2454" s="1">
        <v>8654.0</v>
      </c>
      <c r="R2454" s="1">
        <v>5000.0</v>
      </c>
      <c r="S2454" s="1">
        <v>7655.0</v>
      </c>
      <c r="T2454" s="1" t="s">
        <v>1669</v>
      </c>
      <c r="U2454" s="1" t="s">
        <v>189</v>
      </c>
      <c r="V2454" s="1" t="s">
        <v>190</v>
      </c>
      <c r="W2454" s="1">
        <v>60619.0</v>
      </c>
      <c r="Y2454" s="1" t="s">
        <v>22335</v>
      </c>
      <c r="Z2454" s="1">
        <v>1918.0</v>
      </c>
      <c r="AA2454" s="1" t="s">
        <v>192</v>
      </c>
      <c r="AB2454" s="1" t="s">
        <v>193</v>
      </c>
      <c r="AC2454" s="1" t="s">
        <v>21169</v>
      </c>
      <c r="AD2454" s="1" t="s">
        <v>194</v>
      </c>
      <c r="AE2454" s="1" t="s">
        <v>195</v>
      </c>
      <c r="AF2454" s="1" t="s">
        <v>637</v>
      </c>
      <c r="AH2454" s="1" t="s">
        <v>359</v>
      </c>
      <c r="AI2454" s="1">
        <v>0.0803</v>
      </c>
      <c r="AK2454" s="1">
        <v>8.0</v>
      </c>
      <c r="AL2454" s="1">
        <v>3.0</v>
      </c>
      <c r="AM2454" s="1">
        <v>3.0</v>
      </c>
      <c r="AN2454" s="1">
        <v>0.0</v>
      </c>
      <c r="AO2454" s="1" t="s">
        <v>198</v>
      </c>
      <c r="AQ2454" s="1" t="s">
        <v>198</v>
      </c>
      <c r="AR2454" s="1" t="s">
        <v>192</v>
      </c>
      <c r="AS2454" s="1" t="s">
        <v>199</v>
      </c>
      <c r="AT2454" s="1">
        <v>2.0</v>
      </c>
      <c r="AV2454" s="1" t="s">
        <v>200</v>
      </c>
      <c r="AW2454" s="1">
        <v>1722.12</v>
      </c>
      <c r="AX2454" s="1">
        <v>2012.0</v>
      </c>
      <c r="AZ2454" s="1" t="s">
        <v>200</v>
      </c>
      <c r="BA2454" s="1" t="str">
        <f>"20274110200000"</f>
        <v>20274110200000</v>
      </c>
      <c r="BC2454" s="1">
        <v>1251.0</v>
      </c>
      <c r="BD2454" s="1">
        <v>190000.0</v>
      </c>
      <c r="BE2454" s="2">
        <v>42023.0</v>
      </c>
      <c r="BF2454" s="2" t="s">
        <v>22336</v>
      </c>
      <c r="BH2454" s="1">
        <v>0.0</v>
      </c>
      <c r="BK2454" s="1" t="s">
        <v>204</v>
      </c>
      <c r="BL2454" s="1" t="str">
        <f>"0"</f>
        <v>0</v>
      </c>
      <c r="BM2454" s="1" t="str">
        <f>"500"</f>
        <v>500</v>
      </c>
      <c r="BN2454" s="1">
        <v>0.0</v>
      </c>
      <c r="BO2454" s="1">
        <v>7655.0</v>
      </c>
      <c r="BQ2454" s="1">
        <v>299.0</v>
      </c>
      <c r="BR2454" s="1">
        <v>299.0</v>
      </c>
      <c r="BS2454" s="1">
        <v>299.0</v>
      </c>
      <c r="BU2454" s="1" t="s">
        <v>664</v>
      </c>
      <c r="BV2454" s="1" t="s">
        <v>206</v>
      </c>
      <c r="BW2454" s="1" t="s">
        <v>207</v>
      </c>
      <c r="BY2454" s="1" t="s">
        <v>390</v>
      </c>
      <c r="BZ2454" s="1" t="s">
        <v>206</v>
      </c>
      <c r="CA2454" s="1" t="s">
        <v>210</v>
      </c>
      <c r="CC2454" s="1" t="s">
        <v>5142</v>
      </c>
      <c r="CD2454" s="1" t="s">
        <v>206</v>
      </c>
      <c r="CE2454" s="1" t="s">
        <v>268</v>
      </c>
      <c r="CG2454" s="1" t="s">
        <v>1760</v>
      </c>
      <c r="CH2454" s="1" t="s">
        <v>206</v>
      </c>
      <c r="CI2454" s="1" t="s">
        <v>207</v>
      </c>
      <c r="CK2454" s="1" t="s">
        <v>1760</v>
      </c>
      <c r="CL2454" s="1" t="s">
        <v>206</v>
      </c>
      <c r="CM2454" s="1" t="s">
        <v>207</v>
      </c>
      <c r="CO2454" s="1" t="s">
        <v>212</v>
      </c>
      <c r="CP2454" s="1" t="s">
        <v>42</v>
      </c>
      <c r="CQ2454" s="1" t="s">
        <v>268</v>
      </c>
      <c r="CS2454" s="1" t="s">
        <v>495</v>
      </c>
      <c r="CT2454" s="1" t="s">
        <v>206</v>
      </c>
      <c r="CU2454" s="1" t="s">
        <v>268</v>
      </c>
      <c r="CW2454" s="1" t="s">
        <v>1653</v>
      </c>
      <c r="CX2454" s="1" t="s">
        <v>42</v>
      </c>
      <c r="CY2454" s="1" t="s">
        <v>268</v>
      </c>
      <c r="DA2454" s="1" t="s">
        <v>200</v>
      </c>
      <c r="DC2454" s="1" t="s">
        <v>216</v>
      </c>
      <c r="DE2454" s="1" t="s">
        <v>273</v>
      </c>
      <c r="DF2454" s="1" t="s">
        <v>619</v>
      </c>
      <c r="DH2454" s="1" t="s">
        <v>220</v>
      </c>
      <c r="DI2454" s="1" t="s">
        <v>308</v>
      </c>
      <c r="DJ2454" s="1" t="s">
        <v>222</v>
      </c>
      <c r="DK2454" s="1" t="s">
        <v>224</v>
      </c>
      <c r="DL2454" s="1" t="s">
        <v>224</v>
      </c>
      <c r="DM2454" s="1" t="s">
        <v>229</v>
      </c>
      <c r="DN2454" s="1" t="s">
        <v>666</v>
      </c>
      <c r="DP2454" s="1" t="s">
        <v>340</v>
      </c>
      <c r="DQ2454" s="1" t="s">
        <v>228</v>
      </c>
      <c r="DR2454" s="1" t="s">
        <v>229</v>
      </c>
      <c r="DV2454" s="1" t="s">
        <v>232</v>
      </c>
      <c r="DW2454" s="1" t="s">
        <v>279</v>
      </c>
      <c r="DX2454" s="1" t="s">
        <v>234</v>
      </c>
      <c r="EA2454" s="1" t="s">
        <v>644</v>
      </c>
      <c r="EC2454" s="1" t="s">
        <v>645</v>
      </c>
      <c r="ED2454" s="1" t="s">
        <v>407</v>
      </c>
      <c r="EM2454" s="1" t="s">
        <v>238</v>
      </c>
      <c r="EQ2454" s="1" t="s">
        <v>238</v>
      </c>
      <c r="EU2454" s="1" t="s">
        <v>238</v>
      </c>
      <c r="EY2454" s="1" t="s">
        <v>238</v>
      </c>
      <c r="FC2454" s="1" t="s">
        <v>238</v>
      </c>
      <c r="FF2454" s="1" t="s">
        <v>239</v>
      </c>
      <c r="FG2454" s="1" t="s">
        <v>192</v>
      </c>
      <c r="FH2454" s="1" t="s">
        <v>192</v>
      </c>
      <c r="FJ2454" s="1" t="s">
        <v>524</v>
      </c>
      <c r="FK2454" s="1" t="s">
        <v>229</v>
      </c>
      <c r="FL2454" s="1" t="s">
        <v>3787</v>
      </c>
      <c r="FM2454" s="1">
        <v>8654.0</v>
      </c>
      <c r="FN2454" s="1" t="s">
        <v>3788</v>
      </c>
      <c r="FO2454" s="1" t="s">
        <v>3789</v>
      </c>
      <c r="FP2454" s="1">
        <v>86206.0</v>
      </c>
      <c r="FQ2454" s="1" t="s">
        <v>3788</v>
      </c>
      <c r="FU2454" s="1" t="s">
        <v>22337</v>
      </c>
      <c r="FV2454" s="1" t="s">
        <v>200</v>
      </c>
      <c r="FW2454" s="1" t="s">
        <v>631</v>
      </c>
      <c r="FX2454" s="1" t="s">
        <v>655</v>
      </c>
      <c r="FZ2454" s="1" t="s">
        <v>229</v>
      </c>
      <c r="GA2454" s="1" t="s">
        <v>291</v>
      </c>
      <c r="GB2454" s="2">
        <v>42087.0</v>
      </c>
    </row>
    <row r="2455">
      <c r="A2455" s="1">
        <v>715000.0</v>
      </c>
      <c r="B2455" s="1" t="s">
        <v>185</v>
      </c>
      <c r="C2455" s="1" t="str">
        <f>"08828767"</f>
        <v>08828767</v>
      </c>
      <c r="D2455" s="1" t="s">
        <v>186</v>
      </c>
      <c r="F2455" s="1" t="str">
        <f>"8004"</f>
        <v>8004</v>
      </c>
      <c r="G2455" s="2">
        <v>42037.0</v>
      </c>
      <c r="H2455" s="1">
        <v>650000.0</v>
      </c>
      <c r="I2455" s="1">
        <v>18.0</v>
      </c>
      <c r="J2455" s="1">
        <v>650000.0</v>
      </c>
      <c r="K2455" s="2">
        <v>42054.0</v>
      </c>
      <c r="L2455" s="1">
        <v>18.0</v>
      </c>
      <c r="M2455" s="2">
        <v>42054.0</v>
      </c>
      <c r="N2455" s="1" t="s">
        <v>187</v>
      </c>
      <c r="O2455" s="2">
        <v>42093.0</v>
      </c>
      <c r="P2455" s="1">
        <v>107628.0</v>
      </c>
      <c r="Q2455" s="1">
        <v>14703.0</v>
      </c>
      <c r="S2455" s="1">
        <v>2616.0</v>
      </c>
      <c r="T2455" s="1" t="s">
        <v>12302</v>
      </c>
      <c r="U2455" s="1" t="s">
        <v>189</v>
      </c>
      <c r="V2455" s="1" t="s">
        <v>190</v>
      </c>
      <c r="W2455" s="1">
        <v>60625.0</v>
      </c>
      <c r="Y2455" s="1" t="s">
        <v>22338</v>
      </c>
      <c r="Z2455" s="1">
        <v>1917.0</v>
      </c>
      <c r="AA2455" s="1" t="s">
        <v>192</v>
      </c>
      <c r="AB2455" s="1" t="s">
        <v>193</v>
      </c>
      <c r="AC2455" s="1" t="s">
        <v>22339</v>
      </c>
      <c r="AD2455" s="1" t="s">
        <v>194</v>
      </c>
      <c r="AE2455" s="1" t="s">
        <v>195</v>
      </c>
      <c r="AF2455" s="1" t="s">
        <v>196</v>
      </c>
      <c r="AH2455" s="1" t="s">
        <v>1685</v>
      </c>
      <c r="AK2455" s="1">
        <v>11.0</v>
      </c>
      <c r="AL2455" s="1">
        <v>3.0</v>
      </c>
      <c r="AM2455" s="1">
        <v>2.0</v>
      </c>
      <c r="AN2455" s="1">
        <v>0.0</v>
      </c>
      <c r="AO2455" s="1" t="s">
        <v>229</v>
      </c>
      <c r="AQ2455" s="1" t="s">
        <v>198</v>
      </c>
      <c r="AR2455" s="1" t="s">
        <v>192</v>
      </c>
      <c r="AS2455" s="1" t="s">
        <v>199</v>
      </c>
      <c r="AT2455" s="1">
        <v>1.0</v>
      </c>
      <c r="AV2455" s="1" t="s">
        <v>200</v>
      </c>
      <c r="AW2455" s="1">
        <v>6470.66</v>
      </c>
      <c r="AX2455" s="1">
        <v>2013.0</v>
      </c>
      <c r="AY2455" s="1" t="s">
        <v>387</v>
      </c>
      <c r="AZ2455" s="1" t="s">
        <v>200</v>
      </c>
      <c r="BA2455" s="1" t="str">
        <f>"13132120340000"</f>
        <v>13132120340000</v>
      </c>
      <c r="BB2455" s="1" t="s">
        <v>200</v>
      </c>
      <c r="BC2455" s="1">
        <v>0.0</v>
      </c>
      <c r="BD2455" s="1">
        <v>715000.0</v>
      </c>
      <c r="BE2455" s="2">
        <v>42037.0</v>
      </c>
      <c r="BF2455" s="2" t="s">
        <v>22340</v>
      </c>
      <c r="BG2455" s="1" t="s">
        <v>12305</v>
      </c>
      <c r="BH2455" s="1">
        <v>0.0</v>
      </c>
      <c r="BI2455" s="1" t="s">
        <v>12305</v>
      </c>
      <c r="BK2455" s="1" t="s">
        <v>204</v>
      </c>
      <c r="BL2455" s="1" t="str">
        <f>"4600"</f>
        <v>4600</v>
      </c>
      <c r="BM2455" s="1" t="str">
        <f t="shared" ref="BM2455:BM2456" si="1599">"0"</f>
        <v>0</v>
      </c>
      <c r="BN2455" s="1">
        <v>2616.0</v>
      </c>
      <c r="BO2455" s="1">
        <v>0.0</v>
      </c>
      <c r="BQ2455" s="1">
        <v>299.0</v>
      </c>
      <c r="BR2455" s="1">
        <v>299.0</v>
      </c>
      <c r="BS2455" s="1">
        <v>299.0</v>
      </c>
      <c r="BU2455" s="1" t="s">
        <v>3538</v>
      </c>
      <c r="BV2455" s="1" t="s">
        <v>206</v>
      </c>
      <c r="BW2455" s="1" t="s">
        <v>207</v>
      </c>
      <c r="BX2455" s="1" t="s">
        <v>431</v>
      </c>
      <c r="BY2455" s="1" t="s">
        <v>392</v>
      </c>
      <c r="BZ2455" s="1" t="s">
        <v>206</v>
      </c>
      <c r="CA2455" s="1" t="s">
        <v>207</v>
      </c>
      <c r="CB2455" s="1" t="s">
        <v>431</v>
      </c>
      <c r="CC2455" s="1" t="s">
        <v>758</v>
      </c>
      <c r="CD2455" s="1" t="s">
        <v>206</v>
      </c>
      <c r="CE2455" s="1" t="s">
        <v>207</v>
      </c>
      <c r="CF2455" s="1" t="s">
        <v>431</v>
      </c>
      <c r="CG2455" s="1" t="s">
        <v>269</v>
      </c>
      <c r="CH2455" s="1" t="s">
        <v>206</v>
      </c>
      <c r="CI2455" s="1" t="s">
        <v>207</v>
      </c>
      <c r="CJ2455" s="1" t="s">
        <v>431</v>
      </c>
      <c r="CK2455" s="1" t="s">
        <v>266</v>
      </c>
      <c r="CL2455" s="1" t="s">
        <v>206</v>
      </c>
      <c r="CM2455" s="1" t="s">
        <v>207</v>
      </c>
      <c r="CN2455" s="1" t="s">
        <v>431</v>
      </c>
      <c r="CO2455" s="1" t="s">
        <v>329</v>
      </c>
      <c r="CP2455" s="1" t="s">
        <v>42</v>
      </c>
      <c r="CQ2455" s="1" t="s">
        <v>301</v>
      </c>
      <c r="CS2455" s="1" t="s">
        <v>215</v>
      </c>
      <c r="CT2455" s="1" t="s">
        <v>206</v>
      </c>
      <c r="CU2455" s="1" t="s">
        <v>207</v>
      </c>
      <c r="CW2455" s="1" t="s">
        <v>2130</v>
      </c>
      <c r="CX2455" s="1" t="s">
        <v>42</v>
      </c>
      <c r="CY2455" s="1" t="s">
        <v>301</v>
      </c>
      <c r="DA2455" s="1" t="s">
        <v>200</v>
      </c>
      <c r="DC2455" s="1" t="s">
        <v>216</v>
      </c>
      <c r="DD2455" s="1" t="s">
        <v>518</v>
      </c>
      <c r="DE2455" s="1" t="s">
        <v>273</v>
      </c>
      <c r="DF2455" s="1" t="s">
        <v>219</v>
      </c>
      <c r="DH2455" s="1" t="s">
        <v>365</v>
      </c>
      <c r="DI2455" s="1" t="s">
        <v>1223</v>
      </c>
      <c r="DJ2455" s="1" t="s">
        <v>222</v>
      </c>
      <c r="DK2455" s="1" t="s">
        <v>1142</v>
      </c>
      <c r="DL2455" s="1" t="s">
        <v>858</v>
      </c>
      <c r="DM2455" s="1" t="s">
        <v>1464</v>
      </c>
      <c r="DP2455" s="1" t="s">
        <v>340</v>
      </c>
      <c r="DQ2455" s="1" t="s">
        <v>794</v>
      </c>
      <c r="DR2455" s="1" t="s">
        <v>229</v>
      </c>
      <c r="DS2455" s="1" t="s">
        <v>230</v>
      </c>
      <c r="DV2455" s="1" t="s">
        <v>22341</v>
      </c>
      <c r="DW2455" s="1" t="s">
        <v>279</v>
      </c>
      <c r="DX2455" s="1" t="s">
        <v>234</v>
      </c>
      <c r="DY2455" s="1" t="s">
        <v>553</v>
      </c>
      <c r="EA2455" s="1" t="s">
        <v>644</v>
      </c>
      <c r="EC2455" s="1" t="s">
        <v>645</v>
      </c>
      <c r="EG2455" s="1" t="s">
        <v>494</v>
      </c>
      <c r="EH2455" s="1" t="s">
        <v>114</v>
      </c>
      <c r="EI2455" s="1" t="s">
        <v>1491</v>
      </c>
      <c r="EJ2455" s="1" t="s">
        <v>408</v>
      </c>
      <c r="EL2455" s="1" t="s">
        <v>6126</v>
      </c>
      <c r="EM2455" s="1" t="s">
        <v>206</v>
      </c>
      <c r="EN2455" s="1" t="s">
        <v>617</v>
      </c>
      <c r="EP2455" s="1" t="s">
        <v>22342</v>
      </c>
      <c r="EQ2455" s="1" t="s">
        <v>209</v>
      </c>
      <c r="ER2455" s="1" t="s">
        <v>588</v>
      </c>
      <c r="ET2455" s="1" t="s">
        <v>7004</v>
      </c>
      <c r="EU2455" s="1" t="s">
        <v>42</v>
      </c>
      <c r="EV2455" s="1" t="s">
        <v>588</v>
      </c>
      <c r="EX2455" s="1" t="s">
        <v>1874</v>
      </c>
      <c r="EY2455" s="1" t="s">
        <v>206</v>
      </c>
      <c r="EZ2455" s="1" t="s">
        <v>207</v>
      </c>
      <c r="FC2455" s="1" t="s">
        <v>238</v>
      </c>
      <c r="FF2455" s="1" t="s">
        <v>239</v>
      </c>
      <c r="FG2455" s="1" t="s">
        <v>192</v>
      </c>
      <c r="FH2455" s="1" t="s">
        <v>192</v>
      </c>
      <c r="FJ2455" s="1" t="s">
        <v>561</v>
      </c>
      <c r="FK2455" s="1" t="s">
        <v>229</v>
      </c>
      <c r="FL2455" s="1" t="s">
        <v>562</v>
      </c>
      <c r="FM2455" s="1">
        <v>85774.0</v>
      </c>
      <c r="FN2455" s="1" t="s">
        <v>2369</v>
      </c>
      <c r="FO2455" s="1" t="s">
        <v>22343</v>
      </c>
      <c r="FP2455" s="1">
        <v>108098.0</v>
      </c>
      <c r="FQ2455" s="1" t="s">
        <v>22344</v>
      </c>
      <c r="FU2455" s="1" t="s">
        <v>4313</v>
      </c>
      <c r="FV2455" s="1" t="s">
        <v>200</v>
      </c>
      <c r="FW2455" s="1" t="s">
        <v>654</v>
      </c>
      <c r="FX2455" s="1" t="s">
        <v>246</v>
      </c>
      <c r="FZ2455" s="1" t="s">
        <v>229</v>
      </c>
      <c r="GA2455" s="1" t="s">
        <v>291</v>
      </c>
      <c r="GB2455" s="2">
        <v>42094.0</v>
      </c>
      <c r="GC2455" s="1" t="s">
        <v>22345</v>
      </c>
    </row>
    <row r="2456">
      <c r="A2456" s="1">
        <v>302500.0</v>
      </c>
      <c r="B2456" s="1" t="s">
        <v>185</v>
      </c>
      <c r="C2456" s="1" t="str">
        <f>"08820551"</f>
        <v>08820551</v>
      </c>
      <c r="D2456" s="1" t="s">
        <v>186</v>
      </c>
      <c r="F2456" s="1" t="str">
        <f>"174"</f>
        <v>174</v>
      </c>
      <c r="G2456" s="2">
        <v>42024.0</v>
      </c>
      <c r="H2456" s="1">
        <v>309900.0</v>
      </c>
      <c r="I2456" s="1">
        <v>13.0</v>
      </c>
      <c r="J2456" s="1">
        <v>309900.0</v>
      </c>
      <c r="K2456" s="2">
        <v>42036.0</v>
      </c>
      <c r="L2456" s="1">
        <v>13.0</v>
      </c>
      <c r="M2456" s="2">
        <v>42036.0</v>
      </c>
      <c r="N2456" s="1" t="s">
        <v>187</v>
      </c>
      <c r="O2456" s="2">
        <v>42062.0</v>
      </c>
      <c r="P2456" s="1">
        <v>523.0</v>
      </c>
      <c r="Q2456" s="1">
        <v>30.0</v>
      </c>
      <c r="S2456" s="1">
        <v>98.0</v>
      </c>
      <c r="T2456" s="1" t="s">
        <v>22346</v>
      </c>
      <c r="U2456" s="1" t="s">
        <v>694</v>
      </c>
      <c r="V2456" s="1" t="s">
        <v>1200</v>
      </c>
      <c r="W2456" s="1">
        <v>60175.0</v>
      </c>
      <c r="Y2456" s="1" t="s">
        <v>22347</v>
      </c>
      <c r="Z2456" s="1">
        <v>1999.0</v>
      </c>
      <c r="AA2456" s="1" t="s">
        <v>200</v>
      </c>
      <c r="AB2456" s="1" t="s">
        <v>193</v>
      </c>
      <c r="AC2456" s="1" t="s">
        <v>22348</v>
      </c>
      <c r="AD2456" s="1" t="s">
        <v>1203</v>
      </c>
      <c r="AE2456" s="1" t="s">
        <v>325</v>
      </c>
      <c r="AF2456" s="1" t="s">
        <v>1203</v>
      </c>
      <c r="AG2456" s="1" t="s">
        <v>22349</v>
      </c>
      <c r="AH2456" s="1" t="s">
        <v>22350</v>
      </c>
      <c r="AI2456" s="1">
        <v>0.19</v>
      </c>
      <c r="AK2456" s="1">
        <v>11.0</v>
      </c>
      <c r="AL2456" s="1">
        <v>4.0</v>
      </c>
      <c r="AM2456" s="1">
        <v>2.0</v>
      </c>
      <c r="AN2456" s="1">
        <v>1.0</v>
      </c>
      <c r="AO2456" s="1" t="s">
        <v>198</v>
      </c>
      <c r="AP2456" s="1">
        <v>0.0</v>
      </c>
      <c r="AQ2456" s="1" t="s">
        <v>198</v>
      </c>
      <c r="AR2456" s="1" t="s">
        <v>200</v>
      </c>
      <c r="AS2456" s="1" t="s">
        <v>199</v>
      </c>
      <c r="AT2456" s="1">
        <v>2.5</v>
      </c>
      <c r="AV2456" s="1" t="s">
        <v>192</v>
      </c>
      <c r="AW2456" s="1">
        <v>8549.0</v>
      </c>
      <c r="AX2456" s="1">
        <v>2013.0</v>
      </c>
      <c r="AY2456" s="1" t="s">
        <v>387</v>
      </c>
      <c r="AZ2456" s="1" t="s">
        <v>200</v>
      </c>
      <c r="BA2456" s="1" t="str">
        <f>"0930432007"</f>
        <v>0930432007</v>
      </c>
      <c r="BB2456" s="1" t="s">
        <v>200</v>
      </c>
      <c r="BC2456" s="1">
        <v>2297.0</v>
      </c>
      <c r="BD2456" s="1">
        <v>302500.0</v>
      </c>
      <c r="BE2456" s="2">
        <v>42024.0</v>
      </c>
      <c r="BF2456" s="2" t="s">
        <v>22351</v>
      </c>
      <c r="BG2456" s="1" t="s">
        <v>2142</v>
      </c>
      <c r="BH2456" s="1">
        <v>325.0</v>
      </c>
      <c r="BI2456" s="1" t="s">
        <v>2143</v>
      </c>
      <c r="BJ2456" s="1" t="s">
        <v>2144</v>
      </c>
      <c r="BK2456" s="1" t="s">
        <v>580</v>
      </c>
      <c r="BL2456" s="1" t="str">
        <f>"3"</f>
        <v>3</v>
      </c>
      <c r="BM2456" s="1" t="str">
        <f t="shared" si="1599"/>
        <v>0</v>
      </c>
      <c r="BN2456" s="1">
        <v>38.0</v>
      </c>
      <c r="BO2456" s="1">
        <v>0.0</v>
      </c>
      <c r="BQ2456" s="1">
        <v>303.0</v>
      </c>
      <c r="BR2456" s="1">
        <v>303.0</v>
      </c>
      <c r="BS2456" s="1">
        <v>303.0</v>
      </c>
      <c r="BU2456" s="1" t="s">
        <v>264</v>
      </c>
      <c r="BV2456" s="1" t="s">
        <v>206</v>
      </c>
      <c r="BW2456" s="1" t="s">
        <v>207</v>
      </c>
      <c r="BY2456" s="1" t="s">
        <v>390</v>
      </c>
      <c r="BZ2456" s="1" t="s">
        <v>209</v>
      </c>
      <c r="CA2456" s="1" t="s">
        <v>210</v>
      </c>
      <c r="CC2456" s="1" t="s">
        <v>332</v>
      </c>
      <c r="CD2456" s="1" t="s">
        <v>206</v>
      </c>
      <c r="CE2456" s="1" t="s">
        <v>207</v>
      </c>
      <c r="CG2456" s="1" t="s">
        <v>699</v>
      </c>
      <c r="CH2456" s="1" t="s">
        <v>209</v>
      </c>
      <c r="CI2456" s="1" t="s">
        <v>210</v>
      </c>
      <c r="CK2456" s="1" t="s">
        <v>699</v>
      </c>
      <c r="CL2456" s="1" t="s">
        <v>209</v>
      </c>
      <c r="CM2456" s="1" t="s">
        <v>210</v>
      </c>
      <c r="CO2456" s="1" t="s">
        <v>264</v>
      </c>
      <c r="CP2456" s="1" t="s">
        <v>209</v>
      </c>
      <c r="CQ2456" s="1" t="s">
        <v>210</v>
      </c>
      <c r="CS2456" s="1" t="s">
        <v>213</v>
      </c>
      <c r="CT2456" s="1" t="s">
        <v>206</v>
      </c>
      <c r="CU2456" s="1" t="s">
        <v>268</v>
      </c>
      <c r="CW2456" s="1" t="s">
        <v>3538</v>
      </c>
      <c r="CX2456" s="1" t="s">
        <v>206</v>
      </c>
      <c r="CY2456" s="1" t="s">
        <v>210</v>
      </c>
      <c r="DA2456" s="1" t="s">
        <v>200</v>
      </c>
      <c r="DC2456" s="1" t="s">
        <v>678</v>
      </c>
      <c r="DD2456" s="1" t="s">
        <v>518</v>
      </c>
      <c r="DE2456" s="1" t="s">
        <v>273</v>
      </c>
      <c r="DF2456" s="1" t="s">
        <v>219</v>
      </c>
      <c r="DG2456" s="1" t="s">
        <v>1020</v>
      </c>
      <c r="DH2456" s="1" t="s">
        <v>220</v>
      </c>
      <c r="DI2456" s="1" t="s">
        <v>15325</v>
      </c>
      <c r="DJ2456" s="1" t="s">
        <v>222</v>
      </c>
      <c r="DK2456" s="1" t="s">
        <v>223</v>
      </c>
      <c r="DL2456" s="1" t="s">
        <v>1536</v>
      </c>
      <c r="DM2456" s="1" t="s">
        <v>338</v>
      </c>
      <c r="DN2456" s="1" t="s">
        <v>548</v>
      </c>
      <c r="DO2456" s="1" t="s">
        <v>22352</v>
      </c>
      <c r="DP2456" s="1" t="s">
        <v>276</v>
      </c>
      <c r="DQ2456" s="1" t="s">
        <v>228</v>
      </c>
      <c r="DR2456" s="1" t="s">
        <v>588</v>
      </c>
      <c r="DS2456" s="1" t="s">
        <v>368</v>
      </c>
      <c r="DU2456" s="1" t="s">
        <v>22353</v>
      </c>
      <c r="DV2456" s="1" t="s">
        <v>10795</v>
      </c>
      <c r="DW2456" s="1" t="s">
        <v>444</v>
      </c>
      <c r="DX2456" s="1" t="s">
        <v>234</v>
      </c>
      <c r="DY2456" s="1" t="s">
        <v>490</v>
      </c>
      <c r="DZ2456" s="1" t="s">
        <v>5994</v>
      </c>
      <c r="EA2456" s="1" t="s">
        <v>447</v>
      </c>
      <c r="EC2456" s="1" t="s">
        <v>237</v>
      </c>
      <c r="ED2456" s="1" t="s">
        <v>10039</v>
      </c>
      <c r="EG2456" s="1" t="s">
        <v>494</v>
      </c>
      <c r="EH2456" s="1" t="s">
        <v>557</v>
      </c>
      <c r="EI2456" s="1" t="s">
        <v>450</v>
      </c>
      <c r="EL2456" s="1" t="s">
        <v>543</v>
      </c>
      <c r="EM2456" s="1" t="s">
        <v>206</v>
      </c>
      <c r="EN2456" s="1" t="s">
        <v>207</v>
      </c>
      <c r="EP2456" s="1" t="s">
        <v>743</v>
      </c>
      <c r="EQ2456" s="1" t="s">
        <v>42</v>
      </c>
      <c r="ER2456" s="1" t="s">
        <v>210</v>
      </c>
      <c r="ET2456" s="1" t="s">
        <v>664</v>
      </c>
      <c r="EU2456" s="1" t="s">
        <v>42</v>
      </c>
      <c r="EV2456" s="1" t="s">
        <v>210</v>
      </c>
      <c r="EY2456" s="1" t="s">
        <v>238</v>
      </c>
      <c r="FC2456" s="1" t="s">
        <v>238</v>
      </c>
      <c r="FF2456" s="1" t="s">
        <v>239</v>
      </c>
      <c r="FG2456" s="1" t="s">
        <v>192</v>
      </c>
      <c r="FH2456" s="1" t="s">
        <v>192</v>
      </c>
      <c r="FJ2456" s="1" t="s">
        <v>1469</v>
      </c>
      <c r="FK2456" s="1" t="s">
        <v>229</v>
      </c>
      <c r="FL2456" s="1" t="s">
        <v>893</v>
      </c>
      <c r="FM2456" s="1">
        <v>604.0</v>
      </c>
      <c r="FN2456" s="1" t="s">
        <v>894</v>
      </c>
      <c r="FO2456" s="1" t="s">
        <v>895</v>
      </c>
      <c r="FP2456" s="1">
        <v>381.0</v>
      </c>
      <c r="FQ2456" s="1" t="s">
        <v>896</v>
      </c>
      <c r="FR2456" s="1">
        <v>8297.0</v>
      </c>
      <c r="FS2456" s="1" t="s">
        <v>5996</v>
      </c>
      <c r="FU2456" s="1" t="s">
        <v>8533</v>
      </c>
      <c r="FV2456" s="1" t="s">
        <v>200</v>
      </c>
      <c r="FW2456" s="1" t="s">
        <v>290</v>
      </c>
      <c r="FZ2456" s="1" t="s">
        <v>229</v>
      </c>
      <c r="GA2456" s="1" t="s">
        <v>291</v>
      </c>
      <c r="GB2456" s="2">
        <v>42062.0</v>
      </c>
      <c r="GC2456" s="1" t="s">
        <v>22354</v>
      </c>
    </row>
    <row r="2457">
      <c r="A2457" s="1">
        <v>123000.0</v>
      </c>
      <c r="B2457" s="1" t="s">
        <v>185</v>
      </c>
      <c r="C2457" s="1" t="str">
        <f>"08819682"</f>
        <v>08819682</v>
      </c>
      <c r="D2457" s="1" t="s">
        <v>186</v>
      </c>
      <c r="F2457" s="1" t="str">
        <f>"8071"</f>
        <v>8071</v>
      </c>
      <c r="G2457" s="2">
        <v>42023.0</v>
      </c>
      <c r="H2457" s="1">
        <v>139000.0</v>
      </c>
      <c r="I2457" s="1">
        <v>82.0</v>
      </c>
      <c r="J2457" s="1">
        <v>129900.0</v>
      </c>
      <c r="K2457" s="2">
        <v>42104.0</v>
      </c>
      <c r="L2457" s="1">
        <v>82.0</v>
      </c>
      <c r="M2457" s="2">
        <v>42104.0</v>
      </c>
      <c r="N2457" s="1" t="s">
        <v>356</v>
      </c>
      <c r="O2457" s="2">
        <v>42145.0</v>
      </c>
      <c r="P2457" s="1">
        <v>605893.0</v>
      </c>
      <c r="Q2457" s="1">
        <v>25494.0</v>
      </c>
      <c r="R2457" s="1">
        <v>3000.0</v>
      </c>
      <c r="S2457" s="1">
        <v>8826.0</v>
      </c>
      <c r="T2457" s="1" t="s">
        <v>22355</v>
      </c>
      <c r="U2457" s="1" t="s">
        <v>189</v>
      </c>
      <c r="V2457" s="1" t="s">
        <v>190</v>
      </c>
      <c r="W2457" s="1">
        <v>60620.0</v>
      </c>
      <c r="Y2457" s="1" t="s">
        <v>22356</v>
      </c>
      <c r="Z2457" s="1">
        <v>1913.0</v>
      </c>
      <c r="AA2457" s="1" t="s">
        <v>192</v>
      </c>
      <c r="AB2457" s="1" t="s">
        <v>193</v>
      </c>
      <c r="AD2457" s="1" t="s">
        <v>194</v>
      </c>
      <c r="AE2457" s="1" t="s">
        <v>195</v>
      </c>
      <c r="AF2457" s="1" t="s">
        <v>659</v>
      </c>
      <c r="AH2457" s="1" t="s">
        <v>359</v>
      </c>
      <c r="AI2457" s="1">
        <v>0.0</v>
      </c>
      <c r="AK2457" s="1">
        <v>8.0</v>
      </c>
      <c r="AL2457" s="1">
        <v>3.0</v>
      </c>
      <c r="AM2457" s="1">
        <v>2.0</v>
      </c>
      <c r="AN2457" s="1">
        <v>0.0</v>
      </c>
      <c r="AO2457" s="1" t="s">
        <v>229</v>
      </c>
      <c r="AQ2457" s="1" t="s">
        <v>198</v>
      </c>
      <c r="AR2457" s="1" t="s">
        <v>200</v>
      </c>
      <c r="AS2457" s="1" t="s">
        <v>229</v>
      </c>
      <c r="AV2457" s="1" t="s">
        <v>200</v>
      </c>
      <c r="AW2457" s="1">
        <v>2142.6</v>
      </c>
      <c r="AX2457" s="1">
        <v>2013.0</v>
      </c>
      <c r="AY2457" s="1" t="s">
        <v>229</v>
      </c>
      <c r="AZ2457" s="1" t="s">
        <v>200</v>
      </c>
      <c r="BA2457" s="1" t="str">
        <f>"25041100240000"</f>
        <v>25041100240000</v>
      </c>
      <c r="BB2457" s="1" t="s">
        <v>200</v>
      </c>
      <c r="BC2457" s="1">
        <v>1505.0</v>
      </c>
      <c r="BD2457" s="1">
        <v>123000.0</v>
      </c>
      <c r="BE2457" s="2">
        <v>42023.0</v>
      </c>
      <c r="BF2457" s="2" t="s">
        <v>22357</v>
      </c>
      <c r="BH2457" s="1">
        <v>0.0</v>
      </c>
      <c r="BK2457" s="1" t="s">
        <v>204</v>
      </c>
      <c r="BL2457" s="1" t="str">
        <f t="shared" ref="BL2457:BM2457" si="1600">"0"</f>
        <v>0</v>
      </c>
      <c r="BM2457" s="1" t="str">
        <f t="shared" si="1600"/>
        <v>0</v>
      </c>
      <c r="BN2457" s="1">
        <v>600.0</v>
      </c>
      <c r="BO2457" s="1">
        <v>8826.0</v>
      </c>
      <c r="BQ2457" s="1">
        <v>299.0</v>
      </c>
      <c r="BR2457" s="1">
        <v>299.0</v>
      </c>
      <c r="BS2457" s="1">
        <v>299.0</v>
      </c>
      <c r="BU2457" s="1" t="s">
        <v>8887</v>
      </c>
      <c r="BV2457" s="1" t="s">
        <v>206</v>
      </c>
      <c r="BW2457" s="1" t="s">
        <v>207</v>
      </c>
      <c r="BY2457" s="1" t="s">
        <v>1417</v>
      </c>
      <c r="BZ2457" s="1" t="s">
        <v>209</v>
      </c>
      <c r="CA2457" s="1" t="s">
        <v>207</v>
      </c>
      <c r="CC2457" s="1" t="s">
        <v>699</v>
      </c>
      <c r="CD2457" s="1" t="s">
        <v>206</v>
      </c>
      <c r="CE2457" s="1" t="s">
        <v>207</v>
      </c>
      <c r="CG2457" s="1" t="s">
        <v>1417</v>
      </c>
      <c r="CH2457" s="1" t="s">
        <v>209</v>
      </c>
      <c r="CK2457" s="1" t="s">
        <v>303</v>
      </c>
      <c r="CL2457" s="1" t="s">
        <v>209</v>
      </c>
      <c r="CO2457" s="1" t="s">
        <v>1852</v>
      </c>
      <c r="CP2457" s="1" t="s">
        <v>42</v>
      </c>
      <c r="CS2457" s="1" t="s">
        <v>1417</v>
      </c>
      <c r="CT2457" s="1" t="s">
        <v>206</v>
      </c>
      <c r="CU2457" s="1" t="s">
        <v>268</v>
      </c>
      <c r="CW2457" s="1" t="s">
        <v>2403</v>
      </c>
      <c r="CX2457" s="1" t="s">
        <v>42</v>
      </c>
      <c r="DA2457" s="1" t="s">
        <v>200</v>
      </c>
      <c r="DC2457" s="1" t="s">
        <v>642</v>
      </c>
      <c r="DD2457" s="1" t="s">
        <v>518</v>
      </c>
      <c r="DE2457" s="1" t="s">
        <v>273</v>
      </c>
      <c r="DF2457" s="1" t="s">
        <v>219</v>
      </c>
      <c r="DH2457" s="1" t="s">
        <v>365</v>
      </c>
      <c r="DI2457" s="1" t="s">
        <v>703</v>
      </c>
      <c r="DJ2457" s="1" t="s">
        <v>222</v>
      </c>
      <c r="DL2457" s="1" t="s">
        <v>224</v>
      </c>
      <c r="DM2457" s="1" t="s">
        <v>229</v>
      </c>
      <c r="DQ2457" s="1" t="s">
        <v>718</v>
      </c>
      <c r="DR2457" s="1" t="s">
        <v>229</v>
      </c>
      <c r="DV2457" s="1" t="s">
        <v>232</v>
      </c>
      <c r="DW2457" s="1" t="s">
        <v>667</v>
      </c>
      <c r="DX2457" s="1" t="s">
        <v>234</v>
      </c>
      <c r="EC2457" s="1" t="s">
        <v>237</v>
      </c>
      <c r="EM2457" s="1" t="s">
        <v>238</v>
      </c>
      <c r="EQ2457" s="1" t="s">
        <v>238</v>
      </c>
      <c r="EU2457" s="1" t="s">
        <v>238</v>
      </c>
      <c r="EY2457" s="1" t="s">
        <v>238</v>
      </c>
      <c r="FC2457" s="1" t="s">
        <v>238</v>
      </c>
      <c r="FF2457" s="1" t="s">
        <v>239</v>
      </c>
      <c r="FG2457" s="1" t="s">
        <v>200</v>
      </c>
      <c r="FH2457" s="1" t="s">
        <v>192</v>
      </c>
      <c r="FJ2457" s="1" t="s">
        <v>22358</v>
      </c>
      <c r="FK2457" s="1" t="s">
        <v>557</v>
      </c>
      <c r="FL2457" s="1" t="s">
        <v>3565</v>
      </c>
      <c r="FM2457" s="1">
        <v>25494.0</v>
      </c>
      <c r="FN2457" s="1" t="s">
        <v>9382</v>
      </c>
      <c r="FO2457" s="1" t="s">
        <v>22359</v>
      </c>
      <c r="FP2457" s="1">
        <v>605893.0</v>
      </c>
      <c r="FQ2457" s="1" t="s">
        <v>22360</v>
      </c>
      <c r="FU2457" s="1" t="s">
        <v>22361</v>
      </c>
      <c r="FV2457" s="1" t="s">
        <v>200</v>
      </c>
      <c r="FW2457" s="1" t="s">
        <v>567</v>
      </c>
      <c r="FX2457" s="1" t="s">
        <v>655</v>
      </c>
      <c r="FZ2457" s="1" t="s">
        <v>229</v>
      </c>
      <c r="GA2457" s="1" t="s">
        <v>291</v>
      </c>
      <c r="GB2457" s="2">
        <v>42146.0</v>
      </c>
      <c r="GC2457" s="1" t="s">
        <v>22362</v>
      </c>
    </row>
    <row r="2458">
      <c r="A2458" s="1">
        <v>160000.0</v>
      </c>
      <c r="B2458" s="1" t="s">
        <v>185</v>
      </c>
      <c r="C2458" s="1" t="str">
        <f>"08824712"</f>
        <v>08824712</v>
      </c>
      <c r="D2458" s="1" t="s">
        <v>186</v>
      </c>
      <c r="F2458" s="1" t="str">
        <f>"8023"</f>
        <v>8023</v>
      </c>
      <c r="G2458" s="2">
        <v>42031.0</v>
      </c>
      <c r="H2458" s="1">
        <v>184900.0</v>
      </c>
      <c r="I2458" s="1">
        <v>39.0</v>
      </c>
      <c r="J2458" s="1">
        <v>174900.0</v>
      </c>
      <c r="K2458" s="2">
        <v>42069.0</v>
      </c>
      <c r="L2458" s="1">
        <v>39.0</v>
      </c>
      <c r="M2458" s="2">
        <v>42069.0</v>
      </c>
      <c r="N2458" s="1" t="s">
        <v>187</v>
      </c>
      <c r="O2458" s="2">
        <v>42094.0</v>
      </c>
      <c r="P2458" s="1">
        <v>155894.0</v>
      </c>
      <c r="Q2458" s="1">
        <v>11009.0</v>
      </c>
      <c r="S2458" s="1">
        <v>1714.0</v>
      </c>
      <c r="T2458" s="1" t="s">
        <v>3471</v>
      </c>
      <c r="U2458" s="1" t="s">
        <v>189</v>
      </c>
      <c r="V2458" s="1" t="s">
        <v>190</v>
      </c>
      <c r="W2458" s="1">
        <v>60647.0</v>
      </c>
      <c r="Y2458" s="1" t="s">
        <v>22363</v>
      </c>
      <c r="Z2458" s="1">
        <v>1891.0</v>
      </c>
      <c r="AA2458" s="1" t="s">
        <v>192</v>
      </c>
      <c r="AB2458" s="1" t="s">
        <v>193</v>
      </c>
      <c r="AD2458" s="1" t="s">
        <v>194</v>
      </c>
      <c r="AE2458" s="1" t="s">
        <v>195</v>
      </c>
      <c r="AF2458" s="1" t="s">
        <v>196</v>
      </c>
      <c r="AH2458" s="1" t="s">
        <v>359</v>
      </c>
      <c r="AK2458" s="1">
        <v>6.0</v>
      </c>
      <c r="AL2458" s="1">
        <v>4.0</v>
      </c>
      <c r="AM2458" s="1">
        <v>2.0</v>
      </c>
      <c r="AN2458" s="1">
        <v>0.0</v>
      </c>
      <c r="AO2458" s="1" t="s">
        <v>229</v>
      </c>
      <c r="AQ2458" s="1" t="s">
        <v>198</v>
      </c>
      <c r="AR2458" s="1" t="s">
        <v>192</v>
      </c>
      <c r="AS2458" s="1" t="s">
        <v>229</v>
      </c>
      <c r="AV2458" s="1" t="s">
        <v>200</v>
      </c>
      <c r="AW2458" s="1">
        <v>3512.88</v>
      </c>
      <c r="AX2458" s="1">
        <v>2013.0</v>
      </c>
      <c r="AY2458" s="1" t="s">
        <v>229</v>
      </c>
      <c r="AZ2458" s="1" t="s">
        <v>200</v>
      </c>
      <c r="BA2458" s="1" t="str">
        <f>"13354160370000"</f>
        <v>13354160370000</v>
      </c>
      <c r="BB2458" s="1" t="s">
        <v>200</v>
      </c>
      <c r="BC2458" s="1">
        <v>875.0</v>
      </c>
      <c r="BD2458" s="1">
        <v>160000.0</v>
      </c>
      <c r="BE2458" s="2">
        <v>42031.0</v>
      </c>
      <c r="BF2458" s="2" t="s">
        <v>14256</v>
      </c>
      <c r="BH2458" s="1">
        <v>0.0</v>
      </c>
      <c r="BK2458" s="1" t="s">
        <v>204</v>
      </c>
      <c r="BL2458" s="1" t="str">
        <f>"1714"</f>
        <v>1714</v>
      </c>
      <c r="BM2458" s="1" t="str">
        <f>"0"</f>
        <v>0</v>
      </c>
      <c r="BN2458" s="1">
        <v>3234.0</v>
      </c>
      <c r="BO2458" s="1">
        <v>0.0</v>
      </c>
      <c r="BQ2458" s="1">
        <v>299.0</v>
      </c>
      <c r="BR2458" s="1">
        <v>299.0</v>
      </c>
      <c r="BS2458" s="1">
        <v>299.0</v>
      </c>
      <c r="BU2458" s="1" t="s">
        <v>3387</v>
      </c>
      <c r="BV2458" s="1" t="s">
        <v>206</v>
      </c>
      <c r="BY2458" s="1" t="s">
        <v>1029</v>
      </c>
      <c r="BZ2458" s="1" t="s">
        <v>206</v>
      </c>
      <c r="CD2458" s="1" t="s">
        <v>204</v>
      </c>
      <c r="CG2458" s="1" t="s">
        <v>1796</v>
      </c>
      <c r="CH2458" s="1" t="s">
        <v>206</v>
      </c>
      <c r="CK2458" s="1" t="s">
        <v>269</v>
      </c>
      <c r="CL2458" s="1" t="s">
        <v>206</v>
      </c>
      <c r="CO2458" s="1" t="s">
        <v>623</v>
      </c>
      <c r="CP2458" s="1" t="s">
        <v>206</v>
      </c>
      <c r="CS2458" s="1" t="s">
        <v>363</v>
      </c>
      <c r="CT2458" s="1" t="s">
        <v>206</v>
      </c>
      <c r="CX2458" s="1" t="s">
        <v>204</v>
      </c>
      <c r="DA2458" s="1" t="s">
        <v>200</v>
      </c>
      <c r="DC2458" s="1" t="s">
        <v>642</v>
      </c>
      <c r="DE2458" s="1" t="s">
        <v>229</v>
      </c>
      <c r="DF2458" s="1" t="s">
        <v>229</v>
      </c>
      <c r="DH2458" s="1" t="s">
        <v>365</v>
      </c>
      <c r="DJ2458" s="1" t="s">
        <v>222</v>
      </c>
      <c r="DL2458" s="1" t="s">
        <v>223</v>
      </c>
      <c r="DM2458" s="1" t="s">
        <v>229</v>
      </c>
      <c r="DQ2458" s="1" t="s">
        <v>718</v>
      </c>
      <c r="DR2458" s="1" t="s">
        <v>229</v>
      </c>
      <c r="DV2458" s="1" t="s">
        <v>232</v>
      </c>
      <c r="DW2458" s="1" t="s">
        <v>667</v>
      </c>
      <c r="DX2458" s="1" t="s">
        <v>234</v>
      </c>
      <c r="EC2458" s="1" t="s">
        <v>685</v>
      </c>
      <c r="EM2458" s="1" t="s">
        <v>238</v>
      </c>
      <c r="EQ2458" s="1" t="s">
        <v>238</v>
      </c>
      <c r="EU2458" s="1" t="s">
        <v>238</v>
      </c>
      <c r="EY2458" s="1" t="s">
        <v>238</v>
      </c>
      <c r="FC2458" s="1" t="s">
        <v>238</v>
      </c>
      <c r="FF2458" s="1" t="s">
        <v>239</v>
      </c>
      <c r="FG2458" s="1" t="s">
        <v>192</v>
      </c>
      <c r="FH2458" s="1" t="s">
        <v>192</v>
      </c>
      <c r="FJ2458" s="1" t="s">
        <v>7646</v>
      </c>
      <c r="FK2458" s="1" t="s">
        <v>229</v>
      </c>
      <c r="FL2458" s="1" t="s">
        <v>10232</v>
      </c>
      <c r="FM2458" s="1">
        <v>11009.0</v>
      </c>
      <c r="FN2458" s="1" t="s">
        <v>10233</v>
      </c>
      <c r="FO2458" s="1" t="s">
        <v>13878</v>
      </c>
      <c r="FP2458" s="1">
        <v>155894.0</v>
      </c>
      <c r="FQ2458" s="1" t="s">
        <v>13879</v>
      </c>
      <c r="FU2458" s="1" t="s">
        <v>22364</v>
      </c>
      <c r="FV2458" s="1" t="s">
        <v>192</v>
      </c>
      <c r="FW2458" s="1" t="s">
        <v>290</v>
      </c>
      <c r="FX2458" s="1" t="s">
        <v>238</v>
      </c>
      <c r="FZ2458" s="1" t="s">
        <v>229</v>
      </c>
      <c r="GA2458" s="1" t="s">
        <v>291</v>
      </c>
      <c r="GB2458" s="2">
        <v>42101.0</v>
      </c>
      <c r="GC2458" s="1" t="s">
        <v>22365</v>
      </c>
    </row>
    <row r="2459">
      <c r="A2459" s="1">
        <v>178000.0</v>
      </c>
      <c r="B2459" s="1" t="s">
        <v>185</v>
      </c>
      <c r="C2459" s="1" t="str">
        <f>"08821933"</f>
        <v>08821933</v>
      </c>
      <c r="D2459" s="1" t="s">
        <v>186</v>
      </c>
      <c r="F2459" s="1" t="str">
        <f>"107"</f>
        <v>107</v>
      </c>
      <c r="G2459" s="2">
        <v>42026.0</v>
      </c>
      <c r="H2459" s="1">
        <v>179900.0</v>
      </c>
      <c r="I2459" s="1">
        <v>10.0</v>
      </c>
      <c r="J2459" s="1">
        <v>179900.0</v>
      </c>
      <c r="K2459" s="2">
        <v>42035.0</v>
      </c>
      <c r="L2459" s="1">
        <v>10.0</v>
      </c>
      <c r="M2459" s="2">
        <v>42035.0</v>
      </c>
      <c r="N2459" s="1" t="s">
        <v>356</v>
      </c>
      <c r="O2459" s="2">
        <v>42075.0</v>
      </c>
      <c r="P2459" s="1">
        <v>27410.0</v>
      </c>
      <c r="Q2459" s="1">
        <v>8093.0</v>
      </c>
      <c r="R2459" s="1">
        <v>3000.0</v>
      </c>
      <c r="S2459" s="1">
        <v>124.0</v>
      </c>
      <c r="T2459" s="1" t="s">
        <v>1173</v>
      </c>
      <c r="U2459" s="1" t="s">
        <v>569</v>
      </c>
      <c r="V2459" s="1" t="s">
        <v>294</v>
      </c>
      <c r="W2459" s="1">
        <v>60107.0</v>
      </c>
      <c r="Y2459" s="1" t="s">
        <v>22366</v>
      </c>
      <c r="Z2459" s="1">
        <v>1958.0</v>
      </c>
      <c r="AA2459" s="1" t="s">
        <v>192</v>
      </c>
      <c r="AB2459" s="1" t="s">
        <v>193</v>
      </c>
      <c r="AD2459" s="1" t="s">
        <v>297</v>
      </c>
      <c r="AE2459" s="1" t="s">
        <v>195</v>
      </c>
      <c r="AF2459" s="1" t="s">
        <v>298</v>
      </c>
      <c r="AH2459" s="1" t="s">
        <v>22367</v>
      </c>
      <c r="AK2459" s="1">
        <v>8.0</v>
      </c>
      <c r="AL2459" s="1">
        <v>4.0</v>
      </c>
      <c r="AM2459" s="1">
        <v>2.0</v>
      </c>
      <c r="AN2459" s="1">
        <v>0.0</v>
      </c>
      <c r="AO2459" s="1" t="s">
        <v>198</v>
      </c>
      <c r="AP2459" s="1">
        <v>1.0</v>
      </c>
      <c r="AQ2459" s="1" t="s">
        <v>229</v>
      </c>
      <c r="AS2459" s="1" t="s">
        <v>199</v>
      </c>
      <c r="AT2459" s="1">
        <v>1.0</v>
      </c>
      <c r="AV2459" s="1" t="s">
        <v>200</v>
      </c>
      <c r="AW2459" s="1">
        <v>3717.0</v>
      </c>
      <c r="AX2459" s="1">
        <v>2013.0</v>
      </c>
      <c r="AY2459" s="1" t="s">
        <v>387</v>
      </c>
      <c r="AZ2459" s="1" t="s">
        <v>200</v>
      </c>
      <c r="BA2459" s="1" t="str">
        <f>"06261030340000"</f>
        <v>06261030340000</v>
      </c>
      <c r="BC2459" s="1">
        <v>1800.0</v>
      </c>
      <c r="BD2459" s="1">
        <v>178000.0</v>
      </c>
      <c r="BE2459" s="2">
        <v>42026.0</v>
      </c>
      <c r="BF2459" s="1" t="s">
        <v>22368</v>
      </c>
      <c r="BG2459" s="1" t="s">
        <v>22053</v>
      </c>
      <c r="BH2459" s="1">
        <v>0.0</v>
      </c>
      <c r="BI2459" s="1" t="s">
        <v>513</v>
      </c>
      <c r="BJ2459" s="1" t="s">
        <v>757</v>
      </c>
      <c r="BK2459" s="1" t="s">
        <v>204</v>
      </c>
      <c r="BL2459" s="1" t="str">
        <f t="shared" ref="BL2459:BM2459" si="1601">""</f>
        <v/>
      </c>
      <c r="BM2459" s="1" t="str">
        <f t="shared" si="1601"/>
        <v/>
      </c>
      <c r="BQ2459" s="1">
        <v>46.0</v>
      </c>
      <c r="BR2459" s="1">
        <v>46.0</v>
      </c>
      <c r="BS2459" s="1">
        <v>46.0</v>
      </c>
      <c r="BU2459" s="1" t="s">
        <v>361</v>
      </c>
      <c r="BV2459" s="1" t="s">
        <v>206</v>
      </c>
      <c r="BW2459" s="1" t="s">
        <v>301</v>
      </c>
      <c r="BY2459" s="1" t="s">
        <v>331</v>
      </c>
      <c r="BZ2459" s="1" t="s">
        <v>206</v>
      </c>
      <c r="CA2459" s="1" t="s">
        <v>301</v>
      </c>
      <c r="CC2459" s="1" t="s">
        <v>1119</v>
      </c>
      <c r="CD2459" s="1" t="s">
        <v>206</v>
      </c>
      <c r="CE2459" s="1" t="s">
        <v>268</v>
      </c>
      <c r="CG2459" s="1" t="s">
        <v>331</v>
      </c>
      <c r="CH2459" s="1" t="s">
        <v>206</v>
      </c>
      <c r="CI2459" s="1" t="s">
        <v>301</v>
      </c>
      <c r="CK2459" s="1" t="s">
        <v>816</v>
      </c>
      <c r="CL2459" s="1" t="s">
        <v>206</v>
      </c>
      <c r="CM2459" s="1" t="s">
        <v>301</v>
      </c>
      <c r="CO2459" s="1" t="s">
        <v>2505</v>
      </c>
      <c r="CP2459" s="1" t="s">
        <v>206</v>
      </c>
      <c r="CQ2459" s="1" t="s">
        <v>301</v>
      </c>
      <c r="CS2459" s="1" t="s">
        <v>331</v>
      </c>
      <c r="CT2459" s="1" t="s">
        <v>206</v>
      </c>
      <c r="CU2459" s="1" t="s">
        <v>268</v>
      </c>
      <c r="CW2459" s="1" t="s">
        <v>662</v>
      </c>
      <c r="CX2459" s="1" t="s">
        <v>206</v>
      </c>
      <c r="CY2459" s="1" t="s">
        <v>268</v>
      </c>
      <c r="DA2459" s="1" t="s">
        <v>200</v>
      </c>
      <c r="DC2459" s="1" t="s">
        <v>271</v>
      </c>
      <c r="DD2459" s="1" t="s">
        <v>518</v>
      </c>
      <c r="DE2459" s="1" t="s">
        <v>273</v>
      </c>
      <c r="DF2459" s="1" t="s">
        <v>219</v>
      </c>
      <c r="DH2459" s="1" t="s">
        <v>365</v>
      </c>
      <c r="DI2459" s="1" t="s">
        <v>703</v>
      </c>
      <c r="DJ2459" s="1" t="s">
        <v>222</v>
      </c>
      <c r="DL2459" s="1" t="s">
        <v>229</v>
      </c>
      <c r="DM2459" s="1" t="s">
        <v>229</v>
      </c>
      <c r="DO2459" s="1" t="s">
        <v>549</v>
      </c>
      <c r="DP2459" s="1" t="s">
        <v>340</v>
      </c>
      <c r="DQ2459" s="1" t="s">
        <v>228</v>
      </c>
      <c r="DR2459" s="1" t="s">
        <v>229</v>
      </c>
      <c r="DS2459" s="1" t="s">
        <v>230</v>
      </c>
      <c r="DV2459" s="1" t="s">
        <v>232</v>
      </c>
      <c r="DW2459" s="1" t="s">
        <v>667</v>
      </c>
      <c r="DX2459" s="1" t="s">
        <v>234</v>
      </c>
      <c r="DZ2459" s="1" t="s">
        <v>282</v>
      </c>
      <c r="EA2459" s="1" t="s">
        <v>683</v>
      </c>
      <c r="EB2459" s="1" t="s">
        <v>345</v>
      </c>
      <c r="EC2459" s="1" t="s">
        <v>685</v>
      </c>
      <c r="ED2459" s="1" t="s">
        <v>22369</v>
      </c>
      <c r="EM2459" s="1" t="s">
        <v>238</v>
      </c>
      <c r="EQ2459" s="1" t="s">
        <v>238</v>
      </c>
      <c r="EU2459" s="1" t="s">
        <v>238</v>
      </c>
      <c r="EY2459" s="1" t="s">
        <v>238</v>
      </c>
      <c r="FC2459" s="1" t="s">
        <v>238</v>
      </c>
      <c r="FF2459" s="1" t="s">
        <v>239</v>
      </c>
      <c r="FG2459" s="1" t="s">
        <v>192</v>
      </c>
      <c r="FH2459" s="1" t="s">
        <v>192</v>
      </c>
      <c r="FJ2459" s="1" t="s">
        <v>1450</v>
      </c>
      <c r="FK2459" s="1" t="s">
        <v>229</v>
      </c>
      <c r="FL2459" s="1" t="s">
        <v>906</v>
      </c>
      <c r="FM2459" s="1">
        <v>364.0</v>
      </c>
      <c r="FN2459" s="1" t="s">
        <v>907</v>
      </c>
      <c r="FO2459" s="1" t="s">
        <v>22370</v>
      </c>
      <c r="FP2459" s="1">
        <v>7964.0</v>
      </c>
      <c r="FQ2459" s="1" t="s">
        <v>22371</v>
      </c>
      <c r="FU2459" s="1" t="s">
        <v>22372</v>
      </c>
      <c r="FV2459" s="1" t="s">
        <v>200</v>
      </c>
      <c r="FW2459" s="1" t="s">
        <v>290</v>
      </c>
      <c r="FZ2459" s="1" t="s">
        <v>229</v>
      </c>
      <c r="GA2459" s="1" t="s">
        <v>291</v>
      </c>
      <c r="GB2459" s="2">
        <v>42076.0</v>
      </c>
    </row>
    <row r="2460">
      <c r="A2460" s="1">
        <v>430000.0</v>
      </c>
      <c r="B2460" s="1" t="s">
        <v>185</v>
      </c>
      <c r="C2460" s="1" t="str">
        <f>"08823540"</f>
        <v>08823540</v>
      </c>
      <c r="D2460" s="1" t="s">
        <v>186</v>
      </c>
      <c r="F2460" s="1" t="str">
        <f>"134"</f>
        <v>134</v>
      </c>
      <c r="G2460" s="2">
        <v>42029.0</v>
      </c>
      <c r="H2460" s="1">
        <v>429500.0</v>
      </c>
      <c r="I2460" s="1">
        <v>4.0</v>
      </c>
      <c r="J2460" s="1">
        <v>429500.0</v>
      </c>
      <c r="K2460" s="2">
        <v>42032.0</v>
      </c>
      <c r="L2460" s="1">
        <v>4.0</v>
      </c>
      <c r="M2460" s="2">
        <v>42032.0</v>
      </c>
      <c r="N2460" s="1" t="s">
        <v>249</v>
      </c>
      <c r="O2460" s="2">
        <v>42069.0</v>
      </c>
      <c r="P2460" s="1">
        <v>335.0</v>
      </c>
      <c r="Q2460" s="1">
        <v>383.0</v>
      </c>
      <c r="S2460" s="1" t="s">
        <v>22373</v>
      </c>
      <c r="T2460" s="1" t="s">
        <v>18505</v>
      </c>
      <c r="U2460" s="1" t="s">
        <v>464</v>
      </c>
      <c r="V2460" s="1" t="s">
        <v>421</v>
      </c>
      <c r="W2460" s="1">
        <v>60134.0</v>
      </c>
      <c r="Y2460" s="1" t="s">
        <v>22374</v>
      </c>
      <c r="Z2460" s="1">
        <v>1999.0</v>
      </c>
      <c r="AA2460" s="1" t="s">
        <v>200</v>
      </c>
      <c r="AB2460" s="1" t="s">
        <v>193</v>
      </c>
      <c r="AC2460" s="1" t="s">
        <v>1596</v>
      </c>
      <c r="AD2460" s="1" t="s">
        <v>1089</v>
      </c>
      <c r="AE2460" s="1" t="s">
        <v>325</v>
      </c>
      <c r="AF2460" s="1" t="s">
        <v>1479</v>
      </c>
      <c r="AG2460" s="1" t="s">
        <v>22375</v>
      </c>
      <c r="AH2460" s="1" t="s">
        <v>4132</v>
      </c>
      <c r="AK2460" s="1">
        <v>11.0</v>
      </c>
      <c r="AL2460" s="1">
        <v>4.0</v>
      </c>
      <c r="AM2460" s="1">
        <v>3.0</v>
      </c>
      <c r="AN2460" s="1">
        <v>1.0</v>
      </c>
      <c r="AO2460" s="1" t="s">
        <v>198</v>
      </c>
      <c r="AP2460" s="1">
        <v>1.0</v>
      </c>
      <c r="AQ2460" s="1" t="s">
        <v>327</v>
      </c>
      <c r="AR2460" s="1" t="s">
        <v>192</v>
      </c>
      <c r="AS2460" s="1" t="s">
        <v>199</v>
      </c>
      <c r="AT2460" s="1">
        <v>2.0</v>
      </c>
      <c r="AV2460" s="1" t="s">
        <v>200</v>
      </c>
      <c r="AW2460" s="1">
        <v>11613.0</v>
      </c>
      <c r="AX2460" s="1">
        <v>2013.0</v>
      </c>
      <c r="AY2460" s="1" t="s">
        <v>387</v>
      </c>
      <c r="AZ2460" s="1" t="s">
        <v>200</v>
      </c>
      <c r="BA2460" s="1" t="str">
        <f>"1112280000"</f>
        <v>1112280000</v>
      </c>
      <c r="BB2460" s="1" t="s">
        <v>200</v>
      </c>
      <c r="BC2460" s="1">
        <v>4000.0</v>
      </c>
      <c r="BD2460" s="1">
        <v>430000.0</v>
      </c>
      <c r="BE2460" s="2">
        <v>42029.0</v>
      </c>
      <c r="BF2460" s="2" t="s">
        <v>22376</v>
      </c>
      <c r="BH2460" s="1">
        <v>0.0</v>
      </c>
      <c r="BK2460" s="1" t="s">
        <v>204</v>
      </c>
      <c r="BL2460" s="1" t="str">
        <f t="shared" ref="BL2460:BM2460" si="1602">"0"</f>
        <v>0</v>
      </c>
      <c r="BM2460" s="1" t="str">
        <f t="shared" si="1602"/>
        <v>0</v>
      </c>
      <c r="BN2460" s="1">
        <v>39.0</v>
      </c>
      <c r="BO2460" s="1">
        <v>0.0</v>
      </c>
      <c r="BQ2460" s="1">
        <v>304.0</v>
      </c>
      <c r="BR2460" s="1">
        <v>304.0</v>
      </c>
      <c r="BS2460" s="1">
        <v>304.0</v>
      </c>
      <c r="BV2460" s="1" t="s">
        <v>204</v>
      </c>
      <c r="BY2460" s="1" t="s">
        <v>1600</v>
      </c>
      <c r="BZ2460" s="1" t="s">
        <v>206</v>
      </c>
      <c r="CA2460" s="1" t="s">
        <v>210</v>
      </c>
      <c r="CB2460" s="1" t="s">
        <v>22377</v>
      </c>
      <c r="CC2460" s="1" t="s">
        <v>215</v>
      </c>
      <c r="CD2460" s="1" t="s">
        <v>206</v>
      </c>
      <c r="CE2460" s="1" t="s">
        <v>207</v>
      </c>
      <c r="CF2460" s="1" t="s">
        <v>476</v>
      </c>
      <c r="CG2460" s="1" t="s">
        <v>1158</v>
      </c>
      <c r="CH2460" s="1" t="s">
        <v>209</v>
      </c>
      <c r="CI2460" s="1" t="s">
        <v>210</v>
      </c>
      <c r="CJ2460" s="1" t="s">
        <v>22377</v>
      </c>
      <c r="CK2460" s="1" t="s">
        <v>1158</v>
      </c>
      <c r="CL2460" s="1" t="s">
        <v>209</v>
      </c>
      <c r="CM2460" s="1" t="s">
        <v>210</v>
      </c>
      <c r="CN2460" s="1" t="s">
        <v>22377</v>
      </c>
      <c r="CO2460" s="1" t="s">
        <v>262</v>
      </c>
      <c r="CP2460" s="1" t="s">
        <v>209</v>
      </c>
      <c r="CQ2460" s="1" t="s">
        <v>210</v>
      </c>
      <c r="CR2460" s="1" t="s">
        <v>22377</v>
      </c>
      <c r="CS2460" s="1" t="s">
        <v>2181</v>
      </c>
      <c r="CT2460" s="1" t="s">
        <v>206</v>
      </c>
      <c r="CU2460" s="1" t="s">
        <v>207</v>
      </c>
      <c r="CV2460" s="1" t="s">
        <v>239</v>
      </c>
      <c r="CX2460" s="1" t="s">
        <v>204</v>
      </c>
      <c r="DA2460" s="1" t="s">
        <v>200</v>
      </c>
      <c r="DC2460" s="1" t="s">
        <v>678</v>
      </c>
      <c r="DD2460" s="1" t="s">
        <v>586</v>
      </c>
      <c r="DE2460" s="1" t="s">
        <v>273</v>
      </c>
      <c r="DF2460" s="1" t="s">
        <v>219</v>
      </c>
      <c r="DG2460" s="1" t="s">
        <v>22378</v>
      </c>
      <c r="DH2460" s="1" t="s">
        <v>1603</v>
      </c>
      <c r="DI2460" s="1" t="s">
        <v>5873</v>
      </c>
      <c r="DJ2460" s="1" t="s">
        <v>222</v>
      </c>
      <c r="DK2460" s="1" t="s">
        <v>198</v>
      </c>
      <c r="DL2460" s="1" t="s">
        <v>224</v>
      </c>
      <c r="DM2460" s="1" t="s">
        <v>3697</v>
      </c>
      <c r="DN2460" s="1" t="s">
        <v>399</v>
      </c>
      <c r="DO2460" s="1" t="s">
        <v>22379</v>
      </c>
      <c r="DP2460" s="1" t="s">
        <v>340</v>
      </c>
      <c r="DQ2460" s="1" t="s">
        <v>441</v>
      </c>
      <c r="DR2460" s="1" t="s">
        <v>229</v>
      </c>
      <c r="DS2460" s="1" t="s">
        <v>591</v>
      </c>
      <c r="DU2460" s="1" t="s">
        <v>8424</v>
      </c>
      <c r="DV2460" s="1" t="s">
        <v>22380</v>
      </c>
      <c r="DW2460" s="1" t="s">
        <v>891</v>
      </c>
      <c r="DX2460" s="1" t="s">
        <v>234</v>
      </c>
      <c r="DY2460" s="1" t="s">
        <v>22381</v>
      </c>
      <c r="DZ2460" s="1" t="s">
        <v>1146</v>
      </c>
      <c r="EA2460" s="1" t="s">
        <v>344</v>
      </c>
      <c r="EB2460" s="1" t="s">
        <v>492</v>
      </c>
      <c r="EC2460" s="1" t="s">
        <v>237</v>
      </c>
      <c r="ED2460" s="1" t="s">
        <v>555</v>
      </c>
      <c r="EE2460" s="1" t="s">
        <v>493</v>
      </c>
      <c r="EH2460" s="1" t="s">
        <v>2971</v>
      </c>
      <c r="EI2460" s="1" t="s">
        <v>450</v>
      </c>
      <c r="EJ2460" s="1" t="s">
        <v>449</v>
      </c>
      <c r="EK2460" s="1" t="s">
        <v>598</v>
      </c>
      <c r="EM2460" s="1" t="s">
        <v>238</v>
      </c>
      <c r="EP2460" s="1" t="s">
        <v>477</v>
      </c>
      <c r="EQ2460" s="1" t="s">
        <v>1697</v>
      </c>
      <c r="ER2460" s="1" t="s">
        <v>268</v>
      </c>
      <c r="ET2460" s="1" t="s">
        <v>9232</v>
      </c>
      <c r="EU2460" s="1" t="s">
        <v>1697</v>
      </c>
      <c r="EV2460" s="1" t="s">
        <v>210</v>
      </c>
      <c r="EX2460" s="1" t="s">
        <v>1329</v>
      </c>
      <c r="EY2460" s="1" t="s">
        <v>206</v>
      </c>
      <c r="EZ2460" s="1" t="s">
        <v>207</v>
      </c>
      <c r="FA2460" s="1" t="s">
        <v>239</v>
      </c>
      <c r="FB2460" s="1" t="s">
        <v>331</v>
      </c>
      <c r="FC2460" s="1" t="s">
        <v>1697</v>
      </c>
      <c r="FD2460" s="1" t="s">
        <v>210</v>
      </c>
      <c r="FE2460" s="1" t="s">
        <v>239</v>
      </c>
      <c r="FF2460" s="1" t="s">
        <v>239</v>
      </c>
      <c r="FG2460" s="1" t="s">
        <v>192</v>
      </c>
      <c r="FH2460" s="1" t="s">
        <v>192</v>
      </c>
      <c r="FJ2460" s="1" t="s">
        <v>1538</v>
      </c>
      <c r="FK2460" s="1" t="s">
        <v>229</v>
      </c>
      <c r="FL2460" s="1" t="s">
        <v>499</v>
      </c>
      <c r="FM2460" s="1">
        <v>358.0</v>
      </c>
      <c r="FN2460" s="1" t="s">
        <v>500</v>
      </c>
      <c r="FO2460" s="1" t="s">
        <v>501</v>
      </c>
      <c r="FP2460" s="1">
        <v>347.0</v>
      </c>
      <c r="FQ2460" s="1" t="s">
        <v>500</v>
      </c>
      <c r="FS2460" s="1" t="s">
        <v>502</v>
      </c>
      <c r="FU2460" s="1" t="s">
        <v>22382</v>
      </c>
      <c r="FV2460" s="1" t="s">
        <v>200</v>
      </c>
      <c r="FW2460" s="1" t="s">
        <v>290</v>
      </c>
      <c r="FZ2460" s="1" t="s">
        <v>2993</v>
      </c>
      <c r="GA2460" s="1" t="s">
        <v>291</v>
      </c>
      <c r="GB2460" s="2">
        <v>42070.0</v>
      </c>
      <c r="GC2460" s="1" t="s">
        <v>22383</v>
      </c>
    </row>
    <row r="2461">
      <c r="A2461" s="1">
        <v>275000.0</v>
      </c>
      <c r="B2461" s="1" t="s">
        <v>185</v>
      </c>
      <c r="C2461" s="1" t="str">
        <f>"08822996"</f>
        <v>08822996</v>
      </c>
      <c r="D2461" s="1" t="s">
        <v>186</v>
      </c>
      <c r="F2461" s="1" t="str">
        <f>"177"</f>
        <v>177</v>
      </c>
      <c r="G2461" s="2">
        <v>42027.0</v>
      </c>
      <c r="H2461" s="1">
        <v>284900.0</v>
      </c>
      <c r="I2461" s="1">
        <v>9.0</v>
      </c>
      <c r="J2461" s="1">
        <v>284900.0</v>
      </c>
      <c r="K2461" s="2">
        <v>42035.0</v>
      </c>
      <c r="L2461" s="1">
        <v>9.0</v>
      </c>
      <c r="M2461" s="2">
        <v>42035.0</v>
      </c>
      <c r="N2461" s="1" t="s">
        <v>187</v>
      </c>
      <c r="O2461" s="2">
        <v>42069.0</v>
      </c>
      <c r="P2461" s="1">
        <v>77413.0</v>
      </c>
      <c r="Q2461" s="1">
        <v>7450.0</v>
      </c>
      <c r="S2461" s="1">
        <v>555.0</v>
      </c>
      <c r="T2461" s="1" t="s">
        <v>22384</v>
      </c>
      <c r="U2461" s="1" t="s">
        <v>1174</v>
      </c>
      <c r="V2461" s="1" t="s">
        <v>2249</v>
      </c>
      <c r="W2461" s="1">
        <v>60177.0</v>
      </c>
      <c r="Y2461" s="1" t="s">
        <v>22385</v>
      </c>
      <c r="Z2461" s="1">
        <v>1999.0</v>
      </c>
      <c r="AA2461" s="1" t="s">
        <v>200</v>
      </c>
      <c r="AB2461" s="1" t="s">
        <v>193</v>
      </c>
      <c r="AC2461" s="1" t="s">
        <v>3437</v>
      </c>
      <c r="AD2461" s="1" t="s">
        <v>2252</v>
      </c>
      <c r="AE2461" s="1" t="s">
        <v>325</v>
      </c>
      <c r="AF2461" s="1" t="s">
        <v>1203</v>
      </c>
      <c r="AG2461" s="1" t="s">
        <v>13423</v>
      </c>
      <c r="AH2461" s="1" t="s">
        <v>22386</v>
      </c>
      <c r="AK2461" s="1">
        <v>11.0</v>
      </c>
      <c r="AL2461" s="1">
        <v>4.0</v>
      </c>
      <c r="AM2461" s="1">
        <v>2.0</v>
      </c>
      <c r="AN2461" s="1">
        <v>1.0</v>
      </c>
      <c r="AO2461" s="1" t="s">
        <v>198</v>
      </c>
      <c r="AQ2461" s="1" t="s">
        <v>198</v>
      </c>
      <c r="AR2461" s="1" t="s">
        <v>200</v>
      </c>
      <c r="AS2461" s="1" t="s">
        <v>199</v>
      </c>
      <c r="AT2461" s="1">
        <v>2.0</v>
      </c>
      <c r="AV2461" s="1" t="s">
        <v>200</v>
      </c>
      <c r="AW2461" s="1">
        <v>7998.0</v>
      </c>
      <c r="AX2461" s="1">
        <v>2013.0</v>
      </c>
      <c r="AY2461" s="1" t="s">
        <v>387</v>
      </c>
      <c r="AZ2461" s="1" t="s">
        <v>200</v>
      </c>
      <c r="BA2461" s="1" t="str">
        <f>"0903280001"</f>
        <v>0903280001</v>
      </c>
      <c r="BC2461" s="1">
        <v>2885.0</v>
      </c>
      <c r="BD2461" s="1">
        <v>275000.0</v>
      </c>
      <c r="BE2461" s="2">
        <v>42027.0</v>
      </c>
      <c r="BF2461" s="2" t="s">
        <v>22387</v>
      </c>
      <c r="BG2461" s="1" t="s">
        <v>10567</v>
      </c>
      <c r="BH2461" s="1">
        <v>0.0</v>
      </c>
      <c r="BI2461" s="1" t="s">
        <v>4511</v>
      </c>
      <c r="BJ2461" s="1" t="s">
        <v>2200</v>
      </c>
      <c r="BK2461" s="1" t="s">
        <v>204</v>
      </c>
      <c r="BL2461" s="1" t="str">
        <f t="shared" ref="BL2461:BM2461" si="1603">""</f>
        <v/>
      </c>
      <c r="BM2461" s="1" t="str">
        <f t="shared" si="1603"/>
        <v/>
      </c>
      <c r="BQ2461" s="1">
        <v>303.0</v>
      </c>
      <c r="BR2461" s="1">
        <v>303.0</v>
      </c>
      <c r="BS2461" s="1">
        <v>303.0</v>
      </c>
      <c r="BU2461" s="1" t="s">
        <v>329</v>
      </c>
      <c r="BV2461" s="1" t="s">
        <v>206</v>
      </c>
      <c r="BW2461" s="1" t="s">
        <v>210</v>
      </c>
      <c r="BX2461" s="1" t="s">
        <v>431</v>
      </c>
      <c r="BY2461" s="1" t="s">
        <v>616</v>
      </c>
      <c r="BZ2461" s="1" t="s">
        <v>209</v>
      </c>
      <c r="CA2461" s="1" t="s">
        <v>210</v>
      </c>
      <c r="CB2461" s="1" t="s">
        <v>431</v>
      </c>
      <c r="CC2461" s="1" t="s">
        <v>495</v>
      </c>
      <c r="CD2461" s="1" t="s">
        <v>206</v>
      </c>
      <c r="CE2461" s="1" t="s">
        <v>210</v>
      </c>
      <c r="CF2461" s="1" t="s">
        <v>431</v>
      </c>
      <c r="CG2461" s="1" t="s">
        <v>262</v>
      </c>
      <c r="CH2461" s="1" t="s">
        <v>209</v>
      </c>
      <c r="CI2461" s="1" t="s">
        <v>210</v>
      </c>
      <c r="CJ2461" s="1" t="s">
        <v>431</v>
      </c>
      <c r="CK2461" s="1" t="s">
        <v>699</v>
      </c>
      <c r="CL2461" s="1" t="s">
        <v>209</v>
      </c>
      <c r="CM2461" s="1" t="s">
        <v>210</v>
      </c>
      <c r="CN2461" s="1" t="s">
        <v>431</v>
      </c>
      <c r="CO2461" s="1" t="s">
        <v>363</v>
      </c>
      <c r="CP2461" s="1" t="s">
        <v>209</v>
      </c>
      <c r="CQ2461" s="1" t="s">
        <v>210</v>
      </c>
      <c r="CR2461" s="1" t="s">
        <v>431</v>
      </c>
      <c r="CS2461" s="1" t="s">
        <v>332</v>
      </c>
      <c r="CT2461" s="1" t="s">
        <v>206</v>
      </c>
      <c r="CU2461" s="1" t="s">
        <v>268</v>
      </c>
      <c r="CV2461" s="1" t="s">
        <v>431</v>
      </c>
      <c r="CW2461" s="1" t="s">
        <v>1892</v>
      </c>
      <c r="CX2461" s="1" t="s">
        <v>206</v>
      </c>
      <c r="CY2461" s="1" t="s">
        <v>210</v>
      </c>
      <c r="CZ2461" s="1" t="s">
        <v>431</v>
      </c>
      <c r="DA2461" s="1" t="s">
        <v>200</v>
      </c>
      <c r="DC2461" s="1" t="s">
        <v>678</v>
      </c>
      <c r="DD2461" s="1" t="s">
        <v>336</v>
      </c>
      <c r="DE2461" s="1" t="s">
        <v>273</v>
      </c>
      <c r="DF2461" s="1" t="s">
        <v>219</v>
      </c>
      <c r="DG2461" s="1" t="s">
        <v>482</v>
      </c>
      <c r="DH2461" s="1" t="s">
        <v>220</v>
      </c>
      <c r="DI2461" s="1" t="s">
        <v>1003</v>
      </c>
      <c r="DJ2461" s="1" t="s">
        <v>222</v>
      </c>
      <c r="DK2461" s="1" t="s">
        <v>223</v>
      </c>
      <c r="DL2461" s="1" t="s">
        <v>858</v>
      </c>
      <c r="DM2461" s="1" t="s">
        <v>338</v>
      </c>
      <c r="DN2461" s="1" t="s">
        <v>485</v>
      </c>
      <c r="DO2461" s="1" t="s">
        <v>590</v>
      </c>
      <c r="DP2461" s="1" t="s">
        <v>276</v>
      </c>
      <c r="DQ2461" s="1" t="s">
        <v>228</v>
      </c>
      <c r="DR2461" s="1" t="s">
        <v>229</v>
      </c>
      <c r="DS2461" s="1" t="s">
        <v>368</v>
      </c>
      <c r="DU2461" s="1" t="s">
        <v>17746</v>
      </c>
      <c r="DV2461" s="1" t="s">
        <v>22388</v>
      </c>
      <c r="DW2461" s="1" t="s">
        <v>370</v>
      </c>
      <c r="DX2461" s="1" t="s">
        <v>234</v>
      </c>
      <c r="DY2461" s="1" t="s">
        <v>3846</v>
      </c>
      <c r="DZ2461" s="1" t="s">
        <v>22389</v>
      </c>
      <c r="EC2461" s="1" t="s">
        <v>237</v>
      </c>
      <c r="ED2461" s="1" t="s">
        <v>407</v>
      </c>
      <c r="EG2461" s="1" t="s">
        <v>449</v>
      </c>
      <c r="EH2461" s="1" t="s">
        <v>341</v>
      </c>
      <c r="EI2461" s="1" t="s">
        <v>1121</v>
      </c>
      <c r="EJ2461" s="1" t="s">
        <v>408</v>
      </c>
      <c r="EL2461" s="1" t="s">
        <v>495</v>
      </c>
      <c r="EM2461" s="1" t="s">
        <v>206</v>
      </c>
      <c r="EN2461" s="1" t="s">
        <v>268</v>
      </c>
      <c r="EO2461" s="1" t="s">
        <v>431</v>
      </c>
      <c r="EP2461" s="1" t="s">
        <v>303</v>
      </c>
      <c r="EQ2461" s="1" t="s">
        <v>209</v>
      </c>
      <c r="ER2461" s="1" t="s">
        <v>210</v>
      </c>
      <c r="ES2461" s="1" t="s">
        <v>431</v>
      </c>
      <c r="ET2461" s="1" t="s">
        <v>768</v>
      </c>
      <c r="EU2461" s="1" t="s">
        <v>209</v>
      </c>
      <c r="EV2461" s="1" t="s">
        <v>210</v>
      </c>
      <c r="EW2461" s="1" t="s">
        <v>431</v>
      </c>
      <c r="EX2461" s="1" t="s">
        <v>3508</v>
      </c>
      <c r="EY2461" s="1" t="s">
        <v>206</v>
      </c>
      <c r="EZ2461" s="1" t="s">
        <v>268</v>
      </c>
      <c r="FC2461" s="1" t="s">
        <v>238</v>
      </c>
      <c r="FF2461" s="1" t="s">
        <v>239</v>
      </c>
      <c r="FG2461" s="1" t="s">
        <v>192</v>
      </c>
      <c r="FH2461" s="1" t="s">
        <v>192</v>
      </c>
      <c r="FJ2461" s="1" t="s">
        <v>561</v>
      </c>
      <c r="FK2461" s="1" t="s">
        <v>229</v>
      </c>
      <c r="FL2461" s="1" t="s">
        <v>562</v>
      </c>
      <c r="FM2461" s="1">
        <v>4777.0</v>
      </c>
      <c r="FN2461" s="1" t="s">
        <v>6112</v>
      </c>
      <c r="FO2461" s="1" t="s">
        <v>22390</v>
      </c>
      <c r="FP2461" s="1">
        <v>36146.0</v>
      </c>
      <c r="FQ2461" s="1" t="s">
        <v>22391</v>
      </c>
      <c r="FU2461" s="1" t="s">
        <v>22392</v>
      </c>
      <c r="FV2461" s="1" t="s">
        <v>200</v>
      </c>
      <c r="FW2461" s="1" t="s">
        <v>290</v>
      </c>
      <c r="FX2461" s="1" t="s">
        <v>238</v>
      </c>
      <c r="FZ2461" s="1" t="s">
        <v>229</v>
      </c>
      <c r="GA2461" s="1" t="s">
        <v>291</v>
      </c>
      <c r="GB2461" s="2">
        <v>42076.0</v>
      </c>
      <c r="GC2461" s="1" t="s">
        <v>22393</v>
      </c>
    </row>
    <row r="2462">
      <c r="A2462" s="1">
        <v>1035000.0</v>
      </c>
      <c r="B2462" s="1" t="s">
        <v>185</v>
      </c>
      <c r="C2462" s="1" t="str">
        <f>"08830238"</f>
        <v>08830238</v>
      </c>
      <c r="D2462" s="1" t="s">
        <v>186</v>
      </c>
      <c r="F2462" s="1" t="str">
        <f>"8077"</f>
        <v>8077</v>
      </c>
      <c r="G2462" s="2">
        <v>42038.0</v>
      </c>
      <c r="H2462" s="1">
        <v>1075000.0</v>
      </c>
      <c r="I2462" s="1">
        <v>97.0</v>
      </c>
      <c r="J2462" s="1">
        <v>1075000.0</v>
      </c>
      <c r="K2462" s="2">
        <v>42085.0</v>
      </c>
      <c r="L2462" s="1">
        <v>48.0</v>
      </c>
      <c r="M2462" s="2">
        <v>42085.0</v>
      </c>
      <c r="N2462" s="1" t="s">
        <v>187</v>
      </c>
      <c r="O2462" s="2">
        <v>42132.0</v>
      </c>
      <c r="P2462" s="1">
        <v>145788.0</v>
      </c>
      <c r="Q2462" s="1">
        <v>84729.0</v>
      </c>
      <c r="S2462" s="1">
        <v>1751.0</v>
      </c>
      <c r="T2462" s="1" t="s">
        <v>7127</v>
      </c>
      <c r="U2462" s="1" t="s">
        <v>189</v>
      </c>
      <c r="V2462" s="1" t="s">
        <v>190</v>
      </c>
      <c r="W2462" s="1">
        <v>60640.0</v>
      </c>
      <c r="Y2462" s="1" t="s">
        <v>22394</v>
      </c>
      <c r="Z2462" s="1" t="s">
        <v>296</v>
      </c>
      <c r="AA2462" s="1" t="s">
        <v>192</v>
      </c>
      <c r="AB2462" s="1" t="s">
        <v>193</v>
      </c>
      <c r="AD2462" s="1" t="s">
        <v>194</v>
      </c>
      <c r="AE2462" s="1" t="s">
        <v>195</v>
      </c>
      <c r="AF2462" s="1" t="s">
        <v>534</v>
      </c>
      <c r="AH2462" s="1" t="s">
        <v>22395</v>
      </c>
      <c r="AK2462" s="1">
        <v>10.0</v>
      </c>
      <c r="AL2462" s="1">
        <v>4.0</v>
      </c>
      <c r="AM2462" s="1">
        <v>3.0</v>
      </c>
      <c r="AN2462" s="1">
        <v>1.0</v>
      </c>
      <c r="AO2462" s="1" t="s">
        <v>198</v>
      </c>
      <c r="AP2462" s="1">
        <v>1.0</v>
      </c>
      <c r="AQ2462" s="1" t="s">
        <v>472</v>
      </c>
      <c r="AR2462" s="1" t="s">
        <v>192</v>
      </c>
      <c r="AS2462" s="1" t="s">
        <v>199</v>
      </c>
      <c r="AT2462" s="1">
        <v>2.0</v>
      </c>
      <c r="AV2462" s="1" t="s">
        <v>200</v>
      </c>
      <c r="AW2462" s="1">
        <v>6234.0</v>
      </c>
      <c r="AX2462" s="1">
        <v>2013.0</v>
      </c>
      <c r="AY2462" s="1" t="s">
        <v>229</v>
      </c>
      <c r="AZ2462" s="1" t="s">
        <v>200</v>
      </c>
      <c r="BA2462" s="1" t="str">
        <f>"14072230020000"</f>
        <v>14072230020000</v>
      </c>
      <c r="BC2462" s="1">
        <v>3500.0</v>
      </c>
      <c r="BD2462" s="1">
        <v>1035000.0</v>
      </c>
      <c r="BE2462" s="2">
        <v>42038.0</v>
      </c>
      <c r="BF2462" s="2" t="s">
        <v>22396</v>
      </c>
      <c r="BG2462" s="1" t="s">
        <v>953</v>
      </c>
      <c r="BH2462" s="1">
        <v>0.0</v>
      </c>
      <c r="BK2462" s="1" t="s">
        <v>204</v>
      </c>
      <c r="BL2462" s="1" t="str">
        <f>"5300"</f>
        <v>5300</v>
      </c>
      <c r="BM2462" s="1" t="str">
        <f>"0"</f>
        <v>0</v>
      </c>
      <c r="BN2462" s="1">
        <v>1700.0</v>
      </c>
      <c r="BO2462" s="1">
        <v>0.0</v>
      </c>
      <c r="BQ2462" s="1">
        <v>299.0</v>
      </c>
      <c r="BR2462" s="1">
        <v>299.0</v>
      </c>
      <c r="BS2462" s="1">
        <v>299.0</v>
      </c>
      <c r="BU2462" s="1" t="s">
        <v>784</v>
      </c>
      <c r="BV2462" s="1" t="s">
        <v>206</v>
      </c>
      <c r="BW2462" s="1" t="s">
        <v>207</v>
      </c>
      <c r="BX2462" s="1" t="s">
        <v>229</v>
      </c>
      <c r="BY2462" s="1" t="s">
        <v>362</v>
      </c>
      <c r="BZ2462" s="1" t="s">
        <v>209</v>
      </c>
      <c r="CA2462" s="1" t="s">
        <v>207</v>
      </c>
      <c r="CC2462" s="1" t="s">
        <v>1158</v>
      </c>
      <c r="CD2462" s="1" t="s">
        <v>206</v>
      </c>
      <c r="CE2462" s="1" t="s">
        <v>207</v>
      </c>
      <c r="CG2462" s="1" t="s">
        <v>329</v>
      </c>
      <c r="CH2462" s="1" t="s">
        <v>209</v>
      </c>
      <c r="CI2462" s="1" t="s">
        <v>207</v>
      </c>
      <c r="CK2462" s="1" t="s">
        <v>215</v>
      </c>
      <c r="CL2462" s="1" t="s">
        <v>209</v>
      </c>
      <c r="CM2462" s="1" t="s">
        <v>207</v>
      </c>
      <c r="CO2462" s="1" t="s">
        <v>433</v>
      </c>
      <c r="CP2462" s="1" t="s">
        <v>267</v>
      </c>
      <c r="CQ2462" s="1" t="s">
        <v>210</v>
      </c>
      <c r="CS2462" s="1" t="s">
        <v>582</v>
      </c>
      <c r="CT2462" s="1" t="s">
        <v>206</v>
      </c>
      <c r="CU2462" s="1" t="s">
        <v>207</v>
      </c>
      <c r="CW2462" s="1" t="s">
        <v>479</v>
      </c>
      <c r="CX2462" s="1" t="s">
        <v>206</v>
      </c>
      <c r="CY2462" s="1" t="s">
        <v>207</v>
      </c>
      <c r="DA2462" s="1" t="s">
        <v>200</v>
      </c>
      <c r="DC2462" s="1" t="s">
        <v>642</v>
      </c>
      <c r="DD2462" s="1" t="s">
        <v>759</v>
      </c>
      <c r="DE2462" s="1" t="s">
        <v>218</v>
      </c>
      <c r="DF2462" s="1" t="s">
        <v>745</v>
      </c>
      <c r="DH2462" s="1" t="s">
        <v>307</v>
      </c>
      <c r="DI2462" s="1" t="s">
        <v>19838</v>
      </c>
      <c r="DJ2462" s="1" t="s">
        <v>222</v>
      </c>
      <c r="DL2462" s="1" t="s">
        <v>1161</v>
      </c>
      <c r="DM2462" s="1" t="s">
        <v>1464</v>
      </c>
      <c r="DN2462" s="1" t="s">
        <v>2676</v>
      </c>
      <c r="DO2462" s="1" t="s">
        <v>549</v>
      </c>
      <c r="DP2462" s="1" t="s">
        <v>340</v>
      </c>
      <c r="DQ2462" s="1" t="s">
        <v>228</v>
      </c>
      <c r="DR2462" s="1" t="s">
        <v>229</v>
      </c>
      <c r="DV2462" s="1" t="s">
        <v>22397</v>
      </c>
      <c r="DW2462" s="1" t="s">
        <v>588</v>
      </c>
      <c r="DX2462" s="1" t="s">
        <v>234</v>
      </c>
      <c r="DY2462" s="1" t="s">
        <v>22398</v>
      </c>
      <c r="DZ2462" s="1" t="s">
        <v>310</v>
      </c>
      <c r="EB2462" s="1" t="s">
        <v>1639</v>
      </c>
      <c r="EC2462" s="1" t="s">
        <v>237</v>
      </c>
      <c r="ED2462" s="1" t="s">
        <v>312</v>
      </c>
      <c r="EG2462" s="1" t="s">
        <v>557</v>
      </c>
      <c r="EH2462" s="1" t="s">
        <v>450</v>
      </c>
      <c r="EI2462" s="1" t="s">
        <v>1270</v>
      </c>
      <c r="EJ2462" s="1" t="s">
        <v>1103</v>
      </c>
      <c r="EK2462" s="1" t="s">
        <v>409</v>
      </c>
      <c r="EL2462" s="1" t="s">
        <v>394</v>
      </c>
      <c r="EM2462" s="1" t="s">
        <v>209</v>
      </c>
      <c r="EN2462" s="1" t="s">
        <v>301</v>
      </c>
      <c r="EO2462" s="1" t="s">
        <v>229</v>
      </c>
      <c r="EP2462" s="1" t="s">
        <v>3154</v>
      </c>
      <c r="EQ2462" s="1" t="s">
        <v>267</v>
      </c>
      <c r="ER2462" s="1" t="s">
        <v>210</v>
      </c>
      <c r="ET2462" s="1" t="s">
        <v>4046</v>
      </c>
      <c r="EU2462" s="1" t="s">
        <v>267</v>
      </c>
      <c r="EX2462" s="1" t="s">
        <v>8276</v>
      </c>
      <c r="EY2462" s="1" t="s">
        <v>267</v>
      </c>
      <c r="FB2462" s="1" t="s">
        <v>1874</v>
      </c>
      <c r="FC2462" s="1" t="s">
        <v>209</v>
      </c>
      <c r="FD2462" s="1" t="s">
        <v>207</v>
      </c>
      <c r="FF2462" s="1" t="s">
        <v>239</v>
      </c>
      <c r="FG2462" s="1" t="s">
        <v>192</v>
      </c>
      <c r="FH2462" s="1" t="s">
        <v>192</v>
      </c>
      <c r="FJ2462" s="1" t="s">
        <v>799</v>
      </c>
      <c r="FK2462" s="1" t="s">
        <v>229</v>
      </c>
      <c r="FL2462" s="1" t="s">
        <v>3156</v>
      </c>
      <c r="FM2462" s="1">
        <v>84729.0</v>
      </c>
      <c r="FN2462" s="1" t="s">
        <v>3157</v>
      </c>
      <c r="FO2462" s="1" t="s">
        <v>22151</v>
      </c>
      <c r="FP2462" s="1">
        <v>150296.0</v>
      </c>
      <c r="FQ2462" s="1" t="s">
        <v>22152</v>
      </c>
      <c r="FS2462" s="1" t="s">
        <v>22399</v>
      </c>
      <c r="FU2462" s="1" t="s">
        <v>22153</v>
      </c>
      <c r="FV2462" s="1" t="s">
        <v>200</v>
      </c>
      <c r="FW2462" s="1" t="s">
        <v>530</v>
      </c>
      <c r="FX2462" s="1" t="s">
        <v>246</v>
      </c>
      <c r="FZ2462" s="1" t="s">
        <v>229</v>
      </c>
      <c r="GA2462" s="1" t="s">
        <v>291</v>
      </c>
      <c r="GB2462" s="2">
        <v>42135.0</v>
      </c>
      <c r="GC2462" s="1" t="s">
        <v>22400</v>
      </c>
    </row>
    <row r="2463">
      <c r="A2463" s="1">
        <v>465000.0</v>
      </c>
      <c r="B2463" s="1" t="s">
        <v>185</v>
      </c>
      <c r="C2463" s="1" t="str">
        <f>"08813167"</f>
        <v>08813167</v>
      </c>
      <c r="D2463" s="1" t="s">
        <v>186</v>
      </c>
      <c r="F2463" s="1" t="str">
        <f>"10"</f>
        <v>10</v>
      </c>
      <c r="G2463" s="2">
        <v>42013.0</v>
      </c>
      <c r="H2463" s="1">
        <v>484900.0</v>
      </c>
      <c r="I2463" s="1">
        <v>1.0</v>
      </c>
      <c r="J2463" s="1">
        <v>484900.0</v>
      </c>
      <c r="K2463" s="2">
        <v>42012.0</v>
      </c>
      <c r="L2463" s="1">
        <v>1.0</v>
      </c>
      <c r="M2463" s="2">
        <v>42012.0</v>
      </c>
      <c r="N2463" s="1" t="s">
        <v>187</v>
      </c>
      <c r="O2463" s="2">
        <v>42013.0</v>
      </c>
      <c r="P2463" s="1">
        <v>40460.0</v>
      </c>
      <c r="Q2463" s="1">
        <v>6267.0</v>
      </c>
      <c r="S2463" s="1">
        <v>229.0</v>
      </c>
      <c r="T2463" s="1" t="s">
        <v>13760</v>
      </c>
      <c r="U2463" s="1" t="s">
        <v>189</v>
      </c>
      <c r="V2463" s="1" t="s">
        <v>1706</v>
      </c>
      <c r="W2463" s="1">
        <v>60010.0</v>
      </c>
      <c r="Y2463" s="1" t="s">
        <v>22401</v>
      </c>
      <c r="Z2463" s="1">
        <v>1928.0</v>
      </c>
      <c r="AA2463" s="1" t="s">
        <v>192</v>
      </c>
      <c r="AB2463" s="1" t="s">
        <v>193</v>
      </c>
      <c r="AC2463" s="1" t="s">
        <v>8286</v>
      </c>
      <c r="AD2463" s="1" t="s">
        <v>1948</v>
      </c>
      <c r="AE2463" s="1" t="s">
        <v>195</v>
      </c>
      <c r="AF2463" s="1" t="s">
        <v>1948</v>
      </c>
      <c r="AH2463" s="1" t="s">
        <v>22402</v>
      </c>
      <c r="AI2463" s="1">
        <v>0.1939</v>
      </c>
      <c r="AK2463" s="1">
        <v>8.0</v>
      </c>
      <c r="AL2463" s="1">
        <v>4.0</v>
      </c>
      <c r="AM2463" s="1">
        <v>2.0</v>
      </c>
      <c r="AN2463" s="1">
        <v>0.0</v>
      </c>
      <c r="AO2463" s="1" t="s">
        <v>1261</v>
      </c>
      <c r="AP2463" s="1">
        <v>2.0</v>
      </c>
      <c r="AQ2463" s="1" t="s">
        <v>198</v>
      </c>
      <c r="AR2463" s="1" t="s">
        <v>200</v>
      </c>
      <c r="AS2463" s="1" t="s">
        <v>199</v>
      </c>
      <c r="AT2463" s="1">
        <v>2.0</v>
      </c>
      <c r="AV2463" s="1" t="s">
        <v>200</v>
      </c>
      <c r="AW2463" s="1">
        <v>7032.41</v>
      </c>
      <c r="AX2463" s="1">
        <v>2012.0</v>
      </c>
      <c r="AY2463" s="1" t="s">
        <v>387</v>
      </c>
      <c r="AZ2463" s="1" t="s">
        <v>200</v>
      </c>
      <c r="BA2463" s="1" t="str">
        <f>"01011130050000"</f>
        <v>01011130050000</v>
      </c>
      <c r="BB2463" s="1" t="s">
        <v>200</v>
      </c>
      <c r="BC2463" s="1">
        <v>0.0</v>
      </c>
      <c r="BD2463" s="1">
        <v>465000.0</v>
      </c>
      <c r="BE2463" s="2">
        <v>42012.0</v>
      </c>
      <c r="BF2463" s="2" t="s">
        <v>22403</v>
      </c>
      <c r="BG2463" s="1" t="s">
        <v>6174</v>
      </c>
      <c r="BH2463" s="1">
        <v>0.0</v>
      </c>
      <c r="BI2463" s="1" t="s">
        <v>1713</v>
      </c>
      <c r="BJ2463" s="1" t="s">
        <v>1714</v>
      </c>
      <c r="BK2463" s="1" t="s">
        <v>204</v>
      </c>
      <c r="BL2463" s="1" t="str">
        <f>"42"</f>
        <v>42</v>
      </c>
      <c r="BM2463" s="1" t="str">
        <f>""</f>
        <v/>
      </c>
      <c r="BN2463" s="1">
        <v>25.0</v>
      </c>
      <c r="BQ2463" s="1">
        <v>220.0</v>
      </c>
      <c r="BR2463" s="1">
        <v>220.0</v>
      </c>
      <c r="BS2463" s="1">
        <v>220.0</v>
      </c>
      <c r="BU2463" s="1" t="s">
        <v>1351</v>
      </c>
      <c r="BV2463" s="1" t="s">
        <v>206</v>
      </c>
      <c r="BW2463" s="1" t="s">
        <v>207</v>
      </c>
      <c r="BX2463" s="1" t="s">
        <v>1118</v>
      </c>
      <c r="BY2463" s="1" t="s">
        <v>329</v>
      </c>
      <c r="BZ2463" s="1" t="s">
        <v>209</v>
      </c>
      <c r="CA2463" s="1" t="s">
        <v>207</v>
      </c>
      <c r="CB2463" s="1" t="s">
        <v>431</v>
      </c>
      <c r="CC2463" s="1" t="s">
        <v>1183</v>
      </c>
      <c r="CD2463" s="1" t="s">
        <v>206</v>
      </c>
      <c r="CE2463" s="1" t="s">
        <v>207</v>
      </c>
      <c r="CF2463" s="1" t="s">
        <v>1118</v>
      </c>
      <c r="CG2463" s="1" t="s">
        <v>699</v>
      </c>
      <c r="CH2463" s="1" t="s">
        <v>209</v>
      </c>
      <c r="CI2463" s="1" t="s">
        <v>207</v>
      </c>
      <c r="CJ2463" s="1" t="s">
        <v>431</v>
      </c>
      <c r="CK2463" s="1" t="s">
        <v>331</v>
      </c>
      <c r="CL2463" s="1" t="s">
        <v>209</v>
      </c>
      <c r="CM2463" s="1" t="s">
        <v>207</v>
      </c>
      <c r="CN2463" s="1" t="s">
        <v>431</v>
      </c>
      <c r="CO2463" s="1" t="s">
        <v>699</v>
      </c>
      <c r="CP2463" s="1" t="s">
        <v>206</v>
      </c>
      <c r="CQ2463" s="1" t="s">
        <v>207</v>
      </c>
      <c r="CR2463" s="1" t="s">
        <v>1118</v>
      </c>
      <c r="CS2463" s="1" t="s">
        <v>1426</v>
      </c>
      <c r="CT2463" s="1" t="s">
        <v>206</v>
      </c>
      <c r="CU2463" s="1" t="s">
        <v>207</v>
      </c>
      <c r="CV2463" s="1" t="s">
        <v>1118</v>
      </c>
      <c r="CW2463" s="1" t="s">
        <v>393</v>
      </c>
      <c r="CX2463" s="1" t="s">
        <v>206</v>
      </c>
      <c r="CY2463" s="1" t="s">
        <v>207</v>
      </c>
      <c r="CZ2463" s="1" t="s">
        <v>1118</v>
      </c>
      <c r="DA2463" s="1" t="s">
        <v>200</v>
      </c>
      <c r="DC2463" s="1" t="s">
        <v>785</v>
      </c>
      <c r="DD2463" s="1" t="s">
        <v>436</v>
      </c>
      <c r="DE2463" s="1" t="s">
        <v>273</v>
      </c>
      <c r="DF2463" s="1" t="s">
        <v>219</v>
      </c>
      <c r="DG2463" s="1" t="s">
        <v>2747</v>
      </c>
      <c r="DH2463" s="1" t="s">
        <v>220</v>
      </c>
      <c r="DI2463" s="1" t="s">
        <v>1813</v>
      </c>
      <c r="DJ2463" s="1" t="s">
        <v>222</v>
      </c>
      <c r="DK2463" s="1" t="s">
        <v>223</v>
      </c>
      <c r="DL2463" s="1" t="s">
        <v>223</v>
      </c>
      <c r="DM2463" s="1" t="s">
        <v>1919</v>
      </c>
      <c r="DN2463" s="1" t="s">
        <v>666</v>
      </c>
      <c r="DO2463" s="1" t="s">
        <v>717</v>
      </c>
      <c r="DP2463" s="1" t="s">
        <v>340</v>
      </c>
      <c r="DQ2463" s="1" t="s">
        <v>228</v>
      </c>
      <c r="DR2463" s="1" t="s">
        <v>229</v>
      </c>
      <c r="DS2463" s="1" t="s">
        <v>591</v>
      </c>
      <c r="DU2463" s="1" t="s">
        <v>17461</v>
      </c>
      <c r="DV2463" s="1" t="s">
        <v>232</v>
      </c>
      <c r="DW2463" s="1" t="s">
        <v>3576</v>
      </c>
      <c r="DX2463" s="1" t="s">
        <v>234</v>
      </c>
      <c r="DY2463" s="1" t="s">
        <v>553</v>
      </c>
      <c r="DZ2463" s="1" t="s">
        <v>20190</v>
      </c>
      <c r="EB2463" s="1" t="s">
        <v>684</v>
      </c>
      <c r="EC2463" s="1" t="s">
        <v>237</v>
      </c>
      <c r="ED2463" s="1" t="s">
        <v>1761</v>
      </c>
      <c r="EE2463" s="1" t="s">
        <v>187</v>
      </c>
      <c r="EM2463" s="1" t="s">
        <v>238</v>
      </c>
      <c r="EQ2463" s="1" t="s">
        <v>238</v>
      </c>
      <c r="EU2463" s="1" t="s">
        <v>238</v>
      </c>
      <c r="EY2463" s="1" t="s">
        <v>238</v>
      </c>
      <c r="FC2463" s="1" t="s">
        <v>238</v>
      </c>
      <c r="FF2463" s="1" t="s">
        <v>239</v>
      </c>
      <c r="FG2463" s="1" t="s">
        <v>192</v>
      </c>
      <c r="FH2463" s="1" t="s">
        <v>192</v>
      </c>
      <c r="FJ2463" s="1" t="s">
        <v>13678</v>
      </c>
      <c r="FK2463" s="1" t="s">
        <v>229</v>
      </c>
      <c r="FL2463" s="1" t="s">
        <v>2026</v>
      </c>
      <c r="FM2463" s="1">
        <v>6018.0</v>
      </c>
      <c r="FN2463" s="1" t="s">
        <v>2027</v>
      </c>
      <c r="FO2463" s="1" t="s">
        <v>22404</v>
      </c>
      <c r="FP2463" s="1">
        <v>62639.0</v>
      </c>
      <c r="FQ2463" s="1" t="s">
        <v>22405</v>
      </c>
      <c r="FR2463" s="1">
        <v>62636.0</v>
      </c>
      <c r="FS2463" s="1" t="s">
        <v>22406</v>
      </c>
      <c r="FU2463" s="1" t="s">
        <v>22407</v>
      </c>
      <c r="FV2463" s="1" t="s">
        <v>200</v>
      </c>
      <c r="FW2463" s="1" t="s">
        <v>1411</v>
      </c>
      <c r="FX2463" s="1" t="s">
        <v>246</v>
      </c>
      <c r="FZ2463" s="1" t="s">
        <v>229</v>
      </c>
      <c r="GA2463" s="1" t="s">
        <v>291</v>
      </c>
      <c r="GB2463" s="2">
        <v>42013.0</v>
      </c>
    </row>
    <row r="2464">
      <c r="A2464" s="1">
        <v>122000.0</v>
      </c>
      <c r="B2464" s="1" t="s">
        <v>185</v>
      </c>
      <c r="C2464" s="1" t="str">
        <f>"08813556"</f>
        <v>08813556</v>
      </c>
      <c r="D2464" s="1" t="s">
        <v>186</v>
      </c>
      <c r="F2464" s="1" t="str">
        <f>"8064"</f>
        <v>8064</v>
      </c>
      <c r="G2464" s="2">
        <v>42013.0</v>
      </c>
      <c r="H2464" s="1">
        <v>149900.0</v>
      </c>
      <c r="I2464" s="1">
        <v>84.0</v>
      </c>
      <c r="J2464" s="1">
        <v>124900.0</v>
      </c>
      <c r="K2464" s="2">
        <v>42095.0</v>
      </c>
      <c r="L2464" s="1">
        <v>84.0</v>
      </c>
      <c r="M2464" s="2">
        <v>42095.0</v>
      </c>
      <c r="N2464" s="1" t="s">
        <v>249</v>
      </c>
      <c r="O2464" s="2">
        <v>42111.0</v>
      </c>
      <c r="P2464" s="1">
        <v>241167.0</v>
      </c>
      <c r="Q2464" s="1">
        <v>60021.0</v>
      </c>
      <c r="S2464" s="1">
        <v>6420.0</v>
      </c>
      <c r="T2464" s="1" t="s">
        <v>384</v>
      </c>
      <c r="U2464" s="1" t="s">
        <v>189</v>
      </c>
      <c r="V2464" s="1" t="s">
        <v>190</v>
      </c>
      <c r="W2464" s="1">
        <v>60629.0</v>
      </c>
      <c r="Y2464" s="1" t="s">
        <v>22408</v>
      </c>
      <c r="Z2464" s="1">
        <v>1947.0</v>
      </c>
      <c r="AA2464" s="1" t="s">
        <v>192</v>
      </c>
      <c r="AB2464" s="1" t="s">
        <v>193</v>
      </c>
      <c r="AD2464" s="1" t="s">
        <v>194</v>
      </c>
      <c r="AE2464" s="1" t="s">
        <v>195</v>
      </c>
      <c r="AF2464" s="1" t="s">
        <v>659</v>
      </c>
      <c r="AH2464" s="1">
        <v>3750.0</v>
      </c>
      <c r="AI2464" s="1">
        <v>0.0861</v>
      </c>
      <c r="AK2464" s="1">
        <v>7.0</v>
      </c>
      <c r="AL2464" s="1">
        <v>4.0</v>
      </c>
      <c r="AM2464" s="1">
        <v>2.0</v>
      </c>
      <c r="AN2464" s="1">
        <v>0.0</v>
      </c>
      <c r="AO2464" s="1" t="s">
        <v>229</v>
      </c>
      <c r="AQ2464" s="1" t="s">
        <v>198</v>
      </c>
      <c r="AR2464" s="1" t="s">
        <v>200</v>
      </c>
      <c r="AS2464" s="1" t="s">
        <v>199</v>
      </c>
      <c r="AT2464" s="1">
        <v>2.0</v>
      </c>
      <c r="AV2464" s="1" t="s">
        <v>200</v>
      </c>
      <c r="AW2464" s="1">
        <v>2317.13</v>
      </c>
      <c r="AX2464" s="1">
        <v>2013.0</v>
      </c>
      <c r="AY2464" s="1" t="s">
        <v>229</v>
      </c>
      <c r="AZ2464" s="1" t="s">
        <v>200</v>
      </c>
      <c r="BA2464" s="1" t="str">
        <f>"19221080300000"</f>
        <v>19221080300000</v>
      </c>
      <c r="BC2464" s="1">
        <v>1258.0</v>
      </c>
      <c r="BD2464" s="1">
        <v>122000.0</v>
      </c>
      <c r="BE2464" s="2">
        <v>42012.0</v>
      </c>
      <c r="BF2464" s="2" t="s">
        <v>22409</v>
      </c>
      <c r="BH2464" s="1">
        <v>0.0</v>
      </c>
      <c r="BK2464" s="1" t="s">
        <v>204</v>
      </c>
      <c r="BL2464" s="1" t="str">
        <f t="shared" ref="BL2464:BM2464" si="1604">"0"</f>
        <v>0</v>
      </c>
      <c r="BM2464" s="1" t="str">
        <f t="shared" si="1604"/>
        <v>0</v>
      </c>
      <c r="BN2464" s="1">
        <v>4732.0</v>
      </c>
      <c r="BO2464" s="1">
        <v>6422.0</v>
      </c>
      <c r="BQ2464" s="1">
        <v>299.0</v>
      </c>
      <c r="BR2464" s="1">
        <v>299.0</v>
      </c>
      <c r="BS2464" s="1">
        <v>299.0</v>
      </c>
      <c r="BU2464" s="1" t="s">
        <v>729</v>
      </c>
      <c r="BV2464" s="1" t="s">
        <v>206</v>
      </c>
      <c r="BW2464" s="1" t="s">
        <v>268</v>
      </c>
      <c r="BX2464" s="1" t="s">
        <v>229</v>
      </c>
      <c r="BY2464" s="1" t="s">
        <v>332</v>
      </c>
      <c r="BZ2464" s="1" t="s">
        <v>206</v>
      </c>
      <c r="CA2464" s="1" t="s">
        <v>207</v>
      </c>
      <c r="CB2464" s="1" t="s">
        <v>229</v>
      </c>
      <c r="CC2464" s="1" t="s">
        <v>542</v>
      </c>
      <c r="CD2464" s="1" t="s">
        <v>206</v>
      </c>
      <c r="CG2464" s="1" t="s">
        <v>495</v>
      </c>
      <c r="CH2464" s="1" t="s">
        <v>206</v>
      </c>
      <c r="CI2464" s="1" t="s">
        <v>210</v>
      </c>
      <c r="CJ2464" s="1" t="s">
        <v>229</v>
      </c>
      <c r="CK2464" s="1" t="s">
        <v>1351</v>
      </c>
      <c r="CL2464" s="1" t="s">
        <v>209</v>
      </c>
      <c r="CM2464" s="1" t="s">
        <v>210</v>
      </c>
      <c r="CN2464" s="1" t="s">
        <v>229</v>
      </c>
      <c r="CO2464" s="1" t="s">
        <v>1351</v>
      </c>
      <c r="CP2464" s="1" t="s">
        <v>209</v>
      </c>
      <c r="CQ2464" s="1" t="s">
        <v>210</v>
      </c>
      <c r="CR2464" s="1" t="s">
        <v>229</v>
      </c>
      <c r="CS2464" s="1" t="s">
        <v>264</v>
      </c>
      <c r="CT2464" s="1" t="s">
        <v>206</v>
      </c>
      <c r="CU2464" s="1" t="s">
        <v>268</v>
      </c>
      <c r="CV2464" s="1" t="s">
        <v>229</v>
      </c>
      <c r="CX2464" s="1" t="s">
        <v>204</v>
      </c>
      <c r="DA2464" s="1" t="s">
        <v>200</v>
      </c>
      <c r="DC2464" s="1" t="s">
        <v>702</v>
      </c>
      <c r="DE2464" s="1" t="s">
        <v>273</v>
      </c>
      <c r="DF2464" s="1" t="s">
        <v>905</v>
      </c>
      <c r="DH2464" s="1" t="s">
        <v>307</v>
      </c>
      <c r="DJ2464" s="1" t="s">
        <v>222</v>
      </c>
      <c r="DL2464" s="1" t="s">
        <v>223</v>
      </c>
      <c r="DM2464" s="1" t="s">
        <v>229</v>
      </c>
      <c r="DQ2464" s="1" t="s">
        <v>718</v>
      </c>
      <c r="DR2464" s="1" t="s">
        <v>229</v>
      </c>
      <c r="DV2464" s="1" t="s">
        <v>374</v>
      </c>
      <c r="DW2464" s="1" t="s">
        <v>279</v>
      </c>
      <c r="DX2464" s="1" t="s">
        <v>234</v>
      </c>
      <c r="EA2464" s="1" t="s">
        <v>1075</v>
      </c>
      <c r="EC2464" s="1" t="s">
        <v>645</v>
      </c>
      <c r="EG2464" s="1" t="s">
        <v>374</v>
      </c>
      <c r="EL2464" s="1" t="s">
        <v>1351</v>
      </c>
      <c r="EM2464" s="1" t="s">
        <v>206</v>
      </c>
      <c r="EQ2464" s="1" t="s">
        <v>238</v>
      </c>
      <c r="EU2464" s="1" t="s">
        <v>238</v>
      </c>
      <c r="EY2464" s="1" t="s">
        <v>238</v>
      </c>
      <c r="FC2464" s="1" t="s">
        <v>238</v>
      </c>
      <c r="FF2464" s="1" t="s">
        <v>239</v>
      </c>
      <c r="FG2464" s="1" t="s">
        <v>192</v>
      </c>
      <c r="FH2464" s="1" t="s">
        <v>192</v>
      </c>
      <c r="FJ2464" s="1" t="s">
        <v>770</v>
      </c>
      <c r="FK2464" s="1" t="s">
        <v>229</v>
      </c>
      <c r="FL2464" s="1" t="s">
        <v>4531</v>
      </c>
      <c r="FM2464" s="1">
        <v>12619.0</v>
      </c>
      <c r="FN2464" s="1" t="s">
        <v>4532</v>
      </c>
      <c r="FO2464" s="1" t="s">
        <v>4533</v>
      </c>
      <c r="FP2464" s="1">
        <v>116214.0</v>
      </c>
      <c r="FQ2464" s="1" t="s">
        <v>4532</v>
      </c>
      <c r="FU2464" s="1" t="s">
        <v>22410</v>
      </c>
      <c r="FV2464" s="1" t="s">
        <v>200</v>
      </c>
      <c r="FW2464" s="1" t="s">
        <v>1897</v>
      </c>
      <c r="FX2464" s="1" t="s">
        <v>655</v>
      </c>
      <c r="FZ2464" s="1" t="s">
        <v>229</v>
      </c>
      <c r="GA2464" s="1" t="s">
        <v>291</v>
      </c>
      <c r="GB2464" s="2">
        <v>42115.0</v>
      </c>
      <c r="GC2464" s="1" t="s">
        <v>22411</v>
      </c>
    </row>
    <row r="2465">
      <c r="A2465" s="1">
        <v>260000.0</v>
      </c>
      <c r="B2465" s="1" t="s">
        <v>185</v>
      </c>
      <c r="C2465" s="1" t="str">
        <f>"08815576"</f>
        <v>08815576</v>
      </c>
      <c r="D2465" s="1" t="s">
        <v>186</v>
      </c>
      <c r="F2465" s="1" t="str">
        <f>"554"</f>
        <v>554</v>
      </c>
      <c r="G2465" s="2">
        <v>42017.0</v>
      </c>
      <c r="H2465" s="1">
        <v>275000.0</v>
      </c>
      <c r="I2465" s="1">
        <v>165.0</v>
      </c>
      <c r="J2465" s="1">
        <v>269900.0</v>
      </c>
      <c r="K2465" s="2">
        <v>42107.0</v>
      </c>
      <c r="L2465" s="1">
        <v>91.0</v>
      </c>
      <c r="M2465" s="2">
        <v>42107.0</v>
      </c>
      <c r="N2465" s="1" t="s">
        <v>249</v>
      </c>
      <c r="O2465" s="2">
        <v>42123.0</v>
      </c>
      <c r="P2465" s="1">
        <v>226161.0</v>
      </c>
      <c r="Q2465" s="1">
        <v>24344.0</v>
      </c>
      <c r="S2465" s="1">
        <v>292.0</v>
      </c>
      <c r="T2465" s="1" t="s">
        <v>6708</v>
      </c>
      <c r="U2465" s="1" t="s">
        <v>1174</v>
      </c>
      <c r="V2465" s="1" t="s">
        <v>2212</v>
      </c>
      <c r="W2465" s="1">
        <v>60554.0</v>
      </c>
      <c r="Y2465" s="1" t="s">
        <v>22412</v>
      </c>
      <c r="Z2465" s="1">
        <v>2002.0</v>
      </c>
      <c r="AA2465" s="1" t="s">
        <v>200</v>
      </c>
      <c r="AB2465" s="1" t="s">
        <v>467</v>
      </c>
      <c r="AC2465" s="1" t="s">
        <v>6539</v>
      </c>
      <c r="AD2465" s="1" t="s">
        <v>1887</v>
      </c>
      <c r="AE2465" s="1" t="s">
        <v>325</v>
      </c>
      <c r="AF2465" s="1" t="s">
        <v>1887</v>
      </c>
      <c r="AG2465" s="1" t="s">
        <v>22413</v>
      </c>
      <c r="AH2465" s="1" t="s">
        <v>22414</v>
      </c>
      <c r="AI2465" s="1">
        <v>0.21</v>
      </c>
      <c r="AK2465" s="1">
        <v>10.0</v>
      </c>
      <c r="AL2465" s="1">
        <v>4.0</v>
      </c>
      <c r="AM2465" s="1">
        <v>2.0</v>
      </c>
      <c r="AN2465" s="1">
        <v>1.0</v>
      </c>
      <c r="AO2465" s="1" t="s">
        <v>198</v>
      </c>
      <c r="AP2465" s="1">
        <v>1.0</v>
      </c>
      <c r="AQ2465" s="1" t="s">
        <v>198</v>
      </c>
      <c r="AR2465" s="1" t="s">
        <v>200</v>
      </c>
      <c r="AS2465" s="1" t="s">
        <v>199</v>
      </c>
      <c r="AT2465" s="1">
        <v>3.0</v>
      </c>
      <c r="AV2465" s="1" t="s">
        <v>200</v>
      </c>
      <c r="AW2465" s="1">
        <v>7856.0</v>
      </c>
      <c r="AX2465" s="1">
        <v>2013.0</v>
      </c>
      <c r="AY2465" s="1" t="s">
        <v>387</v>
      </c>
      <c r="AZ2465" s="1" t="s">
        <v>200</v>
      </c>
      <c r="BA2465" s="1" t="str">
        <f>"1415301011"</f>
        <v>1415301011</v>
      </c>
      <c r="BB2465" s="1" t="s">
        <v>200</v>
      </c>
      <c r="BC2465" s="1">
        <v>2880.0</v>
      </c>
      <c r="BD2465" s="1">
        <v>260000.0</v>
      </c>
      <c r="BE2465" s="2">
        <v>42017.0</v>
      </c>
      <c r="BF2465" s="2" t="s">
        <v>22415</v>
      </c>
      <c r="BG2465" s="1" t="s">
        <v>2218</v>
      </c>
      <c r="BH2465" s="1">
        <v>180.0</v>
      </c>
      <c r="BI2465" s="1" t="s">
        <v>1635</v>
      </c>
      <c r="BJ2465" s="1" t="s">
        <v>1636</v>
      </c>
      <c r="BK2465" s="1" t="s">
        <v>580</v>
      </c>
      <c r="BL2465" s="1" t="str">
        <f t="shared" ref="BL2465:BM2465" si="1605">"0"</f>
        <v>0</v>
      </c>
      <c r="BM2465" s="1" t="str">
        <f t="shared" si="1605"/>
        <v>0</v>
      </c>
      <c r="BN2465" s="1">
        <v>46.0</v>
      </c>
      <c r="BO2465" s="1">
        <v>4.0</v>
      </c>
      <c r="BQ2465" s="1">
        <v>302.0</v>
      </c>
      <c r="BR2465" s="1">
        <v>302.0</v>
      </c>
      <c r="BS2465" s="1">
        <v>302.0</v>
      </c>
      <c r="BU2465" s="1" t="s">
        <v>205</v>
      </c>
      <c r="BV2465" s="1" t="s">
        <v>206</v>
      </c>
      <c r="BW2465" s="1" t="s">
        <v>301</v>
      </c>
      <c r="BX2465" s="1" t="s">
        <v>239</v>
      </c>
      <c r="BY2465" s="1" t="s">
        <v>1426</v>
      </c>
      <c r="BZ2465" s="1" t="s">
        <v>209</v>
      </c>
      <c r="CA2465" s="1" t="s">
        <v>210</v>
      </c>
      <c r="CB2465" s="1" t="s">
        <v>239</v>
      </c>
      <c r="CC2465" s="1" t="s">
        <v>332</v>
      </c>
      <c r="CD2465" s="1" t="s">
        <v>206</v>
      </c>
      <c r="CE2465" s="1" t="s">
        <v>268</v>
      </c>
      <c r="CF2465" s="1" t="s">
        <v>239</v>
      </c>
      <c r="CG2465" s="1" t="s">
        <v>332</v>
      </c>
      <c r="CH2465" s="1" t="s">
        <v>209</v>
      </c>
      <c r="CI2465" s="1" t="s">
        <v>210</v>
      </c>
      <c r="CJ2465" s="1" t="s">
        <v>239</v>
      </c>
      <c r="CK2465" s="1" t="s">
        <v>264</v>
      </c>
      <c r="CL2465" s="1" t="s">
        <v>209</v>
      </c>
      <c r="CM2465" s="1" t="s">
        <v>210</v>
      </c>
      <c r="CN2465" s="1" t="s">
        <v>239</v>
      </c>
      <c r="CO2465" s="1" t="s">
        <v>497</v>
      </c>
      <c r="CP2465" s="1" t="s">
        <v>209</v>
      </c>
      <c r="CQ2465" s="1" t="s">
        <v>210</v>
      </c>
      <c r="CR2465" s="1" t="s">
        <v>239</v>
      </c>
      <c r="CS2465" s="1" t="s">
        <v>813</v>
      </c>
      <c r="CT2465" s="1" t="s">
        <v>206</v>
      </c>
      <c r="CU2465" s="1" t="s">
        <v>207</v>
      </c>
      <c r="CV2465" s="1" t="s">
        <v>239</v>
      </c>
      <c r="CW2465" s="1" t="s">
        <v>1244</v>
      </c>
      <c r="CX2465" s="1" t="s">
        <v>206</v>
      </c>
      <c r="CY2465" s="1" t="s">
        <v>301</v>
      </c>
      <c r="CZ2465" s="1" t="s">
        <v>239</v>
      </c>
      <c r="DA2465" s="1" t="s">
        <v>200</v>
      </c>
      <c r="DC2465" s="1" t="s">
        <v>335</v>
      </c>
      <c r="DD2465" s="1" t="s">
        <v>1954</v>
      </c>
      <c r="DE2465" s="1" t="s">
        <v>273</v>
      </c>
      <c r="DF2465" s="1" t="s">
        <v>219</v>
      </c>
      <c r="DG2465" s="1" t="s">
        <v>482</v>
      </c>
      <c r="DH2465" s="1" t="s">
        <v>220</v>
      </c>
      <c r="DI2465" s="1" t="s">
        <v>519</v>
      </c>
      <c r="DJ2465" s="1" t="s">
        <v>222</v>
      </c>
      <c r="DK2465" s="1" t="s">
        <v>223</v>
      </c>
      <c r="DL2465" s="1" t="s">
        <v>484</v>
      </c>
      <c r="DM2465" s="1" t="s">
        <v>338</v>
      </c>
      <c r="DN2465" s="1" t="s">
        <v>485</v>
      </c>
      <c r="DO2465" s="1" t="s">
        <v>717</v>
      </c>
      <c r="DP2465" s="1" t="s">
        <v>340</v>
      </c>
      <c r="DQ2465" s="1" t="s">
        <v>228</v>
      </c>
      <c r="DR2465" s="1" t="s">
        <v>229</v>
      </c>
      <c r="DS2465" s="1" t="s">
        <v>368</v>
      </c>
      <c r="DU2465" s="1" t="s">
        <v>442</v>
      </c>
      <c r="DV2465" s="1" t="s">
        <v>6306</v>
      </c>
      <c r="DW2465" s="1" t="s">
        <v>444</v>
      </c>
      <c r="DX2465" s="1" t="s">
        <v>234</v>
      </c>
      <c r="DY2465" s="1" t="s">
        <v>5581</v>
      </c>
      <c r="DZ2465" s="1" t="s">
        <v>796</v>
      </c>
      <c r="EB2465" s="1" t="s">
        <v>5230</v>
      </c>
      <c r="EC2465" s="1" t="s">
        <v>237</v>
      </c>
      <c r="ED2465" s="1" t="s">
        <v>10039</v>
      </c>
      <c r="EG2465" s="1" t="s">
        <v>341</v>
      </c>
      <c r="EH2465" s="1" t="s">
        <v>1121</v>
      </c>
      <c r="EL2465" s="1" t="s">
        <v>4413</v>
      </c>
      <c r="EM2465" s="1" t="s">
        <v>209</v>
      </c>
      <c r="EN2465" s="1" t="s">
        <v>210</v>
      </c>
      <c r="EP2465" s="1" t="s">
        <v>264</v>
      </c>
      <c r="EQ2465" s="1" t="s">
        <v>209</v>
      </c>
      <c r="ER2465" s="1" t="s">
        <v>210</v>
      </c>
      <c r="EU2465" s="1" t="s">
        <v>238</v>
      </c>
      <c r="EY2465" s="1" t="s">
        <v>238</v>
      </c>
      <c r="FC2465" s="1" t="s">
        <v>238</v>
      </c>
      <c r="FF2465" s="1" t="s">
        <v>239</v>
      </c>
      <c r="FG2465" s="1" t="s">
        <v>192</v>
      </c>
      <c r="FH2465" s="1" t="s">
        <v>192</v>
      </c>
      <c r="FJ2465" s="1" t="s">
        <v>1469</v>
      </c>
      <c r="FK2465" s="1" t="s">
        <v>229</v>
      </c>
      <c r="FL2465" s="1" t="s">
        <v>893</v>
      </c>
      <c r="FM2465" s="1">
        <v>604.0</v>
      </c>
      <c r="FN2465" s="1" t="s">
        <v>894</v>
      </c>
      <c r="FO2465" s="1" t="s">
        <v>895</v>
      </c>
      <c r="FP2465" s="1">
        <v>381.0</v>
      </c>
      <c r="FQ2465" s="1" t="s">
        <v>896</v>
      </c>
      <c r="FU2465" s="1" t="s">
        <v>8533</v>
      </c>
      <c r="FV2465" s="1" t="s">
        <v>200</v>
      </c>
      <c r="FW2465" s="1" t="s">
        <v>290</v>
      </c>
      <c r="FZ2465" s="1" t="s">
        <v>229</v>
      </c>
      <c r="GA2465" s="1" t="s">
        <v>291</v>
      </c>
      <c r="GB2465" s="2">
        <v>42123.0</v>
      </c>
    </row>
    <row r="2466">
      <c r="A2466" s="1">
        <v>285000.0</v>
      </c>
      <c r="B2466" s="1" t="s">
        <v>185</v>
      </c>
      <c r="C2466" s="1" t="str">
        <f>"08813721"</f>
        <v>08813721</v>
      </c>
      <c r="D2466" s="1" t="s">
        <v>186</v>
      </c>
      <c r="F2466" s="1" t="str">
        <f>"8025"</f>
        <v>8025</v>
      </c>
      <c r="G2466" s="2">
        <v>42014.0</v>
      </c>
      <c r="H2466" s="1">
        <v>285000.0</v>
      </c>
      <c r="I2466" s="1">
        <v>6.0</v>
      </c>
      <c r="J2466" s="1">
        <v>285000.0</v>
      </c>
      <c r="K2466" s="2">
        <v>42019.0</v>
      </c>
      <c r="L2466" s="1">
        <v>6.0</v>
      </c>
      <c r="M2466" s="2">
        <v>42019.0</v>
      </c>
      <c r="N2466" s="1" t="s">
        <v>356</v>
      </c>
      <c r="O2466" s="2">
        <v>42088.0</v>
      </c>
      <c r="P2466" s="1">
        <v>111326.0</v>
      </c>
      <c r="Q2466" s="1">
        <v>10115.0</v>
      </c>
      <c r="S2466" s="1">
        <v>1747.0</v>
      </c>
      <c r="T2466" s="1" t="s">
        <v>10625</v>
      </c>
      <c r="U2466" s="1" t="s">
        <v>189</v>
      </c>
      <c r="V2466" s="1" t="s">
        <v>190</v>
      </c>
      <c r="W2466" s="1">
        <v>60639.0</v>
      </c>
      <c r="Y2466" s="1" t="s">
        <v>22416</v>
      </c>
      <c r="Z2466" s="1">
        <v>1920.0</v>
      </c>
      <c r="AA2466" s="1" t="s">
        <v>192</v>
      </c>
      <c r="AB2466" s="1" t="s">
        <v>193</v>
      </c>
      <c r="AD2466" s="1" t="s">
        <v>194</v>
      </c>
      <c r="AE2466" s="1" t="s">
        <v>195</v>
      </c>
      <c r="AF2466" s="1" t="s">
        <v>2645</v>
      </c>
      <c r="AH2466" s="1" t="s">
        <v>4084</v>
      </c>
      <c r="AI2466" s="1">
        <v>0.0854</v>
      </c>
      <c r="AK2466" s="1">
        <v>9.0</v>
      </c>
      <c r="AL2466" s="1">
        <v>4.0</v>
      </c>
      <c r="AM2466" s="1">
        <v>4.0</v>
      </c>
      <c r="AN2466" s="1">
        <v>0.0</v>
      </c>
      <c r="AO2466" s="1" t="s">
        <v>229</v>
      </c>
      <c r="AQ2466" s="1" t="s">
        <v>198</v>
      </c>
      <c r="AR2466" s="1" t="s">
        <v>192</v>
      </c>
      <c r="AS2466" s="1" t="s">
        <v>199</v>
      </c>
      <c r="AT2466" s="1">
        <v>2.0</v>
      </c>
      <c r="AV2466" s="1" t="s">
        <v>200</v>
      </c>
      <c r="AW2466" s="1">
        <v>2712.0</v>
      </c>
      <c r="AX2466" s="1">
        <v>2012.0</v>
      </c>
      <c r="AY2466" s="1" t="s">
        <v>229</v>
      </c>
      <c r="AZ2466" s="1" t="s">
        <v>545</v>
      </c>
      <c r="BA2466" s="1" t="str">
        <f>"13323100050000"</f>
        <v>13323100050000</v>
      </c>
      <c r="BC2466" s="1">
        <v>2400.0</v>
      </c>
      <c r="BD2466" s="1">
        <v>285000.0</v>
      </c>
      <c r="BE2466" s="2">
        <v>42014.0</v>
      </c>
      <c r="BF2466" s="2" t="s">
        <v>22417</v>
      </c>
      <c r="BH2466" s="1">
        <v>0.0</v>
      </c>
      <c r="BK2466" s="1" t="s">
        <v>204</v>
      </c>
      <c r="BL2466" s="1" t="str">
        <f>"1747"</f>
        <v>1747</v>
      </c>
      <c r="BM2466" s="1" t="str">
        <f t="shared" ref="BM2466:BM2467" si="1606">"0"</f>
        <v>0</v>
      </c>
      <c r="BN2466" s="1">
        <v>6300.0</v>
      </c>
      <c r="BO2466" s="1">
        <v>0.0</v>
      </c>
      <c r="BQ2466" s="1">
        <v>299.0</v>
      </c>
      <c r="BR2466" s="1">
        <v>299.0</v>
      </c>
      <c r="BS2466" s="1">
        <v>299.0</v>
      </c>
      <c r="BU2466" s="1" t="s">
        <v>300</v>
      </c>
      <c r="BV2466" s="1" t="s">
        <v>206</v>
      </c>
      <c r="BW2466" s="1" t="s">
        <v>207</v>
      </c>
      <c r="BY2466" s="1" t="s">
        <v>676</v>
      </c>
      <c r="BZ2466" s="1" t="s">
        <v>209</v>
      </c>
      <c r="CA2466" s="1" t="s">
        <v>207</v>
      </c>
      <c r="CC2466" s="1" t="s">
        <v>363</v>
      </c>
      <c r="CD2466" s="1" t="s">
        <v>206</v>
      </c>
      <c r="CE2466" s="1" t="s">
        <v>207</v>
      </c>
      <c r="CG2466" s="1" t="s">
        <v>433</v>
      </c>
      <c r="CH2466" s="1" t="s">
        <v>206</v>
      </c>
      <c r="CI2466" s="1" t="s">
        <v>207</v>
      </c>
      <c r="CK2466" s="1" t="s">
        <v>363</v>
      </c>
      <c r="CL2466" s="1" t="s">
        <v>209</v>
      </c>
      <c r="CM2466" s="1" t="s">
        <v>207</v>
      </c>
      <c r="CO2466" s="1" t="s">
        <v>584</v>
      </c>
      <c r="CP2466" s="1" t="s">
        <v>209</v>
      </c>
      <c r="CQ2466" s="1" t="s">
        <v>207</v>
      </c>
      <c r="CS2466" s="1" t="s">
        <v>663</v>
      </c>
      <c r="CT2466" s="1" t="s">
        <v>206</v>
      </c>
      <c r="CW2466" s="1" t="s">
        <v>676</v>
      </c>
      <c r="CX2466" s="1" t="s">
        <v>206</v>
      </c>
      <c r="CY2466" s="1" t="s">
        <v>207</v>
      </c>
      <c r="DA2466" s="1" t="s">
        <v>200</v>
      </c>
      <c r="DC2466" s="1" t="s">
        <v>216</v>
      </c>
      <c r="DD2466" s="1" t="s">
        <v>731</v>
      </c>
      <c r="DE2466" s="1" t="s">
        <v>273</v>
      </c>
      <c r="DF2466" s="1" t="s">
        <v>219</v>
      </c>
      <c r="DG2466" s="1" t="s">
        <v>482</v>
      </c>
      <c r="DH2466" s="1" t="s">
        <v>365</v>
      </c>
      <c r="DI2466" s="1" t="s">
        <v>9434</v>
      </c>
      <c r="DJ2466" s="1" t="s">
        <v>222</v>
      </c>
      <c r="DL2466" s="1" t="s">
        <v>224</v>
      </c>
      <c r="DM2466" s="1" t="s">
        <v>229</v>
      </c>
      <c r="DN2466" s="1" t="s">
        <v>2463</v>
      </c>
      <c r="DP2466" s="1" t="s">
        <v>340</v>
      </c>
      <c r="DQ2466" s="1" t="s">
        <v>794</v>
      </c>
      <c r="DR2466" s="1" t="s">
        <v>229</v>
      </c>
      <c r="DV2466" s="1" t="s">
        <v>450</v>
      </c>
      <c r="DW2466" s="1" t="s">
        <v>279</v>
      </c>
      <c r="DX2466" s="1" t="s">
        <v>234</v>
      </c>
      <c r="DY2466" s="1" t="s">
        <v>4467</v>
      </c>
      <c r="EA2466" s="1" t="s">
        <v>3577</v>
      </c>
      <c r="EC2466" s="1" t="s">
        <v>237</v>
      </c>
      <c r="EG2466" s="1" t="s">
        <v>450</v>
      </c>
      <c r="EL2466" s="1" t="s">
        <v>364</v>
      </c>
      <c r="EM2466" s="1" t="s">
        <v>42</v>
      </c>
      <c r="EQ2466" s="1" t="s">
        <v>238</v>
      </c>
      <c r="EU2466" s="1" t="s">
        <v>238</v>
      </c>
      <c r="EY2466" s="1" t="s">
        <v>238</v>
      </c>
      <c r="FC2466" s="1" t="s">
        <v>238</v>
      </c>
      <c r="FF2466" s="1" t="s">
        <v>239</v>
      </c>
      <c r="FG2466" s="1" t="s">
        <v>192</v>
      </c>
      <c r="FH2466" s="1" t="s">
        <v>192</v>
      </c>
      <c r="FJ2466" s="1" t="s">
        <v>2853</v>
      </c>
      <c r="FK2466" s="1" t="s">
        <v>229</v>
      </c>
      <c r="FL2466" s="1" t="s">
        <v>377</v>
      </c>
      <c r="FM2466" s="1">
        <v>8430.0</v>
      </c>
      <c r="FN2466" s="1" t="s">
        <v>378</v>
      </c>
      <c r="FO2466" s="1" t="s">
        <v>379</v>
      </c>
      <c r="FP2466" s="1">
        <v>85085.0</v>
      </c>
      <c r="FQ2466" s="1" t="s">
        <v>378</v>
      </c>
      <c r="FS2466" s="1" t="s">
        <v>380</v>
      </c>
      <c r="FU2466" s="1" t="s">
        <v>3993</v>
      </c>
      <c r="FV2466" s="1" t="s">
        <v>200</v>
      </c>
      <c r="FW2466" s="1" t="s">
        <v>2754</v>
      </c>
      <c r="FX2466" s="1" t="s">
        <v>238</v>
      </c>
      <c r="FZ2466" s="1" t="s">
        <v>229</v>
      </c>
      <c r="GA2466" s="1" t="s">
        <v>291</v>
      </c>
      <c r="GB2466" s="2">
        <v>42088.0</v>
      </c>
    </row>
    <row r="2467">
      <c r="A2467" s="1">
        <v>485000.0</v>
      </c>
      <c r="B2467" s="1" t="s">
        <v>185</v>
      </c>
      <c r="C2467" s="1" t="str">
        <f>"08814574"</f>
        <v>08814574</v>
      </c>
      <c r="D2467" s="1" t="s">
        <v>186</v>
      </c>
      <c r="F2467" s="1" t="str">
        <f>"184"</f>
        <v>184</v>
      </c>
      <c r="G2467" s="2">
        <v>42016.0</v>
      </c>
      <c r="H2467" s="1">
        <v>498900.0</v>
      </c>
      <c r="I2467" s="1">
        <v>588.0</v>
      </c>
      <c r="J2467" s="1">
        <v>498900.0</v>
      </c>
      <c r="K2467" s="2">
        <v>42057.0</v>
      </c>
      <c r="L2467" s="1">
        <v>42.0</v>
      </c>
      <c r="M2467" s="2">
        <v>42057.0</v>
      </c>
      <c r="N2467" s="1" t="s">
        <v>187</v>
      </c>
      <c r="O2467" s="2">
        <v>42103.0</v>
      </c>
      <c r="P2467" s="1">
        <v>245380.0</v>
      </c>
      <c r="Q2467" s="1">
        <v>25792.0</v>
      </c>
      <c r="S2467" s="1" t="s">
        <v>22418</v>
      </c>
      <c r="T2467" s="1" t="s">
        <v>22419</v>
      </c>
      <c r="U2467" s="1" t="s">
        <v>1174</v>
      </c>
      <c r="V2467" s="1" t="s">
        <v>3870</v>
      </c>
      <c r="W2467" s="1">
        <v>60184.0</v>
      </c>
      <c r="Y2467" s="1" t="s">
        <v>22420</v>
      </c>
      <c r="Z2467" s="1">
        <v>1990.0</v>
      </c>
      <c r="AA2467" s="1" t="s">
        <v>200</v>
      </c>
      <c r="AB2467" s="1" t="s">
        <v>193</v>
      </c>
      <c r="AD2467" s="1" t="s">
        <v>1089</v>
      </c>
      <c r="AE2467" s="1" t="s">
        <v>1258</v>
      </c>
      <c r="AF2467" s="1" t="s">
        <v>3935</v>
      </c>
      <c r="AH2467" s="1" t="s">
        <v>22421</v>
      </c>
      <c r="AI2467" s="1">
        <v>1.0</v>
      </c>
      <c r="AK2467" s="1">
        <v>10.0</v>
      </c>
      <c r="AL2467" s="1">
        <v>4.0</v>
      </c>
      <c r="AM2467" s="1">
        <v>3.0</v>
      </c>
      <c r="AN2467" s="1">
        <v>2.0</v>
      </c>
      <c r="AO2467" s="1" t="s">
        <v>198</v>
      </c>
      <c r="AP2467" s="1">
        <v>2.0</v>
      </c>
      <c r="AQ2467" s="1" t="s">
        <v>198</v>
      </c>
      <c r="AR2467" s="1" t="s">
        <v>200</v>
      </c>
      <c r="AS2467" s="1" t="s">
        <v>199</v>
      </c>
      <c r="AT2467" s="1">
        <v>3.0</v>
      </c>
      <c r="AV2467" s="1" t="s">
        <v>200</v>
      </c>
      <c r="AW2467" s="1">
        <v>18391.68</v>
      </c>
      <c r="AX2467" s="1">
        <v>2013.0</v>
      </c>
      <c r="AY2467" s="1" t="s">
        <v>387</v>
      </c>
      <c r="AZ2467" s="1" t="s">
        <v>200</v>
      </c>
      <c r="BA2467" s="1" t="str">
        <f>"0117307012"</f>
        <v>0117307012</v>
      </c>
      <c r="BB2467" s="1" t="s">
        <v>200</v>
      </c>
      <c r="BC2467" s="1">
        <v>5100.0</v>
      </c>
      <c r="BD2467" s="1">
        <v>485000.0</v>
      </c>
      <c r="BE2467" s="2">
        <v>42016.0</v>
      </c>
      <c r="BF2467" s="2" t="s">
        <v>22422</v>
      </c>
      <c r="BG2467" s="1" t="s">
        <v>3938</v>
      </c>
      <c r="BH2467" s="1">
        <v>250.0</v>
      </c>
      <c r="BI2467" s="1" t="s">
        <v>8076</v>
      </c>
      <c r="BJ2467" s="1" t="s">
        <v>2440</v>
      </c>
      <c r="BK2467" s="1" t="s">
        <v>580</v>
      </c>
      <c r="BL2467" s="1" t="str">
        <f>"5"</f>
        <v>5</v>
      </c>
      <c r="BM2467" s="1" t="str">
        <f t="shared" si="1606"/>
        <v>0</v>
      </c>
      <c r="BN2467" s="1">
        <v>32.0</v>
      </c>
      <c r="BO2467" s="1">
        <v>0.0</v>
      </c>
      <c r="BQ2467" s="1">
        <v>46.0</v>
      </c>
      <c r="BR2467" s="1">
        <v>46.0</v>
      </c>
      <c r="BS2467" s="1">
        <v>46.0</v>
      </c>
      <c r="BU2467" s="1" t="s">
        <v>2120</v>
      </c>
      <c r="BV2467" s="1" t="s">
        <v>206</v>
      </c>
      <c r="BW2467" s="1" t="s">
        <v>210</v>
      </c>
      <c r="BY2467" s="1" t="s">
        <v>3202</v>
      </c>
      <c r="BZ2467" s="1" t="s">
        <v>206</v>
      </c>
      <c r="CA2467" s="1" t="s">
        <v>210</v>
      </c>
      <c r="CC2467" s="1" t="s">
        <v>6591</v>
      </c>
      <c r="CD2467" s="1" t="s">
        <v>206</v>
      </c>
      <c r="CE2467" s="1" t="s">
        <v>588</v>
      </c>
      <c r="CG2467" s="1" t="s">
        <v>1825</v>
      </c>
      <c r="CH2467" s="1" t="s">
        <v>209</v>
      </c>
      <c r="CI2467" s="1" t="s">
        <v>210</v>
      </c>
      <c r="CK2467" s="1" t="s">
        <v>758</v>
      </c>
      <c r="CL2467" s="1" t="s">
        <v>209</v>
      </c>
      <c r="CM2467" s="1" t="s">
        <v>210</v>
      </c>
      <c r="CO2467" s="1" t="s">
        <v>1892</v>
      </c>
      <c r="CP2467" s="1" t="s">
        <v>209</v>
      </c>
      <c r="CQ2467" s="1" t="s">
        <v>210</v>
      </c>
      <c r="CS2467" s="1" t="s">
        <v>769</v>
      </c>
      <c r="CT2467" s="1" t="s">
        <v>206</v>
      </c>
      <c r="CU2467" s="1" t="s">
        <v>207</v>
      </c>
      <c r="CW2467" s="1" t="s">
        <v>13154</v>
      </c>
      <c r="CX2467" s="1" t="s">
        <v>206</v>
      </c>
      <c r="CY2467" s="1" t="s">
        <v>588</v>
      </c>
      <c r="DA2467" s="1" t="s">
        <v>200</v>
      </c>
      <c r="DC2467" s="1" t="s">
        <v>435</v>
      </c>
      <c r="DD2467" s="1" t="s">
        <v>518</v>
      </c>
      <c r="DE2467" s="1" t="s">
        <v>218</v>
      </c>
      <c r="DF2467" s="1" t="s">
        <v>745</v>
      </c>
      <c r="DG2467" s="1" t="s">
        <v>12455</v>
      </c>
      <c r="DH2467" s="1" t="s">
        <v>856</v>
      </c>
      <c r="DI2467" s="1" t="s">
        <v>680</v>
      </c>
      <c r="DJ2467" s="1" t="s">
        <v>857</v>
      </c>
      <c r="DK2467" s="1" t="s">
        <v>223</v>
      </c>
      <c r="DL2467" s="1" t="s">
        <v>223</v>
      </c>
      <c r="DM2467" s="1" t="s">
        <v>229</v>
      </c>
      <c r="DN2467" s="1" t="s">
        <v>2873</v>
      </c>
      <c r="DO2467" s="1" t="s">
        <v>6883</v>
      </c>
      <c r="DP2467" s="1" t="s">
        <v>340</v>
      </c>
      <c r="DQ2467" s="1" t="s">
        <v>931</v>
      </c>
      <c r="DR2467" s="1" t="s">
        <v>22423</v>
      </c>
      <c r="DS2467" s="1" t="s">
        <v>368</v>
      </c>
      <c r="DU2467" s="1" t="s">
        <v>2839</v>
      </c>
      <c r="DV2467" s="1" t="s">
        <v>22424</v>
      </c>
      <c r="DW2467" s="1" t="s">
        <v>764</v>
      </c>
      <c r="DX2467" s="1" t="s">
        <v>234</v>
      </c>
      <c r="DY2467" s="1" t="s">
        <v>22425</v>
      </c>
      <c r="DZ2467" s="1" t="s">
        <v>766</v>
      </c>
      <c r="EA2467" s="1" t="s">
        <v>344</v>
      </c>
      <c r="EB2467" s="1" t="s">
        <v>5995</v>
      </c>
      <c r="EC2467" s="1" t="s">
        <v>237</v>
      </c>
      <c r="ED2467" s="1" t="s">
        <v>555</v>
      </c>
      <c r="EG2467" s="1" t="s">
        <v>1102</v>
      </c>
      <c r="EH2467" s="1" t="s">
        <v>598</v>
      </c>
      <c r="EI2467" s="1" t="s">
        <v>588</v>
      </c>
      <c r="EJ2467" s="1" t="s">
        <v>557</v>
      </c>
      <c r="EL2467" s="1" t="s">
        <v>433</v>
      </c>
      <c r="EM2467" s="1" t="s">
        <v>206</v>
      </c>
      <c r="EN2467" s="1" t="s">
        <v>207</v>
      </c>
      <c r="EP2467" s="1" t="s">
        <v>331</v>
      </c>
      <c r="EQ2467" s="1" t="s">
        <v>209</v>
      </c>
      <c r="ER2467" s="1" t="s">
        <v>210</v>
      </c>
      <c r="ET2467" s="1" t="s">
        <v>1672</v>
      </c>
      <c r="EU2467" s="1" t="s">
        <v>206</v>
      </c>
      <c r="EV2467" s="1" t="s">
        <v>210</v>
      </c>
      <c r="EX2467" s="1" t="s">
        <v>4046</v>
      </c>
      <c r="EY2467" s="1" t="s">
        <v>209</v>
      </c>
      <c r="EZ2467" s="1" t="s">
        <v>210</v>
      </c>
      <c r="FC2467" s="1" t="s">
        <v>238</v>
      </c>
      <c r="FF2467" s="1" t="s">
        <v>239</v>
      </c>
      <c r="FG2467" s="1" t="s">
        <v>192</v>
      </c>
      <c r="FH2467" s="1" t="s">
        <v>192</v>
      </c>
      <c r="FJ2467" s="1" t="s">
        <v>3062</v>
      </c>
      <c r="FK2467" s="1" t="s">
        <v>229</v>
      </c>
      <c r="FL2467" s="1" t="s">
        <v>4309</v>
      </c>
      <c r="FM2467" s="1">
        <v>87.0</v>
      </c>
      <c r="FN2467" s="1" t="s">
        <v>5753</v>
      </c>
      <c r="FO2467" s="1" t="s">
        <v>22426</v>
      </c>
      <c r="FP2467" s="1">
        <v>304019.0</v>
      </c>
      <c r="FQ2467" s="1" t="s">
        <v>22427</v>
      </c>
      <c r="FR2467" s="1">
        <v>226324.0</v>
      </c>
      <c r="FU2467" s="1" t="s">
        <v>4958</v>
      </c>
      <c r="FV2467" s="1" t="s">
        <v>200</v>
      </c>
      <c r="FW2467" s="1" t="s">
        <v>290</v>
      </c>
      <c r="FZ2467" s="1" t="s">
        <v>229</v>
      </c>
      <c r="GA2467" s="1" t="s">
        <v>291</v>
      </c>
      <c r="GB2467" s="2">
        <v>42104.0</v>
      </c>
      <c r="GC2467" s="1" t="s">
        <v>22428</v>
      </c>
    </row>
    <row r="2468">
      <c r="A2468" s="1">
        <v>517500.0</v>
      </c>
      <c r="B2468" s="1" t="s">
        <v>185</v>
      </c>
      <c r="C2468" s="1" t="str">
        <f>"08813369"</f>
        <v>08813369</v>
      </c>
      <c r="D2468" s="1" t="s">
        <v>186</v>
      </c>
      <c r="F2468" s="1" t="str">
        <f>"119"</f>
        <v>119</v>
      </c>
      <c r="G2468" s="2">
        <v>42013.0</v>
      </c>
      <c r="H2468" s="1">
        <v>599900.0</v>
      </c>
      <c r="I2468" s="1">
        <v>309.0</v>
      </c>
      <c r="J2468" s="1">
        <v>574900.0</v>
      </c>
      <c r="K2468" s="2">
        <v>42031.0</v>
      </c>
      <c r="L2468" s="1">
        <v>19.0</v>
      </c>
      <c r="M2468" s="2">
        <v>42031.0</v>
      </c>
      <c r="N2468" s="1" t="s">
        <v>187</v>
      </c>
      <c r="O2468" s="2">
        <v>42080.0</v>
      </c>
      <c r="P2468" s="1">
        <v>1127.0</v>
      </c>
      <c r="Q2468" s="1">
        <v>280.0</v>
      </c>
      <c r="S2468" s="1" t="s">
        <v>22429</v>
      </c>
      <c r="T2468" s="1" t="s">
        <v>22430</v>
      </c>
      <c r="U2468" s="1" t="s">
        <v>464</v>
      </c>
      <c r="V2468" s="1" t="s">
        <v>1476</v>
      </c>
      <c r="W2468" s="1">
        <v>60119.0</v>
      </c>
      <c r="Y2468" s="1" t="s">
        <v>22431</v>
      </c>
      <c r="Z2468" s="1">
        <v>1978.0</v>
      </c>
      <c r="AA2468" s="1" t="s">
        <v>200</v>
      </c>
      <c r="AB2468" s="1" t="s">
        <v>193</v>
      </c>
      <c r="AD2468" s="1" t="s">
        <v>1089</v>
      </c>
      <c r="AE2468" s="1" t="s">
        <v>325</v>
      </c>
      <c r="AF2468" s="1" t="s">
        <v>1479</v>
      </c>
      <c r="AH2468" s="1" t="s">
        <v>22432</v>
      </c>
      <c r="AI2468" s="1">
        <v>5.01</v>
      </c>
      <c r="AK2468" s="1">
        <v>11.0</v>
      </c>
      <c r="AL2468" s="1">
        <v>4.0</v>
      </c>
      <c r="AM2468" s="1">
        <v>4.0</v>
      </c>
      <c r="AN2468" s="1">
        <v>1.0</v>
      </c>
      <c r="AO2468" s="1" t="s">
        <v>198</v>
      </c>
      <c r="AP2468" s="1">
        <v>2.0</v>
      </c>
      <c r="AQ2468" s="1" t="s">
        <v>198</v>
      </c>
      <c r="AR2468" s="1" t="s">
        <v>192</v>
      </c>
      <c r="AS2468" s="1" t="s">
        <v>199</v>
      </c>
      <c r="AT2468" s="1">
        <v>3.0</v>
      </c>
      <c r="AV2468" s="1" t="s">
        <v>200</v>
      </c>
      <c r="AW2468" s="1">
        <v>9687.62</v>
      </c>
      <c r="AX2468" s="1">
        <v>2013.0</v>
      </c>
      <c r="AY2468" s="1" t="s">
        <v>387</v>
      </c>
      <c r="AZ2468" s="1" t="s">
        <v>200</v>
      </c>
      <c r="BA2468" s="1" t="str">
        <f>"1104400042"</f>
        <v>1104400042</v>
      </c>
      <c r="BB2468" s="1" t="s">
        <v>200</v>
      </c>
      <c r="BC2468" s="1">
        <v>3351.0</v>
      </c>
      <c r="BD2468" s="1">
        <v>517500.0</v>
      </c>
      <c r="BE2468" s="2">
        <v>42013.0</v>
      </c>
      <c r="BF2468" s="2" t="s">
        <v>22433</v>
      </c>
      <c r="BH2468" s="1">
        <v>0.0</v>
      </c>
      <c r="BK2468" s="1" t="s">
        <v>204</v>
      </c>
      <c r="BL2468" s="1" t="str">
        <f t="shared" ref="BL2468:BM2468" si="1607">""</f>
        <v/>
      </c>
      <c r="BM2468" s="1" t="str">
        <f t="shared" si="1607"/>
        <v/>
      </c>
      <c r="BQ2468" s="1">
        <v>302.0</v>
      </c>
      <c r="BR2468" s="1">
        <v>302.0</v>
      </c>
      <c r="BS2468" s="1">
        <v>302.0</v>
      </c>
      <c r="BV2468" s="1" t="s">
        <v>204</v>
      </c>
      <c r="BY2468" s="1" t="s">
        <v>1068</v>
      </c>
      <c r="BZ2468" s="1" t="s">
        <v>209</v>
      </c>
      <c r="CA2468" s="1" t="s">
        <v>207</v>
      </c>
      <c r="CB2468" s="1" t="s">
        <v>431</v>
      </c>
      <c r="CC2468" s="1" t="s">
        <v>1069</v>
      </c>
      <c r="CD2468" s="1" t="s">
        <v>206</v>
      </c>
      <c r="CE2468" s="1" t="s">
        <v>207</v>
      </c>
      <c r="CF2468" s="1" t="s">
        <v>1118</v>
      </c>
      <c r="CG2468" s="1" t="s">
        <v>264</v>
      </c>
      <c r="CH2468" s="1" t="s">
        <v>209</v>
      </c>
      <c r="CI2468" s="1" t="s">
        <v>207</v>
      </c>
      <c r="CJ2468" s="1" t="s">
        <v>431</v>
      </c>
      <c r="CK2468" s="1" t="s">
        <v>2460</v>
      </c>
      <c r="CL2468" s="1" t="s">
        <v>209</v>
      </c>
      <c r="CM2468" s="1" t="s">
        <v>207</v>
      </c>
      <c r="CN2468" s="1" t="s">
        <v>431</v>
      </c>
      <c r="CO2468" s="1" t="s">
        <v>21812</v>
      </c>
      <c r="CP2468" s="1" t="s">
        <v>206</v>
      </c>
      <c r="CQ2468" s="1" t="s">
        <v>210</v>
      </c>
      <c r="CR2468" s="1" t="s">
        <v>1549</v>
      </c>
      <c r="CS2468" s="1" t="s">
        <v>1503</v>
      </c>
      <c r="CT2468" s="1" t="s">
        <v>206</v>
      </c>
      <c r="CU2468" s="1" t="s">
        <v>207</v>
      </c>
      <c r="CW2468" s="1" t="s">
        <v>1329</v>
      </c>
      <c r="CX2468" s="1" t="s">
        <v>206</v>
      </c>
      <c r="CY2468" s="1" t="s">
        <v>210</v>
      </c>
      <c r="CZ2468" s="1" t="s">
        <v>431</v>
      </c>
      <c r="DA2468" s="1" t="s">
        <v>200</v>
      </c>
      <c r="DC2468" s="1" t="s">
        <v>395</v>
      </c>
      <c r="DD2468" s="1" t="s">
        <v>4137</v>
      </c>
      <c r="DE2468" s="1" t="s">
        <v>3750</v>
      </c>
      <c r="DF2468" s="1" t="s">
        <v>2328</v>
      </c>
      <c r="DG2468" s="1" t="s">
        <v>22434</v>
      </c>
      <c r="DH2468" s="1" t="s">
        <v>856</v>
      </c>
      <c r="DI2468" s="1" t="s">
        <v>519</v>
      </c>
      <c r="DJ2468" s="1" t="s">
        <v>857</v>
      </c>
      <c r="DL2468" s="1" t="s">
        <v>224</v>
      </c>
      <c r="DM2468" s="1" t="s">
        <v>338</v>
      </c>
      <c r="DN2468" s="1" t="s">
        <v>666</v>
      </c>
      <c r="DO2468" s="1" t="s">
        <v>22435</v>
      </c>
      <c r="DP2468" s="1" t="s">
        <v>340</v>
      </c>
      <c r="DQ2468" s="1" t="s">
        <v>6366</v>
      </c>
      <c r="DR2468" s="1" t="s">
        <v>229</v>
      </c>
      <c r="DU2468" s="1" t="s">
        <v>22436</v>
      </c>
      <c r="DV2468" s="1" t="s">
        <v>22437</v>
      </c>
      <c r="DW2468" s="1" t="s">
        <v>964</v>
      </c>
      <c r="DX2468" s="1" t="s">
        <v>234</v>
      </c>
      <c r="DY2468" s="1" t="s">
        <v>4467</v>
      </c>
      <c r="DZ2468" s="1" t="s">
        <v>22438</v>
      </c>
      <c r="EB2468" s="1" t="s">
        <v>345</v>
      </c>
      <c r="EC2468" s="1" t="s">
        <v>237</v>
      </c>
      <c r="ED2468" s="1" t="s">
        <v>312</v>
      </c>
      <c r="EG2468" s="1" t="s">
        <v>408</v>
      </c>
      <c r="EH2468" s="1" t="s">
        <v>1164</v>
      </c>
      <c r="EI2468" s="1" t="s">
        <v>720</v>
      </c>
      <c r="EJ2468" s="1" t="s">
        <v>598</v>
      </c>
      <c r="EK2468" s="1" t="s">
        <v>450</v>
      </c>
      <c r="EL2468" s="1" t="s">
        <v>5922</v>
      </c>
      <c r="EM2468" s="1" t="s">
        <v>206</v>
      </c>
      <c r="EN2468" s="1" t="s">
        <v>268</v>
      </c>
      <c r="EP2468" s="1" t="s">
        <v>2181</v>
      </c>
      <c r="EQ2468" s="1" t="s">
        <v>206</v>
      </c>
      <c r="ER2468" s="1" t="s">
        <v>210</v>
      </c>
      <c r="ET2468" s="1" t="s">
        <v>6296</v>
      </c>
      <c r="EU2468" s="1" t="s">
        <v>206</v>
      </c>
      <c r="EV2468" s="1" t="s">
        <v>268</v>
      </c>
      <c r="EX2468" s="1" t="s">
        <v>1505</v>
      </c>
      <c r="EY2468" s="1" t="s">
        <v>206</v>
      </c>
      <c r="EZ2468" s="1" t="s">
        <v>207</v>
      </c>
      <c r="FB2468" s="1" t="s">
        <v>22439</v>
      </c>
      <c r="FC2468" s="1" t="s">
        <v>42</v>
      </c>
      <c r="FD2468" s="1" t="s">
        <v>210</v>
      </c>
      <c r="FF2468" s="1" t="s">
        <v>239</v>
      </c>
      <c r="FG2468" s="1" t="s">
        <v>192</v>
      </c>
      <c r="FH2468" s="1" t="s">
        <v>192</v>
      </c>
      <c r="FJ2468" s="1" t="s">
        <v>524</v>
      </c>
      <c r="FK2468" s="1" t="s">
        <v>348</v>
      </c>
      <c r="FL2468" s="1" t="s">
        <v>22440</v>
      </c>
      <c r="FM2468" s="1">
        <v>28.0</v>
      </c>
      <c r="FN2468" s="1" t="s">
        <v>22441</v>
      </c>
      <c r="FO2468" s="1" t="s">
        <v>22442</v>
      </c>
      <c r="FP2468" s="1">
        <v>1040.0</v>
      </c>
      <c r="FR2468" s="1">
        <v>7816.0</v>
      </c>
      <c r="FU2468" s="1" t="s">
        <v>1438</v>
      </c>
      <c r="FV2468" s="1" t="s">
        <v>200</v>
      </c>
      <c r="FW2468" s="1" t="s">
        <v>530</v>
      </c>
      <c r="FZ2468" s="1" t="s">
        <v>632</v>
      </c>
      <c r="GA2468" s="1" t="s">
        <v>291</v>
      </c>
      <c r="GB2468" s="2">
        <v>42081.0</v>
      </c>
      <c r="GC2468" s="1" t="s">
        <v>22443</v>
      </c>
    </row>
    <row r="2469">
      <c r="A2469" s="1">
        <v>52100.0</v>
      </c>
      <c r="B2469" s="1" t="s">
        <v>185</v>
      </c>
      <c r="C2469" s="1" t="str">
        <f>"08814440"</f>
        <v>08814440</v>
      </c>
      <c r="D2469" s="1" t="s">
        <v>186</v>
      </c>
      <c r="F2469" s="1" t="str">
        <f>"123"</f>
        <v>123</v>
      </c>
      <c r="G2469" s="2">
        <v>42016.0</v>
      </c>
      <c r="H2469" s="1">
        <v>59900.0</v>
      </c>
      <c r="I2469" s="1">
        <v>15.0</v>
      </c>
      <c r="J2469" s="1">
        <v>59900.0</v>
      </c>
      <c r="K2469" s="2">
        <v>42030.0</v>
      </c>
      <c r="L2469" s="1">
        <v>15.0</v>
      </c>
      <c r="M2469" s="2">
        <v>42030.0</v>
      </c>
      <c r="N2469" s="1" t="s">
        <v>249</v>
      </c>
      <c r="O2469" s="2">
        <v>42046.0</v>
      </c>
      <c r="P2469" s="1">
        <v>726.0</v>
      </c>
      <c r="Q2469" s="1">
        <v>354.0</v>
      </c>
      <c r="S2469" s="1">
        <v>230.0</v>
      </c>
      <c r="T2469" s="1" t="s">
        <v>22444</v>
      </c>
      <c r="U2469" s="1" t="s">
        <v>320</v>
      </c>
      <c r="V2469" s="1" t="s">
        <v>465</v>
      </c>
      <c r="W2469" s="1">
        <v>60123.0</v>
      </c>
      <c r="Y2469" s="1" t="s">
        <v>22445</v>
      </c>
      <c r="Z2469" s="1">
        <v>1900.0</v>
      </c>
      <c r="AA2469" s="1" t="s">
        <v>192</v>
      </c>
      <c r="AB2469" s="1" t="s">
        <v>193</v>
      </c>
      <c r="AD2469" s="1" t="s">
        <v>469</v>
      </c>
      <c r="AE2469" s="1" t="s">
        <v>325</v>
      </c>
      <c r="AF2469" s="1" t="s">
        <v>469</v>
      </c>
      <c r="AH2469" s="1" t="s">
        <v>22446</v>
      </c>
      <c r="AK2469" s="1">
        <v>6.0</v>
      </c>
      <c r="AL2469" s="1">
        <v>4.0</v>
      </c>
      <c r="AM2469" s="1">
        <v>2.0</v>
      </c>
      <c r="AN2469" s="1">
        <v>0.0</v>
      </c>
      <c r="AO2469" s="1" t="s">
        <v>229</v>
      </c>
      <c r="AQ2469" s="1" t="s">
        <v>327</v>
      </c>
      <c r="AR2469" s="1" t="s">
        <v>200</v>
      </c>
      <c r="AS2469" s="1" t="s">
        <v>828</v>
      </c>
      <c r="AU2469" s="1">
        <v>1.0</v>
      </c>
      <c r="AV2469" s="1" t="s">
        <v>200</v>
      </c>
      <c r="AW2469" s="1">
        <v>1792.84</v>
      </c>
      <c r="AX2469" s="1">
        <v>2013.0</v>
      </c>
      <c r="AZ2469" s="1" t="s">
        <v>545</v>
      </c>
      <c r="BA2469" s="1" t="str">
        <f>"0613379006"</f>
        <v>0613379006</v>
      </c>
      <c r="BB2469" s="1" t="s">
        <v>200</v>
      </c>
      <c r="BC2469" s="1">
        <v>874.0</v>
      </c>
      <c r="BD2469" s="1">
        <v>52100.0</v>
      </c>
      <c r="BE2469" s="2">
        <v>42016.0</v>
      </c>
      <c r="BF2469" s="1" t="s">
        <v>22447</v>
      </c>
      <c r="BH2469" s="1">
        <v>0.0</v>
      </c>
      <c r="BK2469" s="1" t="s">
        <v>204</v>
      </c>
      <c r="BL2469" s="1" t="str">
        <f>"11"</f>
        <v>11</v>
      </c>
      <c r="BM2469" s="1" t="str">
        <f>"0"</f>
        <v>0</v>
      </c>
      <c r="BN2469" s="1">
        <v>33.0</v>
      </c>
      <c r="BO2469" s="1">
        <v>0.0</v>
      </c>
      <c r="BQ2469" s="1">
        <v>46.0</v>
      </c>
      <c r="BR2469" s="1">
        <v>46.0</v>
      </c>
      <c r="BS2469" s="1">
        <v>46.0</v>
      </c>
      <c r="BU2469" s="1" t="s">
        <v>1066</v>
      </c>
      <c r="BV2469" s="1" t="s">
        <v>206</v>
      </c>
      <c r="BY2469" s="1" t="s">
        <v>2647</v>
      </c>
      <c r="BZ2469" s="1" t="s">
        <v>209</v>
      </c>
      <c r="CD2469" s="1" t="s">
        <v>204</v>
      </c>
      <c r="CG2469" s="1" t="s">
        <v>1043</v>
      </c>
      <c r="CH2469" s="1" t="s">
        <v>209</v>
      </c>
      <c r="CK2469" s="1" t="s">
        <v>1584</v>
      </c>
      <c r="CL2469" s="1" t="s">
        <v>206</v>
      </c>
      <c r="CO2469" s="1" t="s">
        <v>3805</v>
      </c>
      <c r="CP2469" s="1" t="s">
        <v>206</v>
      </c>
      <c r="CS2469" s="1" t="s">
        <v>2647</v>
      </c>
      <c r="CT2469" s="1" t="s">
        <v>206</v>
      </c>
      <c r="CX2469" s="1" t="s">
        <v>204</v>
      </c>
      <c r="DA2469" s="1" t="s">
        <v>200</v>
      </c>
      <c r="DC2469" s="1" t="s">
        <v>642</v>
      </c>
      <c r="DE2469" s="1" t="s">
        <v>273</v>
      </c>
      <c r="DF2469" s="1" t="s">
        <v>219</v>
      </c>
      <c r="DH2469" s="1" t="s">
        <v>220</v>
      </c>
      <c r="DJ2469" s="1" t="s">
        <v>222</v>
      </c>
      <c r="DL2469" s="1" t="s">
        <v>223</v>
      </c>
      <c r="DM2469" s="1" t="s">
        <v>229</v>
      </c>
      <c r="DQ2469" s="1" t="s">
        <v>228</v>
      </c>
      <c r="DR2469" s="1" t="s">
        <v>229</v>
      </c>
      <c r="DV2469" s="1" t="s">
        <v>232</v>
      </c>
      <c r="DW2469" s="1" t="s">
        <v>667</v>
      </c>
      <c r="DX2469" s="1" t="s">
        <v>234</v>
      </c>
      <c r="EC2469" s="1" t="s">
        <v>237</v>
      </c>
      <c r="EF2469" s="1" t="s">
        <v>7505</v>
      </c>
      <c r="EM2469" s="1" t="s">
        <v>238</v>
      </c>
      <c r="EQ2469" s="1" t="s">
        <v>238</v>
      </c>
      <c r="EU2469" s="1" t="s">
        <v>238</v>
      </c>
      <c r="EY2469" s="1" t="s">
        <v>238</v>
      </c>
      <c r="FC2469" s="1" t="s">
        <v>238</v>
      </c>
      <c r="FF2469" s="1" t="s">
        <v>239</v>
      </c>
      <c r="FG2469" s="1" t="s">
        <v>192</v>
      </c>
      <c r="FH2469" s="1" t="s">
        <v>192</v>
      </c>
      <c r="FJ2469" s="1" t="s">
        <v>3673</v>
      </c>
      <c r="FK2469" s="1" t="s">
        <v>229</v>
      </c>
      <c r="FL2469" s="1" t="s">
        <v>2263</v>
      </c>
      <c r="FM2469" s="1">
        <v>7661.0</v>
      </c>
      <c r="FN2469" s="1" t="s">
        <v>4356</v>
      </c>
      <c r="FO2469" s="1" t="s">
        <v>7976</v>
      </c>
      <c r="FP2469" s="1">
        <v>77015.0</v>
      </c>
      <c r="FU2469" s="1" t="s">
        <v>22448</v>
      </c>
      <c r="FV2469" s="1" t="s">
        <v>200</v>
      </c>
      <c r="FW2469" s="1" t="s">
        <v>567</v>
      </c>
      <c r="FZ2469" s="1" t="s">
        <v>632</v>
      </c>
      <c r="GA2469" s="1" t="s">
        <v>291</v>
      </c>
      <c r="GB2469" s="2">
        <v>42047.0</v>
      </c>
      <c r="GC2469" s="1" t="s">
        <v>22449</v>
      </c>
    </row>
    <row r="2470">
      <c r="A2470" s="1">
        <v>261000.0</v>
      </c>
      <c r="B2470" s="1" t="s">
        <v>185</v>
      </c>
      <c r="C2470" s="1" t="str">
        <f>"08814952"</f>
        <v>08814952</v>
      </c>
      <c r="D2470" s="1" t="s">
        <v>186</v>
      </c>
      <c r="F2470" s="1" t="str">
        <f>"543"</f>
        <v>543</v>
      </c>
      <c r="G2470" s="2">
        <v>42016.0</v>
      </c>
      <c r="H2470" s="1">
        <v>274900.0</v>
      </c>
      <c r="I2470" s="1">
        <v>87.0</v>
      </c>
      <c r="J2470" s="1">
        <v>264900.0</v>
      </c>
      <c r="K2470" s="2">
        <v>42102.0</v>
      </c>
      <c r="L2470" s="1">
        <v>87.0</v>
      </c>
      <c r="M2470" s="2">
        <v>42102.0</v>
      </c>
      <c r="N2470" s="1" t="s">
        <v>356</v>
      </c>
      <c r="O2470" s="2">
        <v>42144.0</v>
      </c>
      <c r="P2470" s="1">
        <v>233067.0</v>
      </c>
      <c r="Q2470" s="1">
        <v>20131.0</v>
      </c>
      <c r="S2470" s="1">
        <v>401.0</v>
      </c>
      <c r="T2470" s="1" t="s">
        <v>22450</v>
      </c>
      <c r="U2470" s="1" t="s">
        <v>569</v>
      </c>
      <c r="V2470" s="1" t="s">
        <v>1527</v>
      </c>
      <c r="W2470" s="1">
        <v>60543.0</v>
      </c>
      <c r="Y2470" s="1" t="s">
        <v>22451</v>
      </c>
      <c r="Z2470" s="1">
        <v>1996.0</v>
      </c>
      <c r="AA2470" s="1" t="s">
        <v>200</v>
      </c>
      <c r="AB2470" s="1" t="s">
        <v>193</v>
      </c>
      <c r="AD2470" s="1" t="s">
        <v>1529</v>
      </c>
      <c r="AE2470" s="1" t="s">
        <v>849</v>
      </c>
      <c r="AF2470" s="1" t="s">
        <v>1529</v>
      </c>
      <c r="AH2470" s="1" t="s">
        <v>22452</v>
      </c>
      <c r="AK2470" s="1">
        <v>10.0</v>
      </c>
      <c r="AL2470" s="1">
        <v>4.0</v>
      </c>
      <c r="AM2470" s="1">
        <v>3.0</v>
      </c>
      <c r="AN2470" s="1">
        <v>1.0</v>
      </c>
      <c r="AO2470" s="1" t="s">
        <v>198</v>
      </c>
      <c r="AP2470" s="1">
        <v>1.0</v>
      </c>
      <c r="AQ2470" s="1" t="s">
        <v>198</v>
      </c>
      <c r="AR2470" s="1" t="s">
        <v>200</v>
      </c>
      <c r="AS2470" s="1" t="s">
        <v>199</v>
      </c>
      <c r="AT2470" s="1">
        <v>2.0</v>
      </c>
      <c r="AV2470" s="1" t="s">
        <v>200</v>
      </c>
      <c r="AW2470" s="1">
        <v>8915.62</v>
      </c>
      <c r="AX2470" s="1">
        <v>2013.0</v>
      </c>
      <c r="AY2470" s="1" t="s">
        <v>387</v>
      </c>
      <c r="AZ2470" s="1" t="s">
        <v>200</v>
      </c>
      <c r="BA2470" s="1" t="str">
        <f>"0329127034"</f>
        <v>0329127034</v>
      </c>
      <c r="BB2470" s="1" t="s">
        <v>200</v>
      </c>
      <c r="BC2470" s="1">
        <v>2600.0</v>
      </c>
      <c r="BD2470" s="1">
        <v>261000.0</v>
      </c>
      <c r="BE2470" s="2">
        <v>42016.0</v>
      </c>
      <c r="BF2470" s="2" t="s">
        <v>22453</v>
      </c>
      <c r="BH2470" s="1">
        <v>125.0</v>
      </c>
      <c r="BK2470" s="1" t="s">
        <v>580</v>
      </c>
      <c r="BL2470" s="1" t="str">
        <f t="shared" ref="BL2470:BM2470" si="1608">"0"</f>
        <v>0</v>
      </c>
      <c r="BM2470" s="1" t="str">
        <f t="shared" si="1608"/>
        <v>0</v>
      </c>
      <c r="BN2470" s="1">
        <v>37.0</v>
      </c>
      <c r="BO2470" s="1">
        <v>13.0</v>
      </c>
      <c r="BQ2470" s="1">
        <v>308.0</v>
      </c>
      <c r="BR2470" s="1">
        <v>308.0</v>
      </c>
      <c r="BS2470" s="1">
        <v>308.0</v>
      </c>
      <c r="BU2470" s="1" t="s">
        <v>2459</v>
      </c>
      <c r="BV2470" s="1" t="s">
        <v>206</v>
      </c>
      <c r="BW2470" s="1" t="s">
        <v>210</v>
      </c>
      <c r="BX2470" s="1" t="s">
        <v>431</v>
      </c>
      <c r="BY2470" s="1" t="s">
        <v>361</v>
      </c>
      <c r="BZ2470" s="1" t="s">
        <v>209</v>
      </c>
      <c r="CA2470" s="1" t="s">
        <v>210</v>
      </c>
      <c r="CB2470" s="1" t="s">
        <v>239</v>
      </c>
      <c r="CC2470" s="1" t="s">
        <v>663</v>
      </c>
      <c r="CD2470" s="1" t="s">
        <v>206</v>
      </c>
      <c r="CE2470" s="1" t="s">
        <v>207</v>
      </c>
      <c r="CF2470" s="1" t="s">
        <v>239</v>
      </c>
      <c r="CG2470" s="1" t="s">
        <v>2459</v>
      </c>
      <c r="CH2470" s="1" t="s">
        <v>209</v>
      </c>
      <c r="CI2470" s="1" t="s">
        <v>210</v>
      </c>
      <c r="CJ2470" s="1" t="s">
        <v>239</v>
      </c>
      <c r="CK2470" s="1" t="s">
        <v>1395</v>
      </c>
      <c r="CL2470" s="1" t="s">
        <v>209</v>
      </c>
      <c r="CM2470" s="1" t="s">
        <v>210</v>
      </c>
      <c r="CN2470" s="1" t="s">
        <v>239</v>
      </c>
      <c r="CO2470" s="1" t="s">
        <v>363</v>
      </c>
      <c r="CP2470" s="1" t="s">
        <v>209</v>
      </c>
      <c r="CQ2470" s="1" t="s">
        <v>210</v>
      </c>
      <c r="CR2470" s="1" t="s">
        <v>239</v>
      </c>
      <c r="CS2470" s="1" t="s">
        <v>2459</v>
      </c>
      <c r="CT2470" s="1" t="s">
        <v>206</v>
      </c>
      <c r="CU2470" s="1" t="s">
        <v>207</v>
      </c>
      <c r="CW2470" s="1" t="s">
        <v>496</v>
      </c>
      <c r="CX2470" s="1" t="s">
        <v>206</v>
      </c>
      <c r="CY2470" s="1" t="s">
        <v>207</v>
      </c>
      <c r="CZ2470" s="1" t="s">
        <v>1118</v>
      </c>
      <c r="DA2470" s="1" t="s">
        <v>200</v>
      </c>
      <c r="DC2470" s="1" t="s">
        <v>678</v>
      </c>
      <c r="DD2470" s="1" t="s">
        <v>272</v>
      </c>
      <c r="DE2470" s="1" t="s">
        <v>273</v>
      </c>
      <c r="DF2470" s="1" t="s">
        <v>219</v>
      </c>
      <c r="DG2470" s="1" t="s">
        <v>337</v>
      </c>
      <c r="DH2470" s="1" t="s">
        <v>220</v>
      </c>
      <c r="DJ2470" s="1" t="s">
        <v>222</v>
      </c>
      <c r="DL2470" s="1" t="s">
        <v>224</v>
      </c>
      <c r="DM2470" s="1" t="s">
        <v>229</v>
      </c>
      <c r="DN2470" s="1" t="s">
        <v>399</v>
      </c>
      <c r="DO2470" s="1" t="s">
        <v>12169</v>
      </c>
      <c r="DP2470" s="1" t="s">
        <v>340</v>
      </c>
      <c r="DQ2470" s="1" t="s">
        <v>441</v>
      </c>
      <c r="DR2470" s="1" t="s">
        <v>588</v>
      </c>
      <c r="DU2470" s="1" t="s">
        <v>22454</v>
      </c>
      <c r="DV2470" s="1" t="s">
        <v>15931</v>
      </c>
      <c r="DW2470" s="1" t="s">
        <v>279</v>
      </c>
      <c r="DX2470" s="1" t="s">
        <v>234</v>
      </c>
      <c r="DY2470" s="1" t="s">
        <v>5197</v>
      </c>
      <c r="DZ2470" s="1" t="s">
        <v>310</v>
      </c>
      <c r="EA2470" s="1" t="s">
        <v>344</v>
      </c>
      <c r="EB2470" s="1" t="s">
        <v>2915</v>
      </c>
      <c r="EC2470" s="1" t="s">
        <v>237</v>
      </c>
      <c r="ED2470" s="1" t="s">
        <v>407</v>
      </c>
      <c r="EE2470" s="1" t="s">
        <v>187</v>
      </c>
      <c r="EG2470" s="1" t="s">
        <v>556</v>
      </c>
      <c r="EI2470" s="1" t="s">
        <v>450</v>
      </c>
      <c r="EL2470" s="1" t="s">
        <v>814</v>
      </c>
      <c r="EM2470" s="1" t="s">
        <v>206</v>
      </c>
      <c r="EN2470" s="1" t="s">
        <v>207</v>
      </c>
      <c r="EO2470" s="1" t="s">
        <v>239</v>
      </c>
      <c r="EQ2470" s="1" t="s">
        <v>238</v>
      </c>
      <c r="ET2470" s="1" t="s">
        <v>22455</v>
      </c>
      <c r="EU2470" s="1" t="s">
        <v>42</v>
      </c>
      <c r="EV2470" s="1" t="s">
        <v>210</v>
      </c>
      <c r="EY2470" s="1" t="s">
        <v>238</v>
      </c>
      <c r="FC2470" s="1" t="s">
        <v>238</v>
      </c>
      <c r="FF2470" s="1" t="s">
        <v>239</v>
      </c>
      <c r="FG2470" s="1" t="s">
        <v>192</v>
      </c>
      <c r="FH2470" s="1" t="s">
        <v>192</v>
      </c>
      <c r="FJ2470" s="1" t="s">
        <v>686</v>
      </c>
      <c r="FK2470" s="1" t="s">
        <v>229</v>
      </c>
      <c r="FL2470" s="1" t="s">
        <v>1212</v>
      </c>
      <c r="FM2470" s="1">
        <v>30.0</v>
      </c>
      <c r="FN2470" s="1" t="s">
        <v>1213</v>
      </c>
      <c r="FO2470" s="1" t="s">
        <v>5594</v>
      </c>
      <c r="FP2470" s="1">
        <v>500.0</v>
      </c>
      <c r="FQ2470" s="1" t="s">
        <v>5595</v>
      </c>
      <c r="FU2470" s="1" t="s">
        <v>3617</v>
      </c>
      <c r="FV2470" s="1" t="s">
        <v>200</v>
      </c>
      <c r="FW2470" s="1" t="s">
        <v>290</v>
      </c>
      <c r="FZ2470" s="1" t="s">
        <v>229</v>
      </c>
      <c r="GA2470" s="1" t="s">
        <v>291</v>
      </c>
      <c r="GB2470" s="2">
        <v>42146.0</v>
      </c>
    </row>
    <row r="2471">
      <c r="A2471" s="1">
        <v>240000.0</v>
      </c>
      <c r="B2471" s="1" t="s">
        <v>185</v>
      </c>
      <c r="C2471" s="1" t="str">
        <f>"08815269"</f>
        <v>08815269</v>
      </c>
      <c r="D2471" s="1" t="s">
        <v>186</v>
      </c>
      <c r="F2471" s="1" t="str">
        <f>"8013"</f>
        <v>8013</v>
      </c>
      <c r="G2471" s="2">
        <v>42017.0</v>
      </c>
      <c r="H2471" s="1">
        <v>285000.0</v>
      </c>
      <c r="I2471" s="1">
        <v>45.0</v>
      </c>
      <c r="J2471" s="1">
        <v>265000.0</v>
      </c>
      <c r="K2471" s="2">
        <v>42060.0</v>
      </c>
      <c r="L2471" s="1">
        <v>45.0</v>
      </c>
      <c r="M2471" s="2">
        <v>42060.0</v>
      </c>
      <c r="N2471" s="1" t="s">
        <v>187</v>
      </c>
      <c r="O2471" s="2">
        <v>42138.0</v>
      </c>
      <c r="P2471" s="1">
        <v>145064.0</v>
      </c>
      <c r="Q2471" s="1">
        <v>18267.0</v>
      </c>
      <c r="S2471" s="1">
        <v>5908.0</v>
      </c>
      <c r="T2471" s="1" t="s">
        <v>7546</v>
      </c>
      <c r="U2471" s="1" t="s">
        <v>189</v>
      </c>
      <c r="V2471" s="1" t="s">
        <v>190</v>
      </c>
      <c r="W2471" s="1">
        <v>60659.0</v>
      </c>
      <c r="Y2471" s="1" t="s">
        <v>22456</v>
      </c>
      <c r="Z2471" s="1">
        <v>1952.0</v>
      </c>
      <c r="AA2471" s="1" t="s">
        <v>192</v>
      </c>
      <c r="AB2471" s="1" t="s">
        <v>193</v>
      </c>
      <c r="AD2471" s="1" t="s">
        <v>194</v>
      </c>
      <c r="AE2471" s="1" t="s">
        <v>195</v>
      </c>
      <c r="AF2471" s="1" t="s">
        <v>196</v>
      </c>
      <c r="AH2471" s="1" t="s">
        <v>4084</v>
      </c>
      <c r="AK2471" s="1">
        <v>8.0</v>
      </c>
      <c r="AL2471" s="1">
        <v>3.0</v>
      </c>
      <c r="AM2471" s="1">
        <v>1.0</v>
      </c>
      <c r="AN2471" s="1">
        <v>1.0</v>
      </c>
      <c r="AO2471" s="1" t="s">
        <v>229</v>
      </c>
      <c r="AQ2471" s="1" t="s">
        <v>198</v>
      </c>
      <c r="AR2471" s="1" t="s">
        <v>192</v>
      </c>
      <c r="AS2471" s="1" t="s">
        <v>229</v>
      </c>
      <c r="AV2471" s="1" t="s">
        <v>200</v>
      </c>
      <c r="AW2471" s="1">
        <v>4668.0</v>
      </c>
      <c r="AX2471" s="1">
        <v>2013.0</v>
      </c>
      <c r="AY2471" s="1" t="s">
        <v>1179</v>
      </c>
      <c r="AZ2471" s="1" t="s">
        <v>200</v>
      </c>
      <c r="BA2471" s="1" t="str">
        <f>"13024030350000"</f>
        <v>13024030350000</v>
      </c>
      <c r="BB2471" s="1" t="s">
        <v>200</v>
      </c>
      <c r="BC2471" s="1">
        <v>0.0</v>
      </c>
      <c r="BD2471" s="1">
        <v>240000.0</v>
      </c>
      <c r="BE2471" s="2">
        <v>42016.0</v>
      </c>
      <c r="BF2471" s="2" t="s">
        <v>22457</v>
      </c>
      <c r="BH2471" s="1">
        <v>0.0</v>
      </c>
      <c r="BK2471" s="1" t="s">
        <v>204</v>
      </c>
      <c r="BL2471" s="1" t="str">
        <f>"5908"</f>
        <v>5908</v>
      </c>
      <c r="BM2471" s="1" t="str">
        <f t="shared" ref="BM2471:BM2472" si="1609">"0"</f>
        <v>0</v>
      </c>
      <c r="BN2471" s="1">
        <v>3400.0</v>
      </c>
      <c r="BO2471" s="1">
        <v>0.0</v>
      </c>
      <c r="BQ2471" s="1">
        <v>299.0</v>
      </c>
      <c r="BR2471" s="1">
        <v>299.0</v>
      </c>
      <c r="BS2471" s="1">
        <v>299.0</v>
      </c>
      <c r="BU2471" s="1" t="s">
        <v>10599</v>
      </c>
      <c r="BV2471" s="1" t="s">
        <v>206</v>
      </c>
      <c r="BY2471" s="1" t="s">
        <v>332</v>
      </c>
      <c r="BZ2471" s="1" t="s">
        <v>206</v>
      </c>
      <c r="CC2471" s="1" t="s">
        <v>542</v>
      </c>
      <c r="CD2471" s="1" t="s">
        <v>206</v>
      </c>
      <c r="CG2471" s="1" t="s">
        <v>543</v>
      </c>
      <c r="CH2471" s="1" t="s">
        <v>206</v>
      </c>
      <c r="CK2471" s="1" t="s">
        <v>516</v>
      </c>
      <c r="CL2471" s="1" t="s">
        <v>206</v>
      </c>
      <c r="CO2471" s="1" t="s">
        <v>543</v>
      </c>
      <c r="CP2471" s="1" t="s">
        <v>42</v>
      </c>
      <c r="CS2471" s="1" t="s">
        <v>904</v>
      </c>
      <c r="CT2471" s="1" t="s">
        <v>206</v>
      </c>
      <c r="CX2471" s="1" t="s">
        <v>204</v>
      </c>
      <c r="DA2471" s="1" t="s">
        <v>200</v>
      </c>
      <c r="DC2471" s="1" t="s">
        <v>702</v>
      </c>
      <c r="DD2471" s="1" t="s">
        <v>518</v>
      </c>
      <c r="DE2471" s="1" t="s">
        <v>1905</v>
      </c>
      <c r="DF2471" s="1" t="s">
        <v>787</v>
      </c>
      <c r="DG2471" s="1" t="s">
        <v>482</v>
      </c>
      <c r="DH2471" s="1" t="s">
        <v>307</v>
      </c>
      <c r="DI2471" s="1" t="s">
        <v>1223</v>
      </c>
      <c r="DJ2471" s="1" t="s">
        <v>222</v>
      </c>
      <c r="DL2471" s="1" t="s">
        <v>224</v>
      </c>
      <c r="DM2471" s="1" t="s">
        <v>1402</v>
      </c>
      <c r="DP2471" s="1" t="s">
        <v>276</v>
      </c>
      <c r="DQ2471" s="1" t="s">
        <v>228</v>
      </c>
      <c r="DR2471" s="1" t="s">
        <v>229</v>
      </c>
      <c r="DS2471" s="1" t="s">
        <v>230</v>
      </c>
      <c r="DV2471" s="1" t="s">
        <v>22458</v>
      </c>
      <c r="DW2471" s="1" t="s">
        <v>279</v>
      </c>
      <c r="DX2471" s="1" t="s">
        <v>234</v>
      </c>
      <c r="DY2471" s="1" t="s">
        <v>704</v>
      </c>
      <c r="EA2471" s="1" t="s">
        <v>683</v>
      </c>
      <c r="EC2471" s="1" t="s">
        <v>685</v>
      </c>
      <c r="EG2471" s="1" t="s">
        <v>450</v>
      </c>
      <c r="EH2471" s="1" t="s">
        <v>1270</v>
      </c>
      <c r="EI2471" s="1" t="s">
        <v>2129</v>
      </c>
      <c r="EL2471" s="1" t="s">
        <v>2155</v>
      </c>
      <c r="EM2471" s="1" t="s">
        <v>42</v>
      </c>
      <c r="EP2471" s="1" t="s">
        <v>6518</v>
      </c>
      <c r="EQ2471" s="1" t="s">
        <v>42</v>
      </c>
      <c r="ET2471" s="1" t="s">
        <v>363</v>
      </c>
      <c r="EU2471" s="1" t="s">
        <v>206</v>
      </c>
      <c r="EY2471" s="1" t="s">
        <v>238</v>
      </c>
      <c r="FC2471" s="1" t="s">
        <v>238</v>
      </c>
      <c r="FF2471" s="1" t="s">
        <v>239</v>
      </c>
      <c r="FG2471" s="1" t="s">
        <v>192</v>
      </c>
      <c r="FH2471" s="1" t="s">
        <v>192</v>
      </c>
      <c r="FJ2471" s="1" t="s">
        <v>561</v>
      </c>
      <c r="FK2471" s="1" t="s">
        <v>229</v>
      </c>
      <c r="FL2471" s="1" t="s">
        <v>1289</v>
      </c>
      <c r="FM2471" s="1">
        <v>10560.0</v>
      </c>
      <c r="FN2471" s="1" t="s">
        <v>18321</v>
      </c>
      <c r="FO2471" s="1" t="s">
        <v>22459</v>
      </c>
      <c r="FP2471" s="1">
        <v>103617.0</v>
      </c>
      <c r="FU2471" s="1" t="s">
        <v>22460</v>
      </c>
      <c r="FV2471" s="1" t="s">
        <v>200</v>
      </c>
      <c r="FW2471" s="1" t="s">
        <v>654</v>
      </c>
      <c r="FX2471" s="1" t="s">
        <v>238</v>
      </c>
      <c r="FZ2471" s="1" t="s">
        <v>229</v>
      </c>
      <c r="GA2471" s="1" t="s">
        <v>291</v>
      </c>
      <c r="GB2471" s="2">
        <v>42139.0</v>
      </c>
      <c r="GC2471" s="1" t="s">
        <v>22461</v>
      </c>
    </row>
    <row r="2472">
      <c r="A2472" s="1">
        <v>700000.0</v>
      </c>
      <c r="B2472" s="1" t="s">
        <v>185</v>
      </c>
      <c r="C2472" s="1" t="str">
        <f>"08814413"</f>
        <v>08814413</v>
      </c>
      <c r="D2472" s="1" t="s">
        <v>186</v>
      </c>
      <c r="F2472" s="1" t="str">
        <f>"8012"</f>
        <v>8012</v>
      </c>
      <c r="G2472" s="2">
        <v>42016.0</v>
      </c>
      <c r="H2472" s="1">
        <v>749000.0</v>
      </c>
      <c r="I2472" s="1">
        <v>15.0</v>
      </c>
      <c r="J2472" s="1">
        <v>749000.0</v>
      </c>
      <c r="K2472" s="2">
        <v>42030.0</v>
      </c>
      <c r="L2472" s="1">
        <v>15.0</v>
      </c>
      <c r="M2472" s="2">
        <v>42030.0</v>
      </c>
      <c r="N2472" s="1" t="s">
        <v>187</v>
      </c>
      <c r="O2472" s="2">
        <v>42081.0</v>
      </c>
      <c r="P2472" s="1">
        <v>144516.0</v>
      </c>
      <c r="Q2472" s="1">
        <v>16645.0</v>
      </c>
      <c r="S2472" s="1">
        <v>6324.0</v>
      </c>
      <c r="T2472" s="1" t="s">
        <v>22462</v>
      </c>
      <c r="U2472" s="1" t="s">
        <v>189</v>
      </c>
      <c r="V2472" s="1" t="s">
        <v>190</v>
      </c>
      <c r="W2472" s="1">
        <v>60646.0</v>
      </c>
      <c r="Y2472" s="1" t="s">
        <v>22463</v>
      </c>
      <c r="Z2472" s="1">
        <v>1998.0</v>
      </c>
      <c r="AA2472" s="1" t="s">
        <v>200</v>
      </c>
      <c r="AB2472" s="1" t="s">
        <v>193</v>
      </c>
      <c r="AC2472" s="1" t="s">
        <v>1131</v>
      </c>
      <c r="AD2472" s="1" t="s">
        <v>194</v>
      </c>
      <c r="AE2472" s="1" t="s">
        <v>195</v>
      </c>
      <c r="AF2472" s="1" t="s">
        <v>196</v>
      </c>
      <c r="AG2472" s="1" t="s">
        <v>15927</v>
      </c>
      <c r="AH2472" s="1" t="s">
        <v>7233</v>
      </c>
      <c r="AK2472" s="1">
        <v>9.0</v>
      </c>
      <c r="AL2472" s="1">
        <v>4.0</v>
      </c>
      <c r="AM2472" s="1">
        <v>3.0</v>
      </c>
      <c r="AN2472" s="1">
        <v>1.0</v>
      </c>
      <c r="AO2472" s="1" t="s">
        <v>198</v>
      </c>
      <c r="AP2472" s="1">
        <v>1.0</v>
      </c>
      <c r="AQ2472" s="1" t="s">
        <v>198</v>
      </c>
      <c r="AR2472" s="1" t="s">
        <v>192</v>
      </c>
      <c r="AS2472" s="1" t="s">
        <v>199</v>
      </c>
      <c r="AT2472" s="1">
        <v>2.5</v>
      </c>
      <c r="AV2472" s="1" t="s">
        <v>200</v>
      </c>
      <c r="AW2472" s="1">
        <v>9667.0</v>
      </c>
      <c r="AX2472" s="1">
        <v>2013.0</v>
      </c>
      <c r="AY2472" s="1" t="s">
        <v>229</v>
      </c>
      <c r="AZ2472" s="1" t="s">
        <v>200</v>
      </c>
      <c r="BA2472" s="1" t="str">
        <f>"13042010240000"</f>
        <v>13042010240000</v>
      </c>
      <c r="BB2472" s="1" t="s">
        <v>200</v>
      </c>
      <c r="BC2472" s="1">
        <v>0.0</v>
      </c>
      <c r="BD2472" s="1">
        <v>700000.0</v>
      </c>
      <c r="BE2472" s="2">
        <v>42016.0</v>
      </c>
      <c r="BF2472" s="2" t="s">
        <v>22464</v>
      </c>
      <c r="BG2472" s="1" t="s">
        <v>22465</v>
      </c>
      <c r="BH2472" s="1">
        <v>0.0</v>
      </c>
      <c r="BK2472" s="1" t="s">
        <v>204</v>
      </c>
      <c r="BL2472" s="1" t="str">
        <f>"6300"</f>
        <v>6300</v>
      </c>
      <c r="BM2472" s="1" t="str">
        <f t="shared" si="1609"/>
        <v>0</v>
      </c>
      <c r="BN2472" s="1">
        <v>5400.0</v>
      </c>
      <c r="BO2472" s="1">
        <v>0.0</v>
      </c>
      <c r="BQ2472" s="1">
        <v>299.0</v>
      </c>
      <c r="BR2472" s="1">
        <v>299.0</v>
      </c>
      <c r="BS2472" s="1">
        <v>299.0</v>
      </c>
      <c r="BU2472" s="1" t="s">
        <v>2800</v>
      </c>
      <c r="BV2472" s="1" t="s">
        <v>206</v>
      </c>
      <c r="BW2472" s="1" t="s">
        <v>207</v>
      </c>
      <c r="BY2472" s="1" t="s">
        <v>1426</v>
      </c>
      <c r="BZ2472" s="1" t="s">
        <v>209</v>
      </c>
      <c r="CA2472" s="1" t="s">
        <v>207</v>
      </c>
      <c r="CC2472" s="1" t="s">
        <v>212</v>
      </c>
      <c r="CD2472" s="1" t="s">
        <v>206</v>
      </c>
      <c r="CE2472" s="1" t="s">
        <v>207</v>
      </c>
      <c r="CG2472" s="1" t="s">
        <v>212</v>
      </c>
      <c r="CH2472" s="1" t="s">
        <v>209</v>
      </c>
      <c r="CI2472" s="1" t="s">
        <v>207</v>
      </c>
      <c r="CK2472" s="1" t="s">
        <v>699</v>
      </c>
      <c r="CL2472" s="1" t="s">
        <v>209</v>
      </c>
      <c r="CM2472" s="1" t="s">
        <v>207</v>
      </c>
      <c r="CO2472" s="1" t="s">
        <v>699</v>
      </c>
      <c r="CP2472" s="1" t="s">
        <v>209</v>
      </c>
      <c r="CQ2472" s="1" t="s">
        <v>207</v>
      </c>
      <c r="CS2472" s="1" t="s">
        <v>1158</v>
      </c>
      <c r="CT2472" s="1" t="s">
        <v>206</v>
      </c>
      <c r="CU2472" s="1" t="s">
        <v>207</v>
      </c>
      <c r="CW2472" s="1" t="s">
        <v>640</v>
      </c>
      <c r="CX2472" s="1" t="s">
        <v>206</v>
      </c>
      <c r="CY2472" s="1" t="s">
        <v>207</v>
      </c>
      <c r="DA2472" s="1" t="s">
        <v>200</v>
      </c>
      <c r="DC2472" s="1" t="s">
        <v>678</v>
      </c>
      <c r="DD2472" s="1" t="s">
        <v>926</v>
      </c>
      <c r="DE2472" s="1" t="s">
        <v>273</v>
      </c>
      <c r="DF2472" s="1" t="s">
        <v>219</v>
      </c>
      <c r="DH2472" s="1" t="s">
        <v>307</v>
      </c>
      <c r="DI2472" s="1" t="s">
        <v>1223</v>
      </c>
      <c r="DJ2472" s="1" t="s">
        <v>222</v>
      </c>
      <c r="DL2472" s="1" t="s">
        <v>224</v>
      </c>
      <c r="DM2472" s="1" t="s">
        <v>1143</v>
      </c>
      <c r="DO2472" s="1" t="s">
        <v>4060</v>
      </c>
      <c r="DP2472" s="1" t="s">
        <v>276</v>
      </c>
      <c r="DQ2472" s="1" t="s">
        <v>794</v>
      </c>
      <c r="DR2472" s="1" t="s">
        <v>229</v>
      </c>
      <c r="DS2472" s="1" t="s">
        <v>230</v>
      </c>
      <c r="DV2472" s="1" t="s">
        <v>4611</v>
      </c>
      <c r="DW2472" s="1" t="s">
        <v>279</v>
      </c>
      <c r="DX2472" s="1" t="s">
        <v>234</v>
      </c>
      <c r="DY2472" s="1" t="s">
        <v>704</v>
      </c>
      <c r="DZ2472" s="1" t="s">
        <v>1854</v>
      </c>
      <c r="EA2472" s="1" t="s">
        <v>3308</v>
      </c>
      <c r="EB2472" s="1" t="s">
        <v>345</v>
      </c>
      <c r="EC2472" s="1" t="s">
        <v>237</v>
      </c>
      <c r="ED2472" s="1" t="s">
        <v>407</v>
      </c>
      <c r="EG2472" s="1" t="s">
        <v>450</v>
      </c>
      <c r="EH2472" s="1" t="s">
        <v>2129</v>
      </c>
      <c r="EL2472" s="1" t="s">
        <v>22466</v>
      </c>
      <c r="EM2472" s="1" t="s">
        <v>42</v>
      </c>
      <c r="EN2472" s="1" t="s">
        <v>617</v>
      </c>
      <c r="EP2472" s="1" t="s">
        <v>212</v>
      </c>
      <c r="EQ2472" s="1" t="s">
        <v>206</v>
      </c>
      <c r="EU2472" s="1" t="s">
        <v>238</v>
      </c>
      <c r="EY2472" s="1" t="s">
        <v>238</v>
      </c>
      <c r="FC2472" s="1" t="s">
        <v>238</v>
      </c>
      <c r="FF2472" s="1" t="s">
        <v>239</v>
      </c>
      <c r="FG2472" s="1" t="s">
        <v>192</v>
      </c>
      <c r="FH2472" s="1" t="s">
        <v>192</v>
      </c>
      <c r="FJ2472" s="1" t="s">
        <v>561</v>
      </c>
      <c r="FK2472" s="1" t="s">
        <v>229</v>
      </c>
      <c r="FL2472" s="1" t="s">
        <v>562</v>
      </c>
      <c r="FM2472" s="1">
        <v>84730.0</v>
      </c>
      <c r="FN2472" s="1" t="s">
        <v>1147</v>
      </c>
      <c r="FO2472" s="1" t="s">
        <v>1148</v>
      </c>
      <c r="FP2472" s="1">
        <v>129192.0</v>
      </c>
      <c r="FQ2472" s="1" t="s">
        <v>1149</v>
      </c>
      <c r="FR2472" s="1">
        <v>101410.0</v>
      </c>
      <c r="FU2472" s="1" t="s">
        <v>22467</v>
      </c>
      <c r="FV2472" s="1" t="s">
        <v>192</v>
      </c>
      <c r="FW2472" s="1" t="s">
        <v>530</v>
      </c>
      <c r="FX2472" s="1" t="s">
        <v>238</v>
      </c>
      <c r="FZ2472" s="1" t="s">
        <v>229</v>
      </c>
      <c r="GA2472" s="1" t="s">
        <v>291</v>
      </c>
      <c r="GB2472" s="2">
        <v>42081.0</v>
      </c>
      <c r="GC2472" s="1" t="s">
        <v>22468</v>
      </c>
    </row>
    <row r="2473">
      <c r="A2473" s="1">
        <v>245000.0</v>
      </c>
      <c r="B2473" s="1" t="s">
        <v>185</v>
      </c>
      <c r="C2473" s="1" t="str">
        <f>"08814753"</f>
        <v>08814753</v>
      </c>
      <c r="D2473" s="1" t="s">
        <v>186</v>
      </c>
      <c r="F2473" s="1" t="str">
        <f>"8056"</f>
        <v>8056</v>
      </c>
      <c r="G2473" s="2">
        <v>42016.0</v>
      </c>
      <c r="H2473" s="1">
        <v>274900.0</v>
      </c>
      <c r="I2473" s="1">
        <v>423.0</v>
      </c>
      <c r="J2473" s="1">
        <v>274900.0</v>
      </c>
      <c r="K2473" s="2">
        <v>42016.0</v>
      </c>
      <c r="L2473" s="1">
        <v>3.0</v>
      </c>
      <c r="M2473" s="2">
        <v>42016.0</v>
      </c>
      <c r="N2473" s="1" t="s">
        <v>634</v>
      </c>
      <c r="O2473" s="2">
        <v>42075.0</v>
      </c>
      <c r="P2473" s="1">
        <v>875893.0</v>
      </c>
      <c r="Q2473" s="1">
        <v>10115.0</v>
      </c>
      <c r="R2473" s="1">
        <v>9800.0</v>
      </c>
      <c r="S2473" s="1">
        <v>5307.0</v>
      </c>
      <c r="T2473" s="1" t="s">
        <v>14429</v>
      </c>
      <c r="U2473" s="1" t="s">
        <v>189</v>
      </c>
      <c r="V2473" s="1" t="s">
        <v>190</v>
      </c>
      <c r="W2473" s="1">
        <v>60638.0</v>
      </c>
      <c r="Y2473" s="1" t="s">
        <v>22469</v>
      </c>
      <c r="Z2473" s="1" t="s">
        <v>296</v>
      </c>
      <c r="AA2473" s="1" t="s">
        <v>192</v>
      </c>
      <c r="AB2473" s="1" t="s">
        <v>193</v>
      </c>
      <c r="AD2473" s="1" t="s">
        <v>194</v>
      </c>
      <c r="AE2473" s="1" t="s">
        <v>195</v>
      </c>
      <c r="AF2473" s="1" t="s">
        <v>659</v>
      </c>
      <c r="AH2473" s="1" t="s">
        <v>2080</v>
      </c>
      <c r="AK2473" s="1">
        <v>7.0</v>
      </c>
      <c r="AL2473" s="1">
        <v>4.0</v>
      </c>
      <c r="AM2473" s="1">
        <v>2.0</v>
      </c>
      <c r="AN2473" s="1">
        <v>0.0</v>
      </c>
      <c r="AO2473" s="1" t="s">
        <v>229</v>
      </c>
      <c r="AQ2473" s="1" t="s">
        <v>198</v>
      </c>
      <c r="AR2473" s="1" t="s">
        <v>200</v>
      </c>
      <c r="AS2473" s="1" t="s">
        <v>199</v>
      </c>
      <c r="AT2473" s="1">
        <v>2.0</v>
      </c>
      <c r="AV2473" s="1" t="s">
        <v>200</v>
      </c>
      <c r="AW2473" s="1">
        <v>3095.78</v>
      </c>
      <c r="AX2473" s="1">
        <v>2012.0</v>
      </c>
      <c r="AY2473" s="1" t="s">
        <v>229</v>
      </c>
      <c r="AZ2473" s="1" t="s">
        <v>200</v>
      </c>
      <c r="BA2473" s="1" t="str">
        <f>"19084200380000"</f>
        <v>19084200380000</v>
      </c>
      <c r="BC2473" s="1">
        <v>0.0</v>
      </c>
      <c r="BD2473" s="1">
        <v>245000.0</v>
      </c>
      <c r="BE2473" s="2">
        <v>42014.0</v>
      </c>
      <c r="BF2473" s="2" t="s">
        <v>22470</v>
      </c>
      <c r="BH2473" s="1">
        <v>0.0</v>
      </c>
      <c r="BK2473" s="1" t="s">
        <v>204</v>
      </c>
      <c r="BL2473" s="1" t="str">
        <f t="shared" ref="BL2473:BM2473" si="1610">"0"</f>
        <v>0</v>
      </c>
      <c r="BM2473" s="1" t="str">
        <f t="shared" si="1610"/>
        <v>0</v>
      </c>
      <c r="BN2473" s="1">
        <v>5800.0</v>
      </c>
      <c r="BO2473" s="1">
        <v>5307.0</v>
      </c>
      <c r="BQ2473" s="1">
        <v>299.0</v>
      </c>
      <c r="BR2473" s="1">
        <v>299.0</v>
      </c>
      <c r="BS2473" s="1">
        <v>299.0</v>
      </c>
      <c r="BU2473" s="1" t="s">
        <v>329</v>
      </c>
      <c r="BV2473" s="1" t="s">
        <v>206</v>
      </c>
      <c r="BW2473" s="1" t="s">
        <v>207</v>
      </c>
      <c r="BY2473" s="1" t="s">
        <v>300</v>
      </c>
      <c r="BZ2473" s="1" t="s">
        <v>209</v>
      </c>
      <c r="CA2473" s="1" t="s">
        <v>207</v>
      </c>
      <c r="CC2473" s="1" t="s">
        <v>263</v>
      </c>
      <c r="CD2473" s="1" t="s">
        <v>206</v>
      </c>
      <c r="CE2473" s="1" t="s">
        <v>207</v>
      </c>
      <c r="CG2473" s="1" t="s">
        <v>2047</v>
      </c>
      <c r="CH2473" s="1" t="s">
        <v>206</v>
      </c>
      <c r="CI2473" s="1" t="s">
        <v>207</v>
      </c>
      <c r="CK2473" s="1" t="s">
        <v>263</v>
      </c>
      <c r="CL2473" s="1" t="s">
        <v>206</v>
      </c>
      <c r="CM2473" s="1" t="s">
        <v>207</v>
      </c>
      <c r="CO2473" s="1" t="s">
        <v>663</v>
      </c>
      <c r="CP2473" s="1" t="s">
        <v>209</v>
      </c>
      <c r="CQ2473" s="1" t="s">
        <v>207</v>
      </c>
      <c r="CS2473" s="1" t="s">
        <v>1746</v>
      </c>
      <c r="CT2473" s="1" t="s">
        <v>206</v>
      </c>
      <c r="CU2473" s="1" t="s">
        <v>207</v>
      </c>
      <c r="CX2473" s="1" t="s">
        <v>204</v>
      </c>
      <c r="DA2473" s="1" t="s">
        <v>200</v>
      </c>
      <c r="DC2473" s="1" t="s">
        <v>545</v>
      </c>
      <c r="DD2473" s="1" t="s">
        <v>518</v>
      </c>
      <c r="DE2473" s="1" t="s">
        <v>273</v>
      </c>
      <c r="DF2473" s="1" t="s">
        <v>219</v>
      </c>
      <c r="DH2473" s="1" t="s">
        <v>365</v>
      </c>
      <c r="DI2473" s="1" t="s">
        <v>789</v>
      </c>
      <c r="DJ2473" s="1" t="s">
        <v>222</v>
      </c>
      <c r="DK2473" s="1" t="s">
        <v>224</v>
      </c>
      <c r="DL2473" s="1" t="s">
        <v>223</v>
      </c>
      <c r="DM2473" s="1" t="s">
        <v>229</v>
      </c>
      <c r="DP2473" s="1" t="s">
        <v>340</v>
      </c>
      <c r="DQ2473" s="1" t="s">
        <v>228</v>
      </c>
      <c r="DR2473" s="1" t="s">
        <v>229</v>
      </c>
      <c r="DS2473" s="1" t="s">
        <v>230</v>
      </c>
      <c r="DV2473" s="1" t="s">
        <v>232</v>
      </c>
      <c r="DW2473" s="1" t="s">
        <v>279</v>
      </c>
      <c r="DX2473" s="1" t="s">
        <v>234</v>
      </c>
      <c r="EA2473" s="1" t="s">
        <v>644</v>
      </c>
      <c r="EC2473" s="1" t="s">
        <v>237</v>
      </c>
      <c r="EM2473" s="1" t="s">
        <v>238</v>
      </c>
      <c r="EQ2473" s="1" t="s">
        <v>238</v>
      </c>
      <c r="EU2473" s="1" t="s">
        <v>238</v>
      </c>
      <c r="EY2473" s="1" t="s">
        <v>238</v>
      </c>
      <c r="FC2473" s="1" t="s">
        <v>238</v>
      </c>
      <c r="FF2473" s="1" t="s">
        <v>239</v>
      </c>
      <c r="FG2473" s="1" t="s">
        <v>192</v>
      </c>
      <c r="FH2473" s="1" t="s">
        <v>192</v>
      </c>
      <c r="FJ2473" s="1" t="s">
        <v>3514</v>
      </c>
      <c r="FK2473" s="1" t="s">
        <v>229</v>
      </c>
      <c r="FL2473" s="1" t="s">
        <v>3455</v>
      </c>
      <c r="FM2473" s="1">
        <v>14856.0</v>
      </c>
      <c r="FN2473" s="1" t="s">
        <v>3456</v>
      </c>
      <c r="FO2473" s="1" t="s">
        <v>22471</v>
      </c>
      <c r="FP2473" s="1">
        <v>140592.0</v>
      </c>
      <c r="FQ2473" s="1" t="s">
        <v>22472</v>
      </c>
      <c r="FU2473" s="1" t="s">
        <v>22473</v>
      </c>
      <c r="FV2473" s="1" t="s">
        <v>200</v>
      </c>
      <c r="FW2473" s="1" t="s">
        <v>567</v>
      </c>
      <c r="FX2473" s="1" t="s">
        <v>655</v>
      </c>
      <c r="FZ2473" s="1" t="s">
        <v>229</v>
      </c>
      <c r="GA2473" s="1" t="s">
        <v>291</v>
      </c>
      <c r="GB2473" s="2">
        <v>42076.0</v>
      </c>
      <c r="GC2473" s="1" t="s">
        <v>22474</v>
      </c>
    </row>
    <row r="2474">
      <c r="A2474" s="1">
        <v>765000.0</v>
      </c>
      <c r="B2474" s="1" t="s">
        <v>185</v>
      </c>
      <c r="C2474" s="1" t="str">
        <f>"08816528"</f>
        <v>08816528</v>
      </c>
      <c r="D2474" s="1" t="s">
        <v>186</v>
      </c>
      <c r="F2474" s="1" t="str">
        <f>"8022"</f>
        <v>8022</v>
      </c>
      <c r="G2474" s="2">
        <v>42018.0</v>
      </c>
      <c r="H2474" s="1">
        <v>785000.0</v>
      </c>
      <c r="I2474" s="1">
        <v>64.0</v>
      </c>
      <c r="J2474" s="1">
        <v>785000.0</v>
      </c>
      <c r="K2474" s="2">
        <v>42081.0</v>
      </c>
      <c r="L2474" s="1">
        <v>64.0</v>
      </c>
      <c r="M2474" s="2">
        <v>42081.0</v>
      </c>
      <c r="N2474" s="1" t="s">
        <v>187</v>
      </c>
      <c r="O2474" s="2">
        <v>42135.0</v>
      </c>
      <c r="P2474" s="1">
        <v>116665.0</v>
      </c>
      <c r="Q2474" s="1">
        <v>84025.0</v>
      </c>
      <c r="S2474" s="1">
        <v>2503.0</v>
      </c>
      <c r="T2474" s="1" t="s">
        <v>7911</v>
      </c>
      <c r="U2474" s="1" t="s">
        <v>320</v>
      </c>
      <c r="V2474" s="1" t="s">
        <v>190</v>
      </c>
      <c r="W2474" s="1">
        <v>60647.0</v>
      </c>
      <c r="Y2474" s="1" t="s">
        <v>22475</v>
      </c>
      <c r="Z2474" s="1">
        <v>2005.0</v>
      </c>
      <c r="AA2474" s="1" t="s">
        <v>200</v>
      </c>
      <c r="AB2474" s="1" t="s">
        <v>193</v>
      </c>
      <c r="AD2474" s="1" t="s">
        <v>194</v>
      </c>
      <c r="AE2474" s="1" t="s">
        <v>195</v>
      </c>
      <c r="AF2474" s="1" t="s">
        <v>827</v>
      </c>
      <c r="AH2474" s="1" t="s">
        <v>22476</v>
      </c>
      <c r="AI2474" s="1">
        <v>0.0884</v>
      </c>
      <c r="AK2474" s="1">
        <v>9.0</v>
      </c>
      <c r="AL2474" s="1">
        <v>4.0</v>
      </c>
      <c r="AM2474" s="1">
        <v>3.0</v>
      </c>
      <c r="AN2474" s="1">
        <v>1.0</v>
      </c>
      <c r="AO2474" s="1" t="s">
        <v>198</v>
      </c>
      <c r="AP2474" s="1">
        <v>2.0</v>
      </c>
      <c r="AQ2474" s="1" t="s">
        <v>472</v>
      </c>
      <c r="AR2474" s="1" t="s">
        <v>192</v>
      </c>
      <c r="AS2474" s="1" t="s">
        <v>199</v>
      </c>
      <c r="AT2474" s="1">
        <v>2.0</v>
      </c>
      <c r="AV2474" s="1" t="s">
        <v>200</v>
      </c>
      <c r="AW2474" s="1">
        <v>8357.72</v>
      </c>
      <c r="AX2474" s="1">
        <v>2013.0</v>
      </c>
      <c r="AY2474" s="1" t="s">
        <v>387</v>
      </c>
      <c r="AZ2474" s="1" t="s">
        <v>200</v>
      </c>
      <c r="BA2474" s="1" t="str">
        <f>"13364130480000"</f>
        <v>13364130480000</v>
      </c>
      <c r="BC2474" s="1">
        <v>0.0</v>
      </c>
      <c r="BD2474" s="1">
        <v>765000.0</v>
      </c>
      <c r="BE2474" s="2">
        <v>42018.0</v>
      </c>
      <c r="BF2474" s="2" t="s">
        <v>22477</v>
      </c>
      <c r="BH2474" s="1">
        <v>0.0</v>
      </c>
      <c r="BK2474" s="1" t="s">
        <v>204</v>
      </c>
      <c r="BL2474" s="1" t="str">
        <f>"1900"</f>
        <v>1900</v>
      </c>
      <c r="BM2474" s="1" t="str">
        <f>"0"</f>
        <v>0</v>
      </c>
      <c r="BN2474" s="1">
        <v>2503.0</v>
      </c>
      <c r="BO2474" s="1">
        <v>0.0</v>
      </c>
      <c r="BQ2474" s="1">
        <v>299.0</v>
      </c>
      <c r="BR2474" s="1">
        <v>299.0</v>
      </c>
      <c r="BS2474" s="1">
        <v>299.0</v>
      </c>
      <c r="BU2474" s="1" t="s">
        <v>4353</v>
      </c>
      <c r="BV2474" s="1" t="s">
        <v>206</v>
      </c>
      <c r="BW2474" s="1" t="s">
        <v>207</v>
      </c>
      <c r="BY2474" s="1" t="s">
        <v>480</v>
      </c>
      <c r="BZ2474" s="1" t="s">
        <v>209</v>
      </c>
      <c r="CA2474" s="1" t="s">
        <v>207</v>
      </c>
      <c r="CC2474" s="1" t="s">
        <v>542</v>
      </c>
      <c r="CD2474" s="1" t="s">
        <v>206</v>
      </c>
      <c r="CG2474" s="1" t="s">
        <v>22478</v>
      </c>
      <c r="CH2474" s="1" t="s">
        <v>209</v>
      </c>
      <c r="CI2474" s="1" t="s">
        <v>207</v>
      </c>
      <c r="CK2474" s="1" t="s">
        <v>7760</v>
      </c>
      <c r="CL2474" s="1" t="s">
        <v>209</v>
      </c>
      <c r="CM2474" s="1" t="s">
        <v>207</v>
      </c>
      <c r="CO2474" s="1" t="s">
        <v>300</v>
      </c>
      <c r="CP2474" s="1" t="s">
        <v>267</v>
      </c>
      <c r="CS2474" s="1" t="s">
        <v>2219</v>
      </c>
      <c r="CT2474" s="1" t="s">
        <v>206</v>
      </c>
      <c r="CU2474" s="1" t="s">
        <v>207</v>
      </c>
      <c r="CW2474" s="1" t="s">
        <v>985</v>
      </c>
      <c r="CX2474" s="1" t="s">
        <v>267</v>
      </c>
      <c r="CY2474" s="1" t="s">
        <v>207</v>
      </c>
      <c r="DA2474" s="1" t="s">
        <v>200</v>
      </c>
      <c r="DC2474" s="1" t="s">
        <v>481</v>
      </c>
      <c r="DD2474" s="1" t="s">
        <v>436</v>
      </c>
      <c r="DE2474" s="1" t="s">
        <v>3750</v>
      </c>
      <c r="DF2474" s="1" t="s">
        <v>219</v>
      </c>
      <c r="DH2474" s="1" t="s">
        <v>307</v>
      </c>
      <c r="DI2474" s="1" t="s">
        <v>5919</v>
      </c>
      <c r="DJ2474" s="1" t="s">
        <v>1048</v>
      </c>
      <c r="DL2474" s="1" t="s">
        <v>1161</v>
      </c>
      <c r="DM2474" s="1" t="s">
        <v>229</v>
      </c>
      <c r="DN2474" s="1" t="s">
        <v>399</v>
      </c>
      <c r="DP2474" s="1" t="s">
        <v>276</v>
      </c>
      <c r="DQ2474" s="1" t="s">
        <v>794</v>
      </c>
      <c r="DR2474" s="1" t="s">
        <v>229</v>
      </c>
      <c r="DS2474" s="1" t="s">
        <v>368</v>
      </c>
      <c r="DU2474" s="1" t="s">
        <v>5437</v>
      </c>
      <c r="DV2474" s="1" t="s">
        <v>1164</v>
      </c>
      <c r="DW2474" s="1" t="s">
        <v>489</v>
      </c>
      <c r="DX2474" s="1" t="s">
        <v>234</v>
      </c>
      <c r="DY2474" s="1" t="s">
        <v>833</v>
      </c>
      <c r="DZ2474" s="1" t="s">
        <v>310</v>
      </c>
      <c r="EA2474" s="1" t="s">
        <v>1027</v>
      </c>
      <c r="EB2474" s="1" t="s">
        <v>4251</v>
      </c>
      <c r="EC2474" s="1" t="s">
        <v>406</v>
      </c>
      <c r="ED2474" s="1" t="s">
        <v>555</v>
      </c>
      <c r="EE2474" s="1" t="s">
        <v>187</v>
      </c>
      <c r="EG2474" s="1" t="s">
        <v>1164</v>
      </c>
      <c r="EL2474" s="1" t="s">
        <v>334</v>
      </c>
      <c r="EM2474" s="1" t="s">
        <v>206</v>
      </c>
      <c r="EQ2474" s="1" t="s">
        <v>238</v>
      </c>
      <c r="EU2474" s="1" t="s">
        <v>238</v>
      </c>
      <c r="EY2474" s="1" t="s">
        <v>238</v>
      </c>
      <c r="FC2474" s="1" t="s">
        <v>238</v>
      </c>
      <c r="FF2474" s="1" t="s">
        <v>239</v>
      </c>
      <c r="FG2474" s="1" t="s">
        <v>192</v>
      </c>
      <c r="FH2474" s="1" t="s">
        <v>192</v>
      </c>
      <c r="FJ2474" s="1" t="s">
        <v>2285</v>
      </c>
      <c r="FK2474" s="1" t="s">
        <v>229</v>
      </c>
      <c r="FL2474" s="1" t="s">
        <v>1358</v>
      </c>
      <c r="FM2474" s="1">
        <v>10115.0</v>
      </c>
      <c r="FN2474" s="1" t="s">
        <v>2286</v>
      </c>
      <c r="FO2474" s="1" t="s">
        <v>22479</v>
      </c>
      <c r="FP2474" s="1">
        <v>112042.0</v>
      </c>
      <c r="FQ2474" s="1" t="s">
        <v>22480</v>
      </c>
      <c r="FU2474" s="1" t="s">
        <v>22481</v>
      </c>
      <c r="FV2474" s="1" t="s">
        <v>200</v>
      </c>
      <c r="FW2474" s="1" t="s">
        <v>567</v>
      </c>
      <c r="FX2474" s="1" t="s">
        <v>246</v>
      </c>
      <c r="FZ2474" s="1" t="s">
        <v>229</v>
      </c>
      <c r="GA2474" s="1" t="s">
        <v>291</v>
      </c>
      <c r="GB2474" s="2">
        <v>42136.0</v>
      </c>
    </row>
    <row r="2475">
      <c r="A2475" s="1">
        <v>565000.0</v>
      </c>
      <c r="B2475" s="1" t="s">
        <v>185</v>
      </c>
      <c r="C2475" s="1" t="str">
        <f>"08822015"</f>
        <v>08822015</v>
      </c>
      <c r="D2475" s="1" t="s">
        <v>186</v>
      </c>
      <c r="F2475" s="1" t="str">
        <f>"10"</f>
        <v>10</v>
      </c>
      <c r="G2475" s="2">
        <v>42026.0</v>
      </c>
      <c r="H2475" s="1">
        <v>585000.0</v>
      </c>
      <c r="I2475" s="1">
        <v>14.0</v>
      </c>
      <c r="J2475" s="1">
        <v>585000.0</v>
      </c>
      <c r="K2475" s="2">
        <v>42039.0</v>
      </c>
      <c r="L2475" s="1">
        <v>14.0</v>
      </c>
      <c r="M2475" s="2">
        <v>42039.0</v>
      </c>
      <c r="N2475" s="1" t="s">
        <v>187</v>
      </c>
      <c r="O2475" s="2">
        <v>42093.0</v>
      </c>
      <c r="P2475" s="1">
        <v>63228.0</v>
      </c>
      <c r="Q2475" s="1">
        <v>6485.0</v>
      </c>
      <c r="S2475" s="1">
        <v>1391.0</v>
      </c>
      <c r="T2475" s="1" t="s">
        <v>16884</v>
      </c>
      <c r="U2475" s="1" t="s">
        <v>464</v>
      </c>
      <c r="V2475" s="1" t="s">
        <v>1706</v>
      </c>
      <c r="W2475" s="1">
        <v>60010.0</v>
      </c>
      <c r="Y2475" s="1" t="s">
        <v>22482</v>
      </c>
      <c r="Z2475" s="1">
        <v>1969.0</v>
      </c>
      <c r="AA2475" s="1" t="s">
        <v>192</v>
      </c>
      <c r="AB2475" s="1" t="s">
        <v>467</v>
      </c>
      <c r="AC2475" s="1" t="s">
        <v>4556</v>
      </c>
      <c r="AD2475" s="1" t="s">
        <v>1948</v>
      </c>
      <c r="AE2475" s="1" t="s">
        <v>195</v>
      </c>
      <c r="AF2475" s="1" t="s">
        <v>1708</v>
      </c>
      <c r="AG2475" s="1" t="s">
        <v>324</v>
      </c>
      <c r="AH2475" s="1" t="s">
        <v>22483</v>
      </c>
      <c r="AI2475" s="1">
        <v>0.4</v>
      </c>
      <c r="AK2475" s="1">
        <v>9.0</v>
      </c>
      <c r="AL2475" s="1">
        <v>4.0</v>
      </c>
      <c r="AM2475" s="1">
        <v>2.0</v>
      </c>
      <c r="AN2475" s="1">
        <v>1.0</v>
      </c>
      <c r="AO2475" s="1" t="s">
        <v>198</v>
      </c>
      <c r="AP2475" s="1">
        <v>1.0</v>
      </c>
      <c r="AQ2475" s="1" t="s">
        <v>1314</v>
      </c>
      <c r="AR2475" s="1" t="s">
        <v>200</v>
      </c>
      <c r="AS2475" s="1" t="s">
        <v>199</v>
      </c>
      <c r="AT2475" s="1">
        <v>2.0</v>
      </c>
      <c r="AV2475" s="1" t="s">
        <v>200</v>
      </c>
      <c r="AW2475" s="1">
        <v>8423.0</v>
      </c>
      <c r="AX2475" s="1">
        <v>2012.0</v>
      </c>
      <c r="AY2475" s="1" t="s">
        <v>387</v>
      </c>
      <c r="AZ2475" s="1" t="s">
        <v>200</v>
      </c>
      <c r="BA2475" s="1" t="str">
        <f>"02061090070000"</f>
        <v>02061090070000</v>
      </c>
      <c r="BB2475" s="1" t="s">
        <v>200</v>
      </c>
      <c r="BC2475" s="1">
        <v>2713.0</v>
      </c>
      <c r="BD2475" s="1">
        <v>565000.0</v>
      </c>
      <c r="BE2475" s="2">
        <v>42026.0</v>
      </c>
      <c r="BF2475" s="2" t="s">
        <v>22484</v>
      </c>
      <c r="BG2475" s="1" t="s">
        <v>1712</v>
      </c>
      <c r="BH2475" s="1">
        <v>926.0</v>
      </c>
      <c r="BI2475" s="1" t="s">
        <v>5243</v>
      </c>
      <c r="BJ2475" s="1" t="s">
        <v>1714</v>
      </c>
      <c r="BK2475" s="1" t="s">
        <v>580</v>
      </c>
      <c r="BL2475" s="1" t="str">
        <f t="shared" ref="BL2475:BM2475" si="1611">""</f>
        <v/>
      </c>
      <c r="BM2475" s="1" t="str">
        <f t="shared" si="1611"/>
        <v/>
      </c>
      <c r="BQ2475" s="1">
        <v>220.0</v>
      </c>
      <c r="BR2475" s="1">
        <v>220.0</v>
      </c>
      <c r="BS2475" s="1">
        <v>220.0</v>
      </c>
      <c r="BU2475" s="1" t="s">
        <v>1244</v>
      </c>
      <c r="BV2475" s="1" t="s">
        <v>206</v>
      </c>
      <c r="BW2475" s="1" t="s">
        <v>207</v>
      </c>
      <c r="BY2475" s="1" t="s">
        <v>1117</v>
      </c>
      <c r="BZ2475" s="1" t="s">
        <v>209</v>
      </c>
      <c r="CA2475" s="1" t="s">
        <v>207</v>
      </c>
      <c r="CC2475" s="1" t="s">
        <v>211</v>
      </c>
      <c r="CD2475" s="1" t="s">
        <v>206</v>
      </c>
      <c r="CE2475" s="1" t="s">
        <v>207</v>
      </c>
      <c r="CG2475" s="1" t="s">
        <v>433</v>
      </c>
      <c r="CH2475" s="1" t="s">
        <v>209</v>
      </c>
      <c r="CI2475" s="1" t="s">
        <v>207</v>
      </c>
      <c r="CK2475" s="1" t="s">
        <v>331</v>
      </c>
      <c r="CL2475" s="1" t="s">
        <v>209</v>
      </c>
      <c r="CM2475" s="1" t="s">
        <v>207</v>
      </c>
      <c r="CO2475" s="1" t="s">
        <v>212</v>
      </c>
      <c r="CP2475" s="1" t="s">
        <v>209</v>
      </c>
      <c r="CQ2475" s="1" t="s">
        <v>207</v>
      </c>
      <c r="CS2475" s="1" t="s">
        <v>640</v>
      </c>
      <c r="CT2475" s="1" t="s">
        <v>206</v>
      </c>
      <c r="CU2475" s="1" t="s">
        <v>207</v>
      </c>
      <c r="CW2475" s="1" t="s">
        <v>3475</v>
      </c>
      <c r="CX2475" s="1" t="s">
        <v>206</v>
      </c>
      <c r="CY2475" s="1" t="s">
        <v>207</v>
      </c>
      <c r="DA2475" s="1" t="s">
        <v>200</v>
      </c>
      <c r="DC2475" s="1" t="s">
        <v>517</v>
      </c>
      <c r="DD2475" s="1" t="s">
        <v>396</v>
      </c>
      <c r="DE2475" s="1" t="s">
        <v>273</v>
      </c>
      <c r="DF2475" s="1" t="s">
        <v>219</v>
      </c>
      <c r="DG2475" s="1" t="s">
        <v>22485</v>
      </c>
      <c r="DH2475" s="1" t="s">
        <v>220</v>
      </c>
      <c r="DI2475" s="1" t="s">
        <v>22486</v>
      </c>
      <c r="DJ2475" s="1" t="s">
        <v>222</v>
      </c>
      <c r="DK2475" s="1" t="s">
        <v>223</v>
      </c>
      <c r="DL2475" s="1" t="s">
        <v>223</v>
      </c>
      <c r="DM2475" s="1" t="s">
        <v>929</v>
      </c>
      <c r="DN2475" s="1" t="s">
        <v>3293</v>
      </c>
      <c r="DO2475" s="1" t="s">
        <v>22487</v>
      </c>
      <c r="DP2475" s="1" t="s">
        <v>340</v>
      </c>
      <c r="DQ2475" s="1" t="s">
        <v>441</v>
      </c>
      <c r="DR2475" s="1" t="s">
        <v>9897</v>
      </c>
      <c r="DS2475" s="1" t="s">
        <v>230</v>
      </c>
      <c r="DU2475" s="1" t="s">
        <v>18358</v>
      </c>
      <c r="DV2475" s="1" t="s">
        <v>22488</v>
      </c>
      <c r="DW2475" s="1" t="s">
        <v>370</v>
      </c>
      <c r="DX2475" s="1" t="s">
        <v>234</v>
      </c>
      <c r="DY2475" s="1" t="s">
        <v>1051</v>
      </c>
      <c r="DZ2475" s="1" t="s">
        <v>310</v>
      </c>
      <c r="EA2475" s="1" t="s">
        <v>447</v>
      </c>
      <c r="EB2475" s="1" t="s">
        <v>492</v>
      </c>
      <c r="EC2475" s="1" t="s">
        <v>237</v>
      </c>
      <c r="ED2475" s="1" t="s">
        <v>407</v>
      </c>
      <c r="EG2475" s="1" t="s">
        <v>449</v>
      </c>
      <c r="EH2475" s="1" t="s">
        <v>408</v>
      </c>
      <c r="EI2475" s="1" t="s">
        <v>310</v>
      </c>
      <c r="EL2475" s="1" t="s">
        <v>1939</v>
      </c>
      <c r="EM2475" s="1" t="s">
        <v>206</v>
      </c>
      <c r="EN2475" s="1" t="s">
        <v>207</v>
      </c>
      <c r="EP2475" s="1" t="s">
        <v>331</v>
      </c>
      <c r="EQ2475" s="1" t="s">
        <v>206</v>
      </c>
      <c r="ER2475" s="1" t="s">
        <v>1136</v>
      </c>
      <c r="ET2475" s="1" t="s">
        <v>4560</v>
      </c>
      <c r="EU2475" s="1" t="s">
        <v>206</v>
      </c>
      <c r="EY2475" s="1" t="s">
        <v>238</v>
      </c>
      <c r="FC2475" s="1" t="s">
        <v>238</v>
      </c>
      <c r="FF2475" s="1" t="s">
        <v>239</v>
      </c>
      <c r="FG2475" s="1" t="s">
        <v>192</v>
      </c>
      <c r="FH2475" s="1" t="s">
        <v>192</v>
      </c>
      <c r="FJ2475" s="1" t="s">
        <v>22489</v>
      </c>
      <c r="FK2475" s="1" t="s">
        <v>229</v>
      </c>
      <c r="FL2475" s="1" t="s">
        <v>819</v>
      </c>
      <c r="FM2475" s="1">
        <v>6267.0</v>
      </c>
      <c r="FN2475" s="1" t="s">
        <v>820</v>
      </c>
      <c r="FO2475" s="1" t="s">
        <v>22490</v>
      </c>
      <c r="FP2475" s="1">
        <v>62944.0</v>
      </c>
      <c r="FQ2475" s="1" t="s">
        <v>22491</v>
      </c>
      <c r="FR2475" s="1">
        <v>63131.0</v>
      </c>
      <c r="FU2475" s="1" t="s">
        <v>18494</v>
      </c>
      <c r="FV2475" s="1" t="s">
        <v>200</v>
      </c>
      <c r="FW2475" s="1" t="s">
        <v>530</v>
      </c>
      <c r="FZ2475" s="1" t="s">
        <v>229</v>
      </c>
      <c r="GA2475" s="1" t="s">
        <v>291</v>
      </c>
      <c r="GB2475" s="2">
        <v>42094.0</v>
      </c>
      <c r="GC2475" s="1" t="s">
        <v>22492</v>
      </c>
    </row>
    <row r="2476">
      <c r="A2476" s="1">
        <v>322227.0</v>
      </c>
      <c r="B2476" s="1" t="s">
        <v>185</v>
      </c>
      <c r="C2476" s="1" t="str">
        <f>"08817191"</f>
        <v>08817191</v>
      </c>
      <c r="D2476" s="1" t="s">
        <v>186</v>
      </c>
      <c r="F2476" s="1" t="str">
        <f>"8016"</f>
        <v>8016</v>
      </c>
      <c r="G2476" s="2">
        <v>42019.0</v>
      </c>
      <c r="H2476" s="1">
        <v>299900.0</v>
      </c>
      <c r="I2476" s="1">
        <v>29.0</v>
      </c>
      <c r="J2476" s="1">
        <v>299900.0</v>
      </c>
      <c r="K2476" s="2">
        <v>42047.0</v>
      </c>
      <c r="L2476" s="1">
        <v>29.0</v>
      </c>
      <c r="M2476" s="2">
        <v>42047.0</v>
      </c>
      <c r="N2476" s="1" t="s">
        <v>249</v>
      </c>
      <c r="O2476" s="2">
        <v>42055.0</v>
      </c>
      <c r="P2476" s="1">
        <v>187076.0</v>
      </c>
      <c r="Q2476" s="1">
        <v>13963.0</v>
      </c>
      <c r="S2476" s="1">
        <v>4247.0</v>
      </c>
      <c r="T2476" s="1" t="s">
        <v>11477</v>
      </c>
      <c r="U2476" s="1" t="s">
        <v>320</v>
      </c>
      <c r="V2476" s="1" t="s">
        <v>190</v>
      </c>
      <c r="W2476" s="1">
        <v>60618.0</v>
      </c>
      <c r="Y2476" s="1" t="s">
        <v>22493</v>
      </c>
      <c r="Z2476" s="1">
        <v>1923.0</v>
      </c>
      <c r="AA2476" s="1" t="s">
        <v>192</v>
      </c>
      <c r="AB2476" s="1" t="s">
        <v>193</v>
      </c>
      <c r="AC2476" s="1" t="s">
        <v>22494</v>
      </c>
      <c r="AD2476" s="1" t="s">
        <v>194</v>
      </c>
      <c r="AE2476" s="1" t="s">
        <v>195</v>
      </c>
      <c r="AF2476" s="1" t="s">
        <v>196</v>
      </c>
      <c r="AG2476" s="1" t="s">
        <v>778</v>
      </c>
      <c r="AH2476" s="1" t="s">
        <v>359</v>
      </c>
      <c r="AK2476" s="1">
        <v>8.0</v>
      </c>
      <c r="AL2476" s="1">
        <v>3.0</v>
      </c>
      <c r="AM2476" s="1">
        <v>3.0</v>
      </c>
      <c r="AN2476" s="1">
        <v>0.0</v>
      </c>
      <c r="AO2476" s="1" t="s">
        <v>198</v>
      </c>
      <c r="AP2476" s="1">
        <v>1.0</v>
      </c>
      <c r="AQ2476" s="1" t="s">
        <v>198</v>
      </c>
      <c r="AR2476" s="1" t="s">
        <v>192</v>
      </c>
      <c r="AS2476" s="1" t="s">
        <v>199</v>
      </c>
      <c r="AT2476" s="1">
        <v>2.0</v>
      </c>
      <c r="AV2476" s="1" t="s">
        <v>200</v>
      </c>
      <c r="AW2476" s="1">
        <v>3370.18</v>
      </c>
      <c r="AX2476" s="1">
        <v>2012.0</v>
      </c>
      <c r="AZ2476" s="1" t="s">
        <v>200</v>
      </c>
      <c r="BA2476" s="1" t="str">
        <f>"13133130040000"</f>
        <v>13133130040000</v>
      </c>
      <c r="BC2476" s="1">
        <v>0.0</v>
      </c>
      <c r="BD2476" s="1">
        <v>322227.0</v>
      </c>
      <c r="BE2476" s="2">
        <v>42019.0</v>
      </c>
      <c r="BF2476" s="2" t="s">
        <v>22495</v>
      </c>
      <c r="BH2476" s="1">
        <v>0.0</v>
      </c>
      <c r="BK2476" s="1" t="s">
        <v>204</v>
      </c>
      <c r="BL2476" s="1" t="str">
        <f>"4200"</f>
        <v>4200</v>
      </c>
      <c r="BM2476" s="1" t="str">
        <f>"0"</f>
        <v>0</v>
      </c>
      <c r="BN2476" s="1">
        <v>3000.0</v>
      </c>
      <c r="BO2476" s="1">
        <v>0.0</v>
      </c>
      <c r="BQ2476" s="1">
        <v>299.0</v>
      </c>
      <c r="BR2476" s="1">
        <v>299.0</v>
      </c>
      <c r="BS2476" s="1">
        <v>299.0</v>
      </c>
      <c r="BU2476" s="1" t="s">
        <v>677</v>
      </c>
      <c r="BV2476" s="1" t="s">
        <v>206</v>
      </c>
      <c r="BY2476" s="1" t="s">
        <v>5955</v>
      </c>
      <c r="BZ2476" s="1" t="s">
        <v>209</v>
      </c>
      <c r="CC2476" s="1" t="s">
        <v>433</v>
      </c>
      <c r="CD2476" s="1" t="s">
        <v>206</v>
      </c>
      <c r="CG2476" s="1" t="s">
        <v>264</v>
      </c>
      <c r="CH2476" s="1" t="s">
        <v>206</v>
      </c>
      <c r="CK2476" s="1" t="s">
        <v>264</v>
      </c>
      <c r="CL2476" s="1" t="s">
        <v>206</v>
      </c>
      <c r="CO2476" s="1" t="s">
        <v>1746</v>
      </c>
      <c r="CP2476" s="1" t="s">
        <v>42</v>
      </c>
      <c r="CS2476" s="1" t="s">
        <v>363</v>
      </c>
      <c r="CT2476" s="1" t="s">
        <v>206</v>
      </c>
      <c r="CW2476" s="1" t="s">
        <v>2182</v>
      </c>
      <c r="CX2476" s="1" t="s">
        <v>209</v>
      </c>
      <c r="DA2476" s="1" t="s">
        <v>200</v>
      </c>
      <c r="DC2476" s="1" t="s">
        <v>216</v>
      </c>
      <c r="DE2476" s="1" t="s">
        <v>273</v>
      </c>
      <c r="DF2476" s="1" t="s">
        <v>905</v>
      </c>
      <c r="DH2476" s="1" t="s">
        <v>220</v>
      </c>
      <c r="DJ2476" s="1" t="s">
        <v>222</v>
      </c>
      <c r="DL2476" s="1" t="s">
        <v>224</v>
      </c>
      <c r="DM2476" s="1" t="s">
        <v>229</v>
      </c>
      <c r="DQ2476" s="1" t="s">
        <v>718</v>
      </c>
      <c r="DR2476" s="1" t="s">
        <v>229</v>
      </c>
      <c r="DS2476" s="1" t="s">
        <v>230</v>
      </c>
      <c r="DV2476" s="1" t="s">
        <v>232</v>
      </c>
      <c r="DW2476" s="1" t="s">
        <v>279</v>
      </c>
      <c r="DX2476" s="1" t="s">
        <v>234</v>
      </c>
      <c r="EA2476" s="1" t="s">
        <v>644</v>
      </c>
      <c r="EC2476" s="1" t="s">
        <v>645</v>
      </c>
      <c r="EM2476" s="1" t="s">
        <v>238</v>
      </c>
      <c r="EQ2476" s="1" t="s">
        <v>238</v>
      </c>
      <c r="EU2476" s="1" t="s">
        <v>238</v>
      </c>
      <c r="EY2476" s="1" t="s">
        <v>238</v>
      </c>
      <c r="FC2476" s="1" t="s">
        <v>238</v>
      </c>
      <c r="FF2476" s="1" t="s">
        <v>239</v>
      </c>
      <c r="FG2476" s="1" t="s">
        <v>192</v>
      </c>
      <c r="FH2476" s="1" t="s">
        <v>192</v>
      </c>
      <c r="FJ2476" s="1" t="s">
        <v>4863</v>
      </c>
      <c r="FK2476" s="1" t="s">
        <v>601</v>
      </c>
      <c r="FL2476" s="1" t="s">
        <v>22496</v>
      </c>
      <c r="FM2476" s="1">
        <v>85478.0</v>
      </c>
      <c r="FN2476" s="1" t="s">
        <v>22497</v>
      </c>
      <c r="FO2476" s="1" t="s">
        <v>22498</v>
      </c>
      <c r="FP2476" s="1">
        <v>871164.0</v>
      </c>
      <c r="FU2476" s="1" t="s">
        <v>20371</v>
      </c>
      <c r="FV2476" s="1" t="s">
        <v>200</v>
      </c>
      <c r="FW2476" s="1" t="s">
        <v>290</v>
      </c>
      <c r="FX2476" s="1" t="s">
        <v>238</v>
      </c>
      <c r="FZ2476" s="1" t="s">
        <v>229</v>
      </c>
      <c r="GA2476" s="1" t="s">
        <v>291</v>
      </c>
      <c r="GB2476" s="2">
        <v>42055.0</v>
      </c>
      <c r="GC2476" s="1" t="s">
        <v>22499</v>
      </c>
    </row>
    <row r="2477">
      <c r="A2477" s="1">
        <v>142000.0</v>
      </c>
      <c r="B2477" s="1" t="s">
        <v>185</v>
      </c>
      <c r="C2477" s="1" t="str">
        <f>"08819551"</f>
        <v>08819551</v>
      </c>
      <c r="D2477" s="1" t="s">
        <v>186</v>
      </c>
      <c r="F2477" s="1" t="str">
        <f>"545"</f>
        <v>545</v>
      </c>
      <c r="G2477" s="2">
        <v>42023.0</v>
      </c>
      <c r="H2477" s="1">
        <v>139900.0</v>
      </c>
      <c r="I2477" s="1">
        <v>6.0</v>
      </c>
      <c r="J2477" s="1">
        <v>139900.0</v>
      </c>
      <c r="K2477" s="2">
        <v>42028.0</v>
      </c>
      <c r="L2477" s="1">
        <v>6.0</v>
      </c>
      <c r="M2477" s="2">
        <v>42028.0</v>
      </c>
      <c r="N2477" s="1" t="s">
        <v>356</v>
      </c>
      <c r="O2477" s="2">
        <v>42100.0</v>
      </c>
      <c r="P2477" s="1">
        <v>242911.0</v>
      </c>
      <c r="Q2477" s="1">
        <v>24215.0</v>
      </c>
      <c r="R2477" s="1">
        <v>4500.0</v>
      </c>
      <c r="S2477" s="1">
        <v>619.0</v>
      </c>
      <c r="T2477" s="1" t="s">
        <v>22500</v>
      </c>
      <c r="U2477" s="1" t="s">
        <v>320</v>
      </c>
      <c r="V2477" s="1" t="s">
        <v>3364</v>
      </c>
      <c r="W2477" s="1">
        <v>60545.0</v>
      </c>
      <c r="X2477" s="1">
        <v>2007.0</v>
      </c>
      <c r="Y2477" s="1" t="s">
        <v>22501</v>
      </c>
      <c r="Z2477" s="1">
        <v>1987.0</v>
      </c>
      <c r="AA2477" s="1" t="s">
        <v>200</v>
      </c>
      <c r="AB2477" s="1" t="s">
        <v>193</v>
      </c>
      <c r="AD2477" s="1" t="s">
        <v>3366</v>
      </c>
      <c r="AE2477" s="1" t="s">
        <v>849</v>
      </c>
      <c r="AF2477" s="1" t="s">
        <v>3367</v>
      </c>
      <c r="AH2477" s="1" t="s">
        <v>1743</v>
      </c>
      <c r="AI2477" s="1">
        <v>0.2367</v>
      </c>
      <c r="AK2477" s="1">
        <v>9.0</v>
      </c>
      <c r="AL2477" s="1">
        <v>3.0</v>
      </c>
      <c r="AM2477" s="1">
        <v>3.0</v>
      </c>
      <c r="AN2477" s="1">
        <v>1.0</v>
      </c>
      <c r="AO2477" s="1" t="s">
        <v>198</v>
      </c>
      <c r="AQ2477" s="1" t="s">
        <v>198</v>
      </c>
      <c r="AR2477" s="1" t="s">
        <v>192</v>
      </c>
      <c r="AS2477" s="1" t="s">
        <v>199</v>
      </c>
      <c r="AT2477" s="1">
        <v>2.0</v>
      </c>
      <c r="AV2477" s="1" t="s">
        <v>200</v>
      </c>
      <c r="AW2477" s="1">
        <v>4508.77</v>
      </c>
      <c r="AX2477" s="1">
        <v>2013.0</v>
      </c>
      <c r="AY2477" s="1" t="s">
        <v>387</v>
      </c>
      <c r="AZ2477" s="1" t="s">
        <v>200</v>
      </c>
      <c r="BA2477" s="1" t="str">
        <f>"0127254019"</f>
        <v>0127254019</v>
      </c>
      <c r="BB2477" s="1" t="s">
        <v>200</v>
      </c>
      <c r="BC2477" s="1">
        <v>1672.0</v>
      </c>
      <c r="BD2477" s="1">
        <v>142000.0</v>
      </c>
      <c r="BE2477" s="2">
        <v>42023.0</v>
      </c>
      <c r="BF2477" s="2" t="s">
        <v>22502</v>
      </c>
      <c r="BG2477" s="1" t="s">
        <v>3370</v>
      </c>
      <c r="BH2477" s="1">
        <v>0.0</v>
      </c>
      <c r="BI2477" s="1" t="s">
        <v>3371</v>
      </c>
      <c r="BJ2477" s="1" t="s">
        <v>3372</v>
      </c>
      <c r="BK2477" s="1" t="s">
        <v>204</v>
      </c>
      <c r="BL2477" s="1" t="str">
        <f t="shared" ref="BL2477:BM2477" si="1612">"0"</f>
        <v>0</v>
      </c>
      <c r="BM2477" s="1" t="str">
        <f t="shared" si="1612"/>
        <v>0</v>
      </c>
      <c r="BN2477" s="1">
        <v>0.0</v>
      </c>
      <c r="BO2477" s="1">
        <v>0.0</v>
      </c>
      <c r="BQ2477" s="1">
        <v>88.0</v>
      </c>
      <c r="BR2477" s="1">
        <v>88.0</v>
      </c>
      <c r="BS2477" s="1">
        <v>88.0</v>
      </c>
      <c r="BV2477" s="1" t="s">
        <v>204</v>
      </c>
      <c r="BY2477" s="1" t="s">
        <v>213</v>
      </c>
      <c r="BZ2477" s="1" t="s">
        <v>209</v>
      </c>
      <c r="CA2477" s="1" t="s">
        <v>210</v>
      </c>
      <c r="CB2477" s="1" t="s">
        <v>431</v>
      </c>
      <c r="CD2477" s="1" t="s">
        <v>204</v>
      </c>
      <c r="CG2477" s="1" t="s">
        <v>212</v>
      </c>
      <c r="CH2477" s="1" t="s">
        <v>209</v>
      </c>
      <c r="CI2477" s="1" t="s">
        <v>210</v>
      </c>
      <c r="CJ2477" s="1" t="s">
        <v>431</v>
      </c>
      <c r="CK2477" s="1" t="s">
        <v>212</v>
      </c>
      <c r="CL2477" s="1" t="s">
        <v>209</v>
      </c>
      <c r="CM2477" s="1" t="s">
        <v>210</v>
      </c>
      <c r="CN2477" s="1" t="s">
        <v>431</v>
      </c>
      <c r="CO2477" s="1" t="s">
        <v>784</v>
      </c>
      <c r="CP2477" s="1" t="s">
        <v>42</v>
      </c>
      <c r="CQ2477" s="1" t="s">
        <v>210</v>
      </c>
      <c r="CR2477" s="1" t="s">
        <v>431</v>
      </c>
      <c r="CS2477" s="1" t="s">
        <v>1745</v>
      </c>
      <c r="CT2477" s="1" t="s">
        <v>206</v>
      </c>
      <c r="CU2477" s="1" t="s">
        <v>268</v>
      </c>
      <c r="CV2477" s="1" t="s">
        <v>431</v>
      </c>
      <c r="CW2477" s="1" t="s">
        <v>1378</v>
      </c>
      <c r="CX2477" s="1" t="s">
        <v>206</v>
      </c>
      <c r="CY2477" s="1" t="s">
        <v>210</v>
      </c>
      <c r="CZ2477" s="1" t="s">
        <v>431</v>
      </c>
      <c r="DA2477" s="1" t="s">
        <v>200</v>
      </c>
      <c r="DC2477" s="1" t="s">
        <v>305</v>
      </c>
      <c r="DD2477" s="1" t="s">
        <v>679</v>
      </c>
      <c r="DE2477" s="1" t="s">
        <v>273</v>
      </c>
      <c r="DF2477" s="1" t="s">
        <v>219</v>
      </c>
      <c r="DG2477" s="1" t="s">
        <v>4976</v>
      </c>
      <c r="DH2477" s="1" t="s">
        <v>220</v>
      </c>
      <c r="DI2477" s="1" t="s">
        <v>308</v>
      </c>
      <c r="DJ2477" s="1" t="s">
        <v>222</v>
      </c>
      <c r="DL2477" s="1" t="s">
        <v>1267</v>
      </c>
      <c r="DM2477" s="1" t="s">
        <v>229</v>
      </c>
      <c r="DQ2477" s="1" t="s">
        <v>228</v>
      </c>
      <c r="DR2477" s="1" t="s">
        <v>229</v>
      </c>
      <c r="DS2477" s="1" t="s">
        <v>230</v>
      </c>
      <c r="DU2477" s="1" t="s">
        <v>3861</v>
      </c>
      <c r="DV2477" s="1" t="s">
        <v>10710</v>
      </c>
      <c r="DW2477" s="1" t="s">
        <v>9914</v>
      </c>
      <c r="DX2477" s="1" t="s">
        <v>234</v>
      </c>
      <c r="DY2477" s="1" t="s">
        <v>1006</v>
      </c>
      <c r="EC2477" s="1" t="s">
        <v>237</v>
      </c>
      <c r="ED2477" s="1" t="s">
        <v>407</v>
      </c>
      <c r="EG2477" s="1" t="s">
        <v>494</v>
      </c>
      <c r="EH2477" s="1" t="s">
        <v>450</v>
      </c>
      <c r="EI2477" s="1" t="s">
        <v>556</v>
      </c>
      <c r="EL2477" s="1" t="s">
        <v>1939</v>
      </c>
      <c r="EM2477" s="1" t="s">
        <v>42</v>
      </c>
      <c r="EN2477" s="1" t="s">
        <v>210</v>
      </c>
      <c r="EP2477" s="1" t="s">
        <v>211</v>
      </c>
      <c r="EQ2477" s="1" t="s">
        <v>42</v>
      </c>
      <c r="ER2477" s="1" t="s">
        <v>301</v>
      </c>
      <c r="ET2477" s="1" t="s">
        <v>332</v>
      </c>
      <c r="EU2477" s="1" t="s">
        <v>206</v>
      </c>
      <c r="EV2477" s="1" t="s">
        <v>268</v>
      </c>
      <c r="EW2477" s="1" t="s">
        <v>431</v>
      </c>
      <c r="EY2477" s="1" t="s">
        <v>238</v>
      </c>
      <c r="FC2477" s="1" t="s">
        <v>238</v>
      </c>
      <c r="FF2477" s="1" t="s">
        <v>239</v>
      </c>
      <c r="FG2477" s="1" t="s">
        <v>192</v>
      </c>
      <c r="FH2477" s="1" t="s">
        <v>192</v>
      </c>
      <c r="FJ2477" s="1" t="s">
        <v>865</v>
      </c>
      <c r="FK2477" s="1" t="s">
        <v>229</v>
      </c>
      <c r="FL2477" s="1" t="s">
        <v>866</v>
      </c>
      <c r="FM2477" s="1">
        <v>24504.0</v>
      </c>
      <c r="FN2477" s="1" t="s">
        <v>22503</v>
      </c>
      <c r="FO2477" s="1" t="s">
        <v>868</v>
      </c>
      <c r="FP2477" s="1">
        <v>236067.0</v>
      </c>
      <c r="FQ2477" s="1" t="s">
        <v>869</v>
      </c>
      <c r="FS2477" s="1" t="s">
        <v>870</v>
      </c>
      <c r="FU2477" s="1" t="s">
        <v>871</v>
      </c>
      <c r="FV2477" s="1" t="s">
        <v>200</v>
      </c>
      <c r="FW2477" s="1" t="s">
        <v>290</v>
      </c>
      <c r="FX2477" s="1" t="s">
        <v>655</v>
      </c>
      <c r="FZ2477" s="1" t="s">
        <v>229</v>
      </c>
      <c r="GA2477" s="1" t="s">
        <v>291</v>
      </c>
      <c r="GB2477" s="2">
        <v>42105.0</v>
      </c>
      <c r="GC2477" s="1" t="s">
        <v>22504</v>
      </c>
    </row>
    <row r="2478">
      <c r="A2478" s="1">
        <v>685000.0</v>
      </c>
      <c r="B2478" s="1" t="s">
        <v>185</v>
      </c>
      <c r="C2478" s="1" t="str">
        <f>"08821927"</f>
        <v>08821927</v>
      </c>
      <c r="D2478" s="1" t="s">
        <v>186</v>
      </c>
      <c r="F2478" s="1" t="str">
        <f>"174"</f>
        <v>174</v>
      </c>
      <c r="G2478" s="2">
        <v>42026.0</v>
      </c>
      <c r="H2478" s="1">
        <v>694000.0</v>
      </c>
      <c r="I2478" s="1">
        <v>224.0</v>
      </c>
      <c r="J2478" s="1">
        <v>694000.0</v>
      </c>
      <c r="K2478" s="2">
        <v>42031.0</v>
      </c>
      <c r="L2478" s="1">
        <v>6.0</v>
      </c>
      <c r="M2478" s="2">
        <v>42031.0</v>
      </c>
      <c r="N2478" s="1" t="s">
        <v>187</v>
      </c>
      <c r="O2478" s="2">
        <v>42074.0</v>
      </c>
      <c r="P2478" s="1">
        <v>215846.0</v>
      </c>
      <c r="Q2478" s="1">
        <v>20179.0</v>
      </c>
      <c r="S2478" s="1" t="s">
        <v>22505</v>
      </c>
      <c r="T2478" s="1" t="s">
        <v>9067</v>
      </c>
      <c r="U2478" s="1" t="s">
        <v>464</v>
      </c>
      <c r="V2478" s="1" t="s">
        <v>1200</v>
      </c>
      <c r="W2478" s="1">
        <v>60175.0</v>
      </c>
      <c r="Y2478" s="1" t="s">
        <v>22506</v>
      </c>
      <c r="Z2478" s="1">
        <v>2006.0</v>
      </c>
      <c r="AA2478" s="1" t="s">
        <v>200</v>
      </c>
      <c r="AB2478" s="1" t="s">
        <v>467</v>
      </c>
      <c r="AC2478" s="1" t="s">
        <v>4318</v>
      </c>
      <c r="AD2478" s="1" t="s">
        <v>1089</v>
      </c>
      <c r="AE2478" s="1" t="s">
        <v>325</v>
      </c>
      <c r="AF2478" s="1" t="s">
        <v>1632</v>
      </c>
      <c r="AH2478" s="1" t="s">
        <v>22507</v>
      </c>
      <c r="AI2478" s="1">
        <v>0.44</v>
      </c>
      <c r="AK2478" s="1">
        <v>15.0</v>
      </c>
      <c r="AL2478" s="1">
        <v>4.0</v>
      </c>
      <c r="AM2478" s="1">
        <v>5.0</v>
      </c>
      <c r="AN2478" s="1">
        <v>0.0</v>
      </c>
      <c r="AO2478" s="1" t="s">
        <v>198</v>
      </c>
      <c r="AP2478" s="1">
        <v>3.0</v>
      </c>
      <c r="AQ2478" s="1" t="s">
        <v>198</v>
      </c>
      <c r="AR2478" s="1" t="s">
        <v>192</v>
      </c>
      <c r="AS2478" s="1" t="s">
        <v>199</v>
      </c>
      <c r="AT2478" s="1">
        <v>3.0</v>
      </c>
      <c r="AV2478" s="1" t="s">
        <v>200</v>
      </c>
      <c r="AW2478" s="1">
        <v>15690.0</v>
      </c>
      <c r="AX2478" s="1">
        <v>2013.0</v>
      </c>
      <c r="AY2478" s="1" t="s">
        <v>387</v>
      </c>
      <c r="AZ2478" s="1" t="s">
        <v>200</v>
      </c>
      <c r="BA2478" s="1" t="str">
        <f>"0825129024"</f>
        <v>0825129024</v>
      </c>
      <c r="BC2478" s="1">
        <v>4500.0</v>
      </c>
      <c r="BD2478" s="1">
        <v>685000.0</v>
      </c>
      <c r="BE2478" s="2">
        <v>42026.0</v>
      </c>
      <c r="BF2478" s="2" t="s">
        <v>22508</v>
      </c>
      <c r="BG2478" s="1" t="s">
        <v>6840</v>
      </c>
      <c r="BH2478" s="1">
        <v>1160.0</v>
      </c>
      <c r="BI2478" s="1" t="s">
        <v>2199</v>
      </c>
      <c r="BJ2478" s="1" t="s">
        <v>2144</v>
      </c>
      <c r="BK2478" s="1" t="s">
        <v>580</v>
      </c>
      <c r="BL2478" s="1" t="str">
        <f t="shared" ref="BL2478:BM2478" si="1613">""</f>
        <v/>
      </c>
      <c r="BM2478" s="1" t="str">
        <f t="shared" si="1613"/>
        <v/>
      </c>
      <c r="BQ2478" s="1">
        <v>303.0</v>
      </c>
      <c r="BR2478" s="1">
        <v>303.0</v>
      </c>
      <c r="BS2478" s="1">
        <v>303.0</v>
      </c>
      <c r="BU2478" s="1" t="s">
        <v>830</v>
      </c>
      <c r="BV2478" s="1" t="s">
        <v>206</v>
      </c>
      <c r="BW2478" s="1" t="s">
        <v>207</v>
      </c>
      <c r="BX2478" s="1" t="s">
        <v>431</v>
      </c>
      <c r="BY2478" s="1" t="s">
        <v>364</v>
      </c>
      <c r="BZ2478" s="1" t="s">
        <v>209</v>
      </c>
      <c r="CA2478" s="1" t="s">
        <v>210</v>
      </c>
      <c r="CB2478" s="1" t="s">
        <v>431</v>
      </c>
      <c r="CC2478" s="1" t="s">
        <v>2082</v>
      </c>
      <c r="CD2478" s="1" t="s">
        <v>206</v>
      </c>
      <c r="CE2478" s="1" t="s">
        <v>207</v>
      </c>
      <c r="CF2478" s="1" t="s">
        <v>431</v>
      </c>
      <c r="CG2478" s="1" t="s">
        <v>2082</v>
      </c>
      <c r="CH2478" s="1" t="s">
        <v>209</v>
      </c>
      <c r="CI2478" s="1" t="s">
        <v>210</v>
      </c>
      <c r="CJ2478" s="1" t="s">
        <v>431</v>
      </c>
      <c r="CK2478" s="1" t="s">
        <v>1068</v>
      </c>
      <c r="CL2478" s="1" t="s">
        <v>209</v>
      </c>
      <c r="CM2478" s="1" t="s">
        <v>210</v>
      </c>
      <c r="CN2478" s="1" t="s">
        <v>431</v>
      </c>
      <c r="CO2478" s="1" t="s">
        <v>17541</v>
      </c>
      <c r="CP2478" s="1" t="s">
        <v>209</v>
      </c>
      <c r="CQ2478" s="1" t="s">
        <v>210</v>
      </c>
      <c r="CR2478" s="1" t="s">
        <v>1549</v>
      </c>
      <c r="CS2478" s="1" t="s">
        <v>5222</v>
      </c>
      <c r="CT2478" s="1" t="s">
        <v>206</v>
      </c>
      <c r="CU2478" s="1" t="s">
        <v>2615</v>
      </c>
      <c r="CV2478" s="1" t="s">
        <v>229</v>
      </c>
      <c r="CW2478" s="1" t="s">
        <v>5955</v>
      </c>
      <c r="CX2478" s="1" t="s">
        <v>206</v>
      </c>
      <c r="CY2478" s="1" t="s">
        <v>207</v>
      </c>
      <c r="CZ2478" s="1" t="s">
        <v>476</v>
      </c>
      <c r="DA2478" s="1" t="s">
        <v>200</v>
      </c>
      <c r="DC2478" s="1" t="s">
        <v>481</v>
      </c>
      <c r="DD2478" s="1" t="s">
        <v>4137</v>
      </c>
      <c r="DE2478" s="1" t="s">
        <v>273</v>
      </c>
      <c r="DF2478" s="1" t="s">
        <v>219</v>
      </c>
      <c r="DG2478" s="1" t="s">
        <v>2379</v>
      </c>
      <c r="DH2478" s="1" t="s">
        <v>1603</v>
      </c>
      <c r="DI2478" s="1" t="s">
        <v>2329</v>
      </c>
      <c r="DJ2478" s="1" t="s">
        <v>222</v>
      </c>
      <c r="DL2478" s="1" t="s">
        <v>224</v>
      </c>
      <c r="DM2478" s="1" t="s">
        <v>229</v>
      </c>
      <c r="DN2478" s="1" t="s">
        <v>399</v>
      </c>
      <c r="DO2478" s="1" t="s">
        <v>12169</v>
      </c>
      <c r="DP2478" s="1" t="s">
        <v>340</v>
      </c>
      <c r="DQ2478" s="1" t="s">
        <v>441</v>
      </c>
      <c r="DR2478" s="1" t="s">
        <v>2593</v>
      </c>
      <c r="DU2478" s="1" t="s">
        <v>22509</v>
      </c>
      <c r="DV2478" s="1" t="s">
        <v>22510</v>
      </c>
      <c r="DW2478" s="1" t="s">
        <v>1957</v>
      </c>
      <c r="DX2478" s="1" t="s">
        <v>234</v>
      </c>
      <c r="DY2478" s="1" t="s">
        <v>16298</v>
      </c>
      <c r="DZ2478" s="1" t="s">
        <v>22511</v>
      </c>
      <c r="EB2478" s="1" t="s">
        <v>767</v>
      </c>
      <c r="EC2478" s="1" t="s">
        <v>237</v>
      </c>
      <c r="ED2478" s="1" t="s">
        <v>407</v>
      </c>
      <c r="EG2478" s="1" t="s">
        <v>449</v>
      </c>
      <c r="EH2478" s="1" t="s">
        <v>450</v>
      </c>
      <c r="EI2478" s="1" t="s">
        <v>451</v>
      </c>
      <c r="EJ2478" s="1" t="s">
        <v>1121</v>
      </c>
      <c r="EK2478" s="1" t="s">
        <v>408</v>
      </c>
      <c r="EL2478" s="1" t="s">
        <v>1183</v>
      </c>
      <c r="EM2478" s="1" t="s">
        <v>206</v>
      </c>
      <c r="EN2478" s="1" t="s">
        <v>2615</v>
      </c>
      <c r="EO2478" s="1" t="s">
        <v>476</v>
      </c>
      <c r="EP2478" s="1" t="s">
        <v>5265</v>
      </c>
      <c r="EQ2478" s="1" t="s">
        <v>42</v>
      </c>
      <c r="ER2478" s="1" t="s">
        <v>210</v>
      </c>
      <c r="ES2478" s="1" t="s">
        <v>229</v>
      </c>
      <c r="ET2478" s="1" t="s">
        <v>1067</v>
      </c>
      <c r="EU2478" s="1" t="s">
        <v>42</v>
      </c>
      <c r="EV2478" s="1" t="s">
        <v>210</v>
      </c>
      <c r="EW2478" s="1" t="s">
        <v>229</v>
      </c>
      <c r="EX2478" s="1" t="s">
        <v>264</v>
      </c>
      <c r="EY2478" s="1" t="s">
        <v>209</v>
      </c>
      <c r="EZ2478" s="1" t="s">
        <v>210</v>
      </c>
      <c r="FA2478" s="1" t="s">
        <v>431</v>
      </c>
      <c r="FB2478" s="1" t="s">
        <v>1183</v>
      </c>
      <c r="FC2478" s="1" t="s">
        <v>206</v>
      </c>
      <c r="FD2478" s="1" t="s">
        <v>5126</v>
      </c>
      <c r="FE2478" s="1" t="s">
        <v>229</v>
      </c>
      <c r="FF2478" s="1" t="s">
        <v>239</v>
      </c>
      <c r="FG2478" s="1" t="s">
        <v>192</v>
      </c>
      <c r="FH2478" s="1" t="s">
        <v>192</v>
      </c>
      <c r="FJ2478" s="1" t="s">
        <v>2206</v>
      </c>
      <c r="FK2478" s="1" t="s">
        <v>229</v>
      </c>
      <c r="FL2478" s="1" t="s">
        <v>1212</v>
      </c>
      <c r="FM2478" s="1">
        <v>30.0</v>
      </c>
      <c r="FN2478" s="1" t="s">
        <v>1213</v>
      </c>
      <c r="FO2478" s="1" t="s">
        <v>10026</v>
      </c>
      <c r="FP2478" s="1">
        <v>7679.0</v>
      </c>
      <c r="FQ2478" s="1" t="s">
        <v>10027</v>
      </c>
      <c r="FU2478" s="1" t="s">
        <v>22512</v>
      </c>
      <c r="FV2478" s="1" t="s">
        <v>200</v>
      </c>
      <c r="FW2478" s="1" t="s">
        <v>290</v>
      </c>
      <c r="FZ2478" s="1" t="s">
        <v>2993</v>
      </c>
      <c r="GA2478" s="1" t="s">
        <v>291</v>
      </c>
      <c r="GB2478" s="2">
        <v>42074.0</v>
      </c>
      <c r="GC2478" s="1" t="s">
        <v>22513</v>
      </c>
    </row>
    <row r="2479">
      <c r="A2479" s="1">
        <v>235000.0</v>
      </c>
      <c r="B2479" s="1" t="s">
        <v>185</v>
      </c>
      <c r="C2479" s="1" t="str">
        <f>"08821308"</f>
        <v>08821308</v>
      </c>
      <c r="D2479" s="1" t="s">
        <v>186</v>
      </c>
      <c r="F2479" s="1" t="str">
        <f t="shared" ref="F2479:F2481" si="1615">"107"</f>
        <v>107</v>
      </c>
      <c r="G2479" s="2">
        <v>42025.0</v>
      </c>
      <c r="H2479" s="1">
        <v>259000.0</v>
      </c>
      <c r="I2479" s="1">
        <v>62.0</v>
      </c>
      <c r="J2479" s="1">
        <v>239500.0</v>
      </c>
      <c r="K2479" s="2">
        <v>42086.0</v>
      </c>
      <c r="L2479" s="1">
        <v>62.0</v>
      </c>
      <c r="M2479" s="2">
        <v>42086.0</v>
      </c>
      <c r="N2479" s="1" t="s">
        <v>356</v>
      </c>
      <c r="O2479" s="2">
        <v>42124.0</v>
      </c>
      <c r="P2479" s="1">
        <v>242833.0</v>
      </c>
      <c r="Q2479" s="1">
        <v>8059.0</v>
      </c>
      <c r="S2479" s="1">
        <v>8.0</v>
      </c>
      <c r="T2479" s="1" t="s">
        <v>22514</v>
      </c>
      <c r="U2479" s="1" t="s">
        <v>420</v>
      </c>
      <c r="V2479" s="1" t="s">
        <v>294</v>
      </c>
      <c r="W2479" s="1">
        <v>60107.0</v>
      </c>
      <c r="Y2479" s="1" t="s">
        <v>22515</v>
      </c>
      <c r="Z2479" s="1">
        <v>1990.0</v>
      </c>
      <c r="AA2479" s="1" t="s">
        <v>200</v>
      </c>
      <c r="AB2479" s="1" t="s">
        <v>193</v>
      </c>
      <c r="AC2479" s="1" t="s">
        <v>16526</v>
      </c>
      <c r="AD2479" s="1" t="s">
        <v>297</v>
      </c>
      <c r="AE2479" s="1" t="s">
        <v>195</v>
      </c>
      <c r="AF2479" s="1" t="s">
        <v>298</v>
      </c>
      <c r="AH2479" s="1">
        <v>8436.0</v>
      </c>
      <c r="AI2479" s="1">
        <v>0.1937</v>
      </c>
      <c r="AK2479" s="1">
        <v>9.0</v>
      </c>
      <c r="AL2479" s="1">
        <v>4.0</v>
      </c>
      <c r="AM2479" s="1">
        <v>2.0</v>
      </c>
      <c r="AN2479" s="1">
        <v>1.0</v>
      </c>
      <c r="AO2479" s="1" t="s">
        <v>198</v>
      </c>
      <c r="AQ2479" s="1" t="s">
        <v>472</v>
      </c>
      <c r="AR2479" s="1" t="s">
        <v>200</v>
      </c>
      <c r="AS2479" s="1" t="s">
        <v>199</v>
      </c>
      <c r="AT2479" s="1">
        <v>2.0</v>
      </c>
      <c r="AV2479" s="1" t="s">
        <v>200</v>
      </c>
      <c r="AW2479" s="1">
        <v>6522.0</v>
      </c>
      <c r="AX2479" s="1">
        <v>2013.0</v>
      </c>
      <c r="AY2479" s="1" t="s">
        <v>387</v>
      </c>
      <c r="AZ2479" s="1" t="s">
        <v>200</v>
      </c>
      <c r="BA2479" s="1" t="str">
        <f>"06224160110000"</f>
        <v>06224160110000</v>
      </c>
      <c r="BC2479" s="1">
        <v>1698.0</v>
      </c>
      <c r="BD2479" s="1">
        <v>235000.0</v>
      </c>
      <c r="BE2479" s="2">
        <v>42025.0</v>
      </c>
      <c r="BF2479" s="2" t="s">
        <v>22516</v>
      </c>
      <c r="BG2479" s="1" t="s">
        <v>2746</v>
      </c>
      <c r="BH2479" s="1">
        <v>0.0</v>
      </c>
      <c r="BI2479" s="1" t="s">
        <v>756</v>
      </c>
      <c r="BJ2479" s="1" t="s">
        <v>757</v>
      </c>
      <c r="BK2479" s="1" t="s">
        <v>204</v>
      </c>
      <c r="BL2479" s="1" t="str">
        <f t="shared" ref="BL2479:BM2479" si="1614">"0"</f>
        <v>0</v>
      </c>
      <c r="BM2479" s="1" t="str">
        <f t="shared" si="1614"/>
        <v>0</v>
      </c>
      <c r="BN2479" s="1">
        <v>0.0</v>
      </c>
      <c r="BO2479" s="1">
        <v>0.0</v>
      </c>
      <c r="BQ2479" s="1">
        <v>46.0</v>
      </c>
      <c r="BR2479" s="1">
        <v>46.0</v>
      </c>
      <c r="BS2479" s="1">
        <v>46.0</v>
      </c>
      <c r="BU2479" s="1" t="s">
        <v>3539</v>
      </c>
      <c r="BV2479" s="1" t="s">
        <v>206</v>
      </c>
      <c r="BW2479" s="1" t="s">
        <v>210</v>
      </c>
      <c r="BX2479" s="1" t="s">
        <v>239</v>
      </c>
      <c r="BY2479" s="1" t="s">
        <v>433</v>
      </c>
      <c r="BZ2479" s="1" t="s">
        <v>209</v>
      </c>
      <c r="CA2479" s="1" t="s">
        <v>210</v>
      </c>
      <c r="CB2479" s="1" t="s">
        <v>239</v>
      </c>
      <c r="CC2479" s="1" t="s">
        <v>269</v>
      </c>
      <c r="CD2479" s="1" t="s">
        <v>206</v>
      </c>
      <c r="CE2479" s="1" t="s">
        <v>210</v>
      </c>
      <c r="CF2479" s="1" t="s">
        <v>239</v>
      </c>
      <c r="CG2479" s="1" t="s">
        <v>497</v>
      </c>
      <c r="CH2479" s="1" t="s">
        <v>209</v>
      </c>
      <c r="CI2479" s="1" t="s">
        <v>210</v>
      </c>
      <c r="CJ2479" s="1" t="s">
        <v>239</v>
      </c>
      <c r="CK2479" s="1" t="s">
        <v>269</v>
      </c>
      <c r="CL2479" s="1" t="s">
        <v>209</v>
      </c>
      <c r="CM2479" s="1" t="s">
        <v>210</v>
      </c>
      <c r="CN2479" s="1" t="s">
        <v>239</v>
      </c>
      <c r="CO2479" s="1" t="s">
        <v>269</v>
      </c>
      <c r="CP2479" s="1" t="s">
        <v>209</v>
      </c>
      <c r="CQ2479" s="1" t="s">
        <v>210</v>
      </c>
      <c r="CR2479" s="1" t="s">
        <v>239</v>
      </c>
      <c r="CS2479" s="1" t="s">
        <v>647</v>
      </c>
      <c r="CT2479" s="1" t="s">
        <v>206</v>
      </c>
      <c r="CU2479" s="1" t="s">
        <v>301</v>
      </c>
      <c r="CV2479" s="1" t="s">
        <v>239</v>
      </c>
      <c r="CW2479" s="1" t="s">
        <v>664</v>
      </c>
      <c r="CX2479" s="1" t="s">
        <v>267</v>
      </c>
      <c r="CY2479" s="1" t="s">
        <v>301</v>
      </c>
      <c r="CZ2479" s="1" t="s">
        <v>239</v>
      </c>
      <c r="DA2479" s="1" t="s">
        <v>200</v>
      </c>
      <c r="DC2479" s="1" t="s">
        <v>435</v>
      </c>
      <c r="DD2479" s="1" t="s">
        <v>6260</v>
      </c>
      <c r="DE2479" s="1" t="s">
        <v>273</v>
      </c>
      <c r="DF2479" s="1" t="s">
        <v>219</v>
      </c>
      <c r="DG2479" s="1" t="s">
        <v>482</v>
      </c>
      <c r="DH2479" s="1" t="s">
        <v>220</v>
      </c>
      <c r="DI2479" s="1" t="s">
        <v>519</v>
      </c>
      <c r="DJ2479" s="1" t="s">
        <v>222</v>
      </c>
      <c r="DK2479" s="1" t="s">
        <v>223</v>
      </c>
      <c r="DL2479" s="1" t="s">
        <v>224</v>
      </c>
      <c r="DM2479" s="1" t="s">
        <v>229</v>
      </c>
      <c r="DO2479" s="1" t="s">
        <v>1979</v>
      </c>
      <c r="DP2479" s="1" t="s">
        <v>340</v>
      </c>
      <c r="DQ2479" s="1" t="s">
        <v>228</v>
      </c>
      <c r="DR2479" s="1" t="s">
        <v>229</v>
      </c>
      <c r="DS2479" s="1" t="s">
        <v>277</v>
      </c>
      <c r="DU2479" s="1" t="s">
        <v>1840</v>
      </c>
      <c r="DV2479" s="1" t="s">
        <v>450</v>
      </c>
      <c r="DW2479" s="1" t="s">
        <v>444</v>
      </c>
      <c r="DX2479" s="1" t="s">
        <v>234</v>
      </c>
      <c r="DY2479" s="1" t="s">
        <v>22517</v>
      </c>
      <c r="DZ2479" s="1" t="s">
        <v>6413</v>
      </c>
      <c r="EC2479" s="1" t="s">
        <v>237</v>
      </c>
      <c r="ED2479" s="1" t="s">
        <v>1406</v>
      </c>
      <c r="EE2479" s="1" t="s">
        <v>22518</v>
      </c>
      <c r="EG2479" s="1" t="s">
        <v>450</v>
      </c>
      <c r="EL2479" s="1" t="s">
        <v>3905</v>
      </c>
      <c r="EM2479" s="1" t="s">
        <v>42</v>
      </c>
      <c r="EN2479" s="1" t="s">
        <v>210</v>
      </c>
      <c r="EO2479" s="1" t="s">
        <v>239</v>
      </c>
      <c r="EQ2479" s="1" t="s">
        <v>238</v>
      </c>
      <c r="EU2479" s="1" t="s">
        <v>238</v>
      </c>
      <c r="EY2479" s="1" t="s">
        <v>238</v>
      </c>
      <c r="FC2479" s="1" t="s">
        <v>238</v>
      </c>
      <c r="FF2479" s="1" t="s">
        <v>239</v>
      </c>
      <c r="FG2479" s="1" t="s">
        <v>192</v>
      </c>
      <c r="FH2479" s="1" t="s">
        <v>192</v>
      </c>
      <c r="FJ2479" s="1" t="s">
        <v>1450</v>
      </c>
      <c r="FK2479" s="1" t="s">
        <v>229</v>
      </c>
      <c r="FL2479" s="1" t="s">
        <v>1732</v>
      </c>
      <c r="FM2479" s="1">
        <v>8390.0</v>
      </c>
      <c r="FN2479" s="1" t="s">
        <v>1733</v>
      </c>
      <c r="FO2479" s="1" t="s">
        <v>22519</v>
      </c>
      <c r="FP2479" s="1">
        <v>922091.0</v>
      </c>
      <c r="FQ2479" s="1" t="s">
        <v>22520</v>
      </c>
      <c r="FU2479" s="1" t="s">
        <v>22521</v>
      </c>
      <c r="FV2479" s="1" t="s">
        <v>200</v>
      </c>
      <c r="FW2479" s="1" t="s">
        <v>22522</v>
      </c>
      <c r="FZ2479" s="1" t="s">
        <v>632</v>
      </c>
      <c r="GA2479" s="1" t="s">
        <v>291</v>
      </c>
      <c r="GB2479" s="2">
        <v>42125.0</v>
      </c>
      <c r="GC2479" s="1" t="s">
        <v>22523</v>
      </c>
    </row>
    <row r="2480">
      <c r="A2480" s="1">
        <v>158000.0</v>
      </c>
      <c r="B2480" s="1" t="s">
        <v>185</v>
      </c>
      <c r="C2480" s="1" t="str">
        <f>"08813669"</f>
        <v>08813669</v>
      </c>
      <c r="D2480" s="1" t="s">
        <v>186</v>
      </c>
      <c r="F2480" s="1" t="str">
        <f t="shared" si="1615"/>
        <v>107</v>
      </c>
      <c r="G2480" s="2">
        <v>42014.0</v>
      </c>
      <c r="H2480" s="1">
        <v>163000.0</v>
      </c>
      <c r="I2480" s="1">
        <v>13.0</v>
      </c>
      <c r="J2480" s="1">
        <v>163000.0</v>
      </c>
      <c r="K2480" s="2">
        <v>42026.0</v>
      </c>
      <c r="L2480" s="1">
        <v>13.0</v>
      </c>
      <c r="M2480" s="2">
        <v>42026.0</v>
      </c>
      <c r="N2480" s="1" t="s">
        <v>187</v>
      </c>
      <c r="O2480" s="2">
        <v>42059.0</v>
      </c>
      <c r="P2480" s="1">
        <v>8659.0</v>
      </c>
      <c r="Q2480" s="1">
        <v>7032.0</v>
      </c>
      <c r="S2480" s="1">
        <v>516.0</v>
      </c>
      <c r="T2480" s="1" t="s">
        <v>22524</v>
      </c>
      <c r="U2480" s="1" t="s">
        <v>189</v>
      </c>
      <c r="V2480" s="1" t="s">
        <v>294</v>
      </c>
      <c r="W2480" s="1">
        <v>60107.0</v>
      </c>
      <c r="Y2480" s="1" t="s">
        <v>22525</v>
      </c>
      <c r="Z2480" s="1">
        <v>1971.0</v>
      </c>
      <c r="AA2480" s="1" t="s">
        <v>192</v>
      </c>
      <c r="AB2480" s="1" t="s">
        <v>193</v>
      </c>
      <c r="AD2480" s="1" t="s">
        <v>297</v>
      </c>
      <c r="AE2480" s="1" t="s">
        <v>195</v>
      </c>
      <c r="AF2480" s="1" t="s">
        <v>298</v>
      </c>
      <c r="AH2480" s="1">
        <v>8343.0</v>
      </c>
      <c r="AK2480" s="1">
        <v>8.0</v>
      </c>
      <c r="AL2480" s="1">
        <v>4.0</v>
      </c>
      <c r="AM2480" s="1">
        <v>2.0</v>
      </c>
      <c r="AN2480" s="1">
        <v>1.0</v>
      </c>
      <c r="AO2480" s="1" t="s">
        <v>198</v>
      </c>
      <c r="AQ2480" s="1" t="s">
        <v>198</v>
      </c>
      <c r="AR2480" s="1" t="s">
        <v>200</v>
      </c>
      <c r="AS2480" s="1" t="s">
        <v>199</v>
      </c>
      <c r="AT2480" s="1">
        <v>2.0</v>
      </c>
      <c r="AV2480" s="1" t="s">
        <v>200</v>
      </c>
      <c r="AW2480" s="1">
        <v>5467.55</v>
      </c>
      <c r="AX2480" s="1">
        <v>2012.0</v>
      </c>
      <c r="AY2480" s="1" t="s">
        <v>22526</v>
      </c>
      <c r="AZ2480" s="1" t="s">
        <v>200</v>
      </c>
      <c r="BA2480" s="1" t="str">
        <f>"06264080330000"</f>
        <v>06264080330000</v>
      </c>
      <c r="BC2480" s="1">
        <v>1325.0</v>
      </c>
      <c r="BD2480" s="1">
        <v>158000.0</v>
      </c>
      <c r="BE2480" s="2">
        <v>42014.0</v>
      </c>
      <c r="BF2480" s="2" t="s">
        <v>22527</v>
      </c>
      <c r="BG2480" s="1" t="s">
        <v>10855</v>
      </c>
      <c r="BH2480" s="1">
        <v>0.0</v>
      </c>
      <c r="BI2480" s="1" t="s">
        <v>513</v>
      </c>
      <c r="BJ2480" s="1" t="s">
        <v>757</v>
      </c>
      <c r="BK2480" s="1" t="s">
        <v>204</v>
      </c>
      <c r="BL2480" s="1" t="str">
        <f>"9"</f>
        <v>9</v>
      </c>
      <c r="BM2480" s="1" t="str">
        <f>"0"</f>
        <v>0</v>
      </c>
      <c r="BN2480" s="1">
        <v>27.0</v>
      </c>
      <c r="BO2480" s="1">
        <v>0.0</v>
      </c>
      <c r="BQ2480" s="1">
        <v>46.0</v>
      </c>
      <c r="BR2480" s="1">
        <v>46.0</v>
      </c>
      <c r="BS2480" s="1">
        <v>46.0</v>
      </c>
      <c r="BU2480" s="1" t="s">
        <v>454</v>
      </c>
      <c r="BV2480" s="1" t="s">
        <v>206</v>
      </c>
      <c r="BY2480" s="1" t="s">
        <v>215</v>
      </c>
      <c r="BZ2480" s="1" t="s">
        <v>206</v>
      </c>
      <c r="CC2480" s="1" t="s">
        <v>332</v>
      </c>
      <c r="CD2480" s="1" t="s">
        <v>206</v>
      </c>
      <c r="CG2480" s="1" t="s">
        <v>215</v>
      </c>
      <c r="CH2480" s="1" t="s">
        <v>206</v>
      </c>
      <c r="CK2480" s="1" t="s">
        <v>264</v>
      </c>
      <c r="CL2480" s="1" t="s">
        <v>206</v>
      </c>
      <c r="CO2480" s="1" t="s">
        <v>263</v>
      </c>
      <c r="CP2480" s="1" t="s">
        <v>206</v>
      </c>
      <c r="CS2480" s="1" t="s">
        <v>212</v>
      </c>
      <c r="CT2480" s="1" t="s">
        <v>206</v>
      </c>
      <c r="CW2480" s="1" t="s">
        <v>2749</v>
      </c>
      <c r="CX2480" s="1" t="s">
        <v>267</v>
      </c>
      <c r="DA2480" s="1" t="s">
        <v>200</v>
      </c>
      <c r="DC2480" s="1" t="s">
        <v>517</v>
      </c>
      <c r="DD2480" s="1" t="s">
        <v>518</v>
      </c>
      <c r="DE2480" s="1" t="s">
        <v>273</v>
      </c>
      <c r="DF2480" s="1" t="s">
        <v>219</v>
      </c>
      <c r="DH2480" s="1" t="s">
        <v>365</v>
      </c>
      <c r="DJ2480" s="1" t="s">
        <v>222</v>
      </c>
      <c r="DL2480" s="1" t="s">
        <v>224</v>
      </c>
      <c r="DM2480" s="1" t="s">
        <v>338</v>
      </c>
      <c r="DO2480" s="1" t="s">
        <v>549</v>
      </c>
      <c r="DP2480" s="1" t="s">
        <v>276</v>
      </c>
      <c r="DQ2480" s="1" t="s">
        <v>228</v>
      </c>
      <c r="DR2480" s="1" t="s">
        <v>229</v>
      </c>
      <c r="DV2480" s="1" t="s">
        <v>22528</v>
      </c>
      <c r="DW2480" s="1" t="s">
        <v>370</v>
      </c>
      <c r="DX2480" s="1" t="s">
        <v>234</v>
      </c>
      <c r="DZ2480" s="1" t="s">
        <v>766</v>
      </c>
      <c r="EC2480" s="1" t="s">
        <v>311</v>
      </c>
      <c r="EE2480" s="1" t="s">
        <v>187</v>
      </c>
      <c r="EG2480" s="1" t="s">
        <v>1102</v>
      </c>
      <c r="EH2480" s="1" t="s">
        <v>2313</v>
      </c>
      <c r="EL2480" s="1" t="s">
        <v>361</v>
      </c>
      <c r="EM2480" s="1" t="s">
        <v>206</v>
      </c>
      <c r="EP2480" s="1" t="s">
        <v>263</v>
      </c>
      <c r="EQ2480" s="1" t="s">
        <v>206</v>
      </c>
      <c r="EU2480" s="1" t="s">
        <v>238</v>
      </c>
      <c r="EY2480" s="1" t="s">
        <v>238</v>
      </c>
      <c r="FC2480" s="1" t="s">
        <v>238</v>
      </c>
      <c r="FF2480" s="1" t="s">
        <v>239</v>
      </c>
      <c r="FG2480" s="1" t="s">
        <v>192</v>
      </c>
      <c r="FH2480" s="1" t="s">
        <v>192</v>
      </c>
      <c r="FJ2480" s="1" t="s">
        <v>1248</v>
      </c>
      <c r="FK2480" s="1" t="s">
        <v>229</v>
      </c>
      <c r="FL2480" s="1" t="s">
        <v>7669</v>
      </c>
      <c r="FM2480" s="1">
        <v>5085.0</v>
      </c>
      <c r="FN2480" s="1" t="s">
        <v>7670</v>
      </c>
      <c r="FO2480" s="1" t="s">
        <v>7671</v>
      </c>
      <c r="FP2480" s="1">
        <v>55549.0</v>
      </c>
      <c r="FU2480" s="1" t="s">
        <v>7672</v>
      </c>
      <c r="FV2480" s="1" t="s">
        <v>200</v>
      </c>
      <c r="FW2480" s="1" t="s">
        <v>19343</v>
      </c>
      <c r="FZ2480" s="1" t="s">
        <v>229</v>
      </c>
      <c r="GA2480" s="1" t="s">
        <v>291</v>
      </c>
      <c r="GB2480" s="2">
        <v>42060.0</v>
      </c>
      <c r="GC2480" s="1" t="s">
        <v>22529</v>
      </c>
    </row>
    <row r="2481">
      <c r="A2481" s="1">
        <v>158000.0</v>
      </c>
      <c r="B2481" s="1" t="s">
        <v>185</v>
      </c>
      <c r="C2481" s="1" t="str">
        <f>"08818662"</f>
        <v>08818662</v>
      </c>
      <c r="D2481" s="1" t="s">
        <v>186</v>
      </c>
      <c r="F2481" s="1" t="str">
        <f t="shared" si="1615"/>
        <v>107</v>
      </c>
      <c r="G2481" s="2">
        <v>42021.0</v>
      </c>
      <c r="H2481" s="1">
        <v>164900.0</v>
      </c>
      <c r="I2481" s="1">
        <v>20.0</v>
      </c>
      <c r="J2481" s="1">
        <v>164900.0</v>
      </c>
      <c r="K2481" s="2">
        <v>42040.0</v>
      </c>
      <c r="L2481" s="1">
        <v>20.0</v>
      </c>
      <c r="M2481" s="2">
        <v>42040.0</v>
      </c>
      <c r="N2481" s="1" t="s">
        <v>356</v>
      </c>
      <c r="O2481" s="2">
        <v>42114.0</v>
      </c>
      <c r="P2481" s="1">
        <v>240723.0</v>
      </c>
      <c r="Q2481" s="1">
        <v>24007.0</v>
      </c>
      <c r="S2481" s="1">
        <v>408.0</v>
      </c>
      <c r="T2481" s="1" t="s">
        <v>22530</v>
      </c>
      <c r="U2481" s="1" t="s">
        <v>569</v>
      </c>
      <c r="V2481" s="1" t="s">
        <v>294</v>
      </c>
      <c r="W2481" s="1">
        <v>60107.0</v>
      </c>
      <c r="Y2481" s="1" t="s">
        <v>22531</v>
      </c>
      <c r="Z2481" s="1">
        <v>1962.0</v>
      </c>
      <c r="AA2481" s="1" t="s">
        <v>192</v>
      </c>
      <c r="AB2481" s="1" t="s">
        <v>193</v>
      </c>
      <c r="AD2481" s="1" t="s">
        <v>297</v>
      </c>
      <c r="AE2481" s="1" t="s">
        <v>195</v>
      </c>
      <c r="AF2481" s="1" t="s">
        <v>298</v>
      </c>
      <c r="AH2481" s="1">
        <v>6890.0</v>
      </c>
      <c r="AK2481" s="1">
        <v>7.0</v>
      </c>
      <c r="AL2481" s="1">
        <v>4.0</v>
      </c>
      <c r="AM2481" s="1">
        <v>1.0</v>
      </c>
      <c r="AN2481" s="1">
        <v>0.0</v>
      </c>
      <c r="AO2481" s="1" t="s">
        <v>229</v>
      </c>
      <c r="AQ2481" s="1" t="s">
        <v>229</v>
      </c>
      <c r="AR2481" s="1" t="s">
        <v>200</v>
      </c>
      <c r="AS2481" s="1" t="s">
        <v>199</v>
      </c>
      <c r="AT2481" s="1">
        <v>1.0</v>
      </c>
      <c r="AV2481" s="1" t="s">
        <v>200</v>
      </c>
      <c r="AW2481" s="1">
        <v>3779.7</v>
      </c>
      <c r="AX2481" s="1">
        <v>2013.0</v>
      </c>
      <c r="AY2481" s="1" t="s">
        <v>387</v>
      </c>
      <c r="AZ2481" s="1" t="s">
        <v>200</v>
      </c>
      <c r="BA2481" s="1" t="str">
        <f>"06234110170000"</f>
        <v>06234110170000</v>
      </c>
      <c r="BB2481" s="1" t="s">
        <v>200</v>
      </c>
      <c r="BC2481" s="1">
        <v>1163.0</v>
      </c>
      <c r="BD2481" s="1">
        <v>158000.0</v>
      </c>
      <c r="BE2481" s="2">
        <v>42021.0</v>
      </c>
      <c r="BF2481" s="2" t="s">
        <v>22532</v>
      </c>
      <c r="BH2481" s="1">
        <v>0.0</v>
      </c>
      <c r="BK2481" s="1" t="s">
        <v>204</v>
      </c>
      <c r="BL2481" s="1" t="str">
        <f t="shared" ref="BL2481:BM2481" si="1616">""</f>
        <v/>
      </c>
      <c r="BM2481" s="1" t="str">
        <f t="shared" si="1616"/>
        <v/>
      </c>
      <c r="BQ2481" s="1">
        <v>46.0</v>
      </c>
      <c r="BR2481" s="1">
        <v>46.0</v>
      </c>
      <c r="BS2481" s="1">
        <v>46.0</v>
      </c>
      <c r="BU2481" s="1" t="s">
        <v>664</v>
      </c>
      <c r="BV2481" s="1" t="s">
        <v>206</v>
      </c>
      <c r="BW2481" s="1" t="s">
        <v>207</v>
      </c>
      <c r="BY2481" s="1" t="s">
        <v>392</v>
      </c>
      <c r="BZ2481" s="1" t="s">
        <v>206</v>
      </c>
      <c r="CA2481" s="1" t="s">
        <v>210</v>
      </c>
      <c r="CD2481" s="1" t="s">
        <v>204</v>
      </c>
      <c r="CG2481" s="1" t="s">
        <v>264</v>
      </c>
      <c r="CH2481" s="1" t="s">
        <v>206</v>
      </c>
      <c r="CI2481" s="1" t="s">
        <v>210</v>
      </c>
      <c r="CK2481" s="1" t="s">
        <v>516</v>
      </c>
      <c r="CL2481" s="1" t="s">
        <v>206</v>
      </c>
      <c r="CM2481" s="1" t="s">
        <v>210</v>
      </c>
      <c r="CO2481" s="1" t="s">
        <v>516</v>
      </c>
      <c r="CP2481" s="1" t="s">
        <v>206</v>
      </c>
      <c r="CQ2481" s="1" t="s">
        <v>210</v>
      </c>
      <c r="CS2481" s="1" t="s">
        <v>211</v>
      </c>
      <c r="CT2481" s="1" t="s">
        <v>206</v>
      </c>
      <c r="CU2481" s="1" t="s">
        <v>207</v>
      </c>
      <c r="CW2481" s="1" t="s">
        <v>375</v>
      </c>
      <c r="CX2481" s="1" t="s">
        <v>206</v>
      </c>
      <c r="CY2481" s="1" t="s">
        <v>301</v>
      </c>
      <c r="DA2481" s="1" t="s">
        <v>200</v>
      </c>
      <c r="DC2481" s="1" t="s">
        <v>271</v>
      </c>
      <c r="DE2481" s="1" t="s">
        <v>273</v>
      </c>
      <c r="DF2481" s="1" t="s">
        <v>219</v>
      </c>
      <c r="DH2481" s="1" t="s">
        <v>220</v>
      </c>
      <c r="DJ2481" s="1" t="s">
        <v>222</v>
      </c>
      <c r="DL2481" s="1" t="s">
        <v>229</v>
      </c>
      <c r="DM2481" s="1" t="s">
        <v>229</v>
      </c>
      <c r="DQ2481" s="1" t="s">
        <v>228</v>
      </c>
      <c r="DR2481" s="1" t="s">
        <v>229</v>
      </c>
      <c r="DV2481" s="1" t="s">
        <v>232</v>
      </c>
      <c r="DW2481" s="1" t="s">
        <v>3142</v>
      </c>
      <c r="DX2481" s="1" t="s">
        <v>234</v>
      </c>
      <c r="EC2481" s="1" t="s">
        <v>685</v>
      </c>
      <c r="EE2481" s="1" t="s">
        <v>493</v>
      </c>
      <c r="EM2481" s="1" t="s">
        <v>238</v>
      </c>
      <c r="EQ2481" s="1" t="s">
        <v>238</v>
      </c>
      <c r="EU2481" s="1" t="s">
        <v>238</v>
      </c>
      <c r="EY2481" s="1" t="s">
        <v>238</v>
      </c>
      <c r="FC2481" s="1" t="s">
        <v>238</v>
      </c>
      <c r="FF2481" s="1" t="s">
        <v>239</v>
      </c>
      <c r="FG2481" s="1" t="s">
        <v>200</v>
      </c>
      <c r="FH2481" s="1" t="s">
        <v>192</v>
      </c>
      <c r="FJ2481" s="1" t="s">
        <v>18949</v>
      </c>
      <c r="FK2481" s="1" t="s">
        <v>229</v>
      </c>
      <c r="FL2481" s="1" t="s">
        <v>3433</v>
      </c>
      <c r="FM2481" s="1">
        <v>5293.0</v>
      </c>
      <c r="FN2481" s="1" t="s">
        <v>3434</v>
      </c>
      <c r="FO2481" s="1" t="s">
        <v>22533</v>
      </c>
      <c r="FP2481" s="1">
        <v>55592.0</v>
      </c>
      <c r="FQ2481" s="1" t="s">
        <v>22534</v>
      </c>
      <c r="FT2481" s="1" t="s">
        <v>22535</v>
      </c>
      <c r="FU2481" s="1" t="s">
        <v>22536</v>
      </c>
      <c r="FV2481" s="1" t="s">
        <v>200</v>
      </c>
      <c r="FW2481" s="1" t="s">
        <v>22537</v>
      </c>
      <c r="FZ2481" s="1" t="s">
        <v>229</v>
      </c>
      <c r="GA2481" s="1" t="s">
        <v>291</v>
      </c>
      <c r="GB2481" s="2">
        <v>42123.0</v>
      </c>
      <c r="GC2481" s="1" t="s">
        <v>22538</v>
      </c>
    </row>
    <row r="2482">
      <c r="A2482" s="1">
        <v>160000.0</v>
      </c>
      <c r="B2482" s="1" t="s">
        <v>185</v>
      </c>
      <c r="C2482" s="1" t="str">
        <f>"08816037"</f>
        <v>08816037</v>
      </c>
      <c r="D2482" s="1" t="s">
        <v>186</v>
      </c>
      <c r="F2482" s="1" t="str">
        <f>"8049"</f>
        <v>8049</v>
      </c>
      <c r="G2482" s="2">
        <v>42018.0</v>
      </c>
      <c r="H2482" s="1">
        <v>164500.0</v>
      </c>
      <c r="I2482" s="1">
        <v>23.0</v>
      </c>
      <c r="J2482" s="1">
        <v>164500.0</v>
      </c>
      <c r="K2482" s="2">
        <v>42039.0</v>
      </c>
      <c r="L2482" s="1">
        <v>22.0</v>
      </c>
      <c r="M2482" s="2">
        <v>42039.0</v>
      </c>
      <c r="N2482" s="1" t="s">
        <v>356</v>
      </c>
      <c r="O2482" s="2">
        <v>42129.0</v>
      </c>
      <c r="P2482" s="1">
        <v>501194.0</v>
      </c>
      <c r="Q2482" s="1">
        <v>51720.0</v>
      </c>
      <c r="R2482" s="1">
        <v>3.0</v>
      </c>
      <c r="S2482" s="1">
        <v>10545.0</v>
      </c>
      <c r="T2482" s="1" t="s">
        <v>1669</v>
      </c>
      <c r="U2482" s="1" t="s">
        <v>189</v>
      </c>
      <c r="V2482" s="1" t="s">
        <v>190</v>
      </c>
      <c r="W2482" s="1">
        <v>60628.0</v>
      </c>
      <c r="X2482" s="1">
        <v>2961.0</v>
      </c>
      <c r="Y2482" s="1" t="s">
        <v>22539</v>
      </c>
      <c r="Z2482" s="1">
        <v>1952.0</v>
      </c>
      <c r="AA2482" s="1" t="s">
        <v>192</v>
      </c>
      <c r="AB2482" s="1" t="s">
        <v>193</v>
      </c>
      <c r="AD2482" s="1" t="s">
        <v>194</v>
      </c>
      <c r="AE2482" s="1" t="s">
        <v>195</v>
      </c>
      <c r="AF2482" s="1" t="s">
        <v>637</v>
      </c>
      <c r="AH2482" s="1">
        <v>0.0868</v>
      </c>
      <c r="AI2482" s="1">
        <v>0.0861</v>
      </c>
      <c r="AK2482" s="1">
        <v>9.0</v>
      </c>
      <c r="AL2482" s="1">
        <v>3.0</v>
      </c>
      <c r="AM2482" s="1">
        <v>2.0</v>
      </c>
      <c r="AN2482" s="1">
        <v>0.0</v>
      </c>
      <c r="AO2482" s="1" t="s">
        <v>229</v>
      </c>
      <c r="AQ2482" s="1" t="s">
        <v>198</v>
      </c>
      <c r="AR2482" s="1" t="s">
        <v>192</v>
      </c>
      <c r="AS2482" s="1" t="s">
        <v>199</v>
      </c>
      <c r="AT2482" s="1">
        <v>2.0</v>
      </c>
      <c r="AV2482" s="1" t="s">
        <v>200</v>
      </c>
      <c r="AW2482" s="1">
        <v>1637.15</v>
      </c>
      <c r="AX2482" s="1">
        <v>2013.0</v>
      </c>
      <c r="AZ2482" s="1" t="s">
        <v>200</v>
      </c>
      <c r="BA2482" s="1" t="str">
        <f>"25152190040000"</f>
        <v>25152190040000</v>
      </c>
      <c r="BB2482" s="1" t="s">
        <v>200</v>
      </c>
      <c r="BC2482" s="1">
        <v>1500.0</v>
      </c>
      <c r="BD2482" s="1">
        <v>160000.0</v>
      </c>
      <c r="BE2482" s="2">
        <v>42018.0</v>
      </c>
      <c r="BF2482" s="2" t="s">
        <v>22540</v>
      </c>
      <c r="BH2482" s="1">
        <v>0.0</v>
      </c>
      <c r="BK2482" s="1" t="s">
        <v>204</v>
      </c>
      <c r="BL2482" s="1" t="str">
        <f t="shared" ref="BL2482:BL2484" si="1617">"0"</f>
        <v>0</v>
      </c>
      <c r="BM2482" s="1" t="str">
        <f>"800"</f>
        <v>800</v>
      </c>
      <c r="BN2482" s="1">
        <v>0.0</v>
      </c>
      <c r="BO2482" s="1">
        <v>10700.0</v>
      </c>
      <c r="BQ2482" s="1">
        <v>299.0</v>
      </c>
      <c r="BR2482" s="1">
        <v>299.0</v>
      </c>
      <c r="BS2482" s="1">
        <v>299.0</v>
      </c>
      <c r="BU2482" s="1" t="s">
        <v>211</v>
      </c>
      <c r="BV2482" s="1" t="s">
        <v>206</v>
      </c>
      <c r="BW2482" s="1" t="s">
        <v>207</v>
      </c>
      <c r="BY2482" s="1" t="s">
        <v>497</v>
      </c>
      <c r="BZ2482" s="1" t="s">
        <v>206</v>
      </c>
      <c r="CA2482" s="1" t="s">
        <v>207</v>
      </c>
      <c r="CC2482" s="1" t="s">
        <v>543</v>
      </c>
      <c r="CD2482" s="1" t="s">
        <v>206</v>
      </c>
      <c r="CE2482" s="1" t="s">
        <v>207</v>
      </c>
      <c r="CG2482" s="1" t="s">
        <v>269</v>
      </c>
      <c r="CH2482" s="1" t="s">
        <v>206</v>
      </c>
      <c r="CI2482" s="1" t="s">
        <v>207</v>
      </c>
      <c r="CK2482" s="1" t="s">
        <v>269</v>
      </c>
      <c r="CL2482" s="1" t="s">
        <v>206</v>
      </c>
      <c r="CM2482" s="1" t="s">
        <v>207</v>
      </c>
      <c r="CO2482" s="1" t="s">
        <v>582</v>
      </c>
      <c r="CP2482" s="1" t="s">
        <v>42</v>
      </c>
      <c r="CQ2482" s="1" t="s">
        <v>268</v>
      </c>
      <c r="CS2482" s="1" t="s">
        <v>1229</v>
      </c>
      <c r="CT2482" s="1" t="s">
        <v>206</v>
      </c>
      <c r="CU2482" s="1" t="s">
        <v>268</v>
      </c>
      <c r="CW2482" s="1" t="s">
        <v>3202</v>
      </c>
      <c r="CX2482" s="1" t="s">
        <v>42</v>
      </c>
      <c r="CY2482" s="1" t="s">
        <v>268</v>
      </c>
      <c r="DA2482" s="1" t="s">
        <v>200</v>
      </c>
      <c r="DC2482" s="1" t="s">
        <v>702</v>
      </c>
      <c r="DE2482" s="1" t="s">
        <v>273</v>
      </c>
      <c r="DF2482" s="1" t="s">
        <v>219</v>
      </c>
      <c r="DH2482" s="1" t="s">
        <v>307</v>
      </c>
      <c r="DI2482" s="1" t="s">
        <v>12145</v>
      </c>
      <c r="DJ2482" s="1" t="s">
        <v>222</v>
      </c>
      <c r="DL2482" s="1" t="s">
        <v>224</v>
      </c>
      <c r="DM2482" s="1" t="s">
        <v>229</v>
      </c>
      <c r="DQ2482" s="1" t="s">
        <v>228</v>
      </c>
      <c r="DR2482" s="1" t="s">
        <v>229</v>
      </c>
      <c r="DS2482" s="1" t="s">
        <v>230</v>
      </c>
      <c r="DV2482" s="1" t="s">
        <v>450</v>
      </c>
      <c r="DW2482" s="1" t="s">
        <v>279</v>
      </c>
      <c r="DX2482" s="1" t="s">
        <v>234</v>
      </c>
      <c r="DY2482" s="1" t="s">
        <v>553</v>
      </c>
      <c r="EC2482" s="1" t="s">
        <v>685</v>
      </c>
      <c r="EG2482" s="1" t="s">
        <v>450</v>
      </c>
      <c r="EL2482" s="1" t="s">
        <v>758</v>
      </c>
      <c r="EM2482" s="1" t="s">
        <v>42</v>
      </c>
      <c r="EN2482" s="1" t="s">
        <v>268</v>
      </c>
      <c r="EQ2482" s="1" t="s">
        <v>238</v>
      </c>
      <c r="EU2482" s="1" t="s">
        <v>238</v>
      </c>
      <c r="EY2482" s="1" t="s">
        <v>238</v>
      </c>
      <c r="FC2482" s="1" t="s">
        <v>238</v>
      </c>
      <c r="FF2482" s="1" t="s">
        <v>239</v>
      </c>
      <c r="FG2482" s="1" t="s">
        <v>192</v>
      </c>
      <c r="FH2482" s="1" t="s">
        <v>192</v>
      </c>
      <c r="FJ2482" s="1" t="s">
        <v>648</v>
      </c>
      <c r="FK2482" s="1" t="s">
        <v>229</v>
      </c>
      <c r="FL2482" s="1" t="s">
        <v>649</v>
      </c>
      <c r="FM2482" s="1">
        <v>60296.0</v>
      </c>
      <c r="FN2482" s="1" t="s">
        <v>650</v>
      </c>
      <c r="FO2482" s="1" t="s">
        <v>651</v>
      </c>
      <c r="FP2482" s="1">
        <v>602837.0</v>
      </c>
      <c r="FQ2482" s="1" t="s">
        <v>652</v>
      </c>
      <c r="FR2482" s="1">
        <v>602442.0</v>
      </c>
      <c r="FU2482" s="1" t="s">
        <v>1438</v>
      </c>
      <c r="FV2482" s="1" t="s">
        <v>200</v>
      </c>
      <c r="FW2482" s="1" t="s">
        <v>530</v>
      </c>
      <c r="FX2482" s="1" t="s">
        <v>655</v>
      </c>
      <c r="FZ2482" s="1" t="s">
        <v>229</v>
      </c>
      <c r="GA2482" s="1" t="s">
        <v>291</v>
      </c>
      <c r="GB2482" s="2">
        <v>42129.0</v>
      </c>
      <c r="GC2482" s="1" t="s">
        <v>1372</v>
      </c>
    </row>
    <row r="2483">
      <c r="A2483" s="1">
        <v>156000.0</v>
      </c>
      <c r="B2483" s="1" t="s">
        <v>185</v>
      </c>
      <c r="C2483" s="1" t="str">
        <f>"08816960"</f>
        <v>08816960</v>
      </c>
      <c r="D2483" s="1" t="s">
        <v>186</v>
      </c>
      <c r="F2483" s="1" t="str">
        <f>"8075"</f>
        <v>8075</v>
      </c>
      <c r="G2483" s="2">
        <v>42019.0</v>
      </c>
      <c r="H2483" s="1">
        <v>168400.0</v>
      </c>
      <c r="I2483" s="1">
        <v>99.0</v>
      </c>
      <c r="J2483" s="1">
        <v>168400.0</v>
      </c>
      <c r="K2483" s="2">
        <v>42038.0</v>
      </c>
      <c r="L2483" s="1">
        <v>20.0</v>
      </c>
      <c r="M2483" s="2">
        <v>42038.0</v>
      </c>
      <c r="N2483" s="1" t="s">
        <v>356</v>
      </c>
      <c r="O2483" s="2">
        <v>42102.0</v>
      </c>
      <c r="P2483" s="1">
        <v>219854.0</v>
      </c>
      <c r="Q2483" s="1">
        <v>51102.0</v>
      </c>
      <c r="S2483" s="1">
        <v>1036.0</v>
      </c>
      <c r="T2483" s="1" t="s">
        <v>4115</v>
      </c>
      <c r="U2483" s="1" t="s">
        <v>694</v>
      </c>
      <c r="V2483" s="1" t="s">
        <v>190</v>
      </c>
      <c r="W2483" s="1">
        <v>60643.0</v>
      </c>
      <c r="Y2483" s="1" t="s">
        <v>22541</v>
      </c>
      <c r="Z2483" s="1">
        <v>1963.0</v>
      </c>
      <c r="AA2483" s="1" t="s">
        <v>192</v>
      </c>
      <c r="AB2483" s="1" t="s">
        <v>193</v>
      </c>
      <c r="AD2483" s="1" t="s">
        <v>194</v>
      </c>
      <c r="AE2483" s="1" t="s">
        <v>195</v>
      </c>
      <c r="AF2483" s="1" t="s">
        <v>1154</v>
      </c>
      <c r="AG2483" s="1" t="s">
        <v>22542</v>
      </c>
      <c r="AH2483" s="1" t="s">
        <v>6502</v>
      </c>
      <c r="AK2483" s="1">
        <v>8.0</v>
      </c>
      <c r="AL2483" s="1">
        <v>3.0</v>
      </c>
      <c r="AM2483" s="1">
        <v>2.0</v>
      </c>
      <c r="AN2483" s="1">
        <v>0.0</v>
      </c>
      <c r="AO2483" s="1" t="s">
        <v>229</v>
      </c>
      <c r="AP2483" s="1">
        <v>1.0</v>
      </c>
      <c r="AQ2483" s="1" t="s">
        <v>198</v>
      </c>
      <c r="AR2483" s="1" t="s">
        <v>192</v>
      </c>
      <c r="AS2483" s="1" t="s">
        <v>199</v>
      </c>
      <c r="AT2483" s="1">
        <v>2.0</v>
      </c>
      <c r="AV2483" s="1" t="s">
        <v>200</v>
      </c>
      <c r="AW2483" s="1">
        <v>2048.51</v>
      </c>
      <c r="AX2483" s="1">
        <v>2013.0</v>
      </c>
      <c r="AY2483" s="1" t="s">
        <v>229</v>
      </c>
      <c r="AZ2483" s="1" t="s">
        <v>200</v>
      </c>
      <c r="BA2483" s="1" t="str">
        <f>"25174050340000"</f>
        <v>25174050340000</v>
      </c>
      <c r="BC2483" s="1">
        <v>0.0</v>
      </c>
      <c r="BD2483" s="1">
        <v>156000.0</v>
      </c>
      <c r="BE2483" s="2">
        <v>42019.0</v>
      </c>
      <c r="BF2483" s="2" t="s">
        <v>22543</v>
      </c>
      <c r="BH2483" s="1">
        <v>0.0</v>
      </c>
      <c r="BK2483" s="1" t="s">
        <v>204</v>
      </c>
      <c r="BL2483" s="1" t="str">
        <f t="shared" si="1617"/>
        <v>0</v>
      </c>
      <c r="BM2483" s="1" t="str">
        <f t="shared" ref="BM2483:BM2485" si="1618">"0"</f>
        <v>0</v>
      </c>
      <c r="BN2483" s="1">
        <v>1036.0</v>
      </c>
      <c r="BO2483" s="1">
        <v>108.0</v>
      </c>
      <c r="BQ2483" s="1">
        <v>299.0</v>
      </c>
      <c r="BR2483" s="1">
        <v>299.0</v>
      </c>
      <c r="BS2483" s="1">
        <v>299.0</v>
      </c>
      <c r="BU2483" s="1" t="s">
        <v>8766</v>
      </c>
      <c r="BV2483" s="1" t="s">
        <v>206</v>
      </c>
      <c r="BW2483" s="1" t="s">
        <v>207</v>
      </c>
      <c r="BX2483" s="1" t="s">
        <v>431</v>
      </c>
      <c r="BY2483" s="1" t="s">
        <v>1329</v>
      </c>
      <c r="BZ2483" s="1" t="s">
        <v>206</v>
      </c>
      <c r="CA2483" s="1" t="s">
        <v>207</v>
      </c>
      <c r="CB2483" s="1" t="s">
        <v>431</v>
      </c>
      <c r="CC2483" s="1" t="s">
        <v>3182</v>
      </c>
      <c r="CD2483" s="1" t="s">
        <v>206</v>
      </c>
      <c r="CE2483" s="1" t="s">
        <v>207</v>
      </c>
      <c r="CF2483" s="1" t="s">
        <v>431</v>
      </c>
      <c r="CG2483" s="1" t="s">
        <v>1584</v>
      </c>
      <c r="CH2483" s="1" t="s">
        <v>206</v>
      </c>
      <c r="CI2483" s="1" t="s">
        <v>207</v>
      </c>
      <c r="CJ2483" s="1" t="s">
        <v>431</v>
      </c>
      <c r="CK2483" s="1" t="s">
        <v>1760</v>
      </c>
      <c r="CL2483" s="1" t="s">
        <v>206</v>
      </c>
      <c r="CM2483" s="1" t="s">
        <v>207</v>
      </c>
      <c r="CN2483" s="1" t="s">
        <v>431</v>
      </c>
      <c r="CO2483" s="1" t="s">
        <v>1395</v>
      </c>
      <c r="CP2483" s="1" t="s">
        <v>42</v>
      </c>
      <c r="CQ2483" s="1" t="s">
        <v>268</v>
      </c>
      <c r="CR2483" s="1" t="s">
        <v>229</v>
      </c>
      <c r="CS2483" s="1" t="s">
        <v>798</v>
      </c>
      <c r="CT2483" s="1" t="s">
        <v>206</v>
      </c>
      <c r="CU2483" s="1" t="s">
        <v>207</v>
      </c>
      <c r="CV2483" s="1" t="s">
        <v>431</v>
      </c>
      <c r="CW2483" s="1" t="s">
        <v>22544</v>
      </c>
      <c r="CX2483" s="1" t="s">
        <v>42</v>
      </c>
      <c r="CY2483" s="1" t="s">
        <v>268</v>
      </c>
      <c r="CZ2483" s="1" t="s">
        <v>229</v>
      </c>
      <c r="DA2483" s="1" t="s">
        <v>200</v>
      </c>
      <c r="DC2483" s="1" t="s">
        <v>271</v>
      </c>
      <c r="DD2483" s="1" t="s">
        <v>759</v>
      </c>
      <c r="DE2483" s="1" t="s">
        <v>273</v>
      </c>
      <c r="DF2483" s="1" t="s">
        <v>619</v>
      </c>
      <c r="DG2483" s="1" t="s">
        <v>482</v>
      </c>
      <c r="DH2483" s="1" t="s">
        <v>365</v>
      </c>
      <c r="DI2483" s="1" t="s">
        <v>366</v>
      </c>
      <c r="DJ2483" s="1" t="s">
        <v>222</v>
      </c>
      <c r="DK2483" s="1" t="s">
        <v>223</v>
      </c>
      <c r="DL2483" s="1" t="s">
        <v>224</v>
      </c>
      <c r="DM2483" s="1" t="s">
        <v>1143</v>
      </c>
      <c r="DN2483" s="1" t="s">
        <v>1504</v>
      </c>
      <c r="DO2483" s="1" t="s">
        <v>717</v>
      </c>
      <c r="DP2483" s="1" t="s">
        <v>340</v>
      </c>
      <c r="DQ2483" s="1" t="s">
        <v>228</v>
      </c>
      <c r="DR2483" s="1" t="s">
        <v>229</v>
      </c>
      <c r="DS2483" s="1" t="s">
        <v>277</v>
      </c>
      <c r="DV2483" s="1" t="s">
        <v>1103</v>
      </c>
      <c r="DW2483" s="1" t="s">
        <v>279</v>
      </c>
      <c r="DX2483" s="1" t="s">
        <v>234</v>
      </c>
      <c r="DY2483" s="1" t="s">
        <v>553</v>
      </c>
      <c r="DZ2483" s="1" t="s">
        <v>405</v>
      </c>
      <c r="EA2483" s="1" t="s">
        <v>1302</v>
      </c>
      <c r="EB2483" s="1" t="s">
        <v>372</v>
      </c>
      <c r="EC2483" s="1" t="s">
        <v>685</v>
      </c>
      <c r="ED2483" s="1" t="s">
        <v>1794</v>
      </c>
      <c r="EE2483" s="1" t="s">
        <v>493</v>
      </c>
      <c r="EG2483" s="1" t="s">
        <v>1103</v>
      </c>
      <c r="EL2483" s="1" t="s">
        <v>939</v>
      </c>
      <c r="EM2483" s="1" t="s">
        <v>42</v>
      </c>
      <c r="EN2483" s="1" t="s">
        <v>268</v>
      </c>
      <c r="EO2483" s="1" t="s">
        <v>229</v>
      </c>
      <c r="EQ2483" s="1" t="s">
        <v>238</v>
      </c>
      <c r="EU2483" s="1" t="s">
        <v>238</v>
      </c>
      <c r="EY2483" s="1" t="s">
        <v>238</v>
      </c>
      <c r="FC2483" s="1" t="s">
        <v>238</v>
      </c>
      <c r="FF2483" s="1" t="s">
        <v>239</v>
      </c>
      <c r="FG2483" s="1" t="s">
        <v>192</v>
      </c>
      <c r="FH2483" s="1" t="s">
        <v>192</v>
      </c>
      <c r="FJ2483" s="1" t="s">
        <v>22545</v>
      </c>
      <c r="FK2483" s="1" t="s">
        <v>229</v>
      </c>
      <c r="FL2483" s="1" t="s">
        <v>2469</v>
      </c>
      <c r="FM2483" s="1">
        <v>84992.0</v>
      </c>
      <c r="FN2483" s="1" t="s">
        <v>2470</v>
      </c>
      <c r="FO2483" s="1" t="s">
        <v>2471</v>
      </c>
      <c r="FP2483" s="1">
        <v>113209.0</v>
      </c>
      <c r="FQ2483" s="1" t="s">
        <v>2472</v>
      </c>
      <c r="FU2483" s="1" t="s">
        <v>22546</v>
      </c>
      <c r="FV2483" s="1" t="s">
        <v>200</v>
      </c>
      <c r="FW2483" s="1" t="s">
        <v>22547</v>
      </c>
      <c r="FX2483" s="1" t="s">
        <v>246</v>
      </c>
      <c r="FZ2483" s="1" t="s">
        <v>229</v>
      </c>
      <c r="GA2483" s="1" t="s">
        <v>291</v>
      </c>
      <c r="GB2483" s="2">
        <v>42116.0</v>
      </c>
      <c r="GC2483" s="1" t="s">
        <v>22548</v>
      </c>
    </row>
    <row r="2484">
      <c r="A2484" s="1">
        <v>290000.0</v>
      </c>
      <c r="B2484" s="1" t="s">
        <v>185</v>
      </c>
      <c r="C2484" s="1" t="str">
        <f>"08818914"</f>
        <v>08818914</v>
      </c>
      <c r="D2484" s="1" t="s">
        <v>186</v>
      </c>
      <c r="F2484" s="1" t="str">
        <f>"543"</f>
        <v>543</v>
      </c>
      <c r="G2484" s="2">
        <v>42022.0</v>
      </c>
      <c r="H2484" s="1">
        <v>295000.0</v>
      </c>
      <c r="I2484" s="1">
        <v>52.0</v>
      </c>
      <c r="J2484" s="1">
        <v>295000.0</v>
      </c>
      <c r="K2484" s="2">
        <v>42073.0</v>
      </c>
      <c r="L2484" s="1">
        <v>52.0</v>
      </c>
      <c r="M2484" s="2">
        <v>42073.0</v>
      </c>
      <c r="N2484" s="1" t="s">
        <v>634</v>
      </c>
      <c r="O2484" s="2">
        <v>42146.0</v>
      </c>
      <c r="P2484" s="1">
        <v>215491.0</v>
      </c>
      <c r="Q2484" s="1">
        <v>26032.0</v>
      </c>
      <c r="S2484" s="1">
        <v>115.0</v>
      </c>
      <c r="T2484" s="1" t="s">
        <v>22549</v>
      </c>
      <c r="U2484" s="1" t="s">
        <v>569</v>
      </c>
      <c r="V2484" s="1" t="s">
        <v>1527</v>
      </c>
      <c r="W2484" s="1">
        <v>60543.0</v>
      </c>
      <c r="Y2484" s="1" t="s">
        <v>22550</v>
      </c>
      <c r="Z2484" s="1">
        <v>2004.0</v>
      </c>
      <c r="AA2484" s="1" t="s">
        <v>200</v>
      </c>
      <c r="AB2484" s="1" t="s">
        <v>467</v>
      </c>
      <c r="AC2484" s="1" t="s">
        <v>16689</v>
      </c>
      <c r="AD2484" s="1" t="s">
        <v>1529</v>
      </c>
      <c r="AE2484" s="1" t="s">
        <v>849</v>
      </c>
      <c r="AF2484" s="1" t="s">
        <v>1529</v>
      </c>
      <c r="AG2484" s="1" t="s">
        <v>22551</v>
      </c>
      <c r="AH2484" s="1" t="s">
        <v>5748</v>
      </c>
      <c r="AI2484" s="1">
        <v>0.2468</v>
      </c>
      <c r="AK2484" s="1">
        <v>10.0</v>
      </c>
      <c r="AL2484" s="1">
        <v>4.0</v>
      </c>
      <c r="AM2484" s="1">
        <v>2.0</v>
      </c>
      <c r="AN2484" s="1">
        <v>1.0</v>
      </c>
      <c r="AO2484" s="1" t="s">
        <v>198</v>
      </c>
      <c r="AP2484" s="1">
        <v>1.0</v>
      </c>
      <c r="AQ2484" s="1" t="s">
        <v>198</v>
      </c>
      <c r="AR2484" s="1" t="s">
        <v>200</v>
      </c>
      <c r="AS2484" s="1" t="s">
        <v>199</v>
      </c>
      <c r="AT2484" s="1">
        <v>3.0</v>
      </c>
      <c r="AV2484" s="1" t="s">
        <v>200</v>
      </c>
      <c r="AW2484" s="1">
        <v>8885.8</v>
      </c>
      <c r="AX2484" s="1">
        <v>2013.0</v>
      </c>
      <c r="AY2484" s="1" t="s">
        <v>229</v>
      </c>
      <c r="AZ2484" s="1" t="s">
        <v>200</v>
      </c>
      <c r="BA2484" s="1" t="str">
        <f>"0213101003"</f>
        <v>0213101003</v>
      </c>
      <c r="BB2484" s="1" t="s">
        <v>200</v>
      </c>
      <c r="BC2484" s="1">
        <v>2917.0</v>
      </c>
      <c r="BD2484" s="1">
        <v>290000.0</v>
      </c>
      <c r="BE2484" s="2">
        <v>42022.0</v>
      </c>
      <c r="BF2484" s="2" t="s">
        <v>22552</v>
      </c>
      <c r="BH2484" s="1">
        <v>210.0</v>
      </c>
      <c r="BK2484" s="1" t="s">
        <v>580</v>
      </c>
      <c r="BL2484" s="1" t="str">
        <f t="shared" si="1617"/>
        <v>0</v>
      </c>
      <c r="BM2484" s="1" t="str">
        <f t="shared" si="1618"/>
        <v>0</v>
      </c>
      <c r="BN2484" s="1">
        <v>0.0</v>
      </c>
      <c r="BO2484" s="1">
        <v>0.0</v>
      </c>
      <c r="BQ2484" s="1">
        <v>115.0</v>
      </c>
      <c r="BR2484" s="1">
        <v>115.0</v>
      </c>
      <c r="BS2484" s="1">
        <v>115.0</v>
      </c>
      <c r="BU2484" s="1" t="s">
        <v>302</v>
      </c>
      <c r="BV2484" s="1" t="s">
        <v>206</v>
      </c>
      <c r="BW2484" s="1" t="s">
        <v>210</v>
      </c>
      <c r="BX2484" s="1" t="s">
        <v>229</v>
      </c>
      <c r="BY2484" s="1" t="s">
        <v>2749</v>
      </c>
      <c r="BZ2484" s="1" t="s">
        <v>209</v>
      </c>
      <c r="CA2484" s="1" t="s">
        <v>210</v>
      </c>
      <c r="CB2484" s="1" t="s">
        <v>229</v>
      </c>
      <c r="CC2484" s="1" t="s">
        <v>300</v>
      </c>
      <c r="CD2484" s="1" t="s">
        <v>206</v>
      </c>
      <c r="CE2484" s="1" t="s">
        <v>210</v>
      </c>
      <c r="CF2484" s="1" t="s">
        <v>229</v>
      </c>
      <c r="CG2484" s="1" t="s">
        <v>302</v>
      </c>
      <c r="CH2484" s="1" t="s">
        <v>209</v>
      </c>
      <c r="CI2484" s="1" t="s">
        <v>210</v>
      </c>
      <c r="CJ2484" s="1" t="s">
        <v>229</v>
      </c>
      <c r="CK2484" s="1" t="s">
        <v>699</v>
      </c>
      <c r="CL2484" s="1" t="s">
        <v>209</v>
      </c>
      <c r="CM2484" s="1" t="s">
        <v>210</v>
      </c>
      <c r="CN2484" s="1" t="s">
        <v>229</v>
      </c>
      <c r="CO2484" s="1" t="s">
        <v>363</v>
      </c>
      <c r="CP2484" s="1" t="s">
        <v>209</v>
      </c>
      <c r="CQ2484" s="1" t="s">
        <v>210</v>
      </c>
      <c r="CR2484" s="1" t="s">
        <v>229</v>
      </c>
      <c r="CS2484" s="1" t="s">
        <v>1329</v>
      </c>
      <c r="CT2484" s="1" t="s">
        <v>206</v>
      </c>
      <c r="CU2484" s="1" t="s">
        <v>207</v>
      </c>
      <c r="CV2484" s="1" t="s">
        <v>229</v>
      </c>
      <c r="CW2484" s="1" t="s">
        <v>676</v>
      </c>
      <c r="CX2484" s="1" t="s">
        <v>206</v>
      </c>
      <c r="CY2484" s="1" t="s">
        <v>210</v>
      </c>
      <c r="CZ2484" s="1" t="s">
        <v>229</v>
      </c>
      <c r="DA2484" s="1" t="s">
        <v>200</v>
      </c>
      <c r="DC2484" s="1" t="s">
        <v>335</v>
      </c>
      <c r="DD2484" s="1" t="s">
        <v>336</v>
      </c>
      <c r="DE2484" s="1" t="s">
        <v>273</v>
      </c>
      <c r="DF2484" s="1" t="s">
        <v>219</v>
      </c>
      <c r="DG2484" s="1" t="s">
        <v>3020</v>
      </c>
      <c r="DH2484" s="1" t="s">
        <v>220</v>
      </c>
      <c r="DI2484" s="1" t="s">
        <v>308</v>
      </c>
      <c r="DJ2484" s="1" t="s">
        <v>222</v>
      </c>
      <c r="DK2484" s="1" t="s">
        <v>223</v>
      </c>
      <c r="DL2484" s="1" t="s">
        <v>223</v>
      </c>
      <c r="DM2484" s="1" t="s">
        <v>229</v>
      </c>
      <c r="DN2484" s="1" t="s">
        <v>399</v>
      </c>
      <c r="DP2484" s="1" t="s">
        <v>340</v>
      </c>
      <c r="DQ2484" s="1" t="s">
        <v>441</v>
      </c>
      <c r="DR2484" s="1" t="s">
        <v>1487</v>
      </c>
      <c r="DS2484" s="1" t="s">
        <v>368</v>
      </c>
      <c r="DU2484" s="1" t="s">
        <v>1005</v>
      </c>
      <c r="DV2484" s="1" t="s">
        <v>22553</v>
      </c>
      <c r="DW2484" s="1" t="s">
        <v>444</v>
      </c>
      <c r="DX2484" s="1" t="s">
        <v>234</v>
      </c>
      <c r="DY2484" s="1" t="s">
        <v>490</v>
      </c>
      <c r="DZ2484" s="1" t="s">
        <v>1466</v>
      </c>
      <c r="EA2484" s="1" t="s">
        <v>1027</v>
      </c>
      <c r="EC2484" s="1" t="s">
        <v>237</v>
      </c>
      <c r="ED2484" s="1" t="s">
        <v>1406</v>
      </c>
      <c r="EG2484" s="1" t="s">
        <v>449</v>
      </c>
      <c r="EH2484" s="1" t="s">
        <v>494</v>
      </c>
      <c r="EI2484" s="1" t="s">
        <v>2313</v>
      </c>
      <c r="EL2484" s="1" t="s">
        <v>516</v>
      </c>
      <c r="EM2484" s="1" t="s">
        <v>206</v>
      </c>
      <c r="EN2484" s="1" t="s">
        <v>207</v>
      </c>
      <c r="EO2484" s="1" t="s">
        <v>229</v>
      </c>
      <c r="EP2484" s="1" t="s">
        <v>663</v>
      </c>
      <c r="EQ2484" s="1" t="s">
        <v>206</v>
      </c>
      <c r="ER2484" s="1" t="s">
        <v>210</v>
      </c>
      <c r="ES2484" s="1" t="s">
        <v>229</v>
      </c>
      <c r="ET2484" s="1" t="s">
        <v>1505</v>
      </c>
      <c r="EU2484" s="1" t="s">
        <v>206</v>
      </c>
      <c r="EV2484" s="1" t="s">
        <v>268</v>
      </c>
      <c r="EW2484" s="1" t="s">
        <v>229</v>
      </c>
      <c r="EY2484" s="1" t="s">
        <v>238</v>
      </c>
      <c r="FC2484" s="1" t="s">
        <v>238</v>
      </c>
      <c r="FF2484" s="1" t="s">
        <v>239</v>
      </c>
      <c r="FG2484" s="1" t="s">
        <v>192</v>
      </c>
      <c r="FH2484" s="1" t="s">
        <v>192</v>
      </c>
      <c r="FJ2484" s="1" t="s">
        <v>6821</v>
      </c>
      <c r="FK2484" s="1" t="s">
        <v>229</v>
      </c>
      <c r="FL2484" s="1" t="s">
        <v>22554</v>
      </c>
      <c r="FM2484" s="1">
        <v>24826.0</v>
      </c>
      <c r="FN2484" s="1" t="s">
        <v>22555</v>
      </c>
      <c r="FO2484" s="1" t="s">
        <v>22556</v>
      </c>
      <c r="FP2484" s="1">
        <v>237083.0</v>
      </c>
      <c r="FU2484" s="1" t="s">
        <v>22557</v>
      </c>
      <c r="FV2484" s="1" t="s">
        <v>200</v>
      </c>
      <c r="FW2484" s="1" t="s">
        <v>290</v>
      </c>
      <c r="FZ2484" s="1" t="s">
        <v>229</v>
      </c>
      <c r="GA2484" s="1" t="s">
        <v>291</v>
      </c>
      <c r="GB2484" s="2">
        <v>42150.0</v>
      </c>
      <c r="GC2484" s="1" t="s">
        <v>22558</v>
      </c>
    </row>
    <row r="2485">
      <c r="A2485" s="1">
        <v>320000.0</v>
      </c>
      <c r="B2485" s="1" t="s">
        <v>185</v>
      </c>
      <c r="C2485" s="1" t="str">
        <f>"08815969"</f>
        <v>08815969</v>
      </c>
      <c r="D2485" s="1" t="s">
        <v>186</v>
      </c>
      <c r="F2485" s="1" t="str">
        <f>"8002"</f>
        <v>8002</v>
      </c>
      <c r="G2485" s="2">
        <v>42018.0</v>
      </c>
      <c r="H2485" s="1">
        <v>349900.0</v>
      </c>
      <c r="I2485" s="1">
        <v>72.0</v>
      </c>
      <c r="J2485" s="1">
        <v>349900.0</v>
      </c>
      <c r="K2485" s="2">
        <v>42019.0</v>
      </c>
      <c r="L2485" s="1">
        <v>2.0</v>
      </c>
      <c r="M2485" s="2">
        <v>42019.0</v>
      </c>
      <c r="N2485" s="1" t="s">
        <v>249</v>
      </c>
      <c r="O2485" s="2">
        <v>42046.0</v>
      </c>
      <c r="P2485" s="1">
        <v>129108.0</v>
      </c>
      <c r="Q2485" s="1">
        <v>84794.0</v>
      </c>
      <c r="S2485" s="1">
        <v>2930.0</v>
      </c>
      <c r="T2485" s="1" t="s">
        <v>22559</v>
      </c>
      <c r="U2485" s="1" t="s">
        <v>320</v>
      </c>
      <c r="V2485" s="1" t="s">
        <v>190</v>
      </c>
      <c r="W2485" s="1">
        <v>60645.0</v>
      </c>
      <c r="Y2485" s="1" t="s">
        <v>22560</v>
      </c>
      <c r="Z2485" s="1">
        <v>1949.0</v>
      </c>
      <c r="AA2485" s="1" t="s">
        <v>192</v>
      </c>
      <c r="AB2485" s="1" t="s">
        <v>193</v>
      </c>
      <c r="AD2485" s="1" t="s">
        <v>194</v>
      </c>
      <c r="AE2485" s="1" t="s">
        <v>195</v>
      </c>
      <c r="AF2485" s="1" t="s">
        <v>2323</v>
      </c>
      <c r="AH2485" s="1" t="s">
        <v>3621</v>
      </c>
      <c r="AI2485" s="1">
        <v>0.092</v>
      </c>
      <c r="AK2485" s="1">
        <v>8.0</v>
      </c>
      <c r="AL2485" s="1">
        <v>4.0</v>
      </c>
      <c r="AM2485" s="1">
        <v>1.0</v>
      </c>
      <c r="AN2485" s="1">
        <v>1.0</v>
      </c>
      <c r="AO2485" s="1" t="s">
        <v>229</v>
      </c>
      <c r="AQ2485" s="1" t="s">
        <v>198</v>
      </c>
      <c r="AR2485" s="1" t="s">
        <v>200</v>
      </c>
      <c r="AS2485" s="1" t="s">
        <v>229</v>
      </c>
      <c r="AV2485" s="1" t="s">
        <v>200</v>
      </c>
      <c r="AW2485" s="1">
        <v>4548.13</v>
      </c>
      <c r="AX2485" s="1">
        <v>2013.0</v>
      </c>
      <c r="AY2485" s="1" t="s">
        <v>229</v>
      </c>
      <c r="AZ2485" s="1" t="s">
        <v>200</v>
      </c>
      <c r="BA2485" s="1" t="str">
        <f>"10253270320000"</f>
        <v>10253270320000</v>
      </c>
      <c r="BC2485" s="1">
        <v>0.0</v>
      </c>
      <c r="BD2485" s="1">
        <v>320000.0</v>
      </c>
      <c r="BE2485" s="2">
        <v>42018.0</v>
      </c>
      <c r="BF2485" s="2" t="s">
        <v>22561</v>
      </c>
      <c r="BH2485" s="1">
        <v>0.0</v>
      </c>
      <c r="BK2485" s="1" t="s">
        <v>204</v>
      </c>
      <c r="BL2485" s="1" t="str">
        <f>"7200"</f>
        <v>7200</v>
      </c>
      <c r="BM2485" s="1" t="str">
        <f t="shared" si="1618"/>
        <v>0</v>
      </c>
      <c r="BN2485" s="1">
        <v>2930.0</v>
      </c>
      <c r="BO2485" s="1">
        <v>0.0</v>
      </c>
      <c r="BQ2485" s="1">
        <v>299.0</v>
      </c>
      <c r="BR2485" s="1">
        <v>299.0</v>
      </c>
      <c r="BS2485" s="1">
        <v>299.0</v>
      </c>
      <c r="BU2485" s="1" t="s">
        <v>432</v>
      </c>
      <c r="BV2485" s="1" t="s">
        <v>206</v>
      </c>
      <c r="BW2485" s="1" t="s">
        <v>207</v>
      </c>
      <c r="BY2485" s="1" t="s">
        <v>454</v>
      </c>
      <c r="BZ2485" s="1" t="s">
        <v>209</v>
      </c>
      <c r="CA2485" s="1" t="s">
        <v>207</v>
      </c>
      <c r="CC2485" s="1" t="s">
        <v>212</v>
      </c>
      <c r="CD2485" s="1" t="s">
        <v>206</v>
      </c>
      <c r="CE2485" s="1" t="s">
        <v>207</v>
      </c>
      <c r="CG2485" s="1" t="s">
        <v>269</v>
      </c>
      <c r="CH2485" s="1" t="s">
        <v>209</v>
      </c>
      <c r="CI2485" s="1" t="s">
        <v>207</v>
      </c>
      <c r="CK2485" s="1" t="s">
        <v>332</v>
      </c>
      <c r="CL2485" s="1" t="s">
        <v>209</v>
      </c>
      <c r="CM2485" s="1" t="s">
        <v>207</v>
      </c>
      <c r="CO2485" s="1" t="s">
        <v>758</v>
      </c>
      <c r="CP2485" s="1" t="s">
        <v>206</v>
      </c>
      <c r="CQ2485" s="1" t="s">
        <v>301</v>
      </c>
      <c r="CS2485" s="1" t="s">
        <v>495</v>
      </c>
      <c r="CT2485" s="1" t="s">
        <v>206</v>
      </c>
      <c r="CU2485" s="1" t="s">
        <v>1136</v>
      </c>
      <c r="CW2485" s="1" t="s">
        <v>782</v>
      </c>
      <c r="CX2485" s="1" t="s">
        <v>42</v>
      </c>
      <c r="CY2485" s="1" t="s">
        <v>1136</v>
      </c>
      <c r="DA2485" s="1" t="s">
        <v>200</v>
      </c>
      <c r="DC2485" s="1" t="s">
        <v>702</v>
      </c>
      <c r="DD2485" s="1" t="s">
        <v>518</v>
      </c>
      <c r="DE2485" s="1" t="s">
        <v>273</v>
      </c>
      <c r="DF2485" s="1" t="s">
        <v>219</v>
      </c>
      <c r="DH2485" s="1" t="s">
        <v>307</v>
      </c>
      <c r="DI2485" s="1" t="s">
        <v>308</v>
      </c>
      <c r="DJ2485" s="1" t="s">
        <v>222</v>
      </c>
      <c r="DL2485" s="1" t="s">
        <v>224</v>
      </c>
      <c r="DM2485" s="1" t="s">
        <v>229</v>
      </c>
      <c r="DN2485" s="1" t="s">
        <v>666</v>
      </c>
      <c r="DP2485" s="1" t="s">
        <v>340</v>
      </c>
      <c r="DQ2485" s="1" t="s">
        <v>228</v>
      </c>
      <c r="DR2485" s="1" t="s">
        <v>229</v>
      </c>
      <c r="DS2485" s="1" t="s">
        <v>230</v>
      </c>
      <c r="DV2485" s="1" t="s">
        <v>22562</v>
      </c>
      <c r="DW2485" s="1" t="s">
        <v>279</v>
      </c>
      <c r="DX2485" s="1" t="s">
        <v>234</v>
      </c>
      <c r="DY2485" s="1" t="s">
        <v>2240</v>
      </c>
      <c r="EA2485" s="1" t="s">
        <v>3308</v>
      </c>
      <c r="EC2485" s="1" t="s">
        <v>237</v>
      </c>
      <c r="EG2485" s="1" t="s">
        <v>408</v>
      </c>
      <c r="EH2485" s="1" t="s">
        <v>2971</v>
      </c>
      <c r="EI2485" s="1" t="s">
        <v>1270</v>
      </c>
      <c r="EL2485" s="1" t="s">
        <v>14325</v>
      </c>
      <c r="EM2485" s="1" t="s">
        <v>206</v>
      </c>
      <c r="EN2485" s="1" t="s">
        <v>207</v>
      </c>
      <c r="EP2485" s="1" t="s">
        <v>816</v>
      </c>
      <c r="EQ2485" s="1" t="s">
        <v>42</v>
      </c>
      <c r="ER2485" s="1" t="s">
        <v>1136</v>
      </c>
      <c r="ET2485" s="1" t="s">
        <v>411</v>
      </c>
      <c r="EU2485" s="1" t="s">
        <v>42</v>
      </c>
      <c r="EV2485" s="1" t="s">
        <v>1136</v>
      </c>
      <c r="EY2485" s="1" t="s">
        <v>238</v>
      </c>
      <c r="FC2485" s="1" t="s">
        <v>238</v>
      </c>
      <c r="FF2485" s="1" t="s">
        <v>239</v>
      </c>
      <c r="FG2485" s="1" t="s">
        <v>192</v>
      </c>
      <c r="FH2485" s="1" t="s">
        <v>192</v>
      </c>
      <c r="FJ2485" s="1" t="s">
        <v>1450</v>
      </c>
      <c r="FK2485" s="1" t="s">
        <v>229</v>
      </c>
      <c r="FL2485" s="1" t="s">
        <v>19013</v>
      </c>
      <c r="FM2485" s="1">
        <v>17851.0</v>
      </c>
      <c r="FN2485" s="1" t="s">
        <v>19014</v>
      </c>
      <c r="FO2485" s="1" t="s">
        <v>19015</v>
      </c>
      <c r="FP2485" s="1">
        <v>141665.0</v>
      </c>
      <c r="FQ2485" s="1" t="s">
        <v>19016</v>
      </c>
      <c r="FU2485" s="1" t="s">
        <v>22563</v>
      </c>
      <c r="FV2485" s="1" t="s">
        <v>200</v>
      </c>
      <c r="FW2485" s="1" t="s">
        <v>290</v>
      </c>
      <c r="FX2485" s="1" t="s">
        <v>246</v>
      </c>
      <c r="FZ2485" s="1" t="s">
        <v>229</v>
      </c>
      <c r="GA2485" s="1" t="s">
        <v>291</v>
      </c>
      <c r="GB2485" s="2">
        <v>42047.0</v>
      </c>
      <c r="GC2485" s="1" t="s">
        <v>22564</v>
      </c>
    </row>
    <row r="2486">
      <c r="A2486" s="1">
        <v>136800.0</v>
      </c>
      <c r="B2486" s="1" t="s">
        <v>185</v>
      </c>
      <c r="C2486" s="1" t="str">
        <f>"08815898"</f>
        <v>08815898</v>
      </c>
      <c r="D2486" s="1" t="s">
        <v>186</v>
      </c>
      <c r="F2486" s="1" t="str">
        <f>"178"</f>
        <v>178</v>
      </c>
      <c r="G2486" s="2">
        <v>42018.0</v>
      </c>
      <c r="H2486" s="1">
        <v>136800.0</v>
      </c>
      <c r="I2486" s="1">
        <v>97.0</v>
      </c>
      <c r="J2486" s="1">
        <v>136800.0</v>
      </c>
      <c r="K2486" s="2">
        <v>42020.0</v>
      </c>
      <c r="L2486" s="1">
        <v>3.0</v>
      </c>
      <c r="M2486" s="2">
        <v>42020.0</v>
      </c>
      <c r="N2486" s="1" t="s">
        <v>187</v>
      </c>
      <c r="O2486" s="2">
        <v>42055.0</v>
      </c>
      <c r="P2486" s="1">
        <v>930143.0</v>
      </c>
      <c r="Q2486" s="1">
        <v>93043.0</v>
      </c>
      <c r="R2486" s="1">
        <v>4100.0</v>
      </c>
      <c r="S2486" s="1">
        <v>310.0</v>
      </c>
      <c r="T2486" s="1" t="s">
        <v>65</v>
      </c>
      <c r="U2486" s="1" t="s">
        <v>320</v>
      </c>
      <c r="V2486" s="1" t="s">
        <v>994</v>
      </c>
      <c r="W2486" s="1">
        <v>60178.0</v>
      </c>
      <c r="Y2486" s="1" t="s">
        <v>22565</v>
      </c>
      <c r="Z2486" s="1">
        <v>1964.0</v>
      </c>
      <c r="AA2486" s="1" t="s">
        <v>192</v>
      </c>
      <c r="AB2486" s="1" t="s">
        <v>193</v>
      </c>
      <c r="AD2486" s="1" t="s">
        <v>997</v>
      </c>
      <c r="AE2486" s="1" t="s">
        <v>613</v>
      </c>
      <c r="AF2486" s="1" t="s">
        <v>997</v>
      </c>
      <c r="AH2486" s="1" t="s">
        <v>22566</v>
      </c>
      <c r="AK2486" s="1">
        <v>8.0</v>
      </c>
      <c r="AL2486" s="1">
        <v>4.0</v>
      </c>
      <c r="AM2486" s="1">
        <v>3.0</v>
      </c>
      <c r="AN2486" s="1">
        <v>0.0</v>
      </c>
      <c r="AO2486" s="1" t="s">
        <v>198</v>
      </c>
      <c r="AQ2486" s="1" t="s">
        <v>229</v>
      </c>
      <c r="AR2486" s="1" t="s">
        <v>200</v>
      </c>
      <c r="AS2486" s="1" t="s">
        <v>199</v>
      </c>
      <c r="AT2486" s="1">
        <v>2.0</v>
      </c>
      <c r="AV2486" s="1" t="s">
        <v>200</v>
      </c>
      <c r="AW2486" s="1">
        <v>4062.0</v>
      </c>
      <c r="AX2486" s="1">
        <v>2013.0</v>
      </c>
      <c r="AY2486" s="1" t="s">
        <v>387</v>
      </c>
      <c r="AZ2486" s="1" t="s">
        <v>200</v>
      </c>
      <c r="BA2486" s="1" t="str">
        <f>"0631426009"</f>
        <v>0631426009</v>
      </c>
      <c r="BB2486" s="1" t="s">
        <v>200</v>
      </c>
      <c r="BC2486" s="1">
        <v>1600.0</v>
      </c>
      <c r="BD2486" s="1">
        <v>136800.0</v>
      </c>
      <c r="BE2486" s="2">
        <v>42018.0</v>
      </c>
      <c r="BF2486" s="2" t="s">
        <v>22567</v>
      </c>
      <c r="BH2486" s="1">
        <v>0.0</v>
      </c>
      <c r="BK2486" s="1" t="s">
        <v>204</v>
      </c>
      <c r="BL2486" s="1" t="str">
        <f t="shared" ref="BL2486:BM2486" si="1619">"0"</f>
        <v>0</v>
      </c>
      <c r="BM2486" s="1" t="str">
        <f t="shared" si="1619"/>
        <v>0</v>
      </c>
      <c r="BN2486" s="1">
        <v>0.0</v>
      </c>
      <c r="BO2486" s="1">
        <v>0.0</v>
      </c>
      <c r="BQ2486" s="1">
        <v>427.0</v>
      </c>
      <c r="BR2486" s="1">
        <v>427.0</v>
      </c>
      <c r="BS2486" s="1">
        <v>427.0</v>
      </c>
      <c r="BU2486" s="1" t="s">
        <v>1000</v>
      </c>
      <c r="BV2486" s="1" t="s">
        <v>206</v>
      </c>
      <c r="BW2486" s="1" t="s">
        <v>210</v>
      </c>
      <c r="BY2486" s="1" t="s">
        <v>1483</v>
      </c>
      <c r="BZ2486" s="1" t="s">
        <v>209</v>
      </c>
      <c r="CA2486" s="1" t="s">
        <v>210</v>
      </c>
      <c r="CC2486" s="1" t="s">
        <v>699</v>
      </c>
      <c r="CD2486" s="1" t="s">
        <v>206</v>
      </c>
      <c r="CE2486" s="1" t="s">
        <v>207</v>
      </c>
      <c r="CG2486" s="1" t="s">
        <v>303</v>
      </c>
      <c r="CH2486" s="1" t="s">
        <v>209</v>
      </c>
      <c r="CI2486" s="1" t="s">
        <v>210</v>
      </c>
      <c r="CK2486" s="1" t="s">
        <v>269</v>
      </c>
      <c r="CL2486" s="1" t="s">
        <v>209</v>
      </c>
      <c r="CM2486" s="1" t="s">
        <v>210</v>
      </c>
      <c r="CO2486" s="1" t="s">
        <v>269</v>
      </c>
      <c r="CP2486" s="1" t="s">
        <v>209</v>
      </c>
      <c r="CQ2486" s="1" t="s">
        <v>210</v>
      </c>
      <c r="CS2486" s="1" t="s">
        <v>300</v>
      </c>
      <c r="CT2486" s="1" t="s">
        <v>206</v>
      </c>
      <c r="CU2486" s="1" t="s">
        <v>207</v>
      </c>
      <c r="CX2486" s="1" t="s">
        <v>204</v>
      </c>
      <c r="DA2486" s="1" t="s">
        <v>200</v>
      </c>
      <c r="DC2486" s="1" t="s">
        <v>271</v>
      </c>
      <c r="DD2486" s="1" t="s">
        <v>759</v>
      </c>
      <c r="DE2486" s="1" t="s">
        <v>6485</v>
      </c>
      <c r="DF2486" s="1" t="s">
        <v>219</v>
      </c>
      <c r="DH2486" s="1" t="s">
        <v>220</v>
      </c>
      <c r="DI2486" s="1" t="s">
        <v>2547</v>
      </c>
      <c r="DJ2486" s="1" t="s">
        <v>222</v>
      </c>
      <c r="DL2486" s="1" t="s">
        <v>520</v>
      </c>
      <c r="DM2486" s="1" t="s">
        <v>229</v>
      </c>
      <c r="DO2486" s="1" t="s">
        <v>440</v>
      </c>
      <c r="DP2486" s="1" t="s">
        <v>340</v>
      </c>
      <c r="DQ2486" s="1" t="s">
        <v>228</v>
      </c>
      <c r="DR2486" s="1" t="s">
        <v>229</v>
      </c>
      <c r="DU2486" s="1" t="s">
        <v>681</v>
      </c>
      <c r="DV2486" s="1" t="s">
        <v>12423</v>
      </c>
      <c r="DW2486" s="1" t="s">
        <v>233</v>
      </c>
      <c r="DX2486" s="1" t="s">
        <v>234</v>
      </c>
      <c r="DY2486" s="1" t="s">
        <v>22568</v>
      </c>
      <c r="DZ2486" s="1" t="s">
        <v>282</v>
      </c>
      <c r="EC2486" s="1" t="s">
        <v>237</v>
      </c>
      <c r="EG2486" s="1" t="s">
        <v>494</v>
      </c>
      <c r="EJ2486" s="1" t="s">
        <v>2313</v>
      </c>
      <c r="EL2486" s="1" t="s">
        <v>269</v>
      </c>
      <c r="EM2486" s="1" t="s">
        <v>206</v>
      </c>
      <c r="EQ2486" s="1" t="s">
        <v>238</v>
      </c>
      <c r="EU2486" s="1" t="s">
        <v>238</v>
      </c>
      <c r="EX2486" s="1" t="s">
        <v>599</v>
      </c>
      <c r="EY2486" s="1" t="s">
        <v>206</v>
      </c>
      <c r="FC2486" s="1" t="s">
        <v>238</v>
      </c>
      <c r="FF2486" s="1" t="s">
        <v>239</v>
      </c>
      <c r="FG2486" s="1" t="s">
        <v>192</v>
      </c>
      <c r="FH2486" s="1" t="s">
        <v>192</v>
      </c>
      <c r="FJ2486" s="1" t="s">
        <v>347</v>
      </c>
      <c r="FK2486" s="1" t="s">
        <v>229</v>
      </c>
      <c r="FL2486" s="1" t="s">
        <v>4309</v>
      </c>
      <c r="FM2486" s="1">
        <v>83.0</v>
      </c>
      <c r="FN2486" s="1" t="s">
        <v>4310</v>
      </c>
      <c r="FO2486" s="1" t="s">
        <v>4311</v>
      </c>
      <c r="FP2486" s="1">
        <v>287.0</v>
      </c>
      <c r="FQ2486" s="1" t="s">
        <v>4312</v>
      </c>
      <c r="FU2486" s="1" t="s">
        <v>4313</v>
      </c>
      <c r="FV2486" s="1" t="s">
        <v>200</v>
      </c>
      <c r="FW2486" s="1" t="s">
        <v>1411</v>
      </c>
      <c r="FZ2486" s="1" t="s">
        <v>632</v>
      </c>
      <c r="GA2486" s="1" t="s">
        <v>291</v>
      </c>
      <c r="GB2486" s="2">
        <v>42058.0</v>
      </c>
    </row>
    <row r="2487">
      <c r="A2487" s="1">
        <v>280000.0</v>
      </c>
      <c r="B2487" s="1" t="s">
        <v>185</v>
      </c>
      <c r="C2487" s="1" t="str">
        <f>"08816229"</f>
        <v>08816229</v>
      </c>
      <c r="D2487" s="1" t="s">
        <v>186</v>
      </c>
      <c r="F2487" s="1" t="str">
        <f>"140"</f>
        <v>140</v>
      </c>
      <c r="G2487" s="2">
        <v>42018.0</v>
      </c>
      <c r="H2487" s="1">
        <v>280000.0</v>
      </c>
      <c r="I2487" s="1">
        <v>51.0</v>
      </c>
      <c r="J2487" s="1">
        <v>275000.0</v>
      </c>
      <c r="K2487" s="2">
        <v>42068.0</v>
      </c>
      <c r="L2487" s="1">
        <v>51.0</v>
      </c>
      <c r="M2487" s="2">
        <v>42068.0</v>
      </c>
      <c r="N2487" s="1" t="s">
        <v>356</v>
      </c>
      <c r="O2487" s="2">
        <v>42124.0</v>
      </c>
      <c r="P2487" s="1">
        <v>7757.0</v>
      </c>
      <c r="Q2487" s="1">
        <v>7630.0</v>
      </c>
      <c r="R2487" s="1">
        <v>3.0</v>
      </c>
      <c r="S2487" s="1">
        <v>719.0</v>
      </c>
      <c r="T2487" s="1" t="s">
        <v>22569</v>
      </c>
      <c r="U2487" s="1" t="s">
        <v>569</v>
      </c>
      <c r="V2487" s="1" t="s">
        <v>321</v>
      </c>
      <c r="W2487" s="1">
        <v>60140.0</v>
      </c>
      <c r="Y2487" s="1" t="s">
        <v>22570</v>
      </c>
      <c r="Z2487" s="1">
        <v>2006.0</v>
      </c>
      <c r="AA2487" s="1" t="s">
        <v>200</v>
      </c>
      <c r="AB2487" s="1" t="s">
        <v>193</v>
      </c>
      <c r="AD2487" s="1" t="s">
        <v>324</v>
      </c>
      <c r="AE2487" s="1" t="s">
        <v>325</v>
      </c>
      <c r="AF2487" s="1" t="s">
        <v>324</v>
      </c>
      <c r="AG2487" s="1" t="s">
        <v>22571</v>
      </c>
      <c r="AH2487" s="1" t="s">
        <v>7938</v>
      </c>
      <c r="AI2487" s="1">
        <v>0.28</v>
      </c>
      <c r="AK2487" s="1">
        <v>13.0</v>
      </c>
      <c r="AL2487" s="1">
        <v>4.0</v>
      </c>
      <c r="AM2487" s="1">
        <v>2.0</v>
      </c>
      <c r="AN2487" s="1">
        <v>1.0</v>
      </c>
      <c r="AO2487" s="1" t="s">
        <v>198</v>
      </c>
      <c r="AP2487" s="1">
        <v>1.0</v>
      </c>
      <c r="AQ2487" s="1" t="s">
        <v>1314</v>
      </c>
      <c r="AR2487" s="1" t="s">
        <v>200</v>
      </c>
      <c r="AS2487" s="1" t="s">
        <v>199</v>
      </c>
      <c r="AT2487" s="1">
        <v>3.0</v>
      </c>
      <c r="AV2487" s="1" t="s">
        <v>200</v>
      </c>
      <c r="AW2487" s="1">
        <v>7784.0</v>
      </c>
      <c r="AX2487" s="1">
        <v>2013.0</v>
      </c>
      <c r="AY2487" s="1" t="s">
        <v>387</v>
      </c>
      <c r="AZ2487" s="1" t="s">
        <v>200</v>
      </c>
      <c r="BA2487" s="1" t="str">
        <f>"0127226004"</f>
        <v>0127226004</v>
      </c>
      <c r="BB2487" s="1" t="s">
        <v>200</v>
      </c>
      <c r="BC2487" s="1">
        <v>3183.0</v>
      </c>
      <c r="BD2487" s="1">
        <v>280000.0</v>
      </c>
      <c r="BE2487" s="2">
        <v>42018.0</v>
      </c>
      <c r="BF2487" s="2" t="s">
        <v>22572</v>
      </c>
      <c r="BG2487" s="1" t="s">
        <v>7518</v>
      </c>
      <c r="BH2487" s="1">
        <v>0.0</v>
      </c>
      <c r="BI2487" s="1" t="s">
        <v>5040</v>
      </c>
      <c r="BJ2487" s="1" t="s">
        <v>1182</v>
      </c>
      <c r="BK2487" s="1" t="s">
        <v>204</v>
      </c>
      <c r="BL2487" s="1" t="str">
        <f>"16"</f>
        <v>16</v>
      </c>
      <c r="BM2487" s="1" t="str">
        <f>"0"</f>
        <v>0</v>
      </c>
      <c r="BN2487" s="1">
        <v>46.0</v>
      </c>
      <c r="BO2487" s="1">
        <v>0.0</v>
      </c>
      <c r="BQ2487" s="1">
        <v>300.0</v>
      </c>
      <c r="BR2487" s="1">
        <v>300.0</v>
      </c>
      <c r="BS2487" s="1">
        <v>300.0</v>
      </c>
      <c r="BU2487" s="1" t="s">
        <v>647</v>
      </c>
      <c r="BV2487" s="1" t="s">
        <v>206</v>
      </c>
      <c r="BW2487" s="1" t="s">
        <v>207</v>
      </c>
      <c r="BY2487" s="1" t="s">
        <v>743</v>
      </c>
      <c r="BZ2487" s="1" t="s">
        <v>209</v>
      </c>
      <c r="CA2487" s="1" t="s">
        <v>210</v>
      </c>
      <c r="CC2487" s="1" t="s">
        <v>262</v>
      </c>
      <c r="CD2487" s="1" t="s">
        <v>206</v>
      </c>
      <c r="CE2487" s="1" t="s">
        <v>207</v>
      </c>
      <c r="CG2487" s="1" t="s">
        <v>332</v>
      </c>
      <c r="CH2487" s="1" t="s">
        <v>209</v>
      </c>
      <c r="CI2487" s="1" t="s">
        <v>210</v>
      </c>
      <c r="CK2487" s="1" t="s">
        <v>211</v>
      </c>
      <c r="CL2487" s="1" t="s">
        <v>209</v>
      </c>
      <c r="CM2487" s="1" t="s">
        <v>210</v>
      </c>
      <c r="CO2487" s="1" t="s">
        <v>211</v>
      </c>
      <c r="CP2487" s="1" t="s">
        <v>209</v>
      </c>
      <c r="CQ2487" s="1" t="s">
        <v>210</v>
      </c>
      <c r="CS2487" s="1" t="s">
        <v>1892</v>
      </c>
      <c r="CT2487" s="1" t="s">
        <v>206</v>
      </c>
      <c r="CU2487" s="1" t="s">
        <v>207</v>
      </c>
      <c r="CW2487" s="1" t="s">
        <v>434</v>
      </c>
      <c r="CX2487" s="1" t="s">
        <v>206</v>
      </c>
      <c r="CY2487" s="1" t="s">
        <v>207</v>
      </c>
      <c r="DA2487" s="1" t="s">
        <v>200</v>
      </c>
      <c r="DC2487" s="1" t="s">
        <v>481</v>
      </c>
      <c r="DD2487" s="1" t="s">
        <v>786</v>
      </c>
      <c r="DE2487" s="1" t="s">
        <v>273</v>
      </c>
      <c r="DF2487" s="1" t="s">
        <v>219</v>
      </c>
      <c r="DG2487" s="1" t="s">
        <v>482</v>
      </c>
      <c r="DH2487" s="1" t="s">
        <v>220</v>
      </c>
      <c r="DI2487" s="1" t="s">
        <v>366</v>
      </c>
      <c r="DJ2487" s="1" t="s">
        <v>222</v>
      </c>
      <c r="DL2487" s="1" t="s">
        <v>224</v>
      </c>
      <c r="DM2487" s="1" t="s">
        <v>338</v>
      </c>
      <c r="DN2487" s="1" t="s">
        <v>485</v>
      </c>
      <c r="DP2487" s="1" t="s">
        <v>340</v>
      </c>
      <c r="DQ2487" s="1" t="s">
        <v>441</v>
      </c>
      <c r="DR2487" s="1" t="s">
        <v>229</v>
      </c>
      <c r="DS2487" s="1" t="s">
        <v>591</v>
      </c>
      <c r="DU2487" s="1" t="s">
        <v>22573</v>
      </c>
      <c r="DV2487" s="1" t="s">
        <v>22574</v>
      </c>
      <c r="DW2487" s="1" t="s">
        <v>444</v>
      </c>
      <c r="DX2487" s="1" t="s">
        <v>234</v>
      </c>
      <c r="DY2487" s="1" t="s">
        <v>1936</v>
      </c>
      <c r="DZ2487" s="1" t="s">
        <v>2424</v>
      </c>
      <c r="EA2487" s="1" t="s">
        <v>1027</v>
      </c>
      <c r="EB2487" s="1" t="s">
        <v>345</v>
      </c>
      <c r="EC2487" s="1" t="s">
        <v>237</v>
      </c>
      <c r="ED2487" s="1" t="s">
        <v>407</v>
      </c>
      <c r="EE2487" s="1" t="s">
        <v>493</v>
      </c>
      <c r="EG2487" s="1" t="s">
        <v>408</v>
      </c>
      <c r="EH2487" s="1" t="s">
        <v>598</v>
      </c>
      <c r="EI2487" s="1" t="s">
        <v>1121</v>
      </c>
      <c r="EJ2487" s="1" t="s">
        <v>450</v>
      </c>
      <c r="EK2487" s="1" t="s">
        <v>1467</v>
      </c>
      <c r="EL2487" s="1" t="s">
        <v>4413</v>
      </c>
      <c r="EM2487" s="1" t="s">
        <v>206</v>
      </c>
      <c r="EN2487" s="1" t="s">
        <v>207</v>
      </c>
      <c r="EP2487" s="1" t="s">
        <v>303</v>
      </c>
      <c r="EQ2487" s="1" t="s">
        <v>206</v>
      </c>
      <c r="ER2487" s="1" t="s">
        <v>207</v>
      </c>
      <c r="ET2487" s="1" t="s">
        <v>303</v>
      </c>
      <c r="EU2487" s="1" t="s">
        <v>209</v>
      </c>
      <c r="EV2487" s="1" t="s">
        <v>210</v>
      </c>
      <c r="EX2487" s="1" t="s">
        <v>1395</v>
      </c>
      <c r="EY2487" s="1" t="s">
        <v>42</v>
      </c>
      <c r="EZ2487" s="1" t="s">
        <v>210</v>
      </c>
      <c r="FB2487" s="1" t="s">
        <v>392</v>
      </c>
      <c r="FC2487" s="1" t="s">
        <v>42</v>
      </c>
      <c r="FD2487" s="1" t="s">
        <v>210</v>
      </c>
      <c r="FF2487" s="1" t="s">
        <v>239</v>
      </c>
      <c r="FG2487" s="1" t="s">
        <v>192</v>
      </c>
      <c r="FH2487" s="1" t="s">
        <v>192</v>
      </c>
      <c r="FJ2487" s="1" t="s">
        <v>2206</v>
      </c>
      <c r="FK2487" s="1" t="s">
        <v>229</v>
      </c>
      <c r="FL2487" s="1" t="s">
        <v>20788</v>
      </c>
      <c r="FM2487" s="1">
        <v>5115.0</v>
      </c>
      <c r="FN2487" s="1" t="s">
        <v>20789</v>
      </c>
      <c r="FO2487" s="1" t="s">
        <v>20790</v>
      </c>
      <c r="FP2487" s="1">
        <v>53605.0</v>
      </c>
      <c r="FQ2487" s="1" t="s">
        <v>20791</v>
      </c>
      <c r="FS2487" s="1" t="s">
        <v>10892</v>
      </c>
      <c r="FU2487" s="1" t="s">
        <v>22575</v>
      </c>
      <c r="FV2487" s="1" t="s">
        <v>200</v>
      </c>
      <c r="FW2487" s="1" t="s">
        <v>1293</v>
      </c>
      <c r="FZ2487" s="1" t="s">
        <v>229</v>
      </c>
      <c r="GA2487" s="1" t="s">
        <v>291</v>
      </c>
      <c r="GB2487" s="2">
        <v>42124.0</v>
      </c>
      <c r="GC2487" s="1" t="s">
        <v>22576</v>
      </c>
    </row>
    <row r="2488">
      <c r="A2488" s="1">
        <v>135000.0</v>
      </c>
      <c r="B2488" s="1" t="s">
        <v>185</v>
      </c>
      <c r="C2488" s="1" t="str">
        <f>"08818365"</f>
        <v>08818365</v>
      </c>
      <c r="D2488" s="1" t="s">
        <v>186</v>
      </c>
      <c r="F2488" s="1" t="str">
        <f>"8070"</f>
        <v>8070</v>
      </c>
      <c r="G2488" s="2">
        <v>42020.0</v>
      </c>
      <c r="H2488" s="1">
        <v>144900.0</v>
      </c>
      <c r="I2488" s="1">
        <v>20.0</v>
      </c>
      <c r="J2488" s="1">
        <v>144900.0</v>
      </c>
      <c r="K2488" s="2">
        <v>42038.0</v>
      </c>
      <c r="L2488" s="1">
        <v>20.0</v>
      </c>
      <c r="M2488" s="2">
        <v>42038.0</v>
      </c>
      <c r="N2488" s="1" t="s">
        <v>356</v>
      </c>
      <c r="O2488" s="2">
        <v>42145.0</v>
      </c>
      <c r="P2488" s="1">
        <v>161998.0</v>
      </c>
      <c r="Q2488" s="1">
        <v>84818.0</v>
      </c>
      <c r="R2488" s="1">
        <v>3.0</v>
      </c>
      <c r="S2488" s="1">
        <v>3635.0</v>
      </c>
      <c r="T2488" s="1" t="s">
        <v>12339</v>
      </c>
      <c r="U2488" s="1" t="s">
        <v>320</v>
      </c>
      <c r="V2488" s="1" t="s">
        <v>190</v>
      </c>
      <c r="W2488" s="1">
        <v>60652.0</v>
      </c>
      <c r="Y2488" s="1" t="s">
        <v>22577</v>
      </c>
      <c r="Z2488" s="1">
        <v>1946.0</v>
      </c>
      <c r="AA2488" s="1" t="s">
        <v>192</v>
      </c>
      <c r="AB2488" s="1" t="s">
        <v>193</v>
      </c>
      <c r="AD2488" s="1" t="s">
        <v>194</v>
      </c>
      <c r="AE2488" s="1" t="s">
        <v>195</v>
      </c>
      <c r="AF2488" s="1" t="s">
        <v>659</v>
      </c>
      <c r="AH2488" s="1">
        <v>5292.0</v>
      </c>
      <c r="AI2488" s="1">
        <v>0.1215</v>
      </c>
      <c r="AK2488" s="1">
        <v>7.0</v>
      </c>
      <c r="AL2488" s="1">
        <v>4.0</v>
      </c>
      <c r="AM2488" s="1">
        <v>1.0</v>
      </c>
      <c r="AN2488" s="1">
        <v>1.0</v>
      </c>
      <c r="AO2488" s="1" t="s">
        <v>229</v>
      </c>
      <c r="AQ2488" s="1" t="s">
        <v>198</v>
      </c>
      <c r="AR2488" s="1" t="s">
        <v>200</v>
      </c>
      <c r="AS2488" s="1" t="s">
        <v>199</v>
      </c>
      <c r="AT2488" s="1">
        <v>2.0</v>
      </c>
      <c r="AV2488" s="1" t="s">
        <v>200</v>
      </c>
      <c r="AW2488" s="4">
        <v>1632.81</v>
      </c>
      <c r="AX2488" s="1">
        <v>2013.0</v>
      </c>
      <c r="AY2488" s="1" t="s">
        <v>387</v>
      </c>
      <c r="AZ2488" s="1" t="s">
        <v>200</v>
      </c>
      <c r="BA2488" s="1" t="str">
        <f>"19353340480000"</f>
        <v>19353340480000</v>
      </c>
      <c r="BC2488" s="1">
        <v>1100.0</v>
      </c>
      <c r="BD2488" s="1">
        <v>135000.0</v>
      </c>
      <c r="BE2488" s="2">
        <v>42019.0</v>
      </c>
      <c r="BF2488" s="1" t="s">
        <v>22578</v>
      </c>
      <c r="BH2488" s="1">
        <v>0.0</v>
      </c>
      <c r="BK2488" s="1" t="s">
        <v>204</v>
      </c>
      <c r="BL2488" s="1" t="str">
        <f t="shared" ref="BL2488:BM2488" si="1620">"0"</f>
        <v>0</v>
      </c>
      <c r="BM2488" s="1" t="str">
        <f t="shared" si="1620"/>
        <v>0</v>
      </c>
      <c r="BN2488" s="1">
        <v>7000.0</v>
      </c>
      <c r="BO2488" s="1">
        <v>8000.0</v>
      </c>
      <c r="BQ2488" s="1">
        <v>299.0</v>
      </c>
      <c r="BR2488" s="1">
        <v>299.0</v>
      </c>
      <c r="BS2488" s="1">
        <v>299.0</v>
      </c>
      <c r="BU2488" s="1" t="s">
        <v>205</v>
      </c>
      <c r="BV2488" s="1" t="s">
        <v>206</v>
      </c>
      <c r="BY2488" s="1" t="s">
        <v>4045</v>
      </c>
      <c r="BZ2488" s="1" t="s">
        <v>209</v>
      </c>
      <c r="CC2488" s="1" t="s">
        <v>647</v>
      </c>
      <c r="CD2488" s="1" t="s">
        <v>206</v>
      </c>
      <c r="CE2488" s="1" t="s">
        <v>207</v>
      </c>
      <c r="CG2488" s="1" t="s">
        <v>3508</v>
      </c>
      <c r="CH2488" s="1" t="s">
        <v>209</v>
      </c>
      <c r="CK2488" s="1" t="s">
        <v>1351</v>
      </c>
      <c r="CL2488" s="1" t="s">
        <v>206</v>
      </c>
      <c r="CO2488" s="1" t="s">
        <v>269</v>
      </c>
      <c r="CP2488" s="1" t="s">
        <v>206</v>
      </c>
      <c r="CS2488" s="1" t="s">
        <v>2425</v>
      </c>
      <c r="CT2488" s="1" t="s">
        <v>206</v>
      </c>
      <c r="CU2488" s="1" t="s">
        <v>207</v>
      </c>
      <c r="CX2488" s="1" t="s">
        <v>204</v>
      </c>
      <c r="DA2488" s="1" t="s">
        <v>200</v>
      </c>
      <c r="DC2488" s="1" t="s">
        <v>702</v>
      </c>
      <c r="DE2488" s="1" t="s">
        <v>2851</v>
      </c>
      <c r="DF2488" s="1" t="s">
        <v>219</v>
      </c>
      <c r="DH2488" s="1" t="s">
        <v>220</v>
      </c>
      <c r="DJ2488" s="1" t="s">
        <v>222</v>
      </c>
      <c r="DL2488" s="1" t="s">
        <v>223</v>
      </c>
      <c r="DM2488" s="1" t="s">
        <v>229</v>
      </c>
      <c r="DQ2488" s="1" t="s">
        <v>228</v>
      </c>
      <c r="DR2488" s="1" t="s">
        <v>229</v>
      </c>
      <c r="DV2488" s="1" t="s">
        <v>232</v>
      </c>
      <c r="DW2488" s="1" t="s">
        <v>22579</v>
      </c>
      <c r="DX2488" s="1" t="s">
        <v>234</v>
      </c>
      <c r="EA2488" s="1" t="s">
        <v>1075</v>
      </c>
      <c r="EC2488" s="1" t="s">
        <v>645</v>
      </c>
      <c r="EM2488" s="1" t="s">
        <v>238</v>
      </c>
      <c r="EQ2488" s="1" t="s">
        <v>238</v>
      </c>
      <c r="EU2488" s="1" t="s">
        <v>238</v>
      </c>
      <c r="EY2488" s="1" t="s">
        <v>238</v>
      </c>
      <c r="FC2488" s="1" t="s">
        <v>238</v>
      </c>
      <c r="FF2488" s="1" t="s">
        <v>239</v>
      </c>
      <c r="FG2488" s="1" t="s">
        <v>192</v>
      </c>
      <c r="FH2488" s="1" t="s">
        <v>192</v>
      </c>
      <c r="FJ2488" s="1" t="s">
        <v>3357</v>
      </c>
      <c r="FK2488" s="1" t="s">
        <v>229</v>
      </c>
      <c r="FL2488" s="1" t="s">
        <v>3358</v>
      </c>
      <c r="FM2488" s="1">
        <v>84818.0</v>
      </c>
      <c r="FN2488" s="1" t="s">
        <v>3359</v>
      </c>
      <c r="FO2488" s="1" t="s">
        <v>3360</v>
      </c>
      <c r="FP2488" s="1">
        <v>161998.0</v>
      </c>
      <c r="FU2488" s="1" t="s">
        <v>12343</v>
      </c>
      <c r="FV2488" s="1" t="s">
        <v>200</v>
      </c>
      <c r="FW2488" s="1" t="s">
        <v>290</v>
      </c>
      <c r="FX2488" s="1" t="s">
        <v>246</v>
      </c>
      <c r="FZ2488" s="1" t="s">
        <v>229</v>
      </c>
      <c r="GA2488" s="1" t="s">
        <v>291</v>
      </c>
      <c r="GB2488" s="2">
        <v>42150.0</v>
      </c>
      <c r="GC2488" s="1" t="s">
        <v>22580</v>
      </c>
    </row>
    <row r="2489">
      <c r="A2489" s="1">
        <v>49200.0</v>
      </c>
      <c r="B2489" s="1" t="s">
        <v>185</v>
      </c>
      <c r="C2489" s="1" t="str">
        <f>"08822035"</f>
        <v>08822035</v>
      </c>
      <c r="D2489" s="1" t="s">
        <v>186</v>
      </c>
      <c r="F2489" s="1" t="str">
        <f>"8061"</f>
        <v>8061</v>
      </c>
      <c r="G2489" s="2">
        <v>42026.0</v>
      </c>
      <c r="H2489" s="1">
        <v>39000.0</v>
      </c>
      <c r="I2489" s="1">
        <v>8.0</v>
      </c>
      <c r="J2489" s="1">
        <v>39000.0</v>
      </c>
      <c r="K2489" s="2">
        <v>42033.0</v>
      </c>
      <c r="L2489" s="1">
        <v>8.0</v>
      </c>
      <c r="M2489" s="2">
        <v>42033.0</v>
      </c>
      <c r="N2489" s="1" t="s">
        <v>249</v>
      </c>
      <c r="O2489" s="2">
        <v>42067.0</v>
      </c>
      <c r="P2489" s="1">
        <v>167287.0</v>
      </c>
      <c r="Q2489" s="1">
        <v>85213.0</v>
      </c>
      <c r="S2489" s="1">
        <v>2150.0</v>
      </c>
      <c r="T2489" s="1" t="s">
        <v>22581</v>
      </c>
      <c r="U2489" s="1" t="s">
        <v>694</v>
      </c>
      <c r="V2489" s="1" t="s">
        <v>190</v>
      </c>
      <c r="W2489" s="1">
        <v>60609.0</v>
      </c>
      <c r="Y2489" s="1" t="s">
        <v>22582</v>
      </c>
      <c r="Z2489" s="1">
        <v>1911.0</v>
      </c>
      <c r="AA2489" s="1" t="s">
        <v>192</v>
      </c>
      <c r="AB2489" s="1" t="s">
        <v>193</v>
      </c>
      <c r="AD2489" s="1" t="s">
        <v>194</v>
      </c>
      <c r="AE2489" s="1" t="s">
        <v>195</v>
      </c>
      <c r="AF2489" s="1" t="s">
        <v>1154</v>
      </c>
      <c r="AH2489" s="1">
        <v>3000.0</v>
      </c>
      <c r="AK2489" s="1">
        <v>7.0</v>
      </c>
      <c r="AL2489" s="1">
        <v>4.0</v>
      </c>
      <c r="AM2489" s="1">
        <v>2.0</v>
      </c>
      <c r="AN2489" s="1">
        <v>0.0</v>
      </c>
      <c r="AO2489" s="1" t="s">
        <v>229</v>
      </c>
      <c r="AQ2489" s="1" t="s">
        <v>198</v>
      </c>
      <c r="AR2489" s="1" t="s">
        <v>200</v>
      </c>
      <c r="AS2489" s="1" t="s">
        <v>199</v>
      </c>
      <c r="AT2489" s="1">
        <v>1.0</v>
      </c>
      <c r="AV2489" s="1" t="s">
        <v>200</v>
      </c>
      <c r="AW2489" s="1">
        <v>1221.48</v>
      </c>
      <c r="AX2489" s="1">
        <v>2013.0</v>
      </c>
      <c r="AZ2489" s="1" t="s">
        <v>545</v>
      </c>
      <c r="BA2489" s="1" t="str">
        <f>"20071210240000"</f>
        <v>20071210240000</v>
      </c>
      <c r="BC2489" s="1">
        <v>940.0</v>
      </c>
      <c r="BD2489" s="1">
        <v>49200.0</v>
      </c>
      <c r="BE2489" s="2">
        <v>42026.0</v>
      </c>
      <c r="BF2489" s="2" t="s">
        <v>22583</v>
      </c>
      <c r="BH2489" s="1">
        <v>0.0</v>
      </c>
      <c r="BK2489" s="1" t="s">
        <v>204</v>
      </c>
      <c r="BL2489" s="1" t="str">
        <f t="shared" ref="BL2489:BM2489" si="1621">"0"</f>
        <v>0</v>
      </c>
      <c r="BM2489" s="1" t="str">
        <f t="shared" si="1621"/>
        <v>0</v>
      </c>
      <c r="BN2489" s="1">
        <v>2150.0</v>
      </c>
      <c r="BO2489" s="1">
        <v>5000.0</v>
      </c>
      <c r="BQ2489" s="1">
        <v>299.0</v>
      </c>
      <c r="BR2489" s="1">
        <v>299.0</v>
      </c>
      <c r="BS2489" s="1">
        <v>299.0</v>
      </c>
      <c r="BU2489" s="1" t="s">
        <v>300</v>
      </c>
      <c r="BV2489" s="1" t="s">
        <v>206</v>
      </c>
      <c r="BY2489" s="1" t="s">
        <v>663</v>
      </c>
      <c r="BZ2489" s="1" t="s">
        <v>206</v>
      </c>
      <c r="CC2489" s="1" t="s">
        <v>300</v>
      </c>
      <c r="CD2489" s="1" t="s">
        <v>206</v>
      </c>
      <c r="CG2489" s="1" t="s">
        <v>269</v>
      </c>
      <c r="CH2489" s="1" t="s">
        <v>206</v>
      </c>
      <c r="CK2489" s="1" t="s">
        <v>269</v>
      </c>
      <c r="CL2489" s="1" t="s">
        <v>206</v>
      </c>
      <c r="CO2489" s="1" t="s">
        <v>269</v>
      </c>
      <c r="CP2489" s="1" t="s">
        <v>209</v>
      </c>
      <c r="CS2489" s="1" t="s">
        <v>393</v>
      </c>
      <c r="CT2489" s="1" t="s">
        <v>206</v>
      </c>
      <c r="CX2489" s="1" t="s">
        <v>204</v>
      </c>
      <c r="DA2489" s="1" t="s">
        <v>200</v>
      </c>
      <c r="DC2489" s="1" t="s">
        <v>642</v>
      </c>
      <c r="DE2489" s="1" t="s">
        <v>229</v>
      </c>
      <c r="DF2489" s="1" t="s">
        <v>219</v>
      </c>
      <c r="DH2489" s="1" t="s">
        <v>220</v>
      </c>
      <c r="DJ2489" s="1" t="s">
        <v>222</v>
      </c>
      <c r="DL2489" s="1" t="s">
        <v>223</v>
      </c>
      <c r="DM2489" s="1" t="s">
        <v>338</v>
      </c>
      <c r="DQ2489" s="1" t="s">
        <v>228</v>
      </c>
      <c r="DR2489" s="1" t="s">
        <v>229</v>
      </c>
      <c r="DV2489" s="1" t="s">
        <v>232</v>
      </c>
      <c r="DW2489" s="1" t="s">
        <v>832</v>
      </c>
      <c r="DX2489" s="1" t="s">
        <v>234</v>
      </c>
      <c r="EA2489" s="1" t="s">
        <v>3577</v>
      </c>
      <c r="EC2489" s="1" t="s">
        <v>645</v>
      </c>
      <c r="EM2489" s="1" t="s">
        <v>238</v>
      </c>
      <c r="EQ2489" s="1" t="s">
        <v>238</v>
      </c>
      <c r="EU2489" s="1" t="s">
        <v>238</v>
      </c>
      <c r="EY2489" s="1" t="s">
        <v>238</v>
      </c>
      <c r="FC2489" s="1" t="s">
        <v>238</v>
      </c>
      <c r="FF2489" s="1" t="s">
        <v>239</v>
      </c>
      <c r="FG2489" s="1" t="s">
        <v>192</v>
      </c>
      <c r="FH2489" s="1" t="s">
        <v>192</v>
      </c>
      <c r="FJ2489" s="1" t="s">
        <v>624</v>
      </c>
      <c r="FK2489" s="1" t="s">
        <v>229</v>
      </c>
      <c r="FL2489" s="1" t="s">
        <v>11622</v>
      </c>
      <c r="FM2489" s="1">
        <v>16339.0</v>
      </c>
      <c r="FN2489" s="1" t="s">
        <v>11623</v>
      </c>
      <c r="FO2489" s="1" t="s">
        <v>11624</v>
      </c>
      <c r="FP2489" s="1">
        <v>106496.0</v>
      </c>
      <c r="FR2489" s="1">
        <v>165879.0</v>
      </c>
      <c r="FU2489" s="1" t="s">
        <v>15607</v>
      </c>
      <c r="FV2489" s="1" t="s">
        <v>200</v>
      </c>
      <c r="FW2489" s="1" t="s">
        <v>567</v>
      </c>
      <c r="FX2489" s="1" t="s">
        <v>246</v>
      </c>
      <c r="FZ2489" s="1" t="s">
        <v>229</v>
      </c>
      <c r="GA2489" s="1" t="s">
        <v>291</v>
      </c>
      <c r="GB2489" s="2">
        <v>42068.0</v>
      </c>
      <c r="GC2489" s="1" t="s">
        <v>22584</v>
      </c>
    </row>
    <row r="2490">
      <c r="A2490" s="1">
        <v>295000.0</v>
      </c>
      <c r="B2490" s="1" t="s">
        <v>185</v>
      </c>
      <c r="C2490" s="1" t="str">
        <f>"08819206"</f>
        <v>08819206</v>
      </c>
      <c r="D2490" s="1" t="s">
        <v>186</v>
      </c>
      <c r="F2490" s="1" t="str">
        <f>"134"</f>
        <v>134</v>
      </c>
      <c r="G2490" s="2">
        <v>42023.0</v>
      </c>
      <c r="H2490" s="1">
        <v>314900.0</v>
      </c>
      <c r="I2490" s="1">
        <v>286.0</v>
      </c>
      <c r="J2490" s="1">
        <v>314900.0</v>
      </c>
      <c r="K2490" s="2">
        <v>42059.0</v>
      </c>
      <c r="L2490" s="1">
        <v>37.0</v>
      </c>
      <c r="M2490" s="2">
        <v>42059.0</v>
      </c>
      <c r="N2490" s="1" t="s">
        <v>187</v>
      </c>
      <c r="O2490" s="2">
        <v>42124.0</v>
      </c>
      <c r="P2490" s="1">
        <v>607.0</v>
      </c>
      <c r="Q2490" s="1">
        <v>30.0</v>
      </c>
      <c r="S2490" s="1">
        <v>410.0</v>
      </c>
      <c r="T2490" s="1" t="s">
        <v>22585</v>
      </c>
      <c r="U2490" s="1" t="s">
        <v>189</v>
      </c>
      <c r="V2490" s="1" t="s">
        <v>421</v>
      </c>
      <c r="W2490" s="1">
        <v>60134.0</v>
      </c>
      <c r="Y2490" s="1" t="s">
        <v>22586</v>
      </c>
      <c r="Z2490" s="1">
        <v>1999.0</v>
      </c>
      <c r="AA2490" s="1" t="s">
        <v>200</v>
      </c>
      <c r="AB2490" s="1" t="s">
        <v>193</v>
      </c>
      <c r="AD2490" s="1" t="s">
        <v>424</v>
      </c>
      <c r="AE2490" s="1" t="s">
        <v>325</v>
      </c>
      <c r="AF2490" s="1" t="s">
        <v>424</v>
      </c>
      <c r="AH2490" s="1" t="s">
        <v>22587</v>
      </c>
      <c r="AK2490" s="1">
        <v>9.0</v>
      </c>
      <c r="AL2490" s="1">
        <v>4.0</v>
      </c>
      <c r="AM2490" s="1">
        <v>3.0</v>
      </c>
      <c r="AN2490" s="1">
        <v>0.0</v>
      </c>
      <c r="AO2490" s="1" t="s">
        <v>198</v>
      </c>
      <c r="AQ2490" s="1" t="s">
        <v>198</v>
      </c>
      <c r="AR2490" s="1" t="s">
        <v>200</v>
      </c>
      <c r="AS2490" s="1" t="s">
        <v>199</v>
      </c>
      <c r="AT2490" s="1">
        <v>2.0</v>
      </c>
      <c r="AV2490" s="1" t="s">
        <v>200</v>
      </c>
      <c r="AW2490" s="1">
        <v>9820.74</v>
      </c>
      <c r="AX2490" s="1">
        <v>2013.0</v>
      </c>
      <c r="AY2490" s="1" t="s">
        <v>387</v>
      </c>
      <c r="AZ2490" s="1" t="s">
        <v>200</v>
      </c>
      <c r="BA2490" s="1" t="str">
        <f>"1203152022"</f>
        <v>1203152022</v>
      </c>
      <c r="BB2490" s="1" t="s">
        <v>200</v>
      </c>
      <c r="BC2490" s="1">
        <v>2239.0</v>
      </c>
      <c r="BD2490" s="1">
        <v>295000.0</v>
      </c>
      <c r="BE2490" s="2">
        <v>42023.0</v>
      </c>
      <c r="BF2490" s="2" t="s">
        <v>22588</v>
      </c>
      <c r="BH2490" s="1">
        <v>0.0</v>
      </c>
      <c r="BK2490" s="1" t="s">
        <v>204</v>
      </c>
      <c r="BL2490" s="1" t="str">
        <f>"1"</f>
        <v>1</v>
      </c>
      <c r="BM2490" s="1" t="str">
        <f>"0"</f>
        <v>0</v>
      </c>
      <c r="BN2490" s="1">
        <v>36.0</v>
      </c>
      <c r="BO2490" s="1">
        <v>0.0</v>
      </c>
      <c r="BQ2490" s="1">
        <v>304.0</v>
      </c>
      <c r="BR2490" s="1">
        <v>304.0</v>
      </c>
      <c r="BS2490" s="1">
        <v>304.0</v>
      </c>
      <c r="BU2490" s="1" t="s">
        <v>677</v>
      </c>
      <c r="BV2490" s="1" t="s">
        <v>206</v>
      </c>
      <c r="BW2490" s="1" t="s">
        <v>207</v>
      </c>
      <c r="BX2490" s="1" t="s">
        <v>261</v>
      </c>
      <c r="BY2490" s="1" t="s">
        <v>830</v>
      </c>
      <c r="BZ2490" s="1" t="s">
        <v>209</v>
      </c>
      <c r="CA2490" s="1" t="s">
        <v>210</v>
      </c>
      <c r="CB2490" s="1" t="s">
        <v>431</v>
      </c>
      <c r="CC2490" s="1" t="s">
        <v>1064</v>
      </c>
      <c r="CD2490" s="1" t="s">
        <v>206</v>
      </c>
      <c r="CE2490" s="1" t="s">
        <v>207</v>
      </c>
      <c r="CF2490" s="1" t="s">
        <v>431</v>
      </c>
      <c r="CG2490" s="1" t="s">
        <v>478</v>
      </c>
      <c r="CH2490" s="1" t="s">
        <v>209</v>
      </c>
      <c r="CI2490" s="1" t="s">
        <v>210</v>
      </c>
      <c r="CJ2490" s="1" t="s">
        <v>431</v>
      </c>
      <c r="CK2490" s="1" t="s">
        <v>1417</v>
      </c>
      <c r="CL2490" s="1" t="s">
        <v>209</v>
      </c>
      <c r="CM2490" s="1" t="s">
        <v>210</v>
      </c>
      <c r="CN2490" s="1" t="s">
        <v>431</v>
      </c>
      <c r="CO2490" s="1" t="s">
        <v>1329</v>
      </c>
      <c r="CP2490" s="1" t="s">
        <v>209</v>
      </c>
      <c r="CQ2490" s="1" t="s">
        <v>210</v>
      </c>
      <c r="CR2490" s="1" t="s">
        <v>1118</v>
      </c>
      <c r="CS2490" s="1" t="s">
        <v>2923</v>
      </c>
      <c r="CT2490" s="1" t="s">
        <v>206</v>
      </c>
      <c r="CU2490" s="1" t="s">
        <v>617</v>
      </c>
      <c r="CV2490" s="1" t="s">
        <v>431</v>
      </c>
      <c r="CW2490" s="1" t="s">
        <v>4919</v>
      </c>
      <c r="CX2490" s="1" t="s">
        <v>42</v>
      </c>
      <c r="CY2490" s="1" t="s">
        <v>210</v>
      </c>
      <c r="CZ2490" s="1" t="s">
        <v>229</v>
      </c>
      <c r="DA2490" s="1" t="s">
        <v>200</v>
      </c>
      <c r="DC2490" s="1" t="s">
        <v>678</v>
      </c>
      <c r="DD2490" s="1" t="s">
        <v>926</v>
      </c>
      <c r="DE2490" s="1" t="s">
        <v>1810</v>
      </c>
      <c r="DF2490" s="1" t="s">
        <v>12317</v>
      </c>
      <c r="DG2490" s="1" t="s">
        <v>7166</v>
      </c>
      <c r="DH2490" s="1" t="s">
        <v>220</v>
      </c>
      <c r="DI2490" s="1" t="s">
        <v>221</v>
      </c>
      <c r="DJ2490" s="1" t="s">
        <v>1048</v>
      </c>
      <c r="DK2490" s="1" t="s">
        <v>223</v>
      </c>
      <c r="DL2490" s="1" t="s">
        <v>224</v>
      </c>
      <c r="DM2490" s="1" t="s">
        <v>338</v>
      </c>
      <c r="DN2490" s="1" t="s">
        <v>399</v>
      </c>
      <c r="DO2490" s="1" t="s">
        <v>22311</v>
      </c>
      <c r="DP2490" s="1" t="s">
        <v>340</v>
      </c>
      <c r="DQ2490" s="1" t="s">
        <v>441</v>
      </c>
      <c r="DR2490" s="1" t="s">
        <v>229</v>
      </c>
      <c r="DS2490" s="1" t="s">
        <v>591</v>
      </c>
      <c r="DU2490" s="1" t="s">
        <v>22589</v>
      </c>
      <c r="DV2490" s="1" t="s">
        <v>22590</v>
      </c>
      <c r="DW2490" s="1" t="s">
        <v>370</v>
      </c>
      <c r="DX2490" s="1" t="s">
        <v>234</v>
      </c>
      <c r="DY2490" s="1" t="s">
        <v>14725</v>
      </c>
      <c r="DZ2490" s="1" t="s">
        <v>446</v>
      </c>
      <c r="EA2490" s="1" t="s">
        <v>1075</v>
      </c>
      <c r="EC2490" s="1" t="s">
        <v>237</v>
      </c>
      <c r="ED2490" s="1" t="s">
        <v>407</v>
      </c>
      <c r="EG2490" s="1" t="s">
        <v>1432</v>
      </c>
      <c r="EH2490" s="1" t="s">
        <v>1103</v>
      </c>
      <c r="EL2490" s="1" t="s">
        <v>830</v>
      </c>
      <c r="EM2490" s="1" t="s">
        <v>42</v>
      </c>
      <c r="EN2490" s="1" t="s">
        <v>301</v>
      </c>
      <c r="EO2490" s="1" t="s">
        <v>229</v>
      </c>
      <c r="EP2490" s="1" t="s">
        <v>1190</v>
      </c>
      <c r="EQ2490" s="1" t="s">
        <v>42</v>
      </c>
      <c r="ER2490" s="1" t="s">
        <v>588</v>
      </c>
      <c r="ES2490" s="1" t="s">
        <v>229</v>
      </c>
      <c r="EU2490" s="1" t="s">
        <v>238</v>
      </c>
      <c r="EY2490" s="1" t="s">
        <v>238</v>
      </c>
      <c r="FC2490" s="1" t="s">
        <v>238</v>
      </c>
      <c r="FF2490" s="1" t="s">
        <v>239</v>
      </c>
      <c r="FG2490" s="1" t="s">
        <v>192</v>
      </c>
      <c r="FH2490" s="1" t="s">
        <v>192</v>
      </c>
      <c r="FJ2490" s="1" t="s">
        <v>2552</v>
      </c>
      <c r="FK2490" s="1" t="s">
        <v>229</v>
      </c>
      <c r="FL2490" s="1" t="s">
        <v>22591</v>
      </c>
      <c r="FM2490" s="1">
        <v>256.0</v>
      </c>
      <c r="FN2490" s="1" t="s">
        <v>22592</v>
      </c>
      <c r="FO2490" s="1" t="s">
        <v>22593</v>
      </c>
      <c r="FP2490" s="1">
        <v>1629.0</v>
      </c>
      <c r="FQ2490" s="1" t="s">
        <v>22594</v>
      </c>
      <c r="FS2490" s="1" t="s">
        <v>22595</v>
      </c>
      <c r="FU2490" s="1" t="s">
        <v>22596</v>
      </c>
      <c r="FV2490" s="1" t="s">
        <v>200</v>
      </c>
      <c r="FW2490" s="1" t="s">
        <v>22597</v>
      </c>
      <c r="FZ2490" s="1" t="s">
        <v>229</v>
      </c>
      <c r="GA2490" s="1" t="s">
        <v>291</v>
      </c>
      <c r="GB2490" s="2">
        <v>42124.0</v>
      </c>
      <c r="GC2490" s="1" t="s">
        <v>22598</v>
      </c>
    </row>
    <row r="2491">
      <c r="A2491" s="1">
        <v>182000.0</v>
      </c>
      <c r="B2491" s="1" t="s">
        <v>185</v>
      </c>
      <c r="C2491" s="1" t="str">
        <f>"08821439"</f>
        <v>08821439</v>
      </c>
      <c r="D2491" s="1" t="s">
        <v>186</v>
      </c>
      <c r="F2491" s="1" t="str">
        <f>"8044"</f>
        <v>8044</v>
      </c>
      <c r="G2491" s="2">
        <v>42025.0</v>
      </c>
      <c r="H2491" s="1">
        <v>189900.0</v>
      </c>
      <c r="I2491" s="1">
        <v>48.0</v>
      </c>
      <c r="J2491" s="1">
        <v>189900.0</v>
      </c>
      <c r="K2491" s="2">
        <v>42072.0</v>
      </c>
      <c r="L2491" s="1">
        <v>48.0</v>
      </c>
      <c r="M2491" s="2">
        <v>42072.0</v>
      </c>
      <c r="N2491" s="1" t="s">
        <v>634</v>
      </c>
      <c r="O2491" s="2">
        <v>42130.0</v>
      </c>
      <c r="P2491" s="1">
        <v>878904.0</v>
      </c>
      <c r="Q2491" s="1">
        <v>84082.0</v>
      </c>
      <c r="R2491" s="1">
        <v>2.0</v>
      </c>
      <c r="S2491" s="1">
        <v>8115.0</v>
      </c>
      <c r="T2491" s="1" t="s">
        <v>3384</v>
      </c>
      <c r="U2491" s="1" t="s">
        <v>189</v>
      </c>
      <c r="V2491" s="1" t="s">
        <v>190</v>
      </c>
      <c r="W2491" s="1">
        <v>60620.0</v>
      </c>
      <c r="Y2491" s="1" t="s">
        <v>22599</v>
      </c>
      <c r="Z2491" s="1">
        <v>1925.0</v>
      </c>
      <c r="AA2491" s="1" t="s">
        <v>192</v>
      </c>
      <c r="AB2491" s="1" t="s">
        <v>193</v>
      </c>
      <c r="AD2491" s="1" t="s">
        <v>194</v>
      </c>
      <c r="AE2491" s="1" t="s">
        <v>195</v>
      </c>
      <c r="AF2491" s="1" t="s">
        <v>659</v>
      </c>
      <c r="AH2491" s="1">
        <v>3720.0</v>
      </c>
      <c r="AI2491" s="1">
        <v>0.0854</v>
      </c>
      <c r="AK2491" s="1">
        <v>9.0</v>
      </c>
      <c r="AL2491" s="1">
        <v>4.0</v>
      </c>
      <c r="AM2491" s="1">
        <v>3.0</v>
      </c>
      <c r="AN2491" s="1">
        <v>0.0</v>
      </c>
      <c r="AO2491" s="1" t="s">
        <v>229</v>
      </c>
      <c r="AQ2491" s="1" t="s">
        <v>198</v>
      </c>
      <c r="AR2491" s="1" t="s">
        <v>192</v>
      </c>
      <c r="AS2491" s="1" t="s">
        <v>199</v>
      </c>
      <c r="AT2491" s="1">
        <v>2.0</v>
      </c>
      <c r="AV2491" s="1" t="s">
        <v>200</v>
      </c>
      <c r="AW2491" s="1">
        <v>1760.81</v>
      </c>
      <c r="AX2491" s="1">
        <v>2013.0</v>
      </c>
      <c r="AY2491" s="1" t="s">
        <v>229</v>
      </c>
      <c r="AZ2491" s="1" t="s">
        <v>200</v>
      </c>
      <c r="BA2491" s="1" t="str">
        <f>"20332220100000"</f>
        <v>20332220100000</v>
      </c>
      <c r="BC2491" s="1">
        <v>1800.0</v>
      </c>
      <c r="BD2491" s="1">
        <v>182000.0</v>
      </c>
      <c r="BE2491" s="2">
        <v>42025.0</v>
      </c>
      <c r="BF2491" s="2" t="s">
        <v>22600</v>
      </c>
      <c r="BH2491" s="1">
        <v>0.0</v>
      </c>
      <c r="BK2491" s="1" t="s">
        <v>204</v>
      </c>
      <c r="BL2491" s="1" t="str">
        <f t="shared" ref="BL2491:BM2491" si="1622">"0"</f>
        <v>0</v>
      </c>
      <c r="BM2491" s="1" t="str">
        <f t="shared" si="1622"/>
        <v>0</v>
      </c>
      <c r="BN2491" s="1">
        <v>100.0</v>
      </c>
      <c r="BO2491" s="1">
        <v>8115.0</v>
      </c>
      <c r="BQ2491" s="1">
        <v>299.0</v>
      </c>
      <c r="BR2491" s="1">
        <v>299.0</v>
      </c>
      <c r="BS2491" s="1">
        <v>299.0</v>
      </c>
      <c r="BU2491" s="1" t="s">
        <v>477</v>
      </c>
      <c r="BV2491" s="1" t="s">
        <v>206</v>
      </c>
      <c r="BW2491" s="1" t="s">
        <v>207</v>
      </c>
      <c r="BY2491" s="1" t="s">
        <v>3202</v>
      </c>
      <c r="BZ2491" s="1" t="s">
        <v>209</v>
      </c>
      <c r="CA2491" s="1" t="s">
        <v>210</v>
      </c>
      <c r="CC2491" s="1" t="s">
        <v>433</v>
      </c>
      <c r="CD2491" s="1" t="s">
        <v>206</v>
      </c>
      <c r="CE2491" s="1" t="s">
        <v>207</v>
      </c>
      <c r="CG2491" s="1" t="s">
        <v>2219</v>
      </c>
      <c r="CH2491" s="1" t="s">
        <v>209</v>
      </c>
      <c r="CI2491" s="1" t="s">
        <v>210</v>
      </c>
      <c r="CK2491" s="1" t="s">
        <v>700</v>
      </c>
      <c r="CL2491" s="1" t="s">
        <v>206</v>
      </c>
      <c r="CM2491" s="1" t="s">
        <v>207</v>
      </c>
      <c r="CO2491" s="1" t="s">
        <v>215</v>
      </c>
      <c r="CP2491" s="1" t="s">
        <v>206</v>
      </c>
      <c r="CQ2491" s="1" t="s">
        <v>207</v>
      </c>
      <c r="CS2491" s="1" t="s">
        <v>1892</v>
      </c>
      <c r="CT2491" s="1" t="s">
        <v>206</v>
      </c>
      <c r="CU2491" s="1" t="s">
        <v>207</v>
      </c>
      <c r="CW2491" s="1" t="s">
        <v>12052</v>
      </c>
      <c r="CX2491" s="1" t="s">
        <v>42</v>
      </c>
      <c r="CY2491" s="1" t="s">
        <v>210</v>
      </c>
      <c r="DA2491" s="1" t="s">
        <v>200</v>
      </c>
      <c r="DC2491" s="1" t="s">
        <v>785</v>
      </c>
      <c r="DD2491" s="1" t="s">
        <v>518</v>
      </c>
      <c r="DE2491" s="1" t="s">
        <v>273</v>
      </c>
      <c r="DF2491" s="1" t="s">
        <v>219</v>
      </c>
      <c r="DH2491" s="1" t="s">
        <v>365</v>
      </c>
      <c r="DI2491" s="1" t="s">
        <v>9434</v>
      </c>
      <c r="DJ2491" s="1" t="s">
        <v>222</v>
      </c>
      <c r="DL2491" s="1" t="s">
        <v>1161</v>
      </c>
      <c r="DM2491" s="1" t="s">
        <v>1143</v>
      </c>
      <c r="DN2491" s="1" t="s">
        <v>2330</v>
      </c>
      <c r="DP2491" s="1" t="s">
        <v>340</v>
      </c>
      <c r="DQ2491" s="1" t="s">
        <v>228</v>
      </c>
      <c r="DR2491" s="1" t="s">
        <v>229</v>
      </c>
      <c r="DU2491" s="1" t="s">
        <v>5437</v>
      </c>
      <c r="DV2491" s="1" t="s">
        <v>598</v>
      </c>
      <c r="DW2491" s="1" t="s">
        <v>279</v>
      </c>
      <c r="DX2491" s="1" t="s">
        <v>234</v>
      </c>
      <c r="DY2491" s="1" t="s">
        <v>7385</v>
      </c>
      <c r="DZ2491" s="1" t="s">
        <v>310</v>
      </c>
      <c r="EA2491" s="1" t="s">
        <v>644</v>
      </c>
      <c r="EC2491" s="1" t="s">
        <v>237</v>
      </c>
      <c r="ED2491" s="1" t="s">
        <v>555</v>
      </c>
      <c r="EE2491" s="1" t="s">
        <v>493</v>
      </c>
      <c r="EG2491" s="1" t="s">
        <v>598</v>
      </c>
      <c r="EL2491" s="1" t="s">
        <v>758</v>
      </c>
      <c r="EM2491" s="1" t="s">
        <v>42</v>
      </c>
      <c r="EN2491" s="1" t="s">
        <v>210</v>
      </c>
      <c r="EQ2491" s="1" t="s">
        <v>238</v>
      </c>
      <c r="EU2491" s="1" t="s">
        <v>238</v>
      </c>
      <c r="EY2491" s="1" t="s">
        <v>238</v>
      </c>
      <c r="FC2491" s="1" t="s">
        <v>238</v>
      </c>
      <c r="FF2491" s="1" t="s">
        <v>239</v>
      </c>
      <c r="FG2491" s="1" t="s">
        <v>192</v>
      </c>
      <c r="FH2491" s="1" t="s">
        <v>192</v>
      </c>
      <c r="FJ2491" s="1" t="s">
        <v>22601</v>
      </c>
      <c r="FK2491" s="1" t="s">
        <v>229</v>
      </c>
      <c r="FL2491" s="1" t="s">
        <v>5025</v>
      </c>
      <c r="FM2491" s="1">
        <v>51720.0</v>
      </c>
      <c r="FN2491" s="1" t="s">
        <v>5026</v>
      </c>
      <c r="FO2491" s="1" t="s">
        <v>22602</v>
      </c>
      <c r="FP2491" s="1">
        <v>501194.0</v>
      </c>
      <c r="FQ2491" s="1" t="s">
        <v>22603</v>
      </c>
      <c r="FU2491" s="1" t="s">
        <v>22604</v>
      </c>
      <c r="FV2491" s="1" t="s">
        <v>200</v>
      </c>
      <c r="FW2491" s="1" t="s">
        <v>530</v>
      </c>
      <c r="FX2491" s="1" t="s">
        <v>655</v>
      </c>
      <c r="FZ2491" s="1" t="s">
        <v>632</v>
      </c>
      <c r="GA2491" s="1" t="s">
        <v>291</v>
      </c>
      <c r="GB2491" s="2">
        <v>42130.0</v>
      </c>
      <c r="GC2491" s="1" t="s">
        <v>22605</v>
      </c>
    </row>
    <row r="2492">
      <c r="A2492" s="1">
        <v>492038.0</v>
      </c>
      <c r="B2492" s="1" t="s">
        <v>185</v>
      </c>
      <c r="C2492" s="1" t="str">
        <f>"08820223"</f>
        <v>08820223</v>
      </c>
      <c r="D2492" s="1" t="s">
        <v>186</v>
      </c>
      <c r="F2492" s="1" t="str">
        <f>"8035"</f>
        <v>8035</v>
      </c>
      <c r="G2492" s="2">
        <v>42024.0</v>
      </c>
      <c r="H2492" s="1">
        <v>495000.0</v>
      </c>
      <c r="I2492" s="1">
        <v>428.0</v>
      </c>
      <c r="J2492" s="1">
        <v>495000.0</v>
      </c>
      <c r="K2492" s="2">
        <v>42064.0</v>
      </c>
      <c r="L2492" s="1">
        <v>41.0</v>
      </c>
      <c r="M2492" s="2">
        <v>42064.0</v>
      </c>
      <c r="N2492" s="1" t="s">
        <v>187</v>
      </c>
      <c r="O2492" s="2">
        <v>42136.0</v>
      </c>
      <c r="P2492" s="1">
        <v>182698.0</v>
      </c>
      <c r="Q2492" s="1">
        <v>85175.0</v>
      </c>
      <c r="S2492" s="1">
        <v>3369.0</v>
      </c>
      <c r="T2492" s="1" t="s">
        <v>3720</v>
      </c>
      <c r="U2492" s="1" t="s">
        <v>189</v>
      </c>
      <c r="V2492" s="1" t="s">
        <v>190</v>
      </c>
      <c r="W2492" s="1">
        <v>60616.0</v>
      </c>
      <c r="Y2492" s="1" t="s">
        <v>22606</v>
      </c>
      <c r="Z2492" s="1">
        <v>1885.0</v>
      </c>
      <c r="AA2492" s="1" t="s">
        <v>192</v>
      </c>
      <c r="AB2492" s="1" t="s">
        <v>193</v>
      </c>
      <c r="AD2492" s="1" t="s">
        <v>194</v>
      </c>
      <c r="AE2492" s="1" t="s">
        <v>195</v>
      </c>
      <c r="AF2492" s="1" t="s">
        <v>1154</v>
      </c>
      <c r="AH2492" s="1" t="s">
        <v>359</v>
      </c>
      <c r="AK2492" s="1">
        <v>10.0</v>
      </c>
      <c r="AL2492" s="1">
        <v>4.0</v>
      </c>
      <c r="AM2492" s="1">
        <v>3.0</v>
      </c>
      <c r="AN2492" s="1">
        <v>1.0</v>
      </c>
      <c r="AO2492" s="1" t="s">
        <v>198</v>
      </c>
      <c r="AP2492" s="1">
        <v>5.0</v>
      </c>
      <c r="AQ2492" s="1" t="s">
        <v>198</v>
      </c>
      <c r="AR2492" s="1" t="s">
        <v>192</v>
      </c>
      <c r="AS2492" s="1" t="s">
        <v>828</v>
      </c>
      <c r="AU2492" s="1">
        <v>2.0</v>
      </c>
      <c r="AV2492" s="1" t="s">
        <v>200</v>
      </c>
      <c r="AW2492" s="1">
        <v>5257.95</v>
      </c>
      <c r="AX2492" s="1">
        <v>2013.0</v>
      </c>
      <c r="AY2492" s="1" t="s">
        <v>229</v>
      </c>
      <c r="AZ2492" s="1" t="s">
        <v>200</v>
      </c>
      <c r="BA2492" s="1" t="str">
        <f>"17341230270000"</f>
        <v>17341230270000</v>
      </c>
      <c r="BC2492" s="1">
        <v>4500.0</v>
      </c>
      <c r="BD2492" s="1">
        <v>492038.0</v>
      </c>
      <c r="BE2492" s="2">
        <v>42024.0</v>
      </c>
      <c r="BF2492" s="2" t="s">
        <v>22607</v>
      </c>
      <c r="BH2492" s="1">
        <v>0.0</v>
      </c>
      <c r="BK2492" s="1" t="s">
        <v>204</v>
      </c>
      <c r="BL2492" s="1" t="str">
        <f t="shared" ref="BL2492:BL2493" si="1623">"0"</f>
        <v>0</v>
      </c>
      <c r="BM2492" s="1" t="str">
        <f>"350"</f>
        <v>350</v>
      </c>
      <c r="BN2492" s="1">
        <v>0.0</v>
      </c>
      <c r="BO2492" s="1">
        <v>3369.0</v>
      </c>
      <c r="BQ2492" s="1">
        <v>299.0</v>
      </c>
      <c r="BR2492" s="1">
        <v>299.0</v>
      </c>
      <c r="BS2492" s="1">
        <v>299.0</v>
      </c>
      <c r="BU2492" s="1" t="s">
        <v>17873</v>
      </c>
      <c r="BV2492" s="1" t="s">
        <v>206</v>
      </c>
      <c r="BW2492" s="1" t="s">
        <v>207</v>
      </c>
      <c r="BX2492" s="1" t="s">
        <v>1549</v>
      </c>
      <c r="BY2492" s="1" t="s">
        <v>854</v>
      </c>
      <c r="BZ2492" s="1" t="s">
        <v>391</v>
      </c>
      <c r="CA2492" s="1" t="s">
        <v>210</v>
      </c>
      <c r="CB2492" s="1" t="s">
        <v>1549</v>
      </c>
      <c r="CC2492" s="1" t="s">
        <v>1299</v>
      </c>
      <c r="CD2492" s="1" t="s">
        <v>206</v>
      </c>
      <c r="CE2492" s="1" t="s">
        <v>207</v>
      </c>
      <c r="CF2492" s="1" t="s">
        <v>1549</v>
      </c>
      <c r="CG2492" s="1" t="s">
        <v>1534</v>
      </c>
      <c r="CH2492" s="1" t="s">
        <v>209</v>
      </c>
      <c r="CI2492" s="1" t="s">
        <v>210</v>
      </c>
      <c r="CJ2492" s="1" t="s">
        <v>1549</v>
      </c>
      <c r="CK2492" s="1" t="s">
        <v>393</v>
      </c>
      <c r="CL2492" s="1" t="s">
        <v>209</v>
      </c>
      <c r="CM2492" s="1" t="s">
        <v>210</v>
      </c>
      <c r="CN2492" s="1" t="s">
        <v>1549</v>
      </c>
      <c r="CO2492" s="1" t="s">
        <v>677</v>
      </c>
      <c r="CP2492" s="1" t="s">
        <v>209</v>
      </c>
      <c r="CQ2492" s="1" t="s">
        <v>210</v>
      </c>
      <c r="CR2492" s="1" t="s">
        <v>1549</v>
      </c>
      <c r="CS2492" s="1" t="s">
        <v>854</v>
      </c>
      <c r="CT2492" s="1" t="s">
        <v>206</v>
      </c>
      <c r="CU2492" s="1" t="s">
        <v>617</v>
      </c>
      <c r="CV2492" s="1" t="s">
        <v>1549</v>
      </c>
      <c r="CW2492" s="1" t="s">
        <v>3262</v>
      </c>
      <c r="CX2492" s="1" t="s">
        <v>267</v>
      </c>
      <c r="CY2492" s="1" t="s">
        <v>210</v>
      </c>
      <c r="DA2492" s="1" t="s">
        <v>200</v>
      </c>
      <c r="DC2492" s="1" t="s">
        <v>642</v>
      </c>
      <c r="DD2492" s="1" t="s">
        <v>518</v>
      </c>
      <c r="DE2492" s="1" t="s">
        <v>273</v>
      </c>
      <c r="DF2492" s="1" t="s">
        <v>219</v>
      </c>
      <c r="DH2492" s="1" t="s">
        <v>365</v>
      </c>
      <c r="DI2492" s="1" t="s">
        <v>1223</v>
      </c>
      <c r="DJ2492" s="1" t="s">
        <v>222</v>
      </c>
      <c r="DL2492" s="1" t="s">
        <v>1161</v>
      </c>
      <c r="DM2492" s="1" t="s">
        <v>229</v>
      </c>
      <c r="DP2492" s="1" t="s">
        <v>340</v>
      </c>
      <c r="DQ2492" s="1" t="s">
        <v>718</v>
      </c>
      <c r="DR2492" s="1" t="s">
        <v>229</v>
      </c>
      <c r="DV2492" s="1" t="s">
        <v>22608</v>
      </c>
      <c r="DW2492" s="1" t="s">
        <v>1145</v>
      </c>
      <c r="DX2492" s="1" t="s">
        <v>234</v>
      </c>
      <c r="DY2492" s="1" t="s">
        <v>704</v>
      </c>
      <c r="DZ2492" s="1" t="s">
        <v>5293</v>
      </c>
      <c r="EB2492" s="1" t="s">
        <v>684</v>
      </c>
      <c r="EC2492" s="1" t="s">
        <v>406</v>
      </c>
      <c r="EG2492" s="1" t="s">
        <v>1961</v>
      </c>
      <c r="EH2492" s="1" t="s">
        <v>2023</v>
      </c>
      <c r="EI2492" s="1" t="s">
        <v>310</v>
      </c>
      <c r="EJ2492" s="1" t="s">
        <v>588</v>
      </c>
      <c r="EL2492" s="1" t="s">
        <v>208</v>
      </c>
      <c r="EM2492" s="1" t="s">
        <v>391</v>
      </c>
      <c r="EN2492" s="1" t="s">
        <v>210</v>
      </c>
      <c r="EO2492" s="1" t="s">
        <v>1549</v>
      </c>
      <c r="EP2492" s="1" t="s">
        <v>1584</v>
      </c>
      <c r="EQ2492" s="1" t="s">
        <v>267</v>
      </c>
      <c r="ER2492" s="1" t="s">
        <v>210</v>
      </c>
      <c r="ET2492" s="1" t="s">
        <v>362</v>
      </c>
      <c r="EU2492" s="1" t="s">
        <v>391</v>
      </c>
      <c r="EX2492" s="1" t="s">
        <v>663</v>
      </c>
      <c r="EY2492" s="1" t="s">
        <v>267</v>
      </c>
      <c r="EZ2492" s="1" t="s">
        <v>210</v>
      </c>
      <c r="FA2492" s="1" t="s">
        <v>1549</v>
      </c>
      <c r="FC2492" s="1" t="s">
        <v>238</v>
      </c>
      <c r="FF2492" s="1" t="s">
        <v>239</v>
      </c>
      <c r="FG2492" s="1" t="s">
        <v>192</v>
      </c>
      <c r="FH2492" s="1" t="s">
        <v>192</v>
      </c>
      <c r="FJ2492" s="1" t="s">
        <v>2285</v>
      </c>
      <c r="FK2492" s="1" t="s">
        <v>229</v>
      </c>
      <c r="FL2492" s="1" t="s">
        <v>974</v>
      </c>
      <c r="FM2492" s="1">
        <v>10988.0</v>
      </c>
      <c r="FN2492" s="1" t="s">
        <v>975</v>
      </c>
      <c r="FO2492" s="1" t="s">
        <v>22609</v>
      </c>
      <c r="FP2492" s="1">
        <v>124782.0</v>
      </c>
      <c r="FQ2492" s="1" t="s">
        <v>22610</v>
      </c>
      <c r="FR2492" s="1">
        <v>183678.0</v>
      </c>
      <c r="FS2492" s="1" t="s">
        <v>22611</v>
      </c>
      <c r="FU2492" s="1" t="s">
        <v>22612</v>
      </c>
      <c r="FV2492" s="1" t="s">
        <v>200</v>
      </c>
      <c r="FW2492" s="1" t="s">
        <v>567</v>
      </c>
      <c r="FX2492" s="1" t="s">
        <v>655</v>
      </c>
      <c r="FZ2492" s="1" t="s">
        <v>229</v>
      </c>
      <c r="GA2492" s="1" t="s">
        <v>291</v>
      </c>
      <c r="GB2492" s="2">
        <v>42137.0</v>
      </c>
      <c r="GC2492" s="1" t="s">
        <v>22613</v>
      </c>
    </row>
    <row r="2493">
      <c r="A2493" s="1">
        <v>172000.0</v>
      </c>
      <c r="B2493" s="1" t="s">
        <v>185</v>
      </c>
      <c r="C2493" s="1" t="str">
        <f>"08816463"</f>
        <v>08816463</v>
      </c>
      <c r="D2493" s="1" t="s">
        <v>186</v>
      </c>
      <c r="F2493" s="1" t="str">
        <f>"8072"</f>
        <v>8072</v>
      </c>
      <c r="G2493" s="2">
        <v>42018.0</v>
      </c>
      <c r="H2493" s="1">
        <v>205000.0</v>
      </c>
      <c r="I2493" s="1">
        <v>99.0</v>
      </c>
      <c r="J2493" s="1">
        <v>165000.0</v>
      </c>
      <c r="K2493" s="2">
        <v>42116.0</v>
      </c>
      <c r="L2493" s="1">
        <v>99.0</v>
      </c>
      <c r="M2493" s="2">
        <v>42116.0</v>
      </c>
      <c r="N2493" s="1" t="s">
        <v>249</v>
      </c>
      <c r="O2493" s="2">
        <v>42149.0</v>
      </c>
      <c r="P2493" s="1">
        <v>104896.0</v>
      </c>
      <c r="Q2493" s="1">
        <v>18202.0</v>
      </c>
      <c r="S2493" s="1">
        <v>2851.0</v>
      </c>
      <c r="T2493" s="1" t="s">
        <v>3724</v>
      </c>
      <c r="U2493" s="1" t="s">
        <v>694</v>
      </c>
      <c r="V2493" s="1" t="s">
        <v>190</v>
      </c>
      <c r="W2493" s="1">
        <v>60655.0</v>
      </c>
      <c r="Y2493" s="1" t="s">
        <v>22614</v>
      </c>
      <c r="Z2493" s="1">
        <v>1952.0</v>
      </c>
      <c r="AA2493" s="1" t="s">
        <v>192</v>
      </c>
      <c r="AB2493" s="1" t="s">
        <v>193</v>
      </c>
      <c r="AD2493" s="1" t="s">
        <v>194</v>
      </c>
      <c r="AE2493" s="1" t="s">
        <v>195</v>
      </c>
      <c r="AF2493" s="1" t="s">
        <v>659</v>
      </c>
      <c r="AH2493" s="1" t="s">
        <v>21589</v>
      </c>
      <c r="AI2493" s="1">
        <v>0.0836</v>
      </c>
      <c r="AK2493" s="1">
        <v>9.0</v>
      </c>
      <c r="AL2493" s="1">
        <v>4.0</v>
      </c>
      <c r="AM2493" s="1">
        <v>2.0</v>
      </c>
      <c r="AN2493" s="1">
        <v>1.0</v>
      </c>
      <c r="AO2493" s="1" t="s">
        <v>229</v>
      </c>
      <c r="AQ2493" s="1" t="s">
        <v>198</v>
      </c>
      <c r="AR2493" s="1" t="s">
        <v>200</v>
      </c>
      <c r="AS2493" s="1" t="s">
        <v>199</v>
      </c>
      <c r="AT2493" s="1">
        <v>1.5</v>
      </c>
      <c r="AV2493" s="1" t="s">
        <v>200</v>
      </c>
      <c r="AW2493" s="1">
        <v>3858.37</v>
      </c>
      <c r="AX2493" s="1">
        <v>2013.0</v>
      </c>
      <c r="AY2493" s="1" t="s">
        <v>1179</v>
      </c>
      <c r="AZ2493" s="1" t="s">
        <v>200</v>
      </c>
      <c r="BA2493" s="1" t="str">
        <f>"24123160580000"</f>
        <v>24123160580000</v>
      </c>
      <c r="BC2493" s="1">
        <v>1600.0</v>
      </c>
      <c r="BD2493" s="1">
        <v>172000.0</v>
      </c>
      <c r="BE2493" s="2">
        <v>42018.0</v>
      </c>
      <c r="BF2493" s="2" t="s">
        <v>22615</v>
      </c>
      <c r="BH2493" s="1">
        <v>0.0</v>
      </c>
      <c r="BK2493" s="1" t="s">
        <v>204</v>
      </c>
      <c r="BL2493" s="1" t="str">
        <f t="shared" si="1623"/>
        <v>0</v>
      </c>
      <c r="BM2493" s="1" t="str">
        <f>"0"</f>
        <v>0</v>
      </c>
      <c r="BN2493" s="1">
        <v>2851.0</v>
      </c>
      <c r="BO2493" s="1">
        <v>10250.0</v>
      </c>
      <c r="BQ2493" s="1">
        <v>299.0</v>
      </c>
      <c r="BR2493" s="1">
        <v>299.0</v>
      </c>
      <c r="BS2493" s="1">
        <v>299.0</v>
      </c>
      <c r="BU2493" s="1" t="s">
        <v>616</v>
      </c>
      <c r="BV2493" s="1" t="s">
        <v>206</v>
      </c>
      <c r="BW2493" s="1" t="s">
        <v>207</v>
      </c>
      <c r="BY2493" s="1" t="s">
        <v>211</v>
      </c>
      <c r="BZ2493" s="1" t="s">
        <v>206</v>
      </c>
      <c r="CA2493" s="1" t="s">
        <v>207</v>
      </c>
      <c r="CC2493" s="1" t="s">
        <v>584</v>
      </c>
      <c r="CD2493" s="1" t="s">
        <v>206</v>
      </c>
      <c r="CE2493" s="1" t="s">
        <v>207</v>
      </c>
      <c r="CG2493" s="1" t="s">
        <v>332</v>
      </c>
      <c r="CH2493" s="1" t="s">
        <v>209</v>
      </c>
      <c r="CK2493" s="1" t="s">
        <v>332</v>
      </c>
      <c r="CL2493" s="1" t="s">
        <v>209</v>
      </c>
      <c r="CO2493" s="1" t="s">
        <v>264</v>
      </c>
      <c r="CP2493" s="1" t="s">
        <v>209</v>
      </c>
      <c r="CS2493" s="1" t="s">
        <v>213</v>
      </c>
      <c r="CT2493" s="1" t="s">
        <v>206</v>
      </c>
      <c r="CU2493" s="1" t="s">
        <v>617</v>
      </c>
      <c r="CW2493" s="1" t="s">
        <v>955</v>
      </c>
      <c r="CX2493" s="1" t="s">
        <v>206</v>
      </c>
      <c r="CY2493" s="1" t="s">
        <v>210</v>
      </c>
      <c r="DA2493" s="1" t="s">
        <v>200</v>
      </c>
      <c r="DC2493" s="1" t="s">
        <v>702</v>
      </c>
      <c r="DD2493" s="1" t="s">
        <v>518</v>
      </c>
      <c r="DE2493" s="1" t="s">
        <v>273</v>
      </c>
      <c r="DF2493" s="1" t="s">
        <v>219</v>
      </c>
      <c r="DH2493" s="1" t="s">
        <v>307</v>
      </c>
      <c r="DJ2493" s="1" t="s">
        <v>1048</v>
      </c>
      <c r="DL2493" s="1" t="s">
        <v>224</v>
      </c>
      <c r="DM2493" s="1" t="s">
        <v>229</v>
      </c>
      <c r="DP2493" s="1" t="s">
        <v>340</v>
      </c>
      <c r="DQ2493" s="1" t="s">
        <v>228</v>
      </c>
      <c r="DR2493" s="1" t="s">
        <v>229</v>
      </c>
      <c r="DV2493" s="1" t="s">
        <v>450</v>
      </c>
      <c r="DW2493" s="1" t="s">
        <v>279</v>
      </c>
      <c r="DX2493" s="1" t="s">
        <v>234</v>
      </c>
      <c r="EC2493" s="1" t="s">
        <v>645</v>
      </c>
      <c r="EG2493" s="1" t="s">
        <v>450</v>
      </c>
      <c r="EL2493" s="1" t="s">
        <v>22616</v>
      </c>
      <c r="EM2493" s="1" t="s">
        <v>42</v>
      </c>
      <c r="EQ2493" s="1" t="s">
        <v>238</v>
      </c>
      <c r="EU2493" s="1" t="s">
        <v>238</v>
      </c>
      <c r="EY2493" s="1" t="s">
        <v>238</v>
      </c>
      <c r="FC2493" s="1" t="s">
        <v>238</v>
      </c>
      <c r="FF2493" s="1" t="s">
        <v>239</v>
      </c>
      <c r="FG2493" s="1" t="s">
        <v>192</v>
      </c>
      <c r="FH2493" s="1" t="s">
        <v>192</v>
      </c>
      <c r="FJ2493" s="1" t="s">
        <v>770</v>
      </c>
      <c r="FK2493" s="1" t="s">
        <v>229</v>
      </c>
      <c r="FL2493" s="1" t="s">
        <v>3272</v>
      </c>
      <c r="FM2493" s="1">
        <v>12511.0</v>
      </c>
      <c r="FN2493" s="1" t="s">
        <v>3273</v>
      </c>
      <c r="FO2493" s="1" t="s">
        <v>3274</v>
      </c>
      <c r="FP2493" s="1">
        <v>121408.0</v>
      </c>
      <c r="FQ2493" s="1" t="s">
        <v>3275</v>
      </c>
      <c r="FU2493" s="1" t="s">
        <v>3276</v>
      </c>
      <c r="FV2493" s="1" t="s">
        <v>200</v>
      </c>
      <c r="FW2493" s="1" t="s">
        <v>1307</v>
      </c>
      <c r="FX2493" s="1" t="s">
        <v>246</v>
      </c>
      <c r="FZ2493" s="1" t="s">
        <v>229</v>
      </c>
      <c r="GA2493" s="1" t="s">
        <v>291</v>
      </c>
      <c r="GB2493" s="2">
        <v>42150.0</v>
      </c>
      <c r="GC2493" s="1" t="s">
        <v>20693</v>
      </c>
    </row>
    <row r="2494">
      <c r="A2494" s="1">
        <v>690000.0</v>
      </c>
      <c r="B2494" s="1" t="s">
        <v>185</v>
      </c>
      <c r="C2494" s="1" t="str">
        <f>"08818307"</f>
        <v>08818307</v>
      </c>
      <c r="D2494" s="1" t="s">
        <v>186</v>
      </c>
      <c r="F2494" s="1" t="str">
        <f>"10"</f>
        <v>10</v>
      </c>
      <c r="G2494" s="2">
        <v>42020.0</v>
      </c>
      <c r="H2494" s="1">
        <v>699900.0</v>
      </c>
      <c r="I2494" s="1">
        <v>189.0</v>
      </c>
      <c r="J2494" s="1">
        <v>699900.0</v>
      </c>
      <c r="K2494" s="2">
        <v>42022.0</v>
      </c>
      <c r="L2494" s="1">
        <v>3.0</v>
      </c>
      <c r="M2494" s="2">
        <v>42022.0</v>
      </c>
      <c r="N2494" s="1" t="s">
        <v>187</v>
      </c>
      <c r="O2494" s="2">
        <v>42073.0</v>
      </c>
      <c r="P2494" s="1">
        <v>30096.0</v>
      </c>
      <c r="Q2494" s="1">
        <v>6093.0</v>
      </c>
      <c r="S2494" s="1">
        <v>762.0</v>
      </c>
      <c r="T2494" s="1" t="s">
        <v>22617</v>
      </c>
      <c r="U2494" s="1" t="s">
        <v>320</v>
      </c>
      <c r="V2494" s="1" t="s">
        <v>1706</v>
      </c>
      <c r="W2494" s="1">
        <v>60010.0</v>
      </c>
      <c r="Y2494" s="1" t="s">
        <v>22618</v>
      </c>
      <c r="Z2494" s="1">
        <v>2004.0</v>
      </c>
      <c r="AA2494" s="1" t="s">
        <v>200</v>
      </c>
      <c r="AB2494" s="1" t="s">
        <v>193</v>
      </c>
      <c r="AC2494" s="1" t="s">
        <v>8286</v>
      </c>
      <c r="AD2494" s="1" t="s">
        <v>1948</v>
      </c>
      <c r="AE2494" s="1" t="s">
        <v>195</v>
      </c>
      <c r="AF2494" s="1" t="s">
        <v>1948</v>
      </c>
      <c r="AH2494" s="1" t="s">
        <v>22619</v>
      </c>
      <c r="AI2494" s="1">
        <v>0.1851</v>
      </c>
      <c r="AK2494" s="1">
        <v>13.0</v>
      </c>
      <c r="AL2494" s="1">
        <v>4.0</v>
      </c>
      <c r="AM2494" s="1">
        <v>3.0</v>
      </c>
      <c r="AN2494" s="1">
        <v>1.0</v>
      </c>
      <c r="AO2494" s="1" t="s">
        <v>198</v>
      </c>
      <c r="AP2494" s="1">
        <v>2.0</v>
      </c>
      <c r="AQ2494" s="1" t="s">
        <v>472</v>
      </c>
      <c r="AR2494" s="1" t="s">
        <v>192</v>
      </c>
      <c r="AS2494" s="1" t="s">
        <v>199</v>
      </c>
      <c r="AT2494" s="1">
        <v>2.0</v>
      </c>
      <c r="AV2494" s="1" t="s">
        <v>200</v>
      </c>
      <c r="AW2494" s="1">
        <v>13471.83</v>
      </c>
      <c r="AX2494" s="1">
        <v>2013.0</v>
      </c>
      <c r="AY2494" s="1" t="s">
        <v>387</v>
      </c>
      <c r="AZ2494" s="1" t="s">
        <v>200</v>
      </c>
      <c r="BA2494" s="1" t="str">
        <f>"01014000420000"</f>
        <v>01014000420000</v>
      </c>
      <c r="BC2494" s="1">
        <v>3456.0</v>
      </c>
      <c r="BD2494" s="1">
        <v>690000.0</v>
      </c>
      <c r="BE2494" s="2">
        <v>42020.0</v>
      </c>
      <c r="BF2494" s="2" t="s">
        <v>22620</v>
      </c>
      <c r="BG2494" s="1" t="s">
        <v>1951</v>
      </c>
      <c r="BH2494" s="1">
        <v>0.0</v>
      </c>
      <c r="BI2494" s="1" t="s">
        <v>5243</v>
      </c>
      <c r="BJ2494" s="1" t="s">
        <v>1714</v>
      </c>
      <c r="BK2494" s="1" t="s">
        <v>204</v>
      </c>
      <c r="BL2494" s="1" t="str">
        <f t="shared" ref="BL2494:BM2494" si="1624">""</f>
        <v/>
      </c>
      <c r="BM2494" s="1" t="str">
        <f t="shared" si="1624"/>
        <v/>
      </c>
      <c r="BQ2494" s="1">
        <v>220.0</v>
      </c>
      <c r="BR2494" s="1">
        <v>220.0</v>
      </c>
      <c r="BS2494" s="1">
        <v>220.0</v>
      </c>
      <c r="BU2494" s="1" t="s">
        <v>1064</v>
      </c>
      <c r="BV2494" s="1" t="s">
        <v>206</v>
      </c>
      <c r="BW2494" s="1" t="s">
        <v>207</v>
      </c>
      <c r="BY2494" s="1" t="s">
        <v>784</v>
      </c>
      <c r="BZ2494" s="1" t="s">
        <v>209</v>
      </c>
      <c r="CA2494" s="1" t="s">
        <v>210</v>
      </c>
      <c r="CC2494" s="1" t="s">
        <v>584</v>
      </c>
      <c r="CD2494" s="1" t="s">
        <v>206</v>
      </c>
      <c r="CE2494" s="1" t="s">
        <v>207</v>
      </c>
      <c r="CG2494" s="1" t="s">
        <v>1190</v>
      </c>
      <c r="CH2494" s="1" t="s">
        <v>209</v>
      </c>
      <c r="CI2494" s="1" t="s">
        <v>210</v>
      </c>
      <c r="CK2494" s="1" t="s">
        <v>393</v>
      </c>
      <c r="CL2494" s="1" t="s">
        <v>209</v>
      </c>
      <c r="CM2494" s="1" t="s">
        <v>210</v>
      </c>
      <c r="CO2494" s="1" t="s">
        <v>584</v>
      </c>
      <c r="CP2494" s="1" t="s">
        <v>209</v>
      </c>
      <c r="CQ2494" s="1" t="s">
        <v>210</v>
      </c>
      <c r="CR2494" s="1" t="s">
        <v>431</v>
      </c>
      <c r="CS2494" s="1" t="s">
        <v>300</v>
      </c>
      <c r="CT2494" s="1" t="s">
        <v>206</v>
      </c>
      <c r="CU2494" s="1" t="s">
        <v>207</v>
      </c>
      <c r="CW2494" s="1" t="s">
        <v>1623</v>
      </c>
      <c r="CX2494" s="1" t="s">
        <v>206</v>
      </c>
      <c r="CY2494" s="1" t="s">
        <v>207</v>
      </c>
      <c r="DA2494" s="1" t="s">
        <v>200</v>
      </c>
      <c r="DC2494" s="1" t="s">
        <v>335</v>
      </c>
      <c r="DD2494" s="1" t="s">
        <v>272</v>
      </c>
      <c r="DE2494" s="1" t="s">
        <v>1810</v>
      </c>
      <c r="DF2494" s="1" t="s">
        <v>219</v>
      </c>
      <c r="DG2494" s="1" t="s">
        <v>1553</v>
      </c>
      <c r="DH2494" s="1" t="s">
        <v>220</v>
      </c>
      <c r="DI2494" s="1" t="s">
        <v>14974</v>
      </c>
      <c r="DJ2494" s="1" t="s">
        <v>222</v>
      </c>
      <c r="DK2494" s="1" t="s">
        <v>3740</v>
      </c>
      <c r="DL2494" s="1" t="s">
        <v>224</v>
      </c>
      <c r="DM2494" s="1" t="s">
        <v>338</v>
      </c>
      <c r="DN2494" s="1" t="s">
        <v>1023</v>
      </c>
      <c r="DP2494" s="1" t="s">
        <v>276</v>
      </c>
      <c r="DQ2494" s="1" t="s">
        <v>228</v>
      </c>
      <c r="DR2494" s="1" t="s">
        <v>229</v>
      </c>
      <c r="DS2494" s="1" t="s">
        <v>368</v>
      </c>
      <c r="DU2494" s="1" t="s">
        <v>22621</v>
      </c>
      <c r="DV2494" s="1" t="s">
        <v>22622</v>
      </c>
      <c r="DW2494" s="1" t="s">
        <v>1820</v>
      </c>
      <c r="DX2494" s="1" t="s">
        <v>234</v>
      </c>
      <c r="DY2494" s="1" t="s">
        <v>8343</v>
      </c>
      <c r="DZ2494" s="1" t="s">
        <v>3232</v>
      </c>
      <c r="EA2494" s="1" t="s">
        <v>344</v>
      </c>
      <c r="EB2494" s="1" t="s">
        <v>492</v>
      </c>
      <c r="EC2494" s="1" t="s">
        <v>237</v>
      </c>
      <c r="ED2494" s="1" t="s">
        <v>407</v>
      </c>
      <c r="EG2494" s="1" t="s">
        <v>449</v>
      </c>
      <c r="EI2494" s="1" t="s">
        <v>450</v>
      </c>
      <c r="EJ2494" s="1" t="s">
        <v>1824</v>
      </c>
      <c r="EK2494" s="1" t="s">
        <v>408</v>
      </c>
      <c r="EL2494" s="1" t="s">
        <v>1352</v>
      </c>
      <c r="EM2494" s="1" t="s">
        <v>206</v>
      </c>
      <c r="EN2494" s="1" t="s">
        <v>207</v>
      </c>
      <c r="EO2494" s="1" t="s">
        <v>1549</v>
      </c>
      <c r="EQ2494" s="1" t="s">
        <v>238</v>
      </c>
      <c r="ET2494" s="1" t="s">
        <v>22623</v>
      </c>
      <c r="EU2494" s="1" t="s">
        <v>42</v>
      </c>
      <c r="EV2494" s="1" t="s">
        <v>210</v>
      </c>
      <c r="EW2494" s="1" t="s">
        <v>431</v>
      </c>
      <c r="EX2494" s="1" t="s">
        <v>8766</v>
      </c>
      <c r="EY2494" s="1" t="s">
        <v>42</v>
      </c>
      <c r="EZ2494" s="1" t="s">
        <v>301</v>
      </c>
      <c r="FB2494" s="1" t="s">
        <v>6147</v>
      </c>
      <c r="FC2494" s="1" t="s">
        <v>206</v>
      </c>
      <c r="FD2494" s="1" t="s">
        <v>207</v>
      </c>
      <c r="FF2494" s="1" t="s">
        <v>239</v>
      </c>
      <c r="FG2494" s="1" t="s">
        <v>192</v>
      </c>
      <c r="FH2494" s="1" t="s">
        <v>192</v>
      </c>
      <c r="FJ2494" s="1" t="s">
        <v>799</v>
      </c>
      <c r="FK2494" s="1" t="s">
        <v>229</v>
      </c>
      <c r="FL2494" s="1" t="s">
        <v>562</v>
      </c>
      <c r="FM2494" s="1">
        <v>4777.0</v>
      </c>
      <c r="FN2494" s="1" t="s">
        <v>6112</v>
      </c>
      <c r="FO2494" s="1" t="s">
        <v>15666</v>
      </c>
      <c r="FP2494" s="1">
        <v>63097.0</v>
      </c>
      <c r="FQ2494" s="1" t="s">
        <v>15667</v>
      </c>
      <c r="FU2494" s="1" t="s">
        <v>22624</v>
      </c>
      <c r="FV2494" s="1" t="s">
        <v>200</v>
      </c>
      <c r="FW2494" s="1" t="s">
        <v>290</v>
      </c>
      <c r="FX2494" s="1" t="s">
        <v>655</v>
      </c>
      <c r="FZ2494" s="1" t="s">
        <v>229</v>
      </c>
      <c r="GA2494" s="1" t="s">
        <v>291</v>
      </c>
      <c r="GB2494" s="2">
        <v>42075.0</v>
      </c>
    </row>
    <row r="2495">
      <c r="A2495" s="1">
        <v>229000.0</v>
      </c>
      <c r="B2495" s="1" t="s">
        <v>185</v>
      </c>
      <c r="C2495" s="1" t="str">
        <f>"08822676"</f>
        <v>08822676</v>
      </c>
      <c r="D2495" s="1" t="s">
        <v>186</v>
      </c>
      <c r="F2495" s="1" t="str">
        <f>"8056"</f>
        <v>8056</v>
      </c>
      <c r="G2495" s="2">
        <v>42027.0</v>
      </c>
      <c r="H2495" s="1">
        <v>229000.0</v>
      </c>
      <c r="I2495" s="1">
        <v>75.0</v>
      </c>
      <c r="J2495" s="1">
        <v>229000.0</v>
      </c>
      <c r="K2495" s="2">
        <v>42062.0</v>
      </c>
      <c r="L2495" s="1">
        <v>36.0</v>
      </c>
      <c r="M2495" s="2">
        <v>42062.0</v>
      </c>
      <c r="N2495" s="1" t="s">
        <v>634</v>
      </c>
      <c r="O2495" s="2">
        <v>42116.0</v>
      </c>
      <c r="P2495" s="1">
        <v>86206.0</v>
      </c>
      <c r="Q2495" s="1">
        <v>8654.0</v>
      </c>
      <c r="R2495" s="1">
        <v>5000.0</v>
      </c>
      <c r="S2495" s="1">
        <v>4804.0</v>
      </c>
      <c r="T2495" s="1" t="s">
        <v>22625</v>
      </c>
      <c r="U2495" s="1" t="s">
        <v>189</v>
      </c>
      <c r="V2495" s="1" t="s">
        <v>190</v>
      </c>
      <c r="W2495" s="1">
        <v>60638.0</v>
      </c>
      <c r="Y2495" s="1" t="s">
        <v>22626</v>
      </c>
      <c r="Z2495" s="1">
        <v>1952.0</v>
      </c>
      <c r="AA2495" s="1" t="s">
        <v>192</v>
      </c>
      <c r="AB2495" s="1" t="s">
        <v>193</v>
      </c>
      <c r="AD2495" s="1" t="s">
        <v>194</v>
      </c>
      <c r="AE2495" s="1" t="s">
        <v>195</v>
      </c>
      <c r="AF2495" s="1" t="s">
        <v>659</v>
      </c>
      <c r="AH2495" s="1" t="s">
        <v>1501</v>
      </c>
      <c r="AI2495" s="1">
        <v>0.0868</v>
      </c>
      <c r="AK2495" s="1">
        <v>7.0</v>
      </c>
      <c r="AL2495" s="1">
        <v>3.0</v>
      </c>
      <c r="AM2495" s="1">
        <v>2.0</v>
      </c>
      <c r="AN2495" s="1">
        <v>0.0</v>
      </c>
      <c r="AO2495" s="1" t="s">
        <v>198</v>
      </c>
      <c r="AQ2495" s="1" t="s">
        <v>198</v>
      </c>
      <c r="AR2495" s="1" t="s">
        <v>192</v>
      </c>
      <c r="AS2495" s="1" t="s">
        <v>199</v>
      </c>
      <c r="AT2495" s="1">
        <v>2.0</v>
      </c>
      <c r="AV2495" s="1" t="s">
        <v>200</v>
      </c>
      <c r="AW2495" s="1">
        <v>2775.94</v>
      </c>
      <c r="AX2495" s="1">
        <v>2013.0</v>
      </c>
      <c r="AZ2495" s="1" t="s">
        <v>200</v>
      </c>
      <c r="BA2495" s="1" t="str">
        <f>"19092120420000"</f>
        <v>19092120420000</v>
      </c>
      <c r="BC2495" s="1">
        <v>1656.0</v>
      </c>
      <c r="BD2495" s="1">
        <v>229000.0</v>
      </c>
      <c r="BE2495" s="2">
        <v>42027.0</v>
      </c>
      <c r="BF2495" s="2" t="s">
        <v>22627</v>
      </c>
      <c r="BH2495" s="1">
        <v>0.0</v>
      </c>
      <c r="BK2495" s="1" t="s">
        <v>204</v>
      </c>
      <c r="BL2495" s="1" t="str">
        <f t="shared" ref="BL2495:BM2495" si="1625">"0"</f>
        <v>0</v>
      </c>
      <c r="BM2495" s="1" t="str">
        <f t="shared" si="1625"/>
        <v>0</v>
      </c>
      <c r="BN2495" s="1">
        <v>4900.0</v>
      </c>
      <c r="BO2495" s="1">
        <v>4800.0</v>
      </c>
      <c r="BQ2495" s="1">
        <v>299.0</v>
      </c>
      <c r="BR2495" s="1">
        <v>299.0</v>
      </c>
      <c r="BS2495" s="1">
        <v>299.0</v>
      </c>
      <c r="BU2495" s="1" t="s">
        <v>1891</v>
      </c>
      <c r="BV2495" s="1" t="s">
        <v>206</v>
      </c>
      <c r="BW2495" s="1" t="s">
        <v>207</v>
      </c>
      <c r="BY2495" s="1" t="s">
        <v>1000</v>
      </c>
      <c r="BZ2495" s="1" t="s">
        <v>42</v>
      </c>
      <c r="CA2495" s="1" t="s">
        <v>268</v>
      </c>
      <c r="CD2495" s="1" t="s">
        <v>204</v>
      </c>
      <c r="CG2495" s="1" t="s">
        <v>303</v>
      </c>
      <c r="CH2495" s="1" t="s">
        <v>206</v>
      </c>
      <c r="CI2495" s="1" t="s">
        <v>210</v>
      </c>
      <c r="CK2495" s="1" t="s">
        <v>1352</v>
      </c>
      <c r="CL2495" s="1" t="s">
        <v>206</v>
      </c>
      <c r="CM2495" s="1" t="s">
        <v>210</v>
      </c>
      <c r="CO2495" s="1" t="s">
        <v>303</v>
      </c>
      <c r="CP2495" s="1" t="s">
        <v>206</v>
      </c>
      <c r="CQ2495" s="1" t="s">
        <v>210</v>
      </c>
      <c r="CS2495" s="1" t="s">
        <v>663</v>
      </c>
      <c r="CT2495" s="1" t="s">
        <v>206</v>
      </c>
      <c r="CU2495" s="1" t="s">
        <v>268</v>
      </c>
      <c r="CW2495" s="1" t="s">
        <v>2130</v>
      </c>
      <c r="CX2495" s="1" t="s">
        <v>42</v>
      </c>
      <c r="CY2495" s="1" t="s">
        <v>268</v>
      </c>
      <c r="DA2495" s="1" t="s">
        <v>200</v>
      </c>
      <c r="DC2495" s="1" t="s">
        <v>702</v>
      </c>
      <c r="DD2495" s="1" t="s">
        <v>518</v>
      </c>
      <c r="DE2495" s="1" t="s">
        <v>273</v>
      </c>
      <c r="DF2495" s="1" t="s">
        <v>619</v>
      </c>
      <c r="DH2495" s="1" t="s">
        <v>365</v>
      </c>
      <c r="DI2495" s="1" t="s">
        <v>3940</v>
      </c>
      <c r="DJ2495" s="1" t="s">
        <v>222</v>
      </c>
      <c r="DL2495" s="1" t="s">
        <v>224</v>
      </c>
      <c r="DM2495" s="1" t="s">
        <v>229</v>
      </c>
      <c r="DP2495" s="1" t="s">
        <v>276</v>
      </c>
      <c r="DQ2495" s="1" t="s">
        <v>228</v>
      </c>
      <c r="DR2495" s="1" t="s">
        <v>229</v>
      </c>
      <c r="DS2495" s="1" t="s">
        <v>277</v>
      </c>
      <c r="DV2495" s="1" t="s">
        <v>232</v>
      </c>
      <c r="DW2495" s="1" t="s">
        <v>279</v>
      </c>
      <c r="DX2495" s="1" t="s">
        <v>234</v>
      </c>
      <c r="EC2495" s="1" t="s">
        <v>311</v>
      </c>
      <c r="ED2495" s="1" t="s">
        <v>407</v>
      </c>
      <c r="EM2495" s="1" t="s">
        <v>238</v>
      </c>
      <c r="EQ2495" s="1" t="s">
        <v>238</v>
      </c>
      <c r="EU2495" s="1" t="s">
        <v>238</v>
      </c>
      <c r="EY2495" s="1" t="s">
        <v>238</v>
      </c>
      <c r="FC2495" s="1" t="s">
        <v>238</v>
      </c>
      <c r="FF2495" s="1" t="s">
        <v>229</v>
      </c>
      <c r="FG2495" s="1" t="s">
        <v>200</v>
      </c>
      <c r="FH2495" s="1" t="s">
        <v>200</v>
      </c>
      <c r="FJ2495" s="1" t="s">
        <v>524</v>
      </c>
      <c r="FK2495" s="1" t="s">
        <v>229</v>
      </c>
      <c r="FL2495" s="1" t="s">
        <v>3787</v>
      </c>
      <c r="FM2495" s="1">
        <v>8654.0</v>
      </c>
      <c r="FN2495" s="1" t="s">
        <v>3788</v>
      </c>
      <c r="FO2495" s="1" t="s">
        <v>3789</v>
      </c>
      <c r="FP2495" s="1">
        <v>86206.0</v>
      </c>
      <c r="FQ2495" s="1" t="s">
        <v>3788</v>
      </c>
      <c r="FU2495" s="1" t="s">
        <v>22337</v>
      </c>
      <c r="FV2495" s="1" t="s">
        <v>200</v>
      </c>
      <c r="FW2495" s="1" t="s">
        <v>631</v>
      </c>
      <c r="FX2495" s="1" t="s">
        <v>655</v>
      </c>
      <c r="FZ2495" s="1" t="s">
        <v>229</v>
      </c>
      <c r="GA2495" s="1" t="s">
        <v>291</v>
      </c>
      <c r="GB2495" s="2">
        <v>42116.0</v>
      </c>
    </row>
    <row r="2496">
      <c r="A2496" s="1">
        <v>255000.0</v>
      </c>
      <c r="B2496" s="1" t="s">
        <v>185</v>
      </c>
      <c r="C2496" s="1" t="str">
        <f>"08821997"</f>
        <v>08821997</v>
      </c>
      <c r="D2496" s="1" t="s">
        <v>186</v>
      </c>
      <c r="F2496" s="1" t="str">
        <f>"8070"</f>
        <v>8070</v>
      </c>
      <c r="G2496" s="2">
        <v>42026.0</v>
      </c>
      <c r="H2496" s="1">
        <v>259900.0</v>
      </c>
      <c r="I2496" s="1">
        <v>15.0</v>
      </c>
      <c r="J2496" s="1">
        <v>259800.0</v>
      </c>
      <c r="K2496" s="2">
        <v>42040.0</v>
      </c>
      <c r="L2496" s="1">
        <v>15.0</v>
      </c>
      <c r="M2496" s="2">
        <v>42040.0</v>
      </c>
      <c r="N2496" s="1" t="s">
        <v>187</v>
      </c>
      <c r="O2496" s="2">
        <v>42079.0</v>
      </c>
      <c r="P2496" s="1">
        <v>143680.0</v>
      </c>
      <c r="Q2496" s="1">
        <v>12555.0</v>
      </c>
      <c r="R2496" s="1">
        <v>5000.0</v>
      </c>
      <c r="S2496" s="1">
        <v>8545.0</v>
      </c>
      <c r="T2496" s="1" t="s">
        <v>4899</v>
      </c>
      <c r="U2496" s="1" t="s">
        <v>189</v>
      </c>
      <c r="V2496" s="1" t="s">
        <v>190</v>
      </c>
      <c r="W2496" s="1">
        <v>60652.0</v>
      </c>
      <c r="Y2496" s="1" t="s">
        <v>22628</v>
      </c>
      <c r="Z2496" s="1">
        <v>1963.0</v>
      </c>
      <c r="AA2496" s="1" t="s">
        <v>192</v>
      </c>
      <c r="AB2496" s="1" t="s">
        <v>193</v>
      </c>
      <c r="AD2496" s="1" t="s">
        <v>194</v>
      </c>
      <c r="AE2496" s="1" t="s">
        <v>195</v>
      </c>
      <c r="AF2496" s="1" t="s">
        <v>659</v>
      </c>
      <c r="AH2496" s="1" t="s">
        <v>6907</v>
      </c>
      <c r="AI2496" s="1">
        <v>0.1148</v>
      </c>
      <c r="AK2496" s="1">
        <v>8.0</v>
      </c>
      <c r="AL2496" s="1">
        <v>4.0</v>
      </c>
      <c r="AM2496" s="1">
        <v>2.0</v>
      </c>
      <c r="AN2496" s="1">
        <v>1.0</v>
      </c>
      <c r="AO2496" s="1" t="s">
        <v>229</v>
      </c>
      <c r="AQ2496" s="1" t="s">
        <v>198</v>
      </c>
      <c r="AR2496" s="1" t="s">
        <v>192</v>
      </c>
      <c r="AS2496" s="1" t="s">
        <v>199</v>
      </c>
      <c r="AT2496" s="1">
        <v>2.0</v>
      </c>
      <c r="AV2496" s="1" t="s">
        <v>200</v>
      </c>
      <c r="AW2496" s="1">
        <v>3382.05</v>
      </c>
      <c r="AX2496" s="1">
        <v>2013.0</v>
      </c>
      <c r="AZ2496" s="1" t="s">
        <v>200</v>
      </c>
      <c r="BA2496" s="1" t="str">
        <f>"19344220340000"</f>
        <v>19344220340000</v>
      </c>
      <c r="BC2496" s="1">
        <v>1222.0</v>
      </c>
      <c r="BD2496" s="1">
        <v>255000.0</v>
      </c>
      <c r="BE2496" s="2">
        <v>42026.0</v>
      </c>
      <c r="BF2496" s="2" t="s">
        <v>22629</v>
      </c>
      <c r="BH2496" s="1">
        <v>0.0</v>
      </c>
      <c r="BK2496" s="1" t="s">
        <v>204</v>
      </c>
      <c r="BL2496" s="1" t="str">
        <f t="shared" ref="BL2496:BM2496" si="1626">"0"</f>
        <v>0</v>
      </c>
      <c r="BM2496" s="1" t="str">
        <f t="shared" si="1626"/>
        <v>0</v>
      </c>
      <c r="BN2496" s="1">
        <v>4100.0</v>
      </c>
      <c r="BO2496" s="1">
        <v>8545.0</v>
      </c>
      <c r="BQ2496" s="1">
        <v>299.0</v>
      </c>
      <c r="BR2496" s="1">
        <v>299.0</v>
      </c>
      <c r="BS2496" s="1">
        <v>299.0</v>
      </c>
      <c r="BU2496" s="1" t="s">
        <v>333</v>
      </c>
      <c r="BV2496" s="1" t="s">
        <v>206</v>
      </c>
      <c r="BW2496" s="1" t="s">
        <v>207</v>
      </c>
      <c r="BY2496" s="1" t="s">
        <v>331</v>
      </c>
      <c r="BZ2496" s="1" t="s">
        <v>209</v>
      </c>
      <c r="CA2496" s="1" t="s">
        <v>207</v>
      </c>
      <c r="CC2496" s="1" t="s">
        <v>393</v>
      </c>
      <c r="CD2496" s="1" t="s">
        <v>206</v>
      </c>
      <c r="CE2496" s="1" t="s">
        <v>207</v>
      </c>
      <c r="CG2496" s="1" t="s">
        <v>331</v>
      </c>
      <c r="CH2496" s="1" t="s">
        <v>209</v>
      </c>
      <c r="CI2496" s="1" t="s">
        <v>207</v>
      </c>
      <c r="CK2496" s="1" t="s">
        <v>215</v>
      </c>
      <c r="CL2496" s="1" t="s">
        <v>209</v>
      </c>
      <c r="CM2496" s="1" t="s">
        <v>207</v>
      </c>
      <c r="CO2496" s="1" t="s">
        <v>495</v>
      </c>
      <c r="CP2496" s="1" t="s">
        <v>209</v>
      </c>
      <c r="CQ2496" s="1" t="s">
        <v>207</v>
      </c>
      <c r="CS2496" s="1" t="s">
        <v>433</v>
      </c>
      <c r="CT2496" s="1" t="s">
        <v>206</v>
      </c>
      <c r="CU2496" s="1" t="s">
        <v>207</v>
      </c>
      <c r="CW2496" s="1" t="s">
        <v>9077</v>
      </c>
      <c r="CX2496" s="1" t="s">
        <v>267</v>
      </c>
      <c r="CY2496" s="1" t="s">
        <v>268</v>
      </c>
      <c r="DA2496" s="1" t="s">
        <v>200</v>
      </c>
      <c r="DC2496" s="1" t="s">
        <v>271</v>
      </c>
      <c r="DD2496" s="1" t="s">
        <v>731</v>
      </c>
      <c r="DE2496" s="1" t="s">
        <v>273</v>
      </c>
      <c r="DF2496" s="1" t="s">
        <v>219</v>
      </c>
      <c r="DG2496" s="1" t="s">
        <v>337</v>
      </c>
      <c r="DH2496" s="1" t="s">
        <v>365</v>
      </c>
      <c r="DI2496" s="1" t="s">
        <v>366</v>
      </c>
      <c r="DJ2496" s="1" t="s">
        <v>222</v>
      </c>
      <c r="DL2496" s="1" t="s">
        <v>224</v>
      </c>
      <c r="DM2496" s="1" t="s">
        <v>338</v>
      </c>
      <c r="DN2496" s="1" t="s">
        <v>20856</v>
      </c>
      <c r="DP2496" s="1" t="s">
        <v>340</v>
      </c>
      <c r="DQ2496" s="1" t="s">
        <v>228</v>
      </c>
      <c r="DR2496" s="1" t="s">
        <v>229</v>
      </c>
      <c r="DS2496" s="1" t="s">
        <v>230</v>
      </c>
      <c r="DV2496" s="1" t="s">
        <v>232</v>
      </c>
      <c r="DW2496" s="1" t="s">
        <v>279</v>
      </c>
      <c r="DX2496" s="1" t="s">
        <v>234</v>
      </c>
      <c r="DY2496" s="1" t="s">
        <v>704</v>
      </c>
      <c r="EC2496" s="1" t="s">
        <v>284</v>
      </c>
      <c r="ED2496" s="1" t="s">
        <v>407</v>
      </c>
      <c r="EE2496" s="1" t="s">
        <v>493</v>
      </c>
      <c r="EM2496" s="1" t="s">
        <v>238</v>
      </c>
      <c r="EQ2496" s="1" t="s">
        <v>238</v>
      </c>
      <c r="EU2496" s="1" t="s">
        <v>238</v>
      </c>
      <c r="EY2496" s="1" t="s">
        <v>238</v>
      </c>
      <c r="FC2496" s="1" t="s">
        <v>238</v>
      </c>
      <c r="FF2496" s="1" t="s">
        <v>239</v>
      </c>
      <c r="FG2496" s="1" t="s">
        <v>192</v>
      </c>
      <c r="FH2496" s="1" t="s">
        <v>192</v>
      </c>
      <c r="FJ2496" s="1" t="s">
        <v>4471</v>
      </c>
      <c r="FK2496" s="1" t="s">
        <v>229</v>
      </c>
      <c r="FL2496" s="1" t="s">
        <v>8326</v>
      </c>
      <c r="FM2496" s="1">
        <v>23391.0</v>
      </c>
      <c r="FN2496" s="1" t="s">
        <v>8327</v>
      </c>
      <c r="FO2496" s="1" t="s">
        <v>12825</v>
      </c>
      <c r="FP2496" s="1">
        <v>239395.0</v>
      </c>
      <c r="FS2496" s="1" t="s">
        <v>12826</v>
      </c>
      <c r="FU2496" s="1" t="s">
        <v>12827</v>
      </c>
      <c r="FV2496" s="1" t="s">
        <v>192</v>
      </c>
      <c r="FW2496" s="1" t="s">
        <v>290</v>
      </c>
      <c r="FX2496" s="1" t="s">
        <v>655</v>
      </c>
      <c r="FZ2496" s="1" t="s">
        <v>229</v>
      </c>
      <c r="GA2496" s="1" t="s">
        <v>291</v>
      </c>
      <c r="GB2496" s="2">
        <v>42079.0</v>
      </c>
    </row>
    <row r="2497">
      <c r="A2497" s="1">
        <v>292000.0</v>
      </c>
      <c r="B2497" s="1" t="s">
        <v>185</v>
      </c>
      <c r="C2497" s="1" t="str">
        <f>"08818597"</f>
        <v>08818597</v>
      </c>
      <c r="D2497" s="1" t="s">
        <v>186</v>
      </c>
      <c r="F2497" s="1" t="str">
        <f>"8014"</f>
        <v>8014</v>
      </c>
      <c r="G2497" s="2">
        <v>42021.0</v>
      </c>
      <c r="H2497" s="1">
        <v>295000.0</v>
      </c>
      <c r="I2497" s="1">
        <v>11.0</v>
      </c>
      <c r="J2497" s="1">
        <v>295000.0</v>
      </c>
      <c r="K2497" s="2">
        <v>42031.0</v>
      </c>
      <c r="L2497" s="1">
        <v>11.0</v>
      </c>
      <c r="M2497" s="2">
        <v>42031.0</v>
      </c>
      <c r="N2497" s="1" t="s">
        <v>356</v>
      </c>
      <c r="O2497" s="2">
        <v>42079.0</v>
      </c>
      <c r="P2497" s="1">
        <v>153674.0</v>
      </c>
      <c r="Q2497" s="1">
        <v>18080.0</v>
      </c>
      <c r="S2497" s="1">
        <v>5137.0</v>
      </c>
      <c r="T2497" s="1" t="s">
        <v>7179</v>
      </c>
      <c r="U2497" s="1" t="s">
        <v>189</v>
      </c>
      <c r="V2497" s="1" t="s">
        <v>190</v>
      </c>
      <c r="W2497" s="1">
        <v>60630.0</v>
      </c>
      <c r="Y2497" s="1" t="s">
        <v>22630</v>
      </c>
      <c r="Z2497" s="1">
        <v>1927.0</v>
      </c>
      <c r="AA2497" s="1" t="s">
        <v>192</v>
      </c>
      <c r="AB2497" s="1" t="s">
        <v>193</v>
      </c>
      <c r="AD2497" s="1" t="s">
        <v>194</v>
      </c>
      <c r="AE2497" s="1" t="s">
        <v>195</v>
      </c>
      <c r="AF2497" s="1" t="s">
        <v>196</v>
      </c>
      <c r="AH2497" s="1">
        <v>30.125</v>
      </c>
      <c r="AI2497" s="1">
        <v>0.0875</v>
      </c>
      <c r="AK2497" s="1">
        <v>7.0</v>
      </c>
      <c r="AL2497" s="1">
        <v>4.0</v>
      </c>
      <c r="AM2497" s="1">
        <v>2.0</v>
      </c>
      <c r="AN2497" s="1">
        <v>1.0</v>
      </c>
      <c r="AO2497" s="1" t="s">
        <v>229</v>
      </c>
      <c r="AQ2497" s="1" t="s">
        <v>198</v>
      </c>
      <c r="AR2497" s="1" t="s">
        <v>192</v>
      </c>
      <c r="AS2497" s="1" t="s">
        <v>199</v>
      </c>
      <c r="AT2497" s="1">
        <v>2.0</v>
      </c>
      <c r="AV2497" s="1" t="s">
        <v>200</v>
      </c>
      <c r="AW2497" s="1">
        <v>6055.41</v>
      </c>
      <c r="AX2497" s="1">
        <v>2012.0</v>
      </c>
      <c r="AZ2497" s="1" t="s">
        <v>200</v>
      </c>
      <c r="BA2497" s="1" t="str">
        <f>"13104030080000"</f>
        <v>13104030080000</v>
      </c>
      <c r="BC2497" s="1">
        <v>2150.0</v>
      </c>
      <c r="BD2497" s="1">
        <v>292000.0</v>
      </c>
      <c r="BE2497" s="2">
        <v>42021.0</v>
      </c>
      <c r="BF2497" s="2" t="s">
        <v>22631</v>
      </c>
      <c r="BH2497" s="1">
        <v>0.0</v>
      </c>
      <c r="BK2497" s="1" t="s">
        <v>204</v>
      </c>
      <c r="BL2497" s="1" t="str">
        <f>"5137"</f>
        <v>5137</v>
      </c>
      <c r="BM2497" s="1" t="str">
        <f>"0"</f>
        <v>0</v>
      </c>
      <c r="BN2497" s="1">
        <v>4300.0</v>
      </c>
      <c r="BO2497" s="1">
        <v>0.0</v>
      </c>
      <c r="BQ2497" s="1">
        <v>299.0</v>
      </c>
      <c r="BR2497" s="1">
        <v>299.0</v>
      </c>
      <c r="BS2497" s="1">
        <v>299.0</v>
      </c>
      <c r="BU2497" s="1" t="s">
        <v>496</v>
      </c>
      <c r="BV2497" s="1" t="s">
        <v>206</v>
      </c>
      <c r="BW2497" s="1" t="s">
        <v>207</v>
      </c>
      <c r="BY2497" s="1" t="s">
        <v>3307</v>
      </c>
      <c r="BZ2497" s="1" t="s">
        <v>209</v>
      </c>
      <c r="CA2497" s="1" t="s">
        <v>617</v>
      </c>
      <c r="CC2497" s="1" t="s">
        <v>300</v>
      </c>
      <c r="CD2497" s="1" t="s">
        <v>206</v>
      </c>
      <c r="CE2497" s="1" t="s">
        <v>207</v>
      </c>
      <c r="CG2497" s="1" t="s">
        <v>363</v>
      </c>
      <c r="CH2497" s="1" t="s">
        <v>206</v>
      </c>
      <c r="CI2497" s="1" t="s">
        <v>207</v>
      </c>
      <c r="CK2497" s="1" t="s">
        <v>212</v>
      </c>
      <c r="CL2497" s="1" t="s">
        <v>206</v>
      </c>
      <c r="CM2497" s="1" t="s">
        <v>207</v>
      </c>
      <c r="CO2497" s="1" t="s">
        <v>478</v>
      </c>
      <c r="CP2497" s="1" t="s">
        <v>206</v>
      </c>
      <c r="CQ2497" s="1" t="s">
        <v>207</v>
      </c>
      <c r="CS2497" s="1" t="s">
        <v>363</v>
      </c>
      <c r="CT2497" s="1" t="s">
        <v>206</v>
      </c>
      <c r="CU2497" s="1" t="s">
        <v>617</v>
      </c>
      <c r="CX2497" s="1" t="s">
        <v>204</v>
      </c>
      <c r="DA2497" s="1" t="s">
        <v>200</v>
      </c>
      <c r="DC2497" s="1" t="s">
        <v>785</v>
      </c>
      <c r="DE2497" s="1" t="s">
        <v>229</v>
      </c>
      <c r="DF2497" s="1" t="s">
        <v>619</v>
      </c>
      <c r="DH2497" s="1" t="s">
        <v>307</v>
      </c>
      <c r="DJ2497" s="1" t="s">
        <v>222</v>
      </c>
      <c r="DL2497" s="1" t="s">
        <v>858</v>
      </c>
      <c r="DM2497" s="1" t="s">
        <v>229</v>
      </c>
      <c r="DQ2497" s="1" t="s">
        <v>228</v>
      </c>
      <c r="DR2497" s="1" t="s">
        <v>229</v>
      </c>
      <c r="DV2497" s="1" t="s">
        <v>22632</v>
      </c>
      <c r="DW2497" s="1" t="s">
        <v>279</v>
      </c>
      <c r="DX2497" s="1" t="s">
        <v>234</v>
      </c>
      <c r="EA2497" s="1" t="s">
        <v>644</v>
      </c>
      <c r="EC2497" s="1" t="s">
        <v>237</v>
      </c>
      <c r="EG2497" s="1" t="s">
        <v>720</v>
      </c>
      <c r="EH2497" s="1" t="s">
        <v>374</v>
      </c>
      <c r="EL2497" s="1" t="s">
        <v>4413</v>
      </c>
      <c r="EM2497" s="1" t="s">
        <v>206</v>
      </c>
      <c r="EP2497" s="1" t="s">
        <v>4413</v>
      </c>
      <c r="EQ2497" s="1" t="s">
        <v>206</v>
      </c>
      <c r="EU2497" s="1" t="s">
        <v>238</v>
      </c>
      <c r="EY2497" s="1" t="s">
        <v>238</v>
      </c>
      <c r="FC2497" s="1" t="s">
        <v>238</v>
      </c>
      <c r="FF2497" s="1" t="s">
        <v>239</v>
      </c>
      <c r="FG2497" s="1" t="s">
        <v>192</v>
      </c>
      <c r="FH2497" s="1" t="s">
        <v>192</v>
      </c>
      <c r="FJ2497" s="1" t="s">
        <v>22633</v>
      </c>
      <c r="FK2497" s="1" t="s">
        <v>229</v>
      </c>
      <c r="FL2497" s="1" t="s">
        <v>1124</v>
      </c>
      <c r="FM2497" s="1">
        <v>10267.0</v>
      </c>
      <c r="FN2497" s="1" t="s">
        <v>3908</v>
      </c>
      <c r="FO2497" s="1" t="s">
        <v>22634</v>
      </c>
      <c r="FP2497" s="1">
        <v>106151.0</v>
      </c>
      <c r="FQ2497" s="1" t="s">
        <v>22635</v>
      </c>
      <c r="FU2497" s="1" t="s">
        <v>1438</v>
      </c>
      <c r="FV2497" s="1" t="s">
        <v>200</v>
      </c>
      <c r="FW2497" s="1" t="s">
        <v>290</v>
      </c>
      <c r="FX2497" s="1" t="s">
        <v>238</v>
      </c>
      <c r="FZ2497" s="1" t="s">
        <v>229</v>
      </c>
      <c r="GA2497" s="1" t="s">
        <v>291</v>
      </c>
      <c r="GB2497" s="2">
        <v>42079.0</v>
      </c>
      <c r="GC2497" s="1" t="s">
        <v>22636</v>
      </c>
    </row>
    <row r="2498">
      <c r="A2498" s="1">
        <v>27000.0</v>
      </c>
      <c r="B2498" s="1" t="s">
        <v>185</v>
      </c>
      <c r="C2498" s="1" t="str">
        <f>"08821303"</f>
        <v>08821303</v>
      </c>
      <c r="D2498" s="1" t="s">
        <v>186</v>
      </c>
      <c r="F2498" s="1" t="str">
        <f>"8071"</f>
        <v>8071</v>
      </c>
      <c r="G2498" s="2">
        <v>42025.0</v>
      </c>
      <c r="H2498" s="1">
        <v>27000.0</v>
      </c>
      <c r="I2498" s="1">
        <v>1.0</v>
      </c>
      <c r="J2498" s="1">
        <v>27000.0</v>
      </c>
      <c r="K2498" s="2">
        <v>42025.0</v>
      </c>
      <c r="L2498" s="1">
        <v>1.0</v>
      </c>
      <c r="M2498" s="2">
        <v>42025.0</v>
      </c>
      <c r="N2498" s="1" t="s">
        <v>249</v>
      </c>
      <c r="O2498" s="2">
        <v>42055.0</v>
      </c>
      <c r="P2498" s="1">
        <v>128364.0</v>
      </c>
      <c r="Q2498" s="1">
        <v>13909.0</v>
      </c>
      <c r="S2498" s="1">
        <v>8823.0</v>
      </c>
      <c r="T2498" s="1" t="s">
        <v>2574</v>
      </c>
      <c r="U2498" s="1" t="s">
        <v>320</v>
      </c>
      <c r="V2498" s="1" t="s">
        <v>190</v>
      </c>
      <c r="W2498" s="1">
        <v>60620.0</v>
      </c>
      <c r="Y2498" s="1" t="s">
        <v>22637</v>
      </c>
      <c r="Z2498" s="1">
        <v>1945.0</v>
      </c>
      <c r="AA2498" s="1" t="s">
        <v>192</v>
      </c>
      <c r="AB2498" s="1" t="s">
        <v>193</v>
      </c>
      <c r="AD2498" s="1" t="s">
        <v>194</v>
      </c>
      <c r="AE2498" s="1" t="s">
        <v>195</v>
      </c>
      <c r="AF2498" s="1" t="s">
        <v>659</v>
      </c>
      <c r="AH2498" s="1" t="s">
        <v>359</v>
      </c>
      <c r="AI2498" s="1">
        <v>0.0717</v>
      </c>
      <c r="AK2498" s="1">
        <v>8.0</v>
      </c>
      <c r="AL2498" s="1">
        <v>4.0</v>
      </c>
      <c r="AM2498" s="1">
        <v>2.0</v>
      </c>
      <c r="AN2498" s="1">
        <v>0.0</v>
      </c>
      <c r="AO2498" s="1" t="s">
        <v>229</v>
      </c>
      <c r="AQ2498" s="1" t="s">
        <v>198</v>
      </c>
      <c r="AR2498" s="1" t="s">
        <v>200</v>
      </c>
      <c r="AS2498" s="1" t="s">
        <v>199</v>
      </c>
      <c r="AT2498" s="1">
        <v>2.0</v>
      </c>
      <c r="AV2498" s="1" t="s">
        <v>200</v>
      </c>
      <c r="AW2498" s="1">
        <v>1617.11</v>
      </c>
      <c r="AX2498" s="1">
        <v>2012.0</v>
      </c>
      <c r="AZ2498" s="1" t="s">
        <v>200</v>
      </c>
      <c r="BA2498" s="1" t="str">
        <f>"25062100100000"</f>
        <v>25062100100000</v>
      </c>
      <c r="BC2498" s="1">
        <v>1920.0</v>
      </c>
      <c r="BD2498" s="1">
        <v>27000.0</v>
      </c>
      <c r="BE2498" s="2">
        <v>42025.0</v>
      </c>
      <c r="BF2498" s="2" t="s">
        <v>22638</v>
      </c>
      <c r="BH2498" s="1">
        <v>0.0</v>
      </c>
      <c r="BK2498" s="1" t="s">
        <v>204</v>
      </c>
      <c r="BL2498" s="1" t="str">
        <f t="shared" ref="BL2498:BM2498" si="1627">"0"</f>
        <v>0</v>
      </c>
      <c r="BM2498" s="1" t="str">
        <f t="shared" si="1627"/>
        <v>0</v>
      </c>
      <c r="BN2498" s="1">
        <v>1900.0</v>
      </c>
      <c r="BO2498" s="1">
        <v>8823.0</v>
      </c>
      <c r="BQ2498" s="1">
        <v>299.0</v>
      </c>
      <c r="BR2498" s="1">
        <v>299.0</v>
      </c>
      <c r="BS2498" s="1">
        <v>299.0</v>
      </c>
      <c r="BU2498" s="1" t="s">
        <v>433</v>
      </c>
      <c r="BV2498" s="1" t="s">
        <v>206</v>
      </c>
      <c r="BY2498" s="1" t="s">
        <v>363</v>
      </c>
      <c r="BZ2498" s="1" t="s">
        <v>209</v>
      </c>
      <c r="CC2498" s="1" t="s">
        <v>363</v>
      </c>
      <c r="CD2498" s="1" t="s">
        <v>206</v>
      </c>
      <c r="CG2498" s="1" t="s">
        <v>363</v>
      </c>
      <c r="CH2498" s="1" t="s">
        <v>209</v>
      </c>
      <c r="CK2498" s="1" t="s">
        <v>699</v>
      </c>
      <c r="CL2498" s="1" t="s">
        <v>209</v>
      </c>
      <c r="CO2498" s="1" t="s">
        <v>699</v>
      </c>
      <c r="CP2498" s="1" t="s">
        <v>209</v>
      </c>
      <c r="CS2498" s="1" t="s">
        <v>363</v>
      </c>
      <c r="CT2498" s="1" t="s">
        <v>206</v>
      </c>
      <c r="CX2498" s="1" t="s">
        <v>204</v>
      </c>
      <c r="DA2498" s="1" t="s">
        <v>200</v>
      </c>
      <c r="DC2498" s="1" t="s">
        <v>702</v>
      </c>
      <c r="DE2498" s="1" t="s">
        <v>229</v>
      </c>
      <c r="DF2498" s="1" t="s">
        <v>619</v>
      </c>
      <c r="DH2498" s="1" t="s">
        <v>365</v>
      </c>
      <c r="DJ2498" s="1" t="s">
        <v>222</v>
      </c>
      <c r="DL2498" s="1" t="s">
        <v>223</v>
      </c>
      <c r="DM2498" s="1" t="s">
        <v>229</v>
      </c>
      <c r="DQ2498" s="1" t="s">
        <v>228</v>
      </c>
      <c r="DR2498" s="1" t="s">
        <v>229</v>
      </c>
      <c r="DV2498" s="1" t="s">
        <v>494</v>
      </c>
      <c r="DW2498" s="1" t="s">
        <v>279</v>
      </c>
      <c r="DX2498" s="1" t="s">
        <v>234</v>
      </c>
      <c r="EC2498" s="1" t="s">
        <v>237</v>
      </c>
      <c r="EG2498" s="1" t="s">
        <v>494</v>
      </c>
      <c r="EL2498" s="1" t="s">
        <v>3596</v>
      </c>
      <c r="EM2498" s="1" t="s">
        <v>209</v>
      </c>
      <c r="EQ2498" s="1" t="s">
        <v>238</v>
      </c>
      <c r="EU2498" s="1" t="s">
        <v>238</v>
      </c>
      <c r="EY2498" s="1" t="s">
        <v>238</v>
      </c>
      <c r="FC2498" s="1" t="s">
        <v>238</v>
      </c>
      <c r="FF2498" s="1" t="s">
        <v>239</v>
      </c>
      <c r="FG2498" s="1" t="s">
        <v>192</v>
      </c>
      <c r="FH2498" s="1" t="s">
        <v>192</v>
      </c>
      <c r="FJ2498" s="1" t="s">
        <v>2156</v>
      </c>
      <c r="FK2498" s="1" t="s">
        <v>229</v>
      </c>
      <c r="FL2498" s="1" t="s">
        <v>10766</v>
      </c>
      <c r="FM2498" s="1">
        <v>13909.0</v>
      </c>
      <c r="FN2498" s="1" t="s">
        <v>10767</v>
      </c>
      <c r="FO2498" s="1" t="s">
        <v>10768</v>
      </c>
      <c r="FP2498" s="1">
        <v>126761.0</v>
      </c>
      <c r="FQ2498" s="1" t="s">
        <v>10767</v>
      </c>
      <c r="FU2498" s="1" t="s">
        <v>3993</v>
      </c>
      <c r="FV2498" s="1" t="s">
        <v>192</v>
      </c>
      <c r="FW2498" s="1" t="s">
        <v>354</v>
      </c>
      <c r="FX2498" s="1" t="s">
        <v>655</v>
      </c>
      <c r="FZ2498" s="1" t="s">
        <v>229</v>
      </c>
      <c r="GA2498" s="1" t="s">
        <v>291</v>
      </c>
      <c r="GB2498" s="2">
        <v>42055.0</v>
      </c>
    </row>
    <row r="2499">
      <c r="A2499" s="1">
        <v>215000.0</v>
      </c>
      <c r="B2499" s="1" t="s">
        <v>185</v>
      </c>
      <c r="C2499" s="1" t="str">
        <f>"08818158"</f>
        <v>08818158</v>
      </c>
      <c r="D2499" s="1" t="s">
        <v>186</v>
      </c>
      <c r="F2499" s="1" t="str">
        <f>"103"</f>
        <v>103</v>
      </c>
      <c r="G2499" s="2">
        <v>42020.0</v>
      </c>
      <c r="H2499" s="1">
        <v>219900.0</v>
      </c>
      <c r="I2499" s="1">
        <v>14.0</v>
      </c>
      <c r="J2499" s="1">
        <v>219900.0</v>
      </c>
      <c r="K2499" s="2">
        <v>42033.0</v>
      </c>
      <c r="L2499" s="1">
        <v>14.0</v>
      </c>
      <c r="M2499" s="2">
        <v>42033.0</v>
      </c>
      <c r="N2499" s="1" t="s">
        <v>187</v>
      </c>
      <c r="O2499" s="2">
        <v>42083.0</v>
      </c>
      <c r="P2499" s="1">
        <v>8670.0</v>
      </c>
      <c r="Q2499" s="1">
        <v>41.0</v>
      </c>
      <c r="S2499" s="1">
        <v>3850.0</v>
      </c>
      <c r="T2499" s="1" t="s">
        <v>22639</v>
      </c>
      <c r="U2499" s="1" t="s">
        <v>569</v>
      </c>
      <c r="V2499" s="1" t="s">
        <v>251</v>
      </c>
      <c r="W2499" s="1">
        <v>60133.0</v>
      </c>
      <c r="Y2499" s="1" t="s">
        <v>22640</v>
      </c>
      <c r="Z2499" s="1">
        <v>1978.0</v>
      </c>
      <c r="AA2499" s="1" t="s">
        <v>200</v>
      </c>
      <c r="AB2499" s="1" t="s">
        <v>193</v>
      </c>
      <c r="AC2499" s="1" t="s">
        <v>22641</v>
      </c>
      <c r="AD2499" s="1" t="s">
        <v>254</v>
      </c>
      <c r="AE2499" s="1" t="s">
        <v>1258</v>
      </c>
      <c r="AF2499" s="1" t="s">
        <v>3935</v>
      </c>
      <c r="AH2499" s="1">
        <v>13921.0</v>
      </c>
      <c r="AI2499" s="1">
        <v>0.3196</v>
      </c>
      <c r="AK2499" s="1">
        <v>8.0</v>
      </c>
      <c r="AL2499" s="1">
        <v>3.0</v>
      </c>
      <c r="AM2499" s="1">
        <v>3.0</v>
      </c>
      <c r="AN2499" s="1">
        <v>0.0</v>
      </c>
      <c r="AO2499" s="1" t="s">
        <v>198</v>
      </c>
      <c r="AP2499" s="1">
        <v>1.0</v>
      </c>
      <c r="AQ2499" s="1" t="s">
        <v>198</v>
      </c>
      <c r="AR2499" s="1" t="s">
        <v>192</v>
      </c>
      <c r="AS2499" s="1" t="s">
        <v>199</v>
      </c>
      <c r="AT2499" s="1">
        <v>2.0</v>
      </c>
      <c r="AV2499" s="1" t="s">
        <v>200</v>
      </c>
      <c r="AW2499" s="1">
        <v>7085.86</v>
      </c>
      <c r="AX2499" s="1">
        <v>2013.0</v>
      </c>
      <c r="AZ2499" s="1" t="s">
        <v>200</v>
      </c>
      <c r="BA2499" s="1" t="str">
        <f>"0124208005"</f>
        <v>0124208005</v>
      </c>
      <c r="BB2499" s="1" t="s">
        <v>200</v>
      </c>
      <c r="BC2499" s="1">
        <v>2201.0</v>
      </c>
      <c r="BD2499" s="1">
        <v>215000.0</v>
      </c>
      <c r="BE2499" s="2">
        <v>42020.0</v>
      </c>
      <c r="BF2499" s="2" t="s">
        <v>22642</v>
      </c>
      <c r="BH2499" s="1">
        <v>0.0</v>
      </c>
      <c r="BK2499" s="1" t="s">
        <v>204</v>
      </c>
      <c r="BL2499" s="1" t="str">
        <f t="shared" ref="BL2499:BM2499" si="1628">""</f>
        <v/>
      </c>
      <c r="BM2499" s="1" t="str">
        <f t="shared" si="1628"/>
        <v/>
      </c>
      <c r="BQ2499" s="1">
        <v>93.0</v>
      </c>
      <c r="BR2499" s="1">
        <v>87.0</v>
      </c>
      <c r="BS2499" s="1">
        <v>93.0</v>
      </c>
      <c r="BU2499" s="1" t="s">
        <v>213</v>
      </c>
      <c r="BV2499" s="1" t="s">
        <v>206</v>
      </c>
      <c r="BW2499" s="1" t="s">
        <v>210</v>
      </c>
      <c r="BY2499" s="1" t="s">
        <v>433</v>
      </c>
      <c r="BZ2499" s="1" t="s">
        <v>206</v>
      </c>
      <c r="CC2499" s="1" t="s">
        <v>543</v>
      </c>
      <c r="CD2499" s="1" t="s">
        <v>206</v>
      </c>
      <c r="CG2499" s="1" t="s">
        <v>265</v>
      </c>
      <c r="CH2499" s="1" t="s">
        <v>206</v>
      </c>
      <c r="CK2499" s="1" t="s">
        <v>516</v>
      </c>
      <c r="CL2499" s="1" t="s">
        <v>206</v>
      </c>
      <c r="CO2499" s="1" t="s">
        <v>454</v>
      </c>
      <c r="CP2499" s="1" t="s">
        <v>42</v>
      </c>
      <c r="CS2499" s="1" t="s">
        <v>543</v>
      </c>
      <c r="CT2499" s="1" t="s">
        <v>206</v>
      </c>
      <c r="CW2499" s="1" t="s">
        <v>1286</v>
      </c>
      <c r="CX2499" s="1" t="s">
        <v>267</v>
      </c>
      <c r="CY2499" s="1" t="s">
        <v>210</v>
      </c>
      <c r="DA2499" s="1" t="s">
        <v>200</v>
      </c>
      <c r="DC2499" s="1" t="s">
        <v>395</v>
      </c>
      <c r="DE2499" s="1" t="s">
        <v>273</v>
      </c>
      <c r="DF2499" s="1" t="s">
        <v>219</v>
      </c>
      <c r="DH2499" s="1" t="s">
        <v>220</v>
      </c>
      <c r="DI2499" s="1" t="s">
        <v>21380</v>
      </c>
      <c r="DJ2499" s="1" t="s">
        <v>222</v>
      </c>
      <c r="DL2499" s="1" t="s">
        <v>224</v>
      </c>
      <c r="DM2499" s="1" t="s">
        <v>229</v>
      </c>
      <c r="DP2499" s="1" t="s">
        <v>400</v>
      </c>
      <c r="DQ2499" s="1" t="s">
        <v>441</v>
      </c>
      <c r="DR2499" s="1" t="s">
        <v>229</v>
      </c>
      <c r="DV2499" s="1" t="s">
        <v>232</v>
      </c>
      <c r="DW2499" s="1" t="s">
        <v>667</v>
      </c>
      <c r="DX2499" s="1" t="s">
        <v>234</v>
      </c>
      <c r="DZ2499" s="1" t="s">
        <v>446</v>
      </c>
      <c r="EA2499" s="1" t="s">
        <v>554</v>
      </c>
      <c r="EB2499" s="1" t="s">
        <v>345</v>
      </c>
      <c r="EC2499" s="1" t="s">
        <v>588</v>
      </c>
      <c r="EM2499" s="1" t="s">
        <v>238</v>
      </c>
      <c r="EQ2499" s="1" t="s">
        <v>238</v>
      </c>
      <c r="EU2499" s="1" t="s">
        <v>238</v>
      </c>
      <c r="EY2499" s="1" t="s">
        <v>238</v>
      </c>
      <c r="FC2499" s="1" t="s">
        <v>238</v>
      </c>
      <c r="FF2499" s="1" t="s">
        <v>239</v>
      </c>
      <c r="FG2499" s="1" t="s">
        <v>192</v>
      </c>
      <c r="FH2499" s="1" t="s">
        <v>192</v>
      </c>
      <c r="FJ2499" s="1" t="s">
        <v>2156</v>
      </c>
      <c r="FK2499" s="1" t="s">
        <v>229</v>
      </c>
      <c r="FL2499" s="1" t="s">
        <v>1855</v>
      </c>
      <c r="FM2499" s="1">
        <v>41.0</v>
      </c>
      <c r="FN2499" s="1" t="s">
        <v>1856</v>
      </c>
      <c r="FO2499" s="1" t="s">
        <v>1857</v>
      </c>
      <c r="FP2499" s="1">
        <v>8483.0</v>
      </c>
      <c r="FQ2499" s="1" t="s">
        <v>1858</v>
      </c>
      <c r="FS2499" s="1" t="s">
        <v>7114</v>
      </c>
      <c r="FT2499" s="1" t="s">
        <v>1860</v>
      </c>
      <c r="FU2499" s="1" t="s">
        <v>7115</v>
      </c>
      <c r="FV2499" s="1" t="s">
        <v>200</v>
      </c>
      <c r="FW2499" s="1" t="s">
        <v>354</v>
      </c>
      <c r="FZ2499" s="1" t="s">
        <v>229</v>
      </c>
      <c r="GA2499" s="1" t="s">
        <v>291</v>
      </c>
      <c r="GB2499" s="2">
        <v>42083.0</v>
      </c>
      <c r="GC2499" s="1" t="s">
        <v>4769</v>
      </c>
    </row>
    <row r="2500">
      <c r="A2500" s="1">
        <v>237950.0</v>
      </c>
      <c r="B2500" s="1" t="s">
        <v>185</v>
      </c>
      <c r="C2500" s="1" t="str">
        <f>"08821595"</f>
        <v>08821595</v>
      </c>
      <c r="D2500" s="1" t="s">
        <v>186</v>
      </c>
      <c r="F2500" s="1" t="str">
        <f>"542"</f>
        <v>542</v>
      </c>
      <c r="G2500" s="2">
        <v>42026.0</v>
      </c>
      <c r="H2500" s="1">
        <v>239900.0</v>
      </c>
      <c r="I2500" s="1">
        <v>2.0</v>
      </c>
      <c r="J2500" s="1">
        <v>239900.0</v>
      </c>
      <c r="K2500" s="2">
        <v>42027.0</v>
      </c>
      <c r="L2500" s="1">
        <v>2.0</v>
      </c>
      <c r="M2500" s="2">
        <v>42027.0</v>
      </c>
      <c r="N2500" s="1" t="s">
        <v>187</v>
      </c>
      <c r="O2500" s="2">
        <v>42083.0</v>
      </c>
      <c r="P2500" s="1">
        <v>221588.0</v>
      </c>
      <c r="Q2500" s="1">
        <v>23265.0</v>
      </c>
      <c r="S2500" s="1">
        <v>504.0</v>
      </c>
      <c r="T2500" s="1" t="s">
        <v>22643</v>
      </c>
      <c r="U2500" s="1" t="s">
        <v>1015</v>
      </c>
      <c r="V2500" s="1" t="s">
        <v>3984</v>
      </c>
      <c r="W2500" s="1">
        <v>60542.0</v>
      </c>
      <c r="Y2500" s="1" t="s">
        <v>22644</v>
      </c>
      <c r="Z2500" s="1">
        <v>1995.0</v>
      </c>
      <c r="AA2500" s="1" t="s">
        <v>200</v>
      </c>
      <c r="AB2500" s="1" t="s">
        <v>193</v>
      </c>
      <c r="AC2500" s="1" t="s">
        <v>4055</v>
      </c>
      <c r="AD2500" s="1" t="s">
        <v>3986</v>
      </c>
      <c r="AE2500" s="1" t="s">
        <v>325</v>
      </c>
      <c r="AF2500" s="1" t="s">
        <v>2702</v>
      </c>
      <c r="AH2500" s="1" t="s">
        <v>22645</v>
      </c>
      <c r="AK2500" s="1">
        <v>10.0</v>
      </c>
      <c r="AL2500" s="1">
        <v>3.0</v>
      </c>
      <c r="AM2500" s="1">
        <v>1.0</v>
      </c>
      <c r="AN2500" s="1">
        <v>1.0</v>
      </c>
      <c r="AO2500" s="1" t="s">
        <v>1261</v>
      </c>
      <c r="AP2500" s="1">
        <v>1.0</v>
      </c>
      <c r="AQ2500" s="1" t="s">
        <v>198</v>
      </c>
      <c r="AR2500" s="1" t="s">
        <v>200</v>
      </c>
      <c r="AS2500" s="1" t="s">
        <v>199</v>
      </c>
      <c r="AT2500" s="1">
        <v>2.0</v>
      </c>
      <c r="AV2500" s="1" t="s">
        <v>200</v>
      </c>
      <c r="AW2500" s="1">
        <v>6309.0</v>
      </c>
      <c r="AX2500" s="1">
        <v>2013.0</v>
      </c>
      <c r="AY2500" s="1" t="s">
        <v>387</v>
      </c>
      <c r="AZ2500" s="1" t="s">
        <v>200</v>
      </c>
      <c r="BA2500" s="1" t="str">
        <f>"1234476047"</f>
        <v>1234476047</v>
      </c>
      <c r="BC2500" s="1">
        <v>1746.0</v>
      </c>
      <c r="BD2500" s="1">
        <v>237950.0</v>
      </c>
      <c r="BE2500" s="2">
        <v>42026.0</v>
      </c>
      <c r="BF2500" s="2" t="s">
        <v>22646</v>
      </c>
      <c r="BG2500" s="1" t="s">
        <v>4059</v>
      </c>
      <c r="BH2500" s="1">
        <v>0.0</v>
      </c>
      <c r="BI2500" s="1" t="s">
        <v>4421</v>
      </c>
      <c r="BJ2500" s="1" t="s">
        <v>3831</v>
      </c>
      <c r="BK2500" s="1" t="s">
        <v>204</v>
      </c>
      <c r="BL2500" s="1" t="str">
        <f t="shared" ref="BL2500:BM2500" si="1629">""</f>
        <v/>
      </c>
      <c r="BM2500" s="1" t="str">
        <f t="shared" si="1629"/>
        <v/>
      </c>
      <c r="BQ2500" s="1">
        <v>129.0</v>
      </c>
      <c r="BR2500" s="1">
        <v>129.0</v>
      </c>
      <c r="BS2500" s="1">
        <v>129.0</v>
      </c>
      <c r="BU2500" s="1" t="s">
        <v>264</v>
      </c>
      <c r="BV2500" s="1" t="s">
        <v>206</v>
      </c>
      <c r="BW2500" s="1" t="s">
        <v>207</v>
      </c>
      <c r="BY2500" s="1" t="s">
        <v>214</v>
      </c>
      <c r="BZ2500" s="1" t="s">
        <v>209</v>
      </c>
      <c r="CA2500" s="1" t="s">
        <v>210</v>
      </c>
      <c r="CC2500" s="1" t="s">
        <v>495</v>
      </c>
      <c r="CD2500" s="1" t="s">
        <v>206</v>
      </c>
      <c r="CE2500" s="1" t="s">
        <v>207</v>
      </c>
      <c r="CG2500" s="1" t="s">
        <v>331</v>
      </c>
      <c r="CH2500" s="1" t="s">
        <v>209</v>
      </c>
      <c r="CI2500" s="1" t="s">
        <v>210</v>
      </c>
      <c r="CK2500" s="1" t="s">
        <v>495</v>
      </c>
      <c r="CL2500" s="1" t="s">
        <v>209</v>
      </c>
      <c r="CM2500" s="1" t="s">
        <v>210</v>
      </c>
      <c r="CO2500" s="1" t="s">
        <v>1229</v>
      </c>
      <c r="CP2500" s="1" t="s">
        <v>42</v>
      </c>
      <c r="CQ2500" s="1" t="s">
        <v>210</v>
      </c>
      <c r="CS2500" s="1" t="s">
        <v>1426</v>
      </c>
      <c r="CT2500" s="1" t="s">
        <v>206</v>
      </c>
      <c r="CU2500" s="1" t="s">
        <v>207</v>
      </c>
      <c r="CW2500" s="1" t="s">
        <v>743</v>
      </c>
      <c r="CX2500" s="1" t="s">
        <v>206</v>
      </c>
      <c r="CY2500" s="1" t="s">
        <v>207</v>
      </c>
      <c r="DA2500" s="1" t="s">
        <v>200</v>
      </c>
      <c r="DC2500" s="1" t="s">
        <v>678</v>
      </c>
      <c r="DD2500" s="1" t="s">
        <v>926</v>
      </c>
      <c r="DE2500" s="1" t="s">
        <v>273</v>
      </c>
      <c r="DF2500" s="1" t="s">
        <v>219</v>
      </c>
      <c r="DG2500" s="1" t="s">
        <v>482</v>
      </c>
      <c r="DH2500" s="1" t="s">
        <v>220</v>
      </c>
      <c r="DI2500" s="1" t="s">
        <v>4695</v>
      </c>
      <c r="DJ2500" s="1" t="s">
        <v>222</v>
      </c>
      <c r="DL2500" s="1" t="s">
        <v>224</v>
      </c>
      <c r="DM2500" s="1" t="s">
        <v>338</v>
      </c>
      <c r="DN2500" s="1" t="s">
        <v>339</v>
      </c>
      <c r="DO2500" s="1" t="s">
        <v>717</v>
      </c>
      <c r="DP2500" s="1" t="s">
        <v>340</v>
      </c>
      <c r="DQ2500" s="1" t="s">
        <v>228</v>
      </c>
      <c r="DR2500" s="1" t="s">
        <v>229</v>
      </c>
      <c r="DS2500" s="1" t="s">
        <v>230</v>
      </c>
      <c r="DU2500" s="1" t="s">
        <v>487</v>
      </c>
      <c r="DV2500" s="1" t="s">
        <v>11151</v>
      </c>
      <c r="DW2500" s="1" t="s">
        <v>370</v>
      </c>
      <c r="DX2500" s="1" t="s">
        <v>234</v>
      </c>
      <c r="DY2500" s="1" t="s">
        <v>704</v>
      </c>
      <c r="DZ2500" s="1" t="s">
        <v>2424</v>
      </c>
      <c r="EA2500" s="1" t="s">
        <v>447</v>
      </c>
      <c r="EB2500" s="1" t="s">
        <v>937</v>
      </c>
      <c r="EC2500" s="1" t="s">
        <v>237</v>
      </c>
      <c r="ED2500" s="1" t="s">
        <v>407</v>
      </c>
      <c r="EG2500" s="1" t="s">
        <v>450</v>
      </c>
      <c r="EH2500" s="1" t="s">
        <v>1824</v>
      </c>
      <c r="EL2500" s="1" t="s">
        <v>3539</v>
      </c>
      <c r="EM2500" s="1" t="s">
        <v>42</v>
      </c>
      <c r="EN2500" s="1" t="s">
        <v>210</v>
      </c>
      <c r="EP2500" s="1" t="s">
        <v>495</v>
      </c>
      <c r="EQ2500" s="1" t="s">
        <v>42</v>
      </c>
      <c r="ER2500" s="1" t="s">
        <v>210</v>
      </c>
      <c r="EU2500" s="1" t="s">
        <v>238</v>
      </c>
      <c r="EY2500" s="1" t="s">
        <v>238</v>
      </c>
      <c r="FC2500" s="1" t="s">
        <v>238</v>
      </c>
      <c r="FF2500" s="1" t="s">
        <v>239</v>
      </c>
      <c r="FG2500" s="1" t="s">
        <v>192</v>
      </c>
      <c r="FH2500" s="1" t="s">
        <v>192</v>
      </c>
      <c r="FJ2500" s="1" t="s">
        <v>2206</v>
      </c>
      <c r="FK2500" s="1" t="s">
        <v>229</v>
      </c>
      <c r="FL2500" s="1" t="s">
        <v>893</v>
      </c>
      <c r="FM2500" s="1">
        <v>604.0</v>
      </c>
      <c r="FN2500" s="1" t="s">
        <v>894</v>
      </c>
      <c r="FO2500" s="1" t="s">
        <v>2207</v>
      </c>
      <c r="FP2500" s="1">
        <v>681.0</v>
      </c>
      <c r="FQ2500" s="1" t="s">
        <v>2208</v>
      </c>
      <c r="FR2500" s="1">
        <v>824.0</v>
      </c>
      <c r="FS2500" s="1" t="s">
        <v>2209</v>
      </c>
      <c r="FU2500" s="1" t="s">
        <v>22647</v>
      </c>
      <c r="FV2500" s="1" t="s">
        <v>200</v>
      </c>
      <c r="FW2500" s="1" t="s">
        <v>530</v>
      </c>
      <c r="FZ2500" s="1" t="s">
        <v>229</v>
      </c>
      <c r="GA2500" s="1" t="s">
        <v>291</v>
      </c>
      <c r="GB2500" s="2">
        <v>42083.0</v>
      </c>
    </row>
    <row r="2501">
      <c r="A2501" s="1">
        <v>157000.0</v>
      </c>
      <c r="B2501" s="1" t="s">
        <v>185</v>
      </c>
      <c r="C2501" s="1" t="str">
        <f>"08821171"</f>
        <v>08821171</v>
      </c>
      <c r="D2501" s="1" t="s">
        <v>186</v>
      </c>
      <c r="F2501" s="1" t="str">
        <f>"123"</f>
        <v>123</v>
      </c>
      <c r="G2501" s="2">
        <v>42025.0</v>
      </c>
      <c r="H2501" s="1">
        <v>159900.0</v>
      </c>
      <c r="I2501" s="1">
        <v>43.0</v>
      </c>
      <c r="J2501" s="1">
        <v>159900.0</v>
      </c>
      <c r="K2501" s="2">
        <v>42067.0</v>
      </c>
      <c r="L2501" s="1">
        <v>43.0</v>
      </c>
      <c r="M2501" s="2">
        <v>42067.0</v>
      </c>
      <c r="N2501" s="1" t="s">
        <v>356</v>
      </c>
      <c r="O2501" s="2">
        <v>42117.0</v>
      </c>
      <c r="P2501" s="1">
        <v>7944.0</v>
      </c>
      <c r="Q2501" s="1">
        <v>7450.0</v>
      </c>
      <c r="R2501" s="1">
        <v>3000.0</v>
      </c>
      <c r="S2501" s="1">
        <v>866.0</v>
      </c>
      <c r="T2501" s="1" t="s">
        <v>1238</v>
      </c>
      <c r="U2501" s="1" t="s">
        <v>189</v>
      </c>
      <c r="V2501" s="1" t="s">
        <v>465</v>
      </c>
      <c r="W2501" s="1">
        <v>60120.0</v>
      </c>
      <c r="Y2501" s="1" t="s">
        <v>1239</v>
      </c>
      <c r="Z2501" s="1">
        <v>1963.0</v>
      </c>
      <c r="AA2501" s="1" t="s">
        <v>192</v>
      </c>
      <c r="AB2501" s="1" t="s">
        <v>193</v>
      </c>
      <c r="AD2501" s="1" t="s">
        <v>469</v>
      </c>
      <c r="AE2501" s="1" t="s">
        <v>195</v>
      </c>
      <c r="AF2501" s="1" t="s">
        <v>298</v>
      </c>
      <c r="AH2501" s="1">
        <v>7000.0</v>
      </c>
      <c r="AI2501" s="1">
        <v>0.16</v>
      </c>
      <c r="AK2501" s="1">
        <v>7.0</v>
      </c>
      <c r="AL2501" s="1">
        <v>4.0</v>
      </c>
      <c r="AM2501" s="1">
        <v>3.0</v>
      </c>
      <c r="AN2501" s="1">
        <v>0.0</v>
      </c>
      <c r="AO2501" s="1" t="s">
        <v>198</v>
      </c>
      <c r="AP2501" s="1">
        <v>1.0</v>
      </c>
      <c r="AQ2501" s="1" t="s">
        <v>229</v>
      </c>
      <c r="AS2501" s="1" t="s">
        <v>199</v>
      </c>
      <c r="AT2501" s="1">
        <v>2.0</v>
      </c>
      <c r="AV2501" s="1" t="s">
        <v>200</v>
      </c>
      <c r="AW2501" s="1">
        <v>3284.73</v>
      </c>
      <c r="AX2501" s="1">
        <v>2013.0</v>
      </c>
      <c r="AY2501" s="1" t="s">
        <v>229</v>
      </c>
      <c r="AZ2501" s="1" t="s">
        <v>200</v>
      </c>
      <c r="BA2501" s="1" t="str">
        <f>"06061020320000"</f>
        <v>06061020320000</v>
      </c>
      <c r="BB2501" s="1" t="s">
        <v>200</v>
      </c>
      <c r="BC2501" s="1">
        <v>1732.0</v>
      </c>
      <c r="BD2501" s="1">
        <v>157000.0</v>
      </c>
      <c r="BE2501" s="2">
        <v>42025.0</v>
      </c>
      <c r="BF2501" s="2" t="s">
        <v>22648</v>
      </c>
      <c r="BH2501" s="1">
        <v>0.0</v>
      </c>
      <c r="BK2501" s="1" t="s">
        <v>204</v>
      </c>
      <c r="BL2501" s="1" t="str">
        <f t="shared" ref="BL2501:BM2501" si="1630">""</f>
        <v/>
      </c>
      <c r="BM2501" s="1" t="str">
        <f t="shared" si="1630"/>
        <v/>
      </c>
      <c r="BQ2501" s="1">
        <v>46.0</v>
      </c>
      <c r="BR2501" s="1">
        <v>46.0</v>
      </c>
      <c r="BS2501" s="1">
        <v>46.0</v>
      </c>
      <c r="BU2501" s="1" t="s">
        <v>1244</v>
      </c>
      <c r="BV2501" s="1" t="s">
        <v>206</v>
      </c>
      <c r="BW2501" s="1" t="s">
        <v>301</v>
      </c>
      <c r="BY2501" s="1" t="s">
        <v>215</v>
      </c>
      <c r="BZ2501" s="1" t="s">
        <v>209</v>
      </c>
      <c r="CA2501" s="1" t="s">
        <v>210</v>
      </c>
      <c r="CC2501" s="1" t="s">
        <v>334</v>
      </c>
      <c r="CD2501" s="1" t="s">
        <v>206</v>
      </c>
      <c r="CE2501" s="1" t="s">
        <v>268</v>
      </c>
      <c r="CG2501" s="1" t="s">
        <v>497</v>
      </c>
      <c r="CH2501" s="1" t="s">
        <v>209</v>
      </c>
      <c r="CI2501" s="1" t="s">
        <v>210</v>
      </c>
      <c r="CK2501" s="1" t="s">
        <v>1245</v>
      </c>
      <c r="CL2501" s="1" t="s">
        <v>209</v>
      </c>
      <c r="CM2501" s="1" t="s">
        <v>210</v>
      </c>
      <c r="CO2501" s="1" t="s">
        <v>212</v>
      </c>
      <c r="CP2501" s="1" t="s">
        <v>206</v>
      </c>
      <c r="CQ2501" s="1" t="s">
        <v>210</v>
      </c>
      <c r="CS2501" s="1" t="s">
        <v>263</v>
      </c>
      <c r="CT2501" s="1" t="s">
        <v>206</v>
      </c>
      <c r="CU2501" s="1" t="s">
        <v>268</v>
      </c>
      <c r="CX2501" s="1" t="s">
        <v>204</v>
      </c>
      <c r="DA2501" s="1" t="s">
        <v>200</v>
      </c>
      <c r="DC2501" s="1" t="s">
        <v>271</v>
      </c>
      <c r="DE2501" s="1" t="s">
        <v>273</v>
      </c>
      <c r="DF2501" s="1" t="s">
        <v>219</v>
      </c>
      <c r="DG2501" s="1" t="s">
        <v>22649</v>
      </c>
      <c r="DH2501" s="1" t="s">
        <v>220</v>
      </c>
      <c r="DI2501" s="1" t="s">
        <v>308</v>
      </c>
      <c r="DJ2501" s="1" t="s">
        <v>222</v>
      </c>
      <c r="DL2501" s="1" t="s">
        <v>229</v>
      </c>
      <c r="DM2501" s="1" t="s">
        <v>229</v>
      </c>
      <c r="DO2501" s="1" t="s">
        <v>549</v>
      </c>
      <c r="DP2501" s="1" t="s">
        <v>340</v>
      </c>
      <c r="DQ2501" s="1" t="s">
        <v>228</v>
      </c>
      <c r="DR2501" s="1" t="s">
        <v>229</v>
      </c>
      <c r="DS2501" s="1" t="s">
        <v>230</v>
      </c>
      <c r="DV2501" s="1" t="s">
        <v>232</v>
      </c>
      <c r="DW2501" s="1" t="s">
        <v>233</v>
      </c>
      <c r="DX2501" s="1" t="s">
        <v>234</v>
      </c>
      <c r="DY2501" s="1" t="s">
        <v>861</v>
      </c>
      <c r="DZ2501" s="1" t="s">
        <v>1661</v>
      </c>
      <c r="EC2501" s="1" t="s">
        <v>237</v>
      </c>
      <c r="EE2501" s="1" t="s">
        <v>493</v>
      </c>
      <c r="EM2501" s="1" t="s">
        <v>238</v>
      </c>
      <c r="EQ2501" s="1" t="s">
        <v>238</v>
      </c>
      <c r="EU2501" s="1" t="s">
        <v>238</v>
      </c>
      <c r="EY2501" s="1" t="s">
        <v>238</v>
      </c>
      <c r="FC2501" s="1" t="s">
        <v>238</v>
      </c>
      <c r="FF2501" s="1" t="s">
        <v>239</v>
      </c>
      <c r="FG2501" s="1" t="s">
        <v>192</v>
      </c>
      <c r="FH2501" s="1" t="s">
        <v>192</v>
      </c>
      <c r="FJ2501" s="1" t="s">
        <v>1280</v>
      </c>
      <c r="FK2501" s="1" t="s">
        <v>229</v>
      </c>
      <c r="FL2501" s="1" t="s">
        <v>881</v>
      </c>
      <c r="FM2501" s="1">
        <v>6097.0</v>
      </c>
      <c r="FN2501" s="1" t="s">
        <v>882</v>
      </c>
      <c r="FO2501" s="1" t="s">
        <v>883</v>
      </c>
      <c r="FP2501" s="1">
        <v>62592.0</v>
      </c>
      <c r="FQ2501" s="1" t="s">
        <v>884</v>
      </c>
      <c r="FU2501" s="1" t="s">
        <v>10751</v>
      </c>
      <c r="FV2501" s="1" t="s">
        <v>200</v>
      </c>
      <c r="FW2501" s="1" t="s">
        <v>290</v>
      </c>
      <c r="FZ2501" s="1" t="s">
        <v>229</v>
      </c>
      <c r="GA2501" s="1" t="s">
        <v>291</v>
      </c>
      <c r="GB2501" s="2">
        <v>42122.0</v>
      </c>
      <c r="GC2501" s="1" t="s">
        <v>22650</v>
      </c>
    </row>
    <row r="2502">
      <c r="A2502" s="1">
        <v>389000.0</v>
      </c>
      <c r="B2502" s="1" t="s">
        <v>185</v>
      </c>
      <c r="C2502" s="1" t="str">
        <f>"08823144"</f>
        <v>08823144</v>
      </c>
      <c r="D2502" s="1" t="s">
        <v>186</v>
      </c>
      <c r="F2502" s="1" t="str">
        <f>"10"</f>
        <v>10</v>
      </c>
      <c r="G2502" s="2">
        <v>42027.0</v>
      </c>
      <c r="H2502" s="1">
        <v>399000.0</v>
      </c>
      <c r="I2502" s="1">
        <v>68.0</v>
      </c>
      <c r="J2502" s="1">
        <v>389000.0</v>
      </c>
      <c r="K2502" s="2">
        <v>42094.0</v>
      </c>
      <c r="L2502" s="1">
        <v>68.0</v>
      </c>
      <c r="M2502" s="2">
        <v>42094.0</v>
      </c>
      <c r="N2502" s="1" t="s">
        <v>187</v>
      </c>
      <c r="O2502" s="2">
        <v>42124.0</v>
      </c>
      <c r="P2502" s="1">
        <v>31114.0</v>
      </c>
      <c r="Q2502" s="1">
        <v>6026.0</v>
      </c>
      <c r="S2502" s="1">
        <v>519.0</v>
      </c>
      <c r="T2502" s="1" t="s">
        <v>15910</v>
      </c>
      <c r="U2502" s="1" t="s">
        <v>1174</v>
      </c>
      <c r="V2502" s="1" t="s">
        <v>1706</v>
      </c>
      <c r="W2502" s="1">
        <v>60010.0</v>
      </c>
      <c r="Y2502" s="1" t="s">
        <v>22651</v>
      </c>
      <c r="Z2502" s="1">
        <v>1989.0</v>
      </c>
      <c r="AA2502" s="1" t="s">
        <v>200</v>
      </c>
      <c r="AB2502" s="1" t="s">
        <v>193</v>
      </c>
      <c r="AD2502" s="1" t="s">
        <v>1089</v>
      </c>
      <c r="AE2502" s="1" t="s">
        <v>917</v>
      </c>
      <c r="AF2502" s="1" t="s">
        <v>918</v>
      </c>
      <c r="AH2502" s="1">
        <v>10630.0</v>
      </c>
      <c r="AI2502" s="1">
        <v>0.244</v>
      </c>
      <c r="AK2502" s="1">
        <v>8.0</v>
      </c>
      <c r="AL2502" s="1">
        <v>4.0</v>
      </c>
      <c r="AM2502" s="1">
        <v>3.0</v>
      </c>
      <c r="AN2502" s="1">
        <v>1.0</v>
      </c>
      <c r="AO2502" s="1" t="s">
        <v>198</v>
      </c>
      <c r="AQ2502" s="1" t="s">
        <v>198</v>
      </c>
      <c r="AR2502" s="1" t="s">
        <v>192</v>
      </c>
      <c r="AS2502" s="1" t="s">
        <v>199</v>
      </c>
      <c r="AT2502" s="1">
        <v>2.0</v>
      </c>
      <c r="AV2502" s="1" t="s">
        <v>200</v>
      </c>
      <c r="AW2502" s="1">
        <v>9522.38</v>
      </c>
      <c r="AX2502" s="1">
        <v>2013.0</v>
      </c>
      <c r="AZ2502" s="1" t="s">
        <v>200</v>
      </c>
      <c r="BA2502" s="1" t="str">
        <f>"14302070020000"</f>
        <v>14302070020000</v>
      </c>
      <c r="BC2502" s="1">
        <v>2184.0</v>
      </c>
      <c r="BD2502" s="1">
        <v>389000.0</v>
      </c>
      <c r="BE2502" s="2">
        <v>42027.0</v>
      </c>
      <c r="BF2502" s="2" t="s">
        <v>22652</v>
      </c>
      <c r="BH2502" s="1">
        <v>0.0</v>
      </c>
      <c r="BK2502" s="1" t="s">
        <v>204</v>
      </c>
      <c r="BL2502" s="1" t="str">
        <f t="shared" ref="BL2502:BM2502" si="1631">""</f>
        <v/>
      </c>
      <c r="BM2502" s="1" t="str">
        <f t="shared" si="1631"/>
        <v/>
      </c>
      <c r="BQ2502" s="1">
        <v>95.0</v>
      </c>
      <c r="BR2502" s="1">
        <v>95.0</v>
      </c>
      <c r="BS2502" s="1">
        <v>95.0</v>
      </c>
      <c r="BU2502" s="1" t="s">
        <v>1395</v>
      </c>
      <c r="BV2502" s="1" t="s">
        <v>206</v>
      </c>
      <c r="BY2502" s="1" t="s">
        <v>393</v>
      </c>
      <c r="BZ2502" s="1" t="s">
        <v>209</v>
      </c>
      <c r="CC2502" s="1" t="s">
        <v>663</v>
      </c>
      <c r="CD2502" s="1" t="s">
        <v>206</v>
      </c>
      <c r="CG2502" s="1" t="s">
        <v>663</v>
      </c>
      <c r="CH2502" s="1" t="s">
        <v>209</v>
      </c>
      <c r="CK2502" s="1" t="s">
        <v>269</v>
      </c>
      <c r="CL2502" s="1" t="s">
        <v>209</v>
      </c>
      <c r="CO2502" s="1" t="s">
        <v>269</v>
      </c>
      <c r="CP2502" s="1" t="s">
        <v>209</v>
      </c>
      <c r="CS2502" s="1" t="s">
        <v>663</v>
      </c>
      <c r="CT2502" s="1" t="s">
        <v>206</v>
      </c>
      <c r="CW2502" s="1" t="s">
        <v>1875</v>
      </c>
      <c r="CX2502" s="1" t="s">
        <v>206</v>
      </c>
      <c r="DA2502" s="1" t="s">
        <v>200</v>
      </c>
      <c r="DC2502" s="1" t="s">
        <v>305</v>
      </c>
      <c r="DE2502" s="1" t="s">
        <v>273</v>
      </c>
      <c r="DF2502" s="1" t="s">
        <v>619</v>
      </c>
      <c r="DH2502" s="1" t="s">
        <v>220</v>
      </c>
      <c r="DJ2502" s="1" t="s">
        <v>222</v>
      </c>
      <c r="DL2502" s="1" t="s">
        <v>224</v>
      </c>
      <c r="DM2502" s="1" t="s">
        <v>229</v>
      </c>
      <c r="DQ2502" s="1" t="s">
        <v>228</v>
      </c>
      <c r="DR2502" s="1" t="s">
        <v>229</v>
      </c>
      <c r="DV2502" s="1" t="s">
        <v>232</v>
      </c>
      <c r="DW2502" s="1" t="s">
        <v>667</v>
      </c>
      <c r="DX2502" s="1" t="s">
        <v>234</v>
      </c>
      <c r="EC2502" s="1" t="s">
        <v>237</v>
      </c>
      <c r="EM2502" s="1" t="s">
        <v>238</v>
      </c>
      <c r="EQ2502" s="1" t="s">
        <v>238</v>
      </c>
      <c r="EU2502" s="1" t="s">
        <v>238</v>
      </c>
      <c r="EY2502" s="1" t="s">
        <v>238</v>
      </c>
      <c r="FC2502" s="1" t="s">
        <v>238</v>
      </c>
      <c r="FF2502" s="1" t="s">
        <v>239</v>
      </c>
      <c r="FG2502" s="1" t="s">
        <v>192</v>
      </c>
      <c r="FH2502" s="1" t="s">
        <v>192</v>
      </c>
      <c r="FJ2502" s="1" t="s">
        <v>2552</v>
      </c>
      <c r="FK2502" s="1" t="s">
        <v>229</v>
      </c>
      <c r="FL2502" s="1" t="s">
        <v>11622</v>
      </c>
      <c r="FM2502" s="1">
        <v>16339.0</v>
      </c>
      <c r="FN2502" s="1" t="s">
        <v>11623</v>
      </c>
      <c r="FO2502" s="1" t="s">
        <v>11624</v>
      </c>
      <c r="FP2502" s="1">
        <v>106496.0</v>
      </c>
      <c r="FR2502" s="1">
        <v>165879.0</v>
      </c>
      <c r="FU2502" s="1" t="s">
        <v>22653</v>
      </c>
      <c r="FV2502" s="1" t="s">
        <v>200</v>
      </c>
      <c r="FW2502" s="1" t="s">
        <v>567</v>
      </c>
      <c r="FZ2502" s="1" t="s">
        <v>229</v>
      </c>
      <c r="GA2502" s="1" t="s">
        <v>291</v>
      </c>
      <c r="GB2502" s="2">
        <v>42125.0</v>
      </c>
      <c r="GC2502" s="1" t="s">
        <v>22654</v>
      </c>
    </row>
    <row r="2503">
      <c r="A2503" s="1">
        <v>117500.0</v>
      </c>
      <c r="B2503" s="1" t="s">
        <v>185</v>
      </c>
      <c r="C2503" s="1" t="str">
        <f>"08822462"</f>
        <v>08822462</v>
      </c>
      <c r="D2503" s="1" t="s">
        <v>186</v>
      </c>
      <c r="F2503" s="1" t="str">
        <f>"8071"</f>
        <v>8071</v>
      </c>
      <c r="G2503" s="2">
        <v>42027.0</v>
      </c>
      <c r="H2503" s="1">
        <v>119900.0</v>
      </c>
      <c r="I2503" s="1">
        <v>125.0</v>
      </c>
      <c r="J2503" s="1">
        <v>119900.0</v>
      </c>
      <c r="K2503" s="2">
        <v>42047.0</v>
      </c>
      <c r="L2503" s="1">
        <v>21.0</v>
      </c>
      <c r="M2503" s="2">
        <v>42047.0</v>
      </c>
      <c r="N2503" s="1" t="s">
        <v>187</v>
      </c>
      <c r="O2503" s="2">
        <v>42089.0</v>
      </c>
      <c r="P2503" s="1">
        <v>84146.0</v>
      </c>
      <c r="Q2503" s="1">
        <v>24093.0</v>
      </c>
      <c r="R2503" s="1">
        <v>3300.0</v>
      </c>
      <c r="S2503" s="1">
        <v>7602.0</v>
      </c>
      <c r="T2503" s="1" t="s">
        <v>3171</v>
      </c>
      <c r="U2503" s="1" t="s">
        <v>320</v>
      </c>
      <c r="V2503" s="1" t="s">
        <v>190</v>
      </c>
      <c r="W2503" s="1">
        <v>60620.0</v>
      </c>
      <c r="Y2503" s="1" t="s">
        <v>22655</v>
      </c>
      <c r="Z2503" s="1">
        <v>1952.0</v>
      </c>
      <c r="AA2503" s="1" t="s">
        <v>192</v>
      </c>
      <c r="AB2503" s="1" t="s">
        <v>193</v>
      </c>
      <c r="AD2503" s="1" t="s">
        <v>194</v>
      </c>
      <c r="AE2503" s="1" t="s">
        <v>195</v>
      </c>
      <c r="AF2503" s="1" t="s">
        <v>659</v>
      </c>
      <c r="AH2503" s="1" t="s">
        <v>22656</v>
      </c>
      <c r="AK2503" s="1">
        <v>9.0</v>
      </c>
      <c r="AL2503" s="1">
        <v>3.0</v>
      </c>
      <c r="AM2503" s="1">
        <v>2.0</v>
      </c>
      <c r="AN2503" s="1">
        <v>0.0</v>
      </c>
      <c r="AO2503" s="1" t="s">
        <v>229</v>
      </c>
      <c r="AQ2503" s="1" t="s">
        <v>198</v>
      </c>
      <c r="AR2503" s="1" t="s">
        <v>192</v>
      </c>
      <c r="AS2503" s="1" t="s">
        <v>828</v>
      </c>
      <c r="AU2503" s="1">
        <v>2.0</v>
      </c>
      <c r="AV2503" s="1" t="s">
        <v>200</v>
      </c>
      <c r="AW2503" s="1">
        <v>1882.0</v>
      </c>
      <c r="AX2503" s="1">
        <v>2012.0</v>
      </c>
      <c r="AZ2503" s="1" t="s">
        <v>200</v>
      </c>
      <c r="BA2503" s="1" t="str">
        <f>"20294100410000"</f>
        <v>20294100410000</v>
      </c>
      <c r="BC2503" s="1">
        <v>0.0</v>
      </c>
      <c r="BD2503" s="1">
        <v>117500.0</v>
      </c>
      <c r="BE2503" s="2">
        <v>42027.0</v>
      </c>
      <c r="BF2503" s="2" t="s">
        <v>22657</v>
      </c>
      <c r="BH2503" s="1">
        <v>0.0</v>
      </c>
      <c r="BK2503" s="1" t="s">
        <v>204</v>
      </c>
      <c r="BL2503" s="1" t="str">
        <f t="shared" ref="BL2503:BM2503" si="1632">"0"</f>
        <v>0</v>
      </c>
      <c r="BM2503" s="1" t="str">
        <f t="shared" si="1632"/>
        <v>0</v>
      </c>
      <c r="BN2503" s="1">
        <v>1000.0</v>
      </c>
      <c r="BO2503" s="1">
        <v>7602.0</v>
      </c>
      <c r="BQ2503" s="1">
        <v>299.0</v>
      </c>
      <c r="BR2503" s="1">
        <v>299.0</v>
      </c>
      <c r="BS2503" s="1">
        <v>299.0</v>
      </c>
      <c r="BU2503" s="1" t="s">
        <v>270</v>
      </c>
      <c r="BV2503" s="1" t="s">
        <v>206</v>
      </c>
      <c r="BW2503" s="1" t="s">
        <v>207</v>
      </c>
      <c r="BY2503" s="1" t="s">
        <v>302</v>
      </c>
      <c r="BZ2503" s="1" t="s">
        <v>206</v>
      </c>
      <c r="CA2503" s="1" t="s">
        <v>207</v>
      </c>
      <c r="CC2503" s="1" t="s">
        <v>1584</v>
      </c>
      <c r="CD2503" s="1" t="s">
        <v>206</v>
      </c>
      <c r="CE2503" s="1" t="s">
        <v>268</v>
      </c>
      <c r="CG2503" s="1" t="s">
        <v>302</v>
      </c>
      <c r="CH2503" s="1" t="s">
        <v>206</v>
      </c>
      <c r="CI2503" s="1" t="s">
        <v>207</v>
      </c>
      <c r="CK2503" s="1" t="s">
        <v>1760</v>
      </c>
      <c r="CL2503" s="1" t="s">
        <v>206</v>
      </c>
      <c r="CM2503" s="1" t="s">
        <v>207</v>
      </c>
      <c r="CO2503" s="1" t="s">
        <v>4045</v>
      </c>
      <c r="CP2503" s="1" t="s">
        <v>42</v>
      </c>
      <c r="CQ2503" s="1" t="s">
        <v>268</v>
      </c>
      <c r="CS2503" s="1" t="s">
        <v>663</v>
      </c>
      <c r="CT2503" s="1" t="s">
        <v>206</v>
      </c>
      <c r="CU2503" s="1" t="s">
        <v>268</v>
      </c>
      <c r="CX2503" s="1" t="s">
        <v>204</v>
      </c>
      <c r="DA2503" s="1" t="s">
        <v>200</v>
      </c>
      <c r="DC2503" s="1" t="s">
        <v>702</v>
      </c>
      <c r="DE2503" s="1" t="s">
        <v>273</v>
      </c>
      <c r="DF2503" s="1" t="s">
        <v>219</v>
      </c>
      <c r="DH2503" s="1" t="s">
        <v>220</v>
      </c>
      <c r="DI2503" s="1" t="s">
        <v>732</v>
      </c>
      <c r="DJ2503" s="1" t="s">
        <v>222</v>
      </c>
      <c r="DL2503" s="1" t="s">
        <v>224</v>
      </c>
      <c r="DM2503" s="1" t="s">
        <v>229</v>
      </c>
      <c r="DO2503" s="1" t="s">
        <v>549</v>
      </c>
      <c r="DQ2503" s="1" t="s">
        <v>718</v>
      </c>
      <c r="DR2503" s="1" t="s">
        <v>229</v>
      </c>
      <c r="DV2503" s="1" t="s">
        <v>8315</v>
      </c>
      <c r="DW2503" s="1" t="s">
        <v>279</v>
      </c>
      <c r="DX2503" s="1" t="s">
        <v>234</v>
      </c>
      <c r="DY2503" s="1" t="s">
        <v>553</v>
      </c>
      <c r="EC2503" s="1" t="s">
        <v>685</v>
      </c>
      <c r="EG2503" s="1" t="s">
        <v>450</v>
      </c>
      <c r="EH2503" s="1" t="s">
        <v>1491</v>
      </c>
      <c r="EL2503" s="1" t="s">
        <v>783</v>
      </c>
      <c r="EM2503" s="1" t="s">
        <v>42</v>
      </c>
      <c r="EN2503" s="1" t="s">
        <v>268</v>
      </c>
      <c r="EP2503" s="1" t="s">
        <v>22658</v>
      </c>
      <c r="EQ2503" s="1" t="s">
        <v>42</v>
      </c>
      <c r="ER2503" s="1" t="s">
        <v>268</v>
      </c>
      <c r="EU2503" s="1" t="s">
        <v>238</v>
      </c>
      <c r="EY2503" s="1" t="s">
        <v>238</v>
      </c>
      <c r="FC2503" s="1" t="s">
        <v>238</v>
      </c>
      <c r="FF2503" s="1" t="s">
        <v>239</v>
      </c>
      <c r="FG2503" s="1" t="s">
        <v>192</v>
      </c>
      <c r="FH2503" s="1" t="s">
        <v>192</v>
      </c>
      <c r="FJ2503" s="1" t="s">
        <v>2156</v>
      </c>
      <c r="FK2503" s="1" t="s">
        <v>229</v>
      </c>
      <c r="FL2503" s="1" t="s">
        <v>3443</v>
      </c>
      <c r="FM2503" s="1">
        <v>8658.0</v>
      </c>
      <c r="FN2503" s="1" t="s">
        <v>3444</v>
      </c>
      <c r="FO2503" s="1" t="s">
        <v>3445</v>
      </c>
      <c r="FP2503" s="1">
        <v>84760.0</v>
      </c>
      <c r="FQ2503" s="1" t="s">
        <v>3444</v>
      </c>
      <c r="FS2503" s="1" t="s">
        <v>3446</v>
      </c>
      <c r="FU2503" s="1" t="s">
        <v>22659</v>
      </c>
      <c r="FV2503" s="1" t="s">
        <v>192</v>
      </c>
      <c r="FW2503" s="1" t="s">
        <v>567</v>
      </c>
      <c r="FX2503" s="1" t="s">
        <v>655</v>
      </c>
      <c r="FZ2503" s="1" t="s">
        <v>229</v>
      </c>
      <c r="GA2503" s="1" t="s">
        <v>291</v>
      </c>
      <c r="GB2503" s="2">
        <v>42090.0</v>
      </c>
      <c r="GC2503" s="1" t="s">
        <v>22660</v>
      </c>
    </row>
    <row r="2504">
      <c r="A2504" s="1">
        <v>125000.0</v>
      </c>
      <c r="B2504" s="1" t="s">
        <v>185</v>
      </c>
      <c r="C2504" s="1" t="str">
        <f>"08823601"</f>
        <v>08823601</v>
      </c>
      <c r="D2504" s="1" t="s">
        <v>186</v>
      </c>
      <c r="F2504" s="1" t="str">
        <f>"123"</f>
        <v>123</v>
      </c>
      <c r="G2504" s="2">
        <v>42029.0</v>
      </c>
      <c r="H2504" s="1">
        <v>129900.0</v>
      </c>
      <c r="I2504" s="1">
        <v>48.0</v>
      </c>
      <c r="J2504" s="1">
        <v>127400.0</v>
      </c>
      <c r="K2504" s="2">
        <v>42076.0</v>
      </c>
      <c r="L2504" s="1">
        <v>48.0</v>
      </c>
      <c r="M2504" s="2">
        <v>42076.0</v>
      </c>
      <c r="N2504" s="1" t="s">
        <v>356</v>
      </c>
      <c r="O2504" s="2">
        <v>42131.0</v>
      </c>
      <c r="P2504" s="1">
        <v>563.0</v>
      </c>
      <c r="Q2504" s="1">
        <v>466.0</v>
      </c>
      <c r="R2504" s="1">
        <v>3750.0</v>
      </c>
      <c r="S2504" s="1">
        <v>252.0</v>
      </c>
      <c r="T2504" s="1" t="s">
        <v>13533</v>
      </c>
      <c r="U2504" s="1" t="s">
        <v>320</v>
      </c>
      <c r="V2504" s="1" t="s">
        <v>465</v>
      </c>
      <c r="W2504" s="1">
        <v>60123.0</v>
      </c>
      <c r="Y2504" s="1" t="s">
        <v>22661</v>
      </c>
      <c r="Z2504" s="1" t="s">
        <v>296</v>
      </c>
      <c r="AA2504" s="1" t="s">
        <v>192</v>
      </c>
      <c r="AB2504" s="1" t="s">
        <v>193</v>
      </c>
      <c r="AD2504" s="1" t="s">
        <v>469</v>
      </c>
      <c r="AE2504" s="1" t="s">
        <v>325</v>
      </c>
      <c r="AF2504" s="1" t="s">
        <v>469</v>
      </c>
      <c r="AH2504" s="1" t="s">
        <v>22662</v>
      </c>
      <c r="AI2504" s="1">
        <v>0.1345</v>
      </c>
      <c r="AK2504" s="1">
        <v>8.0</v>
      </c>
      <c r="AL2504" s="1">
        <v>4.0</v>
      </c>
      <c r="AM2504" s="1">
        <v>1.0</v>
      </c>
      <c r="AN2504" s="1">
        <v>1.0</v>
      </c>
      <c r="AO2504" s="1" t="s">
        <v>229</v>
      </c>
      <c r="AQ2504" s="1" t="s">
        <v>198</v>
      </c>
      <c r="AR2504" s="1" t="s">
        <v>200</v>
      </c>
      <c r="AS2504" s="1" t="s">
        <v>828</v>
      </c>
      <c r="AU2504" s="1">
        <v>2.0</v>
      </c>
      <c r="AV2504" s="1" t="s">
        <v>200</v>
      </c>
      <c r="AW2504" s="1">
        <v>1833.28</v>
      </c>
      <c r="AX2504" s="1">
        <v>2013.0</v>
      </c>
      <c r="AZ2504" s="1" t="s">
        <v>200</v>
      </c>
      <c r="BA2504" s="1" t="str">
        <f>"0623277017"</f>
        <v>0623277017</v>
      </c>
      <c r="BC2504" s="1">
        <v>1500.0</v>
      </c>
      <c r="BD2504" s="1">
        <v>125000.0</v>
      </c>
      <c r="BE2504" s="2">
        <v>42029.0</v>
      </c>
      <c r="BF2504" s="2" t="s">
        <v>22663</v>
      </c>
      <c r="BH2504" s="1">
        <v>0.0</v>
      </c>
      <c r="BK2504" s="1" t="s">
        <v>204</v>
      </c>
      <c r="BL2504" s="1" t="str">
        <f t="shared" ref="BL2504:BM2504" si="1633">""</f>
        <v/>
      </c>
      <c r="BM2504" s="1" t="str">
        <f t="shared" si="1633"/>
        <v/>
      </c>
      <c r="BQ2504" s="1">
        <v>46.0</v>
      </c>
      <c r="BR2504" s="1">
        <v>46.0</v>
      </c>
      <c r="BS2504" s="1">
        <v>46.0</v>
      </c>
      <c r="BU2504" s="1" t="s">
        <v>1395</v>
      </c>
      <c r="BV2504" s="1" t="s">
        <v>206</v>
      </c>
      <c r="BW2504" s="1" t="s">
        <v>210</v>
      </c>
      <c r="BY2504" s="1" t="s">
        <v>2647</v>
      </c>
      <c r="BZ2504" s="1" t="s">
        <v>209</v>
      </c>
      <c r="CA2504" s="1" t="s">
        <v>210</v>
      </c>
      <c r="CC2504" s="1" t="s">
        <v>584</v>
      </c>
      <c r="CD2504" s="1" t="s">
        <v>206</v>
      </c>
      <c r="CE2504" s="1" t="s">
        <v>210</v>
      </c>
      <c r="CG2504" s="1" t="s">
        <v>1567</v>
      </c>
      <c r="CH2504" s="1" t="s">
        <v>209</v>
      </c>
      <c r="CI2504" s="1" t="s">
        <v>210</v>
      </c>
      <c r="CK2504" s="1" t="s">
        <v>212</v>
      </c>
      <c r="CL2504" s="1" t="s">
        <v>206</v>
      </c>
      <c r="CM2504" s="1" t="s">
        <v>210</v>
      </c>
      <c r="CO2504" s="1" t="s">
        <v>264</v>
      </c>
      <c r="CP2504" s="1" t="s">
        <v>206</v>
      </c>
      <c r="CQ2504" s="1" t="s">
        <v>210</v>
      </c>
      <c r="CS2504" s="1" t="s">
        <v>478</v>
      </c>
      <c r="CT2504" s="1" t="s">
        <v>206</v>
      </c>
      <c r="CU2504" s="1" t="s">
        <v>617</v>
      </c>
      <c r="CW2504" s="1" t="s">
        <v>363</v>
      </c>
      <c r="CX2504" s="1" t="s">
        <v>209</v>
      </c>
      <c r="CY2504" s="1" t="s">
        <v>210</v>
      </c>
      <c r="DA2504" s="1" t="s">
        <v>200</v>
      </c>
      <c r="DC2504" s="1" t="s">
        <v>517</v>
      </c>
      <c r="DD2504" s="1" t="s">
        <v>518</v>
      </c>
      <c r="DE2504" s="1" t="s">
        <v>229</v>
      </c>
      <c r="DF2504" s="1" t="s">
        <v>619</v>
      </c>
      <c r="DG2504" s="1" t="s">
        <v>22664</v>
      </c>
      <c r="DH2504" s="1" t="s">
        <v>220</v>
      </c>
      <c r="DJ2504" s="1" t="s">
        <v>222</v>
      </c>
      <c r="DL2504" s="1" t="s">
        <v>223</v>
      </c>
      <c r="DM2504" s="1" t="s">
        <v>229</v>
      </c>
      <c r="DP2504" s="1" t="s">
        <v>276</v>
      </c>
      <c r="DQ2504" s="1" t="s">
        <v>228</v>
      </c>
      <c r="DR2504" s="1" t="s">
        <v>229</v>
      </c>
      <c r="DV2504" s="1" t="s">
        <v>232</v>
      </c>
      <c r="DW2504" s="1" t="s">
        <v>964</v>
      </c>
      <c r="DX2504" s="1" t="s">
        <v>234</v>
      </c>
      <c r="DY2504" s="1" t="s">
        <v>987</v>
      </c>
      <c r="EC2504" s="1" t="s">
        <v>237</v>
      </c>
      <c r="EM2504" s="1" t="s">
        <v>238</v>
      </c>
      <c r="EQ2504" s="1" t="s">
        <v>238</v>
      </c>
      <c r="EU2504" s="1" t="s">
        <v>238</v>
      </c>
      <c r="EY2504" s="1" t="s">
        <v>238</v>
      </c>
      <c r="FC2504" s="1" t="s">
        <v>238</v>
      </c>
      <c r="FF2504" s="1" t="s">
        <v>239</v>
      </c>
      <c r="FG2504" s="1" t="s">
        <v>192</v>
      </c>
      <c r="FH2504" s="1" t="s">
        <v>192</v>
      </c>
      <c r="FJ2504" s="1" t="s">
        <v>12591</v>
      </c>
      <c r="FK2504" s="1" t="s">
        <v>557</v>
      </c>
      <c r="FL2504" s="1" t="s">
        <v>2263</v>
      </c>
      <c r="FM2504" s="1">
        <v>890.0</v>
      </c>
      <c r="FN2504" s="1" t="s">
        <v>5199</v>
      </c>
      <c r="FO2504" s="1" t="s">
        <v>7657</v>
      </c>
      <c r="FP2504" s="1">
        <v>486.0</v>
      </c>
      <c r="FQ2504" s="1" t="s">
        <v>7658</v>
      </c>
      <c r="FU2504" s="1" t="s">
        <v>22665</v>
      </c>
      <c r="FV2504" s="1" t="s">
        <v>200</v>
      </c>
      <c r="FW2504" s="1" t="s">
        <v>22666</v>
      </c>
      <c r="FZ2504" s="1" t="s">
        <v>632</v>
      </c>
      <c r="GA2504" s="1" t="s">
        <v>291</v>
      </c>
      <c r="GB2504" s="2">
        <v>42131.0</v>
      </c>
      <c r="GC2504" s="1" t="s">
        <v>22667</v>
      </c>
    </row>
    <row r="2505">
      <c r="A2505" s="1">
        <v>965000.0</v>
      </c>
      <c r="B2505" s="1" t="s">
        <v>185</v>
      </c>
      <c r="C2505" s="1" t="str">
        <f>"08823385"</f>
        <v>08823385</v>
      </c>
      <c r="D2505" s="1" t="s">
        <v>186</v>
      </c>
      <c r="F2505" s="1" t="str">
        <f>"8007"</f>
        <v>8007</v>
      </c>
      <c r="G2505" s="2">
        <v>42028.0</v>
      </c>
      <c r="H2505" s="1">
        <v>999000.0</v>
      </c>
      <c r="I2505" s="1">
        <v>63.0</v>
      </c>
      <c r="J2505" s="1">
        <v>999000.0</v>
      </c>
      <c r="K2505" s="2">
        <v>42040.0</v>
      </c>
      <c r="L2505" s="1">
        <v>13.0</v>
      </c>
      <c r="M2505" s="2">
        <v>42040.0</v>
      </c>
      <c r="N2505" s="1" t="s">
        <v>187</v>
      </c>
      <c r="O2505" s="2">
        <v>42080.0</v>
      </c>
      <c r="P2505" s="1">
        <v>115553.0</v>
      </c>
      <c r="Q2505" s="1">
        <v>10900.0</v>
      </c>
      <c r="R2505" s="1">
        <v>7500.0</v>
      </c>
      <c r="S2505" s="1">
        <v>1743.0</v>
      </c>
      <c r="T2505" s="1" t="s">
        <v>21532</v>
      </c>
      <c r="U2505" s="1" t="s">
        <v>320</v>
      </c>
      <c r="V2505" s="1" t="s">
        <v>190</v>
      </c>
      <c r="W2505" s="1">
        <v>60614.0</v>
      </c>
      <c r="Y2505" s="1" t="s">
        <v>22668</v>
      </c>
      <c r="Z2505" s="1">
        <v>1990.0</v>
      </c>
      <c r="AA2505" s="1" t="s">
        <v>200</v>
      </c>
      <c r="AB2505" s="1" t="s">
        <v>193</v>
      </c>
      <c r="AD2505" s="1" t="s">
        <v>194</v>
      </c>
      <c r="AE2505" s="1" t="s">
        <v>195</v>
      </c>
      <c r="AF2505" s="1" t="s">
        <v>827</v>
      </c>
      <c r="AH2505" s="1" t="s">
        <v>741</v>
      </c>
      <c r="AK2505" s="1">
        <v>9.0</v>
      </c>
      <c r="AL2505" s="1">
        <v>3.0</v>
      </c>
      <c r="AM2505" s="1">
        <v>3.0</v>
      </c>
      <c r="AN2505" s="1">
        <v>1.0</v>
      </c>
      <c r="AO2505" s="1" t="s">
        <v>198</v>
      </c>
      <c r="AP2505" s="1">
        <v>2.0</v>
      </c>
      <c r="AQ2505" s="1" t="s">
        <v>198</v>
      </c>
      <c r="AR2505" s="1" t="s">
        <v>192</v>
      </c>
      <c r="AS2505" s="1" t="s">
        <v>199</v>
      </c>
      <c r="AT2505" s="1">
        <v>2.0</v>
      </c>
      <c r="AV2505" s="1" t="s">
        <v>200</v>
      </c>
      <c r="AW2505" s="1">
        <v>11982.51</v>
      </c>
      <c r="AX2505" s="1">
        <v>2013.0</v>
      </c>
      <c r="AY2505" s="1" t="s">
        <v>387</v>
      </c>
      <c r="AZ2505" s="1" t="s">
        <v>200</v>
      </c>
      <c r="BA2505" s="1" t="str">
        <f>"14304090680000"</f>
        <v>14304090680000</v>
      </c>
      <c r="BC2505" s="1">
        <v>3600.0</v>
      </c>
      <c r="BD2505" s="1">
        <v>965000.0</v>
      </c>
      <c r="BE2505" s="2">
        <v>42028.0</v>
      </c>
      <c r="BF2505" s="2" t="s">
        <v>22669</v>
      </c>
      <c r="BH2505" s="1">
        <v>0.0</v>
      </c>
      <c r="BK2505" s="1" t="s">
        <v>204</v>
      </c>
      <c r="BL2505" s="1" t="str">
        <f>"2500"</f>
        <v>2500</v>
      </c>
      <c r="BM2505" s="1" t="str">
        <f>"0"</f>
        <v>0</v>
      </c>
      <c r="BN2505" s="1">
        <v>1700.0</v>
      </c>
      <c r="BO2505" s="1">
        <v>0.0</v>
      </c>
      <c r="BQ2505" s="1">
        <v>299.0</v>
      </c>
      <c r="BR2505" s="1">
        <v>299.0</v>
      </c>
      <c r="BS2505" s="1">
        <v>299.0</v>
      </c>
      <c r="BU2505" s="1" t="s">
        <v>333</v>
      </c>
      <c r="BV2505" s="1" t="s">
        <v>206</v>
      </c>
      <c r="BW2505" s="1" t="s">
        <v>207</v>
      </c>
      <c r="BY2505" s="1" t="s">
        <v>333</v>
      </c>
      <c r="BZ2505" s="1" t="s">
        <v>209</v>
      </c>
      <c r="CA2505" s="1" t="s">
        <v>210</v>
      </c>
      <c r="CC2505" s="1" t="s">
        <v>454</v>
      </c>
      <c r="CD2505" s="1" t="s">
        <v>206</v>
      </c>
      <c r="CE2505" s="1" t="s">
        <v>207</v>
      </c>
      <c r="CG2505" s="1" t="s">
        <v>1229</v>
      </c>
      <c r="CH2505" s="1" t="s">
        <v>209</v>
      </c>
      <c r="CI2505" s="1" t="s">
        <v>210</v>
      </c>
      <c r="CK2505" s="1" t="s">
        <v>1229</v>
      </c>
      <c r="CL2505" s="1" t="s">
        <v>209</v>
      </c>
      <c r="CM2505" s="1" t="s">
        <v>210</v>
      </c>
      <c r="CO2505" s="1" t="s">
        <v>664</v>
      </c>
      <c r="CP2505" s="1" t="s">
        <v>42</v>
      </c>
      <c r="CQ2505" s="1" t="s">
        <v>210</v>
      </c>
      <c r="CS2505" s="1" t="s">
        <v>212</v>
      </c>
      <c r="CT2505" s="1" t="s">
        <v>206</v>
      </c>
      <c r="CU2505" s="1" t="s">
        <v>207</v>
      </c>
      <c r="CW2505" s="1" t="s">
        <v>7468</v>
      </c>
      <c r="CX2505" s="1" t="s">
        <v>42</v>
      </c>
      <c r="CY2505" s="1" t="s">
        <v>210</v>
      </c>
      <c r="DA2505" s="1" t="s">
        <v>200</v>
      </c>
      <c r="DC2505" s="1" t="s">
        <v>435</v>
      </c>
      <c r="DD2505" s="1" t="s">
        <v>518</v>
      </c>
      <c r="DE2505" s="1" t="s">
        <v>273</v>
      </c>
      <c r="DF2505" s="1" t="s">
        <v>219</v>
      </c>
      <c r="DG2505" s="1" t="s">
        <v>337</v>
      </c>
      <c r="DH2505" s="1" t="s">
        <v>365</v>
      </c>
      <c r="DI2505" s="1" t="s">
        <v>22670</v>
      </c>
      <c r="DJ2505" s="1" t="s">
        <v>588</v>
      </c>
      <c r="DK2505" s="1" t="s">
        <v>1301</v>
      </c>
      <c r="DL2505" s="1" t="s">
        <v>224</v>
      </c>
      <c r="DM2505" s="1" t="s">
        <v>229</v>
      </c>
      <c r="DN2505" s="1" t="s">
        <v>399</v>
      </c>
      <c r="DO2505" s="1" t="s">
        <v>549</v>
      </c>
      <c r="DP2505" s="1" t="s">
        <v>340</v>
      </c>
      <c r="DQ2505" s="1" t="s">
        <v>718</v>
      </c>
      <c r="DR2505" s="1" t="s">
        <v>229</v>
      </c>
      <c r="DS2505" s="1" t="s">
        <v>591</v>
      </c>
      <c r="DU2505" s="1" t="s">
        <v>9693</v>
      </c>
      <c r="DV2505" s="1" t="s">
        <v>22671</v>
      </c>
      <c r="DW2505" s="1" t="s">
        <v>489</v>
      </c>
      <c r="DX2505" s="1" t="s">
        <v>234</v>
      </c>
      <c r="DY2505" s="1" t="s">
        <v>4102</v>
      </c>
      <c r="DZ2505" s="1" t="s">
        <v>966</v>
      </c>
      <c r="EA2505" s="1" t="s">
        <v>344</v>
      </c>
      <c r="EB2505" s="1" t="s">
        <v>10210</v>
      </c>
      <c r="EC2505" s="1" t="s">
        <v>237</v>
      </c>
      <c r="EG2505" s="1" t="s">
        <v>494</v>
      </c>
      <c r="EH2505" s="1" t="s">
        <v>310</v>
      </c>
      <c r="EL2505" s="1" t="s">
        <v>664</v>
      </c>
      <c r="EM2505" s="1" t="s">
        <v>206</v>
      </c>
      <c r="EN2505" s="1" t="s">
        <v>207</v>
      </c>
      <c r="EP2505" s="1" t="s">
        <v>2613</v>
      </c>
      <c r="EQ2505" s="1" t="s">
        <v>206</v>
      </c>
      <c r="ER2505" s="1" t="s">
        <v>207</v>
      </c>
      <c r="EU2505" s="1" t="s">
        <v>238</v>
      </c>
      <c r="EY2505" s="1" t="s">
        <v>238</v>
      </c>
      <c r="FC2505" s="1" t="s">
        <v>238</v>
      </c>
      <c r="FF2505" s="1" t="s">
        <v>239</v>
      </c>
      <c r="FG2505" s="1" t="s">
        <v>192</v>
      </c>
      <c r="FH2505" s="1" t="s">
        <v>192</v>
      </c>
      <c r="FJ2505" s="1" t="s">
        <v>799</v>
      </c>
      <c r="FK2505" s="1" t="s">
        <v>229</v>
      </c>
      <c r="FL2505" s="1" t="s">
        <v>21309</v>
      </c>
      <c r="FM2505" s="1">
        <v>11062.0</v>
      </c>
      <c r="FN2505" s="1" t="s">
        <v>21310</v>
      </c>
      <c r="FO2505" s="1" t="s">
        <v>16248</v>
      </c>
      <c r="FP2505" s="1">
        <v>185416.0</v>
      </c>
      <c r="FQ2505" s="1" t="s">
        <v>22672</v>
      </c>
      <c r="FU2505" s="1" t="s">
        <v>22673</v>
      </c>
      <c r="FV2505" s="1" t="s">
        <v>200</v>
      </c>
      <c r="FW2505" s="1" t="s">
        <v>290</v>
      </c>
      <c r="FX2505" s="1" t="s">
        <v>246</v>
      </c>
      <c r="FZ2505" s="1" t="s">
        <v>229</v>
      </c>
      <c r="GA2505" s="1" t="s">
        <v>291</v>
      </c>
      <c r="GB2505" s="2">
        <v>42081.0</v>
      </c>
    </row>
    <row r="2506">
      <c r="A2506" s="1">
        <v>9900.0</v>
      </c>
      <c r="B2506" s="1" t="s">
        <v>185</v>
      </c>
      <c r="C2506" s="1" t="str">
        <f>"08823750"</f>
        <v>08823750</v>
      </c>
      <c r="D2506" s="1" t="s">
        <v>186</v>
      </c>
      <c r="F2506" s="1" t="str">
        <f>"8049"</f>
        <v>8049</v>
      </c>
      <c r="G2506" s="2">
        <v>42029.0</v>
      </c>
      <c r="H2506" s="1">
        <v>9900.0</v>
      </c>
      <c r="I2506" s="1">
        <v>20.0</v>
      </c>
      <c r="J2506" s="1">
        <v>9900.0</v>
      </c>
      <c r="K2506" s="2">
        <v>42047.0</v>
      </c>
      <c r="L2506" s="1">
        <v>20.0</v>
      </c>
      <c r="M2506" s="2">
        <v>42047.0</v>
      </c>
      <c r="N2506" s="1" t="s">
        <v>249</v>
      </c>
      <c r="O2506" s="2">
        <v>42062.0</v>
      </c>
      <c r="P2506" s="1">
        <v>602708.0</v>
      </c>
      <c r="Q2506" s="1">
        <v>25066.0</v>
      </c>
      <c r="S2506" s="1">
        <v>317.0</v>
      </c>
      <c r="T2506" s="1" t="s">
        <v>22674</v>
      </c>
      <c r="U2506" s="1" t="s">
        <v>694</v>
      </c>
      <c r="V2506" s="1" t="s">
        <v>190</v>
      </c>
      <c r="W2506" s="1">
        <v>60628.0</v>
      </c>
      <c r="Y2506" s="1" t="s">
        <v>22675</v>
      </c>
      <c r="Z2506" s="1">
        <v>1912.0</v>
      </c>
      <c r="AA2506" s="1" t="s">
        <v>192</v>
      </c>
      <c r="AB2506" s="1" t="s">
        <v>193</v>
      </c>
      <c r="AD2506" s="1" t="s">
        <v>194</v>
      </c>
      <c r="AE2506" s="1" t="s">
        <v>195</v>
      </c>
      <c r="AF2506" s="1" t="s">
        <v>659</v>
      </c>
      <c r="AH2506" s="1" t="s">
        <v>8721</v>
      </c>
      <c r="AI2506" s="1">
        <v>0.0</v>
      </c>
      <c r="AK2506" s="1">
        <v>7.0</v>
      </c>
      <c r="AL2506" s="1">
        <v>4.0</v>
      </c>
      <c r="AM2506" s="1">
        <v>1.0</v>
      </c>
      <c r="AN2506" s="1">
        <v>0.0</v>
      </c>
      <c r="AO2506" s="1" t="s">
        <v>229</v>
      </c>
      <c r="AQ2506" s="1" t="s">
        <v>198</v>
      </c>
      <c r="AR2506" s="1" t="s">
        <v>200</v>
      </c>
      <c r="AS2506" s="1" t="s">
        <v>199</v>
      </c>
      <c r="AT2506" s="1">
        <v>2.0</v>
      </c>
      <c r="AV2506" s="1" t="s">
        <v>200</v>
      </c>
      <c r="AW2506" s="1">
        <v>1205.0</v>
      </c>
      <c r="AX2506" s="1">
        <v>2012.0</v>
      </c>
      <c r="AZ2506" s="1" t="s">
        <v>200</v>
      </c>
      <c r="BA2506" s="1" t="str">
        <f>"25212120120000"</f>
        <v>25212120120000</v>
      </c>
      <c r="BC2506" s="1">
        <v>924.0</v>
      </c>
      <c r="BD2506" s="1">
        <v>9900.0</v>
      </c>
      <c r="BE2506" s="2">
        <v>42028.0</v>
      </c>
      <c r="BF2506" s="2" t="s">
        <v>22676</v>
      </c>
      <c r="BH2506" s="1">
        <v>0.0</v>
      </c>
      <c r="BK2506" s="1" t="s">
        <v>204</v>
      </c>
      <c r="BL2506" s="1" t="str">
        <f t="shared" ref="BL2506:BM2506" si="1634">"0"</f>
        <v>0</v>
      </c>
      <c r="BM2506" s="1" t="str">
        <f t="shared" si="1634"/>
        <v>0</v>
      </c>
      <c r="BN2506" s="1">
        <v>310.0</v>
      </c>
      <c r="BO2506" s="1">
        <v>11200.0</v>
      </c>
      <c r="BQ2506" s="1">
        <v>299.0</v>
      </c>
      <c r="BR2506" s="1">
        <v>299.0</v>
      </c>
      <c r="BS2506" s="1">
        <v>299.0</v>
      </c>
      <c r="BU2506" s="1" t="s">
        <v>699</v>
      </c>
      <c r="BV2506" s="1" t="s">
        <v>206</v>
      </c>
      <c r="BY2506" s="1" t="s">
        <v>1068</v>
      </c>
      <c r="BZ2506" s="1" t="s">
        <v>209</v>
      </c>
      <c r="CC2506" s="1" t="s">
        <v>302</v>
      </c>
      <c r="CD2506" s="1" t="s">
        <v>206</v>
      </c>
      <c r="CG2506" s="1" t="s">
        <v>699</v>
      </c>
      <c r="CH2506" s="1" t="s">
        <v>209</v>
      </c>
      <c r="CK2506" s="1" t="s">
        <v>1584</v>
      </c>
      <c r="CL2506" s="1" t="s">
        <v>206</v>
      </c>
      <c r="CO2506" s="1" t="s">
        <v>1672</v>
      </c>
      <c r="CP2506" s="1" t="s">
        <v>206</v>
      </c>
      <c r="CS2506" s="1" t="s">
        <v>363</v>
      </c>
      <c r="CT2506" s="1" t="s">
        <v>206</v>
      </c>
      <c r="CX2506" s="1" t="s">
        <v>204</v>
      </c>
      <c r="DA2506" s="1" t="s">
        <v>200</v>
      </c>
      <c r="DC2506" s="1" t="s">
        <v>642</v>
      </c>
      <c r="DE2506" s="1" t="s">
        <v>229</v>
      </c>
      <c r="DF2506" s="1" t="s">
        <v>619</v>
      </c>
      <c r="DH2506" s="1" t="s">
        <v>307</v>
      </c>
      <c r="DJ2506" s="1" t="s">
        <v>222</v>
      </c>
      <c r="DL2506" s="1" t="s">
        <v>223</v>
      </c>
      <c r="DM2506" s="1" t="s">
        <v>229</v>
      </c>
      <c r="DQ2506" s="1" t="s">
        <v>228</v>
      </c>
      <c r="DR2506" s="1" t="s">
        <v>229</v>
      </c>
      <c r="DV2506" s="1" t="s">
        <v>232</v>
      </c>
      <c r="DW2506" s="1" t="s">
        <v>2602</v>
      </c>
      <c r="DX2506" s="1" t="s">
        <v>234</v>
      </c>
      <c r="EC2506" s="1" t="s">
        <v>237</v>
      </c>
      <c r="EM2506" s="1" t="s">
        <v>238</v>
      </c>
      <c r="EQ2506" s="1" t="s">
        <v>238</v>
      </c>
      <c r="EU2506" s="1" t="s">
        <v>238</v>
      </c>
      <c r="EY2506" s="1" t="s">
        <v>238</v>
      </c>
      <c r="FC2506" s="1" t="s">
        <v>238</v>
      </c>
      <c r="FF2506" s="1" t="s">
        <v>239</v>
      </c>
      <c r="FG2506" s="1" t="s">
        <v>192</v>
      </c>
      <c r="FH2506" s="1" t="s">
        <v>192</v>
      </c>
      <c r="FJ2506" s="1" t="s">
        <v>524</v>
      </c>
      <c r="FK2506" s="1" t="s">
        <v>229</v>
      </c>
      <c r="FL2506" s="1" t="s">
        <v>22677</v>
      </c>
      <c r="FM2506" s="1">
        <v>24782.0</v>
      </c>
      <c r="FN2506" s="1" t="s">
        <v>22678</v>
      </c>
      <c r="FO2506" s="1" t="s">
        <v>22679</v>
      </c>
      <c r="FP2506" s="1">
        <v>237293.0</v>
      </c>
      <c r="FR2506" s="1">
        <v>237287.0</v>
      </c>
      <c r="FU2506" s="1" t="s">
        <v>22680</v>
      </c>
      <c r="FV2506" s="1" t="s">
        <v>200</v>
      </c>
      <c r="FW2506" s="1" t="s">
        <v>13236</v>
      </c>
      <c r="FX2506" s="1" t="s">
        <v>246</v>
      </c>
      <c r="FZ2506" s="1" t="s">
        <v>229</v>
      </c>
      <c r="GA2506" s="1" t="s">
        <v>291</v>
      </c>
      <c r="GB2506" s="2">
        <v>42065.0</v>
      </c>
      <c r="GC2506" s="1" t="s">
        <v>22681</v>
      </c>
    </row>
    <row r="2507">
      <c r="A2507" s="1">
        <v>9000.0</v>
      </c>
      <c r="B2507" s="1" t="s">
        <v>185</v>
      </c>
      <c r="C2507" s="1" t="str">
        <f>"08819128"</f>
        <v>08819128</v>
      </c>
      <c r="D2507" s="1" t="s">
        <v>186</v>
      </c>
      <c r="F2507" s="1" t="str">
        <f>"8067"</f>
        <v>8067</v>
      </c>
      <c r="G2507" s="2">
        <v>42023.0</v>
      </c>
      <c r="H2507" s="1">
        <v>13000.0</v>
      </c>
      <c r="I2507" s="1">
        <v>11.0</v>
      </c>
      <c r="J2507" s="1">
        <v>13000.0</v>
      </c>
      <c r="K2507" s="2">
        <v>42033.0</v>
      </c>
      <c r="L2507" s="1">
        <v>11.0</v>
      </c>
      <c r="M2507" s="2">
        <v>42033.0</v>
      </c>
      <c r="N2507" s="1" t="s">
        <v>249</v>
      </c>
      <c r="O2507" s="2">
        <v>42073.0</v>
      </c>
      <c r="P2507" s="1">
        <v>117004.0</v>
      </c>
      <c r="Q2507" s="1">
        <v>84783.0</v>
      </c>
      <c r="S2507" s="1">
        <v>7142.0</v>
      </c>
      <c r="T2507" s="1" t="s">
        <v>3225</v>
      </c>
      <c r="U2507" s="1" t="s">
        <v>189</v>
      </c>
      <c r="V2507" s="1" t="s">
        <v>190</v>
      </c>
      <c r="W2507" s="1">
        <v>60636.0</v>
      </c>
      <c r="Y2507" s="1" t="s">
        <v>22682</v>
      </c>
      <c r="Z2507" s="1">
        <v>1920.0</v>
      </c>
      <c r="AA2507" s="1" t="s">
        <v>192</v>
      </c>
      <c r="AB2507" s="1" t="s">
        <v>193</v>
      </c>
      <c r="AD2507" s="1" t="s">
        <v>194</v>
      </c>
      <c r="AE2507" s="1" t="s">
        <v>195</v>
      </c>
      <c r="AF2507" s="1" t="s">
        <v>659</v>
      </c>
      <c r="AH2507" s="1" t="s">
        <v>741</v>
      </c>
      <c r="AI2507" s="1">
        <v>0.0717</v>
      </c>
      <c r="AK2507" s="1">
        <v>7.0</v>
      </c>
      <c r="AL2507" s="1">
        <v>4.0</v>
      </c>
      <c r="AM2507" s="1">
        <v>1.0</v>
      </c>
      <c r="AN2507" s="1">
        <v>0.0</v>
      </c>
      <c r="AO2507" s="1" t="s">
        <v>229</v>
      </c>
      <c r="AQ2507" s="1" t="s">
        <v>198</v>
      </c>
      <c r="AR2507" s="1" t="s">
        <v>200</v>
      </c>
      <c r="AS2507" s="1" t="s">
        <v>229</v>
      </c>
      <c r="AV2507" s="1" t="s">
        <v>200</v>
      </c>
      <c r="AW2507" s="1">
        <v>1260.0</v>
      </c>
      <c r="AX2507" s="1">
        <v>2013.0</v>
      </c>
      <c r="AY2507" s="1" t="s">
        <v>387</v>
      </c>
      <c r="AZ2507" s="1" t="s">
        <v>545</v>
      </c>
      <c r="BA2507" s="1" t="str">
        <f>"20302040400000"</f>
        <v>20302040400000</v>
      </c>
      <c r="BB2507" s="1" t="s">
        <v>200</v>
      </c>
      <c r="BC2507" s="1">
        <v>899.0</v>
      </c>
      <c r="BD2507" s="1">
        <v>9000.0</v>
      </c>
      <c r="BE2507" s="2">
        <v>42023.0</v>
      </c>
      <c r="BF2507" s="2" t="s">
        <v>22683</v>
      </c>
      <c r="BH2507" s="1">
        <v>0.0</v>
      </c>
      <c r="BK2507" s="1" t="s">
        <v>204</v>
      </c>
      <c r="BL2507" s="1" t="str">
        <f t="shared" ref="BL2507:BM2507" si="1635">"0"</f>
        <v>0</v>
      </c>
      <c r="BM2507" s="1" t="str">
        <f t="shared" si="1635"/>
        <v>0</v>
      </c>
      <c r="BN2507" s="1">
        <v>1800.0</v>
      </c>
      <c r="BO2507" s="1">
        <v>7142.0</v>
      </c>
      <c r="BQ2507" s="1">
        <v>299.0</v>
      </c>
      <c r="BR2507" s="1">
        <v>299.0</v>
      </c>
      <c r="BS2507" s="1">
        <v>299.0</v>
      </c>
      <c r="BU2507" s="1" t="s">
        <v>363</v>
      </c>
      <c r="BV2507" s="1" t="s">
        <v>206</v>
      </c>
      <c r="BW2507" s="1" t="s">
        <v>207</v>
      </c>
      <c r="BX2507" s="1" t="s">
        <v>229</v>
      </c>
      <c r="BY2507" s="1" t="s">
        <v>1329</v>
      </c>
      <c r="BZ2507" s="1" t="s">
        <v>206</v>
      </c>
      <c r="CA2507" s="1" t="s">
        <v>210</v>
      </c>
      <c r="CB2507" s="1" t="s">
        <v>229</v>
      </c>
      <c r="CC2507" s="1" t="s">
        <v>663</v>
      </c>
      <c r="CD2507" s="1" t="s">
        <v>206</v>
      </c>
      <c r="CE2507" s="1" t="s">
        <v>207</v>
      </c>
      <c r="CF2507" s="1" t="s">
        <v>229</v>
      </c>
      <c r="CG2507" s="1" t="s">
        <v>663</v>
      </c>
      <c r="CH2507" s="1" t="s">
        <v>206</v>
      </c>
      <c r="CI2507" s="1" t="s">
        <v>210</v>
      </c>
      <c r="CJ2507" s="1" t="s">
        <v>229</v>
      </c>
      <c r="CK2507" s="1" t="s">
        <v>302</v>
      </c>
      <c r="CL2507" s="1" t="s">
        <v>209</v>
      </c>
      <c r="CM2507" s="1" t="s">
        <v>210</v>
      </c>
      <c r="CN2507" s="1" t="s">
        <v>229</v>
      </c>
      <c r="CO2507" s="1" t="s">
        <v>663</v>
      </c>
      <c r="CP2507" s="1" t="s">
        <v>209</v>
      </c>
      <c r="CS2507" s="1" t="s">
        <v>269</v>
      </c>
      <c r="CT2507" s="1" t="s">
        <v>206</v>
      </c>
      <c r="CU2507" s="1" t="s">
        <v>617</v>
      </c>
      <c r="CV2507" s="1" t="s">
        <v>229</v>
      </c>
      <c r="CX2507" s="1" t="s">
        <v>204</v>
      </c>
      <c r="DA2507" s="1" t="s">
        <v>200</v>
      </c>
      <c r="DC2507" s="1" t="s">
        <v>216</v>
      </c>
      <c r="DD2507" s="1" t="s">
        <v>2094</v>
      </c>
      <c r="DE2507" s="1" t="s">
        <v>229</v>
      </c>
      <c r="DF2507" s="1" t="s">
        <v>619</v>
      </c>
      <c r="DG2507" s="1" t="s">
        <v>337</v>
      </c>
      <c r="DH2507" s="1" t="s">
        <v>365</v>
      </c>
      <c r="DJ2507" s="1" t="s">
        <v>222</v>
      </c>
      <c r="DK2507" s="1" t="s">
        <v>3941</v>
      </c>
      <c r="DL2507" s="1" t="s">
        <v>223</v>
      </c>
      <c r="DM2507" s="1" t="s">
        <v>225</v>
      </c>
      <c r="DP2507" s="1" t="s">
        <v>340</v>
      </c>
      <c r="DQ2507" s="1" t="s">
        <v>718</v>
      </c>
      <c r="DR2507" s="1" t="s">
        <v>229</v>
      </c>
      <c r="DS2507" s="1" t="s">
        <v>230</v>
      </c>
      <c r="DU2507" s="1" t="s">
        <v>2070</v>
      </c>
      <c r="DV2507" s="1" t="s">
        <v>374</v>
      </c>
      <c r="DW2507" s="1" t="s">
        <v>667</v>
      </c>
      <c r="DX2507" s="1" t="s">
        <v>234</v>
      </c>
      <c r="EA2507" s="1" t="s">
        <v>644</v>
      </c>
      <c r="EC2507" s="1" t="s">
        <v>645</v>
      </c>
      <c r="EG2507" s="1" t="s">
        <v>374</v>
      </c>
      <c r="EL2507" s="1" t="s">
        <v>3508</v>
      </c>
      <c r="EM2507" s="1" t="s">
        <v>206</v>
      </c>
      <c r="EN2507" s="1" t="s">
        <v>617</v>
      </c>
      <c r="EO2507" s="1" t="s">
        <v>229</v>
      </c>
      <c r="EQ2507" s="1" t="s">
        <v>238</v>
      </c>
      <c r="EU2507" s="1" t="s">
        <v>238</v>
      </c>
      <c r="EY2507" s="1" t="s">
        <v>238</v>
      </c>
      <c r="FC2507" s="1" t="s">
        <v>238</v>
      </c>
      <c r="FF2507" s="1" t="s">
        <v>239</v>
      </c>
      <c r="FG2507" s="1" t="s">
        <v>192</v>
      </c>
      <c r="FH2507" s="1" t="s">
        <v>192</v>
      </c>
      <c r="FJ2507" s="1" t="s">
        <v>22684</v>
      </c>
      <c r="FK2507" s="1" t="s">
        <v>229</v>
      </c>
      <c r="FL2507" s="1" t="s">
        <v>1289</v>
      </c>
      <c r="FM2507" s="1">
        <v>84783.0</v>
      </c>
      <c r="FN2507" s="1" t="s">
        <v>22685</v>
      </c>
      <c r="FO2507" s="1" t="s">
        <v>22686</v>
      </c>
      <c r="FP2507" s="1">
        <v>117004.0</v>
      </c>
      <c r="FQ2507" s="1" t="s">
        <v>22687</v>
      </c>
      <c r="FR2507" s="1">
        <v>120777.0</v>
      </c>
      <c r="FU2507" s="1" t="s">
        <v>22688</v>
      </c>
      <c r="FV2507" s="1" t="s">
        <v>200</v>
      </c>
      <c r="FW2507" s="1" t="s">
        <v>567</v>
      </c>
      <c r="FX2507" s="1" t="s">
        <v>655</v>
      </c>
      <c r="FZ2507" s="1" t="s">
        <v>229</v>
      </c>
      <c r="GA2507" s="1" t="s">
        <v>291</v>
      </c>
      <c r="GB2507" s="2">
        <v>42076.0</v>
      </c>
      <c r="GC2507" s="1" t="s">
        <v>22689</v>
      </c>
    </row>
    <row r="2508">
      <c r="A2508" s="1">
        <v>573000.0</v>
      </c>
      <c r="B2508" s="1" t="s">
        <v>185</v>
      </c>
      <c r="C2508" s="1" t="str">
        <f>"08819390"</f>
        <v>08819390</v>
      </c>
      <c r="D2508" s="1" t="s">
        <v>186</v>
      </c>
      <c r="F2508" s="1" t="str">
        <f>"8009"</f>
        <v>8009</v>
      </c>
      <c r="G2508" s="2">
        <v>42023.0</v>
      </c>
      <c r="H2508" s="1">
        <v>589900.0</v>
      </c>
      <c r="I2508" s="1">
        <v>100.0</v>
      </c>
      <c r="J2508" s="1">
        <v>589900.0</v>
      </c>
      <c r="K2508" s="2">
        <v>42031.0</v>
      </c>
      <c r="L2508" s="1">
        <v>9.0</v>
      </c>
      <c r="M2508" s="2">
        <v>42031.0</v>
      </c>
      <c r="N2508" s="1" t="s">
        <v>187</v>
      </c>
      <c r="O2508" s="2">
        <v>42107.0</v>
      </c>
      <c r="P2508" s="1">
        <v>42493.0</v>
      </c>
      <c r="Q2508" s="1">
        <v>3110.0</v>
      </c>
      <c r="S2508" s="1">
        <v>6717.0</v>
      </c>
      <c r="T2508" s="1" t="s">
        <v>12811</v>
      </c>
      <c r="U2508" s="1" t="s">
        <v>189</v>
      </c>
      <c r="V2508" s="1" t="s">
        <v>190</v>
      </c>
      <c r="W2508" s="1">
        <v>60631.0</v>
      </c>
      <c r="Y2508" s="1" t="s">
        <v>22690</v>
      </c>
      <c r="Z2508" s="1">
        <v>1926.0</v>
      </c>
      <c r="AA2508" s="1" t="s">
        <v>192</v>
      </c>
      <c r="AB2508" s="1" t="s">
        <v>193</v>
      </c>
      <c r="AD2508" s="1" t="s">
        <v>194</v>
      </c>
      <c r="AE2508" s="1" t="s">
        <v>195</v>
      </c>
      <c r="AF2508" s="1" t="s">
        <v>196</v>
      </c>
      <c r="AH2508" s="1">
        <v>50124.0</v>
      </c>
      <c r="AK2508" s="1">
        <v>10.0</v>
      </c>
      <c r="AL2508" s="1">
        <v>4.0</v>
      </c>
      <c r="AM2508" s="1">
        <v>3.0</v>
      </c>
      <c r="AN2508" s="1">
        <v>0.0</v>
      </c>
      <c r="AO2508" s="1" t="s">
        <v>3903</v>
      </c>
      <c r="AP2508" s="1">
        <v>1.0</v>
      </c>
      <c r="AQ2508" s="1" t="s">
        <v>198</v>
      </c>
      <c r="AR2508" s="1" t="s">
        <v>192</v>
      </c>
      <c r="AS2508" s="1" t="s">
        <v>199</v>
      </c>
      <c r="AT2508" s="1">
        <v>2.5</v>
      </c>
      <c r="AV2508" s="1" t="s">
        <v>200</v>
      </c>
      <c r="AW2508" s="1">
        <v>7587.67</v>
      </c>
      <c r="AX2508" s="1">
        <v>2013.0</v>
      </c>
      <c r="AY2508" s="1" t="s">
        <v>387</v>
      </c>
      <c r="AZ2508" s="1" t="s">
        <v>200</v>
      </c>
      <c r="BA2508" s="1" t="str">
        <f>"09364060120000"</f>
        <v>09364060120000</v>
      </c>
      <c r="BB2508" s="1" t="s">
        <v>200</v>
      </c>
      <c r="BC2508" s="1">
        <v>0.0</v>
      </c>
      <c r="BD2508" s="1">
        <v>573000.0</v>
      </c>
      <c r="BE2508" s="2">
        <v>42023.0</v>
      </c>
      <c r="BF2508" s="2" t="s">
        <v>22691</v>
      </c>
      <c r="BG2508" s="1" t="s">
        <v>2632</v>
      </c>
      <c r="BH2508" s="1">
        <v>0.0</v>
      </c>
      <c r="BJ2508" s="1" t="s">
        <v>1222</v>
      </c>
      <c r="BK2508" s="1" t="s">
        <v>204</v>
      </c>
      <c r="BL2508" s="1" t="str">
        <f>"6700"</f>
        <v>6700</v>
      </c>
      <c r="BM2508" s="1" t="str">
        <f t="shared" ref="BM2508:BM2509" si="1636">"0"</f>
        <v>0</v>
      </c>
      <c r="BN2508" s="1">
        <v>7200.0</v>
      </c>
      <c r="BO2508" s="1">
        <v>0.0</v>
      </c>
      <c r="BQ2508" s="1">
        <v>299.0</v>
      </c>
      <c r="BR2508" s="1">
        <v>299.0</v>
      </c>
      <c r="BS2508" s="1">
        <v>299.0</v>
      </c>
      <c r="BU2508" s="1" t="s">
        <v>584</v>
      </c>
      <c r="BV2508" s="1" t="s">
        <v>206</v>
      </c>
      <c r="BW2508" s="1" t="s">
        <v>207</v>
      </c>
      <c r="BX2508" s="1" t="s">
        <v>239</v>
      </c>
      <c r="BY2508" s="1" t="s">
        <v>616</v>
      </c>
      <c r="BZ2508" s="1" t="s">
        <v>209</v>
      </c>
      <c r="CA2508" s="1" t="s">
        <v>210</v>
      </c>
      <c r="CB2508" s="1" t="s">
        <v>239</v>
      </c>
      <c r="CC2508" s="1" t="s">
        <v>215</v>
      </c>
      <c r="CD2508" s="1" t="s">
        <v>206</v>
      </c>
      <c r="CE2508" s="1" t="s">
        <v>207</v>
      </c>
      <c r="CF2508" s="1" t="s">
        <v>239</v>
      </c>
      <c r="CG2508" s="1" t="s">
        <v>264</v>
      </c>
      <c r="CH2508" s="1" t="s">
        <v>209</v>
      </c>
      <c r="CI2508" s="1" t="s">
        <v>210</v>
      </c>
      <c r="CJ2508" s="1" t="s">
        <v>239</v>
      </c>
      <c r="CK2508" s="1" t="s">
        <v>264</v>
      </c>
      <c r="CL2508" s="1" t="s">
        <v>209</v>
      </c>
      <c r="CM2508" s="1" t="s">
        <v>210</v>
      </c>
      <c r="CN2508" s="1" t="s">
        <v>239</v>
      </c>
      <c r="CO2508" s="1" t="s">
        <v>264</v>
      </c>
      <c r="CP2508" s="1" t="s">
        <v>206</v>
      </c>
      <c r="CQ2508" s="1" t="s">
        <v>207</v>
      </c>
      <c r="CR2508" s="1" t="s">
        <v>239</v>
      </c>
      <c r="CS2508" s="1" t="s">
        <v>1623</v>
      </c>
      <c r="CT2508" s="1" t="s">
        <v>206</v>
      </c>
      <c r="CU2508" s="1" t="s">
        <v>207</v>
      </c>
      <c r="CV2508" s="1" t="s">
        <v>239</v>
      </c>
      <c r="CW2508" s="1" t="s">
        <v>1825</v>
      </c>
      <c r="CX2508" s="1" t="s">
        <v>206</v>
      </c>
      <c r="CY2508" s="1" t="s">
        <v>207</v>
      </c>
      <c r="CZ2508" s="1" t="s">
        <v>239</v>
      </c>
      <c r="DA2508" s="1" t="s">
        <v>200</v>
      </c>
      <c r="DC2508" s="1" t="s">
        <v>785</v>
      </c>
      <c r="DD2508" s="1" t="s">
        <v>731</v>
      </c>
      <c r="DE2508" s="1" t="s">
        <v>7068</v>
      </c>
      <c r="DF2508" s="1" t="s">
        <v>745</v>
      </c>
      <c r="DG2508" s="1" t="s">
        <v>482</v>
      </c>
      <c r="DH2508" s="1" t="s">
        <v>365</v>
      </c>
      <c r="DI2508" s="1" t="s">
        <v>7570</v>
      </c>
      <c r="DJ2508" s="1" t="s">
        <v>222</v>
      </c>
      <c r="DL2508" s="1" t="s">
        <v>1161</v>
      </c>
      <c r="DM2508" s="1" t="s">
        <v>229</v>
      </c>
      <c r="DN2508" s="1" t="s">
        <v>399</v>
      </c>
      <c r="DO2508" s="1" t="s">
        <v>12267</v>
      </c>
      <c r="DP2508" s="1" t="s">
        <v>340</v>
      </c>
      <c r="DQ2508" s="1" t="s">
        <v>794</v>
      </c>
      <c r="DR2508" s="1" t="s">
        <v>229</v>
      </c>
      <c r="DS2508" s="1" t="s">
        <v>6018</v>
      </c>
      <c r="DV2508" s="1" t="s">
        <v>22692</v>
      </c>
      <c r="DW2508" s="1" t="s">
        <v>279</v>
      </c>
      <c r="DX2508" s="1" t="s">
        <v>234</v>
      </c>
      <c r="DY2508" s="1" t="s">
        <v>21224</v>
      </c>
      <c r="DZ2508" s="1" t="s">
        <v>310</v>
      </c>
      <c r="EA2508" s="1" t="s">
        <v>644</v>
      </c>
      <c r="EB2508" s="1" t="s">
        <v>1639</v>
      </c>
      <c r="EC2508" s="1" t="s">
        <v>237</v>
      </c>
      <c r="ED2508" s="1" t="s">
        <v>407</v>
      </c>
      <c r="EG2508" s="1" t="s">
        <v>341</v>
      </c>
      <c r="EH2508" s="1" t="s">
        <v>450</v>
      </c>
      <c r="EI2508" s="1" t="s">
        <v>409</v>
      </c>
      <c r="EL2508" s="1" t="s">
        <v>1230</v>
      </c>
      <c r="EM2508" s="1" t="s">
        <v>209</v>
      </c>
      <c r="EN2508" s="1" t="s">
        <v>207</v>
      </c>
      <c r="EO2508" s="1" t="s">
        <v>239</v>
      </c>
      <c r="EP2508" s="1" t="s">
        <v>877</v>
      </c>
      <c r="EQ2508" s="1" t="s">
        <v>42</v>
      </c>
      <c r="ER2508" s="1" t="s">
        <v>210</v>
      </c>
      <c r="ES2508" s="1" t="s">
        <v>229</v>
      </c>
      <c r="ET2508" s="1" t="s">
        <v>1230</v>
      </c>
      <c r="EU2508" s="1" t="s">
        <v>209</v>
      </c>
      <c r="EV2508" s="1" t="s">
        <v>210</v>
      </c>
      <c r="EY2508" s="1" t="s">
        <v>238</v>
      </c>
      <c r="FC2508" s="1" t="s">
        <v>238</v>
      </c>
      <c r="FF2508" s="1" t="s">
        <v>239</v>
      </c>
      <c r="FG2508" s="1" t="s">
        <v>192</v>
      </c>
      <c r="FH2508" s="1" t="s">
        <v>192</v>
      </c>
      <c r="FJ2508" s="1" t="s">
        <v>4471</v>
      </c>
      <c r="FK2508" s="1" t="s">
        <v>229</v>
      </c>
      <c r="FL2508" s="1" t="s">
        <v>6505</v>
      </c>
      <c r="FM2508" s="1">
        <v>8015.0</v>
      </c>
      <c r="FN2508" s="1" t="s">
        <v>6506</v>
      </c>
      <c r="FO2508" s="1" t="s">
        <v>22693</v>
      </c>
      <c r="FP2508" s="1">
        <v>80256.0</v>
      </c>
      <c r="FQ2508" s="1" t="s">
        <v>6506</v>
      </c>
      <c r="FU2508" s="1" t="s">
        <v>22694</v>
      </c>
      <c r="FV2508" s="1" t="s">
        <v>200</v>
      </c>
      <c r="FW2508" s="1" t="s">
        <v>290</v>
      </c>
      <c r="FX2508" s="1" t="s">
        <v>238</v>
      </c>
      <c r="FZ2508" s="1" t="s">
        <v>229</v>
      </c>
      <c r="GA2508" s="1" t="s">
        <v>291</v>
      </c>
      <c r="GB2508" s="2">
        <v>42108.0</v>
      </c>
    </row>
    <row r="2509">
      <c r="A2509" s="1">
        <v>1582500.0</v>
      </c>
      <c r="B2509" s="1" t="s">
        <v>185</v>
      </c>
      <c r="C2509" s="1" t="str">
        <f>"08824450"</f>
        <v>08824450</v>
      </c>
      <c r="D2509" s="1" t="s">
        <v>186</v>
      </c>
      <c r="F2509" s="1" t="str">
        <f>"8005"</f>
        <v>8005</v>
      </c>
      <c r="G2509" s="2">
        <v>42030.0</v>
      </c>
      <c r="H2509" s="1">
        <v>1640000.0</v>
      </c>
      <c r="I2509" s="1">
        <v>323.0</v>
      </c>
      <c r="J2509" s="1">
        <v>1599000.0</v>
      </c>
      <c r="K2509" s="2">
        <v>42068.0</v>
      </c>
      <c r="L2509" s="1">
        <v>39.0</v>
      </c>
      <c r="M2509" s="2">
        <v>42068.0</v>
      </c>
      <c r="N2509" s="1" t="s">
        <v>187</v>
      </c>
      <c r="O2509" s="2">
        <v>42129.0</v>
      </c>
      <c r="P2509" s="1">
        <v>80425.0</v>
      </c>
      <c r="Q2509" s="1">
        <v>8081.0</v>
      </c>
      <c r="S2509" s="1">
        <v>1939.0</v>
      </c>
      <c r="T2509" s="1" t="s">
        <v>14450</v>
      </c>
      <c r="U2509" s="1" t="s">
        <v>189</v>
      </c>
      <c r="V2509" s="1" t="s">
        <v>190</v>
      </c>
      <c r="W2509" s="1">
        <v>60613.0</v>
      </c>
      <c r="Y2509" s="1" t="s">
        <v>22695</v>
      </c>
      <c r="Z2509" s="1">
        <v>2014.0</v>
      </c>
      <c r="AA2509" s="1" t="s">
        <v>200</v>
      </c>
      <c r="AB2509" s="1" t="s">
        <v>193</v>
      </c>
      <c r="AD2509" s="1" t="s">
        <v>194</v>
      </c>
      <c r="AE2509" s="1" t="s">
        <v>195</v>
      </c>
      <c r="AF2509" s="1" t="s">
        <v>196</v>
      </c>
      <c r="AH2509" s="1" t="s">
        <v>7548</v>
      </c>
      <c r="AI2509" s="1">
        <v>0.1076</v>
      </c>
      <c r="AK2509" s="1">
        <v>11.0</v>
      </c>
      <c r="AL2509" s="1">
        <v>4.0</v>
      </c>
      <c r="AM2509" s="1">
        <v>4.0</v>
      </c>
      <c r="AN2509" s="1">
        <v>2.0</v>
      </c>
      <c r="AO2509" s="1" t="s">
        <v>198</v>
      </c>
      <c r="AP2509" s="1">
        <v>2.0</v>
      </c>
      <c r="AQ2509" s="1" t="s">
        <v>472</v>
      </c>
      <c r="AR2509" s="1" t="s">
        <v>192</v>
      </c>
      <c r="AS2509" s="1" t="s">
        <v>199</v>
      </c>
      <c r="AT2509" s="1">
        <v>3.0</v>
      </c>
      <c r="AV2509" s="1" t="s">
        <v>200</v>
      </c>
      <c r="AW2509" s="1" t="s">
        <v>575</v>
      </c>
      <c r="AX2509" s="1">
        <v>2013.0</v>
      </c>
      <c r="AZ2509" s="1" t="s">
        <v>200</v>
      </c>
      <c r="BA2509" s="1" t="str">
        <f>"14184110100000"</f>
        <v>14184110100000</v>
      </c>
      <c r="BC2509" s="1">
        <v>0.0</v>
      </c>
      <c r="BD2509" s="1">
        <v>1582500.0</v>
      </c>
      <c r="BE2509" s="2">
        <v>42030.0</v>
      </c>
      <c r="BF2509" s="2" t="s">
        <v>22696</v>
      </c>
      <c r="BG2509" s="1" t="s">
        <v>2093</v>
      </c>
      <c r="BH2509" s="1">
        <v>0.0</v>
      </c>
      <c r="BK2509" s="1" t="s">
        <v>204</v>
      </c>
      <c r="BL2509" s="1" t="str">
        <f>"4200"</f>
        <v>4200</v>
      </c>
      <c r="BM2509" s="1" t="str">
        <f t="shared" si="1636"/>
        <v>0</v>
      </c>
      <c r="BN2509" s="1">
        <v>1939.0</v>
      </c>
      <c r="BO2509" s="1">
        <v>0.0</v>
      </c>
      <c r="BQ2509" s="1">
        <v>299.0</v>
      </c>
      <c r="BR2509" s="1">
        <v>299.0</v>
      </c>
      <c r="BS2509" s="1">
        <v>299.0</v>
      </c>
      <c r="BU2509" s="1" t="s">
        <v>329</v>
      </c>
      <c r="BV2509" s="1" t="s">
        <v>206</v>
      </c>
      <c r="BW2509" s="1" t="s">
        <v>207</v>
      </c>
      <c r="BY2509" s="1" t="s">
        <v>743</v>
      </c>
      <c r="BZ2509" s="1" t="s">
        <v>209</v>
      </c>
      <c r="CA2509" s="1" t="s">
        <v>207</v>
      </c>
      <c r="CC2509" s="1" t="s">
        <v>1064</v>
      </c>
      <c r="CD2509" s="1" t="s">
        <v>206</v>
      </c>
      <c r="CE2509" s="1" t="s">
        <v>207</v>
      </c>
      <c r="CG2509" s="1" t="s">
        <v>332</v>
      </c>
      <c r="CH2509" s="1" t="s">
        <v>209</v>
      </c>
      <c r="CI2509" s="1" t="s">
        <v>207</v>
      </c>
      <c r="CK2509" s="1" t="s">
        <v>584</v>
      </c>
      <c r="CL2509" s="1" t="s">
        <v>209</v>
      </c>
      <c r="CM2509" s="1" t="s">
        <v>207</v>
      </c>
      <c r="CO2509" s="1" t="s">
        <v>363</v>
      </c>
      <c r="CP2509" s="1" t="s">
        <v>209</v>
      </c>
      <c r="CQ2509" s="1" t="s">
        <v>207</v>
      </c>
      <c r="CS2509" s="1" t="s">
        <v>1158</v>
      </c>
      <c r="CT2509" s="1" t="s">
        <v>206</v>
      </c>
      <c r="CU2509" s="1" t="s">
        <v>207</v>
      </c>
      <c r="CW2509" s="1" t="s">
        <v>3658</v>
      </c>
      <c r="CX2509" s="1" t="s">
        <v>267</v>
      </c>
      <c r="CY2509" s="1" t="s">
        <v>210</v>
      </c>
      <c r="DA2509" s="1" t="s">
        <v>192</v>
      </c>
      <c r="DB2509" s="2">
        <v>42030.0</v>
      </c>
      <c r="DC2509" s="1" t="s">
        <v>1353</v>
      </c>
      <c r="DD2509" s="1" t="s">
        <v>1552</v>
      </c>
      <c r="DE2509" s="1" t="s">
        <v>273</v>
      </c>
      <c r="DF2509" s="1" t="s">
        <v>745</v>
      </c>
      <c r="DH2509" s="1" t="s">
        <v>365</v>
      </c>
      <c r="DI2509" s="1" t="s">
        <v>7225</v>
      </c>
      <c r="DJ2509" s="1" t="s">
        <v>222</v>
      </c>
      <c r="DL2509" s="1" t="s">
        <v>224</v>
      </c>
      <c r="DM2509" s="1" t="s">
        <v>229</v>
      </c>
      <c r="DQ2509" s="1" t="s">
        <v>794</v>
      </c>
      <c r="DR2509" s="1" t="s">
        <v>229</v>
      </c>
      <c r="DV2509" s="1" t="s">
        <v>22697</v>
      </c>
      <c r="DW2509" s="1" t="s">
        <v>667</v>
      </c>
      <c r="DX2509" s="1" t="s">
        <v>234</v>
      </c>
      <c r="EC2509" s="1" t="s">
        <v>237</v>
      </c>
      <c r="EJ2509" s="1" t="s">
        <v>449</v>
      </c>
      <c r="EK2509" s="1" t="s">
        <v>598</v>
      </c>
      <c r="EM2509" s="1" t="s">
        <v>238</v>
      </c>
      <c r="EQ2509" s="1" t="s">
        <v>238</v>
      </c>
      <c r="EU2509" s="1" t="s">
        <v>238</v>
      </c>
      <c r="EX2509" s="1" t="s">
        <v>1245</v>
      </c>
      <c r="EY2509" s="1" t="s">
        <v>206</v>
      </c>
      <c r="EZ2509" s="1" t="s">
        <v>207</v>
      </c>
      <c r="FB2509" s="1" t="s">
        <v>516</v>
      </c>
      <c r="FC2509" s="1" t="s">
        <v>267</v>
      </c>
      <c r="FD2509" s="1" t="s">
        <v>210</v>
      </c>
      <c r="FF2509" s="1" t="s">
        <v>239</v>
      </c>
      <c r="FG2509" s="1" t="s">
        <v>192</v>
      </c>
      <c r="FH2509" s="1" t="s">
        <v>192</v>
      </c>
      <c r="FJ2509" s="1" t="s">
        <v>4029</v>
      </c>
      <c r="FK2509" s="1" t="s">
        <v>229</v>
      </c>
      <c r="FL2509" s="1" t="s">
        <v>974</v>
      </c>
      <c r="FM2509" s="1">
        <v>10900.0</v>
      </c>
      <c r="FN2509" s="1" t="s">
        <v>1435</v>
      </c>
      <c r="FO2509" s="1" t="s">
        <v>22698</v>
      </c>
      <c r="FP2509" s="1">
        <v>107087.0</v>
      </c>
      <c r="FQ2509" s="1" t="s">
        <v>22699</v>
      </c>
      <c r="FR2509" s="1">
        <v>168440.0</v>
      </c>
      <c r="FU2509" s="1" t="s">
        <v>22700</v>
      </c>
      <c r="FV2509" s="1" t="s">
        <v>192</v>
      </c>
      <c r="FW2509" s="1" t="s">
        <v>567</v>
      </c>
      <c r="FX2509" s="1" t="s">
        <v>246</v>
      </c>
      <c r="FZ2509" s="1" t="s">
        <v>229</v>
      </c>
      <c r="GA2509" s="1" t="s">
        <v>291</v>
      </c>
      <c r="GB2509" s="2">
        <v>42132.0</v>
      </c>
      <c r="GC2509" s="1" t="s">
        <v>22701</v>
      </c>
    </row>
    <row r="2510">
      <c r="A2510" s="1">
        <v>50000.0</v>
      </c>
      <c r="B2510" s="1" t="s">
        <v>185</v>
      </c>
      <c r="C2510" s="1" t="str">
        <f>"08820052"</f>
        <v>08820052</v>
      </c>
      <c r="D2510" s="1" t="s">
        <v>186</v>
      </c>
      <c r="F2510" s="1" t="str">
        <f>"8049"</f>
        <v>8049</v>
      </c>
      <c r="G2510" s="2">
        <v>42024.0</v>
      </c>
      <c r="H2510" s="1">
        <v>50000.0</v>
      </c>
      <c r="I2510" s="1">
        <v>70.0</v>
      </c>
      <c r="J2510" s="1">
        <v>50000.0</v>
      </c>
      <c r="K2510" s="2">
        <v>42093.0</v>
      </c>
      <c r="L2510" s="1">
        <v>70.0</v>
      </c>
      <c r="M2510" s="2">
        <v>42093.0</v>
      </c>
      <c r="N2510" s="1" t="s">
        <v>249</v>
      </c>
      <c r="O2510" s="2">
        <v>42124.0</v>
      </c>
      <c r="P2510" s="1">
        <v>131358.0</v>
      </c>
      <c r="Q2510" s="1">
        <v>12293.0</v>
      </c>
      <c r="S2510" s="1">
        <v>11220.0</v>
      </c>
      <c r="T2510" s="1" t="s">
        <v>22702</v>
      </c>
      <c r="U2510" s="1" t="s">
        <v>189</v>
      </c>
      <c r="V2510" s="1" t="s">
        <v>190</v>
      </c>
      <c r="W2510" s="1">
        <v>60628.0</v>
      </c>
      <c r="Y2510" s="1" t="s">
        <v>22703</v>
      </c>
      <c r="Z2510" s="1" t="s">
        <v>296</v>
      </c>
      <c r="AA2510" s="1" t="s">
        <v>192</v>
      </c>
      <c r="AB2510" s="1" t="s">
        <v>193</v>
      </c>
      <c r="AD2510" s="1" t="s">
        <v>194</v>
      </c>
      <c r="AE2510" s="1" t="s">
        <v>195</v>
      </c>
      <c r="AF2510" s="1" t="s">
        <v>637</v>
      </c>
      <c r="AH2510" s="1" t="s">
        <v>359</v>
      </c>
      <c r="AK2510" s="1">
        <v>7.0</v>
      </c>
      <c r="AL2510" s="1">
        <v>3.0</v>
      </c>
      <c r="AM2510" s="1">
        <v>1.0</v>
      </c>
      <c r="AN2510" s="1">
        <v>1.0</v>
      </c>
      <c r="AO2510" s="1" t="s">
        <v>229</v>
      </c>
      <c r="AQ2510" s="1" t="s">
        <v>198</v>
      </c>
      <c r="AR2510" s="1" t="s">
        <v>192</v>
      </c>
      <c r="AS2510" s="1" t="s">
        <v>199</v>
      </c>
      <c r="AT2510" s="1">
        <v>2.0</v>
      </c>
      <c r="AV2510" s="1" t="s">
        <v>200</v>
      </c>
      <c r="AW2510" s="1">
        <v>0.0</v>
      </c>
      <c r="AX2510" s="1">
        <v>2013.0</v>
      </c>
      <c r="AY2510" s="1" t="s">
        <v>1917</v>
      </c>
      <c r="AZ2510" s="1" t="s">
        <v>200</v>
      </c>
      <c r="BA2510" s="1" t="str">
        <f>"25211140190000"</f>
        <v>25211140190000</v>
      </c>
      <c r="BC2510" s="1">
        <v>1056.0</v>
      </c>
      <c r="BD2510" s="1">
        <v>50000.0</v>
      </c>
      <c r="BE2510" s="2">
        <v>42024.0</v>
      </c>
      <c r="BF2510" s="1" t="s">
        <v>22704</v>
      </c>
      <c r="BH2510" s="1">
        <v>0.0</v>
      </c>
      <c r="BK2510" s="1" t="s">
        <v>204</v>
      </c>
      <c r="BL2510" s="1" t="str">
        <f t="shared" ref="BL2510:BM2510" si="1637">"0"</f>
        <v>0</v>
      </c>
      <c r="BM2510" s="1" t="str">
        <f t="shared" si="1637"/>
        <v>0</v>
      </c>
      <c r="BN2510" s="1">
        <v>1500.0</v>
      </c>
      <c r="BO2510" s="1">
        <v>11220.0</v>
      </c>
      <c r="BQ2510" s="1">
        <v>299.0</v>
      </c>
      <c r="BR2510" s="1">
        <v>299.0</v>
      </c>
      <c r="BS2510" s="1">
        <v>299.0</v>
      </c>
      <c r="BU2510" s="1" t="s">
        <v>1395</v>
      </c>
      <c r="BV2510" s="1" t="s">
        <v>206</v>
      </c>
      <c r="BW2510" s="1" t="s">
        <v>210</v>
      </c>
      <c r="BX2510" s="1" t="s">
        <v>229</v>
      </c>
      <c r="BY2510" s="1" t="s">
        <v>699</v>
      </c>
      <c r="BZ2510" s="1" t="s">
        <v>206</v>
      </c>
      <c r="CA2510" s="1" t="s">
        <v>207</v>
      </c>
      <c r="CB2510" s="1" t="s">
        <v>229</v>
      </c>
      <c r="CC2510" s="1" t="s">
        <v>478</v>
      </c>
      <c r="CD2510" s="1" t="s">
        <v>206</v>
      </c>
      <c r="CE2510" s="1" t="s">
        <v>210</v>
      </c>
      <c r="CF2510" s="1" t="s">
        <v>229</v>
      </c>
      <c r="CG2510" s="1" t="s">
        <v>269</v>
      </c>
      <c r="CH2510" s="1" t="s">
        <v>206</v>
      </c>
      <c r="CI2510" s="1" t="s">
        <v>210</v>
      </c>
      <c r="CJ2510" s="1" t="s">
        <v>229</v>
      </c>
      <c r="CK2510" s="1" t="s">
        <v>269</v>
      </c>
      <c r="CL2510" s="1" t="s">
        <v>206</v>
      </c>
      <c r="CM2510" s="1" t="s">
        <v>210</v>
      </c>
      <c r="CN2510" s="1" t="s">
        <v>229</v>
      </c>
      <c r="CO2510" s="1" t="s">
        <v>269</v>
      </c>
      <c r="CP2510" s="1" t="s">
        <v>42</v>
      </c>
      <c r="CS2510" s="1" t="s">
        <v>3805</v>
      </c>
      <c r="CT2510" s="1" t="s">
        <v>206</v>
      </c>
      <c r="CU2510" s="1" t="s">
        <v>268</v>
      </c>
      <c r="CV2510" s="1" t="s">
        <v>229</v>
      </c>
      <c r="CX2510" s="1" t="s">
        <v>204</v>
      </c>
      <c r="DA2510" s="1" t="s">
        <v>200</v>
      </c>
      <c r="DC2510" s="1" t="s">
        <v>545</v>
      </c>
      <c r="DD2510" s="1" t="s">
        <v>518</v>
      </c>
      <c r="DE2510" s="1" t="s">
        <v>1300</v>
      </c>
      <c r="DF2510" s="1" t="s">
        <v>619</v>
      </c>
      <c r="DH2510" s="1" t="s">
        <v>365</v>
      </c>
      <c r="DI2510" s="1" t="s">
        <v>703</v>
      </c>
      <c r="DJ2510" s="1" t="s">
        <v>222</v>
      </c>
      <c r="DL2510" s="1" t="s">
        <v>858</v>
      </c>
      <c r="DM2510" s="1" t="s">
        <v>229</v>
      </c>
      <c r="DP2510" s="1" t="s">
        <v>340</v>
      </c>
      <c r="DQ2510" s="1" t="s">
        <v>228</v>
      </c>
      <c r="DR2510" s="1" t="s">
        <v>229</v>
      </c>
      <c r="DS2510" s="1" t="s">
        <v>230</v>
      </c>
      <c r="DV2510" s="1" t="s">
        <v>720</v>
      </c>
      <c r="DW2510" s="1" t="s">
        <v>667</v>
      </c>
      <c r="DX2510" s="1" t="s">
        <v>280</v>
      </c>
      <c r="DY2510" s="1" t="s">
        <v>1122</v>
      </c>
      <c r="EA2510" s="1" t="s">
        <v>644</v>
      </c>
      <c r="EC2510" s="1" t="s">
        <v>685</v>
      </c>
      <c r="EE2510" s="1" t="s">
        <v>493</v>
      </c>
      <c r="EG2510" s="1" t="s">
        <v>720</v>
      </c>
      <c r="EL2510" s="1" t="s">
        <v>2394</v>
      </c>
      <c r="EM2510" s="1" t="s">
        <v>206</v>
      </c>
      <c r="EQ2510" s="1" t="s">
        <v>238</v>
      </c>
      <c r="EU2510" s="1" t="s">
        <v>238</v>
      </c>
      <c r="EY2510" s="1" t="s">
        <v>238</v>
      </c>
      <c r="FC2510" s="1" t="s">
        <v>238</v>
      </c>
      <c r="FF2510" s="1" t="s">
        <v>239</v>
      </c>
      <c r="FG2510" s="1" t="s">
        <v>192</v>
      </c>
      <c r="FH2510" s="1" t="s">
        <v>192</v>
      </c>
      <c r="FJ2510" s="1" t="s">
        <v>3176</v>
      </c>
      <c r="FK2510" s="1" t="s">
        <v>229</v>
      </c>
      <c r="FL2510" s="1" t="s">
        <v>1358</v>
      </c>
      <c r="FM2510" s="1">
        <v>51102.0</v>
      </c>
      <c r="FN2510" s="1" t="s">
        <v>3246</v>
      </c>
      <c r="FO2510" s="1" t="s">
        <v>22705</v>
      </c>
      <c r="FP2510" s="1">
        <v>220523.0</v>
      </c>
      <c r="FQ2510" s="1" t="s">
        <v>22706</v>
      </c>
      <c r="FU2510" s="1" t="s">
        <v>22707</v>
      </c>
      <c r="FV2510" s="1" t="s">
        <v>200</v>
      </c>
      <c r="FW2510" s="1" t="s">
        <v>1511</v>
      </c>
      <c r="FX2510" s="1" t="s">
        <v>655</v>
      </c>
      <c r="FZ2510" s="1" t="s">
        <v>229</v>
      </c>
      <c r="GA2510" s="1" t="s">
        <v>291</v>
      </c>
      <c r="GB2510" s="2">
        <v>42126.0</v>
      </c>
    </row>
    <row r="2511">
      <c r="A2511" s="1">
        <v>287500.0</v>
      </c>
      <c r="B2511" s="1" t="s">
        <v>185</v>
      </c>
      <c r="C2511" s="1" t="str">
        <f>"08819069"</f>
        <v>08819069</v>
      </c>
      <c r="D2511" s="1" t="s">
        <v>186</v>
      </c>
      <c r="F2511" s="1" t="str">
        <f>"8010"</f>
        <v>8010</v>
      </c>
      <c r="G2511" s="2">
        <v>42023.0</v>
      </c>
      <c r="H2511" s="1">
        <v>298000.0</v>
      </c>
      <c r="I2511" s="1">
        <v>151.0</v>
      </c>
      <c r="J2511" s="1">
        <v>298000.0</v>
      </c>
      <c r="K2511" s="2">
        <v>42025.0</v>
      </c>
      <c r="L2511" s="1">
        <v>3.0</v>
      </c>
      <c r="M2511" s="2">
        <v>42025.0</v>
      </c>
      <c r="N2511" s="1" t="s">
        <v>187</v>
      </c>
      <c r="O2511" s="2">
        <v>42061.0</v>
      </c>
      <c r="P2511" s="1">
        <v>145039.0</v>
      </c>
      <c r="Q2511" s="1">
        <v>10646.0</v>
      </c>
      <c r="S2511" s="1">
        <v>5141.0</v>
      </c>
      <c r="T2511" s="1" t="s">
        <v>14608</v>
      </c>
      <c r="U2511" s="1" t="s">
        <v>189</v>
      </c>
      <c r="V2511" s="1" t="s">
        <v>190</v>
      </c>
      <c r="W2511" s="1">
        <v>60656.0</v>
      </c>
      <c r="Y2511" s="1" t="s">
        <v>22708</v>
      </c>
      <c r="Z2511" s="1">
        <v>1950.0</v>
      </c>
      <c r="AA2511" s="1" t="s">
        <v>192</v>
      </c>
      <c r="AB2511" s="1" t="s">
        <v>193</v>
      </c>
      <c r="AC2511" s="1" t="s">
        <v>22709</v>
      </c>
      <c r="AD2511" s="1" t="s">
        <v>194</v>
      </c>
      <c r="AE2511" s="1" t="s">
        <v>195</v>
      </c>
      <c r="AF2511" s="1" t="s">
        <v>196</v>
      </c>
      <c r="AH2511" s="1" t="s">
        <v>4084</v>
      </c>
      <c r="AI2511" s="1">
        <v>0.0854</v>
      </c>
      <c r="AK2511" s="1">
        <v>8.0</v>
      </c>
      <c r="AL2511" s="1">
        <v>4.0</v>
      </c>
      <c r="AM2511" s="1">
        <v>1.0</v>
      </c>
      <c r="AN2511" s="1">
        <v>1.0</v>
      </c>
      <c r="AO2511" s="1" t="s">
        <v>229</v>
      </c>
      <c r="AQ2511" s="1" t="s">
        <v>198</v>
      </c>
      <c r="AR2511" s="1" t="s">
        <v>200</v>
      </c>
      <c r="AS2511" s="1" t="s">
        <v>199</v>
      </c>
      <c r="AT2511" s="1">
        <v>1.0</v>
      </c>
      <c r="AV2511" s="1" t="s">
        <v>200</v>
      </c>
      <c r="AW2511" s="1">
        <v>2927.95</v>
      </c>
      <c r="AX2511" s="1">
        <v>2012.0</v>
      </c>
      <c r="AY2511" s="1" t="s">
        <v>1179</v>
      </c>
      <c r="AZ2511" s="1" t="s">
        <v>200</v>
      </c>
      <c r="BA2511" s="1" t="str">
        <f>"13074000110000"</f>
        <v>13074000110000</v>
      </c>
      <c r="BC2511" s="1">
        <v>1800.0</v>
      </c>
      <c r="BD2511" s="1">
        <v>287500.0</v>
      </c>
      <c r="BE2511" s="2">
        <v>42023.0</v>
      </c>
      <c r="BF2511" s="2" t="s">
        <v>22710</v>
      </c>
      <c r="BH2511" s="1">
        <v>0.0</v>
      </c>
      <c r="BK2511" s="1" t="s">
        <v>204</v>
      </c>
      <c r="BL2511" s="1" t="str">
        <f>"5141"</f>
        <v>5141</v>
      </c>
      <c r="BM2511" s="1" t="str">
        <f>"0"</f>
        <v>0</v>
      </c>
      <c r="BN2511" s="1">
        <v>6850.0</v>
      </c>
      <c r="BO2511" s="1">
        <v>0.0</v>
      </c>
      <c r="BQ2511" s="1">
        <v>299.0</v>
      </c>
      <c r="BR2511" s="1">
        <v>299.0</v>
      </c>
      <c r="BS2511" s="1">
        <v>299.0</v>
      </c>
      <c r="BU2511" s="1" t="s">
        <v>1426</v>
      </c>
      <c r="BV2511" s="1" t="s">
        <v>206</v>
      </c>
      <c r="BW2511" s="1" t="s">
        <v>207</v>
      </c>
      <c r="BY2511" s="1" t="s">
        <v>361</v>
      </c>
      <c r="BZ2511" s="1" t="s">
        <v>209</v>
      </c>
      <c r="CA2511" s="1" t="s">
        <v>210</v>
      </c>
      <c r="CD2511" s="1" t="s">
        <v>204</v>
      </c>
      <c r="CG2511" s="1" t="s">
        <v>329</v>
      </c>
      <c r="CH2511" s="1" t="s">
        <v>209</v>
      </c>
      <c r="CI2511" s="1" t="s">
        <v>210</v>
      </c>
      <c r="CK2511" s="1" t="s">
        <v>497</v>
      </c>
      <c r="CL2511" s="1" t="s">
        <v>206</v>
      </c>
      <c r="CM2511" s="1" t="s">
        <v>207</v>
      </c>
      <c r="CO2511" s="1" t="s">
        <v>264</v>
      </c>
      <c r="CP2511" s="1" t="s">
        <v>206</v>
      </c>
      <c r="CQ2511" s="1" t="s">
        <v>207</v>
      </c>
      <c r="CS2511" s="1" t="s">
        <v>2224</v>
      </c>
      <c r="CT2511" s="1" t="s">
        <v>206</v>
      </c>
      <c r="CU2511" s="1" t="s">
        <v>617</v>
      </c>
      <c r="CX2511" s="1" t="s">
        <v>204</v>
      </c>
      <c r="DA2511" s="1" t="s">
        <v>200</v>
      </c>
      <c r="DC2511" s="1" t="s">
        <v>702</v>
      </c>
      <c r="DD2511" s="1" t="s">
        <v>518</v>
      </c>
      <c r="DE2511" s="1" t="s">
        <v>273</v>
      </c>
      <c r="DF2511" s="1" t="s">
        <v>219</v>
      </c>
      <c r="DH2511" s="1" t="s">
        <v>365</v>
      </c>
      <c r="DJ2511" s="1" t="s">
        <v>222</v>
      </c>
      <c r="DL2511" s="1" t="s">
        <v>224</v>
      </c>
      <c r="DM2511" s="1" t="s">
        <v>229</v>
      </c>
      <c r="DQ2511" s="1" t="s">
        <v>228</v>
      </c>
      <c r="DR2511" s="1" t="s">
        <v>229</v>
      </c>
      <c r="DS2511" s="1" t="s">
        <v>401</v>
      </c>
      <c r="DV2511" s="1" t="s">
        <v>5516</v>
      </c>
      <c r="DW2511" s="1" t="s">
        <v>279</v>
      </c>
      <c r="DX2511" s="1" t="s">
        <v>1287</v>
      </c>
      <c r="DY2511" s="1" t="s">
        <v>553</v>
      </c>
      <c r="EA2511" s="1" t="s">
        <v>644</v>
      </c>
      <c r="EC2511" s="1" t="s">
        <v>645</v>
      </c>
      <c r="EG2511" s="1" t="s">
        <v>494</v>
      </c>
      <c r="EH2511" s="1" t="s">
        <v>1270</v>
      </c>
      <c r="EI2511" s="1" t="s">
        <v>450</v>
      </c>
      <c r="EL2511" s="1" t="s">
        <v>699</v>
      </c>
      <c r="EM2511" s="1" t="s">
        <v>206</v>
      </c>
      <c r="EP2511" s="1" t="s">
        <v>515</v>
      </c>
      <c r="EQ2511" s="1" t="s">
        <v>42</v>
      </c>
      <c r="ET2511" s="1" t="s">
        <v>346</v>
      </c>
      <c r="EU2511" s="1" t="s">
        <v>42</v>
      </c>
      <c r="EY2511" s="1" t="s">
        <v>238</v>
      </c>
      <c r="FC2511" s="1" t="s">
        <v>238</v>
      </c>
      <c r="FF2511" s="1" t="s">
        <v>239</v>
      </c>
      <c r="FG2511" s="1" t="s">
        <v>192</v>
      </c>
      <c r="FH2511" s="1" t="s">
        <v>192</v>
      </c>
      <c r="FJ2511" s="1" t="s">
        <v>3514</v>
      </c>
      <c r="FK2511" s="1" t="s">
        <v>229</v>
      </c>
      <c r="FL2511" s="1" t="s">
        <v>22711</v>
      </c>
      <c r="FM2511" s="1">
        <v>10714.0</v>
      </c>
      <c r="FN2511" s="1" t="s">
        <v>22712</v>
      </c>
      <c r="FO2511" s="1" t="s">
        <v>22713</v>
      </c>
      <c r="FP2511" s="1">
        <v>110892.0</v>
      </c>
      <c r="FQ2511" s="1" t="s">
        <v>22714</v>
      </c>
      <c r="FU2511" s="1" t="s">
        <v>22715</v>
      </c>
      <c r="FV2511" s="1" t="s">
        <v>200</v>
      </c>
      <c r="FW2511" s="1" t="s">
        <v>1293</v>
      </c>
      <c r="FX2511" s="1" t="s">
        <v>238</v>
      </c>
      <c r="FZ2511" s="1" t="s">
        <v>632</v>
      </c>
      <c r="GA2511" s="1" t="s">
        <v>291</v>
      </c>
      <c r="GB2511" s="2">
        <v>42062.0</v>
      </c>
    </row>
    <row r="2512">
      <c r="A2512" s="1">
        <v>165500.0</v>
      </c>
      <c r="B2512" s="1" t="s">
        <v>185</v>
      </c>
      <c r="C2512" s="1" t="str">
        <f>"08819552"</f>
        <v>08819552</v>
      </c>
      <c r="D2512" s="1" t="s">
        <v>186</v>
      </c>
      <c r="F2512" s="1" t="str">
        <f>"110"</f>
        <v>110</v>
      </c>
      <c r="G2512" s="2">
        <v>42023.0</v>
      </c>
      <c r="H2512" s="1">
        <v>172900.0</v>
      </c>
      <c r="I2512" s="1">
        <v>69.0</v>
      </c>
      <c r="J2512" s="1">
        <v>168900.0</v>
      </c>
      <c r="K2512" s="2">
        <v>42090.0</v>
      </c>
      <c r="L2512" s="1">
        <v>69.0</v>
      </c>
      <c r="M2512" s="2">
        <v>42090.0</v>
      </c>
      <c r="N2512" s="1" t="s">
        <v>356</v>
      </c>
      <c r="O2512" s="2">
        <v>42129.0</v>
      </c>
      <c r="P2512" s="1">
        <v>89907.0</v>
      </c>
      <c r="Q2512" s="1">
        <v>26111.0</v>
      </c>
      <c r="R2512" s="1">
        <v>3500.0</v>
      </c>
      <c r="S2512" s="1">
        <v>323.0</v>
      </c>
      <c r="T2512" s="1" t="s">
        <v>22716</v>
      </c>
      <c r="U2512" s="1" t="s">
        <v>1174</v>
      </c>
      <c r="V2512" s="1" t="s">
        <v>807</v>
      </c>
      <c r="W2512" s="1">
        <v>60110.0</v>
      </c>
      <c r="Y2512" s="1" t="s">
        <v>22717</v>
      </c>
      <c r="Z2512" s="1" t="s">
        <v>296</v>
      </c>
      <c r="AA2512" s="1" t="s">
        <v>192</v>
      </c>
      <c r="AB2512" s="1" t="s">
        <v>193</v>
      </c>
      <c r="AD2512" s="1" t="s">
        <v>809</v>
      </c>
      <c r="AE2512" s="1" t="s">
        <v>325</v>
      </c>
      <c r="AF2512" s="1" t="s">
        <v>810</v>
      </c>
      <c r="AH2512" s="1" t="s">
        <v>1757</v>
      </c>
      <c r="AK2512" s="1">
        <v>7.0</v>
      </c>
      <c r="AL2512" s="1">
        <v>4.0</v>
      </c>
      <c r="AM2512" s="1">
        <v>2.0</v>
      </c>
      <c r="AN2512" s="1">
        <v>0.0</v>
      </c>
      <c r="AO2512" s="1" t="s">
        <v>198</v>
      </c>
      <c r="AP2512" s="1">
        <v>1.0</v>
      </c>
      <c r="AQ2512" s="1" t="s">
        <v>472</v>
      </c>
      <c r="AR2512" s="1" t="s">
        <v>200</v>
      </c>
      <c r="AS2512" s="1" t="s">
        <v>199</v>
      </c>
      <c r="AT2512" s="1">
        <v>2.0</v>
      </c>
      <c r="AV2512" s="1" t="s">
        <v>200</v>
      </c>
      <c r="AW2512" s="1">
        <v>2639.0</v>
      </c>
      <c r="AX2512" s="1">
        <v>2013.0</v>
      </c>
      <c r="AZ2512" s="1" t="s">
        <v>200</v>
      </c>
      <c r="BA2512" s="1" t="str">
        <f>"0313327009"</f>
        <v>0313327009</v>
      </c>
      <c r="BC2512" s="1">
        <v>1700.0</v>
      </c>
      <c r="BD2512" s="1">
        <v>165500.0</v>
      </c>
      <c r="BE2512" s="2">
        <v>42022.0</v>
      </c>
      <c r="BF2512" s="2" t="s">
        <v>22718</v>
      </c>
      <c r="BH2512" s="1">
        <v>0.0</v>
      </c>
      <c r="BK2512" s="1" t="s">
        <v>204</v>
      </c>
      <c r="BL2512" s="1" t="str">
        <f t="shared" ref="BL2512:BM2512" si="1638">""</f>
        <v/>
      </c>
      <c r="BM2512" s="1" t="str">
        <f t="shared" si="1638"/>
        <v/>
      </c>
      <c r="BQ2512" s="1">
        <v>300.0</v>
      </c>
      <c r="BR2512" s="1">
        <v>300.0</v>
      </c>
      <c r="BS2512" s="1">
        <v>300.0</v>
      </c>
      <c r="BV2512" s="1" t="s">
        <v>204</v>
      </c>
      <c r="BY2512" s="1" t="s">
        <v>758</v>
      </c>
      <c r="BZ2512" s="1" t="s">
        <v>209</v>
      </c>
      <c r="CA2512" s="1" t="s">
        <v>207</v>
      </c>
      <c r="CB2512" s="1" t="s">
        <v>431</v>
      </c>
      <c r="CC2512" s="1" t="s">
        <v>215</v>
      </c>
      <c r="CD2512" s="1" t="s">
        <v>206</v>
      </c>
      <c r="CE2512" s="1" t="s">
        <v>207</v>
      </c>
      <c r="CG2512" s="1" t="s">
        <v>392</v>
      </c>
      <c r="CH2512" s="1" t="s">
        <v>206</v>
      </c>
      <c r="CI2512" s="1" t="s">
        <v>207</v>
      </c>
      <c r="CJ2512" s="1" t="s">
        <v>431</v>
      </c>
      <c r="CK2512" s="1" t="s">
        <v>497</v>
      </c>
      <c r="CL2512" s="1" t="s">
        <v>206</v>
      </c>
      <c r="CM2512" s="1" t="s">
        <v>207</v>
      </c>
      <c r="CN2512" s="1" t="s">
        <v>431</v>
      </c>
      <c r="CO2512" s="1" t="s">
        <v>699</v>
      </c>
      <c r="CP2512" s="1" t="s">
        <v>206</v>
      </c>
      <c r="CQ2512" s="1" t="s">
        <v>207</v>
      </c>
      <c r="CR2512" s="1" t="s">
        <v>431</v>
      </c>
      <c r="CS2512" s="1" t="s">
        <v>11092</v>
      </c>
      <c r="CT2512" s="1" t="s">
        <v>206</v>
      </c>
      <c r="CU2512" s="1" t="s">
        <v>1136</v>
      </c>
      <c r="CW2512" s="1" t="s">
        <v>769</v>
      </c>
      <c r="CX2512" s="1" t="s">
        <v>267</v>
      </c>
      <c r="CY2512" s="1" t="s">
        <v>268</v>
      </c>
      <c r="CZ2512" s="1" t="s">
        <v>431</v>
      </c>
      <c r="DA2512" s="1" t="s">
        <v>200</v>
      </c>
      <c r="DC2512" s="1" t="s">
        <v>702</v>
      </c>
      <c r="DD2512" s="1" t="s">
        <v>396</v>
      </c>
      <c r="DE2512" s="1" t="s">
        <v>273</v>
      </c>
      <c r="DF2512" s="1" t="s">
        <v>219</v>
      </c>
      <c r="DH2512" s="1" t="s">
        <v>220</v>
      </c>
      <c r="DI2512" s="1" t="s">
        <v>1463</v>
      </c>
      <c r="DJ2512" s="1" t="s">
        <v>222</v>
      </c>
      <c r="DL2512" s="1" t="s">
        <v>224</v>
      </c>
      <c r="DM2512" s="1" t="s">
        <v>338</v>
      </c>
      <c r="DN2512" s="1" t="s">
        <v>793</v>
      </c>
      <c r="DP2512" s="1" t="s">
        <v>340</v>
      </c>
      <c r="DQ2512" s="1" t="s">
        <v>228</v>
      </c>
      <c r="DR2512" s="1" t="s">
        <v>229</v>
      </c>
      <c r="DV2512" s="1" t="s">
        <v>408</v>
      </c>
      <c r="DW2512" s="1" t="s">
        <v>370</v>
      </c>
      <c r="DX2512" s="1" t="s">
        <v>234</v>
      </c>
      <c r="DY2512" s="1" t="s">
        <v>1122</v>
      </c>
      <c r="EA2512" s="1" t="s">
        <v>283</v>
      </c>
      <c r="EB2512" s="1" t="s">
        <v>345</v>
      </c>
      <c r="EC2512" s="1" t="s">
        <v>645</v>
      </c>
      <c r="EE2512" s="1" t="s">
        <v>493</v>
      </c>
      <c r="EG2512" s="1" t="s">
        <v>408</v>
      </c>
      <c r="EL2512" s="1" t="s">
        <v>5359</v>
      </c>
      <c r="EM2512" s="1" t="s">
        <v>206</v>
      </c>
      <c r="EN2512" s="1" t="s">
        <v>207</v>
      </c>
      <c r="EQ2512" s="1" t="s">
        <v>238</v>
      </c>
      <c r="EU2512" s="1" t="s">
        <v>238</v>
      </c>
      <c r="EY2512" s="1" t="s">
        <v>238</v>
      </c>
      <c r="FC2512" s="1" t="s">
        <v>238</v>
      </c>
      <c r="FF2512" s="1" t="s">
        <v>239</v>
      </c>
      <c r="FG2512" s="1" t="s">
        <v>192</v>
      </c>
      <c r="FH2512" s="1" t="s">
        <v>192</v>
      </c>
      <c r="FJ2512" s="1" t="s">
        <v>22719</v>
      </c>
      <c r="FK2512" s="1" t="s">
        <v>229</v>
      </c>
      <c r="FL2512" s="1" t="s">
        <v>12579</v>
      </c>
      <c r="FM2512" s="1">
        <v>7470.0</v>
      </c>
      <c r="FN2512" s="1" t="s">
        <v>12580</v>
      </c>
      <c r="FO2512" s="1" t="s">
        <v>12581</v>
      </c>
      <c r="FP2512" s="1">
        <v>77577.0</v>
      </c>
      <c r="FQ2512" s="1" t="s">
        <v>12582</v>
      </c>
      <c r="FU2512" s="1" t="s">
        <v>12583</v>
      </c>
      <c r="FV2512" s="1" t="s">
        <v>200</v>
      </c>
      <c r="FW2512" s="1" t="s">
        <v>12584</v>
      </c>
      <c r="FZ2512" s="1" t="s">
        <v>229</v>
      </c>
      <c r="GA2512" s="1" t="s">
        <v>291</v>
      </c>
      <c r="GB2512" s="2">
        <v>42130.0</v>
      </c>
      <c r="GC2512" s="1" t="s">
        <v>22720</v>
      </c>
    </row>
    <row r="2513">
      <c r="A2513" s="1">
        <v>251500.0</v>
      </c>
      <c r="B2513" s="1" t="s">
        <v>185</v>
      </c>
      <c r="C2513" s="1" t="str">
        <f>"08824980"</f>
        <v>08824980</v>
      </c>
      <c r="D2513" s="1" t="s">
        <v>186</v>
      </c>
      <c r="F2513" s="1" t="str">
        <f>"178"</f>
        <v>178</v>
      </c>
      <c r="G2513" s="2">
        <v>42031.0</v>
      </c>
      <c r="H2513" s="1">
        <v>259900.0</v>
      </c>
      <c r="I2513" s="1">
        <v>23.0</v>
      </c>
      <c r="J2513" s="1">
        <v>259900.0</v>
      </c>
      <c r="K2513" s="2">
        <v>42053.0</v>
      </c>
      <c r="L2513" s="1">
        <v>23.0</v>
      </c>
      <c r="M2513" s="2">
        <v>42053.0</v>
      </c>
      <c r="N2513" s="1" t="s">
        <v>187</v>
      </c>
      <c r="O2513" s="2">
        <v>42125.0</v>
      </c>
      <c r="P2513" s="1">
        <v>930008.0</v>
      </c>
      <c r="Q2513" s="1">
        <v>93008.0</v>
      </c>
      <c r="R2513" s="1">
        <v>1500.0</v>
      </c>
      <c r="S2513" s="1">
        <v>1812.0</v>
      </c>
      <c r="T2513" s="1" t="s">
        <v>22721</v>
      </c>
      <c r="U2513" s="1" t="s">
        <v>320</v>
      </c>
      <c r="V2513" s="1" t="s">
        <v>994</v>
      </c>
      <c r="W2513" s="1">
        <v>60178.0</v>
      </c>
      <c r="Y2513" s="1" t="s">
        <v>22722</v>
      </c>
      <c r="Z2513" s="1">
        <v>2003.0</v>
      </c>
      <c r="AA2513" s="1" t="s">
        <v>200</v>
      </c>
      <c r="AB2513" s="1" t="s">
        <v>467</v>
      </c>
      <c r="AC2513" s="1" t="s">
        <v>22723</v>
      </c>
      <c r="AD2513" s="1" t="s">
        <v>997</v>
      </c>
      <c r="AE2513" s="1" t="s">
        <v>613</v>
      </c>
      <c r="AF2513" s="1" t="s">
        <v>997</v>
      </c>
      <c r="AH2513" s="1" t="s">
        <v>4132</v>
      </c>
      <c r="AI2513" s="1">
        <v>0.23</v>
      </c>
      <c r="AK2513" s="1">
        <v>8.0</v>
      </c>
      <c r="AL2513" s="1">
        <v>4.0</v>
      </c>
      <c r="AM2513" s="1">
        <v>3.0</v>
      </c>
      <c r="AN2513" s="1">
        <v>1.0</v>
      </c>
      <c r="AO2513" s="1" t="s">
        <v>198</v>
      </c>
      <c r="AP2513" s="1">
        <v>1.0</v>
      </c>
      <c r="AQ2513" s="1" t="s">
        <v>198</v>
      </c>
      <c r="AR2513" s="1" t="s">
        <v>192</v>
      </c>
      <c r="AS2513" s="1" t="s">
        <v>199</v>
      </c>
      <c r="AT2513" s="1">
        <v>3.0</v>
      </c>
      <c r="AV2513" s="1" t="s">
        <v>200</v>
      </c>
      <c r="AW2513" s="1">
        <v>7607.5</v>
      </c>
      <c r="AX2513" s="1">
        <v>2013.0</v>
      </c>
      <c r="AY2513" s="1" t="s">
        <v>387</v>
      </c>
      <c r="AZ2513" s="1" t="s">
        <v>200</v>
      </c>
      <c r="BA2513" s="1" t="str">
        <f>"0621454014"</f>
        <v>0621454014</v>
      </c>
      <c r="BC2513" s="1">
        <v>2518.0</v>
      </c>
      <c r="BD2513" s="1">
        <v>251500.0</v>
      </c>
      <c r="BE2513" s="2">
        <v>42031.0</v>
      </c>
      <c r="BF2513" s="2" t="s">
        <v>22724</v>
      </c>
      <c r="BH2513" s="1">
        <v>326.0</v>
      </c>
      <c r="BK2513" s="1" t="s">
        <v>580</v>
      </c>
      <c r="BL2513" s="1" t="str">
        <f>"8"</f>
        <v>8</v>
      </c>
      <c r="BM2513" s="1" t="str">
        <f t="shared" ref="BM2513:BM2514" si="1639">"0"</f>
        <v>0</v>
      </c>
      <c r="BN2513" s="1">
        <v>60.0</v>
      </c>
      <c r="BO2513" s="1">
        <v>0.0</v>
      </c>
      <c r="BQ2513" s="1">
        <v>427.0</v>
      </c>
      <c r="BR2513" s="1">
        <v>427.0</v>
      </c>
      <c r="BS2513" s="1">
        <v>427.0</v>
      </c>
      <c r="BU2513" s="1" t="s">
        <v>304</v>
      </c>
      <c r="BV2513" s="1" t="s">
        <v>206</v>
      </c>
      <c r="BW2513" s="1" t="s">
        <v>207</v>
      </c>
      <c r="BY2513" s="1" t="s">
        <v>583</v>
      </c>
      <c r="BZ2513" s="1" t="s">
        <v>209</v>
      </c>
      <c r="CD2513" s="1" t="s">
        <v>204</v>
      </c>
      <c r="CG2513" s="1" t="s">
        <v>392</v>
      </c>
      <c r="CH2513" s="1" t="s">
        <v>209</v>
      </c>
      <c r="CK2513" s="1" t="s">
        <v>1417</v>
      </c>
      <c r="CL2513" s="1" t="s">
        <v>209</v>
      </c>
      <c r="CO2513" s="1" t="s">
        <v>393</v>
      </c>
      <c r="CP2513" s="1" t="s">
        <v>209</v>
      </c>
      <c r="CS2513" s="1" t="s">
        <v>2647</v>
      </c>
      <c r="CT2513" s="1" t="s">
        <v>206</v>
      </c>
      <c r="CU2513" s="1" t="s">
        <v>207</v>
      </c>
      <c r="CW2513" s="1" t="s">
        <v>362</v>
      </c>
      <c r="CX2513" s="1" t="s">
        <v>206</v>
      </c>
      <c r="DA2513" s="1" t="s">
        <v>200</v>
      </c>
      <c r="DC2513" s="1" t="s">
        <v>335</v>
      </c>
      <c r="DD2513" s="1" t="s">
        <v>518</v>
      </c>
      <c r="DE2513" s="1" t="s">
        <v>273</v>
      </c>
      <c r="DF2513" s="1" t="s">
        <v>219</v>
      </c>
      <c r="DG2513" s="1" t="s">
        <v>482</v>
      </c>
      <c r="DH2513" s="1" t="s">
        <v>220</v>
      </c>
      <c r="DI2513" s="1" t="s">
        <v>1003</v>
      </c>
      <c r="DJ2513" s="1" t="s">
        <v>222</v>
      </c>
      <c r="DL2513" s="1" t="s">
        <v>224</v>
      </c>
      <c r="DM2513" s="1" t="s">
        <v>338</v>
      </c>
      <c r="DN2513" s="1" t="s">
        <v>399</v>
      </c>
      <c r="DP2513" s="1" t="s">
        <v>276</v>
      </c>
      <c r="DQ2513" s="1" t="s">
        <v>441</v>
      </c>
      <c r="DR2513" s="1" t="s">
        <v>229</v>
      </c>
      <c r="DU2513" s="1" t="s">
        <v>2550</v>
      </c>
      <c r="DV2513" s="1" t="s">
        <v>494</v>
      </c>
      <c r="DW2513" s="1" t="s">
        <v>233</v>
      </c>
      <c r="DX2513" s="1" t="s">
        <v>234</v>
      </c>
      <c r="DY2513" s="1" t="s">
        <v>1006</v>
      </c>
      <c r="DZ2513" s="1" t="s">
        <v>11452</v>
      </c>
      <c r="EA2513" s="1" t="s">
        <v>447</v>
      </c>
      <c r="EB2513" s="1" t="s">
        <v>937</v>
      </c>
      <c r="EC2513" s="1" t="s">
        <v>237</v>
      </c>
      <c r="ED2513" s="1" t="s">
        <v>407</v>
      </c>
      <c r="EH2513" s="1" t="s">
        <v>494</v>
      </c>
      <c r="EM2513" s="1" t="s">
        <v>238</v>
      </c>
      <c r="EP2513" s="1" t="s">
        <v>22725</v>
      </c>
      <c r="EQ2513" s="1" t="s">
        <v>267</v>
      </c>
      <c r="EU2513" s="1" t="s">
        <v>238</v>
      </c>
      <c r="EY2513" s="1" t="s">
        <v>238</v>
      </c>
      <c r="FC2513" s="1" t="s">
        <v>238</v>
      </c>
      <c r="FF2513" s="1" t="s">
        <v>239</v>
      </c>
      <c r="FG2513" s="1" t="s">
        <v>192</v>
      </c>
      <c r="FH2513" s="1" t="s">
        <v>192</v>
      </c>
      <c r="FJ2513" s="1" t="s">
        <v>624</v>
      </c>
      <c r="FK2513" s="1" t="s">
        <v>229</v>
      </c>
      <c r="FL2513" s="1" t="s">
        <v>1007</v>
      </c>
      <c r="FM2513" s="1">
        <v>93043.0</v>
      </c>
      <c r="FN2513" s="1" t="s">
        <v>1008</v>
      </c>
      <c r="FO2513" s="1" t="s">
        <v>4154</v>
      </c>
      <c r="FP2513" s="1">
        <v>930132.0</v>
      </c>
      <c r="FQ2513" s="1" t="s">
        <v>4155</v>
      </c>
      <c r="FU2513" s="1" t="s">
        <v>1882</v>
      </c>
      <c r="FV2513" s="1" t="s">
        <v>200</v>
      </c>
      <c r="FW2513" s="1" t="s">
        <v>12649</v>
      </c>
      <c r="FZ2513" s="1" t="s">
        <v>229</v>
      </c>
      <c r="GA2513" s="1" t="s">
        <v>291</v>
      </c>
      <c r="GB2513" s="2">
        <v>42128.0</v>
      </c>
      <c r="GC2513" s="1" t="s">
        <v>22726</v>
      </c>
    </row>
    <row r="2514">
      <c r="A2514" s="1">
        <v>775000.0</v>
      </c>
      <c r="B2514" s="1" t="s">
        <v>185</v>
      </c>
      <c r="C2514" s="1" t="str">
        <f>"08819849"</f>
        <v>08819849</v>
      </c>
      <c r="D2514" s="1" t="s">
        <v>186</v>
      </c>
      <c r="F2514" s="1" t="str">
        <f>"8024"</f>
        <v>8024</v>
      </c>
      <c r="G2514" s="2">
        <v>42024.0</v>
      </c>
      <c r="H2514" s="1">
        <v>799000.0</v>
      </c>
      <c r="I2514" s="1">
        <v>100.0</v>
      </c>
      <c r="J2514" s="1">
        <v>799000.0</v>
      </c>
      <c r="K2514" s="2">
        <v>42031.0</v>
      </c>
      <c r="L2514" s="1">
        <v>8.0</v>
      </c>
      <c r="M2514" s="2">
        <v>42031.0</v>
      </c>
      <c r="N2514" s="1" t="s">
        <v>187</v>
      </c>
      <c r="O2514" s="2">
        <v>42076.0</v>
      </c>
      <c r="P2514" s="1">
        <v>20099.0</v>
      </c>
      <c r="Q2514" s="1">
        <v>1101.0</v>
      </c>
      <c r="S2514" s="1">
        <v>2039.0</v>
      </c>
      <c r="T2514" s="1" t="s">
        <v>6011</v>
      </c>
      <c r="U2514" s="1" t="s">
        <v>320</v>
      </c>
      <c r="V2514" s="1" t="s">
        <v>190</v>
      </c>
      <c r="W2514" s="1">
        <v>60612.0</v>
      </c>
      <c r="Y2514" s="1" t="s">
        <v>22727</v>
      </c>
      <c r="Z2514" s="1">
        <v>2008.0</v>
      </c>
      <c r="AA2514" s="1" t="s">
        <v>200</v>
      </c>
      <c r="AB2514" s="1" t="s">
        <v>193</v>
      </c>
      <c r="AD2514" s="1" t="s">
        <v>194</v>
      </c>
      <c r="AE2514" s="1" t="s">
        <v>195</v>
      </c>
      <c r="AF2514" s="1" t="s">
        <v>827</v>
      </c>
      <c r="AH2514" s="1" t="s">
        <v>22728</v>
      </c>
      <c r="AK2514" s="1">
        <v>8.0</v>
      </c>
      <c r="AL2514" s="1">
        <v>4.0</v>
      </c>
      <c r="AM2514" s="1">
        <v>3.0</v>
      </c>
      <c r="AN2514" s="1">
        <v>1.0</v>
      </c>
      <c r="AO2514" s="1" t="s">
        <v>198</v>
      </c>
      <c r="AP2514" s="1">
        <v>2.0</v>
      </c>
      <c r="AQ2514" s="1" t="s">
        <v>472</v>
      </c>
      <c r="AR2514" s="1" t="s">
        <v>192</v>
      </c>
      <c r="AS2514" s="1" t="s">
        <v>199</v>
      </c>
      <c r="AT2514" s="1">
        <v>2.0</v>
      </c>
      <c r="AV2514" s="1" t="s">
        <v>200</v>
      </c>
      <c r="AW2514" s="1">
        <v>10093.0</v>
      </c>
      <c r="AX2514" s="1">
        <v>2013.0</v>
      </c>
      <c r="AY2514" s="1" t="s">
        <v>229</v>
      </c>
      <c r="AZ2514" s="1" t="s">
        <v>200</v>
      </c>
      <c r="BA2514" s="1" t="str">
        <f>"17071210090000"</f>
        <v>17071210090000</v>
      </c>
      <c r="BC2514" s="1">
        <v>0.0</v>
      </c>
      <c r="BD2514" s="1">
        <v>775000.0</v>
      </c>
      <c r="BE2514" s="2">
        <v>42024.0</v>
      </c>
      <c r="BF2514" s="2" t="s">
        <v>22729</v>
      </c>
      <c r="BH2514" s="1">
        <v>0.0</v>
      </c>
      <c r="BK2514" s="1" t="s">
        <v>204</v>
      </c>
      <c r="BL2514" s="1" t="str">
        <f>"600"</f>
        <v>600</v>
      </c>
      <c r="BM2514" s="1" t="str">
        <f t="shared" si="1639"/>
        <v>0</v>
      </c>
      <c r="BN2514" s="1">
        <v>2039.0</v>
      </c>
      <c r="BO2514" s="1">
        <v>0.0</v>
      </c>
      <c r="BQ2514" s="1">
        <v>299.0</v>
      </c>
      <c r="BR2514" s="1">
        <v>299.0</v>
      </c>
      <c r="BS2514" s="1">
        <v>299.0</v>
      </c>
      <c r="BU2514" s="1" t="s">
        <v>1551</v>
      </c>
      <c r="BV2514" s="1" t="s">
        <v>206</v>
      </c>
      <c r="BW2514" s="1" t="s">
        <v>207</v>
      </c>
      <c r="BY2514" s="1" t="s">
        <v>583</v>
      </c>
      <c r="BZ2514" s="1" t="s">
        <v>209</v>
      </c>
      <c r="CA2514" s="1" t="s">
        <v>207</v>
      </c>
      <c r="CC2514" s="1" t="s">
        <v>542</v>
      </c>
      <c r="CD2514" s="1" t="s">
        <v>206</v>
      </c>
      <c r="CE2514" s="1" t="s">
        <v>207</v>
      </c>
      <c r="CG2514" s="1" t="s">
        <v>331</v>
      </c>
      <c r="CH2514" s="1" t="s">
        <v>209</v>
      </c>
      <c r="CI2514" s="1" t="s">
        <v>207</v>
      </c>
      <c r="CK2514" s="1" t="s">
        <v>495</v>
      </c>
      <c r="CL2514" s="1" t="s">
        <v>209</v>
      </c>
      <c r="CM2514" s="1" t="s">
        <v>207</v>
      </c>
      <c r="CO2514" s="1" t="s">
        <v>1745</v>
      </c>
      <c r="CP2514" s="1" t="s">
        <v>267</v>
      </c>
      <c r="CQ2514" s="1" t="s">
        <v>210</v>
      </c>
      <c r="CS2514" s="1" t="s">
        <v>1206</v>
      </c>
      <c r="CT2514" s="1" t="s">
        <v>206</v>
      </c>
      <c r="CU2514" s="1" t="s">
        <v>207</v>
      </c>
      <c r="CW2514" s="1" t="s">
        <v>19539</v>
      </c>
      <c r="CX2514" s="1" t="s">
        <v>267</v>
      </c>
      <c r="CY2514" s="1" t="s">
        <v>210</v>
      </c>
      <c r="DA2514" s="1" t="s">
        <v>200</v>
      </c>
      <c r="DC2514" s="1" t="s">
        <v>481</v>
      </c>
      <c r="DD2514" s="1" t="s">
        <v>336</v>
      </c>
      <c r="DE2514" s="1" t="s">
        <v>3750</v>
      </c>
      <c r="DF2514" s="1" t="s">
        <v>2328</v>
      </c>
      <c r="DH2514" s="1" t="s">
        <v>365</v>
      </c>
      <c r="DI2514" s="1" t="s">
        <v>2057</v>
      </c>
      <c r="DJ2514" s="1" t="s">
        <v>222</v>
      </c>
      <c r="DL2514" s="1" t="s">
        <v>224</v>
      </c>
      <c r="DM2514" s="1" t="s">
        <v>229</v>
      </c>
      <c r="DN2514" s="1" t="s">
        <v>961</v>
      </c>
      <c r="DP2514" s="1" t="s">
        <v>276</v>
      </c>
      <c r="DQ2514" s="1" t="s">
        <v>718</v>
      </c>
      <c r="DR2514" s="1" t="s">
        <v>229</v>
      </c>
      <c r="DU2514" s="1" t="s">
        <v>10095</v>
      </c>
      <c r="DV2514" s="1" t="s">
        <v>22730</v>
      </c>
      <c r="DW2514" s="1" t="s">
        <v>1145</v>
      </c>
      <c r="DX2514" s="1" t="s">
        <v>234</v>
      </c>
      <c r="DY2514" s="1" t="s">
        <v>704</v>
      </c>
      <c r="DZ2514" s="1" t="s">
        <v>2876</v>
      </c>
      <c r="EB2514" s="1" t="s">
        <v>7803</v>
      </c>
      <c r="EC2514" s="1" t="s">
        <v>237</v>
      </c>
      <c r="ED2514" s="1" t="s">
        <v>555</v>
      </c>
      <c r="EG2514" s="1" t="s">
        <v>310</v>
      </c>
      <c r="EH2514" s="1" t="s">
        <v>2877</v>
      </c>
      <c r="EI2514" s="1" t="s">
        <v>409</v>
      </c>
      <c r="EJ2514" s="1" t="s">
        <v>968</v>
      </c>
      <c r="EL2514" s="1" t="s">
        <v>748</v>
      </c>
      <c r="EM2514" s="1" t="s">
        <v>391</v>
      </c>
      <c r="EN2514" s="1" t="s">
        <v>207</v>
      </c>
      <c r="EP2514" s="1" t="s">
        <v>3298</v>
      </c>
      <c r="EQ2514" s="1" t="s">
        <v>206</v>
      </c>
      <c r="ER2514" s="1" t="s">
        <v>207</v>
      </c>
      <c r="ET2514" s="1" t="s">
        <v>6127</v>
      </c>
      <c r="EU2514" s="1" t="s">
        <v>209</v>
      </c>
      <c r="EV2514" s="1" t="s">
        <v>207</v>
      </c>
      <c r="EX2514" s="1" t="s">
        <v>560</v>
      </c>
      <c r="EY2514" s="1" t="s">
        <v>206</v>
      </c>
      <c r="FC2514" s="1" t="s">
        <v>238</v>
      </c>
      <c r="FF2514" s="1" t="s">
        <v>239</v>
      </c>
      <c r="FG2514" s="1" t="s">
        <v>192</v>
      </c>
      <c r="FH2514" s="1" t="s">
        <v>192</v>
      </c>
      <c r="FJ2514" s="1" t="s">
        <v>799</v>
      </c>
      <c r="FK2514" s="1" t="s">
        <v>229</v>
      </c>
      <c r="FL2514" s="1" t="s">
        <v>562</v>
      </c>
      <c r="FM2514" s="1">
        <v>84025.0</v>
      </c>
      <c r="FN2514" s="1" t="s">
        <v>2509</v>
      </c>
      <c r="FO2514" s="1" t="s">
        <v>4493</v>
      </c>
      <c r="FP2514" s="1">
        <v>111651.0</v>
      </c>
      <c r="FQ2514" s="1" t="s">
        <v>4494</v>
      </c>
      <c r="FR2514" s="1">
        <v>876432.0</v>
      </c>
      <c r="FS2514" s="1" t="s">
        <v>4495</v>
      </c>
      <c r="FU2514" s="1" t="s">
        <v>22731</v>
      </c>
      <c r="FV2514" s="1" t="s">
        <v>200</v>
      </c>
      <c r="FW2514" s="1" t="s">
        <v>290</v>
      </c>
      <c r="FX2514" s="1" t="s">
        <v>246</v>
      </c>
      <c r="FZ2514" s="1" t="s">
        <v>229</v>
      </c>
      <c r="GA2514" s="1" t="s">
        <v>291</v>
      </c>
      <c r="GB2514" s="2">
        <v>42076.0</v>
      </c>
    </row>
    <row r="2515">
      <c r="A2515" s="1">
        <v>480000.0</v>
      </c>
      <c r="B2515" s="1" t="s">
        <v>185</v>
      </c>
      <c r="C2515" s="1" t="str">
        <f>"08818632"</f>
        <v>08818632</v>
      </c>
      <c r="D2515" s="1" t="s">
        <v>186</v>
      </c>
      <c r="F2515" s="1" t="str">
        <f>"560"</f>
        <v>560</v>
      </c>
      <c r="G2515" s="2">
        <v>42021.0</v>
      </c>
      <c r="H2515" s="1">
        <v>550000.0</v>
      </c>
      <c r="I2515" s="1">
        <v>71.0</v>
      </c>
      <c r="J2515" s="1">
        <v>529900.0</v>
      </c>
      <c r="K2515" s="2">
        <v>42091.0</v>
      </c>
      <c r="L2515" s="1">
        <v>71.0</v>
      </c>
      <c r="M2515" s="2">
        <v>42091.0</v>
      </c>
      <c r="N2515" s="1" t="s">
        <v>187</v>
      </c>
      <c r="O2515" s="2">
        <v>42132.0</v>
      </c>
      <c r="P2515" s="1">
        <v>37160.0</v>
      </c>
      <c r="Q2515" s="1">
        <v>4420.0</v>
      </c>
      <c r="S2515" s="1">
        <v>5640.0</v>
      </c>
      <c r="T2515" s="1" t="s">
        <v>22732</v>
      </c>
      <c r="U2515" s="1" t="s">
        <v>569</v>
      </c>
      <c r="V2515" s="1" t="s">
        <v>845</v>
      </c>
      <c r="W2515" s="1">
        <v>60560.0</v>
      </c>
      <c r="Y2515" s="1" t="s">
        <v>22733</v>
      </c>
      <c r="Z2515" s="1">
        <v>2009.0</v>
      </c>
      <c r="AA2515" s="1" t="s">
        <v>200</v>
      </c>
      <c r="AB2515" s="1" t="s">
        <v>193</v>
      </c>
      <c r="AC2515" s="1" t="s">
        <v>22734</v>
      </c>
      <c r="AD2515" s="1" t="s">
        <v>1089</v>
      </c>
      <c r="AE2515" s="1" t="s">
        <v>849</v>
      </c>
      <c r="AF2515" s="1" t="s">
        <v>22735</v>
      </c>
      <c r="AH2515" s="1" t="s">
        <v>22736</v>
      </c>
      <c r="AI2515" s="1">
        <v>0.75</v>
      </c>
      <c r="AK2515" s="1">
        <v>10.0</v>
      </c>
      <c r="AL2515" s="1">
        <v>4.0</v>
      </c>
      <c r="AM2515" s="1">
        <v>3.0</v>
      </c>
      <c r="AN2515" s="1">
        <v>2.0</v>
      </c>
      <c r="AO2515" s="1" t="s">
        <v>198</v>
      </c>
      <c r="AP2515" s="1">
        <v>2.0</v>
      </c>
      <c r="AQ2515" s="1" t="s">
        <v>472</v>
      </c>
      <c r="AR2515" s="1" t="s">
        <v>200</v>
      </c>
      <c r="AS2515" s="1" t="s">
        <v>199</v>
      </c>
      <c r="AT2515" s="1">
        <v>3.0</v>
      </c>
      <c r="AV2515" s="1" t="s">
        <v>200</v>
      </c>
      <c r="AW2515" s="1">
        <v>15258.0</v>
      </c>
      <c r="AX2515" s="1">
        <v>2012.0</v>
      </c>
      <c r="AY2515" s="1" t="s">
        <v>387</v>
      </c>
      <c r="AZ2515" s="1" t="s">
        <v>200</v>
      </c>
      <c r="BA2515" s="1" t="str">
        <f>"0607226001"</f>
        <v>0607226001</v>
      </c>
      <c r="BB2515" s="1" t="s">
        <v>200</v>
      </c>
      <c r="BC2515" s="1">
        <v>4000.0</v>
      </c>
      <c r="BD2515" s="1">
        <v>480000.0</v>
      </c>
      <c r="BE2515" s="2">
        <v>42021.0</v>
      </c>
      <c r="BF2515" s="2" t="s">
        <v>22737</v>
      </c>
      <c r="BH2515" s="1">
        <v>50.0</v>
      </c>
      <c r="BK2515" s="1" t="s">
        <v>580</v>
      </c>
      <c r="BL2515" s="1" t="str">
        <f>"0"</f>
        <v>0</v>
      </c>
      <c r="BM2515" s="1" t="str">
        <f>"38"</f>
        <v>38</v>
      </c>
      <c r="BN2515" s="1">
        <v>0.0</v>
      </c>
      <c r="BO2515" s="1">
        <v>16.0</v>
      </c>
      <c r="BQ2515" s="1">
        <v>115.0</v>
      </c>
      <c r="BR2515" s="1">
        <v>115.0</v>
      </c>
      <c r="BS2515" s="1">
        <v>115.0</v>
      </c>
      <c r="BU2515" s="1" t="s">
        <v>213</v>
      </c>
      <c r="BV2515" s="1" t="s">
        <v>206</v>
      </c>
      <c r="BW2515" s="1" t="s">
        <v>207</v>
      </c>
      <c r="BY2515" s="1" t="s">
        <v>3595</v>
      </c>
      <c r="BZ2515" s="1" t="s">
        <v>209</v>
      </c>
      <c r="CA2515" s="1" t="s">
        <v>210</v>
      </c>
      <c r="CC2515" s="1" t="s">
        <v>361</v>
      </c>
      <c r="CD2515" s="1" t="s">
        <v>206</v>
      </c>
      <c r="CE2515" s="1" t="s">
        <v>207</v>
      </c>
      <c r="CG2515" s="1" t="s">
        <v>329</v>
      </c>
      <c r="CH2515" s="1" t="s">
        <v>209</v>
      </c>
      <c r="CI2515" s="1" t="s">
        <v>210</v>
      </c>
      <c r="CK2515" s="1" t="s">
        <v>390</v>
      </c>
      <c r="CL2515" s="1" t="s">
        <v>209</v>
      </c>
      <c r="CM2515" s="1" t="s">
        <v>210</v>
      </c>
      <c r="CO2515" s="1" t="s">
        <v>211</v>
      </c>
      <c r="CP2515" s="1" t="s">
        <v>209</v>
      </c>
      <c r="CQ2515" s="1" t="s">
        <v>210</v>
      </c>
      <c r="CS2515" s="1" t="s">
        <v>1953</v>
      </c>
      <c r="CT2515" s="1" t="s">
        <v>206</v>
      </c>
      <c r="CU2515" s="1" t="s">
        <v>207</v>
      </c>
      <c r="CW2515" s="1" t="s">
        <v>2647</v>
      </c>
      <c r="CX2515" s="1" t="s">
        <v>206</v>
      </c>
      <c r="CY2515" s="1" t="s">
        <v>207</v>
      </c>
      <c r="DA2515" s="1" t="s">
        <v>200</v>
      </c>
      <c r="DC2515" s="1" t="s">
        <v>481</v>
      </c>
      <c r="DD2515" s="1" t="s">
        <v>1552</v>
      </c>
      <c r="DE2515" s="1" t="s">
        <v>218</v>
      </c>
      <c r="DF2515" s="1" t="s">
        <v>745</v>
      </c>
      <c r="DG2515" s="1" t="s">
        <v>22738</v>
      </c>
      <c r="DH2515" s="1" t="s">
        <v>856</v>
      </c>
      <c r="DI2515" s="1" t="s">
        <v>22739</v>
      </c>
      <c r="DJ2515" s="1" t="s">
        <v>18269</v>
      </c>
      <c r="DK2515" s="1" t="s">
        <v>1555</v>
      </c>
      <c r="DL2515" s="1" t="s">
        <v>223</v>
      </c>
      <c r="DM2515" s="1" t="s">
        <v>338</v>
      </c>
      <c r="DN2515" s="1" t="s">
        <v>2873</v>
      </c>
      <c r="DO2515" s="1" t="s">
        <v>8850</v>
      </c>
      <c r="DP2515" s="1" t="s">
        <v>340</v>
      </c>
      <c r="DQ2515" s="1" t="s">
        <v>1557</v>
      </c>
      <c r="DR2515" s="1" t="s">
        <v>3058</v>
      </c>
      <c r="DS2515" s="1" t="s">
        <v>368</v>
      </c>
      <c r="DU2515" s="1" t="s">
        <v>19773</v>
      </c>
      <c r="DV2515" s="1" t="s">
        <v>22740</v>
      </c>
      <c r="DW2515" s="1" t="s">
        <v>1957</v>
      </c>
      <c r="DX2515" s="1" t="s">
        <v>234</v>
      </c>
      <c r="DY2515" s="1" t="s">
        <v>490</v>
      </c>
      <c r="DZ2515" s="1" t="s">
        <v>968</v>
      </c>
      <c r="EA2515" s="1" t="s">
        <v>344</v>
      </c>
      <c r="EB2515" s="1" t="s">
        <v>937</v>
      </c>
      <c r="EC2515" s="1" t="s">
        <v>237</v>
      </c>
      <c r="ED2515" s="1" t="s">
        <v>407</v>
      </c>
      <c r="EE2515" s="1" t="s">
        <v>493</v>
      </c>
      <c r="EG2515" s="1" t="s">
        <v>557</v>
      </c>
      <c r="EH2515" s="1" t="s">
        <v>598</v>
      </c>
      <c r="EI2515" s="1" t="s">
        <v>720</v>
      </c>
      <c r="EK2515" s="1" t="s">
        <v>968</v>
      </c>
      <c r="EL2515" s="1" t="s">
        <v>211</v>
      </c>
      <c r="EM2515" s="1" t="s">
        <v>209</v>
      </c>
      <c r="EN2515" s="1" t="s">
        <v>210</v>
      </c>
      <c r="EP2515" s="1" t="s">
        <v>363</v>
      </c>
      <c r="EQ2515" s="1" t="s">
        <v>206</v>
      </c>
      <c r="ER2515" s="1" t="s">
        <v>207</v>
      </c>
      <c r="ET2515" s="1" t="s">
        <v>558</v>
      </c>
      <c r="EU2515" s="1" t="s">
        <v>206</v>
      </c>
      <c r="EV2515" s="1" t="s">
        <v>268</v>
      </c>
      <c r="EY2515" s="1" t="s">
        <v>238</v>
      </c>
      <c r="FB2515" s="1" t="s">
        <v>2242</v>
      </c>
      <c r="FC2515" s="1" t="s">
        <v>209</v>
      </c>
      <c r="FD2515" s="1" t="s">
        <v>207</v>
      </c>
      <c r="FF2515" s="1" t="s">
        <v>239</v>
      </c>
      <c r="FG2515" s="1" t="s">
        <v>200</v>
      </c>
      <c r="FH2515" s="1" t="s">
        <v>192</v>
      </c>
      <c r="FJ2515" s="1" t="s">
        <v>22741</v>
      </c>
      <c r="FK2515" s="1" t="s">
        <v>229</v>
      </c>
      <c r="FL2515" s="1" t="s">
        <v>1877</v>
      </c>
      <c r="FM2515" s="1">
        <v>24695.0</v>
      </c>
      <c r="FN2515" s="1" t="s">
        <v>1878</v>
      </c>
      <c r="FO2515" s="1" t="s">
        <v>13118</v>
      </c>
      <c r="FP2515" s="1">
        <v>234459.0</v>
      </c>
      <c r="FQ2515" s="1" t="s">
        <v>13119</v>
      </c>
      <c r="FT2515" s="1" t="s">
        <v>9164</v>
      </c>
      <c r="FU2515" s="1" t="s">
        <v>22742</v>
      </c>
      <c r="FV2515" s="1" t="s">
        <v>200</v>
      </c>
      <c r="FW2515" s="1" t="s">
        <v>2754</v>
      </c>
      <c r="FZ2515" s="1" t="s">
        <v>229</v>
      </c>
      <c r="GA2515" s="1" t="s">
        <v>291</v>
      </c>
      <c r="GB2515" s="2">
        <v>42132.0</v>
      </c>
      <c r="GC2515" s="1" t="s">
        <v>22743</v>
      </c>
    </row>
    <row r="2516">
      <c r="A2516" s="1">
        <v>325000.0</v>
      </c>
      <c r="B2516" s="1" t="s">
        <v>185</v>
      </c>
      <c r="C2516" s="1" t="str">
        <f>"08818305"</f>
        <v>08818305</v>
      </c>
      <c r="D2516" s="1" t="s">
        <v>186</v>
      </c>
      <c r="F2516" s="1" t="str">
        <f>"123"</f>
        <v>123</v>
      </c>
      <c r="G2516" s="2">
        <v>42020.0</v>
      </c>
      <c r="H2516" s="1">
        <v>334413.0</v>
      </c>
      <c r="I2516" s="1">
        <v>59.0</v>
      </c>
      <c r="J2516" s="1">
        <v>329990.0</v>
      </c>
      <c r="K2516" s="2">
        <v>42078.0</v>
      </c>
      <c r="L2516" s="1">
        <v>59.0</v>
      </c>
      <c r="M2516" s="2">
        <v>42078.0</v>
      </c>
      <c r="N2516" s="1" t="s">
        <v>187</v>
      </c>
      <c r="O2516" s="2">
        <v>42124.0</v>
      </c>
      <c r="P2516" s="1">
        <v>99995.0</v>
      </c>
      <c r="Q2516" s="1" t="s">
        <v>947</v>
      </c>
      <c r="S2516" s="1">
        <v>214.0</v>
      </c>
      <c r="T2516" s="1" t="s">
        <v>5322</v>
      </c>
      <c r="U2516" s="1" t="s">
        <v>189</v>
      </c>
      <c r="V2516" s="1" t="s">
        <v>465</v>
      </c>
      <c r="W2516" s="1">
        <v>60124.0</v>
      </c>
      <c r="Y2516" s="1" t="s">
        <v>22744</v>
      </c>
      <c r="Z2516" s="1">
        <v>2015.0</v>
      </c>
      <c r="AA2516" s="1" t="s">
        <v>200</v>
      </c>
      <c r="AB2516" s="1" t="s">
        <v>467</v>
      </c>
      <c r="AC2516" s="1" t="s">
        <v>3682</v>
      </c>
      <c r="AD2516" s="1" t="s">
        <v>469</v>
      </c>
      <c r="AE2516" s="1" t="s">
        <v>325</v>
      </c>
      <c r="AF2516" s="1" t="s">
        <v>469</v>
      </c>
      <c r="AG2516" s="1" t="s">
        <v>22745</v>
      </c>
      <c r="AH2516" s="1" t="s">
        <v>5324</v>
      </c>
      <c r="AI2516" s="1">
        <v>0.1835</v>
      </c>
      <c r="AK2516" s="1">
        <v>7.0</v>
      </c>
      <c r="AL2516" s="1">
        <v>4.0</v>
      </c>
      <c r="AM2516" s="1">
        <v>2.0</v>
      </c>
      <c r="AN2516" s="1">
        <v>1.0</v>
      </c>
      <c r="AO2516" s="1" t="s">
        <v>198</v>
      </c>
      <c r="AP2516" s="1">
        <v>0.0</v>
      </c>
      <c r="AQ2516" s="1" t="s">
        <v>198</v>
      </c>
      <c r="AR2516" s="1" t="s">
        <v>200</v>
      </c>
      <c r="AS2516" s="1" t="s">
        <v>199</v>
      </c>
      <c r="AT2516" s="1">
        <v>3.0</v>
      </c>
      <c r="AV2516" s="1" t="s">
        <v>200</v>
      </c>
      <c r="AW2516" s="1" t="s">
        <v>575</v>
      </c>
      <c r="AX2516" s="1">
        <v>2013.0</v>
      </c>
      <c r="AZ2516" s="1" t="s">
        <v>200</v>
      </c>
      <c r="BA2516" s="1" t="str">
        <f>"0618451005"</f>
        <v>0618451005</v>
      </c>
      <c r="BC2516" s="1">
        <v>2843.0</v>
      </c>
      <c r="BD2516" s="1">
        <v>325000.0</v>
      </c>
      <c r="BE2516" s="2">
        <v>42020.0</v>
      </c>
      <c r="BF2516" s="2" t="s">
        <v>22746</v>
      </c>
      <c r="BG2516" s="1" t="s">
        <v>3686</v>
      </c>
      <c r="BH2516" s="1">
        <v>300.0</v>
      </c>
      <c r="BI2516" s="1" t="s">
        <v>578</v>
      </c>
      <c r="BJ2516" s="1" t="s">
        <v>579</v>
      </c>
      <c r="BK2516" s="1" t="s">
        <v>580</v>
      </c>
      <c r="BL2516" s="1" t="str">
        <f t="shared" ref="BL2516:BM2516" si="1640">""</f>
        <v/>
      </c>
      <c r="BM2516" s="1" t="str">
        <f t="shared" si="1640"/>
        <v/>
      </c>
      <c r="BQ2516" s="1">
        <v>301.0</v>
      </c>
      <c r="BR2516" s="1">
        <v>301.0</v>
      </c>
      <c r="BS2516" s="1">
        <v>301.0</v>
      </c>
      <c r="BV2516" s="1" t="s">
        <v>204</v>
      </c>
      <c r="BY2516" s="1" t="s">
        <v>616</v>
      </c>
      <c r="BZ2516" s="1" t="s">
        <v>209</v>
      </c>
      <c r="CA2516" s="1" t="s">
        <v>210</v>
      </c>
      <c r="CD2516" s="1" t="s">
        <v>204</v>
      </c>
      <c r="CG2516" s="1" t="s">
        <v>329</v>
      </c>
      <c r="CH2516" s="1" t="s">
        <v>209</v>
      </c>
      <c r="CI2516" s="1" t="s">
        <v>210</v>
      </c>
      <c r="CK2516" s="1" t="s">
        <v>363</v>
      </c>
      <c r="CL2516" s="1" t="s">
        <v>209</v>
      </c>
      <c r="CM2516" s="1" t="s">
        <v>210</v>
      </c>
      <c r="CO2516" s="1" t="s">
        <v>1183</v>
      </c>
      <c r="CP2516" s="1" t="s">
        <v>209</v>
      </c>
      <c r="CQ2516" s="1" t="s">
        <v>210</v>
      </c>
      <c r="CS2516" s="1" t="s">
        <v>2647</v>
      </c>
      <c r="CT2516" s="1" t="s">
        <v>206</v>
      </c>
      <c r="CW2516" s="1" t="s">
        <v>260</v>
      </c>
      <c r="CX2516" s="1" t="s">
        <v>206</v>
      </c>
      <c r="DA2516" s="1" t="s">
        <v>192</v>
      </c>
      <c r="DB2516" s="2">
        <v>42034.0</v>
      </c>
      <c r="DC2516" s="1" t="s">
        <v>1353</v>
      </c>
      <c r="DD2516" s="1" t="s">
        <v>4137</v>
      </c>
      <c r="DE2516" s="1" t="s">
        <v>273</v>
      </c>
      <c r="DF2516" s="1" t="s">
        <v>619</v>
      </c>
      <c r="DG2516" s="1" t="s">
        <v>22747</v>
      </c>
      <c r="DH2516" s="1" t="s">
        <v>220</v>
      </c>
      <c r="DI2516" s="1" t="s">
        <v>589</v>
      </c>
      <c r="DJ2516" s="1" t="s">
        <v>222</v>
      </c>
      <c r="DK2516" s="1" t="s">
        <v>223</v>
      </c>
      <c r="DL2516" s="1" t="s">
        <v>223</v>
      </c>
      <c r="DM2516" s="1" t="s">
        <v>1022</v>
      </c>
      <c r="DN2516" s="1" t="s">
        <v>485</v>
      </c>
      <c r="DO2516" s="1" t="s">
        <v>486</v>
      </c>
      <c r="DQ2516" s="1" t="s">
        <v>228</v>
      </c>
      <c r="DR2516" s="1" t="s">
        <v>1185</v>
      </c>
      <c r="DS2516" s="1" t="s">
        <v>591</v>
      </c>
      <c r="DT2516" s="1" t="s">
        <v>22748</v>
      </c>
      <c r="DU2516" s="1" t="s">
        <v>5330</v>
      </c>
      <c r="DV2516" s="1" t="s">
        <v>16397</v>
      </c>
      <c r="DW2516" s="1" t="s">
        <v>10231</v>
      </c>
      <c r="DX2516" s="1" t="s">
        <v>234</v>
      </c>
      <c r="DY2516" s="1" t="s">
        <v>3075</v>
      </c>
      <c r="DZ2516" s="1" t="s">
        <v>343</v>
      </c>
      <c r="EA2516" s="1" t="s">
        <v>344</v>
      </c>
      <c r="EC2516" s="1" t="s">
        <v>237</v>
      </c>
      <c r="ED2516" s="1" t="s">
        <v>13744</v>
      </c>
      <c r="EE2516" s="1" t="s">
        <v>493</v>
      </c>
      <c r="EG2516" s="1" t="s">
        <v>556</v>
      </c>
      <c r="EH2516" s="1" t="s">
        <v>588</v>
      </c>
      <c r="EL2516" s="1" t="s">
        <v>363</v>
      </c>
      <c r="EM2516" s="1" t="s">
        <v>206</v>
      </c>
      <c r="EP2516" s="1" t="s">
        <v>1351</v>
      </c>
      <c r="EQ2516" s="1" t="s">
        <v>206</v>
      </c>
      <c r="EU2516" s="1" t="s">
        <v>238</v>
      </c>
      <c r="EY2516" s="1" t="s">
        <v>238</v>
      </c>
      <c r="FC2516" s="1" t="s">
        <v>238</v>
      </c>
      <c r="FF2516" s="1" t="s">
        <v>2447</v>
      </c>
      <c r="FG2516" s="1" t="s">
        <v>192</v>
      </c>
      <c r="FH2516" s="1" t="s">
        <v>192</v>
      </c>
      <c r="FJ2516" s="1" t="s">
        <v>1248</v>
      </c>
      <c r="FK2516" s="1" t="s">
        <v>229</v>
      </c>
      <c r="FL2516" s="1" t="s">
        <v>2448</v>
      </c>
      <c r="FM2516" s="1">
        <v>92038.0</v>
      </c>
      <c r="FN2516" s="1" t="s">
        <v>2449</v>
      </c>
      <c r="FO2516" s="1" t="s">
        <v>2450</v>
      </c>
      <c r="FP2516" s="1">
        <v>21137.0</v>
      </c>
      <c r="FQ2516" s="1" t="s">
        <v>2451</v>
      </c>
      <c r="FT2516" s="1" t="s">
        <v>5335</v>
      </c>
      <c r="FU2516" s="1" t="s">
        <v>22749</v>
      </c>
      <c r="FV2516" s="1" t="s">
        <v>200</v>
      </c>
      <c r="FW2516" s="1" t="s">
        <v>2453</v>
      </c>
      <c r="FZ2516" s="1" t="s">
        <v>229</v>
      </c>
      <c r="GA2516" s="1" t="s">
        <v>291</v>
      </c>
      <c r="GB2516" s="2">
        <v>42139.0</v>
      </c>
      <c r="GC2516" s="1" t="s">
        <v>22750</v>
      </c>
    </row>
    <row r="2517">
      <c r="A2517" s="1">
        <v>246830.0</v>
      </c>
      <c r="B2517" s="1" t="s">
        <v>185</v>
      </c>
      <c r="C2517" s="1" t="str">
        <f>"08818799"</f>
        <v>08818799</v>
      </c>
      <c r="D2517" s="1" t="s">
        <v>186</v>
      </c>
      <c r="F2517" s="1" t="str">
        <f>"543"</f>
        <v>543</v>
      </c>
      <c r="G2517" s="2">
        <v>42022.0</v>
      </c>
      <c r="H2517" s="1">
        <v>255500.0</v>
      </c>
      <c r="I2517" s="1">
        <v>100.0</v>
      </c>
      <c r="J2517" s="1">
        <v>255500.0</v>
      </c>
      <c r="K2517" s="2">
        <v>42063.0</v>
      </c>
      <c r="L2517" s="1">
        <v>42.0</v>
      </c>
      <c r="M2517" s="2">
        <v>42063.0</v>
      </c>
      <c r="N2517" s="1" t="s">
        <v>187</v>
      </c>
      <c r="O2517" s="2">
        <v>42122.0</v>
      </c>
      <c r="P2517" s="1">
        <v>217893.0</v>
      </c>
      <c r="Q2517" s="1">
        <v>23076.0</v>
      </c>
      <c r="S2517" s="1">
        <v>4416.0</v>
      </c>
      <c r="T2517" s="1" t="s">
        <v>22751</v>
      </c>
      <c r="U2517" s="1" t="s">
        <v>189</v>
      </c>
      <c r="V2517" s="1" t="s">
        <v>1527</v>
      </c>
      <c r="W2517" s="1">
        <v>60543.0</v>
      </c>
      <c r="Y2517" s="1" t="s">
        <v>22752</v>
      </c>
      <c r="Z2517" s="1">
        <v>2014.0</v>
      </c>
      <c r="AA2517" s="1" t="s">
        <v>200</v>
      </c>
      <c r="AB2517" s="1" t="s">
        <v>193</v>
      </c>
      <c r="AC2517" s="1" t="s">
        <v>8934</v>
      </c>
      <c r="AD2517" s="1" t="s">
        <v>1529</v>
      </c>
      <c r="AE2517" s="1" t="s">
        <v>849</v>
      </c>
      <c r="AF2517" s="1" t="s">
        <v>1529</v>
      </c>
      <c r="AG2517" s="1" t="s">
        <v>22753</v>
      </c>
      <c r="AH2517" s="1" t="s">
        <v>10310</v>
      </c>
      <c r="AK2517" s="1">
        <v>9.0</v>
      </c>
      <c r="AL2517" s="1">
        <v>4.0</v>
      </c>
      <c r="AM2517" s="1">
        <v>2.0</v>
      </c>
      <c r="AN2517" s="1">
        <v>1.0</v>
      </c>
      <c r="AO2517" s="1" t="s">
        <v>198</v>
      </c>
      <c r="AQ2517" s="1" t="s">
        <v>472</v>
      </c>
      <c r="AR2517" s="1" t="s">
        <v>200</v>
      </c>
      <c r="AS2517" s="1" t="s">
        <v>199</v>
      </c>
      <c r="AT2517" s="1">
        <v>2.0</v>
      </c>
      <c r="AV2517" s="1" t="s">
        <v>200</v>
      </c>
      <c r="AW2517" s="1" t="s">
        <v>575</v>
      </c>
      <c r="AX2517" s="1">
        <v>2013.0</v>
      </c>
      <c r="AZ2517" s="1" t="s">
        <v>200</v>
      </c>
      <c r="BA2517" s="1" t="str">
        <f>"0339400001"</f>
        <v>0339400001</v>
      </c>
      <c r="BC2517" s="1">
        <v>2396.0</v>
      </c>
      <c r="BD2517" s="1">
        <v>246830.0</v>
      </c>
      <c r="BE2517" s="2">
        <v>42022.0</v>
      </c>
      <c r="BF2517" s="2" t="s">
        <v>22754</v>
      </c>
      <c r="BG2517" s="1" t="s">
        <v>8939</v>
      </c>
      <c r="BH2517" s="1">
        <v>66.0</v>
      </c>
      <c r="BI2517" s="1" t="s">
        <v>1533</v>
      </c>
      <c r="BJ2517" s="1" t="s">
        <v>1349</v>
      </c>
      <c r="BK2517" s="1" t="s">
        <v>474</v>
      </c>
      <c r="BL2517" s="1" t="str">
        <f t="shared" ref="BL2517:BM2517" si="1641">"0"</f>
        <v>0</v>
      </c>
      <c r="BM2517" s="1" t="str">
        <f t="shared" si="1641"/>
        <v>0</v>
      </c>
      <c r="BN2517" s="1">
        <v>36.0</v>
      </c>
      <c r="BO2517" s="1">
        <v>12.0</v>
      </c>
      <c r="BQ2517" s="1">
        <v>308.0</v>
      </c>
      <c r="BR2517" s="1">
        <v>308.0</v>
      </c>
      <c r="BS2517" s="1">
        <v>308.0</v>
      </c>
      <c r="BU2517" s="1" t="s">
        <v>1567</v>
      </c>
      <c r="BV2517" s="1" t="s">
        <v>206</v>
      </c>
      <c r="BW2517" s="1" t="s">
        <v>210</v>
      </c>
      <c r="BY2517" s="1" t="s">
        <v>1063</v>
      </c>
      <c r="BZ2517" s="1" t="s">
        <v>209</v>
      </c>
      <c r="CA2517" s="1" t="s">
        <v>210</v>
      </c>
      <c r="CD2517" s="1" t="s">
        <v>204</v>
      </c>
      <c r="CG2517" s="1" t="s">
        <v>1417</v>
      </c>
      <c r="CH2517" s="1" t="s">
        <v>209</v>
      </c>
      <c r="CI2517" s="1" t="s">
        <v>210</v>
      </c>
      <c r="CK2517" s="1" t="s">
        <v>699</v>
      </c>
      <c r="CL2517" s="1" t="s">
        <v>209</v>
      </c>
      <c r="CM2517" s="1" t="s">
        <v>210</v>
      </c>
      <c r="CO2517" s="1" t="s">
        <v>302</v>
      </c>
      <c r="CP2517" s="1" t="s">
        <v>209</v>
      </c>
      <c r="CQ2517" s="1" t="s">
        <v>210</v>
      </c>
      <c r="CS2517" s="1" t="s">
        <v>2459</v>
      </c>
      <c r="CT2517" s="1" t="s">
        <v>206</v>
      </c>
      <c r="CU2517" s="1" t="s">
        <v>207</v>
      </c>
      <c r="CW2517" s="1" t="s">
        <v>362</v>
      </c>
      <c r="CX2517" s="1" t="s">
        <v>206</v>
      </c>
      <c r="CY2517" s="1" t="s">
        <v>210</v>
      </c>
      <c r="DA2517" s="1" t="s">
        <v>192</v>
      </c>
      <c r="DB2517" s="2">
        <v>42124.0</v>
      </c>
      <c r="DC2517" s="1" t="s">
        <v>744</v>
      </c>
      <c r="DD2517" s="1" t="s">
        <v>396</v>
      </c>
      <c r="DE2517" s="1" t="s">
        <v>273</v>
      </c>
      <c r="DF2517" s="1" t="s">
        <v>219</v>
      </c>
      <c r="DG2517" s="1" t="s">
        <v>8201</v>
      </c>
      <c r="DH2517" s="1" t="s">
        <v>220</v>
      </c>
      <c r="DI2517" s="1" t="s">
        <v>1021</v>
      </c>
      <c r="DJ2517" s="1" t="s">
        <v>1048</v>
      </c>
      <c r="DL2517" s="1" t="s">
        <v>223</v>
      </c>
      <c r="DM2517" s="1" t="s">
        <v>229</v>
      </c>
      <c r="DQ2517" s="1" t="s">
        <v>228</v>
      </c>
      <c r="DR2517" s="1" t="s">
        <v>1980</v>
      </c>
      <c r="DT2517" s="1" t="s">
        <v>9977</v>
      </c>
      <c r="DU2517" s="1" t="s">
        <v>1355</v>
      </c>
      <c r="DV2517" s="1" t="s">
        <v>8941</v>
      </c>
      <c r="DW2517" s="1" t="s">
        <v>233</v>
      </c>
      <c r="DX2517" s="1" t="s">
        <v>234</v>
      </c>
      <c r="DY2517" s="1" t="s">
        <v>704</v>
      </c>
      <c r="EA2517" s="1" t="s">
        <v>344</v>
      </c>
      <c r="EC2517" s="1" t="s">
        <v>237</v>
      </c>
      <c r="EG2517" s="1" t="s">
        <v>341</v>
      </c>
      <c r="EH2517" s="1" t="s">
        <v>556</v>
      </c>
      <c r="EL2517" s="1" t="s">
        <v>478</v>
      </c>
      <c r="EM2517" s="1" t="s">
        <v>209</v>
      </c>
      <c r="EN2517" s="1" t="s">
        <v>210</v>
      </c>
      <c r="EP2517" s="1" t="s">
        <v>495</v>
      </c>
      <c r="EQ2517" s="1" t="s">
        <v>206</v>
      </c>
      <c r="ER2517" s="1" t="s">
        <v>207</v>
      </c>
      <c r="EU2517" s="1" t="s">
        <v>238</v>
      </c>
      <c r="EY2517" s="1" t="s">
        <v>238</v>
      </c>
      <c r="FC2517" s="1" t="s">
        <v>238</v>
      </c>
      <c r="FF2517" s="1" t="s">
        <v>239</v>
      </c>
      <c r="FG2517" s="1" t="s">
        <v>192</v>
      </c>
      <c r="FH2517" s="1" t="s">
        <v>192</v>
      </c>
      <c r="FJ2517" s="1" t="s">
        <v>22755</v>
      </c>
      <c r="FK2517" s="1" t="s">
        <v>229</v>
      </c>
      <c r="FL2517" s="1" t="s">
        <v>1358</v>
      </c>
      <c r="FM2517" s="1">
        <v>23076.0</v>
      </c>
      <c r="FN2517" s="1" t="s">
        <v>1359</v>
      </c>
      <c r="FO2517" s="1" t="s">
        <v>18187</v>
      </c>
      <c r="FP2517" s="1">
        <v>215489.0</v>
      </c>
      <c r="FQ2517" s="1" t="s">
        <v>18188</v>
      </c>
      <c r="FT2517" s="1" t="s">
        <v>18190</v>
      </c>
      <c r="FU2517" s="1" t="s">
        <v>22756</v>
      </c>
      <c r="FV2517" s="1" t="s">
        <v>200</v>
      </c>
      <c r="FW2517" s="1" t="s">
        <v>22757</v>
      </c>
      <c r="FZ2517" s="1" t="s">
        <v>229</v>
      </c>
      <c r="GA2517" s="1" t="s">
        <v>247</v>
      </c>
      <c r="GB2517" s="2">
        <v>42122.0</v>
      </c>
      <c r="GC2517" s="1" t="s">
        <v>22758</v>
      </c>
    </row>
    <row r="2518">
      <c r="A2518" s="1">
        <v>120000.0</v>
      </c>
      <c r="B2518" s="1" t="s">
        <v>185</v>
      </c>
      <c r="C2518" s="1" t="str">
        <f>"08818283"</f>
        <v>08818283</v>
      </c>
      <c r="D2518" s="1" t="s">
        <v>186</v>
      </c>
      <c r="F2518" s="1" t="str">
        <f>"110"</f>
        <v>110</v>
      </c>
      <c r="G2518" s="2">
        <v>42020.0</v>
      </c>
      <c r="H2518" s="1">
        <v>125000.0</v>
      </c>
      <c r="I2518" s="1">
        <v>89.0</v>
      </c>
      <c r="J2518" s="1">
        <v>125000.0</v>
      </c>
      <c r="K2518" s="2">
        <v>42041.0</v>
      </c>
      <c r="L2518" s="1">
        <v>22.0</v>
      </c>
      <c r="M2518" s="2">
        <v>42041.0</v>
      </c>
      <c r="N2518" s="1" t="s">
        <v>249</v>
      </c>
      <c r="O2518" s="2">
        <v>42052.0</v>
      </c>
      <c r="P2518" s="1">
        <v>216866.0</v>
      </c>
      <c r="Q2518" s="1">
        <v>25163.0</v>
      </c>
      <c r="S2518" s="1">
        <v>503.0</v>
      </c>
      <c r="T2518" s="1" t="s">
        <v>22759</v>
      </c>
      <c r="U2518" s="1" t="s">
        <v>1754</v>
      </c>
      <c r="V2518" s="1" t="s">
        <v>807</v>
      </c>
      <c r="W2518" s="1">
        <v>60110.0</v>
      </c>
      <c r="Y2518" s="1" t="s">
        <v>22760</v>
      </c>
      <c r="Z2518" s="1">
        <v>1972.0</v>
      </c>
      <c r="AA2518" s="1" t="s">
        <v>192</v>
      </c>
      <c r="AB2518" s="1" t="s">
        <v>193</v>
      </c>
      <c r="AD2518" s="1" t="s">
        <v>809</v>
      </c>
      <c r="AE2518" s="1" t="s">
        <v>325</v>
      </c>
      <c r="AF2518" s="1" t="s">
        <v>810</v>
      </c>
      <c r="AH2518" s="1" t="s">
        <v>22761</v>
      </c>
      <c r="AK2518" s="1">
        <v>7.0</v>
      </c>
      <c r="AL2518" s="1">
        <v>4.0</v>
      </c>
      <c r="AM2518" s="1">
        <v>1.0</v>
      </c>
      <c r="AN2518" s="1">
        <v>1.0</v>
      </c>
      <c r="AO2518" s="1" t="s">
        <v>229</v>
      </c>
      <c r="AQ2518" s="1" t="s">
        <v>257</v>
      </c>
      <c r="AR2518" s="1" t="s">
        <v>192</v>
      </c>
      <c r="AS2518" s="1" t="s">
        <v>199</v>
      </c>
      <c r="AT2518" s="1">
        <v>1.0</v>
      </c>
      <c r="AV2518" s="1" t="s">
        <v>200</v>
      </c>
      <c r="AW2518" s="1">
        <v>2910.59</v>
      </c>
      <c r="AX2518" s="1">
        <v>2013.0</v>
      </c>
      <c r="AY2518" s="1" t="s">
        <v>1179</v>
      </c>
      <c r="AZ2518" s="1" t="s">
        <v>200</v>
      </c>
      <c r="BA2518" s="1" t="str">
        <f>"0315151024"</f>
        <v>0315151024</v>
      </c>
      <c r="BB2518" s="1" t="s">
        <v>192</v>
      </c>
      <c r="BC2518" s="1">
        <v>1550.0</v>
      </c>
      <c r="BD2518" s="1">
        <v>120000.0</v>
      </c>
      <c r="BE2518" s="2">
        <v>42020.0</v>
      </c>
      <c r="BF2518" s="2" t="s">
        <v>22762</v>
      </c>
      <c r="BG2518" s="1" t="s">
        <v>1181</v>
      </c>
      <c r="BH2518" s="1">
        <v>0.0</v>
      </c>
      <c r="BI2518" s="1" t="s">
        <v>1093</v>
      </c>
      <c r="BJ2518" s="1" t="s">
        <v>1759</v>
      </c>
      <c r="BK2518" s="1" t="s">
        <v>204</v>
      </c>
      <c r="BL2518" s="1" t="str">
        <f t="shared" ref="BL2518:BM2518" si="1642">""</f>
        <v/>
      </c>
      <c r="BM2518" s="1" t="str">
        <f t="shared" si="1642"/>
        <v/>
      </c>
      <c r="BQ2518" s="1">
        <v>300.0</v>
      </c>
      <c r="BR2518" s="1">
        <v>300.0</v>
      </c>
      <c r="BS2518" s="1">
        <v>300.0</v>
      </c>
      <c r="BU2518" s="1" t="s">
        <v>262</v>
      </c>
      <c r="BV2518" s="1" t="s">
        <v>206</v>
      </c>
      <c r="BW2518" s="1" t="s">
        <v>301</v>
      </c>
      <c r="BX2518" s="1" t="s">
        <v>239</v>
      </c>
      <c r="BY2518" s="1" t="s">
        <v>543</v>
      </c>
      <c r="BZ2518" s="1" t="s">
        <v>206</v>
      </c>
      <c r="CA2518" s="1" t="s">
        <v>301</v>
      </c>
      <c r="CB2518" s="1" t="s">
        <v>239</v>
      </c>
      <c r="CD2518" s="1" t="s">
        <v>204</v>
      </c>
      <c r="CG2518" s="1" t="s">
        <v>375</v>
      </c>
      <c r="CH2518" s="1" t="s">
        <v>206</v>
      </c>
      <c r="CI2518" s="1" t="s">
        <v>301</v>
      </c>
      <c r="CJ2518" s="1" t="s">
        <v>239</v>
      </c>
      <c r="CK2518" s="1" t="s">
        <v>263</v>
      </c>
      <c r="CL2518" s="1" t="s">
        <v>267</v>
      </c>
      <c r="CM2518" s="1" t="s">
        <v>301</v>
      </c>
      <c r="CN2518" s="1" t="s">
        <v>239</v>
      </c>
      <c r="CO2518" s="1" t="s">
        <v>264</v>
      </c>
      <c r="CP2518" s="1" t="s">
        <v>267</v>
      </c>
      <c r="CQ2518" s="1" t="s">
        <v>301</v>
      </c>
      <c r="CR2518" s="1" t="s">
        <v>239</v>
      </c>
      <c r="CS2518" s="1" t="s">
        <v>1229</v>
      </c>
      <c r="CT2518" s="1" t="s">
        <v>206</v>
      </c>
      <c r="CU2518" s="1" t="s">
        <v>301</v>
      </c>
      <c r="CV2518" s="1" t="s">
        <v>239</v>
      </c>
      <c r="CW2518" s="1" t="s">
        <v>1875</v>
      </c>
      <c r="CX2518" s="1" t="s">
        <v>267</v>
      </c>
      <c r="CY2518" s="1" t="s">
        <v>301</v>
      </c>
      <c r="CZ2518" s="1" t="s">
        <v>239</v>
      </c>
      <c r="DA2518" s="1" t="s">
        <v>200</v>
      </c>
      <c r="DC2518" s="1" t="s">
        <v>517</v>
      </c>
      <c r="DD2518" s="1" t="s">
        <v>518</v>
      </c>
      <c r="DE2518" s="1" t="s">
        <v>273</v>
      </c>
      <c r="DF2518" s="1" t="s">
        <v>219</v>
      </c>
      <c r="DG2518" s="1" t="s">
        <v>2747</v>
      </c>
      <c r="DH2518" s="1" t="s">
        <v>220</v>
      </c>
      <c r="DI2518" s="1" t="s">
        <v>22763</v>
      </c>
      <c r="DJ2518" s="1" t="s">
        <v>222</v>
      </c>
      <c r="DL2518" s="1" t="s">
        <v>224</v>
      </c>
      <c r="DM2518" s="1" t="s">
        <v>229</v>
      </c>
      <c r="DO2518" s="1" t="s">
        <v>22764</v>
      </c>
      <c r="DQ2518" s="1" t="s">
        <v>441</v>
      </c>
      <c r="DR2518" s="1" t="s">
        <v>229</v>
      </c>
      <c r="DU2518" s="1" t="s">
        <v>1840</v>
      </c>
      <c r="DV2518" s="1" t="s">
        <v>232</v>
      </c>
      <c r="DW2518" s="1" t="s">
        <v>233</v>
      </c>
      <c r="DX2518" s="1" t="s">
        <v>234</v>
      </c>
      <c r="DY2518" s="1" t="s">
        <v>861</v>
      </c>
      <c r="DZ2518" s="1" t="s">
        <v>310</v>
      </c>
      <c r="EA2518" s="1" t="s">
        <v>344</v>
      </c>
      <c r="EC2518" s="1" t="s">
        <v>311</v>
      </c>
      <c r="ED2518" s="1" t="s">
        <v>407</v>
      </c>
      <c r="EM2518" s="1" t="s">
        <v>238</v>
      </c>
      <c r="EQ2518" s="1" t="s">
        <v>238</v>
      </c>
      <c r="EU2518" s="1" t="s">
        <v>238</v>
      </c>
      <c r="EY2518" s="1" t="s">
        <v>238</v>
      </c>
      <c r="FC2518" s="1" t="s">
        <v>238</v>
      </c>
      <c r="FF2518" s="1" t="s">
        <v>239</v>
      </c>
      <c r="FG2518" s="1" t="s">
        <v>192</v>
      </c>
      <c r="FH2518" s="1" t="s">
        <v>192</v>
      </c>
      <c r="FJ2518" s="1" t="s">
        <v>498</v>
      </c>
      <c r="FK2518" s="1" t="s">
        <v>229</v>
      </c>
      <c r="FL2518" s="1" t="s">
        <v>3848</v>
      </c>
      <c r="FM2518" s="1">
        <v>432.0</v>
      </c>
      <c r="FN2518" s="1" t="s">
        <v>3849</v>
      </c>
      <c r="FO2518" s="1" t="s">
        <v>3850</v>
      </c>
      <c r="FP2518" s="1">
        <v>77389.0</v>
      </c>
      <c r="FQ2518" s="1" t="s">
        <v>3851</v>
      </c>
      <c r="FU2518" s="1" t="s">
        <v>6968</v>
      </c>
      <c r="FV2518" s="1" t="s">
        <v>200</v>
      </c>
      <c r="FW2518" s="1" t="s">
        <v>290</v>
      </c>
      <c r="FZ2518" s="1" t="s">
        <v>229</v>
      </c>
      <c r="GA2518" s="1" t="s">
        <v>291</v>
      </c>
      <c r="GB2518" s="2">
        <v>42052.0</v>
      </c>
      <c r="GC2518" s="1" t="s">
        <v>22765</v>
      </c>
    </row>
    <row r="2519">
      <c r="A2519" s="1">
        <v>239000.0</v>
      </c>
      <c r="B2519" s="1" t="s">
        <v>185</v>
      </c>
      <c r="C2519" s="1" t="str">
        <f>"08828348"</f>
        <v>08828348</v>
      </c>
      <c r="D2519" s="1" t="s">
        <v>186</v>
      </c>
      <c r="F2519" s="1" t="str">
        <f>"178"</f>
        <v>178</v>
      </c>
      <c r="G2519" s="2">
        <v>42036.0</v>
      </c>
      <c r="H2519" s="1">
        <v>250000.0</v>
      </c>
      <c r="I2519" s="1">
        <v>20.0</v>
      </c>
      <c r="J2519" s="1">
        <v>250000.0</v>
      </c>
      <c r="K2519" s="2">
        <v>42055.0</v>
      </c>
      <c r="L2519" s="1">
        <v>20.0</v>
      </c>
      <c r="M2519" s="2">
        <v>42055.0</v>
      </c>
      <c r="N2519" s="1" t="s">
        <v>187</v>
      </c>
      <c r="O2519" s="2">
        <v>42111.0</v>
      </c>
      <c r="P2519" s="1">
        <v>930168.0</v>
      </c>
      <c r="Q2519" s="1">
        <v>93044.0</v>
      </c>
      <c r="S2519" s="1">
        <v>1424.0</v>
      </c>
      <c r="T2519" s="1" t="s">
        <v>22766</v>
      </c>
      <c r="U2519" s="1" t="s">
        <v>569</v>
      </c>
      <c r="V2519" s="1" t="s">
        <v>994</v>
      </c>
      <c r="W2519" s="1">
        <v>60178.0</v>
      </c>
      <c r="Y2519" s="1" t="s">
        <v>22767</v>
      </c>
      <c r="Z2519" s="1">
        <v>2002.0</v>
      </c>
      <c r="AA2519" s="1" t="s">
        <v>200</v>
      </c>
      <c r="AB2519" s="1" t="s">
        <v>193</v>
      </c>
      <c r="AC2519" s="1" t="s">
        <v>22768</v>
      </c>
      <c r="AD2519" s="1" t="s">
        <v>997</v>
      </c>
      <c r="AE2519" s="1" t="s">
        <v>613</v>
      </c>
      <c r="AF2519" s="1" t="s">
        <v>997</v>
      </c>
      <c r="AH2519" s="1" t="s">
        <v>22769</v>
      </c>
      <c r="AI2519" s="1">
        <v>0.25</v>
      </c>
      <c r="AK2519" s="1">
        <v>10.0</v>
      </c>
      <c r="AL2519" s="1">
        <v>4.0</v>
      </c>
      <c r="AM2519" s="1">
        <v>2.0</v>
      </c>
      <c r="AN2519" s="1">
        <v>1.0</v>
      </c>
      <c r="AO2519" s="1" t="s">
        <v>198</v>
      </c>
      <c r="AP2519" s="1">
        <v>3.0</v>
      </c>
      <c r="AQ2519" s="1" t="s">
        <v>198</v>
      </c>
      <c r="AR2519" s="1" t="s">
        <v>200</v>
      </c>
      <c r="AS2519" s="1" t="s">
        <v>199</v>
      </c>
      <c r="AT2519" s="1">
        <v>3.0</v>
      </c>
      <c r="AV2519" s="1" t="s">
        <v>200</v>
      </c>
      <c r="AW2519" s="1">
        <v>6068.0</v>
      </c>
      <c r="AX2519" s="1">
        <v>2013.0</v>
      </c>
      <c r="AY2519" s="1" t="s">
        <v>387</v>
      </c>
      <c r="AZ2519" s="1" t="s">
        <v>200</v>
      </c>
      <c r="BA2519" s="1" t="str">
        <f>"0630280012"</f>
        <v>0630280012</v>
      </c>
      <c r="BB2519" s="1" t="s">
        <v>200</v>
      </c>
      <c r="BC2519" s="1">
        <v>2958.0</v>
      </c>
      <c r="BD2519" s="1">
        <v>239000.0</v>
      </c>
      <c r="BE2519" s="2">
        <v>42036.0</v>
      </c>
      <c r="BF2519" s="2" t="s">
        <v>22770</v>
      </c>
      <c r="BG2519" s="1" t="s">
        <v>18268</v>
      </c>
      <c r="BH2519" s="1">
        <v>0.0</v>
      </c>
      <c r="BK2519" s="1" t="s">
        <v>204</v>
      </c>
      <c r="BL2519" s="1" t="str">
        <f t="shared" ref="BL2519:BM2519" si="1643">""</f>
        <v/>
      </c>
      <c r="BM2519" s="1" t="str">
        <f t="shared" si="1643"/>
        <v/>
      </c>
      <c r="BQ2519" s="1">
        <v>427.0</v>
      </c>
      <c r="BR2519" s="1">
        <v>427.0</v>
      </c>
      <c r="BS2519" s="1">
        <v>427.0</v>
      </c>
      <c r="BU2519" s="1" t="s">
        <v>211</v>
      </c>
      <c r="BV2519" s="1" t="s">
        <v>206</v>
      </c>
      <c r="BW2519" s="1" t="s">
        <v>207</v>
      </c>
      <c r="BY2519" s="1" t="s">
        <v>362</v>
      </c>
      <c r="BZ2519" s="1" t="s">
        <v>209</v>
      </c>
      <c r="CA2519" s="1" t="s">
        <v>210</v>
      </c>
      <c r="CC2519" s="1" t="s">
        <v>329</v>
      </c>
      <c r="CD2519" s="1" t="s">
        <v>206</v>
      </c>
      <c r="CE2519" s="1" t="s">
        <v>207</v>
      </c>
      <c r="CG2519" s="1" t="s">
        <v>332</v>
      </c>
      <c r="CH2519" s="1" t="s">
        <v>209</v>
      </c>
      <c r="CI2519" s="1" t="s">
        <v>210</v>
      </c>
      <c r="CK2519" s="1" t="s">
        <v>699</v>
      </c>
      <c r="CL2519" s="1" t="s">
        <v>209</v>
      </c>
      <c r="CM2519" s="1" t="s">
        <v>210</v>
      </c>
      <c r="CO2519" s="1" t="s">
        <v>264</v>
      </c>
      <c r="CP2519" s="1" t="s">
        <v>209</v>
      </c>
      <c r="CQ2519" s="1" t="s">
        <v>210</v>
      </c>
      <c r="CS2519" s="1" t="s">
        <v>497</v>
      </c>
      <c r="CT2519" s="1" t="s">
        <v>206</v>
      </c>
      <c r="CU2519" s="1" t="s">
        <v>617</v>
      </c>
      <c r="CW2519" s="1" t="s">
        <v>214</v>
      </c>
      <c r="CX2519" s="1" t="s">
        <v>206</v>
      </c>
      <c r="CY2519" s="1" t="s">
        <v>210</v>
      </c>
      <c r="DA2519" s="1" t="s">
        <v>200</v>
      </c>
      <c r="DC2519" s="1" t="s">
        <v>335</v>
      </c>
      <c r="DD2519" s="1" t="s">
        <v>396</v>
      </c>
      <c r="DE2519" s="1" t="s">
        <v>1810</v>
      </c>
      <c r="DF2519" s="1" t="s">
        <v>546</v>
      </c>
      <c r="DG2519" s="1" t="s">
        <v>337</v>
      </c>
      <c r="DH2519" s="1" t="s">
        <v>220</v>
      </c>
      <c r="DI2519" s="1" t="s">
        <v>959</v>
      </c>
      <c r="DJ2519" s="1" t="s">
        <v>222</v>
      </c>
      <c r="DK2519" s="1" t="s">
        <v>223</v>
      </c>
      <c r="DL2519" s="1" t="s">
        <v>2220</v>
      </c>
      <c r="DM2519" s="1" t="s">
        <v>338</v>
      </c>
      <c r="DN2519" s="1" t="s">
        <v>399</v>
      </c>
      <c r="DO2519" s="1" t="s">
        <v>590</v>
      </c>
      <c r="DP2519" s="1" t="s">
        <v>340</v>
      </c>
      <c r="DQ2519" s="1" t="s">
        <v>441</v>
      </c>
      <c r="DR2519" s="1" t="s">
        <v>229</v>
      </c>
      <c r="DS2519" s="1" t="s">
        <v>368</v>
      </c>
      <c r="DU2519" s="1" t="s">
        <v>16201</v>
      </c>
      <c r="DV2519" s="1" t="s">
        <v>22771</v>
      </c>
      <c r="DW2519" s="1" t="s">
        <v>444</v>
      </c>
      <c r="DX2519" s="1" t="s">
        <v>234</v>
      </c>
      <c r="DY2519" s="1" t="s">
        <v>596</v>
      </c>
      <c r="DZ2519" s="1" t="s">
        <v>1333</v>
      </c>
      <c r="EB2519" s="1" t="s">
        <v>22772</v>
      </c>
      <c r="EC2519" s="1" t="s">
        <v>237</v>
      </c>
      <c r="ED2519" s="1" t="s">
        <v>1406</v>
      </c>
      <c r="EE2519" s="1" t="s">
        <v>493</v>
      </c>
      <c r="EG2519" s="1" t="s">
        <v>449</v>
      </c>
      <c r="EH2519" s="1" t="s">
        <v>1121</v>
      </c>
      <c r="EL2519" s="1" t="s">
        <v>332</v>
      </c>
      <c r="EM2519" s="1" t="s">
        <v>206</v>
      </c>
      <c r="EN2519" s="1" t="s">
        <v>207</v>
      </c>
      <c r="EP2519" s="1" t="s">
        <v>743</v>
      </c>
      <c r="EQ2519" s="1" t="s">
        <v>209</v>
      </c>
      <c r="ER2519" s="1" t="s">
        <v>210</v>
      </c>
      <c r="EU2519" s="1" t="s">
        <v>238</v>
      </c>
      <c r="EY2519" s="1" t="s">
        <v>238</v>
      </c>
      <c r="FC2519" s="1" t="s">
        <v>238</v>
      </c>
      <c r="FF2519" s="1" t="s">
        <v>239</v>
      </c>
      <c r="FG2519" s="1" t="s">
        <v>192</v>
      </c>
      <c r="FH2519" s="1" t="s">
        <v>192</v>
      </c>
      <c r="FJ2519" s="1" t="s">
        <v>3062</v>
      </c>
      <c r="FK2519" s="1" t="s">
        <v>229</v>
      </c>
      <c r="FL2519" s="1" t="s">
        <v>2926</v>
      </c>
      <c r="FM2519" s="1">
        <v>24809.0</v>
      </c>
      <c r="FN2519" s="1" t="s">
        <v>2927</v>
      </c>
      <c r="FO2519" s="1" t="s">
        <v>22773</v>
      </c>
      <c r="FP2519" s="1">
        <v>237432.0</v>
      </c>
      <c r="FQ2519" s="1" t="s">
        <v>22774</v>
      </c>
      <c r="FS2519" s="1" t="s">
        <v>22775</v>
      </c>
      <c r="FU2519" s="1" t="s">
        <v>22776</v>
      </c>
      <c r="FV2519" s="1" t="s">
        <v>200</v>
      </c>
      <c r="FW2519" s="1" t="s">
        <v>22777</v>
      </c>
      <c r="FZ2519" s="1" t="s">
        <v>229</v>
      </c>
      <c r="GA2519" s="1" t="s">
        <v>291</v>
      </c>
      <c r="GB2519" s="2">
        <v>42111.0</v>
      </c>
      <c r="GC2519" s="1" t="s">
        <v>22778</v>
      </c>
    </row>
    <row r="2520">
      <c r="A2520" s="1">
        <v>187000.0</v>
      </c>
      <c r="B2520" s="1" t="s">
        <v>185</v>
      </c>
      <c r="C2520" s="1" t="str">
        <f>"08820415"</f>
        <v>08820415</v>
      </c>
      <c r="D2520" s="1" t="s">
        <v>186</v>
      </c>
      <c r="F2520" s="1" t="str">
        <f>"8070"</f>
        <v>8070</v>
      </c>
      <c r="G2520" s="2">
        <v>42024.0</v>
      </c>
      <c r="H2520" s="1">
        <v>209900.0</v>
      </c>
      <c r="I2520" s="1">
        <v>13.0</v>
      </c>
      <c r="J2520" s="1">
        <v>209900.0</v>
      </c>
      <c r="K2520" s="2">
        <v>42027.0</v>
      </c>
      <c r="L2520" s="1">
        <v>4.0</v>
      </c>
      <c r="M2520" s="2">
        <v>42027.0</v>
      </c>
      <c r="N2520" s="1" t="s">
        <v>249</v>
      </c>
      <c r="O2520" s="2">
        <v>42034.0</v>
      </c>
      <c r="P2520" s="1">
        <v>117039.0</v>
      </c>
      <c r="Q2520" s="1">
        <v>85885.0</v>
      </c>
      <c r="S2520" s="1">
        <v>8015.0</v>
      </c>
      <c r="T2520" s="1" t="s">
        <v>9311</v>
      </c>
      <c r="U2520" s="1" t="s">
        <v>189</v>
      </c>
      <c r="V2520" s="1" t="s">
        <v>190</v>
      </c>
      <c r="W2520" s="1">
        <v>60652.0</v>
      </c>
      <c r="Y2520" s="1" t="s">
        <v>22779</v>
      </c>
      <c r="Z2520" s="1">
        <v>1948.0</v>
      </c>
      <c r="AA2520" s="1" t="s">
        <v>192</v>
      </c>
      <c r="AB2520" s="1" t="s">
        <v>193</v>
      </c>
      <c r="AD2520" s="1" t="s">
        <v>194</v>
      </c>
      <c r="AE2520" s="1" t="s">
        <v>195</v>
      </c>
      <c r="AF2520" s="1" t="s">
        <v>659</v>
      </c>
      <c r="AH2520" s="1" t="s">
        <v>1501</v>
      </c>
      <c r="AI2520" s="1">
        <v>0.0868</v>
      </c>
      <c r="AK2520" s="1">
        <v>8.0</v>
      </c>
      <c r="AL2520" s="1">
        <v>3.0</v>
      </c>
      <c r="AM2520" s="1">
        <v>3.0</v>
      </c>
      <c r="AN2520" s="1">
        <v>0.0</v>
      </c>
      <c r="AO2520" s="1" t="s">
        <v>229</v>
      </c>
      <c r="AQ2520" s="1" t="s">
        <v>198</v>
      </c>
      <c r="AR2520" s="1" t="s">
        <v>192</v>
      </c>
      <c r="AS2520" s="1" t="s">
        <v>199</v>
      </c>
      <c r="AT2520" s="1">
        <v>2.0</v>
      </c>
      <c r="AV2520" s="1" t="s">
        <v>200</v>
      </c>
      <c r="AW2520" s="1">
        <v>1784.03</v>
      </c>
      <c r="AX2520" s="1">
        <v>2013.0</v>
      </c>
      <c r="AY2520" s="1" t="s">
        <v>229</v>
      </c>
      <c r="AZ2520" s="1" t="s">
        <v>200</v>
      </c>
      <c r="BA2520" s="1" t="str">
        <f>"19362140050000"</f>
        <v>19362140050000</v>
      </c>
      <c r="BB2520" s="1" t="s">
        <v>200</v>
      </c>
      <c r="BC2520" s="1">
        <v>899.0</v>
      </c>
      <c r="BD2520" s="1">
        <v>187000.0</v>
      </c>
      <c r="BE2520" s="2">
        <v>42024.0</v>
      </c>
      <c r="BF2520" s="1" t="s">
        <v>22780</v>
      </c>
      <c r="BH2520" s="1">
        <v>0.0</v>
      </c>
      <c r="BK2520" s="1" t="s">
        <v>204</v>
      </c>
      <c r="BL2520" s="1" t="str">
        <f t="shared" ref="BL2520:BM2520" si="1644">"0"</f>
        <v>0</v>
      </c>
      <c r="BM2520" s="1" t="str">
        <f t="shared" si="1644"/>
        <v>0</v>
      </c>
      <c r="BN2520" s="1">
        <v>2500.0</v>
      </c>
      <c r="BO2520" s="1">
        <v>8000.0</v>
      </c>
      <c r="BQ2520" s="1">
        <v>299.0</v>
      </c>
      <c r="BR2520" s="1">
        <v>299.0</v>
      </c>
      <c r="BS2520" s="1">
        <v>299.0</v>
      </c>
      <c r="BU2520" s="1" t="s">
        <v>1117</v>
      </c>
      <c r="BV2520" s="1" t="s">
        <v>206</v>
      </c>
      <c r="BW2520" s="1" t="s">
        <v>207</v>
      </c>
      <c r="BY2520" s="1" t="s">
        <v>497</v>
      </c>
      <c r="BZ2520" s="1" t="s">
        <v>206</v>
      </c>
      <c r="CA2520" s="1" t="s">
        <v>207</v>
      </c>
      <c r="CC2520" s="1" t="s">
        <v>331</v>
      </c>
      <c r="CD2520" s="1" t="s">
        <v>206</v>
      </c>
      <c r="CE2520" s="1" t="s">
        <v>207</v>
      </c>
      <c r="CG2520" s="1" t="s">
        <v>211</v>
      </c>
      <c r="CH2520" s="1" t="s">
        <v>209</v>
      </c>
      <c r="CI2520" s="1" t="s">
        <v>207</v>
      </c>
      <c r="CK2520" s="1" t="s">
        <v>433</v>
      </c>
      <c r="CL2520" s="1" t="s">
        <v>209</v>
      </c>
      <c r="CM2520" s="1" t="s">
        <v>207</v>
      </c>
      <c r="CO2520" s="1" t="s">
        <v>363</v>
      </c>
      <c r="CP2520" s="1" t="s">
        <v>42</v>
      </c>
      <c r="CQ2520" s="1" t="s">
        <v>268</v>
      </c>
      <c r="CS2520" s="1" t="s">
        <v>454</v>
      </c>
      <c r="CT2520" s="1" t="s">
        <v>206</v>
      </c>
      <c r="CU2520" s="1" t="s">
        <v>268</v>
      </c>
      <c r="CW2520" s="1" t="s">
        <v>1244</v>
      </c>
      <c r="CX2520" s="1" t="s">
        <v>42</v>
      </c>
      <c r="CY2520" s="1" t="s">
        <v>268</v>
      </c>
      <c r="CZ2520" s="1" t="s">
        <v>229</v>
      </c>
      <c r="DA2520" s="1" t="s">
        <v>200</v>
      </c>
      <c r="DC2520" s="1" t="s">
        <v>702</v>
      </c>
      <c r="DD2520" s="1" t="s">
        <v>731</v>
      </c>
      <c r="DE2520" s="1" t="s">
        <v>273</v>
      </c>
      <c r="DF2520" s="1" t="s">
        <v>219</v>
      </c>
      <c r="DG2520" s="1" t="s">
        <v>337</v>
      </c>
      <c r="DH2520" s="1" t="s">
        <v>365</v>
      </c>
      <c r="DJ2520" s="1" t="s">
        <v>222</v>
      </c>
      <c r="DL2520" s="1" t="s">
        <v>224</v>
      </c>
      <c r="DM2520" s="1" t="s">
        <v>229</v>
      </c>
      <c r="DN2520" s="1" t="s">
        <v>20391</v>
      </c>
      <c r="DP2520" s="1" t="s">
        <v>340</v>
      </c>
      <c r="DQ2520" s="1" t="s">
        <v>228</v>
      </c>
      <c r="DR2520" s="1" t="s">
        <v>229</v>
      </c>
      <c r="DS2520" s="1" t="s">
        <v>230</v>
      </c>
      <c r="DV2520" s="1" t="s">
        <v>232</v>
      </c>
      <c r="DW2520" s="1" t="s">
        <v>279</v>
      </c>
      <c r="DX2520" s="1" t="s">
        <v>234</v>
      </c>
      <c r="DY2520" s="1" t="s">
        <v>1122</v>
      </c>
      <c r="EA2520" s="1" t="s">
        <v>1075</v>
      </c>
      <c r="EC2520" s="1" t="s">
        <v>645</v>
      </c>
      <c r="ED2520" s="1" t="s">
        <v>407</v>
      </c>
      <c r="EE2520" s="1" t="s">
        <v>493</v>
      </c>
      <c r="EM2520" s="1" t="s">
        <v>238</v>
      </c>
      <c r="EQ2520" s="1" t="s">
        <v>238</v>
      </c>
      <c r="EU2520" s="1" t="s">
        <v>238</v>
      </c>
      <c r="EY2520" s="1" t="s">
        <v>238</v>
      </c>
      <c r="FC2520" s="1" t="s">
        <v>238</v>
      </c>
      <c r="FF2520" s="1" t="s">
        <v>239</v>
      </c>
      <c r="FG2520" s="1" t="s">
        <v>192</v>
      </c>
      <c r="FH2520" s="1" t="s">
        <v>192</v>
      </c>
      <c r="FJ2520" s="1" t="s">
        <v>4471</v>
      </c>
      <c r="FK2520" s="1" t="s">
        <v>229</v>
      </c>
      <c r="FL2520" s="1" t="s">
        <v>8326</v>
      </c>
      <c r="FM2520" s="1">
        <v>23391.0</v>
      </c>
      <c r="FN2520" s="1" t="s">
        <v>8327</v>
      </c>
      <c r="FO2520" s="1" t="s">
        <v>12825</v>
      </c>
      <c r="FP2520" s="1">
        <v>239395.0</v>
      </c>
      <c r="FS2520" s="1" t="s">
        <v>12826</v>
      </c>
      <c r="FU2520" s="1" t="s">
        <v>12827</v>
      </c>
      <c r="FV2520" s="1" t="s">
        <v>200</v>
      </c>
      <c r="FW2520" s="1" t="s">
        <v>290</v>
      </c>
      <c r="FX2520" s="1" t="s">
        <v>655</v>
      </c>
      <c r="FZ2520" s="1" t="s">
        <v>229</v>
      </c>
      <c r="GA2520" s="1" t="s">
        <v>291</v>
      </c>
      <c r="GB2520" s="2">
        <v>42035.0</v>
      </c>
    </row>
    <row r="2521">
      <c r="A2521" s="1">
        <v>214000.0</v>
      </c>
      <c r="B2521" s="1" t="s">
        <v>185</v>
      </c>
      <c r="C2521" s="1" t="str">
        <f>"08817833"</f>
        <v>08817833</v>
      </c>
      <c r="D2521" s="1" t="s">
        <v>186</v>
      </c>
      <c r="F2521" s="1" t="str">
        <f>"538"</f>
        <v>538</v>
      </c>
      <c r="G2521" s="2">
        <v>42020.0</v>
      </c>
      <c r="H2521" s="1">
        <v>229900.0</v>
      </c>
      <c r="I2521" s="1">
        <v>40.0</v>
      </c>
      <c r="J2521" s="1">
        <v>214900.0</v>
      </c>
      <c r="K2521" s="2">
        <v>42059.0</v>
      </c>
      <c r="L2521" s="1">
        <v>40.0</v>
      </c>
      <c r="M2521" s="2">
        <v>42059.0</v>
      </c>
      <c r="N2521" s="1" t="s">
        <v>187</v>
      </c>
      <c r="O2521" s="2">
        <v>42102.0</v>
      </c>
      <c r="P2521" s="1">
        <v>231369.0</v>
      </c>
      <c r="Q2521" s="1">
        <v>23180.0</v>
      </c>
      <c r="S2521" s="1">
        <v>3249.0</v>
      </c>
      <c r="T2521" s="1" t="s">
        <v>425</v>
      </c>
      <c r="U2521" s="1" t="s">
        <v>1174</v>
      </c>
      <c r="V2521" s="1" t="s">
        <v>1340</v>
      </c>
      <c r="W2521" s="1">
        <v>60538.0</v>
      </c>
      <c r="Y2521" s="1" t="s">
        <v>22781</v>
      </c>
      <c r="Z2521" s="1">
        <v>2007.0</v>
      </c>
      <c r="AA2521" s="1" t="s">
        <v>200</v>
      </c>
      <c r="AB2521" s="1" t="s">
        <v>467</v>
      </c>
      <c r="AC2521" s="1" t="s">
        <v>4756</v>
      </c>
      <c r="AD2521" s="1" t="s">
        <v>1343</v>
      </c>
      <c r="AE2521" s="1" t="s">
        <v>849</v>
      </c>
      <c r="AF2521" s="1" t="s">
        <v>1312</v>
      </c>
      <c r="AG2521" s="1" t="s">
        <v>22782</v>
      </c>
      <c r="AH2521" s="1" t="s">
        <v>11175</v>
      </c>
      <c r="AI2521" s="1">
        <v>0.25</v>
      </c>
      <c r="AK2521" s="1">
        <v>10.0</v>
      </c>
      <c r="AL2521" s="1">
        <v>4.0</v>
      </c>
      <c r="AM2521" s="1">
        <v>2.0</v>
      </c>
      <c r="AN2521" s="1">
        <v>1.0</v>
      </c>
      <c r="AO2521" s="1" t="s">
        <v>198</v>
      </c>
      <c r="AP2521" s="1">
        <v>1.0</v>
      </c>
      <c r="AQ2521" s="1" t="s">
        <v>1314</v>
      </c>
      <c r="AR2521" s="1" t="s">
        <v>200</v>
      </c>
      <c r="AS2521" s="1" t="s">
        <v>199</v>
      </c>
      <c r="AT2521" s="1">
        <v>2.0</v>
      </c>
      <c r="AV2521" s="1" t="s">
        <v>200</v>
      </c>
      <c r="AW2521" s="1">
        <v>6021.78</v>
      </c>
      <c r="AX2521" s="1">
        <v>2013.0</v>
      </c>
      <c r="AZ2521" s="1" t="s">
        <v>200</v>
      </c>
      <c r="BA2521" s="1" t="str">
        <f>"02034820090000"</f>
        <v>02034820090000</v>
      </c>
      <c r="BC2521" s="1">
        <v>2420.0</v>
      </c>
      <c r="BD2521" s="1">
        <v>214000.0</v>
      </c>
      <c r="BE2521" s="2">
        <v>42020.0</v>
      </c>
      <c r="BF2521" s="2" t="s">
        <v>22783</v>
      </c>
      <c r="BH2521" s="1">
        <v>300.0</v>
      </c>
      <c r="BK2521" s="1" t="s">
        <v>580</v>
      </c>
      <c r="BL2521" s="1" t="str">
        <f t="shared" ref="BL2521:BM2521" si="1645">"0"</f>
        <v>0</v>
      </c>
      <c r="BM2521" s="1" t="str">
        <f t="shared" si="1645"/>
        <v>0</v>
      </c>
      <c r="BN2521" s="1">
        <v>41.0</v>
      </c>
      <c r="BO2521" s="1">
        <v>10.0</v>
      </c>
      <c r="BQ2521" s="1">
        <v>115.0</v>
      </c>
      <c r="BR2521" s="1">
        <v>115.0</v>
      </c>
      <c r="BS2521" s="1">
        <v>115.0</v>
      </c>
      <c r="BU2521" s="1" t="s">
        <v>584</v>
      </c>
      <c r="BV2521" s="1" t="s">
        <v>206</v>
      </c>
      <c r="BW2521" s="1" t="s">
        <v>210</v>
      </c>
      <c r="BX2521" s="1" t="s">
        <v>229</v>
      </c>
      <c r="BY2521" s="1" t="s">
        <v>1044</v>
      </c>
      <c r="BZ2521" s="1" t="s">
        <v>209</v>
      </c>
      <c r="CA2521" s="1" t="s">
        <v>210</v>
      </c>
      <c r="CB2521" s="1" t="s">
        <v>229</v>
      </c>
      <c r="CC2521" s="1" t="s">
        <v>331</v>
      </c>
      <c r="CD2521" s="1" t="s">
        <v>206</v>
      </c>
      <c r="CE2521" s="1" t="s">
        <v>210</v>
      </c>
      <c r="CF2521" s="1" t="s">
        <v>229</v>
      </c>
      <c r="CG2521" s="1" t="s">
        <v>302</v>
      </c>
      <c r="CH2521" s="1" t="s">
        <v>209</v>
      </c>
      <c r="CI2521" s="1" t="s">
        <v>210</v>
      </c>
      <c r="CJ2521" s="1" t="s">
        <v>229</v>
      </c>
      <c r="CK2521" s="1" t="s">
        <v>1417</v>
      </c>
      <c r="CL2521" s="1" t="s">
        <v>209</v>
      </c>
      <c r="CM2521" s="1" t="s">
        <v>210</v>
      </c>
      <c r="CN2521" s="1" t="s">
        <v>229</v>
      </c>
      <c r="CO2521" s="1" t="s">
        <v>264</v>
      </c>
      <c r="CP2521" s="1" t="s">
        <v>209</v>
      </c>
      <c r="CQ2521" s="1" t="s">
        <v>210</v>
      </c>
      <c r="CR2521" s="1" t="s">
        <v>229</v>
      </c>
      <c r="CS2521" s="1" t="s">
        <v>1417</v>
      </c>
      <c r="CT2521" s="1" t="s">
        <v>206</v>
      </c>
      <c r="CU2521" s="1" t="s">
        <v>207</v>
      </c>
      <c r="CV2521" s="1" t="s">
        <v>229</v>
      </c>
      <c r="CW2521" s="1" t="s">
        <v>333</v>
      </c>
      <c r="CX2521" s="1" t="s">
        <v>206</v>
      </c>
      <c r="CY2521" s="1" t="s">
        <v>210</v>
      </c>
      <c r="CZ2521" s="1" t="s">
        <v>229</v>
      </c>
      <c r="DA2521" s="1" t="s">
        <v>200</v>
      </c>
      <c r="DC2521" s="1" t="s">
        <v>481</v>
      </c>
      <c r="DD2521" s="1" t="s">
        <v>336</v>
      </c>
      <c r="DE2521" s="1" t="s">
        <v>273</v>
      </c>
      <c r="DF2521" s="1" t="s">
        <v>905</v>
      </c>
      <c r="DH2521" s="1" t="s">
        <v>220</v>
      </c>
      <c r="DJ2521" s="1" t="s">
        <v>222</v>
      </c>
      <c r="DL2521" s="1" t="s">
        <v>3611</v>
      </c>
      <c r="DM2521" s="1" t="s">
        <v>338</v>
      </c>
      <c r="DP2521" s="1" t="s">
        <v>340</v>
      </c>
      <c r="DQ2521" s="1" t="s">
        <v>441</v>
      </c>
      <c r="DR2521" s="1" t="s">
        <v>1487</v>
      </c>
      <c r="DS2521" s="1" t="s">
        <v>591</v>
      </c>
      <c r="DV2521" s="1" t="s">
        <v>22784</v>
      </c>
      <c r="DW2521" s="1" t="s">
        <v>233</v>
      </c>
      <c r="DX2521" s="1" t="s">
        <v>234</v>
      </c>
      <c r="DY2521" s="1" t="s">
        <v>1006</v>
      </c>
      <c r="EC2521" s="1" t="s">
        <v>237</v>
      </c>
      <c r="EG2521" s="1" t="s">
        <v>556</v>
      </c>
      <c r="EH2521" s="1" t="s">
        <v>494</v>
      </c>
      <c r="EJ2521" s="1" t="s">
        <v>408</v>
      </c>
      <c r="EL2521" s="1" t="s">
        <v>269</v>
      </c>
      <c r="EM2521" s="1" t="s">
        <v>206</v>
      </c>
      <c r="EN2521" s="1" t="s">
        <v>207</v>
      </c>
      <c r="EO2521" s="1" t="s">
        <v>229</v>
      </c>
      <c r="EP2521" s="1" t="s">
        <v>1351</v>
      </c>
      <c r="EQ2521" s="1" t="s">
        <v>206</v>
      </c>
      <c r="ER2521" s="1" t="s">
        <v>210</v>
      </c>
      <c r="ES2521" s="1" t="s">
        <v>229</v>
      </c>
      <c r="EU2521" s="1" t="s">
        <v>238</v>
      </c>
      <c r="EX2521" s="1" t="s">
        <v>4046</v>
      </c>
      <c r="EY2521" s="1" t="s">
        <v>206</v>
      </c>
      <c r="EZ2521" s="1" t="s">
        <v>207</v>
      </c>
      <c r="FA2521" s="1" t="s">
        <v>229</v>
      </c>
      <c r="FC2521" s="1" t="s">
        <v>238</v>
      </c>
      <c r="FF2521" s="1" t="s">
        <v>239</v>
      </c>
      <c r="FG2521" s="1" t="s">
        <v>192</v>
      </c>
      <c r="FH2521" s="1" t="s">
        <v>192</v>
      </c>
      <c r="FJ2521" s="1" t="s">
        <v>770</v>
      </c>
      <c r="FK2521" s="1" t="s">
        <v>229</v>
      </c>
      <c r="FL2521" s="1" t="s">
        <v>7436</v>
      </c>
      <c r="FM2521" s="1">
        <v>79988.0</v>
      </c>
      <c r="FN2521" s="1" t="s">
        <v>7437</v>
      </c>
      <c r="FO2521" s="1" t="s">
        <v>7438</v>
      </c>
      <c r="FP2521" s="1">
        <v>703106.0</v>
      </c>
      <c r="FQ2521" s="1" t="s">
        <v>7439</v>
      </c>
      <c r="FS2521" s="1" t="s">
        <v>7440</v>
      </c>
      <c r="FU2521" s="1" t="s">
        <v>22785</v>
      </c>
      <c r="FV2521" s="1" t="s">
        <v>200</v>
      </c>
      <c r="FW2521" s="1" t="s">
        <v>7441</v>
      </c>
      <c r="FZ2521" s="1" t="s">
        <v>229</v>
      </c>
      <c r="GA2521" s="1" t="s">
        <v>291</v>
      </c>
      <c r="GB2521" s="2">
        <v>42103.0</v>
      </c>
      <c r="GC2521" s="1" t="s">
        <v>22786</v>
      </c>
    </row>
    <row r="2522">
      <c r="A2522" s="1">
        <v>250000.0</v>
      </c>
      <c r="B2522" s="1" t="s">
        <v>185</v>
      </c>
      <c r="C2522" s="1" t="str">
        <f>"08846038"</f>
        <v>08846038</v>
      </c>
      <c r="D2522" s="1" t="s">
        <v>186</v>
      </c>
      <c r="F2522" s="1" t="str">
        <f>"140"</f>
        <v>140</v>
      </c>
      <c r="G2522" s="2">
        <v>42060.0</v>
      </c>
      <c r="H2522" s="1">
        <v>224900.0</v>
      </c>
      <c r="I2522" s="1">
        <v>14.0</v>
      </c>
      <c r="J2522" s="1">
        <v>224900.0</v>
      </c>
      <c r="K2522" s="2">
        <v>42072.0</v>
      </c>
      <c r="L2522" s="1">
        <v>14.0</v>
      </c>
      <c r="M2522" s="2">
        <v>42072.0</v>
      </c>
      <c r="N2522" s="1" t="s">
        <v>249</v>
      </c>
      <c r="O2522" s="2">
        <v>42104.0</v>
      </c>
      <c r="P2522" s="1">
        <v>7968.0</v>
      </c>
      <c r="Q2522" s="1">
        <v>372.0</v>
      </c>
      <c r="S2522" s="1">
        <v>770.0</v>
      </c>
      <c r="T2522" s="1" t="s">
        <v>22787</v>
      </c>
      <c r="U2522" s="1" t="s">
        <v>1174</v>
      </c>
      <c r="V2522" s="1" t="s">
        <v>4858</v>
      </c>
      <c r="W2522" s="1">
        <v>60140.0</v>
      </c>
      <c r="Y2522" s="1" t="s">
        <v>22788</v>
      </c>
      <c r="Z2522" s="1">
        <v>2006.0</v>
      </c>
      <c r="AA2522" s="1" t="s">
        <v>200</v>
      </c>
      <c r="AB2522" s="1" t="s">
        <v>193</v>
      </c>
      <c r="AC2522" s="1" t="s">
        <v>22789</v>
      </c>
      <c r="AD2522" s="1" t="s">
        <v>4860</v>
      </c>
      <c r="AE2522" s="1" t="s">
        <v>325</v>
      </c>
      <c r="AF2522" s="1" t="s">
        <v>3429</v>
      </c>
      <c r="AG2522" s="1" t="s">
        <v>8118</v>
      </c>
      <c r="AH2522" s="1" t="s">
        <v>22790</v>
      </c>
      <c r="AK2522" s="1">
        <v>9.0</v>
      </c>
      <c r="AL2522" s="1">
        <v>4.0</v>
      </c>
      <c r="AM2522" s="1">
        <v>2.0</v>
      </c>
      <c r="AN2522" s="1">
        <v>1.0</v>
      </c>
      <c r="AO2522" s="1" t="s">
        <v>198</v>
      </c>
      <c r="AP2522" s="1">
        <v>1.0</v>
      </c>
      <c r="AQ2522" s="1" t="s">
        <v>198</v>
      </c>
      <c r="AR2522" s="1" t="s">
        <v>200</v>
      </c>
      <c r="AS2522" s="1" t="s">
        <v>199</v>
      </c>
      <c r="AT2522" s="1">
        <v>2.0</v>
      </c>
      <c r="AV2522" s="1" t="s">
        <v>200</v>
      </c>
      <c r="AW2522" s="1">
        <v>8766.26</v>
      </c>
      <c r="AX2522" s="1">
        <v>2013.0</v>
      </c>
      <c r="AY2522" s="1" t="s">
        <v>387</v>
      </c>
      <c r="AZ2522" s="1" t="s">
        <v>200</v>
      </c>
      <c r="BA2522" s="1" t="str">
        <f>"0228356017"</f>
        <v>0228356017</v>
      </c>
      <c r="BB2522" s="1" t="s">
        <v>200</v>
      </c>
      <c r="BC2522" s="1">
        <v>2572.0</v>
      </c>
      <c r="BD2522" s="1">
        <v>250000.0</v>
      </c>
      <c r="BE2522" s="2">
        <v>42059.0</v>
      </c>
      <c r="BF2522" s="2" t="s">
        <v>22791</v>
      </c>
      <c r="BH2522" s="1">
        <v>65.0</v>
      </c>
      <c r="BK2522" s="1" t="s">
        <v>474</v>
      </c>
      <c r="BL2522" s="1" t="str">
        <f>"15"</f>
        <v>15</v>
      </c>
      <c r="BM2522" s="1" t="str">
        <f>"0"</f>
        <v>0</v>
      </c>
      <c r="BN2522" s="1">
        <v>42.0</v>
      </c>
      <c r="BO2522" s="1">
        <v>0.0</v>
      </c>
      <c r="BQ2522" s="1">
        <v>300.0</v>
      </c>
      <c r="BR2522" s="1">
        <v>300.0</v>
      </c>
      <c r="BS2522" s="1">
        <v>300.0</v>
      </c>
      <c r="BU2522" s="1" t="s">
        <v>212</v>
      </c>
      <c r="BV2522" s="1" t="s">
        <v>206</v>
      </c>
      <c r="BX2522" s="1" t="s">
        <v>229</v>
      </c>
      <c r="BY2522" s="1" t="s">
        <v>434</v>
      </c>
      <c r="BZ2522" s="1" t="s">
        <v>209</v>
      </c>
      <c r="CC2522" s="1" t="s">
        <v>497</v>
      </c>
      <c r="CD2522" s="1" t="s">
        <v>206</v>
      </c>
      <c r="CF2522" s="1" t="s">
        <v>229</v>
      </c>
      <c r="CG2522" s="1" t="s">
        <v>497</v>
      </c>
      <c r="CH2522" s="1" t="s">
        <v>209</v>
      </c>
      <c r="CK2522" s="1" t="s">
        <v>212</v>
      </c>
      <c r="CL2522" s="1" t="s">
        <v>209</v>
      </c>
      <c r="CO2522" s="1" t="s">
        <v>363</v>
      </c>
      <c r="CP2522" s="1" t="s">
        <v>209</v>
      </c>
      <c r="CS2522" s="1" t="s">
        <v>454</v>
      </c>
      <c r="CT2522" s="1" t="s">
        <v>206</v>
      </c>
      <c r="CW2522" s="1" t="s">
        <v>924</v>
      </c>
      <c r="CX2522" s="1" t="s">
        <v>206</v>
      </c>
      <c r="DA2522" s="1" t="s">
        <v>200</v>
      </c>
      <c r="DC2522" s="1" t="s">
        <v>481</v>
      </c>
      <c r="DE2522" s="1" t="s">
        <v>273</v>
      </c>
      <c r="DF2522" s="1" t="s">
        <v>219</v>
      </c>
      <c r="DH2522" s="1" t="s">
        <v>220</v>
      </c>
      <c r="DI2522" s="1" t="s">
        <v>308</v>
      </c>
      <c r="DJ2522" s="1" t="s">
        <v>222</v>
      </c>
      <c r="DL2522" s="1" t="s">
        <v>223</v>
      </c>
      <c r="DM2522" s="1" t="s">
        <v>229</v>
      </c>
      <c r="DO2522" s="1" t="s">
        <v>549</v>
      </c>
      <c r="DP2522" s="1" t="s">
        <v>340</v>
      </c>
      <c r="DQ2522" s="1" t="s">
        <v>228</v>
      </c>
      <c r="DR2522" s="1" t="s">
        <v>588</v>
      </c>
      <c r="DV2522" s="1" t="s">
        <v>449</v>
      </c>
      <c r="DW2522" s="1" t="s">
        <v>233</v>
      </c>
      <c r="DX2522" s="1" t="s">
        <v>234</v>
      </c>
      <c r="DY2522" s="1" t="s">
        <v>704</v>
      </c>
      <c r="EA2522" s="1" t="s">
        <v>1027</v>
      </c>
      <c r="EC2522" s="1" t="s">
        <v>237</v>
      </c>
      <c r="EG2522" s="1" t="s">
        <v>449</v>
      </c>
      <c r="EL2522" s="1" t="s">
        <v>215</v>
      </c>
      <c r="EM2522" s="1" t="s">
        <v>206</v>
      </c>
      <c r="EQ2522" s="1" t="s">
        <v>238</v>
      </c>
      <c r="EU2522" s="1" t="s">
        <v>238</v>
      </c>
      <c r="EY2522" s="1" t="s">
        <v>238</v>
      </c>
      <c r="FC2522" s="1" t="s">
        <v>238</v>
      </c>
      <c r="FF2522" s="1" t="s">
        <v>239</v>
      </c>
      <c r="FG2522" s="1" t="s">
        <v>192</v>
      </c>
      <c r="FH2522" s="1" t="s">
        <v>192</v>
      </c>
      <c r="FJ2522" s="1" t="s">
        <v>770</v>
      </c>
      <c r="FK2522" s="1" t="s">
        <v>229</v>
      </c>
      <c r="FL2522" s="1" t="s">
        <v>22792</v>
      </c>
      <c r="FM2522" s="1">
        <v>5125.0</v>
      </c>
      <c r="FN2522" s="1" t="s">
        <v>22793</v>
      </c>
      <c r="FO2522" s="1" t="s">
        <v>22794</v>
      </c>
      <c r="FP2522" s="1">
        <v>53120.0</v>
      </c>
      <c r="FQ2522" s="1" t="s">
        <v>22793</v>
      </c>
      <c r="FU2522" s="1" t="s">
        <v>22795</v>
      </c>
      <c r="FV2522" s="1" t="s">
        <v>200</v>
      </c>
      <c r="FW2522" s="1" t="s">
        <v>631</v>
      </c>
      <c r="FZ2522" s="1" t="s">
        <v>229</v>
      </c>
      <c r="GA2522" s="1" t="s">
        <v>291</v>
      </c>
      <c r="GB2522" s="2">
        <v>42104.0</v>
      </c>
      <c r="GC2522" s="1" t="s">
        <v>22796</v>
      </c>
    </row>
    <row r="2523">
      <c r="A2523" s="1">
        <v>195000.0</v>
      </c>
      <c r="B2523" s="1" t="s">
        <v>185</v>
      </c>
      <c r="C2523" s="1" t="str">
        <f>"08823789"</f>
        <v>08823789</v>
      </c>
      <c r="D2523" s="1" t="s">
        <v>186</v>
      </c>
      <c r="F2523" s="1" t="str">
        <f>"103"</f>
        <v>103</v>
      </c>
      <c r="G2523" s="2">
        <v>42030.0</v>
      </c>
      <c r="H2523" s="1">
        <v>202900.0</v>
      </c>
      <c r="I2523" s="1">
        <v>9.0</v>
      </c>
      <c r="J2523" s="1">
        <v>202900.0</v>
      </c>
      <c r="K2523" s="2">
        <v>42038.0</v>
      </c>
      <c r="L2523" s="1">
        <v>9.0</v>
      </c>
      <c r="M2523" s="2">
        <v>42038.0</v>
      </c>
      <c r="N2523" s="1" t="s">
        <v>187</v>
      </c>
      <c r="O2523" s="2">
        <v>42075.0</v>
      </c>
      <c r="P2523" s="1">
        <v>86493.0</v>
      </c>
      <c r="Q2523" s="1">
        <v>8074.0</v>
      </c>
      <c r="S2523" s="1">
        <v>8149.0</v>
      </c>
      <c r="T2523" s="1" t="s">
        <v>3640</v>
      </c>
      <c r="U2523" s="1" t="s">
        <v>1174</v>
      </c>
      <c r="V2523" s="1" t="s">
        <v>251</v>
      </c>
      <c r="W2523" s="1">
        <v>60133.0</v>
      </c>
      <c r="X2523" s="1">
        <v>2336.0</v>
      </c>
      <c r="Y2523" s="1" t="s">
        <v>22797</v>
      </c>
      <c r="Z2523" s="1">
        <v>1972.0</v>
      </c>
      <c r="AA2523" s="1" t="s">
        <v>192</v>
      </c>
      <c r="AB2523" s="1" t="s">
        <v>193</v>
      </c>
      <c r="AC2523" s="1" t="s">
        <v>3214</v>
      </c>
      <c r="AD2523" s="1" t="s">
        <v>254</v>
      </c>
      <c r="AE2523" s="1" t="s">
        <v>195</v>
      </c>
      <c r="AF2523" s="1" t="s">
        <v>255</v>
      </c>
      <c r="AG2523" s="1" t="s">
        <v>874</v>
      </c>
      <c r="AH2523" s="1" t="s">
        <v>22798</v>
      </c>
      <c r="AI2523" s="1">
        <v>0.1791</v>
      </c>
      <c r="AK2523" s="1">
        <v>8.0</v>
      </c>
      <c r="AL2523" s="1">
        <v>4.0</v>
      </c>
      <c r="AM2523" s="1">
        <v>2.0</v>
      </c>
      <c r="AN2523" s="1">
        <v>0.0</v>
      </c>
      <c r="AO2523" s="1" t="s">
        <v>229</v>
      </c>
      <c r="AP2523" s="1">
        <v>1.0</v>
      </c>
      <c r="AQ2523" s="1" t="s">
        <v>229</v>
      </c>
      <c r="AR2523" s="1" t="s">
        <v>200</v>
      </c>
      <c r="AS2523" s="1" t="s">
        <v>199</v>
      </c>
      <c r="AT2523" s="1">
        <v>1.0</v>
      </c>
      <c r="AV2523" s="1" t="s">
        <v>200</v>
      </c>
      <c r="AW2523" s="1">
        <v>5004.48</v>
      </c>
      <c r="AX2523" s="1">
        <v>2013.0</v>
      </c>
      <c r="AY2523" s="1" t="s">
        <v>387</v>
      </c>
      <c r="AZ2523" s="1" t="s">
        <v>200</v>
      </c>
      <c r="BA2523" s="1" t="str">
        <f>"07302090140000"</f>
        <v>07302090140000</v>
      </c>
      <c r="BB2523" s="1" t="s">
        <v>200</v>
      </c>
      <c r="BC2523" s="1">
        <v>1611.0</v>
      </c>
      <c r="BD2523" s="1">
        <v>195000.0</v>
      </c>
      <c r="BE2523" s="2">
        <v>42030.0</v>
      </c>
      <c r="BF2523" s="2" t="s">
        <v>22799</v>
      </c>
      <c r="BG2523" s="1" t="s">
        <v>8446</v>
      </c>
      <c r="BH2523" s="1">
        <v>0.0</v>
      </c>
      <c r="BI2523" s="1" t="s">
        <v>8447</v>
      </c>
      <c r="BJ2523" s="1" t="s">
        <v>8448</v>
      </c>
      <c r="BK2523" s="1" t="s">
        <v>204</v>
      </c>
      <c r="BL2523" s="1" t="str">
        <f>"41"</f>
        <v>41</v>
      </c>
      <c r="BM2523" s="1" t="str">
        <f>"10"</f>
        <v>10</v>
      </c>
      <c r="BN2523" s="1">
        <v>0.0</v>
      </c>
      <c r="BO2523" s="1">
        <v>0.0</v>
      </c>
      <c r="BQ2523" s="1">
        <v>54.0</v>
      </c>
      <c r="BR2523" s="1">
        <v>211.0</v>
      </c>
      <c r="BS2523" s="1">
        <v>54.0</v>
      </c>
      <c r="BU2523" s="1" t="s">
        <v>208</v>
      </c>
      <c r="BV2523" s="1" t="s">
        <v>206</v>
      </c>
      <c r="BW2523" s="1" t="s">
        <v>210</v>
      </c>
      <c r="BX2523" s="1" t="s">
        <v>1549</v>
      </c>
      <c r="BY2523" s="1" t="s">
        <v>212</v>
      </c>
      <c r="BZ2523" s="1" t="s">
        <v>206</v>
      </c>
      <c r="CD2523" s="1" t="s">
        <v>204</v>
      </c>
      <c r="CG2523" s="1" t="s">
        <v>495</v>
      </c>
      <c r="CH2523" s="1" t="s">
        <v>206</v>
      </c>
      <c r="CI2523" s="1" t="s">
        <v>617</v>
      </c>
      <c r="CJ2523" s="1" t="s">
        <v>229</v>
      </c>
      <c r="CK2523" s="1" t="s">
        <v>623</v>
      </c>
      <c r="CL2523" s="1" t="s">
        <v>206</v>
      </c>
      <c r="CM2523" s="1" t="s">
        <v>210</v>
      </c>
      <c r="CN2523" s="1" t="s">
        <v>229</v>
      </c>
      <c r="CO2523" s="1" t="s">
        <v>2047</v>
      </c>
      <c r="CP2523" s="1" t="s">
        <v>206</v>
      </c>
      <c r="CQ2523" s="1" t="s">
        <v>210</v>
      </c>
      <c r="CR2523" s="1" t="s">
        <v>229</v>
      </c>
      <c r="CS2523" s="1" t="s">
        <v>331</v>
      </c>
      <c r="CT2523" s="1" t="s">
        <v>206</v>
      </c>
      <c r="CU2523" s="1" t="s">
        <v>617</v>
      </c>
      <c r="CV2523" s="1" t="s">
        <v>229</v>
      </c>
      <c r="CW2523" s="1" t="s">
        <v>3154</v>
      </c>
      <c r="CX2523" s="1" t="s">
        <v>206</v>
      </c>
      <c r="CY2523" s="1" t="s">
        <v>210</v>
      </c>
      <c r="CZ2523" s="1" t="s">
        <v>229</v>
      </c>
      <c r="DA2523" s="1" t="s">
        <v>200</v>
      </c>
      <c r="DC2523" s="1" t="s">
        <v>517</v>
      </c>
      <c r="DD2523" s="1" t="s">
        <v>518</v>
      </c>
      <c r="DE2523" s="1" t="s">
        <v>273</v>
      </c>
      <c r="DF2523" s="1" t="s">
        <v>619</v>
      </c>
      <c r="DG2523" s="1" t="s">
        <v>3833</v>
      </c>
      <c r="DH2523" s="1" t="s">
        <v>365</v>
      </c>
      <c r="DI2523" s="1" t="s">
        <v>14055</v>
      </c>
      <c r="DJ2523" s="1" t="s">
        <v>222</v>
      </c>
      <c r="DL2523" s="1" t="s">
        <v>229</v>
      </c>
      <c r="DM2523" s="1" t="s">
        <v>4610</v>
      </c>
      <c r="DN2523" s="1" t="s">
        <v>666</v>
      </c>
      <c r="DO2523" s="1" t="s">
        <v>549</v>
      </c>
      <c r="DQ2523" s="1" t="s">
        <v>228</v>
      </c>
      <c r="DR2523" s="1" t="s">
        <v>229</v>
      </c>
      <c r="DV2523" s="1" t="s">
        <v>22800</v>
      </c>
      <c r="DW2523" s="1" t="s">
        <v>233</v>
      </c>
      <c r="DX2523" s="1" t="s">
        <v>234</v>
      </c>
      <c r="DY2523" s="1" t="s">
        <v>22801</v>
      </c>
      <c r="DZ2523" s="1" t="s">
        <v>2693</v>
      </c>
      <c r="EA2523" s="1" t="s">
        <v>683</v>
      </c>
      <c r="EB2523" s="1" t="s">
        <v>684</v>
      </c>
      <c r="EC2523" s="1" t="s">
        <v>685</v>
      </c>
      <c r="ED2523" s="1" t="s">
        <v>407</v>
      </c>
      <c r="EE2523" s="1" t="s">
        <v>187</v>
      </c>
      <c r="EG2523" s="1" t="s">
        <v>720</v>
      </c>
      <c r="EH2523" s="1" t="s">
        <v>1102</v>
      </c>
      <c r="EI2523" s="1" t="s">
        <v>1491</v>
      </c>
      <c r="EL2523" s="1" t="s">
        <v>798</v>
      </c>
      <c r="EM2523" s="1" t="s">
        <v>206</v>
      </c>
      <c r="EN2523" s="1" t="s">
        <v>210</v>
      </c>
      <c r="EO2523" s="1" t="s">
        <v>229</v>
      </c>
      <c r="EP2523" s="1" t="s">
        <v>11230</v>
      </c>
      <c r="EQ2523" s="1" t="s">
        <v>206</v>
      </c>
      <c r="ER2523" s="1" t="s">
        <v>210</v>
      </c>
      <c r="ES2523" s="1" t="s">
        <v>229</v>
      </c>
      <c r="ET2523" s="1" t="s">
        <v>560</v>
      </c>
      <c r="EU2523" s="1" t="s">
        <v>206</v>
      </c>
      <c r="EV2523" s="1" t="s">
        <v>588</v>
      </c>
      <c r="EW2523" s="1" t="s">
        <v>229</v>
      </c>
      <c r="EY2523" s="1" t="s">
        <v>238</v>
      </c>
      <c r="FC2523" s="1" t="s">
        <v>238</v>
      </c>
      <c r="FF2523" s="1" t="s">
        <v>239</v>
      </c>
      <c r="FG2523" s="1" t="s">
        <v>192</v>
      </c>
      <c r="FH2523" s="1" t="s">
        <v>200</v>
      </c>
      <c r="FJ2523" s="1" t="s">
        <v>1450</v>
      </c>
      <c r="FK2523" s="1" t="s">
        <v>229</v>
      </c>
      <c r="FL2523" s="1" t="s">
        <v>2263</v>
      </c>
      <c r="FM2523" s="1">
        <v>8092.0</v>
      </c>
      <c r="FN2523" s="1" t="s">
        <v>4078</v>
      </c>
      <c r="FO2523" s="1" t="s">
        <v>22802</v>
      </c>
      <c r="FP2523" s="1">
        <v>89564.0</v>
      </c>
      <c r="FQ2523" s="1" t="s">
        <v>22803</v>
      </c>
      <c r="FT2523" s="1" t="s">
        <v>22804</v>
      </c>
      <c r="FU2523" s="1" t="s">
        <v>22805</v>
      </c>
      <c r="FV2523" s="1" t="s">
        <v>200</v>
      </c>
      <c r="FW2523" s="1" t="s">
        <v>530</v>
      </c>
      <c r="FZ2523" s="1" t="s">
        <v>632</v>
      </c>
      <c r="GA2523" s="1" t="s">
        <v>291</v>
      </c>
      <c r="GB2523" s="2">
        <v>42076.0</v>
      </c>
      <c r="GC2523" s="1" t="s">
        <v>22806</v>
      </c>
    </row>
    <row r="2524">
      <c r="A2524" s="1">
        <v>22010.0</v>
      </c>
      <c r="B2524" s="1" t="s">
        <v>185</v>
      </c>
      <c r="C2524" s="1" t="str">
        <f>"08819862"</f>
        <v>08819862</v>
      </c>
      <c r="D2524" s="1" t="s">
        <v>186</v>
      </c>
      <c r="F2524" s="1" t="str">
        <f>"8067"</f>
        <v>8067</v>
      </c>
      <c r="G2524" s="2">
        <v>42024.0</v>
      </c>
      <c r="H2524" s="1">
        <v>18800.0</v>
      </c>
      <c r="I2524" s="1">
        <v>14.0</v>
      </c>
      <c r="J2524" s="1">
        <v>18800.0</v>
      </c>
      <c r="K2524" s="2">
        <v>42037.0</v>
      </c>
      <c r="L2524" s="1">
        <v>14.0</v>
      </c>
      <c r="M2524" s="2">
        <v>42037.0</v>
      </c>
      <c r="N2524" s="1" t="s">
        <v>249</v>
      </c>
      <c r="O2524" s="2">
        <v>42059.0</v>
      </c>
      <c r="P2524" s="1">
        <v>148914.0</v>
      </c>
      <c r="Q2524" s="1">
        <v>18373.0</v>
      </c>
      <c r="S2524" s="1">
        <v>5934.0</v>
      </c>
      <c r="T2524" s="1" t="s">
        <v>14194</v>
      </c>
      <c r="U2524" s="1" t="s">
        <v>320</v>
      </c>
      <c r="V2524" s="1" t="s">
        <v>190</v>
      </c>
      <c r="W2524" s="1">
        <v>60636.0</v>
      </c>
      <c r="Y2524" s="1" t="s">
        <v>22807</v>
      </c>
      <c r="Z2524" s="1">
        <v>1888.0</v>
      </c>
      <c r="AA2524" s="1" t="s">
        <v>192</v>
      </c>
      <c r="AB2524" s="1" t="s">
        <v>193</v>
      </c>
      <c r="AD2524" s="1" t="s">
        <v>194</v>
      </c>
      <c r="AE2524" s="1" t="s">
        <v>195</v>
      </c>
      <c r="AF2524" s="1" t="s">
        <v>659</v>
      </c>
      <c r="AH2524" s="1">
        <v>3125.0</v>
      </c>
      <c r="AI2524" s="1">
        <v>0.0717</v>
      </c>
      <c r="AK2524" s="1">
        <v>7.0</v>
      </c>
      <c r="AL2524" s="1">
        <v>4.0</v>
      </c>
      <c r="AM2524" s="1">
        <v>1.0</v>
      </c>
      <c r="AN2524" s="1">
        <v>1.0</v>
      </c>
      <c r="AO2524" s="1" t="s">
        <v>229</v>
      </c>
      <c r="AQ2524" s="1" t="s">
        <v>198</v>
      </c>
      <c r="AR2524" s="1" t="s">
        <v>200</v>
      </c>
      <c r="AS2524" s="1" t="s">
        <v>199</v>
      </c>
      <c r="AT2524" s="1">
        <v>1.0</v>
      </c>
      <c r="AV2524" s="1" t="s">
        <v>200</v>
      </c>
      <c r="AW2524" s="1">
        <v>1537.66</v>
      </c>
      <c r="AX2524" s="1">
        <v>2012.0</v>
      </c>
      <c r="AZ2524" s="1" t="s">
        <v>200</v>
      </c>
      <c r="BA2524" s="1" t="str">
        <f>"20173040360000"</f>
        <v>20173040360000</v>
      </c>
      <c r="BC2524" s="1">
        <v>1282.0</v>
      </c>
      <c r="BD2524" s="1">
        <v>22010.0</v>
      </c>
      <c r="BE2524" s="2">
        <v>42024.0</v>
      </c>
      <c r="BF2524" s="1" t="s">
        <v>22808</v>
      </c>
      <c r="BH2524" s="1">
        <v>0.0</v>
      </c>
      <c r="BK2524" s="1" t="s">
        <v>204</v>
      </c>
      <c r="BL2524" s="1" t="str">
        <f t="shared" ref="BL2524:BM2524" si="1646">"0"</f>
        <v>0</v>
      </c>
      <c r="BM2524" s="1" t="str">
        <f t="shared" si="1646"/>
        <v>0</v>
      </c>
      <c r="BN2524" s="1">
        <v>1334.0</v>
      </c>
      <c r="BO2524" s="1">
        <v>5934.0</v>
      </c>
      <c r="BQ2524" s="1">
        <v>299.0</v>
      </c>
      <c r="BR2524" s="1">
        <v>299.0</v>
      </c>
      <c r="BS2524" s="1">
        <v>299.0</v>
      </c>
      <c r="BU2524" s="1" t="s">
        <v>454</v>
      </c>
      <c r="BV2524" s="1" t="s">
        <v>206</v>
      </c>
      <c r="BY2524" s="1" t="s">
        <v>215</v>
      </c>
      <c r="BZ2524" s="1" t="s">
        <v>206</v>
      </c>
      <c r="CC2524" s="1" t="s">
        <v>212</v>
      </c>
      <c r="CD2524" s="1" t="s">
        <v>206</v>
      </c>
      <c r="CG2524" s="1" t="s">
        <v>212</v>
      </c>
      <c r="CH2524" s="1" t="s">
        <v>206</v>
      </c>
      <c r="CK2524" s="1" t="s">
        <v>495</v>
      </c>
      <c r="CL2524" s="1" t="s">
        <v>209</v>
      </c>
      <c r="CO2524" s="1" t="s">
        <v>495</v>
      </c>
      <c r="CP2524" s="1" t="s">
        <v>209</v>
      </c>
      <c r="CS2524" s="1" t="s">
        <v>331</v>
      </c>
      <c r="CT2524" s="1" t="s">
        <v>206</v>
      </c>
      <c r="CX2524" s="1" t="s">
        <v>204</v>
      </c>
      <c r="DA2524" s="1" t="s">
        <v>200</v>
      </c>
      <c r="DC2524" s="1" t="s">
        <v>642</v>
      </c>
      <c r="DE2524" s="1" t="s">
        <v>229</v>
      </c>
      <c r="DF2524" s="1" t="s">
        <v>619</v>
      </c>
      <c r="DH2524" s="1" t="s">
        <v>220</v>
      </c>
      <c r="DJ2524" s="1" t="s">
        <v>222</v>
      </c>
      <c r="DL2524" s="1" t="s">
        <v>223</v>
      </c>
      <c r="DM2524" s="1" t="s">
        <v>229</v>
      </c>
      <c r="DQ2524" s="1" t="s">
        <v>228</v>
      </c>
      <c r="DR2524" s="1" t="s">
        <v>229</v>
      </c>
      <c r="DV2524" s="1" t="s">
        <v>232</v>
      </c>
      <c r="DW2524" s="1" t="s">
        <v>233</v>
      </c>
      <c r="DX2524" s="1" t="s">
        <v>234</v>
      </c>
      <c r="EC2524" s="1" t="s">
        <v>645</v>
      </c>
      <c r="EM2524" s="1" t="s">
        <v>238</v>
      </c>
      <c r="EQ2524" s="1" t="s">
        <v>238</v>
      </c>
      <c r="EU2524" s="1" t="s">
        <v>238</v>
      </c>
      <c r="EY2524" s="1" t="s">
        <v>238</v>
      </c>
      <c r="FC2524" s="1" t="s">
        <v>238</v>
      </c>
      <c r="FF2524" s="1" t="s">
        <v>239</v>
      </c>
      <c r="FG2524" s="1" t="s">
        <v>192</v>
      </c>
      <c r="FH2524" s="1" t="s">
        <v>192</v>
      </c>
      <c r="FJ2524" s="1" t="s">
        <v>1674</v>
      </c>
      <c r="FK2524" s="1" t="s">
        <v>229</v>
      </c>
      <c r="FL2524" s="1" t="s">
        <v>3272</v>
      </c>
      <c r="FM2524" s="1">
        <v>12511.0</v>
      </c>
      <c r="FN2524" s="1" t="s">
        <v>3273</v>
      </c>
      <c r="FO2524" s="1" t="s">
        <v>3274</v>
      </c>
      <c r="FP2524" s="1">
        <v>121408.0</v>
      </c>
      <c r="FQ2524" s="1" t="s">
        <v>3275</v>
      </c>
      <c r="FU2524" s="1" t="s">
        <v>3276</v>
      </c>
      <c r="FV2524" s="1" t="s">
        <v>200</v>
      </c>
      <c r="FW2524" s="1" t="s">
        <v>1307</v>
      </c>
      <c r="FX2524" s="1" t="s">
        <v>655</v>
      </c>
      <c r="FZ2524" s="1" t="s">
        <v>229</v>
      </c>
      <c r="GA2524" s="1" t="s">
        <v>291</v>
      </c>
      <c r="GB2524" s="2">
        <v>42060.0</v>
      </c>
      <c r="GC2524" s="1" t="s">
        <v>22809</v>
      </c>
    </row>
    <row r="2525">
      <c r="A2525" s="1">
        <v>259000.0</v>
      </c>
      <c r="B2525" s="1" t="s">
        <v>185</v>
      </c>
      <c r="C2525" s="1" t="str">
        <f>"08821053"</f>
        <v>08821053</v>
      </c>
      <c r="D2525" s="1" t="s">
        <v>186</v>
      </c>
      <c r="F2525" s="1" t="str">
        <f>"177"</f>
        <v>177</v>
      </c>
      <c r="G2525" s="2">
        <v>42025.0</v>
      </c>
      <c r="H2525" s="1">
        <v>267500.0</v>
      </c>
      <c r="I2525" s="1">
        <v>5.0</v>
      </c>
      <c r="J2525" s="1">
        <v>267500.0</v>
      </c>
      <c r="K2525" s="2">
        <v>42029.0</v>
      </c>
      <c r="L2525" s="1">
        <v>5.0</v>
      </c>
      <c r="M2525" s="2">
        <v>42029.0</v>
      </c>
      <c r="N2525" s="1" t="s">
        <v>356</v>
      </c>
      <c r="O2525" s="2">
        <v>42068.0</v>
      </c>
      <c r="P2525" s="1">
        <v>85657.0</v>
      </c>
      <c r="Q2525" s="1">
        <v>8101.0</v>
      </c>
      <c r="R2525" s="1">
        <v>3500.0</v>
      </c>
      <c r="S2525" s="1">
        <v>585.0</v>
      </c>
      <c r="T2525" s="1" t="s">
        <v>9373</v>
      </c>
      <c r="U2525" s="1" t="s">
        <v>1174</v>
      </c>
      <c r="V2525" s="1" t="s">
        <v>2249</v>
      </c>
      <c r="W2525" s="1">
        <v>60177.0</v>
      </c>
      <c r="Y2525" s="1" t="s">
        <v>22810</v>
      </c>
      <c r="Z2525" s="1">
        <v>1999.0</v>
      </c>
      <c r="AA2525" s="1" t="s">
        <v>200</v>
      </c>
      <c r="AB2525" s="1" t="s">
        <v>193</v>
      </c>
      <c r="AC2525" s="1" t="s">
        <v>3437</v>
      </c>
      <c r="AD2525" s="1" t="s">
        <v>2252</v>
      </c>
      <c r="AE2525" s="1" t="s">
        <v>325</v>
      </c>
      <c r="AF2525" s="1" t="s">
        <v>1203</v>
      </c>
      <c r="AH2525" s="1" t="s">
        <v>22811</v>
      </c>
      <c r="AI2525" s="1">
        <v>0.198</v>
      </c>
      <c r="AK2525" s="1">
        <v>8.0</v>
      </c>
      <c r="AL2525" s="1">
        <v>4.0</v>
      </c>
      <c r="AM2525" s="1">
        <v>2.0</v>
      </c>
      <c r="AN2525" s="1">
        <v>1.0</v>
      </c>
      <c r="AO2525" s="1" t="s">
        <v>198</v>
      </c>
      <c r="AQ2525" s="1" t="s">
        <v>198</v>
      </c>
      <c r="AR2525" s="1" t="s">
        <v>200</v>
      </c>
      <c r="AS2525" s="1" t="s">
        <v>199</v>
      </c>
      <c r="AT2525" s="1">
        <v>2.0</v>
      </c>
      <c r="AV2525" s="1" t="s">
        <v>200</v>
      </c>
      <c r="AW2525" s="1">
        <v>7834.0</v>
      </c>
      <c r="AX2525" s="1">
        <v>2013.0</v>
      </c>
      <c r="AY2525" s="1" t="s">
        <v>387</v>
      </c>
      <c r="AZ2525" s="1" t="s">
        <v>200</v>
      </c>
      <c r="BA2525" s="1" t="str">
        <f>"0903279002"</f>
        <v>0903279002</v>
      </c>
      <c r="BC2525" s="1">
        <v>2164.0</v>
      </c>
      <c r="BD2525" s="1">
        <v>259000.0</v>
      </c>
      <c r="BE2525" s="2">
        <v>42025.0</v>
      </c>
      <c r="BF2525" s="2" t="s">
        <v>22812</v>
      </c>
      <c r="BH2525" s="1">
        <v>0.0</v>
      </c>
      <c r="BK2525" s="1" t="s">
        <v>204</v>
      </c>
      <c r="BL2525" s="1" t="str">
        <f t="shared" ref="BL2525:BM2525" si="1647">""</f>
        <v/>
      </c>
      <c r="BM2525" s="1" t="str">
        <f t="shared" si="1647"/>
        <v/>
      </c>
      <c r="BQ2525" s="1">
        <v>303.0</v>
      </c>
      <c r="BR2525" s="1">
        <v>303.0</v>
      </c>
      <c r="BS2525" s="1">
        <v>303.0</v>
      </c>
      <c r="BU2525" s="1" t="s">
        <v>393</v>
      </c>
      <c r="BV2525" s="1" t="s">
        <v>206</v>
      </c>
      <c r="BW2525" s="1" t="s">
        <v>210</v>
      </c>
      <c r="BX2525" s="1" t="s">
        <v>431</v>
      </c>
      <c r="BY2525" s="1" t="s">
        <v>329</v>
      </c>
      <c r="BZ2525" s="1" t="s">
        <v>209</v>
      </c>
      <c r="CA2525" s="1" t="s">
        <v>210</v>
      </c>
      <c r="CB2525" s="1" t="s">
        <v>431</v>
      </c>
      <c r="CC2525" s="1" t="s">
        <v>269</v>
      </c>
      <c r="CD2525" s="1" t="s">
        <v>206</v>
      </c>
      <c r="CE2525" s="1" t="s">
        <v>210</v>
      </c>
      <c r="CF2525" s="1" t="s">
        <v>431</v>
      </c>
      <c r="CG2525" s="1" t="s">
        <v>495</v>
      </c>
      <c r="CH2525" s="1" t="s">
        <v>209</v>
      </c>
      <c r="CI2525" s="1" t="s">
        <v>210</v>
      </c>
      <c r="CJ2525" s="1" t="s">
        <v>431</v>
      </c>
      <c r="CK2525" s="1" t="s">
        <v>269</v>
      </c>
      <c r="CL2525" s="1" t="s">
        <v>209</v>
      </c>
      <c r="CM2525" s="1" t="s">
        <v>210</v>
      </c>
      <c r="CN2525" s="1" t="s">
        <v>431</v>
      </c>
      <c r="CO2525" s="1" t="s">
        <v>331</v>
      </c>
      <c r="CP2525" s="1" t="s">
        <v>209</v>
      </c>
      <c r="CQ2525" s="1" t="s">
        <v>210</v>
      </c>
      <c r="CR2525" s="1" t="s">
        <v>431</v>
      </c>
      <c r="CS2525" s="1" t="s">
        <v>453</v>
      </c>
      <c r="CT2525" s="1" t="s">
        <v>206</v>
      </c>
      <c r="CU2525" s="1" t="s">
        <v>588</v>
      </c>
      <c r="CV2525" s="1" t="s">
        <v>431</v>
      </c>
      <c r="CW2525" s="1" t="s">
        <v>1892</v>
      </c>
      <c r="CX2525" s="1" t="s">
        <v>206</v>
      </c>
      <c r="CY2525" s="1" t="s">
        <v>210</v>
      </c>
      <c r="CZ2525" s="1" t="s">
        <v>431</v>
      </c>
      <c r="DA2525" s="1" t="s">
        <v>200</v>
      </c>
      <c r="DC2525" s="1" t="s">
        <v>678</v>
      </c>
      <c r="DD2525" s="1" t="s">
        <v>336</v>
      </c>
      <c r="DE2525" s="1" t="s">
        <v>273</v>
      </c>
      <c r="DF2525" s="1" t="s">
        <v>219</v>
      </c>
      <c r="DH2525" s="1" t="s">
        <v>220</v>
      </c>
      <c r="DI2525" s="1" t="s">
        <v>275</v>
      </c>
      <c r="DJ2525" s="1" t="s">
        <v>222</v>
      </c>
      <c r="DL2525" s="1" t="s">
        <v>223</v>
      </c>
      <c r="DM2525" s="1" t="s">
        <v>338</v>
      </c>
      <c r="DN2525" s="1" t="s">
        <v>339</v>
      </c>
      <c r="DP2525" s="1" t="s">
        <v>276</v>
      </c>
      <c r="DQ2525" s="1" t="s">
        <v>228</v>
      </c>
      <c r="DR2525" s="1" t="s">
        <v>229</v>
      </c>
      <c r="DS2525" s="1" t="s">
        <v>368</v>
      </c>
      <c r="DU2525" s="1" t="s">
        <v>22813</v>
      </c>
      <c r="DV2525" s="1" t="s">
        <v>232</v>
      </c>
      <c r="DW2525" s="1" t="s">
        <v>370</v>
      </c>
      <c r="DX2525" s="1" t="s">
        <v>234</v>
      </c>
      <c r="DY2525" s="1" t="s">
        <v>861</v>
      </c>
      <c r="DZ2525" s="1" t="s">
        <v>1100</v>
      </c>
      <c r="EA2525" s="1" t="s">
        <v>344</v>
      </c>
      <c r="EC2525" s="1" t="s">
        <v>237</v>
      </c>
      <c r="ED2525" s="1" t="s">
        <v>407</v>
      </c>
      <c r="EM2525" s="1" t="s">
        <v>238</v>
      </c>
      <c r="EQ2525" s="1" t="s">
        <v>238</v>
      </c>
      <c r="EU2525" s="1" t="s">
        <v>238</v>
      </c>
      <c r="EY2525" s="1" t="s">
        <v>238</v>
      </c>
      <c r="FC2525" s="1" t="s">
        <v>238</v>
      </c>
      <c r="FF2525" s="1" t="s">
        <v>239</v>
      </c>
      <c r="FG2525" s="1" t="s">
        <v>192</v>
      </c>
      <c r="FH2525" s="1" t="s">
        <v>192</v>
      </c>
      <c r="FJ2525" s="1" t="s">
        <v>524</v>
      </c>
      <c r="FK2525" s="1" t="s">
        <v>229</v>
      </c>
      <c r="FL2525" s="1" t="s">
        <v>1212</v>
      </c>
      <c r="FM2525" s="1">
        <v>30.0</v>
      </c>
      <c r="FN2525" s="1" t="s">
        <v>1213</v>
      </c>
      <c r="FO2525" s="1" t="s">
        <v>17970</v>
      </c>
      <c r="FP2525" s="1">
        <v>1204.0</v>
      </c>
      <c r="FQ2525" s="1" t="s">
        <v>17971</v>
      </c>
      <c r="FR2525" s="1">
        <v>8844.0</v>
      </c>
      <c r="FU2525" s="1" t="s">
        <v>22814</v>
      </c>
      <c r="FV2525" s="1" t="s">
        <v>200</v>
      </c>
      <c r="FW2525" s="1" t="s">
        <v>290</v>
      </c>
      <c r="FX2525" s="1" t="s">
        <v>238</v>
      </c>
      <c r="FZ2525" s="1" t="s">
        <v>229</v>
      </c>
      <c r="GA2525" s="1" t="s">
        <v>291</v>
      </c>
      <c r="GB2525" s="2">
        <v>42068.0</v>
      </c>
      <c r="GC2525" s="1" t="s">
        <v>22815</v>
      </c>
    </row>
    <row r="2526">
      <c r="A2526" s="1">
        <v>188000.0</v>
      </c>
      <c r="B2526" s="1" t="s">
        <v>185</v>
      </c>
      <c r="C2526" s="1" t="str">
        <f>"08819776"</f>
        <v>08819776</v>
      </c>
      <c r="D2526" s="1" t="s">
        <v>186</v>
      </c>
      <c r="F2526" s="1" t="str">
        <f>"545"</f>
        <v>545</v>
      </c>
      <c r="G2526" s="2">
        <v>42024.0</v>
      </c>
      <c r="H2526" s="1">
        <v>214120.0</v>
      </c>
      <c r="I2526" s="1">
        <v>18.0</v>
      </c>
      <c r="J2526" s="1">
        <v>214120.0</v>
      </c>
      <c r="K2526" s="2">
        <v>42041.0</v>
      </c>
      <c r="L2526" s="1">
        <v>18.0</v>
      </c>
      <c r="M2526" s="2">
        <v>42041.0</v>
      </c>
      <c r="N2526" s="1" t="s">
        <v>187</v>
      </c>
      <c r="O2526" s="2">
        <v>42097.0</v>
      </c>
      <c r="P2526" s="1">
        <v>215557.0</v>
      </c>
      <c r="Q2526" s="1">
        <v>21933.0</v>
      </c>
      <c r="S2526" s="1">
        <v>3208.0</v>
      </c>
      <c r="T2526" s="1" t="s">
        <v>22816</v>
      </c>
      <c r="U2526" s="1" t="s">
        <v>320</v>
      </c>
      <c r="V2526" s="1" t="s">
        <v>3364</v>
      </c>
      <c r="W2526" s="1">
        <v>60545.0</v>
      </c>
      <c r="Y2526" s="1" t="s">
        <v>22817</v>
      </c>
      <c r="Z2526" s="1">
        <v>2006.0</v>
      </c>
      <c r="AA2526" s="1" t="s">
        <v>200</v>
      </c>
      <c r="AB2526" s="1" t="s">
        <v>193</v>
      </c>
      <c r="AD2526" s="1" t="s">
        <v>3366</v>
      </c>
      <c r="AE2526" s="1" t="s">
        <v>849</v>
      </c>
      <c r="AF2526" s="1" t="s">
        <v>3367</v>
      </c>
      <c r="AH2526" s="1">
        <v>8932.0</v>
      </c>
      <c r="AI2526" s="1">
        <v>0.2051</v>
      </c>
      <c r="AK2526" s="1">
        <v>9.0</v>
      </c>
      <c r="AL2526" s="1">
        <v>4.0</v>
      </c>
      <c r="AM2526" s="1">
        <v>3.0</v>
      </c>
      <c r="AN2526" s="1">
        <v>0.0</v>
      </c>
      <c r="AO2526" s="1" t="s">
        <v>229</v>
      </c>
      <c r="AQ2526" s="1" t="s">
        <v>198</v>
      </c>
      <c r="AR2526" s="1" t="s">
        <v>200</v>
      </c>
      <c r="AS2526" s="1" t="s">
        <v>199</v>
      </c>
      <c r="AT2526" s="1">
        <v>3.0</v>
      </c>
      <c r="AV2526" s="1" t="s">
        <v>200</v>
      </c>
      <c r="AW2526" s="1">
        <v>7948.48</v>
      </c>
      <c r="AX2526" s="1">
        <v>2012.0</v>
      </c>
      <c r="AZ2526" s="1" t="s">
        <v>545</v>
      </c>
      <c r="BA2526" s="1" t="str">
        <f>"0125109002"</f>
        <v>0125109002</v>
      </c>
      <c r="BC2526" s="1">
        <v>4008.0</v>
      </c>
      <c r="BD2526" s="1">
        <v>188000.0</v>
      </c>
      <c r="BE2526" s="2">
        <v>42024.0</v>
      </c>
      <c r="BF2526" s="2" t="s">
        <v>3507</v>
      </c>
      <c r="BH2526" s="1">
        <v>0.0</v>
      </c>
      <c r="BK2526" s="1" t="s">
        <v>204</v>
      </c>
      <c r="BL2526" s="1" t="str">
        <f t="shared" ref="BL2526:BM2526" si="1648">""</f>
        <v/>
      </c>
      <c r="BM2526" s="1" t="str">
        <f t="shared" si="1648"/>
        <v/>
      </c>
      <c r="BN2526" s="1">
        <v>47.0</v>
      </c>
      <c r="BO2526" s="1">
        <v>14.0</v>
      </c>
      <c r="BQ2526" s="1">
        <v>88.0</v>
      </c>
      <c r="BR2526" s="1">
        <v>88.0</v>
      </c>
      <c r="BS2526" s="1">
        <v>88.0</v>
      </c>
      <c r="BU2526" s="1" t="s">
        <v>1299</v>
      </c>
      <c r="BV2526" s="1" t="s">
        <v>206</v>
      </c>
      <c r="BY2526" s="1" t="s">
        <v>1299</v>
      </c>
      <c r="BZ2526" s="1" t="s">
        <v>206</v>
      </c>
      <c r="CC2526" s="1" t="s">
        <v>269</v>
      </c>
      <c r="CD2526" s="1" t="s">
        <v>206</v>
      </c>
      <c r="CG2526" s="1" t="s">
        <v>433</v>
      </c>
      <c r="CH2526" s="1" t="s">
        <v>206</v>
      </c>
      <c r="CK2526" s="1" t="s">
        <v>363</v>
      </c>
      <c r="CL2526" s="1" t="s">
        <v>206</v>
      </c>
      <c r="CO2526" s="1" t="s">
        <v>264</v>
      </c>
      <c r="CP2526" s="1" t="s">
        <v>206</v>
      </c>
      <c r="CS2526" s="1" t="s">
        <v>663</v>
      </c>
      <c r="CT2526" s="1" t="s">
        <v>206</v>
      </c>
      <c r="CW2526" s="1" t="s">
        <v>1299</v>
      </c>
      <c r="CX2526" s="1" t="s">
        <v>206</v>
      </c>
      <c r="DA2526" s="1" t="s">
        <v>200</v>
      </c>
      <c r="DC2526" s="1" t="s">
        <v>481</v>
      </c>
      <c r="DE2526" s="1" t="s">
        <v>273</v>
      </c>
      <c r="DF2526" s="1" t="s">
        <v>219</v>
      </c>
      <c r="DH2526" s="1" t="s">
        <v>220</v>
      </c>
      <c r="DJ2526" s="1" t="s">
        <v>222</v>
      </c>
      <c r="DL2526" s="1" t="s">
        <v>223</v>
      </c>
      <c r="DM2526" s="1" t="s">
        <v>229</v>
      </c>
      <c r="DQ2526" s="1" t="s">
        <v>228</v>
      </c>
      <c r="DR2526" s="1" t="s">
        <v>229</v>
      </c>
      <c r="DV2526" s="1" t="s">
        <v>16397</v>
      </c>
      <c r="DW2526" s="1" t="s">
        <v>667</v>
      </c>
      <c r="DX2526" s="1" t="s">
        <v>234</v>
      </c>
      <c r="EC2526" s="1" t="s">
        <v>237</v>
      </c>
      <c r="EE2526" s="1" t="s">
        <v>1960</v>
      </c>
      <c r="EG2526" s="1" t="s">
        <v>556</v>
      </c>
      <c r="EH2526" s="1" t="s">
        <v>588</v>
      </c>
      <c r="EL2526" s="1" t="s">
        <v>269</v>
      </c>
      <c r="EM2526" s="1" t="s">
        <v>209</v>
      </c>
      <c r="EP2526" s="1" t="s">
        <v>269</v>
      </c>
      <c r="EQ2526" s="1" t="s">
        <v>206</v>
      </c>
      <c r="EU2526" s="1" t="s">
        <v>238</v>
      </c>
      <c r="EY2526" s="1" t="s">
        <v>238</v>
      </c>
      <c r="FC2526" s="1" t="s">
        <v>238</v>
      </c>
      <c r="FF2526" s="1" t="s">
        <v>239</v>
      </c>
      <c r="FG2526" s="1" t="s">
        <v>192</v>
      </c>
      <c r="FH2526" s="1" t="s">
        <v>192</v>
      </c>
      <c r="FJ2526" s="1" t="s">
        <v>347</v>
      </c>
      <c r="FK2526" s="1" t="s">
        <v>229</v>
      </c>
      <c r="FL2526" s="1" t="s">
        <v>3033</v>
      </c>
      <c r="FM2526" s="1">
        <v>1984.0</v>
      </c>
      <c r="FN2526" s="1" t="s">
        <v>3034</v>
      </c>
      <c r="FO2526" s="1" t="s">
        <v>3035</v>
      </c>
      <c r="FP2526" s="1">
        <v>922950.0</v>
      </c>
      <c r="FU2526" s="1" t="s">
        <v>3036</v>
      </c>
      <c r="FV2526" s="1" t="s">
        <v>200</v>
      </c>
      <c r="FW2526" s="1" t="s">
        <v>4959</v>
      </c>
      <c r="FZ2526" s="1" t="s">
        <v>229</v>
      </c>
      <c r="GA2526" s="1" t="s">
        <v>291</v>
      </c>
      <c r="GB2526" s="2">
        <v>42101.0</v>
      </c>
      <c r="GC2526" s="1" t="s">
        <v>7564</v>
      </c>
    </row>
    <row r="2527">
      <c r="A2527" s="1">
        <v>255000.0</v>
      </c>
      <c r="B2527" s="1" t="s">
        <v>185</v>
      </c>
      <c r="C2527" s="1" t="str">
        <f>"08826393"</f>
        <v>08826393</v>
      </c>
      <c r="D2527" s="1" t="s">
        <v>186</v>
      </c>
      <c r="F2527" s="1" t="str">
        <f>"151"</f>
        <v>151</v>
      </c>
      <c r="G2527" s="2">
        <v>42033.0</v>
      </c>
      <c r="H2527" s="1">
        <v>269900.0</v>
      </c>
      <c r="I2527" s="1">
        <v>25.0</v>
      </c>
      <c r="J2527" s="1">
        <v>269900.0</v>
      </c>
      <c r="K2527" s="2">
        <v>42057.0</v>
      </c>
      <c r="L2527" s="1">
        <v>25.0</v>
      </c>
      <c r="M2527" s="2">
        <v>42057.0</v>
      </c>
      <c r="N2527" s="1" t="s">
        <v>634</v>
      </c>
      <c r="O2527" s="2">
        <v>42105.0</v>
      </c>
      <c r="P2527" s="1">
        <v>921.0</v>
      </c>
      <c r="Q2527" s="1">
        <v>383.0</v>
      </c>
      <c r="S2527" s="1">
        <v>410.0</v>
      </c>
      <c r="T2527" s="1" t="s">
        <v>22818</v>
      </c>
      <c r="U2527" s="1" t="s">
        <v>320</v>
      </c>
      <c r="V2527" s="1" t="s">
        <v>8905</v>
      </c>
      <c r="W2527" s="1">
        <v>60151.0</v>
      </c>
      <c r="Y2527" s="1" t="s">
        <v>22819</v>
      </c>
      <c r="Z2527" s="1">
        <v>2007.0</v>
      </c>
      <c r="AA2527" s="1" t="s">
        <v>200</v>
      </c>
      <c r="AB2527" s="1" t="s">
        <v>193</v>
      </c>
      <c r="AD2527" s="1" t="s">
        <v>8908</v>
      </c>
      <c r="AE2527" s="1" t="s">
        <v>613</v>
      </c>
      <c r="AF2527" s="1" t="s">
        <v>4019</v>
      </c>
      <c r="AH2527" s="1" t="s">
        <v>22820</v>
      </c>
      <c r="AI2527" s="1">
        <v>0.24</v>
      </c>
      <c r="AK2527" s="1">
        <v>9.0</v>
      </c>
      <c r="AL2527" s="1">
        <v>4.0</v>
      </c>
      <c r="AM2527" s="1">
        <v>3.0</v>
      </c>
      <c r="AN2527" s="1">
        <v>0.0</v>
      </c>
      <c r="AO2527" s="1" t="s">
        <v>198</v>
      </c>
      <c r="AP2527" s="1">
        <v>1.0</v>
      </c>
      <c r="AQ2527" s="1" t="s">
        <v>198</v>
      </c>
      <c r="AR2527" s="1" t="s">
        <v>192</v>
      </c>
      <c r="AS2527" s="1" t="s">
        <v>199</v>
      </c>
      <c r="AT2527" s="1">
        <v>2.5</v>
      </c>
      <c r="AV2527" s="1" t="s">
        <v>200</v>
      </c>
      <c r="AW2527" s="1">
        <v>6261.46</v>
      </c>
      <c r="AX2527" s="1">
        <v>2013.0</v>
      </c>
      <c r="AZ2527" s="1" t="s">
        <v>200</v>
      </c>
      <c r="BA2527" s="1" t="str">
        <f>"0936203013"</f>
        <v>0936203013</v>
      </c>
      <c r="BB2527" s="1" t="s">
        <v>200</v>
      </c>
      <c r="BC2527" s="1">
        <v>1900.0</v>
      </c>
      <c r="BD2527" s="1">
        <v>255000.0</v>
      </c>
      <c r="BE2527" s="2">
        <v>42033.0</v>
      </c>
      <c r="BF2527" s="2" t="s">
        <v>22821</v>
      </c>
      <c r="BH2527" s="1">
        <v>0.0</v>
      </c>
      <c r="BK2527" s="1" t="s">
        <v>204</v>
      </c>
      <c r="BL2527" s="1" t="str">
        <f t="shared" ref="BL2527:BM2527" si="1649">""</f>
        <v/>
      </c>
      <c r="BM2527" s="1" t="str">
        <f t="shared" si="1649"/>
        <v/>
      </c>
      <c r="BQ2527" s="1">
        <v>302.0</v>
      </c>
      <c r="BR2527" s="1">
        <v>302.0</v>
      </c>
      <c r="BS2527" s="1">
        <v>302.0</v>
      </c>
      <c r="BU2527" s="1" t="s">
        <v>1158</v>
      </c>
      <c r="BV2527" s="1" t="s">
        <v>206</v>
      </c>
      <c r="BW2527" s="1" t="s">
        <v>210</v>
      </c>
      <c r="BX2527" s="1" t="s">
        <v>239</v>
      </c>
      <c r="BY2527" s="1" t="s">
        <v>214</v>
      </c>
      <c r="BZ2527" s="1" t="s">
        <v>206</v>
      </c>
      <c r="CA2527" s="1" t="s">
        <v>210</v>
      </c>
      <c r="CB2527" s="1" t="s">
        <v>239</v>
      </c>
      <c r="CC2527" s="1" t="s">
        <v>361</v>
      </c>
      <c r="CD2527" s="1" t="s">
        <v>206</v>
      </c>
      <c r="CE2527" s="1" t="s">
        <v>268</v>
      </c>
      <c r="CF2527" s="1" t="s">
        <v>239</v>
      </c>
      <c r="CG2527" s="1" t="s">
        <v>212</v>
      </c>
      <c r="CH2527" s="1" t="s">
        <v>206</v>
      </c>
      <c r="CI2527" s="1" t="s">
        <v>210</v>
      </c>
      <c r="CJ2527" s="1" t="s">
        <v>239</v>
      </c>
      <c r="CK2527" s="1" t="s">
        <v>212</v>
      </c>
      <c r="CL2527" s="1" t="s">
        <v>206</v>
      </c>
      <c r="CM2527" s="1" t="s">
        <v>210</v>
      </c>
      <c r="CN2527" s="1" t="s">
        <v>239</v>
      </c>
      <c r="CO2527" s="1" t="s">
        <v>212</v>
      </c>
      <c r="CP2527" s="1" t="s">
        <v>267</v>
      </c>
      <c r="CQ2527" s="1" t="s">
        <v>210</v>
      </c>
      <c r="CR2527" s="1" t="s">
        <v>239</v>
      </c>
      <c r="CS2527" s="1" t="s">
        <v>497</v>
      </c>
      <c r="CT2527" s="1" t="s">
        <v>206</v>
      </c>
      <c r="CU2527" s="1" t="s">
        <v>268</v>
      </c>
      <c r="CV2527" s="1" t="s">
        <v>239</v>
      </c>
      <c r="CX2527" s="1" t="s">
        <v>204</v>
      </c>
      <c r="DA2527" s="1" t="s">
        <v>200</v>
      </c>
      <c r="DC2527" s="1" t="s">
        <v>481</v>
      </c>
      <c r="DD2527" s="1" t="s">
        <v>306</v>
      </c>
      <c r="DE2527" s="1" t="s">
        <v>273</v>
      </c>
      <c r="DF2527" s="1" t="s">
        <v>219</v>
      </c>
      <c r="DH2527" s="1" t="s">
        <v>220</v>
      </c>
      <c r="DI2527" s="1" t="s">
        <v>519</v>
      </c>
      <c r="DJ2527" s="1" t="s">
        <v>222</v>
      </c>
      <c r="DL2527" s="1" t="s">
        <v>224</v>
      </c>
      <c r="DM2527" s="1" t="s">
        <v>338</v>
      </c>
      <c r="DQ2527" s="1" t="s">
        <v>228</v>
      </c>
      <c r="DR2527" s="1" t="s">
        <v>229</v>
      </c>
      <c r="DS2527" s="1" t="s">
        <v>368</v>
      </c>
      <c r="DU2527" s="1" t="s">
        <v>1024</v>
      </c>
      <c r="DV2527" s="1" t="s">
        <v>22822</v>
      </c>
      <c r="DW2527" s="1" t="s">
        <v>444</v>
      </c>
      <c r="DX2527" s="1" t="s">
        <v>234</v>
      </c>
      <c r="DY2527" s="1" t="s">
        <v>11314</v>
      </c>
      <c r="DZ2527" s="1" t="s">
        <v>22823</v>
      </c>
      <c r="EA2527" s="1" t="s">
        <v>683</v>
      </c>
      <c r="EB2527" s="1" t="s">
        <v>15551</v>
      </c>
      <c r="EC2527" s="1" t="s">
        <v>685</v>
      </c>
      <c r="ED2527" s="1" t="s">
        <v>407</v>
      </c>
      <c r="EE2527" s="1" t="s">
        <v>493</v>
      </c>
      <c r="EG2527" s="1" t="s">
        <v>494</v>
      </c>
      <c r="EH2527" s="1" t="s">
        <v>450</v>
      </c>
      <c r="EI2527" s="1" t="s">
        <v>408</v>
      </c>
      <c r="EJ2527" s="1" t="s">
        <v>2313</v>
      </c>
      <c r="EK2527" s="1" t="s">
        <v>2971</v>
      </c>
      <c r="EL2527" s="1" t="s">
        <v>212</v>
      </c>
      <c r="EM2527" s="1" t="s">
        <v>267</v>
      </c>
      <c r="EN2527" s="1" t="s">
        <v>210</v>
      </c>
      <c r="EP2527" s="1" t="s">
        <v>4353</v>
      </c>
      <c r="EQ2527" s="1" t="s">
        <v>267</v>
      </c>
      <c r="ER2527" s="1" t="s">
        <v>210</v>
      </c>
      <c r="ET2527" s="1" t="s">
        <v>560</v>
      </c>
      <c r="EU2527" s="1" t="s">
        <v>206</v>
      </c>
      <c r="EV2527" s="1" t="s">
        <v>268</v>
      </c>
      <c r="EX2527" s="1" t="s">
        <v>1746</v>
      </c>
      <c r="EY2527" s="1" t="s">
        <v>114</v>
      </c>
      <c r="EZ2527" s="1" t="s">
        <v>268</v>
      </c>
      <c r="FB2527" s="1" t="s">
        <v>393</v>
      </c>
      <c r="FC2527" s="1" t="s">
        <v>267</v>
      </c>
      <c r="FD2527" s="1" t="s">
        <v>617</v>
      </c>
      <c r="FE2527" s="1" t="s">
        <v>239</v>
      </c>
      <c r="FF2527" s="1" t="s">
        <v>239</v>
      </c>
      <c r="FG2527" s="1" t="s">
        <v>192</v>
      </c>
      <c r="FH2527" s="1" t="s">
        <v>192</v>
      </c>
      <c r="FJ2527" s="1" t="s">
        <v>524</v>
      </c>
      <c r="FK2527" s="1" t="s">
        <v>348</v>
      </c>
      <c r="FL2527" s="1" t="s">
        <v>1855</v>
      </c>
      <c r="FM2527" s="1">
        <v>41.0</v>
      </c>
      <c r="FN2527" s="1" t="s">
        <v>1856</v>
      </c>
      <c r="FO2527" s="1" t="s">
        <v>22824</v>
      </c>
      <c r="FP2527" s="1">
        <v>79.0</v>
      </c>
      <c r="FQ2527" s="1" t="s">
        <v>22825</v>
      </c>
      <c r="FS2527" s="1" t="s">
        <v>22826</v>
      </c>
      <c r="FU2527" s="1" t="s">
        <v>1882</v>
      </c>
      <c r="FV2527" s="1" t="s">
        <v>200</v>
      </c>
      <c r="FW2527" s="1" t="s">
        <v>290</v>
      </c>
      <c r="FZ2527" s="1" t="s">
        <v>229</v>
      </c>
      <c r="GA2527" s="1" t="s">
        <v>291</v>
      </c>
      <c r="GB2527" s="2">
        <v>42108.0</v>
      </c>
    </row>
    <row r="2528">
      <c r="A2528" s="1">
        <v>350000.0</v>
      </c>
      <c r="B2528" s="1" t="s">
        <v>185</v>
      </c>
      <c r="C2528" s="1" t="str">
        <f>"08827167"</f>
        <v>08827167</v>
      </c>
      <c r="D2528" s="1" t="s">
        <v>186</v>
      </c>
      <c r="F2528" s="1" t="str">
        <f>"174"</f>
        <v>174</v>
      </c>
      <c r="G2528" s="2">
        <v>42034.0</v>
      </c>
      <c r="H2528" s="1">
        <v>369900.0</v>
      </c>
      <c r="I2528" s="1">
        <v>47.0</v>
      </c>
      <c r="J2528" s="1">
        <v>359900.0</v>
      </c>
      <c r="K2528" s="2">
        <v>42080.0</v>
      </c>
      <c r="L2528" s="1">
        <v>47.0</v>
      </c>
      <c r="M2528" s="2">
        <v>42080.0</v>
      </c>
      <c r="N2528" s="1" t="s">
        <v>187</v>
      </c>
      <c r="O2528" s="2">
        <v>42150.0</v>
      </c>
      <c r="P2528" s="1">
        <v>879120.0</v>
      </c>
      <c r="Q2528" s="1">
        <v>18541.0</v>
      </c>
      <c r="S2528" s="1" t="s">
        <v>22827</v>
      </c>
      <c r="T2528" s="1" t="s">
        <v>22828</v>
      </c>
      <c r="U2528" s="1" t="s">
        <v>464</v>
      </c>
      <c r="V2528" s="1" t="s">
        <v>1200</v>
      </c>
      <c r="W2528" s="1">
        <v>60175.0</v>
      </c>
      <c r="Y2528" s="1" t="s">
        <v>22829</v>
      </c>
      <c r="Z2528" s="1">
        <v>1989.0</v>
      </c>
      <c r="AA2528" s="1" t="s">
        <v>200</v>
      </c>
      <c r="AB2528" s="1" t="s">
        <v>193</v>
      </c>
      <c r="AC2528" s="1" t="s">
        <v>22830</v>
      </c>
      <c r="AD2528" s="1" t="s">
        <v>1089</v>
      </c>
      <c r="AE2528" s="1" t="s">
        <v>325</v>
      </c>
      <c r="AF2528" s="1" t="s">
        <v>1203</v>
      </c>
      <c r="AH2528" s="1" t="s">
        <v>22831</v>
      </c>
      <c r="AI2528" s="1">
        <v>1.2825</v>
      </c>
      <c r="AK2528" s="1">
        <v>9.0</v>
      </c>
      <c r="AL2528" s="1">
        <v>4.0</v>
      </c>
      <c r="AM2528" s="1">
        <v>2.0</v>
      </c>
      <c r="AN2528" s="1">
        <v>1.0</v>
      </c>
      <c r="AO2528" s="1" t="s">
        <v>198</v>
      </c>
      <c r="AP2528" s="1">
        <v>2.0</v>
      </c>
      <c r="AQ2528" s="1" t="s">
        <v>472</v>
      </c>
      <c r="AR2528" s="1" t="s">
        <v>200</v>
      </c>
      <c r="AS2528" s="1" t="s">
        <v>199</v>
      </c>
      <c r="AT2528" s="1">
        <v>5.0</v>
      </c>
      <c r="AV2528" s="1" t="s">
        <v>200</v>
      </c>
      <c r="AW2528" s="1">
        <v>10014.38</v>
      </c>
      <c r="AX2528" s="1">
        <v>2013.0</v>
      </c>
      <c r="AY2528" s="1" t="s">
        <v>1179</v>
      </c>
      <c r="AZ2528" s="1" t="s">
        <v>200</v>
      </c>
      <c r="BA2528" s="1" t="str">
        <f>"0909127003"</f>
        <v>0909127003</v>
      </c>
      <c r="BB2528" s="1" t="s">
        <v>200</v>
      </c>
      <c r="BC2528" s="1">
        <v>3068.0</v>
      </c>
      <c r="BD2528" s="1">
        <v>350000.0</v>
      </c>
      <c r="BE2528" s="2">
        <v>42034.0</v>
      </c>
      <c r="BF2528" s="2" t="s">
        <v>22832</v>
      </c>
      <c r="BH2528" s="1">
        <v>0.0</v>
      </c>
      <c r="BK2528" s="1" t="s">
        <v>204</v>
      </c>
      <c r="BL2528" s="1" t="str">
        <f t="shared" ref="BL2528:BM2528" si="1650">""</f>
        <v/>
      </c>
      <c r="BM2528" s="1" t="str">
        <f t="shared" si="1650"/>
        <v/>
      </c>
      <c r="BQ2528" s="1">
        <v>303.0</v>
      </c>
      <c r="BR2528" s="1">
        <v>303.0</v>
      </c>
      <c r="BS2528" s="1">
        <v>303.0</v>
      </c>
      <c r="BU2528" s="1" t="s">
        <v>743</v>
      </c>
      <c r="BV2528" s="1" t="s">
        <v>206</v>
      </c>
      <c r="BW2528" s="1" t="s">
        <v>210</v>
      </c>
      <c r="BX2528" s="1" t="s">
        <v>239</v>
      </c>
      <c r="BY2528" s="1" t="s">
        <v>8668</v>
      </c>
      <c r="BZ2528" s="1" t="s">
        <v>391</v>
      </c>
      <c r="CA2528" s="1" t="s">
        <v>210</v>
      </c>
      <c r="CB2528" s="1" t="s">
        <v>239</v>
      </c>
      <c r="CC2528" s="1" t="s">
        <v>332</v>
      </c>
      <c r="CD2528" s="1" t="s">
        <v>206</v>
      </c>
      <c r="CE2528" s="1" t="s">
        <v>210</v>
      </c>
      <c r="CF2528" s="1" t="s">
        <v>239</v>
      </c>
      <c r="CG2528" s="1" t="s">
        <v>215</v>
      </c>
      <c r="CH2528" s="1" t="s">
        <v>391</v>
      </c>
      <c r="CI2528" s="1" t="s">
        <v>210</v>
      </c>
      <c r="CJ2528" s="1" t="s">
        <v>239</v>
      </c>
      <c r="CK2528" s="1" t="s">
        <v>205</v>
      </c>
      <c r="CL2528" s="1" t="s">
        <v>391</v>
      </c>
      <c r="CM2528" s="1" t="s">
        <v>210</v>
      </c>
      <c r="CN2528" s="1" t="s">
        <v>239</v>
      </c>
      <c r="CO2528" s="1" t="s">
        <v>363</v>
      </c>
      <c r="CP2528" s="1" t="s">
        <v>391</v>
      </c>
      <c r="CQ2528" s="1" t="s">
        <v>210</v>
      </c>
      <c r="CR2528" s="1" t="s">
        <v>239</v>
      </c>
      <c r="CS2528" s="1" t="s">
        <v>676</v>
      </c>
      <c r="CT2528" s="1" t="s">
        <v>206</v>
      </c>
      <c r="CU2528" s="1" t="s">
        <v>301</v>
      </c>
      <c r="CW2528" s="1" t="s">
        <v>1279</v>
      </c>
      <c r="CX2528" s="1" t="s">
        <v>209</v>
      </c>
      <c r="CY2528" s="1" t="s">
        <v>210</v>
      </c>
      <c r="CZ2528" s="1" t="s">
        <v>239</v>
      </c>
      <c r="DA2528" s="1" t="s">
        <v>200</v>
      </c>
      <c r="DC2528" s="1" t="s">
        <v>305</v>
      </c>
      <c r="DD2528" s="1" t="s">
        <v>396</v>
      </c>
      <c r="DE2528" s="1" t="s">
        <v>273</v>
      </c>
      <c r="DF2528" s="1" t="s">
        <v>219</v>
      </c>
      <c r="DG2528" s="1" t="s">
        <v>1553</v>
      </c>
      <c r="DH2528" s="1" t="s">
        <v>856</v>
      </c>
      <c r="DI2528" s="1" t="s">
        <v>308</v>
      </c>
      <c r="DJ2528" s="1" t="s">
        <v>857</v>
      </c>
      <c r="DL2528" s="1" t="s">
        <v>9826</v>
      </c>
      <c r="DM2528" s="1" t="s">
        <v>338</v>
      </c>
      <c r="DN2528" s="1" t="s">
        <v>1486</v>
      </c>
      <c r="DO2528" s="1" t="s">
        <v>486</v>
      </c>
      <c r="DP2528" s="1" t="s">
        <v>340</v>
      </c>
      <c r="DQ2528" s="1" t="s">
        <v>931</v>
      </c>
      <c r="DR2528" s="1" t="s">
        <v>229</v>
      </c>
      <c r="DS2528" s="1" t="s">
        <v>230</v>
      </c>
      <c r="DU2528" s="1" t="s">
        <v>22833</v>
      </c>
      <c r="DV2528" s="1" t="s">
        <v>22834</v>
      </c>
      <c r="DW2528" s="1" t="s">
        <v>8300</v>
      </c>
      <c r="DX2528" s="1" t="s">
        <v>234</v>
      </c>
      <c r="DY2528" s="1" t="s">
        <v>2961</v>
      </c>
      <c r="DZ2528" s="1" t="s">
        <v>405</v>
      </c>
      <c r="EA2528" s="1" t="s">
        <v>5604</v>
      </c>
      <c r="EB2528" s="1" t="s">
        <v>937</v>
      </c>
      <c r="EC2528" s="1" t="s">
        <v>4613</v>
      </c>
      <c r="ED2528" s="1" t="s">
        <v>407</v>
      </c>
      <c r="EE2528" s="1" t="s">
        <v>522</v>
      </c>
      <c r="EG2528" s="1" t="s">
        <v>1102</v>
      </c>
      <c r="EH2528" s="1" t="s">
        <v>450</v>
      </c>
      <c r="EI2528" s="1" t="s">
        <v>408</v>
      </c>
      <c r="EL2528" s="1" t="s">
        <v>361</v>
      </c>
      <c r="EM2528" s="1" t="s">
        <v>206</v>
      </c>
      <c r="EN2528" s="1" t="s">
        <v>210</v>
      </c>
      <c r="EP2528" s="1" t="s">
        <v>854</v>
      </c>
      <c r="EQ2528" s="1" t="s">
        <v>267</v>
      </c>
      <c r="ER2528" s="1" t="s">
        <v>588</v>
      </c>
      <c r="ET2528" s="1" t="s">
        <v>623</v>
      </c>
      <c r="EU2528" s="1" t="s">
        <v>206</v>
      </c>
      <c r="EV2528" s="1" t="s">
        <v>268</v>
      </c>
      <c r="EY2528" s="1" t="s">
        <v>238</v>
      </c>
      <c r="FC2528" s="1" t="s">
        <v>238</v>
      </c>
      <c r="FF2528" s="1" t="s">
        <v>239</v>
      </c>
      <c r="FG2528" s="1" t="s">
        <v>192</v>
      </c>
      <c r="FH2528" s="1" t="s">
        <v>192</v>
      </c>
      <c r="FJ2528" s="1" t="s">
        <v>624</v>
      </c>
      <c r="FK2528" s="1" t="s">
        <v>229</v>
      </c>
      <c r="FL2528" s="1" t="s">
        <v>456</v>
      </c>
      <c r="FM2528" s="1">
        <v>49.0</v>
      </c>
      <c r="FN2528" s="1" t="s">
        <v>457</v>
      </c>
      <c r="FO2528" s="1" t="s">
        <v>17650</v>
      </c>
      <c r="FP2528" s="1">
        <v>1038.0</v>
      </c>
      <c r="FQ2528" s="1" t="s">
        <v>17651</v>
      </c>
      <c r="FS2528" s="1" t="s">
        <v>22835</v>
      </c>
      <c r="FU2528" s="1" t="s">
        <v>13396</v>
      </c>
      <c r="FV2528" s="1" t="s">
        <v>200</v>
      </c>
      <c r="FW2528" s="1" t="s">
        <v>22836</v>
      </c>
      <c r="FZ2528" s="1" t="s">
        <v>229</v>
      </c>
      <c r="GA2528" s="1" t="s">
        <v>291</v>
      </c>
      <c r="GB2528" s="2">
        <v>42150.0</v>
      </c>
      <c r="GC2528" s="1" t="s">
        <v>22837</v>
      </c>
    </row>
    <row r="2529">
      <c r="A2529" s="1">
        <v>185000.0</v>
      </c>
      <c r="B2529" s="1" t="s">
        <v>185</v>
      </c>
      <c r="C2529" s="1" t="str">
        <f>"08823510"</f>
        <v>08823510</v>
      </c>
      <c r="D2529" s="1" t="s">
        <v>186</v>
      </c>
      <c r="F2529" s="1" t="str">
        <f>"538"</f>
        <v>538</v>
      </c>
      <c r="G2529" s="2">
        <v>42028.0</v>
      </c>
      <c r="H2529" s="1">
        <v>204750.0</v>
      </c>
      <c r="I2529" s="1">
        <v>34.0</v>
      </c>
      <c r="J2529" s="1">
        <v>189900.0</v>
      </c>
      <c r="K2529" s="2">
        <v>42060.0</v>
      </c>
      <c r="L2529" s="1">
        <v>34.0</v>
      </c>
      <c r="M2529" s="2">
        <v>42060.0</v>
      </c>
      <c r="N2529" s="1" t="s">
        <v>356</v>
      </c>
      <c r="O2529" s="2">
        <v>42108.0</v>
      </c>
      <c r="P2529" s="1">
        <v>231462.0</v>
      </c>
      <c r="Q2529" s="1">
        <v>23790.0</v>
      </c>
      <c r="R2529" s="1">
        <v>2200.0</v>
      </c>
      <c r="S2529" s="1">
        <v>2650.0</v>
      </c>
      <c r="T2529" s="1" t="s">
        <v>7460</v>
      </c>
      <c r="U2529" s="1" t="s">
        <v>1015</v>
      </c>
      <c r="V2529" s="1" t="s">
        <v>1340</v>
      </c>
      <c r="W2529" s="1">
        <v>60538.0</v>
      </c>
      <c r="Y2529" s="1" t="s">
        <v>22838</v>
      </c>
      <c r="Z2529" s="1">
        <v>2006.0</v>
      </c>
      <c r="AA2529" s="1" t="s">
        <v>200</v>
      </c>
      <c r="AB2529" s="1" t="s">
        <v>467</v>
      </c>
      <c r="AC2529" s="1" t="s">
        <v>11033</v>
      </c>
      <c r="AD2529" s="1" t="s">
        <v>1343</v>
      </c>
      <c r="AE2529" s="1" t="s">
        <v>849</v>
      </c>
      <c r="AF2529" s="1" t="s">
        <v>1312</v>
      </c>
      <c r="AH2529" s="1" t="s">
        <v>2985</v>
      </c>
      <c r="AI2529" s="1">
        <v>0.1194</v>
      </c>
      <c r="AK2529" s="1">
        <v>9.0</v>
      </c>
      <c r="AL2529" s="1">
        <v>4.0</v>
      </c>
      <c r="AM2529" s="1">
        <v>2.0</v>
      </c>
      <c r="AN2529" s="1">
        <v>1.0</v>
      </c>
      <c r="AO2529" s="1" t="s">
        <v>198</v>
      </c>
      <c r="AQ2529" s="1" t="s">
        <v>198</v>
      </c>
      <c r="AR2529" s="1" t="s">
        <v>200</v>
      </c>
      <c r="AS2529" s="1" t="s">
        <v>199</v>
      </c>
      <c r="AT2529" s="1">
        <v>2.0</v>
      </c>
      <c r="AV2529" s="1" t="s">
        <v>192</v>
      </c>
      <c r="AW2529" s="1">
        <v>6452.52</v>
      </c>
      <c r="AX2529" s="1">
        <v>2013.0</v>
      </c>
      <c r="AZ2529" s="1" t="s">
        <v>200</v>
      </c>
      <c r="BA2529" s="1" t="str">
        <f>"0210131020"</f>
        <v>0210131020</v>
      </c>
      <c r="BC2529" s="1">
        <v>2068.0</v>
      </c>
      <c r="BD2529" s="1">
        <v>185000.0</v>
      </c>
      <c r="BE2529" s="2">
        <v>42027.0</v>
      </c>
      <c r="BF2529" s="2" t="s">
        <v>22839</v>
      </c>
      <c r="BH2529" s="1">
        <v>150.0</v>
      </c>
      <c r="BK2529" s="1" t="s">
        <v>580</v>
      </c>
      <c r="BL2529" s="1" t="str">
        <f t="shared" ref="BL2529:BM2529" si="1651">""</f>
        <v/>
      </c>
      <c r="BM2529" s="1" t="str">
        <f t="shared" si="1651"/>
        <v/>
      </c>
      <c r="BQ2529" s="1">
        <v>115.0</v>
      </c>
      <c r="BR2529" s="1">
        <v>115.0</v>
      </c>
      <c r="BS2529" s="1">
        <v>115.0</v>
      </c>
      <c r="BU2529" s="1" t="s">
        <v>331</v>
      </c>
      <c r="BV2529" s="1" t="s">
        <v>206</v>
      </c>
      <c r="BW2529" s="1" t="s">
        <v>210</v>
      </c>
      <c r="BY2529" s="1" t="s">
        <v>925</v>
      </c>
      <c r="BZ2529" s="1" t="s">
        <v>209</v>
      </c>
      <c r="CA2529" s="1" t="s">
        <v>210</v>
      </c>
      <c r="CC2529" s="1" t="s">
        <v>495</v>
      </c>
      <c r="CD2529" s="1" t="s">
        <v>206</v>
      </c>
      <c r="CE2529" s="1" t="s">
        <v>210</v>
      </c>
      <c r="CG2529" s="1" t="s">
        <v>495</v>
      </c>
      <c r="CH2529" s="1" t="s">
        <v>209</v>
      </c>
      <c r="CI2529" s="1" t="s">
        <v>210</v>
      </c>
      <c r="CK2529" s="1" t="s">
        <v>495</v>
      </c>
      <c r="CL2529" s="1" t="s">
        <v>209</v>
      </c>
      <c r="CM2529" s="1" t="s">
        <v>210</v>
      </c>
      <c r="CO2529" s="1" t="s">
        <v>269</v>
      </c>
      <c r="CP2529" s="1" t="s">
        <v>209</v>
      </c>
      <c r="CQ2529" s="1" t="s">
        <v>210</v>
      </c>
      <c r="CS2529" s="1" t="s">
        <v>262</v>
      </c>
      <c r="CT2529" s="1" t="s">
        <v>206</v>
      </c>
      <c r="CU2529" s="1" t="s">
        <v>617</v>
      </c>
      <c r="CW2529" s="1" t="s">
        <v>743</v>
      </c>
      <c r="CX2529" s="1" t="s">
        <v>206</v>
      </c>
      <c r="CY2529" s="1" t="s">
        <v>210</v>
      </c>
      <c r="DA2529" s="1" t="s">
        <v>200</v>
      </c>
      <c r="DC2529" s="1" t="s">
        <v>481</v>
      </c>
      <c r="DE2529" s="1" t="s">
        <v>273</v>
      </c>
      <c r="DF2529" s="1" t="s">
        <v>219</v>
      </c>
      <c r="DG2529" s="1" t="s">
        <v>2237</v>
      </c>
      <c r="DH2529" s="1" t="s">
        <v>220</v>
      </c>
      <c r="DJ2529" s="1" t="s">
        <v>222</v>
      </c>
      <c r="DL2529" s="1" t="s">
        <v>223</v>
      </c>
      <c r="DM2529" s="1" t="s">
        <v>338</v>
      </c>
      <c r="DN2529" s="1" t="s">
        <v>339</v>
      </c>
      <c r="DO2529" s="1" t="s">
        <v>6843</v>
      </c>
      <c r="DP2529" s="1" t="s">
        <v>340</v>
      </c>
      <c r="DQ2529" s="1" t="s">
        <v>228</v>
      </c>
      <c r="DR2529" s="1" t="s">
        <v>1487</v>
      </c>
      <c r="DS2529" s="1" t="s">
        <v>230</v>
      </c>
      <c r="DV2529" s="1" t="s">
        <v>1729</v>
      </c>
      <c r="DW2529" s="1" t="s">
        <v>233</v>
      </c>
      <c r="DX2529" s="1" t="s">
        <v>234</v>
      </c>
      <c r="DY2529" s="1" t="s">
        <v>1189</v>
      </c>
      <c r="EC2529" s="1" t="s">
        <v>237</v>
      </c>
      <c r="EE2529" s="1" t="s">
        <v>493</v>
      </c>
      <c r="EG2529" s="1" t="s">
        <v>1729</v>
      </c>
      <c r="EL2529" s="1" t="s">
        <v>332</v>
      </c>
      <c r="EM2529" s="1" t="s">
        <v>206</v>
      </c>
      <c r="EN2529" s="1" t="s">
        <v>617</v>
      </c>
      <c r="EQ2529" s="1" t="s">
        <v>238</v>
      </c>
      <c r="EU2529" s="1" t="s">
        <v>238</v>
      </c>
      <c r="EY2529" s="1" t="s">
        <v>238</v>
      </c>
      <c r="FC2529" s="1" t="s">
        <v>238</v>
      </c>
      <c r="FF2529" s="1" t="s">
        <v>239</v>
      </c>
      <c r="FG2529" s="1" t="s">
        <v>192</v>
      </c>
      <c r="FH2529" s="1" t="s">
        <v>192</v>
      </c>
      <c r="FJ2529" s="1" t="s">
        <v>1248</v>
      </c>
      <c r="FK2529" s="1" t="s">
        <v>229</v>
      </c>
      <c r="FL2529" s="1" t="s">
        <v>1007</v>
      </c>
      <c r="FM2529" s="1">
        <v>22588.0</v>
      </c>
      <c r="FN2529" s="1" t="s">
        <v>1321</v>
      </c>
      <c r="FO2529" s="1" t="s">
        <v>3635</v>
      </c>
      <c r="FP2529" s="1">
        <v>222152.0</v>
      </c>
      <c r="FQ2529" s="1" t="s">
        <v>3636</v>
      </c>
      <c r="FR2529" s="1">
        <v>226878.0</v>
      </c>
      <c r="FS2529" s="1" t="s">
        <v>3637</v>
      </c>
      <c r="FU2529" s="1" t="s">
        <v>1292</v>
      </c>
      <c r="FV2529" s="1" t="s">
        <v>200</v>
      </c>
      <c r="FW2529" s="1" t="s">
        <v>354</v>
      </c>
      <c r="FZ2529" s="1" t="s">
        <v>229</v>
      </c>
      <c r="GA2529" s="1" t="s">
        <v>291</v>
      </c>
      <c r="GB2529" s="2">
        <v>42108.0</v>
      </c>
      <c r="GC2529" s="1" t="s">
        <v>22840</v>
      </c>
    </row>
    <row r="2530">
      <c r="A2530" s="1">
        <v>488000.0</v>
      </c>
      <c r="B2530" s="1" t="s">
        <v>185</v>
      </c>
      <c r="C2530" s="1" t="str">
        <f>"08823220"</f>
        <v>08823220</v>
      </c>
      <c r="D2530" s="1" t="s">
        <v>186</v>
      </c>
      <c r="F2530" s="1" t="str">
        <f>"8021"</f>
        <v>8021</v>
      </c>
      <c r="G2530" s="2">
        <v>42027.0</v>
      </c>
      <c r="H2530" s="1">
        <v>489900.0</v>
      </c>
      <c r="I2530" s="1">
        <v>110.0</v>
      </c>
      <c r="J2530" s="1">
        <v>489900.0</v>
      </c>
      <c r="K2530" s="2">
        <v>42043.0</v>
      </c>
      <c r="L2530" s="1">
        <v>17.0</v>
      </c>
      <c r="M2530" s="2">
        <v>42043.0</v>
      </c>
      <c r="N2530" s="1" t="s">
        <v>187</v>
      </c>
      <c r="O2530" s="2">
        <v>42086.0</v>
      </c>
      <c r="P2530" s="1">
        <v>844044.0</v>
      </c>
      <c r="Q2530" s="1">
        <v>85958.0</v>
      </c>
      <c r="S2530" s="1">
        <v>3046.0</v>
      </c>
      <c r="T2530" s="1" t="s">
        <v>2983</v>
      </c>
      <c r="U2530" s="1" t="s">
        <v>189</v>
      </c>
      <c r="V2530" s="1" t="s">
        <v>190</v>
      </c>
      <c r="W2530" s="1">
        <v>60618.0</v>
      </c>
      <c r="Y2530" s="1" t="s">
        <v>22841</v>
      </c>
      <c r="Z2530" s="1">
        <v>1886.0</v>
      </c>
      <c r="AA2530" s="1" t="s">
        <v>192</v>
      </c>
      <c r="AB2530" s="1" t="s">
        <v>193</v>
      </c>
      <c r="AD2530" s="1" t="s">
        <v>194</v>
      </c>
      <c r="AE2530" s="1" t="s">
        <v>195</v>
      </c>
      <c r="AF2530" s="1" t="s">
        <v>659</v>
      </c>
      <c r="AH2530" s="1" t="s">
        <v>22842</v>
      </c>
      <c r="AI2530" s="1">
        <v>0.0706</v>
      </c>
      <c r="AK2530" s="1">
        <v>9.0</v>
      </c>
      <c r="AL2530" s="1">
        <v>4.0</v>
      </c>
      <c r="AM2530" s="1">
        <v>3.0</v>
      </c>
      <c r="AN2530" s="1">
        <v>1.0</v>
      </c>
      <c r="AO2530" s="1" t="s">
        <v>198</v>
      </c>
      <c r="AP2530" s="1">
        <v>1.0</v>
      </c>
      <c r="AQ2530" s="1" t="s">
        <v>257</v>
      </c>
      <c r="AR2530" s="1" t="s">
        <v>192</v>
      </c>
      <c r="AS2530" s="1" t="s">
        <v>199</v>
      </c>
      <c r="AT2530" s="1">
        <v>2.0</v>
      </c>
      <c r="AV2530" s="1" t="s">
        <v>200</v>
      </c>
      <c r="AW2530" s="1">
        <v>1098.0</v>
      </c>
      <c r="AX2530" s="1">
        <v>2013.0</v>
      </c>
      <c r="AZ2530" s="1" t="s">
        <v>200</v>
      </c>
      <c r="BA2530" s="1" t="str">
        <f>"13262130240000"</f>
        <v>13262130240000</v>
      </c>
      <c r="BC2530" s="1">
        <v>3000.0</v>
      </c>
      <c r="BD2530" s="1">
        <v>488000.0</v>
      </c>
      <c r="BE2530" s="2">
        <v>42027.0</v>
      </c>
      <c r="BF2530" s="2" t="s">
        <v>22843</v>
      </c>
      <c r="BH2530" s="1">
        <v>0.0</v>
      </c>
      <c r="BK2530" s="1" t="s">
        <v>204</v>
      </c>
      <c r="BL2530" s="1" t="str">
        <f>"3046"</f>
        <v>3046</v>
      </c>
      <c r="BM2530" s="1" t="str">
        <f>"0"</f>
        <v>0</v>
      </c>
      <c r="BN2530" s="1">
        <v>3200.0</v>
      </c>
      <c r="BO2530" s="1">
        <v>0.0</v>
      </c>
      <c r="BQ2530" s="1">
        <v>299.0</v>
      </c>
      <c r="BR2530" s="1">
        <v>299.0</v>
      </c>
      <c r="BS2530" s="1">
        <v>299.0</v>
      </c>
      <c r="BU2530" s="1" t="s">
        <v>6797</v>
      </c>
      <c r="BV2530" s="1" t="s">
        <v>206</v>
      </c>
      <c r="BY2530" s="1" t="s">
        <v>544</v>
      </c>
      <c r="BZ2530" s="1" t="s">
        <v>209</v>
      </c>
      <c r="CC2530" s="1" t="s">
        <v>6797</v>
      </c>
      <c r="CD2530" s="1" t="s">
        <v>206</v>
      </c>
      <c r="CG2530" s="1" t="s">
        <v>454</v>
      </c>
      <c r="CH2530" s="1" t="s">
        <v>209</v>
      </c>
      <c r="CK2530" s="1" t="s">
        <v>543</v>
      </c>
      <c r="CL2530" s="1" t="s">
        <v>209</v>
      </c>
      <c r="CO2530" s="1" t="s">
        <v>302</v>
      </c>
      <c r="CP2530" s="1" t="s">
        <v>267</v>
      </c>
      <c r="CS2530" s="1" t="s">
        <v>700</v>
      </c>
      <c r="CT2530" s="1" t="s">
        <v>206</v>
      </c>
      <c r="CW2530" s="1" t="s">
        <v>3202</v>
      </c>
      <c r="CX2530" s="1" t="s">
        <v>267</v>
      </c>
      <c r="DA2530" s="1" t="s">
        <v>200</v>
      </c>
      <c r="DC2530" s="1" t="s">
        <v>642</v>
      </c>
      <c r="DE2530" s="1" t="s">
        <v>273</v>
      </c>
      <c r="DF2530" s="1" t="s">
        <v>12317</v>
      </c>
      <c r="DH2530" s="1" t="s">
        <v>365</v>
      </c>
      <c r="DJ2530" s="1" t="s">
        <v>222</v>
      </c>
      <c r="DL2530" s="1" t="s">
        <v>224</v>
      </c>
      <c r="DM2530" s="1" t="s">
        <v>792</v>
      </c>
      <c r="DN2530" s="1" t="s">
        <v>399</v>
      </c>
      <c r="DQ2530" s="1" t="s">
        <v>228</v>
      </c>
      <c r="DR2530" s="1" t="s">
        <v>229</v>
      </c>
      <c r="DS2530" s="1" t="s">
        <v>591</v>
      </c>
      <c r="DU2530" s="1" t="s">
        <v>3021</v>
      </c>
      <c r="DV2530" s="1" t="s">
        <v>22844</v>
      </c>
      <c r="DW2530" s="1" t="s">
        <v>588</v>
      </c>
      <c r="DX2530" s="1" t="s">
        <v>234</v>
      </c>
      <c r="DY2530" s="1" t="s">
        <v>935</v>
      </c>
      <c r="DZ2530" s="1" t="s">
        <v>236</v>
      </c>
      <c r="EA2530" s="1" t="s">
        <v>1027</v>
      </c>
      <c r="EB2530" s="1" t="s">
        <v>684</v>
      </c>
      <c r="EC2530" s="1" t="s">
        <v>237</v>
      </c>
      <c r="ED2530" s="1" t="s">
        <v>407</v>
      </c>
      <c r="EG2530" s="1" t="s">
        <v>720</v>
      </c>
      <c r="EH2530" s="1" t="s">
        <v>1103</v>
      </c>
      <c r="EI2530" s="1" t="s">
        <v>408</v>
      </c>
      <c r="EJ2530" s="1" t="s">
        <v>1121</v>
      </c>
      <c r="EL2530" s="1" t="s">
        <v>558</v>
      </c>
      <c r="EM2530" s="1" t="s">
        <v>206</v>
      </c>
      <c r="EP2530" s="1" t="s">
        <v>1796</v>
      </c>
      <c r="EQ2530" s="1" t="s">
        <v>42</v>
      </c>
      <c r="ET2530" s="1" t="s">
        <v>3298</v>
      </c>
      <c r="EU2530" s="1" t="s">
        <v>206</v>
      </c>
      <c r="EX2530" s="1" t="s">
        <v>1688</v>
      </c>
      <c r="EY2530" s="1" t="s">
        <v>209</v>
      </c>
      <c r="FC2530" s="1" t="s">
        <v>238</v>
      </c>
      <c r="FF2530" s="1" t="s">
        <v>239</v>
      </c>
      <c r="FG2530" s="1" t="s">
        <v>192</v>
      </c>
      <c r="FH2530" s="1" t="s">
        <v>192</v>
      </c>
      <c r="FJ2530" s="1" t="s">
        <v>3184</v>
      </c>
      <c r="FK2530" s="1" t="s">
        <v>229</v>
      </c>
      <c r="FL2530" s="1" t="s">
        <v>3185</v>
      </c>
      <c r="FM2530" s="1">
        <v>16240.0</v>
      </c>
      <c r="FN2530" s="1" t="s">
        <v>3186</v>
      </c>
      <c r="FO2530" s="1" t="s">
        <v>3187</v>
      </c>
      <c r="FP2530" s="1">
        <v>157154.0</v>
      </c>
      <c r="FQ2530" s="1" t="s">
        <v>3188</v>
      </c>
      <c r="FU2530" s="1" t="s">
        <v>22845</v>
      </c>
      <c r="FV2530" s="1" t="s">
        <v>200</v>
      </c>
      <c r="FW2530" s="1" t="s">
        <v>22846</v>
      </c>
      <c r="FX2530" s="1" t="s">
        <v>238</v>
      </c>
      <c r="FZ2530" s="1" t="s">
        <v>229</v>
      </c>
      <c r="GA2530" s="1" t="s">
        <v>291</v>
      </c>
      <c r="GB2530" s="2">
        <v>42086.0</v>
      </c>
      <c r="GC2530" s="1" t="s">
        <v>22847</v>
      </c>
    </row>
    <row r="2531">
      <c r="A2531" s="1">
        <v>27000.0</v>
      </c>
      <c r="B2531" s="1" t="s">
        <v>185</v>
      </c>
      <c r="C2531" s="1" t="str">
        <f>"08821397"</f>
        <v>08821397</v>
      </c>
      <c r="D2531" s="1" t="s">
        <v>186</v>
      </c>
      <c r="F2531" s="1" t="str">
        <f>"8061"</f>
        <v>8061</v>
      </c>
      <c r="G2531" s="2">
        <v>42025.0</v>
      </c>
      <c r="H2531" s="1">
        <v>31900.0</v>
      </c>
      <c r="I2531" s="1">
        <v>45.0</v>
      </c>
      <c r="J2531" s="1">
        <v>24900.0</v>
      </c>
      <c r="K2531" s="2">
        <v>42068.0</v>
      </c>
      <c r="L2531" s="1">
        <v>45.0</v>
      </c>
      <c r="M2531" s="2">
        <v>42068.0</v>
      </c>
      <c r="N2531" s="1" t="s">
        <v>249</v>
      </c>
      <c r="O2531" s="2">
        <v>42082.0</v>
      </c>
      <c r="P2531" s="1">
        <v>106515.0</v>
      </c>
      <c r="Q2531" s="1">
        <v>85486.0</v>
      </c>
      <c r="S2531" s="1">
        <v>5253.0</v>
      </c>
      <c r="T2531" s="1" t="s">
        <v>6780</v>
      </c>
      <c r="U2531" s="1" t="s">
        <v>189</v>
      </c>
      <c r="V2531" s="1" t="s">
        <v>190</v>
      </c>
      <c r="W2531" s="1">
        <v>60609.0</v>
      </c>
      <c r="Y2531" s="1" t="s">
        <v>22848</v>
      </c>
      <c r="Z2531" s="1">
        <v>1902.0</v>
      </c>
      <c r="AA2531" s="1" t="s">
        <v>192</v>
      </c>
      <c r="AB2531" s="1" t="s">
        <v>193</v>
      </c>
      <c r="AD2531" s="1" t="s">
        <v>194</v>
      </c>
      <c r="AE2531" s="1" t="s">
        <v>195</v>
      </c>
      <c r="AF2531" s="1" t="s">
        <v>659</v>
      </c>
      <c r="AH2531" s="1" t="s">
        <v>4868</v>
      </c>
      <c r="AK2531" s="1">
        <v>9.0</v>
      </c>
      <c r="AL2531" s="1">
        <v>4.0</v>
      </c>
      <c r="AM2531" s="1">
        <v>2.0</v>
      </c>
      <c r="AN2531" s="1">
        <v>0.0</v>
      </c>
      <c r="AO2531" s="1" t="s">
        <v>229</v>
      </c>
      <c r="AQ2531" s="1" t="s">
        <v>198</v>
      </c>
      <c r="AR2531" s="1" t="s">
        <v>200</v>
      </c>
      <c r="AS2531" s="1" t="s">
        <v>828</v>
      </c>
      <c r="AU2531" s="1">
        <v>2.0</v>
      </c>
      <c r="AV2531" s="1" t="s">
        <v>200</v>
      </c>
      <c r="AW2531" s="1">
        <v>1117.0</v>
      </c>
      <c r="AX2531" s="1">
        <v>2012.0</v>
      </c>
      <c r="AZ2531" s="1" t="s">
        <v>545</v>
      </c>
      <c r="BA2531" s="1" t="str">
        <f>"20074100200000"</f>
        <v>20074100200000</v>
      </c>
      <c r="BB2531" s="1" t="s">
        <v>200</v>
      </c>
      <c r="BC2531" s="1">
        <v>0.0</v>
      </c>
      <c r="BD2531" s="1">
        <v>27000.0</v>
      </c>
      <c r="BE2531" s="2">
        <v>42024.0</v>
      </c>
      <c r="BF2531" s="2" t="s">
        <v>22849</v>
      </c>
      <c r="BH2531" s="1">
        <v>0.0</v>
      </c>
      <c r="BK2531" s="1" t="s">
        <v>204</v>
      </c>
      <c r="BL2531" s="1" t="str">
        <f t="shared" ref="BL2531:BM2531" si="1652">"0"</f>
        <v>0</v>
      </c>
      <c r="BM2531" s="1" t="str">
        <f t="shared" si="1652"/>
        <v>0</v>
      </c>
      <c r="BN2531" s="1">
        <v>1800.0</v>
      </c>
      <c r="BO2531" s="1">
        <v>5253.0</v>
      </c>
      <c r="BQ2531" s="1">
        <v>299.0</v>
      </c>
      <c r="BR2531" s="1">
        <v>299.0</v>
      </c>
      <c r="BS2531" s="1">
        <v>299.0</v>
      </c>
      <c r="BU2531" s="1" t="s">
        <v>543</v>
      </c>
      <c r="BV2531" s="1" t="s">
        <v>206</v>
      </c>
      <c r="BW2531" s="1" t="s">
        <v>207</v>
      </c>
      <c r="BY2531" s="1" t="s">
        <v>4180</v>
      </c>
      <c r="BZ2531" s="1" t="s">
        <v>209</v>
      </c>
      <c r="CA2531" s="1" t="s">
        <v>301</v>
      </c>
      <c r="CC2531" s="1" t="s">
        <v>331</v>
      </c>
      <c r="CD2531" s="1" t="s">
        <v>206</v>
      </c>
      <c r="CE2531" s="1" t="s">
        <v>207</v>
      </c>
      <c r="CG2531" s="1" t="s">
        <v>1939</v>
      </c>
      <c r="CH2531" s="1" t="s">
        <v>206</v>
      </c>
      <c r="CI2531" s="1" t="s">
        <v>207</v>
      </c>
      <c r="CK2531" s="1" t="s">
        <v>375</v>
      </c>
      <c r="CL2531" s="1" t="s">
        <v>206</v>
      </c>
      <c r="CM2531" s="1" t="s">
        <v>207</v>
      </c>
      <c r="CO2531" s="1" t="s">
        <v>1796</v>
      </c>
      <c r="CP2531" s="1" t="s">
        <v>206</v>
      </c>
      <c r="CQ2531" s="1" t="s">
        <v>207</v>
      </c>
      <c r="CS2531" s="1" t="s">
        <v>262</v>
      </c>
      <c r="CT2531" s="1" t="s">
        <v>206</v>
      </c>
      <c r="CU2531" s="1" t="s">
        <v>207</v>
      </c>
      <c r="CX2531" s="1" t="s">
        <v>204</v>
      </c>
      <c r="DA2531" s="1" t="s">
        <v>200</v>
      </c>
      <c r="DC2531" s="1" t="s">
        <v>642</v>
      </c>
      <c r="DE2531" s="1" t="s">
        <v>229</v>
      </c>
      <c r="DF2531" s="1" t="s">
        <v>229</v>
      </c>
      <c r="DG2531" s="1" t="s">
        <v>337</v>
      </c>
      <c r="DH2531" s="1" t="s">
        <v>220</v>
      </c>
      <c r="DJ2531" s="1" t="s">
        <v>222</v>
      </c>
      <c r="DK2531" s="1" t="s">
        <v>2506</v>
      </c>
      <c r="DL2531" s="1" t="s">
        <v>223</v>
      </c>
      <c r="DM2531" s="1" t="s">
        <v>229</v>
      </c>
      <c r="DP2531" s="1" t="s">
        <v>340</v>
      </c>
      <c r="DQ2531" s="1" t="s">
        <v>228</v>
      </c>
      <c r="DR2531" s="1" t="s">
        <v>229</v>
      </c>
      <c r="DV2531" s="1" t="s">
        <v>22850</v>
      </c>
      <c r="DW2531" s="1" t="s">
        <v>667</v>
      </c>
      <c r="DX2531" s="1" t="s">
        <v>234</v>
      </c>
      <c r="EC2531" s="1" t="s">
        <v>645</v>
      </c>
      <c r="EF2531" s="1" t="s">
        <v>834</v>
      </c>
      <c r="EG2531" s="1" t="s">
        <v>1407</v>
      </c>
      <c r="EH2531" s="1" t="s">
        <v>1121</v>
      </c>
      <c r="EL2531" s="1" t="s">
        <v>1382</v>
      </c>
      <c r="EM2531" s="1" t="s">
        <v>209</v>
      </c>
      <c r="EP2531" s="1" t="s">
        <v>1382</v>
      </c>
      <c r="EQ2531" s="1" t="s">
        <v>209</v>
      </c>
      <c r="EU2531" s="1" t="s">
        <v>238</v>
      </c>
      <c r="EY2531" s="1" t="s">
        <v>238</v>
      </c>
      <c r="FC2531" s="1" t="s">
        <v>238</v>
      </c>
      <c r="FF2531" s="1" t="s">
        <v>239</v>
      </c>
      <c r="FG2531" s="1" t="s">
        <v>192</v>
      </c>
      <c r="FH2531" s="1" t="s">
        <v>192</v>
      </c>
      <c r="FJ2531" s="1" t="s">
        <v>3176</v>
      </c>
      <c r="FK2531" s="1" t="s">
        <v>229</v>
      </c>
      <c r="FL2531" s="1" t="s">
        <v>1520</v>
      </c>
      <c r="FM2531" s="1">
        <v>10841.0</v>
      </c>
      <c r="FN2531" s="1" t="s">
        <v>1521</v>
      </c>
      <c r="FO2531" s="1" t="s">
        <v>1522</v>
      </c>
      <c r="FP2531" s="1">
        <v>109860.0</v>
      </c>
      <c r="FQ2531" s="1" t="s">
        <v>1521</v>
      </c>
      <c r="FU2531" s="1" t="s">
        <v>1523</v>
      </c>
      <c r="FV2531" s="1" t="s">
        <v>200</v>
      </c>
      <c r="FW2531" s="1" t="s">
        <v>290</v>
      </c>
      <c r="FX2531" s="1" t="s">
        <v>655</v>
      </c>
      <c r="FZ2531" s="1" t="s">
        <v>229</v>
      </c>
      <c r="GA2531" s="1" t="s">
        <v>291</v>
      </c>
      <c r="GB2531" s="2">
        <v>42082.0</v>
      </c>
      <c r="GC2531" s="1" t="s">
        <v>18958</v>
      </c>
    </row>
    <row r="2532">
      <c r="A2532" s="1">
        <v>186000.0</v>
      </c>
      <c r="B2532" s="1" t="s">
        <v>185</v>
      </c>
      <c r="C2532" s="1" t="str">
        <f>"08822702"</f>
        <v>08822702</v>
      </c>
      <c r="D2532" s="1" t="s">
        <v>186</v>
      </c>
      <c r="F2532" s="1" t="str">
        <f>"140"</f>
        <v>140</v>
      </c>
      <c r="G2532" s="2">
        <v>42027.0</v>
      </c>
      <c r="H2532" s="1">
        <v>189000.0</v>
      </c>
      <c r="I2532" s="1">
        <v>216.0</v>
      </c>
      <c r="J2532" s="1">
        <v>189000.0</v>
      </c>
      <c r="K2532" s="2">
        <v>42053.0</v>
      </c>
      <c r="L2532" s="1">
        <v>27.0</v>
      </c>
      <c r="M2532" s="2">
        <v>42053.0</v>
      </c>
      <c r="N2532" s="1" t="s">
        <v>356</v>
      </c>
      <c r="O2532" s="2">
        <v>42090.0</v>
      </c>
      <c r="P2532" s="1">
        <v>51789.0</v>
      </c>
      <c r="Q2532" s="1">
        <v>5042.0</v>
      </c>
      <c r="R2532" s="1">
        <v>4650.0</v>
      </c>
      <c r="S2532" s="1">
        <v>311.0</v>
      </c>
      <c r="T2532" s="1" t="s">
        <v>9015</v>
      </c>
      <c r="U2532" s="1" t="s">
        <v>1174</v>
      </c>
      <c r="V2532" s="1" t="s">
        <v>321</v>
      </c>
      <c r="W2532" s="1">
        <v>60140.0</v>
      </c>
      <c r="Y2532" s="1" t="s">
        <v>22851</v>
      </c>
      <c r="Z2532" s="1">
        <v>1990.0</v>
      </c>
      <c r="AA2532" s="1" t="s">
        <v>200</v>
      </c>
      <c r="AB2532" s="1" t="s">
        <v>193</v>
      </c>
      <c r="AC2532" s="1" t="s">
        <v>22852</v>
      </c>
      <c r="AD2532" s="1" t="s">
        <v>324</v>
      </c>
      <c r="AE2532" s="1" t="s">
        <v>325</v>
      </c>
      <c r="AF2532" s="1" t="s">
        <v>324</v>
      </c>
      <c r="AG2532" s="1" t="s">
        <v>8641</v>
      </c>
      <c r="AH2532" s="1" t="s">
        <v>22853</v>
      </c>
      <c r="AK2532" s="1">
        <v>8.0</v>
      </c>
      <c r="AL2532" s="1">
        <v>3.0</v>
      </c>
      <c r="AM2532" s="1">
        <v>2.0</v>
      </c>
      <c r="AN2532" s="1">
        <v>1.0</v>
      </c>
      <c r="AO2532" s="1" t="s">
        <v>198</v>
      </c>
      <c r="AQ2532" s="1" t="s">
        <v>198</v>
      </c>
      <c r="AR2532" s="1" t="s">
        <v>192</v>
      </c>
      <c r="AS2532" s="1" t="s">
        <v>199</v>
      </c>
      <c r="AT2532" s="1">
        <v>2.5</v>
      </c>
      <c r="AV2532" s="1" t="s">
        <v>200</v>
      </c>
      <c r="AW2532" s="1">
        <v>4941.56</v>
      </c>
      <c r="AX2532" s="1">
        <v>2013.0</v>
      </c>
      <c r="AY2532" s="1" t="s">
        <v>1179</v>
      </c>
      <c r="AZ2532" s="1" t="s">
        <v>200</v>
      </c>
      <c r="BA2532" s="1" t="str">
        <f>"0127178006"</f>
        <v>0127178006</v>
      </c>
      <c r="BB2532" s="1" t="s">
        <v>200</v>
      </c>
      <c r="BC2532" s="1">
        <v>1560.0</v>
      </c>
      <c r="BD2532" s="1">
        <v>186000.0</v>
      </c>
      <c r="BE2532" s="2">
        <v>42027.0</v>
      </c>
      <c r="BF2532" s="2" t="s">
        <v>22854</v>
      </c>
      <c r="BG2532" s="1" t="s">
        <v>7518</v>
      </c>
      <c r="BH2532" s="1">
        <v>0.0</v>
      </c>
      <c r="BI2532" s="1" t="s">
        <v>5040</v>
      </c>
      <c r="BJ2532" s="1" t="s">
        <v>1182</v>
      </c>
      <c r="BK2532" s="1" t="s">
        <v>204</v>
      </c>
      <c r="BL2532" s="1" t="str">
        <f t="shared" ref="BL2532:BM2532" si="1653">""</f>
        <v/>
      </c>
      <c r="BM2532" s="1" t="str">
        <f t="shared" si="1653"/>
        <v/>
      </c>
      <c r="BQ2532" s="1">
        <v>300.0</v>
      </c>
      <c r="BR2532" s="1">
        <v>300.0</v>
      </c>
      <c r="BS2532" s="1">
        <v>300.0</v>
      </c>
      <c r="BU2532" s="1" t="s">
        <v>1426</v>
      </c>
      <c r="BV2532" s="1" t="s">
        <v>206</v>
      </c>
      <c r="BW2532" s="1" t="s">
        <v>210</v>
      </c>
      <c r="BX2532" s="1" t="s">
        <v>431</v>
      </c>
      <c r="BY2532" s="1" t="s">
        <v>361</v>
      </c>
      <c r="BZ2532" s="1" t="s">
        <v>206</v>
      </c>
      <c r="CA2532" s="1" t="s">
        <v>210</v>
      </c>
      <c r="CB2532" s="1" t="s">
        <v>239</v>
      </c>
      <c r="CD2532" s="1" t="s">
        <v>204</v>
      </c>
      <c r="CG2532" s="1" t="s">
        <v>264</v>
      </c>
      <c r="CH2532" s="1" t="s">
        <v>206</v>
      </c>
      <c r="CI2532" s="1" t="s">
        <v>210</v>
      </c>
      <c r="CJ2532" s="1" t="s">
        <v>239</v>
      </c>
      <c r="CK2532" s="1" t="s">
        <v>543</v>
      </c>
      <c r="CL2532" s="1" t="s">
        <v>206</v>
      </c>
      <c r="CM2532" s="1" t="s">
        <v>210</v>
      </c>
      <c r="CN2532" s="1" t="s">
        <v>239</v>
      </c>
      <c r="CO2532" s="1" t="s">
        <v>362</v>
      </c>
      <c r="CP2532" s="1" t="s">
        <v>42</v>
      </c>
      <c r="CQ2532" s="1" t="s">
        <v>210</v>
      </c>
      <c r="CR2532" s="1" t="s">
        <v>239</v>
      </c>
      <c r="CS2532" s="1" t="s">
        <v>2224</v>
      </c>
      <c r="CT2532" s="1" t="s">
        <v>206</v>
      </c>
      <c r="CU2532" s="1" t="s">
        <v>301</v>
      </c>
      <c r="CV2532" s="1" t="s">
        <v>239</v>
      </c>
      <c r="CW2532" s="1" t="s">
        <v>2120</v>
      </c>
      <c r="CX2532" s="1" t="s">
        <v>206</v>
      </c>
      <c r="CY2532" s="1" t="s">
        <v>210</v>
      </c>
      <c r="CZ2532" s="1" t="s">
        <v>239</v>
      </c>
      <c r="DA2532" s="1" t="s">
        <v>200</v>
      </c>
      <c r="DC2532" s="1" t="s">
        <v>435</v>
      </c>
      <c r="DD2532" s="1" t="s">
        <v>518</v>
      </c>
      <c r="DE2532" s="1" t="s">
        <v>273</v>
      </c>
      <c r="DF2532" s="1" t="s">
        <v>219</v>
      </c>
      <c r="DH2532" s="1" t="s">
        <v>220</v>
      </c>
      <c r="DI2532" s="1" t="s">
        <v>22855</v>
      </c>
      <c r="DJ2532" s="1" t="s">
        <v>222</v>
      </c>
      <c r="DK2532" s="1" t="s">
        <v>223</v>
      </c>
      <c r="DL2532" s="1" t="s">
        <v>224</v>
      </c>
      <c r="DM2532" s="1" t="s">
        <v>229</v>
      </c>
      <c r="DQ2532" s="1" t="s">
        <v>228</v>
      </c>
      <c r="DR2532" s="1" t="s">
        <v>229</v>
      </c>
      <c r="DS2532" s="1" t="s">
        <v>401</v>
      </c>
      <c r="DU2532" s="1" t="s">
        <v>1005</v>
      </c>
      <c r="DV2532" s="1" t="s">
        <v>450</v>
      </c>
      <c r="DW2532" s="1" t="s">
        <v>370</v>
      </c>
      <c r="DX2532" s="1" t="s">
        <v>234</v>
      </c>
      <c r="DY2532" s="1" t="s">
        <v>22856</v>
      </c>
      <c r="DZ2532" s="1" t="s">
        <v>310</v>
      </c>
      <c r="EA2532" s="1" t="s">
        <v>683</v>
      </c>
      <c r="EC2532" s="1" t="s">
        <v>685</v>
      </c>
      <c r="ED2532" s="1" t="s">
        <v>407</v>
      </c>
      <c r="EG2532" s="1" t="s">
        <v>450</v>
      </c>
      <c r="EL2532" s="1" t="s">
        <v>22857</v>
      </c>
      <c r="EM2532" s="1" t="s">
        <v>42</v>
      </c>
      <c r="EN2532" s="1" t="s">
        <v>210</v>
      </c>
      <c r="EO2532" s="1" t="s">
        <v>239</v>
      </c>
      <c r="EQ2532" s="1" t="s">
        <v>238</v>
      </c>
      <c r="EU2532" s="1" t="s">
        <v>238</v>
      </c>
      <c r="EY2532" s="1" t="s">
        <v>238</v>
      </c>
      <c r="FC2532" s="1" t="s">
        <v>238</v>
      </c>
      <c r="FF2532" s="1" t="s">
        <v>239</v>
      </c>
      <c r="FG2532" s="1" t="s">
        <v>192</v>
      </c>
      <c r="FH2532" s="1" t="s">
        <v>192</v>
      </c>
      <c r="FJ2532" s="1" t="s">
        <v>624</v>
      </c>
      <c r="FK2532" s="1" t="s">
        <v>348</v>
      </c>
      <c r="FL2532" s="1" t="s">
        <v>1451</v>
      </c>
      <c r="FM2532" s="1">
        <v>7450.0</v>
      </c>
      <c r="FN2532" s="1" t="s">
        <v>1452</v>
      </c>
      <c r="FO2532" s="1" t="s">
        <v>12150</v>
      </c>
      <c r="FP2532" s="1">
        <v>1256.0</v>
      </c>
      <c r="FQ2532" s="1" t="s">
        <v>12151</v>
      </c>
      <c r="FS2532" s="1" t="s">
        <v>12152</v>
      </c>
      <c r="FU2532" s="1" t="s">
        <v>22858</v>
      </c>
      <c r="FV2532" s="1" t="s">
        <v>200</v>
      </c>
      <c r="FW2532" s="1" t="s">
        <v>22859</v>
      </c>
      <c r="FZ2532" s="1" t="s">
        <v>229</v>
      </c>
      <c r="GA2532" s="1" t="s">
        <v>291</v>
      </c>
      <c r="GB2532" s="2">
        <v>42090.0</v>
      </c>
    </row>
    <row r="2533">
      <c r="A2533" s="1">
        <v>560000.0</v>
      </c>
      <c r="B2533" s="1" t="s">
        <v>185</v>
      </c>
      <c r="C2533" s="1" t="str">
        <f>"08828608"</f>
        <v>08828608</v>
      </c>
      <c r="D2533" s="1" t="s">
        <v>186</v>
      </c>
      <c r="F2533" s="1" t="str">
        <f>"10"</f>
        <v>10</v>
      </c>
      <c r="G2533" s="2">
        <v>42037.0</v>
      </c>
      <c r="H2533" s="1">
        <v>649000.0</v>
      </c>
      <c r="I2533" s="1">
        <v>57.0</v>
      </c>
      <c r="J2533" s="1">
        <v>599000.0</v>
      </c>
      <c r="K2533" s="2">
        <v>42093.0</v>
      </c>
      <c r="L2533" s="1">
        <v>57.0</v>
      </c>
      <c r="M2533" s="2">
        <v>42093.0</v>
      </c>
      <c r="N2533" s="1" t="s">
        <v>187</v>
      </c>
      <c r="O2533" s="2">
        <v>42143.0</v>
      </c>
      <c r="P2533" s="1">
        <v>237530.0</v>
      </c>
      <c r="Q2533" s="1">
        <v>23099.0</v>
      </c>
      <c r="S2533" s="1">
        <v>570.0</v>
      </c>
      <c r="T2533" s="1" t="s">
        <v>22860</v>
      </c>
      <c r="U2533" s="1" t="s">
        <v>569</v>
      </c>
      <c r="V2533" s="1" t="s">
        <v>11508</v>
      </c>
      <c r="W2533" s="1">
        <v>60010.0</v>
      </c>
      <c r="Y2533" s="1" t="s">
        <v>22861</v>
      </c>
      <c r="Z2533" s="1">
        <v>1989.0</v>
      </c>
      <c r="AA2533" s="1" t="s">
        <v>200</v>
      </c>
      <c r="AB2533" s="1" t="s">
        <v>193</v>
      </c>
      <c r="AD2533" s="1" t="s">
        <v>11511</v>
      </c>
      <c r="AE2533" s="1" t="s">
        <v>917</v>
      </c>
      <c r="AF2533" s="1" t="s">
        <v>918</v>
      </c>
      <c r="AG2533" s="1" t="s">
        <v>752</v>
      </c>
      <c r="AH2533" s="1" t="s">
        <v>22862</v>
      </c>
      <c r="AI2533" s="1">
        <v>3.41</v>
      </c>
      <c r="AK2533" s="1">
        <v>12.0</v>
      </c>
      <c r="AL2533" s="1">
        <v>4.0</v>
      </c>
      <c r="AM2533" s="1">
        <v>3.0</v>
      </c>
      <c r="AN2533" s="1">
        <v>3.0</v>
      </c>
      <c r="AO2533" s="1" t="s">
        <v>198</v>
      </c>
      <c r="AP2533" s="1">
        <v>2.0</v>
      </c>
      <c r="AQ2533" s="1" t="s">
        <v>951</v>
      </c>
      <c r="AR2533" s="1" t="s">
        <v>192</v>
      </c>
      <c r="AS2533" s="1" t="s">
        <v>199</v>
      </c>
      <c r="AT2533" s="1">
        <v>3.0</v>
      </c>
      <c r="AV2533" s="1" t="s">
        <v>200</v>
      </c>
      <c r="AW2533" s="1">
        <v>16174.63</v>
      </c>
      <c r="AX2533" s="1">
        <v>2013.0</v>
      </c>
      <c r="AZ2533" s="1" t="s">
        <v>200</v>
      </c>
      <c r="BA2533" s="1" t="str">
        <f>"14193030040000"</f>
        <v>14193030040000</v>
      </c>
      <c r="BC2533" s="1">
        <v>3498.0</v>
      </c>
      <c r="BD2533" s="1">
        <v>560000.0</v>
      </c>
      <c r="BE2533" s="2">
        <v>42037.0</v>
      </c>
      <c r="BF2533" s="2" t="s">
        <v>22863</v>
      </c>
      <c r="BG2533" s="1" t="s">
        <v>17063</v>
      </c>
      <c r="BH2533" s="1">
        <v>0.0</v>
      </c>
      <c r="BI2533" s="1" t="s">
        <v>15441</v>
      </c>
      <c r="BJ2533" s="1" t="s">
        <v>923</v>
      </c>
      <c r="BK2533" s="1" t="s">
        <v>204</v>
      </c>
      <c r="BL2533" s="1" t="str">
        <f t="shared" ref="BL2533:BM2533" si="1654">""</f>
        <v/>
      </c>
      <c r="BM2533" s="1" t="str">
        <f t="shared" si="1654"/>
        <v/>
      </c>
      <c r="BQ2533" s="1">
        <v>95.0</v>
      </c>
      <c r="BR2533" s="1">
        <v>95.0</v>
      </c>
      <c r="BS2533" s="1">
        <v>95.0</v>
      </c>
      <c r="BU2533" s="1" t="s">
        <v>213</v>
      </c>
      <c r="BV2533" s="1" t="s">
        <v>206</v>
      </c>
      <c r="BW2533" s="1" t="s">
        <v>207</v>
      </c>
      <c r="BY2533" s="1" t="s">
        <v>2800</v>
      </c>
      <c r="BZ2533" s="1" t="s">
        <v>209</v>
      </c>
      <c r="CA2533" s="1" t="s">
        <v>210</v>
      </c>
      <c r="CC2533" s="1" t="s">
        <v>213</v>
      </c>
      <c r="CD2533" s="1" t="s">
        <v>206</v>
      </c>
      <c r="CE2533" s="1" t="s">
        <v>207</v>
      </c>
      <c r="CG2533" s="1" t="s">
        <v>813</v>
      </c>
      <c r="CH2533" s="1" t="s">
        <v>209</v>
      </c>
      <c r="CI2533" s="1" t="s">
        <v>210</v>
      </c>
      <c r="CK2533" s="1" t="s">
        <v>584</v>
      </c>
      <c r="CL2533" s="1" t="s">
        <v>209</v>
      </c>
      <c r="CM2533" s="1" t="s">
        <v>210</v>
      </c>
      <c r="CO2533" s="1" t="s">
        <v>758</v>
      </c>
      <c r="CP2533" s="1" t="s">
        <v>209</v>
      </c>
      <c r="CQ2533" s="1" t="s">
        <v>210</v>
      </c>
      <c r="CS2533" s="1" t="s">
        <v>390</v>
      </c>
      <c r="CT2533" s="1" t="s">
        <v>206</v>
      </c>
      <c r="CU2533" s="1" t="s">
        <v>207</v>
      </c>
      <c r="CW2533" s="1" t="s">
        <v>6121</v>
      </c>
      <c r="CX2533" s="1" t="s">
        <v>206</v>
      </c>
      <c r="CY2533" s="1" t="s">
        <v>207</v>
      </c>
      <c r="DA2533" s="1" t="s">
        <v>200</v>
      </c>
      <c r="DC2533" s="1" t="s">
        <v>305</v>
      </c>
      <c r="DD2533" s="1" t="s">
        <v>436</v>
      </c>
      <c r="DE2533" s="1" t="s">
        <v>1810</v>
      </c>
      <c r="DF2533" s="1" t="s">
        <v>219</v>
      </c>
      <c r="DG2533" s="1" t="s">
        <v>2123</v>
      </c>
      <c r="DH2533" s="1" t="s">
        <v>856</v>
      </c>
      <c r="DI2533" s="1" t="s">
        <v>703</v>
      </c>
      <c r="DJ2533" s="1" t="s">
        <v>857</v>
      </c>
      <c r="DL2533" s="1" t="s">
        <v>224</v>
      </c>
      <c r="DM2533" s="1" t="s">
        <v>338</v>
      </c>
      <c r="DN2533" s="1" t="s">
        <v>485</v>
      </c>
      <c r="DO2533" s="1" t="s">
        <v>2838</v>
      </c>
      <c r="DP2533" s="1" t="s">
        <v>340</v>
      </c>
      <c r="DQ2533" s="1" t="s">
        <v>4389</v>
      </c>
      <c r="DR2533" s="1" t="s">
        <v>229</v>
      </c>
      <c r="DS2533" s="1" t="s">
        <v>368</v>
      </c>
      <c r="DV2533" s="1" t="s">
        <v>22864</v>
      </c>
      <c r="DW2533" s="1" t="s">
        <v>764</v>
      </c>
      <c r="DX2533" s="1" t="s">
        <v>234</v>
      </c>
      <c r="DY2533" s="1" t="s">
        <v>3846</v>
      </c>
      <c r="DZ2533" s="1" t="s">
        <v>766</v>
      </c>
      <c r="EB2533" s="1" t="s">
        <v>1639</v>
      </c>
      <c r="EC2533" s="1" t="s">
        <v>237</v>
      </c>
      <c r="ED2533" s="1" t="s">
        <v>407</v>
      </c>
      <c r="EG2533" s="1" t="s">
        <v>449</v>
      </c>
      <c r="EH2533" s="1" t="s">
        <v>598</v>
      </c>
      <c r="EI2533" s="1" t="s">
        <v>450</v>
      </c>
      <c r="EJ2533" s="1" t="s">
        <v>2023</v>
      </c>
      <c r="EK2533" s="1" t="s">
        <v>588</v>
      </c>
      <c r="EL2533" s="1" t="s">
        <v>584</v>
      </c>
      <c r="EM2533" s="1" t="s">
        <v>206</v>
      </c>
      <c r="EN2533" s="1" t="s">
        <v>207</v>
      </c>
      <c r="EP2533" s="1" t="s">
        <v>264</v>
      </c>
      <c r="EQ2533" s="1" t="s">
        <v>206</v>
      </c>
      <c r="ER2533" s="1" t="s">
        <v>207</v>
      </c>
      <c r="ET2533" s="1" t="s">
        <v>2717</v>
      </c>
      <c r="EU2533" s="1" t="s">
        <v>1697</v>
      </c>
      <c r="EV2533" s="1" t="s">
        <v>268</v>
      </c>
      <c r="EX2533" s="1" t="s">
        <v>453</v>
      </c>
      <c r="EY2533" s="1" t="s">
        <v>1697</v>
      </c>
      <c r="EZ2533" s="1" t="s">
        <v>268</v>
      </c>
      <c r="FB2533" s="1" t="s">
        <v>205</v>
      </c>
      <c r="FC2533" s="1" t="s">
        <v>1697</v>
      </c>
      <c r="FD2533" s="1" t="s">
        <v>268</v>
      </c>
      <c r="FF2533" s="1" t="s">
        <v>239</v>
      </c>
      <c r="FG2533" s="1" t="s">
        <v>192</v>
      </c>
      <c r="FH2533" s="1" t="s">
        <v>192</v>
      </c>
      <c r="FJ2533" s="1" t="s">
        <v>561</v>
      </c>
      <c r="FK2533" s="1" t="s">
        <v>348</v>
      </c>
      <c r="FL2533" s="1" t="s">
        <v>22865</v>
      </c>
      <c r="FM2533" s="1">
        <v>2700.0</v>
      </c>
      <c r="FN2533" s="1" t="s">
        <v>22866</v>
      </c>
      <c r="FO2533" s="1" t="s">
        <v>22867</v>
      </c>
      <c r="FP2533" s="1">
        <v>86383.0</v>
      </c>
      <c r="FQ2533" s="1" t="s">
        <v>22868</v>
      </c>
      <c r="FU2533" s="1" t="s">
        <v>2030</v>
      </c>
      <c r="FV2533" s="1" t="s">
        <v>200</v>
      </c>
      <c r="FW2533" s="1" t="s">
        <v>290</v>
      </c>
      <c r="FZ2533" s="1" t="s">
        <v>229</v>
      </c>
      <c r="GA2533" s="1" t="s">
        <v>291</v>
      </c>
      <c r="GB2533" s="2">
        <v>42143.0</v>
      </c>
    </row>
    <row r="2534">
      <c r="A2534" s="1">
        <v>158500.0</v>
      </c>
      <c r="B2534" s="1" t="s">
        <v>185</v>
      </c>
      <c r="C2534" s="1" t="str">
        <f>"08820433"</f>
        <v>08820433</v>
      </c>
      <c r="D2534" s="1" t="s">
        <v>186</v>
      </c>
      <c r="F2534" s="1" t="str">
        <f>"538"</f>
        <v>538</v>
      </c>
      <c r="G2534" s="2">
        <v>42024.0</v>
      </c>
      <c r="H2534" s="1">
        <v>189000.0</v>
      </c>
      <c r="I2534" s="1">
        <v>83.0</v>
      </c>
      <c r="J2534" s="1">
        <v>158500.0</v>
      </c>
      <c r="K2534" s="2">
        <v>42106.0</v>
      </c>
      <c r="L2534" s="1">
        <v>83.0</v>
      </c>
      <c r="M2534" s="2">
        <v>42106.0</v>
      </c>
      <c r="N2534" s="1" t="s">
        <v>356</v>
      </c>
      <c r="O2534" s="2">
        <v>42139.0</v>
      </c>
      <c r="P2534" s="1">
        <v>8887.0</v>
      </c>
      <c r="Q2534" s="1">
        <v>31420.0</v>
      </c>
      <c r="S2534" s="1">
        <v>116.0</v>
      </c>
      <c r="T2534" s="1" t="s">
        <v>3736</v>
      </c>
      <c r="U2534" s="1" t="s">
        <v>569</v>
      </c>
      <c r="V2534" s="1" t="s">
        <v>1340</v>
      </c>
      <c r="W2534" s="1">
        <v>60538.0</v>
      </c>
      <c r="Y2534" s="1" t="s">
        <v>22869</v>
      </c>
      <c r="Z2534" s="1">
        <v>1974.0</v>
      </c>
      <c r="AA2534" s="1" t="s">
        <v>192</v>
      </c>
      <c r="AB2534" s="1" t="s">
        <v>193</v>
      </c>
      <c r="AD2534" s="1" t="s">
        <v>1343</v>
      </c>
      <c r="AE2534" s="1" t="s">
        <v>849</v>
      </c>
      <c r="AF2534" s="1" t="s">
        <v>1529</v>
      </c>
      <c r="AH2534" s="1" t="s">
        <v>22870</v>
      </c>
      <c r="AI2534" s="1">
        <v>0.2353</v>
      </c>
      <c r="AK2534" s="1">
        <v>7.0</v>
      </c>
      <c r="AL2534" s="1">
        <v>4.0</v>
      </c>
      <c r="AM2534" s="1">
        <v>2.0</v>
      </c>
      <c r="AN2534" s="1">
        <v>1.0</v>
      </c>
      <c r="AO2534" s="1" t="s">
        <v>198</v>
      </c>
      <c r="AP2534" s="1">
        <v>1.0</v>
      </c>
      <c r="AQ2534" s="1" t="s">
        <v>198</v>
      </c>
      <c r="AR2534" s="1" t="s">
        <v>200</v>
      </c>
      <c r="AS2534" s="1" t="s">
        <v>199</v>
      </c>
      <c r="AT2534" s="1">
        <v>2.0</v>
      </c>
      <c r="AV2534" s="1" t="s">
        <v>200</v>
      </c>
      <c r="AW2534" s="1">
        <v>5429.3</v>
      </c>
      <c r="AX2534" s="1">
        <v>2013.0</v>
      </c>
      <c r="AZ2534" s="1" t="s">
        <v>200</v>
      </c>
      <c r="BA2534" s="1" t="str">
        <f>"0309105003"</f>
        <v>0309105003</v>
      </c>
      <c r="BC2534" s="1">
        <v>1976.0</v>
      </c>
      <c r="BD2534" s="1">
        <v>158500.0</v>
      </c>
      <c r="BE2534" s="2">
        <v>42024.0</v>
      </c>
      <c r="BF2534" s="2" t="s">
        <v>22871</v>
      </c>
      <c r="BH2534" s="1">
        <v>0.0</v>
      </c>
      <c r="BK2534" s="1" t="s">
        <v>204</v>
      </c>
      <c r="BL2534" s="1" t="str">
        <f t="shared" ref="BL2534:BM2534" si="1655">""</f>
        <v/>
      </c>
      <c r="BM2534" s="1" t="str">
        <f t="shared" si="1655"/>
        <v/>
      </c>
      <c r="BQ2534" s="1">
        <v>308.0</v>
      </c>
      <c r="BR2534" s="1">
        <v>308.0</v>
      </c>
      <c r="BS2534" s="1">
        <v>308.0</v>
      </c>
      <c r="BU2534" s="1" t="s">
        <v>300</v>
      </c>
      <c r="BV2534" s="1" t="s">
        <v>206</v>
      </c>
      <c r="BY2534" s="1" t="s">
        <v>677</v>
      </c>
      <c r="BZ2534" s="1" t="s">
        <v>209</v>
      </c>
      <c r="CC2534" s="1" t="s">
        <v>663</v>
      </c>
      <c r="CD2534" s="1" t="s">
        <v>206</v>
      </c>
      <c r="CG2534" s="1" t="s">
        <v>300</v>
      </c>
      <c r="CH2534" s="1" t="s">
        <v>209</v>
      </c>
      <c r="CK2534" s="1" t="s">
        <v>663</v>
      </c>
      <c r="CL2534" s="1" t="s">
        <v>209</v>
      </c>
      <c r="CO2534" s="1" t="s">
        <v>269</v>
      </c>
      <c r="CP2534" s="1" t="s">
        <v>209</v>
      </c>
      <c r="CS2534" s="1" t="s">
        <v>663</v>
      </c>
      <c r="CT2534" s="1" t="s">
        <v>206</v>
      </c>
      <c r="CX2534" s="1" t="s">
        <v>204</v>
      </c>
      <c r="DA2534" s="1" t="s">
        <v>200</v>
      </c>
      <c r="DC2534" s="1" t="s">
        <v>517</v>
      </c>
      <c r="DE2534" s="1" t="s">
        <v>273</v>
      </c>
      <c r="DF2534" s="1" t="s">
        <v>619</v>
      </c>
      <c r="DH2534" s="1" t="s">
        <v>220</v>
      </c>
      <c r="DI2534" s="1" t="s">
        <v>1318</v>
      </c>
      <c r="DJ2534" s="1" t="s">
        <v>222</v>
      </c>
      <c r="DL2534" s="1" t="s">
        <v>223</v>
      </c>
      <c r="DM2534" s="1" t="s">
        <v>229</v>
      </c>
      <c r="DO2534" s="1" t="s">
        <v>549</v>
      </c>
      <c r="DP2534" s="1" t="s">
        <v>340</v>
      </c>
      <c r="DQ2534" s="1" t="s">
        <v>228</v>
      </c>
      <c r="DR2534" s="1" t="s">
        <v>229</v>
      </c>
      <c r="DV2534" s="1" t="s">
        <v>232</v>
      </c>
      <c r="DW2534" s="1" t="s">
        <v>233</v>
      </c>
      <c r="DX2534" s="1" t="s">
        <v>234</v>
      </c>
      <c r="EC2534" s="1" t="s">
        <v>237</v>
      </c>
      <c r="EM2534" s="1" t="s">
        <v>238</v>
      </c>
      <c r="EQ2534" s="1" t="s">
        <v>238</v>
      </c>
      <c r="EU2534" s="1" t="s">
        <v>238</v>
      </c>
      <c r="EY2534" s="1" t="s">
        <v>238</v>
      </c>
      <c r="FC2534" s="1" t="s">
        <v>238</v>
      </c>
      <c r="FF2534" s="1" t="s">
        <v>239</v>
      </c>
      <c r="FG2534" s="1" t="s">
        <v>192</v>
      </c>
      <c r="FH2534" s="1" t="s">
        <v>192</v>
      </c>
      <c r="FJ2534" s="1" t="s">
        <v>2156</v>
      </c>
      <c r="FK2534" s="1" t="s">
        <v>229</v>
      </c>
      <c r="FL2534" s="1" t="s">
        <v>1855</v>
      </c>
      <c r="FM2534" s="1">
        <v>41.0</v>
      </c>
      <c r="FN2534" s="1" t="s">
        <v>1856</v>
      </c>
      <c r="FO2534" s="1" t="s">
        <v>1857</v>
      </c>
      <c r="FP2534" s="1">
        <v>8483.0</v>
      </c>
      <c r="FQ2534" s="1" t="s">
        <v>1858</v>
      </c>
      <c r="FS2534" s="1" t="s">
        <v>7114</v>
      </c>
      <c r="FT2534" s="1" t="s">
        <v>1860</v>
      </c>
      <c r="FU2534" s="1" t="s">
        <v>7115</v>
      </c>
      <c r="FV2534" s="1" t="s">
        <v>200</v>
      </c>
      <c r="FW2534" s="1" t="s">
        <v>354</v>
      </c>
      <c r="FZ2534" s="1" t="s">
        <v>229</v>
      </c>
      <c r="GA2534" s="1" t="s">
        <v>291</v>
      </c>
      <c r="GB2534" s="2">
        <v>42142.0</v>
      </c>
      <c r="GC2534" s="1" t="s">
        <v>4769</v>
      </c>
    </row>
    <row r="2535">
      <c r="A2535" s="1">
        <v>327000.0</v>
      </c>
      <c r="B2535" s="1" t="s">
        <v>185</v>
      </c>
      <c r="C2535" s="1" t="str">
        <f>"08823517"</f>
        <v>08823517</v>
      </c>
      <c r="D2535" s="1" t="s">
        <v>186</v>
      </c>
      <c r="F2535" s="1" t="str">
        <f>"8010"</f>
        <v>8010</v>
      </c>
      <c r="G2535" s="2">
        <v>42028.0</v>
      </c>
      <c r="H2535" s="1">
        <v>339900.0</v>
      </c>
      <c r="I2535" s="1">
        <v>249.0</v>
      </c>
      <c r="J2535" s="1">
        <v>339900.0</v>
      </c>
      <c r="K2535" s="2">
        <v>42065.0</v>
      </c>
      <c r="L2535" s="1">
        <v>38.0</v>
      </c>
      <c r="M2535" s="2">
        <v>42065.0</v>
      </c>
      <c r="N2535" s="1" t="s">
        <v>187</v>
      </c>
      <c r="O2535" s="2">
        <v>42122.0</v>
      </c>
      <c r="P2535" s="1">
        <v>108315.0</v>
      </c>
      <c r="Q2535" s="1">
        <v>10013.0</v>
      </c>
      <c r="S2535" s="1">
        <v>6228.0</v>
      </c>
      <c r="T2535" s="1" t="s">
        <v>18360</v>
      </c>
      <c r="U2535" s="1" t="s">
        <v>320</v>
      </c>
      <c r="V2535" s="1" t="s">
        <v>190</v>
      </c>
      <c r="W2535" s="1">
        <v>60646.0</v>
      </c>
      <c r="Y2535" s="1" t="s">
        <v>22872</v>
      </c>
      <c r="Z2535" s="1">
        <v>1954.0</v>
      </c>
      <c r="AA2535" s="1" t="s">
        <v>192</v>
      </c>
      <c r="AB2535" s="1" t="s">
        <v>193</v>
      </c>
      <c r="AD2535" s="1" t="s">
        <v>194</v>
      </c>
      <c r="AE2535" s="1" t="s">
        <v>195</v>
      </c>
      <c r="AF2535" s="1" t="s">
        <v>196</v>
      </c>
      <c r="AH2535" s="1" t="s">
        <v>779</v>
      </c>
      <c r="AI2535" s="1">
        <v>0.0861</v>
      </c>
      <c r="AK2535" s="1">
        <v>6.0</v>
      </c>
      <c r="AL2535" s="1">
        <v>4.0</v>
      </c>
      <c r="AM2535" s="1">
        <v>2.0</v>
      </c>
      <c r="AN2535" s="1">
        <v>0.0</v>
      </c>
      <c r="AO2535" s="1" t="s">
        <v>229</v>
      </c>
      <c r="AQ2535" s="1" t="s">
        <v>198</v>
      </c>
      <c r="AR2535" s="1" t="s">
        <v>200</v>
      </c>
      <c r="AS2535" s="1" t="s">
        <v>199</v>
      </c>
      <c r="AT2535" s="1">
        <v>2.0</v>
      </c>
      <c r="AV2535" s="1" t="s">
        <v>200</v>
      </c>
      <c r="AW2535" s="1">
        <v>3728.55</v>
      </c>
      <c r="AX2535" s="1">
        <v>2012.0</v>
      </c>
      <c r="AY2535" s="1" t="s">
        <v>387</v>
      </c>
      <c r="AZ2535" s="1" t="s">
        <v>200</v>
      </c>
      <c r="BA2535" s="1" t="str">
        <f>"13051080190000"</f>
        <v>13051080190000</v>
      </c>
      <c r="BC2535" s="1">
        <v>1700.0</v>
      </c>
      <c r="BD2535" s="1">
        <v>327000.0</v>
      </c>
      <c r="BE2535" s="2">
        <v>42028.0</v>
      </c>
      <c r="BF2535" s="2" t="s">
        <v>22873</v>
      </c>
      <c r="BG2535" s="1" t="s">
        <v>13854</v>
      </c>
      <c r="BH2535" s="1">
        <v>0.0</v>
      </c>
      <c r="BK2535" s="1" t="s">
        <v>204</v>
      </c>
      <c r="BL2535" s="1" t="str">
        <f>"6200"</f>
        <v>6200</v>
      </c>
      <c r="BM2535" s="1" t="str">
        <f>"0"</f>
        <v>0</v>
      </c>
      <c r="BN2535" s="1">
        <v>6228.0</v>
      </c>
      <c r="BO2535" s="1">
        <v>0.0</v>
      </c>
      <c r="BQ2535" s="1">
        <v>299.0</v>
      </c>
      <c r="BR2535" s="1">
        <v>299.0</v>
      </c>
      <c r="BS2535" s="1">
        <v>299.0</v>
      </c>
      <c r="BU2535" s="1" t="s">
        <v>925</v>
      </c>
      <c r="BV2535" s="1" t="s">
        <v>206</v>
      </c>
      <c r="BW2535" s="1" t="s">
        <v>207</v>
      </c>
      <c r="BY2535" s="1" t="s">
        <v>215</v>
      </c>
      <c r="BZ2535" s="1" t="s">
        <v>206</v>
      </c>
      <c r="CA2535" s="1" t="s">
        <v>207</v>
      </c>
      <c r="CD2535" s="1" t="s">
        <v>204</v>
      </c>
      <c r="CG2535" s="1" t="s">
        <v>212</v>
      </c>
      <c r="CH2535" s="1" t="s">
        <v>206</v>
      </c>
      <c r="CI2535" s="1" t="s">
        <v>207</v>
      </c>
      <c r="CK2535" s="1" t="s">
        <v>1158</v>
      </c>
      <c r="CL2535" s="1" t="s">
        <v>209</v>
      </c>
      <c r="CM2535" s="1" t="s">
        <v>210</v>
      </c>
      <c r="CO2535" s="1" t="s">
        <v>1158</v>
      </c>
      <c r="CP2535" s="1" t="s">
        <v>209</v>
      </c>
      <c r="CQ2535" s="1" t="s">
        <v>210</v>
      </c>
      <c r="CS2535" s="1" t="s">
        <v>211</v>
      </c>
      <c r="CT2535" s="1" t="s">
        <v>206</v>
      </c>
      <c r="CU2535" s="1" t="s">
        <v>207</v>
      </c>
      <c r="CX2535" s="1" t="s">
        <v>204</v>
      </c>
      <c r="DA2535" s="1" t="s">
        <v>200</v>
      </c>
      <c r="DC2535" s="1" t="s">
        <v>702</v>
      </c>
      <c r="DD2535" s="1" t="s">
        <v>518</v>
      </c>
      <c r="DE2535" s="1" t="s">
        <v>273</v>
      </c>
      <c r="DF2535" s="1" t="s">
        <v>219</v>
      </c>
      <c r="DH2535" s="1" t="s">
        <v>307</v>
      </c>
      <c r="DI2535" s="1" t="s">
        <v>703</v>
      </c>
      <c r="DJ2535" s="1" t="s">
        <v>222</v>
      </c>
      <c r="DL2535" s="1" t="s">
        <v>858</v>
      </c>
      <c r="DM2535" s="1" t="s">
        <v>229</v>
      </c>
      <c r="DQ2535" s="1" t="s">
        <v>228</v>
      </c>
      <c r="DR2535" s="1" t="s">
        <v>229</v>
      </c>
      <c r="DS2535" s="1" t="s">
        <v>230</v>
      </c>
      <c r="DU2535" s="1" t="s">
        <v>962</v>
      </c>
      <c r="DV2535" s="1" t="s">
        <v>232</v>
      </c>
      <c r="DW2535" s="1" t="s">
        <v>279</v>
      </c>
      <c r="DX2535" s="1" t="s">
        <v>234</v>
      </c>
      <c r="EA2535" s="1" t="s">
        <v>257</v>
      </c>
      <c r="EC2535" s="1" t="s">
        <v>645</v>
      </c>
      <c r="EM2535" s="1" t="s">
        <v>238</v>
      </c>
      <c r="EQ2535" s="1" t="s">
        <v>238</v>
      </c>
      <c r="EU2535" s="1" t="s">
        <v>238</v>
      </c>
      <c r="EY2535" s="1" t="s">
        <v>238</v>
      </c>
      <c r="FC2535" s="1" t="s">
        <v>238</v>
      </c>
      <c r="FF2535" s="1" t="s">
        <v>239</v>
      </c>
      <c r="FG2535" s="1" t="s">
        <v>192</v>
      </c>
      <c r="FH2535" s="1" t="s">
        <v>192</v>
      </c>
      <c r="FJ2535" s="1" t="s">
        <v>10843</v>
      </c>
      <c r="FK2535" s="1" t="s">
        <v>229</v>
      </c>
      <c r="FL2535" s="1" t="s">
        <v>5642</v>
      </c>
      <c r="FM2535" s="1">
        <v>15391.0</v>
      </c>
      <c r="FN2535" s="1" t="s">
        <v>5643</v>
      </c>
      <c r="FO2535" s="1" t="s">
        <v>22178</v>
      </c>
      <c r="FP2535" s="1">
        <v>143229.0</v>
      </c>
      <c r="FQ2535" s="1" t="s">
        <v>22179</v>
      </c>
      <c r="FR2535" s="1">
        <v>109955.0</v>
      </c>
      <c r="FU2535" s="1" t="s">
        <v>22874</v>
      </c>
      <c r="FV2535" s="1" t="s">
        <v>200</v>
      </c>
      <c r="FW2535" s="1" t="s">
        <v>1293</v>
      </c>
      <c r="FX2535" s="1" t="s">
        <v>246</v>
      </c>
      <c r="FZ2535" s="1" t="s">
        <v>229</v>
      </c>
      <c r="GA2535" s="1" t="s">
        <v>291</v>
      </c>
      <c r="GB2535" s="2">
        <v>42122.0</v>
      </c>
    </row>
    <row r="2536">
      <c r="A2536" s="1">
        <v>81000.0</v>
      </c>
      <c r="B2536" s="1" t="s">
        <v>185</v>
      </c>
      <c r="C2536" s="1" t="str">
        <f>"08822164"</f>
        <v>08822164</v>
      </c>
      <c r="D2536" s="1" t="s">
        <v>186</v>
      </c>
      <c r="F2536" s="1" t="str">
        <f>"8063"</f>
        <v>8063</v>
      </c>
      <c r="G2536" s="2">
        <v>42026.0</v>
      </c>
      <c r="H2536" s="1">
        <v>99750.0</v>
      </c>
      <c r="I2536" s="1">
        <v>54.0</v>
      </c>
      <c r="J2536" s="1">
        <v>89900.0</v>
      </c>
      <c r="K2536" s="2">
        <v>42078.0</v>
      </c>
      <c r="L2536" s="1">
        <v>54.0</v>
      </c>
      <c r="M2536" s="2">
        <v>42078.0</v>
      </c>
      <c r="N2536" s="1" t="s">
        <v>249</v>
      </c>
      <c r="O2536" s="2">
        <v>42094.0</v>
      </c>
      <c r="P2536" s="1">
        <v>103574.0</v>
      </c>
      <c r="Q2536" s="1">
        <v>14856.0</v>
      </c>
      <c r="S2536" s="1">
        <v>2854.0</v>
      </c>
      <c r="T2536" s="1" t="s">
        <v>8061</v>
      </c>
      <c r="U2536" s="1" t="s">
        <v>320</v>
      </c>
      <c r="V2536" s="1" t="s">
        <v>190</v>
      </c>
      <c r="W2536" s="1">
        <v>60629.0</v>
      </c>
      <c r="Y2536" s="1" t="s">
        <v>22875</v>
      </c>
      <c r="Z2536" s="1">
        <v>1925.0</v>
      </c>
      <c r="AA2536" s="1" t="s">
        <v>192</v>
      </c>
      <c r="AB2536" s="1" t="s">
        <v>193</v>
      </c>
      <c r="AD2536" s="1" t="s">
        <v>194</v>
      </c>
      <c r="AE2536" s="1" t="s">
        <v>195</v>
      </c>
      <c r="AF2536" s="1" t="s">
        <v>659</v>
      </c>
      <c r="AH2536" s="1" t="s">
        <v>359</v>
      </c>
      <c r="AK2536" s="1">
        <v>7.0</v>
      </c>
      <c r="AL2536" s="1">
        <v>3.0</v>
      </c>
      <c r="AM2536" s="1">
        <v>2.0</v>
      </c>
      <c r="AN2536" s="1">
        <v>0.0</v>
      </c>
      <c r="AO2536" s="1" t="s">
        <v>198</v>
      </c>
      <c r="AQ2536" s="1" t="s">
        <v>198</v>
      </c>
      <c r="AR2536" s="1" t="s">
        <v>192</v>
      </c>
      <c r="AS2536" s="1" t="s">
        <v>199</v>
      </c>
      <c r="AT2536" s="1">
        <v>2.0</v>
      </c>
      <c r="AV2536" s="1" t="s">
        <v>200</v>
      </c>
      <c r="AW2536" s="1">
        <v>2412.38</v>
      </c>
      <c r="AX2536" s="1">
        <v>2013.0</v>
      </c>
      <c r="AZ2536" s="1" t="s">
        <v>200</v>
      </c>
      <c r="BA2536" s="1" t="str">
        <f>"19131140320000"</f>
        <v>19131140320000</v>
      </c>
      <c r="BB2536" s="1" t="s">
        <v>200</v>
      </c>
      <c r="BC2536" s="1">
        <v>1272.0</v>
      </c>
      <c r="BD2536" s="1">
        <v>81000.0</v>
      </c>
      <c r="BE2536" s="2">
        <v>42025.0</v>
      </c>
      <c r="BF2536" s="2" t="s">
        <v>22876</v>
      </c>
      <c r="BH2536" s="1">
        <v>0.0</v>
      </c>
      <c r="BK2536" s="1" t="s">
        <v>204</v>
      </c>
      <c r="BL2536" s="1" t="str">
        <f t="shared" ref="BL2536:BM2536" si="1656">"0"</f>
        <v>0</v>
      </c>
      <c r="BM2536" s="1" t="str">
        <f t="shared" si="1656"/>
        <v>0</v>
      </c>
      <c r="BN2536" s="1">
        <v>2854.0</v>
      </c>
      <c r="BO2536" s="1">
        <v>5700.0</v>
      </c>
      <c r="BQ2536" s="1">
        <v>299.0</v>
      </c>
      <c r="BR2536" s="1">
        <v>299.0</v>
      </c>
      <c r="BS2536" s="1">
        <v>299.0</v>
      </c>
      <c r="BU2536" s="1" t="s">
        <v>303</v>
      </c>
      <c r="BV2536" s="1" t="s">
        <v>206</v>
      </c>
      <c r="BY2536" s="1" t="s">
        <v>1760</v>
      </c>
      <c r="BZ2536" s="1" t="s">
        <v>209</v>
      </c>
      <c r="CC2536" s="1" t="s">
        <v>303</v>
      </c>
      <c r="CD2536" s="1" t="s">
        <v>206</v>
      </c>
      <c r="CG2536" s="1" t="s">
        <v>1760</v>
      </c>
      <c r="CH2536" s="1" t="s">
        <v>209</v>
      </c>
      <c r="CK2536" s="1" t="s">
        <v>1688</v>
      </c>
      <c r="CL2536" s="1" t="s">
        <v>206</v>
      </c>
      <c r="CO2536" s="1" t="s">
        <v>303</v>
      </c>
      <c r="CP2536" s="1" t="s">
        <v>42</v>
      </c>
      <c r="CS2536" s="1" t="s">
        <v>1672</v>
      </c>
      <c r="CT2536" s="1" t="s">
        <v>206</v>
      </c>
      <c r="CX2536" s="1" t="s">
        <v>204</v>
      </c>
      <c r="DA2536" s="1" t="s">
        <v>200</v>
      </c>
      <c r="DC2536" s="1" t="s">
        <v>785</v>
      </c>
      <c r="DE2536" s="1" t="s">
        <v>229</v>
      </c>
      <c r="DF2536" s="1" t="s">
        <v>905</v>
      </c>
      <c r="DH2536" s="1" t="s">
        <v>220</v>
      </c>
      <c r="DJ2536" s="1" t="s">
        <v>222</v>
      </c>
      <c r="DL2536" s="1" t="s">
        <v>224</v>
      </c>
      <c r="DM2536" s="1" t="s">
        <v>229</v>
      </c>
      <c r="DQ2536" s="1" t="s">
        <v>228</v>
      </c>
      <c r="DR2536" s="1" t="s">
        <v>229</v>
      </c>
      <c r="DV2536" s="1" t="s">
        <v>232</v>
      </c>
      <c r="DW2536" s="1" t="s">
        <v>279</v>
      </c>
      <c r="DX2536" s="1" t="s">
        <v>234</v>
      </c>
      <c r="EA2536" s="1" t="s">
        <v>644</v>
      </c>
      <c r="EC2536" s="1" t="s">
        <v>645</v>
      </c>
      <c r="EM2536" s="1" t="s">
        <v>238</v>
      </c>
      <c r="EQ2536" s="1" t="s">
        <v>238</v>
      </c>
      <c r="EU2536" s="1" t="s">
        <v>238</v>
      </c>
      <c r="EY2536" s="1" t="s">
        <v>238</v>
      </c>
      <c r="FC2536" s="1" t="s">
        <v>238</v>
      </c>
      <c r="FF2536" s="1" t="s">
        <v>239</v>
      </c>
      <c r="FG2536" s="1" t="s">
        <v>192</v>
      </c>
      <c r="FH2536" s="1" t="s">
        <v>192</v>
      </c>
      <c r="FJ2536" s="1" t="s">
        <v>9713</v>
      </c>
      <c r="FK2536" s="1" t="s">
        <v>229</v>
      </c>
      <c r="FL2536" s="1" t="s">
        <v>8724</v>
      </c>
      <c r="FM2536" s="1">
        <v>16795.0</v>
      </c>
      <c r="FN2536" s="1" t="s">
        <v>8725</v>
      </c>
      <c r="FO2536" s="1" t="s">
        <v>8726</v>
      </c>
      <c r="FP2536" s="1">
        <v>110590.0</v>
      </c>
      <c r="FQ2536" s="1" t="s">
        <v>8727</v>
      </c>
      <c r="FR2536" s="1">
        <v>185513.0</v>
      </c>
      <c r="FU2536" s="1" t="s">
        <v>22877</v>
      </c>
      <c r="FV2536" s="1" t="s">
        <v>200</v>
      </c>
      <c r="FW2536" s="1" t="s">
        <v>290</v>
      </c>
      <c r="FX2536" s="1" t="s">
        <v>246</v>
      </c>
      <c r="FZ2536" s="1" t="s">
        <v>229</v>
      </c>
      <c r="GA2536" s="1" t="s">
        <v>291</v>
      </c>
      <c r="GB2536" s="2">
        <v>42094.0</v>
      </c>
      <c r="GC2536" s="1" t="s">
        <v>8729</v>
      </c>
    </row>
    <row r="2537">
      <c r="A2537" s="1">
        <v>330000.0</v>
      </c>
      <c r="B2537" s="1" t="s">
        <v>185</v>
      </c>
      <c r="C2537" s="1" t="str">
        <f>"08823015"</f>
        <v>08823015</v>
      </c>
      <c r="D2537" s="1" t="s">
        <v>186</v>
      </c>
      <c r="F2537" s="1" t="str">
        <f>"8011"</f>
        <v>8011</v>
      </c>
      <c r="G2537" s="2">
        <v>42027.0</v>
      </c>
      <c r="H2537" s="1">
        <v>339900.0</v>
      </c>
      <c r="I2537" s="1">
        <v>325.0</v>
      </c>
      <c r="J2537" s="1">
        <v>339900.0</v>
      </c>
      <c r="K2537" s="2">
        <v>42053.0</v>
      </c>
      <c r="L2537" s="1">
        <v>27.0</v>
      </c>
      <c r="M2537" s="2">
        <v>42053.0</v>
      </c>
      <c r="N2537" s="1" t="s">
        <v>187</v>
      </c>
      <c r="O2537" s="2">
        <v>42116.0</v>
      </c>
      <c r="P2537" s="1">
        <v>901583.0</v>
      </c>
      <c r="Q2537" s="1">
        <v>90891.0</v>
      </c>
      <c r="S2537" s="1">
        <v>5920.0</v>
      </c>
      <c r="T2537" s="1" t="s">
        <v>14169</v>
      </c>
      <c r="U2537" s="1" t="s">
        <v>189</v>
      </c>
      <c r="V2537" s="1" t="s">
        <v>190</v>
      </c>
      <c r="W2537" s="1">
        <v>60646.0</v>
      </c>
      <c r="Y2537" s="1" t="s">
        <v>22878</v>
      </c>
      <c r="Z2537" s="1" t="s">
        <v>296</v>
      </c>
      <c r="AA2537" s="1" t="s">
        <v>192</v>
      </c>
      <c r="AB2537" s="1" t="s">
        <v>193</v>
      </c>
      <c r="AD2537" s="1" t="s">
        <v>194</v>
      </c>
      <c r="AE2537" s="1" t="s">
        <v>195</v>
      </c>
      <c r="AF2537" s="1" t="s">
        <v>196</v>
      </c>
      <c r="AG2537" s="1" t="s">
        <v>778</v>
      </c>
      <c r="AH2537" s="1" t="s">
        <v>779</v>
      </c>
      <c r="AK2537" s="1">
        <v>10.0</v>
      </c>
      <c r="AL2537" s="1">
        <v>4.0</v>
      </c>
      <c r="AM2537" s="1">
        <v>2.0</v>
      </c>
      <c r="AN2537" s="1">
        <v>1.0</v>
      </c>
      <c r="AO2537" s="1" t="s">
        <v>229</v>
      </c>
      <c r="AP2537" s="1">
        <v>1.0</v>
      </c>
      <c r="AQ2537" s="1" t="s">
        <v>198</v>
      </c>
      <c r="AR2537" s="1" t="s">
        <v>192</v>
      </c>
      <c r="AS2537" s="1" t="s">
        <v>199</v>
      </c>
      <c r="AT2537" s="1">
        <v>2.0</v>
      </c>
      <c r="AV2537" s="1" t="s">
        <v>200</v>
      </c>
      <c r="AW2537" s="1">
        <v>4065.62</v>
      </c>
      <c r="AX2537" s="1">
        <v>2013.0</v>
      </c>
      <c r="AY2537" s="1" t="s">
        <v>387</v>
      </c>
      <c r="AZ2537" s="1" t="s">
        <v>200</v>
      </c>
      <c r="BA2537" s="1" t="str">
        <f>"13054070390000"</f>
        <v>13054070390000</v>
      </c>
      <c r="BB2537" s="1" t="s">
        <v>200</v>
      </c>
      <c r="BC2537" s="1">
        <v>0.0</v>
      </c>
      <c r="BD2537" s="1">
        <v>330000.0</v>
      </c>
      <c r="BE2537" s="2">
        <v>42027.0</v>
      </c>
      <c r="BF2537" s="2" t="s">
        <v>22879</v>
      </c>
      <c r="BH2537" s="1">
        <v>0.0</v>
      </c>
      <c r="BK2537" s="1" t="s">
        <v>204</v>
      </c>
      <c r="BL2537" s="1" t="str">
        <f>"5900"</f>
        <v>5900</v>
      </c>
      <c r="BM2537" s="1" t="str">
        <f>"0"</f>
        <v>0</v>
      </c>
      <c r="BN2537" s="1">
        <v>6000.0</v>
      </c>
      <c r="BO2537" s="1">
        <v>0.0</v>
      </c>
      <c r="BQ2537" s="1">
        <v>299.0</v>
      </c>
      <c r="BR2537" s="1">
        <v>299.0</v>
      </c>
      <c r="BS2537" s="1">
        <v>299.0</v>
      </c>
      <c r="BU2537" s="1" t="s">
        <v>541</v>
      </c>
      <c r="BV2537" s="1" t="s">
        <v>206</v>
      </c>
      <c r="BW2537" s="1" t="s">
        <v>207</v>
      </c>
      <c r="BY2537" s="1" t="s">
        <v>265</v>
      </c>
      <c r="BZ2537" s="1" t="s">
        <v>206</v>
      </c>
      <c r="CA2537" s="1" t="s">
        <v>207</v>
      </c>
      <c r="CC2537" s="1" t="s">
        <v>212</v>
      </c>
      <c r="CD2537" s="1" t="s">
        <v>206</v>
      </c>
      <c r="CE2537" s="1" t="s">
        <v>207</v>
      </c>
      <c r="CG2537" s="1" t="s">
        <v>265</v>
      </c>
      <c r="CH2537" s="1" t="s">
        <v>206</v>
      </c>
      <c r="CI2537" s="1" t="s">
        <v>207</v>
      </c>
      <c r="CK2537" s="1" t="s">
        <v>269</v>
      </c>
      <c r="CL2537" s="1" t="s">
        <v>209</v>
      </c>
      <c r="CM2537" s="1" t="s">
        <v>210</v>
      </c>
      <c r="CO2537" s="1" t="s">
        <v>265</v>
      </c>
      <c r="CP2537" s="1" t="s">
        <v>209</v>
      </c>
      <c r="CQ2537" s="1" t="s">
        <v>210</v>
      </c>
      <c r="CS2537" s="1" t="s">
        <v>640</v>
      </c>
      <c r="CT2537" s="1" t="s">
        <v>206</v>
      </c>
      <c r="CU2537" s="1" t="s">
        <v>268</v>
      </c>
      <c r="CW2537" s="1" t="s">
        <v>925</v>
      </c>
      <c r="CX2537" s="1" t="s">
        <v>206</v>
      </c>
      <c r="CY2537" s="1" t="s">
        <v>268</v>
      </c>
      <c r="DA2537" s="1" t="s">
        <v>200</v>
      </c>
      <c r="DC2537" s="1" t="s">
        <v>545</v>
      </c>
      <c r="DD2537" s="1" t="s">
        <v>957</v>
      </c>
      <c r="DE2537" s="1" t="s">
        <v>273</v>
      </c>
      <c r="DF2537" s="1" t="s">
        <v>219</v>
      </c>
      <c r="DG2537" s="1" t="s">
        <v>22664</v>
      </c>
      <c r="DH2537" s="1" t="s">
        <v>365</v>
      </c>
      <c r="DI2537" s="1" t="s">
        <v>703</v>
      </c>
      <c r="DJ2537" s="1" t="s">
        <v>222</v>
      </c>
      <c r="DK2537" s="1" t="s">
        <v>224</v>
      </c>
      <c r="DL2537" s="1" t="s">
        <v>224</v>
      </c>
      <c r="DM2537" s="1" t="s">
        <v>3697</v>
      </c>
      <c r="DN2537" s="1" t="s">
        <v>367</v>
      </c>
      <c r="DP2537" s="1" t="s">
        <v>340</v>
      </c>
      <c r="DQ2537" s="1" t="s">
        <v>228</v>
      </c>
      <c r="DR2537" s="1" t="s">
        <v>229</v>
      </c>
      <c r="DS2537" s="1" t="s">
        <v>401</v>
      </c>
      <c r="DV2537" s="1" t="s">
        <v>22880</v>
      </c>
      <c r="DW2537" s="1" t="s">
        <v>370</v>
      </c>
      <c r="DX2537" s="1" t="s">
        <v>234</v>
      </c>
      <c r="DY2537" s="1" t="s">
        <v>553</v>
      </c>
      <c r="DZ2537" s="1" t="s">
        <v>22881</v>
      </c>
      <c r="EA2537" s="1" t="s">
        <v>644</v>
      </c>
      <c r="EB2537" s="1" t="s">
        <v>345</v>
      </c>
      <c r="EC2537" s="1" t="s">
        <v>237</v>
      </c>
      <c r="ED2537" s="1" t="s">
        <v>1794</v>
      </c>
      <c r="EG2537" s="1" t="s">
        <v>13911</v>
      </c>
      <c r="EH2537" s="1" t="s">
        <v>450</v>
      </c>
      <c r="EI2537" s="1" t="s">
        <v>2129</v>
      </c>
      <c r="EJ2537" s="1" t="s">
        <v>310</v>
      </c>
      <c r="EL2537" s="1" t="s">
        <v>798</v>
      </c>
      <c r="EM2537" s="1" t="s">
        <v>209</v>
      </c>
      <c r="EN2537" s="1" t="s">
        <v>210</v>
      </c>
      <c r="EP2537" s="1" t="s">
        <v>2675</v>
      </c>
      <c r="EQ2537" s="1" t="s">
        <v>42</v>
      </c>
      <c r="ER2537" s="1" t="s">
        <v>210</v>
      </c>
      <c r="ET2537" s="1" t="s">
        <v>392</v>
      </c>
      <c r="EU2537" s="1" t="s">
        <v>206</v>
      </c>
      <c r="EX2537" s="1" t="s">
        <v>479</v>
      </c>
      <c r="EY2537" s="1" t="s">
        <v>206</v>
      </c>
      <c r="FC2537" s="1" t="s">
        <v>238</v>
      </c>
      <c r="FF2537" s="1" t="s">
        <v>239</v>
      </c>
      <c r="FG2537" s="1" t="s">
        <v>192</v>
      </c>
      <c r="FH2537" s="1" t="s">
        <v>192</v>
      </c>
      <c r="FJ2537" s="1" t="s">
        <v>22882</v>
      </c>
      <c r="FK2537" s="1" t="s">
        <v>229</v>
      </c>
      <c r="FL2537" s="1" t="s">
        <v>3185</v>
      </c>
      <c r="FM2537" s="1">
        <v>16240.0</v>
      </c>
      <c r="FN2537" s="1" t="s">
        <v>3186</v>
      </c>
      <c r="FO2537" s="1" t="s">
        <v>18662</v>
      </c>
      <c r="FP2537" s="1">
        <v>163358.0</v>
      </c>
      <c r="FQ2537" s="1" t="s">
        <v>18663</v>
      </c>
      <c r="FU2537" s="1" t="s">
        <v>22883</v>
      </c>
      <c r="FV2537" s="1" t="s">
        <v>200</v>
      </c>
      <c r="FW2537" s="1" t="s">
        <v>530</v>
      </c>
      <c r="FX2537" s="1" t="s">
        <v>238</v>
      </c>
      <c r="FZ2537" s="1" t="s">
        <v>229</v>
      </c>
      <c r="GA2537" s="1" t="s">
        <v>291</v>
      </c>
      <c r="GB2537" s="2">
        <v>42116.0</v>
      </c>
    </row>
    <row r="2538">
      <c r="A2538" s="1">
        <v>237500.0</v>
      </c>
      <c r="B2538" s="1" t="s">
        <v>185</v>
      </c>
      <c r="C2538" s="1" t="str">
        <f>"08822127"</f>
        <v>08822127</v>
      </c>
      <c r="D2538" s="1" t="s">
        <v>186</v>
      </c>
      <c r="F2538" s="1" t="str">
        <f>"543"</f>
        <v>543</v>
      </c>
      <c r="G2538" s="2">
        <v>42026.0</v>
      </c>
      <c r="H2538" s="1">
        <v>239000.0</v>
      </c>
      <c r="I2538" s="1">
        <v>191.0</v>
      </c>
      <c r="J2538" s="1">
        <v>239000.0</v>
      </c>
      <c r="K2538" s="2">
        <v>42033.0</v>
      </c>
      <c r="L2538" s="1">
        <v>8.0</v>
      </c>
      <c r="M2538" s="2">
        <v>42033.0</v>
      </c>
      <c r="N2538" s="1" t="s">
        <v>187</v>
      </c>
      <c r="O2538" s="2">
        <v>42067.0</v>
      </c>
      <c r="P2538" s="1">
        <v>236200.0</v>
      </c>
      <c r="Q2538" s="1">
        <v>25618.0</v>
      </c>
      <c r="R2538" s="1">
        <v>3300.0</v>
      </c>
      <c r="S2538" s="1">
        <v>267.0</v>
      </c>
      <c r="T2538" s="1" t="s">
        <v>16962</v>
      </c>
      <c r="U2538" s="1" t="s">
        <v>569</v>
      </c>
      <c r="V2538" s="1" t="s">
        <v>1527</v>
      </c>
      <c r="W2538" s="1">
        <v>60543.0</v>
      </c>
      <c r="Y2538" s="1" t="s">
        <v>22884</v>
      </c>
      <c r="Z2538" s="1">
        <v>2000.0</v>
      </c>
      <c r="AA2538" s="1" t="s">
        <v>200</v>
      </c>
      <c r="AB2538" s="1" t="s">
        <v>467</v>
      </c>
      <c r="AC2538" s="1" t="s">
        <v>7432</v>
      </c>
      <c r="AD2538" s="1" t="s">
        <v>1529</v>
      </c>
      <c r="AE2538" s="1" t="s">
        <v>849</v>
      </c>
      <c r="AF2538" s="1" t="s">
        <v>1529</v>
      </c>
      <c r="AH2538" s="1" t="s">
        <v>4593</v>
      </c>
      <c r="AI2538" s="1">
        <v>0.24</v>
      </c>
      <c r="AK2538" s="1">
        <v>9.0</v>
      </c>
      <c r="AL2538" s="1">
        <v>4.0</v>
      </c>
      <c r="AM2538" s="1">
        <v>2.0</v>
      </c>
      <c r="AN2538" s="1">
        <v>2.0</v>
      </c>
      <c r="AO2538" s="1" t="s">
        <v>198</v>
      </c>
      <c r="AP2538" s="1">
        <v>1.0</v>
      </c>
      <c r="AQ2538" s="1" t="s">
        <v>198</v>
      </c>
      <c r="AR2538" s="1" t="s">
        <v>192</v>
      </c>
      <c r="AS2538" s="1" t="s">
        <v>199</v>
      </c>
      <c r="AT2538" s="1">
        <v>2.0</v>
      </c>
      <c r="AV2538" s="1" t="s">
        <v>200</v>
      </c>
      <c r="AW2538" s="4">
        <v>8143.02</v>
      </c>
      <c r="AX2538" s="1">
        <v>2013.0</v>
      </c>
      <c r="AY2538" s="1" t="s">
        <v>387</v>
      </c>
      <c r="AZ2538" s="1" t="s">
        <v>200</v>
      </c>
      <c r="BA2538" s="1" t="str">
        <f>"0329276002"</f>
        <v>0329276002</v>
      </c>
      <c r="BB2538" s="1" t="s">
        <v>200</v>
      </c>
      <c r="BC2538" s="1">
        <v>2322.0</v>
      </c>
      <c r="BD2538" s="1">
        <v>237500.0</v>
      </c>
      <c r="BE2538" s="2">
        <v>42026.0</v>
      </c>
      <c r="BF2538" s="2" t="s">
        <v>22885</v>
      </c>
      <c r="BG2538" s="1" t="s">
        <v>1532</v>
      </c>
      <c r="BH2538" s="1">
        <v>231.0</v>
      </c>
      <c r="BI2538" s="1" t="s">
        <v>1533</v>
      </c>
      <c r="BJ2538" s="1" t="s">
        <v>1349</v>
      </c>
      <c r="BK2538" s="1" t="s">
        <v>580</v>
      </c>
      <c r="BL2538" s="1" t="str">
        <f t="shared" ref="BL2538:BM2538" si="1657">"0"</f>
        <v>0</v>
      </c>
      <c r="BM2538" s="1" t="str">
        <f t="shared" si="1657"/>
        <v>0</v>
      </c>
      <c r="BN2538" s="1">
        <v>37.0</v>
      </c>
      <c r="BO2538" s="1">
        <v>14.0</v>
      </c>
      <c r="BQ2538" s="1">
        <v>308.0</v>
      </c>
      <c r="BR2538" s="1">
        <v>308.0</v>
      </c>
      <c r="BS2538" s="1">
        <v>308.0</v>
      </c>
      <c r="BU2538" s="1" t="s">
        <v>584</v>
      </c>
      <c r="BV2538" s="1" t="s">
        <v>206</v>
      </c>
      <c r="BW2538" s="1" t="s">
        <v>210</v>
      </c>
      <c r="BX2538" s="1" t="s">
        <v>261</v>
      </c>
      <c r="BY2538" s="1" t="s">
        <v>260</v>
      </c>
      <c r="BZ2538" s="1" t="s">
        <v>209</v>
      </c>
      <c r="CA2538" s="1" t="s">
        <v>210</v>
      </c>
      <c r="CB2538" s="1" t="s">
        <v>261</v>
      </c>
      <c r="CC2538" s="1" t="s">
        <v>264</v>
      </c>
      <c r="CD2538" s="1" t="s">
        <v>206</v>
      </c>
      <c r="CE2538" s="1" t="s">
        <v>210</v>
      </c>
      <c r="CF2538" s="1" t="s">
        <v>261</v>
      </c>
      <c r="CG2538" s="1" t="s">
        <v>647</v>
      </c>
      <c r="CH2538" s="1" t="s">
        <v>209</v>
      </c>
      <c r="CI2538" s="1" t="s">
        <v>210</v>
      </c>
      <c r="CJ2538" s="1" t="s">
        <v>261</v>
      </c>
      <c r="CK2538" s="1" t="s">
        <v>497</v>
      </c>
      <c r="CL2538" s="1" t="s">
        <v>209</v>
      </c>
      <c r="CM2538" s="1" t="s">
        <v>210</v>
      </c>
      <c r="CN2538" s="1" t="s">
        <v>261</v>
      </c>
      <c r="CO2538" s="1" t="s">
        <v>363</v>
      </c>
      <c r="CP2538" s="1" t="s">
        <v>209</v>
      </c>
      <c r="CQ2538" s="1" t="s">
        <v>210</v>
      </c>
      <c r="CR2538" s="1" t="s">
        <v>431</v>
      </c>
      <c r="CS2538" s="1" t="s">
        <v>664</v>
      </c>
      <c r="CT2538" s="1" t="s">
        <v>206</v>
      </c>
      <c r="CU2538" s="1" t="s">
        <v>268</v>
      </c>
      <c r="CV2538" s="1" t="s">
        <v>261</v>
      </c>
      <c r="CW2538" s="1" t="s">
        <v>432</v>
      </c>
      <c r="CX2538" s="1" t="s">
        <v>206</v>
      </c>
      <c r="CY2538" s="1" t="s">
        <v>210</v>
      </c>
      <c r="CZ2538" s="1" t="s">
        <v>261</v>
      </c>
      <c r="DA2538" s="1" t="s">
        <v>200</v>
      </c>
      <c r="DC2538" s="1" t="s">
        <v>335</v>
      </c>
      <c r="DD2538" s="1" t="s">
        <v>518</v>
      </c>
      <c r="DE2538" s="1" t="s">
        <v>273</v>
      </c>
      <c r="DF2538" s="1" t="s">
        <v>219</v>
      </c>
      <c r="DG2538" s="1" t="s">
        <v>337</v>
      </c>
      <c r="DH2538" s="1" t="s">
        <v>220</v>
      </c>
      <c r="DI2538" s="1" t="s">
        <v>221</v>
      </c>
      <c r="DJ2538" s="1" t="s">
        <v>222</v>
      </c>
      <c r="DK2538" s="1" t="s">
        <v>223</v>
      </c>
      <c r="DL2538" s="1" t="s">
        <v>224</v>
      </c>
      <c r="DM2538" s="1" t="s">
        <v>338</v>
      </c>
      <c r="DN2538" s="1" t="s">
        <v>485</v>
      </c>
      <c r="DO2538" s="1" t="s">
        <v>486</v>
      </c>
      <c r="DP2538" s="1" t="s">
        <v>276</v>
      </c>
      <c r="DQ2538" s="1" t="s">
        <v>228</v>
      </c>
      <c r="DR2538" s="1" t="s">
        <v>1487</v>
      </c>
      <c r="DS2538" s="1" t="s">
        <v>230</v>
      </c>
      <c r="DU2538" s="1" t="s">
        <v>4565</v>
      </c>
      <c r="DV2538" s="1" t="s">
        <v>450</v>
      </c>
      <c r="DW2538" s="1" t="s">
        <v>444</v>
      </c>
      <c r="DX2538" s="1" t="s">
        <v>234</v>
      </c>
      <c r="DY2538" s="1" t="s">
        <v>22886</v>
      </c>
      <c r="DZ2538" s="1" t="s">
        <v>11452</v>
      </c>
      <c r="EA2538" s="1" t="s">
        <v>344</v>
      </c>
      <c r="EB2538" s="1" t="s">
        <v>492</v>
      </c>
      <c r="EC2538" s="1" t="s">
        <v>237</v>
      </c>
      <c r="ED2538" s="1" t="s">
        <v>407</v>
      </c>
      <c r="EE2538" s="1" t="s">
        <v>493</v>
      </c>
      <c r="EG2538" s="1" t="s">
        <v>450</v>
      </c>
      <c r="EL2538" s="1" t="s">
        <v>20006</v>
      </c>
      <c r="EM2538" s="1" t="s">
        <v>42</v>
      </c>
      <c r="EN2538" s="1" t="s">
        <v>210</v>
      </c>
      <c r="EO2538" s="1" t="s">
        <v>431</v>
      </c>
      <c r="EQ2538" s="1" t="s">
        <v>238</v>
      </c>
      <c r="EU2538" s="1" t="s">
        <v>238</v>
      </c>
      <c r="EY2538" s="1" t="s">
        <v>238</v>
      </c>
      <c r="FC2538" s="1" t="s">
        <v>238</v>
      </c>
      <c r="FF2538" s="1" t="s">
        <v>239</v>
      </c>
      <c r="FG2538" s="1" t="s">
        <v>192</v>
      </c>
      <c r="FH2538" s="1" t="s">
        <v>192</v>
      </c>
      <c r="FJ2538" s="1" t="s">
        <v>1747</v>
      </c>
      <c r="FK2538" s="1" t="s">
        <v>229</v>
      </c>
      <c r="FL2538" s="1" t="s">
        <v>4627</v>
      </c>
      <c r="FM2538" s="1">
        <v>23030.0</v>
      </c>
      <c r="FN2538" s="1" t="s">
        <v>4628</v>
      </c>
      <c r="FO2538" s="1" t="s">
        <v>22887</v>
      </c>
      <c r="FP2538" s="1">
        <v>245396.0</v>
      </c>
      <c r="FQ2538" s="1" t="s">
        <v>22888</v>
      </c>
      <c r="FU2538" s="1" t="s">
        <v>22889</v>
      </c>
      <c r="FV2538" s="1" t="s">
        <v>200</v>
      </c>
      <c r="FW2538" s="1" t="s">
        <v>290</v>
      </c>
      <c r="FZ2538" s="1" t="s">
        <v>632</v>
      </c>
      <c r="GA2538" s="1" t="s">
        <v>291</v>
      </c>
      <c r="GB2538" s="2">
        <v>42067.0</v>
      </c>
      <c r="GC2538" s="1" t="s">
        <v>22890</v>
      </c>
    </row>
    <row r="2539">
      <c r="A2539" s="1">
        <v>333000.0</v>
      </c>
      <c r="B2539" s="1" t="s">
        <v>185</v>
      </c>
      <c r="C2539" s="1" t="str">
        <f>"08824612"</f>
        <v>08824612</v>
      </c>
      <c r="D2539" s="1" t="s">
        <v>186</v>
      </c>
      <c r="F2539" s="1" t="str">
        <f>"174"</f>
        <v>174</v>
      </c>
      <c r="G2539" s="2">
        <v>42030.0</v>
      </c>
      <c r="H2539" s="1">
        <v>350000.0</v>
      </c>
      <c r="I2539" s="1">
        <v>38.0</v>
      </c>
      <c r="J2539" s="1">
        <v>342500.0</v>
      </c>
      <c r="K2539" s="2">
        <v>42067.0</v>
      </c>
      <c r="L2539" s="1">
        <v>38.0</v>
      </c>
      <c r="M2539" s="2">
        <v>42067.0</v>
      </c>
      <c r="N2539" s="1" t="s">
        <v>187</v>
      </c>
      <c r="O2539" s="2">
        <v>42095.0</v>
      </c>
      <c r="P2539" s="1">
        <v>7818.0</v>
      </c>
      <c r="Q2539" s="1">
        <v>890.0</v>
      </c>
      <c r="S2539" s="1">
        <v>2100.0</v>
      </c>
      <c r="T2539" s="1" t="s">
        <v>22891</v>
      </c>
      <c r="U2539" s="1" t="s">
        <v>464</v>
      </c>
      <c r="V2539" s="1" t="s">
        <v>1200</v>
      </c>
      <c r="W2539" s="1">
        <v>60174.0</v>
      </c>
      <c r="Y2539" s="1" t="s">
        <v>22892</v>
      </c>
      <c r="Z2539" s="1">
        <v>1986.0</v>
      </c>
      <c r="AA2539" s="1" t="s">
        <v>200</v>
      </c>
      <c r="AB2539" s="1" t="s">
        <v>193</v>
      </c>
      <c r="AC2539" s="1" t="s">
        <v>22893</v>
      </c>
      <c r="AD2539" s="1" t="s">
        <v>1203</v>
      </c>
      <c r="AE2539" s="1" t="s">
        <v>325</v>
      </c>
      <c r="AF2539" s="1" t="s">
        <v>1203</v>
      </c>
      <c r="AH2539" s="1" t="s">
        <v>22894</v>
      </c>
      <c r="AI2539" s="1">
        <v>0.4</v>
      </c>
      <c r="AK2539" s="1">
        <v>8.0</v>
      </c>
      <c r="AL2539" s="1">
        <v>4.0</v>
      </c>
      <c r="AM2539" s="1">
        <v>2.0</v>
      </c>
      <c r="AN2539" s="1">
        <v>1.0</v>
      </c>
      <c r="AO2539" s="1" t="s">
        <v>198</v>
      </c>
      <c r="AP2539" s="1">
        <v>1.0</v>
      </c>
      <c r="AQ2539" s="1" t="s">
        <v>1314</v>
      </c>
      <c r="AR2539" s="1" t="s">
        <v>200</v>
      </c>
      <c r="AS2539" s="1" t="s">
        <v>199</v>
      </c>
      <c r="AT2539" s="1">
        <v>2.0</v>
      </c>
      <c r="AV2539" s="1" t="s">
        <v>200</v>
      </c>
      <c r="AW2539" s="1">
        <v>8743.82</v>
      </c>
      <c r="AX2539" s="1">
        <v>2013.0</v>
      </c>
      <c r="AY2539" s="1" t="s">
        <v>387</v>
      </c>
      <c r="AZ2539" s="1" t="s">
        <v>200</v>
      </c>
      <c r="BA2539" s="1" t="str">
        <f>"0926251017"</f>
        <v>0926251017</v>
      </c>
      <c r="BB2539" s="1" t="s">
        <v>200</v>
      </c>
      <c r="BC2539" s="1">
        <v>2160.0</v>
      </c>
      <c r="BD2539" s="1">
        <v>333000.0</v>
      </c>
      <c r="BE2539" s="2">
        <v>42030.0</v>
      </c>
      <c r="BF2539" s="2" t="s">
        <v>22895</v>
      </c>
      <c r="BG2539" s="1" t="s">
        <v>5913</v>
      </c>
      <c r="BH2539" s="1">
        <v>0.0</v>
      </c>
      <c r="BI2539" s="1" t="s">
        <v>2143</v>
      </c>
      <c r="BJ2539" s="1" t="s">
        <v>2144</v>
      </c>
      <c r="BK2539" s="1" t="s">
        <v>204</v>
      </c>
      <c r="BL2539" s="1" t="str">
        <f>"3"</f>
        <v>3</v>
      </c>
      <c r="BM2539" s="1" t="str">
        <f>"0"</f>
        <v>0</v>
      </c>
      <c r="BN2539" s="1">
        <v>34.0</v>
      </c>
      <c r="BO2539" s="1">
        <v>0.0</v>
      </c>
      <c r="BQ2539" s="1">
        <v>303.0</v>
      </c>
      <c r="BR2539" s="1">
        <v>303.0</v>
      </c>
      <c r="BS2539" s="1">
        <v>303.0</v>
      </c>
      <c r="BU2539" s="1" t="s">
        <v>1117</v>
      </c>
      <c r="BV2539" s="1" t="s">
        <v>206</v>
      </c>
      <c r="BW2539" s="1" t="s">
        <v>210</v>
      </c>
      <c r="BY2539" s="1" t="s">
        <v>1000</v>
      </c>
      <c r="BZ2539" s="1" t="s">
        <v>209</v>
      </c>
      <c r="CA2539" s="1" t="s">
        <v>210</v>
      </c>
      <c r="CC2539" s="1" t="s">
        <v>262</v>
      </c>
      <c r="CD2539" s="1" t="s">
        <v>206</v>
      </c>
      <c r="CE2539" s="1" t="s">
        <v>210</v>
      </c>
      <c r="CG2539" s="1" t="s">
        <v>497</v>
      </c>
      <c r="CH2539" s="1" t="s">
        <v>209</v>
      </c>
      <c r="CI2539" s="1" t="s">
        <v>210</v>
      </c>
      <c r="CK2539" s="1" t="s">
        <v>497</v>
      </c>
      <c r="CL2539" s="1" t="s">
        <v>209</v>
      </c>
      <c r="CM2539" s="1" t="s">
        <v>210</v>
      </c>
      <c r="CO2539" s="1" t="s">
        <v>699</v>
      </c>
      <c r="CP2539" s="1" t="s">
        <v>209</v>
      </c>
      <c r="CQ2539" s="1" t="s">
        <v>210</v>
      </c>
      <c r="CS2539" s="1" t="s">
        <v>1891</v>
      </c>
      <c r="CT2539" s="1" t="s">
        <v>206</v>
      </c>
      <c r="CU2539" s="1" t="s">
        <v>207</v>
      </c>
      <c r="CW2539" s="1" t="s">
        <v>214</v>
      </c>
      <c r="CX2539" s="1" t="s">
        <v>206</v>
      </c>
      <c r="CY2539" s="1" t="s">
        <v>207</v>
      </c>
      <c r="DA2539" s="1" t="s">
        <v>200</v>
      </c>
      <c r="DC2539" s="1" t="s">
        <v>305</v>
      </c>
      <c r="DD2539" s="1" t="s">
        <v>336</v>
      </c>
      <c r="DE2539" s="1" t="s">
        <v>273</v>
      </c>
      <c r="DF2539" s="1" t="s">
        <v>219</v>
      </c>
      <c r="DG2539" s="1" t="s">
        <v>1160</v>
      </c>
      <c r="DH2539" s="1" t="s">
        <v>220</v>
      </c>
      <c r="DI2539" s="1" t="s">
        <v>959</v>
      </c>
      <c r="DJ2539" s="1" t="s">
        <v>222</v>
      </c>
      <c r="DK2539" s="1" t="s">
        <v>2312</v>
      </c>
      <c r="DL2539" s="1" t="s">
        <v>438</v>
      </c>
      <c r="DM2539" s="1" t="s">
        <v>338</v>
      </c>
      <c r="DN2539" s="1" t="s">
        <v>666</v>
      </c>
      <c r="DO2539" s="1" t="s">
        <v>2838</v>
      </c>
      <c r="DP2539" s="1" t="s">
        <v>400</v>
      </c>
      <c r="DQ2539" s="1" t="s">
        <v>441</v>
      </c>
      <c r="DR2539" s="1" t="s">
        <v>229</v>
      </c>
      <c r="DS2539" s="1" t="s">
        <v>230</v>
      </c>
      <c r="DU2539" s="1" t="s">
        <v>7409</v>
      </c>
      <c r="DV2539" s="1" t="s">
        <v>232</v>
      </c>
      <c r="DW2539" s="1" t="s">
        <v>934</v>
      </c>
      <c r="DX2539" s="1" t="s">
        <v>234</v>
      </c>
      <c r="DY2539" s="1" t="s">
        <v>596</v>
      </c>
      <c r="DZ2539" s="1" t="s">
        <v>22896</v>
      </c>
      <c r="EA2539" s="1" t="s">
        <v>344</v>
      </c>
      <c r="EB2539" s="1" t="s">
        <v>937</v>
      </c>
      <c r="EC2539" s="1" t="s">
        <v>237</v>
      </c>
      <c r="ED2539" s="1" t="s">
        <v>407</v>
      </c>
      <c r="EE2539" s="1" t="s">
        <v>187</v>
      </c>
      <c r="EM2539" s="1" t="s">
        <v>238</v>
      </c>
      <c r="EQ2539" s="1" t="s">
        <v>238</v>
      </c>
      <c r="EU2539" s="1" t="s">
        <v>238</v>
      </c>
      <c r="EY2539" s="1" t="s">
        <v>238</v>
      </c>
      <c r="FC2539" s="1" t="s">
        <v>238</v>
      </c>
      <c r="FF2539" s="1" t="s">
        <v>239</v>
      </c>
      <c r="FG2539" s="1" t="s">
        <v>192</v>
      </c>
      <c r="FH2539" s="1" t="s">
        <v>192</v>
      </c>
      <c r="FJ2539" s="1" t="s">
        <v>1982</v>
      </c>
      <c r="FK2539" s="1" t="s">
        <v>229</v>
      </c>
      <c r="FL2539" s="1" t="s">
        <v>1212</v>
      </c>
      <c r="FM2539" s="1">
        <v>30.0</v>
      </c>
      <c r="FN2539" s="1" t="s">
        <v>1213</v>
      </c>
      <c r="FO2539" s="1" t="s">
        <v>4599</v>
      </c>
      <c r="FP2539" s="1">
        <v>878.0</v>
      </c>
      <c r="FQ2539" s="1" t="s">
        <v>4600</v>
      </c>
      <c r="FR2539" s="1">
        <v>236610.0</v>
      </c>
      <c r="FU2539" s="1" t="s">
        <v>11164</v>
      </c>
      <c r="FV2539" s="1" t="s">
        <v>200</v>
      </c>
      <c r="FW2539" s="1" t="s">
        <v>290</v>
      </c>
      <c r="FZ2539" s="1" t="s">
        <v>229</v>
      </c>
      <c r="GA2539" s="1" t="s">
        <v>291</v>
      </c>
      <c r="GB2539" s="2">
        <v>42096.0</v>
      </c>
      <c r="GC2539" s="1" t="s">
        <v>22897</v>
      </c>
    </row>
    <row r="2540">
      <c r="A2540" s="1">
        <v>174000.0</v>
      </c>
      <c r="B2540" s="1" t="s">
        <v>185</v>
      </c>
      <c r="C2540" s="1" t="str">
        <f>"08827000"</f>
        <v>08827000</v>
      </c>
      <c r="D2540" s="1" t="s">
        <v>186</v>
      </c>
      <c r="F2540" s="1" t="str">
        <f>"8070"</f>
        <v>8070</v>
      </c>
      <c r="G2540" s="2">
        <v>42033.0</v>
      </c>
      <c r="H2540" s="1">
        <v>174900.0</v>
      </c>
      <c r="I2540" s="1">
        <v>41.0</v>
      </c>
      <c r="J2540" s="1">
        <v>174900.0</v>
      </c>
      <c r="K2540" s="2">
        <v>42073.0</v>
      </c>
      <c r="L2540" s="1">
        <v>41.0</v>
      </c>
      <c r="M2540" s="2">
        <v>42073.0</v>
      </c>
      <c r="N2540" s="1" t="s">
        <v>356</v>
      </c>
      <c r="O2540" s="2">
        <v>42111.0</v>
      </c>
      <c r="P2540" s="1">
        <v>229702.0</v>
      </c>
      <c r="Q2540" s="1">
        <v>60473.0</v>
      </c>
      <c r="S2540" s="1">
        <v>4014.0</v>
      </c>
      <c r="T2540" s="1" t="s">
        <v>22898</v>
      </c>
      <c r="U2540" s="1" t="s">
        <v>694</v>
      </c>
      <c r="V2540" s="1" t="s">
        <v>190</v>
      </c>
      <c r="W2540" s="1">
        <v>60652.0</v>
      </c>
      <c r="X2540" s="1">
        <v>1213.0</v>
      </c>
      <c r="Y2540" s="1" t="s">
        <v>22899</v>
      </c>
      <c r="Z2540" s="1">
        <v>1952.0</v>
      </c>
      <c r="AA2540" s="1" t="s">
        <v>192</v>
      </c>
      <c r="AB2540" s="1" t="s">
        <v>193</v>
      </c>
      <c r="AD2540" s="1" t="s">
        <v>194</v>
      </c>
      <c r="AE2540" s="1" t="s">
        <v>195</v>
      </c>
      <c r="AF2540" s="1" t="s">
        <v>659</v>
      </c>
      <c r="AH2540" s="1" t="s">
        <v>22900</v>
      </c>
      <c r="AI2540" s="1">
        <v>0.1379</v>
      </c>
      <c r="AK2540" s="1">
        <v>7.0</v>
      </c>
      <c r="AL2540" s="1">
        <v>2.0</v>
      </c>
      <c r="AM2540" s="1">
        <v>2.0</v>
      </c>
      <c r="AN2540" s="1">
        <v>0.0</v>
      </c>
      <c r="AO2540" s="1" t="s">
        <v>229</v>
      </c>
      <c r="AP2540" s="1">
        <v>1.0</v>
      </c>
      <c r="AQ2540" s="1" t="s">
        <v>198</v>
      </c>
      <c r="AR2540" s="1" t="s">
        <v>192</v>
      </c>
      <c r="AS2540" s="1" t="s">
        <v>199</v>
      </c>
      <c r="AT2540" s="1">
        <v>2.0</v>
      </c>
      <c r="AV2540" s="1" t="s">
        <v>200</v>
      </c>
      <c r="AW2540" s="1">
        <v>2011.07</v>
      </c>
      <c r="AX2540" s="1">
        <v>2013.0</v>
      </c>
      <c r="AY2540" s="1" t="s">
        <v>229</v>
      </c>
      <c r="AZ2540" s="1" t="s">
        <v>200</v>
      </c>
      <c r="BA2540" s="1" t="str">
        <f>"19274030250000"</f>
        <v>19274030250000</v>
      </c>
      <c r="BC2540" s="1">
        <v>840.0</v>
      </c>
      <c r="BD2540" s="1">
        <v>174000.0</v>
      </c>
      <c r="BE2540" s="2">
        <v>42033.0</v>
      </c>
      <c r="BF2540" s="2" t="s">
        <v>22901</v>
      </c>
      <c r="BH2540" s="1">
        <v>0.0</v>
      </c>
      <c r="BK2540" s="1" t="s">
        <v>204</v>
      </c>
      <c r="BL2540" s="1" t="str">
        <f t="shared" ref="BL2540:BM2540" si="1658">"0"</f>
        <v>0</v>
      </c>
      <c r="BM2540" s="1" t="str">
        <f t="shared" si="1658"/>
        <v>0</v>
      </c>
      <c r="BN2540" s="1">
        <v>4014.0</v>
      </c>
      <c r="BO2540" s="1">
        <v>7750.0</v>
      </c>
      <c r="BQ2540" s="1">
        <v>299.0</v>
      </c>
      <c r="BR2540" s="1">
        <v>299.0</v>
      </c>
      <c r="BS2540" s="1">
        <v>299.0</v>
      </c>
      <c r="BU2540" s="1" t="s">
        <v>205</v>
      </c>
      <c r="BV2540" s="1" t="s">
        <v>206</v>
      </c>
      <c r="BW2540" s="1" t="s">
        <v>207</v>
      </c>
      <c r="BY2540" s="1" t="s">
        <v>497</v>
      </c>
      <c r="BZ2540" s="1" t="s">
        <v>206</v>
      </c>
      <c r="CA2540" s="1" t="s">
        <v>207</v>
      </c>
      <c r="CD2540" s="1" t="s">
        <v>204</v>
      </c>
      <c r="CG2540" s="1" t="s">
        <v>497</v>
      </c>
      <c r="CH2540" s="1" t="s">
        <v>206</v>
      </c>
      <c r="CI2540" s="1" t="s">
        <v>207</v>
      </c>
      <c r="CK2540" s="1" t="s">
        <v>495</v>
      </c>
      <c r="CL2540" s="1" t="s">
        <v>42</v>
      </c>
      <c r="CM2540" s="1" t="s">
        <v>268</v>
      </c>
      <c r="CO2540" s="1" t="s">
        <v>495</v>
      </c>
      <c r="CP2540" s="1" t="s">
        <v>42</v>
      </c>
      <c r="CQ2540" s="1" t="s">
        <v>268</v>
      </c>
      <c r="CS2540" s="1" t="s">
        <v>392</v>
      </c>
      <c r="CT2540" s="1" t="s">
        <v>206</v>
      </c>
      <c r="CU2540" s="1" t="s">
        <v>207</v>
      </c>
      <c r="CW2540" s="1" t="s">
        <v>3375</v>
      </c>
      <c r="CX2540" s="1" t="s">
        <v>42</v>
      </c>
      <c r="CY2540" s="1" t="s">
        <v>268</v>
      </c>
      <c r="DA2540" s="1" t="s">
        <v>200</v>
      </c>
      <c r="DC2540" s="1" t="s">
        <v>702</v>
      </c>
      <c r="DD2540" s="1" t="s">
        <v>306</v>
      </c>
      <c r="DE2540" s="1" t="s">
        <v>273</v>
      </c>
      <c r="DF2540" s="1" t="s">
        <v>219</v>
      </c>
      <c r="DG2540" s="1" t="s">
        <v>482</v>
      </c>
      <c r="DH2540" s="1" t="s">
        <v>365</v>
      </c>
      <c r="DI2540" s="1" t="s">
        <v>366</v>
      </c>
      <c r="DJ2540" s="1" t="s">
        <v>1379</v>
      </c>
      <c r="DL2540" s="1" t="s">
        <v>224</v>
      </c>
      <c r="DM2540" s="1" t="s">
        <v>1464</v>
      </c>
      <c r="DN2540" s="1" t="s">
        <v>5615</v>
      </c>
      <c r="DO2540" s="1" t="s">
        <v>1979</v>
      </c>
      <c r="DQ2540" s="1" t="s">
        <v>794</v>
      </c>
      <c r="DR2540" s="1" t="s">
        <v>229</v>
      </c>
      <c r="DS2540" s="1" t="s">
        <v>401</v>
      </c>
      <c r="DU2540" s="1" t="s">
        <v>2070</v>
      </c>
      <c r="DV2540" s="1" t="s">
        <v>232</v>
      </c>
      <c r="DW2540" s="1" t="s">
        <v>279</v>
      </c>
      <c r="DX2540" s="1" t="s">
        <v>234</v>
      </c>
      <c r="DY2540" s="1" t="s">
        <v>2423</v>
      </c>
      <c r="EA2540" s="1" t="s">
        <v>683</v>
      </c>
      <c r="EB2540" s="1" t="s">
        <v>22902</v>
      </c>
      <c r="EC2540" s="1" t="s">
        <v>311</v>
      </c>
      <c r="ED2540" s="1" t="s">
        <v>407</v>
      </c>
      <c r="EE2540" s="1" t="s">
        <v>493</v>
      </c>
      <c r="EM2540" s="1" t="s">
        <v>238</v>
      </c>
      <c r="EQ2540" s="1" t="s">
        <v>238</v>
      </c>
      <c r="EU2540" s="1" t="s">
        <v>238</v>
      </c>
      <c r="EY2540" s="1" t="s">
        <v>238</v>
      </c>
      <c r="FC2540" s="1" t="s">
        <v>238</v>
      </c>
      <c r="FF2540" s="1" t="s">
        <v>239</v>
      </c>
      <c r="FG2540" s="1" t="s">
        <v>192</v>
      </c>
      <c r="FH2540" s="1" t="s">
        <v>192</v>
      </c>
      <c r="FJ2540" s="1" t="s">
        <v>770</v>
      </c>
      <c r="FK2540" s="1" t="s">
        <v>229</v>
      </c>
      <c r="FL2540" s="1" t="s">
        <v>3358</v>
      </c>
      <c r="FM2540" s="1">
        <v>84818.0</v>
      </c>
      <c r="FN2540" s="1" t="s">
        <v>3359</v>
      </c>
      <c r="FO2540" s="1" t="s">
        <v>5619</v>
      </c>
      <c r="FP2540" s="1">
        <v>162070.0</v>
      </c>
      <c r="FQ2540" s="1" t="s">
        <v>5620</v>
      </c>
      <c r="FR2540" s="1">
        <v>841730.0</v>
      </c>
      <c r="FU2540" s="1" t="s">
        <v>5621</v>
      </c>
      <c r="FV2540" s="1" t="s">
        <v>200</v>
      </c>
      <c r="FW2540" s="1" t="s">
        <v>530</v>
      </c>
      <c r="FX2540" s="1" t="s">
        <v>246</v>
      </c>
      <c r="FZ2540" s="1" t="s">
        <v>229</v>
      </c>
      <c r="GA2540" s="1" t="s">
        <v>291</v>
      </c>
      <c r="GB2540" s="2">
        <v>42111.0</v>
      </c>
      <c r="GC2540" s="1" t="s">
        <v>5622</v>
      </c>
    </row>
    <row r="2541">
      <c r="A2541" s="1">
        <v>550000.0</v>
      </c>
      <c r="B2541" s="1" t="s">
        <v>185</v>
      </c>
      <c r="C2541" s="1" t="str">
        <f>"08821955"</f>
        <v>08821955</v>
      </c>
      <c r="D2541" s="1" t="s">
        <v>186</v>
      </c>
      <c r="F2541" s="1" t="str">
        <f>"10"</f>
        <v>10</v>
      </c>
      <c r="G2541" s="2">
        <v>42026.0</v>
      </c>
      <c r="H2541" s="1">
        <v>580000.0</v>
      </c>
      <c r="I2541" s="1">
        <v>296.0</v>
      </c>
      <c r="J2541" s="1">
        <v>580000.0</v>
      </c>
      <c r="K2541" s="2">
        <v>42051.0</v>
      </c>
      <c r="L2541" s="1">
        <v>26.0</v>
      </c>
      <c r="M2541" s="2">
        <v>42051.0</v>
      </c>
      <c r="N2541" s="1" t="s">
        <v>249</v>
      </c>
      <c r="O2541" s="2">
        <v>42079.0</v>
      </c>
      <c r="P2541" s="1">
        <v>62754.0</v>
      </c>
      <c r="Q2541" s="1">
        <v>4534.0</v>
      </c>
      <c r="S2541" s="1">
        <v>275.0</v>
      </c>
      <c r="T2541" s="1" t="s">
        <v>22903</v>
      </c>
      <c r="U2541" s="1" t="s">
        <v>464</v>
      </c>
      <c r="V2541" s="1" t="s">
        <v>11508</v>
      </c>
      <c r="W2541" s="1">
        <v>60010.0</v>
      </c>
      <c r="Y2541" s="1" t="s">
        <v>22904</v>
      </c>
      <c r="Z2541" s="1">
        <v>1989.0</v>
      </c>
      <c r="AA2541" s="1" t="s">
        <v>200</v>
      </c>
      <c r="AB2541" s="1" t="s">
        <v>193</v>
      </c>
      <c r="AC2541" s="1" t="s">
        <v>14284</v>
      </c>
      <c r="AD2541" s="1" t="s">
        <v>11511</v>
      </c>
      <c r="AE2541" s="1" t="s">
        <v>917</v>
      </c>
      <c r="AF2541" s="1" t="s">
        <v>2008</v>
      </c>
      <c r="AG2541" s="1" t="s">
        <v>752</v>
      </c>
      <c r="AH2541" s="1" t="s">
        <v>22905</v>
      </c>
      <c r="AI2541" s="1">
        <v>1.0052</v>
      </c>
      <c r="AK2541" s="1">
        <v>13.0</v>
      </c>
      <c r="AL2541" s="1">
        <v>4.0</v>
      </c>
      <c r="AM2541" s="1">
        <v>3.0</v>
      </c>
      <c r="AN2541" s="1">
        <v>2.0</v>
      </c>
      <c r="AO2541" s="1" t="s">
        <v>198</v>
      </c>
      <c r="AP2541" s="1">
        <v>5.0</v>
      </c>
      <c r="AQ2541" s="1" t="s">
        <v>472</v>
      </c>
      <c r="AR2541" s="1" t="s">
        <v>192</v>
      </c>
      <c r="AS2541" s="1" t="s">
        <v>199</v>
      </c>
      <c r="AT2541" s="1">
        <v>3.0</v>
      </c>
      <c r="AV2541" s="1" t="s">
        <v>200</v>
      </c>
      <c r="AW2541" s="1">
        <v>15581.0</v>
      </c>
      <c r="AX2541" s="1">
        <v>2013.0</v>
      </c>
      <c r="AY2541" s="1" t="s">
        <v>387</v>
      </c>
      <c r="AZ2541" s="1" t="s">
        <v>200</v>
      </c>
      <c r="BA2541" s="1" t="str">
        <f>"13132070240000"</f>
        <v>13132070240000</v>
      </c>
      <c r="BB2541" s="1" t="s">
        <v>200</v>
      </c>
      <c r="BC2541" s="1">
        <v>4980.0</v>
      </c>
      <c r="BD2541" s="1">
        <v>550000.0</v>
      </c>
      <c r="BE2541" s="2">
        <v>42026.0</v>
      </c>
      <c r="BF2541" s="2" t="s">
        <v>22906</v>
      </c>
      <c r="BG2541" s="1" t="s">
        <v>2011</v>
      </c>
      <c r="BH2541" s="1">
        <v>0.0</v>
      </c>
      <c r="BI2541" s="1" t="s">
        <v>11276</v>
      </c>
      <c r="BJ2541" s="1" t="s">
        <v>1714</v>
      </c>
      <c r="BK2541" s="1" t="s">
        <v>204</v>
      </c>
      <c r="BL2541" s="1" t="str">
        <f t="shared" ref="BL2541:BM2541" si="1659">""</f>
        <v/>
      </c>
      <c r="BM2541" s="1" t="str">
        <f t="shared" si="1659"/>
        <v/>
      </c>
      <c r="BQ2541" s="1">
        <v>220.0</v>
      </c>
      <c r="BR2541" s="1">
        <v>220.0</v>
      </c>
      <c r="BS2541" s="1">
        <v>220.0</v>
      </c>
      <c r="BU2541" s="1" t="s">
        <v>583</v>
      </c>
      <c r="BV2541" s="1" t="s">
        <v>206</v>
      </c>
      <c r="BW2541" s="1" t="s">
        <v>210</v>
      </c>
      <c r="BX2541" s="1" t="s">
        <v>431</v>
      </c>
      <c r="BY2541" s="1" t="s">
        <v>715</v>
      </c>
      <c r="BZ2541" s="1" t="s">
        <v>209</v>
      </c>
      <c r="CA2541" s="1" t="s">
        <v>210</v>
      </c>
      <c r="CB2541" s="1" t="s">
        <v>239</v>
      </c>
      <c r="CC2541" s="1" t="s">
        <v>390</v>
      </c>
      <c r="CD2541" s="1" t="s">
        <v>206</v>
      </c>
      <c r="CE2541" s="1" t="s">
        <v>210</v>
      </c>
      <c r="CF2541" s="1" t="s">
        <v>229</v>
      </c>
      <c r="CG2541" s="1" t="s">
        <v>758</v>
      </c>
      <c r="CH2541" s="1" t="s">
        <v>209</v>
      </c>
      <c r="CI2541" s="1" t="s">
        <v>210</v>
      </c>
      <c r="CJ2541" s="1" t="s">
        <v>431</v>
      </c>
      <c r="CK2541" s="1" t="s">
        <v>758</v>
      </c>
      <c r="CL2541" s="1" t="s">
        <v>209</v>
      </c>
      <c r="CM2541" s="1" t="s">
        <v>210</v>
      </c>
      <c r="CN2541" s="1" t="s">
        <v>239</v>
      </c>
      <c r="CO2541" s="1" t="s">
        <v>363</v>
      </c>
      <c r="CP2541" s="1" t="s">
        <v>209</v>
      </c>
      <c r="CQ2541" s="1" t="s">
        <v>210</v>
      </c>
      <c r="CR2541" s="1" t="s">
        <v>431</v>
      </c>
      <c r="CS2541" s="1" t="s">
        <v>758</v>
      </c>
      <c r="CT2541" s="1" t="s">
        <v>206</v>
      </c>
      <c r="CU2541" s="1" t="s">
        <v>207</v>
      </c>
      <c r="CV2541" s="1" t="s">
        <v>229</v>
      </c>
      <c r="CW2541" s="1" t="s">
        <v>2181</v>
      </c>
      <c r="CX2541" s="1" t="s">
        <v>206</v>
      </c>
      <c r="CY2541" s="1" t="s">
        <v>210</v>
      </c>
      <c r="CZ2541" s="1" t="s">
        <v>229</v>
      </c>
      <c r="DA2541" s="1" t="s">
        <v>200</v>
      </c>
      <c r="DC2541" s="1" t="s">
        <v>305</v>
      </c>
      <c r="DD2541" s="1" t="s">
        <v>336</v>
      </c>
      <c r="DE2541" s="1" t="s">
        <v>273</v>
      </c>
      <c r="DF2541" s="1" t="s">
        <v>219</v>
      </c>
      <c r="DG2541" s="1" t="s">
        <v>1812</v>
      </c>
      <c r="DH2541" s="1" t="s">
        <v>856</v>
      </c>
      <c r="DI2541" s="1" t="s">
        <v>22907</v>
      </c>
      <c r="DJ2541" s="1" t="s">
        <v>18269</v>
      </c>
      <c r="DL2541" s="1" t="s">
        <v>224</v>
      </c>
      <c r="DM2541" s="1" t="s">
        <v>338</v>
      </c>
      <c r="DN2541" s="1" t="s">
        <v>399</v>
      </c>
      <c r="DO2541" s="1" t="s">
        <v>19931</v>
      </c>
      <c r="DP2541" s="1" t="s">
        <v>340</v>
      </c>
      <c r="DQ2541" s="1" t="s">
        <v>931</v>
      </c>
      <c r="DR2541" s="1" t="s">
        <v>229</v>
      </c>
      <c r="DS2541" s="1" t="s">
        <v>230</v>
      </c>
      <c r="DU2541" s="1" t="s">
        <v>22908</v>
      </c>
      <c r="DV2541" s="1" t="s">
        <v>22909</v>
      </c>
      <c r="DW2541" s="1" t="s">
        <v>964</v>
      </c>
      <c r="DX2541" s="1" t="s">
        <v>234</v>
      </c>
      <c r="DY2541" s="1" t="s">
        <v>1821</v>
      </c>
      <c r="DZ2541" s="1" t="s">
        <v>21365</v>
      </c>
      <c r="EA2541" s="1" t="s">
        <v>447</v>
      </c>
      <c r="EB2541" s="1" t="s">
        <v>22910</v>
      </c>
      <c r="EC2541" s="1" t="s">
        <v>237</v>
      </c>
      <c r="ED2541" s="1" t="s">
        <v>407</v>
      </c>
      <c r="EG2541" s="1" t="s">
        <v>556</v>
      </c>
      <c r="EH2541" s="1" t="s">
        <v>598</v>
      </c>
      <c r="EI2541" s="1" t="s">
        <v>341</v>
      </c>
      <c r="EJ2541" s="1" t="s">
        <v>450</v>
      </c>
      <c r="EK2541" s="1" t="s">
        <v>1491</v>
      </c>
      <c r="EL2541" s="1" t="s">
        <v>925</v>
      </c>
      <c r="EM2541" s="1" t="s">
        <v>206</v>
      </c>
      <c r="EN2541" s="1" t="s">
        <v>207</v>
      </c>
      <c r="EO2541" s="1" t="s">
        <v>229</v>
      </c>
      <c r="EP2541" s="1" t="s">
        <v>433</v>
      </c>
      <c r="EQ2541" s="1" t="s">
        <v>206</v>
      </c>
      <c r="ER2541" s="1" t="s">
        <v>210</v>
      </c>
      <c r="ES2541" s="1" t="s">
        <v>1118</v>
      </c>
      <c r="ET2541" s="1" t="s">
        <v>1483</v>
      </c>
      <c r="EU2541" s="1" t="s">
        <v>209</v>
      </c>
      <c r="EV2541" s="1" t="s">
        <v>210</v>
      </c>
      <c r="EW2541" s="1" t="s">
        <v>229</v>
      </c>
      <c r="EX2541" s="1" t="s">
        <v>22911</v>
      </c>
      <c r="EY2541" s="1" t="s">
        <v>267</v>
      </c>
      <c r="EZ2541" s="1" t="s">
        <v>210</v>
      </c>
      <c r="FA2541" s="1" t="s">
        <v>229</v>
      </c>
      <c r="FB2541" s="1" t="s">
        <v>6890</v>
      </c>
      <c r="FC2541" s="1" t="s">
        <v>267</v>
      </c>
      <c r="FD2541" s="1" t="s">
        <v>588</v>
      </c>
      <c r="FE2541" s="1" t="s">
        <v>229</v>
      </c>
      <c r="FF2541" s="1" t="s">
        <v>239</v>
      </c>
      <c r="FG2541" s="1" t="s">
        <v>192</v>
      </c>
      <c r="FH2541" s="1" t="s">
        <v>192</v>
      </c>
      <c r="FJ2541" s="1" t="s">
        <v>14295</v>
      </c>
      <c r="FK2541" s="1" t="s">
        <v>229</v>
      </c>
      <c r="FL2541" s="1" t="s">
        <v>2026</v>
      </c>
      <c r="FM2541" s="1">
        <v>6018.0</v>
      </c>
      <c r="FN2541" s="1" t="s">
        <v>2027</v>
      </c>
      <c r="FO2541" s="1" t="s">
        <v>22912</v>
      </c>
      <c r="FP2541" s="1">
        <v>62284.0</v>
      </c>
      <c r="FQ2541" s="1" t="s">
        <v>2027</v>
      </c>
      <c r="FU2541" s="1" t="s">
        <v>22913</v>
      </c>
      <c r="FV2541" s="1" t="s">
        <v>200</v>
      </c>
      <c r="FW2541" s="1" t="s">
        <v>530</v>
      </c>
      <c r="FZ2541" s="1" t="s">
        <v>229</v>
      </c>
      <c r="GA2541" s="1" t="s">
        <v>291</v>
      </c>
      <c r="GB2541" s="2">
        <v>42079.0</v>
      </c>
      <c r="GC2541" s="1" t="s">
        <v>22914</v>
      </c>
    </row>
    <row r="2542">
      <c r="A2542" s="1">
        <v>185000.0</v>
      </c>
      <c r="B2542" s="1" t="s">
        <v>185</v>
      </c>
      <c r="C2542" s="1" t="str">
        <f>"08820971"</f>
        <v>08820971</v>
      </c>
      <c r="D2542" s="1" t="s">
        <v>186</v>
      </c>
      <c r="F2542" s="1" t="str">
        <f>"8073"</f>
        <v>8073</v>
      </c>
      <c r="G2542" s="2">
        <v>42025.0</v>
      </c>
      <c r="H2542" s="1">
        <v>185000.0</v>
      </c>
      <c r="I2542" s="1">
        <v>183.0</v>
      </c>
      <c r="J2542" s="1">
        <v>185000.0</v>
      </c>
      <c r="K2542" s="2">
        <v>42030.0</v>
      </c>
      <c r="L2542" s="1">
        <v>6.0</v>
      </c>
      <c r="M2542" s="2">
        <v>42030.0</v>
      </c>
      <c r="N2542" s="1" t="s">
        <v>356</v>
      </c>
      <c r="O2542" s="2">
        <v>42060.0</v>
      </c>
      <c r="P2542" s="1">
        <v>164862.0</v>
      </c>
      <c r="Q2542" s="1">
        <v>16938.0</v>
      </c>
      <c r="R2542" s="1">
        <v>2.0</v>
      </c>
      <c r="S2542" s="1">
        <v>10601.0</v>
      </c>
      <c r="T2542" s="1" t="s">
        <v>2655</v>
      </c>
      <c r="U2542" s="1" t="s">
        <v>320</v>
      </c>
      <c r="V2542" s="1" t="s">
        <v>190</v>
      </c>
      <c r="W2542" s="1">
        <v>60643.0</v>
      </c>
      <c r="Y2542" s="1" t="s">
        <v>22915</v>
      </c>
      <c r="Z2542" s="1">
        <v>1925.0</v>
      </c>
      <c r="AA2542" s="1" t="s">
        <v>192</v>
      </c>
      <c r="AB2542" s="1" t="s">
        <v>193</v>
      </c>
      <c r="AD2542" s="1" t="s">
        <v>194</v>
      </c>
      <c r="AE2542" s="1" t="s">
        <v>195</v>
      </c>
      <c r="AF2542" s="1" t="s">
        <v>659</v>
      </c>
      <c r="AH2542" s="1">
        <v>4410.0</v>
      </c>
      <c r="AI2542" s="1">
        <v>0.1012</v>
      </c>
      <c r="AK2542" s="1">
        <v>10.0</v>
      </c>
      <c r="AL2542" s="1">
        <v>3.0</v>
      </c>
      <c r="AM2542" s="1">
        <v>3.0</v>
      </c>
      <c r="AN2542" s="1">
        <v>0.0</v>
      </c>
      <c r="AO2542" s="1" t="s">
        <v>198</v>
      </c>
      <c r="AQ2542" s="1" t="s">
        <v>198</v>
      </c>
      <c r="AR2542" s="1" t="s">
        <v>192</v>
      </c>
      <c r="AS2542" s="1" t="s">
        <v>199</v>
      </c>
      <c r="AT2542" s="1">
        <v>2.0</v>
      </c>
      <c r="AV2542" s="1" t="s">
        <v>200</v>
      </c>
      <c r="AW2542" s="1">
        <v>1151.88</v>
      </c>
      <c r="AX2542" s="1">
        <v>2012.0</v>
      </c>
      <c r="AZ2542" s="1" t="s">
        <v>200</v>
      </c>
      <c r="BA2542" s="1" t="str">
        <f>"25172280010000"</f>
        <v>25172280010000</v>
      </c>
      <c r="BC2542" s="1">
        <v>1695.0</v>
      </c>
      <c r="BD2542" s="1">
        <v>185000.0</v>
      </c>
      <c r="BE2542" s="2">
        <v>42025.0</v>
      </c>
      <c r="BF2542" s="2" t="s">
        <v>22916</v>
      </c>
      <c r="BH2542" s="1">
        <v>0.0</v>
      </c>
      <c r="BK2542" s="1" t="s">
        <v>204</v>
      </c>
      <c r="BL2542" s="1" t="str">
        <f t="shared" ref="BL2542:BM2542" si="1660">"0"</f>
        <v>0</v>
      </c>
      <c r="BM2542" s="1" t="str">
        <f t="shared" si="1660"/>
        <v>0</v>
      </c>
      <c r="BN2542" s="1">
        <v>932.0</v>
      </c>
      <c r="BO2542" s="1">
        <v>10601.0</v>
      </c>
      <c r="BQ2542" s="1">
        <v>299.0</v>
      </c>
      <c r="BR2542" s="1">
        <v>299.0</v>
      </c>
      <c r="BS2542" s="1">
        <v>299.0</v>
      </c>
      <c r="BU2542" s="1" t="s">
        <v>1117</v>
      </c>
      <c r="BV2542" s="1" t="s">
        <v>206</v>
      </c>
      <c r="BW2542" s="1" t="s">
        <v>207</v>
      </c>
      <c r="BY2542" s="1" t="s">
        <v>616</v>
      </c>
      <c r="BZ2542" s="1" t="s">
        <v>209</v>
      </c>
      <c r="CA2542" s="1" t="s">
        <v>210</v>
      </c>
      <c r="CC2542" s="1" t="s">
        <v>363</v>
      </c>
      <c r="CD2542" s="1" t="s">
        <v>206</v>
      </c>
      <c r="CE2542" s="1" t="s">
        <v>207</v>
      </c>
      <c r="CG2542" s="1" t="s">
        <v>700</v>
      </c>
      <c r="CH2542" s="1" t="s">
        <v>206</v>
      </c>
      <c r="CI2542" s="1" t="s">
        <v>207</v>
      </c>
      <c r="CK2542" s="1" t="s">
        <v>269</v>
      </c>
      <c r="CL2542" s="1" t="s">
        <v>206</v>
      </c>
      <c r="CM2542" s="1" t="s">
        <v>207</v>
      </c>
      <c r="CO2542" s="1" t="s">
        <v>497</v>
      </c>
      <c r="CP2542" s="1" t="s">
        <v>42</v>
      </c>
      <c r="CS2542" s="1" t="s">
        <v>2461</v>
      </c>
      <c r="CT2542" s="1" t="s">
        <v>206</v>
      </c>
      <c r="CU2542" s="1" t="s">
        <v>207</v>
      </c>
      <c r="CW2542" s="1" t="s">
        <v>985</v>
      </c>
      <c r="CX2542" s="1" t="s">
        <v>42</v>
      </c>
      <c r="DA2542" s="1" t="s">
        <v>200</v>
      </c>
      <c r="DC2542" s="1" t="s">
        <v>785</v>
      </c>
      <c r="DE2542" s="1" t="s">
        <v>273</v>
      </c>
      <c r="DF2542" s="1" t="s">
        <v>219</v>
      </c>
      <c r="DH2542" s="1" t="s">
        <v>365</v>
      </c>
      <c r="DI2542" s="1" t="s">
        <v>366</v>
      </c>
      <c r="DJ2542" s="1" t="s">
        <v>222</v>
      </c>
      <c r="DL2542" s="1" t="s">
        <v>224</v>
      </c>
      <c r="DM2542" s="1" t="s">
        <v>229</v>
      </c>
      <c r="DQ2542" s="1" t="s">
        <v>228</v>
      </c>
      <c r="DR2542" s="1" t="s">
        <v>229</v>
      </c>
      <c r="DS2542" s="1" t="s">
        <v>230</v>
      </c>
      <c r="DV2542" s="1" t="s">
        <v>5763</v>
      </c>
      <c r="DW2542" s="1" t="s">
        <v>279</v>
      </c>
      <c r="DX2542" s="1" t="s">
        <v>234</v>
      </c>
      <c r="DY2542" s="1" t="s">
        <v>553</v>
      </c>
      <c r="EA2542" s="1" t="s">
        <v>644</v>
      </c>
      <c r="EC2542" s="1" t="s">
        <v>645</v>
      </c>
      <c r="EG2542" s="1" t="s">
        <v>494</v>
      </c>
      <c r="EH2542" s="1" t="s">
        <v>598</v>
      </c>
      <c r="EL2542" s="1" t="s">
        <v>4153</v>
      </c>
      <c r="EM2542" s="1" t="s">
        <v>209</v>
      </c>
      <c r="EN2542" s="1" t="s">
        <v>210</v>
      </c>
      <c r="EP2542" s="1" t="s">
        <v>264</v>
      </c>
      <c r="EQ2542" s="1" t="s">
        <v>206</v>
      </c>
      <c r="ER2542" s="1" t="s">
        <v>207</v>
      </c>
      <c r="EU2542" s="1" t="s">
        <v>238</v>
      </c>
      <c r="EY2542" s="1" t="s">
        <v>238</v>
      </c>
      <c r="FC2542" s="1" t="s">
        <v>238</v>
      </c>
      <c r="FF2542" s="1" t="s">
        <v>239</v>
      </c>
      <c r="FG2542" s="1" t="s">
        <v>192</v>
      </c>
      <c r="FH2542" s="1" t="s">
        <v>192</v>
      </c>
      <c r="FJ2542" s="1" t="s">
        <v>648</v>
      </c>
      <c r="FK2542" s="1" t="s">
        <v>229</v>
      </c>
      <c r="FL2542" s="1" t="s">
        <v>649</v>
      </c>
      <c r="FM2542" s="1">
        <v>60296.0</v>
      </c>
      <c r="FN2542" s="1" t="s">
        <v>650</v>
      </c>
      <c r="FO2542" s="1" t="s">
        <v>651</v>
      </c>
      <c r="FP2542" s="1">
        <v>602837.0</v>
      </c>
      <c r="FQ2542" s="1" t="s">
        <v>652</v>
      </c>
      <c r="FR2542" s="1">
        <v>602442.0</v>
      </c>
      <c r="FU2542" s="1" t="s">
        <v>1438</v>
      </c>
      <c r="FV2542" s="1" t="s">
        <v>200</v>
      </c>
      <c r="FW2542" s="1" t="s">
        <v>530</v>
      </c>
      <c r="FX2542" s="1" t="s">
        <v>655</v>
      </c>
      <c r="FZ2542" s="1" t="s">
        <v>229</v>
      </c>
      <c r="GA2542" s="1" t="s">
        <v>291</v>
      </c>
      <c r="GB2542" s="2">
        <v>42060.0</v>
      </c>
      <c r="GC2542" s="1" t="s">
        <v>1372</v>
      </c>
    </row>
    <row r="2543">
      <c r="A2543" s="1">
        <v>139900.0</v>
      </c>
      <c r="B2543" s="1" t="s">
        <v>185</v>
      </c>
      <c r="C2543" s="1" t="str">
        <f>"08827953"</f>
        <v>08827953</v>
      </c>
      <c r="D2543" s="1" t="s">
        <v>186</v>
      </c>
      <c r="F2543" s="1" t="str">
        <f>"8065"</f>
        <v>8065</v>
      </c>
      <c r="G2543" s="2">
        <v>42034.0</v>
      </c>
      <c r="H2543" s="1">
        <v>139900.0</v>
      </c>
      <c r="I2543" s="1">
        <v>6.0</v>
      </c>
      <c r="J2543" s="1">
        <v>139900.0</v>
      </c>
      <c r="K2543" s="2">
        <v>42039.0</v>
      </c>
      <c r="L2543" s="1">
        <v>6.0</v>
      </c>
      <c r="M2543" s="2">
        <v>42039.0</v>
      </c>
      <c r="N2543" s="1" t="s">
        <v>187</v>
      </c>
      <c r="O2543" s="2">
        <v>42082.0</v>
      </c>
      <c r="P2543" s="1">
        <v>131378.0</v>
      </c>
      <c r="Q2543" s="1">
        <v>14856.0</v>
      </c>
      <c r="S2543" s="1">
        <v>6654.0</v>
      </c>
      <c r="T2543" s="1" t="s">
        <v>9037</v>
      </c>
      <c r="U2543" s="1" t="s">
        <v>189</v>
      </c>
      <c r="V2543" s="1" t="s">
        <v>190</v>
      </c>
      <c r="W2543" s="1">
        <v>60629.0</v>
      </c>
      <c r="Y2543" s="1" t="s">
        <v>22917</v>
      </c>
      <c r="Z2543" s="1">
        <v>1957.0</v>
      </c>
      <c r="AA2543" s="1" t="s">
        <v>192</v>
      </c>
      <c r="AB2543" s="1" t="s">
        <v>193</v>
      </c>
      <c r="AD2543" s="1" t="s">
        <v>194</v>
      </c>
      <c r="AE2543" s="1" t="s">
        <v>195</v>
      </c>
      <c r="AF2543" s="1" t="s">
        <v>659</v>
      </c>
      <c r="AH2543" s="1" t="s">
        <v>779</v>
      </c>
      <c r="AK2543" s="1">
        <v>7.0</v>
      </c>
      <c r="AL2543" s="1">
        <v>4.0</v>
      </c>
      <c r="AM2543" s="1">
        <v>2.0</v>
      </c>
      <c r="AN2543" s="1">
        <v>1.0</v>
      </c>
      <c r="AO2543" s="1" t="s">
        <v>229</v>
      </c>
      <c r="AP2543" s="1">
        <v>0.0</v>
      </c>
      <c r="AQ2543" s="1" t="s">
        <v>198</v>
      </c>
      <c r="AR2543" s="1" t="s">
        <v>192</v>
      </c>
      <c r="AS2543" s="1" t="s">
        <v>199</v>
      </c>
      <c r="AT2543" s="1">
        <v>2.0</v>
      </c>
      <c r="AV2543" s="1" t="s">
        <v>200</v>
      </c>
      <c r="AW2543" s="1">
        <v>2401.0</v>
      </c>
      <c r="AX2543" s="1">
        <v>2013.0</v>
      </c>
      <c r="AY2543" s="1" t="s">
        <v>229</v>
      </c>
      <c r="AZ2543" s="1" t="s">
        <v>545</v>
      </c>
      <c r="BA2543" s="1" t="str">
        <f>"19222240390000"</f>
        <v>19222240390000</v>
      </c>
      <c r="BB2543" s="1" t="s">
        <v>200</v>
      </c>
      <c r="BC2543" s="1">
        <v>961.0</v>
      </c>
      <c r="BD2543" s="1">
        <v>139900.0</v>
      </c>
      <c r="BE2543" s="2">
        <v>42034.0</v>
      </c>
      <c r="BF2543" s="2" t="s">
        <v>22918</v>
      </c>
      <c r="BH2543" s="1">
        <v>0.0</v>
      </c>
      <c r="BK2543" s="1" t="s">
        <v>204</v>
      </c>
      <c r="BL2543" s="1" t="str">
        <f t="shared" ref="BL2543:BM2543" si="1661">"0"</f>
        <v>0</v>
      </c>
      <c r="BM2543" s="1" t="str">
        <f t="shared" si="1661"/>
        <v>0</v>
      </c>
      <c r="BN2543" s="1">
        <v>4050.0</v>
      </c>
      <c r="BO2543" s="1">
        <v>6654.0</v>
      </c>
      <c r="BQ2543" s="1">
        <v>299.0</v>
      </c>
      <c r="BR2543" s="1">
        <v>299.0</v>
      </c>
      <c r="BS2543" s="1">
        <v>299.0</v>
      </c>
      <c r="BU2543" s="1" t="s">
        <v>664</v>
      </c>
      <c r="BV2543" s="1" t="s">
        <v>206</v>
      </c>
      <c r="BW2543" s="1" t="s">
        <v>207</v>
      </c>
      <c r="BY2543" s="1" t="s">
        <v>212</v>
      </c>
      <c r="BZ2543" s="1" t="s">
        <v>206</v>
      </c>
      <c r="CA2543" s="1" t="s">
        <v>207</v>
      </c>
      <c r="CC2543" s="1" t="s">
        <v>332</v>
      </c>
      <c r="CD2543" s="1" t="s">
        <v>206</v>
      </c>
      <c r="CE2543" s="1" t="s">
        <v>268</v>
      </c>
      <c r="CG2543" s="1" t="s">
        <v>264</v>
      </c>
      <c r="CH2543" s="1" t="s">
        <v>206</v>
      </c>
      <c r="CI2543" s="1" t="s">
        <v>207</v>
      </c>
      <c r="CK2543" s="1" t="s">
        <v>205</v>
      </c>
      <c r="CL2543" s="1" t="s">
        <v>209</v>
      </c>
      <c r="CM2543" s="1" t="s">
        <v>210</v>
      </c>
      <c r="CO2543" s="1" t="s">
        <v>699</v>
      </c>
      <c r="CP2543" s="1" t="s">
        <v>209</v>
      </c>
      <c r="CQ2543" s="1" t="s">
        <v>210</v>
      </c>
      <c r="CS2543" s="1" t="s">
        <v>332</v>
      </c>
      <c r="CT2543" s="1" t="s">
        <v>206</v>
      </c>
      <c r="CU2543" s="1" t="s">
        <v>268</v>
      </c>
      <c r="CX2543" s="1" t="s">
        <v>204</v>
      </c>
      <c r="DA2543" s="1" t="s">
        <v>200</v>
      </c>
      <c r="DC2543" s="1" t="s">
        <v>271</v>
      </c>
      <c r="DE2543" s="1" t="s">
        <v>273</v>
      </c>
      <c r="DF2543" s="1" t="s">
        <v>219</v>
      </c>
      <c r="DH2543" s="1" t="s">
        <v>365</v>
      </c>
      <c r="DI2543" s="1" t="s">
        <v>1401</v>
      </c>
      <c r="DJ2543" s="1" t="s">
        <v>222</v>
      </c>
      <c r="DK2543" s="1" t="s">
        <v>790</v>
      </c>
      <c r="DL2543" s="1" t="s">
        <v>223</v>
      </c>
      <c r="DM2543" s="1" t="s">
        <v>229</v>
      </c>
      <c r="DO2543" s="1" t="s">
        <v>549</v>
      </c>
      <c r="DP2543" s="1" t="s">
        <v>340</v>
      </c>
      <c r="DQ2543" s="1" t="s">
        <v>718</v>
      </c>
      <c r="DR2543" s="1" t="s">
        <v>229</v>
      </c>
      <c r="DS2543" s="1" t="s">
        <v>230</v>
      </c>
      <c r="DU2543" s="1" t="s">
        <v>681</v>
      </c>
      <c r="DV2543" s="1" t="s">
        <v>232</v>
      </c>
      <c r="DW2543" s="1" t="s">
        <v>279</v>
      </c>
      <c r="DX2543" s="1" t="s">
        <v>4087</v>
      </c>
      <c r="DY2543" s="1" t="s">
        <v>553</v>
      </c>
      <c r="EA2543" s="1" t="s">
        <v>2535</v>
      </c>
      <c r="EC2543" s="1" t="s">
        <v>645</v>
      </c>
      <c r="EE2543" s="1" t="s">
        <v>187</v>
      </c>
      <c r="EM2543" s="1" t="s">
        <v>238</v>
      </c>
      <c r="EQ2543" s="1" t="s">
        <v>238</v>
      </c>
      <c r="EU2543" s="1" t="s">
        <v>238</v>
      </c>
      <c r="EY2543" s="1" t="s">
        <v>238</v>
      </c>
      <c r="FC2543" s="1" t="s">
        <v>238</v>
      </c>
      <c r="FF2543" s="1" t="s">
        <v>239</v>
      </c>
      <c r="FG2543" s="1" t="s">
        <v>192</v>
      </c>
      <c r="FH2543" s="1" t="s">
        <v>192</v>
      </c>
      <c r="FJ2543" s="1" t="s">
        <v>7945</v>
      </c>
      <c r="FK2543" s="1" t="s">
        <v>3714</v>
      </c>
      <c r="FL2543" s="1" t="s">
        <v>3455</v>
      </c>
      <c r="FM2543" s="1">
        <v>14856.0</v>
      </c>
      <c r="FN2543" s="1" t="s">
        <v>3456</v>
      </c>
      <c r="FO2543" s="1" t="s">
        <v>22919</v>
      </c>
      <c r="FP2543" s="1">
        <v>114330.0</v>
      </c>
      <c r="FQ2543" s="1" t="s">
        <v>22920</v>
      </c>
      <c r="FU2543" s="1" t="s">
        <v>22921</v>
      </c>
      <c r="FV2543" s="1" t="s">
        <v>200</v>
      </c>
      <c r="FW2543" s="1" t="s">
        <v>290</v>
      </c>
      <c r="FX2543" s="1" t="s">
        <v>655</v>
      </c>
      <c r="FZ2543" s="1" t="s">
        <v>2993</v>
      </c>
      <c r="GA2543" s="1" t="s">
        <v>291</v>
      </c>
      <c r="GB2543" s="2">
        <v>42083.0</v>
      </c>
      <c r="GC2543" s="1" t="s">
        <v>22922</v>
      </c>
    </row>
    <row r="2544">
      <c r="A2544" s="1">
        <v>205000.0</v>
      </c>
      <c r="B2544" s="1" t="s">
        <v>185</v>
      </c>
      <c r="C2544" s="1" t="str">
        <f>"08824471"</f>
        <v>08824471</v>
      </c>
      <c r="D2544" s="1" t="s">
        <v>186</v>
      </c>
      <c r="F2544" s="1" t="str">
        <f>"8062"</f>
        <v>8062</v>
      </c>
      <c r="G2544" s="2">
        <v>42030.0</v>
      </c>
      <c r="H2544" s="1">
        <v>214900.0</v>
      </c>
      <c r="I2544" s="1">
        <v>15.0</v>
      </c>
      <c r="J2544" s="1">
        <v>214900.0</v>
      </c>
      <c r="K2544" s="2">
        <v>42037.0</v>
      </c>
      <c r="L2544" s="1">
        <v>8.0</v>
      </c>
      <c r="M2544" s="2">
        <v>42037.0</v>
      </c>
      <c r="N2544" s="1" t="s">
        <v>187</v>
      </c>
      <c r="O2544" s="2">
        <v>42081.0</v>
      </c>
      <c r="P2544" s="1">
        <v>231157.0</v>
      </c>
      <c r="Q2544" s="1">
        <v>23076.0</v>
      </c>
      <c r="S2544" s="1">
        <v>5441.0</v>
      </c>
      <c r="T2544" s="1" t="s">
        <v>10427</v>
      </c>
      <c r="U2544" s="1" t="s">
        <v>189</v>
      </c>
      <c r="V2544" s="1" t="s">
        <v>190</v>
      </c>
      <c r="W2544" s="1">
        <v>60632.0</v>
      </c>
      <c r="Y2544" s="1" t="s">
        <v>22923</v>
      </c>
      <c r="Z2544" s="1" t="s">
        <v>296</v>
      </c>
      <c r="AA2544" s="1" t="s">
        <v>192</v>
      </c>
      <c r="AB2544" s="1" t="s">
        <v>193</v>
      </c>
      <c r="AD2544" s="1" t="s">
        <v>194</v>
      </c>
      <c r="AE2544" s="1" t="s">
        <v>195</v>
      </c>
      <c r="AF2544" s="1" t="s">
        <v>659</v>
      </c>
      <c r="AH2544" s="1" t="s">
        <v>1501</v>
      </c>
      <c r="AK2544" s="1">
        <v>8.0</v>
      </c>
      <c r="AL2544" s="1">
        <v>2.0</v>
      </c>
      <c r="AM2544" s="1">
        <v>2.0</v>
      </c>
      <c r="AN2544" s="1">
        <v>0.0</v>
      </c>
      <c r="AO2544" s="1" t="s">
        <v>229</v>
      </c>
      <c r="AQ2544" s="1" t="s">
        <v>198</v>
      </c>
      <c r="AR2544" s="1" t="s">
        <v>192</v>
      </c>
      <c r="AS2544" s="1" t="s">
        <v>199</v>
      </c>
      <c r="AT2544" s="1">
        <v>2.0</v>
      </c>
      <c r="AV2544" s="1" t="s">
        <v>200</v>
      </c>
      <c r="AW2544" s="1">
        <v>1807.25</v>
      </c>
      <c r="AX2544" s="1">
        <v>2013.0</v>
      </c>
      <c r="AZ2544" s="1" t="s">
        <v>200</v>
      </c>
      <c r="BA2544" s="1" t="str">
        <f>"19104200140000"</f>
        <v>19104200140000</v>
      </c>
      <c r="BC2544" s="1">
        <v>1000.0</v>
      </c>
      <c r="BD2544" s="1">
        <v>205000.0</v>
      </c>
      <c r="BE2544" s="2">
        <v>42030.0</v>
      </c>
      <c r="BF2544" s="2" t="s">
        <v>22924</v>
      </c>
      <c r="BH2544" s="1">
        <v>0.0</v>
      </c>
      <c r="BK2544" s="1" t="s">
        <v>204</v>
      </c>
      <c r="BL2544" s="1" t="str">
        <f t="shared" ref="BL2544:BM2544" si="1662">"0"</f>
        <v>0</v>
      </c>
      <c r="BM2544" s="1" t="str">
        <f t="shared" si="1662"/>
        <v>0</v>
      </c>
      <c r="BN2544" s="1">
        <v>4200.0</v>
      </c>
      <c r="BO2544" s="1">
        <v>5441.0</v>
      </c>
      <c r="BQ2544" s="1">
        <v>299.0</v>
      </c>
      <c r="BR2544" s="1">
        <v>299.0</v>
      </c>
      <c r="BS2544" s="1">
        <v>299.0</v>
      </c>
      <c r="BU2544" s="1" t="s">
        <v>1117</v>
      </c>
      <c r="BV2544" s="1" t="s">
        <v>206</v>
      </c>
      <c r="BW2544" s="1" t="s">
        <v>207</v>
      </c>
      <c r="BY2544" s="1" t="s">
        <v>454</v>
      </c>
      <c r="BZ2544" s="1" t="s">
        <v>206</v>
      </c>
      <c r="CA2544" s="1" t="s">
        <v>207</v>
      </c>
      <c r="CC2544" s="1" t="s">
        <v>433</v>
      </c>
      <c r="CD2544" s="1" t="s">
        <v>206</v>
      </c>
      <c r="CE2544" s="1" t="s">
        <v>268</v>
      </c>
      <c r="CG2544" s="1" t="s">
        <v>215</v>
      </c>
      <c r="CH2544" s="1" t="s">
        <v>206</v>
      </c>
      <c r="CI2544" s="1" t="s">
        <v>207</v>
      </c>
      <c r="CK2544" s="1" t="s">
        <v>433</v>
      </c>
      <c r="CL2544" s="1" t="s">
        <v>42</v>
      </c>
      <c r="CM2544" s="1" t="s">
        <v>210</v>
      </c>
      <c r="CO2544" s="1" t="s">
        <v>784</v>
      </c>
      <c r="CP2544" s="1" t="s">
        <v>42</v>
      </c>
      <c r="CQ2544" s="1" t="s">
        <v>210</v>
      </c>
      <c r="CS2544" s="1" t="s">
        <v>211</v>
      </c>
      <c r="CT2544" s="1" t="s">
        <v>206</v>
      </c>
      <c r="CU2544" s="1" t="s">
        <v>268</v>
      </c>
      <c r="CW2544" s="1" t="s">
        <v>784</v>
      </c>
      <c r="CX2544" s="1" t="s">
        <v>42</v>
      </c>
      <c r="CY2544" s="1" t="s">
        <v>268</v>
      </c>
      <c r="DA2544" s="1" t="s">
        <v>200</v>
      </c>
      <c r="DC2544" s="1" t="s">
        <v>517</v>
      </c>
      <c r="DD2544" s="1" t="s">
        <v>731</v>
      </c>
      <c r="DE2544" s="1" t="s">
        <v>273</v>
      </c>
      <c r="DF2544" s="1" t="s">
        <v>619</v>
      </c>
      <c r="DH2544" s="1" t="s">
        <v>365</v>
      </c>
      <c r="DI2544" s="1" t="s">
        <v>308</v>
      </c>
      <c r="DJ2544" s="1" t="s">
        <v>222</v>
      </c>
      <c r="DL2544" s="1" t="s">
        <v>224</v>
      </c>
      <c r="DM2544" s="1" t="s">
        <v>338</v>
      </c>
      <c r="DP2544" s="1" t="s">
        <v>340</v>
      </c>
      <c r="DQ2544" s="1" t="s">
        <v>228</v>
      </c>
      <c r="DR2544" s="1" t="s">
        <v>229</v>
      </c>
      <c r="DV2544" s="1" t="s">
        <v>2971</v>
      </c>
      <c r="DW2544" s="1" t="s">
        <v>279</v>
      </c>
      <c r="DX2544" s="1" t="s">
        <v>309</v>
      </c>
      <c r="EA2544" s="1" t="s">
        <v>683</v>
      </c>
      <c r="EC2544" s="1" t="s">
        <v>311</v>
      </c>
      <c r="EE2544" s="1" t="s">
        <v>493</v>
      </c>
      <c r="EG2544" s="1" t="s">
        <v>2971</v>
      </c>
      <c r="EL2544" s="1" t="s">
        <v>433</v>
      </c>
      <c r="EM2544" s="1" t="s">
        <v>42</v>
      </c>
      <c r="EN2544" s="1" t="s">
        <v>268</v>
      </c>
      <c r="EQ2544" s="1" t="s">
        <v>238</v>
      </c>
      <c r="EU2544" s="1" t="s">
        <v>238</v>
      </c>
      <c r="EY2544" s="1" t="s">
        <v>238</v>
      </c>
      <c r="FC2544" s="1" t="s">
        <v>238</v>
      </c>
      <c r="FF2544" s="1" t="s">
        <v>239</v>
      </c>
      <c r="FG2544" s="1" t="s">
        <v>192</v>
      </c>
      <c r="FH2544" s="1" t="s">
        <v>192</v>
      </c>
      <c r="FJ2544" s="1" t="s">
        <v>22925</v>
      </c>
      <c r="FK2544" s="1" t="s">
        <v>557</v>
      </c>
      <c r="FL2544" s="1" t="s">
        <v>4944</v>
      </c>
      <c r="FM2544" s="1">
        <v>60217.0</v>
      </c>
      <c r="FN2544" s="1" t="s">
        <v>4945</v>
      </c>
      <c r="FO2544" s="1" t="s">
        <v>22926</v>
      </c>
      <c r="FP2544" s="1">
        <v>216690.0</v>
      </c>
      <c r="FQ2544" s="1" t="s">
        <v>4945</v>
      </c>
      <c r="FS2544" s="1" t="s">
        <v>22927</v>
      </c>
      <c r="FU2544" s="1" t="s">
        <v>3313</v>
      </c>
      <c r="FV2544" s="1" t="s">
        <v>192</v>
      </c>
      <c r="FW2544" s="1" t="s">
        <v>4583</v>
      </c>
      <c r="FX2544" s="1" t="s">
        <v>655</v>
      </c>
      <c r="FZ2544" s="1" t="s">
        <v>229</v>
      </c>
      <c r="GA2544" s="1" t="s">
        <v>291</v>
      </c>
      <c r="GB2544" s="2">
        <v>42082.0</v>
      </c>
      <c r="GC2544" s="1" t="s">
        <v>22928</v>
      </c>
    </row>
    <row r="2545">
      <c r="A2545" s="1">
        <v>280000.0</v>
      </c>
      <c r="B2545" s="1" t="s">
        <v>185</v>
      </c>
      <c r="C2545" s="1" t="str">
        <f>"08828484"</f>
        <v>08828484</v>
      </c>
      <c r="D2545" s="1" t="s">
        <v>186</v>
      </c>
      <c r="F2545" s="1" t="str">
        <f>"107"</f>
        <v>107</v>
      </c>
      <c r="G2545" s="2">
        <v>42036.0</v>
      </c>
      <c r="H2545" s="1">
        <v>324900.0</v>
      </c>
      <c r="I2545" s="1">
        <v>49.0</v>
      </c>
      <c r="J2545" s="1">
        <v>299900.0</v>
      </c>
      <c r="K2545" s="2">
        <v>42081.0</v>
      </c>
      <c r="L2545" s="1">
        <v>49.0</v>
      </c>
      <c r="M2545" s="2">
        <v>42081.0</v>
      </c>
      <c r="N2545" s="1" t="s">
        <v>187</v>
      </c>
      <c r="O2545" s="2">
        <v>42102.0</v>
      </c>
      <c r="P2545" s="1">
        <v>223210.0</v>
      </c>
      <c r="Q2545" s="1">
        <v>20132.0</v>
      </c>
      <c r="S2545" s="1">
        <v>106.0</v>
      </c>
      <c r="T2545" s="1" t="s">
        <v>22929</v>
      </c>
      <c r="U2545" s="1" t="s">
        <v>844</v>
      </c>
      <c r="V2545" s="1" t="s">
        <v>294</v>
      </c>
      <c r="W2545" s="1">
        <v>60107.0</v>
      </c>
      <c r="Y2545" s="1" t="s">
        <v>22930</v>
      </c>
      <c r="Z2545" s="1">
        <v>1996.0</v>
      </c>
      <c r="AA2545" s="1" t="s">
        <v>200</v>
      </c>
      <c r="AB2545" s="1" t="s">
        <v>193</v>
      </c>
      <c r="AD2545" s="1" t="s">
        <v>297</v>
      </c>
      <c r="AE2545" s="1" t="s">
        <v>195</v>
      </c>
      <c r="AF2545" s="1" t="s">
        <v>298</v>
      </c>
      <c r="AH2545" s="1" t="s">
        <v>22931</v>
      </c>
      <c r="AI2545" s="1">
        <v>0.2755</v>
      </c>
      <c r="AK2545" s="1">
        <v>8.0</v>
      </c>
      <c r="AL2545" s="1">
        <v>4.0</v>
      </c>
      <c r="AM2545" s="1">
        <v>2.0</v>
      </c>
      <c r="AN2545" s="1">
        <v>1.0</v>
      </c>
      <c r="AO2545" s="1" t="s">
        <v>198</v>
      </c>
      <c r="AP2545" s="1">
        <v>1.0</v>
      </c>
      <c r="AQ2545" s="1" t="s">
        <v>198</v>
      </c>
      <c r="AR2545" s="1" t="s">
        <v>200</v>
      </c>
      <c r="AS2545" s="1" t="s">
        <v>199</v>
      </c>
      <c r="AT2545" s="1">
        <v>2.0</v>
      </c>
      <c r="AV2545" s="1" t="s">
        <v>200</v>
      </c>
      <c r="AW2545" s="4">
        <v>8392.22</v>
      </c>
      <c r="AX2545" s="1">
        <v>2013.0</v>
      </c>
      <c r="AY2545" s="1" t="s">
        <v>387</v>
      </c>
      <c r="AZ2545" s="1" t="s">
        <v>200</v>
      </c>
      <c r="BA2545" s="1" t="str">
        <f>"06214080230000"</f>
        <v>06214080230000</v>
      </c>
      <c r="BC2545" s="1">
        <v>2297.0</v>
      </c>
      <c r="BD2545" s="1">
        <v>280000.0</v>
      </c>
      <c r="BE2545" s="2">
        <v>42033.0</v>
      </c>
      <c r="BF2545" s="2" t="s">
        <v>22932</v>
      </c>
      <c r="BG2545" s="1" t="s">
        <v>22053</v>
      </c>
      <c r="BH2545" s="1">
        <v>0.0</v>
      </c>
      <c r="BI2545" s="1" t="s">
        <v>756</v>
      </c>
      <c r="BJ2545" s="1" t="s">
        <v>757</v>
      </c>
      <c r="BK2545" s="1" t="s">
        <v>204</v>
      </c>
      <c r="BL2545" s="1" t="str">
        <f t="shared" ref="BL2545:BM2545" si="1663">""</f>
        <v/>
      </c>
      <c r="BM2545" s="1" t="str">
        <f t="shared" si="1663"/>
        <v/>
      </c>
      <c r="BQ2545" s="1">
        <v>46.0</v>
      </c>
      <c r="BR2545" s="1">
        <v>46.0</v>
      </c>
      <c r="BS2545" s="1">
        <v>46.0</v>
      </c>
      <c r="BU2545" s="1" t="s">
        <v>211</v>
      </c>
      <c r="BV2545" s="1" t="s">
        <v>206</v>
      </c>
      <c r="BW2545" s="1" t="s">
        <v>207</v>
      </c>
      <c r="BX2545" s="1" t="s">
        <v>431</v>
      </c>
      <c r="BY2545" s="1" t="s">
        <v>1350</v>
      </c>
      <c r="BZ2545" s="1" t="s">
        <v>209</v>
      </c>
      <c r="CA2545" s="1" t="s">
        <v>210</v>
      </c>
      <c r="CB2545" s="1" t="s">
        <v>1549</v>
      </c>
      <c r="CC2545" s="1" t="s">
        <v>582</v>
      </c>
      <c r="CD2545" s="1" t="s">
        <v>206</v>
      </c>
      <c r="CE2545" s="1" t="s">
        <v>207</v>
      </c>
      <c r="CF2545" s="1" t="s">
        <v>431</v>
      </c>
      <c r="CG2545" s="1" t="s">
        <v>264</v>
      </c>
      <c r="CH2545" s="1" t="s">
        <v>209</v>
      </c>
      <c r="CI2545" s="1" t="s">
        <v>210</v>
      </c>
      <c r="CJ2545" s="1" t="s">
        <v>1549</v>
      </c>
      <c r="CK2545" s="1" t="s">
        <v>212</v>
      </c>
      <c r="CL2545" s="1" t="s">
        <v>209</v>
      </c>
      <c r="CM2545" s="1" t="s">
        <v>210</v>
      </c>
      <c r="CN2545" s="1" t="s">
        <v>1549</v>
      </c>
      <c r="CO2545" s="1" t="s">
        <v>495</v>
      </c>
      <c r="CP2545" s="1" t="s">
        <v>209</v>
      </c>
      <c r="CQ2545" s="1" t="s">
        <v>210</v>
      </c>
      <c r="CR2545" s="1" t="s">
        <v>1549</v>
      </c>
      <c r="CS2545" s="1" t="s">
        <v>495</v>
      </c>
      <c r="CT2545" s="1" t="s">
        <v>206</v>
      </c>
      <c r="CU2545" s="1" t="s">
        <v>207</v>
      </c>
      <c r="CV2545" s="1" t="s">
        <v>229</v>
      </c>
      <c r="CW2545" s="1" t="s">
        <v>362</v>
      </c>
      <c r="CX2545" s="1" t="s">
        <v>206</v>
      </c>
      <c r="CY2545" s="1" t="s">
        <v>210</v>
      </c>
      <c r="CZ2545" s="1" t="s">
        <v>229</v>
      </c>
      <c r="DA2545" s="1" t="s">
        <v>200</v>
      </c>
      <c r="DC2545" s="1" t="s">
        <v>678</v>
      </c>
      <c r="DD2545" s="1" t="s">
        <v>518</v>
      </c>
      <c r="DE2545" s="1" t="s">
        <v>273</v>
      </c>
      <c r="DF2545" s="1" t="s">
        <v>219</v>
      </c>
      <c r="DH2545" s="1" t="s">
        <v>220</v>
      </c>
      <c r="DI2545" s="1" t="s">
        <v>1223</v>
      </c>
      <c r="DJ2545" s="1" t="s">
        <v>222</v>
      </c>
      <c r="DL2545" s="1" t="s">
        <v>858</v>
      </c>
      <c r="DM2545" s="1" t="s">
        <v>338</v>
      </c>
      <c r="DN2545" s="1" t="s">
        <v>666</v>
      </c>
      <c r="DO2545" s="1" t="s">
        <v>2297</v>
      </c>
      <c r="DP2545" s="1" t="s">
        <v>400</v>
      </c>
      <c r="DQ2545" s="1" t="s">
        <v>441</v>
      </c>
      <c r="DR2545" s="1" t="s">
        <v>229</v>
      </c>
      <c r="DV2545" s="1" t="s">
        <v>408</v>
      </c>
      <c r="DW2545" s="1" t="s">
        <v>3563</v>
      </c>
      <c r="DX2545" s="1" t="s">
        <v>234</v>
      </c>
      <c r="DY2545" s="1" t="s">
        <v>235</v>
      </c>
      <c r="EA2545" s="1" t="s">
        <v>1027</v>
      </c>
      <c r="EB2545" s="1" t="s">
        <v>684</v>
      </c>
      <c r="EC2545" s="1" t="s">
        <v>237</v>
      </c>
      <c r="ED2545" s="1" t="s">
        <v>4163</v>
      </c>
      <c r="EG2545" s="1" t="s">
        <v>408</v>
      </c>
      <c r="EL2545" s="1" t="s">
        <v>497</v>
      </c>
      <c r="EM2545" s="1" t="s">
        <v>206</v>
      </c>
      <c r="EN2545" s="1" t="s">
        <v>207</v>
      </c>
      <c r="EQ2545" s="1" t="s">
        <v>238</v>
      </c>
      <c r="EU2545" s="1" t="s">
        <v>238</v>
      </c>
      <c r="EY2545" s="1" t="s">
        <v>238</v>
      </c>
      <c r="FC2545" s="1" t="s">
        <v>238</v>
      </c>
      <c r="FF2545" s="1" t="s">
        <v>239</v>
      </c>
      <c r="FG2545" s="1" t="s">
        <v>192</v>
      </c>
      <c r="FH2545" s="1" t="s">
        <v>192</v>
      </c>
      <c r="FJ2545" s="1" t="s">
        <v>22933</v>
      </c>
      <c r="FK2545" s="1" t="s">
        <v>229</v>
      </c>
      <c r="FL2545" s="1" t="s">
        <v>22934</v>
      </c>
      <c r="FM2545" s="1">
        <v>16525.0</v>
      </c>
      <c r="FN2545" s="1" t="s">
        <v>20940</v>
      </c>
      <c r="FO2545" s="1" t="s">
        <v>22935</v>
      </c>
      <c r="FP2545" s="1">
        <v>138376.0</v>
      </c>
      <c r="FQ2545" s="1" t="s">
        <v>20940</v>
      </c>
      <c r="FU2545" s="1" t="s">
        <v>353</v>
      </c>
      <c r="FV2545" s="1" t="s">
        <v>200</v>
      </c>
      <c r="FW2545" s="1" t="s">
        <v>290</v>
      </c>
      <c r="FZ2545" s="1" t="s">
        <v>504</v>
      </c>
      <c r="GA2545" s="1" t="s">
        <v>291</v>
      </c>
      <c r="GB2545" s="2">
        <v>42103.0</v>
      </c>
      <c r="GC2545" s="1" t="s">
        <v>22936</v>
      </c>
    </row>
    <row r="2546">
      <c r="A2546" s="1">
        <v>575000.0</v>
      </c>
      <c r="B2546" s="1" t="s">
        <v>185</v>
      </c>
      <c r="C2546" s="1" t="str">
        <f>"08823184"</f>
        <v>08823184</v>
      </c>
      <c r="D2546" s="1" t="s">
        <v>186</v>
      </c>
      <c r="F2546" s="1" t="str">
        <f>"10"</f>
        <v>10</v>
      </c>
      <c r="G2546" s="2">
        <v>42027.0</v>
      </c>
      <c r="H2546" s="1">
        <v>599900.0</v>
      </c>
      <c r="I2546" s="1">
        <v>400.0</v>
      </c>
      <c r="J2546" s="1">
        <v>599900.0</v>
      </c>
      <c r="K2546" s="2">
        <v>42094.0</v>
      </c>
      <c r="L2546" s="1">
        <v>68.0</v>
      </c>
      <c r="M2546" s="2">
        <v>42094.0</v>
      </c>
      <c r="N2546" s="1" t="s">
        <v>187</v>
      </c>
      <c r="O2546" s="2">
        <v>42115.0</v>
      </c>
      <c r="P2546" s="1">
        <v>241523.0</v>
      </c>
      <c r="Q2546" s="1">
        <v>25718.0</v>
      </c>
      <c r="S2546" s="1">
        <v>118.0</v>
      </c>
      <c r="T2546" s="1" t="s">
        <v>22937</v>
      </c>
      <c r="U2546" s="1" t="s">
        <v>420</v>
      </c>
      <c r="V2546" s="1" t="s">
        <v>1706</v>
      </c>
      <c r="W2546" s="1">
        <v>60010.0</v>
      </c>
      <c r="Y2546" s="1" t="s">
        <v>22938</v>
      </c>
      <c r="Z2546" s="1">
        <v>2014.0</v>
      </c>
      <c r="AA2546" s="1" t="s">
        <v>200</v>
      </c>
      <c r="AB2546" s="1" t="s">
        <v>193</v>
      </c>
      <c r="AC2546" s="1" t="s">
        <v>22939</v>
      </c>
      <c r="AD2546" s="1" t="s">
        <v>1948</v>
      </c>
      <c r="AE2546" s="1" t="s">
        <v>917</v>
      </c>
      <c r="AF2546" s="1" t="s">
        <v>2008</v>
      </c>
      <c r="AG2546" s="1" t="s">
        <v>22940</v>
      </c>
      <c r="AH2546" s="1" t="s">
        <v>22941</v>
      </c>
      <c r="AK2546" s="1">
        <v>9.0</v>
      </c>
      <c r="AL2546" s="1">
        <v>4.0</v>
      </c>
      <c r="AM2546" s="1">
        <v>2.0</v>
      </c>
      <c r="AN2546" s="1">
        <v>1.0</v>
      </c>
      <c r="AO2546" s="1" t="s">
        <v>198</v>
      </c>
      <c r="AP2546" s="1">
        <v>1.0</v>
      </c>
      <c r="AQ2546" s="1" t="s">
        <v>198</v>
      </c>
      <c r="AR2546" s="1" t="s">
        <v>200</v>
      </c>
      <c r="AS2546" s="1" t="s">
        <v>199</v>
      </c>
      <c r="AT2546" s="1">
        <v>3.0</v>
      </c>
      <c r="AV2546" s="1" t="s">
        <v>200</v>
      </c>
      <c r="AW2546" s="1" t="s">
        <v>575</v>
      </c>
      <c r="AX2546" s="1">
        <v>2013.0</v>
      </c>
      <c r="AY2546" s="1" t="s">
        <v>229</v>
      </c>
      <c r="AZ2546" s="1" t="s">
        <v>200</v>
      </c>
      <c r="BA2546" s="1" t="str">
        <f>"13364080580000"</f>
        <v>13364080580000</v>
      </c>
      <c r="BC2546" s="1">
        <v>2700.0</v>
      </c>
      <c r="BD2546" s="1">
        <v>575000.0</v>
      </c>
      <c r="BE2546" s="2">
        <v>42027.0</v>
      </c>
      <c r="BF2546" s="2" t="s">
        <v>22942</v>
      </c>
      <c r="BG2546" s="1" t="s">
        <v>1712</v>
      </c>
      <c r="BH2546" s="1">
        <v>500.0</v>
      </c>
      <c r="BI2546" s="1" t="s">
        <v>2012</v>
      </c>
      <c r="BJ2546" s="1" t="s">
        <v>1714</v>
      </c>
      <c r="BK2546" s="1" t="s">
        <v>580</v>
      </c>
      <c r="BL2546" s="1" t="str">
        <f t="shared" ref="BL2546:BM2546" si="1664">""</f>
        <v/>
      </c>
      <c r="BM2546" s="1" t="str">
        <f t="shared" si="1664"/>
        <v/>
      </c>
      <c r="BQ2546" s="1">
        <v>220.0</v>
      </c>
      <c r="BR2546" s="1">
        <v>220.0</v>
      </c>
      <c r="BS2546" s="1">
        <v>220.0</v>
      </c>
      <c r="BU2546" s="1" t="s">
        <v>212</v>
      </c>
      <c r="BV2546" s="1" t="s">
        <v>206</v>
      </c>
      <c r="BW2546" s="1" t="s">
        <v>207</v>
      </c>
      <c r="BX2546" s="1" t="s">
        <v>229</v>
      </c>
      <c r="BY2546" s="1" t="s">
        <v>390</v>
      </c>
      <c r="BZ2546" s="1" t="s">
        <v>209</v>
      </c>
      <c r="CA2546" s="1" t="s">
        <v>210</v>
      </c>
      <c r="CB2546" s="1" t="s">
        <v>229</v>
      </c>
      <c r="CC2546" s="1" t="s">
        <v>363</v>
      </c>
      <c r="CD2546" s="1" t="s">
        <v>206</v>
      </c>
      <c r="CE2546" s="1" t="s">
        <v>207</v>
      </c>
      <c r="CF2546" s="1" t="s">
        <v>229</v>
      </c>
      <c r="CG2546" s="1" t="s">
        <v>392</v>
      </c>
      <c r="CH2546" s="1" t="s">
        <v>209</v>
      </c>
      <c r="CI2546" s="1" t="s">
        <v>210</v>
      </c>
      <c r="CJ2546" s="1" t="s">
        <v>229</v>
      </c>
      <c r="CK2546" s="1" t="s">
        <v>212</v>
      </c>
      <c r="CL2546" s="1" t="s">
        <v>209</v>
      </c>
      <c r="CM2546" s="1" t="s">
        <v>210</v>
      </c>
      <c r="CN2546" s="1" t="s">
        <v>229</v>
      </c>
      <c r="CO2546" s="1" t="s">
        <v>495</v>
      </c>
      <c r="CP2546" s="1" t="s">
        <v>209</v>
      </c>
      <c r="CQ2546" s="1" t="s">
        <v>210</v>
      </c>
      <c r="CR2546" s="1" t="s">
        <v>229</v>
      </c>
      <c r="CS2546" s="1" t="s">
        <v>331</v>
      </c>
      <c r="CT2546" s="1" t="s">
        <v>206</v>
      </c>
      <c r="CU2546" s="1" t="s">
        <v>207</v>
      </c>
      <c r="CV2546" s="1" t="s">
        <v>229</v>
      </c>
      <c r="CW2546" s="1" t="s">
        <v>208</v>
      </c>
      <c r="CX2546" s="1" t="s">
        <v>206</v>
      </c>
      <c r="CY2546" s="1" t="s">
        <v>207</v>
      </c>
      <c r="CZ2546" s="1" t="s">
        <v>229</v>
      </c>
      <c r="DA2546" s="1" t="s">
        <v>192</v>
      </c>
      <c r="DB2546" s="2">
        <v>42078.0</v>
      </c>
      <c r="DC2546" s="1" t="s">
        <v>744</v>
      </c>
      <c r="DD2546" s="1" t="s">
        <v>855</v>
      </c>
      <c r="DE2546" s="1" t="s">
        <v>273</v>
      </c>
      <c r="DF2546" s="1" t="s">
        <v>219</v>
      </c>
      <c r="DG2546" s="1" t="s">
        <v>3020</v>
      </c>
      <c r="DH2546" s="1" t="s">
        <v>220</v>
      </c>
      <c r="DI2546" s="1" t="s">
        <v>1021</v>
      </c>
      <c r="DJ2546" s="1" t="s">
        <v>1048</v>
      </c>
      <c r="DK2546" s="1" t="s">
        <v>223</v>
      </c>
      <c r="DL2546" s="1" t="s">
        <v>223</v>
      </c>
      <c r="DM2546" s="1" t="s">
        <v>338</v>
      </c>
      <c r="DN2546" s="1" t="s">
        <v>1023</v>
      </c>
      <c r="DO2546" s="1" t="s">
        <v>440</v>
      </c>
      <c r="DP2546" s="1" t="s">
        <v>340</v>
      </c>
      <c r="DQ2546" s="1" t="s">
        <v>228</v>
      </c>
      <c r="DR2546" s="1" t="s">
        <v>1487</v>
      </c>
      <c r="DS2546" s="1" t="s">
        <v>230</v>
      </c>
      <c r="DU2546" s="1" t="s">
        <v>1187</v>
      </c>
      <c r="DV2546" s="1" t="s">
        <v>1028</v>
      </c>
      <c r="DW2546" s="1" t="s">
        <v>764</v>
      </c>
      <c r="DX2546" s="1" t="s">
        <v>234</v>
      </c>
      <c r="DY2546" s="1" t="s">
        <v>596</v>
      </c>
      <c r="EA2546" s="1" t="s">
        <v>1326</v>
      </c>
      <c r="EB2546" s="1" t="s">
        <v>597</v>
      </c>
      <c r="EC2546" s="1" t="s">
        <v>237</v>
      </c>
      <c r="ED2546" s="1" t="s">
        <v>6543</v>
      </c>
      <c r="EG2546" s="1" t="s">
        <v>1028</v>
      </c>
      <c r="EL2546" s="1" t="s">
        <v>392</v>
      </c>
      <c r="EM2546" s="1" t="s">
        <v>206</v>
      </c>
      <c r="EN2546" s="1" t="s">
        <v>207</v>
      </c>
      <c r="EQ2546" s="1" t="s">
        <v>238</v>
      </c>
      <c r="EU2546" s="1" t="s">
        <v>238</v>
      </c>
      <c r="EY2546" s="1" t="s">
        <v>238</v>
      </c>
      <c r="FC2546" s="1" t="s">
        <v>238</v>
      </c>
      <c r="FF2546" s="1" t="s">
        <v>239</v>
      </c>
      <c r="FG2546" s="1" t="s">
        <v>192</v>
      </c>
      <c r="FH2546" s="1" t="s">
        <v>192</v>
      </c>
      <c r="FJ2546" s="1" t="s">
        <v>22943</v>
      </c>
      <c r="FK2546" s="1" t="s">
        <v>229</v>
      </c>
      <c r="FL2546" s="1" t="s">
        <v>13428</v>
      </c>
      <c r="FM2546" s="1">
        <v>4534.0</v>
      </c>
      <c r="FN2546" s="1" t="s">
        <v>13429</v>
      </c>
      <c r="FO2546" s="1" t="s">
        <v>22944</v>
      </c>
      <c r="FP2546" s="1">
        <v>63006.0</v>
      </c>
      <c r="FQ2546" s="1" t="s">
        <v>22945</v>
      </c>
      <c r="FU2546" s="1" t="s">
        <v>22946</v>
      </c>
      <c r="FV2546" s="1" t="s">
        <v>200</v>
      </c>
      <c r="FW2546" s="1" t="s">
        <v>290</v>
      </c>
      <c r="FX2546" s="1" t="s">
        <v>238</v>
      </c>
      <c r="FZ2546" s="1" t="s">
        <v>229</v>
      </c>
      <c r="GA2546" s="1" t="s">
        <v>247</v>
      </c>
      <c r="GB2546" s="2">
        <v>42116.0</v>
      </c>
      <c r="GC2546" s="1" t="s">
        <v>22947</v>
      </c>
    </row>
    <row r="2547">
      <c r="A2547" s="1">
        <v>127500.0</v>
      </c>
      <c r="B2547" s="1" t="s">
        <v>185</v>
      </c>
      <c r="C2547" s="1" t="str">
        <f>"08832310"</f>
        <v>08832310</v>
      </c>
      <c r="D2547" s="1" t="s">
        <v>186</v>
      </c>
      <c r="F2547" s="1" t="str">
        <f>"543"</f>
        <v>543</v>
      </c>
      <c r="G2547" s="2">
        <v>42040.0</v>
      </c>
      <c r="H2547" s="1">
        <v>129900.0</v>
      </c>
      <c r="I2547" s="1">
        <v>135.0</v>
      </c>
      <c r="J2547" s="1">
        <v>129900.0</v>
      </c>
      <c r="K2547" s="2">
        <v>42062.0</v>
      </c>
      <c r="L2547" s="1">
        <v>23.0</v>
      </c>
      <c r="M2547" s="2">
        <v>42062.0</v>
      </c>
      <c r="N2547" s="1" t="s">
        <v>356</v>
      </c>
      <c r="O2547" s="2">
        <v>42110.0</v>
      </c>
      <c r="P2547" s="1">
        <v>702189.0</v>
      </c>
      <c r="Q2547" s="1">
        <v>72506.0</v>
      </c>
      <c r="R2547" s="1">
        <v>3000.0</v>
      </c>
      <c r="S2547" s="1">
        <v>56.0</v>
      </c>
      <c r="T2547" s="1" t="s">
        <v>14748</v>
      </c>
      <c r="U2547" s="1" t="s">
        <v>320</v>
      </c>
      <c r="V2547" s="1" t="s">
        <v>1527</v>
      </c>
      <c r="W2547" s="1">
        <v>60543.0</v>
      </c>
      <c r="Y2547" s="1" t="s">
        <v>22948</v>
      </c>
      <c r="Z2547" s="1">
        <v>1930.0</v>
      </c>
      <c r="AA2547" s="1" t="s">
        <v>192</v>
      </c>
      <c r="AB2547" s="1" t="s">
        <v>193</v>
      </c>
      <c r="AD2547" s="1" t="s">
        <v>1529</v>
      </c>
      <c r="AE2547" s="1" t="s">
        <v>849</v>
      </c>
      <c r="AF2547" s="1" t="s">
        <v>1529</v>
      </c>
      <c r="AH2547" s="1" t="s">
        <v>22949</v>
      </c>
      <c r="AI2547" s="1">
        <v>0.2043</v>
      </c>
      <c r="AK2547" s="1">
        <v>6.0</v>
      </c>
      <c r="AL2547" s="1">
        <v>4.0</v>
      </c>
      <c r="AM2547" s="1">
        <v>2.0</v>
      </c>
      <c r="AN2547" s="1">
        <v>0.0</v>
      </c>
      <c r="AO2547" s="1" t="s">
        <v>198</v>
      </c>
      <c r="AP2547" s="1">
        <v>1.0</v>
      </c>
      <c r="AQ2547" s="1" t="s">
        <v>1314</v>
      </c>
      <c r="AR2547" s="1" t="s">
        <v>192</v>
      </c>
      <c r="AS2547" s="1" t="s">
        <v>199</v>
      </c>
      <c r="AT2547" s="1">
        <v>2.0</v>
      </c>
      <c r="AV2547" s="1" t="s">
        <v>200</v>
      </c>
      <c r="AW2547" s="1">
        <v>2933.02</v>
      </c>
      <c r="AX2547" s="1">
        <v>2013.0</v>
      </c>
      <c r="AY2547" s="1" t="s">
        <v>1917</v>
      </c>
      <c r="AZ2547" s="1" t="s">
        <v>200</v>
      </c>
      <c r="BA2547" s="1" t="str">
        <f>"0317379005"</f>
        <v>0317379005</v>
      </c>
      <c r="BC2547" s="1">
        <v>1068.0</v>
      </c>
      <c r="BD2547" s="1">
        <v>127500.0</v>
      </c>
      <c r="BE2547" s="2">
        <v>42040.0</v>
      </c>
      <c r="BF2547" s="2" t="s">
        <v>22950</v>
      </c>
      <c r="BH2547" s="1">
        <v>0.0</v>
      </c>
      <c r="BK2547" s="1" t="s">
        <v>204</v>
      </c>
      <c r="BL2547" s="1" t="str">
        <f t="shared" ref="BL2547:BM2547" si="1665">""</f>
        <v/>
      </c>
      <c r="BM2547" s="1" t="str">
        <f t="shared" si="1665"/>
        <v/>
      </c>
      <c r="BQ2547" s="1">
        <v>308.0</v>
      </c>
      <c r="BR2547" s="1">
        <v>308.0</v>
      </c>
      <c r="BS2547" s="1">
        <v>308.0</v>
      </c>
      <c r="BU2547" s="1" t="s">
        <v>2120</v>
      </c>
      <c r="BV2547" s="1" t="s">
        <v>206</v>
      </c>
      <c r="BW2547" s="1" t="s">
        <v>207</v>
      </c>
      <c r="BY2547" s="1" t="s">
        <v>699</v>
      </c>
      <c r="BZ2547" s="1" t="s">
        <v>206</v>
      </c>
      <c r="CA2547" s="1" t="s">
        <v>301</v>
      </c>
      <c r="CD2547" s="1" t="s">
        <v>204</v>
      </c>
      <c r="CE2547" s="1" t="s">
        <v>301</v>
      </c>
      <c r="CG2547" s="1" t="s">
        <v>329</v>
      </c>
      <c r="CH2547" s="1" t="s">
        <v>209</v>
      </c>
      <c r="CI2547" s="1" t="s">
        <v>210</v>
      </c>
      <c r="CK2547" s="1" t="s">
        <v>212</v>
      </c>
      <c r="CL2547" s="1" t="s">
        <v>209</v>
      </c>
      <c r="CM2547" s="1" t="s">
        <v>210</v>
      </c>
      <c r="CO2547" s="1" t="s">
        <v>6146</v>
      </c>
      <c r="CP2547" s="1" t="s">
        <v>209</v>
      </c>
      <c r="CQ2547" s="1" t="s">
        <v>588</v>
      </c>
      <c r="CS2547" s="1" t="s">
        <v>700</v>
      </c>
      <c r="CT2547" s="1" t="s">
        <v>206</v>
      </c>
      <c r="CU2547" s="1" t="s">
        <v>301</v>
      </c>
      <c r="CX2547" s="1" t="s">
        <v>204</v>
      </c>
      <c r="DA2547" s="1" t="s">
        <v>200</v>
      </c>
      <c r="DC2547" s="1" t="s">
        <v>785</v>
      </c>
      <c r="DD2547" s="1" t="s">
        <v>518</v>
      </c>
      <c r="DE2547" s="1" t="s">
        <v>229</v>
      </c>
      <c r="DF2547" s="1" t="s">
        <v>219</v>
      </c>
      <c r="DH2547" s="1" t="s">
        <v>220</v>
      </c>
      <c r="DJ2547" s="1" t="s">
        <v>222</v>
      </c>
      <c r="DL2547" s="1" t="s">
        <v>223</v>
      </c>
      <c r="DM2547" s="1" t="s">
        <v>229</v>
      </c>
      <c r="DO2547" s="1" t="s">
        <v>590</v>
      </c>
      <c r="DQ2547" s="1" t="s">
        <v>228</v>
      </c>
      <c r="DR2547" s="1" t="s">
        <v>229</v>
      </c>
      <c r="DV2547" s="1" t="s">
        <v>1102</v>
      </c>
      <c r="DW2547" s="1" t="s">
        <v>667</v>
      </c>
      <c r="DX2547" s="1" t="s">
        <v>1287</v>
      </c>
      <c r="DY2547" s="1" t="s">
        <v>1371</v>
      </c>
      <c r="EB2547" s="1" t="s">
        <v>684</v>
      </c>
      <c r="EC2547" s="1" t="s">
        <v>237</v>
      </c>
      <c r="EG2547" s="1" t="s">
        <v>1102</v>
      </c>
      <c r="EL2547" s="1" t="s">
        <v>5992</v>
      </c>
      <c r="EM2547" s="1" t="s">
        <v>206</v>
      </c>
      <c r="EN2547" s="1" t="s">
        <v>588</v>
      </c>
      <c r="EQ2547" s="1" t="s">
        <v>238</v>
      </c>
      <c r="EU2547" s="1" t="s">
        <v>238</v>
      </c>
      <c r="EY2547" s="1" t="s">
        <v>238</v>
      </c>
      <c r="FC2547" s="1" t="s">
        <v>238</v>
      </c>
      <c r="FF2547" s="1" t="s">
        <v>239</v>
      </c>
      <c r="FG2547" s="1" t="s">
        <v>192</v>
      </c>
      <c r="FH2547" s="1" t="s">
        <v>192</v>
      </c>
      <c r="FJ2547" s="1" t="s">
        <v>624</v>
      </c>
      <c r="FK2547" s="1" t="s">
        <v>229</v>
      </c>
      <c r="FL2547" s="1" t="s">
        <v>4309</v>
      </c>
      <c r="FM2547" s="1">
        <v>87.0</v>
      </c>
      <c r="FN2547" s="1" t="s">
        <v>5753</v>
      </c>
      <c r="FO2547" s="1" t="s">
        <v>9346</v>
      </c>
      <c r="FP2547" s="1">
        <v>300050.0</v>
      </c>
      <c r="FQ2547" s="1" t="s">
        <v>9347</v>
      </c>
      <c r="FU2547" s="1" t="s">
        <v>22951</v>
      </c>
      <c r="FV2547" s="1" t="s">
        <v>200</v>
      </c>
      <c r="FW2547" s="1" t="s">
        <v>1411</v>
      </c>
      <c r="FZ2547" s="1" t="s">
        <v>632</v>
      </c>
      <c r="GA2547" s="1" t="s">
        <v>291</v>
      </c>
      <c r="GB2547" s="2">
        <v>42110.0</v>
      </c>
      <c r="GC2547" s="1" t="s">
        <v>22952</v>
      </c>
    </row>
    <row r="2548">
      <c r="A2548" s="1">
        <v>378900.0</v>
      </c>
      <c r="B2548" s="1" t="s">
        <v>185</v>
      </c>
      <c r="C2548" s="1" t="str">
        <f>"08824434"</f>
        <v>08824434</v>
      </c>
      <c r="D2548" s="1" t="s">
        <v>186</v>
      </c>
      <c r="F2548" s="1" t="str">
        <f>"8017"</f>
        <v>8017</v>
      </c>
      <c r="G2548" s="2">
        <v>42030.0</v>
      </c>
      <c r="H2548" s="1">
        <v>388900.0</v>
      </c>
      <c r="I2548" s="1">
        <v>43.0</v>
      </c>
      <c r="J2548" s="1">
        <v>388900.0</v>
      </c>
      <c r="K2548" s="2">
        <v>42072.0</v>
      </c>
      <c r="L2548" s="1">
        <v>43.0</v>
      </c>
      <c r="M2548" s="2">
        <v>42072.0</v>
      </c>
      <c r="N2548" s="1" t="s">
        <v>187</v>
      </c>
      <c r="O2548" s="2">
        <v>42110.0</v>
      </c>
      <c r="P2548" s="1">
        <v>121828.0</v>
      </c>
      <c r="Q2548" s="1">
        <v>17299.0</v>
      </c>
      <c r="R2548" s="1">
        <v>6000.0</v>
      </c>
      <c r="S2548" s="1">
        <v>6519.0</v>
      </c>
      <c r="T2548" s="1" t="s">
        <v>16547</v>
      </c>
      <c r="U2548" s="1" t="s">
        <v>320</v>
      </c>
      <c r="V2548" s="1" t="s">
        <v>190</v>
      </c>
      <c r="W2548" s="1">
        <v>60634.0</v>
      </c>
      <c r="Y2548" s="1" t="s">
        <v>22953</v>
      </c>
      <c r="Z2548" s="1">
        <v>2000.0</v>
      </c>
      <c r="AA2548" s="1" t="s">
        <v>200</v>
      </c>
      <c r="AB2548" s="1" t="s">
        <v>193</v>
      </c>
      <c r="AD2548" s="1" t="s">
        <v>194</v>
      </c>
      <c r="AE2548" s="1" t="s">
        <v>195</v>
      </c>
      <c r="AF2548" s="1" t="s">
        <v>196</v>
      </c>
      <c r="AH2548" s="1" t="s">
        <v>22954</v>
      </c>
      <c r="AK2548" s="1">
        <v>9.0</v>
      </c>
      <c r="AL2548" s="1">
        <v>4.0</v>
      </c>
      <c r="AM2548" s="1">
        <v>3.0</v>
      </c>
      <c r="AN2548" s="1">
        <v>1.0</v>
      </c>
      <c r="AO2548" s="1" t="s">
        <v>198</v>
      </c>
      <c r="AP2548" s="1">
        <v>1.0</v>
      </c>
      <c r="AQ2548" s="1" t="s">
        <v>198</v>
      </c>
      <c r="AR2548" s="1" t="s">
        <v>192</v>
      </c>
      <c r="AS2548" s="1" t="s">
        <v>199</v>
      </c>
      <c r="AT2548" s="1">
        <v>3.0</v>
      </c>
      <c r="AV2548" s="1" t="s">
        <v>200</v>
      </c>
      <c r="AW2548" s="1">
        <v>7868.89</v>
      </c>
      <c r="AX2548" s="1">
        <v>2013.0</v>
      </c>
      <c r="AZ2548" s="1" t="s">
        <v>545</v>
      </c>
      <c r="BA2548" s="1" t="str">
        <f>"13192050250000"</f>
        <v>13192050250000</v>
      </c>
      <c r="BC2548" s="1">
        <v>2347.0</v>
      </c>
      <c r="BD2548" s="1">
        <v>378900.0</v>
      </c>
      <c r="BE2548" s="2">
        <v>42030.0</v>
      </c>
      <c r="BF2548" s="2" t="s">
        <v>22955</v>
      </c>
      <c r="BH2548" s="1">
        <v>0.0</v>
      </c>
      <c r="BK2548" s="1" t="s">
        <v>204</v>
      </c>
      <c r="BL2548" s="1" t="str">
        <f>"3900"</f>
        <v>3900</v>
      </c>
      <c r="BM2548" s="1" t="str">
        <f>"0"</f>
        <v>0</v>
      </c>
      <c r="BN2548" s="1">
        <v>6519.0</v>
      </c>
      <c r="BO2548" s="1">
        <v>0.0</v>
      </c>
      <c r="BQ2548" s="1">
        <v>299.0</v>
      </c>
      <c r="BR2548" s="1">
        <v>299.0</v>
      </c>
      <c r="BS2548" s="1">
        <v>299.0</v>
      </c>
      <c r="BU2548" s="1" t="s">
        <v>769</v>
      </c>
      <c r="BV2548" s="1" t="s">
        <v>206</v>
      </c>
      <c r="BY2548" s="1" t="s">
        <v>434</v>
      </c>
      <c r="BZ2548" s="1" t="s">
        <v>209</v>
      </c>
      <c r="CC2548" s="1" t="s">
        <v>332</v>
      </c>
      <c r="CD2548" s="1" t="s">
        <v>206</v>
      </c>
      <c r="CG2548" s="1" t="s">
        <v>332</v>
      </c>
      <c r="CH2548" s="1" t="s">
        <v>209</v>
      </c>
      <c r="CK2548" s="1" t="s">
        <v>516</v>
      </c>
      <c r="CL2548" s="1" t="s">
        <v>209</v>
      </c>
      <c r="CO2548" s="1" t="s">
        <v>332</v>
      </c>
      <c r="CP2548" s="1" t="s">
        <v>209</v>
      </c>
      <c r="CS2548" s="1" t="s">
        <v>1064</v>
      </c>
      <c r="CT2548" s="1" t="s">
        <v>206</v>
      </c>
      <c r="CX2548" s="1" t="s">
        <v>204</v>
      </c>
      <c r="DA2548" s="1" t="s">
        <v>200</v>
      </c>
      <c r="DC2548" s="1" t="s">
        <v>335</v>
      </c>
      <c r="DD2548" s="1" t="s">
        <v>22956</v>
      </c>
      <c r="DE2548" s="1" t="s">
        <v>273</v>
      </c>
      <c r="DF2548" s="1" t="s">
        <v>219</v>
      </c>
      <c r="DH2548" s="1" t="s">
        <v>365</v>
      </c>
      <c r="DJ2548" s="1" t="s">
        <v>222</v>
      </c>
      <c r="DL2548" s="1" t="s">
        <v>224</v>
      </c>
      <c r="DM2548" s="1" t="s">
        <v>229</v>
      </c>
      <c r="DO2548" s="1" t="s">
        <v>1979</v>
      </c>
      <c r="DQ2548" s="1" t="s">
        <v>228</v>
      </c>
      <c r="DR2548" s="1" t="s">
        <v>229</v>
      </c>
      <c r="DV2548" s="1" t="s">
        <v>2891</v>
      </c>
      <c r="DW2548" s="1" t="s">
        <v>22957</v>
      </c>
      <c r="DX2548" s="1" t="s">
        <v>234</v>
      </c>
      <c r="EC2548" s="1" t="s">
        <v>237</v>
      </c>
      <c r="EG2548" s="1" t="s">
        <v>450</v>
      </c>
      <c r="EH2548" s="1" t="s">
        <v>557</v>
      </c>
      <c r="EL2548" s="1" t="s">
        <v>1000</v>
      </c>
      <c r="EM2548" s="1" t="s">
        <v>42</v>
      </c>
      <c r="EP2548" s="1" t="s">
        <v>212</v>
      </c>
      <c r="EQ2548" s="1" t="s">
        <v>42</v>
      </c>
      <c r="EU2548" s="1" t="s">
        <v>238</v>
      </c>
      <c r="EY2548" s="1" t="s">
        <v>238</v>
      </c>
      <c r="FC2548" s="1" t="s">
        <v>238</v>
      </c>
      <c r="FF2548" s="1" t="s">
        <v>239</v>
      </c>
      <c r="FG2548" s="1" t="s">
        <v>192</v>
      </c>
      <c r="FH2548" s="1" t="s">
        <v>192</v>
      </c>
      <c r="FJ2548" s="1" t="s">
        <v>347</v>
      </c>
      <c r="FK2548" s="1" t="s">
        <v>229</v>
      </c>
      <c r="FL2548" s="1" t="s">
        <v>1775</v>
      </c>
      <c r="FM2548" s="1">
        <v>31982.0</v>
      </c>
      <c r="FN2548" s="1" t="s">
        <v>1776</v>
      </c>
      <c r="FO2548" s="1" t="s">
        <v>1777</v>
      </c>
      <c r="FP2548" s="1">
        <v>319888.0</v>
      </c>
      <c r="FQ2548" s="1" t="s">
        <v>1778</v>
      </c>
      <c r="FU2548" s="1" t="s">
        <v>6544</v>
      </c>
      <c r="FV2548" s="1" t="s">
        <v>200</v>
      </c>
      <c r="FW2548" s="1" t="s">
        <v>354</v>
      </c>
      <c r="FX2548" s="1" t="s">
        <v>246</v>
      </c>
      <c r="FZ2548" s="1" t="s">
        <v>229</v>
      </c>
      <c r="GA2548" s="1" t="s">
        <v>291</v>
      </c>
      <c r="GB2548" s="2">
        <v>42110.0</v>
      </c>
      <c r="GC2548" s="1" t="s">
        <v>22958</v>
      </c>
    </row>
    <row r="2549">
      <c r="A2549" s="1">
        <v>249000.0</v>
      </c>
      <c r="B2549" s="1" t="s">
        <v>185</v>
      </c>
      <c r="C2549" s="1" t="str">
        <f>"08828873"</f>
        <v>08828873</v>
      </c>
      <c r="D2549" s="1" t="s">
        <v>186</v>
      </c>
      <c r="F2549" s="1" t="str">
        <f>"543"</f>
        <v>543</v>
      </c>
      <c r="G2549" s="2">
        <v>42037.0</v>
      </c>
      <c r="H2549" s="1">
        <v>259900.0</v>
      </c>
      <c r="I2549" s="1">
        <v>55.0</v>
      </c>
      <c r="J2549" s="1">
        <v>259900.0</v>
      </c>
      <c r="K2549" s="2">
        <v>42091.0</v>
      </c>
      <c r="L2549" s="1">
        <v>55.0</v>
      </c>
      <c r="M2549" s="2">
        <v>42091.0</v>
      </c>
      <c r="N2549" s="1" t="s">
        <v>187</v>
      </c>
      <c r="O2549" s="2">
        <v>42143.0</v>
      </c>
      <c r="P2549" s="1">
        <v>233854.0</v>
      </c>
      <c r="Q2549" s="1">
        <v>23120.0</v>
      </c>
      <c r="S2549" s="1">
        <v>110.0</v>
      </c>
      <c r="T2549" s="1" t="s">
        <v>22959</v>
      </c>
      <c r="U2549" s="1" t="s">
        <v>569</v>
      </c>
      <c r="V2549" s="1" t="s">
        <v>1527</v>
      </c>
      <c r="W2549" s="1">
        <v>60543.0</v>
      </c>
      <c r="Y2549" s="1" t="s">
        <v>22960</v>
      </c>
      <c r="Z2549" s="1">
        <v>1991.0</v>
      </c>
      <c r="AA2549" s="1" t="s">
        <v>200</v>
      </c>
      <c r="AB2549" s="1" t="s">
        <v>193</v>
      </c>
      <c r="AC2549" s="1" t="s">
        <v>22961</v>
      </c>
      <c r="AD2549" s="1" t="s">
        <v>1529</v>
      </c>
      <c r="AE2549" s="1" t="s">
        <v>849</v>
      </c>
      <c r="AF2549" s="1" t="s">
        <v>1529</v>
      </c>
      <c r="AH2549" s="1" t="s">
        <v>2437</v>
      </c>
      <c r="AI2549" s="1">
        <v>0.242</v>
      </c>
      <c r="AK2549" s="1">
        <v>10.0</v>
      </c>
      <c r="AL2549" s="1">
        <v>4.0</v>
      </c>
      <c r="AM2549" s="1">
        <v>2.0</v>
      </c>
      <c r="AN2549" s="1">
        <v>1.0</v>
      </c>
      <c r="AO2549" s="1" t="s">
        <v>198</v>
      </c>
      <c r="AP2549" s="1">
        <v>1.0</v>
      </c>
      <c r="AQ2549" s="1" t="s">
        <v>198</v>
      </c>
      <c r="AR2549" s="1" t="s">
        <v>200</v>
      </c>
      <c r="AS2549" s="1" t="s">
        <v>199</v>
      </c>
      <c r="AT2549" s="1">
        <v>2.0</v>
      </c>
      <c r="AV2549" s="1" t="s">
        <v>200</v>
      </c>
      <c r="AW2549" s="1">
        <v>7927.44</v>
      </c>
      <c r="AX2549" s="1">
        <v>2012.0</v>
      </c>
      <c r="AY2549" s="1" t="s">
        <v>387</v>
      </c>
      <c r="AZ2549" s="1" t="s">
        <v>200</v>
      </c>
      <c r="BA2549" s="1" t="str">
        <f>"0308476043"</f>
        <v>0308476043</v>
      </c>
      <c r="BB2549" s="1" t="s">
        <v>200</v>
      </c>
      <c r="BC2549" s="1">
        <v>2466.0</v>
      </c>
      <c r="BD2549" s="1">
        <v>249000.0</v>
      </c>
      <c r="BE2549" s="2">
        <v>42037.0</v>
      </c>
      <c r="BF2549" s="2" t="s">
        <v>22962</v>
      </c>
      <c r="BG2549" s="1" t="s">
        <v>4366</v>
      </c>
      <c r="BH2549" s="1">
        <v>0.0</v>
      </c>
      <c r="BI2549" s="1" t="s">
        <v>1533</v>
      </c>
      <c r="BJ2549" s="1" t="s">
        <v>1349</v>
      </c>
      <c r="BK2549" s="1" t="s">
        <v>204</v>
      </c>
      <c r="BL2549" s="1" t="str">
        <f t="shared" ref="BL2549:BM2549" si="1666">""</f>
        <v/>
      </c>
      <c r="BM2549" s="1" t="str">
        <f t="shared" si="1666"/>
        <v/>
      </c>
      <c r="BQ2549" s="1">
        <v>308.0</v>
      </c>
      <c r="BR2549" s="1">
        <v>308.0</v>
      </c>
      <c r="BS2549" s="1">
        <v>308.0</v>
      </c>
      <c r="BU2549" s="1" t="s">
        <v>743</v>
      </c>
      <c r="BV2549" s="1" t="s">
        <v>206</v>
      </c>
      <c r="BW2549" s="1" t="s">
        <v>210</v>
      </c>
      <c r="BX2549" s="1" t="s">
        <v>239</v>
      </c>
      <c r="BY2549" s="1" t="s">
        <v>1534</v>
      </c>
      <c r="BZ2549" s="1" t="s">
        <v>209</v>
      </c>
      <c r="CA2549" s="1" t="s">
        <v>210</v>
      </c>
      <c r="CB2549" s="1" t="s">
        <v>239</v>
      </c>
      <c r="CC2549" s="1" t="s">
        <v>212</v>
      </c>
      <c r="CD2549" s="1" t="s">
        <v>206</v>
      </c>
      <c r="CE2549" s="1" t="s">
        <v>210</v>
      </c>
      <c r="CF2549" s="1" t="s">
        <v>239</v>
      </c>
      <c r="CG2549" s="1" t="s">
        <v>433</v>
      </c>
      <c r="CH2549" s="1" t="s">
        <v>209</v>
      </c>
      <c r="CI2549" s="1" t="s">
        <v>210</v>
      </c>
      <c r="CJ2549" s="1" t="s">
        <v>239</v>
      </c>
      <c r="CK2549" s="1" t="s">
        <v>497</v>
      </c>
      <c r="CL2549" s="1" t="s">
        <v>209</v>
      </c>
      <c r="CM2549" s="1" t="s">
        <v>210</v>
      </c>
      <c r="CN2549" s="1" t="s">
        <v>239</v>
      </c>
      <c r="CO2549" s="1" t="s">
        <v>212</v>
      </c>
      <c r="CP2549" s="1" t="s">
        <v>209</v>
      </c>
      <c r="CQ2549" s="1" t="s">
        <v>301</v>
      </c>
      <c r="CR2549" s="1" t="s">
        <v>239</v>
      </c>
      <c r="CS2549" s="1" t="s">
        <v>264</v>
      </c>
      <c r="CT2549" s="1" t="s">
        <v>206</v>
      </c>
      <c r="CU2549" s="1" t="s">
        <v>268</v>
      </c>
      <c r="CV2549" s="1" t="s">
        <v>239</v>
      </c>
      <c r="CW2549" s="1" t="s">
        <v>743</v>
      </c>
      <c r="CX2549" s="1" t="s">
        <v>206</v>
      </c>
      <c r="CY2549" s="1" t="s">
        <v>210</v>
      </c>
      <c r="CZ2549" s="1" t="s">
        <v>239</v>
      </c>
      <c r="DA2549" s="1" t="s">
        <v>200</v>
      </c>
      <c r="DC2549" s="1" t="s">
        <v>435</v>
      </c>
      <c r="DD2549" s="1" t="s">
        <v>396</v>
      </c>
      <c r="DE2549" s="1" t="s">
        <v>273</v>
      </c>
      <c r="DF2549" s="1" t="s">
        <v>219</v>
      </c>
      <c r="DG2549" s="1" t="s">
        <v>4488</v>
      </c>
      <c r="DH2549" s="1" t="s">
        <v>220</v>
      </c>
      <c r="DI2549" s="1" t="s">
        <v>221</v>
      </c>
      <c r="DJ2549" s="1" t="s">
        <v>222</v>
      </c>
      <c r="DK2549" s="1" t="s">
        <v>223</v>
      </c>
      <c r="DL2549" s="1" t="s">
        <v>224</v>
      </c>
      <c r="DM2549" s="1" t="s">
        <v>229</v>
      </c>
      <c r="DN2549" s="1" t="s">
        <v>399</v>
      </c>
      <c r="DO2549" s="1" t="s">
        <v>5346</v>
      </c>
      <c r="DP2549" s="1" t="s">
        <v>340</v>
      </c>
      <c r="DQ2549" s="1" t="s">
        <v>228</v>
      </c>
      <c r="DR2549" s="1" t="s">
        <v>229</v>
      </c>
      <c r="DS2549" s="1" t="s">
        <v>230</v>
      </c>
      <c r="DU2549" s="1" t="s">
        <v>1840</v>
      </c>
      <c r="DV2549" s="1" t="s">
        <v>22963</v>
      </c>
      <c r="DW2549" s="1" t="s">
        <v>370</v>
      </c>
      <c r="DX2549" s="1" t="s">
        <v>234</v>
      </c>
      <c r="DY2549" s="1" t="s">
        <v>596</v>
      </c>
      <c r="DZ2549" s="1" t="s">
        <v>491</v>
      </c>
      <c r="EA2549" s="1" t="s">
        <v>344</v>
      </c>
      <c r="EB2549" s="1" t="s">
        <v>937</v>
      </c>
      <c r="EC2549" s="1" t="s">
        <v>237</v>
      </c>
      <c r="ED2549" s="1" t="s">
        <v>407</v>
      </c>
      <c r="EG2549" s="1" t="s">
        <v>556</v>
      </c>
      <c r="EH2549" s="1" t="s">
        <v>450</v>
      </c>
      <c r="EI2549" s="1" t="s">
        <v>1103</v>
      </c>
      <c r="EJ2549" s="1" t="s">
        <v>310</v>
      </c>
      <c r="EK2549" s="1" t="s">
        <v>2971</v>
      </c>
      <c r="EL2549" s="1" t="s">
        <v>1119</v>
      </c>
      <c r="EM2549" s="1" t="s">
        <v>206</v>
      </c>
      <c r="EN2549" s="1" t="s">
        <v>268</v>
      </c>
      <c r="EO2549" s="1" t="s">
        <v>239</v>
      </c>
      <c r="EP2549" s="1" t="s">
        <v>2414</v>
      </c>
      <c r="EQ2549" s="1" t="s">
        <v>267</v>
      </c>
      <c r="ER2549" s="1" t="s">
        <v>210</v>
      </c>
      <c r="ET2549" s="1" t="s">
        <v>10599</v>
      </c>
      <c r="EU2549" s="1" t="s">
        <v>267</v>
      </c>
      <c r="EX2549" s="1" t="s">
        <v>729</v>
      </c>
      <c r="EY2549" s="1" t="s">
        <v>206</v>
      </c>
      <c r="FB2549" s="1" t="s">
        <v>647</v>
      </c>
      <c r="FC2549" s="1" t="s">
        <v>267</v>
      </c>
      <c r="FD2549" s="1" t="s">
        <v>617</v>
      </c>
      <c r="FF2549" s="1" t="s">
        <v>239</v>
      </c>
      <c r="FG2549" s="1" t="s">
        <v>192</v>
      </c>
      <c r="FH2549" s="1" t="s">
        <v>192</v>
      </c>
      <c r="FJ2549" s="1" t="s">
        <v>2262</v>
      </c>
      <c r="FK2549" s="1" t="s">
        <v>229</v>
      </c>
      <c r="FL2549" s="1" t="s">
        <v>5963</v>
      </c>
      <c r="FM2549" s="1">
        <v>23099.0</v>
      </c>
      <c r="FN2549" s="1" t="s">
        <v>5964</v>
      </c>
      <c r="FO2549" s="1" t="s">
        <v>22964</v>
      </c>
      <c r="FP2549" s="1">
        <v>222381.0</v>
      </c>
      <c r="FQ2549" s="1" t="s">
        <v>22965</v>
      </c>
      <c r="FU2549" s="1" t="s">
        <v>22966</v>
      </c>
      <c r="FV2549" s="1" t="s">
        <v>200</v>
      </c>
      <c r="FW2549" s="1" t="s">
        <v>530</v>
      </c>
      <c r="FZ2549" s="1" t="s">
        <v>229</v>
      </c>
      <c r="GA2549" s="1" t="s">
        <v>291</v>
      </c>
      <c r="GB2549" s="2">
        <v>42143.0</v>
      </c>
    </row>
    <row r="2550">
      <c r="A2550" s="1">
        <v>405150.0</v>
      </c>
      <c r="B2550" s="1" t="s">
        <v>185</v>
      </c>
      <c r="C2550" s="1" t="str">
        <f>"08831204"</f>
        <v>08831204</v>
      </c>
      <c r="D2550" s="1" t="s">
        <v>186</v>
      </c>
      <c r="F2550" s="1" t="str">
        <f>"134"</f>
        <v>134</v>
      </c>
      <c r="G2550" s="2">
        <v>42039.0</v>
      </c>
      <c r="H2550" s="1">
        <v>418717.0</v>
      </c>
      <c r="I2550" s="1">
        <v>57.0</v>
      </c>
      <c r="J2550" s="1">
        <v>418717.0</v>
      </c>
      <c r="K2550" s="2">
        <v>42095.0</v>
      </c>
      <c r="L2550" s="1">
        <v>57.0</v>
      </c>
      <c r="M2550" s="2">
        <v>42095.0</v>
      </c>
      <c r="N2550" s="1" t="s">
        <v>187</v>
      </c>
      <c r="O2550" s="2">
        <v>42144.0</v>
      </c>
      <c r="P2550" s="1">
        <v>221930.0</v>
      </c>
      <c r="Q2550" s="1">
        <v>25718.0</v>
      </c>
      <c r="S2550" s="1" t="s">
        <v>22967</v>
      </c>
      <c r="T2550" s="1" t="s">
        <v>22968</v>
      </c>
      <c r="U2550" s="1" t="s">
        <v>569</v>
      </c>
      <c r="V2550" s="1" t="s">
        <v>421</v>
      </c>
      <c r="W2550" s="1">
        <v>60134.0</v>
      </c>
      <c r="Y2550" s="1" t="s">
        <v>22969</v>
      </c>
      <c r="Z2550" s="1">
        <v>2015.0</v>
      </c>
      <c r="AA2550" s="1" t="s">
        <v>200</v>
      </c>
      <c r="AB2550" s="1" t="s">
        <v>467</v>
      </c>
      <c r="AC2550" s="1" t="s">
        <v>1596</v>
      </c>
      <c r="AD2550" s="1" t="s">
        <v>1089</v>
      </c>
      <c r="AE2550" s="1" t="s">
        <v>325</v>
      </c>
      <c r="AF2550" s="1" t="s">
        <v>1479</v>
      </c>
      <c r="AG2550" s="1" t="s">
        <v>22970</v>
      </c>
      <c r="AH2550" s="1" t="s">
        <v>22971</v>
      </c>
      <c r="AK2550" s="1">
        <v>9.0</v>
      </c>
      <c r="AL2550" s="1">
        <v>4.0</v>
      </c>
      <c r="AM2550" s="1">
        <v>2.0</v>
      </c>
      <c r="AN2550" s="1">
        <v>1.0</v>
      </c>
      <c r="AO2550" s="1" t="s">
        <v>198</v>
      </c>
      <c r="AP2550" s="1">
        <v>1.0</v>
      </c>
      <c r="AQ2550" s="1" t="s">
        <v>472</v>
      </c>
      <c r="AR2550" s="1" t="s">
        <v>200</v>
      </c>
      <c r="AS2550" s="1" t="s">
        <v>199</v>
      </c>
      <c r="AT2550" s="1">
        <v>3.0</v>
      </c>
      <c r="AV2550" s="1" t="s">
        <v>200</v>
      </c>
      <c r="AW2550" s="1">
        <v>220.0</v>
      </c>
      <c r="AX2550" s="1">
        <v>2013.0</v>
      </c>
      <c r="AY2550" s="1" t="s">
        <v>229</v>
      </c>
      <c r="AZ2550" s="1" t="s">
        <v>192</v>
      </c>
      <c r="BA2550" s="1" t="str">
        <f>"9999999990"</f>
        <v>9999999990</v>
      </c>
      <c r="BC2550" s="1">
        <v>2575.0</v>
      </c>
      <c r="BD2550" s="1">
        <v>405150.0</v>
      </c>
      <c r="BE2550" s="2">
        <v>42039.0</v>
      </c>
      <c r="BF2550" s="2" t="s">
        <v>22972</v>
      </c>
      <c r="BH2550" s="1">
        <v>0.0</v>
      </c>
      <c r="BK2550" s="1" t="s">
        <v>204</v>
      </c>
      <c r="BL2550" s="1" t="str">
        <f t="shared" ref="BL2550:BM2550" si="1667">""</f>
        <v/>
      </c>
      <c r="BM2550" s="1" t="str">
        <f t="shared" si="1667"/>
        <v/>
      </c>
      <c r="BQ2550" s="1">
        <v>304.0</v>
      </c>
      <c r="BR2550" s="1">
        <v>304.0</v>
      </c>
      <c r="BS2550" s="1">
        <v>304.0</v>
      </c>
      <c r="BU2550" s="1" t="s">
        <v>2460</v>
      </c>
      <c r="BV2550" s="1" t="s">
        <v>206</v>
      </c>
      <c r="BW2550" s="1" t="s">
        <v>210</v>
      </c>
      <c r="BX2550" s="1" t="s">
        <v>229</v>
      </c>
      <c r="BY2550" s="1" t="s">
        <v>1000</v>
      </c>
      <c r="BZ2550" s="1" t="s">
        <v>209</v>
      </c>
      <c r="CA2550" s="1" t="s">
        <v>210</v>
      </c>
      <c r="CB2550" s="1" t="s">
        <v>229</v>
      </c>
      <c r="CC2550" s="1" t="s">
        <v>663</v>
      </c>
      <c r="CD2550" s="1" t="s">
        <v>206</v>
      </c>
      <c r="CE2550" s="1" t="s">
        <v>207</v>
      </c>
      <c r="CF2550" s="1" t="s">
        <v>229</v>
      </c>
      <c r="CG2550" s="1" t="s">
        <v>363</v>
      </c>
      <c r="CH2550" s="1" t="s">
        <v>209</v>
      </c>
      <c r="CI2550" s="1" t="s">
        <v>210</v>
      </c>
      <c r="CJ2550" s="1" t="s">
        <v>229</v>
      </c>
      <c r="CK2550" s="1" t="s">
        <v>1352</v>
      </c>
      <c r="CL2550" s="1" t="s">
        <v>209</v>
      </c>
      <c r="CM2550" s="1" t="s">
        <v>210</v>
      </c>
      <c r="CN2550" s="1" t="s">
        <v>229</v>
      </c>
      <c r="CO2550" s="1" t="s">
        <v>478</v>
      </c>
      <c r="CP2550" s="1" t="s">
        <v>209</v>
      </c>
      <c r="CQ2550" s="1" t="s">
        <v>210</v>
      </c>
      <c r="CR2550" s="1" t="s">
        <v>229</v>
      </c>
      <c r="CS2550" s="1" t="s">
        <v>2460</v>
      </c>
      <c r="CT2550" s="1" t="s">
        <v>206</v>
      </c>
      <c r="CU2550" s="1" t="s">
        <v>207</v>
      </c>
      <c r="CV2550" s="1" t="s">
        <v>229</v>
      </c>
      <c r="CW2550" s="1" t="s">
        <v>362</v>
      </c>
      <c r="CX2550" s="1" t="s">
        <v>206</v>
      </c>
      <c r="CY2550" s="1" t="s">
        <v>207</v>
      </c>
      <c r="CZ2550" s="1" t="s">
        <v>229</v>
      </c>
      <c r="DA2550" s="1" t="s">
        <v>192</v>
      </c>
      <c r="DB2550" s="2">
        <v>42124.0</v>
      </c>
      <c r="DC2550" s="1" t="s">
        <v>744</v>
      </c>
      <c r="DD2550" s="1" t="s">
        <v>336</v>
      </c>
      <c r="DE2550" s="1" t="s">
        <v>273</v>
      </c>
      <c r="DF2550" s="1" t="s">
        <v>619</v>
      </c>
      <c r="DG2550" s="1" t="s">
        <v>1602</v>
      </c>
      <c r="DH2550" s="1" t="s">
        <v>1603</v>
      </c>
      <c r="DI2550" s="1" t="s">
        <v>589</v>
      </c>
      <c r="DJ2550" s="1" t="s">
        <v>222</v>
      </c>
      <c r="DL2550" s="1" t="s">
        <v>484</v>
      </c>
      <c r="DM2550" s="1" t="s">
        <v>929</v>
      </c>
      <c r="DN2550" s="1" t="s">
        <v>548</v>
      </c>
      <c r="DO2550" s="1" t="s">
        <v>3889</v>
      </c>
      <c r="DP2550" s="1" t="s">
        <v>340</v>
      </c>
      <c r="DQ2550" s="1" t="s">
        <v>228</v>
      </c>
      <c r="DR2550" s="1" t="s">
        <v>229</v>
      </c>
      <c r="DS2550" s="1" t="s">
        <v>591</v>
      </c>
      <c r="DT2550" s="1" t="s">
        <v>22973</v>
      </c>
      <c r="DU2550" s="1" t="s">
        <v>7337</v>
      </c>
      <c r="DV2550" s="1" t="s">
        <v>449</v>
      </c>
      <c r="DW2550" s="1" t="s">
        <v>22974</v>
      </c>
      <c r="DX2550" s="1" t="s">
        <v>234</v>
      </c>
      <c r="DY2550" s="1" t="s">
        <v>1051</v>
      </c>
      <c r="DZ2550" s="1" t="s">
        <v>236</v>
      </c>
      <c r="EA2550" s="1" t="s">
        <v>344</v>
      </c>
      <c r="EB2550" s="1" t="s">
        <v>597</v>
      </c>
      <c r="EC2550" s="1" t="s">
        <v>237</v>
      </c>
      <c r="ED2550" s="1" t="s">
        <v>407</v>
      </c>
      <c r="EE2550" s="1" t="s">
        <v>493</v>
      </c>
      <c r="EG2550" s="1" t="s">
        <v>449</v>
      </c>
      <c r="EL2550" s="1" t="s">
        <v>2460</v>
      </c>
      <c r="EM2550" s="1" t="s">
        <v>206</v>
      </c>
      <c r="EN2550" s="1" t="s">
        <v>207</v>
      </c>
      <c r="EO2550" s="1" t="s">
        <v>229</v>
      </c>
      <c r="EQ2550" s="1" t="s">
        <v>238</v>
      </c>
      <c r="EU2550" s="1" t="s">
        <v>238</v>
      </c>
      <c r="EY2550" s="1" t="s">
        <v>238</v>
      </c>
      <c r="FC2550" s="1" t="s">
        <v>238</v>
      </c>
      <c r="FF2550" s="1" t="s">
        <v>239</v>
      </c>
      <c r="FG2550" s="1" t="s">
        <v>192</v>
      </c>
      <c r="FH2550" s="1" t="s">
        <v>192</v>
      </c>
      <c r="FJ2550" s="1" t="s">
        <v>524</v>
      </c>
      <c r="FK2550" s="1" t="s">
        <v>229</v>
      </c>
      <c r="FL2550" s="1" t="s">
        <v>1614</v>
      </c>
      <c r="FM2550" s="1">
        <v>85399.0</v>
      </c>
      <c r="FN2550" s="1" t="s">
        <v>1615</v>
      </c>
      <c r="FO2550" s="1" t="s">
        <v>1616</v>
      </c>
      <c r="FP2550" s="1">
        <v>189649.0</v>
      </c>
      <c r="FQ2550" s="1" t="s">
        <v>1615</v>
      </c>
      <c r="FT2550" s="1" t="s">
        <v>17834</v>
      </c>
      <c r="FU2550" s="1" t="s">
        <v>22975</v>
      </c>
      <c r="FV2550" s="1" t="s">
        <v>200</v>
      </c>
      <c r="FW2550" s="1" t="s">
        <v>1618</v>
      </c>
      <c r="FZ2550" s="1" t="s">
        <v>229</v>
      </c>
      <c r="GA2550" s="1" t="s">
        <v>247</v>
      </c>
      <c r="GB2550" s="2">
        <v>42147.0</v>
      </c>
      <c r="GC2550" s="1" t="s">
        <v>22976</v>
      </c>
    </row>
    <row r="2551">
      <c r="A2551" s="1">
        <v>163000.0</v>
      </c>
      <c r="B2551" s="1" t="s">
        <v>185</v>
      </c>
      <c r="C2551" s="1" t="str">
        <f>"08822495"</f>
        <v>08822495</v>
      </c>
      <c r="D2551" s="1" t="s">
        <v>186</v>
      </c>
      <c r="F2551" s="1" t="str">
        <f>"8069"</f>
        <v>8069</v>
      </c>
      <c r="G2551" s="2">
        <v>42027.0</v>
      </c>
      <c r="H2551" s="1">
        <v>165000.0</v>
      </c>
      <c r="I2551" s="1">
        <v>276.0</v>
      </c>
      <c r="J2551" s="1">
        <v>165000.0</v>
      </c>
      <c r="K2551" s="2">
        <v>42062.0</v>
      </c>
      <c r="L2551" s="1">
        <v>36.0</v>
      </c>
      <c r="M2551" s="2">
        <v>42062.0</v>
      </c>
      <c r="N2551" s="1" t="s">
        <v>356</v>
      </c>
      <c r="O2551" s="2">
        <v>42118.0</v>
      </c>
      <c r="P2551" s="1">
        <v>231295.0</v>
      </c>
      <c r="Q2551" s="1">
        <v>25066.0</v>
      </c>
      <c r="R2551" s="1">
        <v>3.5</v>
      </c>
      <c r="S2551" s="1">
        <v>7734.0</v>
      </c>
      <c r="T2551" s="1" t="s">
        <v>1669</v>
      </c>
      <c r="U2551" s="1" t="s">
        <v>189</v>
      </c>
      <c r="V2551" s="1" t="s">
        <v>190</v>
      </c>
      <c r="W2551" s="1">
        <v>60619.0</v>
      </c>
      <c r="Y2551" s="1" t="s">
        <v>22977</v>
      </c>
      <c r="Z2551" s="1">
        <v>1920.0</v>
      </c>
      <c r="AA2551" s="1" t="s">
        <v>192</v>
      </c>
      <c r="AB2551" s="1" t="s">
        <v>193</v>
      </c>
      <c r="AD2551" s="1" t="s">
        <v>194</v>
      </c>
      <c r="AE2551" s="1" t="s">
        <v>195</v>
      </c>
      <c r="AF2551" s="1" t="s">
        <v>637</v>
      </c>
      <c r="AH2551" s="1" t="s">
        <v>359</v>
      </c>
      <c r="AI2551" s="1">
        <v>0.084</v>
      </c>
      <c r="AK2551" s="1">
        <v>9.0</v>
      </c>
      <c r="AL2551" s="1">
        <v>3.0</v>
      </c>
      <c r="AM2551" s="1">
        <v>3.0</v>
      </c>
      <c r="AN2551" s="1">
        <v>0.0</v>
      </c>
      <c r="AO2551" s="1" t="s">
        <v>198</v>
      </c>
      <c r="AQ2551" s="1" t="s">
        <v>198</v>
      </c>
      <c r="AR2551" s="1" t="s">
        <v>192</v>
      </c>
      <c r="AS2551" s="1" t="s">
        <v>199</v>
      </c>
      <c r="AT2551" s="1">
        <v>2.0</v>
      </c>
      <c r="AV2551" s="1" t="s">
        <v>200</v>
      </c>
      <c r="AW2551" s="1">
        <v>1459.11</v>
      </c>
      <c r="AX2551" s="1">
        <v>2013.0</v>
      </c>
      <c r="AZ2551" s="1" t="s">
        <v>200</v>
      </c>
      <c r="BA2551" s="1" t="str">
        <f>"20274180370000"</f>
        <v>20274180370000</v>
      </c>
      <c r="BC2551" s="1">
        <v>1500.0</v>
      </c>
      <c r="BD2551" s="1">
        <v>163000.0</v>
      </c>
      <c r="BE2551" s="2">
        <v>42027.0</v>
      </c>
      <c r="BF2551" s="2" t="s">
        <v>22978</v>
      </c>
      <c r="BH2551" s="1">
        <v>0.0</v>
      </c>
      <c r="BK2551" s="1" t="s">
        <v>204</v>
      </c>
      <c r="BL2551" s="1" t="str">
        <f>"0"</f>
        <v>0</v>
      </c>
      <c r="BM2551" s="1" t="str">
        <f>"500"</f>
        <v>500</v>
      </c>
      <c r="BN2551" s="1">
        <v>0.0</v>
      </c>
      <c r="BO2551" s="1">
        <v>7734.0</v>
      </c>
      <c r="BQ2551" s="1">
        <v>299.0</v>
      </c>
      <c r="BR2551" s="1">
        <v>299.0</v>
      </c>
      <c r="BS2551" s="1">
        <v>299.0</v>
      </c>
      <c r="BU2551" s="1" t="s">
        <v>730</v>
      </c>
      <c r="BV2551" s="1" t="s">
        <v>206</v>
      </c>
      <c r="BW2551" s="1" t="s">
        <v>207</v>
      </c>
      <c r="BY2551" s="1" t="s">
        <v>12686</v>
      </c>
      <c r="BZ2551" s="1" t="s">
        <v>209</v>
      </c>
      <c r="CA2551" s="1" t="s">
        <v>210</v>
      </c>
      <c r="CC2551" s="1" t="s">
        <v>262</v>
      </c>
      <c r="CD2551" s="1" t="s">
        <v>206</v>
      </c>
      <c r="CE2551" s="1" t="s">
        <v>207</v>
      </c>
      <c r="CG2551" s="1" t="s">
        <v>11497</v>
      </c>
      <c r="CH2551" s="1" t="s">
        <v>206</v>
      </c>
      <c r="CI2551" s="1" t="s">
        <v>207</v>
      </c>
      <c r="CK2551" s="1" t="s">
        <v>265</v>
      </c>
      <c r="CL2551" s="1" t="s">
        <v>206</v>
      </c>
      <c r="CM2551" s="1" t="s">
        <v>207</v>
      </c>
      <c r="CO2551" s="1" t="s">
        <v>1158</v>
      </c>
      <c r="CP2551" s="1" t="s">
        <v>42</v>
      </c>
      <c r="CS2551" s="1" t="s">
        <v>302</v>
      </c>
      <c r="CT2551" s="1" t="s">
        <v>206</v>
      </c>
      <c r="CU2551" s="1" t="s">
        <v>268</v>
      </c>
      <c r="CW2551" s="1" t="s">
        <v>2403</v>
      </c>
      <c r="CX2551" s="1" t="s">
        <v>42</v>
      </c>
      <c r="DA2551" s="1" t="s">
        <v>200</v>
      </c>
      <c r="DC2551" s="1" t="s">
        <v>216</v>
      </c>
      <c r="DE2551" s="1" t="s">
        <v>273</v>
      </c>
      <c r="DF2551" s="1" t="s">
        <v>219</v>
      </c>
      <c r="DH2551" s="1" t="s">
        <v>365</v>
      </c>
      <c r="DI2551" s="1" t="s">
        <v>366</v>
      </c>
      <c r="DJ2551" s="1" t="s">
        <v>222</v>
      </c>
      <c r="DL2551" s="1" t="s">
        <v>224</v>
      </c>
      <c r="DM2551" s="1" t="s">
        <v>229</v>
      </c>
      <c r="DQ2551" s="1" t="s">
        <v>718</v>
      </c>
      <c r="DR2551" s="1" t="s">
        <v>229</v>
      </c>
      <c r="DS2551" s="1" t="s">
        <v>230</v>
      </c>
      <c r="DV2551" s="1" t="s">
        <v>598</v>
      </c>
      <c r="DW2551" s="1" t="s">
        <v>279</v>
      </c>
      <c r="DX2551" s="1" t="s">
        <v>234</v>
      </c>
      <c r="DY2551" s="1" t="s">
        <v>553</v>
      </c>
      <c r="EA2551" s="1" t="s">
        <v>644</v>
      </c>
      <c r="EC2551" s="1" t="s">
        <v>645</v>
      </c>
      <c r="EG2551" s="1" t="s">
        <v>598</v>
      </c>
      <c r="EL2551" s="1" t="s">
        <v>495</v>
      </c>
      <c r="EM2551" s="1" t="s">
        <v>209</v>
      </c>
      <c r="EN2551" s="1" t="s">
        <v>210</v>
      </c>
      <c r="EQ2551" s="1" t="s">
        <v>238</v>
      </c>
      <c r="EU2551" s="1" t="s">
        <v>238</v>
      </c>
      <c r="EY2551" s="1" t="s">
        <v>238</v>
      </c>
      <c r="FC2551" s="1" t="s">
        <v>238</v>
      </c>
      <c r="FF2551" s="1" t="s">
        <v>239</v>
      </c>
      <c r="FG2551" s="1" t="s">
        <v>192</v>
      </c>
      <c r="FH2551" s="1" t="s">
        <v>192</v>
      </c>
      <c r="FJ2551" s="1" t="s">
        <v>648</v>
      </c>
      <c r="FK2551" s="1" t="s">
        <v>229</v>
      </c>
      <c r="FL2551" s="1" t="s">
        <v>649</v>
      </c>
      <c r="FM2551" s="1">
        <v>60296.0</v>
      </c>
      <c r="FN2551" s="1" t="s">
        <v>650</v>
      </c>
      <c r="FO2551" s="1" t="s">
        <v>651</v>
      </c>
      <c r="FP2551" s="1">
        <v>602837.0</v>
      </c>
      <c r="FQ2551" s="1" t="s">
        <v>652</v>
      </c>
      <c r="FR2551" s="1">
        <v>602442.0</v>
      </c>
      <c r="FU2551" s="1" t="s">
        <v>353</v>
      </c>
      <c r="FV2551" s="1" t="s">
        <v>200</v>
      </c>
      <c r="FW2551" s="1" t="s">
        <v>530</v>
      </c>
      <c r="FX2551" s="1" t="s">
        <v>655</v>
      </c>
      <c r="FZ2551" s="1" t="s">
        <v>229</v>
      </c>
      <c r="GA2551" s="1" t="s">
        <v>291</v>
      </c>
      <c r="GB2551" s="2">
        <v>42121.0</v>
      </c>
    </row>
    <row r="2552">
      <c r="A2552" s="1">
        <v>905000.0</v>
      </c>
      <c r="B2552" s="1" t="s">
        <v>185</v>
      </c>
      <c r="C2552" s="1" t="str">
        <f>"08828329"</f>
        <v>08828329</v>
      </c>
      <c r="D2552" s="1" t="s">
        <v>186</v>
      </c>
      <c r="F2552" s="1" t="str">
        <f>"8006"</f>
        <v>8006</v>
      </c>
      <c r="G2552" s="2">
        <v>42036.0</v>
      </c>
      <c r="H2552" s="1">
        <v>909500.0</v>
      </c>
      <c r="I2552" s="1">
        <v>2.0</v>
      </c>
      <c r="J2552" s="1">
        <v>909500.0</v>
      </c>
      <c r="K2552" s="2">
        <v>42035.0</v>
      </c>
      <c r="L2552" s="1">
        <v>2.0</v>
      </c>
      <c r="M2552" s="2">
        <v>42035.0</v>
      </c>
      <c r="N2552" s="1" t="s">
        <v>187</v>
      </c>
      <c r="O2552" s="2">
        <v>42090.0</v>
      </c>
      <c r="P2552" s="1">
        <v>115412.0</v>
      </c>
      <c r="Q2552" s="1">
        <v>12198.0</v>
      </c>
      <c r="S2552" s="1">
        <v>4105.0</v>
      </c>
      <c r="T2552" s="1" t="s">
        <v>19711</v>
      </c>
      <c r="U2552" s="1" t="s">
        <v>189</v>
      </c>
      <c r="V2552" s="1" t="s">
        <v>190</v>
      </c>
      <c r="W2552" s="1">
        <v>60613.0</v>
      </c>
      <c r="Y2552" s="1" t="s">
        <v>22979</v>
      </c>
      <c r="Z2552" s="1">
        <v>2004.0</v>
      </c>
      <c r="AA2552" s="1" t="s">
        <v>200</v>
      </c>
      <c r="AB2552" s="1" t="s">
        <v>467</v>
      </c>
      <c r="AD2552" s="1" t="s">
        <v>194</v>
      </c>
      <c r="AE2552" s="1" t="s">
        <v>195</v>
      </c>
      <c r="AF2552" s="1" t="s">
        <v>534</v>
      </c>
      <c r="AH2552" s="1" t="s">
        <v>5799</v>
      </c>
      <c r="AK2552" s="1">
        <v>8.0</v>
      </c>
      <c r="AL2552" s="1">
        <v>4.0</v>
      </c>
      <c r="AM2552" s="1">
        <v>3.0</v>
      </c>
      <c r="AN2552" s="1">
        <v>1.0</v>
      </c>
      <c r="AO2552" s="1" t="s">
        <v>198</v>
      </c>
      <c r="AP2552" s="1">
        <v>1.0</v>
      </c>
      <c r="AQ2552" s="1" t="s">
        <v>229</v>
      </c>
      <c r="AR2552" s="1" t="s">
        <v>200</v>
      </c>
      <c r="AS2552" s="1" t="s">
        <v>199</v>
      </c>
      <c r="AT2552" s="1">
        <v>2.0</v>
      </c>
      <c r="AV2552" s="1" t="s">
        <v>200</v>
      </c>
      <c r="AW2552" s="1">
        <v>10327.0</v>
      </c>
      <c r="AX2552" s="1">
        <v>2013.0</v>
      </c>
      <c r="AY2552" s="1" t="s">
        <v>387</v>
      </c>
      <c r="AZ2552" s="1" t="s">
        <v>200</v>
      </c>
      <c r="BA2552" s="1" t="str">
        <f>"14173110080000"</f>
        <v>14173110080000</v>
      </c>
      <c r="BB2552" s="1" t="s">
        <v>200</v>
      </c>
      <c r="BC2552" s="1">
        <v>3100.0</v>
      </c>
      <c r="BD2552" s="1">
        <v>905000.0</v>
      </c>
      <c r="BE2552" s="2">
        <v>42034.0</v>
      </c>
      <c r="BF2552" s="2" t="s">
        <v>22980</v>
      </c>
      <c r="BG2552" s="1" t="s">
        <v>537</v>
      </c>
      <c r="BH2552" s="1">
        <v>137.0</v>
      </c>
      <c r="BI2552" s="1" t="s">
        <v>537</v>
      </c>
      <c r="BJ2552" s="1" t="s">
        <v>538</v>
      </c>
      <c r="BK2552" s="1" t="s">
        <v>474</v>
      </c>
      <c r="BL2552" s="1" t="str">
        <f>"4105"</f>
        <v>4105</v>
      </c>
      <c r="BM2552" s="1" t="str">
        <f t="shared" ref="BM2552:BM2554" si="1668">"0"</f>
        <v>0</v>
      </c>
      <c r="BN2552" s="1">
        <v>1400.0</v>
      </c>
      <c r="BO2552" s="1">
        <v>0.0</v>
      </c>
      <c r="BP2552" s="1" t="s">
        <v>6556</v>
      </c>
      <c r="BQ2552" s="1">
        <v>299.0</v>
      </c>
      <c r="BR2552" s="1">
        <v>299.0</v>
      </c>
      <c r="BS2552" s="1">
        <v>299.0</v>
      </c>
      <c r="BU2552" s="1" t="s">
        <v>2182</v>
      </c>
      <c r="BV2552" s="1" t="s">
        <v>209</v>
      </c>
      <c r="BW2552" s="1" t="s">
        <v>207</v>
      </c>
      <c r="BY2552" s="1" t="s">
        <v>213</v>
      </c>
      <c r="BZ2552" s="1" t="s">
        <v>391</v>
      </c>
      <c r="CA2552" s="1" t="s">
        <v>207</v>
      </c>
      <c r="CC2552" s="1" t="s">
        <v>542</v>
      </c>
      <c r="CD2552" s="1" t="s">
        <v>209</v>
      </c>
      <c r="CE2552" s="1" t="s">
        <v>207</v>
      </c>
      <c r="CG2552" s="1" t="s">
        <v>264</v>
      </c>
      <c r="CH2552" s="1" t="s">
        <v>391</v>
      </c>
      <c r="CI2552" s="1" t="s">
        <v>207</v>
      </c>
      <c r="CK2552" s="1" t="s">
        <v>495</v>
      </c>
      <c r="CL2552" s="1" t="s">
        <v>391</v>
      </c>
      <c r="CM2552" s="1" t="s">
        <v>207</v>
      </c>
      <c r="CO2552" s="1" t="s">
        <v>743</v>
      </c>
      <c r="CP2552" s="1" t="s">
        <v>7446</v>
      </c>
      <c r="CQ2552" s="1" t="s">
        <v>207</v>
      </c>
      <c r="CS2552" s="1" t="s">
        <v>333</v>
      </c>
      <c r="CT2552" s="1" t="s">
        <v>206</v>
      </c>
      <c r="CU2552" s="1" t="s">
        <v>207</v>
      </c>
      <c r="CW2552" s="1" t="s">
        <v>215</v>
      </c>
      <c r="CX2552" s="1" t="s">
        <v>206</v>
      </c>
      <c r="CY2552" s="1" t="s">
        <v>207</v>
      </c>
      <c r="DA2552" s="1" t="s">
        <v>200</v>
      </c>
      <c r="DC2552" s="1" t="s">
        <v>335</v>
      </c>
      <c r="DD2552" s="1" t="s">
        <v>1838</v>
      </c>
      <c r="DE2552" s="1" t="s">
        <v>1810</v>
      </c>
      <c r="DF2552" s="1" t="s">
        <v>546</v>
      </c>
      <c r="DG2552" s="1" t="s">
        <v>22981</v>
      </c>
      <c r="DH2552" s="1" t="s">
        <v>365</v>
      </c>
      <c r="DI2552" s="1" t="s">
        <v>22982</v>
      </c>
      <c r="DJ2552" s="1" t="s">
        <v>222</v>
      </c>
      <c r="DL2552" s="1" t="s">
        <v>229</v>
      </c>
      <c r="DM2552" s="1" t="s">
        <v>1464</v>
      </c>
      <c r="DN2552" s="1" t="s">
        <v>548</v>
      </c>
      <c r="DO2552" s="1" t="s">
        <v>717</v>
      </c>
      <c r="DP2552" s="1" t="s">
        <v>276</v>
      </c>
      <c r="DQ2552" s="1" t="s">
        <v>228</v>
      </c>
      <c r="DR2552" s="1" t="s">
        <v>18741</v>
      </c>
      <c r="DS2552" s="1" t="s">
        <v>230</v>
      </c>
      <c r="DU2552" s="1" t="s">
        <v>22983</v>
      </c>
      <c r="DV2552" s="1" t="s">
        <v>22984</v>
      </c>
      <c r="DW2552" s="1" t="s">
        <v>13825</v>
      </c>
      <c r="DX2552" s="1" t="s">
        <v>234</v>
      </c>
      <c r="DY2552" s="1" t="s">
        <v>20602</v>
      </c>
      <c r="DZ2552" s="1" t="s">
        <v>966</v>
      </c>
      <c r="EA2552" s="1" t="s">
        <v>2466</v>
      </c>
      <c r="EB2552" s="1" t="s">
        <v>492</v>
      </c>
      <c r="EC2552" s="1" t="s">
        <v>4792</v>
      </c>
      <c r="ED2552" s="1" t="s">
        <v>555</v>
      </c>
      <c r="EE2552" s="1" t="s">
        <v>187</v>
      </c>
      <c r="EG2552" s="1" t="s">
        <v>310</v>
      </c>
      <c r="EI2552" s="1" t="s">
        <v>310</v>
      </c>
      <c r="EJ2552" s="1" t="s">
        <v>408</v>
      </c>
      <c r="EK2552" s="1" t="s">
        <v>5618</v>
      </c>
      <c r="EL2552" s="1" t="s">
        <v>544</v>
      </c>
      <c r="EM2552" s="1" t="s">
        <v>7446</v>
      </c>
      <c r="EN2552" s="1" t="s">
        <v>588</v>
      </c>
      <c r="EQ2552" s="1" t="s">
        <v>238</v>
      </c>
      <c r="ET2552" s="1" t="s">
        <v>19105</v>
      </c>
      <c r="EU2552" s="1" t="s">
        <v>209</v>
      </c>
      <c r="EV2552" s="1" t="s">
        <v>588</v>
      </c>
      <c r="EX2552" s="1" t="s">
        <v>3023</v>
      </c>
      <c r="EY2552" s="1" t="s">
        <v>206</v>
      </c>
      <c r="EZ2552" s="1" t="s">
        <v>207</v>
      </c>
      <c r="FB2552" s="1" t="s">
        <v>1623</v>
      </c>
      <c r="FC2552" s="1" t="s">
        <v>206</v>
      </c>
      <c r="FD2552" s="1" t="s">
        <v>588</v>
      </c>
      <c r="FF2552" s="1" t="s">
        <v>239</v>
      </c>
      <c r="FG2552" s="1" t="s">
        <v>192</v>
      </c>
      <c r="FH2552" s="1" t="s">
        <v>192</v>
      </c>
      <c r="FJ2552" s="1" t="s">
        <v>1434</v>
      </c>
      <c r="FK2552" s="1" t="s">
        <v>229</v>
      </c>
      <c r="FL2552" s="1" t="s">
        <v>974</v>
      </c>
      <c r="FM2552" s="1">
        <v>10900.0</v>
      </c>
      <c r="FN2552" s="1" t="s">
        <v>1435</v>
      </c>
      <c r="FO2552" s="1" t="s">
        <v>6288</v>
      </c>
      <c r="FP2552" s="1">
        <v>113690.0</v>
      </c>
      <c r="FQ2552" s="1" t="s">
        <v>6289</v>
      </c>
      <c r="FU2552" s="1" t="s">
        <v>6290</v>
      </c>
      <c r="FV2552" s="1" t="s">
        <v>200</v>
      </c>
      <c r="FW2552" s="1" t="s">
        <v>290</v>
      </c>
      <c r="FX2552" s="1" t="s">
        <v>238</v>
      </c>
      <c r="FZ2552" s="1" t="s">
        <v>229</v>
      </c>
      <c r="GA2552" s="1" t="s">
        <v>291</v>
      </c>
      <c r="GB2552" s="2">
        <v>42093.0</v>
      </c>
      <c r="GC2552" s="1" t="s">
        <v>22985</v>
      </c>
    </row>
    <row r="2553">
      <c r="A2553" s="1">
        <v>210000.0</v>
      </c>
      <c r="B2553" s="1" t="s">
        <v>185</v>
      </c>
      <c r="C2553" s="1" t="str">
        <f>"08837816"</f>
        <v>08837816</v>
      </c>
      <c r="D2553" s="1" t="s">
        <v>186</v>
      </c>
      <c r="F2553" s="1" t="str">
        <f>"103"</f>
        <v>103</v>
      </c>
      <c r="G2553" s="2">
        <v>42048.0</v>
      </c>
      <c r="H2553" s="1">
        <v>229900.0</v>
      </c>
      <c r="I2553" s="1">
        <v>33.0</v>
      </c>
      <c r="J2553" s="1">
        <v>219900.0</v>
      </c>
      <c r="K2553" s="2">
        <v>42079.0</v>
      </c>
      <c r="L2553" s="1">
        <v>33.0</v>
      </c>
      <c r="M2553" s="2">
        <v>42079.0</v>
      </c>
      <c r="N2553" s="1" t="s">
        <v>356</v>
      </c>
      <c r="O2553" s="2">
        <v>42124.0</v>
      </c>
      <c r="P2553" s="1">
        <v>228760.0</v>
      </c>
      <c r="Q2553" s="1">
        <v>23750.0</v>
      </c>
      <c r="S2553" s="1">
        <v>1861.0</v>
      </c>
      <c r="T2553" s="1" t="s">
        <v>14267</v>
      </c>
      <c r="U2553" s="1" t="s">
        <v>569</v>
      </c>
      <c r="V2553" s="1" t="s">
        <v>251</v>
      </c>
      <c r="W2553" s="1">
        <v>60133.0</v>
      </c>
      <c r="Y2553" s="1" t="s">
        <v>22986</v>
      </c>
      <c r="Z2553" s="1">
        <v>1991.0</v>
      </c>
      <c r="AA2553" s="1" t="s">
        <v>200</v>
      </c>
      <c r="AB2553" s="1" t="s">
        <v>193</v>
      </c>
      <c r="AD2553" s="1" t="s">
        <v>254</v>
      </c>
      <c r="AE2553" s="1" t="s">
        <v>1258</v>
      </c>
      <c r="AF2553" s="1" t="s">
        <v>3935</v>
      </c>
      <c r="AH2553" s="1" t="s">
        <v>19886</v>
      </c>
      <c r="AK2553" s="1">
        <v>9.0</v>
      </c>
      <c r="AL2553" s="1">
        <v>4.0</v>
      </c>
      <c r="AM2553" s="1">
        <v>2.0</v>
      </c>
      <c r="AN2553" s="1">
        <v>1.0</v>
      </c>
      <c r="AO2553" s="1" t="s">
        <v>198</v>
      </c>
      <c r="AP2553" s="1">
        <v>1.0</v>
      </c>
      <c r="AQ2553" s="1" t="s">
        <v>229</v>
      </c>
      <c r="AR2553" s="1" t="s">
        <v>200</v>
      </c>
      <c r="AS2553" s="1" t="s">
        <v>199</v>
      </c>
      <c r="AT2553" s="1">
        <v>2.0</v>
      </c>
      <c r="AV2553" s="1" t="s">
        <v>200</v>
      </c>
      <c r="AW2553" s="1">
        <v>8187.0</v>
      </c>
      <c r="AX2553" s="1">
        <v>2013.0</v>
      </c>
      <c r="AY2553" s="1" t="s">
        <v>387</v>
      </c>
      <c r="AZ2553" s="1" t="s">
        <v>200</v>
      </c>
      <c r="BA2553" s="1" t="str">
        <f>"0113413025"</f>
        <v>0113413025</v>
      </c>
      <c r="BC2553" s="1">
        <v>0.0</v>
      </c>
      <c r="BD2553" s="1">
        <v>210000.0</v>
      </c>
      <c r="BE2553" s="2">
        <v>42047.0</v>
      </c>
      <c r="BF2553" s="1" t="s">
        <v>22987</v>
      </c>
      <c r="BH2553" s="1">
        <v>0.0</v>
      </c>
      <c r="BK2553" s="1" t="s">
        <v>204</v>
      </c>
      <c r="BL2553" s="1" t="str">
        <f>"5"</f>
        <v>5</v>
      </c>
      <c r="BM2553" s="1" t="str">
        <f t="shared" si="1668"/>
        <v>0</v>
      </c>
      <c r="BN2553" s="1">
        <v>27.0</v>
      </c>
      <c r="BO2553" s="1">
        <v>0.0</v>
      </c>
      <c r="BQ2553" s="1">
        <v>93.0</v>
      </c>
      <c r="BR2553" s="1">
        <v>87.0</v>
      </c>
      <c r="BS2553" s="1">
        <v>93.0</v>
      </c>
      <c r="BU2553" s="1" t="s">
        <v>361</v>
      </c>
      <c r="BV2553" s="1" t="s">
        <v>206</v>
      </c>
      <c r="BY2553" s="1" t="s">
        <v>208</v>
      </c>
      <c r="BZ2553" s="1" t="s">
        <v>209</v>
      </c>
      <c r="CC2553" s="1" t="s">
        <v>332</v>
      </c>
      <c r="CD2553" s="1" t="s">
        <v>206</v>
      </c>
      <c r="CG2553" s="1" t="s">
        <v>332</v>
      </c>
      <c r="CH2553" s="1" t="s">
        <v>209</v>
      </c>
      <c r="CK2553" s="1" t="s">
        <v>495</v>
      </c>
      <c r="CL2553" s="1" t="s">
        <v>209</v>
      </c>
      <c r="CO2553" s="1" t="s">
        <v>269</v>
      </c>
      <c r="CP2553" s="1" t="s">
        <v>209</v>
      </c>
      <c r="CS2553" s="1" t="s">
        <v>363</v>
      </c>
      <c r="CT2553" s="1" t="s">
        <v>206</v>
      </c>
      <c r="CW2553" s="1" t="s">
        <v>664</v>
      </c>
      <c r="CX2553" s="1" t="s">
        <v>206</v>
      </c>
      <c r="DA2553" s="1" t="s">
        <v>200</v>
      </c>
      <c r="DC2553" s="1" t="s">
        <v>435</v>
      </c>
      <c r="DD2553" s="1" t="s">
        <v>518</v>
      </c>
      <c r="DE2553" s="1" t="s">
        <v>273</v>
      </c>
      <c r="DF2553" s="1" t="s">
        <v>219</v>
      </c>
      <c r="DG2553" s="1" t="s">
        <v>337</v>
      </c>
      <c r="DH2553" s="1" t="s">
        <v>365</v>
      </c>
      <c r="DJ2553" s="1" t="s">
        <v>1379</v>
      </c>
      <c r="DL2553" s="1" t="s">
        <v>229</v>
      </c>
      <c r="DM2553" s="1" t="s">
        <v>229</v>
      </c>
      <c r="DP2553" s="1" t="s">
        <v>340</v>
      </c>
      <c r="DQ2553" s="1" t="s">
        <v>228</v>
      </c>
      <c r="DR2553" s="1" t="s">
        <v>229</v>
      </c>
      <c r="DS2553" s="1" t="s">
        <v>230</v>
      </c>
      <c r="DV2553" s="1" t="s">
        <v>557</v>
      </c>
      <c r="DW2553" s="1" t="s">
        <v>444</v>
      </c>
      <c r="DX2553" s="1" t="s">
        <v>234</v>
      </c>
      <c r="DZ2553" s="1" t="s">
        <v>310</v>
      </c>
      <c r="EC2553" s="1" t="s">
        <v>237</v>
      </c>
      <c r="EG2553" s="1" t="s">
        <v>557</v>
      </c>
      <c r="EL2553" s="1" t="s">
        <v>699</v>
      </c>
      <c r="EM2553" s="1" t="s">
        <v>206</v>
      </c>
      <c r="EQ2553" s="1" t="s">
        <v>238</v>
      </c>
      <c r="EU2553" s="1" t="s">
        <v>238</v>
      </c>
      <c r="EY2553" s="1" t="s">
        <v>238</v>
      </c>
      <c r="FC2553" s="1" t="s">
        <v>238</v>
      </c>
      <c r="FF2553" s="1" t="s">
        <v>239</v>
      </c>
      <c r="FG2553" s="1" t="s">
        <v>192</v>
      </c>
      <c r="FH2553" s="1" t="s">
        <v>192</v>
      </c>
      <c r="FJ2553" s="1" t="s">
        <v>2262</v>
      </c>
      <c r="FK2553" s="1" t="s">
        <v>229</v>
      </c>
      <c r="FL2553" s="1" t="s">
        <v>22988</v>
      </c>
      <c r="FM2553" s="1">
        <v>3520.0</v>
      </c>
      <c r="FN2553" s="1" t="s">
        <v>22989</v>
      </c>
      <c r="FO2553" s="1" t="s">
        <v>22990</v>
      </c>
      <c r="FP2553" s="1">
        <v>31463.0</v>
      </c>
      <c r="FQ2553" s="1" t="s">
        <v>22991</v>
      </c>
      <c r="FU2553" s="1" t="s">
        <v>22992</v>
      </c>
      <c r="FV2553" s="1" t="s">
        <v>200</v>
      </c>
      <c r="FW2553" s="1" t="s">
        <v>530</v>
      </c>
      <c r="FZ2553" s="1" t="s">
        <v>229</v>
      </c>
      <c r="GA2553" s="1" t="s">
        <v>291</v>
      </c>
      <c r="GB2553" s="2">
        <v>42125.0</v>
      </c>
      <c r="GC2553" s="1" t="s">
        <v>22992</v>
      </c>
    </row>
    <row r="2554">
      <c r="A2554" s="1">
        <v>835000.0</v>
      </c>
      <c r="B2554" s="1" t="s">
        <v>185</v>
      </c>
      <c r="C2554" s="1" t="str">
        <f>"08832867"</f>
        <v>08832867</v>
      </c>
      <c r="D2554" s="1" t="s">
        <v>186</v>
      </c>
      <c r="F2554" s="1" t="str">
        <f>"8004"</f>
        <v>8004</v>
      </c>
      <c r="G2554" s="2">
        <v>42041.0</v>
      </c>
      <c r="H2554" s="1">
        <v>879000.0</v>
      </c>
      <c r="I2554" s="1">
        <v>104.0</v>
      </c>
      <c r="J2554" s="1">
        <v>865000.0</v>
      </c>
      <c r="K2554" s="2">
        <v>42082.0</v>
      </c>
      <c r="L2554" s="1">
        <v>42.0</v>
      </c>
      <c r="M2554" s="2">
        <v>42082.0</v>
      </c>
      <c r="N2554" s="1" t="s">
        <v>187</v>
      </c>
      <c r="O2554" s="2">
        <v>42110.0</v>
      </c>
      <c r="P2554" s="1">
        <v>135817.0</v>
      </c>
      <c r="Q2554" s="1">
        <v>14090.0</v>
      </c>
      <c r="S2554" s="1">
        <v>2238.0</v>
      </c>
      <c r="T2554" s="1" t="s">
        <v>724</v>
      </c>
      <c r="U2554" s="1" t="s">
        <v>189</v>
      </c>
      <c r="V2554" s="1" t="s">
        <v>190</v>
      </c>
      <c r="W2554" s="1">
        <v>60625.0</v>
      </c>
      <c r="Y2554" s="1" t="s">
        <v>22993</v>
      </c>
      <c r="Z2554" s="1">
        <v>1905.0</v>
      </c>
      <c r="AA2554" s="1" t="s">
        <v>192</v>
      </c>
      <c r="AB2554" s="1" t="s">
        <v>193</v>
      </c>
      <c r="AD2554" s="1" t="s">
        <v>194</v>
      </c>
      <c r="AE2554" s="1" t="s">
        <v>195</v>
      </c>
      <c r="AF2554" s="1" t="s">
        <v>534</v>
      </c>
      <c r="AH2554" s="1" t="s">
        <v>359</v>
      </c>
      <c r="AK2554" s="1">
        <v>9.0</v>
      </c>
      <c r="AL2554" s="1">
        <v>4.0</v>
      </c>
      <c r="AM2554" s="1">
        <v>3.0</v>
      </c>
      <c r="AN2554" s="1">
        <v>1.0</v>
      </c>
      <c r="AO2554" s="1" t="s">
        <v>198</v>
      </c>
      <c r="AP2554" s="1">
        <v>1.0</v>
      </c>
      <c r="AQ2554" s="1" t="s">
        <v>229</v>
      </c>
      <c r="AR2554" s="1" t="s">
        <v>200</v>
      </c>
      <c r="AS2554" s="1" t="s">
        <v>199</v>
      </c>
      <c r="AT2554" s="1">
        <v>2.0</v>
      </c>
      <c r="AV2554" s="1" t="s">
        <v>200</v>
      </c>
      <c r="AW2554" s="1">
        <v>2178.78</v>
      </c>
      <c r="AX2554" s="1">
        <v>2013.0</v>
      </c>
      <c r="AZ2554" s="1" t="s">
        <v>200</v>
      </c>
      <c r="BA2554" s="1" t="str">
        <f>"14073060280000"</f>
        <v>14073060280000</v>
      </c>
      <c r="BC2554" s="1">
        <v>3000.0</v>
      </c>
      <c r="BD2554" s="1">
        <v>835000.0</v>
      </c>
      <c r="BE2554" s="2">
        <v>42041.0</v>
      </c>
      <c r="BF2554" s="2" t="s">
        <v>22994</v>
      </c>
      <c r="BH2554" s="1">
        <v>0.0</v>
      </c>
      <c r="BK2554" s="1" t="s">
        <v>204</v>
      </c>
      <c r="BL2554" s="1" t="str">
        <f>"4900"</f>
        <v>4900</v>
      </c>
      <c r="BM2554" s="1" t="str">
        <f t="shared" si="1668"/>
        <v>0</v>
      </c>
      <c r="BN2554" s="1">
        <v>2238.0</v>
      </c>
      <c r="BO2554" s="1">
        <v>0.0</v>
      </c>
      <c r="BQ2554" s="1">
        <v>299.0</v>
      </c>
      <c r="BR2554" s="1">
        <v>299.0</v>
      </c>
      <c r="BS2554" s="1">
        <v>299.0</v>
      </c>
      <c r="BU2554" s="1" t="s">
        <v>454</v>
      </c>
      <c r="BV2554" s="1" t="s">
        <v>206</v>
      </c>
      <c r="BW2554" s="1" t="s">
        <v>207</v>
      </c>
      <c r="BY2554" s="1" t="s">
        <v>1045</v>
      </c>
      <c r="BZ2554" s="1" t="s">
        <v>209</v>
      </c>
      <c r="CA2554" s="1" t="s">
        <v>210</v>
      </c>
      <c r="CC2554" s="1" t="s">
        <v>1904</v>
      </c>
      <c r="CD2554" s="1" t="s">
        <v>206</v>
      </c>
      <c r="CE2554" s="1" t="s">
        <v>207</v>
      </c>
      <c r="CG2554" s="1" t="s">
        <v>495</v>
      </c>
      <c r="CH2554" s="1" t="s">
        <v>209</v>
      </c>
      <c r="CI2554" s="1" t="s">
        <v>210</v>
      </c>
      <c r="CK2554" s="1" t="s">
        <v>495</v>
      </c>
      <c r="CL2554" s="1" t="s">
        <v>209</v>
      </c>
      <c r="CM2554" s="1" t="s">
        <v>210</v>
      </c>
      <c r="CO2554" s="1" t="s">
        <v>269</v>
      </c>
      <c r="CP2554" s="1" t="s">
        <v>391</v>
      </c>
      <c r="CQ2554" s="1" t="s">
        <v>210</v>
      </c>
      <c r="CS2554" s="1" t="s">
        <v>1067</v>
      </c>
      <c r="CT2554" s="1" t="s">
        <v>206</v>
      </c>
      <c r="CU2554" s="1" t="s">
        <v>207</v>
      </c>
      <c r="CW2554" s="1" t="s">
        <v>639</v>
      </c>
      <c r="CX2554" s="1" t="s">
        <v>206</v>
      </c>
      <c r="CY2554" s="1" t="s">
        <v>207</v>
      </c>
      <c r="DA2554" s="1" t="s">
        <v>200</v>
      </c>
      <c r="DC2554" s="1" t="s">
        <v>642</v>
      </c>
      <c r="DD2554" s="1" t="s">
        <v>217</v>
      </c>
      <c r="DE2554" s="1" t="s">
        <v>273</v>
      </c>
      <c r="DF2554" s="1" t="s">
        <v>619</v>
      </c>
      <c r="DG2554" s="1" t="s">
        <v>1400</v>
      </c>
      <c r="DH2554" s="1" t="s">
        <v>220</v>
      </c>
      <c r="DI2554" s="1" t="s">
        <v>1429</v>
      </c>
      <c r="DJ2554" s="1" t="s">
        <v>222</v>
      </c>
      <c r="DK2554" s="1" t="s">
        <v>1570</v>
      </c>
      <c r="DL2554" s="1" t="s">
        <v>1853</v>
      </c>
      <c r="DM2554" s="1" t="s">
        <v>229</v>
      </c>
      <c r="DN2554" s="1" t="s">
        <v>485</v>
      </c>
      <c r="DP2554" s="1" t="s">
        <v>276</v>
      </c>
      <c r="DQ2554" s="1" t="s">
        <v>228</v>
      </c>
      <c r="DR2554" s="1" t="s">
        <v>229</v>
      </c>
      <c r="DS2554" s="1" t="s">
        <v>591</v>
      </c>
      <c r="DU2554" s="1" t="s">
        <v>22995</v>
      </c>
      <c r="DV2554" s="1" t="s">
        <v>22996</v>
      </c>
      <c r="DW2554" s="1" t="s">
        <v>667</v>
      </c>
      <c r="DX2554" s="1" t="s">
        <v>234</v>
      </c>
      <c r="DY2554" s="1" t="s">
        <v>22997</v>
      </c>
      <c r="EB2554" s="1" t="s">
        <v>937</v>
      </c>
      <c r="EC2554" s="1" t="s">
        <v>406</v>
      </c>
      <c r="ED2554" s="1" t="s">
        <v>407</v>
      </c>
      <c r="EG2554" s="1" t="s">
        <v>341</v>
      </c>
      <c r="EH2554" s="1" t="s">
        <v>720</v>
      </c>
      <c r="EJ2554" s="1" t="s">
        <v>409</v>
      </c>
      <c r="EL2554" s="1" t="s">
        <v>1229</v>
      </c>
      <c r="EM2554" s="1" t="s">
        <v>391</v>
      </c>
      <c r="EN2554" s="1" t="s">
        <v>210</v>
      </c>
      <c r="EP2554" s="1" t="s">
        <v>1688</v>
      </c>
      <c r="EQ2554" s="1" t="s">
        <v>206</v>
      </c>
      <c r="ER2554" s="1" t="s">
        <v>1136</v>
      </c>
      <c r="EU2554" s="1" t="s">
        <v>238</v>
      </c>
      <c r="EX2554" s="1" t="s">
        <v>4450</v>
      </c>
      <c r="EY2554" s="1" t="s">
        <v>209</v>
      </c>
      <c r="EZ2554" s="1" t="s">
        <v>207</v>
      </c>
      <c r="FC2554" s="1" t="s">
        <v>238</v>
      </c>
      <c r="FF2554" s="1" t="s">
        <v>239</v>
      </c>
      <c r="FG2554" s="1" t="s">
        <v>192</v>
      </c>
      <c r="FH2554" s="1" t="s">
        <v>192</v>
      </c>
      <c r="FJ2554" s="1" t="s">
        <v>22998</v>
      </c>
      <c r="FK2554" s="1" t="s">
        <v>229</v>
      </c>
      <c r="FL2554" s="1" t="s">
        <v>3156</v>
      </c>
      <c r="FM2554" s="1">
        <v>14090.0</v>
      </c>
      <c r="FN2554" s="1" t="s">
        <v>12476</v>
      </c>
      <c r="FO2554" s="1" t="s">
        <v>22999</v>
      </c>
      <c r="FP2554" s="1">
        <v>135817.0</v>
      </c>
      <c r="FQ2554" s="1" t="s">
        <v>23000</v>
      </c>
      <c r="FU2554" s="1" t="s">
        <v>23001</v>
      </c>
      <c r="FV2554" s="1" t="s">
        <v>192</v>
      </c>
      <c r="FW2554" s="1" t="s">
        <v>290</v>
      </c>
      <c r="FX2554" s="1" t="s">
        <v>246</v>
      </c>
      <c r="FZ2554" s="1" t="s">
        <v>229</v>
      </c>
      <c r="GA2554" s="1" t="s">
        <v>291</v>
      </c>
      <c r="GB2554" s="2">
        <v>42111.0</v>
      </c>
    </row>
    <row r="2555">
      <c r="A2555" s="1">
        <v>149989.0</v>
      </c>
      <c r="B2555" s="1" t="s">
        <v>185</v>
      </c>
      <c r="C2555" s="1" t="str">
        <f>"08829242"</f>
        <v>08829242</v>
      </c>
      <c r="D2555" s="1" t="s">
        <v>186</v>
      </c>
      <c r="F2555" s="1" t="str">
        <f>"543"</f>
        <v>543</v>
      </c>
      <c r="G2555" s="2">
        <v>42037.0</v>
      </c>
      <c r="H2555" s="1">
        <v>186300.0</v>
      </c>
      <c r="I2555" s="1">
        <v>94.0</v>
      </c>
      <c r="J2555" s="1">
        <v>186300.0</v>
      </c>
      <c r="K2555" s="2">
        <v>42068.0</v>
      </c>
      <c r="L2555" s="1">
        <v>32.0</v>
      </c>
      <c r="M2555" s="2">
        <v>42068.0</v>
      </c>
      <c r="N2555" s="1" t="s">
        <v>249</v>
      </c>
      <c r="O2555" s="2">
        <v>42108.0</v>
      </c>
      <c r="P2555" s="1">
        <v>235152.0</v>
      </c>
      <c r="Q2555" s="1">
        <v>22993.0</v>
      </c>
      <c r="S2555" s="1">
        <v>454.0</v>
      </c>
      <c r="T2555" s="1" t="s">
        <v>23002</v>
      </c>
      <c r="U2555" s="1" t="s">
        <v>569</v>
      </c>
      <c r="V2555" s="1" t="s">
        <v>1527</v>
      </c>
      <c r="W2555" s="1">
        <v>60543.0</v>
      </c>
      <c r="X2555" s="1">
        <v>8680.0</v>
      </c>
      <c r="Y2555" s="1" t="s">
        <v>23003</v>
      </c>
      <c r="Z2555" s="1">
        <v>1999.0</v>
      </c>
      <c r="AA2555" s="1" t="s">
        <v>200</v>
      </c>
      <c r="AB2555" s="1" t="s">
        <v>193</v>
      </c>
      <c r="AC2555" s="1" t="s">
        <v>23004</v>
      </c>
      <c r="AD2555" s="1" t="s">
        <v>1529</v>
      </c>
      <c r="AE2555" s="1" t="s">
        <v>849</v>
      </c>
      <c r="AF2555" s="1" t="s">
        <v>1529</v>
      </c>
      <c r="AG2555" s="1" t="s">
        <v>23005</v>
      </c>
      <c r="AH2555" s="1" t="s">
        <v>23006</v>
      </c>
      <c r="AK2555" s="1">
        <v>8.0</v>
      </c>
      <c r="AL2555" s="1">
        <v>4.0</v>
      </c>
      <c r="AM2555" s="1">
        <v>2.0</v>
      </c>
      <c r="AN2555" s="1">
        <v>1.0</v>
      </c>
      <c r="AO2555" s="1" t="s">
        <v>198</v>
      </c>
      <c r="AP2555" s="1">
        <v>1.0</v>
      </c>
      <c r="AQ2555" s="1" t="s">
        <v>229</v>
      </c>
      <c r="AR2555" s="1" t="s">
        <v>200</v>
      </c>
      <c r="AS2555" s="1" t="s">
        <v>199</v>
      </c>
      <c r="AT2555" s="1">
        <v>2.0</v>
      </c>
      <c r="AV2555" s="1" t="s">
        <v>200</v>
      </c>
      <c r="AW2555" s="1">
        <v>7406.98</v>
      </c>
      <c r="AX2555" s="1">
        <v>2013.0</v>
      </c>
      <c r="AY2555" s="1" t="s">
        <v>229</v>
      </c>
      <c r="AZ2555" s="1" t="s">
        <v>200</v>
      </c>
      <c r="BA2555" s="1" t="str">
        <f>"0310210008"</f>
        <v>0310210008</v>
      </c>
      <c r="BB2555" s="1" t="s">
        <v>200</v>
      </c>
      <c r="BC2555" s="1">
        <v>1902.0</v>
      </c>
      <c r="BD2555" s="1">
        <v>149989.0</v>
      </c>
      <c r="BE2555" s="2">
        <v>42037.0</v>
      </c>
      <c r="BF2555" s="2" t="s">
        <v>23007</v>
      </c>
      <c r="BG2555" s="1" t="s">
        <v>3646</v>
      </c>
      <c r="BH2555" s="1">
        <v>0.0</v>
      </c>
      <c r="BI2555" s="1" t="s">
        <v>3647</v>
      </c>
      <c r="BJ2555" s="1" t="s">
        <v>1349</v>
      </c>
      <c r="BK2555" s="1" t="s">
        <v>204</v>
      </c>
      <c r="BL2555" s="1" t="str">
        <f t="shared" ref="BL2555:BM2555" si="1669">"0"</f>
        <v>0</v>
      </c>
      <c r="BM2555" s="1" t="str">
        <f t="shared" si="1669"/>
        <v>0</v>
      </c>
      <c r="BN2555" s="1">
        <v>35.0</v>
      </c>
      <c r="BO2555" s="1">
        <v>10.0</v>
      </c>
      <c r="BQ2555" s="1">
        <v>308.0</v>
      </c>
      <c r="BR2555" s="1">
        <v>308.0</v>
      </c>
      <c r="BS2555" s="1">
        <v>308.0</v>
      </c>
      <c r="BU2555" s="1" t="s">
        <v>361</v>
      </c>
      <c r="BV2555" s="1" t="s">
        <v>206</v>
      </c>
      <c r="BW2555" s="1" t="s">
        <v>210</v>
      </c>
      <c r="BY2555" s="1" t="s">
        <v>433</v>
      </c>
      <c r="BZ2555" s="1" t="s">
        <v>209</v>
      </c>
      <c r="CA2555" s="1" t="s">
        <v>210</v>
      </c>
      <c r="CC2555" s="1" t="s">
        <v>495</v>
      </c>
      <c r="CD2555" s="1" t="s">
        <v>206</v>
      </c>
      <c r="CE2555" s="1" t="s">
        <v>210</v>
      </c>
      <c r="CG2555" s="1" t="s">
        <v>212</v>
      </c>
      <c r="CH2555" s="1" t="s">
        <v>209</v>
      </c>
      <c r="CI2555" s="1" t="s">
        <v>210</v>
      </c>
      <c r="CK2555" s="1" t="s">
        <v>363</v>
      </c>
      <c r="CL2555" s="1" t="s">
        <v>209</v>
      </c>
      <c r="CM2555" s="1" t="s">
        <v>210</v>
      </c>
      <c r="CO2555" s="1" t="s">
        <v>584</v>
      </c>
      <c r="CP2555" s="1" t="s">
        <v>209</v>
      </c>
      <c r="CQ2555" s="1" t="s">
        <v>210</v>
      </c>
      <c r="CS2555" s="1" t="s">
        <v>211</v>
      </c>
      <c r="CT2555" s="1" t="s">
        <v>206</v>
      </c>
      <c r="CU2555" s="1" t="s">
        <v>207</v>
      </c>
      <c r="CW2555" s="1" t="s">
        <v>743</v>
      </c>
      <c r="CX2555" s="1" t="s">
        <v>206</v>
      </c>
      <c r="CY2555" s="1" t="s">
        <v>207</v>
      </c>
      <c r="DA2555" s="1" t="s">
        <v>200</v>
      </c>
      <c r="DC2555" s="1" t="s">
        <v>678</v>
      </c>
      <c r="DD2555" s="1" t="s">
        <v>396</v>
      </c>
      <c r="DE2555" s="1" t="s">
        <v>273</v>
      </c>
      <c r="DF2555" s="1" t="s">
        <v>219</v>
      </c>
      <c r="DG2555" s="1" t="s">
        <v>337</v>
      </c>
      <c r="DH2555" s="1" t="s">
        <v>220</v>
      </c>
      <c r="DI2555" s="1" t="s">
        <v>10126</v>
      </c>
      <c r="DJ2555" s="1" t="s">
        <v>222</v>
      </c>
      <c r="DL2555" s="1" t="s">
        <v>1853</v>
      </c>
      <c r="DM2555" s="1" t="s">
        <v>338</v>
      </c>
      <c r="DQ2555" s="1" t="s">
        <v>228</v>
      </c>
      <c r="DR2555" s="1" t="s">
        <v>229</v>
      </c>
      <c r="DS2555" s="1" t="s">
        <v>368</v>
      </c>
      <c r="DV2555" s="1" t="s">
        <v>232</v>
      </c>
      <c r="DW2555" s="1" t="s">
        <v>891</v>
      </c>
      <c r="DX2555" s="1" t="s">
        <v>234</v>
      </c>
      <c r="DZ2555" s="1" t="s">
        <v>282</v>
      </c>
      <c r="EA2555" s="1" t="s">
        <v>344</v>
      </c>
      <c r="EB2555" s="1" t="s">
        <v>492</v>
      </c>
      <c r="EC2555" s="1" t="s">
        <v>237</v>
      </c>
      <c r="EM2555" s="1" t="s">
        <v>238</v>
      </c>
      <c r="EQ2555" s="1" t="s">
        <v>238</v>
      </c>
      <c r="EU2555" s="1" t="s">
        <v>238</v>
      </c>
      <c r="EY2555" s="1" t="s">
        <v>238</v>
      </c>
      <c r="FC2555" s="1" t="s">
        <v>238</v>
      </c>
      <c r="FF2555" s="1" t="s">
        <v>239</v>
      </c>
      <c r="FG2555" s="1" t="s">
        <v>192</v>
      </c>
      <c r="FH2555" s="1" t="s">
        <v>192</v>
      </c>
      <c r="FJ2555" s="1" t="s">
        <v>23008</v>
      </c>
      <c r="FK2555" s="1" t="s">
        <v>229</v>
      </c>
      <c r="FL2555" s="1" t="s">
        <v>1893</v>
      </c>
      <c r="FM2555" s="1">
        <v>23187.0</v>
      </c>
      <c r="FN2555" s="1" t="s">
        <v>1894</v>
      </c>
      <c r="FO2555" s="1" t="s">
        <v>23009</v>
      </c>
      <c r="FP2555" s="1">
        <v>232524.0</v>
      </c>
      <c r="FQ2555" s="1" t="s">
        <v>23010</v>
      </c>
      <c r="FR2555" s="1">
        <v>242257.0</v>
      </c>
      <c r="FU2555" s="1" t="s">
        <v>1541</v>
      </c>
      <c r="FV2555" s="1" t="s">
        <v>200</v>
      </c>
      <c r="FW2555" s="1" t="s">
        <v>1524</v>
      </c>
      <c r="FZ2555" s="1" t="s">
        <v>229</v>
      </c>
      <c r="GA2555" s="1" t="s">
        <v>291</v>
      </c>
      <c r="GB2555" s="2">
        <v>42109.0</v>
      </c>
      <c r="GC2555" s="1" t="s">
        <v>23011</v>
      </c>
    </row>
    <row r="2556">
      <c r="A2556" s="1">
        <v>235000.0</v>
      </c>
      <c r="B2556" s="1" t="s">
        <v>185</v>
      </c>
      <c r="C2556" s="1" t="str">
        <f>"08828972"</f>
        <v>08828972</v>
      </c>
      <c r="D2556" s="1" t="s">
        <v>186</v>
      </c>
      <c r="F2556" s="1" t="str">
        <f>"8058"</f>
        <v>8058</v>
      </c>
      <c r="G2556" s="2">
        <v>42037.0</v>
      </c>
      <c r="H2556" s="1">
        <v>245000.0</v>
      </c>
      <c r="I2556" s="1">
        <v>145.0</v>
      </c>
      <c r="J2556" s="1">
        <v>245000.0</v>
      </c>
      <c r="K2556" s="2">
        <v>42057.0</v>
      </c>
      <c r="L2556" s="1">
        <v>21.0</v>
      </c>
      <c r="M2556" s="2">
        <v>42057.0</v>
      </c>
      <c r="N2556" s="1" t="s">
        <v>187</v>
      </c>
      <c r="O2556" s="2">
        <v>42108.0</v>
      </c>
      <c r="P2556" s="1">
        <v>124297.0</v>
      </c>
      <c r="Q2556" s="1">
        <v>84624.0</v>
      </c>
      <c r="S2556" s="1">
        <v>4319.0</v>
      </c>
      <c r="T2556" s="1" t="s">
        <v>5970</v>
      </c>
      <c r="U2556" s="1" t="s">
        <v>189</v>
      </c>
      <c r="V2556" s="1" t="s">
        <v>190</v>
      </c>
      <c r="W2556" s="1">
        <v>60632.0</v>
      </c>
      <c r="Y2556" s="1" t="s">
        <v>23012</v>
      </c>
      <c r="Z2556" s="1">
        <v>2004.0</v>
      </c>
      <c r="AA2556" s="1" t="s">
        <v>200</v>
      </c>
      <c r="AB2556" s="1" t="s">
        <v>193</v>
      </c>
      <c r="AD2556" s="1" t="s">
        <v>194</v>
      </c>
      <c r="AE2556" s="1" t="s">
        <v>195</v>
      </c>
      <c r="AF2556" s="1" t="s">
        <v>659</v>
      </c>
      <c r="AH2556" s="1" t="s">
        <v>12200</v>
      </c>
      <c r="AK2556" s="1">
        <v>7.0</v>
      </c>
      <c r="AL2556" s="1">
        <v>3.0</v>
      </c>
      <c r="AM2556" s="1">
        <v>2.0</v>
      </c>
      <c r="AN2556" s="1">
        <v>0.0</v>
      </c>
      <c r="AO2556" s="1" t="s">
        <v>229</v>
      </c>
      <c r="AQ2556" s="1" t="s">
        <v>198</v>
      </c>
      <c r="AR2556" s="1" t="s">
        <v>192</v>
      </c>
      <c r="AS2556" s="1" t="s">
        <v>199</v>
      </c>
      <c r="AT2556" s="1">
        <v>2.0</v>
      </c>
      <c r="AV2556" s="1" t="s">
        <v>200</v>
      </c>
      <c r="AW2556" s="1">
        <v>2757.12</v>
      </c>
      <c r="AX2556" s="1">
        <v>2013.0</v>
      </c>
      <c r="AZ2556" s="1" t="s">
        <v>200</v>
      </c>
      <c r="BA2556" s="1" t="str">
        <f>"19024010080000"</f>
        <v>19024010080000</v>
      </c>
      <c r="BC2556" s="1">
        <v>0.0</v>
      </c>
      <c r="BD2556" s="1">
        <v>235000.0</v>
      </c>
      <c r="BE2556" s="2">
        <v>42037.0</v>
      </c>
      <c r="BF2556" s="2" t="s">
        <v>23013</v>
      </c>
      <c r="BH2556" s="1">
        <v>0.0</v>
      </c>
      <c r="BK2556" s="1" t="s">
        <v>204</v>
      </c>
      <c r="BL2556" s="1" t="str">
        <f t="shared" ref="BL2556:BM2556" si="1670">"0"</f>
        <v>0</v>
      </c>
      <c r="BM2556" s="1" t="str">
        <f t="shared" si="1670"/>
        <v>0</v>
      </c>
      <c r="BN2556" s="1">
        <v>3532.0</v>
      </c>
      <c r="BO2556" s="1">
        <v>4319.0</v>
      </c>
      <c r="BQ2556" s="1">
        <v>299.0</v>
      </c>
      <c r="BR2556" s="1">
        <v>299.0</v>
      </c>
      <c r="BS2556" s="1">
        <v>299.0</v>
      </c>
      <c r="BU2556" s="1" t="s">
        <v>390</v>
      </c>
      <c r="BV2556" s="1" t="s">
        <v>206</v>
      </c>
      <c r="BW2556" s="1" t="s">
        <v>207</v>
      </c>
      <c r="BY2556" s="1" t="s">
        <v>497</v>
      </c>
      <c r="BZ2556" s="1" t="s">
        <v>206</v>
      </c>
      <c r="CA2556" s="1" t="s">
        <v>207</v>
      </c>
      <c r="CD2556" s="1" t="s">
        <v>204</v>
      </c>
      <c r="CG2556" s="1" t="s">
        <v>375</v>
      </c>
      <c r="CH2556" s="1" t="s">
        <v>206</v>
      </c>
      <c r="CI2556" s="1" t="s">
        <v>207</v>
      </c>
      <c r="CK2556" s="1" t="s">
        <v>375</v>
      </c>
      <c r="CL2556" s="1" t="s">
        <v>206</v>
      </c>
      <c r="CM2556" s="1" t="s">
        <v>207</v>
      </c>
      <c r="CO2556" s="1" t="s">
        <v>375</v>
      </c>
      <c r="CP2556" s="1" t="s">
        <v>42</v>
      </c>
      <c r="CQ2556" s="1" t="s">
        <v>207</v>
      </c>
      <c r="CS2556" s="1" t="s">
        <v>2613</v>
      </c>
      <c r="CT2556" s="1" t="s">
        <v>206</v>
      </c>
      <c r="CU2556" s="1" t="s">
        <v>207</v>
      </c>
      <c r="CW2556" s="1" t="s">
        <v>9032</v>
      </c>
      <c r="CX2556" s="1" t="s">
        <v>42</v>
      </c>
      <c r="DA2556" s="1" t="s">
        <v>200</v>
      </c>
      <c r="DC2556" s="1" t="s">
        <v>335</v>
      </c>
      <c r="DD2556" s="1" t="s">
        <v>306</v>
      </c>
      <c r="DE2556" s="1" t="s">
        <v>273</v>
      </c>
      <c r="DF2556" s="1" t="s">
        <v>905</v>
      </c>
      <c r="DH2556" s="1" t="s">
        <v>220</v>
      </c>
      <c r="DI2556" s="1" t="s">
        <v>7570</v>
      </c>
      <c r="DJ2556" s="1" t="s">
        <v>222</v>
      </c>
      <c r="DL2556" s="1" t="s">
        <v>224</v>
      </c>
      <c r="DM2556" s="1" t="s">
        <v>229</v>
      </c>
      <c r="DP2556" s="1" t="s">
        <v>400</v>
      </c>
      <c r="DQ2556" s="1" t="s">
        <v>794</v>
      </c>
      <c r="DR2556" s="1" t="s">
        <v>229</v>
      </c>
      <c r="DV2556" s="1" t="s">
        <v>232</v>
      </c>
      <c r="DW2556" s="1" t="s">
        <v>279</v>
      </c>
      <c r="DX2556" s="1" t="s">
        <v>234</v>
      </c>
      <c r="DY2556" s="1" t="s">
        <v>23014</v>
      </c>
      <c r="EC2556" s="1" t="s">
        <v>311</v>
      </c>
      <c r="ED2556" s="1" t="s">
        <v>407</v>
      </c>
      <c r="EM2556" s="1" t="s">
        <v>238</v>
      </c>
      <c r="EQ2556" s="1" t="s">
        <v>238</v>
      </c>
      <c r="EU2556" s="1" t="s">
        <v>238</v>
      </c>
      <c r="EY2556" s="1" t="s">
        <v>238</v>
      </c>
      <c r="FC2556" s="1" t="s">
        <v>238</v>
      </c>
      <c r="FF2556" s="1" t="s">
        <v>239</v>
      </c>
      <c r="FG2556" s="1" t="s">
        <v>192</v>
      </c>
      <c r="FH2556" s="1" t="s">
        <v>192</v>
      </c>
      <c r="FJ2556" s="1" t="s">
        <v>733</v>
      </c>
      <c r="FK2556" s="1" t="s">
        <v>229</v>
      </c>
      <c r="FL2556" s="1" t="s">
        <v>2469</v>
      </c>
      <c r="FM2556" s="1">
        <v>84992.0</v>
      </c>
      <c r="FN2556" s="1" t="s">
        <v>2470</v>
      </c>
      <c r="FO2556" s="1" t="s">
        <v>23015</v>
      </c>
      <c r="FP2556" s="1">
        <v>133468.0</v>
      </c>
      <c r="FQ2556" s="1" t="s">
        <v>23016</v>
      </c>
      <c r="FU2556" s="1" t="s">
        <v>3678</v>
      </c>
      <c r="FV2556" s="1" t="s">
        <v>192</v>
      </c>
      <c r="FW2556" s="1" t="s">
        <v>530</v>
      </c>
      <c r="FX2556" s="1" t="s">
        <v>655</v>
      </c>
      <c r="FZ2556" s="1" t="s">
        <v>229</v>
      </c>
      <c r="GA2556" s="1" t="s">
        <v>291</v>
      </c>
      <c r="GB2556" s="2">
        <v>42108.0</v>
      </c>
    </row>
    <row r="2557">
      <c r="A2557" s="1">
        <v>304900.0</v>
      </c>
      <c r="B2557" s="1" t="s">
        <v>185</v>
      </c>
      <c r="C2557" s="1" t="str">
        <f>"08824272"</f>
        <v>08824272</v>
      </c>
      <c r="D2557" s="1" t="s">
        <v>186</v>
      </c>
      <c r="F2557" s="1" t="str">
        <f>"134"</f>
        <v>134</v>
      </c>
      <c r="G2557" s="2">
        <v>42030.0</v>
      </c>
      <c r="H2557" s="1">
        <v>349000.0</v>
      </c>
      <c r="I2557" s="1">
        <v>72.0</v>
      </c>
      <c r="J2557" s="1">
        <v>314900.0</v>
      </c>
      <c r="K2557" s="2">
        <v>42101.0</v>
      </c>
      <c r="L2557" s="1">
        <v>72.0</v>
      </c>
      <c r="M2557" s="2">
        <v>42101.0</v>
      </c>
      <c r="N2557" s="1" t="s">
        <v>187</v>
      </c>
      <c r="O2557" s="2">
        <v>42150.0</v>
      </c>
      <c r="P2557" s="1">
        <v>29237.0</v>
      </c>
      <c r="Q2557" s="1">
        <v>23591.0</v>
      </c>
      <c r="S2557" s="1">
        <v>3289.0</v>
      </c>
      <c r="T2557" s="1" t="s">
        <v>9921</v>
      </c>
      <c r="U2557" s="1" t="s">
        <v>1174</v>
      </c>
      <c r="V2557" s="1" t="s">
        <v>421</v>
      </c>
      <c r="W2557" s="1">
        <v>60134.0</v>
      </c>
      <c r="Y2557" s="1" t="s">
        <v>23017</v>
      </c>
      <c r="Z2557" s="1">
        <v>2000.0</v>
      </c>
      <c r="AA2557" s="1" t="s">
        <v>200</v>
      </c>
      <c r="AB2557" s="1" t="s">
        <v>467</v>
      </c>
      <c r="AD2557" s="1" t="s">
        <v>424</v>
      </c>
      <c r="AE2557" s="1" t="s">
        <v>325</v>
      </c>
      <c r="AF2557" s="1" t="s">
        <v>424</v>
      </c>
      <c r="AH2557" s="1">
        <v>6734.0</v>
      </c>
      <c r="AI2557" s="1">
        <v>0.1546</v>
      </c>
      <c r="AK2557" s="1">
        <v>9.0</v>
      </c>
      <c r="AL2557" s="1">
        <v>4.0</v>
      </c>
      <c r="AM2557" s="1">
        <v>2.0</v>
      </c>
      <c r="AN2557" s="1">
        <v>1.0</v>
      </c>
      <c r="AO2557" s="1" t="s">
        <v>198</v>
      </c>
      <c r="AP2557" s="1">
        <v>1.0</v>
      </c>
      <c r="AQ2557" s="1" t="s">
        <v>1314</v>
      </c>
      <c r="AR2557" s="1" t="s">
        <v>200</v>
      </c>
      <c r="AS2557" s="1" t="s">
        <v>199</v>
      </c>
      <c r="AT2557" s="1">
        <v>2.0</v>
      </c>
      <c r="AV2557" s="1" t="s">
        <v>200</v>
      </c>
      <c r="AW2557" s="1">
        <v>8956.88</v>
      </c>
      <c r="AX2557" s="1">
        <v>2013.0</v>
      </c>
      <c r="AZ2557" s="1" t="s">
        <v>200</v>
      </c>
      <c r="BA2557" s="1" t="str">
        <f>"1205376001"</f>
        <v>1205376001</v>
      </c>
      <c r="BB2557" s="1" t="s">
        <v>200</v>
      </c>
      <c r="BC2557" s="1">
        <v>2420.0</v>
      </c>
      <c r="BD2557" s="1">
        <v>304900.0</v>
      </c>
      <c r="BE2557" s="2">
        <v>42030.0</v>
      </c>
      <c r="BF2557" s="2" t="s">
        <v>23018</v>
      </c>
      <c r="BH2557" s="1">
        <v>71.0</v>
      </c>
      <c r="BK2557" s="1" t="s">
        <v>580</v>
      </c>
      <c r="BL2557" s="1" t="str">
        <f t="shared" ref="BL2557:BM2557" si="1671">""</f>
        <v/>
      </c>
      <c r="BM2557" s="1" t="str">
        <f t="shared" si="1671"/>
        <v/>
      </c>
      <c r="BQ2557" s="1">
        <v>304.0</v>
      </c>
      <c r="BR2557" s="1">
        <v>304.0</v>
      </c>
      <c r="BS2557" s="1">
        <v>304.0</v>
      </c>
      <c r="BU2557" s="1" t="s">
        <v>329</v>
      </c>
      <c r="BV2557" s="1" t="s">
        <v>206</v>
      </c>
      <c r="BY2557" s="1" t="s">
        <v>616</v>
      </c>
      <c r="BZ2557" s="1" t="s">
        <v>209</v>
      </c>
      <c r="CC2557" s="1" t="s">
        <v>2459</v>
      </c>
      <c r="CD2557" s="1" t="s">
        <v>206</v>
      </c>
      <c r="CG2557" s="1" t="s">
        <v>332</v>
      </c>
      <c r="CH2557" s="1" t="s">
        <v>209</v>
      </c>
      <c r="CK2557" s="1" t="s">
        <v>302</v>
      </c>
      <c r="CL2557" s="1" t="s">
        <v>209</v>
      </c>
      <c r="CO2557" s="1" t="s">
        <v>269</v>
      </c>
      <c r="CP2557" s="1" t="s">
        <v>209</v>
      </c>
      <c r="CS2557" s="1" t="s">
        <v>12565</v>
      </c>
      <c r="CT2557" s="1" t="s">
        <v>206</v>
      </c>
      <c r="CW2557" s="1" t="s">
        <v>2273</v>
      </c>
      <c r="CX2557" s="1" t="s">
        <v>206</v>
      </c>
      <c r="DA2557" s="1" t="s">
        <v>200</v>
      </c>
      <c r="DC2557" s="1" t="s">
        <v>335</v>
      </c>
      <c r="DD2557" s="1" t="s">
        <v>336</v>
      </c>
      <c r="DE2557" s="1" t="s">
        <v>273</v>
      </c>
      <c r="DF2557" s="1" t="s">
        <v>219</v>
      </c>
      <c r="DH2557" s="1" t="s">
        <v>220</v>
      </c>
      <c r="DI2557" s="1" t="s">
        <v>22763</v>
      </c>
      <c r="DJ2557" s="1" t="s">
        <v>222</v>
      </c>
      <c r="DL2557" s="1" t="s">
        <v>223</v>
      </c>
      <c r="DM2557" s="1" t="s">
        <v>229</v>
      </c>
      <c r="DP2557" s="1" t="s">
        <v>340</v>
      </c>
      <c r="DQ2557" s="1" t="s">
        <v>228</v>
      </c>
      <c r="DR2557" s="1" t="s">
        <v>588</v>
      </c>
      <c r="DV2557" s="1" t="s">
        <v>494</v>
      </c>
      <c r="DW2557" s="1" t="s">
        <v>370</v>
      </c>
      <c r="DX2557" s="1" t="s">
        <v>234</v>
      </c>
      <c r="DY2557" s="1" t="s">
        <v>235</v>
      </c>
      <c r="DZ2557" s="1" t="s">
        <v>1466</v>
      </c>
      <c r="EC2557" s="1" t="s">
        <v>237</v>
      </c>
      <c r="EG2557" s="1" t="s">
        <v>494</v>
      </c>
      <c r="EL2557" s="1" t="s">
        <v>332</v>
      </c>
      <c r="EM2557" s="1" t="s">
        <v>206</v>
      </c>
      <c r="EQ2557" s="1" t="s">
        <v>238</v>
      </c>
      <c r="EU2557" s="1" t="s">
        <v>238</v>
      </c>
      <c r="EY2557" s="1" t="s">
        <v>238</v>
      </c>
      <c r="FC2557" s="1" t="s">
        <v>238</v>
      </c>
      <c r="FF2557" s="1" t="s">
        <v>239</v>
      </c>
      <c r="FG2557" s="1" t="s">
        <v>192</v>
      </c>
      <c r="FH2557" s="1" t="s">
        <v>192</v>
      </c>
      <c r="FJ2557" s="1" t="s">
        <v>2156</v>
      </c>
      <c r="FK2557" s="1" t="s">
        <v>229</v>
      </c>
      <c r="FL2557" s="1" t="s">
        <v>1855</v>
      </c>
      <c r="FM2557" s="1">
        <v>41.0</v>
      </c>
      <c r="FN2557" s="1" t="s">
        <v>1856</v>
      </c>
      <c r="FO2557" s="1" t="s">
        <v>1857</v>
      </c>
      <c r="FP2557" s="1">
        <v>8483.0</v>
      </c>
      <c r="FQ2557" s="1" t="s">
        <v>1858</v>
      </c>
      <c r="FS2557" s="1" t="s">
        <v>7114</v>
      </c>
      <c r="FT2557" s="1" t="s">
        <v>1860</v>
      </c>
      <c r="FU2557" s="1" t="s">
        <v>7115</v>
      </c>
      <c r="FV2557" s="1" t="s">
        <v>200</v>
      </c>
      <c r="FW2557" s="1" t="s">
        <v>354</v>
      </c>
      <c r="FZ2557" s="1" t="s">
        <v>229</v>
      </c>
      <c r="GA2557" s="1" t="s">
        <v>291</v>
      </c>
      <c r="GB2557" s="2">
        <v>42150.0</v>
      </c>
      <c r="GC2557" s="1" t="s">
        <v>23019</v>
      </c>
    </row>
    <row r="2558">
      <c r="A2558" s="1">
        <v>345000.0</v>
      </c>
      <c r="B2558" s="1" t="s">
        <v>185</v>
      </c>
      <c r="C2558" s="1" t="str">
        <f>"08822862"</f>
        <v>08822862</v>
      </c>
      <c r="D2558" s="1" t="s">
        <v>186</v>
      </c>
      <c r="F2558" s="1" t="str">
        <f>"8018"</f>
        <v>8018</v>
      </c>
      <c r="G2558" s="2">
        <v>42027.0</v>
      </c>
      <c r="H2558" s="1">
        <v>339900.0</v>
      </c>
      <c r="I2558" s="1">
        <v>55.0</v>
      </c>
      <c r="J2558" s="1">
        <v>339900.0</v>
      </c>
      <c r="K2558" s="2">
        <v>42030.0</v>
      </c>
      <c r="L2558" s="1">
        <v>4.0</v>
      </c>
      <c r="M2558" s="2">
        <v>42030.0</v>
      </c>
      <c r="N2558" s="1" t="s">
        <v>249</v>
      </c>
      <c r="O2558" s="2">
        <v>42065.0</v>
      </c>
      <c r="P2558" s="1">
        <v>185272.0</v>
      </c>
      <c r="Q2558" s="1">
        <v>18705.0</v>
      </c>
      <c r="S2558" s="1">
        <v>3030.0</v>
      </c>
      <c r="T2558" s="1" t="s">
        <v>1018</v>
      </c>
      <c r="U2558" s="1" t="s">
        <v>189</v>
      </c>
      <c r="V2558" s="1" t="s">
        <v>190</v>
      </c>
      <c r="W2558" s="1">
        <v>60634.0</v>
      </c>
      <c r="Y2558" s="1" t="s">
        <v>23020</v>
      </c>
      <c r="Z2558" s="1">
        <v>1946.0</v>
      </c>
      <c r="AA2558" s="1" t="s">
        <v>192</v>
      </c>
      <c r="AB2558" s="1" t="s">
        <v>193</v>
      </c>
      <c r="AD2558" s="1" t="s">
        <v>194</v>
      </c>
      <c r="AE2558" s="1" t="s">
        <v>195</v>
      </c>
      <c r="AF2558" s="1" t="s">
        <v>196</v>
      </c>
      <c r="AG2558" s="1" t="s">
        <v>11691</v>
      </c>
      <c r="AH2558" s="1" t="s">
        <v>23021</v>
      </c>
      <c r="AI2558" s="1">
        <v>0.08</v>
      </c>
      <c r="AK2558" s="1">
        <v>9.0</v>
      </c>
      <c r="AL2558" s="1">
        <v>3.0</v>
      </c>
      <c r="AM2558" s="1">
        <v>2.0</v>
      </c>
      <c r="AN2558" s="1">
        <v>1.0</v>
      </c>
      <c r="AO2558" s="1" t="s">
        <v>1261</v>
      </c>
      <c r="AQ2558" s="1" t="s">
        <v>198</v>
      </c>
      <c r="AR2558" s="1" t="s">
        <v>192</v>
      </c>
      <c r="AS2558" s="1" t="s">
        <v>199</v>
      </c>
      <c r="AT2558" s="1">
        <v>2.0</v>
      </c>
      <c r="AV2558" s="1" t="s">
        <v>200</v>
      </c>
      <c r="AW2558" s="1">
        <v>2022.0</v>
      </c>
      <c r="AX2558" s="1">
        <v>2012.0</v>
      </c>
      <c r="AY2558" s="1" t="s">
        <v>1179</v>
      </c>
      <c r="AZ2558" s="1" t="s">
        <v>200</v>
      </c>
      <c r="BA2558" s="1" t="str">
        <f>"13301160350000"</f>
        <v>13301160350000</v>
      </c>
      <c r="BB2558" s="1" t="s">
        <v>200</v>
      </c>
      <c r="BC2558" s="1">
        <v>0.0</v>
      </c>
      <c r="BD2558" s="1">
        <v>345000.0</v>
      </c>
      <c r="BE2558" s="2">
        <v>42027.0</v>
      </c>
      <c r="BF2558" s="2" t="s">
        <v>23022</v>
      </c>
      <c r="BH2558" s="1">
        <v>0.0</v>
      </c>
      <c r="BK2558" s="1" t="s">
        <v>204</v>
      </c>
      <c r="BL2558" s="1" t="str">
        <f>"3030"</f>
        <v>3030</v>
      </c>
      <c r="BM2558" s="1" t="str">
        <f t="shared" ref="BM2558:BM2559" si="1672">"0"</f>
        <v>0</v>
      </c>
      <c r="BN2558" s="1">
        <v>6900.0</v>
      </c>
      <c r="BO2558" s="1">
        <v>0.0</v>
      </c>
      <c r="BQ2558" s="1">
        <v>299.0</v>
      </c>
      <c r="BR2558" s="1">
        <v>299.0</v>
      </c>
      <c r="BS2558" s="1">
        <v>299.0</v>
      </c>
      <c r="BU2558" s="1" t="s">
        <v>2647</v>
      </c>
      <c r="BV2558" s="1" t="s">
        <v>206</v>
      </c>
      <c r="BW2558" s="1" t="s">
        <v>207</v>
      </c>
      <c r="BX2558" s="1" t="s">
        <v>229</v>
      </c>
      <c r="BY2558" s="1" t="s">
        <v>1567</v>
      </c>
      <c r="BZ2558" s="1" t="s">
        <v>209</v>
      </c>
      <c r="CA2558" s="1" t="s">
        <v>210</v>
      </c>
      <c r="CB2558" s="1" t="s">
        <v>229</v>
      </c>
      <c r="CC2558" s="1" t="s">
        <v>363</v>
      </c>
      <c r="CD2558" s="1" t="s">
        <v>206</v>
      </c>
      <c r="CE2558" s="1" t="s">
        <v>207</v>
      </c>
      <c r="CF2558" s="1" t="s">
        <v>229</v>
      </c>
      <c r="CG2558" s="1" t="s">
        <v>699</v>
      </c>
      <c r="CH2558" s="1" t="s">
        <v>209</v>
      </c>
      <c r="CI2558" s="1" t="s">
        <v>210</v>
      </c>
      <c r="CJ2558" s="1" t="s">
        <v>229</v>
      </c>
      <c r="CK2558" s="1" t="s">
        <v>363</v>
      </c>
      <c r="CL2558" s="1" t="s">
        <v>206</v>
      </c>
      <c r="CM2558" s="1" t="s">
        <v>207</v>
      </c>
      <c r="CN2558" s="1" t="s">
        <v>229</v>
      </c>
      <c r="CO2558" s="1" t="s">
        <v>699</v>
      </c>
      <c r="CP2558" s="1" t="s">
        <v>42</v>
      </c>
      <c r="CQ2558" s="1" t="s">
        <v>210</v>
      </c>
      <c r="CR2558" s="1" t="s">
        <v>229</v>
      </c>
      <c r="CS2558" s="1" t="s">
        <v>495</v>
      </c>
      <c r="CT2558" s="1" t="s">
        <v>206</v>
      </c>
      <c r="CU2558" s="1" t="s">
        <v>268</v>
      </c>
      <c r="CV2558" s="1" t="s">
        <v>229</v>
      </c>
      <c r="CW2558" s="1" t="s">
        <v>1350</v>
      </c>
      <c r="CX2558" s="1" t="s">
        <v>42</v>
      </c>
      <c r="CY2558" s="1" t="s">
        <v>210</v>
      </c>
      <c r="CZ2558" s="1" t="s">
        <v>229</v>
      </c>
      <c r="DA2558" s="1" t="s">
        <v>200</v>
      </c>
      <c r="DC2558" s="1" t="s">
        <v>702</v>
      </c>
      <c r="DD2558" s="1" t="s">
        <v>518</v>
      </c>
      <c r="DE2558" s="1" t="s">
        <v>273</v>
      </c>
      <c r="DF2558" s="1" t="s">
        <v>219</v>
      </c>
      <c r="DG2558" s="1" t="s">
        <v>482</v>
      </c>
      <c r="DH2558" s="1" t="s">
        <v>365</v>
      </c>
      <c r="DI2558" s="1" t="s">
        <v>1141</v>
      </c>
      <c r="DJ2558" s="1" t="s">
        <v>222</v>
      </c>
      <c r="DK2558" s="1" t="s">
        <v>224</v>
      </c>
      <c r="DL2558" s="1" t="s">
        <v>1161</v>
      </c>
      <c r="DM2558" s="1" t="s">
        <v>1402</v>
      </c>
      <c r="DN2558" s="1" t="s">
        <v>1486</v>
      </c>
      <c r="DO2558" s="1" t="s">
        <v>549</v>
      </c>
      <c r="DP2558" s="1" t="s">
        <v>340</v>
      </c>
      <c r="DQ2558" s="1" t="s">
        <v>718</v>
      </c>
      <c r="DR2558" s="1" t="s">
        <v>229</v>
      </c>
      <c r="DS2558" s="1" t="s">
        <v>401</v>
      </c>
      <c r="DV2558" s="1" t="s">
        <v>373</v>
      </c>
      <c r="DW2558" s="1" t="s">
        <v>279</v>
      </c>
      <c r="DX2558" s="1" t="s">
        <v>234</v>
      </c>
      <c r="DY2558" s="1" t="s">
        <v>553</v>
      </c>
      <c r="DZ2558" s="1" t="s">
        <v>343</v>
      </c>
      <c r="EA2558" s="1" t="s">
        <v>257</v>
      </c>
      <c r="EC2558" s="1" t="s">
        <v>645</v>
      </c>
      <c r="ED2558" s="1" t="s">
        <v>407</v>
      </c>
      <c r="EE2558" s="1" t="s">
        <v>493</v>
      </c>
      <c r="EG2558" s="1" t="s">
        <v>373</v>
      </c>
      <c r="EL2558" s="1" t="s">
        <v>263</v>
      </c>
      <c r="EM2558" s="1" t="s">
        <v>206</v>
      </c>
      <c r="EN2558" s="1" t="s">
        <v>588</v>
      </c>
      <c r="EO2558" s="1" t="s">
        <v>229</v>
      </c>
      <c r="EQ2558" s="1" t="s">
        <v>238</v>
      </c>
      <c r="EU2558" s="1" t="s">
        <v>238</v>
      </c>
      <c r="EY2558" s="1" t="s">
        <v>238</v>
      </c>
      <c r="FC2558" s="1" t="s">
        <v>238</v>
      </c>
      <c r="FF2558" s="1" t="s">
        <v>239</v>
      </c>
      <c r="FG2558" s="1" t="s">
        <v>192</v>
      </c>
      <c r="FH2558" s="1" t="s">
        <v>192</v>
      </c>
      <c r="FJ2558" s="1" t="s">
        <v>2853</v>
      </c>
      <c r="FK2558" s="1" t="s">
        <v>229</v>
      </c>
      <c r="FL2558" s="1" t="s">
        <v>12277</v>
      </c>
      <c r="FM2558" s="1">
        <v>24060.0</v>
      </c>
      <c r="FN2558" s="1" t="s">
        <v>5643</v>
      </c>
      <c r="FO2558" s="1" t="s">
        <v>23023</v>
      </c>
      <c r="FP2558" s="1">
        <v>84207.0</v>
      </c>
      <c r="FQ2558" s="1" t="s">
        <v>23024</v>
      </c>
      <c r="FS2558" s="1" t="s">
        <v>23025</v>
      </c>
      <c r="FU2558" s="1" t="s">
        <v>710</v>
      </c>
      <c r="FV2558" s="1" t="s">
        <v>200</v>
      </c>
      <c r="FW2558" s="1" t="s">
        <v>290</v>
      </c>
      <c r="FX2558" s="1" t="s">
        <v>238</v>
      </c>
      <c r="FZ2558" s="1" t="s">
        <v>229</v>
      </c>
      <c r="GA2558" s="1" t="s">
        <v>291</v>
      </c>
      <c r="GB2558" s="2">
        <v>42065.0</v>
      </c>
      <c r="GC2558" s="1" t="s">
        <v>23026</v>
      </c>
    </row>
    <row r="2559">
      <c r="A2559" s="1">
        <v>720000.0</v>
      </c>
      <c r="B2559" s="1" t="s">
        <v>185</v>
      </c>
      <c r="C2559" s="1" t="str">
        <f>"08829138"</f>
        <v>08829138</v>
      </c>
      <c r="D2559" s="1" t="s">
        <v>186</v>
      </c>
      <c r="F2559" s="1" t="str">
        <f>"8024"</f>
        <v>8024</v>
      </c>
      <c r="G2559" s="2">
        <v>42037.0</v>
      </c>
      <c r="H2559" s="1">
        <v>750000.0</v>
      </c>
      <c r="I2559" s="1">
        <v>16.0</v>
      </c>
      <c r="J2559" s="1">
        <v>750000.0</v>
      </c>
      <c r="K2559" s="2">
        <v>42052.0</v>
      </c>
      <c r="L2559" s="1">
        <v>16.0</v>
      </c>
      <c r="M2559" s="2">
        <v>42052.0</v>
      </c>
      <c r="N2559" s="1" t="s">
        <v>187</v>
      </c>
      <c r="O2559" s="2">
        <v>42101.0</v>
      </c>
      <c r="P2559" s="1">
        <v>132291.0</v>
      </c>
      <c r="Q2559" s="1">
        <v>85774.0</v>
      </c>
      <c r="R2559" s="1">
        <v>3000.0</v>
      </c>
      <c r="S2559" s="1">
        <v>1728.0</v>
      </c>
      <c r="T2559" s="1" t="s">
        <v>23027</v>
      </c>
      <c r="U2559" s="1" t="s">
        <v>189</v>
      </c>
      <c r="V2559" s="1" t="s">
        <v>190</v>
      </c>
      <c r="W2559" s="1">
        <v>60647.0</v>
      </c>
      <c r="Y2559" s="1" t="s">
        <v>23028</v>
      </c>
      <c r="Z2559" s="1">
        <v>2003.0</v>
      </c>
      <c r="AA2559" s="1" t="s">
        <v>200</v>
      </c>
      <c r="AB2559" s="1" t="s">
        <v>193</v>
      </c>
      <c r="AD2559" s="1" t="s">
        <v>194</v>
      </c>
      <c r="AE2559" s="1" t="s">
        <v>195</v>
      </c>
      <c r="AF2559" s="1" t="s">
        <v>2645</v>
      </c>
      <c r="AH2559" s="1" t="s">
        <v>741</v>
      </c>
      <c r="AK2559" s="1">
        <v>9.0</v>
      </c>
      <c r="AL2559" s="1">
        <v>3.0</v>
      </c>
      <c r="AM2559" s="1">
        <v>3.0</v>
      </c>
      <c r="AN2559" s="1">
        <v>1.0</v>
      </c>
      <c r="AO2559" s="1" t="s">
        <v>198</v>
      </c>
      <c r="AP2559" s="1">
        <v>1.0</v>
      </c>
      <c r="AQ2559" s="1" t="s">
        <v>198</v>
      </c>
      <c r="AR2559" s="1" t="s">
        <v>192</v>
      </c>
      <c r="AS2559" s="1" t="s">
        <v>199</v>
      </c>
      <c r="AT2559" s="1">
        <v>2.0</v>
      </c>
      <c r="AV2559" s="1" t="s">
        <v>200</v>
      </c>
      <c r="AW2559" s="1">
        <v>9475.78</v>
      </c>
      <c r="AX2559" s="1">
        <v>2013.0</v>
      </c>
      <c r="AY2559" s="1" t="s">
        <v>387</v>
      </c>
      <c r="AZ2559" s="1" t="s">
        <v>200</v>
      </c>
      <c r="BA2559" s="1" t="str">
        <f>"13364210230000"</f>
        <v>13364210230000</v>
      </c>
      <c r="BB2559" s="1" t="s">
        <v>200</v>
      </c>
      <c r="BC2559" s="1">
        <v>0.0</v>
      </c>
      <c r="BD2559" s="1">
        <v>720000.0</v>
      </c>
      <c r="BE2559" s="2">
        <v>42037.0</v>
      </c>
      <c r="BF2559" s="2" t="s">
        <v>23029</v>
      </c>
      <c r="BG2559" s="1" t="s">
        <v>19404</v>
      </c>
      <c r="BH2559" s="1">
        <v>0.0</v>
      </c>
      <c r="BJ2559" s="1" t="s">
        <v>13909</v>
      </c>
      <c r="BK2559" s="1" t="s">
        <v>204</v>
      </c>
      <c r="BL2559" s="1" t="str">
        <f>"1728"</f>
        <v>1728</v>
      </c>
      <c r="BM2559" s="1" t="str">
        <f t="shared" si="1672"/>
        <v>0</v>
      </c>
      <c r="BN2559" s="1">
        <v>2532.0</v>
      </c>
      <c r="BO2559" s="1">
        <v>0.0</v>
      </c>
      <c r="BQ2559" s="1">
        <v>299.0</v>
      </c>
      <c r="BR2559" s="1">
        <v>299.0</v>
      </c>
      <c r="BS2559" s="1">
        <v>299.0</v>
      </c>
      <c r="BU2559" s="1" t="s">
        <v>9889</v>
      </c>
      <c r="BV2559" s="1" t="s">
        <v>206</v>
      </c>
      <c r="BW2559" s="1" t="s">
        <v>207</v>
      </c>
      <c r="BY2559" s="1" t="s">
        <v>1043</v>
      </c>
      <c r="BZ2559" s="1" t="s">
        <v>209</v>
      </c>
      <c r="CA2559" s="1" t="s">
        <v>210</v>
      </c>
      <c r="CC2559" s="1" t="s">
        <v>542</v>
      </c>
      <c r="CD2559" s="1" t="s">
        <v>206</v>
      </c>
      <c r="CE2559" s="1" t="s">
        <v>207</v>
      </c>
      <c r="CG2559" s="1" t="s">
        <v>392</v>
      </c>
      <c r="CH2559" s="1" t="s">
        <v>209</v>
      </c>
      <c r="CI2559" s="1" t="s">
        <v>210</v>
      </c>
      <c r="CK2559" s="1" t="s">
        <v>264</v>
      </c>
      <c r="CL2559" s="1" t="s">
        <v>209</v>
      </c>
      <c r="CM2559" s="1" t="s">
        <v>210</v>
      </c>
      <c r="CO2559" s="1" t="s">
        <v>393</v>
      </c>
      <c r="CP2559" s="1" t="s">
        <v>42</v>
      </c>
      <c r="CQ2559" s="1" t="s">
        <v>210</v>
      </c>
      <c r="CS2559" s="1" t="s">
        <v>15653</v>
      </c>
      <c r="CT2559" s="1" t="s">
        <v>206</v>
      </c>
      <c r="CU2559" s="1" t="s">
        <v>207</v>
      </c>
      <c r="CW2559" s="1" t="s">
        <v>5291</v>
      </c>
      <c r="CX2559" s="1" t="s">
        <v>206</v>
      </c>
      <c r="CY2559" s="1" t="s">
        <v>207</v>
      </c>
      <c r="DA2559" s="1" t="s">
        <v>200</v>
      </c>
      <c r="DC2559" s="1" t="s">
        <v>335</v>
      </c>
      <c r="DD2559" s="1" t="s">
        <v>306</v>
      </c>
      <c r="DE2559" s="1" t="s">
        <v>273</v>
      </c>
      <c r="DF2559" s="1" t="s">
        <v>219</v>
      </c>
      <c r="DH2559" s="1" t="s">
        <v>365</v>
      </c>
      <c r="DI2559" s="1" t="s">
        <v>2057</v>
      </c>
      <c r="DJ2559" s="1" t="s">
        <v>222</v>
      </c>
      <c r="DL2559" s="1" t="s">
        <v>1161</v>
      </c>
      <c r="DM2559" s="1" t="s">
        <v>229</v>
      </c>
      <c r="DN2559" s="1" t="s">
        <v>399</v>
      </c>
      <c r="DO2559" s="1" t="s">
        <v>549</v>
      </c>
      <c r="DP2559" s="1" t="s">
        <v>276</v>
      </c>
      <c r="DQ2559" s="1" t="s">
        <v>718</v>
      </c>
      <c r="DR2559" s="1" t="s">
        <v>229</v>
      </c>
      <c r="DU2559" s="1" t="s">
        <v>7122</v>
      </c>
      <c r="DV2559" s="1" t="s">
        <v>23030</v>
      </c>
      <c r="DW2559" s="1" t="s">
        <v>279</v>
      </c>
      <c r="DX2559" s="1" t="s">
        <v>234</v>
      </c>
      <c r="DY2559" s="1" t="s">
        <v>935</v>
      </c>
      <c r="DZ2559" s="1" t="s">
        <v>310</v>
      </c>
      <c r="EB2559" s="1" t="s">
        <v>937</v>
      </c>
      <c r="EC2559" s="1" t="s">
        <v>237</v>
      </c>
      <c r="ED2559" s="1" t="s">
        <v>555</v>
      </c>
      <c r="EG2559" s="1" t="s">
        <v>408</v>
      </c>
      <c r="EH2559" s="1" t="s">
        <v>409</v>
      </c>
      <c r="EI2559" s="1" t="s">
        <v>450</v>
      </c>
      <c r="EJ2559" s="1" t="s">
        <v>310</v>
      </c>
      <c r="EL2559" s="1" t="s">
        <v>23031</v>
      </c>
      <c r="EM2559" s="1" t="s">
        <v>206</v>
      </c>
      <c r="EP2559" s="1" t="s">
        <v>23032</v>
      </c>
      <c r="EQ2559" s="1" t="s">
        <v>209</v>
      </c>
      <c r="ET2559" s="1" t="s">
        <v>23033</v>
      </c>
      <c r="EU2559" s="1" t="s">
        <v>42</v>
      </c>
      <c r="EV2559" s="1" t="s">
        <v>210</v>
      </c>
      <c r="EX2559" s="1" t="s">
        <v>475</v>
      </c>
      <c r="EY2559" s="1" t="s">
        <v>206</v>
      </c>
      <c r="FC2559" s="1" t="s">
        <v>238</v>
      </c>
      <c r="FF2559" s="1" t="s">
        <v>239</v>
      </c>
      <c r="FG2559" s="1" t="s">
        <v>192</v>
      </c>
      <c r="FH2559" s="1" t="s">
        <v>192</v>
      </c>
      <c r="FJ2559" s="1" t="s">
        <v>561</v>
      </c>
      <c r="FK2559" s="1" t="s">
        <v>229</v>
      </c>
      <c r="FL2559" s="1" t="s">
        <v>562</v>
      </c>
      <c r="FM2559" s="1">
        <v>16379.0</v>
      </c>
      <c r="FN2559" s="1" t="s">
        <v>563</v>
      </c>
      <c r="FO2559" s="1" t="s">
        <v>9204</v>
      </c>
      <c r="FP2559" s="1">
        <v>155485.0</v>
      </c>
      <c r="FQ2559" s="1" t="s">
        <v>9205</v>
      </c>
      <c r="FT2559" s="1" t="s">
        <v>6367</v>
      </c>
      <c r="FU2559" s="1" t="s">
        <v>23034</v>
      </c>
      <c r="FV2559" s="1" t="s">
        <v>200</v>
      </c>
      <c r="FW2559" s="1" t="s">
        <v>290</v>
      </c>
      <c r="FX2559" s="1" t="s">
        <v>238</v>
      </c>
      <c r="FZ2559" s="1" t="s">
        <v>229</v>
      </c>
      <c r="GA2559" s="1" t="s">
        <v>291</v>
      </c>
      <c r="GB2559" s="2">
        <v>42101.0</v>
      </c>
      <c r="GC2559" s="1" t="s">
        <v>23035</v>
      </c>
    </row>
    <row r="2560">
      <c r="A2560" s="1">
        <v>339990.0</v>
      </c>
      <c r="B2560" s="1" t="s">
        <v>185</v>
      </c>
      <c r="C2560" s="1" t="str">
        <f>"08827572"</f>
        <v>08827572</v>
      </c>
      <c r="D2560" s="1" t="s">
        <v>186</v>
      </c>
      <c r="F2560" s="1" t="str">
        <f>"123"</f>
        <v>123</v>
      </c>
      <c r="G2560" s="2">
        <v>42034.0</v>
      </c>
      <c r="H2560" s="1">
        <v>339990.0</v>
      </c>
      <c r="I2560" s="1">
        <v>16.0</v>
      </c>
      <c r="J2560" s="1">
        <v>339990.0</v>
      </c>
      <c r="K2560" s="2">
        <v>42049.0</v>
      </c>
      <c r="L2560" s="1">
        <v>16.0</v>
      </c>
      <c r="M2560" s="2">
        <v>42049.0</v>
      </c>
      <c r="N2560" s="1" t="s">
        <v>356</v>
      </c>
      <c r="O2560" s="2">
        <v>42104.0</v>
      </c>
      <c r="P2560" s="1">
        <v>214983.0</v>
      </c>
      <c r="Q2560" s="1">
        <v>22996.0</v>
      </c>
      <c r="S2560" s="1">
        <v>219.0</v>
      </c>
      <c r="T2560" s="1" t="s">
        <v>23036</v>
      </c>
      <c r="U2560" s="1" t="s">
        <v>189</v>
      </c>
      <c r="V2560" s="1" t="s">
        <v>465</v>
      </c>
      <c r="W2560" s="1">
        <v>60124.0</v>
      </c>
      <c r="Y2560" s="1" t="s">
        <v>2434</v>
      </c>
      <c r="Z2560" s="1">
        <v>2014.0</v>
      </c>
      <c r="AA2560" s="1" t="s">
        <v>200</v>
      </c>
      <c r="AB2560" s="1" t="s">
        <v>467</v>
      </c>
      <c r="AC2560" s="1" t="s">
        <v>3682</v>
      </c>
      <c r="AD2560" s="1" t="s">
        <v>469</v>
      </c>
      <c r="AE2560" s="1" t="s">
        <v>325</v>
      </c>
      <c r="AF2560" s="1" t="s">
        <v>469</v>
      </c>
      <c r="AG2560" s="1" t="s">
        <v>5323</v>
      </c>
      <c r="AH2560" s="1" t="s">
        <v>5324</v>
      </c>
      <c r="AK2560" s="1">
        <v>9.0</v>
      </c>
      <c r="AL2560" s="1">
        <v>4.0</v>
      </c>
      <c r="AM2560" s="1">
        <v>2.0</v>
      </c>
      <c r="AN2560" s="1">
        <v>1.0</v>
      </c>
      <c r="AO2560" s="1" t="s">
        <v>198</v>
      </c>
      <c r="AP2560" s="1">
        <v>0.0</v>
      </c>
      <c r="AQ2560" s="1" t="s">
        <v>472</v>
      </c>
      <c r="AR2560" s="1" t="s">
        <v>200</v>
      </c>
      <c r="AS2560" s="1" t="s">
        <v>199</v>
      </c>
      <c r="AT2560" s="1">
        <v>2.0</v>
      </c>
      <c r="AV2560" s="1" t="s">
        <v>200</v>
      </c>
      <c r="AW2560" s="1" t="s">
        <v>575</v>
      </c>
      <c r="AX2560" s="1">
        <v>2013.0</v>
      </c>
      <c r="AZ2560" s="1" t="s">
        <v>200</v>
      </c>
      <c r="BA2560" s="1" t="str">
        <f>"0618455022"</f>
        <v>0618455022</v>
      </c>
      <c r="BC2560" s="1">
        <v>2652.0</v>
      </c>
      <c r="BD2560" s="1">
        <v>339990.0</v>
      </c>
      <c r="BE2560" s="2">
        <v>42034.0</v>
      </c>
      <c r="BF2560" s="2" t="s">
        <v>23037</v>
      </c>
      <c r="BG2560" s="1" t="s">
        <v>3686</v>
      </c>
      <c r="BH2560" s="1">
        <v>300.0</v>
      </c>
      <c r="BI2560" s="1" t="s">
        <v>578</v>
      </c>
      <c r="BJ2560" s="1" t="s">
        <v>579</v>
      </c>
      <c r="BK2560" s="1" t="s">
        <v>580</v>
      </c>
      <c r="BL2560" s="1" t="str">
        <f t="shared" ref="BL2560:BM2560" si="1673">""</f>
        <v/>
      </c>
      <c r="BM2560" s="1" t="str">
        <f t="shared" si="1673"/>
        <v/>
      </c>
      <c r="BQ2560" s="1">
        <v>301.0</v>
      </c>
      <c r="BR2560" s="1">
        <v>301.0</v>
      </c>
      <c r="BS2560" s="1">
        <v>301.0</v>
      </c>
      <c r="BU2560" s="1" t="s">
        <v>212</v>
      </c>
      <c r="BV2560" s="1" t="s">
        <v>206</v>
      </c>
      <c r="BW2560" s="1" t="s">
        <v>207</v>
      </c>
      <c r="BY2560" s="1" t="s">
        <v>2219</v>
      </c>
      <c r="BZ2560" s="1" t="s">
        <v>209</v>
      </c>
      <c r="CA2560" s="1" t="s">
        <v>210</v>
      </c>
      <c r="CC2560" s="1" t="s">
        <v>302</v>
      </c>
      <c r="CD2560" s="1" t="s">
        <v>206</v>
      </c>
      <c r="CE2560" s="1" t="s">
        <v>207</v>
      </c>
      <c r="CG2560" s="1" t="s">
        <v>699</v>
      </c>
      <c r="CH2560" s="1" t="s">
        <v>209</v>
      </c>
      <c r="CI2560" s="1" t="s">
        <v>210</v>
      </c>
      <c r="CK2560" s="1" t="s">
        <v>212</v>
      </c>
      <c r="CL2560" s="1" t="s">
        <v>209</v>
      </c>
      <c r="CM2560" s="1" t="s">
        <v>210</v>
      </c>
      <c r="CO2560" s="1" t="s">
        <v>699</v>
      </c>
      <c r="CP2560" s="1" t="s">
        <v>209</v>
      </c>
      <c r="CQ2560" s="1" t="s">
        <v>210</v>
      </c>
      <c r="CS2560" s="1" t="s">
        <v>2224</v>
      </c>
      <c r="CT2560" s="1" t="s">
        <v>206</v>
      </c>
      <c r="CU2560" s="1" t="s">
        <v>207</v>
      </c>
      <c r="CW2560" s="1" t="s">
        <v>2800</v>
      </c>
      <c r="CX2560" s="1" t="s">
        <v>206</v>
      </c>
      <c r="CY2560" s="1" t="s">
        <v>207</v>
      </c>
      <c r="DA2560" s="1" t="s">
        <v>192</v>
      </c>
      <c r="DB2560" s="2">
        <v>42048.0</v>
      </c>
      <c r="DC2560" s="1" t="s">
        <v>1353</v>
      </c>
      <c r="DD2560" s="1" t="s">
        <v>4023</v>
      </c>
      <c r="DE2560" s="1" t="s">
        <v>273</v>
      </c>
      <c r="DF2560" s="1" t="s">
        <v>619</v>
      </c>
      <c r="DG2560" s="1" t="s">
        <v>5327</v>
      </c>
      <c r="DH2560" s="1" t="s">
        <v>220</v>
      </c>
      <c r="DI2560" s="1" t="s">
        <v>732</v>
      </c>
      <c r="DJ2560" s="1" t="s">
        <v>222</v>
      </c>
      <c r="DK2560" s="1" t="s">
        <v>223</v>
      </c>
      <c r="DL2560" s="1" t="s">
        <v>484</v>
      </c>
      <c r="DM2560" s="1" t="s">
        <v>792</v>
      </c>
      <c r="DN2560" s="1" t="s">
        <v>1023</v>
      </c>
      <c r="DP2560" s="1" t="s">
        <v>340</v>
      </c>
      <c r="DQ2560" s="1" t="s">
        <v>228</v>
      </c>
      <c r="DR2560" s="1" t="s">
        <v>1487</v>
      </c>
      <c r="DS2560" s="1" t="s">
        <v>591</v>
      </c>
      <c r="DT2560" s="1" t="s">
        <v>23038</v>
      </c>
      <c r="DU2560" s="1" t="s">
        <v>5330</v>
      </c>
      <c r="DV2560" s="1" t="s">
        <v>5331</v>
      </c>
      <c r="DW2560" s="1" t="s">
        <v>15185</v>
      </c>
      <c r="DX2560" s="1" t="s">
        <v>234</v>
      </c>
      <c r="DY2560" s="1" t="s">
        <v>596</v>
      </c>
      <c r="DZ2560" s="1" t="s">
        <v>1333</v>
      </c>
      <c r="EA2560" s="1" t="s">
        <v>1326</v>
      </c>
      <c r="EC2560" s="1" t="s">
        <v>237</v>
      </c>
      <c r="ED2560" s="1" t="s">
        <v>407</v>
      </c>
      <c r="EG2560" s="1" t="s">
        <v>556</v>
      </c>
      <c r="EH2560" s="1" t="s">
        <v>720</v>
      </c>
      <c r="EL2560" s="1" t="s">
        <v>266</v>
      </c>
      <c r="EM2560" s="1" t="s">
        <v>206</v>
      </c>
      <c r="EN2560" s="1" t="s">
        <v>207</v>
      </c>
      <c r="EP2560" s="1" t="s">
        <v>5334</v>
      </c>
      <c r="EQ2560" s="1" t="s">
        <v>206</v>
      </c>
      <c r="ER2560" s="1" t="s">
        <v>207</v>
      </c>
      <c r="EU2560" s="1" t="s">
        <v>238</v>
      </c>
      <c r="EY2560" s="1" t="s">
        <v>238</v>
      </c>
      <c r="FC2560" s="1" t="s">
        <v>238</v>
      </c>
      <c r="FF2560" s="1" t="s">
        <v>2447</v>
      </c>
      <c r="FG2560" s="1" t="s">
        <v>192</v>
      </c>
      <c r="FH2560" s="1" t="s">
        <v>192</v>
      </c>
      <c r="FJ2560" s="1" t="s">
        <v>347</v>
      </c>
      <c r="FK2560" s="1" t="s">
        <v>229</v>
      </c>
      <c r="FL2560" s="1" t="s">
        <v>2448</v>
      </c>
      <c r="FM2560" s="1">
        <v>92038.0</v>
      </c>
      <c r="FN2560" s="1" t="s">
        <v>2449</v>
      </c>
      <c r="FO2560" s="1" t="s">
        <v>2450</v>
      </c>
      <c r="FP2560" s="1">
        <v>21137.0</v>
      </c>
      <c r="FQ2560" s="1" t="s">
        <v>2451</v>
      </c>
      <c r="FT2560" s="1" t="s">
        <v>5335</v>
      </c>
      <c r="FU2560" s="1" t="s">
        <v>23039</v>
      </c>
      <c r="FV2560" s="1" t="s">
        <v>200</v>
      </c>
      <c r="FW2560" s="1" t="s">
        <v>2453</v>
      </c>
      <c r="FZ2560" s="1" t="s">
        <v>229</v>
      </c>
      <c r="GA2560" s="1" t="s">
        <v>291</v>
      </c>
      <c r="GB2560" s="2">
        <v>42114.0</v>
      </c>
      <c r="GC2560" s="1" t="s">
        <v>23040</v>
      </c>
    </row>
    <row r="2561">
      <c r="A2561" s="1">
        <v>365000.0</v>
      </c>
      <c r="B2561" s="1" t="s">
        <v>185</v>
      </c>
      <c r="C2561" s="1" t="str">
        <f>"08827790"</f>
        <v>08827790</v>
      </c>
      <c r="D2561" s="1" t="s">
        <v>186</v>
      </c>
      <c r="F2561" s="1" t="str">
        <f>"134"</f>
        <v>134</v>
      </c>
      <c r="G2561" s="2">
        <v>42034.0</v>
      </c>
      <c r="H2561" s="1">
        <v>389900.0</v>
      </c>
      <c r="I2561" s="1">
        <v>60.0</v>
      </c>
      <c r="J2561" s="1">
        <v>379900.0</v>
      </c>
      <c r="K2561" s="2">
        <v>42093.0</v>
      </c>
      <c r="L2561" s="1">
        <v>60.0</v>
      </c>
      <c r="M2561" s="2">
        <v>42093.0</v>
      </c>
      <c r="N2561" s="1" t="s">
        <v>187</v>
      </c>
      <c r="O2561" s="2">
        <v>42146.0</v>
      </c>
      <c r="P2561" s="1">
        <v>259593.0</v>
      </c>
      <c r="Q2561" s="1">
        <v>25083.0</v>
      </c>
      <c r="S2561" s="1">
        <v>2319.0</v>
      </c>
      <c r="T2561" s="1" t="s">
        <v>23041</v>
      </c>
      <c r="U2561" s="1" t="s">
        <v>844</v>
      </c>
      <c r="V2561" s="1" t="s">
        <v>421</v>
      </c>
      <c r="W2561" s="1">
        <v>60134.0</v>
      </c>
      <c r="Y2561" s="1" t="s">
        <v>23042</v>
      </c>
      <c r="Z2561" s="1">
        <v>1975.0</v>
      </c>
      <c r="AA2561" s="1" t="s">
        <v>192</v>
      </c>
      <c r="AB2561" s="1" t="s">
        <v>467</v>
      </c>
      <c r="AC2561" s="1" t="s">
        <v>2688</v>
      </c>
      <c r="AD2561" s="1" t="s">
        <v>424</v>
      </c>
      <c r="AE2561" s="1" t="s">
        <v>325</v>
      </c>
      <c r="AF2561" s="1" t="s">
        <v>424</v>
      </c>
      <c r="AH2561" s="1" t="s">
        <v>4132</v>
      </c>
      <c r="AK2561" s="1">
        <v>9.0</v>
      </c>
      <c r="AL2561" s="1">
        <v>4.0</v>
      </c>
      <c r="AM2561" s="1">
        <v>2.0</v>
      </c>
      <c r="AN2561" s="1">
        <v>1.0</v>
      </c>
      <c r="AO2561" s="1" t="s">
        <v>198</v>
      </c>
      <c r="AP2561" s="1">
        <v>1.0</v>
      </c>
      <c r="AQ2561" s="1" t="s">
        <v>198</v>
      </c>
      <c r="AR2561" s="1" t="s">
        <v>200</v>
      </c>
      <c r="AS2561" s="1" t="s">
        <v>199</v>
      </c>
      <c r="AT2561" s="1">
        <v>2.0</v>
      </c>
      <c r="AV2561" s="1" t="s">
        <v>200</v>
      </c>
      <c r="AW2561" s="1">
        <v>9293.0</v>
      </c>
      <c r="AX2561" s="1">
        <v>2013.0</v>
      </c>
      <c r="AY2561" s="1" t="s">
        <v>387</v>
      </c>
      <c r="AZ2561" s="1" t="s">
        <v>200</v>
      </c>
      <c r="BA2561" s="1" t="str">
        <f>"1204329049"</f>
        <v>1204329049</v>
      </c>
      <c r="BC2561" s="1">
        <v>2549.0</v>
      </c>
      <c r="BD2561" s="1">
        <v>365000.0</v>
      </c>
      <c r="BE2561" s="2">
        <v>42034.0</v>
      </c>
      <c r="BF2561" s="2" t="s">
        <v>23043</v>
      </c>
      <c r="BH2561" s="1">
        <v>240.0</v>
      </c>
      <c r="BK2561" s="1" t="s">
        <v>580</v>
      </c>
      <c r="BL2561" s="1" t="str">
        <f t="shared" ref="BL2561:BM2561" si="1674">"0"</f>
        <v>0</v>
      </c>
      <c r="BM2561" s="1" t="str">
        <f t="shared" si="1674"/>
        <v>0</v>
      </c>
      <c r="BN2561" s="1">
        <v>39.0</v>
      </c>
      <c r="BO2561" s="1">
        <v>1.0</v>
      </c>
      <c r="BQ2561" s="1">
        <v>304.0</v>
      </c>
      <c r="BR2561" s="1">
        <v>304.0</v>
      </c>
      <c r="BS2561" s="1">
        <v>304.0</v>
      </c>
      <c r="BU2561" s="1" t="s">
        <v>1892</v>
      </c>
      <c r="BV2561" s="1" t="s">
        <v>206</v>
      </c>
      <c r="BW2561" s="1" t="s">
        <v>207</v>
      </c>
      <c r="BY2561" s="1" t="s">
        <v>205</v>
      </c>
      <c r="BZ2561" s="1" t="s">
        <v>209</v>
      </c>
      <c r="CA2561" s="1" t="s">
        <v>207</v>
      </c>
      <c r="CC2561" s="1" t="s">
        <v>497</v>
      </c>
      <c r="CD2561" s="1" t="s">
        <v>206</v>
      </c>
      <c r="CE2561" s="1" t="s">
        <v>207</v>
      </c>
      <c r="CG2561" s="1" t="s">
        <v>331</v>
      </c>
      <c r="CH2561" s="1" t="s">
        <v>209</v>
      </c>
      <c r="CI2561" s="1" t="s">
        <v>210</v>
      </c>
      <c r="CK2561" s="1" t="s">
        <v>332</v>
      </c>
      <c r="CL2561" s="1" t="s">
        <v>209</v>
      </c>
      <c r="CM2561" s="1" t="s">
        <v>210</v>
      </c>
      <c r="CO2561" s="1" t="s">
        <v>264</v>
      </c>
      <c r="CP2561" s="1" t="s">
        <v>209</v>
      </c>
      <c r="CQ2561" s="1" t="s">
        <v>210</v>
      </c>
      <c r="CS2561" s="1" t="s">
        <v>434</v>
      </c>
      <c r="CT2561" s="1" t="s">
        <v>206</v>
      </c>
      <c r="CU2561" s="1" t="s">
        <v>207</v>
      </c>
      <c r="CW2561" s="1" t="s">
        <v>616</v>
      </c>
      <c r="CX2561" s="1" t="s">
        <v>206</v>
      </c>
      <c r="CY2561" s="1" t="s">
        <v>207</v>
      </c>
      <c r="DA2561" s="1" t="s">
        <v>200</v>
      </c>
      <c r="DC2561" s="1" t="s">
        <v>395</v>
      </c>
      <c r="DD2561" s="1" t="s">
        <v>11240</v>
      </c>
      <c r="DE2561" s="1" t="s">
        <v>273</v>
      </c>
      <c r="DF2561" s="1" t="s">
        <v>219</v>
      </c>
      <c r="DH2561" s="1" t="s">
        <v>220</v>
      </c>
      <c r="DI2561" s="1" t="s">
        <v>221</v>
      </c>
      <c r="DJ2561" s="1" t="s">
        <v>222</v>
      </c>
      <c r="DL2561" s="1" t="s">
        <v>224</v>
      </c>
      <c r="DM2561" s="1" t="s">
        <v>229</v>
      </c>
      <c r="DO2561" s="1" t="s">
        <v>549</v>
      </c>
      <c r="DP2561" s="1" t="s">
        <v>340</v>
      </c>
      <c r="DQ2561" s="1" t="s">
        <v>228</v>
      </c>
      <c r="DR2561" s="1" t="s">
        <v>2593</v>
      </c>
      <c r="DV2561" s="1" t="s">
        <v>23044</v>
      </c>
      <c r="DW2561" s="1" t="s">
        <v>934</v>
      </c>
      <c r="DX2561" s="1" t="s">
        <v>234</v>
      </c>
      <c r="DY2561" s="1" t="s">
        <v>935</v>
      </c>
      <c r="EC2561" s="1" t="s">
        <v>237</v>
      </c>
      <c r="ED2561" s="1" t="s">
        <v>407</v>
      </c>
      <c r="EH2561" s="1" t="s">
        <v>450</v>
      </c>
      <c r="EI2561" s="1" t="s">
        <v>1102</v>
      </c>
      <c r="EM2561" s="1" t="s">
        <v>238</v>
      </c>
      <c r="EP2561" s="1" t="s">
        <v>330</v>
      </c>
      <c r="EQ2561" s="1" t="s">
        <v>42</v>
      </c>
      <c r="ER2561" s="1" t="s">
        <v>210</v>
      </c>
      <c r="ET2561" s="1" t="s">
        <v>213</v>
      </c>
      <c r="EU2561" s="1" t="s">
        <v>206</v>
      </c>
      <c r="EV2561" s="1" t="s">
        <v>207</v>
      </c>
      <c r="EY2561" s="1" t="s">
        <v>238</v>
      </c>
      <c r="FC2561" s="1" t="s">
        <v>238</v>
      </c>
      <c r="FF2561" s="1" t="s">
        <v>239</v>
      </c>
      <c r="FG2561" s="1" t="s">
        <v>192</v>
      </c>
      <c r="FH2561" s="1" t="s">
        <v>192</v>
      </c>
      <c r="FJ2561" s="1" t="s">
        <v>4181</v>
      </c>
      <c r="FK2561" s="1" t="s">
        <v>229</v>
      </c>
      <c r="FL2561" s="1" t="s">
        <v>1212</v>
      </c>
      <c r="FM2561" s="1">
        <v>30.0</v>
      </c>
      <c r="FN2561" s="1" t="s">
        <v>1213</v>
      </c>
      <c r="FO2561" s="1" t="s">
        <v>8470</v>
      </c>
      <c r="FP2561" s="1">
        <v>497.0</v>
      </c>
      <c r="FQ2561" s="1" t="s">
        <v>8471</v>
      </c>
      <c r="FR2561" s="1">
        <v>8177.0</v>
      </c>
      <c r="FS2561" s="1">
        <v>8177.0</v>
      </c>
      <c r="FU2561" s="1" t="s">
        <v>10211</v>
      </c>
      <c r="FV2561" s="1" t="s">
        <v>200</v>
      </c>
      <c r="FW2561" s="1" t="s">
        <v>290</v>
      </c>
      <c r="FZ2561" s="1" t="s">
        <v>229</v>
      </c>
      <c r="GA2561" s="1" t="s">
        <v>291</v>
      </c>
      <c r="GB2561" s="2">
        <v>42150.0</v>
      </c>
      <c r="GC2561" s="1" t="s">
        <v>23045</v>
      </c>
    </row>
    <row r="2562">
      <c r="A2562" s="1">
        <v>169000.0</v>
      </c>
      <c r="B2562" s="1" t="s">
        <v>185</v>
      </c>
      <c r="C2562" s="1" t="str">
        <f>"08828006"</f>
        <v>08828006</v>
      </c>
      <c r="D2562" s="1" t="s">
        <v>186</v>
      </c>
      <c r="F2562" s="1" t="str">
        <f>"8075"</f>
        <v>8075</v>
      </c>
      <c r="G2562" s="2">
        <v>42035.0</v>
      </c>
      <c r="H2562" s="1">
        <v>169900.0</v>
      </c>
      <c r="I2562" s="1">
        <v>11.0</v>
      </c>
      <c r="J2562" s="1">
        <v>169900.0</v>
      </c>
      <c r="K2562" s="2">
        <v>42045.0</v>
      </c>
      <c r="L2562" s="1">
        <v>11.0</v>
      </c>
      <c r="M2562" s="2">
        <v>42045.0</v>
      </c>
      <c r="N2562" s="1" t="s">
        <v>187</v>
      </c>
      <c r="O2562" s="2">
        <v>42090.0</v>
      </c>
      <c r="P2562" s="1">
        <v>144398.0</v>
      </c>
      <c r="Q2562" s="1">
        <v>85481.0</v>
      </c>
      <c r="R2562" s="1">
        <v>3.0</v>
      </c>
      <c r="S2562" s="1">
        <v>10801.0</v>
      </c>
      <c r="T2562" s="1" t="s">
        <v>4089</v>
      </c>
      <c r="U2562" s="1" t="s">
        <v>320</v>
      </c>
      <c r="V2562" s="1" t="s">
        <v>190</v>
      </c>
      <c r="W2562" s="1">
        <v>60643.0</v>
      </c>
      <c r="Y2562" s="1" t="s">
        <v>23046</v>
      </c>
      <c r="Z2562" s="1">
        <v>1953.0</v>
      </c>
      <c r="AA2562" s="1" t="s">
        <v>192</v>
      </c>
      <c r="AB2562" s="1" t="s">
        <v>193</v>
      </c>
      <c r="AD2562" s="1" t="s">
        <v>194</v>
      </c>
      <c r="AE2562" s="1" t="s">
        <v>195</v>
      </c>
      <c r="AF2562" s="1" t="s">
        <v>659</v>
      </c>
      <c r="AH2562" s="1" t="s">
        <v>4463</v>
      </c>
      <c r="AI2562" s="1">
        <v>0.1324</v>
      </c>
      <c r="AK2562" s="1">
        <v>8.0</v>
      </c>
      <c r="AL2562" s="1">
        <v>4.0</v>
      </c>
      <c r="AM2562" s="1">
        <v>2.0</v>
      </c>
      <c r="AN2562" s="1">
        <v>0.0</v>
      </c>
      <c r="AO2562" s="1" t="s">
        <v>229</v>
      </c>
      <c r="AQ2562" s="1" t="s">
        <v>198</v>
      </c>
      <c r="AR2562" s="1" t="s">
        <v>192</v>
      </c>
      <c r="AS2562" s="1" t="s">
        <v>199</v>
      </c>
      <c r="AT2562" s="1">
        <v>2.0</v>
      </c>
      <c r="AV2562" s="1" t="s">
        <v>200</v>
      </c>
      <c r="AW2562" s="1">
        <v>0.0</v>
      </c>
      <c r="AX2562" s="1">
        <v>2013.0</v>
      </c>
      <c r="AY2562" s="1" t="s">
        <v>588</v>
      </c>
      <c r="AZ2562" s="1" t="s">
        <v>200</v>
      </c>
      <c r="BA2562" s="1" t="str">
        <f>"25174270010000"</f>
        <v>25174270010000</v>
      </c>
      <c r="BC2562" s="1">
        <v>1200.0</v>
      </c>
      <c r="BD2562" s="1">
        <v>169000.0</v>
      </c>
      <c r="BE2562" s="2">
        <v>42035.0</v>
      </c>
      <c r="BF2562" s="2" t="s">
        <v>23047</v>
      </c>
      <c r="BH2562" s="1">
        <v>0.0</v>
      </c>
      <c r="BK2562" s="1" t="s">
        <v>204</v>
      </c>
      <c r="BL2562" s="1" t="str">
        <f t="shared" ref="BL2562:BM2562" si="1675">"0"</f>
        <v>0</v>
      </c>
      <c r="BM2562" s="1" t="str">
        <f t="shared" si="1675"/>
        <v>0</v>
      </c>
      <c r="BN2562" s="1">
        <v>900.0</v>
      </c>
      <c r="BO2562" s="1">
        <v>10801.0</v>
      </c>
      <c r="BQ2562" s="1">
        <v>299.0</v>
      </c>
      <c r="BR2562" s="1">
        <v>299.0</v>
      </c>
      <c r="BS2562" s="1">
        <v>299.0</v>
      </c>
      <c r="BU2562" s="1" t="s">
        <v>434</v>
      </c>
      <c r="BV2562" s="1" t="s">
        <v>206</v>
      </c>
      <c r="BW2562" s="1" t="s">
        <v>207</v>
      </c>
      <c r="BX2562" s="1" t="s">
        <v>431</v>
      </c>
      <c r="BY2562" s="1" t="s">
        <v>361</v>
      </c>
      <c r="BZ2562" s="1" t="s">
        <v>206</v>
      </c>
      <c r="CA2562" s="1" t="s">
        <v>207</v>
      </c>
      <c r="CB2562" s="1" t="s">
        <v>431</v>
      </c>
      <c r="CC2562" s="1" t="s">
        <v>433</v>
      </c>
      <c r="CD2562" s="1" t="s">
        <v>206</v>
      </c>
      <c r="CE2562" s="1" t="s">
        <v>207</v>
      </c>
      <c r="CF2562" s="1" t="s">
        <v>431</v>
      </c>
      <c r="CG2562" s="1" t="s">
        <v>392</v>
      </c>
      <c r="CH2562" s="1" t="s">
        <v>206</v>
      </c>
      <c r="CI2562" s="1" t="s">
        <v>207</v>
      </c>
      <c r="CJ2562" s="1" t="s">
        <v>431</v>
      </c>
      <c r="CK2562" s="1" t="s">
        <v>497</v>
      </c>
      <c r="CL2562" s="1" t="s">
        <v>206</v>
      </c>
      <c r="CM2562" s="1" t="s">
        <v>207</v>
      </c>
      <c r="CN2562" s="1" t="s">
        <v>431</v>
      </c>
      <c r="CO2562" s="1" t="s">
        <v>264</v>
      </c>
      <c r="CP2562" s="1" t="s">
        <v>267</v>
      </c>
      <c r="CQ2562" s="1" t="s">
        <v>268</v>
      </c>
      <c r="CS2562" s="1" t="s">
        <v>213</v>
      </c>
      <c r="CT2562" s="1" t="s">
        <v>206</v>
      </c>
      <c r="CU2562" s="1" t="s">
        <v>207</v>
      </c>
      <c r="CW2562" s="1" t="s">
        <v>11195</v>
      </c>
      <c r="CX2562" s="1" t="s">
        <v>267</v>
      </c>
      <c r="CY2562" s="1" t="s">
        <v>268</v>
      </c>
      <c r="DA2562" s="1" t="s">
        <v>200</v>
      </c>
      <c r="DC2562" s="1" t="s">
        <v>702</v>
      </c>
      <c r="DD2562" s="1" t="s">
        <v>217</v>
      </c>
      <c r="DE2562" s="1" t="s">
        <v>273</v>
      </c>
      <c r="DF2562" s="1" t="s">
        <v>219</v>
      </c>
      <c r="DG2562" s="1" t="s">
        <v>2237</v>
      </c>
      <c r="DH2562" s="1" t="s">
        <v>365</v>
      </c>
      <c r="DI2562" s="1" t="s">
        <v>2837</v>
      </c>
      <c r="DJ2562" s="1" t="s">
        <v>222</v>
      </c>
      <c r="DL2562" s="1" t="s">
        <v>224</v>
      </c>
      <c r="DM2562" s="1" t="s">
        <v>229</v>
      </c>
      <c r="DQ2562" s="1" t="s">
        <v>794</v>
      </c>
      <c r="DR2562" s="1" t="s">
        <v>229</v>
      </c>
      <c r="DS2562" s="1" t="s">
        <v>230</v>
      </c>
      <c r="DV2562" s="1" t="s">
        <v>232</v>
      </c>
      <c r="DW2562" s="1" t="s">
        <v>279</v>
      </c>
      <c r="DX2562" s="1" t="s">
        <v>234</v>
      </c>
      <c r="DY2562" s="1" t="s">
        <v>553</v>
      </c>
      <c r="EA2562" s="1" t="s">
        <v>683</v>
      </c>
      <c r="EC2562" s="1" t="s">
        <v>685</v>
      </c>
      <c r="ED2562" s="1" t="s">
        <v>407</v>
      </c>
      <c r="EM2562" s="1" t="s">
        <v>238</v>
      </c>
      <c r="EQ2562" s="1" t="s">
        <v>238</v>
      </c>
      <c r="EU2562" s="1" t="s">
        <v>238</v>
      </c>
      <c r="EY2562" s="1" t="s">
        <v>238</v>
      </c>
      <c r="FC2562" s="1" t="s">
        <v>238</v>
      </c>
      <c r="FF2562" s="1" t="s">
        <v>239</v>
      </c>
      <c r="FG2562" s="1" t="s">
        <v>192</v>
      </c>
      <c r="FH2562" s="1" t="s">
        <v>192</v>
      </c>
      <c r="FJ2562" s="1" t="s">
        <v>524</v>
      </c>
      <c r="FK2562" s="1" t="s">
        <v>229</v>
      </c>
      <c r="FL2562" s="1" t="s">
        <v>6261</v>
      </c>
      <c r="FM2562" s="1">
        <v>18505.0</v>
      </c>
      <c r="FN2562" s="1" t="s">
        <v>6262</v>
      </c>
      <c r="FO2562" s="1" t="s">
        <v>23048</v>
      </c>
      <c r="FP2562" s="1">
        <v>127630.0</v>
      </c>
      <c r="FQ2562" s="1" t="s">
        <v>23049</v>
      </c>
      <c r="FU2562" s="1" t="s">
        <v>23050</v>
      </c>
      <c r="FV2562" s="1" t="s">
        <v>192</v>
      </c>
      <c r="FW2562" s="1" t="s">
        <v>530</v>
      </c>
      <c r="FX2562" s="1" t="s">
        <v>655</v>
      </c>
      <c r="FZ2562" s="1" t="s">
        <v>229</v>
      </c>
      <c r="GA2562" s="1" t="s">
        <v>291</v>
      </c>
      <c r="GB2562" s="2">
        <v>42090.0</v>
      </c>
      <c r="GC2562" s="1" t="s">
        <v>23051</v>
      </c>
    </row>
    <row r="2563">
      <c r="A2563" s="1">
        <v>155000.0</v>
      </c>
      <c r="B2563" s="1" t="s">
        <v>185</v>
      </c>
      <c r="C2563" s="1" t="str">
        <f>"08827376"</f>
        <v>08827376</v>
      </c>
      <c r="D2563" s="1" t="s">
        <v>186</v>
      </c>
      <c r="F2563" s="1" t="str">
        <f>"8043"</f>
        <v>8043</v>
      </c>
      <c r="G2563" s="2">
        <v>42034.0</v>
      </c>
      <c r="H2563" s="1">
        <v>165000.0</v>
      </c>
      <c r="I2563" s="1">
        <v>39.0</v>
      </c>
      <c r="J2563" s="1">
        <v>165000.0</v>
      </c>
      <c r="K2563" s="2">
        <v>42072.0</v>
      </c>
      <c r="L2563" s="1">
        <v>39.0</v>
      </c>
      <c r="M2563" s="2">
        <v>42072.0</v>
      </c>
      <c r="N2563" s="1" t="s">
        <v>187</v>
      </c>
      <c r="O2563" s="2">
        <v>42146.0</v>
      </c>
      <c r="P2563" s="1">
        <v>164046.0</v>
      </c>
      <c r="Q2563" s="1">
        <v>84180.0</v>
      </c>
      <c r="S2563" s="1">
        <v>7700.0</v>
      </c>
      <c r="T2563" s="1" t="s">
        <v>6895</v>
      </c>
      <c r="U2563" s="1" t="s">
        <v>189</v>
      </c>
      <c r="V2563" s="1" t="s">
        <v>190</v>
      </c>
      <c r="W2563" s="1">
        <v>60649.0</v>
      </c>
      <c r="Y2563" s="1" t="s">
        <v>23052</v>
      </c>
      <c r="Z2563" s="1">
        <v>1938.0</v>
      </c>
      <c r="AA2563" s="1" t="s">
        <v>192</v>
      </c>
      <c r="AB2563" s="1" t="s">
        <v>193</v>
      </c>
      <c r="AD2563" s="1" t="s">
        <v>194</v>
      </c>
      <c r="AE2563" s="1" t="s">
        <v>195</v>
      </c>
      <c r="AF2563" s="1" t="s">
        <v>637</v>
      </c>
      <c r="AH2563" s="1" t="s">
        <v>23053</v>
      </c>
      <c r="AI2563" s="1">
        <v>0.1399</v>
      </c>
      <c r="AK2563" s="1">
        <v>8.0</v>
      </c>
      <c r="AL2563" s="1">
        <v>4.0</v>
      </c>
      <c r="AM2563" s="1">
        <v>1.0</v>
      </c>
      <c r="AN2563" s="1">
        <v>2.0</v>
      </c>
      <c r="AO2563" s="1" t="s">
        <v>229</v>
      </c>
      <c r="AP2563" s="1">
        <v>1.0</v>
      </c>
      <c r="AQ2563" s="1" t="s">
        <v>198</v>
      </c>
      <c r="AR2563" s="1" t="s">
        <v>192</v>
      </c>
      <c r="AS2563" s="1" t="s">
        <v>199</v>
      </c>
      <c r="AT2563" s="1">
        <v>1.5</v>
      </c>
      <c r="AV2563" s="1" t="s">
        <v>200</v>
      </c>
      <c r="AW2563" s="1">
        <v>831.52</v>
      </c>
      <c r="AX2563" s="1">
        <v>2013.0</v>
      </c>
      <c r="AY2563" s="1" t="s">
        <v>1179</v>
      </c>
      <c r="AZ2563" s="1" t="s">
        <v>200</v>
      </c>
      <c r="BA2563" s="1" t="str">
        <f>"20253210200000"</f>
        <v>20253210200000</v>
      </c>
      <c r="BC2563" s="1">
        <v>1500.0</v>
      </c>
      <c r="BD2563" s="1">
        <v>155000.0</v>
      </c>
      <c r="BE2563" s="2">
        <v>42034.0</v>
      </c>
      <c r="BF2563" s="2" t="s">
        <v>23054</v>
      </c>
      <c r="BH2563" s="1">
        <v>0.0</v>
      </c>
      <c r="BK2563" s="1" t="s">
        <v>204</v>
      </c>
      <c r="BL2563" s="1" t="str">
        <f>"0"</f>
        <v>0</v>
      </c>
      <c r="BM2563" s="1" t="str">
        <f>"1800"</f>
        <v>1800</v>
      </c>
      <c r="BN2563" s="1">
        <v>0.0</v>
      </c>
      <c r="BO2563" s="1">
        <v>7700.0</v>
      </c>
      <c r="BQ2563" s="1">
        <v>299.0</v>
      </c>
      <c r="BR2563" s="1">
        <v>299.0</v>
      </c>
      <c r="BS2563" s="1">
        <v>299.0</v>
      </c>
      <c r="BU2563" s="1" t="s">
        <v>2849</v>
      </c>
      <c r="BV2563" s="1" t="s">
        <v>206</v>
      </c>
      <c r="BY2563" s="1" t="s">
        <v>433</v>
      </c>
      <c r="BZ2563" s="1" t="s">
        <v>209</v>
      </c>
      <c r="CC2563" s="1" t="s">
        <v>584</v>
      </c>
      <c r="CD2563" s="1" t="s">
        <v>206</v>
      </c>
      <c r="CG2563" s="1" t="s">
        <v>215</v>
      </c>
      <c r="CH2563" s="1" t="s">
        <v>209</v>
      </c>
      <c r="CK2563" s="1" t="s">
        <v>543</v>
      </c>
      <c r="CL2563" s="1" t="s">
        <v>206</v>
      </c>
      <c r="CO2563" s="1" t="s">
        <v>516</v>
      </c>
      <c r="CP2563" s="1" t="s">
        <v>209</v>
      </c>
      <c r="CS2563" s="1" t="s">
        <v>264</v>
      </c>
      <c r="CT2563" s="1" t="s">
        <v>206</v>
      </c>
      <c r="CW2563" s="1" t="s">
        <v>5265</v>
      </c>
      <c r="CX2563" s="1" t="s">
        <v>42</v>
      </c>
      <c r="DA2563" s="1" t="s">
        <v>200</v>
      </c>
      <c r="DC2563" s="1" t="s">
        <v>1399</v>
      </c>
      <c r="DE2563" s="1" t="s">
        <v>1905</v>
      </c>
      <c r="DF2563" s="1" t="s">
        <v>619</v>
      </c>
      <c r="DH2563" s="1" t="s">
        <v>220</v>
      </c>
      <c r="DJ2563" s="1" t="s">
        <v>222</v>
      </c>
      <c r="DL2563" s="1" t="s">
        <v>11580</v>
      </c>
      <c r="DM2563" s="1" t="s">
        <v>229</v>
      </c>
      <c r="DQ2563" s="1" t="s">
        <v>228</v>
      </c>
      <c r="DR2563" s="1" t="s">
        <v>229</v>
      </c>
      <c r="DV2563" s="1" t="s">
        <v>1103</v>
      </c>
      <c r="DW2563" s="1" t="s">
        <v>279</v>
      </c>
      <c r="DX2563" s="1" t="s">
        <v>234</v>
      </c>
      <c r="EA2563" s="1" t="s">
        <v>447</v>
      </c>
      <c r="EB2563" s="1" t="s">
        <v>345</v>
      </c>
      <c r="EC2563" s="1" t="s">
        <v>237</v>
      </c>
      <c r="ED2563" s="1" t="s">
        <v>555</v>
      </c>
      <c r="EH2563" s="1" t="s">
        <v>1103</v>
      </c>
      <c r="EM2563" s="1" t="s">
        <v>238</v>
      </c>
      <c r="EP2563" s="1" t="s">
        <v>211</v>
      </c>
      <c r="EQ2563" s="1" t="s">
        <v>42</v>
      </c>
      <c r="EU2563" s="1" t="s">
        <v>238</v>
      </c>
      <c r="EY2563" s="1" t="s">
        <v>238</v>
      </c>
      <c r="FC2563" s="1" t="s">
        <v>238</v>
      </c>
      <c r="FF2563" s="1" t="s">
        <v>239</v>
      </c>
      <c r="FG2563" s="1" t="s">
        <v>192</v>
      </c>
      <c r="FH2563" s="1" t="s">
        <v>192</v>
      </c>
      <c r="FJ2563" s="1" t="s">
        <v>23055</v>
      </c>
      <c r="FK2563" s="1" t="s">
        <v>229</v>
      </c>
      <c r="FL2563" s="1" t="s">
        <v>23056</v>
      </c>
      <c r="FM2563" s="1">
        <v>12937.0</v>
      </c>
      <c r="FN2563" s="1" t="s">
        <v>23057</v>
      </c>
      <c r="FO2563" s="1" t="s">
        <v>23058</v>
      </c>
      <c r="FP2563" s="1">
        <v>878338.0</v>
      </c>
      <c r="FU2563" s="1" t="s">
        <v>23059</v>
      </c>
      <c r="FV2563" s="1" t="s">
        <v>200</v>
      </c>
      <c r="FW2563" s="1" t="s">
        <v>530</v>
      </c>
      <c r="FX2563" s="1" t="s">
        <v>655</v>
      </c>
      <c r="FZ2563" s="1" t="s">
        <v>229</v>
      </c>
      <c r="GA2563" s="1" t="s">
        <v>291</v>
      </c>
      <c r="GB2563" s="2">
        <v>42150.0</v>
      </c>
    </row>
    <row r="2564">
      <c r="A2564" s="1">
        <v>320000.0</v>
      </c>
      <c r="B2564" s="1" t="s">
        <v>185</v>
      </c>
      <c r="C2564" s="1" t="str">
        <f>"08825735"</f>
        <v>08825735</v>
      </c>
      <c r="D2564" s="1" t="s">
        <v>186</v>
      </c>
      <c r="F2564" s="1" t="str">
        <f>"8009"</f>
        <v>8009</v>
      </c>
      <c r="G2564" s="2">
        <v>42032.0</v>
      </c>
      <c r="H2564" s="1">
        <v>339000.0</v>
      </c>
      <c r="I2564" s="1">
        <v>8.0</v>
      </c>
      <c r="J2564" s="1">
        <v>339000.0</v>
      </c>
      <c r="K2564" s="2">
        <v>42037.0</v>
      </c>
      <c r="L2564" s="1">
        <v>8.0</v>
      </c>
      <c r="M2564" s="2">
        <v>42037.0</v>
      </c>
      <c r="N2564" s="1" t="s">
        <v>634</v>
      </c>
      <c r="O2564" s="2">
        <v>42090.0</v>
      </c>
      <c r="P2564" s="1">
        <v>162477.0</v>
      </c>
      <c r="Q2564" s="1">
        <v>10013.0</v>
      </c>
      <c r="S2564" s="1">
        <v>7417.0</v>
      </c>
      <c r="T2564" s="1" t="s">
        <v>13673</v>
      </c>
      <c r="U2564" s="1" t="s">
        <v>320</v>
      </c>
      <c r="V2564" s="1" t="s">
        <v>190</v>
      </c>
      <c r="W2564" s="1">
        <v>60631.0</v>
      </c>
      <c r="Y2564" s="1" t="s">
        <v>23060</v>
      </c>
      <c r="Z2564" s="1">
        <v>1954.0</v>
      </c>
      <c r="AA2564" s="1" t="s">
        <v>192</v>
      </c>
      <c r="AB2564" s="1" t="s">
        <v>193</v>
      </c>
      <c r="AD2564" s="1" t="s">
        <v>194</v>
      </c>
      <c r="AE2564" s="1" t="s">
        <v>195</v>
      </c>
      <c r="AF2564" s="1" t="s">
        <v>196</v>
      </c>
      <c r="AH2564" s="1" t="s">
        <v>779</v>
      </c>
      <c r="AI2564" s="1">
        <v>0.0861</v>
      </c>
      <c r="AK2564" s="1">
        <v>9.0</v>
      </c>
      <c r="AL2564" s="1">
        <v>3.0</v>
      </c>
      <c r="AM2564" s="1">
        <v>3.0</v>
      </c>
      <c r="AN2564" s="1">
        <v>0.0</v>
      </c>
      <c r="AO2564" s="1" t="s">
        <v>198</v>
      </c>
      <c r="AQ2564" s="1" t="s">
        <v>198</v>
      </c>
      <c r="AR2564" s="1" t="s">
        <v>192</v>
      </c>
      <c r="AS2564" s="1" t="s">
        <v>199</v>
      </c>
      <c r="AT2564" s="1">
        <v>2.0</v>
      </c>
      <c r="AV2564" s="1" t="s">
        <v>200</v>
      </c>
      <c r="AW2564" s="1">
        <v>5220.54</v>
      </c>
      <c r="AX2564" s="1">
        <v>2013.0</v>
      </c>
      <c r="AY2564" s="1" t="s">
        <v>229</v>
      </c>
      <c r="AZ2564" s="1" t="s">
        <v>200</v>
      </c>
      <c r="BA2564" s="1" t="str">
        <f>"09254030040000"</f>
        <v>09254030040000</v>
      </c>
      <c r="BB2564" s="1" t="s">
        <v>200</v>
      </c>
      <c r="BC2564" s="1">
        <v>1500.0</v>
      </c>
      <c r="BD2564" s="1">
        <v>320000.0</v>
      </c>
      <c r="BE2564" s="2">
        <v>42030.0</v>
      </c>
      <c r="BF2564" s="2" t="s">
        <v>23061</v>
      </c>
      <c r="BH2564" s="1">
        <v>0.0</v>
      </c>
      <c r="BK2564" s="1" t="s">
        <v>204</v>
      </c>
      <c r="BL2564" s="1" t="str">
        <f>"7600"</f>
        <v>7600</v>
      </c>
      <c r="BM2564" s="1" t="str">
        <f>"0"</f>
        <v>0</v>
      </c>
      <c r="BN2564" s="1">
        <v>7417.0</v>
      </c>
      <c r="BO2564" s="1">
        <v>0.0</v>
      </c>
      <c r="BQ2564" s="1">
        <v>299.0</v>
      </c>
      <c r="BR2564" s="1">
        <v>299.0</v>
      </c>
      <c r="BS2564" s="1">
        <v>299.0</v>
      </c>
      <c r="BU2564" s="1" t="s">
        <v>1517</v>
      </c>
      <c r="BV2564" s="1" t="s">
        <v>206</v>
      </c>
      <c r="BW2564" s="1" t="s">
        <v>207</v>
      </c>
      <c r="BY2564" s="1" t="s">
        <v>478</v>
      </c>
      <c r="BZ2564" s="1" t="s">
        <v>209</v>
      </c>
      <c r="CA2564" s="1" t="s">
        <v>207</v>
      </c>
      <c r="CC2564" s="1" t="s">
        <v>5295</v>
      </c>
      <c r="CD2564" s="1" t="s">
        <v>206</v>
      </c>
      <c r="CE2564" s="1" t="s">
        <v>207</v>
      </c>
      <c r="CG2564" s="1" t="s">
        <v>699</v>
      </c>
      <c r="CH2564" s="1" t="s">
        <v>209</v>
      </c>
      <c r="CI2564" s="1" t="s">
        <v>207</v>
      </c>
      <c r="CK2564" s="1" t="s">
        <v>495</v>
      </c>
      <c r="CL2564" s="1" t="s">
        <v>209</v>
      </c>
      <c r="CM2564" s="1" t="s">
        <v>207</v>
      </c>
      <c r="CO2564" s="1" t="s">
        <v>303</v>
      </c>
      <c r="CP2564" s="1" t="s">
        <v>42</v>
      </c>
      <c r="CQ2564" s="1" t="s">
        <v>210</v>
      </c>
      <c r="CS2564" s="1" t="s">
        <v>516</v>
      </c>
      <c r="CT2564" s="1" t="s">
        <v>206</v>
      </c>
      <c r="CU2564" s="1" t="s">
        <v>207</v>
      </c>
      <c r="CW2564" s="1" t="s">
        <v>12565</v>
      </c>
      <c r="CX2564" s="1" t="s">
        <v>206</v>
      </c>
      <c r="CY2564" s="1" t="s">
        <v>207</v>
      </c>
      <c r="DA2564" s="1" t="s">
        <v>200</v>
      </c>
      <c r="DC2564" s="1" t="s">
        <v>702</v>
      </c>
      <c r="DE2564" s="1" t="s">
        <v>273</v>
      </c>
      <c r="DF2564" s="1" t="s">
        <v>905</v>
      </c>
      <c r="DH2564" s="1" t="s">
        <v>365</v>
      </c>
      <c r="DJ2564" s="1" t="s">
        <v>222</v>
      </c>
      <c r="DL2564" s="1" t="s">
        <v>224</v>
      </c>
      <c r="DM2564" s="1" t="s">
        <v>229</v>
      </c>
      <c r="DQ2564" s="1" t="s">
        <v>718</v>
      </c>
      <c r="DR2564" s="1" t="s">
        <v>229</v>
      </c>
      <c r="DS2564" s="1" t="s">
        <v>277</v>
      </c>
      <c r="DV2564" s="1" t="s">
        <v>450</v>
      </c>
      <c r="DW2564" s="1" t="s">
        <v>279</v>
      </c>
      <c r="DX2564" s="1" t="s">
        <v>234</v>
      </c>
      <c r="EC2564" s="1" t="s">
        <v>237</v>
      </c>
      <c r="EG2564" s="1" t="s">
        <v>450</v>
      </c>
      <c r="EL2564" s="1" t="s">
        <v>23062</v>
      </c>
      <c r="EM2564" s="1" t="s">
        <v>42</v>
      </c>
      <c r="EN2564" s="1" t="s">
        <v>1136</v>
      </c>
      <c r="EQ2564" s="1" t="s">
        <v>238</v>
      </c>
      <c r="EU2564" s="1" t="s">
        <v>238</v>
      </c>
      <c r="EY2564" s="1" t="s">
        <v>238</v>
      </c>
      <c r="FC2564" s="1" t="s">
        <v>238</v>
      </c>
      <c r="FF2564" s="1" t="s">
        <v>2447</v>
      </c>
      <c r="FG2564" s="1" t="s">
        <v>192</v>
      </c>
      <c r="FH2564" s="1" t="s">
        <v>192</v>
      </c>
      <c r="FJ2564" s="1" t="s">
        <v>524</v>
      </c>
      <c r="FK2564" s="1" t="s">
        <v>229</v>
      </c>
      <c r="FL2564" s="1" t="s">
        <v>23063</v>
      </c>
      <c r="FM2564" s="1">
        <v>85465.0</v>
      </c>
      <c r="FN2564" s="1" t="s">
        <v>23064</v>
      </c>
      <c r="FO2564" s="1" t="s">
        <v>23063</v>
      </c>
      <c r="FP2564" s="1">
        <v>102842.0</v>
      </c>
      <c r="FU2564" s="1" t="s">
        <v>23065</v>
      </c>
      <c r="FV2564" s="1" t="s">
        <v>200</v>
      </c>
      <c r="FW2564" s="1" t="s">
        <v>8260</v>
      </c>
      <c r="FX2564" s="1" t="s">
        <v>246</v>
      </c>
      <c r="FZ2564" s="1" t="s">
        <v>229</v>
      </c>
      <c r="GA2564" s="1" t="s">
        <v>291</v>
      </c>
      <c r="GB2564" s="2">
        <v>42090.0</v>
      </c>
      <c r="GC2564" s="1" t="s">
        <v>23065</v>
      </c>
    </row>
    <row r="2565">
      <c r="A2565" s="1">
        <v>225000.0</v>
      </c>
      <c r="B2565" s="1" t="s">
        <v>185</v>
      </c>
      <c r="C2565" s="1" t="str">
        <f>"08818394"</f>
        <v>08818394</v>
      </c>
      <c r="D2565" s="1" t="s">
        <v>186</v>
      </c>
      <c r="F2565" s="1" t="str">
        <f>"543"</f>
        <v>543</v>
      </c>
      <c r="G2565" s="2">
        <v>42020.0</v>
      </c>
      <c r="H2565" s="1">
        <v>239900.0</v>
      </c>
      <c r="I2565" s="1">
        <v>86.0</v>
      </c>
      <c r="J2565" s="1">
        <v>229900.0</v>
      </c>
      <c r="K2565" s="2">
        <v>42089.0</v>
      </c>
      <c r="L2565" s="1">
        <v>70.0</v>
      </c>
      <c r="M2565" s="2">
        <v>42089.0</v>
      </c>
      <c r="N2565" s="1" t="s">
        <v>187</v>
      </c>
      <c r="O2565" s="2">
        <v>42130.0</v>
      </c>
      <c r="P2565" s="1">
        <v>231970.0</v>
      </c>
      <c r="Q2565" s="1">
        <v>23030.0</v>
      </c>
      <c r="S2565" s="1">
        <v>203.0</v>
      </c>
      <c r="T2565" s="1" t="s">
        <v>23066</v>
      </c>
      <c r="U2565" s="1" t="s">
        <v>569</v>
      </c>
      <c r="V2565" s="1" t="s">
        <v>1527</v>
      </c>
      <c r="W2565" s="1">
        <v>60543.0</v>
      </c>
      <c r="Y2565" s="1" t="s">
        <v>23067</v>
      </c>
      <c r="Z2565" s="1">
        <v>1994.0</v>
      </c>
      <c r="AA2565" s="1" t="s">
        <v>200</v>
      </c>
      <c r="AB2565" s="1" t="s">
        <v>193</v>
      </c>
      <c r="AD2565" s="1" t="s">
        <v>1529</v>
      </c>
      <c r="AE2565" s="1" t="s">
        <v>849</v>
      </c>
      <c r="AF2565" s="1" t="s">
        <v>1529</v>
      </c>
      <c r="AH2565" s="1" t="s">
        <v>23068</v>
      </c>
      <c r="AI2565" s="1">
        <v>0.2076</v>
      </c>
      <c r="AK2565" s="1">
        <v>8.0</v>
      </c>
      <c r="AL2565" s="1">
        <v>4.0</v>
      </c>
      <c r="AM2565" s="1">
        <v>2.0</v>
      </c>
      <c r="AN2565" s="1">
        <v>1.0</v>
      </c>
      <c r="AO2565" s="1" t="s">
        <v>198</v>
      </c>
      <c r="AP2565" s="1">
        <v>1.0</v>
      </c>
      <c r="AQ2565" s="1" t="s">
        <v>198</v>
      </c>
      <c r="AR2565" s="1" t="s">
        <v>200</v>
      </c>
      <c r="AS2565" s="1" t="s">
        <v>199</v>
      </c>
      <c r="AT2565" s="1">
        <v>3.0</v>
      </c>
      <c r="AV2565" s="1" t="s">
        <v>200</v>
      </c>
      <c r="AW2565" s="1">
        <v>7180.86</v>
      </c>
      <c r="AX2565" s="1">
        <v>2013.0</v>
      </c>
      <c r="AZ2565" s="1" t="s">
        <v>200</v>
      </c>
      <c r="BA2565" s="1" t="str">
        <f>"0309223016"</f>
        <v>0309223016</v>
      </c>
      <c r="BB2565" s="1" t="s">
        <v>200</v>
      </c>
      <c r="BC2565" s="1">
        <v>2044.0</v>
      </c>
      <c r="BD2565" s="1">
        <v>225000.0</v>
      </c>
      <c r="BE2565" s="2">
        <v>42020.0</v>
      </c>
      <c r="BF2565" s="2" t="s">
        <v>23069</v>
      </c>
      <c r="BG2565" s="1" t="s">
        <v>4366</v>
      </c>
      <c r="BH2565" s="1">
        <v>0.0</v>
      </c>
      <c r="BI2565" s="1" t="s">
        <v>1348</v>
      </c>
      <c r="BJ2565" s="1" t="s">
        <v>1349</v>
      </c>
      <c r="BK2565" s="1" t="s">
        <v>204</v>
      </c>
      <c r="BL2565" s="1" t="str">
        <f t="shared" ref="BL2565:BM2565" si="1676">""</f>
        <v/>
      </c>
      <c r="BM2565" s="1" t="str">
        <f t="shared" si="1676"/>
        <v/>
      </c>
      <c r="BQ2565" s="1">
        <v>308.0</v>
      </c>
      <c r="BR2565" s="1">
        <v>308.0</v>
      </c>
      <c r="BS2565" s="1">
        <v>308.0</v>
      </c>
      <c r="BU2565" s="1" t="s">
        <v>1299</v>
      </c>
      <c r="BV2565" s="1" t="s">
        <v>206</v>
      </c>
      <c r="BW2565" s="1" t="s">
        <v>207</v>
      </c>
      <c r="BY2565" s="1" t="s">
        <v>1064</v>
      </c>
      <c r="BZ2565" s="1" t="s">
        <v>209</v>
      </c>
      <c r="CA2565" s="1" t="s">
        <v>210</v>
      </c>
      <c r="CC2565" s="1" t="s">
        <v>1351</v>
      </c>
      <c r="CD2565" s="1" t="s">
        <v>206</v>
      </c>
      <c r="CE2565" s="1" t="s">
        <v>207</v>
      </c>
      <c r="CF2565" s="1" t="s">
        <v>229</v>
      </c>
      <c r="CG2565" s="1" t="s">
        <v>269</v>
      </c>
      <c r="CH2565" s="1" t="s">
        <v>209</v>
      </c>
      <c r="CI2565" s="1" t="s">
        <v>210</v>
      </c>
      <c r="CK2565" s="1" t="s">
        <v>303</v>
      </c>
      <c r="CL2565" s="1" t="s">
        <v>209</v>
      </c>
      <c r="CM2565" s="1" t="s">
        <v>210</v>
      </c>
      <c r="CO2565" s="1" t="s">
        <v>1352</v>
      </c>
      <c r="CP2565" s="1" t="s">
        <v>209</v>
      </c>
      <c r="CQ2565" s="1" t="s">
        <v>210</v>
      </c>
      <c r="CS2565" s="1" t="s">
        <v>1519</v>
      </c>
      <c r="CT2565" s="1" t="s">
        <v>206</v>
      </c>
      <c r="CU2565" s="1" t="s">
        <v>207</v>
      </c>
      <c r="CW2565" s="1" t="s">
        <v>1417</v>
      </c>
      <c r="CX2565" s="1" t="s">
        <v>206</v>
      </c>
      <c r="CY2565" s="1" t="s">
        <v>210</v>
      </c>
      <c r="DA2565" s="1" t="s">
        <v>200</v>
      </c>
      <c r="DC2565" s="1" t="s">
        <v>435</v>
      </c>
      <c r="DE2565" s="1" t="s">
        <v>273</v>
      </c>
      <c r="DF2565" s="1" t="s">
        <v>219</v>
      </c>
      <c r="DG2565" s="1" t="s">
        <v>23070</v>
      </c>
      <c r="DH2565" s="1" t="s">
        <v>220</v>
      </c>
      <c r="DJ2565" s="1" t="s">
        <v>222</v>
      </c>
      <c r="DK2565" s="1" t="s">
        <v>223</v>
      </c>
      <c r="DL2565" s="1" t="s">
        <v>223</v>
      </c>
      <c r="DM2565" s="1" t="s">
        <v>229</v>
      </c>
      <c r="DN2565" s="1" t="s">
        <v>339</v>
      </c>
      <c r="DP2565" s="1" t="s">
        <v>340</v>
      </c>
      <c r="DQ2565" s="1" t="s">
        <v>228</v>
      </c>
      <c r="DR2565" s="1" t="s">
        <v>229</v>
      </c>
      <c r="DS2565" s="1" t="s">
        <v>591</v>
      </c>
      <c r="DV2565" s="1" t="s">
        <v>232</v>
      </c>
      <c r="DW2565" s="1" t="s">
        <v>2602</v>
      </c>
      <c r="DX2565" s="1" t="s">
        <v>234</v>
      </c>
      <c r="DY2565" s="1" t="s">
        <v>1006</v>
      </c>
      <c r="EB2565" s="1" t="s">
        <v>8204</v>
      </c>
      <c r="EC2565" s="1" t="s">
        <v>237</v>
      </c>
      <c r="ED2565" s="1" t="s">
        <v>1406</v>
      </c>
      <c r="EM2565" s="1" t="s">
        <v>238</v>
      </c>
      <c r="EQ2565" s="1" t="s">
        <v>238</v>
      </c>
      <c r="EU2565" s="1" t="s">
        <v>238</v>
      </c>
      <c r="EY2565" s="1" t="s">
        <v>238</v>
      </c>
      <c r="FC2565" s="1" t="s">
        <v>238</v>
      </c>
      <c r="FF2565" s="1" t="s">
        <v>239</v>
      </c>
      <c r="FG2565" s="1" t="s">
        <v>200</v>
      </c>
      <c r="FH2565" s="1" t="s">
        <v>192</v>
      </c>
      <c r="FJ2565" s="1" t="s">
        <v>524</v>
      </c>
      <c r="FK2565" s="1" t="s">
        <v>229</v>
      </c>
      <c r="FL2565" s="1" t="s">
        <v>11800</v>
      </c>
      <c r="FM2565" s="1">
        <v>25769.0</v>
      </c>
      <c r="FN2565" s="1" t="s">
        <v>11801</v>
      </c>
      <c r="FO2565" s="1" t="s">
        <v>23071</v>
      </c>
      <c r="FP2565" s="1">
        <v>243555.0</v>
      </c>
      <c r="FQ2565" s="1" t="s">
        <v>23072</v>
      </c>
      <c r="FS2565" s="1" t="s">
        <v>23073</v>
      </c>
      <c r="FU2565" s="1" t="s">
        <v>353</v>
      </c>
      <c r="FV2565" s="1" t="s">
        <v>200</v>
      </c>
      <c r="FW2565" s="1" t="s">
        <v>23074</v>
      </c>
      <c r="FZ2565" s="1" t="s">
        <v>229</v>
      </c>
      <c r="GA2565" s="1" t="s">
        <v>291</v>
      </c>
      <c r="GB2565" s="2">
        <v>42130.0</v>
      </c>
      <c r="GC2565" s="1" t="s">
        <v>23075</v>
      </c>
    </row>
    <row r="2566">
      <c r="A2566" s="1">
        <v>55000.0</v>
      </c>
      <c r="B2566" s="1" t="s">
        <v>185</v>
      </c>
      <c r="C2566" s="1" t="str">
        <f>"08820713"</f>
        <v>08820713</v>
      </c>
      <c r="D2566" s="1" t="s">
        <v>186</v>
      </c>
      <c r="F2566" s="1" t="str">
        <f>"8071"</f>
        <v>8071</v>
      </c>
      <c r="G2566" s="2">
        <v>42025.0</v>
      </c>
      <c r="H2566" s="1">
        <v>65900.0</v>
      </c>
      <c r="I2566" s="1">
        <v>245.0</v>
      </c>
      <c r="J2566" s="1">
        <v>61000.0</v>
      </c>
      <c r="K2566" s="2">
        <v>42093.0</v>
      </c>
      <c r="L2566" s="1">
        <v>69.0</v>
      </c>
      <c r="M2566" s="2">
        <v>42093.0</v>
      </c>
      <c r="N2566" s="1" t="s">
        <v>249</v>
      </c>
      <c r="O2566" s="2">
        <v>42122.0</v>
      </c>
      <c r="P2566" s="1">
        <v>242907.0</v>
      </c>
      <c r="Q2566" s="1">
        <v>25200.0</v>
      </c>
      <c r="S2566" s="1">
        <v>8803.0</v>
      </c>
      <c r="T2566" s="1" t="s">
        <v>23076</v>
      </c>
      <c r="U2566" s="1" t="s">
        <v>189</v>
      </c>
      <c r="V2566" s="1" t="s">
        <v>190</v>
      </c>
      <c r="W2566" s="1">
        <v>60620.0</v>
      </c>
      <c r="Y2566" s="1" t="s">
        <v>23077</v>
      </c>
      <c r="Z2566" s="1">
        <v>1924.0</v>
      </c>
      <c r="AA2566" s="1" t="s">
        <v>192</v>
      </c>
      <c r="AB2566" s="1" t="s">
        <v>193</v>
      </c>
      <c r="AD2566" s="1" t="s">
        <v>194</v>
      </c>
      <c r="AE2566" s="1" t="s">
        <v>195</v>
      </c>
      <c r="AF2566" s="1" t="s">
        <v>637</v>
      </c>
      <c r="AH2566" s="1" t="s">
        <v>741</v>
      </c>
      <c r="AI2566" s="1">
        <v>0.0758</v>
      </c>
      <c r="AK2566" s="1">
        <v>7.0</v>
      </c>
      <c r="AL2566" s="1">
        <v>4.0</v>
      </c>
      <c r="AM2566" s="1">
        <v>1.0</v>
      </c>
      <c r="AN2566" s="1">
        <v>1.0</v>
      </c>
      <c r="AO2566" s="1" t="s">
        <v>229</v>
      </c>
      <c r="AQ2566" s="1" t="s">
        <v>198</v>
      </c>
      <c r="AR2566" s="1" t="s">
        <v>192</v>
      </c>
      <c r="AS2566" s="1" t="s">
        <v>199</v>
      </c>
      <c r="AT2566" s="1">
        <v>1.0</v>
      </c>
      <c r="AV2566" s="1" t="s">
        <v>200</v>
      </c>
      <c r="AW2566" s="1">
        <v>1893.54</v>
      </c>
      <c r="AX2566" s="1">
        <v>2013.0</v>
      </c>
      <c r="AZ2566" s="1" t="s">
        <v>200</v>
      </c>
      <c r="BA2566" s="1" t="str">
        <f>"25041090020000"</f>
        <v>25041090020000</v>
      </c>
      <c r="BC2566" s="1">
        <v>1700.0</v>
      </c>
      <c r="BD2566" s="1">
        <v>55000.0</v>
      </c>
      <c r="BE2566" s="2">
        <v>42025.0</v>
      </c>
      <c r="BF2566" s="1" t="s">
        <v>23078</v>
      </c>
      <c r="BH2566" s="1">
        <v>0.0</v>
      </c>
      <c r="BK2566" s="1" t="s">
        <v>204</v>
      </c>
      <c r="BL2566" s="1" t="str">
        <f t="shared" ref="BL2566:BM2566" si="1677">"0"</f>
        <v>0</v>
      </c>
      <c r="BM2566" s="1" t="str">
        <f t="shared" si="1677"/>
        <v>0</v>
      </c>
      <c r="BN2566" s="1">
        <v>700.0</v>
      </c>
      <c r="BO2566" s="1">
        <v>8803.0</v>
      </c>
      <c r="BQ2566" s="1">
        <v>299.0</v>
      </c>
      <c r="BR2566" s="1">
        <v>299.0</v>
      </c>
      <c r="BS2566" s="1">
        <v>299.0</v>
      </c>
      <c r="BU2566" s="1" t="s">
        <v>924</v>
      </c>
      <c r="BV2566" s="1" t="s">
        <v>206</v>
      </c>
      <c r="BY2566" s="1" t="s">
        <v>215</v>
      </c>
      <c r="BZ2566" s="1" t="s">
        <v>206</v>
      </c>
      <c r="CC2566" s="1" t="s">
        <v>454</v>
      </c>
      <c r="CD2566" s="1" t="s">
        <v>206</v>
      </c>
      <c r="CG2566" s="1" t="s">
        <v>433</v>
      </c>
      <c r="CH2566" s="1" t="s">
        <v>206</v>
      </c>
      <c r="CK2566" s="1" t="s">
        <v>269</v>
      </c>
      <c r="CL2566" s="1" t="s">
        <v>209</v>
      </c>
      <c r="CO2566" s="1" t="s">
        <v>454</v>
      </c>
      <c r="CP2566" s="1" t="s">
        <v>209</v>
      </c>
      <c r="CS2566" s="1" t="s">
        <v>433</v>
      </c>
      <c r="CT2566" s="1" t="s">
        <v>206</v>
      </c>
      <c r="CX2566" s="1" t="s">
        <v>204</v>
      </c>
      <c r="DA2566" s="1" t="s">
        <v>200</v>
      </c>
      <c r="DC2566" s="1" t="s">
        <v>216</v>
      </c>
      <c r="DE2566" s="1" t="s">
        <v>229</v>
      </c>
      <c r="DF2566" s="1" t="s">
        <v>619</v>
      </c>
      <c r="DH2566" s="1" t="s">
        <v>220</v>
      </c>
      <c r="DJ2566" s="1" t="s">
        <v>222</v>
      </c>
      <c r="DL2566" s="1" t="s">
        <v>858</v>
      </c>
      <c r="DM2566" s="1" t="s">
        <v>229</v>
      </c>
      <c r="DQ2566" s="1" t="s">
        <v>228</v>
      </c>
      <c r="DR2566" s="1" t="s">
        <v>229</v>
      </c>
      <c r="DV2566" s="1" t="s">
        <v>232</v>
      </c>
      <c r="DW2566" s="1" t="s">
        <v>279</v>
      </c>
      <c r="DX2566" s="1" t="s">
        <v>234</v>
      </c>
      <c r="EC2566" s="1" t="s">
        <v>237</v>
      </c>
      <c r="EM2566" s="1" t="s">
        <v>238</v>
      </c>
      <c r="EQ2566" s="1" t="s">
        <v>238</v>
      </c>
      <c r="EU2566" s="1" t="s">
        <v>238</v>
      </c>
      <c r="EY2566" s="1" t="s">
        <v>238</v>
      </c>
      <c r="FC2566" s="1" t="s">
        <v>238</v>
      </c>
      <c r="FF2566" s="1" t="s">
        <v>239</v>
      </c>
      <c r="FG2566" s="1" t="s">
        <v>192</v>
      </c>
      <c r="FH2566" s="1" t="s">
        <v>192</v>
      </c>
      <c r="FJ2566" s="1" t="s">
        <v>14589</v>
      </c>
      <c r="FK2566" s="1" t="s">
        <v>229</v>
      </c>
      <c r="FL2566" s="1" t="s">
        <v>9531</v>
      </c>
      <c r="FM2566" s="1">
        <v>61153.0</v>
      </c>
      <c r="FN2566" s="1" t="s">
        <v>9532</v>
      </c>
      <c r="FO2566" s="1" t="s">
        <v>23079</v>
      </c>
      <c r="FP2566" s="1">
        <v>237283.0</v>
      </c>
      <c r="FQ2566" s="1" t="s">
        <v>23080</v>
      </c>
      <c r="FU2566" s="1" t="s">
        <v>23081</v>
      </c>
      <c r="FV2566" s="1" t="s">
        <v>200</v>
      </c>
      <c r="FW2566" s="1" t="s">
        <v>530</v>
      </c>
      <c r="FX2566" s="1" t="s">
        <v>655</v>
      </c>
      <c r="FZ2566" s="1" t="s">
        <v>229</v>
      </c>
      <c r="GA2566" s="1" t="s">
        <v>291</v>
      </c>
      <c r="GB2566" s="2">
        <v>42123.0</v>
      </c>
      <c r="GC2566" s="1" t="s">
        <v>23082</v>
      </c>
    </row>
    <row r="2567">
      <c r="A2567" s="1">
        <v>14500.0</v>
      </c>
      <c r="B2567" s="1" t="s">
        <v>185</v>
      </c>
      <c r="C2567" s="1" t="str">
        <f>"08819364"</f>
        <v>08819364</v>
      </c>
      <c r="D2567" s="1" t="s">
        <v>186</v>
      </c>
      <c r="F2567" s="1" t="str">
        <f>"8067"</f>
        <v>8067</v>
      </c>
      <c r="G2567" s="2">
        <v>42023.0</v>
      </c>
      <c r="H2567" s="1">
        <v>12900.0</v>
      </c>
      <c r="I2567" s="1">
        <v>33.0</v>
      </c>
      <c r="J2567" s="1">
        <v>12900.0</v>
      </c>
      <c r="K2567" s="2">
        <v>42055.0</v>
      </c>
      <c r="L2567" s="1">
        <v>33.0</v>
      </c>
      <c r="M2567" s="2">
        <v>42055.0</v>
      </c>
      <c r="N2567" s="1" t="s">
        <v>249</v>
      </c>
      <c r="O2567" s="2">
        <v>42076.0</v>
      </c>
      <c r="P2567" s="1">
        <v>877423.0</v>
      </c>
      <c r="Q2567" s="1">
        <v>85208.0</v>
      </c>
      <c r="S2567" s="1">
        <v>6512.0</v>
      </c>
      <c r="T2567" s="1" t="s">
        <v>15903</v>
      </c>
      <c r="U2567" s="1" t="s">
        <v>189</v>
      </c>
      <c r="V2567" s="1" t="s">
        <v>190</v>
      </c>
      <c r="W2567" s="1">
        <v>60636.0</v>
      </c>
      <c r="Y2567" s="1" t="s">
        <v>23083</v>
      </c>
      <c r="Z2567" s="1">
        <v>1907.0</v>
      </c>
      <c r="AA2567" s="1" t="s">
        <v>192</v>
      </c>
      <c r="AB2567" s="1" t="s">
        <v>193</v>
      </c>
      <c r="AD2567" s="1" t="s">
        <v>194</v>
      </c>
      <c r="AE2567" s="1" t="s">
        <v>195</v>
      </c>
      <c r="AF2567" s="1" t="s">
        <v>659</v>
      </c>
      <c r="AH2567" s="1">
        <v>3125.0</v>
      </c>
      <c r="AI2567" s="1">
        <v>0.0717</v>
      </c>
      <c r="AK2567" s="1">
        <v>6.0</v>
      </c>
      <c r="AL2567" s="1">
        <v>4.0</v>
      </c>
      <c r="AM2567" s="1">
        <v>1.0</v>
      </c>
      <c r="AN2567" s="1">
        <v>1.0</v>
      </c>
      <c r="AO2567" s="1" t="s">
        <v>229</v>
      </c>
      <c r="AQ2567" s="1" t="s">
        <v>198</v>
      </c>
      <c r="AR2567" s="1" t="s">
        <v>200</v>
      </c>
      <c r="AS2567" s="1" t="s">
        <v>828</v>
      </c>
      <c r="AU2567" s="1">
        <v>2.0</v>
      </c>
      <c r="AV2567" s="1" t="s">
        <v>200</v>
      </c>
      <c r="AW2567" s="1">
        <v>1243.57</v>
      </c>
      <c r="AX2567" s="1">
        <v>2012.0</v>
      </c>
      <c r="AZ2567" s="1" t="s">
        <v>200</v>
      </c>
      <c r="BA2567" s="1" t="str">
        <f>"20191220290000"</f>
        <v>20191220290000</v>
      </c>
      <c r="BC2567" s="1">
        <v>885.0</v>
      </c>
      <c r="BD2567" s="1">
        <v>14500.0</v>
      </c>
      <c r="BE2567" s="2">
        <v>42023.0</v>
      </c>
      <c r="BF2567" s="1" t="s">
        <v>23084</v>
      </c>
      <c r="BH2567" s="1">
        <v>0.0</v>
      </c>
      <c r="BK2567" s="1" t="s">
        <v>204</v>
      </c>
      <c r="BL2567" s="1" t="str">
        <f t="shared" ref="BL2567:BM2567" si="1678">"0"</f>
        <v>0</v>
      </c>
      <c r="BM2567" s="1" t="str">
        <f t="shared" si="1678"/>
        <v>0</v>
      </c>
      <c r="BN2567" s="1">
        <v>2000.0</v>
      </c>
      <c r="BO2567" s="1">
        <v>6512.0</v>
      </c>
      <c r="BQ2567" s="1">
        <v>299.0</v>
      </c>
      <c r="BR2567" s="1">
        <v>299.0</v>
      </c>
      <c r="BS2567" s="1">
        <v>299.0</v>
      </c>
      <c r="BU2567" s="1" t="s">
        <v>2035</v>
      </c>
      <c r="BV2567" s="1" t="s">
        <v>206</v>
      </c>
      <c r="BY2567" s="1" t="s">
        <v>265</v>
      </c>
      <c r="BZ2567" s="1" t="s">
        <v>206</v>
      </c>
      <c r="CD2567" s="1" t="s">
        <v>204</v>
      </c>
      <c r="CG2567" s="1" t="s">
        <v>1760</v>
      </c>
      <c r="CH2567" s="1" t="s">
        <v>209</v>
      </c>
      <c r="CK2567" s="1" t="s">
        <v>478</v>
      </c>
      <c r="CL2567" s="1" t="s">
        <v>209</v>
      </c>
      <c r="CO2567" s="1" t="s">
        <v>1483</v>
      </c>
      <c r="CP2567" s="1" t="s">
        <v>209</v>
      </c>
      <c r="CS2567" s="1" t="s">
        <v>699</v>
      </c>
      <c r="CT2567" s="1" t="s">
        <v>206</v>
      </c>
      <c r="CX2567" s="1" t="s">
        <v>204</v>
      </c>
      <c r="DA2567" s="1" t="s">
        <v>200</v>
      </c>
      <c r="DC2567" s="1" t="s">
        <v>642</v>
      </c>
      <c r="DE2567" s="1" t="s">
        <v>229</v>
      </c>
      <c r="DF2567" s="1" t="s">
        <v>619</v>
      </c>
      <c r="DH2567" s="1" t="s">
        <v>220</v>
      </c>
      <c r="DJ2567" s="1" t="s">
        <v>222</v>
      </c>
      <c r="DL2567" s="1" t="s">
        <v>223</v>
      </c>
      <c r="DM2567" s="1" t="s">
        <v>229</v>
      </c>
      <c r="DQ2567" s="1" t="s">
        <v>228</v>
      </c>
      <c r="DR2567" s="1" t="s">
        <v>229</v>
      </c>
      <c r="DV2567" s="1" t="s">
        <v>232</v>
      </c>
      <c r="DW2567" s="1" t="s">
        <v>370</v>
      </c>
      <c r="DX2567" s="1" t="s">
        <v>234</v>
      </c>
      <c r="EC2567" s="1" t="s">
        <v>645</v>
      </c>
      <c r="EM2567" s="1" t="s">
        <v>238</v>
      </c>
      <c r="EQ2567" s="1" t="s">
        <v>238</v>
      </c>
      <c r="EU2567" s="1" t="s">
        <v>238</v>
      </c>
      <c r="EY2567" s="1" t="s">
        <v>238</v>
      </c>
      <c r="FC2567" s="1" t="s">
        <v>238</v>
      </c>
      <c r="FF2567" s="1" t="s">
        <v>239</v>
      </c>
      <c r="FG2567" s="1" t="s">
        <v>192</v>
      </c>
      <c r="FH2567" s="1" t="s">
        <v>192</v>
      </c>
      <c r="FJ2567" s="1" t="s">
        <v>1674</v>
      </c>
      <c r="FK2567" s="1" t="s">
        <v>229</v>
      </c>
      <c r="FL2567" s="1" t="s">
        <v>3272</v>
      </c>
      <c r="FM2567" s="1">
        <v>12511.0</v>
      </c>
      <c r="FN2567" s="1" t="s">
        <v>3273</v>
      </c>
      <c r="FO2567" s="1" t="s">
        <v>3274</v>
      </c>
      <c r="FP2567" s="1">
        <v>121408.0</v>
      </c>
      <c r="FQ2567" s="1" t="s">
        <v>3275</v>
      </c>
      <c r="FU2567" s="1" t="s">
        <v>3276</v>
      </c>
      <c r="FV2567" s="1" t="s">
        <v>200</v>
      </c>
      <c r="FW2567" s="1" t="s">
        <v>1307</v>
      </c>
      <c r="FX2567" s="1" t="s">
        <v>655</v>
      </c>
      <c r="FZ2567" s="1" t="s">
        <v>229</v>
      </c>
      <c r="GA2567" s="1" t="s">
        <v>291</v>
      </c>
      <c r="GB2567" s="2">
        <v>42079.0</v>
      </c>
      <c r="GC2567" s="1" t="s">
        <v>23085</v>
      </c>
    </row>
    <row r="2568">
      <c r="A2568" s="1">
        <v>185000.0</v>
      </c>
      <c r="B2568" s="1" t="s">
        <v>185</v>
      </c>
      <c r="C2568" s="1" t="str">
        <f>"08818328"</f>
        <v>08818328</v>
      </c>
      <c r="D2568" s="1" t="s">
        <v>186</v>
      </c>
      <c r="F2568" s="1" t="str">
        <f>"538"</f>
        <v>538</v>
      </c>
      <c r="G2568" s="2">
        <v>42020.0</v>
      </c>
      <c r="H2568" s="1">
        <v>185000.0</v>
      </c>
      <c r="I2568" s="1">
        <v>5.0</v>
      </c>
      <c r="J2568" s="1">
        <v>185000.0</v>
      </c>
      <c r="K2568" s="2">
        <v>42024.0</v>
      </c>
      <c r="L2568" s="1">
        <v>5.0</v>
      </c>
      <c r="M2568" s="2">
        <v>42024.0</v>
      </c>
      <c r="N2568" s="1" t="s">
        <v>187</v>
      </c>
      <c r="O2568" s="2">
        <v>42103.0</v>
      </c>
      <c r="P2568" s="1">
        <v>8753.0</v>
      </c>
      <c r="Q2568" s="1">
        <v>107.0</v>
      </c>
      <c r="S2568" s="1">
        <v>5.0</v>
      </c>
      <c r="T2568" s="1" t="s">
        <v>23086</v>
      </c>
      <c r="U2568" s="1" t="s">
        <v>569</v>
      </c>
      <c r="V2568" s="1" t="s">
        <v>1340</v>
      </c>
      <c r="W2568" s="1">
        <v>60538.0</v>
      </c>
      <c r="Y2568" s="1" t="s">
        <v>23087</v>
      </c>
      <c r="Z2568" s="1">
        <v>1987.0</v>
      </c>
      <c r="AA2568" s="1" t="s">
        <v>200</v>
      </c>
      <c r="AB2568" s="1" t="s">
        <v>193</v>
      </c>
      <c r="AC2568" s="1" t="s">
        <v>2308</v>
      </c>
      <c r="AD2568" s="1" t="s">
        <v>1343</v>
      </c>
      <c r="AE2568" s="1" t="s">
        <v>849</v>
      </c>
      <c r="AF2568" s="1" t="s">
        <v>1529</v>
      </c>
      <c r="AH2568" s="1" t="s">
        <v>23088</v>
      </c>
      <c r="AK2568" s="1">
        <v>9.0</v>
      </c>
      <c r="AL2568" s="1">
        <v>4.0</v>
      </c>
      <c r="AM2568" s="1">
        <v>2.0</v>
      </c>
      <c r="AN2568" s="1">
        <v>1.0</v>
      </c>
      <c r="AO2568" s="1" t="s">
        <v>198</v>
      </c>
      <c r="AP2568" s="1">
        <v>1.0</v>
      </c>
      <c r="AQ2568" s="1" t="s">
        <v>1314</v>
      </c>
      <c r="AR2568" s="1" t="s">
        <v>200</v>
      </c>
      <c r="AS2568" s="1" t="s">
        <v>199</v>
      </c>
      <c r="AT2568" s="1">
        <v>2.0</v>
      </c>
      <c r="AV2568" s="1" t="s">
        <v>200</v>
      </c>
      <c r="AW2568" s="1">
        <v>5492.0</v>
      </c>
      <c r="AX2568" s="1">
        <v>2013.0</v>
      </c>
      <c r="AY2568" s="1" t="s">
        <v>387</v>
      </c>
      <c r="AZ2568" s="1" t="s">
        <v>200</v>
      </c>
      <c r="BA2568" s="1" t="str">
        <f>"0304256005"</f>
        <v>0304256005</v>
      </c>
      <c r="BC2568" s="1">
        <v>1807.0</v>
      </c>
      <c r="BD2568" s="1">
        <v>185000.0</v>
      </c>
      <c r="BE2568" s="2">
        <v>42020.0</v>
      </c>
      <c r="BF2568" s="2" t="s">
        <v>23089</v>
      </c>
      <c r="BH2568" s="1">
        <v>0.0</v>
      </c>
      <c r="BK2568" s="1" t="s">
        <v>204</v>
      </c>
      <c r="BL2568" s="1" t="str">
        <f t="shared" ref="BL2568:BM2568" si="1679">""</f>
        <v/>
      </c>
      <c r="BM2568" s="1" t="str">
        <f t="shared" si="1679"/>
        <v/>
      </c>
      <c r="BQ2568" s="1">
        <v>308.0</v>
      </c>
      <c r="BR2568" s="1">
        <v>308.0</v>
      </c>
      <c r="BS2568" s="1">
        <v>308.0</v>
      </c>
      <c r="BU2568" s="1" t="s">
        <v>784</v>
      </c>
      <c r="BV2568" s="1" t="s">
        <v>206</v>
      </c>
      <c r="BW2568" s="1" t="s">
        <v>210</v>
      </c>
      <c r="BX2568" s="1" t="s">
        <v>239</v>
      </c>
      <c r="BY2568" s="1" t="s">
        <v>262</v>
      </c>
      <c r="BZ2568" s="1" t="s">
        <v>209</v>
      </c>
      <c r="CA2568" s="1" t="s">
        <v>210</v>
      </c>
      <c r="CB2568" s="1" t="s">
        <v>239</v>
      </c>
      <c r="CC2568" s="1" t="s">
        <v>699</v>
      </c>
      <c r="CD2568" s="1" t="s">
        <v>206</v>
      </c>
      <c r="CE2568" s="1" t="s">
        <v>210</v>
      </c>
      <c r="CF2568" s="1" t="s">
        <v>239</v>
      </c>
      <c r="CG2568" s="1" t="s">
        <v>332</v>
      </c>
      <c r="CH2568" s="1" t="s">
        <v>209</v>
      </c>
      <c r="CI2568" s="1" t="s">
        <v>210</v>
      </c>
      <c r="CJ2568" s="1" t="s">
        <v>239</v>
      </c>
      <c r="CK2568" s="1" t="s">
        <v>495</v>
      </c>
      <c r="CL2568" s="1" t="s">
        <v>209</v>
      </c>
      <c r="CM2568" s="1" t="s">
        <v>210</v>
      </c>
      <c r="CN2568" s="1" t="s">
        <v>239</v>
      </c>
      <c r="CO2568" s="1" t="s">
        <v>269</v>
      </c>
      <c r="CP2568" s="1" t="s">
        <v>209</v>
      </c>
      <c r="CQ2568" s="1" t="s">
        <v>210</v>
      </c>
      <c r="CR2568" s="1" t="s">
        <v>239</v>
      </c>
      <c r="CS2568" s="1" t="s">
        <v>495</v>
      </c>
      <c r="CT2568" s="1" t="s">
        <v>206</v>
      </c>
      <c r="CU2568" s="1" t="s">
        <v>207</v>
      </c>
      <c r="CV2568" s="1" t="s">
        <v>239</v>
      </c>
      <c r="CW2568" s="1" t="s">
        <v>12287</v>
      </c>
      <c r="CX2568" s="1" t="s">
        <v>206</v>
      </c>
      <c r="CY2568" s="1" t="s">
        <v>210</v>
      </c>
      <c r="CZ2568" s="1" t="s">
        <v>239</v>
      </c>
      <c r="DA2568" s="1" t="s">
        <v>200</v>
      </c>
      <c r="DC2568" s="1" t="s">
        <v>305</v>
      </c>
      <c r="DD2568" s="1" t="s">
        <v>396</v>
      </c>
      <c r="DE2568" s="1" t="s">
        <v>273</v>
      </c>
      <c r="DF2568" s="1" t="s">
        <v>219</v>
      </c>
      <c r="DH2568" s="1" t="s">
        <v>1603</v>
      </c>
      <c r="DI2568" s="1" t="s">
        <v>23090</v>
      </c>
      <c r="DJ2568" s="1" t="s">
        <v>222</v>
      </c>
      <c r="DL2568" s="1" t="s">
        <v>223</v>
      </c>
      <c r="DM2568" s="1" t="s">
        <v>229</v>
      </c>
      <c r="DP2568" s="1" t="s">
        <v>340</v>
      </c>
      <c r="DQ2568" s="1" t="s">
        <v>228</v>
      </c>
      <c r="DR2568" s="1" t="s">
        <v>229</v>
      </c>
      <c r="DU2568" s="1" t="s">
        <v>442</v>
      </c>
      <c r="DV2568" s="1" t="s">
        <v>449</v>
      </c>
      <c r="DW2568" s="1" t="s">
        <v>444</v>
      </c>
      <c r="DX2568" s="1" t="s">
        <v>234</v>
      </c>
      <c r="DY2568" s="1" t="s">
        <v>704</v>
      </c>
      <c r="EB2568" s="1" t="s">
        <v>492</v>
      </c>
      <c r="EC2568" s="1" t="s">
        <v>237</v>
      </c>
      <c r="ED2568" s="1" t="s">
        <v>407</v>
      </c>
      <c r="EG2568" s="1" t="s">
        <v>449</v>
      </c>
      <c r="EL2568" s="1" t="s">
        <v>1796</v>
      </c>
      <c r="EM2568" s="1" t="s">
        <v>206</v>
      </c>
      <c r="EN2568" s="1" t="s">
        <v>207</v>
      </c>
      <c r="EO2568" s="1" t="s">
        <v>239</v>
      </c>
      <c r="EQ2568" s="1" t="s">
        <v>238</v>
      </c>
      <c r="EU2568" s="1" t="s">
        <v>238</v>
      </c>
      <c r="EY2568" s="1" t="s">
        <v>238</v>
      </c>
      <c r="FC2568" s="1" t="s">
        <v>238</v>
      </c>
      <c r="FF2568" s="1" t="s">
        <v>239</v>
      </c>
      <c r="FG2568" s="1" t="s">
        <v>192</v>
      </c>
      <c r="FH2568" s="1" t="s">
        <v>192</v>
      </c>
      <c r="FJ2568" s="1" t="s">
        <v>524</v>
      </c>
      <c r="FK2568" s="1" t="s">
        <v>229</v>
      </c>
      <c r="FL2568" s="1" t="s">
        <v>525</v>
      </c>
      <c r="FM2568" s="1">
        <v>22029.0</v>
      </c>
      <c r="FN2568" s="1" t="s">
        <v>526</v>
      </c>
      <c r="FO2568" s="1" t="s">
        <v>1842</v>
      </c>
      <c r="FP2568" s="1">
        <v>231272.0</v>
      </c>
      <c r="FQ2568" s="1" t="s">
        <v>1843</v>
      </c>
      <c r="FR2568" s="1">
        <v>221808.0</v>
      </c>
      <c r="FS2568" s="1" t="s">
        <v>23091</v>
      </c>
      <c r="FU2568" s="1" t="s">
        <v>23092</v>
      </c>
      <c r="FV2568" s="1" t="s">
        <v>200</v>
      </c>
      <c r="FW2568" s="1" t="s">
        <v>290</v>
      </c>
      <c r="FZ2568" s="1" t="s">
        <v>632</v>
      </c>
      <c r="GA2568" s="1" t="s">
        <v>291</v>
      </c>
      <c r="GB2568" s="2">
        <v>42103.0</v>
      </c>
      <c r="GC2568" s="1" t="s">
        <v>23093</v>
      </c>
    </row>
    <row r="2569">
      <c r="A2569" s="1">
        <v>570000.0</v>
      </c>
      <c r="B2569" s="1" t="s">
        <v>185</v>
      </c>
      <c r="C2569" s="1" t="str">
        <f>"08818035"</f>
        <v>08818035</v>
      </c>
      <c r="D2569" s="1" t="s">
        <v>186</v>
      </c>
      <c r="F2569" s="1" t="str">
        <f>"8016"</f>
        <v>8016</v>
      </c>
      <c r="G2569" s="2">
        <v>42020.0</v>
      </c>
      <c r="H2569" s="1">
        <v>549900.0</v>
      </c>
      <c r="I2569" s="1">
        <v>69.0</v>
      </c>
      <c r="J2569" s="1">
        <v>549900.0</v>
      </c>
      <c r="K2569" s="2">
        <v>42036.0</v>
      </c>
      <c r="L2569" s="1">
        <v>17.0</v>
      </c>
      <c r="M2569" s="2">
        <v>42036.0</v>
      </c>
      <c r="N2569" s="1" t="s">
        <v>187</v>
      </c>
      <c r="O2569" s="2">
        <v>42080.0</v>
      </c>
      <c r="P2569" s="1">
        <v>112661.0</v>
      </c>
      <c r="Q2569" s="1">
        <v>84992.0</v>
      </c>
      <c r="S2569" s="1">
        <v>4232.0</v>
      </c>
      <c r="T2569" s="1" t="s">
        <v>5171</v>
      </c>
      <c r="U2569" s="1" t="s">
        <v>189</v>
      </c>
      <c r="V2569" s="1" t="s">
        <v>190</v>
      </c>
      <c r="W2569" s="1">
        <v>60618.0</v>
      </c>
      <c r="Y2569" s="1" t="s">
        <v>23094</v>
      </c>
      <c r="Z2569" s="1" t="s">
        <v>296</v>
      </c>
      <c r="AA2569" s="1" t="s">
        <v>192</v>
      </c>
      <c r="AB2569" s="1" t="s">
        <v>193</v>
      </c>
      <c r="AD2569" s="1" t="s">
        <v>194</v>
      </c>
      <c r="AE2569" s="1" t="s">
        <v>195</v>
      </c>
      <c r="AF2569" s="1" t="s">
        <v>196</v>
      </c>
      <c r="AH2569" s="1" t="s">
        <v>779</v>
      </c>
      <c r="AK2569" s="1">
        <v>9.0</v>
      </c>
      <c r="AL2569" s="1">
        <v>4.0</v>
      </c>
      <c r="AM2569" s="1">
        <v>3.0</v>
      </c>
      <c r="AN2569" s="1">
        <v>1.0</v>
      </c>
      <c r="AO2569" s="1" t="s">
        <v>198</v>
      </c>
      <c r="AP2569" s="1">
        <v>1.0</v>
      </c>
      <c r="AQ2569" s="1" t="s">
        <v>472</v>
      </c>
      <c r="AR2569" s="1" t="s">
        <v>192</v>
      </c>
      <c r="AS2569" s="1" t="s">
        <v>510</v>
      </c>
      <c r="AT2569" s="1">
        <v>2.0</v>
      </c>
      <c r="AU2569" s="1">
        <v>1.0</v>
      </c>
      <c r="AV2569" s="1" t="s">
        <v>200</v>
      </c>
      <c r="AW2569" s="4">
        <v>4570.26</v>
      </c>
      <c r="AX2569" s="1">
        <v>2013.0</v>
      </c>
      <c r="AZ2569" s="1" t="s">
        <v>200</v>
      </c>
      <c r="BA2569" s="1" t="str">
        <f>"13133090250000"</f>
        <v>13133090250000</v>
      </c>
      <c r="BC2569" s="1">
        <v>3000.0</v>
      </c>
      <c r="BD2569" s="1">
        <v>570000.0</v>
      </c>
      <c r="BE2569" s="2">
        <v>42020.0</v>
      </c>
      <c r="BF2569" s="2" t="s">
        <v>23095</v>
      </c>
      <c r="BH2569" s="1">
        <v>0.0</v>
      </c>
      <c r="BK2569" s="1" t="s">
        <v>204</v>
      </c>
      <c r="BL2569" s="1" t="str">
        <f>"4232"</f>
        <v>4232</v>
      </c>
      <c r="BM2569" s="1" t="str">
        <f>"0"</f>
        <v>0</v>
      </c>
      <c r="BN2569" s="1">
        <v>3100.0</v>
      </c>
      <c r="BO2569" s="1">
        <v>0.0</v>
      </c>
      <c r="BQ2569" s="1">
        <v>299.0</v>
      </c>
      <c r="BR2569" s="1">
        <v>299.0</v>
      </c>
      <c r="BS2569" s="1">
        <v>299.0</v>
      </c>
      <c r="BU2569" s="1" t="s">
        <v>1534</v>
      </c>
      <c r="BV2569" s="1" t="s">
        <v>206</v>
      </c>
      <c r="BW2569" s="1" t="s">
        <v>207</v>
      </c>
      <c r="BX2569" s="1" t="s">
        <v>1549</v>
      </c>
      <c r="BY2569" s="1" t="s">
        <v>329</v>
      </c>
      <c r="BZ2569" s="1" t="s">
        <v>209</v>
      </c>
      <c r="CA2569" s="1" t="s">
        <v>207</v>
      </c>
      <c r="CB2569" s="1" t="s">
        <v>1549</v>
      </c>
      <c r="CC2569" s="1" t="s">
        <v>582</v>
      </c>
      <c r="CD2569" s="1" t="s">
        <v>206</v>
      </c>
      <c r="CE2569" s="1" t="s">
        <v>207</v>
      </c>
      <c r="CF2569" s="1" t="s">
        <v>1549</v>
      </c>
      <c r="CG2569" s="1" t="s">
        <v>729</v>
      </c>
      <c r="CH2569" s="1" t="s">
        <v>209</v>
      </c>
      <c r="CI2569" s="1" t="s">
        <v>207</v>
      </c>
      <c r="CJ2569" s="1" t="s">
        <v>229</v>
      </c>
      <c r="CK2569" s="1" t="s">
        <v>269</v>
      </c>
      <c r="CL2569" s="1" t="s">
        <v>209</v>
      </c>
      <c r="CM2569" s="1" t="s">
        <v>207</v>
      </c>
      <c r="CN2569" s="1" t="s">
        <v>1549</v>
      </c>
      <c r="CO2569" s="1" t="s">
        <v>495</v>
      </c>
      <c r="CP2569" s="1" t="s">
        <v>267</v>
      </c>
      <c r="CQ2569" s="1" t="s">
        <v>210</v>
      </c>
      <c r="CR2569" s="1" t="s">
        <v>229</v>
      </c>
      <c r="CS2569" s="1" t="s">
        <v>1329</v>
      </c>
      <c r="CT2569" s="1" t="s">
        <v>206</v>
      </c>
      <c r="CU2569" s="1" t="s">
        <v>207</v>
      </c>
      <c r="CV2569" s="1" t="s">
        <v>229</v>
      </c>
      <c r="CW2569" s="1" t="s">
        <v>1183</v>
      </c>
      <c r="CX2569" s="1" t="s">
        <v>206</v>
      </c>
      <c r="CY2569" s="1" t="s">
        <v>207</v>
      </c>
      <c r="CZ2569" s="1" t="s">
        <v>431</v>
      </c>
      <c r="DA2569" s="1" t="s">
        <v>200</v>
      </c>
      <c r="DC2569" s="1" t="s">
        <v>642</v>
      </c>
      <c r="DD2569" s="1" t="s">
        <v>731</v>
      </c>
      <c r="DE2569" s="1" t="s">
        <v>218</v>
      </c>
      <c r="DF2569" s="1" t="s">
        <v>745</v>
      </c>
      <c r="DG2569" s="1" t="s">
        <v>1400</v>
      </c>
      <c r="DH2569" s="1" t="s">
        <v>365</v>
      </c>
      <c r="DI2569" s="1" t="s">
        <v>1141</v>
      </c>
      <c r="DJ2569" s="1" t="s">
        <v>222</v>
      </c>
      <c r="DK2569" s="1" t="s">
        <v>223</v>
      </c>
      <c r="DL2569" s="1" t="s">
        <v>224</v>
      </c>
      <c r="DM2569" s="1" t="s">
        <v>229</v>
      </c>
      <c r="DN2569" s="1" t="s">
        <v>2463</v>
      </c>
      <c r="DP2569" s="1" t="s">
        <v>276</v>
      </c>
      <c r="DQ2569" s="1" t="s">
        <v>228</v>
      </c>
      <c r="DR2569" s="1" t="s">
        <v>229</v>
      </c>
      <c r="DS2569" s="1" t="s">
        <v>591</v>
      </c>
      <c r="DU2569" s="1" t="s">
        <v>5468</v>
      </c>
      <c r="DV2569" s="1" t="s">
        <v>1934</v>
      </c>
      <c r="DW2569" s="1" t="s">
        <v>233</v>
      </c>
      <c r="DX2569" s="1" t="s">
        <v>234</v>
      </c>
      <c r="DY2569" s="1" t="s">
        <v>23096</v>
      </c>
      <c r="DZ2569" s="1" t="s">
        <v>310</v>
      </c>
      <c r="EB2569" s="1" t="s">
        <v>6979</v>
      </c>
      <c r="EC2569" s="1" t="s">
        <v>237</v>
      </c>
      <c r="EG2569" s="1" t="s">
        <v>310</v>
      </c>
      <c r="EH2569" s="1" t="s">
        <v>450</v>
      </c>
      <c r="EI2569" s="1" t="s">
        <v>409</v>
      </c>
      <c r="EL2569" s="1" t="s">
        <v>1426</v>
      </c>
      <c r="EM2569" s="1" t="s">
        <v>206</v>
      </c>
      <c r="EP2569" s="1" t="s">
        <v>3888</v>
      </c>
      <c r="EQ2569" s="1" t="s">
        <v>267</v>
      </c>
      <c r="ER2569" s="1" t="s">
        <v>210</v>
      </c>
      <c r="ES2569" s="1" t="s">
        <v>229</v>
      </c>
      <c r="ET2569" s="1" t="s">
        <v>599</v>
      </c>
      <c r="EU2569" s="1" t="s">
        <v>209</v>
      </c>
      <c r="EV2569" s="1" t="s">
        <v>207</v>
      </c>
      <c r="EW2569" s="1" t="s">
        <v>229</v>
      </c>
      <c r="EY2569" s="1" t="s">
        <v>238</v>
      </c>
      <c r="FC2569" s="1" t="s">
        <v>238</v>
      </c>
      <c r="FF2569" s="1" t="s">
        <v>239</v>
      </c>
      <c r="FG2569" s="1" t="s">
        <v>192</v>
      </c>
      <c r="FH2569" s="1" t="s">
        <v>192</v>
      </c>
      <c r="FJ2569" s="1" t="s">
        <v>347</v>
      </c>
      <c r="FK2569" s="1" t="s">
        <v>229</v>
      </c>
      <c r="FL2569" s="1" t="s">
        <v>23097</v>
      </c>
      <c r="FM2569" s="1">
        <v>84935.0</v>
      </c>
      <c r="FN2569" s="1" t="s">
        <v>23098</v>
      </c>
      <c r="FO2569" s="1" t="s">
        <v>23099</v>
      </c>
      <c r="FP2569" s="1">
        <v>147772.0</v>
      </c>
      <c r="FQ2569" s="1" t="s">
        <v>23098</v>
      </c>
      <c r="FU2569" s="1" t="s">
        <v>23100</v>
      </c>
      <c r="FV2569" s="1" t="s">
        <v>192</v>
      </c>
      <c r="FW2569" s="1" t="s">
        <v>290</v>
      </c>
      <c r="FX2569" s="1" t="s">
        <v>238</v>
      </c>
      <c r="FZ2569" s="1" t="s">
        <v>229</v>
      </c>
      <c r="GA2569" s="1" t="s">
        <v>291</v>
      </c>
      <c r="GB2569" s="2">
        <v>42081.0</v>
      </c>
      <c r="GC2569" s="1" t="s">
        <v>23101</v>
      </c>
    </row>
    <row r="2570">
      <c r="A2570" s="1">
        <v>274000.0</v>
      </c>
      <c r="B2570" s="1" t="s">
        <v>185</v>
      </c>
      <c r="C2570" s="1" t="str">
        <f>"08818306"</f>
        <v>08818306</v>
      </c>
      <c r="D2570" s="1" t="s">
        <v>186</v>
      </c>
      <c r="F2570" s="1" t="str">
        <f>"543"</f>
        <v>543</v>
      </c>
      <c r="G2570" s="2">
        <v>42020.0</v>
      </c>
      <c r="H2570" s="1">
        <v>289000.0</v>
      </c>
      <c r="I2570" s="1">
        <v>55.0</v>
      </c>
      <c r="J2570" s="1">
        <v>268000.0</v>
      </c>
      <c r="K2570" s="2">
        <v>42072.0</v>
      </c>
      <c r="L2570" s="1">
        <v>55.0</v>
      </c>
      <c r="M2570" s="2">
        <v>42072.0</v>
      </c>
      <c r="N2570" s="1" t="s">
        <v>356</v>
      </c>
      <c r="O2570" s="2">
        <v>42128.0</v>
      </c>
      <c r="P2570" s="1">
        <v>922909.0</v>
      </c>
      <c r="Q2570" s="1">
        <v>25055.0</v>
      </c>
      <c r="R2570" s="1">
        <v>4000.0</v>
      </c>
      <c r="S2570" s="1">
        <v>610.0</v>
      </c>
      <c r="T2570" s="1" t="s">
        <v>23102</v>
      </c>
      <c r="U2570" s="1" t="s">
        <v>569</v>
      </c>
      <c r="V2570" s="1" t="s">
        <v>1527</v>
      </c>
      <c r="W2570" s="1">
        <v>60543.0</v>
      </c>
      <c r="Y2570" s="1" t="s">
        <v>23103</v>
      </c>
      <c r="Z2570" s="1">
        <v>2006.0</v>
      </c>
      <c r="AA2570" s="1" t="s">
        <v>200</v>
      </c>
      <c r="AB2570" s="1" t="s">
        <v>467</v>
      </c>
      <c r="AC2570" s="1" t="s">
        <v>4267</v>
      </c>
      <c r="AD2570" s="1" t="s">
        <v>1529</v>
      </c>
      <c r="AE2570" s="1" t="s">
        <v>849</v>
      </c>
      <c r="AF2570" s="1" t="s">
        <v>1529</v>
      </c>
      <c r="AH2570" s="1" t="s">
        <v>2937</v>
      </c>
      <c r="AI2570" s="1">
        <v>0.2232</v>
      </c>
      <c r="AK2570" s="1">
        <v>8.0</v>
      </c>
      <c r="AL2570" s="1">
        <v>4.0</v>
      </c>
      <c r="AM2570" s="1">
        <v>2.0</v>
      </c>
      <c r="AN2570" s="1">
        <v>1.0</v>
      </c>
      <c r="AO2570" s="1" t="s">
        <v>198</v>
      </c>
      <c r="AQ2570" s="1" t="s">
        <v>198</v>
      </c>
      <c r="AR2570" s="1" t="s">
        <v>200</v>
      </c>
      <c r="AS2570" s="1" t="s">
        <v>199</v>
      </c>
      <c r="AT2570" s="1">
        <v>3.0</v>
      </c>
      <c r="AV2570" s="1" t="s">
        <v>200</v>
      </c>
      <c r="AW2570" s="1">
        <v>9761.98</v>
      </c>
      <c r="AX2570" s="1">
        <v>2013.0</v>
      </c>
      <c r="AZ2570" s="1" t="s">
        <v>200</v>
      </c>
      <c r="BA2570" s="1" t="str">
        <f>"0315231001"</f>
        <v>0315231001</v>
      </c>
      <c r="BC2570" s="1">
        <v>3544.0</v>
      </c>
      <c r="BD2570" s="1">
        <v>274000.0</v>
      </c>
      <c r="BE2570" s="2">
        <v>42018.0</v>
      </c>
      <c r="BF2570" s="2" t="s">
        <v>23104</v>
      </c>
      <c r="BH2570" s="1">
        <v>42.0</v>
      </c>
      <c r="BK2570" s="1" t="s">
        <v>474</v>
      </c>
      <c r="BL2570" s="1" t="str">
        <f t="shared" ref="BL2570:BM2570" si="1680">""</f>
        <v/>
      </c>
      <c r="BM2570" s="1" t="str">
        <f t="shared" si="1680"/>
        <v/>
      </c>
      <c r="BQ2570" s="1">
        <v>308.0</v>
      </c>
      <c r="BR2570" s="1">
        <v>308.0</v>
      </c>
      <c r="BS2570" s="1">
        <v>308.0</v>
      </c>
      <c r="BU2570" s="1" t="s">
        <v>390</v>
      </c>
      <c r="BV2570" s="1" t="s">
        <v>206</v>
      </c>
      <c r="BW2570" s="1" t="s">
        <v>210</v>
      </c>
      <c r="BY2570" s="1" t="s">
        <v>260</v>
      </c>
      <c r="BZ2570" s="1" t="s">
        <v>209</v>
      </c>
      <c r="CA2570" s="1" t="s">
        <v>210</v>
      </c>
      <c r="CC2570" s="1" t="s">
        <v>329</v>
      </c>
      <c r="CD2570" s="1" t="s">
        <v>206</v>
      </c>
      <c r="CE2570" s="1" t="s">
        <v>210</v>
      </c>
      <c r="CG2570" s="1" t="s">
        <v>329</v>
      </c>
      <c r="CH2570" s="1" t="s">
        <v>209</v>
      </c>
      <c r="CI2570" s="1" t="s">
        <v>210</v>
      </c>
      <c r="CK2570" s="1" t="s">
        <v>329</v>
      </c>
      <c r="CL2570" s="1" t="s">
        <v>209</v>
      </c>
      <c r="CM2570" s="1" t="s">
        <v>210</v>
      </c>
      <c r="CO2570" s="1" t="s">
        <v>616</v>
      </c>
      <c r="CP2570" s="1" t="s">
        <v>209</v>
      </c>
      <c r="CQ2570" s="1" t="s">
        <v>210</v>
      </c>
      <c r="CS2570" s="1" t="s">
        <v>1158</v>
      </c>
      <c r="CT2570" s="1" t="s">
        <v>206</v>
      </c>
      <c r="CU2570" s="1" t="s">
        <v>617</v>
      </c>
      <c r="CW2570" s="1" t="s">
        <v>544</v>
      </c>
      <c r="CX2570" s="1" t="s">
        <v>206</v>
      </c>
      <c r="CY2570" s="1" t="s">
        <v>210</v>
      </c>
      <c r="DA2570" s="1" t="s">
        <v>200</v>
      </c>
      <c r="DC2570" s="1" t="s">
        <v>481</v>
      </c>
      <c r="DD2570" s="1" t="s">
        <v>1601</v>
      </c>
      <c r="DE2570" s="1" t="s">
        <v>273</v>
      </c>
      <c r="DF2570" s="1" t="s">
        <v>219</v>
      </c>
      <c r="DH2570" s="1" t="s">
        <v>220</v>
      </c>
      <c r="DJ2570" s="1" t="s">
        <v>222</v>
      </c>
      <c r="DL2570" s="1" t="s">
        <v>223</v>
      </c>
      <c r="DM2570" s="1" t="s">
        <v>338</v>
      </c>
      <c r="DP2570" s="1" t="s">
        <v>340</v>
      </c>
      <c r="DQ2570" s="1" t="s">
        <v>228</v>
      </c>
      <c r="DR2570" s="1" t="s">
        <v>3096</v>
      </c>
      <c r="DV2570" s="1" t="s">
        <v>232</v>
      </c>
      <c r="DW2570" s="1" t="s">
        <v>370</v>
      </c>
      <c r="DX2570" s="1" t="s">
        <v>234</v>
      </c>
      <c r="DY2570" s="1" t="s">
        <v>1051</v>
      </c>
      <c r="EC2570" s="1" t="s">
        <v>237</v>
      </c>
      <c r="EM2570" s="1" t="s">
        <v>238</v>
      </c>
      <c r="EQ2570" s="1" t="s">
        <v>238</v>
      </c>
      <c r="EU2570" s="1" t="s">
        <v>238</v>
      </c>
      <c r="EY2570" s="1" t="s">
        <v>238</v>
      </c>
      <c r="FC2570" s="1" t="s">
        <v>238</v>
      </c>
      <c r="FF2570" s="1" t="s">
        <v>239</v>
      </c>
      <c r="FG2570" s="1" t="s">
        <v>192</v>
      </c>
      <c r="FH2570" s="1" t="s">
        <v>192</v>
      </c>
      <c r="FJ2570" s="1" t="s">
        <v>1248</v>
      </c>
      <c r="FK2570" s="1" t="s">
        <v>229</v>
      </c>
      <c r="FL2570" s="1" t="s">
        <v>2184</v>
      </c>
      <c r="FM2570" s="1">
        <v>605.0</v>
      </c>
      <c r="FN2570" s="1" t="s">
        <v>2185</v>
      </c>
      <c r="FO2570" s="1" t="s">
        <v>1738</v>
      </c>
      <c r="FP2570" s="1">
        <v>170.0</v>
      </c>
      <c r="FQ2570" s="1" t="s">
        <v>2185</v>
      </c>
      <c r="FS2570" s="1" t="s">
        <v>3468</v>
      </c>
      <c r="FU2570" s="1" t="s">
        <v>3469</v>
      </c>
      <c r="FV2570" s="1" t="s">
        <v>200</v>
      </c>
      <c r="FW2570" s="1" t="s">
        <v>354</v>
      </c>
      <c r="FZ2570" s="1" t="s">
        <v>229</v>
      </c>
      <c r="GA2570" s="1" t="s">
        <v>291</v>
      </c>
      <c r="GB2570" s="2">
        <v>42128.0</v>
      </c>
      <c r="GC2570" s="1" t="s">
        <v>23105</v>
      </c>
    </row>
    <row r="2571">
      <c r="A2571" s="1">
        <v>490000.0</v>
      </c>
      <c r="B2571" s="1" t="s">
        <v>185</v>
      </c>
      <c r="C2571" s="1" t="str">
        <f>"08820222"</f>
        <v>08820222</v>
      </c>
      <c r="D2571" s="1" t="s">
        <v>186</v>
      </c>
      <c r="F2571" s="1" t="str">
        <f>"8016"</f>
        <v>8016</v>
      </c>
      <c r="G2571" s="2">
        <v>42024.0</v>
      </c>
      <c r="H2571" s="1">
        <v>499900.0</v>
      </c>
      <c r="I2571" s="1">
        <v>76.0</v>
      </c>
      <c r="J2571" s="1">
        <v>499900.0</v>
      </c>
      <c r="K2571" s="2">
        <v>42029.0</v>
      </c>
      <c r="L2571" s="1">
        <v>6.0</v>
      </c>
      <c r="M2571" s="2">
        <v>42029.0</v>
      </c>
      <c r="N2571" s="1" t="s">
        <v>187</v>
      </c>
      <c r="O2571" s="2">
        <v>42072.0</v>
      </c>
      <c r="P2571" s="1">
        <v>153501.0</v>
      </c>
      <c r="Q2571" s="1">
        <v>84729.0</v>
      </c>
      <c r="R2571" s="1">
        <v>5000.0</v>
      </c>
      <c r="S2571" s="1">
        <v>4104.0</v>
      </c>
      <c r="T2571" s="1" t="s">
        <v>8322</v>
      </c>
      <c r="U2571" s="1" t="s">
        <v>189</v>
      </c>
      <c r="V2571" s="1" t="s">
        <v>190</v>
      </c>
      <c r="W2571" s="1">
        <v>60618.0</v>
      </c>
      <c r="Y2571" s="1" t="s">
        <v>23106</v>
      </c>
      <c r="Z2571" s="1">
        <v>1900.0</v>
      </c>
      <c r="AA2571" s="1" t="s">
        <v>192</v>
      </c>
      <c r="AB2571" s="1" t="s">
        <v>193</v>
      </c>
      <c r="AD2571" s="1" t="s">
        <v>194</v>
      </c>
      <c r="AE2571" s="1" t="s">
        <v>195</v>
      </c>
      <c r="AF2571" s="1" t="s">
        <v>196</v>
      </c>
      <c r="AG2571" s="1" t="s">
        <v>752</v>
      </c>
      <c r="AH2571" s="1" t="s">
        <v>23107</v>
      </c>
      <c r="AI2571" s="1">
        <v>0.0723</v>
      </c>
      <c r="AK2571" s="1">
        <v>9.0</v>
      </c>
      <c r="AL2571" s="1">
        <v>4.0</v>
      </c>
      <c r="AM2571" s="1">
        <v>3.0</v>
      </c>
      <c r="AN2571" s="1">
        <v>1.0</v>
      </c>
      <c r="AO2571" s="1" t="s">
        <v>198</v>
      </c>
      <c r="AP2571" s="1">
        <v>1.0</v>
      </c>
      <c r="AQ2571" s="1" t="s">
        <v>472</v>
      </c>
      <c r="AR2571" s="1" t="s">
        <v>192</v>
      </c>
      <c r="AS2571" s="1" t="s">
        <v>199</v>
      </c>
      <c r="AT2571" s="1">
        <v>2.0</v>
      </c>
      <c r="AV2571" s="1" t="s">
        <v>200</v>
      </c>
      <c r="AW2571" s="1">
        <v>3687.0</v>
      </c>
      <c r="AX2571" s="1">
        <v>2013.0</v>
      </c>
      <c r="AY2571" s="1" t="s">
        <v>229</v>
      </c>
      <c r="AZ2571" s="1" t="s">
        <v>200</v>
      </c>
      <c r="BA2571" s="1" t="str">
        <f>"13144170430000"</f>
        <v>13144170430000</v>
      </c>
      <c r="BB2571" s="1" t="s">
        <v>200</v>
      </c>
      <c r="BC2571" s="1">
        <v>0.0</v>
      </c>
      <c r="BD2571" s="1">
        <v>490000.0</v>
      </c>
      <c r="BE2571" s="2">
        <v>42024.0</v>
      </c>
      <c r="BF2571" s="2" t="s">
        <v>23108</v>
      </c>
      <c r="BH2571" s="1">
        <v>0.0</v>
      </c>
      <c r="BK2571" s="1" t="s">
        <v>204</v>
      </c>
      <c r="BL2571" s="1" t="str">
        <f>"4104"</f>
        <v>4104</v>
      </c>
      <c r="BM2571" s="1" t="str">
        <f>"0"</f>
        <v>0</v>
      </c>
      <c r="BN2571" s="1">
        <v>3500.0</v>
      </c>
      <c r="BO2571" s="1">
        <v>0.0</v>
      </c>
      <c r="BQ2571" s="1">
        <v>299.0</v>
      </c>
      <c r="BR2571" s="1">
        <v>299.0</v>
      </c>
      <c r="BS2571" s="1">
        <v>299.0</v>
      </c>
      <c r="BU2571" s="1" t="s">
        <v>211</v>
      </c>
      <c r="BV2571" s="1" t="s">
        <v>206</v>
      </c>
      <c r="BW2571" s="1" t="s">
        <v>207</v>
      </c>
      <c r="BY2571" s="1" t="s">
        <v>454</v>
      </c>
      <c r="BZ2571" s="1" t="s">
        <v>209</v>
      </c>
      <c r="CA2571" s="1" t="s">
        <v>210</v>
      </c>
      <c r="CC2571" s="1" t="s">
        <v>363</v>
      </c>
      <c r="CD2571" s="1" t="s">
        <v>206</v>
      </c>
      <c r="CE2571" s="1" t="s">
        <v>207</v>
      </c>
      <c r="CG2571" s="1" t="s">
        <v>264</v>
      </c>
      <c r="CH2571" s="1" t="s">
        <v>209</v>
      </c>
      <c r="CI2571" s="1" t="s">
        <v>210</v>
      </c>
      <c r="CK2571" s="1" t="s">
        <v>816</v>
      </c>
      <c r="CL2571" s="1" t="s">
        <v>209</v>
      </c>
      <c r="CM2571" s="1" t="s">
        <v>210</v>
      </c>
      <c r="CO2571" s="1" t="s">
        <v>433</v>
      </c>
      <c r="CP2571" s="1" t="s">
        <v>267</v>
      </c>
      <c r="CQ2571" s="1" t="s">
        <v>210</v>
      </c>
      <c r="CS2571" s="1" t="s">
        <v>2166</v>
      </c>
      <c r="CT2571" s="1" t="s">
        <v>206</v>
      </c>
      <c r="CU2571" s="1" t="s">
        <v>207</v>
      </c>
      <c r="CW2571" s="1" t="s">
        <v>454</v>
      </c>
      <c r="CX2571" s="1" t="s">
        <v>206</v>
      </c>
      <c r="CY2571" s="1" t="s">
        <v>207</v>
      </c>
      <c r="DA2571" s="1" t="s">
        <v>200</v>
      </c>
      <c r="DC2571" s="1" t="s">
        <v>642</v>
      </c>
      <c r="DD2571" s="1" t="s">
        <v>759</v>
      </c>
      <c r="DE2571" s="1" t="s">
        <v>1810</v>
      </c>
      <c r="DF2571" s="1" t="s">
        <v>1811</v>
      </c>
      <c r="DG2571" s="1" t="s">
        <v>482</v>
      </c>
      <c r="DH2571" s="1" t="s">
        <v>365</v>
      </c>
      <c r="DI2571" s="1" t="s">
        <v>366</v>
      </c>
      <c r="DJ2571" s="1" t="s">
        <v>222</v>
      </c>
      <c r="DK2571" s="1" t="s">
        <v>1555</v>
      </c>
      <c r="DL2571" s="1" t="s">
        <v>224</v>
      </c>
      <c r="DM2571" s="1" t="s">
        <v>229</v>
      </c>
      <c r="DN2571" s="1" t="s">
        <v>339</v>
      </c>
      <c r="DO2571" s="1" t="s">
        <v>549</v>
      </c>
      <c r="DP2571" s="1" t="s">
        <v>10274</v>
      </c>
      <c r="DQ2571" s="1" t="s">
        <v>228</v>
      </c>
      <c r="DR2571" s="1" t="s">
        <v>229</v>
      </c>
      <c r="DU2571" s="1" t="s">
        <v>1355</v>
      </c>
      <c r="DV2571" s="1" t="s">
        <v>23109</v>
      </c>
      <c r="DW2571" s="1" t="s">
        <v>1610</v>
      </c>
      <c r="DX2571" s="1" t="s">
        <v>309</v>
      </c>
      <c r="DY2571" s="1" t="s">
        <v>12633</v>
      </c>
      <c r="DZ2571" s="1" t="s">
        <v>1490</v>
      </c>
      <c r="EB2571" s="1" t="s">
        <v>684</v>
      </c>
      <c r="EC2571" s="1" t="s">
        <v>237</v>
      </c>
      <c r="ED2571" s="1" t="s">
        <v>407</v>
      </c>
      <c r="EE2571" s="1" t="s">
        <v>493</v>
      </c>
      <c r="EG2571" s="1" t="s">
        <v>408</v>
      </c>
      <c r="EH2571" s="1" t="s">
        <v>450</v>
      </c>
      <c r="EJ2571" s="1" t="s">
        <v>1270</v>
      </c>
      <c r="EL2571" s="1" t="s">
        <v>4904</v>
      </c>
      <c r="EM2571" s="1" t="s">
        <v>206</v>
      </c>
      <c r="EN2571" s="1" t="s">
        <v>207</v>
      </c>
      <c r="EP2571" s="1" t="s">
        <v>955</v>
      </c>
      <c r="EQ2571" s="1" t="s">
        <v>267</v>
      </c>
      <c r="ER2571" s="1" t="s">
        <v>210</v>
      </c>
      <c r="EU2571" s="1" t="s">
        <v>238</v>
      </c>
      <c r="EX2571" s="1" t="s">
        <v>3930</v>
      </c>
      <c r="EY2571" s="1" t="s">
        <v>267</v>
      </c>
      <c r="EZ2571" s="1" t="s">
        <v>588</v>
      </c>
      <c r="FC2571" s="1" t="s">
        <v>238</v>
      </c>
      <c r="FF2571" s="1" t="s">
        <v>239</v>
      </c>
      <c r="FG2571" s="1" t="s">
        <v>192</v>
      </c>
      <c r="FH2571" s="1" t="s">
        <v>192</v>
      </c>
      <c r="FJ2571" s="1" t="s">
        <v>4598</v>
      </c>
      <c r="FK2571" s="1" t="s">
        <v>229</v>
      </c>
      <c r="FL2571" s="1" t="s">
        <v>2226</v>
      </c>
      <c r="FM2571" s="1">
        <v>25309.0</v>
      </c>
      <c r="FN2571" s="1" t="s">
        <v>9648</v>
      </c>
      <c r="FO2571" s="1" t="s">
        <v>23110</v>
      </c>
      <c r="FP2571" s="1">
        <v>256018.0</v>
      </c>
      <c r="FQ2571" s="1" t="s">
        <v>23111</v>
      </c>
      <c r="FU2571" s="1" t="s">
        <v>710</v>
      </c>
      <c r="FV2571" s="1" t="s">
        <v>192</v>
      </c>
      <c r="FW2571" s="1" t="s">
        <v>290</v>
      </c>
      <c r="FX2571" s="1" t="s">
        <v>238</v>
      </c>
      <c r="FZ2571" s="1" t="s">
        <v>632</v>
      </c>
      <c r="GA2571" s="1" t="s">
        <v>291</v>
      </c>
      <c r="GB2571" s="2">
        <v>42073.0</v>
      </c>
      <c r="GC2571" s="1" t="s">
        <v>23112</v>
      </c>
    </row>
    <row r="2572">
      <c r="A2572" s="1">
        <v>441000.0</v>
      </c>
      <c r="B2572" s="1" t="s">
        <v>185</v>
      </c>
      <c r="C2572" s="1" t="str">
        <f>"08821163"</f>
        <v>08821163</v>
      </c>
      <c r="D2572" s="1" t="s">
        <v>186</v>
      </c>
      <c r="F2572" s="1" t="str">
        <f>"174"</f>
        <v>174</v>
      </c>
      <c r="G2572" s="2">
        <v>42025.0</v>
      </c>
      <c r="H2572" s="1">
        <v>445900.0</v>
      </c>
      <c r="I2572" s="1">
        <v>316.0</v>
      </c>
      <c r="J2572" s="1">
        <v>445900.0</v>
      </c>
      <c r="K2572" s="2">
        <v>42045.0</v>
      </c>
      <c r="L2572" s="1">
        <v>21.0</v>
      </c>
      <c r="M2572" s="2">
        <v>42045.0</v>
      </c>
      <c r="N2572" s="1" t="s">
        <v>187</v>
      </c>
      <c r="O2572" s="2">
        <v>42114.0</v>
      </c>
      <c r="P2572" s="1">
        <v>243639.0</v>
      </c>
      <c r="Q2572" s="1">
        <v>25718.0</v>
      </c>
      <c r="S2572" s="1">
        <v>8.0</v>
      </c>
      <c r="T2572" s="1" t="s">
        <v>23113</v>
      </c>
      <c r="U2572" s="1" t="s">
        <v>420</v>
      </c>
      <c r="V2572" s="1" t="s">
        <v>1200</v>
      </c>
      <c r="W2572" s="1">
        <v>60174.0</v>
      </c>
      <c r="Y2572" s="1" t="s">
        <v>23114</v>
      </c>
      <c r="Z2572" s="1">
        <v>1977.0</v>
      </c>
      <c r="AA2572" s="1" t="s">
        <v>192</v>
      </c>
      <c r="AB2572" s="1" t="s">
        <v>467</v>
      </c>
      <c r="AC2572" s="1" t="s">
        <v>23115</v>
      </c>
      <c r="AD2572" s="1" t="s">
        <v>1203</v>
      </c>
      <c r="AE2572" s="1" t="s">
        <v>325</v>
      </c>
      <c r="AF2572" s="1" t="s">
        <v>1203</v>
      </c>
      <c r="AG2572" s="1" t="s">
        <v>752</v>
      </c>
      <c r="AH2572" s="1" t="s">
        <v>23116</v>
      </c>
      <c r="AI2572" s="1">
        <v>0.466</v>
      </c>
      <c r="AK2572" s="1">
        <v>10.0</v>
      </c>
      <c r="AL2572" s="1">
        <v>4.0</v>
      </c>
      <c r="AM2572" s="1">
        <v>2.0</v>
      </c>
      <c r="AN2572" s="1">
        <v>1.0</v>
      </c>
      <c r="AO2572" s="1" t="s">
        <v>198</v>
      </c>
      <c r="AP2572" s="1">
        <v>2.0</v>
      </c>
      <c r="AQ2572" s="1" t="s">
        <v>198</v>
      </c>
      <c r="AR2572" s="1" t="s">
        <v>200</v>
      </c>
      <c r="AS2572" s="1" t="s">
        <v>199</v>
      </c>
      <c r="AT2572" s="1">
        <v>2.0</v>
      </c>
      <c r="AV2572" s="1" t="s">
        <v>200</v>
      </c>
      <c r="AW2572" s="1">
        <v>11516.0</v>
      </c>
      <c r="AX2572" s="1">
        <v>2013.0</v>
      </c>
      <c r="AY2572" s="1" t="s">
        <v>387</v>
      </c>
      <c r="AZ2572" s="1" t="s">
        <v>200</v>
      </c>
      <c r="BA2572" s="1" t="str">
        <f>"0923401013"</f>
        <v>0923401013</v>
      </c>
      <c r="BB2572" s="1" t="s">
        <v>200</v>
      </c>
      <c r="BC2572" s="1">
        <v>3384.0</v>
      </c>
      <c r="BD2572" s="1">
        <v>441000.0</v>
      </c>
      <c r="BE2572" s="2">
        <v>42025.0</v>
      </c>
      <c r="BF2572" s="2" t="s">
        <v>23117</v>
      </c>
      <c r="BG2572" s="1" t="s">
        <v>3610</v>
      </c>
      <c r="BH2572" s="1">
        <v>150.0</v>
      </c>
      <c r="BI2572" s="1" t="s">
        <v>2143</v>
      </c>
      <c r="BJ2572" s="1" t="s">
        <v>2144</v>
      </c>
      <c r="BK2572" s="1" t="s">
        <v>580</v>
      </c>
      <c r="BL2572" s="1" t="str">
        <f>"4"</f>
        <v>4</v>
      </c>
      <c r="BM2572" s="1" t="str">
        <f>""</f>
        <v/>
      </c>
      <c r="BN2572" s="1">
        <v>34.0</v>
      </c>
      <c r="BQ2572" s="1">
        <v>303.0</v>
      </c>
      <c r="BR2572" s="1">
        <v>303.0</v>
      </c>
      <c r="BS2572" s="1">
        <v>303.0</v>
      </c>
      <c r="BU2572" s="1" t="s">
        <v>333</v>
      </c>
      <c r="BV2572" s="1" t="s">
        <v>206</v>
      </c>
      <c r="BW2572" s="1" t="s">
        <v>210</v>
      </c>
      <c r="BY2572" s="1" t="s">
        <v>434</v>
      </c>
      <c r="BZ2572" s="1" t="s">
        <v>209</v>
      </c>
      <c r="CA2572" s="1" t="s">
        <v>210</v>
      </c>
      <c r="CC2572" s="1" t="s">
        <v>332</v>
      </c>
      <c r="CD2572" s="1" t="s">
        <v>206</v>
      </c>
      <c r="CE2572" s="1" t="s">
        <v>207</v>
      </c>
      <c r="CG2572" s="1" t="s">
        <v>743</v>
      </c>
      <c r="CH2572" s="1" t="s">
        <v>209</v>
      </c>
      <c r="CI2572" s="1" t="s">
        <v>210</v>
      </c>
      <c r="CK2572" s="1" t="s">
        <v>758</v>
      </c>
      <c r="CL2572" s="1" t="s">
        <v>209</v>
      </c>
      <c r="CM2572" s="1" t="s">
        <v>210</v>
      </c>
      <c r="CO2572" s="1" t="s">
        <v>363</v>
      </c>
      <c r="CP2572" s="1" t="s">
        <v>209</v>
      </c>
      <c r="CQ2572" s="1" t="s">
        <v>210</v>
      </c>
      <c r="CS2572" s="1" t="s">
        <v>213</v>
      </c>
      <c r="CT2572" s="1" t="s">
        <v>206</v>
      </c>
      <c r="CU2572" s="1" t="s">
        <v>268</v>
      </c>
      <c r="CW2572" s="1" t="s">
        <v>1892</v>
      </c>
      <c r="CX2572" s="1" t="s">
        <v>206</v>
      </c>
      <c r="CY2572" s="1" t="s">
        <v>207</v>
      </c>
      <c r="DA2572" s="1" t="s">
        <v>200</v>
      </c>
      <c r="DC2572" s="1" t="s">
        <v>395</v>
      </c>
      <c r="DD2572" s="1" t="s">
        <v>336</v>
      </c>
      <c r="DE2572" s="1" t="s">
        <v>273</v>
      </c>
      <c r="DF2572" s="1" t="s">
        <v>219</v>
      </c>
      <c r="DH2572" s="1" t="s">
        <v>220</v>
      </c>
      <c r="DI2572" s="1" t="s">
        <v>221</v>
      </c>
      <c r="DJ2572" s="1" t="s">
        <v>222</v>
      </c>
      <c r="DK2572" s="1" t="s">
        <v>223</v>
      </c>
      <c r="DL2572" s="1" t="s">
        <v>223</v>
      </c>
      <c r="DM2572" s="1" t="s">
        <v>338</v>
      </c>
      <c r="DN2572" s="1" t="s">
        <v>399</v>
      </c>
      <c r="DO2572" s="1" t="s">
        <v>930</v>
      </c>
      <c r="DP2572" s="1" t="s">
        <v>340</v>
      </c>
      <c r="DQ2572" s="1" t="s">
        <v>441</v>
      </c>
      <c r="DR2572" s="1" t="s">
        <v>1487</v>
      </c>
      <c r="DS2572" s="1" t="s">
        <v>230</v>
      </c>
      <c r="DU2572" s="1" t="s">
        <v>10646</v>
      </c>
      <c r="DV2572" s="1" t="s">
        <v>23118</v>
      </c>
      <c r="DW2572" s="1" t="s">
        <v>764</v>
      </c>
      <c r="DX2572" s="1" t="s">
        <v>234</v>
      </c>
      <c r="DY2572" s="1" t="s">
        <v>6019</v>
      </c>
      <c r="DZ2572" s="1" t="s">
        <v>23119</v>
      </c>
      <c r="EA2572" s="1" t="s">
        <v>1326</v>
      </c>
      <c r="EB2572" s="1" t="s">
        <v>492</v>
      </c>
      <c r="EC2572" s="1" t="s">
        <v>237</v>
      </c>
      <c r="ED2572" s="1" t="s">
        <v>407</v>
      </c>
      <c r="EE2572" s="1" t="s">
        <v>493</v>
      </c>
      <c r="EG2572" s="1" t="s">
        <v>449</v>
      </c>
      <c r="EH2572" s="1" t="s">
        <v>494</v>
      </c>
      <c r="EI2572" s="1" t="s">
        <v>408</v>
      </c>
      <c r="EJ2572" s="1" t="s">
        <v>1102</v>
      </c>
      <c r="EL2572" s="1" t="s">
        <v>266</v>
      </c>
      <c r="EM2572" s="1" t="s">
        <v>206</v>
      </c>
      <c r="EN2572" s="1" t="s">
        <v>268</v>
      </c>
      <c r="EP2572" s="1" t="s">
        <v>925</v>
      </c>
      <c r="EQ2572" s="1" t="s">
        <v>206</v>
      </c>
      <c r="ER2572" s="1" t="s">
        <v>207</v>
      </c>
      <c r="ET2572" s="1" t="s">
        <v>264</v>
      </c>
      <c r="EU2572" s="1" t="s">
        <v>206</v>
      </c>
      <c r="EV2572" s="1" t="s">
        <v>268</v>
      </c>
      <c r="EX2572" s="1" t="s">
        <v>213</v>
      </c>
      <c r="EY2572" s="1" t="s">
        <v>206</v>
      </c>
      <c r="EZ2572" s="1" t="s">
        <v>588</v>
      </c>
      <c r="FC2572" s="1" t="s">
        <v>238</v>
      </c>
      <c r="FF2572" s="1" t="s">
        <v>239</v>
      </c>
      <c r="FG2572" s="1" t="s">
        <v>192</v>
      </c>
      <c r="FH2572" s="1" t="s">
        <v>192</v>
      </c>
      <c r="FJ2572" s="1" t="s">
        <v>498</v>
      </c>
      <c r="FK2572" s="1" t="s">
        <v>229</v>
      </c>
      <c r="FL2572" s="1" t="s">
        <v>625</v>
      </c>
      <c r="FM2572" s="1">
        <v>37.0</v>
      </c>
      <c r="FN2572" s="1" t="s">
        <v>626</v>
      </c>
      <c r="FO2572" s="1" t="s">
        <v>627</v>
      </c>
      <c r="FP2572" s="1">
        <v>77100.0</v>
      </c>
      <c r="FQ2572" s="1" t="s">
        <v>628</v>
      </c>
      <c r="FR2572" s="1">
        <v>164.0</v>
      </c>
      <c r="FS2572" s="1" t="s">
        <v>629</v>
      </c>
      <c r="FU2572" s="1" t="s">
        <v>23120</v>
      </c>
      <c r="FV2572" s="1" t="s">
        <v>200</v>
      </c>
      <c r="FW2572" s="1" t="s">
        <v>290</v>
      </c>
      <c r="FZ2572" s="1" t="s">
        <v>632</v>
      </c>
      <c r="GA2572" s="1" t="s">
        <v>291</v>
      </c>
      <c r="GB2572" s="2">
        <v>42114.0</v>
      </c>
    </row>
    <row r="2573">
      <c r="A2573" s="1">
        <v>220900.0</v>
      </c>
      <c r="B2573" s="1" t="s">
        <v>185</v>
      </c>
      <c r="C2573" s="1" t="str">
        <f>"08821101"</f>
        <v>08821101</v>
      </c>
      <c r="D2573" s="1" t="s">
        <v>186</v>
      </c>
      <c r="F2573" s="1" t="str">
        <f>"538"</f>
        <v>538</v>
      </c>
      <c r="G2573" s="2">
        <v>42025.0</v>
      </c>
      <c r="H2573" s="1">
        <v>259900.0</v>
      </c>
      <c r="I2573" s="1">
        <v>84.0</v>
      </c>
      <c r="J2573" s="1">
        <v>224900.0</v>
      </c>
      <c r="K2573" s="2">
        <v>42108.0</v>
      </c>
      <c r="L2573" s="1">
        <v>84.0</v>
      </c>
      <c r="M2573" s="2">
        <v>42108.0</v>
      </c>
      <c r="N2573" s="1" t="s">
        <v>356</v>
      </c>
      <c r="O2573" s="2">
        <v>42143.0</v>
      </c>
      <c r="P2573" s="1">
        <v>222066.0</v>
      </c>
      <c r="Q2573" s="1">
        <v>25042.0</v>
      </c>
      <c r="R2573" s="1">
        <v>6000.0</v>
      </c>
      <c r="S2573" s="1">
        <v>2418.0</v>
      </c>
      <c r="T2573" s="1" t="s">
        <v>6924</v>
      </c>
      <c r="U2573" s="1" t="s">
        <v>464</v>
      </c>
      <c r="V2573" s="1" t="s">
        <v>1340</v>
      </c>
      <c r="W2573" s="1">
        <v>60538.0</v>
      </c>
      <c r="Y2573" s="1" t="s">
        <v>23121</v>
      </c>
      <c r="Z2573" s="1">
        <v>2006.0</v>
      </c>
      <c r="AA2573" s="1" t="s">
        <v>200</v>
      </c>
      <c r="AB2573" s="1" t="s">
        <v>467</v>
      </c>
      <c r="AC2573" s="1" t="s">
        <v>15404</v>
      </c>
      <c r="AD2573" s="1" t="s">
        <v>1343</v>
      </c>
      <c r="AE2573" s="1" t="s">
        <v>849</v>
      </c>
      <c r="AF2573" s="1" t="s">
        <v>1312</v>
      </c>
      <c r="AH2573" s="1" t="s">
        <v>23122</v>
      </c>
      <c r="AK2573" s="1">
        <v>8.0</v>
      </c>
      <c r="AL2573" s="1">
        <v>4.0</v>
      </c>
      <c r="AM2573" s="1">
        <v>2.0</v>
      </c>
      <c r="AN2573" s="1">
        <v>1.0</v>
      </c>
      <c r="AO2573" s="1" t="s">
        <v>229</v>
      </c>
      <c r="AQ2573" s="1" t="s">
        <v>198</v>
      </c>
      <c r="AR2573" s="1" t="s">
        <v>200</v>
      </c>
      <c r="AS2573" s="1" t="s">
        <v>199</v>
      </c>
      <c r="AT2573" s="1">
        <v>3.0</v>
      </c>
      <c r="AV2573" s="1" t="s">
        <v>200</v>
      </c>
      <c r="AW2573" s="1">
        <v>8006.46</v>
      </c>
      <c r="AX2573" s="1">
        <v>2013.0</v>
      </c>
      <c r="AZ2573" s="1" t="s">
        <v>545</v>
      </c>
      <c r="BA2573" s="1" t="str">
        <f>"0203478003"</f>
        <v>0203478003</v>
      </c>
      <c r="BC2573" s="1">
        <v>2901.0</v>
      </c>
      <c r="BD2573" s="1">
        <v>220900.0</v>
      </c>
      <c r="BE2573" s="2">
        <v>42025.0</v>
      </c>
      <c r="BF2573" s="1" t="s">
        <v>23123</v>
      </c>
      <c r="BH2573" s="1">
        <v>260.0</v>
      </c>
      <c r="BK2573" s="1" t="s">
        <v>580</v>
      </c>
      <c r="BL2573" s="1" t="str">
        <f t="shared" ref="BL2573:BM2573" si="1681">""</f>
        <v/>
      </c>
      <c r="BM2573" s="1" t="str">
        <f t="shared" si="1681"/>
        <v/>
      </c>
      <c r="BQ2573" s="1">
        <v>115.0</v>
      </c>
      <c r="BR2573" s="1">
        <v>115.0</v>
      </c>
      <c r="BS2573" s="1">
        <v>115.0</v>
      </c>
      <c r="BU2573" s="1" t="s">
        <v>208</v>
      </c>
      <c r="BV2573" s="1" t="s">
        <v>206</v>
      </c>
      <c r="BY2573" s="1" t="s">
        <v>362</v>
      </c>
      <c r="BZ2573" s="1" t="s">
        <v>209</v>
      </c>
      <c r="CC2573" s="1" t="s">
        <v>700</v>
      </c>
      <c r="CD2573" s="1" t="s">
        <v>206</v>
      </c>
      <c r="CG2573" s="1" t="s">
        <v>495</v>
      </c>
      <c r="CH2573" s="1" t="s">
        <v>209</v>
      </c>
      <c r="CK2573" s="1" t="s">
        <v>264</v>
      </c>
      <c r="CL2573" s="1" t="s">
        <v>209</v>
      </c>
      <c r="CO2573" s="1" t="s">
        <v>269</v>
      </c>
      <c r="CP2573" s="1" t="s">
        <v>209</v>
      </c>
      <c r="CS2573" s="1" t="s">
        <v>1000</v>
      </c>
      <c r="CT2573" s="1" t="s">
        <v>206</v>
      </c>
      <c r="CX2573" s="1" t="s">
        <v>204</v>
      </c>
      <c r="DA2573" s="1" t="s">
        <v>200</v>
      </c>
      <c r="DC2573" s="1" t="s">
        <v>481</v>
      </c>
      <c r="DE2573" s="1" t="s">
        <v>273</v>
      </c>
      <c r="DF2573" s="1" t="s">
        <v>219</v>
      </c>
      <c r="DH2573" s="1" t="s">
        <v>220</v>
      </c>
      <c r="DJ2573" s="1" t="s">
        <v>222</v>
      </c>
      <c r="DL2573" s="1" t="s">
        <v>223</v>
      </c>
      <c r="DM2573" s="1" t="s">
        <v>338</v>
      </c>
      <c r="DQ2573" s="1" t="s">
        <v>441</v>
      </c>
      <c r="DR2573" s="1" t="s">
        <v>588</v>
      </c>
      <c r="DV2573" s="1" t="s">
        <v>598</v>
      </c>
      <c r="DW2573" s="1" t="s">
        <v>444</v>
      </c>
      <c r="DX2573" s="1" t="s">
        <v>234</v>
      </c>
      <c r="EC2573" s="1" t="s">
        <v>237</v>
      </c>
      <c r="EG2573" s="1" t="s">
        <v>598</v>
      </c>
      <c r="EL2573" s="1" t="s">
        <v>269</v>
      </c>
      <c r="EM2573" s="1" t="s">
        <v>206</v>
      </c>
      <c r="EQ2573" s="1" t="s">
        <v>238</v>
      </c>
      <c r="EU2573" s="1" t="s">
        <v>238</v>
      </c>
      <c r="EY2573" s="1" t="s">
        <v>238</v>
      </c>
      <c r="FC2573" s="1" t="s">
        <v>238</v>
      </c>
      <c r="FF2573" s="1" t="s">
        <v>239</v>
      </c>
      <c r="FG2573" s="1" t="s">
        <v>192</v>
      </c>
      <c r="FH2573" s="1" t="s">
        <v>192</v>
      </c>
      <c r="FJ2573" s="1" t="s">
        <v>23124</v>
      </c>
      <c r="FK2573" s="1" t="s">
        <v>229</v>
      </c>
      <c r="FL2573" s="1" t="s">
        <v>13696</v>
      </c>
      <c r="FM2573" s="1">
        <v>25196.0</v>
      </c>
      <c r="FN2573" s="1" t="s">
        <v>13697</v>
      </c>
      <c r="FO2573" s="1" t="s">
        <v>13698</v>
      </c>
      <c r="FP2573" s="1">
        <v>214545.0</v>
      </c>
      <c r="FQ2573" s="1" t="s">
        <v>13697</v>
      </c>
      <c r="FU2573" s="1" t="s">
        <v>13699</v>
      </c>
      <c r="FV2573" s="1" t="s">
        <v>200</v>
      </c>
      <c r="FW2573" s="1" t="s">
        <v>3082</v>
      </c>
      <c r="FZ2573" s="1" t="s">
        <v>229</v>
      </c>
      <c r="GA2573" s="1" t="s">
        <v>291</v>
      </c>
      <c r="GB2573" s="2">
        <v>42146.0</v>
      </c>
      <c r="GC2573" s="1" t="s">
        <v>23125</v>
      </c>
    </row>
    <row r="2574">
      <c r="A2574" s="1">
        <v>201000.0</v>
      </c>
      <c r="B2574" s="1" t="s">
        <v>185</v>
      </c>
      <c r="C2574" s="1" t="str">
        <f>"08818339"</f>
        <v>08818339</v>
      </c>
      <c r="D2574" s="1" t="s">
        <v>186</v>
      </c>
      <c r="F2574" s="1" t="str">
        <f>"8062"</f>
        <v>8062</v>
      </c>
      <c r="G2574" s="2">
        <v>42020.0</v>
      </c>
      <c r="H2574" s="1">
        <v>199999.0</v>
      </c>
      <c r="I2574" s="1">
        <v>33.0</v>
      </c>
      <c r="J2574" s="1">
        <v>199999.0</v>
      </c>
      <c r="K2574" s="2">
        <v>42052.0</v>
      </c>
      <c r="L2574" s="1">
        <v>33.0</v>
      </c>
      <c r="M2574" s="2">
        <v>42052.0</v>
      </c>
      <c r="N2574" s="1" t="s">
        <v>356</v>
      </c>
      <c r="O2574" s="2">
        <v>42130.0</v>
      </c>
      <c r="P2574" s="1">
        <v>166001.0</v>
      </c>
      <c r="Q2574" s="1">
        <v>84301.0</v>
      </c>
      <c r="S2574" s="1">
        <v>5536.0</v>
      </c>
      <c r="T2574" s="1" t="s">
        <v>1390</v>
      </c>
      <c r="U2574" s="1" t="s">
        <v>189</v>
      </c>
      <c r="V2574" s="1" t="s">
        <v>190</v>
      </c>
      <c r="W2574" s="1">
        <v>60629.0</v>
      </c>
      <c r="Y2574" s="1" t="s">
        <v>23126</v>
      </c>
      <c r="Z2574" s="1">
        <v>1951.0</v>
      </c>
      <c r="AA2574" s="1" t="s">
        <v>192</v>
      </c>
      <c r="AB2574" s="1" t="s">
        <v>193</v>
      </c>
      <c r="AD2574" s="1" t="s">
        <v>194</v>
      </c>
      <c r="AE2574" s="1" t="s">
        <v>195</v>
      </c>
      <c r="AF2574" s="1" t="s">
        <v>659</v>
      </c>
      <c r="AG2574" s="1" t="s">
        <v>1392</v>
      </c>
      <c r="AH2574" s="1" t="s">
        <v>1501</v>
      </c>
      <c r="AI2574" s="1">
        <v>0.0</v>
      </c>
      <c r="AK2574" s="1">
        <v>10.0</v>
      </c>
      <c r="AL2574" s="1">
        <v>4.0</v>
      </c>
      <c r="AM2574" s="1">
        <v>3.0</v>
      </c>
      <c r="AN2574" s="1">
        <v>0.0</v>
      </c>
      <c r="AO2574" s="1" t="s">
        <v>229</v>
      </c>
      <c r="AQ2574" s="1" t="s">
        <v>198</v>
      </c>
      <c r="AR2574" s="1" t="s">
        <v>192</v>
      </c>
      <c r="AS2574" s="1" t="s">
        <v>199</v>
      </c>
      <c r="AT2574" s="1">
        <v>2.0</v>
      </c>
      <c r="AV2574" s="1" t="s">
        <v>200</v>
      </c>
      <c r="AW2574" s="1">
        <v>2488.2</v>
      </c>
      <c r="AX2574" s="1">
        <v>2013.0</v>
      </c>
      <c r="AY2574" s="1" t="s">
        <v>387</v>
      </c>
      <c r="AZ2574" s="1" t="s">
        <v>200</v>
      </c>
      <c r="BA2574" s="1" t="str">
        <f>"19152010520000"</f>
        <v>19152010520000</v>
      </c>
      <c r="BB2574" s="1" t="s">
        <v>200</v>
      </c>
      <c r="BC2574" s="1">
        <v>1200.0</v>
      </c>
      <c r="BD2574" s="1">
        <v>201000.0</v>
      </c>
      <c r="BE2574" s="2">
        <v>42020.0</v>
      </c>
      <c r="BF2574" s="2" t="s">
        <v>23127</v>
      </c>
      <c r="BH2574" s="1">
        <v>0.0</v>
      </c>
      <c r="BK2574" s="1" t="s">
        <v>204</v>
      </c>
      <c r="BL2574" s="1" t="str">
        <f t="shared" ref="BL2574:BM2574" si="1682">"0"</f>
        <v>0</v>
      </c>
      <c r="BM2574" s="1" t="str">
        <f t="shared" si="1682"/>
        <v>0</v>
      </c>
      <c r="BN2574" s="1">
        <v>4300.0</v>
      </c>
      <c r="BO2574" s="1">
        <v>5536.0</v>
      </c>
      <c r="BQ2574" s="1">
        <v>299.0</v>
      </c>
      <c r="BR2574" s="1">
        <v>299.0</v>
      </c>
      <c r="BS2574" s="1">
        <v>299.0</v>
      </c>
      <c r="BU2574" s="1" t="s">
        <v>1426</v>
      </c>
      <c r="BV2574" s="1" t="s">
        <v>206</v>
      </c>
      <c r="BW2574" s="1" t="s">
        <v>207</v>
      </c>
      <c r="BX2574" s="1" t="s">
        <v>239</v>
      </c>
      <c r="BY2574" s="1" t="s">
        <v>743</v>
      </c>
      <c r="BZ2574" s="1" t="s">
        <v>209</v>
      </c>
      <c r="CA2574" s="1" t="s">
        <v>207</v>
      </c>
      <c r="CB2574" s="1" t="s">
        <v>239</v>
      </c>
      <c r="CC2574" s="1" t="s">
        <v>392</v>
      </c>
      <c r="CD2574" s="1" t="s">
        <v>206</v>
      </c>
      <c r="CE2574" s="1" t="s">
        <v>207</v>
      </c>
      <c r="CF2574" s="1" t="s">
        <v>239</v>
      </c>
      <c r="CG2574" s="1" t="s">
        <v>393</v>
      </c>
      <c r="CH2574" s="1" t="s">
        <v>209</v>
      </c>
      <c r="CI2574" s="1" t="s">
        <v>207</v>
      </c>
      <c r="CJ2574" s="1" t="s">
        <v>239</v>
      </c>
      <c r="CK2574" s="1" t="s">
        <v>433</v>
      </c>
      <c r="CL2574" s="1" t="s">
        <v>206</v>
      </c>
      <c r="CM2574" s="1" t="s">
        <v>207</v>
      </c>
      <c r="CN2574" s="1" t="s">
        <v>239</v>
      </c>
      <c r="CO2574" s="1" t="s">
        <v>743</v>
      </c>
      <c r="CP2574" s="1" t="s">
        <v>267</v>
      </c>
      <c r="CQ2574" s="1" t="s">
        <v>268</v>
      </c>
      <c r="CR2574" s="1" t="s">
        <v>239</v>
      </c>
      <c r="CS2574" s="1" t="s">
        <v>433</v>
      </c>
      <c r="CT2574" s="1" t="s">
        <v>206</v>
      </c>
      <c r="CU2574" s="1" t="s">
        <v>268</v>
      </c>
      <c r="CV2574" s="1" t="s">
        <v>239</v>
      </c>
      <c r="CW2574" s="1" t="s">
        <v>480</v>
      </c>
      <c r="CX2574" s="1" t="s">
        <v>267</v>
      </c>
      <c r="CY2574" s="1" t="s">
        <v>268</v>
      </c>
      <c r="CZ2574" s="1" t="s">
        <v>239</v>
      </c>
      <c r="DA2574" s="1" t="s">
        <v>200</v>
      </c>
      <c r="DC2574" s="1" t="s">
        <v>702</v>
      </c>
      <c r="DD2574" s="1" t="s">
        <v>436</v>
      </c>
      <c r="DE2574" s="1" t="s">
        <v>273</v>
      </c>
      <c r="DF2574" s="1" t="s">
        <v>905</v>
      </c>
      <c r="DH2574" s="1" t="s">
        <v>307</v>
      </c>
      <c r="DI2574" s="1" t="s">
        <v>3203</v>
      </c>
      <c r="DJ2574" s="1" t="s">
        <v>1048</v>
      </c>
      <c r="DK2574" s="1" t="s">
        <v>9115</v>
      </c>
      <c r="DL2574" s="1" t="s">
        <v>224</v>
      </c>
      <c r="DM2574" s="1" t="s">
        <v>1464</v>
      </c>
      <c r="DP2574" s="1" t="s">
        <v>340</v>
      </c>
      <c r="DQ2574" s="1" t="s">
        <v>794</v>
      </c>
      <c r="DR2574" s="1" t="s">
        <v>229</v>
      </c>
      <c r="DS2574" s="1" t="s">
        <v>230</v>
      </c>
      <c r="DU2574" s="1" t="s">
        <v>1355</v>
      </c>
      <c r="DV2574" s="1" t="s">
        <v>9304</v>
      </c>
      <c r="DW2574" s="1" t="s">
        <v>279</v>
      </c>
      <c r="DX2574" s="1" t="s">
        <v>234</v>
      </c>
      <c r="DY2574" s="1" t="s">
        <v>987</v>
      </c>
      <c r="EA2574" s="1" t="s">
        <v>1075</v>
      </c>
      <c r="EC2574" s="1" t="s">
        <v>645</v>
      </c>
      <c r="EE2574" s="1" t="s">
        <v>187</v>
      </c>
      <c r="EG2574" s="1" t="s">
        <v>1824</v>
      </c>
      <c r="EH2574" s="1" t="s">
        <v>598</v>
      </c>
      <c r="EL2574" s="1" t="s">
        <v>743</v>
      </c>
      <c r="EM2574" s="1" t="s">
        <v>42</v>
      </c>
      <c r="EN2574" s="1" t="s">
        <v>268</v>
      </c>
      <c r="EO2574" s="1" t="s">
        <v>239</v>
      </c>
      <c r="EP2574" s="1" t="s">
        <v>433</v>
      </c>
      <c r="EQ2574" s="1" t="s">
        <v>42</v>
      </c>
      <c r="ER2574" s="1" t="s">
        <v>268</v>
      </c>
      <c r="ES2574" s="1" t="s">
        <v>239</v>
      </c>
      <c r="EU2574" s="1" t="s">
        <v>238</v>
      </c>
      <c r="EY2574" s="1" t="s">
        <v>238</v>
      </c>
      <c r="FC2574" s="1" t="s">
        <v>238</v>
      </c>
      <c r="FF2574" s="1" t="s">
        <v>239</v>
      </c>
      <c r="FG2574" s="1" t="s">
        <v>192</v>
      </c>
      <c r="FH2574" s="1" t="s">
        <v>192</v>
      </c>
      <c r="FJ2574" s="1" t="s">
        <v>23128</v>
      </c>
      <c r="FK2574" s="1" t="s">
        <v>557</v>
      </c>
      <c r="FL2574" s="1" t="s">
        <v>16618</v>
      </c>
      <c r="FM2574" s="1">
        <v>17966.0</v>
      </c>
      <c r="FN2574" s="1" t="s">
        <v>16619</v>
      </c>
      <c r="FO2574" s="1" t="s">
        <v>16620</v>
      </c>
      <c r="FP2574" s="1">
        <v>166819.0</v>
      </c>
      <c r="FQ2574" s="1" t="s">
        <v>16621</v>
      </c>
      <c r="FU2574" s="1" t="s">
        <v>23129</v>
      </c>
      <c r="FV2574" s="1" t="s">
        <v>200</v>
      </c>
      <c r="FW2574" s="1" t="s">
        <v>1411</v>
      </c>
      <c r="FX2574" s="1" t="s">
        <v>655</v>
      </c>
      <c r="FZ2574" s="1" t="s">
        <v>229</v>
      </c>
      <c r="GA2574" s="1" t="s">
        <v>247</v>
      </c>
      <c r="GB2574" s="2">
        <v>42130.0</v>
      </c>
    </row>
    <row r="2575">
      <c r="A2575" s="1">
        <v>135000.0</v>
      </c>
      <c r="B2575" s="1" t="s">
        <v>185</v>
      </c>
      <c r="C2575" s="1" t="str">
        <f>"08820874"</f>
        <v>08820874</v>
      </c>
      <c r="D2575" s="1" t="s">
        <v>186</v>
      </c>
      <c r="F2575" s="1" t="str">
        <f>"8019"</f>
        <v>8019</v>
      </c>
      <c r="G2575" s="2">
        <v>42025.0</v>
      </c>
      <c r="H2575" s="1">
        <v>149900.0</v>
      </c>
      <c r="I2575" s="1">
        <v>542.0</v>
      </c>
      <c r="J2575" s="1">
        <v>129900.0</v>
      </c>
      <c r="K2575" s="2">
        <v>42037.0</v>
      </c>
      <c r="L2575" s="1">
        <v>13.0</v>
      </c>
      <c r="M2575" s="2">
        <v>42037.0</v>
      </c>
      <c r="N2575" s="1" t="s">
        <v>249</v>
      </c>
      <c r="O2575" s="2">
        <v>42059.0</v>
      </c>
      <c r="P2575" s="1">
        <v>131174.0</v>
      </c>
      <c r="Q2575" s="1">
        <v>16936.0</v>
      </c>
      <c r="S2575" s="1">
        <v>3117.0</v>
      </c>
      <c r="T2575" s="1" t="s">
        <v>10575</v>
      </c>
      <c r="U2575" s="1" t="s">
        <v>189</v>
      </c>
      <c r="V2575" s="1" t="s">
        <v>190</v>
      </c>
      <c r="W2575" s="1">
        <v>60634.0</v>
      </c>
      <c r="Y2575" s="1" t="s">
        <v>23130</v>
      </c>
      <c r="Z2575" s="1">
        <v>1955.0</v>
      </c>
      <c r="AA2575" s="1" t="s">
        <v>192</v>
      </c>
      <c r="AB2575" s="1" t="s">
        <v>193</v>
      </c>
      <c r="AD2575" s="1" t="s">
        <v>194</v>
      </c>
      <c r="AE2575" s="1" t="s">
        <v>195</v>
      </c>
      <c r="AF2575" s="1" t="s">
        <v>196</v>
      </c>
      <c r="AH2575" s="1">
        <v>3720.0</v>
      </c>
      <c r="AK2575" s="1">
        <v>6.0</v>
      </c>
      <c r="AL2575" s="1">
        <v>4.0</v>
      </c>
      <c r="AM2575" s="1">
        <v>1.0</v>
      </c>
      <c r="AN2575" s="1">
        <v>0.0</v>
      </c>
      <c r="AO2575" s="1" t="s">
        <v>229</v>
      </c>
      <c r="AQ2575" s="1" t="s">
        <v>198</v>
      </c>
      <c r="AR2575" s="1" t="s">
        <v>192</v>
      </c>
      <c r="AS2575" s="1" t="s">
        <v>199</v>
      </c>
      <c r="AT2575" s="1">
        <v>2.0</v>
      </c>
      <c r="AV2575" s="1" t="s">
        <v>200</v>
      </c>
      <c r="AW2575" s="1">
        <v>3109.33</v>
      </c>
      <c r="AX2575" s="1">
        <v>2013.0</v>
      </c>
      <c r="AZ2575" s="1" t="s">
        <v>545</v>
      </c>
      <c r="BA2575" s="1" t="str">
        <f>"13292000180000"</f>
        <v>13292000180000</v>
      </c>
      <c r="BB2575" s="1" t="s">
        <v>200</v>
      </c>
      <c r="BC2575" s="1">
        <v>904.0</v>
      </c>
      <c r="BD2575" s="1">
        <v>135000.0</v>
      </c>
      <c r="BE2575" s="2">
        <v>42025.0</v>
      </c>
      <c r="BF2575" s="1" t="s">
        <v>23131</v>
      </c>
      <c r="BH2575" s="1">
        <v>0.0</v>
      </c>
      <c r="BK2575" s="1" t="s">
        <v>204</v>
      </c>
      <c r="BL2575" s="1" t="str">
        <f>"3117"</f>
        <v>3117</v>
      </c>
      <c r="BM2575" s="1" t="str">
        <f>"0"</f>
        <v>0</v>
      </c>
      <c r="BN2575" s="1">
        <v>6000.0</v>
      </c>
      <c r="BO2575" s="1">
        <v>0.0</v>
      </c>
      <c r="BQ2575" s="1">
        <v>299.0</v>
      </c>
      <c r="BR2575" s="1">
        <v>299.0</v>
      </c>
      <c r="BS2575" s="1">
        <v>299.0</v>
      </c>
      <c r="BU2575" s="1" t="s">
        <v>582</v>
      </c>
      <c r="BV2575" s="1" t="s">
        <v>206</v>
      </c>
      <c r="BY2575" s="1" t="s">
        <v>454</v>
      </c>
      <c r="BZ2575" s="1" t="s">
        <v>209</v>
      </c>
      <c r="CD2575" s="1" t="s">
        <v>204</v>
      </c>
      <c r="CG2575" s="1" t="s">
        <v>363</v>
      </c>
      <c r="CH2575" s="1" t="s">
        <v>209</v>
      </c>
      <c r="CK2575" s="1" t="s">
        <v>264</v>
      </c>
      <c r="CL2575" s="1" t="s">
        <v>206</v>
      </c>
      <c r="CO2575" s="1" t="s">
        <v>264</v>
      </c>
      <c r="CP2575" s="1" t="s">
        <v>206</v>
      </c>
      <c r="CS2575" s="1" t="s">
        <v>211</v>
      </c>
      <c r="CT2575" s="1" t="s">
        <v>206</v>
      </c>
      <c r="CX2575" s="1" t="s">
        <v>204</v>
      </c>
      <c r="DA2575" s="1" t="s">
        <v>200</v>
      </c>
      <c r="DC2575" s="1" t="s">
        <v>271</v>
      </c>
      <c r="DE2575" s="1" t="s">
        <v>229</v>
      </c>
      <c r="DF2575" s="1" t="s">
        <v>219</v>
      </c>
      <c r="DH2575" s="1" t="s">
        <v>220</v>
      </c>
      <c r="DJ2575" s="1" t="s">
        <v>222</v>
      </c>
      <c r="DL2575" s="1" t="s">
        <v>223</v>
      </c>
      <c r="DM2575" s="1" t="s">
        <v>229</v>
      </c>
      <c r="DQ2575" s="1" t="s">
        <v>228</v>
      </c>
      <c r="DR2575" s="1" t="s">
        <v>229</v>
      </c>
      <c r="DV2575" s="1" t="s">
        <v>232</v>
      </c>
      <c r="DW2575" s="1" t="s">
        <v>279</v>
      </c>
      <c r="DX2575" s="1" t="s">
        <v>234</v>
      </c>
      <c r="EC2575" s="1" t="s">
        <v>645</v>
      </c>
      <c r="EM2575" s="1" t="s">
        <v>238</v>
      </c>
      <c r="EQ2575" s="1" t="s">
        <v>238</v>
      </c>
      <c r="EU2575" s="1" t="s">
        <v>238</v>
      </c>
      <c r="EY2575" s="1" t="s">
        <v>238</v>
      </c>
      <c r="FC2575" s="1" t="s">
        <v>238</v>
      </c>
      <c r="FF2575" s="1" t="s">
        <v>239</v>
      </c>
      <c r="FG2575" s="1" t="s">
        <v>192</v>
      </c>
      <c r="FH2575" s="1" t="s">
        <v>192</v>
      </c>
      <c r="FJ2575" s="1" t="s">
        <v>524</v>
      </c>
      <c r="FK2575" s="1" t="s">
        <v>229</v>
      </c>
      <c r="FL2575" s="1" t="s">
        <v>11622</v>
      </c>
      <c r="FM2575" s="1">
        <v>16339.0</v>
      </c>
      <c r="FN2575" s="1" t="s">
        <v>11623</v>
      </c>
      <c r="FO2575" s="1" t="s">
        <v>11624</v>
      </c>
      <c r="FP2575" s="1">
        <v>106496.0</v>
      </c>
      <c r="FR2575" s="1">
        <v>165879.0</v>
      </c>
      <c r="FU2575" s="1" t="s">
        <v>15607</v>
      </c>
      <c r="FV2575" s="1" t="s">
        <v>200</v>
      </c>
      <c r="FW2575" s="1" t="s">
        <v>7400</v>
      </c>
      <c r="FX2575" s="1" t="s">
        <v>238</v>
      </c>
      <c r="FZ2575" s="1" t="s">
        <v>229</v>
      </c>
      <c r="GA2575" s="1" t="s">
        <v>291</v>
      </c>
      <c r="GB2575" s="2">
        <v>42059.0</v>
      </c>
      <c r="GC2575" s="1" t="s">
        <v>23132</v>
      </c>
    </row>
    <row r="2576">
      <c r="A2576" s="1">
        <v>365000.0</v>
      </c>
      <c r="B2576" s="1" t="s">
        <v>185</v>
      </c>
      <c r="C2576" s="1" t="str">
        <f>"08827091"</f>
        <v>08827091</v>
      </c>
      <c r="D2576" s="1" t="s">
        <v>186</v>
      </c>
      <c r="F2576" s="1" t="str">
        <f>"177"</f>
        <v>177</v>
      </c>
      <c r="G2576" s="2">
        <v>42033.0</v>
      </c>
      <c r="H2576" s="1">
        <v>389900.0</v>
      </c>
      <c r="I2576" s="1">
        <v>61.0</v>
      </c>
      <c r="J2576" s="1">
        <v>389900.0</v>
      </c>
      <c r="K2576" s="2">
        <v>42093.0</v>
      </c>
      <c r="L2576" s="1">
        <v>61.0</v>
      </c>
      <c r="M2576" s="2">
        <v>42093.0</v>
      </c>
      <c r="N2576" s="1" t="s">
        <v>187</v>
      </c>
      <c r="O2576" s="2">
        <v>42145.0</v>
      </c>
      <c r="P2576" s="1">
        <v>381.0</v>
      </c>
      <c r="Q2576" s="1">
        <v>604.0</v>
      </c>
      <c r="S2576" s="1">
        <v>917.0</v>
      </c>
      <c r="T2576" s="1" t="s">
        <v>23133</v>
      </c>
      <c r="U2576" s="1" t="s">
        <v>569</v>
      </c>
      <c r="V2576" s="1" t="s">
        <v>2249</v>
      </c>
      <c r="W2576" s="1">
        <v>60177.0</v>
      </c>
      <c r="Y2576" s="1" t="s">
        <v>23134</v>
      </c>
      <c r="Z2576" s="1">
        <v>1999.0</v>
      </c>
      <c r="AA2576" s="1" t="s">
        <v>200</v>
      </c>
      <c r="AB2576" s="1" t="s">
        <v>467</v>
      </c>
      <c r="AD2576" s="1" t="s">
        <v>2252</v>
      </c>
      <c r="AE2576" s="1" t="s">
        <v>325</v>
      </c>
      <c r="AF2576" s="1" t="s">
        <v>1203</v>
      </c>
      <c r="AH2576" s="1" t="s">
        <v>23135</v>
      </c>
      <c r="AK2576" s="1">
        <v>8.0</v>
      </c>
      <c r="AL2576" s="1">
        <v>4.0</v>
      </c>
      <c r="AM2576" s="1">
        <v>4.0</v>
      </c>
      <c r="AN2576" s="1">
        <v>0.0</v>
      </c>
      <c r="AO2576" s="1" t="s">
        <v>198</v>
      </c>
      <c r="AQ2576" s="1" t="s">
        <v>327</v>
      </c>
      <c r="AR2576" s="1" t="s">
        <v>192</v>
      </c>
      <c r="AS2576" s="1" t="s">
        <v>199</v>
      </c>
      <c r="AT2576" s="1">
        <v>3.0</v>
      </c>
      <c r="AV2576" s="1" t="s">
        <v>200</v>
      </c>
      <c r="AW2576" s="1">
        <v>11861.9</v>
      </c>
      <c r="AX2576" s="1">
        <v>2013.0</v>
      </c>
      <c r="AY2576" s="1" t="s">
        <v>387</v>
      </c>
      <c r="AZ2576" s="1" t="s">
        <v>545</v>
      </c>
      <c r="BA2576" s="1" t="str">
        <f>"0905380020"</f>
        <v>0905380020</v>
      </c>
      <c r="BC2576" s="1">
        <v>2734.0</v>
      </c>
      <c r="BD2576" s="1">
        <v>365000.0</v>
      </c>
      <c r="BE2576" s="2">
        <v>42033.0</v>
      </c>
      <c r="BF2576" s="1" t="s">
        <v>12297</v>
      </c>
      <c r="BH2576" s="1">
        <v>117.0</v>
      </c>
      <c r="BK2576" s="1" t="s">
        <v>1952</v>
      </c>
      <c r="BL2576" s="1" t="str">
        <f t="shared" ref="BL2576:BM2576" si="1683">""</f>
        <v/>
      </c>
      <c r="BM2576" s="1" t="str">
        <f t="shared" si="1683"/>
        <v/>
      </c>
      <c r="BQ2576" s="1">
        <v>303.0</v>
      </c>
      <c r="BR2576" s="1">
        <v>303.0</v>
      </c>
      <c r="BS2576" s="1">
        <v>303.0</v>
      </c>
      <c r="BU2576" s="1" t="s">
        <v>454</v>
      </c>
      <c r="BV2576" s="1" t="s">
        <v>206</v>
      </c>
      <c r="BY2576" s="1" t="s">
        <v>1426</v>
      </c>
      <c r="BZ2576" s="1" t="s">
        <v>209</v>
      </c>
      <c r="CC2576" s="1" t="s">
        <v>215</v>
      </c>
      <c r="CD2576" s="1" t="s">
        <v>206</v>
      </c>
      <c r="CG2576" s="1" t="s">
        <v>454</v>
      </c>
      <c r="CH2576" s="1" t="s">
        <v>209</v>
      </c>
      <c r="CK2576" s="1" t="s">
        <v>262</v>
      </c>
      <c r="CL2576" s="1" t="s">
        <v>209</v>
      </c>
      <c r="CO2576" s="1" t="s">
        <v>212</v>
      </c>
      <c r="CP2576" s="1" t="s">
        <v>209</v>
      </c>
      <c r="CS2576" s="1" t="s">
        <v>3387</v>
      </c>
      <c r="CT2576" s="1" t="s">
        <v>206</v>
      </c>
      <c r="CW2576" s="1" t="s">
        <v>854</v>
      </c>
      <c r="CX2576" s="1" t="s">
        <v>206</v>
      </c>
      <c r="DA2576" s="1" t="s">
        <v>200</v>
      </c>
      <c r="DC2576" s="1" t="s">
        <v>678</v>
      </c>
      <c r="DE2576" s="1" t="s">
        <v>273</v>
      </c>
      <c r="DF2576" s="1" t="s">
        <v>619</v>
      </c>
      <c r="DH2576" s="1" t="s">
        <v>220</v>
      </c>
      <c r="DJ2576" s="1" t="s">
        <v>222</v>
      </c>
      <c r="DL2576" s="1" t="s">
        <v>224</v>
      </c>
      <c r="DM2576" s="1" t="s">
        <v>229</v>
      </c>
      <c r="DQ2576" s="1" t="s">
        <v>441</v>
      </c>
      <c r="DR2576" s="1" t="s">
        <v>3096</v>
      </c>
      <c r="DV2576" s="1" t="s">
        <v>232</v>
      </c>
      <c r="DW2576" s="1" t="s">
        <v>3142</v>
      </c>
      <c r="DX2576" s="1" t="s">
        <v>234</v>
      </c>
      <c r="EA2576" s="1" t="s">
        <v>3308</v>
      </c>
      <c r="EC2576" s="1" t="s">
        <v>237</v>
      </c>
      <c r="EM2576" s="1" t="s">
        <v>238</v>
      </c>
      <c r="EQ2576" s="1" t="s">
        <v>238</v>
      </c>
      <c r="EU2576" s="1" t="s">
        <v>238</v>
      </c>
      <c r="EY2576" s="1" t="s">
        <v>238</v>
      </c>
      <c r="FC2576" s="1" t="s">
        <v>238</v>
      </c>
      <c r="FF2576" s="1" t="s">
        <v>239</v>
      </c>
      <c r="FG2576" s="1" t="s">
        <v>192</v>
      </c>
      <c r="FH2576" s="1" t="s">
        <v>192</v>
      </c>
      <c r="FJ2576" s="1" t="s">
        <v>1469</v>
      </c>
      <c r="FK2576" s="1" t="s">
        <v>229</v>
      </c>
      <c r="FL2576" s="1" t="s">
        <v>893</v>
      </c>
      <c r="FM2576" s="1">
        <v>604.0</v>
      </c>
      <c r="FN2576" s="1" t="s">
        <v>894</v>
      </c>
      <c r="FO2576" s="1" t="s">
        <v>895</v>
      </c>
      <c r="FP2576" s="1">
        <v>381.0</v>
      </c>
      <c r="FQ2576" s="1" t="s">
        <v>896</v>
      </c>
      <c r="FR2576" s="1">
        <v>1954.0</v>
      </c>
      <c r="FU2576" s="1" t="s">
        <v>897</v>
      </c>
      <c r="FV2576" s="1" t="s">
        <v>200</v>
      </c>
      <c r="FW2576" s="1" t="s">
        <v>290</v>
      </c>
      <c r="FX2576" s="1" t="s">
        <v>246</v>
      </c>
      <c r="FZ2576" s="1" t="s">
        <v>229</v>
      </c>
      <c r="GA2576" s="1" t="s">
        <v>291</v>
      </c>
      <c r="GB2576" s="2">
        <v>42145.0</v>
      </c>
      <c r="GC2576" s="1" t="s">
        <v>23136</v>
      </c>
    </row>
    <row r="2577">
      <c r="A2577" s="1">
        <v>216000.0</v>
      </c>
      <c r="B2577" s="1" t="s">
        <v>185</v>
      </c>
      <c r="C2577" s="1" t="str">
        <f>"08853014"</f>
        <v>08853014</v>
      </c>
      <c r="D2577" s="1" t="s">
        <v>186</v>
      </c>
      <c r="F2577" s="1" t="str">
        <f>"510"</f>
        <v>510</v>
      </c>
      <c r="G2577" s="2">
        <v>42068.0</v>
      </c>
      <c r="H2577" s="1">
        <v>215000.0</v>
      </c>
      <c r="I2577" s="1">
        <v>2.0</v>
      </c>
      <c r="J2577" s="1">
        <v>215000.0</v>
      </c>
      <c r="K2577" s="2">
        <v>42069.0</v>
      </c>
      <c r="L2577" s="1">
        <v>2.0</v>
      </c>
      <c r="M2577" s="2">
        <v>42069.0</v>
      </c>
      <c r="N2577" s="1" t="s">
        <v>187</v>
      </c>
      <c r="O2577" s="2">
        <v>42097.0</v>
      </c>
      <c r="P2577" s="1">
        <v>783.0</v>
      </c>
      <c r="Q2577" s="1">
        <v>30.0</v>
      </c>
      <c r="S2577" s="1">
        <v>423.0</v>
      </c>
      <c r="T2577" s="1" t="s">
        <v>23137</v>
      </c>
      <c r="U2577" s="1" t="s">
        <v>420</v>
      </c>
      <c r="V2577" s="1" t="s">
        <v>2700</v>
      </c>
      <c r="W2577" s="1">
        <v>60510.0</v>
      </c>
      <c r="Y2577" s="1" t="s">
        <v>23138</v>
      </c>
      <c r="Z2577" s="1">
        <v>1960.0</v>
      </c>
      <c r="AA2577" s="1" t="s">
        <v>192</v>
      </c>
      <c r="AB2577" s="1" t="s">
        <v>193</v>
      </c>
      <c r="AC2577" s="1" t="s">
        <v>23139</v>
      </c>
      <c r="AD2577" s="1" t="s">
        <v>2702</v>
      </c>
      <c r="AE2577" s="1" t="s">
        <v>325</v>
      </c>
      <c r="AF2577" s="1" t="s">
        <v>424</v>
      </c>
      <c r="AH2577" s="1" t="s">
        <v>23140</v>
      </c>
      <c r="AI2577" s="1">
        <v>0.0</v>
      </c>
      <c r="AK2577" s="1">
        <v>7.0</v>
      </c>
      <c r="AL2577" s="1">
        <v>4.0</v>
      </c>
      <c r="AM2577" s="1">
        <v>2.0</v>
      </c>
      <c r="AN2577" s="1">
        <v>0.0</v>
      </c>
      <c r="AO2577" s="1" t="s">
        <v>229</v>
      </c>
      <c r="AP2577" s="1">
        <v>0.0</v>
      </c>
      <c r="AQ2577" s="1" t="s">
        <v>5726</v>
      </c>
      <c r="AR2577" s="1" t="s">
        <v>192</v>
      </c>
      <c r="AS2577" s="1" t="s">
        <v>199</v>
      </c>
      <c r="AT2577" s="1">
        <v>2.0</v>
      </c>
      <c r="AV2577" s="1" t="s">
        <v>200</v>
      </c>
      <c r="AW2577" s="1">
        <v>4348.76</v>
      </c>
      <c r="AX2577" s="1">
        <v>2013.0</v>
      </c>
      <c r="AY2577" s="1" t="s">
        <v>387</v>
      </c>
      <c r="AZ2577" s="1" t="s">
        <v>200</v>
      </c>
      <c r="BA2577" s="1" t="str">
        <f>"1214104007"</f>
        <v>1214104007</v>
      </c>
      <c r="BC2577" s="1">
        <v>0.0</v>
      </c>
      <c r="BD2577" s="1">
        <v>216000.0</v>
      </c>
      <c r="BE2577" s="2">
        <v>42068.0</v>
      </c>
      <c r="BF2577" s="2" t="s">
        <v>23141</v>
      </c>
      <c r="BH2577" s="1">
        <v>0.0</v>
      </c>
      <c r="BI2577" s="1" t="s">
        <v>429</v>
      </c>
      <c r="BJ2577" s="1" t="s">
        <v>430</v>
      </c>
      <c r="BK2577" s="1" t="s">
        <v>204</v>
      </c>
      <c r="BL2577" s="1" t="str">
        <f t="shared" ref="BL2577:BM2577" si="1684">"0"</f>
        <v>0</v>
      </c>
      <c r="BM2577" s="1" t="str">
        <f t="shared" si="1684"/>
        <v>0</v>
      </c>
      <c r="BN2577" s="1">
        <v>34.0</v>
      </c>
      <c r="BO2577" s="1">
        <v>0.0</v>
      </c>
      <c r="BQ2577" s="1">
        <v>304.0</v>
      </c>
      <c r="BR2577" s="1">
        <v>304.0</v>
      </c>
      <c r="BS2577" s="1">
        <v>304.0</v>
      </c>
      <c r="BU2577" s="1" t="s">
        <v>1535</v>
      </c>
      <c r="BV2577" s="1" t="s">
        <v>206</v>
      </c>
      <c r="BW2577" s="1" t="s">
        <v>207</v>
      </c>
      <c r="BX2577" s="1" t="s">
        <v>229</v>
      </c>
      <c r="BY2577" s="1" t="s">
        <v>331</v>
      </c>
      <c r="BZ2577" s="1" t="s">
        <v>209</v>
      </c>
      <c r="CA2577" s="1" t="s">
        <v>207</v>
      </c>
      <c r="CB2577" s="1" t="s">
        <v>229</v>
      </c>
      <c r="CD2577" s="1" t="s">
        <v>204</v>
      </c>
      <c r="CF2577" s="1" t="s">
        <v>229</v>
      </c>
      <c r="CG2577" s="1" t="s">
        <v>495</v>
      </c>
      <c r="CH2577" s="1" t="s">
        <v>209</v>
      </c>
      <c r="CI2577" s="1" t="s">
        <v>207</v>
      </c>
      <c r="CJ2577" s="1" t="s">
        <v>229</v>
      </c>
      <c r="CK2577" s="1" t="s">
        <v>269</v>
      </c>
      <c r="CL2577" s="1" t="s">
        <v>209</v>
      </c>
      <c r="CM2577" s="1" t="s">
        <v>207</v>
      </c>
      <c r="CN2577" s="1" t="s">
        <v>229</v>
      </c>
      <c r="CO2577" s="1" t="s">
        <v>302</v>
      </c>
      <c r="CP2577" s="1" t="s">
        <v>267</v>
      </c>
      <c r="CQ2577" s="1" t="s">
        <v>210</v>
      </c>
      <c r="CR2577" s="1" t="s">
        <v>229</v>
      </c>
      <c r="CS2577" s="1" t="s">
        <v>332</v>
      </c>
      <c r="CT2577" s="1" t="s">
        <v>206</v>
      </c>
      <c r="CU2577" s="1" t="s">
        <v>207</v>
      </c>
      <c r="CV2577" s="1" t="s">
        <v>229</v>
      </c>
      <c r="CW2577" s="1" t="s">
        <v>1190</v>
      </c>
      <c r="CX2577" s="1" t="s">
        <v>267</v>
      </c>
      <c r="CY2577" s="1" t="s">
        <v>210</v>
      </c>
      <c r="CZ2577" s="1" t="s">
        <v>229</v>
      </c>
      <c r="DA2577" s="1" t="s">
        <v>200</v>
      </c>
      <c r="DC2577" s="1" t="s">
        <v>271</v>
      </c>
      <c r="DD2577" s="1" t="s">
        <v>306</v>
      </c>
      <c r="DE2577" s="1" t="s">
        <v>273</v>
      </c>
      <c r="DF2577" s="1" t="s">
        <v>219</v>
      </c>
      <c r="DG2577" s="1" t="s">
        <v>1812</v>
      </c>
      <c r="DH2577" s="1" t="s">
        <v>220</v>
      </c>
      <c r="DI2577" s="1" t="s">
        <v>308</v>
      </c>
      <c r="DJ2577" s="1" t="s">
        <v>222</v>
      </c>
      <c r="DL2577" s="1" t="s">
        <v>224</v>
      </c>
      <c r="DM2577" s="1" t="s">
        <v>338</v>
      </c>
      <c r="DN2577" s="1" t="s">
        <v>367</v>
      </c>
      <c r="DO2577" s="1" t="s">
        <v>590</v>
      </c>
      <c r="DQ2577" s="1" t="s">
        <v>441</v>
      </c>
      <c r="DR2577" s="1" t="s">
        <v>229</v>
      </c>
      <c r="DS2577" s="1" t="s">
        <v>230</v>
      </c>
      <c r="DU2577" s="1" t="s">
        <v>681</v>
      </c>
      <c r="DV2577" s="1" t="s">
        <v>232</v>
      </c>
      <c r="DW2577" s="1" t="s">
        <v>233</v>
      </c>
      <c r="DX2577" s="1" t="s">
        <v>234</v>
      </c>
      <c r="DY2577" s="1" t="s">
        <v>235</v>
      </c>
      <c r="DZ2577" s="1" t="s">
        <v>282</v>
      </c>
      <c r="EA2577" s="1" t="s">
        <v>283</v>
      </c>
      <c r="EC2577" s="1" t="s">
        <v>284</v>
      </c>
      <c r="ED2577" s="1" t="s">
        <v>555</v>
      </c>
      <c r="EE2577" s="1" t="s">
        <v>493</v>
      </c>
      <c r="EM2577" s="1" t="s">
        <v>238</v>
      </c>
      <c r="EQ2577" s="1" t="s">
        <v>238</v>
      </c>
      <c r="EU2577" s="1" t="s">
        <v>238</v>
      </c>
      <c r="EY2577" s="1" t="s">
        <v>238</v>
      </c>
      <c r="FC2577" s="1" t="s">
        <v>238</v>
      </c>
      <c r="FF2577" s="1" t="s">
        <v>239</v>
      </c>
      <c r="FG2577" s="1" t="s">
        <v>192</v>
      </c>
      <c r="FH2577" s="1" t="s">
        <v>192</v>
      </c>
      <c r="FJ2577" s="1" t="s">
        <v>1573</v>
      </c>
      <c r="FK2577" s="1" t="s">
        <v>229</v>
      </c>
      <c r="FL2577" s="1" t="s">
        <v>23142</v>
      </c>
      <c r="FM2577" s="1">
        <v>25523.0</v>
      </c>
      <c r="FN2577" s="1" t="s">
        <v>23143</v>
      </c>
      <c r="FO2577" s="1" t="s">
        <v>23144</v>
      </c>
      <c r="FP2577" s="1">
        <v>239684.0</v>
      </c>
      <c r="FS2577" s="1" t="s">
        <v>23145</v>
      </c>
      <c r="FU2577" s="1" t="s">
        <v>23146</v>
      </c>
      <c r="FV2577" s="1" t="s">
        <v>192</v>
      </c>
      <c r="FW2577" s="1" t="s">
        <v>23147</v>
      </c>
      <c r="FZ2577" s="1" t="s">
        <v>229</v>
      </c>
      <c r="GA2577" s="1" t="s">
        <v>291</v>
      </c>
      <c r="GB2577" s="2">
        <v>42114.0</v>
      </c>
      <c r="GC2577" s="1" t="s">
        <v>23148</v>
      </c>
    </row>
    <row r="2578">
      <c r="A2578" s="1">
        <v>325000.0</v>
      </c>
      <c r="B2578" s="1" t="s">
        <v>185</v>
      </c>
      <c r="C2578" s="1" t="str">
        <f>"08821668"</f>
        <v>08821668</v>
      </c>
      <c r="D2578" s="1" t="s">
        <v>186</v>
      </c>
      <c r="F2578" s="1" t="str">
        <f>"8075"</f>
        <v>8075</v>
      </c>
      <c r="G2578" s="2">
        <v>42026.0</v>
      </c>
      <c r="H2578" s="1">
        <v>339000.0</v>
      </c>
      <c r="I2578" s="1">
        <v>43.0</v>
      </c>
      <c r="J2578" s="1">
        <v>339000.0</v>
      </c>
      <c r="K2578" s="2">
        <v>42068.0</v>
      </c>
      <c r="L2578" s="1">
        <v>43.0</v>
      </c>
      <c r="M2578" s="2">
        <v>42068.0</v>
      </c>
      <c r="N2578" s="1" t="s">
        <v>187</v>
      </c>
      <c r="O2578" s="2">
        <v>42115.0</v>
      </c>
      <c r="P2578" s="1">
        <v>217768.0</v>
      </c>
      <c r="Q2578" s="1">
        <v>60119.0</v>
      </c>
      <c r="R2578" s="1">
        <v>1500.0</v>
      </c>
      <c r="S2578" s="1">
        <v>11001.0</v>
      </c>
      <c r="T2578" s="1" t="s">
        <v>15861</v>
      </c>
      <c r="U2578" s="1" t="s">
        <v>189</v>
      </c>
      <c r="V2578" s="1" t="s">
        <v>190</v>
      </c>
      <c r="W2578" s="1">
        <v>60655.0</v>
      </c>
      <c r="Y2578" s="1" t="s">
        <v>23149</v>
      </c>
      <c r="Z2578" s="1">
        <v>1948.0</v>
      </c>
      <c r="AA2578" s="1" t="s">
        <v>192</v>
      </c>
      <c r="AB2578" s="1" t="s">
        <v>193</v>
      </c>
      <c r="AD2578" s="1" t="s">
        <v>194</v>
      </c>
      <c r="AE2578" s="1" t="s">
        <v>195</v>
      </c>
      <c r="AF2578" s="1" t="s">
        <v>659</v>
      </c>
      <c r="AH2578" s="1" t="s">
        <v>23150</v>
      </c>
      <c r="AK2578" s="1">
        <v>9.0</v>
      </c>
      <c r="AL2578" s="1">
        <v>3.0</v>
      </c>
      <c r="AM2578" s="1">
        <v>2.0</v>
      </c>
      <c r="AN2578" s="1">
        <v>1.0</v>
      </c>
      <c r="AO2578" s="1" t="s">
        <v>229</v>
      </c>
      <c r="AQ2578" s="1" t="s">
        <v>198</v>
      </c>
      <c r="AR2578" s="1" t="s">
        <v>192</v>
      </c>
      <c r="AS2578" s="1" t="s">
        <v>199</v>
      </c>
      <c r="AT2578" s="1">
        <v>2.0</v>
      </c>
      <c r="AV2578" s="1" t="s">
        <v>200</v>
      </c>
      <c r="AW2578" s="1">
        <v>3420.23</v>
      </c>
      <c r="AX2578" s="1">
        <v>2013.0</v>
      </c>
      <c r="AY2578" s="1" t="s">
        <v>387</v>
      </c>
      <c r="AZ2578" s="1" t="s">
        <v>200</v>
      </c>
      <c r="BA2578" s="1" t="str">
        <f>"24134260260000"</f>
        <v>24134260260000</v>
      </c>
      <c r="BB2578" s="1" t="s">
        <v>200</v>
      </c>
      <c r="BC2578" s="1">
        <v>1648.0</v>
      </c>
      <c r="BD2578" s="1">
        <v>325000.0</v>
      </c>
      <c r="BE2578" s="2">
        <v>42026.0</v>
      </c>
      <c r="BF2578" s="2" t="s">
        <v>23151</v>
      </c>
      <c r="BG2578" s="1" t="s">
        <v>23152</v>
      </c>
      <c r="BH2578" s="1">
        <v>0.0</v>
      </c>
      <c r="BK2578" s="1" t="s">
        <v>204</v>
      </c>
      <c r="BL2578" s="1" t="str">
        <f t="shared" ref="BL2578:BM2578" si="1685">"0"</f>
        <v>0</v>
      </c>
      <c r="BM2578" s="1" t="str">
        <f t="shared" si="1685"/>
        <v>0</v>
      </c>
      <c r="BN2578" s="1">
        <v>2700.0</v>
      </c>
      <c r="BO2578" s="1">
        <v>11000.0</v>
      </c>
      <c r="BQ2578" s="1">
        <v>299.0</v>
      </c>
      <c r="BR2578" s="1">
        <v>299.0</v>
      </c>
      <c r="BS2578" s="1">
        <v>299.0</v>
      </c>
      <c r="BU2578" s="1" t="s">
        <v>496</v>
      </c>
      <c r="BV2578" s="1" t="s">
        <v>206</v>
      </c>
      <c r="BW2578" s="1" t="s">
        <v>207</v>
      </c>
      <c r="BY2578" s="1" t="s">
        <v>331</v>
      </c>
      <c r="BZ2578" s="1" t="s">
        <v>209</v>
      </c>
      <c r="CA2578" s="1" t="s">
        <v>207</v>
      </c>
      <c r="CC2578" s="1" t="s">
        <v>266</v>
      </c>
      <c r="CD2578" s="1" t="s">
        <v>206</v>
      </c>
      <c r="CE2578" s="1" t="s">
        <v>207</v>
      </c>
      <c r="CG2578" s="1" t="s">
        <v>495</v>
      </c>
      <c r="CH2578" s="1" t="s">
        <v>209</v>
      </c>
      <c r="CI2578" s="1" t="s">
        <v>207</v>
      </c>
      <c r="CK2578" s="1" t="s">
        <v>3594</v>
      </c>
      <c r="CL2578" s="1" t="s">
        <v>209</v>
      </c>
      <c r="CM2578" s="1" t="s">
        <v>207</v>
      </c>
      <c r="CO2578" s="1" t="s">
        <v>390</v>
      </c>
      <c r="CP2578" s="1" t="s">
        <v>42</v>
      </c>
      <c r="CQ2578" s="1" t="s">
        <v>210</v>
      </c>
      <c r="CS2578" s="1" t="s">
        <v>478</v>
      </c>
      <c r="CT2578" s="1" t="s">
        <v>206</v>
      </c>
      <c r="CU2578" s="1" t="s">
        <v>301</v>
      </c>
      <c r="CW2578" s="1" t="s">
        <v>743</v>
      </c>
      <c r="CX2578" s="1" t="s">
        <v>206</v>
      </c>
      <c r="CY2578" s="1" t="s">
        <v>210</v>
      </c>
      <c r="DA2578" s="1" t="s">
        <v>200</v>
      </c>
      <c r="DC2578" s="1" t="s">
        <v>702</v>
      </c>
      <c r="DD2578" s="1" t="s">
        <v>518</v>
      </c>
      <c r="DE2578" s="1" t="s">
        <v>273</v>
      </c>
      <c r="DF2578" s="1" t="s">
        <v>219</v>
      </c>
      <c r="DH2578" s="1" t="s">
        <v>365</v>
      </c>
      <c r="DI2578" s="1" t="s">
        <v>397</v>
      </c>
      <c r="DJ2578" s="1" t="s">
        <v>222</v>
      </c>
      <c r="DL2578" s="1" t="s">
        <v>224</v>
      </c>
      <c r="DM2578" s="1" t="s">
        <v>229</v>
      </c>
      <c r="DP2578" s="1" t="s">
        <v>340</v>
      </c>
      <c r="DQ2578" s="1" t="s">
        <v>718</v>
      </c>
      <c r="DR2578" s="1" t="s">
        <v>229</v>
      </c>
      <c r="DV2578" s="1" t="s">
        <v>450</v>
      </c>
      <c r="DW2578" s="1" t="s">
        <v>279</v>
      </c>
      <c r="DX2578" s="1" t="s">
        <v>1287</v>
      </c>
      <c r="DY2578" s="1" t="s">
        <v>4698</v>
      </c>
      <c r="EA2578" s="1" t="s">
        <v>3308</v>
      </c>
      <c r="EC2578" s="1" t="s">
        <v>237</v>
      </c>
      <c r="ED2578" s="1" t="s">
        <v>407</v>
      </c>
      <c r="EG2578" s="1" t="s">
        <v>450</v>
      </c>
      <c r="EL2578" s="1" t="s">
        <v>1158</v>
      </c>
      <c r="EM2578" s="1" t="s">
        <v>42</v>
      </c>
      <c r="EN2578" s="1" t="s">
        <v>210</v>
      </c>
      <c r="EQ2578" s="1" t="s">
        <v>238</v>
      </c>
      <c r="EU2578" s="1" t="s">
        <v>238</v>
      </c>
      <c r="EY2578" s="1" t="s">
        <v>238</v>
      </c>
      <c r="FC2578" s="1" t="s">
        <v>238</v>
      </c>
      <c r="FF2578" s="1" t="s">
        <v>239</v>
      </c>
      <c r="FG2578" s="1" t="s">
        <v>192</v>
      </c>
      <c r="FH2578" s="1" t="s">
        <v>192</v>
      </c>
      <c r="FJ2578" s="1" t="s">
        <v>1469</v>
      </c>
      <c r="FK2578" s="1" t="s">
        <v>348</v>
      </c>
      <c r="FL2578" s="1" t="s">
        <v>4804</v>
      </c>
      <c r="FM2578" s="1">
        <v>60035.0</v>
      </c>
      <c r="FN2578" s="1" t="s">
        <v>4805</v>
      </c>
      <c r="FO2578" s="1" t="s">
        <v>23153</v>
      </c>
      <c r="FP2578" s="1">
        <v>606726.0</v>
      </c>
      <c r="FQ2578" s="1" t="s">
        <v>23154</v>
      </c>
      <c r="FR2578" s="1">
        <v>606776.0</v>
      </c>
      <c r="FU2578" s="1" t="s">
        <v>23155</v>
      </c>
      <c r="FV2578" s="1" t="s">
        <v>200</v>
      </c>
      <c r="FW2578" s="1" t="s">
        <v>530</v>
      </c>
      <c r="FX2578" s="1" t="s">
        <v>655</v>
      </c>
      <c r="FZ2578" s="1" t="s">
        <v>229</v>
      </c>
      <c r="GA2578" s="1" t="s">
        <v>291</v>
      </c>
      <c r="GB2578" s="2">
        <v>42115.0</v>
      </c>
      <c r="GC2578" s="1" t="s">
        <v>23156</v>
      </c>
    </row>
    <row r="2579">
      <c r="A2579" s="1">
        <v>800000.0</v>
      </c>
      <c r="B2579" s="1" t="s">
        <v>185</v>
      </c>
      <c r="C2579" s="1" t="str">
        <f>"08825919"</f>
        <v>08825919</v>
      </c>
      <c r="D2579" s="1" t="s">
        <v>186</v>
      </c>
      <c r="F2579" s="1" t="str">
        <f>"8014"</f>
        <v>8014</v>
      </c>
      <c r="G2579" s="2">
        <v>42032.0</v>
      </c>
      <c r="H2579" s="1">
        <v>850000.0</v>
      </c>
      <c r="I2579" s="1">
        <v>94.0</v>
      </c>
      <c r="J2579" s="1">
        <v>850000.0</v>
      </c>
      <c r="K2579" s="2">
        <v>42055.0</v>
      </c>
      <c r="L2579" s="1">
        <v>24.0</v>
      </c>
      <c r="M2579" s="2">
        <v>42055.0</v>
      </c>
      <c r="N2579" s="1" t="s">
        <v>187</v>
      </c>
      <c r="O2579" s="2">
        <v>42124.0</v>
      </c>
      <c r="P2579" s="1">
        <v>106628.0</v>
      </c>
      <c r="Q2579" s="1">
        <v>10272.0</v>
      </c>
      <c r="S2579" s="1">
        <v>4459.0</v>
      </c>
      <c r="T2579" s="1" t="s">
        <v>11751</v>
      </c>
      <c r="U2579" s="1" t="s">
        <v>320</v>
      </c>
      <c r="V2579" s="1" t="s">
        <v>190</v>
      </c>
      <c r="W2579" s="1">
        <v>60625.0</v>
      </c>
      <c r="Y2579" s="1" t="s">
        <v>23157</v>
      </c>
      <c r="Z2579" s="1">
        <v>1917.0</v>
      </c>
      <c r="AA2579" s="1" t="s">
        <v>192</v>
      </c>
      <c r="AB2579" s="1" t="s">
        <v>193</v>
      </c>
      <c r="AC2579" s="1" t="s">
        <v>23158</v>
      </c>
      <c r="AD2579" s="1" t="s">
        <v>194</v>
      </c>
      <c r="AE2579" s="1" t="s">
        <v>195</v>
      </c>
      <c r="AF2579" s="1" t="s">
        <v>196</v>
      </c>
      <c r="AH2579" s="1" t="s">
        <v>20369</v>
      </c>
      <c r="AI2579" s="1">
        <v>0.1108</v>
      </c>
      <c r="AK2579" s="1">
        <v>9.0</v>
      </c>
      <c r="AL2579" s="1">
        <v>4.0</v>
      </c>
      <c r="AM2579" s="1">
        <v>1.0</v>
      </c>
      <c r="AN2579" s="1">
        <v>1.0</v>
      </c>
      <c r="AO2579" s="1" t="s">
        <v>229</v>
      </c>
      <c r="AQ2579" s="1" t="s">
        <v>198</v>
      </c>
      <c r="AR2579" s="1" t="s">
        <v>200</v>
      </c>
      <c r="AS2579" s="1" t="s">
        <v>199</v>
      </c>
      <c r="AT2579" s="1">
        <v>2.0</v>
      </c>
      <c r="AV2579" s="1" t="s">
        <v>200</v>
      </c>
      <c r="AW2579" s="1">
        <v>9414.0</v>
      </c>
      <c r="AX2579" s="1">
        <v>2013.0</v>
      </c>
      <c r="AY2579" s="1" t="s">
        <v>387</v>
      </c>
      <c r="AZ2579" s="1" t="s">
        <v>200</v>
      </c>
      <c r="BA2579" s="1" t="str">
        <f>"13131300010000"</f>
        <v>13131300010000</v>
      </c>
      <c r="BC2579" s="1">
        <v>3300.0</v>
      </c>
      <c r="BD2579" s="1">
        <v>800000.0</v>
      </c>
      <c r="BE2579" s="2">
        <v>42032.0</v>
      </c>
      <c r="BF2579" s="2" t="s">
        <v>23159</v>
      </c>
      <c r="BG2579" s="1" t="s">
        <v>12305</v>
      </c>
      <c r="BH2579" s="1">
        <v>0.0</v>
      </c>
      <c r="BI2579" s="1" t="s">
        <v>12305</v>
      </c>
      <c r="BK2579" s="1" t="s">
        <v>204</v>
      </c>
      <c r="BL2579" s="1" t="str">
        <f>"4459"</f>
        <v>4459</v>
      </c>
      <c r="BM2579" s="1" t="str">
        <f t="shared" ref="BM2579:BM2580" si="1686">"0"</f>
        <v>0</v>
      </c>
      <c r="BN2579" s="1">
        <v>2930.0</v>
      </c>
      <c r="BO2579" s="1">
        <v>0.0</v>
      </c>
      <c r="BQ2579" s="1">
        <v>299.0</v>
      </c>
      <c r="BR2579" s="1">
        <v>299.0</v>
      </c>
      <c r="BS2579" s="1">
        <v>299.0</v>
      </c>
      <c r="BU2579" s="1" t="s">
        <v>3893</v>
      </c>
      <c r="BV2579" s="1" t="s">
        <v>206</v>
      </c>
      <c r="BW2579" s="1" t="s">
        <v>207</v>
      </c>
      <c r="BY2579" s="1" t="s">
        <v>1044</v>
      </c>
      <c r="BZ2579" s="1" t="s">
        <v>209</v>
      </c>
      <c r="CA2579" s="1" t="s">
        <v>207</v>
      </c>
      <c r="CC2579" s="1" t="s">
        <v>361</v>
      </c>
      <c r="CD2579" s="1" t="s">
        <v>206</v>
      </c>
      <c r="CE2579" s="1" t="s">
        <v>207</v>
      </c>
      <c r="CG2579" s="1" t="s">
        <v>2459</v>
      </c>
      <c r="CH2579" s="1" t="s">
        <v>209</v>
      </c>
      <c r="CI2579" s="1" t="s">
        <v>207</v>
      </c>
      <c r="CK2579" s="1" t="s">
        <v>1417</v>
      </c>
      <c r="CL2579" s="1" t="s">
        <v>209</v>
      </c>
      <c r="CM2579" s="1" t="s">
        <v>207</v>
      </c>
      <c r="CO2579" s="1" t="s">
        <v>1316</v>
      </c>
      <c r="CP2579" s="1" t="s">
        <v>209</v>
      </c>
      <c r="CQ2579" s="1" t="s">
        <v>207</v>
      </c>
      <c r="CS2579" s="1" t="s">
        <v>4045</v>
      </c>
      <c r="CT2579" s="1" t="s">
        <v>206</v>
      </c>
      <c r="CU2579" s="1" t="s">
        <v>207</v>
      </c>
      <c r="CW2579" s="1" t="s">
        <v>2035</v>
      </c>
      <c r="CX2579" s="1" t="s">
        <v>42</v>
      </c>
      <c r="CY2579" s="1" t="s">
        <v>617</v>
      </c>
      <c r="DA2579" s="1" t="s">
        <v>200</v>
      </c>
      <c r="DC2579" s="1" t="s">
        <v>216</v>
      </c>
      <c r="DD2579" s="1" t="s">
        <v>518</v>
      </c>
      <c r="DE2579" s="1" t="s">
        <v>2146</v>
      </c>
      <c r="DF2579" s="1" t="s">
        <v>619</v>
      </c>
      <c r="DG2579" s="1" t="s">
        <v>23160</v>
      </c>
      <c r="DH2579" s="1" t="s">
        <v>365</v>
      </c>
      <c r="DI2579" s="1" t="s">
        <v>703</v>
      </c>
      <c r="DJ2579" s="1" t="s">
        <v>222</v>
      </c>
      <c r="DK2579" s="1" t="s">
        <v>198</v>
      </c>
      <c r="DL2579" s="1" t="s">
        <v>224</v>
      </c>
      <c r="DM2579" s="1" t="s">
        <v>1464</v>
      </c>
      <c r="DN2579" s="1" t="s">
        <v>367</v>
      </c>
      <c r="DP2579" s="1" t="s">
        <v>340</v>
      </c>
      <c r="DQ2579" s="1" t="s">
        <v>794</v>
      </c>
      <c r="DR2579" s="1" t="s">
        <v>229</v>
      </c>
      <c r="DS2579" s="1" t="s">
        <v>230</v>
      </c>
      <c r="DV2579" s="1" t="s">
        <v>23161</v>
      </c>
      <c r="DW2579" s="1" t="s">
        <v>279</v>
      </c>
      <c r="DX2579" s="1" t="s">
        <v>1287</v>
      </c>
      <c r="DY2579" s="1" t="s">
        <v>2972</v>
      </c>
      <c r="EA2579" s="1" t="s">
        <v>3577</v>
      </c>
      <c r="EC2579" s="1" t="s">
        <v>237</v>
      </c>
      <c r="ED2579" s="1" t="s">
        <v>555</v>
      </c>
      <c r="EG2579" s="1" t="s">
        <v>556</v>
      </c>
      <c r="EH2579" s="1" t="s">
        <v>374</v>
      </c>
      <c r="EL2579" s="1" t="s">
        <v>1418</v>
      </c>
      <c r="EM2579" s="1" t="s">
        <v>206</v>
      </c>
      <c r="EN2579" s="1" t="s">
        <v>207</v>
      </c>
      <c r="EP2579" s="1" t="s">
        <v>23162</v>
      </c>
      <c r="EQ2579" s="1" t="s">
        <v>206</v>
      </c>
      <c r="ER2579" s="1" t="s">
        <v>617</v>
      </c>
      <c r="EU2579" s="1" t="s">
        <v>238</v>
      </c>
      <c r="EY2579" s="1" t="s">
        <v>238</v>
      </c>
      <c r="FC2579" s="1" t="s">
        <v>238</v>
      </c>
      <c r="FF2579" s="1" t="s">
        <v>239</v>
      </c>
      <c r="FG2579" s="1" t="s">
        <v>192</v>
      </c>
      <c r="FH2579" s="1" t="s">
        <v>192</v>
      </c>
      <c r="FJ2579" s="1" t="s">
        <v>21768</v>
      </c>
      <c r="FK2579" s="1" t="s">
        <v>229</v>
      </c>
      <c r="FL2579" s="1" t="s">
        <v>456</v>
      </c>
      <c r="FM2579" s="1">
        <v>10273.0</v>
      </c>
      <c r="FN2579" s="1" t="s">
        <v>2101</v>
      </c>
      <c r="FO2579" s="1" t="s">
        <v>23163</v>
      </c>
      <c r="FP2579" s="1">
        <v>139302.0</v>
      </c>
      <c r="FQ2579" s="1" t="s">
        <v>23164</v>
      </c>
      <c r="FR2579" s="1">
        <v>100339.0</v>
      </c>
      <c r="FU2579" s="1" t="s">
        <v>23165</v>
      </c>
      <c r="FV2579" s="1" t="s">
        <v>200</v>
      </c>
      <c r="FW2579" s="1" t="s">
        <v>530</v>
      </c>
      <c r="FX2579" s="1" t="s">
        <v>238</v>
      </c>
      <c r="FZ2579" s="1" t="s">
        <v>229</v>
      </c>
      <c r="GA2579" s="1" t="s">
        <v>291</v>
      </c>
      <c r="GB2579" s="2">
        <v>42124.0</v>
      </c>
    </row>
    <row r="2580">
      <c r="A2580" s="1">
        <v>420000.0</v>
      </c>
      <c r="B2580" s="1" t="s">
        <v>185</v>
      </c>
      <c r="C2580" s="1" t="str">
        <f>"08826070"</f>
        <v>08826070</v>
      </c>
      <c r="D2580" s="1" t="s">
        <v>186</v>
      </c>
      <c r="F2580" s="1" t="str">
        <f>"107"</f>
        <v>107</v>
      </c>
      <c r="G2580" s="2">
        <v>42032.0</v>
      </c>
      <c r="H2580" s="1">
        <v>446900.0</v>
      </c>
      <c r="I2580" s="1">
        <v>23.0</v>
      </c>
      <c r="J2580" s="1">
        <v>436900.0</v>
      </c>
      <c r="K2580" s="2">
        <v>42054.0</v>
      </c>
      <c r="L2580" s="1">
        <v>23.0</v>
      </c>
      <c r="M2580" s="2">
        <v>42054.0</v>
      </c>
      <c r="N2580" s="1" t="s">
        <v>187</v>
      </c>
      <c r="O2580" s="2">
        <v>42115.0</v>
      </c>
      <c r="P2580" s="1">
        <v>7683.0</v>
      </c>
      <c r="Q2580" s="1">
        <v>37.0</v>
      </c>
      <c r="S2580" s="1">
        <v>403.0</v>
      </c>
      <c r="T2580" s="1" t="s">
        <v>23166</v>
      </c>
      <c r="U2580" s="1" t="s">
        <v>844</v>
      </c>
      <c r="V2580" s="1" t="s">
        <v>294</v>
      </c>
      <c r="W2580" s="1">
        <v>60107.0</v>
      </c>
      <c r="Y2580" s="1" t="s">
        <v>23167</v>
      </c>
      <c r="Z2580" s="1">
        <v>2003.0</v>
      </c>
      <c r="AA2580" s="1" t="s">
        <v>200</v>
      </c>
      <c r="AB2580" s="1" t="s">
        <v>193</v>
      </c>
      <c r="AC2580" s="1" t="s">
        <v>23168</v>
      </c>
      <c r="AD2580" s="1" t="s">
        <v>297</v>
      </c>
      <c r="AE2580" s="1" t="s">
        <v>195</v>
      </c>
      <c r="AF2580" s="1" t="s">
        <v>298</v>
      </c>
      <c r="AG2580" s="1" t="s">
        <v>15195</v>
      </c>
      <c r="AH2580" s="1" t="s">
        <v>23169</v>
      </c>
      <c r="AI2580" s="1">
        <v>0.27</v>
      </c>
      <c r="AK2580" s="1">
        <v>9.0</v>
      </c>
      <c r="AL2580" s="1">
        <v>4.0</v>
      </c>
      <c r="AM2580" s="1">
        <v>3.0</v>
      </c>
      <c r="AN2580" s="1">
        <v>1.0</v>
      </c>
      <c r="AO2580" s="1" t="s">
        <v>198</v>
      </c>
      <c r="AP2580" s="1">
        <v>1.0</v>
      </c>
      <c r="AQ2580" s="1" t="s">
        <v>327</v>
      </c>
      <c r="AR2580" s="1" t="s">
        <v>200</v>
      </c>
      <c r="AS2580" s="1" t="s">
        <v>199</v>
      </c>
      <c r="AT2580" s="1">
        <v>3.0</v>
      </c>
      <c r="AV2580" s="1" t="s">
        <v>200</v>
      </c>
      <c r="AW2580" s="1">
        <v>12700.0</v>
      </c>
      <c r="AX2580" s="1">
        <v>2013.0</v>
      </c>
      <c r="AY2580" s="1" t="s">
        <v>387</v>
      </c>
      <c r="AZ2580" s="1" t="s">
        <v>200</v>
      </c>
      <c r="BA2580" s="1" t="str">
        <f>"06211090020000"</f>
        <v>06211090020000</v>
      </c>
      <c r="BB2580" s="1" t="s">
        <v>200</v>
      </c>
      <c r="BC2580" s="1">
        <v>3200.0</v>
      </c>
      <c r="BD2580" s="1">
        <v>420000.0</v>
      </c>
      <c r="BE2580" s="2">
        <v>42032.0</v>
      </c>
      <c r="BF2580" s="2" t="s">
        <v>23170</v>
      </c>
      <c r="BG2580" s="1" t="s">
        <v>3196</v>
      </c>
      <c r="BH2580" s="1">
        <v>520.0</v>
      </c>
      <c r="BI2580" s="1" t="s">
        <v>756</v>
      </c>
      <c r="BJ2580" s="1" t="s">
        <v>757</v>
      </c>
      <c r="BK2580" s="1" t="s">
        <v>580</v>
      </c>
      <c r="BL2580" s="1" t="str">
        <f>"10"</f>
        <v>10</v>
      </c>
      <c r="BM2580" s="1" t="str">
        <f t="shared" si="1686"/>
        <v>0</v>
      </c>
      <c r="BN2580" s="1">
        <v>30.0</v>
      </c>
      <c r="BO2580" s="1">
        <v>0.0</v>
      </c>
      <c r="BQ2580" s="1">
        <v>46.0</v>
      </c>
      <c r="BR2580" s="1">
        <v>46.0</v>
      </c>
      <c r="BS2580" s="1">
        <v>46.0</v>
      </c>
      <c r="BU2580" s="1" t="s">
        <v>584</v>
      </c>
      <c r="BV2580" s="1" t="s">
        <v>206</v>
      </c>
      <c r="BW2580" s="1" t="s">
        <v>210</v>
      </c>
      <c r="BX2580" s="1" t="s">
        <v>431</v>
      </c>
      <c r="BY2580" s="1" t="s">
        <v>1534</v>
      </c>
      <c r="BZ2580" s="1" t="s">
        <v>209</v>
      </c>
      <c r="CA2580" s="1" t="s">
        <v>210</v>
      </c>
      <c r="CB2580" s="1" t="s">
        <v>261</v>
      </c>
      <c r="CC2580" s="1" t="s">
        <v>454</v>
      </c>
      <c r="CD2580" s="1" t="s">
        <v>206</v>
      </c>
      <c r="CE2580" s="1" t="s">
        <v>210</v>
      </c>
      <c r="CF2580" s="1" t="s">
        <v>431</v>
      </c>
      <c r="CG2580" s="1" t="s">
        <v>215</v>
      </c>
      <c r="CH2580" s="1" t="s">
        <v>209</v>
      </c>
      <c r="CI2580" s="1" t="s">
        <v>210</v>
      </c>
      <c r="CJ2580" s="1" t="s">
        <v>261</v>
      </c>
      <c r="CK2580" s="1" t="s">
        <v>215</v>
      </c>
      <c r="CL2580" s="1" t="s">
        <v>209</v>
      </c>
      <c r="CM2580" s="1" t="s">
        <v>210</v>
      </c>
      <c r="CN2580" s="1" t="s">
        <v>261</v>
      </c>
      <c r="CO2580" s="1" t="s">
        <v>363</v>
      </c>
      <c r="CP2580" s="1" t="s">
        <v>209</v>
      </c>
      <c r="CQ2580" s="1" t="s">
        <v>210</v>
      </c>
      <c r="CR2580" s="1" t="s">
        <v>261</v>
      </c>
      <c r="CS2580" s="1" t="s">
        <v>3262</v>
      </c>
      <c r="CT2580" s="1" t="s">
        <v>206</v>
      </c>
      <c r="CU2580" s="1" t="s">
        <v>268</v>
      </c>
      <c r="CV2580" s="1" t="s">
        <v>261</v>
      </c>
      <c r="CW2580" s="1" t="s">
        <v>1534</v>
      </c>
      <c r="CX2580" s="1" t="s">
        <v>206</v>
      </c>
      <c r="CY2580" s="1" t="s">
        <v>210</v>
      </c>
      <c r="CZ2580" s="1" t="s">
        <v>431</v>
      </c>
      <c r="DA2580" s="1" t="s">
        <v>200</v>
      </c>
      <c r="DC2580" s="1" t="s">
        <v>335</v>
      </c>
      <c r="DD2580" s="1" t="s">
        <v>1484</v>
      </c>
      <c r="DE2580" s="1" t="s">
        <v>218</v>
      </c>
      <c r="DF2580" s="1" t="s">
        <v>619</v>
      </c>
      <c r="DG2580" s="1" t="s">
        <v>482</v>
      </c>
      <c r="DH2580" s="1" t="s">
        <v>365</v>
      </c>
      <c r="DI2580" s="1" t="s">
        <v>23171</v>
      </c>
      <c r="DJ2580" s="1" t="s">
        <v>222</v>
      </c>
      <c r="DL2580" s="1" t="s">
        <v>2220</v>
      </c>
      <c r="DM2580" s="1" t="s">
        <v>929</v>
      </c>
      <c r="DN2580" s="1" t="s">
        <v>399</v>
      </c>
      <c r="DO2580" s="1" t="s">
        <v>23172</v>
      </c>
      <c r="DP2580" s="1" t="s">
        <v>340</v>
      </c>
      <c r="DQ2580" s="1" t="s">
        <v>441</v>
      </c>
      <c r="DR2580" s="1" t="s">
        <v>1185</v>
      </c>
      <c r="DU2580" s="1" t="s">
        <v>13871</v>
      </c>
      <c r="DV2580" s="1" t="s">
        <v>494</v>
      </c>
      <c r="DW2580" s="1" t="s">
        <v>279</v>
      </c>
      <c r="DX2580" s="1" t="s">
        <v>234</v>
      </c>
      <c r="DY2580" s="1" t="s">
        <v>1006</v>
      </c>
      <c r="DZ2580" s="1" t="s">
        <v>1100</v>
      </c>
      <c r="EA2580" s="1" t="s">
        <v>447</v>
      </c>
      <c r="EB2580" s="1" t="s">
        <v>937</v>
      </c>
      <c r="EC2580" s="1" t="s">
        <v>237</v>
      </c>
      <c r="ED2580" s="1" t="s">
        <v>407</v>
      </c>
      <c r="EE2580" s="1" t="s">
        <v>1077</v>
      </c>
      <c r="EG2580" s="1" t="s">
        <v>494</v>
      </c>
      <c r="EL2580" s="1" t="s">
        <v>433</v>
      </c>
      <c r="EM2580" s="1" t="s">
        <v>206</v>
      </c>
      <c r="EN2580" s="1" t="s">
        <v>210</v>
      </c>
      <c r="EO2580" s="1" t="s">
        <v>431</v>
      </c>
      <c r="EQ2580" s="1" t="s">
        <v>238</v>
      </c>
      <c r="EU2580" s="1" t="s">
        <v>238</v>
      </c>
      <c r="EY2580" s="1" t="s">
        <v>238</v>
      </c>
      <c r="FC2580" s="1" t="s">
        <v>238</v>
      </c>
      <c r="FF2580" s="1" t="s">
        <v>239</v>
      </c>
      <c r="FG2580" s="1" t="s">
        <v>192</v>
      </c>
      <c r="FH2580" s="1" t="s">
        <v>192</v>
      </c>
      <c r="FJ2580" s="1" t="s">
        <v>23173</v>
      </c>
      <c r="FK2580" s="1" t="s">
        <v>229</v>
      </c>
      <c r="FL2580" s="1" t="s">
        <v>1124</v>
      </c>
      <c r="FM2580" s="1">
        <v>8059.0</v>
      </c>
      <c r="FN2580" s="1" t="s">
        <v>7340</v>
      </c>
      <c r="FO2580" s="1" t="s">
        <v>23174</v>
      </c>
      <c r="FP2580" s="1">
        <v>83596.0</v>
      </c>
      <c r="FQ2580" s="1" t="s">
        <v>23175</v>
      </c>
      <c r="FU2580" s="1" t="s">
        <v>23176</v>
      </c>
      <c r="FV2580" s="1" t="s">
        <v>200</v>
      </c>
      <c r="FW2580" s="1" t="s">
        <v>23177</v>
      </c>
      <c r="FZ2580" s="1" t="s">
        <v>229</v>
      </c>
      <c r="GA2580" s="1" t="s">
        <v>291</v>
      </c>
      <c r="GB2580" s="2">
        <v>42115.0</v>
      </c>
      <c r="GC2580" s="1" t="s">
        <v>23178</v>
      </c>
    </row>
    <row r="2581">
      <c r="A2581" s="1">
        <v>387900.0</v>
      </c>
      <c r="B2581" s="1" t="s">
        <v>185</v>
      </c>
      <c r="C2581" s="1" t="str">
        <f>"08824068"</f>
        <v>08824068</v>
      </c>
      <c r="D2581" s="1" t="s">
        <v>186</v>
      </c>
      <c r="F2581" s="1" t="str">
        <f>"8039"</f>
        <v>8039</v>
      </c>
      <c r="G2581" s="2">
        <v>42030.0</v>
      </c>
      <c r="H2581" s="1">
        <v>399000.0</v>
      </c>
      <c r="I2581" s="1">
        <v>2.0</v>
      </c>
      <c r="J2581" s="1">
        <v>399000.0</v>
      </c>
      <c r="K2581" s="2">
        <v>42031.0</v>
      </c>
      <c r="L2581" s="1">
        <v>2.0</v>
      </c>
      <c r="M2581" s="2">
        <v>42031.0</v>
      </c>
      <c r="N2581" s="1" t="s">
        <v>356</v>
      </c>
      <c r="O2581" s="2">
        <v>42066.0</v>
      </c>
      <c r="P2581" s="1">
        <v>112372.0</v>
      </c>
      <c r="Q2581" s="1">
        <v>85244.0</v>
      </c>
      <c r="S2581" s="1">
        <v>4345.0</v>
      </c>
      <c r="T2581" s="1" t="s">
        <v>23179</v>
      </c>
      <c r="U2581" s="1" t="s">
        <v>189</v>
      </c>
      <c r="V2581" s="1" t="s">
        <v>190</v>
      </c>
      <c r="W2581" s="1">
        <v>60653.0</v>
      </c>
      <c r="Y2581" s="1" t="s">
        <v>23180</v>
      </c>
      <c r="Z2581" s="1" t="s">
        <v>296</v>
      </c>
      <c r="AA2581" s="1" t="s">
        <v>192</v>
      </c>
      <c r="AB2581" s="1" t="s">
        <v>193</v>
      </c>
      <c r="AD2581" s="1" t="s">
        <v>194</v>
      </c>
      <c r="AE2581" s="1" t="s">
        <v>195</v>
      </c>
      <c r="AF2581" s="1" t="s">
        <v>637</v>
      </c>
      <c r="AH2581" s="1" t="s">
        <v>359</v>
      </c>
      <c r="AI2581" s="1">
        <v>0.0729</v>
      </c>
      <c r="AK2581" s="1">
        <v>8.0</v>
      </c>
      <c r="AL2581" s="1">
        <v>4.0</v>
      </c>
      <c r="AM2581" s="1">
        <v>3.0</v>
      </c>
      <c r="AN2581" s="1">
        <v>1.0</v>
      </c>
      <c r="AO2581" s="1" t="s">
        <v>198</v>
      </c>
      <c r="AQ2581" s="1" t="s">
        <v>198</v>
      </c>
      <c r="AR2581" s="1" t="s">
        <v>192</v>
      </c>
      <c r="AS2581" s="1" t="s">
        <v>199</v>
      </c>
      <c r="AT2581" s="1">
        <v>2.0</v>
      </c>
      <c r="AV2581" s="1" t="s">
        <v>200</v>
      </c>
      <c r="AW2581" s="1">
        <v>2400.8</v>
      </c>
      <c r="AX2581" s="1">
        <v>2012.0</v>
      </c>
      <c r="AZ2581" s="1" t="s">
        <v>200</v>
      </c>
      <c r="BA2581" s="1" t="str">
        <f>"20023030210000"</f>
        <v>20023030210000</v>
      </c>
      <c r="BC2581" s="1">
        <v>2400.0</v>
      </c>
      <c r="BD2581" s="1">
        <v>387900.0</v>
      </c>
      <c r="BE2581" s="2">
        <v>42030.0</v>
      </c>
      <c r="BF2581" s="1" t="s">
        <v>23181</v>
      </c>
      <c r="BH2581" s="1">
        <v>0.0</v>
      </c>
      <c r="BK2581" s="1" t="s">
        <v>204</v>
      </c>
      <c r="BL2581" s="1" t="str">
        <f>"0"</f>
        <v>0</v>
      </c>
      <c r="BM2581" s="1" t="str">
        <f>"1000"</f>
        <v>1000</v>
      </c>
      <c r="BN2581" s="1">
        <v>0.0</v>
      </c>
      <c r="BO2581" s="1">
        <v>4345.0</v>
      </c>
      <c r="BQ2581" s="1">
        <v>299.0</v>
      </c>
      <c r="BR2581" s="1">
        <v>299.0</v>
      </c>
      <c r="BS2581" s="1">
        <v>299.0</v>
      </c>
      <c r="BU2581" s="1" t="s">
        <v>662</v>
      </c>
      <c r="BV2581" s="1" t="s">
        <v>206</v>
      </c>
      <c r="BW2581" s="1" t="s">
        <v>207</v>
      </c>
      <c r="BY2581" s="1" t="s">
        <v>2219</v>
      </c>
      <c r="BZ2581" s="1" t="s">
        <v>209</v>
      </c>
      <c r="CC2581" s="1" t="s">
        <v>215</v>
      </c>
      <c r="CD2581" s="1" t="s">
        <v>206</v>
      </c>
      <c r="CE2581" s="1" t="s">
        <v>207</v>
      </c>
      <c r="CG2581" s="1" t="s">
        <v>264</v>
      </c>
      <c r="CH2581" s="1" t="s">
        <v>209</v>
      </c>
      <c r="CI2581" s="1" t="s">
        <v>207</v>
      </c>
      <c r="CK2581" s="1" t="s">
        <v>264</v>
      </c>
      <c r="CL2581" s="1" t="s">
        <v>209</v>
      </c>
      <c r="CO2581" s="1" t="s">
        <v>495</v>
      </c>
      <c r="CP2581" s="1" t="s">
        <v>267</v>
      </c>
      <c r="CQ2581" s="1" t="s">
        <v>268</v>
      </c>
      <c r="CS2581" s="1" t="s">
        <v>262</v>
      </c>
      <c r="CT2581" s="1" t="s">
        <v>206</v>
      </c>
      <c r="CU2581" s="1" t="s">
        <v>207</v>
      </c>
      <c r="CW2581" s="1" t="s">
        <v>8759</v>
      </c>
      <c r="CX2581" s="1" t="s">
        <v>1697</v>
      </c>
      <c r="CY2581" s="1" t="s">
        <v>1136</v>
      </c>
      <c r="DA2581" s="1" t="s">
        <v>200</v>
      </c>
      <c r="DC2581" s="1" t="s">
        <v>545</v>
      </c>
      <c r="DD2581" s="1" t="s">
        <v>306</v>
      </c>
      <c r="DE2581" s="1" t="s">
        <v>273</v>
      </c>
      <c r="DF2581" s="1" t="s">
        <v>219</v>
      </c>
      <c r="DH2581" s="1" t="s">
        <v>365</v>
      </c>
      <c r="DI2581" s="1" t="s">
        <v>703</v>
      </c>
      <c r="DJ2581" s="1" t="s">
        <v>222</v>
      </c>
      <c r="DL2581" s="1" t="s">
        <v>224</v>
      </c>
      <c r="DM2581" s="1" t="s">
        <v>3575</v>
      </c>
      <c r="DP2581" s="1" t="s">
        <v>340</v>
      </c>
      <c r="DQ2581" s="1" t="s">
        <v>228</v>
      </c>
      <c r="DR2581" s="1" t="s">
        <v>229</v>
      </c>
      <c r="DV2581" s="1" t="s">
        <v>232</v>
      </c>
      <c r="DW2581" s="1" t="s">
        <v>10739</v>
      </c>
      <c r="DX2581" s="1" t="s">
        <v>234</v>
      </c>
      <c r="EC2581" s="1" t="s">
        <v>237</v>
      </c>
      <c r="EM2581" s="1" t="s">
        <v>238</v>
      </c>
      <c r="EQ2581" s="1" t="s">
        <v>238</v>
      </c>
      <c r="EU2581" s="1" t="s">
        <v>238</v>
      </c>
      <c r="EY2581" s="1" t="s">
        <v>238</v>
      </c>
      <c r="FC2581" s="1" t="s">
        <v>238</v>
      </c>
      <c r="FF2581" s="1" t="s">
        <v>239</v>
      </c>
      <c r="FG2581" s="1" t="s">
        <v>192</v>
      </c>
      <c r="FH2581" s="1" t="s">
        <v>192</v>
      </c>
      <c r="FJ2581" s="1" t="s">
        <v>2285</v>
      </c>
      <c r="FK2581" s="1" t="s">
        <v>557</v>
      </c>
      <c r="FL2581" s="1" t="s">
        <v>734</v>
      </c>
      <c r="FM2581" s="1">
        <v>10646.0</v>
      </c>
      <c r="FN2581" s="1" t="s">
        <v>735</v>
      </c>
      <c r="FO2581" s="1" t="s">
        <v>2738</v>
      </c>
      <c r="FP2581" s="1">
        <v>105083.0</v>
      </c>
      <c r="FQ2581" s="1" t="s">
        <v>2739</v>
      </c>
      <c r="FU2581" s="1" t="s">
        <v>23182</v>
      </c>
      <c r="FV2581" s="1" t="s">
        <v>200</v>
      </c>
      <c r="FW2581" s="1" t="s">
        <v>1411</v>
      </c>
      <c r="FX2581" s="1" t="s">
        <v>655</v>
      </c>
      <c r="FZ2581" s="1" t="s">
        <v>229</v>
      </c>
      <c r="GA2581" s="1" t="s">
        <v>291</v>
      </c>
      <c r="GB2581" s="2">
        <v>42066.0</v>
      </c>
    </row>
    <row r="2582">
      <c r="A2582" s="1">
        <v>288000.0</v>
      </c>
      <c r="B2582" s="1" t="s">
        <v>185</v>
      </c>
      <c r="C2582" s="1" t="str">
        <f>"08826517"</f>
        <v>08826517</v>
      </c>
      <c r="D2582" s="1" t="s">
        <v>186</v>
      </c>
      <c r="F2582" s="1" t="str">
        <f>"543"</f>
        <v>543</v>
      </c>
      <c r="G2582" s="2">
        <v>42033.0</v>
      </c>
      <c r="H2582" s="1">
        <v>299900.0</v>
      </c>
      <c r="I2582" s="1">
        <v>23.0</v>
      </c>
      <c r="J2582" s="1">
        <v>299900.0</v>
      </c>
      <c r="K2582" s="2">
        <v>42055.0</v>
      </c>
      <c r="L2582" s="1">
        <v>23.0</v>
      </c>
      <c r="M2582" s="2">
        <v>42055.0</v>
      </c>
      <c r="N2582" s="1" t="s">
        <v>187</v>
      </c>
      <c r="O2582" s="2">
        <v>42095.0</v>
      </c>
      <c r="P2582" s="1">
        <v>212281.0</v>
      </c>
      <c r="Q2582" s="1">
        <v>23076.0</v>
      </c>
      <c r="R2582" s="1">
        <v>6250.0</v>
      </c>
      <c r="S2582" s="1">
        <v>332.0</v>
      </c>
      <c r="T2582" s="1" t="s">
        <v>4265</v>
      </c>
      <c r="U2582" s="1" t="s">
        <v>982</v>
      </c>
      <c r="V2582" s="1" t="s">
        <v>1527</v>
      </c>
      <c r="W2582" s="1">
        <v>60543.0</v>
      </c>
      <c r="Y2582" s="1" t="s">
        <v>23183</v>
      </c>
      <c r="Z2582" s="1">
        <v>2005.0</v>
      </c>
      <c r="AA2582" s="1" t="s">
        <v>200</v>
      </c>
      <c r="AB2582" s="1" t="s">
        <v>467</v>
      </c>
      <c r="AC2582" s="1" t="s">
        <v>5769</v>
      </c>
      <c r="AD2582" s="1" t="s">
        <v>1529</v>
      </c>
      <c r="AE2582" s="1" t="s">
        <v>849</v>
      </c>
      <c r="AF2582" s="1" t="s">
        <v>1529</v>
      </c>
      <c r="AG2582" s="1" t="s">
        <v>23184</v>
      </c>
      <c r="AH2582" s="1" t="s">
        <v>23185</v>
      </c>
      <c r="AI2582" s="1">
        <v>0.2244</v>
      </c>
      <c r="AK2582" s="1">
        <v>11.0</v>
      </c>
      <c r="AL2582" s="1">
        <v>4.0</v>
      </c>
      <c r="AM2582" s="1">
        <v>2.0</v>
      </c>
      <c r="AN2582" s="1">
        <v>1.0</v>
      </c>
      <c r="AO2582" s="1" t="s">
        <v>198</v>
      </c>
      <c r="AP2582" s="1">
        <v>1.0</v>
      </c>
      <c r="AQ2582" s="1" t="s">
        <v>198</v>
      </c>
      <c r="AR2582" s="1" t="s">
        <v>200</v>
      </c>
      <c r="AS2582" s="1" t="s">
        <v>199</v>
      </c>
      <c r="AT2582" s="1">
        <v>3.0</v>
      </c>
      <c r="AV2582" s="1" t="s">
        <v>200</v>
      </c>
      <c r="AW2582" s="1">
        <v>9109.0</v>
      </c>
      <c r="AX2582" s="1">
        <v>2013.0</v>
      </c>
      <c r="AY2582" s="1" t="s">
        <v>387</v>
      </c>
      <c r="AZ2582" s="1" t="s">
        <v>200</v>
      </c>
      <c r="BA2582" s="1" t="str">
        <f>"0311311008"</f>
        <v>0311311008</v>
      </c>
      <c r="BB2582" s="1" t="s">
        <v>200</v>
      </c>
      <c r="BC2582" s="1">
        <v>3152.0</v>
      </c>
      <c r="BD2582" s="1">
        <v>288000.0</v>
      </c>
      <c r="BE2582" s="2">
        <v>42033.0</v>
      </c>
      <c r="BF2582" s="2" t="s">
        <v>23186</v>
      </c>
      <c r="BG2582" s="1" t="s">
        <v>4271</v>
      </c>
      <c r="BH2582" s="1">
        <v>240.0</v>
      </c>
      <c r="BI2582" s="1" t="s">
        <v>3647</v>
      </c>
      <c r="BJ2582" s="1" t="s">
        <v>2546</v>
      </c>
      <c r="BK2582" s="1" t="s">
        <v>580</v>
      </c>
      <c r="BL2582" s="1" t="str">
        <f t="shared" ref="BL2582:BM2582" si="1687">""</f>
        <v/>
      </c>
      <c r="BM2582" s="1" t="str">
        <f t="shared" si="1687"/>
        <v/>
      </c>
      <c r="BQ2582" s="1">
        <v>308.0</v>
      </c>
      <c r="BR2582" s="1">
        <v>308.0</v>
      </c>
      <c r="BS2582" s="1">
        <v>308.0</v>
      </c>
      <c r="BU2582" s="1" t="s">
        <v>830</v>
      </c>
      <c r="BV2582" s="1" t="s">
        <v>206</v>
      </c>
      <c r="BW2582" s="1" t="s">
        <v>207</v>
      </c>
      <c r="BX2582" s="1" t="s">
        <v>431</v>
      </c>
      <c r="BY2582" s="1" t="s">
        <v>2120</v>
      </c>
      <c r="BZ2582" s="1" t="s">
        <v>209</v>
      </c>
      <c r="CA2582" s="1" t="s">
        <v>210</v>
      </c>
      <c r="CB2582" s="1" t="s">
        <v>431</v>
      </c>
      <c r="CC2582" s="1" t="s">
        <v>2459</v>
      </c>
      <c r="CD2582" s="1" t="s">
        <v>206</v>
      </c>
      <c r="CE2582" s="1" t="s">
        <v>207</v>
      </c>
      <c r="CF2582" s="1" t="s">
        <v>431</v>
      </c>
      <c r="CG2582" s="1" t="s">
        <v>1351</v>
      </c>
      <c r="CH2582" s="1" t="s">
        <v>209</v>
      </c>
      <c r="CI2582" s="1" t="s">
        <v>210</v>
      </c>
      <c r="CJ2582" s="1" t="s">
        <v>431</v>
      </c>
      <c r="CK2582" s="1" t="s">
        <v>1417</v>
      </c>
      <c r="CL2582" s="1" t="s">
        <v>209</v>
      </c>
      <c r="CM2582" s="1" t="s">
        <v>210</v>
      </c>
      <c r="CN2582" s="1" t="s">
        <v>431</v>
      </c>
      <c r="CO2582" s="1" t="s">
        <v>663</v>
      </c>
      <c r="CP2582" s="1" t="s">
        <v>209</v>
      </c>
      <c r="CQ2582" s="1" t="s">
        <v>210</v>
      </c>
      <c r="CR2582" s="1" t="s">
        <v>431</v>
      </c>
      <c r="CS2582" s="1" t="s">
        <v>4205</v>
      </c>
      <c r="CT2582" s="1" t="s">
        <v>206</v>
      </c>
      <c r="CU2582" s="1" t="s">
        <v>207</v>
      </c>
      <c r="CV2582" s="1" t="s">
        <v>431</v>
      </c>
      <c r="CW2582" s="1" t="s">
        <v>1600</v>
      </c>
      <c r="CX2582" s="1" t="s">
        <v>206</v>
      </c>
      <c r="CY2582" s="1" t="s">
        <v>207</v>
      </c>
      <c r="CZ2582" s="1" t="s">
        <v>431</v>
      </c>
      <c r="DA2582" s="1" t="s">
        <v>200</v>
      </c>
      <c r="DC2582" s="1" t="s">
        <v>481</v>
      </c>
      <c r="DD2582" s="1" t="s">
        <v>272</v>
      </c>
      <c r="DE2582" s="1" t="s">
        <v>273</v>
      </c>
      <c r="DF2582" s="1" t="s">
        <v>219</v>
      </c>
      <c r="DG2582" s="1" t="s">
        <v>1602</v>
      </c>
      <c r="DH2582" s="1" t="s">
        <v>220</v>
      </c>
      <c r="DJ2582" s="1" t="s">
        <v>222</v>
      </c>
      <c r="DL2582" s="1" t="s">
        <v>223</v>
      </c>
      <c r="DM2582" s="1" t="s">
        <v>229</v>
      </c>
      <c r="DN2582" s="1" t="s">
        <v>485</v>
      </c>
      <c r="DP2582" s="1" t="s">
        <v>340</v>
      </c>
      <c r="DQ2582" s="1" t="s">
        <v>228</v>
      </c>
      <c r="DR2582" s="1" t="s">
        <v>1980</v>
      </c>
      <c r="DU2582" s="1" t="s">
        <v>1840</v>
      </c>
      <c r="DV2582" s="1" t="s">
        <v>11645</v>
      </c>
      <c r="DW2582" s="1" t="s">
        <v>444</v>
      </c>
      <c r="DX2582" s="1" t="s">
        <v>234</v>
      </c>
      <c r="DY2582" s="1" t="s">
        <v>1051</v>
      </c>
      <c r="EB2582" s="1" t="s">
        <v>1639</v>
      </c>
      <c r="EC2582" s="1" t="s">
        <v>237</v>
      </c>
      <c r="ED2582" s="1" t="s">
        <v>23187</v>
      </c>
      <c r="EE2582" s="1" t="s">
        <v>493</v>
      </c>
      <c r="EG2582" s="1" t="s">
        <v>449</v>
      </c>
      <c r="EH2582" s="1" t="s">
        <v>494</v>
      </c>
      <c r="EI2582" s="1" t="s">
        <v>557</v>
      </c>
      <c r="EL2582" s="1" t="s">
        <v>1397</v>
      </c>
      <c r="EM2582" s="1" t="s">
        <v>206</v>
      </c>
      <c r="EN2582" s="1" t="s">
        <v>207</v>
      </c>
      <c r="EO2582" s="1" t="s">
        <v>431</v>
      </c>
      <c r="EP2582" s="1" t="s">
        <v>303</v>
      </c>
      <c r="EQ2582" s="1" t="s">
        <v>206</v>
      </c>
      <c r="ER2582" s="1" t="s">
        <v>207</v>
      </c>
      <c r="ES2582" s="1" t="s">
        <v>431</v>
      </c>
      <c r="ET2582" s="1" t="s">
        <v>583</v>
      </c>
      <c r="EU2582" s="1" t="s">
        <v>209</v>
      </c>
      <c r="EV2582" s="1" t="s">
        <v>210</v>
      </c>
      <c r="EW2582" s="1" t="s">
        <v>431</v>
      </c>
      <c r="EY2582" s="1" t="s">
        <v>238</v>
      </c>
      <c r="FC2582" s="1" t="s">
        <v>238</v>
      </c>
      <c r="FF2582" s="1" t="s">
        <v>239</v>
      </c>
      <c r="FG2582" s="1" t="s">
        <v>192</v>
      </c>
      <c r="FH2582" s="1" t="s">
        <v>192</v>
      </c>
      <c r="FJ2582" s="1" t="s">
        <v>3099</v>
      </c>
      <c r="FK2582" s="1" t="s">
        <v>229</v>
      </c>
      <c r="FL2582" s="1" t="s">
        <v>456</v>
      </c>
      <c r="FM2582" s="1">
        <v>23156.0</v>
      </c>
      <c r="FN2582" s="1" t="s">
        <v>2553</v>
      </c>
      <c r="FO2582" s="1" t="s">
        <v>23188</v>
      </c>
      <c r="FP2582" s="1">
        <v>215520.0</v>
      </c>
      <c r="FQ2582" s="1" t="s">
        <v>23189</v>
      </c>
      <c r="FU2582" s="1" t="s">
        <v>23190</v>
      </c>
      <c r="FV2582" s="1" t="s">
        <v>200</v>
      </c>
      <c r="FW2582" s="1" t="s">
        <v>290</v>
      </c>
      <c r="FZ2582" s="1" t="s">
        <v>229</v>
      </c>
      <c r="GA2582" s="1" t="s">
        <v>291</v>
      </c>
      <c r="GB2582" s="2">
        <v>42096.0</v>
      </c>
      <c r="GC2582" s="1" t="s">
        <v>23191</v>
      </c>
    </row>
    <row r="2583">
      <c r="A2583" s="1">
        <v>235000.0</v>
      </c>
      <c r="B2583" s="1" t="s">
        <v>185</v>
      </c>
      <c r="C2583" s="1" t="str">
        <f>"08830942"</f>
        <v>08830942</v>
      </c>
      <c r="D2583" s="1" t="s">
        <v>186</v>
      </c>
      <c r="F2583" s="1" t="str">
        <f>"134"</f>
        <v>134</v>
      </c>
      <c r="G2583" s="2">
        <v>42039.0</v>
      </c>
      <c r="H2583" s="1">
        <v>240000.0</v>
      </c>
      <c r="I2583" s="1">
        <v>7.0</v>
      </c>
      <c r="J2583" s="1">
        <v>240000.0</v>
      </c>
      <c r="K2583" s="2">
        <v>42045.0</v>
      </c>
      <c r="L2583" s="1">
        <v>7.0</v>
      </c>
      <c r="M2583" s="2">
        <v>42045.0</v>
      </c>
      <c r="N2583" s="1" t="s">
        <v>187</v>
      </c>
      <c r="O2583" s="2">
        <v>42088.0</v>
      </c>
      <c r="P2583" s="1">
        <v>8557.0</v>
      </c>
      <c r="Q2583" s="1">
        <v>256.0</v>
      </c>
      <c r="S2583" s="1">
        <v>302.0</v>
      </c>
      <c r="T2583" s="1" t="s">
        <v>1177</v>
      </c>
      <c r="U2583" s="1" t="s">
        <v>1015</v>
      </c>
      <c r="V2583" s="1" t="s">
        <v>421</v>
      </c>
      <c r="W2583" s="1">
        <v>60134.0</v>
      </c>
      <c r="Y2583" s="1" t="s">
        <v>23192</v>
      </c>
      <c r="Z2583" s="1">
        <v>1970.0</v>
      </c>
      <c r="AA2583" s="1" t="s">
        <v>192</v>
      </c>
      <c r="AB2583" s="1" t="s">
        <v>193</v>
      </c>
      <c r="AC2583" s="1" t="s">
        <v>23193</v>
      </c>
      <c r="AD2583" s="1" t="s">
        <v>424</v>
      </c>
      <c r="AE2583" s="1" t="s">
        <v>325</v>
      </c>
      <c r="AF2583" s="1" t="s">
        <v>424</v>
      </c>
      <c r="AH2583" s="1" t="s">
        <v>23194</v>
      </c>
      <c r="AI2583" s="1">
        <v>0.27</v>
      </c>
      <c r="AK2583" s="1">
        <v>8.0</v>
      </c>
      <c r="AL2583" s="1">
        <v>4.0</v>
      </c>
      <c r="AM2583" s="1">
        <v>2.0</v>
      </c>
      <c r="AN2583" s="1">
        <v>0.0</v>
      </c>
      <c r="AO2583" s="1" t="s">
        <v>229</v>
      </c>
      <c r="AP2583" s="1">
        <v>1.0</v>
      </c>
      <c r="AQ2583" s="1" t="s">
        <v>472</v>
      </c>
      <c r="AR2583" s="1" t="s">
        <v>192</v>
      </c>
      <c r="AS2583" s="1" t="s">
        <v>199</v>
      </c>
      <c r="AT2583" s="1">
        <v>2.0</v>
      </c>
      <c r="AV2583" s="1" t="s">
        <v>200</v>
      </c>
      <c r="AW2583" s="1">
        <v>5895.0</v>
      </c>
      <c r="AX2583" s="1">
        <v>2013.0</v>
      </c>
      <c r="AY2583" s="1" t="s">
        <v>387</v>
      </c>
      <c r="AZ2583" s="1" t="s">
        <v>200</v>
      </c>
      <c r="BA2583" s="1" t="str">
        <f>"1202427024"</f>
        <v>1202427024</v>
      </c>
      <c r="BC2583" s="1">
        <v>1750.0</v>
      </c>
      <c r="BD2583" s="1">
        <v>235000.0</v>
      </c>
      <c r="BE2583" s="2">
        <v>42039.0</v>
      </c>
      <c r="BF2583" s="2" t="s">
        <v>23195</v>
      </c>
      <c r="BG2583" s="1" t="s">
        <v>13488</v>
      </c>
      <c r="BH2583" s="1">
        <v>0.0</v>
      </c>
      <c r="BI2583" s="1" t="s">
        <v>429</v>
      </c>
      <c r="BJ2583" s="1" t="s">
        <v>430</v>
      </c>
      <c r="BK2583" s="1" t="s">
        <v>204</v>
      </c>
      <c r="BL2583" s="1" t="str">
        <f>"1"</f>
        <v>1</v>
      </c>
      <c r="BM2583" s="1" t="str">
        <f t="shared" ref="BM2583:BM2585" si="1688">"0"</f>
        <v>0</v>
      </c>
      <c r="BN2583" s="1">
        <v>34.0</v>
      </c>
      <c r="BO2583" s="1">
        <v>0.0</v>
      </c>
      <c r="BQ2583" s="1">
        <v>304.0</v>
      </c>
      <c r="BR2583" s="1">
        <v>304.0</v>
      </c>
      <c r="BS2583" s="1">
        <v>304.0</v>
      </c>
      <c r="BU2583" s="1" t="s">
        <v>1483</v>
      </c>
      <c r="BV2583" s="1" t="s">
        <v>206</v>
      </c>
      <c r="BW2583" s="1" t="s">
        <v>207</v>
      </c>
      <c r="BX2583" s="1" t="s">
        <v>431</v>
      </c>
      <c r="BY2583" s="1" t="s">
        <v>215</v>
      </c>
      <c r="BZ2583" s="1" t="s">
        <v>209</v>
      </c>
      <c r="CA2583" s="1" t="s">
        <v>207</v>
      </c>
      <c r="CB2583" s="1" t="s">
        <v>431</v>
      </c>
      <c r="CC2583" s="1" t="s">
        <v>663</v>
      </c>
      <c r="CD2583" s="1" t="s">
        <v>206</v>
      </c>
      <c r="CE2583" s="1" t="s">
        <v>207</v>
      </c>
      <c r="CF2583" s="1" t="s">
        <v>431</v>
      </c>
      <c r="CG2583" s="1" t="s">
        <v>495</v>
      </c>
      <c r="CH2583" s="1" t="s">
        <v>209</v>
      </c>
      <c r="CI2583" s="1" t="s">
        <v>207</v>
      </c>
      <c r="CJ2583" s="1" t="s">
        <v>431</v>
      </c>
      <c r="CK2583" s="1" t="s">
        <v>495</v>
      </c>
      <c r="CL2583" s="1" t="s">
        <v>209</v>
      </c>
      <c r="CM2583" s="1" t="s">
        <v>207</v>
      </c>
      <c r="CN2583" s="1" t="s">
        <v>431</v>
      </c>
      <c r="CO2583" s="1" t="s">
        <v>329</v>
      </c>
      <c r="CP2583" s="1" t="s">
        <v>267</v>
      </c>
      <c r="CQ2583" s="1" t="s">
        <v>210</v>
      </c>
      <c r="CS2583" s="1" t="s">
        <v>215</v>
      </c>
      <c r="CT2583" s="1" t="s">
        <v>206</v>
      </c>
      <c r="CU2583" s="1" t="s">
        <v>268</v>
      </c>
      <c r="CW2583" s="1" t="s">
        <v>1286</v>
      </c>
      <c r="CX2583" s="1" t="s">
        <v>267</v>
      </c>
      <c r="CY2583" s="1" t="s">
        <v>210</v>
      </c>
      <c r="CZ2583" s="1" t="s">
        <v>431</v>
      </c>
      <c r="DA2583" s="1" t="s">
        <v>200</v>
      </c>
      <c r="DC2583" s="1" t="s">
        <v>517</v>
      </c>
      <c r="DD2583" s="1" t="s">
        <v>759</v>
      </c>
      <c r="DE2583" s="1" t="s">
        <v>273</v>
      </c>
      <c r="DF2583" s="1" t="s">
        <v>219</v>
      </c>
      <c r="DG2583" s="1" t="s">
        <v>482</v>
      </c>
      <c r="DH2583" s="1" t="s">
        <v>220</v>
      </c>
      <c r="DI2583" s="1" t="s">
        <v>221</v>
      </c>
      <c r="DJ2583" s="1" t="s">
        <v>222</v>
      </c>
      <c r="DL2583" s="1" t="s">
        <v>224</v>
      </c>
      <c r="DM2583" s="1" t="s">
        <v>229</v>
      </c>
      <c r="DO2583" s="1" t="s">
        <v>486</v>
      </c>
      <c r="DP2583" s="1" t="s">
        <v>340</v>
      </c>
      <c r="DQ2583" s="1" t="s">
        <v>441</v>
      </c>
      <c r="DR2583" s="1" t="s">
        <v>229</v>
      </c>
      <c r="DS2583" s="1" t="s">
        <v>230</v>
      </c>
      <c r="DU2583" s="1" t="s">
        <v>487</v>
      </c>
      <c r="DV2583" s="1" t="s">
        <v>232</v>
      </c>
      <c r="DW2583" s="1" t="s">
        <v>233</v>
      </c>
      <c r="DX2583" s="1" t="s">
        <v>234</v>
      </c>
      <c r="DY2583" s="1" t="s">
        <v>1122</v>
      </c>
      <c r="DZ2583" s="1" t="s">
        <v>23196</v>
      </c>
      <c r="EA2583" s="1" t="s">
        <v>683</v>
      </c>
      <c r="EB2583" s="1" t="s">
        <v>15551</v>
      </c>
      <c r="EC2583" s="1" t="s">
        <v>311</v>
      </c>
      <c r="ED2583" s="1" t="s">
        <v>407</v>
      </c>
      <c r="EE2583" s="1" t="s">
        <v>1077</v>
      </c>
      <c r="EM2583" s="1" t="s">
        <v>238</v>
      </c>
      <c r="EQ2583" s="1" t="s">
        <v>238</v>
      </c>
      <c r="EU2583" s="1" t="s">
        <v>238</v>
      </c>
      <c r="EY2583" s="1" t="s">
        <v>238</v>
      </c>
      <c r="FC2583" s="1" t="s">
        <v>238</v>
      </c>
      <c r="FF2583" s="1" t="s">
        <v>239</v>
      </c>
      <c r="FG2583" s="1" t="s">
        <v>192</v>
      </c>
      <c r="FH2583" s="1" t="s">
        <v>192</v>
      </c>
      <c r="FJ2583" s="1" t="s">
        <v>13639</v>
      </c>
      <c r="FK2583" s="1" t="s">
        <v>229</v>
      </c>
      <c r="FL2583" s="1" t="s">
        <v>1124</v>
      </c>
      <c r="FM2583" s="1">
        <v>8059.0</v>
      </c>
      <c r="FN2583" s="1" t="s">
        <v>7340</v>
      </c>
      <c r="FO2583" s="1" t="s">
        <v>23197</v>
      </c>
      <c r="FP2583" s="1">
        <v>242321.0</v>
      </c>
      <c r="FQ2583" s="1" t="s">
        <v>23198</v>
      </c>
      <c r="FU2583" s="1" t="s">
        <v>23199</v>
      </c>
      <c r="FV2583" s="1" t="s">
        <v>200</v>
      </c>
      <c r="FW2583" s="1" t="s">
        <v>530</v>
      </c>
      <c r="FZ2583" s="1" t="s">
        <v>229</v>
      </c>
      <c r="GA2583" s="1" t="s">
        <v>291</v>
      </c>
      <c r="GB2583" s="2">
        <v>42088.0</v>
      </c>
    </row>
    <row r="2584">
      <c r="A2584" s="1">
        <v>465000.0</v>
      </c>
      <c r="B2584" s="1" t="s">
        <v>185</v>
      </c>
      <c r="C2584" s="1" t="str">
        <f>"08822465"</f>
        <v>08822465</v>
      </c>
      <c r="D2584" s="1" t="s">
        <v>186</v>
      </c>
      <c r="F2584" s="1" t="str">
        <f>"8002"</f>
        <v>8002</v>
      </c>
      <c r="G2584" s="2">
        <v>42027.0</v>
      </c>
      <c r="H2584" s="1">
        <v>479000.0</v>
      </c>
      <c r="I2584" s="1">
        <v>301.0</v>
      </c>
      <c r="J2584" s="1">
        <v>479000.0</v>
      </c>
      <c r="K2584" s="2">
        <v>42061.0</v>
      </c>
      <c r="L2584" s="1">
        <v>35.0</v>
      </c>
      <c r="M2584" s="2">
        <v>42061.0</v>
      </c>
      <c r="N2584" s="1" t="s">
        <v>187</v>
      </c>
      <c r="O2584" s="2">
        <v>42104.0</v>
      </c>
      <c r="P2584" s="1">
        <v>150020.0</v>
      </c>
      <c r="Q2584" s="1">
        <v>16379.0</v>
      </c>
      <c r="S2584" s="1">
        <v>2646.0</v>
      </c>
      <c r="T2584" s="1" t="s">
        <v>23200</v>
      </c>
      <c r="U2584" s="1" t="s">
        <v>189</v>
      </c>
      <c r="V2584" s="1" t="s">
        <v>190</v>
      </c>
      <c r="W2584" s="1">
        <v>60645.0</v>
      </c>
      <c r="Y2584" s="1" t="s">
        <v>23201</v>
      </c>
      <c r="Z2584" s="1">
        <v>1923.0</v>
      </c>
      <c r="AA2584" s="1" t="s">
        <v>192</v>
      </c>
      <c r="AB2584" s="1" t="s">
        <v>193</v>
      </c>
      <c r="AD2584" s="1" t="s">
        <v>194</v>
      </c>
      <c r="AE2584" s="1" t="s">
        <v>195</v>
      </c>
      <c r="AF2584" s="1" t="s">
        <v>827</v>
      </c>
      <c r="AH2584" s="1" t="s">
        <v>19289</v>
      </c>
      <c r="AK2584" s="1">
        <v>9.0</v>
      </c>
      <c r="AL2584" s="1">
        <v>4.0</v>
      </c>
      <c r="AM2584" s="1">
        <v>3.0</v>
      </c>
      <c r="AN2584" s="1">
        <v>0.0</v>
      </c>
      <c r="AO2584" s="1" t="s">
        <v>1261</v>
      </c>
      <c r="AP2584" s="1">
        <v>0.0</v>
      </c>
      <c r="AQ2584" s="1" t="s">
        <v>198</v>
      </c>
      <c r="AR2584" s="1" t="s">
        <v>200</v>
      </c>
      <c r="AS2584" s="1" t="s">
        <v>510</v>
      </c>
      <c r="AT2584" s="1">
        <v>2.0</v>
      </c>
      <c r="AU2584" s="1">
        <v>2.0</v>
      </c>
      <c r="AV2584" s="1" t="s">
        <v>200</v>
      </c>
      <c r="AW2584" s="1">
        <v>4853.0</v>
      </c>
      <c r="AX2584" s="1">
        <v>2013.0</v>
      </c>
      <c r="AY2584" s="1" t="s">
        <v>387</v>
      </c>
      <c r="AZ2584" s="1" t="s">
        <v>200</v>
      </c>
      <c r="BA2584" s="1" t="str">
        <f>"10362160210000"</f>
        <v>10362160210000</v>
      </c>
      <c r="BC2584" s="1">
        <v>0.0</v>
      </c>
      <c r="BD2584" s="1">
        <v>465000.0</v>
      </c>
      <c r="BE2584" s="2">
        <v>42027.0</v>
      </c>
      <c r="BF2584" s="2" t="s">
        <v>23202</v>
      </c>
      <c r="BG2584" s="1" t="s">
        <v>23203</v>
      </c>
      <c r="BH2584" s="1">
        <v>0.0</v>
      </c>
      <c r="BI2584" s="1" t="s">
        <v>23203</v>
      </c>
      <c r="BJ2584" s="1" t="s">
        <v>5627</v>
      </c>
      <c r="BK2584" s="1" t="s">
        <v>204</v>
      </c>
      <c r="BL2584" s="1" t="str">
        <f>"6950"</f>
        <v>6950</v>
      </c>
      <c r="BM2584" s="1" t="str">
        <f t="shared" si="1688"/>
        <v>0</v>
      </c>
      <c r="BN2584" s="1">
        <v>2646.0</v>
      </c>
      <c r="BO2584" s="1">
        <v>0.0</v>
      </c>
      <c r="BQ2584" s="1">
        <v>299.0</v>
      </c>
      <c r="BR2584" s="1">
        <v>299.0</v>
      </c>
      <c r="BS2584" s="1">
        <v>299.0</v>
      </c>
      <c r="BU2584" s="1" t="s">
        <v>346</v>
      </c>
      <c r="BV2584" s="1" t="s">
        <v>206</v>
      </c>
      <c r="BW2584" s="1" t="s">
        <v>207</v>
      </c>
      <c r="BY2584" s="1" t="s">
        <v>743</v>
      </c>
      <c r="BZ2584" s="1" t="s">
        <v>206</v>
      </c>
      <c r="CA2584" s="1" t="s">
        <v>210</v>
      </c>
      <c r="CC2584" s="1" t="s">
        <v>213</v>
      </c>
      <c r="CD2584" s="1" t="s">
        <v>206</v>
      </c>
      <c r="CE2584" s="1" t="s">
        <v>207</v>
      </c>
      <c r="CG2584" s="1" t="s">
        <v>215</v>
      </c>
      <c r="CH2584" s="1" t="s">
        <v>206</v>
      </c>
      <c r="CI2584" s="1" t="s">
        <v>207</v>
      </c>
      <c r="CK2584" s="1" t="s">
        <v>454</v>
      </c>
      <c r="CL2584" s="1" t="s">
        <v>206</v>
      </c>
      <c r="CM2584" s="1" t="s">
        <v>207</v>
      </c>
      <c r="CO2584" s="1" t="s">
        <v>262</v>
      </c>
      <c r="CP2584" s="1" t="s">
        <v>209</v>
      </c>
      <c r="CQ2584" s="1" t="s">
        <v>210</v>
      </c>
      <c r="CS2584" s="1" t="s">
        <v>2166</v>
      </c>
      <c r="CT2584" s="1" t="s">
        <v>206</v>
      </c>
      <c r="CU2584" s="1" t="s">
        <v>2128</v>
      </c>
      <c r="CW2584" s="1" t="s">
        <v>2365</v>
      </c>
      <c r="CX2584" s="1" t="s">
        <v>209</v>
      </c>
      <c r="CY2584" s="1" t="s">
        <v>210</v>
      </c>
      <c r="DA2584" s="1" t="s">
        <v>200</v>
      </c>
      <c r="DC2584" s="1" t="s">
        <v>216</v>
      </c>
      <c r="DE2584" s="1" t="s">
        <v>15576</v>
      </c>
      <c r="DF2584" s="1" t="s">
        <v>23204</v>
      </c>
      <c r="DH2584" s="1" t="s">
        <v>220</v>
      </c>
      <c r="DI2584" s="1" t="s">
        <v>703</v>
      </c>
      <c r="DJ2584" s="1" t="s">
        <v>222</v>
      </c>
      <c r="DK2584" s="1" t="s">
        <v>224</v>
      </c>
      <c r="DL2584" s="1" t="s">
        <v>858</v>
      </c>
      <c r="DM2584" s="1" t="s">
        <v>229</v>
      </c>
      <c r="DP2584" s="1" t="s">
        <v>340</v>
      </c>
      <c r="DQ2584" s="1" t="s">
        <v>794</v>
      </c>
      <c r="DR2584" s="1" t="s">
        <v>229</v>
      </c>
      <c r="DS2584" s="1" t="s">
        <v>591</v>
      </c>
      <c r="DV2584" s="1" t="s">
        <v>4466</v>
      </c>
      <c r="DW2584" s="1" t="s">
        <v>279</v>
      </c>
      <c r="DX2584" s="1" t="s">
        <v>2333</v>
      </c>
      <c r="DY2584" s="1" t="s">
        <v>23205</v>
      </c>
      <c r="DZ2584" s="1" t="s">
        <v>282</v>
      </c>
      <c r="EA2584" s="1" t="s">
        <v>644</v>
      </c>
      <c r="EC2584" s="1" t="s">
        <v>237</v>
      </c>
      <c r="ED2584" s="1" t="s">
        <v>555</v>
      </c>
      <c r="EF2584" s="1" t="s">
        <v>523</v>
      </c>
      <c r="EG2584" s="1" t="s">
        <v>450</v>
      </c>
      <c r="EH2584" s="1" t="s">
        <v>1270</v>
      </c>
      <c r="EL2584" s="1" t="s">
        <v>13174</v>
      </c>
      <c r="EM2584" s="1" t="s">
        <v>42</v>
      </c>
      <c r="EN2584" s="1" t="s">
        <v>210</v>
      </c>
      <c r="EP2584" s="1" t="s">
        <v>5655</v>
      </c>
      <c r="EQ2584" s="1" t="s">
        <v>42</v>
      </c>
      <c r="ER2584" s="1" t="s">
        <v>588</v>
      </c>
      <c r="EU2584" s="1" t="s">
        <v>238</v>
      </c>
      <c r="EY2584" s="1" t="s">
        <v>238</v>
      </c>
      <c r="FC2584" s="1" t="s">
        <v>238</v>
      </c>
      <c r="FF2584" s="1" t="s">
        <v>239</v>
      </c>
      <c r="FG2584" s="1" t="s">
        <v>192</v>
      </c>
      <c r="FH2584" s="1" t="s">
        <v>192</v>
      </c>
      <c r="FJ2584" s="1" t="s">
        <v>799</v>
      </c>
      <c r="FK2584" s="1" t="s">
        <v>229</v>
      </c>
      <c r="FL2584" s="1" t="s">
        <v>562</v>
      </c>
      <c r="FM2584" s="1">
        <v>16379.0</v>
      </c>
      <c r="FN2584" s="1" t="s">
        <v>563</v>
      </c>
      <c r="FO2584" s="1" t="s">
        <v>23206</v>
      </c>
      <c r="FP2584" s="1">
        <v>112660.0</v>
      </c>
      <c r="FQ2584" s="1" t="s">
        <v>23207</v>
      </c>
      <c r="FS2584" s="1" t="s">
        <v>23208</v>
      </c>
      <c r="FU2584" s="1" t="s">
        <v>23209</v>
      </c>
      <c r="FV2584" s="1" t="s">
        <v>200</v>
      </c>
      <c r="FW2584" s="1" t="s">
        <v>1293</v>
      </c>
      <c r="FX2584" s="1" t="s">
        <v>246</v>
      </c>
      <c r="FZ2584" s="1" t="s">
        <v>229</v>
      </c>
      <c r="GA2584" s="1" t="s">
        <v>291</v>
      </c>
      <c r="GB2584" s="2">
        <v>42104.0</v>
      </c>
      <c r="GC2584" s="1" t="s">
        <v>23210</v>
      </c>
    </row>
    <row r="2585">
      <c r="A2585" s="1">
        <v>450000.0</v>
      </c>
      <c r="B2585" s="1" t="s">
        <v>185</v>
      </c>
      <c r="C2585" s="1" t="str">
        <f>"08827278"</f>
        <v>08827278</v>
      </c>
      <c r="D2585" s="1" t="s">
        <v>186</v>
      </c>
      <c r="F2585" s="1" t="str">
        <f>"8021"</f>
        <v>8021</v>
      </c>
      <c r="G2585" s="2">
        <v>42034.0</v>
      </c>
      <c r="H2585" s="1">
        <v>450000.0</v>
      </c>
      <c r="I2585" s="1">
        <v>11.0</v>
      </c>
      <c r="J2585" s="1">
        <v>450000.0</v>
      </c>
      <c r="K2585" s="2">
        <v>42044.0</v>
      </c>
      <c r="L2585" s="1">
        <v>11.0</v>
      </c>
      <c r="M2585" s="2">
        <v>42044.0</v>
      </c>
      <c r="N2585" s="1" t="s">
        <v>187</v>
      </c>
      <c r="O2585" s="2">
        <v>42090.0</v>
      </c>
      <c r="P2585" s="1">
        <v>131252.0</v>
      </c>
      <c r="Q2585" s="1">
        <v>85269.0</v>
      </c>
      <c r="R2585" s="1">
        <v>1599.0</v>
      </c>
      <c r="S2585" s="1">
        <v>2844.0</v>
      </c>
      <c r="T2585" s="1" t="s">
        <v>11751</v>
      </c>
      <c r="U2585" s="1" t="s">
        <v>320</v>
      </c>
      <c r="V2585" s="1" t="s">
        <v>190</v>
      </c>
      <c r="W2585" s="1">
        <v>60618.0</v>
      </c>
      <c r="Y2585" s="1" t="s">
        <v>23211</v>
      </c>
      <c r="Z2585" s="1">
        <v>1896.0</v>
      </c>
      <c r="AA2585" s="1" t="s">
        <v>192</v>
      </c>
      <c r="AB2585" s="1" t="s">
        <v>193</v>
      </c>
      <c r="AD2585" s="1" t="s">
        <v>194</v>
      </c>
      <c r="AE2585" s="1" t="s">
        <v>195</v>
      </c>
      <c r="AF2585" s="1" t="s">
        <v>196</v>
      </c>
      <c r="AH2585" s="1" t="s">
        <v>359</v>
      </c>
      <c r="AK2585" s="1">
        <v>10.0</v>
      </c>
      <c r="AL2585" s="1">
        <v>3.0</v>
      </c>
      <c r="AM2585" s="1">
        <v>3.0</v>
      </c>
      <c r="AN2585" s="1">
        <v>1.0</v>
      </c>
      <c r="AO2585" s="1" t="s">
        <v>1261</v>
      </c>
      <c r="AP2585" s="1">
        <v>1.0</v>
      </c>
      <c r="AQ2585" s="1" t="s">
        <v>198</v>
      </c>
      <c r="AR2585" s="1" t="s">
        <v>192</v>
      </c>
      <c r="AS2585" s="1" t="s">
        <v>199</v>
      </c>
      <c r="AT2585" s="1">
        <v>2.0</v>
      </c>
      <c r="AV2585" s="1" t="s">
        <v>200</v>
      </c>
      <c r="AW2585" s="1">
        <v>4522.0</v>
      </c>
      <c r="AX2585" s="1">
        <v>2013.0</v>
      </c>
      <c r="AY2585" s="1" t="s">
        <v>387</v>
      </c>
      <c r="AZ2585" s="1" t="s">
        <v>200</v>
      </c>
      <c r="BA2585" s="1" t="str">
        <f>"13251330240000"</f>
        <v>13251330240000</v>
      </c>
      <c r="BB2585" s="1" t="s">
        <v>200</v>
      </c>
      <c r="BC2585" s="1">
        <v>2800.0</v>
      </c>
      <c r="BD2585" s="1">
        <v>450000.0</v>
      </c>
      <c r="BE2585" s="2">
        <v>42034.0</v>
      </c>
      <c r="BF2585" s="2" t="s">
        <v>23212</v>
      </c>
      <c r="BH2585" s="1">
        <v>0.0</v>
      </c>
      <c r="BK2585" s="1" t="s">
        <v>204</v>
      </c>
      <c r="BL2585" s="1" t="str">
        <f>"2844"</f>
        <v>2844</v>
      </c>
      <c r="BM2585" s="1" t="str">
        <f t="shared" si="1688"/>
        <v>0</v>
      </c>
      <c r="BN2585" s="1">
        <v>3100.0</v>
      </c>
      <c r="BO2585" s="1">
        <v>0.0</v>
      </c>
      <c r="BQ2585" s="1">
        <v>299.0</v>
      </c>
      <c r="BR2585" s="1">
        <v>299.0</v>
      </c>
      <c r="BS2585" s="1">
        <v>299.0</v>
      </c>
      <c r="BU2585" s="1" t="s">
        <v>2900</v>
      </c>
      <c r="BV2585" s="1" t="s">
        <v>206</v>
      </c>
      <c r="BW2585" s="1" t="s">
        <v>207</v>
      </c>
      <c r="BX2585" s="1" t="s">
        <v>431</v>
      </c>
      <c r="BY2585" s="1" t="s">
        <v>784</v>
      </c>
      <c r="BZ2585" s="1" t="s">
        <v>209</v>
      </c>
      <c r="CA2585" s="1" t="s">
        <v>207</v>
      </c>
      <c r="CC2585" s="1" t="s">
        <v>1329</v>
      </c>
      <c r="CD2585" s="1" t="s">
        <v>206</v>
      </c>
      <c r="CE2585" s="1" t="s">
        <v>207</v>
      </c>
      <c r="CF2585" s="1" t="s">
        <v>431</v>
      </c>
      <c r="CG2585" s="1" t="s">
        <v>543</v>
      </c>
      <c r="CH2585" s="1" t="s">
        <v>209</v>
      </c>
      <c r="CI2585" s="1" t="s">
        <v>207</v>
      </c>
      <c r="CK2585" s="1" t="s">
        <v>213</v>
      </c>
      <c r="CL2585" s="1" t="s">
        <v>391</v>
      </c>
      <c r="CM2585" s="1" t="s">
        <v>207</v>
      </c>
      <c r="CO2585" s="1" t="s">
        <v>1745</v>
      </c>
      <c r="CP2585" s="1" t="s">
        <v>42</v>
      </c>
      <c r="CQ2585" s="1" t="s">
        <v>268</v>
      </c>
      <c r="CS2585" s="1" t="s">
        <v>5334</v>
      </c>
      <c r="CT2585" s="1" t="s">
        <v>206</v>
      </c>
      <c r="CU2585" s="1" t="s">
        <v>207</v>
      </c>
      <c r="CV2585" s="1" t="s">
        <v>431</v>
      </c>
      <c r="CW2585" s="1" t="s">
        <v>1426</v>
      </c>
      <c r="CX2585" s="1" t="s">
        <v>42</v>
      </c>
      <c r="CY2585" s="1" t="s">
        <v>268</v>
      </c>
      <c r="DA2585" s="1" t="s">
        <v>200</v>
      </c>
      <c r="DC2585" s="1" t="s">
        <v>642</v>
      </c>
      <c r="DE2585" s="1" t="s">
        <v>1905</v>
      </c>
      <c r="DF2585" s="1" t="s">
        <v>4086</v>
      </c>
      <c r="DH2585" s="1" t="s">
        <v>220</v>
      </c>
      <c r="DJ2585" s="1" t="s">
        <v>222</v>
      </c>
      <c r="DK2585" s="1" t="s">
        <v>224</v>
      </c>
      <c r="DL2585" s="1" t="s">
        <v>224</v>
      </c>
      <c r="DM2585" s="1" t="s">
        <v>229</v>
      </c>
      <c r="DQ2585" s="1" t="s">
        <v>228</v>
      </c>
      <c r="DR2585" s="1" t="s">
        <v>229</v>
      </c>
      <c r="DV2585" s="1" t="s">
        <v>23213</v>
      </c>
      <c r="DW2585" s="1" t="s">
        <v>22974</v>
      </c>
      <c r="DX2585" s="1" t="s">
        <v>234</v>
      </c>
      <c r="DY2585" s="1" t="s">
        <v>704</v>
      </c>
      <c r="DZ2585" s="1" t="s">
        <v>705</v>
      </c>
      <c r="EB2585" s="1" t="s">
        <v>492</v>
      </c>
      <c r="EC2585" s="1" t="s">
        <v>406</v>
      </c>
      <c r="ED2585" s="1" t="s">
        <v>555</v>
      </c>
      <c r="EG2585" s="1" t="s">
        <v>1121</v>
      </c>
      <c r="EH2585" s="1" t="s">
        <v>494</v>
      </c>
      <c r="EI2585" s="1" t="s">
        <v>1121</v>
      </c>
      <c r="EJ2585" s="1" t="s">
        <v>310</v>
      </c>
      <c r="EL2585" s="1" t="s">
        <v>623</v>
      </c>
      <c r="EM2585" s="1" t="s">
        <v>206</v>
      </c>
      <c r="EN2585" s="1" t="s">
        <v>207</v>
      </c>
      <c r="EP2585" s="1" t="s">
        <v>2047</v>
      </c>
      <c r="EQ2585" s="1" t="s">
        <v>209</v>
      </c>
      <c r="ER2585" s="1" t="s">
        <v>207</v>
      </c>
      <c r="ET2585" s="1" t="s">
        <v>2047</v>
      </c>
      <c r="EU2585" s="1" t="s">
        <v>391</v>
      </c>
      <c r="EV2585" s="1" t="s">
        <v>207</v>
      </c>
      <c r="EX2585" s="1" t="s">
        <v>392</v>
      </c>
      <c r="EY2585" s="1" t="s">
        <v>206</v>
      </c>
      <c r="FC2585" s="1" t="s">
        <v>238</v>
      </c>
      <c r="FF2585" s="1" t="s">
        <v>239</v>
      </c>
      <c r="FG2585" s="1" t="s">
        <v>192</v>
      </c>
      <c r="FH2585" s="1" t="s">
        <v>192</v>
      </c>
      <c r="FJ2585" s="1" t="s">
        <v>13716</v>
      </c>
      <c r="FK2585" s="1" t="s">
        <v>229</v>
      </c>
      <c r="FL2585" s="1" t="s">
        <v>562</v>
      </c>
      <c r="FM2585" s="1">
        <v>84025.0</v>
      </c>
      <c r="FN2585" s="1" t="s">
        <v>2509</v>
      </c>
      <c r="FO2585" s="1" t="s">
        <v>23214</v>
      </c>
      <c r="FP2585" s="1">
        <v>179573.0</v>
      </c>
      <c r="FQ2585" s="1" t="s">
        <v>23215</v>
      </c>
      <c r="FU2585" s="1" t="s">
        <v>23216</v>
      </c>
      <c r="FV2585" s="1" t="s">
        <v>200</v>
      </c>
      <c r="FW2585" s="1" t="s">
        <v>290</v>
      </c>
      <c r="FX2585" s="1" t="s">
        <v>238</v>
      </c>
      <c r="FZ2585" s="1" t="s">
        <v>229</v>
      </c>
      <c r="GA2585" s="1" t="s">
        <v>291</v>
      </c>
      <c r="GB2585" s="2">
        <v>42093.0</v>
      </c>
      <c r="GC2585" s="1" t="s">
        <v>23217</v>
      </c>
    </row>
    <row r="2586">
      <c r="A2586" s="1">
        <v>19109.0</v>
      </c>
      <c r="B2586" s="1" t="s">
        <v>185</v>
      </c>
      <c r="C2586" s="1" t="str">
        <f>"08823258"</f>
        <v>08823258</v>
      </c>
      <c r="D2586" s="1" t="s">
        <v>186</v>
      </c>
      <c r="F2586" s="1" t="str">
        <f>"8046"</f>
        <v>8046</v>
      </c>
      <c r="G2586" s="2">
        <v>42028.0</v>
      </c>
      <c r="H2586" s="1">
        <v>20140.0</v>
      </c>
      <c r="I2586" s="1">
        <v>33.0</v>
      </c>
      <c r="J2586" s="1">
        <v>20140.0</v>
      </c>
      <c r="K2586" s="2">
        <v>42060.0</v>
      </c>
      <c r="L2586" s="1">
        <v>33.0</v>
      </c>
      <c r="M2586" s="2">
        <v>42060.0</v>
      </c>
      <c r="N2586" s="1" t="s">
        <v>249</v>
      </c>
      <c r="O2586" s="2">
        <v>42116.0</v>
      </c>
      <c r="P2586" s="1">
        <v>111154.0</v>
      </c>
      <c r="Q2586" s="1">
        <v>10934.0</v>
      </c>
      <c r="S2586" s="1">
        <v>8726.0</v>
      </c>
      <c r="T2586" s="1" t="s">
        <v>7608</v>
      </c>
      <c r="U2586" s="1" t="s">
        <v>189</v>
      </c>
      <c r="V2586" s="1" t="s">
        <v>190</v>
      </c>
      <c r="W2586" s="1">
        <v>60617.0</v>
      </c>
      <c r="Y2586" s="1" t="s">
        <v>23218</v>
      </c>
      <c r="Z2586" s="1">
        <v>1919.0</v>
      </c>
      <c r="AA2586" s="1" t="s">
        <v>192</v>
      </c>
      <c r="AB2586" s="1" t="s">
        <v>193</v>
      </c>
      <c r="AD2586" s="1" t="s">
        <v>194</v>
      </c>
      <c r="AE2586" s="1" t="s">
        <v>195</v>
      </c>
      <c r="AF2586" s="1" t="s">
        <v>637</v>
      </c>
      <c r="AH2586" s="1">
        <v>3750.0</v>
      </c>
      <c r="AI2586" s="1">
        <v>0.0861</v>
      </c>
      <c r="AK2586" s="1">
        <v>7.0</v>
      </c>
      <c r="AL2586" s="1">
        <v>4.0</v>
      </c>
      <c r="AM2586" s="1">
        <v>1.0</v>
      </c>
      <c r="AN2586" s="1">
        <v>0.0</v>
      </c>
      <c r="AO2586" s="1" t="s">
        <v>229</v>
      </c>
      <c r="AQ2586" s="1" t="s">
        <v>198</v>
      </c>
      <c r="AR2586" s="1" t="s">
        <v>200</v>
      </c>
      <c r="AS2586" s="1" t="s">
        <v>229</v>
      </c>
      <c r="AV2586" s="1" t="s">
        <v>200</v>
      </c>
      <c r="AW2586" s="1">
        <v>1236.04</v>
      </c>
      <c r="AX2586" s="1">
        <v>2012.0</v>
      </c>
      <c r="AZ2586" s="1" t="s">
        <v>545</v>
      </c>
      <c r="BA2586" s="1" t="str">
        <f>"26061010170000"</f>
        <v>26061010170000</v>
      </c>
      <c r="BC2586" s="1">
        <v>1104.0</v>
      </c>
      <c r="BD2586" s="1">
        <v>19109.0</v>
      </c>
      <c r="BE2586" s="2">
        <v>42028.0</v>
      </c>
      <c r="BF2586" s="2" t="s">
        <v>3507</v>
      </c>
      <c r="BH2586" s="1">
        <v>0.0</v>
      </c>
      <c r="BK2586" s="1" t="s">
        <v>204</v>
      </c>
      <c r="BL2586" s="1" t="str">
        <f>"0"</f>
        <v>0</v>
      </c>
      <c r="BM2586" s="1" t="str">
        <f>"2800"</f>
        <v>2800</v>
      </c>
      <c r="BN2586" s="1">
        <v>0.0</v>
      </c>
      <c r="BO2586" s="1">
        <v>8700.0</v>
      </c>
      <c r="BQ2586" s="1">
        <v>299.0</v>
      </c>
      <c r="BR2586" s="1">
        <v>299.0</v>
      </c>
      <c r="BS2586" s="1">
        <v>299.0</v>
      </c>
      <c r="BU2586" s="1" t="s">
        <v>1299</v>
      </c>
      <c r="BV2586" s="1" t="s">
        <v>206</v>
      </c>
      <c r="BY2586" s="1" t="s">
        <v>1299</v>
      </c>
      <c r="BZ2586" s="1" t="s">
        <v>206</v>
      </c>
      <c r="CD2586" s="1" t="s">
        <v>204</v>
      </c>
      <c r="CG2586" s="1" t="s">
        <v>433</v>
      </c>
      <c r="CH2586" s="1" t="s">
        <v>206</v>
      </c>
      <c r="CK2586" s="1" t="s">
        <v>454</v>
      </c>
      <c r="CL2586" s="1" t="s">
        <v>206</v>
      </c>
      <c r="CO2586" s="1" t="s">
        <v>433</v>
      </c>
      <c r="CP2586" s="1" t="s">
        <v>206</v>
      </c>
      <c r="CS2586" s="1" t="s">
        <v>269</v>
      </c>
      <c r="CT2586" s="1" t="s">
        <v>206</v>
      </c>
      <c r="CW2586" s="1" t="s">
        <v>433</v>
      </c>
      <c r="CX2586" s="1" t="s">
        <v>206</v>
      </c>
      <c r="DA2586" s="1" t="s">
        <v>200</v>
      </c>
      <c r="DC2586" s="1" t="s">
        <v>216</v>
      </c>
      <c r="DE2586" s="1" t="s">
        <v>1139</v>
      </c>
      <c r="DF2586" s="1" t="s">
        <v>2275</v>
      </c>
      <c r="DH2586" s="1" t="s">
        <v>365</v>
      </c>
      <c r="DJ2586" s="1" t="s">
        <v>222</v>
      </c>
      <c r="DL2586" s="1" t="s">
        <v>224</v>
      </c>
      <c r="DM2586" s="1" t="s">
        <v>229</v>
      </c>
      <c r="DQ2586" s="1" t="s">
        <v>228</v>
      </c>
      <c r="DR2586" s="1" t="s">
        <v>229</v>
      </c>
      <c r="DV2586" s="1" t="s">
        <v>232</v>
      </c>
      <c r="DW2586" s="1" t="s">
        <v>279</v>
      </c>
      <c r="DX2586" s="1" t="s">
        <v>234</v>
      </c>
      <c r="EC2586" s="1" t="s">
        <v>685</v>
      </c>
      <c r="EE2586" s="1" t="s">
        <v>1960</v>
      </c>
      <c r="EM2586" s="1" t="s">
        <v>238</v>
      </c>
      <c r="EQ2586" s="1" t="s">
        <v>238</v>
      </c>
      <c r="EU2586" s="1" t="s">
        <v>238</v>
      </c>
      <c r="EY2586" s="1" t="s">
        <v>238</v>
      </c>
      <c r="FC2586" s="1" t="s">
        <v>238</v>
      </c>
      <c r="FF2586" s="1" t="s">
        <v>239</v>
      </c>
      <c r="FG2586" s="1" t="s">
        <v>192</v>
      </c>
      <c r="FH2586" s="1" t="s">
        <v>192</v>
      </c>
      <c r="FJ2586" s="1" t="s">
        <v>347</v>
      </c>
      <c r="FK2586" s="1" t="s">
        <v>229</v>
      </c>
      <c r="FL2586" s="1" t="s">
        <v>3033</v>
      </c>
      <c r="FM2586" s="1">
        <v>1984.0</v>
      </c>
      <c r="FN2586" s="1" t="s">
        <v>3034</v>
      </c>
      <c r="FO2586" s="1" t="s">
        <v>8682</v>
      </c>
      <c r="FP2586" s="1">
        <v>923546.0</v>
      </c>
      <c r="FQ2586" s="1" t="s">
        <v>8683</v>
      </c>
      <c r="FU2586" s="1" t="s">
        <v>3036</v>
      </c>
      <c r="FV2586" s="1" t="s">
        <v>200</v>
      </c>
      <c r="FW2586" s="1" t="s">
        <v>4959</v>
      </c>
      <c r="FX2586" s="1" t="s">
        <v>655</v>
      </c>
      <c r="FZ2586" s="1" t="s">
        <v>229</v>
      </c>
      <c r="GA2586" s="1" t="s">
        <v>291</v>
      </c>
      <c r="GB2586" s="2">
        <v>42129.0</v>
      </c>
      <c r="GC2586" s="1" t="s">
        <v>7564</v>
      </c>
    </row>
    <row r="2587">
      <c r="A2587" s="1">
        <v>122500.0</v>
      </c>
      <c r="B2587" s="1" t="s">
        <v>185</v>
      </c>
      <c r="C2587" s="1" t="str">
        <f>"08822800"</f>
        <v>08822800</v>
      </c>
      <c r="D2587" s="1" t="s">
        <v>186</v>
      </c>
      <c r="F2587" s="1" t="str">
        <f>"545"</f>
        <v>545</v>
      </c>
      <c r="G2587" s="2">
        <v>42027.0</v>
      </c>
      <c r="H2587" s="1">
        <v>124800.0</v>
      </c>
      <c r="I2587" s="1">
        <v>23.0</v>
      </c>
      <c r="J2587" s="1">
        <v>124800.0</v>
      </c>
      <c r="K2587" s="2">
        <v>42048.0</v>
      </c>
      <c r="L2587" s="1">
        <v>23.0</v>
      </c>
      <c r="M2587" s="2">
        <v>42048.0</v>
      </c>
      <c r="N2587" s="1" t="s">
        <v>187</v>
      </c>
      <c r="O2587" s="2">
        <v>42076.0</v>
      </c>
      <c r="P2587" s="1">
        <v>237887.0</v>
      </c>
      <c r="Q2587" s="1">
        <v>25547.0</v>
      </c>
      <c r="R2587" s="1">
        <v>3000.0</v>
      </c>
      <c r="S2587" s="1">
        <v>600.0</v>
      </c>
      <c r="T2587" s="1" t="s">
        <v>64</v>
      </c>
      <c r="U2587" s="1" t="s">
        <v>320</v>
      </c>
      <c r="V2587" s="1" t="s">
        <v>3364</v>
      </c>
      <c r="W2587" s="1">
        <v>60545.0</v>
      </c>
      <c r="Y2587" s="1" t="s">
        <v>23219</v>
      </c>
      <c r="Z2587" s="1">
        <v>1957.0</v>
      </c>
      <c r="AA2587" s="1" t="s">
        <v>192</v>
      </c>
      <c r="AB2587" s="1" t="s">
        <v>193</v>
      </c>
      <c r="AD2587" s="1" t="s">
        <v>3366</v>
      </c>
      <c r="AE2587" s="1" t="s">
        <v>849</v>
      </c>
      <c r="AF2587" s="1" t="s">
        <v>3367</v>
      </c>
      <c r="AH2587" s="1" t="s">
        <v>14700</v>
      </c>
      <c r="AI2587" s="1">
        <v>0.2607</v>
      </c>
      <c r="AK2587" s="1">
        <v>8.0</v>
      </c>
      <c r="AL2587" s="1">
        <v>4.0</v>
      </c>
      <c r="AM2587" s="1">
        <v>1.0</v>
      </c>
      <c r="AN2587" s="1">
        <v>1.0</v>
      </c>
      <c r="AO2587" s="1" t="s">
        <v>229</v>
      </c>
      <c r="AP2587" s="1">
        <v>1.0</v>
      </c>
      <c r="AQ2587" s="1" t="s">
        <v>229</v>
      </c>
      <c r="AR2587" s="1" t="s">
        <v>200</v>
      </c>
      <c r="AS2587" s="1" t="s">
        <v>199</v>
      </c>
      <c r="AT2587" s="1">
        <v>2.0</v>
      </c>
      <c r="AV2587" s="1" t="s">
        <v>200</v>
      </c>
      <c r="AW2587" s="1">
        <v>5209.3</v>
      </c>
      <c r="AX2587" s="1">
        <v>2013.0</v>
      </c>
      <c r="AZ2587" s="1" t="s">
        <v>200</v>
      </c>
      <c r="BA2587" s="1" t="str">
        <f>"0122278007"</f>
        <v>0122278007</v>
      </c>
      <c r="BC2587" s="1">
        <v>0.0</v>
      </c>
      <c r="BD2587" s="1">
        <v>122500.0</v>
      </c>
      <c r="BE2587" s="2">
        <v>42026.0</v>
      </c>
      <c r="BF2587" s="1" t="s">
        <v>23220</v>
      </c>
      <c r="BH2587" s="1">
        <v>0.0</v>
      </c>
      <c r="BK2587" s="1" t="s">
        <v>204</v>
      </c>
      <c r="BL2587" s="1" t="str">
        <f t="shared" ref="BL2587:BM2587" si="1689">""</f>
        <v/>
      </c>
      <c r="BM2587" s="1" t="str">
        <f t="shared" si="1689"/>
        <v/>
      </c>
      <c r="BQ2587" s="1">
        <v>88.0</v>
      </c>
      <c r="BR2587" s="1">
        <v>88.0</v>
      </c>
      <c r="BS2587" s="1">
        <v>88.0</v>
      </c>
      <c r="BU2587" s="1" t="s">
        <v>3888</v>
      </c>
      <c r="BV2587" s="1" t="s">
        <v>206</v>
      </c>
      <c r="BY2587" s="1" t="s">
        <v>363</v>
      </c>
      <c r="BZ2587" s="1" t="s">
        <v>209</v>
      </c>
      <c r="CC2587" s="1" t="s">
        <v>1119</v>
      </c>
      <c r="CD2587" s="1" t="s">
        <v>206</v>
      </c>
      <c r="CG2587" s="1" t="s">
        <v>264</v>
      </c>
      <c r="CH2587" s="1" t="s">
        <v>209</v>
      </c>
      <c r="CK2587" s="1" t="s">
        <v>264</v>
      </c>
      <c r="CL2587" s="1" t="s">
        <v>209</v>
      </c>
      <c r="CO2587" s="1" t="s">
        <v>495</v>
      </c>
      <c r="CP2587" s="1" t="s">
        <v>267</v>
      </c>
      <c r="CS2587" s="1" t="s">
        <v>495</v>
      </c>
      <c r="CT2587" s="1" t="s">
        <v>206</v>
      </c>
      <c r="CW2587" s="1" t="s">
        <v>1299</v>
      </c>
      <c r="CX2587" s="1" t="s">
        <v>267</v>
      </c>
      <c r="DA2587" s="1" t="s">
        <v>200</v>
      </c>
      <c r="DC2587" s="1" t="s">
        <v>271</v>
      </c>
      <c r="DE2587" s="1" t="s">
        <v>273</v>
      </c>
      <c r="DF2587" s="1" t="s">
        <v>619</v>
      </c>
      <c r="DH2587" s="1" t="s">
        <v>220</v>
      </c>
      <c r="DJ2587" s="1" t="s">
        <v>222</v>
      </c>
      <c r="DL2587" s="1" t="s">
        <v>1853</v>
      </c>
      <c r="DM2587" s="1" t="s">
        <v>229</v>
      </c>
      <c r="DQ2587" s="1" t="s">
        <v>228</v>
      </c>
      <c r="DR2587" s="1" t="s">
        <v>229</v>
      </c>
      <c r="DV2587" s="1" t="s">
        <v>232</v>
      </c>
      <c r="DW2587" s="1" t="s">
        <v>233</v>
      </c>
      <c r="DX2587" s="1" t="s">
        <v>234</v>
      </c>
      <c r="EC2587" s="1" t="s">
        <v>284</v>
      </c>
      <c r="EM2587" s="1" t="s">
        <v>238</v>
      </c>
      <c r="EQ2587" s="1" t="s">
        <v>238</v>
      </c>
      <c r="EU2587" s="1" t="s">
        <v>238</v>
      </c>
      <c r="EY2587" s="1" t="s">
        <v>238</v>
      </c>
      <c r="FC2587" s="1" t="s">
        <v>238</v>
      </c>
      <c r="FF2587" s="1" t="s">
        <v>239</v>
      </c>
      <c r="FG2587" s="1" t="s">
        <v>192</v>
      </c>
      <c r="FH2587" s="1" t="s">
        <v>192</v>
      </c>
      <c r="FJ2587" s="1" t="s">
        <v>347</v>
      </c>
      <c r="FK2587" s="1" t="s">
        <v>229</v>
      </c>
      <c r="FL2587" s="1" t="s">
        <v>15397</v>
      </c>
      <c r="FM2587" s="1">
        <v>31420.0</v>
      </c>
      <c r="FN2587" s="1" t="s">
        <v>15398</v>
      </c>
      <c r="FO2587" s="1" t="s">
        <v>15399</v>
      </c>
      <c r="FP2587" s="1">
        <v>314232.0</v>
      </c>
      <c r="FQ2587" s="1" t="s">
        <v>15400</v>
      </c>
      <c r="FU2587" s="1" t="s">
        <v>1766</v>
      </c>
      <c r="FV2587" s="1" t="s">
        <v>200</v>
      </c>
      <c r="FW2587" s="1" t="s">
        <v>631</v>
      </c>
      <c r="FX2587" s="1" t="s">
        <v>238</v>
      </c>
      <c r="FZ2587" s="1" t="s">
        <v>229</v>
      </c>
      <c r="GA2587" s="1" t="s">
        <v>291</v>
      </c>
      <c r="GB2587" s="2">
        <v>42076.0</v>
      </c>
      <c r="GC2587" s="1" t="s">
        <v>23221</v>
      </c>
    </row>
    <row r="2588">
      <c r="A2588" s="1">
        <v>232000.0</v>
      </c>
      <c r="B2588" s="1" t="s">
        <v>185</v>
      </c>
      <c r="C2588" s="1" t="str">
        <f>"08828048"</f>
        <v>08828048</v>
      </c>
      <c r="D2588" s="1" t="s">
        <v>186</v>
      </c>
      <c r="F2588" s="1" t="str">
        <f>"178"</f>
        <v>178</v>
      </c>
      <c r="G2588" s="2">
        <v>42035.0</v>
      </c>
      <c r="H2588" s="1">
        <v>242500.0</v>
      </c>
      <c r="I2588" s="1">
        <v>13.0</v>
      </c>
      <c r="J2588" s="1">
        <v>242500.0</v>
      </c>
      <c r="K2588" s="2">
        <v>42047.0</v>
      </c>
      <c r="L2588" s="1">
        <v>13.0</v>
      </c>
      <c r="M2588" s="2">
        <v>42047.0</v>
      </c>
      <c r="N2588" s="1" t="s">
        <v>187</v>
      </c>
      <c r="O2588" s="2">
        <v>42097.0</v>
      </c>
      <c r="P2588" s="1">
        <v>217201.0</v>
      </c>
      <c r="Q2588" s="1">
        <v>23156.0</v>
      </c>
      <c r="S2588" s="1">
        <v>1832.0</v>
      </c>
      <c r="T2588" s="1" t="s">
        <v>22721</v>
      </c>
      <c r="U2588" s="1" t="s">
        <v>320</v>
      </c>
      <c r="V2588" s="1" t="s">
        <v>994</v>
      </c>
      <c r="W2588" s="1">
        <v>60178.0</v>
      </c>
      <c r="Y2588" s="1" t="s">
        <v>23222</v>
      </c>
      <c r="Z2588" s="1">
        <v>2004.0</v>
      </c>
      <c r="AA2588" s="1" t="s">
        <v>200</v>
      </c>
      <c r="AB2588" s="1" t="s">
        <v>467</v>
      </c>
      <c r="AC2588" s="1" t="s">
        <v>22723</v>
      </c>
      <c r="AD2588" s="1" t="s">
        <v>997</v>
      </c>
      <c r="AE2588" s="1" t="s">
        <v>613</v>
      </c>
      <c r="AF2588" s="1" t="s">
        <v>997</v>
      </c>
      <c r="AH2588" s="1" t="s">
        <v>4132</v>
      </c>
      <c r="AI2588" s="1">
        <v>0.23</v>
      </c>
      <c r="AK2588" s="1">
        <v>8.0</v>
      </c>
      <c r="AL2588" s="1">
        <v>4.0</v>
      </c>
      <c r="AM2588" s="1">
        <v>2.0</v>
      </c>
      <c r="AN2588" s="1">
        <v>1.0</v>
      </c>
      <c r="AO2588" s="1" t="s">
        <v>198</v>
      </c>
      <c r="AP2588" s="1">
        <v>1.0</v>
      </c>
      <c r="AQ2588" s="1" t="s">
        <v>472</v>
      </c>
      <c r="AR2588" s="1" t="s">
        <v>200</v>
      </c>
      <c r="AS2588" s="1" t="s">
        <v>199</v>
      </c>
      <c r="AT2588" s="1">
        <v>2.5</v>
      </c>
      <c r="AV2588" s="1" t="s">
        <v>200</v>
      </c>
      <c r="AW2588" s="1">
        <v>6857.24</v>
      </c>
      <c r="AX2588" s="1">
        <v>2013.0</v>
      </c>
      <c r="AY2588" s="1" t="s">
        <v>387</v>
      </c>
      <c r="AZ2588" s="1" t="s">
        <v>200</v>
      </c>
      <c r="BA2588" s="1" t="str">
        <f>"0621454011"</f>
        <v>0621454011</v>
      </c>
      <c r="BB2588" s="1" t="s">
        <v>200</v>
      </c>
      <c r="BC2588" s="1">
        <v>2286.0</v>
      </c>
      <c r="BD2588" s="1">
        <v>232000.0</v>
      </c>
      <c r="BE2588" s="2">
        <v>42035.0</v>
      </c>
      <c r="BF2588" s="2" t="s">
        <v>23223</v>
      </c>
      <c r="BG2588" s="1" t="s">
        <v>4134</v>
      </c>
      <c r="BH2588" s="1">
        <v>310.0</v>
      </c>
      <c r="BI2588" s="1" t="s">
        <v>4135</v>
      </c>
      <c r="BJ2588" s="1" t="s">
        <v>4136</v>
      </c>
      <c r="BK2588" s="1" t="s">
        <v>580</v>
      </c>
      <c r="BL2588" s="1" t="str">
        <f t="shared" ref="BL2588:BM2588" si="1690">""</f>
        <v/>
      </c>
      <c r="BM2588" s="1" t="str">
        <f t="shared" si="1690"/>
        <v/>
      </c>
      <c r="BQ2588" s="1">
        <v>427.0</v>
      </c>
      <c r="BR2588" s="1">
        <v>427.0</v>
      </c>
      <c r="BS2588" s="1">
        <v>427.0</v>
      </c>
      <c r="BU2588" s="1" t="s">
        <v>758</v>
      </c>
      <c r="BV2588" s="1" t="s">
        <v>206</v>
      </c>
      <c r="BW2588" s="1" t="s">
        <v>210</v>
      </c>
      <c r="BX2588" s="1" t="s">
        <v>239</v>
      </c>
      <c r="BY2588" s="1" t="s">
        <v>393</v>
      </c>
      <c r="BZ2588" s="1" t="s">
        <v>209</v>
      </c>
      <c r="CA2588" s="1" t="s">
        <v>210</v>
      </c>
      <c r="CB2588" s="1" t="s">
        <v>239</v>
      </c>
      <c r="CC2588" s="1" t="s">
        <v>332</v>
      </c>
      <c r="CD2588" s="1" t="s">
        <v>206</v>
      </c>
      <c r="CE2588" s="1" t="s">
        <v>210</v>
      </c>
      <c r="CF2588" s="1" t="s">
        <v>239</v>
      </c>
      <c r="CG2588" s="1" t="s">
        <v>758</v>
      </c>
      <c r="CH2588" s="1" t="s">
        <v>209</v>
      </c>
      <c r="CI2588" s="1" t="s">
        <v>210</v>
      </c>
      <c r="CJ2588" s="1" t="s">
        <v>239</v>
      </c>
      <c r="CK2588" s="1" t="s">
        <v>215</v>
      </c>
      <c r="CL2588" s="1" t="s">
        <v>209</v>
      </c>
      <c r="CM2588" s="1" t="s">
        <v>210</v>
      </c>
      <c r="CN2588" s="1" t="s">
        <v>239</v>
      </c>
      <c r="CO2588" s="1" t="s">
        <v>332</v>
      </c>
      <c r="CP2588" s="1" t="s">
        <v>209</v>
      </c>
      <c r="CQ2588" s="1" t="s">
        <v>210</v>
      </c>
      <c r="CR2588" s="1" t="s">
        <v>239</v>
      </c>
      <c r="CS2588" s="1" t="s">
        <v>260</v>
      </c>
      <c r="CT2588" s="1" t="s">
        <v>206</v>
      </c>
      <c r="CU2588" s="1" t="s">
        <v>207</v>
      </c>
      <c r="CV2588" s="1" t="s">
        <v>239</v>
      </c>
      <c r="CW2588" s="1" t="s">
        <v>924</v>
      </c>
      <c r="CX2588" s="1" t="s">
        <v>206</v>
      </c>
      <c r="CY2588" s="1" t="s">
        <v>210</v>
      </c>
      <c r="CZ2588" s="1" t="s">
        <v>239</v>
      </c>
      <c r="DA2588" s="1" t="s">
        <v>200</v>
      </c>
      <c r="DC2588" s="1" t="s">
        <v>335</v>
      </c>
      <c r="DD2588" s="1" t="s">
        <v>518</v>
      </c>
      <c r="DE2588" s="1" t="s">
        <v>273</v>
      </c>
      <c r="DF2588" s="1" t="s">
        <v>219</v>
      </c>
      <c r="DG2588" s="1" t="s">
        <v>1020</v>
      </c>
      <c r="DH2588" s="1" t="s">
        <v>220</v>
      </c>
      <c r="DI2588" s="1" t="s">
        <v>589</v>
      </c>
      <c r="DJ2588" s="1" t="s">
        <v>222</v>
      </c>
      <c r="DK2588" s="1" t="s">
        <v>223</v>
      </c>
      <c r="DL2588" s="1" t="s">
        <v>484</v>
      </c>
      <c r="DM2588" s="1" t="s">
        <v>1268</v>
      </c>
      <c r="DN2588" s="1" t="s">
        <v>226</v>
      </c>
      <c r="DO2588" s="1" t="s">
        <v>486</v>
      </c>
      <c r="DP2588" s="1" t="s">
        <v>340</v>
      </c>
      <c r="DQ2588" s="1" t="s">
        <v>228</v>
      </c>
      <c r="DR2588" s="1" t="s">
        <v>1185</v>
      </c>
      <c r="DS2588" s="1" t="s">
        <v>368</v>
      </c>
      <c r="DU2588" s="1" t="s">
        <v>8169</v>
      </c>
      <c r="DV2588" s="1" t="s">
        <v>408</v>
      </c>
      <c r="DW2588" s="1" t="s">
        <v>444</v>
      </c>
      <c r="DX2588" s="1" t="s">
        <v>234</v>
      </c>
      <c r="DY2588" s="1" t="s">
        <v>490</v>
      </c>
      <c r="DZ2588" s="1" t="s">
        <v>491</v>
      </c>
      <c r="EA2588" s="1" t="s">
        <v>447</v>
      </c>
      <c r="EB2588" s="1" t="s">
        <v>767</v>
      </c>
      <c r="EC2588" s="1" t="s">
        <v>237</v>
      </c>
      <c r="ED2588" s="1" t="s">
        <v>1406</v>
      </c>
      <c r="EE2588" s="1" t="s">
        <v>1077</v>
      </c>
      <c r="EG2588" s="1" t="s">
        <v>408</v>
      </c>
      <c r="EL2588" s="1" t="s">
        <v>1796</v>
      </c>
      <c r="EM2588" s="1" t="s">
        <v>206</v>
      </c>
      <c r="EN2588" s="1" t="s">
        <v>207</v>
      </c>
      <c r="EO2588" s="1" t="s">
        <v>229</v>
      </c>
      <c r="EQ2588" s="1" t="s">
        <v>238</v>
      </c>
      <c r="EU2588" s="1" t="s">
        <v>238</v>
      </c>
      <c r="EY2588" s="1" t="s">
        <v>238</v>
      </c>
      <c r="FC2588" s="1" t="s">
        <v>238</v>
      </c>
      <c r="FF2588" s="1" t="s">
        <v>239</v>
      </c>
      <c r="FG2588" s="1" t="s">
        <v>192</v>
      </c>
      <c r="FH2588" s="1" t="s">
        <v>192</v>
      </c>
      <c r="FJ2588" s="1" t="s">
        <v>770</v>
      </c>
      <c r="FK2588" s="1" t="s">
        <v>229</v>
      </c>
      <c r="FL2588" s="1" t="s">
        <v>1007</v>
      </c>
      <c r="FM2588" s="1">
        <v>93043.0</v>
      </c>
      <c r="FN2588" s="1" t="s">
        <v>1008</v>
      </c>
      <c r="FO2588" s="1" t="s">
        <v>4141</v>
      </c>
      <c r="FP2588" s="1">
        <v>930149.0</v>
      </c>
      <c r="FQ2588" s="1" t="s">
        <v>4142</v>
      </c>
      <c r="FS2588" s="1" t="s">
        <v>4143</v>
      </c>
      <c r="FU2588" s="1" t="s">
        <v>23224</v>
      </c>
      <c r="FV2588" s="1" t="s">
        <v>200</v>
      </c>
      <c r="FW2588" s="1" t="s">
        <v>23225</v>
      </c>
      <c r="FZ2588" s="1" t="s">
        <v>229</v>
      </c>
      <c r="GA2588" s="1" t="s">
        <v>291</v>
      </c>
      <c r="GB2588" s="2">
        <v>42097.0</v>
      </c>
      <c r="GC2588" s="1" t="s">
        <v>23226</v>
      </c>
    </row>
    <row r="2589">
      <c r="A2589" s="1">
        <v>262000.0</v>
      </c>
      <c r="B2589" s="1" t="s">
        <v>185</v>
      </c>
      <c r="C2589" s="1" t="str">
        <f>"08830572"</f>
        <v>08830572</v>
      </c>
      <c r="D2589" s="1" t="s">
        <v>186</v>
      </c>
      <c r="F2589" s="1" t="str">
        <f>"8020"</f>
        <v>8020</v>
      </c>
      <c r="G2589" s="2">
        <v>42039.0</v>
      </c>
      <c r="H2589" s="1">
        <v>250000.0</v>
      </c>
      <c r="I2589" s="1">
        <v>6.0</v>
      </c>
      <c r="J2589" s="1">
        <v>250000.0</v>
      </c>
      <c r="K2589" s="2">
        <v>42044.0</v>
      </c>
      <c r="L2589" s="1">
        <v>6.0</v>
      </c>
      <c r="M2589" s="2">
        <v>42044.0</v>
      </c>
      <c r="N2589" s="1" t="s">
        <v>187</v>
      </c>
      <c r="O2589" s="2">
        <v>42095.0</v>
      </c>
      <c r="P2589" s="1">
        <v>160585.0</v>
      </c>
      <c r="Q2589" s="1">
        <v>85382.0</v>
      </c>
      <c r="S2589" s="1">
        <v>3137.0</v>
      </c>
      <c r="T2589" s="1" t="s">
        <v>15798</v>
      </c>
      <c r="U2589" s="1" t="s">
        <v>189</v>
      </c>
      <c r="V2589" s="1" t="s">
        <v>190</v>
      </c>
      <c r="W2589" s="1">
        <v>60641.0</v>
      </c>
      <c r="Y2589" s="1" t="s">
        <v>23227</v>
      </c>
      <c r="Z2589" s="1">
        <v>1921.0</v>
      </c>
      <c r="AA2589" s="1" t="s">
        <v>192</v>
      </c>
      <c r="AB2589" s="1" t="s">
        <v>193</v>
      </c>
      <c r="AD2589" s="1" t="s">
        <v>194</v>
      </c>
      <c r="AE2589" s="1" t="s">
        <v>195</v>
      </c>
      <c r="AF2589" s="1" t="s">
        <v>196</v>
      </c>
      <c r="AH2589" s="1" t="s">
        <v>23228</v>
      </c>
      <c r="AI2589" s="1">
        <v>0.0875</v>
      </c>
      <c r="AK2589" s="1">
        <v>10.0</v>
      </c>
      <c r="AL2589" s="1">
        <v>3.0</v>
      </c>
      <c r="AM2589" s="1">
        <v>2.0</v>
      </c>
      <c r="AN2589" s="1">
        <v>0.0</v>
      </c>
      <c r="AO2589" s="1" t="s">
        <v>229</v>
      </c>
      <c r="AP2589" s="1">
        <v>1.0</v>
      </c>
      <c r="AQ2589" s="1" t="s">
        <v>198</v>
      </c>
      <c r="AR2589" s="1" t="s">
        <v>192</v>
      </c>
      <c r="AS2589" s="1" t="s">
        <v>199</v>
      </c>
      <c r="AT2589" s="1">
        <v>2.0</v>
      </c>
      <c r="AV2589" s="1" t="s">
        <v>200</v>
      </c>
      <c r="AW2589" s="1">
        <v>3477.0</v>
      </c>
      <c r="AX2589" s="1">
        <v>2013.0</v>
      </c>
      <c r="AY2589" s="1" t="s">
        <v>387</v>
      </c>
      <c r="AZ2589" s="1" t="s">
        <v>200</v>
      </c>
      <c r="BA2589" s="1" t="str">
        <f>"13271050130000"</f>
        <v>13271050130000</v>
      </c>
      <c r="BC2589" s="1">
        <v>1700.0</v>
      </c>
      <c r="BD2589" s="1">
        <v>262000.0</v>
      </c>
      <c r="BE2589" s="2">
        <v>42039.0</v>
      </c>
      <c r="BF2589" s="2" t="s">
        <v>23229</v>
      </c>
      <c r="BG2589" s="1" t="s">
        <v>15801</v>
      </c>
      <c r="BH2589" s="1">
        <v>0.0</v>
      </c>
      <c r="BJ2589" s="1" t="s">
        <v>203</v>
      </c>
      <c r="BK2589" s="1" t="s">
        <v>204</v>
      </c>
      <c r="BL2589" s="1" t="str">
        <f>"3137"</f>
        <v>3137</v>
      </c>
      <c r="BM2589" s="1" t="str">
        <f>"0"</f>
        <v>0</v>
      </c>
      <c r="BN2589" s="1">
        <v>4550.0</v>
      </c>
      <c r="BO2589" s="1">
        <v>0.0</v>
      </c>
      <c r="BQ2589" s="1">
        <v>299.0</v>
      </c>
      <c r="BR2589" s="1">
        <v>299.0</v>
      </c>
      <c r="BS2589" s="1">
        <v>299.0</v>
      </c>
      <c r="BU2589" s="1" t="s">
        <v>2181</v>
      </c>
      <c r="BV2589" s="1" t="s">
        <v>206</v>
      </c>
      <c r="BW2589" s="1" t="s">
        <v>207</v>
      </c>
      <c r="BX2589" s="1" t="s">
        <v>1549</v>
      </c>
      <c r="BY2589" s="1" t="s">
        <v>453</v>
      </c>
      <c r="BZ2589" s="1" t="s">
        <v>209</v>
      </c>
      <c r="CA2589" s="1" t="s">
        <v>207</v>
      </c>
      <c r="CB2589" s="1" t="s">
        <v>1549</v>
      </c>
      <c r="CC2589" s="1" t="s">
        <v>758</v>
      </c>
      <c r="CD2589" s="1" t="s">
        <v>206</v>
      </c>
      <c r="CE2589" s="1" t="s">
        <v>207</v>
      </c>
      <c r="CF2589" s="1" t="s">
        <v>229</v>
      </c>
      <c r="CG2589" s="1" t="s">
        <v>264</v>
      </c>
      <c r="CH2589" s="1" t="s">
        <v>206</v>
      </c>
      <c r="CI2589" s="1" t="s">
        <v>207</v>
      </c>
      <c r="CJ2589" s="1" t="s">
        <v>431</v>
      </c>
      <c r="CK2589" s="1" t="s">
        <v>264</v>
      </c>
      <c r="CL2589" s="1" t="s">
        <v>206</v>
      </c>
      <c r="CM2589" s="1" t="s">
        <v>207</v>
      </c>
      <c r="CN2589" s="1" t="s">
        <v>431</v>
      </c>
      <c r="CO2589" s="1" t="s">
        <v>925</v>
      </c>
      <c r="CP2589" s="1" t="s">
        <v>42</v>
      </c>
      <c r="CQ2589" s="1" t="s">
        <v>210</v>
      </c>
      <c r="CS2589" s="1" t="s">
        <v>363</v>
      </c>
      <c r="CT2589" s="1" t="s">
        <v>206</v>
      </c>
      <c r="CU2589" s="1" t="s">
        <v>617</v>
      </c>
      <c r="CV2589" s="1" t="s">
        <v>1549</v>
      </c>
      <c r="CW2589" s="1" t="s">
        <v>1244</v>
      </c>
      <c r="CX2589" s="1" t="s">
        <v>42</v>
      </c>
      <c r="CY2589" s="1" t="s">
        <v>617</v>
      </c>
      <c r="CZ2589" s="1" t="s">
        <v>431</v>
      </c>
      <c r="DA2589" s="1" t="s">
        <v>200</v>
      </c>
      <c r="DC2589" s="1" t="s">
        <v>216</v>
      </c>
      <c r="DD2589" s="1" t="s">
        <v>518</v>
      </c>
      <c r="DE2589" s="1" t="s">
        <v>2146</v>
      </c>
      <c r="DF2589" s="1" t="s">
        <v>787</v>
      </c>
      <c r="DG2589" s="1" t="s">
        <v>482</v>
      </c>
      <c r="DH2589" s="1" t="s">
        <v>307</v>
      </c>
      <c r="DI2589" s="1" t="s">
        <v>1141</v>
      </c>
      <c r="DJ2589" s="1" t="s">
        <v>222</v>
      </c>
      <c r="DK2589" s="1" t="s">
        <v>4207</v>
      </c>
      <c r="DL2589" s="1" t="s">
        <v>224</v>
      </c>
      <c r="DM2589" s="1" t="s">
        <v>1658</v>
      </c>
      <c r="DO2589" s="1" t="s">
        <v>549</v>
      </c>
      <c r="DP2589" s="1" t="s">
        <v>340</v>
      </c>
      <c r="DQ2589" s="1" t="s">
        <v>794</v>
      </c>
      <c r="DR2589" s="1" t="s">
        <v>229</v>
      </c>
      <c r="DS2589" s="1" t="s">
        <v>368</v>
      </c>
      <c r="DV2589" s="1" t="s">
        <v>23230</v>
      </c>
      <c r="DW2589" s="1" t="s">
        <v>279</v>
      </c>
      <c r="DX2589" s="1" t="s">
        <v>234</v>
      </c>
      <c r="DY2589" s="1" t="s">
        <v>23231</v>
      </c>
      <c r="DZ2589" s="1" t="s">
        <v>796</v>
      </c>
      <c r="EA2589" s="1" t="s">
        <v>644</v>
      </c>
      <c r="EB2589" s="1" t="s">
        <v>797</v>
      </c>
      <c r="EC2589" s="1" t="s">
        <v>237</v>
      </c>
      <c r="ED2589" s="1" t="s">
        <v>407</v>
      </c>
      <c r="EG2589" s="1" t="s">
        <v>114</v>
      </c>
      <c r="EH2589" s="1" t="s">
        <v>1729</v>
      </c>
      <c r="EI2589" s="1" t="s">
        <v>1270</v>
      </c>
      <c r="EL2589" s="1" t="s">
        <v>584</v>
      </c>
      <c r="EM2589" s="1" t="s">
        <v>209</v>
      </c>
      <c r="EN2589" s="1" t="s">
        <v>588</v>
      </c>
      <c r="EP2589" s="1" t="s">
        <v>1029</v>
      </c>
      <c r="EQ2589" s="1" t="s">
        <v>206</v>
      </c>
      <c r="ER2589" s="1" t="s">
        <v>617</v>
      </c>
      <c r="ET2589" s="1" t="s">
        <v>263</v>
      </c>
      <c r="EU2589" s="1" t="s">
        <v>42</v>
      </c>
      <c r="EV2589" s="1" t="s">
        <v>588</v>
      </c>
      <c r="EY2589" s="1" t="s">
        <v>238</v>
      </c>
      <c r="FC2589" s="1" t="s">
        <v>238</v>
      </c>
      <c r="FF2589" s="1" t="s">
        <v>239</v>
      </c>
      <c r="FG2589" s="1" t="s">
        <v>192</v>
      </c>
      <c r="FH2589" s="1" t="s">
        <v>192</v>
      </c>
      <c r="FJ2589" s="1" t="s">
        <v>2285</v>
      </c>
      <c r="FK2589" s="1" t="s">
        <v>229</v>
      </c>
      <c r="FL2589" s="1" t="s">
        <v>974</v>
      </c>
      <c r="FM2589" s="1">
        <v>3754.0</v>
      </c>
      <c r="FN2589" s="1" t="s">
        <v>23232</v>
      </c>
      <c r="FO2589" s="1" t="s">
        <v>23233</v>
      </c>
      <c r="FP2589" s="1">
        <v>40456.0</v>
      </c>
      <c r="FQ2589" s="1" t="s">
        <v>23234</v>
      </c>
      <c r="FU2589" s="1" t="s">
        <v>23235</v>
      </c>
      <c r="FV2589" s="1" t="s">
        <v>200</v>
      </c>
      <c r="FW2589" s="1" t="s">
        <v>530</v>
      </c>
      <c r="FX2589" s="1" t="s">
        <v>238</v>
      </c>
      <c r="FZ2589" s="1" t="s">
        <v>229</v>
      </c>
      <c r="GA2589" s="1" t="s">
        <v>291</v>
      </c>
      <c r="GB2589" s="2">
        <v>42097.0</v>
      </c>
      <c r="GC2589" s="1" t="s">
        <v>23236</v>
      </c>
    </row>
    <row r="2590">
      <c r="A2590" s="1">
        <v>306000.0</v>
      </c>
      <c r="B2590" s="1" t="s">
        <v>185</v>
      </c>
      <c r="C2590" s="1" t="str">
        <f>"08831450"</f>
        <v>08831450</v>
      </c>
      <c r="D2590" s="1" t="s">
        <v>186</v>
      </c>
      <c r="F2590" s="1" t="str">
        <f>"543"</f>
        <v>543</v>
      </c>
      <c r="G2590" s="2">
        <v>42040.0</v>
      </c>
      <c r="H2590" s="1">
        <v>315000.0</v>
      </c>
      <c r="I2590" s="1">
        <v>34.0</v>
      </c>
      <c r="J2590" s="1">
        <v>315000.0</v>
      </c>
      <c r="K2590" s="2">
        <v>42073.0</v>
      </c>
      <c r="L2590" s="1">
        <v>34.0</v>
      </c>
      <c r="M2590" s="2">
        <v>42073.0</v>
      </c>
      <c r="N2590" s="1" t="s">
        <v>187</v>
      </c>
      <c r="O2590" s="2">
        <v>42121.0</v>
      </c>
      <c r="P2590" s="1">
        <v>231272.0</v>
      </c>
      <c r="Q2590" s="1">
        <v>22029.0</v>
      </c>
      <c r="S2590" s="1">
        <v>222.0</v>
      </c>
      <c r="T2590" s="1" t="s">
        <v>23237</v>
      </c>
      <c r="U2590" s="1" t="s">
        <v>1174</v>
      </c>
      <c r="V2590" s="1" t="s">
        <v>1527</v>
      </c>
      <c r="W2590" s="1">
        <v>60543.0</v>
      </c>
      <c r="Y2590" s="1" t="s">
        <v>23238</v>
      </c>
      <c r="Z2590" s="1">
        <v>2006.0</v>
      </c>
      <c r="AA2590" s="1" t="s">
        <v>200</v>
      </c>
      <c r="AB2590" s="1" t="s">
        <v>193</v>
      </c>
      <c r="AC2590" s="1" t="s">
        <v>23239</v>
      </c>
      <c r="AD2590" s="1" t="s">
        <v>1529</v>
      </c>
      <c r="AE2590" s="1" t="s">
        <v>849</v>
      </c>
      <c r="AF2590" s="1" t="s">
        <v>1529</v>
      </c>
      <c r="AG2590" s="1" t="s">
        <v>18623</v>
      </c>
      <c r="AH2590" s="1" t="s">
        <v>23240</v>
      </c>
      <c r="AI2590" s="1">
        <v>0.2257</v>
      </c>
      <c r="AK2590" s="1">
        <v>9.0</v>
      </c>
      <c r="AL2590" s="1">
        <v>4.0</v>
      </c>
      <c r="AM2590" s="1">
        <v>2.0</v>
      </c>
      <c r="AN2590" s="1">
        <v>1.0</v>
      </c>
      <c r="AO2590" s="1" t="s">
        <v>198</v>
      </c>
      <c r="AP2590" s="1">
        <v>1.0</v>
      </c>
      <c r="AQ2590" s="1" t="s">
        <v>198</v>
      </c>
      <c r="AR2590" s="1" t="s">
        <v>200</v>
      </c>
      <c r="AS2590" s="1" t="s">
        <v>199</v>
      </c>
      <c r="AT2590" s="1">
        <v>3.0</v>
      </c>
      <c r="AV2590" s="1" t="s">
        <v>200</v>
      </c>
      <c r="AW2590" s="1">
        <v>8800.0</v>
      </c>
      <c r="AX2590" s="1">
        <v>2013.0</v>
      </c>
      <c r="AY2590" s="1" t="s">
        <v>229</v>
      </c>
      <c r="AZ2590" s="1" t="s">
        <v>200</v>
      </c>
      <c r="BA2590" s="1" t="str">
        <f>"0321378016"</f>
        <v>0321378016</v>
      </c>
      <c r="BB2590" s="1" t="s">
        <v>200</v>
      </c>
      <c r="BC2590" s="1">
        <v>3252.0</v>
      </c>
      <c r="BD2590" s="1">
        <v>306000.0</v>
      </c>
      <c r="BE2590" s="2">
        <v>42040.0</v>
      </c>
      <c r="BF2590" s="2" t="s">
        <v>23241</v>
      </c>
      <c r="BG2590" s="1" t="s">
        <v>8200</v>
      </c>
      <c r="BH2590" s="1">
        <v>350.0</v>
      </c>
      <c r="BI2590" s="1" t="s">
        <v>1533</v>
      </c>
      <c r="BJ2590" s="1" t="s">
        <v>1349</v>
      </c>
      <c r="BK2590" s="1" t="s">
        <v>580</v>
      </c>
      <c r="BL2590" s="1" t="str">
        <f t="shared" ref="BL2590:BM2590" si="1691">""</f>
        <v/>
      </c>
      <c r="BM2590" s="1" t="str">
        <f t="shared" si="1691"/>
        <v/>
      </c>
      <c r="BQ2590" s="1">
        <v>308.0</v>
      </c>
      <c r="BR2590" s="1">
        <v>308.0</v>
      </c>
      <c r="BS2590" s="1">
        <v>308.0</v>
      </c>
      <c r="BU2590" s="1" t="s">
        <v>2647</v>
      </c>
      <c r="BV2590" s="1" t="s">
        <v>206</v>
      </c>
      <c r="BW2590" s="1" t="s">
        <v>210</v>
      </c>
      <c r="BX2590" s="1" t="s">
        <v>1549</v>
      </c>
      <c r="BY2590" s="1" t="s">
        <v>362</v>
      </c>
      <c r="BZ2590" s="1" t="s">
        <v>209</v>
      </c>
      <c r="CA2590" s="1" t="s">
        <v>210</v>
      </c>
      <c r="CB2590" s="1" t="s">
        <v>1549</v>
      </c>
      <c r="CC2590" s="1" t="s">
        <v>1190</v>
      </c>
      <c r="CD2590" s="1" t="s">
        <v>206</v>
      </c>
      <c r="CE2590" s="1" t="s">
        <v>207</v>
      </c>
      <c r="CF2590" s="1" t="s">
        <v>1549</v>
      </c>
      <c r="CG2590" s="1" t="s">
        <v>478</v>
      </c>
      <c r="CH2590" s="1" t="s">
        <v>209</v>
      </c>
      <c r="CI2590" s="1" t="s">
        <v>210</v>
      </c>
      <c r="CJ2590" s="1" t="s">
        <v>1549</v>
      </c>
      <c r="CK2590" s="1" t="s">
        <v>1352</v>
      </c>
      <c r="CL2590" s="1" t="s">
        <v>209</v>
      </c>
      <c r="CM2590" s="1" t="s">
        <v>210</v>
      </c>
      <c r="CN2590" s="1" t="s">
        <v>1549</v>
      </c>
      <c r="CO2590" s="1" t="s">
        <v>2460</v>
      </c>
      <c r="CP2590" s="1" t="s">
        <v>209</v>
      </c>
      <c r="CQ2590" s="1" t="s">
        <v>210</v>
      </c>
      <c r="CR2590" s="1" t="s">
        <v>1549</v>
      </c>
      <c r="CS2590" s="1" t="s">
        <v>544</v>
      </c>
      <c r="CT2590" s="1" t="s">
        <v>206</v>
      </c>
      <c r="CU2590" s="1" t="s">
        <v>268</v>
      </c>
      <c r="CV2590" s="1" t="s">
        <v>229</v>
      </c>
      <c r="CW2590" s="1" t="s">
        <v>544</v>
      </c>
      <c r="CX2590" s="1" t="s">
        <v>206</v>
      </c>
      <c r="CY2590" s="1" t="s">
        <v>210</v>
      </c>
      <c r="CZ2590" s="1" t="s">
        <v>1549</v>
      </c>
      <c r="DA2590" s="1" t="s">
        <v>200</v>
      </c>
      <c r="DC2590" s="1" t="s">
        <v>481</v>
      </c>
      <c r="DD2590" s="1" t="s">
        <v>1428</v>
      </c>
      <c r="DE2590" s="1" t="s">
        <v>273</v>
      </c>
      <c r="DF2590" s="1" t="s">
        <v>619</v>
      </c>
      <c r="DG2590" s="1" t="s">
        <v>482</v>
      </c>
      <c r="DH2590" s="1" t="s">
        <v>307</v>
      </c>
      <c r="DJ2590" s="1" t="s">
        <v>222</v>
      </c>
      <c r="DL2590" s="1" t="s">
        <v>223</v>
      </c>
      <c r="DM2590" s="1" t="s">
        <v>338</v>
      </c>
      <c r="DN2590" s="1" t="s">
        <v>548</v>
      </c>
      <c r="DO2590" s="1" t="s">
        <v>717</v>
      </c>
      <c r="DP2590" s="1" t="s">
        <v>340</v>
      </c>
      <c r="DQ2590" s="1" t="s">
        <v>441</v>
      </c>
      <c r="DR2590" s="1" t="s">
        <v>12515</v>
      </c>
      <c r="DS2590" s="1" t="s">
        <v>591</v>
      </c>
      <c r="DV2590" s="1" t="s">
        <v>18928</v>
      </c>
      <c r="DW2590" s="1" t="s">
        <v>444</v>
      </c>
      <c r="DX2590" s="1" t="s">
        <v>234</v>
      </c>
      <c r="DY2590" s="1" t="s">
        <v>490</v>
      </c>
      <c r="DZ2590" s="1" t="s">
        <v>1661</v>
      </c>
      <c r="EA2590" s="1" t="s">
        <v>344</v>
      </c>
      <c r="EB2590" s="1" t="s">
        <v>1639</v>
      </c>
      <c r="EC2590" s="1" t="s">
        <v>237</v>
      </c>
      <c r="ED2590" s="1" t="s">
        <v>407</v>
      </c>
      <c r="EE2590" s="1" t="s">
        <v>1334</v>
      </c>
      <c r="EH2590" s="1" t="s">
        <v>494</v>
      </c>
      <c r="EI2590" s="1" t="s">
        <v>409</v>
      </c>
      <c r="EM2590" s="1" t="s">
        <v>238</v>
      </c>
      <c r="EP2590" s="1" t="s">
        <v>1183</v>
      </c>
      <c r="EQ2590" s="1" t="s">
        <v>209</v>
      </c>
      <c r="ER2590" s="1" t="s">
        <v>210</v>
      </c>
      <c r="ES2590" s="1" t="s">
        <v>1549</v>
      </c>
      <c r="ET2590" s="1" t="s">
        <v>6296</v>
      </c>
      <c r="EU2590" s="1" t="s">
        <v>209</v>
      </c>
      <c r="EV2590" s="1" t="s">
        <v>210</v>
      </c>
      <c r="EW2590" s="1" t="s">
        <v>1549</v>
      </c>
      <c r="EY2590" s="1" t="s">
        <v>238</v>
      </c>
      <c r="FC2590" s="1" t="s">
        <v>238</v>
      </c>
      <c r="FF2590" s="1" t="s">
        <v>239</v>
      </c>
      <c r="FG2590" s="1" t="s">
        <v>192</v>
      </c>
      <c r="FH2590" s="1" t="s">
        <v>192</v>
      </c>
      <c r="FJ2590" s="1" t="s">
        <v>23242</v>
      </c>
      <c r="FK2590" s="1" t="s">
        <v>229</v>
      </c>
      <c r="FL2590" s="1" t="s">
        <v>456</v>
      </c>
      <c r="FM2590" s="1">
        <v>23156.0</v>
      </c>
      <c r="FN2590" s="1" t="s">
        <v>2553</v>
      </c>
      <c r="FO2590" s="1" t="s">
        <v>23243</v>
      </c>
      <c r="FP2590" s="1">
        <v>232869.0</v>
      </c>
      <c r="FQ2590" s="1" t="s">
        <v>23244</v>
      </c>
      <c r="FU2590" s="1" t="s">
        <v>23245</v>
      </c>
      <c r="FV2590" s="1" t="s">
        <v>200</v>
      </c>
      <c r="FW2590" s="1" t="s">
        <v>530</v>
      </c>
      <c r="FZ2590" s="1" t="s">
        <v>2993</v>
      </c>
      <c r="GA2590" s="1" t="s">
        <v>291</v>
      </c>
      <c r="GB2590" s="2">
        <v>42121.0</v>
      </c>
      <c r="GC2590" s="1" t="s">
        <v>23246</v>
      </c>
    </row>
    <row r="2591">
      <c r="A2591" s="1">
        <v>227000.0</v>
      </c>
      <c r="B2591" s="1" t="s">
        <v>185</v>
      </c>
      <c r="C2591" s="1" t="str">
        <f>"08823168"</f>
        <v>08823168</v>
      </c>
      <c r="D2591" s="1" t="s">
        <v>186</v>
      </c>
      <c r="F2591" s="1" t="str">
        <f>"554"</f>
        <v>554</v>
      </c>
      <c r="G2591" s="2">
        <v>42027.0</v>
      </c>
      <c r="H2591" s="1">
        <v>227900.0</v>
      </c>
      <c r="I2591" s="1">
        <v>17.0</v>
      </c>
      <c r="J2591" s="1">
        <v>227900.0</v>
      </c>
      <c r="K2591" s="2">
        <v>42042.0</v>
      </c>
      <c r="L2591" s="1">
        <v>17.0</v>
      </c>
      <c r="M2591" s="2">
        <v>42042.0</v>
      </c>
      <c r="N2591" s="1" t="s">
        <v>187</v>
      </c>
      <c r="O2591" s="2">
        <v>42111.0</v>
      </c>
      <c r="P2591" s="1">
        <v>898.0</v>
      </c>
      <c r="Q2591" s="1">
        <v>300.0</v>
      </c>
      <c r="S2591" s="1">
        <v>323.0</v>
      </c>
      <c r="T2591" s="1" t="s">
        <v>23247</v>
      </c>
      <c r="U2591" s="1" t="s">
        <v>1174</v>
      </c>
      <c r="V2591" s="1" t="s">
        <v>2212</v>
      </c>
      <c r="W2591" s="1">
        <v>60554.0</v>
      </c>
      <c r="Y2591" s="1" t="s">
        <v>23248</v>
      </c>
      <c r="Z2591" s="1">
        <v>1995.0</v>
      </c>
      <c r="AA2591" s="1" t="s">
        <v>200</v>
      </c>
      <c r="AB2591" s="1" t="s">
        <v>193</v>
      </c>
      <c r="AC2591" s="1" t="s">
        <v>23249</v>
      </c>
      <c r="AD2591" s="1" t="s">
        <v>1887</v>
      </c>
      <c r="AE2591" s="1" t="s">
        <v>325</v>
      </c>
      <c r="AF2591" s="1" t="s">
        <v>1887</v>
      </c>
      <c r="AG2591" s="1" t="s">
        <v>23250</v>
      </c>
      <c r="AH2591" s="1" t="s">
        <v>23251</v>
      </c>
      <c r="AI2591" s="1">
        <v>0.3889</v>
      </c>
      <c r="AK2591" s="1">
        <v>8.0</v>
      </c>
      <c r="AL2591" s="1">
        <v>4.0</v>
      </c>
      <c r="AM2591" s="1">
        <v>2.0</v>
      </c>
      <c r="AN2591" s="1">
        <v>1.0</v>
      </c>
      <c r="AO2591" s="1" t="s">
        <v>198</v>
      </c>
      <c r="AP2591" s="1">
        <v>1.0</v>
      </c>
      <c r="AQ2591" s="1" t="s">
        <v>198</v>
      </c>
      <c r="AR2591" s="1" t="s">
        <v>192</v>
      </c>
      <c r="AS2591" s="1" t="s">
        <v>199</v>
      </c>
      <c r="AT2591" s="1">
        <v>2.1</v>
      </c>
      <c r="AV2591" s="1" t="s">
        <v>200</v>
      </c>
      <c r="AW2591" s="1">
        <v>5100.56</v>
      </c>
      <c r="AX2591" s="1">
        <v>2013.0</v>
      </c>
      <c r="AY2591" s="1" t="s">
        <v>387</v>
      </c>
      <c r="AZ2591" s="1" t="s">
        <v>192</v>
      </c>
      <c r="BA2591" s="1" t="str">
        <f>"1421480004"</f>
        <v>1421480004</v>
      </c>
      <c r="BB2591" s="1" t="s">
        <v>200</v>
      </c>
      <c r="BC2591" s="1">
        <v>2104.0</v>
      </c>
      <c r="BD2591" s="1">
        <v>227000.0</v>
      </c>
      <c r="BE2591" s="2">
        <v>42026.0</v>
      </c>
      <c r="BF2591" s="2" t="s">
        <v>23252</v>
      </c>
      <c r="BH2591" s="1">
        <v>0.0</v>
      </c>
      <c r="BK2591" s="1" t="s">
        <v>204</v>
      </c>
      <c r="BL2591" s="1" t="str">
        <f t="shared" ref="BL2591:BM2591" si="1692">""</f>
        <v/>
      </c>
      <c r="BM2591" s="1" t="str">
        <f t="shared" si="1692"/>
        <v/>
      </c>
      <c r="BQ2591" s="1">
        <v>302.0</v>
      </c>
      <c r="BR2591" s="1">
        <v>302.0</v>
      </c>
      <c r="BS2591" s="1">
        <v>302.0</v>
      </c>
      <c r="BU2591" s="1" t="s">
        <v>332</v>
      </c>
      <c r="BV2591" s="1" t="s">
        <v>206</v>
      </c>
      <c r="BW2591" s="1" t="s">
        <v>210</v>
      </c>
      <c r="BX2591" s="1" t="s">
        <v>1549</v>
      </c>
      <c r="BY2591" s="1" t="s">
        <v>924</v>
      </c>
      <c r="BZ2591" s="1" t="s">
        <v>209</v>
      </c>
      <c r="CA2591" s="1" t="s">
        <v>210</v>
      </c>
      <c r="CB2591" s="1" t="s">
        <v>1118</v>
      </c>
      <c r="CC2591" s="1" t="s">
        <v>215</v>
      </c>
      <c r="CD2591" s="1" t="s">
        <v>206</v>
      </c>
      <c r="CE2591" s="1" t="s">
        <v>210</v>
      </c>
      <c r="CF2591" s="1" t="s">
        <v>1549</v>
      </c>
      <c r="CG2591" s="1" t="s">
        <v>264</v>
      </c>
      <c r="CH2591" s="1" t="s">
        <v>209</v>
      </c>
      <c r="CI2591" s="1" t="s">
        <v>210</v>
      </c>
      <c r="CK2591" s="1" t="s">
        <v>264</v>
      </c>
      <c r="CL2591" s="1" t="s">
        <v>209</v>
      </c>
      <c r="CM2591" s="1" t="s">
        <v>210</v>
      </c>
      <c r="CO2591" s="1" t="s">
        <v>329</v>
      </c>
      <c r="CP2591" s="1" t="s">
        <v>267</v>
      </c>
      <c r="CQ2591" s="1" t="s">
        <v>210</v>
      </c>
      <c r="CS2591" s="1" t="s">
        <v>699</v>
      </c>
      <c r="CT2591" s="1" t="s">
        <v>206</v>
      </c>
      <c r="CU2591" s="1" t="s">
        <v>207</v>
      </c>
      <c r="CW2591" s="1" t="s">
        <v>1426</v>
      </c>
      <c r="CX2591" s="1" t="s">
        <v>206</v>
      </c>
      <c r="CY2591" s="1" t="s">
        <v>210</v>
      </c>
      <c r="CZ2591" s="1" t="s">
        <v>431</v>
      </c>
      <c r="DA2591" s="1" t="s">
        <v>200</v>
      </c>
      <c r="DC2591" s="1" t="s">
        <v>678</v>
      </c>
      <c r="DD2591" s="1" t="s">
        <v>855</v>
      </c>
      <c r="DE2591" s="1" t="s">
        <v>273</v>
      </c>
      <c r="DF2591" s="1" t="s">
        <v>219</v>
      </c>
      <c r="DG2591" s="1" t="s">
        <v>23253</v>
      </c>
      <c r="DH2591" s="1" t="s">
        <v>220</v>
      </c>
      <c r="DI2591" s="1" t="s">
        <v>519</v>
      </c>
      <c r="DJ2591" s="1" t="s">
        <v>222</v>
      </c>
      <c r="DL2591" s="1" t="s">
        <v>858</v>
      </c>
      <c r="DM2591" s="1" t="s">
        <v>1022</v>
      </c>
      <c r="DN2591" s="1" t="s">
        <v>399</v>
      </c>
      <c r="DO2591" s="1" t="s">
        <v>23254</v>
      </c>
      <c r="DP2591" s="1" t="s">
        <v>340</v>
      </c>
      <c r="DQ2591" s="1" t="s">
        <v>441</v>
      </c>
      <c r="DR2591" s="1" t="s">
        <v>229</v>
      </c>
      <c r="DS2591" s="1" t="s">
        <v>591</v>
      </c>
      <c r="DV2591" s="1" t="s">
        <v>23255</v>
      </c>
      <c r="DW2591" s="1" t="s">
        <v>279</v>
      </c>
      <c r="DX2591" s="1" t="s">
        <v>234</v>
      </c>
      <c r="DY2591" s="1" t="s">
        <v>5197</v>
      </c>
      <c r="DZ2591" s="1" t="s">
        <v>1661</v>
      </c>
      <c r="EA2591" s="1" t="s">
        <v>344</v>
      </c>
      <c r="EB2591" s="1" t="s">
        <v>684</v>
      </c>
      <c r="EC2591" s="1" t="s">
        <v>237</v>
      </c>
      <c r="ED2591" s="1" t="s">
        <v>407</v>
      </c>
      <c r="EE2591" s="1" t="s">
        <v>493</v>
      </c>
      <c r="EG2591" s="1" t="s">
        <v>408</v>
      </c>
      <c r="EH2591" s="1" t="s">
        <v>2313</v>
      </c>
      <c r="EL2591" s="1" t="s">
        <v>12321</v>
      </c>
      <c r="EM2591" s="1" t="s">
        <v>206</v>
      </c>
      <c r="EN2591" s="1" t="s">
        <v>207</v>
      </c>
      <c r="EP2591" s="1" t="s">
        <v>495</v>
      </c>
      <c r="EQ2591" s="1" t="s">
        <v>206</v>
      </c>
      <c r="ER2591" s="1" t="s">
        <v>617</v>
      </c>
      <c r="EU2591" s="1" t="s">
        <v>238</v>
      </c>
      <c r="EY2591" s="1" t="s">
        <v>238</v>
      </c>
      <c r="FC2591" s="1" t="s">
        <v>238</v>
      </c>
      <c r="FF2591" s="1" t="s">
        <v>239</v>
      </c>
      <c r="FG2591" s="1" t="s">
        <v>192</v>
      </c>
      <c r="FH2591" s="1" t="s">
        <v>192</v>
      </c>
      <c r="FJ2591" s="1" t="s">
        <v>1248</v>
      </c>
      <c r="FK2591" s="1" t="s">
        <v>348</v>
      </c>
      <c r="FL2591" s="1" t="s">
        <v>2226</v>
      </c>
      <c r="FM2591" s="1">
        <v>300.0</v>
      </c>
      <c r="FN2591" s="1" t="s">
        <v>2227</v>
      </c>
      <c r="FO2591" s="1" t="s">
        <v>23256</v>
      </c>
      <c r="FP2591" s="1">
        <v>898.0</v>
      </c>
      <c r="FQ2591" s="1" t="s">
        <v>23257</v>
      </c>
      <c r="FU2591" s="1" t="s">
        <v>23258</v>
      </c>
      <c r="FV2591" s="1" t="s">
        <v>200</v>
      </c>
      <c r="FW2591" s="1" t="s">
        <v>290</v>
      </c>
      <c r="FZ2591" s="1" t="s">
        <v>632</v>
      </c>
      <c r="GA2591" s="1" t="s">
        <v>291</v>
      </c>
      <c r="GB2591" s="2">
        <v>42120.0</v>
      </c>
      <c r="GC2591" s="1" t="s">
        <v>23259</v>
      </c>
    </row>
    <row r="2592">
      <c r="A2592" s="1">
        <v>98000.0</v>
      </c>
      <c r="B2592" s="1" t="s">
        <v>185</v>
      </c>
      <c r="C2592" s="1" t="str">
        <f>"08823208"</f>
        <v>08823208</v>
      </c>
      <c r="D2592" s="1" t="s">
        <v>186</v>
      </c>
      <c r="F2592" s="1" t="str">
        <f>"8070"</f>
        <v>8070</v>
      </c>
      <c r="G2592" s="2">
        <v>42027.0</v>
      </c>
      <c r="H2592" s="1">
        <v>99900.0</v>
      </c>
      <c r="I2592" s="1">
        <v>12.0</v>
      </c>
      <c r="J2592" s="1">
        <v>99900.0</v>
      </c>
      <c r="K2592" s="2">
        <v>42037.0</v>
      </c>
      <c r="L2592" s="1">
        <v>12.0</v>
      </c>
      <c r="M2592" s="2">
        <v>42037.0</v>
      </c>
      <c r="N2592" s="1" t="s">
        <v>249</v>
      </c>
      <c r="O2592" s="2">
        <v>42052.0</v>
      </c>
      <c r="P2592" s="1">
        <v>26024.0</v>
      </c>
      <c r="Q2592" s="1">
        <v>8340.0</v>
      </c>
      <c r="S2592" s="1">
        <v>3411.0</v>
      </c>
      <c r="T2592" s="1" t="s">
        <v>20650</v>
      </c>
      <c r="U2592" s="1" t="s">
        <v>320</v>
      </c>
      <c r="V2592" s="1" t="s">
        <v>190</v>
      </c>
      <c r="W2592" s="1">
        <v>60652.0</v>
      </c>
      <c r="Y2592" s="1" t="s">
        <v>23260</v>
      </c>
      <c r="Z2592" s="1">
        <v>1940.0</v>
      </c>
      <c r="AA2592" s="1" t="s">
        <v>192</v>
      </c>
      <c r="AB2592" s="1" t="s">
        <v>193</v>
      </c>
      <c r="AD2592" s="1" t="s">
        <v>194</v>
      </c>
      <c r="AE2592" s="1" t="s">
        <v>195</v>
      </c>
      <c r="AF2592" s="1" t="s">
        <v>659</v>
      </c>
      <c r="AH2592" s="1" t="s">
        <v>23261</v>
      </c>
      <c r="AK2592" s="1">
        <v>8.0</v>
      </c>
      <c r="AL2592" s="1">
        <v>4.0</v>
      </c>
      <c r="AM2592" s="1">
        <v>2.0</v>
      </c>
      <c r="AN2592" s="1">
        <v>0.0</v>
      </c>
      <c r="AO2592" s="1" t="s">
        <v>198</v>
      </c>
      <c r="AQ2592" s="1" t="s">
        <v>198</v>
      </c>
      <c r="AR2592" s="1" t="s">
        <v>200</v>
      </c>
      <c r="AS2592" s="1" t="s">
        <v>199</v>
      </c>
      <c r="AT2592" s="1">
        <v>2.0</v>
      </c>
      <c r="AV2592" s="1" t="s">
        <v>200</v>
      </c>
      <c r="AW2592" s="1">
        <v>1743.0</v>
      </c>
      <c r="AX2592" s="1">
        <v>2012.0</v>
      </c>
      <c r="AZ2592" s="1" t="s">
        <v>545</v>
      </c>
      <c r="BA2592" s="1" t="str">
        <f>"19354090520000"</f>
        <v>19354090520000</v>
      </c>
      <c r="BB2592" s="1" t="s">
        <v>200</v>
      </c>
      <c r="BC2592" s="1">
        <v>0.0</v>
      </c>
      <c r="BD2592" s="1">
        <v>98000.0</v>
      </c>
      <c r="BE2592" s="2">
        <v>42026.0</v>
      </c>
      <c r="BF2592" s="1" t="s">
        <v>23262</v>
      </c>
      <c r="BH2592" s="1">
        <v>0.0</v>
      </c>
      <c r="BK2592" s="1" t="s">
        <v>204</v>
      </c>
      <c r="BL2592" s="1" t="str">
        <f t="shared" ref="BL2592:BM2592" si="1693">"0"</f>
        <v>0</v>
      </c>
      <c r="BM2592" s="1" t="str">
        <f t="shared" si="1693"/>
        <v>0</v>
      </c>
      <c r="BN2592" s="1">
        <v>3411.0</v>
      </c>
      <c r="BO2592" s="1">
        <v>8400.0</v>
      </c>
      <c r="BQ2592" s="1">
        <v>299.0</v>
      </c>
      <c r="BR2592" s="1">
        <v>299.0</v>
      </c>
      <c r="BS2592" s="1">
        <v>299.0</v>
      </c>
      <c r="BU2592" s="1" t="s">
        <v>584</v>
      </c>
      <c r="BV2592" s="1" t="s">
        <v>206</v>
      </c>
      <c r="BW2592" s="1" t="s">
        <v>207</v>
      </c>
      <c r="BY2592" s="1" t="s">
        <v>215</v>
      </c>
      <c r="BZ2592" s="1" t="s">
        <v>209</v>
      </c>
      <c r="CA2592" s="1" t="s">
        <v>210</v>
      </c>
      <c r="CC2592" s="1" t="s">
        <v>623</v>
      </c>
      <c r="CD2592" s="1" t="s">
        <v>206</v>
      </c>
      <c r="CE2592" s="1" t="s">
        <v>207</v>
      </c>
      <c r="CG2592" s="1" t="s">
        <v>1417</v>
      </c>
      <c r="CH2592" s="1" t="s">
        <v>209</v>
      </c>
      <c r="CI2592" s="1" t="s">
        <v>210</v>
      </c>
      <c r="CK2592" s="1" t="s">
        <v>265</v>
      </c>
      <c r="CL2592" s="1" t="s">
        <v>209</v>
      </c>
      <c r="CM2592" s="1" t="s">
        <v>210</v>
      </c>
      <c r="CO2592" s="1" t="s">
        <v>516</v>
      </c>
      <c r="CP2592" s="1" t="s">
        <v>209</v>
      </c>
      <c r="CQ2592" s="1" t="s">
        <v>210</v>
      </c>
      <c r="CS2592" s="1" t="s">
        <v>516</v>
      </c>
      <c r="CT2592" s="1" t="s">
        <v>206</v>
      </c>
      <c r="CU2592" s="1" t="s">
        <v>268</v>
      </c>
      <c r="CW2592" s="1" t="s">
        <v>433</v>
      </c>
      <c r="CX2592" s="1" t="s">
        <v>42</v>
      </c>
      <c r="CY2592" s="1" t="s">
        <v>617</v>
      </c>
      <c r="DA2592" s="1" t="s">
        <v>200</v>
      </c>
      <c r="DC2592" s="1" t="s">
        <v>1399</v>
      </c>
      <c r="DD2592" s="1" t="s">
        <v>518</v>
      </c>
      <c r="DE2592" s="1" t="s">
        <v>273</v>
      </c>
      <c r="DF2592" s="1" t="s">
        <v>219</v>
      </c>
      <c r="DH2592" s="1" t="s">
        <v>365</v>
      </c>
      <c r="DJ2592" s="1" t="s">
        <v>222</v>
      </c>
      <c r="DL2592" s="1" t="s">
        <v>224</v>
      </c>
      <c r="DM2592" s="1" t="s">
        <v>398</v>
      </c>
      <c r="DP2592" s="1" t="s">
        <v>340</v>
      </c>
      <c r="DQ2592" s="1" t="s">
        <v>228</v>
      </c>
      <c r="DR2592" s="1" t="s">
        <v>229</v>
      </c>
      <c r="DV2592" s="1" t="s">
        <v>232</v>
      </c>
      <c r="DW2592" s="1" t="s">
        <v>279</v>
      </c>
      <c r="DX2592" s="1" t="s">
        <v>234</v>
      </c>
      <c r="EC2592" s="1" t="s">
        <v>237</v>
      </c>
      <c r="EM2592" s="1" t="s">
        <v>238</v>
      </c>
      <c r="EQ2592" s="1" t="s">
        <v>238</v>
      </c>
      <c r="EU2592" s="1" t="s">
        <v>238</v>
      </c>
      <c r="EY2592" s="1" t="s">
        <v>238</v>
      </c>
      <c r="FC2592" s="1" t="s">
        <v>238</v>
      </c>
      <c r="FF2592" s="1" t="s">
        <v>239</v>
      </c>
      <c r="FG2592" s="1" t="s">
        <v>192</v>
      </c>
      <c r="FH2592" s="1" t="s">
        <v>192</v>
      </c>
      <c r="FJ2592" s="1" t="s">
        <v>347</v>
      </c>
      <c r="FK2592" s="1" t="s">
        <v>229</v>
      </c>
      <c r="FL2592" s="1" t="s">
        <v>1520</v>
      </c>
      <c r="FM2592" s="1">
        <v>10841.0</v>
      </c>
      <c r="FN2592" s="1" t="s">
        <v>1521</v>
      </c>
      <c r="FO2592" s="1" t="s">
        <v>1522</v>
      </c>
      <c r="FP2592" s="1">
        <v>109860.0</v>
      </c>
      <c r="FQ2592" s="1" t="s">
        <v>1521</v>
      </c>
      <c r="FU2592" s="1" t="s">
        <v>1523</v>
      </c>
      <c r="FV2592" s="1" t="s">
        <v>200</v>
      </c>
      <c r="FW2592" s="1" t="s">
        <v>290</v>
      </c>
      <c r="FX2592" s="1" t="s">
        <v>246</v>
      </c>
      <c r="FZ2592" s="1" t="s">
        <v>229</v>
      </c>
      <c r="GA2592" s="1" t="s">
        <v>291</v>
      </c>
      <c r="GB2592" s="2">
        <v>42053.0</v>
      </c>
      <c r="GC2592" s="1" t="s">
        <v>23263</v>
      </c>
    </row>
    <row r="2593">
      <c r="A2593" s="1">
        <v>100000.0</v>
      </c>
      <c r="B2593" s="1" t="s">
        <v>185</v>
      </c>
      <c r="C2593" s="1" t="str">
        <f>"08821733"</f>
        <v>08821733</v>
      </c>
      <c r="D2593" s="1" t="s">
        <v>186</v>
      </c>
      <c r="F2593" s="1" t="str">
        <f>"8073"</f>
        <v>8073</v>
      </c>
      <c r="G2593" s="2">
        <v>42026.0</v>
      </c>
      <c r="H2593" s="1">
        <v>105000.0</v>
      </c>
      <c r="I2593" s="1">
        <v>60.0</v>
      </c>
      <c r="J2593" s="1">
        <v>105000.0</v>
      </c>
      <c r="K2593" s="2">
        <v>42084.0</v>
      </c>
      <c r="L2593" s="1">
        <v>60.0</v>
      </c>
      <c r="M2593" s="2">
        <v>42084.0</v>
      </c>
      <c r="N2593" s="1" t="s">
        <v>356</v>
      </c>
      <c r="O2593" s="2">
        <v>42138.0</v>
      </c>
      <c r="P2593" s="1">
        <v>119382.0</v>
      </c>
      <c r="Q2593" s="1">
        <v>12925.0</v>
      </c>
      <c r="S2593" s="1">
        <v>424.0</v>
      </c>
      <c r="T2593" s="1" t="s">
        <v>10712</v>
      </c>
      <c r="U2593" s="1" t="s">
        <v>320</v>
      </c>
      <c r="V2593" s="1" t="s">
        <v>190</v>
      </c>
      <c r="W2593" s="1">
        <v>60628.0</v>
      </c>
      <c r="Y2593" s="1" t="s">
        <v>23264</v>
      </c>
      <c r="Z2593" s="1">
        <v>1959.0</v>
      </c>
      <c r="AA2593" s="1" t="s">
        <v>192</v>
      </c>
      <c r="AB2593" s="1" t="s">
        <v>193</v>
      </c>
      <c r="AD2593" s="1" t="s">
        <v>194</v>
      </c>
      <c r="AE2593" s="1" t="s">
        <v>195</v>
      </c>
      <c r="AF2593" s="1" t="s">
        <v>659</v>
      </c>
      <c r="AH2593" s="1" t="s">
        <v>23265</v>
      </c>
      <c r="AI2593" s="1">
        <v>0.0723</v>
      </c>
      <c r="AK2593" s="1">
        <v>8.0</v>
      </c>
      <c r="AL2593" s="1">
        <v>3.0</v>
      </c>
      <c r="AM2593" s="1">
        <v>2.0</v>
      </c>
      <c r="AN2593" s="1">
        <v>0.0</v>
      </c>
      <c r="AO2593" s="1" t="s">
        <v>229</v>
      </c>
      <c r="AQ2593" s="1" t="s">
        <v>198</v>
      </c>
      <c r="AR2593" s="1" t="s">
        <v>192</v>
      </c>
      <c r="AS2593" s="1" t="s">
        <v>199</v>
      </c>
      <c r="AT2593" s="1">
        <v>2.0</v>
      </c>
      <c r="AV2593" s="1" t="s">
        <v>200</v>
      </c>
      <c r="AW2593" s="1">
        <v>1508.0</v>
      </c>
      <c r="AX2593" s="1">
        <v>2013.0</v>
      </c>
      <c r="AY2593" s="1" t="s">
        <v>387</v>
      </c>
      <c r="AZ2593" s="1" t="s">
        <v>200</v>
      </c>
      <c r="BA2593" s="1" t="str">
        <f>"25091150220000"</f>
        <v>25091150220000</v>
      </c>
      <c r="BC2593" s="1">
        <v>969.0</v>
      </c>
      <c r="BD2593" s="1">
        <v>100000.0</v>
      </c>
      <c r="BE2593" s="2">
        <v>42025.0</v>
      </c>
      <c r="BF2593" s="2" t="s">
        <v>23266</v>
      </c>
      <c r="BH2593" s="1">
        <v>0.0</v>
      </c>
      <c r="BK2593" s="1" t="s">
        <v>204</v>
      </c>
      <c r="BL2593" s="1" t="str">
        <f t="shared" ref="BL2593:BM2593" si="1694">"0"</f>
        <v>0</v>
      </c>
      <c r="BM2593" s="1" t="str">
        <f t="shared" si="1694"/>
        <v>0</v>
      </c>
      <c r="BN2593" s="1">
        <v>424.0</v>
      </c>
      <c r="BO2593" s="1">
        <v>97.0</v>
      </c>
      <c r="BQ2593" s="1">
        <v>299.0</v>
      </c>
      <c r="BR2593" s="1">
        <v>299.0</v>
      </c>
      <c r="BS2593" s="1">
        <v>299.0</v>
      </c>
      <c r="BU2593" s="1" t="s">
        <v>260</v>
      </c>
      <c r="BV2593" s="1" t="s">
        <v>206</v>
      </c>
      <c r="BW2593" s="1" t="s">
        <v>210</v>
      </c>
      <c r="BX2593" s="1" t="s">
        <v>431</v>
      </c>
      <c r="BY2593" s="1" t="s">
        <v>1760</v>
      </c>
      <c r="BZ2593" s="1" t="s">
        <v>206</v>
      </c>
      <c r="CA2593" s="1" t="s">
        <v>210</v>
      </c>
      <c r="CB2593" s="1" t="s">
        <v>1549</v>
      </c>
      <c r="CC2593" s="1" t="s">
        <v>542</v>
      </c>
      <c r="CD2593" s="1" t="s">
        <v>206</v>
      </c>
      <c r="CG2593" s="1" t="s">
        <v>265</v>
      </c>
      <c r="CH2593" s="1" t="s">
        <v>206</v>
      </c>
      <c r="CI2593" s="1" t="s">
        <v>210</v>
      </c>
      <c r="CJ2593" s="1" t="s">
        <v>1549</v>
      </c>
      <c r="CK2593" s="1" t="s">
        <v>269</v>
      </c>
      <c r="CL2593" s="1" t="s">
        <v>206</v>
      </c>
      <c r="CM2593" s="1" t="s">
        <v>210</v>
      </c>
      <c r="CN2593" s="1" t="s">
        <v>1549</v>
      </c>
      <c r="CO2593" s="1" t="s">
        <v>329</v>
      </c>
      <c r="CP2593" s="1" t="s">
        <v>42</v>
      </c>
      <c r="CQ2593" s="1" t="s">
        <v>268</v>
      </c>
      <c r="CR2593" s="1" t="s">
        <v>229</v>
      </c>
      <c r="CS2593" s="1" t="s">
        <v>3805</v>
      </c>
      <c r="CT2593" s="1" t="s">
        <v>206</v>
      </c>
      <c r="CU2593" s="1" t="s">
        <v>268</v>
      </c>
      <c r="CV2593" s="1" t="s">
        <v>431</v>
      </c>
      <c r="CW2593" s="1" t="s">
        <v>329</v>
      </c>
      <c r="CX2593" s="1" t="s">
        <v>42</v>
      </c>
      <c r="CY2593" s="1" t="s">
        <v>268</v>
      </c>
      <c r="CZ2593" s="1" t="s">
        <v>229</v>
      </c>
      <c r="DA2593" s="1" t="s">
        <v>200</v>
      </c>
      <c r="DC2593" s="1" t="s">
        <v>271</v>
      </c>
      <c r="DE2593" s="1" t="s">
        <v>273</v>
      </c>
      <c r="DF2593" s="1" t="s">
        <v>619</v>
      </c>
      <c r="DG2593" s="1" t="s">
        <v>2237</v>
      </c>
      <c r="DH2593" s="1" t="s">
        <v>365</v>
      </c>
      <c r="DJ2593" s="1" t="s">
        <v>222</v>
      </c>
      <c r="DK2593" s="1" t="s">
        <v>223</v>
      </c>
      <c r="DL2593" s="1" t="s">
        <v>224</v>
      </c>
      <c r="DM2593" s="1" t="s">
        <v>1143</v>
      </c>
      <c r="DO2593" s="1" t="s">
        <v>549</v>
      </c>
      <c r="DQ2593" s="1" t="s">
        <v>228</v>
      </c>
      <c r="DR2593" s="1" t="s">
        <v>229</v>
      </c>
      <c r="DS2593" s="1" t="s">
        <v>591</v>
      </c>
      <c r="DV2593" s="1" t="s">
        <v>232</v>
      </c>
      <c r="DW2593" s="1" t="s">
        <v>279</v>
      </c>
      <c r="DX2593" s="1" t="s">
        <v>309</v>
      </c>
      <c r="EA2593" s="1" t="s">
        <v>683</v>
      </c>
      <c r="EC2593" s="1" t="s">
        <v>685</v>
      </c>
      <c r="ED2593" s="1" t="s">
        <v>407</v>
      </c>
      <c r="EE2593" s="1" t="s">
        <v>493</v>
      </c>
      <c r="EM2593" s="1" t="s">
        <v>238</v>
      </c>
      <c r="EQ2593" s="1" t="s">
        <v>238</v>
      </c>
      <c r="EU2593" s="1" t="s">
        <v>238</v>
      </c>
      <c r="EY2593" s="1" t="s">
        <v>238</v>
      </c>
      <c r="FC2593" s="1" t="s">
        <v>238</v>
      </c>
      <c r="FF2593" s="1" t="s">
        <v>239</v>
      </c>
      <c r="FG2593" s="1" t="s">
        <v>200</v>
      </c>
      <c r="FH2593" s="1" t="s">
        <v>192</v>
      </c>
      <c r="FJ2593" s="1" t="s">
        <v>5571</v>
      </c>
      <c r="FK2593" s="1" t="s">
        <v>229</v>
      </c>
      <c r="FL2593" s="1" t="s">
        <v>23267</v>
      </c>
      <c r="FM2593" s="1">
        <v>25756.0</v>
      </c>
      <c r="FN2593" s="1" t="s">
        <v>23268</v>
      </c>
      <c r="FO2593" s="1" t="s">
        <v>23269</v>
      </c>
      <c r="FP2593" s="1">
        <v>214263.0</v>
      </c>
      <c r="FQ2593" s="1" t="s">
        <v>23270</v>
      </c>
      <c r="FU2593" s="1" t="s">
        <v>710</v>
      </c>
      <c r="FV2593" s="1" t="s">
        <v>200</v>
      </c>
      <c r="FW2593" s="1" t="s">
        <v>567</v>
      </c>
      <c r="FX2593" s="1" t="s">
        <v>246</v>
      </c>
      <c r="FZ2593" s="1" t="s">
        <v>229</v>
      </c>
      <c r="GA2593" s="1" t="s">
        <v>291</v>
      </c>
      <c r="GB2593" s="2">
        <v>42139.0</v>
      </c>
    </row>
    <row r="2594">
      <c r="A2594" s="1">
        <v>337455.0</v>
      </c>
      <c r="B2594" s="1" t="s">
        <v>185</v>
      </c>
      <c r="C2594" s="1" t="str">
        <f>"08820233"</f>
        <v>08820233</v>
      </c>
      <c r="D2594" s="1" t="s">
        <v>186</v>
      </c>
      <c r="F2594" s="1" t="str">
        <f>"123"</f>
        <v>123</v>
      </c>
      <c r="G2594" s="2">
        <v>42024.0</v>
      </c>
      <c r="H2594" s="1">
        <v>337455.0</v>
      </c>
      <c r="I2594" s="1">
        <v>1.0</v>
      </c>
      <c r="J2594" s="1">
        <v>337455.0</v>
      </c>
      <c r="K2594" s="2">
        <v>42022.0</v>
      </c>
      <c r="L2594" s="1">
        <v>1.0</v>
      </c>
      <c r="M2594" s="2">
        <v>42022.0</v>
      </c>
      <c r="N2594" s="1" t="s">
        <v>187</v>
      </c>
      <c r="O2594" s="2">
        <v>42093.0</v>
      </c>
      <c r="P2594" s="1">
        <v>81720.0</v>
      </c>
      <c r="Q2594" s="1">
        <v>8073.0</v>
      </c>
      <c r="R2594" s="1">
        <v>5329.79</v>
      </c>
      <c r="S2594" s="1">
        <v>4104.0</v>
      </c>
      <c r="T2594" s="1" t="s">
        <v>1014</v>
      </c>
      <c r="U2594" s="1" t="s">
        <v>1015</v>
      </c>
      <c r="V2594" s="1" t="s">
        <v>465</v>
      </c>
      <c r="W2594" s="1">
        <v>60124.0</v>
      </c>
      <c r="Y2594" s="1" t="s">
        <v>1016</v>
      </c>
      <c r="Z2594" s="1">
        <v>2015.0</v>
      </c>
      <c r="AA2594" s="1" t="s">
        <v>200</v>
      </c>
      <c r="AB2594" s="1" t="s">
        <v>193</v>
      </c>
      <c r="AC2594" s="1" t="s">
        <v>1017</v>
      </c>
      <c r="AD2594" s="1" t="s">
        <v>469</v>
      </c>
      <c r="AE2594" s="1" t="s">
        <v>325</v>
      </c>
      <c r="AF2594" s="1" t="s">
        <v>469</v>
      </c>
      <c r="AG2594" s="1" t="s">
        <v>11536</v>
      </c>
      <c r="AH2594" s="1" t="s">
        <v>18231</v>
      </c>
      <c r="AK2594" s="1">
        <v>11.0</v>
      </c>
      <c r="AL2594" s="1">
        <v>4.0</v>
      </c>
      <c r="AM2594" s="1">
        <v>2.0</v>
      </c>
      <c r="AN2594" s="1">
        <v>1.0</v>
      </c>
      <c r="AO2594" s="1" t="s">
        <v>198</v>
      </c>
      <c r="AP2594" s="1">
        <v>0.0</v>
      </c>
      <c r="AQ2594" s="1" t="s">
        <v>1314</v>
      </c>
      <c r="AR2594" s="1" t="s">
        <v>200</v>
      </c>
      <c r="AS2594" s="1" t="s">
        <v>199</v>
      </c>
      <c r="AT2594" s="1">
        <v>3.0</v>
      </c>
      <c r="AV2594" s="1" t="s">
        <v>200</v>
      </c>
      <c r="AW2594" s="1">
        <v>0.0</v>
      </c>
      <c r="AX2594" s="1">
        <v>2013.0</v>
      </c>
      <c r="AY2594" s="1" t="s">
        <v>229</v>
      </c>
      <c r="AZ2594" s="1" t="s">
        <v>200</v>
      </c>
      <c r="BA2594" s="1" t="str">
        <f>"0111111111"</f>
        <v>0111111111</v>
      </c>
      <c r="BC2594" s="1">
        <v>3415.0</v>
      </c>
      <c r="BD2594" s="1">
        <v>337455.0</v>
      </c>
      <c r="BE2594" s="2">
        <v>42022.0</v>
      </c>
      <c r="BF2594" s="1" t="s">
        <v>1019</v>
      </c>
      <c r="BG2594" s="1" t="s">
        <v>577</v>
      </c>
      <c r="BH2594" s="1">
        <v>45.0</v>
      </c>
      <c r="BI2594" s="1" t="s">
        <v>578</v>
      </c>
      <c r="BJ2594" s="1" t="s">
        <v>579</v>
      </c>
      <c r="BK2594" s="1" t="s">
        <v>474</v>
      </c>
      <c r="BL2594" s="1" t="str">
        <f>"11"</f>
        <v>11</v>
      </c>
      <c r="BM2594" s="1" t="str">
        <f>"0"</f>
        <v>0</v>
      </c>
      <c r="BN2594" s="1">
        <v>38.0</v>
      </c>
      <c r="BO2594" s="1">
        <v>0.0</v>
      </c>
      <c r="BQ2594" s="1">
        <v>301.0</v>
      </c>
      <c r="BR2594" s="1">
        <v>301.0</v>
      </c>
      <c r="BS2594" s="1">
        <v>301.0</v>
      </c>
      <c r="BU2594" s="1" t="s">
        <v>329</v>
      </c>
      <c r="BV2594" s="1" t="s">
        <v>206</v>
      </c>
      <c r="BW2594" s="1" t="s">
        <v>210</v>
      </c>
      <c r="BY2594" s="1" t="s">
        <v>1825</v>
      </c>
      <c r="BZ2594" s="1" t="s">
        <v>209</v>
      </c>
      <c r="CA2594" s="1" t="s">
        <v>210</v>
      </c>
      <c r="CC2594" s="1" t="s">
        <v>215</v>
      </c>
      <c r="CD2594" s="1" t="s">
        <v>206</v>
      </c>
      <c r="CE2594" s="1" t="s">
        <v>210</v>
      </c>
      <c r="CG2594" s="1" t="s">
        <v>433</v>
      </c>
      <c r="CH2594" s="1" t="s">
        <v>209</v>
      </c>
      <c r="CI2594" s="1" t="s">
        <v>210</v>
      </c>
      <c r="CK2594" s="1" t="s">
        <v>212</v>
      </c>
      <c r="CL2594" s="1" t="s">
        <v>209</v>
      </c>
      <c r="CM2594" s="1" t="s">
        <v>210</v>
      </c>
      <c r="CO2594" s="1" t="s">
        <v>331</v>
      </c>
      <c r="CP2594" s="1" t="s">
        <v>209</v>
      </c>
      <c r="CQ2594" s="1" t="s">
        <v>210</v>
      </c>
      <c r="CS2594" s="1" t="s">
        <v>729</v>
      </c>
      <c r="CT2594" s="1" t="s">
        <v>206</v>
      </c>
      <c r="CU2594" s="1" t="s">
        <v>207</v>
      </c>
      <c r="CW2594" s="1" t="s">
        <v>477</v>
      </c>
      <c r="CX2594" s="1" t="s">
        <v>206</v>
      </c>
      <c r="CY2594" s="1" t="s">
        <v>210</v>
      </c>
      <c r="DA2594" s="1" t="s">
        <v>192</v>
      </c>
      <c r="DB2594" s="2">
        <v>42094.0</v>
      </c>
      <c r="DC2594" s="1" t="s">
        <v>744</v>
      </c>
      <c r="DD2594" s="1" t="s">
        <v>336</v>
      </c>
      <c r="DE2594" s="1" t="s">
        <v>273</v>
      </c>
      <c r="DF2594" s="1" t="s">
        <v>219</v>
      </c>
      <c r="DG2594" s="1" t="s">
        <v>482</v>
      </c>
      <c r="DH2594" s="1" t="s">
        <v>220</v>
      </c>
      <c r="DI2594" s="1" t="s">
        <v>2547</v>
      </c>
      <c r="DJ2594" s="1" t="s">
        <v>222</v>
      </c>
      <c r="DL2594" s="1" t="s">
        <v>223</v>
      </c>
      <c r="DM2594" s="1" t="s">
        <v>929</v>
      </c>
      <c r="DN2594" s="1" t="s">
        <v>548</v>
      </c>
      <c r="DO2594" s="1" t="s">
        <v>486</v>
      </c>
      <c r="DP2594" s="1" t="s">
        <v>276</v>
      </c>
      <c r="DQ2594" s="1" t="s">
        <v>228</v>
      </c>
      <c r="DR2594" s="1" t="s">
        <v>588</v>
      </c>
      <c r="DS2594" s="1" t="s">
        <v>230</v>
      </c>
      <c r="DU2594" s="1" t="s">
        <v>23271</v>
      </c>
      <c r="DV2594" s="1" t="s">
        <v>1841</v>
      </c>
      <c r="DW2594" s="1" t="s">
        <v>1026</v>
      </c>
      <c r="DX2594" s="1" t="s">
        <v>234</v>
      </c>
      <c r="DY2594" s="1" t="s">
        <v>704</v>
      </c>
      <c r="EA2594" s="1" t="s">
        <v>344</v>
      </c>
      <c r="EC2594" s="1" t="s">
        <v>237</v>
      </c>
      <c r="EG2594" s="1" t="s">
        <v>556</v>
      </c>
      <c r="EH2594" s="1" t="s">
        <v>341</v>
      </c>
      <c r="EI2594" s="1" t="s">
        <v>494</v>
      </c>
      <c r="EL2594" s="1" t="s">
        <v>904</v>
      </c>
      <c r="EM2594" s="1" t="s">
        <v>206</v>
      </c>
      <c r="EN2594" s="1" t="s">
        <v>207</v>
      </c>
      <c r="EP2594" s="1" t="s">
        <v>433</v>
      </c>
      <c r="EQ2594" s="1" t="s">
        <v>209</v>
      </c>
      <c r="ER2594" s="1" t="s">
        <v>210</v>
      </c>
      <c r="ET2594" s="1" t="s">
        <v>332</v>
      </c>
      <c r="EU2594" s="1" t="s">
        <v>206</v>
      </c>
      <c r="EV2594" s="1" t="s">
        <v>210</v>
      </c>
      <c r="EY2594" s="1" t="s">
        <v>238</v>
      </c>
      <c r="FC2594" s="1" t="s">
        <v>238</v>
      </c>
      <c r="FF2594" s="1" t="s">
        <v>239</v>
      </c>
      <c r="FG2594" s="1" t="s">
        <v>192</v>
      </c>
      <c r="FH2594" s="1" t="s">
        <v>192</v>
      </c>
      <c r="FJ2594" s="1" t="s">
        <v>22062</v>
      </c>
      <c r="FK2594" s="1" t="s">
        <v>229</v>
      </c>
      <c r="FL2594" s="1" t="s">
        <v>1031</v>
      </c>
      <c r="FM2594" s="1">
        <v>222.0</v>
      </c>
      <c r="FN2594" s="1" t="s">
        <v>1032</v>
      </c>
      <c r="FO2594" s="1" t="s">
        <v>1033</v>
      </c>
      <c r="FP2594" s="1">
        <v>1305.0</v>
      </c>
      <c r="FQ2594" s="1" t="s">
        <v>1034</v>
      </c>
      <c r="FT2594" s="1" t="s">
        <v>5043</v>
      </c>
      <c r="FU2594" s="1" t="s">
        <v>1036</v>
      </c>
      <c r="FV2594" s="1" t="s">
        <v>200</v>
      </c>
      <c r="FW2594" s="1" t="s">
        <v>1037</v>
      </c>
      <c r="FZ2594" s="1" t="s">
        <v>229</v>
      </c>
      <c r="GA2594" s="1" t="s">
        <v>247</v>
      </c>
      <c r="GB2594" s="2">
        <v>42093.0</v>
      </c>
      <c r="GC2594" s="1" t="s">
        <v>1038</v>
      </c>
    </row>
    <row r="2595">
      <c r="A2595" s="1">
        <v>329900.0</v>
      </c>
      <c r="B2595" s="1" t="s">
        <v>185</v>
      </c>
      <c r="C2595" s="1" t="str">
        <f>"08827979"</f>
        <v>08827979</v>
      </c>
      <c r="D2595" s="1" t="s">
        <v>186</v>
      </c>
      <c r="F2595" s="1" t="str">
        <f>"8075"</f>
        <v>8075</v>
      </c>
      <c r="G2595" s="2">
        <v>42035.0</v>
      </c>
      <c r="H2595" s="1">
        <v>329900.0</v>
      </c>
      <c r="I2595" s="1">
        <v>3.0</v>
      </c>
      <c r="J2595" s="1">
        <v>329900.0</v>
      </c>
      <c r="K2595" s="2">
        <v>42037.0</v>
      </c>
      <c r="L2595" s="1">
        <v>3.0</v>
      </c>
      <c r="M2595" s="2">
        <v>42037.0</v>
      </c>
      <c r="N2595" s="1" t="s">
        <v>187</v>
      </c>
      <c r="O2595" s="2">
        <v>42076.0</v>
      </c>
      <c r="P2595" s="1">
        <v>841065.0</v>
      </c>
      <c r="Q2595" s="1">
        <v>85615.0</v>
      </c>
      <c r="R2595" s="1">
        <v>3.0</v>
      </c>
      <c r="S2595" s="1">
        <v>11841.0</v>
      </c>
      <c r="T2595" s="1" t="s">
        <v>23272</v>
      </c>
      <c r="U2595" s="1" t="s">
        <v>569</v>
      </c>
      <c r="V2595" s="1" t="s">
        <v>190</v>
      </c>
      <c r="W2595" s="1">
        <v>60643.0</v>
      </c>
      <c r="X2595" s="1">
        <v>4804.0</v>
      </c>
      <c r="Y2595" s="1" t="s">
        <v>23273</v>
      </c>
      <c r="Z2595" s="1">
        <v>1918.0</v>
      </c>
      <c r="AA2595" s="1" t="s">
        <v>192</v>
      </c>
      <c r="AB2595" s="1" t="s">
        <v>193</v>
      </c>
      <c r="AD2595" s="1" t="s">
        <v>194</v>
      </c>
      <c r="AE2595" s="1" t="s">
        <v>195</v>
      </c>
      <c r="AF2595" s="1" t="s">
        <v>659</v>
      </c>
      <c r="AH2595" s="1" t="s">
        <v>23274</v>
      </c>
      <c r="AI2595" s="1">
        <v>0.3444</v>
      </c>
      <c r="AK2595" s="1">
        <v>8.0</v>
      </c>
      <c r="AL2595" s="1">
        <v>3.0</v>
      </c>
      <c r="AM2595" s="1">
        <v>3.0</v>
      </c>
      <c r="AN2595" s="1">
        <v>0.0</v>
      </c>
      <c r="AO2595" s="1" t="s">
        <v>1261</v>
      </c>
      <c r="AQ2595" s="1" t="s">
        <v>198</v>
      </c>
      <c r="AR2595" s="1" t="s">
        <v>192</v>
      </c>
      <c r="AS2595" s="1" t="s">
        <v>199</v>
      </c>
      <c r="AT2595" s="1">
        <v>2.0</v>
      </c>
      <c r="AV2595" s="1" t="s">
        <v>200</v>
      </c>
      <c r="AW2595" s="1">
        <v>2754.95</v>
      </c>
      <c r="AX2595" s="1">
        <v>2012.0</v>
      </c>
      <c r="AY2595" s="1" t="s">
        <v>387</v>
      </c>
      <c r="AZ2595" s="1" t="s">
        <v>200</v>
      </c>
      <c r="BA2595" s="1" t="str">
        <f>"25193190090000"</f>
        <v>25193190090000</v>
      </c>
      <c r="BC2595" s="1">
        <v>1041.0</v>
      </c>
      <c r="BD2595" s="1">
        <v>329900.0</v>
      </c>
      <c r="BE2595" s="2">
        <v>42035.0</v>
      </c>
      <c r="BF2595" s="2" t="s">
        <v>23275</v>
      </c>
      <c r="BH2595" s="1">
        <v>0.0</v>
      </c>
      <c r="BK2595" s="1" t="s">
        <v>204</v>
      </c>
      <c r="BL2595" s="1" t="str">
        <f t="shared" ref="BL2595:BM2595" si="1695">"0"</f>
        <v>0</v>
      </c>
      <c r="BM2595" s="1" t="str">
        <f t="shared" si="1695"/>
        <v>0</v>
      </c>
      <c r="BN2595" s="1">
        <v>2200.0</v>
      </c>
      <c r="BO2595" s="1">
        <v>11841.0</v>
      </c>
      <c r="BQ2595" s="1">
        <v>299.0</v>
      </c>
      <c r="BR2595" s="1">
        <v>299.0</v>
      </c>
      <c r="BS2595" s="1">
        <v>299.0</v>
      </c>
      <c r="BU2595" s="1" t="s">
        <v>2414</v>
      </c>
      <c r="BV2595" s="1" t="s">
        <v>206</v>
      </c>
      <c r="BW2595" s="1" t="s">
        <v>207</v>
      </c>
      <c r="BY2595" s="1" t="s">
        <v>616</v>
      </c>
      <c r="BZ2595" s="1" t="s">
        <v>209</v>
      </c>
      <c r="CA2595" s="1" t="s">
        <v>210</v>
      </c>
      <c r="CC2595" s="1" t="s">
        <v>664</v>
      </c>
      <c r="CD2595" s="1" t="s">
        <v>206</v>
      </c>
      <c r="CE2595" s="1" t="s">
        <v>207</v>
      </c>
      <c r="CG2595" s="1" t="s">
        <v>390</v>
      </c>
      <c r="CH2595" s="1" t="s">
        <v>209</v>
      </c>
      <c r="CI2595" s="1" t="s">
        <v>210</v>
      </c>
      <c r="CK2595" s="1" t="s">
        <v>331</v>
      </c>
      <c r="CL2595" s="1" t="s">
        <v>206</v>
      </c>
      <c r="CM2595" s="1" t="s">
        <v>207</v>
      </c>
      <c r="CO2595" s="1" t="s">
        <v>212</v>
      </c>
      <c r="CP2595" s="1" t="s">
        <v>42</v>
      </c>
      <c r="CQ2595" s="1" t="s">
        <v>210</v>
      </c>
      <c r="CS2595" s="1" t="s">
        <v>783</v>
      </c>
      <c r="CT2595" s="1" t="s">
        <v>206</v>
      </c>
      <c r="CU2595" s="1" t="s">
        <v>207</v>
      </c>
      <c r="CW2595" s="1" t="s">
        <v>2675</v>
      </c>
      <c r="CX2595" s="1" t="s">
        <v>42</v>
      </c>
      <c r="CY2595" s="1" t="s">
        <v>210</v>
      </c>
      <c r="DA2595" s="1" t="s">
        <v>200</v>
      </c>
      <c r="DC2595" s="1" t="s">
        <v>216</v>
      </c>
      <c r="DD2595" s="1" t="s">
        <v>436</v>
      </c>
      <c r="DE2595" s="1" t="s">
        <v>273</v>
      </c>
      <c r="DF2595" s="1" t="s">
        <v>219</v>
      </c>
      <c r="DG2595" s="1" t="s">
        <v>337</v>
      </c>
      <c r="DH2595" s="1" t="s">
        <v>365</v>
      </c>
      <c r="DI2595" s="1" t="s">
        <v>366</v>
      </c>
      <c r="DJ2595" s="1" t="s">
        <v>1379</v>
      </c>
      <c r="DK2595" s="1" t="s">
        <v>224</v>
      </c>
      <c r="DL2595" s="1" t="s">
        <v>1161</v>
      </c>
      <c r="DM2595" s="1" t="s">
        <v>1143</v>
      </c>
      <c r="DN2595" s="1" t="s">
        <v>7969</v>
      </c>
      <c r="DO2595" s="1" t="s">
        <v>549</v>
      </c>
      <c r="DP2595" s="1" t="s">
        <v>340</v>
      </c>
      <c r="DQ2595" s="1" t="s">
        <v>794</v>
      </c>
      <c r="DR2595" s="1" t="s">
        <v>229</v>
      </c>
      <c r="DS2595" s="1" t="s">
        <v>401</v>
      </c>
      <c r="DU2595" s="1" t="s">
        <v>1840</v>
      </c>
      <c r="DV2595" s="1" t="s">
        <v>232</v>
      </c>
      <c r="DW2595" s="1" t="s">
        <v>279</v>
      </c>
      <c r="DX2595" s="1" t="s">
        <v>234</v>
      </c>
      <c r="DY2595" s="1" t="s">
        <v>553</v>
      </c>
      <c r="EA2595" s="1" t="s">
        <v>644</v>
      </c>
      <c r="EC2595" s="1" t="s">
        <v>645</v>
      </c>
      <c r="ED2595" s="1" t="s">
        <v>407</v>
      </c>
      <c r="EE2595" s="1" t="s">
        <v>493</v>
      </c>
      <c r="EM2595" s="1" t="s">
        <v>238</v>
      </c>
      <c r="EQ2595" s="1" t="s">
        <v>238</v>
      </c>
      <c r="EU2595" s="1" t="s">
        <v>238</v>
      </c>
      <c r="EY2595" s="1" t="s">
        <v>238</v>
      </c>
      <c r="FC2595" s="1" t="s">
        <v>238</v>
      </c>
      <c r="FF2595" s="1" t="s">
        <v>239</v>
      </c>
      <c r="FG2595" s="1" t="s">
        <v>192</v>
      </c>
      <c r="FH2595" s="1" t="s">
        <v>192</v>
      </c>
      <c r="FJ2595" s="1" t="s">
        <v>770</v>
      </c>
      <c r="FK2595" s="1" t="s">
        <v>229</v>
      </c>
      <c r="FL2595" s="1" t="s">
        <v>3358</v>
      </c>
      <c r="FM2595" s="1">
        <v>84818.0</v>
      </c>
      <c r="FN2595" s="1" t="s">
        <v>3359</v>
      </c>
      <c r="FO2595" s="1" t="s">
        <v>5619</v>
      </c>
      <c r="FP2595" s="1">
        <v>162070.0</v>
      </c>
      <c r="FQ2595" s="1" t="s">
        <v>5620</v>
      </c>
      <c r="FR2595" s="1">
        <v>841730.0</v>
      </c>
      <c r="FU2595" s="1" t="s">
        <v>5621</v>
      </c>
      <c r="FV2595" s="1" t="s">
        <v>192</v>
      </c>
      <c r="FW2595" s="1" t="s">
        <v>530</v>
      </c>
      <c r="FX2595" s="1" t="s">
        <v>655</v>
      </c>
      <c r="FZ2595" s="1" t="s">
        <v>229</v>
      </c>
      <c r="GA2595" s="1" t="s">
        <v>291</v>
      </c>
      <c r="GB2595" s="2">
        <v>42077.0</v>
      </c>
      <c r="GC2595" s="1" t="s">
        <v>22020</v>
      </c>
    </row>
    <row r="2596">
      <c r="A2596" s="1">
        <v>325000.0</v>
      </c>
      <c r="B2596" s="1" t="s">
        <v>185</v>
      </c>
      <c r="C2596" s="1" t="str">
        <f>"08827045"</f>
        <v>08827045</v>
      </c>
      <c r="D2596" s="1" t="s">
        <v>186</v>
      </c>
      <c r="F2596" s="1" t="str">
        <f>"8019"</f>
        <v>8019</v>
      </c>
      <c r="G2596" s="2">
        <v>42033.0</v>
      </c>
      <c r="H2596" s="1">
        <v>319900.0</v>
      </c>
      <c r="I2596" s="1">
        <v>142.0</v>
      </c>
      <c r="J2596" s="1">
        <v>319900.0</v>
      </c>
      <c r="K2596" s="2">
        <v>42059.0</v>
      </c>
      <c r="L2596" s="1">
        <v>27.0</v>
      </c>
      <c r="M2596" s="2">
        <v>42059.0</v>
      </c>
      <c r="N2596" s="1" t="s">
        <v>356</v>
      </c>
      <c r="O2596" s="2">
        <v>42094.0</v>
      </c>
      <c r="P2596" s="1">
        <v>153674.0</v>
      </c>
      <c r="Q2596" s="1">
        <v>18080.0</v>
      </c>
      <c r="S2596" s="1">
        <v>6155.0</v>
      </c>
      <c r="T2596" s="1" t="s">
        <v>8005</v>
      </c>
      <c r="U2596" s="1" t="s">
        <v>320</v>
      </c>
      <c r="V2596" s="1" t="s">
        <v>190</v>
      </c>
      <c r="W2596" s="1">
        <v>60634.0</v>
      </c>
      <c r="Y2596" s="1" t="s">
        <v>23276</v>
      </c>
      <c r="Z2596" s="1">
        <v>1939.0</v>
      </c>
      <c r="AA2596" s="1" t="s">
        <v>192</v>
      </c>
      <c r="AB2596" s="1" t="s">
        <v>193</v>
      </c>
      <c r="AD2596" s="1" t="s">
        <v>194</v>
      </c>
      <c r="AE2596" s="1" t="s">
        <v>195</v>
      </c>
      <c r="AF2596" s="1" t="s">
        <v>196</v>
      </c>
      <c r="AH2596" s="1">
        <v>4250.0</v>
      </c>
      <c r="AK2596" s="1">
        <v>9.0</v>
      </c>
      <c r="AL2596" s="1">
        <v>4.0</v>
      </c>
      <c r="AM2596" s="1">
        <v>3.0</v>
      </c>
      <c r="AN2596" s="1">
        <v>0.0</v>
      </c>
      <c r="AO2596" s="1" t="s">
        <v>229</v>
      </c>
      <c r="AQ2596" s="1" t="s">
        <v>198</v>
      </c>
      <c r="AR2596" s="1" t="s">
        <v>192</v>
      </c>
      <c r="AS2596" s="1" t="s">
        <v>199</v>
      </c>
      <c r="AT2596" s="1">
        <v>2.0</v>
      </c>
      <c r="AV2596" s="1" t="s">
        <v>200</v>
      </c>
      <c r="AW2596" s="1">
        <v>3372.0</v>
      </c>
      <c r="AX2596" s="1">
        <v>2013.0</v>
      </c>
      <c r="AZ2596" s="1" t="s">
        <v>200</v>
      </c>
      <c r="BA2596" s="1" t="str">
        <f>"13291110020000"</f>
        <v>13291110020000</v>
      </c>
      <c r="BC2596" s="1">
        <v>1800.0</v>
      </c>
      <c r="BD2596" s="1">
        <v>325000.0</v>
      </c>
      <c r="BE2596" s="2">
        <v>42033.0</v>
      </c>
      <c r="BF2596" s="1" t="s">
        <v>23277</v>
      </c>
      <c r="BH2596" s="1">
        <v>0.0</v>
      </c>
      <c r="BK2596" s="1" t="s">
        <v>204</v>
      </c>
      <c r="BL2596" s="1" t="str">
        <f>"3100"</f>
        <v>3100</v>
      </c>
      <c r="BM2596" s="1" t="str">
        <f t="shared" ref="BM2596:BM2597" si="1696">"0"</f>
        <v>0</v>
      </c>
      <c r="BN2596" s="1">
        <v>6155.0</v>
      </c>
      <c r="BO2596" s="1">
        <v>0.0</v>
      </c>
      <c r="BQ2596" s="1">
        <v>299.0</v>
      </c>
      <c r="BR2596" s="1">
        <v>299.0</v>
      </c>
      <c r="BS2596" s="1">
        <v>299.0</v>
      </c>
      <c r="BU2596" s="1" t="s">
        <v>664</v>
      </c>
      <c r="BV2596" s="1" t="s">
        <v>206</v>
      </c>
      <c r="BW2596" s="1" t="s">
        <v>207</v>
      </c>
      <c r="BY2596" s="1" t="s">
        <v>363</v>
      </c>
      <c r="BZ2596" s="1" t="s">
        <v>206</v>
      </c>
      <c r="CA2596" s="1" t="s">
        <v>207</v>
      </c>
      <c r="CC2596" s="1" t="s">
        <v>663</v>
      </c>
      <c r="CD2596" s="1" t="s">
        <v>206</v>
      </c>
      <c r="CE2596" s="1" t="s">
        <v>207</v>
      </c>
      <c r="CG2596" s="1" t="s">
        <v>663</v>
      </c>
      <c r="CH2596" s="1" t="s">
        <v>206</v>
      </c>
      <c r="CI2596" s="1" t="s">
        <v>207</v>
      </c>
      <c r="CK2596" s="1" t="s">
        <v>663</v>
      </c>
      <c r="CL2596" s="1" t="s">
        <v>209</v>
      </c>
      <c r="CM2596" s="1" t="s">
        <v>207</v>
      </c>
      <c r="CO2596" s="1" t="s">
        <v>363</v>
      </c>
      <c r="CP2596" s="1" t="s">
        <v>209</v>
      </c>
      <c r="CQ2596" s="1" t="s">
        <v>207</v>
      </c>
      <c r="CS2596" s="1" t="s">
        <v>663</v>
      </c>
      <c r="CT2596" s="1" t="s">
        <v>206</v>
      </c>
      <c r="CU2596" s="1" t="s">
        <v>207</v>
      </c>
      <c r="CW2596" s="1" t="s">
        <v>23278</v>
      </c>
      <c r="CX2596" s="1" t="s">
        <v>42</v>
      </c>
      <c r="CY2596" s="1" t="s">
        <v>268</v>
      </c>
      <c r="DA2596" s="1" t="s">
        <v>200</v>
      </c>
      <c r="DC2596" s="1" t="s">
        <v>1399</v>
      </c>
      <c r="DD2596" s="1" t="s">
        <v>731</v>
      </c>
      <c r="DE2596" s="1" t="s">
        <v>273</v>
      </c>
      <c r="DF2596" s="1" t="s">
        <v>619</v>
      </c>
      <c r="DH2596" s="1" t="s">
        <v>365</v>
      </c>
      <c r="DI2596" s="1" t="s">
        <v>366</v>
      </c>
      <c r="DJ2596" s="1" t="s">
        <v>222</v>
      </c>
      <c r="DL2596" s="1" t="s">
        <v>224</v>
      </c>
      <c r="DM2596" s="1" t="s">
        <v>229</v>
      </c>
      <c r="DP2596" s="1" t="s">
        <v>276</v>
      </c>
      <c r="DQ2596" s="1" t="s">
        <v>228</v>
      </c>
      <c r="DR2596" s="1" t="s">
        <v>229</v>
      </c>
      <c r="DV2596" s="1" t="s">
        <v>8511</v>
      </c>
      <c r="DW2596" s="1" t="s">
        <v>279</v>
      </c>
      <c r="DX2596" s="1" t="s">
        <v>234</v>
      </c>
      <c r="EA2596" s="1" t="s">
        <v>257</v>
      </c>
      <c r="EC2596" s="1" t="s">
        <v>237</v>
      </c>
      <c r="EG2596" s="1" t="s">
        <v>598</v>
      </c>
      <c r="EH2596" s="1" t="s">
        <v>1103</v>
      </c>
      <c r="EL2596" s="1" t="s">
        <v>269</v>
      </c>
      <c r="EM2596" s="1" t="s">
        <v>42</v>
      </c>
      <c r="EP2596" s="1" t="s">
        <v>559</v>
      </c>
      <c r="EQ2596" s="1" t="s">
        <v>42</v>
      </c>
      <c r="EU2596" s="1" t="s">
        <v>238</v>
      </c>
      <c r="EY2596" s="1" t="s">
        <v>238</v>
      </c>
      <c r="FC2596" s="1" t="s">
        <v>238</v>
      </c>
      <c r="FF2596" s="1" t="s">
        <v>239</v>
      </c>
      <c r="FG2596" s="1" t="s">
        <v>192</v>
      </c>
      <c r="FH2596" s="1" t="s">
        <v>192</v>
      </c>
      <c r="FJ2596" s="1" t="s">
        <v>686</v>
      </c>
      <c r="FK2596" s="1" t="s">
        <v>229</v>
      </c>
      <c r="FL2596" s="1" t="s">
        <v>19485</v>
      </c>
      <c r="FM2596" s="1">
        <v>21153.0</v>
      </c>
      <c r="FN2596" s="1" t="s">
        <v>19486</v>
      </c>
      <c r="FO2596" s="1" t="s">
        <v>23279</v>
      </c>
      <c r="FP2596" s="1">
        <v>244124.0</v>
      </c>
      <c r="FQ2596" s="1" t="s">
        <v>23280</v>
      </c>
      <c r="FS2596" s="1">
        <v>7.083369321E9</v>
      </c>
      <c r="FU2596" s="1" t="s">
        <v>23281</v>
      </c>
      <c r="FV2596" s="1" t="s">
        <v>192</v>
      </c>
      <c r="FW2596" s="1" t="s">
        <v>11619</v>
      </c>
      <c r="FX2596" s="1" t="s">
        <v>246</v>
      </c>
      <c r="FZ2596" s="1" t="s">
        <v>229</v>
      </c>
      <c r="GA2596" s="1" t="s">
        <v>291</v>
      </c>
      <c r="GB2596" s="2">
        <v>42095.0</v>
      </c>
    </row>
    <row r="2597">
      <c r="A2597" s="1">
        <v>645000.0</v>
      </c>
      <c r="B2597" s="1" t="s">
        <v>185</v>
      </c>
      <c r="C2597" s="1" t="str">
        <f>"08824773"</f>
        <v>08824773</v>
      </c>
      <c r="D2597" s="1" t="s">
        <v>186</v>
      </c>
      <c r="F2597" s="1" t="str">
        <f>"8016"</f>
        <v>8016</v>
      </c>
      <c r="G2597" s="2">
        <v>42031.0</v>
      </c>
      <c r="H2597" s="1">
        <v>664900.0</v>
      </c>
      <c r="I2597" s="1">
        <v>50.0</v>
      </c>
      <c r="J2597" s="1">
        <v>664900.0</v>
      </c>
      <c r="K2597" s="2">
        <v>42044.0</v>
      </c>
      <c r="L2597" s="1">
        <v>14.0</v>
      </c>
      <c r="M2597" s="2">
        <v>42044.0</v>
      </c>
      <c r="N2597" s="1" t="s">
        <v>187</v>
      </c>
      <c r="O2597" s="2">
        <v>42108.0</v>
      </c>
      <c r="P2597" s="1">
        <v>128632.0</v>
      </c>
      <c r="Q2597" s="1">
        <v>85774.0</v>
      </c>
      <c r="S2597" s="1">
        <v>4520.0</v>
      </c>
      <c r="T2597" s="1" t="s">
        <v>23282</v>
      </c>
      <c r="U2597" s="1" t="s">
        <v>189</v>
      </c>
      <c r="V2597" s="1" t="s">
        <v>190</v>
      </c>
      <c r="W2597" s="1">
        <v>60641.0</v>
      </c>
      <c r="Y2597" s="1" t="s">
        <v>23283</v>
      </c>
      <c r="Z2597" s="1">
        <v>2006.0</v>
      </c>
      <c r="AA2597" s="1" t="s">
        <v>200</v>
      </c>
      <c r="AB2597" s="1" t="s">
        <v>193</v>
      </c>
      <c r="AD2597" s="1" t="s">
        <v>194</v>
      </c>
      <c r="AE2597" s="1" t="s">
        <v>195</v>
      </c>
      <c r="AF2597" s="1" t="s">
        <v>196</v>
      </c>
      <c r="AH2597" s="1" t="s">
        <v>23284</v>
      </c>
      <c r="AI2597" s="1">
        <v>0.0</v>
      </c>
      <c r="AK2597" s="1">
        <v>9.0</v>
      </c>
      <c r="AL2597" s="1">
        <v>4.0</v>
      </c>
      <c r="AM2597" s="1">
        <v>3.0</v>
      </c>
      <c r="AN2597" s="1">
        <v>1.0</v>
      </c>
      <c r="AO2597" s="1" t="s">
        <v>198</v>
      </c>
      <c r="AP2597" s="1">
        <v>2.0</v>
      </c>
      <c r="AQ2597" s="1" t="s">
        <v>472</v>
      </c>
      <c r="AR2597" s="1" t="s">
        <v>192</v>
      </c>
      <c r="AS2597" s="1" t="s">
        <v>199</v>
      </c>
      <c r="AT2597" s="1">
        <v>2.0</v>
      </c>
      <c r="AV2597" s="1" t="s">
        <v>200</v>
      </c>
      <c r="AW2597" s="1">
        <v>7428.0</v>
      </c>
      <c r="AX2597" s="1">
        <v>2013.0</v>
      </c>
      <c r="AY2597" s="1" t="s">
        <v>387</v>
      </c>
      <c r="AZ2597" s="1" t="s">
        <v>200</v>
      </c>
      <c r="BA2597" s="1" t="str">
        <f>"13221020670000"</f>
        <v>13221020670000</v>
      </c>
      <c r="BB2597" s="1" t="s">
        <v>200</v>
      </c>
      <c r="BC2597" s="1">
        <v>3200.0</v>
      </c>
      <c r="BD2597" s="1">
        <v>645000.0</v>
      </c>
      <c r="BE2597" s="2">
        <v>42031.0</v>
      </c>
      <c r="BF2597" s="2" t="s">
        <v>23285</v>
      </c>
      <c r="BG2597" s="1" t="s">
        <v>9125</v>
      </c>
      <c r="BH2597" s="1">
        <v>130.0</v>
      </c>
      <c r="BK2597" s="1" t="s">
        <v>474</v>
      </c>
      <c r="BL2597" s="1" t="str">
        <f>"4000"</f>
        <v>4000</v>
      </c>
      <c r="BM2597" s="1" t="str">
        <f t="shared" si="1696"/>
        <v>0</v>
      </c>
      <c r="BN2597" s="1">
        <v>4500.0</v>
      </c>
      <c r="BO2597" s="1">
        <v>0.0</v>
      </c>
      <c r="BQ2597" s="1">
        <v>299.0</v>
      </c>
      <c r="BR2597" s="1">
        <v>299.0</v>
      </c>
      <c r="BS2597" s="1">
        <v>299.0</v>
      </c>
      <c r="BU2597" s="1" t="s">
        <v>260</v>
      </c>
      <c r="BV2597" s="1" t="s">
        <v>206</v>
      </c>
      <c r="BW2597" s="1" t="s">
        <v>207</v>
      </c>
      <c r="BY2597" s="1" t="s">
        <v>616</v>
      </c>
      <c r="BZ2597" s="1" t="s">
        <v>209</v>
      </c>
      <c r="CA2597" s="1" t="s">
        <v>210</v>
      </c>
      <c r="CC2597" s="1" t="s">
        <v>1426</v>
      </c>
      <c r="CD2597" s="1" t="s">
        <v>206</v>
      </c>
      <c r="CE2597" s="1" t="s">
        <v>207</v>
      </c>
      <c r="CG2597" s="1" t="s">
        <v>4180</v>
      </c>
      <c r="CH2597" s="1" t="s">
        <v>209</v>
      </c>
      <c r="CI2597" s="1" t="s">
        <v>210</v>
      </c>
      <c r="CK2597" s="1" t="s">
        <v>969</v>
      </c>
      <c r="CL2597" s="1" t="s">
        <v>209</v>
      </c>
      <c r="CM2597" s="1" t="s">
        <v>210</v>
      </c>
      <c r="CO2597" s="1" t="s">
        <v>392</v>
      </c>
      <c r="CP2597" s="1" t="s">
        <v>267</v>
      </c>
      <c r="CQ2597" s="1" t="s">
        <v>210</v>
      </c>
      <c r="CS2597" s="1" t="s">
        <v>647</v>
      </c>
      <c r="CT2597" s="1" t="s">
        <v>206</v>
      </c>
      <c r="CU2597" s="1" t="s">
        <v>207</v>
      </c>
      <c r="CW2597" s="1" t="s">
        <v>616</v>
      </c>
      <c r="CX2597" s="1" t="s">
        <v>206</v>
      </c>
      <c r="CY2597" s="1" t="s">
        <v>207</v>
      </c>
      <c r="DA2597" s="1" t="s">
        <v>200</v>
      </c>
      <c r="DC2597" s="1" t="s">
        <v>481</v>
      </c>
      <c r="DD2597" s="1" t="s">
        <v>679</v>
      </c>
      <c r="DE2597" s="1" t="s">
        <v>273</v>
      </c>
      <c r="DF2597" s="1" t="s">
        <v>219</v>
      </c>
      <c r="DG2597" s="1" t="s">
        <v>337</v>
      </c>
      <c r="DH2597" s="1" t="s">
        <v>365</v>
      </c>
      <c r="DI2597" s="1" t="s">
        <v>1003</v>
      </c>
      <c r="DJ2597" s="1" t="s">
        <v>1379</v>
      </c>
      <c r="DK2597" s="1" t="s">
        <v>223</v>
      </c>
      <c r="DL2597" s="1" t="s">
        <v>1161</v>
      </c>
      <c r="DM2597" s="1" t="s">
        <v>229</v>
      </c>
      <c r="DN2597" s="1" t="s">
        <v>548</v>
      </c>
      <c r="DP2597" s="1" t="s">
        <v>276</v>
      </c>
      <c r="DQ2597" s="1" t="s">
        <v>228</v>
      </c>
      <c r="DR2597" s="1" t="s">
        <v>4850</v>
      </c>
      <c r="DS2597" s="1" t="s">
        <v>277</v>
      </c>
      <c r="DU2597" s="1" t="s">
        <v>20846</v>
      </c>
      <c r="DV2597" s="1" t="s">
        <v>1164</v>
      </c>
      <c r="DW2597" s="1" t="s">
        <v>3465</v>
      </c>
      <c r="DX2597" s="1" t="s">
        <v>234</v>
      </c>
      <c r="DZ2597" s="1" t="s">
        <v>310</v>
      </c>
      <c r="EA2597" s="1" t="s">
        <v>3112</v>
      </c>
      <c r="EB2597" s="1" t="s">
        <v>18417</v>
      </c>
      <c r="EC2597" s="1" t="s">
        <v>237</v>
      </c>
      <c r="EG2597" s="1" t="s">
        <v>1164</v>
      </c>
      <c r="EL2597" s="1" t="s">
        <v>2592</v>
      </c>
      <c r="EM2597" s="1" t="s">
        <v>267</v>
      </c>
      <c r="EN2597" s="1" t="s">
        <v>210</v>
      </c>
      <c r="EQ2597" s="1" t="s">
        <v>238</v>
      </c>
      <c r="EU2597" s="1" t="s">
        <v>238</v>
      </c>
      <c r="EY2597" s="1" t="s">
        <v>238</v>
      </c>
      <c r="FC2597" s="1" t="s">
        <v>238</v>
      </c>
      <c r="FF2597" s="1" t="s">
        <v>239</v>
      </c>
      <c r="FG2597" s="1" t="s">
        <v>192</v>
      </c>
      <c r="FH2597" s="1" t="s">
        <v>192</v>
      </c>
      <c r="FJ2597" s="1" t="s">
        <v>561</v>
      </c>
      <c r="FK2597" s="1" t="s">
        <v>229</v>
      </c>
      <c r="FL2597" s="1" t="s">
        <v>562</v>
      </c>
      <c r="FM2597" s="1">
        <v>16379.0</v>
      </c>
      <c r="FN2597" s="1" t="s">
        <v>563</v>
      </c>
      <c r="FO2597" s="1" t="s">
        <v>23286</v>
      </c>
      <c r="FP2597" s="1">
        <v>102113.0</v>
      </c>
      <c r="FQ2597" s="1" t="s">
        <v>23287</v>
      </c>
      <c r="FU2597" s="1" t="s">
        <v>23288</v>
      </c>
      <c r="FV2597" s="1" t="s">
        <v>200</v>
      </c>
      <c r="FW2597" s="1" t="s">
        <v>461</v>
      </c>
      <c r="FX2597" s="1" t="s">
        <v>246</v>
      </c>
      <c r="FZ2597" s="1" t="s">
        <v>229</v>
      </c>
      <c r="GA2597" s="1" t="s">
        <v>291</v>
      </c>
      <c r="GB2597" s="2">
        <v>42108.0</v>
      </c>
      <c r="GC2597" s="1" t="s">
        <v>23289</v>
      </c>
    </row>
    <row r="2598">
      <c r="A2598" s="1">
        <v>379000.0</v>
      </c>
      <c r="B2598" s="1" t="s">
        <v>185</v>
      </c>
      <c r="C2598" s="1" t="str">
        <f>"08820669"</f>
        <v>08820669</v>
      </c>
      <c r="D2598" s="1" t="s">
        <v>186</v>
      </c>
      <c r="F2598" s="1" t="str">
        <f>"134"</f>
        <v>134</v>
      </c>
      <c r="G2598" s="2">
        <v>42025.0</v>
      </c>
      <c r="H2598" s="1">
        <v>389900.0</v>
      </c>
      <c r="I2598" s="1">
        <v>94.0</v>
      </c>
      <c r="J2598" s="1">
        <v>389900.0</v>
      </c>
      <c r="K2598" s="2">
        <v>42047.0</v>
      </c>
      <c r="L2598" s="1">
        <v>23.0</v>
      </c>
      <c r="M2598" s="2">
        <v>42047.0</v>
      </c>
      <c r="N2598" s="1" t="s">
        <v>356</v>
      </c>
      <c r="O2598" s="2">
        <v>42093.0</v>
      </c>
      <c r="P2598" s="1">
        <v>1602.0</v>
      </c>
      <c r="Q2598" s="1">
        <v>49.0</v>
      </c>
      <c r="S2598" s="1" t="s">
        <v>23290</v>
      </c>
      <c r="T2598" s="1" t="s">
        <v>14107</v>
      </c>
      <c r="U2598" s="1" t="s">
        <v>1174</v>
      </c>
      <c r="V2598" s="1" t="s">
        <v>421</v>
      </c>
      <c r="W2598" s="1">
        <v>60134.0</v>
      </c>
      <c r="Y2598" s="1" t="s">
        <v>23291</v>
      </c>
      <c r="Z2598" s="1">
        <v>2002.0</v>
      </c>
      <c r="AA2598" s="1" t="s">
        <v>200</v>
      </c>
      <c r="AB2598" s="1" t="s">
        <v>193</v>
      </c>
      <c r="AC2598" s="1" t="s">
        <v>7406</v>
      </c>
      <c r="AD2598" s="1" t="s">
        <v>1089</v>
      </c>
      <c r="AE2598" s="1" t="s">
        <v>325</v>
      </c>
      <c r="AF2598" s="1" t="s">
        <v>1479</v>
      </c>
      <c r="AH2598" s="1">
        <v>13164.0</v>
      </c>
      <c r="AK2598" s="1">
        <v>9.0</v>
      </c>
      <c r="AL2598" s="1">
        <v>4.0</v>
      </c>
      <c r="AM2598" s="1">
        <v>2.0</v>
      </c>
      <c r="AN2598" s="1">
        <v>2.0</v>
      </c>
      <c r="AO2598" s="1" t="s">
        <v>198</v>
      </c>
      <c r="AP2598" s="1">
        <v>1.0</v>
      </c>
      <c r="AQ2598" s="1" t="s">
        <v>257</v>
      </c>
      <c r="AR2598" s="1" t="s">
        <v>192</v>
      </c>
      <c r="AS2598" s="1" t="s">
        <v>199</v>
      </c>
      <c r="AT2598" s="1">
        <v>2.0</v>
      </c>
      <c r="AV2598" s="1" t="s">
        <v>200</v>
      </c>
      <c r="AW2598" s="1">
        <v>10720.0</v>
      </c>
      <c r="AX2598" s="1">
        <v>2013.0</v>
      </c>
      <c r="AY2598" s="1" t="s">
        <v>387</v>
      </c>
      <c r="AZ2598" s="1" t="s">
        <v>200</v>
      </c>
      <c r="BA2598" s="1" t="str">
        <f>"1112379002"</f>
        <v>1112379002</v>
      </c>
      <c r="BB2598" s="1" t="s">
        <v>200</v>
      </c>
      <c r="BC2598" s="1">
        <v>2603.0</v>
      </c>
      <c r="BD2598" s="1">
        <v>379000.0</v>
      </c>
      <c r="BE2598" s="2">
        <v>42025.0</v>
      </c>
      <c r="BF2598" s="2" t="s">
        <v>23292</v>
      </c>
      <c r="BH2598" s="1">
        <v>0.0</v>
      </c>
      <c r="BK2598" s="1" t="s">
        <v>204</v>
      </c>
      <c r="BL2598" s="1" t="str">
        <f t="shared" ref="BL2598:BM2598" si="1697">""</f>
        <v/>
      </c>
      <c r="BM2598" s="1" t="str">
        <f t="shared" si="1697"/>
        <v/>
      </c>
      <c r="BQ2598" s="1">
        <v>304.0</v>
      </c>
      <c r="BR2598" s="1">
        <v>304.0</v>
      </c>
      <c r="BS2598" s="1">
        <v>304.0</v>
      </c>
      <c r="BV2598" s="1" t="s">
        <v>204</v>
      </c>
      <c r="BY2598" s="1" t="s">
        <v>743</v>
      </c>
      <c r="BZ2598" s="1" t="s">
        <v>209</v>
      </c>
      <c r="CA2598" s="1" t="s">
        <v>210</v>
      </c>
      <c r="CB2598" s="1" t="s">
        <v>431</v>
      </c>
      <c r="CC2598" s="1" t="s">
        <v>363</v>
      </c>
      <c r="CD2598" s="1" t="s">
        <v>206</v>
      </c>
      <c r="CE2598" s="1" t="s">
        <v>207</v>
      </c>
      <c r="CF2598" s="1" t="s">
        <v>431</v>
      </c>
      <c r="CG2598" s="1" t="s">
        <v>432</v>
      </c>
      <c r="CH2598" s="1" t="s">
        <v>209</v>
      </c>
      <c r="CI2598" s="1" t="s">
        <v>210</v>
      </c>
      <c r="CJ2598" s="1" t="s">
        <v>431</v>
      </c>
      <c r="CK2598" s="1" t="s">
        <v>212</v>
      </c>
      <c r="CL2598" s="1" t="s">
        <v>209</v>
      </c>
      <c r="CM2598" s="1" t="s">
        <v>210</v>
      </c>
      <c r="CN2598" s="1" t="s">
        <v>431</v>
      </c>
      <c r="CO2598" s="1" t="s">
        <v>215</v>
      </c>
      <c r="CP2598" s="1" t="s">
        <v>209</v>
      </c>
      <c r="CQ2598" s="1" t="s">
        <v>210</v>
      </c>
      <c r="CR2598" s="1" t="s">
        <v>431</v>
      </c>
      <c r="CS2598" s="1" t="s">
        <v>3539</v>
      </c>
      <c r="CT2598" s="1" t="s">
        <v>206</v>
      </c>
      <c r="CU2598" s="1" t="s">
        <v>207</v>
      </c>
      <c r="CV2598" s="1" t="s">
        <v>431</v>
      </c>
      <c r="CW2598" s="1" t="s">
        <v>334</v>
      </c>
      <c r="CX2598" s="1" t="s">
        <v>206</v>
      </c>
      <c r="CY2598" s="1" t="s">
        <v>207</v>
      </c>
      <c r="CZ2598" s="1" t="s">
        <v>431</v>
      </c>
      <c r="DA2598" s="1" t="s">
        <v>200</v>
      </c>
      <c r="DC2598" s="1" t="s">
        <v>335</v>
      </c>
      <c r="DD2598" s="1" t="s">
        <v>786</v>
      </c>
      <c r="DE2598" s="1" t="s">
        <v>273</v>
      </c>
      <c r="DF2598" s="1" t="s">
        <v>619</v>
      </c>
      <c r="DG2598" s="1" t="s">
        <v>11866</v>
      </c>
      <c r="DH2598" s="1" t="s">
        <v>1603</v>
      </c>
      <c r="DI2598" s="1" t="s">
        <v>2257</v>
      </c>
      <c r="DJ2598" s="1" t="s">
        <v>222</v>
      </c>
      <c r="DL2598" s="1" t="s">
        <v>224</v>
      </c>
      <c r="DM2598" s="1" t="s">
        <v>929</v>
      </c>
      <c r="DN2598" s="1" t="s">
        <v>1023</v>
      </c>
      <c r="DO2598" s="1" t="s">
        <v>8850</v>
      </c>
      <c r="DP2598" s="1" t="s">
        <v>340</v>
      </c>
      <c r="DQ2598" s="1" t="s">
        <v>441</v>
      </c>
      <c r="DR2598" s="1" t="s">
        <v>229</v>
      </c>
      <c r="DV2598" s="1" t="s">
        <v>20485</v>
      </c>
      <c r="DW2598" s="1" t="s">
        <v>233</v>
      </c>
      <c r="DX2598" s="1" t="s">
        <v>234</v>
      </c>
      <c r="DY2598" s="1" t="s">
        <v>490</v>
      </c>
      <c r="DZ2598" s="1" t="s">
        <v>4077</v>
      </c>
      <c r="EA2598" s="1" t="s">
        <v>447</v>
      </c>
      <c r="EB2598" s="1" t="s">
        <v>492</v>
      </c>
      <c r="EC2598" s="1" t="s">
        <v>237</v>
      </c>
      <c r="EG2598" s="1" t="s">
        <v>598</v>
      </c>
      <c r="EH2598" s="1" t="s">
        <v>451</v>
      </c>
      <c r="EL2598" s="1" t="s">
        <v>215</v>
      </c>
      <c r="EM2598" s="1" t="s">
        <v>206</v>
      </c>
      <c r="EN2598" s="1" t="s">
        <v>210</v>
      </c>
      <c r="EP2598" s="1" t="s">
        <v>9656</v>
      </c>
      <c r="EQ2598" s="1" t="s">
        <v>42</v>
      </c>
      <c r="ER2598" s="1" t="s">
        <v>210</v>
      </c>
      <c r="EU2598" s="1" t="s">
        <v>238</v>
      </c>
      <c r="EY2598" s="1" t="s">
        <v>238</v>
      </c>
      <c r="FC2598" s="1" t="s">
        <v>238</v>
      </c>
      <c r="FF2598" s="1" t="s">
        <v>239</v>
      </c>
      <c r="FG2598" s="1" t="s">
        <v>200</v>
      </c>
      <c r="FH2598" s="1" t="s">
        <v>192</v>
      </c>
      <c r="FJ2598" s="1" t="s">
        <v>624</v>
      </c>
      <c r="FK2598" s="1" t="s">
        <v>229</v>
      </c>
      <c r="FL2598" s="1" t="s">
        <v>4700</v>
      </c>
      <c r="FM2598" s="1">
        <v>107.0</v>
      </c>
      <c r="FN2598" s="1" t="s">
        <v>4701</v>
      </c>
      <c r="FO2598" s="1" t="s">
        <v>4702</v>
      </c>
      <c r="FP2598" s="1">
        <v>8798.0</v>
      </c>
      <c r="FQ2598" s="1" t="s">
        <v>4703</v>
      </c>
      <c r="FU2598" s="1" t="s">
        <v>15858</v>
      </c>
      <c r="FV2598" s="1" t="s">
        <v>200</v>
      </c>
      <c r="FW2598" s="1" t="s">
        <v>290</v>
      </c>
      <c r="FZ2598" s="1" t="s">
        <v>229</v>
      </c>
      <c r="GA2598" s="1" t="s">
        <v>291</v>
      </c>
      <c r="GB2598" s="2">
        <v>42093.0</v>
      </c>
      <c r="GC2598" s="1" t="s">
        <v>23293</v>
      </c>
    </row>
    <row r="2599">
      <c r="A2599" s="1">
        <v>272000.0</v>
      </c>
      <c r="B2599" s="1" t="s">
        <v>185</v>
      </c>
      <c r="C2599" s="1" t="str">
        <f>"08825799"</f>
        <v>08825799</v>
      </c>
      <c r="D2599" s="1" t="s">
        <v>186</v>
      </c>
      <c r="F2599" s="1" t="str">
        <f>"542"</f>
        <v>542</v>
      </c>
      <c r="G2599" s="2">
        <v>42032.0</v>
      </c>
      <c r="H2599" s="1">
        <v>299900.0</v>
      </c>
      <c r="I2599" s="1">
        <v>55.0</v>
      </c>
      <c r="J2599" s="1">
        <v>289990.0</v>
      </c>
      <c r="K2599" s="2">
        <v>42086.0</v>
      </c>
      <c r="L2599" s="1">
        <v>55.0</v>
      </c>
      <c r="M2599" s="2">
        <v>42086.0</v>
      </c>
      <c r="N2599" s="1" t="s">
        <v>356</v>
      </c>
      <c r="O2599" s="2">
        <v>42128.0</v>
      </c>
      <c r="P2599" s="1">
        <v>8171.0</v>
      </c>
      <c r="Q2599" s="1">
        <v>31580.0</v>
      </c>
      <c r="S2599" s="1">
        <v>545.0</v>
      </c>
      <c r="T2599" s="1" t="s">
        <v>23294</v>
      </c>
      <c r="U2599" s="1" t="s">
        <v>1174</v>
      </c>
      <c r="V2599" s="1" t="s">
        <v>3984</v>
      </c>
      <c r="W2599" s="1">
        <v>60542.0</v>
      </c>
      <c r="Y2599" s="1" t="s">
        <v>23295</v>
      </c>
      <c r="Z2599" s="1">
        <v>2002.0</v>
      </c>
      <c r="AA2599" s="1" t="s">
        <v>200</v>
      </c>
      <c r="AB2599" s="1" t="s">
        <v>193</v>
      </c>
      <c r="AC2599" s="1" t="s">
        <v>23296</v>
      </c>
      <c r="AD2599" s="1" t="s">
        <v>3986</v>
      </c>
      <c r="AE2599" s="1" t="s">
        <v>325</v>
      </c>
      <c r="AF2599" s="1" t="s">
        <v>3826</v>
      </c>
      <c r="AG2599" s="1" t="s">
        <v>23297</v>
      </c>
      <c r="AH2599" s="1" t="s">
        <v>23298</v>
      </c>
      <c r="AI2599" s="1">
        <v>0.1891</v>
      </c>
      <c r="AK2599" s="1">
        <v>10.0</v>
      </c>
      <c r="AL2599" s="1">
        <v>4.0</v>
      </c>
      <c r="AM2599" s="1">
        <v>2.0</v>
      </c>
      <c r="AN2599" s="1">
        <v>1.0</v>
      </c>
      <c r="AO2599" s="1" t="s">
        <v>198</v>
      </c>
      <c r="AP2599" s="1">
        <v>1.0</v>
      </c>
      <c r="AQ2599" s="1" t="s">
        <v>1314</v>
      </c>
      <c r="AR2599" s="1" t="s">
        <v>200</v>
      </c>
      <c r="AS2599" s="1" t="s">
        <v>199</v>
      </c>
      <c r="AT2599" s="1">
        <v>2.0</v>
      </c>
      <c r="AV2599" s="1" t="s">
        <v>200</v>
      </c>
      <c r="AW2599" s="1">
        <v>8379.48</v>
      </c>
      <c r="AX2599" s="1">
        <v>2013.0</v>
      </c>
      <c r="AY2599" s="1" t="s">
        <v>387</v>
      </c>
      <c r="AZ2599" s="1" t="s">
        <v>200</v>
      </c>
      <c r="BA2599" s="1" t="str">
        <f>"1503206014"</f>
        <v>1503206014</v>
      </c>
      <c r="BB2599" s="1" t="s">
        <v>200</v>
      </c>
      <c r="BC2599" s="1">
        <v>2918.0</v>
      </c>
      <c r="BD2599" s="1">
        <v>272000.0</v>
      </c>
      <c r="BE2599" s="2">
        <v>42032.0</v>
      </c>
      <c r="BF2599" s="2" t="s">
        <v>23299</v>
      </c>
      <c r="BG2599" s="1" t="s">
        <v>4059</v>
      </c>
      <c r="BH2599" s="1">
        <v>300.0</v>
      </c>
      <c r="BI2599" s="1" t="s">
        <v>4421</v>
      </c>
      <c r="BJ2599" s="1" t="s">
        <v>3831</v>
      </c>
      <c r="BK2599" s="1" t="s">
        <v>580</v>
      </c>
      <c r="BL2599" s="1" t="str">
        <f t="shared" ref="BL2599:BM2599" si="1698">"0"</f>
        <v>0</v>
      </c>
      <c r="BM2599" s="1" t="str">
        <f t="shared" si="1698"/>
        <v>0</v>
      </c>
      <c r="BN2599" s="1">
        <v>35.0</v>
      </c>
      <c r="BO2599" s="1">
        <v>4.0</v>
      </c>
      <c r="BQ2599" s="1">
        <v>129.0</v>
      </c>
      <c r="BR2599" s="1">
        <v>129.0</v>
      </c>
      <c r="BS2599" s="1">
        <v>129.0</v>
      </c>
      <c r="BU2599" s="1" t="s">
        <v>758</v>
      </c>
      <c r="BV2599" s="1" t="s">
        <v>206</v>
      </c>
      <c r="BW2599" s="1" t="s">
        <v>210</v>
      </c>
      <c r="BX2599" s="1" t="s">
        <v>239</v>
      </c>
      <c r="BY2599" s="1" t="s">
        <v>260</v>
      </c>
      <c r="BZ2599" s="1" t="s">
        <v>209</v>
      </c>
      <c r="CA2599" s="1" t="s">
        <v>210</v>
      </c>
      <c r="CB2599" s="1" t="s">
        <v>239</v>
      </c>
      <c r="CC2599" s="1" t="s">
        <v>433</v>
      </c>
      <c r="CD2599" s="1" t="s">
        <v>206</v>
      </c>
      <c r="CE2599" s="1" t="s">
        <v>210</v>
      </c>
      <c r="CF2599" s="1" t="s">
        <v>239</v>
      </c>
      <c r="CG2599" s="1" t="s">
        <v>433</v>
      </c>
      <c r="CH2599" s="1" t="s">
        <v>209</v>
      </c>
      <c r="CI2599" s="1" t="s">
        <v>210</v>
      </c>
      <c r="CJ2599" s="1" t="s">
        <v>239</v>
      </c>
      <c r="CK2599" s="1" t="s">
        <v>215</v>
      </c>
      <c r="CL2599" s="1" t="s">
        <v>209</v>
      </c>
      <c r="CM2599" s="1" t="s">
        <v>210</v>
      </c>
      <c r="CN2599" s="1" t="s">
        <v>239</v>
      </c>
      <c r="CO2599" s="1" t="s">
        <v>212</v>
      </c>
      <c r="CP2599" s="1" t="s">
        <v>209</v>
      </c>
      <c r="CQ2599" s="1" t="s">
        <v>210</v>
      </c>
      <c r="CR2599" s="1" t="s">
        <v>239</v>
      </c>
      <c r="CS2599" s="1" t="s">
        <v>3387</v>
      </c>
      <c r="CT2599" s="1" t="s">
        <v>206</v>
      </c>
      <c r="CU2599" s="1" t="s">
        <v>207</v>
      </c>
      <c r="CV2599" s="1" t="s">
        <v>239</v>
      </c>
      <c r="CW2599" s="1" t="s">
        <v>544</v>
      </c>
      <c r="CX2599" s="1" t="s">
        <v>206</v>
      </c>
      <c r="CY2599" s="1" t="s">
        <v>210</v>
      </c>
      <c r="CZ2599" s="1" t="s">
        <v>239</v>
      </c>
      <c r="DA2599" s="1" t="s">
        <v>200</v>
      </c>
      <c r="DC2599" s="1" t="s">
        <v>335</v>
      </c>
      <c r="DD2599" s="1" t="s">
        <v>336</v>
      </c>
      <c r="DE2599" s="1" t="s">
        <v>273</v>
      </c>
      <c r="DF2599" s="1" t="s">
        <v>219</v>
      </c>
      <c r="DG2599" s="1" t="s">
        <v>2747</v>
      </c>
      <c r="DH2599" s="1" t="s">
        <v>220</v>
      </c>
      <c r="DI2599" s="1" t="s">
        <v>2257</v>
      </c>
      <c r="DJ2599" s="1" t="s">
        <v>1048</v>
      </c>
      <c r="DK2599" s="1" t="s">
        <v>223</v>
      </c>
      <c r="DL2599" s="1" t="s">
        <v>223</v>
      </c>
      <c r="DM2599" s="1" t="s">
        <v>338</v>
      </c>
      <c r="DN2599" s="1" t="s">
        <v>439</v>
      </c>
      <c r="DO2599" s="1" t="s">
        <v>23300</v>
      </c>
      <c r="DP2599" s="1" t="s">
        <v>340</v>
      </c>
      <c r="DQ2599" s="1" t="s">
        <v>228</v>
      </c>
      <c r="DR2599" s="1" t="s">
        <v>588</v>
      </c>
      <c r="DS2599" s="1" t="s">
        <v>368</v>
      </c>
      <c r="DU2599" s="1" t="s">
        <v>17472</v>
      </c>
      <c r="DV2599" s="1" t="s">
        <v>23301</v>
      </c>
      <c r="DW2599" s="1" t="s">
        <v>444</v>
      </c>
      <c r="DX2599" s="1" t="s">
        <v>234</v>
      </c>
      <c r="DY2599" s="1" t="s">
        <v>490</v>
      </c>
      <c r="DZ2599" s="1" t="s">
        <v>23302</v>
      </c>
      <c r="EB2599" s="1" t="s">
        <v>2915</v>
      </c>
      <c r="EC2599" s="1" t="s">
        <v>237</v>
      </c>
      <c r="ED2599" s="1" t="s">
        <v>407</v>
      </c>
      <c r="EG2599" s="1" t="s">
        <v>598</v>
      </c>
      <c r="EH2599" s="1" t="s">
        <v>408</v>
      </c>
      <c r="EK2599" s="1" t="s">
        <v>1121</v>
      </c>
      <c r="EL2599" s="1" t="s">
        <v>215</v>
      </c>
      <c r="EM2599" s="1" t="s">
        <v>206</v>
      </c>
      <c r="EN2599" s="1" t="s">
        <v>210</v>
      </c>
      <c r="EO2599" s="1" t="s">
        <v>239</v>
      </c>
      <c r="EP2599" s="1" t="s">
        <v>332</v>
      </c>
      <c r="EQ2599" s="1" t="s">
        <v>206</v>
      </c>
      <c r="ER2599" s="1" t="s">
        <v>207</v>
      </c>
      <c r="ES2599" s="1" t="s">
        <v>239</v>
      </c>
      <c r="EU2599" s="1" t="s">
        <v>238</v>
      </c>
      <c r="EY2599" s="1" t="s">
        <v>238</v>
      </c>
      <c r="FB2599" s="1" t="s">
        <v>758</v>
      </c>
      <c r="FC2599" s="1" t="s">
        <v>209</v>
      </c>
      <c r="FD2599" s="1" t="s">
        <v>210</v>
      </c>
      <c r="FE2599" s="1" t="s">
        <v>239</v>
      </c>
      <c r="FF2599" s="1" t="s">
        <v>239</v>
      </c>
      <c r="FG2599" s="1" t="s">
        <v>192</v>
      </c>
      <c r="FH2599" s="1" t="s">
        <v>192</v>
      </c>
      <c r="FJ2599" s="1" t="s">
        <v>770</v>
      </c>
      <c r="FK2599" s="1" t="s">
        <v>229</v>
      </c>
      <c r="FL2599" s="1" t="s">
        <v>6918</v>
      </c>
      <c r="FM2599" s="1">
        <v>31580.0</v>
      </c>
      <c r="FN2599" s="1" t="s">
        <v>6919</v>
      </c>
      <c r="FO2599" s="1" t="s">
        <v>17601</v>
      </c>
      <c r="FP2599" s="1">
        <v>315844.0</v>
      </c>
      <c r="FQ2599" s="1" t="s">
        <v>17602</v>
      </c>
      <c r="FS2599" s="1" t="s">
        <v>17603</v>
      </c>
      <c r="FU2599" s="1" t="s">
        <v>1845</v>
      </c>
      <c r="FV2599" s="1" t="s">
        <v>200</v>
      </c>
      <c r="FW2599" s="1" t="s">
        <v>290</v>
      </c>
      <c r="FZ2599" s="1" t="s">
        <v>229</v>
      </c>
      <c r="GA2599" s="1" t="s">
        <v>291</v>
      </c>
      <c r="GB2599" s="2">
        <v>42129.0</v>
      </c>
      <c r="GC2599" s="1" t="s">
        <v>23303</v>
      </c>
    </row>
    <row r="2600">
      <c r="A2600" s="1">
        <v>260000.0</v>
      </c>
      <c r="B2600" s="1" t="s">
        <v>185</v>
      </c>
      <c r="C2600" s="1" t="str">
        <f>"08820738"</f>
        <v>08820738</v>
      </c>
      <c r="D2600" s="1" t="s">
        <v>186</v>
      </c>
      <c r="F2600" s="1" t="str">
        <f>"8017"</f>
        <v>8017</v>
      </c>
      <c r="G2600" s="2">
        <v>42025.0</v>
      </c>
      <c r="H2600" s="1">
        <v>279900.0</v>
      </c>
      <c r="I2600" s="1">
        <v>114.0</v>
      </c>
      <c r="J2600" s="1">
        <v>279900.0</v>
      </c>
      <c r="K2600" s="2">
        <v>42038.0</v>
      </c>
      <c r="L2600" s="1">
        <v>14.0</v>
      </c>
      <c r="M2600" s="2">
        <v>42038.0</v>
      </c>
      <c r="N2600" s="1" t="s">
        <v>249</v>
      </c>
      <c r="O2600" s="2">
        <v>42060.0</v>
      </c>
      <c r="P2600" s="1">
        <v>82289.0</v>
      </c>
      <c r="Q2600" s="1">
        <v>8096.0</v>
      </c>
      <c r="S2600" s="1">
        <v>3717.0</v>
      </c>
      <c r="T2600" s="1" t="s">
        <v>23304</v>
      </c>
      <c r="U2600" s="1" t="s">
        <v>189</v>
      </c>
      <c r="V2600" s="1" t="s">
        <v>190</v>
      </c>
      <c r="W2600" s="1">
        <v>60634.0</v>
      </c>
      <c r="Y2600" s="1" t="s">
        <v>23305</v>
      </c>
      <c r="Z2600" s="1">
        <v>1953.0</v>
      </c>
      <c r="AA2600" s="1" t="s">
        <v>192</v>
      </c>
      <c r="AB2600" s="1" t="s">
        <v>193</v>
      </c>
      <c r="AC2600" s="1" t="s">
        <v>23306</v>
      </c>
      <c r="AD2600" s="1" t="s">
        <v>194</v>
      </c>
      <c r="AE2600" s="1" t="s">
        <v>195</v>
      </c>
      <c r="AF2600" s="1" t="s">
        <v>196</v>
      </c>
      <c r="AH2600" s="1" t="s">
        <v>4463</v>
      </c>
      <c r="AI2600" s="1">
        <v>0.1301</v>
      </c>
      <c r="AK2600" s="1">
        <v>9.0</v>
      </c>
      <c r="AL2600" s="1">
        <v>4.0</v>
      </c>
      <c r="AM2600" s="1">
        <v>2.0</v>
      </c>
      <c r="AN2600" s="1">
        <v>0.0</v>
      </c>
      <c r="AO2600" s="1" t="s">
        <v>229</v>
      </c>
      <c r="AQ2600" s="1" t="s">
        <v>198</v>
      </c>
      <c r="AR2600" s="1" t="s">
        <v>200</v>
      </c>
      <c r="AS2600" s="1" t="s">
        <v>199</v>
      </c>
      <c r="AT2600" s="1">
        <v>2.0</v>
      </c>
      <c r="AV2600" s="1" t="s">
        <v>200</v>
      </c>
      <c r="AW2600" s="6">
        <v>4736.0</v>
      </c>
      <c r="AX2600" s="1">
        <v>2013.0</v>
      </c>
      <c r="AY2600" s="1" t="s">
        <v>229</v>
      </c>
      <c r="AZ2600" s="1" t="s">
        <v>200</v>
      </c>
      <c r="BA2600" s="1" t="str">
        <f>"13191210100000"</f>
        <v>13191210100000</v>
      </c>
      <c r="BC2600" s="1">
        <v>0.0</v>
      </c>
      <c r="BD2600" s="1">
        <v>260000.0</v>
      </c>
      <c r="BE2600" s="2">
        <v>42025.0</v>
      </c>
      <c r="BF2600" s="2" t="s">
        <v>23307</v>
      </c>
      <c r="BH2600" s="1">
        <v>0.0</v>
      </c>
      <c r="BK2600" s="1" t="s">
        <v>204</v>
      </c>
      <c r="BL2600" s="1" t="str">
        <f>"3717"</f>
        <v>3717</v>
      </c>
      <c r="BM2600" s="1" t="str">
        <f t="shared" ref="BM2600:BM2601" si="1699">"0"</f>
        <v>0</v>
      </c>
      <c r="BN2600" s="1">
        <v>7000.0</v>
      </c>
      <c r="BO2600" s="1">
        <v>0.0</v>
      </c>
      <c r="BQ2600" s="1">
        <v>299.0</v>
      </c>
      <c r="BR2600" s="1">
        <v>299.0</v>
      </c>
      <c r="BS2600" s="1">
        <v>299.0</v>
      </c>
      <c r="BU2600" s="1" t="s">
        <v>205</v>
      </c>
      <c r="BV2600" s="1" t="s">
        <v>206</v>
      </c>
      <c r="BW2600" s="1" t="s">
        <v>210</v>
      </c>
      <c r="BX2600" s="1" t="s">
        <v>239</v>
      </c>
      <c r="BY2600" s="1" t="s">
        <v>212</v>
      </c>
      <c r="BZ2600" s="1" t="s">
        <v>206</v>
      </c>
      <c r="CA2600" s="1" t="s">
        <v>207</v>
      </c>
      <c r="CB2600" s="1" t="s">
        <v>239</v>
      </c>
      <c r="CD2600" s="1" t="s">
        <v>204</v>
      </c>
      <c r="CF2600" s="1" t="s">
        <v>229</v>
      </c>
      <c r="CG2600" s="1" t="s">
        <v>699</v>
      </c>
      <c r="CH2600" s="1" t="s">
        <v>206</v>
      </c>
      <c r="CI2600" s="1" t="s">
        <v>207</v>
      </c>
      <c r="CJ2600" s="1" t="s">
        <v>239</v>
      </c>
      <c r="CK2600" s="1" t="s">
        <v>497</v>
      </c>
      <c r="CL2600" s="1" t="s">
        <v>209</v>
      </c>
      <c r="CM2600" s="1" t="s">
        <v>207</v>
      </c>
      <c r="CN2600" s="1" t="s">
        <v>239</v>
      </c>
      <c r="CO2600" s="1" t="s">
        <v>495</v>
      </c>
      <c r="CP2600" s="1" t="s">
        <v>209</v>
      </c>
      <c r="CQ2600" s="1" t="s">
        <v>207</v>
      </c>
      <c r="CR2600" s="1" t="s">
        <v>239</v>
      </c>
      <c r="CS2600" s="1" t="s">
        <v>211</v>
      </c>
      <c r="CT2600" s="1" t="s">
        <v>206</v>
      </c>
      <c r="CU2600" s="1" t="s">
        <v>617</v>
      </c>
      <c r="CV2600" s="1" t="s">
        <v>239</v>
      </c>
      <c r="CW2600" s="1" t="s">
        <v>454</v>
      </c>
      <c r="CX2600" s="1" t="s">
        <v>209</v>
      </c>
      <c r="CY2600" s="1" t="s">
        <v>210</v>
      </c>
      <c r="CZ2600" s="1" t="s">
        <v>239</v>
      </c>
      <c r="DA2600" s="1" t="s">
        <v>200</v>
      </c>
      <c r="DC2600" s="1" t="s">
        <v>702</v>
      </c>
      <c r="DD2600" s="1" t="s">
        <v>518</v>
      </c>
      <c r="DE2600" s="1" t="s">
        <v>1905</v>
      </c>
      <c r="DF2600" s="1" t="s">
        <v>4120</v>
      </c>
      <c r="DG2600" s="1" t="s">
        <v>337</v>
      </c>
      <c r="DH2600" s="1" t="s">
        <v>307</v>
      </c>
      <c r="DI2600" s="1" t="s">
        <v>1401</v>
      </c>
      <c r="DJ2600" s="1" t="s">
        <v>222</v>
      </c>
      <c r="DL2600" s="1" t="s">
        <v>223</v>
      </c>
      <c r="DM2600" s="1" t="s">
        <v>229</v>
      </c>
      <c r="DO2600" s="1" t="s">
        <v>549</v>
      </c>
      <c r="DQ2600" s="1" t="s">
        <v>228</v>
      </c>
      <c r="DR2600" s="1" t="s">
        <v>229</v>
      </c>
      <c r="DS2600" s="1" t="s">
        <v>230</v>
      </c>
      <c r="DU2600" s="1" t="s">
        <v>1840</v>
      </c>
      <c r="DV2600" s="1" t="s">
        <v>23308</v>
      </c>
      <c r="DW2600" s="1" t="s">
        <v>279</v>
      </c>
      <c r="DX2600" s="1" t="s">
        <v>234</v>
      </c>
      <c r="DY2600" s="1" t="s">
        <v>553</v>
      </c>
      <c r="DZ2600" s="1" t="s">
        <v>236</v>
      </c>
      <c r="EA2600" s="1" t="s">
        <v>257</v>
      </c>
      <c r="EC2600" s="1" t="s">
        <v>237</v>
      </c>
      <c r="ED2600" s="1" t="s">
        <v>407</v>
      </c>
      <c r="EG2600" s="1" t="s">
        <v>450</v>
      </c>
      <c r="EH2600" s="1" t="s">
        <v>1407</v>
      </c>
      <c r="EI2600" s="1" t="s">
        <v>374</v>
      </c>
      <c r="EL2600" s="1" t="s">
        <v>23309</v>
      </c>
      <c r="EM2600" s="1" t="s">
        <v>42</v>
      </c>
      <c r="EO2600" s="1" t="s">
        <v>229</v>
      </c>
      <c r="EP2600" s="1" t="s">
        <v>215</v>
      </c>
      <c r="EQ2600" s="1" t="s">
        <v>209</v>
      </c>
      <c r="ER2600" s="1" t="s">
        <v>617</v>
      </c>
      <c r="ES2600" s="1" t="s">
        <v>239</v>
      </c>
      <c r="ET2600" s="1" t="s">
        <v>12670</v>
      </c>
      <c r="EU2600" s="1" t="s">
        <v>206</v>
      </c>
      <c r="EV2600" s="1" t="s">
        <v>210</v>
      </c>
      <c r="EW2600" s="1" t="s">
        <v>239</v>
      </c>
      <c r="EY2600" s="1" t="s">
        <v>238</v>
      </c>
      <c r="FC2600" s="1" t="s">
        <v>238</v>
      </c>
      <c r="FF2600" s="1" t="s">
        <v>239</v>
      </c>
      <c r="FG2600" s="1" t="s">
        <v>192</v>
      </c>
      <c r="FH2600" s="1" t="s">
        <v>192</v>
      </c>
      <c r="FJ2600" s="1" t="s">
        <v>2133</v>
      </c>
      <c r="FK2600" s="1" t="s">
        <v>229</v>
      </c>
      <c r="FL2600" s="1" t="s">
        <v>23310</v>
      </c>
      <c r="FM2600" s="1">
        <v>8815.0</v>
      </c>
      <c r="FN2600" s="1" t="s">
        <v>23311</v>
      </c>
      <c r="FO2600" s="1" t="s">
        <v>23312</v>
      </c>
      <c r="FP2600" s="1">
        <v>82946.0</v>
      </c>
      <c r="FQ2600" s="1" t="s">
        <v>23313</v>
      </c>
      <c r="FU2600" s="1" t="s">
        <v>710</v>
      </c>
      <c r="FV2600" s="1" t="s">
        <v>200</v>
      </c>
      <c r="FW2600" s="1" t="s">
        <v>567</v>
      </c>
      <c r="FX2600" s="1" t="s">
        <v>238</v>
      </c>
      <c r="FZ2600" s="1" t="s">
        <v>632</v>
      </c>
      <c r="GA2600" s="1" t="s">
        <v>291</v>
      </c>
      <c r="GB2600" s="2">
        <v>42060.0</v>
      </c>
    </row>
    <row r="2601">
      <c r="A2601" s="1">
        <v>799900.0</v>
      </c>
      <c r="B2601" s="1" t="s">
        <v>185</v>
      </c>
      <c r="C2601" s="1" t="str">
        <f>"08825066"</f>
        <v>08825066</v>
      </c>
      <c r="D2601" s="1" t="s">
        <v>186</v>
      </c>
      <c r="F2601" s="1" t="str">
        <f>"8022"</f>
        <v>8022</v>
      </c>
      <c r="G2601" s="2">
        <v>42031.0</v>
      </c>
      <c r="H2601" s="1">
        <v>799900.0</v>
      </c>
      <c r="I2601" s="1">
        <v>91.0</v>
      </c>
      <c r="J2601" s="1">
        <v>799900.0</v>
      </c>
      <c r="K2601" s="2">
        <v>42047.0</v>
      </c>
      <c r="L2601" s="1">
        <v>17.0</v>
      </c>
      <c r="M2601" s="2">
        <v>42047.0</v>
      </c>
      <c r="N2601" s="1" t="s">
        <v>187</v>
      </c>
      <c r="O2601" s="2">
        <v>42130.0</v>
      </c>
      <c r="P2601" s="1">
        <v>133045.0</v>
      </c>
      <c r="Q2601" s="1">
        <v>84404.0</v>
      </c>
      <c r="S2601" s="1">
        <v>1921.0</v>
      </c>
      <c r="T2601" s="1" t="s">
        <v>1294</v>
      </c>
      <c r="U2601" s="1" t="s">
        <v>320</v>
      </c>
      <c r="V2601" s="1" t="s">
        <v>190</v>
      </c>
      <c r="W2601" s="1">
        <v>60647.0</v>
      </c>
      <c r="Y2601" s="1" t="s">
        <v>23314</v>
      </c>
      <c r="Z2601" s="1">
        <v>2014.0</v>
      </c>
      <c r="AA2601" s="1" t="s">
        <v>200</v>
      </c>
      <c r="AB2601" s="1" t="s">
        <v>193</v>
      </c>
      <c r="AD2601" s="1" t="s">
        <v>194</v>
      </c>
      <c r="AE2601" s="1" t="s">
        <v>195</v>
      </c>
      <c r="AF2601" s="1" t="s">
        <v>827</v>
      </c>
      <c r="AH2601" s="1" t="s">
        <v>23315</v>
      </c>
      <c r="AK2601" s="1">
        <v>10.0</v>
      </c>
      <c r="AL2601" s="1">
        <v>4.0</v>
      </c>
      <c r="AM2601" s="1">
        <v>3.0</v>
      </c>
      <c r="AN2601" s="1">
        <v>1.0</v>
      </c>
      <c r="AO2601" s="1" t="s">
        <v>198</v>
      </c>
      <c r="AP2601" s="1">
        <v>1.0</v>
      </c>
      <c r="AQ2601" s="1" t="s">
        <v>5726</v>
      </c>
      <c r="AR2601" s="1" t="s">
        <v>192</v>
      </c>
      <c r="AS2601" s="1" t="s">
        <v>199</v>
      </c>
      <c r="AT2601" s="1">
        <v>2.0</v>
      </c>
      <c r="AV2601" s="1" t="s">
        <v>200</v>
      </c>
      <c r="AW2601" s="1" t="s">
        <v>575</v>
      </c>
      <c r="AX2601" s="1">
        <v>2013.0</v>
      </c>
      <c r="AY2601" s="1" t="s">
        <v>229</v>
      </c>
      <c r="AZ2601" s="1" t="s">
        <v>545</v>
      </c>
      <c r="BA2601" s="1" t="str">
        <f>"13364070030000"</f>
        <v>13364070030000</v>
      </c>
      <c r="BB2601" s="1" t="s">
        <v>200</v>
      </c>
      <c r="BC2601" s="1">
        <v>0.0</v>
      </c>
      <c r="BD2601" s="1">
        <v>799900.0</v>
      </c>
      <c r="BE2601" s="2">
        <v>42031.0</v>
      </c>
      <c r="BF2601" s="2" t="s">
        <v>23316</v>
      </c>
      <c r="BH2601" s="1">
        <v>0.0</v>
      </c>
      <c r="BK2601" s="1" t="s">
        <v>204</v>
      </c>
      <c r="BL2601" s="1" t="str">
        <f>"1921"</f>
        <v>1921</v>
      </c>
      <c r="BM2601" s="1" t="str">
        <f t="shared" si="1699"/>
        <v>0</v>
      </c>
      <c r="BN2601" s="1">
        <v>2600.0</v>
      </c>
      <c r="BO2601" s="1">
        <v>0.0</v>
      </c>
      <c r="BQ2601" s="1">
        <v>299.0</v>
      </c>
      <c r="BR2601" s="1">
        <v>299.0</v>
      </c>
      <c r="BS2601" s="1">
        <v>299.0</v>
      </c>
      <c r="BU2601" s="1" t="s">
        <v>583</v>
      </c>
      <c r="BV2601" s="1" t="s">
        <v>206</v>
      </c>
      <c r="BW2601" s="1" t="s">
        <v>207</v>
      </c>
      <c r="BY2601" s="1" t="s">
        <v>214</v>
      </c>
      <c r="BZ2601" s="1" t="s">
        <v>209</v>
      </c>
      <c r="CA2601" s="1" t="s">
        <v>207</v>
      </c>
      <c r="CC2601" s="1" t="s">
        <v>542</v>
      </c>
      <c r="CD2601" s="1" t="s">
        <v>206</v>
      </c>
      <c r="CE2601" s="1" t="s">
        <v>207</v>
      </c>
      <c r="CG2601" s="1" t="s">
        <v>454</v>
      </c>
      <c r="CH2601" s="1" t="s">
        <v>209</v>
      </c>
      <c r="CI2601" s="1" t="s">
        <v>207</v>
      </c>
      <c r="CK2601" s="1" t="s">
        <v>264</v>
      </c>
      <c r="CL2601" s="1" t="s">
        <v>209</v>
      </c>
      <c r="CM2601" s="1" t="s">
        <v>207</v>
      </c>
      <c r="CO2601" s="1" t="s">
        <v>495</v>
      </c>
      <c r="CP2601" s="1" t="s">
        <v>267</v>
      </c>
      <c r="CQ2601" s="1" t="s">
        <v>210</v>
      </c>
      <c r="CS2601" s="1" t="s">
        <v>208</v>
      </c>
      <c r="CT2601" s="1" t="s">
        <v>206</v>
      </c>
      <c r="CU2601" s="1" t="s">
        <v>207</v>
      </c>
      <c r="CW2601" s="1" t="s">
        <v>924</v>
      </c>
      <c r="CX2601" s="1" t="s">
        <v>206</v>
      </c>
      <c r="CY2601" s="1" t="s">
        <v>207</v>
      </c>
      <c r="DA2601" s="1" t="s">
        <v>192</v>
      </c>
      <c r="DB2601" s="2">
        <v>42095.0</v>
      </c>
      <c r="DC2601" s="1" t="s">
        <v>744</v>
      </c>
      <c r="DD2601" s="1" t="s">
        <v>3633</v>
      </c>
      <c r="DE2601" s="1" t="s">
        <v>273</v>
      </c>
      <c r="DF2601" s="1" t="s">
        <v>219</v>
      </c>
      <c r="DG2601" s="1" t="s">
        <v>23317</v>
      </c>
      <c r="DH2601" s="1" t="s">
        <v>365</v>
      </c>
      <c r="DI2601" s="1" t="s">
        <v>732</v>
      </c>
      <c r="DJ2601" s="1" t="s">
        <v>222</v>
      </c>
      <c r="DL2601" s="1" t="s">
        <v>224</v>
      </c>
      <c r="DM2601" s="1" t="s">
        <v>1464</v>
      </c>
      <c r="DN2601" s="1" t="s">
        <v>2463</v>
      </c>
      <c r="DP2601" s="1" t="s">
        <v>276</v>
      </c>
      <c r="DQ2601" s="1" t="s">
        <v>228</v>
      </c>
      <c r="DR2601" s="1" t="s">
        <v>229</v>
      </c>
      <c r="DS2601" s="1" t="s">
        <v>230</v>
      </c>
      <c r="DV2601" s="1" t="s">
        <v>4076</v>
      </c>
      <c r="DW2601" s="1" t="s">
        <v>1026</v>
      </c>
      <c r="DX2601" s="1" t="s">
        <v>234</v>
      </c>
      <c r="DY2601" s="1" t="s">
        <v>1431</v>
      </c>
      <c r="DZ2601" s="1" t="s">
        <v>4827</v>
      </c>
      <c r="EB2601" s="1" t="s">
        <v>492</v>
      </c>
      <c r="EC2601" s="1" t="s">
        <v>237</v>
      </c>
      <c r="ED2601" s="1" t="s">
        <v>555</v>
      </c>
      <c r="EG2601" s="1" t="s">
        <v>450</v>
      </c>
      <c r="EH2601" s="1" t="s">
        <v>341</v>
      </c>
      <c r="EL2601" s="1" t="s">
        <v>329</v>
      </c>
      <c r="EM2601" s="1" t="s">
        <v>267</v>
      </c>
      <c r="EN2601" s="1" t="s">
        <v>210</v>
      </c>
      <c r="EP2601" s="1" t="s">
        <v>392</v>
      </c>
      <c r="EQ2601" s="1" t="s">
        <v>391</v>
      </c>
      <c r="ER2601" s="1" t="s">
        <v>207</v>
      </c>
      <c r="EU2601" s="1" t="s">
        <v>238</v>
      </c>
      <c r="EY2601" s="1" t="s">
        <v>238</v>
      </c>
      <c r="FC2601" s="1" t="s">
        <v>238</v>
      </c>
      <c r="FF2601" s="1" t="s">
        <v>239</v>
      </c>
      <c r="FG2601" s="1" t="s">
        <v>192</v>
      </c>
      <c r="FH2601" s="1" t="s">
        <v>192</v>
      </c>
      <c r="FJ2601" s="1" t="s">
        <v>7024</v>
      </c>
      <c r="FK2601" s="1" t="s">
        <v>229</v>
      </c>
      <c r="FL2601" s="1" t="s">
        <v>6354</v>
      </c>
      <c r="FM2601" s="1">
        <v>15191.0</v>
      </c>
      <c r="FN2601" s="1" t="s">
        <v>6355</v>
      </c>
      <c r="FO2601" s="1" t="s">
        <v>6356</v>
      </c>
      <c r="FP2601" s="1">
        <v>161581.0</v>
      </c>
      <c r="FQ2601" s="1" t="s">
        <v>6357</v>
      </c>
      <c r="FU2601" s="1" t="s">
        <v>23318</v>
      </c>
      <c r="FV2601" s="1" t="s">
        <v>200</v>
      </c>
      <c r="FW2601" s="1" t="s">
        <v>567</v>
      </c>
      <c r="FX2601" s="1" t="s">
        <v>238</v>
      </c>
      <c r="FZ2601" s="1" t="s">
        <v>229</v>
      </c>
      <c r="GA2601" s="1" t="s">
        <v>291</v>
      </c>
      <c r="GB2601" s="2">
        <v>42130.0</v>
      </c>
      <c r="GC2601" s="1" t="s">
        <v>23319</v>
      </c>
    </row>
    <row r="2602">
      <c r="A2602" s="1">
        <v>18250.0</v>
      </c>
      <c r="B2602" s="1" t="s">
        <v>185</v>
      </c>
      <c r="C2602" s="1" t="str">
        <f>"08826693"</f>
        <v>08826693</v>
      </c>
      <c r="D2602" s="1" t="s">
        <v>186</v>
      </c>
      <c r="F2602" s="1" t="str">
        <f>"8042"</f>
        <v>8042</v>
      </c>
      <c r="G2602" s="2">
        <v>42033.0</v>
      </c>
      <c r="H2602" s="1">
        <v>19900.0</v>
      </c>
      <c r="I2602" s="1">
        <v>62.0</v>
      </c>
      <c r="J2602" s="1">
        <v>18500.0</v>
      </c>
      <c r="K2602" s="2">
        <v>42094.0</v>
      </c>
      <c r="L2602" s="1">
        <v>62.0</v>
      </c>
      <c r="M2602" s="2">
        <v>42094.0</v>
      </c>
      <c r="N2602" s="1" t="s">
        <v>249</v>
      </c>
      <c r="O2602" s="2">
        <v>42121.0</v>
      </c>
      <c r="P2602" s="1">
        <v>226380.0</v>
      </c>
      <c r="Q2602" s="1">
        <v>61075.0</v>
      </c>
      <c r="S2602" s="1">
        <v>6617.0</v>
      </c>
      <c r="T2602" s="1" t="s">
        <v>8154</v>
      </c>
      <c r="U2602" s="1" t="s">
        <v>189</v>
      </c>
      <c r="V2602" s="1" t="s">
        <v>190</v>
      </c>
      <c r="W2602" s="1">
        <v>60637.0</v>
      </c>
      <c r="Y2602" s="1" t="s">
        <v>23320</v>
      </c>
      <c r="Z2602" s="1">
        <v>1923.0</v>
      </c>
      <c r="AA2602" s="1" t="s">
        <v>192</v>
      </c>
      <c r="AB2602" s="1" t="s">
        <v>193</v>
      </c>
      <c r="AD2602" s="1" t="s">
        <v>194</v>
      </c>
      <c r="AE2602" s="1" t="s">
        <v>195</v>
      </c>
      <c r="AF2602" s="1" t="s">
        <v>637</v>
      </c>
      <c r="AH2602" s="1" t="s">
        <v>359</v>
      </c>
      <c r="AK2602" s="1">
        <v>8.0</v>
      </c>
      <c r="AL2602" s="1">
        <v>4.0</v>
      </c>
      <c r="AM2602" s="1">
        <v>2.0</v>
      </c>
      <c r="AN2602" s="1">
        <v>0.0</v>
      </c>
      <c r="AO2602" s="1" t="s">
        <v>229</v>
      </c>
      <c r="AP2602" s="1">
        <v>1.0</v>
      </c>
      <c r="AQ2602" s="1" t="s">
        <v>198</v>
      </c>
      <c r="AR2602" s="1" t="s">
        <v>192</v>
      </c>
      <c r="AS2602" s="1" t="s">
        <v>229</v>
      </c>
      <c r="AV2602" s="1" t="s">
        <v>200</v>
      </c>
      <c r="AW2602" s="1">
        <v>1579.76</v>
      </c>
      <c r="AX2602" s="1">
        <v>2013.0</v>
      </c>
      <c r="AY2602" s="1" t="s">
        <v>229</v>
      </c>
      <c r="AZ2602" s="1" t="s">
        <v>200</v>
      </c>
      <c r="BA2602" s="1" t="str">
        <f>"20222280060000"</f>
        <v>20222280060000</v>
      </c>
      <c r="BB2602" s="1" t="s">
        <v>200</v>
      </c>
      <c r="BC2602" s="1">
        <v>1200.0</v>
      </c>
      <c r="BD2602" s="1">
        <v>18250.0</v>
      </c>
      <c r="BE2602" s="2">
        <v>42033.0</v>
      </c>
      <c r="BF2602" s="1" t="s">
        <v>23321</v>
      </c>
      <c r="BH2602" s="1">
        <v>0.0</v>
      </c>
      <c r="BK2602" s="1" t="s">
        <v>204</v>
      </c>
      <c r="BL2602" s="1" t="str">
        <f>"0"</f>
        <v>0</v>
      </c>
      <c r="BM2602" s="1" t="str">
        <f>"600"</f>
        <v>600</v>
      </c>
      <c r="BN2602" s="1">
        <v>0.0</v>
      </c>
      <c r="BO2602" s="1">
        <v>6617.0</v>
      </c>
      <c r="BQ2602" s="1">
        <v>299.0</v>
      </c>
      <c r="BR2602" s="1">
        <v>299.0</v>
      </c>
      <c r="BS2602" s="1">
        <v>299.0</v>
      </c>
      <c r="BU2602" s="1" t="s">
        <v>541</v>
      </c>
      <c r="BV2602" s="1" t="s">
        <v>206</v>
      </c>
      <c r="BW2602" s="1" t="s">
        <v>301</v>
      </c>
      <c r="BY2602" s="1" t="s">
        <v>1299</v>
      </c>
      <c r="BZ2602" s="1" t="s">
        <v>206</v>
      </c>
      <c r="CA2602" s="1" t="s">
        <v>210</v>
      </c>
      <c r="CC2602" s="1" t="s">
        <v>264</v>
      </c>
      <c r="CD2602" s="1" t="s">
        <v>206</v>
      </c>
      <c r="CE2602" s="1" t="s">
        <v>301</v>
      </c>
      <c r="CG2602" s="1" t="s">
        <v>332</v>
      </c>
      <c r="CH2602" s="1" t="s">
        <v>206</v>
      </c>
      <c r="CI2602" s="1" t="s">
        <v>210</v>
      </c>
      <c r="CK2602" s="1" t="s">
        <v>332</v>
      </c>
      <c r="CL2602" s="1" t="s">
        <v>209</v>
      </c>
      <c r="CM2602" s="1" t="s">
        <v>210</v>
      </c>
      <c r="CO2602" s="1" t="s">
        <v>543</v>
      </c>
      <c r="CP2602" s="1" t="s">
        <v>267</v>
      </c>
      <c r="CQ2602" s="1" t="s">
        <v>210</v>
      </c>
      <c r="CS2602" s="1" t="s">
        <v>516</v>
      </c>
      <c r="CT2602" s="1" t="s">
        <v>206</v>
      </c>
      <c r="CU2602" s="1" t="s">
        <v>301</v>
      </c>
      <c r="CW2602" s="1" t="s">
        <v>730</v>
      </c>
      <c r="CX2602" s="1" t="s">
        <v>267</v>
      </c>
      <c r="CY2602" s="1" t="s">
        <v>210</v>
      </c>
      <c r="DA2602" s="1" t="s">
        <v>200</v>
      </c>
      <c r="DC2602" s="1" t="s">
        <v>216</v>
      </c>
      <c r="DE2602" s="1" t="s">
        <v>273</v>
      </c>
      <c r="DF2602" s="1" t="s">
        <v>219</v>
      </c>
      <c r="DH2602" s="1" t="s">
        <v>365</v>
      </c>
      <c r="DJ2602" s="1" t="s">
        <v>222</v>
      </c>
      <c r="DK2602" s="1" t="s">
        <v>224</v>
      </c>
      <c r="DL2602" s="1" t="s">
        <v>986</v>
      </c>
      <c r="DM2602" s="1" t="s">
        <v>229</v>
      </c>
      <c r="DP2602" s="1" t="s">
        <v>340</v>
      </c>
      <c r="DQ2602" s="1" t="s">
        <v>228</v>
      </c>
      <c r="DR2602" s="1" t="s">
        <v>229</v>
      </c>
      <c r="DS2602" s="1" t="s">
        <v>230</v>
      </c>
      <c r="DV2602" s="1" t="s">
        <v>232</v>
      </c>
      <c r="DW2602" s="1" t="s">
        <v>279</v>
      </c>
      <c r="DX2602" s="1" t="s">
        <v>234</v>
      </c>
      <c r="EA2602" s="1" t="s">
        <v>644</v>
      </c>
      <c r="EC2602" s="1" t="s">
        <v>645</v>
      </c>
      <c r="EM2602" s="1" t="s">
        <v>238</v>
      </c>
      <c r="EQ2602" s="1" t="s">
        <v>238</v>
      </c>
      <c r="EU2602" s="1" t="s">
        <v>238</v>
      </c>
      <c r="EY2602" s="1" t="s">
        <v>238</v>
      </c>
      <c r="FC2602" s="1" t="s">
        <v>238</v>
      </c>
      <c r="FF2602" s="1" t="s">
        <v>239</v>
      </c>
      <c r="FG2602" s="1" t="s">
        <v>192</v>
      </c>
      <c r="FH2602" s="1" t="s">
        <v>192</v>
      </c>
      <c r="FJ2602" s="1" t="s">
        <v>23322</v>
      </c>
      <c r="FK2602" s="1" t="s">
        <v>229</v>
      </c>
      <c r="FL2602" s="1" t="s">
        <v>7366</v>
      </c>
      <c r="FM2602" s="1">
        <v>84674.0</v>
      </c>
      <c r="FN2602" s="1" t="s">
        <v>7367</v>
      </c>
      <c r="FO2602" s="1" t="s">
        <v>7368</v>
      </c>
      <c r="FP2602" s="1">
        <v>109817.0</v>
      </c>
      <c r="FQ2602" s="1" t="s">
        <v>7369</v>
      </c>
      <c r="FR2602" s="1">
        <v>178784.0</v>
      </c>
      <c r="FU2602" s="1" t="s">
        <v>23323</v>
      </c>
      <c r="FV2602" s="1" t="s">
        <v>200</v>
      </c>
      <c r="FW2602" s="1" t="s">
        <v>1307</v>
      </c>
      <c r="FX2602" s="1" t="s">
        <v>655</v>
      </c>
      <c r="FZ2602" s="1" t="s">
        <v>229</v>
      </c>
      <c r="GA2602" s="1" t="s">
        <v>291</v>
      </c>
      <c r="GB2602" s="2">
        <v>42121.0</v>
      </c>
      <c r="GC2602" s="1" t="s">
        <v>23324</v>
      </c>
    </row>
    <row r="2603">
      <c r="A2603" s="1">
        <v>524900.0</v>
      </c>
      <c r="B2603" s="1" t="s">
        <v>185</v>
      </c>
      <c r="C2603" s="1" t="str">
        <f>"08829809"</f>
        <v>08829809</v>
      </c>
      <c r="D2603" s="1" t="s">
        <v>186</v>
      </c>
      <c r="F2603" s="1" t="str">
        <f>"8011"</f>
        <v>8011</v>
      </c>
      <c r="G2603" s="2">
        <v>42038.0</v>
      </c>
      <c r="H2603" s="1">
        <v>524900.0</v>
      </c>
      <c r="I2603" s="1">
        <v>107.0</v>
      </c>
      <c r="J2603" s="1">
        <v>524900.0</v>
      </c>
      <c r="K2603" s="2">
        <v>42053.0</v>
      </c>
      <c r="L2603" s="1">
        <v>16.0</v>
      </c>
      <c r="M2603" s="2">
        <v>42053.0</v>
      </c>
      <c r="N2603" s="1" t="s">
        <v>187</v>
      </c>
      <c r="O2603" s="2">
        <v>42081.0</v>
      </c>
      <c r="P2603" s="1">
        <v>30124.0</v>
      </c>
      <c r="Q2603" s="1">
        <v>4110.0</v>
      </c>
      <c r="S2603" s="1">
        <v>5123.0</v>
      </c>
      <c r="T2603" s="1" t="s">
        <v>23325</v>
      </c>
      <c r="U2603" s="1" t="s">
        <v>320</v>
      </c>
      <c r="V2603" s="1" t="s">
        <v>190</v>
      </c>
      <c r="W2603" s="1">
        <v>60630.0</v>
      </c>
      <c r="Y2603" s="1" t="s">
        <v>23326</v>
      </c>
      <c r="Z2603" s="1">
        <v>2015.0</v>
      </c>
      <c r="AA2603" s="1" t="s">
        <v>200</v>
      </c>
      <c r="AB2603" s="1" t="s">
        <v>193</v>
      </c>
      <c r="AD2603" s="1" t="s">
        <v>194</v>
      </c>
      <c r="AE2603" s="1" t="s">
        <v>195</v>
      </c>
      <c r="AF2603" s="1" t="s">
        <v>196</v>
      </c>
      <c r="AH2603" s="1" t="s">
        <v>741</v>
      </c>
      <c r="AI2603" s="1">
        <v>0.0723</v>
      </c>
      <c r="AK2603" s="1">
        <v>8.0</v>
      </c>
      <c r="AL2603" s="1">
        <v>3.0</v>
      </c>
      <c r="AM2603" s="1">
        <v>3.0</v>
      </c>
      <c r="AN2603" s="1">
        <v>1.0</v>
      </c>
      <c r="AO2603" s="1" t="s">
        <v>198</v>
      </c>
      <c r="AP2603" s="1">
        <v>1.0</v>
      </c>
      <c r="AQ2603" s="1" t="s">
        <v>198</v>
      </c>
      <c r="AR2603" s="1" t="s">
        <v>192</v>
      </c>
      <c r="AS2603" s="1" t="s">
        <v>199</v>
      </c>
      <c r="AT2603" s="1">
        <v>2.0</v>
      </c>
      <c r="AV2603" s="1" t="s">
        <v>200</v>
      </c>
      <c r="AW2603" s="1" t="s">
        <v>575</v>
      </c>
      <c r="AX2603" s="1">
        <v>2013.0</v>
      </c>
      <c r="AZ2603" s="1" t="s">
        <v>200</v>
      </c>
      <c r="BA2603" s="1" t="str">
        <f>"13094160130000"</f>
        <v>13094160130000</v>
      </c>
      <c r="BC2603" s="1">
        <v>0.0</v>
      </c>
      <c r="BD2603" s="1">
        <v>524900.0</v>
      </c>
      <c r="BE2603" s="2">
        <v>42038.0</v>
      </c>
      <c r="BF2603" s="2" t="s">
        <v>23327</v>
      </c>
      <c r="BG2603" s="1" t="s">
        <v>728</v>
      </c>
      <c r="BH2603" s="1">
        <v>0.0</v>
      </c>
      <c r="BK2603" s="1" t="s">
        <v>204</v>
      </c>
      <c r="BL2603" s="1" t="str">
        <f>"5000"</f>
        <v>5000</v>
      </c>
      <c r="BM2603" s="1" t="str">
        <f>"0"</f>
        <v>0</v>
      </c>
      <c r="BN2603" s="1">
        <v>5123.0</v>
      </c>
      <c r="BO2603" s="1">
        <v>0.0</v>
      </c>
      <c r="BQ2603" s="1">
        <v>299.0</v>
      </c>
      <c r="BR2603" s="1">
        <v>299.0</v>
      </c>
      <c r="BS2603" s="1">
        <v>299.0</v>
      </c>
      <c r="BU2603" s="1" t="s">
        <v>2749</v>
      </c>
      <c r="BV2603" s="1" t="s">
        <v>206</v>
      </c>
      <c r="BW2603" s="1" t="s">
        <v>207</v>
      </c>
      <c r="BY2603" s="1" t="s">
        <v>362</v>
      </c>
      <c r="BZ2603" s="1" t="s">
        <v>209</v>
      </c>
      <c r="CA2603" s="1" t="s">
        <v>210</v>
      </c>
      <c r="CC2603" s="1" t="s">
        <v>542</v>
      </c>
      <c r="CD2603" s="1" t="s">
        <v>206</v>
      </c>
      <c r="CE2603" s="1" t="s">
        <v>207</v>
      </c>
      <c r="CG2603" s="1" t="s">
        <v>925</v>
      </c>
      <c r="CH2603" s="1" t="s">
        <v>209</v>
      </c>
      <c r="CI2603" s="1" t="s">
        <v>210</v>
      </c>
      <c r="CK2603" s="1" t="s">
        <v>363</v>
      </c>
      <c r="CL2603" s="1" t="s">
        <v>209</v>
      </c>
      <c r="CM2603" s="1" t="s">
        <v>210</v>
      </c>
      <c r="CO2603" s="1" t="s">
        <v>363</v>
      </c>
      <c r="CP2603" s="1" t="s">
        <v>42</v>
      </c>
      <c r="CQ2603" s="1" t="s">
        <v>210</v>
      </c>
      <c r="CS2603" s="1" t="s">
        <v>434</v>
      </c>
      <c r="CT2603" s="1" t="s">
        <v>206</v>
      </c>
      <c r="CU2603" s="1" t="s">
        <v>207</v>
      </c>
      <c r="CW2603" s="1" t="s">
        <v>4180</v>
      </c>
      <c r="CX2603" s="1" t="s">
        <v>206</v>
      </c>
      <c r="CY2603" s="1" t="s">
        <v>207</v>
      </c>
      <c r="DA2603" s="1" t="s">
        <v>192</v>
      </c>
      <c r="DB2603" s="2">
        <v>42038.0</v>
      </c>
      <c r="DC2603" s="1" t="s">
        <v>1353</v>
      </c>
      <c r="DD2603" s="1" t="s">
        <v>731</v>
      </c>
      <c r="DE2603" s="1" t="s">
        <v>273</v>
      </c>
      <c r="DF2603" s="1" t="s">
        <v>219</v>
      </c>
      <c r="DG2603" s="1" t="s">
        <v>482</v>
      </c>
      <c r="DH2603" s="1" t="s">
        <v>220</v>
      </c>
      <c r="DI2603" s="1" t="s">
        <v>8963</v>
      </c>
      <c r="DJ2603" s="1" t="s">
        <v>222</v>
      </c>
      <c r="DL2603" s="1" t="s">
        <v>224</v>
      </c>
      <c r="DM2603" s="1" t="s">
        <v>1658</v>
      </c>
      <c r="DN2603" s="1" t="s">
        <v>3293</v>
      </c>
      <c r="DP2603" s="1" t="s">
        <v>276</v>
      </c>
      <c r="DQ2603" s="1" t="s">
        <v>718</v>
      </c>
      <c r="DR2603" s="1" t="s">
        <v>229</v>
      </c>
      <c r="DS2603" s="1" t="s">
        <v>591</v>
      </c>
      <c r="DV2603" s="1" t="s">
        <v>310</v>
      </c>
      <c r="DW2603" s="1" t="s">
        <v>279</v>
      </c>
      <c r="DX2603" s="1" t="s">
        <v>234</v>
      </c>
      <c r="DY2603" s="1" t="s">
        <v>704</v>
      </c>
      <c r="DZ2603" s="1" t="s">
        <v>310</v>
      </c>
      <c r="EC2603" s="1" t="s">
        <v>237</v>
      </c>
      <c r="ED2603" s="1" t="s">
        <v>407</v>
      </c>
      <c r="EG2603" s="1" t="s">
        <v>310</v>
      </c>
      <c r="EL2603" s="1" t="s">
        <v>332</v>
      </c>
      <c r="EM2603" s="1" t="s">
        <v>206</v>
      </c>
      <c r="EN2603" s="1" t="s">
        <v>588</v>
      </c>
      <c r="EQ2603" s="1" t="s">
        <v>238</v>
      </c>
      <c r="EU2603" s="1" t="s">
        <v>238</v>
      </c>
      <c r="EY2603" s="1" t="s">
        <v>238</v>
      </c>
      <c r="FC2603" s="1" t="s">
        <v>238</v>
      </c>
      <c r="FF2603" s="1" t="s">
        <v>239</v>
      </c>
      <c r="FG2603" s="1" t="s">
        <v>192</v>
      </c>
      <c r="FH2603" s="1" t="s">
        <v>192</v>
      </c>
      <c r="FJ2603" s="1" t="s">
        <v>2285</v>
      </c>
      <c r="FK2603" s="1" t="s">
        <v>229</v>
      </c>
      <c r="FL2603" s="1" t="s">
        <v>1358</v>
      </c>
      <c r="FM2603" s="1">
        <v>10115.0</v>
      </c>
      <c r="FN2603" s="1" t="s">
        <v>2286</v>
      </c>
      <c r="FO2603" s="1" t="s">
        <v>23328</v>
      </c>
      <c r="FP2603" s="1">
        <v>132839.0</v>
      </c>
      <c r="FQ2603" s="1" t="s">
        <v>23329</v>
      </c>
      <c r="FS2603" s="1" t="s">
        <v>23330</v>
      </c>
      <c r="FU2603" s="1" t="s">
        <v>23331</v>
      </c>
      <c r="FV2603" s="1" t="s">
        <v>200</v>
      </c>
      <c r="FW2603" s="1" t="s">
        <v>567</v>
      </c>
      <c r="FX2603" s="1" t="s">
        <v>246</v>
      </c>
      <c r="FZ2603" s="1" t="s">
        <v>229</v>
      </c>
      <c r="GA2603" s="1" t="s">
        <v>291</v>
      </c>
      <c r="GB2603" s="2">
        <v>42081.0</v>
      </c>
      <c r="GC2603" s="1" t="s">
        <v>23332</v>
      </c>
    </row>
    <row r="2604">
      <c r="A2604" s="1">
        <v>47650.0</v>
      </c>
      <c r="B2604" s="1" t="s">
        <v>185</v>
      </c>
      <c r="C2604" s="1" t="str">
        <f>"08824087"</f>
        <v>08824087</v>
      </c>
      <c r="D2604" s="1" t="s">
        <v>186</v>
      </c>
      <c r="F2604" s="1" t="str">
        <f>"8070"</f>
        <v>8070</v>
      </c>
      <c r="G2604" s="2">
        <v>42030.0</v>
      </c>
      <c r="H2604" s="1">
        <v>79900.0</v>
      </c>
      <c r="I2604" s="1">
        <v>9.0</v>
      </c>
      <c r="J2604" s="1">
        <v>79900.0</v>
      </c>
      <c r="K2604" s="2">
        <v>42038.0</v>
      </c>
      <c r="L2604" s="1">
        <v>9.0</v>
      </c>
      <c r="M2604" s="2">
        <v>42038.0</v>
      </c>
      <c r="N2604" s="1" t="s">
        <v>249</v>
      </c>
      <c r="O2604" s="2">
        <v>42058.0</v>
      </c>
      <c r="P2604" s="1">
        <v>173120.0</v>
      </c>
      <c r="Q2604" s="1">
        <v>85337.0</v>
      </c>
      <c r="S2604" s="1">
        <v>3817.0</v>
      </c>
      <c r="T2604" s="1" t="s">
        <v>23333</v>
      </c>
      <c r="U2604" s="1" t="s">
        <v>694</v>
      </c>
      <c r="V2604" s="1" t="s">
        <v>190</v>
      </c>
      <c r="W2604" s="1">
        <v>60652.0</v>
      </c>
      <c r="Y2604" s="1" t="s">
        <v>23334</v>
      </c>
      <c r="Z2604" s="1">
        <v>1947.0</v>
      </c>
      <c r="AA2604" s="1" t="s">
        <v>192</v>
      </c>
      <c r="AB2604" s="1" t="s">
        <v>193</v>
      </c>
      <c r="AD2604" s="1" t="s">
        <v>194</v>
      </c>
      <c r="AE2604" s="1" t="s">
        <v>195</v>
      </c>
      <c r="AF2604" s="1" t="s">
        <v>659</v>
      </c>
      <c r="AH2604" s="1">
        <v>5598.0</v>
      </c>
      <c r="AK2604" s="1">
        <v>8.0</v>
      </c>
      <c r="AL2604" s="1">
        <v>4.0</v>
      </c>
      <c r="AM2604" s="1">
        <v>1.0</v>
      </c>
      <c r="AN2604" s="1">
        <v>1.0</v>
      </c>
      <c r="AO2604" s="1" t="s">
        <v>229</v>
      </c>
      <c r="AQ2604" s="1" t="s">
        <v>198</v>
      </c>
      <c r="AR2604" s="1" t="s">
        <v>200</v>
      </c>
      <c r="AS2604" s="1" t="s">
        <v>199</v>
      </c>
      <c r="AT2604" s="1">
        <v>2.0</v>
      </c>
      <c r="AV2604" s="1" t="s">
        <v>200</v>
      </c>
      <c r="AW2604" s="1">
        <v>200.0</v>
      </c>
      <c r="AX2604" s="1">
        <v>2013.0</v>
      </c>
      <c r="AY2604" s="1" t="s">
        <v>23335</v>
      </c>
      <c r="AZ2604" s="1" t="s">
        <v>200</v>
      </c>
      <c r="BA2604" s="1" t="str">
        <f>"19353270220000"</f>
        <v>19353270220000</v>
      </c>
      <c r="BB2604" s="1" t="s">
        <v>200</v>
      </c>
      <c r="BC2604" s="1">
        <v>728.0</v>
      </c>
      <c r="BD2604" s="1">
        <v>47650.0</v>
      </c>
      <c r="BE2604" s="2">
        <v>42030.0</v>
      </c>
      <c r="BF2604" s="2" t="s">
        <v>23336</v>
      </c>
      <c r="BH2604" s="1">
        <v>0.0</v>
      </c>
      <c r="BK2604" s="1" t="s">
        <v>204</v>
      </c>
      <c r="BL2604" s="1" t="str">
        <f t="shared" ref="BL2604:BM2604" si="1700">"0"</f>
        <v>0</v>
      </c>
      <c r="BM2604" s="1" t="str">
        <f t="shared" si="1700"/>
        <v>0</v>
      </c>
      <c r="BN2604" s="1">
        <v>3817.0</v>
      </c>
      <c r="BO2604" s="1">
        <v>8530.0</v>
      </c>
      <c r="BQ2604" s="1">
        <v>299.0</v>
      </c>
      <c r="BR2604" s="1">
        <v>299.0</v>
      </c>
      <c r="BS2604" s="1">
        <v>299.0</v>
      </c>
      <c r="BU2604" s="1" t="s">
        <v>729</v>
      </c>
      <c r="BV2604" s="1" t="s">
        <v>206</v>
      </c>
      <c r="BW2604" s="1" t="s">
        <v>210</v>
      </c>
      <c r="BX2604" s="1" t="s">
        <v>239</v>
      </c>
      <c r="BY2604" s="1" t="s">
        <v>269</v>
      </c>
      <c r="BZ2604" s="1" t="s">
        <v>206</v>
      </c>
      <c r="CA2604" s="1" t="s">
        <v>210</v>
      </c>
      <c r="CB2604" s="1" t="s">
        <v>239</v>
      </c>
      <c r="CC2604" s="1" t="s">
        <v>495</v>
      </c>
      <c r="CD2604" s="1" t="s">
        <v>206</v>
      </c>
      <c r="CE2604" s="1" t="s">
        <v>210</v>
      </c>
      <c r="CF2604" s="1" t="s">
        <v>239</v>
      </c>
      <c r="CG2604" s="1" t="s">
        <v>729</v>
      </c>
      <c r="CH2604" s="1" t="s">
        <v>209</v>
      </c>
      <c r="CI2604" s="1" t="s">
        <v>210</v>
      </c>
      <c r="CJ2604" s="1" t="s">
        <v>239</v>
      </c>
      <c r="CK2604" s="1" t="s">
        <v>263</v>
      </c>
      <c r="CL2604" s="1" t="s">
        <v>209</v>
      </c>
      <c r="CM2604" s="1" t="s">
        <v>210</v>
      </c>
      <c r="CN2604" s="1" t="s">
        <v>239</v>
      </c>
      <c r="CO2604" s="1" t="s">
        <v>303</v>
      </c>
      <c r="CP2604" s="1" t="s">
        <v>209</v>
      </c>
      <c r="CQ2604" s="1" t="s">
        <v>210</v>
      </c>
      <c r="CR2604" s="1" t="s">
        <v>239</v>
      </c>
      <c r="CS2604" s="1" t="s">
        <v>1939</v>
      </c>
      <c r="CT2604" s="1" t="s">
        <v>206</v>
      </c>
      <c r="CU2604" s="1" t="s">
        <v>617</v>
      </c>
      <c r="CV2604" s="1" t="s">
        <v>239</v>
      </c>
      <c r="CW2604" s="1" t="s">
        <v>3271</v>
      </c>
      <c r="CX2604" s="1" t="s">
        <v>206</v>
      </c>
      <c r="CY2604" s="1" t="s">
        <v>210</v>
      </c>
      <c r="CZ2604" s="1" t="s">
        <v>239</v>
      </c>
      <c r="DA2604" s="1" t="s">
        <v>200</v>
      </c>
      <c r="DC2604" s="1" t="s">
        <v>702</v>
      </c>
      <c r="DD2604" s="1" t="s">
        <v>618</v>
      </c>
      <c r="DE2604" s="1" t="s">
        <v>229</v>
      </c>
      <c r="DF2604" s="1" t="s">
        <v>219</v>
      </c>
      <c r="DG2604" s="1" t="s">
        <v>337</v>
      </c>
      <c r="DH2604" s="1" t="s">
        <v>365</v>
      </c>
      <c r="DI2604" s="1" t="s">
        <v>1401</v>
      </c>
      <c r="DJ2604" s="1" t="s">
        <v>222</v>
      </c>
      <c r="DK2604" s="1" t="s">
        <v>1301</v>
      </c>
      <c r="DL2604" s="1" t="s">
        <v>223</v>
      </c>
      <c r="DM2604" s="1" t="s">
        <v>229</v>
      </c>
      <c r="DO2604" s="1" t="s">
        <v>590</v>
      </c>
      <c r="DP2604" s="1" t="s">
        <v>276</v>
      </c>
      <c r="DQ2604" s="1" t="s">
        <v>228</v>
      </c>
      <c r="DR2604" s="1" t="s">
        <v>229</v>
      </c>
      <c r="DV2604" s="1" t="s">
        <v>232</v>
      </c>
      <c r="DW2604" s="1" t="s">
        <v>370</v>
      </c>
      <c r="DX2604" s="1" t="s">
        <v>234</v>
      </c>
      <c r="DZ2604" s="1" t="s">
        <v>282</v>
      </c>
      <c r="EA2604" s="1" t="s">
        <v>1075</v>
      </c>
      <c r="EC2604" s="1" t="s">
        <v>645</v>
      </c>
      <c r="ED2604" s="1" t="s">
        <v>555</v>
      </c>
      <c r="EM2604" s="1" t="s">
        <v>238</v>
      </c>
      <c r="EQ2604" s="1" t="s">
        <v>238</v>
      </c>
      <c r="EU2604" s="1" t="s">
        <v>238</v>
      </c>
      <c r="EY2604" s="1" t="s">
        <v>238</v>
      </c>
      <c r="FC2604" s="1" t="s">
        <v>238</v>
      </c>
      <c r="FF2604" s="1" t="s">
        <v>239</v>
      </c>
      <c r="FG2604" s="1" t="s">
        <v>192</v>
      </c>
      <c r="FH2604" s="1" t="s">
        <v>192</v>
      </c>
      <c r="FJ2604" s="1" t="s">
        <v>23337</v>
      </c>
      <c r="FK2604" s="1" t="s">
        <v>229</v>
      </c>
      <c r="FL2604" s="1" t="s">
        <v>2037</v>
      </c>
      <c r="FM2604" s="1">
        <v>60321.0</v>
      </c>
      <c r="FN2604" s="1" t="s">
        <v>2038</v>
      </c>
      <c r="FO2604" s="1" t="s">
        <v>23338</v>
      </c>
      <c r="FP2604" s="1">
        <v>601542.0</v>
      </c>
      <c r="FQ2604" s="1" t="s">
        <v>23339</v>
      </c>
      <c r="FU2604" s="1" t="s">
        <v>23340</v>
      </c>
      <c r="FV2604" s="1" t="s">
        <v>200</v>
      </c>
      <c r="FW2604" s="1" t="s">
        <v>23341</v>
      </c>
      <c r="FX2604" s="1" t="s">
        <v>246</v>
      </c>
      <c r="FZ2604" s="1" t="s">
        <v>229</v>
      </c>
      <c r="GA2604" s="1" t="s">
        <v>291</v>
      </c>
      <c r="GB2604" s="2">
        <v>42058.0</v>
      </c>
      <c r="GC2604" s="1" t="s">
        <v>23342</v>
      </c>
    </row>
    <row r="2605">
      <c r="A2605" s="1">
        <v>262500.0</v>
      </c>
      <c r="B2605" s="1" t="s">
        <v>185</v>
      </c>
      <c r="C2605" s="1" t="str">
        <f>"08836044"</f>
        <v>08836044</v>
      </c>
      <c r="D2605" s="1" t="s">
        <v>186</v>
      </c>
      <c r="F2605" s="1" t="str">
        <f>"134"</f>
        <v>134</v>
      </c>
      <c r="G2605" s="2">
        <v>42046.0</v>
      </c>
      <c r="H2605" s="1">
        <v>269900.0</v>
      </c>
      <c r="I2605" s="1">
        <v>10.0</v>
      </c>
      <c r="J2605" s="1">
        <v>269900.0</v>
      </c>
      <c r="K2605" s="2">
        <v>42055.0</v>
      </c>
      <c r="L2605" s="1">
        <v>10.0</v>
      </c>
      <c r="M2605" s="2">
        <v>42055.0</v>
      </c>
      <c r="N2605" s="1" t="s">
        <v>249</v>
      </c>
      <c r="O2605" s="2">
        <v>42094.0</v>
      </c>
      <c r="P2605" s="1">
        <v>237976.0</v>
      </c>
      <c r="Q2605" s="1">
        <v>22029.0</v>
      </c>
      <c r="S2605" s="1">
        <v>835.0</v>
      </c>
      <c r="T2605" s="1" t="s">
        <v>23343</v>
      </c>
      <c r="U2605" s="1" t="s">
        <v>1015</v>
      </c>
      <c r="V2605" s="1" t="s">
        <v>421</v>
      </c>
      <c r="W2605" s="1">
        <v>60134.0</v>
      </c>
      <c r="Y2605" s="1" t="s">
        <v>23344</v>
      </c>
      <c r="Z2605" s="1">
        <v>1966.0</v>
      </c>
      <c r="AA2605" s="1" t="s">
        <v>192</v>
      </c>
      <c r="AB2605" s="1" t="s">
        <v>193</v>
      </c>
      <c r="AD2605" s="1" t="s">
        <v>424</v>
      </c>
      <c r="AE2605" s="1" t="s">
        <v>325</v>
      </c>
      <c r="AF2605" s="1" t="s">
        <v>424</v>
      </c>
      <c r="AH2605" s="1" t="s">
        <v>23240</v>
      </c>
      <c r="AK2605" s="1">
        <v>9.0</v>
      </c>
      <c r="AL2605" s="1">
        <v>4.0</v>
      </c>
      <c r="AM2605" s="1">
        <v>2.0</v>
      </c>
      <c r="AN2605" s="1">
        <v>0.0</v>
      </c>
      <c r="AO2605" s="1" t="s">
        <v>229</v>
      </c>
      <c r="AQ2605" s="1" t="s">
        <v>229</v>
      </c>
      <c r="AS2605" s="1" t="s">
        <v>199</v>
      </c>
      <c r="AT2605" s="1">
        <v>2.0</v>
      </c>
      <c r="AV2605" s="1" t="s">
        <v>200</v>
      </c>
      <c r="AW2605" s="1">
        <v>5845.9</v>
      </c>
      <c r="AX2605" s="1">
        <v>2013.0</v>
      </c>
      <c r="AY2605" s="1" t="s">
        <v>387</v>
      </c>
      <c r="AZ2605" s="1" t="s">
        <v>200</v>
      </c>
      <c r="BA2605" s="1" t="str">
        <f>"1202403017"</f>
        <v>1202403017</v>
      </c>
      <c r="BC2605" s="1">
        <v>1696.0</v>
      </c>
      <c r="BD2605" s="1">
        <v>262500.0</v>
      </c>
      <c r="BE2605" s="2">
        <v>42046.0</v>
      </c>
      <c r="BF2605" s="2" t="s">
        <v>23345</v>
      </c>
      <c r="BH2605" s="1">
        <v>0.0</v>
      </c>
      <c r="BK2605" s="1" t="s">
        <v>204</v>
      </c>
      <c r="BL2605" s="1" t="str">
        <f t="shared" ref="BL2605:BM2605" si="1701">""</f>
        <v/>
      </c>
      <c r="BM2605" s="1" t="str">
        <f t="shared" si="1701"/>
        <v/>
      </c>
      <c r="BQ2605" s="1">
        <v>304.0</v>
      </c>
      <c r="BR2605" s="1">
        <v>304.0</v>
      </c>
      <c r="BS2605" s="1">
        <v>304.0</v>
      </c>
      <c r="BU2605" s="1" t="s">
        <v>213</v>
      </c>
      <c r="BV2605" s="1" t="s">
        <v>206</v>
      </c>
      <c r="BW2605" s="1" t="s">
        <v>207</v>
      </c>
      <c r="BY2605" s="1" t="s">
        <v>497</v>
      </c>
      <c r="BZ2605" s="1" t="s">
        <v>206</v>
      </c>
      <c r="CA2605" s="1" t="s">
        <v>207</v>
      </c>
      <c r="CC2605" s="1" t="s">
        <v>265</v>
      </c>
      <c r="CD2605" s="1" t="s">
        <v>206</v>
      </c>
      <c r="CE2605" s="1" t="s">
        <v>207</v>
      </c>
      <c r="CG2605" s="1" t="s">
        <v>264</v>
      </c>
      <c r="CH2605" s="1" t="s">
        <v>206</v>
      </c>
      <c r="CI2605" s="1" t="s">
        <v>207</v>
      </c>
      <c r="CK2605" s="1" t="s">
        <v>263</v>
      </c>
      <c r="CL2605" s="1" t="s">
        <v>206</v>
      </c>
      <c r="CM2605" s="1" t="s">
        <v>207</v>
      </c>
      <c r="CO2605" s="1" t="s">
        <v>699</v>
      </c>
      <c r="CP2605" s="1" t="s">
        <v>267</v>
      </c>
      <c r="CQ2605" s="1" t="s">
        <v>210</v>
      </c>
      <c r="CS2605" s="1" t="s">
        <v>495</v>
      </c>
      <c r="CT2605" s="1" t="s">
        <v>206</v>
      </c>
      <c r="CU2605" s="1" t="s">
        <v>268</v>
      </c>
      <c r="CW2605" s="1" t="s">
        <v>432</v>
      </c>
      <c r="CX2605" s="1" t="s">
        <v>267</v>
      </c>
      <c r="CY2605" s="1" t="s">
        <v>210</v>
      </c>
      <c r="DA2605" s="1" t="s">
        <v>200</v>
      </c>
      <c r="DC2605" s="1" t="s">
        <v>517</v>
      </c>
      <c r="DE2605" s="1" t="s">
        <v>273</v>
      </c>
      <c r="DF2605" s="1" t="s">
        <v>219</v>
      </c>
      <c r="DH2605" s="1" t="s">
        <v>220</v>
      </c>
      <c r="DI2605" s="1" t="s">
        <v>519</v>
      </c>
      <c r="DJ2605" s="1" t="s">
        <v>222</v>
      </c>
      <c r="DL2605" s="1" t="s">
        <v>229</v>
      </c>
      <c r="DM2605" s="1" t="s">
        <v>338</v>
      </c>
      <c r="DP2605" s="1" t="s">
        <v>276</v>
      </c>
      <c r="DQ2605" s="1" t="s">
        <v>228</v>
      </c>
      <c r="DR2605" s="1" t="s">
        <v>229</v>
      </c>
      <c r="DS2605" s="1" t="s">
        <v>230</v>
      </c>
      <c r="DU2605" s="1" t="s">
        <v>23346</v>
      </c>
      <c r="DV2605" s="1" t="s">
        <v>1467</v>
      </c>
      <c r="DW2605" s="1" t="s">
        <v>233</v>
      </c>
      <c r="DX2605" s="1" t="s">
        <v>234</v>
      </c>
      <c r="DY2605" s="1" t="s">
        <v>704</v>
      </c>
      <c r="DZ2605" s="1" t="s">
        <v>1405</v>
      </c>
      <c r="EC2605" s="1" t="s">
        <v>311</v>
      </c>
      <c r="EG2605" s="1" t="s">
        <v>1467</v>
      </c>
      <c r="EL2605" s="1" t="s">
        <v>329</v>
      </c>
      <c r="EM2605" s="1" t="s">
        <v>267</v>
      </c>
      <c r="EN2605" s="1" t="s">
        <v>210</v>
      </c>
      <c r="EQ2605" s="1" t="s">
        <v>238</v>
      </c>
      <c r="EU2605" s="1" t="s">
        <v>238</v>
      </c>
      <c r="EY2605" s="1" t="s">
        <v>238</v>
      </c>
      <c r="FC2605" s="1" t="s">
        <v>238</v>
      </c>
      <c r="FF2605" s="1" t="s">
        <v>239</v>
      </c>
      <c r="FG2605" s="1" t="s">
        <v>192</v>
      </c>
      <c r="FH2605" s="1" t="s">
        <v>192</v>
      </c>
      <c r="FJ2605" s="1" t="s">
        <v>455</v>
      </c>
      <c r="FK2605" s="1" t="s">
        <v>229</v>
      </c>
      <c r="FL2605" s="1" t="s">
        <v>456</v>
      </c>
      <c r="FM2605" s="1">
        <v>49.0</v>
      </c>
      <c r="FN2605" s="1" t="s">
        <v>457</v>
      </c>
      <c r="FO2605" s="1" t="s">
        <v>20568</v>
      </c>
      <c r="FP2605" s="1">
        <v>1602.0</v>
      </c>
      <c r="FQ2605" s="1" t="s">
        <v>20569</v>
      </c>
      <c r="FU2605" s="1" t="s">
        <v>23347</v>
      </c>
      <c r="FV2605" s="1" t="s">
        <v>200</v>
      </c>
      <c r="FW2605" s="1" t="s">
        <v>530</v>
      </c>
      <c r="FZ2605" s="1" t="s">
        <v>229</v>
      </c>
      <c r="GA2605" s="1" t="s">
        <v>291</v>
      </c>
      <c r="GB2605" s="2">
        <v>42094.0</v>
      </c>
      <c r="GC2605" s="1" t="s">
        <v>23348</v>
      </c>
    </row>
    <row r="2606">
      <c r="A2606" s="1">
        <v>153100.0</v>
      </c>
      <c r="B2606" s="1" t="s">
        <v>185</v>
      </c>
      <c r="C2606" s="1" t="str">
        <f>"08830548"</f>
        <v>08830548</v>
      </c>
      <c r="D2606" s="1" t="s">
        <v>186</v>
      </c>
      <c r="F2606" s="1" t="str">
        <f>"8017"</f>
        <v>8017</v>
      </c>
      <c r="G2606" s="2">
        <v>42039.0</v>
      </c>
      <c r="H2606" s="1">
        <v>124900.0</v>
      </c>
      <c r="I2606" s="1">
        <v>67.0</v>
      </c>
      <c r="J2606" s="1">
        <v>124900.0</v>
      </c>
      <c r="K2606" s="2">
        <v>42067.0</v>
      </c>
      <c r="L2606" s="1">
        <v>29.0</v>
      </c>
      <c r="M2606" s="2">
        <v>42067.0</v>
      </c>
      <c r="N2606" s="1" t="s">
        <v>187</v>
      </c>
      <c r="O2606" s="2">
        <v>42086.0</v>
      </c>
      <c r="P2606" s="1">
        <v>147772.0</v>
      </c>
      <c r="Q2606" s="1">
        <v>84935.0</v>
      </c>
      <c r="S2606" s="1">
        <v>6232.0</v>
      </c>
      <c r="T2606" s="1" t="s">
        <v>7860</v>
      </c>
      <c r="U2606" s="1" t="s">
        <v>189</v>
      </c>
      <c r="V2606" s="1" t="s">
        <v>190</v>
      </c>
      <c r="W2606" s="1">
        <v>60634.0</v>
      </c>
      <c r="Y2606" s="1" t="s">
        <v>23349</v>
      </c>
      <c r="Z2606" s="1">
        <v>1923.0</v>
      </c>
      <c r="AA2606" s="1" t="s">
        <v>192</v>
      </c>
      <c r="AB2606" s="1" t="s">
        <v>193</v>
      </c>
      <c r="AD2606" s="1" t="s">
        <v>194</v>
      </c>
      <c r="AE2606" s="1" t="s">
        <v>195</v>
      </c>
      <c r="AF2606" s="1" t="s">
        <v>196</v>
      </c>
      <c r="AH2606" s="1" t="s">
        <v>23350</v>
      </c>
      <c r="AK2606" s="1">
        <v>8.0</v>
      </c>
      <c r="AL2606" s="1">
        <v>4.0</v>
      </c>
      <c r="AM2606" s="1">
        <v>2.0</v>
      </c>
      <c r="AN2606" s="1">
        <v>1.0</v>
      </c>
      <c r="AO2606" s="1" t="s">
        <v>1261</v>
      </c>
      <c r="AP2606" s="1">
        <v>0.0</v>
      </c>
      <c r="AQ2606" s="1" t="s">
        <v>198</v>
      </c>
      <c r="AR2606" s="1" t="s">
        <v>200</v>
      </c>
      <c r="AS2606" s="1" t="s">
        <v>199</v>
      </c>
      <c r="AT2606" s="1">
        <v>1.0</v>
      </c>
      <c r="AV2606" s="1" t="s">
        <v>200</v>
      </c>
      <c r="AW2606" s="1">
        <v>4253.0</v>
      </c>
      <c r="AX2606" s="1">
        <v>2012.0</v>
      </c>
      <c r="AY2606" s="1" t="s">
        <v>229</v>
      </c>
      <c r="AZ2606" s="1" t="s">
        <v>200</v>
      </c>
      <c r="BA2606" s="1" t="str">
        <f>"13201060320000"</f>
        <v>13201060320000</v>
      </c>
      <c r="BB2606" s="1" t="s">
        <v>200</v>
      </c>
      <c r="BC2606" s="1">
        <v>1542.0</v>
      </c>
      <c r="BD2606" s="1">
        <v>153100.0</v>
      </c>
      <c r="BE2606" s="2">
        <v>42039.0</v>
      </c>
      <c r="BF2606" s="2" t="s">
        <v>23351</v>
      </c>
      <c r="BH2606" s="1">
        <v>0.0</v>
      </c>
      <c r="BK2606" s="1" t="s">
        <v>204</v>
      </c>
      <c r="BL2606" s="1" t="str">
        <f>"3832"</f>
        <v>3832</v>
      </c>
      <c r="BM2606" s="1" t="str">
        <f t="shared" ref="BM2606:BM2607" si="1702">"0"</f>
        <v>0</v>
      </c>
      <c r="BN2606" s="1">
        <v>6232.0</v>
      </c>
      <c r="BO2606" s="1">
        <v>0.0</v>
      </c>
      <c r="BQ2606" s="1">
        <v>299.0</v>
      </c>
      <c r="BR2606" s="1">
        <v>299.0</v>
      </c>
      <c r="BS2606" s="1">
        <v>299.0</v>
      </c>
      <c r="BU2606" s="1" t="s">
        <v>6682</v>
      </c>
      <c r="BV2606" s="1" t="s">
        <v>206</v>
      </c>
      <c r="BW2606" s="1" t="s">
        <v>207</v>
      </c>
      <c r="BY2606" s="1" t="s">
        <v>1395</v>
      </c>
      <c r="BZ2606" s="1" t="s">
        <v>209</v>
      </c>
      <c r="CA2606" s="1" t="s">
        <v>210</v>
      </c>
      <c r="CC2606" s="1" t="s">
        <v>542</v>
      </c>
      <c r="CD2606" s="1" t="s">
        <v>206</v>
      </c>
      <c r="CE2606" s="1" t="s">
        <v>207</v>
      </c>
      <c r="CG2606" s="1" t="s">
        <v>269</v>
      </c>
      <c r="CH2606" s="1" t="s">
        <v>206</v>
      </c>
      <c r="CI2606" s="1" t="s">
        <v>207</v>
      </c>
      <c r="CK2606" s="1" t="s">
        <v>269</v>
      </c>
      <c r="CL2606" s="1" t="s">
        <v>206</v>
      </c>
      <c r="CM2606" s="1" t="s">
        <v>207</v>
      </c>
      <c r="CO2606" s="1" t="s">
        <v>302</v>
      </c>
      <c r="CP2606" s="1" t="s">
        <v>209</v>
      </c>
      <c r="CQ2606" s="1" t="s">
        <v>210</v>
      </c>
      <c r="CS2606" s="1" t="s">
        <v>270</v>
      </c>
      <c r="CT2606" s="1" t="s">
        <v>206</v>
      </c>
      <c r="CU2606" s="1" t="s">
        <v>207</v>
      </c>
      <c r="CW2606" s="1" t="s">
        <v>4817</v>
      </c>
      <c r="CX2606" s="1" t="s">
        <v>42</v>
      </c>
      <c r="CY2606" s="1" t="s">
        <v>210</v>
      </c>
      <c r="DA2606" s="1" t="s">
        <v>200</v>
      </c>
      <c r="DC2606" s="1" t="s">
        <v>216</v>
      </c>
      <c r="DD2606" s="1" t="s">
        <v>679</v>
      </c>
      <c r="DE2606" s="1" t="s">
        <v>273</v>
      </c>
      <c r="DF2606" s="1" t="s">
        <v>219</v>
      </c>
      <c r="DG2606" s="1" t="s">
        <v>337</v>
      </c>
      <c r="DH2606" s="1" t="s">
        <v>307</v>
      </c>
      <c r="DI2606" s="1" t="s">
        <v>221</v>
      </c>
      <c r="DJ2606" s="1" t="s">
        <v>222</v>
      </c>
      <c r="DK2606" s="1" t="s">
        <v>3941</v>
      </c>
      <c r="DL2606" s="1" t="s">
        <v>791</v>
      </c>
      <c r="DM2606" s="1" t="s">
        <v>229</v>
      </c>
      <c r="DN2606" s="1" t="s">
        <v>339</v>
      </c>
      <c r="DO2606" s="1" t="s">
        <v>549</v>
      </c>
      <c r="DP2606" s="1" t="s">
        <v>276</v>
      </c>
      <c r="DQ2606" s="1" t="s">
        <v>228</v>
      </c>
      <c r="DR2606" s="1" t="s">
        <v>229</v>
      </c>
      <c r="DS2606" s="1" t="s">
        <v>230</v>
      </c>
      <c r="DV2606" s="1" t="s">
        <v>232</v>
      </c>
      <c r="DW2606" s="1" t="s">
        <v>667</v>
      </c>
      <c r="DX2606" s="1" t="s">
        <v>234</v>
      </c>
      <c r="DY2606" s="1" t="s">
        <v>765</v>
      </c>
      <c r="DZ2606" s="1" t="s">
        <v>310</v>
      </c>
      <c r="EC2606" s="1" t="s">
        <v>237</v>
      </c>
      <c r="EM2606" s="1" t="s">
        <v>238</v>
      </c>
      <c r="EQ2606" s="1" t="s">
        <v>238</v>
      </c>
      <c r="EU2606" s="1" t="s">
        <v>238</v>
      </c>
      <c r="EY2606" s="1" t="s">
        <v>238</v>
      </c>
      <c r="FC2606" s="1" t="s">
        <v>238</v>
      </c>
      <c r="FF2606" s="1" t="s">
        <v>2447</v>
      </c>
      <c r="FG2606" s="1" t="s">
        <v>192</v>
      </c>
      <c r="FH2606" s="1" t="s">
        <v>192</v>
      </c>
      <c r="FJ2606" s="1" t="s">
        <v>347</v>
      </c>
      <c r="FK2606" s="1" t="s">
        <v>229</v>
      </c>
      <c r="FL2606" s="1" t="s">
        <v>1663</v>
      </c>
      <c r="FM2606" s="1">
        <v>17299.0</v>
      </c>
      <c r="FN2606" s="1" t="s">
        <v>1664</v>
      </c>
      <c r="FO2606" s="1" t="s">
        <v>6325</v>
      </c>
      <c r="FP2606" s="1">
        <v>169763.0</v>
      </c>
      <c r="FQ2606" s="1" t="s">
        <v>6326</v>
      </c>
      <c r="FU2606" s="1" t="s">
        <v>23352</v>
      </c>
      <c r="FV2606" s="1" t="s">
        <v>200</v>
      </c>
      <c r="FW2606" s="1" t="s">
        <v>290</v>
      </c>
      <c r="FX2606" s="1" t="s">
        <v>246</v>
      </c>
      <c r="FZ2606" s="1" t="s">
        <v>229</v>
      </c>
      <c r="GA2606" s="1" t="s">
        <v>291</v>
      </c>
      <c r="GB2606" s="2">
        <v>42089.0</v>
      </c>
      <c r="GC2606" s="1" t="s">
        <v>23353</v>
      </c>
    </row>
    <row r="2607">
      <c r="A2607" s="1">
        <v>265000.0</v>
      </c>
      <c r="B2607" s="1" t="s">
        <v>185</v>
      </c>
      <c r="C2607" s="1" t="str">
        <f>"08839229"</f>
        <v>08839229</v>
      </c>
      <c r="D2607" s="1" t="s">
        <v>186</v>
      </c>
      <c r="F2607" s="1" t="str">
        <f>"8020"</f>
        <v>8020</v>
      </c>
      <c r="G2607" s="2">
        <v>42051.0</v>
      </c>
      <c r="H2607" s="1">
        <v>279000.0</v>
      </c>
      <c r="I2607" s="1">
        <v>20.0</v>
      </c>
      <c r="J2607" s="1">
        <v>279000.0</v>
      </c>
      <c r="K2607" s="2">
        <v>42070.0</v>
      </c>
      <c r="L2607" s="1">
        <v>20.0</v>
      </c>
      <c r="M2607" s="2">
        <v>42070.0</v>
      </c>
      <c r="N2607" s="1" t="s">
        <v>187</v>
      </c>
      <c r="O2607" s="2">
        <v>42122.0</v>
      </c>
      <c r="P2607" s="1">
        <v>132745.0</v>
      </c>
      <c r="Q2607" s="1">
        <v>18080.0</v>
      </c>
      <c r="S2607" s="1">
        <v>3029.0</v>
      </c>
      <c r="T2607" s="1" t="s">
        <v>16951</v>
      </c>
      <c r="U2607" s="1" t="s">
        <v>189</v>
      </c>
      <c r="V2607" s="1" t="s">
        <v>190</v>
      </c>
      <c r="W2607" s="1">
        <v>60641.0</v>
      </c>
      <c r="Y2607" s="1" t="s">
        <v>23354</v>
      </c>
      <c r="Z2607" s="1">
        <v>1925.0</v>
      </c>
      <c r="AA2607" s="1" t="s">
        <v>192</v>
      </c>
      <c r="AB2607" s="1" t="s">
        <v>193</v>
      </c>
      <c r="AD2607" s="1" t="s">
        <v>194</v>
      </c>
      <c r="AE2607" s="1" t="s">
        <v>195</v>
      </c>
      <c r="AF2607" s="1" t="s">
        <v>196</v>
      </c>
      <c r="AG2607" s="1" t="s">
        <v>778</v>
      </c>
      <c r="AH2607" s="1">
        <v>3780.0</v>
      </c>
      <c r="AK2607" s="1">
        <v>9.0</v>
      </c>
      <c r="AL2607" s="1">
        <v>4.0</v>
      </c>
      <c r="AM2607" s="1">
        <v>2.0</v>
      </c>
      <c r="AN2607" s="1">
        <v>0.0</v>
      </c>
      <c r="AO2607" s="1" t="s">
        <v>229</v>
      </c>
      <c r="AP2607" s="1">
        <v>1.0</v>
      </c>
      <c r="AQ2607" s="1" t="s">
        <v>198</v>
      </c>
      <c r="AR2607" s="1" t="s">
        <v>192</v>
      </c>
      <c r="AS2607" s="1" t="s">
        <v>199</v>
      </c>
      <c r="AT2607" s="1">
        <v>2.0</v>
      </c>
      <c r="AV2607" s="1" t="s">
        <v>200</v>
      </c>
      <c r="AW2607" s="1">
        <v>3466.0</v>
      </c>
      <c r="AX2607" s="1">
        <v>2013.0</v>
      </c>
      <c r="AY2607" s="1" t="s">
        <v>387</v>
      </c>
      <c r="AZ2607" s="1" t="s">
        <v>200</v>
      </c>
      <c r="BA2607" s="1" t="str">
        <f>"13271140110000"</f>
        <v>13271140110000</v>
      </c>
      <c r="BB2607" s="1" t="s">
        <v>200</v>
      </c>
      <c r="BC2607" s="1">
        <v>0.0</v>
      </c>
      <c r="BD2607" s="1">
        <v>265000.0</v>
      </c>
      <c r="BE2607" s="2">
        <v>42051.0</v>
      </c>
      <c r="BF2607" s="2" t="s">
        <v>23355</v>
      </c>
      <c r="BH2607" s="1">
        <v>0.0</v>
      </c>
      <c r="BK2607" s="1" t="s">
        <v>204</v>
      </c>
      <c r="BL2607" s="1" t="str">
        <f>"3029"</f>
        <v>3029</v>
      </c>
      <c r="BM2607" s="1" t="str">
        <f t="shared" si="1702"/>
        <v>0</v>
      </c>
      <c r="BN2607" s="1">
        <v>4434.0</v>
      </c>
      <c r="BO2607" s="1">
        <v>0.0</v>
      </c>
      <c r="BQ2607" s="1">
        <v>299.0</v>
      </c>
      <c r="BR2607" s="1">
        <v>299.0</v>
      </c>
      <c r="BS2607" s="1">
        <v>299.0</v>
      </c>
      <c r="BU2607" s="1" t="s">
        <v>362</v>
      </c>
      <c r="BV2607" s="1" t="s">
        <v>206</v>
      </c>
      <c r="BW2607" s="1" t="s">
        <v>207</v>
      </c>
      <c r="BY2607" s="1" t="s">
        <v>663</v>
      </c>
      <c r="BZ2607" s="1" t="s">
        <v>206</v>
      </c>
      <c r="CA2607" s="1" t="s">
        <v>207</v>
      </c>
      <c r="CC2607" s="1" t="s">
        <v>830</v>
      </c>
      <c r="CD2607" s="1" t="s">
        <v>206</v>
      </c>
      <c r="CE2607" s="1" t="s">
        <v>207</v>
      </c>
      <c r="CG2607" s="1" t="s">
        <v>303</v>
      </c>
      <c r="CH2607" s="1" t="s">
        <v>206</v>
      </c>
      <c r="CI2607" s="1" t="s">
        <v>207</v>
      </c>
      <c r="CK2607" s="1" t="s">
        <v>2014</v>
      </c>
      <c r="CL2607" s="1" t="s">
        <v>209</v>
      </c>
      <c r="CM2607" s="1" t="s">
        <v>210</v>
      </c>
      <c r="CO2607" s="1" t="s">
        <v>19472</v>
      </c>
      <c r="CP2607" s="1" t="s">
        <v>209</v>
      </c>
      <c r="CQ2607" s="1" t="s">
        <v>210</v>
      </c>
      <c r="CS2607" s="1" t="s">
        <v>17590</v>
      </c>
      <c r="CT2607" s="1" t="s">
        <v>206</v>
      </c>
      <c r="CU2607" s="1" t="s">
        <v>207</v>
      </c>
      <c r="CX2607" s="1" t="s">
        <v>204</v>
      </c>
      <c r="DA2607" s="1" t="s">
        <v>200</v>
      </c>
      <c r="DC2607" s="1" t="s">
        <v>785</v>
      </c>
      <c r="DD2607" s="1" t="s">
        <v>759</v>
      </c>
      <c r="DE2607" s="1" t="s">
        <v>1139</v>
      </c>
      <c r="DF2607" s="1" t="s">
        <v>23356</v>
      </c>
      <c r="DH2607" s="1" t="s">
        <v>365</v>
      </c>
      <c r="DI2607" s="1" t="s">
        <v>1141</v>
      </c>
      <c r="DJ2607" s="1" t="s">
        <v>222</v>
      </c>
      <c r="DK2607" s="1" t="s">
        <v>2506</v>
      </c>
      <c r="DL2607" s="1" t="s">
        <v>1161</v>
      </c>
      <c r="DM2607" s="1" t="s">
        <v>229</v>
      </c>
      <c r="DN2607" s="1" t="s">
        <v>439</v>
      </c>
      <c r="DP2607" s="1" t="s">
        <v>340</v>
      </c>
      <c r="DQ2607" s="1" t="s">
        <v>794</v>
      </c>
      <c r="DR2607" s="1" t="s">
        <v>229</v>
      </c>
      <c r="DS2607" s="1" t="s">
        <v>230</v>
      </c>
      <c r="DU2607" s="1" t="s">
        <v>2464</v>
      </c>
      <c r="DV2607" s="1" t="s">
        <v>23308</v>
      </c>
      <c r="DW2607" s="1" t="s">
        <v>279</v>
      </c>
      <c r="DX2607" s="1" t="s">
        <v>234</v>
      </c>
      <c r="DY2607" s="1" t="s">
        <v>23231</v>
      </c>
      <c r="DZ2607" s="1" t="s">
        <v>2260</v>
      </c>
      <c r="EA2607" s="1" t="s">
        <v>644</v>
      </c>
      <c r="EB2607" s="1" t="s">
        <v>345</v>
      </c>
      <c r="EC2607" s="1" t="s">
        <v>645</v>
      </c>
      <c r="ED2607" s="1" t="s">
        <v>555</v>
      </c>
      <c r="EG2607" s="1" t="s">
        <v>1407</v>
      </c>
      <c r="EI2607" s="1" t="s">
        <v>450</v>
      </c>
      <c r="EJ2607" s="1" t="s">
        <v>374</v>
      </c>
      <c r="EL2607" s="1" t="s">
        <v>1774</v>
      </c>
      <c r="EM2607" s="1" t="s">
        <v>42</v>
      </c>
      <c r="EN2607" s="1" t="s">
        <v>268</v>
      </c>
      <c r="EQ2607" s="1" t="s">
        <v>238</v>
      </c>
      <c r="ET2607" s="1" t="s">
        <v>23357</v>
      </c>
      <c r="EU2607" s="1" t="s">
        <v>42</v>
      </c>
      <c r="EV2607" s="1" t="s">
        <v>210</v>
      </c>
      <c r="EX2607" s="1" t="s">
        <v>4028</v>
      </c>
      <c r="EY2607" s="1" t="s">
        <v>206</v>
      </c>
      <c r="EZ2607" s="1" t="s">
        <v>268</v>
      </c>
      <c r="FC2607" s="1" t="s">
        <v>238</v>
      </c>
      <c r="FF2607" s="1" t="s">
        <v>239</v>
      </c>
      <c r="FG2607" s="1" t="s">
        <v>192</v>
      </c>
      <c r="FH2607" s="1" t="s">
        <v>192</v>
      </c>
      <c r="FJ2607" s="1" t="s">
        <v>412</v>
      </c>
      <c r="FK2607" s="1" t="s">
        <v>229</v>
      </c>
      <c r="FL2607" s="1" t="s">
        <v>23358</v>
      </c>
      <c r="FM2607" s="1">
        <v>17815.0</v>
      </c>
      <c r="FN2607" s="1" t="s">
        <v>23359</v>
      </c>
      <c r="FO2607" s="1" t="s">
        <v>23360</v>
      </c>
      <c r="FP2607" s="1">
        <v>115385.0</v>
      </c>
      <c r="FQ2607" s="1" t="s">
        <v>23359</v>
      </c>
      <c r="FU2607" s="1" t="s">
        <v>23361</v>
      </c>
      <c r="FV2607" s="1" t="s">
        <v>200</v>
      </c>
      <c r="FW2607" s="1" t="s">
        <v>631</v>
      </c>
      <c r="FX2607" s="1" t="s">
        <v>238</v>
      </c>
      <c r="FZ2607" s="1" t="s">
        <v>229</v>
      </c>
      <c r="GA2607" s="1" t="s">
        <v>291</v>
      </c>
      <c r="GB2607" s="2">
        <v>42124.0</v>
      </c>
      <c r="GC2607" s="1" t="s">
        <v>23362</v>
      </c>
    </row>
    <row r="2608">
      <c r="A2608" s="1">
        <v>255000.0</v>
      </c>
      <c r="B2608" s="1" t="s">
        <v>185</v>
      </c>
      <c r="C2608" s="1" t="str">
        <f>"08827831"</f>
        <v>08827831</v>
      </c>
      <c r="D2608" s="1" t="s">
        <v>186</v>
      </c>
      <c r="F2608" s="1" t="str">
        <f>"110"</f>
        <v>110</v>
      </c>
      <c r="G2608" s="2">
        <v>42034.0</v>
      </c>
      <c r="H2608" s="1">
        <v>289900.0</v>
      </c>
      <c r="I2608" s="1">
        <v>69.0</v>
      </c>
      <c r="J2608" s="1">
        <v>269900.0</v>
      </c>
      <c r="K2608" s="2">
        <v>42102.0</v>
      </c>
      <c r="L2608" s="1">
        <v>69.0</v>
      </c>
      <c r="M2608" s="2">
        <v>42102.0</v>
      </c>
      <c r="N2608" s="1" t="s">
        <v>187</v>
      </c>
      <c r="O2608" s="2">
        <v>42146.0</v>
      </c>
      <c r="P2608" s="1">
        <v>83072.0</v>
      </c>
      <c r="Q2608" s="1">
        <v>8092.0</v>
      </c>
      <c r="S2608" s="1">
        <v>4910.0</v>
      </c>
      <c r="T2608" s="1" t="s">
        <v>7546</v>
      </c>
      <c r="U2608" s="1" t="s">
        <v>1174</v>
      </c>
      <c r="V2608" s="1" t="s">
        <v>807</v>
      </c>
      <c r="W2608" s="1">
        <v>60110.0</v>
      </c>
      <c r="Y2608" s="1" t="s">
        <v>23363</v>
      </c>
      <c r="Z2608" s="1">
        <v>2002.0</v>
      </c>
      <c r="AA2608" s="1" t="s">
        <v>200</v>
      </c>
      <c r="AB2608" s="1" t="s">
        <v>467</v>
      </c>
      <c r="AC2608" s="1" t="s">
        <v>2766</v>
      </c>
      <c r="AD2608" s="1" t="s">
        <v>809</v>
      </c>
      <c r="AE2608" s="1" t="s">
        <v>325</v>
      </c>
      <c r="AF2608" s="1" t="s">
        <v>810</v>
      </c>
      <c r="AH2608" s="1" t="s">
        <v>23364</v>
      </c>
      <c r="AI2608" s="1">
        <v>0.1859</v>
      </c>
      <c r="AK2608" s="1">
        <v>8.0</v>
      </c>
      <c r="AL2608" s="1">
        <v>4.0</v>
      </c>
      <c r="AM2608" s="1">
        <v>2.0</v>
      </c>
      <c r="AN2608" s="1">
        <v>1.0</v>
      </c>
      <c r="AO2608" s="1" t="s">
        <v>198</v>
      </c>
      <c r="AP2608" s="1">
        <v>1.0</v>
      </c>
      <c r="AQ2608" s="1" t="s">
        <v>198</v>
      </c>
      <c r="AR2608" s="1" t="s">
        <v>200</v>
      </c>
      <c r="AS2608" s="1" t="s">
        <v>199</v>
      </c>
      <c r="AT2608" s="1">
        <v>3.0</v>
      </c>
      <c r="AV2608" s="1" t="s">
        <v>200</v>
      </c>
      <c r="AW2608" s="1">
        <v>10083.78</v>
      </c>
      <c r="AX2608" s="1">
        <v>2013.0</v>
      </c>
      <c r="AZ2608" s="1" t="s">
        <v>200</v>
      </c>
      <c r="BA2608" s="1" t="str">
        <f>"0308253009"</f>
        <v>0308253009</v>
      </c>
      <c r="BC2608" s="1">
        <v>3100.0</v>
      </c>
      <c r="BD2608" s="1">
        <v>255000.0</v>
      </c>
      <c r="BE2608" s="2">
        <v>42034.0</v>
      </c>
      <c r="BF2608" s="2" t="s">
        <v>23365</v>
      </c>
      <c r="BH2608" s="1">
        <v>176.0</v>
      </c>
      <c r="BK2608" s="1" t="s">
        <v>580</v>
      </c>
      <c r="BL2608" s="1" t="str">
        <f t="shared" ref="BL2608:BM2608" si="1703">""</f>
        <v/>
      </c>
      <c r="BM2608" s="1" t="str">
        <f t="shared" si="1703"/>
        <v/>
      </c>
      <c r="BQ2608" s="1">
        <v>300.0</v>
      </c>
      <c r="BR2608" s="1">
        <v>300.0</v>
      </c>
      <c r="BS2608" s="1">
        <v>300.0</v>
      </c>
      <c r="BU2608" s="1" t="s">
        <v>361</v>
      </c>
      <c r="BV2608" s="1" t="s">
        <v>206</v>
      </c>
      <c r="BY2608" s="1" t="s">
        <v>330</v>
      </c>
      <c r="BZ2608" s="1" t="s">
        <v>209</v>
      </c>
      <c r="CC2608" s="1" t="s">
        <v>758</v>
      </c>
      <c r="CD2608" s="1" t="s">
        <v>206</v>
      </c>
      <c r="CG2608" s="1" t="s">
        <v>331</v>
      </c>
      <c r="CH2608" s="1" t="s">
        <v>209</v>
      </c>
      <c r="CK2608" s="1" t="s">
        <v>212</v>
      </c>
      <c r="CL2608" s="1" t="s">
        <v>209</v>
      </c>
      <c r="CO2608" s="1" t="s">
        <v>212</v>
      </c>
      <c r="CP2608" s="1" t="s">
        <v>209</v>
      </c>
      <c r="CS2608" s="1" t="s">
        <v>544</v>
      </c>
      <c r="CT2608" s="1" t="s">
        <v>206</v>
      </c>
      <c r="CW2608" s="1" t="s">
        <v>1623</v>
      </c>
      <c r="CX2608" s="1" t="s">
        <v>206</v>
      </c>
      <c r="DA2608" s="1" t="s">
        <v>200</v>
      </c>
      <c r="DC2608" s="1" t="s">
        <v>335</v>
      </c>
      <c r="DD2608" s="1" t="s">
        <v>731</v>
      </c>
      <c r="DE2608" s="1" t="s">
        <v>273</v>
      </c>
      <c r="DF2608" s="1" t="s">
        <v>219</v>
      </c>
      <c r="DG2608" s="1" t="s">
        <v>3175</v>
      </c>
      <c r="DH2608" s="1" t="s">
        <v>220</v>
      </c>
      <c r="DJ2608" s="1" t="s">
        <v>222</v>
      </c>
      <c r="DL2608" s="1" t="s">
        <v>223</v>
      </c>
      <c r="DM2608" s="1" t="s">
        <v>229</v>
      </c>
      <c r="DN2608" s="1" t="s">
        <v>666</v>
      </c>
      <c r="DO2608" s="1" t="s">
        <v>549</v>
      </c>
      <c r="DP2608" s="1" t="s">
        <v>340</v>
      </c>
      <c r="DQ2608" s="1" t="s">
        <v>441</v>
      </c>
      <c r="DR2608" s="1" t="s">
        <v>588</v>
      </c>
      <c r="DV2608" s="1" t="s">
        <v>232</v>
      </c>
      <c r="DW2608" s="1" t="s">
        <v>444</v>
      </c>
      <c r="DX2608" s="1" t="s">
        <v>234</v>
      </c>
      <c r="DY2608" s="1" t="s">
        <v>1006</v>
      </c>
      <c r="DZ2608" s="1" t="s">
        <v>23366</v>
      </c>
      <c r="EC2608" s="1" t="s">
        <v>237</v>
      </c>
      <c r="EM2608" s="1" t="s">
        <v>238</v>
      </c>
      <c r="EQ2608" s="1" t="s">
        <v>238</v>
      </c>
      <c r="EU2608" s="1" t="s">
        <v>238</v>
      </c>
      <c r="EY2608" s="1" t="s">
        <v>238</v>
      </c>
      <c r="FC2608" s="1" t="s">
        <v>238</v>
      </c>
      <c r="FF2608" s="1" t="s">
        <v>239</v>
      </c>
      <c r="FG2608" s="1" t="s">
        <v>192</v>
      </c>
      <c r="FH2608" s="1" t="s">
        <v>192</v>
      </c>
      <c r="FJ2608" s="1" t="s">
        <v>347</v>
      </c>
      <c r="FK2608" s="1" t="s">
        <v>229</v>
      </c>
      <c r="FL2608" s="1" t="s">
        <v>3433</v>
      </c>
      <c r="FM2608" s="1">
        <v>5293.0</v>
      </c>
      <c r="FN2608" s="1" t="s">
        <v>3434</v>
      </c>
      <c r="FO2608" s="1" t="s">
        <v>3435</v>
      </c>
      <c r="FP2608" s="1">
        <v>53957.0</v>
      </c>
      <c r="FU2608" s="1" t="s">
        <v>2697</v>
      </c>
      <c r="FV2608" s="1" t="s">
        <v>200</v>
      </c>
      <c r="FW2608" s="1" t="s">
        <v>290</v>
      </c>
      <c r="FZ2608" s="1" t="s">
        <v>229</v>
      </c>
      <c r="GA2608" s="1" t="s">
        <v>291</v>
      </c>
      <c r="GB2608" s="2">
        <v>42150.0</v>
      </c>
      <c r="GC2608" s="1" t="s">
        <v>23367</v>
      </c>
    </row>
    <row r="2609">
      <c r="A2609" s="1">
        <v>240000.0</v>
      </c>
      <c r="B2609" s="1" t="s">
        <v>185</v>
      </c>
      <c r="C2609" s="1" t="str">
        <f>"08822296"</f>
        <v>08822296</v>
      </c>
      <c r="D2609" s="1" t="s">
        <v>186</v>
      </c>
      <c r="F2609" s="1" t="str">
        <f>"177"</f>
        <v>177</v>
      </c>
      <c r="G2609" s="2">
        <v>42026.0</v>
      </c>
      <c r="H2609" s="1">
        <v>249900.0</v>
      </c>
      <c r="I2609" s="1">
        <v>98.0</v>
      </c>
      <c r="J2609" s="1">
        <v>249900.0</v>
      </c>
      <c r="K2609" s="2">
        <v>42050.0</v>
      </c>
      <c r="L2609" s="1">
        <v>25.0</v>
      </c>
      <c r="M2609" s="2">
        <v>42050.0</v>
      </c>
      <c r="N2609" s="1" t="s">
        <v>356</v>
      </c>
      <c r="O2609" s="2">
        <v>42094.0</v>
      </c>
      <c r="P2609" s="1">
        <v>80732.0</v>
      </c>
      <c r="Q2609" s="1">
        <v>8079.0</v>
      </c>
      <c r="S2609" s="1">
        <v>424.0</v>
      </c>
      <c r="T2609" s="1" t="s">
        <v>23368</v>
      </c>
      <c r="U2609" s="1" t="s">
        <v>320</v>
      </c>
      <c r="V2609" s="1" t="s">
        <v>2249</v>
      </c>
      <c r="W2609" s="1">
        <v>60177.0</v>
      </c>
      <c r="Y2609" s="1" t="s">
        <v>23369</v>
      </c>
      <c r="Z2609" s="1">
        <v>2006.0</v>
      </c>
      <c r="AA2609" s="1" t="s">
        <v>200</v>
      </c>
      <c r="AB2609" s="1" t="s">
        <v>193</v>
      </c>
      <c r="AD2609" s="1" t="s">
        <v>2252</v>
      </c>
      <c r="AE2609" s="1" t="s">
        <v>325</v>
      </c>
      <c r="AF2609" s="1" t="s">
        <v>469</v>
      </c>
      <c r="AH2609" s="1" t="s">
        <v>3573</v>
      </c>
      <c r="AK2609" s="1">
        <v>8.0</v>
      </c>
      <c r="AL2609" s="1">
        <v>4.0</v>
      </c>
      <c r="AM2609" s="1">
        <v>3.0</v>
      </c>
      <c r="AN2609" s="1">
        <v>1.0</v>
      </c>
      <c r="AO2609" s="1" t="s">
        <v>198</v>
      </c>
      <c r="AQ2609" s="1" t="s">
        <v>198</v>
      </c>
      <c r="AR2609" s="1" t="s">
        <v>192</v>
      </c>
      <c r="AS2609" s="1" t="s">
        <v>199</v>
      </c>
      <c r="AT2609" s="1">
        <v>2.0</v>
      </c>
      <c r="AV2609" s="1" t="s">
        <v>200</v>
      </c>
      <c r="AW2609" s="4">
        <v>4835.9</v>
      </c>
      <c r="AX2609" s="1">
        <v>2013.0</v>
      </c>
      <c r="AY2609" s="1" t="s">
        <v>387</v>
      </c>
      <c r="AZ2609" s="1" t="s">
        <v>200</v>
      </c>
      <c r="BA2609" s="1" t="str">
        <f>"0635255011"</f>
        <v>0635255011</v>
      </c>
      <c r="BC2609" s="1">
        <v>2113.0</v>
      </c>
      <c r="BD2609" s="1">
        <v>240000.0</v>
      </c>
      <c r="BE2609" s="2">
        <v>42026.0</v>
      </c>
      <c r="BF2609" s="2" t="s">
        <v>23370</v>
      </c>
      <c r="BH2609" s="1">
        <v>0.0</v>
      </c>
      <c r="BK2609" s="1" t="s">
        <v>204</v>
      </c>
      <c r="BL2609" s="1" t="str">
        <f t="shared" ref="BL2609:BM2609" si="1704">""</f>
        <v/>
      </c>
      <c r="BM2609" s="1" t="str">
        <f t="shared" si="1704"/>
        <v/>
      </c>
      <c r="BQ2609" s="1">
        <v>46.0</v>
      </c>
      <c r="BR2609" s="1">
        <v>46.0</v>
      </c>
      <c r="BS2609" s="1">
        <v>46.0</v>
      </c>
      <c r="BU2609" s="1" t="s">
        <v>854</v>
      </c>
      <c r="BV2609" s="1" t="s">
        <v>206</v>
      </c>
      <c r="BW2609" s="1" t="s">
        <v>207</v>
      </c>
      <c r="BX2609" s="1" t="s">
        <v>431</v>
      </c>
      <c r="BY2609" s="1" t="s">
        <v>664</v>
      </c>
      <c r="BZ2609" s="1" t="s">
        <v>209</v>
      </c>
      <c r="CA2609" s="1" t="s">
        <v>210</v>
      </c>
      <c r="CB2609" s="1" t="s">
        <v>431</v>
      </c>
      <c r="CC2609" s="1" t="s">
        <v>478</v>
      </c>
      <c r="CD2609" s="1" t="s">
        <v>206</v>
      </c>
      <c r="CE2609" s="1" t="s">
        <v>207</v>
      </c>
      <c r="CG2609" s="1" t="s">
        <v>1417</v>
      </c>
      <c r="CH2609" s="1" t="s">
        <v>209</v>
      </c>
      <c r="CI2609" s="1" t="s">
        <v>210</v>
      </c>
      <c r="CJ2609" s="1" t="s">
        <v>431</v>
      </c>
      <c r="CK2609" s="1" t="s">
        <v>1417</v>
      </c>
      <c r="CL2609" s="1" t="s">
        <v>209</v>
      </c>
      <c r="CM2609" s="1" t="s">
        <v>210</v>
      </c>
      <c r="CN2609" s="1" t="s">
        <v>431</v>
      </c>
      <c r="CO2609" s="1" t="s">
        <v>1417</v>
      </c>
      <c r="CP2609" s="1" t="s">
        <v>209</v>
      </c>
      <c r="CQ2609" s="1" t="s">
        <v>210</v>
      </c>
      <c r="CR2609" s="1" t="s">
        <v>431</v>
      </c>
      <c r="CS2609" s="1" t="s">
        <v>329</v>
      </c>
      <c r="CT2609" s="1" t="s">
        <v>206</v>
      </c>
      <c r="CU2609" s="1" t="s">
        <v>207</v>
      </c>
      <c r="CX2609" s="1" t="s">
        <v>204</v>
      </c>
      <c r="DA2609" s="1" t="s">
        <v>200</v>
      </c>
      <c r="DC2609" s="1" t="s">
        <v>481</v>
      </c>
      <c r="DD2609" s="1" t="s">
        <v>679</v>
      </c>
      <c r="DE2609" s="1" t="s">
        <v>273</v>
      </c>
      <c r="DF2609" s="1" t="s">
        <v>619</v>
      </c>
      <c r="DG2609" s="1" t="s">
        <v>337</v>
      </c>
      <c r="DH2609" s="1" t="s">
        <v>220</v>
      </c>
      <c r="DI2609" s="1" t="s">
        <v>732</v>
      </c>
      <c r="DJ2609" s="1" t="s">
        <v>222</v>
      </c>
      <c r="DK2609" s="1" t="s">
        <v>3740</v>
      </c>
      <c r="DL2609" s="1" t="s">
        <v>224</v>
      </c>
      <c r="DM2609" s="1" t="s">
        <v>229</v>
      </c>
      <c r="DN2609" s="1" t="s">
        <v>1504</v>
      </c>
      <c r="DQ2609" s="1" t="s">
        <v>228</v>
      </c>
      <c r="DR2609" s="1" t="s">
        <v>229</v>
      </c>
      <c r="DS2609" s="1" t="s">
        <v>591</v>
      </c>
      <c r="DU2609" s="1" t="s">
        <v>23371</v>
      </c>
      <c r="DV2609" s="1" t="s">
        <v>450</v>
      </c>
      <c r="DW2609" s="1" t="s">
        <v>832</v>
      </c>
      <c r="DX2609" s="1" t="s">
        <v>234</v>
      </c>
      <c r="DY2609" s="1" t="s">
        <v>596</v>
      </c>
      <c r="DZ2609" s="1" t="s">
        <v>14662</v>
      </c>
      <c r="EC2609" s="1" t="s">
        <v>237</v>
      </c>
      <c r="ED2609" s="1" t="s">
        <v>12249</v>
      </c>
      <c r="EG2609" s="1" t="s">
        <v>450</v>
      </c>
      <c r="EH2609" s="1" t="s">
        <v>450</v>
      </c>
      <c r="EL2609" s="1" t="s">
        <v>208</v>
      </c>
      <c r="EM2609" s="1" t="s">
        <v>42</v>
      </c>
      <c r="EN2609" s="1" t="s">
        <v>210</v>
      </c>
      <c r="EO2609" s="1" t="s">
        <v>431</v>
      </c>
      <c r="EP2609" s="1" t="s">
        <v>2082</v>
      </c>
      <c r="EQ2609" s="1" t="s">
        <v>42</v>
      </c>
      <c r="ER2609" s="1" t="s">
        <v>210</v>
      </c>
      <c r="ES2609" s="1" t="s">
        <v>431</v>
      </c>
      <c r="EU2609" s="1" t="s">
        <v>238</v>
      </c>
      <c r="EY2609" s="1" t="s">
        <v>238</v>
      </c>
      <c r="FC2609" s="1" t="s">
        <v>238</v>
      </c>
      <c r="FF2609" s="1" t="s">
        <v>239</v>
      </c>
      <c r="FG2609" s="1" t="s">
        <v>192</v>
      </c>
      <c r="FH2609" s="1" t="s">
        <v>192</v>
      </c>
      <c r="FJ2609" s="1" t="s">
        <v>23372</v>
      </c>
      <c r="FK2609" s="1" t="s">
        <v>229</v>
      </c>
      <c r="FL2609" s="1" t="s">
        <v>14640</v>
      </c>
      <c r="FM2609" s="1">
        <v>372.0</v>
      </c>
      <c r="FN2609" s="1" t="s">
        <v>14641</v>
      </c>
      <c r="FO2609" s="1" t="s">
        <v>23373</v>
      </c>
      <c r="FP2609" s="1">
        <v>8619.0</v>
      </c>
      <c r="FQ2609" s="1" t="s">
        <v>23374</v>
      </c>
      <c r="FU2609" s="1" t="s">
        <v>23375</v>
      </c>
      <c r="FV2609" s="1" t="s">
        <v>192</v>
      </c>
      <c r="FW2609" s="1" t="s">
        <v>23373</v>
      </c>
      <c r="FZ2609" s="1" t="s">
        <v>229</v>
      </c>
      <c r="GA2609" s="1" t="s">
        <v>291</v>
      </c>
      <c r="GB2609" s="2">
        <v>42094.0</v>
      </c>
      <c r="GC2609" s="1" t="s">
        <v>23376</v>
      </c>
    </row>
    <row r="2610">
      <c r="A2610" s="1">
        <v>899000.0</v>
      </c>
      <c r="B2610" s="1" t="s">
        <v>185</v>
      </c>
      <c r="C2610" s="1" t="str">
        <f>"08828993"</f>
        <v>08828993</v>
      </c>
      <c r="D2610" s="1" t="s">
        <v>186</v>
      </c>
      <c r="F2610" s="1" t="str">
        <f>"8005"</f>
        <v>8005</v>
      </c>
      <c r="G2610" s="2">
        <v>42037.0</v>
      </c>
      <c r="H2610" s="1">
        <v>899000.0</v>
      </c>
      <c r="I2610" s="1">
        <v>19.0</v>
      </c>
      <c r="J2610" s="1">
        <v>899000.0</v>
      </c>
      <c r="K2610" s="2">
        <v>42055.0</v>
      </c>
      <c r="L2610" s="1">
        <v>19.0</v>
      </c>
      <c r="M2610" s="2">
        <v>42055.0</v>
      </c>
      <c r="N2610" s="1" t="s">
        <v>187</v>
      </c>
      <c r="O2610" s="2">
        <v>42093.0</v>
      </c>
      <c r="P2610" s="1">
        <v>125093.0</v>
      </c>
      <c r="Q2610" s="1">
        <v>12604.0</v>
      </c>
      <c r="S2610" s="1">
        <v>2416.0</v>
      </c>
      <c r="T2610" s="1" t="s">
        <v>6969</v>
      </c>
      <c r="U2610" s="1" t="s">
        <v>320</v>
      </c>
      <c r="V2610" s="1" t="s">
        <v>190</v>
      </c>
      <c r="W2610" s="1">
        <v>60618.0</v>
      </c>
      <c r="Y2610" s="1" t="s">
        <v>23377</v>
      </c>
      <c r="Z2610" s="1">
        <v>2015.0</v>
      </c>
      <c r="AA2610" s="1" t="s">
        <v>200</v>
      </c>
      <c r="AB2610" s="1" t="s">
        <v>193</v>
      </c>
      <c r="AD2610" s="1" t="s">
        <v>194</v>
      </c>
      <c r="AE2610" s="1" t="s">
        <v>195</v>
      </c>
      <c r="AF2610" s="1" t="s">
        <v>2645</v>
      </c>
      <c r="AH2610" s="1" t="s">
        <v>6971</v>
      </c>
      <c r="AK2610" s="1">
        <v>11.0</v>
      </c>
      <c r="AL2610" s="1">
        <v>4.0</v>
      </c>
      <c r="AM2610" s="1">
        <v>3.0</v>
      </c>
      <c r="AN2610" s="1">
        <v>1.0</v>
      </c>
      <c r="AO2610" s="1" t="s">
        <v>198</v>
      </c>
      <c r="AP2610" s="1">
        <v>1.0</v>
      </c>
      <c r="AQ2610" s="1" t="s">
        <v>472</v>
      </c>
      <c r="AR2610" s="1" t="s">
        <v>192</v>
      </c>
      <c r="AS2610" s="1" t="s">
        <v>199</v>
      </c>
      <c r="AT2610" s="1">
        <v>2.0</v>
      </c>
      <c r="AV2610" s="1" t="s">
        <v>200</v>
      </c>
      <c r="AW2610" s="1" t="s">
        <v>575</v>
      </c>
      <c r="AX2610" s="1">
        <v>2013.0</v>
      </c>
      <c r="AY2610" s="1" t="s">
        <v>229</v>
      </c>
      <c r="AZ2610" s="1" t="s">
        <v>200</v>
      </c>
      <c r="BA2610" s="1" t="str">
        <f>"13242090180000"</f>
        <v>13242090180000</v>
      </c>
      <c r="BC2610" s="1">
        <v>3750.0</v>
      </c>
      <c r="BD2610" s="1">
        <v>899000.0</v>
      </c>
      <c r="BE2610" s="2">
        <v>42037.0</v>
      </c>
      <c r="BF2610" s="2" t="s">
        <v>23378</v>
      </c>
      <c r="BG2610" s="1" t="s">
        <v>6973</v>
      </c>
      <c r="BH2610" s="1">
        <v>0.0</v>
      </c>
      <c r="BJ2610" s="1" t="s">
        <v>538</v>
      </c>
      <c r="BK2610" s="1" t="s">
        <v>204</v>
      </c>
      <c r="BL2610" s="1" t="str">
        <f>"3600"</f>
        <v>3600</v>
      </c>
      <c r="BM2610" s="1" t="str">
        <f>"0"</f>
        <v>0</v>
      </c>
      <c r="BN2610" s="1">
        <v>2416.0</v>
      </c>
      <c r="BO2610" s="1">
        <v>0.0</v>
      </c>
      <c r="BQ2610" s="1">
        <v>299.0</v>
      </c>
      <c r="BR2610" s="1">
        <v>299.0</v>
      </c>
      <c r="BS2610" s="1">
        <v>299.0</v>
      </c>
      <c r="BU2610" s="1" t="s">
        <v>262</v>
      </c>
      <c r="BV2610" s="1" t="s">
        <v>206</v>
      </c>
      <c r="BW2610" s="1" t="s">
        <v>207</v>
      </c>
      <c r="BY2610" s="1" t="s">
        <v>260</v>
      </c>
      <c r="BZ2610" s="1" t="s">
        <v>209</v>
      </c>
      <c r="CA2610" s="1" t="s">
        <v>207</v>
      </c>
      <c r="CC2610" s="1" t="s">
        <v>582</v>
      </c>
      <c r="CD2610" s="1" t="s">
        <v>206</v>
      </c>
      <c r="CE2610" s="1" t="s">
        <v>207</v>
      </c>
      <c r="CG2610" s="1" t="s">
        <v>925</v>
      </c>
      <c r="CH2610" s="1" t="s">
        <v>209</v>
      </c>
      <c r="CI2610" s="1" t="s">
        <v>207</v>
      </c>
      <c r="CK2610" s="1" t="s">
        <v>264</v>
      </c>
      <c r="CL2610" s="1" t="s">
        <v>209</v>
      </c>
      <c r="CM2610" s="1" t="s">
        <v>207</v>
      </c>
      <c r="CO2610" s="1" t="s">
        <v>495</v>
      </c>
      <c r="CP2610" s="1" t="s">
        <v>267</v>
      </c>
      <c r="CQ2610" s="1" t="s">
        <v>210</v>
      </c>
      <c r="CS2610" s="1" t="s">
        <v>3594</v>
      </c>
      <c r="CT2610" s="1" t="s">
        <v>206</v>
      </c>
      <c r="CU2610" s="1" t="s">
        <v>207</v>
      </c>
      <c r="CW2610" s="1" t="s">
        <v>260</v>
      </c>
      <c r="CX2610" s="1" t="s">
        <v>267</v>
      </c>
      <c r="CY2610" s="1" t="s">
        <v>210</v>
      </c>
      <c r="DA2610" s="1" t="s">
        <v>192</v>
      </c>
      <c r="DB2610" s="2">
        <v>42083.0</v>
      </c>
      <c r="DC2610" s="1" t="s">
        <v>744</v>
      </c>
      <c r="DD2610" s="1" t="s">
        <v>1838</v>
      </c>
      <c r="DE2610" s="1" t="s">
        <v>218</v>
      </c>
      <c r="DF2610" s="1" t="s">
        <v>745</v>
      </c>
      <c r="DG2610" s="1" t="s">
        <v>5068</v>
      </c>
      <c r="DH2610" s="1" t="s">
        <v>365</v>
      </c>
      <c r="DI2610" s="1" t="s">
        <v>519</v>
      </c>
      <c r="DJ2610" s="1" t="s">
        <v>222</v>
      </c>
      <c r="DL2610" s="1" t="s">
        <v>224</v>
      </c>
      <c r="DM2610" s="1" t="s">
        <v>229</v>
      </c>
      <c r="DN2610" s="1" t="s">
        <v>6974</v>
      </c>
      <c r="DO2610" s="1" t="s">
        <v>4234</v>
      </c>
      <c r="DP2610" s="1" t="s">
        <v>340</v>
      </c>
      <c r="DQ2610" s="1" t="s">
        <v>718</v>
      </c>
      <c r="DR2610" s="1" t="s">
        <v>229</v>
      </c>
      <c r="DS2610" s="1" t="s">
        <v>230</v>
      </c>
      <c r="DU2610" s="1" t="s">
        <v>6975</v>
      </c>
      <c r="DV2610" s="1" t="s">
        <v>6976</v>
      </c>
      <c r="DW2610" s="1" t="s">
        <v>1026</v>
      </c>
      <c r="DX2610" s="1" t="s">
        <v>234</v>
      </c>
      <c r="DY2610" s="1" t="s">
        <v>6977</v>
      </c>
      <c r="DZ2610" s="1" t="s">
        <v>6978</v>
      </c>
      <c r="EA2610" s="1" t="s">
        <v>1027</v>
      </c>
      <c r="EB2610" s="1" t="s">
        <v>6979</v>
      </c>
      <c r="EC2610" s="1" t="s">
        <v>237</v>
      </c>
      <c r="ED2610" s="1" t="s">
        <v>555</v>
      </c>
      <c r="EE2610" s="1" t="s">
        <v>187</v>
      </c>
      <c r="EG2610" s="1" t="s">
        <v>556</v>
      </c>
      <c r="EH2610" s="1" t="s">
        <v>1164</v>
      </c>
      <c r="EI2610" s="1" t="s">
        <v>450</v>
      </c>
      <c r="EL2610" s="1" t="s">
        <v>265</v>
      </c>
      <c r="EM2610" s="1" t="s">
        <v>206</v>
      </c>
      <c r="EN2610" s="1" t="s">
        <v>207</v>
      </c>
      <c r="EP2610" s="1" t="s">
        <v>480</v>
      </c>
      <c r="EQ2610" s="1" t="s">
        <v>206</v>
      </c>
      <c r="ER2610" s="1" t="s">
        <v>207</v>
      </c>
      <c r="ET2610" s="1" t="s">
        <v>5291</v>
      </c>
      <c r="EU2610" s="1" t="s">
        <v>267</v>
      </c>
      <c r="EV2610" s="1" t="s">
        <v>210</v>
      </c>
      <c r="EY2610" s="1" t="s">
        <v>238</v>
      </c>
      <c r="FC2610" s="1" t="s">
        <v>238</v>
      </c>
      <c r="FF2610" s="1" t="s">
        <v>239</v>
      </c>
      <c r="FG2610" s="1" t="s">
        <v>192</v>
      </c>
      <c r="FH2610" s="1" t="s">
        <v>192</v>
      </c>
      <c r="FJ2610" s="1" t="s">
        <v>412</v>
      </c>
      <c r="FK2610" s="1" t="s">
        <v>229</v>
      </c>
      <c r="FL2610" s="1" t="s">
        <v>5070</v>
      </c>
      <c r="FM2610" s="1">
        <v>12604.0</v>
      </c>
      <c r="FN2610" s="1" t="s">
        <v>5071</v>
      </c>
      <c r="FO2610" s="1" t="s">
        <v>5072</v>
      </c>
      <c r="FP2610" s="1">
        <v>125093.0</v>
      </c>
      <c r="FQ2610" s="1" t="s">
        <v>5073</v>
      </c>
      <c r="FR2610" s="1">
        <v>148835.0</v>
      </c>
      <c r="FU2610" s="1" t="s">
        <v>5074</v>
      </c>
      <c r="FV2610" s="1" t="s">
        <v>200</v>
      </c>
      <c r="FW2610" s="1" t="s">
        <v>530</v>
      </c>
      <c r="FX2610" s="1" t="s">
        <v>246</v>
      </c>
      <c r="FZ2610" s="1" t="s">
        <v>229</v>
      </c>
      <c r="GA2610" s="1" t="s">
        <v>291</v>
      </c>
      <c r="GB2610" s="2">
        <v>42095.0</v>
      </c>
      <c r="GC2610" s="1" t="s">
        <v>23379</v>
      </c>
    </row>
    <row r="2611">
      <c r="A2611" s="1">
        <v>170000.0</v>
      </c>
      <c r="B2611" s="1" t="s">
        <v>185</v>
      </c>
      <c r="C2611" s="1" t="str">
        <f>"08822143"</f>
        <v>08822143</v>
      </c>
      <c r="D2611" s="1" t="s">
        <v>186</v>
      </c>
      <c r="F2611" s="1" t="str">
        <f>"8057"</f>
        <v>8057</v>
      </c>
      <c r="G2611" s="2">
        <v>42026.0</v>
      </c>
      <c r="H2611" s="1">
        <v>179900.0</v>
      </c>
      <c r="I2611" s="1">
        <v>40.0</v>
      </c>
      <c r="J2611" s="1">
        <v>174900.0</v>
      </c>
      <c r="K2611" s="2">
        <v>42065.0</v>
      </c>
      <c r="L2611" s="1">
        <v>40.0</v>
      </c>
      <c r="M2611" s="2">
        <v>42065.0</v>
      </c>
      <c r="N2611" s="1" t="s">
        <v>356</v>
      </c>
      <c r="O2611" s="2">
        <v>42094.0</v>
      </c>
      <c r="P2611" s="1">
        <v>878655.0</v>
      </c>
      <c r="Q2611" s="1">
        <v>40139.0</v>
      </c>
      <c r="R2611" s="1">
        <v>5100.0</v>
      </c>
      <c r="S2611" s="1">
        <v>5232.0</v>
      </c>
      <c r="T2611" s="1" t="s">
        <v>2858</v>
      </c>
      <c r="U2611" s="1" t="s">
        <v>189</v>
      </c>
      <c r="V2611" s="1" t="s">
        <v>190</v>
      </c>
      <c r="W2611" s="1">
        <v>60632.0</v>
      </c>
      <c r="Y2611" s="1" t="s">
        <v>23380</v>
      </c>
      <c r="Z2611" s="1">
        <v>1956.0</v>
      </c>
      <c r="AA2611" s="1" t="s">
        <v>192</v>
      </c>
      <c r="AB2611" s="1" t="s">
        <v>193</v>
      </c>
      <c r="AD2611" s="1" t="s">
        <v>194</v>
      </c>
      <c r="AE2611" s="1" t="s">
        <v>195</v>
      </c>
      <c r="AF2611" s="1" t="s">
        <v>659</v>
      </c>
      <c r="AH2611" s="1">
        <v>0.0</v>
      </c>
      <c r="AK2611" s="1">
        <v>8.0</v>
      </c>
      <c r="AL2611" s="1">
        <v>2.0</v>
      </c>
      <c r="AM2611" s="1">
        <v>2.0</v>
      </c>
      <c r="AN2611" s="1">
        <v>0.0</v>
      </c>
      <c r="AO2611" s="1" t="s">
        <v>229</v>
      </c>
      <c r="AQ2611" s="1" t="s">
        <v>198</v>
      </c>
      <c r="AR2611" s="1" t="s">
        <v>200</v>
      </c>
      <c r="AS2611" s="1" t="s">
        <v>199</v>
      </c>
      <c r="AT2611" s="1">
        <v>2.0</v>
      </c>
      <c r="AV2611" s="1" t="s">
        <v>200</v>
      </c>
      <c r="AW2611" s="1">
        <v>1889.0</v>
      </c>
      <c r="AX2611" s="1">
        <v>2012.0</v>
      </c>
      <c r="AZ2611" s="1" t="s">
        <v>200</v>
      </c>
      <c r="BA2611" s="1" t="str">
        <f>"19104040280000"</f>
        <v>19104040280000</v>
      </c>
      <c r="BC2611" s="1">
        <v>0.0</v>
      </c>
      <c r="BD2611" s="1">
        <v>170000.0</v>
      </c>
      <c r="BE2611" s="2">
        <v>42026.0</v>
      </c>
      <c r="BF2611" s="2" t="s">
        <v>23381</v>
      </c>
      <c r="BH2611" s="1">
        <v>0.0</v>
      </c>
      <c r="BK2611" s="1" t="s">
        <v>204</v>
      </c>
      <c r="BL2611" s="1" t="str">
        <f t="shared" ref="BL2611:BM2611" si="1705">"0"</f>
        <v>0</v>
      </c>
      <c r="BM2611" s="1" t="str">
        <f t="shared" si="1705"/>
        <v>0</v>
      </c>
      <c r="BN2611" s="1">
        <v>4332.0</v>
      </c>
      <c r="BO2611" s="1">
        <v>5232.0</v>
      </c>
      <c r="BQ2611" s="1">
        <v>299.0</v>
      </c>
      <c r="BR2611" s="1">
        <v>299.0</v>
      </c>
      <c r="BS2611" s="1">
        <v>299.0</v>
      </c>
      <c r="BU2611" s="1" t="s">
        <v>2647</v>
      </c>
      <c r="BV2611" s="1" t="s">
        <v>206</v>
      </c>
      <c r="BW2611" s="1" t="s">
        <v>207</v>
      </c>
      <c r="BY2611" s="1" t="s">
        <v>663</v>
      </c>
      <c r="BZ2611" s="1" t="s">
        <v>206</v>
      </c>
      <c r="CA2611" s="1" t="s">
        <v>207</v>
      </c>
      <c r="CD2611" s="1" t="s">
        <v>204</v>
      </c>
      <c r="CG2611" s="1" t="s">
        <v>663</v>
      </c>
      <c r="CH2611" s="1" t="s">
        <v>206</v>
      </c>
      <c r="CI2611" s="1" t="s">
        <v>207</v>
      </c>
      <c r="CK2611" s="1" t="s">
        <v>3805</v>
      </c>
      <c r="CL2611" s="1" t="s">
        <v>42</v>
      </c>
      <c r="CM2611" s="1" t="s">
        <v>268</v>
      </c>
      <c r="CO2611" s="1" t="s">
        <v>3805</v>
      </c>
      <c r="CP2611" s="1" t="s">
        <v>42</v>
      </c>
      <c r="CQ2611" s="1" t="s">
        <v>268</v>
      </c>
      <c r="CS2611" s="1" t="s">
        <v>663</v>
      </c>
      <c r="CT2611" s="1" t="s">
        <v>206</v>
      </c>
      <c r="CU2611" s="1" t="s">
        <v>268</v>
      </c>
      <c r="CW2611" s="1" t="s">
        <v>5334</v>
      </c>
      <c r="CX2611" s="1" t="s">
        <v>42</v>
      </c>
      <c r="CY2611" s="1" t="s">
        <v>207</v>
      </c>
      <c r="DA2611" s="1" t="s">
        <v>200</v>
      </c>
      <c r="DC2611" s="1" t="s">
        <v>271</v>
      </c>
      <c r="DE2611" s="1" t="s">
        <v>273</v>
      </c>
      <c r="DF2611" s="1" t="s">
        <v>619</v>
      </c>
      <c r="DH2611" s="1" t="s">
        <v>220</v>
      </c>
      <c r="DJ2611" s="1" t="s">
        <v>222</v>
      </c>
      <c r="DL2611" s="1" t="s">
        <v>224</v>
      </c>
      <c r="DM2611" s="1" t="s">
        <v>229</v>
      </c>
      <c r="DQ2611" s="1" t="s">
        <v>718</v>
      </c>
      <c r="DR2611" s="1" t="s">
        <v>229</v>
      </c>
      <c r="DV2611" s="1" t="s">
        <v>449</v>
      </c>
      <c r="DW2611" s="1" t="s">
        <v>279</v>
      </c>
      <c r="DX2611" s="1" t="s">
        <v>309</v>
      </c>
      <c r="EC2611" s="1" t="s">
        <v>685</v>
      </c>
      <c r="EE2611" s="1" t="s">
        <v>522</v>
      </c>
      <c r="EG2611" s="1" t="s">
        <v>449</v>
      </c>
      <c r="EL2611" s="1" t="s">
        <v>663</v>
      </c>
      <c r="EM2611" s="1" t="s">
        <v>42</v>
      </c>
      <c r="EN2611" s="1" t="s">
        <v>268</v>
      </c>
      <c r="EQ2611" s="1" t="s">
        <v>238</v>
      </c>
      <c r="EU2611" s="1" t="s">
        <v>238</v>
      </c>
      <c r="EY2611" s="1" t="s">
        <v>238</v>
      </c>
      <c r="FC2611" s="1" t="s">
        <v>238</v>
      </c>
      <c r="FF2611" s="1" t="s">
        <v>239</v>
      </c>
      <c r="FG2611" s="1" t="s">
        <v>192</v>
      </c>
      <c r="FH2611" s="1" t="s">
        <v>192</v>
      </c>
      <c r="FJ2611" s="1" t="s">
        <v>23382</v>
      </c>
      <c r="FK2611" s="1" t="s">
        <v>229</v>
      </c>
      <c r="FL2611" s="1" t="s">
        <v>2111</v>
      </c>
      <c r="FM2611" s="1">
        <v>12555.0</v>
      </c>
      <c r="FN2611" s="1" t="s">
        <v>2112</v>
      </c>
      <c r="FO2611" s="1" t="s">
        <v>23383</v>
      </c>
      <c r="FP2611" s="1">
        <v>131320.0</v>
      </c>
      <c r="FQ2611" s="1" t="s">
        <v>23384</v>
      </c>
      <c r="FU2611" s="1" t="s">
        <v>1438</v>
      </c>
      <c r="FV2611" s="1" t="s">
        <v>200</v>
      </c>
      <c r="FW2611" s="1" t="s">
        <v>9558</v>
      </c>
      <c r="FX2611" s="1" t="s">
        <v>655</v>
      </c>
      <c r="FZ2611" s="1" t="s">
        <v>229</v>
      </c>
      <c r="GA2611" s="1" t="s">
        <v>291</v>
      </c>
      <c r="GB2611" s="2">
        <v>42094.0</v>
      </c>
      <c r="GC2611" s="1" t="s">
        <v>23385</v>
      </c>
    </row>
    <row r="2612">
      <c r="A2612" s="1">
        <v>191000.0</v>
      </c>
      <c r="B2612" s="1" t="s">
        <v>185</v>
      </c>
      <c r="C2612" s="1" t="str">
        <f>"08828953"</f>
        <v>08828953</v>
      </c>
      <c r="D2612" s="1" t="s">
        <v>186</v>
      </c>
      <c r="F2612" s="1" t="str">
        <f>"8020"</f>
        <v>8020</v>
      </c>
      <c r="G2612" s="2">
        <v>42037.0</v>
      </c>
      <c r="H2612" s="1">
        <v>184900.0</v>
      </c>
      <c r="I2612" s="1">
        <v>14.0</v>
      </c>
      <c r="J2612" s="1">
        <v>184900.0</v>
      </c>
      <c r="K2612" s="2">
        <v>42048.0</v>
      </c>
      <c r="L2612" s="1">
        <v>14.0</v>
      </c>
      <c r="M2612" s="2">
        <v>42048.0</v>
      </c>
      <c r="N2612" s="1" t="s">
        <v>187</v>
      </c>
      <c r="O2612" s="2">
        <v>42117.0</v>
      </c>
      <c r="P2612" s="1">
        <v>842001.0</v>
      </c>
      <c r="Q2612" s="1">
        <v>85774.0</v>
      </c>
      <c r="S2612" s="1">
        <v>2907.0</v>
      </c>
      <c r="T2612" s="1" t="s">
        <v>5076</v>
      </c>
      <c r="U2612" s="1" t="s">
        <v>189</v>
      </c>
      <c r="V2612" s="1" t="s">
        <v>190</v>
      </c>
      <c r="W2612" s="1">
        <v>60641.0</v>
      </c>
      <c r="Y2612" s="1" t="s">
        <v>23386</v>
      </c>
      <c r="Z2612" s="1">
        <v>1925.0</v>
      </c>
      <c r="AA2612" s="1" t="s">
        <v>192</v>
      </c>
      <c r="AB2612" s="1" t="s">
        <v>193</v>
      </c>
      <c r="AD2612" s="1" t="s">
        <v>194</v>
      </c>
      <c r="AE2612" s="1" t="s">
        <v>195</v>
      </c>
      <c r="AF2612" s="1" t="s">
        <v>2645</v>
      </c>
      <c r="AH2612" s="1">
        <v>3125.0</v>
      </c>
      <c r="AI2612" s="1">
        <v>0.0668</v>
      </c>
      <c r="AK2612" s="1">
        <v>8.0</v>
      </c>
      <c r="AL2612" s="1">
        <v>3.0</v>
      </c>
      <c r="AM2612" s="1">
        <v>3.0</v>
      </c>
      <c r="AN2612" s="1">
        <v>0.0</v>
      </c>
      <c r="AO2612" s="1" t="s">
        <v>229</v>
      </c>
      <c r="AQ2612" s="1" t="s">
        <v>198</v>
      </c>
      <c r="AR2612" s="1" t="s">
        <v>192</v>
      </c>
      <c r="AS2612" s="1" t="s">
        <v>199</v>
      </c>
      <c r="AT2612" s="1">
        <v>2.5</v>
      </c>
      <c r="AV2612" s="1" t="s">
        <v>200</v>
      </c>
      <c r="AW2612" s="1">
        <v>4117.38</v>
      </c>
      <c r="AX2612" s="1">
        <v>2013.0</v>
      </c>
      <c r="AZ2612" s="1" t="s">
        <v>200</v>
      </c>
      <c r="BA2612" s="1" t="str">
        <f>"13272160160000"</f>
        <v>13272160160000</v>
      </c>
      <c r="BC2612" s="1">
        <v>0.0</v>
      </c>
      <c r="BD2612" s="1">
        <v>191000.0</v>
      </c>
      <c r="BE2612" s="2">
        <v>42035.0</v>
      </c>
      <c r="BF2612" s="2" t="s">
        <v>23387</v>
      </c>
      <c r="BH2612" s="1">
        <v>0.0</v>
      </c>
      <c r="BK2612" s="1" t="s">
        <v>204</v>
      </c>
      <c r="BL2612" s="1" t="str">
        <f>"2907"</f>
        <v>2907</v>
      </c>
      <c r="BM2612" s="1" t="str">
        <f>"0"</f>
        <v>0</v>
      </c>
      <c r="BN2612" s="1">
        <v>4200.0</v>
      </c>
      <c r="BO2612" s="1">
        <v>0.0</v>
      </c>
      <c r="BQ2612" s="1">
        <v>299.0</v>
      </c>
      <c r="BR2612" s="1">
        <v>299.0</v>
      </c>
      <c r="BS2612" s="1">
        <v>299.0</v>
      </c>
      <c r="BU2612" s="1" t="s">
        <v>214</v>
      </c>
      <c r="BV2612" s="1" t="s">
        <v>206</v>
      </c>
      <c r="BW2612" s="1" t="s">
        <v>207</v>
      </c>
      <c r="BY2612" s="1" t="s">
        <v>454</v>
      </c>
      <c r="BZ2612" s="1" t="s">
        <v>209</v>
      </c>
      <c r="CA2612" s="1" t="s">
        <v>207</v>
      </c>
      <c r="CC2612" s="1" t="s">
        <v>433</v>
      </c>
      <c r="CD2612" s="1" t="s">
        <v>206</v>
      </c>
      <c r="CE2612" s="1" t="s">
        <v>207</v>
      </c>
      <c r="CG2612" s="1" t="s">
        <v>433</v>
      </c>
      <c r="CH2612" s="1" t="s">
        <v>209</v>
      </c>
      <c r="CI2612" s="1" t="s">
        <v>207</v>
      </c>
      <c r="CK2612" s="1" t="s">
        <v>215</v>
      </c>
      <c r="CL2612" s="1" t="s">
        <v>206</v>
      </c>
      <c r="CM2612" s="1" t="s">
        <v>207</v>
      </c>
      <c r="CO2612" s="1" t="s">
        <v>215</v>
      </c>
      <c r="CP2612" s="1" t="s">
        <v>42</v>
      </c>
      <c r="CQ2612" s="1" t="s">
        <v>617</v>
      </c>
      <c r="CS2612" s="1" t="s">
        <v>758</v>
      </c>
      <c r="CT2612" s="1" t="s">
        <v>206</v>
      </c>
      <c r="CU2612" s="1" t="s">
        <v>617</v>
      </c>
      <c r="CX2612" s="1" t="s">
        <v>204</v>
      </c>
      <c r="DA2612" s="1" t="s">
        <v>200</v>
      </c>
      <c r="DC2612" s="1" t="s">
        <v>785</v>
      </c>
      <c r="DE2612" s="1" t="s">
        <v>1300</v>
      </c>
      <c r="DF2612" s="1" t="s">
        <v>787</v>
      </c>
      <c r="DH2612" s="1" t="s">
        <v>365</v>
      </c>
      <c r="DJ2612" s="1" t="s">
        <v>222</v>
      </c>
      <c r="DL2612" s="1" t="s">
        <v>224</v>
      </c>
      <c r="DM2612" s="1" t="s">
        <v>338</v>
      </c>
      <c r="DQ2612" s="1" t="s">
        <v>228</v>
      </c>
      <c r="DR2612" s="1" t="s">
        <v>229</v>
      </c>
      <c r="DV2612" s="1" t="s">
        <v>450</v>
      </c>
      <c r="DW2612" s="1" t="s">
        <v>279</v>
      </c>
      <c r="DX2612" s="1" t="s">
        <v>234</v>
      </c>
      <c r="EC2612" s="1" t="s">
        <v>645</v>
      </c>
      <c r="EG2612" s="1" t="s">
        <v>450</v>
      </c>
      <c r="EL2612" s="1" t="s">
        <v>480</v>
      </c>
      <c r="EM2612" s="1" t="s">
        <v>42</v>
      </c>
      <c r="EN2612" s="1" t="s">
        <v>617</v>
      </c>
      <c r="EQ2612" s="1" t="s">
        <v>238</v>
      </c>
      <c r="EU2612" s="1" t="s">
        <v>238</v>
      </c>
      <c r="EY2612" s="1" t="s">
        <v>238</v>
      </c>
      <c r="FC2612" s="1" t="s">
        <v>238</v>
      </c>
      <c r="FF2612" s="1" t="s">
        <v>239</v>
      </c>
      <c r="FG2612" s="1" t="s">
        <v>192</v>
      </c>
      <c r="FH2612" s="1" t="s">
        <v>192</v>
      </c>
      <c r="FJ2612" s="1" t="s">
        <v>1248</v>
      </c>
      <c r="FK2612" s="1" t="s">
        <v>229</v>
      </c>
      <c r="FL2612" s="1" t="s">
        <v>23388</v>
      </c>
      <c r="FM2612" s="1">
        <v>3903.0</v>
      </c>
      <c r="FN2612" s="1" t="s">
        <v>23389</v>
      </c>
      <c r="FO2612" s="1" t="s">
        <v>23390</v>
      </c>
      <c r="FP2612" s="1">
        <v>33443.0</v>
      </c>
      <c r="FQ2612" s="1" t="s">
        <v>23391</v>
      </c>
      <c r="FU2612" s="1" t="s">
        <v>23392</v>
      </c>
      <c r="FV2612" s="1" t="s">
        <v>200</v>
      </c>
      <c r="FW2612" s="1" t="s">
        <v>354</v>
      </c>
      <c r="FX2612" s="1" t="s">
        <v>238</v>
      </c>
      <c r="FZ2612" s="1" t="s">
        <v>229</v>
      </c>
      <c r="GA2612" s="1" t="s">
        <v>291</v>
      </c>
      <c r="GB2612" s="2">
        <v>42122.0</v>
      </c>
      <c r="GC2612" s="1" t="s">
        <v>23393</v>
      </c>
    </row>
    <row r="2613">
      <c r="A2613" s="1">
        <v>371000.0</v>
      </c>
      <c r="B2613" s="1" t="s">
        <v>185</v>
      </c>
      <c r="C2613" s="1" t="str">
        <f>"08830256"</f>
        <v>08830256</v>
      </c>
      <c r="D2613" s="1" t="s">
        <v>186</v>
      </c>
      <c r="F2613" s="1" t="str">
        <f>"134"</f>
        <v>134</v>
      </c>
      <c r="G2613" s="2">
        <v>42038.0</v>
      </c>
      <c r="H2613" s="1">
        <v>379700.0</v>
      </c>
      <c r="I2613" s="1">
        <v>140.0</v>
      </c>
      <c r="J2613" s="1">
        <v>379700.0</v>
      </c>
      <c r="K2613" s="2">
        <v>42051.0</v>
      </c>
      <c r="L2613" s="1">
        <v>14.0</v>
      </c>
      <c r="M2613" s="2">
        <v>42051.0</v>
      </c>
      <c r="N2613" s="1" t="s">
        <v>187</v>
      </c>
      <c r="O2613" s="2">
        <v>42121.0</v>
      </c>
      <c r="P2613" s="1">
        <v>384.0</v>
      </c>
      <c r="Q2613" s="1">
        <v>890.0</v>
      </c>
      <c r="S2613" s="1">
        <v>2621.0</v>
      </c>
      <c r="T2613" s="1" t="s">
        <v>964</v>
      </c>
      <c r="U2613" s="1" t="s">
        <v>189</v>
      </c>
      <c r="V2613" s="1" t="s">
        <v>421</v>
      </c>
      <c r="W2613" s="1">
        <v>60134.0</v>
      </c>
      <c r="Y2613" s="1" t="s">
        <v>23394</v>
      </c>
      <c r="Z2613" s="1">
        <v>1994.0</v>
      </c>
      <c r="AA2613" s="1" t="s">
        <v>200</v>
      </c>
      <c r="AB2613" s="1" t="s">
        <v>193</v>
      </c>
      <c r="AC2613" s="1" t="s">
        <v>23395</v>
      </c>
      <c r="AD2613" s="1" t="s">
        <v>424</v>
      </c>
      <c r="AE2613" s="1" t="s">
        <v>325</v>
      </c>
      <c r="AF2613" s="1" t="s">
        <v>424</v>
      </c>
      <c r="AH2613" s="1" t="s">
        <v>23396</v>
      </c>
      <c r="AI2613" s="1">
        <v>0.255</v>
      </c>
      <c r="AK2613" s="1">
        <v>9.0</v>
      </c>
      <c r="AL2613" s="1">
        <v>4.0</v>
      </c>
      <c r="AM2613" s="1">
        <v>2.0</v>
      </c>
      <c r="AN2613" s="1">
        <v>1.0</v>
      </c>
      <c r="AO2613" s="1" t="s">
        <v>198</v>
      </c>
      <c r="AP2613" s="1">
        <v>1.0</v>
      </c>
      <c r="AQ2613" s="1" t="s">
        <v>1314</v>
      </c>
      <c r="AR2613" s="1" t="s">
        <v>200</v>
      </c>
      <c r="AS2613" s="1" t="s">
        <v>199</v>
      </c>
      <c r="AT2613" s="1">
        <v>3.0</v>
      </c>
      <c r="AV2613" s="1" t="s">
        <v>200</v>
      </c>
      <c r="AW2613" s="1">
        <v>10440.5</v>
      </c>
      <c r="AX2613" s="1">
        <v>2013.0</v>
      </c>
      <c r="AY2613" s="1" t="s">
        <v>387</v>
      </c>
      <c r="AZ2613" s="1" t="s">
        <v>200</v>
      </c>
      <c r="BA2613" s="1" t="str">
        <f>"1208177015"</f>
        <v>1208177015</v>
      </c>
      <c r="BC2613" s="1">
        <v>2760.0</v>
      </c>
      <c r="BD2613" s="1">
        <v>371000.0</v>
      </c>
      <c r="BE2613" s="2">
        <v>42038.0</v>
      </c>
      <c r="BF2613" s="2" t="s">
        <v>23397</v>
      </c>
      <c r="BH2613" s="1">
        <v>0.0</v>
      </c>
      <c r="BK2613" s="1" t="s">
        <v>204</v>
      </c>
      <c r="BL2613" s="1" t="str">
        <f t="shared" ref="BL2613:BM2613" si="1706">""</f>
        <v/>
      </c>
      <c r="BM2613" s="1" t="str">
        <f t="shared" si="1706"/>
        <v/>
      </c>
      <c r="BQ2613" s="1">
        <v>304.0</v>
      </c>
      <c r="BR2613" s="1">
        <v>304.0</v>
      </c>
      <c r="BS2613" s="1">
        <v>304.0</v>
      </c>
      <c r="BU2613" s="1" t="s">
        <v>758</v>
      </c>
      <c r="BV2613" s="1" t="s">
        <v>206</v>
      </c>
      <c r="BW2613" s="1" t="s">
        <v>210</v>
      </c>
      <c r="BX2613" s="1" t="s">
        <v>239</v>
      </c>
      <c r="BY2613" s="1" t="s">
        <v>544</v>
      </c>
      <c r="BZ2613" s="1" t="s">
        <v>209</v>
      </c>
      <c r="CA2613" s="1" t="s">
        <v>210</v>
      </c>
      <c r="CB2613" s="1" t="s">
        <v>239</v>
      </c>
      <c r="CC2613" s="1" t="s">
        <v>329</v>
      </c>
      <c r="CD2613" s="1" t="s">
        <v>206</v>
      </c>
      <c r="CE2613" s="1" t="s">
        <v>207</v>
      </c>
      <c r="CF2613" s="1" t="s">
        <v>239</v>
      </c>
      <c r="CG2613" s="1" t="s">
        <v>495</v>
      </c>
      <c r="CH2613" s="1" t="s">
        <v>209</v>
      </c>
      <c r="CI2613" s="1" t="s">
        <v>210</v>
      </c>
      <c r="CJ2613" s="1" t="s">
        <v>239</v>
      </c>
      <c r="CK2613" s="1" t="s">
        <v>363</v>
      </c>
      <c r="CL2613" s="1" t="s">
        <v>209</v>
      </c>
      <c r="CM2613" s="1" t="s">
        <v>210</v>
      </c>
      <c r="CN2613" s="1" t="s">
        <v>239</v>
      </c>
      <c r="CO2613" s="1" t="s">
        <v>300</v>
      </c>
      <c r="CP2613" s="1" t="s">
        <v>209</v>
      </c>
      <c r="CQ2613" s="1" t="s">
        <v>210</v>
      </c>
      <c r="CR2613" s="1" t="s">
        <v>239</v>
      </c>
      <c r="CS2613" s="1" t="s">
        <v>664</v>
      </c>
      <c r="CT2613" s="1" t="s">
        <v>206</v>
      </c>
      <c r="CU2613" s="1" t="s">
        <v>207</v>
      </c>
      <c r="CV2613" s="1" t="s">
        <v>239</v>
      </c>
      <c r="CW2613" s="1" t="s">
        <v>434</v>
      </c>
      <c r="CX2613" s="1" t="s">
        <v>206</v>
      </c>
      <c r="CY2613" s="1" t="s">
        <v>210</v>
      </c>
      <c r="CZ2613" s="1" t="s">
        <v>239</v>
      </c>
      <c r="DA2613" s="1" t="s">
        <v>200</v>
      </c>
      <c r="DC2613" s="1" t="s">
        <v>435</v>
      </c>
      <c r="DD2613" s="1" t="s">
        <v>518</v>
      </c>
      <c r="DE2613" s="1" t="s">
        <v>273</v>
      </c>
      <c r="DF2613" s="1" t="s">
        <v>219</v>
      </c>
      <c r="DG2613" s="1" t="s">
        <v>482</v>
      </c>
      <c r="DH2613" s="1" t="s">
        <v>220</v>
      </c>
      <c r="DI2613" s="1" t="s">
        <v>1003</v>
      </c>
      <c r="DJ2613" s="1" t="s">
        <v>222</v>
      </c>
      <c r="DK2613" s="1" t="s">
        <v>1555</v>
      </c>
      <c r="DL2613" s="1" t="s">
        <v>3611</v>
      </c>
      <c r="DM2613" s="1" t="s">
        <v>338</v>
      </c>
      <c r="DN2613" s="1" t="s">
        <v>485</v>
      </c>
      <c r="DO2613" s="1" t="s">
        <v>486</v>
      </c>
      <c r="DP2613" s="1" t="s">
        <v>340</v>
      </c>
      <c r="DQ2613" s="1" t="s">
        <v>441</v>
      </c>
      <c r="DR2613" s="1" t="s">
        <v>229</v>
      </c>
      <c r="DS2613" s="1" t="s">
        <v>230</v>
      </c>
      <c r="DU2613" s="1" t="s">
        <v>2677</v>
      </c>
      <c r="DV2613" s="1" t="s">
        <v>594</v>
      </c>
      <c r="DW2613" s="1" t="s">
        <v>764</v>
      </c>
      <c r="DX2613" s="1" t="s">
        <v>234</v>
      </c>
      <c r="DY2613" s="1" t="s">
        <v>490</v>
      </c>
      <c r="DZ2613" s="1" t="s">
        <v>236</v>
      </c>
      <c r="EA2613" s="1" t="s">
        <v>3308</v>
      </c>
      <c r="EB2613" s="1" t="s">
        <v>684</v>
      </c>
      <c r="EC2613" s="1" t="s">
        <v>237</v>
      </c>
      <c r="ED2613" s="1" t="s">
        <v>407</v>
      </c>
      <c r="EE2613" s="1" t="s">
        <v>493</v>
      </c>
      <c r="EG2613" s="1" t="s">
        <v>598</v>
      </c>
      <c r="EH2613" s="1" t="s">
        <v>408</v>
      </c>
      <c r="EL2613" s="1" t="s">
        <v>332</v>
      </c>
      <c r="EM2613" s="1" t="s">
        <v>206</v>
      </c>
      <c r="EN2613" s="1" t="s">
        <v>210</v>
      </c>
      <c r="EO2613" s="1" t="s">
        <v>239</v>
      </c>
      <c r="EP2613" s="1" t="s">
        <v>1874</v>
      </c>
      <c r="EQ2613" s="1" t="s">
        <v>206</v>
      </c>
      <c r="ER2613" s="1" t="s">
        <v>207</v>
      </c>
      <c r="EU2613" s="1" t="s">
        <v>238</v>
      </c>
      <c r="EY2613" s="1" t="s">
        <v>238</v>
      </c>
      <c r="FC2613" s="1" t="s">
        <v>238</v>
      </c>
      <c r="FF2613" s="1" t="s">
        <v>239</v>
      </c>
      <c r="FG2613" s="1" t="s">
        <v>192</v>
      </c>
      <c r="FH2613" s="1" t="s">
        <v>192</v>
      </c>
      <c r="FJ2613" s="1" t="s">
        <v>524</v>
      </c>
      <c r="FK2613" s="1" t="s">
        <v>229</v>
      </c>
      <c r="FL2613" s="1" t="s">
        <v>4325</v>
      </c>
      <c r="FM2613" s="1">
        <v>209.0</v>
      </c>
      <c r="FN2613" s="1" t="s">
        <v>4326</v>
      </c>
      <c r="FO2613" s="1" t="s">
        <v>4327</v>
      </c>
      <c r="FP2613" s="1">
        <v>29.0</v>
      </c>
      <c r="FQ2613" s="1" t="s">
        <v>4328</v>
      </c>
      <c r="FU2613" s="1" t="s">
        <v>23398</v>
      </c>
      <c r="FV2613" s="1" t="s">
        <v>200</v>
      </c>
      <c r="FW2613" s="1" t="s">
        <v>290</v>
      </c>
      <c r="FZ2613" s="1" t="s">
        <v>229</v>
      </c>
      <c r="GA2613" s="1" t="s">
        <v>291</v>
      </c>
      <c r="GB2613" s="2">
        <v>42121.0</v>
      </c>
      <c r="GC2613" s="1" t="s">
        <v>23399</v>
      </c>
    </row>
    <row r="2614">
      <c r="A2614" s="1">
        <v>1005000.0</v>
      </c>
      <c r="B2614" s="1" t="s">
        <v>185</v>
      </c>
      <c r="C2614" s="1" t="str">
        <f>"08829803"</f>
        <v>08829803</v>
      </c>
      <c r="D2614" s="1" t="s">
        <v>186</v>
      </c>
      <c r="F2614" s="1" t="str">
        <f>"8004"</f>
        <v>8004</v>
      </c>
      <c r="G2614" s="2">
        <v>42038.0</v>
      </c>
      <c r="H2614" s="1">
        <v>999000.0</v>
      </c>
      <c r="I2614" s="1">
        <v>1.0</v>
      </c>
      <c r="J2614" s="1">
        <v>999000.0</v>
      </c>
      <c r="K2614" s="2">
        <v>42038.0</v>
      </c>
      <c r="L2614" s="1">
        <v>1.0</v>
      </c>
      <c r="M2614" s="2">
        <v>42038.0</v>
      </c>
      <c r="N2614" s="1" t="s">
        <v>187</v>
      </c>
      <c r="O2614" s="2">
        <v>42095.0</v>
      </c>
      <c r="P2614" s="1">
        <v>128393.0</v>
      </c>
      <c r="Q2614" s="1">
        <v>14470.0</v>
      </c>
      <c r="S2614" s="1">
        <v>5067.0</v>
      </c>
      <c r="T2614" s="1" t="s">
        <v>20658</v>
      </c>
      <c r="U2614" s="1" t="s">
        <v>189</v>
      </c>
      <c r="V2614" s="1" t="s">
        <v>190</v>
      </c>
      <c r="W2614" s="1">
        <v>60640.0</v>
      </c>
      <c r="Y2614" s="1" t="s">
        <v>23400</v>
      </c>
      <c r="Z2614" s="1" t="s">
        <v>296</v>
      </c>
      <c r="AA2614" s="1" t="s">
        <v>192</v>
      </c>
      <c r="AB2614" s="1" t="s">
        <v>193</v>
      </c>
      <c r="AD2614" s="1" t="s">
        <v>194</v>
      </c>
      <c r="AE2614" s="1" t="s">
        <v>195</v>
      </c>
      <c r="AF2614" s="1" t="s">
        <v>534</v>
      </c>
      <c r="AH2614" s="1" t="s">
        <v>23401</v>
      </c>
      <c r="AI2614" s="1">
        <v>0.0872</v>
      </c>
      <c r="AK2614" s="1">
        <v>10.0</v>
      </c>
      <c r="AL2614" s="1">
        <v>3.0</v>
      </c>
      <c r="AM2614" s="1">
        <v>4.0</v>
      </c>
      <c r="AN2614" s="1">
        <v>1.0</v>
      </c>
      <c r="AO2614" s="1" t="s">
        <v>198</v>
      </c>
      <c r="AP2614" s="1">
        <v>1.0</v>
      </c>
      <c r="AQ2614" s="1" t="s">
        <v>198</v>
      </c>
      <c r="AR2614" s="1" t="s">
        <v>192</v>
      </c>
      <c r="AS2614" s="1" t="s">
        <v>199</v>
      </c>
      <c r="AT2614" s="1">
        <v>2.0</v>
      </c>
      <c r="AV2614" s="1" t="s">
        <v>200</v>
      </c>
      <c r="AW2614" s="1">
        <v>11258.86</v>
      </c>
      <c r="AX2614" s="1">
        <v>2013.0</v>
      </c>
      <c r="AY2614" s="1" t="s">
        <v>387</v>
      </c>
      <c r="AZ2614" s="1" t="s">
        <v>200</v>
      </c>
      <c r="BA2614" s="1" t="str">
        <f>"14074060030000"</f>
        <v>14074060030000</v>
      </c>
      <c r="BB2614" s="1" t="s">
        <v>200</v>
      </c>
      <c r="BC2614" s="1">
        <v>0.0</v>
      </c>
      <c r="BD2614" s="1">
        <v>1005000.0</v>
      </c>
      <c r="BE2614" s="2">
        <v>42038.0</v>
      </c>
      <c r="BF2614" s="2" t="s">
        <v>23402</v>
      </c>
      <c r="BH2614" s="1">
        <v>0.0</v>
      </c>
      <c r="BK2614" s="1" t="s">
        <v>204</v>
      </c>
      <c r="BL2614" s="1" t="str">
        <f>"5067"</f>
        <v>5067</v>
      </c>
      <c r="BM2614" s="1" t="str">
        <f t="shared" ref="BM2614:BM2615" si="1707">"0"</f>
        <v>0</v>
      </c>
      <c r="BN2614" s="1">
        <v>1900.0</v>
      </c>
      <c r="BO2614" s="1">
        <v>0.0</v>
      </c>
      <c r="BQ2614" s="1">
        <v>299.0</v>
      </c>
      <c r="BR2614" s="1">
        <v>299.0</v>
      </c>
      <c r="BS2614" s="1">
        <v>299.0</v>
      </c>
      <c r="BU2614" s="1" t="s">
        <v>1623</v>
      </c>
      <c r="BV2614" s="1" t="s">
        <v>206</v>
      </c>
      <c r="BW2614" s="1" t="s">
        <v>207</v>
      </c>
      <c r="BY2614" s="1" t="s">
        <v>454</v>
      </c>
      <c r="BZ2614" s="1" t="s">
        <v>209</v>
      </c>
      <c r="CA2614" s="1" t="s">
        <v>207</v>
      </c>
      <c r="CC2614" s="1" t="s">
        <v>331</v>
      </c>
      <c r="CD2614" s="1" t="s">
        <v>206</v>
      </c>
      <c r="CE2614" s="1" t="s">
        <v>207</v>
      </c>
      <c r="CG2614" s="1" t="s">
        <v>211</v>
      </c>
      <c r="CH2614" s="1" t="s">
        <v>209</v>
      </c>
      <c r="CI2614" s="1" t="s">
        <v>207</v>
      </c>
      <c r="CK2614" s="1" t="s">
        <v>495</v>
      </c>
      <c r="CL2614" s="1" t="s">
        <v>209</v>
      </c>
      <c r="CM2614" s="1" t="s">
        <v>207</v>
      </c>
      <c r="CO2614" s="1" t="s">
        <v>5311</v>
      </c>
      <c r="CP2614" s="1" t="s">
        <v>42</v>
      </c>
      <c r="CQ2614" s="1" t="s">
        <v>207</v>
      </c>
      <c r="CS2614" s="1" t="s">
        <v>332</v>
      </c>
      <c r="CT2614" s="1" t="s">
        <v>206</v>
      </c>
      <c r="CU2614" s="1" t="s">
        <v>207</v>
      </c>
      <c r="CW2614" s="1" t="s">
        <v>480</v>
      </c>
      <c r="CX2614" s="1" t="s">
        <v>42</v>
      </c>
      <c r="CY2614" s="1" t="s">
        <v>207</v>
      </c>
      <c r="DA2614" s="1" t="s">
        <v>200</v>
      </c>
      <c r="DC2614" s="1" t="s">
        <v>545</v>
      </c>
      <c r="DD2614" s="1" t="s">
        <v>1428</v>
      </c>
      <c r="DE2614" s="1" t="s">
        <v>218</v>
      </c>
      <c r="DF2614" s="1" t="s">
        <v>1811</v>
      </c>
      <c r="DG2614" s="1" t="s">
        <v>1657</v>
      </c>
      <c r="DH2614" s="1" t="s">
        <v>365</v>
      </c>
      <c r="DI2614" s="1" t="s">
        <v>1813</v>
      </c>
      <c r="DJ2614" s="1" t="s">
        <v>1379</v>
      </c>
      <c r="DK2614" s="1" t="s">
        <v>3740</v>
      </c>
      <c r="DL2614" s="1" t="s">
        <v>224</v>
      </c>
      <c r="DM2614" s="1" t="s">
        <v>229</v>
      </c>
      <c r="DN2614" s="1" t="s">
        <v>2873</v>
      </c>
      <c r="DO2614" s="1" t="s">
        <v>717</v>
      </c>
      <c r="DP2614" s="1" t="s">
        <v>340</v>
      </c>
      <c r="DQ2614" s="1" t="s">
        <v>794</v>
      </c>
      <c r="DR2614" s="1" t="s">
        <v>229</v>
      </c>
      <c r="DS2614" s="1" t="s">
        <v>591</v>
      </c>
      <c r="DU2614" s="1" t="s">
        <v>23403</v>
      </c>
      <c r="DV2614" s="1" t="s">
        <v>23404</v>
      </c>
      <c r="DW2614" s="1" t="s">
        <v>489</v>
      </c>
      <c r="DX2614" s="1" t="s">
        <v>234</v>
      </c>
      <c r="DY2614" s="1" t="s">
        <v>6595</v>
      </c>
      <c r="DZ2614" s="1" t="s">
        <v>310</v>
      </c>
      <c r="EA2614" s="1" t="s">
        <v>344</v>
      </c>
      <c r="EB2614" s="1" t="s">
        <v>345</v>
      </c>
      <c r="EC2614" s="1" t="s">
        <v>237</v>
      </c>
      <c r="ED2614" s="1" t="s">
        <v>555</v>
      </c>
      <c r="EE2614" s="1" t="s">
        <v>187</v>
      </c>
      <c r="EG2614" s="1" t="s">
        <v>449</v>
      </c>
      <c r="EH2614" s="1" t="s">
        <v>1491</v>
      </c>
      <c r="EI2614" s="1" t="s">
        <v>408</v>
      </c>
      <c r="EJ2614" s="1" t="s">
        <v>310</v>
      </c>
      <c r="EK2614" s="1" t="s">
        <v>409</v>
      </c>
      <c r="EL2614" s="1" t="s">
        <v>495</v>
      </c>
      <c r="EM2614" s="1" t="s">
        <v>206</v>
      </c>
      <c r="EP2614" s="1" t="s">
        <v>3023</v>
      </c>
      <c r="EQ2614" s="1" t="s">
        <v>42</v>
      </c>
      <c r="ER2614" s="1" t="s">
        <v>588</v>
      </c>
      <c r="ET2614" s="1" t="s">
        <v>2072</v>
      </c>
      <c r="EU2614" s="1" t="s">
        <v>206</v>
      </c>
      <c r="EX2614" s="1" t="s">
        <v>260</v>
      </c>
      <c r="EY2614" s="1" t="s">
        <v>206</v>
      </c>
      <c r="FB2614" s="1" t="s">
        <v>3296</v>
      </c>
      <c r="FC2614" s="1" t="s">
        <v>209</v>
      </c>
      <c r="FF2614" s="1" t="s">
        <v>239</v>
      </c>
      <c r="FG2614" s="1" t="s">
        <v>192</v>
      </c>
      <c r="FH2614" s="1" t="s">
        <v>192</v>
      </c>
      <c r="FJ2614" s="1" t="s">
        <v>2285</v>
      </c>
      <c r="FK2614" s="1" t="s">
        <v>229</v>
      </c>
      <c r="FL2614" s="1" t="s">
        <v>1358</v>
      </c>
      <c r="FM2614" s="1">
        <v>12198.0</v>
      </c>
      <c r="FN2614" s="1" t="s">
        <v>6165</v>
      </c>
      <c r="FO2614" s="1" t="s">
        <v>23405</v>
      </c>
      <c r="FP2614" s="1">
        <v>138069.0</v>
      </c>
      <c r="FQ2614" s="1" t="s">
        <v>23406</v>
      </c>
      <c r="FR2614" s="1">
        <v>138068.0</v>
      </c>
      <c r="FU2614" s="1" t="s">
        <v>23407</v>
      </c>
      <c r="FV2614" s="1" t="s">
        <v>200</v>
      </c>
      <c r="FW2614" s="1" t="s">
        <v>290</v>
      </c>
      <c r="FX2614" s="1" t="s">
        <v>238</v>
      </c>
      <c r="FZ2614" s="1" t="s">
        <v>229</v>
      </c>
      <c r="GA2614" s="1" t="s">
        <v>291</v>
      </c>
      <c r="GB2614" s="2">
        <v>42109.0</v>
      </c>
    </row>
    <row r="2615">
      <c r="A2615" s="1">
        <v>394500.0</v>
      </c>
      <c r="B2615" s="1" t="s">
        <v>185</v>
      </c>
      <c r="C2615" s="1" t="str">
        <f>"08827364"</f>
        <v>08827364</v>
      </c>
      <c r="D2615" s="1" t="s">
        <v>186</v>
      </c>
      <c r="F2615" s="1" t="str">
        <f>"174"</f>
        <v>174</v>
      </c>
      <c r="G2615" s="2">
        <v>42034.0</v>
      </c>
      <c r="H2615" s="1">
        <v>419000.0</v>
      </c>
      <c r="I2615" s="1">
        <v>27.0</v>
      </c>
      <c r="J2615" s="1">
        <v>419000.0</v>
      </c>
      <c r="K2615" s="2">
        <v>42060.0</v>
      </c>
      <c r="L2615" s="1">
        <v>27.0</v>
      </c>
      <c r="M2615" s="2">
        <v>42060.0</v>
      </c>
      <c r="N2615" s="1" t="s">
        <v>356</v>
      </c>
      <c r="O2615" s="2">
        <v>42089.0</v>
      </c>
      <c r="P2615" s="1">
        <v>720.0</v>
      </c>
      <c r="Q2615" s="1">
        <v>49.0</v>
      </c>
      <c r="S2615" s="1" t="s">
        <v>23408</v>
      </c>
      <c r="T2615" s="1" t="s">
        <v>6405</v>
      </c>
      <c r="U2615" s="1" t="s">
        <v>569</v>
      </c>
      <c r="V2615" s="1" t="s">
        <v>1200</v>
      </c>
      <c r="W2615" s="1">
        <v>60174.0</v>
      </c>
      <c r="Y2615" s="1" t="s">
        <v>23409</v>
      </c>
      <c r="Z2615" s="1">
        <v>1988.0</v>
      </c>
      <c r="AA2615" s="1" t="s">
        <v>200</v>
      </c>
      <c r="AB2615" s="1" t="s">
        <v>193</v>
      </c>
      <c r="AC2615" s="1" t="s">
        <v>23410</v>
      </c>
      <c r="AD2615" s="1" t="s">
        <v>1089</v>
      </c>
      <c r="AE2615" s="1" t="s">
        <v>325</v>
      </c>
      <c r="AF2615" s="1" t="s">
        <v>1632</v>
      </c>
      <c r="AG2615" s="1" t="s">
        <v>23411</v>
      </c>
      <c r="AH2615" s="1" t="s">
        <v>23412</v>
      </c>
      <c r="AI2615" s="1">
        <v>1.25</v>
      </c>
      <c r="AK2615" s="1">
        <v>10.0</v>
      </c>
      <c r="AL2615" s="1">
        <v>4.0</v>
      </c>
      <c r="AM2615" s="1">
        <v>2.0</v>
      </c>
      <c r="AN2615" s="1">
        <v>1.0</v>
      </c>
      <c r="AO2615" s="1" t="s">
        <v>198</v>
      </c>
      <c r="AP2615" s="1">
        <v>3.0</v>
      </c>
      <c r="AQ2615" s="1" t="s">
        <v>198</v>
      </c>
      <c r="AR2615" s="1" t="s">
        <v>200</v>
      </c>
      <c r="AS2615" s="1" t="s">
        <v>199</v>
      </c>
      <c r="AT2615" s="1">
        <v>2.0</v>
      </c>
      <c r="AV2615" s="1" t="s">
        <v>200</v>
      </c>
      <c r="AW2615" s="1">
        <v>12392.28</v>
      </c>
      <c r="AX2615" s="1">
        <v>2013.0</v>
      </c>
      <c r="AY2615" s="1" t="s">
        <v>387</v>
      </c>
      <c r="AZ2615" s="1" t="s">
        <v>200</v>
      </c>
      <c r="BA2615" s="1" t="str">
        <f>"0802451001"</f>
        <v>0802451001</v>
      </c>
      <c r="BB2615" s="1" t="s">
        <v>200</v>
      </c>
      <c r="BC2615" s="1">
        <v>3287.0</v>
      </c>
      <c r="BD2615" s="1">
        <v>394500.0</v>
      </c>
      <c r="BE2615" s="2">
        <v>42034.0</v>
      </c>
      <c r="BF2615" s="2" t="s">
        <v>23413</v>
      </c>
      <c r="BG2615" s="1" t="s">
        <v>2198</v>
      </c>
      <c r="BH2615" s="1">
        <v>250.0</v>
      </c>
      <c r="BI2615" s="1" t="s">
        <v>4511</v>
      </c>
      <c r="BJ2615" s="1" t="s">
        <v>2200</v>
      </c>
      <c r="BK2615" s="1" t="s">
        <v>580</v>
      </c>
      <c r="BL2615" s="1" t="str">
        <f>"6"</f>
        <v>6</v>
      </c>
      <c r="BM2615" s="1" t="str">
        <f t="shared" si="1707"/>
        <v>0</v>
      </c>
      <c r="BN2615" s="1">
        <v>40.0</v>
      </c>
      <c r="BO2615" s="1">
        <v>0.0</v>
      </c>
      <c r="BQ2615" s="1">
        <v>303.0</v>
      </c>
      <c r="BR2615" s="1">
        <v>303.0</v>
      </c>
      <c r="BS2615" s="1">
        <v>303.0</v>
      </c>
      <c r="BU2615" s="1" t="s">
        <v>434</v>
      </c>
      <c r="BV2615" s="1" t="s">
        <v>206</v>
      </c>
      <c r="BW2615" s="1" t="s">
        <v>210</v>
      </c>
      <c r="BX2615" s="1" t="s">
        <v>1549</v>
      </c>
      <c r="BY2615" s="1" t="s">
        <v>4793</v>
      </c>
      <c r="BZ2615" s="1" t="s">
        <v>209</v>
      </c>
      <c r="CA2615" s="1" t="s">
        <v>210</v>
      </c>
      <c r="CB2615" s="1" t="s">
        <v>1549</v>
      </c>
      <c r="CC2615" s="1" t="s">
        <v>329</v>
      </c>
      <c r="CD2615" s="1" t="s">
        <v>206</v>
      </c>
      <c r="CE2615" s="1" t="s">
        <v>207</v>
      </c>
      <c r="CF2615" s="1" t="s">
        <v>229</v>
      </c>
      <c r="CG2615" s="1" t="s">
        <v>434</v>
      </c>
      <c r="CH2615" s="1" t="s">
        <v>209</v>
      </c>
      <c r="CI2615" s="1" t="s">
        <v>210</v>
      </c>
      <c r="CK2615" s="1" t="s">
        <v>363</v>
      </c>
      <c r="CL2615" s="1" t="s">
        <v>209</v>
      </c>
      <c r="CM2615" s="1" t="s">
        <v>210</v>
      </c>
      <c r="CN2615" s="1" t="s">
        <v>1549</v>
      </c>
      <c r="CO2615" s="1" t="s">
        <v>363</v>
      </c>
      <c r="CP2615" s="1" t="s">
        <v>209</v>
      </c>
      <c r="CQ2615" s="1" t="s">
        <v>210</v>
      </c>
      <c r="CR2615" s="1" t="s">
        <v>431</v>
      </c>
      <c r="CS2615" s="1" t="s">
        <v>215</v>
      </c>
      <c r="CT2615" s="1" t="s">
        <v>206</v>
      </c>
      <c r="CU2615" s="1" t="s">
        <v>207</v>
      </c>
      <c r="CV2615" s="1" t="s">
        <v>1549</v>
      </c>
      <c r="CW2615" s="1" t="s">
        <v>3092</v>
      </c>
      <c r="CX2615" s="1" t="s">
        <v>206</v>
      </c>
      <c r="CY2615" s="1" t="s">
        <v>210</v>
      </c>
      <c r="CZ2615" s="1" t="s">
        <v>1549</v>
      </c>
      <c r="DA2615" s="1" t="s">
        <v>200</v>
      </c>
      <c r="DC2615" s="1" t="s">
        <v>305</v>
      </c>
      <c r="DD2615" s="1" t="s">
        <v>1838</v>
      </c>
      <c r="DE2615" s="1" t="s">
        <v>1810</v>
      </c>
      <c r="DF2615" s="1" t="s">
        <v>546</v>
      </c>
      <c r="DG2615" s="1" t="s">
        <v>11277</v>
      </c>
      <c r="DH2615" s="1" t="s">
        <v>856</v>
      </c>
      <c r="DI2615" s="1" t="s">
        <v>1141</v>
      </c>
      <c r="DJ2615" s="1" t="s">
        <v>857</v>
      </c>
      <c r="DK2615" s="1" t="s">
        <v>223</v>
      </c>
      <c r="DL2615" s="1" t="s">
        <v>3611</v>
      </c>
      <c r="DM2615" s="1" t="s">
        <v>338</v>
      </c>
      <c r="DN2615" s="1" t="s">
        <v>399</v>
      </c>
      <c r="DO2615" s="1" t="s">
        <v>486</v>
      </c>
      <c r="DP2615" s="1" t="s">
        <v>340</v>
      </c>
      <c r="DQ2615" s="1" t="s">
        <v>931</v>
      </c>
      <c r="DR2615" s="1" t="s">
        <v>1185</v>
      </c>
      <c r="DU2615" s="1" t="s">
        <v>23414</v>
      </c>
      <c r="DV2615" s="1" t="s">
        <v>23415</v>
      </c>
      <c r="DW2615" s="1" t="s">
        <v>23416</v>
      </c>
      <c r="DX2615" s="1" t="s">
        <v>234</v>
      </c>
      <c r="DY2615" s="1" t="s">
        <v>1821</v>
      </c>
      <c r="DZ2615" s="1" t="s">
        <v>1405</v>
      </c>
      <c r="EB2615" s="1" t="s">
        <v>8570</v>
      </c>
      <c r="EC2615" s="1" t="s">
        <v>237</v>
      </c>
      <c r="ED2615" s="1" t="s">
        <v>407</v>
      </c>
      <c r="EJ2615" s="1" t="s">
        <v>449</v>
      </c>
      <c r="EK2615" s="1" t="s">
        <v>1961</v>
      </c>
      <c r="EM2615" s="1" t="s">
        <v>238</v>
      </c>
      <c r="EQ2615" s="1" t="s">
        <v>238</v>
      </c>
      <c r="EU2615" s="1" t="s">
        <v>238</v>
      </c>
      <c r="EX2615" s="1" t="s">
        <v>582</v>
      </c>
      <c r="EY2615" s="1" t="s">
        <v>206</v>
      </c>
      <c r="EZ2615" s="1" t="s">
        <v>207</v>
      </c>
      <c r="FA2615" s="1" t="s">
        <v>1549</v>
      </c>
      <c r="FB2615" s="1" t="s">
        <v>1483</v>
      </c>
      <c r="FC2615" s="1" t="s">
        <v>206</v>
      </c>
      <c r="FD2615" s="1" t="s">
        <v>207</v>
      </c>
      <c r="FE2615" s="1" t="s">
        <v>1549</v>
      </c>
      <c r="FF2615" s="1" t="s">
        <v>239</v>
      </c>
      <c r="FG2615" s="1" t="s">
        <v>192</v>
      </c>
      <c r="FH2615" s="1" t="s">
        <v>192</v>
      </c>
      <c r="FJ2615" s="1" t="s">
        <v>9306</v>
      </c>
      <c r="FK2615" s="1" t="s">
        <v>229</v>
      </c>
      <c r="FL2615" s="1" t="s">
        <v>456</v>
      </c>
      <c r="FM2615" s="1">
        <v>49.0</v>
      </c>
      <c r="FN2615" s="1" t="s">
        <v>457</v>
      </c>
      <c r="FO2615" s="1" t="s">
        <v>9307</v>
      </c>
      <c r="FP2615" s="1">
        <v>8384.0</v>
      </c>
      <c r="FS2615" s="1" t="s">
        <v>9308</v>
      </c>
      <c r="FU2615" s="1" t="s">
        <v>12519</v>
      </c>
      <c r="FV2615" s="1" t="s">
        <v>200</v>
      </c>
      <c r="FW2615" s="1" t="s">
        <v>290</v>
      </c>
      <c r="FZ2615" s="1" t="s">
        <v>229</v>
      </c>
      <c r="GA2615" s="1" t="s">
        <v>291</v>
      </c>
      <c r="GB2615" s="2">
        <v>42089.0</v>
      </c>
      <c r="GC2615" s="1" t="s">
        <v>23417</v>
      </c>
    </row>
    <row r="2616">
      <c r="A2616" s="1">
        <v>173000.0</v>
      </c>
      <c r="B2616" s="1" t="s">
        <v>185</v>
      </c>
      <c r="C2616" s="1" t="str">
        <f>"08825366"</f>
        <v>08825366</v>
      </c>
      <c r="D2616" s="1" t="s">
        <v>186</v>
      </c>
      <c r="F2616" s="1" t="str">
        <f>"560"</f>
        <v>560</v>
      </c>
      <c r="G2616" s="2">
        <v>42031.0</v>
      </c>
      <c r="H2616" s="1">
        <v>180000.0</v>
      </c>
      <c r="I2616" s="1">
        <v>15.0</v>
      </c>
      <c r="J2616" s="1">
        <v>180000.0</v>
      </c>
      <c r="K2616" s="2">
        <v>42045.0</v>
      </c>
      <c r="L2616" s="1">
        <v>15.0</v>
      </c>
      <c r="M2616" s="2">
        <v>42045.0</v>
      </c>
      <c r="N2616" s="1" t="s">
        <v>187</v>
      </c>
      <c r="O2616" s="2">
        <v>42073.0</v>
      </c>
      <c r="P2616" s="1">
        <v>223009.0</v>
      </c>
      <c r="Q2616" s="1">
        <v>22588.0</v>
      </c>
      <c r="S2616" s="1">
        <v>322.0</v>
      </c>
      <c r="T2616" s="1" t="s">
        <v>849</v>
      </c>
      <c r="U2616" s="1" t="s">
        <v>569</v>
      </c>
      <c r="V2616" s="1" t="s">
        <v>845</v>
      </c>
      <c r="W2616" s="1">
        <v>60560.0</v>
      </c>
      <c r="Y2616" s="1" t="s">
        <v>23418</v>
      </c>
      <c r="Z2616" s="1">
        <v>1978.0</v>
      </c>
      <c r="AA2616" s="1" t="s">
        <v>200</v>
      </c>
      <c r="AB2616" s="1" t="s">
        <v>193</v>
      </c>
      <c r="AC2616" s="1" t="s">
        <v>14378</v>
      </c>
      <c r="AD2616" s="1" t="s">
        <v>848</v>
      </c>
      <c r="AE2616" s="1" t="s">
        <v>849</v>
      </c>
      <c r="AF2616" s="1" t="s">
        <v>1312</v>
      </c>
      <c r="AH2616" s="1" t="s">
        <v>23419</v>
      </c>
      <c r="AI2616" s="1">
        <v>0.36</v>
      </c>
      <c r="AK2616" s="1">
        <v>9.0</v>
      </c>
      <c r="AL2616" s="1">
        <v>4.0</v>
      </c>
      <c r="AM2616" s="1">
        <v>2.0</v>
      </c>
      <c r="AN2616" s="1">
        <v>1.0</v>
      </c>
      <c r="AO2616" s="1" t="s">
        <v>198</v>
      </c>
      <c r="AP2616" s="1">
        <v>1.0</v>
      </c>
      <c r="AQ2616" s="1" t="s">
        <v>1314</v>
      </c>
      <c r="AR2616" s="1" t="s">
        <v>200</v>
      </c>
      <c r="AS2616" s="1" t="s">
        <v>199</v>
      </c>
      <c r="AT2616" s="1">
        <v>2.0</v>
      </c>
      <c r="AV2616" s="1" t="s">
        <v>200</v>
      </c>
      <c r="AW2616" s="1">
        <v>6925.0</v>
      </c>
      <c r="AX2616" s="1">
        <v>2013.0</v>
      </c>
      <c r="AY2616" s="1" t="s">
        <v>387</v>
      </c>
      <c r="AZ2616" s="1" t="s">
        <v>545</v>
      </c>
      <c r="BA2616" s="1" t="str">
        <f>"0220477009"</f>
        <v>0220477009</v>
      </c>
      <c r="BC2616" s="1">
        <v>2072.0</v>
      </c>
      <c r="BD2616" s="1">
        <v>173000.0</v>
      </c>
      <c r="BE2616" s="2">
        <v>42031.0</v>
      </c>
      <c r="BF2616" s="2" t="s">
        <v>23420</v>
      </c>
      <c r="BH2616" s="1">
        <v>0.0</v>
      </c>
      <c r="BK2616" s="1" t="s">
        <v>204</v>
      </c>
      <c r="BL2616" s="1" t="str">
        <f t="shared" ref="BL2616:BM2616" si="1708">""</f>
        <v/>
      </c>
      <c r="BM2616" s="1" t="str">
        <f t="shared" si="1708"/>
        <v/>
      </c>
      <c r="BQ2616" s="1">
        <v>115.0</v>
      </c>
      <c r="BR2616" s="1">
        <v>115.0</v>
      </c>
      <c r="BS2616" s="1">
        <v>115.0</v>
      </c>
      <c r="BU2616" s="1" t="s">
        <v>2647</v>
      </c>
      <c r="BV2616" s="1" t="s">
        <v>206</v>
      </c>
      <c r="BW2616" s="1" t="s">
        <v>210</v>
      </c>
      <c r="BX2616" s="1" t="s">
        <v>1549</v>
      </c>
      <c r="BY2616" s="1" t="s">
        <v>677</v>
      </c>
      <c r="BZ2616" s="1" t="s">
        <v>209</v>
      </c>
      <c r="CA2616" s="1" t="s">
        <v>210</v>
      </c>
      <c r="CC2616" s="1" t="s">
        <v>302</v>
      </c>
      <c r="CD2616" s="1" t="s">
        <v>206</v>
      </c>
      <c r="CE2616" s="1" t="s">
        <v>210</v>
      </c>
      <c r="CG2616" s="1" t="s">
        <v>303</v>
      </c>
      <c r="CH2616" s="1" t="s">
        <v>209</v>
      </c>
      <c r="CI2616" s="1" t="s">
        <v>210</v>
      </c>
      <c r="CK2616" s="1" t="s">
        <v>303</v>
      </c>
      <c r="CL2616" s="1" t="s">
        <v>209</v>
      </c>
      <c r="CM2616" s="1" t="s">
        <v>210</v>
      </c>
      <c r="CO2616" s="1" t="s">
        <v>1352</v>
      </c>
      <c r="CP2616" s="1" t="s">
        <v>209</v>
      </c>
      <c r="CQ2616" s="1" t="s">
        <v>210</v>
      </c>
      <c r="CS2616" s="1" t="s">
        <v>3594</v>
      </c>
      <c r="CT2616" s="1" t="s">
        <v>206</v>
      </c>
      <c r="CU2616" s="1" t="s">
        <v>268</v>
      </c>
      <c r="CW2616" s="1" t="s">
        <v>2647</v>
      </c>
      <c r="CX2616" s="1" t="s">
        <v>206</v>
      </c>
      <c r="CY2616" s="1" t="s">
        <v>210</v>
      </c>
      <c r="CZ2616" s="1" t="s">
        <v>1549</v>
      </c>
      <c r="DA2616" s="1" t="s">
        <v>200</v>
      </c>
      <c r="DC2616" s="1" t="s">
        <v>395</v>
      </c>
      <c r="DD2616" s="1" t="s">
        <v>679</v>
      </c>
      <c r="DE2616" s="1" t="s">
        <v>273</v>
      </c>
      <c r="DF2616" s="1" t="s">
        <v>219</v>
      </c>
      <c r="DG2616" s="1" t="s">
        <v>1569</v>
      </c>
      <c r="DH2616" s="1" t="s">
        <v>220</v>
      </c>
      <c r="DI2616" s="1" t="s">
        <v>1003</v>
      </c>
      <c r="DJ2616" s="1" t="s">
        <v>222</v>
      </c>
      <c r="DL2616" s="1" t="s">
        <v>438</v>
      </c>
      <c r="DM2616" s="1" t="s">
        <v>338</v>
      </c>
      <c r="DO2616" s="1" t="s">
        <v>5865</v>
      </c>
      <c r="DP2616" s="1" t="s">
        <v>340</v>
      </c>
      <c r="DQ2616" s="1" t="s">
        <v>441</v>
      </c>
      <c r="DR2616" s="1" t="s">
        <v>229</v>
      </c>
      <c r="DS2616" s="1" t="s">
        <v>230</v>
      </c>
      <c r="DU2616" s="1" t="s">
        <v>7409</v>
      </c>
      <c r="DV2616" s="1" t="s">
        <v>449</v>
      </c>
      <c r="DW2616" s="1" t="s">
        <v>444</v>
      </c>
      <c r="DX2616" s="1" t="s">
        <v>234</v>
      </c>
      <c r="DZ2616" s="1" t="s">
        <v>446</v>
      </c>
      <c r="EA2616" s="1" t="s">
        <v>344</v>
      </c>
      <c r="EB2616" s="1" t="s">
        <v>10210</v>
      </c>
      <c r="EC2616" s="1" t="s">
        <v>237</v>
      </c>
      <c r="ED2616" s="1" t="s">
        <v>555</v>
      </c>
      <c r="EG2616" s="1" t="s">
        <v>449</v>
      </c>
      <c r="EL2616" s="1" t="s">
        <v>663</v>
      </c>
      <c r="EM2616" s="1" t="s">
        <v>206</v>
      </c>
      <c r="EN2616" s="1" t="s">
        <v>268</v>
      </c>
      <c r="EQ2616" s="1" t="s">
        <v>238</v>
      </c>
      <c r="EU2616" s="1" t="s">
        <v>238</v>
      </c>
      <c r="EY2616" s="1" t="s">
        <v>238</v>
      </c>
      <c r="FC2616" s="1" t="s">
        <v>238</v>
      </c>
      <c r="FF2616" s="1" t="s">
        <v>239</v>
      </c>
      <c r="FG2616" s="1" t="s">
        <v>192</v>
      </c>
      <c r="FH2616" s="1" t="s">
        <v>192</v>
      </c>
      <c r="FJ2616" s="1" t="s">
        <v>23421</v>
      </c>
      <c r="FK2616" s="1" t="s">
        <v>229</v>
      </c>
      <c r="FL2616" s="1" t="s">
        <v>1007</v>
      </c>
      <c r="FM2616" s="1">
        <v>22588.0</v>
      </c>
      <c r="FN2616" s="1" t="s">
        <v>1321</v>
      </c>
      <c r="FO2616" s="1" t="s">
        <v>2760</v>
      </c>
      <c r="FP2616" s="1">
        <v>230326.0</v>
      </c>
      <c r="FQ2616" s="1" t="s">
        <v>2761</v>
      </c>
      <c r="FS2616" s="1" t="s">
        <v>2762</v>
      </c>
      <c r="FU2616" s="1" t="s">
        <v>1882</v>
      </c>
      <c r="FV2616" s="1" t="s">
        <v>200</v>
      </c>
      <c r="FW2616" s="1" t="s">
        <v>290</v>
      </c>
      <c r="FX2616" s="1" t="s">
        <v>246</v>
      </c>
      <c r="FZ2616" s="1" t="s">
        <v>229</v>
      </c>
      <c r="GA2616" s="1" t="s">
        <v>291</v>
      </c>
      <c r="GB2616" s="2">
        <v>42073.0</v>
      </c>
      <c r="GC2616" s="1" t="s">
        <v>23422</v>
      </c>
    </row>
    <row r="2617">
      <c r="A2617" s="1">
        <v>202500.0</v>
      </c>
      <c r="B2617" s="1" t="s">
        <v>185</v>
      </c>
      <c r="C2617" s="1" t="str">
        <f>"08837918"</f>
        <v>08837918</v>
      </c>
      <c r="D2617" s="1" t="s">
        <v>186</v>
      </c>
      <c r="F2617" s="1" t="str">
        <f>"543"</f>
        <v>543</v>
      </c>
      <c r="G2617" s="2">
        <v>42048.0</v>
      </c>
      <c r="H2617" s="1">
        <v>209900.0</v>
      </c>
      <c r="I2617" s="1">
        <v>364.0</v>
      </c>
      <c r="J2617" s="1">
        <v>209900.0</v>
      </c>
      <c r="K2617" s="2">
        <v>42052.0</v>
      </c>
      <c r="L2617" s="1">
        <v>5.0</v>
      </c>
      <c r="M2617" s="2">
        <v>42052.0</v>
      </c>
      <c r="N2617" s="1" t="s">
        <v>187</v>
      </c>
      <c r="O2617" s="2">
        <v>42066.0</v>
      </c>
      <c r="P2617" s="1">
        <v>241749.0</v>
      </c>
      <c r="Q2617" s="1">
        <v>23076.0</v>
      </c>
      <c r="S2617" s="1">
        <v>646.0</v>
      </c>
      <c r="T2617" s="1" t="s">
        <v>14633</v>
      </c>
      <c r="U2617" s="1" t="s">
        <v>844</v>
      </c>
      <c r="V2617" s="1" t="s">
        <v>1527</v>
      </c>
      <c r="W2617" s="1">
        <v>60543.0</v>
      </c>
      <c r="X2617" s="1">
        <v>7112.0</v>
      </c>
      <c r="Y2617" s="1" t="s">
        <v>23423</v>
      </c>
      <c r="Z2617" s="1">
        <v>1998.0</v>
      </c>
      <c r="AA2617" s="1" t="s">
        <v>200</v>
      </c>
      <c r="AB2617" s="1" t="s">
        <v>193</v>
      </c>
      <c r="AC2617" s="1" t="s">
        <v>4982</v>
      </c>
      <c r="AD2617" s="1" t="s">
        <v>1529</v>
      </c>
      <c r="AE2617" s="1" t="s">
        <v>849</v>
      </c>
      <c r="AF2617" s="1" t="s">
        <v>1312</v>
      </c>
      <c r="AG2617" s="1" t="s">
        <v>23424</v>
      </c>
      <c r="AH2617" s="1" t="s">
        <v>5193</v>
      </c>
      <c r="AK2617" s="1">
        <v>11.0</v>
      </c>
      <c r="AL2617" s="1">
        <v>4.0</v>
      </c>
      <c r="AM2617" s="1">
        <v>3.0</v>
      </c>
      <c r="AN2617" s="1">
        <v>1.0</v>
      </c>
      <c r="AO2617" s="1" t="s">
        <v>198</v>
      </c>
      <c r="AP2617" s="1">
        <v>1.0</v>
      </c>
      <c r="AQ2617" s="1" t="s">
        <v>198</v>
      </c>
      <c r="AR2617" s="1" t="s">
        <v>200</v>
      </c>
      <c r="AS2617" s="1" t="s">
        <v>199</v>
      </c>
      <c r="AT2617" s="1">
        <v>3.0</v>
      </c>
      <c r="AV2617" s="1" t="s">
        <v>200</v>
      </c>
      <c r="AW2617" s="1">
        <v>7238.42</v>
      </c>
      <c r="AX2617" s="1">
        <v>2013.0</v>
      </c>
      <c r="AY2617" s="1" t="s">
        <v>387</v>
      </c>
      <c r="AZ2617" s="1" t="s">
        <v>200</v>
      </c>
      <c r="BA2617" s="1" t="str">
        <f>"0212421014"</f>
        <v>0212421014</v>
      </c>
      <c r="BC2617" s="1">
        <v>3200.0</v>
      </c>
      <c r="BD2617" s="1">
        <v>202500.0</v>
      </c>
      <c r="BE2617" s="2">
        <v>42048.0</v>
      </c>
      <c r="BF2617" s="2" t="s">
        <v>23425</v>
      </c>
      <c r="BG2617" s="1" t="s">
        <v>4985</v>
      </c>
      <c r="BH2617" s="1">
        <v>0.0</v>
      </c>
      <c r="BI2617" s="1" t="s">
        <v>1348</v>
      </c>
      <c r="BJ2617" s="1" t="s">
        <v>1349</v>
      </c>
      <c r="BK2617" s="1" t="s">
        <v>204</v>
      </c>
      <c r="BL2617" s="1" t="str">
        <f t="shared" ref="BL2617:BM2617" si="1709">"0"</f>
        <v>0</v>
      </c>
      <c r="BM2617" s="1" t="str">
        <f t="shared" si="1709"/>
        <v>0</v>
      </c>
      <c r="BN2617" s="1">
        <v>38.0</v>
      </c>
      <c r="BO2617" s="1">
        <v>12.0</v>
      </c>
      <c r="BQ2617" s="1">
        <v>308.0</v>
      </c>
      <c r="BR2617" s="1">
        <v>308.0</v>
      </c>
      <c r="BS2617" s="1">
        <v>308.0</v>
      </c>
      <c r="BU2617" s="1" t="s">
        <v>214</v>
      </c>
      <c r="BV2617" s="1" t="s">
        <v>206</v>
      </c>
      <c r="BW2617" s="1" t="s">
        <v>210</v>
      </c>
      <c r="BY2617" s="1" t="s">
        <v>364</v>
      </c>
      <c r="BZ2617" s="1" t="s">
        <v>209</v>
      </c>
      <c r="CA2617" s="1" t="s">
        <v>210</v>
      </c>
      <c r="CC2617" s="1" t="s">
        <v>495</v>
      </c>
      <c r="CD2617" s="1" t="s">
        <v>206</v>
      </c>
      <c r="CE2617" s="1" t="s">
        <v>210</v>
      </c>
      <c r="CG2617" s="1" t="s">
        <v>743</v>
      </c>
      <c r="CH2617" s="1" t="s">
        <v>209</v>
      </c>
      <c r="CI2617" s="1" t="s">
        <v>210</v>
      </c>
      <c r="CK2617" s="1" t="s">
        <v>363</v>
      </c>
      <c r="CL2617" s="1" t="s">
        <v>209</v>
      </c>
      <c r="CM2617" s="1" t="s">
        <v>210</v>
      </c>
      <c r="CO2617" s="1" t="s">
        <v>663</v>
      </c>
      <c r="CP2617" s="1" t="s">
        <v>209</v>
      </c>
      <c r="CQ2617" s="1" t="s">
        <v>210</v>
      </c>
      <c r="CS2617" s="1" t="s">
        <v>1329</v>
      </c>
      <c r="CT2617" s="1" t="s">
        <v>206</v>
      </c>
      <c r="CU2617" s="1" t="s">
        <v>301</v>
      </c>
      <c r="CW2617" s="1" t="s">
        <v>544</v>
      </c>
      <c r="CX2617" s="1" t="s">
        <v>206</v>
      </c>
      <c r="CY2617" s="1" t="s">
        <v>301</v>
      </c>
      <c r="DA2617" s="1" t="s">
        <v>200</v>
      </c>
      <c r="DC2617" s="1" t="s">
        <v>678</v>
      </c>
      <c r="DE2617" s="1" t="s">
        <v>273</v>
      </c>
      <c r="DF2617" s="1" t="s">
        <v>619</v>
      </c>
      <c r="DG2617" s="1" t="s">
        <v>1020</v>
      </c>
      <c r="DH2617" s="1" t="s">
        <v>220</v>
      </c>
      <c r="DI2617" s="1" t="s">
        <v>2547</v>
      </c>
      <c r="DJ2617" s="1" t="s">
        <v>222</v>
      </c>
      <c r="DK2617" s="1" t="s">
        <v>223</v>
      </c>
      <c r="DL2617" s="1" t="s">
        <v>858</v>
      </c>
      <c r="DM2617" s="1" t="s">
        <v>1402</v>
      </c>
      <c r="DO2617" s="1" t="s">
        <v>717</v>
      </c>
      <c r="DP2617" s="1" t="s">
        <v>340</v>
      </c>
      <c r="DQ2617" s="1" t="s">
        <v>228</v>
      </c>
      <c r="DR2617" s="1" t="s">
        <v>229</v>
      </c>
      <c r="DS2617" s="1" t="s">
        <v>591</v>
      </c>
      <c r="DU2617" s="1" t="s">
        <v>20948</v>
      </c>
      <c r="DV2617" s="1" t="s">
        <v>19310</v>
      </c>
      <c r="DW2617" s="1" t="s">
        <v>279</v>
      </c>
      <c r="DX2617" s="1" t="s">
        <v>234</v>
      </c>
      <c r="DZ2617" s="1" t="s">
        <v>705</v>
      </c>
      <c r="EA2617" s="1" t="s">
        <v>3577</v>
      </c>
      <c r="EC2617" s="1" t="s">
        <v>237</v>
      </c>
      <c r="ED2617" s="1" t="s">
        <v>1761</v>
      </c>
      <c r="EE2617" s="1" t="s">
        <v>493</v>
      </c>
      <c r="EG2617" s="1" t="s">
        <v>598</v>
      </c>
      <c r="EH2617" s="1" t="s">
        <v>450</v>
      </c>
      <c r="EI2617" s="1" t="s">
        <v>449</v>
      </c>
      <c r="EL2617" s="1" t="s">
        <v>3888</v>
      </c>
      <c r="EM2617" s="1" t="s">
        <v>42</v>
      </c>
      <c r="EN2617" s="1" t="s">
        <v>210</v>
      </c>
      <c r="EO2617" s="1" t="s">
        <v>229</v>
      </c>
      <c r="EP2617" s="1" t="s">
        <v>12531</v>
      </c>
      <c r="EQ2617" s="1" t="s">
        <v>42</v>
      </c>
      <c r="ER2617" s="1" t="s">
        <v>210</v>
      </c>
      <c r="ET2617" s="1" t="s">
        <v>300</v>
      </c>
      <c r="EU2617" s="1" t="s">
        <v>206</v>
      </c>
      <c r="EV2617" s="1" t="s">
        <v>301</v>
      </c>
      <c r="EY2617" s="1" t="s">
        <v>238</v>
      </c>
      <c r="FC2617" s="1" t="s">
        <v>238</v>
      </c>
      <c r="FF2617" s="1" t="s">
        <v>239</v>
      </c>
      <c r="FG2617" s="1" t="s">
        <v>192</v>
      </c>
      <c r="FH2617" s="1" t="s">
        <v>192</v>
      </c>
      <c r="FJ2617" s="1" t="s">
        <v>3755</v>
      </c>
      <c r="FK2617" s="1" t="s">
        <v>1586</v>
      </c>
      <c r="FL2617" s="1" t="s">
        <v>2580</v>
      </c>
      <c r="FM2617" s="1">
        <v>23265.0</v>
      </c>
      <c r="FN2617" s="1" t="s">
        <v>2581</v>
      </c>
      <c r="FO2617" s="1" t="s">
        <v>16869</v>
      </c>
      <c r="FP2617" s="1">
        <v>218055.0</v>
      </c>
      <c r="FQ2617" s="1" t="s">
        <v>16870</v>
      </c>
      <c r="FS2617" s="1" t="s">
        <v>16871</v>
      </c>
      <c r="FU2617" s="1" t="s">
        <v>16872</v>
      </c>
      <c r="FV2617" s="1" t="s">
        <v>200</v>
      </c>
      <c r="FW2617" s="1" t="s">
        <v>530</v>
      </c>
      <c r="FZ2617" s="1" t="s">
        <v>229</v>
      </c>
      <c r="GA2617" s="1" t="s">
        <v>291</v>
      </c>
      <c r="GB2617" s="2">
        <v>42067.0</v>
      </c>
      <c r="GC2617" s="2" t="s">
        <v>23426</v>
      </c>
    </row>
    <row r="2618">
      <c r="A2618" s="1">
        <v>267500.0</v>
      </c>
      <c r="B2618" s="1" t="s">
        <v>185</v>
      </c>
      <c r="C2618" s="1" t="str">
        <f>"08835201"</f>
        <v>08835201</v>
      </c>
      <c r="D2618" s="1" t="s">
        <v>186</v>
      </c>
      <c r="F2618" s="1" t="str">
        <f>"174"</f>
        <v>174</v>
      </c>
      <c r="G2618" s="2">
        <v>42045.0</v>
      </c>
      <c r="H2618" s="1">
        <v>285000.0</v>
      </c>
      <c r="I2618" s="1">
        <v>40.0</v>
      </c>
      <c r="J2618" s="1">
        <v>285000.0</v>
      </c>
      <c r="K2618" s="2">
        <v>42084.0</v>
      </c>
      <c r="L2618" s="1">
        <v>40.0</v>
      </c>
      <c r="M2618" s="2">
        <v>42084.0</v>
      </c>
      <c r="N2618" s="1" t="s">
        <v>187</v>
      </c>
      <c r="O2618" s="2">
        <v>42132.0</v>
      </c>
      <c r="P2618" s="1">
        <v>230482.0</v>
      </c>
      <c r="Q2618" s="1">
        <v>23591.0</v>
      </c>
      <c r="S2618" s="1">
        <v>20.0</v>
      </c>
      <c r="T2618" s="1" t="s">
        <v>13220</v>
      </c>
      <c r="V2618" s="1" t="s">
        <v>1200</v>
      </c>
      <c r="W2618" s="1">
        <v>60174.0</v>
      </c>
      <c r="Y2618" s="1" t="s">
        <v>23427</v>
      </c>
      <c r="Z2618" s="1">
        <v>1977.0</v>
      </c>
      <c r="AA2618" s="1" t="s">
        <v>192</v>
      </c>
      <c r="AB2618" s="1" t="s">
        <v>193</v>
      </c>
      <c r="AC2618" s="1" t="s">
        <v>13222</v>
      </c>
      <c r="AD2618" s="1" t="s">
        <v>1203</v>
      </c>
      <c r="AE2618" s="1" t="s">
        <v>325</v>
      </c>
      <c r="AF2618" s="1" t="s">
        <v>1203</v>
      </c>
      <c r="AH2618" s="1" t="s">
        <v>23428</v>
      </c>
      <c r="AK2618" s="1">
        <v>9.0</v>
      </c>
      <c r="AL2618" s="1">
        <v>4.0</v>
      </c>
      <c r="AM2618" s="1">
        <v>2.0</v>
      </c>
      <c r="AN2618" s="1">
        <v>1.0</v>
      </c>
      <c r="AO2618" s="1" t="s">
        <v>198</v>
      </c>
      <c r="AP2618" s="1">
        <v>1.0</v>
      </c>
      <c r="AQ2618" s="1" t="s">
        <v>198</v>
      </c>
      <c r="AR2618" s="1" t="s">
        <v>200</v>
      </c>
      <c r="AS2618" s="1" t="s">
        <v>199</v>
      </c>
      <c r="AT2618" s="1">
        <v>2.0</v>
      </c>
      <c r="AV2618" s="1" t="s">
        <v>200</v>
      </c>
      <c r="AW2618" s="1">
        <v>7194.0</v>
      </c>
      <c r="AX2618" s="1">
        <v>2013.0</v>
      </c>
      <c r="AY2618" s="1" t="s">
        <v>1179</v>
      </c>
      <c r="AZ2618" s="1" t="s">
        <v>200</v>
      </c>
      <c r="BA2618" s="1" t="str">
        <f>"0923477004"</f>
        <v>0923477004</v>
      </c>
      <c r="BC2618" s="1">
        <v>1991.0</v>
      </c>
      <c r="BD2618" s="1">
        <v>267500.0</v>
      </c>
      <c r="BE2618" s="2">
        <v>42045.0</v>
      </c>
      <c r="BF2618" s="2" t="s">
        <v>23429</v>
      </c>
      <c r="BG2618" s="1" t="s">
        <v>3610</v>
      </c>
      <c r="BH2618" s="1">
        <v>0.0</v>
      </c>
      <c r="BI2618" s="1" t="s">
        <v>2143</v>
      </c>
      <c r="BJ2618" s="1" t="s">
        <v>2144</v>
      </c>
      <c r="BK2618" s="1" t="s">
        <v>204</v>
      </c>
      <c r="BL2618" s="1" t="str">
        <f t="shared" ref="BL2618:BM2618" si="1710">""</f>
        <v/>
      </c>
      <c r="BM2618" s="1" t="str">
        <f t="shared" si="1710"/>
        <v/>
      </c>
      <c r="BQ2618" s="1">
        <v>303.0</v>
      </c>
      <c r="BR2618" s="1">
        <v>303.0</v>
      </c>
      <c r="BS2618" s="1">
        <v>303.0</v>
      </c>
      <c r="BU2618" s="1" t="s">
        <v>1138</v>
      </c>
      <c r="BV2618" s="1" t="s">
        <v>206</v>
      </c>
      <c r="BW2618" s="1" t="s">
        <v>210</v>
      </c>
      <c r="BY2618" s="1" t="s">
        <v>454</v>
      </c>
      <c r="BZ2618" s="1" t="s">
        <v>209</v>
      </c>
      <c r="CA2618" s="1" t="s">
        <v>210</v>
      </c>
      <c r="CC2618" s="1" t="s">
        <v>363</v>
      </c>
      <c r="CD2618" s="1" t="s">
        <v>206</v>
      </c>
      <c r="CE2618" s="1" t="s">
        <v>210</v>
      </c>
      <c r="CG2618" s="1" t="s">
        <v>497</v>
      </c>
      <c r="CH2618" s="1" t="s">
        <v>209</v>
      </c>
      <c r="CI2618" s="1" t="s">
        <v>210</v>
      </c>
      <c r="CK2618" s="1" t="s">
        <v>212</v>
      </c>
      <c r="CL2618" s="1" t="s">
        <v>209</v>
      </c>
      <c r="CM2618" s="1" t="s">
        <v>210</v>
      </c>
      <c r="CO2618" s="1" t="s">
        <v>516</v>
      </c>
      <c r="CP2618" s="1" t="s">
        <v>209</v>
      </c>
      <c r="CQ2618" s="1" t="s">
        <v>210</v>
      </c>
      <c r="CS2618" s="1" t="s">
        <v>1426</v>
      </c>
      <c r="CT2618" s="1" t="s">
        <v>206</v>
      </c>
      <c r="CU2618" s="1" t="s">
        <v>207</v>
      </c>
      <c r="CW2618" s="1" t="s">
        <v>583</v>
      </c>
      <c r="CX2618" s="1" t="s">
        <v>206</v>
      </c>
      <c r="CY2618" s="1" t="s">
        <v>210</v>
      </c>
      <c r="DA2618" s="1" t="s">
        <v>200</v>
      </c>
      <c r="DC2618" s="1" t="s">
        <v>395</v>
      </c>
      <c r="DD2618" s="1" t="s">
        <v>518</v>
      </c>
      <c r="DE2618" s="1" t="s">
        <v>273</v>
      </c>
      <c r="DF2618" s="1" t="s">
        <v>219</v>
      </c>
      <c r="DG2618" s="1" t="s">
        <v>482</v>
      </c>
      <c r="DH2618" s="1" t="s">
        <v>220</v>
      </c>
      <c r="DI2618" s="1" t="s">
        <v>959</v>
      </c>
      <c r="DJ2618" s="1" t="s">
        <v>222</v>
      </c>
      <c r="DL2618" s="1" t="s">
        <v>224</v>
      </c>
      <c r="DM2618" s="1" t="s">
        <v>338</v>
      </c>
      <c r="DO2618" s="1" t="s">
        <v>486</v>
      </c>
      <c r="DP2618" s="1" t="s">
        <v>340</v>
      </c>
      <c r="DQ2618" s="1" t="s">
        <v>228</v>
      </c>
      <c r="DR2618" s="1" t="s">
        <v>229</v>
      </c>
      <c r="DS2618" s="1" t="s">
        <v>230</v>
      </c>
      <c r="DU2618" s="1" t="s">
        <v>442</v>
      </c>
      <c r="DV2618" s="1" t="s">
        <v>450</v>
      </c>
      <c r="DW2618" s="1" t="s">
        <v>370</v>
      </c>
      <c r="DX2618" s="1" t="s">
        <v>234</v>
      </c>
      <c r="DY2618" s="1" t="s">
        <v>704</v>
      </c>
      <c r="DZ2618" s="1" t="s">
        <v>282</v>
      </c>
      <c r="EA2618" s="1" t="s">
        <v>447</v>
      </c>
      <c r="EB2618" s="1" t="s">
        <v>684</v>
      </c>
      <c r="EC2618" s="1" t="s">
        <v>237</v>
      </c>
      <c r="ED2618" s="1" t="s">
        <v>407</v>
      </c>
      <c r="EG2618" s="1" t="s">
        <v>450</v>
      </c>
      <c r="EL2618" s="1" t="s">
        <v>12443</v>
      </c>
      <c r="EM2618" s="1" t="s">
        <v>42</v>
      </c>
      <c r="EN2618" s="1" t="s">
        <v>301</v>
      </c>
      <c r="EQ2618" s="1" t="s">
        <v>238</v>
      </c>
      <c r="EU2618" s="1" t="s">
        <v>238</v>
      </c>
      <c r="EY2618" s="1" t="s">
        <v>238</v>
      </c>
      <c r="FC2618" s="1" t="s">
        <v>238</v>
      </c>
      <c r="FF2618" s="1" t="s">
        <v>239</v>
      </c>
      <c r="FG2618" s="1" t="s">
        <v>192</v>
      </c>
      <c r="FH2618" s="1" t="s">
        <v>192</v>
      </c>
      <c r="FJ2618" s="1" t="s">
        <v>2206</v>
      </c>
      <c r="FK2618" s="1" t="s">
        <v>229</v>
      </c>
      <c r="FL2618" s="1" t="s">
        <v>893</v>
      </c>
      <c r="FM2618" s="1">
        <v>604.0</v>
      </c>
      <c r="FN2618" s="1" t="s">
        <v>894</v>
      </c>
      <c r="FO2618" s="1" t="s">
        <v>2207</v>
      </c>
      <c r="FP2618" s="1">
        <v>681.0</v>
      </c>
      <c r="FQ2618" s="1" t="s">
        <v>2208</v>
      </c>
      <c r="FR2618" s="1">
        <v>824.0</v>
      </c>
      <c r="FS2618" s="1" t="s">
        <v>2209</v>
      </c>
      <c r="FU2618" s="1" t="s">
        <v>2210</v>
      </c>
      <c r="FV2618" s="1" t="s">
        <v>200</v>
      </c>
      <c r="FW2618" s="1" t="s">
        <v>530</v>
      </c>
      <c r="FZ2618" s="1" t="s">
        <v>229</v>
      </c>
      <c r="GA2618" s="1" t="s">
        <v>291</v>
      </c>
      <c r="GB2618" s="2">
        <v>42132.0</v>
      </c>
      <c r="GC2618" s="1" t="s">
        <v>23430</v>
      </c>
    </row>
    <row r="2619">
      <c r="A2619" s="1">
        <v>158500.0</v>
      </c>
      <c r="B2619" s="1" t="s">
        <v>185</v>
      </c>
      <c r="C2619" s="1" t="str">
        <f>"08824625"</f>
        <v>08824625</v>
      </c>
      <c r="D2619" s="1" t="s">
        <v>186</v>
      </c>
      <c r="F2619" s="1" t="str">
        <f>"103"</f>
        <v>103</v>
      </c>
      <c r="G2619" s="2">
        <v>42030.0</v>
      </c>
      <c r="H2619" s="1">
        <v>174900.0</v>
      </c>
      <c r="I2619" s="1">
        <v>30.0</v>
      </c>
      <c r="J2619" s="1">
        <v>169900.0</v>
      </c>
      <c r="K2619" s="2">
        <v>42056.0</v>
      </c>
      <c r="L2619" s="1">
        <v>30.0</v>
      </c>
      <c r="M2619" s="2">
        <v>42056.0</v>
      </c>
      <c r="N2619" s="1" t="s">
        <v>356</v>
      </c>
      <c r="O2619" s="2">
        <v>42095.0</v>
      </c>
      <c r="P2619" s="1">
        <v>26283.0</v>
      </c>
      <c r="Q2619" s="1">
        <v>8089.0</v>
      </c>
      <c r="R2619" s="1">
        <v>3000.0</v>
      </c>
      <c r="S2619" s="1">
        <v>1461.0</v>
      </c>
      <c r="T2619" s="1" t="s">
        <v>23431</v>
      </c>
      <c r="U2619" s="1" t="s">
        <v>189</v>
      </c>
      <c r="V2619" s="1" t="s">
        <v>251</v>
      </c>
      <c r="W2619" s="1">
        <v>60133.0</v>
      </c>
      <c r="Y2619" s="1" t="s">
        <v>23432</v>
      </c>
      <c r="Z2619" s="1">
        <v>1964.0</v>
      </c>
      <c r="AA2619" s="1" t="s">
        <v>192</v>
      </c>
      <c r="AB2619" s="1" t="s">
        <v>193</v>
      </c>
      <c r="AC2619" s="1" t="s">
        <v>253</v>
      </c>
      <c r="AD2619" s="1" t="s">
        <v>254</v>
      </c>
      <c r="AE2619" s="1" t="s">
        <v>195</v>
      </c>
      <c r="AF2619" s="1" t="s">
        <v>255</v>
      </c>
      <c r="AG2619" s="1" t="s">
        <v>21111</v>
      </c>
      <c r="AH2619" s="1" t="s">
        <v>256</v>
      </c>
      <c r="AK2619" s="1">
        <v>8.0</v>
      </c>
      <c r="AL2619" s="1">
        <v>4.0</v>
      </c>
      <c r="AM2619" s="1">
        <v>1.0</v>
      </c>
      <c r="AN2619" s="1">
        <v>1.0</v>
      </c>
      <c r="AO2619" s="1" t="s">
        <v>229</v>
      </c>
      <c r="AQ2619" s="1" t="s">
        <v>1314</v>
      </c>
      <c r="AR2619" s="1" t="s">
        <v>192</v>
      </c>
      <c r="AS2619" s="1" t="s">
        <v>199</v>
      </c>
      <c r="AT2619" s="1">
        <v>1.0</v>
      </c>
      <c r="AV2619" s="1" t="s">
        <v>200</v>
      </c>
      <c r="AW2619" s="1">
        <v>6057.0</v>
      </c>
      <c r="AX2619" s="1">
        <v>2012.0</v>
      </c>
      <c r="AZ2619" s="1" t="s">
        <v>200</v>
      </c>
      <c r="BA2619" s="1" t="str">
        <f>"07311040100000"</f>
        <v>07311040100000</v>
      </c>
      <c r="BC2619" s="1">
        <v>0.0</v>
      </c>
      <c r="BD2619" s="1">
        <v>158500.0</v>
      </c>
      <c r="BE2619" s="2">
        <v>42027.0</v>
      </c>
      <c r="BF2619" s="2" t="s">
        <v>23433</v>
      </c>
      <c r="BG2619" s="1" t="s">
        <v>7277</v>
      </c>
      <c r="BH2619" s="1">
        <v>0.0</v>
      </c>
      <c r="BI2619" s="1" t="s">
        <v>8447</v>
      </c>
      <c r="BJ2619" s="1" t="s">
        <v>23434</v>
      </c>
      <c r="BK2619" s="1" t="s">
        <v>204</v>
      </c>
      <c r="BL2619" s="1" t="str">
        <f>"8"</f>
        <v>8</v>
      </c>
      <c r="BM2619" s="1" t="str">
        <f t="shared" ref="BM2619:BM2620" si="1711">"0"</f>
        <v>0</v>
      </c>
      <c r="BN2619" s="1">
        <v>26.0</v>
      </c>
      <c r="BO2619" s="1">
        <v>0.0</v>
      </c>
      <c r="BQ2619" s="1">
        <v>54.0</v>
      </c>
      <c r="BR2619" s="1">
        <v>211.0</v>
      </c>
      <c r="BS2619" s="1">
        <v>54.0</v>
      </c>
      <c r="BU2619" s="1" t="s">
        <v>208</v>
      </c>
      <c r="BV2619" s="1" t="s">
        <v>206</v>
      </c>
      <c r="BW2619" s="1" t="s">
        <v>301</v>
      </c>
      <c r="BY2619" s="1" t="s">
        <v>262</v>
      </c>
      <c r="BZ2619" s="1" t="s">
        <v>209</v>
      </c>
      <c r="CA2619" s="1" t="s">
        <v>301</v>
      </c>
      <c r="CC2619" s="1" t="s">
        <v>269</v>
      </c>
      <c r="CD2619" s="1" t="s">
        <v>206</v>
      </c>
      <c r="CE2619" s="1" t="s">
        <v>301</v>
      </c>
      <c r="CF2619" s="1" t="s">
        <v>1118</v>
      </c>
      <c r="CG2619" s="1" t="s">
        <v>495</v>
      </c>
      <c r="CH2619" s="1" t="s">
        <v>209</v>
      </c>
      <c r="CI2619" s="1" t="s">
        <v>301</v>
      </c>
      <c r="CK2619" s="1" t="s">
        <v>269</v>
      </c>
      <c r="CL2619" s="1" t="s">
        <v>209</v>
      </c>
      <c r="CM2619" s="1" t="s">
        <v>301</v>
      </c>
      <c r="CO2619" s="1" t="s">
        <v>699</v>
      </c>
      <c r="CP2619" s="1" t="s">
        <v>267</v>
      </c>
      <c r="CQ2619" s="1" t="s">
        <v>301</v>
      </c>
      <c r="CS2619" s="1" t="s">
        <v>433</v>
      </c>
      <c r="CT2619" s="1" t="s">
        <v>206</v>
      </c>
      <c r="CU2619" s="1" t="s">
        <v>268</v>
      </c>
      <c r="CW2619" s="1" t="s">
        <v>1426</v>
      </c>
      <c r="CX2619" s="1" t="s">
        <v>267</v>
      </c>
      <c r="CY2619" s="1" t="s">
        <v>301</v>
      </c>
      <c r="DA2619" s="1" t="s">
        <v>200</v>
      </c>
      <c r="DC2619" s="1" t="s">
        <v>271</v>
      </c>
      <c r="DE2619" s="1" t="s">
        <v>273</v>
      </c>
      <c r="DF2619" s="1" t="s">
        <v>219</v>
      </c>
      <c r="DG2619" s="1" t="s">
        <v>482</v>
      </c>
      <c r="DH2619" s="1" t="s">
        <v>365</v>
      </c>
      <c r="DI2619" s="1" t="s">
        <v>959</v>
      </c>
      <c r="DJ2619" s="1" t="s">
        <v>1048</v>
      </c>
      <c r="DL2619" s="1" t="s">
        <v>224</v>
      </c>
      <c r="DM2619" s="1" t="s">
        <v>338</v>
      </c>
      <c r="DO2619" s="1" t="s">
        <v>549</v>
      </c>
      <c r="DP2619" s="1" t="s">
        <v>340</v>
      </c>
      <c r="DQ2619" s="1" t="s">
        <v>228</v>
      </c>
      <c r="DR2619" s="1" t="s">
        <v>229</v>
      </c>
      <c r="DS2619" s="1" t="s">
        <v>230</v>
      </c>
      <c r="DU2619" s="1" t="s">
        <v>550</v>
      </c>
      <c r="DV2619" s="1" t="s">
        <v>232</v>
      </c>
      <c r="DW2619" s="1" t="s">
        <v>764</v>
      </c>
      <c r="DX2619" s="1" t="s">
        <v>234</v>
      </c>
      <c r="DY2619" s="1" t="s">
        <v>861</v>
      </c>
      <c r="DZ2619" s="1" t="s">
        <v>1661</v>
      </c>
      <c r="EA2619" s="1" t="s">
        <v>283</v>
      </c>
      <c r="EC2619" s="1" t="s">
        <v>284</v>
      </c>
      <c r="ED2619" s="1" t="s">
        <v>555</v>
      </c>
      <c r="EM2619" s="1" t="s">
        <v>238</v>
      </c>
      <c r="EQ2619" s="1" t="s">
        <v>238</v>
      </c>
      <c r="EU2619" s="1" t="s">
        <v>238</v>
      </c>
      <c r="EY2619" s="1" t="s">
        <v>238</v>
      </c>
      <c r="FC2619" s="1" t="s">
        <v>238</v>
      </c>
      <c r="FF2619" s="1" t="s">
        <v>239</v>
      </c>
      <c r="FG2619" s="1" t="s">
        <v>192</v>
      </c>
      <c r="FH2619" s="1" t="s">
        <v>192</v>
      </c>
      <c r="FJ2619" s="1" t="s">
        <v>23435</v>
      </c>
      <c r="FK2619" s="1" t="s">
        <v>229</v>
      </c>
      <c r="FL2619" s="1" t="s">
        <v>20294</v>
      </c>
      <c r="FM2619" s="1">
        <v>24475.0</v>
      </c>
      <c r="FN2619" s="1" t="s">
        <v>20295</v>
      </c>
      <c r="FO2619" s="1" t="s">
        <v>20296</v>
      </c>
      <c r="FP2619" s="1">
        <v>238944.0</v>
      </c>
      <c r="FS2619" s="1" t="s">
        <v>20298</v>
      </c>
      <c r="FU2619" s="1" t="s">
        <v>23436</v>
      </c>
      <c r="FV2619" s="1" t="s">
        <v>200</v>
      </c>
      <c r="FW2619" s="1" t="s">
        <v>290</v>
      </c>
      <c r="FZ2619" s="1" t="s">
        <v>229</v>
      </c>
      <c r="GA2619" s="1" t="s">
        <v>291</v>
      </c>
      <c r="GB2619" s="2">
        <v>42096.0</v>
      </c>
      <c r="GC2619" s="1" t="s">
        <v>23437</v>
      </c>
    </row>
    <row r="2620">
      <c r="A2620" s="1">
        <v>124900.0</v>
      </c>
      <c r="B2620" s="1" t="s">
        <v>185</v>
      </c>
      <c r="C2620" s="1" t="str">
        <f>"08830055"</f>
        <v>08830055</v>
      </c>
      <c r="D2620" s="1" t="s">
        <v>186</v>
      </c>
      <c r="F2620" s="1" t="str">
        <f>"123"</f>
        <v>123</v>
      </c>
      <c r="G2620" s="2">
        <v>42038.0</v>
      </c>
      <c r="H2620" s="1">
        <v>124900.0</v>
      </c>
      <c r="I2620" s="1">
        <v>247.0</v>
      </c>
      <c r="J2620" s="1">
        <v>139900.0</v>
      </c>
      <c r="K2620" s="2">
        <v>42109.0</v>
      </c>
      <c r="L2620" s="1">
        <v>72.0</v>
      </c>
      <c r="M2620" s="2">
        <v>42109.0</v>
      </c>
      <c r="N2620" s="1" t="s">
        <v>187</v>
      </c>
      <c r="O2620" s="2">
        <v>42129.0</v>
      </c>
      <c r="P2620" s="1">
        <v>87500.0</v>
      </c>
      <c r="Q2620" s="1">
        <v>8083.0</v>
      </c>
      <c r="S2620" s="1">
        <v>995.0</v>
      </c>
      <c r="T2620" s="1" t="s">
        <v>23438</v>
      </c>
      <c r="U2620" s="1" t="s">
        <v>320</v>
      </c>
      <c r="V2620" s="1" t="s">
        <v>465</v>
      </c>
      <c r="W2620" s="1">
        <v>60123.0</v>
      </c>
      <c r="Y2620" s="1" t="s">
        <v>23439</v>
      </c>
      <c r="Z2620" s="1">
        <v>1927.0</v>
      </c>
      <c r="AA2620" s="1" t="s">
        <v>192</v>
      </c>
      <c r="AB2620" s="1" t="s">
        <v>193</v>
      </c>
      <c r="AD2620" s="1" t="s">
        <v>469</v>
      </c>
      <c r="AE2620" s="1" t="s">
        <v>325</v>
      </c>
      <c r="AF2620" s="1" t="s">
        <v>469</v>
      </c>
      <c r="AH2620" s="1">
        <v>8712.0</v>
      </c>
      <c r="AK2620" s="1">
        <v>6.0</v>
      </c>
      <c r="AL2620" s="1">
        <v>4.0</v>
      </c>
      <c r="AM2620" s="1">
        <v>1.0</v>
      </c>
      <c r="AN2620" s="1">
        <v>0.0</v>
      </c>
      <c r="AO2620" s="1" t="s">
        <v>229</v>
      </c>
      <c r="AP2620" s="1">
        <v>1.0</v>
      </c>
      <c r="AQ2620" s="1" t="s">
        <v>198</v>
      </c>
      <c r="AR2620" s="1" t="s">
        <v>200</v>
      </c>
      <c r="AS2620" s="1" t="s">
        <v>510</v>
      </c>
      <c r="AT2620" s="1">
        <v>2.0</v>
      </c>
      <c r="AU2620" s="1">
        <v>4.0</v>
      </c>
      <c r="AV2620" s="1" t="s">
        <v>200</v>
      </c>
      <c r="AW2620" s="1">
        <v>2759.0</v>
      </c>
      <c r="AX2620" s="1">
        <v>2013.0</v>
      </c>
      <c r="AY2620" s="1" t="s">
        <v>387</v>
      </c>
      <c r="AZ2620" s="1" t="s">
        <v>200</v>
      </c>
      <c r="BA2620" s="1" t="str">
        <f>"0611130001"</f>
        <v>0611130001</v>
      </c>
      <c r="BB2620" s="1" t="s">
        <v>200</v>
      </c>
      <c r="BC2620" s="1">
        <v>1400.0</v>
      </c>
      <c r="BD2620" s="1">
        <v>124900.0</v>
      </c>
      <c r="BE2620" s="2">
        <v>42038.0</v>
      </c>
      <c r="BF2620" s="2" t="s">
        <v>23440</v>
      </c>
      <c r="BG2620" s="1" t="s">
        <v>5600</v>
      </c>
      <c r="BH2620" s="1">
        <v>0.0</v>
      </c>
      <c r="BI2620" s="1" t="s">
        <v>3197</v>
      </c>
      <c r="BJ2620" s="1" t="s">
        <v>675</v>
      </c>
      <c r="BK2620" s="1" t="s">
        <v>204</v>
      </c>
      <c r="BL2620" s="1" t="str">
        <f>"12"</f>
        <v>12</v>
      </c>
      <c r="BM2620" s="1" t="str">
        <f t="shared" si="1711"/>
        <v>0</v>
      </c>
      <c r="BN2620" s="1">
        <v>34.0</v>
      </c>
      <c r="BO2620" s="1">
        <v>0.0</v>
      </c>
      <c r="BQ2620" s="1">
        <v>46.0</v>
      </c>
      <c r="BR2620" s="1">
        <v>46.0</v>
      </c>
      <c r="BS2620" s="1">
        <v>46.0</v>
      </c>
      <c r="BU2620" s="1" t="s">
        <v>924</v>
      </c>
      <c r="BV2620" s="1" t="s">
        <v>206</v>
      </c>
      <c r="BW2620" s="1" t="s">
        <v>207</v>
      </c>
      <c r="BX2620" s="1" t="s">
        <v>239</v>
      </c>
      <c r="BY2620" s="1" t="s">
        <v>497</v>
      </c>
      <c r="BZ2620" s="1" t="s">
        <v>206</v>
      </c>
      <c r="CA2620" s="1" t="s">
        <v>207</v>
      </c>
      <c r="CB2620" s="1" t="s">
        <v>239</v>
      </c>
      <c r="CD2620" s="1" t="s">
        <v>204</v>
      </c>
      <c r="CG2620" s="1" t="s">
        <v>623</v>
      </c>
      <c r="CH2620" s="1" t="s">
        <v>206</v>
      </c>
      <c r="CI2620" s="1" t="s">
        <v>207</v>
      </c>
      <c r="CJ2620" s="1" t="s">
        <v>239</v>
      </c>
      <c r="CK2620" s="1" t="s">
        <v>392</v>
      </c>
      <c r="CL2620" s="1" t="s">
        <v>209</v>
      </c>
      <c r="CM2620" s="1" t="s">
        <v>207</v>
      </c>
      <c r="CN2620" s="1" t="s">
        <v>239</v>
      </c>
      <c r="CO2620" s="1" t="s">
        <v>497</v>
      </c>
      <c r="CP2620" s="1" t="s">
        <v>209</v>
      </c>
      <c r="CQ2620" s="1" t="s">
        <v>207</v>
      </c>
      <c r="CR2620" s="1" t="s">
        <v>239</v>
      </c>
      <c r="CS2620" s="1" t="s">
        <v>332</v>
      </c>
      <c r="CT2620" s="1" t="s">
        <v>206</v>
      </c>
      <c r="CU2620" s="1" t="s">
        <v>301</v>
      </c>
      <c r="CV2620" s="1" t="s">
        <v>239</v>
      </c>
      <c r="CX2620" s="1" t="s">
        <v>204</v>
      </c>
      <c r="DA2620" s="1" t="s">
        <v>200</v>
      </c>
      <c r="DC2620" s="1" t="s">
        <v>785</v>
      </c>
      <c r="DD2620" s="1" t="s">
        <v>518</v>
      </c>
      <c r="DE2620" s="1" t="s">
        <v>273</v>
      </c>
      <c r="DF2620" s="1" t="s">
        <v>219</v>
      </c>
      <c r="DG2620" s="1" t="s">
        <v>4976</v>
      </c>
      <c r="DH2620" s="1" t="s">
        <v>220</v>
      </c>
      <c r="DI2620" s="1" t="s">
        <v>831</v>
      </c>
      <c r="DJ2620" s="1" t="s">
        <v>222</v>
      </c>
      <c r="DK2620" s="1" t="s">
        <v>4233</v>
      </c>
      <c r="DL2620" s="1" t="s">
        <v>223</v>
      </c>
      <c r="DM2620" s="1" t="s">
        <v>1658</v>
      </c>
      <c r="DO2620" s="1" t="s">
        <v>23441</v>
      </c>
      <c r="DQ2620" s="1" t="s">
        <v>228</v>
      </c>
      <c r="DR2620" s="1" t="s">
        <v>229</v>
      </c>
      <c r="DS2620" s="1" t="s">
        <v>401</v>
      </c>
      <c r="DU2620" s="1" t="s">
        <v>681</v>
      </c>
      <c r="DV2620" s="1" t="s">
        <v>232</v>
      </c>
      <c r="DW2620" s="1" t="s">
        <v>279</v>
      </c>
      <c r="DX2620" s="1" t="s">
        <v>234</v>
      </c>
      <c r="DY2620" s="1" t="s">
        <v>553</v>
      </c>
      <c r="DZ2620" s="1" t="s">
        <v>405</v>
      </c>
      <c r="EA2620" s="1" t="s">
        <v>2099</v>
      </c>
      <c r="EB2620" s="1" t="s">
        <v>345</v>
      </c>
      <c r="EC2620" s="1" t="s">
        <v>237</v>
      </c>
      <c r="ED2620" s="1" t="s">
        <v>407</v>
      </c>
      <c r="EF2620" s="1" t="s">
        <v>523</v>
      </c>
      <c r="EM2620" s="1" t="s">
        <v>238</v>
      </c>
      <c r="EQ2620" s="1" t="s">
        <v>238</v>
      </c>
      <c r="EU2620" s="1" t="s">
        <v>238</v>
      </c>
      <c r="EY2620" s="1" t="s">
        <v>238</v>
      </c>
      <c r="FC2620" s="1" t="s">
        <v>238</v>
      </c>
      <c r="FF2620" s="1" t="s">
        <v>239</v>
      </c>
      <c r="FG2620" s="1" t="s">
        <v>192</v>
      </c>
      <c r="FH2620" s="1" t="s">
        <v>192</v>
      </c>
      <c r="FJ2620" s="1" t="s">
        <v>23442</v>
      </c>
      <c r="FK2620" s="1" t="s">
        <v>229</v>
      </c>
      <c r="FL2620" s="1" t="s">
        <v>4635</v>
      </c>
      <c r="FM2620" s="1">
        <v>1666.0</v>
      </c>
      <c r="FN2620" s="1" t="s">
        <v>4636</v>
      </c>
      <c r="FO2620" s="1" t="s">
        <v>4637</v>
      </c>
      <c r="FP2620" s="1">
        <v>26352.0</v>
      </c>
      <c r="FQ2620" s="1" t="s">
        <v>4638</v>
      </c>
      <c r="FU2620" s="1" t="s">
        <v>7874</v>
      </c>
      <c r="FV2620" s="1" t="s">
        <v>192</v>
      </c>
      <c r="FW2620" s="1" t="s">
        <v>290</v>
      </c>
      <c r="FZ2620" s="1" t="s">
        <v>229</v>
      </c>
      <c r="GA2620" s="1" t="s">
        <v>291</v>
      </c>
      <c r="GB2620" s="2">
        <v>42130.0</v>
      </c>
      <c r="GC2620" s="1" t="s">
        <v>23443</v>
      </c>
    </row>
    <row r="2621">
      <c r="A2621" s="1">
        <v>41000.0</v>
      </c>
      <c r="B2621" s="1" t="s">
        <v>185</v>
      </c>
      <c r="C2621" s="1" t="str">
        <f>"08823881"</f>
        <v>08823881</v>
      </c>
      <c r="D2621" s="1" t="s">
        <v>186</v>
      </c>
      <c r="F2621" s="1" t="str">
        <f>"8067"</f>
        <v>8067</v>
      </c>
      <c r="G2621" s="2">
        <v>42030.0</v>
      </c>
      <c r="H2621" s="1">
        <v>40000.0</v>
      </c>
      <c r="I2621" s="1">
        <v>242.0</v>
      </c>
      <c r="J2621" s="1">
        <v>40000.0</v>
      </c>
      <c r="K2621" s="2">
        <v>42055.0</v>
      </c>
      <c r="L2621" s="1">
        <v>26.0</v>
      </c>
      <c r="M2621" s="2">
        <v>42055.0</v>
      </c>
      <c r="N2621" s="1" t="s">
        <v>356</v>
      </c>
      <c r="O2621" s="2">
        <v>42124.0</v>
      </c>
      <c r="P2621" s="1">
        <v>225433.0</v>
      </c>
      <c r="Q2621" s="1">
        <v>25494.0</v>
      </c>
      <c r="R2621" s="1">
        <v>3.0</v>
      </c>
      <c r="S2621" s="1">
        <v>6553.0</v>
      </c>
      <c r="T2621" s="1" t="s">
        <v>3505</v>
      </c>
      <c r="U2621" s="1" t="s">
        <v>320</v>
      </c>
      <c r="V2621" s="1" t="s">
        <v>190</v>
      </c>
      <c r="W2621" s="1">
        <v>60636.0</v>
      </c>
      <c r="Y2621" s="1" t="s">
        <v>23444</v>
      </c>
      <c r="Z2621" s="1">
        <v>1968.0</v>
      </c>
      <c r="AA2621" s="1" t="s">
        <v>192</v>
      </c>
      <c r="AB2621" s="1" t="s">
        <v>193</v>
      </c>
      <c r="AD2621" s="1" t="s">
        <v>194</v>
      </c>
      <c r="AE2621" s="1" t="s">
        <v>195</v>
      </c>
      <c r="AF2621" s="1" t="s">
        <v>637</v>
      </c>
      <c r="AH2621" s="1">
        <v>3100.0</v>
      </c>
      <c r="AI2621" s="1">
        <v>0.0712</v>
      </c>
      <c r="AK2621" s="1">
        <v>7.0</v>
      </c>
      <c r="AL2621" s="1">
        <v>4.0</v>
      </c>
      <c r="AM2621" s="1">
        <v>2.0</v>
      </c>
      <c r="AN2621" s="1">
        <v>0.0</v>
      </c>
      <c r="AO2621" s="1" t="s">
        <v>229</v>
      </c>
      <c r="AQ2621" s="1" t="s">
        <v>327</v>
      </c>
      <c r="AR2621" s="1" t="s">
        <v>192</v>
      </c>
      <c r="AS2621" s="1" t="s">
        <v>199</v>
      </c>
      <c r="AT2621" s="1">
        <v>2.0</v>
      </c>
      <c r="AV2621" s="1" t="s">
        <v>200</v>
      </c>
      <c r="AW2621" s="1">
        <v>0.0</v>
      </c>
      <c r="AX2621" s="1">
        <v>2013.0</v>
      </c>
      <c r="AY2621" s="1" t="s">
        <v>1917</v>
      </c>
      <c r="AZ2621" s="1" t="s">
        <v>200</v>
      </c>
      <c r="BA2621" s="1" t="str">
        <f>"20201140220000"</f>
        <v>20201140220000</v>
      </c>
      <c r="BC2621" s="1">
        <v>969.0</v>
      </c>
      <c r="BD2621" s="1">
        <v>41000.0</v>
      </c>
      <c r="BE2621" s="2">
        <v>42030.0</v>
      </c>
      <c r="BF2621" s="1" t="s">
        <v>23445</v>
      </c>
      <c r="BG2621" s="1" t="s">
        <v>23446</v>
      </c>
      <c r="BH2621" s="1">
        <v>0.0</v>
      </c>
      <c r="BJ2621" s="1" t="s">
        <v>9871</v>
      </c>
      <c r="BK2621" s="1" t="s">
        <v>204</v>
      </c>
      <c r="BL2621" s="1" t="str">
        <f t="shared" ref="BL2621:BM2621" si="1712">"0"</f>
        <v>0</v>
      </c>
      <c r="BM2621" s="1" t="str">
        <f t="shared" si="1712"/>
        <v>0</v>
      </c>
      <c r="BN2621" s="1">
        <v>1500.0</v>
      </c>
      <c r="BO2621" s="1">
        <v>6500.0</v>
      </c>
      <c r="BQ2621" s="1">
        <v>299.0</v>
      </c>
      <c r="BR2621" s="1">
        <v>299.0</v>
      </c>
      <c r="BS2621" s="1">
        <v>299.0</v>
      </c>
      <c r="BU2621" s="1" t="s">
        <v>205</v>
      </c>
      <c r="BV2621" s="1" t="s">
        <v>206</v>
      </c>
      <c r="BW2621" s="1" t="s">
        <v>207</v>
      </c>
      <c r="BX2621" s="1" t="s">
        <v>1549</v>
      </c>
      <c r="BY2621" s="1" t="s">
        <v>1939</v>
      </c>
      <c r="BZ2621" s="1" t="s">
        <v>209</v>
      </c>
      <c r="CA2621" s="1" t="s">
        <v>210</v>
      </c>
      <c r="CB2621" s="1" t="s">
        <v>1549</v>
      </c>
      <c r="CC2621" s="1" t="s">
        <v>1672</v>
      </c>
      <c r="CD2621" s="1" t="s">
        <v>206</v>
      </c>
      <c r="CE2621" s="1" t="s">
        <v>207</v>
      </c>
      <c r="CF2621" s="1" t="s">
        <v>1549</v>
      </c>
      <c r="CG2621" s="1" t="s">
        <v>302</v>
      </c>
      <c r="CH2621" s="1" t="s">
        <v>209</v>
      </c>
      <c r="CI2621" s="1" t="s">
        <v>617</v>
      </c>
      <c r="CJ2621" s="1" t="s">
        <v>229</v>
      </c>
      <c r="CK2621" s="1" t="s">
        <v>1584</v>
      </c>
      <c r="CL2621" s="1" t="s">
        <v>209</v>
      </c>
      <c r="CM2621" s="1" t="s">
        <v>207</v>
      </c>
      <c r="CN2621" s="1" t="s">
        <v>229</v>
      </c>
      <c r="CO2621" s="1" t="s">
        <v>205</v>
      </c>
      <c r="CP2621" s="1" t="s">
        <v>267</v>
      </c>
      <c r="CQ2621" s="1" t="s">
        <v>210</v>
      </c>
      <c r="CS2621" s="1" t="s">
        <v>1688</v>
      </c>
      <c r="CT2621" s="1" t="s">
        <v>206</v>
      </c>
      <c r="CU2621" s="1" t="s">
        <v>268</v>
      </c>
      <c r="CV2621" s="1" t="s">
        <v>229</v>
      </c>
      <c r="CX2621" s="1" t="s">
        <v>204</v>
      </c>
      <c r="DA2621" s="1" t="s">
        <v>200</v>
      </c>
      <c r="DC2621" s="1" t="s">
        <v>517</v>
      </c>
      <c r="DD2621" s="1" t="s">
        <v>306</v>
      </c>
      <c r="DE2621" s="1" t="s">
        <v>273</v>
      </c>
      <c r="DF2621" s="1" t="s">
        <v>619</v>
      </c>
      <c r="DG2621" s="1" t="s">
        <v>1657</v>
      </c>
      <c r="DH2621" s="1" t="s">
        <v>307</v>
      </c>
      <c r="DI2621" s="1" t="s">
        <v>1401</v>
      </c>
      <c r="DJ2621" s="1" t="s">
        <v>222</v>
      </c>
      <c r="DK2621" s="1" t="s">
        <v>223</v>
      </c>
      <c r="DL2621" s="1" t="s">
        <v>1161</v>
      </c>
      <c r="DM2621" s="1" t="s">
        <v>229</v>
      </c>
      <c r="DN2621" s="1" t="s">
        <v>666</v>
      </c>
      <c r="DP2621" s="1" t="s">
        <v>340</v>
      </c>
      <c r="DQ2621" s="1" t="s">
        <v>228</v>
      </c>
      <c r="DR2621" s="1" t="s">
        <v>229</v>
      </c>
      <c r="DS2621" s="1" t="s">
        <v>368</v>
      </c>
      <c r="DV2621" s="1" t="s">
        <v>232</v>
      </c>
      <c r="DW2621" s="1" t="s">
        <v>489</v>
      </c>
      <c r="DX2621" s="1" t="s">
        <v>1287</v>
      </c>
      <c r="DZ2621" s="1" t="s">
        <v>282</v>
      </c>
      <c r="EA2621" s="1" t="s">
        <v>554</v>
      </c>
      <c r="EC2621" s="1" t="s">
        <v>284</v>
      </c>
      <c r="ED2621" s="1" t="s">
        <v>407</v>
      </c>
      <c r="EM2621" s="1" t="s">
        <v>238</v>
      </c>
      <c r="EQ2621" s="1" t="s">
        <v>238</v>
      </c>
      <c r="EU2621" s="1" t="s">
        <v>238</v>
      </c>
      <c r="EY2621" s="1" t="s">
        <v>238</v>
      </c>
      <c r="FC2621" s="1" t="s">
        <v>238</v>
      </c>
      <c r="FF2621" s="1" t="s">
        <v>239</v>
      </c>
      <c r="FG2621" s="1" t="s">
        <v>192</v>
      </c>
      <c r="FH2621" s="1" t="s">
        <v>192</v>
      </c>
      <c r="FJ2621" s="1" t="s">
        <v>23447</v>
      </c>
      <c r="FK2621" s="1" t="s">
        <v>229</v>
      </c>
      <c r="FL2621" s="1" t="s">
        <v>3565</v>
      </c>
      <c r="FM2621" s="1">
        <v>26148.0</v>
      </c>
      <c r="FN2621" s="1" t="s">
        <v>3566</v>
      </c>
      <c r="FO2621" s="1" t="s">
        <v>23448</v>
      </c>
      <c r="FP2621" s="1">
        <v>225433.0</v>
      </c>
      <c r="FQ2621" s="1" t="s">
        <v>23449</v>
      </c>
      <c r="FU2621" s="1" t="s">
        <v>23450</v>
      </c>
      <c r="FV2621" s="1" t="s">
        <v>200</v>
      </c>
      <c r="FW2621" s="1" t="s">
        <v>290</v>
      </c>
      <c r="FX2621" s="1" t="s">
        <v>655</v>
      </c>
      <c r="FZ2621" s="1" t="s">
        <v>229</v>
      </c>
      <c r="GA2621" s="1" t="s">
        <v>291</v>
      </c>
      <c r="GB2621" s="2">
        <v>42125.0</v>
      </c>
      <c r="GC2621" s="1" t="s">
        <v>23451</v>
      </c>
    </row>
    <row r="2622">
      <c r="A2622" s="1">
        <v>345000.0</v>
      </c>
      <c r="B2622" s="1" t="s">
        <v>185</v>
      </c>
      <c r="C2622" s="1" t="str">
        <f>"08823859"</f>
        <v>08823859</v>
      </c>
      <c r="D2622" s="1" t="s">
        <v>186</v>
      </c>
      <c r="F2622" s="1" t="str">
        <f>"119"</f>
        <v>119</v>
      </c>
      <c r="G2622" s="2">
        <v>42030.0</v>
      </c>
      <c r="H2622" s="1">
        <v>349900.0</v>
      </c>
      <c r="I2622" s="1">
        <v>268.0</v>
      </c>
      <c r="J2622" s="1">
        <v>349900.0</v>
      </c>
      <c r="K2622" s="2">
        <v>42054.0</v>
      </c>
      <c r="L2622" s="1">
        <v>25.0</v>
      </c>
      <c r="M2622" s="2">
        <v>42054.0</v>
      </c>
      <c r="N2622" s="1" t="s">
        <v>187</v>
      </c>
      <c r="O2622" s="2">
        <v>42090.0</v>
      </c>
      <c r="P2622" s="1">
        <v>1040.0</v>
      </c>
      <c r="Q2622" s="1">
        <v>28.0</v>
      </c>
      <c r="S2622" s="1">
        <v>1313.0</v>
      </c>
      <c r="T2622" s="1" t="s">
        <v>23452</v>
      </c>
      <c r="U2622" s="1" t="s">
        <v>189</v>
      </c>
      <c r="V2622" s="1" t="s">
        <v>1476</v>
      </c>
      <c r="W2622" s="1">
        <v>60119.0</v>
      </c>
      <c r="Y2622" s="1" t="s">
        <v>23453</v>
      </c>
      <c r="Z2622" s="1">
        <v>2014.0</v>
      </c>
      <c r="AA2622" s="1" t="s">
        <v>200</v>
      </c>
      <c r="AB2622" s="1" t="s">
        <v>193</v>
      </c>
      <c r="AC2622" s="1" t="s">
        <v>4349</v>
      </c>
      <c r="AD2622" s="1" t="s">
        <v>1478</v>
      </c>
      <c r="AE2622" s="1" t="s">
        <v>325</v>
      </c>
      <c r="AF2622" s="1" t="s">
        <v>1479</v>
      </c>
      <c r="AH2622" s="1" t="s">
        <v>23454</v>
      </c>
      <c r="AI2622" s="1">
        <v>0.28</v>
      </c>
      <c r="AK2622" s="1">
        <v>8.0</v>
      </c>
      <c r="AL2622" s="1">
        <v>4.0</v>
      </c>
      <c r="AM2622" s="1">
        <v>2.0</v>
      </c>
      <c r="AN2622" s="1">
        <v>1.0</v>
      </c>
      <c r="AO2622" s="1" t="s">
        <v>198</v>
      </c>
      <c r="AP2622" s="1">
        <v>1.0</v>
      </c>
      <c r="AQ2622" s="1" t="s">
        <v>198</v>
      </c>
      <c r="AR2622" s="1" t="s">
        <v>200</v>
      </c>
      <c r="AS2622" s="1" t="s">
        <v>199</v>
      </c>
      <c r="AT2622" s="1">
        <v>3.0</v>
      </c>
      <c r="AV2622" s="1" t="s">
        <v>200</v>
      </c>
      <c r="AW2622" s="1">
        <v>1210.0</v>
      </c>
      <c r="AX2622" s="1">
        <v>2013.0</v>
      </c>
      <c r="AY2622" s="1" t="s">
        <v>229</v>
      </c>
      <c r="AZ2622" s="1" t="s">
        <v>200</v>
      </c>
      <c r="BA2622" s="1" t="str">
        <f>"1109354001"</f>
        <v>1109354001</v>
      </c>
      <c r="BB2622" s="1" t="s">
        <v>200</v>
      </c>
      <c r="BC2622" s="1">
        <v>2600.0</v>
      </c>
      <c r="BD2622" s="1">
        <v>345000.0</v>
      </c>
      <c r="BE2622" s="2">
        <v>42030.0</v>
      </c>
      <c r="BF2622" s="2" t="s">
        <v>23455</v>
      </c>
      <c r="BH2622" s="1">
        <v>240.0</v>
      </c>
      <c r="BK2622" s="1" t="s">
        <v>580</v>
      </c>
      <c r="BL2622" s="1" t="str">
        <f t="shared" ref="BL2622:BM2622" si="1713">""</f>
        <v/>
      </c>
      <c r="BM2622" s="1" t="str">
        <f t="shared" si="1713"/>
        <v/>
      </c>
      <c r="BQ2622" s="1">
        <v>302.0</v>
      </c>
      <c r="BR2622" s="1">
        <v>302.0</v>
      </c>
      <c r="BS2622" s="1">
        <v>302.0</v>
      </c>
      <c r="BU2622" s="1" t="s">
        <v>433</v>
      </c>
      <c r="BV2622" s="1" t="s">
        <v>206</v>
      </c>
      <c r="BW2622" s="1" t="s">
        <v>207</v>
      </c>
      <c r="BY2622" s="1" t="s">
        <v>664</v>
      </c>
      <c r="BZ2622" s="1" t="s">
        <v>209</v>
      </c>
      <c r="CC2622" s="1" t="s">
        <v>433</v>
      </c>
      <c r="CD2622" s="1" t="s">
        <v>206</v>
      </c>
      <c r="CE2622" s="1" t="s">
        <v>207</v>
      </c>
      <c r="CG2622" s="1" t="s">
        <v>212</v>
      </c>
      <c r="CH2622" s="1" t="s">
        <v>209</v>
      </c>
      <c r="CK2622" s="1" t="s">
        <v>541</v>
      </c>
      <c r="CL2622" s="1" t="s">
        <v>209</v>
      </c>
      <c r="CO2622" s="1" t="s">
        <v>1229</v>
      </c>
      <c r="CP2622" s="1" t="s">
        <v>209</v>
      </c>
      <c r="CS2622" s="1" t="s">
        <v>924</v>
      </c>
      <c r="CT2622" s="1" t="s">
        <v>206</v>
      </c>
      <c r="CU2622" s="1" t="s">
        <v>207</v>
      </c>
      <c r="CW2622" s="1" t="s">
        <v>715</v>
      </c>
      <c r="CX2622" s="1" t="s">
        <v>206</v>
      </c>
      <c r="CY2622" s="1" t="s">
        <v>207</v>
      </c>
      <c r="DA2622" s="1" t="s">
        <v>192</v>
      </c>
      <c r="DB2622" s="2">
        <v>42030.0</v>
      </c>
      <c r="DC2622" s="1" t="s">
        <v>1353</v>
      </c>
      <c r="DD2622" s="1" t="s">
        <v>1838</v>
      </c>
      <c r="DE2622" s="1" t="s">
        <v>273</v>
      </c>
      <c r="DF2622" s="1" t="s">
        <v>219</v>
      </c>
      <c r="DG2622" s="1" t="s">
        <v>1020</v>
      </c>
      <c r="DH2622" s="1" t="s">
        <v>220</v>
      </c>
      <c r="DI2622" s="1" t="s">
        <v>366</v>
      </c>
      <c r="DJ2622" s="1" t="s">
        <v>222</v>
      </c>
      <c r="DK2622" s="1" t="s">
        <v>223</v>
      </c>
      <c r="DL2622" s="1" t="s">
        <v>484</v>
      </c>
      <c r="DM2622" s="1" t="s">
        <v>338</v>
      </c>
      <c r="DN2622" s="1" t="s">
        <v>485</v>
      </c>
      <c r="DO2622" s="1" t="s">
        <v>486</v>
      </c>
      <c r="DP2622" s="1" t="s">
        <v>340</v>
      </c>
      <c r="DQ2622" s="1" t="s">
        <v>441</v>
      </c>
      <c r="DR2622" s="1" t="s">
        <v>588</v>
      </c>
      <c r="DS2622" s="1" t="s">
        <v>368</v>
      </c>
      <c r="DU2622" s="1" t="s">
        <v>2070</v>
      </c>
      <c r="DV2622" s="1" t="s">
        <v>232</v>
      </c>
      <c r="DW2622" s="1" t="s">
        <v>1072</v>
      </c>
      <c r="DX2622" s="1" t="s">
        <v>234</v>
      </c>
      <c r="DY2622" s="1" t="s">
        <v>490</v>
      </c>
      <c r="DZ2622" s="1" t="s">
        <v>5974</v>
      </c>
      <c r="EA2622" s="1" t="s">
        <v>447</v>
      </c>
      <c r="EB2622" s="1" t="s">
        <v>684</v>
      </c>
      <c r="EC2622" s="1" t="s">
        <v>237</v>
      </c>
      <c r="ED2622" s="1" t="s">
        <v>407</v>
      </c>
      <c r="EM2622" s="1" t="s">
        <v>238</v>
      </c>
      <c r="EQ2622" s="1" t="s">
        <v>238</v>
      </c>
      <c r="EU2622" s="1" t="s">
        <v>238</v>
      </c>
      <c r="EY2622" s="1" t="s">
        <v>238</v>
      </c>
      <c r="FC2622" s="1" t="s">
        <v>238</v>
      </c>
      <c r="FF2622" s="1" t="s">
        <v>239</v>
      </c>
      <c r="FG2622" s="1" t="s">
        <v>192</v>
      </c>
      <c r="FH2622" s="1" t="s">
        <v>192</v>
      </c>
      <c r="FJ2622" s="1" t="s">
        <v>1469</v>
      </c>
      <c r="FK2622" s="1" t="s">
        <v>229</v>
      </c>
      <c r="FL2622" s="1" t="s">
        <v>893</v>
      </c>
      <c r="FM2622" s="1">
        <v>604.0</v>
      </c>
      <c r="FN2622" s="1" t="s">
        <v>894</v>
      </c>
      <c r="FO2622" s="1" t="s">
        <v>895</v>
      </c>
      <c r="FP2622" s="1">
        <v>381.0</v>
      </c>
      <c r="FQ2622" s="1" t="s">
        <v>896</v>
      </c>
      <c r="FR2622" s="1">
        <v>179.0</v>
      </c>
      <c r="FS2622" s="1" t="s">
        <v>22253</v>
      </c>
      <c r="FU2622" s="1" t="s">
        <v>8533</v>
      </c>
      <c r="FV2622" s="1" t="s">
        <v>200</v>
      </c>
      <c r="FW2622" s="1" t="s">
        <v>290</v>
      </c>
      <c r="FZ2622" s="1" t="s">
        <v>229</v>
      </c>
      <c r="GA2622" s="1" t="s">
        <v>291</v>
      </c>
      <c r="GB2622" s="2">
        <v>42090.0</v>
      </c>
      <c r="GC2622" s="1" t="s">
        <v>23456</v>
      </c>
    </row>
    <row r="2623">
      <c r="A2623" s="1">
        <v>118500.0</v>
      </c>
      <c r="B2623" s="1" t="s">
        <v>185</v>
      </c>
      <c r="C2623" s="1" t="str">
        <f>"08824386"</f>
        <v>08824386</v>
      </c>
      <c r="D2623" s="1" t="s">
        <v>186</v>
      </c>
      <c r="F2623" s="1" t="str">
        <f>"123"</f>
        <v>123</v>
      </c>
      <c r="G2623" s="2">
        <v>42030.0</v>
      </c>
      <c r="H2623" s="1">
        <v>118900.0</v>
      </c>
      <c r="I2623" s="1">
        <v>23.0</v>
      </c>
      <c r="J2623" s="1">
        <v>114900.0</v>
      </c>
      <c r="K2623" s="2">
        <v>42052.0</v>
      </c>
      <c r="L2623" s="1">
        <v>23.0</v>
      </c>
      <c r="M2623" s="2">
        <v>42052.0</v>
      </c>
      <c r="N2623" s="1" t="s">
        <v>187</v>
      </c>
      <c r="O2623" s="2">
        <v>42130.0</v>
      </c>
      <c r="P2623" s="1">
        <v>8902.0</v>
      </c>
      <c r="Q2623" s="1">
        <v>222.0</v>
      </c>
      <c r="R2623" s="1">
        <v>3500.0</v>
      </c>
      <c r="S2623" s="1">
        <v>515.0</v>
      </c>
      <c r="T2623" s="1" t="s">
        <v>23457</v>
      </c>
      <c r="U2623" s="1" t="s">
        <v>569</v>
      </c>
      <c r="V2623" s="1" t="s">
        <v>465</v>
      </c>
      <c r="W2623" s="1">
        <v>60123.0</v>
      </c>
      <c r="X2623" s="1">
        <v>7232.0</v>
      </c>
      <c r="Y2623" s="1" t="s">
        <v>23458</v>
      </c>
      <c r="Z2623" s="1" t="s">
        <v>296</v>
      </c>
      <c r="AA2623" s="1" t="s">
        <v>200</v>
      </c>
      <c r="AB2623" s="1" t="s">
        <v>193</v>
      </c>
      <c r="AD2623" s="1" t="s">
        <v>469</v>
      </c>
      <c r="AE2623" s="1" t="s">
        <v>325</v>
      </c>
      <c r="AF2623" s="1" t="s">
        <v>469</v>
      </c>
      <c r="AH2623" s="1">
        <v>7371.0</v>
      </c>
      <c r="AK2623" s="1">
        <v>6.0</v>
      </c>
      <c r="AL2623" s="1">
        <v>4.0</v>
      </c>
      <c r="AM2623" s="1">
        <v>1.0</v>
      </c>
      <c r="AN2623" s="1">
        <v>1.0</v>
      </c>
      <c r="AO2623" s="1" t="s">
        <v>229</v>
      </c>
      <c r="AQ2623" s="1" t="s">
        <v>198</v>
      </c>
      <c r="AR2623" s="1" t="s">
        <v>200</v>
      </c>
      <c r="AS2623" s="1" t="s">
        <v>199</v>
      </c>
      <c r="AT2623" s="1">
        <v>1.0</v>
      </c>
      <c r="AV2623" s="1" t="s">
        <v>200</v>
      </c>
      <c r="AW2623" s="1">
        <v>3247.0</v>
      </c>
      <c r="AX2623" s="1">
        <v>2013.0</v>
      </c>
      <c r="AY2623" s="1" t="s">
        <v>387</v>
      </c>
      <c r="AZ2623" s="1" t="s">
        <v>200</v>
      </c>
      <c r="BA2623" s="1" t="str">
        <f>"0622278010"</f>
        <v>0622278010</v>
      </c>
      <c r="BB2623" s="1" t="s">
        <v>200</v>
      </c>
      <c r="BC2623" s="1">
        <v>0.0</v>
      </c>
      <c r="BD2623" s="1">
        <v>118500.0</v>
      </c>
      <c r="BE2623" s="2">
        <v>42030.0</v>
      </c>
      <c r="BF2623" s="2" t="s">
        <v>23459</v>
      </c>
      <c r="BH2623" s="1">
        <v>0.0</v>
      </c>
      <c r="BK2623" s="1" t="s">
        <v>204</v>
      </c>
      <c r="BL2623" s="1" t="str">
        <f>"10"</f>
        <v>10</v>
      </c>
      <c r="BM2623" s="1" t="str">
        <f>""</f>
        <v/>
      </c>
      <c r="BN2623" s="1">
        <v>35.0</v>
      </c>
      <c r="BQ2623" s="1">
        <v>46.0</v>
      </c>
      <c r="BR2623" s="1">
        <v>46.0</v>
      </c>
      <c r="BS2623" s="1">
        <v>46.0</v>
      </c>
      <c r="BU2623" s="1" t="s">
        <v>454</v>
      </c>
      <c r="BV2623" s="1" t="s">
        <v>206</v>
      </c>
      <c r="BW2623" s="1" t="s">
        <v>207</v>
      </c>
      <c r="BX2623" s="1" t="s">
        <v>229</v>
      </c>
      <c r="BY2623" s="1" t="s">
        <v>212</v>
      </c>
      <c r="BZ2623" s="1" t="s">
        <v>209</v>
      </c>
      <c r="CA2623" s="1" t="s">
        <v>617</v>
      </c>
      <c r="CB2623" s="1" t="s">
        <v>229</v>
      </c>
      <c r="CD2623" s="1" t="s">
        <v>204</v>
      </c>
      <c r="CG2623" s="1" t="s">
        <v>816</v>
      </c>
      <c r="CH2623" s="1" t="s">
        <v>209</v>
      </c>
      <c r="CI2623" s="1" t="s">
        <v>210</v>
      </c>
      <c r="CJ2623" s="1" t="s">
        <v>229</v>
      </c>
      <c r="CK2623" s="1" t="s">
        <v>212</v>
      </c>
      <c r="CL2623" s="1" t="s">
        <v>206</v>
      </c>
      <c r="CM2623" s="1" t="s">
        <v>207</v>
      </c>
      <c r="CN2623" s="1" t="s">
        <v>229</v>
      </c>
      <c r="CO2623" s="1" t="s">
        <v>1119</v>
      </c>
      <c r="CP2623" s="1" t="s">
        <v>206</v>
      </c>
      <c r="CQ2623" s="1" t="s">
        <v>210</v>
      </c>
      <c r="CR2623" s="1" t="s">
        <v>229</v>
      </c>
      <c r="CS2623" s="1" t="s">
        <v>543</v>
      </c>
      <c r="CT2623" s="1" t="s">
        <v>206</v>
      </c>
      <c r="CU2623" s="1" t="s">
        <v>617</v>
      </c>
      <c r="CV2623" s="1" t="s">
        <v>229</v>
      </c>
      <c r="CX2623" s="1" t="s">
        <v>204</v>
      </c>
      <c r="DA2623" s="1" t="s">
        <v>200</v>
      </c>
      <c r="DC2623" s="1" t="s">
        <v>545</v>
      </c>
      <c r="DE2623" s="1" t="s">
        <v>229</v>
      </c>
      <c r="DF2623" s="1" t="s">
        <v>219</v>
      </c>
      <c r="DH2623" s="1" t="s">
        <v>220</v>
      </c>
      <c r="DJ2623" s="1" t="s">
        <v>222</v>
      </c>
      <c r="DL2623" s="1" t="s">
        <v>223</v>
      </c>
      <c r="DM2623" s="1" t="s">
        <v>229</v>
      </c>
      <c r="DQ2623" s="1" t="s">
        <v>228</v>
      </c>
      <c r="DR2623" s="1" t="s">
        <v>229</v>
      </c>
      <c r="DV2623" s="1" t="s">
        <v>374</v>
      </c>
      <c r="DW2623" s="1" t="s">
        <v>588</v>
      </c>
      <c r="DX2623" s="1" t="s">
        <v>234</v>
      </c>
      <c r="EA2623" s="1" t="s">
        <v>1075</v>
      </c>
      <c r="EC2623" s="1" t="s">
        <v>645</v>
      </c>
      <c r="ED2623" s="1" t="s">
        <v>9274</v>
      </c>
      <c r="EG2623" s="1" t="s">
        <v>374</v>
      </c>
      <c r="EL2623" s="1" t="s">
        <v>2166</v>
      </c>
      <c r="EM2623" s="1" t="s">
        <v>206</v>
      </c>
      <c r="EN2623" s="1" t="s">
        <v>210</v>
      </c>
      <c r="EO2623" s="1" t="s">
        <v>229</v>
      </c>
      <c r="EQ2623" s="1" t="s">
        <v>238</v>
      </c>
      <c r="EU2623" s="1" t="s">
        <v>238</v>
      </c>
      <c r="EY2623" s="1" t="s">
        <v>238</v>
      </c>
      <c r="FC2623" s="1" t="s">
        <v>238</v>
      </c>
      <c r="FF2623" s="1" t="s">
        <v>239</v>
      </c>
      <c r="FG2623" s="1" t="s">
        <v>192</v>
      </c>
      <c r="FH2623" s="1" t="s">
        <v>192</v>
      </c>
      <c r="FJ2623" s="1" t="s">
        <v>347</v>
      </c>
      <c r="FK2623" s="1" t="s">
        <v>229</v>
      </c>
      <c r="FL2623" s="1" t="s">
        <v>4635</v>
      </c>
      <c r="FM2623" s="1">
        <v>1666.0</v>
      </c>
      <c r="FN2623" s="1" t="s">
        <v>4636</v>
      </c>
      <c r="FO2623" s="1" t="s">
        <v>4637</v>
      </c>
      <c r="FP2623" s="1">
        <v>26352.0</v>
      </c>
      <c r="FQ2623" s="1" t="s">
        <v>4638</v>
      </c>
      <c r="FU2623" s="1" t="s">
        <v>4639</v>
      </c>
      <c r="FV2623" s="1" t="s">
        <v>200</v>
      </c>
      <c r="FW2623" s="1" t="s">
        <v>354</v>
      </c>
      <c r="FZ2623" s="1" t="s">
        <v>229</v>
      </c>
      <c r="GA2623" s="1" t="s">
        <v>291</v>
      </c>
      <c r="GB2623" s="2">
        <v>42130.0</v>
      </c>
      <c r="GC2623" s="1" t="s">
        <v>4640</v>
      </c>
    </row>
    <row r="2624">
      <c r="A2624" s="1">
        <v>55000.0</v>
      </c>
      <c r="B2624" s="1" t="s">
        <v>185</v>
      </c>
      <c r="C2624" s="1" t="str">
        <f>"08829730"</f>
        <v>08829730</v>
      </c>
      <c r="D2624" s="1" t="s">
        <v>186</v>
      </c>
      <c r="F2624" s="1" t="str">
        <f>"8073"</f>
        <v>8073</v>
      </c>
      <c r="G2624" s="2">
        <v>42038.0</v>
      </c>
      <c r="H2624" s="1">
        <v>64900.0</v>
      </c>
      <c r="I2624" s="1">
        <v>156.0</v>
      </c>
      <c r="J2624" s="1">
        <v>59900.0</v>
      </c>
      <c r="K2624" s="2">
        <v>42065.0</v>
      </c>
      <c r="L2624" s="1">
        <v>28.0</v>
      </c>
      <c r="M2624" s="2">
        <v>42065.0</v>
      </c>
      <c r="N2624" s="1" t="s">
        <v>249</v>
      </c>
      <c r="O2624" s="2">
        <v>42082.0</v>
      </c>
      <c r="P2624" s="1">
        <v>407595.0</v>
      </c>
      <c r="Q2624" s="1">
        <v>40335.0</v>
      </c>
      <c r="S2624" s="1">
        <v>9350.0</v>
      </c>
      <c r="T2624" s="1" t="s">
        <v>5497</v>
      </c>
      <c r="U2624" s="1" t="s">
        <v>320</v>
      </c>
      <c r="V2624" s="1" t="s">
        <v>190</v>
      </c>
      <c r="W2624" s="1">
        <v>60620.0</v>
      </c>
      <c r="Y2624" s="1" t="s">
        <v>23460</v>
      </c>
      <c r="Z2624" s="1">
        <v>1918.0</v>
      </c>
      <c r="AA2624" s="1" t="s">
        <v>192</v>
      </c>
      <c r="AB2624" s="1" t="s">
        <v>193</v>
      </c>
      <c r="AD2624" s="1" t="s">
        <v>194</v>
      </c>
      <c r="AE2624" s="1" t="s">
        <v>195</v>
      </c>
      <c r="AF2624" s="1" t="s">
        <v>659</v>
      </c>
      <c r="AH2624" s="1">
        <v>6250.0</v>
      </c>
      <c r="AK2624" s="1">
        <v>7.0</v>
      </c>
      <c r="AL2624" s="1">
        <v>4.0</v>
      </c>
      <c r="AM2624" s="1">
        <v>1.0</v>
      </c>
      <c r="AN2624" s="1">
        <v>0.0</v>
      </c>
      <c r="AO2624" s="1" t="s">
        <v>229</v>
      </c>
      <c r="AQ2624" s="1" t="s">
        <v>198</v>
      </c>
      <c r="AR2624" s="1" t="s">
        <v>200</v>
      </c>
      <c r="AS2624" s="1" t="s">
        <v>199</v>
      </c>
      <c r="AT2624" s="1">
        <v>2.0</v>
      </c>
      <c r="AV2624" s="1" t="s">
        <v>200</v>
      </c>
      <c r="AW2624" s="6">
        <v>2544.0</v>
      </c>
      <c r="AX2624" s="1">
        <v>2012.0</v>
      </c>
      <c r="AZ2624" s="1" t="s">
        <v>200</v>
      </c>
      <c r="BA2624" s="1" t="str">
        <f>"25053210270000"</f>
        <v>25053210270000</v>
      </c>
      <c r="BB2624" s="1" t="s">
        <v>200</v>
      </c>
      <c r="BC2624" s="1">
        <v>1200.0</v>
      </c>
      <c r="BD2624" s="1">
        <v>55000.0</v>
      </c>
      <c r="BE2624" s="2">
        <v>42038.0</v>
      </c>
      <c r="BF2624" s="2" t="s">
        <v>23461</v>
      </c>
      <c r="BH2624" s="1">
        <v>0.0</v>
      </c>
      <c r="BK2624" s="1" t="s">
        <v>204</v>
      </c>
      <c r="BL2624" s="1" t="str">
        <f t="shared" ref="BL2624:BM2624" si="1714">"0"</f>
        <v>0</v>
      </c>
      <c r="BM2624" s="1" t="str">
        <f t="shared" si="1714"/>
        <v>0</v>
      </c>
      <c r="BN2624" s="1">
        <v>1400.0</v>
      </c>
      <c r="BO2624" s="1">
        <v>9350.0</v>
      </c>
      <c r="BQ2624" s="1">
        <v>299.0</v>
      </c>
      <c r="BR2624" s="1">
        <v>299.0</v>
      </c>
      <c r="BS2624" s="1">
        <v>299.0</v>
      </c>
      <c r="BU2624" s="1" t="s">
        <v>205</v>
      </c>
      <c r="BV2624" s="1" t="s">
        <v>206</v>
      </c>
      <c r="BY2624" s="1" t="s">
        <v>640</v>
      </c>
      <c r="BZ2624" s="1" t="s">
        <v>209</v>
      </c>
      <c r="CC2624" s="1" t="s">
        <v>433</v>
      </c>
      <c r="CD2624" s="1" t="s">
        <v>206</v>
      </c>
      <c r="CG2624" s="1" t="s">
        <v>543</v>
      </c>
      <c r="CH2624" s="1" t="s">
        <v>209</v>
      </c>
      <c r="CK2624" s="1" t="s">
        <v>361</v>
      </c>
      <c r="CL2624" s="1" t="s">
        <v>209</v>
      </c>
      <c r="CO2624" s="1" t="s">
        <v>663</v>
      </c>
      <c r="CP2624" s="1" t="s">
        <v>206</v>
      </c>
      <c r="CS2624" s="1" t="s">
        <v>497</v>
      </c>
      <c r="CT2624" s="1" t="s">
        <v>206</v>
      </c>
      <c r="CX2624" s="1" t="s">
        <v>204</v>
      </c>
      <c r="DA2624" s="1" t="s">
        <v>200</v>
      </c>
      <c r="DC2624" s="1" t="s">
        <v>216</v>
      </c>
      <c r="DD2624" s="1" t="s">
        <v>518</v>
      </c>
      <c r="DE2624" s="1" t="s">
        <v>229</v>
      </c>
      <c r="DF2624" s="1" t="s">
        <v>4086</v>
      </c>
      <c r="DG2624" s="1" t="s">
        <v>337</v>
      </c>
      <c r="DH2624" s="1" t="s">
        <v>220</v>
      </c>
      <c r="DJ2624" s="1" t="s">
        <v>222</v>
      </c>
      <c r="DL2624" s="1" t="s">
        <v>223</v>
      </c>
      <c r="DM2624" s="1" t="s">
        <v>229</v>
      </c>
      <c r="DP2624" s="1" t="s">
        <v>340</v>
      </c>
      <c r="DQ2624" s="1" t="s">
        <v>794</v>
      </c>
      <c r="DR2624" s="1" t="s">
        <v>229</v>
      </c>
      <c r="DS2624" s="1" t="s">
        <v>230</v>
      </c>
      <c r="DV2624" s="1" t="s">
        <v>232</v>
      </c>
      <c r="DW2624" s="1" t="s">
        <v>279</v>
      </c>
      <c r="DX2624" s="1" t="s">
        <v>234</v>
      </c>
      <c r="EA2624" s="1" t="s">
        <v>644</v>
      </c>
      <c r="EC2624" s="1" t="s">
        <v>645</v>
      </c>
      <c r="EE2624" s="1" t="s">
        <v>1960</v>
      </c>
      <c r="EM2624" s="1" t="s">
        <v>238</v>
      </c>
      <c r="EQ2624" s="1" t="s">
        <v>238</v>
      </c>
      <c r="EU2624" s="1" t="s">
        <v>238</v>
      </c>
      <c r="EY2624" s="1" t="s">
        <v>238</v>
      </c>
      <c r="FC2624" s="1" t="s">
        <v>238</v>
      </c>
      <c r="FF2624" s="1" t="s">
        <v>239</v>
      </c>
      <c r="FG2624" s="1" t="s">
        <v>192</v>
      </c>
      <c r="FH2624" s="1" t="s">
        <v>192</v>
      </c>
      <c r="FJ2624" s="1" t="s">
        <v>524</v>
      </c>
      <c r="FK2624" s="1" t="s">
        <v>229</v>
      </c>
      <c r="FL2624" s="1" t="s">
        <v>4260</v>
      </c>
      <c r="FM2624" s="1">
        <v>40335.0</v>
      </c>
      <c r="FN2624" s="1" t="s">
        <v>4261</v>
      </c>
      <c r="FO2624" s="1" t="s">
        <v>23462</v>
      </c>
      <c r="FP2624" s="1">
        <v>407595.0</v>
      </c>
      <c r="FQ2624" s="1" t="s">
        <v>23463</v>
      </c>
      <c r="FU2624" s="1" t="s">
        <v>23464</v>
      </c>
      <c r="FV2624" s="1" t="s">
        <v>200</v>
      </c>
      <c r="FW2624" s="1" t="s">
        <v>23465</v>
      </c>
      <c r="FX2624" s="1" t="s">
        <v>655</v>
      </c>
      <c r="FZ2624" s="1" t="s">
        <v>229</v>
      </c>
      <c r="GA2624" s="1" t="s">
        <v>291</v>
      </c>
      <c r="GB2624" s="2">
        <v>42082.0</v>
      </c>
    </row>
    <row r="2625">
      <c r="A2625" s="1">
        <v>354900.0</v>
      </c>
      <c r="B2625" s="1" t="s">
        <v>185</v>
      </c>
      <c r="C2625" s="1" t="str">
        <f>"08823922"</f>
        <v>08823922</v>
      </c>
      <c r="D2625" s="1" t="s">
        <v>186</v>
      </c>
      <c r="F2625" s="1" t="str">
        <f>"542"</f>
        <v>542</v>
      </c>
      <c r="G2625" s="2">
        <v>42030.0</v>
      </c>
      <c r="H2625" s="1">
        <v>354900.0</v>
      </c>
      <c r="I2625" s="1">
        <v>17.0</v>
      </c>
      <c r="J2625" s="1">
        <v>354900.0</v>
      </c>
      <c r="K2625" s="2">
        <v>42046.0</v>
      </c>
      <c r="L2625" s="1">
        <v>17.0</v>
      </c>
      <c r="M2625" s="2">
        <v>42046.0</v>
      </c>
      <c r="N2625" s="1" t="s">
        <v>187</v>
      </c>
      <c r="O2625" s="2">
        <v>42079.0</v>
      </c>
      <c r="P2625" s="1">
        <v>607.0</v>
      </c>
      <c r="Q2625" s="1">
        <v>30.0</v>
      </c>
      <c r="S2625" s="1">
        <v>966.0</v>
      </c>
      <c r="T2625" s="1" t="s">
        <v>23466</v>
      </c>
      <c r="U2625" s="1" t="s">
        <v>420</v>
      </c>
      <c r="V2625" s="1" t="s">
        <v>3984</v>
      </c>
      <c r="W2625" s="1">
        <v>60542.0</v>
      </c>
      <c r="Y2625" s="1" t="s">
        <v>23467</v>
      </c>
      <c r="Z2625" s="1">
        <v>2006.0</v>
      </c>
      <c r="AA2625" s="1" t="s">
        <v>200</v>
      </c>
      <c r="AB2625" s="1" t="s">
        <v>193</v>
      </c>
      <c r="AD2625" s="1" t="s">
        <v>3986</v>
      </c>
      <c r="AE2625" s="1" t="s">
        <v>325</v>
      </c>
      <c r="AF2625" s="1" t="s">
        <v>2702</v>
      </c>
      <c r="AH2625" s="1" t="s">
        <v>23468</v>
      </c>
      <c r="AK2625" s="1">
        <v>8.0</v>
      </c>
      <c r="AL2625" s="1">
        <v>4.0</v>
      </c>
      <c r="AM2625" s="1">
        <v>2.0</v>
      </c>
      <c r="AN2625" s="1">
        <v>1.0</v>
      </c>
      <c r="AO2625" s="1" t="s">
        <v>198</v>
      </c>
      <c r="AP2625" s="1">
        <v>1.0</v>
      </c>
      <c r="AQ2625" s="1" t="s">
        <v>327</v>
      </c>
      <c r="AR2625" s="1" t="s">
        <v>200</v>
      </c>
      <c r="AS2625" s="1" t="s">
        <v>199</v>
      </c>
      <c r="AT2625" s="1">
        <v>3.0</v>
      </c>
      <c r="AV2625" s="1" t="s">
        <v>200</v>
      </c>
      <c r="AW2625" s="1">
        <v>15495.04</v>
      </c>
      <c r="AX2625" s="1">
        <v>2013.0</v>
      </c>
      <c r="AZ2625" s="1" t="s">
        <v>200</v>
      </c>
      <c r="BA2625" s="1" t="str">
        <f>"1231172022"</f>
        <v>1231172022</v>
      </c>
      <c r="BC2625" s="1">
        <v>3343.0</v>
      </c>
      <c r="BD2625" s="1">
        <v>354900.0</v>
      </c>
      <c r="BE2625" s="2">
        <v>42030.0</v>
      </c>
      <c r="BF2625" s="2" t="s">
        <v>23469</v>
      </c>
      <c r="BH2625" s="1">
        <v>300.0</v>
      </c>
      <c r="BK2625" s="1" t="s">
        <v>580</v>
      </c>
      <c r="BL2625" s="1" t="str">
        <f t="shared" ref="BL2625:BM2625" si="1715">""</f>
        <v/>
      </c>
      <c r="BM2625" s="1" t="str">
        <f t="shared" si="1715"/>
        <v/>
      </c>
      <c r="BQ2625" s="1">
        <v>129.0</v>
      </c>
      <c r="BR2625" s="1">
        <v>129.0</v>
      </c>
      <c r="BS2625" s="1">
        <v>129.0</v>
      </c>
      <c r="BU2625" s="1" t="s">
        <v>362</v>
      </c>
      <c r="BV2625" s="1" t="s">
        <v>206</v>
      </c>
      <c r="BY2625" s="1" t="s">
        <v>2592</v>
      </c>
      <c r="BZ2625" s="1" t="s">
        <v>206</v>
      </c>
      <c r="CC2625" s="1" t="s">
        <v>1534</v>
      </c>
      <c r="CD2625" s="1" t="s">
        <v>206</v>
      </c>
      <c r="CG2625" s="1" t="s">
        <v>361</v>
      </c>
      <c r="CH2625" s="1" t="s">
        <v>206</v>
      </c>
      <c r="CK2625" s="1" t="s">
        <v>743</v>
      </c>
      <c r="CL2625" s="1" t="s">
        <v>206</v>
      </c>
      <c r="CO2625" s="1" t="s">
        <v>2120</v>
      </c>
      <c r="CP2625" s="1" t="s">
        <v>206</v>
      </c>
      <c r="CS2625" s="1" t="s">
        <v>393</v>
      </c>
      <c r="CT2625" s="1" t="s">
        <v>206</v>
      </c>
      <c r="CW2625" s="1" t="s">
        <v>23470</v>
      </c>
      <c r="CX2625" s="1" t="s">
        <v>206</v>
      </c>
      <c r="DA2625" s="1" t="s">
        <v>200</v>
      </c>
      <c r="DC2625" s="1" t="s">
        <v>481</v>
      </c>
      <c r="DE2625" s="1" t="s">
        <v>273</v>
      </c>
      <c r="DF2625" s="1" t="s">
        <v>219</v>
      </c>
      <c r="DH2625" s="1" t="s">
        <v>220</v>
      </c>
      <c r="DJ2625" s="1" t="s">
        <v>222</v>
      </c>
      <c r="DL2625" s="1" t="s">
        <v>791</v>
      </c>
      <c r="DM2625" s="1" t="s">
        <v>229</v>
      </c>
      <c r="DN2625" s="1" t="s">
        <v>399</v>
      </c>
      <c r="DQ2625" s="1" t="s">
        <v>441</v>
      </c>
      <c r="DR2625" s="1" t="s">
        <v>12515</v>
      </c>
      <c r="DV2625" s="1" t="s">
        <v>232</v>
      </c>
      <c r="DW2625" s="1" t="s">
        <v>2128</v>
      </c>
      <c r="DX2625" s="1" t="s">
        <v>234</v>
      </c>
      <c r="DY2625" s="1" t="s">
        <v>2240</v>
      </c>
      <c r="EC2625" s="1" t="s">
        <v>685</v>
      </c>
      <c r="EM2625" s="1" t="s">
        <v>238</v>
      </c>
      <c r="EQ2625" s="1" t="s">
        <v>238</v>
      </c>
      <c r="EU2625" s="1" t="s">
        <v>238</v>
      </c>
      <c r="EY2625" s="1" t="s">
        <v>238</v>
      </c>
      <c r="FC2625" s="1" t="s">
        <v>238</v>
      </c>
      <c r="FF2625" s="1" t="s">
        <v>239</v>
      </c>
      <c r="FG2625" s="1" t="s">
        <v>192</v>
      </c>
      <c r="FH2625" s="1" t="s">
        <v>192</v>
      </c>
      <c r="FJ2625" s="1" t="s">
        <v>770</v>
      </c>
      <c r="FK2625" s="1" t="s">
        <v>229</v>
      </c>
      <c r="FL2625" s="1" t="s">
        <v>13696</v>
      </c>
      <c r="FM2625" s="1">
        <v>25196.0</v>
      </c>
      <c r="FN2625" s="1" t="s">
        <v>13697</v>
      </c>
      <c r="FO2625" s="1" t="s">
        <v>13698</v>
      </c>
      <c r="FP2625" s="1">
        <v>214545.0</v>
      </c>
      <c r="FQ2625" s="1" t="s">
        <v>13697</v>
      </c>
      <c r="FU2625" s="1" t="s">
        <v>13699</v>
      </c>
      <c r="FV2625" s="1" t="s">
        <v>200</v>
      </c>
      <c r="FW2625" s="1" t="s">
        <v>3082</v>
      </c>
      <c r="FZ2625" s="1" t="s">
        <v>229</v>
      </c>
      <c r="GA2625" s="1" t="s">
        <v>291</v>
      </c>
      <c r="GB2625" s="2">
        <v>42080.0</v>
      </c>
      <c r="GC2625" s="1" t="s">
        <v>23125</v>
      </c>
    </row>
    <row r="2626">
      <c r="A2626" s="1">
        <v>940000.0</v>
      </c>
      <c r="B2626" s="1" t="s">
        <v>185</v>
      </c>
      <c r="C2626" s="1" t="str">
        <f>"08824231"</f>
        <v>08824231</v>
      </c>
      <c r="D2626" s="1" t="s">
        <v>186</v>
      </c>
      <c r="F2626" s="1" t="str">
        <f>"8005"</f>
        <v>8005</v>
      </c>
      <c r="G2626" s="2">
        <v>42030.0</v>
      </c>
      <c r="H2626" s="1">
        <v>975000.0</v>
      </c>
      <c r="I2626" s="1">
        <v>42.0</v>
      </c>
      <c r="J2626" s="1">
        <v>975000.0</v>
      </c>
      <c r="K2626" s="2">
        <v>42053.0</v>
      </c>
      <c r="L2626" s="1">
        <v>24.0</v>
      </c>
      <c r="M2626" s="2">
        <v>42053.0</v>
      </c>
      <c r="N2626" s="1" t="s">
        <v>187</v>
      </c>
      <c r="O2626" s="2">
        <v>42125.0</v>
      </c>
      <c r="P2626" s="1">
        <v>126887.0</v>
      </c>
      <c r="Q2626" s="1">
        <v>11000.0</v>
      </c>
      <c r="R2626" s="1">
        <v>3000.0</v>
      </c>
      <c r="S2626" s="1">
        <v>1941.0</v>
      </c>
      <c r="T2626" s="1" t="s">
        <v>4866</v>
      </c>
      <c r="U2626" s="1" t="s">
        <v>320</v>
      </c>
      <c r="V2626" s="1" t="s">
        <v>190</v>
      </c>
      <c r="W2626" s="1">
        <v>60657.0</v>
      </c>
      <c r="Y2626" s="1" t="s">
        <v>23471</v>
      </c>
      <c r="Z2626" s="1">
        <v>1997.0</v>
      </c>
      <c r="AA2626" s="1" t="s">
        <v>200</v>
      </c>
      <c r="AB2626" s="1" t="s">
        <v>193</v>
      </c>
      <c r="AD2626" s="1" t="s">
        <v>194</v>
      </c>
      <c r="AE2626" s="1" t="s">
        <v>195</v>
      </c>
      <c r="AF2626" s="1" t="s">
        <v>534</v>
      </c>
      <c r="AH2626" s="1" t="s">
        <v>359</v>
      </c>
      <c r="AK2626" s="1">
        <v>9.0</v>
      </c>
      <c r="AL2626" s="1">
        <v>4.0</v>
      </c>
      <c r="AM2626" s="1">
        <v>3.0</v>
      </c>
      <c r="AN2626" s="1">
        <v>1.0</v>
      </c>
      <c r="AO2626" s="1" t="s">
        <v>198</v>
      </c>
      <c r="AP2626" s="1">
        <v>2.0</v>
      </c>
      <c r="AQ2626" s="1" t="s">
        <v>472</v>
      </c>
      <c r="AR2626" s="1" t="s">
        <v>192</v>
      </c>
      <c r="AS2626" s="1" t="s">
        <v>199</v>
      </c>
      <c r="AT2626" s="1">
        <v>2.0</v>
      </c>
      <c r="AV2626" s="1" t="s">
        <v>200</v>
      </c>
      <c r="AW2626" s="1">
        <v>14473.0</v>
      </c>
      <c r="AX2626" s="1">
        <v>2013.0</v>
      </c>
      <c r="AY2626" s="1" t="s">
        <v>387</v>
      </c>
      <c r="AZ2626" s="1" t="s">
        <v>200</v>
      </c>
      <c r="BA2626" s="1" t="str">
        <f>"14302210070000"</f>
        <v>14302210070000</v>
      </c>
      <c r="BC2626" s="1">
        <v>0.0</v>
      </c>
      <c r="BD2626" s="1">
        <v>940000.0</v>
      </c>
      <c r="BE2626" s="2">
        <v>42030.0</v>
      </c>
      <c r="BF2626" s="2" t="s">
        <v>23472</v>
      </c>
      <c r="BH2626" s="1">
        <v>0.0</v>
      </c>
      <c r="BK2626" s="1" t="s">
        <v>204</v>
      </c>
      <c r="BL2626" s="1" t="str">
        <f>"2834"</f>
        <v>2834</v>
      </c>
      <c r="BM2626" s="1" t="str">
        <f t="shared" ref="BM2626:BM2627" si="1716">"0"</f>
        <v>0</v>
      </c>
      <c r="BN2626" s="1">
        <v>1941.0</v>
      </c>
      <c r="BO2626" s="1">
        <v>0.0</v>
      </c>
      <c r="BQ2626" s="1">
        <v>299.0</v>
      </c>
      <c r="BR2626" s="1">
        <v>299.0</v>
      </c>
      <c r="BS2626" s="1">
        <v>299.0</v>
      </c>
      <c r="BU2626" s="1" t="s">
        <v>782</v>
      </c>
      <c r="BV2626" s="1" t="s">
        <v>206</v>
      </c>
      <c r="BW2626" s="1" t="s">
        <v>207</v>
      </c>
      <c r="BY2626" s="1" t="s">
        <v>616</v>
      </c>
      <c r="BZ2626" s="1" t="s">
        <v>209</v>
      </c>
      <c r="CA2626" s="1" t="s">
        <v>207</v>
      </c>
      <c r="CC2626" s="1" t="s">
        <v>700</v>
      </c>
      <c r="CD2626" s="1" t="s">
        <v>206</v>
      </c>
      <c r="CE2626" s="1" t="s">
        <v>207</v>
      </c>
      <c r="CG2626" s="1" t="s">
        <v>211</v>
      </c>
      <c r="CH2626" s="1" t="s">
        <v>209</v>
      </c>
      <c r="CI2626" s="1" t="s">
        <v>207</v>
      </c>
      <c r="CK2626" s="1" t="s">
        <v>265</v>
      </c>
      <c r="CL2626" s="1" t="s">
        <v>209</v>
      </c>
      <c r="CM2626" s="1" t="s">
        <v>207</v>
      </c>
      <c r="CO2626" s="1" t="s">
        <v>699</v>
      </c>
      <c r="CP2626" s="1" t="s">
        <v>267</v>
      </c>
      <c r="CQ2626" s="1" t="s">
        <v>268</v>
      </c>
      <c r="CS2626" s="1" t="s">
        <v>1158</v>
      </c>
      <c r="CT2626" s="1" t="s">
        <v>206</v>
      </c>
      <c r="CU2626" s="1" t="s">
        <v>207</v>
      </c>
      <c r="CW2626" s="1" t="s">
        <v>2130</v>
      </c>
      <c r="CX2626" s="1" t="s">
        <v>267</v>
      </c>
      <c r="CY2626" s="1" t="s">
        <v>268</v>
      </c>
      <c r="DA2626" s="1" t="s">
        <v>200</v>
      </c>
      <c r="DC2626" s="1" t="s">
        <v>678</v>
      </c>
      <c r="DD2626" s="1" t="s">
        <v>679</v>
      </c>
      <c r="DE2626" s="1" t="s">
        <v>273</v>
      </c>
      <c r="DF2626" s="1" t="s">
        <v>219</v>
      </c>
      <c r="DH2626" s="1" t="s">
        <v>365</v>
      </c>
      <c r="DI2626" s="1" t="s">
        <v>1813</v>
      </c>
      <c r="DJ2626" s="1" t="s">
        <v>222</v>
      </c>
      <c r="DL2626" s="1" t="s">
        <v>1161</v>
      </c>
      <c r="DM2626" s="1" t="s">
        <v>229</v>
      </c>
      <c r="DN2626" s="1" t="s">
        <v>399</v>
      </c>
      <c r="DP2626" s="1" t="s">
        <v>340</v>
      </c>
      <c r="DQ2626" s="1" t="s">
        <v>718</v>
      </c>
      <c r="DR2626" s="1" t="s">
        <v>229</v>
      </c>
      <c r="DS2626" s="1" t="s">
        <v>230</v>
      </c>
      <c r="DU2626" s="1" t="s">
        <v>23473</v>
      </c>
      <c r="DV2626" s="1" t="s">
        <v>1164</v>
      </c>
      <c r="DW2626" s="1" t="s">
        <v>667</v>
      </c>
      <c r="DX2626" s="1" t="s">
        <v>234</v>
      </c>
      <c r="DY2626" s="1" t="s">
        <v>765</v>
      </c>
      <c r="DZ2626" s="1" t="s">
        <v>966</v>
      </c>
      <c r="EB2626" s="1" t="s">
        <v>684</v>
      </c>
      <c r="EC2626" s="1" t="s">
        <v>406</v>
      </c>
      <c r="ED2626" s="1" t="s">
        <v>555</v>
      </c>
      <c r="EG2626" s="1" t="s">
        <v>1164</v>
      </c>
      <c r="EL2626" s="1" t="s">
        <v>1426</v>
      </c>
      <c r="EM2626" s="1" t="s">
        <v>206</v>
      </c>
      <c r="EN2626" s="1" t="s">
        <v>207</v>
      </c>
      <c r="EQ2626" s="1" t="s">
        <v>238</v>
      </c>
      <c r="EU2626" s="1" t="s">
        <v>238</v>
      </c>
      <c r="EY2626" s="1" t="s">
        <v>238</v>
      </c>
      <c r="FC2626" s="1" t="s">
        <v>238</v>
      </c>
      <c r="FF2626" s="1" t="s">
        <v>239</v>
      </c>
      <c r="FG2626" s="1" t="s">
        <v>192</v>
      </c>
      <c r="FH2626" s="1" t="s">
        <v>192</v>
      </c>
      <c r="FJ2626" s="1" t="s">
        <v>799</v>
      </c>
      <c r="FK2626" s="1" t="s">
        <v>229</v>
      </c>
      <c r="FL2626" s="1" t="s">
        <v>7927</v>
      </c>
      <c r="FM2626" s="1">
        <v>84404.0</v>
      </c>
      <c r="FN2626" s="1" t="s">
        <v>7928</v>
      </c>
      <c r="FO2626" s="1" t="s">
        <v>23474</v>
      </c>
      <c r="FP2626" s="1">
        <v>145336.0</v>
      </c>
      <c r="FQ2626" s="1" t="s">
        <v>23475</v>
      </c>
      <c r="FR2626" s="1">
        <v>184067.0</v>
      </c>
      <c r="FU2626" s="1" t="s">
        <v>23476</v>
      </c>
      <c r="FV2626" s="1" t="s">
        <v>200</v>
      </c>
      <c r="FW2626" s="1" t="s">
        <v>290</v>
      </c>
      <c r="FX2626" s="1" t="s">
        <v>246</v>
      </c>
      <c r="FZ2626" s="1" t="s">
        <v>229</v>
      </c>
      <c r="GA2626" s="1" t="s">
        <v>291</v>
      </c>
      <c r="GB2626" s="2">
        <v>42125.0</v>
      </c>
    </row>
    <row r="2627">
      <c r="A2627" s="1">
        <v>223000.0</v>
      </c>
      <c r="B2627" s="1" t="s">
        <v>185</v>
      </c>
      <c r="C2627" s="1" t="str">
        <f>"08824349"</f>
        <v>08824349</v>
      </c>
      <c r="D2627" s="1" t="s">
        <v>186</v>
      </c>
      <c r="F2627" s="1" t="str">
        <f>"123"</f>
        <v>123</v>
      </c>
      <c r="G2627" s="2">
        <v>42030.0</v>
      </c>
      <c r="H2627" s="1">
        <v>229000.0</v>
      </c>
      <c r="I2627" s="1">
        <v>16.0</v>
      </c>
      <c r="J2627" s="1">
        <v>229000.0</v>
      </c>
      <c r="K2627" s="2">
        <v>42045.0</v>
      </c>
      <c r="L2627" s="1">
        <v>16.0</v>
      </c>
      <c r="M2627" s="2">
        <v>42045.0</v>
      </c>
      <c r="N2627" s="1" t="s">
        <v>634</v>
      </c>
      <c r="O2627" s="2">
        <v>42094.0</v>
      </c>
      <c r="P2627" s="1">
        <v>8373.0</v>
      </c>
      <c r="Q2627" s="1">
        <v>7661.0</v>
      </c>
      <c r="S2627" s="1">
        <v>2045.0</v>
      </c>
      <c r="T2627" s="1" t="s">
        <v>23477</v>
      </c>
      <c r="U2627" s="1" t="s">
        <v>1174</v>
      </c>
      <c r="V2627" s="1" t="s">
        <v>465</v>
      </c>
      <c r="W2627" s="1">
        <v>60123.0</v>
      </c>
      <c r="Y2627" s="1" t="s">
        <v>23478</v>
      </c>
      <c r="Z2627" s="1">
        <v>1994.0</v>
      </c>
      <c r="AA2627" s="1" t="s">
        <v>200</v>
      </c>
      <c r="AB2627" s="1" t="s">
        <v>193</v>
      </c>
      <c r="AC2627" s="1" t="s">
        <v>5692</v>
      </c>
      <c r="AD2627" s="1" t="s">
        <v>469</v>
      </c>
      <c r="AE2627" s="1" t="s">
        <v>325</v>
      </c>
      <c r="AF2627" s="1" t="s">
        <v>469</v>
      </c>
      <c r="AH2627" s="1" t="s">
        <v>23479</v>
      </c>
      <c r="AI2627" s="1">
        <v>0.1313</v>
      </c>
      <c r="AK2627" s="1">
        <v>8.0</v>
      </c>
      <c r="AL2627" s="1">
        <v>4.0</v>
      </c>
      <c r="AM2627" s="1">
        <v>2.0</v>
      </c>
      <c r="AN2627" s="1">
        <v>1.0</v>
      </c>
      <c r="AO2627" s="1" t="s">
        <v>198</v>
      </c>
      <c r="AP2627" s="1">
        <v>1.0</v>
      </c>
      <c r="AQ2627" s="1" t="s">
        <v>1314</v>
      </c>
      <c r="AR2627" s="1" t="s">
        <v>200</v>
      </c>
      <c r="AS2627" s="1" t="s">
        <v>199</v>
      </c>
      <c r="AT2627" s="1">
        <v>2.5</v>
      </c>
      <c r="AV2627" s="1" t="s">
        <v>200</v>
      </c>
      <c r="AW2627" s="1">
        <v>6150.08</v>
      </c>
      <c r="AX2627" s="1">
        <v>2013.0</v>
      </c>
      <c r="AY2627" s="1" t="s">
        <v>387</v>
      </c>
      <c r="AZ2627" s="1" t="s">
        <v>200</v>
      </c>
      <c r="BA2627" s="1" t="str">
        <f>"0609279018"</f>
        <v>0609279018</v>
      </c>
      <c r="BB2627" s="1" t="s">
        <v>200</v>
      </c>
      <c r="BC2627" s="1">
        <v>2200.0</v>
      </c>
      <c r="BD2627" s="1">
        <v>223000.0</v>
      </c>
      <c r="BE2627" s="2">
        <v>42030.0</v>
      </c>
      <c r="BF2627" s="2" t="s">
        <v>23480</v>
      </c>
      <c r="BG2627" s="1" t="s">
        <v>13029</v>
      </c>
      <c r="BH2627" s="1">
        <v>0.0</v>
      </c>
      <c r="BI2627" s="1" t="s">
        <v>3197</v>
      </c>
      <c r="BJ2627" s="1" t="s">
        <v>675</v>
      </c>
      <c r="BK2627" s="1" t="s">
        <v>204</v>
      </c>
      <c r="BL2627" s="1" t="str">
        <f>"12"</f>
        <v>12</v>
      </c>
      <c r="BM2627" s="1" t="str">
        <f t="shared" si="1716"/>
        <v>0</v>
      </c>
      <c r="BN2627" s="1">
        <v>36.0</v>
      </c>
      <c r="BO2627" s="1">
        <v>0.0</v>
      </c>
      <c r="BQ2627" s="1">
        <v>46.0</v>
      </c>
      <c r="BR2627" s="1">
        <v>46.0</v>
      </c>
      <c r="BS2627" s="1">
        <v>46.0</v>
      </c>
      <c r="BU2627" s="1" t="s">
        <v>333</v>
      </c>
      <c r="BV2627" s="1" t="s">
        <v>206</v>
      </c>
      <c r="BW2627" s="1" t="s">
        <v>207</v>
      </c>
      <c r="BY2627" s="1" t="s">
        <v>361</v>
      </c>
      <c r="BZ2627" s="1" t="s">
        <v>209</v>
      </c>
      <c r="CA2627" s="1" t="s">
        <v>210</v>
      </c>
      <c r="CC2627" s="1" t="s">
        <v>331</v>
      </c>
      <c r="CD2627" s="1" t="s">
        <v>206</v>
      </c>
      <c r="CE2627" s="1" t="s">
        <v>207</v>
      </c>
      <c r="CG2627" s="1" t="s">
        <v>361</v>
      </c>
      <c r="CH2627" s="1" t="s">
        <v>209</v>
      </c>
      <c r="CI2627" s="1" t="s">
        <v>210</v>
      </c>
      <c r="CK2627" s="1" t="s">
        <v>699</v>
      </c>
      <c r="CL2627" s="1" t="s">
        <v>209</v>
      </c>
      <c r="CM2627" s="1" t="s">
        <v>210</v>
      </c>
      <c r="CO2627" s="1" t="s">
        <v>266</v>
      </c>
      <c r="CP2627" s="1" t="s">
        <v>206</v>
      </c>
      <c r="CQ2627" s="1" t="s">
        <v>207</v>
      </c>
      <c r="CS2627" s="1" t="s">
        <v>6146</v>
      </c>
      <c r="CT2627" s="1" t="s">
        <v>206</v>
      </c>
      <c r="CU2627" s="1" t="s">
        <v>207</v>
      </c>
      <c r="CW2627" s="1" t="s">
        <v>6146</v>
      </c>
      <c r="CX2627" s="1" t="s">
        <v>206</v>
      </c>
      <c r="CY2627" s="1" t="s">
        <v>210</v>
      </c>
      <c r="DA2627" s="1" t="s">
        <v>200</v>
      </c>
      <c r="DC2627" s="1" t="s">
        <v>435</v>
      </c>
      <c r="DD2627" s="1" t="s">
        <v>518</v>
      </c>
      <c r="DE2627" s="1" t="s">
        <v>273</v>
      </c>
      <c r="DF2627" s="1" t="s">
        <v>219</v>
      </c>
      <c r="DG2627" s="1" t="s">
        <v>337</v>
      </c>
      <c r="DH2627" s="1" t="s">
        <v>220</v>
      </c>
      <c r="DI2627" s="1" t="s">
        <v>221</v>
      </c>
      <c r="DJ2627" s="1" t="s">
        <v>222</v>
      </c>
      <c r="DK2627" s="1" t="s">
        <v>223</v>
      </c>
      <c r="DL2627" s="1" t="s">
        <v>223</v>
      </c>
      <c r="DM2627" s="1" t="s">
        <v>4610</v>
      </c>
      <c r="DN2627" s="1" t="s">
        <v>399</v>
      </c>
      <c r="DO2627" s="1" t="s">
        <v>440</v>
      </c>
      <c r="DP2627" s="1" t="s">
        <v>340</v>
      </c>
      <c r="DQ2627" s="1" t="s">
        <v>228</v>
      </c>
      <c r="DR2627" s="1" t="s">
        <v>229</v>
      </c>
      <c r="DS2627" s="1" t="s">
        <v>591</v>
      </c>
      <c r="DU2627" s="1" t="s">
        <v>487</v>
      </c>
      <c r="DV2627" s="1" t="s">
        <v>232</v>
      </c>
      <c r="DW2627" s="1" t="s">
        <v>370</v>
      </c>
      <c r="DX2627" s="1" t="s">
        <v>234</v>
      </c>
      <c r="DY2627" s="1" t="s">
        <v>23481</v>
      </c>
      <c r="DZ2627" s="1" t="s">
        <v>766</v>
      </c>
      <c r="EB2627" s="1" t="s">
        <v>684</v>
      </c>
      <c r="EC2627" s="1" t="s">
        <v>237</v>
      </c>
      <c r="ED2627" s="1" t="s">
        <v>407</v>
      </c>
      <c r="EE2627" s="1" t="s">
        <v>1077</v>
      </c>
      <c r="EM2627" s="1" t="s">
        <v>238</v>
      </c>
      <c r="EQ2627" s="1" t="s">
        <v>238</v>
      </c>
      <c r="EU2627" s="1" t="s">
        <v>238</v>
      </c>
      <c r="EY2627" s="1" t="s">
        <v>238</v>
      </c>
      <c r="FC2627" s="1" t="s">
        <v>238</v>
      </c>
      <c r="FF2627" s="1" t="s">
        <v>2447</v>
      </c>
      <c r="FG2627" s="1" t="s">
        <v>192</v>
      </c>
      <c r="FH2627" s="1" t="s">
        <v>192</v>
      </c>
      <c r="FJ2627" s="1" t="s">
        <v>799</v>
      </c>
      <c r="FK2627" s="1" t="s">
        <v>229</v>
      </c>
      <c r="FL2627" s="1" t="s">
        <v>10344</v>
      </c>
      <c r="FM2627" s="1">
        <v>25046.0</v>
      </c>
      <c r="FN2627" s="1" t="s">
        <v>10345</v>
      </c>
      <c r="FO2627" s="1" t="s">
        <v>23482</v>
      </c>
      <c r="FP2627" s="1">
        <v>239238.0</v>
      </c>
      <c r="FQ2627" s="1" t="s">
        <v>23483</v>
      </c>
      <c r="FS2627" s="1" t="s">
        <v>23484</v>
      </c>
      <c r="FU2627" s="1" t="s">
        <v>23485</v>
      </c>
      <c r="FV2627" s="1" t="s">
        <v>200</v>
      </c>
      <c r="FW2627" s="1" t="s">
        <v>654</v>
      </c>
      <c r="FZ2627" s="1" t="s">
        <v>229</v>
      </c>
      <c r="GA2627" s="1" t="s">
        <v>291</v>
      </c>
      <c r="GB2627" s="2">
        <v>42095.0</v>
      </c>
      <c r="GC2627" s="1" t="s">
        <v>23486</v>
      </c>
    </row>
    <row r="2628">
      <c r="A2628" s="1">
        <v>470000.0</v>
      </c>
      <c r="B2628" s="1" t="s">
        <v>185</v>
      </c>
      <c r="C2628" s="1" t="str">
        <f>"08825787"</f>
        <v>08825787</v>
      </c>
      <c r="D2628" s="1" t="s">
        <v>186</v>
      </c>
      <c r="F2628" s="1" t="str">
        <f>"174"</f>
        <v>174</v>
      </c>
      <c r="G2628" s="2">
        <v>42032.0</v>
      </c>
      <c r="H2628" s="1">
        <v>489900.0</v>
      </c>
      <c r="I2628" s="1">
        <v>38.0</v>
      </c>
      <c r="J2628" s="1">
        <v>485000.0</v>
      </c>
      <c r="K2628" s="2">
        <v>42069.0</v>
      </c>
      <c r="L2628" s="1">
        <v>38.0</v>
      </c>
      <c r="M2628" s="2">
        <v>42069.0</v>
      </c>
      <c r="N2628" s="1" t="s">
        <v>249</v>
      </c>
      <c r="O2628" s="2">
        <v>42139.0</v>
      </c>
      <c r="P2628" s="1">
        <v>240998.0</v>
      </c>
      <c r="Q2628" s="1">
        <v>22029.0</v>
      </c>
      <c r="S2628" s="1" t="s">
        <v>23487</v>
      </c>
      <c r="T2628" s="1" t="s">
        <v>11046</v>
      </c>
      <c r="U2628" s="1" t="s">
        <v>320</v>
      </c>
      <c r="V2628" s="1" t="s">
        <v>1200</v>
      </c>
      <c r="W2628" s="1">
        <v>60175.0</v>
      </c>
      <c r="Y2628" s="1" t="s">
        <v>23488</v>
      </c>
      <c r="Z2628" s="1">
        <v>2002.0</v>
      </c>
      <c r="AA2628" s="1" t="s">
        <v>200</v>
      </c>
      <c r="AB2628" s="1" t="s">
        <v>467</v>
      </c>
      <c r="AD2628" s="1" t="s">
        <v>1203</v>
      </c>
      <c r="AE2628" s="1" t="s">
        <v>325</v>
      </c>
      <c r="AF2628" s="1" t="s">
        <v>1632</v>
      </c>
      <c r="AH2628" s="1" t="s">
        <v>23489</v>
      </c>
      <c r="AI2628" s="1">
        <v>0.3639</v>
      </c>
      <c r="AK2628" s="1">
        <v>11.0</v>
      </c>
      <c r="AL2628" s="1">
        <v>4.0</v>
      </c>
      <c r="AM2628" s="1">
        <v>3.0</v>
      </c>
      <c r="AN2628" s="1">
        <v>1.0</v>
      </c>
      <c r="AO2628" s="1" t="s">
        <v>198</v>
      </c>
      <c r="AP2628" s="1">
        <v>2.0</v>
      </c>
      <c r="AQ2628" s="1" t="s">
        <v>198</v>
      </c>
      <c r="AR2628" s="1" t="s">
        <v>192</v>
      </c>
      <c r="AS2628" s="1" t="s">
        <v>199</v>
      </c>
      <c r="AT2628" s="1">
        <v>2.0</v>
      </c>
      <c r="AV2628" s="1" t="s">
        <v>200</v>
      </c>
      <c r="AW2628" s="1">
        <v>10204.74</v>
      </c>
      <c r="AX2628" s="1">
        <v>2013.0</v>
      </c>
      <c r="AY2628" s="1" t="s">
        <v>3108</v>
      </c>
      <c r="AZ2628" s="1" t="s">
        <v>200</v>
      </c>
      <c r="BA2628" s="1" t="str">
        <f>"0823401015"</f>
        <v>0823401015</v>
      </c>
      <c r="BB2628" s="1" t="s">
        <v>200</v>
      </c>
      <c r="BC2628" s="1">
        <v>0.0</v>
      </c>
      <c r="BD2628" s="1">
        <v>470000.0</v>
      </c>
      <c r="BE2628" s="2">
        <v>42032.0</v>
      </c>
      <c r="BF2628" s="2" t="s">
        <v>23490</v>
      </c>
      <c r="BG2628" s="1" t="s">
        <v>6840</v>
      </c>
      <c r="BH2628" s="1">
        <v>290.0</v>
      </c>
      <c r="BI2628" s="1" t="s">
        <v>2199</v>
      </c>
      <c r="BJ2628" s="1" t="s">
        <v>2144</v>
      </c>
      <c r="BK2628" s="1" t="s">
        <v>1952</v>
      </c>
      <c r="BL2628" s="1" t="str">
        <f t="shared" ref="BL2628:BM2628" si="1717">""</f>
        <v/>
      </c>
      <c r="BM2628" s="1" t="str">
        <f t="shared" si="1717"/>
        <v/>
      </c>
      <c r="BQ2628" s="1">
        <v>303.0</v>
      </c>
      <c r="BR2628" s="1">
        <v>303.0</v>
      </c>
      <c r="BS2628" s="1">
        <v>303.0</v>
      </c>
      <c r="BV2628" s="1" t="s">
        <v>204</v>
      </c>
      <c r="BY2628" s="1" t="s">
        <v>1068</v>
      </c>
      <c r="BZ2628" s="1" t="s">
        <v>206</v>
      </c>
      <c r="CA2628" s="1" t="s">
        <v>210</v>
      </c>
      <c r="CB2628" s="1" t="s">
        <v>261</v>
      </c>
      <c r="CD2628" s="1" t="s">
        <v>204</v>
      </c>
      <c r="CG2628" s="1" t="s">
        <v>478</v>
      </c>
      <c r="CH2628" s="1" t="s">
        <v>206</v>
      </c>
      <c r="CI2628" s="1" t="s">
        <v>210</v>
      </c>
      <c r="CJ2628" s="1" t="s">
        <v>431</v>
      </c>
      <c r="CK2628" s="1" t="s">
        <v>363</v>
      </c>
      <c r="CL2628" s="1" t="s">
        <v>206</v>
      </c>
      <c r="CM2628" s="1" t="s">
        <v>210</v>
      </c>
      <c r="CN2628" s="1" t="s">
        <v>431</v>
      </c>
      <c r="CO2628" s="1" t="s">
        <v>362</v>
      </c>
      <c r="CP2628" s="1" t="s">
        <v>267</v>
      </c>
      <c r="CQ2628" s="1" t="s">
        <v>210</v>
      </c>
      <c r="CR2628" s="1" t="s">
        <v>431</v>
      </c>
      <c r="CS2628" s="1" t="s">
        <v>1567</v>
      </c>
      <c r="CT2628" s="1" t="s">
        <v>206</v>
      </c>
      <c r="CU2628" s="1" t="s">
        <v>207</v>
      </c>
      <c r="CV2628" s="1" t="s">
        <v>229</v>
      </c>
      <c r="CX2628" s="1" t="s">
        <v>204</v>
      </c>
      <c r="DA2628" s="1" t="s">
        <v>200</v>
      </c>
      <c r="DC2628" s="1" t="s">
        <v>335</v>
      </c>
      <c r="DD2628" s="1" t="s">
        <v>217</v>
      </c>
      <c r="DE2628" s="1" t="s">
        <v>273</v>
      </c>
      <c r="DF2628" s="1" t="s">
        <v>619</v>
      </c>
      <c r="DH2628" s="1" t="s">
        <v>1603</v>
      </c>
      <c r="DI2628" s="1" t="s">
        <v>23491</v>
      </c>
      <c r="DJ2628" s="1" t="s">
        <v>222</v>
      </c>
      <c r="DK2628" s="1" t="s">
        <v>198</v>
      </c>
      <c r="DL2628" s="1" t="s">
        <v>224</v>
      </c>
      <c r="DM2628" s="1" t="s">
        <v>929</v>
      </c>
      <c r="DN2628" s="1" t="s">
        <v>6974</v>
      </c>
      <c r="DO2628" s="1" t="s">
        <v>549</v>
      </c>
      <c r="DQ2628" s="1" t="s">
        <v>441</v>
      </c>
      <c r="DR2628" s="1" t="s">
        <v>229</v>
      </c>
      <c r="DU2628" s="1" t="s">
        <v>23492</v>
      </c>
      <c r="DV2628" s="1" t="s">
        <v>23493</v>
      </c>
      <c r="DW2628" s="1" t="s">
        <v>764</v>
      </c>
      <c r="DX2628" s="1" t="s">
        <v>234</v>
      </c>
      <c r="DY2628" s="1" t="s">
        <v>23494</v>
      </c>
      <c r="DZ2628" s="1" t="s">
        <v>1959</v>
      </c>
      <c r="EB2628" s="1" t="s">
        <v>684</v>
      </c>
      <c r="EC2628" s="1" t="s">
        <v>685</v>
      </c>
      <c r="ED2628" s="1" t="s">
        <v>407</v>
      </c>
      <c r="EG2628" s="1" t="s">
        <v>556</v>
      </c>
      <c r="EH2628" s="1" t="s">
        <v>1164</v>
      </c>
      <c r="EI2628" s="1" t="s">
        <v>557</v>
      </c>
      <c r="EJ2628" s="1" t="s">
        <v>2023</v>
      </c>
      <c r="EK2628" s="1" t="s">
        <v>1491</v>
      </c>
      <c r="EL2628" s="1" t="s">
        <v>758</v>
      </c>
      <c r="EM2628" s="1" t="s">
        <v>206</v>
      </c>
      <c r="EN2628" s="1" t="s">
        <v>207</v>
      </c>
      <c r="EO2628" s="1" t="s">
        <v>229</v>
      </c>
      <c r="EP2628" s="1" t="s">
        <v>334</v>
      </c>
      <c r="EQ2628" s="1" t="s">
        <v>206</v>
      </c>
      <c r="ER2628" s="1" t="s">
        <v>207</v>
      </c>
      <c r="ES2628" s="1" t="s">
        <v>431</v>
      </c>
      <c r="ET2628" s="1" t="s">
        <v>6315</v>
      </c>
      <c r="EU2628" s="1" t="s">
        <v>267</v>
      </c>
      <c r="EV2628" s="1" t="s">
        <v>210</v>
      </c>
      <c r="EW2628" s="1" t="s">
        <v>431</v>
      </c>
      <c r="EX2628" s="1" t="s">
        <v>23495</v>
      </c>
      <c r="EY2628" s="1" t="s">
        <v>267</v>
      </c>
      <c r="EZ2628" s="1" t="s">
        <v>268</v>
      </c>
      <c r="FA2628" s="1" t="s">
        <v>431</v>
      </c>
      <c r="FB2628" s="1" t="s">
        <v>22455</v>
      </c>
      <c r="FC2628" s="1" t="s">
        <v>267</v>
      </c>
      <c r="FD2628" s="1" t="s">
        <v>588</v>
      </c>
      <c r="FE2628" s="1" t="s">
        <v>229</v>
      </c>
      <c r="FF2628" s="1" t="s">
        <v>239</v>
      </c>
      <c r="FG2628" s="1" t="s">
        <v>192</v>
      </c>
      <c r="FH2628" s="1" t="s">
        <v>192</v>
      </c>
      <c r="FJ2628" s="1" t="s">
        <v>1469</v>
      </c>
      <c r="FK2628" s="1" t="s">
        <v>229</v>
      </c>
      <c r="FL2628" s="1" t="s">
        <v>1358</v>
      </c>
      <c r="FM2628" s="1">
        <v>23591.0</v>
      </c>
      <c r="FN2628" s="1" t="s">
        <v>2134</v>
      </c>
      <c r="FO2628" s="1" t="s">
        <v>2135</v>
      </c>
      <c r="FP2628" s="1">
        <v>230500.0</v>
      </c>
      <c r="FQ2628" s="1" t="s">
        <v>2136</v>
      </c>
      <c r="FR2628" s="1">
        <v>238299.0</v>
      </c>
      <c r="FS2628" s="1" t="s">
        <v>23496</v>
      </c>
      <c r="FU2628" s="1" t="s">
        <v>23497</v>
      </c>
      <c r="FV2628" s="1" t="s">
        <v>192</v>
      </c>
      <c r="FW2628" s="1" t="s">
        <v>23498</v>
      </c>
      <c r="FZ2628" s="1" t="s">
        <v>229</v>
      </c>
      <c r="GA2628" s="1" t="s">
        <v>291</v>
      </c>
      <c r="GB2628" s="2">
        <v>42140.0</v>
      </c>
      <c r="GC2628" s="1" t="s">
        <v>23499</v>
      </c>
    </row>
    <row r="2629">
      <c r="A2629" s="1">
        <v>930000.0</v>
      </c>
      <c r="B2629" s="1" t="s">
        <v>185</v>
      </c>
      <c r="C2629" s="1" t="str">
        <f>"08830171"</f>
        <v>08830171</v>
      </c>
      <c r="D2629" s="1" t="s">
        <v>186</v>
      </c>
      <c r="F2629" s="1" t="str">
        <f>"8005"</f>
        <v>8005</v>
      </c>
      <c r="G2629" s="2">
        <v>42038.0</v>
      </c>
      <c r="H2629" s="1">
        <v>939500.0</v>
      </c>
      <c r="I2629" s="1">
        <v>4.0</v>
      </c>
      <c r="J2629" s="1">
        <v>939500.0</v>
      </c>
      <c r="K2629" s="2">
        <v>42041.0</v>
      </c>
      <c r="L2629" s="1">
        <v>4.0</v>
      </c>
      <c r="M2629" s="2">
        <v>42041.0</v>
      </c>
      <c r="N2629" s="1" t="s">
        <v>187</v>
      </c>
      <c r="O2629" s="2">
        <v>42080.0</v>
      </c>
      <c r="P2629" s="1">
        <v>180264.0</v>
      </c>
      <c r="Q2629" s="1">
        <v>84388.0</v>
      </c>
      <c r="S2629" s="1">
        <v>1918.0</v>
      </c>
      <c r="T2629" s="1" t="s">
        <v>15321</v>
      </c>
      <c r="U2629" s="1" t="s">
        <v>320</v>
      </c>
      <c r="V2629" s="1" t="s">
        <v>190</v>
      </c>
      <c r="W2629" s="1">
        <v>60657.0</v>
      </c>
      <c r="Y2629" s="1" t="s">
        <v>23500</v>
      </c>
      <c r="Z2629" s="1">
        <v>1890.0</v>
      </c>
      <c r="AA2629" s="1" t="s">
        <v>192</v>
      </c>
      <c r="AB2629" s="1" t="s">
        <v>193</v>
      </c>
      <c r="AD2629" s="1" t="s">
        <v>194</v>
      </c>
      <c r="AE2629" s="1" t="s">
        <v>195</v>
      </c>
      <c r="AF2629" s="1" t="s">
        <v>534</v>
      </c>
      <c r="AH2629" s="1" t="s">
        <v>741</v>
      </c>
      <c r="AI2629" s="1">
        <v>0.0717</v>
      </c>
      <c r="AK2629" s="1">
        <v>9.0</v>
      </c>
      <c r="AL2629" s="1">
        <v>4.0</v>
      </c>
      <c r="AM2629" s="1">
        <v>4.0</v>
      </c>
      <c r="AN2629" s="1">
        <v>0.0</v>
      </c>
      <c r="AO2629" s="1" t="s">
        <v>198</v>
      </c>
      <c r="AP2629" s="1">
        <v>0.0</v>
      </c>
      <c r="AQ2629" s="1" t="s">
        <v>198</v>
      </c>
      <c r="AR2629" s="1" t="s">
        <v>192</v>
      </c>
      <c r="AS2629" s="1" t="s">
        <v>199</v>
      </c>
      <c r="AT2629" s="1">
        <v>2.0</v>
      </c>
      <c r="AV2629" s="1" t="s">
        <v>200</v>
      </c>
      <c r="AW2629" s="1">
        <v>10117.78</v>
      </c>
      <c r="AX2629" s="1">
        <v>2013.0</v>
      </c>
      <c r="AY2629" s="1" t="s">
        <v>387</v>
      </c>
      <c r="AZ2629" s="1" t="s">
        <v>200</v>
      </c>
      <c r="BA2629" s="1" t="str">
        <f>"14194270320000"</f>
        <v>14194270320000</v>
      </c>
      <c r="BC2629" s="1">
        <v>3800.0</v>
      </c>
      <c r="BD2629" s="1">
        <v>930000.0</v>
      </c>
      <c r="BE2629" s="2">
        <v>42038.0</v>
      </c>
      <c r="BF2629" s="2" t="s">
        <v>23501</v>
      </c>
      <c r="BH2629" s="1">
        <v>0.0</v>
      </c>
      <c r="BK2629" s="1" t="s">
        <v>204</v>
      </c>
      <c r="BL2629" s="1" t="str">
        <f>"3250"</f>
        <v>3250</v>
      </c>
      <c r="BM2629" s="1" t="str">
        <f t="shared" ref="BM2629:BM2630" si="1718">"0"</f>
        <v>0</v>
      </c>
      <c r="BN2629" s="1">
        <v>1918.0</v>
      </c>
      <c r="BO2629" s="1">
        <v>0.0</v>
      </c>
      <c r="BQ2629" s="1">
        <v>299.0</v>
      </c>
      <c r="BR2629" s="1">
        <v>299.0</v>
      </c>
      <c r="BS2629" s="1">
        <v>299.0</v>
      </c>
      <c r="BU2629" s="1" t="s">
        <v>3623</v>
      </c>
      <c r="BV2629" s="1" t="s">
        <v>206</v>
      </c>
      <c r="BW2629" s="1" t="s">
        <v>207</v>
      </c>
      <c r="BX2629" s="1" t="s">
        <v>476</v>
      </c>
      <c r="BY2629" s="1" t="s">
        <v>262</v>
      </c>
      <c r="BZ2629" s="1" t="s">
        <v>209</v>
      </c>
      <c r="CA2629" s="1" t="s">
        <v>210</v>
      </c>
      <c r="CB2629" s="1" t="s">
        <v>431</v>
      </c>
      <c r="CC2629" s="1" t="s">
        <v>542</v>
      </c>
      <c r="CD2629" s="1" t="s">
        <v>206</v>
      </c>
      <c r="CG2629" s="1" t="s">
        <v>1796</v>
      </c>
      <c r="CH2629" s="1" t="s">
        <v>209</v>
      </c>
      <c r="CI2629" s="1" t="s">
        <v>207</v>
      </c>
      <c r="CJ2629" s="1" t="s">
        <v>431</v>
      </c>
      <c r="CK2629" s="1" t="s">
        <v>854</v>
      </c>
      <c r="CL2629" s="1" t="s">
        <v>391</v>
      </c>
      <c r="CM2629" s="1" t="s">
        <v>207</v>
      </c>
      <c r="CN2629" s="1" t="s">
        <v>431</v>
      </c>
      <c r="CO2629" s="1" t="s">
        <v>5382</v>
      </c>
      <c r="CP2629" s="1" t="s">
        <v>206</v>
      </c>
      <c r="CQ2629" s="1" t="s">
        <v>207</v>
      </c>
      <c r="CR2629" s="1" t="s">
        <v>431</v>
      </c>
      <c r="CS2629" s="1" t="s">
        <v>854</v>
      </c>
      <c r="CT2629" s="1" t="s">
        <v>206</v>
      </c>
      <c r="CU2629" s="1" t="s">
        <v>268</v>
      </c>
      <c r="CV2629" s="1" t="s">
        <v>1118</v>
      </c>
      <c r="CW2629" s="1" t="s">
        <v>4710</v>
      </c>
      <c r="CX2629" s="1" t="s">
        <v>209</v>
      </c>
      <c r="CY2629" s="1" t="s">
        <v>207</v>
      </c>
      <c r="CZ2629" s="1" t="s">
        <v>431</v>
      </c>
      <c r="DA2629" s="1" t="s">
        <v>200</v>
      </c>
      <c r="DC2629" s="1" t="s">
        <v>642</v>
      </c>
      <c r="DD2629" s="1" t="s">
        <v>586</v>
      </c>
      <c r="DE2629" s="1" t="s">
        <v>3750</v>
      </c>
      <c r="DF2629" s="1" t="s">
        <v>219</v>
      </c>
      <c r="DH2629" s="1" t="s">
        <v>220</v>
      </c>
      <c r="DI2629" s="1" t="s">
        <v>23502</v>
      </c>
      <c r="DJ2629" s="1" t="s">
        <v>222</v>
      </c>
      <c r="DK2629" s="1" t="s">
        <v>224</v>
      </c>
      <c r="DL2629" s="1" t="s">
        <v>224</v>
      </c>
      <c r="DM2629" s="1" t="s">
        <v>229</v>
      </c>
      <c r="DN2629" s="1" t="s">
        <v>9518</v>
      </c>
      <c r="DO2629" s="1" t="s">
        <v>717</v>
      </c>
      <c r="DP2629" s="1" t="s">
        <v>276</v>
      </c>
      <c r="DQ2629" s="1" t="s">
        <v>228</v>
      </c>
      <c r="DR2629" s="1" t="s">
        <v>229</v>
      </c>
      <c r="DV2629" s="1" t="s">
        <v>23503</v>
      </c>
      <c r="DW2629" s="1" t="s">
        <v>233</v>
      </c>
      <c r="DX2629" s="1" t="s">
        <v>234</v>
      </c>
      <c r="DY2629" s="1" t="s">
        <v>4967</v>
      </c>
      <c r="DZ2629" s="1" t="s">
        <v>282</v>
      </c>
      <c r="EC2629" s="1" t="s">
        <v>406</v>
      </c>
      <c r="ED2629" s="1" t="s">
        <v>555</v>
      </c>
      <c r="EG2629" s="1" t="s">
        <v>1824</v>
      </c>
      <c r="EH2629" s="1" t="s">
        <v>408</v>
      </c>
      <c r="EI2629" s="1" t="s">
        <v>1270</v>
      </c>
      <c r="EJ2629" s="1" t="s">
        <v>2877</v>
      </c>
      <c r="EK2629" s="1" t="s">
        <v>588</v>
      </c>
      <c r="EL2629" s="1" t="s">
        <v>768</v>
      </c>
      <c r="EM2629" s="1" t="s">
        <v>391</v>
      </c>
      <c r="EN2629" s="1" t="s">
        <v>207</v>
      </c>
      <c r="EO2629" s="1" t="s">
        <v>431</v>
      </c>
      <c r="EP2629" s="1" t="s">
        <v>560</v>
      </c>
      <c r="EQ2629" s="1" t="s">
        <v>206</v>
      </c>
      <c r="ER2629" s="1" t="s">
        <v>2128</v>
      </c>
      <c r="ES2629" s="1" t="s">
        <v>229</v>
      </c>
      <c r="ET2629" s="1" t="s">
        <v>8276</v>
      </c>
      <c r="EU2629" s="1" t="s">
        <v>42</v>
      </c>
      <c r="EV2629" s="1" t="s">
        <v>588</v>
      </c>
      <c r="EW2629" s="1" t="s">
        <v>229</v>
      </c>
      <c r="EX2629" s="1" t="s">
        <v>4046</v>
      </c>
      <c r="EY2629" s="1" t="s">
        <v>206</v>
      </c>
      <c r="EZ2629" s="1" t="s">
        <v>268</v>
      </c>
      <c r="FA2629" s="1" t="s">
        <v>229</v>
      </c>
      <c r="FB2629" s="1" t="s">
        <v>4413</v>
      </c>
      <c r="FC2629" s="1" t="s">
        <v>42</v>
      </c>
      <c r="FD2629" s="1" t="s">
        <v>268</v>
      </c>
      <c r="FE2629" s="1" t="s">
        <v>229</v>
      </c>
      <c r="FF2629" s="1" t="s">
        <v>239</v>
      </c>
      <c r="FG2629" s="1" t="s">
        <v>192</v>
      </c>
      <c r="FH2629" s="1" t="s">
        <v>192</v>
      </c>
      <c r="FJ2629" s="1" t="s">
        <v>733</v>
      </c>
      <c r="FK2629" s="1" t="s">
        <v>229</v>
      </c>
      <c r="FL2629" s="1" t="s">
        <v>974</v>
      </c>
      <c r="FM2629" s="1">
        <v>10317.0</v>
      </c>
      <c r="FN2629" s="1" t="s">
        <v>10741</v>
      </c>
      <c r="FO2629" s="1" t="s">
        <v>23504</v>
      </c>
      <c r="FP2629" s="1">
        <v>184639.0</v>
      </c>
      <c r="FU2629" s="1" t="s">
        <v>23505</v>
      </c>
      <c r="FV2629" s="1" t="s">
        <v>192</v>
      </c>
      <c r="FW2629" s="1" t="s">
        <v>530</v>
      </c>
      <c r="FX2629" s="1" t="s">
        <v>246</v>
      </c>
      <c r="FZ2629" s="1" t="s">
        <v>229</v>
      </c>
      <c r="GA2629" s="1" t="s">
        <v>291</v>
      </c>
      <c r="GB2629" s="2">
        <v>42082.0</v>
      </c>
      <c r="GC2629" s="1" t="s">
        <v>23506</v>
      </c>
    </row>
    <row r="2630">
      <c r="A2630" s="1">
        <v>454700.0</v>
      </c>
      <c r="B2630" s="1" t="s">
        <v>185</v>
      </c>
      <c r="C2630" s="1" t="str">
        <f>"08832160"</f>
        <v>08832160</v>
      </c>
      <c r="D2630" s="1" t="s">
        <v>186</v>
      </c>
      <c r="F2630" s="1" t="str">
        <f>"8012"</f>
        <v>8012</v>
      </c>
      <c r="G2630" s="2">
        <v>42040.0</v>
      </c>
      <c r="H2630" s="1">
        <v>499994.0</v>
      </c>
      <c r="I2630" s="1">
        <v>219.0</v>
      </c>
      <c r="J2630" s="1">
        <v>499994.0</v>
      </c>
      <c r="K2630" s="2">
        <v>42061.0</v>
      </c>
      <c r="L2630" s="1">
        <v>22.0</v>
      </c>
      <c r="M2630" s="2">
        <v>42061.0</v>
      </c>
      <c r="N2630" s="1" t="s">
        <v>187</v>
      </c>
      <c r="O2630" s="2">
        <v>42097.0</v>
      </c>
      <c r="P2630" s="1">
        <v>923320.0</v>
      </c>
      <c r="Q2630" s="1">
        <v>2700.0</v>
      </c>
      <c r="S2630" s="1">
        <v>6308.0</v>
      </c>
      <c r="T2630" s="1" t="s">
        <v>22462</v>
      </c>
      <c r="U2630" s="1" t="s">
        <v>189</v>
      </c>
      <c r="V2630" s="1" t="s">
        <v>190</v>
      </c>
      <c r="W2630" s="1">
        <v>60646.0</v>
      </c>
      <c r="X2630" s="1">
        <v>4814.0</v>
      </c>
      <c r="Y2630" s="1" t="s">
        <v>23507</v>
      </c>
      <c r="Z2630" s="1">
        <v>1947.0</v>
      </c>
      <c r="AA2630" s="1" t="s">
        <v>192</v>
      </c>
      <c r="AB2630" s="1" t="s">
        <v>193</v>
      </c>
      <c r="AD2630" s="1" t="s">
        <v>194</v>
      </c>
      <c r="AE2630" s="1" t="s">
        <v>195</v>
      </c>
      <c r="AF2630" s="1" t="s">
        <v>196</v>
      </c>
      <c r="AH2630" s="1" t="s">
        <v>5314</v>
      </c>
      <c r="AK2630" s="1">
        <v>7.0</v>
      </c>
      <c r="AL2630" s="1">
        <v>4.0</v>
      </c>
      <c r="AM2630" s="1">
        <v>2.0</v>
      </c>
      <c r="AN2630" s="1">
        <v>1.0</v>
      </c>
      <c r="AO2630" s="1" t="s">
        <v>198</v>
      </c>
      <c r="AP2630" s="1">
        <v>2.0</v>
      </c>
      <c r="AQ2630" s="1" t="s">
        <v>198</v>
      </c>
      <c r="AR2630" s="1" t="s">
        <v>192</v>
      </c>
      <c r="AS2630" s="1" t="s">
        <v>199</v>
      </c>
      <c r="AT2630" s="1">
        <v>2.0</v>
      </c>
      <c r="AV2630" s="1" t="s">
        <v>200</v>
      </c>
      <c r="AW2630" s="1">
        <v>7343.1</v>
      </c>
      <c r="AX2630" s="1">
        <v>2013.0</v>
      </c>
      <c r="AY2630" s="1" t="s">
        <v>387</v>
      </c>
      <c r="AZ2630" s="1" t="s">
        <v>200</v>
      </c>
      <c r="BA2630" s="1" t="str">
        <f>"13042010430000"</f>
        <v>13042010430000</v>
      </c>
      <c r="BC2630" s="1">
        <v>0.0</v>
      </c>
      <c r="BD2630" s="1">
        <v>454700.0</v>
      </c>
      <c r="BE2630" s="2">
        <v>42040.0</v>
      </c>
      <c r="BF2630" s="2" t="s">
        <v>23508</v>
      </c>
      <c r="BG2630" s="1" t="s">
        <v>9269</v>
      </c>
      <c r="BH2630" s="1">
        <v>0.0</v>
      </c>
      <c r="BK2630" s="1" t="s">
        <v>204</v>
      </c>
      <c r="BL2630" s="1" t="str">
        <f>"6308"</f>
        <v>6308</v>
      </c>
      <c r="BM2630" s="1" t="str">
        <f t="shared" si="1718"/>
        <v>0</v>
      </c>
      <c r="BN2630" s="1">
        <v>5200.0</v>
      </c>
      <c r="BO2630" s="1">
        <v>0.0</v>
      </c>
      <c r="BQ2630" s="1">
        <v>299.0</v>
      </c>
      <c r="BR2630" s="1">
        <v>299.0</v>
      </c>
      <c r="BS2630" s="1">
        <v>299.0</v>
      </c>
      <c r="BU2630" s="1" t="s">
        <v>854</v>
      </c>
      <c r="BV2630" s="1" t="s">
        <v>206</v>
      </c>
      <c r="BW2630" s="1" t="s">
        <v>207</v>
      </c>
      <c r="BY2630" s="1" t="s">
        <v>540</v>
      </c>
      <c r="BZ2630" s="1" t="s">
        <v>209</v>
      </c>
      <c r="CA2630" s="1" t="s">
        <v>207</v>
      </c>
      <c r="CC2630" s="1" t="s">
        <v>584</v>
      </c>
      <c r="CD2630" s="1" t="s">
        <v>206</v>
      </c>
      <c r="CE2630" s="1" t="s">
        <v>207</v>
      </c>
      <c r="CG2630" s="1" t="s">
        <v>758</v>
      </c>
      <c r="CH2630" s="1" t="s">
        <v>209</v>
      </c>
      <c r="CI2630" s="1" t="s">
        <v>207</v>
      </c>
      <c r="CK2630" s="1" t="s">
        <v>215</v>
      </c>
      <c r="CL2630" s="1" t="s">
        <v>209</v>
      </c>
      <c r="CM2630" s="1" t="s">
        <v>207</v>
      </c>
      <c r="CO2630" s="1" t="s">
        <v>332</v>
      </c>
      <c r="CP2630" s="1" t="s">
        <v>206</v>
      </c>
      <c r="CQ2630" s="1" t="s">
        <v>207</v>
      </c>
      <c r="CS2630" s="1" t="s">
        <v>616</v>
      </c>
      <c r="CT2630" s="1" t="s">
        <v>206</v>
      </c>
      <c r="CU2630" s="1" t="s">
        <v>207</v>
      </c>
      <c r="CX2630" s="1" t="s">
        <v>204</v>
      </c>
      <c r="DA2630" s="1" t="s">
        <v>200</v>
      </c>
      <c r="DC2630" s="1" t="s">
        <v>702</v>
      </c>
      <c r="DD2630" s="1" t="s">
        <v>518</v>
      </c>
      <c r="DE2630" s="1" t="s">
        <v>229</v>
      </c>
      <c r="DF2630" s="1" t="s">
        <v>11610</v>
      </c>
      <c r="DH2630" s="1" t="s">
        <v>365</v>
      </c>
      <c r="DI2630" s="1" t="s">
        <v>703</v>
      </c>
      <c r="DJ2630" s="1" t="s">
        <v>222</v>
      </c>
      <c r="DL2630" s="1" t="s">
        <v>858</v>
      </c>
      <c r="DM2630" s="1" t="s">
        <v>229</v>
      </c>
      <c r="DP2630" s="1" t="s">
        <v>340</v>
      </c>
      <c r="DQ2630" s="1" t="s">
        <v>718</v>
      </c>
      <c r="DR2630" s="1" t="s">
        <v>229</v>
      </c>
      <c r="DS2630" s="1" t="s">
        <v>230</v>
      </c>
      <c r="DV2630" s="1" t="s">
        <v>232</v>
      </c>
      <c r="DW2630" s="1" t="s">
        <v>279</v>
      </c>
      <c r="DX2630" s="1" t="s">
        <v>234</v>
      </c>
      <c r="DZ2630" s="1" t="s">
        <v>310</v>
      </c>
      <c r="EA2630" s="1" t="s">
        <v>3308</v>
      </c>
      <c r="EC2630" s="1" t="s">
        <v>237</v>
      </c>
      <c r="EE2630" s="1" t="s">
        <v>187</v>
      </c>
      <c r="EM2630" s="1" t="s">
        <v>238</v>
      </c>
      <c r="EQ2630" s="1" t="s">
        <v>238</v>
      </c>
      <c r="EU2630" s="1" t="s">
        <v>238</v>
      </c>
      <c r="EY2630" s="1" t="s">
        <v>238</v>
      </c>
      <c r="FC2630" s="1" t="s">
        <v>238</v>
      </c>
      <c r="FF2630" s="1" t="s">
        <v>239</v>
      </c>
      <c r="FG2630" s="1" t="s">
        <v>192</v>
      </c>
      <c r="FH2630" s="1" t="s">
        <v>192</v>
      </c>
      <c r="FJ2630" s="1" t="s">
        <v>733</v>
      </c>
      <c r="FK2630" s="1" t="s">
        <v>229</v>
      </c>
      <c r="FL2630" s="1" t="s">
        <v>974</v>
      </c>
      <c r="FM2630" s="1">
        <v>1746.0</v>
      </c>
      <c r="FN2630" s="1" t="s">
        <v>2523</v>
      </c>
      <c r="FO2630" s="1" t="s">
        <v>23509</v>
      </c>
      <c r="FP2630" s="1">
        <v>923105.0</v>
      </c>
      <c r="FS2630" s="1" t="s">
        <v>23510</v>
      </c>
      <c r="FU2630" s="1" t="s">
        <v>23511</v>
      </c>
      <c r="FV2630" s="1" t="s">
        <v>200</v>
      </c>
      <c r="FW2630" s="1" t="s">
        <v>530</v>
      </c>
      <c r="FX2630" s="1" t="s">
        <v>238</v>
      </c>
      <c r="FZ2630" s="1" t="s">
        <v>229</v>
      </c>
      <c r="GA2630" s="1" t="s">
        <v>291</v>
      </c>
      <c r="GB2630" s="2">
        <v>42097.0</v>
      </c>
    </row>
    <row r="2631">
      <c r="A2631" s="1">
        <v>170000.0</v>
      </c>
      <c r="B2631" s="1" t="s">
        <v>185</v>
      </c>
      <c r="C2631" s="1" t="str">
        <f>"08827483"</f>
        <v>08827483</v>
      </c>
      <c r="D2631" s="1" t="s">
        <v>186</v>
      </c>
      <c r="F2631" s="1" t="str">
        <f>"8070"</f>
        <v>8070</v>
      </c>
      <c r="G2631" s="2">
        <v>42034.0</v>
      </c>
      <c r="H2631" s="1">
        <v>175000.0</v>
      </c>
      <c r="I2631" s="1">
        <v>11.0</v>
      </c>
      <c r="J2631" s="1">
        <v>175000.0</v>
      </c>
      <c r="K2631" s="2">
        <v>42043.0</v>
      </c>
      <c r="L2631" s="1">
        <v>11.0</v>
      </c>
      <c r="M2631" s="2">
        <v>42043.0</v>
      </c>
      <c r="N2631" s="1" t="s">
        <v>187</v>
      </c>
      <c r="O2631" s="2">
        <v>42081.0</v>
      </c>
      <c r="P2631" s="1">
        <v>154056.0</v>
      </c>
      <c r="Q2631" s="1">
        <v>12555.0</v>
      </c>
      <c r="R2631" s="1">
        <v>4000.0</v>
      </c>
      <c r="S2631" s="1">
        <v>4317.0</v>
      </c>
      <c r="T2631" s="1" t="s">
        <v>22898</v>
      </c>
      <c r="U2631" s="1" t="s">
        <v>694</v>
      </c>
      <c r="V2631" s="1" t="s">
        <v>190</v>
      </c>
      <c r="W2631" s="1">
        <v>60652.0</v>
      </c>
      <c r="Y2631" s="1" t="s">
        <v>23512</v>
      </c>
      <c r="Z2631" s="1">
        <v>1955.0</v>
      </c>
      <c r="AA2631" s="1" t="s">
        <v>192</v>
      </c>
      <c r="AB2631" s="1" t="s">
        <v>193</v>
      </c>
      <c r="AD2631" s="1" t="s">
        <v>194</v>
      </c>
      <c r="AE2631" s="1" t="s">
        <v>195</v>
      </c>
      <c r="AF2631" s="1" t="s">
        <v>659</v>
      </c>
      <c r="AH2631" s="1" t="s">
        <v>23513</v>
      </c>
      <c r="AK2631" s="1">
        <v>7.0</v>
      </c>
      <c r="AL2631" s="1">
        <v>3.0</v>
      </c>
      <c r="AM2631" s="1">
        <v>2.0</v>
      </c>
      <c r="AN2631" s="1">
        <v>0.0</v>
      </c>
      <c r="AO2631" s="1" t="s">
        <v>229</v>
      </c>
      <c r="AQ2631" s="1" t="s">
        <v>198</v>
      </c>
      <c r="AR2631" s="1" t="s">
        <v>192</v>
      </c>
      <c r="AS2631" s="1" t="s">
        <v>199</v>
      </c>
      <c r="AT2631" s="1">
        <v>2.0</v>
      </c>
      <c r="AV2631" s="1" t="s">
        <v>200</v>
      </c>
      <c r="AW2631" s="1">
        <v>2051.0</v>
      </c>
      <c r="AX2631" s="1">
        <v>2012.0</v>
      </c>
      <c r="AY2631" s="1" t="s">
        <v>387</v>
      </c>
      <c r="AZ2631" s="1" t="s">
        <v>200</v>
      </c>
      <c r="BA2631" s="1" t="str">
        <f>"19274080120000"</f>
        <v>19274080120000</v>
      </c>
      <c r="BB2631" s="1" t="s">
        <v>200</v>
      </c>
      <c r="BC2631" s="1">
        <v>1049.0</v>
      </c>
      <c r="BD2631" s="1">
        <v>170000.0</v>
      </c>
      <c r="BE2631" s="2">
        <v>42033.0</v>
      </c>
      <c r="BF2631" s="1" t="s">
        <v>23514</v>
      </c>
      <c r="BH2631" s="1">
        <v>0.0</v>
      </c>
      <c r="BK2631" s="1" t="s">
        <v>204</v>
      </c>
      <c r="BL2631" s="1" t="str">
        <f t="shared" ref="BL2631:BM2631" si="1719">"0"</f>
        <v>0</v>
      </c>
      <c r="BM2631" s="1" t="str">
        <f t="shared" si="1719"/>
        <v>0</v>
      </c>
      <c r="BN2631" s="1">
        <v>4300.0</v>
      </c>
      <c r="BO2631" s="1">
        <v>7700.0</v>
      </c>
      <c r="BQ2631" s="1">
        <v>299.0</v>
      </c>
      <c r="BR2631" s="1">
        <v>299.0</v>
      </c>
      <c r="BS2631" s="1">
        <v>299.0</v>
      </c>
      <c r="BU2631" s="1" t="s">
        <v>2082</v>
      </c>
      <c r="BV2631" s="1" t="s">
        <v>206</v>
      </c>
      <c r="BW2631" s="1" t="s">
        <v>207</v>
      </c>
      <c r="BY2631" s="1" t="s">
        <v>302</v>
      </c>
      <c r="BZ2631" s="1" t="s">
        <v>206</v>
      </c>
      <c r="CA2631" s="1" t="s">
        <v>207</v>
      </c>
      <c r="CD2631" s="1" t="s">
        <v>204</v>
      </c>
      <c r="CG2631" s="1" t="s">
        <v>302</v>
      </c>
      <c r="CH2631" s="1" t="s">
        <v>206</v>
      </c>
      <c r="CI2631" s="1" t="s">
        <v>207</v>
      </c>
      <c r="CK2631" s="1" t="s">
        <v>303</v>
      </c>
      <c r="CL2631" s="1" t="s">
        <v>206</v>
      </c>
      <c r="CM2631" s="1" t="s">
        <v>207</v>
      </c>
      <c r="CO2631" s="1" t="s">
        <v>269</v>
      </c>
      <c r="CP2631" s="1" t="s">
        <v>42</v>
      </c>
      <c r="CS2631" s="1" t="s">
        <v>663</v>
      </c>
      <c r="CT2631" s="1" t="s">
        <v>206</v>
      </c>
      <c r="CU2631" s="1" t="s">
        <v>268</v>
      </c>
      <c r="CW2631" s="1" t="s">
        <v>677</v>
      </c>
      <c r="CX2631" s="1" t="s">
        <v>267</v>
      </c>
      <c r="DA2631" s="1" t="s">
        <v>200</v>
      </c>
      <c r="DC2631" s="1" t="s">
        <v>271</v>
      </c>
      <c r="DE2631" s="1" t="s">
        <v>273</v>
      </c>
      <c r="DF2631" s="1" t="s">
        <v>619</v>
      </c>
      <c r="DH2631" s="1" t="s">
        <v>365</v>
      </c>
      <c r="DJ2631" s="1" t="s">
        <v>222</v>
      </c>
      <c r="DL2631" s="1" t="s">
        <v>224</v>
      </c>
      <c r="DM2631" s="1" t="s">
        <v>225</v>
      </c>
      <c r="DQ2631" s="1" t="s">
        <v>228</v>
      </c>
      <c r="DR2631" s="1" t="s">
        <v>229</v>
      </c>
      <c r="DV2631" s="1" t="s">
        <v>310</v>
      </c>
      <c r="DW2631" s="1" t="s">
        <v>279</v>
      </c>
      <c r="DX2631" s="1" t="s">
        <v>1287</v>
      </c>
      <c r="EC2631" s="1" t="s">
        <v>685</v>
      </c>
      <c r="EG2631" s="1" t="s">
        <v>310</v>
      </c>
      <c r="EL2631" s="1" t="s">
        <v>5813</v>
      </c>
      <c r="EM2631" s="1" t="s">
        <v>206</v>
      </c>
      <c r="EQ2631" s="1" t="s">
        <v>238</v>
      </c>
      <c r="EU2631" s="1" t="s">
        <v>238</v>
      </c>
      <c r="EY2631" s="1" t="s">
        <v>238</v>
      </c>
      <c r="FC2631" s="1" t="s">
        <v>238</v>
      </c>
      <c r="FF2631" s="1" t="s">
        <v>239</v>
      </c>
      <c r="FG2631" s="1" t="s">
        <v>192</v>
      </c>
      <c r="FH2631" s="1" t="s">
        <v>192</v>
      </c>
      <c r="FJ2631" s="1" t="s">
        <v>3613</v>
      </c>
      <c r="FK2631" s="1" t="s">
        <v>229</v>
      </c>
      <c r="FL2631" s="1" t="s">
        <v>5025</v>
      </c>
      <c r="FM2631" s="1">
        <v>24945.0</v>
      </c>
      <c r="FN2631" s="1" t="s">
        <v>12873</v>
      </c>
      <c r="FO2631" s="1" t="s">
        <v>3024</v>
      </c>
      <c r="FP2631" s="1">
        <v>217657.0</v>
      </c>
      <c r="FQ2631" s="1" t="s">
        <v>23515</v>
      </c>
      <c r="FU2631" s="1" t="s">
        <v>23516</v>
      </c>
      <c r="FV2631" s="1" t="s">
        <v>200</v>
      </c>
      <c r="FW2631" s="1" t="s">
        <v>23517</v>
      </c>
      <c r="FX2631" s="1" t="s">
        <v>246</v>
      </c>
      <c r="FZ2631" s="1" t="s">
        <v>229</v>
      </c>
      <c r="GA2631" s="1" t="s">
        <v>291</v>
      </c>
      <c r="GB2631" s="2">
        <v>42081.0</v>
      </c>
      <c r="GC2631" s="1" t="s">
        <v>23518</v>
      </c>
    </row>
    <row r="2632">
      <c r="A2632" s="1">
        <v>164000.0</v>
      </c>
      <c r="B2632" s="1" t="s">
        <v>185</v>
      </c>
      <c r="C2632" s="1" t="str">
        <f>"08833931"</f>
        <v>08833931</v>
      </c>
      <c r="D2632" s="1" t="s">
        <v>186</v>
      </c>
      <c r="F2632" s="1" t="str">
        <f>"110"</f>
        <v>110</v>
      </c>
      <c r="G2632" s="2">
        <v>42043.0</v>
      </c>
      <c r="H2632" s="1">
        <v>168900.0</v>
      </c>
      <c r="I2632" s="1">
        <v>46.0</v>
      </c>
      <c r="J2632" s="1">
        <v>168900.0</v>
      </c>
      <c r="K2632" s="2">
        <v>42088.0</v>
      </c>
      <c r="L2632" s="1">
        <v>46.0</v>
      </c>
      <c r="M2632" s="2">
        <v>42088.0</v>
      </c>
      <c r="N2632" s="1" t="s">
        <v>356</v>
      </c>
      <c r="O2632" s="2">
        <v>42131.0</v>
      </c>
      <c r="P2632" s="1">
        <v>8707.0</v>
      </c>
      <c r="Q2632" s="1">
        <v>7032.0</v>
      </c>
      <c r="R2632" s="1">
        <v>4500.0</v>
      </c>
      <c r="S2632" s="1">
        <v>2.0</v>
      </c>
      <c r="T2632" s="1" t="s">
        <v>23519</v>
      </c>
      <c r="U2632" s="1" t="s">
        <v>464</v>
      </c>
      <c r="V2632" s="1" t="s">
        <v>807</v>
      </c>
      <c r="W2632" s="1">
        <v>60110.0</v>
      </c>
      <c r="Y2632" s="1" t="s">
        <v>23520</v>
      </c>
      <c r="Z2632" s="1" t="s">
        <v>296</v>
      </c>
      <c r="AA2632" s="1" t="s">
        <v>192</v>
      </c>
      <c r="AB2632" s="1" t="s">
        <v>193</v>
      </c>
      <c r="AD2632" s="1" t="s">
        <v>809</v>
      </c>
      <c r="AE2632" s="1" t="s">
        <v>325</v>
      </c>
      <c r="AF2632" s="1" t="s">
        <v>810</v>
      </c>
      <c r="AH2632" s="1" t="s">
        <v>23521</v>
      </c>
      <c r="AI2632" s="1">
        <v>0.0</v>
      </c>
      <c r="AK2632" s="1">
        <v>8.0</v>
      </c>
      <c r="AL2632" s="1">
        <v>4.0</v>
      </c>
      <c r="AM2632" s="1">
        <v>2.0</v>
      </c>
      <c r="AN2632" s="1">
        <v>0.0</v>
      </c>
      <c r="AO2632" s="1" t="s">
        <v>229</v>
      </c>
      <c r="AQ2632" s="1" t="s">
        <v>229</v>
      </c>
      <c r="AR2632" s="1" t="s">
        <v>200</v>
      </c>
      <c r="AS2632" s="1" t="s">
        <v>199</v>
      </c>
      <c r="AT2632" s="1">
        <v>2.0</v>
      </c>
      <c r="AV2632" s="1" t="s">
        <v>200</v>
      </c>
      <c r="AW2632" s="1">
        <v>3539.44</v>
      </c>
      <c r="AX2632" s="1">
        <v>2013.0</v>
      </c>
      <c r="AZ2632" s="1" t="s">
        <v>200</v>
      </c>
      <c r="BA2632" s="1" t="str">
        <f>"0313176023"</f>
        <v>0313176023</v>
      </c>
      <c r="BC2632" s="1">
        <v>0.0</v>
      </c>
      <c r="BD2632" s="1">
        <v>164000.0</v>
      </c>
      <c r="BE2632" s="2">
        <v>42043.0</v>
      </c>
      <c r="BF2632" s="2" t="s">
        <v>23522</v>
      </c>
      <c r="BH2632" s="1">
        <v>0.0</v>
      </c>
      <c r="BK2632" s="1" t="s">
        <v>204</v>
      </c>
      <c r="BL2632" s="1" t="str">
        <f>"16"</f>
        <v>16</v>
      </c>
      <c r="BM2632" s="1" t="str">
        <f t="shared" ref="BM2632:BM2633" si="1720">"0"</f>
        <v>0</v>
      </c>
      <c r="BN2632" s="1">
        <v>31.0</v>
      </c>
      <c r="BO2632" s="1">
        <v>0.0</v>
      </c>
      <c r="BQ2632" s="1">
        <v>300.0</v>
      </c>
      <c r="BR2632" s="1">
        <v>300.0</v>
      </c>
      <c r="BS2632" s="1">
        <v>300.0</v>
      </c>
      <c r="BU2632" s="1" t="s">
        <v>2120</v>
      </c>
      <c r="BV2632" s="1" t="s">
        <v>206</v>
      </c>
      <c r="BW2632" s="1" t="s">
        <v>207</v>
      </c>
      <c r="BY2632" s="1" t="s">
        <v>332</v>
      </c>
      <c r="BZ2632" s="1" t="s">
        <v>206</v>
      </c>
      <c r="CA2632" s="1" t="s">
        <v>210</v>
      </c>
      <c r="CD2632" s="1" t="s">
        <v>204</v>
      </c>
      <c r="CG2632" s="1" t="s">
        <v>497</v>
      </c>
      <c r="CH2632" s="1" t="s">
        <v>206</v>
      </c>
      <c r="CI2632" s="1" t="s">
        <v>210</v>
      </c>
      <c r="CK2632" s="1" t="s">
        <v>516</v>
      </c>
      <c r="CL2632" s="1" t="s">
        <v>206</v>
      </c>
      <c r="CM2632" s="1" t="s">
        <v>210</v>
      </c>
      <c r="CO2632" s="1" t="s">
        <v>266</v>
      </c>
      <c r="CP2632" s="1" t="s">
        <v>206</v>
      </c>
      <c r="CQ2632" s="1" t="s">
        <v>210</v>
      </c>
      <c r="CS2632" s="1" t="s">
        <v>1246</v>
      </c>
      <c r="CT2632" s="1" t="s">
        <v>206</v>
      </c>
      <c r="CU2632" s="1" t="s">
        <v>268</v>
      </c>
      <c r="CW2632" s="1" t="s">
        <v>1000</v>
      </c>
      <c r="CX2632" s="1" t="s">
        <v>206</v>
      </c>
      <c r="CY2632" s="1" t="s">
        <v>207</v>
      </c>
      <c r="DA2632" s="1" t="s">
        <v>200</v>
      </c>
      <c r="DC2632" s="1" t="s">
        <v>545</v>
      </c>
      <c r="DE2632" s="1" t="s">
        <v>273</v>
      </c>
      <c r="DF2632" s="1" t="s">
        <v>219</v>
      </c>
      <c r="DH2632" s="1" t="s">
        <v>220</v>
      </c>
      <c r="DI2632" s="1" t="s">
        <v>366</v>
      </c>
      <c r="DJ2632" s="1" t="s">
        <v>222</v>
      </c>
      <c r="DL2632" s="1" t="s">
        <v>229</v>
      </c>
      <c r="DM2632" s="1" t="s">
        <v>1268</v>
      </c>
      <c r="DO2632" s="1" t="s">
        <v>590</v>
      </c>
      <c r="DQ2632" s="1" t="s">
        <v>228</v>
      </c>
      <c r="DR2632" s="1" t="s">
        <v>229</v>
      </c>
      <c r="DV2632" s="1" t="s">
        <v>556</v>
      </c>
      <c r="DW2632" s="1" t="s">
        <v>233</v>
      </c>
      <c r="DX2632" s="1" t="s">
        <v>234</v>
      </c>
      <c r="EA2632" s="1" t="s">
        <v>683</v>
      </c>
      <c r="EC2632" s="1" t="s">
        <v>685</v>
      </c>
      <c r="EG2632" s="1" t="s">
        <v>556</v>
      </c>
      <c r="EL2632" s="1" t="s">
        <v>3702</v>
      </c>
      <c r="EM2632" s="1" t="s">
        <v>206</v>
      </c>
      <c r="EN2632" s="1" t="s">
        <v>268</v>
      </c>
      <c r="EQ2632" s="1" t="s">
        <v>238</v>
      </c>
      <c r="EU2632" s="1" t="s">
        <v>238</v>
      </c>
      <c r="EY2632" s="1" t="s">
        <v>238</v>
      </c>
      <c r="FC2632" s="1" t="s">
        <v>238</v>
      </c>
      <c r="FF2632" s="1" t="s">
        <v>2447</v>
      </c>
      <c r="FG2632" s="1" t="s">
        <v>192</v>
      </c>
      <c r="FH2632" s="1" t="s">
        <v>192</v>
      </c>
      <c r="FJ2632" s="1" t="s">
        <v>4471</v>
      </c>
      <c r="FK2632" s="1" t="s">
        <v>229</v>
      </c>
      <c r="FL2632" s="1" t="s">
        <v>1358</v>
      </c>
      <c r="FM2632" s="1">
        <v>6022.0</v>
      </c>
      <c r="FN2632" s="1" t="s">
        <v>11515</v>
      </c>
      <c r="FO2632" s="1" t="s">
        <v>23523</v>
      </c>
      <c r="FP2632" s="1">
        <v>39352.0</v>
      </c>
      <c r="FQ2632" s="1" t="s">
        <v>23524</v>
      </c>
      <c r="FU2632" s="1" t="s">
        <v>23525</v>
      </c>
      <c r="FV2632" s="1" t="s">
        <v>192</v>
      </c>
      <c r="FW2632" s="1" t="s">
        <v>290</v>
      </c>
      <c r="FZ2632" s="1" t="s">
        <v>229</v>
      </c>
      <c r="GA2632" s="1" t="s">
        <v>291</v>
      </c>
      <c r="GB2632" s="2">
        <v>42133.0</v>
      </c>
      <c r="GC2632" s="1" t="s">
        <v>23526</v>
      </c>
    </row>
    <row r="2633">
      <c r="A2633" s="1">
        <v>580000.0</v>
      </c>
      <c r="B2633" s="1" t="s">
        <v>185</v>
      </c>
      <c r="C2633" s="1" t="str">
        <f>"08829162"</f>
        <v>08829162</v>
      </c>
      <c r="D2633" s="1" t="s">
        <v>186</v>
      </c>
      <c r="F2633" s="1" t="str">
        <f>"8077"</f>
        <v>8077</v>
      </c>
      <c r="G2633" s="2">
        <v>42037.0</v>
      </c>
      <c r="H2633" s="1">
        <v>625000.0</v>
      </c>
      <c r="I2633" s="1">
        <v>22.0</v>
      </c>
      <c r="J2633" s="1">
        <v>625000.0</v>
      </c>
      <c r="K2633" s="2">
        <v>42058.0</v>
      </c>
      <c r="L2633" s="1">
        <v>22.0</v>
      </c>
      <c r="M2633" s="2">
        <v>42058.0</v>
      </c>
      <c r="N2633" s="1" t="s">
        <v>249</v>
      </c>
      <c r="O2633" s="2">
        <v>42093.0</v>
      </c>
      <c r="P2633" s="1">
        <v>108098.0</v>
      </c>
      <c r="Q2633" s="1">
        <v>85774.0</v>
      </c>
      <c r="S2633" s="1">
        <v>1722.0</v>
      </c>
      <c r="T2633" s="1" t="s">
        <v>9373</v>
      </c>
      <c r="U2633" s="1" t="s">
        <v>189</v>
      </c>
      <c r="V2633" s="1" t="s">
        <v>190</v>
      </c>
      <c r="W2633" s="1">
        <v>60660.0</v>
      </c>
      <c r="Y2633" s="1" t="s">
        <v>23527</v>
      </c>
      <c r="Z2633" s="1">
        <v>1922.0</v>
      </c>
      <c r="AA2633" s="1" t="s">
        <v>192</v>
      </c>
      <c r="AB2633" s="1" t="s">
        <v>193</v>
      </c>
      <c r="AD2633" s="1" t="s">
        <v>194</v>
      </c>
      <c r="AE2633" s="1" t="s">
        <v>195</v>
      </c>
      <c r="AF2633" s="1" t="s">
        <v>2645</v>
      </c>
      <c r="AH2633" s="1" t="s">
        <v>23528</v>
      </c>
      <c r="AK2633" s="1">
        <v>10.0</v>
      </c>
      <c r="AL2633" s="1">
        <v>3.0</v>
      </c>
      <c r="AM2633" s="1">
        <v>2.0</v>
      </c>
      <c r="AN2633" s="1">
        <v>0.0</v>
      </c>
      <c r="AO2633" s="1" t="s">
        <v>229</v>
      </c>
      <c r="AP2633" s="1">
        <v>0.0</v>
      </c>
      <c r="AQ2633" s="1" t="s">
        <v>198</v>
      </c>
      <c r="AR2633" s="1" t="s">
        <v>192</v>
      </c>
      <c r="AS2633" s="1" t="s">
        <v>199</v>
      </c>
      <c r="AT2633" s="1">
        <v>2.0</v>
      </c>
      <c r="AV2633" s="1" t="s">
        <v>200</v>
      </c>
      <c r="AW2633" s="1">
        <v>5895.0</v>
      </c>
      <c r="AX2633" s="1">
        <v>2013.0</v>
      </c>
      <c r="AY2633" s="1" t="s">
        <v>229</v>
      </c>
      <c r="AZ2633" s="1" t="s">
        <v>200</v>
      </c>
      <c r="BA2633" s="1" t="str">
        <f>"14064010340000"</f>
        <v>14064010340000</v>
      </c>
      <c r="BC2633" s="1">
        <v>2600.0</v>
      </c>
      <c r="BD2633" s="1">
        <v>580000.0</v>
      </c>
      <c r="BE2633" s="2">
        <v>42037.0</v>
      </c>
      <c r="BF2633" s="2" t="s">
        <v>23529</v>
      </c>
      <c r="BG2633" s="1" t="s">
        <v>4739</v>
      </c>
      <c r="BH2633" s="1">
        <v>0.0</v>
      </c>
      <c r="BK2633" s="1" t="s">
        <v>204</v>
      </c>
      <c r="BL2633" s="1" t="str">
        <f>"5900"</f>
        <v>5900</v>
      </c>
      <c r="BM2633" s="1" t="str">
        <f t="shared" si="1720"/>
        <v>0</v>
      </c>
      <c r="BN2633" s="1">
        <v>1722.0</v>
      </c>
      <c r="BO2633" s="1">
        <v>0.0</v>
      </c>
      <c r="BQ2633" s="1">
        <v>299.0</v>
      </c>
      <c r="BR2633" s="1">
        <v>299.0</v>
      </c>
      <c r="BS2633" s="1">
        <v>299.0</v>
      </c>
      <c r="BU2633" s="1" t="s">
        <v>782</v>
      </c>
      <c r="BV2633" s="1" t="s">
        <v>206</v>
      </c>
      <c r="BW2633" s="1" t="s">
        <v>207</v>
      </c>
      <c r="BX2633" s="1" t="s">
        <v>431</v>
      </c>
      <c r="BY2633" s="1" t="s">
        <v>925</v>
      </c>
      <c r="BZ2633" s="1" t="s">
        <v>206</v>
      </c>
      <c r="CA2633" s="1" t="s">
        <v>207</v>
      </c>
      <c r="CB2633" s="1" t="s">
        <v>431</v>
      </c>
      <c r="CC2633" s="1" t="s">
        <v>1483</v>
      </c>
      <c r="CD2633" s="1" t="s">
        <v>206</v>
      </c>
      <c r="CE2633" s="1" t="s">
        <v>207</v>
      </c>
      <c r="CF2633" s="1" t="s">
        <v>431</v>
      </c>
      <c r="CG2633" s="1" t="s">
        <v>212</v>
      </c>
      <c r="CH2633" s="1" t="s">
        <v>206</v>
      </c>
      <c r="CI2633" s="1" t="s">
        <v>207</v>
      </c>
      <c r="CJ2633" s="1" t="s">
        <v>431</v>
      </c>
      <c r="CK2633" s="1" t="s">
        <v>332</v>
      </c>
      <c r="CL2633" s="1" t="s">
        <v>206</v>
      </c>
      <c r="CM2633" s="1" t="s">
        <v>207</v>
      </c>
      <c r="CN2633" s="1" t="s">
        <v>431</v>
      </c>
      <c r="CO2633" s="1" t="s">
        <v>497</v>
      </c>
      <c r="CP2633" s="1" t="s">
        <v>42</v>
      </c>
      <c r="CQ2633" s="1" t="s">
        <v>210</v>
      </c>
      <c r="CR2633" s="1" t="s">
        <v>431</v>
      </c>
      <c r="CS2633" s="1" t="s">
        <v>363</v>
      </c>
      <c r="CT2633" s="1" t="s">
        <v>206</v>
      </c>
      <c r="CU2633" s="1" t="s">
        <v>207</v>
      </c>
      <c r="CV2633" s="1" t="s">
        <v>431</v>
      </c>
      <c r="CX2633" s="1" t="s">
        <v>204</v>
      </c>
      <c r="DA2633" s="1" t="s">
        <v>200</v>
      </c>
      <c r="DC2633" s="1" t="s">
        <v>216</v>
      </c>
      <c r="DE2633" s="1" t="s">
        <v>2146</v>
      </c>
      <c r="DF2633" s="1" t="s">
        <v>4086</v>
      </c>
      <c r="DH2633" s="1" t="s">
        <v>365</v>
      </c>
      <c r="DI2633" s="1" t="s">
        <v>1868</v>
      </c>
      <c r="DJ2633" s="1" t="s">
        <v>222</v>
      </c>
      <c r="DL2633" s="1" t="s">
        <v>224</v>
      </c>
      <c r="DM2633" s="1" t="s">
        <v>229</v>
      </c>
      <c r="DQ2633" s="1" t="s">
        <v>228</v>
      </c>
      <c r="DR2633" s="1" t="s">
        <v>229</v>
      </c>
      <c r="DS2633" s="1" t="s">
        <v>230</v>
      </c>
      <c r="DV2633" s="1" t="s">
        <v>23530</v>
      </c>
      <c r="DW2633" s="1" t="s">
        <v>279</v>
      </c>
      <c r="DX2633" s="1" t="s">
        <v>234</v>
      </c>
      <c r="DY2633" s="1" t="s">
        <v>704</v>
      </c>
      <c r="EA2633" s="1" t="s">
        <v>644</v>
      </c>
      <c r="EC2633" s="1" t="s">
        <v>685</v>
      </c>
      <c r="EG2633" s="1" t="s">
        <v>1729</v>
      </c>
      <c r="EH2633" s="1" t="s">
        <v>408</v>
      </c>
      <c r="EI2633" s="1" t="s">
        <v>598</v>
      </c>
      <c r="EJ2633" s="1" t="s">
        <v>450</v>
      </c>
      <c r="EK2633" s="1" t="s">
        <v>1103</v>
      </c>
      <c r="EL2633" s="1" t="s">
        <v>4028</v>
      </c>
      <c r="EM2633" s="1" t="s">
        <v>206</v>
      </c>
      <c r="EN2633" s="1" t="s">
        <v>207</v>
      </c>
      <c r="EO2633" s="1" t="s">
        <v>431</v>
      </c>
      <c r="EP2633" s="1" t="s">
        <v>4413</v>
      </c>
      <c r="EQ2633" s="1" t="s">
        <v>206</v>
      </c>
      <c r="ER2633" s="1" t="s">
        <v>207</v>
      </c>
      <c r="ES2633" s="1" t="s">
        <v>229</v>
      </c>
      <c r="ET2633" s="1" t="s">
        <v>582</v>
      </c>
      <c r="EU2633" s="1" t="s">
        <v>42</v>
      </c>
      <c r="EV2633" s="1" t="s">
        <v>207</v>
      </c>
      <c r="EW2633" s="1" t="s">
        <v>431</v>
      </c>
      <c r="EX2633" s="1" t="s">
        <v>8088</v>
      </c>
      <c r="EY2633" s="1" t="s">
        <v>42</v>
      </c>
      <c r="EZ2633" s="1" t="s">
        <v>210</v>
      </c>
      <c r="FA2633" s="1" t="s">
        <v>431</v>
      </c>
      <c r="FB2633" s="1" t="s">
        <v>497</v>
      </c>
      <c r="FC2633" s="1" t="s">
        <v>42</v>
      </c>
      <c r="FD2633" s="1" t="s">
        <v>588</v>
      </c>
      <c r="FE2633" s="1" t="s">
        <v>229</v>
      </c>
      <c r="FF2633" s="1" t="s">
        <v>239</v>
      </c>
      <c r="FG2633" s="1" t="s">
        <v>192</v>
      </c>
      <c r="FH2633" s="1" t="s">
        <v>192</v>
      </c>
      <c r="FJ2633" s="1" t="s">
        <v>799</v>
      </c>
      <c r="FK2633" s="1" t="s">
        <v>229</v>
      </c>
      <c r="FL2633" s="1" t="s">
        <v>3156</v>
      </c>
      <c r="FM2633" s="1">
        <v>84729.0</v>
      </c>
      <c r="FN2633" s="1" t="s">
        <v>3157</v>
      </c>
      <c r="FO2633" s="1" t="s">
        <v>13175</v>
      </c>
      <c r="FP2633" s="1">
        <v>153501.0</v>
      </c>
      <c r="FQ2633" s="1" t="s">
        <v>13176</v>
      </c>
      <c r="FU2633" s="1" t="s">
        <v>23531</v>
      </c>
      <c r="FV2633" s="1" t="s">
        <v>200</v>
      </c>
      <c r="FW2633" s="1" t="s">
        <v>290</v>
      </c>
      <c r="FX2633" s="1" t="s">
        <v>246</v>
      </c>
      <c r="FZ2633" s="1" t="s">
        <v>229</v>
      </c>
      <c r="GA2633" s="1" t="s">
        <v>291</v>
      </c>
      <c r="GB2633" s="2">
        <v>42094.0</v>
      </c>
      <c r="GC2633" s="1" t="s">
        <v>23532</v>
      </c>
    </row>
    <row r="2634">
      <c r="A2634" s="1">
        <v>351000.0</v>
      </c>
      <c r="B2634" s="1" t="s">
        <v>185</v>
      </c>
      <c r="C2634" s="1" t="str">
        <f>"08857607"</f>
        <v>08857607</v>
      </c>
      <c r="D2634" s="1" t="s">
        <v>186</v>
      </c>
      <c r="F2634" s="1" t="str">
        <f>"8072"</f>
        <v>8072</v>
      </c>
      <c r="G2634" s="2">
        <v>42073.0</v>
      </c>
      <c r="H2634" s="1">
        <v>359900.0</v>
      </c>
      <c r="I2634" s="1">
        <v>1.0</v>
      </c>
      <c r="J2634" s="1">
        <v>359900.0</v>
      </c>
      <c r="K2634" s="2">
        <v>42073.0</v>
      </c>
      <c r="L2634" s="1">
        <v>1.0</v>
      </c>
      <c r="M2634" s="2">
        <v>42073.0</v>
      </c>
      <c r="N2634" s="1" t="s">
        <v>187</v>
      </c>
      <c r="O2634" s="2">
        <v>42100.0</v>
      </c>
      <c r="P2634" s="1">
        <v>139669.0</v>
      </c>
      <c r="Q2634" s="1">
        <v>13963.0</v>
      </c>
      <c r="S2634" s="1">
        <v>9926.0</v>
      </c>
      <c r="T2634" s="1" t="s">
        <v>20658</v>
      </c>
      <c r="U2634" s="1" t="s">
        <v>189</v>
      </c>
      <c r="V2634" s="1" t="s">
        <v>190</v>
      </c>
      <c r="W2634" s="1">
        <v>60643.0</v>
      </c>
      <c r="Y2634" s="1" t="s">
        <v>23533</v>
      </c>
      <c r="Z2634" s="1">
        <v>1910.0</v>
      </c>
      <c r="AA2634" s="1" t="s">
        <v>192</v>
      </c>
      <c r="AB2634" s="1" t="s">
        <v>193</v>
      </c>
      <c r="AD2634" s="1" t="s">
        <v>194</v>
      </c>
      <c r="AE2634" s="1" t="s">
        <v>195</v>
      </c>
      <c r="AF2634" s="1" t="s">
        <v>1154</v>
      </c>
      <c r="AH2634" s="1" t="s">
        <v>23534</v>
      </c>
      <c r="AI2634" s="1">
        <v>0.2066</v>
      </c>
      <c r="AK2634" s="1">
        <v>9.0</v>
      </c>
      <c r="AL2634" s="1">
        <v>4.0</v>
      </c>
      <c r="AM2634" s="1">
        <v>2.0</v>
      </c>
      <c r="AN2634" s="1">
        <v>0.0</v>
      </c>
      <c r="AO2634" s="1" t="s">
        <v>229</v>
      </c>
      <c r="AP2634" s="1">
        <v>1.0</v>
      </c>
      <c r="AQ2634" s="1" t="s">
        <v>198</v>
      </c>
      <c r="AR2634" s="1" t="s">
        <v>200</v>
      </c>
      <c r="AS2634" s="1" t="s">
        <v>199</v>
      </c>
      <c r="AT2634" s="1">
        <v>2.0</v>
      </c>
      <c r="AV2634" s="1" t="s">
        <v>200</v>
      </c>
      <c r="AW2634" s="1">
        <v>4703.0</v>
      </c>
      <c r="AX2634" s="1">
        <v>2013.0</v>
      </c>
      <c r="AY2634" s="1" t="s">
        <v>1179</v>
      </c>
      <c r="AZ2634" s="1" t="s">
        <v>200</v>
      </c>
      <c r="BA2634" s="1" t="str">
        <f>"25074000170000"</f>
        <v>25074000170000</v>
      </c>
      <c r="BB2634" s="1" t="s">
        <v>200</v>
      </c>
      <c r="BC2634" s="1">
        <v>2140.0</v>
      </c>
      <c r="BD2634" s="1">
        <v>351000.0</v>
      </c>
      <c r="BE2634" s="2">
        <v>42073.0</v>
      </c>
      <c r="BF2634" s="2" t="s">
        <v>23535</v>
      </c>
      <c r="BH2634" s="1">
        <v>0.0</v>
      </c>
      <c r="BK2634" s="1" t="s">
        <v>204</v>
      </c>
      <c r="BL2634" s="1" t="str">
        <f t="shared" ref="BL2634:BM2634" si="1721">"0"</f>
        <v>0</v>
      </c>
      <c r="BM2634" s="1" t="str">
        <f t="shared" si="1721"/>
        <v>0</v>
      </c>
      <c r="BN2634" s="1">
        <v>2200.0</v>
      </c>
      <c r="BO2634" s="1">
        <v>9926.0</v>
      </c>
      <c r="BQ2634" s="1">
        <v>299.0</v>
      </c>
      <c r="BR2634" s="1">
        <v>299.0</v>
      </c>
      <c r="BS2634" s="1">
        <v>299.0</v>
      </c>
      <c r="BU2634" s="1" t="s">
        <v>2849</v>
      </c>
      <c r="BV2634" s="1" t="s">
        <v>206</v>
      </c>
      <c r="BW2634" s="1" t="s">
        <v>207</v>
      </c>
      <c r="BY2634" s="1" t="s">
        <v>758</v>
      </c>
      <c r="BZ2634" s="1" t="s">
        <v>209</v>
      </c>
      <c r="CA2634" s="1" t="s">
        <v>207</v>
      </c>
      <c r="CC2634" s="1" t="s">
        <v>758</v>
      </c>
      <c r="CD2634" s="1" t="s">
        <v>206</v>
      </c>
      <c r="CE2634" s="1" t="s">
        <v>207</v>
      </c>
      <c r="CG2634" s="1" t="s">
        <v>269</v>
      </c>
      <c r="CH2634" s="1" t="s">
        <v>209</v>
      </c>
      <c r="CI2634" s="1" t="s">
        <v>207</v>
      </c>
      <c r="CK2634" s="1" t="s">
        <v>758</v>
      </c>
      <c r="CL2634" s="1" t="s">
        <v>209</v>
      </c>
      <c r="CM2634" s="1" t="s">
        <v>207</v>
      </c>
      <c r="CO2634" s="1" t="s">
        <v>331</v>
      </c>
      <c r="CP2634" s="1" t="s">
        <v>209</v>
      </c>
      <c r="CQ2634" s="1" t="s">
        <v>207</v>
      </c>
      <c r="CS2634" s="1" t="s">
        <v>663</v>
      </c>
      <c r="CT2634" s="1" t="s">
        <v>206</v>
      </c>
      <c r="CU2634" s="1" t="s">
        <v>207</v>
      </c>
      <c r="CW2634" s="1" t="s">
        <v>264</v>
      </c>
      <c r="CX2634" s="1" t="s">
        <v>206</v>
      </c>
      <c r="CY2634" s="1" t="s">
        <v>210</v>
      </c>
      <c r="DA2634" s="1" t="s">
        <v>200</v>
      </c>
      <c r="DC2634" s="1" t="s">
        <v>642</v>
      </c>
      <c r="DE2634" s="1" t="s">
        <v>6485</v>
      </c>
      <c r="DF2634" s="1" t="s">
        <v>6818</v>
      </c>
      <c r="DG2634" s="1" t="s">
        <v>482</v>
      </c>
      <c r="DH2634" s="1" t="s">
        <v>365</v>
      </c>
      <c r="DI2634" s="1" t="s">
        <v>1463</v>
      </c>
      <c r="DJ2634" s="1" t="s">
        <v>222</v>
      </c>
      <c r="DL2634" s="1" t="s">
        <v>224</v>
      </c>
      <c r="DM2634" s="1" t="s">
        <v>229</v>
      </c>
      <c r="DQ2634" s="1" t="s">
        <v>228</v>
      </c>
      <c r="DR2634" s="1" t="s">
        <v>229</v>
      </c>
      <c r="DS2634" s="1" t="s">
        <v>230</v>
      </c>
      <c r="DV2634" s="1" t="s">
        <v>450</v>
      </c>
      <c r="DW2634" s="1" t="s">
        <v>3576</v>
      </c>
      <c r="DX2634" s="1" t="s">
        <v>234</v>
      </c>
      <c r="DY2634" s="1" t="s">
        <v>704</v>
      </c>
      <c r="DZ2634" s="1" t="s">
        <v>1611</v>
      </c>
      <c r="EA2634" s="1" t="s">
        <v>344</v>
      </c>
      <c r="EB2634" s="1" t="s">
        <v>345</v>
      </c>
      <c r="EC2634" s="1" t="s">
        <v>237</v>
      </c>
      <c r="ED2634" s="1" t="s">
        <v>4163</v>
      </c>
      <c r="EG2634" s="1" t="s">
        <v>450</v>
      </c>
      <c r="EL2634" s="1" t="s">
        <v>10471</v>
      </c>
      <c r="EM2634" s="1" t="s">
        <v>42</v>
      </c>
      <c r="EN2634" s="1" t="s">
        <v>210</v>
      </c>
      <c r="EQ2634" s="1" t="s">
        <v>238</v>
      </c>
      <c r="EU2634" s="1" t="s">
        <v>238</v>
      </c>
      <c r="EY2634" s="1" t="s">
        <v>238</v>
      </c>
      <c r="FC2634" s="1" t="s">
        <v>238</v>
      </c>
      <c r="FF2634" s="1" t="s">
        <v>239</v>
      </c>
      <c r="FG2634" s="1" t="s">
        <v>192</v>
      </c>
      <c r="FH2634" s="1" t="s">
        <v>192</v>
      </c>
      <c r="FJ2634" s="1" t="s">
        <v>3357</v>
      </c>
      <c r="FK2634" s="1" t="s">
        <v>229</v>
      </c>
      <c r="FL2634" s="1" t="s">
        <v>4804</v>
      </c>
      <c r="FM2634" s="1">
        <v>60035.0</v>
      </c>
      <c r="FN2634" s="1" t="s">
        <v>4805</v>
      </c>
      <c r="FO2634" s="1" t="s">
        <v>4806</v>
      </c>
      <c r="FP2634" s="1">
        <v>600779.0</v>
      </c>
      <c r="FQ2634" s="1" t="s">
        <v>4807</v>
      </c>
      <c r="FR2634" s="1">
        <v>225736.0</v>
      </c>
      <c r="FU2634" s="1" t="s">
        <v>23536</v>
      </c>
      <c r="FV2634" s="1" t="s">
        <v>200</v>
      </c>
      <c r="FW2634" s="1" t="s">
        <v>567</v>
      </c>
      <c r="FX2634" s="1" t="s">
        <v>655</v>
      </c>
      <c r="FZ2634" s="1" t="s">
        <v>229</v>
      </c>
      <c r="GA2634" s="1" t="s">
        <v>291</v>
      </c>
      <c r="GB2634" s="2">
        <v>42100.0</v>
      </c>
      <c r="GC2634" s="1" t="s">
        <v>23537</v>
      </c>
    </row>
    <row r="2635">
      <c r="A2635" s="1">
        <v>51100.0</v>
      </c>
      <c r="B2635" s="1" t="s">
        <v>185</v>
      </c>
      <c r="C2635" s="1" t="str">
        <f>"08826481"</f>
        <v>08826481</v>
      </c>
      <c r="D2635" s="1" t="s">
        <v>186</v>
      </c>
      <c r="F2635" s="1" t="str">
        <f>"8025"</f>
        <v>8025</v>
      </c>
      <c r="G2635" s="2">
        <v>42033.0</v>
      </c>
      <c r="H2635" s="1">
        <v>49900.0</v>
      </c>
      <c r="I2635" s="1">
        <v>9.0</v>
      </c>
      <c r="J2635" s="1">
        <v>49900.0</v>
      </c>
      <c r="K2635" s="2">
        <v>42041.0</v>
      </c>
      <c r="L2635" s="1">
        <v>9.0</v>
      </c>
      <c r="M2635" s="2">
        <v>42041.0</v>
      </c>
      <c r="N2635" s="1" t="s">
        <v>249</v>
      </c>
      <c r="O2635" s="2">
        <v>42065.0</v>
      </c>
      <c r="P2635" s="1">
        <v>144575.0</v>
      </c>
      <c r="Q2635" s="1">
        <v>18229.0</v>
      </c>
      <c r="S2635" s="1">
        <v>854.0</v>
      </c>
      <c r="T2635" s="1" t="s">
        <v>23538</v>
      </c>
      <c r="U2635" s="1" t="s">
        <v>189</v>
      </c>
      <c r="V2635" s="1" t="s">
        <v>190</v>
      </c>
      <c r="W2635" s="1">
        <v>60651.0</v>
      </c>
      <c r="Y2635" s="1" t="s">
        <v>23539</v>
      </c>
      <c r="Z2635" s="1">
        <v>1909.0</v>
      </c>
      <c r="AA2635" s="1" t="s">
        <v>192</v>
      </c>
      <c r="AB2635" s="1" t="s">
        <v>193</v>
      </c>
      <c r="AD2635" s="1" t="s">
        <v>194</v>
      </c>
      <c r="AE2635" s="1" t="s">
        <v>195</v>
      </c>
      <c r="AF2635" s="1" t="s">
        <v>196</v>
      </c>
      <c r="AH2635" s="1">
        <v>5229.0</v>
      </c>
      <c r="AK2635" s="1">
        <v>7.0</v>
      </c>
      <c r="AL2635" s="1">
        <v>4.0</v>
      </c>
      <c r="AM2635" s="1">
        <v>2.0</v>
      </c>
      <c r="AN2635" s="1">
        <v>0.0</v>
      </c>
      <c r="AO2635" s="1" t="s">
        <v>229</v>
      </c>
      <c r="AQ2635" s="1" t="s">
        <v>198</v>
      </c>
      <c r="AR2635" s="1" t="s">
        <v>200</v>
      </c>
      <c r="AS2635" s="1" t="s">
        <v>199</v>
      </c>
      <c r="AT2635" s="1">
        <v>2.0</v>
      </c>
      <c r="AV2635" s="1" t="s">
        <v>200</v>
      </c>
      <c r="AW2635" s="1">
        <v>2560.22</v>
      </c>
      <c r="AX2635" s="1">
        <v>2013.0</v>
      </c>
      <c r="AZ2635" s="1" t="s">
        <v>200</v>
      </c>
      <c r="BA2635" s="1" t="str">
        <f>"16044250140000"</f>
        <v>16044250140000</v>
      </c>
      <c r="BC2635" s="1">
        <v>1628.0</v>
      </c>
      <c r="BD2635" s="1">
        <v>51100.0</v>
      </c>
      <c r="BE2635" s="2">
        <v>42033.0</v>
      </c>
      <c r="BF2635" s="2" t="s">
        <v>23540</v>
      </c>
      <c r="BH2635" s="1">
        <v>0.0</v>
      </c>
      <c r="BK2635" s="1" t="s">
        <v>204</v>
      </c>
      <c r="BL2635" s="1" t="str">
        <f>"854"</f>
        <v>854</v>
      </c>
      <c r="BM2635" s="1" t="str">
        <f t="shared" ref="BM2635:BM2636" si="1722">"0"</f>
        <v>0</v>
      </c>
      <c r="BN2635" s="1">
        <v>5034.0</v>
      </c>
      <c r="BO2635" s="1">
        <v>0.0</v>
      </c>
      <c r="BQ2635" s="1">
        <v>299.0</v>
      </c>
      <c r="BR2635" s="1">
        <v>299.0</v>
      </c>
      <c r="BS2635" s="1">
        <v>299.0</v>
      </c>
      <c r="BU2635" s="1" t="s">
        <v>758</v>
      </c>
      <c r="BV2635" s="1" t="s">
        <v>206</v>
      </c>
      <c r="BY2635" s="1" t="s">
        <v>924</v>
      </c>
      <c r="BZ2635" s="1" t="s">
        <v>209</v>
      </c>
      <c r="CC2635" s="1" t="s">
        <v>211</v>
      </c>
      <c r="CD2635" s="1" t="s">
        <v>206</v>
      </c>
      <c r="CG2635" s="1" t="s">
        <v>264</v>
      </c>
      <c r="CH2635" s="1" t="s">
        <v>206</v>
      </c>
      <c r="CK2635" s="1" t="s">
        <v>925</v>
      </c>
      <c r="CL2635" s="1" t="s">
        <v>209</v>
      </c>
      <c r="CO2635" s="1" t="s">
        <v>392</v>
      </c>
      <c r="CP2635" s="1" t="s">
        <v>209</v>
      </c>
      <c r="CS2635" s="1" t="s">
        <v>543</v>
      </c>
      <c r="CT2635" s="1" t="s">
        <v>206</v>
      </c>
      <c r="CX2635" s="1" t="s">
        <v>204</v>
      </c>
      <c r="DA2635" s="1" t="s">
        <v>200</v>
      </c>
      <c r="DC2635" s="1" t="s">
        <v>642</v>
      </c>
      <c r="DE2635" s="1" t="s">
        <v>229</v>
      </c>
      <c r="DF2635" s="1" t="s">
        <v>3540</v>
      </c>
      <c r="DH2635" s="1" t="s">
        <v>365</v>
      </c>
      <c r="DJ2635" s="1" t="s">
        <v>222</v>
      </c>
      <c r="DL2635" s="1" t="s">
        <v>223</v>
      </c>
      <c r="DM2635" s="1" t="s">
        <v>229</v>
      </c>
      <c r="DQ2635" s="1" t="s">
        <v>228</v>
      </c>
      <c r="DR2635" s="1" t="s">
        <v>229</v>
      </c>
      <c r="DV2635" s="1" t="s">
        <v>232</v>
      </c>
      <c r="DW2635" s="1" t="s">
        <v>3576</v>
      </c>
      <c r="DX2635" s="1" t="s">
        <v>234</v>
      </c>
      <c r="EC2635" s="1" t="s">
        <v>237</v>
      </c>
      <c r="EM2635" s="1" t="s">
        <v>238</v>
      </c>
      <c r="EQ2635" s="1" t="s">
        <v>238</v>
      </c>
      <c r="EU2635" s="1" t="s">
        <v>238</v>
      </c>
      <c r="EY2635" s="1" t="s">
        <v>238</v>
      </c>
      <c r="FC2635" s="1" t="s">
        <v>238</v>
      </c>
      <c r="FF2635" s="1" t="s">
        <v>239</v>
      </c>
      <c r="FG2635" s="1" t="s">
        <v>192</v>
      </c>
      <c r="FH2635" s="1" t="s">
        <v>192</v>
      </c>
      <c r="FJ2635" s="1" t="s">
        <v>3299</v>
      </c>
      <c r="FK2635" s="1" t="s">
        <v>229</v>
      </c>
      <c r="FL2635" s="1" t="s">
        <v>4260</v>
      </c>
      <c r="FM2635" s="1">
        <v>40335.0</v>
      </c>
      <c r="FN2635" s="1" t="s">
        <v>4261</v>
      </c>
      <c r="FO2635" s="1" t="s">
        <v>23462</v>
      </c>
      <c r="FP2635" s="1">
        <v>407595.0</v>
      </c>
      <c r="FQ2635" s="1" t="s">
        <v>23463</v>
      </c>
      <c r="FU2635" s="1" t="s">
        <v>23541</v>
      </c>
      <c r="FV2635" s="1" t="s">
        <v>200</v>
      </c>
      <c r="FW2635" s="1" t="s">
        <v>290</v>
      </c>
      <c r="FX2635" s="1" t="s">
        <v>238</v>
      </c>
      <c r="FZ2635" s="1" t="s">
        <v>229</v>
      </c>
      <c r="GA2635" s="1" t="s">
        <v>291</v>
      </c>
      <c r="GB2635" s="2">
        <v>42065.0</v>
      </c>
      <c r="GC2635" s="1" t="s">
        <v>23542</v>
      </c>
    </row>
    <row r="2636">
      <c r="A2636" s="1">
        <v>740000.0</v>
      </c>
      <c r="B2636" s="1" t="s">
        <v>185</v>
      </c>
      <c r="C2636" s="1" t="str">
        <f>"08827670"</f>
        <v>08827670</v>
      </c>
      <c r="D2636" s="1" t="s">
        <v>186</v>
      </c>
      <c r="F2636" s="1" t="str">
        <f>"8016"</f>
        <v>8016</v>
      </c>
      <c r="G2636" s="2">
        <v>42034.0</v>
      </c>
      <c r="H2636" s="1">
        <v>800000.0</v>
      </c>
      <c r="I2636" s="1">
        <v>125.0</v>
      </c>
      <c r="J2636" s="1">
        <v>800000.0</v>
      </c>
      <c r="K2636" s="2">
        <v>42058.0</v>
      </c>
      <c r="L2636" s="1">
        <v>25.0</v>
      </c>
      <c r="M2636" s="2">
        <v>42058.0</v>
      </c>
      <c r="N2636" s="1" t="s">
        <v>187</v>
      </c>
      <c r="O2636" s="2">
        <v>42097.0</v>
      </c>
      <c r="P2636" s="1">
        <v>107595.0</v>
      </c>
      <c r="Q2636" s="1">
        <v>10793.0</v>
      </c>
      <c r="S2636" s="1">
        <v>4031.0</v>
      </c>
      <c r="T2636" s="1" t="s">
        <v>23543</v>
      </c>
      <c r="U2636" s="1" t="s">
        <v>189</v>
      </c>
      <c r="V2636" s="1" t="s">
        <v>190</v>
      </c>
      <c r="W2636" s="1">
        <v>60641.0</v>
      </c>
      <c r="Y2636" s="1" t="s">
        <v>23544</v>
      </c>
      <c r="Z2636" s="1" t="s">
        <v>296</v>
      </c>
      <c r="AA2636" s="1" t="s">
        <v>192</v>
      </c>
      <c r="AB2636" s="1" t="s">
        <v>193</v>
      </c>
      <c r="AD2636" s="1" t="s">
        <v>194</v>
      </c>
      <c r="AE2636" s="1" t="s">
        <v>195</v>
      </c>
      <c r="AF2636" s="1" t="s">
        <v>196</v>
      </c>
      <c r="AH2636" s="1" t="s">
        <v>23545</v>
      </c>
      <c r="AK2636" s="1">
        <v>9.0</v>
      </c>
      <c r="AL2636" s="1">
        <v>3.0</v>
      </c>
      <c r="AM2636" s="1">
        <v>3.0</v>
      </c>
      <c r="AN2636" s="1">
        <v>1.0</v>
      </c>
      <c r="AO2636" s="1" t="s">
        <v>198</v>
      </c>
      <c r="AP2636" s="1">
        <v>1.0</v>
      </c>
      <c r="AQ2636" s="1" t="s">
        <v>198</v>
      </c>
      <c r="AR2636" s="1" t="s">
        <v>192</v>
      </c>
      <c r="AS2636" s="1" t="s">
        <v>199</v>
      </c>
      <c r="AT2636" s="1">
        <v>2.0</v>
      </c>
      <c r="AV2636" s="1" t="s">
        <v>200</v>
      </c>
      <c r="AW2636" s="1">
        <v>5202.0</v>
      </c>
      <c r="AX2636" s="1">
        <v>2013.0</v>
      </c>
      <c r="AY2636" s="1" t="s">
        <v>229</v>
      </c>
      <c r="AZ2636" s="1" t="s">
        <v>200</v>
      </c>
      <c r="BA2636" s="1" t="str">
        <f>"13222230240000"</f>
        <v>13222230240000</v>
      </c>
      <c r="BB2636" s="1" t="s">
        <v>200</v>
      </c>
      <c r="BC2636" s="1">
        <v>3400.0</v>
      </c>
      <c r="BD2636" s="1">
        <v>740000.0</v>
      </c>
      <c r="BE2636" s="2">
        <v>42034.0</v>
      </c>
      <c r="BH2636" s="1">
        <v>0.0</v>
      </c>
      <c r="BK2636" s="1" t="s">
        <v>204</v>
      </c>
      <c r="BL2636" s="1" t="str">
        <f>"3700"</f>
        <v>3700</v>
      </c>
      <c r="BM2636" s="1" t="str">
        <f t="shared" si="1722"/>
        <v>0</v>
      </c>
      <c r="BN2636" s="1">
        <v>4100.0</v>
      </c>
      <c r="BO2636" s="1">
        <v>0.0</v>
      </c>
      <c r="BQ2636" s="1">
        <v>299.0</v>
      </c>
      <c r="BR2636" s="1">
        <v>299.0</v>
      </c>
      <c r="BS2636" s="1">
        <v>299.0</v>
      </c>
      <c r="BU2636" s="1" t="s">
        <v>854</v>
      </c>
      <c r="BV2636" s="1" t="s">
        <v>206</v>
      </c>
      <c r="BW2636" s="1" t="s">
        <v>207</v>
      </c>
      <c r="BX2636" s="1" t="s">
        <v>229</v>
      </c>
      <c r="BY2636" s="1" t="s">
        <v>515</v>
      </c>
      <c r="BZ2636" s="1" t="s">
        <v>209</v>
      </c>
      <c r="CA2636" s="1" t="s">
        <v>207</v>
      </c>
      <c r="CB2636" s="1" t="s">
        <v>229</v>
      </c>
      <c r="CC2636" s="1" t="s">
        <v>758</v>
      </c>
      <c r="CD2636" s="1" t="s">
        <v>206</v>
      </c>
      <c r="CE2636" s="1" t="s">
        <v>207</v>
      </c>
      <c r="CF2636" s="1" t="s">
        <v>229</v>
      </c>
      <c r="CG2636" s="1" t="s">
        <v>584</v>
      </c>
      <c r="CH2636" s="1" t="s">
        <v>209</v>
      </c>
      <c r="CI2636" s="1" t="s">
        <v>207</v>
      </c>
      <c r="CJ2636" s="1" t="s">
        <v>229</v>
      </c>
      <c r="CK2636" s="1" t="s">
        <v>329</v>
      </c>
      <c r="CL2636" s="1" t="s">
        <v>209</v>
      </c>
      <c r="CM2636" s="1" t="s">
        <v>207</v>
      </c>
      <c r="CN2636" s="1" t="s">
        <v>229</v>
      </c>
      <c r="CO2636" s="1" t="s">
        <v>264</v>
      </c>
      <c r="CP2636" s="1" t="s">
        <v>42</v>
      </c>
      <c r="CQ2636" s="1" t="s">
        <v>210</v>
      </c>
      <c r="CR2636" s="1" t="s">
        <v>229</v>
      </c>
      <c r="CS2636" s="1" t="s">
        <v>647</v>
      </c>
      <c r="CT2636" s="1" t="s">
        <v>206</v>
      </c>
      <c r="CU2636" s="1" t="s">
        <v>207</v>
      </c>
      <c r="CV2636" s="1" t="s">
        <v>229</v>
      </c>
      <c r="CW2636" s="1" t="s">
        <v>2749</v>
      </c>
      <c r="CX2636" s="1" t="s">
        <v>206</v>
      </c>
      <c r="CY2636" s="1" t="s">
        <v>207</v>
      </c>
      <c r="CZ2636" s="1" t="s">
        <v>229</v>
      </c>
      <c r="DA2636" s="1" t="s">
        <v>200</v>
      </c>
      <c r="DC2636" s="1" t="s">
        <v>545</v>
      </c>
      <c r="DD2636" s="1" t="s">
        <v>1976</v>
      </c>
      <c r="DE2636" s="1" t="s">
        <v>3750</v>
      </c>
      <c r="DF2636" s="1" t="s">
        <v>2328</v>
      </c>
      <c r="DG2636" s="1" t="s">
        <v>12862</v>
      </c>
      <c r="DH2636" s="1" t="s">
        <v>307</v>
      </c>
      <c r="DI2636" s="1" t="s">
        <v>519</v>
      </c>
      <c r="DJ2636" s="1" t="s">
        <v>1048</v>
      </c>
      <c r="DK2636" s="1" t="s">
        <v>198</v>
      </c>
      <c r="DL2636" s="1" t="s">
        <v>224</v>
      </c>
      <c r="DM2636" s="1" t="s">
        <v>1143</v>
      </c>
      <c r="DN2636" s="1" t="s">
        <v>399</v>
      </c>
      <c r="DO2636" s="1" t="s">
        <v>549</v>
      </c>
      <c r="DP2636" s="1" t="s">
        <v>10274</v>
      </c>
      <c r="DQ2636" s="1" t="s">
        <v>794</v>
      </c>
      <c r="DR2636" s="1" t="s">
        <v>229</v>
      </c>
      <c r="DS2636" s="1" t="s">
        <v>591</v>
      </c>
      <c r="DU2636" s="1" t="s">
        <v>20846</v>
      </c>
      <c r="DV2636" s="1" t="s">
        <v>450</v>
      </c>
      <c r="DW2636" s="1" t="s">
        <v>667</v>
      </c>
      <c r="DX2636" s="1" t="s">
        <v>234</v>
      </c>
      <c r="DY2636" s="1" t="s">
        <v>5886</v>
      </c>
      <c r="DZ2636" s="1" t="s">
        <v>5994</v>
      </c>
      <c r="EA2636" s="1" t="s">
        <v>3577</v>
      </c>
      <c r="EB2636" s="1" t="s">
        <v>492</v>
      </c>
      <c r="EC2636" s="1" t="s">
        <v>237</v>
      </c>
      <c r="ED2636" s="1" t="s">
        <v>555</v>
      </c>
      <c r="EG2636" s="1" t="s">
        <v>450</v>
      </c>
      <c r="EL2636" s="1" t="s">
        <v>758</v>
      </c>
      <c r="EM2636" s="1" t="s">
        <v>42</v>
      </c>
      <c r="EN2636" s="1" t="s">
        <v>210</v>
      </c>
      <c r="EO2636" s="1" t="s">
        <v>229</v>
      </c>
      <c r="EQ2636" s="1" t="s">
        <v>238</v>
      </c>
      <c r="EU2636" s="1" t="s">
        <v>238</v>
      </c>
      <c r="EY2636" s="1" t="s">
        <v>238</v>
      </c>
      <c r="FC2636" s="1" t="s">
        <v>238</v>
      </c>
      <c r="FF2636" s="1" t="s">
        <v>239</v>
      </c>
      <c r="FG2636" s="1" t="s">
        <v>192</v>
      </c>
      <c r="FH2636" s="1" t="s">
        <v>192</v>
      </c>
      <c r="FJ2636" s="1" t="s">
        <v>561</v>
      </c>
      <c r="FK2636" s="1" t="s">
        <v>229</v>
      </c>
      <c r="FL2636" s="1" t="s">
        <v>20819</v>
      </c>
      <c r="FM2636" s="1">
        <v>10793.0</v>
      </c>
      <c r="FN2636" s="1" t="s">
        <v>20820</v>
      </c>
      <c r="FO2636" s="1" t="s">
        <v>20821</v>
      </c>
      <c r="FP2636" s="1">
        <v>107595.0</v>
      </c>
      <c r="FQ2636" s="1" t="s">
        <v>20822</v>
      </c>
      <c r="FU2636" s="1" t="s">
        <v>23546</v>
      </c>
      <c r="FV2636" s="1" t="s">
        <v>192</v>
      </c>
      <c r="FW2636" s="1" t="s">
        <v>290</v>
      </c>
      <c r="FX2636" s="1" t="s">
        <v>246</v>
      </c>
      <c r="FZ2636" s="1" t="s">
        <v>229</v>
      </c>
      <c r="GA2636" s="1" t="s">
        <v>291</v>
      </c>
      <c r="GB2636" s="2">
        <v>42097.0</v>
      </c>
    </row>
    <row r="2637">
      <c r="A2637" s="1">
        <v>195000.0</v>
      </c>
      <c r="B2637" s="1" t="s">
        <v>185</v>
      </c>
      <c r="C2637" s="1" t="str">
        <f>"08828201"</f>
        <v>08828201</v>
      </c>
      <c r="D2637" s="1" t="s">
        <v>186</v>
      </c>
      <c r="F2637" s="1" t="str">
        <f>"545"</f>
        <v>545</v>
      </c>
      <c r="G2637" s="2">
        <v>42035.0</v>
      </c>
      <c r="H2637" s="1">
        <v>209900.0</v>
      </c>
      <c r="I2637" s="1">
        <v>46.0</v>
      </c>
      <c r="J2637" s="1">
        <v>205000.0</v>
      </c>
      <c r="K2637" s="2">
        <v>42080.0</v>
      </c>
      <c r="L2637" s="1">
        <v>46.0</v>
      </c>
      <c r="M2637" s="2">
        <v>42080.0</v>
      </c>
      <c r="N2637" s="1" t="s">
        <v>356</v>
      </c>
      <c r="O2637" s="2">
        <v>42123.0</v>
      </c>
      <c r="P2637" s="1">
        <v>234466.0</v>
      </c>
      <c r="Q2637" s="1">
        <v>25178.0</v>
      </c>
      <c r="S2637" s="1">
        <v>418.0</v>
      </c>
      <c r="T2637" s="1" t="s">
        <v>15225</v>
      </c>
      <c r="U2637" s="1" t="s">
        <v>1174</v>
      </c>
      <c r="V2637" s="1" t="s">
        <v>3364</v>
      </c>
      <c r="W2637" s="1">
        <v>60545.0</v>
      </c>
      <c r="Y2637" s="1" t="s">
        <v>23547</v>
      </c>
      <c r="Z2637" s="1">
        <v>2006.0</v>
      </c>
      <c r="AA2637" s="1" t="s">
        <v>200</v>
      </c>
      <c r="AB2637" s="1" t="s">
        <v>193</v>
      </c>
      <c r="AC2637" s="1" t="s">
        <v>23548</v>
      </c>
      <c r="AD2637" s="1" t="s">
        <v>3366</v>
      </c>
      <c r="AE2637" s="1" t="s">
        <v>849</v>
      </c>
      <c r="AF2637" s="1" t="s">
        <v>3367</v>
      </c>
      <c r="AG2637" s="1" t="s">
        <v>22450</v>
      </c>
      <c r="AH2637" s="1" t="s">
        <v>23549</v>
      </c>
      <c r="AI2637" s="1">
        <v>0.0</v>
      </c>
      <c r="AK2637" s="1">
        <v>9.0</v>
      </c>
      <c r="AL2637" s="1">
        <v>4.0</v>
      </c>
      <c r="AM2637" s="1">
        <v>2.0</v>
      </c>
      <c r="AN2637" s="1">
        <v>1.0</v>
      </c>
      <c r="AO2637" s="1" t="s">
        <v>198</v>
      </c>
      <c r="AP2637" s="1">
        <v>1.0</v>
      </c>
      <c r="AQ2637" s="1" t="s">
        <v>198</v>
      </c>
      <c r="AR2637" s="1" t="s">
        <v>200</v>
      </c>
      <c r="AS2637" s="1" t="s">
        <v>199</v>
      </c>
      <c r="AT2637" s="1">
        <v>2.0</v>
      </c>
      <c r="AV2637" s="1" t="s">
        <v>200</v>
      </c>
      <c r="AW2637" s="4">
        <v>7142.4</v>
      </c>
      <c r="AX2637" s="1">
        <v>2013.0</v>
      </c>
      <c r="AY2637" s="1" t="s">
        <v>387</v>
      </c>
      <c r="AZ2637" s="1" t="s">
        <v>200</v>
      </c>
      <c r="BA2637" s="1" t="str">
        <f>"0122106006"</f>
        <v>0122106006</v>
      </c>
      <c r="BC2637" s="1">
        <v>2722.0</v>
      </c>
      <c r="BD2637" s="1">
        <v>195000.0</v>
      </c>
      <c r="BE2637" s="2">
        <v>42035.0</v>
      </c>
      <c r="BF2637" s="2" t="s">
        <v>23550</v>
      </c>
      <c r="BH2637" s="1">
        <v>0.0</v>
      </c>
      <c r="BK2637" s="1" t="s">
        <v>204</v>
      </c>
      <c r="BL2637" s="1" t="str">
        <f t="shared" ref="BL2637:BM2637" si="1723">"0"</f>
        <v>0</v>
      </c>
      <c r="BM2637" s="1" t="str">
        <f t="shared" si="1723"/>
        <v>0</v>
      </c>
      <c r="BN2637" s="1">
        <v>47.0</v>
      </c>
      <c r="BO2637" s="1">
        <v>13.0</v>
      </c>
      <c r="BQ2637" s="1">
        <v>88.0</v>
      </c>
      <c r="BR2637" s="1">
        <v>88.0</v>
      </c>
      <c r="BS2637" s="1">
        <v>88.0</v>
      </c>
      <c r="BU2637" s="1" t="s">
        <v>2713</v>
      </c>
      <c r="BV2637" s="1" t="s">
        <v>206</v>
      </c>
      <c r="BW2637" s="1" t="s">
        <v>210</v>
      </c>
      <c r="BY2637" s="1" t="s">
        <v>677</v>
      </c>
      <c r="BZ2637" s="1" t="s">
        <v>209</v>
      </c>
      <c r="CA2637" s="1" t="s">
        <v>210</v>
      </c>
      <c r="CC2637" s="1" t="s">
        <v>584</v>
      </c>
      <c r="CD2637" s="1" t="s">
        <v>206</v>
      </c>
      <c r="CE2637" s="1" t="s">
        <v>207</v>
      </c>
      <c r="CG2637" s="1" t="s">
        <v>495</v>
      </c>
      <c r="CH2637" s="1" t="s">
        <v>209</v>
      </c>
      <c r="CI2637" s="1" t="s">
        <v>210</v>
      </c>
      <c r="CK2637" s="1" t="s">
        <v>647</v>
      </c>
      <c r="CL2637" s="1" t="s">
        <v>209</v>
      </c>
      <c r="CM2637" s="1" t="s">
        <v>210</v>
      </c>
      <c r="CO2637" s="1" t="s">
        <v>363</v>
      </c>
      <c r="CP2637" s="1" t="s">
        <v>209</v>
      </c>
      <c r="CQ2637" s="1" t="s">
        <v>210</v>
      </c>
      <c r="CS2637" s="1" t="s">
        <v>1417</v>
      </c>
      <c r="CT2637" s="1" t="s">
        <v>206</v>
      </c>
      <c r="CU2637" s="1" t="s">
        <v>207</v>
      </c>
      <c r="CW2637" s="1" t="s">
        <v>1000</v>
      </c>
      <c r="CX2637" s="1" t="s">
        <v>206</v>
      </c>
      <c r="CY2637" s="1" t="s">
        <v>207</v>
      </c>
      <c r="DA2637" s="1" t="s">
        <v>200</v>
      </c>
      <c r="DC2637" s="1" t="s">
        <v>481</v>
      </c>
      <c r="DD2637" s="1" t="s">
        <v>926</v>
      </c>
      <c r="DE2637" s="1" t="s">
        <v>273</v>
      </c>
      <c r="DF2637" s="1" t="s">
        <v>219</v>
      </c>
      <c r="DG2637" s="1" t="s">
        <v>337</v>
      </c>
      <c r="DH2637" s="1" t="s">
        <v>220</v>
      </c>
      <c r="DI2637" s="1" t="s">
        <v>366</v>
      </c>
      <c r="DJ2637" s="1" t="s">
        <v>222</v>
      </c>
      <c r="DL2637" s="1" t="s">
        <v>223</v>
      </c>
      <c r="DM2637" s="1" t="s">
        <v>229</v>
      </c>
      <c r="DN2637" s="1" t="s">
        <v>399</v>
      </c>
      <c r="DP2637" s="1" t="s">
        <v>340</v>
      </c>
      <c r="DQ2637" s="1" t="s">
        <v>228</v>
      </c>
      <c r="DR2637" s="1" t="s">
        <v>229</v>
      </c>
      <c r="DS2637" s="1" t="s">
        <v>230</v>
      </c>
      <c r="DV2637" s="1" t="s">
        <v>449</v>
      </c>
      <c r="DW2637" s="1" t="s">
        <v>444</v>
      </c>
      <c r="DX2637" s="1" t="s">
        <v>234</v>
      </c>
      <c r="DY2637" s="1" t="s">
        <v>1936</v>
      </c>
      <c r="DZ2637" s="1" t="s">
        <v>282</v>
      </c>
      <c r="EA2637" s="1" t="s">
        <v>344</v>
      </c>
      <c r="EB2637" s="1" t="s">
        <v>937</v>
      </c>
      <c r="EC2637" s="1" t="s">
        <v>237</v>
      </c>
      <c r="ED2637" s="1" t="s">
        <v>407</v>
      </c>
      <c r="EG2637" s="1" t="s">
        <v>449</v>
      </c>
      <c r="EL2637" s="1" t="s">
        <v>1417</v>
      </c>
      <c r="EM2637" s="1" t="s">
        <v>206</v>
      </c>
      <c r="EN2637" s="1" t="s">
        <v>207</v>
      </c>
      <c r="EQ2637" s="1" t="s">
        <v>238</v>
      </c>
      <c r="EU2637" s="1" t="s">
        <v>238</v>
      </c>
      <c r="EY2637" s="1" t="s">
        <v>238</v>
      </c>
      <c r="FC2637" s="1" t="s">
        <v>238</v>
      </c>
      <c r="FF2637" s="1" t="s">
        <v>239</v>
      </c>
      <c r="FG2637" s="1" t="s">
        <v>192</v>
      </c>
      <c r="FH2637" s="1" t="s">
        <v>192</v>
      </c>
      <c r="FJ2637" s="1" t="s">
        <v>498</v>
      </c>
      <c r="FK2637" s="1" t="s">
        <v>229</v>
      </c>
      <c r="FL2637" s="1" t="s">
        <v>6918</v>
      </c>
      <c r="FM2637" s="1">
        <v>31580.0</v>
      </c>
      <c r="FN2637" s="1" t="s">
        <v>6919</v>
      </c>
      <c r="FO2637" s="1" t="s">
        <v>9139</v>
      </c>
      <c r="FP2637" s="1">
        <v>300079.0</v>
      </c>
      <c r="FS2637" s="1" t="s">
        <v>9140</v>
      </c>
      <c r="FU2637" s="1" t="s">
        <v>9141</v>
      </c>
      <c r="FV2637" s="1" t="s">
        <v>200</v>
      </c>
      <c r="FW2637" s="1" t="s">
        <v>290</v>
      </c>
      <c r="FZ2637" s="1" t="s">
        <v>229</v>
      </c>
      <c r="GA2637" s="1" t="s">
        <v>291</v>
      </c>
      <c r="GB2637" s="2">
        <v>42123.0</v>
      </c>
      <c r="GC2637" s="1" t="s">
        <v>23551</v>
      </c>
    </row>
    <row r="2638">
      <c r="A2638" s="1">
        <v>322500.0</v>
      </c>
      <c r="B2638" s="1" t="s">
        <v>185</v>
      </c>
      <c r="C2638" s="1" t="str">
        <f>"08835272"</f>
        <v>08835272</v>
      </c>
      <c r="D2638" s="1" t="s">
        <v>186</v>
      </c>
      <c r="F2638" s="1" t="str">
        <f>"8015"</f>
        <v>8015</v>
      </c>
      <c r="G2638" s="2">
        <v>42045.0</v>
      </c>
      <c r="H2638" s="1">
        <v>324900.0</v>
      </c>
      <c r="I2638" s="1">
        <v>171.0</v>
      </c>
      <c r="J2638" s="1">
        <v>324900.0</v>
      </c>
      <c r="K2638" s="2">
        <v>42047.0</v>
      </c>
      <c r="L2638" s="1">
        <v>3.0</v>
      </c>
      <c r="M2638" s="2">
        <v>42047.0</v>
      </c>
      <c r="N2638" s="1" t="s">
        <v>187</v>
      </c>
      <c r="O2638" s="2">
        <v>42093.0</v>
      </c>
      <c r="P2638" s="1">
        <v>117915.0</v>
      </c>
      <c r="Q2638" s="1">
        <v>15694.0</v>
      </c>
      <c r="S2638" s="1">
        <v>4327.0</v>
      </c>
      <c r="T2638" s="1" t="s">
        <v>9959</v>
      </c>
      <c r="U2638" s="1" t="s">
        <v>189</v>
      </c>
      <c r="V2638" s="1" t="s">
        <v>190</v>
      </c>
      <c r="W2638" s="1">
        <v>60634.0</v>
      </c>
      <c r="Y2638" s="1" t="s">
        <v>23552</v>
      </c>
      <c r="Z2638" s="1">
        <v>1928.0</v>
      </c>
      <c r="AA2638" s="1" t="s">
        <v>192</v>
      </c>
      <c r="AB2638" s="1" t="s">
        <v>193</v>
      </c>
      <c r="AD2638" s="1" t="s">
        <v>194</v>
      </c>
      <c r="AE2638" s="1" t="s">
        <v>195</v>
      </c>
      <c r="AF2638" s="1" t="s">
        <v>196</v>
      </c>
      <c r="AG2638" s="1" t="s">
        <v>778</v>
      </c>
      <c r="AH2638" s="1" t="s">
        <v>779</v>
      </c>
      <c r="AK2638" s="1">
        <v>8.0</v>
      </c>
      <c r="AL2638" s="1">
        <v>4.0</v>
      </c>
      <c r="AM2638" s="1">
        <v>2.0</v>
      </c>
      <c r="AN2638" s="1">
        <v>0.0</v>
      </c>
      <c r="AO2638" s="1" t="s">
        <v>1261</v>
      </c>
      <c r="AQ2638" s="1" t="s">
        <v>198</v>
      </c>
      <c r="AR2638" s="1" t="s">
        <v>200</v>
      </c>
      <c r="AS2638" s="1" t="s">
        <v>199</v>
      </c>
      <c r="AT2638" s="1">
        <v>2.0</v>
      </c>
      <c r="AV2638" s="1" t="s">
        <v>200</v>
      </c>
      <c r="AW2638" s="1">
        <v>3552.0</v>
      </c>
      <c r="AX2638" s="1">
        <v>2013.0</v>
      </c>
      <c r="AY2638" s="1" t="s">
        <v>387</v>
      </c>
      <c r="AZ2638" s="1" t="s">
        <v>200</v>
      </c>
      <c r="BA2638" s="1" t="str">
        <f>"13173050160000"</f>
        <v>13173050160000</v>
      </c>
      <c r="BB2638" s="1" t="s">
        <v>200</v>
      </c>
      <c r="BC2638" s="1">
        <v>1700.0</v>
      </c>
      <c r="BD2638" s="1">
        <v>322500.0</v>
      </c>
      <c r="BE2638" s="2">
        <v>42045.0</v>
      </c>
      <c r="BF2638" s="2" t="s">
        <v>23553</v>
      </c>
      <c r="BG2638" s="1" t="s">
        <v>202</v>
      </c>
      <c r="BH2638" s="1">
        <v>0.0</v>
      </c>
      <c r="BI2638" s="1" t="s">
        <v>202</v>
      </c>
      <c r="BJ2638" s="1" t="s">
        <v>1222</v>
      </c>
      <c r="BK2638" s="1" t="s">
        <v>204</v>
      </c>
      <c r="BL2638" s="1" t="str">
        <f>"4327"</f>
        <v>4327</v>
      </c>
      <c r="BM2638" s="1" t="str">
        <f t="shared" ref="BM2638:BM2639" si="1724">"0"</f>
        <v>0</v>
      </c>
      <c r="BN2638" s="1">
        <v>6100.0</v>
      </c>
      <c r="BO2638" s="1">
        <v>0.0</v>
      </c>
      <c r="BQ2638" s="1">
        <v>299.0</v>
      </c>
      <c r="BR2638" s="1">
        <v>299.0</v>
      </c>
      <c r="BS2638" s="1">
        <v>299.0</v>
      </c>
      <c r="BU2638" s="1" t="s">
        <v>362</v>
      </c>
      <c r="BV2638" s="1" t="s">
        <v>206</v>
      </c>
      <c r="BW2638" s="1" t="s">
        <v>207</v>
      </c>
      <c r="BY2638" s="1" t="s">
        <v>3375</v>
      </c>
      <c r="BZ2638" s="1" t="s">
        <v>209</v>
      </c>
      <c r="CA2638" s="1" t="s">
        <v>207</v>
      </c>
      <c r="CC2638" s="1" t="s">
        <v>329</v>
      </c>
      <c r="CD2638" s="1" t="s">
        <v>206</v>
      </c>
      <c r="CE2638" s="1" t="s">
        <v>207</v>
      </c>
      <c r="CF2638" s="1" t="s">
        <v>229</v>
      </c>
      <c r="CG2638" s="1" t="s">
        <v>454</v>
      </c>
      <c r="CH2638" s="1" t="s">
        <v>209</v>
      </c>
      <c r="CI2638" s="1" t="s">
        <v>207</v>
      </c>
      <c r="CJ2638" s="1" t="s">
        <v>229</v>
      </c>
      <c r="CK2638" s="1" t="s">
        <v>495</v>
      </c>
      <c r="CL2638" s="1" t="s">
        <v>206</v>
      </c>
      <c r="CM2638" s="1" t="s">
        <v>207</v>
      </c>
      <c r="CO2638" s="1" t="s">
        <v>263</v>
      </c>
      <c r="CP2638" s="1" t="s">
        <v>206</v>
      </c>
      <c r="CQ2638" s="1" t="s">
        <v>207</v>
      </c>
      <c r="CS2638" s="1" t="s">
        <v>262</v>
      </c>
      <c r="CT2638" s="1" t="s">
        <v>206</v>
      </c>
      <c r="CU2638" s="1" t="s">
        <v>207</v>
      </c>
      <c r="CX2638" s="1" t="s">
        <v>204</v>
      </c>
      <c r="DA2638" s="1" t="s">
        <v>200</v>
      </c>
      <c r="DC2638" s="1" t="s">
        <v>785</v>
      </c>
      <c r="DD2638" s="1" t="s">
        <v>2094</v>
      </c>
      <c r="DE2638" s="1" t="s">
        <v>23554</v>
      </c>
      <c r="DF2638" s="1" t="s">
        <v>23555</v>
      </c>
      <c r="DG2638" s="1" t="s">
        <v>3175</v>
      </c>
      <c r="DH2638" s="1" t="s">
        <v>365</v>
      </c>
      <c r="DI2638" s="1" t="s">
        <v>1223</v>
      </c>
      <c r="DJ2638" s="1" t="s">
        <v>222</v>
      </c>
      <c r="DL2638" s="1" t="s">
        <v>223</v>
      </c>
      <c r="DM2638" s="1" t="s">
        <v>229</v>
      </c>
      <c r="DO2638" s="1" t="s">
        <v>549</v>
      </c>
      <c r="DP2638" s="1" t="s">
        <v>340</v>
      </c>
      <c r="DQ2638" s="1" t="s">
        <v>794</v>
      </c>
      <c r="DR2638" s="1" t="s">
        <v>229</v>
      </c>
      <c r="DS2638" s="1" t="s">
        <v>230</v>
      </c>
      <c r="DV2638" s="1" t="s">
        <v>23556</v>
      </c>
      <c r="DW2638" s="1" t="s">
        <v>279</v>
      </c>
      <c r="DX2638" s="1" t="s">
        <v>234</v>
      </c>
      <c r="DY2638" s="1" t="s">
        <v>704</v>
      </c>
      <c r="DZ2638" s="1" t="s">
        <v>1100</v>
      </c>
      <c r="EA2638" s="1" t="s">
        <v>644</v>
      </c>
      <c r="EC2638" s="1" t="s">
        <v>645</v>
      </c>
      <c r="ED2638" s="1" t="s">
        <v>407</v>
      </c>
      <c r="EE2638" s="1" t="s">
        <v>493</v>
      </c>
      <c r="EG2638" s="1" t="s">
        <v>310</v>
      </c>
      <c r="EH2638" s="1" t="s">
        <v>450</v>
      </c>
      <c r="EI2638" s="1" t="s">
        <v>408</v>
      </c>
      <c r="EJ2638" s="1" t="s">
        <v>2877</v>
      </c>
      <c r="EL2638" s="1" t="s">
        <v>904</v>
      </c>
      <c r="EM2638" s="1" t="s">
        <v>206</v>
      </c>
      <c r="EP2638" s="1" t="s">
        <v>2059</v>
      </c>
      <c r="EQ2638" s="1" t="s">
        <v>42</v>
      </c>
      <c r="ET2638" s="1" t="s">
        <v>2394</v>
      </c>
      <c r="EU2638" s="1" t="s">
        <v>206</v>
      </c>
      <c r="EX2638" s="1" t="s">
        <v>8478</v>
      </c>
      <c r="EY2638" s="1" t="s">
        <v>206</v>
      </c>
      <c r="FC2638" s="1" t="s">
        <v>238</v>
      </c>
      <c r="FF2638" s="1" t="s">
        <v>239</v>
      </c>
      <c r="FG2638" s="1" t="s">
        <v>192</v>
      </c>
      <c r="FH2638" s="1" t="s">
        <v>192</v>
      </c>
      <c r="FJ2638" s="1" t="s">
        <v>498</v>
      </c>
      <c r="FK2638" s="1" t="s">
        <v>229</v>
      </c>
      <c r="FL2638" s="1" t="s">
        <v>7864</v>
      </c>
      <c r="FM2638" s="1">
        <v>85100.0</v>
      </c>
      <c r="FN2638" s="1" t="s">
        <v>7865</v>
      </c>
      <c r="FO2638" s="1" t="s">
        <v>23557</v>
      </c>
      <c r="FP2638" s="1">
        <v>141348.0</v>
      </c>
      <c r="FQ2638" s="1" t="s">
        <v>23558</v>
      </c>
      <c r="FU2638" s="1" t="s">
        <v>23559</v>
      </c>
      <c r="FV2638" s="1" t="s">
        <v>200</v>
      </c>
      <c r="FW2638" s="1" t="s">
        <v>530</v>
      </c>
      <c r="FX2638" s="1" t="s">
        <v>238</v>
      </c>
      <c r="FZ2638" s="1" t="s">
        <v>229</v>
      </c>
      <c r="GA2638" s="1" t="s">
        <v>291</v>
      </c>
      <c r="GB2638" s="2">
        <v>42094.0</v>
      </c>
      <c r="GC2638" s="1" t="s">
        <v>23560</v>
      </c>
    </row>
    <row r="2639">
      <c r="A2639" s="1">
        <v>348000.0</v>
      </c>
      <c r="B2639" s="1" t="s">
        <v>185</v>
      </c>
      <c r="C2639" s="1" t="str">
        <f>"08830802"</f>
        <v>08830802</v>
      </c>
      <c r="D2639" s="1" t="s">
        <v>186</v>
      </c>
      <c r="F2639" s="1" t="str">
        <f>"8011"</f>
        <v>8011</v>
      </c>
      <c r="G2639" s="2">
        <v>42039.0</v>
      </c>
      <c r="H2639" s="1">
        <v>359900.0</v>
      </c>
      <c r="I2639" s="1">
        <v>63.0</v>
      </c>
      <c r="J2639" s="1">
        <v>359900.0</v>
      </c>
      <c r="K2639" s="2">
        <v>42101.0</v>
      </c>
      <c r="L2639" s="1">
        <v>63.0</v>
      </c>
      <c r="M2639" s="2">
        <v>42101.0</v>
      </c>
      <c r="N2639" s="1" t="s">
        <v>187</v>
      </c>
      <c r="O2639" s="2">
        <v>42146.0</v>
      </c>
      <c r="P2639" s="1">
        <v>185667.0</v>
      </c>
      <c r="Q2639" s="1">
        <v>84180.0</v>
      </c>
      <c r="S2639" s="1">
        <v>5849.0</v>
      </c>
      <c r="T2639" s="1" t="s">
        <v>10575</v>
      </c>
      <c r="U2639" s="1" t="s">
        <v>189</v>
      </c>
      <c r="V2639" s="1" t="s">
        <v>190</v>
      </c>
      <c r="W2639" s="1">
        <v>60646.0</v>
      </c>
      <c r="Y2639" s="1" t="s">
        <v>23561</v>
      </c>
      <c r="Z2639" s="1" t="s">
        <v>296</v>
      </c>
      <c r="AA2639" s="1" t="s">
        <v>192</v>
      </c>
      <c r="AB2639" s="1" t="s">
        <v>193</v>
      </c>
      <c r="AD2639" s="1" t="s">
        <v>194</v>
      </c>
      <c r="AE2639" s="1" t="s">
        <v>195</v>
      </c>
      <c r="AF2639" s="1" t="s">
        <v>196</v>
      </c>
      <c r="AH2639" s="1" t="s">
        <v>1501</v>
      </c>
      <c r="AK2639" s="1">
        <v>8.0</v>
      </c>
      <c r="AL2639" s="1">
        <v>4.0</v>
      </c>
      <c r="AM2639" s="1">
        <v>2.0</v>
      </c>
      <c r="AN2639" s="1">
        <v>0.0</v>
      </c>
      <c r="AO2639" s="1" t="s">
        <v>229</v>
      </c>
      <c r="AQ2639" s="1" t="s">
        <v>198</v>
      </c>
      <c r="AR2639" s="1" t="s">
        <v>200</v>
      </c>
      <c r="AS2639" s="1" t="s">
        <v>199</v>
      </c>
      <c r="AT2639" s="1">
        <v>2.0</v>
      </c>
      <c r="AV2639" s="1" t="s">
        <v>200</v>
      </c>
      <c r="AW2639" s="1">
        <v>6780.59</v>
      </c>
      <c r="AX2639" s="1">
        <v>2013.0</v>
      </c>
      <c r="AY2639" s="1" t="s">
        <v>387</v>
      </c>
      <c r="AZ2639" s="1" t="s">
        <v>200</v>
      </c>
      <c r="BA2639" s="1" t="str">
        <f>"13054080040000"</f>
        <v>13054080040000</v>
      </c>
      <c r="BB2639" s="1" t="s">
        <v>200</v>
      </c>
      <c r="BC2639" s="1">
        <v>2400.0</v>
      </c>
      <c r="BD2639" s="1">
        <v>348000.0</v>
      </c>
      <c r="BE2639" s="2">
        <v>42039.0</v>
      </c>
      <c r="BF2639" s="2" t="s">
        <v>23562</v>
      </c>
      <c r="BG2639" s="1" t="s">
        <v>8269</v>
      </c>
      <c r="BH2639" s="1">
        <v>0.0</v>
      </c>
      <c r="BK2639" s="1" t="s">
        <v>204</v>
      </c>
      <c r="BL2639" s="1" t="str">
        <f>"5849"</f>
        <v>5849</v>
      </c>
      <c r="BM2639" s="1" t="str">
        <f t="shared" si="1724"/>
        <v>0</v>
      </c>
      <c r="BN2639" s="1">
        <v>6000.0</v>
      </c>
      <c r="BO2639" s="1">
        <v>0.0</v>
      </c>
      <c r="BQ2639" s="1">
        <v>299.0</v>
      </c>
      <c r="BR2639" s="1">
        <v>299.0</v>
      </c>
      <c r="BS2639" s="1">
        <v>299.0</v>
      </c>
      <c r="BU2639" s="1" t="s">
        <v>262</v>
      </c>
      <c r="BV2639" s="1" t="s">
        <v>206</v>
      </c>
      <c r="BW2639" s="1" t="s">
        <v>207</v>
      </c>
      <c r="BX2639" s="1" t="s">
        <v>431</v>
      </c>
      <c r="BY2639" s="1" t="s">
        <v>515</v>
      </c>
      <c r="BZ2639" s="1" t="s">
        <v>209</v>
      </c>
      <c r="CA2639" s="1" t="s">
        <v>210</v>
      </c>
      <c r="CB2639" s="1" t="s">
        <v>431</v>
      </c>
      <c r="CC2639" s="1" t="s">
        <v>331</v>
      </c>
      <c r="CD2639" s="1" t="s">
        <v>206</v>
      </c>
      <c r="CE2639" s="1" t="s">
        <v>207</v>
      </c>
      <c r="CF2639" s="1" t="s">
        <v>431</v>
      </c>
      <c r="CG2639" s="1" t="s">
        <v>265</v>
      </c>
      <c r="CH2639" s="1" t="s">
        <v>206</v>
      </c>
      <c r="CI2639" s="1" t="s">
        <v>207</v>
      </c>
      <c r="CJ2639" s="1" t="s">
        <v>229</v>
      </c>
      <c r="CK2639" s="1" t="s">
        <v>543</v>
      </c>
      <c r="CL2639" s="1" t="s">
        <v>206</v>
      </c>
      <c r="CM2639" s="1" t="s">
        <v>207</v>
      </c>
      <c r="CN2639" s="1" t="s">
        <v>431</v>
      </c>
      <c r="CO2639" s="1" t="s">
        <v>211</v>
      </c>
      <c r="CP2639" s="1" t="s">
        <v>209</v>
      </c>
      <c r="CQ2639" s="1" t="s">
        <v>210</v>
      </c>
      <c r="CR2639" s="1" t="s">
        <v>431</v>
      </c>
      <c r="CS2639" s="1" t="s">
        <v>452</v>
      </c>
      <c r="CT2639" s="1" t="s">
        <v>206</v>
      </c>
      <c r="CU2639" s="1" t="s">
        <v>1136</v>
      </c>
      <c r="CV2639" s="1" t="s">
        <v>229</v>
      </c>
      <c r="CW2639" s="1" t="s">
        <v>2181</v>
      </c>
      <c r="CX2639" s="1" t="s">
        <v>209</v>
      </c>
      <c r="CY2639" s="1" t="s">
        <v>210</v>
      </c>
      <c r="CZ2639" s="1" t="s">
        <v>431</v>
      </c>
      <c r="DA2639" s="1" t="s">
        <v>200</v>
      </c>
      <c r="DC2639" s="1" t="s">
        <v>517</v>
      </c>
      <c r="DD2639" s="1" t="s">
        <v>7204</v>
      </c>
      <c r="DE2639" s="1" t="s">
        <v>273</v>
      </c>
      <c r="DF2639" s="1" t="s">
        <v>23563</v>
      </c>
      <c r="DG2639" s="1" t="s">
        <v>9249</v>
      </c>
      <c r="DH2639" s="1" t="s">
        <v>365</v>
      </c>
      <c r="DI2639" s="1" t="s">
        <v>519</v>
      </c>
      <c r="DJ2639" s="1" t="s">
        <v>222</v>
      </c>
      <c r="DL2639" s="1" t="s">
        <v>791</v>
      </c>
      <c r="DM2639" s="1" t="s">
        <v>229</v>
      </c>
      <c r="DO2639" s="1" t="s">
        <v>549</v>
      </c>
      <c r="DP2639" s="1" t="s">
        <v>340</v>
      </c>
      <c r="DQ2639" s="1" t="s">
        <v>228</v>
      </c>
      <c r="DR2639" s="1" t="s">
        <v>229</v>
      </c>
      <c r="DS2639" s="1" t="s">
        <v>230</v>
      </c>
      <c r="DV2639" s="1" t="s">
        <v>10911</v>
      </c>
      <c r="DW2639" s="1" t="s">
        <v>934</v>
      </c>
      <c r="DX2639" s="1" t="s">
        <v>234</v>
      </c>
      <c r="DZ2639" s="1" t="s">
        <v>343</v>
      </c>
      <c r="EC2639" s="1" t="s">
        <v>237</v>
      </c>
      <c r="ED2639" s="1" t="s">
        <v>407</v>
      </c>
      <c r="EE2639" s="1" t="s">
        <v>493</v>
      </c>
      <c r="EG2639" s="1" t="s">
        <v>588</v>
      </c>
      <c r="EH2639" s="1" t="s">
        <v>374</v>
      </c>
      <c r="EL2639" s="1" t="s">
        <v>19944</v>
      </c>
      <c r="EM2639" s="1" t="s">
        <v>42</v>
      </c>
      <c r="EN2639" s="1" t="s">
        <v>588</v>
      </c>
      <c r="EO2639" s="1" t="s">
        <v>229</v>
      </c>
      <c r="EP2639" s="1" t="s">
        <v>4298</v>
      </c>
      <c r="EQ2639" s="1" t="s">
        <v>206</v>
      </c>
      <c r="ER2639" s="1" t="s">
        <v>268</v>
      </c>
      <c r="ES2639" s="1" t="s">
        <v>431</v>
      </c>
      <c r="EU2639" s="1" t="s">
        <v>238</v>
      </c>
      <c r="EY2639" s="1" t="s">
        <v>238</v>
      </c>
      <c r="FC2639" s="1" t="s">
        <v>238</v>
      </c>
      <c r="FF2639" s="1" t="s">
        <v>239</v>
      </c>
      <c r="FG2639" s="1" t="s">
        <v>192</v>
      </c>
      <c r="FH2639" s="1" t="s">
        <v>192</v>
      </c>
      <c r="FJ2639" s="1" t="s">
        <v>412</v>
      </c>
      <c r="FK2639" s="1" t="s">
        <v>229</v>
      </c>
      <c r="FL2639" s="1" t="s">
        <v>8019</v>
      </c>
      <c r="FM2639" s="1">
        <v>14541.0</v>
      </c>
      <c r="FN2639" s="1" t="s">
        <v>8020</v>
      </c>
      <c r="FO2639" s="1" t="s">
        <v>8021</v>
      </c>
      <c r="FP2639" s="1">
        <v>104662.0</v>
      </c>
      <c r="FQ2639" s="1" t="s">
        <v>8022</v>
      </c>
      <c r="FU2639" s="1" t="s">
        <v>23564</v>
      </c>
      <c r="FV2639" s="1" t="s">
        <v>200</v>
      </c>
      <c r="FW2639" s="1" t="s">
        <v>290</v>
      </c>
      <c r="FX2639" s="1" t="s">
        <v>238</v>
      </c>
      <c r="FZ2639" s="1" t="s">
        <v>229</v>
      </c>
      <c r="GA2639" s="1" t="s">
        <v>291</v>
      </c>
      <c r="GB2639" s="2">
        <v>42147.0</v>
      </c>
      <c r="GC2639" s="1" t="s">
        <v>23565</v>
      </c>
    </row>
    <row r="2640">
      <c r="A2640" s="1">
        <v>117000.0</v>
      </c>
      <c r="B2640" s="1" t="s">
        <v>185</v>
      </c>
      <c r="C2640" s="1" t="str">
        <f>"08827367"</f>
        <v>08827367</v>
      </c>
      <c r="D2640" s="1" t="s">
        <v>186</v>
      </c>
      <c r="F2640" s="1" t="str">
        <f>"178"</f>
        <v>178</v>
      </c>
      <c r="G2640" s="2">
        <v>42034.0</v>
      </c>
      <c r="H2640" s="1">
        <v>120000.0</v>
      </c>
      <c r="I2640" s="1">
        <v>21.0</v>
      </c>
      <c r="J2640" s="1">
        <v>120000.0</v>
      </c>
      <c r="K2640" s="2">
        <v>42054.0</v>
      </c>
      <c r="L2640" s="1">
        <v>21.0</v>
      </c>
      <c r="M2640" s="2">
        <v>42054.0</v>
      </c>
      <c r="N2640" s="1" t="s">
        <v>187</v>
      </c>
      <c r="O2640" s="2">
        <v>42118.0</v>
      </c>
      <c r="P2640" s="1">
        <v>930102.0</v>
      </c>
      <c r="Q2640" s="1">
        <v>93043.0</v>
      </c>
      <c r="R2640" s="1">
        <v>2000.0</v>
      </c>
      <c r="S2640" s="1">
        <v>610.0</v>
      </c>
      <c r="T2640" s="1" t="s">
        <v>23566</v>
      </c>
      <c r="U2640" s="1" t="s">
        <v>320</v>
      </c>
      <c r="V2640" s="1" t="s">
        <v>994</v>
      </c>
      <c r="W2640" s="1">
        <v>60178.0</v>
      </c>
      <c r="Y2640" s="1" t="s">
        <v>23567</v>
      </c>
      <c r="Z2640" s="1" t="s">
        <v>296</v>
      </c>
      <c r="AA2640" s="1" t="s">
        <v>192</v>
      </c>
      <c r="AB2640" s="1" t="s">
        <v>193</v>
      </c>
      <c r="AD2640" s="1" t="s">
        <v>1089</v>
      </c>
      <c r="AE2640" s="1" t="s">
        <v>613</v>
      </c>
      <c r="AF2640" s="1" t="s">
        <v>997</v>
      </c>
      <c r="AH2640" s="1" t="s">
        <v>23568</v>
      </c>
      <c r="AI2640" s="1">
        <v>0.24</v>
      </c>
      <c r="AK2640" s="1">
        <v>7.0</v>
      </c>
      <c r="AL2640" s="1">
        <v>4.0</v>
      </c>
      <c r="AM2640" s="1">
        <v>2.0</v>
      </c>
      <c r="AN2640" s="1">
        <v>0.0</v>
      </c>
      <c r="AO2640" s="1" t="s">
        <v>229</v>
      </c>
      <c r="AQ2640" s="1" t="s">
        <v>229</v>
      </c>
      <c r="AR2640" s="1" t="s">
        <v>200</v>
      </c>
      <c r="AS2640" s="1" t="s">
        <v>199</v>
      </c>
      <c r="AT2640" s="1">
        <v>1.0</v>
      </c>
      <c r="AV2640" s="1" t="s">
        <v>200</v>
      </c>
      <c r="AW2640" s="1">
        <v>2736.0</v>
      </c>
      <c r="AX2640" s="1">
        <v>2013.0</v>
      </c>
      <c r="AY2640" s="1" t="s">
        <v>1179</v>
      </c>
      <c r="AZ2640" s="1" t="s">
        <v>200</v>
      </c>
      <c r="BA2640" s="1" t="str">
        <f>"0629127016"</f>
        <v>0629127016</v>
      </c>
      <c r="BB2640" s="1" t="s">
        <v>200</v>
      </c>
      <c r="BC2640" s="1">
        <v>2064.0</v>
      </c>
      <c r="BD2640" s="1">
        <v>117000.0</v>
      </c>
      <c r="BE2640" s="2">
        <v>42034.0</v>
      </c>
      <c r="BF2640" s="2" t="s">
        <v>23569</v>
      </c>
      <c r="BH2640" s="1">
        <v>0.0</v>
      </c>
      <c r="BK2640" s="1" t="s">
        <v>204</v>
      </c>
      <c r="BL2640" s="1" t="str">
        <f t="shared" ref="BL2640:BM2640" si="1725">""</f>
        <v/>
      </c>
      <c r="BM2640" s="1" t="str">
        <f t="shared" si="1725"/>
        <v/>
      </c>
      <c r="BQ2640" s="1">
        <v>427.0</v>
      </c>
      <c r="BR2640" s="1">
        <v>427.0</v>
      </c>
      <c r="BS2640" s="1">
        <v>427.0</v>
      </c>
      <c r="BU2640" s="1" t="s">
        <v>262</v>
      </c>
      <c r="BV2640" s="1" t="s">
        <v>206</v>
      </c>
      <c r="BW2640" s="1" t="s">
        <v>210</v>
      </c>
      <c r="BX2640" s="1" t="s">
        <v>1549</v>
      </c>
      <c r="BY2640" s="1" t="s">
        <v>699</v>
      </c>
      <c r="BZ2640" s="1" t="s">
        <v>206</v>
      </c>
      <c r="CA2640" s="1" t="s">
        <v>210</v>
      </c>
      <c r="CB2640" s="1" t="s">
        <v>261</v>
      </c>
      <c r="CD2640" s="1" t="s">
        <v>204</v>
      </c>
      <c r="CG2640" s="1" t="s">
        <v>495</v>
      </c>
      <c r="CH2640" s="1" t="s">
        <v>206</v>
      </c>
      <c r="CI2640" s="1" t="s">
        <v>210</v>
      </c>
      <c r="CJ2640" s="1" t="s">
        <v>431</v>
      </c>
      <c r="CK2640" s="1" t="s">
        <v>4205</v>
      </c>
      <c r="CL2640" s="1" t="s">
        <v>267</v>
      </c>
      <c r="CM2640" s="1" t="s">
        <v>210</v>
      </c>
      <c r="CN2640" s="1" t="s">
        <v>261</v>
      </c>
      <c r="CO2640" s="1" t="s">
        <v>543</v>
      </c>
      <c r="CP2640" s="1" t="s">
        <v>267</v>
      </c>
      <c r="CQ2640" s="1" t="s">
        <v>210</v>
      </c>
      <c r="CR2640" s="1" t="s">
        <v>431</v>
      </c>
      <c r="CS2640" s="1" t="s">
        <v>4817</v>
      </c>
      <c r="CT2640" s="1" t="s">
        <v>206</v>
      </c>
      <c r="CU2640" s="1" t="s">
        <v>617</v>
      </c>
      <c r="CV2640" s="1" t="s">
        <v>1549</v>
      </c>
      <c r="CW2640" s="1" t="s">
        <v>454</v>
      </c>
      <c r="CX2640" s="1" t="s">
        <v>267</v>
      </c>
      <c r="CY2640" s="1" t="s">
        <v>210</v>
      </c>
      <c r="CZ2640" s="1" t="s">
        <v>261</v>
      </c>
      <c r="DA2640" s="1" t="s">
        <v>200</v>
      </c>
      <c r="DC2640" s="1" t="s">
        <v>545</v>
      </c>
      <c r="DD2640" s="1" t="s">
        <v>518</v>
      </c>
      <c r="DE2640" s="1" t="s">
        <v>273</v>
      </c>
      <c r="DF2640" s="1" t="s">
        <v>619</v>
      </c>
      <c r="DG2640" s="1" t="s">
        <v>9249</v>
      </c>
      <c r="DH2640" s="1" t="s">
        <v>220</v>
      </c>
      <c r="DI2640" s="1" t="s">
        <v>1401</v>
      </c>
      <c r="DJ2640" s="1" t="s">
        <v>222</v>
      </c>
      <c r="DL2640" s="1" t="s">
        <v>229</v>
      </c>
      <c r="DM2640" s="1" t="s">
        <v>229</v>
      </c>
      <c r="DO2640" s="1" t="s">
        <v>549</v>
      </c>
      <c r="DQ2640" s="1" t="s">
        <v>228</v>
      </c>
      <c r="DR2640" s="1" t="s">
        <v>229</v>
      </c>
      <c r="DU2640" s="1" t="s">
        <v>2070</v>
      </c>
      <c r="DV2640" s="1" t="s">
        <v>232</v>
      </c>
      <c r="DW2640" s="1" t="s">
        <v>233</v>
      </c>
      <c r="DX2640" s="1" t="s">
        <v>234</v>
      </c>
      <c r="EA2640" s="1" t="s">
        <v>554</v>
      </c>
      <c r="EC2640" s="1" t="s">
        <v>284</v>
      </c>
      <c r="ED2640" s="1" t="s">
        <v>407</v>
      </c>
      <c r="EM2640" s="1" t="s">
        <v>238</v>
      </c>
      <c r="EQ2640" s="1" t="s">
        <v>238</v>
      </c>
      <c r="EU2640" s="1" t="s">
        <v>238</v>
      </c>
      <c r="EY2640" s="1" t="s">
        <v>238</v>
      </c>
      <c r="FC2640" s="1" t="s">
        <v>238</v>
      </c>
      <c r="FF2640" s="1" t="s">
        <v>239</v>
      </c>
      <c r="FG2640" s="1" t="s">
        <v>192</v>
      </c>
      <c r="FH2640" s="1" t="s">
        <v>192</v>
      </c>
      <c r="FJ2640" s="1" t="s">
        <v>624</v>
      </c>
      <c r="FK2640" s="1" t="s">
        <v>348</v>
      </c>
      <c r="FL2640" s="1" t="s">
        <v>2926</v>
      </c>
      <c r="FM2640" s="1">
        <v>24809.0</v>
      </c>
      <c r="FN2640" s="1" t="s">
        <v>2927</v>
      </c>
      <c r="FO2640" s="1" t="s">
        <v>2928</v>
      </c>
      <c r="FP2640" s="1">
        <v>237415.0</v>
      </c>
      <c r="FQ2640" s="1" t="s">
        <v>2929</v>
      </c>
      <c r="FS2640" s="1" t="s">
        <v>16750</v>
      </c>
      <c r="FU2640" s="1" t="s">
        <v>15953</v>
      </c>
      <c r="FV2640" s="1" t="s">
        <v>200</v>
      </c>
      <c r="FW2640" s="1" t="s">
        <v>530</v>
      </c>
      <c r="FZ2640" s="1" t="s">
        <v>229</v>
      </c>
      <c r="GA2640" s="1" t="s">
        <v>291</v>
      </c>
      <c r="GB2640" s="2">
        <v>42118.0</v>
      </c>
      <c r="GC2640" s="1" t="s">
        <v>23570</v>
      </c>
    </row>
    <row r="2641">
      <c r="A2641" s="1">
        <v>296500.0</v>
      </c>
      <c r="B2641" s="1" t="s">
        <v>185</v>
      </c>
      <c r="C2641" s="1" t="str">
        <f>"08831687"</f>
        <v>08831687</v>
      </c>
      <c r="D2641" s="1" t="s">
        <v>186</v>
      </c>
      <c r="F2641" s="1" t="str">
        <f>"554"</f>
        <v>554</v>
      </c>
      <c r="G2641" s="2">
        <v>42040.0</v>
      </c>
      <c r="H2641" s="1">
        <v>319900.0</v>
      </c>
      <c r="I2641" s="1">
        <v>36.0</v>
      </c>
      <c r="J2641" s="1">
        <v>299999.0</v>
      </c>
      <c r="K2641" s="2">
        <v>42075.0</v>
      </c>
      <c r="L2641" s="1">
        <v>36.0</v>
      </c>
      <c r="M2641" s="2">
        <v>42075.0</v>
      </c>
      <c r="N2641" s="1" t="s">
        <v>187</v>
      </c>
      <c r="O2641" s="2">
        <v>42129.0</v>
      </c>
      <c r="P2641" s="1">
        <v>55519.0</v>
      </c>
      <c r="Q2641" s="1">
        <v>5336.0</v>
      </c>
      <c r="S2641" s="1">
        <v>261.0</v>
      </c>
      <c r="T2641" s="1" t="s">
        <v>23571</v>
      </c>
      <c r="U2641" s="1" t="s">
        <v>1174</v>
      </c>
      <c r="V2641" s="1" t="s">
        <v>2212</v>
      </c>
      <c r="W2641" s="1">
        <v>60554.0</v>
      </c>
      <c r="Y2641" s="1" t="s">
        <v>23572</v>
      </c>
      <c r="Z2641" s="1">
        <v>2001.0</v>
      </c>
      <c r="AA2641" s="1" t="s">
        <v>200</v>
      </c>
      <c r="AB2641" s="1" t="s">
        <v>193</v>
      </c>
      <c r="AC2641" s="1" t="s">
        <v>6539</v>
      </c>
      <c r="AD2641" s="1" t="s">
        <v>1887</v>
      </c>
      <c r="AE2641" s="1" t="s">
        <v>325</v>
      </c>
      <c r="AF2641" s="1" t="s">
        <v>1887</v>
      </c>
      <c r="AH2641" s="1" t="s">
        <v>23573</v>
      </c>
      <c r="AI2641" s="1">
        <v>0.2892</v>
      </c>
      <c r="AK2641" s="1">
        <v>12.0</v>
      </c>
      <c r="AL2641" s="1">
        <v>4.0</v>
      </c>
      <c r="AM2641" s="1">
        <v>3.0</v>
      </c>
      <c r="AN2641" s="1">
        <v>1.0</v>
      </c>
      <c r="AO2641" s="1" t="s">
        <v>198</v>
      </c>
      <c r="AP2641" s="1">
        <v>1.0</v>
      </c>
      <c r="AQ2641" s="1" t="s">
        <v>1314</v>
      </c>
      <c r="AR2641" s="1" t="s">
        <v>192</v>
      </c>
      <c r="AS2641" s="1" t="s">
        <v>199</v>
      </c>
      <c r="AT2641" s="1">
        <v>3.0</v>
      </c>
      <c r="AV2641" s="1" t="s">
        <v>200</v>
      </c>
      <c r="AW2641" s="1">
        <v>8310.22</v>
      </c>
      <c r="AX2641" s="1">
        <v>2013.0</v>
      </c>
      <c r="AY2641" s="1" t="s">
        <v>387</v>
      </c>
      <c r="AZ2641" s="1" t="s">
        <v>200</v>
      </c>
      <c r="BA2641" s="1" t="str">
        <f>"1415155002"</f>
        <v>1415155002</v>
      </c>
      <c r="BB2641" s="1" t="s">
        <v>200</v>
      </c>
      <c r="BC2641" s="1">
        <v>2650.0</v>
      </c>
      <c r="BD2641" s="1">
        <v>296500.0</v>
      </c>
      <c r="BE2641" s="2">
        <v>42040.0</v>
      </c>
      <c r="BF2641" s="2" t="s">
        <v>23574</v>
      </c>
      <c r="BG2641" s="1" t="s">
        <v>2218</v>
      </c>
      <c r="BH2641" s="1">
        <v>180.0</v>
      </c>
      <c r="BI2641" s="1" t="s">
        <v>1635</v>
      </c>
      <c r="BJ2641" s="1" t="s">
        <v>1636</v>
      </c>
      <c r="BK2641" s="1" t="s">
        <v>580</v>
      </c>
      <c r="BL2641" s="1" t="str">
        <f t="shared" ref="BL2641:BM2641" si="1726">""</f>
        <v/>
      </c>
      <c r="BM2641" s="1" t="str">
        <f t="shared" si="1726"/>
        <v/>
      </c>
      <c r="BQ2641" s="1">
        <v>302.0</v>
      </c>
      <c r="BR2641" s="1">
        <v>302.0</v>
      </c>
      <c r="BS2641" s="1">
        <v>302.0</v>
      </c>
      <c r="BU2641" s="1" t="s">
        <v>758</v>
      </c>
      <c r="BV2641" s="1" t="s">
        <v>206</v>
      </c>
      <c r="BW2641" s="1" t="s">
        <v>301</v>
      </c>
      <c r="BX2641" s="1" t="s">
        <v>239</v>
      </c>
      <c r="BY2641" s="1" t="s">
        <v>213</v>
      </c>
      <c r="BZ2641" s="1" t="s">
        <v>209</v>
      </c>
      <c r="CA2641" s="1" t="s">
        <v>210</v>
      </c>
      <c r="CB2641" s="1" t="s">
        <v>239</v>
      </c>
      <c r="CC2641" s="1" t="s">
        <v>215</v>
      </c>
      <c r="CD2641" s="1" t="s">
        <v>206</v>
      </c>
      <c r="CE2641" s="1" t="s">
        <v>301</v>
      </c>
      <c r="CF2641" s="1" t="s">
        <v>239</v>
      </c>
      <c r="CG2641" s="1" t="s">
        <v>212</v>
      </c>
      <c r="CH2641" s="1" t="s">
        <v>209</v>
      </c>
      <c r="CI2641" s="1" t="s">
        <v>210</v>
      </c>
      <c r="CJ2641" s="1" t="s">
        <v>239</v>
      </c>
      <c r="CK2641" s="1" t="s">
        <v>699</v>
      </c>
      <c r="CL2641" s="1" t="s">
        <v>209</v>
      </c>
      <c r="CM2641" s="1" t="s">
        <v>210</v>
      </c>
      <c r="CN2641" s="1" t="s">
        <v>239</v>
      </c>
      <c r="CO2641" s="1" t="s">
        <v>212</v>
      </c>
      <c r="CP2641" s="1" t="s">
        <v>209</v>
      </c>
      <c r="CQ2641" s="1" t="s">
        <v>210</v>
      </c>
      <c r="CR2641" s="1" t="s">
        <v>239</v>
      </c>
      <c r="CS2641" s="1" t="s">
        <v>361</v>
      </c>
      <c r="CT2641" s="1" t="s">
        <v>206</v>
      </c>
      <c r="CU2641" s="1" t="s">
        <v>301</v>
      </c>
      <c r="CV2641" s="1" t="s">
        <v>239</v>
      </c>
      <c r="CW2641" s="1" t="s">
        <v>784</v>
      </c>
      <c r="CX2641" s="1" t="s">
        <v>206</v>
      </c>
      <c r="CY2641" s="1" t="s">
        <v>210</v>
      </c>
      <c r="CZ2641" s="1" t="s">
        <v>239</v>
      </c>
      <c r="DA2641" s="1" t="s">
        <v>200</v>
      </c>
      <c r="DC2641" s="1" t="s">
        <v>335</v>
      </c>
      <c r="DE2641" s="1" t="s">
        <v>273</v>
      </c>
      <c r="DF2641" s="1" t="s">
        <v>219</v>
      </c>
      <c r="DG2641" s="1" t="s">
        <v>1317</v>
      </c>
      <c r="DH2641" s="1" t="s">
        <v>220</v>
      </c>
      <c r="DI2641" s="1" t="s">
        <v>23575</v>
      </c>
      <c r="DJ2641" s="1" t="s">
        <v>222</v>
      </c>
      <c r="DK2641" s="1" t="s">
        <v>1555</v>
      </c>
      <c r="DL2641" s="1" t="s">
        <v>1267</v>
      </c>
      <c r="DM2641" s="1" t="s">
        <v>338</v>
      </c>
      <c r="DN2641" s="1" t="s">
        <v>485</v>
      </c>
      <c r="DO2641" s="1" t="s">
        <v>717</v>
      </c>
      <c r="DP2641" s="1" t="s">
        <v>340</v>
      </c>
      <c r="DQ2641" s="1" t="s">
        <v>441</v>
      </c>
      <c r="DR2641" s="1" t="s">
        <v>229</v>
      </c>
      <c r="DU2641" s="1" t="s">
        <v>1049</v>
      </c>
      <c r="DV2641" s="1" t="s">
        <v>23576</v>
      </c>
      <c r="DW2641" s="1" t="s">
        <v>444</v>
      </c>
      <c r="DX2641" s="1" t="s">
        <v>234</v>
      </c>
      <c r="DY2641" s="1" t="s">
        <v>521</v>
      </c>
      <c r="DZ2641" s="1" t="s">
        <v>310</v>
      </c>
      <c r="EA2641" s="1" t="s">
        <v>344</v>
      </c>
      <c r="EB2641" s="1" t="s">
        <v>684</v>
      </c>
      <c r="EC2641" s="1" t="s">
        <v>237</v>
      </c>
      <c r="ED2641" s="1" t="s">
        <v>10039</v>
      </c>
      <c r="EE2641" s="1" t="s">
        <v>493</v>
      </c>
      <c r="EG2641" s="1" t="s">
        <v>557</v>
      </c>
      <c r="EH2641" s="1" t="s">
        <v>449</v>
      </c>
      <c r="EI2641" s="1" t="s">
        <v>598</v>
      </c>
      <c r="EJ2641" s="1" t="s">
        <v>450</v>
      </c>
      <c r="EK2641" s="1" t="s">
        <v>408</v>
      </c>
      <c r="EL2641" s="1" t="s">
        <v>816</v>
      </c>
      <c r="EM2641" s="1" t="s">
        <v>42</v>
      </c>
      <c r="EN2641" s="1" t="s">
        <v>210</v>
      </c>
      <c r="EO2641" s="1" t="s">
        <v>229</v>
      </c>
      <c r="EP2641" s="1" t="s">
        <v>264</v>
      </c>
      <c r="EQ2641" s="1" t="s">
        <v>206</v>
      </c>
      <c r="ER2641" s="1" t="s">
        <v>301</v>
      </c>
      <c r="ES2641" s="1" t="s">
        <v>239</v>
      </c>
      <c r="ET2641" s="1" t="s">
        <v>363</v>
      </c>
      <c r="EU2641" s="1" t="s">
        <v>206</v>
      </c>
      <c r="EV2641" s="1" t="s">
        <v>210</v>
      </c>
      <c r="EW2641" s="1" t="s">
        <v>239</v>
      </c>
      <c r="EX2641" s="1" t="s">
        <v>330</v>
      </c>
      <c r="EY2641" s="1" t="s">
        <v>42</v>
      </c>
      <c r="EZ2641" s="1" t="s">
        <v>210</v>
      </c>
      <c r="FA2641" s="1" t="s">
        <v>229</v>
      </c>
      <c r="FB2641" s="1" t="s">
        <v>798</v>
      </c>
      <c r="FC2641" s="1" t="s">
        <v>206</v>
      </c>
      <c r="FD2641" s="1" t="s">
        <v>301</v>
      </c>
      <c r="FE2641" s="1" t="s">
        <v>229</v>
      </c>
      <c r="FF2641" s="1" t="s">
        <v>239</v>
      </c>
      <c r="FG2641" s="1" t="s">
        <v>192</v>
      </c>
      <c r="FH2641" s="1" t="s">
        <v>192</v>
      </c>
      <c r="FJ2641" s="1" t="s">
        <v>2262</v>
      </c>
      <c r="FK2641" s="1" t="s">
        <v>229</v>
      </c>
      <c r="FL2641" s="1" t="s">
        <v>23577</v>
      </c>
      <c r="FM2641" s="1">
        <v>25816.0</v>
      </c>
      <c r="FN2641" s="1" t="s">
        <v>23578</v>
      </c>
      <c r="FO2641" s="1" t="s">
        <v>23579</v>
      </c>
      <c r="FP2641" s="1">
        <v>214136.0</v>
      </c>
      <c r="FQ2641" s="1" t="s">
        <v>23580</v>
      </c>
      <c r="FU2641" s="1" t="s">
        <v>23581</v>
      </c>
      <c r="FV2641" s="1" t="s">
        <v>200</v>
      </c>
      <c r="FW2641" s="1" t="s">
        <v>530</v>
      </c>
      <c r="FZ2641" s="1" t="s">
        <v>229</v>
      </c>
      <c r="GA2641" s="1" t="s">
        <v>291</v>
      </c>
      <c r="GB2641" s="2">
        <v>42129.0</v>
      </c>
    </row>
    <row r="2642">
      <c r="A2642" s="1">
        <v>450000.0</v>
      </c>
      <c r="B2642" s="1" t="s">
        <v>185</v>
      </c>
      <c r="C2642" s="1" t="str">
        <f>"08827994"</f>
        <v>08827994</v>
      </c>
      <c r="D2642" s="1" t="s">
        <v>186</v>
      </c>
      <c r="F2642" s="1" t="str">
        <f>"8016"</f>
        <v>8016</v>
      </c>
      <c r="G2642" s="2">
        <v>42035.0</v>
      </c>
      <c r="H2642" s="1">
        <v>450000.0</v>
      </c>
      <c r="I2642" s="1">
        <v>8.0</v>
      </c>
      <c r="J2642" s="1">
        <v>450000.0</v>
      </c>
      <c r="K2642" s="2">
        <v>42042.0</v>
      </c>
      <c r="L2642" s="1">
        <v>8.0</v>
      </c>
      <c r="M2642" s="2">
        <v>42042.0</v>
      </c>
      <c r="N2642" s="1" t="s">
        <v>187</v>
      </c>
      <c r="O2642" s="2">
        <v>42097.0</v>
      </c>
      <c r="P2642" s="1">
        <v>878304.0</v>
      </c>
      <c r="Q2642" s="1">
        <v>10317.0</v>
      </c>
      <c r="S2642" s="1">
        <v>3920.0</v>
      </c>
      <c r="T2642" s="1" t="s">
        <v>23582</v>
      </c>
      <c r="U2642" s="1" t="s">
        <v>189</v>
      </c>
      <c r="V2642" s="1" t="s">
        <v>190</v>
      </c>
      <c r="W2642" s="1">
        <v>60641.0</v>
      </c>
      <c r="Y2642" s="1" t="s">
        <v>23583</v>
      </c>
      <c r="Z2642" s="1">
        <v>2008.0</v>
      </c>
      <c r="AA2642" s="1" t="s">
        <v>200</v>
      </c>
      <c r="AB2642" s="1" t="s">
        <v>467</v>
      </c>
      <c r="AD2642" s="1" t="s">
        <v>194</v>
      </c>
      <c r="AE2642" s="1" t="s">
        <v>195</v>
      </c>
      <c r="AF2642" s="1" t="s">
        <v>196</v>
      </c>
      <c r="AH2642" s="1" t="s">
        <v>23584</v>
      </c>
      <c r="AI2642" s="1">
        <v>0.035</v>
      </c>
      <c r="AK2642" s="1">
        <v>8.0</v>
      </c>
      <c r="AL2642" s="1">
        <v>4.0</v>
      </c>
      <c r="AM2642" s="1">
        <v>3.0</v>
      </c>
      <c r="AN2642" s="1">
        <v>1.0</v>
      </c>
      <c r="AO2642" s="1" t="s">
        <v>198</v>
      </c>
      <c r="AP2642" s="1">
        <v>1.0</v>
      </c>
      <c r="AQ2642" s="1" t="s">
        <v>229</v>
      </c>
      <c r="AR2642" s="1" t="s">
        <v>200</v>
      </c>
      <c r="AS2642" s="1" t="s">
        <v>199</v>
      </c>
      <c r="AT2642" s="1">
        <v>2.0</v>
      </c>
      <c r="AV2642" s="1" t="s">
        <v>200</v>
      </c>
      <c r="AW2642" s="1">
        <v>6349.92</v>
      </c>
      <c r="AX2642" s="1">
        <v>2013.0</v>
      </c>
      <c r="AY2642" s="1" t="s">
        <v>387</v>
      </c>
      <c r="AZ2642" s="1" t="s">
        <v>200</v>
      </c>
      <c r="BA2642" s="1" t="str">
        <f>"13221020850000"</f>
        <v>13221020850000</v>
      </c>
      <c r="BB2642" s="1" t="s">
        <v>200</v>
      </c>
      <c r="BC2642" s="1">
        <v>2500.0</v>
      </c>
      <c r="BD2642" s="1">
        <v>450000.0</v>
      </c>
      <c r="BE2642" s="2">
        <v>42035.0</v>
      </c>
      <c r="BF2642" s="2" t="s">
        <v>23585</v>
      </c>
      <c r="BG2642" s="1" t="s">
        <v>9125</v>
      </c>
      <c r="BH2642" s="1">
        <v>145.0</v>
      </c>
      <c r="BK2642" s="1" t="s">
        <v>474</v>
      </c>
      <c r="BL2642" s="1" t="str">
        <f>"3920"</f>
        <v>3920</v>
      </c>
      <c r="BM2642" s="1" t="str">
        <f t="shared" ref="BM2642:BM2644" si="1727">"0"</f>
        <v>0</v>
      </c>
      <c r="BN2642" s="1">
        <v>4550.0</v>
      </c>
      <c r="BO2642" s="1">
        <v>0.0</v>
      </c>
      <c r="BQ2642" s="1">
        <v>299.0</v>
      </c>
      <c r="BR2642" s="1">
        <v>299.0</v>
      </c>
      <c r="BS2642" s="1">
        <v>299.0</v>
      </c>
      <c r="BU2642" s="1" t="s">
        <v>782</v>
      </c>
      <c r="BV2642" s="1" t="s">
        <v>209</v>
      </c>
      <c r="BW2642" s="1" t="s">
        <v>207</v>
      </c>
      <c r="BX2642" s="1" t="s">
        <v>431</v>
      </c>
      <c r="BY2642" s="1" t="s">
        <v>616</v>
      </c>
      <c r="BZ2642" s="1" t="s">
        <v>391</v>
      </c>
      <c r="CA2642" s="1" t="s">
        <v>210</v>
      </c>
      <c r="CB2642" s="1" t="s">
        <v>431</v>
      </c>
      <c r="CC2642" s="1" t="s">
        <v>542</v>
      </c>
      <c r="CD2642" s="1" t="s">
        <v>209</v>
      </c>
      <c r="CE2642" s="1" t="s">
        <v>207</v>
      </c>
      <c r="CF2642" s="1" t="s">
        <v>431</v>
      </c>
      <c r="CG2642" s="1" t="s">
        <v>212</v>
      </c>
      <c r="CH2642" s="1" t="s">
        <v>391</v>
      </c>
      <c r="CI2642" s="1" t="s">
        <v>210</v>
      </c>
      <c r="CJ2642" s="1" t="s">
        <v>431</v>
      </c>
      <c r="CK2642" s="1" t="s">
        <v>699</v>
      </c>
      <c r="CL2642" s="1" t="s">
        <v>391</v>
      </c>
      <c r="CM2642" s="1" t="s">
        <v>210</v>
      </c>
      <c r="CN2642" s="1" t="s">
        <v>431</v>
      </c>
      <c r="CO2642" s="1" t="s">
        <v>331</v>
      </c>
      <c r="CP2642" s="1" t="s">
        <v>206</v>
      </c>
      <c r="CQ2642" s="1" t="s">
        <v>207</v>
      </c>
      <c r="CR2642" s="1" t="s">
        <v>431</v>
      </c>
      <c r="CS2642" s="1" t="s">
        <v>392</v>
      </c>
      <c r="CT2642" s="1" t="s">
        <v>209</v>
      </c>
      <c r="CU2642" s="1" t="s">
        <v>207</v>
      </c>
      <c r="CV2642" s="1" t="s">
        <v>239</v>
      </c>
      <c r="CW2642" s="1" t="s">
        <v>955</v>
      </c>
      <c r="CX2642" s="1" t="s">
        <v>209</v>
      </c>
      <c r="CY2642" s="1" t="s">
        <v>207</v>
      </c>
      <c r="CZ2642" s="1" t="s">
        <v>431</v>
      </c>
      <c r="DA2642" s="1" t="s">
        <v>200</v>
      </c>
      <c r="DC2642" s="1" t="s">
        <v>481</v>
      </c>
      <c r="DD2642" s="1" t="s">
        <v>926</v>
      </c>
      <c r="DE2642" s="1" t="s">
        <v>273</v>
      </c>
      <c r="DF2642" s="1" t="s">
        <v>219</v>
      </c>
      <c r="DG2642" s="1" t="s">
        <v>337</v>
      </c>
      <c r="DH2642" s="1" t="s">
        <v>307</v>
      </c>
      <c r="DI2642" s="1" t="s">
        <v>519</v>
      </c>
      <c r="DJ2642" s="1" t="s">
        <v>1048</v>
      </c>
      <c r="DL2642" s="1" t="s">
        <v>229</v>
      </c>
      <c r="DM2642" s="1" t="s">
        <v>1143</v>
      </c>
      <c r="DN2642" s="1" t="s">
        <v>485</v>
      </c>
      <c r="DO2642" s="1" t="s">
        <v>3688</v>
      </c>
      <c r="DP2642" s="1" t="s">
        <v>276</v>
      </c>
      <c r="DQ2642" s="1" t="s">
        <v>718</v>
      </c>
      <c r="DR2642" s="1" t="s">
        <v>23586</v>
      </c>
      <c r="DS2642" s="1" t="s">
        <v>368</v>
      </c>
      <c r="DU2642" s="1" t="s">
        <v>8415</v>
      </c>
      <c r="DV2642" s="1" t="s">
        <v>232</v>
      </c>
      <c r="DW2642" s="1" t="s">
        <v>444</v>
      </c>
      <c r="DX2642" s="1" t="s">
        <v>280</v>
      </c>
      <c r="DY2642" s="1" t="s">
        <v>20602</v>
      </c>
      <c r="DZ2642" s="1" t="s">
        <v>23587</v>
      </c>
      <c r="EA2642" s="1" t="s">
        <v>1027</v>
      </c>
      <c r="EB2642" s="1" t="s">
        <v>492</v>
      </c>
      <c r="EC2642" s="1" t="s">
        <v>406</v>
      </c>
      <c r="ED2642" s="1" t="s">
        <v>407</v>
      </c>
      <c r="EE2642" s="1" t="s">
        <v>522</v>
      </c>
      <c r="EM2642" s="1" t="s">
        <v>238</v>
      </c>
      <c r="EQ2642" s="1" t="s">
        <v>238</v>
      </c>
      <c r="EU2642" s="1" t="s">
        <v>238</v>
      </c>
      <c r="EY2642" s="1" t="s">
        <v>238</v>
      </c>
      <c r="FC2642" s="1" t="s">
        <v>238</v>
      </c>
      <c r="FF2642" s="1" t="s">
        <v>239</v>
      </c>
      <c r="FG2642" s="1" t="s">
        <v>192</v>
      </c>
      <c r="FH2642" s="1" t="s">
        <v>192</v>
      </c>
      <c r="FJ2642" s="1" t="s">
        <v>23588</v>
      </c>
      <c r="FK2642" s="1" t="s">
        <v>229</v>
      </c>
      <c r="FL2642" s="1" t="s">
        <v>9129</v>
      </c>
      <c r="FM2642" s="1">
        <v>18499.0</v>
      </c>
      <c r="FN2642" s="1" t="s">
        <v>5976</v>
      </c>
      <c r="FO2642" s="1" t="s">
        <v>9130</v>
      </c>
      <c r="FP2642" s="1">
        <v>115970.0</v>
      </c>
      <c r="FQ2642" s="1" t="s">
        <v>9131</v>
      </c>
      <c r="FU2642" s="1" t="s">
        <v>23589</v>
      </c>
      <c r="FV2642" s="1" t="s">
        <v>200</v>
      </c>
      <c r="FW2642" s="1" t="s">
        <v>567</v>
      </c>
      <c r="FX2642" s="1" t="s">
        <v>238</v>
      </c>
      <c r="FZ2642" s="1" t="s">
        <v>229</v>
      </c>
      <c r="GA2642" s="1" t="s">
        <v>291</v>
      </c>
      <c r="GB2642" s="2">
        <v>42100.0</v>
      </c>
    </row>
    <row r="2643">
      <c r="A2643" s="1">
        <v>525000.0</v>
      </c>
      <c r="B2643" s="1" t="s">
        <v>185</v>
      </c>
      <c r="C2643" s="1" t="str">
        <f>"08829597"</f>
        <v>08829597</v>
      </c>
      <c r="D2643" s="1" t="s">
        <v>186</v>
      </c>
      <c r="F2643" s="1" t="str">
        <f>"8014"</f>
        <v>8014</v>
      </c>
      <c r="G2643" s="2">
        <v>42038.0</v>
      </c>
      <c r="H2643" s="1">
        <v>539000.0</v>
      </c>
      <c r="I2643" s="1">
        <v>232.0</v>
      </c>
      <c r="J2643" s="1">
        <v>539000.0</v>
      </c>
      <c r="K2643" s="2">
        <v>42089.0</v>
      </c>
      <c r="L2643" s="1">
        <v>52.0</v>
      </c>
      <c r="M2643" s="2">
        <v>42089.0</v>
      </c>
      <c r="N2643" s="1" t="s">
        <v>187</v>
      </c>
      <c r="O2643" s="2">
        <v>42093.0</v>
      </c>
      <c r="P2643" s="1">
        <v>150296.0</v>
      </c>
      <c r="Q2643" s="1">
        <v>84729.0</v>
      </c>
      <c r="R2643" s="1">
        <v>5000.0</v>
      </c>
      <c r="S2643" s="1">
        <v>4450.0</v>
      </c>
      <c r="T2643" s="1" t="s">
        <v>3708</v>
      </c>
      <c r="U2643" s="1" t="s">
        <v>189</v>
      </c>
      <c r="V2643" s="1" t="s">
        <v>190</v>
      </c>
      <c r="W2643" s="1">
        <v>60625.0</v>
      </c>
      <c r="Y2643" s="1" t="s">
        <v>23590</v>
      </c>
      <c r="Z2643" s="1">
        <v>2014.0</v>
      </c>
      <c r="AA2643" s="1" t="s">
        <v>200</v>
      </c>
      <c r="AB2643" s="1" t="s">
        <v>193</v>
      </c>
      <c r="AD2643" s="1" t="s">
        <v>194</v>
      </c>
      <c r="AE2643" s="1" t="s">
        <v>195</v>
      </c>
      <c r="AF2643" s="1" t="s">
        <v>196</v>
      </c>
      <c r="AH2643" s="1" t="s">
        <v>23591</v>
      </c>
      <c r="AI2643" s="1">
        <v>0.0961</v>
      </c>
      <c r="AK2643" s="1">
        <v>8.0</v>
      </c>
      <c r="AL2643" s="1">
        <v>3.0</v>
      </c>
      <c r="AM2643" s="1">
        <v>3.0</v>
      </c>
      <c r="AN2643" s="1">
        <v>1.0</v>
      </c>
      <c r="AO2643" s="1" t="s">
        <v>198</v>
      </c>
      <c r="AQ2643" s="1" t="s">
        <v>198</v>
      </c>
      <c r="AR2643" s="1" t="s">
        <v>192</v>
      </c>
      <c r="AS2643" s="1" t="s">
        <v>199</v>
      </c>
      <c r="AT2643" s="1">
        <v>2.0</v>
      </c>
      <c r="AV2643" s="1" t="s">
        <v>200</v>
      </c>
      <c r="AW2643" s="1">
        <v>3878.34</v>
      </c>
      <c r="AX2643" s="1">
        <v>2012.0</v>
      </c>
      <c r="AZ2643" s="1" t="s">
        <v>200</v>
      </c>
      <c r="BA2643" s="1" t="str">
        <f>"13141240190000"</f>
        <v>13141240190000</v>
      </c>
      <c r="BC2643" s="1">
        <v>2898.0</v>
      </c>
      <c r="BD2643" s="1">
        <v>525000.0</v>
      </c>
      <c r="BE2643" s="2">
        <v>42038.0</v>
      </c>
      <c r="BF2643" s="2" t="s">
        <v>23592</v>
      </c>
      <c r="BH2643" s="1">
        <v>0.0</v>
      </c>
      <c r="BK2643" s="1" t="s">
        <v>204</v>
      </c>
      <c r="BL2643" s="1" t="str">
        <f>"4450"</f>
        <v>4450</v>
      </c>
      <c r="BM2643" s="1" t="str">
        <f t="shared" si="1727"/>
        <v>0</v>
      </c>
      <c r="BN2643" s="1">
        <v>3900.0</v>
      </c>
      <c r="BO2643" s="1">
        <v>0.0</v>
      </c>
      <c r="BQ2643" s="1">
        <v>299.0</v>
      </c>
      <c r="BR2643" s="1">
        <v>299.0</v>
      </c>
      <c r="BS2643" s="1">
        <v>299.0</v>
      </c>
      <c r="BU2643" s="1" t="s">
        <v>2109</v>
      </c>
      <c r="BV2643" s="1" t="s">
        <v>206</v>
      </c>
      <c r="BW2643" s="1" t="s">
        <v>207</v>
      </c>
      <c r="BY2643" s="1" t="s">
        <v>784</v>
      </c>
      <c r="BZ2643" s="1" t="s">
        <v>209</v>
      </c>
      <c r="CA2643" s="1" t="s">
        <v>210</v>
      </c>
      <c r="CC2643" s="1" t="s">
        <v>542</v>
      </c>
      <c r="CD2643" s="1" t="s">
        <v>206</v>
      </c>
      <c r="CG2643" s="1" t="s">
        <v>331</v>
      </c>
      <c r="CH2643" s="1" t="s">
        <v>209</v>
      </c>
      <c r="CI2643" s="1" t="s">
        <v>210</v>
      </c>
      <c r="CK2643" s="1" t="s">
        <v>212</v>
      </c>
      <c r="CL2643" s="1" t="s">
        <v>209</v>
      </c>
      <c r="CM2643" s="1" t="s">
        <v>210</v>
      </c>
      <c r="CO2643" s="1" t="s">
        <v>332</v>
      </c>
      <c r="CP2643" s="1" t="s">
        <v>42</v>
      </c>
      <c r="CQ2643" s="1" t="s">
        <v>210</v>
      </c>
      <c r="CS2643" s="1" t="s">
        <v>260</v>
      </c>
      <c r="CT2643" s="1" t="s">
        <v>206</v>
      </c>
      <c r="CU2643" s="1" t="s">
        <v>207</v>
      </c>
      <c r="CW2643" s="1" t="s">
        <v>1244</v>
      </c>
      <c r="CX2643" s="1" t="s">
        <v>42</v>
      </c>
      <c r="CY2643" s="1" t="s">
        <v>210</v>
      </c>
      <c r="DA2643" s="1" t="s">
        <v>192</v>
      </c>
      <c r="DB2643" s="2">
        <v>42034.0</v>
      </c>
      <c r="DC2643" s="1" t="s">
        <v>1353</v>
      </c>
      <c r="DD2643" s="1" t="s">
        <v>731</v>
      </c>
      <c r="DE2643" s="1" t="s">
        <v>273</v>
      </c>
      <c r="DF2643" s="1" t="s">
        <v>219</v>
      </c>
      <c r="DH2643" s="1" t="s">
        <v>365</v>
      </c>
      <c r="DI2643" s="1" t="s">
        <v>1141</v>
      </c>
      <c r="DJ2643" s="1" t="s">
        <v>222</v>
      </c>
      <c r="DL2643" s="1" t="s">
        <v>224</v>
      </c>
      <c r="DM2643" s="1" t="s">
        <v>229</v>
      </c>
      <c r="DN2643" s="1" t="s">
        <v>399</v>
      </c>
      <c r="DP2643" s="1" t="s">
        <v>276</v>
      </c>
      <c r="DQ2643" s="1" t="s">
        <v>228</v>
      </c>
      <c r="DR2643" s="1" t="s">
        <v>229</v>
      </c>
      <c r="DS2643" s="1" t="s">
        <v>230</v>
      </c>
      <c r="DV2643" s="1" t="s">
        <v>232</v>
      </c>
      <c r="DW2643" s="1" t="s">
        <v>23593</v>
      </c>
      <c r="DX2643" s="1" t="s">
        <v>234</v>
      </c>
      <c r="DY2643" s="1" t="s">
        <v>704</v>
      </c>
      <c r="EA2643" s="1" t="s">
        <v>447</v>
      </c>
      <c r="EC2643" s="1" t="s">
        <v>237</v>
      </c>
      <c r="EM2643" s="1" t="s">
        <v>238</v>
      </c>
      <c r="EQ2643" s="1" t="s">
        <v>238</v>
      </c>
      <c r="EU2643" s="1" t="s">
        <v>238</v>
      </c>
      <c r="EY2643" s="1" t="s">
        <v>238</v>
      </c>
      <c r="FC2643" s="1" t="s">
        <v>238</v>
      </c>
      <c r="FF2643" s="1" t="s">
        <v>239</v>
      </c>
      <c r="FG2643" s="1" t="s">
        <v>192</v>
      </c>
      <c r="FH2643" s="1" t="s">
        <v>192</v>
      </c>
      <c r="FJ2643" s="1" t="s">
        <v>770</v>
      </c>
      <c r="FK2643" s="1" t="s">
        <v>229</v>
      </c>
      <c r="FL2643" s="1" t="s">
        <v>23594</v>
      </c>
      <c r="FM2643" s="1">
        <v>15771.0</v>
      </c>
      <c r="FN2643" s="1" t="s">
        <v>23595</v>
      </c>
      <c r="FO2643" s="1" t="s">
        <v>23596</v>
      </c>
      <c r="FP2643" s="1">
        <v>103250.0</v>
      </c>
      <c r="FQ2643" s="1" t="s">
        <v>23595</v>
      </c>
      <c r="FU2643" s="1" t="s">
        <v>23597</v>
      </c>
      <c r="FV2643" s="1" t="s">
        <v>200</v>
      </c>
      <c r="FW2643" s="1" t="s">
        <v>631</v>
      </c>
      <c r="FX2643" s="1" t="s">
        <v>238</v>
      </c>
      <c r="FZ2643" s="1" t="s">
        <v>229</v>
      </c>
      <c r="GA2643" s="1" t="s">
        <v>291</v>
      </c>
      <c r="GB2643" s="2">
        <v>42093.0</v>
      </c>
      <c r="GC2643" s="1" t="s">
        <v>23598</v>
      </c>
    </row>
    <row r="2644">
      <c r="A2644" s="1">
        <v>345000.0</v>
      </c>
      <c r="B2644" s="1" t="s">
        <v>185</v>
      </c>
      <c r="C2644" s="1" t="str">
        <f>"08830969"</f>
        <v>08830969</v>
      </c>
      <c r="D2644" s="1" t="s">
        <v>186</v>
      </c>
      <c r="F2644" s="1" t="str">
        <f>"634"</f>
        <v>634</v>
      </c>
      <c r="G2644" s="2">
        <v>42039.0</v>
      </c>
      <c r="H2644" s="1">
        <v>349700.0</v>
      </c>
      <c r="I2644" s="1">
        <v>38.0</v>
      </c>
      <c r="J2644" s="1">
        <v>349700.0</v>
      </c>
      <c r="K2644" s="2">
        <v>42076.0</v>
      </c>
      <c r="L2644" s="1">
        <v>38.0</v>
      </c>
      <c r="M2644" s="2">
        <v>42076.0</v>
      </c>
      <c r="N2644" s="1" t="s">
        <v>187</v>
      </c>
      <c r="O2644" s="2">
        <v>42118.0</v>
      </c>
      <c r="P2644" s="1">
        <v>83308.0</v>
      </c>
      <c r="Q2644" s="1">
        <v>1246.0</v>
      </c>
      <c r="S2644" s="1">
        <v>4217.0</v>
      </c>
      <c r="T2644" s="1" t="s">
        <v>19007</v>
      </c>
      <c r="U2644" s="1" t="s">
        <v>189</v>
      </c>
      <c r="V2644" s="1" t="s">
        <v>6388</v>
      </c>
      <c r="W2644" s="1">
        <v>60706.0</v>
      </c>
      <c r="Y2644" s="1" t="s">
        <v>23599</v>
      </c>
      <c r="Z2644" s="1">
        <v>1952.0</v>
      </c>
      <c r="AA2644" s="1" t="s">
        <v>192</v>
      </c>
      <c r="AB2644" s="1" t="s">
        <v>193</v>
      </c>
      <c r="AD2644" s="1" t="s">
        <v>6390</v>
      </c>
      <c r="AE2644" s="1" t="s">
        <v>195</v>
      </c>
      <c r="AF2644" s="1" t="s">
        <v>2347</v>
      </c>
      <c r="AH2644" s="1" t="s">
        <v>23600</v>
      </c>
      <c r="AK2644" s="1">
        <v>10.0</v>
      </c>
      <c r="AL2644" s="1">
        <v>4.0</v>
      </c>
      <c r="AM2644" s="1">
        <v>2.0</v>
      </c>
      <c r="AN2644" s="1">
        <v>1.0</v>
      </c>
      <c r="AO2644" s="1" t="s">
        <v>229</v>
      </c>
      <c r="AQ2644" s="1" t="s">
        <v>198</v>
      </c>
      <c r="AR2644" s="1" t="s">
        <v>192</v>
      </c>
      <c r="AS2644" s="1" t="s">
        <v>510</v>
      </c>
      <c r="AT2644" s="1">
        <v>1.0</v>
      </c>
      <c r="AU2644" s="1">
        <v>3.0</v>
      </c>
      <c r="AV2644" s="1" t="s">
        <v>200</v>
      </c>
      <c r="AW2644" s="1">
        <v>8096.0</v>
      </c>
      <c r="AX2644" s="1">
        <v>2012.0</v>
      </c>
      <c r="AY2644" s="1" t="s">
        <v>387</v>
      </c>
      <c r="AZ2644" s="1" t="s">
        <v>200</v>
      </c>
      <c r="BA2644" s="1" t="str">
        <f>"12134240110000"</f>
        <v>12134240110000</v>
      </c>
      <c r="BC2644" s="1">
        <v>2057.0</v>
      </c>
      <c r="BD2644" s="1">
        <v>345000.0</v>
      </c>
      <c r="BE2644" s="2">
        <v>42039.0</v>
      </c>
      <c r="BF2644" s="2" t="s">
        <v>23601</v>
      </c>
      <c r="BG2644" s="1" t="s">
        <v>20363</v>
      </c>
      <c r="BH2644" s="1">
        <v>0.0</v>
      </c>
      <c r="BI2644" s="1" t="s">
        <v>20363</v>
      </c>
      <c r="BJ2644" s="1" t="s">
        <v>2352</v>
      </c>
      <c r="BK2644" s="1" t="s">
        <v>204</v>
      </c>
      <c r="BL2644" s="1" t="str">
        <f>"4217"</f>
        <v>4217</v>
      </c>
      <c r="BM2644" s="1" t="str">
        <f t="shared" si="1727"/>
        <v>0</v>
      </c>
      <c r="BN2644" s="1">
        <v>7300.0</v>
      </c>
      <c r="BO2644" s="1">
        <v>0.0</v>
      </c>
      <c r="BQ2644" s="1">
        <v>80.0</v>
      </c>
      <c r="BR2644" s="1">
        <v>234.0</v>
      </c>
      <c r="BS2644" s="1">
        <v>80.0</v>
      </c>
      <c r="BU2644" s="1" t="s">
        <v>213</v>
      </c>
      <c r="BV2644" s="1" t="s">
        <v>206</v>
      </c>
      <c r="BW2644" s="1" t="s">
        <v>207</v>
      </c>
      <c r="BY2644" s="1" t="s">
        <v>2120</v>
      </c>
      <c r="BZ2644" s="1" t="s">
        <v>209</v>
      </c>
      <c r="CA2644" s="1" t="s">
        <v>210</v>
      </c>
      <c r="CC2644" s="1" t="s">
        <v>264</v>
      </c>
      <c r="CD2644" s="1" t="s">
        <v>206</v>
      </c>
      <c r="CE2644" s="1" t="s">
        <v>207</v>
      </c>
      <c r="CG2644" s="1" t="s">
        <v>454</v>
      </c>
      <c r="CH2644" s="1" t="s">
        <v>209</v>
      </c>
      <c r="CI2644" s="1" t="s">
        <v>210</v>
      </c>
      <c r="CK2644" s="1" t="s">
        <v>212</v>
      </c>
      <c r="CL2644" s="1" t="s">
        <v>209</v>
      </c>
      <c r="CM2644" s="1" t="s">
        <v>210</v>
      </c>
      <c r="CO2644" s="1" t="s">
        <v>332</v>
      </c>
      <c r="CP2644" s="1" t="s">
        <v>206</v>
      </c>
      <c r="CQ2644" s="1" t="s">
        <v>207</v>
      </c>
      <c r="CS2644" s="1" t="s">
        <v>393</v>
      </c>
      <c r="CT2644" s="1" t="s">
        <v>206</v>
      </c>
      <c r="CU2644" s="1" t="s">
        <v>268</v>
      </c>
      <c r="CW2644" s="1" t="s">
        <v>1158</v>
      </c>
      <c r="CX2644" s="1" t="s">
        <v>206</v>
      </c>
      <c r="CY2644" s="1" t="s">
        <v>207</v>
      </c>
      <c r="DA2644" s="1" t="s">
        <v>200</v>
      </c>
      <c r="DC2644" s="1" t="s">
        <v>702</v>
      </c>
      <c r="DD2644" s="1" t="s">
        <v>518</v>
      </c>
      <c r="DE2644" s="1" t="s">
        <v>273</v>
      </c>
      <c r="DF2644" s="1" t="s">
        <v>1656</v>
      </c>
      <c r="DH2644" s="1" t="s">
        <v>220</v>
      </c>
      <c r="DI2644" s="1" t="s">
        <v>703</v>
      </c>
      <c r="DJ2644" s="1" t="s">
        <v>222</v>
      </c>
      <c r="DL2644" s="1" t="s">
        <v>224</v>
      </c>
      <c r="DM2644" s="1" t="s">
        <v>229</v>
      </c>
      <c r="DP2644" s="1" t="s">
        <v>340</v>
      </c>
      <c r="DQ2644" s="1" t="s">
        <v>228</v>
      </c>
      <c r="DR2644" s="1" t="s">
        <v>229</v>
      </c>
      <c r="DS2644" s="1" t="s">
        <v>230</v>
      </c>
      <c r="DV2644" s="1" t="s">
        <v>23602</v>
      </c>
      <c r="DW2644" s="1" t="s">
        <v>444</v>
      </c>
      <c r="DX2644" s="1" t="s">
        <v>234</v>
      </c>
      <c r="DY2644" s="1" t="s">
        <v>704</v>
      </c>
      <c r="DZ2644" s="1" t="s">
        <v>282</v>
      </c>
      <c r="EA2644" s="1" t="s">
        <v>588</v>
      </c>
      <c r="EC2644" s="1" t="s">
        <v>237</v>
      </c>
      <c r="EF2644" s="1" t="s">
        <v>523</v>
      </c>
      <c r="EG2644" s="1" t="s">
        <v>450</v>
      </c>
      <c r="EH2644" s="1" t="s">
        <v>1407</v>
      </c>
      <c r="EL2644" s="1" t="s">
        <v>2675</v>
      </c>
      <c r="EM2644" s="1" t="s">
        <v>42</v>
      </c>
      <c r="EN2644" s="1" t="s">
        <v>617</v>
      </c>
      <c r="EP2644" s="1" t="s">
        <v>331</v>
      </c>
      <c r="EQ2644" s="1" t="s">
        <v>42</v>
      </c>
      <c r="ER2644" s="1" t="s">
        <v>617</v>
      </c>
      <c r="EU2644" s="1" t="s">
        <v>238</v>
      </c>
      <c r="EY2644" s="1" t="s">
        <v>238</v>
      </c>
      <c r="FC2644" s="1" t="s">
        <v>238</v>
      </c>
      <c r="FF2644" s="1" t="s">
        <v>239</v>
      </c>
      <c r="FG2644" s="1" t="s">
        <v>192</v>
      </c>
      <c r="FH2644" s="1" t="s">
        <v>192</v>
      </c>
      <c r="FJ2644" s="1" t="s">
        <v>1450</v>
      </c>
      <c r="FK2644" s="1" t="s">
        <v>229</v>
      </c>
      <c r="FL2644" s="1" t="s">
        <v>5642</v>
      </c>
      <c r="FM2644" s="1">
        <v>15391.0</v>
      </c>
      <c r="FN2644" s="1" t="s">
        <v>5643</v>
      </c>
      <c r="FO2644" s="1" t="s">
        <v>23603</v>
      </c>
      <c r="FP2644" s="1">
        <v>124940.0</v>
      </c>
      <c r="FQ2644" s="1" t="s">
        <v>23604</v>
      </c>
      <c r="FU2644" s="1" t="s">
        <v>1438</v>
      </c>
      <c r="FV2644" s="1" t="s">
        <v>200</v>
      </c>
      <c r="FW2644" s="1" t="s">
        <v>290</v>
      </c>
      <c r="FX2644" s="1" t="s">
        <v>238</v>
      </c>
      <c r="FZ2644" s="1" t="s">
        <v>229</v>
      </c>
      <c r="GA2644" s="1" t="s">
        <v>291</v>
      </c>
      <c r="GB2644" s="2">
        <v>42121.0</v>
      </c>
    </row>
    <row r="2645">
      <c r="A2645" s="1">
        <v>286000.0</v>
      </c>
      <c r="B2645" s="1" t="s">
        <v>185</v>
      </c>
      <c r="C2645" s="1" t="str">
        <f>"08836876"</f>
        <v>08836876</v>
      </c>
      <c r="D2645" s="1" t="s">
        <v>186</v>
      </c>
      <c r="F2645" s="1" t="str">
        <f>"543"</f>
        <v>543</v>
      </c>
      <c r="G2645" s="2">
        <v>42047.0</v>
      </c>
      <c r="H2645" s="1">
        <v>300000.0</v>
      </c>
      <c r="I2645" s="1">
        <v>34.0</v>
      </c>
      <c r="J2645" s="1">
        <v>294000.0</v>
      </c>
      <c r="K2645" s="2">
        <v>42080.0</v>
      </c>
      <c r="L2645" s="1">
        <v>34.0</v>
      </c>
      <c r="M2645" s="2">
        <v>42080.0</v>
      </c>
      <c r="N2645" s="1" t="s">
        <v>356</v>
      </c>
      <c r="O2645" s="2">
        <v>42125.0</v>
      </c>
      <c r="P2645" s="1">
        <v>240667.0</v>
      </c>
      <c r="Q2645" s="1">
        <v>22029.0</v>
      </c>
      <c r="R2645" s="1">
        <v>4000.0</v>
      </c>
      <c r="S2645" s="1">
        <v>114.0</v>
      </c>
      <c r="T2645" s="1" t="s">
        <v>23605</v>
      </c>
      <c r="U2645" s="1" t="s">
        <v>569</v>
      </c>
      <c r="V2645" s="1" t="s">
        <v>1527</v>
      </c>
      <c r="W2645" s="1">
        <v>60543.0</v>
      </c>
      <c r="Y2645" s="1" t="s">
        <v>23606</v>
      </c>
      <c r="Z2645" s="1">
        <v>1990.0</v>
      </c>
      <c r="AA2645" s="1" t="s">
        <v>200</v>
      </c>
      <c r="AB2645" s="1" t="s">
        <v>193</v>
      </c>
      <c r="AC2645" s="1" t="s">
        <v>23607</v>
      </c>
      <c r="AD2645" s="1" t="s">
        <v>1529</v>
      </c>
      <c r="AE2645" s="1" t="s">
        <v>849</v>
      </c>
      <c r="AF2645" s="1" t="s">
        <v>1529</v>
      </c>
      <c r="AH2645" s="1" t="s">
        <v>23194</v>
      </c>
      <c r="AI2645" s="1">
        <v>0.272</v>
      </c>
      <c r="AK2645" s="1">
        <v>10.0</v>
      </c>
      <c r="AL2645" s="1">
        <v>4.0</v>
      </c>
      <c r="AM2645" s="1">
        <v>2.0</v>
      </c>
      <c r="AN2645" s="1">
        <v>1.0</v>
      </c>
      <c r="AO2645" s="1" t="s">
        <v>198</v>
      </c>
      <c r="AP2645" s="1">
        <v>1.0</v>
      </c>
      <c r="AQ2645" s="1" t="s">
        <v>198</v>
      </c>
      <c r="AR2645" s="1" t="s">
        <v>200</v>
      </c>
      <c r="AS2645" s="1" t="s">
        <v>199</v>
      </c>
      <c r="AT2645" s="1">
        <v>2.0</v>
      </c>
      <c r="AV2645" s="1" t="s">
        <v>200</v>
      </c>
      <c r="AW2645" s="1">
        <v>8858.76</v>
      </c>
      <c r="AX2645" s="1">
        <v>2013.0</v>
      </c>
      <c r="AY2645" s="1" t="s">
        <v>387</v>
      </c>
      <c r="AZ2645" s="1" t="s">
        <v>200</v>
      </c>
      <c r="BA2645" s="1" t="str">
        <f>"0308476041"</f>
        <v>0308476041</v>
      </c>
      <c r="BB2645" s="1" t="s">
        <v>200</v>
      </c>
      <c r="BC2645" s="1">
        <v>2890.0</v>
      </c>
      <c r="BD2645" s="1">
        <v>286000.0</v>
      </c>
      <c r="BE2645" s="2">
        <v>42047.0</v>
      </c>
      <c r="BF2645" s="2" t="s">
        <v>23608</v>
      </c>
      <c r="BG2645" s="1" t="s">
        <v>4366</v>
      </c>
      <c r="BH2645" s="1">
        <v>0.0</v>
      </c>
      <c r="BI2645" s="1" t="s">
        <v>1348</v>
      </c>
      <c r="BJ2645" s="1" t="s">
        <v>1349</v>
      </c>
      <c r="BK2645" s="1" t="s">
        <v>204</v>
      </c>
      <c r="BL2645" s="1" t="str">
        <f t="shared" ref="BL2645:BM2645" si="1728">""</f>
        <v/>
      </c>
      <c r="BM2645" s="1" t="str">
        <f t="shared" si="1728"/>
        <v/>
      </c>
      <c r="BN2645" s="1">
        <v>37.0</v>
      </c>
      <c r="BO2645" s="1">
        <v>11.0</v>
      </c>
      <c r="BQ2645" s="1">
        <v>308.0</v>
      </c>
      <c r="BR2645" s="1">
        <v>308.0</v>
      </c>
      <c r="BS2645" s="1">
        <v>308.0</v>
      </c>
      <c r="BU2645" s="1" t="s">
        <v>432</v>
      </c>
      <c r="BV2645" s="1" t="s">
        <v>206</v>
      </c>
      <c r="BW2645" s="1" t="s">
        <v>207</v>
      </c>
      <c r="BX2645" s="1" t="s">
        <v>1549</v>
      </c>
      <c r="BY2645" s="1" t="s">
        <v>432</v>
      </c>
      <c r="BZ2645" s="1" t="s">
        <v>209</v>
      </c>
      <c r="CA2645" s="1" t="s">
        <v>207</v>
      </c>
      <c r="CB2645" s="1" t="s">
        <v>431</v>
      </c>
      <c r="CC2645" s="1" t="s">
        <v>215</v>
      </c>
      <c r="CD2645" s="1" t="s">
        <v>206</v>
      </c>
      <c r="CE2645" s="1" t="s">
        <v>207</v>
      </c>
      <c r="CF2645" s="1" t="s">
        <v>1549</v>
      </c>
      <c r="CG2645" s="1" t="s">
        <v>454</v>
      </c>
      <c r="CH2645" s="1" t="s">
        <v>209</v>
      </c>
      <c r="CI2645" s="1" t="s">
        <v>210</v>
      </c>
      <c r="CJ2645" s="1" t="s">
        <v>431</v>
      </c>
      <c r="CK2645" s="1" t="s">
        <v>215</v>
      </c>
      <c r="CL2645" s="1" t="s">
        <v>209</v>
      </c>
      <c r="CM2645" s="1" t="s">
        <v>210</v>
      </c>
      <c r="CN2645" s="1" t="s">
        <v>431</v>
      </c>
      <c r="CO2645" s="1" t="s">
        <v>699</v>
      </c>
      <c r="CP2645" s="1" t="s">
        <v>209</v>
      </c>
      <c r="CQ2645" s="1" t="s">
        <v>210</v>
      </c>
      <c r="CR2645" s="1" t="s">
        <v>431</v>
      </c>
      <c r="CS2645" s="1" t="s">
        <v>363</v>
      </c>
      <c r="CT2645" s="1" t="s">
        <v>206</v>
      </c>
      <c r="CU2645" s="1" t="s">
        <v>268</v>
      </c>
      <c r="CW2645" s="1" t="s">
        <v>333</v>
      </c>
      <c r="CX2645" s="1" t="s">
        <v>206</v>
      </c>
      <c r="CY2645" s="1" t="s">
        <v>210</v>
      </c>
      <c r="CZ2645" s="1" t="s">
        <v>431</v>
      </c>
      <c r="DA2645" s="1" t="s">
        <v>200</v>
      </c>
      <c r="DC2645" s="1" t="s">
        <v>435</v>
      </c>
      <c r="DD2645" s="1" t="s">
        <v>336</v>
      </c>
      <c r="DE2645" s="1" t="s">
        <v>273</v>
      </c>
      <c r="DF2645" s="1" t="s">
        <v>219</v>
      </c>
      <c r="DG2645" s="1" t="s">
        <v>1020</v>
      </c>
      <c r="DH2645" s="1" t="s">
        <v>220</v>
      </c>
      <c r="DI2645" s="1" t="s">
        <v>275</v>
      </c>
      <c r="DJ2645" s="1" t="s">
        <v>222</v>
      </c>
      <c r="DL2645" s="1" t="s">
        <v>223</v>
      </c>
      <c r="DM2645" s="1" t="s">
        <v>338</v>
      </c>
      <c r="DN2645" s="1" t="s">
        <v>485</v>
      </c>
      <c r="DO2645" s="1" t="s">
        <v>717</v>
      </c>
      <c r="DP2645" s="1" t="s">
        <v>340</v>
      </c>
      <c r="DQ2645" s="1" t="s">
        <v>441</v>
      </c>
      <c r="DR2645" s="1" t="s">
        <v>229</v>
      </c>
      <c r="DS2645" s="1" t="s">
        <v>230</v>
      </c>
      <c r="DU2645" s="1" t="s">
        <v>3890</v>
      </c>
      <c r="DV2645" s="1" t="s">
        <v>23609</v>
      </c>
      <c r="DW2645" s="1" t="s">
        <v>934</v>
      </c>
      <c r="DX2645" s="1" t="s">
        <v>234</v>
      </c>
      <c r="DY2645" s="1" t="s">
        <v>490</v>
      </c>
      <c r="DZ2645" s="1" t="s">
        <v>2648</v>
      </c>
      <c r="EA2645" s="1" t="s">
        <v>344</v>
      </c>
      <c r="EB2645" s="1" t="s">
        <v>4251</v>
      </c>
      <c r="EC2645" s="1" t="s">
        <v>237</v>
      </c>
      <c r="ED2645" s="1" t="s">
        <v>407</v>
      </c>
      <c r="EE2645" s="1" t="s">
        <v>493</v>
      </c>
      <c r="EG2645" s="1" t="s">
        <v>556</v>
      </c>
      <c r="EH2645" s="1" t="s">
        <v>494</v>
      </c>
      <c r="EI2645" s="1" t="s">
        <v>408</v>
      </c>
      <c r="EJ2645" s="1" t="s">
        <v>1103</v>
      </c>
      <c r="EL2645" s="1" t="s">
        <v>331</v>
      </c>
      <c r="EM2645" s="1" t="s">
        <v>206</v>
      </c>
      <c r="EN2645" s="1" t="s">
        <v>268</v>
      </c>
      <c r="EP2645" s="1" t="s">
        <v>363</v>
      </c>
      <c r="EQ2645" s="1" t="s">
        <v>206</v>
      </c>
      <c r="ER2645" s="1" t="s">
        <v>207</v>
      </c>
      <c r="ES2645" s="1" t="s">
        <v>431</v>
      </c>
      <c r="ET2645" s="1" t="s">
        <v>263</v>
      </c>
      <c r="EU2645" s="1" t="s">
        <v>206</v>
      </c>
      <c r="EV2645" s="1" t="s">
        <v>268</v>
      </c>
      <c r="EX2645" s="1" t="s">
        <v>330</v>
      </c>
      <c r="EY2645" s="1" t="s">
        <v>42</v>
      </c>
      <c r="EZ2645" s="1" t="s">
        <v>588</v>
      </c>
      <c r="FC2645" s="1" t="s">
        <v>238</v>
      </c>
      <c r="FF2645" s="1" t="s">
        <v>239</v>
      </c>
      <c r="FG2645" s="1" t="s">
        <v>192</v>
      </c>
      <c r="FH2645" s="1" t="s">
        <v>192</v>
      </c>
      <c r="FJ2645" s="1" t="s">
        <v>1876</v>
      </c>
      <c r="FK2645" s="1" t="s">
        <v>229</v>
      </c>
      <c r="FL2645" s="1" t="s">
        <v>4369</v>
      </c>
      <c r="FM2645" s="1">
        <v>23279.0</v>
      </c>
      <c r="FN2645" s="1" t="s">
        <v>6096</v>
      </c>
      <c r="FO2645" s="1" t="s">
        <v>14965</v>
      </c>
      <c r="FP2645" s="1">
        <v>215497.0</v>
      </c>
      <c r="FQ2645" s="1" t="s">
        <v>14966</v>
      </c>
      <c r="FR2645" s="1">
        <v>217527.0</v>
      </c>
      <c r="FS2645" s="1" t="s">
        <v>14967</v>
      </c>
      <c r="FU2645" s="1" t="s">
        <v>23610</v>
      </c>
      <c r="FV2645" s="1" t="s">
        <v>200</v>
      </c>
      <c r="FW2645" s="1" t="s">
        <v>290</v>
      </c>
      <c r="FZ2645" s="1" t="s">
        <v>229</v>
      </c>
      <c r="GA2645" s="1" t="s">
        <v>291</v>
      </c>
      <c r="GB2645" s="2">
        <v>42125.0</v>
      </c>
      <c r="GC2645" s="1" t="s">
        <v>23611</v>
      </c>
    </row>
    <row r="2646">
      <c r="A2646" s="1">
        <v>215000.0</v>
      </c>
      <c r="B2646" s="1" t="s">
        <v>185</v>
      </c>
      <c r="C2646" s="1" t="str">
        <f>"08827741"</f>
        <v>08827741</v>
      </c>
      <c r="D2646" s="1" t="s">
        <v>186</v>
      </c>
      <c r="F2646" s="1" t="str">
        <f>"103"</f>
        <v>103</v>
      </c>
      <c r="G2646" s="2">
        <v>42034.0</v>
      </c>
      <c r="H2646" s="1">
        <v>224900.0</v>
      </c>
      <c r="I2646" s="1">
        <v>31.0</v>
      </c>
      <c r="J2646" s="1">
        <v>224900.0</v>
      </c>
      <c r="K2646" s="2">
        <v>42064.0</v>
      </c>
      <c r="L2646" s="1">
        <v>31.0</v>
      </c>
      <c r="M2646" s="2">
        <v>42064.0</v>
      </c>
      <c r="N2646" s="1" t="s">
        <v>187</v>
      </c>
      <c r="O2646" s="2">
        <v>42110.0</v>
      </c>
      <c r="P2646" s="1">
        <v>242724.0</v>
      </c>
      <c r="Q2646" s="1">
        <v>23265.0</v>
      </c>
      <c r="S2646" s="1">
        <v>2330.0</v>
      </c>
      <c r="T2646" s="1" t="s">
        <v>21361</v>
      </c>
      <c r="U2646" s="1" t="s">
        <v>569</v>
      </c>
      <c r="V2646" s="1" t="s">
        <v>251</v>
      </c>
      <c r="W2646" s="1">
        <v>60133.0</v>
      </c>
      <c r="Y2646" s="1" t="s">
        <v>23612</v>
      </c>
      <c r="Z2646" s="1">
        <v>1977.0</v>
      </c>
      <c r="AA2646" s="1" t="s">
        <v>192</v>
      </c>
      <c r="AB2646" s="1" t="s">
        <v>193</v>
      </c>
      <c r="AC2646" s="1" t="s">
        <v>4290</v>
      </c>
      <c r="AD2646" s="1" t="s">
        <v>254</v>
      </c>
      <c r="AE2646" s="1" t="s">
        <v>1258</v>
      </c>
      <c r="AF2646" s="1" t="s">
        <v>3935</v>
      </c>
      <c r="AG2646" s="1" t="s">
        <v>22542</v>
      </c>
      <c r="AH2646" s="1" t="s">
        <v>23613</v>
      </c>
      <c r="AI2646" s="1">
        <v>0.2519</v>
      </c>
      <c r="AK2646" s="1">
        <v>8.0</v>
      </c>
      <c r="AL2646" s="1">
        <v>4.0</v>
      </c>
      <c r="AM2646" s="1">
        <v>3.0</v>
      </c>
      <c r="AN2646" s="1">
        <v>0.0</v>
      </c>
      <c r="AO2646" s="1" t="s">
        <v>198</v>
      </c>
      <c r="AP2646" s="1">
        <v>1.0</v>
      </c>
      <c r="AQ2646" s="1" t="s">
        <v>257</v>
      </c>
      <c r="AR2646" s="1" t="s">
        <v>192</v>
      </c>
      <c r="AS2646" s="1" t="s">
        <v>199</v>
      </c>
      <c r="AT2646" s="1">
        <v>2.0</v>
      </c>
      <c r="AV2646" s="1" t="s">
        <v>200</v>
      </c>
      <c r="AW2646" s="1">
        <v>7527.0</v>
      </c>
      <c r="AX2646" s="1">
        <v>2013.0</v>
      </c>
      <c r="AY2646" s="1" t="s">
        <v>387</v>
      </c>
      <c r="AZ2646" s="1" t="s">
        <v>200</v>
      </c>
      <c r="BA2646" s="1" t="str">
        <f>"0113311006"</f>
        <v>0113311006</v>
      </c>
      <c r="BB2646" s="1" t="s">
        <v>200</v>
      </c>
      <c r="BC2646" s="1">
        <v>2201.0</v>
      </c>
      <c r="BD2646" s="1">
        <v>215000.0</v>
      </c>
      <c r="BE2646" s="2">
        <v>42034.0</v>
      </c>
      <c r="BF2646" s="2" t="s">
        <v>23614</v>
      </c>
      <c r="BG2646" s="1" t="s">
        <v>4294</v>
      </c>
      <c r="BH2646" s="1">
        <v>0.0</v>
      </c>
      <c r="BI2646" s="1" t="s">
        <v>4295</v>
      </c>
      <c r="BJ2646" s="1" t="s">
        <v>514</v>
      </c>
      <c r="BK2646" s="1" t="s">
        <v>204</v>
      </c>
      <c r="BL2646" s="1" t="str">
        <f>"5"</f>
        <v>5</v>
      </c>
      <c r="BM2646" s="1" t="str">
        <f>"0"</f>
        <v>0</v>
      </c>
      <c r="BN2646" s="1">
        <v>27.0</v>
      </c>
      <c r="BO2646" s="1">
        <v>0.0</v>
      </c>
      <c r="BQ2646" s="1">
        <v>46.0</v>
      </c>
      <c r="BR2646" s="1">
        <v>46.0</v>
      </c>
      <c r="BS2646" s="1">
        <v>46.0</v>
      </c>
      <c r="BU2646" s="1" t="s">
        <v>743</v>
      </c>
      <c r="BV2646" s="1" t="s">
        <v>206</v>
      </c>
      <c r="BW2646" s="1" t="s">
        <v>207</v>
      </c>
      <c r="BY2646" s="1" t="s">
        <v>433</v>
      </c>
      <c r="BZ2646" s="1" t="s">
        <v>206</v>
      </c>
      <c r="CA2646" s="1" t="s">
        <v>207</v>
      </c>
      <c r="CC2646" s="1" t="s">
        <v>495</v>
      </c>
      <c r="CD2646" s="1" t="s">
        <v>206</v>
      </c>
      <c r="CE2646" s="1" t="s">
        <v>207</v>
      </c>
      <c r="CG2646" s="1" t="s">
        <v>495</v>
      </c>
      <c r="CH2646" s="1" t="s">
        <v>206</v>
      </c>
      <c r="CI2646" s="1" t="s">
        <v>207</v>
      </c>
      <c r="CK2646" s="1" t="s">
        <v>269</v>
      </c>
      <c r="CL2646" s="1" t="s">
        <v>206</v>
      </c>
      <c r="CM2646" s="1" t="s">
        <v>207</v>
      </c>
      <c r="CO2646" s="1" t="s">
        <v>212</v>
      </c>
      <c r="CP2646" s="1" t="s">
        <v>267</v>
      </c>
      <c r="CQ2646" s="1" t="s">
        <v>210</v>
      </c>
      <c r="CS2646" s="1" t="s">
        <v>212</v>
      </c>
      <c r="CT2646" s="1" t="s">
        <v>206</v>
      </c>
      <c r="CU2646" s="1" t="s">
        <v>207</v>
      </c>
      <c r="CW2646" s="1" t="s">
        <v>6425</v>
      </c>
      <c r="CX2646" s="1" t="s">
        <v>267</v>
      </c>
      <c r="CY2646" s="1" t="s">
        <v>210</v>
      </c>
      <c r="DA2646" s="1" t="s">
        <v>200</v>
      </c>
      <c r="DC2646" s="1" t="s">
        <v>395</v>
      </c>
      <c r="DD2646" s="1" t="s">
        <v>396</v>
      </c>
      <c r="DE2646" s="1" t="s">
        <v>273</v>
      </c>
      <c r="DF2646" s="1" t="s">
        <v>219</v>
      </c>
      <c r="DG2646" s="1" t="s">
        <v>337</v>
      </c>
      <c r="DH2646" s="1" t="s">
        <v>365</v>
      </c>
      <c r="DI2646" s="1" t="s">
        <v>22855</v>
      </c>
      <c r="DJ2646" s="1" t="s">
        <v>222</v>
      </c>
      <c r="DK2646" s="1" t="s">
        <v>1380</v>
      </c>
      <c r="DL2646" s="1" t="s">
        <v>224</v>
      </c>
      <c r="DM2646" s="1" t="s">
        <v>229</v>
      </c>
      <c r="DO2646" s="1" t="s">
        <v>549</v>
      </c>
      <c r="DQ2646" s="1" t="s">
        <v>441</v>
      </c>
      <c r="DR2646" s="1" t="s">
        <v>229</v>
      </c>
      <c r="DS2646" s="1" t="s">
        <v>3204</v>
      </c>
      <c r="DU2646" s="1" t="s">
        <v>1355</v>
      </c>
      <c r="DV2646" s="1" t="s">
        <v>232</v>
      </c>
      <c r="DW2646" s="1" t="s">
        <v>279</v>
      </c>
      <c r="DX2646" s="1" t="s">
        <v>5015</v>
      </c>
      <c r="DY2646" s="1" t="s">
        <v>4238</v>
      </c>
      <c r="DZ2646" s="1" t="s">
        <v>23615</v>
      </c>
      <c r="EC2646" s="1" t="s">
        <v>284</v>
      </c>
      <c r="ED2646" s="1" t="s">
        <v>407</v>
      </c>
      <c r="EM2646" s="1" t="s">
        <v>238</v>
      </c>
      <c r="EQ2646" s="1" t="s">
        <v>238</v>
      </c>
      <c r="EU2646" s="1" t="s">
        <v>238</v>
      </c>
      <c r="EY2646" s="1" t="s">
        <v>238</v>
      </c>
      <c r="FC2646" s="1" t="s">
        <v>238</v>
      </c>
      <c r="FF2646" s="1" t="s">
        <v>239</v>
      </c>
      <c r="FG2646" s="1" t="s">
        <v>192</v>
      </c>
      <c r="FH2646" s="1" t="s">
        <v>192</v>
      </c>
      <c r="FJ2646" s="1" t="s">
        <v>23616</v>
      </c>
      <c r="FK2646" s="1" t="s">
        <v>229</v>
      </c>
      <c r="FL2646" s="1" t="s">
        <v>5963</v>
      </c>
      <c r="FM2646" s="1">
        <v>23099.0</v>
      </c>
      <c r="FN2646" s="1" t="s">
        <v>5964</v>
      </c>
      <c r="FO2646" s="1" t="s">
        <v>23617</v>
      </c>
      <c r="FP2646" s="1">
        <v>231688.0</v>
      </c>
      <c r="FQ2646" s="1" t="s">
        <v>23618</v>
      </c>
      <c r="FU2646" s="1" t="s">
        <v>23619</v>
      </c>
      <c r="FV2646" s="1" t="s">
        <v>200</v>
      </c>
      <c r="FW2646" s="1" t="s">
        <v>290</v>
      </c>
      <c r="FZ2646" s="1" t="s">
        <v>229</v>
      </c>
      <c r="GA2646" s="1" t="s">
        <v>291</v>
      </c>
      <c r="GB2646" s="2">
        <v>42111.0</v>
      </c>
    </row>
    <row r="2647">
      <c r="A2647" s="1">
        <v>429000.0</v>
      </c>
      <c r="B2647" s="1" t="s">
        <v>185</v>
      </c>
      <c r="C2647" s="1" t="str">
        <f>"08833280"</f>
        <v>08833280</v>
      </c>
      <c r="D2647" s="1" t="s">
        <v>186</v>
      </c>
      <c r="F2647" s="1" t="str">
        <f>"174"</f>
        <v>174</v>
      </c>
      <c r="G2647" s="2">
        <v>42041.0</v>
      </c>
      <c r="H2647" s="1">
        <v>433900.0</v>
      </c>
      <c r="I2647" s="1">
        <v>267.0</v>
      </c>
      <c r="J2647" s="1">
        <v>433900.0</v>
      </c>
      <c r="K2647" s="2">
        <v>42079.0</v>
      </c>
      <c r="L2647" s="1">
        <v>39.0</v>
      </c>
      <c r="M2647" s="2">
        <v>42079.0</v>
      </c>
      <c r="N2647" s="1" t="s">
        <v>187</v>
      </c>
      <c r="O2647" s="2">
        <v>42131.0</v>
      </c>
      <c r="P2647" s="1">
        <v>220063.0</v>
      </c>
      <c r="Q2647" s="1">
        <v>25792.0</v>
      </c>
      <c r="R2647" s="1">
        <v>3000.0</v>
      </c>
      <c r="S2647" s="1">
        <v>3001.0</v>
      </c>
      <c r="T2647" s="1" t="s">
        <v>23620</v>
      </c>
      <c r="U2647" s="1" t="s">
        <v>420</v>
      </c>
      <c r="V2647" s="1" t="s">
        <v>1200</v>
      </c>
      <c r="W2647" s="1">
        <v>60175.0</v>
      </c>
      <c r="Y2647" s="1" t="s">
        <v>23621</v>
      </c>
      <c r="Z2647" s="1">
        <v>1989.0</v>
      </c>
      <c r="AA2647" s="1" t="s">
        <v>200</v>
      </c>
      <c r="AB2647" s="1" t="s">
        <v>193</v>
      </c>
      <c r="AC2647" s="1" t="s">
        <v>15161</v>
      </c>
      <c r="AD2647" s="1" t="s">
        <v>1203</v>
      </c>
      <c r="AE2647" s="1" t="s">
        <v>325</v>
      </c>
      <c r="AF2647" s="1" t="s">
        <v>1203</v>
      </c>
      <c r="AH2647" s="1" t="s">
        <v>23622</v>
      </c>
      <c r="AI2647" s="1">
        <v>0.53</v>
      </c>
      <c r="AK2647" s="1">
        <v>10.0</v>
      </c>
      <c r="AL2647" s="1">
        <v>4.0</v>
      </c>
      <c r="AM2647" s="1">
        <v>2.0</v>
      </c>
      <c r="AN2647" s="1">
        <v>1.0</v>
      </c>
      <c r="AO2647" s="1" t="s">
        <v>198</v>
      </c>
      <c r="AP2647" s="1">
        <v>1.0</v>
      </c>
      <c r="AQ2647" s="1" t="s">
        <v>198</v>
      </c>
      <c r="AR2647" s="1" t="s">
        <v>200</v>
      </c>
      <c r="AS2647" s="1" t="s">
        <v>199</v>
      </c>
      <c r="AT2647" s="1">
        <v>3.0</v>
      </c>
      <c r="AV2647" s="1" t="s">
        <v>200</v>
      </c>
      <c r="AW2647" s="1">
        <v>12590.54</v>
      </c>
      <c r="AX2647" s="1">
        <v>2013.0</v>
      </c>
      <c r="AY2647" s="1" t="s">
        <v>387</v>
      </c>
      <c r="AZ2647" s="1" t="s">
        <v>200</v>
      </c>
      <c r="BA2647" s="1" t="str">
        <f>"0921227004"</f>
        <v>0921227004</v>
      </c>
      <c r="BB2647" s="1" t="s">
        <v>200</v>
      </c>
      <c r="BC2647" s="1">
        <v>2956.0</v>
      </c>
      <c r="BD2647" s="1">
        <v>429000.0</v>
      </c>
      <c r="BE2647" s="2">
        <v>42041.0</v>
      </c>
      <c r="BF2647" s="2" t="s">
        <v>23623</v>
      </c>
      <c r="BH2647" s="1">
        <v>0.0</v>
      </c>
      <c r="BK2647" s="1" t="s">
        <v>204</v>
      </c>
      <c r="BL2647" s="1" t="str">
        <f t="shared" ref="BL2647:BM2647" si="1729">""</f>
        <v/>
      </c>
      <c r="BM2647" s="1" t="str">
        <f t="shared" si="1729"/>
        <v/>
      </c>
      <c r="BQ2647" s="1">
        <v>303.0</v>
      </c>
      <c r="BR2647" s="1">
        <v>303.0</v>
      </c>
      <c r="BS2647" s="1">
        <v>303.0</v>
      </c>
      <c r="BU2647" s="1" t="s">
        <v>434</v>
      </c>
      <c r="BV2647" s="1" t="s">
        <v>206</v>
      </c>
      <c r="BW2647" s="1" t="s">
        <v>210</v>
      </c>
      <c r="BX2647" s="1" t="s">
        <v>239</v>
      </c>
      <c r="BY2647" s="1" t="s">
        <v>639</v>
      </c>
      <c r="BZ2647" s="1" t="s">
        <v>209</v>
      </c>
      <c r="CA2647" s="1" t="s">
        <v>210</v>
      </c>
      <c r="CB2647" s="1" t="s">
        <v>239</v>
      </c>
      <c r="CC2647" s="1" t="s">
        <v>215</v>
      </c>
      <c r="CD2647" s="1" t="s">
        <v>206</v>
      </c>
      <c r="CE2647" s="1" t="s">
        <v>207</v>
      </c>
      <c r="CF2647" s="1" t="s">
        <v>239</v>
      </c>
      <c r="CG2647" s="1" t="s">
        <v>329</v>
      </c>
      <c r="CH2647" s="1" t="s">
        <v>209</v>
      </c>
      <c r="CI2647" s="1" t="s">
        <v>210</v>
      </c>
      <c r="CJ2647" s="1" t="s">
        <v>239</v>
      </c>
      <c r="CK2647" s="1" t="s">
        <v>433</v>
      </c>
      <c r="CL2647" s="1" t="s">
        <v>209</v>
      </c>
      <c r="CM2647" s="1" t="s">
        <v>210</v>
      </c>
      <c r="CN2647" s="1" t="s">
        <v>239</v>
      </c>
      <c r="CO2647" s="1" t="s">
        <v>332</v>
      </c>
      <c r="CP2647" s="1" t="s">
        <v>209</v>
      </c>
      <c r="CQ2647" s="1" t="s">
        <v>210</v>
      </c>
      <c r="CR2647" s="1" t="s">
        <v>239</v>
      </c>
      <c r="CS2647" s="1" t="s">
        <v>854</v>
      </c>
      <c r="CT2647" s="1" t="s">
        <v>206</v>
      </c>
      <c r="CU2647" s="1" t="s">
        <v>268</v>
      </c>
      <c r="CV2647" s="1" t="s">
        <v>239</v>
      </c>
      <c r="CW2647" s="1" t="s">
        <v>782</v>
      </c>
      <c r="CX2647" s="1" t="s">
        <v>206</v>
      </c>
      <c r="CY2647" s="1" t="s">
        <v>207</v>
      </c>
      <c r="CZ2647" s="1" t="s">
        <v>239</v>
      </c>
      <c r="DA2647" s="1" t="s">
        <v>200</v>
      </c>
      <c r="DC2647" s="1" t="s">
        <v>305</v>
      </c>
      <c r="DD2647" s="1" t="s">
        <v>586</v>
      </c>
      <c r="DE2647" s="1" t="s">
        <v>273</v>
      </c>
      <c r="DF2647" s="1" t="s">
        <v>219</v>
      </c>
      <c r="DG2647" s="1" t="s">
        <v>337</v>
      </c>
      <c r="DH2647" s="1" t="s">
        <v>220</v>
      </c>
      <c r="DI2647" s="1" t="s">
        <v>10035</v>
      </c>
      <c r="DJ2647" s="1" t="s">
        <v>222</v>
      </c>
      <c r="DK2647" s="1" t="s">
        <v>223</v>
      </c>
      <c r="DL2647" s="1" t="s">
        <v>858</v>
      </c>
      <c r="DM2647" s="1" t="s">
        <v>338</v>
      </c>
      <c r="DN2647" s="1" t="s">
        <v>399</v>
      </c>
      <c r="DP2647" s="1" t="s">
        <v>340</v>
      </c>
      <c r="DQ2647" s="1" t="s">
        <v>1557</v>
      </c>
      <c r="DR2647" s="1" t="s">
        <v>229</v>
      </c>
      <c r="DS2647" s="1" t="s">
        <v>230</v>
      </c>
      <c r="DU2647" s="1" t="s">
        <v>23624</v>
      </c>
      <c r="DV2647" s="1" t="s">
        <v>7291</v>
      </c>
      <c r="DW2647" s="1" t="s">
        <v>764</v>
      </c>
      <c r="DX2647" s="1" t="s">
        <v>234</v>
      </c>
      <c r="DY2647" s="1" t="s">
        <v>1559</v>
      </c>
      <c r="DZ2647" s="1" t="s">
        <v>2424</v>
      </c>
      <c r="EA2647" s="1" t="s">
        <v>447</v>
      </c>
      <c r="EB2647" s="1" t="s">
        <v>937</v>
      </c>
      <c r="EC2647" s="1" t="s">
        <v>237</v>
      </c>
      <c r="ED2647" s="1" t="s">
        <v>555</v>
      </c>
      <c r="EG2647" s="1" t="s">
        <v>494</v>
      </c>
      <c r="EH2647" s="1" t="s">
        <v>450</v>
      </c>
      <c r="EL2647" s="1" t="s">
        <v>363</v>
      </c>
      <c r="EM2647" s="1" t="s">
        <v>206</v>
      </c>
      <c r="EN2647" s="1" t="s">
        <v>207</v>
      </c>
      <c r="EO2647" s="1" t="s">
        <v>239</v>
      </c>
      <c r="EP2647" s="1" t="s">
        <v>23625</v>
      </c>
      <c r="EQ2647" s="1" t="s">
        <v>42</v>
      </c>
      <c r="ER2647" s="1" t="s">
        <v>210</v>
      </c>
      <c r="ES2647" s="1" t="s">
        <v>229</v>
      </c>
      <c r="EU2647" s="1" t="s">
        <v>238</v>
      </c>
      <c r="EY2647" s="1" t="s">
        <v>238</v>
      </c>
      <c r="FC2647" s="1" t="s">
        <v>238</v>
      </c>
      <c r="FF2647" s="1" t="s">
        <v>239</v>
      </c>
      <c r="FG2647" s="1" t="s">
        <v>192</v>
      </c>
      <c r="FH2647" s="1" t="s">
        <v>192</v>
      </c>
      <c r="FJ2647" s="1" t="s">
        <v>1493</v>
      </c>
      <c r="FK2647" s="1" t="s">
        <v>348</v>
      </c>
      <c r="FL2647" s="1" t="s">
        <v>1212</v>
      </c>
      <c r="FM2647" s="1">
        <v>30.0</v>
      </c>
      <c r="FN2647" s="1" t="s">
        <v>1213</v>
      </c>
      <c r="FO2647" s="1" t="s">
        <v>1214</v>
      </c>
      <c r="FP2647" s="1">
        <v>329.0</v>
      </c>
      <c r="FQ2647" s="1" t="s">
        <v>1215</v>
      </c>
      <c r="FR2647" s="1">
        <v>7526.0</v>
      </c>
      <c r="FU2647" s="1" t="s">
        <v>23626</v>
      </c>
      <c r="FV2647" s="1" t="s">
        <v>200</v>
      </c>
      <c r="FW2647" s="1" t="s">
        <v>290</v>
      </c>
      <c r="FZ2647" s="1" t="s">
        <v>229</v>
      </c>
      <c r="GA2647" s="1" t="s">
        <v>291</v>
      </c>
      <c r="GB2647" s="2">
        <v>42131.0</v>
      </c>
      <c r="GC2647" s="1" t="s">
        <v>23627</v>
      </c>
    </row>
    <row r="2648">
      <c r="A2648" s="1">
        <v>143500.0</v>
      </c>
      <c r="B2648" s="1" t="s">
        <v>185</v>
      </c>
      <c r="C2648" s="1" t="str">
        <f>"08831409"</f>
        <v>08831409</v>
      </c>
      <c r="D2648" s="1" t="s">
        <v>186</v>
      </c>
      <c r="F2648" s="1" t="str">
        <f>"123"</f>
        <v>123</v>
      </c>
      <c r="G2648" s="2">
        <v>42040.0</v>
      </c>
      <c r="H2648" s="1">
        <v>144900.0</v>
      </c>
      <c r="I2648" s="1">
        <v>163.0</v>
      </c>
      <c r="J2648" s="1">
        <v>143500.0</v>
      </c>
      <c r="K2648" s="2">
        <v>42074.0</v>
      </c>
      <c r="L2648" s="1">
        <v>35.0</v>
      </c>
      <c r="M2648" s="2">
        <v>42074.0</v>
      </c>
      <c r="N2648" s="1" t="s">
        <v>187</v>
      </c>
      <c r="O2648" s="2">
        <v>42123.0</v>
      </c>
      <c r="P2648" s="1">
        <v>239555.0</v>
      </c>
      <c r="Q2648" s="1">
        <v>22739.0</v>
      </c>
      <c r="R2648" s="1">
        <v>3500.0</v>
      </c>
      <c r="S2648" s="1">
        <v>55.0</v>
      </c>
      <c r="T2648" s="1" t="s">
        <v>23628</v>
      </c>
      <c r="U2648" s="1" t="s">
        <v>320</v>
      </c>
      <c r="V2648" s="1" t="s">
        <v>465</v>
      </c>
      <c r="W2648" s="1">
        <v>60120.0</v>
      </c>
      <c r="Y2648" s="1" t="s">
        <v>23629</v>
      </c>
      <c r="Z2648" s="1">
        <v>1914.0</v>
      </c>
      <c r="AA2648" s="1" t="s">
        <v>192</v>
      </c>
      <c r="AB2648" s="1" t="s">
        <v>193</v>
      </c>
      <c r="AD2648" s="1" t="s">
        <v>469</v>
      </c>
      <c r="AE2648" s="1" t="s">
        <v>325</v>
      </c>
      <c r="AF2648" s="1" t="s">
        <v>469</v>
      </c>
      <c r="AH2648" s="1" t="s">
        <v>23630</v>
      </c>
      <c r="AK2648" s="1">
        <v>8.0</v>
      </c>
      <c r="AL2648" s="1">
        <v>4.0</v>
      </c>
      <c r="AM2648" s="1">
        <v>2.0</v>
      </c>
      <c r="AN2648" s="1">
        <v>0.0</v>
      </c>
      <c r="AO2648" s="1" t="s">
        <v>229</v>
      </c>
      <c r="AQ2648" s="1" t="s">
        <v>198</v>
      </c>
      <c r="AR2648" s="1" t="s">
        <v>192</v>
      </c>
      <c r="AS2648" s="1" t="s">
        <v>199</v>
      </c>
      <c r="AT2648" s="1">
        <v>2.0</v>
      </c>
      <c r="AV2648" s="1" t="s">
        <v>200</v>
      </c>
      <c r="AW2648" s="1">
        <v>3320.0</v>
      </c>
      <c r="AX2648" s="1">
        <v>2013.0</v>
      </c>
      <c r="AY2648" s="1" t="s">
        <v>229</v>
      </c>
      <c r="AZ2648" s="1" t="s">
        <v>200</v>
      </c>
      <c r="BA2648" s="1" t="str">
        <f>"0611479002"</f>
        <v>0611479002</v>
      </c>
      <c r="BC2648" s="1">
        <v>1476.0</v>
      </c>
      <c r="BD2648" s="1">
        <v>143500.0</v>
      </c>
      <c r="BE2648" s="2">
        <v>42040.0</v>
      </c>
      <c r="BF2648" s="2" t="s">
        <v>23631</v>
      </c>
      <c r="BH2648" s="1">
        <v>0.0</v>
      </c>
      <c r="BK2648" s="1" t="s">
        <v>204</v>
      </c>
      <c r="BL2648" s="1" t="str">
        <f t="shared" ref="BL2648:BM2648" si="1730">""</f>
        <v/>
      </c>
      <c r="BM2648" s="1" t="str">
        <f t="shared" si="1730"/>
        <v/>
      </c>
      <c r="BQ2648" s="1">
        <v>46.0</v>
      </c>
      <c r="BR2648" s="1">
        <v>46.0</v>
      </c>
      <c r="BS2648" s="1">
        <v>46.0</v>
      </c>
      <c r="BU2648" s="1" t="s">
        <v>497</v>
      </c>
      <c r="BV2648" s="1" t="s">
        <v>206</v>
      </c>
      <c r="BW2648" s="1" t="s">
        <v>301</v>
      </c>
      <c r="BY2648" s="1" t="s">
        <v>729</v>
      </c>
      <c r="BZ2648" s="1" t="s">
        <v>206</v>
      </c>
      <c r="CA2648" s="1" t="s">
        <v>210</v>
      </c>
      <c r="CC2648" s="1" t="s">
        <v>497</v>
      </c>
      <c r="CD2648" s="1" t="s">
        <v>206</v>
      </c>
      <c r="CE2648" s="1" t="s">
        <v>301</v>
      </c>
      <c r="CG2648" s="1" t="s">
        <v>269</v>
      </c>
      <c r="CH2648" s="1" t="s">
        <v>206</v>
      </c>
      <c r="CI2648" s="1" t="s">
        <v>210</v>
      </c>
      <c r="CK2648" s="1" t="s">
        <v>212</v>
      </c>
      <c r="CL2648" s="1" t="s">
        <v>209</v>
      </c>
      <c r="CM2648" s="1" t="s">
        <v>210</v>
      </c>
      <c r="CO2648" s="1" t="s">
        <v>516</v>
      </c>
      <c r="CP2648" s="1" t="s">
        <v>209</v>
      </c>
      <c r="CQ2648" s="1" t="s">
        <v>210</v>
      </c>
      <c r="CS2648" s="1" t="s">
        <v>1796</v>
      </c>
      <c r="CT2648" s="1" t="s">
        <v>206</v>
      </c>
      <c r="CU2648" s="1" t="s">
        <v>268</v>
      </c>
      <c r="CW2648" s="1" t="s">
        <v>454</v>
      </c>
      <c r="CX2648" s="1" t="s">
        <v>42</v>
      </c>
      <c r="CY2648" s="1" t="s">
        <v>268</v>
      </c>
      <c r="DA2648" s="1" t="s">
        <v>200</v>
      </c>
      <c r="DC2648" s="1" t="s">
        <v>642</v>
      </c>
      <c r="DE2648" s="1" t="s">
        <v>273</v>
      </c>
      <c r="DF2648" s="1" t="s">
        <v>219</v>
      </c>
      <c r="DG2648" s="1" t="s">
        <v>337</v>
      </c>
      <c r="DH2648" s="1" t="s">
        <v>220</v>
      </c>
      <c r="DI2648" s="1" t="s">
        <v>308</v>
      </c>
      <c r="DJ2648" s="1" t="s">
        <v>222</v>
      </c>
      <c r="DK2648" s="1" t="s">
        <v>1380</v>
      </c>
      <c r="DL2648" s="1" t="s">
        <v>224</v>
      </c>
      <c r="DM2648" s="1" t="s">
        <v>229</v>
      </c>
      <c r="DP2648" s="1" t="s">
        <v>340</v>
      </c>
      <c r="DQ2648" s="1" t="s">
        <v>228</v>
      </c>
      <c r="DR2648" s="1" t="s">
        <v>229</v>
      </c>
      <c r="DS2648" s="1" t="s">
        <v>230</v>
      </c>
      <c r="DV2648" s="1" t="s">
        <v>232</v>
      </c>
      <c r="DW2648" s="1" t="s">
        <v>2602</v>
      </c>
      <c r="DX2648" s="1" t="s">
        <v>234</v>
      </c>
      <c r="DY2648" s="1" t="s">
        <v>861</v>
      </c>
      <c r="EA2648" s="1" t="s">
        <v>344</v>
      </c>
      <c r="EC2648" s="1" t="s">
        <v>645</v>
      </c>
      <c r="ED2648" s="1" t="s">
        <v>555</v>
      </c>
      <c r="EE2648" s="1" t="s">
        <v>493</v>
      </c>
      <c r="EM2648" s="1" t="s">
        <v>238</v>
      </c>
      <c r="EQ2648" s="1" t="s">
        <v>238</v>
      </c>
      <c r="EU2648" s="1" t="s">
        <v>238</v>
      </c>
      <c r="EY2648" s="1" t="s">
        <v>238</v>
      </c>
      <c r="FC2648" s="1" t="s">
        <v>238</v>
      </c>
      <c r="FF2648" s="1" t="s">
        <v>239</v>
      </c>
      <c r="FG2648" s="1" t="s">
        <v>192</v>
      </c>
      <c r="FH2648" s="1" t="s">
        <v>192</v>
      </c>
      <c r="FJ2648" s="1" t="s">
        <v>9647</v>
      </c>
      <c r="FK2648" s="1" t="s">
        <v>229</v>
      </c>
      <c r="FL2648" s="1" t="s">
        <v>881</v>
      </c>
      <c r="FM2648" s="1">
        <v>6097.0</v>
      </c>
      <c r="FN2648" s="1" t="s">
        <v>882</v>
      </c>
      <c r="FO2648" s="1" t="s">
        <v>883</v>
      </c>
      <c r="FP2648" s="1">
        <v>62592.0</v>
      </c>
      <c r="FQ2648" s="1" t="s">
        <v>884</v>
      </c>
      <c r="FU2648" s="1" t="s">
        <v>885</v>
      </c>
      <c r="FV2648" s="1" t="s">
        <v>200</v>
      </c>
      <c r="FW2648" s="1" t="s">
        <v>290</v>
      </c>
      <c r="FZ2648" s="1" t="s">
        <v>229</v>
      </c>
      <c r="GA2648" s="1" t="s">
        <v>291</v>
      </c>
      <c r="GB2648" s="2">
        <v>42139.0</v>
      </c>
      <c r="GC2648" s="1" t="s">
        <v>23632</v>
      </c>
    </row>
    <row r="2649">
      <c r="A2649" s="1">
        <v>832000.0</v>
      </c>
      <c r="B2649" s="1" t="s">
        <v>185</v>
      </c>
      <c r="C2649" s="1" t="str">
        <f>"08840199"</f>
        <v>08840199</v>
      </c>
      <c r="D2649" s="1" t="s">
        <v>186</v>
      </c>
      <c r="F2649" s="1" t="str">
        <f>"8077"</f>
        <v>8077</v>
      </c>
      <c r="G2649" s="2">
        <v>42052.0</v>
      </c>
      <c r="H2649" s="1">
        <v>825000.0</v>
      </c>
      <c r="I2649" s="1">
        <v>7.0</v>
      </c>
      <c r="J2649" s="1">
        <v>825000.0</v>
      </c>
      <c r="K2649" s="2">
        <v>42058.0</v>
      </c>
      <c r="L2649" s="1">
        <v>7.0</v>
      </c>
      <c r="M2649" s="2">
        <v>42058.0</v>
      </c>
      <c r="N2649" s="1" t="s">
        <v>187</v>
      </c>
      <c r="O2649" s="2">
        <v>42122.0</v>
      </c>
      <c r="P2649" s="1">
        <v>179854.0</v>
      </c>
      <c r="Q2649" s="1">
        <v>18705.0</v>
      </c>
      <c r="R2649" s="1">
        <v>2500.0</v>
      </c>
      <c r="S2649" s="1">
        <v>1734.0</v>
      </c>
      <c r="T2649" s="1" t="s">
        <v>7016</v>
      </c>
      <c r="U2649" s="1" t="s">
        <v>189</v>
      </c>
      <c r="V2649" s="1" t="s">
        <v>190</v>
      </c>
      <c r="W2649" s="1">
        <v>60640.0</v>
      </c>
      <c r="Y2649" s="1" t="s">
        <v>23633</v>
      </c>
      <c r="Z2649" s="1" t="s">
        <v>296</v>
      </c>
      <c r="AA2649" s="1" t="s">
        <v>192</v>
      </c>
      <c r="AB2649" s="1" t="s">
        <v>193</v>
      </c>
      <c r="AD2649" s="1" t="s">
        <v>194</v>
      </c>
      <c r="AE2649" s="1" t="s">
        <v>195</v>
      </c>
      <c r="AF2649" s="1" t="s">
        <v>2645</v>
      </c>
      <c r="AH2649" s="1" t="s">
        <v>359</v>
      </c>
      <c r="AK2649" s="1">
        <v>8.0</v>
      </c>
      <c r="AL2649" s="1">
        <v>4.0</v>
      </c>
      <c r="AM2649" s="1">
        <v>2.0</v>
      </c>
      <c r="AN2649" s="1">
        <v>1.0</v>
      </c>
      <c r="AO2649" s="1" t="s">
        <v>198</v>
      </c>
      <c r="AP2649" s="1">
        <v>1.0</v>
      </c>
      <c r="AQ2649" s="1" t="s">
        <v>198</v>
      </c>
      <c r="AR2649" s="1" t="s">
        <v>200</v>
      </c>
      <c r="AS2649" s="1" t="s">
        <v>199</v>
      </c>
      <c r="AT2649" s="1">
        <v>2.0</v>
      </c>
      <c r="AV2649" s="1" t="s">
        <v>200</v>
      </c>
      <c r="AW2649" s="4">
        <v>11194.3</v>
      </c>
      <c r="AX2649" s="1">
        <v>2013.0</v>
      </c>
      <c r="AY2649" s="1" t="s">
        <v>387</v>
      </c>
      <c r="AZ2649" s="1" t="s">
        <v>200</v>
      </c>
      <c r="BA2649" s="1" t="str">
        <f>"14072040200000"</f>
        <v>14072040200000</v>
      </c>
      <c r="BC2649" s="1">
        <v>0.0</v>
      </c>
      <c r="BD2649" s="1">
        <v>832000.0</v>
      </c>
      <c r="BE2649" s="2">
        <v>42052.0</v>
      </c>
      <c r="BF2649" s="2" t="s">
        <v>23634</v>
      </c>
      <c r="BG2649" s="1" t="s">
        <v>4739</v>
      </c>
      <c r="BH2649" s="1">
        <v>0.0</v>
      </c>
      <c r="BK2649" s="1" t="s">
        <v>204</v>
      </c>
      <c r="BL2649" s="1" t="str">
        <f>"5400"</f>
        <v>5400</v>
      </c>
      <c r="BM2649" s="1" t="str">
        <f>"0"</f>
        <v>0</v>
      </c>
      <c r="BN2649" s="1">
        <v>1734.0</v>
      </c>
      <c r="BO2649" s="1">
        <v>0.0</v>
      </c>
      <c r="BQ2649" s="1">
        <v>299.0</v>
      </c>
      <c r="BR2649" s="1">
        <v>299.0</v>
      </c>
      <c r="BS2649" s="1">
        <v>299.0</v>
      </c>
      <c r="BU2649" s="1" t="s">
        <v>758</v>
      </c>
      <c r="BV2649" s="1" t="s">
        <v>206</v>
      </c>
      <c r="BW2649" s="1" t="s">
        <v>207</v>
      </c>
      <c r="BY2649" s="1" t="s">
        <v>2130</v>
      </c>
      <c r="BZ2649" s="1" t="s">
        <v>209</v>
      </c>
      <c r="CA2649" s="1" t="s">
        <v>207</v>
      </c>
      <c r="CC2649" s="1" t="s">
        <v>1417</v>
      </c>
      <c r="CD2649" s="1" t="s">
        <v>206</v>
      </c>
      <c r="CE2649" s="1" t="s">
        <v>207</v>
      </c>
      <c r="CG2649" s="1" t="s">
        <v>1483</v>
      </c>
      <c r="CH2649" s="1" t="s">
        <v>209</v>
      </c>
      <c r="CI2649" s="1" t="s">
        <v>207</v>
      </c>
      <c r="CK2649" s="1" t="s">
        <v>584</v>
      </c>
      <c r="CL2649" s="1" t="s">
        <v>209</v>
      </c>
      <c r="CM2649" s="1" t="s">
        <v>207</v>
      </c>
      <c r="CO2649" s="1" t="s">
        <v>815</v>
      </c>
      <c r="CP2649" s="1" t="s">
        <v>206</v>
      </c>
      <c r="CQ2649" s="1" t="s">
        <v>207</v>
      </c>
      <c r="CS2649" s="1" t="s">
        <v>17988</v>
      </c>
      <c r="CT2649" s="1" t="s">
        <v>206</v>
      </c>
      <c r="CU2649" s="1" t="s">
        <v>207</v>
      </c>
      <c r="CX2649" s="1" t="s">
        <v>204</v>
      </c>
      <c r="DA2649" s="1" t="s">
        <v>200</v>
      </c>
      <c r="DC2649" s="1" t="s">
        <v>545</v>
      </c>
      <c r="DE2649" s="1" t="s">
        <v>3750</v>
      </c>
      <c r="DF2649" s="1" t="s">
        <v>2328</v>
      </c>
      <c r="DH2649" s="1" t="s">
        <v>220</v>
      </c>
      <c r="DI2649" s="1" t="s">
        <v>2057</v>
      </c>
      <c r="DJ2649" s="1" t="s">
        <v>222</v>
      </c>
      <c r="DL2649" s="1" t="s">
        <v>791</v>
      </c>
      <c r="DM2649" s="1" t="s">
        <v>229</v>
      </c>
      <c r="DN2649" s="1" t="s">
        <v>23635</v>
      </c>
      <c r="DQ2649" s="1" t="s">
        <v>718</v>
      </c>
      <c r="DR2649" s="1" t="s">
        <v>229</v>
      </c>
      <c r="DV2649" s="1" t="s">
        <v>1961</v>
      </c>
      <c r="DW2649" s="1" t="s">
        <v>3876</v>
      </c>
      <c r="DX2649" s="1" t="s">
        <v>234</v>
      </c>
      <c r="DY2649" s="1" t="s">
        <v>23636</v>
      </c>
      <c r="DZ2649" s="1" t="s">
        <v>966</v>
      </c>
      <c r="EB2649" s="1" t="s">
        <v>345</v>
      </c>
      <c r="EC2649" s="1" t="s">
        <v>237</v>
      </c>
      <c r="EG2649" s="1" t="s">
        <v>1961</v>
      </c>
      <c r="EL2649" s="1" t="s">
        <v>1852</v>
      </c>
      <c r="EM2649" s="1" t="s">
        <v>209</v>
      </c>
      <c r="EN2649" s="1" t="s">
        <v>207</v>
      </c>
      <c r="EQ2649" s="1" t="s">
        <v>238</v>
      </c>
      <c r="EU2649" s="1" t="s">
        <v>238</v>
      </c>
      <c r="EY2649" s="1" t="s">
        <v>238</v>
      </c>
      <c r="FC2649" s="1" t="s">
        <v>238</v>
      </c>
      <c r="FF2649" s="1" t="s">
        <v>239</v>
      </c>
      <c r="FG2649" s="1" t="s">
        <v>192</v>
      </c>
      <c r="FH2649" s="1" t="s">
        <v>192</v>
      </c>
      <c r="FJ2649" s="1" t="s">
        <v>799</v>
      </c>
      <c r="FK2649" s="1" t="s">
        <v>229</v>
      </c>
      <c r="FL2649" s="1" t="s">
        <v>562</v>
      </c>
      <c r="FM2649" s="1">
        <v>85774.0</v>
      </c>
      <c r="FN2649" s="1" t="s">
        <v>2369</v>
      </c>
      <c r="FO2649" s="1" t="s">
        <v>23637</v>
      </c>
      <c r="FP2649" s="1">
        <v>165858.0</v>
      </c>
      <c r="FQ2649" s="1" t="s">
        <v>23638</v>
      </c>
      <c r="FU2649" s="1" t="s">
        <v>23639</v>
      </c>
      <c r="FV2649" s="1" t="s">
        <v>200</v>
      </c>
      <c r="FW2649" s="1" t="s">
        <v>6116</v>
      </c>
      <c r="FX2649" s="1" t="s">
        <v>246</v>
      </c>
      <c r="FZ2649" s="1" t="s">
        <v>229</v>
      </c>
      <c r="GA2649" s="1" t="s">
        <v>291</v>
      </c>
      <c r="GB2649" s="2">
        <v>42122.0</v>
      </c>
      <c r="GC2649" s="1" t="s">
        <v>23640</v>
      </c>
    </row>
    <row r="2650">
      <c r="A2650" s="1">
        <v>31000.0</v>
      </c>
      <c r="B2650" s="1" t="s">
        <v>185</v>
      </c>
      <c r="C2650" s="1" t="str">
        <f>"08834746"</f>
        <v>08834746</v>
      </c>
      <c r="D2650" s="1" t="s">
        <v>186</v>
      </c>
      <c r="F2650" s="1" t="str">
        <f>"8040"</f>
        <v>8040</v>
      </c>
      <c r="G2650" s="2">
        <v>42044.0</v>
      </c>
      <c r="H2650" s="1">
        <v>33000.0</v>
      </c>
      <c r="I2650" s="1">
        <v>46.0</v>
      </c>
      <c r="J2650" s="1">
        <v>33000.0</v>
      </c>
      <c r="K2650" s="2">
        <v>42089.0</v>
      </c>
      <c r="L2650" s="1">
        <v>46.0</v>
      </c>
      <c r="M2650" s="2">
        <v>42089.0</v>
      </c>
      <c r="N2650" s="1" t="s">
        <v>249</v>
      </c>
      <c r="O2650" s="2">
        <v>42111.0</v>
      </c>
      <c r="P2650" s="1">
        <v>155230.0</v>
      </c>
      <c r="Q2650" s="1">
        <v>84992.0</v>
      </c>
      <c r="S2650" s="1">
        <v>5324.0</v>
      </c>
      <c r="T2650" s="1" t="s">
        <v>9864</v>
      </c>
      <c r="U2650" s="1" t="s">
        <v>189</v>
      </c>
      <c r="V2650" s="1" t="s">
        <v>190</v>
      </c>
      <c r="W2650" s="1">
        <v>60615.0</v>
      </c>
      <c r="Y2650" s="1" t="s">
        <v>23641</v>
      </c>
      <c r="Z2650" s="1">
        <v>1903.0</v>
      </c>
      <c r="AA2650" s="1" t="s">
        <v>192</v>
      </c>
      <c r="AB2650" s="1" t="s">
        <v>193</v>
      </c>
      <c r="AD2650" s="1" t="s">
        <v>194</v>
      </c>
      <c r="AE2650" s="1" t="s">
        <v>195</v>
      </c>
      <c r="AF2650" s="1" t="s">
        <v>1154</v>
      </c>
      <c r="AH2650" s="1" t="s">
        <v>741</v>
      </c>
      <c r="AI2650" s="1">
        <v>0.1072</v>
      </c>
      <c r="AK2650" s="1">
        <v>8.0</v>
      </c>
      <c r="AL2650" s="1">
        <v>4.0</v>
      </c>
      <c r="AM2650" s="1">
        <v>2.0</v>
      </c>
      <c r="AN2650" s="1">
        <v>0.0</v>
      </c>
      <c r="AO2650" s="1" t="s">
        <v>229</v>
      </c>
      <c r="AQ2650" s="1" t="s">
        <v>198</v>
      </c>
      <c r="AR2650" s="1" t="s">
        <v>200</v>
      </c>
      <c r="AS2650" s="1" t="s">
        <v>229</v>
      </c>
      <c r="AV2650" s="1" t="s">
        <v>200</v>
      </c>
      <c r="AW2650" s="1">
        <v>3227.92</v>
      </c>
      <c r="AX2650" s="1">
        <v>2013.0</v>
      </c>
      <c r="AZ2650" s="1" t="s">
        <v>200</v>
      </c>
      <c r="BA2650" s="1" t="str">
        <f>"20103070220000"</f>
        <v>20103070220000</v>
      </c>
      <c r="BC2650" s="1">
        <v>1190.0</v>
      </c>
      <c r="BD2650" s="1">
        <v>31000.0</v>
      </c>
      <c r="BE2650" s="2">
        <v>42044.0</v>
      </c>
      <c r="BF2650" s="1" t="s">
        <v>23642</v>
      </c>
      <c r="BH2650" s="1">
        <v>0.0</v>
      </c>
      <c r="BK2650" s="1" t="s">
        <v>204</v>
      </c>
      <c r="BL2650" s="1" t="str">
        <f t="shared" ref="BL2650:BL2651" si="1731">"0"</f>
        <v>0</v>
      </c>
      <c r="BM2650" s="1" t="str">
        <f>"344"</f>
        <v>344</v>
      </c>
      <c r="BN2650" s="1">
        <v>0.0</v>
      </c>
      <c r="BO2650" s="1">
        <v>5324.0</v>
      </c>
      <c r="BQ2650" s="1">
        <v>299.0</v>
      </c>
      <c r="BR2650" s="1">
        <v>299.0</v>
      </c>
      <c r="BS2650" s="1">
        <v>299.0</v>
      </c>
      <c r="BU2650" s="1" t="s">
        <v>433</v>
      </c>
      <c r="BV2650" s="1" t="s">
        <v>206</v>
      </c>
      <c r="BY2650" s="1" t="s">
        <v>331</v>
      </c>
      <c r="BZ2650" s="1" t="s">
        <v>209</v>
      </c>
      <c r="CC2650" s="1" t="s">
        <v>302</v>
      </c>
      <c r="CD2650" s="1" t="s">
        <v>206</v>
      </c>
      <c r="CG2650" s="1" t="s">
        <v>264</v>
      </c>
      <c r="CH2650" s="1" t="s">
        <v>209</v>
      </c>
      <c r="CK2650" s="1" t="s">
        <v>495</v>
      </c>
      <c r="CL2650" s="1" t="s">
        <v>209</v>
      </c>
      <c r="CO2650" s="1" t="s">
        <v>516</v>
      </c>
      <c r="CP2650" s="1" t="s">
        <v>206</v>
      </c>
      <c r="CS2650" s="1" t="s">
        <v>516</v>
      </c>
      <c r="CT2650" s="1" t="s">
        <v>206</v>
      </c>
      <c r="CX2650" s="1" t="s">
        <v>204</v>
      </c>
      <c r="DA2650" s="1" t="s">
        <v>200</v>
      </c>
      <c r="DC2650" s="1" t="s">
        <v>642</v>
      </c>
      <c r="DE2650" s="1" t="s">
        <v>229</v>
      </c>
      <c r="DF2650" s="1" t="s">
        <v>619</v>
      </c>
      <c r="DH2650" s="1" t="s">
        <v>365</v>
      </c>
      <c r="DJ2650" s="1" t="s">
        <v>222</v>
      </c>
      <c r="DL2650" s="1" t="s">
        <v>223</v>
      </c>
      <c r="DM2650" s="1" t="s">
        <v>229</v>
      </c>
      <c r="DQ2650" s="1" t="s">
        <v>228</v>
      </c>
      <c r="DR2650" s="1" t="s">
        <v>229</v>
      </c>
      <c r="DV2650" s="1" t="s">
        <v>494</v>
      </c>
      <c r="DW2650" s="1" t="s">
        <v>279</v>
      </c>
      <c r="DX2650" s="1" t="s">
        <v>234</v>
      </c>
      <c r="EC2650" s="1" t="s">
        <v>237</v>
      </c>
      <c r="EG2650" s="1" t="s">
        <v>494</v>
      </c>
      <c r="EL2650" s="1" t="s">
        <v>1874</v>
      </c>
      <c r="EM2650" s="1" t="s">
        <v>209</v>
      </c>
      <c r="EQ2650" s="1" t="s">
        <v>238</v>
      </c>
      <c r="EU2650" s="1" t="s">
        <v>238</v>
      </c>
      <c r="EY2650" s="1" t="s">
        <v>238</v>
      </c>
      <c r="FC2650" s="1" t="s">
        <v>238</v>
      </c>
      <c r="FF2650" s="1" t="s">
        <v>239</v>
      </c>
      <c r="FG2650" s="1" t="s">
        <v>192</v>
      </c>
      <c r="FH2650" s="1" t="s">
        <v>192</v>
      </c>
      <c r="FJ2650" s="1" t="s">
        <v>347</v>
      </c>
      <c r="FK2650" s="1" t="s">
        <v>229</v>
      </c>
      <c r="FL2650" s="1" t="s">
        <v>4048</v>
      </c>
      <c r="FM2650" s="1">
        <v>84077.0</v>
      </c>
      <c r="FN2650" s="1" t="s">
        <v>4049</v>
      </c>
      <c r="FO2650" s="1" t="s">
        <v>4050</v>
      </c>
      <c r="FP2650" s="1">
        <v>175275.0</v>
      </c>
      <c r="FU2650" s="1" t="s">
        <v>1541</v>
      </c>
      <c r="FV2650" s="1" t="s">
        <v>200</v>
      </c>
      <c r="FW2650" s="1" t="s">
        <v>354</v>
      </c>
      <c r="FX2650" s="1" t="s">
        <v>655</v>
      </c>
      <c r="FZ2650" s="1" t="s">
        <v>229</v>
      </c>
      <c r="GA2650" s="1" t="s">
        <v>291</v>
      </c>
      <c r="GB2650" s="2">
        <v>42111.0</v>
      </c>
      <c r="GC2650" s="1" t="s">
        <v>23643</v>
      </c>
    </row>
    <row r="2651">
      <c r="A2651" s="1">
        <v>142000.0</v>
      </c>
      <c r="B2651" s="1" t="s">
        <v>185</v>
      </c>
      <c r="C2651" s="1" t="str">
        <f>"08830418"</f>
        <v>08830418</v>
      </c>
      <c r="D2651" s="1" t="s">
        <v>186</v>
      </c>
      <c r="F2651" s="1" t="str">
        <f>"8070"</f>
        <v>8070</v>
      </c>
      <c r="G2651" s="2">
        <v>42038.0</v>
      </c>
      <c r="H2651" s="1">
        <v>163000.0</v>
      </c>
      <c r="I2651" s="1">
        <v>82.0</v>
      </c>
      <c r="J2651" s="1">
        <v>163000.0</v>
      </c>
      <c r="K2651" s="2">
        <v>42042.0</v>
      </c>
      <c r="L2651" s="1">
        <v>5.0</v>
      </c>
      <c r="M2651" s="2">
        <v>42042.0</v>
      </c>
      <c r="N2651" s="1" t="s">
        <v>356</v>
      </c>
      <c r="O2651" s="2">
        <v>42097.0</v>
      </c>
      <c r="P2651" s="1">
        <v>855574.0</v>
      </c>
      <c r="Q2651" s="1">
        <v>40139.0</v>
      </c>
      <c r="S2651" s="1">
        <v>3706.0</v>
      </c>
      <c r="T2651" s="1" t="s">
        <v>19160</v>
      </c>
      <c r="U2651" s="1" t="s">
        <v>694</v>
      </c>
      <c r="V2651" s="1" t="s">
        <v>190</v>
      </c>
      <c r="W2651" s="1">
        <v>60652.0</v>
      </c>
      <c r="Y2651" s="1" t="s">
        <v>23644</v>
      </c>
      <c r="Z2651" s="1">
        <v>1954.0</v>
      </c>
      <c r="AA2651" s="1" t="s">
        <v>192</v>
      </c>
      <c r="AB2651" s="1" t="s">
        <v>193</v>
      </c>
      <c r="AD2651" s="1" t="s">
        <v>194</v>
      </c>
      <c r="AE2651" s="1" t="s">
        <v>195</v>
      </c>
      <c r="AF2651" s="1" t="s">
        <v>827</v>
      </c>
      <c r="AH2651" s="1" t="s">
        <v>1501</v>
      </c>
      <c r="AK2651" s="1">
        <v>9.0</v>
      </c>
      <c r="AL2651" s="1">
        <v>2.0</v>
      </c>
      <c r="AM2651" s="1">
        <v>2.0</v>
      </c>
      <c r="AN2651" s="1">
        <v>0.0</v>
      </c>
      <c r="AO2651" s="1" t="s">
        <v>229</v>
      </c>
      <c r="AP2651" s="1">
        <v>0.0</v>
      </c>
      <c r="AQ2651" s="1" t="s">
        <v>198</v>
      </c>
      <c r="AR2651" s="1" t="s">
        <v>192</v>
      </c>
      <c r="AS2651" s="1" t="s">
        <v>199</v>
      </c>
      <c r="AT2651" s="1">
        <v>2.0</v>
      </c>
      <c r="AV2651" s="1" t="s">
        <v>200</v>
      </c>
      <c r="AW2651" s="1">
        <v>1732.0</v>
      </c>
      <c r="AX2651" s="1">
        <v>2013.0</v>
      </c>
      <c r="AY2651" s="1" t="s">
        <v>387</v>
      </c>
      <c r="AZ2651" s="1" t="s">
        <v>200</v>
      </c>
      <c r="BA2651" s="1" t="str">
        <f>"19351010600000"</f>
        <v>19351010600000</v>
      </c>
      <c r="BB2651" s="1" t="s">
        <v>200</v>
      </c>
      <c r="BC2651" s="1">
        <v>0.0</v>
      </c>
      <c r="BD2651" s="1">
        <v>142000.0</v>
      </c>
      <c r="BE2651" s="2">
        <v>42038.0</v>
      </c>
      <c r="BF2651" s="1" t="s">
        <v>23645</v>
      </c>
      <c r="BH2651" s="1">
        <v>0.0</v>
      </c>
      <c r="BK2651" s="1" t="s">
        <v>204</v>
      </c>
      <c r="BL2651" s="1" t="str">
        <f t="shared" si="1731"/>
        <v>0</v>
      </c>
      <c r="BM2651" s="1" t="str">
        <f t="shared" ref="BM2651:BM2652" si="1732">"0"</f>
        <v>0</v>
      </c>
      <c r="BN2651" s="1">
        <v>3709.0</v>
      </c>
      <c r="BO2651" s="1">
        <v>7900.0</v>
      </c>
      <c r="BQ2651" s="1">
        <v>299.0</v>
      </c>
      <c r="BR2651" s="1">
        <v>299.0</v>
      </c>
      <c r="BS2651" s="1">
        <v>299.0</v>
      </c>
      <c r="BU2651" s="1" t="s">
        <v>433</v>
      </c>
      <c r="BV2651" s="1" t="s">
        <v>206</v>
      </c>
      <c r="BW2651" s="1" t="s">
        <v>207</v>
      </c>
      <c r="BY2651" s="1" t="s">
        <v>302</v>
      </c>
      <c r="BZ2651" s="1" t="s">
        <v>206</v>
      </c>
      <c r="CA2651" s="1" t="s">
        <v>207</v>
      </c>
      <c r="CC2651" s="1" t="s">
        <v>495</v>
      </c>
      <c r="CD2651" s="1" t="s">
        <v>206</v>
      </c>
      <c r="CE2651" s="1" t="s">
        <v>207</v>
      </c>
      <c r="CG2651" s="1" t="s">
        <v>495</v>
      </c>
      <c r="CH2651" s="1" t="s">
        <v>206</v>
      </c>
      <c r="CI2651" s="1" t="s">
        <v>207</v>
      </c>
      <c r="CK2651" s="1" t="s">
        <v>663</v>
      </c>
      <c r="CL2651" s="1" t="s">
        <v>42</v>
      </c>
      <c r="CM2651" s="1" t="s">
        <v>617</v>
      </c>
      <c r="CO2651" s="1" t="s">
        <v>1351</v>
      </c>
      <c r="CP2651" s="1" t="s">
        <v>42</v>
      </c>
      <c r="CQ2651" s="1" t="s">
        <v>617</v>
      </c>
      <c r="CS2651" s="1" t="s">
        <v>212</v>
      </c>
      <c r="CT2651" s="1" t="s">
        <v>206</v>
      </c>
      <c r="CU2651" s="1" t="s">
        <v>268</v>
      </c>
      <c r="CW2651" s="1" t="s">
        <v>1395</v>
      </c>
      <c r="CX2651" s="1" t="s">
        <v>42</v>
      </c>
      <c r="CY2651" s="1" t="s">
        <v>617</v>
      </c>
      <c r="CZ2651" s="1" t="s">
        <v>229</v>
      </c>
      <c r="DA2651" s="1" t="s">
        <v>200</v>
      </c>
      <c r="DC2651" s="1" t="s">
        <v>702</v>
      </c>
      <c r="DD2651" s="1" t="s">
        <v>518</v>
      </c>
      <c r="DE2651" s="1" t="s">
        <v>273</v>
      </c>
      <c r="DF2651" s="1" t="s">
        <v>619</v>
      </c>
      <c r="DG2651" s="1" t="s">
        <v>3175</v>
      </c>
      <c r="DH2651" s="1" t="s">
        <v>365</v>
      </c>
      <c r="DI2651" s="1" t="s">
        <v>3203</v>
      </c>
      <c r="DJ2651" s="1" t="s">
        <v>222</v>
      </c>
      <c r="DL2651" s="1" t="s">
        <v>224</v>
      </c>
      <c r="DM2651" s="1" t="s">
        <v>1464</v>
      </c>
      <c r="DQ2651" s="1" t="s">
        <v>228</v>
      </c>
      <c r="DR2651" s="1" t="s">
        <v>229</v>
      </c>
      <c r="DS2651" s="1" t="s">
        <v>230</v>
      </c>
      <c r="DU2651" s="1" t="s">
        <v>1162</v>
      </c>
      <c r="DV2651" s="1" t="s">
        <v>1407</v>
      </c>
      <c r="DW2651" s="1" t="s">
        <v>279</v>
      </c>
      <c r="DX2651" s="1" t="s">
        <v>234</v>
      </c>
      <c r="EA2651" s="1" t="s">
        <v>683</v>
      </c>
      <c r="EC2651" s="1" t="s">
        <v>685</v>
      </c>
      <c r="EG2651" s="1" t="s">
        <v>1407</v>
      </c>
      <c r="EL2651" s="1" t="s">
        <v>699</v>
      </c>
      <c r="EM2651" s="1" t="s">
        <v>42</v>
      </c>
      <c r="EQ2651" s="1" t="s">
        <v>238</v>
      </c>
      <c r="EU2651" s="1" t="s">
        <v>238</v>
      </c>
      <c r="EY2651" s="1" t="s">
        <v>238</v>
      </c>
      <c r="FC2651" s="1" t="s">
        <v>238</v>
      </c>
      <c r="FF2651" s="1" t="s">
        <v>239</v>
      </c>
      <c r="FG2651" s="1" t="s">
        <v>192</v>
      </c>
      <c r="FH2651" s="1" t="s">
        <v>192</v>
      </c>
      <c r="FJ2651" s="1" t="s">
        <v>285</v>
      </c>
      <c r="FK2651" s="1" t="s">
        <v>229</v>
      </c>
      <c r="FL2651" s="1" t="s">
        <v>1289</v>
      </c>
      <c r="FM2651" s="1">
        <v>25619.0</v>
      </c>
      <c r="FN2651" s="1" t="s">
        <v>1290</v>
      </c>
      <c r="FO2651" s="1" t="s">
        <v>23646</v>
      </c>
      <c r="FP2651" s="1">
        <v>235640.0</v>
      </c>
      <c r="FQ2651" s="1" t="s">
        <v>23647</v>
      </c>
      <c r="FU2651" s="1" t="s">
        <v>23648</v>
      </c>
      <c r="FV2651" s="1" t="s">
        <v>200</v>
      </c>
      <c r="FW2651" s="1" t="s">
        <v>290</v>
      </c>
      <c r="FX2651" s="1" t="s">
        <v>246</v>
      </c>
      <c r="FZ2651" s="1" t="s">
        <v>229</v>
      </c>
      <c r="GA2651" s="1" t="s">
        <v>291</v>
      </c>
      <c r="GB2651" s="2">
        <v>42097.0</v>
      </c>
      <c r="GC2651" s="1" t="s">
        <v>23649</v>
      </c>
    </row>
    <row r="2652">
      <c r="A2652" s="1">
        <v>316000.0</v>
      </c>
      <c r="B2652" s="1" t="s">
        <v>185</v>
      </c>
      <c r="C2652" s="1" t="str">
        <f>"08837681"</f>
        <v>08837681</v>
      </c>
      <c r="D2652" s="1" t="s">
        <v>186</v>
      </c>
      <c r="F2652" s="1" t="str">
        <f>"8025"</f>
        <v>8025</v>
      </c>
      <c r="G2652" s="2">
        <v>42047.0</v>
      </c>
      <c r="H2652" s="1">
        <v>299900.0</v>
      </c>
      <c r="I2652" s="1">
        <v>8.0</v>
      </c>
      <c r="J2652" s="1">
        <v>299900.0</v>
      </c>
      <c r="K2652" s="2">
        <v>42054.0</v>
      </c>
      <c r="L2652" s="1">
        <v>8.0</v>
      </c>
      <c r="M2652" s="2">
        <v>42054.0</v>
      </c>
      <c r="N2652" s="1" t="s">
        <v>356</v>
      </c>
      <c r="O2652" s="2">
        <v>42100.0</v>
      </c>
      <c r="P2652" s="1">
        <v>80861.0</v>
      </c>
      <c r="Q2652" s="1">
        <v>8855.0</v>
      </c>
      <c r="R2652" s="1">
        <v>5000.0</v>
      </c>
      <c r="S2652" s="1">
        <v>1834.0</v>
      </c>
      <c r="T2652" s="1" t="s">
        <v>14608</v>
      </c>
      <c r="U2652" s="1" t="s">
        <v>189</v>
      </c>
      <c r="V2652" s="1" t="s">
        <v>190</v>
      </c>
      <c r="W2652" s="1">
        <v>60707.0</v>
      </c>
      <c r="Y2652" s="1" t="s">
        <v>23650</v>
      </c>
      <c r="Z2652" s="1">
        <v>1931.0</v>
      </c>
      <c r="AA2652" s="1" t="s">
        <v>192</v>
      </c>
      <c r="AB2652" s="1" t="s">
        <v>193</v>
      </c>
      <c r="AD2652" s="1" t="s">
        <v>194</v>
      </c>
      <c r="AE2652" s="1" t="s">
        <v>195</v>
      </c>
      <c r="AF2652" s="1" t="s">
        <v>196</v>
      </c>
      <c r="AH2652" s="1" t="s">
        <v>1501</v>
      </c>
      <c r="AK2652" s="1">
        <v>8.0</v>
      </c>
      <c r="AL2652" s="1">
        <v>4.0</v>
      </c>
      <c r="AM2652" s="1">
        <v>3.0</v>
      </c>
      <c r="AN2652" s="1">
        <v>0.0</v>
      </c>
      <c r="AO2652" s="1" t="s">
        <v>198</v>
      </c>
      <c r="AQ2652" s="1" t="s">
        <v>198</v>
      </c>
      <c r="AR2652" s="1" t="s">
        <v>192</v>
      </c>
      <c r="AS2652" s="1" t="s">
        <v>199</v>
      </c>
      <c r="AT2652" s="1">
        <v>2.5</v>
      </c>
      <c r="AV2652" s="1" t="s">
        <v>200</v>
      </c>
      <c r="AW2652" s="1">
        <v>3652.0</v>
      </c>
      <c r="AX2652" s="1">
        <v>2013.0</v>
      </c>
      <c r="AY2652" s="1" t="s">
        <v>387</v>
      </c>
      <c r="AZ2652" s="1" t="s">
        <v>200</v>
      </c>
      <c r="BA2652" s="1" t="str">
        <f>"13313120250000"</f>
        <v>13313120250000</v>
      </c>
      <c r="BB2652" s="1" t="s">
        <v>200</v>
      </c>
      <c r="BC2652" s="1">
        <v>1600.0</v>
      </c>
      <c r="BD2652" s="1">
        <v>316000.0</v>
      </c>
      <c r="BE2652" s="2">
        <v>42047.0</v>
      </c>
      <c r="BF2652" s="2" t="s">
        <v>23651</v>
      </c>
      <c r="BH2652" s="1">
        <v>0.0</v>
      </c>
      <c r="BK2652" s="1" t="s">
        <v>204</v>
      </c>
      <c r="BL2652" s="1" t="str">
        <f>"1836"</f>
        <v>1836</v>
      </c>
      <c r="BM2652" s="1" t="str">
        <f t="shared" si="1732"/>
        <v>0</v>
      </c>
      <c r="BN2652" s="1">
        <v>6850.0</v>
      </c>
      <c r="BO2652" s="1">
        <v>0.0</v>
      </c>
      <c r="BQ2652" s="1">
        <v>299.0</v>
      </c>
      <c r="BR2652" s="1">
        <v>299.0</v>
      </c>
      <c r="BS2652" s="1">
        <v>299.0</v>
      </c>
      <c r="BU2652" s="1" t="s">
        <v>2800</v>
      </c>
      <c r="BV2652" s="1" t="s">
        <v>206</v>
      </c>
      <c r="BW2652" s="1" t="s">
        <v>207</v>
      </c>
      <c r="BY2652" s="1" t="s">
        <v>2120</v>
      </c>
      <c r="BZ2652" s="1" t="s">
        <v>209</v>
      </c>
      <c r="CA2652" s="1" t="s">
        <v>210</v>
      </c>
      <c r="CB2652" s="1" t="s">
        <v>229</v>
      </c>
      <c r="CC2652" s="1" t="s">
        <v>454</v>
      </c>
      <c r="CD2652" s="1" t="s">
        <v>206</v>
      </c>
      <c r="CE2652" s="1" t="s">
        <v>207</v>
      </c>
      <c r="CF2652" s="1" t="s">
        <v>229</v>
      </c>
      <c r="CG2652" s="1" t="s">
        <v>495</v>
      </c>
      <c r="CH2652" s="1" t="s">
        <v>209</v>
      </c>
      <c r="CI2652" s="1" t="s">
        <v>301</v>
      </c>
      <c r="CJ2652" s="1" t="s">
        <v>239</v>
      </c>
      <c r="CK2652" s="1" t="s">
        <v>663</v>
      </c>
      <c r="CL2652" s="1" t="s">
        <v>206</v>
      </c>
      <c r="CM2652" s="1" t="s">
        <v>207</v>
      </c>
      <c r="CN2652" s="1" t="s">
        <v>229</v>
      </c>
      <c r="CO2652" s="1" t="s">
        <v>495</v>
      </c>
      <c r="CP2652" s="1" t="s">
        <v>206</v>
      </c>
      <c r="CQ2652" s="1" t="s">
        <v>207</v>
      </c>
      <c r="CR2652" s="1" t="s">
        <v>239</v>
      </c>
      <c r="CS2652" s="1" t="s">
        <v>2461</v>
      </c>
      <c r="CT2652" s="1" t="s">
        <v>206</v>
      </c>
      <c r="CU2652" s="1" t="s">
        <v>268</v>
      </c>
      <c r="CV2652" s="1" t="s">
        <v>229</v>
      </c>
      <c r="CW2652" s="1" t="s">
        <v>3905</v>
      </c>
      <c r="CX2652" s="1" t="s">
        <v>42</v>
      </c>
      <c r="CY2652" s="1" t="s">
        <v>210</v>
      </c>
      <c r="CZ2652" s="1" t="s">
        <v>229</v>
      </c>
      <c r="DA2652" s="1" t="s">
        <v>200</v>
      </c>
      <c r="DC2652" s="1" t="s">
        <v>785</v>
      </c>
      <c r="DE2652" s="1" t="s">
        <v>1810</v>
      </c>
      <c r="DF2652" s="1" t="s">
        <v>745</v>
      </c>
      <c r="DG2652" s="1" t="s">
        <v>337</v>
      </c>
      <c r="DH2652" s="1" t="s">
        <v>365</v>
      </c>
      <c r="DI2652" s="1" t="s">
        <v>1003</v>
      </c>
      <c r="DJ2652" s="1" t="s">
        <v>222</v>
      </c>
      <c r="DL2652" s="1" t="s">
        <v>858</v>
      </c>
      <c r="DM2652" s="1" t="s">
        <v>1919</v>
      </c>
      <c r="DN2652" s="1" t="s">
        <v>3293</v>
      </c>
      <c r="DP2652" s="1" t="s">
        <v>340</v>
      </c>
      <c r="DQ2652" s="1" t="s">
        <v>228</v>
      </c>
      <c r="DR2652" s="1" t="s">
        <v>229</v>
      </c>
      <c r="DS2652" s="1" t="s">
        <v>401</v>
      </c>
      <c r="DV2652" s="1" t="s">
        <v>374</v>
      </c>
      <c r="DW2652" s="1" t="s">
        <v>279</v>
      </c>
      <c r="DX2652" s="1" t="s">
        <v>234</v>
      </c>
      <c r="DY2652" s="1" t="s">
        <v>371</v>
      </c>
      <c r="DZ2652" s="1" t="s">
        <v>282</v>
      </c>
      <c r="EA2652" s="1" t="s">
        <v>644</v>
      </c>
      <c r="EC2652" s="1" t="s">
        <v>237</v>
      </c>
      <c r="ED2652" s="1" t="s">
        <v>555</v>
      </c>
      <c r="EE2652" s="1" t="s">
        <v>522</v>
      </c>
      <c r="EG2652" s="1" t="s">
        <v>374</v>
      </c>
      <c r="EL2652" s="1" t="s">
        <v>1351</v>
      </c>
      <c r="EM2652" s="1" t="s">
        <v>206</v>
      </c>
      <c r="EN2652" s="1" t="s">
        <v>268</v>
      </c>
      <c r="EO2652" s="1" t="s">
        <v>229</v>
      </c>
      <c r="EQ2652" s="1" t="s">
        <v>238</v>
      </c>
      <c r="EU2652" s="1" t="s">
        <v>238</v>
      </c>
      <c r="EY2652" s="1" t="s">
        <v>238</v>
      </c>
      <c r="FC2652" s="1" t="s">
        <v>238</v>
      </c>
      <c r="FF2652" s="1" t="s">
        <v>239</v>
      </c>
      <c r="FG2652" s="1" t="s">
        <v>192</v>
      </c>
      <c r="FH2652" s="1" t="s">
        <v>192</v>
      </c>
      <c r="FJ2652" s="1" t="s">
        <v>14504</v>
      </c>
      <c r="FK2652" s="1" t="s">
        <v>229</v>
      </c>
      <c r="FL2652" s="1" t="s">
        <v>3282</v>
      </c>
      <c r="FM2652" s="1">
        <v>18570.0</v>
      </c>
      <c r="FN2652" s="1" t="s">
        <v>3283</v>
      </c>
      <c r="FO2652" s="1" t="s">
        <v>3284</v>
      </c>
      <c r="FP2652" s="1">
        <v>114993.0</v>
      </c>
      <c r="FQ2652" s="1" t="s">
        <v>3285</v>
      </c>
      <c r="FR2652" s="1">
        <v>128533.0</v>
      </c>
      <c r="FU2652" s="1" t="s">
        <v>885</v>
      </c>
      <c r="FV2652" s="1" t="s">
        <v>192</v>
      </c>
      <c r="FW2652" s="1" t="s">
        <v>23652</v>
      </c>
      <c r="FX2652" s="1" t="s">
        <v>238</v>
      </c>
      <c r="FZ2652" s="1" t="s">
        <v>2993</v>
      </c>
      <c r="GA2652" s="1" t="s">
        <v>291</v>
      </c>
      <c r="GB2652" s="2">
        <v>42101.0</v>
      </c>
      <c r="GC2652" s="1" t="s">
        <v>20853</v>
      </c>
    </row>
    <row r="2653">
      <c r="A2653" s="1">
        <v>360000.0</v>
      </c>
      <c r="B2653" s="1" t="s">
        <v>185</v>
      </c>
      <c r="C2653" s="1" t="str">
        <f>"08832688"</f>
        <v>08832688</v>
      </c>
      <c r="D2653" s="1" t="s">
        <v>186</v>
      </c>
      <c r="F2653" s="1" t="str">
        <f>"8072"</f>
        <v>8072</v>
      </c>
      <c r="G2653" s="2">
        <v>42041.0</v>
      </c>
      <c r="H2653" s="1">
        <v>369000.0</v>
      </c>
      <c r="I2653" s="1">
        <v>111.0</v>
      </c>
      <c r="J2653" s="1">
        <v>369000.0</v>
      </c>
      <c r="K2653" s="2">
        <v>42064.0</v>
      </c>
      <c r="L2653" s="1">
        <v>24.0</v>
      </c>
      <c r="M2653" s="2">
        <v>42064.0</v>
      </c>
      <c r="N2653" s="1" t="s">
        <v>187</v>
      </c>
      <c r="O2653" s="2">
        <v>42115.0</v>
      </c>
      <c r="P2653" s="1">
        <v>226575.0</v>
      </c>
      <c r="Q2653" s="1">
        <v>60035.0</v>
      </c>
      <c r="S2653" s="1">
        <v>9550.0</v>
      </c>
      <c r="T2653" s="1" t="s">
        <v>4780</v>
      </c>
      <c r="U2653" s="1" t="s">
        <v>189</v>
      </c>
      <c r="V2653" s="1" t="s">
        <v>190</v>
      </c>
      <c r="W2653" s="1">
        <v>60643.0</v>
      </c>
      <c r="Y2653" s="1" t="s">
        <v>23653</v>
      </c>
      <c r="Z2653" s="1">
        <v>1910.0</v>
      </c>
      <c r="AA2653" s="1" t="s">
        <v>192</v>
      </c>
      <c r="AB2653" s="1" t="s">
        <v>193</v>
      </c>
      <c r="AC2653" s="1" t="s">
        <v>7064</v>
      </c>
      <c r="AD2653" s="1" t="s">
        <v>194</v>
      </c>
      <c r="AE2653" s="1" t="s">
        <v>195</v>
      </c>
      <c r="AF2653" s="1" t="s">
        <v>659</v>
      </c>
      <c r="AH2653" s="1" t="s">
        <v>23654</v>
      </c>
      <c r="AK2653" s="1">
        <v>9.0</v>
      </c>
      <c r="AL2653" s="1">
        <v>4.0</v>
      </c>
      <c r="AM2653" s="1">
        <v>3.0</v>
      </c>
      <c r="AN2653" s="1">
        <v>0.0</v>
      </c>
      <c r="AO2653" s="1" t="s">
        <v>198</v>
      </c>
      <c r="AP2653" s="1">
        <v>1.0</v>
      </c>
      <c r="AQ2653" s="1" t="s">
        <v>198</v>
      </c>
      <c r="AR2653" s="1" t="s">
        <v>200</v>
      </c>
      <c r="AS2653" s="1" t="s">
        <v>828</v>
      </c>
      <c r="AU2653" s="1">
        <v>4.0</v>
      </c>
      <c r="AV2653" s="1" t="s">
        <v>200</v>
      </c>
      <c r="AW2653" s="1">
        <v>4206.32</v>
      </c>
      <c r="AX2653" s="1">
        <v>2013.0</v>
      </c>
      <c r="AY2653" s="1" t="s">
        <v>387</v>
      </c>
      <c r="AZ2653" s="1" t="s">
        <v>200</v>
      </c>
      <c r="BA2653" s="1" t="str">
        <f>"25072000190000"</f>
        <v>25072000190000</v>
      </c>
      <c r="BC2653" s="1">
        <v>2375.0</v>
      </c>
      <c r="BD2653" s="1">
        <v>360000.0</v>
      </c>
      <c r="BE2653" s="2">
        <v>42041.0</v>
      </c>
      <c r="BF2653" s="2" t="s">
        <v>23655</v>
      </c>
      <c r="BH2653" s="1">
        <v>0.0</v>
      </c>
      <c r="BJ2653" s="1" t="s">
        <v>5825</v>
      </c>
      <c r="BK2653" s="1" t="s">
        <v>204</v>
      </c>
      <c r="BL2653" s="1" t="str">
        <f t="shared" ref="BL2653:BM2653" si="1733">"0"</f>
        <v>0</v>
      </c>
      <c r="BM2653" s="1" t="str">
        <f t="shared" si="1733"/>
        <v>0</v>
      </c>
      <c r="BN2653" s="1">
        <v>1932.0</v>
      </c>
      <c r="BO2653" s="1">
        <v>9550.0</v>
      </c>
      <c r="BQ2653" s="1">
        <v>299.0</v>
      </c>
      <c r="BR2653" s="1">
        <v>299.0</v>
      </c>
      <c r="BS2653" s="1">
        <v>299.0</v>
      </c>
      <c r="BU2653" s="1" t="s">
        <v>1517</v>
      </c>
      <c r="BV2653" s="1" t="s">
        <v>206</v>
      </c>
      <c r="BW2653" s="1" t="s">
        <v>207</v>
      </c>
      <c r="BY2653" s="1" t="s">
        <v>544</v>
      </c>
      <c r="BZ2653" s="1" t="s">
        <v>209</v>
      </c>
      <c r="CA2653" s="1" t="s">
        <v>210</v>
      </c>
      <c r="CC2653" s="1" t="s">
        <v>582</v>
      </c>
      <c r="CD2653" s="1" t="s">
        <v>206</v>
      </c>
      <c r="CE2653" s="1" t="s">
        <v>207</v>
      </c>
      <c r="CG2653" s="1" t="s">
        <v>478</v>
      </c>
      <c r="CH2653" s="1" t="s">
        <v>209</v>
      </c>
      <c r="CI2653" s="1" t="s">
        <v>207</v>
      </c>
      <c r="CK2653" s="1" t="s">
        <v>478</v>
      </c>
      <c r="CL2653" s="1" t="s">
        <v>206</v>
      </c>
      <c r="CM2653" s="1" t="s">
        <v>207</v>
      </c>
      <c r="CO2653" s="1" t="s">
        <v>1672</v>
      </c>
      <c r="CP2653" s="1" t="s">
        <v>206</v>
      </c>
      <c r="CQ2653" s="1" t="s">
        <v>207</v>
      </c>
      <c r="CS2653" s="1" t="s">
        <v>495</v>
      </c>
      <c r="CT2653" s="1" t="s">
        <v>206</v>
      </c>
      <c r="CU2653" s="1" t="s">
        <v>207</v>
      </c>
      <c r="CX2653" s="1" t="s">
        <v>204</v>
      </c>
      <c r="DA2653" s="1" t="s">
        <v>200</v>
      </c>
      <c r="DC2653" s="1" t="s">
        <v>642</v>
      </c>
      <c r="DE2653" s="1" t="s">
        <v>1905</v>
      </c>
      <c r="DF2653" s="1" t="s">
        <v>787</v>
      </c>
      <c r="DG2653" s="1" t="s">
        <v>1317</v>
      </c>
      <c r="DH2653" s="1" t="s">
        <v>307</v>
      </c>
      <c r="DI2653" s="1" t="s">
        <v>703</v>
      </c>
      <c r="DJ2653" s="1" t="s">
        <v>222</v>
      </c>
      <c r="DL2653" s="1" t="s">
        <v>223</v>
      </c>
      <c r="DM2653" s="1" t="s">
        <v>229</v>
      </c>
      <c r="DO2653" s="1" t="s">
        <v>486</v>
      </c>
      <c r="DP2653" s="1" t="s">
        <v>340</v>
      </c>
      <c r="DQ2653" s="1" t="s">
        <v>794</v>
      </c>
      <c r="DR2653" s="1" t="s">
        <v>229</v>
      </c>
      <c r="DS2653" s="1" t="s">
        <v>230</v>
      </c>
      <c r="DV2653" s="1" t="s">
        <v>23656</v>
      </c>
      <c r="DW2653" s="1" t="s">
        <v>10739</v>
      </c>
      <c r="DX2653" s="1" t="s">
        <v>1287</v>
      </c>
      <c r="DY2653" s="1" t="s">
        <v>553</v>
      </c>
      <c r="DZ2653" s="1" t="s">
        <v>282</v>
      </c>
      <c r="EA2653" s="1" t="s">
        <v>644</v>
      </c>
      <c r="EB2653" s="1" t="s">
        <v>345</v>
      </c>
      <c r="EC2653" s="1" t="s">
        <v>237</v>
      </c>
      <c r="EF2653" s="1" t="s">
        <v>523</v>
      </c>
      <c r="EG2653" s="1" t="s">
        <v>494</v>
      </c>
      <c r="EH2653" s="1" t="s">
        <v>1121</v>
      </c>
      <c r="EI2653" s="1" t="s">
        <v>374</v>
      </c>
      <c r="EL2653" s="1" t="s">
        <v>269</v>
      </c>
      <c r="EM2653" s="1" t="s">
        <v>206</v>
      </c>
      <c r="EN2653" s="1" t="s">
        <v>207</v>
      </c>
      <c r="EP2653" s="1" t="s">
        <v>1417</v>
      </c>
      <c r="EQ2653" s="1" t="s">
        <v>209</v>
      </c>
      <c r="ER2653" s="1" t="s">
        <v>207</v>
      </c>
      <c r="ET2653" s="1" t="s">
        <v>1449</v>
      </c>
      <c r="EU2653" s="1" t="s">
        <v>206</v>
      </c>
      <c r="EV2653" s="1" t="s">
        <v>588</v>
      </c>
      <c r="EY2653" s="1" t="s">
        <v>238</v>
      </c>
      <c r="FC2653" s="1" t="s">
        <v>238</v>
      </c>
      <c r="FF2653" s="1" t="s">
        <v>239</v>
      </c>
      <c r="FG2653" s="1" t="s">
        <v>192</v>
      </c>
      <c r="FH2653" s="1" t="s">
        <v>192</v>
      </c>
      <c r="FJ2653" s="1" t="s">
        <v>498</v>
      </c>
      <c r="FK2653" s="1" t="s">
        <v>348</v>
      </c>
      <c r="FL2653" s="1" t="s">
        <v>4804</v>
      </c>
      <c r="FM2653" s="1">
        <v>60035.0</v>
      </c>
      <c r="FN2653" s="1" t="s">
        <v>4805</v>
      </c>
      <c r="FO2653" s="1" t="s">
        <v>16004</v>
      </c>
      <c r="FP2653" s="1">
        <v>601752.0</v>
      </c>
      <c r="FQ2653" s="1" t="s">
        <v>16005</v>
      </c>
      <c r="FU2653" s="1" t="s">
        <v>1541</v>
      </c>
      <c r="FV2653" s="1" t="s">
        <v>200</v>
      </c>
      <c r="FW2653" s="1" t="s">
        <v>567</v>
      </c>
      <c r="FX2653" s="1" t="s">
        <v>655</v>
      </c>
      <c r="FZ2653" s="1" t="s">
        <v>229</v>
      </c>
      <c r="GA2653" s="1" t="s">
        <v>291</v>
      </c>
      <c r="GB2653" s="2">
        <v>42115.0</v>
      </c>
      <c r="GC2653" s="1" t="s">
        <v>23657</v>
      </c>
    </row>
    <row r="2654">
      <c r="A2654" s="1">
        <v>206000.0</v>
      </c>
      <c r="B2654" s="1" t="s">
        <v>185</v>
      </c>
      <c r="C2654" s="1" t="str">
        <f>"08836086"</f>
        <v>08836086</v>
      </c>
      <c r="D2654" s="1" t="s">
        <v>186</v>
      </c>
      <c r="F2654" s="1" t="str">
        <f>"543"</f>
        <v>543</v>
      </c>
      <c r="G2654" s="2">
        <v>42046.0</v>
      </c>
      <c r="H2654" s="1">
        <v>213300.0</v>
      </c>
      <c r="I2654" s="1">
        <v>178.0</v>
      </c>
      <c r="J2654" s="1">
        <v>213300.0</v>
      </c>
      <c r="K2654" s="2">
        <v>42087.0</v>
      </c>
      <c r="L2654" s="1">
        <v>43.0</v>
      </c>
      <c r="M2654" s="2">
        <v>42087.0</v>
      </c>
      <c r="N2654" s="1" t="s">
        <v>187</v>
      </c>
      <c r="O2654" s="2">
        <v>42130.0</v>
      </c>
      <c r="P2654" s="1">
        <v>234672.0</v>
      </c>
      <c r="Q2654" s="1">
        <v>60913.0</v>
      </c>
      <c r="S2654" s="1">
        <v>225.0</v>
      </c>
      <c r="T2654" s="1" t="s">
        <v>23237</v>
      </c>
      <c r="U2654" s="1" t="s">
        <v>1174</v>
      </c>
      <c r="V2654" s="1" t="s">
        <v>1527</v>
      </c>
      <c r="W2654" s="1">
        <v>60543.0</v>
      </c>
      <c r="Y2654" s="1" t="s">
        <v>23658</v>
      </c>
      <c r="Z2654" s="1">
        <v>2005.0</v>
      </c>
      <c r="AA2654" s="1" t="s">
        <v>200</v>
      </c>
      <c r="AB2654" s="1" t="s">
        <v>193</v>
      </c>
      <c r="AD2654" s="1" t="s">
        <v>1529</v>
      </c>
      <c r="AE2654" s="1" t="s">
        <v>849</v>
      </c>
      <c r="AF2654" s="1" t="s">
        <v>1529</v>
      </c>
      <c r="AH2654" s="1" t="s">
        <v>23659</v>
      </c>
      <c r="AI2654" s="1">
        <v>0.2378</v>
      </c>
      <c r="AK2654" s="1">
        <v>9.0</v>
      </c>
      <c r="AL2654" s="1">
        <v>4.0</v>
      </c>
      <c r="AM2654" s="1">
        <v>2.0</v>
      </c>
      <c r="AN2654" s="1">
        <v>1.0</v>
      </c>
      <c r="AO2654" s="1" t="s">
        <v>198</v>
      </c>
      <c r="AP2654" s="1">
        <v>1.0</v>
      </c>
      <c r="AQ2654" s="1" t="s">
        <v>198</v>
      </c>
      <c r="AR2654" s="1" t="s">
        <v>200</v>
      </c>
      <c r="AS2654" s="1" t="s">
        <v>199</v>
      </c>
      <c r="AT2654" s="1">
        <v>2.0</v>
      </c>
      <c r="AV2654" s="1" t="s">
        <v>200</v>
      </c>
      <c r="AW2654" s="1">
        <v>7525.3</v>
      </c>
      <c r="AX2654" s="1">
        <v>2012.0</v>
      </c>
      <c r="AZ2654" s="1" t="s">
        <v>200</v>
      </c>
      <c r="BA2654" s="1" t="str">
        <f>"0321380003"</f>
        <v>0321380003</v>
      </c>
      <c r="BB2654" s="1" t="s">
        <v>200</v>
      </c>
      <c r="BC2654" s="1">
        <v>2752.0</v>
      </c>
      <c r="BD2654" s="1">
        <v>206000.0</v>
      </c>
      <c r="BE2654" s="2">
        <v>42045.0</v>
      </c>
      <c r="BF2654" s="2" t="s">
        <v>23660</v>
      </c>
      <c r="BH2654" s="1">
        <v>400.0</v>
      </c>
      <c r="BK2654" s="1" t="s">
        <v>580</v>
      </c>
      <c r="BL2654" s="1" t="str">
        <f t="shared" ref="BL2654:BM2654" si="1734">"0"</f>
        <v>0</v>
      </c>
      <c r="BM2654" s="1" t="str">
        <f t="shared" si="1734"/>
        <v>0</v>
      </c>
      <c r="BN2654" s="1">
        <v>0.0</v>
      </c>
      <c r="BO2654" s="1">
        <v>0.0</v>
      </c>
      <c r="BQ2654" s="1">
        <v>308.0</v>
      </c>
      <c r="BR2654" s="1">
        <v>308.0</v>
      </c>
      <c r="BS2654" s="1">
        <v>308.0</v>
      </c>
      <c r="BU2654" s="1" t="s">
        <v>433</v>
      </c>
      <c r="BV2654" s="1" t="s">
        <v>206</v>
      </c>
      <c r="BY2654" s="1" t="s">
        <v>924</v>
      </c>
      <c r="BZ2654" s="1" t="s">
        <v>209</v>
      </c>
      <c r="CC2654" s="1" t="s">
        <v>363</v>
      </c>
      <c r="CD2654" s="1" t="s">
        <v>206</v>
      </c>
      <c r="CG2654" s="1" t="s">
        <v>332</v>
      </c>
      <c r="CH2654" s="1" t="s">
        <v>209</v>
      </c>
      <c r="CK2654" s="1" t="s">
        <v>363</v>
      </c>
      <c r="CL2654" s="1" t="s">
        <v>209</v>
      </c>
      <c r="CO2654" s="1" t="s">
        <v>924</v>
      </c>
      <c r="CP2654" s="1" t="s">
        <v>209</v>
      </c>
      <c r="CS2654" s="1" t="s">
        <v>2120</v>
      </c>
      <c r="CT2654" s="1" t="s">
        <v>206</v>
      </c>
      <c r="CW2654" s="1" t="s">
        <v>854</v>
      </c>
      <c r="CX2654" s="1" t="s">
        <v>206</v>
      </c>
      <c r="DA2654" s="1" t="s">
        <v>200</v>
      </c>
      <c r="DC2654" s="1" t="s">
        <v>481</v>
      </c>
      <c r="DD2654" s="1" t="s">
        <v>396</v>
      </c>
      <c r="DE2654" s="1" t="s">
        <v>229</v>
      </c>
      <c r="DF2654" s="1" t="s">
        <v>219</v>
      </c>
      <c r="DH2654" s="1" t="s">
        <v>220</v>
      </c>
      <c r="DJ2654" s="1" t="s">
        <v>222</v>
      </c>
      <c r="DL2654" s="1" t="s">
        <v>20399</v>
      </c>
      <c r="DM2654" s="1" t="s">
        <v>229</v>
      </c>
      <c r="DN2654" s="1" t="s">
        <v>367</v>
      </c>
      <c r="DO2654" s="1" t="s">
        <v>549</v>
      </c>
      <c r="DP2654" s="1" t="s">
        <v>340</v>
      </c>
      <c r="DQ2654" s="1" t="s">
        <v>228</v>
      </c>
      <c r="DR2654" s="1" t="s">
        <v>229</v>
      </c>
      <c r="DS2654" s="1" t="s">
        <v>230</v>
      </c>
      <c r="DV2654" s="1" t="s">
        <v>341</v>
      </c>
      <c r="DW2654" s="1" t="s">
        <v>233</v>
      </c>
      <c r="DX2654" s="1" t="s">
        <v>234</v>
      </c>
      <c r="DY2654" s="1" t="s">
        <v>1189</v>
      </c>
      <c r="EA2654" s="1" t="s">
        <v>344</v>
      </c>
      <c r="EC2654" s="1" t="s">
        <v>237</v>
      </c>
      <c r="ED2654" s="1" t="s">
        <v>1761</v>
      </c>
      <c r="EE2654" s="1" t="s">
        <v>493</v>
      </c>
      <c r="EG2654" s="1" t="s">
        <v>341</v>
      </c>
      <c r="EL2654" s="1" t="s">
        <v>6286</v>
      </c>
      <c r="EM2654" s="1" t="s">
        <v>209</v>
      </c>
      <c r="EQ2654" s="1" t="s">
        <v>238</v>
      </c>
      <c r="EU2654" s="1" t="s">
        <v>238</v>
      </c>
      <c r="EY2654" s="1" t="s">
        <v>238</v>
      </c>
      <c r="FC2654" s="1" t="s">
        <v>238</v>
      </c>
      <c r="FF2654" s="1" t="s">
        <v>239</v>
      </c>
      <c r="FG2654" s="1" t="s">
        <v>192</v>
      </c>
      <c r="FH2654" s="1" t="s">
        <v>192</v>
      </c>
      <c r="FJ2654" s="1" t="s">
        <v>524</v>
      </c>
      <c r="FK2654" s="1" t="s">
        <v>229</v>
      </c>
      <c r="FL2654" s="1" t="s">
        <v>1289</v>
      </c>
      <c r="FM2654" s="1">
        <v>306.0</v>
      </c>
      <c r="FN2654" s="1" t="s">
        <v>6762</v>
      </c>
      <c r="FO2654" s="1" t="s">
        <v>23661</v>
      </c>
      <c r="FP2654" s="1">
        <v>310403.0</v>
      </c>
      <c r="FQ2654" s="1" t="s">
        <v>23662</v>
      </c>
      <c r="FS2654" s="1" t="s">
        <v>23663</v>
      </c>
      <c r="FU2654" s="1" t="s">
        <v>23664</v>
      </c>
      <c r="FV2654" s="1" t="s">
        <v>200</v>
      </c>
      <c r="FW2654" s="1" t="s">
        <v>290</v>
      </c>
      <c r="FZ2654" s="1" t="s">
        <v>229</v>
      </c>
      <c r="GA2654" s="1" t="s">
        <v>291</v>
      </c>
      <c r="GB2654" s="2">
        <v>42130.0</v>
      </c>
      <c r="GC2654" s="1" t="s">
        <v>23665</v>
      </c>
    </row>
    <row r="2655">
      <c r="A2655" s="1">
        <v>195000.0</v>
      </c>
      <c r="B2655" s="1" t="s">
        <v>185</v>
      </c>
      <c r="C2655" s="1" t="str">
        <f>"08832485"</f>
        <v>08832485</v>
      </c>
      <c r="D2655" s="1" t="s">
        <v>186</v>
      </c>
      <c r="F2655" s="1" t="str">
        <f>"8056"</f>
        <v>8056</v>
      </c>
      <c r="G2655" s="2">
        <v>42041.0</v>
      </c>
      <c r="H2655" s="1">
        <v>215000.0</v>
      </c>
      <c r="I2655" s="1">
        <v>85.0</v>
      </c>
      <c r="J2655" s="1">
        <v>215000.0</v>
      </c>
      <c r="K2655" s="2">
        <v>42041.0</v>
      </c>
      <c r="L2655" s="1">
        <v>1.0</v>
      </c>
      <c r="M2655" s="2">
        <v>42041.0</v>
      </c>
      <c r="N2655" s="1" t="s">
        <v>187</v>
      </c>
      <c r="O2655" s="2">
        <v>42076.0</v>
      </c>
      <c r="P2655" s="1">
        <v>123194.0</v>
      </c>
      <c r="Q2655" s="1">
        <v>12198.0</v>
      </c>
      <c r="S2655" s="1">
        <v>4812.0</v>
      </c>
      <c r="T2655" s="1" t="s">
        <v>8971</v>
      </c>
      <c r="U2655" s="1" t="s">
        <v>189</v>
      </c>
      <c r="V2655" s="1" t="s">
        <v>190</v>
      </c>
      <c r="W2655" s="1">
        <v>60638.0</v>
      </c>
      <c r="Y2655" s="1" t="s">
        <v>23666</v>
      </c>
      <c r="Z2655" s="1">
        <v>1949.0</v>
      </c>
      <c r="AA2655" s="1" t="s">
        <v>192</v>
      </c>
      <c r="AB2655" s="1" t="s">
        <v>193</v>
      </c>
      <c r="AD2655" s="1" t="s">
        <v>1089</v>
      </c>
      <c r="AE2655" s="1" t="s">
        <v>195</v>
      </c>
      <c r="AF2655" s="1" t="s">
        <v>8354</v>
      </c>
      <c r="AH2655" s="1" t="s">
        <v>1501</v>
      </c>
      <c r="AI2655" s="1">
        <v>0.0868</v>
      </c>
      <c r="AK2655" s="1">
        <v>8.0</v>
      </c>
      <c r="AL2655" s="1">
        <v>4.0</v>
      </c>
      <c r="AM2655" s="1">
        <v>3.0</v>
      </c>
      <c r="AN2655" s="1">
        <v>0.0</v>
      </c>
      <c r="AO2655" s="1" t="s">
        <v>1261</v>
      </c>
      <c r="AQ2655" s="1" t="s">
        <v>198</v>
      </c>
      <c r="AR2655" s="1" t="s">
        <v>192</v>
      </c>
      <c r="AS2655" s="1" t="s">
        <v>199</v>
      </c>
      <c r="AT2655" s="1">
        <v>2.0</v>
      </c>
      <c r="AV2655" s="1" t="s">
        <v>200</v>
      </c>
      <c r="AW2655" s="1">
        <v>2900.78</v>
      </c>
      <c r="AX2655" s="1">
        <v>2012.0</v>
      </c>
      <c r="AY2655" s="1" t="s">
        <v>229</v>
      </c>
      <c r="AZ2655" s="1" t="s">
        <v>200</v>
      </c>
      <c r="BA2655" s="1" t="str">
        <f>"19091140250000"</f>
        <v>19091140250000</v>
      </c>
      <c r="BB2655" s="1" t="s">
        <v>200</v>
      </c>
      <c r="BC2655" s="1">
        <v>2300.0</v>
      </c>
      <c r="BD2655" s="1">
        <v>195000.0</v>
      </c>
      <c r="BE2655" s="2">
        <v>42041.0</v>
      </c>
      <c r="BF2655" s="2" t="s">
        <v>23667</v>
      </c>
      <c r="BH2655" s="1">
        <v>0.0</v>
      </c>
      <c r="BK2655" s="1" t="s">
        <v>204</v>
      </c>
      <c r="BL2655" s="1" t="str">
        <f t="shared" ref="BL2655:BM2655" si="1735">"0"</f>
        <v>0</v>
      </c>
      <c r="BM2655" s="1" t="str">
        <f t="shared" si="1735"/>
        <v>0</v>
      </c>
      <c r="BN2655" s="1">
        <v>5250.0</v>
      </c>
      <c r="BO2655" s="1">
        <v>4812.0</v>
      </c>
      <c r="BQ2655" s="1">
        <v>299.0</v>
      </c>
      <c r="BR2655" s="1">
        <v>299.0</v>
      </c>
      <c r="BS2655" s="1">
        <v>299.0</v>
      </c>
      <c r="BU2655" s="1" t="s">
        <v>730</v>
      </c>
      <c r="BV2655" s="1" t="s">
        <v>206</v>
      </c>
      <c r="BX2655" s="1" t="s">
        <v>229</v>
      </c>
      <c r="BY2655" s="1" t="s">
        <v>265</v>
      </c>
      <c r="BZ2655" s="1" t="s">
        <v>209</v>
      </c>
      <c r="CB2655" s="1" t="s">
        <v>229</v>
      </c>
      <c r="CC2655" s="1" t="s">
        <v>542</v>
      </c>
      <c r="CD2655" s="1" t="s">
        <v>206</v>
      </c>
      <c r="CG2655" s="1" t="s">
        <v>516</v>
      </c>
      <c r="CH2655" s="1" t="s">
        <v>209</v>
      </c>
      <c r="CJ2655" s="1" t="s">
        <v>229</v>
      </c>
      <c r="CK2655" s="1" t="s">
        <v>478</v>
      </c>
      <c r="CL2655" s="1" t="s">
        <v>206</v>
      </c>
      <c r="CN2655" s="1" t="s">
        <v>229</v>
      </c>
      <c r="CO2655" s="1" t="s">
        <v>264</v>
      </c>
      <c r="CP2655" s="1" t="s">
        <v>206</v>
      </c>
      <c r="CS2655" s="1" t="s">
        <v>699</v>
      </c>
      <c r="CT2655" s="1" t="s">
        <v>206</v>
      </c>
      <c r="CU2655" s="1" t="s">
        <v>617</v>
      </c>
      <c r="CW2655" s="1" t="s">
        <v>3271</v>
      </c>
      <c r="CX2655" s="1" t="s">
        <v>206</v>
      </c>
      <c r="DA2655" s="1" t="s">
        <v>200</v>
      </c>
      <c r="DC2655" s="1" t="s">
        <v>702</v>
      </c>
      <c r="DD2655" s="1" t="s">
        <v>518</v>
      </c>
      <c r="DE2655" s="1" t="s">
        <v>2851</v>
      </c>
      <c r="DF2655" s="1" t="s">
        <v>619</v>
      </c>
      <c r="DG2655" s="1" t="s">
        <v>337</v>
      </c>
      <c r="DH2655" s="1" t="s">
        <v>220</v>
      </c>
      <c r="DJ2655" s="1" t="s">
        <v>222</v>
      </c>
      <c r="DK2655" s="1" t="s">
        <v>1380</v>
      </c>
      <c r="DL2655" s="1" t="s">
        <v>224</v>
      </c>
      <c r="DM2655" s="1" t="s">
        <v>229</v>
      </c>
      <c r="DQ2655" s="1" t="s">
        <v>228</v>
      </c>
      <c r="DR2655" s="1" t="s">
        <v>229</v>
      </c>
      <c r="DV2655" s="1" t="s">
        <v>232</v>
      </c>
      <c r="DW2655" s="1" t="s">
        <v>667</v>
      </c>
      <c r="DX2655" s="1" t="s">
        <v>234</v>
      </c>
      <c r="EC2655" s="1" t="s">
        <v>645</v>
      </c>
      <c r="EM2655" s="1" t="s">
        <v>238</v>
      </c>
      <c r="EQ2655" s="1" t="s">
        <v>238</v>
      </c>
      <c r="EU2655" s="1" t="s">
        <v>238</v>
      </c>
      <c r="EY2655" s="1" t="s">
        <v>238</v>
      </c>
      <c r="FC2655" s="1" t="s">
        <v>238</v>
      </c>
      <c r="FF2655" s="1" t="s">
        <v>239</v>
      </c>
      <c r="FG2655" s="1" t="s">
        <v>192</v>
      </c>
      <c r="FH2655" s="1" t="s">
        <v>192</v>
      </c>
      <c r="FJ2655" s="1" t="s">
        <v>799</v>
      </c>
      <c r="FK2655" s="1" t="s">
        <v>229</v>
      </c>
      <c r="FL2655" s="1" t="s">
        <v>7927</v>
      </c>
      <c r="FM2655" s="1">
        <v>85475.0</v>
      </c>
      <c r="FN2655" s="1" t="s">
        <v>7928</v>
      </c>
      <c r="FO2655" s="1" t="s">
        <v>23668</v>
      </c>
      <c r="FP2655" s="1">
        <v>877972.0</v>
      </c>
      <c r="FU2655" s="1" t="s">
        <v>4733</v>
      </c>
      <c r="FV2655" s="1" t="s">
        <v>192</v>
      </c>
      <c r="FW2655" s="1" t="s">
        <v>290</v>
      </c>
      <c r="FX2655" s="1" t="s">
        <v>655</v>
      </c>
      <c r="FZ2655" s="1" t="s">
        <v>229</v>
      </c>
      <c r="GA2655" s="1" t="s">
        <v>291</v>
      </c>
      <c r="GB2655" s="2">
        <v>42079.0</v>
      </c>
      <c r="GC2655" s="1" t="s">
        <v>23669</v>
      </c>
    </row>
    <row r="2656">
      <c r="A2656" s="1">
        <v>280000.0</v>
      </c>
      <c r="B2656" s="1" t="s">
        <v>185</v>
      </c>
      <c r="C2656" s="1" t="str">
        <f>"08832754"</f>
        <v>08832754</v>
      </c>
      <c r="D2656" s="1" t="s">
        <v>186</v>
      </c>
      <c r="F2656" s="1" t="str">
        <f>"136"</f>
        <v>136</v>
      </c>
      <c r="G2656" s="2">
        <v>42041.0</v>
      </c>
      <c r="H2656" s="1">
        <v>280000.0</v>
      </c>
      <c r="I2656" s="1">
        <v>182.0</v>
      </c>
      <c r="J2656" s="1">
        <v>280000.0</v>
      </c>
      <c r="K2656" s="2">
        <v>42051.0</v>
      </c>
      <c r="L2656" s="1">
        <v>11.0</v>
      </c>
      <c r="M2656" s="2">
        <v>42051.0</v>
      </c>
      <c r="N2656" s="1" t="s">
        <v>187</v>
      </c>
      <c r="O2656" s="2">
        <v>42115.0</v>
      </c>
      <c r="P2656" s="1">
        <v>496.0</v>
      </c>
      <c r="Q2656" s="1">
        <v>7630.0</v>
      </c>
      <c r="S2656" s="1">
        <v>146.0</v>
      </c>
      <c r="T2656" s="1" t="s">
        <v>23670</v>
      </c>
      <c r="U2656" s="1" t="s">
        <v>420</v>
      </c>
      <c r="V2656" s="1" t="s">
        <v>5032</v>
      </c>
      <c r="W2656" s="1">
        <v>60136.0</v>
      </c>
      <c r="Y2656" s="1" t="s">
        <v>23671</v>
      </c>
      <c r="Z2656" s="1">
        <v>2003.0</v>
      </c>
      <c r="AA2656" s="1" t="s">
        <v>200</v>
      </c>
      <c r="AB2656" s="1" t="s">
        <v>193</v>
      </c>
      <c r="AC2656" s="1" t="s">
        <v>10110</v>
      </c>
      <c r="AD2656" s="1" t="s">
        <v>5035</v>
      </c>
      <c r="AE2656" s="1" t="s">
        <v>325</v>
      </c>
      <c r="AF2656" s="1" t="s">
        <v>3429</v>
      </c>
      <c r="AG2656" s="1" t="s">
        <v>1948</v>
      </c>
      <c r="AH2656" s="1" t="s">
        <v>23672</v>
      </c>
      <c r="AI2656" s="1">
        <v>0.2115</v>
      </c>
      <c r="AK2656" s="1">
        <v>10.0</v>
      </c>
      <c r="AL2656" s="1">
        <v>4.0</v>
      </c>
      <c r="AM2656" s="1">
        <v>2.0</v>
      </c>
      <c r="AN2656" s="1">
        <v>1.0</v>
      </c>
      <c r="AO2656" s="1" t="s">
        <v>198</v>
      </c>
      <c r="AP2656" s="1">
        <v>1.0</v>
      </c>
      <c r="AQ2656" s="1" t="s">
        <v>198</v>
      </c>
      <c r="AR2656" s="1" t="s">
        <v>200</v>
      </c>
      <c r="AS2656" s="1" t="s">
        <v>199</v>
      </c>
      <c r="AT2656" s="1">
        <v>3.0</v>
      </c>
      <c r="AV2656" s="1" t="s">
        <v>200</v>
      </c>
      <c r="AW2656" s="1">
        <v>8142.0</v>
      </c>
      <c r="AX2656" s="1">
        <v>2013.0</v>
      </c>
      <c r="AY2656" s="1" t="s">
        <v>387</v>
      </c>
      <c r="AZ2656" s="1" t="s">
        <v>200</v>
      </c>
      <c r="BA2656" s="1" t="str">
        <f>"0235228012"</f>
        <v>0235228012</v>
      </c>
      <c r="BB2656" s="1" t="s">
        <v>200</v>
      </c>
      <c r="BC2656" s="1">
        <v>2771.0</v>
      </c>
      <c r="BD2656" s="1">
        <v>280000.0</v>
      </c>
      <c r="BE2656" s="2">
        <v>42041.0</v>
      </c>
      <c r="BF2656" s="2" t="s">
        <v>23673</v>
      </c>
      <c r="BH2656" s="1">
        <v>350.0</v>
      </c>
      <c r="BI2656" s="1" t="s">
        <v>5040</v>
      </c>
      <c r="BJ2656" s="1" t="s">
        <v>1182</v>
      </c>
      <c r="BK2656" s="1" t="s">
        <v>580</v>
      </c>
      <c r="BL2656" s="1" t="str">
        <f t="shared" ref="BL2656:BM2656" si="1736">""</f>
        <v/>
      </c>
      <c r="BM2656" s="1" t="str">
        <f t="shared" si="1736"/>
        <v/>
      </c>
      <c r="BQ2656" s="1">
        <v>300.0</v>
      </c>
      <c r="BR2656" s="1">
        <v>300.0</v>
      </c>
      <c r="BS2656" s="1">
        <v>300.0</v>
      </c>
      <c r="BU2656" s="1" t="s">
        <v>262</v>
      </c>
      <c r="BV2656" s="1" t="s">
        <v>206</v>
      </c>
      <c r="BW2656" s="1" t="s">
        <v>210</v>
      </c>
      <c r="BX2656" s="1" t="s">
        <v>239</v>
      </c>
      <c r="BY2656" s="1" t="s">
        <v>664</v>
      </c>
      <c r="BZ2656" s="1" t="s">
        <v>209</v>
      </c>
      <c r="CA2656" s="1" t="s">
        <v>210</v>
      </c>
      <c r="CB2656" s="1" t="s">
        <v>239</v>
      </c>
      <c r="CC2656" s="1" t="s">
        <v>332</v>
      </c>
      <c r="CD2656" s="1" t="s">
        <v>206</v>
      </c>
      <c r="CE2656" s="1" t="s">
        <v>210</v>
      </c>
      <c r="CF2656" s="1" t="s">
        <v>239</v>
      </c>
      <c r="CG2656" s="1" t="s">
        <v>699</v>
      </c>
      <c r="CH2656" s="1" t="s">
        <v>209</v>
      </c>
      <c r="CI2656" s="1" t="s">
        <v>210</v>
      </c>
      <c r="CJ2656" s="1" t="s">
        <v>431</v>
      </c>
      <c r="CK2656" s="1" t="s">
        <v>495</v>
      </c>
      <c r="CL2656" s="1" t="s">
        <v>209</v>
      </c>
      <c r="CM2656" s="1" t="s">
        <v>210</v>
      </c>
      <c r="CN2656" s="1" t="s">
        <v>431</v>
      </c>
      <c r="CO2656" s="1" t="s">
        <v>215</v>
      </c>
      <c r="CP2656" s="1" t="s">
        <v>209</v>
      </c>
      <c r="CQ2656" s="1" t="s">
        <v>210</v>
      </c>
      <c r="CR2656" s="1" t="s">
        <v>431</v>
      </c>
      <c r="CS2656" s="1" t="s">
        <v>616</v>
      </c>
      <c r="CT2656" s="1" t="s">
        <v>206</v>
      </c>
      <c r="CU2656" s="1" t="s">
        <v>207</v>
      </c>
      <c r="CV2656" s="1" t="s">
        <v>239</v>
      </c>
      <c r="CW2656" s="1" t="s">
        <v>924</v>
      </c>
      <c r="CX2656" s="1" t="s">
        <v>206</v>
      </c>
      <c r="CY2656" s="1" t="s">
        <v>210</v>
      </c>
      <c r="CZ2656" s="1" t="s">
        <v>239</v>
      </c>
      <c r="DA2656" s="1" t="s">
        <v>200</v>
      </c>
      <c r="DC2656" s="1" t="s">
        <v>335</v>
      </c>
      <c r="DD2656" s="1" t="s">
        <v>12444</v>
      </c>
      <c r="DE2656" s="1" t="s">
        <v>273</v>
      </c>
      <c r="DF2656" s="1" t="s">
        <v>219</v>
      </c>
      <c r="DG2656" s="1" t="s">
        <v>337</v>
      </c>
      <c r="DH2656" s="1" t="s">
        <v>220</v>
      </c>
      <c r="DI2656" s="1" t="s">
        <v>1003</v>
      </c>
      <c r="DJ2656" s="1" t="s">
        <v>222</v>
      </c>
      <c r="DL2656" s="1" t="s">
        <v>20399</v>
      </c>
      <c r="DM2656" s="1" t="s">
        <v>338</v>
      </c>
      <c r="DN2656" s="1" t="s">
        <v>399</v>
      </c>
      <c r="DO2656" s="1" t="s">
        <v>440</v>
      </c>
      <c r="DP2656" s="1" t="s">
        <v>340</v>
      </c>
      <c r="DQ2656" s="1" t="s">
        <v>228</v>
      </c>
      <c r="DR2656" s="1" t="s">
        <v>229</v>
      </c>
      <c r="DS2656" s="1" t="s">
        <v>230</v>
      </c>
      <c r="DU2656" s="1" t="s">
        <v>3487</v>
      </c>
      <c r="DV2656" s="1" t="s">
        <v>23674</v>
      </c>
      <c r="DW2656" s="1" t="s">
        <v>444</v>
      </c>
      <c r="DX2656" s="1" t="s">
        <v>234</v>
      </c>
      <c r="DY2656" s="1" t="s">
        <v>490</v>
      </c>
      <c r="DZ2656" s="1" t="s">
        <v>1405</v>
      </c>
      <c r="EA2656" s="1" t="s">
        <v>344</v>
      </c>
      <c r="EB2656" s="1" t="s">
        <v>4251</v>
      </c>
      <c r="EC2656" s="1" t="s">
        <v>237</v>
      </c>
      <c r="ED2656" s="1" t="s">
        <v>407</v>
      </c>
      <c r="EE2656" s="1" t="s">
        <v>493</v>
      </c>
      <c r="EG2656" s="1" t="s">
        <v>449</v>
      </c>
      <c r="EH2656" s="1" t="s">
        <v>494</v>
      </c>
      <c r="EL2656" s="1" t="s">
        <v>266</v>
      </c>
      <c r="EM2656" s="1" t="s">
        <v>206</v>
      </c>
      <c r="EN2656" s="1" t="s">
        <v>207</v>
      </c>
      <c r="EO2656" s="1" t="s">
        <v>239</v>
      </c>
      <c r="EP2656" s="1" t="s">
        <v>495</v>
      </c>
      <c r="EQ2656" s="1" t="s">
        <v>206</v>
      </c>
      <c r="ER2656" s="1" t="s">
        <v>210</v>
      </c>
      <c r="ES2656" s="1" t="s">
        <v>239</v>
      </c>
      <c r="EU2656" s="1" t="s">
        <v>238</v>
      </c>
      <c r="EY2656" s="1" t="s">
        <v>238</v>
      </c>
      <c r="FC2656" s="1" t="s">
        <v>238</v>
      </c>
      <c r="FF2656" s="1" t="s">
        <v>239</v>
      </c>
      <c r="FG2656" s="1" t="s">
        <v>192</v>
      </c>
      <c r="FH2656" s="1" t="s">
        <v>192</v>
      </c>
      <c r="FJ2656" s="1" t="s">
        <v>23675</v>
      </c>
      <c r="FK2656" s="1" t="s">
        <v>348</v>
      </c>
      <c r="FL2656" s="1" t="s">
        <v>6233</v>
      </c>
      <c r="FM2656" s="1">
        <v>7630.0</v>
      </c>
      <c r="FN2656" s="1" t="s">
        <v>6234</v>
      </c>
      <c r="FO2656" s="1" t="s">
        <v>23676</v>
      </c>
      <c r="FP2656" s="1">
        <v>496.0</v>
      </c>
      <c r="FQ2656" s="1" t="s">
        <v>23677</v>
      </c>
      <c r="FS2656" s="1" t="s">
        <v>23678</v>
      </c>
      <c r="FU2656" s="1" t="s">
        <v>23679</v>
      </c>
      <c r="FV2656" s="1" t="s">
        <v>200</v>
      </c>
      <c r="FW2656" s="1" t="s">
        <v>23680</v>
      </c>
      <c r="FZ2656" s="1" t="s">
        <v>229</v>
      </c>
      <c r="GA2656" s="1" t="s">
        <v>291</v>
      </c>
      <c r="GB2656" s="2">
        <v>42116.0</v>
      </c>
    </row>
    <row r="2657">
      <c r="A2657" s="1">
        <v>270000.0</v>
      </c>
      <c r="B2657" s="1" t="s">
        <v>185</v>
      </c>
      <c r="C2657" s="1" t="str">
        <f>"08843328"</f>
        <v>08843328</v>
      </c>
      <c r="D2657" s="1" t="s">
        <v>186</v>
      </c>
      <c r="F2657" s="1" t="str">
        <f>"8021"</f>
        <v>8021</v>
      </c>
      <c r="G2657" s="2">
        <v>42055.0</v>
      </c>
      <c r="H2657" s="1">
        <v>279000.0</v>
      </c>
      <c r="I2657" s="1">
        <v>24.0</v>
      </c>
      <c r="J2657" s="1">
        <v>279000.0</v>
      </c>
      <c r="K2657" s="2">
        <v>42078.0</v>
      </c>
      <c r="L2657" s="1">
        <v>24.0</v>
      </c>
      <c r="M2657" s="2">
        <v>42078.0</v>
      </c>
      <c r="N2657" s="1" t="s">
        <v>187</v>
      </c>
      <c r="O2657" s="2">
        <v>42137.0</v>
      </c>
      <c r="P2657" s="1">
        <v>871904.0</v>
      </c>
      <c r="Q2657" s="1">
        <v>18705.0</v>
      </c>
      <c r="S2657" s="1">
        <v>3118.0</v>
      </c>
      <c r="T2657" s="1" t="s">
        <v>5970</v>
      </c>
      <c r="U2657" s="1" t="s">
        <v>189</v>
      </c>
      <c r="V2657" s="1" t="s">
        <v>190</v>
      </c>
      <c r="W2657" s="1">
        <v>60618.0</v>
      </c>
      <c r="Y2657" s="1" t="s">
        <v>23681</v>
      </c>
      <c r="Z2657" s="1">
        <v>1976.0</v>
      </c>
      <c r="AA2657" s="1" t="s">
        <v>192</v>
      </c>
      <c r="AB2657" s="1" t="s">
        <v>193</v>
      </c>
      <c r="AD2657" s="1" t="s">
        <v>194</v>
      </c>
      <c r="AE2657" s="1" t="s">
        <v>195</v>
      </c>
      <c r="AF2657" s="1" t="s">
        <v>196</v>
      </c>
      <c r="AH2657" s="1" t="s">
        <v>10812</v>
      </c>
      <c r="AI2657" s="1">
        <v>0.0729</v>
      </c>
      <c r="AK2657" s="1">
        <v>7.0</v>
      </c>
      <c r="AL2657" s="1">
        <v>3.0</v>
      </c>
      <c r="AM2657" s="1">
        <v>2.0</v>
      </c>
      <c r="AN2657" s="1">
        <v>0.0</v>
      </c>
      <c r="AO2657" s="1" t="s">
        <v>229</v>
      </c>
      <c r="AP2657" s="1">
        <v>0.0</v>
      </c>
      <c r="AQ2657" s="1" t="s">
        <v>198</v>
      </c>
      <c r="AR2657" s="1" t="s">
        <v>192</v>
      </c>
      <c r="AS2657" s="1" t="s">
        <v>199</v>
      </c>
      <c r="AT2657" s="1">
        <v>2.5</v>
      </c>
      <c r="AV2657" s="1" t="s">
        <v>200</v>
      </c>
      <c r="AW2657" s="1">
        <v>4013.73</v>
      </c>
      <c r="AX2657" s="1">
        <v>2013.0</v>
      </c>
      <c r="AY2657" s="1" t="s">
        <v>387</v>
      </c>
      <c r="AZ2657" s="1" t="s">
        <v>200</v>
      </c>
      <c r="BA2657" s="1" t="str">
        <f>"13262000380000"</f>
        <v>13262000380000</v>
      </c>
      <c r="BC2657" s="1">
        <v>950.0</v>
      </c>
      <c r="BD2657" s="1">
        <v>270000.0</v>
      </c>
      <c r="BE2657" s="2">
        <v>42055.0</v>
      </c>
      <c r="BF2657" s="2" t="s">
        <v>23682</v>
      </c>
      <c r="BH2657" s="1">
        <v>0.0</v>
      </c>
      <c r="BK2657" s="1" t="s">
        <v>204</v>
      </c>
      <c r="BL2657" s="1" t="str">
        <f>"3100"</f>
        <v>3100</v>
      </c>
      <c r="BM2657" s="1" t="str">
        <f>"0"</f>
        <v>0</v>
      </c>
      <c r="BN2657" s="1">
        <v>3700.0</v>
      </c>
      <c r="BO2657" s="1">
        <v>0.0</v>
      </c>
      <c r="BQ2657" s="1">
        <v>299.0</v>
      </c>
      <c r="BR2657" s="1">
        <v>299.0</v>
      </c>
      <c r="BS2657" s="1">
        <v>299.0</v>
      </c>
      <c r="BU2657" s="1" t="s">
        <v>543</v>
      </c>
      <c r="BV2657" s="1" t="s">
        <v>206</v>
      </c>
      <c r="BW2657" s="1" t="s">
        <v>207</v>
      </c>
      <c r="BX2657" s="1" t="s">
        <v>261</v>
      </c>
      <c r="BY2657" s="1" t="s">
        <v>264</v>
      </c>
      <c r="BZ2657" s="1" t="s">
        <v>206</v>
      </c>
      <c r="CA2657" s="1" t="s">
        <v>207</v>
      </c>
      <c r="CB2657" s="1" t="s">
        <v>261</v>
      </c>
      <c r="CC2657" s="1" t="s">
        <v>560</v>
      </c>
      <c r="CD2657" s="1" t="s">
        <v>206</v>
      </c>
      <c r="CE2657" s="1" t="s">
        <v>207</v>
      </c>
      <c r="CF2657" s="1" t="s">
        <v>261</v>
      </c>
      <c r="CG2657" s="1" t="s">
        <v>543</v>
      </c>
      <c r="CH2657" s="1" t="s">
        <v>206</v>
      </c>
      <c r="CI2657" s="1" t="s">
        <v>207</v>
      </c>
      <c r="CJ2657" s="1" t="s">
        <v>261</v>
      </c>
      <c r="CK2657" s="1" t="s">
        <v>543</v>
      </c>
      <c r="CL2657" s="1" t="s">
        <v>206</v>
      </c>
      <c r="CM2657" s="1" t="s">
        <v>207</v>
      </c>
      <c r="CN2657" s="1" t="s">
        <v>261</v>
      </c>
      <c r="CO2657" s="1" t="s">
        <v>2861</v>
      </c>
      <c r="CP2657" s="1" t="s">
        <v>42</v>
      </c>
      <c r="CQ2657" s="1" t="s">
        <v>617</v>
      </c>
      <c r="CR2657" s="1" t="s">
        <v>261</v>
      </c>
      <c r="CS2657" s="1" t="s">
        <v>1246</v>
      </c>
      <c r="CT2657" s="1" t="s">
        <v>206</v>
      </c>
      <c r="CU2657" s="1" t="s">
        <v>588</v>
      </c>
      <c r="CV2657" s="1" t="s">
        <v>431</v>
      </c>
      <c r="CX2657" s="1" t="s">
        <v>204</v>
      </c>
      <c r="DA2657" s="1" t="s">
        <v>200</v>
      </c>
      <c r="DC2657" s="1" t="s">
        <v>395</v>
      </c>
      <c r="DD2657" s="1" t="s">
        <v>518</v>
      </c>
      <c r="DE2657" s="1" t="s">
        <v>273</v>
      </c>
      <c r="DF2657" s="1" t="s">
        <v>619</v>
      </c>
      <c r="DG2657" s="1" t="s">
        <v>337</v>
      </c>
      <c r="DH2657" s="1" t="s">
        <v>365</v>
      </c>
      <c r="DI2657" s="1" t="s">
        <v>1463</v>
      </c>
      <c r="DJ2657" s="1" t="s">
        <v>222</v>
      </c>
      <c r="DL2657" s="1" t="s">
        <v>224</v>
      </c>
      <c r="DM2657" s="1" t="s">
        <v>229</v>
      </c>
      <c r="DN2657" s="1" t="s">
        <v>793</v>
      </c>
      <c r="DO2657" s="1" t="s">
        <v>549</v>
      </c>
      <c r="DP2657" s="1" t="s">
        <v>276</v>
      </c>
      <c r="DQ2657" s="1" t="s">
        <v>228</v>
      </c>
      <c r="DR2657" s="1" t="s">
        <v>229</v>
      </c>
      <c r="DV2657" s="1" t="s">
        <v>408</v>
      </c>
      <c r="DW2657" s="1" t="s">
        <v>279</v>
      </c>
      <c r="DX2657" s="1" t="s">
        <v>234</v>
      </c>
      <c r="DY2657" s="1" t="s">
        <v>704</v>
      </c>
      <c r="EA2657" s="1" t="s">
        <v>644</v>
      </c>
      <c r="EC2657" s="1" t="s">
        <v>685</v>
      </c>
      <c r="ED2657" s="1" t="s">
        <v>407</v>
      </c>
      <c r="EE2657" s="1" t="s">
        <v>493</v>
      </c>
      <c r="EG2657" s="1" t="s">
        <v>408</v>
      </c>
      <c r="EL2657" s="1" t="s">
        <v>6563</v>
      </c>
      <c r="EM2657" s="1" t="s">
        <v>206</v>
      </c>
      <c r="EQ2657" s="1" t="s">
        <v>238</v>
      </c>
      <c r="EU2657" s="1" t="s">
        <v>238</v>
      </c>
      <c r="EY2657" s="1" t="s">
        <v>238</v>
      </c>
      <c r="FC2657" s="1" t="s">
        <v>238</v>
      </c>
      <c r="FF2657" s="1" t="s">
        <v>239</v>
      </c>
      <c r="FG2657" s="1" t="s">
        <v>192</v>
      </c>
      <c r="FH2657" s="1" t="s">
        <v>192</v>
      </c>
      <c r="FJ2657" s="1" t="s">
        <v>4122</v>
      </c>
      <c r="FK2657" s="1" t="s">
        <v>229</v>
      </c>
      <c r="FL2657" s="1" t="s">
        <v>456</v>
      </c>
      <c r="FM2657" s="1">
        <v>10273.0</v>
      </c>
      <c r="FN2657" s="1" t="s">
        <v>2101</v>
      </c>
      <c r="FO2657" s="1" t="s">
        <v>23683</v>
      </c>
      <c r="FP2657" s="1">
        <v>875351.0</v>
      </c>
      <c r="FQ2657" s="1" t="s">
        <v>23684</v>
      </c>
      <c r="FU2657" s="1" t="s">
        <v>23685</v>
      </c>
      <c r="FV2657" s="1" t="s">
        <v>200</v>
      </c>
      <c r="FW2657" s="1" t="s">
        <v>290</v>
      </c>
      <c r="FX2657" s="1" t="s">
        <v>238</v>
      </c>
      <c r="FZ2657" s="1" t="s">
        <v>229</v>
      </c>
      <c r="GA2657" s="1" t="s">
        <v>291</v>
      </c>
      <c r="GB2657" s="2">
        <v>42137.0</v>
      </c>
      <c r="GC2657" s="1" t="s">
        <v>23686</v>
      </c>
    </row>
    <row r="2658">
      <c r="A2658" s="1">
        <v>420000.0</v>
      </c>
      <c r="B2658" s="1" t="s">
        <v>185</v>
      </c>
      <c r="C2658" s="1" t="str">
        <f>"08830446"</f>
        <v>08830446</v>
      </c>
      <c r="D2658" s="1" t="s">
        <v>186</v>
      </c>
      <c r="F2658" s="1" t="str">
        <f>"134"</f>
        <v>134</v>
      </c>
      <c r="G2658" s="2">
        <v>42038.0</v>
      </c>
      <c r="H2658" s="1">
        <v>469800.0</v>
      </c>
      <c r="I2658" s="1">
        <v>30.0</v>
      </c>
      <c r="J2658" s="1">
        <v>448900.0</v>
      </c>
      <c r="K2658" s="2">
        <v>42067.0</v>
      </c>
      <c r="L2658" s="1">
        <v>30.0</v>
      </c>
      <c r="M2658" s="2">
        <v>42067.0</v>
      </c>
      <c r="N2658" s="1" t="s">
        <v>187</v>
      </c>
      <c r="O2658" s="2">
        <v>42094.0</v>
      </c>
      <c r="P2658" s="1">
        <v>1602.0</v>
      </c>
      <c r="Q2658" s="1">
        <v>49.0</v>
      </c>
      <c r="S2658" s="1">
        <v>1014.0</v>
      </c>
      <c r="T2658" s="1" t="s">
        <v>609</v>
      </c>
      <c r="U2658" s="1" t="s">
        <v>320</v>
      </c>
      <c r="V2658" s="1" t="s">
        <v>421</v>
      </c>
      <c r="W2658" s="1">
        <v>60134.0</v>
      </c>
      <c r="Y2658" s="1" t="s">
        <v>23687</v>
      </c>
      <c r="Z2658" s="1" t="s">
        <v>296</v>
      </c>
      <c r="AA2658" s="1" t="s">
        <v>192</v>
      </c>
      <c r="AB2658" s="1" t="s">
        <v>193</v>
      </c>
      <c r="AD2658" s="1" t="s">
        <v>424</v>
      </c>
      <c r="AE2658" s="1" t="s">
        <v>325</v>
      </c>
      <c r="AF2658" s="1" t="s">
        <v>424</v>
      </c>
      <c r="AH2658" s="1" t="s">
        <v>23688</v>
      </c>
      <c r="AI2658" s="1">
        <v>0.2927</v>
      </c>
      <c r="AK2658" s="1">
        <v>8.0</v>
      </c>
      <c r="AL2658" s="1">
        <v>4.0</v>
      </c>
      <c r="AM2658" s="1">
        <v>2.0</v>
      </c>
      <c r="AN2658" s="1">
        <v>1.0</v>
      </c>
      <c r="AO2658" s="1" t="s">
        <v>198</v>
      </c>
      <c r="AP2658" s="1">
        <v>1.0</v>
      </c>
      <c r="AQ2658" s="1" t="s">
        <v>472</v>
      </c>
      <c r="AR2658" s="1" t="s">
        <v>200</v>
      </c>
      <c r="AS2658" s="1" t="s">
        <v>199</v>
      </c>
      <c r="AT2658" s="1">
        <v>4.0</v>
      </c>
      <c r="AV2658" s="1" t="s">
        <v>200</v>
      </c>
      <c r="AW2658" s="1">
        <v>8323.68</v>
      </c>
      <c r="AX2658" s="1">
        <v>2013.0</v>
      </c>
      <c r="AY2658" s="1" t="s">
        <v>387</v>
      </c>
      <c r="AZ2658" s="1" t="s">
        <v>200</v>
      </c>
      <c r="BA2658" s="1" t="str">
        <f>"1203307002"</f>
        <v>1203307002</v>
      </c>
      <c r="BC2658" s="1">
        <v>0.0</v>
      </c>
      <c r="BD2658" s="1">
        <v>420000.0</v>
      </c>
      <c r="BE2658" s="2">
        <v>42038.0</v>
      </c>
      <c r="BF2658" s="2" t="s">
        <v>23689</v>
      </c>
      <c r="BH2658" s="1">
        <v>0.0</v>
      </c>
      <c r="BK2658" s="1" t="s">
        <v>204</v>
      </c>
      <c r="BL2658" s="1" t="str">
        <f t="shared" ref="BL2658:BM2658" si="1737">""</f>
        <v/>
      </c>
      <c r="BM2658" s="1" t="str">
        <f t="shared" si="1737"/>
        <v/>
      </c>
      <c r="BQ2658" s="1">
        <v>304.0</v>
      </c>
      <c r="BR2658" s="1">
        <v>304.0</v>
      </c>
      <c r="BS2658" s="1">
        <v>304.0</v>
      </c>
      <c r="BV2658" s="1" t="s">
        <v>204</v>
      </c>
      <c r="BY2658" s="1" t="s">
        <v>743</v>
      </c>
      <c r="BZ2658" s="1" t="s">
        <v>209</v>
      </c>
      <c r="CA2658" s="1" t="s">
        <v>207</v>
      </c>
      <c r="CD2658" s="1" t="s">
        <v>204</v>
      </c>
      <c r="CG2658" s="1" t="s">
        <v>262</v>
      </c>
      <c r="CH2658" s="1" t="s">
        <v>209</v>
      </c>
      <c r="CI2658" s="1" t="s">
        <v>207</v>
      </c>
      <c r="CK2658" s="1" t="s">
        <v>262</v>
      </c>
      <c r="CL2658" s="1" t="s">
        <v>209</v>
      </c>
      <c r="CM2658" s="1" t="s">
        <v>207</v>
      </c>
      <c r="CO2658" s="1" t="s">
        <v>212</v>
      </c>
      <c r="CP2658" s="1" t="s">
        <v>206</v>
      </c>
      <c r="CQ2658" s="1" t="s">
        <v>207</v>
      </c>
      <c r="CS2658" s="1" t="s">
        <v>1809</v>
      </c>
      <c r="CT2658" s="1" t="s">
        <v>206</v>
      </c>
      <c r="CU2658" s="1" t="s">
        <v>207</v>
      </c>
      <c r="CW2658" s="1" t="s">
        <v>1378</v>
      </c>
      <c r="CX2658" s="1" t="s">
        <v>206</v>
      </c>
      <c r="CY2658" s="1" t="s">
        <v>207</v>
      </c>
      <c r="DA2658" s="1" t="s">
        <v>200</v>
      </c>
      <c r="DC2658" s="1" t="s">
        <v>545</v>
      </c>
      <c r="DD2658" s="1" t="s">
        <v>679</v>
      </c>
      <c r="DE2658" s="1" t="s">
        <v>273</v>
      </c>
      <c r="DF2658" s="1" t="s">
        <v>1811</v>
      </c>
      <c r="DG2658" s="1" t="s">
        <v>337</v>
      </c>
      <c r="DH2658" s="1" t="s">
        <v>220</v>
      </c>
      <c r="DI2658" s="1" t="s">
        <v>366</v>
      </c>
      <c r="DJ2658" s="1" t="s">
        <v>222</v>
      </c>
      <c r="DK2658" s="1" t="s">
        <v>1142</v>
      </c>
      <c r="DL2658" s="1" t="s">
        <v>1536</v>
      </c>
      <c r="DM2658" s="1" t="s">
        <v>929</v>
      </c>
      <c r="DN2658" s="1" t="s">
        <v>339</v>
      </c>
      <c r="DO2658" s="1" t="s">
        <v>486</v>
      </c>
      <c r="DP2658" s="1" t="s">
        <v>227</v>
      </c>
      <c r="DQ2658" s="1" t="s">
        <v>441</v>
      </c>
      <c r="DR2658" s="1" t="s">
        <v>229</v>
      </c>
      <c r="DS2658" s="1" t="s">
        <v>230</v>
      </c>
      <c r="DU2658" s="1" t="s">
        <v>681</v>
      </c>
      <c r="DV2658" s="1" t="s">
        <v>23690</v>
      </c>
      <c r="DW2658" s="1" t="s">
        <v>444</v>
      </c>
      <c r="DX2658" s="1" t="s">
        <v>309</v>
      </c>
      <c r="DY2658" s="1" t="s">
        <v>23691</v>
      </c>
      <c r="DZ2658" s="1" t="s">
        <v>310</v>
      </c>
      <c r="EA2658" s="1" t="s">
        <v>344</v>
      </c>
      <c r="EB2658" s="1" t="s">
        <v>345</v>
      </c>
      <c r="EC2658" s="1" t="s">
        <v>237</v>
      </c>
      <c r="ED2658" s="1" t="s">
        <v>1406</v>
      </c>
      <c r="EG2658" s="1" t="s">
        <v>598</v>
      </c>
      <c r="EH2658" s="1" t="s">
        <v>450</v>
      </c>
      <c r="EI2658" s="1" t="s">
        <v>408</v>
      </c>
      <c r="EJ2658" s="1" t="s">
        <v>1103</v>
      </c>
      <c r="EK2658" s="1" t="s">
        <v>409</v>
      </c>
      <c r="EL2658" s="1" t="s">
        <v>699</v>
      </c>
      <c r="EM2658" s="1" t="s">
        <v>206</v>
      </c>
      <c r="EN2658" s="1" t="s">
        <v>210</v>
      </c>
      <c r="EP2658" s="1" t="s">
        <v>3123</v>
      </c>
      <c r="EQ2658" s="1" t="s">
        <v>42</v>
      </c>
      <c r="ER2658" s="1" t="s">
        <v>210</v>
      </c>
      <c r="ET2658" s="1" t="s">
        <v>10096</v>
      </c>
      <c r="EU2658" s="1" t="s">
        <v>206</v>
      </c>
      <c r="EV2658" s="1" t="s">
        <v>207</v>
      </c>
      <c r="EX2658" s="1" t="s">
        <v>5359</v>
      </c>
      <c r="EY2658" s="1" t="s">
        <v>42</v>
      </c>
      <c r="EZ2658" s="1" t="s">
        <v>588</v>
      </c>
      <c r="FB2658" s="1" t="s">
        <v>392</v>
      </c>
      <c r="FC2658" s="1" t="s">
        <v>209</v>
      </c>
      <c r="FD2658" s="1" t="s">
        <v>207</v>
      </c>
      <c r="FF2658" s="1" t="s">
        <v>239</v>
      </c>
      <c r="FG2658" s="1" t="s">
        <v>192</v>
      </c>
      <c r="FH2658" s="1" t="s">
        <v>192</v>
      </c>
      <c r="FJ2658" s="1" t="s">
        <v>498</v>
      </c>
      <c r="FK2658" s="1" t="s">
        <v>229</v>
      </c>
      <c r="FL2658" s="1" t="s">
        <v>1358</v>
      </c>
      <c r="FM2658" s="1">
        <v>23591.0</v>
      </c>
      <c r="FN2658" s="1" t="s">
        <v>2134</v>
      </c>
      <c r="FO2658" s="1" t="s">
        <v>2843</v>
      </c>
      <c r="FP2658" s="1">
        <v>230482.0</v>
      </c>
      <c r="FQ2658" s="1" t="s">
        <v>2844</v>
      </c>
      <c r="FU2658" s="1" t="s">
        <v>23692</v>
      </c>
      <c r="FV2658" s="1" t="s">
        <v>200</v>
      </c>
      <c r="FW2658" s="1" t="s">
        <v>1511</v>
      </c>
      <c r="FX2658" s="1" t="s">
        <v>246</v>
      </c>
      <c r="FZ2658" s="1" t="s">
        <v>229</v>
      </c>
      <c r="GA2658" s="1" t="s">
        <v>291</v>
      </c>
      <c r="GB2658" s="2">
        <v>42095.0</v>
      </c>
      <c r="GC2658" s="1" t="s">
        <v>23693</v>
      </c>
    </row>
    <row r="2659">
      <c r="A2659" s="1">
        <v>515000.0</v>
      </c>
      <c r="B2659" s="1" t="s">
        <v>185</v>
      </c>
      <c r="C2659" s="1" t="str">
        <f>"08834964"</f>
        <v>08834964</v>
      </c>
      <c r="D2659" s="1" t="s">
        <v>186</v>
      </c>
      <c r="F2659" s="1" t="str">
        <f>"656"</f>
        <v>656</v>
      </c>
      <c r="G2659" s="2">
        <v>42044.0</v>
      </c>
      <c r="H2659" s="1">
        <v>529900.0</v>
      </c>
      <c r="I2659" s="1">
        <v>9.0</v>
      </c>
      <c r="J2659" s="1">
        <v>529900.0</v>
      </c>
      <c r="K2659" s="2">
        <v>42052.0</v>
      </c>
      <c r="L2659" s="1">
        <v>9.0</v>
      </c>
      <c r="M2659" s="2">
        <v>42052.0</v>
      </c>
      <c r="N2659" s="1" t="s">
        <v>187</v>
      </c>
      <c r="O2659" s="2">
        <v>42109.0</v>
      </c>
      <c r="P2659" s="1">
        <v>169547.0</v>
      </c>
      <c r="Q2659" s="1">
        <v>84070.0</v>
      </c>
      <c r="S2659" s="1">
        <v>4343.0</v>
      </c>
      <c r="T2659" s="1" t="s">
        <v>1018</v>
      </c>
      <c r="U2659" s="1" t="s">
        <v>189</v>
      </c>
      <c r="V2659" s="1" t="s">
        <v>2344</v>
      </c>
      <c r="W2659" s="1">
        <v>60706.0</v>
      </c>
      <c r="Y2659" s="1" t="s">
        <v>23694</v>
      </c>
      <c r="Z2659" s="1">
        <v>2015.0</v>
      </c>
      <c r="AA2659" s="1" t="s">
        <v>200</v>
      </c>
      <c r="AB2659" s="1" t="s">
        <v>193</v>
      </c>
      <c r="AD2659" s="1" t="s">
        <v>2346</v>
      </c>
      <c r="AE2659" s="1" t="s">
        <v>195</v>
      </c>
      <c r="AF2659" s="1" t="s">
        <v>2347</v>
      </c>
      <c r="AH2659" s="1" t="s">
        <v>779</v>
      </c>
      <c r="AK2659" s="1">
        <v>10.0</v>
      </c>
      <c r="AL2659" s="1">
        <v>3.0</v>
      </c>
      <c r="AM2659" s="1">
        <v>3.0</v>
      </c>
      <c r="AN2659" s="1">
        <v>1.0</v>
      </c>
      <c r="AO2659" s="1" t="s">
        <v>198</v>
      </c>
      <c r="AQ2659" s="1" t="s">
        <v>198</v>
      </c>
      <c r="AR2659" s="1" t="s">
        <v>192</v>
      </c>
      <c r="AS2659" s="1" t="s">
        <v>199</v>
      </c>
      <c r="AT2659" s="1">
        <v>2.5</v>
      </c>
      <c r="AV2659" s="1" t="s">
        <v>200</v>
      </c>
      <c r="AW2659" s="1" t="s">
        <v>575</v>
      </c>
      <c r="AX2659" s="1">
        <v>2013.0</v>
      </c>
      <c r="AZ2659" s="1" t="s">
        <v>200</v>
      </c>
      <c r="BA2659" s="1" t="str">
        <f>"13183070120000"</f>
        <v>13183070120000</v>
      </c>
      <c r="BC2659" s="1">
        <v>0.0</v>
      </c>
      <c r="BD2659" s="1">
        <v>515000.0</v>
      </c>
      <c r="BE2659" s="2">
        <v>42044.0</v>
      </c>
      <c r="BF2659" s="1" t="s">
        <v>23695</v>
      </c>
      <c r="BG2659" s="1" t="s">
        <v>2351</v>
      </c>
      <c r="BH2659" s="1">
        <v>0.0</v>
      </c>
      <c r="BI2659" s="1" t="s">
        <v>2351</v>
      </c>
      <c r="BJ2659" s="1" t="s">
        <v>2352</v>
      </c>
      <c r="BK2659" s="1" t="s">
        <v>204</v>
      </c>
      <c r="BL2659" s="1" t="str">
        <f>"4343"</f>
        <v>4343</v>
      </c>
      <c r="BM2659" s="1" t="str">
        <f t="shared" ref="BM2659:BM2660" si="1738">"0"</f>
        <v>0</v>
      </c>
      <c r="BN2659" s="1">
        <v>6900.0</v>
      </c>
      <c r="BO2659" s="1">
        <v>0.0</v>
      </c>
      <c r="BQ2659" s="1">
        <v>86.0</v>
      </c>
      <c r="BR2659" s="1">
        <v>234.0</v>
      </c>
      <c r="BS2659" s="1">
        <v>86.0</v>
      </c>
      <c r="BU2659" s="1" t="s">
        <v>2121</v>
      </c>
      <c r="BV2659" s="1" t="s">
        <v>206</v>
      </c>
      <c r="BW2659" s="1" t="s">
        <v>207</v>
      </c>
      <c r="BY2659" s="1" t="s">
        <v>1483</v>
      </c>
      <c r="BZ2659" s="1" t="s">
        <v>209</v>
      </c>
      <c r="CA2659" s="1" t="s">
        <v>207</v>
      </c>
      <c r="CC2659" s="1" t="s">
        <v>542</v>
      </c>
      <c r="CD2659" s="1" t="s">
        <v>206</v>
      </c>
      <c r="CE2659" s="1" t="s">
        <v>207</v>
      </c>
      <c r="CG2659" s="1" t="s">
        <v>925</v>
      </c>
      <c r="CH2659" s="1" t="s">
        <v>209</v>
      </c>
      <c r="CI2659" s="1" t="s">
        <v>207</v>
      </c>
      <c r="CK2659" s="1" t="s">
        <v>332</v>
      </c>
      <c r="CL2659" s="1" t="s">
        <v>209</v>
      </c>
      <c r="CM2659" s="1" t="s">
        <v>207</v>
      </c>
      <c r="CO2659" s="1" t="s">
        <v>211</v>
      </c>
      <c r="CP2659" s="1" t="s">
        <v>42</v>
      </c>
      <c r="CQ2659" s="1" t="s">
        <v>268</v>
      </c>
      <c r="CS2659" s="1" t="s">
        <v>729</v>
      </c>
      <c r="CT2659" s="1" t="s">
        <v>206</v>
      </c>
      <c r="CU2659" s="1" t="s">
        <v>207</v>
      </c>
      <c r="CW2659" s="1" t="s">
        <v>6858</v>
      </c>
      <c r="CX2659" s="1" t="s">
        <v>42</v>
      </c>
      <c r="CY2659" s="1" t="s">
        <v>268</v>
      </c>
      <c r="DA2659" s="1" t="s">
        <v>192</v>
      </c>
      <c r="DB2659" s="2">
        <v>42063.0</v>
      </c>
      <c r="DC2659" s="1" t="s">
        <v>1353</v>
      </c>
      <c r="DD2659" s="1" t="s">
        <v>3633</v>
      </c>
      <c r="DE2659" s="1" t="s">
        <v>273</v>
      </c>
      <c r="DF2659" s="1" t="s">
        <v>3751</v>
      </c>
      <c r="DG2659" s="1" t="s">
        <v>2311</v>
      </c>
      <c r="DH2659" s="1" t="s">
        <v>365</v>
      </c>
      <c r="DI2659" s="1" t="s">
        <v>366</v>
      </c>
      <c r="DJ2659" s="1" t="s">
        <v>222</v>
      </c>
      <c r="DL2659" s="1" t="s">
        <v>224</v>
      </c>
      <c r="DM2659" s="1" t="s">
        <v>229</v>
      </c>
      <c r="DN2659" s="1" t="s">
        <v>399</v>
      </c>
      <c r="DO2659" s="1" t="s">
        <v>549</v>
      </c>
      <c r="DP2659" s="1" t="s">
        <v>276</v>
      </c>
      <c r="DQ2659" s="1" t="s">
        <v>228</v>
      </c>
      <c r="DR2659" s="1" t="s">
        <v>229</v>
      </c>
      <c r="DS2659" s="1" t="s">
        <v>368</v>
      </c>
      <c r="DV2659" s="1" t="s">
        <v>23696</v>
      </c>
      <c r="DW2659" s="1" t="s">
        <v>279</v>
      </c>
      <c r="DX2659" s="1" t="s">
        <v>309</v>
      </c>
      <c r="DY2659" s="1" t="s">
        <v>704</v>
      </c>
      <c r="DZ2659" s="1" t="s">
        <v>310</v>
      </c>
      <c r="EA2659" s="1" t="s">
        <v>344</v>
      </c>
      <c r="EC2659" s="1" t="s">
        <v>237</v>
      </c>
      <c r="ED2659" s="1" t="s">
        <v>555</v>
      </c>
      <c r="EG2659" s="1" t="s">
        <v>1270</v>
      </c>
      <c r="EH2659" s="1" t="s">
        <v>556</v>
      </c>
      <c r="EI2659" s="1" t="s">
        <v>1103</v>
      </c>
      <c r="EJ2659" s="1" t="s">
        <v>1164</v>
      </c>
      <c r="EL2659" s="1" t="s">
        <v>4904</v>
      </c>
      <c r="EM2659" s="1" t="s">
        <v>42</v>
      </c>
      <c r="EN2659" s="1" t="s">
        <v>268</v>
      </c>
      <c r="EP2659" s="1" t="s">
        <v>814</v>
      </c>
      <c r="EQ2659" s="1" t="s">
        <v>206</v>
      </c>
      <c r="ER2659" s="1" t="s">
        <v>207</v>
      </c>
      <c r="ET2659" s="1" t="s">
        <v>5441</v>
      </c>
      <c r="EU2659" s="1" t="s">
        <v>42</v>
      </c>
      <c r="EV2659" s="1" t="s">
        <v>268</v>
      </c>
      <c r="EX2659" s="1" t="s">
        <v>3054</v>
      </c>
      <c r="EY2659" s="1" t="s">
        <v>206</v>
      </c>
      <c r="EZ2659" s="1" t="s">
        <v>207</v>
      </c>
      <c r="FC2659" s="1" t="s">
        <v>238</v>
      </c>
      <c r="FF2659" s="1" t="s">
        <v>239</v>
      </c>
      <c r="FG2659" s="1" t="s">
        <v>192</v>
      </c>
      <c r="FH2659" s="1" t="s">
        <v>192</v>
      </c>
      <c r="FJ2659" s="1" t="s">
        <v>23697</v>
      </c>
      <c r="FK2659" s="1" t="s">
        <v>229</v>
      </c>
      <c r="FL2659" s="1" t="s">
        <v>1663</v>
      </c>
      <c r="FM2659" s="1">
        <v>17299.0</v>
      </c>
      <c r="FN2659" s="1" t="s">
        <v>1664</v>
      </c>
      <c r="FO2659" s="1" t="s">
        <v>7822</v>
      </c>
      <c r="FP2659" s="1">
        <v>154355.0</v>
      </c>
      <c r="FQ2659" s="1" t="s">
        <v>7823</v>
      </c>
      <c r="FU2659" s="1" t="s">
        <v>9937</v>
      </c>
      <c r="FV2659" s="1" t="s">
        <v>200</v>
      </c>
      <c r="FW2659" s="1" t="s">
        <v>290</v>
      </c>
      <c r="FX2659" s="1" t="s">
        <v>238</v>
      </c>
      <c r="FZ2659" s="1" t="s">
        <v>229</v>
      </c>
      <c r="GA2659" s="1" t="s">
        <v>291</v>
      </c>
      <c r="GB2659" s="2">
        <v>42110.0</v>
      </c>
    </row>
    <row r="2660">
      <c r="A2660" s="1">
        <v>1700000.0</v>
      </c>
      <c r="B2660" s="1" t="s">
        <v>185</v>
      </c>
      <c r="C2660" s="1" t="str">
        <f>"08929690"</f>
        <v>08929690</v>
      </c>
      <c r="D2660" s="1" t="s">
        <v>186</v>
      </c>
      <c r="F2660" s="1" t="str">
        <f>"8007"</f>
        <v>8007</v>
      </c>
      <c r="G2660" s="2">
        <v>42145.0</v>
      </c>
      <c r="H2660" s="1">
        <v>1700000.0</v>
      </c>
      <c r="I2660" s="1">
        <v>1.0</v>
      </c>
      <c r="J2660" s="1">
        <v>1700000.0</v>
      </c>
      <c r="K2660" s="2">
        <v>42145.0</v>
      </c>
      <c r="L2660" s="1">
        <v>1.0</v>
      </c>
      <c r="M2660" s="2">
        <v>42145.0</v>
      </c>
      <c r="N2660" s="1" t="s">
        <v>187</v>
      </c>
      <c r="O2660" s="2">
        <v>42146.0</v>
      </c>
      <c r="P2660" s="1">
        <v>121190.0</v>
      </c>
      <c r="Q2660" s="1">
        <v>10115.0</v>
      </c>
      <c r="S2660" s="1">
        <v>170.0</v>
      </c>
      <c r="T2660" s="1" t="s">
        <v>23698</v>
      </c>
      <c r="U2660" s="1" t="s">
        <v>320</v>
      </c>
      <c r="V2660" s="1" t="s">
        <v>190</v>
      </c>
      <c r="W2660" s="1">
        <v>60614.0</v>
      </c>
      <c r="Y2660" s="1" t="s">
        <v>23699</v>
      </c>
      <c r="Z2660" s="1">
        <v>1891.0</v>
      </c>
      <c r="AA2660" s="1" t="s">
        <v>192</v>
      </c>
      <c r="AB2660" s="1" t="s">
        <v>193</v>
      </c>
      <c r="AD2660" s="1" t="s">
        <v>194</v>
      </c>
      <c r="AE2660" s="1" t="s">
        <v>195</v>
      </c>
      <c r="AF2660" s="1" t="s">
        <v>534</v>
      </c>
      <c r="AH2660" s="1" t="s">
        <v>23700</v>
      </c>
      <c r="AK2660" s="1">
        <v>10.0</v>
      </c>
      <c r="AL2660" s="1">
        <v>4.0</v>
      </c>
      <c r="AM2660" s="1">
        <v>5.0</v>
      </c>
      <c r="AN2660" s="1">
        <v>1.0</v>
      </c>
      <c r="AO2660" s="1" t="s">
        <v>198</v>
      </c>
      <c r="AP2660" s="1">
        <v>2.0</v>
      </c>
      <c r="AQ2660" s="1" t="s">
        <v>198</v>
      </c>
      <c r="AR2660" s="1" t="s">
        <v>192</v>
      </c>
      <c r="AS2660" s="1" t="s">
        <v>828</v>
      </c>
      <c r="AU2660" s="1">
        <v>1.0</v>
      </c>
      <c r="AV2660" s="1" t="s">
        <v>200</v>
      </c>
      <c r="AW2660" s="1">
        <v>18352.0</v>
      </c>
      <c r="AX2660" s="1">
        <v>2013.0</v>
      </c>
      <c r="AY2660" s="1" t="s">
        <v>387</v>
      </c>
      <c r="AZ2660" s="1" t="s">
        <v>200</v>
      </c>
      <c r="BA2660" s="1" t="str">
        <f>"14334140200000"</f>
        <v>14334140200000</v>
      </c>
      <c r="BB2660" s="1" t="s">
        <v>200</v>
      </c>
      <c r="BC2660" s="1">
        <v>4000.0</v>
      </c>
      <c r="BD2660" s="1">
        <v>1700000.0</v>
      </c>
      <c r="BE2660" s="2">
        <v>42145.0</v>
      </c>
      <c r="BF2660" s="2" t="s">
        <v>23701</v>
      </c>
      <c r="BG2660" s="1" t="s">
        <v>2142</v>
      </c>
      <c r="BH2660" s="1">
        <v>0.0</v>
      </c>
      <c r="BI2660" s="1" t="s">
        <v>2142</v>
      </c>
      <c r="BJ2660" s="1" t="s">
        <v>2871</v>
      </c>
      <c r="BK2660" s="1" t="s">
        <v>204</v>
      </c>
      <c r="BL2660" s="1" t="str">
        <f>"1700"</f>
        <v>1700</v>
      </c>
      <c r="BM2660" s="1" t="str">
        <f t="shared" si="1738"/>
        <v>0</v>
      </c>
      <c r="BN2660" s="1">
        <v>170.0</v>
      </c>
      <c r="BO2660" s="1">
        <v>0.0</v>
      </c>
      <c r="BQ2660" s="1">
        <v>299.0</v>
      </c>
      <c r="BR2660" s="1">
        <v>299.0</v>
      </c>
      <c r="BS2660" s="1">
        <v>299.0</v>
      </c>
      <c r="BU2660" s="1" t="s">
        <v>2800</v>
      </c>
      <c r="BV2660" s="1" t="s">
        <v>206</v>
      </c>
      <c r="BW2660" s="1" t="s">
        <v>207</v>
      </c>
      <c r="BX2660" s="1" t="s">
        <v>1549</v>
      </c>
      <c r="BY2660" s="1" t="s">
        <v>2120</v>
      </c>
      <c r="BZ2660" s="1" t="s">
        <v>209</v>
      </c>
      <c r="CA2660" s="1" t="s">
        <v>207</v>
      </c>
      <c r="CB2660" s="1" t="s">
        <v>1550</v>
      </c>
      <c r="CC2660" s="1" t="s">
        <v>208</v>
      </c>
      <c r="CD2660" s="1" t="s">
        <v>206</v>
      </c>
      <c r="CE2660" s="1" t="s">
        <v>207</v>
      </c>
      <c r="CF2660" s="1" t="s">
        <v>1550</v>
      </c>
      <c r="CG2660" s="1" t="s">
        <v>433</v>
      </c>
      <c r="CH2660" s="1" t="s">
        <v>209</v>
      </c>
      <c r="CI2660" s="1" t="s">
        <v>207</v>
      </c>
      <c r="CJ2660" s="1" t="s">
        <v>1549</v>
      </c>
      <c r="CK2660" s="1" t="s">
        <v>1426</v>
      </c>
      <c r="CL2660" s="1" t="s">
        <v>391</v>
      </c>
      <c r="CM2660" s="1" t="s">
        <v>207</v>
      </c>
      <c r="CN2660" s="1" t="s">
        <v>1549</v>
      </c>
      <c r="CO2660" s="1" t="s">
        <v>208</v>
      </c>
      <c r="CP2660" s="1" t="s">
        <v>391</v>
      </c>
      <c r="CQ2660" s="1" t="s">
        <v>207</v>
      </c>
      <c r="CR2660" s="1" t="s">
        <v>1549</v>
      </c>
      <c r="CS2660" s="1" t="s">
        <v>205</v>
      </c>
      <c r="CT2660" s="1" t="s">
        <v>206</v>
      </c>
      <c r="CU2660" s="1" t="s">
        <v>207</v>
      </c>
      <c r="CV2660" s="1" t="s">
        <v>431</v>
      </c>
      <c r="CW2660" s="1" t="s">
        <v>12927</v>
      </c>
      <c r="CX2660" s="1" t="s">
        <v>42</v>
      </c>
      <c r="CY2660" s="1" t="s">
        <v>2615</v>
      </c>
      <c r="CZ2660" s="1" t="s">
        <v>229</v>
      </c>
      <c r="DA2660" s="1" t="s">
        <v>200</v>
      </c>
      <c r="DC2660" s="1" t="s">
        <v>642</v>
      </c>
      <c r="DD2660" s="1" t="s">
        <v>759</v>
      </c>
      <c r="DE2660" s="1" t="s">
        <v>218</v>
      </c>
      <c r="DF2660" s="1" t="s">
        <v>745</v>
      </c>
      <c r="DG2660" s="1" t="s">
        <v>337</v>
      </c>
      <c r="DH2660" s="1" t="s">
        <v>365</v>
      </c>
      <c r="DI2660" s="1" t="s">
        <v>23702</v>
      </c>
      <c r="DJ2660" s="1" t="s">
        <v>222</v>
      </c>
      <c r="DL2660" s="1" t="s">
        <v>1161</v>
      </c>
      <c r="DM2660" s="1" t="s">
        <v>229</v>
      </c>
      <c r="DN2660" s="1" t="s">
        <v>2873</v>
      </c>
      <c r="DP2660" s="1" t="s">
        <v>340</v>
      </c>
      <c r="DQ2660" s="1" t="s">
        <v>228</v>
      </c>
      <c r="DR2660" s="1" t="s">
        <v>229</v>
      </c>
      <c r="DS2660" s="1" t="s">
        <v>368</v>
      </c>
      <c r="DU2660" s="1" t="s">
        <v>18653</v>
      </c>
      <c r="DV2660" s="1" t="s">
        <v>23703</v>
      </c>
      <c r="DW2660" s="1" t="s">
        <v>279</v>
      </c>
      <c r="DX2660" s="1" t="s">
        <v>234</v>
      </c>
      <c r="DY2660" s="1" t="s">
        <v>2972</v>
      </c>
      <c r="DZ2660" s="1" t="s">
        <v>23704</v>
      </c>
      <c r="EA2660" s="1" t="s">
        <v>2466</v>
      </c>
      <c r="EB2660" s="1" t="s">
        <v>797</v>
      </c>
      <c r="EC2660" s="1" t="s">
        <v>406</v>
      </c>
      <c r="EE2660" s="1" t="s">
        <v>187</v>
      </c>
      <c r="EG2660" s="1" t="s">
        <v>557</v>
      </c>
      <c r="EH2660" s="1" t="s">
        <v>1961</v>
      </c>
      <c r="EI2660" s="1" t="s">
        <v>310</v>
      </c>
      <c r="EJ2660" s="1" t="s">
        <v>5618</v>
      </c>
      <c r="EL2660" s="1" t="s">
        <v>393</v>
      </c>
      <c r="EM2660" s="1" t="s">
        <v>7446</v>
      </c>
      <c r="EN2660" s="1" t="s">
        <v>207</v>
      </c>
      <c r="EO2660" s="1" t="s">
        <v>229</v>
      </c>
      <c r="EP2660" s="1" t="s">
        <v>332</v>
      </c>
      <c r="EQ2660" s="1" t="s">
        <v>391</v>
      </c>
      <c r="ER2660" s="1" t="s">
        <v>207</v>
      </c>
      <c r="ES2660" s="1" t="s">
        <v>1549</v>
      </c>
      <c r="ET2660" s="1" t="s">
        <v>813</v>
      </c>
      <c r="EU2660" s="1" t="s">
        <v>7446</v>
      </c>
      <c r="EV2660" s="1" t="s">
        <v>588</v>
      </c>
      <c r="EW2660" s="1" t="s">
        <v>229</v>
      </c>
      <c r="EX2660" s="1" t="s">
        <v>390</v>
      </c>
      <c r="EY2660" s="1" t="s">
        <v>7446</v>
      </c>
      <c r="EZ2660" s="1" t="s">
        <v>588</v>
      </c>
      <c r="FA2660" s="1" t="s">
        <v>229</v>
      </c>
      <c r="FC2660" s="1" t="s">
        <v>238</v>
      </c>
      <c r="FF2660" s="1" t="s">
        <v>239</v>
      </c>
      <c r="FG2660" s="1" t="s">
        <v>192</v>
      </c>
      <c r="FH2660" s="1" t="s">
        <v>192</v>
      </c>
      <c r="FJ2660" s="1" t="s">
        <v>3755</v>
      </c>
      <c r="FK2660" s="1" t="s">
        <v>229</v>
      </c>
      <c r="FL2660" s="1" t="s">
        <v>562</v>
      </c>
      <c r="FM2660" s="1">
        <v>85774.0</v>
      </c>
      <c r="FN2660" s="1" t="s">
        <v>2369</v>
      </c>
      <c r="FO2660" s="1" t="s">
        <v>23705</v>
      </c>
      <c r="FP2660" s="1">
        <v>100342.0</v>
      </c>
      <c r="FQ2660" s="1" t="s">
        <v>23706</v>
      </c>
      <c r="FS2660" s="1" t="s">
        <v>23707</v>
      </c>
      <c r="FU2660" s="1" t="s">
        <v>23708</v>
      </c>
      <c r="FV2660" s="1" t="s">
        <v>200</v>
      </c>
      <c r="FW2660" s="1" t="s">
        <v>290</v>
      </c>
      <c r="FX2660" s="1" t="s">
        <v>246</v>
      </c>
      <c r="FZ2660" s="1" t="s">
        <v>229</v>
      </c>
      <c r="GA2660" s="1" t="s">
        <v>291</v>
      </c>
      <c r="GB2660" s="2">
        <v>42146.0</v>
      </c>
      <c r="GC2660" s="1" t="s">
        <v>7265</v>
      </c>
    </row>
    <row r="2661">
      <c r="A2661" s="1">
        <v>15000.0</v>
      </c>
      <c r="B2661" s="1" t="s">
        <v>185</v>
      </c>
      <c r="C2661" s="1" t="str">
        <f>"08836691"</f>
        <v>08836691</v>
      </c>
      <c r="D2661" s="1" t="s">
        <v>186</v>
      </c>
      <c r="F2661" s="1" t="str">
        <f>"8068"</f>
        <v>8068</v>
      </c>
      <c r="G2661" s="2">
        <v>42046.0</v>
      </c>
      <c r="H2661" s="1">
        <v>16767.0</v>
      </c>
      <c r="I2661" s="1">
        <v>128.0</v>
      </c>
      <c r="J2661" s="1">
        <v>15000.0</v>
      </c>
      <c r="K2661" s="2">
        <v>42073.0</v>
      </c>
      <c r="L2661" s="1">
        <v>28.0</v>
      </c>
      <c r="M2661" s="2">
        <v>42073.0</v>
      </c>
      <c r="N2661" s="1" t="s">
        <v>249</v>
      </c>
      <c r="O2661" s="2">
        <v>42102.0</v>
      </c>
      <c r="P2661" s="1">
        <v>160849.0</v>
      </c>
      <c r="Q2661" s="1">
        <v>16240.0</v>
      </c>
      <c r="S2661" s="1">
        <v>6424.0</v>
      </c>
      <c r="T2661" s="1" t="s">
        <v>23709</v>
      </c>
      <c r="U2661" s="1" t="s">
        <v>189</v>
      </c>
      <c r="V2661" s="1" t="s">
        <v>190</v>
      </c>
      <c r="W2661" s="1">
        <v>60621.0</v>
      </c>
      <c r="Y2661" s="1" t="s">
        <v>23710</v>
      </c>
      <c r="Z2661" s="1" t="s">
        <v>296</v>
      </c>
      <c r="AA2661" s="1" t="s">
        <v>200</v>
      </c>
      <c r="AB2661" s="1" t="s">
        <v>193</v>
      </c>
      <c r="AD2661" s="1" t="s">
        <v>194</v>
      </c>
      <c r="AE2661" s="1" t="s">
        <v>195</v>
      </c>
      <c r="AF2661" s="1" t="s">
        <v>637</v>
      </c>
      <c r="AH2661" s="1" t="s">
        <v>359</v>
      </c>
      <c r="AI2661" s="1">
        <v>0.1004</v>
      </c>
      <c r="AK2661" s="1">
        <v>7.0</v>
      </c>
      <c r="AL2661" s="1">
        <v>4.0</v>
      </c>
      <c r="AM2661" s="1">
        <v>2.0</v>
      </c>
      <c r="AN2661" s="1">
        <v>0.0</v>
      </c>
      <c r="AO2661" s="1" t="s">
        <v>229</v>
      </c>
      <c r="AQ2661" s="1" t="s">
        <v>198</v>
      </c>
      <c r="AR2661" s="1" t="s">
        <v>200</v>
      </c>
      <c r="AS2661" s="1" t="s">
        <v>229</v>
      </c>
      <c r="AV2661" s="1" t="s">
        <v>200</v>
      </c>
      <c r="AW2661" s="1">
        <v>1188.82</v>
      </c>
      <c r="AX2661" s="1">
        <v>2012.0</v>
      </c>
      <c r="AZ2661" s="1" t="s">
        <v>200</v>
      </c>
      <c r="BA2661" s="1" t="str">
        <f>"20211110130000"</f>
        <v>20211110130000</v>
      </c>
      <c r="BC2661" s="1">
        <v>1158.0</v>
      </c>
      <c r="BD2661" s="1">
        <v>15000.0</v>
      </c>
      <c r="BE2661" s="2">
        <v>42046.0</v>
      </c>
      <c r="BF2661" s="2" t="s">
        <v>2657</v>
      </c>
      <c r="BH2661" s="1">
        <v>0.0</v>
      </c>
      <c r="BK2661" s="1" t="s">
        <v>204</v>
      </c>
      <c r="BL2661" s="1" t="str">
        <f t="shared" ref="BL2661:BM2661" si="1739">"0"</f>
        <v>0</v>
      </c>
      <c r="BM2661" s="1" t="str">
        <f t="shared" si="1739"/>
        <v>0</v>
      </c>
      <c r="BN2661" s="1">
        <v>534.0</v>
      </c>
      <c r="BO2661" s="1">
        <v>6400.0</v>
      </c>
      <c r="BQ2661" s="1">
        <v>299.0</v>
      </c>
      <c r="BR2661" s="1">
        <v>299.0</v>
      </c>
      <c r="BS2661" s="1">
        <v>299.0</v>
      </c>
      <c r="BU2661" s="1" t="s">
        <v>362</v>
      </c>
      <c r="BV2661" s="1" t="s">
        <v>206</v>
      </c>
      <c r="BY2661" s="1" t="s">
        <v>392</v>
      </c>
      <c r="BZ2661" s="1" t="s">
        <v>206</v>
      </c>
      <c r="CC2661" s="1" t="s">
        <v>213</v>
      </c>
      <c r="CD2661" s="1" t="s">
        <v>206</v>
      </c>
      <c r="CG2661" s="1" t="s">
        <v>1745</v>
      </c>
      <c r="CH2661" s="1" t="s">
        <v>209</v>
      </c>
      <c r="CK2661" s="1" t="s">
        <v>214</v>
      </c>
      <c r="CL2661" s="1" t="s">
        <v>209</v>
      </c>
      <c r="CO2661" s="1" t="s">
        <v>1068</v>
      </c>
      <c r="CP2661" s="1" t="s">
        <v>209</v>
      </c>
      <c r="CS2661" s="1" t="s">
        <v>5212</v>
      </c>
      <c r="CT2661" s="1" t="s">
        <v>206</v>
      </c>
      <c r="CX2661" s="1" t="s">
        <v>204</v>
      </c>
      <c r="DA2661" s="1" t="s">
        <v>200</v>
      </c>
      <c r="DC2661" s="1" t="s">
        <v>216</v>
      </c>
      <c r="DE2661" s="1" t="s">
        <v>229</v>
      </c>
      <c r="DF2661" s="1" t="s">
        <v>4120</v>
      </c>
      <c r="DH2661" s="1" t="s">
        <v>365</v>
      </c>
      <c r="DJ2661" s="1" t="s">
        <v>222</v>
      </c>
      <c r="DL2661" s="1" t="s">
        <v>223</v>
      </c>
      <c r="DM2661" s="1" t="s">
        <v>229</v>
      </c>
      <c r="DQ2661" s="1" t="s">
        <v>228</v>
      </c>
      <c r="DR2661" s="1" t="s">
        <v>229</v>
      </c>
      <c r="DV2661" s="1" t="s">
        <v>374</v>
      </c>
      <c r="DW2661" s="1" t="s">
        <v>233</v>
      </c>
      <c r="DX2661" s="1" t="s">
        <v>309</v>
      </c>
      <c r="EC2661" s="1" t="s">
        <v>237</v>
      </c>
      <c r="EE2661" s="1" t="s">
        <v>1960</v>
      </c>
      <c r="EG2661" s="1" t="s">
        <v>374</v>
      </c>
      <c r="EL2661" s="1" t="s">
        <v>303</v>
      </c>
      <c r="EM2661" s="1" t="s">
        <v>206</v>
      </c>
      <c r="EQ2661" s="1" t="s">
        <v>238</v>
      </c>
      <c r="EU2661" s="1" t="s">
        <v>238</v>
      </c>
      <c r="EY2661" s="1" t="s">
        <v>238</v>
      </c>
      <c r="FC2661" s="1" t="s">
        <v>238</v>
      </c>
      <c r="FF2661" s="1" t="s">
        <v>239</v>
      </c>
      <c r="FG2661" s="1" t="s">
        <v>192</v>
      </c>
      <c r="FH2661" s="1" t="s">
        <v>192</v>
      </c>
      <c r="FJ2661" s="1" t="s">
        <v>23711</v>
      </c>
      <c r="FK2661" s="1" t="s">
        <v>229</v>
      </c>
      <c r="FL2661" s="1" t="s">
        <v>2659</v>
      </c>
      <c r="FM2661" s="1">
        <v>25562.0</v>
      </c>
      <c r="FN2661" s="1" t="s">
        <v>2660</v>
      </c>
      <c r="FO2661" s="1" t="s">
        <v>2661</v>
      </c>
      <c r="FP2661" s="1">
        <v>215155.0</v>
      </c>
      <c r="FQ2661" s="1" t="s">
        <v>2660</v>
      </c>
      <c r="FU2661" s="1" t="s">
        <v>710</v>
      </c>
      <c r="FV2661" s="1" t="s">
        <v>200</v>
      </c>
      <c r="FW2661" s="1" t="s">
        <v>23712</v>
      </c>
      <c r="FX2661" s="1" t="s">
        <v>655</v>
      </c>
      <c r="FZ2661" s="1" t="s">
        <v>229</v>
      </c>
      <c r="GA2661" s="1" t="s">
        <v>291</v>
      </c>
      <c r="GB2661" s="2">
        <v>42102.0</v>
      </c>
      <c r="GC2661" s="1" t="s">
        <v>23713</v>
      </c>
    </row>
    <row r="2662">
      <c r="A2662" s="1">
        <v>309900.0</v>
      </c>
      <c r="B2662" s="1" t="s">
        <v>185</v>
      </c>
      <c r="C2662" s="1" t="str">
        <f>"08839366"</f>
        <v>08839366</v>
      </c>
      <c r="D2662" s="1" t="s">
        <v>186</v>
      </c>
      <c r="F2662" s="1" t="str">
        <f>"118"</f>
        <v>118</v>
      </c>
      <c r="G2662" s="2">
        <v>42051.0</v>
      </c>
      <c r="H2662" s="1">
        <v>319900.0</v>
      </c>
      <c r="I2662" s="1">
        <v>997.0</v>
      </c>
      <c r="J2662" s="1">
        <v>319900.0</v>
      </c>
      <c r="K2662" s="2">
        <v>42096.0</v>
      </c>
      <c r="L2662" s="1">
        <v>46.0</v>
      </c>
      <c r="M2662" s="2">
        <v>42096.0</v>
      </c>
      <c r="N2662" s="1" t="s">
        <v>187</v>
      </c>
      <c r="O2662" s="2">
        <v>42129.0</v>
      </c>
      <c r="P2662" s="1">
        <v>1034.0</v>
      </c>
      <c r="Q2662" s="1">
        <v>30.0</v>
      </c>
      <c r="S2662" s="1">
        <v>1414.0</v>
      </c>
      <c r="T2662" s="1" t="s">
        <v>250</v>
      </c>
      <c r="U2662" s="1" t="s">
        <v>569</v>
      </c>
      <c r="V2662" s="1" t="s">
        <v>1086</v>
      </c>
      <c r="W2662" s="1">
        <v>60118.0</v>
      </c>
      <c r="Y2662" s="1" t="s">
        <v>23714</v>
      </c>
      <c r="Z2662" s="1">
        <v>2005.0</v>
      </c>
      <c r="AA2662" s="1" t="s">
        <v>200</v>
      </c>
      <c r="AB2662" s="1" t="s">
        <v>467</v>
      </c>
      <c r="AC2662" s="1" t="s">
        <v>4952</v>
      </c>
      <c r="AD2662" s="1" t="s">
        <v>3394</v>
      </c>
      <c r="AE2662" s="1" t="s">
        <v>325</v>
      </c>
      <c r="AF2662" s="1" t="s">
        <v>810</v>
      </c>
      <c r="AH2662" s="1" t="s">
        <v>23715</v>
      </c>
      <c r="AI2662" s="1">
        <v>0.19</v>
      </c>
      <c r="AK2662" s="1">
        <v>8.0</v>
      </c>
      <c r="AL2662" s="1">
        <v>4.0</v>
      </c>
      <c r="AM2662" s="1">
        <v>2.0</v>
      </c>
      <c r="AN2662" s="1">
        <v>1.0</v>
      </c>
      <c r="AO2662" s="1" t="s">
        <v>198</v>
      </c>
      <c r="AP2662" s="1">
        <v>1.0</v>
      </c>
      <c r="AQ2662" s="1" t="s">
        <v>1314</v>
      </c>
      <c r="AR2662" s="1" t="s">
        <v>200</v>
      </c>
      <c r="AS2662" s="1" t="s">
        <v>199</v>
      </c>
      <c r="AT2662" s="1">
        <v>2.0</v>
      </c>
      <c r="AV2662" s="1" t="s">
        <v>200</v>
      </c>
      <c r="AW2662" s="1">
        <v>9568.0</v>
      </c>
      <c r="AX2662" s="1">
        <v>2013.0</v>
      </c>
      <c r="AZ2662" s="1" t="s">
        <v>200</v>
      </c>
      <c r="BA2662" s="1" t="str">
        <f>"0317452008"</f>
        <v>0317452008</v>
      </c>
      <c r="BB2662" s="1" t="s">
        <v>200</v>
      </c>
      <c r="BC2662" s="1">
        <v>2646.0</v>
      </c>
      <c r="BD2662" s="1">
        <v>309900.0</v>
      </c>
      <c r="BE2662" s="2">
        <v>42051.0</v>
      </c>
      <c r="BF2662" s="2" t="s">
        <v>23716</v>
      </c>
      <c r="BG2662" s="1" t="s">
        <v>3486</v>
      </c>
      <c r="BH2662" s="1">
        <v>250.0</v>
      </c>
      <c r="BI2662" s="1" t="s">
        <v>1093</v>
      </c>
      <c r="BJ2662" s="1" t="s">
        <v>1759</v>
      </c>
      <c r="BK2662" s="1" t="s">
        <v>580</v>
      </c>
      <c r="BL2662" s="1" t="str">
        <f t="shared" ref="BL2662:BM2662" si="1740">""</f>
        <v/>
      </c>
      <c r="BM2662" s="1" t="str">
        <f t="shared" si="1740"/>
        <v/>
      </c>
      <c r="BQ2662" s="1">
        <v>300.0</v>
      </c>
      <c r="BR2662" s="1">
        <v>300.0</v>
      </c>
      <c r="BS2662" s="1">
        <v>300.0</v>
      </c>
      <c r="BU2662" s="1" t="s">
        <v>332</v>
      </c>
      <c r="BV2662" s="1" t="s">
        <v>206</v>
      </c>
      <c r="BW2662" s="1" t="s">
        <v>210</v>
      </c>
      <c r="BX2662" s="1" t="s">
        <v>239</v>
      </c>
      <c r="BY2662" s="1" t="s">
        <v>784</v>
      </c>
      <c r="BZ2662" s="1" t="s">
        <v>209</v>
      </c>
      <c r="CA2662" s="1" t="s">
        <v>210</v>
      </c>
      <c r="CB2662" s="1" t="s">
        <v>239</v>
      </c>
      <c r="CC2662" s="1" t="s">
        <v>215</v>
      </c>
      <c r="CD2662" s="1" t="s">
        <v>206</v>
      </c>
      <c r="CE2662" s="1" t="s">
        <v>210</v>
      </c>
      <c r="CF2662" s="1" t="s">
        <v>239</v>
      </c>
      <c r="CG2662" s="1" t="s">
        <v>212</v>
      </c>
      <c r="CH2662" s="1" t="s">
        <v>209</v>
      </c>
      <c r="CI2662" s="1" t="s">
        <v>210</v>
      </c>
      <c r="CJ2662" s="1" t="s">
        <v>239</v>
      </c>
      <c r="CK2662" s="1" t="s">
        <v>269</v>
      </c>
      <c r="CL2662" s="1" t="s">
        <v>209</v>
      </c>
      <c r="CM2662" s="1" t="s">
        <v>210</v>
      </c>
      <c r="CN2662" s="1" t="s">
        <v>239</v>
      </c>
      <c r="CO2662" s="1" t="s">
        <v>699</v>
      </c>
      <c r="CP2662" s="1" t="s">
        <v>209</v>
      </c>
      <c r="CQ2662" s="1" t="s">
        <v>210</v>
      </c>
      <c r="CR2662" s="1" t="s">
        <v>239</v>
      </c>
      <c r="CS2662" s="1" t="s">
        <v>582</v>
      </c>
      <c r="CT2662" s="1" t="s">
        <v>206</v>
      </c>
      <c r="CU2662" s="1" t="s">
        <v>207</v>
      </c>
      <c r="CV2662" s="1" t="s">
        <v>239</v>
      </c>
      <c r="CW2662" s="1" t="s">
        <v>2800</v>
      </c>
      <c r="CX2662" s="1" t="s">
        <v>206</v>
      </c>
      <c r="CY2662" s="1" t="s">
        <v>210</v>
      </c>
      <c r="CZ2662" s="1" t="s">
        <v>239</v>
      </c>
      <c r="DA2662" s="1" t="s">
        <v>200</v>
      </c>
      <c r="DC2662" s="1" t="s">
        <v>481</v>
      </c>
      <c r="DD2662" s="1" t="s">
        <v>306</v>
      </c>
      <c r="DE2662" s="1" t="s">
        <v>273</v>
      </c>
      <c r="DF2662" s="1" t="s">
        <v>219</v>
      </c>
      <c r="DG2662" s="1" t="s">
        <v>1020</v>
      </c>
      <c r="DH2662" s="1" t="s">
        <v>220</v>
      </c>
      <c r="DI2662" s="1" t="s">
        <v>9680</v>
      </c>
      <c r="DJ2662" s="1" t="s">
        <v>222</v>
      </c>
      <c r="DK2662" s="1" t="s">
        <v>223</v>
      </c>
      <c r="DL2662" s="1" t="s">
        <v>223</v>
      </c>
      <c r="DM2662" s="1" t="s">
        <v>338</v>
      </c>
      <c r="DN2662" s="1" t="s">
        <v>1023</v>
      </c>
      <c r="DP2662" s="1" t="s">
        <v>340</v>
      </c>
      <c r="DQ2662" s="1" t="s">
        <v>228</v>
      </c>
      <c r="DR2662" s="1" t="s">
        <v>229</v>
      </c>
      <c r="DS2662" s="1" t="s">
        <v>230</v>
      </c>
      <c r="DU2662" s="1" t="s">
        <v>23717</v>
      </c>
      <c r="DV2662" s="1" t="s">
        <v>232</v>
      </c>
      <c r="DW2662" s="1" t="s">
        <v>444</v>
      </c>
      <c r="DX2662" s="1" t="s">
        <v>234</v>
      </c>
      <c r="DY2662" s="1" t="s">
        <v>490</v>
      </c>
      <c r="DZ2662" s="1" t="s">
        <v>11452</v>
      </c>
      <c r="EA2662" s="1" t="s">
        <v>344</v>
      </c>
      <c r="EB2662" s="1" t="s">
        <v>1639</v>
      </c>
      <c r="EC2662" s="1" t="s">
        <v>237</v>
      </c>
      <c r="ED2662" s="1" t="s">
        <v>407</v>
      </c>
      <c r="EM2662" s="1" t="s">
        <v>238</v>
      </c>
      <c r="EQ2662" s="1" t="s">
        <v>238</v>
      </c>
      <c r="EU2662" s="1" t="s">
        <v>238</v>
      </c>
      <c r="EY2662" s="1" t="s">
        <v>238</v>
      </c>
      <c r="FC2662" s="1" t="s">
        <v>238</v>
      </c>
      <c r="FF2662" s="1" t="s">
        <v>239</v>
      </c>
      <c r="FG2662" s="1" t="s">
        <v>192</v>
      </c>
      <c r="FH2662" s="1" t="s">
        <v>192</v>
      </c>
      <c r="FJ2662" s="1" t="s">
        <v>498</v>
      </c>
      <c r="FK2662" s="1" t="s">
        <v>229</v>
      </c>
      <c r="FL2662" s="1" t="s">
        <v>3848</v>
      </c>
      <c r="FM2662" s="1">
        <v>432.0</v>
      </c>
      <c r="FN2662" s="1" t="s">
        <v>3849</v>
      </c>
      <c r="FO2662" s="1" t="s">
        <v>3850</v>
      </c>
      <c r="FP2662" s="1">
        <v>77389.0</v>
      </c>
      <c r="FQ2662" s="1" t="s">
        <v>3851</v>
      </c>
      <c r="FR2662" s="1">
        <v>77800.0</v>
      </c>
      <c r="FS2662" s="1" t="s">
        <v>23718</v>
      </c>
      <c r="FU2662" s="1" t="s">
        <v>6968</v>
      </c>
      <c r="FV2662" s="1" t="s">
        <v>200</v>
      </c>
      <c r="FW2662" s="1" t="s">
        <v>290</v>
      </c>
      <c r="FZ2662" s="1" t="s">
        <v>229</v>
      </c>
      <c r="GA2662" s="1" t="s">
        <v>291</v>
      </c>
      <c r="GB2662" s="2">
        <v>42129.0</v>
      </c>
      <c r="GC2662" s="1" t="s">
        <v>23719</v>
      </c>
    </row>
    <row r="2663">
      <c r="A2663" s="1">
        <v>69100.0</v>
      </c>
      <c r="B2663" s="1" t="s">
        <v>185</v>
      </c>
      <c r="C2663" s="1" t="str">
        <f>"08836279"</f>
        <v>08836279</v>
      </c>
      <c r="D2663" s="1" t="s">
        <v>186</v>
      </c>
      <c r="F2663" s="1" t="str">
        <f>"8025"</f>
        <v>8025</v>
      </c>
      <c r="G2663" s="2">
        <v>42046.0</v>
      </c>
      <c r="H2663" s="1">
        <v>68500.0</v>
      </c>
      <c r="I2663" s="1">
        <v>11.0</v>
      </c>
      <c r="J2663" s="1">
        <v>68500.0</v>
      </c>
      <c r="K2663" s="2">
        <v>42055.0</v>
      </c>
      <c r="L2663" s="1">
        <v>11.0</v>
      </c>
      <c r="M2663" s="2">
        <v>42055.0</v>
      </c>
      <c r="N2663" s="1" t="s">
        <v>249</v>
      </c>
      <c r="O2663" s="2">
        <v>42072.0</v>
      </c>
      <c r="P2663" s="1">
        <v>106708.0</v>
      </c>
      <c r="Q2663" s="1">
        <v>18080.0</v>
      </c>
      <c r="S2663" s="1">
        <v>4830.0</v>
      </c>
      <c r="T2663" s="1" t="s">
        <v>5459</v>
      </c>
      <c r="U2663" s="1" t="s">
        <v>694</v>
      </c>
      <c r="V2663" s="1" t="s">
        <v>190</v>
      </c>
      <c r="W2663" s="1">
        <v>60639.0</v>
      </c>
      <c r="Y2663" s="1" t="s">
        <v>23720</v>
      </c>
      <c r="Z2663" s="1">
        <v>1920.0</v>
      </c>
      <c r="AA2663" s="1" t="s">
        <v>192</v>
      </c>
      <c r="AB2663" s="1" t="s">
        <v>193</v>
      </c>
      <c r="AD2663" s="1" t="s">
        <v>194</v>
      </c>
      <c r="AE2663" s="1" t="s">
        <v>195</v>
      </c>
      <c r="AF2663" s="1" t="s">
        <v>196</v>
      </c>
      <c r="AH2663" s="1">
        <v>3906.0</v>
      </c>
      <c r="AI2663" s="1">
        <v>0.0897</v>
      </c>
      <c r="AK2663" s="1">
        <v>8.0</v>
      </c>
      <c r="AL2663" s="1">
        <v>4.0</v>
      </c>
      <c r="AM2663" s="1">
        <v>2.0</v>
      </c>
      <c r="AN2663" s="1">
        <v>0.0</v>
      </c>
      <c r="AO2663" s="1" t="s">
        <v>229</v>
      </c>
      <c r="AQ2663" s="1" t="s">
        <v>1314</v>
      </c>
      <c r="AR2663" s="1" t="s">
        <v>192</v>
      </c>
      <c r="AS2663" s="1" t="s">
        <v>199</v>
      </c>
      <c r="AT2663" s="1">
        <v>2.0</v>
      </c>
      <c r="AV2663" s="1" t="s">
        <v>200</v>
      </c>
      <c r="AW2663" s="1">
        <v>1783.14</v>
      </c>
      <c r="AX2663" s="1">
        <v>2012.0</v>
      </c>
      <c r="AZ2663" s="1" t="s">
        <v>200</v>
      </c>
      <c r="BA2663" s="1" t="str">
        <f>"13334200420000"</f>
        <v>13334200420000</v>
      </c>
      <c r="BC2663" s="1">
        <v>1013.0</v>
      </c>
      <c r="BD2663" s="1">
        <v>69100.0</v>
      </c>
      <c r="BE2663" s="2">
        <v>42045.0</v>
      </c>
      <c r="BF2663" s="2" t="s">
        <v>23721</v>
      </c>
      <c r="BH2663" s="1">
        <v>0.0</v>
      </c>
      <c r="BK2663" s="1" t="s">
        <v>204</v>
      </c>
      <c r="BL2663" s="1" t="str">
        <f>"1632"</f>
        <v>1632</v>
      </c>
      <c r="BM2663" s="1" t="str">
        <f>"0"</f>
        <v>0</v>
      </c>
      <c r="BN2663" s="1">
        <v>4800.0</v>
      </c>
      <c r="BO2663" s="1">
        <v>0.0</v>
      </c>
      <c r="BQ2663" s="1">
        <v>299.0</v>
      </c>
      <c r="BR2663" s="1">
        <v>299.0</v>
      </c>
      <c r="BS2663" s="1">
        <v>299.0</v>
      </c>
      <c r="BU2663" s="1" t="s">
        <v>215</v>
      </c>
      <c r="BV2663" s="1" t="s">
        <v>206</v>
      </c>
      <c r="BY2663" s="1" t="s">
        <v>497</v>
      </c>
      <c r="BZ2663" s="1" t="s">
        <v>206</v>
      </c>
      <c r="CC2663" s="1" t="s">
        <v>363</v>
      </c>
      <c r="CD2663" s="1" t="s">
        <v>206</v>
      </c>
      <c r="CG2663" s="1" t="s">
        <v>497</v>
      </c>
      <c r="CH2663" s="1" t="s">
        <v>206</v>
      </c>
      <c r="CK2663" s="1" t="s">
        <v>1417</v>
      </c>
      <c r="CL2663" s="1" t="s">
        <v>206</v>
      </c>
      <c r="CO2663" s="1" t="s">
        <v>497</v>
      </c>
      <c r="CP2663" s="1" t="s">
        <v>206</v>
      </c>
      <c r="CS2663" s="1" t="s">
        <v>699</v>
      </c>
      <c r="CT2663" s="1" t="s">
        <v>206</v>
      </c>
      <c r="CW2663" s="1" t="s">
        <v>758</v>
      </c>
      <c r="CX2663" s="1" t="s">
        <v>209</v>
      </c>
      <c r="DA2663" s="1" t="s">
        <v>200</v>
      </c>
      <c r="DC2663" s="1" t="s">
        <v>216</v>
      </c>
      <c r="DE2663" s="1" t="s">
        <v>273</v>
      </c>
      <c r="DF2663" s="1" t="s">
        <v>219</v>
      </c>
      <c r="DH2663" s="1" t="s">
        <v>220</v>
      </c>
      <c r="DJ2663" s="1" t="s">
        <v>222</v>
      </c>
      <c r="DL2663" s="1" t="s">
        <v>858</v>
      </c>
      <c r="DM2663" s="1" t="s">
        <v>229</v>
      </c>
      <c r="DQ2663" s="1" t="s">
        <v>228</v>
      </c>
      <c r="DR2663" s="1" t="s">
        <v>229</v>
      </c>
      <c r="DV2663" s="1" t="s">
        <v>232</v>
      </c>
      <c r="DW2663" s="1" t="s">
        <v>3142</v>
      </c>
      <c r="DX2663" s="1" t="s">
        <v>234</v>
      </c>
      <c r="EC2663" s="1" t="s">
        <v>685</v>
      </c>
      <c r="EE2663" s="1" t="s">
        <v>1673</v>
      </c>
      <c r="EM2663" s="1" t="s">
        <v>238</v>
      </c>
      <c r="EQ2663" s="1" t="s">
        <v>238</v>
      </c>
      <c r="EU2663" s="1" t="s">
        <v>238</v>
      </c>
      <c r="EY2663" s="1" t="s">
        <v>238</v>
      </c>
      <c r="FC2663" s="1" t="s">
        <v>238</v>
      </c>
      <c r="FF2663" s="1" t="s">
        <v>239</v>
      </c>
      <c r="FG2663" s="1" t="s">
        <v>192</v>
      </c>
      <c r="FH2663" s="1" t="s">
        <v>192</v>
      </c>
      <c r="FJ2663" s="1" t="s">
        <v>23722</v>
      </c>
      <c r="FK2663" s="1" t="s">
        <v>229</v>
      </c>
      <c r="FL2663" s="1" t="s">
        <v>22141</v>
      </c>
      <c r="FM2663" s="1">
        <v>15268.0</v>
      </c>
      <c r="FN2663" s="1" t="s">
        <v>22142</v>
      </c>
      <c r="FO2663" s="1" t="s">
        <v>22143</v>
      </c>
      <c r="FP2663" s="1">
        <v>112996.0</v>
      </c>
      <c r="FU2663" s="1" t="s">
        <v>23723</v>
      </c>
      <c r="FV2663" s="1" t="s">
        <v>200</v>
      </c>
      <c r="FW2663" s="1" t="s">
        <v>290</v>
      </c>
      <c r="FX2663" s="1" t="s">
        <v>246</v>
      </c>
      <c r="FZ2663" s="1" t="s">
        <v>229</v>
      </c>
      <c r="GA2663" s="1" t="s">
        <v>291</v>
      </c>
      <c r="GB2663" s="2">
        <v>42073.0</v>
      </c>
      <c r="GC2663" s="1" t="s">
        <v>23724</v>
      </c>
    </row>
    <row r="2664">
      <c r="A2664" s="1">
        <v>245900.0</v>
      </c>
      <c r="B2664" s="1" t="s">
        <v>185</v>
      </c>
      <c r="C2664" s="1" t="str">
        <f>"08842103"</f>
        <v>08842103</v>
      </c>
      <c r="D2664" s="1" t="s">
        <v>186</v>
      </c>
      <c r="F2664" s="1" t="str">
        <f>"134"</f>
        <v>134</v>
      </c>
      <c r="G2664" s="2">
        <v>42054.0</v>
      </c>
      <c r="H2664" s="1">
        <v>245900.0</v>
      </c>
      <c r="I2664" s="1">
        <v>27.0</v>
      </c>
      <c r="J2664" s="1">
        <v>245900.0</v>
      </c>
      <c r="K2664" s="2">
        <v>42080.0</v>
      </c>
      <c r="L2664" s="1">
        <v>27.0</v>
      </c>
      <c r="M2664" s="2">
        <v>42080.0</v>
      </c>
      <c r="N2664" s="1" t="s">
        <v>187</v>
      </c>
      <c r="O2664" s="2">
        <v>42129.0</v>
      </c>
      <c r="P2664" s="1">
        <v>240650.0</v>
      </c>
      <c r="Q2664" s="1">
        <v>22944.0</v>
      </c>
      <c r="R2664" s="1">
        <v>3000.0</v>
      </c>
      <c r="S2664" s="1">
        <v>753.0</v>
      </c>
      <c r="T2664" s="1" t="s">
        <v>16165</v>
      </c>
      <c r="U2664" s="1" t="s">
        <v>1174</v>
      </c>
      <c r="V2664" s="1" t="s">
        <v>421</v>
      </c>
      <c r="W2664" s="1">
        <v>60134.0</v>
      </c>
      <c r="Y2664" s="1" t="s">
        <v>23725</v>
      </c>
      <c r="Z2664" s="1">
        <v>1991.0</v>
      </c>
      <c r="AA2664" s="1" t="s">
        <v>200</v>
      </c>
      <c r="AB2664" s="1" t="s">
        <v>193</v>
      </c>
      <c r="AC2664" s="1" t="s">
        <v>23726</v>
      </c>
      <c r="AD2664" s="1" t="s">
        <v>424</v>
      </c>
      <c r="AE2664" s="1" t="s">
        <v>325</v>
      </c>
      <c r="AF2664" s="1" t="s">
        <v>424</v>
      </c>
      <c r="AH2664" s="1">
        <v>7800.0</v>
      </c>
      <c r="AK2664" s="1">
        <v>7.0</v>
      </c>
      <c r="AL2664" s="1">
        <v>4.0</v>
      </c>
      <c r="AM2664" s="1">
        <v>2.0</v>
      </c>
      <c r="AN2664" s="1">
        <v>0.0</v>
      </c>
      <c r="AO2664" s="1" t="s">
        <v>229</v>
      </c>
      <c r="AP2664" s="1">
        <v>1.0</v>
      </c>
      <c r="AQ2664" s="1" t="s">
        <v>198</v>
      </c>
      <c r="AR2664" s="1" t="s">
        <v>200</v>
      </c>
      <c r="AS2664" s="1" t="s">
        <v>199</v>
      </c>
      <c r="AT2664" s="1">
        <v>2.0</v>
      </c>
      <c r="AV2664" s="1" t="s">
        <v>200</v>
      </c>
      <c r="AW2664" s="1">
        <v>5333.76</v>
      </c>
      <c r="AX2664" s="1">
        <v>2013.0</v>
      </c>
      <c r="AY2664" s="1" t="s">
        <v>387</v>
      </c>
      <c r="AZ2664" s="1" t="s">
        <v>200</v>
      </c>
      <c r="BA2664" s="1" t="str">
        <f>"1202234004"</f>
        <v>1202234004</v>
      </c>
      <c r="BC2664" s="1">
        <v>1684.0</v>
      </c>
      <c r="BD2664" s="1">
        <v>245900.0</v>
      </c>
      <c r="BE2664" s="2">
        <v>42054.0</v>
      </c>
      <c r="BF2664" s="2" t="s">
        <v>23727</v>
      </c>
      <c r="BH2664" s="1">
        <v>0.0</v>
      </c>
      <c r="BK2664" s="1" t="s">
        <v>204</v>
      </c>
      <c r="BL2664" s="1" t="str">
        <f t="shared" ref="BL2664:BM2664" si="1741">""</f>
        <v/>
      </c>
      <c r="BM2664" s="1" t="str">
        <f t="shared" si="1741"/>
        <v/>
      </c>
      <c r="BQ2664" s="1">
        <v>304.0</v>
      </c>
      <c r="BR2664" s="1">
        <v>304.0</v>
      </c>
      <c r="BS2664" s="1">
        <v>304.0</v>
      </c>
      <c r="BU2664" s="1" t="s">
        <v>1517</v>
      </c>
      <c r="BV2664" s="1" t="s">
        <v>206</v>
      </c>
      <c r="BW2664" s="1" t="s">
        <v>210</v>
      </c>
      <c r="BX2664" s="1" t="s">
        <v>431</v>
      </c>
      <c r="BY2664" s="1" t="s">
        <v>1417</v>
      </c>
      <c r="BZ2664" s="1" t="s">
        <v>206</v>
      </c>
      <c r="CA2664" s="1" t="s">
        <v>210</v>
      </c>
      <c r="CB2664" s="1" t="s">
        <v>431</v>
      </c>
      <c r="CC2664" s="1" t="s">
        <v>663</v>
      </c>
      <c r="CD2664" s="1" t="s">
        <v>206</v>
      </c>
      <c r="CE2664" s="1" t="s">
        <v>210</v>
      </c>
      <c r="CF2664" s="1" t="s">
        <v>1549</v>
      </c>
      <c r="CG2664" s="1" t="s">
        <v>269</v>
      </c>
      <c r="CH2664" s="1" t="s">
        <v>206</v>
      </c>
      <c r="CI2664" s="1" t="s">
        <v>210</v>
      </c>
      <c r="CJ2664" s="1" t="s">
        <v>431</v>
      </c>
      <c r="CK2664" s="1" t="s">
        <v>1183</v>
      </c>
      <c r="CL2664" s="1" t="s">
        <v>209</v>
      </c>
      <c r="CM2664" s="1" t="s">
        <v>210</v>
      </c>
      <c r="CN2664" s="1" t="s">
        <v>431</v>
      </c>
      <c r="CO2664" s="1" t="s">
        <v>1068</v>
      </c>
      <c r="CP2664" s="1" t="s">
        <v>209</v>
      </c>
      <c r="CQ2664" s="1" t="s">
        <v>210</v>
      </c>
      <c r="CR2664" s="1" t="s">
        <v>431</v>
      </c>
      <c r="CS2664" s="1" t="s">
        <v>1351</v>
      </c>
      <c r="CT2664" s="1" t="s">
        <v>206</v>
      </c>
      <c r="CU2664" s="1" t="s">
        <v>301</v>
      </c>
      <c r="CV2664" s="1" t="s">
        <v>431</v>
      </c>
      <c r="CX2664" s="1" t="s">
        <v>204</v>
      </c>
      <c r="DA2664" s="1" t="s">
        <v>200</v>
      </c>
      <c r="DC2664" s="1" t="s">
        <v>435</v>
      </c>
      <c r="DD2664" s="1" t="s">
        <v>518</v>
      </c>
      <c r="DE2664" s="1" t="s">
        <v>273</v>
      </c>
      <c r="DF2664" s="1" t="s">
        <v>619</v>
      </c>
      <c r="DG2664" s="1" t="s">
        <v>482</v>
      </c>
      <c r="DH2664" s="1" t="s">
        <v>220</v>
      </c>
      <c r="DI2664" s="1" t="s">
        <v>221</v>
      </c>
      <c r="DJ2664" s="1" t="s">
        <v>222</v>
      </c>
      <c r="DL2664" s="1" t="s">
        <v>223</v>
      </c>
      <c r="DM2664" s="1" t="s">
        <v>338</v>
      </c>
      <c r="DP2664" s="1" t="s">
        <v>276</v>
      </c>
      <c r="DQ2664" s="1" t="s">
        <v>228</v>
      </c>
      <c r="DR2664" s="1" t="s">
        <v>229</v>
      </c>
      <c r="DS2664" s="1" t="s">
        <v>230</v>
      </c>
      <c r="DU2664" s="1" t="s">
        <v>23728</v>
      </c>
      <c r="DV2664" s="1" t="s">
        <v>232</v>
      </c>
      <c r="DW2664" s="1" t="s">
        <v>891</v>
      </c>
      <c r="DX2664" s="1" t="s">
        <v>234</v>
      </c>
      <c r="DY2664" s="1" t="s">
        <v>23729</v>
      </c>
      <c r="DZ2664" s="1" t="s">
        <v>310</v>
      </c>
      <c r="EA2664" s="1" t="s">
        <v>1075</v>
      </c>
      <c r="EB2664" s="1" t="s">
        <v>492</v>
      </c>
      <c r="EC2664" s="1" t="s">
        <v>237</v>
      </c>
      <c r="ED2664" s="1" t="s">
        <v>555</v>
      </c>
      <c r="EE2664" s="1" t="s">
        <v>493</v>
      </c>
      <c r="EM2664" s="1" t="s">
        <v>238</v>
      </c>
      <c r="EQ2664" s="1" t="s">
        <v>238</v>
      </c>
      <c r="EU2664" s="1" t="s">
        <v>238</v>
      </c>
      <c r="EY2664" s="1" t="s">
        <v>238</v>
      </c>
      <c r="FC2664" s="1" t="s">
        <v>238</v>
      </c>
      <c r="FF2664" s="1" t="s">
        <v>239</v>
      </c>
      <c r="FG2664" s="1" t="s">
        <v>192</v>
      </c>
      <c r="FH2664" s="1" t="s">
        <v>192</v>
      </c>
      <c r="FJ2664" s="1" t="s">
        <v>3613</v>
      </c>
      <c r="FK2664" s="1" t="s">
        <v>348</v>
      </c>
      <c r="FL2664" s="1" t="s">
        <v>456</v>
      </c>
      <c r="FM2664" s="1">
        <v>49.0</v>
      </c>
      <c r="FN2664" s="1" t="s">
        <v>457</v>
      </c>
      <c r="FO2664" s="1" t="s">
        <v>11041</v>
      </c>
      <c r="FP2664" s="1">
        <v>549.0</v>
      </c>
      <c r="FS2664" s="1" t="s">
        <v>11042</v>
      </c>
      <c r="FU2664" s="1" t="s">
        <v>23730</v>
      </c>
      <c r="FV2664" s="1" t="s">
        <v>200</v>
      </c>
      <c r="FW2664" s="1" t="s">
        <v>290</v>
      </c>
      <c r="FZ2664" s="1" t="s">
        <v>229</v>
      </c>
      <c r="GA2664" s="1" t="s">
        <v>291</v>
      </c>
      <c r="GB2664" s="2">
        <v>42129.0</v>
      </c>
      <c r="GC2664" s="1" t="s">
        <v>23731</v>
      </c>
    </row>
    <row r="2665">
      <c r="A2665" s="1">
        <v>255044.0</v>
      </c>
      <c r="B2665" s="1" t="s">
        <v>185</v>
      </c>
      <c r="C2665" s="1" t="str">
        <f>"08836897"</f>
        <v>08836897</v>
      </c>
      <c r="D2665" s="1" t="s">
        <v>186</v>
      </c>
      <c r="F2665" s="1" t="str">
        <f>"543"</f>
        <v>543</v>
      </c>
      <c r="G2665" s="2">
        <v>42047.0</v>
      </c>
      <c r="H2665" s="1">
        <v>276000.0</v>
      </c>
      <c r="I2665" s="1">
        <v>40.0</v>
      </c>
      <c r="J2665" s="1">
        <v>262200.0</v>
      </c>
      <c r="K2665" s="2">
        <v>42086.0</v>
      </c>
      <c r="L2665" s="1">
        <v>40.0</v>
      </c>
      <c r="M2665" s="2">
        <v>42086.0</v>
      </c>
      <c r="N2665" s="1" t="s">
        <v>249</v>
      </c>
      <c r="O2665" s="2">
        <v>42145.0</v>
      </c>
      <c r="P2665" s="1">
        <v>237809.0</v>
      </c>
      <c r="Q2665" s="1">
        <v>23163.0</v>
      </c>
      <c r="S2665" s="1">
        <v>3202.0</v>
      </c>
      <c r="T2665" s="1" t="s">
        <v>1238</v>
      </c>
      <c r="U2665" s="1" t="s">
        <v>464</v>
      </c>
      <c r="V2665" s="1" t="s">
        <v>1527</v>
      </c>
      <c r="W2665" s="1">
        <v>60543.0</v>
      </c>
      <c r="Y2665" s="1" t="s">
        <v>23732</v>
      </c>
      <c r="Z2665" s="1">
        <v>1979.0</v>
      </c>
      <c r="AA2665" s="1" t="s">
        <v>200</v>
      </c>
      <c r="AB2665" s="1" t="s">
        <v>193</v>
      </c>
      <c r="AD2665" s="1" t="s">
        <v>1089</v>
      </c>
      <c r="AE2665" s="1" t="s">
        <v>849</v>
      </c>
      <c r="AF2665" s="1" t="s">
        <v>1529</v>
      </c>
      <c r="AH2665" s="1">
        <v>2.27</v>
      </c>
      <c r="AI2665" s="1">
        <v>2.27</v>
      </c>
      <c r="AK2665" s="1">
        <v>12.0</v>
      </c>
      <c r="AL2665" s="1">
        <v>4.0</v>
      </c>
      <c r="AM2665" s="1">
        <v>3.0</v>
      </c>
      <c r="AN2665" s="1">
        <v>1.0</v>
      </c>
      <c r="AO2665" s="1" t="s">
        <v>229</v>
      </c>
      <c r="AP2665" s="1">
        <v>1.0</v>
      </c>
      <c r="AQ2665" s="1" t="s">
        <v>198</v>
      </c>
      <c r="AR2665" s="1" t="s">
        <v>200</v>
      </c>
      <c r="AS2665" s="1" t="s">
        <v>199</v>
      </c>
      <c r="AT2665" s="1">
        <v>3.0</v>
      </c>
      <c r="AV2665" s="1" t="s">
        <v>200</v>
      </c>
      <c r="AW2665" s="1">
        <v>15895.0</v>
      </c>
      <c r="AX2665" s="1">
        <v>2013.0</v>
      </c>
      <c r="AZ2665" s="1" t="s">
        <v>545</v>
      </c>
      <c r="BA2665" s="1" t="str">
        <f>"0324200001"</f>
        <v>0324200001</v>
      </c>
      <c r="BC2665" s="1">
        <v>4885.0</v>
      </c>
      <c r="BD2665" s="1">
        <v>255044.0</v>
      </c>
      <c r="BE2665" s="2">
        <v>42047.0</v>
      </c>
      <c r="BF2665" s="2" t="s">
        <v>3507</v>
      </c>
      <c r="BH2665" s="1">
        <v>0.0</v>
      </c>
      <c r="BK2665" s="1" t="s">
        <v>204</v>
      </c>
      <c r="BL2665" s="1" t="str">
        <f t="shared" ref="BL2665:BM2665" si="1742">"0"</f>
        <v>0</v>
      </c>
      <c r="BM2665" s="1" t="str">
        <f t="shared" si="1742"/>
        <v>0</v>
      </c>
      <c r="BN2665" s="1">
        <v>33.0</v>
      </c>
      <c r="BO2665" s="1">
        <v>13.0</v>
      </c>
      <c r="BQ2665" s="1">
        <v>308.0</v>
      </c>
      <c r="BR2665" s="1">
        <v>308.0</v>
      </c>
      <c r="BS2665" s="1">
        <v>308.0</v>
      </c>
      <c r="BU2665" s="1" t="s">
        <v>1567</v>
      </c>
      <c r="BV2665" s="1" t="s">
        <v>206</v>
      </c>
      <c r="BY2665" s="1" t="s">
        <v>1567</v>
      </c>
      <c r="BZ2665" s="1" t="s">
        <v>209</v>
      </c>
      <c r="CC2665" s="1" t="s">
        <v>269</v>
      </c>
      <c r="CD2665" s="1" t="s">
        <v>206</v>
      </c>
      <c r="CG2665" s="1" t="s">
        <v>269</v>
      </c>
      <c r="CH2665" s="1" t="s">
        <v>209</v>
      </c>
      <c r="CK2665" s="1" t="s">
        <v>269</v>
      </c>
      <c r="CL2665" s="1" t="s">
        <v>209</v>
      </c>
      <c r="CO2665" s="1" t="s">
        <v>269</v>
      </c>
      <c r="CP2665" s="1" t="s">
        <v>209</v>
      </c>
      <c r="CS2665" s="1" t="s">
        <v>363</v>
      </c>
      <c r="CT2665" s="1" t="s">
        <v>206</v>
      </c>
      <c r="CW2665" s="1" t="s">
        <v>269</v>
      </c>
      <c r="CX2665" s="1" t="s">
        <v>206</v>
      </c>
      <c r="DA2665" s="1" t="s">
        <v>200</v>
      </c>
      <c r="DC2665" s="1" t="s">
        <v>395</v>
      </c>
      <c r="DE2665" s="1" t="s">
        <v>273</v>
      </c>
      <c r="DF2665" s="1" t="s">
        <v>219</v>
      </c>
      <c r="DH2665" s="1" t="s">
        <v>856</v>
      </c>
      <c r="DJ2665" s="1" t="s">
        <v>18269</v>
      </c>
      <c r="DL2665" s="1" t="s">
        <v>224</v>
      </c>
      <c r="DM2665" s="1" t="s">
        <v>229</v>
      </c>
      <c r="DQ2665" s="1" t="s">
        <v>860</v>
      </c>
      <c r="DR2665" s="1" t="s">
        <v>229</v>
      </c>
      <c r="DV2665" s="1" t="s">
        <v>23733</v>
      </c>
      <c r="DW2665" s="1" t="s">
        <v>233</v>
      </c>
      <c r="DX2665" s="1" t="s">
        <v>234</v>
      </c>
      <c r="EC2665" s="1" t="s">
        <v>237</v>
      </c>
      <c r="EE2665" s="1" t="s">
        <v>1960</v>
      </c>
      <c r="EG2665" s="1" t="s">
        <v>494</v>
      </c>
      <c r="EH2665" s="1" t="s">
        <v>1164</v>
      </c>
      <c r="EI2665" s="1" t="s">
        <v>341</v>
      </c>
      <c r="EJ2665" s="1" t="s">
        <v>450</v>
      </c>
      <c r="EL2665" s="1" t="s">
        <v>269</v>
      </c>
      <c r="EM2665" s="1" t="s">
        <v>206</v>
      </c>
      <c r="EP2665" s="1" t="s">
        <v>1286</v>
      </c>
      <c r="EQ2665" s="1" t="s">
        <v>206</v>
      </c>
      <c r="ET2665" s="1" t="s">
        <v>23734</v>
      </c>
      <c r="EU2665" s="1" t="s">
        <v>206</v>
      </c>
      <c r="EX2665" s="1" t="s">
        <v>23735</v>
      </c>
      <c r="EY2665" s="1" t="s">
        <v>206</v>
      </c>
      <c r="FC2665" s="1" t="s">
        <v>238</v>
      </c>
      <c r="FF2665" s="1" t="s">
        <v>239</v>
      </c>
      <c r="FG2665" s="1" t="s">
        <v>192</v>
      </c>
      <c r="FH2665" s="1" t="s">
        <v>192</v>
      </c>
      <c r="FJ2665" s="1" t="s">
        <v>347</v>
      </c>
      <c r="FK2665" s="1" t="s">
        <v>229</v>
      </c>
      <c r="FL2665" s="1" t="s">
        <v>3033</v>
      </c>
      <c r="FM2665" s="1">
        <v>1984.0</v>
      </c>
      <c r="FN2665" s="1" t="s">
        <v>3034</v>
      </c>
      <c r="FO2665" s="1" t="s">
        <v>3035</v>
      </c>
      <c r="FP2665" s="1">
        <v>922950.0</v>
      </c>
      <c r="FU2665" s="1" t="s">
        <v>3036</v>
      </c>
      <c r="FV2665" s="1" t="s">
        <v>200</v>
      </c>
      <c r="FW2665" s="1" t="s">
        <v>4959</v>
      </c>
      <c r="FZ2665" s="1" t="s">
        <v>229</v>
      </c>
      <c r="GA2665" s="1" t="s">
        <v>291</v>
      </c>
      <c r="GB2665" s="2">
        <v>42150.0</v>
      </c>
      <c r="GC2665" s="1" t="s">
        <v>7564</v>
      </c>
    </row>
    <row r="2666">
      <c r="A2666" s="1">
        <v>139900.0</v>
      </c>
      <c r="B2666" s="1" t="s">
        <v>185</v>
      </c>
      <c r="C2666" s="1" t="str">
        <f>"08836274"</f>
        <v>08836274</v>
      </c>
      <c r="D2666" s="1" t="s">
        <v>186</v>
      </c>
      <c r="F2666" s="1" t="str">
        <f>"8070"</f>
        <v>8070</v>
      </c>
      <c r="G2666" s="2">
        <v>42046.0</v>
      </c>
      <c r="H2666" s="1">
        <v>138900.0</v>
      </c>
      <c r="I2666" s="1">
        <v>292.0</v>
      </c>
      <c r="J2666" s="1">
        <v>138900.0</v>
      </c>
      <c r="K2666" s="2">
        <v>42049.0</v>
      </c>
      <c r="L2666" s="1">
        <v>4.0</v>
      </c>
      <c r="M2666" s="2">
        <v>42049.0</v>
      </c>
      <c r="N2666" s="1" t="s">
        <v>356</v>
      </c>
      <c r="O2666" s="2">
        <v>42124.0</v>
      </c>
      <c r="P2666" s="1">
        <v>221839.0</v>
      </c>
      <c r="Q2666" s="1">
        <v>60321.0</v>
      </c>
      <c r="R2666" s="1">
        <v>3.5</v>
      </c>
      <c r="S2666" s="1">
        <v>3732.0</v>
      </c>
      <c r="T2666" s="1" t="s">
        <v>22898</v>
      </c>
      <c r="U2666" s="1" t="s">
        <v>320</v>
      </c>
      <c r="V2666" s="1" t="s">
        <v>190</v>
      </c>
      <c r="W2666" s="1">
        <v>60652.0</v>
      </c>
      <c r="Y2666" s="1" t="s">
        <v>23736</v>
      </c>
      <c r="Z2666" s="1">
        <v>1954.0</v>
      </c>
      <c r="AA2666" s="1" t="s">
        <v>192</v>
      </c>
      <c r="AB2666" s="1" t="s">
        <v>193</v>
      </c>
      <c r="AD2666" s="1" t="s">
        <v>194</v>
      </c>
      <c r="AE2666" s="1" t="s">
        <v>195</v>
      </c>
      <c r="AF2666" s="1" t="s">
        <v>534</v>
      </c>
      <c r="AH2666" s="1" t="s">
        <v>23737</v>
      </c>
      <c r="AI2666" s="1">
        <v>0.0964</v>
      </c>
      <c r="AK2666" s="1">
        <v>6.0</v>
      </c>
      <c r="AL2666" s="1">
        <v>4.0</v>
      </c>
      <c r="AM2666" s="1">
        <v>1.0</v>
      </c>
      <c r="AN2666" s="1">
        <v>0.0</v>
      </c>
      <c r="AO2666" s="1" t="s">
        <v>229</v>
      </c>
      <c r="AQ2666" s="1" t="s">
        <v>229</v>
      </c>
      <c r="AR2666" s="1" t="s">
        <v>200</v>
      </c>
      <c r="AS2666" s="1" t="s">
        <v>199</v>
      </c>
      <c r="AT2666" s="1">
        <v>1.5</v>
      </c>
      <c r="AV2666" s="1" t="s">
        <v>200</v>
      </c>
      <c r="AW2666" s="1">
        <v>1879.88</v>
      </c>
      <c r="AX2666" s="1">
        <v>2013.0</v>
      </c>
      <c r="AY2666" s="1" t="s">
        <v>229</v>
      </c>
      <c r="AZ2666" s="1" t="s">
        <v>200</v>
      </c>
      <c r="BA2666" s="1" t="str">
        <f>"19263240450000"</f>
        <v>19263240450000</v>
      </c>
      <c r="BC2666" s="1">
        <v>1228.0</v>
      </c>
      <c r="BD2666" s="1">
        <v>139900.0</v>
      </c>
      <c r="BE2666" s="2">
        <v>42046.0</v>
      </c>
      <c r="BF2666" s="2" t="s">
        <v>23738</v>
      </c>
      <c r="BH2666" s="1">
        <v>0.0</v>
      </c>
      <c r="BK2666" s="1" t="s">
        <v>204</v>
      </c>
      <c r="BL2666" s="1" t="str">
        <f t="shared" ref="BL2666:BM2666" si="1743">"0"</f>
        <v>0</v>
      </c>
      <c r="BM2666" s="1" t="str">
        <f t="shared" si="1743"/>
        <v>0</v>
      </c>
      <c r="BN2666" s="1">
        <v>3732.0</v>
      </c>
      <c r="BO2666" s="1">
        <v>77.0</v>
      </c>
      <c r="BQ2666" s="1">
        <v>299.0</v>
      </c>
      <c r="BR2666" s="1">
        <v>299.0</v>
      </c>
      <c r="BS2666" s="1">
        <v>299.0</v>
      </c>
      <c r="BU2666" s="1" t="s">
        <v>205</v>
      </c>
      <c r="BV2666" s="1" t="s">
        <v>206</v>
      </c>
      <c r="BW2666" s="1" t="s">
        <v>207</v>
      </c>
      <c r="BX2666" s="1" t="s">
        <v>1549</v>
      </c>
      <c r="BY2666" s="1" t="s">
        <v>640</v>
      </c>
      <c r="BZ2666" s="1" t="s">
        <v>206</v>
      </c>
      <c r="CA2666" s="1" t="s">
        <v>210</v>
      </c>
      <c r="CD2666" s="1" t="s">
        <v>204</v>
      </c>
      <c r="CG2666" s="1" t="s">
        <v>495</v>
      </c>
      <c r="CH2666" s="1" t="s">
        <v>206</v>
      </c>
      <c r="CI2666" s="1" t="s">
        <v>210</v>
      </c>
      <c r="CK2666" s="1" t="s">
        <v>265</v>
      </c>
      <c r="CL2666" s="1" t="s">
        <v>206</v>
      </c>
      <c r="CM2666" s="1" t="s">
        <v>207</v>
      </c>
      <c r="CO2666" s="1" t="s">
        <v>516</v>
      </c>
      <c r="CP2666" s="1" t="s">
        <v>206</v>
      </c>
      <c r="CQ2666" s="1" t="s">
        <v>207</v>
      </c>
      <c r="CS2666" s="1" t="s">
        <v>647</v>
      </c>
      <c r="CT2666" s="1" t="s">
        <v>206</v>
      </c>
      <c r="CU2666" s="1" t="s">
        <v>207</v>
      </c>
      <c r="CV2666" s="1" t="s">
        <v>431</v>
      </c>
      <c r="CX2666" s="1" t="s">
        <v>204</v>
      </c>
      <c r="CY2666" s="1" t="s">
        <v>207</v>
      </c>
      <c r="CZ2666" s="1" t="s">
        <v>431</v>
      </c>
      <c r="DA2666" s="1" t="s">
        <v>200</v>
      </c>
      <c r="DC2666" s="1" t="s">
        <v>702</v>
      </c>
      <c r="DD2666" s="1" t="s">
        <v>518</v>
      </c>
      <c r="DE2666" s="1" t="s">
        <v>273</v>
      </c>
      <c r="DF2666" s="1" t="s">
        <v>219</v>
      </c>
      <c r="DG2666" s="1" t="s">
        <v>2311</v>
      </c>
      <c r="DH2666" s="1" t="s">
        <v>365</v>
      </c>
      <c r="DJ2666" s="1" t="s">
        <v>222</v>
      </c>
      <c r="DL2666" s="1" t="s">
        <v>1853</v>
      </c>
      <c r="DM2666" s="1" t="s">
        <v>229</v>
      </c>
      <c r="DQ2666" s="1" t="s">
        <v>228</v>
      </c>
      <c r="DR2666" s="1" t="s">
        <v>229</v>
      </c>
      <c r="DS2666" s="1" t="s">
        <v>230</v>
      </c>
      <c r="DV2666" s="1" t="s">
        <v>232</v>
      </c>
      <c r="DW2666" s="1" t="s">
        <v>444</v>
      </c>
      <c r="DX2666" s="1" t="s">
        <v>234</v>
      </c>
      <c r="DY2666" s="1" t="s">
        <v>3183</v>
      </c>
      <c r="EA2666" s="1" t="s">
        <v>683</v>
      </c>
      <c r="EC2666" s="1" t="s">
        <v>685</v>
      </c>
      <c r="EE2666" s="1" t="s">
        <v>19335</v>
      </c>
      <c r="EM2666" s="1" t="s">
        <v>238</v>
      </c>
      <c r="EQ2666" s="1" t="s">
        <v>238</v>
      </c>
      <c r="EU2666" s="1" t="s">
        <v>238</v>
      </c>
      <c r="EY2666" s="1" t="s">
        <v>238</v>
      </c>
      <c r="FC2666" s="1" t="s">
        <v>238</v>
      </c>
      <c r="FF2666" s="1" t="s">
        <v>239</v>
      </c>
      <c r="FG2666" s="1" t="s">
        <v>192</v>
      </c>
      <c r="FH2666" s="1" t="s">
        <v>192</v>
      </c>
      <c r="FJ2666" s="1" t="s">
        <v>624</v>
      </c>
      <c r="FK2666" s="1" t="s">
        <v>229</v>
      </c>
      <c r="FL2666" s="1" t="s">
        <v>15887</v>
      </c>
      <c r="FM2666" s="1">
        <v>16651.0</v>
      </c>
      <c r="FN2666" s="1" t="s">
        <v>15888</v>
      </c>
      <c r="FO2666" s="1" t="s">
        <v>15889</v>
      </c>
      <c r="FP2666" s="1">
        <v>149501.0</v>
      </c>
      <c r="FQ2666" s="1" t="s">
        <v>15888</v>
      </c>
      <c r="FU2666" s="1" t="s">
        <v>6077</v>
      </c>
      <c r="FV2666" s="1" t="s">
        <v>192</v>
      </c>
      <c r="FW2666" s="1" t="s">
        <v>23739</v>
      </c>
      <c r="FX2666" s="1" t="s">
        <v>246</v>
      </c>
      <c r="FZ2666" s="1" t="s">
        <v>229</v>
      </c>
      <c r="GA2666" s="1" t="s">
        <v>291</v>
      </c>
      <c r="GB2666" s="2">
        <v>42142.0</v>
      </c>
      <c r="GC2666" s="1" t="s">
        <v>23740</v>
      </c>
    </row>
    <row r="2667">
      <c r="A2667" s="1">
        <v>1260000.0</v>
      </c>
      <c r="B2667" s="1" t="s">
        <v>185</v>
      </c>
      <c r="C2667" s="1" t="str">
        <f>"08825894"</f>
        <v>08825894</v>
      </c>
      <c r="D2667" s="1" t="s">
        <v>186</v>
      </c>
      <c r="F2667" s="1" t="str">
        <f>"8022"</f>
        <v>8022</v>
      </c>
      <c r="G2667" s="2">
        <v>42032.0</v>
      </c>
      <c r="H2667" s="1">
        <v>1295000.0</v>
      </c>
      <c r="I2667" s="1">
        <v>64.0</v>
      </c>
      <c r="J2667" s="1">
        <v>1295000.0</v>
      </c>
      <c r="K2667" s="2">
        <v>42038.0</v>
      </c>
      <c r="L2667" s="1">
        <v>8.0</v>
      </c>
      <c r="M2667" s="2">
        <v>42038.0</v>
      </c>
      <c r="N2667" s="1" t="s">
        <v>187</v>
      </c>
      <c r="O2667" s="2">
        <v>42111.0</v>
      </c>
      <c r="P2667" s="1">
        <v>144681.0</v>
      </c>
      <c r="Q2667" s="1">
        <v>10646.0</v>
      </c>
      <c r="S2667" s="1">
        <v>2103.0</v>
      </c>
      <c r="T2667" s="1" t="s">
        <v>10079</v>
      </c>
      <c r="U2667" s="1" t="s">
        <v>189</v>
      </c>
      <c r="V2667" s="1" t="s">
        <v>190</v>
      </c>
      <c r="W2667" s="1">
        <v>60647.0</v>
      </c>
      <c r="Y2667" s="1" t="s">
        <v>23741</v>
      </c>
      <c r="Z2667" s="1">
        <v>2014.0</v>
      </c>
      <c r="AA2667" s="1" t="s">
        <v>200</v>
      </c>
      <c r="AB2667" s="1" t="s">
        <v>193</v>
      </c>
      <c r="AD2667" s="1" t="s">
        <v>194</v>
      </c>
      <c r="AE2667" s="1" t="s">
        <v>195</v>
      </c>
      <c r="AF2667" s="1" t="s">
        <v>659</v>
      </c>
      <c r="AH2667" s="1" t="s">
        <v>5462</v>
      </c>
      <c r="AK2667" s="1">
        <v>8.0</v>
      </c>
      <c r="AL2667" s="1">
        <v>3.0</v>
      </c>
      <c r="AM2667" s="1">
        <v>3.0</v>
      </c>
      <c r="AN2667" s="1">
        <v>1.0</v>
      </c>
      <c r="AO2667" s="1" t="s">
        <v>198</v>
      </c>
      <c r="AQ2667" s="1" t="s">
        <v>198</v>
      </c>
      <c r="AR2667" s="1" t="s">
        <v>192</v>
      </c>
      <c r="AS2667" s="1" t="s">
        <v>199</v>
      </c>
      <c r="AT2667" s="1">
        <v>2.0</v>
      </c>
      <c r="AV2667" s="1" t="s">
        <v>200</v>
      </c>
      <c r="AW2667" s="1">
        <v>4978.0</v>
      </c>
      <c r="AX2667" s="1">
        <v>2013.0</v>
      </c>
      <c r="AZ2667" s="1" t="s">
        <v>200</v>
      </c>
      <c r="BA2667" s="1" t="str">
        <f>"14311270080000"</f>
        <v>14311270080000</v>
      </c>
      <c r="BC2667" s="1">
        <v>0.0</v>
      </c>
      <c r="BD2667" s="1">
        <v>1260000.0</v>
      </c>
      <c r="BE2667" s="2">
        <v>42031.0</v>
      </c>
      <c r="BF2667" s="2" t="s">
        <v>23742</v>
      </c>
      <c r="BH2667" s="1">
        <v>0.0</v>
      </c>
      <c r="BK2667" s="1" t="s">
        <v>204</v>
      </c>
      <c r="BL2667" s="1" t="str">
        <f>"2103"</f>
        <v>2103</v>
      </c>
      <c r="BM2667" s="1" t="str">
        <f t="shared" ref="BM2667:BM2668" si="1744">"0"</f>
        <v>0</v>
      </c>
      <c r="BN2667" s="1">
        <v>2100.0</v>
      </c>
      <c r="BO2667" s="1">
        <v>0.0</v>
      </c>
      <c r="BQ2667" s="1">
        <v>299.0</v>
      </c>
      <c r="BR2667" s="1">
        <v>299.0</v>
      </c>
      <c r="BS2667" s="1">
        <v>299.0</v>
      </c>
      <c r="BU2667" s="1" t="s">
        <v>1001</v>
      </c>
      <c r="BV2667" s="1" t="s">
        <v>206</v>
      </c>
      <c r="BY2667" s="1" t="s">
        <v>390</v>
      </c>
      <c r="BZ2667" s="1" t="s">
        <v>209</v>
      </c>
      <c r="CC2667" s="1" t="s">
        <v>542</v>
      </c>
      <c r="CD2667" s="1" t="s">
        <v>206</v>
      </c>
      <c r="CG2667" s="1" t="s">
        <v>264</v>
      </c>
      <c r="CH2667" s="1" t="s">
        <v>209</v>
      </c>
      <c r="CK2667" s="1" t="s">
        <v>925</v>
      </c>
      <c r="CL2667" s="1" t="s">
        <v>209</v>
      </c>
      <c r="CO2667" s="1" t="s">
        <v>497</v>
      </c>
      <c r="CP2667" s="1" t="s">
        <v>42</v>
      </c>
      <c r="CS2667" s="1" t="s">
        <v>208</v>
      </c>
      <c r="CT2667" s="1" t="s">
        <v>206</v>
      </c>
      <c r="CW2667" s="1" t="s">
        <v>2120</v>
      </c>
      <c r="CX2667" s="1" t="s">
        <v>206</v>
      </c>
      <c r="DA2667" s="1" t="s">
        <v>192</v>
      </c>
      <c r="DB2667" s="2">
        <v>42031.0</v>
      </c>
      <c r="DC2667" s="1" t="s">
        <v>1353</v>
      </c>
      <c r="DE2667" s="1" t="s">
        <v>273</v>
      </c>
      <c r="DF2667" s="1" t="s">
        <v>619</v>
      </c>
      <c r="DH2667" s="1" t="s">
        <v>365</v>
      </c>
      <c r="DJ2667" s="1" t="s">
        <v>13210</v>
      </c>
      <c r="DL2667" s="1" t="s">
        <v>1161</v>
      </c>
      <c r="DM2667" s="1" t="s">
        <v>229</v>
      </c>
      <c r="DQ2667" s="1" t="s">
        <v>228</v>
      </c>
      <c r="DR2667" s="1" t="s">
        <v>229</v>
      </c>
      <c r="DV2667" s="1" t="s">
        <v>232</v>
      </c>
      <c r="DW2667" s="1" t="s">
        <v>279</v>
      </c>
      <c r="DX2667" s="1" t="s">
        <v>234</v>
      </c>
      <c r="EC2667" s="1" t="s">
        <v>237</v>
      </c>
      <c r="EM2667" s="1" t="s">
        <v>238</v>
      </c>
      <c r="EQ2667" s="1" t="s">
        <v>238</v>
      </c>
      <c r="EU2667" s="1" t="s">
        <v>238</v>
      </c>
      <c r="EY2667" s="1" t="s">
        <v>238</v>
      </c>
      <c r="FC2667" s="1" t="s">
        <v>238</v>
      </c>
      <c r="FF2667" s="1" t="s">
        <v>229</v>
      </c>
      <c r="FG2667" s="1" t="s">
        <v>200</v>
      </c>
      <c r="FH2667" s="1" t="s">
        <v>200</v>
      </c>
      <c r="FJ2667" s="1" t="s">
        <v>3514</v>
      </c>
      <c r="FK2667" s="1" t="s">
        <v>229</v>
      </c>
      <c r="FL2667" s="1" t="s">
        <v>23743</v>
      </c>
      <c r="FM2667" s="1">
        <v>3414.0</v>
      </c>
      <c r="FN2667" s="1" t="s">
        <v>23744</v>
      </c>
      <c r="FO2667" s="1" t="s">
        <v>23745</v>
      </c>
      <c r="FP2667" s="1">
        <v>37795.0</v>
      </c>
      <c r="FQ2667" s="1" t="s">
        <v>23746</v>
      </c>
      <c r="FU2667" s="1" t="s">
        <v>23747</v>
      </c>
      <c r="FV2667" s="1" t="s">
        <v>192</v>
      </c>
      <c r="FW2667" s="1" t="s">
        <v>290</v>
      </c>
      <c r="FX2667" s="1" t="s">
        <v>238</v>
      </c>
      <c r="FZ2667" s="1" t="s">
        <v>229</v>
      </c>
      <c r="GA2667" s="1" t="s">
        <v>291</v>
      </c>
      <c r="GB2667" s="2">
        <v>42115.0</v>
      </c>
      <c r="GC2667" s="1" t="s">
        <v>23747</v>
      </c>
    </row>
    <row r="2668">
      <c r="A2668" s="1">
        <v>231500.0</v>
      </c>
      <c r="B2668" s="1" t="s">
        <v>185</v>
      </c>
      <c r="C2668" s="1" t="str">
        <f>"08828914"</f>
        <v>08828914</v>
      </c>
      <c r="D2668" s="1" t="s">
        <v>186</v>
      </c>
      <c r="F2668" s="1" t="str">
        <f>"8025"</f>
        <v>8025</v>
      </c>
      <c r="G2668" s="2">
        <v>42037.0</v>
      </c>
      <c r="H2668" s="1">
        <v>235000.0</v>
      </c>
      <c r="I2668" s="1">
        <v>37.0</v>
      </c>
      <c r="J2668" s="1">
        <v>235000.0</v>
      </c>
      <c r="K2668" s="2">
        <v>42047.0</v>
      </c>
      <c r="L2668" s="1">
        <v>11.0</v>
      </c>
      <c r="M2668" s="2">
        <v>42047.0</v>
      </c>
      <c r="N2668" s="1" t="s">
        <v>187</v>
      </c>
      <c r="O2668" s="2">
        <v>42082.0</v>
      </c>
      <c r="P2668" s="1">
        <v>7748.0</v>
      </c>
      <c r="Q2668" s="1">
        <v>252.0</v>
      </c>
      <c r="R2668" s="1">
        <v>2000.0</v>
      </c>
      <c r="S2668" s="1">
        <v>1704.0</v>
      </c>
      <c r="T2668" s="1" t="s">
        <v>14608</v>
      </c>
      <c r="U2668" s="1" t="s">
        <v>189</v>
      </c>
      <c r="V2668" s="1" t="s">
        <v>190</v>
      </c>
      <c r="W2668" s="1">
        <v>60707.0</v>
      </c>
      <c r="Y2668" s="1" t="s">
        <v>23748</v>
      </c>
      <c r="Z2668" s="1">
        <v>1929.0</v>
      </c>
      <c r="AA2668" s="1" t="s">
        <v>192</v>
      </c>
      <c r="AB2668" s="1" t="s">
        <v>193</v>
      </c>
      <c r="AC2668" s="1" t="s">
        <v>23749</v>
      </c>
      <c r="AD2668" s="1" t="s">
        <v>194</v>
      </c>
      <c r="AE2668" s="1" t="s">
        <v>195</v>
      </c>
      <c r="AF2668" s="1" t="s">
        <v>196</v>
      </c>
      <c r="AH2668" s="1" t="s">
        <v>779</v>
      </c>
      <c r="AK2668" s="1">
        <v>8.0</v>
      </c>
      <c r="AL2668" s="1">
        <v>4.0</v>
      </c>
      <c r="AM2668" s="1">
        <v>3.0</v>
      </c>
      <c r="AN2668" s="1">
        <v>0.0</v>
      </c>
      <c r="AO2668" s="1" t="s">
        <v>229</v>
      </c>
      <c r="AQ2668" s="1" t="s">
        <v>198</v>
      </c>
      <c r="AR2668" s="1" t="s">
        <v>192</v>
      </c>
      <c r="AS2668" s="1" t="s">
        <v>199</v>
      </c>
      <c r="AT2668" s="1">
        <v>2.0</v>
      </c>
      <c r="AV2668" s="1" t="s">
        <v>200</v>
      </c>
      <c r="AW2668" s="1">
        <v>4144.52</v>
      </c>
      <c r="AX2668" s="1">
        <v>2013.0</v>
      </c>
      <c r="AZ2668" s="1" t="s">
        <v>200</v>
      </c>
      <c r="BA2668" s="1" t="str">
        <f>"13313190350000"</f>
        <v>13313190350000</v>
      </c>
      <c r="BB2668" s="1" t="s">
        <v>200</v>
      </c>
      <c r="BC2668" s="1">
        <v>1709.0</v>
      </c>
      <c r="BD2668" s="1">
        <v>231500.0</v>
      </c>
      <c r="BE2668" s="2">
        <v>42037.0</v>
      </c>
      <c r="BF2668" s="2" t="s">
        <v>23750</v>
      </c>
      <c r="BG2668" s="1" t="s">
        <v>23751</v>
      </c>
      <c r="BH2668" s="1">
        <v>0.0</v>
      </c>
      <c r="BK2668" s="1" t="s">
        <v>204</v>
      </c>
      <c r="BL2668" s="1" t="str">
        <f>"1704"</f>
        <v>1704</v>
      </c>
      <c r="BM2668" s="1" t="str">
        <f t="shared" si="1744"/>
        <v>0</v>
      </c>
      <c r="BN2668" s="1">
        <v>6800.0</v>
      </c>
      <c r="BO2668" s="1">
        <v>0.0</v>
      </c>
      <c r="BQ2668" s="1">
        <v>299.0</v>
      </c>
      <c r="BR2668" s="1">
        <v>299.0</v>
      </c>
      <c r="BS2668" s="1">
        <v>299.0</v>
      </c>
      <c r="BU2668" s="1" t="s">
        <v>2120</v>
      </c>
      <c r="BV2668" s="1" t="s">
        <v>206</v>
      </c>
      <c r="BW2668" s="1" t="s">
        <v>210</v>
      </c>
      <c r="BY2668" s="1" t="s">
        <v>478</v>
      </c>
      <c r="BZ2668" s="1" t="s">
        <v>206</v>
      </c>
      <c r="CA2668" s="1" t="s">
        <v>210</v>
      </c>
      <c r="CC2668" s="1" t="s">
        <v>300</v>
      </c>
      <c r="CD2668" s="1" t="s">
        <v>206</v>
      </c>
      <c r="CE2668" s="1" t="s">
        <v>210</v>
      </c>
      <c r="CG2668" s="1" t="s">
        <v>212</v>
      </c>
      <c r="CH2668" s="1" t="s">
        <v>206</v>
      </c>
      <c r="CI2668" s="1" t="s">
        <v>207</v>
      </c>
      <c r="CK2668" s="1" t="s">
        <v>214</v>
      </c>
      <c r="CL2668" s="1" t="s">
        <v>209</v>
      </c>
      <c r="CO2668" s="1" t="s">
        <v>214</v>
      </c>
      <c r="CP2668" s="1" t="s">
        <v>209</v>
      </c>
      <c r="CS2668" s="1" t="s">
        <v>663</v>
      </c>
      <c r="CT2668" s="1" t="s">
        <v>206</v>
      </c>
      <c r="CX2668" s="1" t="s">
        <v>204</v>
      </c>
      <c r="DA2668" s="1" t="s">
        <v>200</v>
      </c>
      <c r="DC2668" s="1" t="s">
        <v>785</v>
      </c>
      <c r="DD2668" s="1" t="s">
        <v>786</v>
      </c>
      <c r="DE2668" s="1" t="s">
        <v>229</v>
      </c>
      <c r="DF2668" s="1" t="s">
        <v>4120</v>
      </c>
      <c r="DG2668" s="1" t="s">
        <v>337</v>
      </c>
      <c r="DH2668" s="1" t="s">
        <v>220</v>
      </c>
      <c r="DJ2668" s="1" t="s">
        <v>222</v>
      </c>
      <c r="DK2668" s="1" t="s">
        <v>2097</v>
      </c>
      <c r="DL2668" s="1" t="s">
        <v>986</v>
      </c>
      <c r="DM2668" s="1" t="s">
        <v>1143</v>
      </c>
      <c r="DO2668" s="1" t="s">
        <v>549</v>
      </c>
      <c r="DP2668" s="1" t="s">
        <v>340</v>
      </c>
      <c r="DQ2668" s="1" t="s">
        <v>228</v>
      </c>
      <c r="DR2668" s="1" t="s">
        <v>229</v>
      </c>
      <c r="DV2668" s="1" t="s">
        <v>23752</v>
      </c>
      <c r="DW2668" s="1" t="s">
        <v>279</v>
      </c>
      <c r="DX2668" s="1" t="s">
        <v>234</v>
      </c>
      <c r="DY2668" s="1" t="s">
        <v>1332</v>
      </c>
      <c r="EA2668" s="1" t="s">
        <v>644</v>
      </c>
      <c r="EC2668" s="1" t="s">
        <v>237</v>
      </c>
      <c r="EE2668" s="1" t="s">
        <v>1960</v>
      </c>
      <c r="EG2668" s="1" t="s">
        <v>373</v>
      </c>
      <c r="EH2668" s="1" t="s">
        <v>720</v>
      </c>
      <c r="EI2668" s="1" t="s">
        <v>408</v>
      </c>
      <c r="EL2668" s="1" t="s">
        <v>3594</v>
      </c>
      <c r="EM2668" s="1" t="s">
        <v>206</v>
      </c>
      <c r="EP2668" s="1" t="s">
        <v>4413</v>
      </c>
      <c r="EQ2668" s="1" t="s">
        <v>206</v>
      </c>
      <c r="ET2668" s="1" t="s">
        <v>5562</v>
      </c>
      <c r="EU2668" s="1" t="s">
        <v>206</v>
      </c>
      <c r="EV2668" s="1" t="s">
        <v>210</v>
      </c>
      <c r="EY2668" s="1" t="s">
        <v>238</v>
      </c>
      <c r="FC2668" s="1" t="s">
        <v>238</v>
      </c>
      <c r="FF2668" s="1" t="s">
        <v>239</v>
      </c>
      <c r="FG2668" s="1" t="s">
        <v>192</v>
      </c>
      <c r="FH2668" s="1" t="s">
        <v>192</v>
      </c>
      <c r="FJ2668" s="1" t="s">
        <v>561</v>
      </c>
      <c r="FK2668" s="1" t="s">
        <v>229</v>
      </c>
      <c r="FL2668" s="1" t="s">
        <v>562</v>
      </c>
      <c r="FM2668" s="1">
        <v>4459.0</v>
      </c>
      <c r="FN2668" s="1" t="s">
        <v>1147</v>
      </c>
      <c r="FO2668" s="1" t="s">
        <v>23753</v>
      </c>
      <c r="FP2668" s="1">
        <v>34129.0</v>
      </c>
      <c r="FU2668" s="1" t="s">
        <v>23754</v>
      </c>
      <c r="FV2668" s="1" t="s">
        <v>200</v>
      </c>
      <c r="FW2668" s="1" t="s">
        <v>530</v>
      </c>
      <c r="FX2668" s="1" t="s">
        <v>238</v>
      </c>
      <c r="FZ2668" s="1" t="s">
        <v>229</v>
      </c>
      <c r="GA2668" s="1" t="s">
        <v>291</v>
      </c>
      <c r="GB2668" s="2">
        <v>42082.0</v>
      </c>
      <c r="GC2668" s="1" t="s">
        <v>23755</v>
      </c>
    </row>
    <row r="2669">
      <c r="A2669" s="1">
        <v>156900.0</v>
      </c>
      <c r="B2669" s="1" t="s">
        <v>185</v>
      </c>
      <c r="C2669" s="1" t="str">
        <f>"08824927"</f>
        <v>08824927</v>
      </c>
      <c r="D2669" s="1" t="s">
        <v>186</v>
      </c>
      <c r="F2669" s="1" t="str">
        <f>"8048"</f>
        <v>8048</v>
      </c>
      <c r="G2669" s="2">
        <v>42031.0</v>
      </c>
      <c r="H2669" s="1">
        <v>162500.0</v>
      </c>
      <c r="I2669" s="1">
        <v>171.0</v>
      </c>
      <c r="J2669" s="1">
        <v>156900.0</v>
      </c>
      <c r="K2669" s="2">
        <v>42103.0</v>
      </c>
      <c r="L2669" s="1">
        <v>73.0</v>
      </c>
      <c r="M2669" s="2">
        <v>42103.0</v>
      </c>
      <c r="N2669" s="1" t="s">
        <v>187</v>
      </c>
      <c r="O2669" s="2">
        <v>42142.0</v>
      </c>
      <c r="P2669" s="1">
        <v>236616.0</v>
      </c>
      <c r="Q2669" s="1">
        <v>61080.0</v>
      </c>
      <c r="R2669" s="1">
        <v>3.5</v>
      </c>
      <c r="S2669" s="1">
        <v>8912.0</v>
      </c>
      <c r="T2669" s="1" t="s">
        <v>6895</v>
      </c>
      <c r="U2669" s="1" t="s">
        <v>189</v>
      </c>
      <c r="V2669" s="1" t="s">
        <v>190</v>
      </c>
      <c r="W2669" s="1">
        <v>60617.0</v>
      </c>
      <c r="Y2669" s="1" t="s">
        <v>23756</v>
      </c>
      <c r="Z2669" s="1">
        <v>1949.0</v>
      </c>
      <c r="AA2669" s="1" t="s">
        <v>192</v>
      </c>
      <c r="AB2669" s="1" t="s">
        <v>193</v>
      </c>
      <c r="AD2669" s="1" t="s">
        <v>194</v>
      </c>
      <c r="AE2669" s="1" t="s">
        <v>195</v>
      </c>
      <c r="AF2669" s="1" t="s">
        <v>637</v>
      </c>
      <c r="AH2669" s="1">
        <v>3750.0</v>
      </c>
      <c r="AI2669" s="1">
        <v>0.0861</v>
      </c>
      <c r="AK2669" s="1">
        <v>7.0</v>
      </c>
      <c r="AL2669" s="1">
        <v>3.0</v>
      </c>
      <c r="AM2669" s="1">
        <v>2.0</v>
      </c>
      <c r="AN2669" s="1">
        <v>0.0</v>
      </c>
      <c r="AO2669" s="1" t="s">
        <v>229</v>
      </c>
      <c r="AQ2669" s="1" t="s">
        <v>198</v>
      </c>
      <c r="AR2669" s="1" t="s">
        <v>192</v>
      </c>
      <c r="AS2669" s="1" t="s">
        <v>199</v>
      </c>
      <c r="AT2669" s="1">
        <v>2.0</v>
      </c>
      <c r="AV2669" s="1" t="s">
        <v>200</v>
      </c>
      <c r="AW2669" s="1">
        <v>1626.19</v>
      </c>
      <c r="AX2669" s="1">
        <v>2013.0</v>
      </c>
      <c r="AZ2669" s="1" t="s">
        <v>200</v>
      </c>
      <c r="BA2669" s="1" t="str">
        <f>"25011230250000"</f>
        <v>25011230250000</v>
      </c>
      <c r="BC2669" s="1">
        <v>1200.0</v>
      </c>
      <c r="BD2669" s="1">
        <v>156900.0</v>
      </c>
      <c r="BE2669" s="2">
        <v>42031.0</v>
      </c>
      <c r="BF2669" s="2" t="s">
        <v>23757</v>
      </c>
      <c r="BH2669" s="1">
        <v>0.0</v>
      </c>
      <c r="BK2669" s="1" t="s">
        <v>204</v>
      </c>
      <c r="BL2669" s="1" t="str">
        <f>"0"</f>
        <v>0</v>
      </c>
      <c r="BM2669" s="1" t="str">
        <f>"1900"</f>
        <v>1900</v>
      </c>
      <c r="BN2669" s="1">
        <v>0.0</v>
      </c>
      <c r="BO2669" s="1">
        <v>8912.0</v>
      </c>
      <c r="BQ2669" s="1">
        <v>299.0</v>
      </c>
      <c r="BR2669" s="1">
        <v>299.0</v>
      </c>
      <c r="BS2669" s="1">
        <v>299.0</v>
      </c>
      <c r="BU2669" s="1" t="s">
        <v>1426</v>
      </c>
      <c r="BV2669" s="1" t="s">
        <v>206</v>
      </c>
      <c r="BW2669" s="1" t="s">
        <v>207</v>
      </c>
      <c r="BY2669" s="1" t="s">
        <v>392</v>
      </c>
      <c r="BZ2669" s="1" t="s">
        <v>42</v>
      </c>
      <c r="CD2669" s="1" t="s">
        <v>204</v>
      </c>
      <c r="CG2669" s="1" t="s">
        <v>212</v>
      </c>
      <c r="CH2669" s="1" t="s">
        <v>206</v>
      </c>
      <c r="CI2669" s="1" t="s">
        <v>207</v>
      </c>
      <c r="CK2669" s="1" t="s">
        <v>212</v>
      </c>
      <c r="CL2669" s="1" t="s">
        <v>206</v>
      </c>
      <c r="CM2669" s="1" t="s">
        <v>207</v>
      </c>
      <c r="CO2669" s="1" t="s">
        <v>495</v>
      </c>
      <c r="CP2669" s="1" t="s">
        <v>206</v>
      </c>
      <c r="CQ2669" s="1" t="s">
        <v>207</v>
      </c>
      <c r="CS2669" s="1" t="s">
        <v>454</v>
      </c>
      <c r="CT2669" s="1" t="s">
        <v>206</v>
      </c>
      <c r="CU2669" s="1" t="s">
        <v>268</v>
      </c>
      <c r="CW2669" s="1" t="s">
        <v>3307</v>
      </c>
      <c r="CX2669" s="1" t="s">
        <v>42</v>
      </c>
      <c r="DA2669" s="1" t="s">
        <v>200</v>
      </c>
      <c r="DC2669" s="1" t="s">
        <v>702</v>
      </c>
      <c r="DE2669" s="1" t="s">
        <v>273</v>
      </c>
      <c r="DF2669" s="1" t="s">
        <v>219</v>
      </c>
      <c r="DH2669" s="1" t="s">
        <v>365</v>
      </c>
      <c r="DI2669" s="1" t="s">
        <v>366</v>
      </c>
      <c r="DJ2669" s="1" t="s">
        <v>222</v>
      </c>
      <c r="DL2669" s="1" t="s">
        <v>224</v>
      </c>
      <c r="DM2669" s="1" t="s">
        <v>229</v>
      </c>
      <c r="DQ2669" s="1" t="s">
        <v>228</v>
      </c>
      <c r="DR2669" s="1" t="s">
        <v>229</v>
      </c>
      <c r="DV2669" s="1" t="s">
        <v>232</v>
      </c>
      <c r="DW2669" s="1" t="s">
        <v>279</v>
      </c>
      <c r="DX2669" s="1" t="s">
        <v>234</v>
      </c>
      <c r="DY2669" s="1" t="s">
        <v>553</v>
      </c>
      <c r="EA2669" s="1" t="s">
        <v>683</v>
      </c>
      <c r="EC2669" s="1" t="s">
        <v>685</v>
      </c>
      <c r="EM2669" s="1" t="s">
        <v>238</v>
      </c>
      <c r="EQ2669" s="1" t="s">
        <v>238</v>
      </c>
      <c r="EU2669" s="1" t="s">
        <v>238</v>
      </c>
      <c r="EY2669" s="1" t="s">
        <v>238</v>
      </c>
      <c r="FC2669" s="1" t="s">
        <v>238</v>
      </c>
      <c r="FF2669" s="1" t="s">
        <v>239</v>
      </c>
      <c r="FG2669" s="1" t="s">
        <v>192</v>
      </c>
      <c r="FH2669" s="1" t="s">
        <v>192</v>
      </c>
      <c r="FJ2669" s="1" t="s">
        <v>648</v>
      </c>
      <c r="FK2669" s="1" t="s">
        <v>229</v>
      </c>
      <c r="FL2669" s="1" t="s">
        <v>649</v>
      </c>
      <c r="FM2669" s="1">
        <v>60296.0</v>
      </c>
      <c r="FN2669" s="1" t="s">
        <v>650</v>
      </c>
      <c r="FO2669" s="1" t="s">
        <v>651</v>
      </c>
      <c r="FP2669" s="1">
        <v>602837.0</v>
      </c>
      <c r="FQ2669" s="1" t="s">
        <v>652</v>
      </c>
      <c r="FR2669" s="1">
        <v>602442.0</v>
      </c>
      <c r="FU2669" s="1" t="s">
        <v>1438</v>
      </c>
      <c r="FV2669" s="1" t="s">
        <v>200</v>
      </c>
      <c r="FW2669" s="1" t="s">
        <v>530</v>
      </c>
      <c r="FX2669" s="1" t="s">
        <v>655</v>
      </c>
      <c r="FZ2669" s="1" t="s">
        <v>229</v>
      </c>
      <c r="GA2669" s="1" t="s">
        <v>291</v>
      </c>
      <c r="GB2669" s="2">
        <v>42142.0</v>
      </c>
      <c r="GC2669" s="1" t="s">
        <v>723</v>
      </c>
    </row>
    <row r="2670">
      <c r="A2670" s="1">
        <v>430000.0</v>
      </c>
      <c r="B2670" s="1" t="s">
        <v>185</v>
      </c>
      <c r="C2670" s="1" t="str">
        <f>"08833150"</f>
        <v>08833150</v>
      </c>
      <c r="D2670" s="1" t="s">
        <v>186</v>
      </c>
      <c r="F2670" s="1" t="str">
        <f>"174"</f>
        <v>174</v>
      </c>
      <c r="G2670" s="2">
        <v>42041.0</v>
      </c>
      <c r="H2670" s="1">
        <v>450000.0</v>
      </c>
      <c r="I2670" s="1">
        <v>226.0</v>
      </c>
      <c r="J2670" s="1">
        <v>450000.0</v>
      </c>
      <c r="K2670" s="2">
        <v>42075.0</v>
      </c>
      <c r="L2670" s="1">
        <v>35.0</v>
      </c>
      <c r="M2670" s="2">
        <v>42075.0</v>
      </c>
      <c r="N2670" s="1" t="s">
        <v>187</v>
      </c>
      <c r="O2670" s="2">
        <v>42122.0</v>
      </c>
      <c r="P2670" s="1">
        <v>55017.0</v>
      </c>
      <c r="Q2670" s="1">
        <v>5600.0</v>
      </c>
      <c r="S2670" s="1" t="s">
        <v>23758</v>
      </c>
      <c r="T2670" s="1" t="s">
        <v>23759</v>
      </c>
      <c r="U2670" s="1" t="s">
        <v>420</v>
      </c>
      <c r="V2670" s="1" t="s">
        <v>1200</v>
      </c>
      <c r="W2670" s="1">
        <v>60175.0</v>
      </c>
      <c r="Y2670" s="1" t="s">
        <v>23760</v>
      </c>
      <c r="Z2670" s="1">
        <v>1988.0</v>
      </c>
      <c r="AA2670" s="1" t="s">
        <v>200</v>
      </c>
      <c r="AB2670" s="1" t="s">
        <v>193</v>
      </c>
      <c r="AD2670" s="1" t="s">
        <v>1089</v>
      </c>
      <c r="AE2670" s="1" t="s">
        <v>325</v>
      </c>
      <c r="AF2670" s="1" t="s">
        <v>1203</v>
      </c>
      <c r="AH2670" s="1" t="s">
        <v>23761</v>
      </c>
      <c r="AI2670" s="1">
        <v>1.0</v>
      </c>
      <c r="AK2670" s="1">
        <v>12.0</v>
      </c>
      <c r="AL2670" s="1">
        <v>4.0</v>
      </c>
      <c r="AM2670" s="1">
        <v>3.0</v>
      </c>
      <c r="AN2670" s="1">
        <v>1.0</v>
      </c>
      <c r="AO2670" s="1" t="s">
        <v>198</v>
      </c>
      <c r="AP2670" s="1">
        <v>1.0</v>
      </c>
      <c r="AQ2670" s="1" t="s">
        <v>198</v>
      </c>
      <c r="AR2670" s="1" t="s">
        <v>200</v>
      </c>
      <c r="AS2670" s="1" t="s">
        <v>199</v>
      </c>
      <c r="AT2670" s="1">
        <v>3.0</v>
      </c>
      <c r="AV2670" s="1" t="s">
        <v>200</v>
      </c>
      <c r="AW2670" s="1">
        <v>11330.0</v>
      </c>
      <c r="AX2670" s="1">
        <v>2013.0</v>
      </c>
      <c r="AY2670" s="1" t="s">
        <v>387</v>
      </c>
      <c r="AZ2670" s="1" t="s">
        <v>200</v>
      </c>
      <c r="BA2670" s="1" t="str">
        <f>"0919353002"</f>
        <v>0919353002</v>
      </c>
      <c r="BC2670" s="1">
        <v>4000.0</v>
      </c>
      <c r="BD2670" s="1">
        <v>430000.0</v>
      </c>
      <c r="BE2670" s="2">
        <v>42041.0</v>
      </c>
      <c r="BF2670" s="2" t="s">
        <v>23762</v>
      </c>
      <c r="BG2670" s="1" t="s">
        <v>6840</v>
      </c>
      <c r="BH2670" s="1">
        <v>0.0</v>
      </c>
      <c r="BI2670" s="1" t="s">
        <v>2199</v>
      </c>
      <c r="BJ2670" s="1" t="s">
        <v>2144</v>
      </c>
      <c r="BK2670" s="1" t="s">
        <v>204</v>
      </c>
      <c r="BL2670" s="1" t="str">
        <f>"4"</f>
        <v>4</v>
      </c>
      <c r="BM2670" s="1" t="str">
        <f t="shared" ref="BM2670:BM2673" si="1745">"0"</f>
        <v>0</v>
      </c>
      <c r="BN2670" s="1">
        <v>35.0</v>
      </c>
      <c r="BO2670" s="1">
        <v>0.0</v>
      </c>
      <c r="BQ2670" s="1">
        <v>303.0</v>
      </c>
      <c r="BR2670" s="1">
        <v>303.0</v>
      </c>
      <c r="BS2670" s="1">
        <v>303.0</v>
      </c>
      <c r="BU2670" s="1" t="s">
        <v>544</v>
      </c>
      <c r="BV2670" s="1" t="s">
        <v>206</v>
      </c>
      <c r="BW2670" s="1" t="s">
        <v>210</v>
      </c>
      <c r="BX2670" s="1" t="s">
        <v>239</v>
      </c>
      <c r="BY2670" s="1" t="s">
        <v>19089</v>
      </c>
      <c r="BZ2670" s="1" t="s">
        <v>209</v>
      </c>
      <c r="CA2670" s="1" t="s">
        <v>210</v>
      </c>
      <c r="CB2670" s="1" t="s">
        <v>239</v>
      </c>
      <c r="CC2670" s="1" t="s">
        <v>361</v>
      </c>
      <c r="CD2670" s="1" t="s">
        <v>206</v>
      </c>
      <c r="CE2670" s="1" t="s">
        <v>207</v>
      </c>
      <c r="CF2670" s="1" t="s">
        <v>239</v>
      </c>
      <c r="CG2670" s="1" t="s">
        <v>758</v>
      </c>
      <c r="CH2670" s="1" t="s">
        <v>209</v>
      </c>
      <c r="CI2670" s="1" t="s">
        <v>210</v>
      </c>
      <c r="CJ2670" s="1" t="s">
        <v>239</v>
      </c>
      <c r="CK2670" s="1" t="s">
        <v>393</v>
      </c>
      <c r="CL2670" s="1" t="s">
        <v>209</v>
      </c>
      <c r="CM2670" s="1" t="s">
        <v>210</v>
      </c>
      <c r="CN2670" s="1" t="s">
        <v>239</v>
      </c>
      <c r="CO2670" s="1" t="s">
        <v>331</v>
      </c>
      <c r="CP2670" s="1" t="s">
        <v>209</v>
      </c>
      <c r="CQ2670" s="1" t="s">
        <v>210</v>
      </c>
      <c r="CR2670" s="1" t="s">
        <v>239</v>
      </c>
      <c r="CS2670" s="1" t="s">
        <v>4063</v>
      </c>
      <c r="CT2670" s="1" t="s">
        <v>206</v>
      </c>
      <c r="CU2670" s="1" t="s">
        <v>2615</v>
      </c>
      <c r="CV2670" s="1" t="s">
        <v>239</v>
      </c>
      <c r="CW2670" s="1" t="s">
        <v>4296</v>
      </c>
      <c r="CX2670" s="1" t="s">
        <v>206</v>
      </c>
      <c r="CY2670" s="1" t="s">
        <v>210</v>
      </c>
      <c r="CZ2670" s="1" t="s">
        <v>239</v>
      </c>
      <c r="DA2670" s="1" t="s">
        <v>200</v>
      </c>
      <c r="DC2670" s="1" t="s">
        <v>305</v>
      </c>
      <c r="DD2670" s="1" t="s">
        <v>1838</v>
      </c>
      <c r="DE2670" s="1" t="s">
        <v>273</v>
      </c>
      <c r="DF2670" s="1" t="s">
        <v>219</v>
      </c>
      <c r="DG2670" s="1" t="s">
        <v>12455</v>
      </c>
      <c r="DH2670" s="1" t="s">
        <v>856</v>
      </c>
      <c r="DI2670" s="1" t="s">
        <v>9434</v>
      </c>
      <c r="DJ2670" s="1" t="s">
        <v>857</v>
      </c>
      <c r="DK2670" s="1" t="s">
        <v>1555</v>
      </c>
      <c r="DL2670" s="1" t="s">
        <v>224</v>
      </c>
      <c r="DM2670" s="1" t="s">
        <v>338</v>
      </c>
      <c r="DN2670" s="1" t="s">
        <v>399</v>
      </c>
      <c r="DO2670" s="1" t="s">
        <v>1556</v>
      </c>
      <c r="DP2670" s="1" t="s">
        <v>340</v>
      </c>
      <c r="DQ2670" s="1" t="s">
        <v>931</v>
      </c>
      <c r="DR2670" s="1" t="s">
        <v>229</v>
      </c>
      <c r="DS2670" s="1" t="s">
        <v>230</v>
      </c>
      <c r="DU2670" s="1" t="s">
        <v>8669</v>
      </c>
      <c r="DV2670" s="1" t="s">
        <v>23763</v>
      </c>
      <c r="DW2670" s="1" t="s">
        <v>1820</v>
      </c>
      <c r="DX2670" s="1" t="s">
        <v>234</v>
      </c>
      <c r="DY2670" s="1" t="s">
        <v>23764</v>
      </c>
      <c r="DZ2670" s="1" t="s">
        <v>23765</v>
      </c>
      <c r="EB2670" s="1" t="s">
        <v>345</v>
      </c>
      <c r="EC2670" s="1" t="s">
        <v>237</v>
      </c>
      <c r="ED2670" s="1" t="s">
        <v>1406</v>
      </c>
      <c r="EG2670" s="1" t="s">
        <v>494</v>
      </c>
      <c r="EI2670" s="1" t="s">
        <v>451</v>
      </c>
      <c r="EJ2670" s="1" t="s">
        <v>2023</v>
      </c>
      <c r="EK2670" s="1" t="s">
        <v>1121</v>
      </c>
      <c r="EL2670" s="1" t="s">
        <v>1483</v>
      </c>
      <c r="EM2670" s="1" t="s">
        <v>206</v>
      </c>
      <c r="EN2670" s="1" t="s">
        <v>207</v>
      </c>
      <c r="EO2670" s="1" t="s">
        <v>239</v>
      </c>
      <c r="EQ2670" s="1" t="s">
        <v>238</v>
      </c>
      <c r="ET2670" s="1" t="s">
        <v>361</v>
      </c>
      <c r="EU2670" s="1" t="s">
        <v>42</v>
      </c>
      <c r="EV2670" s="1" t="s">
        <v>207</v>
      </c>
      <c r="EW2670" s="1" t="s">
        <v>239</v>
      </c>
      <c r="EX2670" s="1" t="s">
        <v>1000</v>
      </c>
      <c r="EY2670" s="1" t="s">
        <v>42</v>
      </c>
      <c r="EZ2670" s="1" t="s">
        <v>207</v>
      </c>
      <c r="FB2670" s="1" t="s">
        <v>329</v>
      </c>
      <c r="FC2670" s="1" t="s">
        <v>209</v>
      </c>
      <c r="FD2670" s="1" t="s">
        <v>210</v>
      </c>
      <c r="FE2670" s="1" t="s">
        <v>239</v>
      </c>
      <c r="FF2670" s="1" t="s">
        <v>239</v>
      </c>
      <c r="FG2670" s="1" t="s">
        <v>192</v>
      </c>
      <c r="FH2670" s="1" t="s">
        <v>192</v>
      </c>
      <c r="FJ2670" s="1" t="s">
        <v>1469</v>
      </c>
      <c r="FK2670" s="1" t="s">
        <v>229</v>
      </c>
      <c r="FL2670" s="1" t="s">
        <v>2786</v>
      </c>
      <c r="FM2670" s="1">
        <v>25266.0</v>
      </c>
      <c r="FN2670" s="1" t="s">
        <v>2787</v>
      </c>
      <c r="FO2670" s="1" t="s">
        <v>2788</v>
      </c>
      <c r="FP2670" s="1">
        <v>231049.0</v>
      </c>
      <c r="FQ2670" s="1" t="s">
        <v>2789</v>
      </c>
      <c r="FU2670" s="1" t="s">
        <v>2790</v>
      </c>
      <c r="FV2670" s="1" t="s">
        <v>200</v>
      </c>
      <c r="FW2670" s="1" t="s">
        <v>290</v>
      </c>
      <c r="FZ2670" s="1" t="s">
        <v>229</v>
      </c>
      <c r="GA2670" s="1" t="s">
        <v>291</v>
      </c>
      <c r="GB2670" s="2">
        <v>42123.0</v>
      </c>
      <c r="GC2670" s="1" t="s">
        <v>23766</v>
      </c>
    </row>
    <row r="2671">
      <c r="A2671" s="1">
        <v>340000.0</v>
      </c>
      <c r="B2671" s="1" t="s">
        <v>185</v>
      </c>
      <c r="C2671" s="1" t="str">
        <f>"08824672"</f>
        <v>08824672</v>
      </c>
      <c r="D2671" s="1" t="s">
        <v>186</v>
      </c>
      <c r="F2671" s="1" t="str">
        <f>"8014"</f>
        <v>8014</v>
      </c>
      <c r="G2671" s="2">
        <v>42030.0</v>
      </c>
      <c r="H2671" s="1">
        <v>359900.0</v>
      </c>
      <c r="I2671" s="1">
        <v>39.0</v>
      </c>
      <c r="J2671" s="1">
        <v>344900.0</v>
      </c>
      <c r="K2671" s="2">
        <v>42066.0</v>
      </c>
      <c r="L2671" s="1">
        <v>39.0</v>
      </c>
      <c r="M2671" s="2">
        <v>42066.0</v>
      </c>
      <c r="N2671" s="1" t="s">
        <v>187</v>
      </c>
      <c r="O2671" s="2">
        <v>42103.0</v>
      </c>
      <c r="P2671" s="1">
        <v>115970.0</v>
      </c>
      <c r="Q2671" s="1">
        <v>18499.0</v>
      </c>
      <c r="R2671" s="1">
        <v>1500.0</v>
      </c>
      <c r="S2671" s="1">
        <v>4940.0</v>
      </c>
      <c r="T2671" s="1" t="s">
        <v>5076</v>
      </c>
      <c r="U2671" s="1" t="s">
        <v>189</v>
      </c>
      <c r="V2671" s="1" t="s">
        <v>190</v>
      </c>
      <c r="W2671" s="1">
        <v>60630.0</v>
      </c>
      <c r="Y2671" s="1" t="s">
        <v>23767</v>
      </c>
      <c r="Z2671" s="1">
        <v>1918.0</v>
      </c>
      <c r="AA2671" s="1" t="s">
        <v>192</v>
      </c>
      <c r="AB2671" s="1" t="s">
        <v>193</v>
      </c>
      <c r="AD2671" s="1" t="s">
        <v>194</v>
      </c>
      <c r="AE2671" s="1" t="s">
        <v>195</v>
      </c>
      <c r="AF2671" s="1" t="s">
        <v>196</v>
      </c>
      <c r="AH2671" s="1" t="s">
        <v>3621</v>
      </c>
      <c r="AI2671" s="1">
        <v>0.0916</v>
      </c>
      <c r="AK2671" s="1">
        <v>8.0</v>
      </c>
      <c r="AL2671" s="1">
        <v>4.0</v>
      </c>
      <c r="AM2671" s="1">
        <v>2.0</v>
      </c>
      <c r="AN2671" s="1">
        <v>0.0</v>
      </c>
      <c r="AO2671" s="1" t="s">
        <v>229</v>
      </c>
      <c r="AP2671" s="1">
        <v>0.0</v>
      </c>
      <c r="AQ2671" s="1" t="s">
        <v>198</v>
      </c>
      <c r="AR2671" s="1" t="s">
        <v>200</v>
      </c>
      <c r="AS2671" s="1" t="s">
        <v>199</v>
      </c>
      <c r="AT2671" s="1">
        <v>2.0</v>
      </c>
      <c r="AV2671" s="1" t="s">
        <v>200</v>
      </c>
      <c r="AW2671" s="1">
        <v>3530.05</v>
      </c>
      <c r="AX2671" s="1">
        <v>2013.0</v>
      </c>
      <c r="AY2671" s="1" t="s">
        <v>387</v>
      </c>
      <c r="AZ2671" s="1" t="s">
        <v>545</v>
      </c>
      <c r="BA2671" s="1" t="str">
        <f>"13103220270000"</f>
        <v>13103220270000</v>
      </c>
      <c r="BC2671" s="1">
        <v>1435.0</v>
      </c>
      <c r="BD2671" s="1">
        <v>340000.0</v>
      </c>
      <c r="BE2671" s="2">
        <v>42028.0</v>
      </c>
      <c r="BF2671" s="2" t="s">
        <v>23768</v>
      </c>
      <c r="BH2671" s="1">
        <v>0.0</v>
      </c>
      <c r="BK2671" s="1" t="s">
        <v>204</v>
      </c>
      <c r="BL2671" s="1" t="str">
        <f>"4940"</f>
        <v>4940</v>
      </c>
      <c r="BM2671" s="1" t="str">
        <f t="shared" si="1745"/>
        <v>0</v>
      </c>
      <c r="BN2671" s="1">
        <v>4400.0</v>
      </c>
      <c r="BO2671" s="1">
        <v>0.0</v>
      </c>
      <c r="BQ2671" s="1">
        <v>299.0</v>
      </c>
      <c r="BR2671" s="1">
        <v>299.0</v>
      </c>
      <c r="BS2671" s="1">
        <v>299.0</v>
      </c>
      <c r="BU2671" s="1" t="s">
        <v>3989</v>
      </c>
      <c r="BV2671" s="1" t="s">
        <v>206</v>
      </c>
      <c r="BW2671" s="1" t="s">
        <v>207</v>
      </c>
      <c r="BY2671" s="1" t="s">
        <v>332</v>
      </c>
      <c r="BZ2671" s="1" t="s">
        <v>206</v>
      </c>
      <c r="CA2671" s="1" t="s">
        <v>207</v>
      </c>
      <c r="CC2671" s="1" t="s">
        <v>211</v>
      </c>
      <c r="CD2671" s="1" t="s">
        <v>206</v>
      </c>
      <c r="CE2671" s="1" t="s">
        <v>207</v>
      </c>
      <c r="CG2671" s="1" t="s">
        <v>264</v>
      </c>
      <c r="CH2671" s="1" t="s">
        <v>206</v>
      </c>
      <c r="CI2671" s="1" t="s">
        <v>207</v>
      </c>
      <c r="CK2671" s="1" t="s">
        <v>215</v>
      </c>
      <c r="CL2671" s="1" t="s">
        <v>209</v>
      </c>
      <c r="CM2671" s="1" t="s">
        <v>210</v>
      </c>
      <c r="CO2671" s="1" t="s">
        <v>215</v>
      </c>
      <c r="CP2671" s="1" t="s">
        <v>209</v>
      </c>
      <c r="CQ2671" s="1" t="s">
        <v>210</v>
      </c>
      <c r="CS2671" s="1" t="s">
        <v>264</v>
      </c>
      <c r="CT2671" s="1" t="s">
        <v>206</v>
      </c>
      <c r="CU2671" s="1" t="s">
        <v>617</v>
      </c>
      <c r="CX2671" s="1" t="s">
        <v>204</v>
      </c>
      <c r="DA2671" s="1" t="s">
        <v>200</v>
      </c>
      <c r="DC2671" s="1" t="s">
        <v>216</v>
      </c>
      <c r="DD2671" s="1" t="s">
        <v>2094</v>
      </c>
      <c r="DE2671" s="1" t="s">
        <v>273</v>
      </c>
      <c r="DF2671" s="1" t="s">
        <v>219</v>
      </c>
      <c r="DH2671" s="1" t="s">
        <v>365</v>
      </c>
      <c r="DI2671" s="1" t="s">
        <v>23769</v>
      </c>
      <c r="DJ2671" s="1" t="s">
        <v>222</v>
      </c>
      <c r="DL2671" s="1" t="s">
        <v>858</v>
      </c>
      <c r="DM2671" s="1" t="s">
        <v>229</v>
      </c>
      <c r="DQ2671" s="1" t="s">
        <v>228</v>
      </c>
      <c r="DR2671" s="1" t="s">
        <v>229</v>
      </c>
      <c r="DV2671" s="1" t="s">
        <v>341</v>
      </c>
      <c r="DW2671" s="1" t="s">
        <v>667</v>
      </c>
      <c r="DX2671" s="1" t="s">
        <v>234</v>
      </c>
      <c r="EC2671" s="1" t="s">
        <v>237</v>
      </c>
      <c r="EG2671" s="1" t="s">
        <v>341</v>
      </c>
      <c r="EL2671" s="1" t="s">
        <v>5490</v>
      </c>
      <c r="EM2671" s="1" t="s">
        <v>209</v>
      </c>
      <c r="EN2671" s="1" t="s">
        <v>207</v>
      </c>
      <c r="EQ2671" s="1" t="s">
        <v>238</v>
      </c>
      <c r="EU2671" s="1" t="s">
        <v>238</v>
      </c>
      <c r="EY2671" s="1" t="s">
        <v>238</v>
      </c>
      <c r="FC2671" s="1" t="s">
        <v>238</v>
      </c>
      <c r="FF2671" s="1" t="s">
        <v>239</v>
      </c>
      <c r="FG2671" s="1" t="s">
        <v>192</v>
      </c>
      <c r="FH2671" s="1" t="s">
        <v>192</v>
      </c>
      <c r="FJ2671" s="1" t="s">
        <v>7339</v>
      </c>
      <c r="FK2671" s="1" t="s">
        <v>229</v>
      </c>
      <c r="FL2671" s="1" t="s">
        <v>7366</v>
      </c>
      <c r="FM2671" s="1">
        <v>84674.0</v>
      </c>
      <c r="FN2671" s="1" t="s">
        <v>7367</v>
      </c>
      <c r="FO2671" s="1" t="s">
        <v>7647</v>
      </c>
      <c r="FP2671" s="1">
        <v>178784.0</v>
      </c>
      <c r="FQ2671" s="1" t="s">
        <v>7648</v>
      </c>
      <c r="FR2671" s="1">
        <v>841844.0</v>
      </c>
      <c r="FU2671" s="1" t="s">
        <v>17294</v>
      </c>
      <c r="FV2671" s="1" t="s">
        <v>200</v>
      </c>
      <c r="FW2671" s="1" t="s">
        <v>530</v>
      </c>
      <c r="FX2671" s="1" t="s">
        <v>238</v>
      </c>
      <c r="FZ2671" s="1" t="s">
        <v>229</v>
      </c>
      <c r="GA2671" s="1" t="s">
        <v>291</v>
      </c>
      <c r="GB2671" s="2">
        <v>42106.0</v>
      </c>
      <c r="GC2671" s="1" t="s">
        <v>23770</v>
      </c>
    </row>
    <row r="2672">
      <c r="A2672" s="1">
        <v>645000.0</v>
      </c>
      <c r="B2672" s="1" t="s">
        <v>185</v>
      </c>
      <c r="C2672" s="1" t="str">
        <f>"08831057"</f>
        <v>08831057</v>
      </c>
      <c r="D2672" s="1" t="s">
        <v>186</v>
      </c>
      <c r="F2672" s="1" t="str">
        <f t="shared" ref="F2672:F2673" si="1746">"8022"</f>
        <v>8022</v>
      </c>
      <c r="G2672" s="2">
        <v>42039.0</v>
      </c>
      <c r="H2672" s="1">
        <v>675000.0</v>
      </c>
      <c r="I2672" s="1">
        <v>55.0</v>
      </c>
      <c r="J2672" s="1">
        <v>675000.0</v>
      </c>
      <c r="K2672" s="2">
        <v>42076.0</v>
      </c>
      <c r="L2672" s="1">
        <v>38.0</v>
      </c>
      <c r="M2672" s="2">
        <v>42076.0</v>
      </c>
      <c r="N2672" s="1" t="s">
        <v>187</v>
      </c>
      <c r="O2672" s="2">
        <v>42129.0</v>
      </c>
      <c r="P2672" s="1">
        <v>874115.0</v>
      </c>
      <c r="Q2672" s="1">
        <v>85850.0</v>
      </c>
      <c r="R2672" s="1">
        <v>8117.0</v>
      </c>
      <c r="S2672" s="1">
        <v>1800.0</v>
      </c>
      <c r="T2672" s="1" t="s">
        <v>15861</v>
      </c>
      <c r="U2672" s="1" t="s">
        <v>189</v>
      </c>
      <c r="V2672" s="1" t="s">
        <v>190</v>
      </c>
      <c r="W2672" s="1">
        <v>60647.0</v>
      </c>
      <c r="Y2672" s="1" t="s">
        <v>23771</v>
      </c>
      <c r="Z2672" s="1">
        <v>2000.0</v>
      </c>
      <c r="AA2672" s="1" t="s">
        <v>200</v>
      </c>
      <c r="AB2672" s="1" t="s">
        <v>193</v>
      </c>
      <c r="AD2672" s="1" t="s">
        <v>194</v>
      </c>
      <c r="AE2672" s="1" t="s">
        <v>195</v>
      </c>
      <c r="AF2672" s="1" t="s">
        <v>827</v>
      </c>
      <c r="AH2672" s="1" t="s">
        <v>23772</v>
      </c>
      <c r="AK2672" s="1">
        <v>8.0</v>
      </c>
      <c r="AL2672" s="1">
        <v>4.0</v>
      </c>
      <c r="AM2672" s="1">
        <v>3.0</v>
      </c>
      <c r="AN2672" s="1">
        <v>1.0</v>
      </c>
      <c r="AO2672" s="1" t="s">
        <v>198</v>
      </c>
      <c r="AP2672" s="1">
        <v>2.0</v>
      </c>
      <c r="AQ2672" s="1" t="s">
        <v>472</v>
      </c>
      <c r="AR2672" s="1" t="s">
        <v>192</v>
      </c>
      <c r="AS2672" s="1" t="s">
        <v>199</v>
      </c>
      <c r="AT2672" s="1">
        <v>2.0</v>
      </c>
      <c r="AV2672" s="1" t="s">
        <v>200</v>
      </c>
      <c r="AW2672" s="1">
        <v>7201.41</v>
      </c>
      <c r="AX2672" s="1">
        <v>2013.0</v>
      </c>
      <c r="AY2672" s="1" t="s">
        <v>387</v>
      </c>
      <c r="AZ2672" s="1" t="s">
        <v>200</v>
      </c>
      <c r="BA2672" s="1" t="str">
        <f>"13364100470000"</f>
        <v>13364100470000</v>
      </c>
      <c r="BB2672" s="1" t="s">
        <v>200</v>
      </c>
      <c r="BC2672" s="1">
        <v>3400.0</v>
      </c>
      <c r="BD2672" s="1">
        <v>645000.0</v>
      </c>
      <c r="BE2672" s="2">
        <v>42039.0</v>
      </c>
      <c r="BF2672" s="2" t="s">
        <v>23773</v>
      </c>
      <c r="BG2672" s="1" t="s">
        <v>19404</v>
      </c>
      <c r="BH2672" s="1">
        <v>0.0</v>
      </c>
      <c r="BJ2672" s="1" t="s">
        <v>13909</v>
      </c>
      <c r="BK2672" s="1" t="s">
        <v>204</v>
      </c>
      <c r="BL2672" s="1" t="str">
        <f>"1800"</f>
        <v>1800</v>
      </c>
      <c r="BM2672" s="1" t="str">
        <f t="shared" si="1745"/>
        <v>0</v>
      </c>
      <c r="BN2672" s="1">
        <v>2700.0</v>
      </c>
      <c r="BO2672" s="1">
        <v>0.0</v>
      </c>
      <c r="BQ2672" s="1">
        <v>299.0</v>
      </c>
      <c r="BR2672" s="1">
        <v>299.0</v>
      </c>
      <c r="BS2672" s="1">
        <v>299.0</v>
      </c>
      <c r="BU2672" s="1" t="s">
        <v>334</v>
      </c>
      <c r="BV2672" s="1" t="s">
        <v>206</v>
      </c>
      <c r="BW2672" s="1" t="s">
        <v>207</v>
      </c>
      <c r="BY2672" s="1" t="s">
        <v>6841</v>
      </c>
      <c r="BZ2672" s="1" t="s">
        <v>209</v>
      </c>
      <c r="CA2672" s="1" t="s">
        <v>210</v>
      </c>
      <c r="CC2672" s="1" t="s">
        <v>542</v>
      </c>
      <c r="CD2672" s="1" t="s">
        <v>206</v>
      </c>
      <c r="CE2672" s="1" t="s">
        <v>207</v>
      </c>
      <c r="CG2672" s="1" t="s">
        <v>22478</v>
      </c>
      <c r="CH2672" s="1" t="s">
        <v>209</v>
      </c>
      <c r="CI2672" s="1" t="s">
        <v>210</v>
      </c>
      <c r="CK2672" s="1" t="s">
        <v>15653</v>
      </c>
      <c r="CL2672" s="1" t="s">
        <v>209</v>
      </c>
      <c r="CM2672" s="1" t="s">
        <v>210</v>
      </c>
      <c r="CO2672" s="1" t="s">
        <v>478</v>
      </c>
      <c r="CP2672" s="1" t="s">
        <v>267</v>
      </c>
      <c r="CQ2672" s="1" t="s">
        <v>210</v>
      </c>
      <c r="CS2672" s="1" t="s">
        <v>5932</v>
      </c>
      <c r="CT2672" s="1" t="s">
        <v>206</v>
      </c>
      <c r="CU2672" s="1" t="s">
        <v>207</v>
      </c>
      <c r="CX2672" s="1" t="s">
        <v>204</v>
      </c>
      <c r="DA2672" s="1" t="s">
        <v>200</v>
      </c>
      <c r="DC2672" s="1" t="s">
        <v>335</v>
      </c>
      <c r="DD2672" s="1" t="s">
        <v>1838</v>
      </c>
      <c r="DE2672" s="1" t="s">
        <v>273</v>
      </c>
      <c r="DF2672" s="1" t="s">
        <v>219</v>
      </c>
      <c r="DH2672" s="1" t="s">
        <v>365</v>
      </c>
      <c r="DI2672" s="1" t="s">
        <v>3659</v>
      </c>
      <c r="DJ2672" s="1" t="s">
        <v>222</v>
      </c>
      <c r="DL2672" s="1" t="s">
        <v>224</v>
      </c>
      <c r="DM2672" s="1" t="s">
        <v>229</v>
      </c>
      <c r="DN2672" s="1" t="s">
        <v>399</v>
      </c>
      <c r="DO2672" s="1" t="s">
        <v>2421</v>
      </c>
      <c r="DP2672" s="1" t="s">
        <v>276</v>
      </c>
      <c r="DQ2672" s="1" t="s">
        <v>718</v>
      </c>
      <c r="DR2672" s="1" t="s">
        <v>229</v>
      </c>
      <c r="DV2672" s="1" t="s">
        <v>23774</v>
      </c>
      <c r="DW2672" s="1" t="s">
        <v>279</v>
      </c>
      <c r="DX2672" s="1" t="s">
        <v>234</v>
      </c>
      <c r="DY2672" s="1" t="s">
        <v>2730</v>
      </c>
      <c r="DZ2672" s="1" t="s">
        <v>310</v>
      </c>
      <c r="EB2672" s="1" t="s">
        <v>767</v>
      </c>
      <c r="EC2672" s="1" t="s">
        <v>237</v>
      </c>
      <c r="ED2672" s="1" t="s">
        <v>555</v>
      </c>
      <c r="EG2672" s="1" t="s">
        <v>720</v>
      </c>
      <c r="EH2672" s="1" t="s">
        <v>450</v>
      </c>
      <c r="EI2672" s="1" t="s">
        <v>968</v>
      </c>
      <c r="EJ2672" s="1" t="s">
        <v>310</v>
      </c>
      <c r="EL2672" s="1" t="s">
        <v>23775</v>
      </c>
      <c r="EM2672" s="1" t="s">
        <v>267</v>
      </c>
      <c r="EN2672" s="1" t="s">
        <v>268</v>
      </c>
      <c r="EP2672" s="1" t="s">
        <v>5265</v>
      </c>
      <c r="EQ2672" s="1" t="s">
        <v>267</v>
      </c>
      <c r="ER2672" s="1" t="s">
        <v>210</v>
      </c>
      <c r="ET2672" s="1" t="s">
        <v>23776</v>
      </c>
      <c r="EU2672" s="1" t="s">
        <v>209</v>
      </c>
      <c r="EX2672" s="1" t="s">
        <v>478</v>
      </c>
      <c r="EY2672" s="1" t="s">
        <v>206</v>
      </c>
      <c r="FC2672" s="1" t="s">
        <v>238</v>
      </c>
      <c r="FF2672" s="1" t="s">
        <v>239</v>
      </c>
      <c r="FG2672" s="1" t="s">
        <v>192</v>
      </c>
      <c r="FH2672" s="1" t="s">
        <v>192</v>
      </c>
      <c r="FJ2672" s="1" t="s">
        <v>561</v>
      </c>
      <c r="FK2672" s="1" t="s">
        <v>229</v>
      </c>
      <c r="FL2672" s="1" t="s">
        <v>562</v>
      </c>
      <c r="FM2672" s="1">
        <v>16379.0</v>
      </c>
      <c r="FN2672" s="1" t="s">
        <v>563</v>
      </c>
      <c r="FO2672" s="1" t="s">
        <v>9204</v>
      </c>
      <c r="FP2672" s="1">
        <v>155485.0</v>
      </c>
      <c r="FQ2672" s="1" t="s">
        <v>9205</v>
      </c>
      <c r="FT2672" s="1" t="s">
        <v>6367</v>
      </c>
      <c r="FU2672" s="1" t="s">
        <v>23777</v>
      </c>
      <c r="FV2672" s="1" t="s">
        <v>200</v>
      </c>
      <c r="FW2672" s="1" t="s">
        <v>290</v>
      </c>
      <c r="FX2672" s="1" t="s">
        <v>238</v>
      </c>
      <c r="FZ2672" s="1" t="s">
        <v>229</v>
      </c>
      <c r="GA2672" s="1" t="s">
        <v>291</v>
      </c>
      <c r="GB2672" s="2">
        <v>42129.0</v>
      </c>
      <c r="GC2672" s="1" t="s">
        <v>23778</v>
      </c>
    </row>
    <row r="2673">
      <c r="A2673" s="1">
        <v>920000.0</v>
      </c>
      <c r="B2673" s="1" t="s">
        <v>185</v>
      </c>
      <c r="C2673" s="1" t="str">
        <f>"08824762"</f>
        <v>08824762</v>
      </c>
      <c r="D2673" s="1" t="s">
        <v>186</v>
      </c>
      <c r="F2673" s="1" t="str">
        <f t="shared" si="1746"/>
        <v>8022</v>
      </c>
      <c r="G2673" s="2">
        <v>42031.0</v>
      </c>
      <c r="H2673" s="1">
        <v>924900.0</v>
      </c>
      <c r="I2673" s="1">
        <v>49.0</v>
      </c>
      <c r="J2673" s="1">
        <v>924900.0</v>
      </c>
      <c r="K2673" s="2">
        <v>42048.0</v>
      </c>
      <c r="L2673" s="1">
        <v>18.0</v>
      </c>
      <c r="M2673" s="2">
        <v>42048.0</v>
      </c>
      <c r="N2673" s="1" t="s">
        <v>187</v>
      </c>
      <c r="O2673" s="2">
        <v>42114.0</v>
      </c>
      <c r="P2673" s="1">
        <v>108918.0</v>
      </c>
      <c r="Q2673" s="1">
        <v>84729.0</v>
      </c>
      <c r="S2673" s="1">
        <v>2442.0</v>
      </c>
      <c r="T2673" s="1" t="s">
        <v>1294</v>
      </c>
      <c r="U2673" s="1" t="s">
        <v>320</v>
      </c>
      <c r="V2673" s="1" t="s">
        <v>190</v>
      </c>
      <c r="W2673" s="1">
        <v>60647.0</v>
      </c>
      <c r="Y2673" s="1" t="s">
        <v>23779</v>
      </c>
      <c r="Z2673" s="1">
        <v>2014.0</v>
      </c>
      <c r="AA2673" s="1" t="s">
        <v>200</v>
      </c>
      <c r="AB2673" s="1" t="s">
        <v>193</v>
      </c>
      <c r="AD2673" s="1" t="s">
        <v>194</v>
      </c>
      <c r="AE2673" s="1" t="s">
        <v>195</v>
      </c>
      <c r="AF2673" s="1" t="s">
        <v>827</v>
      </c>
      <c r="AH2673" s="1" t="s">
        <v>21448</v>
      </c>
      <c r="AK2673" s="1">
        <v>9.0</v>
      </c>
      <c r="AL2673" s="1">
        <v>4.0</v>
      </c>
      <c r="AM2673" s="1">
        <v>3.0</v>
      </c>
      <c r="AN2673" s="1">
        <v>1.0</v>
      </c>
      <c r="AO2673" s="1" t="s">
        <v>198</v>
      </c>
      <c r="AP2673" s="1">
        <v>2.0</v>
      </c>
      <c r="AQ2673" s="1" t="s">
        <v>257</v>
      </c>
      <c r="AR2673" s="1" t="s">
        <v>192</v>
      </c>
      <c r="AS2673" s="1" t="s">
        <v>199</v>
      </c>
      <c r="AT2673" s="1">
        <v>3.0</v>
      </c>
      <c r="AV2673" s="1" t="s">
        <v>200</v>
      </c>
      <c r="AW2673" s="1" t="s">
        <v>575</v>
      </c>
      <c r="AX2673" s="1">
        <v>2013.0</v>
      </c>
      <c r="AY2673" s="1" t="s">
        <v>229</v>
      </c>
      <c r="AZ2673" s="1" t="s">
        <v>545</v>
      </c>
      <c r="BA2673" s="1" t="str">
        <f>"13254270220000"</f>
        <v>13254270220000</v>
      </c>
      <c r="BC2673" s="1">
        <v>0.0</v>
      </c>
      <c r="BD2673" s="1">
        <v>920000.0</v>
      </c>
      <c r="BE2673" s="2">
        <v>42031.0</v>
      </c>
      <c r="BF2673" s="2" t="s">
        <v>23780</v>
      </c>
      <c r="BH2673" s="1">
        <v>0.0</v>
      </c>
      <c r="BK2673" s="1" t="s">
        <v>204</v>
      </c>
      <c r="BL2673" s="1" t="str">
        <f>"2442"</f>
        <v>2442</v>
      </c>
      <c r="BM2673" s="1" t="str">
        <f t="shared" si="1745"/>
        <v>0</v>
      </c>
      <c r="BN2673" s="1">
        <v>2600.0</v>
      </c>
      <c r="BO2673" s="1">
        <v>0.0</v>
      </c>
      <c r="BQ2673" s="1">
        <v>299.0</v>
      </c>
      <c r="BR2673" s="1">
        <v>299.0</v>
      </c>
      <c r="BS2673" s="1">
        <v>299.0</v>
      </c>
      <c r="BU2673" s="1" t="s">
        <v>1535</v>
      </c>
      <c r="BV2673" s="1" t="s">
        <v>206</v>
      </c>
      <c r="BW2673" s="1" t="s">
        <v>207</v>
      </c>
      <c r="BY2673" s="1" t="s">
        <v>434</v>
      </c>
      <c r="BZ2673" s="1" t="s">
        <v>209</v>
      </c>
      <c r="CA2673" s="1" t="s">
        <v>207</v>
      </c>
      <c r="CC2673" s="1" t="s">
        <v>542</v>
      </c>
      <c r="CD2673" s="1" t="s">
        <v>206</v>
      </c>
      <c r="CE2673" s="1" t="s">
        <v>207</v>
      </c>
      <c r="CG2673" s="1" t="s">
        <v>205</v>
      </c>
      <c r="CH2673" s="1" t="s">
        <v>209</v>
      </c>
      <c r="CI2673" s="1" t="s">
        <v>207</v>
      </c>
      <c r="CK2673" s="1" t="s">
        <v>212</v>
      </c>
      <c r="CL2673" s="1" t="s">
        <v>209</v>
      </c>
      <c r="CM2673" s="1" t="s">
        <v>207</v>
      </c>
      <c r="CO2673" s="1" t="s">
        <v>329</v>
      </c>
      <c r="CP2673" s="1" t="s">
        <v>267</v>
      </c>
      <c r="CQ2673" s="1" t="s">
        <v>210</v>
      </c>
      <c r="CS2673" s="1" t="s">
        <v>647</v>
      </c>
      <c r="CT2673" s="1" t="s">
        <v>206</v>
      </c>
      <c r="CU2673" s="1" t="s">
        <v>207</v>
      </c>
      <c r="CW2673" s="1" t="s">
        <v>854</v>
      </c>
      <c r="CX2673" s="1" t="s">
        <v>206</v>
      </c>
      <c r="CY2673" s="1" t="s">
        <v>207</v>
      </c>
      <c r="DA2673" s="1" t="s">
        <v>192</v>
      </c>
      <c r="DB2673" s="2">
        <v>42031.0</v>
      </c>
      <c r="DC2673" s="1" t="s">
        <v>744</v>
      </c>
      <c r="DD2673" s="1" t="s">
        <v>3633</v>
      </c>
      <c r="DE2673" s="1" t="s">
        <v>1810</v>
      </c>
      <c r="DF2673" s="1" t="s">
        <v>2328</v>
      </c>
      <c r="DG2673" s="1" t="s">
        <v>23781</v>
      </c>
      <c r="DH2673" s="1" t="s">
        <v>365</v>
      </c>
      <c r="DI2673" s="1" t="s">
        <v>2057</v>
      </c>
      <c r="DJ2673" s="1" t="s">
        <v>222</v>
      </c>
      <c r="DL2673" s="1" t="s">
        <v>224</v>
      </c>
      <c r="DM2673" s="1" t="s">
        <v>229</v>
      </c>
      <c r="DN2673" s="1" t="s">
        <v>20314</v>
      </c>
      <c r="DP2673" s="1" t="s">
        <v>276</v>
      </c>
      <c r="DQ2673" s="1" t="s">
        <v>794</v>
      </c>
      <c r="DR2673" s="1" t="s">
        <v>229</v>
      </c>
      <c r="DS2673" s="1" t="s">
        <v>368</v>
      </c>
      <c r="DV2673" s="1" t="s">
        <v>23782</v>
      </c>
      <c r="DW2673" s="1" t="s">
        <v>667</v>
      </c>
      <c r="DX2673" s="1" t="s">
        <v>234</v>
      </c>
      <c r="DY2673" s="1" t="s">
        <v>5292</v>
      </c>
      <c r="DZ2673" s="1" t="s">
        <v>310</v>
      </c>
      <c r="EB2673" s="1" t="s">
        <v>492</v>
      </c>
      <c r="EC2673" s="1" t="s">
        <v>237</v>
      </c>
      <c r="ED2673" s="1" t="s">
        <v>407</v>
      </c>
      <c r="EG2673" s="1" t="s">
        <v>450</v>
      </c>
      <c r="EH2673" s="1" t="s">
        <v>1270</v>
      </c>
      <c r="EI2673" s="1" t="s">
        <v>409</v>
      </c>
      <c r="EJ2673" s="1" t="s">
        <v>310</v>
      </c>
      <c r="EL2673" s="1" t="s">
        <v>2205</v>
      </c>
      <c r="EM2673" s="1" t="s">
        <v>267</v>
      </c>
      <c r="EN2673" s="1" t="s">
        <v>210</v>
      </c>
      <c r="EP2673" s="1" t="s">
        <v>23783</v>
      </c>
      <c r="EQ2673" s="1" t="s">
        <v>267</v>
      </c>
      <c r="ER2673" s="1" t="s">
        <v>1136</v>
      </c>
      <c r="ET2673" s="1" t="s">
        <v>23784</v>
      </c>
      <c r="EU2673" s="1" t="s">
        <v>209</v>
      </c>
      <c r="EV2673" s="1" t="s">
        <v>207</v>
      </c>
      <c r="EX2673" s="1" t="s">
        <v>4787</v>
      </c>
      <c r="EY2673" s="1" t="s">
        <v>206</v>
      </c>
      <c r="EZ2673" s="1" t="s">
        <v>588</v>
      </c>
      <c r="FC2673" s="1" t="s">
        <v>238</v>
      </c>
      <c r="FF2673" s="1" t="s">
        <v>239</v>
      </c>
      <c r="FG2673" s="1" t="s">
        <v>192</v>
      </c>
      <c r="FH2673" s="1" t="s">
        <v>192</v>
      </c>
      <c r="FJ2673" s="1" t="s">
        <v>7024</v>
      </c>
      <c r="FK2673" s="1" t="s">
        <v>229</v>
      </c>
      <c r="FL2673" s="1" t="s">
        <v>6354</v>
      </c>
      <c r="FM2673" s="1">
        <v>15191.0</v>
      </c>
      <c r="FN2673" s="1" t="s">
        <v>6355</v>
      </c>
      <c r="FO2673" s="1" t="s">
        <v>6356</v>
      </c>
      <c r="FP2673" s="1">
        <v>161581.0</v>
      </c>
      <c r="FQ2673" s="1" t="s">
        <v>6357</v>
      </c>
      <c r="FU2673" s="1" t="s">
        <v>23318</v>
      </c>
      <c r="FV2673" s="1" t="s">
        <v>200</v>
      </c>
      <c r="FW2673" s="1" t="s">
        <v>567</v>
      </c>
      <c r="FX2673" s="1" t="s">
        <v>238</v>
      </c>
      <c r="FZ2673" s="1" t="s">
        <v>2993</v>
      </c>
      <c r="GA2673" s="1" t="s">
        <v>291</v>
      </c>
      <c r="GB2673" s="2">
        <v>42114.0</v>
      </c>
      <c r="GC2673" s="1" t="s">
        <v>23785</v>
      </c>
    </row>
    <row r="2674">
      <c r="A2674" s="1">
        <v>267000.0</v>
      </c>
      <c r="B2674" s="1" t="s">
        <v>185</v>
      </c>
      <c r="C2674" s="1" t="str">
        <f>"08831995"</f>
        <v>08831995</v>
      </c>
      <c r="D2674" s="1" t="s">
        <v>186</v>
      </c>
      <c r="F2674" s="1" t="str">
        <f>"543"</f>
        <v>543</v>
      </c>
      <c r="G2674" s="2">
        <v>42040.0</v>
      </c>
      <c r="H2674" s="1">
        <v>279900.0</v>
      </c>
      <c r="I2674" s="1">
        <v>33.0</v>
      </c>
      <c r="J2674" s="1">
        <v>274900.0</v>
      </c>
      <c r="K2674" s="2">
        <v>42072.0</v>
      </c>
      <c r="L2674" s="1">
        <v>33.0</v>
      </c>
      <c r="M2674" s="2">
        <v>42072.0</v>
      </c>
      <c r="N2674" s="1" t="s">
        <v>187</v>
      </c>
      <c r="O2674" s="2">
        <v>42109.0</v>
      </c>
      <c r="P2674" s="1">
        <v>233070.0</v>
      </c>
      <c r="Q2674" s="1">
        <v>23265.0</v>
      </c>
      <c r="S2674" s="1">
        <v>165.0</v>
      </c>
      <c r="T2674" s="1" t="s">
        <v>12163</v>
      </c>
      <c r="U2674" s="1" t="s">
        <v>844</v>
      </c>
      <c r="V2674" s="1" t="s">
        <v>1527</v>
      </c>
      <c r="W2674" s="1">
        <v>60543.0</v>
      </c>
      <c r="Y2674" s="1" t="s">
        <v>23786</v>
      </c>
      <c r="Z2674" s="1">
        <v>2012.0</v>
      </c>
      <c r="AA2674" s="1" t="s">
        <v>200</v>
      </c>
      <c r="AB2674" s="1" t="s">
        <v>467</v>
      </c>
      <c r="AC2674" s="1" t="s">
        <v>12165</v>
      </c>
      <c r="AD2674" s="1" t="s">
        <v>1529</v>
      </c>
      <c r="AE2674" s="1" t="s">
        <v>849</v>
      </c>
      <c r="AF2674" s="1" t="s">
        <v>1529</v>
      </c>
      <c r="AG2674" s="1" t="s">
        <v>23787</v>
      </c>
      <c r="AH2674" s="1" t="s">
        <v>23788</v>
      </c>
      <c r="AI2674" s="1">
        <v>0.221</v>
      </c>
      <c r="AK2674" s="1">
        <v>8.0</v>
      </c>
      <c r="AL2674" s="1">
        <v>4.0</v>
      </c>
      <c r="AM2674" s="1">
        <v>2.0</v>
      </c>
      <c r="AN2674" s="1">
        <v>1.0</v>
      </c>
      <c r="AO2674" s="1" t="s">
        <v>198</v>
      </c>
      <c r="AQ2674" s="1" t="s">
        <v>198</v>
      </c>
      <c r="AR2674" s="1" t="s">
        <v>200</v>
      </c>
      <c r="AS2674" s="1" t="s">
        <v>199</v>
      </c>
      <c r="AT2674" s="1">
        <v>2.0</v>
      </c>
      <c r="AV2674" s="1" t="s">
        <v>200</v>
      </c>
      <c r="AW2674" s="1">
        <v>7739.0</v>
      </c>
      <c r="AX2674" s="1">
        <v>2013.0</v>
      </c>
      <c r="AY2674" s="1" t="s">
        <v>387</v>
      </c>
      <c r="AZ2674" s="1" t="s">
        <v>200</v>
      </c>
      <c r="BA2674" s="1" t="str">
        <f>"0312353009"</f>
        <v>0312353009</v>
      </c>
      <c r="BC2674" s="1">
        <v>2289.0</v>
      </c>
      <c r="BD2674" s="1">
        <v>267000.0</v>
      </c>
      <c r="BE2674" s="2">
        <v>42040.0</v>
      </c>
      <c r="BF2674" s="2" t="s">
        <v>23789</v>
      </c>
      <c r="BG2674" s="1" t="s">
        <v>2544</v>
      </c>
      <c r="BH2674" s="1">
        <v>107.0</v>
      </c>
      <c r="BI2674" s="1" t="s">
        <v>2545</v>
      </c>
      <c r="BJ2674" s="1" t="s">
        <v>2546</v>
      </c>
      <c r="BK2674" s="1" t="s">
        <v>1952</v>
      </c>
      <c r="BL2674" s="1" t="str">
        <f t="shared" ref="BL2674:BM2674" si="1747">"0"</f>
        <v>0</v>
      </c>
      <c r="BM2674" s="1" t="str">
        <f t="shared" si="1747"/>
        <v>0</v>
      </c>
      <c r="BN2674" s="1">
        <v>31.0</v>
      </c>
      <c r="BO2674" s="1">
        <v>10.0</v>
      </c>
      <c r="BQ2674" s="1">
        <v>308.0</v>
      </c>
      <c r="BR2674" s="1">
        <v>308.0</v>
      </c>
      <c r="BS2674" s="1">
        <v>308.0</v>
      </c>
      <c r="BU2674" s="1" t="s">
        <v>215</v>
      </c>
      <c r="BV2674" s="1" t="s">
        <v>206</v>
      </c>
      <c r="BW2674" s="1" t="s">
        <v>210</v>
      </c>
      <c r="BX2674" s="1" t="s">
        <v>431</v>
      </c>
      <c r="BY2674" s="1" t="s">
        <v>390</v>
      </c>
      <c r="BZ2674" s="1" t="s">
        <v>209</v>
      </c>
      <c r="CA2674" s="1" t="s">
        <v>210</v>
      </c>
      <c r="CB2674" s="1" t="s">
        <v>431</v>
      </c>
      <c r="CC2674" s="1" t="s">
        <v>495</v>
      </c>
      <c r="CD2674" s="1" t="s">
        <v>206</v>
      </c>
      <c r="CE2674" s="1" t="s">
        <v>210</v>
      </c>
      <c r="CF2674" s="1" t="s">
        <v>431</v>
      </c>
      <c r="CG2674" s="1" t="s">
        <v>264</v>
      </c>
      <c r="CH2674" s="1" t="s">
        <v>209</v>
      </c>
      <c r="CI2674" s="1" t="s">
        <v>210</v>
      </c>
      <c r="CJ2674" s="1" t="s">
        <v>431</v>
      </c>
      <c r="CK2674" s="1" t="s">
        <v>264</v>
      </c>
      <c r="CL2674" s="1" t="s">
        <v>209</v>
      </c>
      <c r="CM2674" s="1" t="s">
        <v>210</v>
      </c>
      <c r="CN2674" s="1" t="s">
        <v>431</v>
      </c>
      <c r="CO2674" s="1" t="s">
        <v>269</v>
      </c>
      <c r="CP2674" s="1" t="s">
        <v>209</v>
      </c>
      <c r="CQ2674" s="1" t="s">
        <v>210</v>
      </c>
      <c r="CR2674" s="1" t="s">
        <v>431</v>
      </c>
      <c r="CS2674" s="1" t="s">
        <v>616</v>
      </c>
      <c r="CT2674" s="1" t="s">
        <v>206</v>
      </c>
      <c r="CU2674" s="1" t="s">
        <v>207</v>
      </c>
      <c r="CV2674" s="1" t="s">
        <v>431</v>
      </c>
      <c r="CW2674" s="1" t="s">
        <v>784</v>
      </c>
      <c r="CX2674" s="1" t="s">
        <v>206</v>
      </c>
      <c r="CY2674" s="1" t="s">
        <v>210</v>
      </c>
      <c r="CZ2674" s="1" t="s">
        <v>239</v>
      </c>
      <c r="DA2674" s="1" t="s">
        <v>200</v>
      </c>
      <c r="DC2674" s="1" t="s">
        <v>1046</v>
      </c>
      <c r="DD2674" s="1" t="s">
        <v>336</v>
      </c>
      <c r="DE2674" s="1" t="s">
        <v>273</v>
      </c>
      <c r="DF2674" s="1" t="s">
        <v>219</v>
      </c>
      <c r="DG2674" s="1" t="s">
        <v>1020</v>
      </c>
      <c r="DH2674" s="1" t="s">
        <v>220</v>
      </c>
      <c r="DI2674" s="1" t="s">
        <v>519</v>
      </c>
      <c r="DJ2674" s="1" t="s">
        <v>222</v>
      </c>
      <c r="DL2674" s="1" t="s">
        <v>20399</v>
      </c>
      <c r="DM2674" s="1" t="s">
        <v>338</v>
      </c>
      <c r="DN2674" s="1" t="s">
        <v>1023</v>
      </c>
      <c r="DP2674" s="1" t="s">
        <v>276</v>
      </c>
      <c r="DQ2674" s="1" t="s">
        <v>228</v>
      </c>
      <c r="DR2674" s="1" t="s">
        <v>1185</v>
      </c>
      <c r="DU2674" s="1" t="s">
        <v>3487</v>
      </c>
      <c r="DV2674" s="1" t="s">
        <v>232</v>
      </c>
      <c r="DW2674" s="1" t="s">
        <v>444</v>
      </c>
      <c r="DX2674" s="1" t="s">
        <v>234</v>
      </c>
      <c r="DY2674" s="1" t="s">
        <v>490</v>
      </c>
      <c r="DZ2674" s="1" t="s">
        <v>405</v>
      </c>
      <c r="EC2674" s="1" t="s">
        <v>237</v>
      </c>
      <c r="ED2674" s="1" t="s">
        <v>407</v>
      </c>
      <c r="EM2674" s="1" t="s">
        <v>238</v>
      </c>
      <c r="EQ2674" s="1" t="s">
        <v>238</v>
      </c>
      <c r="EU2674" s="1" t="s">
        <v>238</v>
      </c>
      <c r="EY2674" s="1" t="s">
        <v>238</v>
      </c>
      <c r="FC2674" s="1" t="s">
        <v>238</v>
      </c>
      <c r="FF2674" s="1" t="s">
        <v>239</v>
      </c>
      <c r="FG2674" s="1" t="s">
        <v>192</v>
      </c>
      <c r="FH2674" s="1" t="s">
        <v>192</v>
      </c>
      <c r="FJ2674" s="1" t="s">
        <v>498</v>
      </c>
      <c r="FK2674" s="1" t="s">
        <v>229</v>
      </c>
      <c r="FL2674" s="1" t="s">
        <v>23790</v>
      </c>
      <c r="FM2674" s="1">
        <v>20131.0</v>
      </c>
      <c r="FN2674" s="1" t="s">
        <v>23791</v>
      </c>
      <c r="FO2674" s="1" t="s">
        <v>23792</v>
      </c>
      <c r="FP2674" s="1">
        <v>227877.0</v>
      </c>
      <c r="FQ2674" s="1" t="s">
        <v>23793</v>
      </c>
      <c r="FU2674" s="1" t="s">
        <v>23794</v>
      </c>
      <c r="FV2674" s="1" t="s">
        <v>200</v>
      </c>
      <c r="FW2674" s="1" t="s">
        <v>290</v>
      </c>
      <c r="FZ2674" s="1" t="s">
        <v>229</v>
      </c>
      <c r="GA2674" s="1" t="s">
        <v>291</v>
      </c>
      <c r="GB2674" s="2">
        <v>42109.0</v>
      </c>
      <c r="GC2674" s="1" t="s">
        <v>23795</v>
      </c>
    </row>
    <row r="2675">
      <c r="A2675" s="1">
        <v>525000.0</v>
      </c>
      <c r="B2675" s="1" t="s">
        <v>185</v>
      </c>
      <c r="C2675" s="1" t="str">
        <f>"08826951"</f>
        <v>08826951</v>
      </c>
      <c r="D2675" s="1" t="s">
        <v>186</v>
      </c>
      <c r="F2675" s="1" t="str">
        <f>"8012"</f>
        <v>8012</v>
      </c>
      <c r="G2675" s="2">
        <v>42033.0</v>
      </c>
      <c r="H2675" s="1">
        <v>539000.0</v>
      </c>
      <c r="I2675" s="1">
        <v>86.0</v>
      </c>
      <c r="J2675" s="1">
        <v>539000.0</v>
      </c>
      <c r="K2675" s="2">
        <v>42118.0</v>
      </c>
      <c r="L2675" s="1">
        <v>86.0</v>
      </c>
      <c r="M2675" s="2">
        <v>42118.0</v>
      </c>
      <c r="N2675" s="1" t="s">
        <v>187</v>
      </c>
      <c r="O2675" s="2">
        <v>42139.0</v>
      </c>
      <c r="P2675" s="1">
        <v>129192.0</v>
      </c>
      <c r="Q2675" s="1">
        <v>84730.0</v>
      </c>
      <c r="S2675" s="1">
        <v>6788.0</v>
      </c>
      <c r="T2675" s="1" t="s">
        <v>23796</v>
      </c>
      <c r="U2675" s="1" t="s">
        <v>189</v>
      </c>
      <c r="V2675" s="1" t="s">
        <v>190</v>
      </c>
      <c r="W2675" s="1">
        <v>60646.0</v>
      </c>
      <c r="Y2675" s="1" t="s">
        <v>23797</v>
      </c>
      <c r="Z2675" s="1">
        <v>1947.0</v>
      </c>
      <c r="AA2675" s="1" t="s">
        <v>192</v>
      </c>
      <c r="AB2675" s="1" t="s">
        <v>193</v>
      </c>
      <c r="AC2675" s="1" t="s">
        <v>1131</v>
      </c>
      <c r="AD2675" s="1" t="s">
        <v>194</v>
      </c>
      <c r="AE2675" s="1" t="s">
        <v>195</v>
      </c>
      <c r="AF2675" s="1" t="s">
        <v>196</v>
      </c>
      <c r="AG2675" s="1" t="s">
        <v>15927</v>
      </c>
      <c r="AH2675" s="1" t="s">
        <v>2164</v>
      </c>
      <c r="AK2675" s="1">
        <v>9.0</v>
      </c>
      <c r="AL2675" s="1">
        <v>4.0</v>
      </c>
      <c r="AM2675" s="1">
        <v>3.0</v>
      </c>
      <c r="AN2675" s="1">
        <v>2.0</v>
      </c>
      <c r="AO2675" s="1" t="s">
        <v>198</v>
      </c>
      <c r="AP2675" s="1">
        <v>1.0</v>
      </c>
      <c r="AQ2675" s="1" t="s">
        <v>198</v>
      </c>
      <c r="AR2675" s="1" t="s">
        <v>192</v>
      </c>
      <c r="AS2675" s="1" t="s">
        <v>510</v>
      </c>
      <c r="AT2675" s="1">
        <v>3.0</v>
      </c>
      <c r="AU2675" s="1">
        <v>3.0</v>
      </c>
      <c r="AV2675" s="1" t="s">
        <v>200</v>
      </c>
      <c r="AW2675" s="1">
        <v>7885.29</v>
      </c>
      <c r="AX2675" s="1">
        <v>2013.0</v>
      </c>
      <c r="AY2675" s="1" t="s">
        <v>387</v>
      </c>
      <c r="AZ2675" s="1" t="s">
        <v>200</v>
      </c>
      <c r="BA2675" s="1" t="str">
        <f>"10324000160000"</f>
        <v>10324000160000</v>
      </c>
      <c r="BB2675" s="1" t="s">
        <v>200</v>
      </c>
      <c r="BC2675" s="1">
        <v>2016.0</v>
      </c>
      <c r="BD2675" s="1">
        <v>525000.0</v>
      </c>
      <c r="BE2675" s="2">
        <v>42033.0</v>
      </c>
      <c r="BF2675" s="2" t="s">
        <v>23798</v>
      </c>
      <c r="BG2675" s="1" t="s">
        <v>2364</v>
      </c>
      <c r="BH2675" s="1">
        <v>0.0</v>
      </c>
      <c r="BK2675" s="1" t="s">
        <v>204</v>
      </c>
      <c r="BL2675" s="1" t="str">
        <f>"6700"</f>
        <v>6700</v>
      </c>
      <c r="BM2675" s="1" t="str">
        <f t="shared" ref="BM2675:BM2678" si="1748">"0"</f>
        <v>0</v>
      </c>
      <c r="BN2675" s="1">
        <v>5900.0</v>
      </c>
      <c r="BO2675" s="1">
        <v>0.0</v>
      </c>
      <c r="BQ2675" s="1">
        <v>299.0</v>
      </c>
      <c r="BR2675" s="1">
        <v>299.0</v>
      </c>
      <c r="BS2675" s="1">
        <v>299.0</v>
      </c>
      <c r="BU2675" s="1" t="s">
        <v>664</v>
      </c>
      <c r="BV2675" s="1" t="s">
        <v>206</v>
      </c>
      <c r="BW2675" s="1" t="s">
        <v>207</v>
      </c>
      <c r="BY2675" s="1" t="s">
        <v>758</v>
      </c>
      <c r="BZ2675" s="1" t="s">
        <v>209</v>
      </c>
      <c r="CA2675" s="1" t="s">
        <v>207</v>
      </c>
      <c r="CC2675" s="1" t="s">
        <v>495</v>
      </c>
      <c r="CD2675" s="1" t="s">
        <v>206</v>
      </c>
      <c r="CE2675" s="1" t="s">
        <v>207</v>
      </c>
      <c r="CG2675" s="1" t="s">
        <v>212</v>
      </c>
      <c r="CH2675" s="1" t="s">
        <v>209</v>
      </c>
      <c r="CI2675" s="1" t="s">
        <v>207</v>
      </c>
      <c r="CK2675" s="1" t="s">
        <v>495</v>
      </c>
      <c r="CL2675" s="1" t="s">
        <v>209</v>
      </c>
      <c r="CM2675" s="1" t="s">
        <v>207</v>
      </c>
      <c r="CO2675" s="1" t="s">
        <v>623</v>
      </c>
      <c r="CP2675" s="1" t="s">
        <v>209</v>
      </c>
      <c r="CQ2675" s="1" t="s">
        <v>207</v>
      </c>
      <c r="CS2675" s="1" t="s">
        <v>214</v>
      </c>
      <c r="CT2675" s="1" t="s">
        <v>206</v>
      </c>
      <c r="CU2675" s="1" t="s">
        <v>207</v>
      </c>
      <c r="CW2675" s="1" t="s">
        <v>1368</v>
      </c>
      <c r="CX2675" s="1" t="s">
        <v>206</v>
      </c>
      <c r="CY2675" s="1" t="s">
        <v>268</v>
      </c>
      <c r="DA2675" s="1" t="s">
        <v>200</v>
      </c>
      <c r="DC2675" s="1" t="s">
        <v>702</v>
      </c>
      <c r="DD2675" s="1" t="s">
        <v>436</v>
      </c>
      <c r="DE2675" s="1" t="s">
        <v>273</v>
      </c>
      <c r="DF2675" s="1" t="s">
        <v>219</v>
      </c>
      <c r="DG2675" s="1" t="s">
        <v>1140</v>
      </c>
      <c r="DH2675" s="1" t="s">
        <v>307</v>
      </c>
      <c r="DI2675" s="1" t="s">
        <v>308</v>
      </c>
      <c r="DJ2675" s="1" t="s">
        <v>222</v>
      </c>
      <c r="DL2675" s="1" t="s">
        <v>224</v>
      </c>
      <c r="DM2675" s="1" t="s">
        <v>1143</v>
      </c>
      <c r="DN2675" s="1" t="s">
        <v>666</v>
      </c>
      <c r="DO2675" s="1" t="s">
        <v>4060</v>
      </c>
      <c r="DP2675" s="1" t="s">
        <v>340</v>
      </c>
      <c r="DQ2675" s="1" t="s">
        <v>794</v>
      </c>
      <c r="DR2675" s="1" t="s">
        <v>229</v>
      </c>
      <c r="DS2675" s="1" t="s">
        <v>230</v>
      </c>
      <c r="DV2675" s="1" t="s">
        <v>450</v>
      </c>
      <c r="DW2675" s="1" t="s">
        <v>279</v>
      </c>
      <c r="DX2675" s="1" t="s">
        <v>234</v>
      </c>
      <c r="DY2675" s="1" t="s">
        <v>704</v>
      </c>
      <c r="EA2675" s="1" t="s">
        <v>3308</v>
      </c>
      <c r="EB2675" s="1" t="s">
        <v>345</v>
      </c>
      <c r="EC2675" s="1" t="s">
        <v>237</v>
      </c>
      <c r="ED2675" s="1" t="s">
        <v>407</v>
      </c>
      <c r="EE2675" s="1" t="s">
        <v>187</v>
      </c>
      <c r="EF2675" s="1" t="s">
        <v>5154</v>
      </c>
      <c r="EG2675" s="1" t="s">
        <v>450</v>
      </c>
      <c r="EL2675" s="1" t="s">
        <v>782</v>
      </c>
      <c r="EM2675" s="1" t="s">
        <v>42</v>
      </c>
      <c r="EN2675" s="1" t="s">
        <v>268</v>
      </c>
      <c r="EQ2675" s="1" t="s">
        <v>238</v>
      </c>
      <c r="EU2675" s="1" t="s">
        <v>238</v>
      </c>
      <c r="EY2675" s="1" t="s">
        <v>238</v>
      </c>
      <c r="FC2675" s="1" t="s">
        <v>238</v>
      </c>
      <c r="FF2675" s="1" t="s">
        <v>239</v>
      </c>
      <c r="FG2675" s="1" t="s">
        <v>192</v>
      </c>
      <c r="FH2675" s="1" t="s">
        <v>192</v>
      </c>
      <c r="FJ2675" s="1" t="s">
        <v>561</v>
      </c>
      <c r="FK2675" s="1" t="s">
        <v>348</v>
      </c>
      <c r="FL2675" s="1" t="s">
        <v>562</v>
      </c>
      <c r="FM2675" s="1">
        <v>84730.0</v>
      </c>
      <c r="FN2675" s="1" t="s">
        <v>1147</v>
      </c>
      <c r="FO2675" s="1" t="s">
        <v>1148</v>
      </c>
      <c r="FP2675" s="1">
        <v>129192.0</v>
      </c>
      <c r="FQ2675" s="1" t="s">
        <v>1149</v>
      </c>
      <c r="FR2675" s="1">
        <v>101410.0</v>
      </c>
      <c r="FU2675" s="1" t="s">
        <v>23799</v>
      </c>
      <c r="FV2675" s="1" t="s">
        <v>200</v>
      </c>
      <c r="FW2675" s="1" t="s">
        <v>290</v>
      </c>
      <c r="FX2675" s="1" t="s">
        <v>238</v>
      </c>
      <c r="FZ2675" s="1" t="s">
        <v>229</v>
      </c>
      <c r="GA2675" s="1" t="s">
        <v>291</v>
      </c>
      <c r="GB2675" s="2">
        <v>42140.0</v>
      </c>
      <c r="GC2675" s="1" t="s">
        <v>23800</v>
      </c>
    </row>
    <row r="2676">
      <c r="A2676" s="1">
        <v>205001.0</v>
      </c>
      <c r="B2676" s="1" t="s">
        <v>185</v>
      </c>
      <c r="C2676" s="1" t="str">
        <f>"08828672"</f>
        <v>08828672</v>
      </c>
      <c r="D2676" s="1" t="s">
        <v>186</v>
      </c>
      <c r="F2676" s="1" t="str">
        <f>"8015"</f>
        <v>8015</v>
      </c>
      <c r="G2676" s="2">
        <v>42037.0</v>
      </c>
      <c r="H2676" s="1">
        <v>215000.0</v>
      </c>
      <c r="I2676" s="1">
        <v>168.0</v>
      </c>
      <c r="J2676" s="1">
        <v>215000.0</v>
      </c>
      <c r="K2676" s="2">
        <v>42041.0</v>
      </c>
      <c r="L2676" s="1">
        <v>5.0</v>
      </c>
      <c r="M2676" s="2">
        <v>42041.0</v>
      </c>
      <c r="N2676" s="1" t="s">
        <v>249</v>
      </c>
      <c r="O2676" s="2">
        <v>42059.0</v>
      </c>
      <c r="P2676" s="1">
        <v>229696.0</v>
      </c>
      <c r="Q2676" s="1">
        <v>23484.0</v>
      </c>
      <c r="R2676" s="1">
        <v>2000.0</v>
      </c>
      <c r="S2676" s="1">
        <v>3611.0</v>
      </c>
      <c r="T2676" s="1" t="s">
        <v>8218</v>
      </c>
      <c r="U2676" s="1" t="s">
        <v>189</v>
      </c>
      <c r="V2676" s="1" t="s">
        <v>190</v>
      </c>
      <c r="W2676" s="1">
        <v>60641.0</v>
      </c>
      <c r="Y2676" s="1" t="s">
        <v>23801</v>
      </c>
      <c r="Z2676" s="1">
        <v>1921.0</v>
      </c>
      <c r="AA2676" s="1" t="s">
        <v>192</v>
      </c>
      <c r="AB2676" s="1" t="s">
        <v>193</v>
      </c>
      <c r="AD2676" s="1" t="s">
        <v>194</v>
      </c>
      <c r="AE2676" s="1" t="s">
        <v>195</v>
      </c>
      <c r="AF2676" s="1" t="s">
        <v>196</v>
      </c>
      <c r="AH2676" s="1" t="s">
        <v>741</v>
      </c>
      <c r="AK2676" s="1">
        <v>7.0</v>
      </c>
      <c r="AL2676" s="1">
        <v>4.0</v>
      </c>
      <c r="AM2676" s="1">
        <v>1.0</v>
      </c>
      <c r="AN2676" s="1">
        <v>1.0</v>
      </c>
      <c r="AO2676" s="1" t="s">
        <v>198</v>
      </c>
      <c r="AQ2676" s="1" t="s">
        <v>1314</v>
      </c>
      <c r="AR2676" s="1" t="s">
        <v>192</v>
      </c>
      <c r="AS2676" s="1" t="s">
        <v>199</v>
      </c>
      <c r="AT2676" s="1">
        <v>2.0</v>
      </c>
      <c r="AV2676" s="1" t="s">
        <v>200</v>
      </c>
      <c r="AW2676" s="1">
        <v>3716.0</v>
      </c>
      <c r="AX2676" s="1">
        <v>2013.0</v>
      </c>
      <c r="AZ2676" s="1" t="s">
        <v>200</v>
      </c>
      <c r="BA2676" s="1" t="str">
        <f>"13211250170000"</f>
        <v>13211250170000</v>
      </c>
      <c r="BC2676" s="1">
        <v>1200.0</v>
      </c>
      <c r="BD2676" s="1">
        <v>205001.0</v>
      </c>
      <c r="BE2676" s="2">
        <v>42037.0</v>
      </c>
      <c r="BF2676" s="1" t="s">
        <v>23802</v>
      </c>
      <c r="BH2676" s="1">
        <v>0.0</v>
      </c>
      <c r="BK2676" s="1" t="s">
        <v>204</v>
      </c>
      <c r="BL2676" s="1" t="str">
        <f>"3611"</f>
        <v>3611</v>
      </c>
      <c r="BM2676" s="1" t="str">
        <f t="shared" si="1748"/>
        <v>0</v>
      </c>
      <c r="BN2676" s="1">
        <v>5600.0</v>
      </c>
      <c r="BO2676" s="1">
        <v>0.0</v>
      </c>
      <c r="BQ2676" s="1">
        <v>299.0</v>
      </c>
      <c r="BR2676" s="1">
        <v>299.0</v>
      </c>
      <c r="BS2676" s="1">
        <v>299.0</v>
      </c>
      <c r="BU2676" s="1" t="s">
        <v>582</v>
      </c>
      <c r="BV2676" s="1" t="s">
        <v>206</v>
      </c>
      <c r="BY2676" s="1" t="s">
        <v>495</v>
      </c>
      <c r="BZ2676" s="1" t="s">
        <v>206</v>
      </c>
      <c r="CC2676" s="1" t="s">
        <v>332</v>
      </c>
      <c r="CD2676" s="1" t="s">
        <v>206</v>
      </c>
      <c r="CG2676" s="1" t="s">
        <v>663</v>
      </c>
      <c r="CH2676" s="1" t="s">
        <v>206</v>
      </c>
      <c r="CK2676" s="1" t="s">
        <v>497</v>
      </c>
      <c r="CL2676" s="1" t="s">
        <v>114</v>
      </c>
      <c r="CO2676" s="1" t="s">
        <v>798</v>
      </c>
      <c r="CP2676" s="1" t="s">
        <v>114</v>
      </c>
      <c r="CS2676" s="1" t="s">
        <v>269</v>
      </c>
      <c r="CT2676" s="1" t="s">
        <v>206</v>
      </c>
      <c r="CX2676" s="1" t="s">
        <v>204</v>
      </c>
      <c r="DA2676" s="1" t="s">
        <v>200</v>
      </c>
      <c r="DC2676" s="1" t="s">
        <v>216</v>
      </c>
      <c r="DE2676" s="1" t="s">
        <v>273</v>
      </c>
      <c r="DF2676" s="1" t="s">
        <v>619</v>
      </c>
      <c r="DH2676" s="1" t="s">
        <v>220</v>
      </c>
      <c r="DJ2676" s="1" t="s">
        <v>222</v>
      </c>
      <c r="DK2676" s="1" t="s">
        <v>224</v>
      </c>
      <c r="DL2676" s="1" t="s">
        <v>223</v>
      </c>
      <c r="DM2676" s="1" t="s">
        <v>229</v>
      </c>
      <c r="DQ2676" s="1" t="s">
        <v>228</v>
      </c>
      <c r="DR2676" s="1" t="s">
        <v>229</v>
      </c>
      <c r="DV2676" s="1" t="s">
        <v>232</v>
      </c>
      <c r="DW2676" s="1" t="s">
        <v>279</v>
      </c>
      <c r="DX2676" s="1" t="s">
        <v>234</v>
      </c>
      <c r="EA2676" s="1" t="s">
        <v>644</v>
      </c>
      <c r="EC2676" s="1" t="s">
        <v>237</v>
      </c>
      <c r="EM2676" s="1" t="s">
        <v>238</v>
      </c>
      <c r="EQ2676" s="1" t="s">
        <v>238</v>
      </c>
      <c r="EU2676" s="1" t="s">
        <v>238</v>
      </c>
      <c r="EY2676" s="1" t="s">
        <v>238</v>
      </c>
      <c r="FC2676" s="1" t="s">
        <v>238</v>
      </c>
      <c r="FF2676" s="1" t="s">
        <v>239</v>
      </c>
      <c r="FG2676" s="1" t="s">
        <v>192</v>
      </c>
      <c r="FH2676" s="1" t="s">
        <v>192</v>
      </c>
      <c r="FJ2676" s="1" t="s">
        <v>561</v>
      </c>
      <c r="FK2676" s="1" t="s">
        <v>229</v>
      </c>
      <c r="FL2676" s="1" t="s">
        <v>7927</v>
      </c>
      <c r="FM2676" s="1">
        <v>85186.0</v>
      </c>
      <c r="FN2676" s="1" t="s">
        <v>7928</v>
      </c>
      <c r="FO2676" s="1" t="s">
        <v>23803</v>
      </c>
      <c r="FP2676" s="1">
        <v>874780.0</v>
      </c>
      <c r="FQ2676" s="1" t="s">
        <v>7928</v>
      </c>
      <c r="FU2676" s="1" t="s">
        <v>23804</v>
      </c>
      <c r="FV2676" s="1" t="s">
        <v>200</v>
      </c>
      <c r="FW2676" s="1" t="s">
        <v>290</v>
      </c>
      <c r="FX2676" s="1" t="s">
        <v>238</v>
      </c>
      <c r="FZ2676" s="1" t="s">
        <v>229</v>
      </c>
      <c r="GA2676" s="1" t="s">
        <v>291</v>
      </c>
      <c r="GB2676" s="2">
        <v>42060.0</v>
      </c>
    </row>
    <row r="2677">
      <c r="A2677" s="1">
        <v>920000.0</v>
      </c>
      <c r="B2677" s="1" t="s">
        <v>185</v>
      </c>
      <c r="C2677" s="1" t="str">
        <f>"08863657"</f>
        <v>08863657</v>
      </c>
      <c r="D2677" s="1" t="s">
        <v>186</v>
      </c>
      <c r="F2677" s="1" t="str">
        <f>"8077"</f>
        <v>8077</v>
      </c>
      <c r="G2677" s="2">
        <v>42080.0</v>
      </c>
      <c r="H2677" s="1">
        <v>925000.0</v>
      </c>
      <c r="I2677" s="1">
        <v>6.0</v>
      </c>
      <c r="J2677" s="1">
        <v>925000.0</v>
      </c>
      <c r="K2677" s="2">
        <v>42085.0</v>
      </c>
      <c r="L2677" s="1">
        <v>6.0</v>
      </c>
      <c r="M2677" s="2">
        <v>42085.0</v>
      </c>
      <c r="N2677" s="1" t="s">
        <v>187</v>
      </c>
      <c r="O2677" s="2">
        <v>42150.0</v>
      </c>
      <c r="P2677" s="1">
        <v>189926.0</v>
      </c>
      <c r="Q2677" s="1">
        <v>84025.0</v>
      </c>
      <c r="S2677" s="1">
        <v>5317.0</v>
      </c>
      <c r="T2677" s="1" t="s">
        <v>14182</v>
      </c>
      <c r="U2677" s="1" t="s">
        <v>189</v>
      </c>
      <c r="V2677" s="1" t="s">
        <v>190</v>
      </c>
      <c r="W2677" s="1">
        <v>60640.0</v>
      </c>
      <c r="Y2677" s="1" t="s">
        <v>23805</v>
      </c>
      <c r="Z2677" s="1">
        <v>1901.0</v>
      </c>
      <c r="AA2677" s="1" t="s">
        <v>192</v>
      </c>
      <c r="AB2677" s="1" t="s">
        <v>193</v>
      </c>
      <c r="AD2677" s="1" t="s">
        <v>194</v>
      </c>
      <c r="AE2677" s="1" t="s">
        <v>195</v>
      </c>
      <c r="AF2677" s="1" t="s">
        <v>534</v>
      </c>
      <c r="AH2677" s="1" t="s">
        <v>23806</v>
      </c>
      <c r="AI2677" s="1">
        <v>0.1059</v>
      </c>
      <c r="AK2677" s="1">
        <v>8.0</v>
      </c>
      <c r="AL2677" s="1">
        <v>4.0</v>
      </c>
      <c r="AM2677" s="1">
        <v>3.0</v>
      </c>
      <c r="AN2677" s="1">
        <v>1.0</v>
      </c>
      <c r="AO2677" s="1" t="s">
        <v>198</v>
      </c>
      <c r="AP2677" s="1">
        <v>1.0</v>
      </c>
      <c r="AQ2677" s="1" t="s">
        <v>198</v>
      </c>
      <c r="AR2677" s="1" t="s">
        <v>200</v>
      </c>
      <c r="AS2677" s="1" t="s">
        <v>199</v>
      </c>
      <c r="AT2677" s="1">
        <v>2.0</v>
      </c>
      <c r="AV2677" s="1" t="s">
        <v>200</v>
      </c>
      <c r="AW2677" s="1">
        <v>14516.8</v>
      </c>
      <c r="AX2677" s="1">
        <v>2013.0</v>
      </c>
      <c r="AY2677" s="1" t="s">
        <v>229</v>
      </c>
      <c r="AZ2677" s="1" t="s">
        <v>200</v>
      </c>
      <c r="BA2677" s="1" t="str">
        <f>"14081210100000"</f>
        <v>14081210100000</v>
      </c>
      <c r="BC2677" s="1">
        <v>3555.0</v>
      </c>
      <c r="BD2677" s="1">
        <v>920000.0</v>
      </c>
      <c r="BE2677" s="2">
        <v>42080.0</v>
      </c>
      <c r="BF2677" s="2" t="s">
        <v>23807</v>
      </c>
      <c r="BG2677" s="1" t="s">
        <v>4739</v>
      </c>
      <c r="BH2677" s="1">
        <v>0.0</v>
      </c>
      <c r="BJ2677" s="1" t="s">
        <v>4740</v>
      </c>
      <c r="BK2677" s="1" t="s">
        <v>204</v>
      </c>
      <c r="BL2677" s="1" t="str">
        <f>"5300"</f>
        <v>5300</v>
      </c>
      <c r="BM2677" s="1" t="str">
        <f t="shared" si="1748"/>
        <v>0</v>
      </c>
      <c r="BN2677" s="1">
        <v>1200.0</v>
      </c>
      <c r="BO2677" s="1">
        <v>0.0</v>
      </c>
      <c r="BQ2677" s="1">
        <v>299.0</v>
      </c>
      <c r="BR2677" s="1">
        <v>299.0</v>
      </c>
      <c r="BS2677" s="1">
        <v>299.0</v>
      </c>
      <c r="BU2677" s="1" t="s">
        <v>639</v>
      </c>
      <c r="BV2677" s="1" t="s">
        <v>206</v>
      </c>
      <c r="BW2677" s="1" t="s">
        <v>207</v>
      </c>
      <c r="BY2677" s="1" t="s">
        <v>3539</v>
      </c>
      <c r="BZ2677" s="1" t="s">
        <v>209</v>
      </c>
      <c r="CC2677" s="1" t="s">
        <v>1316</v>
      </c>
      <c r="CD2677" s="1" t="s">
        <v>206</v>
      </c>
      <c r="CE2677" s="1" t="s">
        <v>207</v>
      </c>
      <c r="CG2677" s="1" t="s">
        <v>1760</v>
      </c>
      <c r="CH2677" s="1" t="s">
        <v>209</v>
      </c>
      <c r="CK2677" s="1" t="s">
        <v>302</v>
      </c>
      <c r="CL2677" s="1" t="s">
        <v>209</v>
      </c>
      <c r="CO2677" s="1" t="s">
        <v>12565</v>
      </c>
      <c r="CP2677" s="1" t="s">
        <v>391</v>
      </c>
      <c r="CS2677" s="1" t="s">
        <v>1483</v>
      </c>
      <c r="CT2677" s="1" t="s">
        <v>206</v>
      </c>
      <c r="CX2677" s="1" t="s">
        <v>204</v>
      </c>
      <c r="DA2677" s="1" t="s">
        <v>200</v>
      </c>
      <c r="DC2677" s="1" t="s">
        <v>642</v>
      </c>
      <c r="DD2677" s="1" t="s">
        <v>759</v>
      </c>
      <c r="DE2677" s="1" t="s">
        <v>1810</v>
      </c>
      <c r="DF2677" s="1" t="s">
        <v>745</v>
      </c>
      <c r="DH2677" s="1" t="s">
        <v>365</v>
      </c>
      <c r="DJ2677" s="1" t="s">
        <v>222</v>
      </c>
      <c r="DK2677" s="1" t="s">
        <v>224</v>
      </c>
      <c r="DL2677" s="1" t="s">
        <v>223</v>
      </c>
      <c r="DM2677" s="1" t="s">
        <v>21783</v>
      </c>
      <c r="DN2677" s="1" t="s">
        <v>16489</v>
      </c>
      <c r="DP2677" s="1" t="s">
        <v>340</v>
      </c>
      <c r="DQ2677" s="1" t="s">
        <v>794</v>
      </c>
      <c r="DR2677" s="1" t="s">
        <v>229</v>
      </c>
      <c r="DS2677" s="1" t="s">
        <v>591</v>
      </c>
      <c r="DU2677" s="1" t="s">
        <v>1162</v>
      </c>
      <c r="DV2677" s="1" t="s">
        <v>23808</v>
      </c>
      <c r="DW2677" s="1" t="s">
        <v>233</v>
      </c>
      <c r="DX2677" s="1" t="s">
        <v>234</v>
      </c>
      <c r="DY2677" s="1" t="s">
        <v>404</v>
      </c>
      <c r="EB2677" s="1" t="s">
        <v>684</v>
      </c>
      <c r="EC2677" s="1" t="s">
        <v>406</v>
      </c>
      <c r="EE2677" s="1" t="s">
        <v>187</v>
      </c>
      <c r="EG2677" s="1" t="s">
        <v>1164</v>
      </c>
      <c r="EH2677" s="1" t="s">
        <v>720</v>
      </c>
      <c r="EI2677" s="1" t="s">
        <v>1103</v>
      </c>
      <c r="EJ2677" s="1" t="s">
        <v>409</v>
      </c>
      <c r="EK2677" s="1" t="s">
        <v>310</v>
      </c>
      <c r="EL2677" s="1" t="s">
        <v>1567</v>
      </c>
      <c r="EM2677" s="1" t="s">
        <v>206</v>
      </c>
      <c r="EN2677" s="1" t="s">
        <v>207</v>
      </c>
      <c r="EP2677" s="1" t="s">
        <v>939</v>
      </c>
      <c r="EQ2677" s="1" t="s">
        <v>206</v>
      </c>
      <c r="ET2677" s="1" t="s">
        <v>21813</v>
      </c>
      <c r="EU2677" s="1" t="s">
        <v>391</v>
      </c>
      <c r="EX2677" s="1" t="s">
        <v>1796</v>
      </c>
      <c r="EY2677" s="1" t="s">
        <v>209</v>
      </c>
      <c r="FB2677" s="1" t="s">
        <v>5640</v>
      </c>
      <c r="FC2677" s="1" t="s">
        <v>206</v>
      </c>
      <c r="FF2677" s="1" t="s">
        <v>239</v>
      </c>
      <c r="FG2677" s="1" t="s">
        <v>192</v>
      </c>
      <c r="FH2677" s="1" t="s">
        <v>192</v>
      </c>
      <c r="FJ2677" s="1" t="s">
        <v>799</v>
      </c>
      <c r="FK2677" s="1" t="s">
        <v>229</v>
      </c>
      <c r="FL2677" s="1" t="s">
        <v>562</v>
      </c>
      <c r="FM2677" s="1">
        <v>16379.0</v>
      </c>
      <c r="FN2677" s="1" t="s">
        <v>563</v>
      </c>
      <c r="FO2677" s="1" t="s">
        <v>21785</v>
      </c>
      <c r="FP2677" s="1">
        <v>113709.0</v>
      </c>
      <c r="FQ2677" s="1" t="s">
        <v>21786</v>
      </c>
      <c r="FU2677" s="1" t="s">
        <v>23809</v>
      </c>
      <c r="FV2677" s="1" t="s">
        <v>200</v>
      </c>
      <c r="FW2677" s="1" t="s">
        <v>530</v>
      </c>
      <c r="FX2677" s="1" t="s">
        <v>238</v>
      </c>
      <c r="FZ2677" s="1" t="s">
        <v>229</v>
      </c>
      <c r="GA2677" s="1" t="s">
        <v>291</v>
      </c>
      <c r="GB2677" s="2">
        <v>42150.0</v>
      </c>
    </row>
    <row r="2678">
      <c r="A2678" s="1">
        <v>478000.0</v>
      </c>
      <c r="B2678" s="1" t="s">
        <v>185</v>
      </c>
      <c r="C2678" s="1" t="str">
        <f>"08830267"</f>
        <v>08830267</v>
      </c>
      <c r="D2678" s="1" t="s">
        <v>186</v>
      </c>
      <c r="F2678" s="1" t="str">
        <f>"8021"</f>
        <v>8021</v>
      </c>
      <c r="G2678" s="2">
        <v>42038.0</v>
      </c>
      <c r="H2678" s="1">
        <v>499900.0</v>
      </c>
      <c r="I2678" s="1">
        <v>51.0</v>
      </c>
      <c r="J2678" s="1">
        <v>493900.0</v>
      </c>
      <c r="K2678" s="2">
        <v>42088.0</v>
      </c>
      <c r="L2678" s="1">
        <v>51.0</v>
      </c>
      <c r="M2678" s="2">
        <v>42088.0</v>
      </c>
      <c r="N2678" s="1" t="s">
        <v>187</v>
      </c>
      <c r="O2678" s="2">
        <v>42132.0</v>
      </c>
      <c r="P2678" s="1">
        <v>104618.0</v>
      </c>
      <c r="Q2678" s="1">
        <v>85470.0</v>
      </c>
      <c r="R2678" s="1">
        <v>6000.0</v>
      </c>
      <c r="S2678" s="1">
        <v>3509.0</v>
      </c>
      <c r="T2678" s="1" t="s">
        <v>15321</v>
      </c>
      <c r="U2678" s="1" t="s">
        <v>320</v>
      </c>
      <c r="V2678" s="1" t="s">
        <v>190</v>
      </c>
      <c r="W2678" s="1">
        <v>60618.0</v>
      </c>
      <c r="Y2678" s="1" t="s">
        <v>23810</v>
      </c>
      <c r="Z2678" s="1">
        <v>1900.0</v>
      </c>
      <c r="AA2678" s="1" t="s">
        <v>192</v>
      </c>
      <c r="AB2678" s="1" t="s">
        <v>193</v>
      </c>
      <c r="AD2678" s="1" t="s">
        <v>194</v>
      </c>
      <c r="AE2678" s="1" t="s">
        <v>195</v>
      </c>
      <c r="AF2678" s="1" t="s">
        <v>196</v>
      </c>
      <c r="AH2678" s="1" t="s">
        <v>18725</v>
      </c>
      <c r="AI2678" s="1">
        <v>0.07</v>
      </c>
      <c r="AK2678" s="1">
        <v>7.0</v>
      </c>
      <c r="AL2678" s="1">
        <v>4.0</v>
      </c>
      <c r="AM2678" s="1">
        <v>3.0</v>
      </c>
      <c r="AN2678" s="1">
        <v>1.0</v>
      </c>
      <c r="AO2678" s="1" t="s">
        <v>198</v>
      </c>
      <c r="AP2678" s="1">
        <v>0.0</v>
      </c>
      <c r="AQ2678" s="1" t="s">
        <v>198</v>
      </c>
      <c r="AR2678" s="1" t="s">
        <v>192</v>
      </c>
      <c r="AS2678" s="1" t="s">
        <v>199</v>
      </c>
      <c r="AT2678" s="1">
        <v>2.0</v>
      </c>
      <c r="AV2678" s="1" t="s">
        <v>200</v>
      </c>
      <c r="AW2678" s="1">
        <v>5110.0</v>
      </c>
      <c r="AX2678" s="1">
        <v>2013.0</v>
      </c>
      <c r="AZ2678" s="1" t="s">
        <v>200</v>
      </c>
      <c r="BA2678" s="1" t="str">
        <f>"13234090130000"</f>
        <v>13234090130000</v>
      </c>
      <c r="BC2678" s="1">
        <v>0.0</v>
      </c>
      <c r="BD2678" s="1">
        <v>478000.0</v>
      </c>
      <c r="BE2678" s="2">
        <v>42038.0</v>
      </c>
      <c r="BF2678" s="2" t="s">
        <v>23811</v>
      </c>
      <c r="BH2678" s="1">
        <v>0.0</v>
      </c>
      <c r="BK2678" s="1" t="s">
        <v>204</v>
      </c>
      <c r="BL2678" s="1" t="str">
        <f>"2400"</f>
        <v>2400</v>
      </c>
      <c r="BM2678" s="1" t="str">
        <f t="shared" si="1748"/>
        <v>0</v>
      </c>
      <c r="BN2678" s="1">
        <v>3509.0</v>
      </c>
      <c r="BO2678" s="1">
        <v>0.0</v>
      </c>
      <c r="BQ2678" s="1">
        <v>299.0</v>
      </c>
      <c r="BR2678" s="1">
        <v>299.0</v>
      </c>
      <c r="BS2678" s="1">
        <v>299.0</v>
      </c>
      <c r="BU2678" s="1" t="s">
        <v>1001</v>
      </c>
      <c r="BV2678" s="1" t="s">
        <v>209</v>
      </c>
      <c r="BY2678" s="1" t="s">
        <v>329</v>
      </c>
      <c r="BZ2678" s="1" t="s">
        <v>391</v>
      </c>
      <c r="CC2678" s="1" t="s">
        <v>269</v>
      </c>
      <c r="CD2678" s="1" t="s">
        <v>209</v>
      </c>
      <c r="CG2678" s="1" t="s">
        <v>1351</v>
      </c>
      <c r="CH2678" s="1" t="s">
        <v>391</v>
      </c>
      <c r="CK2678" s="1" t="s">
        <v>1351</v>
      </c>
      <c r="CL2678" s="1" t="s">
        <v>391</v>
      </c>
      <c r="CO2678" s="1" t="s">
        <v>516</v>
      </c>
      <c r="CP2678" s="1" t="s">
        <v>206</v>
      </c>
      <c r="CS2678" s="1" t="s">
        <v>1417</v>
      </c>
      <c r="CT2678" s="1" t="s">
        <v>209</v>
      </c>
      <c r="CX2678" s="1" t="s">
        <v>204</v>
      </c>
      <c r="DA2678" s="1" t="s">
        <v>200</v>
      </c>
      <c r="DC2678" s="1" t="s">
        <v>642</v>
      </c>
      <c r="DD2678" s="1" t="s">
        <v>731</v>
      </c>
      <c r="DE2678" s="1" t="s">
        <v>273</v>
      </c>
      <c r="DF2678" s="1" t="s">
        <v>619</v>
      </c>
      <c r="DG2678" s="1" t="s">
        <v>337</v>
      </c>
      <c r="DH2678" s="1" t="s">
        <v>220</v>
      </c>
      <c r="DI2678" s="1" t="s">
        <v>366</v>
      </c>
      <c r="DJ2678" s="1" t="s">
        <v>222</v>
      </c>
      <c r="DK2678" s="1" t="s">
        <v>223</v>
      </c>
      <c r="DL2678" s="1" t="s">
        <v>224</v>
      </c>
      <c r="DM2678" s="1" t="s">
        <v>1658</v>
      </c>
      <c r="DN2678" s="1" t="s">
        <v>485</v>
      </c>
      <c r="DO2678" s="1" t="s">
        <v>549</v>
      </c>
      <c r="DP2678" s="1" t="s">
        <v>340</v>
      </c>
      <c r="DQ2678" s="1" t="s">
        <v>228</v>
      </c>
      <c r="DR2678" s="1" t="s">
        <v>229</v>
      </c>
      <c r="DS2678" s="1" t="s">
        <v>591</v>
      </c>
      <c r="DV2678" s="1" t="s">
        <v>232</v>
      </c>
      <c r="DW2678" s="1" t="s">
        <v>832</v>
      </c>
      <c r="DX2678" s="1" t="s">
        <v>234</v>
      </c>
      <c r="DZ2678" s="1" t="s">
        <v>310</v>
      </c>
      <c r="EA2678" s="1" t="s">
        <v>12644</v>
      </c>
      <c r="EC2678" s="1" t="s">
        <v>237</v>
      </c>
      <c r="ED2678" s="1" t="s">
        <v>1406</v>
      </c>
      <c r="EM2678" s="1" t="s">
        <v>238</v>
      </c>
      <c r="EQ2678" s="1" t="s">
        <v>238</v>
      </c>
      <c r="EU2678" s="1" t="s">
        <v>238</v>
      </c>
      <c r="EY2678" s="1" t="s">
        <v>238</v>
      </c>
      <c r="FC2678" s="1" t="s">
        <v>238</v>
      </c>
      <c r="FF2678" s="1" t="s">
        <v>239</v>
      </c>
      <c r="FG2678" s="1" t="s">
        <v>192</v>
      </c>
      <c r="FH2678" s="1" t="s">
        <v>192</v>
      </c>
      <c r="FJ2678" s="1" t="s">
        <v>799</v>
      </c>
      <c r="FK2678" s="1" t="s">
        <v>229</v>
      </c>
      <c r="FL2678" s="1" t="s">
        <v>7927</v>
      </c>
      <c r="FM2678" s="1">
        <v>85475.0</v>
      </c>
      <c r="FN2678" s="1" t="s">
        <v>7928</v>
      </c>
      <c r="FO2678" s="1" t="s">
        <v>23668</v>
      </c>
      <c r="FP2678" s="1">
        <v>877972.0</v>
      </c>
      <c r="FU2678" s="1" t="s">
        <v>4733</v>
      </c>
      <c r="FV2678" s="1" t="s">
        <v>192</v>
      </c>
      <c r="FW2678" s="1" t="s">
        <v>290</v>
      </c>
      <c r="FX2678" s="1" t="s">
        <v>246</v>
      </c>
      <c r="FZ2678" s="1" t="s">
        <v>229</v>
      </c>
      <c r="GA2678" s="1" t="s">
        <v>291</v>
      </c>
      <c r="GB2678" s="2">
        <v>42135.0</v>
      </c>
      <c r="GC2678" s="1" t="s">
        <v>23812</v>
      </c>
    </row>
    <row r="2679">
      <c r="A2679" s="1">
        <v>399000.0</v>
      </c>
      <c r="B2679" s="1" t="s">
        <v>185</v>
      </c>
      <c r="C2679" s="1" t="str">
        <f>"08830913"</f>
        <v>08830913</v>
      </c>
      <c r="D2679" s="1" t="s">
        <v>186</v>
      </c>
      <c r="F2679" s="1" t="str">
        <f>"119"</f>
        <v>119</v>
      </c>
      <c r="G2679" s="2">
        <v>42039.0</v>
      </c>
      <c r="H2679" s="1">
        <v>435900.0</v>
      </c>
      <c r="I2679" s="1">
        <v>37.0</v>
      </c>
      <c r="J2679" s="1">
        <v>399900.0</v>
      </c>
      <c r="K2679" s="2">
        <v>42075.0</v>
      </c>
      <c r="L2679" s="1">
        <v>37.0</v>
      </c>
      <c r="M2679" s="2">
        <v>42075.0</v>
      </c>
      <c r="N2679" s="1" t="s">
        <v>187</v>
      </c>
      <c r="O2679" s="2">
        <v>42109.0</v>
      </c>
      <c r="P2679" s="1">
        <v>8735.0</v>
      </c>
      <c r="Q2679" s="1">
        <v>37.0</v>
      </c>
      <c r="S2679" s="1" t="s">
        <v>23813</v>
      </c>
      <c r="T2679" s="1" t="s">
        <v>23814</v>
      </c>
      <c r="U2679" s="1" t="s">
        <v>569</v>
      </c>
      <c r="V2679" s="1" t="s">
        <v>1476</v>
      </c>
      <c r="W2679" s="1">
        <v>60119.0</v>
      </c>
      <c r="Y2679" s="1" t="s">
        <v>23815</v>
      </c>
      <c r="Z2679" s="1">
        <v>1998.0</v>
      </c>
      <c r="AA2679" s="1" t="s">
        <v>200</v>
      </c>
      <c r="AB2679" s="1" t="s">
        <v>193</v>
      </c>
      <c r="AD2679" s="1" t="s">
        <v>1089</v>
      </c>
      <c r="AE2679" s="1" t="s">
        <v>325</v>
      </c>
      <c r="AF2679" s="1" t="s">
        <v>1479</v>
      </c>
      <c r="AH2679" s="1" t="s">
        <v>23816</v>
      </c>
      <c r="AI2679" s="1">
        <v>1.0005</v>
      </c>
      <c r="AK2679" s="1">
        <v>10.0</v>
      </c>
      <c r="AL2679" s="1">
        <v>4.0</v>
      </c>
      <c r="AM2679" s="1">
        <v>4.0</v>
      </c>
      <c r="AN2679" s="1">
        <v>0.0</v>
      </c>
      <c r="AO2679" s="1" t="s">
        <v>198</v>
      </c>
      <c r="AP2679" s="1">
        <v>1.0</v>
      </c>
      <c r="AQ2679" s="1" t="s">
        <v>472</v>
      </c>
      <c r="AR2679" s="1" t="s">
        <v>200</v>
      </c>
      <c r="AS2679" s="1" t="s">
        <v>199</v>
      </c>
      <c r="AT2679" s="1">
        <v>3.0</v>
      </c>
      <c r="AV2679" s="1" t="s">
        <v>200</v>
      </c>
      <c r="AW2679" s="1">
        <v>13826.6</v>
      </c>
      <c r="AX2679" s="1">
        <v>2013.0</v>
      </c>
      <c r="AZ2679" s="1" t="s">
        <v>200</v>
      </c>
      <c r="BA2679" s="1" t="str">
        <f>"1129151011"</f>
        <v>1129151011</v>
      </c>
      <c r="BC2679" s="1">
        <v>3847.0</v>
      </c>
      <c r="BD2679" s="1">
        <v>399000.0</v>
      </c>
      <c r="BE2679" s="2">
        <v>42039.0</v>
      </c>
      <c r="BF2679" s="2" t="s">
        <v>23817</v>
      </c>
      <c r="BH2679" s="1">
        <v>0.0</v>
      </c>
      <c r="BK2679" s="1" t="s">
        <v>204</v>
      </c>
      <c r="BL2679" s="1" t="str">
        <f t="shared" ref="BL2679:BM2679" si="1749">""</f>
        <v/>
      </c>
      <c r="BM2679" s="1" t="str">
        <f t="shared" si="1749"/>
        <v/>
      </c>
      <c r="BQ2679" s="1">
        <v>302.0</v>
      </c>
      <c r="BR2679" s="1">
        <v>302.0</v>
      </c>
      <c r="BS2679" s="1">
        <v>302.0</v>
      </c>
      <c r="BU2679" s="1" t="s">
        <v>363</v>
      </c>
      <c r="BV2679" s="1" t="s">
        <v>206</v>
      </c>
      <c r="BW2679" s="1" t="s">
        <v>210</v>
      </c>
      <c r="BY2679" s="1" t="s">
        <v>1534</v>
      </c>
      <c r="BZ2679" s="1" t="s">
        <v>206</v>
      </c>
      <c r="CA2679" s="1" t="s">
        <v>210</v>
      </c>
      <c r="CC2679" s="1" t="s">
        <v>743</v>
      </c>
      <c r="CD2679" s="1" t="s">
        <v>206</v>
      </c>
      <c r="CE2679" s="1" t="s">
        <v>210</v>
      </c>
      <c r="CG2679" s="1" t="s">
        <v>393</v>
      </c>
      <c r="CH2679" s="1" t="s">
        <v>209</v>
      </c>
      <c r="CI2679" s="1" t="s">
        <v>210</v>
      </c>
      <c r="CK2679" s="1" t="s">
        <v>584</v>
      </c>
      <c r="CL2679" s="1" t="s">
        <v>209</v>
      </c>
      <c r="CM2679" s="1" t="s">
        <v>210</v>
      </c>
      <c r="CO2679" s="1" t="s">
        <v>363</v>
      </c>
      <c r="CP2679" s="1" t="s">
        <v>209</v>
      </c>
      <c r="CQ2679" s="1" t="s">
        <v>210</v>
      </c>
      <c r="CS2679" s="1" t="s">
        <v>433</v>
      </c>
      <c r="CT2679" s="1" t="s">
        <v>206</v>
      </c>
      <c r="CU2679" s="1" t="s">
        <v>268</v>
      </c>
      <c r="CW2679" s="1" t="s">
        <v>480</v>
      </c>
      <c r="CX2679" s="1" t="s">
        <v>206</v>
      </c>
      <c r="CY2679" s="1" t="s">
        <v>210</v>
      </c>
      <c r="DA2679" s="1" t="s">
        <v>200</v>
      </c>
      <c r="DC2679" s="1" t="s">
        <v>678</v>
      </c>
      <c r="DD2679" s="1" t="s">
        <v>731</v>
      </c>
      <c r="DE2679" s="1" t="s">
        <v>273</v>
      </c>
      <c r="DF2679" s="1" t="s">
        <v>219</v>
      </c>
      <c r="DH2679" s="1" t="s">
        <v>856</v>
      </c>
      <c r="DJ2679" s="1" t="s">
        <v>857</v>
      </c>
      <c r="DL2679" s="1" t="s">
        <v>223</v>
      </c>
      <c r="DM2679" s="1" t="s">
        <v>229</v>
      </c>
      <c r="DN2679" s="1" t="s">
        <v>548</v>
      </c>
      <c r="DP2679" s="1" t="s">
        <v>340</v>
      </c>
      <c r="DQ2679" s="1" t="s">
        <v>931</v>
      </c>
      <c r="DR2679" s="1" t="s">
        <v>229</v>
      </c>
      <c r="DV2679" s="1" t="s">
        <v>23818</v>
      </c>
      <c r="DW2679" s="1" t="s">
        <v>588</v>
      </c>
      <c r="DX2679" s="1" t="s">
        <v>234</v>
      </c>
      <c r="DY2679" s="1" t="s">
        <v>16748</v>
      </c>
      <c r="EB2679" s="1" t="s">
        <v>684</v>
      </c>
      <c r="EC2679" s="1" t="s">
        <v>237</v>
      </c>
      <c r="EG2679" s="1" t="s">
        <v>556</v>
      </c>
      <c r="EH2679" s="1" t="s">
        <v>494</v>
      </c>
      <c r="EI2679" s="1" t="s">
        <v>2129</v>
      </c>
      <c r="EL2679" s="1" t="s">
        <v>699</v>
      </c>
      <c r="EM2679" s="1" t="s">
        <v>206</v>
      </c>
      <c r="EN2679" s="1" t="s">
        <v>268</v>
      </c>
      <c r="EP2679" s="1" t="s">
        <v>699</v>
      </c>
      <c r="EQ2679" s="1" t="s">
        <v>206</v>
      </c>
      <c r="ER2679" s="1" t="s">
        <v>210</v>
      </c>
      <c r="ET2679" s="1" t="s">
        <v>798</v>
      </c>
      <c r="EU2679" s="1" t="s">
        <v>206</v>
      </c>
      <c r="EY2679" s="1" t="s">
        <v>238</v>
      </c>
      <c r="FC2679" s="1" t="s">
        <v>238</v>
      </c>
      <c r="FF2679" s="1" t="s">
        <v>239</v>
      </c>
      <c r="FG2679" s="1" t="s">
        <v>192</v>
      </c>
      <c r="FH2679" s="1" t="s">
        <v>192</v>
      </c>
      <c r="FJ2679" s="1" t="s">
        <v>1248</v>
      </c>
      <c r="FK2679" s="1" t="s">
        <v>229</v>
      </c>
      <c r="FL2679" s="1" t="s">
        <v>2184</v>
      </c>
      <c r="FM2679" s="1">
        <v>605.0</v>
      </c>
      <c r="FN2679" s="1" t="s">
        <v>2185</v>
      </c>
      <c r="FO2679" s="1" t="s">
        <v>1738</v>
      </c>
      <c r="FP2679" s="1">
        <v>170.0</v>
      </c>
      <c r="FQ2679" s="1" t="s">
        <v>2185</v>
      </c>
      <c r="FS2679" s="1" t="s">
        <v>3468</v>
      </c>
      <c r="FU2679" s="1" t="s">
        <v>3469</v>
      </c>
      <c r="FV2679" s="1" t="s">
        <v>192</v>
      </c>
      <c r="FW2679" s="1" t="s">
        <v>1307</v>
      </c>
      <c r="FZ2679" s="1" t="s">
        <v>229</v>
      </c>
      <c r="GA2679" s="1" t="s">
        <v>291</v>
      </c>
      <c r="GB2679" s="2">
        <v>42109.0</v>
      </c>
      <c r="GC2679" s="1" t="s">
        <v>23819</v>
      </c>
    </row>
    <row r="2680">
      <c r="A2680" s="1">
        <v>587000.0</v>
      </c>
      <c r="B2680" s="1" t="s">
        <v>185</v>
      </c>
      <c r="C2680" s="1" t="str">
        <f>"08832829"</f>
        <v>08832829</v>
      </c>
      <c r="D2680" s="1" t="s">
        <v>186</v>
      </c>
      <c r="F2680" s="1" t="str">
        <f>"8012"</f>
        <v>8012</v>
      </c>
      <c r="G2680" s="2">
        <v>42041.0</v>
      </c>
      <c r="H2680" s="1">
        <v>599000.0</v>
      </c>
      <c r="I2680" s="1">
        <v>13.0</v>
      </c>
      <c r="J2680" s="1">
        <v>599000.0</v>
      </c>
      <c r="K2680" s="2">
        <v>42053.0</v>
      </c>
      <c r="L2680" s="1">
        <v>13.0</v>
      </c>
      <c r="M2680" s="2">
        <v>42053.0</v>
      </c>
      <c r="N2680" s="1" t="s">
        <v>187</v>
      </c>
      <c r="O2680" s="2">
        <v>42094.0</v>
      </c>
      <c r="P2680" s="1">
        <v>145590.0</v>
      </c>
      <c r="Q2680" s="1">
        <v>85742.0</v>
      </c>
      <c r="S2680" s="1">
        <v>4235.0</v>
      </c>
      <c r="T2680" s="1" t="s">
        <v>23820</v>
      </c>
      <c r="U2680" s="1" t="s">
        <v>189</v>
      </c>
      <c r="V2680" s="1" t="s">
        <v>190</v>
      </c>
      <c r="W2680" s="1">
        <v>60646.0</v>
      </c>
      <c r="X2680" s="1">
        <v>5126.0</v>
      </c>
      <c r="Y2680" s="1" t="s">
        <v>23821</v>
      </c>
      <c r="Z2680" s="1" t="s">
        <v>296</v>
      </c>
      <c r="AA2680" s="1" t="s">
        <v>192</v>
      </c>
      <c r="AB2680" s="1" t="s">
        <v>193</v>
      </c>
      <c r="AC2680" s="1" t="s">
        <v>17093</v>
      </c>
      <c r="AD2680" s="1" t="s">
        <v>194</v>
      </c>
      <c r="AE2680" s="1" t="s">
        <v>195</v>
      </c>
      <c r="AF2680" s="1" t="s">
        <v>196</v>
      </c>
      <c r="AH2680" s="1" t="s">
        <v>23822</v>
      </c>
      <c r="AI2680" s="1">
        <v>0.1212</v>
      </c>
      <c r="AK2680" s="1">
        <v>9.0</v>
      </c>
      <c r="AL2680" s="1">
        <v>3.0</v>
      </c>
      <c r="AM2680" s="1">
        <v>3.0</v>
      </c>
      <c r="AN2680" s="1">
        <v>1.0</v>
      </c>
      <c r="AO2680" s="1" t="s">
        <v>198</v>
      </c>
      <c r="AP2680" s="1">
        <v>2.0</v>
      </c>
      <c r="AQ2680" s="1" t="s">
        <v>198</v>
      </c>
      <c r="AR2680" s="1" t="s">
        <v>192</v>
      </c>
      <c r="AS2680" s="1" t="s">
        <v>199</v>
      </c>
      <c r="AT2680" s="1">
        <v>2.0</v>
      </c>
      <c r="AV2680" s="1" t="s">
        <v>200</v>
      </c>
      <c r="AW2680" s="1">
        <v>6315.0</v>
      </c>
      <c r="AX2680" s="1">
        <v>2013.0</v>
      </c>
      <c r="AY2680" s="1" t="s">
        <v>387</v>
      </c>
      <c r="AZ2680" s="1" t="s">
        <v>200</v>
      </c>
      <c r="BA2680" s="1" t="str">
        <f>"13032190170000"</f>
        <v>13032190170000</v>
      </c>
      <c r="BB2680" s="1" t="s">
        <v>200</v>
      </c>
      <c r="BC2680" s="1">
        <v>0.0</v>
      </c>
      <c r="BD2680" s="1">
        <v>587000.0</v>
      </c>
      <c r="BE2680" s="2">
        <v>42041.0</v>
      </c>
      <c r="BF2680" s="2" t="s">
        <v>23823</v>
      </c>
      <c r="BH2680" s="1">
        <v>0.0</v>
      </c>
      <c r="BK2680" s="1" t="s">
        <v>204</v>
      </c>
      <c r="BL2680" s="1" t="str">
        <f>"6200"</f>
        <v>6200</v>
      </c>
      <c r="BM2680" s="1" t="str">
        <f t="shared" ref="BM2680:BM2681" si="1750">"0"</f>
        <v>0</v>
      </c>
      <c r="BN2680" s="1">
        <v>4235.0</v>
      </c>
      <c r="BO2680" s="1">
        <v>0.0</v>
      </c>
      <c r="BQ2680" s="1">
        <v>299.0</v>
      </c>
      <c r="BR2680" s="1">
        <v>299.0</v>
      </c>
      <c r="BS2680" s="1">
        <v>299.0</v>
      </c>
      <c r="BU2680" s="1" t="s">
        <v>6315</v>
      </c>
      <c r="BV2680" s="1" t="s">
        <v>206</v>
      </c>
      <c r="BW2680" s="1" t="s">
        <v>207</v>
      </c>
      <c r="BX2680" s="1" t="s">
        <v>1549</v>
      </c>
      <c r="BY2680" s="1" t="s">
        <v>6315</v>
      </c>
      <c r="BZ2680" s="1" t="s">
        <v>209</v>
      </c>
      <c r="CB2680" s="1" t="s">
        <v>1549</v>
      </c>
      <c r="CC2680" s="1" t="s">
        <v>1567</v>
      </c>
      <c r="CD2680" s="1" t="s">
        <v>206</v>
      </c>
      <c r="CE2680" s="1" t="s">
        <v>207</v>
      </c>
      <c r="CF2680" s="1" t="s">
        <v>1549</v>
      </c>
      <c r="CG2680" s="1" t="s">
        <v>584</v>
      </c>
      <c r="CH2680" s="1" t="s">
        <v>209</v>
      </c>
      <c r="CI2680" s="1" t="s">
        <v>207</v>
      </c>
      <c r="CK2680" s="1" t="s">
        <v>497</v>
      </c>
      <c r="CL2680" s="1" t="s">
        <v>209</v>
      </c>
      <c r="CN2680" s="1" t="s">
        <v>1549</v>
      </c>
      <c r="CO2680" s="1" t="s">
        <v>1043</v>
      </c>
      <c r="CP2680" s="1" t="s">
        <v>42</v>
      </c>
      <c r="CS2680" s="1" t="s">
        <v>830</v>
      </c>
      <c r="CT2680" s="1" t="s">
        <v>206</v>
      </c>
      <c r="CU2680" s="1" t="s">
        <v>268</v>
      </c>
      <c r="CW2680" s="1" t="s">
        <v>6315</v>
      </c>
      <c r="CX2680" s="1" t="s">
        <v>267</v>
      </c>
      <c r="CY2680" s="1" t="s">
        <v>5126</v>
      </c>
      <c r="DA2680" s="1" t="s">
        <v>200</v>
      </c>
      <c r="DC2680" s="1" t="s">
        <v>702</v>
      </c>
      <c r="DE2680" s="1" t="s">
        <v>273</v>
      </c>
      <c r="DF2680" s="1" t="s">
        <v>219</v>
      </c>
      <c r="DH2680" s="1" t="s">
        <v>365</v>
      </c>
      <c r="DJ2680" s="1" t="s">
        <v>222</v>
      </c>
      <c r="DL2680" s="1" t="s">
        <v>224</v>
      </c>
      <c r="DM2680" s="1" t="s">
        <v>3697</v>
      </c>
      <c r="DN2680" s="1" t="s">
        <v>12863</v>
      </c>
      <c r="DO2680" s="1" t="s">
        <v>717</v>
      </c>
      <c r="DQ2680" s="1" t="s">
        <v>794</v>
      </c>
      <c r="DR2680" s="1" t="s">
        <v>229</v>
      </c>
      <c r="DS2680" s="1" t="s">
        <v>230</v>
      </c>
      <c r="DV2680" s="1" t="s">
        <v>23824</v>
      </c>
      <c r="DW2680" s="1" t="s">
        <v>279</v>
      </c>
      <c r="DX2680" s="1" t="s">
        <v>234</v>
      </c>
      <c r="DY2680" s="1" t="s">
        <v>4490</v>
      </c>
      <c r="EA2680" s="1" t="s">
        <v>13316</v>
      </c>
      <c r="EC2680" s="1" t="s">
        <v>237</v>
      </c>
      <c r="ED2680" s="1" t="s">
        <v>4163</v>
      </c>
      <c r="EE2680" s="1" t="s">
        <v>187</v>
      </c>
      <c r="EG2680" s="1" t="s">
        <v>408</v>
      </c>
      <c r="EH2680" s="1" t="s">
        <v>1121</v>
      </c>
      <c r="EI2680" s="1" t="s">
        <v>5618</v>
      </c>
      <c r="EJ2680" s="1" t="s">
        <v>409</v>
      </c>
      <c r="EL2680" s="1" t="s">
        <v>14311</v>
      </c>
      <c r="EM2680" s="1" t="s">
        <v>206</v>
      </c>
      <c r="EP2680" s="1" t="s">
        <v>699</v>
      </c>
      <c r="EQ2680" s="1" t="s">
        <v>206</v>
      </c>
      <c r="ER2680" s="1" t="s">
        <v>207</v>
      </c>
      <c r="ET2680" s="1" t="s">
        <v>1329</v>
      </c>
      <c r="EU2680" s="1" t="s">
        <v>209</v>
      </c>
      <c r="EX2680" s="1" t="s">
        <v>4450</v>
      </c>
      <c r="EY2680" s="1" t="s">
        <v>209</v>
      </c>
      <c r="FC2680" s="1" t="s">
        <v>238</v>
      </c>
      <c r="FF2680" s="1" t="s">
        <v>239</v>
      </c>
      <c r="FG2680" s="1" t="s">
        <v>192</v>
      </c>
      <c r="FH2680" s="1" t="s">
        <v>192</v>
      </c>
      <c r="FJ2680" s="1" t="s">
        <v>2805</v>
      </c>
      <c r="FK2680" s="1" t="s">
        <v>229</v>
      </c>
      <c r="FL2680" s="1" t="s">
        <v>6261</v>
      </c>
      <c r="FM2680" s="1">
        <v>18505.0</v>
      </c>
      <c r="FN2680" s="1" t="s">
        <v>6262</v>
      </c>
      <c r="FO2680" s="1" t="s">
        <v>23825</v>
      </c>
      <c r="FP2680" s="1">
        <v>160028.0</v>
      </c>
      <c r="FQ2680" s="1" t="s">
        <v>23826</v>
      </c>
      <c r="FU2680" s="1" t="s">
        <v>23827</v>
      </c>
      <c r="FV2680" s="1" t="s">
        <v>200</v>
      </c>
      <c r="FW2680" s="1" t="s">
        <v>567</v>
      </c>
      <c r="FX2680" s="1" t="s">
        <v>246</v>
      </c>
      <c r="FZ2680" s="1" t="s">
        <v>229</v>
      </c>
      <c r="GA2680" s="1" t="s">
        <v>291</v>
      </c>
      <c r="GB2680" s="2">
        <v>42096.0</v>
      </c>
    </row>
    <row r="2681">
      <c r="A2681" s="1">
        <v>935000.0</v>
      </c>
      <c r="B2681" s="1" t="s">
        <v>185</v>
      </c>
      <c r="C2681" s="1" t="str">
        <f>"08826927"</f>
        <v>08826927</v>
      </c>
      <c r="D2681" s="1" t="s">
        <v>186</v>
      </c>
      <c r="F2681" s="1" t="str">
        <f>"8024"</f>
        <v>8024</v>
      </c>
      <c r="G2681" s="2">
        <v>42033.0</v>
      </c>
      <c r="H2681" s="1">
        <v>929000.0</v>
      </c>
      <c r="I2681" s="1">
        <v>197.0</v>
      </c>
      <c r="J2681" s="1">
        <v>929000.0</v>
      </c>
      <c r="K2681" s="2">
        <v>42050.0</v>
      </c>
      <c r="L2681" s="1">
        <v>18.0</v>
      </c>
      <c r="M2681" s="2">
        <v>42050.0</v>
      </c>
      <c r="N2681" s="1" t="s">
        <v>187</v>
      </c>
      <c r="O2681" s="2">
        <v>42103.0</v>
      </c>
      <c r="P2681" s="1">
        <v>173243.0</v>
      </c>
      <c r="Q2681" s="1">
        <v>13295.0</v>
      </c>
      <c r="S2681" s="1">
        <v>2111.0</v>
      </c>
      <c r="T2681" s="1" t="s">
        <v>15595</v>
      </c>
      <c r="U2681" s="1" t="s">
        <v>189</v>
      </c>
      <c r="V2681" s="1" t="s">
        <v>190</v>
      </c>
      <c r="W2681" s="1">
        <v>60612.0</v>
      </c>
      <c r="Y2681" s="1" t="s">
        <v>23828</v>
      </c>
      <c r="Z2681" s="1">
        <v>2015.0</v>
      </c>
      <c r="AA2681" s="1" t="s">
        <v>200</v>
      </c>
      <c r="AB2681" s="1" t="s">
        <v>193</v>
      </c>
      <c r="AD2681" s="1" t="s">
        <v>194</v>
      </c>
      <c r="AE2681" s="1" t="s">
        <v>195</v>
      </c>
      <c r="AF2681" s="1" t="s">
        <v>827</v>
      </c>
      <c r="AH2681" s="1" t="s">
        <v>16984</v>
      </c>
      <c r="AK2681" s="1">
        <v>8.0</v>
      </c>
      <c r="AL2681" s="1">
        <v>4.0</v>
      </c>
      <c r="AM2681" s="1">
        <v>3.0</v>
      </c>
      <c r="AN2681" s="1">
        <v>1.0</v>
      </c>
      <c r="AO2681" s="1" t="s">
        <v>198</v>
      </c>
      <c r="AQ2681" s="1" t="s">
        <v>472</v>
      </c>
      <c r="AR2681" s="1" t="s">
        <v>192</v>
      </c>
      <c r="AS2681" s="1" t="s">
        <v>199</v>
      </c>
      <c r="AT2681" s="1">
        <v>2.0</v>
      </c>
      <c r="AV2681" s="1" t="s">
        <v>200</v>
      </c>
      <c r="AW2681" s="1" t="s">
        <v>575</v>
      </c>
      <c r="AX2681" s="1">
        <v>2013.0</v>
      </c>
      <c r="AZ2681" s="1" t="s">
        <v>200</v>
      </c>
      <c r="BA2681" s="1" t="str">
        <f>"17071230210000"</f>
        <v>17071230210000</v>
      </c>
      <c r="BC2681" s="1">
        <v>3300.0</v>
      </c>
      <c r="BD2681" s="1">
        <v>935000.0</v>
      </c>
      <c r="BE2681" s="2">
        <v>42033.0</v>
      </c>
      <c r="BF2681" s="2" t="s">
        <v>23829</v>
      </c>
      <c r="BH2681" s="1">
        <v>0.0</v>
      </c>
      <c r="BK2681" s="1" t="s">
        <v>204</v>
      </c>
      <c r="BL2681" s="1" t="str">
        <f>"550"</f>
        <v>550</v>
      </c>
      <c r="BM2681" s="1" t="str">
        <f t="shared" si="1750"/>
        <v>0</v>
      </c>
      <c r="BN2681" s="1">
        <v>2111.0</v>
      </c>
      <c r="BO2681" s="1">
        <v>0.0</v>
      </c>
      <c r="BQ2681" s="1">
        <v>299.0</v>
      </c>
      <c r="BR2681" s="1">
        <v>299.0</v>
      </c>
      <c r="BS2681" s="1">
        <v>299.0</v>
      </c>
      <c r="BU2681" s="1" t="s">
        <v>390</v>
      </c>
      <c r="BV2681" s="1" t="s">
        <v>206</v>
      </c>
      <c r="BW2681" s="1" t="s">
        <v>207</v>
      </c>
      <c r="BY2681" s="1" t="s">
        <v>390</v>
      </c>
      <c r="BZ2681" s="1" t="s">
        <v>209</v>
      </c>
      <c r="CA2681" s="1" t="s">
        <v>207</v>
      </c>
      <c r="CC2681" s="1" t="s">
        <v>1395</v>
      </c>
      <c r="CD2681" s="1" t="s">
        <v>206</v>
      </c>
      <c r="CE2681" s="1" t="s">
        <v>207</v>
      </c>
      <c r="CG2681" s="1" t="s">
        <v>332</v>
      </c>
      <c r="CH2681" s="1" t="s">
        <v>209</v>
      </c>
      <c r="CI2681" s="1" t="s">
        <v>207</v>
      </c>
      <c r="CK2681" s="1" t="s">
        <v>303</v>
      </c>
      <c r="CL2681" s="1" t="s">
        <v>209</v>
      </c>
      <c r="CM2681" s="1" t="s">
        <v>207</v>
      </c>
      <c r="CO2681" s="1" t="s">
        <v>392</v>
      </c>
      <c r="CP2681" s="1" t="s">
        <v>267</v>
      </c>
      <c r="CQ2681" s="1" t="s">
        <v>588</v>
      </c>
      <c r="CS2681" s="1" t="s">
        <v>662</v>
      </c>
      <c r="CT2681" s="1" t="s">
        <v>206</v>
      </c>
      <c r="CW2681" s="1" t="s">
        <v>11441</v>
      </c>
      <c r="CX2681" s="1" t="s">
        <v>267</v>
      </c>
      <c r="CY2681" s="1" t="s">
        <v>207</v>
      </c>
      <c r="DA2681" s="1" t="s">
        <v>192</v>
      </c>
      <c r="DB2681" s="2">
        <v>42036.0</v>
      </c>
      <c r="DC2681" s="1" t="s">
        <v>1353</v>
      </c>
      <c r="DD2681" s="1" t="s">
        <v>3633</v>
      </c>
      <c r="DE2681" s="1" t="s">
        <v>273</v>
      </c>
      <c r="DF2681" s="1" t="s">
        <v>23830</v>
      </c>
      <c r="DH2681" s="1" t="s">
        <v>365</v>
      </c>
      <c r="DI2681" s="1" t="s">
        <v>2329</v>
      </c>
      <c r="DJ2681" s="1" t="s">
        <v>222</v>
      </c>
      <c r="DL2681" s="1" t="s">
        <v>224</v>
      </c>
      <c r="DM2681" s="1" t="s">
        <v>1658</v>
      </c>
      <c r="DN2681" s="1" t="s">
        <v>5467</v>
      </c>
      <c r="DP2681" s="1" t="s">
        <v>340</v>
      </c>
      <c r="DQ2681" s="1" t="s">
        <v>228</v>
      </c>
      <c r="DR2681" s="1" t="s">
        <v>229</v>
      </c>
      <c r="DS2681" s="1" t="s">
        <v>591</v>
      </c>
      <c r="DU2681" s="1" t="s">
        <v>23831</v>
      </c>
      <c r="DV2681" s="1" t="s">
        <v>23832</v>
      </c>
      <c r="DW2681" s="1" t="s">
        <v>1026</v>
      </c>
      <c r="DX2681" s="1" t="s">
        <v>234</v>
      </c>
      <c r="DY2681" s="1" t="s">
        <v>23833</v>
      </c>
      <c r="DZ2681" s="1" t="s">
        <v>5293</v>
      </c>
      <c r="EA2681" s="1" t="s">
        <v>1027</v>
      </c>
      <c r="EC2681" s="1" t="s">
        <v>406</v>
      </c>
      <c r="ED2681" s="1" t="s">
        <v>407</v>
      </c>
      <c r="EG2681" s="1" t="s">
        <v>310</v>
      </c>
      <c r="EH2681" s="1" t="s">
        <v>968</v>
      </c>
      <c r="EI2681" s="1" t="s">
        <v>408</v>
      </c>
      <c r="EJ2681" s="1" t="s">
        <v>720</v>
      </c>
      <c r="EL2681" s="1" t="s">
        <v>330</v>
      </c>
      <c r="EM2681" s="1" t="s">
        <v>209</v>
      </c>
      <c r="EP2681" s="1" t="s">
        <v>260</v>
      </c>
      <c r="EQ2681" s="1" t="s">
        <v>206</v>
      </c>
      <c r="ET2681" s="1" t="s">
        <v>2337</v>
      </c>
      <c r="EU2681" s="1" t="s">
        <v>206</v>
      </c>
      <c r="EV2681" s="1" t="s">
        <v>207</v>
      </c>
      <c r="EX2681" s="1" t="s">
        <v>13767</v>
      </c>
      <c r="EY2681" s="1" t="s">
        <v>206</v>
      </c>
      <c r="FC2681" s="1" t="s">
        <v>238</v>
      </c>
      <c r="FF2681" s="1" t="s">
        <v>239</v>
      </c>
      <c r="FG2681" s="1" t="s">
        <v>192</v>
      </c>
      <c r="FH2681" s="1" t="s">
        <v>192</v>
      </c>
      <c r="FJ2681" s="1" t="s">
        <v>2285</v>
      </c>
      <c r="FK2681" s="1" t="s">
        <v>229</v>
      </c>
      <c r="FL2681" s="1" t="s">
        <v>974</v>
      </c>
      <c r="FM2681" s="1">
        <v>14470.0</v>
      </c>
      <c r="FN2681" s="1" t="s">
        <v>3407</v>
      </c>
      <c r="FO2681" s="1" t="s">
        <v>23834</v>
      </c>
      <c r="FP2681" s="1">
        <v>178833.0</v>
      </c>
      <c r="FQ2681" s="1" t="s">
        <v>23835</v>
      </c>
      <c r="FU2681" s="1" t="s">
        <v>1438</v>
      </c>
      <c r="FV2681" s="1" t="s">
        <v>200</v>
      </c>
      <c r="FW2681" s="1" t="s">
        <v>290</v>
      </c>
      <c r="FX2681" s="1" t="s">
        <v>246</v>
      </c>
      <c r="FZ2681" s="1" t="s">
        <v>229</v>
      </c>
      <c r="GA2681" s="1" t="s">
        <v>291</v>
      </c>
      <c r="GB2681" s="2">
        <v>42109.0</v>
      </c>
      <c r="GC2681" s="1" t="s">
        <v>23836</v>
      </c>
    </row>
    <row r="2682">
      <c r="A2682" s="1">
        <v>195000.0</v>
      </c>
      <c r="B2682" s="1" t="s">
        <v>185</v>
      </c>
      <c r="C2682" s="1" t="str">
        <f>"08826705"</f>
        <v>08826705</v>
      </c>
      <c r="D2682" s="1" t="s">
        <v>186</v>
      </c>
      <c r="F2682" s="1" t="str">
        <f>"134"</f>
        <v>134</v>
      </c>
      <c r="G2682" s="2">
        <v>42033.0</v>
      </c>
      <c r="H2682" s="1">
        <v>199900.0</v>
      </c>
      <c r="I2682" s="1">
        <v>13.0</v>
      </c>
      <c r="J2682" s="1">
        <v>199900.0</v>
      </c>
      <c r="K2682" s="2">
        <v>42045.0</v>
      </c>
      <c r="L2682" s="1">
        <v>13.0</v>
      </c>
      <c r="M2682" s="2">
        <v>42045.0</v>
      </c>
      <c r="N2682" s="1" t="s">
        <v>249</v>
      </c>
      <c r="O2682" s="2">
        <v>42062.0</v>
      </c>
      <c r="P2682" s="1">
        <v>381.0</v>
      </c>
      <c r="Q2682" s="1">
        <v>604.0</v>
      </c>
      <c r="S2682" s="1">
        <v>325.0</v>
      </c>
      <c r="T2682" s="1" t="s">
        <v>65</v>
      </c>
      <c r="U2682" s="1" t="s">
        <v>1174</v>
      </c>
      <c r="V2682" s="1" t="s">
        <v>421</v>
      </c>
      <c r="W2682" s="1">
        <v>60134.0</v>
      </c>
      <c r="Y2682" s="1" t="s">
        <v>23837</v>
      </c>
      <c r="Z2682" s="1">
        <v>1972.0</v>
      </c>
      <c r="AA2682" s="1" t="s">
        <v>192</v>
      </c>
      <c r="AB2682" s="1" t="s">
        <v>193</v>
      </c>
      <c r="AD2682" s="1" t="s">
        <v>424</v>
      </c>
      <c r="AE2682" s="1" t="s">
        <v>325</v>
      </c>
      <c r="AF2682" s="1" t="s">
        <v>424</v>
      </c>
      <c r="AH2682" s="1">
        <v>14843.0</v>
      </c>
      <c r="AI2682" s="1">
        <v>0.33</v>
      </c>
      <c r="AK2682" s="1">
        <v>9.0</v>
      </c>
      <c r="AL2682" s="1">
        <v>4.0</v>
      </c>
      <c r="AM2682" s="1">
        <v>2.0</v>
      </c>
      <c r="AN2682" s="1">
        <v>1.0</v>
      </c>
      <c r="AO2682" s="1" t="s">
        <v>198</v>
      </c>
      <c r="AP2682" s="1">
        <v>1.0</v>
      </c>
      <c r="AQ2682" s="1" t="s">
        <v>1314</v>
      </c>
      <c r="AR2682" s="1" t="s">
        <v>200</v>
      </c>
      <c r="AS2682" s="1" t="s">
        <v>199</v>
      </c>
      <c r="AT2682" s="1">
        <v>2.0</v>
      </c>
      <c r="AV2682" s="1" t="s">
        <v>200</v>
      </c>
      <c r="AW2682" s="1">
        <v>9374.46</v>
      </c>
      <c r="AX2682" s="1">
        <v>2013.0</v>
      </c>
      <c r="AZ2682" s="1" t="s">
        <v>200</v>
      </c>
      <c r="BA2682" s="1" t="str">
        <f>"1204252015"</f>
        <v>1204252015</v>
      </c>
      <c r="BC2682" s="1">
        <v>2425.0</v>
      </c>
      <c r="BD2682" s="1">
        <v>195000.0</v>
      </c>
      <c r="BE2682" s="2">
        <v>42033.0</v>
      </c>
      <c r="BF2682" s="2" t="s">
        <v>23838</v>
      </c>
      <c r="BH2682" s="1">
        <v>0.0</v>
      </c>
      <c r="BK2682" s="1" t="s">
        <v>204</v>
      </c>
      <c r="BL2682" s="1" t="str">
        <f t="shared" ref="BL2682:BM2682" si="1751">""</f>
        <v/>
      </c>
      <c r="BM2682" s="1" t="str">
        <f t="shared" si="1751"/>
        <v/>
      </c>
      <c r="BQ2682" s="1">
        <v>304.0</v>
      </c>
      <c r="BR2682" s="1">
        <v>304.0</v>
      </c>
      <c r="BS2682" s="1">
        <v>304.0</v>
      </c>
      <c r="BU2682" s="1" t="s">
        <v>496</v>
      </c>
      <c r="BV2682" s="1" t="s">
        <v>206</v>
      </c>
      <c r="BY2682" s="1" t="s">
        <v>304</v>
      </c>
      <c r="BZ2682" s="1" t="s">
        <v>267</v>
      </c>
      <c r="CC2682" s="1" t="s">
        <v>300</v>
      </c>
      <c r="CD2682" s="1" t="s">
        <v>206</v>
      </c>
      <c r="CG2682" s="1" t="s">
        <v>300</v>
      </c>
      <c r="CH2682" s="1" t="s">
        <v>209</v>
      </c>
      <c r="CK2682" s="1" t="s">
        <v>363</v>
      </c>
      <c r="CL2682" s="1" t="s">
        <v>209</v>
      </c>
      <c r="CO2682" s="1" t="s">
        <v>663</v>
      </c>
      <c r="CP2682" s="1" t="s">
        <v>209</v>
      </c>
      <c r="CS2682" s="1" t="s">
        <v>2425</v>
      </c>
      <c r="CT2682" s="1" t="s">
        <v>206</v>
      </c>
      <c r="CW2682" s="1" t="s">
        <v>677</v>
      </c>
      <c r="CX2682" s="1" t="s">
        <v>267</v>
      </c>
      <c r="DA2682" s="1" t="s">
        <v>200</v>
      </c>
      <c r="DC2682" s="1" t="s">
        <v>517</v>
      </c>
      <c r="DD2682" s="1" t="s">
        <v>518</v>
      </c>
      <c r="DE2682" s="1" t="s">
        <v>273</v>
      </c>
      <c r="DF2682" s="1" t="s">
        <v>619</v>
      </c>
      <c r="DH2682" s="1" t="s">
        <v>220</v>
      </c>
      <c r="DI2682" s="1" t="s">
        <v>703</v>
      </c>
      <c r="DJ2682" s="1" t="s">
        <v>222</v>
      </c>
      <c r="DL2682" s="1" t="s">
        <v>858</v>
      </c>
      <c r="DM2682" s="1" t="s">
        <v>229</v>
      </c>
      <c r="DO2682" s="1" t="s">
        <v>549</v>
      </c>
      <c r="DP2682" s="1" t="s">
        <v>276</v>
      </c>
      <c r="DQ2682" s="1" t="s">
        <v>441</v>
      </c>
      <c r="DR2682" s="1" t="s">
        <v>229</v>
      </c>
      <c r="DV2682" s="1" t="s">
        <v>450</v>
      </c>
      <c r="DW2682" s="1" t="s">
        <v>764</v>
      </c>
      <c r="DX2682" s="1" t="s">
        <v>234</v>
      </c>
      <c r="DY2682" s="1" t="s">
        <v>1006</v>
      </c>
      <c r="DZ2682" s="1" t="s">
        <v>4152</v>
      </c>
      <c r="EA2682" s="1" t="s">
        <v>554</v>
      </c>
      <c r="EC2682" s="1" t="s">
        <v>4613</v>
      </c>
      <c r="EG2682" s="1" t="s">
        <v>450</v>
      </c>
      <c r="EL2682" s="1" t="s">
        <v>2460</v>
      </c>
      <c r="EM2682" s="1" t="s">
        <v>42</v>
      </c>
      <c r="EQ2682" s="1" t="s">
        <v>238</v>
      </c>
      <c r="EU2682" s="1" t="s">
        <v>238</v>
      </c>
      <c r="EY2682" s="1" t="s">
        <v>238</v>
      </c>
      <c r="FC2682" s="1" t="s">
        <v>238</v>
      </c>
      <c r="FF2682" s="1" t="s">
        <v>239</v>
      </c>
      <c r="FG2682" s="1" t="s">
        <v>192</v>
      </c>
      <c r="FH2682" s="1" t="s">
        <v>192</v>
      </c>
      <c r="FJ2682" s="1" t="s">
        <v>2156</v>
      </c>
      <c r="FK2682" s="1" t="s">
        <v>229</v>
      </c>
      <c r="FL2682" s="1" t="s">
        <v>1855</v>
      </c>
      <c r="FM2682" s="1">
        <v>41.0</v>
      </c>
      <c r="FN2682" s="1" t="s">
        <v>1856</v>
      </c>
      <c r="FO2682" s="1" t="s">
        <v>1857</v>
      </c>
      <c r="FP2682" s="1">
        <v>8483.0</v>
      </c>
      <c r="FQ2682" s="1" t="s">
        <v>1858</v>
      </c>
      <c r="FS2682" s="1" t="s">
        <v>7114</v>
      </c>
      <c r="FT2682" s="1" t="s">
        <v>1860</v>
      </c>
      <c r="FU2682" s="1" t="s">
        <v>7115</v>
      </c>
      <c r="FV2682" s="1" t="s">
        <v>200</v>
      </c>
      <c r="FW2682" s="1" t="s">
        <v>354</v>
      </c>
      <c r="FZ2682" s="1" t="s">
        <v>229</v>
      </c>
      <c r="GA2682" s="1" t="s">
        <v>291</v>
      </c>
      <c r="GB2682" s="2">
        <v>42062.0</v>
      </c>
      <c r="GC2682" s="1" t="s">
        <v>15559</v>
      </c>
    </row>
    <row r="2683">
      <c r="A2683" s="1">
        <v>276500.0</v>
      </c>
      <c r="B2683" s="1" t="s">
        <v>185</v>
      </c>
      <c r="C2683" s="1" t="str">
        <f>"08829675"</f>
        <v>08829675</v>
      </c>
      <c r="D2683" s="1" t="s">
        <v>186</v>
      </c>
      <c r="F2683" s="1" t="str">
        <f>"118"</f>
        <v>118</v>
      </c>
      <c r="G2683" s="2">
        <v>42038.0</v>
      </c>
      <c r="H2683" s="1">
        <v>289900.0</v>
      </c>
      <c r="I2683" s="1">
        <v>16.0</v>
      </c>
      <c r="J2683" s="1">
        <v>289900.0</v>
      </c>
      <c r="K2683" s="2">
        <v>42053.0</v>
      </c>
      <c r="L2683" s="1">
        <v>16.0</v>
      </c>
      <c r="M2683" s="2">
        <v>42053.0</v>
      </c>
      <c r="N2683" s="1" t="s">
        <v>249</v>
      </c>
      <c r="O2683" s="2">
        <v>42080.0</v>
      </c>
      <c r="P2683" s="1">
        <v>53276.0</v>
      </c>
      <c r="Q2683" s="1">
        <v>5082.0</v>
      </c>
      <c r="S2683" s="1">
        <v>104.0</v>
      </c>
      <c r="T2683" s="1" t="s">
        <v>23839</v>
      </c>
      <c r="U2683" s="1" t="s">
        <v>569</v>
      </c>
      <c r="V2683" s="1" t="s">
        <v>3438</v>
      </c>
      <c r="W2683" s="1">
        <v>60118.0</v>
      </c>
      <c r="Y2683" s="1" t="s">
        <v>23840</v>
      </c>
      <c r="Z2683" s="1">
        <v>1961.0</v>
      </c>
      <c r="AA2683" s="1" t="s">
        <v>192</v>
      </c>
      <c r="AB2683" s="1" t="s">
        <v>193</v>
      </c>
      <c r="AC2683" s="1" t="s">
        <v>23841</v>
      </c>
      <c r="AD2683" s="1" t="s">
        <v>3440</v>
      </c>
      <c r="AE2683" s="1" t="s">
        <v>325</v>
      </c>
      <c r="AF2683" s="1" t="s">
        <v>810</v>
      </c>
      <c r="AH2683" s="1" t="s">
        <v>23842</v>
      </c>
      <c r="AI2683" s="1">
        <v>0.47</v>
      </c>
      <c r="AK2683" s="1">
        <v>9.0</v>
      </c>
      <c r="AL2683" s="1">
        <v>4.0</v>
      </c>
      <c r="AM2683" s="1">
        <v>3.0</v>
      </c>
      <c r="AN2683" s="1">
        <v>0.0</v>
      </c>
      <c r="AO2683" s="1" t="s">
        <v>198</v>
      </c>
      <c r="AP2683" s="1">
        <v>1.0</v>
      </c>
      <c r="AQ2683" s="1" t="s">
        <v>198</v>
      </c>
      <c r="AR2683" s="1" t="s">
        <v>192</v>
      </c>
      <c r="AS2683" s="1" t="s">
        <v>199</v>
      </c>
      <c r="AT2683" s="1">
        <v>2.0</v>
      </c>
      <c r="AV2683" s="1" t="s">
        <v>200</v>
      </c>
      <c r="AW2683" s="1">
        <v>5787.9</v>
      </c>
      <c r="AX2683" s="1">
        <v>2013.0</v>
      </c>
      <c r="AY2683" s="1" t="s">
        <v>229</v>
      </c>
      <c r="AZ2683" s="1" t="s">
        <v>200</v>
      </c>
      <c r="BA2683" s="1" t="str">
        <f>"0321451016"</f>
        <v>0321451016</v>
      </c>
      <c r="BC2683" s="1">
        <v>1458.0</v>
      </c>
      <c r="BD2683" s="1">
        <v>276500.0</v>
      </c>
      <c r="BE2683" s="2">
        <v>42038.0</v>
      </c>
      <c r="BF2683" s="2" t="s">
        <v>23843</v>
      </c>
      <c r="BH2683" s="1">
        <v>0.0</v>
      </c>
      <c r="BK2683" s="1" t="s">
        <v>204</v>
      </c>
      <c r="BL2683" s="1" t="str">
        <f t="shared" ref="BL2683:BM2683" si="1752">""</f>
        <v/>
      </c>
      <c r="BM2683" s="1" t="str">
        <f t="shared" si="1752"/>
        <v/>
      </c>
      <c r="BQ2683" s="1">
        <v>300.0</v>
      </c>
      <c r="BR2683" s="1">
        <v>300.0</v>
      </c>
      <c r="BS2683" s="1">
        <v>300.0</v>
      </c>
      <c r="BU2683" s="1" t="s">
        <v>1953</v>
      </c>
      <c r="BV2683" s="1" t="s">
        <v>206</v>
      </c>
      <c r="BW2683" s="1" t="s">
        <v>1136</v>
      </c>
      <c r="BY2683" s="1" t="s">
        <v>758</v>
      </c>
      <c r="BZ2683" s="1" t="s">
        <v>206</v>
      </c>
      <c r="CA2683" s="1" t="s">
        <v>210</v>
      </c>
      <c r="CC2683" s="1" t="s">
        <v>497</v>
      </c>
      <c r="CD2683" s="1" t="s">
        <v>206</v>
      </c>
      <c r="CE2683" s="1" t="s">
        <v>1136</v>
      </c>
      <c r="CG2683" s="1" t="s">
        <v>264</v>
      </c>
      <c r="CH2683" s="1" t="s">
        <v>206</v>
      </c>
      <c r="CI2683" s="1" t="s">
        <v>210</v>
      </c>
      <c r="CK2683" s="1" t="s">
        <v>495</v>
      </c>
      <c r="CL2683" s="1" t="s">
        <v>206</v>
      </c>
      <c r="CM2683" s="1" t="s">
        <v>210</v>
      </c>
      <c r="CO2683" s="1" t="s">
        <v>2459</v>
      </c>
      <c r="CP2683" s="1" t="s">
        <v>267</v>
      </c>
      <c r="CQ2683" s="1" t="s">
        <v>268</v>
      </c>
      <c r="CS2683" s="1" t="s">
        <v>830</v>
      </c>
      <c r="CT2683" s="1" t="s">
        <v>206</v>
      </c>
      <c r="CU2683" s="1" t="s">
        <v>1136</v>
      </c>
      <c r="CW2683" s="1" t="s">
        <v>3539</v>
      </c>
      <c r="CX2683" s="1" t="s">
        <v>1697</v>
      </c>
      <c r="CY2683" s="1" t="s">
        <v>268</v>
      </c>
      <c r="DA2683" s="1" t="s">
        <v>200</v>
      </c>
      <c r="DC2683" s="1" t="s">
        <v>271</v>
      </c>
      <c r="DD2683" s="1" t="s">
        <v>731</v>
      </c>
      <c r="DE2683" s="1" t="s">
        <v>273</v>
      </c>
      <c r="DF2683" s="1" t="s">
        <v>219</v>
      </c>
      <c r="DH2683" s="1" t="s">
        <v>856</v>
      </c>
      <c r="DJ2683" s="1" t="s">
        <v>857</v>
      </c>
      <c r="DL2683" s="1" t="s">
        <v>224</v>
      </c>
      <c r="DM2683" s="1" t="s">
        <v>229</v>
      </c>
      <c r="DN2683" s="1" t="s">
        <v>339</v>
      </c>
      <c r="DP2683" s="1" t="s">
        <v>340</v>
      </c>
      <c r="DQ2683" s="1" t="s">
        <v>441</v>
      </c>
      <c r="DR2683" s="1" t="s">
        <v>229</v>
      </c>
      <c r="DS2683" s="1" t="s">
        <v>591</v>
      </c>
      <c r="DU2683" s="1" t="s">
        <v>15690</v>
      </c>
      <c r="DV2683" s="1" t="s">
        <v>450</v>
      </c>
      <c r="DW2683" s="1" t="s">
        <v>764</v>
      </c>
      <c r="DX2683" s="1" t="s">
        <v>234</v>
      </c>
      <c r="DY2683" s="1" t="s">
        <v>23844</v>
      </c>
      <c r="DZ2683" s="1" t="s">
        <v>282</v>
      </c>
      <c r="EA2683" s="1" t="s">
        <v>683</v>
      </c>
      <c r="EB2683" s="1" t="s">
        <v>345</v>
      </c>
      <c r="EC2683" s="1" t="s">
        <v>685</v>
      </c>
      <c r="ED2683" s="1" t="s">
        <v>555</v>
      </c>
      <c r="EG2683" s="1" t="s">
        <v>450</v>
      </c>
      <c r="EL2683" s="1" t="s">
        <v>1809</v>
      </c>
      <c r="EM2683" s="1" t="s">
        <v>1697</v>
      </c>
      <c r="EN2683" s="1" t="s">
        <v>268</v>
      </c>
      <c r="EQ2683" s="1" t="s">
        <v>238</v>
      </c>
      <c r="EU2683" s="1" t="s">
        <v>238</v>
      </c>
      <c r="EY2683" s="1" t="s">
        <v>238</v>
      </c>
      <c r="FC2683" s="1" t="s">
        <v>238</v>
      </c>
      <c r="FF2683" s="1" t="s">
        <v>239</v>
      </c>
      <c r="FG2683" s="1" t="s">
        <v>192</v>
      </c>
      <c r="FH2683" s="1" t="s">
        <v>192</v>
      </c>
      <c r="FJ2683" s="1" t="s">
        <v>2133</v>
      </c>
      <c r="FK2683" s="1" t="s">
        <v>229</v>
      </c>
      <c r="FL2683" s="1" t="s">
        <v>1212</v>
      </c>
      <c r="FM2683" s="1">
        <v>30.0</v>
      </c>
      <c r="FN2683" s="1" t="s">
        <v>1213</v>
      </c>
      <c r="FO2683" s="1" t="s">
        <v>14762</v>
      </c>
      <c r="FP2683" s="1">
        <v>523.0</v>
      </c>
      <c r="FQ2683" s="1" t="s">
        <v>14763</v>
      </c>
      <c r="FR2683" s="1">
        <v>473.0</v>
      </c>
      <c r="FU2683" s="1" t="s">
        <v>23845</v>
      </c>
      <c r="FV2683" s="1" t="s">
        <v>200</v>
      </c>
      <c r="FW2683" s="1" t="s">
        <v>290</v>
      </c>
      <c r="FZ2683" s="1" t="s">
        <v>229</v>
      </c>
      <c r="GA2683" s="1" t="s">
        <v>291</v>
      </c>
      <c r="GB2683" s="2">
        <v>42081.0</v>
      </c>
      <c r="GC2683" s="1" t="s">
        <v>23846</v>
      </c>
    </row>
    <row r="2684">
      <c r="A2684" s="1">
        <v>232000.0</v>
      </c>
      <c r="B2684" s="1" t="s">
        <v>185</v>
      </c>
      <c r="C2684" s="1" t="str">
        <f>"08825795"</f>
        <v>08825795</v>
      </c>
      <c r="D2684" s="1" t="s">
        <v>186</v>
      </c>
      <c r="F2684" s="1" t="str">
        <f>"8019"</f>
        <v>8019</v>
      </c>
      <c r="G2684" s="2">
        <v>42032.0</v>
      </c>
      <c r="H2684" s="1">
        <v>234900.0</v>
      </c>
      <c r="I2684" s="1">
        <v>30.0</v>
      </c>
      <c r="J2684" s="1">
        <v>234900.0</v>
      </c>
      <c r="K2684" s="2">
        <v>42061.0</v>
      </c>
      <c r="L2684" s="1">
        <v>30.0</v>
      </c>
      <c r="M2684" s="2">
        <v>42061.0</v>
      </c>
      <c r="N2684" s="1" t="s">
        <v>356</v>
      </c>
      <c r="O2684" s="2">
        <v>42137.0</v>
      </c>
      <c r="P2684" s="1">
        <v>240491.0</v>
      </c>
      <c r="Q2684" s="1">
        <v>2123.0</v>
      </c>
      <c r="R2684" s="1">
        <v>5000.0</v>
      </c>
      <c r="S2684" s="1">
        <v>4939.0</v>
      </c>
      <c r="T2684" s="1" t="s">
        <v>9072</v>
      </c>
      <c r="U2684" s="1" t="s">
        <v>189</v>
      </c>
      <c r="V2684" s="1" t="s">
        <v>190</v>
      </c>
      <c r="W2684" s="1">
        <v>60641.0</v>
      </c>
      <c r="Y2684" s="1" t="s">
        <v>23847</v>
      </c>
      <c r="Z2684" s="1">
        <v>1913.0</v>
      </c>
      <c r="AA2684" s="1" t="s">
        <v>192</v>
      </c>
      <c r="AB2684" s="1" t="s">
        <v>193</v>
      </c>
      <c r="AD2684" s="1" t="s">
        <v>194</v>
      </c>
      <c r="AE2684" s="1" t="s">
        <v>195</v>
      </c>
      <c r="AF2684" s="1" t="s">
        <v>196</v>
      </c>
      <c r="AH2684" s="1" t="s">
        <v>1501</v>
      </c>
      <c r="AK2684" s="1">
        <v>12.0</v>
      </c>
      <c r="AL2684" s="1">
        <v>3.0</v>
      </c>
      <c r="AM2684" s="1">
        <v>2.0</v>
      </c>
      <c r="AN2684" s="1">
        <v>0.0</v>
      </c>
      <c r="AO2684" s="1" t="s">
        <v>229</v>
      </c>
      <c r="AP2684" s="1">
        <v>1.0</v>
      </c>
      <c r="AQ2684" s="1" t="s">
        <v>198</v>
      </c>
      <c r="AR2684" s="1" t="s">
        <v>192</v>
      </c>
      <c r="AS2684" s="1" t="s">
        <v>199</v>
      </c>
      <c r="AT2684" s="1">
        <v>2.0</v>
      </c>
      <c r="AV2684" s="1" t="s">
        <v>200</v>
      </c>
      <c r="AW2684" s="1">
        <v>2500.0</v>
      </c>
      <c r="AX2684" s="1">
        <v>2013.0</v>
      </c>
      <c r="AY2684" s="1" t="s">
        <v>387</v>
      </c>
      <c r="AZ2684" s="1" t="s">
        <v>200</v>
      </c>
      <c r="BA2684" s="1" t="str">
        <f>"13282220070000"</f>
        <v>13282220070000</v>
      </c>
      <c r="BB2684" s="1" t="s">
        <v>200</v>
      </c>
      <c r="BC2684" s="1">
        <v>1035.0</v>
      </c>
      <c r="BD2684" s="1">
        <v>232000.0</v>
      </c>
      <c r="BE2684" s="2">
        <v>42032.0</v>
      </c>
      <c r="BF2684" s="2" t="s">
        <v>23848</v>
      </c>
      <c r="BH2684" s="1">
        <v>0.0</v>
      </c>
      <c r="BJ2684" s="1" t="s">
        <v>8975</v>
      </c>
      <c r="BK2684" s="1" t="s">
        <v>204</v>
      </c>
      <c r="BL2684" s="1" t="str">
        <f>"2932"</f>
        <v>2932</v>
      </c>
      <c r="BM2684" s="1" t="str">
        <f>"0"</f>
        <v>0</v>
      </c>
      <c r="BN2684" s="1">
        <v>4939.0</v>
      </c>
      <c r="BO2684" s="1">
        <v>0.0</v>
      </c>
      <c r="BQ2684" s="1">
        <v>299.0</v>
      </c>
      <c r="BR2684" s="1">
        <v>299.0</v>
      </c>
      <c r="BS2684" s="1">
        <v>299.0</v>
      </c>
      <c r="BU2684" s="1" t="s">
        <v>205</v>
      </c>
      <c r="BV2684" s="1" t="s">
        <v>206</v>
      </c>
      <c r="BW2684" s="1" t="s">
        <v>207</v>
      </c>
      <c r="BX2684" s="1" t="s">
        <v>431</v>
      </c>
      <c r="BY2684" s="1" t="s">
        <v>543</v>
      </c>
      <c r="BZ2684" s="1" t="s">
        <v>206</v>
      </c>
      <c r="CA2684" s="1" t="s">
        <v>207</v>
      </c>
      <c r="CC2684" s="1" t="s">
        <v>331</v>
      </c>
      <c r="CD2684" s="1" t="s">
        <v>206</v>
      </c>
      <c r="CE2684" s="1" t="s">
        <v>207</v>
      </c>
      <c r="CG2684" s="1" t="s">
        <v>699</v>
      </c>
      <c r="CH2684" s="1" t="s">
        <v>206</v>
      </c>
      <c r="CI2684" s="1" t="s">
        <v>207</v>
      </c>
      <c r="CK2684" s="1" t="s">
        <v>1382</v>
      </c>
      <c r="CL2684" s="1" t="s">
        <v>209</v>
      </c>
      <c r="CM2684" s="1" t="s">
        <v>210</v>
      </c>
      <c r="CO2684" s="1" t="s">
        <v>1875</v>
      </c>
      <c r="CP2684" s="1" t="s">
        <v>42</v>
      </c>
      <c r="CS2684" s="1" t="s">
        <v>264</v>
      </c>
      <c r="CT2684" s="1" t="s">
        <v>206</v>
      </c>
      <c r="CU2684" s="1" t="s">
        <v>268</v>
      </c>
      <c r="CW2684" s="1" t="s">
        <v>2224</v>
      </c>
      <c r="CX2684" s="1" t="s">
        <v>42</v>
      </c>
      <c r="DA2684" s="1" t="s">
        <v>200</v>
      </c>
      <c r="DC2684" s="1" t="s">
        <v>642</v>
      </c>
      <c r="DD2684" s="1" t="s">
        <v>518</v>
      </c>
      <c r="DE2684" s="1" t="s">
        <v>229</v>
      </c>
      <c r="DF2684" s="1" t="s">
        <v>219</v>
      </c>
      <c r="DH2684" s="1" t="s">
        <v>220</v>
      </c>
      <c r="DI2684" s="1" t="s">
        <v>23849</v>
      </c>
      <c r="DJ2684" s="1" t="s">
        <v>222</v>
      </c>
      <c r="DK2684" s="1" t="s">
        <v>2506</v>
      </c>
      <c r="DL2684" s="1" t="s">
        <v>224</v>
      </c>
      <c r="DM2684" s="1" t="s">
        <v>229</v>
      </c>
      <c r="DP2684" s="1" t="s">
        <v>340</v>
      </c>
      <c r="DQ2684" s="1" t="s">
        <v>718</v>
      </c>
      <c r="DR2684" s="1" t="s">
        <v>229</v>
      </c>
      <c r="DS2684" s="1" t="s">
        <v>230</v>
      </c>
      <c r="DU2684" s="1" t="s">
        <v>2070</v>
      </c>
      <c r="DV2684" s="1" t="s">
        <v>23850</v>
      </c>
      <c r="DW2684" s="1" t="s">
        <v>279</v>
      </c>
      <c r="DX2684" s="1" t="s">
        <v>309</v>
      </c>
      <c r="DY2684" s="1" t="s">
        <v>2579</v>
      </c>
      <c r="DZ2684" s="1" t="s">
        <v>966</v>
      </c>
      <c r="EA2684" s="1" t="s">
        <v>644</v>
      </c>
      <c r="EB2684" s="1" t="s">
        <v>1639</v>
      </c>
      <c r="EC2684" s="1" t="s">
        <v>645</v>
      </c>
      <c r="EG2684" s="1" t="s">
        <v>450</v>
      </c>
      <c r="EH2684" s="1" t="s">
        <v>310</v>
      </c>
      <c r="EI2684" s="1" t="s">
        <v>1228</v>
      </c>
      <c r="EJ2684" s="1" t="s">
        <v>1407</v>
      </c>
      <c r="EK2684" s="1" t="s">
        <v>13966</v>
      </c>
      <c r="EL2684" s="1" t="s">
        <v>264</v>
      </c>
      <c r="EM2684" s="1" t="s">
        <v>114</v>
      </c>
      <c r="EN2684" s="1" t="s">
        <v>210</v>
      </c>
      <c r="EP2684" s="1" t="s">
        <v>729</v>
      </c>
      <c r="EQ2684" s="1" t="s">
        <v>206</v>
      </c>
      <c r="ET2684" s="1" t="s">
        <v>263</v>
      </c>
      <c r="EU2684" s="1" t="s">
        <v>114</v>
      </c>
      <c r="EV2684" s="1" t="s">
        <v>210</v>
      </c>
      <c r="EX2684" s="1" t="s">
        <v>830</v>
      </c>
      <c r="EY2684" s="1" t="s">
        <v>42</v>
      </c>
      <c r="FB2684" s="1" t="s">
        <v>7804</v>
      </c>
      <c r="FC2684" s="1" t="s">
        <v>206</v>
      </c>
      <c r="FF2684" s="1" t="s">
        <v>239</v>
      </c>
      <c r="FG2684" s="1" t="s">
        <v>192</v>
      </c>
      <c r="FH2684" s="1" t="s">
        <v>192</v>
      </c>
      <c r="FJ2684" s="1" t="s">
        <v>23851</v>
      </c>
      <c r="FK2684" s="1" t="s">
        <v>229</v>
      </c>
      <c r="FL2684" s="1" t="s">
        <v>23852</v>
      </c>
      <c r="FM2684" s="1">
        <v>90871.0</v>
      </c>
      <c r="FN2684" s="1" t="s">
        <v>9532</v>
      </c>
      <c r="FO2684" s="1" t="s">
        <v>23853</v>
      </c>
      <c r="FP2684" s="1">
        <v>901250.0</v>
      </c>
      <c r="FQ2684" s="1" t="s">
        <v>23854</v>
      </c>
      <c r="FU2684" s="1" t="s">
        <v>23855</v>
      </c>
      <c r="FV2684" s="1" t="s">
        <v>200</v>
      </c>
      <c r="FW2684" s="1" t="s">
        <v>290</v>
      </c>
      <c r="FX2684" s="1" t="s">
        <v>246</v>
      </c>
      <c r="FZ2684" s="1" t="s">
        <v>229</v>
      </c>
      <c r="GA2684" s="1" t="s">
        <v>291</v>
      </c>
      <c r="GB2684" s="2">
        <v>42137.0</v>
      </c>
      <c r="GC2684" s="1" t="s">
        <v>23856</v>
      </c>
    </row>
    <row r="2685">
      <c r="A2685" s="1">
        <v>34500.0</v>
      </c>
      <c r="B2685" s="1" t="s">
        <v>185</v>
      </c>
      <c r="C2685" s="1" t="str">
        <f>"08830413"</f>
        <v>08830413</v>
      </c>
      <c r="D2685" s="1" t="s">
        <v>186</v>
      </c>
      <c r="F2685" s="1" t="str">
        <f>"8073"</f>
        <v>8073</v>
      </c>
      <c r="G2685" s="2">
        <v>42038.0</v>
      </c>
      <c r="H2685" s="1">
        <v>36000.0</v>
      </c>
      <c r="I2685" s="1">
        <v>3.0</v>
      </c>
      <c r="J2685" s="1">
        <v>36000.0</v>
      </c>
      <c r="K2685" s="2">
        <v>42038.0</v>
      </c>
      <c r="L2685" s="1">
        <v>3.0</v>
      </c>
      <c r="M2685" s="2">
        <v>42038.0</v>
      </c>
      <c r="N2685" s="1" t="s">
        <v>249</v>
      </c>
      <c r="O2685" s="2">
        <v>42139.0</v>
      </c>
      <c r="P2685" s="1">
        <v>181744.0</v>
      </c>
      <c r="Q2685" s="1">
        <v>84676.0</v>
      </c>
      <c r="S2685" s="1">
        <v>9117.0</v>
      </c>
      <c r="T2685" s="1" t="s">
        <v>948</v>
      </c>
      <c r="U2685" s="1" t="s">
        <v>320</v>
      </c>
      <c r="V2685" s="1" t="s">
        <v>190</v>
      </c>
      <c r="W2685" s="1">
        <v>60620.0</v>
      </c>
      <c r="Y2685" s="1" t="s">
        <v>23857</v>
      </c>
      <c r="Z2685" s="1">
        <v>1923.0</v>
      </c>
      <c r="AA2685" s="1" t="s">
        <v>192</v>
      </c>
      <c r="AB2685" s="1" t="s">
        <v>193</v>
      </c>
      <c r="AD2685" s="1" t="s">
        <v>194</v>
      </c>
      <c r="AE2685" s="1" t="s">
        <v>195</v>
      </c>
      <c r="AF2685" s="1" t="s">
        <v>659</v>
      </c>
      <c r="AH2685" s="1">
        <v>4166.0</v>
      </c>
      <c r="AI2685" s="1">
        <v>0.0956</v>
      </c>
      <c r="AK2685" s="1">
        <v>7.0</v>
      </c>
      <c r="AL2685" s="1">
        <v>4.0</v>
      </c>
      <c r="AM2685" s="1">
        <v>1.0</v>
      </c>
      <c r="AN2685" s="1">
        <v>1.0</v>
      </c>
      <c r="AO2685" s="1" t="s">
        <v>229</v>
      </c>
      <c r="AQ2685" s="1" t="s">
        <v>198</v>
      </c>
      <c r="AR2685" s="1" t="s">
        <v>192</v>
      </c>
      <c r="AS2685" s="1" t="s">
        <v>199</v>
      </c>
      <c r="AT2685" s="1">
        <v>2.0</v>
      </c>
      <c r="AV2685" s="1" t="s">
        <v>200</v>
      </c>
      <c r="AW2685" s="1">
        <v>2019.95</v>
      </c>
      <c r="AX2685" s="1">
        <v>2013.0</v>
      </c>
      <c r="AY2685" s="1" t="s">
        <v>387</v>
      </c>
      <c r="AZ2685" s="1" t="s">
        <v>200</v>
      </c>
      <c r="BA2685" s="1" t="str">
        <f>"25064080060000"</f>
        <v>25064080060000</v>
      </c>
      <c r="BC2685" s="1">
        <v>1329.0</v>
      </c>
      <c r="BD2685" s="1">
        <v>34500.0</v>
      </c>
      <c r="BE2685" s="2">
        <v>42036.0</v>
      </c>
      <c r="BF2685" s="1" t="s">
        <v>23858</v>
      </c>
      <c r="BH2685" s="1">
        <v>0.0</v>
      </c>
      <c r="BK2685" s="1" t="s">
        <v>204</v>
      </c>
      <c r="BL2685" s="1" t="str">
        <f t="shared" ref="BL2685:BM2685" si="1753">"0"</f>
        <v>0</v>
      </c>
      <c r="BM2685" s="1" t="str">
        <f t="shared" si="1753"/>
        <v>0</v>
      </c>
      <c r="BN2685" s="1">
        <v>1700.0</v>
      </c>
      <c r="BO2685" s="1">
        <v>9117.0</v>
      </c>
      <c r="BQ2685" s="1">
        <v>299.0</v>
      </c>
      <c r="BR2685" s="1">
        <v>299.0</v>
      </c>
      <c r="BS2685" s="1">
        <v>299.0</v>
      </c>
      <c r="BU2685" s="1" t="s">
        <v>2120</v>
      </c>
      <c r="BV2685" s="1" t="s">
        <v>206</v>
      </c>
      <c r="BY2685" s="1" t="s">
        <v>211</v>
      </c>
      <c r="BZ2685" s="1" t="s">
        <v>209</v>
      </c>
      <c r="CC2685" s="1" t="s">
        <v>454</v>
      </c>
      <c r="CD2685" s="1" t="s">
        <v>206</v>
      </c>
      <c r="CG2685" s="1" t="s">
        <v>269</v>
      </c>
      <c r="CH2685" s="1" t="s">
        <v>206</v>
      </c>
      <c r="CK2685" s="1" t="s">
        <v>332</v>
      </c>
      <c r="CL2685" s="1" t="s">
        <v>206</v>
      </c>
      <c r="CO2685" s="1" t="s">
        <v>212</v>
      </c>
      <c r="CP2685" s="1" t="s">
        <v>206</v>
      </c>
      <c r="CS2685" s="1" t="s">
        <v>363</v>
      </c>
      <c r="CT2685" s="1" t="s">
        <v>206</v>
      </c>
      <c r="CX2685" s="1" t="s">
        <v>204</v>
      </c>
      <c r="DA2685" s="1" t="s">
        <v>200</v>
      </c>
      <c r="DC2685" s="1" t="s">
        <v>216</v>
      </c>
      <c r="DE2685" s="1" t="s">
        <v>229</v>
      </c>
      <c r="DF2685" s="1" t="s">
        <v>619</v>
      </c>
      <c r="DH2685" s="1" t="s">
        <v>220</v>
      </c>
      <c r="DJ2685" s="1" t="s">
        <v>222</v>
      </c>
      <c r="DL2685" s="1" t="s">
        <v>224</v>
      </c>
      <c r="DM2685" s="1" t="s">
        <v>229</v>
      </c>
      <c r="DQ2685" s="1" t="s">
        <v>228</v>
      </c>
      <c r="DR2685" s="1" t="s">
        <v>229</v>
      </c>
      <c r="DV2685" s="1" t="s">
        <v>232</v>
      </c>
      <c r="DW2685" s="1" t="s">
        <v>279</v>
      </c>
      <c r="DX2685" s="1" t="s">
        <v>234</v>
      </c>
      <c r="EA2685" s="1" t="s">
        <v>644</v>
      </c>
      <c r="EC2685" s="1" t="s">
        <v>645</v>
      </c>
      <c r="EM2685" s="1" t="s">
        <v>238</v>
      </c>
      <c r="EQ2685" s="1" t="s">
        <v>238</v>
      </c>
      <c r="EU2685" s="1" t="s">
        <v>238</v>
      </c>
      <c r="EY2685" s="1" t="s">
        <v>238</v>
      </c>
      <c r="FC2685" s="1" t="s">
        <v>238</v>
      </c>
      <c r="FF2685" s="1" t="s">
        <v>229</v>
      </c>
      <c r="FG2685" s="1" t="s">
        <v>200</v>
      </c>
      <c r="FH2685" s="1" t="s">
        <v>200</v>
      </c>
      <c r="FJ2685" s="1" t="s">
        <v>347</v>
      </c>
      <c r="FK2685" s="1" t="s">
        <v>1586</v>
      </c>
      <c r="FL2685" s="1" t="s">
        <v>14261</v>
      </c>
      <c r="FM2685" s="1">
        <v>84676.0</v>
      </c>
      <c r="FN2685" s="1" t="s">
        <v>14262</v>
      </c>
      <c r="FO2685" s="1" t="s">
        <v>23859</v>
      </c>
      <c r="FP2685" s="1">
        <v>181744.0</v>
      </c>
      <c r="FQ2685" s="1" t="s">
        <v>23860</v>
      </c>
      <c r="FU2685" s="1" t="s">
        <v>23861</v>
      </c>
      <c r="FV2685" s="1" t="s">
        <v>200</v>
      </c>
      <c r="FW2685" s="1" t="s">
        <v>290</v>
      </c>
      <c r="FX2685" s="1" t="s">
        <v>655</v>
      </c>
      <c r="FZ2685" s="1" t="s">
        <v>229</v>
      </c>
      <c r="GA2685" s="1" t="s">
        <v>291</v>
      </c>
      <c r="GB2685" s="2">
        <v>42142.0</v>
      </c>
      <c r="GC2685" s="1" t="s">
        <v>3170</v>
      </c>
    </row>
    <row r="2686">
      <c r="A2686" s="1">
        <v>110250.0</v>
      </c>
      <c r="B2686" s="1" t="s">
        <v>185</v>
      </c>
      <c r="C2686" s="1" t="str">
        <f>"08828292"</f>
        <v>08828292</v>
      </c>
      <c r="D2686" s="1" t="s">
        <v>186</v>
      </c>
      <c r="F2686" s="1" t="str">
        <f>"123"</f>
        <v>123</v>
      </c>
      <c r="G2686" s="2">
        <v>42035.0</v>
      </c>
      <c r="H2686" s="1">
        <v>113200.0</v>
      </c>
      <c r="I2686" s="1">
        <v>21.0</v>
      </c>
      <c r="J2686" s="1">
        <v>93500.0</v>
      </c>
      <c r="K2686" s="2">
        <v>42054.0</v>
      </c>
      <c r="L2686" s="1">
        <v>21.0</v>
      </c>
      <c r="M2686" s="2">
        <v>42054.0</v>
      </c>
      <c r="N2686" s="1" t="s">
        <v>249</v>
      </c>
      <c r="O2686" s="2">
        <v>42097.0</v>
      </c>
      <c r="P2686" s="1">
        <v>922989.0</v>
      </c>
      <c r="Q2686" s="1">
        <v>25645.0</v>
      </c>
      <c r="R2686" s="1">
        <v>5000.0</v>
      </c>
      <c r="S2686" s="1">
        <v>60.0</v>
      </c>
      <c r="T2686" s="1" t="s">
        <v>23862</v>
      </c>
      <c r="U2686" s="1" t="s">
        <v>320</v>
      </c>
      <c r="V2686" s="1" t="s">
        <v>465</v>
      </c>
      <c r="W2686" s="1">
        <v>60123.0</v>
      </c>
      <c r="Y2686" s="1" t="s">
        <v>23863</v>
      </c>
      <c r="Z2686" s="1">
        <v>1952.0</v>
      </c>
      <c r="AA2686" s="1" t="s">
        <v>192</v>
      </c>
      <c r="AB2686" s="1" t="s">
        <v>193</v>
      </c>
      <c r="AD2686" s="1" t="s">
        <v>469</v>
      </c>
      <c r="AE2686" s="1" t="s">
        <v>325</v>
      </c>
      <c r="AF2686" s="1" t="s">
        <v>469</v>
      </c>
      <c r="AH2686" s="1" t="s">
        <v>20572</v>
      </c>
      <c r="AI2686" s="1">
        <v>0.0</v>
      </c>
      <c r="AK2686" s="1">
        <v>7.0</v>
      </c>
      <c r="AL2686" s="1">
        <v>4.0</v>
      </c>
      <c r="AM2686" s="1">
        <v>2.0</v>
      </c>
      <c r="AN2686" s="1">
        <v>0.0</v>
      </c>
      <c r="AO2686" s="1" t="s">
        <v>229</v>
      </c>
      <c r="AP2686" s="1">
        <v>0.0</v>
      </c>
      <c r="AQ2686" s="1" t="s">
        <v>198</v>
      </c>
      <c r="AR2686" s="1" t="s">
        <v>192</v>
      </c>
      <c r="AS2686" s="1" t="s">
        <v>199</v>
      </c>
      <c r="AT2686" s="1">
        <v>1.0</v>
      </c>
      <c r="AV2686" s="1" t="s">
        <v>200</v>
      </c>
      <c r="AW2686" s="1">
        <v>4345.0</v>
      </c>
      <c r="AX2686" s="1">
        <v>2012.0</v>
      </c>
      <c r="AY2686" s="1" t="s">
        <v>229</v>
      </c>
      <c r="AZ2686" s="1" t="s">
        <v>200</v>
      </c>
      <c r="BA2686" s="1" t="str">
        <f>"0615454011"</f>
        <v>0615454011</v>
      </c>
      <c r="BC2686" s="1">
        <v>1568.0</v>
      </c>
      <c r="BD2686" s="1">
        <v>110250.0</v>
      </c>
      <c r="BE2686" s="2">
        <v>42034.0</v>
      </c>
      <c r="BF2686" s="1" t="s">
        <v>23864</v>
      </c>
      <c r="BH2686" s="1">
        <v>0.0</v>
      </c>
      <c r="BK2686" s="1" t="s">
        <v>204</v>
      </c>
      <c r="BL2686" s="1" t="str">
        <f>"11"</f>
        <v>11</v>
      </c>
      <c r="BM2686" s="1" t="str">
        <f>"0"</f>
        <v>0</v>
      </c>
      <c r="BN2686" s="1">
        <v>35.0</v>
      </c>
      <c r="BO2686" s="1">
        <v>0.0</v>
      </c>
      <c r="BQ2686" s="1">
        <v>46.0</v>
      </c>
      <c r="BR2686" s="1">
        <v>46.0</v>
      </c>
      <c r="BS2686" s="1">
        <v>46.0</v>
      </c>
      <c r="BU2686" s="1" t="s">
        <v>390</v>
      </c>
      <c r="BV2686" s="1" t="s">
        <v>206</v>
      </c>
      <c r="BW2686" s="1" t="s">
        <v>207</v>
      </c>
      <c r="BY2686" s="1" t="s">
        <v>329</v>
      </c>
      <c r="BZ2686" s="1" t="s">
        <v>206</v>
      </c>
      <c r="CA2686" s="1" t="s">
        <v>210</v>
      </c>
      <c r="CC2686" s="1" t="s">
        <v>215</v>
      </c>
      <c r="CD2686" s="1" t="s">
        <v>206</v>
      </c>
      <c r="CE2686" s="1" t="s">
        <v>207</v>
      </c>
      <c r="CG2686" s="1" t="s">
        <v>211</v>
      </c>
      <c r="CH2686" s="1" t="s">
        <v>209</v>
      </c>
      <c r="CI2686" s="1" t="s">
        <v>210</v>
      </c>
      <c r="CK2686" s="1" t="s">
        <v>264</v>
      </c>
      <c r="CL2686" s="1" t="s">
        <v>209</v>
      </c>
      <c r="CM2686" s="1" t="s">
        <v>210</v>
      </c>
      <c r="CO2686" s="1" t="s">
        <v>925</v>
      </c>
      <c r="CP2686" s="1" t="s">
        <v>209</v>
      </c>
      <c r="CQ2686" s="1" t="s">
        <v>210</v>
      </c>
      <c r="CS2686" s="1" t="s">
        <v>433</v>
      </c>
      <c r="CT2686" s="1" t="s">
        <v>206</v>
      </c>
      <c r="CU2686" s="1" t="s">
        <v>617</v>
      </c>
      <c r="CX2686" s="1" t="s">
        <v>204</v>
      </c>
      <c r="DA2686" s="1" t="s">
        <v>200</v>
      </c>
      <c r="DC2686" s="1" t="s">
        <v>702</v>
      </c>
      <c r="DD2686" s="1" t="s">
        <v>518</v>
      </c>
      <c r="DE2686" s="1" t="s">
        <v>273</v>
      </c>
      <c r="DF2686" s="1" t="s">
        <v>219</v>
      </c>
      <c r="DH2686" s="1" t="s">
        <v>220</v>
      </c>
      <c r="DI2686" s="1" t="s">
        <v>8120</v>
      </c>
      <c r="DJ2686" s="1" t="s">
        <v>222</v>
      </c>
      <c r="DL2686" s="1" t="s">
        <v>858</v>
      </c>
      <c r="DM2686" s="1" t="s">
        <v>338</v>
      </c>
      <c r="DO2686" s="1" t="s">
        <v>549</v>
      </c>
      <c r="DP2686" s="1" t="s">
        <v>340</v>
      </c>
      <c r="DQ2686" s="1" t="s">
        <v>228</v>
      </c>
      <c r="DR2686" s="1" t="s">
        <v>229</v>
      </c>
      <c r="DS2686" s="1" t="s">
        <v>230</v>
      </c>
      <c r="DU2686" s="1" t="s">
        <v>22813</v>
      </c>
      <c r="DV2686" s="1" t="s">
        <v>374</v>
      </c>
      <c r="DW2686" s="1" t="s">
        <v>370</v>
      </c>
      <c r="DX2686" s="1" t="s">
        <v>234</v>
      </c>
      <c r="DY2686" s="1" t="s">
        <v>987</v>
      </c>
      <c r="EC2686" s="1" t="s">
        <v>237</v>
      </c>
      <c r="ED2686" s="1" t="s">
        <v>407</v>
      </c>
      <c r="EE2686" s="1" t="s">
        <v>1960</v>
      </c>
      <c r="EG2686" s="1" t="s">
        <v>374</v>
      </c>
      <c r="EL2686" s="1" t="s">
        <v>5311</v>
      </c>
      <c r="EM2686" s="1" t="s">
        <v>206</v>
      </c>
      <c r="EQ2686" s="1" t="s">
        <v>238</v>
      </c>
      <c r="EU2686" s="1" t="s">
        <v>238</v>
      </c>
      <c r="EY2686" s="1" t="s">
        <v>238</v>
      </c>
      <c r="FC2686" s="1" t="s">
        <v>238</v>
      </c>
      <c r="FF2686" s="1" t="s">
        <v>239</v>
      </c>
      <c r="FG2686" s="1" t="s">
        <v>192</v>
      </c>
      <c r="FH2686" s="1" t="s">
        <v>192</v>
      </c>
      <c r="FJ2686" s="1" t="s">
        <v>23865</v>
      </c>
      <c r="FK2686" s="1" t="s">
        <v>229</v>
      </c>
      <c r="FL2686" s="1" t="s">
        <v>4954</v>
      </c>
      <c r="FM2686" s="1">
        <v>25558.0</v>
      </c>
      <c r="FN2686" s="1" t="s">
        <v>1998</v>
      </c>
      <c r="FO2686" s="1" t="s">
        <v>7158</v>
      </c>
      <c r="FP2686" s="1">
        <v>241068.0</v>
      </c>
      <c r="FQ2686" s="1" t="s">
        <v>7159</v>
      </c>
      <c r="FU2686" s="1" t="s">
        <v>23866</v>
      </c>
      <c r="FV2686" s="1" t="s">
        <v>200</v>
      </c>
      <c r="FW2686" s="1" t="s">
        <v>290</v>
      </c>
      <c r="FX2686" s="1" t="s">
        <v>655</v>
      </c>
      <c r="FZ2686" s="1" t="s">
        <v>229</v>
      </c>
      <c r="GA2686" s="1" t="s">
        <v>291</v>
      </c>
      <c r="GB2686" s="2">
        <v>42098.0</v>
      </c>
      <c r="GC2686" s="1" t="s">
        <v>18009</v>
      </c>
    </row>
    <row r="2687">
      <c r="A2687" s="1">
        <v>186000.0</v>
      </c>
      <c r="B2687" s="1" t="s">
        <v>185</v>
      </c>
      <c r="C2687" s="1" t="str">
        <f>"08829011"</f>
        <v>08829011</v>
      </c>
      <c r="D2687" s="1" t="s">
        <v>186</v>
      </c>
      <c r="F2687" s="1" t="str">
        <f>"538"</f>
        <v>538</v>
      </c>
      <c r="G2687" s="2">
        <v>42037.0</v>
      </c>
      <c r="H2687" s="1">
        <v>194900.0</v>
      </c>
      <c r="I2687" s="1">
        <v>9.0</v>
      </c>
      <c r="J2687" s="1">
        <v>194900.0</v>
      </c>
      <c r="K2687" s="2">
        <v>42045.0</v>
      </c>
      <c r="L2687" s="1">
        <v>9.0</v>
      </c>
      <c r="M2687" s="2">
        <v>42045.0</v>
      </c>
      <c r="N2687" s="1" t="s">
        <v>187</v>
      </c>
      <c r="O2687" s="2">
        <v>42095.0</v>
      </c>
      <c r="P2687" s="1">
        <v>225522.0</v>
      </c>
      <c r="Q2687" s="1">
        <v>25816.0</v>
      </c>
      <c r="R2687" s="1">
        <v>3000.0</v>
      </c>
      <c r="S2687" s="1">
        <v>182.0</v>
      </c>
      <c r="T2687" s="1" t="s">
        <v>23867</v>
      </c>
      <c r="U2687" s="1" t="s">
        <v>420</v>
      </c>
      <c r="V2687" s="1" t="s">
        <v>1340</v>
      </c>
      <c r="W2687" s="1">
        <v>60538.0</v>
      </c>
      <c r="Y2687" s="1" t="s">
        <v>23868</v>
      </c>
      <c r="Z2687" s="1">
        <v>1987.0</v>
      </c>
      <c r="AA2687" s="1" t="s">
        <v>200</v>
      </c>
      <c r="AB2687" s="1" t="s">
        <v>193</v>
      </c>
      <c r="AD2687" s="1" t="s">
        <v>1343</v>
      </c>
      <c r="AE2687" s="1" t="s">
        <v>849</v>
      </c>
      <c r="AF2687" s="1" t="s">
        <v>1529</v>
      </c>
      <c r="AH2687" s="1" t="s">
        <v>23869</v>
      </c>
      <c r="AI2687" s="1">
        <v>0.2761</v>
      </c>
      <c r="AK2687" s="1">
        <v>9.0</v>
      </c>
      <c r="AL2687" s="1">
        <v>3.0</v>
      </c>
      <c r="AM2687" s="1">
        <v>2.0</v>
      </c>
      <c r="AN2687" s="1">
        <v>1.0</v>
      </c>
      <c r="AO2687" s="1" t="s">
        <v>198</v>
      </c>
      <c r="AP2687" s="1">
        <v>1.0</v>
      </c>
      <c r="AQ2687" s="1" t="s">
        <v>198</v>
      </c>
      <c r="AR2687" s="1" t="s">
        <v>200</v>
      </c>
      <c r="AS2687" s="1" t="s">
        <v>199</v>
      </c>
      <c r="AT2687" s="1">
        <v>2.0</v>
      </c>
      <c r="AV2687" s="1" t="s">
        <v>192</v>
      </c>
      <c r="AW2687" s="1">
        <v>7378.34</v>
      </c>
      <c r="AX2687" s="1">
        <v>2012.0</v>
      </c>
      <c r="AZ2687" s="1" t="s">
        <v>200</v>
      </c>
      <c r="BA2687" s="1" t="str">
        <f>"0304203019"</f>
        <v>0304203019</v>
      </c>
      <c r="BC2687" s="1">
        <v>1800.0</v>
      </c>
      <c r="BD2687" s="1">
        <v>186000.0</v>
      </c>
      <c r="BE2687" s="2">
        <v>42037.0</v>
      </c>
      <c r="BF2687" s="2" t="s">
        <v>23870</v>
      </c>
      <c r="BH2687" s="1">
        <v>0.0</v>
      </c>
      <c r="BK2687" s="1" t="s">
        <v>204</v>
      </c>
      <c r="BL2687" s="1" t="str">
        <f t="shared" ref="BL2687:BM2687" si="1754">""</f>
        <v/>
      </c>
      <c r="BM2687" s="1" t="str">
        <f t="shared" si="1754"/>
        <v/>
      </c>
      <c r="BQ2687" s="1">
        <v>308.0</v>
      </c>
      <c r="BR2687" s="1">
        <v>308.0</v>
      </c>
      <c r="BS2687" s="1">
        <v>308.0</v>
      </c>
      <c r="BU2687" s="1" t="s">
        <v>454</v>
      </c>
      <c r="BV2687" s="1" t="s">
        <v>206</v>
      </c>
      <c r="BW2687" s="1" t="s">
        <v>210</v>
      </c>
      <c r="BY2687" s="1" t="s">
        <v>1567</v>
      </c>
      <c r="BZ2687" s="1" t="s">
        <v>209</v>
      </c>
      <c r="CA2687" s="1" t="s">
        <v>210</v>
      </c>
      <c r="CC2687" s="1" t="s">
        <v>331</v>
      </c>
      <c r="CD2687" s="1" t="s">
        <v>206</v>
      </c>
      <c r="CE2687" s="1" t="s">
        <v>210</v>
      </c>
      <c r="CG2687" s="1" t="s">
        <v>497</v>
      </c>
      <c r="CH2687" s="1" t="s">
        <v>209</v>
      </c>
      <c r="CI2687" s="1" t="s">
        <v>210</v>
      </c>
      <c r="CK2687" s="1" t="s">
        <v>215</v>
      </c>
      <c r="CL2687" s="1" t="s">
        <v>209</v>
      </c>
      <c r="CM2687" s="1" t="s">
        <v>210</v>
      </c>
      <c r="CO2687" s="1" t="s">
        <v>329</v>
      </c>
      <c r="CP2687" s="1" t="s">
        <v>42</v>
      </c>
      <c r="CQ2687" s="1" t="s">
        <v>210</v>
      </c>
      <c r="CS2687" s="1" t="s">
        <v>213</v>
      </c>
      <c r="CT2687" s="1" t="s">
        <v>206</v>
      </c>
      <c r="CU2687" s="1" t="s">
        <v>588</v>
      </c>
      <c r="CW2687" s="1" t="s">
        <v>205</v>
      </c>
      <c r="CX2687" s="1" t="s">
        <v>206</v>
      </c>
      <c r="CY2687" s="1" t="s">
        <v>210</v>
      </c>
      <c r="DA2687" s="1" t="s">
        <v>200</v>
      </c>
      <c r="DC2687" s="1" t="s">
        <v>305</v>
      </c>
      <c r="DE2687" s="1" t="s">
        <v>273</v>
      </c>
      <c r="DF2687" s="1" t="s">
        <v>219</v>
      </c>
      <c r="DG2687" s="1" t="s">
        <v>23871</v>
      </c>
      <c r="DH2687" s="1" t="s">
        <v>220</v>
      </c>
      <c r="DJ2687" s="1" t="s">
        <v>222</v>
      </c>
      <c r="DL2687" s="1" t="s">
        <v>224</v>
      </c>
      <c r="DM2687" s="1" t="s">
        <v>338</v>
      </c>
      <c r="DN2687" s="1" t="s">
        <v>666</v>
      </c>
      <c r="DO2687" s="1" t="s">
        <v>23872</v>
      </c>
      <c r="DQ2687" s="1" t="s">
        <v>228</v>
      </c>
      <c r="DR2687" s="1" t="s">
        <v>229</v>
      </c>
      <c r="DV2687" s="1" t="s">
        <v>763</v>
      </c>
      <c r="DW2687" s="1" t="s">
        <v>233</v>
      </c>
      <c r="DX2687" s="1" t="s">
        <v>234</v>
      </c>
      <c r="DY2687" s="1" t="s">
        <v>1006</v>
      </c>
      <c r="DZ2687" s="1" t="s">
        <v>310</v>
      </c>
      <c r="EA2687" s="1" t="s">
        <v>344</v>
      </c>
      <c r="EB2687" s="1" t="s">
        <v>4937</v>
      </c>
      <c r="EC2687" s="1" t="s">
        <v>237</v>
      </c>
      <c r="ED2687" s="1" t="s">
        <v>555</v>
      </c>
      <c r="EG2687" s="1" t="s">
        <v>450</v>
      </c>
      <c r="EH2687" s="1" t="s">
        <v>408</v>
      </c>
      <c r="EL2687" s="1" t="s">
        <v>432</v>
      </c>
      <c r="EM2687" s="1" t="s">
        <v>42</v>
      </c>
      <c r="EN2687" s="1" t="s">
        <v>210</v>
      </c>
      <c r="EP2687" s="1" t="s">
        <v>23873</v>
      </c>
      <c r="EQ2687" s="1" t="s">
        <v>206</v>
      </c>
      <c r="EU2687" s="1" t="s">
        <v>238</v>
      </c>
      <c r="EY2687" s="1" t="s">
        <v>238</v>
      </c>
      <c r="FC2687" s="1" t="s">
        <v>238</v>
      </c>
      <c r="FF2687" s="1" t="s">
        <v>239</v>
      </c>
      <c r="FG2687" s="1" t="s">
        <v>192</v>
      </c>
      <c r="FH2687" s="1" t="s">
        <v>192</v>
      </c>
      <c r="FJ2687" s="1" t="s">
        <v>5571</v>
      </c>
      <c r="FK2687" s="1" t="s">
        <v>229</v>
      </c>
      <c r="FL2687" s="1" t="s">
        <v>1007</v>
      </c>
      <c r="FM2687" s="1">
        <v>23196.0</v>
      </c>
      <c r="FN2687" s="1" t="s">
        <v>3741</v>
      </c>
      <c r="FO2687" s="1" t="s">
        <v>9234</v>
      </c>
      <c r="FP2687" s="1">
        <v>225759.0</v>
      </c>
      <c r="FQ2687" s="1" t="s">
        <v>9235</v>
      </c>
      <c r="FS2687" s="1" t="s">
        <v>9236</v>
      </c>
      <c r="FU2687" s="1" t="s">
        <v>23874</v>
      </c>
      <c r="FV2687" s="1" t="s">
        <v>200</v>
      </c>
      <c r="FW2687" s="1" t="s">
        <v>290</v>
      </c>
      <c r="FZ2687" s="1" t="s">
        <v>632</v>
      </c>
      <c r="GA2687" s="1" t="s">
        <v>291</v>
      </c>
      <c r="GB2687" s="2">
        <v>42096.0</v>
      </c>
      <c r="GC2687" s="1" t="s">
        <v>23875</v>
      </c>
    </row>
    <row r="2688">
      <c r="A2688" s="1">
        <v>245000.0</v>
      </c>
      <c r="B2688" s="1" t="s">
        <v>185</v>
      </c>
      <c r="C2688" s="1" t="str">
        <f>"08831783"</f>
        <v>08831783</v>
      </c>
      <c r="D2688" s="1" t="s">
        <v>186</v>
      </c>
      <c r="F2688" s="1" t="str">
        <f>"543"</f>
        <v>543</v>
      </c>
      <c r="G2688" s="2">
        <v>42040.0</v>
      </c>
      <c r="H2688" s="1">
        <v>255000.0</v>
      </c>
      <c r="I2688" s="1">
        <v>242.0</v>
      </c>
      <c r="J2688" s="1">
        <v>255000.0</v>
      </c>
      <c r="K2688" s="2">
        <v>42045.0</v>
      </c>
      <c r="L2688" s="1">
        <v>6.0</v>
      </c>
      <c r="M2688" s="2">
        <v>42045.0</v>
      </c>
      <c r="N2688" s="1" t="s">
        <v>187</v>
      </c>
      <c r="O2688" s="2">
        <v>42093.0</v>
      </c>
      <c r="P2688" s="1">
        <v>221372.0</v>
      </c>
      <c r="Q2688" s="1">
        <v>24773.0</v>
      </c>
      <c r="S2688" s="1">
        <v>418.0</v>
      </c>
      <c r="T2688" s="1" t="s">
        <v>23876</v>
      </c>
      <c r="U2688" s="1" t="s">
        <v>1174</v>
      </c>
      <c r="V2688" s="1" t="s">
        <v>1527</v>
      </c>
      <c r="W2688" s="1">
        <v>60543.0</v>
      </c>
      <c r="Y2688" s="1" t="s">
        <v>23877</v>
      </c>
      <c r="Z2688" s="1">
        <v>1993.0</v>
      </c>
      <c r="AA2688" s="1" t="s">
        <v>200</v>
      </c>
      <c r="AB2688" s="1" t="s">
        <v>467</v>
      </c>
      <c r="AC2688" s="1" t="s">
        <v>11890</v>
      </c>
      <c r="AD2688" s="1" t="s">
        <v>1529</v>
      </c>
      <c r="AE2688" s="1" t="s">
        <v>849</v>
      </c>
      <c r="AF2688" s="1" t="s">
        <v>1529</v>
      </c>
      <c r="AH2688" s="1" t="s">
        <v>23878</v>
      </c>
      <c r="AI2688" s="1">
        <v>0.2383</v>
      </c>
      <c r="AK2688" s="1">
        <v>9.0</v>
      </c>
      <c r="AL2688" s="1">
        <v>4.0</v>
      </c>
      <c r="AM2688" s="1">
        <v>2.0</v>
      </c>
      <c r="AN2688" s="1">
        <v>1.0</v>
      </c>
      <c r="AO2688" s="1" t="s">
        <v>198</v>
      </c>
      <c r="AP2688" s="1">
        <v>1.0</v>
      </c>
      <c r="AQ2688" s="1" t="s">
        <v>198</v>
      </c>
      <c r="AR2688" s="1" t="s">
        <v>200</v>
      </c>
      <c r="AS2688" s="1" t="s">
        <v>199</v>
      </c>
      <c r="AT2688" s="1">
        <v>2.5</v>
      </c>
      <c r="AV2688" s="1" t="s">
        <v>200</v>
      </c>
      <c r="AW2688" s="1">
        <v>9059.04</v>
      </c>
      <c r="AX2688" s="1">
        <v>2013.0</v>
      </c>
      <c r="AY2688" s="1" t="s">
        <v>387</v>
      </c>
      <c r="AZ2688" s="1" t="s">
        <v>200</v>
      </c>
      <c r="BA2688" s="1" t="str">
        <f>"0309277002"</f>
        <v>0309277002</v>
      </c>
      <c r="BB2688" s="1" t="s">
        <v>200</v>
      </c>
      <c r="BC2688" s="1">
        <v>2600.0</v>
      </c>
      <c r="BD2688" s="1">
        <v>245000.0</v>
      </c>
      <c r="BE2688" s="2">
        <v>42040.0</v>
      </c>
      <c r="BF2688" s="2" t="s">
        <v>23879</v>
      </c>
      <c r="BG2688" s="1" t="s">
        <v>4366</v>
      </c>
      <c r="BH2688" s="1">
        <v>356.0</v>
      </c>
      <c r="BI2688" s="1" t="s">
        <v>1348</v>
      </c>
      <c r="BJ2688" s="1" t="s">
        <v>1349</v>
      </c>
      <c r="BK2688" s="1" t="s">
        <v>580</v>
      </c>
      <c r="BL2688" s="1" t="str">
        <f t="shared" ref="BL2688:BM2688" si="1755">""</f>
        <v/>
      </c>
      <c r="BM2688" s="1" t="str">
        <f t="shared" si="1755"/>
        <v/>
      </c>
      <c r="BQ2688" s="1">
        <v>308.0</v>
      </c>
      <c r="BR2688" s="1">
        <v>308.0</v>
      </c>
      <c r="BS2688" s="1">
        <v>308.0</v>
      </c>
      <c r="BU2688" s="1" t="s">
        <v>782</v>
      </c>
      <c r="BV2688" s="1" t="s">
        <v>206</v>
      </c>
      <c r="BW2688" s="1" t="s">
        <v>207</v>
      </c>
      <c r="BX2688" s="1" t="s">
        <v>431</v>
      </c>
      <c r="BY2688" s="1" t="s">
        <v>260</v>
      </c>
      <c r="BZ2688" s="1" t="s">
        <v>209</v>
      </c>
      <c r="CA2688" s="1" t="s">
        <v>210</v>
      </c>
      <c r="CB2688" s="1" t="s">
        <v>431</v>
      </c>
      <c r="CC2688" s="1" t="s">
        <v>260</v>
      </c>
      <c r="CD2688" s="1" t="s">
        <v>206</v>
      </c>
      <c r="CE2688" s="1" t="s">
        <v>207</v>
      </c>
      <c r="CF2688" s="1" t="s">
        <v>431</v>
      </c>
      <c r="CG2688" s="1" t="s">
        <v>361</v>
      </c>
      <c r="CH2688" s="1" t="s">
        <v>209</v>
      </c>
      <c r="CI2688" s="1" t="s">
        <v>210</v>
      </c>
      <c r="CJ2688" s="1" t="s">
        <v>431</v>
      </c>
      <c r="CK2688" s="1" t="s">
        <v>454</v>
      </c>
      <c r="CL2688" s="1" t="s">
        <v>209</v>
      </c>
      <c r="CM2688" s="1" t="s">
        <v>210</v>
      </c>
      <c r="CN2688" s="1" t="s">
        <v>431</v>
      </c>
      <c r="CO2688" s="1" t="s">
        <v>329</v>
      </c>
      <c r="CP2688" s="1" t="s">
        <v>206</v>
      </c>
      <c r="CQ2688" s="1" t="s">
        <v>210</v>
      </c>
      <c r="CR2688" s="1" t="s">
        <v>431</v>
      </c>
      <c r="CS2688" s="1" t="s">
        <v>3475</v>
      </c>
      <c r="CT2688" s="1" t="s">
        <v>206</v>
      </c>
      <c r="CU2688" s="1" t="s">
        <v>268</v>
      </c>
      <c r="CV2688" s="1" t="s">
        <v>431</v>
      </c>
      <c r="CW2688" s="1" t="s">
        <v>3123</v>
      </c>
      <c r="CX2688" s="1" t="s">
        <v>206</v>
      </c>
      <c r="CY2688" s="1" t="s">
        <v>207</v>
      </c>
      <c r="CZ2688" s="1" t="s">
        <v>431</v>
      </c>
      <c r="DA2688" s="1" t="s">
        <v>200</v>
      </c>
      <c r="DC2688" s="1" t="s">
        <v>435</v>
      </c>
      <c r="DD2688" s="1" t="s">
        <v>1838</v>
      </c>
      <c r="DE2688" s="1" t="s">
        <v>273</v>
      </c>
      <c r="DF2688" s="1" t="s">
        <v>219</v>
      </c>
      <c r="DG2688" s="1" t="s">
        <v>1020</v>
      </c>
      <c r="DH2688" s="1" t="s">
        <v>220</v>
      </c>
      <c r="DI2688" s="1" t="s">
        <v>519</v>
      </c>
      <c r="DJ2688" s="1" t="s">
        <v>222</v>
      </c>
      <c r="DL2688" s="1" t="s">
        <v>223</v>
      </c>
      <c r="DM2688" s="1" t="s">
        <v>338</v>
      </c>
      <c r="DN2688" s="1" t="s">
        <v>399</v>
      </c>
      <c r="DO2688" s="1" t="s">
        <v>549</v>
      </c>
      <c r="DP2688" s="1" t="s">
        <v>340</v>
      </c>
      <c r="DQ2688" s="1" t="s">
        <v>228</v>
      </c>
      <c r="DR2688" s="1" t="s">
        <v>588</v>
      </c>
      <c r="DU2688" s="1" t="s">
        <v>1024</v>
      </c>
      <c r="DV2688" s="1" t="s">
        <v>449</v>
      </c>
      <c r="DW2688" s="1" t="s">
        <v>764</v>
      </c>
      <c r="DX2688" s="1" t="s">
        <v>234</v>
      </c>
      <c r="DY2688" s="1" t="s">
        <v>490</v>
      </c>
      <c r="DZ2688" s="1" t="s">
        <v>1100</v>
      </c>
      <c r="EB2688" s="1" t="s">
        <v>345</v>
      </c>
      <c r="EC2688" s="1" t="s">
        <v>237</v>
      </c>
      <c r="ED2688" s="1" t="s">
        <v>555</v>
      </c>
      <c r="EE2688" s="1" t="s">
        <v>493</v>
      </c>
      <c r="EG2688" s="1" t="s">
        <v>449</v>
      </c>
      <c r="EL2688" s="1" t="s">
        <v>454</v>
      </c>
      <c r="EM2688" s="1" t="s">
        <v>206</v>
      </c>
      <c r="EN2688" s="1" t="s">
        <v>268</v>
      </c>
      <c r="EO2688" s="1" t="s">
        <v>431</v>
      </c>
      <c r="EQ2688" s="1" t="s">
        <v>238</v>
      </c>
      <c r="EU2688" s="1" t="s">
        <v>238</v>
      </c>
      <c r="EY2688" s="1" t="s">
        <v>238</v>
      </c>
      <c r="FC2688" s="1" t="s">
        <v>238</v>
      </c>
      <c r="FF2688" s="1" t="s">
        <v>239</v>
      </c>
      <c r="FG2688" s="1" t="s">
        <v>192</v>
      </c>
      <c r="FH2688" s="1" t="s">
        <v>192</v>
      </c>
      <c r="FJ2688" s="1" t="s">
        <v>2206</v>
      </c>
      <c r="FK2688" s="1" t="s">
        <v>229</v>
      </c>
      <c r="FL2688" s="1" t="s">
        <v>4369</v>
      </c>
      <c r="FM2688" s="1">
        <v>23279.0</v>
      </c>
      <c r="FN2688" s="1" t="s">
        <v>6096</v>
      </c>
      <c r="FO2688" s="1" t="s">
        <v>23880</v>
      </c>
      <c r="FP2688" s="1">
        <v>219134.0</v>
      </c>
      <c r="FQ2688" s="1" t="s">
        <v>23881</v>
      </c>
      <c r="FU2688" s="1" t="s">
        <v>4990</v>
      </c>
      <c r="FV2688" s="1" t="s">
        <v>200</v>
      </c>
      <c r="FW2688" s="1" t="s">
        <v>290</v>
      </c>
      <c r="FZ2688" s="1" t="s">
        <v>229</v>
      </c>
      <c r="GA2688" s="1" t="s">
        <v>291</v>
      </c>
      <c r="GB2688" s="2">
        <v>42095.0</v>
      </c>
      <c r="GC2688" s="1" t="s">
        <v>23882</v>
      </c>
    </row>
    <row r="2689">
      <c r="A2689" s="1">
        <v>165000.0</v>
      </c>
      <c r="B2689" s="1" t="s">
        <v>185</v>
      </c>
      <c r="C2689" s="1" t="str">
        <f>"08832671"</f>
        <v>08832671</v>
      </c>
      <c r="D2689" s="1" t="s">
        <v>186</v>
      </c>
      <c r="F2689" s="1" t="str">
        <f>"107"</f>
        <v>107</v>
      </c>
      <c r="G2689" s="2">
        <v>42041.0</v>
      </c>
      <c r="H2689" s="1">
        <v>174900.0</v>
      </c>
      <c r="I2689" s="1">
        <v>62.0</v>
      </c>
      <c r="J2689" s="1">
        <v>169900.0</v>
      </c>
      <c r="K2689" s="2">
        <v>42102.0</v>
      </c>
      <c r="L2689" s="1">
        <v>62.0</v>
      </c>
      <c r="M2689" s="2">
        <v>42102.0</v>
      </c>
      <c r="N2689" s="1" t="s">
        <v>187</v>
      </c>
      <c r="O2689" s="2">
        <v>42135.0</v>
      </c>
      <c r="P2689" s="1">
        <v>89198.0</v>
      </c>
      <c r="Q2689" s="1">
        <v>8073.0</v>
      </c>
      <c r="S2689" s="1">
        <v>14.0</v>
      </c>
      <c r="T2689" s="1" t="s">
        <v>23883</v>
      </c>
      <c r="U2689" s="1" t="s">
        <v>1174</v>
      </c>
      <c r="V2689" s="1" t="s">
        <v>294</v>
      </c>
      <c r="W2689" s="1">
        <v>60107.0</v>
      </c>
      <c r="Y2689" s="1" t="s">
        <v>23884</v>
      </c>
      <c r="Z2689" s="1">
        <v>1965.0</v>
      </c>
      <c r="AA2689" s="1" t="s">
        <v>192</v>
      </c>
      <c r="AB2689" s="1" t="s">
        <v>193</v>
      </c>
      <c r="AD2689" s="1" t="s">
        <v>297</v>
      </c>
      <c r="AE2689" s="1" t="s">
        <v>195</v>
      </c>
      <c r="AF2689" s="1" t="s">
        <v>298</v>
      </c>
      <c r="AH2689" s="1" t="s">
        <v>1345</v>
      </c>
      <c r="AI2689" s="1">
        <v>0.1528</v>
      </c>
      <c r="AK2689" s="1">
        <v>6.0</v>
      </c>
      <c r="AL2689" s="1">
        <v>4.0</v>
      </c>
      <c r="AM2689" s="1">
        <v>1.0</v>
      </c>
      <c r="AN2689" s="1">
        <v>0.0</v>
      </c>
      <c r="AO2689" s="1" t="s">
        <v>229</v>
      </c>
      <c r="AQ2689" s="1" t="s">
        <v>229</v>
      </c>
      <c r="AR2689" s="1" t="s">
        <v>200</v>
      </c>
      <c r="AS2689" s="1" t="s">
        <v>199</v>
      </c>
      <c r="AT2689" s="1">
        <v>2.0</v>
      </c>
      <c r="AV2689" s="1" t="s">
        <v>200</v>
      </c>
      <c r="AW2689" s="1">
        <v>3720.0</v>
      </c>
      <c r="AX2689" s="1">
        <v>2013.0</v>
      </c>
      <c r="AZ2689" s="1" t="s">
        <v>200</v>
      </c>
      <c r="BA2689" s="1" t="str">
        <f>"06232090340000"</f>
        <v>06232090340000</v>
      </c>
      <c r="BC2689" s="1">
        <v>1172.0</v>
      </c>
      <c r="BD2689" s="1">
        <v>165000.0</v>
      </c>
      <c r="BE2689" s="2">
        <v>42041.0</v>
      </c>
      <c r="BF2689" s="2" t="s">
        <v>23885</v>
      </c>
      <c r="BH2689" s="1">
        <v>0.0</v>
      </c>
      <c r="BK2689" s="1" t="s">
        <v>204</v>
      </c>
      <c r="BL2689" s="1" t="str">
        <f>"10"</f>
        <v>10</v>
      </c>
      <c r="BM2689" s="1" t="str">
        <f>"0"</f>
        <v>0</v>
      </c>
      <c r="BN2689" s="1">
        <v>28.0</v>
      </c>
      <c r="BO2689" s="1">
        <v>0.0</v>
      </c>
      <c r="BQ2689" s="1">
        <v>46.0</v>
      </c>
      <c r="BR2689" s="1">
        <v>46.0</v>
      </c>
      <c r="BS2689" s="1">
        <v>46.0</v>
      </c>
      <c r="BU2689" s="1" t="s">
        <v>260</v>
      </c>
      <c r="BV2689" s="1" t="s">
        <v>206</v>
      </c>
      <c r="BY2689" s="1" t="s">
        <v>215</v>
      </c>
      <c r="BZ2689" s="1" t="s">
        <v>206</v>
      </c>
      <c r="CD2689" s="1" t="s">
        <v>204</v>
      </c>
      <c r="CG2689" s="1" t="s">
        <v>302</v>
      </c>
      <c r="CH2689" s="1" t="s">
        <v>206</v>
      </c>
      <c r="CK2689" s="1" t="s">
        <v>303</v>
      </c>
      <c r="CL2689" s="1" t="s">
        <v>206</v>
      </c>
      <c r="CO2689" s="1" t="s">
        <v>269</v>
      </c>
      <c r="CP2689" s="1" t="s">
        <v>206</v>
      </c>
      <c r="CS2689" s="1" t="s">
        <v>758</v>
      </c>
      <c r="CT2689" s="1" t="s">
        <v>206</v>
      </c>
      <c r="CX2689" s="1" t="s">
        <v>204</v>
      </c>
      <c r="DA2689" s="1" t="s">
        <v>200</v>
      </c>
      <c r="DC2689" s="1" t="s">
        <v>517</v>
      </c>
      <c r="DE2689" s="1" t="s">
        <v>229</v>
      </c>
      <c r="DF2689" s="1" t="s">
        <v>619</v>
      </c>
      <c r="DH2689" s="1" t="s">
        <v>220</v>
      </c>
      <c r="DJ2689" s="1" t="s">
        <v>222</v>
      </c>
      <c r="DL2689" s="1" t="s">
        <v>229</v>
      </c>
      <c r="DM2689" s="1" t="s">
        <v>229</v>
      </c>
      <c r="DQ2689" s="1" t="s">
        <v>228</v>
      </c>
      <c r="DR2689" s="1" t="s">
        <v>229</v>
      </c>
      <c r="DV2689" s="1" t="s">
        <v>232</v>
      </c>
      <c r="DW2689" s="1" t="s">
        <v>279</v>
      </c>
      <c r="DX2689" s="1" t="s">
        <v>234</v>
      </c>
      <c r="EA2689" s="1" t="s">
        <v>683</v>
      </c>
      <c r="EC2689" s="1" t="s">
        <v>685</v>
      </c>
      <c r="EM2689" s="1" t="s">
        <v>238</v>
      </c>
      <c r="EQ2689" s="1" t="s">
        <v>238</v>
      </c>
      <c r="EU2689" s="1" t="s">
        <v>238</v>
      </c>
      <c r="EY2689" s="1" t="s">
        <v>238</v>
      </c>
      <c r="FC2689" s="1" t="s">
        <v>238</v>
      </c>
      <c r="FF2689" s="1" t="s">
        <v>239</v>
      </c>
      <c r="FG2689" s="1" t="s">
        <v>192</v>
      </c>
      <c r="FH2689" s="1" t="s">
        <v>192</v>
      </c>
      <c r="FJ2689" s="1" t="s">
        <v>23886</v>
      </c>
      <c r="FK2689" s="1" t="s">
        <v>229</v>
      </c>
      <c r="FL2689" s="1" t="s">
        <v>241</v>
      </c>
      <c r="FM2689" s="1">
        <v>15358.0</v>
      </c>
      <c r="FN2689" s="1" t="s">
        <v>242</v>
      </c>
      <c r="FO2689" s="1" t="s">
        <v>243</v>
      </c>
      <c r="FP2689" s="1">
        <v>114479.0</v>
      </c>
      <c r="FQ2689" s="1" t="s">
        <v>242</v>
      </c>
      <c r="FU2689" s="1" t="s">
        <v>23887</v>
      </c>
      <c r="FV2689" s="1" t="s">
        <v>200</v>
      </c>
      <c r="FW2689" s="1" t="s">
        <v>23888</v>
      </c>
      <c r="FX2689" s="1" t="s">
        <v>655</v>
      </c>
      <c r="FZ2689" s="1" t="s">
        <v>229</v>
      </c>
      <c r="GA2689" s="1" t="s">
        <v>247</v>
      </c>
      <c r="GB2689" s="2">
        <v>42138.0</v>
      </c>
      <c r="GC2689" s="1" t="s">
        <v>23889</v>
      </c>
    </row>
    <row r="2690">
      <c r="A2690" s="1">
        <v>200000.0</v>
      </c>
      <c r="B2690" s="1" t="s">
        <v>185</v>
      </c>
      <c r="C2690" s="1" t="str">
        <f>"08836702"</f>
        <v>08836702</v>
      </c>
      <c r="D2690" s="1" t="s">
        <v>186</v>
      </c>
      <c r="F2690" s="1" t="str">
        <f>"174"</f>
        <v>174</v>
      </c>
      <c r="G2690" s="2">
        <v>42046.0</v>
      </c>
      <c r="H2690" s="1">
        <v>210000.0</v>
      </c>
      <c r="I2690" s="1">
        <v>245.0</v>
      </c>
      <c r="J2690" s="1">
        <v>210000.0</v>
      </c>
      <c r="K2690" s="2">
        <v>42052.0</v>
      </c>
      <c r="L2690" s="1">
        <v>7.0</v>
      </c>
      <c r="M2690" s="2">
        <v>42052.0</v>
      </c>
      <c r="N2690" s="1" t="s">
        <v>187</v>
      </c>
      <c r="O2690" s="2">
        <v>42090.0</v>
      </c>
      <c r="P2690" s="1">
        <v>170702.0</v>
      </c>
      <c r="Q2690" s="1">
        <v>10013.0</v>
      </c>
      <c r="R2690" s="1">
        <v>2000.0</v>
      </c>
      <c r="S2690" s="1">
        <v>239.0</v>
      </c>
      <c r="T2690" s="1" t="s">
        <v>19778</v>
      </c>
      <c r="U2690" s="1" t="s">
        <v>569</v>
      </c>
      <c r="V2690" s="1" t="s">
        <v>1200</v>
      </c>
      <c r="W2690" s="1">
        <v>60174.0</v>
      </c>
      <c r="Y2690" s="1" t="s">
        <v>23890</v>
      </c>
      <c r="Z2690" s="1">
        <v>1966.0</v>
      </c>
      <c r="AA2690" s="1" t="s">
        <v>192</v>
      </c>
      <c r="AB2690" s="1" t="s">
        <v>193</v>
      </c>
      <c r="AD2690" s="1" t="s">
        <v>1203</v>
      </c>
      <c r="AE2690" s="1" t="s">
        <v>325</v>
      </c>
      <c r="AF2690" s="1" t="s">
        <v>1203</v>
      </c>
      <c r="AH2690" s="1" t="s">
        <v>23891</v>
      </c>
      <c r="AI2690" s="1">
        <v>0.1823</v>
      </c>
      <c r="AK2690" s="1">
        <v>8.0</v>
      </c>
      <c r="AL2690" s="1">
        <v>4.0</v>
      </c>
      <c r="AM2690" s="1">
        <v>2.0</v>
      </c>
      <c r="AN2690" s="1">
        <v>0.0</v>
      </c>
      <c r="AO2690" s="1" t="s">
        <v>229</v>
      </c>
      <c r="AQ2690" s="1" t="s">
        <v>198</v>
      </c>
      <c r="AR2690" s="1" t="s">
        <v>200</v>
      </c>
      <c r="AS2690" s="1" t="s">
        <v>199</v>
      </c>
      <c r="AT2690" s="1">
        <v>2.0</v>
      </c>
      <c r="AV2690" s="1" t="s">
        <v>200</v>
      </c>
      <c r="AW2690" s="1">
        <v>5555.18</v>
      </c>
      <c r="AX2690" s="1">
        <v>2013.0</v>
      </c>
      <c r="AZ2690" s="1" t="s">
        <v>200</v>
      </c>
      <c r="BA2690" s="1" t="str">
        <f>"0933103042"</f>
        <v>0933103042</v>
      </c>
      <c r="BC2690" s="1">
        <v>1600.0</v>
      </c>
      <c r="BD2690" s="1">
        <v>200000.0</v>
      </c>
      <c r="BE2690" s="2">
        <v>42046.0</v>
      </c>
      <c r="BF2690" s="1" t="s">
        <v>23892</v>
      </c>
      <c r="BH2690" s="1">
        <v>0.0</v>
      </c>
      <c r="BK2690" s="1" t="s">
        <v>204</v>
      </c>
      <c r="BL2690" s="1" t="str">
        <f t="shared" ref="BL2690:BM2690" si="1756">""</f>
        <v/>
      </c>
      <c r="BM2690" s="1" t="str">
        <f t="shared" si="1756"/>
        <v/>
      </c>
      <c r="BQ2690" s="1">
        <v>303.0</v>
      </c>
      <c r="BR2690" s="1">
        <v>303.0</v>
      </c>
      <c r="BS2690" s="1">
        <v>303.0</v>
      </c>
      <c r="BU2690" s="1" t="s">
        <v>1892</v>
      </c>
      <c r="BV2690" s="1" t="s">
        <v>206</v>
      </c>
      <c r="BY2690" s="1" t="s">
        <v>331</v>
      </c>
      <c r="BZ2690" s="1" t="s">
        <v>209</v>
      </c>
      <c r="CC2690" s="1" t="s">
        <v>212</v>
      </c>
      <c r="CD2690" s="1" t="s">
        <v>206</v>
      </c>
      <c r="CG2690" s="1" t="s">
        <v>212</v>
      </c>
      <c r="CH2690" s="1" t="s">
        <v>209</v>
      </c>
      <c r="CK2690" s="1" t="s">
        <v>212</v>
      </c>
      <c r="CL2690" s="1" t="s">
        <v>209</v>
      </c>
      <c r="CO2690" s="1" t="s">
        <v>699</v>
      </c>
      <c r="CP2690" s="1" t="s">
        <v>209</v>
      </c>
      <c r="CS2690" s="1" t="s">
        <v>332</v>
      </c>
      <c r="CT2690" s="1" t="s">
        <v>206</v>
      </c>
      <c r="CW2690" s="1" t="s">
        <v>3623</v>
      </c>
      <c r="CX2690" s="1" t="s">
        <v>42</v>
      </c>
      <c r="DA2690" s="1" t="s">
        <v>200</v>
      </c>
      <c r="DC2690" s="1" t="s">
        <v>517</v>
      </c>
      <c r="DE2690" s="1" t="s">
        <v>273</v>
      </c>
      <c r="DF2690" s="1" t="s">
        <v>219</v>
      </c>
      <c r="DH2690" s="1" t="s">
        <v>220</v>
      </c>
      <c r="DI2690" s="1" t="s">
        <v>308</v>
      </c>
      <c r="DJ2690" s="1" t="s">
        <v>222</v>
      </c>
      <c r="DL2690" s="1" t="s">
        <v>858</v>
      </c>
      <c r="DM2690" s="1" t="s">
        <v>229</v>
      </c>
      <c r="DQ2690" s="1" t="s">
        <v>228</v>
      </c>
      <c r="DR2690" s="1" t="s">
        <v>229</v>
      </c>
      <c r="DV2690" s="1" t="s">
        <v>232</v>
      </c>
      <c r="DW2690" s="1" t="s">
        <v>3142</v>
      </c>
      <c r="DX2690" s="1" t="s">
        <v>234</v>
      </c>
      <c r="EC2690" s="1" t="s">
        <v>237</v>
      </c>
      <c r="EM2690" s="1" t="s">
        <v>238</v>
      </c>
      <c r="EQ2690" s="1" t="s">
        <v>238</v>
      </c>
      <c r="EU2690" s="1" t="s">
        <v>238</v>
      </c>
      <c r="EY2690" s="1" t="s">
        <v>238</v>
      </c>
      <c r="FC2690" s="1" t="s">
        <v>238</v>
      </c>
      <c r="FF2690" s="1" t="s">
        <v>239</v>
      </c>
      <c r="FG2690" s="1" t="s">
        <v>192</v>
      </c>
      <c r="FH2690" s="1" t="s">
        <v>192</v>
      </c>
      <c r="FJ2690" s="1" t="s">
        <v>1469</v>
      </c>
      <c r="FK2690" s="1" t="s">
        <v>229</v>
      </c>
      <c r="FL2690" s="1" t="s">
        <v>4369</v>
      </c>
      <c r="FM2690" s="1">
        <v>23120.0</v>
      </c>
      <c r="FN2690" s="1" t="s">
        <v>4370</v>
      </c>
      <c r="FO2690" s="1" t="s">
        <v>23893</v>
      </c>
      <c r="FP2690" s="1">
        <v>215952.0</v>
      </c>
      <c r="FQ2690" s="1" t="s">
        <v>23894</v>
      </c>
      <c r="FU2690" s="1" t="s">
        <v>7524</v>
      </c>
      <c r="FV2690" s="1" t="s">
        <v>192</v>
      </c>
      <c r="FW2690" s="1" t="s">
        <v>290</v>
      </c>
      <c r="FZ2690" s="1" t="s">
        <v>229</v>
      </c>
      <c r="GA2690" s="1" t="s">
        <v>291</v>
      </c>
      <c r="GB2690" s="2">
        <v>42094.0</v>
      </c>
      <c r="GC2690" s="1" t="s">
        <v>23895</v>
      </c>
    </row>
    <row r="2691">
      <c r="A2691" s="1">
        <v>208500.0</v>
      </c>
      <c r="B2691" s="1" t="s">
        <v>185</v>
      </c>
      <c r="C2691" s="1" t="str">
        <f>"08832605"</f>
        <v>08832605</v>
      </c>
      <c r="D2691" s="1" t="s">
        <v>186</v>
      </c>
      <c r="F2691" s="1" t="str">
        <f>"8070"</f>
        <v>8070</v>
      </c>
      <c r="G2691" s="2">
        <v>42041.0</v>
      </c>
      <c r="H2691" s="1">
        <v>209000.0</v>
      </c>
      <c r="I2691" s="1">
        <v>114.0</v>
      </c>
      <c r="J2691" s="1">
        <v>209000.0</v>
      </c>
      <c r="K2691" s="2">
        <v>42041.0</v>
      </c>
      <c r="L2691" s="1">
        <v>1.0</v>
      </c>
      <c r="M2691" s="2">
        <v>42041.0</v>
      </c>
      <c r="N2691" s="1" t="s">
        <v>356</v>
      </c>
      <c r="O2691" s="2">
        <v>42096.0</v>
      </c>
      <c r="P2691" s="1">
        <v>237282.0</v>
      </c>
      <c r="Q2691" s="1">
        <v>61153.0</v>
      </c>
      <c r="R2691" s="1">
        <v>8500.0</v>
      </c>
      <c r="S2691" s="1">
        <v>3818.0</v>
      </c>
      <c r="T2691" s="1" t="s">
        <v>3304</v>
      </c>
      <c r="U2691" s="1" t="s">
        <v>320</v>
      </c>
      <c r="V2691" s="1" t="s">
        <v>190</v>
      </c>
      <c r="W2691" s="1">
        <v>60652.0</v>
      </c>
      <c r="Y2691" s="1" t="s">
        <v>23896</v>
      </c>
      <c r="Z2691" s="1">
        <v>1951.0</v>
      </c>
      <c r="AA2691" s="1" t="s">
        <v>192</v>
      </c>
      <c r="AB2691" s="1" t="s">
        <v>193</v>
      </c>
      <c r="AD2691" s="1" t="s">
        <v>194</v>
      </c>
      <c r="AE2691" s="1" t="s">
        <v>195</v>
      </c>
      <c r="AF2691" s="1" t="s">
        <v>659</v>
      </c>
      <c r="AH2691" s="1" t="s">
        <v>14059</v>
      </c>
      <c r="AI2691" s="1">
        <v>0.107</v>
      </c>
      <c r="AK2691" s="1">
        <v>8.0</v>
      </c>
      <c r="AL2691" s="1">
        <v>3.0</v>
      </c>
      <c r="AM2691" s="1">
        <v>3.0</v>
      </c>
      <c r="AN2691" s="1">
        <v>0.0</v>
      </c>
      <c r="AO2691" s="1" t="s">
        <v>229</v>
      </c>
      <c r="AQ2691" s="1" t="s">
        <v>198</v>
      </c>
      <c r="AR2691" s="1" t="s">
        <v>192</v>
      </c>
      <c r="AS2691" s="1" t="s">
        <v>199</v>
      </c>
      <c r="AT2691" s="1">
        <v>2.0</v>
      </c>
      <c r="AV2691" s="1" t="s">
        <v>200</v>
      </c>
      <c r="AW2691" s="1">
        <v>2110.1</v>
      </c>
      <c r="AX2691" s="1">
        <v>2012.0</v>
      </c>
      <c r="AZ2691" s="1" t="s">
        <v>200</v>
      </c>
      <c r="BA2691" s="1" t="str">
        <f>"19353060480000"</f>
        <v>19353060480000</v>
      </c>
      <c r="BC2691" s="1">
        <v>1344.0</v>
      </c>
      <c r="BD2691" s="1">
        <v>208500.0</v>
      </c>
      <c r="BE2691" s="2">
        <v>42041.0</v>
      </c>
      <c r="BF2691" s="2" t="s">
        <v>23897</v>
      </c>
      <c r="BH2691" s="1">
        <v>0.0</v>
      </c>
      <c r="BK2691" s="1" t="s">
        <v>204</v>
      </c>
      <c r="BL2691" s="1" t="str">
        <f t="shared" ref="BL2691:BM2691" si="1757">"0"</f>
        <v>0</v>
      </c>
      <c r="BM2691" s="1" t="str">
        <f t="shared" si="1757"/>
        <v>0</v>
      </c>
      <c r="BN2691" s="1">
        <v>3818.0</v>
      </c>
      <c r="BO2691" s="1">
        <v>8400.0</v>
      </c>
      <c r="BQ2691" s="1">
        <v>299.0</v>
      </c>
      <c r="BR2691" s="1">
        <v>299.0</v>
      </c>
      <c r="BS2691" s="1">
        <v>299.0</v>
      </c>
      <c r="BU2691" s="1" t="s">
        <v>616</v>
      </c>
      <c r="BV2691" s="1" t="s">
        <v>206</v>
      </c>
      <c r="BW2691" s="1" t="s">
        <v>207</v>
      </c>
      <c r="BY2691" s="1" t="s">
        <v>584</v>
      </c>
      <c r="BZ2691" s="1" t="s">
        <v>209</v>
      </c>
      <c r="CA2691" s="1" t="s">
        <v>301</v>
      </c>
      <c r="CC2691" s="1" t="s">
        <v>269</v>
      </c>
      <c r="CD2691" s="1" t="s">
        <v>206</v>
      </c>
      <c r="CE2691" s="1" t="s">
        <v>207</v>
      </c>
      <c r="CG2691" s="1" t="s">
        <v>332</v>
      </c>
      <c r="CH2691" s="1" t="s">
        <v>209</v>
      </c>
      <c r="CI2691" s="1" t="s">
        <v>301</v>
      </c>
      <c r="CK2691" s="1" t="s">
        <v>363</v>
      </c>
      <c r="CL2691" s="1" t="s">
        <v>206</v>
      </c>
      <c r="CM2691" s="1" t="s">
        <v>207</v>
      </c>
      <c r="CO2691" s="1" t="s">
        <v>663</v>
      </c>
      <c r="CP2691" s="1" t="s">
        <v>42</v>
      </c>
      <c r="CQ2691" s="1" t="s">
        <v>268</v>
      </c>
      <c r="CS2691" s="1" t="s">
        <v>758</v>
      </c>
      <c r="CT2691" s="1" t="s">
        <v>206</v>
      </c>
      <c r="CU2691" s="1" t="s">
        <v>207</v>
      </c>
      <c r="CW2691" s="1" t="s">
        <v>544</v>
      </c>
      <c r="CX2691" s="1" t="s">
        <v>42</v>
      </c>
      <c r="CY2691" s="1" t="s">
        <v>268</v>
      </c>
      <c r="DA2691" s="1" t="s">
        <v>200</v>
      </c>
      <c r="DC2691" s="1" t="s">
        <v>702</v>
      </c>
      <c r="DD2691" s="1" t="s">
        <v>306</v>
      </c>
      <c r="DE2691" s="1" t="s">
        <v>273</v>
      </c>
      <c r="DF2691" s="1" t="s">
        <v>219</v>
      </c>
      <c r="DH2691" s="1" t="s">
        <v>307</v>
      </c>
      <c r="DI2691" s="1" t="s">
        <v>308</v>
      </c>
      <c r="DJ2691" s="1" t="s">
        <v>222</v>
      </c>
      <c r="DL2691" s="1" t="s">
        <v>224</v>
      </c>
      <c r="DM2691" s="1" t="s">
        <v>229</v>
      </c>
      <c r="DN2691" s="1" t="s">
        <v>7205</v>
      </c>
      <c r="DP2691" s="1" t="s">
        <v>340</v>
      </c>
      <c r="DQ2691" s="1" t="s">
        <v>228</v>
      </c>
      <c r="DR2691" s="1" t="s">
        <v>229</v>
      </c>
      <c r="DS2691" s="1" t="s">
        <v>230</v>
      </c>
      <c r="DV2691" s="1" t="s">
        <v>232</v>
      </c>
      <c r="DW2691" s="1" t="s">
        <v>279</v>
      </c>
      <c r="DX2691" s="1" t="s">
        <v>234</v>
      </c>
      <c r="DY2691" s="1" t="s">
        <v>22084</v>
      </c>
      <c r="EA2691" s="1" t="s">
        <v>1075</v>
      </c>
      <c r="EC2691" s="1" t="s">
        <v>645</v>
      </c>
      <c r="ED2691" s="1" t="s">
        <v>555</v>
      </c>
      <c r="EM2691" s="1" t="s">
        <v>238</v>
      </c>
      <c r="EQ2691" s="1" t="s">
        <v>238</v>
      </c>
      <c r="EU2691" s="1" t="s">
        <v>238</v>
      </c>
      <c r="EY2691" s="1" t="s">
        <v>238</v>
      </c>
      <c r="FC2691" s="1" t="s">
        <v>238</v>
      </c>
      <c r="FF2691" s="1" t="s">
        <v>239</v>
      </c>
      <c r="FG2691" s="1" t="s">
        <v>192</v>
      </c>
      <c r="FH2691" s="1" t="s">
        <v>192</v>
      </c>
      <c r="FJ2691" s="1" t="s">
        <v>23898</v>
      </c>
      <c r="FK2691" s="1" t="s">
        <v>229</v>
      </c>
      <c r="FL2691" s="1" t="s">
        <v>8326</v>
      </c>
      <c r="FM2691" s="1">
        <v>23391.0</v>
      </c>
      <c r="FN2691" s="1" t="s">
        <v>8327</v>
      </c>
      <c r="FO2691" s="1" t="s">
        <v>17036</v>
      </c>
      <c r="FP2691" s="1">
        <v>220590.0</v>
      </c>
      <c r="FQ2691" s="1" t="s">
        <v>17037</v>
      </c>
      <c r="FU2691" s="1" t="s">
        <v>3760</v>
      </c>
      <c r="FV2691" s="1" t="s">
        <v>192</v>
      </c>
      <c r="FW2691" s="1" t="s">
        <v>461</v>
      </c>
      <c r="FX2691" s="1" t="s">
        <v>246</v>
      </c>
      <c r="FZ2691" s="1" t="s">
        <v>229</v>
      </c>
      <c r="GA2691" s="1" t="s">
        <v>291</v>
      </c>
      <c r="GB2691" s="2">
        <v>42101.0</v>
      </c>
      <c r="GC2691" s="1" t="s">
        <v>23899</v>
      </c>
    </row>
    <row r="2692">
      <c r="A2692" s="1">
        <v>260000.0</v>
      </c>
      <c r="B2692" s="1" t="s">
        <v>185</v>
      </c>
      <c r="C2692" s="1" t="str">
        <f>"08832899"</f>
        <v>08832899</v>
      </c>
      <c r="D2692" s="1" t="s">
        <v>186</v>
      </c>
      <c r="F2692" s="1" t="str">
        <f>"119"</f>
        <v>119</v>
      </c>
      <c r="G2692" s="2">
        <v>42041.0</v>
      </c>
      <c r="H2692" s="1">
        <v>259000.0</v>
      </c>
      <c r="I2692" s="1">
        <v>20.0</v>
      </c>
      <c r="J2692" s="1">
        <v>259000.0</v>
      </c>
      <c r="K2692" s="2">
        <v>42060.0</v>
      </c>
      <c r="L2692" s="1">
        <v>20.0</v>
      </c>
      <c r="M2692" s="2">
        <v>42060.0</v>
      </c>
      <c r="N2692" s="1" t="s">
        <v>356</v>
      </c>
      <c r="O2692" s="2">
        <v>42121.0</v>
      </c>
      <c r="P2692" s="1">
        <v>256939.0</v>
      </c>
      <c r="Q2692" s="1">
        <v>24812.0</v>
      </c>
      <c r="S2692" s="1">
        <v>860.0</v>
      </c>
      <c r="T2692" s="1" t="s">
        <v>23900</v>
      </c>
      <c r="U2692" s="1" t="s">
        <v>420</v>
      </c>
      <c r="V2692" s="1" t="s">
        <v>1476</v>
      </c>
      <c r="W2692" s="1">
        <v>60119.0</v>
      </c>
      <c r="Y2692" s="1" t="s">
        <v>23901</v>
      </c>
      <c r="Z2692" s="1">
        <v>2003.0</v>
      </c>
      <c r="AA2692" s="1" t="s">
        <v>200</v>
      </c>
      <c r="AB2692" s="1" t="s">
        <v>193</v>
      </c>
      <c r="AC2692" s="1" t="s">
        <v>4349</v>
      </c>
      <c r="AD2692" s="1" t="s">
        <v>1478</v>
      </c>
      <c r="AE2692" s="1" t="s">
        <v>325</v>
      </c>
      <c r="AF2692" s="1" t="s">
        <v>1479</v>
      </c>
      <c r="AH2692" s="1" t="s">
        <v>23902</v>
      </c>
      <c r="AI2692" s="1">
        <v>0.26</v>
      </c>
      <c r="AK2692" s="1">
        <v>10.0</v>
      </c>
      <c r="AL2692" s="1">
        <v>4.0</v>
      </c>
      <c r="AM2692" s="1">
        <v>2.0</v>
      </c>
      <c r="AN2692" s="1">
        <v>1.0</v>
      </c>
      <c r="AO2692" s="1" t="s">
        <v>198</v>
      </c>
      <c r="AP2692" s="1">
        <v>1.0</v>
      </c>
      <c r="AQ2692" s="1" t="s">
        <v>198</v>
      </c>
      <c r="AR2692" s="1" t="s">
        <v>200</v>
      </c>
      <c r="AS2692" s="1" t="s">
        <v>199</v>
      </c>
      <c r="AT2692" s="1">
        <v>3.0</v>
      </c>
      <c r="AV2692" s="1" t="s">
        <v>200</v>
      </c>
      <c r="AW2692" s="1">
        <v>8263.0</v>
      </c>
      <c r="AX2692" s="1">
        <v>2013.0</v>
      </c>
      <c r="AY2692" s="1" t="s">
        <v>387</v>
      </c>
      <c r="AZ2692" s="1" t="s">
        <v>192</v>
      </c>
      <c r="BA2692" s="1" t="str">
        <f>"1108203005"</f>
        <v>1108203005</v>
      </c>
      <c r="BC2692" s="1">
        <v>3450.0</v>
      </c>
      <c r="BD2692" s="1">
        <v>260000.0</v>
      </c>
      <c r="BE2692" s="2">
        <v>42041.0</v>
      </c>
      <c r="BF2692" s="2" t="s">
        <v>23903</v>
      </c>
      <c r="BG2692" s="1" t="s">
        <v>4351</v>
      </c>
      <c r="BH2692" s="1">
        <v>213.0</v>
      </c>
      <c r="BI2692" s="1" t="s">
        <v>1635</v>
      </c>
      <c r="BJ2692" s="1" t="s">
        <v>1636</v>
      </c>
      <c r="BK2692" s="1" t="s">
        <v>580</v>
      </c>
      <c r="BL2692" s="1" t="str">
        <f t="shared" ref="BL2692:BM2692" si="1758">"0"</f>
        <v>0</v>
      </c>
      <c r="BM2692" s="1" t="str">
        <f t="shared" si="1758"/>
        <v>0</v>
      </c>
      <c r="BN2692" s="1">
        <v>0.0</v>
      </c>
      <c r="BO2692" s="1">
        <v>0.0</v>
      </c>
      <c r="BQ2692" s="1">
        <v>302.0</v>
      </c>
      <c r="BR2692" s="1">
        <v>302.0</v>
      </c>
      <c r="BS2692" s="1">
        <v>302.0</v>
      </c>
      <c r="BU2692" s="1" t="s">
        <v>480</v>
      </c>
      <c r="BV2692" s="1" t="s">
        <v>206</v>
      </c>
      <c r="BW2692" s="1" t="s">
        <v>210</v>
      </c>
      <c r="BY2692" s="1" t="s">
        <v>1534</v>
      </c>
      <c r="BZ2692" s="1" t="s">
        <v>209</v>
      </c>
      <c r="CA2692" s="1" t="s">
        <v>210</v>
      </c>
      <c r="CC2692" s="1" t="s">
        <v>212</v>
      </c>
      <c r="CD2692" s="1" t="s">
        <v>206</v>
      </c>
      <c r="CE2692" s="1" t="s">
        <v>210</v>
      </c>
      <c r="CG2692" s="1" t="s">
        <v>433</v>
      </c>
      <c r="CH2692" s="1" t="s">
        <v>209</v>
      </c>
      <c r="CI2692" s="1" t="s">
        <v>210</v>
      </c>
      <c r="CK2692" s="1" t="s">
        <v>331</v>
      </c>
      <c r="CL2692" s="1" t="s">
        <v>209</v>
      </c>
      <c r="CM2692" s="1" t="s">
        <v>210</v>
      </c>
      <c r="CO2692" s="1" t="s">
        <v>543</v>
      </c>
      <c r="CP2692" s="1" t="s">
        <v>209</v>
      </c>
      <c r="CQ2692" s="1" t="s">
        <v>210</v>
      </c>
      <c r="CS2692" s="1" t="s">
        <v>433</v>
      </c>
      <c r="CT2692" s="1" t="s">
        <v>206</v>
      </c>
      <c r="CU2692" s="1" t="s">
        <v>617</v>
      </c>
      <c r="CW2692" s="1" t="s">
        <v>334</v>
      </c>
      <c r="CX2692" s="1" t="s">
        <v>206</v>
      </c>
      <c r="CY2692" s="1" t="s">
        <v>210</v>
      </c>
      <c r="DA2692" s="1" t="s">
        <v>200</v>
      </c>
      <c r="DC2692" s="1" t="s">
        <v>335</v>
      </c>
      <c r="DD2692" s="1" t="s">
        <v>4137</v>
      </c>
      <c r="DE2692" s="1" t="s">
        <v>273</v>
      </c>
      <c r="DF2692" s="1" t="s">
        <v>219</v>
      </c>
      <c r="DG2692" s="1" t="s">
        <v>482</v>
      </c>
      <c r="DH2692" s="1" t="s">
        <v>220</v>
      </c>
      <c r="DI2692" s="1" t="s">
        <v>519</v>
      </c>
      <c r="DJ2692" s="1" t="s">
        <v>222</v>
      </c>
      <c r="DK2692" s="1" t="s">
        <v>223</v>
      </c>
      <c r="DL2692" s="1" t="s">
        <v>484</v>
      </c>
      <c r="DM2692" s="1" t="s">
        <v>929</v>
      </c>
      <c r="DN2692" s="1" t="s">
        <v>399</v>
      </c>
      <c r="DO2692" s="1" t="s">
        <v>717</v>
      </c>
      <c r="DP2692" s="1" t="s">
        <v>340</v>
      </c>
      <c r="DQ2692" s="1" t="s">
        <v>441</v>
      </c>
      <c r="DR2692" s="1" t="s">
        <v>588</v>
      </c>
      <c r="DS2692" s="1" t="s">
        <v>230</v>
      </c>
      <c r="DU2692" s="1" t="s">
        <v>442</v>
      </c>
      <c r="DV2692" s="1" t="s">
        <v>10286</v>
      </c>
      <c r="DW2692" s="1" t="s">
        <v>444</v>
      </c>
      <c r="DX2692" s="1" t="s">
        <v>234</v>
      </c>
      <c r="DY2692" s="1" t="s">
        <v>2446</v>
      </c>
      <c r="DZ2692" s="1" t="s">
        <v>236</v>
      </c>
      <c r="EA2692" s="1" t="s">
        <v>344</v>
      </c>
      <c r="EB2692" s="1" t="s">
        <v>684</v>
      </c>
      <c r="EC2692" s="1" t="s">
        <v>237</v>
      </c>
      <c r="ED2692" s="1" t="s">
        <v>407</v>
      </c>
      <c r="EE2692" s="1" t="s">
        <v>493</v>
      </c>
      <c r="EG2692" s="1" t="s">
        <v>1102</v>
      </c>
      <c r="EH2692" s="1" t="s">
        <v>341</v>
      </c>
      <c r="EI2692" s="1" t="s">
        <v>1121</v>
      </c>
      <c r="EL2692" s="1" t="s">
        <v>452</v>
      </c>
      <c r="EM2692" s="1" t="s">
        <v>206</v>
      </c>
      <c r="EN2692" s="1" t="s">
        <v>301</v>
      </c>
      <c r="EP2692" s="1" t="s">
        <v>333</v>
      </c>
      <c r="EQ2692" s="1" t="s">
        <v>209</v>
      </c>
      <c r="ER2692" s="1" t="s">
        <v>210</v>
      </c>
      <c r="ET2692" s="1" t="s">
        <v>263</v>
      </c>
      <c r="EU2692" s="1" t="s">
        <v>209</v>
      </c>
      <c r="EV2692" s="1" t="s">
        <v>210</v>
      </c>
      <c r="EY2692" s="1" t="s">
        <v>238</v>
      </c>
      <c r="FC2692" s="1" t="s">
        <v>238</v>
      </c>
      <c r="FF2692" s="1" t="s">
        <v>239</v>
      </c>
      <c r="FG2692" s="1" t="s">
        <v>192</v>
      </c>
      <c r="FH2692" s="1" t="s">
        <v>192</v>
      </c>
      <c r="FJ2692" s="1" t="s">
        <v>8754</v>
      </c>
      <c r="FK2692" s="1" t="s">
        <v>229</v>
      </c>
      <c r="FL2692" s="1" t="s">
        <v>5530</v>
      </c>
      <c r="FM2692" s="1">
        <v>8079.0</v>
      </c>
      <c r="FN2692" s="1" t="s">
        <v>5531</v>
      </c>
      <c r="FO2692" s="1" t="s">
        <v>5532</v>
      </c>
      <c r="FP2692" s="1">
        <v>920884.0</v>
      </c>
      <c r="FQ2692" s="1" t="s">
        <v>5533</v>
      </c>
      <c r="FU2692" s="1" t="s">
        <v>23904</v>
      </c>
      <c r="FV2692" s="1" t="s">
        <v>200</v>
      </c>
      <c r="FW2692" s="1" t="s">
        <v>290</v>
      </c>
      <c r="FZ2692" s="1" t="s">
        <v>632</v>
      </c>
      <c r="GA2692" s="1" t="s">
        <v>291</v>
      </c>
      <c r="GB2692" s="2">
        <v>42121.0</v>
      </c>
    </row>
    <row r="2693">
      <c r="A2693" s="1">
        <v>124950.0</v>
      </c>
      <c r="B2693" s="1" t="s">
        <v>185</v>
      </c>
      <c r="C2693" s="1" t="str">
        <f>"08830259"</f>
        <v>08830259</v>
      </c>
      <c r="D2693" s="1" t="s">
        <v>186</v>
      </c>
      <c r="F2693" s="1" t="str">
        <f>"178"</f>
        <v>178</v>
      </c>
      <c r="G2693" s="2">
        <v>42038.0</v>
      </c>
      <c r="H2693" s="1">
        <v>129900.0</v>
      </c>
      <c r="I2693" s="1">
        <v>146.0</v>
      </c>
      <c r="J2693" s="1">
        <v>129900.0</v>
      </c>
      <c r="K2693" s="2">
        <v>42038.0</v>
      </c>
      <c r="L2693" s="1">
        <v>1.0</v>
      </c>
      <c r="M2693" s="2">
        <v>42038.0</v>
      </c>
      <c r="N2693" s="1" t="s">
        <v>249</v>
      </c>
      <c r="O2693" s="2">
        <v>42060.0</v>
      </c>
      <c r="P2693" s="1">
        <v>930149.0</v>
      </c>
      <c r="Q2693" s="1">
        <v>93043.0</v>
      </c>
      <c r="S2693" s="1">
        <v>336.0</v>
      </c>
      <c r="T2693" s="1" t="s">
        <v>3150</v>
      </c>
      <c r="U2693" s="1" t="s">
        <v>1174</v>
      </c>
      <c r="V2693" s="1" t="s">
        <v>994</v>
      </c>
      <c r="W2693" s="1">
        <v>60178.0</v>
      </c>
      <c r="Y2693" s="1" t="s">
        <v>23905</v>
      </c>
      <c r="Z2693" s="1">
        <v>1960.0</v>
      </c>
      <c r="AA2693" s="1" t="s">
        <v>192</v>
      </c>
      <c r="AB2693" s="1" t="s">
        <v>193</v>
      </c>
      <c r="AD2693" s="1" t="s">
        <v>997</v>
      </c>
      <c r="AE2693" s="1" t="s">
        <v>613</v>
      </c>
      <c r="AF2693" s="1" t="s">
        <v>4019</v>
      </c>
      <c r="AH2693" s="1" t="s">
        <v>23906</v>
      </c>
      <c r="AI2693" s="1">
        <v>0.199</v>
      </c>
      <c r="AK2693" s="1">
        <v>8.0</v>
      </c>
      <c r="AL2693" s="1">
        <v>4.0</v>
      </c>
      <c r="AM2693" s="1">
        <v>2.0</v>
      </c>
      <c r="AN2693" s="1">
        <v>0.0</v>
      </c>
      <c r="AO2693" s="1" t="s">
        <v>229</v>
      </c>
      <c r="AP2693" s="1">
        <v>1.0</v>
      </c>
      <c r="AQ2693" s="1" t="s">
        <v>229</v>
      </c>
      <c r="AR2693" s="1" t="s">
        <v>200</v>
      </c>
      <c r="AS2693" s="1" t="s">
        <v>199</v>
      </c>
      <c r="AT2693" s="1">
        <v>1.0</v>
      </c>
      <c r="AV2693" s="1" t="s">
        <v>200</v>
      </c>
      <c r="AW2693" s="1">
        <v>3406.32</v>
      </c>
      <c r="AX2693" s="1">
        <v>2013.0</v>
      </c>
      <c r="AY2693" s="1" t="s">
        <v>229</v>
      </c>
      <c r="AZ2693" s="1" t="s">
        <v>200</v>
      </c>
      <c r="BA2693" s="1" t="str">
        <f>"0905134005"</f>
        <v>0905134005</v>
      </c>
      <c r="BB2693" s="1" t="s">
        <v>200</v>
      </c>
      <c r="BC2693" s="1">
        <v>1050.0</v>
      </c>
      <c r="BD2693" s="1">
        <v>124950.0</v>
      </c>
      <c r="BE2693" s="2">
        <v>42038.0</v>
      </c>
      <c r="BF2693" s="1" t="s">
        <v>23907</v>
      </c>
      <c r="BH2693" s="1">
        <v>0.0</v>
      </c>
      <c r="BK2693" s="1" t="s">
        <v>204</v>
      </c>
      <c r="BL2693" s="1" t="str">
        <f t="shared" ref="BL2693:BM2693" si="1759">""</f>
        <v/>
      </c>
      <c r="BM2693" s="1" t="str">
        <f t="shared" si="1759"/>
        <v/>
      </c>
      <c r="BQ2693" s="1">
        <v>427.0</v>
      </c>
      <c r="BR2693" s="1">
        <v>427.0</v>
      </c>
      <c r="BS2693" s="1">
        <v>427.0</v>
      </c>
      <c r="BU2693" s="1" t="s">
        <v>924</v>
      </c>
      <c r="BV2693" s="1" t="s">
        <v>206</v>
      </c>
      <c r="BW2693" s="1" t="s">
        <v>207</v>
      </c>
      <c r="BY2693" s="1" t="s">
        <v>332</v>
      </c>
      <c r="BZ2693" s="1" t="s">
        <v>209</v>
      </c>
      <c r="CA2693" s="1" t="s">
        <v>207</v>
      </c>
      <c r="CC2693" s="1" t="s">
        <v>2047</v>
      </c>
      <c r="CD2693" s="1" t="s">
        <v>206</v>
      </c>
      <c r="CE2693" s="1" t="s">
        <v>617</v>
      </c>
      <c r="CG2693" s="1" t="s">
        <v>497</v>
      </c>
      <c r="CH2693" s="1" t="s">
        <v>209</v>
      </c>
      <c r="CI2693" s="1" t="s">
        <v>207</v>
      </c>
      <c r="CK2693" s="1" t="s">
        <v>516</v>
      </c>
      <c r="CL2693" s="1" t="s">
        <v>209</v>
      </c>
      <c r="CM2693" s="1" t="s">
        <v>207</v>
      </c>
      <c r="CO2693" s="1" t="s">
        <v>269</v>
      </c>
      <c r="CP2693" s="1" t="s">
        <v>267</v>
      </c>
      <c r="CQ2693" s="1" t="s">
        <v>210</v>
      </c>
      <c r="CS2693" s="1" t="s">
        <v>375</v>
      </c>
      <c r="CT2693" s="1" t="s">
        <v>206</v>
      </c>
      <c r="CU2693" s="1" t="s">
        <v>617</v>
      </c>
      <c r="CW2693" s="1" t="s">
        <v>955</v>
      </c>
      <c r="CX2693" s="1" t="s">
        <v>267</v>
      </c>
      <c r="CY2693" s="1" t="s">
        <v>210</v>
      </c>
      <c r="DA2693" s="1" t="s">
        <v>200</v>
      </c>
      <c r="DC2693" s="1" t="s">
        <v>271</v>
      </c>
      <c r="DE2693" s="1" t="s">
        <v>273</v>
      </c>
      <c r="DF2693" s="1" t="s">
        <v>219</v>
      </c>
      <c r="DH2693" s="1" t="s">
        <v>220</v>
      </c>
      <c r="DI2693" s="1" t="s">
        <v>703</v>
      </c>
      <c r="DJ2693" s="1" t="s">
        <v>222</v>
      </c>
      <c r="DL2693" s="1" t="s">
        <v>1853</v>
      </c>
      <c r="DM2693" s="1" t="s">
        <v>229</v>
      </c>
      <c r="DQ2693" s="1" t="s">
        <v>228</v>
      </c>
      <c r="DR2693" s="1" t="s">
        <v>229</v>
      </c>
      <c r="DV2693" s="1" t="s">
        <v>232</v>
      </c>
      <c r="DW2693" s="1" t="s">
        <v>370</v>
      </c>
      <c r="DX2693" s="1" t="s">
        <v>309</v>
      </c>
      <c r="DZ2693" s="1" t="s">
        <v>23908</v>
      </c>
      <c r="EA2693" s="1" t="s">
        <v>283</v>
      </c>
      <c r="EC2693" s="1" t="s">
        <v>284</v>
      </c>
      <c r="ED2693" s="1" t="s">
        <v>555</v>
      </c>
      <c r="EM2693" s="1" t="s">
        <v>238</v>
      </c>
      <c r="EQ2693" s="1" t="s">
        <v>238</v>
      </c>
      <c r="EU2693" s="1" t="s">
        <v>238</v>
      </c>
      <c r="EY2693" s="1" t="s">
        <v>238</v>
      </c>
      <c r="FC2693" s="1" t="s">
        <v>238</v>
      </c>
      <c r="FF2693" s="1" t="s">
        <v>239</v>
      </c>
      <c r="FG2693" s="1" t="s">
        <v>192</v>
      </c>
      <c r="FH2693" s="1" t="s">
        <v>192</v>
      </c>
      <c r="FJ2693" s="1" t="s">
        <v>624</v>
      </c>
      <c r="FK2693" s="1" t="s">
        <v>348</v>
      </c>
      <c r="FL2693" s="1" t="s">
        <v>2926</v>
      </c>
      <c r="FM2693" s="1">
        <v>24809.0</v>
      </c>
      <c r="FN2693" s="1" t="s">
        <v>2927</v>
      </c>
      <c r="FO2693" s="1" t="s">
        <v>23909</v>
      </c>
      <c r="FP2693" s="1">
        <v>237440.0</v>
      </c>
      <c r="FS2693" s="1" t="s">
        <v>23910</v>
      </c>
      <c r="FU2693" s="1" t="s">
        <v>23911</v>
      </c>
      <c r="FV2693" s="1" t="s">
        <v>200</v>
      </c>
      <c r="FW2693" s="1" t="s">
        <v>530</v>
      </c>
      <c r="FZ2693" s="1" t="s">
        <v>229</v>
      </c>
      <c r="GA2693" s="1" t="s">
        <v>291</v>
      </c>
      <c r="GB2693" s="2">
        <v>42060.0</v>
      </c>
    </row>
    <row r="2694">
      <c r="A2694" s="1">
        <v>68000.0</v>
      </c>
      <c r="B2694" s="1" t="s">
        <v>185</v>
      </c>
      <c r="C2694" s="1" t="str">
        <f>"08833514"</f>
        <v>08833514</v>
      </c>
      <c r="D2694" s="1" t="s">
        <v>186</v>
      </c>
      <c r="F2694" s="1" t="str">
        <f>"8063"</f>
        <v>8063</v>
      </c>
      <c r="G2694" s="2">
        <v>42042.0</v>
      </c>
      <c r="H2694" s="1">
        <v>64900.0</v>
      </c>
      <c r="I2694" s="1">
        <v>4.0</v>
      </c>
      <c r="J2694" s="1">
        <v>64900.0</v>
      </c>
      <c r="K2694" s="2">
        <v>42045.0</v>
      </c>
      <c r="L2694" s="1">
        <v>4.0</v>
      </c>
      <c r="M2694" s="2">
        <v>42045.0</v>
      </c>
      <c r="N2694" s="1" t="s">
        <v>249</v>
      </c>
      <c r="O2694" s="2">
        <v>42062.0</v>
      </c>
      <c r="P2694" s="1">
        <v>154056.0</v>
      </c>
      <c r="Q2694" s="1">
        <v>12555.0</v>
      </c>
      <c r="S2694" s="1">
        <v>5724.0</v>
      </c>
      <c r="T2694" s="1" t="s">
        <v>23912</v>
      </c>
      <c r="U2694" s="1" t="s">
        <v>189</v>
      </c>
      <c r="V2694" s="1" t="s">
        <v>190</v>
      </c>
      <c r="W2694" s="1">
        <v>60629.0</v>
      </c>
      <c r="Y2694" s="1" t="s">
        <v>23913</v>
      </c>
      <c r="Z2694" s="1">
        <v>1922.0</v>
      </c>
      <c r="AA2694" s="1" t="s">
        <v>192</v>
      </c>
      <c r="AB2694" s="1" t="s">
        <v>193</v>
      </c>
      <c r="AD2694" s="1" t="s">
        <v>194</v>
      </c>
      <c r="AE2694" s="1" t="s">
        <v>195</v>
      </c>
      <c r="AF2694" s="1" t="s">
        <v>659</v>
      </c>
      <c r="AH2694" s="1" t="s">
        <v>779</v>
      </c>
      <c r="AK2694" s="1">
        <v>7.0</v>
      </c>
      <c r="AL2694" s="1">
        <v>4.0</v>
      </c>
      <c r="AM2694" s="1">
        <v>2.0</v>
      </c>
      <c r="AN2694" s="1">
        <v>0.0</v>
      </c>
      <c r="AO2694" s="1" t="s">
        <v>229</v>
      </c>
      <c r="AQ2694" s="1" t="s">
        <v>198</v>
      </c>
      <c r="AR2694" s="1" t="s">
        <v>192</v>
      </c>
      <c r="AS2694" s="1" t="s">
        <v>199</v>
      </c>
      <c r="AT2694" s="1">
        <v>2.0</v>
      </c>
      <c r="AV2694" s="1" t="s">
        <v>200</v>
      </c>
      <c r="AW2694" s="1">
        <v>2541.0</v>
      </c>
      <c r="AX2694" s="1">
        <v>2012.0</v>
      </c>
      <c r="AZ2694" s="1" t="s">
        <v>200</v>
      </c>
      <c r="BA2694" s="1" t="str">
        <f>"19131210280000"</f>
        <v>19131210280000</v>
      </c>
      <c r="BC2694" s="1">
        <v>1007.0</v>
      </c>
      <c r="BD2694" s="1">
        <v>68000.0</v>
      </c>
      <c r="BE2694" s="2">
        <v>42042.0</v>
      </c>
      <c r="BF2694" s="1" t="s">
        <v>23914</v>
      </c>
      <c r="BH2694" s="1">
        <v>0.0</v>
      </c>
      <c r="BK2694" s="1" t="s">
        <v>204</v>
      </c>
      <c r="BL2694" s="1" t="str">
        <f t="shared" ref="BL2694:BM2694" si="1760">"0"</f>
        <v>0</v>
      </c>
      <c r="BM2694" s="1" t="str">
        <f t="shared" si="1760"/>
        <v>0</v>
      </c>
      <c r="BN2694" s="1">
        <v>2900.0</v>
      </c>
      <c r="BO2694" s="1">
        <v>5724.0</v>
      </c>
      <c r="BQ2694" s="1">
        <v>299.0</v>
      </c>
      <c r="BR2694" s="1">
        <v>299.0</v>
      </c>
      <c r="BS2694" s="1">
        <v>299.0</v>
      </c>
      <c r="BU2694" s="1" t="s">
        <v>1351</v>
      </c>
      <c r="BV2694" s="1" t="s">
        <v>206</v>
      </c>
      <c r="BW2694" s="1" t="s">
        <v>207</v>
      </c>
      <c r="BY2694" s="1" t="s">
        <v>303</v>
      </c>
      <c r="BZ2694" s="1" t="s">
        <v>206</v>
      </c>
      <c r="CA2694" s="1" t="s">
        <v>207</v>
      </c>
      <c r="CC2694" s="1" t="s">
        <v>1351</v>
      </c>
      <c r="CD2694" s="1" t="s">
        <v>206</v>
      </c>
      <c r="CE2694" s="1" t="s">
        <v>207</v>
      </c>
      <c r="CG2694" s="1" t="s">
        <v>303</v>
      </c>
      <c r="CH2694" s="1" t="s">
        <v>206</v>
      </c>
      <c r="CI2694" s="1" t="s">
        <v>207</v>
      </c>
      <c r="CK2694" s="1" t="s">
        <v>1352</v>
      </c>
      <c r="CL2694" s="1" t="s">
        <v>209</v>
      </c>
      <c r="CM2694" s="1" t="s">
        <v>210</v>
      </c>
      <c r="CO2694" s="1" t="s">
        <v>1351</v>
      </c>
      <c r="CP2694" s="1" t="s">
        <v>209</v>
      </c>
      <c r="CQ2694" s="1" t="s">
        <v>210</v>
      </c>
      <c r="CS2694" s="1" t="s">
        <v>1351</v>
      </c>
      <c r="CT2694" s="1" t="s">
        <v>206</v>
      </c>
      <c r="CU2694" s="1" t="s">
        <v>617</v>
      </c>
      <c r="CX2694" s="1" t="s">
        <v>204</v>
      </c>
      <c r="DA2694" s="1" t="s">
        <v>200</v>
      </c>
      <c r="DC2694" s="1" t="s">
        <v>216</v>
      </c>
      <c r="DD2694" s="1" t="s">
        <v>518</v>
      </c>
      <c r="DE2694" s="1" t="s">
        <v>229</v>
      </c>
      <c r="DF2694" s="1" t="s">
        <v>19207</v>
      </c>
      <c r="DH2694" s="1" t="s">
        <v>220</v>
      </c>
      <c r="DJ2694" s="1" t="s">
        <v>4047</v>
      </c>
      <c r="DL2694" s="1" t="s">
        <v>858</v>
      </c>
      <c r="DM2694" s="1" t="s">
        <v>225</v>
      </c>
      <c r="DP2694" s="1" t="s">
        <v>340</v>
      </c>
      <c r="DQ2694" s="1" t="s">
        <v>228</v>
      </c>
      <c r="DR2694" s="1" t="s">
        <v>229</v>
      </c>
      <c r="DV2694" s="1" t="s">
        <v>232</v>
      </c>
      <c r="DW2694" s="1" t="s">
        <v>279</v>
      </c>
      <c r="DX2694" s="1" t="s">
        <v>234</v>
      </c>
      <c r="EA2694" s="1" t="s">
        <v>644</v>
      </c>
      <c r="EC2694" s="1" t="s">
        <v>645</v>
      </c>
      <c r="EM2694" s="1" t="s">
        <v>238</v>
      </c>
      <c r="EQ2694" s="1" t="s">
        <v>238</v>
      </c>
      <c r="EU2694" s="1" t="s">
        <v>238</v>
      </c>
      <c r="EY2694" s="1" t="s">
        <v>238</v>
      </c>
      <c r="FC2694" s="1" t="s">
        <v>238</v>
      </c>
      <c r="FF2694" s="1" t="s">
        <v>239</v>
      </c>
      <c r="FG2694" s="1" t="s">
        <v>192</v>
      </c>
      <c r="FH2694" s="1" t="s">
        <v>192</v>
      </c>
      <c r="FJ2694" s="1" t="s">
        <v>9647</v>
      </c>
      <c r="FK2694" s="1" t="s">
        <v>229</v>
      </c>
      <c r="FL2694" s="1" t="s">
        <v>20549</v>
      </c>
      <c r="FM2694" s="1">
        <v>60178.0</v>
      </c>
      <c r="FN2694" s="1" t="s">
        <v>20550</v>
      </c>
      <c r="FO2694" s="1" t="s">
        <v>23915</v>
      </c>
      <c r="FP2694" s="1">
        <v>600631.0</v>
      </c>
      <c r="FQ2694" s="1" t="s">
        <v>20550</v>
      </c>
      <c r="FU2694" s="1" t="s">
        <v>871</v>
      </c>
      <c r="FV2694" s="1" t="s">
        <v>200</v>
      </c>
      <c r="FW2694" s="1" t="s">
        <v>1293</v>
      </c>
      <c r="FX2694" s="1" t="s">
        <v>655</v>
      </c>
      <c r="FZ2694" s="1" t="s">
        <v>229</v>
      </c>
      <c r="GA2694" s="1" t="s">
        <v>291</v>
      </c>
      <c r="GB2694" s="2">
        <v>42062.0</v>
      </c>
      <c r="GC2694" s="1" t="s">
        <v>23916</v>
      </c>
    </row>
    <row r="2695">
      <c r="A2695" s="1">
        <v>994000.0</v>
      </c>
      <c r="B2695" s="1" t="s">
        <v>185</v>
      </c>
      <c r="C2695" s="1" t="str">
        <f>"08836686"</f>
        <v>08836686</v>
      </c>
      <c r="D2695" s="1" t="s">
        <v>186</v>
      </c>
      <c r="F2695" s="1" t="str">
        <f>"8007"</f>
        <v>8007</v>
      </c>
      <c r="G2695" s="2">
        <v>42046.0</v>
      </c>
      <c r="H2695" s="1">
        <v>995000.0</v>
      </c>
      <c r="I2695" s="1">
        <v>11.0</v>
      </c>
      <c r="J2695" s="1">
        <v>995000.0</v>
      </c>
      <c r="K2695" s="2">
        <v>42056.0</v>
      </c>
      <c r="L2695" s="1">
        <v>11.0</v>
      </c>
      <c r="M2695" s="2">
        <v>42056.0</v>
      </c>
      <c r="N2695" s="1" t="s">
        <v>249</v>
      </c>
      <c r="O2695" s="2">
        <v>42125.0</v>
      </c>
      <c r="P2695" s="1">
        <v>181872.0</v>
      </c>
      <c r="Q2695" s="1">
        <v>85774.0</v>
      </c>
      <c r="S2695" s="1">
        <v>404.0</v>
      </c>
      <c r="T2695" s="1" t="s">
        <v>6546</v>
      </c>
      <c r="U2695" s="1" t="s">
        <v>189</v>
      </c>
      <c r="V2695" s="1" t="s">
        <v>190</v>
      </c>
      <c r="W2695" s="1">
        <v>60614.0</v>
      </c>
      <c r="Y2695" s="1" t="s">
        <v>23917</v>
      </c>
      <c r="Z2695" s="1">
        <v>1881.0</v>
      </c>
      <c r="AA2695" s="1" t="s">
        <v>192</v>
      </c>
      <c r="AB2695" s="1" t="s">
        <v>193</v>
      </c>
      <c r="AD2695" s="1" t="s">
        <v>194</v>
      </c>
      <c r="AE2695" s="1" t="s">
        <v>195</v>
      </c>
      <c r="AF2695" s="1" t="s">
        <v>2645</v>
      </c>
      <c r="AH2695" s="1" t="s">
        <v>23918</v>
      </c>
      <c r="AK2695" s="1">
        <v>8.0</v>
      </c>
      <c r="AL2695" s="1">
        <v>3.0</v>
      </c>
      <c r="AM2695" s="1">
        <v>3.0</v>
      </c>
      <c r="AN2695" s="1">
        <v>1.0</v>
      </c>
      <c r="AO2695" s="1" t="s">
        <v>198</v>
      </c>
      <c r="AP2695" s="1">
        <v>1.0</v>
      </c>
      <c r="AQ2695" s="1" t="s">
        <v>1314</v>
      </c>
      <c r="AR2695" s="1" t="s">
        <v>200</v>
      </c>
      <c r="AS2695" s="1" t="s">
        <v>199</v>
      </c>
      <c r="AT2695" s="1">
        <v>1.0</v>
      </c>
      <c r="AV2695" s="1" t="s">
        <v>200</v>
      </c>
      <c r="AW2695" s="1">
        <v>12107.0</v>
      </c>
      <c r="AX2695" s="1">
        <v>2013.0</v>
      </c>
      <c r="AY2695" s="1" t="s">
        <v>229</v>
      </c>
      <c r="AZ2695" s="1" t="s">
        <v>200</v>
      </c>
      <c r="BA2695" s="1" t="str">
        <f>"14331140290000"</f>
        <v>14331140290000</v>
      </c>
      <c r="BC2695" s="1">
        <v>0.0</v>
      </c>
      <c r="BD2695" s="1">
        <v>994000.0</v>
      </c>
      <c r="BE2695" s="2">
        <v>42046.0</v>
      </c>
      <c r="BF2695" s="2" t="s">
        <v>23919</v>
      </c>
      <c r="BG2695" s="1" t="s">
        <v>2142</v>
      </c>
      <c r="BH2695" s="1">
        <v>0.0</v>
      </c>
      <c r="BI2695" s="1" t="s">
        <v>2142</v>
      </c>
      <c r="BJ2695" s="1" t="s">
        <v>2871</v>
      </c>
      <c r="BK2695" s="1" t="s">
        <v>204</v>
      </c>
      <c r="BL2695" s="1" t="str">
        <f>"2200"</f>
        <v>2200</v>
      </c>
      <c r="BM2695" s="1" t="str">
        <f>"0"</f>
        <v>0</v>
      </c>
      <c r="BN2695" s="1">
        <v>404.0</v>
      </c>
      <c r="BO2695" s="1">
        <v>0.0</v>
      </c>
      <c r="BQ2695" s="1">
        <v>299.0</v>
      </c>
      <c r="BR2695" s="1">
        <v>299.0</v>
      </c>
      <c r="BS2695" s="1">
        <v>299.0</v>
      </c>
      <c r="BU2695" s="1" t="s">
        <v>664</v>
      </c>
      <c r="BV2695" s="1" t="s">
        <v>206</v>
      </c>
      <c r="BW2695" s="1" t="s">
        <v>207</v>
      </c>
      <c r="BY2695" s="1" t="s">
        <v>2120</v>
      </c>
      <c r="BZ2695" s="1" t="s">
        <v>209</v>
      </c>
      <c r="CA2695" s="1" t="s">
        <v>207</v>
      </c>
      <c r="CC2695" s="1" t="s">
        <v>700</v>
      </c>
      <c r="CD2695" s="1" t="s">
        <v>206</v>
      </c>
      <c r="CE2695" s="1" t="s">
        <v>207</v>
      </c>
      <c r="CG2695" s="1" t="s">
        <v>215</v>
      </c>
      <c r="CH2695" s="1" t="s">
        <v>209</v>
      </c>
      <c r="CI2695" s="1" t="s">
        <v>207</v>
      </c>
      <c r="CK2695" s="1" t="s">
        <v>3023</v>
      </c>
      <c r="CL2695" s="1" t="s">
        <v>209</v>
      </c>
      <c r="CM2695" s="1" t="s">
        <v>207</v>
      </c>
      <c r="CO2695" s="1" t="s">
        <v>1119</v>
      </c>
      <c r="CP2695" s="1" t="s">
        <v>42</v>
      </c>
      <c r="CS2695" s="1" t="s">
        <v>2281</v>
      </c>
      <c r="CT2695" s="1" t="s">
        <v>206</v>
      </c>
      <c r="CU2695" s="1" t="s">
        <v>207</v>
      </c>
      <c r="CW2695" s="1" t="s">
        <v>3888</v>
      </c>
      <c r="CX2695" s="1" t="s">
        <v>42</v>
      </c>
      <c r="CY2695" s="1" t="s">
        <v>210</v>
      </c>
      <c r="DA2695" s="1" t="s">
        <v>200</v>
      </c>
      <c r="DC2695" s="1" t="s">
        <v>642</v>
      </c>
      <c r="DD2695" s="1" t="s">
        <v>618</v>
      </c>
      <c r="DE2695" s="1" t="s">
        <v>273</v>
      </c>
      <c r="DF2695" s="1" t="s">
        <v>219</v>
      </c>
      <c r="DG2695" s="1" t="s">
        <v>2311</v>
      </c>
      <c r="DH2695" s="1" t="s">
        <v>365</v>
      </c>
      <c r="DI2695" s="1" t="s">
        <v>16275</v>
      </c>
      <c r="DJ2695" s="1" t="s">
        <v>222</v>
      </c>
      <c r="DL2695" s="1" t="s">
        <v>986</v>
      </c>
      <c r="DM2695" s="1" t="s">
        <v>229</v>
      </c>
      <c r="DP2695" s="1" t="s">
        <v>340</v>
      </c>
      <c r="DQ2695" s="1" t="s">
        <v>718</v>
      </c>
      <c r="DR2695" s="1" t="s">
        <v>229</v>
      </c>
      <c r="DV2695" s="1" t="s">
        <v>232</v>
      </c>
      <c r="DW2695" s="1" t="s">
        <v>279</v>
      </c>
      <c r="DX2695" s="1" t="s">
        <v>234</v>
      </c>
      <c r="DY2695" s="1" t="s">
        <v>704</v>
      </c>
      <c r="DZ2695" s="1" t="s">
        <v>282</v>
      </c>
      <c r="EA2695" s="1" t="s">
        <v>2466</v>
      </c>
      <c r="EC2695" s="1" t="s">
        <v>237</v>
      </c>
      <c r="EM2695" s="1" t="s">
        <v>238</v>
      </c>
      <c r="EQ2695" s="1" t="s">
        <v>238</v>
      </c>
      <c r="EU2695" s="1" t="s">
        <v>238</v>
      </c>
      <c r="EY2695" s="1" t="s">
        <v>238</v>
      </c>
      <c r="FC2695" s="1" t="s">
        <v>238</v>
      </c>
      <c r="FF2695" s="1" t="s">
        <v>239</v>
      </c>
      <c r="FG2695" s="1" t="s">
        <v>200</v>
      </c>
      <c r="FH2695" s="1" t="s">
        <v>192</v>
      </c>
      <c r="FJ2695" s="1" t="s">
        <v>561</v>
      </c>
      <c r="FK2695" s="1" t="s">
        <v>229</v>
      </c>
      <c r="FL2695" s="1" t="s">
        <v>562</v>
      </c>
      <c r="FM2695" s="1">
        <v>85774.0</v>
      </c>
      <c r="FN2695" s="1" t="s">
        <v>2369</v>
      </c>
      <c r="FO2695" s="1" t="s">
        <v>13335</v>
      </c>
      <c r="FP2695" s="1">
        <v>128632.0</v>
      </c>
      <c r="FQ2695" s="1" t="s">
        <v>13336</v>
      </c>
      <c r="FU2695" s="1" t="s">
        <v>15048</v>
      </c>
      <c r="FV2695" s="1" t="s">
        <v>200</v>
      </c>
      <c r="FW2695" s="1" t="s">
        <v>2754</v>
      </c>
      <c r="FX2695" s="1" t="s">
        <v>246</v>
      </c>
      <c r="FZ2695" s="1" t="s">
        <v>229</v>
      </c>
      <c r="GA2695" s="1" t="s">
        <v>291</v>
      </c>
      <c r="GB2695" s="2">
        <v>42125.0</v>
      </c>
    </row>
    <row r="2696">
      <c r="A2696" s="1">
        <v>230000.0</v>
      </c>
      <c r="B2696" s="1" t="s">
        <v>185</v>
      </c>
      <c r="C2696" s="1" t="str">
        <f>"08832499"</f>
        <v>08832499</v>
      </c>
      <c r="D2696" s="1" t="s">
        <v>186</v>
      </c>
      <c r="F2696" s="1" t="str">
        <f>"560"</f>
        <v>560</v>
      </c>
      <c r="G2696" s="2">
        <v>42041.0</v>
      </c>
      <c r="H2696" s="1">
        <v>249000.0</v>
      </c>
      <c r="I2696" s="1">
        <v>72.0</v>
      </c>
      <c r="J2696" s="1">
        <v>242900.0</v>
      </c>
      <c r="K2696" s="2">
        <v>42110.0</v>
      </c>
      <c r="L2696" s="1">
        <v>72.0</v>
      </c>
      <c r="M2696" s="2">
        <v>42110.0</v>
      </c>
      <c r="N2696" s="1" t="s">
        <v>187</v>
      </c>
      <c r="O2696" s="2">
        <v>42146.0</v>
      </c>
      <c r="P2696" s="1">
        <v>225498.0</v>
      </c>
      <c r="Q2696" s="1">
        <v>22588.0</v>
      </c>
      <c r="S2696" s="1">
        <v>1094.0</v>
      </c>
      <c r="T2696" s="1" t="s">
        <v>23920</v>
      </c>
      <c r="U2696" s="1" t="s">
        <v>569</v>
      </c>
      <c r="V2696" s="1" t="s">
        <v>845</v>
      </c>
      <c r="W2696" s="1">
        <v>60560.0</v>
      </c>
      <c r="Y2696" s="1" t="s">
        <v>23921</v>
      </c>
      <c r="Z2696" s="1">
        <v>2007.0</v>
      </c>
      <c r="AA2696" s="1" t="s">
        <v>200</v>
      </c>
      <c r="AB2696" s="1" t="s">
        <v>467</v>
      </c>
      <c r="AD2696" s="1" t="s">
        <v>848</v>
      </c>
      <c r="AE2696" s="1" t="s">
        <v>849</v>
      </c>
      <c r="AF2696" s="1" t="s">
        <v>1312</v>
      </c>
      <c r="AH2696" s="1" t="s">
        <v>23922</v>
      </c>
      <c r="AI2696" s="1">
        <v>0.2652</v>
      </c>
      <c r="AK2696" s="1">
        <v>10.0</v>
      </c>
      <c r="AL2696" s="1">
        <v>4.0</v>
      </c>
      <c r="AM2696" s="1">
        <v>2.0</v>
      </c>
      <c r="AN2696" s="1">
        <v>1.0</v>
      </c>
      <c r="AO2696" s="1" t="s">
        <v>198</v>
      </c>
      <c r="AQ2696" s="1" t="s">
        <v>198</v>
      </c>
      <c r="AR2696" s="1" t="s">
        <v>200</v>
      </c>
      <c r="AS2696" s="1" t="s">
        <v>199</v>
      </c>
      <c r="AT2696" s="1">
        <v>3.0</v>
      </c>
      <c r="AV2696" s="1" t="s">
        <v>200</v>
      </c>
      <c r="AW2696" s="1">
        <v>8844.2</v>
      </c>
      <c r="AX2696" s="1">
        <v>2012.0</v>
      </c>
      <c r="AY2696" s="1" t="s">
        <v>387</v>
      </c>
      <c r="AZ2696" s="1" t="s">
        <v>200</v>
      </c>
      <c r="BA2696" s="1" t="str">
        <f>"0228434012"</f>
        <v>0228434012</v>
      </c>
      <c r="BB2696" s="1" t="s">
        <v>200</v>
      </c>
      <c r="BC2696" s="1">
        <v>2860.0</v>
      </c>
      <c r="BD2696" s="1">
        <v>230000.0</v>
      </c>
      <c r="BE2696" s="2">
        <v>42039.0</v>
      </c>
      <c r="BF2696" s="1" t="s">
        <v>23923</v>
      </c>
      <c r="BH2696" s="1">
        <v>500.0</v>
      </c>
      <c r="BK2696" s="1" t="s">
        <v>580</v>
      </c>
      <c r="BL2696" s="1" t="str">
        <f t="shared" ref="BL2696:BM2696" si="1761">""</f>
        <v/>
      </c>
      <c r="BM2696" s="1" t="str">
        <f t="shared" si="1761"/>
        <v/>
      </c>
      <c r="BQ2696" s="1">
        <v>115.0</v>
      </c>
      <c r="BR2696" s="1">
        <v>115.0</v>
      </c>
      <c r="BS2696" s="1">
        <v>115.0</v>
      </c>
      <c r="BU2696" s="1" t="s">
        <v>392</v>
      </c>
      <c r="BV2696" s="1" t="s">
        <v>206</v>
      </c>
      <c r="BW2696" s="1" t="s">
        <v>210</v>
      </c>
      <c r="BY2696" s="1" t="s">
        <v>208</v>
      </c>
      <c r="BZ2696" s="1" t="s">
        <v>209</v>
      </c>
      <c r="CA2696" s="1" t="s">
        <v>210</v>
      </c>
      <c r="CC2696" s="1" t="s">
        <v>392</v>
      </c>
      <c r="CD2696" s="1" t="s">
        <v>206</v>
      </c>
      <c r="CE2696" s="1" t="s">
        <v>207</v>
      </c>
      <c r="CG2696" s="1" t="s">
        <v>584</v>
      </c>
      <c r="CH2696" s="1" t="s">
        <v>209</v>
      </c>
      <c r="CI2696" s="1" t="s">
        <v>210</v>
      </c>
      <c r="CK2696" s="1" t="s">
        <v>215</v>
      </c>
      <c r="CL2696" s="1" t="s">
        <v>209</v>
      </c>
      <c r="CM2696" s="1" t="s">
        <v>210</v>
      </c>
      <c r="CO2696" s="1" t="s">
        <v>215</v>
      </c>
      <c r="CP2696" s="1" t="s">
        <v>209</v>
      </c>
      <c r="CQ2696" s="1" t="s">
        <v>210</v>
      </c>
      <c r="CS2696" s="1" t="s">
        <v>329</v>
      </c>
      <c r="CT2696" s="1" t="s">
        <v>206</v>
      </c>
      <c r="CU2696" s="1" t="s">
        <v>207</v>
      </c>
      <c r="CW2696" s="1" t="s">
        <v>390</v>
      </c>
      <c r="CX2696" s="1" t="s">
        <v>206</v>
      </c>
      <c r="CY2696" s="1" t="s">
        <v>210</v>
      </c>
      <c r="DA2696" s="1" t="s">
        <v>200</v>
      </c>
      <c r="DC2696" s="1" t="s">
        <v>481</v>
      </c>
      <c r="DD2696" s="1" t="s">
        <v>731</v>
      </c>
      <c r="DE2696" s="1" t="s">
        <v>273</v>
      </c>
      <c r="DF2696" s="1" t="s">
        <v>219</v>
      </c>
      <c r="DG2696" s="1" t="s">
        <v>3634</v>
      </c>
      <c r="DH2696" s="1" t="s">
        <v>220</v>
      </c>
      <c r="DJ2696" s="1" t="s">
        <v>222</v>
      </c>
      <c r="DL2696" s="1" t="s">
        <v>484</v>
      </c>
      <c r="DM2696" s="1" t="s">
        <v>229</v>
      </c>
      <c r="DN2696" s="1" t="s">
        <v>793</v>
      </c>
      <c r="DP2696" s="1" t="s">
        <v>340</v>
      </c>
      <c r="DQ2696" s="1" t="s">
        <v>441</v>
      </c>
      <c r="DR2696" s="1" t="s">
        <v>2593</v>
      </c>
      <c r="DV2696" s="1" t="s">
        <v>23924</v>
      </c>
      <c r="DW2696" s="1" t="s">
        <v>444</v>
      </c>
      <c r="DX2696" s="1" t="s">
        <v>234</v>
      </c>
      <c r="DY2696" s="1" t="s">
        <v>10889</v>
      </c>
      <c r="DZ2696" s="1" t="s">
        <v>236</v>
      </c>
      <c r="EC2696" s="1" t="s">
        <v>237</v>
      </c>
      <c r="ED2696" s="1" t="s">
        <v>555</v>
      </c>
      <c r="EG2696" s="1" t="s">
        <v>598</v>
      </c>
      <c r="EH2696" s="1" t="s">
        <v>720</v>
      </c>
      <c r="EI2696" s="1" t="s">
        <v>449</v>
      </c>
      <c r="EL2696" s="1" t="s">
        <v>495</v>
      </c>
      <c r="EM2696" s="1" t="s">
        <v>206</v>
      </c>
      <c r="EP2696" s="1" t="s">
        <v>558</v>
      </c>
      <c r="EQ2696" s="1" t="s">
        <v>206</v>
      </c>
      <c r="ET2696" s="1" t="s">
        <v>392</v>
      </c>
      <c r="EU2696" s="1" t="s">
        <v>206</v>
      </c>
      <c r="EY2696" s="1" t="s">
        <v>238</v>
      </c>
      <c r="FC2696" s="1" t="s">
        <v>238</v>
      </c>
      <c r="FF2696" s="1" t="s">
        <v>239</v>
      </c>
      <c r="FG2696" s="1" t="s">
        <v>192</v>
      </c>
      <c r="FH2696" s="1" t="s">
        <v>192</v>
      </c>
      <c r="FJ2696" s="1" t="s">
        <v>347</v>
      </c>
      <c r="FK2696" s="1" t="s">
        <v>229</v>
      </c>
      <c r="FL2696" s="1" t="s">
        <v>23925</v>
      </c>
      <c r="FM2696" s="1">
        <v>30401.0</v>
      </c>
      <c r="FN2696" s="1" t="s">
        <v>23926</v>
      </c>
      <c r="FO2696" s="1" t="s">
        <v>23927</v>
      </c>
      <c r="FP2696" s="1">
        <v>300162.0</v>
      </c>
      <c r="FQ2696" s="1" t="s">
        <v>23928</v>
      </c>
      <c r="FU2696" s="1" t="s">
        <v>23929</v>
      </c>
      <c r="FV2696" s="1" t="s">
        <v>200</v>
      </c>
      <c r="FW2696" s="1" t="s">
        <v>1411</v>
      </c>
      <c r="FZ2696" s="1" t="s">
        <v>229</v>
      </c>
      <c r="GA2696" s="1" t="s">
        <v>291</v>
      </c>
      <c r="GB2696" s="2">
        <v>42147.0</v>
      </c>
      <c r="GC2696" s="1" t="s">
        <v>23930</v>
      </c>
    </row>
    <row r="2697">
      <c r="A2697" s="1">
        <v>160000.0</v>
      </c>
      <c r="B2697" s="1" t="s">
        <v>185</v>
      </c>
      <c r="C2697" s="1" t="str">
        <f>"08835772"</f>
        <v>08835772</v>
      </c>
      <c r="D2697" s="1" t="s">
        <v>186</v>
      </c>
      <c r="F2697" s="1" t="str">
        <f>"8023"</f>
        <v>8023</v>
      </c>
      <c r="G2697" s="2">
        <v>42045.0</v>
      </c>
      <c r="H2697" s="1">
        <v>124900.0</v>
      </c>
      <c r="I2697" s="1">
        <v>15.0</v>
      </c>
      <c r="J2697" s="1">
        <v>149900.0</v>
      </c>
      <c r="K2697" s="2">
        <v>42059.0</v>
      </c>
      <c r="L2697" s="1">
        <v>15.0</v>
      </c>
      <c r="M2697" s="2">
        <v>42059.0</v>
      </c>
      <c r="N2697" s="1" t="s">
        <v>187</v>
      </c>
      <c r="O2697" s="2">
        <v>42131.0</v>
      </c>
      <c r="P2697" s="1">
        <v>849304.0</v>
      </c>
      <c r="Q2697" s="1">
        <v>18235.0</v>
      </c>
      <c r="S2697" s="1">
        <v>1045.0</v>
      </c>
      <c r="T2697" s="1" t="s">
        <v>8454</v>
      </c>
      <c r="U2697" s="1" t="s">
        <v>189</v>
      </c>
      <c r="V2697" s="1" t="s">
        <v>190</v>
      </c>
      <c r="W2697" s="1">
        <v>60651.0</v>
      </c>
      <c r="Y2697" s="1" t="s">
        <v>23931</v>
      </c>
      <c r="Z2697" s="1" t="s">
        <v>296</v>
      </c>
      <c r="AA2697" s="1" t="s">
        <v>192</v>
      </c>
      <c r="AB2697" s="1" t="s">
        <v>193</v>
      </c>
      <c r="AC2697" s="1" t="s">
        <v>5323</v>
      </c>
      <c r="AD2697" s="1" t="s">
        <v>194</v>
      </c>
      <c r="AE2697" s="1" t="s">
        <v>195</v>
      </c>
      <c r="AF2697" s="1" t="s">
        <v>827</v>
      </c>
      <c r="AH2697" s="1" t="s">
        <v>23932</v>
      </c>
      <c r="AI2697" s="1">
        <v>0.0916</v>
      </c>
      <c r="AK2697" s="1">
        <v>8.0</v>
      </c>
      <c r="AL2697" s="1">
        <v>4.0</v>
      </c>
      <c r="AM2697" s="1">
        <v>3.0</v>
      </c>
      <c r="AN2697" s="1">
        <v>0.0</v>
      </c>
      <c r="AO2697" s="1" t="s">
        <v>229</v>
      </c>
      <c r="AQ2697" s="1" t="s">
        <v>198</v>
      </c>
      <c r="AR2697" s="1" t="s">
        <v>200</v>
      </c>
      <c r="AS2697" s="1" t="s">
        <v>199</v>
      </c>
      <c r="AT2697" s="1">
        <v>2.0</v>
      </c>
      <c r="AV2697" s="1" t="s">
        <v>200</v>
      </c>
      <c r="AW2697" s="1">
        <v>2507.69</v>
      </c>
      <c r="AX2697" s="1">
        <v>2013.0</v>
      </c>
      <c r="AY2697" s="1" t="s">
        <v>229</v>
      </c>
      <c r="AZ2697" s="1" t="s">
        <v>200</v>
      </c>
      <c r="BA2697" s="1" t="str">
        <f>"16024100250000"</f>
        <v>16024100250000</v>
      </c>
      <c r="BB2697" s="1" t="s">
        <v>200</v>
      </c>
      <c r="BC2697" s="1">
        <v>1500.0</v>
      </c>
      <c r="BD2697" s="1">
        <v>160000.0</v>
      </c>
      <c r="BE2697" s="2">
        <v>42045.0</v>
      </c>
      <c r="BF2697" s="1" t="s">
        <v>23933</v>
      </c>
      <c r="BH2697" s="1">
        <v>0.0</v>
      </c>
      <c r="BK2697" s="1" t="s">
        <v>204</v>
      </c>
      <c r="BL2697" s="1" t="str">
        <f>"1045"</f>
        <v>1045</v>
      </c>
      <c r="BM2697" s="1" t="str">
        <f>"0"</f>
        <v>0</v>
      </c>
      <c r="BN2697" s="1">
        <v>3230.0</v>
      </c>
      <c r="BO2697" s="1">
        <v>0.0</v>
      </c>
      <c r="BQ2697" s="1">
        <v>299.0</v>
      </c>
      <c r="BR2697" s="1">
        <v>299.0</v>
      </c>
      <c r="BS2697" s="1">
        <v>299.0</v>
      </c>
      <c r="BU2697" s="1" t="s">
        <v>2647</v>
      </c>
      <c r="BV2697" s="1" t="s">
        <v>206</v>
      </c>
      <c r="BY2697" s="1" t="s">
        <v>1584</v>
      </c>
      <c r="BZ2697" s="1" t="s">
        <v>206</v>
      </c>
      <c r="CC2697" s="1" t="s">
        <v>363</v>
      </c>
      <c r="CD2697" s="1" t="s">
        <v>206</v>
      </c>
      <c r="CG2697" s="1" t="s">
        <v>1672</v>
      </c>
      <c r="CH2697" s="1" t="s">
        <v>206</v>
      </c>
      <c r="CK2697" s="1" t="s">
        <v>1672</v>
      </c>
      <c r="CL2697" s="1" t="s">
        <v>209</v>
      </c>
      <c r="CO2697" s="1" t="s">
        <v>269</v>
      </c>
      <c r="CP2697" s="1" t="s">
        <v>209</v>
      </c>
      <c r="CS2697" s="1" t="s">
        <v>2082</v>
      </c>
      <c r="CT2697" s="1" t="s">
        <v>206</v>
      </c>
      <c r="CW2697" s="1" t="s">
        <v>3805</v>
      </c>
      <c r="CX2697" s="1" t="s">
        <v>206</v>
      </c>
      <c r="DA2697" s="1" t="s">
        <v>200</v>
      </c>
      <c r="DC2697" s="1" t="s">
        <v>395</v>
      </c>
      <c r="DE2697" s="1" t="s">
        <v>229</v>
      </c>
      <c r="DF2697" s="1" t="s">
        <v>219</v>
      </c>
      <c r="DH2697" s="1" t="s">
        <v>307</v>
      </c>
      <c r="DJ2697" s="1" t="s">
        <v>1048</v>
      </c>
      <c r="DL2697" s="1" t="s">
        <v>223</v>
      </c>
      <c r="DM2697" s="1" t="s">
        <v>229</v>
      </c>
      <c r="DQ2697" s="1" t="s">
        <v>794</v>
      </c>
      <c r="DR2697" s="1" t="s">
        <v>229</v>
      </c>
      <c r="DV2697" s="1" t="s">
        <v>232</v>
      </c>
      <c r="DW2697" s="1" t="s">
        <v>279</v>
      </c>
      <c r="DX2697" s="1" t="s">
        <v>234</v>
      </c>
      <c r="EC2697" s="1" t="s">
        <v>237</v>
      </c>
      <c r="EM2697" s="1" t="s">
        <v>238</v>
      </c>
      <c r="EQ2697" s="1" t="s">
        <v>238</v>
      </c>
      <c r="EU2697" s="1" t="s">
        <v>238</v>
      </c>
      <c r="EY2697" s="1" t="s">
        <v>238</v>
      </c>
      <c r="FC2697" s="1" t="s">
        <v>238</v>
      </c>
      <c r="FF2697" s="1" t="s">
        <v>239</v>
      </c>
      <c r="FG2697" s="1" t="s">
        <v>192</v>
      </c>
      <c r="FH2697" s="1" t="s">
        <v>192</v>
      </c>
      <c r="FJ2697" s="1" t="s">
        <v>1450</v>
      </c>
      <c r="FK2697" s="1" t="s">
        <v>229</v>
      </c>
      <c r="FL2697" s="1" t="s">
        <v>562</v>
      </c>
      <c r="FM2697" s="1">
        <v>84025.0</v>
      </c>
      <c r="FN2697" s="1" t="s">
        <v>2509</v>
      </c>
      <c r="FO2697" s="1" t="s">
        <v>12696</v>
      </c>
      <c r="FP2697" s="1">
        <v>146501.0</v>
      </c>
      <c r="FQ2697" s="1" t="s">
        <v>12697</v>
      </c>
      <c r="FR2697" s="1">
        <v>166792.0</v>
      </c>
      <c r="FU2697" s="1" t="s">
        <v>1438</v>
      </c>
      <c r="FV2697" s="1" t="s">
        <v>192</v>
      </c>
      <c r="FW2697" s="1" t="s">
        <v>290</v>
      </c>
      <c r="FX2697" s="1" t="s">
        <v>238</v>
      </c>
      <c r="FZ2697" s="1" t="s">
        <v>229</v>
      </c>
      <c r="GA2697" s="1" t="s">
        <v>291</v>
      </c>
      <c r="GB2697" s="2">
        <v>42131.0</v>
      </c>
      <c r="GC2697" s="1" t="s">
        <v>23934</v>
      </c>
    </row>
    <row r="2698">
      <c r="A2698" s="1">
        <v>270000.0</v>
      </c>
      <c r="B2698" s="1" t="s">
        <v>185</v>
      </c>
      <c r="C2698" s="1" t="str">
        <f>"08837869"</f>
        <v>08837869</v>
      </c>
      <c r="D2698" s="1" t="s">
        <v>186</v>
      </c>
      <c r="F2698" s="1" t="str">
        <f>"542"</f>
        <v>542</v>
      </c>
      <c r="G2698" s="2">
        <v>42048.0</v>
      </c>
      <c r="H2698" s="1">
        <v>279900.0</v>
      </c>
      <c r="I2698" s="1">
        <v>18.0</v>
      </c>
      <c r="J2698" s="1">
        <v>279900.0</v>
      </c>
      <c r="K2698" s="2">
        <v>42065.0</v>
      </c>
      <c r="L2698" s="1">
        <v>18.0</v>
      </c>
      <c r="M2698" s="2">
        <v>42065.0</v>
      </c>
      <c r="N2698" s="1" t="s">
        <v>187</v>
      </c>
      <c r="O2698" s="2">
        <v>42104.0</v>
      </c>
      <c r="P2698" s="1">
        <v>500.0</v>
      </c>
      <c r="Q2698" s="1">
        <v>30.0</v>
      </c>
      <c r="S2698" s="1">
        <v>2665.0</v>
      </c>
      <c r="T2698" s="1" t="s">
        <v>23935</v>
      </c>
      <c r="U2698" s="1" t="s">
        <v>1174</v>
      </c>
      <c r="V2698" s="1" t="s">
        <v>3984</v>
      </c>
      <c r="W2698" s="1">
        <v>60542.0</v>
      </c>
      <c r="Y2698" s="1" t="s">
        <v>23936</v>
      </c>
      <c r="Z2698" s="1">
        <v>2004.0</v>
      </c>
      <c r="AA2698" s="1" t="s">
        <v>200</v>
      </c>
      <c r="AB2698" s="1" t="s">
        <v>193</v>
      </c>
      <c r="AC2698" s="1" t="s">
        <v>10447</v>
      </c>
      <c r="AD2698" s="1" t="s">
        <v>3986</v>
      </c>
      <c r="AE2698" s="1" t="s">
        <v>325</v>
      </c>
      <c r="AF2698" s="1" t="s">
        <v>1479</v>
      </c>
      <c r="AG2698" s="1" t="s">
        <v>13341</v>
      </c>
      <c r="AH2698" s="1" t="s">
        <v>10205</v>
      </c>
      <c r="AI2698" s="1">
        <v>0.32</v>
      </c>
      <c r="AK2698" s="1">
        <v>9.0</v>
      </c>
      <c r="AL2698" s="1">
        <v>4.0</v>
      </c>
      <c r="AM2698" s="1">
        <v>2.0</v>
      </c>
      <c r="AN2698" s="1">
        <v>1.0</v>
      </c>
      <c r="AO2698" s="1" t="s">
        <v>198</v>
      </c>
      <c r="AP2698" s="1">
        <v>1.0</v>
      </c>
      <c r="AQ2698" s="1" t="s">
        <v>198</v>
      </c>
      <c r="AR2698" s="1" t="s">
        <v>200</v>
      </c>
      <c r="AS2698" s="1" t="s">
        <v>199</v>
      </c>
      <c r="AT2698" s="1">
        <v>3.0</v>
      </c>
      <c r="AV2698" s="1" t="s">
        <v>200</v>
      </c>
      <c r="AW2698" s="1">
        <v>7966.5</v>
      </c>
      <c r="AX2698" s="1">
        <v>2013.0</v>
      </c>
      <c r="AY2698" s="1" t="s">
        <v>387</v>
      </c>
      <c r="AZ2698" s="1" t="s">
        <v>200</v>
      </c>
      <c r="BA2698" s="1" t="str">
        <f>"1136327010"</f>
        <v>1136327010</v>
      </c>
      <c r="BC2698" s="1">
        <v>2393.0</v>
      </c>
      <c r="BD2698" s="1">
        <v>270000.0</v>
      </c>
      <c r="BE2698" s="2">
        <v>42048.0</v>
      </c>
      <c r="BF2698" s="2" t="s">
        <v>23937</v>
      </c>
      <c r="BG2698" s="1" t="s">
        <v>4420</v>
      </c>
      <c r="BH2698" s="1">
        <v>45.0</v>
      </c>
      <c r="BI2698" s="1" t="s">
        <v>4421</v>
      </c>
      <c r="BJ2698" s="1" t="s">
        <v>3831</v>
      </c>
      <c r="BK2698" s="1" t="s">
        <v>1952</v>
      </c>
      <c r="BL2698" s="1" t="str">
        <f t="shared" ref="BL2698:BM2698" si="1762">"0"</f>
        <v>0</v>
      </c>
      <c r="BM2698" s="1" t="str">
        <f t="shared" si="1762"/>
        <v>0</v>
      </c>
      <c r="BN2698" s="1">
        <v>39.0</v>
      </c>
      <c r="BO2698" s="1">
        <v>3.0</v>
      </c>
      <c r="BQ2698" s="1">
        <v>129.0</v>
      </c>
      <c r="BR2698" s="1">
        <v>129.0</v>
      </c>
      <c r="BS2698" s="1">
        <v>129.0</v>
      </c>
      <c r="BU2698" s="1" t="s">
        <v>432</v>
      </c>
      <c r="BV2698" s="1" t="s">
        <v>206</v>
      </c>
      <c r="BW2698" s="1" t="s">
        <v>210</v>
      </c>
      <c r="BY2698" s="1" t="s">
        <v>1063</v>
      </c>
      <c r="BZ2698" s="1" t="s">
        <v>209</v>
      </c>
      <c r="CA2698" s="1" t="s">
        <v>210</v>
      </c>
      <c r="CC2698" s="1" t="s">
        <v>212</v>
      </c>
      <c r="CD2698" s="1" t="s">
        <v>206</v>
      </c>
      <c r="CE2698" s="1" t="s">
        <v>210</v>
      </c>
      <c r="CG2698" s="1" t="s">
        <v>212</v>
      </c>
      <c r="CH2698" s="1" t="s">
        <v>209</v>
      </c>
      <c r="CI2698" s="1" t="s">
        <v>210</v>
      </c>
      <c r="CK2698" s="1" t="s">
        <v>212</v>
      </c>
      <c r="CL2698" s="1" t="s">
        <v>209</v>
      </c>
      <c r="CM2698" s="1" t="s">
        <v>210</v>
      </c>
      <c r="CO2698" s="1" t="s">
        <v>212</v>
      </c>
      <c r="CP2698" s="1" t="s">
        <v>209</v>
      </c>
      <c r="CQ2698" s="1" t="s">
        <v>210</v>
      </c>
      <c r="CS2698" s="1" t="s">
        <v>664</v>
      </c>
      <c r="CT2698" s="1" t="s">
        <v>206</v>
      </c>
      <c r="CU2698" s="1" t="s">
        <v>207</v>
      </c>
      <c r="CW2698" s="1" t="s">
        <v>1517</v>
      </c>
      <c r="CX2698" s="1" t="s">
        <v>206</v>
      </c>
      <c r="CY2698" s="1" t="s">
        <v>207</v>
      </c>
      <c r="DA2698" s="1" t="s">
        <v>200</v>
      </c>
      <c r="DC2698" s="1" t="s">
        <v>335</v>
      </c>
      <c r="DD2698" s="1" t="s">
        <v>926</v>
      </c>
      <c r="DE2698" s="1" t="s">
        <v>273</v>
      </c>
      <c r="DF2698" s="1" t="s">
        <v>219</v>
      </c>
      <c r="DG2698" s="1" t="s">
        <v>4297</v>
      </c>
      <c r="DH2698" s="1" t="s">
        <v>220</v>
      </c>
      <c r="DI2698" s="1" t="s">
        <v>703</v>
      </c>
      <c r="DJ2698" s="1" t="s">
        <v>222</v>
      </c>
      <c r="DL2698" s="1" t="s">
        <v>858</v>
      </c>
      <c r="DM2698" s="1" t="s">
        <v>338</v>
      </c>
      <c r="DN2698" s="1" t="s">
        <v>485</v>
      </c>
      <c r="DP2698" s="1" t="s">
        <v>340</v>
      </c>
      <c r="DQ2698" s="1" t="s">
        <v>441</v>
      </c>
      <c r="DR2698" s="1" t="s">
        <v>1487</v>
      </c>
      <c r="DS2698" s="1" t="s">
        <v>368</v>
      </c>
      <c r="DU2698" s="1" t="s">
        <v>23938</v>
      </c>
      <c r="DV2698" s="1" t="s">
        <v>450</v>
      </c>
      <c r="DW2698" s="1" t="s">
        <v>279</v>
      </c>
      <c r="DX2698" s="1" t="s">
        <v>234</v>
      </c>
      <c r="DY2698" s="1" t="s">
        <v>704</v>
      </c>
      <c r="DZ2698" s="1" t="s">
        <v>1661</v>
      </c>
      <c r="EA2698" s="1" t="s">
        <v>344</v>
      </c>
      <c r="EB2698" s="1" t="s">
        <v>1639</v>
      </c>
      <c r="EC2698" s="1" t="s">
        <v>237</v>
      </c>
      <c r="ED2698" s="1" t="s">
        <v>864</v>
      </c>
      <c r="EI2698" s="1" t="s">
        <v>450</v>
      </c>
      <c r="EM2698" s="1" t="s">
        <v>238</v>
      </c>
      <c r="EQ2698" s="1" t="s">
        <v>238</v>
      </c>
      <c r="ET2698" s="1" t="s">
        <v>8088</v>
      </c>
      <c r="EU2698" s="1" t="s">
        <v>267</v>
      </c>
      <c r="EV2698" s="1" t="s">
        <v>210</v>
      </c>
      <c r="EY2698" s="1" t="s">
        <v>238</v>
      </c>
      <c r="FC2698" s="1" t="s">
        <v>238</v>
      </c>
      <c r="FF2698" s="1" t="s">
        <v>239</v>
      </c>
      <c r="FG2698" s="1" t="s">
        <v>192</v>
      </c>
      <c r="FH2698" s="1" t="s">
        <v>192</v>
      </c>
      <c r="FJ2698" s="1" t="s">
        <v>498</v>
      </c>
      <c r="FK2698" s="1" t="s">
        <v>229</v>
      </c>
      <c r="FL2698" s="1" t="s">
        <v>1358</v>
      </c>
      <c r="FM2698" s="1">
        <v>25088.0</v>
      </c>
      <c r="FN2698" s="1" t="s">
        <v>9413</v>
      </c>
      <c r="FO2698" s="1" t="s">
        <v>23939</v>
      </c>
      <c r="FP2698" s="1">
        <v>255038.0</v>
      </c>
      <c r="FQ2698" s="1" t="s">
        <v>23940</v>
      </c>
      <c r="FU2698" s="1" t="s">
        <v>23941</v>
      </c>
      <c r="FV2698" s="1" t="s">
        <v>200</v>
      </c>
      <c r="FW2698" s="1" t="s">
        <v>23942</v>
      </c>
      <c r="FZ2698" s="1" t="s">
        <v>229</v>
      </c>
      <c r="GA2698" s="1" t="s">
        <v>291</v>
      </c>
      <c r="GB2698" s="2">
        <v>42104.0</v>
      </c>
      <c r="GC2698" s="1" t="s">
        <v>23943</v>
      </c>
    </row>
    <row r="2699">
      <c r="A2699" s="1">
        <v>210000.0</v>
      </c>
      <c r="B2699" s="1" t="s">
        <v>185</v>
      </c>
      <c r="C2699" s="1" t="str">
        <f>"08836765"</f>
        <v>08836765</v>
      </c>
      <c r="D2699" s="1" t="s">
        <v>186</v>
      </c>
      <c r="F2699" s="1" t="str">
        <f>"8044"</f>
        <v>8044</v>
      </c>
      <c r="G2699" s="2">
        <v>42046.0</v>
      </c>
      <c r="H2699" s="1">
        <v>238900.0</v>
      </c>
      <c r="I2699" s="1">
        <v>18.0</v>
      </c>
      <c r="J2699" s="1">
        <v>238900.0</v>
      </c>
      <c r="K2699" s="2">
        <v>42063.0</v>
      </c>
      <c r="L2699" s="1">
        <v>18.0</v>
      </c>
      <c r="M2699" s="2">
        <v>42063.0</v>
      </c>
      <c r="N2699" s="1" t="s">
        <v>356</v>
      </c>
      <c r="O2699" s="2">
        <v>42094.0</v>
      </c>
      <c r="P2699" s="1">
        <v>179549.0</v>
      </c>
      <c r="Q2699" s="1">
        <v>12660.0</v>
      </c>
      <c r="R2699" s="1">
        <v>8000.0</v>
      </c>
      <c r="S2699" s="1">
        <v>450.0</v>
      </c>
      <c r="T2699" s="1" t="s">
        <v>9816</v>
      </c>
      <c r="U2699" s="1" t="s">
        <v>694</v>
      </c>
      <c r="V2699" s="1" t="s">
        <v>190</v>
      </c>
      <c r="W2699" s="1">
        <v>60619.0</v>
      </c>
      <c r="Y2699" s="1" t="s">
        <v>23944</v>
      </c>
      <c r="Z2699" s="1">
        <v>1920.0</v>
      </c>
      <c r="AA2699" s="1" t="s">
        <v>192</v>
      </c>
      <c r="AB2699" s="1" t="s">
        <v>193</v>
      </c>
      <c r="AD2699" s="1" t="s">
        <v>194</v>
      </c>
      <c r="AE2699" s="1" t="s">
        <v>195</v>
      </c>
      <c r="AF2699" s="1" t="s">
        <v>637</v>
      </c>
      <c r="AH2699" s="1" t="s">
        <v>1501</v>
      </c>
      <c r="AK2699" s="1">
        <v>8.0</v>
      </c>
      <c r="AL2699" s="1">
        <v>4.0</v>
      </c>
      <c r="AM2699" s="1">
        <v>2.0</v>
      </c>
      <c r="AN2699" s="1">
        <v>2.0</v>
      </c>
      <c r="AO2699" s="1" t="s">
        <v>198</v>
      </c>
      <c r="AQ2699" s="1" t="s">
        <v>198</v>
      </c>
      <c r="AR2699" s="1" t="s">
        <v>192</v>
      </c>
      <c r="AS2699" s="1" t="s">
        <v>199</v>
      </c>
      <c r="AT2699" s="1">
        <v>2.0</v>
      </c>
      <c r="AV2699" s="1" t="s">
        <v>200</v>
      </c>
      <c r="AW2699" s="4">
        <v>1163.49</v>
      </c>
      <c r="AX2699" s="1">
        <v>2013.0</v>
      </c>
      <c r="AY2699" s="1" t="s">
        <v>229</v>
      </c>
      <c r="AZ2699" s="1" t="s">
        <v>200</v>
      </c>
      <c r="BA2699" s="1" t="str">
        <f>"25032080400000"</f>
        <v>25032080400000</v>
      </c>
      <c r="BC2699" s="1">
        <v>2500.0</v>
      </c>
      <c r="BD2699" s="1">
        <v>210000.0</v>
      </c>
      <c r="BE2699" s="2">
        <v>42046.0</v>
      </c>
      <c r="BF2699" s="2" t="s">
        <v>23945</v>
      </c>
      <c r="BH2699" s="1">
        <v>0.0</v>
      </c>
      <c r="BK2699" s="1" t="s">
        <v>204</v>
      </c>
      <c r="BL2699" s="1" t="str">
        <f>"0"</f>
        <v>0</v>
      </c>
      <c r="BM2699" s="1" t="str">
        <f>"450"</f>
        <v>450</v>
      </c>
      <c r="BN2699" s="1">
        <v>0.0</v>
      </c>
      <c r="BO2699" s="1">
        <v>8800.0</v>
      </c>
      <c r="BQ2699" s="1">
        <v>299.0</v>
      </c>
      <c r="BR2699" s="1">
        <v>299.0</v>
      </c>
      <c r="BS2699" s="1">
        <v>299.0</v>
      </c>
      <c r="BU2699" s="1" t="s">
        <v>3387</v>
      </c>
      <c r="BV2699" s="1" t="s">
        <v>206</v>
      </c>
      <c r="BW2699" s="1" t="s">
        <v>207</v>
      </c>
      <c r="BX2699" s="1" t="s">
        <v>229</v>
      </c>
      <c r="BY2699" s="1" t="s">
        <v>729</v>
      </c>
      <c r="BZ2699" s="1" t="s">
        <v>206</v>
      </c>
      <c r="CA2699" s="1" t="s">
        <v>207</v>
      </c>
      <c r="CB2699" s="1" t="s">
        <v>229</v>
      </c>
      <c r="CD2699" s="1" t="s">
        <v>204</v>
      </c>
      <c r="CG2699" s="1" t="s">
        <v>363</v>
      </c>
      <c r="CH2699" s="1" t="s">
        <v>209</v>
      </c>
      <c r="CI2699" s="1" t="s">
        <v>210</v>
      </c>
      <c r="CJ2699" s="1" t="s">
        <v>229</v>
      </c>
      <c r="CK2699" s="1" t="s">
        <v>332</v>
      </c>
      <c r="CL2699" s="1" t="s">
        <v>209</v>
      </c>
      <c r="CM2699" s="1" t="s">
        <v>210</v>
      </c>
      <c r="CN2699" s="1" t="s">
        <v>229</v>
      </c>
      <c r="CO2699" s="1" t="s">
        <v>454</v>
      </c>
      <c r="CP2699" s="1" t="s">
        <v>209</v>
      </c>
      <c r="CQ2699" s="1" t="s">
        <v>210</v>
      </c>
      <c r="CR2699" s="1" t="s">
        <v>229</v>
      </c>
      <c r="CS2699" s="1" t="s">
        <v>211</v>
      </c>
      <c r="CT2699" s="1" t="s">
        <v>206</v>
      </c>
      <c r="CU2699" s="1" t="s">
        <v>207</v>
      </c>
      <c r="CV2699" s="1" t="s">
        <v>229</v>
      </c>
      <c r="CW2699" s="1" t="s">
        <v>23946</v>
      </c>
      <c r="CX2699" s="1" t="s">
        <v>42</v>
      </c>
      <c r="CY2699" s="1" t="s">
        <v>210</v>
      </c>
      <c r="CZ2699" s="1" t="s">
        <v>229</v>
      </c>
      <c r="DA2699" s="1" t="s">
        <v>200</v>
      </c>
      <c r="DC2699" s="1" t="s">
        <v>216</v>
      </c>
      <c r="DD2699" s="1" t="s">
        <v>436</v>
      </c>
      <c r="DE2699" s="1" t="s">
        <v>273</v>
      </c>
      <c r="DF2699" s="1" t="s">
        <v>219</v>
      </c>
      <c r="DG2699" s="1" t="s">
        <v>337</v>
      </c>
      <c r="DH2699" s="1" t="s">
        <v>307</v>
      </c>
      <c r="DI2699" s="1" t="s">
        <v>308</v>
      </c>
      <c r="DJ2699" s="1" t="s">
        <v>222</v>
      </c>
      <c r="DL2699" s="1" t="s">
        <v>224</v>
      </c>
      <c r="DM2699" s="1" t="s">
        <v>1143</v>
      </c>
      <c r="DN2699" s="1" t="s">
        <v>367</v>
      </c>
      <c r="DP2699" s="1" t="s">
        <v>276</v>
      </c>
      <c r="DQ2699" s="1" t="s">
        <v>228</v>
      </c>
      <c r="DR2699" s="1" t="s">
        <v>229</v>
      </c>
      <c r="DS2699" s="1" t="s">
        <v>401</v>
      </c>
      <c r="DV2699" s="1" t="s">
        <v>598</v>
      </c>
      <c r="DW2699" s="1" t="s">
        <v>444</v>
      </c>
      <c r="DX2699" s="1" t="s">
        <v>234</v>
      </c>
      <c r="DY2699" s="1" t="s">
        <v>371</v>
      </c>
      <c r="EA2699" s="1" t="s">
        <v>644</v>
      </c>
      <c r="EC2699" s="1" t="s">
        <v>237</v>
      </c>
      <c r="EE2699" s="1" t="s">
        <v>187</v>
      </c>
      <c r="EG2699" s="1" t="s">
        <v>598</v>
      </c>
      <c r="EL2699" s="1" t="s">
        <v>1382</v>
      </c>
      <c r="EM2699" s="1" t="s">
        <v>42</v>
      </c>
      <c r="EN2699" s="1" t="s">
        <v>210</v>
      </c>
      <c r="EO2699" s="1" t="s">
        <v>229</v>
      </c>
      <c r="EQ2699" s="1" t="s">
        <v>238</v>
      </c>
      <c r="EU2699" s="1" t="s">
        <v>238</v>
      </c>
      <c r="EY2699" s="1" t="s">
        <v>238</v>
      </c>
      <c r="FC2699" s="1" t="s">
        <v>238</v>
      </c>
      <c r="FF2699" s="1" t="s">
        <v>239</v>
      </c>
      <c r="FG2699" s="1" t="s">
        <v>192</v>
      </c>
      <c r="FH2699" s="1" t="s">
        <v>192</v>
      </c>
      <c r="FJ2699" s="1" t="s">
        <v>524</v>
      </c>
      <c r="FK2699" s="1" t="s">
        <v>229</v>
      </c>
      <c r="FL2699" s="1" t="s">
        <v>14561</v>
      </c>
      <c r="FM2699" s="1">
        <v>15484.0</v>
      </c>
      <c r="FN2699" s="1" t="s">
        <v>14562</v>
      </c>
      <c r="FO2699" s="1" t="s">
        <v>14563</v>
      </c>
      <c r="FP2699" s="1">
        <v>145468.0</v>
      </c>
      <c r="FQ2699" s="1" t="s">
        <v>14564</v>
      </c>
      <c r="FU2699" s="1" t="s">
        <v>23947</v>
      </c>
      <c r="FV2699" s="1" t="s">
        <v>192</v>
      </c>
      <c r="FW2699" s="1" t="s">
        <v>290</v>
      </c>
      <c r="FX2699" s="1" t="s">
        <v>1739</v>
      </c>
      <c r="FZ2699" s="1" t="s">
        <v>229</v>
      </c>
      <c r="GA2699" s="1" t="s">
        <v>291</v>
      </c>
      <c r="GB2699" s="2">
        <v>42095.0</v>
      </c>
      <c r="GC2699" s="1" t="s">
        <v>23948</v>
      </c>
    </row>
    <row r="2700">
      <c r="A2700" s="1">
        <v>86000.0</v>
      </c>
      <c r="B2700" s="1" t="s">
        <v>185</v>
      </c>
      <c r="C2700" s="1" t="str">
        <f>"08830982"</f>
        <v>08830982</v>
      </c>
      <c r="D2700" s="1" t="s">
        <v>186</v>
      </c>
      <c r="F2700" s="1" t="str">
        <f>"8020"</f>
        <v>8020</v>
      </c>
      <c r="G2700" s="2">
        <v>42039.0</v>
      </c>
      <c r="H2700" s="1">
        <v>99000.0</v>
      </c>
      <c r="I2700" s="1">
        <v>36.0</v>
      </c>
      <c r="J2700" s="1">
        <v>89000.0</v>
      </c>
      <c r="K2700" s="2">
        <v>42074.0</v>
      </c>
      <c r="L2700" s="1">
        <v>36.0</v>
      </c>
      <c r="M2700" s="2">
        <v>42074.0</v>
      </c>
      <c r="N2700" s="1" t="s">
        <v>249</v>
      </c>
      <c r="O2700" s="2">
        <v>42088.0</v>
      </c>
      <c r="P2700" s="1">
        <v>104541.0</v>
      </c>
      <c r="Q2700" s="1">
        <v>17299.0</v>
      </c>
      <c r="S2700" s="1">
        <v>2034.0</v>
      </c>
      <c r="T2700" s="1" t="s">
        <v>23949</v>
      </c>
      <c r="U2700" s="1" t="s">
        <v>464</v>
      </c>
      <c r="V2700" s="1" t="s">
        <v>190</v>
      </c>
      <c r="W2700" s="1">
        <v>60639.0</v>
      </c>
      <c r="Y2700" s="1" t="s">
        <v>23950</v>
      </c>
      <c r="Z2700" s="1">
        <v>1903.0</v>
      </c>
      <c r="AA2700" s="1" t="s">
        <v>192</v>
      </c>
      <c r="AB2700" s="1" t="s">
        <v>193</v>
      </c>
      <c r="AD2700" s="1" t="s">
        <v>194</v>
      </c>
      <c r="AE2700" s="1" t="s">
        <v>195</v>
      </c>
      <c r="AF2700" s="1" t="s">
        <v>196</v>
      </c>
      <c r="AH2700" s="1" t="s">
        <v>359</v>
      </c>
      <c r="AI2700" s="1">
        <v>0.0</v>
      </c>
      <c r="AK2700" s="1">
        <v>8.0</v>
      </c>
      <c r="AL2700" s="1">
        <v>4.0</v>
      </c>
      <c r="AM2700" s="1">
        <v>2.0</v>
      </c>
      <c r="AN2700" s="1">
        <v>0.0</v>
      </c>
      <c r="AO2700" s="1" t="s">
        <v>229</v>
      </c>
      <c r="AQ2700" s="1" t="s">
        <v>198</v>
      </c>
      <c r="AR2700" s="1" t="s">
        <v>192</v>
      </c>
      <c r="AS2700" s="1" t="s">
        <v>229</v>
      </c>
      <c r="AV2700" s="1" t="s">
        <v>200</v>
      </c>
      <c r="AW2700" s="1">
        <v>3662.0</v>
      </c>
      <c r="AX2700" s="1">
        <v>2012.0</v>
      </c>
      <c r="AZ2700" s="1" t="s">
        <v>200</v>
      </c>
      <c r="BA2700" s="1" t="str">
        <f>"13342320230000"</f>
        <v>13342320230000</v>
      </c>
      <c r="BC2700" s="1">
        <v>1449.0</v>
      </c>
      <c r="BD2700" s="1">
        <v>86000.0</v>
      </c>
      <c r="BE2700" s="2">
        <v>42039.0</v>
      </c>
      <c r="BF2700" s="1" t="s">
        <v>23951</v>
      </c>
      <c r="BH2700" s="1">
        <v>0.0</v>
      </c>
      <c r="BK2700" s="1" t="s">
        <v>204</v>
      </c>
      <c r="BL2700" s="1" t="str">
        <f>"2000"</f>
        <v>2000</v>
      </c>
      <c r="BM2700" s="1" t="str">
        <f t="shared" ref="BM2700:BM2706" si="1763">"0"</f>
        <v>0</v>
      </c>
      <c r="BN2700" s="1">
        <v>4000.0</v>
      </c>
      <c r="BO2700" s="1">
        <v>0.0</v>
      </c>
      <c r="BQ2700" s="1">
        <v>299.0</v>
      </c>
      <c r="BR2700" s="1">
        <v>299.0</v>
      </c>
      <c r="BS2700" s="1">
        <v>299.0</v>
      </c>
      <c r="BU2700" s="1" t="s">
        <v>331</v>
      </c>
      <c r="BV2700" s="1" t="s">
        <v>206</v>
      </c>
      <c r="BY2700" s="1" t="s">
        <v>3318</v>
      </c>
      <c r="BZ2700" s="1" t="s">
        <v>206</v>
      </c>
      <c r="CC2700" s="1" t="s">
        <v>215</v>
      </c>
      <c r="CD2700" s="1" t="s">
        <v>206</v>
      </c>
      <c r="CE2700" s="1" t="s">
        <v>207</v>
      </c>
      <c r="CG2700" s="1" t="s">
        <v>814</v>
      </c>
      <c r="CH2700" s="1" t="s">
        <v>206</v>
      </c>
      <c r="CK2700" s="1" t="s">
        <v>411</v>
      </c>
      <c r="CL2700" s="1" t="s">
        <v>206</v>
      </c>
      <c r="CO2700" s="1" t="s">
        <v>269</v>
      </c>
      <c r="CP2700" s="1" t="s">
        <v>206</v>
      </c>
      <c r="CS2700" s="1" t="s">
        <v>264</v>
      </c>
      <c r="CT2700" s="1" t="s">
        <v>206</v>
      </c>
      <c r="CW2700" s="1" t="s">
        <v>269</v>
      </c>
      <c r="CX2700" s="1" t="s">
        <v>42</v>
      </c>
      <c r="DA2700" s="1" t="s">
        <v>200</v>
      </c>
      <c r="DC2700" s="1" t="s">
        <v>642</v>
      </c>
      <c r="DE2700" s="1" t="s">
        <v>229</v>
      </c>
      <c r="DF2700" s="1" t="s">
        <v>905</v>
      </c>
      <c r="DH2700" s="1" t="s">
        <v>365</v>
      </c>
      <c r="DJ2700" s="1" t="s">
        <v>222</v>
      </c>
      <c r="DL2700" s="1" t="s">
        <v>224</v>
      </c>
      <c r="DM2700" s="1" t="s">
        <v>229</v>
      </c>
      <c r="DQ2700" s="1" t="s">
        <v>718</v>
      </c>
      <c r="DR2700" s="1" t="s">
        <v>229</v>
      </c>
      <c r="DV2700" s="1" t="s">
        <v>232</v>
      </c>
      <c r="DW2700" s="1" t="s">
        <v>667</v>
      </c>
      <c r="DX2700" s="1" t="s">
        <v>234</v>
      </c>
      <c r="EC2700" s="1" t="s">
        <v>645</v>
      </c>
      <c r="EE2700" s="1" t="s">
        <v>1673</v>
      </c>
      <c r="EM2700" s="1" t="s">
        <v>238</v>
      </c>
      <c r="EQ2700" s="1" t="s">
        <v>238</v>
      </c>
      <c r="EU2700" s="1" t="s">
        <v>238</v>
      </c>
      <c r="EY2700" s="1" t="s">
        <v>238</v>
      </c>
      <c r="FC2700" s="1" t="s">
        <v>238</v>
      </c>
      <c r="FF2700" s="1" t="s">
        <v>239</v>
      </c>
      <c r="FG2700" s="1" t="s">
        <v>192</v>
      </c>
      <c r="FH2700" s="1" t="s">
        <v>192</v>
      </c>
      <c r="FJ2700" s="1" t="s">
        <v>2156</v>
      </c>
      <c r="FK2700" s="1" t="s">
        <v>229</v>
      </c>
      <c r="FL2700" s="1" t="s">
        <v>3443</v>
      </c>
      <c r="FM2700" s="1">
        <v>8658.0</v>
      </c>
      <c r="FN2700" s="1" t="s">
        <v>3444</v>
      </c>
      <c r="FO2700" s="1" t="s">
        <v>3445</v>
      </c>
      <c r="FP2700" s="1">
        <v>84760.0</v>
      </c>
      <c r="FQ2700" s="1" t="s">
        <v>3444</v>
      </c>
      <c r="FS2700" s="1" t="s">
        <v>3446</v>
      </c>
      <c r="FU2700" s="1" t="s">
        <v>3447</v>
      </c>
      <c r="FV2700" s="1" t="s">
        <v>200</v>
      </c>
      <c r="FW2700" s="1" t="s">
        <v>290</v>
      </c>
      <c r="FX2700" s="1" t="s">
        <v>238</v>
      </c>
      <c r="FZ2700" s="1" t="s">
        <v>229</v>
      </c>
      <c r="GA2700" s="1" t="s">
        <v>291</v>
      </c>
      <c r="GB2700" s="2">
        <v>42109.0</v>
      </c>
    </row>
    <row r="2701">
      <c r="A2701" s="1">
        <v>268681.0</v>
      </c>
      <c r="B2701" s="1" t="s">
        <v>185</v>
      </c>
      <c r="C2701" s="1" t="str">
        <f>"08832713"</f>
        <v>08832713</v>
      </c>
      <c r="D2701" s="1" t="s">
        <v>186</v>
      </c>
      <c r="F2701" s="1" t="str">
        <f>"123"</f>
        <v>123</v>
      </c>
      <c r="G2701" s="2">
        <v>42041.0</v>
      </c>
      <c r="H2701" s="1">
        <v>263995.0</v>
      </c>
      <c r="I2701" s="1">
        <v>6.0</v>
      </c>
      <c r="J2701" s="1">
        <v>263995.0</v>
      </c>
      <c r="K2701" s="2">
        <v>42046.0</v>
      </c>
      <c r="L2701" s="1">
        <v>6.0</v>
      </c>
      <c r="M2701" s="2">
        <v>42046.0</v>
      </c>
      <c r="N2701" s="1" t="s">
        <v>187</v>
      </c>
      <c r="O2701" s="2">
        <v>42089.0</v>
      </c>
      <c r="P2701" s="1">
        <v>63401.0</v>
      </c>
      <c r="Q2701" s="1">
        <v>6506.0</v>
      </c>
      <c r="S2701" s="1">
        <v>3675.0</v>
      </c>
      <c r="T2701" s="1" t="s">
        <v>14572</v>
      </c>
      <c r="U2701" s="1" t="s">
        <v>982</v>
      </c>
      <c r="V2701" s="1" t="s">
        <v>465</v>
      </c>
      <c r="W2701" s="1">
        <v>60124.0</v>
      </c>
      <c r="Y2701" s="1" t="s">
        <v>11468</v>
      </c>
      <c r="Z2701" s="1">
        <v>2015.0</v>
      </c>
      <c r="AA2701" s="1" t="s">
        <v>200</v>
      </c>
      <c r="AB2701" s="1" t="s">
        <v>193</v>
      </c>
      <c r="AC2701" s="1" t="s">
        <v>571</v>
      </c>
      <c r="AD2701" s="1" t="s">
        <v>469</v>
      </c>
      <c r="AE2701" s="1" t="s">
        <v>325</v>
      </c>
      <c r="AF2701" s="1" t="s">
        <v>572</v>
      </c>
      <c r="AG2701" s="1" t="s">
        <v>23952</v>
      </c>
      <c r="AH2701" s="1" t="s">
        <v>4587</v>
      </c>
      <c r="AI2701" s="1">
        <v>0.23</v>
      </c>
      <c r="AK2701" s="1">
        <v>9.0</v>
      </c>
      <c r="AL2701" s="1">
        <v>4.0</v>
      </c>
      <c r="AM2701" s="1">
        <v>2.0</v>
      </c>
      <c r="AN2701" s="1">
        <v>1.0</v>
      </c>
      <c r="AO2701" s="1" t="s">
        <v>198</v>
      </c>
      <c r="AQ2701" s="1" t="s">
        <v>198</v>
      </c>
      <c r="AR2701" s="1" t="s">
        <v>200</v>
      </c>
      <c r="AS2701" s="1" t="s">
        <v>199</v>
      </c>
      <c r="AT2701" s="1">
        <v>2.0</v>
      </c>
      <c r="AV2701" s="1" t="s">
        <v>200</v>
      </c>
      <c r="AW2701" s="1" t="s">
        <v>575</v>
      </c>
      <c r="AX2701" s="1">
        <v>2013.0</v>
      </c>
      <c r="AZ2701" s="1" t="s">
        <v>200</v>
      </c>
      <c r="BA2701" s="1" t="str">
        <f>"0525300006"</f>
        <v>0525300006</v>
      </c>
      <c r="BC2701" s="1">
        <v>2423.0</v>
      </c>
      <c r="BD2701" s="1">
        <v>268681.0</v>
      </c>
      <c r="BE2701" s="2">
        <v>42041.0</v>
      </c>
      <c r="BF2701" s="2" t="s">
        <v>23953</v>
      </c>
      <c r="BG2701" s="1" t="s">
        <v>3686</v>
      </c>
      <c r="BH2701" s="1">
        <v>421.0</v>
      </c>
      <c r="BI2701" s="1" t="s">
        <v>1975</v>
      </c>
      <c r="BJ2701" s="1" t="s">
        <v>579</v>
      </c>
      <c r="BK2701" s="1" t="s">
        <v>580</v>
      </c>
      <c r="BL2701" s="1" t="str">
        <f>"9"</f>
        <v>9</v>
      </c>
      <c r="BM2701" s="1" t="str">
        <f t="shared" si="1763"/>
        <v>0</v>
      </c>
      <c r="BN2701" s="1">
        <v>37.0</v>
      </c>
      <c r="BO2701" s="1">
        <v>0.0</v>
      </c>
      <c r="BQ2701" s="1">
        <v>301.0</v>
      </c>
      <c r="BR2701" s="1">
        <v>301.0</v>
      </c>
      <c r="BS2701" s="1">
        <v>301.0</v>
      </c>
      <c r="BU2701" s="1" t="s">
        <v>758</v>
      </c>
      <c r="BV2701" s="1" t="s">
        <v>206</v>
      </c>
      <c r="BW2701" s="1" t="s">
        <v>210</v>
      </c>
      <c r="BX2701" s="1" t="s">
        <v>229</v>
      </c>
      <c r="BY2701" s="1" t="s">
        <v>432</v>
      </c>
      <c r="BZ2701" s="1" t="s">
        <v>209</v>
      </c>
      <c r="CA2701" s="1" t="s">
        <v>210</v>
      </c>
      <c r="CB2701" s="1" t="s">
        <v>229</v>
      </c>
      <c r="CC2701" s="1" t="s">
        <v>262</v>
      </c>
      <c r="CD2701" s="1" t="s">
        <v>206</v>
      </c>
      <c r="CE2701" s="1" t="s">
        <v>210</v>
      </c>
      <c r="CF2701" s="1" t="s">
        <v>229</v>
      </c>
      <c r="CG2701" s="1" t="s">
        <v>332</v>
      </c>
      <c r="CH2701" s="1" t="s">
        <v>209</v>
      </c>
      <c r="CI2701" s="1" t="s">
        <v>210</v>
      </c>
      <c r="CJ2701" s="1" t="s">
        <v>229</v>
      </c>
      <c r="CK2701" s="1" t="s">
        <v>212</v>
      </c>
      <c r="CL2701" s="1" t="s">
        <v>209</v>
      </c>
      <c r="CM2701" s="1" t="s">
        <v>210</v>
      </c>
      <c r="CN2701" s="1" t="s">
        <v>229</v>
      </c>
      <c r="CO2701" s="1" t="s">
        <v>264</v>
      </c>
      <c r="CP2701" s="1" t="s">
        <v>209</v>
      </c>
      <c r="CQ2701" s="1" t="s">
        <v>210</v>
      </c>
      <c r="CR2701" s="1" t="s">
        <v>229</v>
      </c>
      <c r="CS2701" s="1" t="s">
        <v>1117</v>
      </c>
      <c r="CT2701" s="1" t="s">
        <v>206</v>
      </c>
      <c r="CU2701" s="1" t="s">
        <v>207</v>
      </c>
      <c r="CV2701" s="1" t="s">
        <v>229</v>
      </c>
      <c r="CW2701" s="1" t="s">
        <v>616</v>
      </c>
      <c r="CX2701" s="1" t="s">
        <v>206</v>
      </c>
      <c r="CY2701" s="1" t="s">
        <v>210</v>
      </c>
      <c r="CZ2701" s="1" t="s">
        <v>229</v>
      </c>
      <c r="DA2701" s="1" t="s">
        <v>192</v>
      </c>
      <c r="DB2701" s="2">
        <v>42217.0</v>
      </c>
      <c r="DC2701" s="1" t="s">
        <v>744</v>
      </c>
      <c r="DD2701" s="1" t="s">
        <v>786</v>
      </c>
      <c r="DE2701" s="1" t="s">
        <v>273</v>
      </c>
      <c r="DF2701" s="1" t="s">
        <v>219</v>
      </c>
      <c r="DG2701" s="1" t="s">
        <v>587</v>
      </c>
      <c r="DH2701" s="1" t="s">
        <v>220</v>
      </c>
      <c r="DI2701" s="1" t="s">
        <v>1978</v>
      </c>
      <c r="DJ2701" s="1" t="s">
        <v>222</v>
      </c>
      <c r="DK2701" s="1" t="s">
        <v>223</v>
      </c>
      <c r="DL2701" s="1" t="s">
        <v>484</v>
      </c>
      <c r="DM2701" s="1" t="s">
        <v>338</v>
      </c>
      <c r="DN2701" s="1" t="s">
        <v>485</v>
      </c>
      <c r="DP2701" s="1" t="s">
        <v>340</v>
      </c>
      <c r="DQ2701" s="1" t="s">
        <v>228</v>
      </c>
      <c r="DR2701" s="1" t="s">
        <v>588</v>
      </c>
      <c r="DS2701" s="1" t="s">
        <v>591</v>
      </c>
      <c r="DT2701" s="1" t="s">
        <v>23954</v>
      </c>
      <c r="DU2701" s="1" t="s">
        <v>10083</v>
      </c>
      <c r="DV2701" s="1" t="s">
        <v>23955</v>
      </c>
      <c r="DW2701" s="1" t="s">
        <v>3465</v>
      </c>
      <c r="DX2701" s="1" t="s">
        <v>234</v>
      </c>
      <c r="DY2701" s="1" t="s">
        <v>1559</v>
      </c>
      <c r="DZ2701" s="1" t="s">
        <v>405</v>
      </c>
      <c r="EA2701" s="1" t="s">
        <v>447</v>
      </c>
      <c r="EC2701" s="1" t="s">
        <v>237</v>
      </c>
      <c r="ED2701" s="1" t="s">
        <v>407</v>
      </c>
      <c r="EG2701" s="1" t="s">
        <v>409</v>
      </c>
      <c r="EH2701" s="1" t="s">
        <v>449</v>
      </c>
      <c r="EL2701" s="1" t="s">
        <v>4153</v>
      </c>
      <c r="EM2701" s="1" t="s">
        <v>209</v>
      </c>
      <c r="EN2701" s="1" t="s">
        <v>210</v>
      </c>
      <c r="EO2701" s="1" t="s">
        <v>229</v>
      </c>
      <c r="EP2701" s="1" t="s">
        <v>640</v>
      </c>
      <c r="EQ2701" s="1" t="s">
        <v>206</v>
      </c>
      <c r="ER2701" s="1" t="s">
        <v>207</v>
      </c>
      <c r="ES2701" s="1" t="s">
        <v>229</v>
      </c>
      <c r="EU2701" s="1" t="s">
        <v>238</v>
      </c>
      <c r="EY2701" s="1" t="s">
        <v>238</v>
      </c>
      <c r="FC2701" s="1" t="s">
        <v>238</v>
      </c>
      <c r="FF2701" s="1" t="s">
        <v>239</v>
      </c>
      <c r="FG2701" s="1" t="s">
        <v>192</v>
      </c>
      <c r="FH2701" s="1" t="s">
        <v>192</v>
      </c>
      <c r="FJ2701" s="1" t="s">
        <v>600</v>
      </c>
      <c r="FK2701" s="1" t="s">
        <v>601</v>
      </c>
      <c r="FL2701" s="1" t="s">
        <v>602</v>
      </c>
      <c r="FM2701" s="1">
        <v>25645.0</v>
      </c>
      <c r="FN2701" s="1" t="s">
        <v>603</v>
      </c>
      <c r="FO2701" s="1" t="s">
        <v>604</v>
      </c>
      <c r="FP2701" s="1">
        <v>80455.0</v>
      </c>
      <c r="FT2701" s="1" t="s">
        <v>605</v>
      </c>
      <c r="FU2701" s="1" t="s">
        <v>11475</v>
      </c>
      <c r="FV2701" s="1" t="s">
        <v>200</v>
      </c>
      <c r="FW2701" s="1" t="s">
        <v>607</v>
      </c>
      <c r="FZ2701" s="1" t="s">
        <v>229</v>
      </c>
      <c r="GA2701" s="1" t="s">
        <v>291</v>
      </c>
      <c r="GB2701" s="2">
        <v>42097.0</v>
      </c>
      <c r="GC2701" s="1" t="s">
        <v>23956</v>
      </c>
    </row>
    <row r="2702">
      <c r="A2702" s="1">
        <v>818000.0</v>
      </c>
      <c r="B2702" s="1" t="s">
        <v>185</v>
      </c>
      <c r="C2702" s="1" t="str">
        <f>"08829700"</f>
        <v>08829700</v>
      </c>
      <c r="D2702" s="1" t="s">
        <v>186</v>
      </c>
      <c r="F2702" s="1" t="str">
        <f>"8005"</f>
        <v>8005</v>
      </c>
      <c r="G2702" s="2">
        <v>42038.0</v>
      </c>
      <c r="H2702" s="1">
        <v>839000.0</v>
      </c>
      <c r="I2702" s="1">
        <v>118.0</v>
      </c>
      <c r="J2702" s="1">
        <v>839000.0</v>
      </c>
      <c r="K2702" s="2">
        <v>42044.0</v>
      </c>
      <c r="L2702" s="1">
        <v>7.0</v>
      </c>
      <c r="M2702" s="2">
        <v>42044.0</v>
      </c>
      <c r="N2702" s="1" t="s">
        <v>187</v>
      </c>
      <c r="O2702" s="2">
        <v>42076.0</v>
      </c>
      <c r="P2702" s="1">
        <v>132541.0</v>
      </c>
      <c r="Q2702" s="1">
        <v>18705.0</v>
      </c>
      <c r="S2702" s="1">
        <v>2415.0</v>
      </c>
      <c r="T2702" s="1" t="s">
        <v>14450</v>
      </c>
      <c r="U2702" s="1" t="s">
        <v>189</v>
      </c>
      <c r="V2702" s="1" t="s">
        <v>190</v>
      </c>
      <c r="W2702" s="1">
        <v>60618.0</v>
      </c>
      <c r="Y2702" s="1" t="s">
        <v>23957</v>
      </c>
      <c r="Z2702" s="1">
        <v>2004.0</v>
      </c>
      <c r="AA2702" s="1" t="s">
        <v>200</v>
      </c>
      <c r="AB2702" s="1" t="s">
        <v>193</v>
      </c>
      <c r="AD2702" s="1" t="s">
        <v>194</v>
      </c>
      <c r="AE2702" s="1" t="s">
        <v>195</v>
      </c>
      <c r="AF2702" s="1" t="s">
        <v>534</v>
      </c>
      <c r="AH2702" s="1" t="s">
        <v>23958</v>
      </c>
      <c r="AI2702" s="1">
        <v>0.0717</v>
      </c>
      <c r="AK2702" s="1">
        <v>9.0</v>
      </c>
      <c r="AL2702" s="1">
        <v>3.0</v>
      </c>
      <c r="AM2702" s="1">
        <v>3.0</v>
      </c>
      <c r="AN2702" s="1">
        <v>1.0</v>
      </c>
      <c r="AO2702" s="1" t="s">
        <v>198</v>
      </c>
      <c r="AP2702" s="1">
        <v>2.0</v>
      </c>
      <c r="AQ2702" s="1" t="s">
        <v>198</v>
      </c>
      <c r="AR2702" s="1" t="s">
        <v>192</v>
      </c>
      <c r="AS2702" s="1" t="s">
        <v>199</v>
      </c>
      <c r="AT2702" s="1">
        <v>2.0</v>
      </c>
      <c r="AV2702" s="1" t="s">
        <v>200</v>
      </c>
      <c r="AW2702" s="4">
        <v>11595.5</v>
      </c>
      <c r="AX2702" s="1">
        <v>2013.0</v>
      </c>
      <c r="AY2702" s="1" t="s">
        <v>387</v>
      </c>
      <c r="AZ2702" s="1" t="s">
        <v>200</v>
      </c>
      <c r="BA2702" s="1" t="str">
        <f>"13134130170000"</f>
        <v>13134130170000</v>
      </c>
      <c r="BC2702" s="1">
        <v>3600.0</v>
      </c>
      <c r="BD2702" s="1">
        <v>818000.0</v>
      </c>
      <c r="BE2702" s="2">
        <v>42038.0</v>
      </c>
      <c r="BF2702" s="2" t="s">
        <v>23959</v>
      </c>
      <c r="BG2702" s="1" t="s">
        <v>2093</v>
      </c>
      <c r="BH2702" s="1">
        <v>0.0</v>
      </c>
      <c r="BK2702" s="1" t="s">
        <v>204</v>
      </c>
      <c r="BL2702" s="1" t="str">
        <f>"4200"</f>
        <v>4200</v>
      </c>
      <c r="BM2702" s="1" t="str">
        <f t="shared" si="1763"/>
        <v>0</v>
      </c>
      <c r="BN2702" s="1">
        <v>2415.0</v>
      </c>
      <c r="BO2702" s="1">
        <v>0.0</v>
      </c>
      <c r="BQ2702" s="1">
        <v>299.0</v>
      </c>
      <c r="BR2702" s="1">
        <v>299.0</v>
      </c>
      <c r="BS2702" s="1">
        <v>299.0</v>
      </c>
      <c r="BU2702" s="1" t="s">
        <v>3123</v>
      </c>
      <c r="BV2702" s="1" t="s">
        <v>206</v>
      </c>
      <c r="BW2702" s="1" t="s">
        <v>207</v>
      </c>
      <c r="BX2702" s="1" t="s">
        <v>1549</v>
      </c>
      <c r="BY2702" s="1" t="s">
        <v>924</v>
      </c>
      <c r="BZ2702" s="1" t="s">
        <v>209</v>
      </c>
      <c r="CA2702" s="1" t="s">
        <v>210</v>
      </c>
      <c r="CB2702" s="1" t="s">
        <v>1549</v>
      </c>
      <c r="CC2702" s="1" t="s">
        <v>542</v>
      </c>
      <c r="CD2702" s="1" t="s">
        <v>206</v>
      </c>
      <c r="CE2702" s="1" t="s">
        <v>207</v>
      </c>
      <c r="CG2702" s="1" t="s">
        <v>213</v>
      </c>
      <c r="CH2702" s="1" t="s">
        <v>209</v>
      </c>
      <c r="CI2702" s="1" t="s">
        <v>210</v>
      </c>
      <c r="CJ2702" s="1" t="s">
        <v>1549</v>
      </c>
      <c r="CK2702" s="1" t="s">
        <v>212</v>
      </c>
      <c r="CL2702" s="1" t="s">
        <v>209</v>
      </c>
      <c r="CM2702" s="1" t="s">
        <v>210</v>
      </c>
      <c r="CN2702" s="1" t="s">
        <v>1549</v>
      </c>
      <c r="CO2702" s="1" t="s">
        <v>264</v>
      </c>
      <c r="CP2702" s="1" t="s">
        <v>42</v>
      </c>
      <c r="CQ2702" s="1" t="s">
        <v>210</v>
      </c>
      <c r="CR2702" s="1" t="s">
        <v>431</v>
      </c>
      <c r="CS2702" s="1" t="s">
        <v>480</v>
      </c>
      <c r="CT2702" s="1" t="s">
        <v>206</v>
      </c>
      <c r="CU2702" s="1" t="s">
        <v>207</v>
      </c>
      <c r="CV2702" s="1" t="s">
        <v>261</v>
      </c>
      <c r="CW2702" s="1" t="s">
        <v>260</v>
      </c>
      <c r="CX2702" s="1" t="s">
        <v>206</v>
      </c>
      <c r="CY2702" s="1" t="s">
        <v>207</v>
      </c>
      <c r="CZ2702" s="1" t="s">
        <v>1549</v>
      </c>
      <c r="DA2702" s="1" t="s">
        <v>200</v>
      </c>
      <c r="DC2702" s="1" t="s">
        <v>335</v>
      </c>
      <c r="DE2702" s="1" t="s">
        <v>273</v>
      </c>
      <c r="DF2702" s="1" t="s">
        <v>619</v>
      </c>
      <c r="DH2702" s="1" t="s">
        <v>307</v>
      </c>
      <c r="DJ2702" s="1" t="s">
        <v>222</v>
      </c>
      <c r="DL2702" s="1" t="s">
        <v>224</v>
      </c>
      <c r="DM2702" s="1" t="s">
        <v>1658</v>
      </c>
      <c r="DN2702" s="1" t="s">
        <v>6974</v>
      </c>
      <c r="DQ2702" s="1" t="s">
        <v>228</v>
      </c>
      <c r="DR2702" s="1" t="s">
        <v>229</v>
      </c>
      <c r="DV2702" s="1" t="s">
        <v>450</v>
      </c>
      <c r="DW2702" s="1" t="s">
        <v>8064</v>
      </c>
      <c r="DX2702" s="1" t="s">
        <v>3230</v>
      </c>
      <c r="DY2702" s="1" t="s">
        <v>23960</v>
      </c>
      <c r="EB2702" s="1" t="s">
        <v>4251</v>
      </c>
      <c r="EC2702" s="1" t="s">
        <v>237</v>
      </c>
      <c r="EG2702" s="1" t="s">
        <v>450</v>
      </c>
      <c r="EL2702" s="1" t="s">
        <v>4353</v>
      </c>
      <c r="EM2702" s="1" t="s">
        <v>42</v>
      </c>
      <c r="EQ2702" s="1" t="s">
        <v>238</v>
      </c>
      <c r="EU2702" s="1" t="s">
        <v>238</v>
      </c>
      <c r="EY2702" s="1" t="s">
        <v>238</v>
      </c>
      <c r="FC2702" s="1" t="s">
        <v>238</v>
      </c>
      <c r="FF2702" s="1" t="s">
        <v>239</v>
      </c>
      <c r="FG2702" s="1" t="s">
        <v>192</v>
      </c>
      <c r="FH2702" s="1" t="s">
        <v>192</v>
      </c>
      <c r="FJ2702" s="1" t="s">
        <v>18464</v>
      </c>
      <c r="FK2702" s="1" t="s">
        <v>229</v>
      </c>
      <c r="FL2702" s="1" t="s">
        <v>974</v>
      </c>
      <c r="FM2702" s="1">
        <v>14470.0</v>
      </c>
      <c r="FN2702" s="1" t="s">
        <v>3407</v>
      </c>
      <c r="FO2702" s="1" t="s">
        <v>23961</v>
      </c>
      <c r="FP2702" s="1">
        <v>122586.0</v>
      </c>
      <c r="FQ2702" s="1" t="s">
        <v>23962</v>
      </c>
      <c r="FU2702" s="1" t="s">
        <v>23963</v>
      </c>
      <c r="FV2702" s="1" t="s">
        <v>200</v>
      </c>
      <c r="FW2702" s="1" t="s">
        <v>530</v>
      </c>
      <c r="FX2702" s="1" t="s">
        <v>246</v>
      </c>
      <c r="FZ2702" s="1" t="s">
        <v>229</v>
      </c>
      <c r="GA2702" s="1" t="s">
        <v>291</v>
      </c>
      <c r="GB2702" s="2">
        <v>42078.0</v>
      </c>
      <c r="GC2702" s="1" t="s">
        <v>23964</v>
      </c>
    </row>
    <row r="2703">
      <c r="A2703" s="1">
        <v>268000.0</v>
      </c>
      <c r="B2703" s="1" t="s">
        <v>185</v>
      </c>
      <c r="C2703" s="1" t="str">
        <f>"08836793"</f>
        <v>08836793</v>
      </c>
      <c r="D2703" s="1" t="s">
        <v>186</v>
      </c>
      <c r="F2703" s="1" t="str">
        <f>"119"</f>
        <v>119</v>
      </c>
      <c r="G2703" s="2">
        <v>42046.0</v>
      </c>
      <c r="H2703" s="1">
        <v>299900.0</v>
      </c>
      <c r="I2703" s="1">
        <v>32.0</v>
      </c>
      <c r="J2703" s="1">
        <v>275000.0</v>
      </c>
      <c r="K2703" s="2">
        <v>42060.0</v>
      </c>
      <c r="L2703" s="1">
        <v>15.0</v>
      </c>
      <c r="M2703" s="2">
        <v>42060.0</v>
      </c>
      <c r="N2703" s="1" t="s">
        <v>356</v>
      </c>
      <c r="O2703" s="2">
        <v>42096.0</v>
      </c>
      <c r="P2703" s="1">
        <v>62301.0</v>
      </c>
      <c r="Q2703" s="1">
        <v>6018.0</v>
      </c>
      <c r="R2703" s="1">
        <v>6000.0</v>
      </c>
      <c r="S2703" s="1">
        <v>1176.0</v>
      </c>
      <c r="T2703" s="1" t="s">
        <v>23965</v>
      </c>
      <c r="U2703" s="1" t="s">
        <v>569</v>
      </c>
      <c r="V2703" s="1" t="s">
        <v>1476</v>
      </c>
      <c r="W2703" s="1">
        <v>60119.0</v>
      </c>
      <c r="Y2703" s="1" t="s">
        <v>23966</v>
      </c>
      <c r="Z2703" s="1">
        <v>2003.0</v>
      </c>
      <c r="AA2703" s="1" t="s">
        <v>200</v>
      </c>
      <c r="AB2703" s="1" t="s">
        <v>193</v>
      </c>
      <c r="AC2703" s="1" t="s">
        <v>23967</v>
      </c>
      <c r="AD2703" s="1" t="s">
        <v>1478</v>
      </c>
      <c r="AE2703" s="1" t="s">
        <v>325</v>
      </c>
      <c r="AF2703" s="1" t="s">
        <v>1632</v>
      </c>
      <c r="AH2703" s="1" t="s">
        <v>23968</v>
      </c>
      <c r="AK2703" s="1">
        <v>13.0</v>
      </c>
      <c r="AL2703" s="1">
        <v>4.0</v>
      </c>
      <c r="AM2703" s="1">
        <v>3.0</v>
      </c>
      <c r="AN2703" s="1">
        <v>1.0</v>
      </c>
      <c r="AO2703" s="1" t="s">
        <v>198</v>
      </c>
      <c r="AP2703" s="1">
        <v>1.0</v>
      </c>
      <c r="AQ2703" s="1" t="s">
        <v>327</v>
      </c>
      <c r="AR2703" s="1" t="s">
        <v>192</v>
      </c>
      <c r="AS2703" s="1" t="s">
        <v>199</v>
      </c>
      <c r="AT2703" s="1">
        <v>2.0</v>
      </c>
      <c r="AV2703" s="1" t="s">
        <v>200</v>
      </c>
      <c r="AW2703" s="1">
        <v>8567.0</v>
      </c>
      <c r="AX2703" s="1">
        <v>2013.0</v>
      </c>
      <c r="AY2703" s="1" t="s">
        <v>387</v>
      </c>
      <c r="AZ2703" s="1" t="s">
        <v>200</v>
      </c>
      <c r="BA2703" s="1" t="str">
        <f>"0832153022"</f>
        <v>0832153022</v>
      </c>
      <c r="BB2703" s="1" t="s">
        <v>200</v>
      </c>
      <c r="BC2703" s="1">
        <v>4223.0</v>
      </c>
      <c r="BD2703" s="1">
        <v>268000.0</v>
      </c>
      <c r="BE2703" s="2">
        <v>42046.0</v>
      </c>
      <c r="BF2703" s="2" t="s">
        <v>23969</v>
      </c>
      <c r="BG2703" s="1" t="s">
        <v>1634</v>
      </c>
      <c r="BH2703" s="1">
        <v>0.0</v>
      </c>
      <c r="BI2703" s="1" t="s">
        <v>1635</v>
      </c>
      <c r="BJ2703" s="1" t="s">
        <v>1636</v>
      </c>
      <c r="BK2703" s="1" t="s">
        <v>204</v>
      </c>
      <c r="BL2703" s="1" t="str">
        <f>"2"</f>
        <v>2</v>
      </c>
      <c r="BM2703" s="1" t="str">
        <f t="shared" si="1763"/>
        <v>0</v>
      </c>
      <c r="BN2703" s="1">
        <v>43.0</v>
      </c>
      <c r="BO2703" s="1">
        <v>0.0</v>
      </c>
      <c r="BQ2703" s="1">
        <v>302.0</v>
      </c>
      <c r="BR2703" s="1">
        <v>302.0</v>
      </c>
      <c r="BS2703" s="1">
        <v>302.0</v>
      </c>
      <c r="BU2703" s="1" t="s">
        <v>363</v>
      </c>
      <c r="BV2703" s="1" t="s">
        <v>206</v>
      </c>
      <c r="BW2703" s="1" t="s">
        <v>207</v>
      </c>
      <c r="BX2703" s="1" t="s">
        <v>431</v>
      </c>
      <c r="BY2703" s="1" t="s">
        <v>205</v>
      </c>
      <c r="BZ2703" s="1" t="s">
        <v>209</v>
      </c>
      <c r="CA2703" s="1" t="s">
        <v>210</v>
      </c>
      <c r="CB2703" s="1" t="s">
        <v>431</v>
      </c>
      <c r="CC2703" s="1" t="s">
        <v>363</v>
      </c>
      <c r="CD2703" s="1" t="s">
        <v>206</v>
      </c>
      <c r="CE2703" s="1" t="s">
        <v>207</v>
      </c>
      <c r="CF2703" s="1" t="s">
        <v>431</v>
      </c>
      <c r="CG2703" s="1" t="s">
        <v>264</v>
      </c>
      <c r="CH2703" s="1" t="s">
        <v>209</v>
      </c>
      <c r="CI2703" s="1" t="s">
        <v>210</v>
      </c>
      <c r="CJ2703" s="1" t="s">
        <v>431</v>
      </c>
      <c r="CK2703" s="1" t="s">
        <v>264</v>
      </c>
      <c r="CL2703" s="1" t="s">
        <v>209</v>
      </c>
      <c r="CM2703" s="1" t="s">
        <v>210</v>
      </c>
      <c r="CN2703" s="1" t="s">
        <v>431</v>
      </c>
      <c r="CO2703" s="1" t="s">
        <v>212</v>
      </c>
      <c r="CP2703" s="1" t="s">
        <v>209</v>
      </c>
      <c r="CQ2703" s="1" t="s">
        <v>210</v>
      </c>
      <c r="CR2703" s="1" t="s">
        <v>431</v>
      </c>
      <c r="CS2703" s="1" t="s">
        <v>5311</v>
      </c>
      <c r="CT2703" s="1" t="s">
        <v>206</v>
      </c>
      <c r="CU2703" s="1" t="s">
        <v>207</v>
      </c>
      <c r="CV2703" s="1" t="s">
        <v>431</v>
      </c>
      <c r="CW2703" s="1" t="s">
        <v>434</v>
      </c>
      <c r="CX2703" s="1" t="s">
        <v>206</v>
      </c>
      <c r="CY2703" s="1" t="s">
        <v>210</v>
      </c>
      <c r="CZ2703" s="1" t="s">
        <v>431</v>
      </c>
      <c r="DA2703" s="1" t="s">
        <v>200</v>
      </c>
      <c r="DC2703" s="1" t="s">
        <v>335</v>
      </c>
      <c r="DD2703" s="1" t="s">
        <v>336</v>
      </c>
      <c r="DE2703" s="1" t="s">
        <v>273</v>
      </c>
      <c r="DF2703" s="1" t="s">
        <v>619</v>
      </c>
      <c r="DG2703" s="1" t="s">
        <v>3020</v>
      </c>
      <c r="DH2703" s="1" t="s">
        <v>220</v>
      </c>
      <c r="DI2703" s="1" t="s">
        <v>23970</v>
      </c>
      <c r="DJ2703" s="1" t="s">
        <v>222</v>
      </c>
      <c r="DK2703" s="1" t="s">
        <v>198</v>
      </c>
      <c r="DL2703" s="1" t="s">
        <v>224</v>
      </c>
      <c r="DM2703" s="1" t="s">
        <v>1022</v>
      </c>
      <c r="DN2703" s="1" t="s">
        <v>226</v>
      </c>
      <c r="DO2703" s="1" t="s">
        <v>486</v>
      </c>
      <c r="DP2703" s="1" t="s">
        <v>276</v>
      </c>
      <c r="DQ2703" s="1" t="s">
        <v>228</v>
      </c>
      <c r="DR2703" s="1" t="s">
        <v>229</v>
      </c>
      <c r="DU2703" s="1" t="s">
        <v>7655</v>
      </c>
      <c r="DV2703" s="1" t="s">
        <v>23971</v>
      </c>
      <c r="DW2703" s="1" t="s">
        <v>444</v>
      </c>
      <c r="DX2703" s="1" t="s">
        <v>234</v>
      </c>
      <c r="DY2703" s="1" t="s">
        <v>490</v>
      </c>
      <c r="DZ2703" s="1" t="s">
        <v>23972</v>
      </c>
      <c r="EA2703" s="1" t="s">
        <v>344</v>
      </c>
      <c r="EB2703" s="1" t="s">
        <v>937</v>
      </c>
      <c r="EC2703" s="1" t="s">
        <v>237</v>
      </c>
      <c r="ED2703" s="1" t="s">
        <v>407</v>
      </c>
      <c r="EG2703" s="1" t="s">
        <v>449</v>
      </c>
      <c r="EH2703" s="1" t="s">
        <v>494</v>
      </c>
      <c r="EI2703" s="1" t="s">
        <v>598</v>
      </c>
      <c r="EJ2703" s="1" t="s">
        <v>450</v>
      </c>
      <c r="EK2703" s="1" t="s">
        <v>451</v>
      </c>
      <c r="EL2703" s="1" t="s">
        <v>816</v>
      </c>
      <c r="EM2703" s="1" t="s">
        <v>206</v>
      </c>
      <c r="EN2703" s="1" t="s">
        <v>207</v>
      </c>
      <c r="EO2703" s="1" t="s">
        <v>431</v>
      </c>
      <c r="EP2703" s="1" t="s">
        <v>495</v>
      </c>
      <c r="EQ2703" s="1" t="s">
        <v>206</v>
      </c>
      <c r="ER2703" s="1" t="s">
        <v>210</v>
      </c>
      <c r="ES2703" s="1" t="s">
        <v>431</v>
      </c>
      <c r="ET2703" s="1" t="s">
        <v>1119</v>
      </c>
      <c r="EU2703" s="1" t="s">
        <v>1697</v>
      </c>
      <c r="EV2703" s="1" t="s">
        <v>210</v>
      </c>
      <c r="EW2703" s="1" t="s">
        <v>431</v>
      </c>
      <c r="EX2703" s="1" t="s">
        <v>17647</v>
      </c>
      <c r="EY2703" s="1" t="s">
        <v>1697</v>
      </c>
      <c r="EZ2703" s="1" t="s">
        <v>210</v>
      </c>
      <c r="FA2703" s="1" t="s">
        <v>431</v>
      </c>
      <c r="FB2703" s="1" t="s">
        <v>3375</v>
      </c>
      <c r="FC2703" s="1" t="s">
        <v>1697</v>
      </c>
      <c r="FD2703" s="1" t="s">
        <v>210</v>
      </c>
      <c r="FE2703" s="1" t="s">
        <v>431</v>
      </c>
      <c r="FF2703" s="1" t="s">
        <v>239</v>
      </c>
      <c r="FG2703" s="1" t="s">
        <v>192</v>
      </c>
      <c r="FH2703" s="1" t="s">
        <v>192</v>
      </c>
      <c r="FJ2703" s="1" t="s">
        <v>561</v>
      </c>
      <c r="FK2703" s="1" t="s">
        <v>229</v>
      </c>
      <c r="FL2703" s="1" t="s">
        <v>456</v>
      </c>
      <c r="FM2703" s="1">
        <v>20001.0</v>
      </c>
      <c r="FN2703" s="1" t="s">
        <v>5671</v>
      </c>
      <c r="FO2703" s="1" t="s">
        <v>5672</v>
      </c>
      <c r="FP2703" s="1">
        <v>222085.0</v>
      </c>
      <c r="FQ2703" s="1" t="s">
        <v>5673</v>
      </c>
      <c r="FU2703" s="1" t="s">
        <v>5189</v>
      </c>
      <c r="FV2703" s="1" t="s">
        <v>200</v>
      </c>
      <c r="FW2703" s="1" t="s">
        <v>5675</v>
      </c>
      <c r="FZ2703" s="1" t="s">
        <v>229</v>
      </c>
      <c r="GA2703" s="1" t="s">
        <v>291</v>
      </c>
      <c r="GB2703" s="2">
        <v>42096.0</v>
      </c>
      <c r="GC2703" s="1" t="s">
        <v>23973</v>
      </c>
    </row>
    <row r="2704">
      <c r="A2704" s="1">
        <v>200000.0</v>
      </c>
      <c r="B2704" s="1" t="s">
        <v>185</v>
      </c>
      <c r="C2704" s="1" t="str">
        <f>"08832585"</f>
        <v>08832585</v>
      </c>
      <c r="D2704" s="1" t="s">
        <v>186</v>
      </c>
      <c r="F2704" s="1" t="str">
        <f>"140"</f>
        <v>140</v>
      </c>
      <c r="G2704" s="2">
        <v>42041.0</v>
      </c>
      <c r="H2704" s="1">
        <v>200000.0</v>
      </c>
      <c r="I2704" s="1">
        <v>4.0</v>
      </c>
      <c r="J2704" s="1">
        <v>200000.0</v>
      </c>
      <c r="K2704" s="2">
        <v>42044.0</v>
      </c>
      <c r="L2704" s="1">
        <v>4.0</v>
      </c>
      <c r="M2704" s="2">
        <v>42044.0</v>
      </c>
      <c r="N2704" s="1" t="s">
        <v>187</v>
      </c>
      <c r="O2704" s="2">
        <v>42089.0</v>
      </c>
      <c r="P2704" s="1">
        <v>137983.0</v>
      </c>
      <c r="Q2704" s="1">
        <v>15694.0</v>
      </c>
      <c r="S2704" s="1">
        <v>979.0</v>
      </c>
      <c r="T2704" s="1" t="s">
        <v>23974</v>
      </c>
      <c r="U2704" s="1" t="s">
        <v>569</v>
      </c>
      <c r="V2704" s="1" t="s">
        <v>4858</v>
      </c>
      <c r="W2704" s="1">
        <v>60140.0</v>
      </c>
      <c r="Y2704" s="1" t="s">
        <v>23975</v>
      </c>
      <c r="Z2704" s="1">
        <v>2005.0</v>
      </c>
      <c r="AA2704" s="1" t="s">
        <v>200</v>
      </c>
      <c r="AB2704" s="1" t="s">
        <v>193</v>
      </c>
      <c r="AD2704" s="1" t="s">
        <v>4860</v>
      </c>
      <c r="AE2704" s="1" t="s">
        <v>325</v>
      </c>
      <c r="AF2704" s="1" t="s">
        <v>3429</v>
      </c>
      <c r="AG2704" s="1" t="s">
        <v>23976</v>
      </c>
      <c r="AH2704" s="1" t="s">
        <v>23977</v>
      </c>
      <c r="AK2704" s="1">
        <v>10.0</v>
      </c>
      <c r="AL2704" s="1">
        <v>4.0</v>
      </c>
      <c r="AM2704" s="1">
        <v>2.0</v>
      </c>
      <c r="AN2704" s="1">
        <v>1.0</v>
      </c>
      <c r="AO2704" s="1" t="s">
        <v>198</v>
      </c>
      <c r="AQ2704" s="1" t="s">
        <v>198</v>
      </c>
      <c r="AR2704" s="1" t="s">
        <v>200</v>
      </c>
      <c r="AS2704" s="1" t="s">
        <v>199</v>
      </c>
      <c r="AT2704" s="1">
        <v>2.0</v>
      </c>
      <c r="AV2704" s="1" t="s">
        <v>200</v>
      </c>
      <c r="AW2704" s="1">
        <v>8662.0</v>
      </c>
      <c r="AX2704" s="1">
        <v>2013.0</v>
      </c>
      <c r="AY2704" s="1" t="s">
        <v>387</v>
      </c>
      <c r="AZ2704" s="1" t="s">
        <v>200</v>
      </c>
      <c r="BA2704" s="1" t="str">
        <f>"0228380007"</f>
        <v>0228380007</v>
      </c>
      <c r="BB2704" s="1" t="s">
        <v>200</v>
      </c>
      <c r="BC2704" s="1">
        <v>2914.0</v>
      </c>
      <c r="BD2704" s="1">
        <v>200000.0</v>
      </c>
      <c r="BE2704" s="2">
        <v>42041.0</v>
      </c>
      <c r="BF2704" s="2" t="s">
        <v>23978</v>
      </c>
      <c r="BH2704" s="1">
        <v>65.0</v>
      </c>
      <c r="BK2704" s="1" t="s">
        <v>474</v>
      </c>
      <c r="BL2704" s="1" t="str">
        <f>"13"</f>
        <v>13</v>
      </c>
      <c r="BM2704" s="1" t="str">
        <f t="shared" si="1763"/>
        <v>0</v>
      </c>
      <c r="BN2704" s="1">
        <v>41.0</v>
      </c>
      <c r="BO2704" s="1">
        <v>0.0</v>
      </c>
      <c r="BQ2704" s="1">
        <v>300.0</v>
      </c>
      <c r="BR2704" s="1">
        <v>300.0</v>
      </c>
      <c r="BS2704" s="1">
        <v>300.0</v>
      </c>
      <c r="BU2704" s="1" t="s">
        <v>541</v>
      </c>
      <c r="BV2704" s="1" t="s">
        <v>206</v>
      </c>
      <c r="BW2704" s="1" t="s">
        <v>210</v>
      </c>
      <c r="BY2704" s="1" t="s">
        <v>1535</v>
      </c>
      <c r="BZ2704" s="1" t="s">
        <v>209</v>
      </c>
      <c r="CA2704" s="1" t="s">
        <v>210</v>
      </c>
      <c r="CC2704" s="1" t="s">
        <v>4180</v>
      </c>
      <c r="CD2704" s="1" t="s">
        <v>206</v>
      </c>
      <c r="CE2704" s="1" t="s">
        <v>210</v>
      </c>
      <c r="CG2704" s="1" t="s">
        <v>211</v>
      </c>
      <c r="CH2704" s="1" t="s">
        <v>209</v>
      </c>
      <c r="CI2704" s="1" t="s">
        <v>210</v>
      </c>
      <c r="CK2704" s="1" t="s">
        <v>454</v>
      </c>
      <c r="CL2704" s="1" t="s">
        <v>209</v>
      </c>
      <c r="CM2704" s="1" t="s">
        <v>210</v>
      </c>
      <c r="CO2704" s="1" t="s">
        <v>212</v>
      </c>
      <c r="CP2704" s="1" t="s">
        <v>209</v>
      </c>
      <c r="CQ2704" s="1" t="s">
        <v>210</v>
      </c>
      <c r="CS2704" s="1" t="s">
        <v>3054</v>
      </c>
      <c r="CT2704" s="1" t="s">
        <v>206</v>
      </c>
      <c r="CU2704" s="1" t="s">
        <v>617</v>
      </c>
      <c r="CW2704" s="1" t="s">
        <v>3538</v>
      </c>
      <c r="CX2704" s="1" t="s">
        <v>206</v>
      </c>
      <c r="CY2704" s="1" t="s">
        <v>210</v>
      </c>
      <c r="DA2704" s="1" t="s">
        <v>200</v>
      </c>
      <c r="DC2704" s="1" t="s">
        <v>481</v>
      </c>
      <c r="DD2704" s="1" t="s">
        <v>1838</v>
      </c>
      <c r="DE2704" s="1" t="s">
        <v>273</v>
      </c>
      <c r="DF2704" s="1" t="s">
        <v>219</v>
      </c>
      <c r="DG2704" s="1" t="s">
        <v>5669</v>
      </c>
      <c r="DH2704" s="1" t="s">
        <v>220</v>
      </c>
      <c r="DJ2704" s="1" t="s">
        <v>222</v>
      </c>
      <c r="DL2704" s="1" t="s">
        <v>223</v>
      </c>
      <c r="DM2704" s="1" t="s">
        <v>338</v>
      </c>
      <c r="DN2704" s="1" t="s">
        <v>548</v>
      </c>
      <c r="DO2704" s="1" t="s">
        <v>6733</v>
      </c>
      <c r="DP2704" s="1" t="s">
        <v>276</v>
      </c>
      <c r="DQ2704" s="1" t="s">
        <v>228</v>
      </c>
      <c r="DR2704" s="1" t="s">
        <v>4273</v>
      </c>
      <c r="DS2704" s="1" t="s">
        <v>230</v>
      </c>
      <c r="DV2704" s="1" t="s">
        <v>7291</v>
      </c>
      <c r="DW2704" s="1" t="s">
        <v>233</v>
      </c>
      <c r="DX2704" s="1" t="s">
        <v>234</v>
      </c>
      <c r="EA2704" s="1" t="s">
        <v>344</v>
      </c>
      <c r="EC2704" s="1" t="s">
        <v>237</v>
      </c>
      <c r="EG2704" s="1" t="s">
        <v>450</v>
      </c>
      <c r="EH2704" s="1" t="s">
        <v>494</v>
      </c>
      <c r="EL2704" s="1" t="s">
        <v>453</v>
      </c>
      <c r="EM2704" s="1" t="s">
        <v>209</v>
      </c>
      <c r="EN2704" s="1" t="s">
        <v>210</v>
      </c>
      <c r="EP2704" s="1" t="s">
        <v>497</v>
      </c>
      <c r="EQ2704" s="1" t="s">
        <v>206</v>
      </c>
      <c r="ER2704" s="1" t="s">
        <v>210</v>
      </c>
      <c r="EU2704" s="1" t="s">
        <v>238</v>
      </c>
      <c r="EY2704" s="1" t="s">
        <v>238</v>
      </c>
      <c r="FC2704" s="1" t="s">
        <v>238</v>
      </c>
      <c r="FF2704" s="1" t="s">
        <v>239</v>
      </c>
      <c r="FG2704" s="1" t="s">
        <v>192</v>
      </c>
      <c r="FH2704" s="1" t="s">
        <v>192</v>
      </c>
      <c r="FJ2704" s="1" t="s">
        <v>799</v>
      </c>
      <c r="FK2704" s="1" t="s">
        <v>348</v>
      </c>
      <c r="FL2704" s="1" t="s">
        <v>562</v>
      </c>
      <c r="FM2704" s="1">
        <v>15694.0</v>
      </c>
      <c r="FN2704" s="1" t="s">
        <v>3145</v>
      </c>
      <c r="FO2704" s="1" t="s">
        <v>13106</v>
      </c>
      <c r="FP2704" s="1">
        <v>137983.0</v>
      </c>
      <c r="FQ2704" s="1" t="s">
        <v>13107</v>
      </c>
      <c r="FS2704" s="1" t="s">
        <v>13108</v>
      </c>
      <c r="FU2704" s="1" t="s">
        <v>4733</v>
      </c>
      <c r="FV2704" s="1" t="s">
        <v>200</v>
      </c>
      <c r="FW2704" s="1" t="s">
        <v>290</v>
      </c>
      <c r="FZ2704" s="1" t="s">
        <v>229</v>
      </c>
      <c r="GA2704" s="1" t="s">
        <v>291</v>
      </c>
      <c r="GB2704" s="2">
        <v>42090.0</v>
      </c>
    </row>
    <row r="2705">
      <c r="A2705" s="1">
        <v>1175000.0</v>
      </c>
      <c r="B2705" s="1" t="s">
        <v>185</v>
      </c>
      <c r="C2705" s="1" t="str">
        <f>"08834278"</f>
        <v>08834278</v>
      </c>
      <c r="D2705" s="1" t="s">
        <v>186</v>
      </c>
      <c r="F2705" s="1" t="str">
        <f>"8007"</f>
        <v>8007</v>
      </c>
      <c r="G2705" s="2">
        <v>42044.0</v>
      </c>
      <c r="H2705" s="1">
        <v>1295000.0</v>
      </c>
      <c r="I2705" s="1">
        <v>145.0</v>
      </c>
      <c r="J2705" s="1">
        <v>1295000.0</v>
      </c>
      <c r="K2705" s="2">
        <v>42061.0</v>
      </c>
      <c r="L2705" s="1">
        <v>18.0</v>
      </c>
      <c r="M2705" s="2">
        <v>42061.0</v>
      </c>
      <c r="N2705" s="1" t="s">
        <v>187</v>
      </c>
      <c r="O2705" s="2">
        <v>42103.0</v>
      </c>
      <c r="P2705" s="1">
        <v>853944.0</v>
      </c>
      <c r="Q2705" s="1">
        <v>10900.0</v>
      </c>
      <c r="S2705" s="1">
        <v>1538.0</v>
      </c>
      <c r="T2705" s="1" t="s">
        <v>3495</v>
      </c>
      <c r="U2705" s="1" t="s">
        <v>320</v>
      </c>
      <c r="V2705" s="1" t="s">
        <v>190</v>
      </c>
      <c r="W2705" s="1">
        <v>60614.0</v>
      </c>
      <c r="Y2705" s="1" t="s">
        <v>23979</v>
      </c>
      <c r="Z2705" s="1">
        <v>2012.0</v>
      </c>
      <c r="AA2705" s="1" t="s">
        <v>200</v>
      </c>
      <c r="AB2705" s="1" t="s">
        <v>193</v>
      </c>
      <c r="AD2705" s="1" t="s">
        <v>194</v>
      </c>
      <c r="AE2705" s="1" t="s">
        <v>195</v>
      </c>
      <c r="AF2705" s="1" t="s">
        <v>534</v>
      </c>
      <c r="AH2705" s="1" t="s">
        <v>12597</v>
      </c>
      <c r="AK2705" s="1">
        <v>9.0</v>
      </c>
      <c r="AL2705" s="1">
        <v>4.0</v>
      </c>
      <c r="AM2705" s="1">
        <v>4.0</v>
      </c>
      <c r="AN2705" s="1">
        <v>2.0</v>
      </c>
      <c r="AO2705" s="1" t="s">
        <v>198</v>
      </c>
      <c r="AQ2705" s="1" t="s">
        <v>229</v>
      </c>
      <c r="AR2705" s="1" t="s">
        <v>200</v>
      </c>
      <c r="AS2705" s="1" t="s">
        <v>199</v>
      </c>
      <c r="AT2705" s="1">
        <v>2.0</v>
      </c>
      <c r="AV2705" s="1" t="s">
        <v>200</v>
      </c>
      <c r="AW2705" s="1">
        <v>11782.95</v>
      </c>
      <c r="AX2705" s="1">
        <v>2013.0</v>
      </c>
      <c r="AZ2705" s="1" t="s">
        <v>200</v>
      </c>
      <c r="BA2705" s="1" t="str">
        <f>"14293170490000"</f>
        <v>14293170490000</v>
      </c>
      <c r="BC2705" s="1">
        <v>3200.0</v>
      </c>
      <c r="BD2705" s="1">
        <v>1175000.0</v>
      </c>
      <c r="BE2705" s="2">
        <v>42044.0</v>
      </c>
      <c r="BF2705" s="2" t="s">
        <v>23980</v>
      </c>
      <c r="BH2705" s="1">
        <v>0.0</v>
      </c>
      <c r="BK2705" s="1" t="s">
        <v>204</v>
      </c>
      <c r="BL2705" s="1" t="str">
        <f>"2432"</f>
        <v>2432</v>
      </c>
      <c r="BM2705" s="1" t="str">
        <f t="shared" si="1763"/>
        <v>0</v>
      </c>
      <c r="BN2705" s="1">
        <v>1538.0</v>
      </c>
      <c r="BO2705" s="1">
        <v>0.0</v>
      </c>
      <c r="BQ2705" s="1">
        <v>299.0</v>
      </c>
      <c r="BR2705" s="1">
        <v>299.0</v>
      </c>
      <c r="BS2705" s="1">
        <v>299.0</v>
      </c>
      <c r="BU2705" s="1" t="s">
        <v>2181</v>
      </c>
      <c r="BV2705" s="1" t="s">
        <v>206</v>
      </c>
      <c r="BW2705" s="1" t="s">
        <v>207</v>
      </c>
      <c r="BX2705" s="1" t="s">
        <v>239</v>
      </c>
      <c r="BY2705" s="1" t="s">
        <v>1044</v>
      </c>
      <c r="BZ2705" s="1" t="s">
        <v>391</v>
      </c>
      <c r="CC2705" s="1" t="s">
        <v>542</v>
      </c>
      <c r="CD2705" s="1" t="s">
        <v>206</v>
      </c>
      <c r="CE2705" s="1" t="s">
        <v>207</v>
      </c>
      <c r="CF2705" s="1" t="s">
        <v>239</v>
      </c>
      <c r="CG2705" s="1" t="s">
        <v>363</v>
      </c>
      <c r="CH2705" s="1" t="s">
        <v>391</v>
      </c>
      <c r="CJ2705" s="1" t="s">
        <v>239</v>
      </c>
      <c r="CK2705" s="1" t="s">
        <v>363</v>
      </c>
      <c r="CL2705" s="1" t="s">
        <v>391</v>
      </c>
      <c r="CN2705" s="1" t="s">
        <v>239</v>
      </c>
      <c r="CO2705" s="1" t="s">
        <v>215</v>
      </c>
      <c r="CP2705" s="1" t="s">
        <v>209</v>
      </c>
      <c r="CS2705" s="1" t="s">
        <v>5266</v>
      </c>
      <c r="CT2705" s="1" t="s">
        <v>206</v>
      </c>
      <c r="CU2705" s="1" t="s">
        <v>207</v>
      </c>
      <c r="CV2705" s="1" t="s">
        <v>239</v>
      </c>
      <c r="CW2705" s="1" t="s">
        <v>6841</v>
      </c>
      <c r="CX2705" s="1" t="s">
        <v>209</v>
      </c>
      <c r="CY2705" s="1" t="s">
        <v>207</v>
      </c>
      <c r="CZ2705" s="1" t="s">
        <v>239</v>
      </c>
      <c r="DA2705" s="1" t="s">
        <v>200</v>
      </c>
      <c r="DC2705" s="1" t="s">
        <v>1046</v>
      </c>
      <c r="DE2705" s="1" t="s">
        <v>218</v>
      </c>
      <c r="DF2705" s="1" t="s">
        <v>745</v>
      </c>
      <c r="DH2705" s="1" t="s">
        <v>365</v>
      </c>
      <c r="DJ2705" s="1" t="s">
        <v>222</v>
      </c>
      <c r="DL2705" s="1" t="s">
        <v>229</v>
      </c>
      <c r="DM2705" s="1" t="s">
        <v>229</v>
      </c>
      <c r="DN2705" s="1" t="s">
        <v>8363</v>
      </c>
      <c r="DO2705" s="1" t="s">
        <v>549</v>
      </c>
      <c r="DP2705" s="1" t="s">
        <v>276</v>
      </c>
      <c r="DQ2705" s="1" t="s">
        <v>718</v>
      </c>
      <c r="DR2705" s="1" t="s">
        <v>229</v>
      </c>
      <c r="DU2705" s="1" t="s">
        <v>23981</v>
      </c>
      <c r="DV2705" s="1" t="s">
        <v>598</v>
      </c>
      <c r="DW2705" s="1" t="s">
        <v>1026</v>
      </c>
      <c r="DX2705" s="1" t="s">
        <v>234</v>
      </c>
      <c r="DY2705" s="1" t="s">
        <v>2875</v>
      </c>
      <c r="DZ2705" s="1" t="s">
        <v>22389</v>
      </c>
      <c r="EA2705" s="1" t="s">
        <v>2466</v>
      </c>
      <c r="EC2705" s="1" t="s">
        <v>406</v>
      </c>
      <c r="ED2705" s="1" t="s">
        <v>555</v>
      </c>
      <c r="EG2705" s="1" t="s">
        <v>598</v>
      </c>
      <c r="EL2705" s="1" t="s">
        <v>663</v>
      </c>
      <c r="EM2705" s="1" t="s">
        <v>209</v>
      </c>
      <c r="EN2705" s="1" t="s">
        <v>207</v>
      </c>
      <c r="EQ2705" s="1" t="s">
        <v>238</v>
      </c>
      <c r="EU2705" s="1" t="s">
        <v>238</v>
      </c>
      <c r="EY2705" s="1" t="s">
        <v>238</v>
      </c>
      <c r="FC2705" s="1" t="s">
        <v>238</v>
      </c>
      <c r="FF2705" s="1" t="s">
        <v>239</v>
      </c>
      <c r="FG2705" s="1" t="s">
        <v>192</v>
      </c>
      <c r="FH2705" s="1" t="s">
        <v>192</v>
      </c>
      <c r="FJ2705" s="1" t="s">
        <v>23982</v>
      </c>
      <c r="FK2705" s="1" t="s">
        <v>229</v>
      </c>
      <c r="FL2705" s="1" t="s">
        <v>23983</v>
      </c>
      <c r="FM2705" s="1">
        <v>10643.0</v>
      </c>
      <c r="FN2705" s="1" t="s">
        <v>23984</v>
      </c>
      <c r="FO2705" s="1" t="s">
        <v>23985</v>
      </c>
      <c r="FP2705" s="1">
        <v>126337.0</v>
      </c>
      <c r="FQ2705" s="1" t="s">
        <v>23984</v>
      </c>
      <c r="FU2705" s="1" t="s">
        <v>23986</v>
      </c>
      <c r="FV2705" s="1" t="s">
        <v>200</v>
      </c>
      <c r="FW2705" s="1" t="s">
        <v>530</v>
      </c>
      <c r="FX2705" s="1" t="s">
        <v>246</v>
      </c>
      <c r="FZ2705" s="1" t="s">
        <v>229</v>
      </c>
      <c r="GA2705" s="1" t="s">
        <v>291</v>
      </c>
      <c r="GB2705" s="2">
        <v>42104.0</v>
      </c>
      <c r="GC2705" s="1" t="s">
        <v>23987</v>
      </c>
    </row>
    <row r="2706">
      <c r="A2706" s="1">
        <v>340000.0</v>
      </c>
      <c r="B2706" s="1" t="s">
        <v>185</v>
      </c>
      <c r="C2706" s="1" t="str">
        <f>"08832007"</f>
        <v>08832007</v>
      </c>
      <c r="D2706" s="1" t="s">
        <v>186</v>
      </c>
      <c r="F2706" s="1" t="str">
        <f>"8011"</f>
        <v>8011</v>
      </c>
      <c r="G2706" s="2">
        <v>42040.0</v>
      </c>
      <c r="H2706" s="1">
        <v>349900.0</v>
      </c>
      <c r="I2706" s="1">
        <v>127.0</v>
      </c>
      <c r="J2706" s="1">
        <v>349900.0</v>
      </c>
      <c r="K2706" s="2">
        <v>42086.0</v>
      </c>
      <c r="L2706" s="1">
        <v>47.0</v>
      </c>
      <c r="M2706" s="2">
        <v>42086.0</v>
      </c>
      <c r="N2706" s="1" t="s">
        <v>187</v>
      </c>
      <c r="O2706" s="2">
        <v>42128.0</v>
      </c>
      <c r="P2706" s="1">
        <v>161522.0</v>
      </c>
      <c r="Q2706" s="1">
        <v>10274.0</v>
      </c>
      <c r="S2706" s="1">
        <v>5212.0</v>
      </c>
      <c r="T2706" s="1" t="s">
        <v>23988</v>
      </c>
      <c r="U2706" s="1" t="s">
        <v>189</v>
      </c>
      <c r="V2706" s="1" t="s">
        <v>190</v>
      </c>
      <c r="W2706" s="1">
        <v>60630.0</v>
      </c>
      <c r="Y2706" s="1" t="s">
        <v>23989</v>
      </c>
      <c r="Z2706" s="1">
        <v>1921.0</v>
      </c>
      <c r="AA2706" s="1" t="s">
        <v>192</v>
      </c>
      <c r="AB2706" s="1" t="s">
        <v>193</v>
      </c>
      <c r="AD2706" s="1" t="s">
        <v>194</v>
      </c>
      <c r="AE2706" s="1" t="s">
        <v>195</v>
      </c>
      <c r="AF2706" s="1" t="s">
        <v>196</v>
      </c>
      <c r="AG2706" s="1" t="s">
        <v>778</v>
      </c>
      <c r="AH2706" s="1" t="s">
        <v>23990</v>
      </c>
      <c r="AI2706" s="1">
        <v>0.0824</v>
      </c>
      <c r="AK2706" s="1">
        <v>13.0</v>
      </c>
      <c r="AL2706" s="1">
        <v>4.0</v>
      </c>
      <c r="AM2706" s="1">
        <v>3.0</v>
      </c>
      <c r="AN2706" s="1">
        <v>0.0</v>
      </c>
      <c r="AO2706" s="1" t="s">
        <v>229</v>
      </c>
      <c r="AP2706" s="1">
        <v>0.0</v>
      </c>
      <c r="AQ2706" s="1" t="s">
        <v>198</v>
      </c>
      <c r="AR2706" s="1" t="s">
        <v>192</v>
      </c>
      <c r="AS2706" s="1" t="s">
        <v>199</v>
      </c>
      <c r="AT2706" s="1">
        <v>2.0</v>
      </c>
      <c r="AV2706" s="1" t="s">
        <v>200</v>
      </c>
      <c r="AW2706" s="1">
        <v>4751.51</v>
      </c>
      <c r="AX2706" s="1">
        <v>2013.0</v>
      </c>
      <c r="AY2706" s="1" t="s">
        <v>229</v>
      </c>
      <c r="AZ2706" s="1" t="s">
        <v>200</v>
      </c>
      <c r="BA2706" s="1" t="str">
        <f>"13091160360000"</f>
        <v>13091160360000</v>
      </c>
      <c r="BC2706" s="1">
        <v>1744.0</v>
      </c>
      <c r="BD2706" s="1">
        <v>340000.0</v>
      </c>
      <c r="BE2706" s="2">
        <v>42040.0</v>
      </c>
      <c r="BF2706" s="2" t="s">
        <v>23991</v>
      </c>
      <c r="BG2706" s="1" t="s">
        <v>8222</v>
      </c>
      <c r="BH2706" s="1">
        <v>0.0</v>
      </c>
      <c r="BI2706" s="1" t="s">
        <v>8222</v>
      </c>
      <c r="BJ2706" s="1" t="s">
        <v>1222</v>
      </c>
      <c r="BK2706" s="1" t="s">
        <v>204</v>
      </c>
      <c r="BL2706" s="1" t="str">
        <f>"5212"</f>
        <v>5212</v>
      </c>
      <c r="BM2706" s="1" t="str">
        <f t="shared" si="1763"/>
        <v>0</v>
      </c>
      <c r="BN2706" s="1">
        <v>5400.0</v>
      </c>
      <c r="BO2706" s="1">
        <v>0.0</v>
      </c>
      <c r="BQ2706" s="1">
        <v>299.0</v>
      </c>
      <c r="BR2706" s="1">
        <v>299.0</v>
      </c>
      <c r="BS2706" s="1">
        <v>299.0</v>
      </c>
      <c r="BU2706" s="1" t="s">
        <v>205</v>
      </c>
      <c r="BV2706" s="1" t="s">
        <v>206</v>
      </c>
      <c r="BW2706" s="1" t="s">
        <v>207</v>
      </c>
      <c r="BX2706" s="1" t="s">
        <v>239</v>
      </c>
      <c r="BY2706" s="1" t="s">
        <v>264</v>
      </c>
      <c r="BZ2706" s="1" t="s">
        <v>206</v>
      </c>
      <c r="CA2706" s="1" t="s">
        <v>210</v>
      </c>
      <c r="CB2706" s="1" t="s">
        <v>239</v>
      </c>
      <c r="CC2706" s="1" t="s">
        <v>433</v>
      </c>
      <c r="CD2706" s="1" t="s">
        <v>206</v>
      </c>
      <c r="CE2706" s="1" t="s">
        <v>207</v>
      </c>
      <c r="CF2706" s="1" t="s">
        <v>239</v>
      </c>
      <c r="CG2706" s="1" t="s">
        <v>264</v>
      </c>
      <c r="CH2706" s="1" t="s">
        <v>206</v>
      </c>
      <c r="CI2706" s="1" t="s">
        <v>210</v>
      </c>
      <c r="CJ2706" s="1" t="s">
        <v>239</v>
      </c>
      <c r="CK2706" s="1" t="s">
        <v>266</v>
      </c>
      <c r="CL2706" s="1" t="s">
        <v>209</v>
      </c>
      <c r="CM2706" s="1" t="s">
        <v>210</v>
      </c>
      <c r="CN2706" s="1" t="s">
        <v>239</v>
      </c>
      <c r="CO2706" s="1" t="s">
        <v>1745</v>
      </c>
      <c r="CP2706" s="1" t="s">
        <v>209</v>
      </c>
      <c r="CQ2706" s="1" t="s">
        <v>210</v>
      </c>
      <c r="CR2706" s="1" t="s">
        <v>239</v>
      </c>
      <c r="CS2706" s="1" t="s">
        <v>332</v>
      </c>
      <c r="CT2706" s="1" t="s">
        <v>206</v>
      </c>
      <c r="CU2706" s="1" t="s">
        <v>268</v>
      </c>
      <c r="CV2706" s="1" t="s">
        <v>239</v>
      </c>
      <c r="CX2706" s="1" t="s">
        <v>204</v>
      </c>
      <c r="DA2706" s="1" t="s">
        <v>200</v>
      </c>
      <c r="DC2706" s="1" t="s">
        <v>216</v>
      </c>
      <c r="DD2706" s="1" t="s">
        <v>518</v>
      </c>
      <c r="DE2706" s="1" t="s">
        <v>273</v>
      </c>
      <c r="DF2706" s="1" t="s">
        <v>219</v>
      </c>
      <c r="DG2706" s="1" t="s">
        <v>337</v>
      </c>
      <c r="DH2706" s="1" t="s">
        <v>365</v>
      </c>
      <c r="DI2706" s="1" t="s">
        <v>9769</v>
      </c>
      <c r="DJ2706" s="1" t="s">
        <v>222</v>
      </c>
      <c r="DL2706" s="1" t="s">
        <v>224</v>
      </c>
      <c r="DM2706" s="1" t="s">
        <v>1464</v>
      </c>
      <c r="DO2706" s="1" t="s">
        <v>549</v>
      </c>
      <c r="DP2706" s="1" t="s">
        <v>340</v>
      </c>
      <c r="DQ2706" s="1" t="s">
        <v>228</v>
      </c>
      <c r="DR2706" s="1" t="s">
        <v>229</v>
      </c>
      <c r="DS2706" s="1" t="s">
        <v>277</v>
      </c>
      <c r="DV2706" s="1" t="s">
        <v>23992</v>
      </c>
      <c r="DW2706" s="1" t="s">
        <v>279</v>
      </c>
      <c r="DX2706" s="1" t="s">
        <v>234</v>
      </c>
      <c r="DY2706" s="1" t="s">
        <v>2579</v>
      </c>
      <c r="DZ2706" s="1" t="s">
        <v>343</v>
      </c>
      <c r="EA2706" s="1" t="s">
        <v>644</v>
      </c>
      <c r="EC2706" s="1" t="s">
        <v>645</v>
      </c>
      <c r="EG2706" s="1" t="s">
        <v>374</v>
      </c>
      <c r="EH2706" s="1" t="s">
        <v>588</v>
      </c>
      <c r="EI2706" s="1" t="s">
        <v>1407</v>
      </c>
      <c r="EJ2706" s="1" t="s">
        <v>494</v>
      </c>
      <c r="EK2706" s="1" t="s">
        <v>1121</v>
      </c>
      <c r="EL2706" s="1" t="s">
        <v>1774</v>
      </c>
      <c r="EM2706" s="1" t="s">
        <v>206</v>
      </c>
      <c r="EP2706" s="1" t="s">
        <v>1774</v>
      </c>
      <c r="EQ2706" s="1" t="s">
        <v>209</v>
      </c>
      <c r="ER2706" s="1" t="s">
        <v>210</v>
      </c>
      <c r="ET2706" s="1" t="s">
        <v>584</v>
      </c>
      <c r="EU2706" s="1" t="s">
        <v>209</v>
      </c>
      <c r="EV2706" s="1" t="s">
        <v>268</v>
      </c>
      <c r="EW2706" s="1" t="s">
        <v>239</v>
      </c>
      <c r="EX2706" s="1" t="s">
        <v>4153</v>
      </c>
      <c r="EY2706" s="1" t="s">
        <v>209</v>
      </c>
      <c r="EZ2706" s="1" t="s">
        <v>1790</v>
      </c>
      <c r="FB2706" s="1" t="s">
        <v>584</v>
      </c>
      <c r="FC2706" s="1" t="s">
        <v>209</v>
      </c>
      <c r="FD2706" s="1" t="s">
        <v>210</v>
      </c>
      <c r="FF2706" s="1" t="s">
        <v>239</v>
      </c>
      <c r="FG2706" s="1" t="s">
        <v>192</v>
      </c>
      <c r="FH2706" s="1" t="s">
        <v>192</v>
      </c>
      <c r="FJ2706" s="1" t="s">
        <v>561</v>
      </c>
      <c r="FK2706" s="1" t="s">
        <v>229</v>
      </c>
      <c r="FL2706" s="1" t="s">
        <v>413</v>
      </c>
      <c r="FM2706" s="1">
        <v>13691.0</v>
      </c>
      <c r="FN2706" s="1" t="s">
        <v>414</v>
      </c>
      <c r="FO2706" s="1" t="s">
        <v>23993</v>
      </c>
      <c r="FP2706" s="1">
        <v>124346.0</v>
      </c>
      <c r="FQ2706" s="1" t="s">
        <v>23994</v>
      </c>
      <c r="FU2706" s="1" t="s">
        <v>1438</v>
      </c>
      <c r="FV2706" s="1" t="s">
        <v>200</v>
      </c>
      <c r="FW2706" s="1" t="s">
        <v>654</v>
      </c>
      <c r="FX2706" s="1" t="s">
        <v>238</v>
      </c>
      <c r="FZ2706" s="1" t="s">
        <v>229</v>
      </c>
      <c r="GA2706" s="1" t="s">
        <v>291</v>
      </c>
      <c r="GB2706" s="2">
        <v>42128.0</v>
      </c>
      <c r="GC2706" s="1" t="s">
        <v>23995</v>
      </c>
    </row>
    <row r="2707">
      <c r="A2707" s="1">
        <v>217500.0</v>
      </c>
      <c r="B2707" s="1" t="s">
        <v>185</v>
      </c>
      <c r="C2707" s="1" t="str">
        <f>"08830801"</f>
        <v>08830801</v>
      </c>
      <c r="D2707" s="1" t="s">
        <v>186</v>
      </c>
      <c r="F2707" s="1" t="str">
        <f>"8062"</f>
        <v>8062</v>
      </c>
      <c r="G2707" s="2">
        <v>42039.0</v>
      </c>
      <c r="H2707" s="1">
        <v>219900.0</v>
      </c>
      <c r="I2707" s="1">
        <v>7.0</v>
      </c>
      <c r="J2707" s="1">
        <v>219900.0</v>
      </c>
      <c r="K2707" s="2">
        <v>42045.0</v>
      </c>
      <c r="L2707" s="1">
        <v>7.0</v>
      </c>
      <c r="M2707" s="2">
        <v>42045.0</v>
      </c>
      <c r="N2707" s="1" t="s">
        <v>356</v>
      </c>
      <c r="O2707" s="2">
        <v>42081.0</v>
      </c>
      <c r="P2707" s="1">
        <v>164418.0</v>
      </c>
      <c r="Q2707" s="1">
        <v>85239.0</v>
      </c>
      <c r="S2707" s="1">
        <v>5001.0</v>
      </c>
      <c r="T2707" s="1" t="s">
        <v>5893</v>
      </c>
      <c r="U2707" s="1" t="s">
        <v>189</v>
      </c>
      <c r="V2707" s="1" t="s">
        <v>190</v>
      </c>
      <c r="W2707" s="1">
        <v>60632.0</v>
      </c>
      <c r="Y2707" s="1" t="s">
        <v>23996</v>
      </c>
      <c r="Z2707" s="1">
        <v>1944.0</v>
      </c>
      <c r="AA2707" s="1" t="s">
        <v>192</v>
      </c>
      <c r="AB2707" s="1" t="s">
        <v>193</v>
      </c>
      <c r="AD2707" s="1" t="s">
        <v>194</v>
      </c>
      <c r="AE2707" s="1" t="s">
        <v>195</v>
      </c>
      <c r="AF2707" s="1" t="s">
        <v>659</v>
      </c>
      <c r="AH2707" s="1" t="s">
        <v>1501</v>
      </c>
      <c r="AI2707" s="1">
        <v>0.0868</v>
      </c>
      <c r="AK2707" s="1">
        <v>8.0</v>
      </c>
      <c r="AL2707" s="1">
        <v>3.0</v>
      </c>
      <c r="AM2707" s="1">
        <v>3.0</v>
      </c>
      <c r="AN2707" s="1">
        <v>0.0</v>
      </c>
      <c r="AO2707" s="1" t="s">
        <v>229</v>
      </c>
      <c r="AQ2707" s="1" t="s">
        <v>327</v>
      </c>
      <c r="AR2707" s="1" t="s">
        <v>192</v>
      </c>
      <c r="AS2707" s="1" t="s">
        <v>199</v>
      </c>
      <c r="AT2707" s="1">
        <v>2.0</v>
      </c>
      <c r="AV2707" s="1" t="s">
        <v>200</v>
      </c>
      <c r="AW2707" s="1">
        <v>2118.04</v>
      </c>
      <c r="AX2707" s="1">
        <v>2012.0</v>
      </c>
      <c r="AZ2707" s="1" t="s">
        <v>200</v>
      </c>
      <c r="BA2707" s="1" t="str">
        <f>"19111190020000"</f>
        <v>19111190020000</v>
      </c>
      <c r="BC2707" s="1">
        <v>2000.0</v>
      </c>
      <c r="BD2707" s="1">
        <v>217500.0</v>
      </c>
      <c r="BE2707" s="2">
        <v>42039.0</v>
      </c>
      <c r="BF2707" s="1" t="s">
        <v>23997</v>
      </c>
      <c r="BH2707" s="1">
        <v>0.0</v>
      </c>
      <c r="BK2707" s="1" t="s">
        <v>204</v>
      </c>
      <c r="BL2707" s="1" t="str">
        <f t="shared" ref="BL2707:BM2707" si="1764">"0"</f>
        <v>0</v>
      </c>
      <c r="BM2707" s="1" t="str">
        <f t="shared" si="1764"/>
        <v>0</v>
      </c>
      <c r="BN2707" s="1">
        <v>3800.0</v>
      </c>
      <c r="BO2707" s="1">
        <v>5001.0</v>
      </c>
      <c r="BQ2707" s="1">
        <v>299.0</v>
      </c>
      <c r="BR2707" s="1">
        <v>299.0</v>
      </c>
      <c r="BS2707" s="1">
        <v>299.0</v>
      </c>
      <c r="BU2707" s="1" t="s">
        <v>260</v>
      </c>
      <c r="BV2707" s="1" t="s">
        <v>206</v>
      </c>
      <c r="BW2707" s="1" t="s">
        <v>207</v>
      </c>
      <c r="BY2707" s="1" t="s">
        <v>300</v>
      </c>
      <c r="BZ2707" s="1" t="s">
        <v>209</v>
      </c>
      <c r="CA2707" s="1" t="s">
        <v>207</v>
      </c>
      <c r="CC2707" s="1" t="s">
        <v>542</v>
      </c>
      <c r="CD2707" s="1" t="s">
        <v>206</v>
      </c>
      <c r="CE2707" s="1" t="s">
        <v>207</v>
      </c>
      <c r="CG2707" s="1" t="s">
        <v>263</v>
      </c>
      <c r="CH2707" s="1" t="s">
        <v>209</v>
      </c>
      <c r="CI2707" s="1" t="s">
        <v>207</v>
      </c>
      <c r="CK2707" s="1" t="s">
        <v>269</v>
      </c>
      <c r="CL2707" s="1" t="s">
        <v>206</v>
      </c>
      <c r="CM2707" s="1" t="s">
        <v>207</v>
      </c>
      <c r="CO2707" s="1" t="s">
        <v>363</v>
      </c>
      <c r="CP2707" s="1" t="s">
        <v>42</v>
      </c>
      <c r="CQ2707" s="1" t="s">
        <v>210</v>
      </c>
      <c r="CS2707" s="1" t="s">
        <v>269</v>
      </c>
      <c r="CT2707" s="1" t="s">
        <v>206</v>
      </c>
      <c r="CU2707" s="1" t="s">
        <v>268</v>
      </c>
      <c r="CW2707" s="1" t="s">
        <v>1483</v>
      </c>
      <c r="CX2707" s="1" t="s">
        <v>42</v>
      </c>
      <c r="CY2707" s="1" t="s">
        <v>210</v>
      </c>
      <c r="DA2707" s="1" t="s">
        <v>200</v>
      </c>
      <c r="DC2707" s="1" t="s">
        <v>1399</v>
      </c>
      <c r="DE2707" s="1" t="s">
        <v>273</v>
      </c>
      <c r="DF2707" s="1" t="s">
        <v>219</v>
      </c>
      <c r="DH2707" s="1" t="s">
        <v>365</v>
      </c>
      <c r="DJ2707" s="1" t="s">
        <v>23998</v>
      </c>
      <c r="DL2707" s="1" t="s">
        <v>224</v>
      </c>
      <c r="DM2707" s="1" t="s">
        <v>229</v>
      </c>
      <c r="DQ2707" s="1" t="s">
        <v>794</v>
      </c>
      <c r="DR2707" s="1" t="s">
        <v>229</v>
      </c>
      <c r="DV2707" s="1" t="s">
        <v>232</v>
      </c>
      <c r="DW2707" s="1" t="s">
        <v>279</v>
      </c>
      <c r="DX2707" s="1" t="s">
        <v>234</v>
      </c>
      <c r="DY2707" s="1" t="s">
        <v>6595</v>
      </c>
      <c r="EA2707" s="1" t="s">
        <v>1075</v>
      </c>
      <c r="EC2707" s="1" t="s">
        <v>237</v>
      </c>
      <c r="EM2707" s="1" t="s">
        <v>238</v>
      </c>
      <c r="EQ2707" s="1" t="s">
        <v>238</v>
      </c>
      <c r="EU2707" s="1" t="s">
        <v>238</v>
      </c>
      <c r="EY2707" s="1" t="s">
        <v>238</v>
      </c>
      <c r="FC2707" s="1" t="s">
        <v>238</v>
      </c>
      <c r="FF2707" s="1" t="s">
        <v>239</v>
      </c>
      <c r="FG2707" s="1" t="s">
        <v>192</v>
      </c>
      <c r="FH2707" s="1" t="s">
        <v>192</v>
      </c>
      <c r="FJ2707" s="1" t="s">
        <v>524</v>
      </c>
      <c r="FK2707" s="1" t="s">
        <v>557</v>
      </c>
      <c r="FL2707" s="1" t="s">
        <v>3358</v>
      </c>
      <c r="FM2707" s="1">
        <v>84818.0</v>
      </c>
      <c r="FN2707" s="1" t="s">
        <v>3359</v>
      </c>
      <c r="FO2707" s="1" t="s">
        <v>23999</v>
      </c>
      <c r="FP2707" s="1">
        <v>113923.0</v>
      </c>
      <c r="FQ2707" s="1" t="s">
        <v>24000</v>
      </c>
      <c r="FU2707" s="1" t="s">
        <v>24001</v>
      </c>
      <c r="FV2707" s="1" t="s">
        <v>200</v>
      </c>
      <c r="FW2707" s="1" t="s">
        <v>461</v>
      </c>
      <c r="FX2707" s="1" t="s">
        <v>655</v>
      </c>
      <c r="FZ2707" s="1" t="s">
        <v>229</v>
      </c>
      <c r="GA2707" s="1" t="s">
        <v>291</v>
      </c>
      <c r="GB2707" s="2">
        <v>42090.0</v>
      </c>
      <c r="GC2707" s="1" t="s">
        <v>24002</v>
      </c>
    </row>
    <row r="2708">
      <c r="A2708" s="1">
        <v>600000.0</v>
      </c>
      <c r="B2708" s="1" t="s">
        <v>185</v>
      </c>
      <c r="C2708" s="1" t="str">
        <f>"08838993"</f>
        <v>08838993</v>
      </c>
      <c r="D2708" s="1" t="s">
        <v>186</v>
      </c>
      <c r="F2708" s="1" t="str">
        <f>"10"</f>
        <v>10</v>
      </c>
      <c r="G2708" s="2">
        <v>42050.0</v>
      </c>
      <c r="H2708" s="1">
        <v>749000.0</v>
      </c>
      <c r="I2708" s="1">
        <v>41.0</v>
      </c>
      <c r="J2708" s="1">
        <v>719000.0</v>
      </c>
      <c r="K2708" s="2">
        <v>42090.0</v>
      </c>
      <c r="L2708" s="1">
        <v>41.0</v>
      </c>
      <c r="M2708" s="2">
        <v>42090.0</v>
      </c>
      <c r="N2708" s="1" t="s">
        <v>187</v>
      </c>
      <c r="O2708" s="2">
        <v>42125.0</v>
      </c>
      <c r="P2708" s="1">
        <v>113059.0</v>
      </c>
      <c r="Q2708" s="1">
        <v>12026.0</v>
      </c>
      <c r="S2708" s="1">
        <v>23566.0</v>
      </c>
      <c r="T2708" s="1" t="s">
        <v>24003</v>
      </c>
      <c r="U2708" s="1" t="s">
        <v>464</v>
      </c>
      <c r="V2708" s="1" t="s">
        <v>2004</v>
      </c>
      <c r="W2708" s="1">
        <v>60010.0</v>
      </c>
      <c r="Y2708" s="1" t="s">
        <v>24004</v>
      </c>
      <c r="Z2708" s="1">
        <v>1976.0</v>
      </c>
      <c r="AA2708" s="1" t="s">
        <v>192</v>
      </c>
      <c r="AB2708" s="1" t="s">
        <v>193</v>
      </c>
      <c r="AC2708" s="1" t="s">
        <v>14877</v>
      </c>
      <c r="AD2708" s="1" t="s">
        <v>2007</v>
      </c>
      <c r="AE2708" s="1" t="s">
        <v>917</v>
      </c>
      <c r="AF2708" s="1" t="s">
        <v>2008</v>
      </c>
      <c r="AG2708" s="1" t="s">
        <v>752</v>
      </c>
      <c r="AH2708" s="1" t="s">
        <v>24005</v>
      </c>
      <c r="AK2708" s="1">
        <v>9.0</v>
      </c>
      <c r="AL2708" s="1">
        <v>4.0</v>
      </c>
      <c r="AM2708" s="1">
        <v>4.0</v>
      </c>
      <c r="AN2708" s="1">
        <v>1.0</v>
      </c>
      <c r="AO2708" s="1" t="s">
        <v>198</v>
      </c>
      <c r="AP2708" s="1">
        <v>2.0</v>
      </c>
      <c r="AQ2708" s="1" t="s">
        <v>951</v>
      </c>
      <c r="AR2708" s="1" t="s">
        <v>192</v>
      </c>
      <c r="AS2708" s="1" t="s">
        <v>199</v>
      </c>
      <c r="AT2708" s="1">
        <v>3.0</v>
      </c>
      <c r="AV2708" s="1" t="s">
        <v>200</v>
      </c>
      <c r="AW2708" s="1">
        <v>9721.0</v>
      </c>
      <c r="AX2708" s="1">
        <v>2013.0</v>
      </c>
      <c r="AY2708" s="1" t="s">
        <v>387</v>
      </c>
      <c r="AZ2708" s="1" t="s">
        <v>200</v>
      </c>
      <c r="BA2708" s="1" t="str">
        <f>"13154010280000"</f>
        <v>13154010280000</v>
      </c>
      <c r="BC2708" s="1">
        <v>4176.0</v>
      </c>
      <c r="BD2708" s="1">
        <v>600000.0</v>
      </c>
      <c r="BE2708" s="2">
        <v>42050.0</v>
      </c>
      <c r="BF2708" s="2" t="s">
        <v>24006</v>
      </c>
      <c r="BG2708" s="1" t="s">
        <v>10354</v>
      </c>
      <c r="BH2708" s="1">
        <v>0.0</v>
      </c>
      <c r="BI2708" s="1" t="s">
        <v>2012</v>
      </c>
      <c r="BJ2708" s="1" t="s">
        <v>1714</v>
      </c>
      <c r="BK2708" s="1" t="s">
        <v>204</v>
      </c>
      <c r="BL2708" s="1" t="str">
        <f>"23"</f>
        <v>23</v>
      </c>
      <c r="BM2708" s="1" t="str">
        <f>"0"</f>
        <v>0</v>
      </c>
      <c r="BN2708" s="1">
        <v>27.0</v>
      </c>
      <c r="BO2708" s="1">
        <v>0.0</v>
      </c>
      <c r="BQ2708" s="1">
        <v>220.0</v>
      </c>
      <c r="BR2708" s="1">
        <v>220.0</v>
      </c>
      <c r="BS2708" s="1">
        <v>220.0</v>
      </c>
      <c r="BU2708" s="1" t="s">
        <v>1244</v>
      </c>
      <c r="BV2708" s="1" t="s">
        <v>206</v>
      </c>
      <c r="BW2708" s="1" t="s">
        <v>207</v>
      </c>
      <c r="BX2708" s="1" t="s">
        <v>476</v>
      </c>
      <c r="BY2708" s="1" t="s">
        <v>715</v>
      </c>
      <c r="BZ2708" s="1" t="s">
        <v>209</v>
      </c>
      <c r="CA2708" s="1" t="s">
        <v>207</v>
      </c>
      <c r="CB2708" s="1" t="s">
        <v>476</v>
      </c>
      <c r="CC2708" s="1" t="s">
        <v>758</v>
      </c>
      <c r="CD2708" s="1" t="s">
        <v>206</v>
      </c>
      <c r="CE2708" s="1" t="s">
        <v>207</v>
      </c>
      <c r="CF2708" s="1" t="s">
        <v>476</v>
      </c>
      <c r="CG2708" s="1" t="s">
        <v>924</v>
      </c>
      <c r="CH2708" s="1" t="s">
        <v>209</v>
      </c>
      <c r="CI2708" s="1" t="s">
        <v>210</v>
      </c>
      <c r="CJ2708" s="1" t="s">
        <v>476</v>
      </c>
      <c r="CK2708" s="1" t="s">
        <v>214</v>
      </c>
      <c r="CL2708" s="1" t="s">
        <v>209</v>
      </c>
      <c r="CM2708" s="1" t="s">
        <v>210</v>
      </c>
      <c r="CN2708" s="1" t="s">
        <v>476</v>
      </c>
      <c r="CO2708" s="1" t="s">
        <v>480</v>
      </c>
      <c r="CP2708" s="1" t="s">
        <v>209</v>
      </c>
      <c r="CQ2708" s="1" t="s">
        <v>210</v>
      </c>
      <c r="CR2708" s="1" t="s">
        <v>476</v>
      </c>
      <c r="CS2708" s="1" t="s">
        <v>3475</v>
      </c>
      <c r="CT2708" s="1" t="s">
        <v>206</v>
      </c>
      <c r="CU2708" s="1" t="s">
        <v>207</v>
      </c>
      <c r="CW2708" s="1" t="s">
        <v>2749</v>
      </c>
      <c r="CX2708" s="1" t="s">
        <v>206</v>
      </c>
      <c r="CY2708" s="1" t="s">
        <v>207</v>
      </c>
      <c r="CZ2708" s="1" t="s">
        <v>229</v>
      </c>
      <c r="DA2708" s="1" t="s">
        <v>200</v>
      </c>
      <c r="DC2708" s="1" t="s">
        <v>395</v>
      </c>
      <c r="DD2708" s="1" t="s">
        <v>518</v>
      </c>
      <c r="DE2708" s="1" t="s">
        <v>273</v>
      </c>
      <c r="DF2708" s="1" t="s">
        <v>219</v>
      </c>
      <c r="DG2708" s="1" t="s">
        <v>20772</v>
      </c>
      <c r="DH2708" s="1" t="s">
        <v>856</v>
      </c>
      <c r="DI2708" s="1" t="s">
        <v>3659</v>
      </c>
      <c r="DJ2708" s="1" t="s">
        <v>24007</v>
      </c>
      <c r="DK2708" s="1" t="s">
        <v>223</v>
      </c>
      <c r="DL2708" s="1" t="s">
        <v>224</v>
      </c>
      <c r="DM2708" s="1" t="s">
        <v>338</v>
      </c>
      <c r="DN2708" s="1" t="s">
        <v>5467</v>
      </c>
      <c r="DO2708" s="1" t="s">
        <v>1556</v>
      </c>
      <c r="DP2708" s="1" t="s">
        <v>340</v>
      </c>
      <c r="DQ2708" s="1" t="s">
        <v>931</v>
      </c>
      <c r="DR2708" s="1" t="s">
        <v>229</v>
      </c>
      <c r="DU2708" s="1" t="s">
        <v>24008</v>
      </c>
      <c r="DV2708" s="1" t="s">
        <v>24009</v>
      </c>
      <c r="DW2708" s="1" t="s">
        <v>370</v>
      </c>
      <c r="DX2708" s="1" t="s">
        <v>234</v>
      </c>
      <c r="DY2708" s="1" t="s">
        <v>16292</v>
      </c>
      <c r="DZ2708" s="1" t="s">
        <v>24010</v>
      </c>
      <c r="EA2708" s="1" t="s">
        <v>447</v>
      </c>
      <c r="EB2708" s="1" t="s">
        <v>767</v>
      </c>
      <c r="EC2708" s="1" t="s">
        <v>237</v>
      </c>
      <c r="ED2708" s="1" t="s">
        <v>407</v>
      </c>
      <c r="EG2708" s="1" t="s">
        <v>450</v>
      </c>
      <c r="EH2708" s="1" t="s">
        <v>1103</v>
      </c>
      <c r="EI2708" s="1" t="s">
        <v>2129</v>
      </c>
      <c r="EL2708" s="1" t="s">
        <v>16948</v>
      </c>
      <c r="EM2708" s="1" t="s">
        <v>1697</v>
      </c>
      <c r="EN2708" s="1" t="s">
        <v>207</v>
      </c>
      <c r="EO2708" s="1" t="s">
        <v>1549</v>
      </c>
      <c r="EP2708" s="1" t="s">
        <v>333</v>
      </c>
      <c r="EQ2708" s="1" t="s">
        <v>1697</v>
      </c>
      <c r="ER2708" s="1" t="s">
        <v>617</v>
      </c>
      <c r="ES2708" s="1" t="s">
        <v>229</v>
      </c>
      <c r="ET2708" s="1" t="s">
        <v>453</v>
      </c>
      <c r="EU2708" s="1" t="s">
        <v>206</v>
      </c>
      <c r="EV2708" s="1" t="s">
        <v>588</v>
      </c>
      <c r="EW2708" s="1" t="s">
        <v>229</v>
      </c>
      <c r="EY2708" s="1" t="s">
        <v>238</v>
      </c>
      <c r="FC2708" s="1" t="s">
        <v>238</v>
      </c>
      <c r="FF2708" s="1" t="s">
        <v>239</v>
      </c>
      <c r="FG2708" s="1" t="s">
        <v>192</v>
      </c>
      <c r="FH2708" s="1" t="s">
        <v>192</v>
      </c>
      <c r="FJ2708" s="1" t="s">
        <v>1123</v>
      </c>
      <c r="FK2708" s="1" t="s">
        <v>229</v>
      </c>
      <c r="FL2708" s="1" t="s">
        <v>1358</v>
      </c>
      <c r="FM2708" s="1">
        <v>24988.0</v>
      </c>
      <c r="FN2708" s="1" t="s">
        <v>11515</v>
      </c>
      <c r="FO2708" s="1" t="s">
        <v>24011</v>
      </c>
      <c r="FP2708" s="1">
        <v>238152.0</v>
      </c>
      <c r="FQ2708" s="1" t="s">
        <v>24012</v>
      </c>
      <c r="FR2708" s="1">
        <v>238149.0</v>
      </c>
      <c r="FU2708" s="1" t="s">
        <v>24013</v>
      </c>
      <c r="FV2708" s="1" t="s">
        <v>200</v>
      </c>
      <c r="FW2708" s="1" t="s">
        <v>290</v>
      </c>
      <c r="FX2708" s="1" t="s">
        <v>238</v>
      </c>
      <c r="FZ2708" s="1" t="s">
        <v>229</v>
      </c>
      <c r="GA2708" s="1" t="s">
        <v>291</v>
      </c>
      <c r="GB2708" s="2">
        <v>42128.0</v>
      </c>
      <c r="GC2708" s="1" t="s">
        <v>24014</v>
      </c>
    </row>
    <row r="2709">
      <c r="A2709" s="1">
        <v>640000.0</v>
      </c>
      <c r="B2709" s="1" t="s">
        <v>185</v>
      </c>
      <c r="C2709" s="1" t="str">
        <f>"08832826"</f>
        <v>08832826</v>
      </c>
      <c r="D2709" s="1" t="s">
        <v>186</v>
      </c>
      <c r="F2709" s="1" t="str">
        <f>"174"</f>
        <v>174</v>
      </c>
      <c r="G2709" s="2">
        <v>42041.0</v>
      </c>
      <c r="H2709" s="1">
        <v>699900.0</v>
      </c>
      <c r="I2709" s="1">
        <v>21.0</v>
      </c>
      <c r="J2709" s="1">
        <v>699900.0</v>
      </c>
      <c r="K2709" s="2">
        <v>42060.0</v>
      </c>
      <c r="L2709" s="1">
        <v>21.0</v>
      </c>
      <c r="M2709" s="2">
        <v>42060.0</v>
      </c>
      <c r="N2709" s="1" t="s">
        <v>187</v>
      </c>
      <c r="O2709" s="2">
        <v>42124.0</v>
      </c>
      <c r="P2709" s="1">
        <v>1535.0</v>
      </c>
      <c r="Q2709" s="1">
        <v>49.0</v>
      </c>
      <c r="S2709" s="1">
        <v>3040.0</v>
      </c>
      <c r="T2709" s="1" t="s">
        <v>24015</v>
      </c>
      <c r="U2709" s="1" t="s">
        <v>1174</v>
      </c>
      <c r="V2709" s="1" t="s">
        <v>1200</v>
      </c>
      <c r="W2709" s="1">
        <v>60174.0</v>
      </c>
      <c r="Y2709" s="1" t="s">
        <v>24016</v>
      </c>
      <c r="Z2709" s="1">
        <v>2004.0</v>
      </c>
      <c r="AA2709" s="1" t="s">
        <v>200</v>
      </c>
      <c r="AB2709" s="1" t="s">
        <v>193</v>
      </c>
      <c r="AC2709" s="1" t="s">
        <v>24015</v>
      </c>
      <c r="AD2709" s="1" t="s">
        <v>1203</v>
      </c>
      <c r="AE2709" s="1" t="s">
        <v>325</v>
      </c>
      <c r="AF2709" s="1" t="s">
        <v>1203</v>
      </c>
      <c r="AH2709" s="1" t="s">
        <v>24017</v>
      </c>
      <c r="AI2709" s="1">
        <v>0.356</v>
      </c>
      <c r="AK2709" s="1">
        <v>9.0</v>
      </c>
      <c r="AL2709" s="1">
        <v>4.0</v>
      </c>
      <c r="AM2709" s="1">
        <v>4.0</v>
      </c>
      <c r="AN2709" s="1">
        <v>0.0</v>
      </c>
      <c r="AO2709" s="1" t="s">
        <v>198</v>
      </c>
      <c r="AP2709" s="1">
        <v>1.0</v>
      </c>
      <c r="AQ2709" s="1" t="s">
        <v>198</v>
      </c>
      <c r="AR2709" s="1" t="s">
        <v>200</v>
      </c>
      <c r="AS2709" s="1" t="s">
        <v>199</v>
      </c>
      <c r="AT2709" s="1">
        <v>3.0</v>
      </c>
      <c r="AV2709" s="1" t="s">
        <v>200</v>
      </c>
      <c r="AW2709" s="1">
        <v>17932.34</v>
      </c>
      <c r="AX2709" s="1">
        <v>2013.0</v>
      </c>
      <c r="AY2709" s="1" t="s">
        <v>387</v>
      </c>
      <c r="AZ2709" s="1" t="s">
        <v>200</v>
      </c>
      <c r="BA2709" s="1" t="str">
        <f>"0924403018"</f>
        <v>0924403018</v>
      </c>
      <c r="BC2709" s="1">
        <v>3658.0</v>
      </c>
      <c r="BD2709" s="1">
        <v>640000.0</v>
      </c>
      <c r="BE2709" s="2">
        <v>42040.0</v>
      </c>
      <c r="BF2709" s="2" t="s">
        <v>24018</v>
      </c>
      <c r="BG2709" s="1" t="s">
        <v>3610</v>
      </c>
      <c r="BH2709" s="1">
        <v>250.0</v>
      </c>
      <c r="BI2709" s="1" t="s">
        <v>2143</v>
      </c>
      <c r="BJ2709" s="1" t="s">
        <v>2144</v>
      </c>
      <c r="BK2709" s="1" t="s">
        <v>580</v>
      </c>
      <c r="BL2709" s="1" t="str">
        <f t="shared" ref="BL2709:BM2709" si="1765">""</f>
        <v/>
      </c>
      <c r="BM2709" s="1" t="str">
        <f t="shared" si="1765"/>
        <v/>
      </c>
      <c r="BQ2709" s="1">
        <v>303.0</v>
      </c>
      <c r="BR2709" s="1">
        <v>303.0</v>
      </c>
      <c r="BS2709" s="1">
        <v>303.0</v>
      </c>
      <c r="BU2709" s="1" t="s">
        <v>361</v>
      </c>
      <c r="BV2709" s="1" t="s">
        <v>206</v>
      </c>
      <c r="BW2709" s="1" t="s">
        <v>210</v>
      </c>
      <c r="BY2709" s="1" t="s">
        <v>390</v>
      </c>
      <c r="BZ2709" s="1" t="s">
        <v>209</v>
      </c>
      <c r="CA2709" s="1" t="s">
        <v>210</v>
      </c>
      <c r="CC2709" s="1" t="s">
        <v>213</v>
      </c>
      <c r="CD2709" s="1" t="s">
        <v>206</v>
      </c>
      <c r="CE2709" s="1" t="s">
        <v>210</v>
      </c>
      <c r="CG2709" s="1" t="s">
        <v>433</v>
      </c>
      <c r="CH2709" s="1" t="s">
        <v>209</v>
      </c>
      <c r="CI2709" s="1" t="s">
        <v>210</v>
      </c>
      <c r="CK2709" s="1" t="s">
        <v>454</v>
      </c>
      <c r="CL2709" s="1" t="s">
        <v>209</v>
      </c>
      <c r="CM2709" s="1" t="s">
        <v>210</v>
      </c>
      <c r="CO2709" s="1" t="s">
        <v>208</v>
      </c>
      <c r="CP2709" s="1" t="s">
        <v>209</v>
      </c>
      <c r="CQ2709" s="1" t="s">
        <v>210</v>
      </c>
      <c r="CS2709" s="1" t="s">
        <v>2592</v>
      </c>
      <c r="CT2709" s="1" t="s">
        <v>206</v>
      </c>
      <c r="CU2709" s="1" t="s">
        <v>207</v>
      </c>
      <c r="CW2709" s="1" t="s">
        <v>3092</v>
      </c>
      <c r="CX2709" s="1" t="s">
        <v>206</v>
      </c>
      <c r="CY2709" s="1" t="s">
        <v>210</v>
      </c>
      <c r="DA2709" s="1" t="s">
        <v>200</v>
      </c>
      <c r="DC2709" s="1" t="s">
        <v>335</v>
      </c>
      <c r="DD2709" s="1" t="s">
        <v>1484</v>
      </c>
      <c r="DE2709" s="1" t="s">
        <v>273</v>
      </c>
      <c r="DF2709" s="1" t="s">
        <v>219</v>
      </c>
      <c r="DG2709" s="1" t="s">
        <v>482</v>
      </c>
      <c r="DH2709" s="1" t="s">
        <v>220</v>
      </c>
      <c r="DI2709" s="1" t="s">
        <v>2420</v>
      </c>
      <c r="DJ2709" s="1" t="s">
        <v>222</v>
      </c>
      <c r="DL2709" s="1" t="s">
        <v>223</v>
      </c>
      <c r="DM2709" s="1" t="s">
        <v>338</v>
      </c>
      <c r="DN2709" s="1" t="s">
        <v>399</v>
      </c>
      <c r="DP2709" s="1" t="s">
        <v>340</v>
      </c>
      <c r="DQ2709" s="1" t="s">
        <v>441</v>
      </c>
      <c r="DR2709" s="1" t="s">
        <v>588</v>
      </c>
      <c r="DU2709" s="1" t="s">
        <v>24019</v>
      </c>
      <c r="DV2709" s="1" t="s">
        <v>6844</v>
      </c>
      <c r="DW2709" s="1" t="s">
        <v>279</v>
      </c>
      <c r="DX2709" s="1" t="s">
        <v>280</v>
      </c>
      <c r="DY2709" s="1" t="s">
        <v>7470</v>
      </c>
      <c r="DZ2709" s="1" t="s">
        <v>17463</v>
      </c>
      <c r="EC2709" s="1" t="s">
        <v>237</v>
      </c>
      <c r="EG2709" s="1" t="s">
        <v>1028</v>
      </c>
      <c r="EH2709" s="1" t="s">
        <v>408</v>
      </c>
      <c r="EL2709" s="1" t="s">
        <v>215</v>
      </c>
      <c r="EM2709" s="1" t="s">
        <v>206</v>
      </c>
      <c r="EN2709" s="1" t="s">
        <v>210</v>
      </c>
      <c r="EP2709" s="1" t="s">
        <v>729</v>
      </c>
      <c r="EQ2709" s="1" t="s">
        <v>206</v>
      </c>
      <c r="ER2709" s="1" t="s">
        <v>207</v>
      </c>
      <c r="EU2709" s="1" t="s">
        <v>238</v>
      </c>
      <c r="EY2709" s="1" t="s">
        <v>238</v>
      </c>
      <c r="FC2709" s="1" t="s">
        <v>238</v>
      </c>
      <c r="FF2709" s="1" t="s">
        <v>239</v>
      </c>
      <c r="FG2709" s="1" t="s">
        <v>192</v>
      </c>
      <c r="FH2709" s="1" t="s">
        <v>192</v>
      </c>
      <c r="FJ2709" s="1" t="s">
        <v>498</v>
      </c>
      <c r="FK2709" s="1" t="s">
        <v>229</v>
      </c>
      <c r="FL2709" s="1" t="s">
        <v>1358</v>
      </c>
      <c r="FM2709" s="1">
        <v>23591.0</v>
      </c>
      <c r="FN2709" s="1" t="s">
        <v>2134</v>
      </c>
      <c r="FO2709" s="1" t="s">
        <v>2135</v>
      </c>
      <c r="FP2709" s="1">
        <v>230500.0</v>
      </c>
      <c r="FQ2709" s="1" t="s">
        <v>2136</v>
      </c>
      <c r="FU2709" s="1" t="s">
        <v>2137</v>
      </c>
      <c r="FV2709" s="1" t="s">
        <v>200</v>
      </c>
      <c r="FW2709" s="1" t="s">
        <v>290</v>
      </c>
      <c r="FZ2709" s="1" t="s">
        <v>229</v>
      </c>
      <c r="GA2709" s="1" t="s">
        <v>291</v>
      </c>
      <c r="GB2709" s="2">
        <v>42124.0</v>
      </c>
    </row>
    <row r="2710">
      <c r="A2710" s="1">
        <v>560000.0</v>
      </c>
      <c r="B2710" s="1" t="s">
        <v>185</v>
      </c>
      <c r="C2710" s="1" t="str">
        <f>"08830625"</f>
        <v>08830625</v>
      </c>
      <c r="D2710" s="1" t="s">
        <v>186</v>
      </c>
      <c r="F2710" s="1" t="str">
        <f>"8002"</f>
        <v>8002</v>
      </c>
      <c r="G2710" s="2">
        <v>42039.0</v>
      </c>
      <c r="H2710" s="1">
        <v>595000.0</v>
      </c>
      <c r="I2710" s="1">
        <v>290.0</v>
      </c>
      <c r="J2710" s="1">
        <v>595000.0</v>
      </c>
      <c r="K2710" s="2">
        <v>42108.0</v>
      </c>
      <c r="L2710" s="1">
        <v>70.0</v>
      </c>
      <c r="M2710" s="2">
        <v>42108.0</v>
      </c>
      <c r="N2710" s="1" t="s">
        <v>187</v>
      </c>
      <c r="O2710" s="2">
        <v>42143.0</v>
      </c>
      <c r="P2710" s="1">
        <v>185695.0</v>
      </c>
      <c r="Q2710" s="1">
        <v>16571.0</v>
      </c>
      <c r="S2710" s="1">
        <v>2855.0</v>
      </c>
      <c r="T2710" s="1" t="s">
        <v>23200</v>
      </c>
      <c r="U2710" s="1" t="s">
        <v>189</v>
      </c>
      <c r="V2710" s="1" t="s">
        <v>190</v>
      </c>
      <c r="W2710" s="1">
        <v>60645.0</v>
      </c>
      <c r="Y2710" s="1" t="s">
        <v>24020</v>
      </c>
      <c r="Z2710" s="1">
        <v>1949.0</v>
      </c>
      <c r="AA2710" s="1" t="s">
        <v>192</v>
      </c>
      <c r="AB2710" s="1" t="s">
        <v>193</v>
      </c>
      <c r="AD2710" s="1" t="s">
        <v>194</v>
      </c>
      <c r="AE2710" s="1" t="s">
        <v>195</v>
      </c>
      <c r="AF2710" s="1" t="s">
        <v>2323</v>
      </c>
      <c r="AH2710" s="1" t="s">
        <v>24021</v>
      </c>
      <c r="AI2710" s="1">
        <v>0.1503</v>
      </c>
      <c r="AK2710" s="1">
        <v>10.0</v>
      </c>
      <c r="AL2710" s="1">
        <v>3.0</v>
      </c>
      <c r="AM2710" s="1">
        <v>2.0</v>
      </c>
      <c r="AN2710" s="1">
        <v>1.0</v>
      </c>
      <c r="AO2710" s="1" t="s">
        <v>229</v>
      </c>
      <c r="AP2710" s="1">
        <v>2.0</v>
      </c>
      <c r="AQ2710" s="1" t="s">
        <v>198</v>
      </c>
      <c r="AR2710" s="1" t="s">
        <v>192</v>
      </c>
      <c r="AS2710" s="1" t="s">
        <v>199</v>
      </c>
      <c r="AT2710" s="1">
        <v>2.0</v>
      </c>
      <c r="AV2710" s="1" t="s">
        <v>200</v>
      </c>
      <c r="AW2710" s="1">
        <v>6410.19</v>
      </c>
      <c r="AX2710" s="1">
        <v>2013.0</v>
      </c>
      <c r="AY2710" s="1" t="s">
        <v>387</v>
      </c>
      <c r="AZ2710" s="1" t="s">
        <v>200</v>
      </c>
      <c r="BA2710" s="1" t="str">
        <f>"10361120160000"</f>
        <v>10361120160000</v>
      </c>
      <c r="BB2710" s="1" t="s">
        <v>200</v>
      </c>
      <c r="BC2710" s="1">
        <v>0.0</v>
      </c>
      <c r="BD2710" s="1">
        <v>560000.0</v>
      </c>
      <c r="BE2710" s="2">
        <v>42039.0</v>
      </c>
      <c r="BF2710" s="2" t="s">
        <v>24022</v>
      </c>
      <c r="BH2710" s="1">
        <v>0.0</v>
      </c>
      <c r="BK2710" s="1" t="s">
        <v>204</v>
      </c>
      <c r="BL2710" s="1" t="str">
        <f>"6950"</f>
        <v>6950</v>
      </c>
      <c r="BM2710" s="1" t="str">
        <f>"0"</f>
        <v>0</v>
      </c>
      <c r="BN2710" s="1">
        <v>2855.0</v>
      </c>
      <c r="BO2710" s="1">
        <v>0.0</v>
      </c>
      <c r="BQ2710" s="1">
        <v>299.0</v>
      </c>
      <c r="BR2710" s="1">
        <v>299.0</v>
      </c>
      <c r="BS2710" s="1">
        <v>299.0</v>
      </c>
      <c r="BU2710" s="1" t="s">
        <v>2181</v>
      </c>
      <c r="BV2710" s="1" t="s">
        <v>206</v>
      </c>
      <c r="BW2710" s="1" t="s">
        <v>207</v>
      </c>
      <c r="BY2710" s="1" t="s">
        <v>211</v>
      </c>
      <c r="BZ2710" s="1" t="s">
        <v>206</v>
      </c>
      <c r="CC2710" s="1" t="s">
        <v>433</v>
      </c>
      <c r="CD2710" s="1" t="s">
        <v>206</v>
      </c>
      <c r="CE2710" s="1" t="s">
        <v>207</v>
      </c>
      <c r="CG2710" s="1" t="s">
        <v>433</v>
      </c>
      <c r="CH2710" s="1" t="s">
        <v>206</v>
      </c>
      <c r="CK2710" s="1" t="s">
        <v>332</v>
      </c>
      <c r="CL2710" s="1" t="s">
        <v>206</v>
      </c>
      <c r="CO2710" s="1" t="s">
        <v>1745</v>
      </c>
      <c r="CP2710" s="1" t="s">
        <v>42</v>
      </c>
      <c r="CS2710" s="1" t="s">
        <v>700</v>
      </c>
      <c r="CT2710" s="1" t="s">
        <v>206</v>
      </c>
      <c r="CU2710" s="1" t="s">
        <v>268</v>
      </c>
      <c r="CW2710" s="1" t="s">
        <v>1953</v>
      </c>
      <c r="CX2710" s="1" t="s">
        <v>42</v>
      </c>
      <c r="DA2710" s="1" t="s">
        <v>200</v>
      </c>
      <c r="DC2710" s="1" t="s">
        <v>702</v>
      </c>
      <c r="DD2710" s="1" t="s">
        <v>518</v>
      </c>
      <c r="DE2710" s="1" t="s">
        <v>273</v>
      </c>
      <c r="DF2710" s="1" t="s">
        <v>219</v>
      </c>
      <c r="DG2710" s="1" t="s">
        <v>1160</v>
      </c>
      <c r="DH2710" s="1" t="s">
        <v>365</v>
      </c>
      <c r="DI2710" s="1" t="s">
        <v>1223</v>
      </c>
      <c r="DJ2710" s="1" t="s">
        <v>222</v>
      </c>
      <c r="DL2710" s="1" t="s">
        <v>224</v>
      </c>
      <c r="DM2710" s="1" t="s">
        <v>229</v>
      </c>
      <c r="DO2710" s="1" t="s">
        <v>590</v>
      </c>
      <c r="DP2710" s="1" t="s">
        <v>276</v>
      </c>
      <c r="DQ2710" s="1" t="s">
        <v>794</v>
      </c>
      <c r="DR2710" s="1" t="s">
        <v>229</v>
      </c>
      <c r="DS2710" s="1" t="s">
        <v>230</v>
      </c>
      <c r="DV2710" s="1" t="s">
        <v>15931</v>
      </c>
      <c r="DW2710" s="1" t="s">
        <v>279</v>
      </c>
      <c r="DX2710" s="1" t="s">
        <v>234</v>
      </c>
      <c r="EA2710" s="1" t="s">
        <v>683</v>
      </c>
      <c r="EC2710" s="1" t="s">
        <v>685</v>
      </c>
      <c r="EG2710" s="1" t="s">
        <v>556</v>
      </c>
      <c r="EH2710" s="1" t="s">
        <v>450</v>
      </c>
      <c r="EL2710" s="1" t="s">
        <v>495</v>
      </c>
      <c r="EM2710" s="1" t="s">
        <v>206</v>
      </c>
      <c r="EP2710" s="1" t="s">
        <v>2224</v>
      </c>
      <c r="EQ2710" s="1" t="s">
        <v>42</v>
      </c>
      <c r="EU2710" s="1" t="s">
        <v>238</v>
      </c>
      <c r="EY2710" s="1" t="s">
        <v>238</v>
      </c>
      <c r="FC2710" s="1" t="s">
        <v>238</v>
      </c>
      <c r="FF2710" s="1" t="s">
        <v>239</v>
      </c>
      <c r="FG2710" s="1" t="s">
        <v>192</v>
      </c>
      <c r="FH2710" s="1" t="s">
        <v>192</v>
      </c>
      <c r="FJ2710" s="1" t="s">
        <v>561</v>
      </c>
      <c r="FK2710" s="1" t="s">
        <v>229</v>
      </c>
      <c r="FL2710" s="1" t="s">
        <v>1289</v>
      </c>
      <c r="FM2710" s="1">
        <v>10560.0</v>
      </c>
      <c r="FN2710" s="1" t="s">
        <v>18321</v>
      </c>
      <c r="FO2710" s="1" t="s">
        <v>22459</v>
      </c>
      <c r="FP2710" s="1">
        <v>103617.0</v>
      </c>
      <c r="FU2710" s="1" t="s">
        <v>24023</v>
      </c>
      <c r="FV2710" s="1" t="s">
        <v>200</v>
      </c>
      <c r="FW2710" s="1" t="s">
        <v>290</v>
      </c>
      <c r="FX2710" s="1" t="s">
        <v>246</v>
      </c>
      <c r="FZ2710" s="1" t="s">
        <v>229</v>
      </c>
      <c r="GA2710" s="1" t="s">
        <v>291</v>
      </c>
      <c r="GB2710" s="2">
        <v>42145.0</v>
      </c>
    </row>
    <row r="2711">
      <c r="A2711" s="1">
        <v>217000.0</v>
      </c>
      <c r="B2711" s="1" t="s">
        <v>185</v>
      </c>
      <c r="C2711" s="1" t="str">
        <f>"08837485"</f>
        <v>08837485</v>
      </c>
      <c r="D2711" s="1" t="s">
        <v>186</v>
      </c>
      <c r="F2711" s="1" t="str">
        <f>"119"</f>
        <v>119</v>
      </c>
      <c r="G2711" s="2">
        <v>42047.0</v>
      </c>
      <c r="H2711" s="1">
        <v>225900.0</v>
      </c>
      <c r="I2711" s="1">
        <v>466.0</v>
      </c>
      <c r="J2711" s="1">
        <v>214900.0</v>
      </c>
      <c r="K2711" s="2">
        <v>42093.0</v>
      </c>
      <c r="L2711" s="1">
        <v>47.0</v>
      </c>
      <c r="M2711" s="2">
        <v>42093.0</v>
      </c>
      <c r="N2711" s="1" t="s">
        <v>187</v>
      </c>
      <c r="O2711" s="2">
        <v>42138.0</v>
      </c>
      <c r="P2711" s="1">
        <v>175616.0</v>
      </c>
      <c r="Q2711" s="1">
        <v>16517.0</v>
      </c>
      <c r="R2711" s="1">
        <v>2000.0</v>
      </c>
      <c r="S2711" s="1">
        <v>856.0</v>
      </c>
      <c r="T2711" s="1" t="s">
        <v>18468</v>
      </c>
      <c r="U2711" s="1" t="s">
        <v>420</v>
      </c>
      <c r="V2711" s="1" t="s">
        <v>1476</v>
      </c>
      <c r="W2711" s="1">
        <v>60119.0</v>
      </c>
      <c r="Y2711" s="1" t="s">
        <v>24024</v>
      </c>
      <c r="Z2711" s="1">
        <v>1996.0</v>
      </c>
      <c r="AA2711" s="1" t="s">
        <v>200</v>
      </c>
      <c r="AB2711" s="1" t="s">
        <v>193</v>
      </c>
      <c r="AD2711" s="1" t="s">
        <v>1478</v>
      </c>
      <c r="AE2711" s="1" t="s">
        <v>325</v>
      </c>
      <c r="AF2711" s="1" t="s">
        <v>1632</v>
      </c>
      <c r="AH2711" s="1" t="s">
        <v>24025</v>
      </c>
      <c r="AK2711" s="1">
        <v>12.0</v>
      </c>
      <c r="AL2711" s="1">
        <v>4.0</v>
      </c>
      <c r="AM2711" s="1">
        <v>3.0</v>
      </c>
      <c r="AN2711" s="1">
        <v>0.0</v>
      </c>
      <c r="AO2711" s="1" t="s">
        <v>198</v>
      </c>
      <c r="AP2711" s="1">
        <v>1.0</v>
      </c>
      <c r="AQ2711" s="1" t="s">
        <v>327</v>
      </c>
      <c r="AR2711" s="1" t="s">
        <v>192</v>
      </c>
      <c r="AS2711" s="1" t="s">
        <v>199</v>
      </c>
      <c r="AT2711" s="1">
        <v>2.0</v>
      </c>
      <c r="AV2711" s="1" t="s">
        <v>192</v>
      </c>
      <c r="AW2711" s="1">
        <v>8879.12</v>
      </c>
      <c r="AX2711" s="1">
        <v>2013.0</v>
      </c>
      <c r="AY2711" s="1" t="s">
        <v>387</v>
      </c>
      <c r="AZ2711" s="1" t="s">
        <v>200</v>
      </c>
      <c r="BA2711" s="1" t="str">
        <f>"0832326023"</f>
        <v>0832326023</v>
      </c>
      <c r="BB2711" s="1" t="s">
        <v>200</v>
      </c>
      <c r="BC2711" s="1">
        <v>2670.0</v>
      </c>
      <c r="BD2711" s="1">
        <v>217000.0</v>
      </c>
      <c r="BE2711" s="2">
        <v>42047.0</v>
      </c>
      <c r="BF2711" s="2" t="s">
        <v>24026</v>
      </c>
      <c r="BH2711" s="1">
        <v>0.0</v>
      </c>
      <c r="BK2711" s="1" t="s">
        <v>204</v>
      </c>
      <c r="BL2711" s="1" t="str">
        <f t="shared" ref="BL2711:BM2711" si="1766">""</f>
        <v/>
      </c>
      <c r="BM2711" s="1" t="str">
        <f t="shared" si="1766"/>
        <v/>
      </c>
      <c r="BQ2711" s="1">
        <v>302.0</v>
      </c>
      <c r="BR2711" s="1">
        <v>302.0</v>
      </c>
      <c r="BS2711" s="1">
        <v>302.0</v>
      </c>
      <c r="BU2711" s="1" t="s">
        <v>925</v>
      </c>
      <c r="BV2711" s="1" t="s">
        <v>206</v>
      </c>
      <c r="BW2711" s="1" t="s">
        <v>210</v>
      </c>
      <c r="BX2711" s="1" t="s">
        <v>1549</v>
      </c>
      <c r="BY2711" s="1" t="s">
        <v>361</v>
      </c>
      <c r="BZ2711" s="1" t="s">
        <v>209</v>
      </c>
      <c r="CA2711" s="1" t="s">
        <v>210</v>
      </c>
      <c r="CB2711" s="1" t="s">
        <v>431</v>
      </c>
      <c r="CC2711" s="1" t="s">
        <v>497</v>
      </c>
      <c r="CD2711" s="1" t="s">
        <v>206</v>
      </c>
      <c r="CE2711" s="1" t="s">
        <v>207</v>
      </c>
      <c r="CF2711" s="1" t="s">
        <v>431</v>
      </c>
      <c r="CG2711" s="1" t="s">
        <v>363</v>
      </c>
      <c r="CH2711" s="1" t="s">
        <v>209</v>
      </c>
      <c r="CI2711" s="1" t="s">
        <v>210</v>
      </c>
      <c r="CJ2711" s="1" t="s">
        <v>431</v>
      </c>
      <c r="CK2711" s="1" t="s">
        <v>363</v>
      </c>
      <c r="CL2711" s="1" t="s">
        <v>209</v>
      </c>
      <c r="CM2711" s="1" t="s">
        <v>210</v>
      </c>
      <c r="CN2711" s="1" t="s">
        <v>431</v>
      </c>
      <c r="CO2711" s="1" t="s">
        <v>329</v>
      </c>
      <c r="CP2711" s="1" t="s">
        <v>267</v>
      </c>
      <c r="CQ2711" s="1" t="s">
        <v>210</v>
      </c>
      <c r="CR2711" s="1" t="s">
        <v>431</v>
      </c>
      <c r="CS2711" s="1" t="s">
        <v>212</v>
      </c>
      <c r="CT2711" s="1" t="s">
        <v>206</v>
      </c>
      <c r="CU2711" s="1" t="s">
        <v>207</v>
      </c>
      <c r="CV2711" s="1" t="s">
        <v>229</v>
      </c>
      <c r="CW2711" s="1" t="s">
        <v>2861</v>
      </c>
      <c r="CX2711" s="1" t="s">
        <v>267</v>
      </c>
      <c r="CY2711" s="1" t="s">
        <v>210</v>
      </c>
      <c r="CZ2711" s="1" t="s">
        <v>431</v>
      </c>
      <c r="DA2711" s="1" t="s">
        <v>200</v>
      </c>
      <c r="DC2711" s="1" t="s">
        <v>678</v>
      </c>
      <c r="DD2711" s="1" t="s">
        <v>679</v>
      </c>
      <c r="DE2711" s="1" t="s">
        <v>273</v>
      </c>
      <c r="DF2711" s="1" t="s">
        <v>219</v>
      </c>
      <c r="DH2711" s="1" t="s">
        <v>220</v>
      </c>
      <c r="DI2711" s="1" t="s">
        <v>8567</v>
      </c>
      <c r="DJ2711" s="1" t="s">
        <v>222</v>
      </c>
      <c r="DL2711" s="1" t="s">
        <v>24027</v>
      </c>
      <c r="DM2711" s="1" t="s">
        <v>929</v>
      </c>
      <c r="DN2711" s="1" t="s">
        <v>399</v>
      </c>
      <c r="DO2711" s="1" t="s">
        <v>440</v>
      </c>
      <c r="DP2711" s="1" t="s">
        <v>340</v>
      </c>
      <c r="DQ2711" s="1" t="s">
        <v>441</v>
      </c>
      <c r="DR2711" s="1" t="s">
        <v>229</v>
      </c>
      <c r="DS2711" s="1" t="s">
        <v>230</v>
      </c>
      <c r="DV2711" s="1" t="s">
        <v>24028</v>
      </c>
      <c r="DW2711" s="1" t="s">
        <v>832</v>
      </c>
      <c r="DX2711" s="1" t="s">
        <v>234</v>
      </c>
      <c r="DY2711" s="1" t="s">
        <v>235</v>
      </c>
      <c r="EA2711" s="1" t="s">
        <v>5604</v>
      </c>
      <c r="EB2711" s="1" t="s">
        <v>937</v>
      </c>
      <c r="EC2711" s="1" t="s">
        <v>4613</v>
      </c>
      <c r="ED2711" s="1" t="s">
        <v>407</v>
      </c>
      <c r="EE2711" s="1" t="s">
        <v>493</v>
      </c>
      <c r="EG2711" s="1" t="s">
        <v>557</v>
      </c>
      <c r="EH2711" s="1" t="s">
        <v>1729</v>
      </c>
      <c r="EI2711" s="1" t="s">
        <v>408</v>
      </c>
      <c r="EJ2711" s="1" t="s">
        <v>598</v>
      </c>
      <c r="EK2711" s="1" t="s">
        <v>588</v>
      </c>
      <c r="EL2711" s="1" t="s">
        <v>1064</v>
      </c>
      <c r="EM2711" s="1" t="s">
        <v>209</v>
      </c>
      <c r="EN2711" s="1" t="s">
        <v>210</v>
      </c>
      <c r="EO2711" s="1" t="s">
        <v>229</v>
      </c>
      <c r="EP2711" s="1" t="s">
        <v>758</v>
      </c>
      <c r="EQ2711" s="1" t="s">
        <v>206</v>
      </c>
      <c r="ER2711" s="1" t="s">
        <v>210</v>
      </c>
      <c r="ES2711" s="1" t="s">
        <v>431</v>
      </c>
      <c r="ET2711" s="1" t="s">
        <v>5382</v>
      </c>
      <c r="EU2711" s="1" t="s">
        <v>206</v>
      </c>
      <c r="EV2711" s="1" t="s">
        <v>207</v>
      </c>
      <c r="EW2711" s="1" t="s">
        <v>229</v>
      </c>
      <c r="EX2711" s="1" t="s">
        <v>516</v>
      </c>
      <c r="EY2711" s="1" t="s">
        <v>42</v>
      </c>
      <c r="EZ2711" s="1" t="s">
        <v>210</v>
      </c>
      <c r="FA2711" s="1" t="s">
        <v>431</v>
      </c>
      <c r="FB2711" s="1" t="s">
        <v>663</v>
      </c>
      <c r="FC2711" s="1" t="s">
        <v>42</v>
      </c>
      <c r="FD2711" s="1" t="s">
        <v>617</v>
      </c>
      <c r="FE2711" s="1" t="s">
        <v>229</v>
      </c>
      <c r="FF2711" s="1" t="s">
        <v>239</v>
      </c>
      <c r="FG2711" s="1" t="s">
        <v>192</v>
      </c>
      <c r="FH2711" s="1" t="s">
        <v>192</v>
      </c>
      <c r="FJ2711" s="1" t="s">
        <v>347</v>
      </c>
      <c r="FK2711" s="1" t="s">
        <v>229</v>
      </c>
      <c r="FL2711" s="1" t="s">
        <v>1855</v>
      </c>
      <c r="FM2711" s="1">
        <v>41.0</v>
      </c>
      <c r="FN2711" s="1" t="s">
        <v>1856</v>
      </c>
      <c r="FO2711" s="1" t="s">
        <v>1857</v>
      </c>
      <c r="FP2711" s="1">
        <v>8483.0</v>
      </c>
      <c r="FQ2711" s="1" t="s">
        <v>1858</v>
      </c>
      <c r="FS2711" s="1" t="s">
        <v>1859</v>
      </c>
      <c r="FT2711" s="1" t="s">
        <v>1860</v>
      </c>
      <c r="FU2711" s="1" t="s">
        <v>1861</v>
      </c>
      <c r="FV2711" s="1" t="s">
        <v>200</v>
      </c>
      <c r="FW2711" s="1" t="s">
        <v>1307</v>
      </c>
      <c r="FZ2711" s="1" t="s">
        <v>2993</v>
      </c>
      <c r="GA2711" s="1" t="s">
        <v>291</v>
      </c>
      <c r="GB2711" s="2">
        <v>42138.0</v>
      </c>
      <c r="GC2711" s="1" t="s">
        <v>15559</v>
      </c>
    </row>
    <row r="2712">
      <c r="A2712" s="1">
        <v>257732.0</v>
      </c>
      <c r="B2712" s="1" t="s">
        <v>185</v>
      </c>
      <c r="C2712" s="1" t="str">
        <f>"08835545"</f>
        <v>08835545</v>
      </c>
      <c r="D2712" s="1" t="s">
        <v>186</v>
      </c>
      <c r="F2712" s="1" t="str">
        <f>"8010"</f>
        <v>8010</v>
      </c>
      <c r="G2712" s="2">
        <v>42045.0</v>
      </c>
      <c r="H2712" s="1">
        <v>289000.0</v>
      </c>
      <c r="I2712" s="1">
        <v>65.0</v>
      </c>
      <c r="J2712" s="1">
        <v>275000.0</v>
      </c>
      <c r="K2712" s="2">
        <v>42058.0</v>
      </c>
      <c r="L2712" s="1">
        <v>14.0</v>
      </c>
      <c r="M2712" s="2">
        <v>42058.0</v>
      </c>
      <c r="N2712" s="1" t="s">
        <v>187</v>
      </c>
      <c r="O2712" s="2">
        <v>42090.0</v>
      </c>
      <c r="P2712" s="1">
        <v>121190.0</v>
      </c>
      <c r="Q2712" s="1">
        <v>10115.0</v>
      </c>
      <c r="S2712" s="1">
        <v>5120.0</v>
      </c>
      <c r="T2712" s="1" t="s">
        <v>4886</v>
      </c>
      <c r="U2712" s="1" t="s">
        <v>189</v>
      </c>
      <c r="V2712" s="1" t="s">
        <v>190</v>
      </c>
      <c r="W2712" s="1">
        <v>60656.0</v>
      </c>
      <c r="Y2712" s="1" t="s">
        <v>24029</v>
      </c>
      <c r="Z2712" s="1">
        <v>1948.0</v>
      </c>
      <c r="AA2712" s="1" t="s">
        <v>192</v>
      </c>
      <c r="AB2712" s="1" t="s">
        <v>193</v>
      </c>
      <c r="AD2712" s="1" t="s">
        <v>194</v>
      </c>
      <c r="AE2712" s="1" t="s">
        <v>195</v>
      </c>
      <c r="AF2712" s="1" t="s">
        <v>196</v>
      </c>
      <c r="AG2712" s="1" t="s">
        <v>11691</v>
      </c>
      <c r="AH2712" s="1" t="s">
        <v>24030</v>
      </c>
      <c r="AI2712" s="1">
        <v>0.0847</v>
      </c>
      <c r="AK2712" s="1">
        <v>8.0</v>
      </c>
      <c r="AL2712" s="1">
        <v>4.0</v>
      </c>
      <c r="AM2712" s="1">
        <v>1.0</v>
      </c>
      <c r="AN2712" s="1">
        <v>0.0</v>
      </c>
      <c r="AO2712" s="1" t="s">
        <v>229</v>
      </c>
      <c r="AQ2712" s="1" t="s">
        <v>198</v>
      </c>
      <c r="AR2712" s="1" t="s">
        <v>200</v>
      </c>
      <c r="AS2712" s="1" t="s">
        <v>199</v>
      </c>
      <c r="AT2712" s="1">
        <v>2.0</v>
      </c>
      <c r="AV2712" s="1" t="s">
        <v>200</v>
      </c>
      <c r="AW2712" s="1">
        <v>1965.49</v>
      </c>
      <c r="AX2712" s="1">
        <v>2013.0</v>
      </c>
      <c r="AY2712" s="1" t="s">
        <v>1917</v>
      </c>
      <c r="AZ2712" s="1" t="s">
        <v>200</v>
      </c>
      <c r="BA2712" s="1" t="str">
        <f>"13073060340000"</f>
        <v>13073060340000</v>
      </c>
      <c r="BB2712" s="1" t="s">
        <v>192</v>
      </c>
      <c r="BC2712" s="1">
        <v>0.0</v>
      </c>
      <c r="BD2712" s="1">
        <v>257732.0</v>
      </c>
      <c r="BE2712" s="2">
        <v>42045.0</v>
      </c>
      <c r="BF2712" s="2" t="s">
        <v>24031</v>
      </c>
      <c r="BH2712" s="1">
        <v>0.0</v>
      </c>
      <c r="BJ2712" s="1" t="s">
        <v>1222</v>
      </c>
      <c r="BK2712" s="1" t="s">
        <v>204</v>
      </c>
      <c r="BL2712" s="1" t="str">
        <f>"5120"</f>
        <v>5120</v>
      </c>
      <c r="BM2712" s="1" t="str">
        <f>"0"</f>
        <v>0</v>
      </c>
      <c r="BN2712" s="1">
        <v>7000.0</v>
      </c>
      <c r="BO2712" s="1">
        <v>0.0</v>
      </c>
      <c r="BQ2712" s="1">
        <v>299.0</v>
      </c>
      <c r="BR2712" s="1">
        <v>299.0</v>
      </c>
      <c r="BS2712" s="1">
        <v>299.0</v>
      </c>
      <c r="BU2712" s="1" t="s">
        <v>205</v>
      </c>
      <c r="BV2712" s="1" t="s">
        <v>206</v>
      </c>
      <c r="BW2712" s="1" t="s">
        <v>210</v>
      </c>
      <c r="BY2712" s="1" t="s">
        <v>302</v>
      </c>
      <c r="BZ2712" s="1" t="s">
        <v>206</v>
      </c>
      <c r="CA2712" s="1" t="s">
        <v>207</v>
      </c>
      <c r="CD2712" s="1" t="s">
        <v>204</v>
      </c>
      <c r="CG2712" s="1" t="s">
        <v>303</v>
      </c>
      <c r="CH2712" s="1" t="s">
        <v>206</v>
      </c>
      <c r="CI2712" s="1" t="s">
        <v>210</v>
      </c>
      <c r="CK2712" s="1" t="s">
        <v>215</v>
      </c>
      <c r="CL2712" s="1" t="s">
        <v>209</v>
      </c>
      <c r="CO2712" s="1" t="s">
        <v>302</v>
      </c>
      <c r="CP2712" s="1" t="s">
        <v>209</v>
      </c>
      <c r="CS2712" s="1" t="s">
        <v>303</v>
      </c>
      <c r="CT2712" s="1" t="s">
        <v>206</v>
      </c>
      <c r="CW2712" s="1" t="s">
        <v>265</v>
      </c>
      <c r="CX2712" s="1" t="s">
        <v>206</v>
      </c>
      <c r="DA2712" s="1" t="s">
        <v>200</v>
      </c>
      <c r="DC2712" s="1" t="s">
        <v>702</v>
      </c>
      <c r="DD2712" s="1" t="s">
        <v>518</v>
      </c>
      <c r="DE2712" s="1" t="s">
        <v>273</v>
      </c>
      <c r="DF2712" s="1" t="s">
        <v>219</v>
      </c>
      <c r="DG2712" s="1" t="s">
        <v>1160</v>
      </c>
      <c r="DH2712" s="1" t="s">
        <v>365</v>
      </c>
      <c r="DJ2712" s="1" t="s">
        <v>222</v>
      </c>
      <c r="DL2712" s="1" t="s">
        <v>224</v>
      </c>
      <c r="DM2712" s="1" t="s">
        <v>1464</v>
      </c>
      <c r="DQ2712" s="1" t="s">
        <v>794</v>
      </c>
      <c r="DR2712" s="1" t="s">
        <v>229</v>
      </c>
      <c r="DS2712" s="1" t="s">
        <v>3008</v>
      </c>
      <c r="DV2712" s="1" t="s">
        <v>450</v>
      </c>
      <c r="DW2712" s="1" t="s">
        <v>279</v>
      </c>
      <c r="DX2712" s="1" t="s">
        <v>234</v>
      </c>
      <c r="DY2712" s="1" t="s">
        <v>553</v>
      </c>
      <c r="EA2712" s="1" t="s">
        <v>257</v>
      </c>
      <c r="EC2712" s="1" t="s">
        <v>645</v>
      </c>
      <c r="EG2712" s="1" t="s">
        <v>450</v>
      </c>
      <c r="EL2712" s="1" t="s">
        <v>3475</v>
      </c>
      <c r="EM2712" s="1" t="s">
        <v>42</v>
      </c>
      <c r="EQ2712" s="1" t="s">
        <v>238</v>
      </c>
      <c r="EU2712" s="1" t="s">
        <v>238</v>
      </c>
      <c r="EY2712" s="1" t="s">
        <v>238</v>
      </c>
      <c r="FC2712" s="1" t="s">
        <v>238</v>
      </c>
      <c r="FF2712" s="1" t="s">
        <v>239</v>
      </c>
      <c r="FG2712" s="1" t="s">
        <v>192</v>
      </c>
      <c r="FH2712" s="1" t="s">
        <v>192</v>
      </c>
      <c r="FJ2712" s="1" t="s">
        <v>561</v>
      </c>
      <c r="FK2712" s="1" t="s">
        <v>229</v>
      </c>
      <c r="FL2712" s="1" t="s">
        <v>1124</v>
      </c>
      <c r="FM2712" s="1">
        <v>10267.0</v>
      </c>
      <c r="FN2712" s="1" t="s">
        <v>3908</v>
      </c>
      <c r="FO2712" s="1" t="s">
        <v>21217</v>
      </c>
      <c r="FP2712" s="1">
        <v>105930.0</v>
      </c>
      <c r="FQ2712" s="1" t="s">
        <v>21218</v>
      </c>
      <c r="FU2712" s="1" t="s">
        <v>24032</v>
      </c>
      <c r="FV2712" s="1" t="s">
        <v>200</v>
      </c>
      <c r="FW2712" s="1" t="s">
        <v>530</v>
      </c>
      <c r="FX2712" s="1" t="s">
        <v>238</v>
      </c>
      <c r="FZ2712" s="1" t="s">
        <v>229</v>
      </c>
      <c r="GA2712" s="1" t="s">
        <v>291</v>
      </c>
      <c r="GB2712" s="2">
        <v>42091.0</v>
      </c>
      <c r="GC2712" s="1" t="s">
        <v>24033</v>
      </c>
    </row>
    <row r="2713">
      <c r="A2713" s="1">
        <v>370000.0</v>
      </c>
      <c r="B2713" s="1" t="s">
        <v>185</v>
      </c>
      <c r="C2713" s="1" t="str">
        <f>"08833141"</f>
        <v>08833141</v>
      </c>
      <c r="D2713" s="1" t="s">
        <v>186</v>
      </c>
      <c r="F2713" s="1" t="str">
        <f>"543"</f>
        <v>543</v>
      </c>
      <c r="G2713" s="2">
        <v>42041.0</v>
      </c>
      <c r="H2713" s="1">
        <v>379900.0</v>
      </c>
      <c r="I2713" s="1">
        <v>45.0</v>
      </c>
      <c r="J2713" s="1">
        <v>379499.0</v>
      </c>
      <c r="K2713" s="2">
        <v>42084.0</v>
      </c>
      <c r="L2713" s="1">
        <v>45.0</v>
      </c>
      <c r="M2713" s="2">
        <v>42084.0</v>
      </c>
      <c r="N2713" s="1" t="s">
        <v>634</v>
      </c>
      <c r="O2713" s="2">
        <v>42131.0</v>
      </c>
      <c r="P2713" s="1">
        <v>233699.0</v>
      </c>
      <c r="Q2713" s="1">
        <v>23187.0</v>
      </c>
      <c r="S2713" s="1">
        <v>5425.0</v>
      </c>
      <c r="T2713" s="1" t="s">
        <v>24034</v>
      </c>
      <c r="U2713" s="1" t="s">
        <v>420</v>
      </c>
      <c r="V2713" s="1" t="s">
        <v>1527</v>
      </c>
      <c r="W2713" s="1">
        <v>60543.0</v>
      </c>
      <c r="Y2713" s="1" t="s">
        <v>24035</v>
      </c>
      <c r="Z2713" s="1">
        <v>2003.0</v>
      </c>
      <c r="AA2713" s="1" t="s">
        <v>200</v>
      </c>
      <c r="AB2713" s="1" t="s">
        <v>467</v>
      </c>
      <c r="AC2713" s="1" t="s">
        <v>24036</v>
      </c>
      <c r="AD2713" s="1" t="s">
        <v>1529</v>
      </c>
      <c r="AE2713" s="1" t="s">
        <v>849</v>
      </c>
      <c r="AF2713" s="1" t="s">
        <v>1529</v>
      </c>
      <c r="AH2713" s="1" t="s">
        <v>24037</v>
      </c>
      <c r="AI2713" s="1">
        <v>1.3411</v>
      </c>
      <c r="AK2713" s="1">
        <v>11.0</v>
      </c>
      <c r="AL2713" s="1">
        <v>4.0</v>
      </c>
      <c r="AM2713" s="1">
        <v>3.0</v>
      </c>
      <c r="AN2713" s="1">
        <v>1.0</v>
      </c>
      <c r="AO2713" s="1" t="s">
        <v>198</v>
      </c>
      <c r="AP2713" s="1">
        <v>1.0</v>
      </c>
      <c r="AQ2713" s="1" t="s">
        <v>198</v>
      </c>
      <c r="AR2713" s="1" t="s">
        <v>200</v>
      </c>
      <c r="AS2713" s="1" t="s">
        <v>199</v>
      </c>
      <c r="AT2713" s="1">
        <v>3.0</v>
      </c>
      <c r="AV2713" s="1" t="s">
        <v>200</v>
      </c>
      <c r="AW2713" s="1">
        <v>16002.0</v>
      </c>
      <c r="AX2713" s="1">
        <v>2013.0</v>
      </c>
      <c r="AY2713" s="1" t="s">
        <v>387</v>
      </c>
      <c r="AZ2713" s="1" t="s">
        <v>200</v>
      </c>
      <c r="BA2713" s="1" t="str">
        <f>"0332129010"</f>
        <v>0332129010</v>
      </c>
      <c r="BC2713" s="1">
        <v>3684.0</v>
      </c>
      <c r="BD2713" s="1">
        <v>370000.0</v>
      </c>
      <c r="BE2713" s="2">
        <v>42040.0</v>
      </c>
      <c r="BF2713" s="2" t="s">
        <v>24038</v>
      </c>
      <c r="BG2713" s="1" t="s">
        <v>8939</v>
      </c>
      <c r="BH2713" s="1">
        <v>150.0</v>
      </c>
      <c r="BI2713" s="1" t="s">
        <v>1533</v>
      </c>
      <c r="BJ2713" s="1" t="s">
        <v>1349</v>
      </c>
      <c r="BK2713" s="1" t="s">
        <v>580</v>
      </c>
      <c r="BL2713" s="1" t="str">
        <f t="shared" ref="BL2713:BM2713" si="1767">""</f>
        <v/>
      </c>
      <c r="BM2713" s="1" t="str">
        <f t="shared" si="1767"/>
        <v/>
      </c>
      <c r="BN2713" s="1">
        <v>37.0</v>
      </c>
      <c r="BO2713" s="1">
        <v>15.0</v>
      </c>
      <c r="BQ2713" s="1">
        <v>308.0</v>
      </c>
      <c r="BR2713" s="1">
        <v>308.0</v>
      </c>
      <c r="BS2713" s="1">
        <v>308.0</v>
      </c>
      <c r="BU2713" s="1" t="s">
        <v>544</v>
      </c>
      <c r="BV2713" s="1" t="s">
        <v>206</v>
      </c>
      <c r="BW2713" s="1" t="s">
        <v>210</v>
      </c>
      <c r="BX2713" s="1" t="s">
        <v>431</v>
      </c>
      <c r="BY2713" s="1" t="s">
        <v>390</v>
      </c>
      <c r="BZ2713" s="1" t="s">
        <v>206</v>
      </c>
      <c r="CA2713" s="1" t="s">
        <v>210</v>
      </c>
      <c r="CB2713" s="1" t="s">
        <v>1549</v>
      </c>
      <c r="CC2713" s="1" t="s">
        <v>1395</v>
      </c>
      <c r="CD2713" s="1" t="s">
        <v>206</v>
      </c>
      <c r="CE2713" s="1" t="s">
        <v>207</v>
      </c>
      <c r="CF2713" s="1" t="s">
        <v>229</v>
      </c>
      <c r="CG2713" s="1" t="s">
        <v>361</v>
      </c>
      <c r="CH2713" s="1" t="s">
        <v>209</v>
      </c>
      <c r="CI2713" s="1" t="s">
        <v>210</v>
      </c>
      <c r="CJ2713" s="1" t="s">
        <v>431</v>
      </c>
      <c r="CK2713" s="1" t="s">
        <v>1395</v>
      </c>
      <c r="CL2713" s="1" t="s">
        <v>209</v>
      </c>
      <c r="CM2713" s="1" t="s">
        <v>210</v>
      </c>
      <c r="CN2713" s="1" t="s">
        <v>431</v>
      </c>
      <c r="CO2713" s="1" t="s">
        <v>215</v>
      </c>
      <c r="CP2713" s="1" t="s">
        <v>209</v>
      </c>
      <c r="CQ2713" s="1" t="s">
        <v>210</v>
      </c>
      <c r="CR2713" s="1" t="s">
        <v>6917</v>
      </c>
      <c r="CS2713" s="1" t="s">
        <v>584</v>
      </c>
      <c r="CT2713" s="1" t="s">
        <v>206</v>
      </c>
      <c r="CU2713" s="1" t="s">
        <v>268</v>
      </c>
      <c r="CW2713" s="1" t="s">
        <v>1069</v>
      </c>
      <c r="CX2713" s="1" t="s">
        <v>206</v>
      </c>
      <c r="CY2713" s="1" t="s">
        <v>210</v>
      </c>
      <c r="CZ2713" s="1" t="s">
        <v>431</v>
      </c>
      <c r="DA2713" s="1" t="s">
        <v>200</v>
      </c>
      <c r="DC2713" s="1" t="s">
        <v>335</v>
      </c>
      <c r="DD2713" s="1" t="s">
        <v>336</v>
      </c>
      <c r="DE2713" s="1" t="s">
        <v>273</v>
      </c>
      <c r="DF2713" s="1" t="s">
        <v>619</v>
      </c>
      <c r="DG2713" s="1" t="s">
        <v>4976</v>
      </c>
      <c r="DH2713" s="1" t="s">
        <v>856</v>
      </c>
      <c r="DI2713" s="1" t="s">
        <v>9680</v>
      </c>
      <c r="DJ2713" s="1" t="s">
        <v>857</v>
      </c>
      <c r="DK2713" s="1" t="s">
        <v>223</v>
      </c>
      <c r="DL2713" s="1" t="s">
        <v>2220</v>
      </c>
      <c r="DM2713" s="1" t="s">
        <v>338</v>
      </c>
      <c r="DN2713" s="1" t="s">
        <v>24039</v>
      </c>
      <c r="DO2713" s="1" t="s">
        <v>17659</v>
      </c>
      <c r="DP2713" s="1" t="s">
        <v>340</v>
      </c>
      <c r="DQ2713" s="1" t="s">
        <v>931</v>
      </c>
      <c r="DR2713" s="1" t="s">
        <v>588</v>
      </c>
      <c r="DS2713" s="1" t="s">
        <v>368</v>
      </c>
      <c r="DU2713" s="1" t="s">
        <v>24040</v>
      </c>
      <c r="DV2713" s="1" t="s">
        <v>24041</v>
      </c>
      <c r="DW2713" s="1" t="s">
        <v>1026</v>
      </c>
      <c r="DX2713" s="1" t="s">
        <v>3230</v>
      </c>
      <c r="DY2713" s="1" t="s">
        <v>2841</v>
      </c>
      <c r="DZ2713" s="1" t="s">
        <v>12087</v>
      </c>
      <c r="EA2713" s="1" t="s">
        <v>1027</v>
      </c>
      <c r="EB2713" s="1" t="s">
        <v>2915</v>
      </c>
      <c r="EC2713" s="1" t="s">
        <v>237</v>
      </c>
      <c r="ED2713" s="1" t="s">
        <v>407</v>
      </c>
      <c r="EE2713" s="1" t="s">
        <v>493</v>
      </c>
      <c r="EG2713" s="1" t="s">
        <v>557</v>
      </c>
      <c r="EH2713" s="1" t="s">
        <v>556</v>
      </c>
      <c r="EI2713" s="1" t="s">
        <v>598</v>
      </c>
      <c r="EJ2713" s="1" t="s">
        <v>408</v>
      </c>
      <c r="EL2713" s="1" t="s">
        <v>1653</v>
      </c>
      <c r="EM2713" s="1" t="s">
        <v>209</v>
      </c>
      <c r="EN2713" s="1" t="s">
        <v>301</v>
      </c>
      <c r="EO2713" s="1" t="s">
        <v>239</v>
      </c>
      <c r="EP2713" s="1" t="s">
        <v>433</v>
      </c>
      <c r="EQ2713" s="1" t="s">
        <v>206</v>
      </c>
      <c r="ER2713" s="1" t="s">
        <v>268</v>
      </c>
      <c r="ES2713" s="1" t="s">
        <v>431</v>
      </c>
      <c r="ET2713" s="1" t="s">
        <v>300</v>
      </c>
      <c r="EU2713" s="1" t="s">
        <v>206</v>
      </c>
      <c r="EV2713" s="1" t="s">
        <v>210</v>
      </c>
      <c r="EX2713" s="1" t="s">
        <v>5266</v>
      </c>
      <c r="EY2713" s="1" t="s">
        <v>206</v>
      </c>
      <c r="EZ2713" s="1" t="s">
        <v>207</v>
      </c>
      <c r="FC2713" s="1" t="s">
        <v>238</v>
      </c>
      <c r="FF2713" s="1" t="s">
        <v>239</v>
      </c>
      <c r="FG2713" s="1" t="s">
        <v>192</v>
      </c>
      <c r="FH2713" s="1" t="s">
        <v>192</v>
      </c>
      <c r="FJ2713" s="1" t="s">
        <v>14215</v>
      </c>
      <c r="FK2713" s="1" t="s">
        <v>229</v>
      </c>
      <c r="FL2713" s="1" t="s">
        <v>1007</v>
      </c>
      <c r="FM2713" s="1">
        <v>23196.0</v>
      </c>
      <c r="FN2713" s="1" t="s">
        <v>3741</v>
      </c>
      <c r="FO2713" s="1" t="s">
        <v>6775</v>
      </c>
      <c r="FP2713" s="1">
        <v>233155.0</v>
      </c>
      <c r="FQ2713" s="1" t="s">
        <v>6776</v>
      </c>
      <c r="FR2713" s="1">
        <v>221629.0</v>
      </c>
      <c r="FS2713" s="1" t="s">
        <v>14216</v>
      </c>
      <c r="FU2713" s="1" t="s">
        <v>24042</v>
      </c>
      <c r="FV2713" s="1" t="s">
        <v>200</v>
      </c>
      <c r="FW2713" s="1" t="s">
        <v>11662</v>
      </c>
      <c r="FZ2713" s="1" t="s">
        <v>504</v>
      </c>
      <c r="GA2713" s="1" t="s">
        <v>291</v>
      </c>
      <c r="GB2713" s="2">
        <v>42131.0</v>
      </c>
      <c r="GC2713" s="1" t="s">
        <v>24043</v>
      </c>
    </row>
    <row r="2714">
      <c r="A2714" s="1">
        <v>230000.0</v>
      </c>
      <c r="B2714" s="1" t="s">
        <v>185</v>
      </c>
      <c r="C2714" s="1" t="str">
        <f>"08832043"</f>
        <v>08832043</v>
      </c>
      <c r="D2714" s="1" t="s">
        <v>186</v>
      </c>
      <c r="F2714" s="1" t="str">
        <f>"177"</f>
        <v>177</v>
      </c>
      <c r="G2714" s="2">
        <v>42040.0</v>
      </c>
      <c r="H2714" s="1">
        <v>230000.0</v>
      </c>
      <c r="I2714" s="1">
        <v>15.0</v>
      </c>
      <c r="J2714" s="1">
        <v>230000.0</v>
      </c>
      <c r="K2714" s="2">
        <v>42054.0</v>
      </c>
      <c r="L2714" s="1">
        <v>15.0</v>
      </c>
      <c r="M2714" s="2">
        <v>42054.0</v>
      </c>
      <c r="N2714" s="1" t="s">
        <v>356</v>
      </c>
      <c r="O2714" s="2">
        <v>42111.0</v>
      </c>
      <c r="P2714" s="1">
        <v>86584.0</v>
      </c>
      <c r="Q2714" s="1">
        <v>1702.0</v>
      </c>
      <c r="R2714" s="1">
        <v>5000.0</v>
      </c>
      <c r="S2714" s="1">
        <v>515.0</v>
      </c>
      <c r="T2714" s="1" t="s">
        <v>2778</v>
      </c>
      <c r="U2714" s="1" t="s">
        <v>1174</v>
      </c>
      <c r="V2714" s="1" t="s">
        <v>2249</v>
      </c>
      <c r="W2714" s="1">
        <v>60177.0</v>
      </c>
      <c r="Y2714" s="1" t="s">
        <v>24044</v>
      </c>
      <c r="Z2714" s="1">
        <v>1995.0</v>
      </c>
      <c r="AA2714" s="1" t="s">
        <v>200</v>
      </c>
      <c r="AB2714" s="1" t="s">
        <v>193</v>
      </c>
      <c r="AC2714" s="1" t="s">
        <v>24045</v>
      </c>
      <c r="AD2714" s="1" t="s">
        <v>2252</v>
      </c>
      <c r="AE2714" s="1" t="s">
        <v>325</v>
      </c>
      <c r="AF2714" s="1" t="s">
        <v>1203</v>
      </c>
      <c r="AG2714" s="1" t="s">
        <v>24046</v>
      </c>
      <c r="AH2714" s="1">
        <v>0.22</v>
      </c>
      <c r="AK2714" s="1">
        <v>8.0</v>
      </c>
      <c r="AL2714" s="1">
        <v>3.0</v>
      </c>
      <c r="AM2714" s="1">
        <v>2.0</v>
      </c>
      <c r="AN2714" s="1">
        <v>1.0</v>
      </c>
      <c r="AO2714" s="1" t="s">
        <v>198</v>
      </c>
      <c r="AQ2714" s="1" t="s">
        <v>198</v>
      </c>
      <c r="AR2714" s="1" t="s">
        <v>200</v>
      </c>
      <c r="AS2714" s="1" t="s">
        <v>199</v>
      </c>
      <c r="AT2714" s="1">
        <v>2.0</v>
      </c>
      <c r="AV2714" s="1" t="s">
        <v>200</v>
      </c>
      <c r="AW2714" s="1">
        <v>5536.9</v>
      </c>
      <c r="AX2714" s="1">
        <v>2013.0</v>
      </c>
      <c r="AY2714" s="1" t="s">
        <v>387</v>
      </c>
      <c r="AZ2714" s="1" t="s">
        <v>200</v>
      </c>
      <c r="BA2714" s="1" t="str">
        <f>"0903253001"</f>
        <v>0903253001</v>
      </c>
      <c r="BC2714" s="1">
        <v>0.0</v>
      </c>
      <c r="BD2714" s="1">
        <v>230000.0</v>
      </c>
      <c r="BE2714" s="2">
        <v>42040.0</v>
      </c>
      <c r="BF2714" s="2" t="s">
        <v>24047</v>
      </c>
      <c r="BH2714" s="1">
        <v>0.0</v>
      </c>
      <c r="BK2714" s="1" t="s">
        <v>204</v>
      </c>
      <c r="BL2714" s="1" t="str">
        <f t="shared" ref="BL2714:BM2714" si="1768">""</f>
        <v/>
      </c>
      <c r="BM2714" s="1" t="str">
        <f t="shared" si="1768"/>
        <v/>
      </c>
      <c r="BQ2714" s="1">
        <v>303.0</v>
      </c>
      <c r="BR2714" s="1">
        <v>303.0</v>
      </c>
      <c r="BS2714" s="1">
        <v>303.0</v>
      </c>
      <c r="BU2714" s="1" t="s">
        <v>664</v>
      </c>
      <c r="BV2714" s="1" t="s">
        <v>206</v>
      </c>
      <c r="BW2714" s="1" t="s">
        <v>210</v>
      </c>
      <c r="BX2714" s="1" t="s">
        <v>431</v>
      </c>
      <c r="BY2714" s="1" t="s">
        <v>584</v>
      </c>
      <c r="BZ2714" s="1" t="s">
        <v>209</v>
      </c>
      <c r="CA2714" s="1" t="s">
        <v>210</v>
      </c>
      <c r="CB2714" s="1" t="s">
        <v>431</v>
      </c>
      <c r="CC2714" s="1" t="s">
        <v>497</v>
      </c>
      <c r="CD2714" s="1" t="s">
        <v>206</v>
      </c>
      <c r="CE2714" s="1" t="s">
        <v>210</v>
      </c>
      <c r="CF2714" s="1" t="s">
        <v>431</v>
      </c>
      <c r="CG2714" s="1" t="s">
        <v>266</v>
      </c>
      <c r="CH2714" s="1" t="s">
        <v>209</v>
      </c>
      <c r="CI2714" s="1" t="s">
        <v>210</v>
      </c>
      <c r="CJ2714" s="1" t="s">
        <v>431</v>
      </c>
      <c r="CK2714" s="1" t="s">
        <v>332</v>
      </c>
      <c r="CL2714" s="1" t="s">
        <v>209</v>
      </c>
      <c r="CM2714" s="1" t="s">
        <v>210</v>
      </c>
      <c r="CN2714" s="1" t="s">
        <v>431</v>
      </c>
      <c r="CO2714" s="1" t="s">
        <v>331</v>
      </c>
      <c r="CP2714" s="1" t="s">
        <v>42</v>
      </c>
      <c r="CQ2714" s="1" t="s">
        <v>207</v>
      </c>
      <c r="CR2714" s="1" t="s">
        <v>229</v>
      </c>
      <c r="CS2714" s="1" t="s">
        <v>830</v>
      </c>
      <c r="CT2714" s="1" t="s">
        <v>206</v>
      </c>
      <c r="CU2714" s="1" t="s">
        <v>588</v>
      </c>
      <c r="CV2714" s="1" t="s">
        <v>431</v>
      </c>
      <c r="CX2714" s="1" t="s">
        <v>204</v>
      </c>
      <c r="DA2714" s="1" t="s">
        <v>200</v>
      </c>
      <c r="DC2714" s="1" t="s">
        <v>678</v>
      </c>
      <c r="DD2714" s="1" t="s">
        <v>518</v>
      </c>
      <c r="DE2714" s="1" t="s">
        <v>273</v>
      </c>
      <c r="DF2714" s="1" t="s">
        <v>219</v>
      </c>
      <c r="DG2714" s="1" t="s">
        <v>1020</v>
      </c>
      <c r="DH2714" s="1" t="s">
        <v>220</v>
      </c>
      <c r="DI2714" s="1" t="s">
        <v>24048</v>
      </c>
      <c r="DJ2714" s="1" t="s">
        <v>222</v>
      </c>
      <c r="DL2714" s="1" t="s">
        <v>1267</v>
      </c>
      <c r="DM2714" s="1" t="s">
        <v>338</v>
      </c>
      <c r="DO2714" s="1" t="s">
        <v>590</v>
      </c>
      <c r="DP2714" s="1" t="s">
        <v>340</v>
      </c>
      <c r="DQ2714" s="1" t="s">
        <v>228</v>
      </c>
      <c r="DR2714" s="1" t="s">
        <v>229</v>
      </c>
      <c r="DU2714" s="1" t="s">
        <v>24049</v>
      </c>
      <c r="DV2714" s="1" t="s">
        <v>450</v>
      </c>
      <c r="DW2714" s="1" t="s">
        <v>444</v>
      </c>
      <c r="DX2714" s="1" t="s">
        <v>234</v>
      </c>
      <c r="DY2714" s="1" t="s">
        <v>1006</v>
      </c>
      <c r="DZ2714" s="1" t="s">
        <v>236</v>
      </c>
      <c r="EA2714" s="1" t="s">
        <v>344</v>
      </c>
      <c r="EC2714" s="1" t="s">
        <v>237</v>
      </c>
      <c r="ED2714" s="1" t="s">
        <v>312</v>
      </c>
      <c r="EH2714" s="1" t="s">
        <v>450</v>
      </c>
      <c r="EM2714" s="1" t="s">
        <v>238</v>
      </c>
      <c r="EP2714" s="1" t="s">
        <v>582</v>
      </c>
      <c r="EQ2714" s="1" t="s">
        <v>42</v>
      </c>
      <c r="ER2714" s="1" t="s">
        <v>207</v>
      </c>
      <c r="EU2714" s="1" t="s">
        <v>238</v>
      </c>
      <c r="EY2714" s="1" t="s">
        <v>238</v>
      </c>
      <c r="FC2714" s="1" t="s">
        <v>238</v>
      </c>
      <c r="FF2714" s="1" t="s">
        <v>239</v>
      </c>
      <c r="FG2714" s="1" t="s">
        <v>192</v>
      </c>
      <c r="FH2714" s="1" t="s">
        <v>192</v>
      </c>
      <c r="FJ2714" s="1" t="s">
        <v>2262</v>
      </c>
      <c r="FK2714" s="1" t="s">
        <v>229</v>
      </c>
      <c r="FL2714" s="1" t="s">
        <v>24050</v>
      </c>
      <c r="FM2714" s="1">
        <v>22039.0</v>
      </c>
      <c r="FN2714" s="1" t="s">
        <v>24051</v>
      </c>
      <c r="FO2714" s="1" t="s">
        <v>24052</v>
      </c>
      <c r="FP2714" s="1">
        <v>238286.0</v>
      </c>
      <c r="FQ2714" s="1" t="s">
        <v>24053</v>
      </c>
      <c r="FR2714" s="1">
        <v>235042.0</v>
      </c>
      <c r="FU2714" s="1" t="s">
        <v>3678</v>
      </c>
      <c r="FV2714" s="1" t="s">
        <v>200</v>
      </c>
      <c r="FW2714" s="1" t="s">
        <v>631</v>
      </c>
      <c r="FZ2714" s="1" t="s">
        <v>632</v>
      </c>
      <c r="GA2714" s="1" t="s">
        <v>291</v>
      </c>
      <c r="GB2714" s="2">
        <v>42114.0</v>
      </c>
      <c r="GC2714" s="1" t="s">
        <v>24054</v>
      </c>
    </row>
    <row r="2715">
      <c r="A2715" s="1">
        <v>115000.0</v>
      </c>
      <c r="B2715" s="1" t="s">
        <v>185</v>
      </c>
      <c r="C2715" s="1" t="str">
        <f>"08836917"</f>
        <v>08836917</v>
      </c>
      <c r="D2715" s="1" t="s">
        <v>186</v>
      </c>
      <c r="F2715" s="1" t="str">
        <f>"123"</f>
        <v>123</v>
      </c>
      <c r="G2715" s="2">
        <v>42047.0</v>
      </c>
      <c r="H2715" s="1">
        <v>122800.0</v>
      </c>
      <c r="I2715" s="1">
        <v>36.0</v>
      </c>
      <c r="J2715" s="1">
        <v>112000.0</v>
      </c>
      <c r="K2715" s="2">
        <v>42082.0</v>
      </c>
      <c r="L2715" s="1">
        <v>36.0</v>
      </c>
      <c r="M2715" s="2">
        <v>42082.0</v>
      </c>
      <c r="N2715" s="1" t="s">
        <v>356</v>
      </c>
      <c r="O2715" s="2">
        <v>42136.0</v>
      </c>
      <c r="P2715" s="1">
        <v>56104.0</v>
      </c>
      <c r="Q2715" s="1">
        <v>5014.0</v>
      </c>
      <c r="R2715" s="1">
        <v>3000.0</v>
      </c>
      <c r="S2715" s="1">
        <v>28.0</v>
      </c>
      <c r="T2715" s="1" t="s">
        <v>19631</v>
      </c>
      <c r="U2715" s="1" t="s">
        <v>189</v>
      </c>
      <c r="V2715" s="1" t="s">
        <v>465</v>
      </c>
      <c r="W2715" s="1">
        <v>60123.0</v>
      </c>
      <c r="Y2715" s="1" t="s">
        <v>24055</v>
      </c>
      <c r="Z2715" s="1" t="s">
        <v>296</v>
      </c>
      <c r="AA2715" s="1" t="s">
        <v>192</v>
      </c>
      <c r="AB2715" s="1" t="s">
        <v>193</v>
      </c>
      <c r="AD2715" s="1" t="s">
        <v>469</v>
      </c>
      <c r="AE2715" s="1" t="s">
        <v>325</v>
      </c>
      <c r="AF2715" s="1" t="s">
        <v>469</v>
      </c>
      <c r="AH2715" s="1" t="s">
        <v>24056</v>
      </c>
      <c r="AK2715" s="1">
        <v>8.0</v>
      </c>
      <c r="AL2715" s="1">
        <v>4.0</v>
      </c>
      <c r="AM2715" s="1">
        <v>1.0</v>
      </c>
      <c r="AN2715" s="1">
        <v>1.0</v>
      </c>
      <c r="AO2715" s="1" t="s">
        <v>229</v>
      </c>
      <c r="AQ2715" s="1" t="s">
        <v>198</v>
      </c>
      <c r="AR2715" s="1" t="s">
        <v>200</v>
      </c>
      <c r="AS2715" s="1" t="s">
        <v>199</v>
      </c>
      <c r="AT2715" s="1">
        <v>1.0</v>
      </c>
      <c r="AV2715" s="1" t="s">
        <v>200</v>
      </c>
      <c r="AW2715" s="1">
        <v>2886.0</v>
      </c>
      <c r="AX2715" s="1">
        <v>2013.0</v>
      </c>
      <c r="AZ2715" s="1" t="s">
        <v>200</v>
      </c>
      <c r="BA2715" s="1" t="str">
        <f>"0615431014"</f>
        <v>0615431014</v>
      </c>
      <c r="BB2715" s="1" t="s">
        <v>200</v>
      </c>
      <c r="BC2715" s="1">
        <v>0.0</v>
      </c>
      <c r="BD2715" s="1">
        <v>115000.0</v>
      </c>
      <c r="BE2715" s="2">
        <v>42047.0</v>
      </c>
      <c r="BF2715" s="1" t="s">
        <v>24057</v>
      </c>
      <c r="BG2715" s="1" t="s">
        <v>673</v>
      </c>
      <c r="BH2715" s="1">
        <v>0.0</v>
      </c>
      <c r="BI2715" s="1" t="s">
        <v>674</v>
      </c>
      <c r="BJ2715" s="1" t="s">
        <v>675</v>
      </c>
      <c r="BK2715" s="1" t="s">
        <v>204</v>
      </c>
      <c r="BL2715" s="1" t="str">
        <f t="shared" ref="BL2715:BM2715" si="1769">""</f>
        <v/>
      </c>
      <c r="BM2715" s="1" t="str">
        <f t="shared" si="1769"/>
        <v/>
      </c>
      <c r="BQ2715" s="1">
        <v>46.0</v>
      </c>
      <c r="BR2715" s="1">
        <v>46.0</v>
      </c>
      <c r="BS2715" s="1">
        <v>46.0</v>
      </c>
      <c r="BU2715" s="1" t="s">
        <v>677</v>
      </c>
      <c r="BV2715" s="1" t="s">
        <v>206</v>
      </c>
      <c r="BW2715" s="1" t="s">
        <v>210</v>
      </c>
      <c r="BY2715" s="1" t="s">
        <v>433</v>
      </c>
      <c r="BZ2715" s="1" t="s">
        <v>209</v>
      </c>
      <c r="CA2715" s="1" t="s">
        <v>210</v>
      </c>
      <c r="CC2715" s="1" t="s">
        <v>300</v>
      </c>
      <c r="CD2715" s="1" t="s">
        <v>206</v>
      </c>
      <c r="CE2715" s="1" t="s">
        <v>210</v>
      </c>
      <c r="CG2715" s="1" t="s">
        <v>264</v>
      </c>
      <c r="CH2715" s="1" t="s">
        <v>209</v>
      </c>
      <c r="CI2715" s="1" t="s">
        <v>210</v>
      </c>
      <c r="CK2715" s="1" t="s">
        <v>264</v>
      </c>
      <c r="CL2715" s="1" t="s">
        <v>209</v>
      </c>
      <c r="CM2715" s="1" t="s">
        <v>210</v>
      </c>
      <c r="CO2715" s="1" t="s">
        <v>269</v>
      </c>
      <c r="CP2715" s="1" t="s">
        <v>209</v>
      </c>
      <c r="CQ2715" s="1" t="s">
        <v>210</v>
      </c>
      <c r="CS2715" s="1" t="s">
        <v>560</v>
      </c>
      <c r="CT2715" s="1" t="s">
        <v>206</v>
      </c>
      <c r="CU2715" s="1" t="s">
        <v>617</v>
      </c>
      <c r="CX2715" s="1" t="s">
        <v>204</v>
      </c>
      <c r="DA2715" s="1" t="s">
        <v>200</v>
      </c>
      <c r="DC2715" s="1" t="s">
        <v>395</v>
      </c>
      <c r="DE2715" s="1" t="s">
        <v>229</v>
      </c>
      <c r="DF2715" s="1" t="s">
        <v>219</v>
      </c>
      <c r="DH2715" s="1" t="s">
        <v>220</v>
      </c>
      <c r="DI2715" s="1" t="s">
        <v>831</v>
      </c>
      <c r="DJ2715" s="1" t="s">
        <v>222</v>
      </c>
      <c r="DL2715" s="1" t="s">
        <v>223</v>
      </c>
      <c r="DM2715" s="1" t="s">
        <v>229</v>
      </c>
      <c r="DP2715" s="1" t="s">
        <v>340</v>
      </c>
      <c r="DQ2715" s="1" t="s">
        <v>228</v>
      </c>
      <c r="DR2715" s="1" t="s">
        <v>229</v>
      </c>
      <c r="DS2715" s="1" t="s">
        <v>277</v>
      </c>
      <c r="DV2715" s="1" t="s">
        <v>494</v>
      </c>
      <c r="DW2715" s="1" t="s">
        <v>370</v>
      </c>
      <c r="DX2715" s="1" t="s">
        <v>234</v>
      </c>
      <c r="DZ2715" s="1" t="s">
        <v>10128</v>
      </c>
      <c r="EA2715" s="1" t="s">
        <v>344</v>
      </c>
      <c r="EC2715" s="1" t="s">
        <v>237</v>
      </c>
      <c r="ED2715" s="1" t="s">
        <v>1761</v>
      </c>
      <c r="EG2715" s="1" t="s">
        <v>494</v>
      </c>
      <c r="EL2715" s="1" t="s">
        <v>433</v>
      </c>
      <c r="EM2715" s="1" t="s">
        <v>206</v>
      </c>
      <c r="EN2715" s="1" t="s">
        <v>207</v>
      </c>
      <c r="EQ2715" s="1" t="s">
        <v>238</v>
      </c>
      <c r="EU2715" s="1" t="s">
        <v>238</v>
      </c>
      <c r="EY2715" s="1" t="s">
        <v>238</v>
      </c>
      <c r="FC2715" s="1" t="s">
        <v>238</v>
      </c>
      <c r="FF2715" s="1" t="s">
        <v>239</v>
      </c>
      <c r="FG2715" s="1" t="s">
        <v>192</v>
      </c>
      <c r="FH2715" s="1" t="s">
        <v>192</v>
      </c>
      <c r="FJ2715" s="1" t="s">
        <v>498</v>
      </c>
      <c r="FK2715" s="1" t="s">
        <v>229</v>
      </c>
      <c r="FL2715" s="1" t="s">
        <v>3848</v>
      </c>
      <c r="FM2715" s="1">
        <v>432.0</v>
      </c>
      <c r="FN2715" s="1" t="s">
        <v>3849</v>
      </c>
      <c r="FO2715" s="1" t="s">
        <v>24058</v>
      </c>
      <c r="FP2715" s="1">
        <v>77793.0</v>
      </c>
      <c r="FQ2715" s="1" t="s">
        <v>24059</v>
      </c>
      <c r="FU2715" s="1" t="s">
        <v>6968</v>
      </c>
      <c r="FV2715" s="1" t="s">
        <v>200</v>
      </c>
      <c r="FW2715" s="1" t="s">
        <v>290</v>
      </c>
      <c r="FX2715" s="1" t="s">
        <v>655</v>
      </c>
      <c r="FZ2715" s="1" t="s">
        <v>229</v>
      </c>
      <c r="GA2715" s="1" t="s">
        <v>291</v>
      </c>
      <c r="GB2715" s="2">
        <v>42144.0</v>
      </c>
    </row>
    <row r="2716">
      <c r="A2716" s="1">
        <v>42250.0</v>
      </c>
      <c r="B2716" s="1" t="s">
        <v>185</v>
      </c>
      <c r="C2716" s="1" t="str">
        <f>"08833145"</f>
        <v>08833145</v>
      </c>
      <c r="D2716" s="1" t="s">
        <v>186</v>
      </c>
      <c r="F2716" s="1" t="str">
        <f>"8023"</f>
        <v>8023</v>
      </c>
      <c r="G2716" s="2">
        <v>42041.0</v>
      </c>
      <c r="H2716" s="1">
        <v>32000.0</v>
      </c>
      <c r="I2716" s="1">
        <v>21.0</v>
      </c>
      <c r="J2716" s="1">
        <v>32000.0</v>
      </c>
      <c r="K2716" s="2">
        <v>42061.0</v>
      </c>
      <c r="L2716" s="1">
        <v>21.0</v>
      </c>
      <c r="M2716" s="2">
        <v>42061.0</v>
      </c>
      <c r="N2716" s="1" t="s">
        <v>249</v>
      </c>
      <c r="O2716" s="2">
        <v>42104.0</v>
      </c>
      <c r="P2716" s="1">
        <v>150314.0</v>
      </c>
      <c r="Q2716" s="1">
        <v>13691.0</v>
      </c>
      <c r="S2716" s="1">
        <v>854.0</v>
      </c>
      <c r="T2716" s="1" t="s">
        <v>24060</v>
      </c>
      <c r="U2716" s="1" t="s">
        <v>189</v>
      </c>
      <c r="V2716" s="1" t="s">
        <v>190</v>
      </c>
      <c r="W2716" s="1">
        <v>60651.0</v>
      </c>
      <c r="Y2716" s="1" t="s">
        <v>24061</v>
      </c>
      <c r="Z2716" s="1">
        <v>1908.0</v>
      </c>
      <c r="AA2716" s="1" t="s">
        <v>192</v>
      </c>
      <c r="AB2716" s="1" t="s">
        <v>193</v>
      </c>
      <c r="AD2716" s="1" t="s">
        <v>194</v>
      </c>
      <c r="AE2716" s="1" t="s">
        <v>195</v>
      </c>
      <c r="AF2716" s="1" t="s">
        <v>827</v>
      </c>
      <c r="AH2716" s="1">
        <v>3125.0</v>
      </c>
      <c r="AI2716" s="1">
        <v>0.0717</v>
      </c>
      <c r="AK2716" s="1">
        <v>7.0</v>
      </c>
      <c r="AL2716" s="1">
        <v>4.0</v>
      </c>
      <c r="AM2716" s="1">
        <v>1.0</v>
      </c>
      <c r="AN2716" s="1">
        <v>1.0</v>
      </c>
      <c r="AO2716" s="1" t="s">
        <v>229</v>
      </c>
      <c r="AP2716" s="1">
        <v>0.0</v>
      </c>
      <c r="AQ2716" s="1" t="s">
        <v>198</v>
      </c>
      <c r="AR2716" s="1" t="s">
        <v>200</v>
      </c>
      <c r="AS2716" s="1" t="s">
        <v>828</v>
      </c>
      <c r="AU2716" s="1">
        <v>2.0</v>
      </c>
      <c r="AV2716" s="1" t="s">
        <v>200</v>
      </c>
      <c r="AW2716" s="1">
        <v>1718.22</v>
      </c>
      <c r="AX2716" s="1">
        <v>2012.0</v>
      </c>
      <c r="AY2716" s="1" t="s">
        <v>229</v>
      </c>
      <c r="AZ2716" s="1" t="s">
        <v>200</v>
      </c>
      <c r="BA2716" s="1" t="str">
        <f>"16024190170000"</f>
        <v>16024190170000</v>
      </c>
      <c r="BC2716" s="1">
        <v>704.0</v>
      </c>
      <c r="BD2716" s="1">
        <v>42250.0</v>
      </c>
      <c r="BE2716" s="2">
        <v>42041.0</v>
      </c>
      <c r="BF2716" s="2" t="s">
        <v>24062</v>
      </c>
      <c r="BH2716" s="1">
        <v>0.0</v>
      </c>
      <c r="BK2716" s="1" t="s">
        <v>204</v>
      </c>
      <c r="BL2716" s="1" t="str">
        <f>"854"</f>
        <v>854</v>
      </c>
      <c r="BM2716" s="1" t="str">
        <f>"0"</f>
        <v>0</v>
      </c>
      <c r="BN2716" s="1">
        <v>3550.0</v>
      </c>
      <c r="BO2716" s="1">
        <v>0.0</v>
      </c>
      <c r="BQ2716" s="1">
        <v>299.0</v>
      </c>
      <c r="BR2716" s="1">
        <v>299.0</v>
      </c>
      <c r="BS2716" s="1">
        <v>299.0</v>
      </c>
      <c r="BU2716" s="1" t="s">
        <v>1395</v>
      </c>
      <c r="BV2716" s="1" t="s">
        <v>206</v>
      </c>
      <c r="BY2716" s="1" t="s">
        <v>363</v>
      </c>
      <c r="BZ2716" s="1" t="s">
        <v>209</v>
      </c>
      <c r="CC2716" s="1" t="s">
        <v>1329</v>
      </c>
      <c r="CD2716" s="1" t="s">
        <v>206</v>
      </c>
      <c r="CG2716" s="1" t="s">
        <v>363</v>
      </c>
      <c r="CH2716" s="1" t="s">
        <v>209</v>
      </c>
      <c r="CK2716" s="1" t="s">
        <v>363</v>
      </c>
      <c r="CL2716" s="1" t="s">
        <v>209</v>
      </c>
      <c r="CO2716" s="1" t="s">
        <v>264</v>
      </c>
      <c r="CP2716" s="1" t="s">
        <v>206</v>
      </c>
      <c r="CQ2716" s="1" t="s">
        <v>207</v>
      </c>
      <c r="CR2716" s="1" t="s">
        <v>229</v>
      </c>
      <c r="CS2716" s="1" t="s">
        <v>544</v>
      </c>
      <c r="CT2716" s="1" t="s">
        <v>206</v>
      </c>
      <c r="CX2716" s="1" t="s">
        <v>204</v>
      </c>
      <c r="DA2716" s="1" t="s">
        <v>200</v>
      </c>
      <c r="DC2716" s="1" t="s">
        <v>642</v>
      </c>
      <c r="DE2716" s="1" t="s">
        <v>229</v>
      </c>
      <c r="DF2716" s="1" t="s">
        <v>905</v>
      </c>
      <c r="DH2716" s="1" t="s">
        <v>365</v>
      </c>
      <c r="DJ2716" s="1" t="s">
        <v>222</v>
      </c>
      <c r="DK2716" s="1" t="s">
        <v>224</v>
      </c>
      <c r="DL2716" s="1" t="s">
        <v>223</v>
      </c>
      <c r="DM2716" s="1" t="s">
        <v>229</v>
      </c>
      <c r="DQ2716" s="1" t="s">
        <v>718</v>
      </c>
      <c r="DR2716" s="1" t="s">
        <v>229</v>
      </c>
      <c r="DV2716" s="1" t="s">
        <v>232</v>
      </c>
      <c r="DW2716" s="1" t="s">
        <v>279</v>
      </c>
      <c r="DX2716" s="1" t="s">
        <v>234</v>
      </c>
      <c r="EC2716" s="1" t="s">
        <v>645</v>
      </c>
      <c r="EF2716" s="1" t="s">
        <v>7505</v>
      </c>
      <c r="EM2716" s="1" t="s">
        <v>238</v>
      </c>
      <c r="EQ2716" s="1" t="s">
        <v>238</v>
      </c>
      <c r="EU2716" s="1" t="s">
        <v>238</v>
      </c>
      <c r="EY2716" s="1" t="s">
        <v>238</v>
      </c>
      <c r="FC2716" s="1" t="s">
        <v>238</v>
      </c>
      <c r="FF2716" s="1" t="s">
        <v>239</v>
      </c>
      <c r="FG2716" s="1" t="s">
        <v>192</v>
      </c>
      <c r="FH2716" s="1" t="s">
        <v>192</v>
      </c>
      <c r="FJ2716" s="1" t="s">
        <v>285</v>
      </c>
      <c r="FK2716" s="1" t="s">
        <v>229</v>
      </c>
      <c r="FL2716" s="1" t="s">
        <v>18779</v>
      </c>
      <c r="FM2716" s="1">
        <v>23426.0</v>
      </c>
      <c r="FN2716" s="1" t="s">
        <v>18780</v>
      </c>
      <c r="FO2716" s="1" t="s">
        <v>18781</v>
      </c>
      <c r="FP2716" s="1">
        <v>216793.0</v>
      </c>
      <c r="FQ2716" s="1" t="s">
        <v>18782</v>
      </c>
      <c r="FU2716" s="1" t="s">
        <v>24063</v>
      </c>
      <c r="FV2716" s="1" t="s">
        <v>200</v>
      </c>
      <c r="FW2716" s="1" t="s">
        <v>24064</v>
      </c>
      <c r="FX2716" s="1" t="s">
        <v>238</v>
      </c>
      <c r="FZ2716" s="1" t="s">
        <v>229</v>
      </c>
      <c r="GA2716" s="1" t="s">
        <v>291</v>
      </c>
      <c r="GB2716" s="2">
        <v>42104.0</v>
      </c>
      <c r="GC2716" s="1" t="s">
        <v>24065</v>
      </c>
    </row>
    <row r="2717">
      <c r="A2717" s="1">
        <v>87000.0</v>
      </c>
      <c r="B2717" s="1" t="s">
        <v>185</v>
      </c>
      <c r="C2717" s="1" t="str">
        <f>"08831316"</f>
        <v>08831316</v>
      </c>
      <c r="D2717" s="1" t="s">
        <v>186</v>
      </c>
      <c r="F2717" s="1" t="str">
        <f>"8070"</f>
        <v>8070</v>
      </c>
      <c r="G2717" s="2">
        <v>42039.0</v>
      </c>
      <c r="H2717" s="1">
        <v>106700.0</v>
      </c>
      <c r="I2717" s="1">
        <v>63.0</v>
      </c>
      <c r="J2717" s="1">
        <v>106700.0</v>
      </c>
      <c r="K2717" s="2">
        <v>42038.0</v>
      </c>
      <c r="L2717" s="1">
        <v>1.0</v>
      </c>
      <c r="M2717" s="2">
        <v>42038.0</v>
      </c>
      <c r="N2717" s="1" t="s">
        <v>249</v>
      </c>
      <c r="O2717" s="2">
        <v>42062.0</v>
      </c>
      <c r="P2717" s="1">
        <v>172080.0</v>
      </c>
      <c r="Q2717" s="1">
        <v>84124.0</v>
      </c>
      <c r="S2717" s="1">
        <v>8210.0</v>
      </c>
      <c r="T2717" s="1" t="s">
        <v>4202</v>
      </c>
      <c r="U2717" s="1" t="s">
        <v>189</v>
      </c>
      <c r="V2717" s="1" t="s">
        <v>190</v>
      </c>
      <c r="W2717" s="1">
        <v>60652.0</v>
      </c>
      <c r="Y2717" s="1" t="s">
        <v>24066</v>
      </c>
      <c r="Z2717" s="1">
        <v>1949.0</v>
      </c>
      <c r="AA2717" s="1" t="s">
        <v>192</v>
      </c>
      <c r="AB2717" s="1" t="s">
        <v>193</v>
      </c>
      <c r="AD2717" s="1" t="s">
        <v>194</v>
      </c>
      <c r="AE2717" s="1" t="s">
        <v>195</v>
      </c>
      <c r="AF2717" s="1" t="s">
        <v>659</v>
      </c>
      <c r="AH2717" s="1" t="s">
        <v>24067</v>
      </c>
      <c r="AK2717" s="1">
        <v>7.0</v>
      </c>
      <c r="AL2717" s="1">
        <v>4.0</v>
      </c>
      <c r="AM2717" s="1">
        <v>2.0</v>
      </c>
      <c r="AN2717" s="1">
        <v>0.0</v>
      </c>
      <c r="AO2717" s="1" t="s">
        <v>229</v>
      </c>
      <c r="AQ2717" s="1" t="s">
        <v>229</v>
      </c>
      <c r="AR2717" s="1" t="s">
        <v>200</v>
      </c>
      <c r="AS2717" s="1" t="s">
        <v>199</v>
      </c>
      <c r="AT2717" s="1">
        <v>2.0</v>
      </c>
      <c r="AV2717" s="1" t="s">
        <v>200</v>
      </c>
      <c r="AW2717" s="1">
        <v>2131.0</v>
      </c>
      <c r="AX2717" s="1">
        <v>2013.0</v>
      </c>
      <c r="AY2717" s="1" t="s">
        <v>387</v>
      </c>
      <c r="AZ2717" s="1" t="s">
        <v>545</v>
      </c>
      <c r="BA2717" s="1" t="str">
        <f>"19341100350000"</f>
        <v>19341100350000</v>
      </c>
      <c r="BC2717" s="1">
        <v>998.0</v>
      </c>
      <c r="BD2717" s="1">
        <v>87000.0</v>
      </c>
      <c r="BE2717" s="2">
        <v>42038.0</v>
      </c>
      <c r="BF2717" s="1" t="s">
        <v>24068</v>
      </c>
      <c r="BH2717" s="1">
        <v>0.0</v>
      </c>
      <c r="BK2717" s="1" t="s">
        <v>204</v>
      </c>
      <c r="BL2717" s="1" t="str">
        <f t="shared" ref="BL2717:BM2717" si="1770">"0"</f>
        <v>0</v>
      </c>
      <c r="BM2717" s="1" t="str">
        <f t="shared" si="1770"/>
        <v>0</v>
      </c>
      <c r="BN2717" s="1">
        <v>4500.0</v>
      </c>
      <c r="BO2717" s="1">
        <v>8210.0</v>
      </c>
      <c r="BQ2717" s="1">
        <v>299.0</v>
      </c>
      <c r="BR2717" s="1">
        <v>299.0</v>
      </c>
      <c r="BS2717" s="1">
        <v>299.0</v>
      </c>
      <c r="BU2717" s="1" t="s">
        <v>208</v>
      </c>
      <c r="BV2717" s="1" t="s">
        <v>206</v>
      </c>
      <c r="BW2717" s="1" t="s">
        <v>207</v>
      </c>
      <c r="BY2717" s="1" t="s">
        <v>333</v>
      </c>
      <c r="BZ2717" s="1" t="s">
        <v>209</v>
      </c>
      <c r="CA2717" s="1" t="s">
        <v>210</v>
      </c>
      <c r="CC2717" s="1" t="s">
        <v>263</v>
      </c>
      <c r="CD2717" s="1" t="s">
        <v>206</v>
      </c>
      <c r="CE2717" s="1" t="s">
        <v>268</v>
      </c>
      <c r="CG2717" s="1" t="s">
        <v>363</v>
      </c>
      <c r="CH2717" s="1" t="s">
        <v>209</v>
      </c>
      <c r="CI2717" s="1" t="s">
        <v>210</v>
      </c>
      <c r="CK2717" s="1" t="s">
        <v>495</v>
      </c>
      <c r="CL2717" s="1" t="s">
        <v>206</v>
      </c>
      <c r="CM2717" s="1" t="s">
        <v>207</v>
      </c>
      <c r="CO2717" s="1" t="s">
        <v>363</v>
      </c>
      <c r="CP2717" s="1" t="s">
        <v>206</v>
      </c>
      <c r="CQ2717" s="1" t="s">
        <v>207</v>
      </c>
      <c r="CS2717" s="1" t="s">
        <v>663</v>
      </c>
      <c r="CT2717" s="1" t="s">
        <v>206</v>
      </c>
      <c r="CU2717" s="1" t="s">
        <v>268</v>
      </c>
      <c r="CX2717" s="1" t="s">
        <v>204</v>
      </c>
      <c r="DA2717" s="1" t="s">
        <v>200</v>
      </c>
      <c r="DC2717" s="1" t="s">
        <v>702</v>
      </c>
      <c r="DD2717" s="1" t="s">
        <v>518</v>
      </c>
      <c r="DE2717" s="1" t="s">
        <v>273</v>
      </c>
      <c r="DF2717" s="1" t="s">
        <v>219</v>
      </c>
      <c r="DG2717" s="1" t="s">
        <v>337</v>
      </c>
      <c r="DH2717" s="1" t="s">
        <v>307</v>
      </c>
      <c r="DJ2717" s="1" t="s">
        <v>222</v>
      </c>
      <c r="DL2717" s="1" t="s">
        <v>229</v>
      </c>
      <c r="DM2717" s="1" t="s">
        <v>229</v>
      </c>
      <c r="DQ2717" s="1" t="s">
        <v>228</v>
      </c>
      <c r="DR2717" s="1" t="s">
        <v>229</v>
      </c>
      <c r="DV2717" s="1" t="s">
        <v>232</v>
      </c>
      <c r="DW2717" s="1" t="s">
        <v>279</v>
      </c>
      <c r="DX2717" s="1" t="s">
        <v>234</v>
      </c>
      <c r="EA2717" s="1" t="s">
        <v>1075</v>
      </c>
      <c r="EC2717" s="1" t="s">
        <v>237</v>
      </c>
      <c r="EM2717" s="1" t="s">
        <v>238</v>
      </c>
      <c r="EQ2717" s="1" t="s">
        <v>238</v>
      </c>
      <c r="EU2717" s="1" t="s">
        <v>238</v>
      </c>
      <c r="EY2717" s="1" t="s">
        <v>238</v>
      </c>
      <c r="FC2717" s="1" t="s">
        <v>238</v>
      </c>
      <c r="FF2717" s="1" t="s">
        <v>239</v>
      </c>
      <c r="FG2717" s="1" t="s">
        <v>192</v>
      </c>
      <c r="FH2717" s="1" t="s">
        <v>192</v>
      </c>
      <c r="FJ2717" s="1" t="s">
        <v>24069</v>
      </c>
      <c r="FK2717" s="1" t="s">
        <v>229</v>
      </c>
      <c r="FL2717" s="1" t="s">
        <v>1997</v>
      </c>
      <c r="FM2717" s="1">
        <v>84124.0</v>
      </c>
      <c r="FN2717" s="1" t="s">
        <v>3335</v>
      </c>
      <c r="FO2717" s="1" t="s">
        <v>24070</v>
      </c>
      <c r="FP2717" s="1">
        <v>172080.0</v>
      </c>
      <c r="FQ2717" s="1" t="s">
        <v>24071</v>
      </c>
      <c r="FU2717" s="1" t="s">
        <v>24072</v>
      </c>
      <c r="FV2717" s="1" t="s">
        <v>200</v>
      </c>
      <c r="FW2717" s="1" t="s">
        <v>567</v>
      </c>
      <c r="FX2717" s="1" t="s">
        <v>655</v>
      </c>
      <c r="FZ2717" s="1" t="s">
        <v>229</v>
      </c>
      <c r="GA2717" s="1" t="s">
        <v>291</v>
      </c>
      <c r="GB2717" s="2">
        <v>42066.0</v>
      </c>
      <c r="GC2717" s="1" t="s">
        <v>24073</v>
      </c>
    </row>
    <row r="2718">
      <c r="A2718" s="1">
        <v>361000.0</v>
      </c>
      <c r="B2718" s="1" t="s">
        <v>185</v>
      </c>
      <c r="C2718" s="1" t="str">
        <f>"08834637"</f>
        <v>08834637</v>
      </c>
      <c r="D2718" s="1" t="s">
        <v>186</v>
      </c>
      <c r="F2718" s="1" t="str">
        <f>"8074"</f>
        <v>8074</v>
      </c>
      <c r="G2718" s="2">
        <v>42044.0</v>
      </c>
      <c r="H2718" s="1">
        <v>369900.0</v>
      </c>
      <c r="I2718" s="1">
        <v>43.0</v>
      </c>
      <c r="J2718" s="1">
        <v>369900.0</v>
      </c>
      <c r="K2718" s="2">
        <v>42086.0</v>
      </c>
      <c r="L2718" s="1">
        <v>43.0</v>
      </c>
      <c r="M2718" s="2">
        <v>42086.0</v>
      </c>
      <c r="N2718" s="1" t="s">
        <v>187</v>
      </c>
      <c r="O2718" s="2">
        <v>42122.0</v>
      </c>
      <c r="P2718" s="1">
        <v>232400.0</v>
      </c>
      <c r="Q2718" s="1">
        <v>23030.0</v>
      </c>
      <c r="R2718" s="1">
        <v>1.3</v>
      </c>
      <c r="S2718" s="1">
        <v>3451.0</v>
      </c>
      <c r="T2718" s="1" t="s">
        <v>24074</v>
      </c>
      <c r="U2718" s="1" t="s">
        <v>320</v>
      </c>
      <c r="V2718" s="1" t="s">
        <v>190</v>
      </c>
      <c r="W2718" s="1">
        <v>60655.0</v>
      </c>
      <c r="Y2718" s="1" t="s">
        <v>24075</v>
      </c>
      <c r="Z2718" s="1">
        <v>1944.0</v>
      </c>
      <c r="AA2718" s="1" t="s">
        <v>192</v>
      </c>
      <c r="AB2718" s="1" t="s">
        <v>193</v>
      </c>
      <c r="AD2718" s="1" t="s">
        <v>194</v>
      </c>
      <c r="AE2718" s="1" t="s">
        <v>195</v>
      </c>
      <c r="AF2718" s="1" t="s">
        <v>659</v>
      </c>
      <c r="AH2718" s="1" t="s">
        <v>14171</v>
      </c>
      <c r="AK2718" s="1">
        <v>9.0</v>
      </c>
      <c r="AL2718" s="1">
        <v>3.0</v>
      </c>
      <c r="AM2718" s="1">
        <v>3.0</v>
      </c>
      <c r="AN2718" s="1">
        <v>1.0</v>
      </c>
      <c r="AO2718" s="1" t="s">
        <v>198</v>
      </c>
      <c r="AP2718" s="1">
        <v>1.0</v>
      </c>
      <c r="AQ2718" s="1" t="s">
        <v>198</v>
      </c>
      <c r="AR2718" s="1" t="s">
        <v>192</v>
      </c>
      <c r="AS2718" s="1" t="s">
        <v>510</v>
      </c>
      <c r="AT2718" s="1">
        <v>2.0</v>
      </c>
      <c r="AU2718" s="1">
        <v>0.0</v>
      </c>
      <c r="AV2718" s="1" t="s">
        <v>200</v>
      </c>
      <c r="AW2718" s="1">
        <v>2424.53</v>
      </c>
      <c r="AX2718" s="1">
        <v>2013.0</v>
      </c>
      <c r="AZ2718" s="1" t="s">
        <v>200</v>
      </c>
      <c r="BA2718" s="1" t="str">
        <f>"24234010630000"</f>
        <v>24234010630000</v>
      </c>
      <c r="BB2718" s="1" t="s">
        <v>200</v>
      </c>
      <c r="BC2718" s="1">
        <v>2500.0</v>
      </c>
      <c r="BD2718" s="1">
        <v>361000.0</v>
      </c>
      <c r="BE2718" s="2">
        <v>42044.0</v>
      </c>
      <c r="BF2718" s="2" t="s">
        <v>24076</v>
      </c>
      <c r="BH2718" s="1">
        <v>0.0</v>
      </c>
      <c r="BK2718" s="1" t="s">
        <v>204</v>
      </c>
      <c r="BL2718" s="1" t="str">
        <f t="shared" ref="BL2718:BM2718" si="1771">"0"</f>
        <v>0</v>
      </c>
      <c r="BM2718" s="1" t="str">
        <f t="shared" si="1771"/>
        <v>0</v>
      </c>
      <c r="BN2718" s="1">
        <v>3517.0</v>
      </c>
      <c r="BO2718" s="1">
        <v>11500.0</v>
      </c>
      <c r="BQ2718" s="1">
        <v>299.0</v>
      </c>
      <c r="BR2718" s="1">
        <v>299.0</v>
      </c>
      <c r="BS2718" s="1">
        <v>299.0</v>
      </c>
      <c r="BU2718" s="1" t="s">
        <v>715</v>
      </c>
      <c r="BV2718" s="1" t="s">
        <v>206</v>
      </c>
      <c r="BW2718" s="1" t="s">
        <v>207</v>
      </c>
      <c r="BY2718" s="1" t="s">
        <v>1483</v>
      </c>
      <c r="BZ2718" s="1" t="s">
        <v>209</v>
      </c>
      <c r="CA2718" s="1" t="s">
        <v>207</v>
      </c>
      <c r="CC2718" s="1" t="s">
        <v>302</v>
      </c>
      <c r="CD2718" s="1" t="s">
        <v>206</v>
      </c>
      <c r="CE2718" s="1" t="s">
        <v>207</v>
      </c>
      <c r="CG2718" s="1" t="s">
        <v>1068</v>
      </c>
      <c r="CH2718" s="1" t="s">
        <v>209</v>
      </c>
      <c r="CI2718" s="1" t="s">
        <v>210</v>
      </c>
      <c r="CK2718" s="1" t="s">
        <v>4205</v>
      </c>
      <c r="CL2718" s="1" t="s">
        <v>209</v>
      </c>
      <c r="CM2718" s="1" t="s">
        <v>210</v>
      </c>
      <c r="CO2718" s="1" t="s">
        <v>270</v>
      </c>
      <c r="CP2718" s="1" t="s">
        <v>42</v>
      </c>
      <c r="CQ2718" s="1" t="s">
        <v>210</v>
      </c>
      <c r="CS2718" s="1" t="s">
        <v>19639</v>
      </c>
      <c r="CT2718" s="1" t="s">
        <v>206</v>
      </c>
      <c r="CU2718" s="1" t="s">
        <v>207</v>
      </c>
      <c r="CW2718" s="1" t="s">
        <v>333</v>
      </c>
      <c r="CX2718" s="1" t="s">
        <v>42</v>
      </c>
      <c r="CY2718" s="1" t="s">
        <v>268</v>
      </c>
      <c r="DA2718" s="1" t="s">
        <v>200</v>
      </c>
      <c r="DC2718" s="1" t="s">
        <v>1399</v>
      </c>
      <c r="DD2718" s="1" t="s">
        <v>1838</v>
      </c>
      <c r="DE2718" s="1" t="s">
        <v>273</v>
      </c>
      <c r="DF2718" s="1" t="s">
        <v>219</v>
      </c>
      <c r="DH2718" s="1" t="s">
        <v>365</v>
      </c>
      <c r="DI2718" s="1" t="s">
        <v>24077</v>
      </c>
      <c r="DJ2718" s="1" t="s">
        <v>222</v>
      </c>
      <c r="DL2718" s="1" t="s">
        <v>224</v>
      </c>
      <c r="DM2718" s="1" t="s">
        <v>1402</v>
      </c>
      <c r="DN2718" s="1" t="s">
        <v>9325</v>
      </c>
      <c r="DP2718" s="1" t="s">
        <v>276</v>
      </c>
      <c r="DQ2718" s="1" t="s">
        <v>228</v>
      </c>
      <c r="DR2718" s="1" t="s">
        <v>229</v>
      </c>
      <c r="DS2718" s="1" t="s">
        <v>230</v>
      </c>
      <c r="DU2718" s="1" t="s">
        <v>24078</v>
      </c>
      <c r="DV2718" s="1" t="s">
        <v>1407</v>
      </c>
      <c r="DW2718" s="1" t="s">
        <v>444</v>
      </c>
      <c r="DX2718" s="1" t="s">
        <v>234</v>
      </c>
      <c r="DY2718" s="1" t="s">
        <v>2240</v>
      </c>
      <c r="DZ2718" s="1" t="s">
        <v>24079</v>
      </c>
      <c r="EB2718" s="1" t="s">
        <v>684</v>
      </c>
      <c r="EC2718" s="1" t="s">
        <v>237</v>
      </c>
      <c r="ED2718" s="1" t="s">
        <v>407</v>
      </c>
      <c r="EF2718" s="1" t="s">
        <v>834</v>
      </c>
      <c r="EG2718" s="1" t="s">
        <v>1407</v>
      </c>
      <c r="EL2718" s="1" t="s">
        <v>1449</v>
      </c>
      <c r="EM2718" s="1" t="s">
        <v>42</v>
      </c>
      <c r="EN2718" s="1" t="s">
        <v>268</v>
      </c>
      <c r="EQ2718" s="1" t="s">
        <v>238</v>
      </c>
      <c r="EU2718" s="1" t="s">
        <v>238</v>
      </c>
      <c r="EY2718" s="1" t="s">
        <v>238</v>
      </c>
      <c r="FC2718" s="1" t="s">
        <v>238</v>
      </c>
      <c r="FF2718" s="1" t="s">
        <v>239</v>
      </c>
      <c r="FG2718" s="1" t="s">
        <v>192</v>
      </c>
      <c r="FH2718" s="1" t="s">
        <v>192</v>
      </c>
      <c r="FJ2718" s="1" t="s">
        <v>24080</v>
      </c>
      <c r="FK2718" s="1" t="s">
        <v>229</v>
      </c>
      <c r="FL2718" s="1" t="s">
        <v>24081</v>
      </c>
      <c r="FM2718" s="1">
        <v>8945.0</v>
      </c>
      <c r="FN2718" s="1" t="s">
        <v>24082</v>
      </c>
      <c r="FO2718" s="1" t="s">
        <v>24083</v>
      </c>
      <c r="FP2718" s="1">
        <v>84949.0</v>
      </c>
      <c r="FQ2718" s="1" t="s">
        <v>24084</v>
      </c>
      <c r="FU2718" s="1" t="s">
        <v>24085</v>
      </c>
      <c r="FV2718" s="1" t="s">
        <v>200</v>
      </c>
      <c r="FW2718" s="1" t="s">
        <v>290</v>
      </c>
      <c r="FX2718" s="1" t="s">
        <v>246</v>
      </c>
      <c r="FZ2718" s="1" t="s">
        <v>229</v>
      </c>
      <c r="GA2718" s="1" t="s">
        <v>291</v>
      </c>
      <c r="GB2718" s="2">
        <v>42123.0</v>
      </c>
      <c r="GC2718" s="1" t="s">
        <v>24086</v>
      </c>
    </row>
    <row r="2719">
      <c r="A2719" s="1">
        <v>44000.0</v>
      </c>
      <c r="B2719" s="1" t="s">
        <v>185</v>
      </c>
      <c r="C2719" s="1" t="str">
        <f>"08837976"</f>
        <v>08837976</v>
      </c>
      <c r="D2719" s="1" t="s">
        <v>186</v>
      </c>
      <c r="F2719" s="1" t="str">
        <f>"8023"</f>
        <v>8023</v>
      </c>
      <c r="G2719" s="2">
        <v>42048.0</v>
      </c>
      <c r="H2719" s="1">
        <v>57900.0</v>
      </c>
      <c r="I2719" s="1">
        <v>56.0</v>
      </c>
      <c r="J2719" s="1">
        <v>52900.0</v>
      </c>
      <c r="K2719" s="2">
        <v>42102.0</v>
      </c>
      <c r="L2719" s="1">
        <v>56.0</v>
      </c>
      <c r="M2719" s="2">
        <v>42102.0</v>
      </c>
      <c r="N2719" s="1" t="s">
        <v>249</v>
      </c>
      <c r="O2719" s="2">
        <v>42131.0</v>
      </c>
      <c r="P2719" s="1">
        <v>127736.0</v>
      </c>
      <c r="Q2719" s="1">
        <v>14041.0</v>
      </c>
      <c r="S2719" s="1">
        <v>1008.0</v>
      </c>
      <c r="T2719" s="1" t="s">
        <v>5893</v>
      </c>
      <c r="U2719" s="1" t="s">
        <v>189</v>
      </c>
      <c r="V2719" s="1" t="s">
        <v>190</v>
      </c>
      <c r="W2719" s="1">
        <v>60651.0</v>
      </c>
      <c r="Y2719" s="1" t="s">
        <v>24087</v>
      </c>
      <c r="Z2719" s="1">
        <v>1890.0</v>
      </c>
      <c r="AA2719" s="1" t="s">
        <v>192</v>
      </c>
      <c r="AB2719" s="1" t="s">
        <v>193</v>
      </c>
      <c r="AD2719" s="1" t="s">
        <v>194</v>
      </c>
      <c r="AE2719" s="1" t="s">
        <v>195</v>
      </c>
      <c r="AF2719" s="1" t="s">
        <v>827</v>
      </c>
      <c r="AH2719" s="1" t="s">
        <v>359</v>
      </c>
      <c r="AK2719" s="1">
        <v>6.0</v>
      </c>
      <c r="AL2719" s="1">
        <v>2.0</v>
      </c>
      <c r="AM2719" s="1">
        <v>2.0</v>
      </c>
      <c r="AN2719" s="1">
        <v>0.0</v>
      </c>
      <c r="AO2719" s="1" t="s">
        <v>229</v>
      </c>
      <c r="AQ2719" s="1" t="s">
        <v>198</v>
      </c>
      <c r="AR2719" s="1" t="s">
        <v>192</v>
      </c>
      <c r="AS2719" s="1" t="s">
        <v>229</v>
      </c>
      <c r="AV2719" s="1" t="s">
        <v>200</v>
      </c>
      <c r="AW2719" s="1">
        <v>1679.0</v>
      </c>
      <c r="AX2719" s="1">
        <v>2013.0</v>
      </c>
      <c r="AY2719" s="1" t="s">
        <v>387</v>
      </c>
      <c r="AZ2719" s="1" t="s">
        <v>200</v>
      </c>
      <c r="BA2719" s="1" t="str">
        <f>"16023130420000"</f>
        <v>16023130420000</v>
      </c>
      <c r="BC2719" s="1">
        <v>836.0</v>
      </c>
      <c r="BD2719" s="1">
        <v>44000.0</v>
      </c>
      <c r="BE2719" s="2">
        <v>42047.0</v>
      </c>
      <c r="BF2719" s="2" t="s">
        <v>24088</v>
      </c>
      <c r="BH2719" s="1">
        <v>0.0</v>
      </c>
      <c r="BK2719" s="1" t="s">
        <v>204</v>
      </c>
      <c r="BL2719" s="1" t="str">
        <f>"1008"</f>
        <v>1008</v>
      </c>
      <c r="BM2719" s="1" t="str">
        <f>"0"</f>
        <v>0</v>
      </c>
      <c r="BN2719" s="1">
        <v>3700.0</v>
      </c>
      <c r="BO2719" s="1">
        <v>0.0</v>
      </c>
      <c r="BQ2719" s="1">
        <v>299.0</v>
      </c>
      <c r="BR2719" s="1">
        <v>299.0</v>
      </c>
      <c r="BS2719" s="1">
        <v>299.0</v>
      </c>
      <c r="BU2719" s="1" t="s">
        <v>300</v>
      </c>
      <c r="BV2719" s="1" t="s">
        <v>206</v>
      </c>
      <c r="BY2719" s="1" t="s">
        <v>798</v>
      </c>
      <c r="BZ2719" s="1" t="s">
        <v>206</v>
      </c>
      <c r="CD2719" s="1" t="s">
        <v>204</v>
      </c>
      <c r="CG2719" s="1" t="s">
        <v>1746</v>
      </c>
      <c r="CH2719" s="1" t="s">
        <v>206</v>
      </c>
      <c r="CK2719" s="1" t="s">
        <v>798</v>
      </c>
      <c r="CL2719" s="1" t="s">
        <v>42</v>
      </c>
      <c r="CO2719" s="1" t="s">
        <v>798</v>
      </c>
      <c r="CP2719" s="1" t="s">
        <v>42</v>
      </c>
      <c r="CS2719" s="1" t="s">
        <v>663</v>
      </c>
      <c r="CT2719" s="1" t="s">
        <v>206</v>
      </c>
      <c r="CX2719" s="1" t="s">
        <v>204</v>
      </c>
      <c r="DA2719" s="1" t="s">
        <v>200</v>
      </c>
      <c r="DC2719" s="1" t="s">
        <v>642</v>
      </c>
      <c r="DE2719" s="1" t="s">
        <v>273</v>
      </c>
      <c r="DF2719" s="1" t="s">
        <v>219</v>
      </c>
      <c r="DH2719" s="1" t="s">
        <v>220</v>
      </c>
      <c r="DJ2719" s="1" t="s">
        <v>222</v>
      </c>
      <c r="DL2719" s="1" t="s">
        <v>224</v>
      </c>
      <c r="DM2719" s="1" t="s">
        <v>229</v>
      </c>
      <c r="DQ2719" s="1" t="s">
        <v>228</v>
      </c>
      <c r="DR2719" s="1" t="s">
        <v>229</v>
      </c>
      <c r="DV2719" s="1" t="s">
        <v>232</v>
      </c>
      <c r="DW2719" s="1" t="s">
        <v>279</v>
      </c>
      <c r="DX2719" s="1" t="s">
        <v>234</v>
      </c>
      <c r="EC2719" s="1" t="s">
        <v>685</v>
      </c>
      <c r="EM2719" s="1" t="s">
        <v>238</v>
      </c>
      <c r="EQ2719" s="1" t="s">
        <v>238</v>
      </c>
      <c r="EU2719" s="1" t="s">
        <v>238</v>
      </c>
      <c r="EY2719" s="1" t="s">
        <v>238</v>
      </c>
      <c r="FC2719" s="1" t="s">
        <v>238</v>
      </c>
      <c r="FF2719" s="1" t="s">
        <v>239</v>
      </c>
      <c r="FG2719" s="1" t="s">
        <v>192</v>
      </c>
      <c r="FH2719" s="1" t="s">
        <v>192</v>
      </c>
      <c r="FJ2719" s="1" t="s">
        <v>9713</v>
      </c>
      <c r="FK2719" s="1" t="s">
        <v>229</v>
      </c>
      <c r="FL2719" s="1" t="s">
        <v>8724</v>
      </c>
      <c r="FM2719" s="1">
        <v>16795.0</v>
      </c>
      <c r="FN2719" s="1" t="s">
        <v>8725</v>
      </c>
      <c r="FO2719" s="1" t="s">
        <v>8726</v>
      </c>
      <c r="FP2719" s="1">
        <v>110590.0</v>
      </c>
      <c r="FQ2719" s="1" t="s">
        <v>8727</v>
      </c>
      <c r="FR2719" s="1">
        <v>185513.0</v>
      </c>
      <c r="FU2719" s="1" t="s">
        <v>8728</v>
      </c>
      <c r="FV2719" s="1" t="s">
        <v>200</v>
      </c>
      <c r="FW2719" s="1" t="s">
        <v>290</v>
      </c>
      <c r="FX2719" s="1" t="s">
        <v>238</v>
      </c>
      <c r="FZ2719" s="1" t="s">
        <v>229</v>
      </c>
      <c r="GA2719" s="1" t="s">
        <v>291</v>
      </c>
      <c r="GB2719" s="2">
        <v>42131.0</v>
      </c>
      <c r="GC2719" s="1" t="s">
        <v>8729</v>
      </c>
    </row>
    <row r="2720">
      <c r="A2720" s="1">
        <v>485000.0</v>
      </c>
      <c r="B2720" s="1" t="s">
        <v>185</v>
      </c>
      <c r="C2720" s="1" t="str">
        <f>"08833422"</f>
        <v>08833422</v>
      </c>
      <c r="D2720" s="1" t="s">
        <v>186</v>
      </c>
      <c r="F2720" s="1" t="str">
        <f>"10"</f>
        <v>10</v>
      </c>
      <c r="G2720" s="2">
        <v>42042.0</v>
      </c>
      <c r="H2720" s="1">
        <v>510000.0</v>
      </c>
      <c r="I2720" s="1">
        <v>44.0</v>
      </c>
      <c r="J2720" s="1">
        <v>510000.0</v>
      </c>
      <c r="K2720" s="2">
        <v>42085.0</v>
      </c>
      <c r="L2720" s="1">
        <v>44.0</v>
      </c>
      <c r="M2720" s="2">
        <v>42085.0</v>
      </c>
      <c r="N2720" s="1" t="s">
        <v>187</v>
      </c>
      <c r="O2720" s="2">
        <v>42123.0</v>
      </c>
      <c r="P2720" s="1">
        <v>55587.0</v>
      </c>
      <c r="Q2720" s="1">
        <v>5136.0</v>
      </c>
      <c r="S2720" s="1">
        <v>21865.0</v>
      </c>
      <c r="T2720" s="1" t="s">
        <v>3150</v>
      </c>
      <c r="U2720" s="1" t="s">
        <v>1174</v>
      </c>
      <c r="V2720" s="1" t="s">
        <v>914</v>
      </c>
      <c r="W2720" s="1">
        <v>60010.0</v>
      </c>
      <c r="Y2720" s="1" t="s">
        <v>24089</v>
      </c>
      <c r="Z2720" s="1">
        <v>1988.0</v>
      </c>
      <c r="AA2720" s="1" t="s">
        <v>200</v>
      </c>
      <c r="AB2720" s="1" t="s">
        <v>193</v>
      </c>
      <c r="AD2720" s="1" t="s">
        <v>916</v>
      </c>
      <c r="AE2720" s="1" t="s">
        <v>917</v>
      </c>
      <c r="AF2720" s="1" t="s">
        <v>918</v>
      </c>
      <c r="AG2720" s="1" t="s">
        <v>752</v>
      </c>
      <c r="AH2720" s="1" t="s">
        <v>24090</v>
      </c>
      <c r="AI2720" s="1">
        <v>1.5</v>
      </c>
      <c r="AK2720" s="1">
        <v>11.0</v>
      </c>
      <c r="AL2720" s="1">
        <v>4.0</v>
      </c>
      <c r="AM2720" s="1">
        <v>2.0</v>
      </c>
      <c r="AN2720" s="1">
        <v>1.0</v>
      </c>
      <c r="AO2720" s="1" t="s">
        <v>198</v>
      </c>
      <c r="AP2720" s="1">
        <v>2.0</v>
      </c>
      <c r="AQ2720" s="1" t="s">
        <v>198</v>
      </c>
      <c r="AR2720" s="1" t="s">
        <v>200</v>
      </c>
      <c r="AS2720" s="1" t="s">
        <v>510</v>
      </c>
      <c r="AT2720" s="1">
        <v>3.0</v>
      </c>
      <c r="AU2720" s="1">
        <v>3.0</v>
      </c>
      <c r="AV2720" s="1" t="s">
        <v>192</v>
      </c>
      <c r="AW2720" s="1">
        <v>10070.0</v>
      </c>
      <c r="AX2720" s="1">
        <v>2013.0</v>
      </c>
      <c r="AY2720" s="1" t="s">
        <v>387</v>
      </c>
      <c r="AZ2720" s="1" t="s">
        <v>200</v>
      </c>
      <c r="BA2720" s="1" t="str">
        <f>"14301030080000"</f>
        <v>14301030080000</v>
      </c>
      <c r="BC2720" s="1">
        <v>2638.0</v>
      </c>
      <c r="BD2720" s="1">
        <v>485000.0</v>
      </c>
      <c r="BE2720" s="2">
        <v>42042.0</v>
      </c>
      <c r="BF2720" s="2" t="s">
        <v>24091</v>
      </c>
      <c r="BG2720" s="1" t="s">
        <v>921</v>
      </c>
      <c r="BH2720" s="1">
        <v>0.0</v>
      </c>
      <c r="BI2720" s="1" t="s">
        <v>922</v>
      </c>
      <c r="BJ2720" s="1" t="s">
        <v>923</v>
      </c>
      <c r="BK2720" s="1" t="s">
        <v>204</v>
      </c>
      <c r="BL2720" s="1" t="str">
        <f t="shared" ref="BL2720:BM2720" si="1772">""</f>
        <v/>
      </c>
      <c r="BM2720" s="1" t="str">
        <f t="shared" si="1772"/>
        <v/>
      </c>
      <c r="BQ2720" s="1">
        <v>95.0</v>
      </c>
      <c r="BR2720" s="1">
        <v>95.0</v>
      </c>
      <c r="BS2720" s="1">
        <v>95.0</v>
      </c>
      <c r="BU2720" s="1" t="s">
        <v>1045</v>
      </c>
      <c r="BV2720" s="1" t="s">
        <v>206</v>
      </c>
      <c r="BW2720" s="1" t="s">
        <v>207</v>
      </c>
      <c r="BX2720" s="1" t="s">
        <v>1549</v>
      </c>
      <c r="BY2720" s="1" t="s">
        <v>616</v>
      </c>
      <c r="BZ2720" s="1" t="s">
        <v>209</v>
      </c>
      <c r="CA2720" s="1" t="s">
        <v>210</v>
      </c>
      <c r="CC2720" s="1" t="s">
        <v>213</v>
      </c>
      <c r="CD2720" s="1" t="s">
        <v>206</v>
      </c>
      <c r="CE2720" s="1" t="s">
        <v>207</v>
      </c>
      <c r="CG2720" s="1" t="s">
        <v>269</v>
      </c>
      <c r="CH2720" s="1" t="s">
        <v>209</v>
      </c>
      <c r="CI2720" s="1" t="s">
        <v>210</v>
      </c>
      <c r="CJ2720" s="1" t="s">
        <v>1118</v>
      </c>
      <c r="CK2720" s="1" t="s">
        <v>264</v>
      </c>
      <c r="CL2720" s="1" t="s">
        <v>209</v>
      </c>
      <c r="CM2720" s="1" t="s">
        <v>210</v>
      </c>
      <c r="CN2720" s="1" t="s">
        <v>1118</v>
      </c>
      <c r="CO2720" s="1" t="s">
        <v>584</v>
      </c>
      <c r="CP2720" s="1" t="s">
        <v>209</v>
      </c>
      <c r="CQ2720" s="1" t="s">
        <v>210</v>
      </c>
      <c r="CR2720" s="1" t="s">
        <v>1118</v>
      </c>
      <c r="CS2720" s="1" t="s">
        <v>213</v>
      </c>
      <c r="CT2720" s="1" t="s">
        <v>206</v>
      </c>
      <c r="CU2720" s="1" t="s">
        <v>207</v>
      </c>
      <c r="CW2720" s="1" t="s">
        <v>1244</v>
      </c>
      <c r="CX2720" s="1" t="s">
        <v>206</v>
      </c>
      <c r="CY2720" s="1" t="s">
        <v>210</v>
      </c>
      <c r="CZ2720" s="1" t="s">
        <v>1118</v>
      </c>
      <c r="DA2720" s="1" t="s">
        <v>200</v>
      </c>
      <c r="DC2720" s="1" t="s">
        <v>305</v>
      </c>
      <c r="DD2720" s="1" t="s">
        <v>1838</v>
      </c>
      <c r="DE2720" s="1" t="s">
        <v>273</v>
      </c>
      <c r="DF2720" s="1" t="s">
        <v>24092</v>
      </c>
      <c r="DG2720" s="1" t="s">
        <v>12566</v>
      </c>
      <c r="DH2720" s="1" t="s">
        <v>856</v>
      </c>
      <c r="DI2720" s="1" t="s">
        <v>24093</v>
      </c>
      <c r="DJ2720" s="1" t="s">
        <v>857</v>
      </c>
      <c r="DL2720" s="1" t="s">
        <v>858</v>
      </c>
      <c r="DM2720" s="1" t="s">
        <v>338</v>
      </c>
      <c r="DN2720" s="1" t="s">
        <v>339</v>
      </c>
      <c r="DO2720" s="1" t="s">
        <v>6843</v>
      </c>
      <c r="DP2720" s="1" t="s">
        <v>340</v>
      </c>
      <c r="DQ2720" s="1" t="s">
        <v>931</v>
      </c>
      <c r="DR2720" s="1" t="s">
        <v>229</v>
      </c>
      <c r="DV2720" s="1" t="s">
        <v>24094</v>
      </c>
      <c r="DW2720" s="1" t="s">
        <v>964</v>
      </c>
      <c r="DX2720" s="1" t="s">
        <v>234</v>
      </c>
      <c r="DY2720" s="1" t="s">
        <v>9271</v>
      </c>
      <c r="DZ2720" s="1" t="s">
        <v>1100</v>
      </c>
      <c r="EB2720" s="1" t="s">
        <v>937</v>
      </c>
      <c r="EC2720" s="1" t="s">
        <v>237</v>
      </c>
      <c r="ED2720" s="1" t="s">
        <v>407</v>
      </c>
      <c r="EF2720" s="1" t="s">
        <v>8500</v>
      </c>
      <c r="EG2720" s="1" t="s">
        <v>1028</v>
      </c>
      <c r="EH2720" s="1" t="s">
        <v>1491</v>
      </c>
      <c r="EI2720" s="1" t="s">
        <v>450</v>
      </c>
      <c r="EL2720" s="1" t="s">
        <v>392</v>
      </c>
      <c r="EM2720" s="1" t="s">
        <v>206</v>
      </c>
      <c r="EN2720" s="1" t="s">
        <v>268</v>
      </c>
      <c r="EO2720" s="1" t="s">
        <v>431</v>
      </c>
      <c r="EP2720" s="1" t="s">
        <v>1426</v>
      </c>
      <c r="EQ2720" s="1" t="s">
        <v>42</v>
      </c>
      <c r="ET2720" s="1" t="s">
        <v>9950</v>
      </c>
      <c r="EU2720" s="1" t="s">
        <v>42</v>
      </c>
      <c r="EY2720" s="1" t="s">
        <v>238</v>
      </c>
      <c r="FC2720" s="1" t="s">
        <v>238</v>
      </c>
      <c r="FF2720" s="1" t="s">
        <v>239</v>
      </c>
      <c r="FG2720" s="1" t="s">
        <v>192</v>
      </c>
      <c r="FH2720" s="1" t="s">
        <v>192</v>
      </c>
      <c r="FJ2720" s="1" t="s">
        <v>1538</v>
      </c>
      <c r="FK2720" s="1" t="s">
        <v>229</v>
      </c>
      <c r="FL2720" s="1" t="s">
        <v>2026</v>
      </c>
      <c r="FM2720" s="1">
        <v>6018.0</v>
      </c>
      <c r="FN2720" s="1" t="s">
        <v>2027</v>
      </c>
      <c r="FO2720" s="1" t="s">
        <v>24095</v>
      </c>
      <c r="FP2720" s="1">
        <v>60451.0</v>
      </c>
      <c r="FQ2720" s="1" t="s">
        <v>24096</v>
      </c>
      <c r="FU2720" s="1" t="s">
        <v>24097</v>
      </c>
      <c r="FV2720" s="1" t="s">
        <v>200</v>
      </c>
      <c r="FW2720" s="1" t="s">
        <v>1293</v>
      </c>
      <c r="FX2720" s="1" t="s">
        <v>238</v>
      </c>
      <c r="FZ2720" s="1" t="s">
        <v>504</v>
      </c>
      <c r="GA2720" s="1" t="s">
        <v>291</v>
      </c>
      <c r="GB2720" s="2">
        <v>42125.0</v>
      </c>
      <c r="GC2720" s="1" t="s">
        <v>24098</v>
      </c>
    </row>
    <row r="2721">
      <c r="A2721" s="1">
        <v>266000.0</v>
      </c>
      <c r="B2721" s="1" t="s">
        <v>185</v>
      </c>
      <c r="C2721" s="1" t="str">
        <f>"08833797"</f>
        <v>08833797</v>
      </c>
      <c r="D2721" s="1" t="s">
        <v>186</v>
      </c>
      <c r="F2721" s="1" t="str">
        <f>"560"</f>
        <v>560</v>
      </c>
      <c r="G2721" s="2">
        <v>42043.0</v>
      </c>
      <c r="H2721" s="1">
        <v>270000.0</v>
      </c>
      <c r="I2721" s="1">
        <v>213.0</v>
      </c>
      <c r="J2721" s="1">
        <v>270000.0</v>
      </c>
      <c r="K2721" s="2">
        <v>42089.0</v>
      </c>
      <c r="L2721" s="1">
        <v>47.0</v>
      </c>
      <c r="M2721" s="2">
        <v>42089.0</v>
      </c>
      <c r="N2721" s="1" t="s">
        <v>356</v>
      </c>
      <c r="O2721" s="2">
        <v>42135.0</v>
      </c>
      <c r="P2721" s="1">
        <v>259181.0</v>
      </c>
      <c r="Q2721" s="1">
        <v>23286.0</v>
      </c>
      <c r="S2721" s="1">
        <v>53.0</v>
      </c>
      <c r="T2721" s="1" t="s">
        <v>24099</v>
      </c>
      <c r="U2721" s="1" t="s">
        <v>1174</v>
      </c>
      <c r="V2721" s="1" t="s">
        <v>845</v>
      </c>
      <c r="W2721" s="1">
        <v>60560.0</v>
      </c>
      <c r="Y2721" s="1" t="s">
        <v>24100</v>
      </c>
      <c r="Z2721" s="1">
        <v>1978.0</v>
      </c>
      <c r="AA2721" s="1" t="s">
        <v>200</v>
      </c>
      <c r="AB2721" s="1" t="s">
        <v>193</v>
      </c>
      <c r="AC2721" s="1" t="s">
        <v>1770</v>
      </c>
      <c r="AD2721" s="1" t="s">
        <v>848</v>
      </c>
      <c r="AE2721" s="1" t="s">
        <v>849</v>
      </c>
      <c r="AF2721" s="1" t="s">
        <v>1529</v>
      </c>
      <c r="AH2721" s="1" t="s">
        <v>24101</v>
      </c>
      <c r="AI2721" s="1">
        <v>1.35</v>
      </c>
      <c r="AK2721" s="1">
        <v>11.0</v>
      </c>
      <c r="AL2721" s="1">
        <v>4.0</v>
      </c>
      <c r="AM2721" s="1">
        <v>3.0</v>
      </c>
      <c r="AN2721" s="1">
        <v>1.0</v>
      </c>
      <c r="AO2721" s="1" t="s">
        <v>198</v>
      </c>
      <c r="AP2721" s="1">
        <v>2.0</v>
      </c>
      <c r="AQ2721" s="1" t="s">
        <v>198</v>
      </c>
      <c r="AR2721" s="1" t="s">
        <v>192</v>
      </c>
      <c r="AS2721" s="1" t="s">
        <v>199</v>
      </c>
      <c r="AT2721" s="1">
        <v>4.0</v>
      </c>
      <c r="AV2721" s="1" t="s">
        <v>200</v>
      </c>
      <c r="AW2721" s="5">
        <v>9234.0</v>
      </c>
      <c r="AX2721" s="1">
        <v>2013.0</v>
      </c>
      <c r="AY2721" s="1" t="s">
        <v>387</v>
      </c>
      <c r="AZ2721" s="1" t="s">
        <v>200</v>
      </c>
      <c r="BA2721" s="1" t="str">
        <f>"0343128005"</f>
        <v>0343128005</v>
      </c>
      <c r="BC2721" s="1">
        <v>2288.0</v>
      </c>
      <c r="BD2721" s="1">
        <v>266000.0</v>
      </c>
      <c r="BE2721" s="2">
        <v>42043.0</v>
      </c>
      <c r="BF2721" s="2" t="s">
        <v>24102</v>
      </c>
      <c r="BH2721" s="1">
        <v>150.0</v>
      </c>
      <c r="BK2721" s="1" t="s">
        <v>1952</v>
      </c>
      <c r="BL2721" s="1" t="str">
        <f t="shared" ref="BL2721:BM2721" si="1773">"0"</f>
        <v>0</v>
      </c>
      <c r="BM2721" s="1" t="str">
        <f t="shared" si="1773"/>
        <v>0</v>
      </c>
      <c r="BN2721" s="1">
        <v>0.0</v>
      </c>
      <c r="BO2721" s="1">
        <v>0.0</v>
      </c>
      <c r="BQ2721" s="1">
        <v>115.0</v>
      </c>
      <c r="BR2721" s="1">
        <v>115.0</v>
      </c>
      <c r="BS2721" s="1">
        <v>115.0</v>
      </c>
      <c r="BU2721" s="1" t="s">
        <v>784</v>
      </c>
      <c r="BV2721" s="1" t="s">
        <v>206</v>
      </c>
      <c r="BW2721" s="1" t="s">
        <v>207</v>
      </c>
      <c r="BY2721" s="1" t="s">
        <v>1063</v>
      </c>
      <c r="BZ2721" s="1" t="s">
        <v>209</v>
      </c>
      <c r="CA2721" s="1" t="s">
        <v>210</v>
      </c>
      <c r="CC2721" s="1" t="s">
        <v>363</v>
      </c>
      <c r="CD2721" s="1" t="s">
        <v>206</v>
      </c>
      <c r="CE2721" s="1" t="s">
        <v>207</v>
      </c>
      <c r="CG2721" s="1" t="s">
        <v>331</v>
      </c>
      <c r="CH2721" s="1" t="s">
        <v>209</v>
      </c>
      <c r="CI2721" s="1" t="s">
        <v>210</v>
      </c>
      <c r="CK2721" s="1" t="s">
        <v>497</v>
      </c>
      <c r="CL2721" s="1" t="s">
        <v>209</v>
      </c>
      <c r="CM2721" s="1" t="s">
        <v>210</v>
      </c>
      <c r="CO2721" s="1" t="s">
        <v>300</v>
      </c>
      <c r="CP2721" s="1" t="s">
        <v>209</v>
      </c>
      <c r="CQ2721" s="1" t="s">
        <v>210</v>
      </c>
      <c r="CS2721" s="1" t="s">
        <v>300</v>
      </c>
      <c r="CT2721" s="1" t="s">
        <v>206</v>
      </c>
      <c r="CU2721" s="1" t="s">
        <v>207</v>
      </c>
      <c r="CW2721" s="1" t="s">
        <v>1063</v>
      </c>
      <c r="CX2721" s="1" t="s">
        <v>206</v>
      </c>
      <c r="CY2721" s="1" t="s">
        <v>207</v>
      </c>
      <c r="DA2721" s="1" t="s">
        <v>200</v>
      </c>
      <c r="DC2721" s="1" t="s">
        <v>395</v>
      </c>
      <c r="DD2721" s="1" t="s">
        <v>396</v>
      </c>
      <c r="DE2721" s="1" t="s">
        <v>273</v>
      </c>
      <c r="DF2721" s="1" t="s">
        <v>219</v>
      </c>
      <c r="DH2721" s="1" t="s">
        <v>1603</v>
      </c>
      <c r="DI2721" s="1" t="s">
        <v>1318</v>
      </c>
      <c r="DJ2721" s="1" t="s">
        <v>6699</v>
      </c>
      <c r="DL2721" s="1" t="s">
        <v>224</v>
      </c>
      <c r="DM2721" s="1" t="s">
        <v>24103</v>
      </c>
      <c r="DN2721" s="1" t="s">
        <v>399</v>
      </c>
      <c r="DP2721" s="1" t="s">
        <v>340</v>
      </c>
      <c r="DQ2721" s="1" t="s">
        <v>931</v>
      </c>
      <c r="DR2721" s="1" t="s">
        <v>229</v>
      </c>
      <c r="DS2721" s="1" t="s">
        <v>230</v>
      </c>
      <c r="DU2721" s="1" t="s">
        <v>278</v>
      </c>
      <c r="DV2721" s="1" t="s">
        <v>7435</v>
      </c>
      <c r="DW2721" s="1" t="s">
        <v>279</v>
      </c>
      <c r="DX2721" s="1" t="s">
        <v>234</v>
      </c>
      <c r="DY2721" s="1" t="s">
        <v>3488</v>
      </c>
      <c r="DZ2721" s="1" t="s">
        <v>1100</v>
      </c>
      <c r="EA2721" s="1" t="s">
        <v>447</v>
      </c>
      <c r="EB2721" s="1" t="s">
        <v>345</v>
      </c>
      <c r="EC2721" s="1" t="s">
        <v>237</v>
      </c>
      <c r="ED2721" s="1" t="s">
        <v>407</v>
      </c>
      <c r="EE2721" s="1" t="s">
        <v>493</v>
      </c>
      <c r="EG2721" s="1" t="s">
        <v>556</v>
      </c>
      <c r="EI2721" s="1" t="s">
        <v>450</v>
      </c>
      <c r="EJ2721" s="1" t="s">
        <v>451</v>
      </c>
      <c r="EL2721" s="1" t="s">
        <v>303</v>
      </c>
      <c r="EM2721" s="1" t="s">
        <v>206</v>
      </c>
      <c r="EN2721" s="1" t="s">
        <v>207</v>
      </c>
      <c r="EQ2721" s="1" t="s">
        <v>238</v>
      </c>
      <c r="ET2721" s="1" t="s">
        <v>1286</v>
      </c>
      <c r="EU2721" s="1" t="s">
        <v>42</v>
      </c>
      <c r="EV2721" s="1" t="s">
        <v>210</v>
      </c>
      <c r="EX2721" s="1" t="s">
        <v>5799</v>
      </c>
      <c r="EY2721" s="1" t="s">
        <v>42</v>
      </c>
      <c r="EZ2721" s="1" t="s">
        <v>210</v>
      </c>
      <c r="FC2721" s="1" t="s">
        <v>238</v>
      </c>
      <c r="FF2721" s="1" t="s">
        <v>239</v>
      </c>
      <c r="FG2721" s="1" t="s">
        <v>192</v>
      </c>
      <c r="FH2721" s="1" t="s">
        <v>192</v>
      </c>
      <c r="FJ2721" s="1" t="s">
        <v>1450</v>
      </c>
      <c r="FK2721" s="1" t="s">
        <v>229</v>
      </c>
      <c r="FL2721" s="1" t="s">
        <v>2580</v>
      </c>
      <c r="FM2721" s="1">
        <v>23265.0</v>
      </c>
      <c r="FN2721" s="1" t="s">
        <v>2581</v>
      </c>
      <c r="FO2721" s="1" t="s">
        <v>9791</v>
      </c>
      <c r="FP2721" s="1">
        <v>232075.0</v>
      </c>
      <c r="FQ2721" s="1" t="s">
        <v>9792</v>
      </c>
      <c r="FR2721" s="1">
        <v>225730.0</v>
      </c>
      <c r="FS2721" s="1" t="s">
        <v>9793</v>
      </c>
      <c r="FU2721" s="1" t="s">
        <v>16232</v>
      </c>
      <c r="FV2721" s="1" t="s">
        <v>200</v>
      </c>
      <c r="FW2721" s="1" t="s">
        <v>1411</v>
      </c>
      <c r="FZ2721" s="1" t="s">
        <v>632</v>
      </c>
      <c r="GA2721" s="1" t="s">
        <v>291</v>
      </c>
      <c r="GB2721" s="2">
        <v>42135.0</v>
      </c>
      <c r="GC2721" s="1" t="s">
        <v>24104</v>
      </c>
    </row>
    <row r="2722">
      <c r="A2722" s="1">
        <v>460000.0</v>
      </c>
      <c r="B2722" s="1" t="s">
        <v>185</v>
      </c>
      <c r="C2722" s="1" t="str">
        <f>"08842600"</f>
        <v>08842600</v>
      </c>
      <c r="D2722" s="1" t="s">
        <v>186</v>
      </c>
      <c r="F2722" s="1" t="str">
        <f>"8011"</f>
        <v>8011</v>
      </c>
      <c r="G2722" s="2">
        <v>42054.0</v>
      </c>
      <c r="H2722" s="1">
        <v>475015.0</v>
      </c>
      <c r="I2722" s="1">
        <v>28.0</v>
      </c>
      <c r="J2722" s="1">
        <v>474900.0</v>
      </c>
      <c r="K2722" s="2">
        <v>42081.0</v>
      </c>
      <c r="L2722" s="1">
        <v>28.0</v>
      </c>
      <c r="M2722" s="2">
        <v>42081.0</v>
      </c>
      <c r="N2722" s="1" t="s">
        <v>187</v>
      </c>
      <c r="O2722" s="2">
        <v>42114.0</v>
      </c>
      <c r="P2722" s="1">
        <v>106635.0</v>
      </c>
      <c r="Q2722" s="1">
        <v>84729.0</v>
      </c>
      <c r="S2722" s="1">
        <v>5706.0</v>
      </c>
      <c r="T2722" s="1" t="s">
        <v>4428</v>
      </c>
      <c r="U2722" s="1" t="s">
        <v>189</v>
      </c>
      <c r="V2722" s="1" t="s">
        <v>190</v>
      </c>
      <c r="W2722" s="1">
        <v>60646.0</v>
      </c>
      <c r="Y2722" s="1" t="s">
        <v>6132</v>
      </c>
      <c r="Z2722" s="1">
        <v>2014.0</v>
      </c>
      <c r="AA2722" s="1" t="s">
        <v>200</v>
      </c>
      <c r="AB2722" s="1" t="s">
        <v>193</v>
      </c>
      <c r="AD2722" s="1" t="s">
        <v>194</v>
      </c>
      <c r="AE2722" s="1" t="s">
        <v>195</v>
      </c>
      <c r="AF2722" s="1" t="s">
        <v>196</v>
      </c>
      <c r="AG2722" s="1" t="s">
        <v>6133</v>
      </c>
      <c r="AH2722" s="1" t="s">
        <v>20605</v>
      </c>
      <c r="AI2722" s="1">
        <v>0.0899</v>
      </c>
      <c r="AK2722" s="1">
        <v>9.0</v>
      </c>
      <c r="AL2722" s="1">
        <v>4.0</v>
      </c>
      <c r="AM2722" s="1">
        <v>3.0</v>
      </c>
      <c r="AN2722" s="1">
        <v>1.0</v>
      </c>
      <c r="AO2722" s="1" t="s">
        <v>198</v>
      </c>
      <c r="AP2722" s="1">
        <v>1.0</v>
      </c>
      <c r="AQ2722" s="1" t="s">
        <v>5726</v>
      </c>
      <c r="AR2722" s="1" t="s">
        <v>200</v>
      </c>
      <c r="AS2722" s="1" t="s">
        <v>199</v>
      </c>
      <c r="AT2722" s="1">
        <v>2.0</v>
      </c>
      <c r="AV2722" s="1" t="s">
        <v>200</v>
      </c>
      <c r="AW2722" s="1" t="s">
        <v>575</v>
      </c>
      <c r="AX2722" s="1">
        <v>2013.0</v>
      </c>
      <c r="AY2722" s="1" t="s">
        <v>229</v>
      </c>
      <c r="AZ2722" s="1" t="s">
        <v>200</v>
      </c>
      <c r="BA2722" s="1" t="str">
        <f>"13043120320000"</f>
        <v>13043120320000</v>
      </c>
      <c r="BC2722" s="1">
        <v>2783.0</v>
      </c>
      <c r="BD2722" s="1">
        <v>460000.0</v>
      </c>
      <c r="BE2722" s="2">
        <v>42054.0</v>
      </c>
      <c r="BF2722" s="2" t="s">
        <v>24105</v>
      </c>
      <c r="BH2722" s="1">
        <v>125.0</v>
      </c>
      <c r="BK2722" s="1" t="s">
        <v>474</v>
      </c>
      <c r="BL2722" s="1" t="str">
        <f>"5642"</f>
        <v>5642</v>
      </c>
      <c r="BM2722" s="1" t="str">
        <f>"0"</f>
        <v>0</v>
      </c>
      <c r="BN2722" s="1">
        <v>5300.0</v>
      </c>
      <c r="BO2722" s="1">
        <v>0.0</v>
      </c>
      <c r="BQ2722" s="1">
        <v>299.0</v>
      </c>
      <c r="BR2722" s="1">
        <v>299.0</v>
      </c>
      <c r="BS2722" s="1">
        <v>299.0</v>
      </c>
      <c r="BU2722" s="1" t="s">
        <v>361</v>
      </c>
      <c r="BV2722" s="1" t="s">
        <v>267</v>
      </c>
      <c r="BW2722" s="1" t="s">
        <v>207</v>
      </c>
      <c r="BY2722" s="1" t="s">
        <v>1426</v>
      </c>
      <c r="BZ2722" s="1" t="s">
        <v>391</v>
      </c>
      <c r="CA2722" s="1" t="s">
        <v>210</v>
      </c>
      <c r="CC2722" s="1" t="s">
        <v>516</v>
      </c>
      <c r="CD2722" s="1" t="s">
        <v>209</v>
      </c>
      <c r="CE2722" s="1" t="s">
        <v>207</v>
      </c>
      <c r="CG2722" s="1" t="s">
        <v>269</v>
      </c>
      <c r="CH2722" s="1" t="s">
        <v>391</v>
      </c>
      <c r="CI2722" s="1" t="s">
        <v>210</v>
      </c>
      <c r="CK2722" s="1" t="s">
        <v>495</v>
      </c>
      <c r="CL2722" s="1" t="s">
        <v>391</v>
      </c>
      <c r="CM2722" s="1" t="s">
        <v>210</v>
      </c>
      <c r="CO2722" s="1" t="s">
        <v>2459</v>
      </c>
      <c r="CP2722" s="1" t="s">
        <v>267</v>
      </c>
      <c r="CQ2722" s="1" t="s">
        <v>210</v>
      </c>
      <c r="CS2722" s="1" t="s">
        <v>640</v>
      </c>
      <c r="CT2722" s="1" t="s">
        <v>209</v>
      </c>
      <c r="CU2722" s="1" t="s">
        <v>207</v>
      </c>
      <c r="CW2722" s="1" t="s">
        <v>390</v>
      </c>
      <c r="CX2722" s="1" t="s">
        <v>209</v>
      </c>
      <c r="CY2722" s="1" t="s">
        <v>207</v>
      </c>
      <c r="DA2722" s="1" t="s">
        <v>192</v>
      </c>
      <c r="DB2722" s="2">
        <v>42047.0</v>
      </c>
      <c r="DC2722" s="1" t="s">
        <v>744</v>
      </c>
      <c r="DD2722" s="1" t="s">
        <v>306</v>
      </c>
      <c r="DE2722" s="1" t="s">
        <v>273</v>
      </c>
      <c r="DF2722" s="1" t="s">
        <v>219</v>
      </c>
      <c r="DG2722" s="1" t="s">
        <v>337</v>
      </c>
      <c r="DH2722" s="1" t="s">
        <v>307</v>
      </c>
      <c r="DI2722" s="1" t="s">
        <v>1003</v>
      </c>
      <c r="DJ2722" s="1" t="s">
        <v>1048</v>
      </c>
      <c r="DL2722" s="1" t="s">
        <v>224</v>
      </c>
      <c r="DM2722" s="1" t="s">
        <v>229</v>
      </c>
      <c r="DN2722" s="1" t="s">
        <v>548</v>
      </c>
      <c r="DP2722" s="1" t="s">
        <v>340</v>
      </c>
      <c r="DQ2722" s="1" t="s">
        <v>228</v>
      </c>
      <c r="DR2722" s="1" t="s">
        <v>6136</v>
      </c>
      <c r="DS2722" s="1" t="s">
        <v>230</v>
      </c>
      <c r="DU2722" s="1" t="s">
        <v>6137</v>
      </c>
      <c r="DV2722" s="1" t="s">
        <v>1164</v>
      </c>
      <c r="DW2722" s="1" t="s">
        <v>964</v>
      </c>
      <c r="DX2722" s="1" t="s">
        <v>234</v>
      </c>
      <c r="DZ2722" s="1" t="s">
        <v>310</v>
      </c>
      <c r="EA2722" s="1" t="s">
        <v>3112</v>
      </c>
      <c r="EB2722" s="1" t="s">
        <v>1639</v>
      </c>
      <c r="EC2722" s="1" t="s">
        <v>406</v>
      </c>
      <c r="EG2722" s="1" t="s">
        <v>1164</v>
      </c>
      <c r="EL2722" s="1" t="s">
        <v>1067</v>
      </c>
      <c r="EM2722" s="1" t="s">
        <v>267</v>
      </c>
      <c r="EN2722" s="1" t="s">
        <v>210</v>
      </c>
      <c r="EQ2722" s="1" t="s">
        <v>238</v>
      </c>
      <c r="EU2722" s="1" t="s">
        <v>238</v>
      </c>
      <c r="EY2722" s="1" t="s">
        <v>238</v>
      </c>
      <c r="FC2722" s="1" t="s">
        <v>238</v>
      </c>
      <c r="FF2722" s="1" t="s">
        <v>239</v>
      </c>
      <c r="FG2722" s="1" t="s">
        <v>192</v>
      </c>
      <c r="FH2722" s="1" t="s">
        <v>192</v>
      </c>
      <c r="FJ2722" s="1" t="s">
        <v>799</v>
      </c>
      <c r="FK2722" s="1" t="s">
        <v>229</v>
      </c>
      <c r="FL2722" s="1" t="s">
        <v>3156</v>
      </c>
      <c r="FM2722" s="1">
        <v>84729.0</v>
      </c>
      <c r="FN2722" s="1" t="s">
        <v>3157</v>
      </c>
      <c r="FO2722" s="1" t="s">
        <v>4104</v>
      </c>
      <c r="FP2722" s="1">
        <v>106635.0</v>
      </c>
      <c r="FQ2722" s="1" t="s">
        <v>4105</v>
      </c>
      <c r="FU2722" s="1" t="s">
        <v>24106</v>
      </c>
      <c r="FV2722" s="1" t="s">
        <v>200</v>
      </c>
      <c r="FW2722" s="1" t="s">
        <v>290</v>
      </c>
      <c r="FX2722" s="1" t="s">
        <v>238</v>
      </c>
      <c r="FZ2722" s="1" t="s">
        <v>229</v>
      </c>
      <c r="GA2722" s="1" t="s">
        <v>291</v>
      </c>
      <c r="GB2722" s="2">
        <v>42115.0</v>
      </c>
      <c r="GC2722" s="1" t="s">
        <v>24107</v>
      </c>
    </row>
    <row r="2723">
      <c r="A2723" s="1">
        <v>349000.0</v>
      </c>
      <c r="B2723" s="1" t="s">
        <v>185</v>
      </c>
      <c r="C2723" s="1" t="str">
        <f>"08838629"</f>
        <v>08838629</v>
      </c>
      <c r="D2723" s="1" t="s">
        <v>186</v>
      </c>
      <c r="F2723" s="1" t="str">
        <f>"174"</f>
        <v>174</v>
      </c>
      <c r="G2723" s="2">
        <v>42048.0</v>
      </c>
      <c r="H2723" s="1">
        <v>369900.0</v>
      </c>
      <c r="I2723" s="1">
        <v>227.0</v>
      </c>
      <c r="J2723" s="1">
        <v>362000.0</v>
      </c>
      <c r="K2723" s="2">
        <v>42087.0</v>
      </c>
      <c r="L2723" s="1">
        <v>40.0</v>
      </c>
      <c r="M2723" s="2">
        <v>42087.0</v>
      </c>
      <c r="N2723" s="1" t="s">
        <v>187</v>
      </c>
      <c r="O2723" s="2">
        <v>42110.0</v>
      </c>
      <c r="P2723" s="1">
        <v>240806.0</v>
      </c>
      <c r="Q2723" s="1">
        <v>24695.0</v>
      </c>
      <c r="S2723" s="1">
        <v>1800.0</v>
      </c>
      <c r="T2723" s="1" t="s">
        <v>22891</v>
      </c>
      <c r="U2723" s="1" t="s">
        <v>464</v>
      </c>
      <c r="V2723" s="1" t="s">
        <v>1200</v>
      </c>
      <c r="W2723" s="1">
        <v>60174.0</v>
      </c>
      <c r="Y2723" s="1" t="s">
        <v>24108</v>
      </c>
      <c r="Z2723" s="1">
        <v>1988.0</v>
      </c>
      <c r="AA2723" s="1" t="s">
        <v>200</v>
      </c>
      <c r="AB2723" s="1" t="s">
        <v>193</v>
      </c>
      <c r="AC2723" s="1" t="s">
        <v>24109</v>
      </c>
      <c r="AD2723" s="1" t="s">
        <v>1203</v>
      </c>
      <c r="AE2723" s="1" t="s">
        <v>325</v>
      </c>
      <c r="AF2723" s="1" t="s">
        <v>1203</v>
      </c>
      <c r="AH2723" s="1" t="s">
        <v>24110</v>
      </c>
      <c r="AI2723" s="1">
        <v>0.2711</v>
      </c>
      <c r="AK2723" s="1">
        <v>9.0</v>
      </c>
      <c r="AL2723" s="1">
        <v>4.0</v>
      </c>
      <c r="AM2723" s="1">
        <v>3.0</v>
      </c>
      <c r="AN2723" s="1">
        <v>1.0</v>
      </c>
      <c r="AO2723" s="1" t="s">
        <v>198</v>
      </c>
      <c r="AP2723" s="1">
        <v>1.0</v>
      </c>
      <c r="AQ2723" s="1" t="s">
        <v>1314</v>
      </c>
      <c r="AR2723" s="1" t="s">
        <v>192</v>
      </c>
      <c r="AS2723" s="1" t="s">
        <v>199</v>
      </c>
      <c r="AT2723" s="1">
        <v>3.0</v>
      </c>
      <c r="AV2723" s="1" t="s">
        <v>200</v>
      </c>
      <c r="AW2723" s="1">
        <v>9392.2</v>
      </c>
      <c r="AX2723" s="1">
        <v>2013.0</v>
      </c>
      <c r="AY2723" s="1" t="s">
        <v>387</v>
      </c>
      <c r="AZ2723" s="1" t="s">
        <v>200</v>
      </c>
      <c r="BA2723" s="1" t="str">
        <f>"0926176012"</f>
        <v>0926176012</v>
      </c>
      <c r="BB2723" s="1" t="s">
        <v>200</v>
      </c>
      <c r="BC2723" s="1">
        <v>2323.0</v>
      </c>
      <c r="BD2723" s="1">
        <v>349000.0</v>
      </c>
      <c r="BE2723" s="2">
        <v>42048.0</v>
      </c>
      <c r="BF2723" s="2" t="s">
        <v>24111</v>
      </c>
      <c r="BG2723" s="1" t="s">
        <v>5913</v>
      </c>
      <c r="BH2723" s="1">
        <v>0.0</v>
      </c>
      <c r="BI2723" s="1" t="s">
        <v>2143</v>
      </c>
      <c r="BJ2723" s="1" t="s">
        <v>2144</v>
      </c>
      <c r="BK2723" s="1" t="s">
        <v>204</v>
      </c>
      <c r="BL2723" s="1" t="str">
        <f>"3"</f>
        <v>3</v>
      </c>
      <c r="BM2723" s="1" t="str">
        <f>""</f>
        <v/>
      </c>
      <c r="BN2723" s="1">
        <v>34.0</v>
      </c>
      <c r="BQ2723" s="1">
        <v>303.0</v>
      </c>
      <c r="BR2723" s="1">
        <v>303.0</v>
      </c>
      <c r="BS2723" s="1">
        <v>303.0</v>
      </c>
      <c r="BU2723" s="1" t="s">
        <v>1117</v>
      </c>
      <c r="BV2723" s="1" t="s">
        <v>206</v>
      </c>
      <c r="BW2723" s="1" t="s">
        <v>210</v>
      </c>
      <c r="BX2723" s="1" t="s">
        <v>239</v>
      </c>
      <c r="BY2723" s="1" t="s">
        <v>664</v>
      </c>
      <c r="BZ2723" s="1" t="s">
        <v>209</v>
      </c>
      <c r="CA2723" s="1" t="s">
        <v>210</v>
      </c>
      <c r="CB2723" s="1" t="s">
        <v>239</v>
      </c>
      <c r="CC2723" s="1" t="s">
        <v>332</v>
      </c>
      <c r="CD2723" s="1" t="s">
        <v>206</v>
      </c>
      <c r="CE2723" s="1" t="s">
        <v>210</v>
      </c>
      <c r="CF2723" s="1" t="s">
        <v>239</v>
      </c>
      <c r="CG2723" s="1" t="s">
        <v>454</v>
      </c>
      <c r="CH2723" s="1" t="s">
        <v>209</v>
      </c>
      <c r="CI2723" s="1" t="s">
        <v>210</v>
      </c>
      <c r="CJ2723" s="1" t="s">
        <v>239</v>
      </c>
      <c r="CK2723" s="1" t="s">
        <v>262</v>
      </c>
      <c r="CL2723" s="1" t="s">
        <v>209</v>
      </c>
      <c r="CM2723" s="1" t="s">
        <v>210</v>
      </c>
      <c r="CN2723" s="1" t="s">
        <v>239</v>
      </c>
      <c r="CO2723" s="1" t="s">
        <v>699</v>
      </c>
      <c r="CP2723" s="1" t="s">
        <v>209</v>
      </c>
      <c r="CQ2723" s="1" t="s">
        <v>210</v>
      </c>
      <c r="CR2723" s="1" t="s">
        <v>239</v>
      </c>
      <c r="CS2723" s="1" t="s">
        <v>1892</v>
      </c>
      <c r="CT2723" s="1" t="s">
        <v>206</v>
      </c>
      <c r="CU2723" s="1" t="s">
        <v>268</v>
      </c>
      <c r="CV2723" s="1" t="s">
        <v>239</v>
      </c>
      <c r="CW2723" s="1" t="s">
        <v>480</v>
      </c>
      <c r="CX2723" s="1" t="s">
        <v>206</v>
      </c>
      <c r="CY2723" s="1" t="s">
        <v>210</v>
      </c>
      <c r="CZ2723" s="1" t="s">
        <v>239</v>
      </c>
      <c r="DA2723" s="1" t="s">
        <v>200</v>
      </c>
      <c r="DC2723" s="1" t="s">
        <v>305</v>
      </c>
      <c r="DD2723" s="1" t="s">
        <v>336</v>
      </c>
      <c r="DE2723" s="1" t="s">
        <v>273</v>
      </c>
      <c r="DF2723" s="1" t="s">
        <v>219</v>
      </c>
      <c r="DG2723" s="1" t="s">
        <v>482</v>
      </c>
      <c r="DH2723" s="1" t="s">
        <v>220</v>
      </c>
      <c r="DI2723" s="1" t="s">
        <v>959</v>
      </c>
      <c r="DJ2723" s="1" t="s">
        <v>222</v>
      </c>
      <c r="DK2723" s="1" t="s">
        <v>3740</v>
      </c>
      <c r="DL2723" s="1" t="s">
        <v>858</v>
      </c>
      <c r="DM2723" s="1" t="s">
        <v>338</v>
      </c>
      <c r="DN2723" s="1" t="s">
        <v>2330</v>
      </c>
      <c r="DO2723" s="1" t="s">
        <v>1556</v>
      </c>
      <c r="DP2723" s="1" t="s">
        <v>340</v>
      </c>
      <c r="DQ2723" s="1" t="s">
        <v>441</v>
      </c>
      <c r="DR2723" s="1" t="s">
        <v>229</v>
      </c>
      <c r="DS2723" s="1" t="s">
        <v>230</v>
      </c>
      <c r="DU2723" s="1" t="s">
        <v>24112</v>
      </c>
      <c r="DV2723" s="1" t="s">
        <v>450</v>
      </c>
      <c r="DW2723" s="1" t="s">
        <v>934</v>
      </c>
      <c r="DX2723" s="1" t="s">
        <v>234</v>
      </c>
      <c r="DY2723" s="1" t="s">
        <v>24113</v>
      </c>
      <c r="DZ2723" s="1" t="s">
        <v>282</v>
      </c>
      <c r="EA2723" s="1" t="s">
        <v>447</v>
      </c>
      <c r="EB2723" s="1" t="s">
        <v>2915</v>
      </c>
      <c r="EC2723" s="1" t="s">
        <v>237</v>
      </c>
      <c r="ED2723" s="1" t="s">
        <v>407</v>
      </c>
      <c r="EE2723" s="1" t="s">
        <v>187</v>
      </c>
      <c r="EG2723" s="1" t="s">
        <v>450</v>
      </c>
      <c r="EL2723" s="1" t="s">
        <v>333</v>
      </c>
      <c r="EM2723" s="1" t="s">
        <v>267</v>
      </c>
      <c r="EN2723" s="1" t="s">
        <v>210</v>
      </c>
      <c r="EQ2723" s="1" t="s">
        <v>238</v>
      </c>
      <c r="EU2723" s="1" t="s">
        <v>238</v>
      </c>
      <c r="EY2723" s="1" t="s">
        <v>238</v>
      </c>
      <c r="FC2723" s="1" t="s">
        <v>238</v>
      </c>
      <c r="FF2723" s="1" t="s">
        <v>239</v>
      </c>
      <c r="FG2723" s="1" t="s">
        <v>192</v>
      </c>
      <c r="FH2723" s="1" t="s">
        <v>192</v>
      </c>
      <c r="FJ2723" s="1" t="s">
        <v>4598</v>
      </c>
      <c r="FK2723" s="1" t="s">
        <v>229</v>
      </c>
      <c r="FL2723" s="1" t="s">
        <v>1212</v>
      </c>
      <c r="FM2723" s="1">
        <v>30.0</v>
      </c>
      <c r="FN2723" s="1" t="s">
        <v>1213</v>
      </c>
      <c r="FO2723" s="1" t="s">
        <v>4599</v>
      </c>
      <c r="FP2723" s="1">
        <v>878.0</v>
      </c>
      <c r="FQ2723" s="1" t="s">
        <v>4600</v>
      </c>
      <c r="FR2723" s="1">
        <v>236610.0</v>
      </c>
      <c r="FU2723" s="1" t="s">
        <v>11164</v>
      </c>
      <c r="FV2723" s="1" t="s">
        <v>200</v>
      </c>
      <c r="FW2723" s="1" t="s">
        <v>290</v>
      </c>
      <c r="FZ2723" s="1" t="s">
        <v>229</v>
      </c>
      <c r="GA2723" s="1" t="s">
        <v>291</v>
      </c>
      <c r="GB2723" s="2">
        <v>42110.0</v>
      </c>
      <c r="GC2723" s="1" t="s">
        <v>24114</v>
      </c>
    </row>
    <row r="2724">
      <c r="A2724" s="1">
        <v>212500.0</v>
      </c>
      <c r="B2724" s="1" t="s">
        <v>185</v>
      </c>
      <c r="C2724" s="1" t="str">
        <f>"08834944"</f>
        <v>08834944</v>
      </c>
      <c r="D2724" s="1" t="s">
        <v>186</v>
      </c>
      <c r="F2724" s="1" t="str">
        <f>"560"</f>
        <v>560</v>
      </c>
      <c r="G2724" s="2">
        <v>42044.0</v>
      </c>
      <c r="H2724" s="1">
        <v>214900.0</v>
      </c>
      <c r="I2724" s="1">
        <v>31.0</v>
      </c>
      <c r="J2724" s="1">
        <v>214900.0</v>
      </c>
      <c r="K2724" s="2">
        <v>42074.0</v>
      </c>
      <c r="L2724" s="1">
        <v>31.0</v>
      </c>
      <c r="M2724" s="2">
        <v>42074.0</v>
      </c>
      <c r="N2724" s="1" t="s">
        <v>187</v>
      </c>
      <c r="O2724" s="2">
        <v>42101.0</v>
      </c>
      <c r="P2724" s="1">
        <v>701105.0</v>
      </c>
      <c r="Q2724" s="1">
        <v>74602.0</v>
      </c>
      <c r="S2724" s="1">
        <v>45.0</v>
      </c>
      <c r="T2724" s="1" t="s">
        <v>24115</v>
      </c>
      <c r="U2724" s="1" t="s">
        <v>569</v>
      </c>
      <c r="V2724" s="1" t="s">
        <v>845</v>
      </c>
      <c r="W2724" s="1">
        <v>60560.0</v>
      </c>
      <c r="Y2724" s="1" t="s">
        <v>24116</v>
      </c>
      <c r="Z2724" s="1" t="s">
        <v>296</v>
      </c>
      <c r="AA2724" s="1" t="s">
        <v>192</v>
      </c>
      <c r="AB2724" s="1" t="s">
        <v>193</v>
      </c>
      <c r="AD2724" s="1" t="s">
        <v>1089</v>
      </c>
      <c r="AE2724" s="1" t="s">
        <v>849</v>
      </c>
      <c r="AF2724" s="1" t="s">
        <v>18636</v>
      </c>
      <c r="AH2724" s="1" t="s">
        <v>24117</v>
      </c>
      <c r="AI2724" s="1">
        <v>0.69</v>
      </c>
      <c r="AK2724" s="1">
        <v>7.0</v>
      </c>
      <c r="AL2724" s="1">
        <v>4.0</v>
      </c>
      <c r="AM2724" s="1">
        <v>2.0</v>
      </c>
      <c r="AN2724" s="1">
        <v>0.0</v>
      </c>
      <c r="AO2724" s="1" t="s">
        <v>198</v>
      </c>
      <c r="AQ2724" s="1" t="s">
        <v>229</v>
      </c>
      <c r="AR2724" s="1" t="s">
        <v>200</v>
      </c>
      <c r="AS2724" s="1" t="s">
        <v>199</v>
      </c>
      <c r="AT2724" s="1">
        <v>4.0</v>
      </c>
      <c r="AV2724" s="1" t="s">
        <v>200</v>
      </c>
      <c r="AW2724" s="3">
        <v>5374.0</v>
      </c>
      <c r="AX2724" s="1">
        <v>2013.0</v>
      </c>
      <c r="AY2724" s="1" t="s">
        <v>387</v>
      </c>
      <c r="AZ2724" s="1" t="s">
        <v>200</v>
      </c>
      <c r="BA2724" s="1" t="str">
        <f>"0802451002"</f>
        <v>0802451002</v>
      </c>
      <c r="BC2724" s="1">
        <v>0.0</v>
      </c>
      <c r="BD2724" s="1">
        <v>212500.0</v>
      </c>
      <c r="BE2724" s="2">
        <v>42044.0</v>
      </c>
      <c r="BF2724" s="2" t="s">
        <v>24118</v>
      </c>
      <c r="BH2724" s="1">
        <v>0.0</v>
      </c>
      <c r="BK2724" s="1" t="s">
        <v>204</v>
      </c>
      <c r="BL2724" s="1" t="str">
        <f t="shared" ref="BL2724:BM2724" si="1774">""</f>
        <v/>
      </c>
      <c r="BM2724" s="1" t="str">
        <f t="shared" si="1774"/>
        <v/>
      </c>
      <c r="BQ2724" s="1">
        <v>115.0</v>
      </c>
      <c r="BR2724" s="1">
        <v>115.0</v>
      </c>
      <c r="BS2724" s="1">
        <v>115.0</v>
      </c>
      <c r="BU2724" s="1" t="s">
        <v>1000</v>
      </c>
      <c r="BV2724" s="1" t="s">
        <v>206</v>
      </c>
      <c r="BW2724" s="1" t="s">
        <v>210</v>
      </c>
      <c r="BY2724" s="1" t="s">
        <v>582</v>
      </c>
      <c r="BZ2724" s="1" t="s">
        <v>267</v>
      </c>
      <c r="CA2724" s="1" t="s">
        <v>268</v>
      </c>
      <c r="CD2724" s="1" t="s">
        <v>204</v>
      </c>
      <c r="CG2724" s="1" t="s">
        <v>454</v>
      </c>
      <c r="CH2724" s="1" t="s">
        <v>209</v>
      </c>
      <c r="CI2724" s="1" t="s">
        <v>210</v>
      </c>
      <c r="CK2724" s="1" t="s">
        <v>495</v>
      </c>
      <c r="CL2724" s="1" t="s">
        <v>209</v>
      </c>
      <c r="CM2724" s="1" t="s">
        <v>210</v>
      </c>
      <c r="CO2724" s="1" t="s">
        <v>516</v>
      </c>
      <c r="CP2724" s="1" t="s">
        <v>209</v>
      </c>
      <c r="CQ2724" s="1" t="s">
        <v>210</v>
      </c>
      <c r="CS2724" s="1" t="s">
        <v>1117</v>
      </c>
      <c r="CT2724" s="1" t="s">
        <v>206</v>
      </c>
      <c r="CU2724" s="1" t="s">
        <v>207</v>
      </c>
      <c r="CX2724" s="1" t="s">
        <v>204</v>
      </c>
      <c r="DA2724" s="1" t="s">
        <v>200</v>
      </c>
      <c r="DC2724" s="1" t="s">
        <v>395</v>
      </c>
      <c r="DD2724" s="1" t="s">
        <v>957</v>
      </c>
      <c r="DE2724" s="1" t="s">
        <v>273</v>
      </c>
      <c r="DF2724" s="1" t="s">
        <v>219</v>
      </c>
      <c r="DH2724" s="1" t="s">
        <v>856</v>
      </c>
      <c r="DI2724" s="1" t="s">
        <v>308</v>
      </c>
      <c r="DJ2724" s="1" t="s">
        <v>857</v>
      </c>
      <c r="DL2724" s="1" t="s">
        <v>1853</v>
      </c>
      <c r="DM2724" s="1" t="s">
        <v>338</v>
      </c>
      <c r="DO2724" s="1" t="s">
        <v>1208</v>
      </c>
      <c r="DQ2724" s="1" t="s">
        <v>1557</v>
      </c>
      <c r="DR2724" s="1" t="s">
        <v>229</v>
      </c>
      <c r="DV2724" s="1" t="s">
        <v>598</v>
      </c>
      <c r="DW2724" s="1" t="s">
        <v>667</v>
      </c>
      <c r="DX2724" s="1" t="s">
        <v>234</v>
      </c>
      <c r="EA2724" s="1" t="s">
        <v>283</v>
      </c>
      <c r="EC2724" s="1" t="s">
        <v>284</v>
      </c>
      <c r="ED2724" s="1" t="s">
        <v>864</v>
      </c>
      <c r="EG2724" s="1" t="s">
        <v>598</v>
      </c>
      <c r="EL2724" s="1" t="s">
        <v>2047</v>
      </c>
      <c r="EM2724" s="1" t="s">
        <v>267</v>
      </c>
      <c r="EN2724" s="1" t="s">
        <v>268</v>
      </c>
      <c r="EQ2724" s="1" t="s">
        <v>238</v>
      </c>
      <c r="EU2724" s="1" t="s">
        <v>238</v>
      </c>
      <c r="EY2724" s="1" t="s">
        <v>238</v>
      </c>
      <c r="FC2724" s="1" t="s">
        <v>238</v>
      </c>
      <c r="FF2724" s="1" t="s">
        <v>239</v>
      </c>
      <c r="FG2724" s="1" t="s">
        <v>192</v>
      </c>
      <c r="FH2724" s="1" t="s">
        <v>192</v>
      </c>
      <c r="FJ2724" s="1" t="s">
        <v>2552</v>
      </c>
      <c r="FK2724" s="1" t="s">
        <v>229</v>
      </c>
      <c r="FL2724" s="1" t="s">
        <v>1007</v>
      </c>
      <c r="FM2724" s="1">
        <v>93043.0</v>
      </c>
      <c r="FN2724" s="1" t="s">
        <v>1008</v>
      </c>
      <c r="FO2724" s="1" t="s">
        <v>24119</v>
      </c>
      <c r="FP2724" s="1">
        <v>931580.0</v>
      </c>
      <c r="FQ2724" s="1" t="s">
        <v>24120</v>
      </c>
      <c r="FR2724" s="1">
        <v>931581.0</v>
      </c>
      <c r="FU2724" s="1" t="s">
        <v>24121</v>
      </c>
      <c r="FV2724" s="1" t="s">
        <v>200</v>
      </c>
      <c r="FW2724" s="1" t="s">
        <v>1293</v>
      </c>
      <c r="FZ2724" s="1" t="s">
        <v>229</v>
      </c>
      <c r="GA2724" s="1" t="s">
        <v>291</v>
      </c>
      <c r="GB2724" s="2">
        <v>42101.0</v>
      </c>
    </row>
    <row r="2725">
      <c r="A2725" s="1">
        <v>142000.0</v>
      </c>
      <c r="B2725" s="1" t="s">
        <v>185</v>
      </c>
      <c r="C2725" s="1" t="str">
        <f>"08826680"</f>
        <v>08826680</v>
      </c>
      <c r="D2725" s="1" t="s">
        <v>186</v>
      </c>
      <c r="F2725" s="1" t="str">
        <f>"8069"</f>
        <v>8069</v>
      </c>
      <c r="G2725" s="2">
        <v>42033.0</v>
      </c>
      <c r="H2725" s="1">
        <v>145000.0</v>
      </c>
      <c r="I2725" s="1">
        <v>113.0</v>
      </c>
      <c r="J2725" s="1">
        <v>145000.0</v>
      </c>
      <c r="K2725" s="2">
        <v>42068.0</v>
      </c>
      <c r="L2725" s="1">
        <v>36.0</v>
      </c>
      <c r="M2725" s="2">
        <v>42068.0</v>
      </c>
      <c r="N2725" s="1" t="s">
        <v>356</v>
      </c>
      <c r="O2725" s="2">
        <v>42118.0</v>
      </c>
      <c r="P2725" s="1">
        <v>179840.0</v>
      </c>
      <c r="Q2725" s="1">
        <v>18838.0</v>
      </c>
      <c r="R2725" s="1">
        <v>3.0</v>
      </c>
      <c r="S2725" s="1">
        <v>7703.0</v>
      </c>
      <c r="T2725" s="1" t="s">
        <v>24122</v>
      </c>
      <c r="U2725" s="1" t="s">
        <v>569</v>
      </c>
      <c r="V2725" s="1" t="s">
        <v>190</v>
      </c>
      <c r="W2725" s="1">
        <v>60619.0</v>
      </c>
      <c r="Y2725" s="1" t="s">
        <v>24123</v>
      </c>
      <c r="Z2725" s="1">
        <v>1915.0</v>
      </c>
      <c r="AA2725" s="1" t="s">
        <v>192</v>
      </c>
      <c r="AB2725" s="1" t="s">
        <v>193</v>
      </c>
      <c r="AD2725" s="1" t="s">
        <v>194</v>
      </c>
      <c r="AE2725" s="1" t="s">
        <v>195</v>
      </c>
      <c r="AF2725" s="1" t="s">
        <v>1154</v>
      </c>
      <c r="AH2725" s="1" t="s">
        <v>359</v>
      </c>
      <c r="AK2725" s="1">
        <v>9.0</v>
      </c>
      <c r="AL2725" s="1">
        <v>2.0</v>
      </c>
      <c r="AM2725" s="1">
        <v>3.0</v>
      </c>
      <c r="AN2725" s="1">
        <v>0.0</v>
      </c>
      <c r="AO2725" s="1" t="s">
        <v>198</v>
      </c>
      <c r="AQ2725" s="1" t="s">
        <v>198</v>
      </c>
      <c r="AR2725" s="1" t="s">
        <v>192</v>
      </c>
      <c r="AS2725" s="1" t="s">
        <v>510</v>
      </c>
      <c r="AT2725" s="1">
        <v>2.0</v>
      </c>
      <c r="AU2725" s="1">
        <v>2.0</v>
      </c>
      <c r="AV2725" s="1" t="s">
        <v>200</v>
      </c>
      <c r="AW2725" s="1">
        <v>1910.0</v>
      </c>
      <c r="AX2725" s="1">
        <v>2013.0</v>
      </c>
      <c r="AZ2725" s="1" t="s">
        <v>200</v>
      </c>
      <c r="BA2725" s="1" t="str">
        <f>"20274160020000"</f>
        <v>20274160020000</v>
      </c>
      <c r="BC2725" s="1">
        <v>1209.0</v>
      </c>
      <c r="BD2725" s="1">
        <v>142000.0</v>
      </c>
      <c r="BE2725" s="2">
        <v>42033.0</v>
      </c>
      <c r="BF2725" s="2" t="s">
        <v>24124</v>
      </c>
      <c r="BH2725" s="1">
        <v>0.0</v>
      </c>
      <c r="BK2725" s="1" t="s">
        <v>204</v>
      </c>
      <c r="BL2725" s="1" t="str">
        <f>"0"</f>
        <v>0</v>
      </c>
      <c r="BM2725" s="1" t="str">
        <f>"400"</f>
        <v>400</v>
      </c>
      <c r="BN2725" s="1">
        <v>0.0</v>
      </c>
      <c r="BO2725" s="1">
        <v>7700.0</v>
      </c>
      <c r="BQ2725" s="1">
        <v>299.0</v>
      </c>
      <c r="BR2725" s="1">
        <v>299.0</v>
      </c>
      <c r="BS2725" s="1">
        <v>299.0</v>
      </c>
      <c r="BU2725" s="1" t="s">
        <v>1069</v>
      </c>
      <c r="BV2725" s="1" t="s">
        <v>206</v>
      </c>
      <c r="BY2725" s="1" t="s">
        <v>24125</v>
      </c>
      <c r="BZ2725" s="1" t="s">
        <v>209</v>
      </c>
      <c r="CC2725" s="1" t="s">
        <v>262</v>
      </c>
      <c r="CD2725" s="1" t="s">
        <v>206</v>
      </c>
      <c r="CG2725" s="1" t="s">
        <v>1352</v>
      </c>
      <c r="CH2725" s="1" t="s">
        <v>206</v>
      </c>
      <c r="CK2725" s="1" t="s">
        <v>663</v>
      </c>
      <c r="CL2725" s="1" t="s">
        <v>42</v>
      </c>
      <c r="CO2725" s="1" t="s">
        <v>647</v>
      </c>
      <c r="CP2725" s="1" t="s">
        <v>42</v>
      </c>
      <c r="CS2725" s="1" t="s">
        <v>269</v>
      </c>
      <c r="CT2725" s="1" t="s">
        <v>206</v>
      </c>
      <c r="CW2725" s="1" t="s">
        <v>2181</v>
      </c>
      <c r="CX2725" s="1" t="s">
        <v>42</v>
      </c>
      <c r="DA2725" s="1" t="s">
        <v>200</v>
      </c>
      <c r="DC2725" s="1" t="s">
        <v>216</v>
      </c>
      <c r="DE2725" s="1" t="s">
        <v>273</v>
      </c>
      <c r="DF2725" s="1" t="s">
        <v>905</v>
      </c>
      <c r="DH2725" s="1" t="s">
        <v>365</v>
      </c>
      <c r="DJ2725" s="1" t="s">
        <v>222</v>
      </c>
      <c r="DL2725" s="1" t="s">
        <v>224</v>
      </c>
      <c r="DM2725" s="1" t="s">
        <v>225</v>
      </c>
      <c r="DQ2725" s="1" t="s">
        <v>228</v>
      </c>
      <c r="DR2725" s="1" t="s">
        <v>229</v>
      </c>
      <c r="DV2725" s="1" t="s">
        <v>1121</v>
      </c>
      <c r="DW2725" s="1" t="s">
        <v>279</v>
      </c>
      <c r="DX2725" s="1" t="s">
        <v>234</v>
      </c>
      <c r="EC2725" s="1" t="s">
        <v>645</v>
      </c>
      <c r="ED2725" s="1" t="s">
        <v>1761</v>
      </c>
      <c r="EG2725" s="1" t="s">
        <v>1121</v>
      </c>
      <c r="EL2725" s="1" t="s">
        <v>264</v>
      </c>
      <c r="EM2725" s="1" t="s">
        <v>206</v>
      </c>
      <c r="EQ2725" s="1" t="s">
        <v>238</v>
      </c>
      <c r="EU2725" s="1" t="s">
        <v>238</v>
      </c>
      <c r="EY2725" s="1" t="s">
        <v>238</v>
      </c>
      <c r="FC2725" s="1" t="s">
        <v>238</v>
      </c>
      <c r="FF2725" s="1" t="s">
        <v>239</v>
      </c>
      <c r="FG2725" s="1" t="s">
        <v>192</v>
      </c>
      <c r="FH2725" s="1" t="s">
        <v>192</v>
      </c>
      <c r="FJ2725" s="1" t="s">
        <v>1585</v>
      </c>
      <c r="FK2725" s="1" t="s">
        <v>229</v>
      </c>
      <c r="FL2725" s="1" t="s">
        <v>4433</v>
      </c>
      <c r="FM2725" s="1">
        <v>18235.0</v>
      </c>
      <c r="FN2725" s="1" t="s">
        <v>4434</v>
      </c>
      <c r="FO2725" s="1" t="s">
        <v>24126</v>
      </c>
      <c r="FP2725" s="1">
        <v>169471.0</v>
      </c>
      <c r="FQ2725" s="1" t="s">
        <v>24127</v>
      </c>
      <c r="FU2725" s="1" t="s">
        <v>710</v>
      </c>
      <c r="FV2725" s="1" t="s">
        <v>200</v>
      </c>
      <c r="FW2725" s="1" t="s">
        <v>290</v>
      </c>
      <c r="FX2725" s="1" t="s">
        <v>655</v>
      </c>
      <c r="FZ2725" s="1" t="s">
        <v>229</v>
      </c>
      <c r="GA2725" s="1" t="s">
        <v>291</v>
      </c>
      <c r="GB2725" s="2">
        <v>42121.0</v>
      </c>
    </row>
    <row r="2726">
      <c r="A2726" s="1">
        <v>222500.0</v>
      </c>
      <c r="B2726" s="1" t="s">
        <v>185</v>
      </c>
      <c r="C2726" s="1" t="str">
        <f>"08825335"</f>
        <v>08825335</v>
      </c>
      <c r="D2726" s="1" t="s">
        <v>186</v>
      </c>
      <c r="F2726" s="1" t="str">
        <f>"103"</f>
        <v>103</v>
      </c>
      <c r="G2726" s="2">
        <v>42031.0</v>
      </c>
      <c r="H2726" s="1">
        <v>228900.0</v>
      </c>
      <c r="I2726" s="1">
        <v>166.0</v>
      </c>
      <c r="J2726" s="1">
        <v>225000.0</v>
      </c>
      <c r="K2726" s="2">
        <v>42104.0</v>
      </c>
      <c r="L2726" s="1">
        <v>75.0</v>
      </c>
      <c r="M2726" s="2">
        <v>42104.0</v>
      </c>
      <c r="N2726" s="1" t="s">
        <v>356</v>
      </c>
      <c r="O2726" s="2">
        <v>42146.0</v>
      </c>
      <c r="P2726" s="1">
        <v>87047.0</v>
      </c>
      <c r="Q2726" s="1">
        <v>8340.0</v>
      </c>
      <c r="S2726" s="1">
        <v>2051.0</v>
      </c>
      <c r="T2726" s="1" t="s">
        <v>22192</v>
      </c>
      <c r="U2726" s="1" t="s">
        <v>1174</v>
      </c>
      <c r="V2726" s="1" t="s">
        <v>251</v>
      </c>
      <c r="W2726" s="1">
        <v>60133.0</v>
      </c>
      <c r="Y2726" s="1" t="s">
        <v>24128</v>
      </c>
      <c r="Z2726" s="1">
        <v>1972.0</v>
      </c>
      <c r="AA2726" s="1" t="s">
        <v>192</v>
      </c>
      <c r="AB2726" s="1" t="s">
        <v>193</v>
      </c>
      <c r="AC2726" s="1" t="s">
        <v>22257</v>
      </c>
      <c r="AD2726" s="1" t="s">
        <v>254</v>
      </c>
      <c r="AE2726" s="1" t="s">
        <v>195</v>
      </c>
      <c r="AF2726" s="1" t="s">
        <v>298</v>
      </c>
      <c r="AH2726" s="1" t="s">
        <v>24129</v>
      </c>
      <c r="AI2726" s="1">
        <v>0.1928</v>
      </c>
      <c r="AK2726" s="1">
        <v>9.0</v>
      </c>
      <c r="AL2726" s="1">
        <v>4.0</v>
      </c>
      <c r="AM2726" s="1">
        <v>2.0</v>
      </c>
      <c r="AN2726" s="1">
        <v>0.0</v>
      </c>
      <c r="AO2726" s="1" t="s">
        <v>1261</v>
      </c>
      <c r="AP2726" s="1">
        <v>1.0</v>
      </c>
      <c r="AQ2726" s="1" t="s">
        <v>951</v>
      </c>
      <c r="AR2726" s="1" t="s">
        <v>192</v>
      </c>
      <c r="AS2726" s="1" t="s">
        <v>199</v>
      </c>
      <c r="AT2726" s="1">
        <v>2.5</v>
      </c>
      <c r="AV2726" s="1" t="s">
        <v>200</v>
      </c>
      <c r="AW2726" s="1">
        <v>5393.97</v>
      </c>
      <c r="AX2726" s="1">
        <v>2013.0</v>
      </c>
      <c r="AY2726" s="1" t="s">
        <v>387</v>
      </c>
      <c r="AZ2726" s="1" t="s">
        <v>200</v>
      </c>
      <c r="BA2726" s="1" t="str">
        <f>"06253070060000"</f>
        <v>06253070060000</v>
      </c>
      <c r="BC2726" s="1">
        <v>2428.0</v>
      </c>
      <c r="BD2726" s="1">
        <v>222500.0</v>
      </c>
      <c r="BE2726" s="2">
        <v>42030.0</v>
      </c>
      <c r="BF2726" s="2" t="s">
        <v>24130</v>
      </c>
      <c r="BG2726" s="1" t="s">
        <v>13268</v>
      </c>
      <c r="BH2726" s="1">
        <v>0.0</v>
      </c>
      <c r="BI2726" s="1" t="s">
        <v>513</v>
      </c>
      <c r="BJ2726" s="1" t="s">
        <v>757</v>
      </c>
      <c r="BK2726" s="1" t="s">
        <v>204</v>
      </c>
      <c r="BL2726" s="1" t="str">
        <f t="shared" ref="BL2726:BM2726" si="1775">""</f>
        <v/>
      </c>
      <c r="BM2726" s="1" t="str">
        <f t="shared" si="1775"/>
        <v/>
      </c>
      <c r="BQ2726" s="1">
        <v>46.0</v>
      </c>
      <c r="BR2726" s="1">
        <v>46.0</v>
      </c>
      <c r="BS2726" s="1">
        <v>46.0</v>
      </c>
      <c r="BU2726" s="1" t="s">
        <v>214</v>
      </c>
      <c r="BV2726" s="1" t="s">
        <v>206</v>
      </c>
      <c r="BW2726" s="1" t="s">
        <v>207</v>
      </c>
      <c r="BX2726" s="1" t="s">
        <v>431</v>
      </c>
      <c r="BY2726" s="1" t="s">
        <v>582</v>
      </c>
      <c r="BZ2726" s="1" t="s">
        <v>206</v>
      </c>
      <c r="CA2726" s="1" t="s">
        <v>210</v>
      </c>
      <c r="CB2726" s="1" t="s">
        <v>431</v>
      </c>
      <c r="CC2726" s="1" t="s">
        <v>495</v>
      </c>
      <c r="CD2726" s="1" t="s">
        <v>206</v>
      </c>
      <c r="CE2726" s="1" t="s">
        <v>207</v>
      </c>
      <c r="CF2726" s="1" t="s">
        <v>431</v>
      </c>
      <c r="CG2726" s="1" t="s">
        <v>262</v>
      </c>
      <c r="CH2726" s="1" t="s">
        <v>206</v>
      </c>
      <c r="CI2726" s="1" t="s">
        <v>210</v>
      </c>
      <c r="CJ2726" s="1" t="s">
        <v>431</v>
      </c>
      <c r="CK2726" s="1" t="s">
        <v>1119</v>
      </c>
      <c r="CL2726" s="1" t="s">
        <v>206</v>
      </c>
      <c r="CM2726" s="1" t="s">
        <v>210</v>
      </c>
      <c r="CN2726" s="1" t="s">
        <v>431</v>
      </c>
      <c r="CO2726" s="1" t="s">
        <v>432</v>
      </c>
      <c r="CP2726" s="1" t="s">
        <v>1697</v>
      </c>
      <c r="CQ2726" s="1" t="s">
        <v>268</v>
      </c>
      <c r="CS2726" s="1" t="s">
        <v>1397</v>
      </c>
      <c r="CT2726" s="1" t="s">
        <v>206</v>
      </c>
      <c r="CU2726" s="1" t="s">
        <v>268</v>
      </c>
      <c r="CV2726" s="1" t="s">
        <v>431</v>
      </c>
      <c r="CW2726" s="1" t="s">
        <v>2852</v>
      </c>
      <c r="CX2726" s="1" t="s">
        <v>1697</v>
      </c>
      <c r="CY2726" s="1" t="s">
        <v>210</v>
      </c>
      <c r="DA2726" s="1" t="s">
        <v>200</v>
      </c>
      <c r="DC2726" s="1" t="s">
        <v>517</v>
      </c>
      <c r="DE2726" s="1" t="s">
        <v>273</v>
      </c>
      <c r="DF2726" s="1" t="s">
        <v>219</v>
      </c>
      <c r="DG2726" s="1" t="s">
        <v>337</v>
      </c>
      <c r="DH2726" s="1" t="s">
        <v>220</v>
      </c>
      <c r="DI2726" s="1" t="s">
        <v>2784</v>
      </c>
      <c r="DJ2726" s="1" t="s">
        <v>222</v>
      </c>
      <c r="DL2726" s="1" t="s">
        <v>1161</v>
      </c>
      <c r="DM2726" s="1" t="s">
        <v>338</v>
      </c>
      <c r="DO2726" s="1" t="s">
        <v>549</v>
      </c>
      <c r="DP2726" s="1" t="s">
        <v>400</v>
      </c>
      <c r="DQ2726" s="1" t="s">
        <v>228</v>
      </c>
      <c r="DR2726" s="1" t="s">
        <v>229</v>
      </c>
      <c r="DU2726" s="1" t="s">
        <v>487</v>
      </c>
      <c r="DV2726" s="1" t="s">
        <v>24131</v>
      </c>
      <c r="DW2726" s="1" t="s">
        <v>1072</v>
      </c>
      <c r="DX2726" s="1" t="s">
        <v>234</v>
      </c>
      <c r="DY2726" s="1" t="s">
        <v>371</v>
      </c>
      <c r="DZ2726" s="1" t="s">
        <v>1405</v>
      </c>
      <c r="EB2726" s="1" t="s">
        <v>2915</v>
      </c>
      <c r="EC2726" s="1" t="s">
        <v>311</v>
      </c>
      <c r="ED2726" s="1" t="s">
        <v>407</v>
      </c>
      <c r="EE2726" s="1" t="s">
        <v>522</v>
      </c>
      <c r="EG2726" s="1" t="s">
        <v>494</v>
      </c>
      <c r="EH2726" s="1" t="s">
        <v>1270</v>
      </c>
      <c r="EL2726" s="1" t="s">
        <v>1119</v>
      </c>
      <c r="EM2726" s="1" t="s">
        <v>267</v>
      </c>
      <c r="EN2726" s="1" t="s">
        <v>617</v>
      </c>
      <c r="EP2726" s="1" t="s">
        <v>495</v>
      </c>
      <c r="EQ2726" s="1" t="s">
        <v>1697</v>
      </c>
      <c r="ER2726" s="1" t="s">
        <v>617</v>
      </c>
      <c r="EU2726" s="1" t="s">
        <v>238</v>
      </c>
      <c r="EY2726" s="1" t="s">
        <v>238</v>
      </c>
      <c r="FC2726" s="1" t="s">
        <v>238</v>
      </c>
      <c r="FF2726" s="1" t="s">
        <v>239</v>
      </c>
      <c r="FG2726" s="1" t="s">
        <v>192</v>
      </c>
      <c r="FH2726" s="1" t="s">
        <v>192</v>
      </c>
      <c r="FJ2726" s="1" t="s">
        <v>24132</v>
      </c>
      <c r="FK2726" s="1" t="s">
        <v>229</v>
      </c>
      <c r="FL2726" s="1" t="s">
        <v>24133</v>
      </c>
      <c r="FM2726" s="1">
        <v>24007.0</v>
      </c>
      <c r="FN2726" s="1" t="s">
        <v>24134</v>
      </c>
      <c r="FO2726" s="1" t="s">
        <v>24135</v>
      </c>
      <c r="FP2726" s="1">
        <v>245301.0</v>
      </c>
      <c r="FQ2726" s="1" t="s">
        <v>24136</v>
      </c>
      <c r="FS2726" s="1" t="s">
        <v>24137</v>
      </c>
      <c r="FU2726" s="1" t="s">
        <v>24138</v>
      </c>
      <c r="FV2726" s="1" t="s">
        <v>200</v>
      </c>
      <c r="FW2726" s="1" t="s">
        <v>290</v>
      </c>
      <c r="FZ2726" s="1" t="s">
        <v>229</v>
      </c>
      <c r="GA2726" s="1" t="s">
        <v>291</v>
      </c>
      <c r="GB2726" s="2">
        <v>42147.0</v>
      </c>
      <c r="GC2726" s="1" t="s">
        <v>24139</v>
      </c>
    </row>
    <row r="2727">
      <c r="A2727" s="1">
        <v>85300.0</v>
      </c>
      <c r="B2727" s="1" t="s">
        <v>185</v>
      </c>
      <c r="C2727" s="1" t="str">
        <f>"08826296"</f>
        <v>08826296</v>
      </c>
      <c r="D2727" s="1" t="s">
        <v>186</v>
      </c>
      <c r="F2727" s="1" t="str">
        <f>"8019"</f>
        <v>8019</v>
      </c>
      <c r="G2727" s="2">
        <v>42032.0</v>
      </c>
      <c r="H2727" s="1">
        <v>74900.0</v>
      </c>
      <c r="I2727" s="1">
        <v>47.0</v>
      </c>
      <c r="J2727" s="1">
        <v>74900.0</v>
      </c>
      <c r="K2727" s="2">
        <v>42041.0</v>
      </c>
      <c r="L2727" s="1">
        <v>11.0</v>
      </c>
      <c r="M2727" s="2">
        <v>42041.0</v>
      </c>
      <c r="N2727" s="1" t="s">
        <v>249</v>
      </c>
      <c r="O2727" s="2">
        <v>42061.0</v>
      </c>
      <c r="P2727" s="1">
        <v>167287.0</v>
      </c>
      <c r="Q2727" s="1">
        <v>85213.0</v>
      </c>
      <c r="S2727" s="1">
        <v>2253.0</v>
      </c>
      <c r="T2727" s="1" t="s">
        <v>9209</v>
      </c>
      <c r="U2727" s="1" t="s">
        <v>189</v>
      </c>
      <c r="V2727" s="1" t="s">
        <v>190</v>
      </c>
      <c r="W2727" s="1">
        <v>60639.0</v>
      </c>
      <c r="Y2727" s="1" t="s">
        <v>24140</v>
      </c>
      <c r="Z2727" s="1" t="s">
        <v>296</v>
      </c>
      <c r="AA2727" s="1" t="s">
        <v>192</v>
      </c>
      <c r="AB2727" s="1" t="s">
        <v>193</v>
      </c>
      <c r="AD2727" s="1" t="s">
        <v>194</v>
      </c>
      <c r="AE2727" s="1" t="s">
        <v>195</v>
      </c>
      <c r="AF2727" s="1" t="s">
        <v>196</v>
      </c>
      <c r="AH2727" s="1">
        <v>3150.0</v>
      </c>
      <c r="AK2727" s="1">
        <v>8.0</v>
      </c>
      <c r="AL2727" s="1">
        <v>4.0</v>
      </c>
      <c r="AM2727" s="1">
        <v>3.0</v>
      </c>
      <c r="AN2727" s="1">
        <v>0.0</v>
      </c>
      <c r="AO2727" s="1" t="s">
        <v>229</v>
      </c>
      <c r="AQ2727" s="1" t="s">
        <v>198</v>
      </c>
      <c r="AR2727" s="1" t="s">
        <v>192</v>
      </c>
      <c r="AS2727" s="1" t="s">
        <v>199</v>
      </c>
      <c r="AT2727" s="1">
        <v>2.0</v>
      </c>
      <c r="AV2727" s="1" t="s">
        <v>200</v>
      </c>
      <c r="AW2727" s="1">
        <v>2927.0</v>
      </c>
      <c r="AX2727" s="1">
        <v>2012.0</v>
      </c>
      <c r="AY2727" s="1" t="s">
        <v>229</v>
      </c>
      <c r="AZ2727" s="1" t="s">
        <v>200</v>
      </c>
      <c r="BA2727" s="1" t="str">
        <f>"13331050030000"</f>
        <v>13331050030000</v>
      </c>
      <c r="BB2727" s="1" t="s">
        <v>200</v>
      </c>
      <c r="BC2727" s="1">
        <v>0.0</v>
      </c>
      <c r="BD2727" s="1">
        <v>85300.0</v>
      </c>
      <c r="BE2727" s="2">
        <v>42031.0</v>
      </c>
      <c r="BF2727" s="2" t="s">
        <v>24141</v>
      </c>
      <c r="BH2727" s="1">
        <v>0.0</v>
      </c>
      <c r="BK2727" s="1" t="s">
        <v>204</v>
      </c>
      <c r="BL2727" s="1" t="str">
        <f>"2253"</f>
        <v>2253</v>
      </c>
      <c r="BM2727" s="1" t="str">
        <f>"0"</f>
        <v>0</v>
      </c>
      <c r="BN2727" s="1">
        <v>5400.0</v>
      </c>
      <c r="BO2727" s="1">
        <v>0.0</v>
      </c>
      <c r="BQ2727" s="1">
        <v>299.0</v>
      </c>
      <c r="BR2727" s="1">
        <v>299.0</v>
      </c>
      <c r="BS2727" s="1">
        <v>299.0</v>
      </c>
      <c r="BU2727" s="1" t="s">
        <v>212</v>
      </c>
      <c r="BV2727" s="1" t="s">
        <v>206</v>
      </c>
      <c r="BY2727" s="1" t="s">
        <v>264</v>
      </c>
      <c r="BZ2727" s="1" t="s">
        <v>206</v>
      </c>
      <c r="CC2727" s="1" t="s">
        <v>212</v>
      </c>
      <c r="CD2727" s="1" t="s">
        <v>206</v>
      </c>
      <c r="CG2727" s="1" t="s">
        <v>543</v>
      </c>
      <c r="CH2727" s="1" t="s">
        <v>206</v>
      </c>
      <c r="CK2727" s="1" t="s">
        <v>1939</v>
      </c>
      <c r="CL2727" s="1" t="s">
        <v>209</v>
      </c>
      <c r="CO2727" s="1" t="s">
        <v>2047</v>
      </c>
      <c r="CP2727" s="1" t="s">
        <v>209</v>
      </c>
      <c r="CS2727" s="1" t="s">
        <v>269</v>
      </c>
      <c r="CT2727" s="1" t="s">
        <v>206</v>
      </c>
      <c r="CW2727" s="1" t="s">
        <v>2900</v>
      </c>
      <c r="CX2727" s="1" t="s">
        <v>42</v>
      </c>
      <c r="DA2727" s="1" t="s">
        <v>200</v>
      </c>
      <c r="DC2727" s="1" t="s">
        <v>642</v>
      </c>
      <c r="DE2727" s="1" t="s">
        <v>229</v>
      </c>
      <c r="DF2727" s="1" t="s">
        <v>619</v>
      </c>
      <c r="DH2727" s="1" t="s">
        <v>220</v>
      </c>
      <c r="DJ2727" s="1" t="s">
        <v>222</v>
      </c>
      <c r="DL2727" s="1" t="s">
        <v>858</v>
      </c>
      <c r="DM2727" s="1" t="s">
        <v>229</v>
      </c>
      <c r="DQ2727" s="1" t="s">
        <v>228</v>
      </c>
      <c r="DR2727" s="1" t="s">
        <v>229</v>
      </c>
      <c r="DV2727" s="1" t="s">
        <v>232</v>
      </c>
      <c r="DW2727" s="1" t="s">
        <v>667</v>
      </c>
      <c r="DX2727" s="1" t="s">
        <v>309</v>
      </c>
      <c r="EC2727" s="1" t="s">
        <v>645</v>
      </c>
      <c r="EM2727" s="1" t="s">
        <v>238</v>
      </c>
      <c r="EQ2727" s="1" t="s">
        <v>238</v>
      </c>
      <c r="EU2727" s="1" t="s">
        <v>238</v>
      </c>
      <c r="EY2727" s="1" t="s">
        <v>238</v>
      </c>
      <c r="FC2727" s="1" t="s">
        <v>238</v>
      </c>
      <c r="FF2727" s="1" t="s">
        <v>239</v>
      </c>
      <c r="FG2727" s="1" t="s">
        <v>192</v>
      </c>
      <c r="FH2727" s="1" t="s">
        <v>192</v>
      </c>
      <c r="FJ2727" s="1" t="s">
        <v>347</v>
      </c>
      <c r="FK2727" s="1" t="s">
        <v>229</v>
      </c>
      <c r="FL2727" s="1" t="s">
        <v>3674</v>
      </c>
      <c r="FM2727" s="1">
        <v>85213.0</v>
      </c>
      <c r="FN2727" s="1" t="s">
        <v>3675</v>
      </c>
      <c r="FO2727" s="1" t="s">
        <v>3676</v>
      </c>
      <c r="FP2727" s="1">
        <v>167287.0</v>
      </c>
      <c r="FQ2727" s="1" t="s">
        <v>3677</v>
      </c>
      <c r="FU2727" s="1" t="s">
        <v>24142</v>
      </c>
      <c r="FV2727" s="1" t="s">
        <v>200</v>
      </c>
      <c r="FW2727" s="1" t="s">
        <v>654</v>
      </c>
      <c r="FX2727" s="1" t="s">
        <v>238</v>
      </c>
      <c r="FZ2727" s="1" t="s">
        <v>229</v>
      </c>
      <c r="GA2727" s="1" t="s">
        <v>291</v>
      </c>
      <c r="GB2727" s="2">
        <v>42062.0</v>
      </c>
      <c r="GC2727" s="1" t="s">
        <v>24143</v>
      </c>
    </row>
    <row r="2728">
      <c r="A2728" s="1">
        <v>140000.0</v>
      </c>
      <c r="B2728" s="1" t="s">
        <v>185</v>
      </c>
      <c r="C2728" s="1" t="str">
        <f>"08830136"</f>
        <v>08830136</v>
      </c>
      <c r="D2728" s="1" t="s">
        <v>186</v>
      </c>
      <c r="F2728" s="1" t="str">
        <f>"115"</f>
        <v>115</v>
      </c>
      <c r="G2728" s="2">
        <v>42038.0</v>
      </c>
      <c r="H2728" s="1">
        <v>145900.0</v>
      </c>
      <c r="I2728" s="1">
        <v>1.0</v>
      </c>
      <c r="J2728" s="1">
        <v>145900.0</v>
      </c>
      <c r="K2728" s="2">
        <v>42037.0</v>
      </c>
      <c r="L2728" s="1">
        <v>1.0</v>
      </c>
      <c r="M2728" s="2">
        <v>42037.0</v>
      </c>
      <c r="N2728" s="1" t="s">
        <v>356</v>
      </c>
      <c r="O2728" s="2">
        <v>42097.0</v>
      </c>
      <c r="P2728" s="1">
        <v>931529.0</v>
      </c>
      <c r="Q2728" s="1">
        <v>93162.0</v>
      </c>
      <c r="S2728" s="1">
        <v>1597.0</v>
      </c>
      <c r="T2728" s="1" t="s">
        <v>24144</v>
      </c>
      <c r="U2728" s="1" t="s">
        <v>320</v>
      </c>
      <c r="V2728" s="1" t="s">
        <v>610</v>
      </c>
      <c r="W2728" s="1">
        <v>60115.0</v>
      </c>
      <c r="Y2728" s="1" t="s">
        <v>24145</v>
      </c>
      <c r="Z2728" s="1">
        <v>2007.0</v>
      </c>
      <c r="AA2728" s="1" t="s">
        <v>200</v>
      </c>
      <c r="AB2728" s="1" t="s">
        <v>467</v>
      </c>
      <c r="AD2728" s="1" t="s">
        <v>612</v>
      </c>
      <c r="AE2728" s="1" t="s">
        <v>613</v>
      </c>
      <c r="AF2728" s="1" t="s">
        <v>612</v>
      </c>
      <c r="AH2728" s="1" t="s">
        <v>24146</v>
      </c>
      <c r="AI2728" s="1">
        <v>0.21</v>
      </c>
      <c r="AK2728" s="1">
        <v>8.0</v>
      </c>
      <c r="AL2728" s="1">
        <v>4.0</v>
      </c>
      <c r="AM2728" s="1">
        <v>2.0</v>
      </c>
      <c r="AN2728" s="1">
        <v>1.0</v>
      </c>
      <c r="AO2728" s="1" t="s">
        <v>198</v>
      </c>
      <c r="AP2728" s="1">
        <v>1.0</v>
      </c>
      <c r="AQ2728" s="1" t="s">
        <v>198</v>
      </c>
      <c r="AR2728" s="1" t="s">
        <v>200</v>
      </c>
      <c r="AS2728" s="1" t="s">
        <v>199</v>
      </c>
      <c r="AT2728" s="1">
        <v>2.0</v>
      </c>
      <c r="AV2728" s="1" t="s">
        <v>200</v>
      </c>
      <c r="AW2728" s="1">
        <v>7268.42</v>
      </c>
      <c r="AX2728" s="1">
        <v>2013.0</v>
      </c>
      <c r="AZ2728" s="1" t="s">
        <v>200</v>
      </c>
      <c r="BA2728" s="1" t="str">
        <f>"0821179023"</f>
        <v>0821179023</v>
      </c>
      <c r="BB2728" s="1" t="s">
        <v>200</v>
      </c>
      <c r="BC2728" s="1">
        <v>2511.0</v>
      </c>
      <c r="BD2728" s="1">
        <v>140000.0</v>
      </c>
      <c r="BE2728" s="2">
        <v>42037.0</v>
      </c>
      <c r="BF2728" s="1" t="s">
        <v>24147</v>
      </c>
      <c r="BH2728" s="1">
        <v>125.0</v>
      </c>
      <c r="BK2728" s="1" t="s">
        <v>580</v>
      </c>
      <c r="BL2728" s="1" t="str">
        <f t="shared" ref="BL2728:BM2728" si="1776">""</f>
        <v/>
      </c>
      <c r="BM2728" s="1" t="str">
        <f t="shared" si="1776"/>
        <v/>
      </c>
      <c r="BQ2728" s="1">
        <v>428.0</v>
      </c>
      <c r="BR2728" s="1">
        <v>428.0</v>
      </c>
      <c r="BS2728" s="1">
        <v>428.0</v>
      </c>
      <c r="BU2728" s="1" t="s">
        <v>205</v>
      </c>
      <c r="BV2728" s="1" t="s">
        <v>206</v>
      </c>
      <c r="BW2728" s="1" t="s">
        <v>210</v>
      </c>
      <c r="BY2728" s="1" t="s">
        <v>758</v>
      </c>
      <c r="BZ2728" s="1" t="s">
        <v>209</v>
      </c>
      <c r="CA2728" s="1" t="s">
        <v>210</v>
      </c>
      <c r="CC2728" s="1" t="s">
        <v>363</v>
      </c>
      <c r="CD2728" s="1" t="s">
        <v>206</v>
      </c>
      <c r="CE2728" s="1" t="s">
        <v>210</v>
      </c>
      <c r="CG2728" s="1" t="s">
        <v>332</v>
      </c>
      <c r="CH2728" s="1" t="s">
        <v>209</v>
      </c>
      <c r="CI2728" s="1" t="s">
        <v>210</v>
      </c>
      <c r="CK2728" s="1" t="s">
        <v>332</v>
      </c>
      <c r="CL2728" s="1" t="s">
        <v>209</v>
      </c>
      <c r="CM2728" s="1" t="s">
        <v>210</v>
      </c>
      <c r="CO2728" s="1" t="s">
        <v>478</v>
      </c>
      <c r="CP2728" s="1" t="s">
        <v>209</v>
      </c>
      <c r="CQ2728" s="1" t="s">
        <v>210</v>
      </c>
      <c r="CS2728" s="1" t="s">
        <v>664</v>
      </c>
      <c r="CT2728" s="1" t="s">
        <v>206</v>
      </c>
      <c r="CU2728" s="1" t="s">
        <v>617</v>
      </c>
      <c r="CW2728" s="1" t="s">
        <v>208</v>
      </c>
      <c r="CX2728" s="1" t="s">
        <v>206</v>
      </c>
      <c r="CY2728" s="1" t="s">
        <v>210</v>
      </c>
      <c r="DA2728" s="1" t="s">
        <v>200</v>
      </c>
      <c r="DC2728" s="1" t="s">
        <v>481</v>
      </c>
      <c r="DD2728" s="1" t="s">
        <v>5601</v>
      </c>
      <c r="DE2728" s="1" t="s">
        <v>229</v>
      </c>
      <c r="DF2728" s="1" t="s">
        <v>219</v>
      </c>
      <c r="DH2728" s="1" t="s">
        <v>220</v>
      </c>
      <c r="DJ2728" s="1" t="s">
        <v>222</v>
      </c>
      <c r="DL2728" s="1" t="s">
        <v>858</v>
      </c>
      <c r="DM2728" s="1" t="s">
        <v>229</v>
      </c>
      <c r="DN2728" s="1" t="s">
        <v>1486</v>
      </c>
      <c r="DP2728" s="1" t="s">
        <v>340</v>
      </c>
      <c r="DQ2728" s="1" t="s">
        <v>228</v>
      </c>
      <c r="DR2728" s="1" t="s">
        <v>229</v>
      </c>
      <c r="DV2728" s="1" t="s">
        <v>1102</v>
      </c>
      <c r="DW2728" s="1" t="s">
        <v>934</v>
      </c>
      <c r="DX2728" s="1" t="s">
        <v>234</v>
      </c>
      <c r="DY2728" s="1" t="s">
        <v>3846</v>
      </c>
      <c r="EA2728" s="1" t="s">
        <v>344</v>
      </c>
      <c r="EC2728" s="1" t="s">
        <v>237</v>
      </c>
      <c r="EG2728" s="1" t="s">
        <v>1102</v>
      </c>
      <c r="EL2728" s="1" t="s">
        <v>363</v>
      </c>
      <c r="EM2728" s="1" t="s">
        <v>206</v>
      </c>
      <c r="EN2728" s="1" t="s">
        <v>617</v>
      </c>
      <c r="EQ2728" s="1" t="s">
        <v>238</v>
      </c>
      <c r="EU2728" s="1" t="s">
        <v>238</v>
      </c>
      <c r="EY2728" s="1" t="s">
        <v>238</v>
      </c>
      <c r="FC2728" s="1" t="s">
        <v>238</v>
      </c>
      <c r="FF2728" s="1" t="s">
        <v>239</v>
      </c>
      <c r="FG2728" s="1" t="s">
        <v>192</v>
      </c>
      <c r="FH2728" s="1" t="s">
        <v>192</v>
      </c>
      <c r="FJ2728" s="1" t="s">
        <v>1450</v>
      </c>
      <c r="FK2728" s="1" t="s">
        <v>348</v>
      </c>
      <c r="FL2728" s="1" t="s">
        <v>349</v>
      </c>
      <c r="FM2728" s="1">
        <v>93162.0</v>
      </c>
      <c r="FN2728" s="1" t="s">
        <v>350</v>
      </c>
      <c r="FO2728" s="1" t="s">
        <v>351</v>
      </c>
      <c r="FP2728" s="1">
        <v>931530.0</v>
      </c>
      <c r="FU2728" s="1" t="s">
        <v>871</v>
      </c>
      <c r="FV2728" s="1" t="s">
        <v>200</v>
      </c>
      <c r="FW2728" s="1" t="s">
        <v>290</v>
      </c>
      <c r="FZ2728" s="1" t="s">
        <v>229</v>
      </c>
      <c r="GA2728" s="1" t="s">
        <v>291</v>
      </c>
      <c r="GB2728" s="2">
        <v>42097.0</v>
      </c>
    </row>
    <row r="2729">
      <c r="A2729" s="1">
        <v>325000.0</v>
      </c>
      <c r="B2729" s="1" t="s">
        <v>185</v>
      </c>
      <c r="C2729" s="1" t="str">
        <f>"08824807"</f>
        <v>08824807</v>
      </c>
      <c r="D2729" s="1" t="s">
        <v>186</v>
      </c>
      <c r="F2729" s="1" t="str">
        <f>"177"</f>
        <v>177</v>
      </c>
      <c r="G2729" s="2">
        <v>42031.0</v>
      </c>
      <c r="H2729" s="1">
        <v>324900.0</v>
      </c>
      <c r="I2729" s="1">
        <v>7.0</v>
      </c>
      <c r="J2729" s="1">
        <v>324900.0</v>
      </c>
      <c r="K2729" s="2">
        <v>42037.0</v>
      </c>
      <c r="L2729" s="1">
        <v>7.0</v>
      </c>
      <c r="M2729" s="2">
        <v>42037.0</v>
      </c>
      <c r="N2729" s="1" t="s">
        <v>187</v>
      </c>
      <c r="O2729" s="2">
        <v>42081.0</v>
      </c>
      <c r="P2729" s="1">
        <v>700775.0</v>
      </c>
      <c r="Q2729" s="1">
        <v>79701.0</v>
      </c>
      <c r="S2729" s="1">
        <v>799.0</v>
      </c>
      <c r="T2729" s="1" t="s">
        <v>24148</v>
      </c>
      <c r="U2729" s="1" t="s">
        <v>569</v>
      </c>
      <c r="V2729" s="1" t="s">
        <v>2249</v>
      </c>
      <c r="W2729" s="1">
        <v>60177.0</v>
      </c>
      <c r="Y2729" s="1" t="s">
        <v>24149</v>
      </c>
      <c r="Z2729" s="1">
        <v>2000.0</v>
      </c>
      <c r="AA2729" s="1" t="s">
        <v>200</v>
      </c>
      <c r="AB2729" s="1" t="s">
        <v>467</v>
      </c>
      <c r="AC2729" s="1" t="s">
        <v>4508</v>
      </c>
      <c r="AD2729" s="1" t="s">
        <v>1203</v>
      </c>
      <c r="AE2729" s="1" t="s">
        <v>325</v>
      </c>
      <c r="AF2729" s="1" t="s">
        <v>1203</v>
      </c>
      <c r="AH2729" s="1" t="s">
        <v>24150</v>
      </c>
      <c r="AK2729" s="1">
        <v>11.0</v>
      </c>
      <c r="AL2729" s="1">
        <v>4.0</v>
      </c>
      <c r="AM2729" s="1">
        <v>2.0</v>
      </c>
      <c r="AN2729" s="1">
        <v>1.0</v>
      </c>
      <c r="AO2729" s="1" t="s">
        <v>198</v>
      </c>
      <c r="AP2729" s="1">
        <v>1.0</v>
      </c>
      <c r="AQ2729" s="1" t="s">
        <v>1314</v>
      </c>
      <c r="AR2729" s="1" t="s">
        <v>200</v>
      </c>
      <c r="AS2729" s="1" t="s">
        <v>199</v>
      </c>
      <c r="AT2729" s="1">
        <v>2.0</v>
      </c>
      <c r="AV2729" s="1" t="s">
        <v>200</v>
      </c>
      <c r="AW2729" s="1">
        <v>9902.32</v>
      </c>
      <c r="AX2729" s="1">
        <v>2013.0</v>
      </c>
      <c r="AY2729" s="1" t="s">
        <v>1179</v>
      </c>
      <c r="AZ2729" s="1" t="s">
        <v>200</v>
      </c>
      <c r="BA2729" s="1" t="str">
        <f>"0905476003"</f>
        <v>0905476003</v>
      </c>
      <c r="BB2729" s="1" t="s">
        <v>200</v>
      </c>
      <c r="BC2729" s="1">
        <v>2557.0</v>
      </c>
      <c r="BD2729" s="1">
        <v>325000.0</v>
      </c>
      <c r="BE2729" s="2">
        <v>42031.0</v>
      </c>
      <c r="BF2729" s="2" t="s">
        <v>24151</v>
      </c>
      <c r="BG2729" s="1" t="s">
        <v>4510</v>
      </c>
      <c r="BH2729" s="1">
        <v>117.0</v>
      </c>
      <c r="BJ2729" s="1" t="s">
        <v>2200</v>
      </c>
      <c r="BK2729" s="1" t="s">
        <v>1952</v>
      </c>
      <c r="BL2729" s="1" t="str">
        <f t="shared" ref="BL2729:BM2729" si="1777">""</f>
        <v/>
      </c>
      <c r="BM2729" s="1" t="str">
        <f t="shared" si="1777"/>
        <v/>
      </c>
      <c r="BQ2729" s="1">
        <v>303.0</v>
      </c>
      <c r="BR2729" s="1">
        <v>303.0</v>
      </c>
      <c r="BS2729" s="1">
        <v>303.0</v>
      </c>
      <c r="BU2729" s="1" t="s">
        <v>262</v>
      </c>
      <c r="BV2729" s="1" t="s">
        <v>206</v>
      </c>
      <c r="BW2729" s="1" t="s">
        <v>210</v>
      </c>
      <c r="BX2729" s="1" t="s">
        <v>239</v>
      </c>
      <c r="BY2729" s="1" t="s">
        <v>1426</v>
      </c>
      <c r="BZ2729" s="1" t="s">
        <v>209</v>
      </c>
      <c r="CA2729" s="1" t="s">
        <v>207</v>
      </c>
      <c r="CB2729" s="1" t="s">
        <v>239</v>
      </c>
      <c r="CC2729" s="1" t="s">
        <v>363</v>
      </c>
      <c r="CD2729" s="1" t="s">
        <v>206</v>
      </c>
      <c r="CE2729" s="1" t="s">
        <v>207</v>
      </c>
      <c r="CF2729" s="1" t="s">
        <v>239</v>
      </c>
      <c r="CG2729" s="1" t="s">
        <v>212</v>
      </c>
      <c r="CH2729" s="1" t="s">
        <v>209</v>
      </c>
      <c r="CI2729" s="1" t="s">
        <v>207</v>
      </c>
      <c r="CJ2729" s="1" t="s">
        <v>239</v>
      </c>
      <c r="CK2729" s="1" t="s">
        <v>212</v>
      </c>
      <c r="CL2729" s="1" t="s">
        <v>209</v>
      </c>
      <c r="CM2729" s="1" t="s">
        <v>207</v>
      </c>
      <c r="CN2729" s="1" t="s">
        <v>239</v>
      </c>
      <c r="CO2729" s="1" t="s">
        <v>495</v>
      </c>
      <c r="CP2729" s="1" t="s">
        <v>209</v>
      </c>
      <c r="CQ2729" s="1" t="s">
        <v>207</v>
      </c>
      <c r="CR2729" s="1" t="s">
        <v>239</v>
      </c>
      <c r="CS2729" s="1" t="s">
        <v>363</v>
      </c>
      <c r="CT2729" s="1" t="s">
        <v>206</v>
      </c>
      <c r="CU2729" s="1" t="s">
        <v>268</v>
      </c>
      <c r="CV2729" s="1" t="s">
        <v>239</v>
      </c>
      <c r="CW2729" s="1" t="s">
        <v>1244</v>
      </c>
      <c r="CX2729" s="1" t="s">
        <v>206</v>
      </c>
      <c r="CY2729" s="1" t="s">
        <v>210</v>
      </c>
      <c r="CZ2729" s="1" t="s">
        <v>239</v>
      </c>
      <c r="DA2729" s="1" t="s">
        <v>200</v>
      </c>
      <c r="DC2729" s="1" t="s">
        <v>335</v>
      </c>
      <c r="DD2729" s="1" t="s">
        <v>336</v>
      </c>
      <c r="DE2729" s="1" t="s">
        <v>273</v>
      </c>
      <c r="DF2729" s="1" t="s">
        <v>219</v>
      </c>
      <c r="DG2729" s="1" t="s">
        <v>8201</v>
      </c>
      <c r="DH2729" s="1" t="s">
        <v>220</v>
      </c>
      <c r="DI2729" s="1" t="s">
        <v>1604</v>
      </c>
      <c r="DJ2729" s="1" t="s">
        <v>222</v>
      </c>
      <c r="DK2729" s="1" t="s">
        <v>223</v>
      </c>
      <c r="DL2729" s="1" t="s">
        <v>223</v>
      </c>
      <c r="DM2729" s="1" t="s">
        <v>338</v>
      </c>
      <c r="DN2729" s="1" t="s">
        <v>1486</v>
      </c>
      <c r="DO2729" s="1" t="s">
        <v>717</v>
      </c>
      <c r="DP2729" s="1" t="s">
        <v>340</v>
      </c>
      <c r="DQ2729" s="1" t="s">
        <v>441</v>
      </c>
      <c r="DR2729" s="1" t="s">
        <v>1980</v>
      </c>
      <c r="DS2729" s="1" t="s">
        <v>368</v>
      </c>
      <c r="DU2729" s="1" t="s">
        <v>231</v>
      </c>
      <c r="DV2729" s="1" t="s">
        <v>8388</v>
      </c>
      <c r="DW2729" s="1" t="s">
        <v>279</v>
      </c>
      <c r="DX2729" s="1" t="s">
        <v>1287</v>
      </c>
      <c r="DY2729" s="1" t="s">
        <v>3488</v>
      </c>
      <c r="DZ2729" s="1" t="s">
        <v>282</v>
      </c>
      <c r="EB2729" s="1" t="s">
        <v>4647</v>
      </c>
      <c r="EC2729" s="1" t="s">
        <v>237</v>
      </c>
      <c r="ED2729" s="1" t="s">
        <v>407</v>
      </c>
      <c r="EG2729" s="1" t="s">
        <v>449</v>
      </c>
      <c r="EH2729" s="1" t="s">
        <v>494</v>
      </c>
      <c r="EI2729" s="1" t="s">
        <v>1121</v>
      </c>
      <c r="EL2729" s="1" t="s">
        <v>640</v>
      </c>
      <c r="EM2729" s="1" t="s">
        <v>206</v>
      </c>
      <c r="EN2729" s="1" t="s">
        <v>268</v>
      </c>
      <c r="EO2729" s="1" t="s">
        <v>239</v>
      </c>
      <c r="EP2729" s="1" t="s">
        <v>495</v>
      </c>
      <c r="EQ2729" s="1" t="s">
        <v>206</v>
      </c>
      <c r="ER2729" s="1" t="s">
        <v>210</v>
      </c>
      <c r="ES2729" s="1" t="s">
        <v>239</v>
      </c>
      <c r="ET2729" s="1" t="s">
        <v>264</v>
      </c>
      <c r="EU2729" s="1" t="s">
        <v>209</v>
      </c>
      <c r="EV2729" s="1" t="s">
        <v>210</v>
      </c>
      <c r="EY2729" s="1" t="s">
        <v>238</v>
      </c>
      <c r="FC2729" s="1" t="s">
        <v>238</v>
      </c>
      <c r="FF2729" s="1" t="s">
        <v>239</v>
      </c>
      <c r="FG2729" s="1" t="s">
        <v>192</v>
      </c>
      <c r="FH2729" s="1" t="s">
        <v>192</v>
      </c>
      <c r="FJ2729" s="1" t="s">
        <v>24152</v>
      </c>
      <c r="FK2729" s="1" t="s">
        <v>229</v>
      </c>
      <c r="FL2729" s="1" t="s">
        <v>24153</v>
      </c>
      <c r="FM2729" s="1">
        <v>79701.0</v>
      </c>
      <c r="FN2729" s="1" t="s">
        <v>24154</v>
      </c>
      <c r="FO2729" s="1" t="s">
        <v>24155</v>
      </c>
      <c r="FP2729" s="1">
        <v>700775.0</v>
      </c>
      <c r="FQ2729" s="1" t="s">
        <v>24154</v>
      </c>
      <c r="FU2729" s="1" t="s">
        <v>24156</v>
      </c>
      <c r="FV2729" s="1" t="s">
        <v>200</v>
      </c>
      <c r="FW2729" s="1" t="s">
        <v>290</v>
      </c>
      <c r="FZ2729" s="1" t="s">
        <v>229</v>
      </c>
      <c r="GA2729" s="1" t="s">
        <v>291</v>
      </c>
      <c r="GB2729" s="2">
        <v>42082.0</v>
      </c>
      <c r="GC2729" s="1" t="s">
        <v>24157</v>
      </c>
    </row>
    <row r="2730">
      <c r="A2730" s="1">
        <v>141500.0</v>
      </c>
      <c r="B2730" s="1" t="s">
        <v>185</v>
      </c>
      <c r="C2730" s="1" t="str">
        <f>"08825606"</f>
        <v>08825606</v>
      </c>
      <c r="D2730" s="1" t="s">
        <v>186</v>
      </c>
      <c r="F2730" s="1" t="str">
        <f>"8026"</f>
        <v>8026</v>
      </c>
      <c r="G2730" s="2">
        <v>42032.0</v>
      </c>
      <c r="H2730" s="1">
        <v>150000.0</v>
      </c>
      <c r="I2730" s="1">
        <v>7.0</v>
      </c>
      <c r="J2730" s="1">
        <v>150000.0</v>
      </c>
      <c r="K2730" s="2">
        <v>42038.0</v>
      </c>
      <c r="L2730" s="1">
        <v>7.0</v>
      </c>
      <c r="M2730" s="2">
        <v>42038.0</v>
      </c>
      <c r="N2730" s="1" t="s">
        <v>356</v>
      </c>
      <c r="O2730" s="2">
        <v>42104.0</v>
      </c>
      <c r="P2730" s="1">
        <v>151100.0</v>
      </c>
      <c r="Q2730" s="1">
        <v>16698.0</v>
      </c>
      <c r="S2730" s="1">
        <v>4329.0</v>
      </c>
      <c r="T2730" s="1" t="s">
        <v>24158</v>
      </c>
      <c r="U2730" s="1" t="s">
        <v>189</v>
      </c>
      <c r="V2730" s="1" t="s">
        <v>190</v>
      </c>
      <c r="W2730" s="1">
        <v>60624.0</v>
      </c>
      <c r="Y2730" s="1" t="s">
        <v>24159</v>
      </c>
      <c r="Z2730" s="1">
        <v>1895.0</v>
      </c>
      <c r="AA2730" s="1" t="s">
        <v>192</v>
      </c>
      <c r="AB2730" s="1" t="s">
        <v>193</v>
      </c>
      <c r="AD2730" s="1" t="s">
        <v>194</v>
      </c>
      <c r="AE2730" s="1" t="s">
        <v>195</v>
      </c>
      <c r="AF2730" s="1" t="s">
        <v>827</v>
      </c>
      <c r="AH2730" s="1" t="s">
        <v>359</v>
      </c>
      <c r="AK2730" s="1">
        <v>7.0</v>
      </c>
      <c r="AL2730" s="1">
        <v>4.0</v>
      </c>
      <c r="AM2730" s="1">
        <v>2.0</v>
      </c>
      <c r="AN2730" s="1">
        <v>0.0</v>
      </c>
      <c r="AO2730" s="1" t="s">
        <v>229</v>
      </c>
      <c r="AQ2730" s="1" t="s">
        <v>198</v>
      </c>
      <c r="AR2730" s="1" t="s">
        <v>200</v>
      </c>
      <c r="AS2730" s="1" t="s">
        <v>828</v>
      </c>
      <c r="AU2730" s="1">
        <v>2.0</v>
      </c>
      <c r="AV2730" s="1" t="s">
        <v>200</v>
      </c>
      <c r="AW2730" s="4">
        <v>2112.73</v>
      </c>
      <c r="AX2730" s="1">
        <v>2013.0</v>
      </c>
      <c r="AY2730" s="1" t="s">
        <v>387</v>
      </c>
      <c r="AZ2730" s="1" t="s">
        <v>200</v>
      </c>
      <c r="BA2730" s="1" t="str">
        <f>"16152200110000"</f>
        <v>16152200110000</v>
      </c>
      <c r="BC2730" s="1">
        <v>1450.0</v>
      </c>
      <c r="BD2730" s="1">
        <v>141500.0</v>
      </c>
      <c r="BE2730" s="2">
        <v>42032.0</v>
      </c>
      <c r="BF2730" s="2" t="s">
        <v>24160</v>
      </c>
      <c r="BH2730" s="1">
        <v>0.0</v>
      </c>
      <c r="BK2730" s="1" t="s">
        <v>204</v>
      </c>
      <c r="BL2730" s="1" t="str">
        <f>"400"</f>
        <v>400</v>
      </c>
      <c r="BM2730" s="1" t="str">
        <f t="shared" ref="BM2730:BM2731" si="1778">"0"</f>
        <v>0</v>
      </c>
      <c r="BN2730" s="1">
        <v>4300.0</v>
      </c>
      <c r="BO2730" s="1">
        <v>0.0</v>
      </c>
      <c r="BQ2730" s="1">
        <v>299.0</v>
      </c>
      <c r="BR2730" s="1">
        <v>299.0</v>
      </c>
      <c r="BS2730" s="1">
        <v>299.0</v>
      </c>
      <c r="BU2730" s="1" t="s">
        <v>729</v>
      </c>
      <c r="BV2730" s="1" t="s">
        <v>206</v>
      </c>
      <c r="BW2730" s="1" t="s">
        <v>207</v>
      </c>
      <c r="BY2730" s="1" t="s">
        <v>729</v>
      </c>
      <c r="BZ2730" s="1" t="s">
        <v>209</v>
      </c>
      <c r="CA2730" s="1" t="s">
        <v>210</v>
      </c>
      <c r="CC2730" s="1" t="s">
        <v>497</v>
      </c>
      <c r="CD2730" s="1" t="s">
        <v>206</v>
      </c>
      <c r="CE2730" s="1" t="s">
        <v>207</v>
      </c>
      <c r="CG2730" s="1" t="s">
        <v>497</v>
      </c>
      <c r="CH2730" s="1" t="s">
        <v>206</v>
      </c>
      <c r="CI2730" s="1" t="s">
        <v>210</v>
      </c>
      <c r="CK2730" s="1" t="s">
        <v>543</v>
      </c>
      <c r="CL2730" s="1" t="s">
        <v>209</v>
      </c>
      <c r="CM2730" s="1" t="s">
        <v>210</v>
      </c>
      <c r="CO2730" s="1" t="s">
        <v>543</v>
      </c>
      <c r="CP2730" s="1" t="s">
        <v>209</v>
      </c>
      <c r="CQ2730" s="1" t="s">
        <v>210</v>
      </c>
      <c r="CS2730" s="1" t="s">
        <v>211</v>
      </c>
      <c r="CT2730" s="1" t="s">
        <v>206</v>
      </c>
      <c r="CU2730" s="1" t="s">
        <v>207</v>
      </c>
      <c r="CX2730" s="1" t="s">
        <v>204</v>
      </c>
      <c r="DA2730" s="1" t="s">
        <v>200</v>
      </c>
      <c r="DC2730" s="1" t="s">
        <v>642</v>
      </c>
      <c r="DD2730" s="1" t="s">
        <v>926</v>
      </c>
      <c r="DE2730" s="1" t="s">
        <v>273</v>
      </c>
      <c r="DF2730" s="1" t="s">
        <v>619</v>
      </c>
      <c r="DH2730" s="1" t="s">
        <v>365</v>
      </c>
      <c r="DI2730" s="1" t="s">
        <v>2057</v>
      </c>
      <c r="DJ2730" s="1" t="s">
        <v>222</v>
      </c>
      <c r="DL2730" s="1" t="s">
        <v>791</v>
      </c>
      <c r="DM2730" s="1" t="s">
        <v>229</v>
      </c>
      <c r="DN2730" s="1" t="s">
        <v>339</v>
      </c>
      <c r="DP2730" s="1" t="s">
        <v>340</v>
      </c>
      <c r="DQ2730" s="1" t="s">
        <v>228</v>
      </c>
      <c r="DR2730" s="1" t="s">
        <v>229</v>
      </c>
      <c r="DV2730" s="1" t="s">
        <v>408</v>
      </c>
      <c r="DW2730" s="1" t="s">
        <v>279</v>
      </c>
      <c r="DX2730" s="1" t="s">
        <v>234</v>
      </c>
      <c r="EC2730" s="1" t="s">
        <v>237</v>
      </c>
      <c r="EE2730" s="1" t="s">
        <v>493</v>
      </c>
      <c r="EF2730" s="1" t="s">
        <v>834</v>
      </c>
      <c r="EG2730" s="1" t="s">
        <v>408</v>
      </c>
      <c r="EL2730" s="1" t="s">
        <v>543</v>
      </c>
      <c r="EM2730" s="1" t="s">
        <v>206</v>
      </c>
      <c r="EQ2730" s="1" t="s">
        <v>238</v>
      </c>
      <c r="EU2730" s="1" t="s">
        <v>238</v>
      </c>
      <c r="EY2730" s="1" t="s">
        <v>238</v>
      </c>
      <c r="FC2730" s="1" t="s">
        <v>238</v>
      </c>
      <c r="FF2730" s="1" t="s">
        <v>239</v>
      </c>
      <c r="FG2730" s="1" t="s">
        <v>192</v>
      </c>
      <c r="FH2730" s="1" t="s">
        <v>192</v>
      </c>
      <c r="FJ2730" s="1" t="s">
        <v>24161</v>
      </c>
      <c r="FK2730" s="1" t="s">
        <v>229</v>
      </c>
      <c r="FL2730" s="1" t="s">
        <v>3156</v>
      </c>
      <c r="FM2730" s="1">
        <v>84729.0</v>
      </c>
      <c r="FN2730" s="1" t="s">
        <v>3157</v>
      </c>
      <c r="FO2730" s="1" t="s">
        <v>24162</v>
      </c>
      <c r="FP2730" s="1">
        <v>841349.0</v>
      </c>
      <c r="FQ2730" s="1" t="s">
        <v>24163</v>
      </c>
      <c r="FR2730" s="1">
        <v>169637.0</v>
      </c>
      <c r="FU2730" s="1" t="s">
        <v>24164</v>
      </c>
      <c r="FV2730" s="1" t="s">
        <v>200</v>
      </c>
      <c r="FW2730" s="1" t="s">
        <v>290</v>
      </c>
      <c r="FX2730" s="1" t="s">
        <v>246</v>
      </c>
      <c r="FZ2730" s="1" t="s">
        <v>229</v>
      </c>
      <c r="GA2730" s="1" t="s">
        <v>291</v>
      </c>
      <c r="GB2730" s="2">
        <v>42107.0</v>
      </c>
      <c r="GC2730" s="1" t="s">
        <v>24165</v>
      </c>
    </row>
    <row r="2731">
      <c r="A2731" s="1">
        <v>461100.0</v>
      </c>
      <c r="B2731" s="1" t="s">
        <v>185</v>
      </c>
      <c r="C2731" s="1" t="str">
        <f>"08826170"</f>
        <v>08826170</v>
      </c>
      <c r="D2731" s="1" t="s">
        <v>186</v>
      </c>
      <c r="F2731" s="1" t="str">
        <f>"134"</f>
        <v>134</v>
      </c>
      <c r="G2731" s="2">
        <v>42032.0</v>
      </c>
      <c r="H2731" s="1">
        <v>450000.0</v>
      </c>
      <c r="I2731" s="1">
        <v>9.0</v>
      </c>
      <c r="J2731" s="1">
        <v>450000.0</v>
      </c>
      <c r="K2731" s="2">
        <v>42040.0</v>
      </c>
      <c r="L2731" s="1">
        <v>9.0</v>
      </c>
      <c r="M2731" s="2">
        <v>42040.0</v>
      </c>
      <c r="N2731" s="1" t="s">
        <v>187</v>
      </c>
      <c r="O2731" s="2">
        <v>42109.0</v>
      </c>
      <c r="P2731" s="1">
        <v>240478.0</v>
      </c>
      <c r="Q2731" s="1">
        <v>25695.0</v>
      </c>
      <c r="R2731" s="1">
        <v>1000.0</v>
      </c>
      <c r="S2731" s="1">
        <v>708.0</v>
      </c>
      <c r="T2731" s="1" t="s">
        <v>24166</v>
      </c>
      <c r="U2731" s="1" t="s">
        <v>569</v>
      </c>
      <c r="V2731" s="1" t="s">
        <v>421</v>
      </c>
      <c r="W2731" s="1">
        <v>60134.0</v>
      </c>
      <c r="Y2731" s="1" t="s">
        <v>24167</v>
      </c>
      <c r="Z2731" s="1">
        <v>2005.0</v>
      </c>
      <c r="AA2731" s="1" t="s">
        <v>200</v>
      </c>
      <c r="AB2731" s="1" t="s">
        <v>467</v>
      </c>
      <c r="AC2731" s="1" t="s">
        <v>1039</v>
      </c>
      <c r="AD2731" s="1" t="s">
        <v>424</v>
      </c>
      <c r="AE2731" s="1" t="s">
        <v>325</v>
      </c>
      <c r="AF2731" s="1" t="s">
        <v>424</v>
      </c>
      <c r="AG2731" s="1" t="s">
        <v>24168</v>
      </c>
      <c r="AH2731" s="1" t="s">
        <v>24169</v>
      </c>
      <c r="AI2731" s="1">
        <v>0.0</v>
      </c>
      <c r="AK2731" s="1">
        <v>10.0</v>
      </c>
      <c r="AL2731" s="1">
        <v>4.0</v>
      </c>
      <c r="AM2731" s="1">
        <v>2.0</v>
      </c>
      <c r="AN2731" s="1">
        <v>1.0</v>
      </c>
      <c r="AO2731" s="1" t="s">
        <v>198</v>
      </c>
      <c r="AP2731" s="1">
        <v>1.0</v>
      </c>
      <c r="AQ2731" s="1" t="s">
        <v>472</v>
      </c>
      <c r="AR2731" s="1" t="s">
        <v>200</v>
      </c>
      <c r="AS2731" s="1" t="s">
        <v>199</v>
      </c>
      <c r="AT2731" s="1">
        <v>2.0</v>
      </c>
      <c r="AV2731" s="1" t="s">
        <v>200</v>
      </c>
      <c r="AW2731" s="1">
        <v>12504.0</v>
      </c>
      <c r="AX2731" s="1">
        <v>2013.0</v>
      </c>
      <c r="AY2731" s="1" t="s">
        <v>387</v>
      </c>
      <c r="AZ2731" s="1" t="s">
        <v>200</v>
      </c>
      <c r="BA2731" s="1" t="str">
        <f>"1211152014"</f>
        <v>1211152014</v>
      </c>
      <c r="BC2731" s="1">
        <v>3000.0</v>
      </c>
      <c r="BD2731" s="1">
        <v>461100.0</v>
      </c>
      <c r="BE2731" s="2">
        <v>42032.0</v>
      </c>
      <c r="BF2731" s="2" t="s">
        <v>24170</v>
      </c>
      <c r="BG2731" s="1" t="s">
        <v>13488</v>
      </c>
      <c r="BH2731" s="1">
        <v>400.0</v>
      </c>
      <c r="BI2731" s="1" t="s">
        <v>429</v>
      </c>
      <c r="BJ2731" s="1" t="s">
        <v>430</v>
      </c>
      <c r="BK2731" s="1" t="s">
        <v>580</v>
      </c>
      <c r="BL2731" s="1" t="str">
        <f>"1"</f>
        <v>1</v>
      </c>
      <c r="BM2731" s="1" t="str">
        <f t="shared" si="1778"/>
        <v>0</v>
      </c>
      <c r="BN2731" s="1">
        <v>34.0</v>
      </c>
      <c r="BO2731" s="1">
        <v>0.0</v>
      </c>
      <c r="BQ2731" s="1">
        <v>304.0</v>
      </c>
      <c r="BR2731" s="1">
        <v>304.0</v>
      </c>
      <c r="BS2731" s="1">
        <v>304.0</v>
      </c>
      <c r="BU2731" s="1" t="s">
        <v>743</v>
      </c>
      <c r="BV2731" s="1" t="s">
        <v>206</v>
      </c>
      <c r="BW2731" s="1" t="s">
        <v>210</v>
      </c>
      <c r="BX2731" s="1" t="s">
        <v>239</v>
      </c>
      <c r="BY2731" s="1" t="s">
        <v>453</v>
      </c>
      <c r="BZ2731" s="1" t="s">
        <v>209</v>
      </c>
      <c r="CA2731" s="1" t="s">
        <v>210</v>
      </c>
      <c r="CB2731" s="1" t="s">
        <v>239</v>
      </c>
      <c r="CC2731" s="1" t="s">
        <v>361</v>
      </c>
      <c r="CD2731" s="1" t="s">
        <v>206</v>
      </c>
      <c r="CE2731" s="1" t="s">
        <v>210</v>
      </c>
      <c r="CF2731" s="1" t="s">
        <v>239</v>
      </c>
      <c r="CG2731" s="1" t="s">
        <v>363</v>
      </c>
      <c r="CH2731" s="1" t="s">
        <v>209</v>
      </c>
      <c r="CI2731" s="1" t="s">
        <v>210</v>
      </c>
      <c r="CJ2731" s="1" t="s">
        <v>239</v>
      </c>
      <c r="CK2731" s="1" t="s">
        <v>331</v>
      </c>
      <c r="CL2731" s="1" t="s">
        <v>209</v>
      </c>
      <c r="CM2731" s="1" t="s">
        <v>210</v>
      </c>
      <c r="CN2731" s="1" t="s">
        <v>239</v>
      </c>
      <c r="CO2731" s="1" t="s">
        <v>433</v>
      </c>
      <c r="CP2731" s="1" t="s">
        <v>209</v>
      </c>
      <c r="CQ2731" s="1" t="s">
        <v>210</v>
      </c>
      <c r="CR2731" s="1" t="s">
        <v>239</v>
      </c>
      <c r="CS2731" s="1" t="s">
        <v>329</v>
      </c>
      <c r="CT2731" s="1" t="s">
        <v>206</v>
      </c>
      <c r="CU2731" s="1" t="s">
        <v>207</v>
      </c>
      <c r="CV2731" s="1" t="s">
        <v>239</v>
      </c>
      <c r="CW2731" s="1" t="s">
        <v>784</v>
      </c>
      <c r="CX2731" s="1" t="s">
        <v>206</v>
      </c>
      <c r="CY2731" s="1" t="s">
        <v>210</v>
      </c>
      <c r="CZ2731" s="1" t="s">
        <v>239</v>
      </c>
      <c r="DA2731" s="1" t="s">
        <v>200</v>
      </c>
      <c r="DC2731" s="1" t="s">
        <v>481</v>
      </c>
      <c r="DD2731" s="1" t="s">
        <v>336</v>
      </c>
      <c r="DE2731" s="1" t="s">
        <v>273</v>
      </c>
      <c r="DF2731" s="1" t="s">
        <v>219</v>
      </c>
      <c r="DG2731" s="1" t="s">
        <v>482</v>
      </c>
      <c r="DH2731" s="1" t="s">
        <v>220</v>
      </c>
      <c r="DI2731" s="1" t="s">
        <v>5345</v>
      </c>
      <c r="DJ2731" s="1" t="s">
        <v>222</v>
      </c>
      <c r="DK2731" s="1" t="s">
        <v>960</v>
      </c>
      <c r="DL2731" s="1" t="s">
        <v>223</v>
      </c>
      <c r="DM2731" s="1" t="s">
        <v>929</v>
      </c>
      <c r="DN2731" s="1" t="s">
        <v>399</v>
      </c>
      <c r="DO2731" s="1" t="s">
        <v>717</v>
      </c>
      <c r="DP2731" s="1" t="s">
        <v>340</v>
      </c>
      <c r="DQ2731" s="1" t="s">
        <v>441</v>
      </c>
      <c r="DR2731" s="1" t="s">
        <v>1487</v>
      </c>
      <c r="DS2731" s="1" t="s">
        <v>591</v>
      </c>
      <c r="DU2731" s="1" t="s">
        <v>5750</v>
      </c>
      <c r="DV2731" s="1" t="s">
        <v>11895</v>
      </c>
      <c r="DW2731" s="1" t="s">
        <v>1026</v>
      </c>
      <c r="DX2731" s="1" t="s">
        <v>309</v>
      </c>
      <c r="DY2731" s="1" t="s">
        <v>490</v>
      </c>
      <c r="DZ2731" s="1" t="s">
        <v>310</v>
      </c>
      <c r="EA2731" s="1" t="s">
        <v>344</v>
      </c>
      <c r="EB2731" s="1" t="s">
        <v>684</v>
      </c>
      <c r="EC2731" s="1" t="s">
        <v>237</v>
      </c>
      <c r="ED2731" s="1" t="s">
        <v>407</v>
      </c>
      <c r="EE2731" s="1" t="s">
        <v>187</v>
      </c>
      <c r="EG2731" s="1" t="s">
        <v>449</v>
      </c>
      <c r="EH2731" s="1" t="s">
        <v>598</v>
      </c>
      <c r="EI2731" s="1" t="s">
        <v>408</v>
      </c>
      <c r="EL2731" s="1" t="s">
        <v>329</v>
      </c>
      <c r="EM2731" s="1" t="s">
        <v>206</v>
      </c>
      <c r="EN2731" s="1" t="s">
        <v>207</v>
      </c>
      <c r="EP2731" s="1" t="s">
        <v>433</v>
      </c>
      <c r="EQ2731" s="1" t="s">
        <v>206</v>
      </c>
      <c r="ER2731" s="1" t="s">
        <v>210</v>
      </c>
      <c r="ET2731" s="1" t="s">
        <v>392</v>
      </c>
      <c r="EU2731" s="1" t="s">
        <v>206</v>
      </c>
      <c r="EV2731" s="1" t="s">
        <v>207</v>
      </c>
      <c r="EY2731" s="1" t="s">
        <v>238</v>
      </c>
      <c r="FC2731" s="1" t="s">
        <v>238</v>
      </c>
      <c r="FF2731" s="1" t="s">
        <v>239</v>
      </c>
      <c r="FG2731" s="1" t="s">
        <v>192</v>
      </c>
      <c r="FH2731" s="1" t="s">
        <v>192</v>
      </c>
      <c r="FJ2731" s="1" t="s">
        <v>13406</v>
      </c>
      <c r="FK2731" s="1" t="s">
        <v>601</v>
      </c>
      <c r="FL2731" s="1" t="s">
        <v>8898</v>
      </c>
      <c r="FM2731" s="1">
        <v>61075.0</v>
      </c>
      <c r="FN2731" s="1" t="s">
        <v>8899</v>
      </c>
      <c r="FO2731" s="1" t="s">
        <v>8900</v>
      </c>
      <c r="FP2731" s="1">
        <v>601905.0</v>
      </c>
      <c r="FQ2731" s="1" t="s">
        <v>8901</v>
      </c>
      <c r="FR2731" s="1">
        <v>238123.0</v>
      </c>
      <c r="FS2731" s="1" t="s">
        <v>8902</v>
      </c>
      <c r="FU2731" s="1" t="s">
        <v>8903</v>
      </c>
      <c r="FV2731" s="1" t="s">
        <v>200</v>
      </c>
      <c r="FW2731" s="1" t="s">
        <v>1411</v>
      </c>
      <c r="FZ2731" s="1" t="s">
        <v>229</v>
      </c>
      <c r="GA2731" s="1" t="s">
        <v>247</v>
      </c>
      <c r="GB2731" s="2">
        <v>42111.0</v>
      </c>
      <c r="GC2731" s="1" t="s">
        <v>24171</v>
      </c>
    </row>
    <row r="2732">
      <c r="A2732" s="1">
        <v>34900.0</v>
      </c>
      <c r="B2732" s="1" t="s">
        <v>185</v>
      </c>
      <c r="C2732" s="1" t="str">
        <f>"08825258"</f>
        <v>08825258</v>
      </c>
      <c r="D2732" s="1" t="s">
        <v>186</v>
      </c>
      <c r="F2732" s="1" t="str">
        <f>"8050"</f>
        <v>8050</v>
      </c>
      <c r="G2732" s="2">
        <v>42031.0</v>
      </c>
      <c r="H2732" s="1">
        <v>34900.0</v>
      </c>
      <c r="I2732" s="1">
        <v>16.0</v>
      </c>
      <c r="J2732" s="1">
        <v>34900.0</v>
      </c>
      <c r="K2732" s="2">
        <v>42045.0</v>
      </c>
      <c r="L2732" s="1">
        <v>16.0</v>
      </c>
      <c r="M2732" s="2">
        <v>42045.0</v>
      </c>
      <c r="N2732" s="1" t="s">
        <v>249</v>
      </c>
      <c r="O2732" s="2">
        <v>42062.0</v>
      </c>
      <c r="P2732" s="1">
        <v>504315.0</v>
      </c>
      <c r="Q2732" s="1">
        <v>21139.0</v>
      </c>
      <c r="S2732" s="1">
        <v>9525.0</v>
      </c>
      <c r="T2732" s="1" t="s">
        <v>7797</v>
      </c>
      <c r="U2732" s="1" t="s">
        <v>189</v>
      </c>
      <c r="V2732" s="1" t="s">
        <v>190</v>
      </c>
      <c r="W2732" s="1">
        <v>60628.0</v>
      </c>
      <c r="Y2732" s="1" t="s">
        <v>24172</v>
      </c>
      <c r="Z2732" s="1">
        <v>1940.0</v>
      </c>
      <c r="AA2732" s="1" t="s">
        <v>192</v>
      </c>
      <c r="AB2732" s="1" t="s">
        <v>193</v>
      </c>
      <c r="AD2732" s="1" t="s">
        <v>194</v>
      </c>
      <c r="AE2732" s="1" t="s">
        <v>195</v>
      </c>
      <c r="AF2732" s="1" t="s">
        <v>637</v>
      </c>
      <c r="AH2732" s="1" t="s">
        <v>24173</v>
      </c>
      <c r="AI2732" s="1">
        <v>0.0854</v>
      </c>
      <c r="AK2732" s="1">
        <v>7.0</v>
      </c>
      <c r="AL2732" s="1">
        <v>4.0</v>
      </c>
      <c r="AM2732" s="1">
        <v>2.0</v>
      </c>
      <c r="AN2732" s="1">
        <v>0.0</v>
      </c>
      <c r="AO2732" s="1" t="s">
        <v>229</v>
      </c>
      <c r="AQ2732" s="1" t="s">
        <v>198</v>
      </c>
      <c r="AR2732" s="1" t="s">
        <v>200</v>
      </c>
      <c r="AS2732" s="1" t="s">
        <v>199</v>
      </c>
      <c r="AT2732" s="1">
        <v>2.0</v>
      </c>
      <c r="AV2732" s="1" t="s">
        <v>200</v>
      </c>
      <c r="AW2732" s="1">
        <v>1249.18</v>
      </c>
      <c r="AX2732" s="1">
        <v>2012.0</v>
      </c>
      <c r="AZ2732" s="1" t="s">
        <v>200</v>
      </c>
      <c r="BA2732" s="1" t="str">
        <f>"25111040140000"</f>
        <v>25111040140000</v>
      </c>
      <c r="BC2732" s="1">
        <v>912.0</v>
      </c>
      <c r="BD2732" s="1">
        <v>34900.0</v>
      </c>
      <c r="BE2732" s="2">
        <v>42030.0</v>
      </c>
      <c r="BF2732" s="2" t="s">
        <v>24174</v>
      </c>
      <c r="BH2732" s="1">
        <v>0.0</v>
      </c>
      <c r="BK2732" s="1" t="s">
        <v>204</v>
      </c>
      <c r="BL2732" s="1" t="str">
        <f>"0"</f>
        <v>0</v>
      </c>
      <c r="BM2732" s="1" t="str">
        <f>"1300"</f>
        <v>1300</v>
      </c>
      <c r="BN2732" s="1">
        <v>0.0</v>
      </c>
      <c r="BO2732" s="1">
        <v>9525.0</v>
      </c>
      <c r="BQ2732" s="1">
        <v>299.0</v>
      </c>
      <c r="BR2732" s="1">
        <v>299.0</v>
      </c>
      <c r="BS2732" s="1">
        <v>299.0</v>
      </c>
      <c r="BU2732" s="1" t="s">
        <v>543</v>
      </c>
      <c r="BV2732" s="1" t="s">
        <v>206</v>
      </c>
      <c r="BY2732" s="1" t="s">
        <v>363</v>
      </c>
      <c r="BZ2732" s="1" t="s">
        <v>206</v>
      </c>
      <c r="CC2732" s="1" t="s">
        <v>269</v>
      </c>
      <c r="CD2732" s="1" t="s">
        <v>206</v>
      </c>
      <c r="CG2732" s="1" t="s">
        <v>212</v>
      </c>
      <c r="CH2732" s="1" t="s">
        <v>206</v>
      </c>
      <c r="CK2732" s="1" t="s">
        <v>269</v>
      </c>
      <c r="CL2732" s="1" t="s">
        <v>209</v>
      </c>
      <c r="CO2732" s="1" t="s">
        <v>269</v>
      </c>
      <c r="CP2732" s="1" t="s">
        <v>209</v>
      </c>
      <c r="CS2732" s="1" t="s">
        <v>363</v>
      </c>
      <c r="CT2732" s="1" t="s">
        <v>206</v>
      </c>
      <c r="CX2732" s="1" t="s">
        <v>204</v>
      </c>
      <c r="DA2732" s="1" t="s">
        <v>200</v>
      </c>
      <c r="DC2732" s="1" t="s">
        <v>1399</v>
      </c>
      <c r="DE2732" s="1" t="s">
        <v>229</v>
      </c>
      <c r="DF2732" s="1" t="s">
        <v>219</v>
      </c>
      <c r="DH2732" s="1" t="s">
        <v>220</v>
      </c>
      <c r="DJ2732" s="1" t="s">
        <v>222</v>
      </c>
      <c r="DL2732" s="1" t="s">
        <v>223</v>
      </c>
      <c r="DM2732" s="1" t="s">
        <v>229</v>
      </c>
      <c r="DQ2732" s="1" t="s">
        <v>228</v>
      </c>
      <c r="DR2732" s="1" t="s">
        <v>229</v>
      </c>
      <c r="DV2732" s="1" t="s">
        <v>232</v>
      </c>
      <c r="DW2732" s="1" t="s">
        <v>934</v>
      </c>
      <c r="DX2732" s="1" t="s">
        <v>234</v>
      </c>
      <c r="EC2732" s="1" t="s">
        <v>685</v>
      </c>
      <c r="EM2732" s="1" t="s">
        <v>238</v>
      </c>
      <c r="EQ2732" s="1" t="s">
        <v>238</v>
      </c>
      <c r="EU2732" s="1" t="s">
        <v>238</v>
      </c>
      <c r="EY2732" s="1" t="s">
        <v>238</v>
      </c>
      <c r="FC2732" s="1" t="s">
        <v>238</v>
      </c>
      <c r="FF2732" s="1" t="s">
        <v>239</v>
      </c>
      <c r="FG2732" s="1" t="s">
        <v>192</v>
      </c>
      <c r="FH2732" s="1" t="s">
        <v>192</v>
      </c>
      <c r="FJ2732" s="1" t="s">
        <v>9659</v>
      </c>
      <c r="FK2732" s="1" t="s">
        <v>229</v>
      </c>
      <c r="FL2732" s="1" t="s">
        <v>2989</v>
      </c>
      <c r="FM2732" s="1">
        <v>21139.0</v>
      </c>
      <c r="FN2732" s="1" t="s">
        <v>8190</v>
      </c>
      <c r="FO2732" s="1" t="s">
        <v>11706</v>
      </c>
      <c r="FP2732" s="1">
        <v>504315.0</v>
      </c>
      <c r="FQ2732" s="1" t="s">
        <v>8190</v>
      </c>
      <c r="FS2732" s="1" t="s">
        <v>8192</v>
      </c>
      <c r="FU2732" s="1" t="s">
        <v>885</v>
      </c>
      <c r="FV2732" s="1" t="s">
        <v>200</v>
      </c>
      <c r="FW2732" s="1" t="s">
        <v>1411</v>
      </c>
      <c r="FX2732" s="1" t="s">
        <v>655</v>
      </c>
      <c r="FZ2732" s="1" t="s">
        <v>229</v>
      </c>
      <c r="GA2732" s="1" t="s">
        <v>291</v>
      </c>
      <c r="GB2732" s="2">
        <v>42065.0</v>
      </c>
      <c r="GC2732" s="1" t="s">
        <v>24175</v>
      </c>
    </row>
    <row r="2733">
      <c r="A2733" s="1">
        <v>617500.0</v>
      </c>
      <c r="B2733" s="1" t="s">
        <v>185</v>
      </c>
      <c r="C2733" s="1" t="str">
        <f>"08826749"</f>
        <v>08826749</v>
      </c>
      <c r="D2733" s="1" t="s">
        <v>186</v>
      </c>
      <c r="F2733" s="1" t="str">
        <f>"8016"</f>
        <v>8016</v>
      </c>
      <c r="G2733" s="2">
        <v>42033.0</v>
      </c>
      <c r="H2733" s="1">
        <v>639900.0</v>
      </c>
      <c r="I2733" s="1">
        <v>178.0</v>
      </c>
      <c r="J2733" s="1">
        <v>639900.0</v>
      </c>
      <c r="K2733" s="2">
        <v>42079.0</v>
      </c>
      <c r="L2733" s="1">
        <v>47.0</v>
      </c>
      <c r="M2733" s="2">
        <v>42079.0</v>
      </c>
      <c r="N2733" s="1" t="s">
        <v>187</v>
      </c>
      <c r="O2733" s="2">
        <v>42111.0</v>
      </c>
      <c r="P2733" s="1">
        <v>160135.0</v>
      </c>
      <c r="Q2733" s="1">
        <v>14681.0</v>
      </c>
      <c r="S2733" s="1">
        <v>4452.0</v>
      </c>
      <c r="T2733" s="1" t="s">
        <v>9931</v>
      </c>
      <c r="U2733" s="1" t="s">
        <v>189</v>
      </c>
      <c r="V2733" s="1" t="s">
        <v>190</v>
      </c>
      <c r="W2733" s="1">
        <v>60630.0</v>
      </c>
      <c r="Y2733" s="1" t="s">
        <v>9932</v>
      </c>
      <c r="Z2733" s="1">
        <v>2014.0</v>
      </c>
      <c r="AA2733" s="1" t="s">
        <v>200</v>
      </c>
      <c r="AB2733" s="1" t="s">
        <v>193</v>
      </c>
      <c r="AD2733" s="1" t="s">
        <v>194</v>
      </c>
      <c r="AE2733" s="1" t="s">
        <v>195</v>
      </c>
      <c r="AF2733" s="1" t="s">
        <v>196</v>
      </c>
      <c r="AH2733" s="1" t="s">
        <v>741</v>
      </c>
      <c r="AK2733" s="1">
        <v>12.0</v>
      </c>
      <c r="AL2733" s="1">
        <v>3.0</v>
      </c>
      <c r="AM2733" s="1">
        <v>3.0</v>
      </c>
      <c r="AN2733" s="1">
        <v>1.0</v>
      </c>
      <c r="AO2733" s="1" t="s">
        <v>198</v>
      </c>
      <c r="AP2733" s="1">
        <v>1.0</v>
      </c>
      <c r="AQ2733" s="1" t="s">
        <v>198</v>
      </c>
      <c r="AR2733" s="1" t="s">
        <v>192</v>
      </c>
      <c r="AS2733" s="1" t="s">
        <v>199</v>
      </c>
      <c r="AT2733" s="1">
        <v>2.0</v>
      </c>
      <c r="AV2733" s="1" t="s">
        <v>200</v>
      </c>
      <c r="AW2733" s="1">
        <v>626.91</v>
      </c>
      <c r="AX2733" s="1">
        <v>2013.0</v>
      </c>
      <c r="AY2733" s="1" t="s">
        <v>229</v>
      </c>
      <c r="AZ2733" s="1" t="s">
        <v>200</v>
      </c>
      <c r="BA2733" s="1" t="str">
        <f>"13151130480000"</f>
        <v>13151130480000</v>
      </c>
      <c r="BC2733" s="1">
        <v>0.0</v>
      </c>
      <c r="BD2733" s="1">
        <v>617500.0</v>
      </c>
      <c r="BE2733" s="2">
        <v>42033.0</v>
      </c>
      <c r="BF2733" s="1" t="s">
        <v>24176</v>
      </c>
      <c r="BH2733" s="1">
        <v>0.0</v>
      </c>
      <c r="BK2733" s="1" t="s">
        <v>204</v>
      </c>
      <c r="BL2733" s="1" t="str">
        <f>"4600"</f>
        <v>4600</v>
      </c>
      <c r="BM2733" s="1" t="str">
        <f>"0"</f>
        <v>0</v>
      </c>
      <c r="BN2733" s="1">
        <v>4450.0</v>
      </c>
      <c r="BO2733" s="1">
        <v>0.0</v>
      </c>
      <c r="BQ2733" s="1">
        <v>299.0</v>
      </c>
      <c r="BR2733" s="1">
        <v>299.0</v>
      </c>
      <c r="BS2733" s="1">
        <v>299.0</v>
      </c>
      <c r="BU2733" s="1" t="s">
        <v>454</v>
      </c>
      <c r="BV2733" s="1" t="s">
        <v>206</v>
      </c>
      <c r="BW2733" s="1" t="s">
        <v>207</v>
      </c>
      <c r="BY2733" s="1" t="s">
        <v>784</v>
      </c>
      <c r="BZ2733" s="1" t="s">
        <v>209</v>
      </c>
      <c r="CA2733" s="1" t="s">
        <v>207</v>
      </c>
      <c r="CC2733" s="1" t="s">
        <v>758</v>
      </c>
      <c r="CD2733" s="1" t="s">
        <v>206</v>
      </c>
      <c r="CE2733" s="1" t="s">
        <v>207</v>
      </c>
      <c r="CG2733" s="1" t="s">
        <v>616</v>
      </c>
      <c r="CH2733" s="1" t="s">
        <v>209</v>
      </c>
      <c r="CI2733" s="1" t="s">
        <v>207</v>
      </c>
      <c r="CK2733" s="1" t="s">
        <v>212</v>
      </c>
      <c r="CL2733" s="1" t="s">
        <v>209</v>
      </c>
      <c r="CM2733" s="1" t="s">
        <v>207</v>
      </c>
      <c r="CO2733" s="1" t="s">
        <v>699</v>
      </c>
      <c r="CP2733" s="1" t="s">
        <v>42</v>
      </c>
      <c r="CQ2733" s="1" t="s">
        <v>210</v>
      </c>
      <c r="CS2733" s="1" t="s">
        <v>647</v>
      </c>
      <c r="CT2733" s="1" t="s">
        <v>206</v>
      </c>
      <c r="CU2733" s="1" t="s">
        <v>207</v>
      </c>
      <c r="CW2733" s="1" t="s">
        <v>434</v>
      </c>
      <c r="CX2733" s="1" t="s">
        <v>206</v>
      </c>
      <c r="CY2733" s="1" t="s">
        <v>207</v>
      </c>
      <c r="DA2733" s="1" t="s">
        <v>192</v>
      </c>
      <c r="DB2733" s="2">
        <v>42111.0</v>
      </c>
      <c r="DC2733" s="1" t="s">
        <v>1353</v>
      </c>
      <c r="DD2733" s="1" t="s">
        <v>336</v>
      </c>
      <c r="DE2733" s="1" t="s">
        <v>273</v>
      </c>
      <c r="DF2733" s="1" t="s">
        <v>3751</v>
      </c>
      <c r="DG2733" s="1" t="s">
        <v>337</v>
      </c>
      <c r="DH2733" s="1" t="s">
        <v>365</v>
      </c>
      <c r="DI2733" s="1" t="s">
        <v>437</v>
      </c>
      <c r="DJ2733" s="1" t="s">
        <v>222</v>
      </c>
      <c r="DK2733" s="1" t="s">
        <v>223</v>
      </c>
      <c r="DL2733" s="1" t="s">
        <v>1161</v>
      </c>
      <c r="DM2733" s="1" t="s">
        <v>229</v>
      </c>
      <c r="DN2733" s="1" t="s">
        <v>1659</v>
      </c>
      <c r="DO2733" s="1" t="s">
        <v>717</v>
      </c>
      <c r="DP2733" s="1" t="s">
        <v>276</v>
      </c>
      <c r="DQ2733" s="1" t="s">
        <v>228</v>
      </c>
      <c r="DR2733" s="1" t="s">
        <v>229</v>
      </c>
      <c r="DS2733" s="1" t="s">
        <v>368</v>
      </c>
      <c r="DV2733" s="1" t="s">
        <v>9934</v>
      </c>
      <c r="DW2733" s="1" t="s">
        <v>9935</v>
      </c>
      <c r="DX2733" s="1" t="s">
        <v>309</v>
      </c>
      <c r="DY2733" s="1" t="s">
        <v>5470</v>
      </c>
      <c r="DZ2733" s="1" t="s">
        <v>310</v>
      </c>
      <c r="EA2733" s="1" t="s">
        <v>344</v>
      </c>
      <c r="EB2733" s="1" t="s">
        <v>684</v>
      </c>
      <c r="EC2733" s="1" t="s">
        <v>237</v>
      </c>
      <c r="ED2733" s="1" t="s">
        <v>555</v>
      </c>
      <c r="EE2733" s="1" t="s">
        <v>187</v>
      </c>
      <c r="EG2733" s="1" t="s">
        <v>556</v>
      </c>
      <c r="EH2733" s="1" t="s">
        <v>1164</v>
      </c>
      <c r="EI2733" s="1" t="s">
        <v>1467</v>
      </c>
      <c r="EJ2733" s="1" t="s">
        <v>2023</v>
      </c>
      <c r="EK2733" s="1" t="s">
        <v>720</v>
      </c>
      <c r="EL2733" s="1" t="s">
        <v>3318</v>
      </c>
      <c r="EM2733" s="1" t="s">
        <v>206</v>
      </c>
      <c r="EN2733" s="1" t="s">
        <v>207</v>
      </c>
      <c r="EP2733" s="1" t="s">
        <v>329</v>
      </c>
      <c r="EQ2733" s="1" t="s">
        <v>42</v>
      </c>
      <c r="ER2733" s="1" t="s">
        <v>2615</v>
      </c>
      <c r="ET2733" s="1" t="s">
        <v>390</v>
      </c>
      <c r="EU2733" s="1" t="s">
        <v>42</v>
      </c>
      <c r="EV2733" s="1" t="s">
        <v>2615</v>
      </c>
      <c r="EX2733" s="1" t="s">
        <v>925</v>
      </c>
      <c r="EY2733" s="1" t="s">
        <v>42</v>
      </c>
      <c r="EZ2733" s="1" t="s">
        <v>2615</v>
      </c>
      <c r="FB2733" s="1" t="s">
        <v>9936</v>
      </c>
      <c r="FC2733" s="1" t="s">
        <v>42</v>
      </c>
      <c r="FD2733" s="1" t="s">
        <v>2615</v>
      </c>
      <c r="FF2733" s="1" t="s">
        <v>239</v>
      </c>
      <c r="FG2733" s="1" t="s">
        <v>192</v>
      </c>
      <c r="FH2733" s="1" t="s">
        <v>192</v>
      </c>
      <c r="FJ2733" s="1" t="s">
        <v>24177</v>
      </c>
      <c r="FK2733" s="1" t="s">
        <v>229</v>
      </c>
      <c r="FL2733" s="1" t="s">
        <v>1663</v>
      </c>
      <c r="FM2733" s="1">
        <v>17299.0</v>
      </c>
      <c r="FN2733" s="1" t="s">
        <v>1664</v>
      </c>
      <c r="FO2733" s="1" t="s">
        <v>7822</v>
      </c>
      <c r="FP2733" s="1">
        <v>154355.0</v>
      </c>
      <c r="FQ2733" s="1" t="s">
        <v>7823</v>
      </c>
      <c r="FU2733" s="1" t="s">
        <v>9937</v>
      </c>
      <c r="FV2733" s="1" t="s">
        <v>192</v>
      </c>
      <c r="FW2733" s="1" t="s">
        <v>290</v>
      </c>
      <c r="FX2733" s="1" t="s">
        <v>246</v>
      </c>
      <c r="FZ2733" s="1" t="s">
        <v>229</v>
      </c>
      <c r="GA2733" s="1" t="s">
        <v>291</v>
      </c>
      <c r="GB2733" s="2">
        <v>42114.0</v>
      </c>
    </row>
    <row r="2734">
      <c r="A2734" s="1">
        <v>281500.0</v>
      </c>
      <c r="B2734" s="1" t="s">
        <v>185</v>
      </c>
      <c r="C2734" s="1" t="str">
        <f>"08827064"</f>
        <v>08827064</v>
      </c>
      <c r="D2734" s="1" t="s">
        <v>186</v>
      </c>
      <c r="F2734" s="1" t="str">
        <f>"560"</f>
        <v>560</v>
      </c>
      <c r="G2734" s="2">
        <v>42033.0</v>
      </c>
      <c r="H2734" s="1">
        <v>302800.0</v>
      </c>
      <c r="I2734" s="1">
        <v>140.0</v>
      </c>
      <c r="J2734" s="1">
        <v>302800.0</v>
      </c>
      <c r="K2734" s="2">
        <v>42087.0</v>
      </c>
      <c r="L2734" s="1">
        <v>57.0</v>
      </c>
      <c r="M2734" s="2">
        <v>42087.0</v>
      </c>
      <c r="N2734" s="1" t="s">
        <v>187</v>
      </c>
      <c r="O2734" s="2">
        <v>42116.0</v>
      </c>
      <c r="P2734" s="1">
        <v>243693.0</v>
      </c>
      <c r="Q2734" s="1">
        <v>22588.0</v>
      </c>
      <c r="S2734" s="1">
        <v>887.0</v>
      </c>
      <c r="T2734" s="1" t="s">
        <v>24178</v>
      </c>
      <c r="U2734" s="1" t="s">
        <v>569</v>
      </c>
      <c r="V2734" s="1" t="s">
        <v>845</v>
      </c>
      <c r="W2734" s="1">
        <v>60560.0</v>
      </c>
      <c r="Y2734" s="1" t="s">
        <v>24179</v>
      </c>
      <c r="Z2734" s="1">
        <v>2006.0</v>
      </c>
      <c r="AA2734" s="1" t="s">
        <v>200</v>
      </c>
      <c r="AB2734" s="1" t="s">
        <v>193</v>
      </c>
      <c r="AC2734" s="1" t="s">
        <v>18311</v>
      </c>
      <c r="AD2734" s="1" t="s">
        <v>848</v>
      </c>
      <c r="AE2734" s="1" t="s">
        <v>849</v>
      </c>
      <c r="AF2734" s="1" t="s">
        <v>1312</v>
      </c>
      <c r="AH2734" s="1" t="s">
        <v>24180</v>
      </c>
      <c r="AI2734" s="1">
        <v>0.2726</v>
      </c>
      <c r="AK2734" s="1">
        <v>10.0</v>
      </c>
      <c r="AL2734" s="1">
        <v>4.0</v>
      </c>
      <c r="AM2734" s="1">
        <v>2.0</v>
      </c>
      <c r="AN2734" s="1">
        <v>1.0</v>
      </c>
      <c r="AO2734" s="1" t="s">
        <v>198</v>
      </c>
      <c r="AP2734" s="1">
        <v>1.0</v>
      </c>
      <c r="AQ2734" s="1" t="s">
        <v>198</v>
      </c>
      <c r="AR2734" s="1" t="s">
        <v>200</v>
      </c>
      <c r="AS2734" s="1" t="s">
        <v>199</v>
      </c>
      <c r="AT2734" s="1">
        <v>3.0</v>
      </c>
      <c r="AV2734" s="1" t="s">
        <v>200</v>
      </c>
      <c r="AW2734" s="1">
        <v>9569.84</v>
      </c>
      <c r="AX2734" s="1">
        <v>2013.0</v>
      </c>
      <c r="AY2734" s="1" t="s">
        <v>387</v>
      </c>
      <c r="AZ2734" s="1" t="s">
        <v>200</v>
      </c>
      <c r="BA2734" s="1" t="str">
        <f>"0228428015"</f>
        <v>0228428015</v>
      </c>
      <c r="BB2734" s="1" t="s">
        <v>200</v>
      </c>
      <c r="BC2734" s="1">
        <v>3106.0</v>
      </c>
      <c r="BD2734" s="1">
        <v>281500.0</v>
      </c>
      <c r="BE2734" s="2">
        <v>42031.0</v>
      </c>
      <c r="BF2734" s="2" t="s">
        <v>24181</v>
      </c>
      <c r="BH2734" s="1">
        <v>500.0</v>
      </c>
      <c r="BK2734" s="1" t="s">
        <v>580</v>
      </c>
      <c r="BL2734" s="1" t="str">
        <f t="shared" ref="BL2734:BM2734" si="1779">"0"</f>
        <v>0</v>
      </c>
      <c r="BM2734" s="1" t="str">
        <f t="shared" si="1779"/>
        <v>0</v>
      </c>
      <c r="BN2734" s="1">
        <v>42.0</v>
      </c>
      <c r="BO2734" s="1">
        <v>14.0</v>
      </c>
      <c r="BQ2734" s="1">
        <v>115.0</v>
      </c>
      <c r="BR2734" s="1">
        <v>115.0</v>
      </c>
      <c r="BS2734" s="1">
        <v>115.0</v>
      </c>
      <c r="BU2734" s="1" t="s">
        <v>215</v>
      </c>
      <c r="BV2734" s="1" t="s">
        <v>206</v>
      </c>
      <c r="BW2734" s="1" t="s">
        <v>210</v>
      </c>
      <c r="BX2734" s="1" t="s">
        <v>431</v>
      </c>
      <c r="BY2734" s="1" t="s">
        <v>1244</v>
      </c>
      <c r="BZ2734" s="1" t="s">
        <v>209</v>
      </c>
      <c r="CA2734" s="1" t="s">
        <v>210</v>
      </c>
      <c r="CB2734" s="1" t="s">
        <v>431</v>
      </c>
      <c r="CC2734" s="1" t="s">
        <v>454</v>
      </c>
      <c r="CD2734" s="1" t="s">
        <v>206</v>
      </c>
      <c r="CE2734" s="1" t="s">
        <v>210</v>
      </c>
      <c r="CF2734" s="1" t="s">
        <v>431</v>
      </c>
      <c r="CG2734" s="1" t="s">
        <v>363</v>
      </c>
      <c r="CH2734" s="1" t="s">
        <v>209</v>
      </c>
      <c r="CI2734" s="1" t="s">
        <v>210</v>
      </c>
      <c r="CJ2734" s="1" t="s">
        <v>431</v>
      </c>
      <c r="CK2734" s="1" t="s">
        <v>212</v>
      </c>
      <c r="CL2734" s="1" t="s">
        <v>209</v>
      </c>
      <c r="CM2734" s="1" t="s">
        <v>210</v>
      </c>
      <c r="CN2734" s="1" t="s">
        <v>431</v>
      </c>
      <c r="CO2734" s="1" t="s">
        <v>212</v>
      </c>
      <c r="CP2734" s="1" t="s">
        <v>209</v>
      </c>
      <c r="CQ2734" s="1" t="s">
        <v>210</v>
      </c>
      <c r="CR2734" s="1" t="s">
        <v>431</v>
      </c>
      <c r="CS2734" s="1" t="s">
        <v>454</v>
      </c>
      <c r="CT2734" s="1" t="s">
        <v>206</v>
      </c>
      <c r="CU2734" s="1" t="s">
        <v>207</v>
      </c>
      <c r="CW2734" s="1" t="s">
        <v>544</v>
      </c>
      <c r="CX2734" s="1" t="s">
        <v>206</v>
      </c>
      <c r="CY2734" s="1" t="s">
        <v>210</v>
      </c>
      <c r="CZ2734" s="1" t="s">
        <v>431</v>
      </c>
      <c r="DA2734" s="1" t="s">
        <v>200</v>
      </c>
      <c r="DC2734" s="1" t="s">
        <v>481</v>
      </c>
      <c r="DD2734" s="1" t="s">
        <v>1930</v>
      </c>
      <c r="DE2734" s="1" t="s">
        <v>273</v>
      </c>
      <c r="DF2734" s="1" t="s">
        <v>219</v>
      </c>
      <c r="DG2734" s="1" t="s">
        <v>1002</v>
      </c>
      <c r="DH2734" s="1" t="s">
        <v>220</v>
      </c>
      <c r="DI2734" s="1" t="s">
        <v>1003</v>
      </c>
      <c r="DJ2734" s="1" t="s">
        <v>222</v>
      </c>
      <c r="DK2734" s="1" t="s">
        <v>223</v>
      </c>
      <c r="DL2734" s="1" t="s">
        <v>484</v>
      </c>
      <c r="DM2734" s="1" t="s">
        <v>338</v>
      </c>
      <c r="DN2734" s="1" t="s">
        <v>399</v>
      </c>
      <c r="DO2734" s="1" t="s">
        <v>761</v>
      </c>
      <c r="DP2734" s="1" t="s">
        <v>340</v>
      </c>
      <c r="DQ2734" s="1" t="s">
        <v>228</v>
      </c>
      <c r="DR2734" s="1" t="s">
        <v>1839</v>
      </c>
      <c r="DS2734" s="1" t="s">
        <v>591</v>
      </c>
      <c r="DU2734" s="1" t="s">
        <v>24182</v>
      </c>
      <c r="DV2734" s="1" t="s">
        <v>2381</v>
      </c>
      <c r="DW2734" s="1" t="s">
        <v>934</v>
      </c>
      <c r="DX2734" s="1" t="s">
        <v>234</v>
      </c>
      <c r="DY2734" s="1" t="s">
        <v>490</v>
      </c>
      <c r="DZ2734" s="1" t="s">
        <v>1661</v>
      </c>
      <c r="EA2734" s="1" t="s">
        <v>344</v>
      </c>
      <c r="EB2734" s="1" t="s">
        <v>937</v>
      </c>
      <c r="EC2734" s="1" t="s">
        <v>237</v>
      </c>
      <c r="ED2734" s="1" t="s">
        <v>555</v>
      </c>
      <c r="EG2734" s="1" t="s">
        <v>556</v>
      </c>
      <c r="EH2734" s="1" t="s">
        <v>494</v>
      </c>
      <c r="EL2734" s="1" t="s">
        <v>647</v>
      </c>
      <c r="EM2734" s="1" t="s">
        <v>206</v>
      </c>
      <c r="EN2734" s="1" t="s">
        <v>207</v>
      </c>
      <c r="EP2734" s="1" t="s">
        <v>212</v>
      </c>
      <c r="EQ2734" s="1" t="s">
        <v>206</v>
      </c>
      <c r="ER2734" s="1" t="s">
        <v>210</v>
      </c>
      <c r="EU2734" s="1" t="s">
        <v>238</v>
      </c>
      <c r="EY2734" s="1" t="s">
        <v>238</v>
      </c>
      <c r="FC2734" s="1" t="s">
        <v>238</v>
      </c>
      <c r="FF2734" s="1" t="s">
        <v>239</v>
      </c>
      <c r="FG2734" s="1" t="s">
        <v>192</v>
      </c>
      <c r="FH2734" s="1" t="s">
        <v>192</v>
      </c>
      <c r="FJ2734" s="1" t="s">
        <v>4427</v>
      </c>
      <c r="FK2734" s="1" t="s">
        <v>229</v>
      </c>
      <c r="FL2734" s="1" t="s">
        <v>1358</v>
      </c>
      <c r="FM2734" s="1">
        <v>23076.0</v>
      </c>
      <c r="FN2734" s="1" t="s">
        <v>1359</v>
      </c>
      <c r="FO2734" s="1" t="s">
        <v>24183</v>
      </c>
      <c r="FP2734" s="1">
        <v>219653.0</v>
      </c>
      <c r="FQ2734" s="1" t="s">
        <v>24184</v>
      </c>
      <c r="FU2734" s="1" t="s">
        <v>24185</v>
      </c>
      <c r="FV2734" s="1" t="s">
        <v>200</v>
      </c>
      <c r="FW2734" s="1" t="s">
        <v>290</v>
      </c>
      <c r="FZ2734" s="1" t="s">
        <v>229</v>
      </c>
      <c r="GA2734" s="1" t="s">
        <v>291</v>
      </c>
      <c r="GB2734" s="2">
        <v>42116.0</v>
      </c>
      <c r="GC2734" s="1" t="s">
        <v>24186</v>
      </c>
    </row>
    <row r="2735">
      <c r="A2735" s="1">
        <v>370000.0</v>
      </c>
      <c r="B2735" s="1" t="s">
        <v>185</v>
      </c>
      <c r="C2735" s="1" t="str">
        <f>"08830522"</f>
        <v>08830522</v>
      </c>
      <c r="D2735" s="1" t="s">
        <v>186</v>
      </c>
      <c r="F2735" s="1" t="str">
        <f t="shared" ref="F2735:F2736" si="1781">"174"</f>
        <v>174</v>
      </c>
      <c r="G2735" s="2">
        <v>42039.0</v>
      </c>
      <c r="H2735" s="1">
        <v>375000.0</v>
      </c>
      <c r="I2735" s="1">
        <v>164.0</v>
      </c>
      <c r="J2735" s="1">
        <v>375000.0</v>
      </c>
      <c r="K2735" s="2">
        <v>42055.0</v>
      </c>
      <c r="L2735" s="1">
        <v>17.0</v>
      </c>
      <c r="M2735" s="2">
        <v>42055.0</v>
      </c>
      <c r="N2735" s="1" t="s">
        <v>187</v>
      </c>
      <c r="O2735" s="2">
        <v>42125.0</v>
      </c>
      <c r="P2735" s="1">
        <v>211891.0</v>
      </c>
      <c r="Q2735" s="1">
        <v>20119.0</v>
      </c>
      <c r="S2735" s="1" t="s">
        <v>24187</v>
      </c>
      <c r="T2735" s="1" t="s">
        <v>9301</v>
      </c>
      <c r="U2735" s="1" t="s">
        <v>569</v>
      </c>
      <c r="V2735" s="1" t="s">
        <v>1200</v>
      </c>
      <c r="W2735" s="1">
        <v>60175.0</v>
      </c>
      <c r="Y2735" s="1" t="s">
        <v>24188</v>
      </c>
      <c r="Z2735" s="1">
        <v>1990.0</v>
      </c>
      <c r="AA2735" s="1" t="s">
        <v>200</v>
      </c>
      <c r="AB2735" s="1" t="s">
        <v>193</v>
      </c>
      <c r="AD2735" s="1" t="s">
        <v>1089</v>
      </c>
      <c r="AE2735" s="1" t="s">
        <v>325</v>
      </c>
      <c r="AF2735" s="1" t="s">
        <v>1632</v>
      </c>
      <c r="AH2735" s="1" t="s">
        <v>24189</v>
      </c>
      <c r="AI2735" s="1">
        <v>1.3704</v>
      </c>
      <c r="AK2735" s="1">
        <v>10.0</v>
      </c>
      <c r="AL2735" s="1">
        <v>4.0</v>
      </c>
      <c r="AM2735" s="1">
        <v>3.0</v>
      </c>
      <c r="AN2735" s="1">
        <v>1.0</v>
      </c>
      <c r="AO2735" s="1" t="s">
        <v>198</v>
      </c>
      <c r="AP2735" s="1">
        <v>1.0</v>
      </c>
      <c r="AQ2735" s="1" t="s">
        <v>198</v>
      </c>
      <c r="AR2735" s="1" t="s">
        <v>192</v>
      </c>
      <c r="AS2735" s="1" t="s">
        <v>199</v>
      </c>
      <c r="AT2735" s="1">
        <v>3.0</v>
      </c>
      <c r="AV2735" s="1" t="s">
        <v>200</v>
      </c>
      <c r="AW2735" s="1">
        <v>11013.0</v>
      </c>
      <c r="AX2735" s="1">
        <v>2013.0</v>
      </c>
      <c r="AY2735" s="1" t="s">
        <v>387</v>
      </c>
      <c r="AZ2735" s="1" t="s">
        <v>200</v>
      </c>
      <c r="BA2735" s="1" t="str">
        <f>"0817203001"</f>
        <v>0817203001</v>
      </c>
      <c r="BB2735" s="1" t="s">
        <v>200</v>
      </c>
      <c r="BC2735" s="1">
        <v>2942.0</v>
      </c>
      <c r="BD2735" s="1">
        <v>370000.0</v>
      </c>
      <c r="BE2735" s="2">
        <v>42039.0</v>
      </c>
      <c r="BF2735" s="2" t="s">
        <v>24190</v>
      </c>
      <c r="BG2735" s="1" t="s">
        <v>7848</v>
      </c>
      <c r="BH2735" s="1">
        <v>0.0</v>
      </c>
      <c r="BI2735" s="1" t="s">
        <v>1975</v>
      </c>
      <c r="BJ2735" s="1" t="s">
        <v>579</v>
      </c>
      <c r="BK2735" s="1" t="s">
        <v>204</v>
      </c>
      <c r="BL2735" s="1" t="str">
        <f t="shared" ref="BL2735:BM2735" si="1780">""</f>
        <v/>
      </c>
      <c r="BM2735" s="1" t="str">
        <f t="shared" si="1780"/>
        <v/>
      </c>
      <c r="BQ2735" s="1">
        <v>301.0</v>
      </c>
      <c r="BR2735" s="1">
        <v>301.0</v>
      </c>
      <c r="BS2735" s="1">
        <v>301.0</v>
      </c>
      <c r="BU2735" s="1" t="s">
        <v>784</v>
      </c>
      <c r="BV2735" s="1" t="s">
        <v>206</v>
      </c>
      <c r="BW2735" s="1" t="s">
        <v>207</v>
      </c>
      <c r="BY2735" s="1" t="s">
        <v>544</v>
      </c>
      <c r="BZ2735" s="1" t="s">
        <v>209</v>
      </c>
      <c r="CA2735" s="1" t="s">
        <v>207</v>
      </c>
      <c r="CC2735" s="1" t="s">
        <v>454</v>
      </c>
      <c r="CD2735" s="1" t="s">
        <v>206</v>
      </c>
      <c r="CE2735" s="1" t="s">
        <v>207</v>
      </c>
      <c r="CG2735" s="1" t="s">
        <v>758</v>
      </c>
      <c r="CH2735" s="1" t="s">
        <v>209</v>
      </c>
      <c r="CI2735" s="1" t="s">
        <v>210</v>
      </c>
      <c r="CK2735" s="1" t="s">
        <v>584</v>
      </c>
      <c r="CL2735" s="1" t="s">
        <v>209</v>
      </c>
      <c r="CM2735" s="1" t="s">
        <v>210</v>
      </c>
      <c r="CO2735" s="1" t="s">
        <v>212</v>
      </c>
      <c r="CP2735" s="1" t="s">
        <v>209</v>
      </c>
      <c r="CQ2735" s="1" t="s">
        <v>210</v>
      </c>
      <c r="CS2735" s="1" t="s">
        <v>6797</v>
      </c>
      <c r="CT2735" s="1" t="s">
        <v>206</v>
      </c>
      <c r="CU2735" s="1" t="s">
        <v>268</v>
      </c>
      <c r="CW2735" s="1" t="s">
        <v>1892</v>
      </c>
      <c r="CX2735" s="1" t="s">
        <v>206</v>
      </c>
      <c r="CY2735" s="1" t="s">
        <v>207</v>
      </c>
      <c r="DA2735" s="1" t="s">
        <v>200</v>
      </c>
      <c r="DC2735" s="1" t="s">
        <v>435</v>
      </c>
      <c r="DD2735" s="1" t="s">
        <v>272</v>
      </c>
      <c r="DE2735" s="1" t="s">
        <v>273</v>
      </c>
      <c r="DF2735" s="1" t="s">
        <v>219</v>
      </c>
      <c r="DG2735" s="1" t="s">
        <v>1553</v>
      </c>
      <c r="DH2735" s="1" t="s">
        <v>856</v>
      </c>
      <c r="DI2735" s="1" t="s">
        <v>1141</v>
      </c>
      <c r="DJ2735" s="1" t="s">
        <v>857</v>
      </c>
      <c r="DL2735" s="1" t="s">
        <v>224</v>
      </c>
      <c r="DM2735" s="1" t="s">
        <v>338</v>
      </c>
      <c r="DN2735" s="1" t="s">
        <v>548</v>
      </c>
      <c r="DO2735" s="1" t="s">
        <v>12169</v>
      </c>
      <c r="DP2735" s="1" t="s">
        <v>340</v>
      </c>
      <c r="DQ2735" s="1" t="s">
        <v>931</v>
      </c>
      <c r="DR2735" s="1" t="s">
        <v>229</v>
      </c>
      <c r="DS2735" s="1" t="s">
        <v>368</v>
      </c>
      <c r="DU2735" s="1" t="s">
        <v>7852</v>
      </c>
      <c r="DV2735" s="1" t="s">
        <v>24191</v>
      </c>
      <c r="DW2735" s="1" t="s">
        <v>764</v>
      </c>
      <c r="DX2735" s="1" t="s">
        <v>234</v>
      </c>
      <c r="DY2735" s="1" t="s">
        <v>19851</v>
      </c>
      <c r="DZ2735" s="1" t="s">
        <v>8913</v>
      </c>
      <c r="EA2735" s="1" t="s">
        <v>344</v>
      </c>
      <c r="EB2735" s="1" t="s">
        <v>937</v>
      </c>
      <c r="EC2735" s="1" t="s">
        <v>237</v>
      </c>
      <c r="ED2735" s="1" t="s">
        <v>555</v>
      </c>
      <c r="EG2735" s="1" t="s">
        <v>557</v>
      </c>
      <c r="EH2735" s="1" t="s">
        <v>1102</v>
      </c>
      <c r="EI2735" s="1" t="s">
        <v>450</v>
      </c>
      <c r="EJ2735" s="1" t="s">
        <v>2971</v>
      </c>
      <c r="EL2735" s="1" t="s">
        <v>392</v>
      </c>
      <c r="EM2735" s="1" t="s">
        <v>42</v>
      </c>
      <c r="EN2735" s="1" t="s">
        <v>268</v>
      </c>
      <c r="EP2735" s="1" t="s">
        <v>300</v>
      </c>
      <c r="EQ2735" s="1" t="s">
        <v>206</v>
      </c>
      <c r="ER2735" s="1" t="s">
        <v>207</v>
      </c>
      <c r="ET2735" s="1" t="s">
        <v>211</v>
      </c>
      <c r="EU2735" s="1" t="s">
        <v>42</v>
      </c>
      <c r="EV2735" s="1" t="s">
        <v>268</v>
      </c>
      <c r="EX2735" s="1" t="s">
        <v>6591</v>
      </c>
      <c r="EY2735" s="1" t="s">
        <v>42</v>
      </c>
      <c r="EZ2735" s="1" t="s">
        <v>268</v>
      </c>
      <c r="FC2735" s="1" t="s">
        <v>238</v>
      </c>
      <c r="FF2735" s="1" t="s">
        <v>239</v>
      </c>
      <c r="FG2735" s="1" t="s">
        <v>192</v>
      </c>
      <c r="FH2735" s="1" t="s">
        <v>192</v>
      </c>
      <c r="FJ2735" s="1" t="s">
        <v>2262</v>
      </c>
      <c r="FK2735" s="1" t="s">
        <v>348</v>
      </c>
      <c r="FL2735" s="1" t="s">
        <v>5530</v>
      </c>
      <c r="FM2735" s="1">
        <v>8079.0</v>
      </c>
      <c r="FN2735" s="1" t="s">
        <v>5531</v>
      </c>
      <c r="FO2735" s="1" t="s">
        <v>5532</v>
      </c>
      <c r="FP2735" s="1">
        <v>920884.0</v>
      </c>
      <c r="FQ2735" s="1" t="s">
        <v>5533</v>
      </c>
      <c r="FU2735" s="1" t="s">
        <v>5534</v>
      </c>
      <c r="FV2735" s="1" t="s">
        <v>200</v>
      </c>
      <c r="FW2735" s="1" t="s">
        <v>290</v>
      </c>
      <c r="FZ2735" s="1" t="s">
        <v>632</v>
      </c>
      <c r="GA2735" s="1" t="s">
        <v>291</v>
      </c>
      <c r="GB2735" s="2">
        <v>42125.0</v>
      </c>
    </row>
    <row r="2736">
      <c r="A2736" s="1">
        <v>470000.0</v>
      </c>
      <c r="B2736" s="1" t="s">
        <v>185</v>
      </c>
      <c r="C2736" s="1" t="str">
        <f>"08836132"</f>
        <v>08836132</v>
      </c>
      <c r="D2736" s="1" t="s">
        <v>186</v>
      </c>
      <c r="F2736" s="1" t="str">
        <f t="shared" si="1781"/>
        <v>174</v>
      </c>
      <c r="G2736" s="2">
        <v>42046.0</v>
      </c>
      <c r="H2736" s="1">
        <v>529900.0</v>
      </c>
      <c r="I2736" s="1">
        <v>21.0</v>
      </c>
      <c r="J2736" s="1">
        <v>499000.0</v>
      </c>
      <c r="K2736" s="2">
        <v>42066.0</v>
      </c>
      <c r="L2736" s="1">
        <v>21.0</v>
      </c>
      <c r="M2736" s="2">
        <v>42066.0</v>
      </c>
      <c r="N2736" s="1" t="s">
        <v>187</v>
      </c>
      <c r="O2736" s="2">
        <v>42144.0</v>
      </c>
      <c r="P2736" s="1">
        <v>230482.0</v>
      </c>
      <c r="Q2736" s="1">
        <v>23591.0</v>
      </c>
      <c r="S2736" s="1">
        <v>3001.0</v>
      </c>
      <c r="T2736" s="1" t="s">
        <v>24192</v>
      </c>
      <c r="U2736" s="1" t="s">
        <v>694</v>
      </c>
      <c r="V2736" s="1" t="s">
        <v>1200</v>
      </c>
      <c r="W2736" s="1">
        <v>60175.0</v>
      </c>
      <c r="Y2736" s="1" t="s">
        <v>24193</v>
      </c>
      <c r="Z2736" s="1">
        <v>1989.0</v>
      </c>
      <c r="AA2736" s="1" t="s">
        <v>200</v>
      </c>
      <c r="AB2736" s="1" t="s">
        <v>193</v>
      </c>
      <c r="AC2736" s="1" t="s">
        <v>15161</v>
      </c>
      <c r="AD2736" s="1" t="s">
        <v>1203</v>
      </c>
      <c r="AE2736" s="1" t="s">
        <v>325</v>
      </c>
      <c r="AF2736" s="1" t="s">
        <v>1203</v>
      </c>
      <c r="AH2736" s="1">
        <v>23596.0</v>
      </c>
      <c r="AK2736" s="1">
        <v>13.0</v>
      </c>
      <c r="AL2736" s="1">
        <v>4.0</v>
      </c>
      <c r="AM2736" s="1">
        <v>4.0</v>
      </c>
      <c r="AN2736" s="1">
        <v>0.0</v>
      </c>
      <c r="AO2736" s="1" t="s">
        <v>198</v>
      </c>
      <c r="AP2736" s="1">
        <v>3.0</v>
      </c>
      <c r="AQ2736" s="1" t="s">
        <v>198</v>
      </c>
      <c r="AR2736" s="1" t="s">
        <v>192</v>
      </c>
      <c r="AS2736" s="1" t="s">
        <v>199</v>
      </c>
      <c r="AT2736" s="1">
        <v>3.0</v>
      </c>
      <c r="AV2736" s="1" t="s">
        <v>200</v>
      </c>
      <c r="AW2736" s="1">
        <v>14130.54</v>
      </c>
      <c r="AX2736" s="1">
        <v>2013.0</v>
      </c>
      <c r="AY2736" s="1" t="s">
        <v>387</v>
      </c>
      <c r="AZ2736" s="1" t="s">
        <v>200</v>
      </c>
      <c r="BA2736" s="1" t="str">
        <f>"0921226001"</f>
        <v>0921226001</v>
      </c>
      <c r="BC2736" s="1">
        <v>3299.0</v>
      </c>
      <c r="BD2736" s="1">
        <v>470000.0</v>
      </c>
      <c r="BE2736" s="2">
        <v>42046.0</v>
      </c>
      <c r="BF2736" s="2" t="s">
        <v>24194</v>
      </c>
      <c r="BG2736" s="1" t="s">
        <v>10567</v>
      </c>
      <c r="BH2736" s="1">
        <v>0.0</v>
      </c>
      <c r="BI2736" s="1" t="s">
        <v>4511</v>
      </c>
      <c r="BJ2736" s="1" t="s">
        <v>2200</v>
      </c>
      <c r="BK2736" s="1" t="s">
        <v>204</v>
      </c>
      <c r="BL2736" s="1" t="str">
        <f t="shared" ref="BL2736:BM2736" si="1782">""</f>
        <v/>
      </c>
      <c r="BM2736" s="1" t="str">
        <f t="shared" si="1782"/>
        <v/>
      </c>
      <c r="BQ2736" s="1">
        <v>303.0</v>
      </c>
      <c r="BR2736" s="1">
        <v>303.0</v>
      </c>
      <c r="BS2736" s="1">
        <v>303.0</v>
      </c>
      <c r="BU2736" s="1" t="s">
        <v>677</v>
      </c>
      <c r="BV2736" s="1" t="s">
        <v>206</v>
      </c>
      <c r="BW2736" s="1" t="s">
        <v>207</v>
      </c>
      <c r="BY2736" s="1" t="s">
        <v>8426</v>
      </c>
      <c r="BZ2736" s="1" t="s">
        <v>209</v>
      </c>
      <c r="CA2736" s="1" t="s">
        <v>210</v>
      </c>
      <c r="CB2736" s="1" t="s">
        <v>431</v>
      </c>
      <c r="CC2736" s="1" t="s">
        <v>433</v>
      </c>
      <c r="CD2736" s="1" t="s">
        <v>206</v>
      </c>
      <c r="CE2736" s="1" t="s">
        <v>207</v>
      </c>
      <c r="CF2736" s="1" t="s">
        <v>1549</v>
      </c>
      <c r="CG2736" s="1" t="s">
        <v>582</v>
      </c>
      <c r="CH2736" s="1" t="s">
        <v>209</v>
      </c>
      <c r="CI2736" s="1" t="s">
        <v>210</v>
      </c>
      <c r="CJ2736" s="1" t="s">
        <v>431</v>
      </c>
      <c r="CK2736" s="1" t="s">
        <v>215</v>
      </c>
      <c r="CL2736" s="1" t="s">
        <v>209</v>
      </c>
      <c r="CM2736" s="1" t="s">
        <v>210</v>
      </c>
      <c r="CN2736" s="1" t="s">
        <v>431</v>
      </c>
      <c r="CO2736" s="1" t="s">
        <v>363</v>
      </c>
      <c r="CP2736" s="1" t="s">
        <v>209</v>
      </c>
      <c r="CQ2736" s="1" t="s">
        <v>210</v>
      </c>
      <c r="CR2736" s="1" t="s">
        <v>431</v>
      </c>
      <c r="CS2736" s="1" t="s">
        <v>4387</v>
      </c>
      <c r="CT2736" s="1" t="s">
        <v>206</v>
      </c>
      <c r="CU2736" s="1" t="s">
        <v>268</v>
      </c>
      <c r="CW2736" s="1" t="s">
        <v>260</v>
      </c>
      <c r="CX2736" s="1" t="s">
        <v>206</v>
      </c>
      <c r="CY2736" s="1" t="s">
        <v>207</v>
      </c>
      <c r="DA2736" s="1" t="s">
        <v>200</v>
      </c>
      <c r="DC2736" s="1" t="s">
        <v>305</v>
      </c>
      <c r="DD2736" s="1" t="s">
        <v>1838</v>
      </c>
      <c r="DE2736" s="1" t="s">
        <v>273</v>
      </c>
      <c r="DF2736" s="1" t="s">
        <v>619</v>
      </c>
      <c r="DG2736" s="1" t="s">
        <v>482</v>
      </c>
      <c r="DH2736" s="1" t="s">
        <v>220</v>
      </c>
      <c r="DI2736" s="1" t="s">
        <v>5225</v>
      </c>
      <c r="DJ2736" s="1" t="s">
        <v>222</v>
      </c>
      <c r="DK2736" s="1" t="s">
        <v>3740</v>
      </c>
      <c r="DL2736" s="1" t="s">
        <v>224</v>
      </c>
      <c r="DM2736" s="1" t="s">
        <v>338</v>
      </c>
      <c r="DN2736" s="1" t="s">
        <v>2463</v>
      </c>
      <c r="DO2736" s="1" t="s">
        <v>24195</v>
      </c>
      <c r="DP2736" s="1" t="s">
        <v>340</v>
      </c>
      <c r="DQ2736" s="1" t="s">
        <v>1557</v>
      </c>
      <c r="DR2736" s="1" t="s">
        <v>229</v>
      </c>
      <c r="DU2736" s="1" t="s">
        <v>1049</v>
      </c>
      <c r="DV2736" s="1" t="s">
        <v>24196</v>
      </c>
      <c r="DW2736" s="1" t="s">
        <v>964</v>
      </c>
      <c r="DX2736" s="1" t="s">
        <v>234</v>
      </c>
      <c r="DY2736" s="1" t="s">
        <v>24197</v>
      </c>
      <c r="DZ2736" s="1" t="s">
        <v>282</v>
      </c>
      <c r="EA2736" s="1" t="s">
        <v>344</v>
      </c>
      <c r="EB2736" s="1" t="s">
        <v>4251</v>
      </c>
      <c r="EC2736" s="1" t="s">
        <v>237</v>
      </c>
      <c r="ED2736" s="1" t="s">
        <v>555</v>
      </c>
      <c r="EE2736" s="1" t="s">
        <v>493</v>
      </c>
      <c r="EG2736" s="1" t="s">
        <v>1103</v>
      </c>
      <c r="EH2736" s="1" t="s">
        <v>1729</v>
      </c>
      <c r="EI2736" s="1" t="s">
        <v>1824</v>
      </c>
      <c r="EJ2736" s="1" t="s">
        <v>598</v>
      </c>
      <c r="EK2736" s="1" t="s">
        <v>2313</v>
      </c>
      <c r="EL2736" s="1" t="s">
        <v>1483</v>
      </c>
      <c r="EM2736" s="1" t="s">
        <v>42</v>
      </c>
      <c r="EP2736" s="1" t="s">
        <v>2082</v>
      </c>
      <c r="EQ2736" s="1" t="s">
        <v>206</v>
      </c>
      <c r="ER2736" s="1" t="s">
        <v>207</v>
      </c>
      <c r="ET2736" s="1" t="s">
        <v>454</v>
      </c>
      <c r="EU2736" s="1" t="s">
        <v>42</v>
      </c>
      <c r="EV2736" s="1" t="s">
        <v>301</v>
      </c>
      <c r="EX2736" s="1" t="s">
        <v>663</v>
      </c>
      <c r="EY2736" s="1" t="s">
        <v>206</v>
      </c>
      <c r="FB2736" s="1" t="s">
        <v>2394</v>
      </c>
      <c r="FC2736" s="1" t="s">
        <v>206</v>
      </c>
      <c r="FF2736" s="1" t="s">
        <v>239</v>
      </c>
      <c r="FG2736" s="1" t="s">
        <v>192</v>
      </c>
      <c r="FH2736" s="1" t="s">
        <v>192</v>
      </c>
      <c r="FJ2736" s="1" t="s">
        <v>3099</v>
      </c>
      <c r="FK2736" s="1" t="s">
        <v>229</v>
      </c>
      <c r="FL2736" s="1" t="s">
        <v>456</v>
      </c>
      <c r="FM2736" s="1">
        <v>49.0</v>
      </c>
      <c r="FN2736" s="1" t="s">
        <v>457</v>
      </c>
      <c r="FO2736" s="1" t="s">
        <v>24198</v>
      </c>
      <c r="FP2736" s="1">
        <v>7349.0</v>
      </c>
      <c r="FQ2736" s="1" t="s">
        <v>24199</v>
      </c>
      <c r="FS2736" s="1" t="s">
        <v>24200</v>
      </c>
      <c r="FU2736" s="1" t="s">
        <v>24201</v>
      </c>
      <c r="FV2736" s="1" t="s">
        <v>200</v>
      </c>
      <c r="FW2736" s="1" t="s">
        <v>290</v>
      </c>
      <c r="FZ2736" s="1" t="s">
        <v>229</v>
      </c>
      <c r="GA2736" s="1" t="s">
        <v>291</v>
      </c>
      <c r="GB2736" s="2">
        <v>42144.0</v>
      </c>
      <c r="GC2736" s="1" t="s">
        <v>24202</v>
      </c>
    </row>
    <row r="2737">
      <c r="A2737" s="1">
        <v>272900.0</v>
      </c>
      <c r="B2737" s="1" t="s">
        <v>185</v>
      </c>
      <c r="C2737" s="1" t="str">
        <f>"08826460"</f>
        <v>08826460</v>
      </c>
      <c r="D2737" s="1" t="s">
        <v>186</v>
      </c>
      <c r="F2737" s="1" t="str">
        <f>"8017"</f>
        <v>8017</v>
      </c>
      <c r="G2737" s="2">
        <v>42033.0</v>
      </c>
      <c r="H2737" s="1">
        <v>279000.0</v>
      </c>
      <c r="I2737" s="1">
        <v>311.0</v>
      </c>
      <c r="J2737" s="1">
        <v>274750.0</v>
      </c>
      <c r="K2737" s="2">
        <v>42072.0</v>
      </c>
      <c r="L2737" s="1">
        <v>40.0</v>
      </c>
      <c r="M2737" s="2">
        <v>42072.0</v>
      </c>
      <c r="N2737" s="1" t="s">
        <v>187</v>
      </c>
      <c r="O2737" s="2">
        <v>42129.0</v>
      </c>
      <c r="P2737" s="1">
        <v>122155.0</v>
      </c>
      <c r="Q2737" s="1">
        <v>14541.0</v>
      </c>
      <c r="S2737" s="1">
        <v>6241.0</v>
      </c>
      <c r="T2737" s="1" t="s">
        <v>7996</v>
      </c>
      <c r="U2737" s="1" t="s">
        <v>189</v>
      </c>
      <c r="V2737" s="1" t="s">
        <v>190</v>
      </c>
      <c r="W2737" s="1">
        <v>60634.0</v>
      </c>
      <c r="Y2737" s="1" t="s">
        <v>24203</v>
      </c>
      <c r="Z2737" s="1">
        <v>1925.0</v>
      </c>
      <c r="AA2737" s="1" t="s">
        <v>192</v>
      </c>
      <c r="AB2737" s="1" t="s">
        <v>193</v>
      </c>
      <c r="AD2737" s="1" t="s">
        <v>194</v>
      </c>
      <c r="AE2737" s="1" t="s">
        <v>195</v>
      </c>
      <c r="AF2737" s="1" t="s">
        <v>196</v>
      </c>
      <c r="AG2737" s="1" t="s">
        <v>24204</v>
      </c>
      <c r="AH2737" s="1" t="s">
        <v>779</v>
      </c>
      <c r="AI2737" s="1">
        <v>0.0868</v>
      </c>
      <c r="AK2737" s="1">
        <v>9.0</v>
      </c>
      <c r="AL2737" s="1">
        <v>4.0</v>
      </c>
      <c r="AM2737" s="1">
        <v>2.0</v>
      </c>
      <c r="AN2737" s="1">
        <v>0.0</v>
      </c>
      <c r="AO2737" s="1" t="s">
        <v>229</v>
      </c>
      <c r="AP2737" s="1">
        <v>0.0</v>
      </c>
      <c r="AQ2737" s="1" t="s">
        <v>198</v>
      </c>
      <c r="AR2737" s="1" t="s">
        <v>200</v>
      </c>
      <c r="AS2737" s="1" t="s">
        <v>828</v>
      </c>
      <c r="AU2737" s="1">
        <v>3.0</v>
      </c>
      <c r="AV2737" s="1" t="s">
        <v>200</v>
      </c>
      <c r="AW2737" s="1">
        <v>3959.0</v>
      </c>
      <c r="AX2737" s="1">
        <v>2013.0</v>
      </c>
      <c r="AY2737" s="1" t="s">
        <v>387</v>
      </c>
      <c r="AZ2737" s="1" t="s">
        <v>200</v>
      </c>
      <c r="BA2737" s="1" t="str">
        <f>"13203090060000"</f>
        <v>13203090060000</v>
      </c>
      <c r="BB2737" s="1" t="s">
        <v>200</v>
      </c>
      <c r="BC2737" s="1">
        <v>2000.0</v>
      </c>
      <c r="BD2737" s="1">
        <v>272900.0</v>
      </c>
      <c r="BE2737" s="2">
        <v>42033.0</v>
      </c>
      <c r="BF2737" s="2" t="s">
        <v>24205</v>
      </c>
      <c r="BH2737" s="1">
        <v>0.0</v>
      </c>
      <c r="BK2737" s="1" t="s">
        <v>204</v>
      </c>
      <c r="BL2737" s="1" t="str">
        <f>"3500"</f>
        <v>3500</v>
      </c>
      <c r="BM2737" s="1" t="str">
        <f>"0"</f>
        <v>0</v>
      </c>
      <c r="BN2737" s="1">
        <v>6241.0</v>
      </c>
      <c r="BO2737" s="1">
        <v>0.0</v>
      </c>
      <c r="BQ2737" s="1">
        <v>299.0</v>
      </c>
      <c r="BR2737" s="1">
        <v>299.0</v>
      </c>
      <c r="BS2737" s="1">
        <v>299.0</v>
      </c>
      <c r="BU2737" s="1" t="s">
        <v>854</v>
      </c>
      <c r="BV2737" s="1" t="s">
        <v>206</v>
      </c>
      <c r="BW2737" s="1" t="s">
        <v>207</v>
      </c>
      <c r="BX2737" s="1" t="s">
        <v>239</v>
      </c>
      <c r="BY2737" s="1" t="s">
        <v>7468</v>
      </c>
      <c r="BZ2737" s="1" t="s">
        <v>209</v>
      </c>
      <c r="CA2737" s="1" t="s">
        <v>301</v>
      </c>
      <c r="CB2737" s="1" t="s">
        <v>431</v>
      </c>
      <c r="CC2737" s="1" t="s">
        <v>205</v>
      </c>
      <c r="CD2737" s="1" t="s">
        <v>206</v>
      </c>
      <c r="CE2737" s="1" t="s">
        <v>207</v>
      </c>
      <c r="CF2737" s="1" t="s">
        <v>239</v>
      </c>
      <c r="CG2737" s="1" t="s">
        <v>2014</v>
      </c>
      <c r="CH2737" s="1" t="s">
        <v>209</v>
      </c>
      <c r="CI2737" s="1" t="s">
        <v>301</v>
      </c>
      <c r="CJ2737" s="1" t="s">
        <v>431</v>
      </c>
      <c r="CK2737" s="1" t="s">
        <v>332</v>
      </c>
      <c r="CL2737" s="1" t="s">
        <v>206</v>
      </c>
      <c r="CM2737" s="1" t="s">
        <v>207</v>
      </c>
      <c r="CN2737" s="1" t="s">
        <v>239</v>
      </c>
      <c r="CO2737" s="1" t="s">
        <v>699</v>
      </c>
      <c r="CP2737" s="1" t="s">
        <v>206</v>
      </c>
      <c r="CQ2737" s="1" t="s">
        <v>207</v>
      </c>
      <c r="CR2737" s="1" t="s">
        <v>239</v>
      </c>
      <c r="CS2737" s="1" t="s">
        <v>363</v>
      </c>
      <c r="CT2737" s="1" t="s">
        <v>206</v>
      </c>
      <c r="CU2737" s="1" t="s">
        <v>207</v>
      </c>
      <c r="CV2737" s="1" t="s">
        <v>239</v>
      </c>
      <c r="CW2737" s="1" t="s">
        <v>1246</v>
      </c>
      <c r="CX2737" s="1" t="s">
        <v>206</v>
      </c>
      <c r="CY2737" s="1" t="s">
        <v>617</v>
      </c>
      <c r="CZ2737" s="1" t="s">
        <v>1549</v>
      </c>
      <c r="DA2737" s="1" t="s">
        <v>200</v>
      </c>
      <c r="DC2737" s="1" t="s">
        <v>785</v>
      </c>
      <c r="DD2737" s="1" t="s">
        <v>957</v>
      </c>
      <c r="DE2737" s="1" t="s">
        <v>1905</v>
      </c>
      <c r="DF2737" s="1" t="s">
        <v>11610</v>
      </c>
      <c r="DG2737" s="1" t="s">
        <v>1002</v>
      </c>
      <c r="DH2737" s="1" t="s">
        <v>365</v>
      </c>
      <c r="DI2737" s="1" t="s">
        <v>519</v>
      </c>
      <c r="DJ2737" s="1" t="s">
        <v>222</v>
      </c>
      <c r="DK2737" s="1" t="s">
        <v>2506</v>
      </c>
      <c r="DL2737" s="1" t="s">
        <v>986</v>
      </c>
      <c r="DM2737" s="1" t="s">
        <v>225</v>
      </c>
      <c r="DN2737" s="1" t="s">
        <v>367</v>
      </c>
      <c r="DP2737" s="1" t="s">
        <v>340</v>
      </c>
      <c r="DQ2737" s="1" t="s">
        <v>441</v>
      </c>
      <c r="DR2737" s="1" t="s">
        <v>229</v>
      </c>
      <c r="DS2737" s="1" t="s">
        <v>401</v>
      </c>
      <c r="DU2737" s="1" t="s">
        <v>7801</v>
      </c>
      <c r="DV2737" s="1" t="s">
        <v>763</v>
      </c>
      <c r="DW2737" s="1" t="s">
        <v>279</v>
      </c>
      <c r="DX2737" s="1" t="s">
        <v>234</v>
      </c>
      <c r="DY2737" s="1" t="s">
        <v>9395</v>
      </c>
      <c r="DZ2737" s="1" t="s">
        <v>1100</v>
      </c>
      <c r="EA2737" s="1" t="s">
        <v>644</v>
      </c>
      <c r="EC2737" s="1" t="s">
        <v>645</v>
      </c>
      <c r="EF2737" s="1" t="s">
        <v>14154</v>
      </c>
      <c r="EH2737" s="1" t="s">
        <v>450</v>
      </c>
      <c r="EI2737" s="1" t="s">
        <v>408</v>
      </c>
      <c r="EM2737" s="1" t="s">
        <v>238</v>
      </c>
      <c r="EP2737" s="1" t="s">
        <v>24206</v>
      </c>
      <c r="EQ2737" s="1" t="s">
        <v>42</v>
      </c>
      <c r="ER2737" s="1" t="s">
        <v>588</v>
      </c>
      <c r="ES2737" s="1" t="s">
        <v>229</v>
      </c>
      <c r="ET2737" s="1" t="s">
        <v>3298</v>
      </c>
      <c r="EU2737" s="1" t="s">
        <v>206</v>
      </c>
      <c r="EV2737" s="1" t="s">
        <v>2128</v>
      </c>
      <c r="EW2737" s="1" t="s">
        <v>229</v>
      </c>
      <c r="EY2737" s="1" t="s">
        <v>238</v>
      </c>
      <c r="FC2737" s="1" t="s">
        <v>238</v>
      </c>
      <c r="FF2737" s="1" t="s">
        <v>239</v>
      </c>
      <c r="FG2737" s="1" t="s">
        <v>192</v>
      </c>
      <c r="FH2737" s="1" t="s">
        <v>192</v>
      </c>
      <c r="FJ2737" s="1" t="s">
        <v>2552</v>
      </c>
      <c r="FK2737" s="1" t="s">
        <v>229</v>
      </c>
      <c r="FL2737" s="1" t="s">
        <v>836</v>
      </c>
      <c r="FM2737" s="1">
        <v>18080.0</v>
      </c>
      <c r="FN2737" s="1" t="s">
        <v>837</v>
      </c>
      <c r="FO2737" s="1" t="s">
        <v>7953</v>
      </c>
      <c r="FP2737" s="1">
        <v>109813.0</v>
      </c>
      <c r="FQ2737" s="1" t="s">
        <v>7954</v>
      </c>
      <c r="FS2737" s="1" t="s">
        <v>7955</v>
      </c>
      <c r="FU2737" s="1" t="s">
        <v>24207</v>
      </c>
      <c r="FV2737" s="1" t="s">
        <v>200</v>
      </c>
      <c r="FW2737" s="1" t="s">
        <v>290</v>
      </c>
      <c r="FX2737" s="1" t="s">
        <v>246</v>
      </c>
      <c r="FZ2737" s="1" t="s">
        <v>229</v>
      </c>
      <c r="GA2737" s="1" t="s">
        <v>291</v>
      </c>
      <c r="GB2737" s="2">
        <v>42130.0</v>
      </c>
      <c r="GC2737" s="1" t="s">
        <v>24208</v>
      </c>
    </row>
    <row r="2738">
      <c r="A2738" s="1">
        <v>1229.0</v>
      </c>
      <c r="B2738" s="1" t="s">
        <v>185</v>
      </c>
      <c r="C2738" s="1" t="str">
        <f>"08827084"</f>
        <v>08827084</v>
      </c>
      <c r="D2738" s="1" t="s">
        <v>186</v>
      </c>
      <c r="F2738" s="1" t="str">
        <f>"8049"</f>
        <v>8049</v>
      </c>
      <c r="G2738" s="2">
        <v>42033.0</v>
      </c>
      <c r="H2738" s="1">
        <v>3300.0</v>
      </c>
      <c r="I2738" s="1">
        <v>48.0</v>
      </c>
      <c r="J2738" s="1">
        <v>3300.0</v>
      </c>
      <c r="K2738" s="2">
        <v>42080.0</v>
      </c>
      <c r="L2738" s="1">
        <v>48.0</v>
      </c>
      <c r="M2738" s="2">
        <v>42080.0</v>
      </c>
      <c r="N2738" s="1" t="s">
        <v>249</v>
      </c>
      <c r="O2738" s="2">
        <v>42095.0</v>
      </c>
      <c r="P2738" s="1">
        <v>876309.0</v>
      </c>
      <c r="Q2738" s="1">
        <v>18235.0</v>
      </c>
      <c r="S2738" s="1">
        <v>10635.0</v>
      </c>
      <c r="T2738" s="1" t="s">
        <v>6292</v>
      </c>
      <c r="U2738" s="1" t="s">
        <v>189</v>
      </c>
      <c r="V2738" s="1" t="s">
        <v>190</v>
      </c>
      <c r="W2738" s="1">
        <v>60628.0</v>
      </c>
      <c r="Y2738" s="1" t="s">
        <v>24209</v>
      </c>
      <c r="Z2738" s="1" t="s">
        <v>296</v>
      </c>
      <c r="AA2738" s="1" t="s">
        <v>192</v>
      </c>
      <c r="AB2738" s="1" t="s">
        <v>193</v>
      </c>
      <c r="AD2738" s="1" t="s">
        <v>194</v>
      </c>
      <c r="AE2738" s="1" t="s">
        <v>195</v>
      </c>
      <c r="AF2738" s="1" t="s">
        <v>637</v>
      </c>
      <c r="AH2738" s="1">
        <v>998.0</v>
      </c>
      <c r="AI2738" s="1">
        <v>0.0728</v>
      </c>
      <c r="AK2738" s="1">
        <v>7.0</v>
      </c>
      <c r="AL2738" s="1">
        <v>4.0</v>
      </c>
      <c r="AM2738" s="1">
        <v>1.0</v>
      </c>
      <c r="AN2738" s="1">
        <v>0.0</v>
      </c>
      <c r="AO2738" s="1" t="s">
        <v>229</v>
      </c>
      <c r="AQ2738" s="1" t="s">
        <v>327</v>
      </c>
      <c r="AR2738" s="1" t="s">
        <v>200</v>
      </c>
      <c r="AS2738" s="1" t="s">
        <v>229</v>
      </c>
      <c r="AV2738" s="1" t="s">
        <v>200</v>
      </c>
      <c r="AW2738" s="1">
        <v>256.66</v>
      </c>
      <c r="AX2738" s="1">
        <v>2012.0</v>
      </c>
      <c r="AZ2738" s="1" t="s">
        <v>200</v>
      </c>
      <c r="BA2738" s="1" t="str">
        <f>"25162210020000"</f>
        <v>25162210020000</v>
      </c>
      <c r="BC2738" s="1">
        <v>1643.0</v>
      </c>
      <c r="BD2738" s="1">
        <v>1229.0</v>
      </c>
      <c r="BE2738" s="2">
        <v>42033.0</v>
      </c>
      <c r="BF2738" s="2" t="s">
        <v>24210</v>
      </c>
      <c r="BH2738" s="1">
        <v>0.0</v>
      </c>
      <c r="BK2738" s="1" t="s">
        <v>204</v>
      </c>
      <c r="BL2738" s="1" t="str">
        <f t="shared" ref="BL2738:BM2738" si="1783">"0"</f>
        <v>0</v>
      </c>
      <c r="BM2738" s="1" t="str">
        <f t="shared" si="1783"/>
        <v>0</v>
      </c>
      <c r="BN2738" s="1">
        <v>100.0</v>
      </c>
      <c r="BO2738" s="1">
        <v>10635.0</v>
      </c>
      <c r="BQ2738" s="1">
        <v>299.0</v>
      </c>
      <c r="BR2738" s="1">
        <v>299.0</v>
      </c>
      <c r="BS2738" s="1">
        <v>299.0</v>
      </c>
      <c r="BU2738" s="1" t="s">
        <v>1396</v>
      </c>
      <c r="BV2738" s="1" t="s">
        <v>206</v>
      </c>
      <c r="BY2738" s="1" t="s">
        <v>300</v>
      </c>
      <c r="BZ2738" s="1" t="s">
        <v>209</v>
      </c>
      <c r="CA2738" s="1" t="s">
        <v>1065</v>
      </c>
      <c r="CC2738" s="1" t="s">
        <v>263</v>
      </c>
      <c r="CD2738" s="1" t="s">
        <v>206</v>
      </c>
      <c r="CG2738" s="1" t="s">
        <v>303</v>
      </c>
      <c r="CH2738" s="1" t="s">
        <v>206</v>
      </c>
      <c r="CK2738" s="1" t="s">
        <v>303</v>
      </c>
      <c r="CL2738" s="1" t="s">
        <v>209</v>
      </c>
      <c r="CO2738" s="1" t="s">
        <v>265</v>
      </c>
      <c r="CP2738" s="1" t="s">
        <v>209</v>
      </c>
      <c r="CS2738" s="1" t="s">
        <v>302</v>
      </c>
      <c r="CT2738" s="1" t="s">
        <v>206</v>
      </c>
      <c r="CX2738" s="1" t="s">
        <v>204</v>
      </c>
      <c r="DA2738" s="1" t="s">
        <v>200</v>
      </c>
      <c r="DC2738" s="1" t="s">
        <v>785</v>
      </c>
      <c r="DE2738" s="1" t="s">
        <v>229</v>
      </c>
      <c r="DF2738" s="1" t="s">
        <v>619</v>
      </c>
      <c r="DH2738" s="1" t="s">
        <v>365</v>
      </c>
      <c r="DJ2738" s="1" t="s">
        <v>222</v>
      </c>
      <c r="DL2738" s="1" t="s">
        <v>223</v>
      </c>
      <c r="DM2738" s="1" t="s">
        <v>229</v>
      </c>
      <c r="DQ2738" s="1" t="s">
        <v>228</v>
      </c>
      <c r="DR2738" s="1" t="s">
        <v>229</v>
      </c>
      <c r="DV2738" s="1" t="s">
        <v>232</v>
      </c>
      <c r="DW2738" s="1" t="s">
        <v>8064</v>
      </c>
      <c r="DX2738" s="1" t="s">
        <v>234</v>
      </c>
      <c r="EC2738" s="1" t="s">
        <v>645</v>
      </c>
      <c r="EM2738" s="1" t="s">
        <v>238</v>
      </c>
      <c r="EQ2738" s="1" t="s">
        <v>238</v>
      </c>
      <c r="EU2738" s="1" t="s">
        <v>238</v>
      </c>
      <c r="EY2738" s="1" t="s">
        <v>238</v>
      </c>
      <c r="FC2738" s="1" t="s">
        <v>238</v>
      </c>
      <c r="FF2738" s="1" t="s">
        <v>239</v>
      </c>
      <c r="FG2738" s="1" t="s">
        <v>192</v>
      </c>
      <c r="FH2738" s="1" t="s">
        <v>192</v>
      </c>
      <c r="FJ2738" s="1" t="s">
        <v>1248</v>
      </c>
      <c r="FK2738" s="1" t="s">
        <v>229</v>
      </c>
      <c r="FL2738" s="1" t="s">
        <v>24211</v>
      </c>
      <c r="FM2738" s="1">
        <v>18315.0</v>
      </c>
      <c r="FN2738" s="1" t="s">
        <v>24212</v>
      </c>
      <c r="FO2738" s="1" t="s">
        <v>24213</v>
      </c>
      <c r="FP2738" s="1">
        <v>149362.0</v>
      </c>
      <c r="FR2738" s="1">
        <v>170731.0</v>
      </c>
      <c r="FU2738" s="1" t="s">
        <v>3678</v>
      </c>
      <c r="FV2738" s="1" t="s">
        <v>200</v>
      </c>
      <c r="FW2738" s="1" t="s">
        <v>1524</v>
      </c>
      <c r="FX2738" s="1" t="s">
        <v>655</v>
      </c>
      <c r="FZ2738" s="1" t="s">
        <v>229</v>
      </c>
      <c r="GA2738" s="1" t="s">
        <v>291</v>
      </c>
      <c r="GB2738" s="2">
        <v>42109.0</v>
      </c>
    </row>
    <row r="2739">
      <c r="A2739" s="1">
        <v>223500.0</v>
      </c>
      <c r="B2739" s="1" t="s">
        <v>185</v>
      </c>
      <c r="C2739" s="1" t="str">
        <f>"08831337"</f>
        <v>08831337</v>
      </c>
      <c r="D2739" s="1" t="s">
        <v>186</v>
      </c>
      <c r="F2739" s="1" t="str">
        <f>"538"</f>
        <v>538</v>
      </c>
      <c r="G2739" s="2">
        <v>42039.0</v>
      </c>
      <c r="H2739" s="1">
        <v>234900.0</v>
      </c>
      <c r="I2739" s="1">
        <v>37.0</v>
      </c>
      <c r="J2739" s="1">
        <v>225000.0</v>
      </c>
      <c r="K2739" s="2">
        <v>42075.0</v>
      </c>
      <c r="L2739" s="1">
        <v>37.0</v>
      </c>
      <c r="M2739" s="2">
        <v>42075.0</v>
      </c>
      <c r="N2739" s="1" t="s">
        <v>187</v>
      </c>
      <c r="O2739" s="2">
        <v>42118.0</v>
      </c>
      <c r="P2739" s="1">
        <v>225980.0</v>
      </c>
      <c r="Q2739" s="1">
        <v>23120.0</v>
      </c>
      <c r="S2739" s="1">
        <v>2930.0</v>
      </c>
      <c r="T2739" s="1" t="s">
        <v>24214</v>
      </c>
      <c r="U2739" s="1" t="s">
        <v>189</v>
      </c>
      <c r="V2739" s="1" t="s">
        <v>1340</v>
      </c>
      <c r="W2739" s="1">
        <v>60538.0</v>
      </c>
      <c r="Y2739" s="1" t="s">
        <v>24215</v>
      </c>
      <c r="Z2739" s="1">
        <v>2004.0</v>
      </c>
      <c r="AA2739" s="1" t="s">
        <v>200</v>
      </c>
      <c r="AB2739" s="1" t="s">
        <v>193</v>
      </c>
      <c r="AC2739" s="1" t="s">
        <v>1833</v>
      </c>
      <c r="AD2739" s="1" t="s">
        <v>1343</v>
      </c>
      <c r="AE2739" s="1" t="s">
        <v>849</v>
      </c>
      <c r="AF2739" s="1" t="s">
        <v>1312</v>
      </c>
      <c r="AG2739" s="1" t="s">
        <v>10320</v>
      </c>
      <c r="AH2739" s="1" t="s">
        <v>1345</v>
      </c>
      <c r="AK2739" s="1">
        <v>8.0</v>
      </c>
      <c r="AL2739" s="1">
        <v>4.0</v>
      </c>
      <c r="AM2739" s="1">
        <v>2.0</v>
      </c>
      <c r="AN2739" s="1">
        <v>1.0</v>
      </c>
      <c r="AO2739" s="1" t="s">
        <v>198</v>
      </c>
      <c r="AQ2739" s="1" t="s">
        <v>198</v>
      </c>
      <c r="AR2739" s="1" t="s">
        <v>200</v>
      </c>
      <c r="AS2739" s="1" t="s">
        <v>199</v>
      </c>
      <c r="AT2739" s="1">
        <v>2.0</v>
      </c>
      <c r="AV2739" s="1" t="s">
        <v>200</v>
      </c>
      <c r="AW2739" s="1">
        <v>6278.0</v>
      </c>
      <c r="AX2739" s="1">
        <v>2013.0</v>
      </c>
      <c r="AY2739" s="1" t="s">
        <v>387</v>
      </c>
      <c r="AZ2739" s="1" t="s">
        <v>200</v>
      </c>
      <c r="BA2739" s="1" t="str">
        <f>"0202179011"</f>
        <v>0202179011</v>
      </c>
      <c r="BB2739" s="1" t="s">
        <v>200</v>
      </c>
      <c r="BC2739" s="1">
        <v>2009.0</v>
      </c>
      <c r="BD2739" s="1">
        <v>223500.0</v>
      </c>
      <c r="BE2739" s="2">
        <v>42039.0</v>
      </c>
      <c r="BF2739" s="2" t="s">
        <v>24216</v>
      </c>
      <c r="BH2739" s="1">
        <v>45.0</v>
      </c>
      <c r="BK2739" s="1" t="s">
        <v>474</v>
      </c>
      <c r="BL2739" s="1" t="str">
        <f t="shared" ref="BL2739:BM2739" si="1784">"0"</f>
        <v>0</v>
      </c>
      <c r="BM2739" s="1" t="str">
        <f t="shared" si="1784"/>
        <v>0</v>
      </c>
      <c r="BN2739" s="1">
        <v>39.0</v>
      </c>
      <c r="BO2739" s="1">
        <v>10.0</v>
      </c>
      <c r="BQ2739" s="1">
        <v>308.0</v>
      </c>
      <c r="BR2739" s="1">
        <v>308.0</v>
      </c>
      <c r="BS2739" s="1">
        <v>308.0</v>
      </c>
      <c r="BU2739" s="1" t="s">
        <v>433</v>
      </c>
      <c r="BV2739" s="1" t="s">
        <v>206</v>
      </c>
      <c r="BW2739" s="1" t="s">
        <v>207</v>
      </c>
      <c r="BX2739" s="1" t="s">
        <v>431</v>
      </c>
      <c r="BY2739" s="1" t="s">
        <v>1426</v>
      </c>
      <c r="BZ2739" s="1" t="s">
        <v>209</v>
      </c>
      <c r="CA2739" s="1" t="s">
        <v>210</v>
      </c>
      <c r="CB2739" s="1" t="s">
        <v>6917</v>
      </c>
      <c r="CC2739" s="1" t="s">
        <v>454</v>
      </c>
      <c r="CD2739" s="1" t="s">
        <v>206</v>
      </c>
      <c r="CE2739" s="1" t="s">
        <v>207</v>
      </c>
      <c r="CF2739" s="1" t="s">
        <v>431</v>
      </c>
      <c r="CG2739" s="1" t="s">
        <v>212</v>
      </c>
      <c r="CH2739" s="1" t="s">
        <v>209</v>
      </c>
      <c r="CI2739" s="1" t="s">
        <v>210</v>
      </c>
      <c r="CJ2739" s="1" t="s">
        <v>6917</v>
      </c>
      <c r="CK2739" s="1" t="s">
        <v>264</v>
      </c>
      <c r="CL2739" s="1" t="s">
        <v>209</v>
      </c>
      <c r="CM2739" s="1" t="s">
        <v>210</v>
      </c>
      <c r="CN2739" s="1" t="s">
        <v>6917</v>
      </c>
      <c r="CO2739" s="1" t="s">
        <v>264</v>
      </c>
      <c r="CP2739" s="1" t="s">
        <v>209</v>
      </c>
      <c r="CQ2739" s="1" t="s">
        <v>210</v>
      </c>
      <c r="CR2739" s="1" t="s">
        <v>6917</v>
      </c>
      <c r="CS2739" s="1" t="s">
        <v>432</v>
      </c>
      <c r="CT2739" s="1" t="s">
        <v>206</v>
      </c>
      <c r="CU2739" s="1" t="s">
        <v>268</v>
      </c>
      <c r="CV2739" s="1" t="s">
        <v>6917</v>
      </c>
      <c r="CW2739" s="1" t="s">
        <v>390</v>
      </c>
      <c r="CX2739" s="1" t="s">
        <v>206</v>
      </c>
      <c r="CY2739" s="1" t="s">
        <v>210</v>
      </c>
      <c r="CZ2739" s="1" t="s">
        <v>431</v>
      </c>
      <c r="DA2739" s="1" t="s">
        <v>200</v>
      </c>
      <c r="DC2739" s="1" t="s">
        <v>335</v>
      </c>
      <c r="DD2739" s="1" t="s">
        <v>336</v>
      </c>
      <c r="DE2739" s="1" t="s">
        <v>273</v>
      </c>
      <c r="DF2739" s="1" t="s">
        <v>219</v>
      </c>
      <c r="DG2739" s="1" t="s">
        <v>5669</v>
      </c>
      <c r="DH2739" s="1" t="s">
        <v>307</v>
      </c>
      <c r="DI2739" s="1" t="s">
        <v>2257</v>
      </c>
      <c r="DJ2739" s="1" t="s">
        <v>1048</v>
      </c>
      <c r="DK2739" s="1" t="s">
        <v>223</v>
      </c>
      <c r="DL2739" s="1" t="s">
        <v>223</v>
      </c>
      <c r="DM2739" s="1" t="s">
        <v>1022</v>
      </c>
      <c r="DN2739" s="1" t="s">
        <v>339</v>
      </c>
      <c r="DP2739" s="1" t="s">
        <v>340</v>
      </c>
      <c r="DQ2739" s="1" t="s">
        <v>228</v>
      </c>
      <c r="DR2739" s="1" t="s">
        <v>3096</v>
      </c>
      <c r="DS2739" s="1" t="s">
        <v>368</v>
      </c>
      <c r="DU2739" s="1" t="s">
        <v>10037</v>
      </c>
      <c r="DV2739" s="1" t="s">
        <v>24217</v>
      </c>
      <c r="DW2739" s="1" t="s">
        <v>12222</v>
      </c>
      <c r="DX2739" s="1" t="s">
        <v>234</v>
      </c>
      <c r="DY2739" s="1" t="s">
        <v>704</v>
      </c>
      <c r="DZ2739" s="1" t="s">
        <v>310</v>
      </c>
      <c r="EA2739" s="1" t="s">
        <v>447</v>
      </c>
      <c r="EC2739" s="1" t="s">
        <v>237</v>
      </c>
      <c r="ED2739" s="1" t="s">
        <v>407</v>
      </c>
      <c r="EG2739" s="1" t="s">
        <v>1571</v>
      </c>
      <c r="EH2739" s="1" t="s">
        <v>12250</v>
      </c>
      <c r="EL2739" s="1" t="s">
        <v>1483</v>
      </c>
      <c r="EM2739" s="1" t="s">
        <v>42</v>
      </c>
      <c r="EP2739" s="1" t="s">
        <v>599</v>
      </c>
      <c r="EQ2739" s="1" t="s">
        <v>206</v>
      </c>
      <c r="EU2739" s="1" t="s">
        <v>238</v>
      </c>
      <c r="EY2739" s="1" t="s">
        <v>238</v>
      </c>
      <c r="FC2739" s="1" t="s">
        <v>238</v>
      </c>
      <c r="FF2739" s="1" t="s">
        <v>239</v>
      </c>
      <c r="FG2739" s="1" t="s">
        <v>192</v>
      </c>
      <c r="FH2739" s="1" t="s">
        <v>192</v>
      </c>
      <c r="FJ2739" s="1" t="s">
        <v>24218</v>
      </c>
      <c r="FK2739" s="1" t="s">
        <v>229</v>
      </c>
      <c r="FL2739" s="1" t="s">
        <v>24219</v>
      </c>
      <c r="FM2739" s="1">
        <v>84613.0</v>
      </c>
      <c r="FN2739" s="1" t="s">
        <v>24220</v>
      </c>
      <c r="FO2739" s="1" t="s">
        <v>24221</v>
      </c>
      <c r="FP2739" s="1">
        <v>185269.0</v>
      </c>
      <c r="FQ2739" s="1" t="s">
        <v>24220</v>
      </c>
      <c r="FS2739" s="1" t="s">
        <v>24222</v>
      </c>
      <c r="FU2739" s="1" t="s">
        <v>24223</v>
      </c>
      <c r="FV2739" s="1" t="s">
        <v>192</v>
      </c>
      <c r="FW2739" s="1" t="s">
        <v>24224</v>
      </c>
      <c r="FZ2739" s="1" t="s">
        <v>229</v>
      </c>
      <c r="GA2739" s="1" t="s">
        <v>291</v>
      </c>
      <c r="GB2739" s="2">
        <v>42120.0</v>
      </c>
      <c r="GC2739" s="1" t="s">
        <v>24225</v>
      </c>
    </row>
    <row r="2740">
      <c r="A2740" s="1">
        <v>837500.0</v>
      </c>
      <c r="B2740" s="1" t="s">
        <v>185</v>
      </c>
      <c r="C2740" s="1" t="str">
        <f>"08829168"</f>
        <v>08829168</v>
      </c>
      <c r="D2740" s="1" t="s">
        <v>186</v>
      </c>
      <c r="F2740" s="1" t="str">
        <f>"8016"</f>
        <v>8016</v>
      </c>
      <c r="G2740" s="2">
        <v>42037.0</v>
      </c>
      <c r="H2740" s="1">
        <v>849900.0</v>
      </c>
      <c r="I2740" s="1">
        <v>56.0</v>
      </c>
      <c r="J2740" s="1">
        <v>849900.0</v>
      </c>
      <c r="K2740" s="2">
        <v>42092.0</v>
      </c>
      <c r="L2740" s="1">
        <v>56.0</v>
      </c>
      <c r="M2740" s="2">
        <v>42092.0</v>
      </c>
      <c r="N2740" s="1" t="s">
        <v>187</v>
      </c>
      <c r="O2740" s="2">
        <v>42132.0</v>
      </c>
      <c r="P2740" s="1">
        <v>127028.0</v>
      </c>
      <c r="Q2740" s="1">
        <v>13691.0</v>
      </c>
      <c r="S2740" s="1">
        <v>4122.0</v>
      </c>
      <c r="T2740" s="1" t="s">
        <v>24226</v>
      </c>
      <c r="U2740" s="1" t="s">
        <v>320</v>
      </c>
      <c r="V2740" s="1" t="s">
        <v>190</v>
      </c>
      <c r="W2740" s="1">
        <v>60618.0</v>
      </c>
      <c r="Y2740" s="1" t="s">
        <v>24227</v>
      </c>
      <c r="Z2740" s="1">
        <v>2006.0</v>
      </c>
      <c r="AA2740" s="1" t="s">
        <v>200</v>
      </c>
      <c r="AB2740" s="1" t="s">
        <v>193</v>
      </c>
      <c r="AD2740" s="1" t="s">
        <v>194</v>
      </c>
      <c r="AE2740" s="1" t="s">
        <v>195</v>
      </c>
      <c r="AF2740" s="1" t="s">
        <v>196</v>
      </c>
      <c r="AH2740" s="1" t="s">
        <v>359</v>
      </c>
      <c r="AK2740" s="1">
        <v>9.0</v>
      </c>
      <c r="AL2740" s="1">
        <v>4.0</v>
      </c>
      <c r="AM2740" s="1">
        <v>3.0</v>
      </c>
      <c r="AN2740" s="1">
        <v>1.0</v>
      </c>
      <c r="AO2740" s="1" t="s">
        <v>198</v>
      </c>
      <c r="AP2740" s="1">
        <v>1.0</v>
      </c>
      <c r="AQ2740" s="1" t="s">
        <v>472</v>
      </c>
      <c r="AR2740" s="1" t="s">
        <v>192</v>
      </c>
      <c r="AS2740" s="1" t="s">
        <v>199</v>
      </c>
      <c r="AT2740" s="1">
        <v>2.0</v>
      </c>
      <c r="AV2740" s="1" t="s">
        <v>200</v>
      </c>
      <c r="AW2740" s="6">
        <v>11240.0</v>
      </c>
      <c r="AX2740" s="1">
        <v>2012.0</v>
      </c>
      <c r="AZ2740" s="1" t="s">
        <v>200</v>
      </c>
      <c r="BA2740" s="1" t="str">
        <f>"13133220310000"</f>
        <v>13133220310000</v>
      </c>
      <c r="BC2740" s="1">
        <v>4200.0</v>
      </c>
      <c r="BD2740" s="1">
        <v>837500.0</v>
      </c>
      <c r="BE2740" s="2">
        <v>42037.0</v>
      </c>
      <c r="BF2740" s="2" t="s">
        <v>24228</v>
      </c>
      <c r="BH2740" s="1">
        <v>0.0</v>
      </c>
      <c r="BK2740" s="1" t="s">
        <v>204</v>
      </c>
      <c r="BL2740" s="1" t="str">
        <f>"4122"</f>
        <v>4122</v>
      </c>
      <c r="BM2740" s="1" t="str">
        <f t="shared" ref="BM2740:BM2741" si="1785">"0"</f>
        <v>0</v>
      </c>
      <c r="BN2740" s="1">
        <v>2834.0</v>
      </c>
      <c r="BO2740" s="1">
        <v>0.0</v>
      </c>
      <c r="BQ2740" s="1">
        <v>299.0</v>
      </c>
      <c r="BR2740" s="1">
        <v>299.0</v>
      </c>
      <c r="BS2740" s="1">
        <v>299.0</v>
      </c>
      <c r="BU2740" s="1" t="s">
        <v>10300</v>
      </c>
      <c r="BV2740" s="1" t="s">
        <v>206</v>
      </c>
      <c r="BW2740" s="1" t="s">
        <v>207</v>
      </c>
      <c r="BY2740" s="1" t="s">
        <v>1600</v>
      </c>
      <c r="BZ2740" s="1" t="s">
        <v>209</v>
      </c>
      <c r="CA2740" s="1" t="s">
        <v>207</v>
      </c>
      <c r="CC2740" s="1" t="s">
        <v>542</v>
      </c>
      <c r="CD2740" s="1" t="s">
        <v>206</v>
      </c>
      <c r="CE2740" s="1" t="s">
        <v>207</v>
      </c>
      <c r="CG2740" s="1" t="s">
        <v>584</v>
      </c>
      <c r="CH2740" s="1" t="s">
        <v>209</v>
      </c>
      <c r="CI2740" s="1" t="s">
        <v>210</v>
      </c>
      <c r="CK2740" s="1" t="s">
        <v>2082</v>
      </c>
      <c r="CL2740" s="1" t="s">
        <v>209</v>
      </c>
      <c r="CM2740" s="1" t="s">
        <v>210</v>
      </c>
      <c r="CO2740" s="1" t="s">
        <v>3784</v>
      </c>
      <c r="CP2740" s="1" t="s">
        <v>267</v>
      </c>
      <c r="CQ2740" s="1" t="s">
        <v>210</v>
      </c>
      <c r="CS2740" s="1" t="s">
        <v>2900</v>
      </c>
      <c r="CT2740" s="1" t="s">
        <v>206</v>
      </c>
      <c r="CU2740" s="1" t="s">
        <v>207</v>
      </c>
      <c r="CW2740" s="1" t="s">
        <v>1043</v>
      </c>
      <c r="CX2740" s="1" t="s">
        <v>206</v>
      </c>
      <c r="CY2740" s="1" t="s">
        <v>207</v>
      </c>
      <c r="DA2740" s="1" t="s">
        <v>200</v>
      </c>
      <c r="DC2740" s="1" t="s">
        <v>481</v>
      </c>
      <c r="DD2740" s="1" t="s">
        <v>1838</v>
      </c>
      <c r="DE2740" s="1" t="s">
        <v>218</v>
      </c>
      <c r="DF2740" s="1" t="s">
        <v>2275</v>
      </c>
      <c r="DG2740" s="1" t="s">
        <v>1553</v>
      </c>
      <c r="DH2740" s="1" t="s">
        <v>365</v>
      </c>
      <c r="DI2740" s="1" t="s">
        <v>5345</v>
      </c>
      <c r="DJ2740" s="1" t="s">
        <v>3345</v>
      </c>
      <c r="DL2740" s="1" t="s">
        <v>1161</v>
      </c>
      <c r="DM2740" s="1" t="s">
        <v>229</v>
      </c>
      <c r="DN2740" s="1" t="s">
        <v>399</v>
      </c>
      <c r="DO2740" s="1" t="s">
        <v>717</v>
      </c>
      <c r="DP2740" s="1" t="s">
        <v>276</v>
      </c>
      <c r="DQ2740" s="1" t="s">
        <v>718</v>
      </c>
      <c r="DR2740" s="1" t="s">
        <v>229</v>
      </c>
      <c r="DS2740" s="1" t="s">
        <v>368</v>
      </c>
      <c r="DU2740" s="1" t="s">
        <v>18653</v>
      </c>
      <c r="DV2740" s="1" t="s">
        <v>2058</v>
      </c>
      <c r="DW2740" s="1" t="s">
        <v>1957</v>
      </c>
      <c r="DX2740" s="1" t="s">
        <v>234</v>
      </c>
      <c r="DY2740" s="1" t="s">
        <v>765</v>
      </c>
      <c r="DZ2740" s="1" t="s">
        <v>310</v>
      </c>
      <c r="EA2740" s="1" t="s">
        <v>344</v>
      </c>
      <c r="EB2740" s="1" t="s">
        <v>937</v>
      </c>
      <c r="EC2740" s="1" t="s">
        <v>237</v>
      </c>
      <c r="ED2740" s="1" t="s">
        <v>407</v>
      </c>
      <c r="EG2740" s="1" t="s">
        <v>450</v>
      </c>
      <c r="EI2740" s="1" t="s">
        <v>310</v>
      </c>
      <c r="EL2740" s="1" t="s">
        <v>12927</v>
      </c>
      <c r="EM2740" s="1" t="s">
        <v>267</v>
      </c>
      <c r="EN2740" s="1" t="s">
        <v>210</v>
      </c>
      <c r="EQ2740" s="1" t="s">
        <v>238</v>
      </c>
      <c r="ET2740" s="1" t="s">
        <v>584</v>
      </c>
      <c r="EU2740" s="1" t="s">
        <v>206</v>
      </c>
      <c r="EV2740" s="1" t="s">
        <v>588</v>
      </c>
      <c r="EW2740" s="1" t="s">
        <v>229</v>
      </c>
      <c r="EY2740" s="1" t="s">
        <v>238</v>
      </c>
      <c r="FC2740" s="1" t="s">
        <v>238</v>
      </c>
      <c r="FF2740" s="1" t="s">
        <v>239</v>
      </c>
      <c r="FG2740" s="1" t="s">
        <v>192</v>
      </c>
      <c r="FH2740" s="1" t="s">
        <v>192</v>
      </c>
      <c r="FJ2740" s="1" t="s">
        <v>799</v>
      </c>
      <c r="FK2740" s="1" t="s">
        <v>229</v>
      </c>
      <c r="FL2740" s="1" t="s">
        <v>562</v>
      </c>
      <c r="FM2740" s="1">
        <v>14703.0</v>
      </c>
      <c r="FN2740" s="1" t="s">
        <v>2570</v>
      </c>
      <c r="FO2740" s="1" t="s">
        <v>24229</v>
      </c>
      <c r="FP2740" s="1">
        <v>160761.0</v>
      </c>
      <c r="FQ2740" s="1" t="s">
        <v>24230</v>
      </c>
      <c r="FU2740" s="1" t="s">
        <v>24231</v>
      </c>
      <c r="FV2740" s="1" t="s">
        <v>200</v>
      </c>
      <c r="FW2740" s="1" t="s">
        <v>290</v>
      </c>
      <c r="FX2740" s="1" t="s">
        <v>238</v>
      </c>
      <c r="FZ2740" s="1" t="s">
        <v>229</v>
      </c>
      <c r="GA2740" s="1" t="s">
        <v>291</v>
      </c>
      <c r="GB2740" s="2">
        <v>42132.0</v>
      </c>
    </row>
    <row r="2741">
      <c r="A2741" s="1">
        <v>1248900.0</v>
      </c>
      <c r="B2741" s="1" t="s">
        <v>185</v>
      </c>
      <c r="C2741" s="1" t="str">
        <f>"08826540"</f>
        <v>08826540</v>
      </c>
      <c r="D2741" s="1" t="s">
        <v>186</v>
      </c>
      <c r="F2741" s="1" t="str">
        <f>"8022"</f>
        <v>8022</v>
      </c>
      <c r="G2741" s="2">
        <v>42033.0</v>
      </c>
      <c r="H2741" s="1">
        <v>1299900.0</v>
      </c>
      <c r="I2741" s="1">
        <v>105.0</v>
      </c>
      <c r="J2741" s="1">
        <v>1299900.0</v>
      </c>
      <c r="K2741" s="2">
        <v>42061.0</v>
      </c>
      <c r="L2741" s="1">
        <v>29.0</v>
      </c>
      <c r="M2741" s="2">
        <v>42061.0</v>
      </c>
      <c r="N2741" s="1" t="s">
        <v>187</v>
      </c>
      <c r="O2741" s="2">
        <v>42095.0</v>
      </c>
      <c r="P2741" s="1">
        <v>874980.0</v>
      </c>
      <c r="Q2741" s="1">
        <v>84025.0</v>
      </c>
      <c r="S2741" s="1">
        <v>2300.0</v>
      </c>
      <c r="T2741" s="1" t="s">
        <v>24232</v>
      </c>
      <c r="U2741" s="1" t="s">
        <v>320</v>
      </c>
      <c r="V2741" s="1" t="s">
        <v>190</v>
      </c>
      <c r="W2741" s="1">
        <v>60647.0</v>
      </c>
      <c r="X2741" s="1">
        <v>3211.0</v>
      </c>
      <c r="Y2741" s="1" t="s">
        <v>24233</v>
      </c>
      <c r="Z2741" s="1">
        <v>1988.0</v>
      </c>
      <c r="AA2741" s="1" t="s">
        <v>200</v>
      </c>
      <c r="AB2741" s="1" t="s">
        <v>193</v>
      </c>
      <c r="AC2741" s="1" t="s">
        <v>13330</v>
      </c>
      <c r="AD2741" s="1" t="s">
        <v>194</v>
      </c>
      <c r="AE2741" s="1" t="s">
        <v>195</v>
      </c>
      <c r="AF2741" s="1" t="s">
        <v>827</v>
      </c>
      <c r="AH2741" s="1" t="s">
        <v>5462</v>
      </c>
      <c r="AK2741" s="1">
        <v>8.0</v>
      </c>
      <c r="AL2741" s="1">
        <v>4.0</v>
      </c>
      <c r="AM2741" s="1">
        <v>3.0</v>
      </c>
      <c r="AN2741" s="1">
        <v>1.0</v>
      </c>
      <c r="AO2741" s="1" t="s">
        <v>198</v>
      </c>
      <c r="AP2741" s="1">
        <v>1.0</v>
      </c>
      <c r="AQ2741" s="1" t="s">
        <v>472</v>
      </c>
      <c r="AR2741" s="1" t="s">
        <v>192</v>
      </c>
      <c r="AS2741" s="1" t="s">
        <v>199</v>
      </c>
      <c r="AT2741" s="1">
        <v>2.0</v>
      </c>
      <c r="AV2741" s="1" t="s">
        <v>200</v>
      </c>
      <c r="AW2741" s="1">
        <v>13365.84</v>
      </c>
      <c r="AX2741" s="1">
        <v>2012.0</v>
      </c>
      <c r="AZ2741" s="1" t="s">
        <v>545</v>
      </c>
      <c r="BA2741" s="1" t="str">
        <f>"14311240430000"</f>
        <v>14311240430000</v>
      </c>
      <c r="BC2741" s="1">
        <v>3200.0</v>
      </c>
      <c r="BD2741" s="1">
        <v>1248900.0</v>
      </c>
      <c r="BE2741" s="2">
        <v>42033.0</v>
      </c>
      <c r="BF2741" s="2" t="s">
        <v>24234</v>
      </c>
      <c r="BH2741" s="1">
        <v>0.0</v>
      </c>
      <c r="BK2741" s="1" t="s">
        <v>204</v>
      </c>
      <c r="BL2741" s="1" t="str">
        <f>"2100"</f>
        <v>2100</v>
      </c>
      <c r="BM2741" s="1" t="str">
        <f t="shared" si="1785"/>
        <v>0</v>
      </c>
      <c r="BN2741" s="1">
        <v>2300.0</v>
      </c>
      <c r="BO2741" s="1">
        <v>0.0</v>
      </c>
      <c r="BQ2741" s="1">
        <v>299.0</v>
      </c>
      <c r="BR2741" s="1">
        <v>299.0</v>
      </c>
      <c r="BS2741" s="1">
        <v>299.0</v>
      </c>
      <c r="BU2741" s="1" t="s">
        <v>364</v>
      </c>
      <c r="BV2741" s="1" t="s">
        <v>206</v>
      </c>
      <c r="BY2741" s="1" t="s">
        <v>330</v>
      </c>
      <c r="BZ2741" s="1" t="s">
        <v>209</v>
      </c>
      <c r="CA2741" s="1" t="s">
        <v>207</v>
      </c>
      <c r="CC2741" s="1" t="s">
        <v>392</v>
      </c>
      <c r="CD2741" s="1" t="s">
        <v>206</v>
      </c>
      <c r="CG2741" s="1" t="s">
        <v>363</v>
      </c>
      <c r="CH2741" s="1" t="s">
        <v>209</v>
      </c>
      <c r="CI2741" s="1" t="s">
        <v>207</v>
      </c>
      <c r="CK2741" s="1" t="s">
        <v>363</v>
      </c>
      <c r="CL2741" s="1" t="s">
        <v>209</v>
      </c>
      <c r="CM2741" s="1" t="s">
        <v>207</v>
      </c>
      <c r="CO2741" s="1" t="s">
        <v>743</v>
      </c>
      <c r="CP2741" s="1" t="s">
        <v>267</v>
      </c>
      <c r="CQ2741" s="1" t="s">
        <v>210</v>
      </c>
      <c r="CS2741" s="1" t="s">
        <v>3318</v>
      </c>
      <c r="CT2741" s="1" t="s">
        <v>206</v>
      </c>
      <c r="CW2741" s="1" t="s">
        <v>3817</v>
      </c>
      <c r="CX2741" s="1" t="s">
        <v>267</v>
      </c>
      <c r="DA2741" s="1" t="s">
        <v>200</v>
      </c>
      <c r="DC2741" s="1" t="s">
        <v>305</v>
      </c>
      <c r="DE2741" s="1" t="s">
        <v>273</v>
      </c>
      <c r="DF2741" s="1" t="s">
        <v>219</v>
      </c>
      <c r="DH2741" s="1" t="s">
        <v>220</v>
      </c>
      <c r="DJ2741" s="1" t="s">
        <v>222</v>
      </c>
      <c r="DL2741" s="1" t="s">
        <v>224</v>
      </c>
      <c r="DM2741" s="1" t="s">
        <v>229</v>
      </c>
      <c r="DN2741" s="1" t="s">
        <v>367</v>
      </c>
      <c r="DQ2741" s="1" t="s">
        <v>228</v>
      </c>
      <c r="DR2741" s="1" t="s">
        <v>229</v>
      </c>
      <c r="DV2741" s="1" t="s">
        <v>232</v>
      </c>
      <c r="DW2741" s="1" t="s">
        <v>24235</v>
      </c>
      <c r="DX2741" s="1" t="s">
        <v>234</v>
      </c>
      <c r="DY2741" s="1" t="s">
        <v>704</v>
      </c>
      <c r="EA2741" s="1" t="s">
        <v>1027</v>
      </c>
      <c r="EB2741" s="1" t="s">
        <v>684</v>
      </c>
      <c r="EC2741" s="1" t="s">
        <v>237</v>
      </c>
      <c r="ED2741" s="1" t="s">
        <v>555</v>
      </c>
      <c r="EM2741" s="1" t="s">
        <v>238</v>
      </c>
      <c r="EQ2741" s="1" t="s">
        <v>238</v>
      </c>
      <c r="EU2741" s="1" t="s">
        <v>238</v>
      </c>
      <c r="EY2741" s="1" t="s">
        <v>238</v>
      </c>
      <c r="FC2741" s="1" t="s">
        <v>238</v>
      </c>
      <c r="FF2741" s="1" t="s">
        <v>239</v>
      </c>
      <c r="FG2741" s="1" t="s">
        <v>192</v>
      </c>
      <c r="FH2741" s="1" t="s">
        <v>192</v>
      </c>
      <c r="FJ2741" s="1" t="s">
        <v>799</v>
      </c>
      <c r="FK2741" s="1" t="s">
        <v>229</v>
      </c>
      <c r="FL2741" s="1" t="s">
        <v>562</v>
      </c>
      <c r="FM2741" s="1">
        <v>14703.0</v>
      </c>
      <c r="FN2741" s="1" t="s">
        <v>2570</v>
      </c>
      <c r="FO2741" s="1" t="s">
        <v>24236</v>
      </c>
      <c r="FP2741" s="1">
        <v>145786.0</v>
      </c>
      <c r="FQ2741" s="1" t="s">
        <v>24237</v>
      </c>
      <c r="FU2741" s="1" t="s">
        <v>24238</v>
      </c>
      <c r="FV2741" s="1" t="s">
        <v>200</v>
      </c>
      <c r="FW2741" s="1" t="s">
        <v>530</v>
      </c>
      <c r="FX2741" s="1" t="s">
        <v>246</v>
      </c>
      <c r="FZ2741" s="1" t="s">
        <v>229</v>
      </c>
      <c r="GA2741" s="1" t="s">
        <v>291</v>
      </c>
      <c r="GB2741" s="2">
        <v>42095.0</v>
      </c>
    </row>
    <row r="2742">
      <c r="A2742" s="1">
        <v>66000.0</v>
      </c>
      <c r="B2742" s="1" t="s">
        <v>185</v>
      </c>
      <c r="C2742" s="1" t="str">
        <f>"08826873"</f>
        <v>08826873</v>
      </c>
      <c r="D2742" s="1" t="s">
        <v>186</v>
      </c>
      <c r="F2742" s="1" t="str">
        <f>"8061"</f>
        <v>8061</v>
      </c>
      <c r="G2742" s="2">
        <v>42033.0</v>
      </c>
      <c r="H2742" s="1">
        <v>69900.0</v>
      </c>
      <c r="I2742" s="1">
        <v>8.0</v>
      </c>
      <c r="J2742" s="1">
        <v>69900.0</v>
      </c>
      <c r="K2742" s="2">
        <v>42040.0</v>
      </c>
      <c r="L2742" s="1">
        <v>8.0</v>
      </c>
      <c r="M2742" s="2">
        <v>42040.0</v>
      </c>
      <c r="N2742" s="1" t="s">
        <v>249</v>
      </c>
      <c r="O2742" s="2">
        <v>42062.0</v>
      </c>
      <c r="P2742" s="1">
        <v>126975.0</v>
      </c>
      <c r="Q2742" s="1">
        <v>12174.0</v>
      </c>
      <c r="S2742" s="1">
        <v>4535.0</v>
      </c>
      <c r="T2742" s="1" t="s">
        <v>9947</v>
      </c>
      <c r="U2742" s="1" t="s">
        <v>189</v>
      </c>
      <c r="V2742" s="1" t="s">
        <v>190</v>
      </c>
      <c r="W2742" s="1">
        <v>60609.0</v>
      </c>
      <c r="Y2742" s="1" t="s">
        <v>24239</v>
      </c>
      <c r="Z2742" s="1">
        <v>1883.0</v>
      </c>
      <c r="AA2742" s="1" t="s">
        <v>192</v>
      </c>
      <c r="AB2742" s="1" t="s">
        <v>193</v>
      </c>
      <c r="AD2742" s="1" t="s">
        <v>194</v>
      </c>
      <c r="AE2742" s="1" t="s">
        <v>195</v>
      </c>
      <c r="AF2742" s="1" t="s">
        <v>659</v>
      </c>
      <c r="AH2742" s="1" t="s">
        <v>7182</v>
      </c>
      <c r="AI2742" s="1">
        <v>0.0723</v>
      </c>
      <c r="AK2742" s="1">
        <v>7.0</v>
      </c>
      <c r="AL2742" s="1">
        <v>4.0</v>
      </c>
      <c r="AM2742" s="1">
        <v>2.0</v>
      </c>
      <c r="AN2742" s="1">
        <v>0.0</v>
      </c>
      <c r="AO2742" s="1" t="s">
        <v>229</v>
      </c>
      <c r="AQ2742" s="1" t="s">
        <v>198</v>
      </c>
      <c r="AR2742" s="1" t="s">
        <v>192</v>
      </c>
      <c r="AS2742" s="1" t="s">
        <v>199</v>
      </c>
      <c r="AT2742" s="1">
        <v>2.0</v>
      </c>
      <c r="AV2742" s="1" t="s">
        <v>200</v>
      </c>
      <c r="AW2742" s="1">
        <v>2678.39</v>
      </c>
      <c r="AX2742" s="1">
        <v>2012.0</v>
      </c>
      <c r="AZ2742" s="1" t="s">
        <v>200</v>
      </c>
      <c r="BA2742" s="1" t="str">
        <f>"20043200130000"</f>
        <v>20043200130000</v>
      </c>
      <c r="BC2742" s="1">
        <v>1344.0</v>
      </c>
      <c r="BD2742" s="1">
        <v>66000.0</v>
      </c>
      <c r="BE2742" s="2">
        <v>42033.0</v>
      </c>
      <c r="BF2742" s="2" t="s">
        <v>24240</v>
      </c>
      <c r="BH2742" s="1">
        <v>0.0</v>
      </c>
      <c r="BK2742" s="1" t="s">
        <v>204</v>
      </c>
      <c r="BL2742" s="1" t="str">
        <f t="shared" ref="BL2742:BM2742" si="1786">"0"</f>
        <v>0</v>
      </c>
      <c r="BM2742" s="1" t="str">
        <f t="shared" si="1786"/>
        <v>0</v>
      </c>
      <c r="BN2742" s="1">
        <v>700.0</v>
      </c>
      <c r="BO2742" s="1">
        <v>4535.0</v>
      </c>
      <c r="BQ2742" s="1">
        <v>299.0</v>
      </c>
      <c r="BR2742" s="1">
        <v>299.0</v>
      </c>
      <c r="BS2742" s="1">
        <v>299.0</v>
      </c>
      <c r="BU2742" s="1" t="s">
        <v>3228</v>
      </c>
      <c r="BV2742" s="1" t="s">
        <v>206</v>
      </c>
      <c r="BW2742" s="1" t="s">
        <v>210</v>
      </c>
      <c r="BY2742" s="1" t="s">
        <v>375</v>
      </c>
      <c r="BZ2742" s="1" t="s">
        <v>206</v>
      </c>
      <c r="CA2742" s="1" t="s">
        <v>617</v>
      </c>
      <c r="CC2742" s="1" t="s">
        <v>215</v>
      </c>
      <c r="CD2742" s="1" t="s">
        <v>206</v>
      </c>
      <c r="CE2742" s="1" t="s">
        <v>588</v>
      </c>
      <c r="CG2742" s="1" t="s">
        <v>375</v>
      </c>
      <c r="CH2742" s="1" t="s">
        <v>206</v>
      </c>
      <c r="CI2742" s="1" t="s">
        <v>617</v>
      </c>
      <c r="CK2742" s="1" t="s">
        <v>2047</v>
      </c>
      <c r="CL2742" s="1" t="s">
        <v>206</v>
      </c>
      <c r="CM2742" s="1" t="s">
        <v>617</v>
      </c>
      <c r="CO2742" s="1" t="s">
        <v>2047</v>
      </c>
      <c r="CP2742" s="1" t="s">
        <v>206</v>
      </c>
      <c r="CQ2742" s="1" t="s">
        <v>617</v>
      </c>
      <c r="CS2742" s="1" t="s">
        <v>215</v>
      </c>
      <c r="CT2742" s="1" t="s">
        <v>206</v>
      </c>
      <c r="CU2742" s="1" t="s">
        <v>617</v>
      </c>
      <c r="CX2742" s="1" t="s">
        <v>204</v>
      </c>
      <c r="DA2742" s="1" t="s">
        <v>200</v>
      </c>
      <c r="DC2742" s="1" t="s">
        <v>642</v>
      </c>
      <c r="DE2742" s="1" t="s">
        <v>229</v>
      </c>
      <c r="DF2742" s="1" t="s">
        <v>619</v>
      </c>
      <c r="DH2742" s="1" t="s">
        <v>220</v>
      </c>
      <c r="DJ2742" s="1" t="s">
        <v>222</v>
      </c>
      <c r="DK2742" s="1" t="s">
        <v>223</v>
      </c>
      <c r="DL2742" s="1" t="s">
        <v>858</v>
      </c>
      <c r="DM2742" s="1" t="s">
        <v>229</v>
      </c>
      <c r="DP2742" s="1" t="s">
        <v>340</v>
      </c>
      <c r="DQ2742" s="1" t="s">
        <v>228</v>
      </c>
      <c r="DR2742" s="1" t="s">
        <v>229</v>
      </c>
      <c r="DV2742" s="1" t="s">
        <v>232</v>
      </c>
      <c r="DW2742" s="1" t="s">
        <v>233</v>
      </c>
      <c r="DX2742" s="1" t="s">
        <v>234</v>
      </c>
      <c r="EC2742" s="1" t="s">
        <v>645</v>
      </c>
      <c r="EM2742" s="1" t="s">
        <v>238</v>
      </c>
      <c r="EQ2742" s="1" t="s">
        <v>238</v>
      </c>
      <c r="EU2742" s="1" t="s">
        <v>238</v>
      </c>
      <c r="EY2742" s="1" t="s">
        <v>238</v>
      </c>
      <c r="FC2742" s="1" t="s">
        <v>238</v>
      </c>
      <c r="FF2742" s="1" t="s">
        <v>239</v>
      </c>
      <c r="FG2742" s="1" t="s">
        <v>192</v>
      </c>
      <c r="FH2742" s="1" t="s">
        <v>192</v>
      </c>
      <c r="FJ2742" s="1" t="s">
        <v>524</v>
      </c>
      <c r="FK2742" s="1" t="s">
        <v>229</v>
      </c>
      <c r="FL2742" s="1" t="s">
        <v>24241</v>
      </c>
      <c r="FM2742" s="1">
        <v>84190.0</v>
      </c>
      <c r="FN2742" s="1" t="s">
        <v>24242</v>
      </c>
      <c r="FO2742" s="1" t="s">
        <v>24243</v>
      </c>
      <c r="FP2742" s="1">
        <v>181234.0</v>
      </c>
      <c r="FQ2742" s="1" t="s">
        <v>24244</v>
      </c>
      <c r="FU2742" s="1" t="s">
        <v>24245</v>
      </c>
      <c r="FV2742" s="1" t="s">
        <v>200</v>
      </c>
      <c r="FW2742" s="1" t="s">
        <v>290</v>
      </c>
      <c r="FX2742" s="1" t="s">
        <v>655</v>
      </c>
      <c r="FZ2742" s="1" t="s">
        <v>229</v>
      </c>
      <c r="GA2742" s="1" t="s">
        <v>291</v>
      </c>
      <c r="GB2742" s="2">
        <v>42064.0</v>
      </c>
      <c r="GC2742" s="1" t="s">
        <v>24246</v>
      </c>
    </row>
    <row r="2743">
      <c r="A2743" s="1">
        <v>435000.0</v>
      </c>
      <c r="B2743" s="1" t="s">
        <v>185</v>
      </c>
      <c r="C2743" s="1" t="str">
        <f>"08831242"</f>
        <v>08831242</v>
      </c>
      <c r="D2743" s="1" t="s">
        <v>186</v>
      </c>
      <c r="F2743" s="1" t="str">
        <f>"8015"</f>
        <v>8015</v>
      </c>
      <c r="G2743" s="2">
        <v>42039.0</v>
      </c>
      <c r="H2743" s="1">
        <v>450000.0</v>
      </c>
      <c r="I2743" s="1">
        <v>43.0</v>
      </c>
      <c r="J2743" s="1">
        <v>440000.0</v>
      </c>
      <c r="K2743" s="2">
        <v>42081.0</v>
      </c>
      <c r="L2743" s="1">
        <v>43.0</v>
      </c>
      <c r="M2743" s="2">
        <v>42081.0</v>
      </c>
      <c r="N2743" s="1" t="s">
        <v>187</v>
      </c>
      <c r="O2743" s="2">
        <v>42124.0</v>
      </c>
      <c r="P2743" s="1">
        <v>113461.0</v>
      </c>
      <c r="Q2743" s="1">
        <v>16379.0</v>
      </c>
      <c r="S2743" s="1">
        <v>3706.0</v>
      </c>
      <c r="T2743" s="1" t="s">
        <v>9209</v>
      </c>
      <c r="U2743" s="1" t="s">
        <v>189</v>
      </c>
      <c r="V2743" s="1" t="s">
        <v>190</v>
      </c>
      <c r="W2743" s="1">
        <v>60641.0</v>
      </c>
      <c r="Y2743" s="1" t="s">
        <v>24247</v>
      </c>
      <c r="Z2743" s="1">
        <v>1911.0</v>
      </c>
      <c r="AA2743" s="1" t="s">
        <v>192</v>
      </c>
      <c r="AB2743" s="1" t="s">
        <v>193</v>
      </c>
      <c r="AD2743" s="1" t="s">
        <v>194</v>
      </c>
      <c r="AE2743" s="1" t="s">
        <v>195</v>
      </c>
      <c r="AF2743" s="1" t="s">
        <v>196</v>
      </c>
      <c r="AH2743" s="1" t="s">
        <v>24248</v>
      </c>
      <c r="AI2743" s="1">
        <v>0.0868</v>
      </c>
      <c r="AK2743" s="1">
        <v>8.0</v>
      </c>
      <c r="AL2743" s="1">
        <v>3.0</v>
      </c>
      <c r="AM2743" s="1">
        <v>3.0</v>
      </c>
      <c r="AN2743" s="1">
        <v>1.0</v>
      </c>
      <c r="AO2743" s="1" t="s">
        <v>198</v>
      </c>
      <c r="AQ2743" s="1" t="s">
        <v>198</v>
      </c>
      <c r="AR2743" s="1" t="s">
        <v>192</v>
      </c>
      <c r="AS2743" s="1" t="s">
        <v>199</v>
      </c>
      <c r="AT2743" s="1">
        <v>2.0</v>
      </c>
      <c r="AV2743" s="1" t="s">
        <v>200</v>
      </c>
      <c r="AW2743" s="1">
        <v>3725.62</v>
      </c>
      <c r="AX2743" s="1">
        <v>2013.0</v>
      </c>
      <c r="AZ2743" s="1" t="s">
        <v>200</v>
      </c>
      <c r="BA2743" s="1" t="str">
        <f>"13211210390000"</f>
        <v>13211210390000</v>
      </c>
      <c r="BC2743" s="1">
        <v>3000.0</v>
      </c>
      <c r="BD2743" s="1">
        <v>435000.0</v>
      </c>
      <c r="BE2743" s="2">
        <v>42039.0</v>
      </c>
      <c r="BF2743" s="2" t="s">
        <v>24249</v>
      </c>
      <c r="BH2743" s="1">
        <v>0.0</v>
      </c>
      <c r="BK2743" s="1" t="s">
        <v>204</v>
      </c>
      <c r="BL2743" s="1" t="str">
        <f>"3706"</f>
        <v>3706</v>
      </c>
      <c r="BM2743" s="1" t="str">
        <f>"0"</f>
        <v>0</v>
      </c>
      <c r="BN2743" s="1">
        <v>5400.0</v>
      </c>
      <c r="BO2743" s="1">
        <v>0.0</v>
      </c>
      <c r="BQ2743" s="1">
        <v>299.0</v>
      </c>
      <c r="BR2743" s="1">
        <v>299.0</v>
      </c>
      <c r="BS2743" s="1">
        <v>299.0</v>
      </c>
      <c r="BU2743" s="1" t="s">
        <v>544</v>
      </c>
      <c r="BV2743" s="1" t="s">
        <v>206</v>
      </c>
      <c r="BY2743" s="1" t="s">
        <v>390</v>
      </c>
      <c r="BZ2743" s="1" t="s">
        <v>209</v>
      </c>
      <c r="CC2743" s="1" t="s">
        <v>262</v>
      </c>
      <c r="CD2743" s="1" t="s">
        <v>206</v>
      </c>
      <c r="CG2743" s="1" t="s">
        <v>495</v>
      </c>
      <c r="CH2743" s="1" t="s">
        <v>209</v>
      </c>
      <c r="CK2743" s="1" t="s">
        <v>495</v>
      </c>
      <c r="CL2743" s="1" t="s">
        <v>209</v>
      </c>
      <c r="CO2743" s="1" t="s">
        <v>331</v>
      </c>
      <c r="CP2743" s="1" t="s">
        <v>42</v>
      </c>
      <c r="CS2743" s="1" t="s">
        <v>363</v>
      </c>
      <c r="CT2743" s="1" t="s">
        <v>206</v>
      </c>
      <c r="CW2743" s="1" t="s">
        <v>2749</v>
      </c>
      <c r="CX2743" s="1" t="s">
        <v>206</v>
      </c>
      <c r="DA2743" s="1" t="s">
        <v>200</v>
      </c>
      <c r="DC2743" s="1" t="s">
        <v>642</v>
      </c>
      <c r="DE2743" s="1" t="s">
        <v>273</v>
      </c>
      <c r="DF2743" s="1" t="s">
        <v>619</v>
      </c>
      <c r="DH2743" s="1" t="s">
        <v>220</v>
      </c>
      <c r="DJ2743" s="1" t="s">
        <v>1379</v>
      </c>
      <c r="DL2743" s="1" t="s">
        <v>224</v>
      </c>
      <c r="DM2743" s="1" t="s">
        <v>229</v>
      </c>
      <c r="DP2743" s="1" t="s">
        <v>340</v>
      </c>
      <c r="DQ2743" s="1" t="s">
        <v>228</v>
      </c>
      <c r="DR2743" s="1" t="s">
        <v>229</v>
      </c>
      <c r="DV2743" s="1" t="s">
        <v>1103</v>
      </c>
      <c r="DW2743" s="1" t="s">
        <v>667</v>
      </c>
      <c r="DX2743" s="1" t="s">
        <v>234</v>
      </c>
      <c r="EC2743" s="1" t="s">
        <v>237</v>
      </c>
      <c r="ED2743" s="1" t="s">
        <v>1761</v>
      </c>
      <c r="EG2743" s="1" t="s">
        <v>1103</v>
      </c>
      <c r="EL2743" s="1" t="s">
        <v>3415</v>
      </c>
      <c r="EM2743" s="1" t="s">
        <v>42</v>
      </c>
      <c r="EQ2743" s="1" t="s">
        <v>238</v>
      </c>
      <c r="EU2743" s="1" t="s">
        <v>238</v>
      </c>
      <c r="EY2743" s="1" t="s">
        <v>238</v>
      </c>
      <c r="FC2743" s="1" t="s">
        <v>238</v>
      </c>
      <c r="FF2743" s="1" t="s">
        <v>239</v>
      </c>
      <c r="FG2743" s="1" t="s">
        <v>192</v>
      </c>
      <c r="FH2743" s="1" t="s">
        <v>192</v>
      </c>
      <c r="FJ2743" s="1" t="s">
        <v>561</v>
      </c>
      <c r="FK2743" s="1" t="s">
        <v>229</v>
      </c>
      <c r="FL2743" s="1" t="s">
        <v>562</v>
      </c>
      <c r="FM2743" s="1">
        <v>84025.0</v>
      </c>
      <c r="FN2743" s="1" t="s">
        <v>2509</v>
      </c>
      <c r="FO2743" s="1" t="s">
        <v>4871</v>
      </c>
      <c r="FP2743" s="1">
        <v>159066.0</v>
      </c>
      <c r="FQ2743" s="1" t="s">
        <v>4872</v>
      </c>
      <c r="FR2743" s="1">
        <v>875906.0</v>
      </c>
      <c r="FU2743" s="1" t="s">
        <v>24250</v>
      </c>
      <c r="FV2743" s="1" t="s">
        <v>200</v>
      </c>
      <c r="FW2743" s="1" t="s">
        <v>290</v>
      </c>
      <c r="FX2743" s="1" t="s">
        <v>238</v>
      </c>
      <c r="FZ2743" s="1" t="s">
        <v>229</v>
      </c>
      <c r="GA2743" s="1" t="s">
        <v>291</v>
      </c>
      <c r="GB2743" s="2">
        <v>42126.0</v>
      </c>
      <c r="GC2743" s="1" t="s">
        <v>24251</v>
      </c>
    </row>
    <row r="2744">
      <c r="A2744" s="1">
        <v>158500.0</v>
      </c>
      <c r="B2744" s="1" t="s">
        <v>185</v>
      </c>
      <c r="C2744" s="1" t="str">
        <f>"08832959"</f>
        <v>08832959</v>
      </c>
      <c r="D2744" s="1" t="s">
        <v>186</v>
      </c>
      <c r="F2744" s="1" t="str">
        <f>"545"</f>
        <v>545</v>
      </c>
      <c r="G2744" s="2">
        <v>42041.0</v>
      </c>
      <c r="H2744" s="1">
        <v>162900.0</v>
      </c>
      <c r="I2744" s="1">
        <v>14.0</v>
      </c>
      <c r="J2744" s="1">
        <v>162900.0</v>
      </c>
      <c r="K2744" s="2">
        <v>42053.0</v>
      </c>
      <c r="L2744" s="1">
        <v>14.0</v>
      </c>
      <c r="M2744" s="2">
        <v>42053.0</v>
      </c>
      <c r="N2744" s="1" t="s">
        <v>187</v>
      </c>
      <c r="O2744" s="2">
        <v>42094.0</v>
      </c>
      <c r="P2744" s="1">
        <v>234466.0</v>
      </c>
      <c r="Q2744" s="1">
        <v>25178.0</v>
      </c>
      <c r="R2744" s="1">
        <v>4000.0</v>
      </c>
      <c r="S2744" s="1">
        <v>415.0</v>
      </c>
      <c r="T2744" s="1" t="s">
        <v>65</v>
      </c>
      <c r="U2744" s="1" t="s">
        <v>320</v>
      </c>
      <c r="V2744" s="1" t="s">
        <v>3364</v>
      </c>
      <c r="W2744" s="1">
        <v>60545.0</v>
      </c>
      <c r="Y2744" s="1" t="s">
        <v>24252</v>
      </c>
      <c r="Z2744" s="1">
        <v>2004.0</v>
      </c>
      <c r="AA2744" s="1" t="s">
        <v>200</v>
      </c>
      <c r="AB2744" s="1" t="s">
        <v>193</v>
      </c>
      <c r="AD2744" s="1" t="s">
        <v>3366</v>
      </c>
      <c r="AE2744" s="1" t="s">
        <v>849</v>
      </c>
      <c r="AF2744" s="1" t="s">
        <v>3367</v>
      </c>
      <c r="AH2744" s="1" t="s">
        <v>24253</v>
      </c>
      <c r="AI2744" s="1">
        <v>0.264</v>
      </c>
      <c r="AK2744" s="1">
        <v>6.0</v>
      </c>
      <c r="AL2744" s="1">
        <v>3.0</v>
      </c>
      <c r="AM2744" s="1">
        <v>2.0</v>
      </c>
      <c r="AN2744" s="1">
        <v>0.0</v>
      </c>
      <c r="AO2744" s="1" t="s">
        <v>198</v>
      </c>
      <c r="AP2744" s="1">
        <v>1.0</v>
      </c>
      <c r="AQ2744" s="1" t="s">
        <v>198</v>
      </c>
      <c r="AR2744" s="1" t="s">
        <v>200</v>
      </c>
      <c r="AS2744" s="1" t="s">
        <v>199</v>
      </c>
      <c r="AT2744" s="1">
        <v>2.0</v>
      </c>
      <c r="AV2744" s="1" t="s">
        <v>200</v>
      </c>
      <c r="AW2744" s="1">
        <v>4932.52</v>
      </c>
      <c r="AX2744" s="1">
        <v>2012.0</v>
      </c>
      <c r="AZ2744" s="1" t="s">
        <v>200</v>
      </c>
      <c r="BA2744" s="1" t="str">
        <f>"0122307024"</f>
        <v>0122307024</v>
      </c>
      <c r="BB2744" s="1" t="s">
        <v>192</v>
      </c>
      <c r="BC2744" s="1">
        <v>1500.0</v>
      </c>
      <c r="BD2744" s="1">
        <v>158500.0</v>
      </c>
      <c r="BE2744" s="2">
        <v>42040.0</v>
      </c>
      <c r="BF2744" s="2" t="s">
        <v>24254</v>
      </c>
      <c r="BH2744" s="1">
        <v>0.0</v>
      </c>
      <c r="BI2744" s="1" t="s">
        <v>3371</v>
      </c>
      <c r="BJ2744" s="1" t="s">
        <v>3372</v>
      </c>
      <c r="BK2744" s="1" t="s">
        <v>204</v>
      </c>
      <c r="BL2744" s="1" t="str">
        <f t="shared" ref="BL2744:BM2744" si="1787">""</f>
        <v/>
      </c>
      <c r="BM2744" s="1" t="str">
        <f t="shared" si="1787"/>
        <v/>
      </c>
      <c r="BQ2744" s="1">
        <v>88.0</v>
      </c>
      <c r="BR2744" s="1">
        <v>88.0</v>
      </c>
      <c r="BS2744" s="1">
        <v>88.0</v>
      </c>
      <c r="BV2744" s="1" t="s">
        <v>204</v>
      </c>
      <c r="BY2744" s="1" t="s">
        <v>331</v>
      </c>
      <c r="BZ2744" s="1" t="s">
        <v>206</v>
      </c>
      <c r="CA2744" s="1" t="s">
        <v>210</v>
      </c>
      <c r="CB2744" s="1" t="s">
        <v>229</v>
      </c>
      <c r="CD2744" s="1" t="s">
        <v>204</v>
      </c>
      <c r="CG2744" s="1" t="s">
        <v>269</v>
      </c>
      <c r="CH2744" s="1" t="s">
        <v>206</v>
      </c>
      <c r="CI2744" s="1" t="s">
        <v>210</v>
      </c>
      <c r="CJ2744" s="1" t="s">
        <v>229</v>
      </c>
      <c r="CK2744" s="1" t="s">
        <v>269</v>
      </c>
      <c r="CL2744" s="1" t="s">
        <v>206</v>
      </c>
      <c r="CM2744" s="1" t="s">
        <v>210</v>
      </c>
      <c r="CN2744" s="1" t="s">
        <v>229</v>
      </c>
      <c r="CO2744" s="1" t="s">
        <v>269</v>
      </c>
      <c r="CP2744" s="1" t="s">
        <v>42</v>
      </c>
      <c r="CQ2744" s="1" t="s">
        <v>588</v>
      </c>
      <c r="CR2744" s="1" t="s">
        <v>229</v>
      </c>
      <c r="CS2744" s="1" t="s">
        <v>1875</v>
      </c>
      <c r="CT2744" s="1" t="s">
        <v>206</v>
      </c>
      <c r="CU2744" s="1" t="s">
        <v>268</v>
      </c>
      <c r="CV2744" s="1" t="s">
        <v>229</v>
      </c>
      <c r="CW2744" s="1" t="s">
        <v>333</v>
      </c>
      <c r="CX2744" s="1" t="s">
        <v>206</v>
      </c>
      <c r="CY2744" s="1" t="s">
        <v>210</v>
      </c>
      <c r="CZ2744" s="1" t="s">
        <v>229</v>
      </c>
      <c r="DA2744" s="1" t="s">
        <v>200</v>
      </c>
      <c r="DC2744" s="1" t="s">
        <v>335</v>
      </c>
      <c r="DD2744" s="1" t="s">
        <v>957</v>
      </c>
      <c r="DE2744" s="1" t="s">
        <v>273</v>
      </c>
      <c r="DF2744" s="1" t="s">
        <v>219</v>
      </c>
      <c r="DH2744" s="1" t="s">
        <v>220</v>
      </c>
      <c r="DI2744" s="1" t="s">
        <v>703</v>
      </c>
      <c r="DJ2744" s="1" t="s">
        <v>222</v>
      </c>
      <c r="DK2744" s="1" t="s">
        <v>223</v>
      </c>
      <c r="DL2744" s="1" t="s">
        <v>484</v>
      </c>
      <c r="DM2744" s="1" t="s">
        <v>229</v>
      </c>
      <c r="DO2744" s="1" t="s">
        <v>549</v>
      </c>
      <c r="DQ2744" s="1" t="s">
        <v>441</v>
      </c>
      <c r="DR2744" s="1" t="s">
        <v>229</v>
      </c>
      <c r="DS2744" s="1" t="s">
        <v>591</v>
      </c>
      <c r="DU2744" s="1" t="s">
        <v>1637</v>
      </c>
      <c r="DV2744" s="1" t="s">
        <v>232</v>
      </c>
      <c r="DW2744" s="1" t="s">
        <v>233</v>
      </c>
      <c r="DX2744" s="1" t="s">
        <v>234</v>
      </c>
      <c r="DY2744" s="1" t="s">
        <v>16748</v>
      </c>
      <c r="DZ2744" s="1" t="s">
        <v>14214</v>
      </c>
      <c r="EB2744" s="1" t="s">
        <v>1639</v>
      </c>
      <c r="EC2744" s="1" t="s">
        <v>685</v>
      </c>
      <c r="ED2744" s="1" t="s">
        <v>1406</v>
      </c>
      <c r="EM2744" s="1" t="s">
        <v>238</v>
      </c>
      <c r="EQ2744" s="1" t="s">
        <v>238</v>
      </c>
      <c r="EU2744" s="1" t="s">
        <v>238</v>
      </c>
      <c r="EY2744" s="1" t="s">
        <v>238</v>
      </c>
      <c r="FC2744" s="1" t="s">
        <v>238</v>
      </c>
      <c r="FF2744" s="1" t="s">
        <v>239</v>
      </c>
      <c r="FG2744" s="1" t="s">
        <v>192</v>
      </c>
      <c r="FH2744" s="1" t="s">
        <v>192</v>
      </c>
      <c r="FJ2744" s="1" t="s">
        <v>3062</v>
      </c>
      <c r="FK2744" s="1" t="s">
        <v>229</v>
      </c>
      <c r="FL2744" s="1" t="s">
        <v>1007</v>
      </c>
      <c r="FM2744" s="1">
        <v>22588.0</v>
      </c>
      <c r="FN2744" s="1" t="s">
        <v>1321</v>
      </c>
      <c r="FO2744" s="1" t="s">
        <v>24255</v>
      </c>
      <c r="FP2744" s="1">
        <v>231373.0</v>
      </c>
      <c r="FQ2744" s="1" t="s">
        <v>24256</v>
      </c>
      <c r="FU2744" s="1" t="s">
        <v>24257</v>
      </c>
      <c r="FV2744" s="1" t="s">
        <v>200</v>
      </c>
      <c r="FW2744" s="1" t="s">
        <v>290</v>
      </c>
      <c r="FX2744" s="1" t="s">
        <v>238</v>
      </c>
      <c r="FZ2744" s="1" t="s">
        <v>229</v>
      </c>
      <c r="GA2744" s="1" t="s">
        <v>291</v>
      </c>
      <c r="GB2744" s="2">
        <v>42101.0</v>
      </c>
      <c r="GC2744" s="1" t="s">
        <v>24258</v>
      </c>
    </row>
    <row r="2745">
      <c r="A2745" s="1">
        <v>205000.0</v>
      </c>
      <c r="B2745" s="1" t="s">
        <v>185</v>
      </c>
      <c r="C2745" s="1" t="str">
        <f>"08831147"</f>
        <v>08831147</v>
      </c>
      <c r="D2745" s="1" t="s">
        <v>186</v>
      </c>
      <c r="F2745" s="1" t="str">
        <f>"8015"</f>
        <v>8015</v>
      </c>
      <c r="G2745" s="2">
        <v>42039.0</v>
      </c>
      <c r="H2745" s="1">
        <v>208900.0</v>
      </c>
      <c r="I2745" s="1">
        <v>77.0</v>
      </c>
      <c r="J2745" s="1">
        <v>208900.0</v>
      </c>
      <c r="K2745" s="2">
        <v>42115.0</v>
      </c>
      <c r="L2745" s="1">
        <v>77.0</v>
      </c>
      <c r="M2745" s="2">
        <v>42115.0</v>
      </c>
      <c r="N2745" s="1" t="s">
        <v>249</v>
      </c>
      <c r="O2745" s="2">
        <v>42137.0</v>
      </c>
      <c r="P2745" s="1">
        <v>112931.0</v>
      </c>
      <c r="Q2745" s="1">
        <v>17179.0</v>
      </c>
      <c r="S2745" s="1">
        <v>4527.0</v>
      </c>
      <c r="T2745" s="1" t="s">
        <v>15726</v>
      </c>
      <c r="U2745" s="1" t="s">
        <v>189</v>
      </c>
      <c r="V2745" s="1" t="s">
        <v>190</v>
      </c>
      <c r="W2745" s="1">
        <v>60630.0</v>
      </c>
      <c r="Y2745" s="1" t="s">
        <v>24259</v>
      </c>
      <c r="Z2745" s="1">
        <v>1923.0</v>
      </c>
      <c r="AA2745" s="1" t="s">
        <v>192</v>
      </c>
      <c r="AB2745" s="1" t="s">
        <v>193</v>
      </c>
      <c r="AD2745" s="1" t="s">
        <v>194</v>
      </c>
      <c r="AE2745" s="1" t="s">
        <v>195</v>
      </c>
      <c r="AF2745" s="1" t="s">
        <v>196</v>
      </c>
      <c r="AH2745" s="1" t="s">
        <v>24260</v>
      </c>
      <c r="AI2745" s="1">
        <v>0.0933</v>
      </c>
      <c r="AK2745" s="1">
        <v>8.0</v>
      </c>
      <c r="AL2745" s="1">
        <v>4.0</v>
      </c>
      <c r="AM2745" s="1">
        <v>1.0</v>
      </c>
      <c r="AN2745" s="1">
        <v>0.0</v>
      </c>
      <c r="AO2745" s="1" t="s">
        <v>229</v>
      </c>
      <c r="AQ2745" s="1" t="s">
        <v>198</v>
      </c>
      <c r="AR2745" s="1" t="s">
        <v>200</v>
      </c>
      <c r="AS2745" s="1" t="s">
        <v>199</v>
      </c>
      <c r="AT2745" s="1">
        <v>2.0</v>
      </c>
      <c r="AV2745" s="1" t="s">
        <v>200</v>
      </c>
      <c r="AW2745" s="1">
        <v>4413.13</v>
      </c>
      <c r="AX2745" s="1">
        <v>2013.0</v>
      </c>
      <c r="AZ2745" s="1" t="s">
        <v>200</v>
      </c>
      <c r="BA2745" s="1" t="str">
        <f>"13171120140000"</f>
        <v>13171120140000</v>
      </c>
      <c r="BC2745" s="1">
        <v>1760.0</v>
      </c>
      <c r="BD2745" s="1">
        <v>205000.0</v>
      </c>
      <c r="BE2745" s="2">
        <v>42039.0</v>
      </c>
      <c r="BF2745" s="1" t="s">
        <v>24261</v>
      </c>
      <c r="BH2745" s="1">
        <v>0.0</v>
      </c>
      <c r="BK2745" s="1" t="s">
        <v>204</v>
      </c>
      <c r="BL2745" s="1" t="str">
        <f>"41"</f>
        <v>41</v>
      </c>
      <c r="BM2745" s="1" t="str">
        <f>"0"</f>
        <v>0</v>
      </c>
      <c r="BN2745" s="1">
        <v>87.0</v>
      </c>
      <c r="BO2745" s="1">
        <v>0.0</v>
      </c>
      <c r="BQ2745" s="1">
        <v>299.0</v>
      </c>
      <c r="BR2745" s="1">
        <v>299.0</v>
      </c>
      <c r="BS2745" s="1">
        <v>299.0</v>
      </c>
      <c r="BU2745" s="1" t="s">
        <v>215</v>
      </c>
      <c r="BV2745" s="1" t="s">
        <v>206</v>
      </c>
      <c r="BY2745" s="1" t="s">
        <v>264</v>
      </c>
      <c r="BZ2745" s="1" t="s">
        <v>206</v>
      </c>
      <c r="CC2745" s="1" t="s">
        <v>215</v>
      </c>
      <c r="CD2745" s="1" t="s">
        <v>206</v>
      </c>
      <c r="CG2745" s="1" t="s">
        <v>699</v>
      </c>
      <c r="CH2745" s="1" t="s">
        <v>206</v>
      </c>
      <c r="CK2745" s="1" t="s">
        <v>495</v>
      </c>
      <c r="CL2745" s="1" t="s">
        <v>209</v>
      </c>
      <c r="CO2745" s="1" t="s">
        <v>495</v>
      </c>
      <c r="CP2745" s="1" t="s">
        <v>209</v>
      </c>
      <c r="CS2745" s="1" t="s">
        <v>495</v>
      </c>
      <c r="CT2745" s="1" t="s">
        <v>206</v>
      </c>
      <c r="CX2745" s="1" t="s">
        <v>204</v>
      </c>
      <c r="DA2745" s="1" t="s">
        <v>200</v>
      </c>
      <c r="DC2745" s="1" t="s">
        <v>216</v>
      </c>
      <c r="DD2745" s="1" t="s">
        <v>518</v>
      </c>
      <c r="DE2745" s="1" t="s">
        <v>273</v>
      </c>
      <c r="DF2745" s="1" t="s">
        <v>219</v>
      </c>
      <c r="DH2745" s="1" t="s">
        <v>365</v>
      </c>
      <c r="DJ2745" s="1" t="s">
        <v>1048</v>
      </c>
      <c r="DL2745" s="1" t="s">
        <v>223</v>
      </c>
      <c r="DM2745" s="1" t="s">
        <v>229</v>
      </c>
      <c r="DQ2745" s="1" t="s">
        <v>228</v>
      </c>
      <c r="DR2745" s="1" t="s">
        <v>229</v>
      </c>
      <c r="DV2745" s="1" t="s">
        <v>494</v>
      </c>
      <c r="DW2745" s="1" t="s">
        <v>3576</v>
      </c>
      <c r="DX2745" s="1" t="s">
        <v>234</v>
      </c>
      <c r="EA2745" s="1" t="s">
        <v>644</v>
      </c>
      <c r="EC2745" s="1" t="s">
        <v>645</v>
      </c>
      <c r="EG2745" s="1" t="s">
        <v>494</v>
      </c>
      <c r="EL2745" s="1" t="s">
        <v>215</v>
      </c>
      <c r="EM2745" s="1" t="s">
        <v>209</v>
      </c>
      <c r="EQ2745" s="1" t="s">
        <v>238</v>
      </c>
      <c r="EU2745" s="1" t="s">
        <v>238</v>
      </c>
      <c r="EY2745" s="1" t="s">
        <v>238</v>
      </c>
      <c r="FC2745" s="1" t="s">
        <v>238</v>
      </c>
      <c r="FF2745" s="1" t="s">
        <v>239</v>
      </c>
      <c r="FG2745" s="1" t="s">
        <v>192</v>
      </c>
      <c r="FH2745" s="1" t="s">
        <v>192</v>
      </c>
      <c r="FJ2745" s="1" t="s">
        <v>1248</v>
      </c>
      <c r="FK2745" s="1" t="s">
        <v>229</v>
      </c>
      <c r="FL2745" s="1" t="s">
        <v>1358</v>
      </c>
      <c r="FM2745" s="1">
        <v>3970.0</v>
      </c>
      <c r="FN2745" s="1" t="s">
        <v>5118</v>
      </c>
      <c r="FO2745" s="1" t="s">
        <v>5119</v>
      </c>
      <c r="FP2745" s="1">
        <v>38687.0</v>
      </c>
      <c r="FQ2745" s="1" t="s">
        <v>5120</v>
      </c>
      <c r="FU2745" s="1" t="s">
        <v>5121</v>
      </c>
      <c r="FV2745" s="1" t="s">
        <v>200</v>
      </c>
      <c r="FW2745" s="1" t="s">
        <v>530</v>
      </c>
      <c r="FX2745" s="1" t="s">
        <v>238</v>
      </c>
      <c r="FZ2745" s="1" t="s">
        <v>229</v>
      </c>
      <c r="GA2745" s="1" t="s">
        <v>291</v>
      </c>
      <c r="GB2745" s="2">
        <v>42137.0</v>
      </c>
      <c r="GC2745" s="1" t="s">
        <v>24262</v>
      </c>
    </row>
    <row r="2746">
      <c r="A2746" s="1">
        <v>405000.0</v>
      </c>
      <c r="B2746" s="1" t="s">
        <v>185</v>
      </c>
      <c r="C2746" s="1" t="str">
        <f>"08831832"</f>
        <v>08831832</v>
      </c>
      <c r="D2746" s="1" t="s">
        <v>186</v>
      </c>
      <c r="F2746" s="1" t="str">
        <f>"8036"</f>
        <v>8036</v>
      </c>
      <c r="G2746" s="2">
        <v>42040.0</v>
      </c>
      <c r="H2746" s="1">
        <v>419900.0</v>
      </c>
      <c r="I2746" s="1">
        <v>144.0</v>
      </c>
      <c r="J2746" s="1">
        <v>419900.0</v>
      </c>
      <c r="K2746" s="2">
        <v>42051.0</v>
      </c>
      <c r="L2746" s="1">
        <v>12.0</v>
      </c>
      <c r="M2746" s="2">
        <v>42051.0</v>
      </c>
      <c r="N2746" s="1" t="s">
        <v>187</v>
      </c>
      <c r="O2746" s="2">
        <v>42093.0</v>
      </c>
      <c r="P2746" s="1">
        <v>153680.0</v>
      </c>
      <c r="Q2746" s="1">
        <v>10115.0</v>
      </c>
      <c r="S2746" s="1">
        <v>817.0</v>
      </c>
      <c r="T2746" s="1" t="s">
        <v>7613</v>
      </c>
      <c r="U2746" s="1" t="s">
        <v>569</v>
      </c>
      <c r="V2746" s="1" t="s">
        <v>190</v>
      </c>
      <c r="W2746" s="1">
        <v>60653.0</v>
      </c>
      <c r="Y2746" s="1" t="s">
        <v>24263</v>
      </c>
      <c r="Z2746" s="1">
        <v>1880.0</v>
      </c>
      <c r="AA2746" s="1" t="s">
        <v>192</v>
      </c>
      <c r="AB2746" s="1" t="s">
        <v>193</v>
      </c>
      <c r="AD2746" s="1" t="s">
        <v>194</v>
      </c>
      <c r="AE2746" s="1" t="s">
        <v>195</v>
      </c>
      <c r="AF2746" s="1" t="s">
        <v>637</v>
      </c>
      <c r="AG2746" s="1" t="s">
        <v>8156</v>
      </c>
      <c r="AH2746" s="1" t="s">
        <v>24264</v>
      </c>
      <c r="AI2746" s="1">
        <v>0.0442</v>
      </c>
      <c r="AK2746" s="1">
        <v>8.0</v>
      </c>
      <c r="AL2746" s="1">
        <v>3.0</v>
      </c>
      <c r="AM2746" s="1">
        <v>3.0</v>
      </c>
      <c r="AN2746" s="1">
        <v>1.0</v>
      </c>
      <c r="AO2746" s="1" t="s">
        <v>198</v>
      </c>
      <c r="AQ2746" s="1" t="s">
        <v>198</v>
      </c>
      <c r="AR2746" s="1" t="s">
        <v>192</v>
      </c>
      <c r="AS2746" s="1" t="s">
        <v>199</v>
      </c>
      <c r="AT2746" s="1">
        <v>2.0</v>
      </c>
      <c r="AV2746" s="1" t="s">
        <v>200</v>
      </c>
      <c r="AW2746" s="4">
        <v>3732.46</v>
      </c>
      <c r="AX2746" s="1">
        <v>2013.0</v>
      </c>
      <c r="AY2746" s="1" t="s">
        <v>229</v>
      </c>
      <c r="AZ2746" s="1" t="s">
        <v>200</v>
      </c>
      <c r="BA2746" s="1" t="str">
        <f>"20021110050000"</f>
        <v>20021110050000</v>
      </c>
      <c r="BC2746" s="1">
        <v>0.0</v>
      </c>
      <c r="BD2746" s="1">
        <v>405000.0</v>
      </c>
      <c r="BE2746" s="2">
        <v>42040.0</v>
      </c>
      <c r="BF2746" s="2" t="s">
        <v>24265</v>
      </c>
      <c r="BH2746" s="1">
        <v>0.0</v>
      </c>
      <c r="BK2746" s="1" t="s">
        <v>204</v>
      </c>
      <c r="BL2746" s="1" t="str">
        <f t="shared" ref="BL2746:BL2747" si="1788">"0"</f>
        <v>0</v>
      </c>
      <c r="BM2746" s="1" t="str">
        <f>"817"</f>
        <v>817</v>
      </c>
      <c r="BN2746" s="1">
        <v>0.0</v>
      </c>
      <c r="BO2746" s="1">
        <v>4100.0</v>
      </c>
      <c r="BQ2746" s="1">
        <v>299.0</v>
      </c>
      <c r="BR2746" s="1">
        <v>299.0</v>
      </c>
      <c r="BS2746" s="1">
        <v>299.0</v>
      </c>
      <c r="BU2746" s="1" t="s">
        <v>24266</v>
      </c>
      <c r="BV2746" s="1" t="s">
        <v>206</v>
      </c>
      <c r="BW2746" s="1" t="s">
        <v>207</v>
      </c>
      <c r="BX2746" s="1" t="s">
        <v>431</v>
      </c>
      <c r="BY2746" s="1" t="s">
        <v>1068</v>
      </c>
      <c r="BZ2746" s="1" t="s">
        <v>209</v>
      </c>
      <c r="CA2746" s="1" t="s">
        <v>207</v>
      </c>
      <c r="CB2746" s="1" t="s">
        <v>229</v>
      </c>
      <c r="CC2746" s="1" t="s">
        <v>1395</v>
      </c>
      <c r="CD2746" s="1" t="s">
        <v>206</v>
      </c>
      <c r="CE2746" s="1" t="s">
        <v>207</v>
      </c>
      <c r="CF2746" s="1" t="s">
        <v>431</v>
      </c>
      <c r="CG2746" s="1" t="s">
        <v>1190</v>
      </c>
      <c r="CH2746" s="1" t="s">
        <v>209</v>
      </c>
      <c r="CI2746" s="1" t="s">
        <v>207</v>
      </c>
      <c r="CJ2746" s="1" t="s">
        <v>229</v>
      </c>
      <c r="CK2746" s="1" t="s">
        <v>1190</v>
      </c>
      <c r="CL2746" s="1" t="s">
        <v>209</v>
      </c>
      <c r="CM2746" s="1" t="s">
        <v>207</v>
      </c>
      <c r="CN2746" s="1" t="s">
        <v>229</v>
      </c>
      <c r="CO2746" s="1" t="s">
        <v>2459</v>
      </c>
      <c r="CP2746" s="1" t="s">
        <v>42</v>
      </c>
      <c r="CQ2746" s="1" t="s">
        <v>210</v>
      </c>
      <c r="CR2746" s="1" t="s">
        <v>229</v>
      </c>
      <c r="CS2746" s="1" t="s">
        <v>1329</v>
      </c>
      <c r="CT2746" s="1" t="s">
        <v>206</v>
      </c>
      <c r="CU2746" s="1" t="s">
        <v>207</v>
      </c>
      <c r="CV2746" s="1" t="s">
        <v>431</v>
      </c>
      <c r="CW2746" s="1" t="s">
        <v>4919</v>
      </c>
      <c r="CX2746" s="1" t="s">
        <v>42</v>
      </c>
      <c r="CY2746" s="1" t="s">
        <v>210</v>
      </c>
      <c r="CZ2746" s="1" t="s">
        <v>431</v>
      </c>
      <c r="DA2746" s="1" t="s">
        <v>200</v>
      </c>
      <c r="DC2746" s="1" t="s">
        <v>642</v>
      </c>
      <c r="DD2746" s="1" t="s">
        <v>759</v>
      </c>
      <c r="DE2746" s="1" t="s">
        <v>273</v>
      </c>
      <c r="DF2746" s="1" t="s">
        <v>619</v>
      </c>
      <c r="DG2746" s="1" t="s">
        <v>1657</v>
      </c>
      <c r="DH2746" s="1" t="s">
        <v>365</v>
      </c>
      <c r="DI2746" s="1" t="s">
        <v>519</v>
      </c>
      <c r="DJ2746" s="1" t="s">
        <v>222</v>
      </c>
      <c r="DL2746" s="1" t="s">
        <v>224</v>
      </c>
      <c r="DM2746" s="1" t="s">
        <v>3697</v>
      </c>
      <c r="DN2746" s="1" t="s">
        <v>3293</v>
      </c>
      <c r="DO2746" s="1" t="s">
        <v>717</v>
      </c>
      <c r="DP2746" s="1" t="s">
        <v>340</v>
      </c>
      <c r="DQ2746" s="1" t="s">
        <v>228</v>
      </c>
      <c r="DR2746" s="1" t="s">
        <v>229</v>
      </c>
      <c r="DS2746" s="1" t="s">
        <v>368</v>
      </c>
      <c r="DU2746" s="1" t="s">
        <v>550</v>
      </c>
      <c r="DV2746" s="1" t="s">
        <v>232</v>
      </c>
      <c r="DW2746" s="1" t="s">
        <v>279</v>
      </c>
      <c r="DX2746" s="1" t="s">
        <v>234</v>
      </c>
      <c r="DY2746" s="1" t="s">
        <v>704</v>
      </c>
      <c r="DZ2746" s="1" t="s">
        <v>1661</v>
      </c>
      <c r="EA2746" s="1" t="s">
        <v>5127</v>
      </c>
      <c r="EC2746" s="1" t="s">
        <v>237</v>
      </c>
      <c r="ED2746" s="1" t="s">
        <v>1406</v>
      </c>
      <c r="EE2746" s="1" t="s">
        <v>493</v>
      </c>
      <c r="EM2746" s="1" t="s">
        <v>238</v>
      </c>
      <c r="EQ2746" s="1" t="s">
        <v>238</v>
      </c>
      <c r="EU2746" s="1" t="s">
        <v>238</v>
      </c>
      <c r="EY2746" s="1" t="s">
        <v>238</v>
      </c>
      <c r="FC2746" s="1" t="s">
        <v>238</v>
      </c>
      <c r="FF2746" s="1" t="s">
        <v>239</v>
      </c>
      <c r="FG2746" s="1" t="s">
        <v>192</v>
      </c>
      <c r="FH2746" s="1" t="s">
        <v>192</v>
      </c>
      <c r="FJ2746" s="1" t="s">
        <v>733</v>
      </c>
      <c r="FK2746" s="1" t="s">
        <v>229</v>
      </c>
      <c r="FL2746" s="1" t="s">
        <v>2469</v>
      </c>
      <c r="FM2746" s="1">
        <v>84992.0</v>
      </c>
      <c r="FN2746" s="1" t="s">
        <v>2470</v>
      </c>
      <c r="FO2746" s="1" t="s">
        <v>2471</v>
      </c>
      <c r="FP2746" s="1">
        <v>113209.0</v>
      </c>
      <c r="FQ2746" s="1" t="s">
        <v>2472</v>
      </c>
      <c r="FU2746" s="1" t="s">
        <v>24267</v>
      </c>
      <c r="FV2746" s="1" t="s">
        <v>200</v>
      </c>
      <c r="FW2746" s="1" t="s">
        <v>290</v>
      </c>
      <c r="FX2746" s="1" t="s">
        <v>1739</v>
      </c>
      <c r="FZ2746" s="1" t="s">
        <v>229</v>
      </c>
      <c r="GA2746" s="1" t="s">
        <v>291</v>
      </c>
      <c r="GB2746" s="2">
        <v>42099.0</v>
      </c>
      <c r="GC2746" s="1" t="s">
        <v>24268</v>
      </c>
    </row>
    <row r="2747">
      <c r="A2747" s="1">
        <v>83100.0</v>
      </c>
      <c r="B2747" s="1" t="s">
        <v>185</v>
      </c>
      <c r="C2747" s="1" t="str">
        <f>"08835933"</f>
        <v>08835933</v>
      </c>
      <c r="D2747" s="1" t="s">
        <v>186</v>
      </c>
      <c r="F2747" s="1" t="str">
        <f>"8066"</f>
        <v>8066</v>
      </c>
      <c r="G2747" s="2">
        <v>42045.0</v>
      </c>
      <c r="H2747" s="1">
        <v>75000.0</v>
      </c>
      <c r="I2747" s="1">
        <v>23.0</v>
      </c>
      <c r="J2747" s="1">
        <v>75000.0</v>
      </c>
      <c r="K2747" s="2">
        <v>42067.0</v>
      </c>
      <c r="L2747" s="1">
        <v>23.0</v>
      </c>
      <c r="M2747" s="2">
        <v>42067.0</v>
      </c>
      <c r="N2747" s="1" t="s">
        <v>249</v>
      </c>
      <c r="O2747" s="2">
        <v>42123.0</v>
      </c>
      <c r="P2747" s="1">
        <v>155410.0</v>
      </c>
      <c r="Q2747" s="1">
        <v>84301.0</v>
      </c>
      <c r="S2747" s="1">
        <v>3454.0</v>
      </c>
      <c r="T2747" s="1" t="s">
        <v>9553</v>
      </c>
      <c r="U2747" s="1" t="s">
        <v>694</v>
      </c>
      <c r="V2747" s="1" t="s">
        <v>190</v>
      </c>
      <c r="W2747" s="1">
        <v>60629.0</v>
      </c>
      <c r="Y2747" s="1" t="s">
        <v>24269</v>
      </c>
      <c r="Z2747" s="1">
        <v>1951.0</v>
      </c>
      <c r="AA2747" s="1" t="s">
        <v>192</v>
      </c>
      <c r="AB2747" s="1" t="s">
        <v>193</v>
      </c>
      <c r="AD2747" s="1" t="s">
        <v>194</v>
      </c>
      <c r="AE2747" s="1" t="s">
        <v>195</v>
      </c>
      <c r="AF2747" s="1" t="s">
        <v>659</v>
      </c>
      <c r="AH2747" s="1" t="s">
        <v>4084</v>
      </c>
      <c r="AI2747" s="1">
        <v>0.0861</v>
      </c>
      <c r="AK2747" s="1">
        <v>6.0</v>
      </c>
      <c r="AL2747" s="1">
        <v>4.0</v>
      </c>
      <c r="AM2747" s="1">
        <v>2.0</v>
      </c>
      <c r="AN2747" s="1">
        <v>0.0</v>
      </c>
      <c r="AO2747" s="1" t="s">
        <v>229</v>
      </c>
      <c r="AQ2747" s="1" t="s">
        <v>198</v>
      </c>
      <c r="AR2747" s="1" t="s">
        <v>192</v>
      </c>
      <c r="AS2747" s="1" t="s">
        <v>199</v>
      </c>
      <c r="AT2747" s="1">
        <v>2.0</v>
      </c>
      <c r="AV2747" s="1" t="s">
        <v>200</v>
      </c>
      <c r="AW2747" s="1">
        <v>2596.81</v>
      </c>
      <c r="AX2747" s="1">
        <v>2013.0</v>
      </c>
      <c r="AY2747" s="1" t="s">
        <v>229</v>
      </c>
      <c r="AZ2747" s="1" t="s">
        <v>200</v>
      </c>
      <c r="BA2747" s="1" t="str">
        <f>"19262090560000"</f>
        <v>19262090560000</v>
      </c>
      <c r="BB2747" s="1" t="s">
        <v>200</v>
      </c>
      <c r="BC2747" s="1">
        <v>1488.0</v>
      </c>
      <c r="BD2747" s="1">
        <v>83100.0</v>
      </c>
      <c r="BE2747" s="2">
        <v>42045.0</v>
      </c>
      <c r="BF2747" s="1" t="s">
        <v>24270</v>
      </c>
      <c r="BH2747" s="1">
        <v>0.0</v>
      </c>
      <c r="BK2747" s="1" t="s">
        <v>204</v>
      </c>
      <c r="BL2747" s="1" t="str">
        <f t="shared" si="1788"/>
        <v>0</v>
      </c>
      <c r="BM2747" s="1" t="str">
        <f>"0"</f>
        <v>0</v>
      </c>
      <c r="BN2747" s="1">
        <v>3454.0</v>
      </c>
      <c r="BO2747" s="1">
        <v>7232.0</v>
      </c>
      <c r="BQ2747" s="1">
        <v>299.0</v>
      </c>
      <c r="BR2747" s="1">
        <v>299.0</v>
      </c>
      <c r="BS2747" s="1">
        <v>299.0</v>
      </c>
      <c r="BU2747" s="1" t="s">
        <v>1158</v>
      </c>
      <c r="BV2747" s="1" t="s">
        <v>206</v>
      </c>
      <c r="BY2747" s="1" t="s">
        <v>584</v>
      </c>
      <c r="BZ2747" s="1" t="s">
        <v>209</v>
      </c>
      <c r="CD2747" s="1" t="s">
        <v>204</v>
      </c>
      <c r="CG2747" s="1" t="s">
        <v>332</v>
      </c>
      <c r="CH2747" s="1" t="s">
        <v>209</v>
      </c>
      <c r="CK2747" s="1" t="s">
        <v>212</v>
      </c>
      <c r="CL2747" s="1" t="s">
        <v>206</v>
      </c>
      <c r="CO2747" s="1" t="s">
        <v>264</v>
      </c>
      <c r="CP2747" s="1" t="s">
        <v>206</v>
      </c>
      <c r="CS2747" s="1" t="s">
        <v>332</v>
      </c>
      <c r="CT2747" s="1" t="s">
        <v>206</v>
      </c>
      <c r="CX2747" s="1" t="s">
        <v>204</v>
      </c>
      <c r="DA2747" s="1" t="s">
        <v>200</v>
      </c>
      <c r="DC2747" s="1" t="s">
        <v>702</v>
      </c>
      <c r="DD2747" s="1" t="s">
        <v>518</v>
      </c>
      <c r="DE2747" s="1" t="s">
        <v>229</v>
      </c>
      <c r="DF2747" s="1" t="s">
        <v>619</v>
      </c>
      <c r="DH2747" s="1" t="s">
        <v>365</v>
      </c>
      <c r="DJ2747" s="1" t="s">
        <v>222</v>
      </c>
      <c r="DL2747" s="1" t="s">
        <v>858</v>
      </c>
      <c r="DM2747" s="1" t="s">
        <v>229</v>
      </c>
      <c r="DQ2747" s="1" t="s">
        <v>228</v>
      </c>
      <c r="DR2747" s="1" t="s">
        <v>229</v>
      </c>
      <c r="DS2747" s="1" t="s">
        <v>230</v>
      </c>
      <c r="DV2747" s="1" t="s">
        <v>232</v>
      </c>
      <c r="DW2747" s="1" t="s">
        <v>279</v>
      </c>
      <c r="DX2747" s="1" t="s">
        <v>234</v>
      </c>
      <c r="EA2747" s="1" t="s">
        <v>1075</v>
      </c>
      <c r="EC2747" s="1" t="s">
        <v>645</v>
      </c>
      <c r="EM2747" s="1" t="s">
        <v>238</v>
      </c>
      <c r="EQ2747" s="1" t="s">
        <v>238</v>
      </c>
      <c r="EU2747" s="1" t="s">
        <v>238</v>
      </c>
      <c r="EY2747" s="1" t="s">
        <v>238</v>
      </c>
      <c r="FC2747" s="1" t="s">
        <v>238</v>
      </c>
      <c r="FF2747" s="1" t="s">
        <v>239</v>
      </c>
      <c r="FG2747" s="1" t="s">
        <v>192</v>
      </c>
      <c r="FH2747" s="1" t="s">
        <v>192</v>
      </c>
      <c r="FJ2747" s="1" t="s">
        <v>524</v>
      </c>
      <c r="FK2747" s="1" t="s">
        <v>229</v>
      </c>
      <c r="FL2747" s="1" t="s">
        <v>2111</v>
      </c>
      <c r="FM2747" s="1">
        <v>12555.0</v>
      </c>
      <c r="FN2747" s="1" t="s">
        <v>2112</v>
      </c>
      <c r="FO2747" s="1" t="s">
        <v>2113</v>
      </c>
      <c r="FP2747" s="1">
        <v>130892.0</v>
      </c>
      <c r="FQ2747" s="1" t="s">
        <v>2112</v>
      </c>
      <c r="FR2747" s="1">
        <v>126892.0</v>
      </c>
      <c r="FU2747" s="1" t="s">
        <v>24271</v>
      </c>
      <c r="FV2747" s="1" t="s">
        <v>200</v>
      </c>
      <c r="FW2747" s="1" t="s">
        <v>567</v>
      </c>
      <c r="FX2747" s="1" t="s">
        <v>246</v>
      </c>
      <c r="FZ2747" s="1" t="s">
        <v>229</v>
      </c>
      <c r="GA2747" s="1" t="s">
        <v>291</v>
      </c>
      <c r="GB2747" s="2">
        <v>42123.0</v>
      </c>
      <c r="GC2747" s="1" t="s">
        <v>24272</v>
      </c>
    </row>
    <row r="2748">
      <c r="A2748" s="1">
        <v>197500.0</v>
      </c>
      <c r="B2748" s="1" t="s">
        <v>185</v>
      </c>
      <c r="C2748" s="1" t="str">
        <f>"08836136"</f>
        <v>08836136</v>
      </c>
      <c r="D2748" s="1" t="s">
        <v>186</v>
      </c>
      <c r="F2748" s="1" t="str">
        <f>"136"</f>
        <v>136</v>
      </c>
      <c r="G2748" s="2">
        <v>42046.0</v>
      </c>
      <c r="H2748" s="1">
        <v>209900.0</v>
      </c>
      <c r="I2748" s="1">
        <v>169.0</v>
      </c>
      <c r="J2748" s="1">
        <v>204900.0</v>
      </c>
      <c r="K2748" s="2">
        <v>42074.0</v>
      </c>
      <c r="L2748" s="1">
        <v>29.0</v>
      </c>
      <c r="M2748" s="2">
        <v>42074.0</v>
      </c>
      <c r="N2748" s="1" t="s">
        <v>356</v>
      </c>
      <c r="O2748" s="2">
        <v>42132.0</v>
      </c>
      <c r="P2748" s="1">
        <v>21045.0</v>
      </c>
      <c r="Q2748" s="1">
        <v>2644.0</v>
      </c>
      <c r="R2748" s="1">
        <v>1500.0</v>
      </c>
      <c r="S2748" s="1">
        <v>599.0</v>
      </c>
      <c r="T2748" s="1" t="s">
        <v>24273</v>
      </c>
      <c r="U2748" s="1" t="s">
        <v>320</v>
      </c>
      <c r="V2748" s="1" t="s">
        <v>5032</v>
      </c>
      <c r="W2748" s="1">
        <v>60136.0</v>
      </c>
      <c r="Y2748" s="1" t="s">
        <v>24274</v>
      </c>
      <c r="Z2748" s="1">
        <v>1979.0</v>
      </c>
      <c r="AA2748" s="1" t="s">
        <v>200</v>
      </c>
      <c r="AB2748" s="1" t="s">
        <v>193</v>
      </c>
      <c r="AC2748" s="1" t="s">
        <v>24275</v>
      </c>
      <c r="AD2748" s="1" t="s">
        <v>5035</v>
      </c>
      <c r="AE2748" s="1" t="s">
        <v>325</v>
      </c>
      <c r="AF2748" s="1" t="s">
        <v>810</v>
      </c>
      <c r="AH2748" s="1" t="s">
        <v>24276</v>
      </c>
      <c r="AI2748" s="1">
        <v>0.6973</v>
      </c>
      <c r="AK2748" s="1">
        <v>8.0</v>
      </c>
      <c r="AL2748" s="1">
        <v>4.0</v>
      </c>
      <c r="AM2748" s="1">
        <v>2.0</v>
      </c>
      <c r="AN2748" s="1">
        <v>0.0</v>
      </c>
      <c r="AO2748" s="1" t="s">
        <v>229</v>
      </c>
      <c r="AP2748" s="1">
        <v>1.0</v>
      </c>
      <c r="AQ2748" s="1" t="s">
        <v>472</v>
      </c>
      <c r="AR2748" s="1" t="s">
        <v>192</v>
      </c>
      <c r="AS2748" s="1" t="s">
        <v>199</v>
      </c>
      <c r="AT2748" s="1">
        <v>2.0</v>
      </c>
      <c r="AV2748" s="1" t="s">
        <v>200</v>
      </c>
      <c r="AW2748" s="1">
        <v>6643.42</v>
      </c>
      <c r="AX2748" s="1">
        <v>2013.0</v>
      </c>
      <c r="AY2748" s="1" t="s">
        <v>387</v>
      </c>
      <c r="AZ2748" s="1" t="s">
        <v>200</v>
      </c>
      <c r="BA2748" s="1" t="str">
        <f>"0330102006"</f>
        <v>0330102006</v>
      </c>
      <c r="BC2748" s="1">
        <v>2140.0</v>
      </c>
      <c r="BD2748" s="1">
        <v>197500.0</v>
      </c>
      <c r="BE2748" s="2">
        <v>42046.0</v>
      </c>
      <c r="BF2748" s="2" t="s">
        <v>24277</v>
      </c>
      <c r="BH2748" s="1">
        <v>0.0</v>
      </c>
      <c r="BK2748" s="1" t="s">
        <v>204</v>
      </c>
      <c r="BL2748" s="1" t="str">
        <f>"15"</f>
        <v>15</v>
      </c>
      <c r="BM2748" s="1" t="str">
        <f>""</f>
        <v/>
      </c>
      <c r="BN2748" s="1">
        <v>36.0</v>
      </c>
      <c r="BQ2748" s="1">
        <v>300.0</v>
      </c>
      <c r="BR2748" s="1">
        <v>300.0</v>
      </c>
      <c r="BS2748" s="1">
        <v>300.0</v>
      </c>
      <c r="BU2748" s="1" t="s">
        <v>329</v>
      </c>
      <c r="BV2748" s="1" t="s">
        <v>206</v>
      </c>
      <c r="BW2748" s="1" t="s">
        <v>210</v>
      </c>
      <c r="BX2748" s="1" t="s">
        <v>431</v>
      </c>
      <c r="BY2748" s="1" t="s">
        <v>332</v>
      </c>
      <c r="BZ2748" s="1" t="s">
        <v>206</v>
      </c>
      <c r="CA2748" s="1" t="s">
        <v>210</v>
      </c>
      <c r="CB2748" s="1" t="s">
        <v>431</v>
      </c>
      <c r="CC2748" s="1" t="s">
        <v>516</v>
      </c>
      <c r="CD2748" s="1" t="s">
        <v>206</v>
      </c>
      <c r="CE2748" s="1" t="s">
        <v>617</v>
      </c>
      <c r="CF2748" s="1" t="s">
        <v>431</v>
      </c>
      <c r="CG2748" s="1" t="s">
        <v>264</v>
      </c>
      <c r="CH2748" s="1" t="s">
        <v>206</v>
      </c>
      <c r="CI2748" s="1" t="s">
        <v>210</v>
      </c>
      <c r="CJ2748" s="1" t="s">
        <v>431</v>
      </c>
      <c r="CK2748" s="1" t="s">
        <v>495</v>
      </c>
      <c r="CL2748" s="1" t="s">
        <v>206</v>
      </c>
      <c r="CM2748" s="1" t="s">
        <v>210</v>
      </c>
      <c r="CN2748" s="1" t="s">
        <v>431</v>
      </c>
      <c r="CO2748" s="1" t="s">
        <v>454</v>
      </c>
      <c r="CP2748" s="1" t="s">
        <v>267</v>
      </c>
      <c r="CQ2748" s="1" t="s">
        <v>210</v>
      </c>
      <c r="CR2748" s="1" t="s">
        <v>431</v>
      </c>
      <c r="CS2748" s="1" t="s">
        <v>392</v>
      </c>
      <c r="CT2748" s="1" t="s">
        <v>206</v>
      </c>
      <c r="CV2748" s="1" t="s">
        <v>431</v>
      </c>
      <c r="CW2748" s="1" t="s">
        <v>346</v>
      </c>
      <c r="CX2748" s="1" t="s">
        <v>267</v>
      </c>
      <c r="CY2748" s="1" t="s">
        <v>210</v>
      </c>
      <c r="CZ2748" s="1" t="s">
        <v>431</v>
      </c>
      <c r="DA2748" s="1" t="s">
        <v>200</v>
      </c>
      <c r="DC2748" s="1" t="s">
        <v>395</v>
      </c>
      <c r="DE2748" s="1" t="s">
        <v>273</v>
      </c>
      <c r="DF2748" s="1" t="s">
        <v>219</v>
      </c>
      <c r="DH2748" s="1" t="s">
        <v>1603</v>
      </c>
      <c r="DI2748" s="1" t="s">
        <v>221</v>
      </c>
      <c r="DJ2748" s="1" t="s">
        <v>857</v>
      </c>
      <c r="DL2748" s="1" t="s">
        <v>224</v>
      </c>
      <c r="DM2748" s="1" t="s">
        <v>229</v>
      </c>
      <c r="DP2748" s="1" t="s">
        <v>340</v>
      </c>
      <c r="DQ2748" s="1" t="s">
        <v>1557</v>
      </c>
      <c r="DR2748" s="1" t="s">
        <v>229</v>
      </c>
      <c r="DS2748" s="1" t="s">
        <v>230</v>
      </c>
      <c r="DV2748" s="1" t="s">
        <v>232</v>
      </c>
      <c r="DW2748" s="1" t="s">
        <v>764</v>
      </c>
      <c r="DX2748" s="1" t="s">
        <v>234</v>
      </c>
      <c r="DZ2748" s="1" t="s">
        <v>1074</v>
      </c>
      <c r="EA2748" s="1" t="s">
        <v>554</v>
      </c>
      <c r="EB2748" s="1" t="s">
        <v>937</v>
      </c>
      <c r="EC2748" s="1" t="s">
        <v>284</v>
      </c>
      <c r="EM2748" s="1" t="s">
        <v>238</v>
      </c>
      <c r="EQ2748" s="1" t="s">
        <v>238</v>
      </c>
      <c r="EU2748" s="1" t="s">
        <v>238</v>
      </c>
      <c r="EY2748" s="1" t="s">
        <v>238</v>
      </c>
      <c r="FC2748" s="1" t="s">
        <v>238</v>
      </c>
      <c r="FF2748" s="1" t="s">
        <v>239</v>
      </c>
      <c r="FG2748" s="1" t="s">
        <v>192</v>
      </c>
      <c r="FH2748" s="1" t="s">
        <v>192</v>
      </c>
      <c r="FJ2748" s="1" t="s">
        <v>524</v>
      </c>
      <c r="FK2748" s="1" t="s">
        <v>229</v>
      </c>
      <c r="FL2748" s="1" t="s">
        <v>24278</v>
      </c>
      <c r="FM2748" s="1">
        <v>25914.0</v>
      </c>
      <c r="FN2748" s="1" t="s">
        <v>24279</v>
      </c>
      <c r="FO2748" s="1" t="s">
        <v>24280</v>
      </c>
      <c r="FP2748" s="1">
        <v>239948.0</v>
      </c>
      <c r="FU2748" s="1" t="s">
        <v>2001</v>
      </c>
      <c r="FV2748" s="1" t="s">
        <v>200</v>
      </c>
      <c r="FW2748" s="1" t="s">
        <v>530</v>
      </c>
      <c r="FZ2748" s="1" t="s">
        <v>229</v>
      </c>
      <c r="GA2748" s="1" t="s">
        <v>291</v>
      </c>
      <c r="GB2748" s="2">
        <v>42135.0</v>
      </c>
      <c r="GC2748" s="1" t="s">
        <v>24281</v>
      </c>
    </row>
    <row r="2749">
      <c r="A2749" s="1">
        <v>220000.0</v>
      </c>
      <c r="B2749" s="1" t="s">
        <v>185</v>
      </c>
      <c r="C2749" s="1" t="str">
        <f>"08835218"</f>
        <v>08835218</v>
      </c>
      <c r="D2749" s="1" t="s">
        <v>186</v>
      </c>
      <c r="F2749" s="1" t="str">
        <f>"8056"</f>
        <v>8056</v>
      </c>
      <c r="G2749" s="2">
        <v>42045.0</v>
      </c>
      <c r="H2749" s="1">
        <v>209900.0</v>
      </c>
      <c r="I2749" s="1">
        <v>10.0</v>
      </c>
      <c r="J2749" s="1">
        <v>209900.0</v>
      </c>
      <c r="K2749" s="2">
        <v>42054.0</v>
      </c>
      <c r="L2749" s="1">
        <v>10.0</v>
      </c>
      <c r="M2749" s="2">
        <v>42054.0</v>
      </c>
      <c r="N2749" s="1" t="s">
        <v>187</v>
      </c>
      <c r="O2749" s="2">
        <v>42094.0</v>
      </c>
      <c r="P2749" s="1">
        <v>607884.0</v>
      </c>
      <c r="Q2749" s="1">
        <v>25624.0</v>
      </c>
      <c r="S2749" s="1">
        <v>5438.0</v>
      </c>
      <c r="T2749" s="1" t="s">
        <v>9504</v>
      </c>
      <c r="U2749" s="1" t="s">
        <v>189</v>
      </c>
      <c r="V2749" s="1" t="s">
        <v>190</v>
      </c>
      <c r="W2749" s="1">
        <v>60638.0</v>
      </c>
      <c r="Y2749" s="1" t="s">
        <v>24282</v>
      </c>
      <c r="Z2749" s="1">
        <v>1958.0</v>
      </c>
      <c r="AA2749" s="1" t="s">
        <v>192</v>
      </c>
      <c r="AB2749" s="1" t="s">
        <v>193</v>
      </c>
      <c r="AD2749" s="1" t="s">
        <v>194</v>
      </c>
      <c r="AE2749" s="1" t="s">
        <v>195</v>
      </c>
      <c r="AF2749" s="1" t="s">
        <v>659</v>
      </c>
      <c r="AH2749" s="1" t="s">
        <v>24283</v>
      </c>
      <c r="AK2749" s="1">
        <v>6.0</v>
      </c>
      <c r="AL2749" s="1">
        <v>3.0</v>
      </c>
      <c r="AM2749" s="1">
        <v>1.0</v>
      </c>
      <c r="AN2749" s="1">
        <v>1.0</v>
      </c>
      <c r="AO2749" s="1" t="s">
        <v>229</v>
      </c>
      <c r="AQ2749" s="1" t="s">
        <v>198</v>
      </c>
      <c r="AR2749" s="1" t="s">
        <v>200</v>
      </c>
      <c r="AS2749" s="1" t="s">
        <v>199</v>
      </c>
      <c r="AT2749" s="1">
        <v>2.0</v>
      </c>
      <c r="AV2749" s="1" t="s">
        <v>200</v>
      </c>
      <c r="AW2749" s="1">
        <v>2860.24</v>
      </c>
      <c r="AX2749" s="1">
        <v>2013.0</v>
      </c>
      <c r="AY2749" s="1" t="s">
        <v>229</v>
      </c>
      <c r="AZ2749" s="1" t="s">
        <v>200</v>
      </c>
      <c r="BA2749" s="1" t="str">
        <f>"19073240290000"</f>
        <v>19073240290000</v>
      </c>
      <c r="BC2749" s="1">
        <v>1204.0</v>
      </c>
      <c r="BD2749" s="1">
        <v>220000.0</v>
      </c>
      <c r="BE2749" s="2">
        <v>42045.0</v>
      </c>
      <c r="BF2749" s="2" t="s">
        <v>24284</v>
      </c>
      <c r="BH2749" s="1">
        <v>0.0</v>
      </c>
      <c r="BK2749" s="1" t="s">
        <v>204</v>
      </c>
      <c r="BL2749" s="1" t="str">
        <f t="shared" ref="BL2749:BM2749" si="1789">"0"</f>
        <v>0</v>
      </c>
      <c r="BM2749" s="1" t="str">
        <f t="shared" si="1789"/>
        <v>0</v>
      </c>
      <c r="BN2749" s="1">
        <v>7100.0</v>
      </c>
      <c r="BO2749" s="1">
        <v>5438.0</v>
      </c>
      <c r="BQ2749" s="1">
        <v>299.0</v>
      </c>
      <c r="BR2749" s="1">
        <v>299.0</v>
      </c>
      <c r="BS2749" s="1">
        <v>299.0</v>
      </c>
      <c r="BU2749" s="1" t="s">
        <v>205</v>
      </c>
      <c r="BV2749" s="1" t="s">
        <v>206</v>
      </c>
      <c r="BW2749" s="1" t="s">
        <v>210</v>
      </c>
      <c r="BY2749" s="1" t="s">
        <v>497</v>
      </c>
      <c r="BZ2749" s="1" t="s">
        <v>206</v>
      </c>
      <c r="CA2749" s="1" t="s">
        <v>210</v>
      </c>
      <c r="CD2749" s="1" t="s">
        <v>204</v>
      </c>
      <c r="CG2749" s="1" t="s">
        <v>212</v>
      </c>
      <c r="CH2749" s="1" t="s">
        <v>206</v>
      </c>
      <c r="CI2749" s="1" t="s">
        <v>207</v>
      </c>
      <c r="CK2749" s="1" t="s">
        <v>264</v>
      </c>
      <c r="CL2749" s="1" t="s">
        <v>206</v>
      </c>
      <c r="CM2749" s="1" t="s">
        <v>210</v>
      </c>
      <c r="CO2749" s="1" t="s">
        <v>495</v>
      </c>
      <c r="CP2749" s="1" t="s">
        <v>42</v>
      </c>
      <c r="CQ2749" s="1" t="s">
        <v>210</v>
      </c>
      <c r="CS2749" s="1" t="s">
        <v>2224</v>
      </c>
      <c r="CT2749" s="1" t="s">
        <v>206</v>
      </c>
      <c r="CU2749" s="1" t="s">
        <v>617</v>
      </c>
      <c r="CX2749" s="1" t="s">
        <v>204</v>
      </c>
      <c r="DA2749" s="1" t="s">
        <v>200</v>
      </c>
      <c r="DC2749" s="1" t="s">
        <v>271</v>
      </c>
      <c r="DE2749" s="1" t="s">
        <v>273</v>
      </c>
      <c r="DF2749" s="1" t="s">
        <v>219</v>
      </c>
      <c r="DH2749" s="1" t="s">
        <v>307</v>
      </c>
      <c r="DJ2749" s="1" t="s">
        <v>222</v>
      </c>
      <c r="DL2749" s="1" t="s">
        <v>858</v>
      </c>
      <c r="DM2749" s="1" t="s">
        <v>1247</v>
      </c>
      <c r="DQ2749" s="1" t="s">
        <v>794</v>
      </c>
      <c r="DR2749" s="1" t="s">
        <v>229</v>
      </c>
      <c r="DV2749" s="1" t="s">
        <v>232</v>
      </c>
      <c r="DW2749" s="1" t="s">
        <v>279</v>
      </c>
      <c r="DX2749" s="1" t="s">
        <v>309</v>
      </c>
      <c r="DZ2749" s="1" t="s">
        <v>1466</v>
      </c>
      <c r="EA2749" s="1" t="s">
        <v>683</v>
      </c>
      <c r="EC2749" s="1" t="s">
        <v>311</v>
      </c>
      <c r="EM2749" s="1" t="s">
        <v>238</v>
      </c>
      <c r="EQ2749" s="1" t="s">
        <v>238</v>
      </c>
      <c r="EU2749" s="1" t="s">
        <v>238</v>
      </c>
      <c r="EY2749" s="1" t="s">
        <v>238</v>
      </c>
      <c r="FC2749" s="1" t="s">
        <v>238</v>
      </c>
      <c r="FF2749" s="1" t="s">
        <v>239</v>
      </c>
      <c r="FG2749" s="1" t="s">
        <v>192</v>
      </c>
      <c r="FH2749" s="1" t="s">
        <v>192</v>
      </c>
      <c r="FJ2749" s="1" t="s">
        <v>4471</v>
      </c>
      <c r="FK2749" s="1" t="s">
        <v>229</v>
      </c>
      <c r="FL2749" s="1" t="s">
        <v>1289</v>
      </c>
      <c r="FM2749" s="1">
        <v>12174.0</v>
      </c>
      <c r="FN2749" s="1" t="s">
        <v>9040</v>
      </c>
      <c r="FO2749" s="1" t="s">
        <v>9041</v>
      </c>
      <c r="FP2749" s="1">
        <v>116577.0</v>
      </c>
      <c r="FQ2749" s="1" t="s">
        <v>9042</v>
      </c>
      <c r="FU2749" s="1" t="s">
        <v>24285</v>
      </c>
      <c r="FV2749" s="1" t="s">
        <v>200</v>
      </c>
      <c r="FW2749" s="1" t="s">
        <v>290</v>
      </c>
      <c r="FX2749" s="1" t="s">
        <v>655</v>
      </c>
      <c r="FZ2749" s="1" t="s">
        <v>229</v>
      </c>
      <c r="GA2749" s="1" t="s">
        <v>291</v>
      </c>
      <c r="GB2749" s="2">
        <v>42095.0</v>
      </c>
      <c r="GC2749" s="1" t="s">
        <v>24286</v>
      </c>
    </row>
    <row r="2750">
      <c r="A2750" s="1">
        <v>277500.0</v>
      </c>
      <c r="B2750" s="1" t="s">
        <v>185</v>
      </c>
      <c r="C2750" s="1" t="str">
        <f>"08833448"</f>
        <v>08833448</v>
      </c>
      <c r="D2750" s="1" t="s">
        <v>186</v>
      </c>
      <c r="F2750" s="1" t="str">
        <f>"136"</f>
        <v>136</v>
      </c>
      <c r="G2750" s="2">
        <v>42042.0</v>
      </c>
      <c r="H2750" s="1">
        <v>289000.0</v>
      </c>
      <c r="I2750" s="1">
        <v>27.0</v>
      </c>
      <c r="J2750" s="1">
        <v>289000.0</v>
      </c>
      <c r="K2750" s="2">
        <v>42067.0</v>
      </c>
      <c r="L2750" s="1">
        <v>27.0</v>
      </c>
      <c r="M2750" s="2">
        <v>42067.0</v>
      </c>
      <c r="N2750" s="1" t="s">
        <v>187</v>
      </c>
      <c r="O2750" s="2">
        <v>42137.0</v>
      </c>
      <c r="P2750" s="1">
        <v>236517.0</v>
      </c>
      <c r="Q2750" s="1">
        <v>22975.0</v>
      </c>
      <c r="S2750" s="1">
        <v>198.0</v>
      </c>
      <c r="T2750" s="1" t="s">
        <v>24287</v>
      </c>
      <c r="U2750" s="1" t="s">
        <v>420</v>
      </c>
      <c r="V2750" s="1" t="s">
        <v>5032</v>
      </c>
      <c r="W2750" s="1">
        <v>60136.0</v>
      </c>
      <c r="Y2750" s="1" t="s">
        <v>24288</v>
      </c>
      <c r="Z2750" s="1">
        <v>2003.0</v>
      </c>
      <c r="AA2750" s="1" t="s">
        <v>200</v>
      </c>
      <c r="AB2750" s="1" t="s">
        <v>193</v>
      </c>
      <c r="AC2750" s="1" t="s">
        <v>10785</v>
      </c>
      <c r="AD2750" s="1" t="s">
        <v>5035</v>
      </c>
      <c r="AE2750" s="1" t="s">
        <v>325</v>
      </c>
      <c r="AF2750" s="1" t="s">
        <v>3429</v>
      </c>
      <c r="AH2750" s="1" t="s">
        <v>2937</v>
      </c>
      <c r="AI2750" s="1">
        <v>0.24</v>
      </c>
      <c r="AK2750" s="1">
        <v>9.0</v>
      </c>
      <c r="AL2750" s="1">
        <v>4.0</v>
      </c>
      <c r="AM2750" s="1">
        <v>2.0</v>
      </c>
      <c r="AN2750" s="1">
        <v>1.0</v>
      </c>
      <c r="AO2750" s="1" t="s">
        <v>198</v>
      </c>
      <c r="AP2750" s="1">
        <v>1.0</v>
      </c>
      <c r="AQ2750" s="1" t="s">
        <v>198</v>
      </c>
      <c r="AR2750" s="1" t="s">
        <v>200</v>
      </c>
      <c r="AS2750" s="1" t="s">
        <v>199</v>
      </c>
      <c r="AT2750" s="1">
        <v>2.0</v>
      </c>
      <c r="AV2750" s="1" t="s">
        <v>200</v>
      </c>
      <c r="AW2750" s="6">
        <v>9765.0</v>
      </c>
      <c r="AX2750" s="1">
        <v>2013.0</v>
      </c>
      <c r="AY2750" s="1" t="s">
        <v>387</v>
      </c>
      <c r="AZ2750" s="1" t="s">
        <v>192</v>
      </c>
      <c r="BA2750" s="1" t="str">
        <f>"0236152002"</f>
        <v>0236152002</v>
      </c>
      <c r="BB2750" s="1" t="s">
        <v>200</v>
      </c>
      <c r="BC2750" s="1">
        <v>3200.0</v>
      </c>
      <c r="BD2750" s="1">
        <v>277500.0</v>
      </c>
      <c r="BE2750" s="2">
        <v>42041.0</v>
      </c>
      <c r="BF2750" s="2" t="s">
        <v>24289</v>
      </c>
      <c r="BH2750" s="1">
        <v>320.0</v>
      </c>
      <c r="BK2750" s="1" t="s">
        <v>580</v>
      </c>
      <c r="BL2750" s="1" t="str">
        <f>"15"</f>
        <v>15</v>
      </c>
      <c r="BM2750" s="1" t="str">
        <f>"0"</f>
        <v>0</v>
      </c>
      <c r="BN2750" s="1">
        <v>39.0</v>
      </c>
      <c r="BO2750" s="1">
        <v>0.0</v>
      </c>
      <c r="BQ2750" s="1">
        <v>300.0</v>
      </c>
      <c r="BR2750" s="1">
        <v>300.0</v>
      </c>
      <c r="BS2750" s="1">
        <v>300.0</v>
      </c>
      <c r="BU2750" s="1" t="s">
        <v>363</v>
      </c>
      <c r="BV2750" s="1" t="s">
        <v>206</v>
      </c>
      <c r="BW2750" s="1" t="s">
        <v>207</v>
      </c>
      <c r="BX2750" s="1" t="s">
        <v>1549</v>
      </c>
      <c r="BY2750" s="1" t="s">
        <v>1825</v>
      </c>
      <c r="BZ2750" s="1" t="s">
        <v>209</v>
      </c>
      <c r="CA2750" s="1" t="s">
        <v>207</v>
      </c>
      <c r="CB2750" s="1" t="s">
        <v>1549</v>
      </c>
      <c r="CC2750" s="1" t="s">
        <v>363</v>
      </c>
      <c r="CD2750" s="1" t="s">
        <v>206</v>
      </c>
      <c r="CE2750" s="1" t="s">
        <v>207</v>
      </c>
      <c r="CF2750" s="1" t="s">
        <v>1549</v>
      </c>
      <c r="CG2750" s="1" t="s">
        <v>211</v>
      </c>
      <c r="CH2750" s="1" t="s">
        <v>209</v>
      </c>
      <c r="CI2750" s="1" t="s">
        <v>207</v>
      </c>
      <c r="CJ2750" s="1" t="s">
        <v>1549</v>
      </c>
      <c r="CK2750" s="1" t="s">
        <v>329</v>
      </c>
      <c r="CL2750" s="1" t="s">
        <v>209</v>
      </c>
      <c r="CM2750" s="1" t="s">
        <v>207</v>
      </c>
      <c r="CN2750" s="1" t="s">
        <v>1549</v>
      </c>
      <c r="CO2750" s="1" t="s">
        <v>433</v>
      </c>
      <c r="CP2750" s="1" t="s">
        <v>209</v>
      </c>
      <c r="CQ2750" s="1" t="s">
        <v>207</v>
      </c>
      <c r="CR2750" s="1" t="s">
        <v>1549</v>
      </c>
      <c r="CS2750" s="1" t="s">
        <v>515</v>
      </c>
      <c r="CT2750" s="1" t="s">
        <v>206</v>
      </c>
      <c r="CU2750" s="1" t="s">
        <v>207</v>
      </c>
      <c r="CV2750" s="1" t="s">
        <v>1549</v>
      </c>
      <c r="CW2750" s="1" t="s">
        <v>3202</v>
      </c>
      <c r="CX2750" s="1" t="s">
        <v>206</v>
      </c>
      <c r="CY2750" s="1" t="s">
        <v>207</v>
      </c>
      <c r="CZ2750" s="1" t="s">
        <v>1549</v>
      </c>
      <c r="DA2750" s="1" t="s">
        <v>200</v>
      </c>
      <c r="DC2750" s="1" t="s">
        <v>335</v>
      </c>
      <c r="DD2750" s="1" t="s">
        <v>336</v>
      </c>
      <c r="DE2750" s="1" t="s">
        <v>273</v>
      </c>
      <c r="DF2750" s="1" t="s">
        <v>219</v>
      </c>
      <c r="DG2750" s="1" t="s">
        <v>337</v>
      </c>
      <c r="DH2750" s="1" t="s">
        <v>220</v>
      </c>
      <c r="DI2750" s="1" t="s">
        <v>959</v>
      </c>
      <c r="DJ2750" s="1" t="s">
        <v>222</v>
      </c>
      <c r="DK2750" s="1" t="s">
        <v>223</v>
      </c>
      <c r="DL2750" s="1" t="s">
        <v>223</v>
      </c>
      <c r="DM2750" s="1" t="s">
        <v>338</v>
      </c>
      <c r="DN2750" s="1" t="s">
        <v>548</v>
      </c>
      <c r="DO2750" s="1" t="s">
        <v>440</v>
      </c>
      <c r="DP2750" s="1" t="s">
        <v>340</v>
      </c>
      <c r="DQ2750" s="1" t="s">
        <v>228</v>
      </c>
      <c r="DR2750" s="1" t="s">
        <v>588</v>
      </c>
      <c r="DS2750" s="1" t="s">
        <v>230</v>
      </c>
      <c r="DV2750" s="1" t="s">
        <v>5001</v>
      </c>
      <c r="DW2750" s="1" t="s">
        <v>233</v>
      </c>
      <c r="DX2750" s="1" t="s">
        <v>234</v>
      </c>
      <c r="DZ2750" s="1" t="s">
        <v>282</v>
      </c>
      <c r="EA2750" s="1" t="s">
        <v>1027</v>
      </c>
      <c r="EB2750" s="1" t="s">
        <v>492</v>
      </c>
      <c r="EC2750" s="1" t="s">
        <v>237</v>
      </c>
      <c r="ED2750" s="1" t="s">
        <v>555</v>
      </c>
      <c r="EE2750" s="1" t="s">
        <v>493</v>
      </c>
      <c r="EG2750" s="1" t="s">
        <v>408</v>
      </c>
      <c r="EH2750" s="1" t="s">
        <v>341</v>
      </c>
      <c r="EL2750" s="1" t="s">
        <v>375</v>
      </c>
      <c r="EM2750" s="1" t="s">
        <v>206</v>
      </c>
      <c r="EN2750" s="1" t="s">
        <v>207</v>
      </c>
      <c r="EO2750" s="1" t="s">
        <v>229</v>
      </c>
      <c r="EP2750" s="1" t="s">
        <v>333</v>
      </c>
      <c r="EQ2750" s="1" t="s">
        <v>209</v>
      </c>
      <c r="ER2750" s="1" t="s">
        <v>207</v>
      </c>
      <c r="ES2750" s="1" t="s">
        <v>1549</v>
      </c>
      <c r="EU2750" s="1" t="s">
        <v>238</v>
      </c>
      <c r="EY2750" s="1" t="s">
        <v>238</v>
      </c>
      <c r="FC2750" s="1" t="s">
        <v>238</v>
      </c>
      <c r="FF2750" s="1" t="s">
        <v>239</v>
      </c>
      <c r="FG2750" s="1" t="s">
        <v>192</v>
      </c>
      <c r="FH2750" s="1" t="s">
        <v>192</v>
      </c>
      <c r="FJ2750" s="1" t="s">
        <v>24290</v>
      </c>
      <c r="FK2750" s="1" t="s">
        <v>229</v>
      </c>
      <c r="FL2750" s="1" t="s">
        <v>6261</v>
      </c>
      <c r="FM2750" s="1">
        <v>18505.0</v>
      </c>
      <c r="FN2750" s="1" t="s">
        <v>6262</v>
      </c>
      <c r="FO2750" s="1" t="s">
        <v>24291</v>
      </c>
      <c r="FP2750" s="1">
        <v>141250.0</v>
      </c>
      <c r="FQ2750" s="1" t="s">
        <v>24292</v>
      </c>
      <c r="FU2750" s="1" t="s">
        <v>24293</v>
      </c>
      <c r="FV2750" s="1" t="s">
        <v>200</v>
      </c>
      <c r="FW2750" s="1" t="s">
        <v>290</v>
      </c>
      <c r="FZ2750" s="1" t="s">
        <v>229</v>
      </c>
      <c r="GA2750" s="1" t="s">
        <v>291</v>
      </c>
      <c r="GB2750" s="2">
        <v>42138.0</v>
      </c>
      <c r="GC2750" s="1" t="s">
        <v>24294</v>
      </c>
    </row>
    <row r="2751">
      <c r="A2751" s="1">
        <v>380000.0</v>
      </c>
      <c r="B2751" s="1" t="s">
        <v>185</v>
      </c>
      <c r="C2751" s="1" t="str">
        <f>"08831321"</f>
        <v>08831321</v>
      </c>
      <c r="D2751" s="1" t="s">
        <v>186</v>
      </c>
      <c r="F2751" s="1" t="str">
        <f>"174"</f>
        <v>174</v>
      </c>
      <c r="G2751" s="2">
        <v>42039.0</v>
      </c>
      <c r="H2751" s="1">
        <v>419000.0</v>
      </c>
      <c r="I2751" s="1">
        <v>353.0</v>
      </c>
      <c r="J2751" s="1">
        <v>419000.0</v>
      </c>
      <c r="K2751" s="2">
        <v>42075.0</v>
      </c>
      <c r="L2751" s="1">
        <v>37.0</v>
      </c>
      <c r="M2751" s="2">
        <v>42075.0</v>
      </c>
      <c r="N2751" s="1" t="s">
        <v>356</v>
      </c>
      <c r="O2751" s="2">
        <v>42104.0</v>
      </c>
      <c r="P2751" s="1">
        <v>259155.0</v>
      </c>
      <c r="Q2751" s="1">
        <v>25266.0</v>
      </c>
      <c r="S2751" s="1" t="s">
        <v>24295</v>
      </c>
      <c r="T2751" s="1" t="s">
        <v>5523</v>
      </c>
      <c r="U2751" s="1" t="s">
        <v>420</v>
      </c>
      <c r="V2751" s="1" t="s">
        <v>1200</v>
      </c>
      <c r="W2751" s="1">
        <v>60175.0</v>
      </c>
      <c r="Y2751" s="1" t="s">
        <v>24296</v>
      </c>
      <c r="Z2751" s="1">
        <v>1992.0</v>
      </c>
      <c r="AA2751" s="1" t="s">
        <v>200</v>
      </c>
      <c r="AB2751" s="1" t="s">
        <v>193</v>
      </c>
      <c r="AD2751" s="1" t="s">
        <v>1089</v>
      </c>
      <c r="AE2751" s="1" t="s">
        <v>325</v>
      </c>
      <c r="AF2751" s="1" t="s">
        <v>1203</v>
      </c>
      <c r="AH2751" s="1" t="s">
        <v>24297</v>
      </c>
      <c r="AI2751" s="1">
        <v>1.25</v>
      </c>
      <c r="AK2751" s="1">
        <v>9.0</v>
      </c>
      <c r="AL2751" s="1">
        <v>4.0</v>
      </c>
      <c r="AM2751" s="1">
        <v>3.0</v>
      </c>
      <c r="AN2751" s="1">
        <v>1.0</v>
      </c>
      <c r="AO2751" s="1" t="s">
        <v>198</v>
      </c>
      <c r="AQ2751" s="1" t="s">
        <v>198</v>
      </c>
      <c r="AR2751" s="1" t="s">
        <v>192</v>
      </c>
      <c r="AS2751" s="1" t="s">
        <v>199</v>
      </c>
      <c r="AT2751" s="1">
        <v>4.0</v>
      </c>
      <c r="AV2751" s="1" t="s">
        <v>200</v>
      </c>
      <c r="AW2751" s="1">
        <v>12275.0</v>
      </c>
      <c r="AX2751" s="1">
        <v>2012.0</v>
      </c>
      <c r="AZ2751" s="1" t="s">
        <v>192</v>
      </c>
      <c r="BA2751" s="1" t="str">
        <f>"0907252007"</f>
        <v>0907252007</v>
      </c>
      <c r="BC2751" s="1">
        <v>3789.0</v>
      </c>
      <c r="BD2751" s="1">
        <v>380000.0</v>
      </c>
      <c r="BE2751" s="2">
        <v>42039.0</v>
      </c>
      <c r="BF2751" s="2" t="s">
        <v>24298</v>
      </c>
      <c r="BH2751" s="1">
        <v>400.0</v>
      </c>
      <c r="BK2751" s="1" t="s">
        <v>580</v>
      </c>
      <c r="BL2751" s="1" t="str">
        <f t="shared" ref="BL2751:BM2751" si="1790">""</f>
        <v/>
      </c>
      <c r="BM2751" s="1" t="str">
        <f t="shared" si="1790"/>
        <v/>
      </c>
      <c r="BQ2751" s="1">
        <v>303.0</v>
      </c>
      <c r="BR2751" s="1">
        <v>303.0</v>
      </c>
      <c r="BS2751" s="1">
        <v>303.0</v>
      </c>
      <c r="BU2751" s="1" t="s">
        <v>454</v>
      </c>
      <c r="BV2751" s="1" t="s">
        <v>206</v>
      </c>
      <c r="BY2751" s="1" t="s">
        <v>1534</v>
      </c>
      <c r="BZ2751" s="1" t="s">
        <v>209</v>
      </c>
      <c r="CC2751" s="1" t="s">
        <v>332</v>
      </c>
      <c r="CD2751" s="1" t="s">
        <v>206</v>
      </c>
      <c r="CG2751" s="1" t="s">
        <v>758</v>
      </c>
      <c r="CH2751" s="1" t="s">
        <v>206</v>
      </c>
      <c r="CK2751" s="1" t="s">
        <v>433</v>
      </c>
      <c r="CL2751" s="1" t="s">
        <v>209</v>
      </c>
      <c r="CO2751" s="1" t="s">
        <v>433</v>
      </c>
      <c r="CP2751" s="1" t="s">
        <v>209</v>
      </c>
      <c r="CS2751" s="1" t="s">
        <v>2155</v>
      </c>
      <c r="CT2751" s="1" t="s">
        <v>206</v>
      </c>
      <c r="CW2751" s="1" t="s">
        <v>3139</v>
      </c>
      <c r="CX2751" s="1" t="s">
        <v>206</v>
      </c>
      <c r="DA2751" s="1" t="s">
        <v>200</v>
      </c>
      <c r="DC2751" s="1" t="s">
        <v>435</v>
      </c>
      <c r="DE2751" s="1" t="s">
        <v>273</v>
      </c>
      <c r="DF2751" s="1" t="s">
        <v>219</v>
      </c>
      <c r="DH2751" s="1" t="s">
        <v>588</v>
      </c>
      <c r="DJ2751" s="1" t="s">
        <v>588</v>
      </c>
      <c r="DL2751" s="1" t="s">
        <v>858</v>
      </c>
      <c r="DM2751" s="1" t="s">
        <v>1247</v>
      </c>
      <c r="DN2751" s="1" t="s">
        <v>5920</v>
      </c>
      <c r="DO2751" s="1" t="s">
        <v>859</v>
      </c>
      <c r="DQ2751" s="1" t="s">
        <v>931</v>
      </c>
      <c r="DR2751" s="1" t="s">
        <v>588</v>
      </c>
      <c r="DV2751" s="1" t="s">
        <v>450</v>
      </c>
      <c r="DW2751" s="1" t="s">
        <v>588</v>
      </c>
      <c r="DX2751" s="1" t="s">
        <v>234</v>
      </c>
      <c r="DY2751" s="1" t="s">
        <v>2240</v>
      </c>
      <c r="EC2751" s="1" t="s">
        <v>237</v>
      </c>
      <c r="EG2751" s="1" t="s">
        <v>450</v>
      </c>
      <c r="EL2751" s="1" t="s">
        <v>2633</v>
      </c>
      <c r="EM2751" s="1" t="s">
        <v>42</v>
      </c>
      <c r="EQ2751" s="1" t="s">
        <v>238</v>
      </c>
      <c r="EU2751" s="1" t="s">
        <v>238</v>
      </c>
      <c r="EY2751" s="1" t="s">
        <v>238</v>
      </c>
      <c r="FC2751" s="1" t="s">
        <v>238</v>
      </c>
      <c r="FF2751" s="1" t="s">
        <v>239</v>
      </c>
      <c r="FG2751" s="1" t="s">
        <v>192</v>
      </c>
      <c r="FH2751" s="1" t="s">
        <v>192</v>
      </c>
      <c r="FJ2751" s="1" t="s">
        <v>6821</v>
      </c>
      <c r="FK2751" s="1" t="s">
        <v>229</v>
      </c>
      <c r="FL2751" s="1" t="s">
        <v>2854</v>
      </c>
      <c r="FM2751" s="1">
        <v>85043.0</v>
      </c>
      <c r="FN2751" s="1" t="s">
        <v>2855</v>
      </c>
      <c r="FO2751" s="1" t="s">
        <v>2856</v>
      </c>
      <c r="FP2751" s="1">
        <v>189258.0</v>
      </c>
      <c r="FU2751" s="1" t="s">
        <v>710</v>
      </c>
      <c r="FV2751" s="1" t="s">
        <v>200</v>
      </c>
      <c r="FW2751" s="1" t="s">
        <v>290</v>
      </c>
      <c r="FZ2751" s="1" t="s">
        <v>229</v>
      </c>
      <c r="GA2751" s="1" t="s">
        <v>291</v>
      </c>
      <c r="GB2751" s="2">
        <v>42107.0</v>
      </c>
      <c r="GC2751" s="1" t="s">
        <v>24299</v>
      </c>
    </row>
    <row r="2752">
      <c r="A2752" s="1">
        <v>285000.0</v>
      </c>
      <c r="B2752" s="1" t="s">
        <v>185</v>
      </c>
      <c r="C2752" s="1" t="str">
        <f>"08834334"</f>
        <v>08834334</v>
      </c>
      <c r="D2752" s="1" t="s">
        <v>186</v>
      </c>
      <c r="F2752" s="1" t="str">
        <f>"109"</f>
        <v>109</v>
      </c>
      <c r="G2752" s="2">
        <v>42044.0</v>
      </c>
      <c r="H2752" s="1">
        <v>299900.0</v>
      </c>
      <c r="I2752" s="1">
        <v>100.0</v>
      </c>
      <c r="J2752" s="1">
        <v>299900.0</v>
      </c>
      <c r="K2752" s="2">
        <v>42048.0</v>
      </c>
      <c r="L2752" s="1">
        <v>5.0</v>
      </c>
      <c r="M2752" s="2">
        <v>42048.0</v>
      </c>
      <c r="N2752" s="1" t="s">
        <v>187</v>
      </c>
      <c r="O2752" s="2">
        <v>42097.0</v>
      </c>
      <c r="P2752" s="1">
        <v>783.0</v>
      </c>
      <c r="Q2752" s="1">
        <v>30.0</v>
      </c>
      <c r="S2752" s="1">
        <v>295.0</v>
      </c>
      <c r="T2752" s="1" t="s">
        <v>18601</v>
      </c>
      <c r="U2752" s="1" t="s">
        <v>844</v>
      </c>
      <c r="V2752" s="1" t="s">
        <v>4992</v>
      </c>
      <c r="W2752" s="1">
        <v>60109.0</v>
      </c>
      <c r="Y2752" s="1" t="s">
        <v>24300</v>
      </c>
      <c r="Z2752" s="1">
        <v>2004.0</v>
      </c>
      <c r="AA2752" s="1" t="s">
        <v>200</v>
      </c>
      <c r="AB2752" s="1" t="s">
        <v>193</v>
      </c>
      <c r="AC2752" s="1" t="s">
        <v>24301</v>
      </c>
      <c r="AD2752" s="1" t="s">
        <v>4384</v>
      </c>
      <c r="AE2752" s="1" t="s">
        <v>325</v>
      </c>
      <c r="AF2752" s="1" t="s">
        <v>4384</v>
      </c>
      <c r="AH2752" s="1" t="s">
        <v>24302</v>
      </c>
      <c r="AK2752" s="1">
        <v>10.0</v>
      </c>
      <c r="AL2752" s="1">
        <v>4.0</v>
      </c>
      <c r="AM2752" s="1">
        <v>3.0</v>
      </c>
      <c r="AN2752" s="1">
        <v>0.0</v>
      </c>
      <c r="AO2752" s="1" t="s">
        <v>198</v>
      </c>
      <c r="AP2752" s="1">
        <v>2.0</v>
      </c>
      <c r="AQ2752" s="1" t="s">
        <v>198</v>
      </c>
      <c r="AR2752" s="1" t="s">
        <v>200</v>
      </c>
      <c r="AS2752" s="1" t="s">
        <v>199</v>
      </c>
      <c r="AT2752" s="1">
        <v>3.0</v>
      </c>
      <c r="AV2752" s="1" t="s">
        <v>200</v>
      </c>
      <c r="AW2752" s="1">
        <v>9565.0</v>
      </c>
      <c r="AX2752" s="1">
        <v>2013.0</v>
      </c>
      <c r="AY2752" s="1" t="s">
        <v>387</v>
      </c>
      <c r="AZ2752" s="1" t="s">
        <v>200</v>
      </c>
      <c r="BA2752" s="1" t="str">
        <f>"0409278004"</f>
        <v>0409278004</v>
      </c>
      <c r="BB2752" s="1" t="s">
        <v>200</v>
      </c>
      <c r="BC2752" s="1">
        <v>3500.0</v>
      </c>
      <c r="BD2752" s="1">
        <v>285000.0</v>
      </c>
      <c r="BE2752" s="2">
        <v>42044.0</v>
      </c>
      <c r="BF2752" s="2" t="s">
        <v>24303</v>
      </c>
      <c r="BG2752" s="1" t="s">
        <v>577</v>
      </c>
      <c r="BH2752" s="1">
        <v>0.0</v>
      </c>
      <c r="BI2752" s="1" t="s">
        <v>1975</v>
      </c>
      <c r="BJ2752" s="1" t="s">
        <v>579</v>
      </c>
      <c r="BK2752" s="1" t="s">
        <v>204</v>
      </c>
      <c r="BL2752" s="1" t="str">
        <f t="shared" ref="BL2752:BM2752" si="1791">""</f>
        <v/>
      </c>
      <c r="BM2752" s="1" t="str">
        <f t="shared" si="1791"/>
        <v/>
      </c>
      <c r="BQ2752" s="1">
        <v>301.0</v>
      </c>
      <c r="BR2752" s="1">
        <v>301.0</v>
      </c>
      <c r="BS2752" s="1">
        <v>301.0</v>
      </c>
      <c r="BU2752" s="1" t="s">
        <v>1825</v>
      </c>
      <c r="BV2752" s="1" t="s">
        <v>206</v>
      </c>
      <c r="BW2752" s="1" t="s">
        <v>207</v>
      </c>
      <c r="BX2752" s="1" t="s">
        <v>431</v>
      </c>
      <c r="BY2752" s="1" t="s">
        <v>477</v>
      </c>
      <c r="BZ2752" s="1" t="s">
        <v>391</v>
      </c>
      <c r="CA2752" s="1" t="s">
        <v>210</v>
      </c>
      <c r="CB2752" s="1" t="s">
        <v>239</v>
      </c>
      <c r="CC2752" s="1" t="s">
        <v>393</v>
      </c>
      <c r="CD2752" s="1" t="s">
        <v>206</v>
      </c>
      <c r="CE2752" s="1" t="s">
        <v>207</v>
      </c>
      <c r="CF2752" s="1" t="s">
        <v>239</v>
      </c>
      <c r="CG2752" s="1" t="s">
        <v>331</v>
      </c>
      <c r="CH2752" s="1" t="s">
        <v>391</v>
      </c>
      <c r="CI2752" s="1" t="s">
        <v>210</v>
      </c>
      <c r="CK2752" s="1" t="s">
        <v>215</v>
      </c>
      <c r="CL2752" s="1" t="s">
        <v>391</v>
      </c>
      <c r="CM2752" s="1" t="s">
        <v>210</v>
      </c>
      <c r="CO2752" s="1" t="s">
        <v>332</v>
      </c>
      <c r="CP2752" s="1" t="s">
        <v>206</v>
      </c>
      <c r="CQ2752" s="1" t="s">
        <v>207</v>
      </c>
      <c r="CR2752" s="1" t="s">
        <v>431</v>
      </c>
      <c r="CS2752" s="1" t="s">
        <v>211</v>
      </c>
      <c r="CT2752" s="1" t="s">
        <v>206</v>
      </c>
      <c r="CU2752" s="1" t="s">
        <v>207</v>
      </c>
      <c r="CV2752" s="1" t="s">
        <v>239</v>
      </c>
      <c r="CW2752" s="1" t="s">
        <v>1992</v>
      </c>
      <c r="CX2752" s="1" t="s">
        <v>209</v>
      </c>
      <c r="CY2752" s="1" t="s">
        <v>210</v>
      </c>
      <c r="CZ2752" s="1" t="s">
        <v>239</v>
      </c>
      <c r="DA2752" s="1" t="s">
        <v>200</v>
      </c>
      <c r="DC2752" s="1" t="s">
        <v>335</v>
      </c>
      <c r="DD2752" s="1" t="s">
        <v>926</v>
      </c>
      <c r="DE2752" s="1" t="s">
        <v>273</v>
      </c>
      <c r="DF2752" s="1" t="s">
        <v>219</v>
      </c>
      <c r="DG2752" s="1" t="s">
        <v>12566</v>
      </c>
      <c r="DH2752" s="1" t="s">
        <v>220</v>
      </c>
      <c r="DI2752" s="1" t="s">
        <v>732</v>
      </c>
      <c r="DJ2752" s="1" t="s">
        <v>6699</v>
      </c>
      <c r="DK2752" s="1" t="s">
        <v>223</v>
      </c>
      <c r="DL2752" s="1" t="s">
        <v>484</v>
      </c>
      <c r="DM2752" s="1" t="s">
        <v>338</v>
      </c>
      <c r="DN2752" s="1" t="s">
        <v>439</v>
      </c>
      <c r="DO2752" s="1" t="s">
        <v>2548</v>
      </c>
      <c r="DP2752" s="1" t="s">
        <v>340</v>
      </c>
      <c r="DQ2752" s="1" t="s">
        <v>1557</v>
      </c>
      <c r="DR2752" s="1" t="s">
        <v>229</v>
      </c>
      <c r="DS2752" s="1" t="s">
        <v>230</v>
      </c>
      <c r="DV2752" s="1" t="s">
        <v>24304</v>
      </c>
      <c r="DW2752" s="1" t="s">
        <v>588</v>
      </c>
      <c r="DX2752" s="1" t="s">
        <v>234</v>
      </c>
      <c r="DY2752" s="1" t="s">
        <v>8670</v>
      </c>
      <c r="DZ2752" s="1" t="s">
        <v>2424</v>
      </c>
      <c r="EA2752" s="1" t="s">
        <v>344</v>
      </c>
      <c r="EB2752" s="1" t="s">
        <v>937</v>
      </c>
      <c r="EC2752" s="1" t="s">
        <v>406</v>
      </c>
      <c r="ED2752" s="1" t="s">
        <v>407</v>
      </c>
      <c r="EG2752" s="1" t="s">
        <v>449</v>
      </c>
      <c r="EH2752" s="1" t="s">
        <v>1121</v>
      </c>
      <c r="EI2752" s="1" t="s">
        <v>408</v>
      </c>
      <c r="EL2752" s="1" t="s">
        <v>262</v>
      </c>
      <c r="EM2752" s="1" t="s">
        <v>206</v>
      </c>
      <c r="EN2752" s="1" t="s">
        <v>207</v>
      </c>
      <c r="EP2752" s="1" t="s">
        <v>4787</v>
      </c>
      <c r="EQ2752" s="1" t="s">
        <v>391</v>
      </c>
      <c r="ER2752" s="1" t="s">
        <v>210</v>
      </c>
      <c r="ET2752" s="1" t="s">
        <v>11906</v>
      </c>
      <c r="EU2752" s="1" t="s">
        <v>206</v>
      </c>
      <c r="EV2752" s="1" t="s">
        <v>207</v>
      </c>
      <c r="EY2752" s="1" t="s">
        <v>238</v>
      </c>
      <c r="FC2752" s="1" t="s">
        <v>238</v>
      </c>
      <c r="FF2752" s="1" t="s">
        <v>239</v>
      </c>
      <c r="FG2752" s="1" t="s">
        <v>192</v>
      </c>
      <c r="FH2752" s="1" t="s">
        <v>192</v>
      </c>
      <c r="FJ2752" s="1" t="s">
        <v>4181</v>
      </c>
      <c r="FK2752" s="1" t="s">
        <v>348</v>
      </c>
      <c r="FL2752" s="1" t="s">
        <v>6233</v>
      </c>
      <c r="FM2752" s="1">
        <v>7630.0</v>
      </c>
      <c r="FN2752" s="1" t="s">
        <v>6234</v>
      </c>
      <c r="FO2752" s="1" t="s">
        <v>6987</v>
      </c>
      <c r="FP2752" s="1">
        <v>70092.0</v>
      </c>
      <c r="FQ2752" s="1" t="s">
        <v>6988</v>
      </c>
      <c r="FU2752" s="1" t="s">
        <v>2086</v>
      </c>
      <c r="FV2752" s="1" t="s">
        <v>200</v>
      </c>
      <c r="FW2752" s="1" t="s">
        <v>24305</v>
      </c>
      <c r="FZ2752" s="1" t="s">
        <v>229</v>
      </c>
      <c r="GA2752" s="1" t="s">
        <v>291</v>
      </c>
      <c r="GB2752" s="2">
        <v>42097.0</v>
      </c>
      <c r="GC2752" s="1" t="s">
        <v>24306</v>
      </c>
    </row>
    <row r="2753">
      <c r="A2753" s="1">
        <v>239000.0</v>
      </c>
      <c r="B2753" s="1" t="s">
        <v>185</v>
      </c>
      <c r="C2753" s="1" t="str">
        <f>"08845599"</f>
        <v>08845599</v>
      </c>
      <c r="D2753" s="1" t="s">
        <v>186</v>
      </c>
      <c r="F2753" s="1" t="str">
        <f>"174"</f>
        <v>174</v>
      </c>
      <c r="G2753" s="2">
        <v>42059.0</v>
      </c>
      <c r="H2753" s="1">
        <v>249000.0</v>
      </c>
      <c r="I2753" s="1">
        <v>5.0</v>
      </c>
      <c r="J2753" s="1">
        <v>249000.0</v>
      </c>
      <c r="K2753" s="2">
        <v>42063.0</v>
      </c>
      <c r="L2753" s="1">
        <v>5.0</v>
      </c>
      <c r="M2753" s="2">
        <v>42063.0</v>
      </c>
      <c r="N2753" s="1" t="s">
        <v>187</v>
      </c>
      <c r="O2753" s="2">
        <v>42090.0</v>
      </c>
      <c r="P2753" s="1">
        <v>254114.0</v>
      </c>
      <c r="Q2753" s="1">
        <v>25005.0</v>
      </c>
      <c r="S2753" s="1">
        <v>735.0</v>
      </c>
      <c r="T2753" s="1" t="s">
        <v>5928</v>
      </c>
      <c r="U2753" s="1" t="s">
        <v>189</v>
      </c>
      <c r="V2753" s="1" t="s">
        <v>1200</v>
      </c>
      <c r="W2753" s="1">
        <v>60174.0</v>
      </c>
      <c r="Y2753" s="1" t="s">
        <v>24307</v>
      </c>
      <c r="Z2753" s="1">
        <v>1978.0</v>
      </c>
      <c r="AA2753" s="1" t="s">
        <v>200</v>
      </c>
      <c r="AB2753" s="1" t="s">
        <v>193</v>
      </c>
      <c r="AC2753" s="1" t="s">
        <v>5910</v>
      </c>
      <c r="AD2753" s="1" t="s">
        <v>1203</v>
      </c>
      <c r="AE2753" s="1" t="s">
        <v>325</v>
      </c>
      <c r="AF2753" s="1" t="s">
        <v>1203</v>
      </c>
      <c r="AH2753" s="1" t="s">
        <v>24308</v>
      </c>
      <c r="AI2753" s="1">
        <v>0.1678</v>
      </c>
      <c r="AK2753" s="1">
        <v>9.0</v>
      </c>
      <c r="AL2753" s="1">
        <v>4.0</v>
      </c>
      <c r="AM2753" s="1">
        <v>1.0</v>
      </c>
      <c r="AN2753" s="1">
        <v>1.0</v>
      </c>
      <c r="AO2753" s="1" t="s">
        <v>229</v>
      </c>
      <c r="AQ2753" s="1" t="s">
        <v>198</v>
      </c>
      <c r="AR2753" s="1" t="s">
        <v>200</v>
      </c>
      <c r="AS2753" s="1" t="s">
        <v>199</v>
      </c>
      <c r="AT2753" s="1">
        <v>2.0</v>
      </c>
      <c r="AV2753" s="1" t="s">
        <v>200</v>
      </c>
      <c r="AW2753" s="1">
        <v>6308.98</v>
      </c>
      <c r="AX2753" s="1">
        <v>2013.0</v>
      </c>
      <c r="AY2753" s="1" t="s">
        <v>387</v>
      </c>
      <c r="AZ2753" s="1" t="s">
        <v>200</v>
      </c>
      <c r="BA2753" s="1" t="str">
        <f>"0935129013"</f>
        <v>0935129013</v>
      </c>
      <c r="BB2753" s="1" t="s">
        <v>200</v>
      </c>
      <c r="BC2753" s="1">
        <v>1725.0</v>
      </c>
      <c r="BD2753" s="1">
        <v>239000.0</v>
      </c>
      <c r="BE2753" s="2">
        <v>42059.0</v>
      </c>
      <c r="BF2753" s="2" t="s">
        <v>24309</v>
      </c>
      <c r="BG2753" s="1" t="s">
        <v>5913</v>
      </c>
      <c r="BH2753" s="1">
        <v>0.0</v>
      </c>
      <c r="BI2753" s="1" t="s">
        <v>2143</v>
      </c>
      <c r="BJ2753" s="1" t="s">
        <v>2144</v>
      </c>
      <c r="BK2753" s="1" t="s">
        <v>204</v>
      </c>
      <c r="BL2753" s="1" t="str">
        <f>"2"</f>
        <v>2</v>
      </c>
      <c r="BM2753" s="1" t="str">
        <f t="shared" ref="BM2753:BM2754" si="1792">"0"</f>
        <v>0</v>
      </c>
      <c r="BN2753" s="1">
        <v>34.0</v>
      </c>
      <c r="BO2753" s="1">
        <v>0.0</v>
      </c>
      <c r="BQ2753" s="1">
        <v>303.0</v>
      </c>
      <c r="BR2753" s="1">
        <v>303.0</v>
      </c>
      <c r="BS2753" s="1">
        <v>303.0</v>
      </c>
      <c r="BU2753" s="1" t="s">
        <v>1426</v>
      </c>
      <c r="BV2753" s="1" t="s">
        <v>206</v>
      </c>
      <c r="BW2753" s="1" t="s">
        <v>207</v>
      </c>
      <c r="BX2753" s="1" t="s">
        <v>239</v>
      </c>
      <c r="BY2753" s="1" t="s">
        <v>925</v>
      </c>
      <c r="BZ2753" s="1" t="s">
        <v>209</v>
      </c>
      <c r="CA2753" s="1" t="s">
        <v>210</v>
      </c>
      <c r="CB2753" s="1" t="s">
        <v>239</v>
      </c>
      <c r="CC2753" s="1" t="s">
        <v>212</v>
      </c>
      <c r="CD2753" s="1" t="s">
        <v>206</v>
      </c>
      <c r="CE2753" s="1" t="s">
        <v>207</v>
      </c>
      <c r="CG2753" s="1" t="s">
        <v>212</v>
      </c>
      <c r="CH2753" s="1" t="s">
        <v>209</v>
      </c>
      <c r="CI2753" s="1" t="s">
        <v>210</v>
      </c>
      <c r="CJ2753" s="1" t="s">
        <v>239</v>
      </c>
      <c r="CK2753" s="1" t="s">
        <v>699</v>
      </c>
      <c r="CL2753" s="1" t="s">
        <v>209</v>
      </c>
      <c r="CM2753" s="1" t="s">
        <v>210</v>
      </c>
      <c r="CN2753" s="1" t="s">
        <v>239</v>
      </c>
      <c r="CO2753" s="1" t="s">
        <v>269</v>
      </c>
      <c r="CP2753" s="1" t="s">
        <v>209</v>
      </c>
      <c r="CQ2753" s="1" t="s">
        <v>210</v>
      </c>
      <c r="CR2753" s="1" t="s">
        <v>239</v>
      </c>
      <c r="CS2753" s="1" t="s">
        <v>1158</v>
      </c>
      <c r="CT2753" s="1" t="s">
        <v>206</v>
      </c>
      <c r="CU2753" s="1" t="s">
        <v>207</v>
      </c>
      <c r="CV2753" s="1" t="s">
        <v>239</v>
      </c>
      <c r="CW2753" s="1" t="s">
        <v>1426</v>
      </c>
      <c r="CX2753" s="1" t="s">
        <v>206</v>
      </c>
      <c r="CY2753" s="1" t="s">
        <v>207</v>
      </c>
      <c r="CZ2753" s="1" t="s">
        <v>239</v>
      </c>
      <c r="DA2753" s="1" t="s">
        <v>200</v>
      </c>
      <c r="DC2753" s="1" t="s">
        <v>395</v>
      </c>
      <c r="DD2753" s="1" t="s">
        <v>518</v>
      </c>
      <c r="DE2753" s="1" t="s">
        <v>273</v>
      </c>
      <c r="DF2753" s="1" t="s">
        <v>219</v>
      </c>
      <c r="DH2753" s="1" t="s">
        <v>220</v>
      </c>
      <c r="DJ2753" s="1" t="s">
        <v>222</v>
      </c>
      <c r="DL2753" s="1" t="s">
        <v>1267</v>
      </c>
      <c r="DM2753" s="1" t="s">
        <v>929</v>
      </c>
      <c r="DO2753" s="1" t="s">
        <v>440</v>
      </c>
      <c r="DP2753" s="1" t="s">
        <v>400</v>
      </c>
      <c r="DQ2753" s="1" t="s">
        <v>228</v>
      </c>
      <c r="DR2753" s="1" t="s">
        <v>229</v>
      </c>
      <c r="DS2753" s="1" t="s">
        <v>401</v>
      </c>
      <c r="DV2753" s="1" t="s">
        <v>450</v>
      </c>
      <c r="DW2753" s="1" t="s">
        <v>233</v>
      </c>
      <c r="DX2753" s="1" t="s">
        <v>234</v>
      </c>
      <c r="DY2753" s="1" t="s">
        <v>704</v>
      </c>
      <c r="DZ2753" s="1" t="s">
        <v>282</v>
      </c>
      <c r="EA2753" s="1" t="s">
        <v>447</v>
      </c>
      <c r="EC2753" s="1" t="s">
        <v>237</v>
      </c>
      <c r="ED2753" s="1" t="s">
        <v>407</v>
      </c>
      <c r="EG2753" s="1" t="s">
        <v>450</v>
      </c>
      <c r="EL2753" s="1" t="s">
        <v>17275</v>
      </c>
      <c r="EM2753" s="1" t="s">
        <v>42</v>
      </c>
      <c r="EN2753" s="1" t="s">
        <v>210</v>
      </c>
      <c r="EQ2753" s="1" t="s">
        <v>238</v>
      </c>
      <c r="EU2753" s="1" t="s">
        <v>238</v>
      </c>
      <c r="EY2753" s="1" t="s">
        <v>238</v>
      </c>
      <c r="FC2753" s="1" t="s">
        <v>238</v>
      </c>
      <c r="FF2753" s="1" t="s">
        <v>239</v>
      </c>
      <c r="FG2753" s="1" t="s">
        <v>192</v>
      </c>
      <c r="FH2753" s="1" t="s">
        <v>192</v>
      </c>
      <c r="FJ2753" s="1" t="s">
        <v>624</v>
      </c>
      <c r="FK2753" s="1" t="s">
        <v>229</v>
      </c>
      <c r="FL2753" s="1" t="s">
        <v>456</v>
      </c>
      <c r="FM2753" s="1">
        <v>49.0</v>
      </c>
      <c r="FN2753" s="1" t="s">
        <v>457</v>
      </c>
      <c r="FO2753" s="1" t="s">
        <v>24310</v>
      </c>
      <c r="FP2753" s="1">
        <v>8880.0</v>
      </c>
      <c r="FQ2753" s="1" t="s">
        <v>24311</v>
      </c>
      <c r="FU2753" s="1" t="s">
        <v>24312</v>
      </c>
      <c r="FV2753" s="1" t="s">
        <v>200</v>
      </c>
      <c r="FW2753" s="1" t="s">
        <v>24313</v>
      </c>
      <c r="FZ2753" s="1" t="s">
        <v>229</v>
      </c>
      <c r="GA2753" s="1" t="s">
        <v>291</v>
      </c>
      <c r="GB2753" s="2">
        <v>42091.0</v>
      </c>
      <c r="GC2753" s="1" t="s">
        <v>24314</v>
      </c>
    </row>
    <row r="2754">
      <c r="A2754" s="1">
        <v>473500.0</v>
      </c>
      <c r="B2754" s="1" t="s">
        <v>185</v>
      </c>
      <c r="C2754" s="1" t="str">
        <f>"08832316"</f>
        <v>08832316</v>
      </c>
      <c r="D2754" s="1" t="s">
        <v>186</v>
      </c>
      <c r="F2754" s="1" t="str">
        <f>"8015"</f>
        <v>8015</v>
      </c>
      <c r="G2754" s="2">
        <v>42040.0</v>
      </c>
      <c r="H2754" s="1">
        <v>499000.0</v>
      </c>
      <c r="I2754" s="1">
        <v>287.0</v>
      </c>
      <c r="J2754" s="1">
        <v>499000.0</v>
      </c>
      <c r="K2754" s="2">
        <v>42040.0</v>
      </c>
      <c r="L2754" s="1">
        <v>1.0</v>
      </c>
      <c r="M2754" s="2">
        <v>42040.0</v>
      </c>
      <c r="N2754" s="1" t="s">
        <v>187</v>
      </c>
      <c r="O2754" s="2">
        <v>42082.0</v>
      </c>
      <c r="P2754" s="1">
        <v>109727.0</v>
      </c>
      <c r="Q2754" s="1">
        <v>86022.0</v>
      </c>
      <c r="S2754" s="1">
        <v>5437.0</v>
      </c>
      <c r="T2754" s="1" t="s">
        <v>15948</v>
      </c>
      <c r="U2754" s="1" t="s">
        <v>320</v>
      </c>
      <c r="V2754" s="1" t="s">
        <v>190</v>
      </c>
      <c r="W2754" s="1">
        <v>60630.0</v>
      </c>
      <c r="Y2754" s="1" t="s">
        <v>24315</v>
      </c>
      <c r="Z2754" s="1">
        <v>2009.0</v>
      </c>
      <c r="AA2754" s="1" t="s">
        <v>200</v>
      </c>
      <c r="AB2754" s="1" t="s">
        <v>193</v>
      </c>
      <c r="AD2754" s="1" t="s">
        <v>194</v>
      </c>
      <c r="AE2754" s="1" t="s">
        <v>195</v>
      </c>
      <c r="AF2754" s="1" t="s">
        <v>196</v>
      </c>
      <c r="AH2754" s="1" t="s">
        <v>24316</v>
      </c>
      <c r="AI2754" s="1">
        <v>0.0</v>
      </c>
      <c r="AK2754" s="1">
        <v>9.0</v>
      </c>
      <c r="AL2754" s="1">
        <v>3.0</v>
      </c>
      <c r="AM2754" s="1">
        <v>3.0</v>
      </c>
      <c r="AN2754" s="1">
        <v>1.0</v>
      </c>
      <c r="AO2754" s="1" t="s">
        <v>198</v>
      </c>
      <c r="AP2754" s="1">
        <v>2.0</v>
      </c>
      <c r="AQ2754" s="1" t="s">
        <v>198</v>
      </c>
      <c r="AR2754" s="1" t="s">
        <v>192</v>
      </c>
      <c r="AS2754" s="1" t="s">
        <v>199</v>
      </c>
      <c r="AT2754" s="1">
        <v>2.0</v>
      </c>
      <c r="AV2754" s="1" t="s">
        <v>200</v>
      </c>
      <c r="AW2754" s="1">
        <v>10014.0</v>
      </c>
      <c r="AX2754" s="1">
        <v>2013.0</v>
      </c>
      <c r="AY2754" s="1" t="s">
        <v>229</v>
      </c>
      <c r="AZ2754" s="1" t="s">
        <v>200</v>
      </c>
      <c r="BA2754" s="1" t="str">
        <f>"13161080430000"</f>
        <v>13161080430000</v>
      </c>
      <c r="BC2754" s="1">
        <v>2666.0</v>
      </c>
      <c r="BD2754" s="1">
        <v>473500.0</v>
      </c>
      <c r="BE2754" s="2">
        <v>42040.0</v>
      </c>
      <c r="BF2754" s="2" t="s">
        <v>24317</v>
      </c>
      <c r="BH2754" s="1">
        <v>0.0</v>
      </c>
      <c r="BK2754" s="1" t="s">
        <v>204</v>
      </c>
      <c r="BL2754" s="1" t="str">
        <f>"4700"</f>
        <v>4700</v>
      </c>
      <c r="BM2754" s="1" t="str">
        <f t="shared" si="1792"/>
        <v>0</v>
      </c>
      <c r="BN2754" s="1">
        <v>5400.0</v>
      </c>
      <c r="BO2754" s="1">
        <v>0.0</v>
      </c>
      <c r="BQ2754" s="1">
        <v>299.0</v>
      </c>
      <c r="BR2754" s="1">
        <v>299.0</v>
      </c>
      <c r="BS2754" s="1">
        <v>299.0</v>
      </c>
      <c r="BU2754" s="1" t="s">
        <v>2130</v>
      </c>
      <c r="BV2754" s="1" t="s">
        <v>206</v>
      </c>
      <c r="BW2754" s="1" t="s">
        <v>207</v>
      </c>
      <c r="BY2754" s="1" t="s">
        <v>334</v>
      </c>
      <c r="BZ2754" s="1" t="s">
        <v>209</v>
      </c>
      <c r="CA2754" s="1" t="s">
        <v>207</v>
      </c>
      <c r="CC2754" s="1" t="s">
        <v>542</v>
      </c>
      <c r="CD2754" s="1" t="s">
        <v>206</v>
      </c>
      <c r="CG2754" s="1" t="s">
        <v>543</v>
      </c>
      <c r="CH2754" s="1" t="s">
        <v>209</v>
      </c>
      <c r="CI2754" s="1" t="s">
        <v>207</v>
      </c>
      <c r="CK2754" s="1" t="s">
        <v>616</v>
      </c>
      <c r="CL2754" s="1" t="s">
        <v>209</v>
      </c>
      <c r="CM2754" s="1" t="s">
        <v>207</v>
      </c>
      <c r="CO2754" s="1" t="s">
        <v>334</v>
      </c>
      <c r="CP2754" s="1" t="s">
        <v>42</v>
      </c>
      <c r="CQ2754" s="1" t="s">
        <v>210</v>
      </c>
      <c r="CS2754" s="1" t="s">
        <v>11225</v>
      </c>
      <c r="CT2754" s="1" t="s">
        <v>206</v>
      </c>
      <c r="CU2754" s="1" t="s">
        <v>207</v>
      </c>
      <c r="CW2754" s="1" t="s">
        <v>6783</v>
      </c>
      <c r="CX2754" s="1" t="s">
        <v>206</v>
      </c>
      <c r="CY2754" s="1" t="s">
        <v>207</v>
      </c>
      <c r="DA2754" s="1" t="s">
        <v>200</v>
      </c>
      <c r="DC2754" s="1" t="s">
        <v>481</v>
      </c>
      <c r="DD2754" s="1" t="s">
        <v>2094</v>
      </c>
      <c r="DE2754" s="1" t="s">
        <v>273</v>
      </c>
      <c r="DF2754" s="1" t="s">
        <v>3258</v>
      </c>
      <c r="DH2754" s="1" t="s">
        <v>365</v>
      </c>
      <c r="DI2754" s="1" t="s">
        <v>10035</v>
      </c>
      <c r="DJ2754" s="1" t="s">
        <v>222</v>
      </c>
      <c r="DL2754" s="1" t="s">
        <v>224</v>
      </c>
      <c r="DM2754" s="1" t="s">
        <v>229</v>
      </c>
      <c r="DN2754" s="1" t="s">
        <v>367</v>
      </c>
      <c r="DP2754" s="1" t="s">
        <v>276</v>
      </c>
      <c r="DQ2754" s="1" t="s">
        <v>228</v>
      </c>
      <c r="DR2754" s="1" t="s">
        <v>229</v>
      </c>
      <c r="DV2754" s="1" t="s">
        <v>450</v>
      </c>
      <c r="DW2754" s="1" t="s">
        <v>1145</v>
      </c>
      <c r="DX2754" s="1" t="s">
        <v>234</v>
      </c>
      <c r="DY2754" s="1" t="s">
        <v>6179</v>
      </c>
      <c r="DZ2754" s="1" t="s">
        <v>282</v>
      </c>
      <c r="EC2754" s="1" t="s">
        <v>237</v>
      </c>
      <c r="EG2754" s="1" t="s">
        <v>450</v>
      </c>
      <c r="EL2754" s="1" t="s">
        <v>3123</v>
      </c>
      <c r="EM2754" s="1" t="s">
        <v>42</v>
      </c>
      <c r="EN2754" s="1" t="s">
        <v>210</v>
      </c>
      <c r="EQ2754" s="1" t="s">
        <v>238</v>
      </c>
      <c r="EU2754" s="1" t="s">
        <v>238</v>
      </c>
      <c r="EY2754" s="1" t="s">
        <v>238</v>
      </c>
      <c r="FC2754" s="1" t="s">
        <v>238</v>
      </c>
      <c r="FF2754" s="1" t="s">
        <v>239</v>
      </c>
      <c r="FG2754" s="1" t="s">
        <v>192</v>
      </c>
      <c r="FH2754" s="1" t="s">
        <v>192</v>
      </c>
      <c r="FJ2754" s="1" t="s">
        <v>4122</v>
      </c>
      <c r="FK2754" s="1" t="s">
        <v>229</v>
      </c>
      <c r="FL2754" s="1" t="s">
        <v>24318</v>
      </c>
      <c r="FM2754" s="1">
        <v>86022.0</v>
      </c>
      <c r="FN2754" s="1" t="s">
        <v>24319</v>
      </c>
      <c r="FO2754" s="1" t="s">
        <v>24320</v>
      </c>
      <c r="FP2754" s="1">
        <v>109727.0</v>
      </c>
      <c r="FQ2754" s="1" t="s">
        <v>24321</v>
      </c>
      <c r="FU2754" s="1" t="s">
        <v>24322</v>
      </c>
      <c r="FV2754" s="1" t="s">
        <v>200</v>
      </c>
      <c r="FW2754" s="1" t="s">
        <v>290</v>
      </c>
      <c r="FX2754" s="1" t="s">
        <v>246</v>
      </c>
      <c r="FZ2754" s="1" t="s">
        <v>229</v>
      </c>
      <c r="GA2754" s="1" t="s">
        <v>291</v>
      </c>
      <c r="GB2754" s="2">
        <v>42083.0</v>
      </c>
    </row>
    <row r="2755">
      <c r="A2755" s="1">
        <v>483500.0</v>
      </c>
      <c r="B2755" s="1" t="s">
        <v>185</v>
      </c>
      <c r="C2755" s="1" t="str">
        <f>"08842780"</f>
        <v>08842780</v>
      </c>
      <c r="D2755" s="1" t="s">
        <v>186</v>
      </c>
      <c r="F2755" s="1" t="str">
        <f>"554"</f>
        <v>554</v>
      </c>
      <c r="G2755" s="2">
        <v>42055.0</v>
      </c>
      <c r="H2755" s="1">
        <v>514900.0</v>
      </c>
      <c r="I2755" s="1">
        <v>9.0</v>
      </c>
      <c r="J2755" s="1">
        <v>514900.0</v>
      </c>
      <c r="K2755" s="2">
        <v>42063.0</v>
      </c>
      <c r="L2755" s="1">
        <v>9.0</v>
      </c>
      <c r="M2755" s="2">
        <v>42063.0</v>
      </c>
      <c r="N2755" s="1" t="s">
        <v>249</v>
      </c>
      <c r="O2755" s="2">
        <v>42125.0</v>
      </c>
      <c r="P2755" s="1">
        <v>238198.0</v>
      </c>
      <c r="Q2755" s="1">
        <v>23705.0</v>
      </c>
      <c r="S2755" s="1">
        <v>774.0</v>
      </c>
      <c r="T2755" s="1" t="s">
        <v>24323</v>
      </c>
      <c r="U2755" s="1" t="s">
        <v>420</v>
      </c>
      <c r="V2755" s="1" t="s">
        <v>2212</v>
      </c>
      <c r="W2755" s="1">
        <v>60554.0</v>
      </c>
      <c r="Y2755" s="1" t="s">
        <v>24324</v>
      </c>
      <c r="Z2755" s="1">
        <v>1999.0</v>
      </c>
      <c r="AA2755" s="1" t="s">
        <v>200</v>
      </c>
      <c r="AB2755" s="1" t="s">
        <v>467</v>
      </c>
      <c r="AC2755" s="1" t="s">
        <v>10791</v>
      </c>
      <c r="AD2755" s="1" t="s">
        <v>1887</v>
      </c>
      <c r="AE2755" s="1" t="s">
        <v>325</v>
      </c>
      <c r="AF2755" s="1" t="s">
        <v>1887</v>
      </c>
      <c r="AH2755" s="1" t="s">
        <v>24325</v>
      </c>
      <c r="AI2755" s="1">
        <v>0.47</v>
      </c>
      <c r="AK2755" s="1">
        <v>10.0</v>
      </c>
      <c r="AL2755" s="1">
        <v>4.0</v>
      </c>
      <c r="AM2755" s="1">
        <v>4.0</v>
      </c>
      <c r="AN2755" s="1">
        <v>1.0</v>
      </c>
      <c r="AO2755" s="1" t="s">
        <v>198</v>
      </c>
      <c r="AP2755" s="1">
        <v>1.0</v>
      </c>
      <c r="AQ2755" s="1" t="s">
        <v>198</v>
      </c>
      <c r="AR2755" s="1" t="s">
        <v>192</v>
      </c>
      <c r="AS2755" s="1" t="s">
        <v>199</v>
      </c>
      <c r="AT2755" s="1">
        <v>4.0</v>
      </c>
      <c r="AV2755" s="1" t="s">
        <v>200</v>
      </c>
      <c r="AW2755" s="1">
        <v>14066.0</v>
      </c>
      <c r="AX2755" s="1">
        <v>2013.0</v>
      </c>
      <c r="AY2755" s="1" t="s">
        <v>387</v>
      </c>
      <c r="AZ2755" s="1" t="s">
        <v>200</v>
      </c>
      <c r="BA2755" s="1" t="str">
        <f>"1410205005"</f>
        <v>1410205005</v>
      </c>
      <c r="BC2755" s="1">
        <v>3914.0</v>
      </c>
      <c r="BD2755" s="1">
        <v>483500.0</v>
      </c>
      <c r="BE2755" s="2">
        <v>42055.0</v>
      </c>
      <c r="BF2755" s="2" t="s">
        <v>24326</v>
      </c>
      <c r="BG2755" s="1" t="s">
        <v>1890</v>
      </c>
      <c r="BH2755" s="1">
        <v>300.0</v>
      </c>
      <c r="BI2755" s="1" t="s">
        <v>1635</v>
      </c>
      <c r="BJ2755" s="1" t="s">
        <v>1636</v>
      </c>
      <c r="BK2755" s="1" t="s">
        <v>580</v>
      </c>
      <c r="BL2755" s="1" t="str">
        <f t="shared" ref="BL2755:BM2755" si="1793">""</f>
        <v/>
      </c>
      <c r="BM2755" s="1" t="str">
        <f t="shared" si="1793"/>
        <v/>
      </c>
      <c r="BQ2755" s="1">
        <v>302.0</v>
      </c>
      <c r="BR2755" s="1">
        <v>302.0</v>
      </c>
      <c r="BS2755" s="1">
        <v>302.0</v>
      </c>
      <c r="BU2755" s="1" t="s">
        <v>478</v>
      </c>
      <c r="BV2755" s="1" t="s">
        <v>206</v>
      </c>
      <c r="BW2755" s="1" t="s">
        <v>210</v>
      </c>
      <c r="BX2755" s="1" t="s">
        <v>239</v>
      </c>
      <c r="BY2755" s="1" t="s">
        <v>1518</v>
      </c>
      <c r="BZ2755" s="1" t="s">
        <v>209</v>
      </c>
      <c r="CA2755" s="1" t="s">
        <v>210</v>
      </c>
      <c r="CB2755" s="1" t="s">
        <v>239</v>
      </c>
      <c r="CC2755" s="1" t="s">
        <v>329</v>
      </c>
      <c r="CD2755" s="1" t="s">
        <v>206</v>
      </c>
      <c r="CE2755" s="1" t="s">
        <v>210</v>
      </c>
      <c r="CF2755" s="1" t="s">
        <v>239</v>
      </c>
      <c r="CG2755" s="1" t="s">
        <v>1064</v>
      </c>
      <c r="CH2755" s="1" t="s">
        <v>209</v>
      </c>
      <c r="CI2755" s="1" t="s">
        <v>210</v>
      </c>
      <c r="CJ2755" s="1" t="s">
        <v>239</v>
      </c>
      <c r="CK2755" s="1" t="s">
        <v>1063</v>
      </c>
      <c r="CL2755" s="1" t="s">
        <v>209</v>
      </c>
      <c r="CM2755" s="1" t="s">
        <v>210</v>
      </c>
      <c r="CN2755" s="1" t="s">
        <v>239</v>
      </c>
      <c r="CO2755" s="1" t="s">
        <v>363</v>
      </c>
      <c r="CP2755" s="1" t="s">
        <v>209</v>
      </c>
      <c r="CQ2755" s="1" t="s">
        <v>210</v>
      </c>
      <c r="CR2755" s="1" t="s">
        <v>239</v>
      </c>
      <c r="CS2755" s="1" t="s">
        <v>1069</v>
      </c>
      <c r="CT2755" s="1" t="s">
        <v>206</v>
      </c>
      <c r="CU2755" s="1" t="s">
        <v>207</v>
      </c>
      <c r="CV2755" s="1" t="s">
        <v>239</v>
      </c>
      <c r="CW2755" s="1" t="s">
        <v>5414</v>
      </c>
      <c r="CX2755" s="1" t="s">
        <v>206</v>
      </c>
      <c r="CY2755" s="1" t="s">
        <v>210</v>
      </c>
      <c r="CZ2755" s="1" t="s">
        <v>239</v>
      </c>
      <c r="DA2755" s="1" t="s">
        <v>200</v>
      </c>
      <c r="DC2755" s="1" t="s">
        <v>678</v>
      </c>
      <c r="DD2755" s="1" t="s">
        <v>586</v>
      </c>
      <c r="DE2755" s="1" t="s">
        <v>273</v>
      </c>
      <c r="DF2755" s="1" t="s">
        <v>219</v>
      </c>
      <c r="DG2755" s="1" t="s">
        <v>1140</v>
      </c>
      <c r="DH2755" s="1" t="s">
        <v>220</v>
      </c>
      <c r="DI2755" s="1" t="s">
        <v>10035</v>
      </c>
      <c r="DJ2755" s="1" t="s">
        <v>222</v>
      </c>
      <c r="DL2755" s="1" t="s">
        <v>224</v>
      </c>
      <c r="DM2755" s="1" t="s">
        <v>1268</v>
      </c>
      <c r="DN2755" s="1" t="s">
        <v>399</v>
      </c>
      <c r="DO2755" s="1" t="s">
        <v>1556</v>
      </c>
      <c r="DP2755" s="1" t="s">
        <v>340</v>
      </c>
      <c r="DQ2755" s="1" t="s">
        <v>441</v>
      </c>
      <c r="DR2755" s="1" t="s">
        <v>1487</v>
      </c>
      <c r="DS2755" s="1" t="s">
        <v>591</v>
      </c>
      <c r="DU2755" s="1" t="s">
        <v>24327</v>
      </c>
      <c r="DV2755" s="1" t="s">
        <v>24328</v>
      </c>
      <c r="DW2755" s="1" t="s">
        <v>764</v>
      </c>
      <c r="DX2755" s="1" t="s">
        <v>234</v>
      </c>
      <c r="DY2755" s="1" t="s">
        <v>6654</v>
      </c>
      <c r="DZ2755" s="1" t="s">
        <v>24329</v>
      </c>
      <c r="EB2755" s="1" t="s">
        <v>492</v>
      </c>
      <c r="EC2755" s="1" t="s">
        <v>237</v>
      </c>
      <c r="ED2755" s="1" t="s">
        <v>10039</v>
      </c>
      <c r="EE2755" s="1" t="s">
        <v>493</v>
      </c>
      <c r="EG2755" s="1" t="s">
        <v>1164</v>
      </c>
      <c r="EH2755" s="1" t="s">
        <v>451</v>
      </c>
      <c r="EI2755" s="1" t="s">
        <v>2971</v>
      </c>
      <c r="EL2755" s="1" t="s">
        <v>20210</v>
      </c>
      <c r="EM2755" s="1" t="s">
        <v>42</v>
      </c>
      <c r="EN2755" s="1" t="s">
        <v>210</v>
      </c>
      <c r="EP2755" s="1" t="s">
        <v>2047</v>
      </c>
      <c r="EQ2755" s="1" t="s">
        <v>42</v>
      </c>
      <c r="ER2755" s="1" t="s">
        <v>210</v>
      </c>
      <c r="ET2755" s="1" t="s">
        <v>1351</v>
      </c>
      <c r="EU2755" s="1" t="s">
        <v>42</v>
      </c>
      <c r="EV2755" s="1" t="s">
        <v>268</v>
      </c>
      <c r="EY2755" s="1" t="s">
        <v>238</v>
      </c>
      <c r="FC2755" s="1" t="s">
        <v>238</v>
      </c>
      <c r="FF2755" s="1" t="s">
        <v>239</v>
      </c>
      <c r="FG2755" s="1" t="s">
        <v>192</v>
      </c>
      <c r="FH2755" s="1" t="s">
        <v>192</v>
      </c>
      <c r="FJ2755" s="1" t="s">
        <v>524</v>
      </c>
      <c r="FK2755" s="1" t="s">
        <v>229</v>
      </c>
      <c r="FL2755" s="1" t="s">
        <v>17724</v>
      </c>
      <c r="FM2755" s="1">
        <v>23705.0</v>
      </c>
      <c r="FN2755" s="1" t="s">
        <v>17725</v>
      </c>
      <c r="FO2755" s="1" t="s">
        <v>17726</v>
      </c>
      <c r="FP2755" s="1">
        <v>238198.0</v>
      </c>
      <c r="FQ2755" s="1" t="s">
        <v>17727</v>
      </c>
      <c r="FS2755" s="1" t="s">
        <v>24330</v>
      </c>
      <c r="FU2755" s="1" t="s">
        <v>24331</v>
      </c>
      <c r="FV2755" s="1" t="s">
        <v>200</v>
      </c>
      <c r="FW2755" s="1" t="s">
        <v>290</v>
      </c>
      <c r="FZ2755" s="1" t="s">
        <v>229</v>
      </c>
      <c r="GA2755" s="1" t="s">
        <v>291</v>
      </c>
      <c r="GB2755" s="2">
        <v>42125.0</v>
      </c>
      <c r="GC2755" s="1" t="s">
        <v>24332</v>
      </c>
    </row>
    <row r="2756">
      <c r="A2756" s="1">
        <v>360000.0</v>
      </c>
      <c r="B2756" s="1" t="s">
        <v>185</v>
      </c>
      <c r="C2756" s="1" t="str">
        <f>"08829175"</f>
        <v>08829175</v>
      </c>
      <c r="D2756" s="1" t="s">
        <v>186</v>
      </c>
      <c r="F2756" s="1" t="str">
        <f>"8074"</f>
        <v>8074</v>
      </c>
      <c r="G2756" s="2">
        <v>42037.0</v>
      </c>
      <c r="H2756" s="1">
        <v>370000.0</v>
      </c>
      <c r="I2756" s="1">
        <v>52.0</v>
      </c>
      <c r="J2756" s="1">
        <v>370000.0</v>
      </c>
      <c r="K2756" s="2">
        <v>42040.0</v>
      </c>
      <c r="L2756" s="1">
        <v>4.0</v>
      </c>
      <c r="M2756" s="2">
        <v>42040.0</v>
      </c>
      <c r="N2756" s="1" t="s">
        <v>187</v>
      </c>
      <c r="O2756" s="2">
        <v>42089.0</v>
      </c>
      <c r="P2756" s="1">
        <v>602156.0</v>
      </c>
      <c r="Q2756" s="1">
        <v>24896.0</v>
      </c>
      <c r="S2756" s="1">
        <v>3422.0</v>
      </c>
      <c r="T2756" s="1" t="s">
        <v>15005</v>
      </c>
      <c r="U2756" s="1" t="s">
        <v>694</v>
      </c>
      <c r="V2756" s="1" t="s">
        <v>190</v>
      </c>
      <c r="W2756" s="1">
        <v>60655.0</v>
      </c>
      <c r="Y2756" s="1" t="s">
        <v>24333</v>
      </c>
      <c r="Z2756" s="1">
        <v>1924.0</v>
      </c>
      <c r="AA2756" s="1" t="s">
        <v>192</v>
      </c>
      <c r="AB2756" s="1" t="s">
        <v>193</v>
      </c>
      <c r="AD2756" s="1" t="s">
        <v>194</v>
      </c>
      <c r="AE2756" s="1" t="s">
        <v>195</v>
      </c>
      <c r="AF2756" s="1" t="s">
        <v>1154</v>
      </c>
      <c r="AH2756" s="1" t="s">
        <v>16805</v>
      </c>
      <c r="AI2756" s="1">
        <v>0.0729</v>
      </c>
      <c r="AK2756" s="1">
        <v>9.0</v>
      </c>
      <c r="AL2756" s="1">
        <v>4.0</v>
      </c>
      <c r="AM2756" s="1">
        <v>2.0</v>
      </c>
      <c r="AN2756" s="1">
        <v>1.0</v>
      </c>
      <c r="AO2756" s="1" t="s">
        <v>198</v>
      </c>
      <c r="AQ2756" s="1" t="s">
        <v>198</v>
      </c>
      <c r="AR2756" s="1" t="s">
        <v>200</v>
      </c>
      <c r="AS2756" s="1" t="s">
        <v>199</v>
      </c>
      <c r="AT2756" s="1">
        <v>2.0</v>
      </c>
      <c r="AV2756" s="1" t="s">
        <v>200</v>
      </c>
      <c r="AW2756" s="1">
        <v>3369.48</v>
      </c>
      <c r="AX2756" s="1">
        <v>2012.0</v>
      </c>
      <c r="AZ2756" s="1" t="s">
        <v>200</v>
      </c>
      <c r="BA2756" s="1" t="str">
        <f>"24234010380000"</f>
        <v>24234010380000</v>
      </c>
      <c r="BB2756" s="1" t="s">
        <v>192</v>
      </c>
      <c r="BC2756" s="1">
        <v>2100.0</v>
      </c>
      <c r="BD2756" s="1">
        <v>360000.0</v>
      </c>
      <c r="BE2756" s="2">
        <v>42037.0</v>
      </c>
      <c r="BF2756" s="2" t="s">
        <v>24334</v>
      </c>
      <c r="BG2756" s="1" t="s">
        <v>24335</v>
      </c>
      <c r="BH2756" s="1">
        <v>0.0</v>
      </c>
      <c r="BJ2756" s="1" t="s">
        <v>24336</v>
      </c>
      <c r="BK2756" s="1" t="s">
        <v>204</v>
      </c>
      <c r="BL2756" s="1" t="str">
        <f t="shared" ref="BL2756:BM2756" si="1794">"0"</f>
        <v>0</v>
      </c>
      <c r="BM2756" s="1" t="str">
        <f t="shared" si="1794"/>
        <v>0</v>
      </c>
      <c r="BN2756" s="1">
        <v>3422.0</v>
      </c>
      <c r="BO2756" s="1">
        <v>11500.0</v>
      </c>
      <c r="BQ2756" s="1">
        <v>299.0</v>
      </c>
      <c r="BR2756" s="1">
        <v>299.0</v>
      </c>
      <c r="BS2756" s="1">
        <v>299.0</v>
      </c>
      <c r="BU2756" s="1" t="s">
        <v>262</v>
      </c>
      <c r="BV2756" s="1" t="s">
        <v>206</v>
      </c>
      <c r="BW2756" s="1" t="s">
        <v>207</v>
      </c>
      <c r="BX2756" s="1" t="s">
        <v>239</v>
      </c>
      <c r="BY2756" s="1" t="s">
        <v>743</v>
      </c>
      <c r="BZ2756" s="1" t="s">
        <v>209</v>
      </c>
      <c r="CA2756" s="1" t="s">
        <v>210</v>
      </c>
      <c r="CB2756" s="1" t="s">
        <v>239</v>
      </c>
      <c r="CC2756" s="1" t="s">
        <v>699</v>
      </c>
      <c r="CD2756" s="1" t="s">
        <v>206</v>
      </c>
      <c r="CE2756" s="1" t="s">
        <v>207</v>
      </c>
      <c r="CF2756" s="1" t="s">
        <v>239</v>
      </c>
      <c r="CG2756" s="1" t="s">
        <v>212</v>
      </c>
      <c r="CH2756" s="1" t="s">
        <v>209</v>
      </c>
      <c r="CI2756" s="1" t="s">
        <v>301</v>
      </c>
      <c r="CJ2756" s="1" t="s">
        <v>239</v>
      </c>
      <c r="CK2756" s="1" t="s">
        <v>495</v>
      </c>
      <c r="CL2756" s="1" t="s">
        <v>209</v>
      </c>
      <c r="CM2756" s="1" t="s">
        <v>301</v>
      </c>
      <c r="CN2756" s="1" t="s">
        <v>239</v>
      </c>
      <c r="CO2756" s="1" t="s">
        <v>269</v>
      </c>
      <c r="CP2756" s="1" t="s">
        <v>206</v>
      </c>
      <c r="CQ2756" s="1" t="s">
        <v>210</v>
      </c>
      <c r="CR2756" s="1" t="s">
        <v>239</v>
      </c>
      <c r="CS2756" s="1" t="s">
        <v>6146</v>
      </c>
      <c r="CT2756" s="1" t="s">
        <v>206</v>
      </c>
      <c r="CU2756" s="1" t="s">
        <v>207</v>
      </c>
      <c r="CV2756" s="1" t="s">
        <v>239</v>
      </c>
      <c r="CX2756" s="1" t="s">
        <v>204</v>
      </c>
      <c r="DA2756" s="1" t="s">
        <v>200</v>
      </c>
      <c r="DC2756" s="1" t="s">
        <v>216</v>
      </c>
      <c r="DD2756" s="1" t="s">
        <v>926</v>
      </c>
      <c r="DE2756" s="1" t="s">
        <v>273</v>
      </c>
      <c r="DF2756" s="1" t="s">
        <v>219</v>
      </c>
      <c r="DG2756" s="1" t="s">
        <v>1002</v>
      </c>
      <c r="DH2756" s="1" t="s">
        <v>365</v>
      </c>
      <c r="DI2756" s="1" t="s">
        <v>703</v>
      </c>
      <c r="DJ2756" s="1" t="s">
        <v>222</v>
      </c>
      <c r="DK2756" s="1" t="s">
        <v>3740</v>
      </c>
      <c r="DL2756" s="1" t="s">
        <v>224</v>
      </c>
      <c r="DM2756" s="1" t="s">
        <v>1658</v>
      </c>
      <c r="DP2756" s="1" t="s">
        <v>276</v>
      </c>
      <c r="DQ2756" s="1" t="s">
        <v>228</v>
      </c>
      <c r="DR2756" s="1" t="s">
        <v>229</v>
      </c>
      <c r="DV2756" s="1" t="s">
        <v>24337</v>
      </c>
      <c r="DW2756" s="1" t="s">
        <v>233</v>
      </c>
      <c r="DX2756" s="1" t="s">
        <v>234</v>
      </c>
      <c r="DY2756" s="1" t="s">
        <v>24338</v>
      </c>
      <c r="DZ2756" s="1" t="s">
        <v>24339</v>
      </c>
      <c r="EA2756" s="1" t="s">
        <v>447</v>
      </c>
      <c r="EC2756" s="1" t="s">
        <v>237</v>
      </c>
      <c r="ED2756" s="1" t="s">
        <v>407</v>
      </c>
      <c r="EG2756" s="1" t="s">
        <v>449</v>
      </c>
      <c r="EH2756" s="1" t="s">
        <v>450</v>
      </c>
      <c r="EI2756" s="1" t="s">
        <v>1270</v>
      </c>
      <c r="EJ2756" s="1" t="s">
        <v>409</v>
      </c>
      <c r="EK2756" s="1" t="s">
        <v>310</v>
      </c>
      <c r="EL2756" s="1" t="s">
        <v>699</v>
      </c>
      <c r="EM2756" s="1" t="s">
        <v>206</v>
      </c>
      <c r="EN2756" s="1" t="s">
        <v>207</v>
      </c>
      <c r="EO2756" s="1" t="s">
        <v>239</v>
      </c>
      <c r="EP2756" s="1" t="s">
        <v>6258</v>
      </c>
      <c r="EQ2756" s="1" t="s">
        <v>42</v>
      </c>
      <c r="ER2756" s="1" t="s">
        <v>210</v>
      </c>
      <c r="ET2756" s="1" t="s">
        <v>2749</v>
      </c>
      <c r="EU2756" s="1" t="s">
        <v>42</v>
      </c>
      <c r="EX2756" s="1" t="s">
        <v>1688</v>
      </c>
      <c r="EY2756" s="1" t="s">
        <v>209</v>
      </c>
      <c r="FB2756" s="1" t="s">
        <v>393</v>
      </c>
      <c r="FC2756" s="1" t="s">
        <v>206</v>
      </c>
      <c r="FF2756" s="1" t="s">
        <v>239</v>
      </c>
      <c r="FG2756" s="1" t="s">
        <v>192</v>
      </c>
      <c r="FH2756" s="1" t="s">
        <v>192</v>
      </c>
      <c r="FJ2756" s="1" t="s">
        <v>24340</v>
      </c>
      <c r="FK2756" s="1" t="s">
        <v>229</v>
      </c>
      <c r="FL2756" s="1" t="s">
        <v>18074</v>
      </c>
      <c r="FM2756" s="1">
        <v>8758.0</v>
      </c>
      <c r="FN2756" s="1" t="s">
        <v>5976</v>
      </c>
      <c r="FO2756" s="1" t="s">
        <v>24341</v>
      </c>
      <c r="FP2756" s="1">
        <v>923422.0</v>
      </c>
      <c r="FQ2756" s="1" t="s">
        <v>24342</v>
      </c>
      <c r="FU2756" s="1" t="s">
        <v>24343</v>
      </c>
      <c r="FV2756" s="1" t="s">
        <v>200</v>
      </c>
      <c r="FW2756" s="1" t="s">
        <v>24344</v>
      </c>
      <c r="FX2756" s="1" t="s">
        <v>246</v>
      </c>
      <c r="FZ2756" s="1" t="s">
        <v>229</v>
      </c>
      <c r="GA2756" s="1" t="s">
        <v>291</v>
      </c>
      <c r="GB2756" s="2">
        <v>42090.0</v>
      </c>
      <c r="GC2756" s="1" t="s">
        <v>24345</v>
      </c>
    </row>
    <row r="2757">
      <c r="A2757" s="1">
        <v>320000.0</v>
      </c>
      <c r="B2757" s="1" t="s">
        <v>185</v>
      </c>
      <c r="C2757" s="1" t="str">
        <f>"08836887"</f>
        <v>08836887</v>
      </c>
      <c r="D2757" s="1" t="s">
        <v>186</v>
      </c>
      <c r="F2757" s="1" t="str">
        <f>"560"</f>
        <v>560</v>
      </c>
      <c r="G2757" s="2">
        <v>42047.0</v>
      </c>
      <c r="H2757" s="1">
        <v>345000.0</v>
      </c>
      <c r="I2757" s="1">
        <v>31.0</v>
      </c>
      <c r="J2757" s="1">
        <v>334800.0</v>
      </c>
      <c r="K2757" s="2">
        <v>42077.0</v>
      </c>
      <c r="L2757" s="1">
        <v>31.0</v>
      </c>
      <c r="M2757" s="2">
        <v>42077.0</v>
      </c>
      <c r="N2757" s="1" t="s">
        <v>187</v>
      </c>
      <c r="O2757" s="2">
        <v>42128.0</v>
      </c>
      <c r="P2757" s="1">
        <v>232911.0</v>
      </c>
      <c r="Q2757" s="1">
        <v>23120.0</v>
      </c>
      <c r="S2757" s="1">
        <v>1261.0</v>
      </c>
      <c r="T2757" s="1" t="s">
        <v>22514</v>
      </c>
      <c r="U2757" s="1" t="s">
        <v>569</v>
      </c>
      <c r="V2757" s="1" t="s">
        <v>845</v>
      </c>
      <c r="W2757" s="1">
        <v>60560.0</v>
      </c>
      <c r="Y2757" s="1" t="s">
        <v>24346</v>
      </c>
      <c r="Z2757" s="1">
        <v>2011.0</v>
      </c>
      <c r="AA2757" s="1" t="s">
        <v>200</v>
      </c>
      <c r="AB2757" s="1" t="s">
        <v>467</v>
      </c>
      <c r="AC2757" s="1" t="s">
        <v>24347</v>
      </c>
      <c r="AD2757" s="1" t="s">
        <v>848</v>
      </c>
      <c r="AE2757" s="1" t="s">
        <v>849</v>
      </c>
      <c r="AF2757" s="1" t="s">
        <v>1312</v>
      </c>
      <c r="AH2757" s="1" t="s">
        <v>24348</v>
      </c>
      <c r="AI2757" s="1">
        <v>0.2746</v>
      </c>
      <c r="AK2757" s="1">
        <v>10.0</v>
      </c>
      <c r="AL2757" s="1">
        <v>4.0</v>
      </c>
      <c r="AM2757" s="1">
        <v>3.0</v>
      </c>
      <c r="AN2757" s="1">
        <v>0.0</v>
      </c>
      <c r="AO2757" s="1" t="s">
        <v>198</v>
      </c>
      <c r="AQ2757" s="1" t="s">
        <v>472</v>
      </c>
      <c r="AR2757" s="1" t="s">
        <v>192</v>
      </c>
      <c r="AS2757" s="1" t="s">
        <v>199</v>
      </c>
      <c r="AT2757" s="1">
        <v>3.0</v>
      </c>
      <c r="AV2757" s="1" t="s">
        <v>200</v>
      </c>
      <c r="AW2757" s="1">
        <v>8878.94</v>
      </c>
      <c r="AX2757" s="1">
        <v>2013.0</v>
      </c>
      <c r="AY2757" s="1" t="s">
        <v>387</v>
      </c>
      <c r="AZ2757" s="1" t="s">
        <v>200</v>
      </c>
      <c r="BA2757" s="1" t="str">
        <f>"0227351013"</f>
        <v>0227351013</v>
      </c>
      <c r="BB2757" s="1" t="s">
        <v>200</v>
      </c>
      <c r="BC2757" s="1">
        <v>2214.0</v>
      </c>
      <c r="BD2757" s="1">
        <v>320000.0</v>
      </c>
      <c r="BE2757" s="2">
        <v>42047.0</v>
      </c>
      <c r="BF2757" s="2" t="s">
        <v>24349</v>
      </c>
      <c r="BH2757" s="1">
        <v>150.0</v>
      </c>
      <c r="BK2757" s="1" t="s">
        <v>580</v>
      </c>
      <c r="BL2757" s="1" t="str">
        <f t="shared" ref="BL2757:BM2757" si="1795">""</f>
        <v/>
      </c>
      <c r="BM2757" s="1" t="str">
        <f t="shared" si="1795"/>
        <v/>
      </c>
      <c r="BQ2757" s="1">
        <v>115.0</v>
      </c>
      <c r="BR2757" s="1">
        <v>115.0</v>
      </c>
      <c r="BS2757" s="1">
        <v>115.0</v>
      </c>
      <c r="BV2757" s="1" t="s">
        <v>204</v>
      </c>
      <c r="BY2757" s="1" t="s">
        <v>854</v>
      </c>
      <c r="BZ2757" s="1" t="s">
        <v>206</v>
      </c>
      <c r="CA2757" s="1" t="s">
        <v>210</v>
      </c>
      <c r="CB2757" s="1" t="s">
        <v>261</v>
      </c>
      <c r="CC2757" s="1" t="s">
        <v>213</v>
      </c>
      <c r="CD2757" s="1" t="s">
        <v>206</v>
      </c>
      <c r="CE2757" s="1" t="s">
        <v>207</v>
      </c>
      <c r="CF2757" s="1" t="s">
        <v>431</v>
      </c>
      <c r="CG2757" s="1" t="s">
        <v>211</v>
      </c>
      <c r="CH2757" s="1" t="s">
        <v>206</v>
      </c>
      <c r="CI2757" s="1" t="s">
        <v>210</v>
      </c>
      <c r="CJ2757" s="1" t="s">
        <v>431</v>
      </c>
      <c r="CK2757" s="1" t="s">
        <v>584</v>
      </c>
      <c r="CL2757" s="1" t="s">
        <v>206</v>
      </c>
      <c r="CM2757" s="1" t="s">
        <v>210</v>
      </c>
      <c r="CN2757" s="1" t="s">
        <v>431</v>
      </c>
      <c r="CO2757" s="1" t="s">
        <v>454</v>
      </c>
      <c r="CP2757" s="1" t="s">
        <v>267</v>
      </c>
      <c r="CQ2757" s="1" t="s">
        <v>210</v>
      </c>
      <c r="CR2757" s="1" t="s">
        <v>1550</v>
      </c>
      <c r="CS2757" s="1" t="s">
        <v>729</v>
      </c>
      <c r="CT2757" s="1" t="s">
        <v>206</v>
      </c>
      <c r="CU2757" s="1" t="s">
        <v>207</v>
      </c>
      <c r="CW2757" s="1" t="s">
        <v>362</v>
      </c>
      <c r="CX2757" s="1" t="s">
        <v>206</v>
      </c>
      <c r="CY2757" s="1" t="s">
        <v>207</v>
      </c>
      <c r="CZ2757" s="1" t="s">
        <v>431</v>
      </c>
      <c r="DA2757" s="1" t="s">
        <v>200</v>
      </c>
      <c r="DC2757" s="1" t="s">
        <v>1046</v>
      </c>
      <c r="DD2757" s="1" t="s">
        <v>306</v>
      </c>
      <c r="DE2757" s="1" t="s">
        <v>273</v>
      </c>
      <c r="DF2757" s="1" t="s">
        <v>219</v>
      </c>
      <c r="DG2757" s="1" t="s">
        <v>2283</v>
      </c>
      <c r="DH2757" s="1" t="s">
        <v>220</v>
      </c>
      <c r="DI2757" s="1" t="s">
        <v>2837</v>
      </c>
      <c r="DJ2757" s="1" t="s">
        <v>222</v>
      </c>
      <c r="DL2757" s="1" t="s">
        <v>224</v>
      </c>
      <c r="DM2757" s="1" t="s">
        <v>229</v>
      </c>
      <c r="DN2757" s="1" t="s">
        <v>485</v>
      </c>
      <c r="DO2757" s="1" t="s">
        <v>486</v>
      </c>
      <c r="DQ2757" s="1" t="s">
        <v>441</v>
      </c>
      <c r="DR2757" s="1" t="s">
        <v>229</v>
      </c>
      <c r="DU2757" s="1" t="s">
        <v>1355</v>
      </c>
      <c r="DV2757" s="1" t="s">
        <v>24350</v>
      </c>
      <c r="DW2757" s="1" t="s">
        <v>934</v>
      </c>
      <c r="DX2757" s="1" t="s">
        <v>234</v>
      </c>
      <c r="DY2757" s="1" t="s">
        <v>1211</v>
      </c>
      <c r="DZ2757" s="1" t="s">
        <v>236</v>
      </c>
      <c r="EA2757" s="1" t="s">
        <v>344</v>
      </c>
      <c r="EC2757" s="1" t="s">
        <v>685</v>
      </c>
      <c r="EG2757" s="1" t="s">
        <v>1028</v>
      </c>
      <c r="EH2757" s="1" t="s">
        <v>1164</v>
      </c>
      <c r="EI2757" s="1" t="s">
        <v>451</v>
      </c>
      <c r="EJ2757" s="1" t="s">
        <v>408</v>
      </c>
      <c r="EK2757" s="1" t="s">
        <v>409</v>
      </c>
      <c r="EL2757" s="1" t="s">
        <v>215</v>
      </c>
      <c r="EM2757" s="1" t="s">
        <v>206</v>
      </c>
      <c r="EN2757" s="1" t="s">
        <v>210</v>
      </c>
      <c r="EP2757" s="1" t="s">
        <v>17873</v>
      </c>
      <c r="EQ2757" s="1" t="s">
        <v>267</v>
      </c>
      <c r="ER2757" s="1" t="s">
        <v>210</v>
      </c>
      <c r="ET2757" s="1" t="s">
        <v>331</v>
      </c>
      <c r="EU2757" s="1" t="s">
        <v>267</v>
      </c>
      <c r="EV2757" s="1" t="s">
        <v>210</v>
      </c>
      <c r="EX2757" s="1" t="s">
        <v>1382</v>
      </c>
      <c r="EY2757" s="1" t="s">
        <v>206</v>
      </c>
      <c r="EZ2757" s="1" t="s">
        <v>207</v>
      </c>
      <c r="FB2757" s="1" t="s">
        <v>1137</v>
      </c>
      <c r="FC2757" s="1" t="s">
        <v>206</v>
      </c>
      <c r="FD2757" s="1" t="s">
        <v>210</v>
      </c>
      <c r="FF2757" s="1" t="s">
        <v>239</v>
      </c>
      <c r="FG2757" s="1" t="s">
        <v>192</v>
      </c>
      <c r="FH2757" s="1" t="s">
        <v>192</v>
      </c>
      <c r="FJ2757" s="1" t="s">
        <v>624</v>
      </c>
      <c r="FK2757" s="1" t="s">
        <v>229</v>
      </c>
      <c r="FL2757" s="1" t="s">
        <v>1007</v>
      </c>
      <c r="FM2757" s="1">
        <v>771.0</v>
      </c>
      <c r="FN2757" s="1" t="s">
        <v>1494</v>
      </c>
      <c r="FO2757" s="1" t="s">
        <v>24351</v>
      </c>
      <c r="FP2757" s="1">
        <v>7268.0</v>
      </c>
      <c r="FQ2757" s="1" t="s">
        <v>24352</v>
      </c>
      <c r="FU2757" s="1" t="s">
        <v>24353</v>
      </c>
      <c r="FV2757" s="1" t="s">
        <v>200</v>
      </c>
      <c r="FW2757" s="1" t="s">
        <v>290</v>
      </c>
      <c r="FZ2757" s="1" t="s">
        <v>229</v>
      </c>
      <c r="GA2757" s="1" t="s">
        <v>291</v>
      </c>
      <c r="GB2757" s="2">
        <v>42128.0</v>
      </c>
      <c r="GC2757" s="1" t="s">
        <v>24354</v>
      </c>
    </row>
    <row r="2758">
      <c r="A2758" s="1">
        <v>68000.0</v>
      </c>
      <c r="B2758" s="1" t="s">
        <v>185</v>
      </c>
      <c r="C2758" s="1" t="str">
        <f>"08830036"</f>
        <v>08830036</v>
      </c>
      <c r="D2758" s="1" t="s">
        <v>186</v>
      </c>
      <c r="F2758" s="1" t="str">
        <f>"8043"</f>
        <v>8043</v>
      </c>
      <c r="G2758" s="2">
        <v>42038.0</v>
      </c>
      <c r="H2758" s="1">
        <v>72000.0</v>
      </c>
      <c r="I2758" s="1">
        <v>23.0</v>
      </c>
      <c r="J2758" s="1">
        <v>72000.0</v>
      </c>
      <c r="K2758" s="2">
        <v>42060.0</v>
      </c>
      <c r="L2758" s="1">
        <v>23.0</v>
      </c>
      <c r="M2758" s="2">
        <v>42060.0</v>
      </c>
      <c r="N2758" s="1" t="s">
        <v>249</v>
      </c>
      <c r="O2758" s="2">
        <v>42096.0</v>
      </c>
      <c r="P2758" s="1">
        <v>875541.0</v>
      </c>
      <c r="Q2758" s="1">
        <v>12293.0</v>
      </c>
      <c r="S2758" s="1">
        <v>7755.0</v>
      </c>
      <c r="T2758" s="1" t="s">
        <v>8494</v>
      </c>
      <c r="U2758" s="1" t="s">
        <v>189</v>
      </c>
      <c r="V2758" s="1" t="s">
        <v>190</v>
      </c>
      <c r="W2758" s="1">
        <v>60649.0</v>
      </c>
      <c r="Y2758" s="1" t="s">
        <v>24355</v>
      </c>
      <c r="Z2758" s="1">
        <v>1923.0</v>
      </c>
      <c r="AA2758" s="1" t="s">
        <v>192</v>
      </c>
      <c r="AB2758" s="1" t="s">
        <v>193</v>
      </c>
      <c r="AD2758" s="1" t="s">
        <v>194</v>
      </c>
      <c r="AE2758" s="1" t="s">
        <v>195</v>
      </c>
      <c r="AF2758" s="1" t="s">
        <v>1154</v>
      </c>
      <c r="AH2758" s="1" t="s">
        <v>359</v>
      </c>
      <c r="AI2758" s="1">
        <v>0.0955</v>
      </c>
      <c r="AK2758" s="1">
        <v>8.0</v>
      </c>
      <c r="AL2758" s="1">
        <v>4.0</v>
      </c>
      <c r="AM2758" s="1">
        <v>1.0</v>
      </c>
      <c r="AN2758" s="1">
        <v>1.0</v>
      </c>
      <c r="AO2758" s="1" t="s">
        <v>229</v>
      </c>
      <c r="AQ2758" s="1" t="s">
        <v>198</v>
      </c>
      <c r="AR2758" s="1" t="s">
        <v>200</v>
      </c>
      <c r="AS2758" s="1" t="s">
        <v>199</v>
      </c>
      <c r="AT2758" s="1">
        <v>2.0</v>
      </c>
      <c r="AV2758" s="1" t="s">
        <v>200</v>
      </c>
      <c r="AW2758" s="1">
        <v>2898.8</v>
      </c>
      <c r="AX2758" s="1">
        <v>2012.0</v>
      </c>
      <c r="AZ2758" s="1" t="s">
        <v>545</v>
      </c>
      <c r="BA2758" s="1" t="str">
        <f>"20254210150000"</f>
        <v>20254210150000</v>
      </c>
      <c r="BC2758" s="1">
        <v>1200.0</v>
      </c>
      <c r="BD2758" s="1">
        <v>68000.0</v>
      </c>
      <c r="BE2758" s="2">
        <v>42038.0</v>
      </c>
      <c r="BF2758" s="1" t="s">
        <v>24356</v>
      </c>
      <c r="BH2758" s="1">
        <v>0.0</v>
      </c>
      <c r="BK2758" s="1" t="s">
        <v>204</v>
      </c>
      <c r="BL2758" s="1" t="str">
        <f>"0"</f>
        <v>0</v>
      </c>
      <c r="BM2758" s="1" t="str">
        <f>"2300"</f>
        <v>2300</v>
      </c>
      <c r="BN2758" s="1">
        <v>0.0</v>
      </c>
      <c r="BO2758" s="1">
        <v>7700.0</v>
      </c>
      <c r="BQ2758" s="1">
        <v>299.0</v>
      </c>
      <c r="BR2758" s="1">
        <v>299.0</v>
      </c>
      <c r="BS2758" s="1">
        <v>299.0</v>
      </c>
      <c r="BU2758" s="1" t="s">
        <v>8854</v>
      </c>
      <c r="BV2758" s="1" t="s">
        <v>206</v>
      </c>
      <c r="BY2758" s="1" t="s">
        <v>478</v>
      </c>
      <c r="BZ2758" s="1" t="s">
        <v>206</v>
      </c>
      <c r="CC2758" s="1" t="s">
        <v>454</v>
      </c>
      <c r="CD2758" s="1" t="s">
        <v>206</v>
      </c>
      <c r="CG2758" s="1" t="s">
        <v>1352</v>
      </c>
      <c r="CH2758" s="1" t="s">
        <v>206</v>
      </c>
      <c r="CK2758" s="1" t="s">
        <v>303</v>
      </c>
      <c r="CL2758" s="1" t="s">
        <v>206</v>
      </c>
      <c r="CO2758" s="1" t="s">
        <v>2481</v>
      </c>
      <c r="CP2758" s="1" t="s">
        <v>209</v>
      </c>
      <c r="CS2758" s="1" t="s">
        <v>269</v>
      </c>
      <c r="CT2758" s="1" t="s">
        <v>206</v>
      </c>
      <c r="CX2758" s="1" t="s">
        <v>204</v>
      </c>
      <c r="DA2758" s="1" t="s">
        <v>200</v>
      </c>
      <c r="DC2758" s="1" t="s">
        <v>216</v>
      </c>
      <c r="DE2758" s="1" t="s">
        <v>229</v>
      </c>
      <c r="DF2758" s="1" t="s">
        <v>905</v>
      </c>
      <c r="DH2758" s="1" t="s">
        <v>365</v>
      </c>
      <c r="DJ2758" s="1" t="s">
        <v>222</v>
      </c>
      <c r="DL2758" s="1" t="s">
        <v>223</v>
      </c>
      <c r="DM2758" s="1" t="s">
        <v>229</v>
      </c>
      <c r="DQ2758" s="1" t="s">
        <v>228</v>
      </c>
      <c r="DR2758" s="1" t="s">
        <v>229</v>
      </c>
      <c r="DV2758" s="1" t="s">
        <v>1121</v>
      </c>
      <c r="DW2758" s="1" t="s">
        <v>279</v>
      </c>
      <c r="DX2758" s="1" t="s">
        <v>234</v>
      </c>
      <c r="EC2758" s="1" t="s">
        <v>237</v>
      </c>
      <c r="EG2758" s="1" t="s">
        <v>1121</v>
      </c>
      <c r="EL2758" s="1" t="s">
        <v>1044</v>
      </c>
      <c r="EM2758" s="1" t="s">
        <v>209</v>
      </c>
      <c r="EQ2758" s="1" t="s">
        <v>238</v>
      </c>
      <c r="EU2758" s="1" t="s">
        <v>238</v>
      </c>
      <c r="EY2758" s="1" t="s">
        <v>238</v>
      </c>
      <c r="FC2758" s="1" t="s">
        <v>238</v>
      </c>
      <c r="FF2758" s="1" t="s">
        <v>239</v>
      </c>
      <c r="FG2758" s="1" t="s">
        <v>192</v>
      </c>
      <c r="FH2758" s="1" t="s">
        <v>192</v>
      </c>
      <c r="FJ2758" s="1" t="s">
        <v>285</v>
      </c>
      <c r="FK2758" s="1" t="s">
        <v>229</v>
      </c>
      <c r="FL2758" s="1" t="s">
        <v>18779</v>
      </c>
      <c r="FM2758" s="1">
        <v>23426.0</v>
      </c>
      <c r="FN2758" s="1" t="s">
        <v>18780</v>
      </c>
      <c r="FO2758" s="1" t="s">
        <v>18781</v>
      </c>
      <c r="FP2758" s="1">
        <v>216793.0</v>
      </c>
      <c r="FQ2758" s="1" t="s">
        <v>18782</v>
      </c>
      <c r="FU2758" s="1" t="s">
        <v>24063</v>
      </c>
      <c r="FV2758" s="1" t="s">
        <v>200</v>
      </c>
      <c r="FW2758" s="1" t="s">
        <v>18783</v>
      </c>
      <c r="FX2758" s="1" t="s">
        <v>655</v>
      </c>
      <c r="FZ2758" s="1" t="s">
        <v>229</v>
      </c>
      <c r="GA2758" s="1" t="s">
        <v>291</v>
      </c>
      <c r="GB2758" s="2">
        <v>42100.0</v>
      </c>
      <c r="GC2758" s="1" t="s">
        <v>24357</v>
      </c>
    </row>
    <row r="2759">
      <c r="A2759" s="1">
        <v>102000.0</v>
      </c>
      <c r="B2759" s="1" t="s">
        <v>185</v>
      </c>
      <c r="C2759" s="1" t="str">
        <f>"08835700"</f>
        <v>08835700</v>
      </c>
      <c r="D2759" s="1" t="s">
        <v>186</v>
      </c>
      <c r="F2759" s="1" t="str">
        <f>"8025"</f>
        <v>8025</v>
      </c>
      <c r="G2759" s="2">
        <v>42045.0</v>
      </c>
      <c r="H2759" s="1">
        <v>115000.0</v>
      </c>
      <c r="I2759" s="1">
        <v>21.0</v>
      </c>
      <c r="J2759" s="1">
        <v>115000.0</v>
      </c>
      <c r="K2759" s="2">
        <v>42065.0</v>
      </c>
      <c r="L2759" s="1">
        <v>21.0</v>
      </c>
      <c r="M2759" s="2">
        <v>42065.0</v>
      </c>
      <c r="N2759" s="1" t="s">
        <v>187</v>
      </c>
      <c r="O2759" s="2">
        <v>42117.0</v>
      </c>
      <c r="P2759" s="1">
        <v>115645.0</v>
      </c>
      <c r="Q2759" s="1">
        <v>85615.0</v>
      </c>
      <c r="S2759" s="1">
        <v>4822.0</v>
      </c>
      <c r="T2759" s="1" t="s">
        <v>24358</v>
      </c>
      <c r="U2759" s="1" t="s">
        <v>1442</v>
      </c>
      <c r="V2759" s="1" t="s">
        <v>190</v>
      </c>
      <c r="W2759" s="1">
        <v>60651.0</v>
      </c>
      <c r="Y2759" s="1" t="s">
        <v>24359</v>
      </c>
      <c r="Z2759" s="1">
        <v>1960.0</v>
      </c>
      <c r="AA2759" s="1" t="s">
        <v>192</v>
      </c>
      <c r="AB2759" s="1" t="s">
        <v>193</v>
      </c>
      <c r="AD2759" s="1" t="s">
        <v>194</v>
      </c>
      <c r="AE2759" s="1" t="s">
        <v>195</v>
      </c>
      <c r="AF2759" s="1" t="s">
        <v>827</v>
      </c>
      <c r="AH2759" s="1" t="s">
        <v>6502</v>
      </c>
      <c r="AK2759" s="1">
        <v>6.0</v>
      </c>
      <c r="AL2759" s="1">
        <v>2.0</v>
      </c>
      <c r="AM2759" s="1">
        <v>2.0</v>
      </c>
      <c r="AN2759" s="1">
        <v>0.0</v>
      </c>
      <c r="AO2759" s="1" t="s">
        <v>229</v>
      </c>
      <c r="AQ2759" s="1" t="s">
        <v>198</v>
      </c>
      <c r="AR2759" s="1" t="s">
        <v>192</v>
      </c>
      <c r="AS2759" s="1" t="s">
        <v>199</v>
      </c>
      <c r="AT2759" s="1">
        <v>2.0</v>
      </c>
      <c r="AV2759" s="1" t="s">
        <v>200</v>
      </c>
      <c r="AW2759" s="1">
        <v>1693.0</v>
      </c>
      <c r="AX2759" s="1">
        <v>2013.0</v>
      </c>
      <c r="AY2759" s="1" t="s">
        <v>229</v>
      </c>
      <c r="AZ2759" s="1" t="s">
        <v>200</v>
      </c>
      <c r="BA2759" s="1" t="str">
        <f>"16044140230000"</f>
        <v>16044140230000</v>
      </c>
      <c r="BC2759" s="1">
        <v>950.0</v>
      </c>
      <c r="BD2759" s="1">
        <v>102000.0</v>
      </c>
      <c r="BE2759" s="2">
        <v>42045.0</v>
      </c>
      <c r="BF2759" s="2" t="s">
        <v>24360</v>
      </c>
      <c r="BH2759" s="1">
        <v>0.0</v>
      </c>
      <c r="BK2759" s="1" t="s">
        <v>204</v>
      </c>
      <c r="BL2759" s="1" t="str">
        <f>"1000"</f>
        <v>1000</v>
      </c>
      <c r="BM2759" s="1" t="str">
        <f t="shared" ref="BM2759:BM2761" si="1796">"0"</f>
        <v>0</v>
      </c>
      <c r="BN2759" s="1">
        <v>4800.0</v>
      </c>
      <c r="BO2759" s="1">
        <v>0.0</v>
      </c>
      <c r="BQ2759" s="1">
        <v>299.0</v>
      </c>
      <c r="BR2759" s="1">
        <v>299.0</v>
      </c>
      <c r="BS2759" s="1">
        <v>299.0</v>
      </c>
      <c r="BU2759" s="1" t="s">
        <v>2800</v>
      </c>
      <c r="BV2759" s="1" t="s">
        <v>206</v>
      </c>
      <c r="BY2759" s="1" t="s">
        <v>495</v>
      </c>
      <c r="BZ2759" s="1" t="s">
        <v>206</v>
      </c>
      <c r="CD2759" s="1" t="s">
        <v>204</v>
      </c>
      <c r="CG2759" s="1" t="s">
        <v>1760</v>
      </c>
      <c r="CH2759" s="1" t="s">
        <v>206</v>
      </c>
      <c r="CK2759" s="1" t="s">
        <v>478</v>
      </c>
      <c r="CL2759" s="1" t="s">
        <v>42</v>
      </c>
      <c r="CO2759" s="1" t="s">
        <v>2224</v>
      </c>
      <c r="CP2759" s="1" t="s">
        <v>42</v>
      </c>
      <c r="CS2759" s="1" t="s">
        <v>543</v>
      </c>
      <c r="CT2759" s="1" t="s">
        <v>206</v>
      </c>
      <c r="CX2759" s="1" t="s">
        <v>204</v>
      </c>
      <c r="DA2759" s="1" t="s">
        <v>200</v>
      </c>
      <c r="DC2759" s="1" t="s">
        <v>271</v>
      </c>
      <c r="DE2759" s="1" t="s">
        <v>229</v>
      </c>
      <c r="DF2759" s="1" t="s">
        <v>619</v>
      </c>
      <c r="DH2759" s="1" t="s">
        <v>220</v>
      </c>
      <c r="DJ2759" s="1" t="s">
        <v>222</v>
      </c>
      <c r="DL2759" s="1" t="s">
        <v>224</v>
      </c>
      <c r="DM2759" s="1" t="s">
        <v>229</v>
      </c>
      <c r="DQ2759" s="1" t="s">
        <v>794</v>
      </c>
      <c r="DR2759" s="1" t="s">
        <v>229</v>
      </c>
      <c r="DV2759" s="1" t="s">
        <v>232</v>
      </c>
      <c r="DW2759" s="1" t="s">
        <v>279</v>
      </c>
      <c r="DX2759" s="1" t="s">
        <v>234</v>
      </c>
      <c r="EC2759" s="1" t="s">
        <v>685</v>
      </c>
      <c r="EM2759" s="1" t="s">
        <v>238</v>
      </c>
      <c r="EQ2759" s="1" t="s">
        <v>238</v>
      </c>
      <c r="EU2759" s="1" t="s">
        <v>238</v>
      </c>
      <c r="EY2759" s="1" t="s">
        <v>238</v>
      </c>
      <c r="FC2759" s="1" t="s">
        <v>238</v>
      </c>
      <c r="FF2759" s="1" t="s">
        <v>239</v>
      </c>
      <c r="FG2759" s="1" t="s">
        <v>192</v>
      </c>
      <c r="FH2759" s="1" t="s">
        <v>192</v>
      </c>
      <c r="FJ2759" s="1" t="s">
        <v>7646</v>
      </c>
      <c r="FK2759" s="1" t="s">
        <v>229</v>
      </c>
      <c r="FL2759" s="1" t="s">
        <v>4579</v>
      </c>
      <c r="FM2759" s="1">
        <v>84301.0</v>
      </c>
      <c r="FN2759" s="1" t="s">
        <v>4580</v>
      </c>
      <c r="FO2759" s="1" t="s">
        <v>24361</v>
      </c>
      <c r="FP2759" s="1">
        <v>151308.0</v>
      </c>
      <c r="FQ2759" s="1" t="s">
        <v>24362</v>
      </c>
      <c r="FU2759" s="1" t="s">
        <v>24363</v>
      </c>
      <c r="FV2759" s="1" t="s">
        <v>200</v>
      </c>
      <c r="FW2759" s="1" t="s">
        <v>4583</v>
      </c>
      <c r="FX2759" s="1" t="s">
        <v>246</v>
      </c>
      <c r="FZ2759" s="1" t="s">
        <v>229</v>
      </c>
      <c r="GA2759" s="1" t="s">
        <v>291</v>
      </c>
      <c r="GB2759" s="2">
        <v>42118.0</v>
      </c>
      <c r="GC2759" s="1" t="s">
        <v>24364</v>
      </c>
    </row>
    <row r="2760">
      <c r="A2760" s="1">
        <v>1285000.0</v>
      </c>
      <c r="B2760" s="1" t="s">
        <v>185</v>
      </c>
      <c r="C2760" s="1" t="str">
        <f>"08839355"</f>
        <v>08839355</v>
      </c>
      <c r="D2760" s="1" t="s">
        <v>186</v>
      </c>
      <c r="F2760" s="1" t="str">
        <f>"8005"</f>
        <v>8005</v>
      </c>
      <c r="G2760" s="2">
        <v>42051.0</v>
      </c>
      <c r="H2760" s="1">
        <v>1299000.0</v>
      </c>
      <c r="I2760" s="1">
        <v>38.0</v>
      </c>
      <c r="J2760" s="1">
        <v>1299000.0</v>
      </c>
      <c r="K2760" s="2">
        <v>42088.0</v>
      </c>
      <c r="L2760" s="1">
        <v>38.0</v>
      </c>
      <c r="M2760" s="2">
        <v>42088.0</v>
      </c>
      <c r="N2760" s="1" t="s">
        <v>187</v>
      </c>
      <c r="O2760" s="2">
        <v>42128.0</v>
      </c>
      <c r="P2760" s="1">
        <v>145294.0</v>
      </c>
      <c r="Q2760" s="1">
        <v>17665.0</v>
      </c>
      <c r="S2760" s="1">
        <v>1832.0</v>
      </c>
      <c r="T2760" s="1" t="s">
        <v>8005</v>
      </c>
      <c r="U2760" s="1" t="s">
        <v>320</v>
      </c>
      <c r="V2760" s="1" t="s">
        <v>190</v>
      </c>
      <c r="W2760" s="1">
        <v>60657.0</v>
      </c>
      <c r="Y2760" s="1" t="s">
        <v>24365</v>
      </c>
      <c r="Z2760" s="1">
        <v>2003.0</v>
      </c>
      <c r="AA2760" s="1" t="s">
        <v>200</v>
      </c>
      <c r="AB2760" s="1" t="s">
        <v>193</v>
      </c>
      <c r="AD2760" s="1" t="s">
        <v>194</v>
      </c>
      <c r="AE2760" s="1" t="s">
        <v>195</v>
      </c>
      <c r="AF2760" s="1" t="s">
        <v>534</v>
      </c>
      <c r="AH2760" s="1" t="s">
        <v>359</v>
      </c>
      <c r="AK2760" s="1">
        <v>10.0</v>
      </c>
      <c r="AL2760" s="1">
        <v>4.0</v>
      </c>
      <c r="AM2760" s="1">
        <v>3.0</v>
      </c>
      <c r="AN2760" s="1">
        <v>1.0</v>
      </c>
      <c r="AO2760" s="1" t="s">
        <v>198</v>
      </c>
      <c r="AP2760" s="1">
        <v>3.0</v>
      </c>
      <c r="AQ2760" s="1" t="s">
        <v>257</v>
      </c>
      <c r="AR2760" s="1" t="s">
        <v>192</v>
      </c>
      <c r="AS2760" s="1" t="s">
        <v>199</v>
      </c>
      <c r="AT2760" s="1">
        <v>2.0</v>
      </c>
      <c r="AV2760" s="1" t="s">
        <v>200</v>
      </c>
      <c r="AW2760" s="1">
        <v>15696.0</v>
      </c>
      <c r="AX2760" s="1">
        <v>2013.0</v>
      </c>
      <c r="AY2760" s="1" t="s">
        <v>387</v>
      </c>
      <c r="AZ2760" s="1" t="s">
        <v>200</v>
      </c>
      <c r="BA2760" s="1" t="str">
        <f>"14302090240000"</f>
        <v>14302090240000</v>
      </c>
      <c r="BC2760" s="1">
        <v>4000.0</v>
      </c>
      <c r="BD2760" s="1">
        <v>1285000.0</v>
      </c>
      <c r="BE2760" s="2">
        <v>42051.0</v>
      </c>
      <c r="BF2760" s="2" t="s">
        <v>24366</v>
      </c>
      <c r="BG2760" s="1" t="s">
        <v>11774</v>
      </c>
      <c r="BH2760" s="1">
        <v>0.0</v>
      </c>
      <c r="BJ2760" s="1" t="s">
        <v>538</v>
      </c>
      <c r="BK2760" s="1" t="s">
        <v>204</v>
      </c>
      <c r="BL2760" s="1" t="str">
        <f>"3032"</f>
        <v>3032</v>
      </c>
      <c r="BM2760" s="1" t="str">
        <f t="shared" si="1796"/>
        <v>0</v>
      </c>
      <c r="BN2760" s="1">
        <v>1832.0</v>
      </c>
      <c r="BO2760" s="1">
        <v>0.0</v>
      </c>
      <c r="BQ2760" s="1">
        <v>299.0</v>
      </c>
      <c r="BR2760" s="1">
        <v>299.0</v>
      </c>
      <c r="BS2760" s="1">
        <v>299.0</v>
      </c>
      <c r="BU2760" s="1" t="s">
        <v>17831</v>
      </c>
      <c r="BV2760" s="1" t="s">
        <v>206</v>
      </c>
      <c r="BW2760" s="1" t="s">
        <v>207</v>
      </c>
      <c r="BY2760" s="1" t="s">
        <v>639</v>
      </c>
      <c r="BZ2760" s="1" t="s">
        <v>209</v>
      </c>
      <c r="CA2760" s="1" t="s">
        <v>210</v>
      </c>
      <c r="CC2760" s="1" t="s">
        <v>542</v>
      </c>
      <c r="CD2760" s="1" t="s">
        <v>206</v>
      </c>
      <c r="CE2760" s="1" t="s">
        <v>207</v>
      </c>
      <c r="CG2760" s="1" t="s">
        <v>1426</v>
      </c>
      <c r="CH2760" s="1" t="s">
        <v>209</v>
      </c>
      <c r="CI2760" s="1" t="s">
        <v>207</v>
      </c>
      <c r="CK2760" s="1" t="s">
        <v>1351</v>
      </c>
      <c r="CL2760" s="1" t="s">
        <v>209</v>
      </c>
      <c r="CM2760" s="1" t="s">
        <v>207</v>
      </c>
      <c r="CO2760" s="1" t="s">
        <v>2082</v>
      </c>
      <c r="CP2760" s="1" t="s">
        <v>267</v>
      </c>
      <c r="CQ2760" s="1" t="s">
        <v>210</v>
      </c>
      <c r="CS2760" s="1" t="s">
        <v>24367</v>
      </c>
      <c r="CT2760" s="1" t="s">
        <v>206</v>
      </c>
      <c r="CU2760" s="1" t="s">
        <v>207</v>
      </c>
      <c r="CW2760" s="1" t="s">
        <v>477</v>
      </c>
      <c r="CX2760" s="1" t="s">
        <v>206</v>
      </c>
      <c r="CY2760" s="1" t="s">
        <v>207</v>
      </c>
      <c r="DA2760" s="1" t="s">
        <v>200</v>
      </c>
      <c r="DC2760" s="1" t="s">
        <v>335</v>
      </c>
      <c r="DD2760" s="1" t="s">
        <v>272</v>
      </c>
      <c r="DE2760" s="1" t="s">
        <v>273</v>
      </c>
      <c r="DF2760" s="1" t="s">
        <v>546</v>
      </c>
      <c r="DH2760" s="1" t="s">
        <v>365</v>
      </c>
      <c r="DI2760" s="1" t="s">
        <v>24368</v>
      </c>
      <c r="DJ2760" s="1" t="s">
        <v>222</v>
      </c>
      <c r="DL2760" s="1" t="s">
        <v>1161</v>
      </c>
      <c r="DM2760" s="1" t="s">
        <v>229</v>
      </c>
      <c r="DN2760" s="1" t="s">
        <v>2873</v>
      </c>
      <c r="DO2760" s="1" t="s">
        <v>549</v>
      </c>
      <c r="DP2760" s="1" t="s">
        <v>276</v>
      </c>
      <c r="DQ2760" s="1" t="s">
        <v>718</v>
      </c>
      <c r="DR2760" s="1" t="s">
        <v>229</v>
      </c>
      <c r="DV2760" s="1" t="s">
        <v>24369</v>
      </c>
      <c r="DW2760" s="1" t="s">
        <v>1026</v>
      </c>
      <c r="DX2760" s="1" t="s">
        <v>234</v>
      </c>
      <c r="DY2760" s="1" t="s">
        <v>10287</v>
      </c>
      <c r="DZ2760" s="1" t="s">
        <v>5293</v>
      </c>
      <c r="EB2760" s="1" t="s">
        <v>492</v>
      </c>
      <c r="EC2760" s="1" t="s">
        <v>237</v>
      </c>
      <c r="ED2760" s="1" t="s">
        <v>312</v>
      </c>
      <c r="EG2760" s="1" t="s">
        <v>556</v>
      </c>
      <c r="EH2760" s="1" t="s">
        <v>450</v>
      </c>
      <c r="EI2760" s="1" t="s">
        <v>1103</v>
      </c>
      <c r="EJ2760" s="1" t="s">
        <v>310</v>
      </c>
      <c r="EK2760" s="1" t="s">
        <v>310</v>
      </c>
      <c r="EL2760" s="1" t="s">
        <v>6147</v>
      </c>
      <c r="EM2760" s="1" t="s">
        <v>206</v>
      </c>
      <c r="EN2760" s="1" t="s">
        <v>207</v>
      </c>
      <c r="EP2760" s="1" t="s">
        <v>23033</v>
      </c>
      <c r="EQ2760" s="1" t="s">
        <v>267</v>
      </c>
      <c r="ER2760" s="1" t="s">
        <v>210</v>
      </c>
      <c r="ET2760" s="1" t="s">
        <v>8737</v>
      </c>
      <c r="EU2760" s="1" t="s">
        <v>267</v>
      </c>
      <c r="EX2760" s="1" t="s">
        <v>1612</v>
      </c>
      <c r="EY2760" s="1" t="s">
        <v>209</v>
      </c>
      <c r="FB2760" s="1" t="s">
        <v>2460</v>
      </c>
      <c r="FC2760" s="1" t="s">
        <v>206</v>
      </c>
      <c r="FF2760" s="1" t="s">
        <v>239</v>
      </c>
      <c r="FG2760" s="1" t="s">
        <v>192</v>
      </c>
      <c r="FH2760" s="1" t="s">
        <v>192</v>
      </c>
      <c r="FJ2760" s="1" t="s">
        <v>24370</v>
      </c>
      <c r="FK2760" s="1" t="s">
        <v>229</v>
      </c>
      <c r="FL2760" s="1" t="s">
        <v>734</v>
      </c>
      <c r="FM2760" s="1">
        <v>10646.0</v>
      </c>
      <c r="FN2760" s="1" t="s">
        <v>735</v>
      </c>
      <c r="FO2760" s="1" t="s">
        <v>4852</v>
      </c>
      <c r="FP2760" s="1">
        <v>118820.0</v>
      </c>
      <c r="FQ2760" s="1" t="s">
        <v>4853</v>
      </c>
      <c r="FU2760" s="1" t="s">
        <v>4854</v>
      </c>
      <c r="FV2760" s="1" t="s">
        <v>200</v>
      </c>
      <c r="FW2760" s="1" t="s">
        <v>290</v>
      </c>
      <c r="FX2760" s="1" t="s">
        <v>246</v>
      </c>
      <c r="FZ2760" s="1" t="s">
        <v>229</v>
      </c>
      <c r="GA2760" s="1" t="s">
        <v>291</v>
      </c>
      <c r="GB2760" s="2">
        <v>42129.0</v>
      </c>
      <c r="GC2760" s="1" t="s">
        <v>24371</v>
      </c>
    </row>
    <row r="2761">
      <c r="A2761" s="1">
        <v>638125.0</v>
      </c>
      <c r="B2761" s="1" t="s">
        <v>185</v>
      </c>
      <c r="C2761" s="1" t="str">
        <f>"08837115"</f>
        <v>08837115</v>
      </c>
      <c r="D2761" s="1" t="s">
        <v>186</v>
      </c>
      <c r="F2761" s="1" t="str">
        <f>"8016"</f>
        <v>8016</v>
      </c>
      <c r="G2761" s="2">
        <v>42047.0</v>
      </c>
      <c r="H2761" s="1">
        <v>689000.0</v>
      </c>
      <c r="I2761" s="1">
        <v>31.0</v>
      </c>
      <c r="J2761" s="1">
        <v>665000.0</v>
      </c>
      <c r="K2761" s="2">
        <v>42076.0</v>
      </c>
      <c r="L2761" s="1">
        <v>31.0</v>
      </c>
      <c r="M2761" s="2">
        <v>42076.0</v>
      </c>
      <c r="N2761" s="1" t="s">
        <v>588</v>
      </c>
      <c r="O2761" s="2">
        <v>42121.0</v>
      </c>
      <c r="P2761" s="1">
        <v>189926.0</v>
      </c>
      <c r="Q2761" s="1">
        <v>84025.0</v>
      </c>
      <c r="S2761" s="1">
        <v>3718.0</v>
      </c>
      <c r="T2761" s="1" t="s">
        <v>8150</v>
      </c>
      <c r="U2761" s="1" t="s">
        <v>320</v>
      </c>
      <c r="V2761" s="1" t="s">
        <v>190</v>
      </c>
      <c r="W2761" s="1">
        <v>60618.0</v>
      </c>
      <c r="Y2761" s="1" t="s">
        <v>24372</v>
      </c>
      <c r="Z2761" s="1">
        <v>1922.0</v>
      </c>
      <c r="AA2761" s="1" t="s">
        <v>192</v>
      </c>
      <c r="AB2761" s="1" t="s">
        <v>193</v>
      </c>
      <c r="AD2761" s="1" t="s">
        <v>194</v>
      </c>
      <c r="AE2761" s="1" t="s">
        <v>195</v>
      </c>
      <c r="AF2761" s="1" t="s">
        <v>196</v>
      </c>
      <c r="AH2761" s="1" t="s">
        <v>24373</v>
      </c>
      <c r="AI2761" s="1">
        <v>0.1148</v>
      </c>
      <c r="AK2761" s="1">
        <v>9.0</v>
      </c>
      <c r="AL2761" s="1">
        <v>3.0</v>
      </c>
      <c r="AM2761" s="1">
        <v>2.0</v>
      </c>
      <c r="AN2761" s="1">
        <v>1.0</v>
      </c>
      <c r="AO2761" s="1" t="s">
        <v>198</v>
      </c>
      <c r="AP2761" s="1">
        <v>1.0</v>
      </c>
      <c r="AQ2761" s="1" t="s">
        <v>198</v>
      </c>
      <c r="AR2761" s="1" t="s">
        <v>192</v>
      </c>
      <c r="AS2761" s="1" t="s">
        <v>510</v>
      </c>
      <c r="AT2761" s="1">
        <v>2.5</v>
      </c>
      <c r="AU2761" s="1">
        <v>3.0</v>
      </c>
      <c r="AV2761" s="1" t="s">
        <v>200</v>
      </c>
      <c r="AW2761" s="1">
        <v>5488.0</v>
      </c>
      <c r="AX2761" s="1">
        <v>2013.0</v>
      </c>
      <c r="AZ2761" s="1" t="s">
        <v>200</v>
      </c>
      <c r="BA2761" s="1" t="str">
        <f>"13241180340000"</f>
        <v>13241180340000</v>
      </c>
      <c r="BC2761" s="1">
        <v>3900.0</v>
      </c>
      <c r="BD2761" s="1">
        <v>638125.0</v>
      </c>
      <c r="BE2761" s="2">
        <v>42046.0</v>
      </c>
      <c r="BF2761" s="2" t="s">
        <v>24374</v>
      </c>
      <c r="BH2761" s="1">
        <v>0.0</v>
      </c>
      <c r="BK2761" s="1" t="s">
        <v>204</v>
      </c>
      <c r="BL2761" s="1" t="str">
        <f>"3718"</f>
        <v>3718</v>
      </c>
      <c r="BM2761" s="1" t="str">
        <f t="shared" si="1796"/>
        <v>0</v>
      </c>
      <c r="BN2761" s="1">
        <v>3100.0</v>
      </c>
      <c r="BO2761" s="1">
        <v>0.0</v>
      </c>
      <c r="BQ2761" s="1">
        <v>299.0</v>
      </c>
      <c r="BR2761" s="1">
        <v>299.0</v>
      </c>
      <c r="BS2761" s="1">
        <v>299.0</v>
      </c>
      <c r="BU2761" s="1" t="s">
        <v>1535</v>
      </c>
      <c r="BV2761" s="1" t="s">
        <v>206</v>
      </c>
      <c r="BW2761" s="1" t="s">
        <v>207</v>
      </c>
      <c r="BX2761" s="1" t="s">
        <v>1118</v>
      </c>
      <c r="BY2761" s="1" t="s">
        <v>329</v>
      </c>
      <c r="BZ2761" s="1" t="s">
        <v>209</v>
      </c>
      <c r="CA2761" s="1" t="s">
        <v>207</v>
      </c>
      <c r="CB2761" s="1" t="s">
        <v>1118</v>
      </c>
      <c r="CC2761" s="1" t="s">
        <v>758</v>
      </c>
      <c r="CD2761" s="1" t="s">
        <v>206</v>
      </c>
      <c r="CE2761" s="1" t="s">
        <v>207</v>
      </c>
      <c r="CG2761" s="1" t="s">
        <v>392</v>
      </c>
      <c r="CH2761" s="1" t="s">
        <v>206</v>
      </c>
      <c r="CI2761" s="1" t="s">
        <v>207</v>
      </c>
      <c r="CK2761" s="1" t="s">
        <v>269</v>
      </c>
      <c r="CL2761" s="1" t="s">
        <v>206</v>
      </c>
      <c r="CM2761" s="1" t="s">
        <v>207</v>
      </c>
      <c r="CO2761" s="1" t="s">
        <v>1190</v>
      </c>
      <c r="CP2761" s="1" t="s">
        <v>42</v>
      </c>
      <c r="CQ2761" s="1" t="s">
        <v>268</v>
      </c>
      <c r="CS2761" s="1" t="s">
        <v>12565</v>
      </c>
      <c r="CT2761" s="1" t="s">
        <v>206</v>
      </c>
      <c r="CU2761" s="1" t="s">
        <v>207</v>
      </c>
      <c r="CW2761" s="1" t="s">
        <v>7715</v>
      </c>
      <c r="CX2761" s="1" t="s">
        <v>42</v>
      </c>
      <c r="CY2761" s="1" t="s">
        <v>210</v>
      </c>
      <c r="DA2761" s="1" t="s">
        <v>200</v>
      </c>
      <c r="DC2761" s="1" t="s">
        <v>216</v>
      </c>
      <c r="DD2761" s="1" t="s">
        <v>518</v>
      </c>
      <c r="DE2761" s="1" t="s">
        <v>218</v>
      </c>
      <c r="DF2761" s="1" t="s">
        <v>24375</v>
      </c>
      <c r="DG2761" s="1" t="s">
        <v>337</v>
      </c>
      <c r="DH2761" s="1" t="s">
        <v>365</v>
      </c>
      <c r="DI2761" s="1" t="s">
        <v>24376</v>
      </c>
      <c r="DJ2761" s="1" t="s">
        <v>222</v>
      </c>
      <c r="DK2761" s="1" t="s">
        <v>4233</v>
      </c>
      <c r="DL2761" s="1" t="s">
        <v>224</v>
      </c>
      <c r="DM2761" s="1" t="s">
        <v>1658</v>
      </c>
      <c r="DN2761" s="1" t="s">
        <v>439</v>
      </c>
      <c r="DO2761" s="1" t="s">
        <v>549</v>
      </c>
      <c r="DP2761" s="1" t="s">
        <v>340</v>
      </c>
      <c r="DQ2761" s="1" t="s">
        <v>228</v>
      </c>
      <c r="DR2761" s="1" t="s">
        <v>229</v>
      </c>
      <c r="DS2761" s="1" t="s">
        <v>230</v>
      </c>
      <c r="DU2761" s="1" t="s">
        <v>681</v>
      </c>
      <c r="DV2761" s="1" t="s">
        <v>24377</v>
      </c>
      <c r="DW2761" s="1" t="s">
        <v>279</v>
      </c>
      <c r="DX2761" s="1" t="s">
        <v>280</v>
      </c>
      <c r="DY2761" s="1" t="s">
        <v>12003</v>
      </c>
      <c r="DZ2761" s="1" t="s">
        <v>310</v>
      </c>
      <c r="EA2761" s="1" t="s">
        <v>644</v>
      </c>
      <c r="EB2761" s="1" t="s">
        <v>797</v>
      </c>
      <c r="EC2761" s="1" t="s">
        <v>237</v>
      </c>
      <c r="ED2761" s="1" t="s">
        <v>1794</v>
      </c>
      <c r="EE2761" s="1" t="s">
        <v>522</v>
      </c>
      <c r="EF2761" s="1" t="s">
        <v>523</v>
      </c>
      <c r="EG2761" s="1" t="s">
        <v>557</v>
      </c>
      <c r="EH2761" s="1" t="s">
        <v>1102</v>
      </c>
      <c r="EI2761" s="1" t="s">
        <v>409</v>
      </c>
      <c r="EJ2761" s="1" t="s">
        <v>588</v>
      </c>
      <c r="EL2761" s="1" t="s">
        <v>8668</v>
      </c>
      <c r="EM2761" s="1" t="s">
        <v>42</v>
      </c>
      <c r="EN2761" s="1" t="s">
        <v>617</v>
      </c>
      <c r="EP2761" s="1" t="s">
        <v>375</v>
      </c>
      <c r="EQ2761" s="1" t="s">
        <v>206</v>
      </c>
      <c r="ET2761" s="1" t="s">
        <v>2223</v>
      </c>
      <c r="EU2761" s="1" t="s">
        <v>209</v>
      </c>
      <c r="EV2761" s="1" t="s">
        <v>207</v>
      </c>
      <c r="EX2761" s="1" t="s">
        <v>330</v>
      </c>
      <c r="EY2761" s="1" t="s">
        <v>209</v>
      </c>
      <c r="EZ2761" s="1" t="s">
        <v>588</v>
      </c>
      <c r="FC2761" s="1" t="s">
        <v>238</v>
      </c>
      <c r="FF2761" s="1" t="s">
        <v>239</v>
      </c>
      <c r="FG2761" s="1" t="s">
        <v>192</v>
      </c>
      <c r="FH2761" s="1" t="s">
        <v>192</v>
      </c>
      <c r="FJ2761" s="1" t="s">
        <v>1450</v>
      </c>
      <c r="FK2761" s="1" t="s">
        <v>229</v>
      </c>
      <c r="FL2761" s="1" t="s">
        <v>24378</v>
      </c>
      <c r="FM2761" s="1">
        <v>11097.0</v>
      </c>
      <c r="FN2761" s="1" t="s">
        <v>24379</v>
      </c>
      <c r="FO2761" s="1" t="s">
        <v>24380</v>
      </c>
      <c r="FP2761" s="1">
        <v>110915.0</v>
      </c>
      <c r="FQ2761" s="1" t="s">
        <v>24381</v>
      </c>
      <c r="FR2761" s="1">
        <v>841765.0</v>
      </c>
      <c r="FS2761" s="1" t="s">
        <v>24382</v>
      </c>
      <c r="FU2761" s="1" t="s">
        <v>24383</v>
      </c>
      <c r="FV2761" s="1" t="s">
        <v>200</v>
      </c>
      <c r="FW2761" s="1" t="s">
        <v>631</v>
      </c>
      <c r="FX2761" s="1" t="s">
        <v>238</v>
      </c>
      <c r="FZ2761" s="1" t="s">
        <v>504</v>
      </c>
      <c r="GA2761" s="1" t="s">
        <v>291</v>
      </c>
      <c r="GB2761" s="2">
        <v>42123.0</v>
      </c>
      <c r="GC2761" s="1" t="s">
        <v>24384</v>
      </c>
    </row>
    <row r="2762">
      <c r="A2762" s="1">
        <v>194900.0</v>
      </c>
      <c r="B2762" s="1" t="s">
        <v>185</v>
      </c>
      <c r="C2762" s="1" t="str">
        <f>"08837225"</f>
        <v>08837225</v>
      </c>
      <c r="D2762" s="1" t="s">
        <v>186</v>
      </c>
      <c r="F2762" s="1" t="str">
        <f>"8046"</f>
        <v>8046</v>
      </c>
      <c r="G2762" s="2">
        <v>42047.0</v>
      </c>
      <c r="H2762" s="1">
        <v>194900.0</v>
      </c>
      <c r="I2762" s="1">
        <v>22.0</v>
      </c>
      <c r="J2762" s="1">
        <v>194900.0</v>
      </c>
      <c r="K2762" s="2">
        <v>42068.0</v>
      </c>
      <c r="L2762" s="1">
        <v>22.0</v>
      </c>
      <c r="M2762" s="2">
        <v>42068.0</v>
      </c>
      <c r="N2762" s="1" t="s">
        <v>356</v>
      </c>
      <c r="O2762" s="2">
        <v>42104.0</v>
      </c>
      <c r="P2762" s="1">
        <v>149967.0</v>
      </c>
      <c r="Q2762" s="1">
        <v>16921.0</v>
      </c>
      <c r="R2762" s="1">
        <v>3.0</v>
      </c>
      <c r="S2762" s="1">
        <v>8518.0</v>
      </c>
      <c r="T2762" s="1" t="s">
        <v>7046</v>
      </c>
      <c r="U2762" s="1" t="s">
        <v>1442</v>
      </c>
      <c r="V2762" s="1" t="s">
        <v>190</v>
      </c>
      <c r="W2762" s="1">
        <v>60617.0</v>
      </c>
      <c r="Y2762" s="1" t="s">
        <v>24385</v>
      </c>
      <c r="Z2762" s="1">
        <v>1950.0</v>
      </c>
      <c r="AA2762" s="1" t="s">
        <v>192</v>
      </c>
      <c r="AB2762" s="1" t="s">
        <v>193</v>
      </c>
      <c r="AD2762" s="1" t="s">
        <v>194</v>
      </c>
      <c r="AE2762" s="1" t="s">
        <v>195</v>
      </c>
      <c r="AF2762" s="1" t="s">
        <v>637</v>
      </c>
      <c r="AH2762" s="1" t="s">
        <v>2164</v>
      </c>
      <c r="AI2762" s="1">
        <v>0.1148</v>
      </c>
      <c r="AK2762" s="1">
        <v>7.0</v>
      </c>
      <c r="AL2762" s="1">
        <v>4.0</v>
      </c>
      <c r="AM2762" s="1">
        <v>3.0</v>
      </c>
      <c r="AN2762" s="1">
        <v>0.0</v>
      </c>
      <c r="AO2762" s="1" t="s">
        <v>229</v>
      </c>
      <c r="AQ2762" s="1" t="s">
        <v>198</v>
      </c>
      <c r="AR2762" s="1" t="s">
        <v>192</v>
      </c>
      <c r="AS2762" s="1" t="s">
        <v>199</v>
      </c>
      <c r="AT2762" s="1">
        <v>2.0</v>
      </c>
      <c r="AV2762" s="1" t="s">
        <v>200</v>
      </c>
      <c r="AW2762" s="1">
        <v>1999.25</v>
      </c>
      <c r="AX2762" s="1">
        <v>2013.0</v>
      </c>
      <c r="AY2762" s="1" t="s">
        <v>229</v>
      </c>
      <c r="AZ2762" s="1" t="s">
        <v>545</v>
      </c>
      <c r="BA2762" s="1" t="str">
        <f>"20364210920000"</f>
        <v>20364210920000</v>
      </c>
      <c r="BB2762" s="1" t="s">
        <v>200</v>
      </c>
      <c r="BC2762" s="1">
        <v>2000.0</v>
      </c>
      <c r="BD2762" s="1">
        <v>194900.0</v>
      </c>
      <c r="BE2762" s="2">
        <v>42047.0</v>
      </c>
      <c r="BF2762" s="2" t="s">
        <v>24386</v>
      </c>
      <c r="BH2762" s="1">
        <v>0.0</v>
      </c>
      <c r="BK2762" s="1" t="s">
        <v>204</v>
      </c>
      <c r="BL2762" s="1" t="str">
        <f>"0"</f>
        <v>0</v>
      </c>
      <c r="BM2762" s="1" t="str">
        <f>"2400"</f>
        <v>2400</v>
      </c>
      <c r="BN2762" s="1">
        <v>0.0</v>
      </c>
      <c r="BO2762" s="1">
        <v>8621.0</v>
      </c>
      <c r="BQ2762" s="1">
        <v>299.0</v>
      </c>
      <c r="BR2762" s="1">
        <v>299.0</v>
      </c>
      <c r="BS2762" s="1">
        <v>299.0</v>
      </c>
      <c r="BU2762" s="1" t="s">
        <v>1000</v>
      </c>
      <c r="BV2762" s="1" t="s">
        <v>206</v>
      </c>
      <c r="BW2762" s="1" t="s">
        <v>207</v>
      </c>
      <c r="BX2762" s="1" t="s">
        <v>431</v>
      </c>
      <c r="BY2762" s="1" t="s">
        <v>208</v>
      </c>
      <c r="BZ2762" s="1" t="s">
        <v>209</v>
      </c>
      <c r="CA2762" s="1" t="s">
        <v>210</v>
      </c>
      <c r="CB2762" s="1" t="s">
        <v>431</v>
      </c>
      <c r="CD2762" s="1" t="s">
        <v>204</v>
      </c>
      <c r="CF2762" s="1" t="s">
        <v>229</v>
      </c>
      <c r="CG2762" s="1" t="s">
        <v>332</v>
      </c>
      <c r="CH2762" s="1" t="s">
        <v>206</v>
      </c>
      <c r="CI2762" s="1" t="s">
        <v>207</v>
      </c>
      <c r="CJ2762" s="1" t="s">
        <v>431</v>
      </c>
      <c r="CK2762" s="1" t="s">
        <v>332</v>
      </c>
      <c r="CL2762" s="1" t="s">
        <v>206</v>
      </c>
      <c r="CM2762" s="1" t="s">
        <v>207</v>
      </c>
      <c r="CN2762" s="1" t="s">
        <v>431</v>
      </c>
      <c r="CO2762" s="1" t="s">
        <v>454</v>
      </c>
      <c r="CP2762" s="1" t="s">
        <v>209</v>
      </c>
      <c r="CQ2762" s="1" t="s">
        <v>210</v>
      </c>
      <c r="CR2762" s="1" t="s">
        <v>431</v>
      </c>
      <c r="CS2762" s="1" t="s">
        <v>1001</v>
      </c>
      <c r="CT2762" s="1" t="s">
        <v>206</v>
      </c>
      <c r="CU2762" s="1" t="s">
        <v>268</v>
      </c>
      <c r="CV2762" s="1" t="s">
        <v>431</v>
      </c>
      <c r="CX2762" s="1" t="s">
        <v>204</v>
      </c>
      <c r="DA2762" s="1" t="s">
        <v>200</v>
      </c>
      <c r="DC2762" s="1" t="s">
        <v>702</v>
      </c>
      <c r="DE2762" s="1" t="s">
        <v>273</v>
      </c>
      <c r="DF2762" s="1" t="s">
        <v>619</v>
      </c>
      <c r="DG2762" s="1" t="s">
        <v>24387</v>
      </c>
      <c r="DH2762" s="1" t="s">
        <v>220</v>
      </c>
      <c r="DI2762" s="1" t="s">
        <v>703</v>
      </c>
      <c r="DJ2762" s="1" t="s">
        <v>222</v>
      </c>
      <c r="DL2762" s="1" t="s">
        <v>858</v>
      </c>
      <c r="DM2762" s="1" t="s">
        <v>225</v>
      </c>
      <c r="DO2762" s="1" t="s">
        <v>549</v>
      </c>
      <c r="DQ2762" s="1" t="s">
        <v>228</v>
      </c>
      <c r="DR2762" s="1" t="s">
        <v>229</v>
      </c>
      <c r="DS2762" s="1" t="s">
        <v>401</v>
      </c>
      <c r="DV2762" s="1" t="s">
        <v>450</v>
      </c>
      <c r="DW2762" s="1" t="s">
        <v>279</v>
      </c>
      <c r="DX2762" s="1" t="s">
        <v>234</v>
      </c>
      <c r="EC2762" s="1" t="s">
        <v>645</v>
      </c>
      <c r="EG2762" s="1" t="s">
        <v>450</v>
      </c>
      <c r="EL2762" s="1" t="s">
        <v>9052</v>
      </c>
      <c r="EM2762" s="1" t="s">
        <v>42</v>
      </c>
      <c r="EN2762" s="1" t="s">
        <v>268</v>
      </c>
      <c r="EO2762" s="1" t="s">
        <v>229</v>
      </c>
      <c r="EQ2762" s="1" t="s">
        <v>238</v>
      </c>
      <c r="EU2762" s="1" t="s">
        <v>238</v>
      </c>
      <c r="EY2762" s="1" t="s">
        <v>238</v>
      </c>
      <c r="FC2762" s="1" t="s">
        <v>238</v>
      </c>
      <c r="FF2762" s="1" t="s">
        <v>229</v>
      </c>
      <c r="FG2762" s="1" t="s">
        <v>200</v>
      </c>
      <c r="FH2762" s="1" t="s">
        <v>200</v>
      </c>
      <c r="FJ2762" s="1" t="s">
        <v>648</v>
      </c>
      <c r="FK2762" s="1" t="s">
        <v>229</v>
      </c>
      <c r="FL2762" s="1" t="s">
        <v>649</v>
      </c>
      <c r="FM2762" s="1">
        <v>60296.0</v>
      </c>
      <c r="FN2762" s="1" t="s">
        <v>650</v>
      </c>
      <c r="FO2762" s="1" t="s">
        <v>651</v>
      </c>
      <c r="FP2762" s="1">
        <v>602837.0</v>
      </c>
      <c r="FQ2762" s="1" t="s">
        <v>652</v>
      </c>
      <c r="FR2762" s="1">
        <v>602442.0</v>
      </c>
      <c r="FU2762" s="1" t="s">
        <v>353</v>
      </c>
      <c r="FV2762" s="1" t="s">
        <v>200</v>
      </c>
      <c r="FW2762" s="1" t="s">
        <v>530</v>
      </c>
      <c r="FX2762" s="1" t="s">
        <v>655</v>
      </c>
      <c r="FZ2762" s="1" t="s">
        <v>229</v>
      </c>
      <c r="GA2762" s="1" t="s">
        <v>291</v>
      </c>
      <c r="GB2762" s="2">
        <v>42109.0</v>
      </c>
      <c r="GC2762" s="1" t="s">
        <v>723</v>
      </c>
    </row>
    <row r="2763">
      <c r="A2763" s="1">
        <v>267060.0</v>
      </c>
      <c r="B2763" s="1" t="s">
        <v>185</v>
      </c>
      <c r="C2763" s="1" t="str">
        <f>"08830856"</f>
        <v>08830856</v>
      </c>
      <c r="D2763" s="1" t="s">
        <v>186</v>
      </c>
      <c r="F2763" s="1" t="str">
        <f>"177"</f>
        <v>177</v>
      </c>
      <c r="G2763" s="2">
        <v>42039.0</v>
      </c>
      <c r="H2763" s="1">
        <v>278060.0</v>
      </c>
      <c r="I2763" s="1">
        <v>298.0</v>
      </c>
      <c r="J2763" s="1">
        <v>278060.0</v>
      </c>
      <c r="K2763" s="2">
        <v>42059.0</v>
      </c>
      <c r="L2763" s="1">
        <v>23.0</v>
      </c>
      <c r="M2763" s="2">
        <v>42059.0</v>
      </c>
      <c r="N2763" s="1" t="s">
        <v>187</v>
      </c>
      <c r="O2763" s="2">
        <v>42090.0</v>
      </c>
      <c r="P2763" s="1">
        <v>99999.0</v>
      </c>
      <c r="Q2763" s="1" t="s">
        <v>947</v>
      </c>
      <c r="S2763" s="1">
        <v>1350.0</v>
      </c>
      <c r="T2763" s="1" t="s">
        <v>11122</v>
      </c>
      <c r="U2763" s="1" t="s">
        <v>569</v>
      </c>
      <c r="V2763" s="1" t="s">
        <v>2249</v>
      </c>
      <c r="W2763" s="1">
        <v>60177.0</v>
      </c>
      <c r="Y2763" s="1" t="s">
        <v>11123</v>
      </c>
      <c r="Z2763" s="1">
        <v>2014.0</v>
      </c>
      <c r="AA2763" s="1" t="s">
        <v>200</v>
      </c>
      <c r="AB2763" s="1" t="s">
        <v>193</v>
      </c>
      <c r="AC2763" s="1" t="s">
        <v>11728</v>
      </c>
      <c r="AD2763" s="1" t="s">
        <v>2252</v>
      </c>
      <c r="AE2763" s="1" t="s">
        <v>325</v>
      </c>
      <c r="AF2763" s="1" t="s">
        <v>469</v>
      </c>
      <c r="AG2763" s="1" t="s">
        <v>11752</v>
      </c>
      <c r="AH2763" s="1" t="s">
        <v>11126</v>
      </c>
      <c r="AK2763" s="1">
        <v>9.0</v>
      </c>
      <c r="AL2763" s="1">
        <v>4.0</v>
      </c>
      <c r="AM2763" s="1">
        <v>2.0</v>
      </c>
      <c r="AN2763" s="1">
        <v>1.0</v>
      </c>
      <c r="AO2763" s="1" t="s">
        <v>198</v>
      </c>
      <c r="AQ2763" s="1" t="s">
        <v>1314</v>
      </c>
      <c r="AR2763" s="1" t="s">
        <v>200</v>
      </c>
      <c r="AS2763" s="1" t="s">
        <v>199</v>
      </c>
      <c r="AT2763" s="1">
        <v>2.0</v>
      </c>
      <c r="AV2763" s="1" t="s">
        <v>200</v>
      </c>
      <c r="AW2763" s="1" t="s">
        <v>575</v>
      </c>
      <c r="AX2763" s="1">
        <v>2013.0</v>
      </c>
      <c r="AZ2763" s="1" t="s">
        <v>200</v>
      </c>
      <c r="BA2763" s="1" t="str">
        <f>"0625330015"</f>
        <v>0625330015</v>
      </c>
      <c r="BB2763" s="1" t="s">
        <v>200</v>
      </c>
      <c r="BC2763" s="1">
        <v>2330.0</v>
      </c>
      <c r="BD2763" s="1">
        <v>267060.0</v>
      </c>
      <c r="BE2763" s="2">
        <v>42037.0</v>
      </c>
      <c r="BF2763" s="2" t="s">
        <v>24388</v>
      </c>
      <c r="BG2763" s="1" t="s">
        <v>11128</v>
      </c>
      <c r="BH2763" s="1">
        <v>200.0</v>
      </c>
      <c r="BI2763" s="1" t="s">
        <v>11129</v>
      </c>
      <c r="BJ2763" s="1" t="s">
        <v>11130</v>
      </c>
      <c r="BK2763" s="1" t="s">
        <v>580</v>
      </c>
      <c r="BL2763" s="1" t="str">
        <f t="shared" ref="BL2763:BM2763" si="1797">""</f>
        <v/>
      </c>
      <c r="BM2763" s="1" t="str">
        <f t="shared" si="1797"/>
        <v/>
      </c>
      <c r="BQ2763" s="1">
        <v>46.0</v>
      </c>
      <c r="BR2763" s="1">
        <v>46.0</v>
      </c>
      <c r="BS2763" s="1">
        <v>46.0</v>
      </c>
      <c r="BU2763" s="1" t="s">
        <v>393</v>
      </c>
      <c r="BV2763" s="1" t="s">
        <v>206</v>
      </c>
      <c r="BY2763" s="1" t="s">
        <v>830</v>
      </c>
      <c r="BZ2763" s="1" t="s">
        <v>209</v>
      </c>
      <c r="CA2763" s="1" t="s">
        <v>210</v>
      </c>
      <c r="CD2763" s="1" t="s">
        <v>204</v>
      </c>
      <c r="CG2763" s="1" t="s">
        <v>302</v>
      </c>
      <c r="CH2763" s="1" t="s">
        <v>209</v>
      </c>
      <c r="CI2763" s="1" t="s">
        <v>210</v>
      </c>
      <c r="CK2763" s="1" t="s">
        <v>1417</v>
      </c>
      <c r="CL2763" s="1" t="s">
        <v>209</v>
      </c>
      <c r="CM2763" s="1" t="s">
        <v>210</v>
      </c>
      <c r="CO2763" s="1" t="s">
        <v>1417</v>
      </c>
      <c r="CP2763" s="1" t="s">
        <v>209</v>
      </c>
      <c r="CS2763" s="1" t="s">
        <v>1351</v>
      </c>
      <c r="CT2763" s="1" t="s">
        <v>206</v>
      </c>
      <c r="CW2763" s="1" t="s">
        <v>214</v>
      </c>
      <c r="CX2763" s="1" t="s">
        <v>206</v>
      </c>
      <c r="DA2763" s="1" t="s">
        <v>192</v>
      </c>
      <c r="DB2763" s="2">
        <v>42039.0</v>
      </c>
      <c r="DC2763" s="1" t="s">
        <v>1353</v>
      </c>
      <c r="DD2763" s="1" t="s">
        <v>2094</v>
      </c>
      <c r="DE2763" s="1" t="s">
        <v>273</v>
      </c>
      <c r="DF2763" s="1" t="s">
        <v>219</v>
      </c>
      <c r="DH2763" s="1" t="s">
        <v>220</v>
      </c>
      <c r="DI2763" s="1" t="s">
        <v>1021</v>
      </c>
      <c r="DJ2763" s="1" t="s">
        <v>222</v>
      </c>
      <c r="DL2763" s="1" t="s">
        <v>223</v>
      </c>
      <c r="DM2763" s="1" t="s">
        <v>229</v>
      </c>
      <c r="DQ2763" s="1" t="s">
        <v>228</v>
      </c>
      <c r="DR2763" s="1" t="s">
        <v>229</v>
      </c>
      <c r="DS2763" s="1" t="s">
        <v>591</v>
      </c>
      <c r="DU2763" s="1" t="s">
        <v>550</v>
      </c>
      <c r="DV2763" s="1" t="s">
        <v>8941</v>
      </c>
      <c r="DW2763" s="1" t="s">
        <v>233</v>
      </c>
      <c r="DX2763" s="1" t="s">
        <v>234</v>
      </c>
      <c r="DY2763" s="1" t="s">
        <v>3075</v>
      </c>
      <c r="EA2763" s="1" t="s">
        <v>344</v>
      </c>
      <c r="EC2763" s="1" t="s">
        <v>237</v>
      </c>
      <c r="EE2763" s="1" t="s">
        <v>493</v>
      </c>
      <c r="EG2763" s="1" t="s">
        <v>556</v>
      </c>
      <c r="EH2763" s="1" t="s">
        <v>341</v>
      </c>
      <c r="EL2763" s="1" t="s">
        <v>1417</v>
      </c>
      <c r="EM2763" s="1" t="s">
        <v>209</v>
      </c>
      <c r="EP2763" s="1" t="s">
        <v>302</v>
      </c>
      <c r="EQ2763" s="1" t="s">
        <v>209</v>
      </c>
      <c r="ER2763" s="1" t="s">
        <v>210</v>
      </c>
      <c r="EU2763" s="1" t="s">
        <v>238</v>
      </c>
      <c r="EY2763" s="1" t="s">
        <v>238</v>
      </c>
      <c r="FC2763" s="1" t="s">
        <v>238</v>
      </c>
      <c r="FF2763" s="1" t="s">
        <v>239</v>
      </c>
      <c r="FG2763" s="1" t="s">
        <v>192</v>
      </c>
      <c r="FH2763" s="1" t="s">
        <v>192</v>
      </c>
      <c r="FJ2763" s="1" t="s">
        <v>624</v>
      </c>
      <c r="FK2763" s="1" t="s">
        <v>348</v>
      </c>
      <c r="FL2763" s="1" t="s">
        <v>1358</v>
      </c>
      <c r="FM2763" s="1">
        <v>23591.0</v>
      </c>
      <c r="FN2763" s="1" t="s">
        <v>2134</v>
      </c>
      <c r="FO2763" s="1" t="s">
        <v>11054</v>
      </c>
      <c r="FP2763" s="1">
        <v>221299.0</v>
      </c>
      <c r="FQ2763" s="1" t="s">
        <v>11055</v>
      </c>
      <c r="FS2763" s="1">
        <v>6.303342763E9</v>
      </c>
      <c r="FT2763" s="1" t="s">
        <v>24389</v>
      </c>
      <c r="FU2763" s="1" t="s">
        <v>11733</v>
      </c>
      <c r="FV2763" s="1" t="s">
        <v>200</v>
      </c>
      <c r="FW2763" s="1" t="s">
        <v>11132</v>
      </c>
      <c r="FZ2763" s="1" t="s">
        <v>229</v>
      </c>
      <c r="GA2763" s="1" t="s">
        <v>291</v>
      </c>
      <c r="GB2763" s="2">
        <v>42105.0</v>
      </c>
      <c r="GC2763" s="1" t="s">
        <v>11734</v>
      </c>
    </row>
    <row r="2764">
      <c r="A2764" s="1">
        <v>335000.0</v>
      </c>
      <c r="B2764" s="1" t="s">
        <v>185</v>
      </c>
      <c r="C2764" s="1" t="str">
        <f>"08835736"</f>
        <v>08835736</v>
      </c>
      <c r="D2764" s="1" t="s">
        <v>186</v>
      </c>
      <c r="F2764" s="1" t="str">
        <f>"8042"</f>
        <v>8042</v>
      </c>
      <c r="G2764" s="2">
        <v>42045.0</v>
      </c>
      <c r="H2764" s="1">
        <v>350000.0</v>
      </c>
      <c r="I2764" s="1">
        <v>149.0</v>
      </c>
      <c r="J2764" s="1">
        <v>350000.0</v>
      </c>
      <c r="K2764" s="2">
        <v>42067.0</v>
      </c>
      <c r="L2764" s="1">
        <v>23.0</v>
      </c>
      <c r="M2764" s="2">
        <v>42067.0</v>
      </c>
      <c r="N2764" s="1" t="s">
        <v>187</v>
      </c>
      <c r="O2764" s="2">
        <v>42130.0</v>
      </c>
      <c r="P2764" s="1">
        <v>118282.0</v>
      </c>
      <c r="Q2764" s="1">
        <v>85175.0</v>
      </c>
      <c r="S2764" s="1">
        <v>6148.0</v>
      </c>
      <c r="T2764" s="1" t="s">
        <v>13273</v>
      </c>
      <c r="U2764" s="1" t="s">
        <v>189</v>
      </c>
      <c r="V2764" s="1" t="s">
        <v>190</v>
      </c>
      <c r="W2764" s="1">
        <v>60637.0</v>
      </c>
      <c r="Y2764" s="1" t="s">
        <v>24390</v>
      </c>
      <c r="Z2764" s="1">
        <v>1895.0</v>
      </c>
      <c r="AA2764" s="1" t="s">
        <v>192</v>
      </c>
      <c r="AB2764" s="1" t="s">
        <v>193</v>
      </c>
      <c r="AD2764" s="1" t="s">
        <v>194</v>
      </c>
      <c r="AE2764" s="1" t="s">
        <v>195</v>
      </c>
      <c r="AF2764" s="1" t="s">
        <v>637</v>
      </c>
      <c r="AH2764" s="1" t="s">
        <v>359</v>
      </c>
      <c r="AI2764" s="1">
        <v>0.0746</v>
      </c>
      <c r="AK2764" s="1">
        <v>9.0</v>
      </c>
      <c r="AL2764" s="1">
        <v>4.0</v>
      </c>
      <c r="AM2764" s="1">
        <v>3.0</v>
      </c>
      <c r="AN2764" s="1">
        <v>1.0</v>
      </c>
      <c r="AO2764" s="1" t="s">
        <v>198</v>
      </c>
      <c r="AQ2764" s="1" t="s">
        <v>472</v>
      </c>
      <c r="AR2764" s="1" t="s">
        <v>192</v>
      </c>
      <c r="AS2764" s="1" t="s">
        <v>828</v>
      </c>
      <c r="AU2764" s="1">
        <v>2.0</v>
      </c>
      <c r="AV2764" s="1" t="s">
        <v>200</v>
      </c>
      <c r="AW2764" s="1">
        <v>3328.69</v>
      </c>
      <c r="AX2764" s="1">
        <v>2013.0</v>
      </c>
      <c r="AZ2764" s="1" t="s">
        <v>200</v>
      </c>
      <c r="BA2764" s="1" t="str">
        <f>"20143090120000"</f>
        <v>20143090120000</v>
      </c>
      <c r="BC2764" s="1">
        <v>0.0</v>
      </c>
      <c r="BD2764" s="1">
        <v>335000.0</v>
      </c>
      <c r="BE2764" s="2">
        <v>42045.0</v>
      </c>
      <c r="BF2764" s="1" t="s">
        <v>24391</v>
      </c>
      <c r="BH2764" s="1">
        <v>0.0</v>
      </c>
      <c r="BK2764" s="1" t="s">
        <v>204</v>
      </c>
      <c r="BL2764" s="1" t="str">
        <f>"0"</f>
        <v>0</v>
      </c>
      <c r="BM2764" s="1" t="str">
        <f>"1000"</f>
        <v>1000</v>
      </c>
      <c r="BN2764" s="1">
        <v>0.0</v>
      </c>
      <c r="BO2764" s="1">
        <v>6148.0</v>
      </c>
      <c r="BQ2764" s="1">
        <v>299.0</v>
      </c>
      <c r="BR2764" s="1">
        <v>299.0</v>
      </c>
      <c r="BS2764" s="1">
        <v>299.0</v>
      </c>
      <c r="BU2764" s="1" t="s">
        <v>13124</v>
      </c>
      <c r="BV2764" s="1" t="s">
        <v>206</v>
      </c>
      <c r="BW2764" s="1" t="s">
        <v>207</v>
      </c>
      <c r="BY2764" s="1" t="s">
        <v>2647</v>
      </c>
      <c r="BZ2764" s="1" t="s">
        <v>209</v>
      </c>
      <c r="CA2764" s="1" t="s">
        <v>207</v>
      </c>
      <c r="CC2764" s="1" t="s">
        <v>2082</v>
      </c>
      <c r="CD2764" s="1" t="s">
        <v>206</v>
      </c>
      <c r="CG2764" s="1" t="s">
        <v>2647</v>
      </c>
      <c r="CH2764" s="1" t="s">
        <v>209</v>
      </c>
      <c r="CI2764" s="1" t="s">
        <v>207</v>
      </c>
      <c r="CK2764" s="1" t="s">
        <v>663</v>
      </c>
      <c r="CL2764" s="1" t="s">
        <v>209</v>
      </c>
      <c r="CO2764" s="1" t="s">
        <v>495</v>
      </c>
      <c r="CP2764" s="1" t="s">
        <v>267</v>
      </c>
      <c r="CS2764" s="1" t="s">
        <v>363</v>
      </c>
      <c r="CT2764" s="1" t="s">
        <v>206</v>
      </c>
      <c r="CW2764" s="1" t="s">
        <v>3892</v>
      </c>
      <c r="CX2764" s="1" t="s">
        <v>267</v>
      </c>
      <c r="CY2764" s="1" t="s">
        <v>210</v>
      </c>
      <c r="DA2764" s="1" t="s">
        <v>200</v>
      </c>
      <c r="DC2764" s="1" t="s">
        <v>642</v>
      </c>
      <c r="DE2764" s="1" t="s">
        <v>273</v>
      </c>
      <c r="DF2764" s="1" t="s">
        <v>219</v>
      </c>
      <c r="DH2764" s="1" t="s">
        <v>365</v>
      </c>
      <c r="DI2764" s="1" t="s">
        <v>703</v>
      </c>
      <c r="DJ2764" s="1" t="s">
        <v>222</v>
      </c>
      <c r="DL2764" s="1" t="s">
        <v>224</v>
      </c>
      <c r="DM2764" s="1" t="s">
        <v>3575</v>
      </c>
      <c r="DQ2764" s="1" t="s">
        <v>228</v>
      </c>
      <c r="DR2764" s="1" t="s">
        <v>229</v>
      </c>
      <c r="DV2764" s="1" t="s">
        <v>556</v>
      </c>
      <c r="DW2764" s="1" t="s">
        <v>279</v>
      </c>
      <c r="DX2764" s="1" t="s">
        <v>234</v>
      </c>
      <c r="EC2764" s="1" t="s">
        <v>237</v>
      </c>
      <c r="EG2764" s="1" t="s">
        <v>556</v>
      </c>
      <c r="EL2764" s="1" t="s">
        <v>269</v>
      </c>
      <c r="EM2764" s="1" t="s">
        <v>206</v>
      </c>
      <c r="EQ2764" s="1" t="s">
        <v>238</v>
      </c>
      <c r="EU2764" s="1" t="s">
        <v>238</v>
      </c>
      <c r="EY2764" s="1" t="s">
        <v>238</v>
      </c>
      <c r="FC2764" s="1" t="s">
        <v>238</v>
      </c>
      <c r="FF2764" s="1" t="s">
        <v>239</v>
      </c>
      <c r="FG2764" s="1" t="s">
        <v>192</v>
      </c>
      <c r="FH2764" s="1" t="s">
        <v>192</v>
      </c>
      <c r="FJ2764" s="1" t="s">
        <v>2285</v>
      </c>
      <c r="FK2764" s="1" t="s">
        <v>557</v>
      </c>
      <c r="FL2764" s="1" t="s">
        <v>734</v>
      </c>
      <c r="FM2764" s="1">
        <v>10646.0</v>
      </c>
      <c r="FN2764" s="1" t="s">
        <v>735</v>
      </c>
      <c r="FO2764" s="1" t="s">
        <v>2738</v>
      </c>
      <c r="FP2764" s="1">
        <v>105083.0</v>
      </c>
      <c r="FQ2764" s="1" t="s">
        <v>2739</v>
      </c>
      <c r="FU2764" s="1" t="s">
        <v>24392</v>
      </c>
      <c r="FV2764" s="1" t="s">
        <v>200</v>
      </c>
      <c r="FW2764" s="1" t="s">
        <v>1411</v>
      </c>
      <c r="FX2764" s="1" t="s">
        <v>655</v>
      </c>
      <c r="FZ2764" s="1" t="s">
        <v>229</v>
      </c>
      <c r="GA2764" s="1" t="s">
        <v>291</v>
      </c>
      <c r="GB2764" s="2">
        <v>42136.0</v>
      </c>
      <c r="GC2764" s="1" t="s">
        <v>24393</v>
      </c>
    </row>
    <row r="2765">
      <c r="A2765" s="1">
        <v>242500.0</v>
      </c>
      <c r="B2765" s="1" t="s">
        <v>185</v>
      </c>
      <c r="C2765" s="1" t="str">
        <f>"08836347"</f>
        <v>08836347</v>
      </c>
      <c r="D2765" s="1" t="s">
        <v>186</v>
      </c>
      <c r="F2765" s="1" t="str">
        <f>"115"</f>
        <v>115</v>
      </c>
      <c r="G2765" s="2">
        <v>42046.0</v>
      </c>
      <c r="H2765" s="1">
        <v>242500.0</v>
      </c>
      <c r="I2765" s="1">
        <v>9.0</v>
      </c>
      <c r="J2765" s="1">
        <v>242500.0</v>
      </c>
      <c r="K2765" s="2">
        <v>42054.0</v>
      </c>
      <c r="L2765" s="1">
        <v>9.0</v>
      </c>
      <c r="M2765" s="2">
        <v>42054.0</v>
      </c>
      <c r="N2765" s="1" t="s">
        <v>187</v>
      </c>
      <c r="O2765" s="2">
        <v>42115.0</v>
      </c>
      <c r="P2765" s="1">
        <v>930008.0</v>
      </c>
      <c r="Q2765" s="1">
        <v>93008.0</v>
      </c>
      <c r="R2765" s="1">
        <v>2000.0</v>
      </c>
      <c r="S2765" s="1">
        <v>118.0</v>
      </c>
      <c r="T2765" s="1" t="s">
        <v>18851</v>
      </c>
      <c r="U2765" s="1" t="s">
        <v>1174</v>
      </c>
      <c r="V2765" s="1" t="s">
        <v>610</v>
      </c>
      <c r="W2765" s="1">
        <v>60115.0</v>
      </c>
      <c r="Y2765" s="1" t="s">
        <v>24394</v>
      </c>
      <c r="Z2765" s="1">
        <v>1967.0</v>
      </c>
      <c r="AA2765" s="1" t="s">
        <v>192</v>
      </c>
      <c r="AB2765" s="1" t="s">
        <v>193</v>
      </c>
      <c r="AC2765" s="1" t="s">
        <v>7298</v>
      </c>
      <c r="AD2765" s="1" t="s">
        <v>612</v>
      </c>
      <c r="AE2765" s="1" t="s">
        <v>613</v>
      </c>
      <c r="AF2765" s="1" t="s">
        <v>612</v>
      </c>
      <c r="AH2765" s="1" t="s">
        <v>24395</v>
      </c>
      <c r="AI2765" s="1">
        <v>0.42</v>
      </c>
      <c r="AK2765" s="1">
        <v>11.0</v>
      </c>
      <c r="AL2765" s="1">
        <v>4.0</v>
      </c>
      <c r="AM2765" s="1">
        <v>2.0</v>
      </c>
      <c r="AN2765" s="1">
        <v>1.0</v>
      </c>
      <c r="AO2765" s="1" t="s">
        <v>198</v>
      </c>
      <c r="AP2765" s="1">
        <v>2.0</v>
      </c>
      <c r="AQ2765" s="1" t="s">
        <v>198</v>
      </c>
      <c r="AR2765" s="1" t="s">
        <v>200</v>
      </c>
      <c r="AS2765" s="1" t="s">
        <v>199</v>
      </c>
      <c r="AT2765" s="1">
        <v>2.0</v>
      </c>
      <c r="AV2765" s="1" t="s">
        <v>200</v>
      </c>
      <c r="AW2765" s="1">
        <v>6677.12</v>
      </c>
      <c r="AX2765" s="1">
        <v>2013.0</v>
      </c>
      <c r="AY2765" s="1" t="s">
        <v>387</v>
      </c>
      <c r="AZ2765" s="1" t="s">
        <v>200</v>
      </c>
      <c r="BA2765" s="1" t="str">
        <f>"0814156007"</f>
        <v>0814156007</v>
      </c>
      <c r="BB2765" s="1" t="s">
        <v>200</v>
      </c>
      <c r="BC2765" s="1">
        <v>2850.0</v>
      </c>
      <c r="BD2765" s="1">
        <v>242500.0</v>
      </c>
      <c r="BE2765" s="2">
        <v>42046.0</v>
      </c>
      <c r="BF2765" s="2" t="s">
        <v>24396</v>
      </c>
      <c r="BH2765" s="1">
        <v>0.0</v>
      </c>
      <c r="BK2765" s="1" t="s">
        <v>204</v>
      </c>
      <c r="BL2765" s="1" t="str">
        <f t="shared" ref="BL2765:BM2765" si="1798">""</f>
        <v/>
      </c>
      <c r="BM2765" s="1" t="str">
        <f t="shared" si="1798"/>
        <v/>
      </c>
      <c r="BQ2765" s="1">
        <v>428.0</v>
      </c>
      <c r="BR2765" s="1">
        <v>428.0</v>
      </c>
      <c r="BS2765" s="1">
        <v>428.0</v>
      </c>
      <c r="BU2765" s="1" t="s">
        <v>955</v>
      </c>
      <c r="BV2765" s="1" t="s">
        <v>206</v>
      </c>
      <c r="BW2765" s="1" t="s">
        <v>207</v>
      </c>
      <c r="BX2765" s="1" t="s">
        <v>229</v>
      </c>
      <c r="BY2765" s="1" t="s">
        <v>211</v>
      </c>
      <c r="BZ2765" s="1" t="s">
        <v>206</v>
      </c>
      <c r="CA2765" s="1" t="s">
        <v>207</v>
      </c>
      <c r="CB2765" s="1" t="s">
        <v>229</v>
      </c>
      <c r="CC2765" s="1" t="s">
        <v>212</v>
      </c>
      <c r="CD2765" s="1" t="s">
        <v>206</v>
      </c>
      <c r="CE2765" s="1" t="s">
        <v>1136</v>
      </c>
      <c r="CF2765" s="1" t="s">
        <v>229</v>
      </c>
      <c r="CG2765" s="1" t="s">
        <v>211</v>
      </c>
      <c r="CH2765" s="1" t="s">
        <v>206</v>
      </c>
      <c r="CI2765" s="1" t="s">
        <v>207</v>
      </c>
      <c r="CJ2765" s="1" t="s">
        <v>229</v>
      </c>
      <c r="CK2765" s="1" t="s">
        <v>392</v>
      </c>
      <c r="CL2765" s="1" t="s">
        <v>206</v>
      </c>
      <c r="CM2765" s="1" t="s">
        <v>207</v>
      </c>
      <c r="CN2765" s="1" t="s">
        <v>229</v>
      </c>
      <c r="CO2765" s="1" t="s">
        <v>729</v>
      </c>
      <c r="CP2765" s="1" t="s">
        <v>206</v>
      </c>
      <c r="CQ2765" s="1" t="s">
        <v>207</v>
      </c>
      <c r="CR2765" s="1" t="s">
        <v>229</v>
      </c>
      <c r="CS2765" s="1" t="s">
        <v>904</v>
      </c>
      <c r="CT2765" s="1" t="s">
        <v>206</v>
      </c>
      <c r="CU2765" s="1" t="s">
        <v>1136</v>
      </c>
      <c r="CV2765" s="1" t="s">
        <v>229</v>
      </c>
      <c r="CW2765" s="1" t="s">
        <v>3092</v>
      </c>
      <c r="CX2765" s="1" t="s">
        <v>206</v>
      </c>
      <c r="CY2765" s="1" t="s">
        <v>207</v>
      </c>
      <c r="CZ2765" s="1" t="s">
        <v>229</v>
      </c>
      <c r="DA2765" s="1" t="s">
        <v>200</v>
      </c>
      <c r="DC2765" s="1" t="s">
        <v>517</v>
      </c>
      <c r="DD2765" s="1" t="s">
        <v>618</v>
      </c>
      <c r="DE2765" s="1" t="s">
        <v>273</v>
      </c>
      <c r="DF2765" s="1" t="s">
        <v>219</v>
      </c>
      <c r="DG2765" s="1" t="s">
        <v>337</v>
      </c>
      <c r="DH2765" s="1" t="s">
        <v>220</v>
      </c>
      <c r="DI2765" s="1" t="s">
        <v>589</v>
      </c>
      <c r="DJ2765" s="1" t="s">
        <v>222</v>
      </c>
      <c r="DK2765" s="1" t="s">
        <v>223</v>
      </c>
      <c r="DL2765" s="1" t="s">
        <v>223</v>
      </c>
      <c r="DM2765" s="1" t="s">
        <v>229</v>
      </c>
      <c r="DN2765" s="1" t="s">
        <v>793</v>
      </c>
      <c r="DO2765" s="1" t="s">
        <v>717</v>
      </c>
      <c r="DP2765" s="1" t="s">
        <v>340</v>
      </c>
      <c r="DQ2765" s="1" t="s">
        <v>441</v>
      </c>
      <c r="DR2765" s="1" t="s">
        <v>229</v>
      </c>
      <c r="DS2765" s="1" t="s">
        <v>368</v>
      </c>
      <c r="DU2765" s="1" t="s">
        <v>24049</v>
      </c>
      <c r="DV2765" s="1" t="s">
        <v>24397</v>
      </c>
      <c r="DW2765" s="1" t="s">
        <v>279</v>
      </c>
      <c r="DX2765" s="1" t="s">
        <v>234</v>
      </c>
      <c r="DY2765" s="1" t="s">
        <v>2841</v>
      </c>
      <c r="DZ2765" s="1" t="s">
        <v>3245</v>
      </c>
      <c r="EA2765" s="1" t="s">
        <v>683</v>
      </c>
      <c r="EB2765" s="1" t="s">
        <v>684</v>
      </c>
      <c r="EC2765" s="1" t="s">
        <v>685</v>
      </c>
      <c r="EG2765" s="1" t="s">
        <v>449</v>
      </c>
      <c r="EH2765" s="1" t="s">
        <v>450</v>
      </c>
      <c r="EI2765" s="1" t="s">
        <v>598</v>
      </c>
      <c r="EL2765" s="1" t="s">
        <v>266</v>
      </c>
      <c r="EM2765" s="1" t="s">
        <v>206</v>
      </c>
      <c r="EN2765" s="1" t="s">
        <v>1136</v>
      </c>
      <c r="EO2765" s="1" t="s">
        <v>229</v>
      </c>
      <c r="EP2765" s="1" t="s">
        <v>1534</v>
      </c>
      <c r="EQ2765" s="1" t="s">
        <v>206</v>
      </c>
      <c r="ER2765" s="1" t="s">
        <v>210</v>
      </c>
      <c r="ES2765" s="1" t="s">
        <v>229</v>
      </c>
      <c r="ET2765" s="1" t="s">
        <v>1745</v>
      </c>
      <c r="EU2765" s="1" t="s">
        <v>206</v>
      </c>
      <c r="EV2765" s="1" t="s">
        <v>207</v>
      </c>
      <c r="EW2765" s="1" t="s">
        <v>229</v>
      </c>
      <c r="EY2765" s="1" t="s">
        <v>238</v>
      </c>
      <c r="FC2765" s="1" t="s">
        <v>238</v>
      </c>
      <c r="FF2765" s="1" t="s">
        <v>239</v>
      </c>
      <c r="FG2765" s="1" t="s">
        <v>192</v>
      </c>
      <c r="FH2765" s="1" t="s">
        <v>192</v>
      </c>
      <c r="FJ2765" s="1" t="s">
        <v>2552</v>
      </c>
      <c r="FK2765" s="1" t="s">
        <v>229</v>
      </c>
      <c r="FL2765" s="1" t="s">
        <v>456</v>
      </c>
      <c r="FM2765" s="1">
        <v>49.0</v>
      </c>
      <c r="FN2765" s="1" t="s">
        <v>457</v>
      </c>
      <c r="FO2765" s="1" t="s">
        <v>7305</v>
      </c>
      <c r="FP2765" s="1">
        <v>7198.0</v>
      </c>
      <c r="FQ2765" s="1" t="s">
        <v>7306</v>
      </c>
      <c r="FR2765" s="1">
        <v>2045.0</v>
      </c>
      <c r="FU2765" s="1" t="s">
        <v>4517</v>
      </c>
      <c r="FV2765" s="1" t="s">
        <v>200</v>
      </c>
      <c r="FW2765" s="1" t="s">
        <v>290</v>
      </c>
      <c r="FZ2765" s="1" t="s">
        <v>229</v>
      </c>
      <c r="GA2765" s="1" t="s">
        <v>291</v>
      </c>
      <c r="GB2765" s="2">
        <v>42115.0</v>
      </c>
      <c r="GC2765" s="1" t="s">
        <v>24398</v>
      </c>
    </row>
    <row r="2766">
      <c r="A2766" s="1">
        <v>300000.0</v>
      </c>
      <c r="B2766" s="1" t="s">
        <v>185</v>
      </c>
      <c r="C2766" s="1" t="str">
        <f>"08834930"</f>
        <v>08834930</v>
      </c>
      <c r="D2766" s="1" t="s">
        <v>186</v>
      </c>
      <c r="F2766" s="1" t="str">
        <f>"8009"</f>
        <v>8009</v>
      </c>
      <c r="G2766" s="2">
        <v>42044.0</v>
      </c>
      <c r="H2766" s="1">
        <v>325000.0</v>
      </c>
      <c r="I2766" s="1">
        <v>102.0</v>
      </c>
      <c r="J2766" s="1">
        <v>325000.0</v>
      </c>
      <c r="K2766" s="2">
        <v>42053.0</v>
      </c>
      <c r="L2766" s="1">
        <v>10.0</v>
      </c>
      <c r="M2766" s="2">
        <v>42053.0</v>
      </c>
      <c r="N2766" s="1" t="s">
        <v>187</v>
      </c>
      <c r="O2766" s="2">
        <v>42096.0</v>
      </c>
      <c r="P2766" s="1">
        <v>112102.0</v>
      </c>
      <c r="Q2766" s="1">
        <v>18705.0</v>
      </c>
      <c r="S2766" s="1">
        <v>7228.0</v>
      </c>
      <c r="T2766" s="1" t="s">
        <v>23200</v>
      </c>
      <c r="U2766" s="1" t="s">
        <v>189</v>
      </c>
      <c r="V2766" s="1" t="s">
        <v>190</v>
      </c>
      <c r="W2766" s="1">
        <v>60631.0</v>
      </c>
      <c r="Y2766" s="1" t="s">
        <v>24399</v>
      </c>
      <c r="Z2766" s="1">
        <v>1922.0</v>
      </c>
      <c r="AA2766" s="1" t="s">
        <v>192</v>
      </c>
      <c r="AB2766" s="1" t="s">
        <v>193</v>
      </c>
      <c r="AD2766" s="1" t="s">
        <v>194</v>
      </c>
      <c r="AE2766" s="1" t="s">
        <v>195</v>
      </c>
      <c r="AF2766" s="1" t="s">
        <v>196</v>
      </c>
      <c r="AH2766" s="1" t="s">
        <v>6907</v>
      </c>
      <c r="AI2766" s="1">
        <v>0.1084</v>
      </c>
      <c r="AK2766" s="1">
        <v>8.0</v>
      </c>
      <c r="AL2766" s="1">
        <v>4.0</v>
      </c>
      <c r="AM2766" s="1">
        <v>2.0</v>
      </c>
      <c r="AN2766" s="1">
        <v>0.0</v>
      </c>
      <c r="AO2766" s="1" t="s">
        <v>229</v>
      </c>
      <c r="AP2766" s="1">
        <v>1.0</v>
      </c>
      <c r="AQ2766" s="1" t="s">
        <v>198</v>
      </c>
      <c r="AR2766" s="1" t="s">
        <v>200</v>
      </c>
      <c r="AS2766" s="1" t="s">
        <v>199</v>
      </c>
      <c r="AT2766" s="1">
        <v>2.0</v>
      </c>
      <c r="AV2766" s="1" t="s">
        <v>200</v>
      </c>
      <c r="AW2766" s="1">
        <v>1512.13</v>
      </c>
      <c r="AX2766" s="1">
        <v>2013.0</v>
      </c>
      <c r="AY2766" s="1" t="s">
        <v>1917</v>
      </c>
      <c r="AZ2766" s="1" t="s">
        <v>200</v>
      </c>
      <c r="BA2766" s="1" t="str">
        <f>"09362210230000"</f>
        <v>09362210230000</v>
      </c>
      <c r="BC2766" s="1">
        <v>0.0</v>
      </c>
      <c r="BD2766" s="1">
        <v>300000.0</v>
      </c>
      <c r="BE2766" s="2">
        <v>42044.0</v>
      </c>
      <c r="BF2766" s="2" t="s">
        <v>24400</v>
      </c>
      <c r="BH2766" s="1">
        <v>0.0</v>
      </c>
      <c r="BK2766" s="1" t="s">
        <v>204</v>
      </c>
      <c r="BL2766" s="1" t="str">
        <f>"7000"</f>
        <v>7000</v>
      </c>
      <c r="BM2766" s="1" t="str">
        <f t="shared" ref="BM2766:BM2767" si="1799">"0"</f>
        <v>0</v>
      </c>
      <c r="BN2766" s="1">
        <v>7200.0</v>
      </c>
      <c r="BO2766" s="1">
        <v>0.0</v>
      </c>
      <c r="BQ2766" s="1">
        <v>299.0</v>
      </c>
      <c r="BR2766" s="1">
        <v>299.0</v>
      </c>
      <c r="BS2766" s="1">
        <v>299.0</v>
      </c>
      <c r="BU2766" s="1" t="s">
        <v>453</v>
      </c>
      <c r="BV2766" s="1" t="s">
        <v>206</v>
      </c>
      <c r="BW2766" s="1" t="s">
        <v>207</v>
      </c>
      <c r="BY2766" s="1" t="s">
        <v>1875</v>
      </c>
      <c r="BZ2766" s="1" t="s">
        <v>209</v>
      </c>
      <c r="CA2766" s="1" t="s">
        <v>207</v>
      </c>
      <c r="CC2766" s="1" t="s">
        <v>215</v>
      </c>
      <c r="CD2766" s="1" t="s">
        <v>206</v>
      </c>
      <c r="CE2766" s="1" t="s">
        <v>207</v>
      </c>
      <c r="CG2766" s="1" t="s">
        <v>758</v>
      </c>
      <c r="CH2766" s="1" t="s">
        <v>209</v>
      </c>
      <c r="CI2766" s="1" t="s">
        <v>210</v>
      </c>
      <c r="CK2766" s="1" t="s">
        <v>516</v>
      </c>
      <c r="CL2766" s="1" t="s">
        <v>206</v>
      </c>
      <c r="CM2766" s="1" t="s">
        <v>207</v>
      </c>
      <c r="CO2766" s="1" t="s">
        <v>516</v>
      </c>
      <c r="CP2766" s="1" t="s">
        <v>206</v>
      </c>
      <c r="CQ2766" s="1" t="s">
        <v>210</v>
      </c>
      <c r="CS2766" s="1" t="s">
        <v>454</v>
      </c>
      <c r="CT2766" s="1" t="s">
        <v>206</v>
      </c>
      <c r="CW2766" s="1" t="s">
        <v>13174</v>
      </c>
      <c r="CX2766" s="1" t="s">
        <v>42</v>
      </c>
      <c r="DA2766" s="1" t="s">
        <v>200</v>
      </c>
      <c r="DC2766" s="1" t="s">
        <v>216</v>
      </c>
      <c r="DE2766" s="1" t="s">
        <v>273</v>
      </c>
      <c r="DF2766" s="1" t="s">
        <v>219</v>
      </c>
      <c r="DH2766" s="1" t="s">
        <v>365</v>
      </c>
      <c r="DI2766" s="1" t="s">
        <v>3056</v>
      </c>
      <c r="DJ2766" s="1" t="s">
        <v>222</v>
      </c>
      <c r="DL2766" s="1" t="s">
        <v>858</v>
      </c>
      <c r="DM2766" s="1" t="s">
        <v>229</v>
      </c>
      <c r="DN2766" s="1" t="s">
        <v>16313</v>
      </c>
      <c r="DP2766" s="1" t="s">
        <v>340</v>
      </c>
      <c r="DQ2766" s="1" t="s">
        <v>228</v>
      </c>
      <c r="DR2766" s="1" t="s">
        <v>229</v>
      </c>
      <c r="DV2766" s="1" t="s">
        <v>24401</v>
      </c>
      <c r="DW2766" s="1" t="s">
        <v>667</v>
      </c>
      <c r="DX2766" s="1" t="s">
        <v>234</v>
      </c>
      <c r="DY2766" s="1" t="s">
        <v>553</v>
      </c>
      <c r="EB2766" s="1" t="s">
        <v>345</v>
      </c>
      <c r="EC2766" s="1" t="s">
        <v>237</v>
      </c>
      <c r="ED2766" s="1" t="s">
        <v>407</v>
      </c>
      <c r="EG2766" s="1" t="s">
        <v>1270</v>
      </c>
      <c r="EH2766" s="1" t="s">
        <v>1103</v>
      </c>
      <c r="EJ2766" s="1" t="s">
        <v>1102</v>
      </c>
      <c r="EK2766" s="1" t="s">
        <v>310</v>
      </c>
      <c r="EL2766" s="1" t="s">
        <v>5992</v>
      </c>
      <c r="EM2766" s="1" t="s">
        <v>42</v>
      </c>
      <c r="EP2766" s="1" t="s">
        <v>2336</v>
      </c>
      <c r="EQ2766" s="1" t="s">
        <v>209</v>
      </c>
      <c r="EU2766" s="1" t="s">
        <v>238</v>
      </c>
      <c r="EX2766" s="1" t="s">
        <v>1382</v>
      </c>
      <c r="EY2766" s="1" t="s">
        <v>206</v>
      </c>
      <c r="FB2766" s="1" t="s">
        <v>1688</v>
      </c>
      <c r="FC2766" s="1" t="s">
        <v>206</v>
      </c>
      <c r="FF2766" s="1" t="s">
        <v>239</v>
      </c>
      <c r="FG2766" s="1" t="s">
        <v>192</v>
      </c>
      <c r="FH2766" s="1" t="s">
        <v>192</v>
      </c>
      <c r="FJ2766" s="1" t="s">
        <v>24402</v>
      </c>
      <c r="FK2766" s="1" t="s">
        <v>229</v>
      </c>
      <c r="FL2766" s="1" t="s">
        <v>4182</v>
      </c>
      <c r="FM2766" s="1">
        <v>17033.0</v>
      </c>
      <c r="FN2766" s="1" t="s">
        <v>4183</v>
      </c>
      <c r="FO2766" s="1" t="s">
        <v>24403</v>
      </c>
      <c r="FP2766" s="1">
        <v>848064.0</v>
      </c>
      <c r="FQ2766" s="1" t="s">
        <v>24404</v>
      </c>
      <c r="FR2766" s="1">
        <v>116995.0</v>
      </c>
      <c r="FU2766" s="1" t="s">
        <v>24405</v>
      </c>
      <c r="FV2766" s="1" t="s">
        <v>200</v>
      </c>
      <c r="FW2766" s="1" t="s">
        <v>290</v>
      </c>
      <c r="FX2766" s="1" t="s">
        <v>246</v>
      </c>
      <c r="FZ2766" s="1" t="s">
        <v>229</v>
      </c>
      <c r="GA2766" s="1" t="s">
        <v>291</v>
      </c>
      <c r="GB2766" s="2">
        <v>42096.0</v>
      </c>
      <c r="GC2766" s="1" t="s">
        <v>24406</v>
      </c>
    </row>
    <row r="2767">
      <c r="A2767" s="1">
        <v>201500.0</v>
      </c>
      <c r="B2767" s="1" t="s">
        <v>185</v>
      </c>
      <c r="C2767" s="1" t="str">
        <f>"08835796"</f>
        <v>08835796</v>
      </c>
      <c r="D2767" s="1" t="s">
        <v>186</v>
      </c>
      <c r="F2767" s="1" t="str">
        <f>"8018"</f>
        <v>8018</v>
      </c>
      <c r="G2767" s="2">
        <v>42045.0</v>
      </c>
      <c r="H2767" s="1">
        <v>179000.0</v>
      </c>
      <c r="I2767" s="1">
        <v>4.0</v>
      </c>
      <c r="J2767" s="1">
        <v>179000.0</v>
      </c>
      <c r="K2767" s="2">
        <v>42048.0</v>
      </c>
      <c r="L2767" s="1">
        <v>4.0</v>
      </c>
      <c r="M2767" s="2">
        <v>42048.0</v>
      </c>
      <c r="N2767" s="1" t="s">
        <v>187</v>
      </c>
      <c r="O2767" s="2">
        <v>42095.0</v>
      </c>
      <c r="P2767" s="1">
        <v>922966.0</v>
      </c>
      <c r="Q2767" s="1">
        <v>21944.0</v>
      </c>
      <c r="S2767" s="1">
        <v>2647.0</v>
      </c>
      <c r="T2767" s="1" t="s">
        <v>23304</v>
      </c>
      <c r="U2767" s="1" t="s">
        <v>189</v>
      </c>
      <c r="V2767" s="1" t="s">
        <v>190</v>
      </c>
      <c r="W2767" s="1">
        <v>60707.0</v>
      </c>
      <c r="Y2767" s="1" t="s">
        <v>24407</v>
      </c>
      <c r="Z2767" s="1">
        <v>1923.0</v>
      </c>
      <c r="AA2767" s="1" t="s">
        <v>192</v>
      </c>
      <c r="AB2767" s="1" t="s">
        <v>193</v>
      </c>
      <c r="AD2767" s="1" t="s">
        <v>194</v>
      </c>
      <c r="AE2767" s="1" t="s">
        <v>195</v>
      </c>
      <c r="AF2767" s="1" t="s">
        <v>196</v>
      </c>
      <c r="AH2767" s="1" t="s">
        <v>24408</v>
      </c>
      <c r="AI2767" s="1">
        <v>0.241</v>
      </c>
      <c r="AK2767" s="1">
        <v>9.0</v>
      </c>
      <c r="AL2767" s="1">
        <v>4.0</v>
      </c>
      <c r="AM2767" s="1">
        <v>2.0</v>
      </c>
      <c r="AN2767" s="1">
        <v>0.0</v>
      </c>
      <c r="AO2767" s="1" t="s">
        <v>229</v>
      </c>
      <c r="AQ2767" s="1" t="s">
        <v>198</v>
      </c>
      <c r="AR2767" s="1" t="s">
        <v>200</v>
      </c>
      <c r="AS2767" s="1" t="s">
        <v>510</v>
      </c>
      <c r="AT2767" s="1">
        <v>2.0</v>
      </c>
      <c r="AU2767" s="1">
        <v>2.0</v>
      </c>
      <c r="AV2767" s="1" t="s">
        <v>200</v>
      </c>
      <c r="AW2767" s="1">
        <v>3989.87</v>
      </c>
      <c r="AX2767" s="1">
        <v>2012.0</v>
      </c>
      <c r="AZ2767" s="1" t="s">
        <v>200</v>
      </c>
      <c r="BA2767" s="1" t="str">
        <f>"13303110030000"</f>
        <v>13303110030000</v>
      </c>
      <c r="BC2767" s="1">
        <v>1264.0</v>
      </c>
      <c r="BD2767" s="1">
        <v>201500.0</v>
      </c>
      <c r="BE2767" s="2">
        <v>42045.0</v>
      </c>
      <c r="BF2767" s="2" t="s">
        <v>24409</v>
      </c>
      <c r="BH2767" s="1">
        <v>0.0</v>
      </c>
      <c r="BK2767" s="1" t="s">
        <v>204</v>
      </c>
      <c r="BL2767" s="1" t="str">
        <f>"2600"</f>
        <v>2600</v>
      </c>
      <c r="BM2767" s="1" t="str">
        <f t="shared" si="1799"/>
        <v>0</v>
      </c>
      <c r="BN2767" s="1">
        <v>7050.0</v>
      </c>
      <c r="BO2767" s="1">
        <v>0.0</v>
      </c>
      <c r="BQ2767" s="1">
        <v>299.0</v>
      </c>
      <c r="BR2767" s="1">
        <v>299.0</v>
      </c>
      <c r="BS2767" s="1">
        <v>299.0</v>
      </c>
      <c r="BU2767" s="1" t="s">
        <v>213</v>
      </c>
      <c r="BV2767" s="1" t="s">
        <v>206</v>
      </c>
      <c r="BW2767" s="1" t="s">
        <v>207</v>
      </c>
      <c r="BX2767" s="1" t="s">
        <v>1549</v>
      </c>
      <c r="BY2767" s="1" t="s">
        <v>392</v>
      </c>
      <c r="BZ2767" s="1" t="s">
        <v>206</v>
      </c>
      <c r="CC2767" s="1" t="s">
        <v>433</v>
      </c>
      <c r="CD2767" s="1" t="s">
        <v>206</v>
      </c>
      <c r="CE2767" s="1" t="s">
        <v>207</v>
      </c>
      <c r="CG2767" s="1" t="s">
        <v>495</v>
      </c>
      <c r="CH2767" s="1" t="s">
        <v>206</v>
      </c>
      <c r="CK2767" s="1" t="s">
        <v>266</v>
      </c>
      <c r="CL2767" s="1" t="s">
        <v>209</v>
      </c>
      <c r="CO2767" s="1" t="s">
        <v>516</v>
      </c>
      <c r="CP2767" s="1" t="s">
        <v>209</v>
      </c>
      <c r="CS2767" s="1" t="s">
        <v>478</v>
      </c>
      <c r="CT2767" s="1" t="s">
        <v>206</v>
      </c>
      <c r="CX2767" s="1" t="s">
        <v>204</v>
      </c>
      <c r="DA2767" s="1" t="s">
        <v>200</v>
      </c>
      <c r="DC2767" s="1" t="s">
        <v>216</v>
      </c>
      <c r="DD2767" s="1" t="s">
        <v>518</v>
      </c>
      <c r="DE2767" s="1" t="s">
        <v>229</v>
      </c>
      <c r="DF2767" s="1" t="s">
        <v>619</v>
      </c>
      <c r="DH2767" s="1" t="s">
        <v>365</v>
      </c>
      <c r="DJ2767" s="1" t="s">
        <v>222</v>
      </c>
      <c r="DL2767" s="1" t="s">
        <v>223</v>
      </c>
      <c r="DM2767" s="1" t="s">
        <v>229</v>
      </c>
      <c r="DO2767" s="1" t="s">
        <v>549</v>
      </c>
      <c r="DP2767" s="1" t="s">
        <v>340</v>
      </c>
      <c r="DQ2767" s="1" t="s">
        <v>228</v>
      </c>
      <c r="DR2767" s="1" t="s">
        <v>229</v>
      </c>
      <c r="DS2767" s="1" t="s">
        <v>591</v>
      </c>
      <c r="DV2767" s="1" t="s">
        <v>23308</v>
      </c>
      <c r="DW2767" s="1" t="s">
        <v>279</v>
      </c>
      <c r="DX2767" s="1" t="s">
        <v>234</v>
      </c>
      <c r="DY2767" s="1" t="s">
        <v>553</v>
      </c>
      <c r="EA2767" s="1" t="s">
        <v>644</v>
      </c>
      <c r="EC2767" s="1" t="s">
        <v>237</v>
      </c>
      <c r="EF2767" s="1" t="s">
        <v>13965</v>
      </c>
      <c r="EG2767" s="1" t="s">
        <v>1407</v>
      </c>
      <c r="EH2767" s="1" t="s">
        <v>374</v>
      </c>
      <c r="EI2767" s="1" t="s">
        <v>450</v>
      </c>
      <c r="EL2767" s="1" t="s">
        <v>1696</v>
      </c>
      <c r="EM2767" s="1" t="s">
        <v>209</v>
      </c>
      <c r="EP2767" s="1" t="s">
        <v>1939</v>
      </c>
      <c r="EQ2767" s="1" t="s">
        <v>206</v>
      </c>
      <c r="ET2767" s="1" t="s">
        <v>265</v>
      </c>
      <c r="EU2767" s="1" t="s">
        <v>209</v>
      </c>
      <c r="EY2767" s="1" t="s">
        <v>238</v>
      </c>
      <c r="FC2767" s="1" t="s">
        <v>238</v>
      </c>
      <c r="FF2767" s="1" t="s">
        <v>239</v>
      </c>
      <c r="FG2767" s="1" t="s">
        <v>200</v>
      </c>
      <c r="FH2767" s="1" t="s">
        <v>192</v>
      </c>
      <c r="FJ2767" s="1" t="s">
        <v>2262</v>
      </c>
      <c r="FK2767" s="1" t="s">
        <v>229</v>
      </c>
      <c r="FL2767" s="1" t="s">
        <v>456</v>
      </c>
      <c r="FM2767" s="1">
        <v>10013.0</v>
      </c>
      <c r="FN2767" s="1" t="s">
        <v>2428</v>
      </c>
      <c r="FO2767" s="1" t="s">
        <v>24410</v>
      </c>
      <c r="FP2767" s="1">
        <v>875079.0</v>
      </c>
      <c r="FQ2767" s="1" t="s">
        <v>24411</v>
      </c>
      <c r="FU2767" s="1" t="s">
        <v>8875</v>
      </c>
      <c r="FV2767" s="1" t="s">
        <v>200</v>
      </c>
      <c r="FW2767" s="1" t="s">
        <v>290</v>
      </c>
      <c r="FX2767" s="1" t="s">
        <v>238</v>
      </c>
      <c r="FZ2767" s="1" t="s">
        <v>229</v>
      </c>
      <c r="GA2767" s="1" t="s">
        <v>291</v>
      </c>
      <c r="GB2767" s="2">
        <v>42095.0</v>
      </c>
      <c r="GC2767" s="1" t="s">
        <v>24412</v>
      </c>
    </row>
    <row r="2768">
      <c r="A2768" s="1">
        <v>57000.0</v>
      </c>
      <c r="B2768" s="1" t="s">
        <v>185</v>
      </c>
      <c r="C2768" s="1" t="str">
        <f>"08835817"</f>
        <v>08835817</v>
      </c>
      <c r="D2768" s="1" t="s">
        <v>186</v>
      </c>
      <c r="F2768" s="1" t="str">
        <f>"545"</f>
        <v>545</v>
      </c>
      <c r="G2768" s="2">
        <v>42045.0</v>
      </c>
      <c r="H2768" s="1">
        <v>94900.0</v>
      </c>
      <c r="I2768" s="1">
        <v>130.0</v>
      </c>
      <c r="J2768" s="1">
        <v>67500.0</v>
      </c>
      <c r="K2768" s="2">
        <v>42128.0</v>
      </c>
      <c r="L2768" s="1">
        <v>84.0</v>
      </c>
      <c r="M2768" s="2">
        <v>42128.0</v>
      </c>
      <c r="N2768" s="1" t="s">
        <v>249</v>
      </c>
      <c r="O2768" s="2">
        <v>42136.0</v>
      </c>
      <c r="P2768" s="1">
        <v>241412.0</v>
      </c>
      <c r="Q2768" s="1">
        <v>23279.0</v>
      </c>
      <c r="S2768" s="1">
        <v>415.0</v>
      </c>
      <c r="T2768" s="1" t="s">
        <v>195</v>
      </c>
      <c r="U2768" s="1" t="s">
        <v>320</v>
      </c>
      <c r="V2768" s="1" t="s">
        <v>3364</v>
      </c>
      <c r="W2768" s="1">
        <v>60545.0</v>
      </c>
      <c r="Y2768" s="1" t="s">
        <v>24413</v>
      </c>
      <c r="Z2768" s="1">
        <v>1965.0</v>
      </c>
      <c r="AA2768" s="1" t="s">
        <v>192</v>
      </c>
      <c r="AB2768" s="1" t="s">
        <v>193</v>
      </c>
      <c r="AD2768" s="1" t="s">
        <v>3366</v>
      </c>
      <c r="AE2768" s="1" t="s">
        <v>849</v>
      </c>
      <c r="AF2768" s="1" t="s">
        <v>3367</v>
      </c>
      <c r="AH2768" s="1" t="s">
        <v>24414</v>
      </c>
      <c r="AI2768" s="1">
        <v>0.1985</v>
      </c>
      <c r="AK2768" s="1">
        <v>8.0</v>
      </c>
      <c r="AL2768" s="1">
        <v>3.0</v>
      </c>
      <c r="AM2768" s="1">
        <v>2.0</v>
      </c>
      <c r="AN2768" s="1">
        <v>0.0</v>
      </c>
      <c r="AO2768" s="1" t="s">
        <v>229</v>
      </c>
      <c r="AQ2768" s="1" t="s">
        <v>198</v>
      </c>
      <c r="AR2768" s="1" t="s">
        <v>192</v>
      </c>
      <c r="AS2768" s="1" t="s">
        <v>828</v>
      </c>
      <c r="AU2768" s="1">
        <v>4.0</v>
      </c>
      <c r="AV2768" s="1" t="s">
        <v>200</v>
      </c>
      <c r="AW2768" s="1">
        <v>3566.94</v>
      </c>
      <c r="AX2768" s="1">
        <v>2012.0</v>
      </c>
      <c r="AZ2768" s="1" t="s">
        <v>200</v>
      </c>
      <c r="BA2768" s="1" t="str">
        <f>"0127151023"</f>
        <v>0127151023</v>
      </c>
      <c r="BC2768" s="1">
        <v>1100.0</v>
      </c>
      <c r="BD2768" s="1">
        <v>57000.0</v>
      </c>
      <c r="BE2768" s="2">
        <v>42045.0</v>
      </c>
      <c r="BF2768" s="2" t="s">
        <v>24415</v>
      </c>
      <c r="BH2768" s="1">
        <v>0.0</v>
      </c>
      <c r="BK2768" s="1" t="s">
        <v>204</v>
      </c>
      <c r="BL2768" s="1" t="str">
        <f t="shared" ref="BL2768:BM2768" si="1800">""</f>
        <v/>
      </c>
      <c r="BM2768" s="1" t="str">
        <f t="shared" si="1800"/>
        <v/>
      </c>
      <c r="BQ2768" s="1">
        <v>88.0</v>
      </c>
      <c r="BR2768" s="1">
        <v>88.0</v>
      </c>
      <c r="BS2768" s="1">
        <v>88.0</v>
      </c>
      <c r="BU2768" s="1" t="s">
        <v>1517</v>
      </c>
      <c r="BV2768" s="1" t="s">
        <v>206</v>
      </c>
      <c r="BW2768" s="1" t="s">
        <v>268</v>
      </c>
      <c r="BY2768" s="1" t="s">
        <v>332</v>
      </c>
      <c r="BZ2768" s="1" t="s">
        <v>206</v>
      </c>
      <c r="CA2768" s="1" t="s">
        <v>210</v>
      </c>
      <c r="CD2768" s="1" t="s">
        <v>204</v>
      </c>
      <c r="CG2768" s="1" t="s">
        <v>264</v>
      </c>
      <c r="CH2768" s="1" t="s">
        <v>206</v>
      </c>
      <c r="CI2768" s="1" t="s">
        <v>210</v>
      </c>
      <c r="CK2768" s="1" t="s">
        <v>264</v>
      </c>
      <c r="CL2768" s="1" t="s">
        <v>206</v>
      </c>
      <c r="CM2768" s="1" t="s">
        <v>210</v>
      </c>
      <c r="CO2768" s="1" t="s">
        <v>495</v>
      </c>
      <c r="CP2768" s="1" t="s">
        <v>42</v>
      </c>
      <c r="CQ2768" s="1" t="s">
        <v>210</v>
      </c>
      <c r="CS2768" s="1" t="s">
        <v>497</v>
      </c>
      <c r="CT2768" s="1" t="s">
        <v>206</v>
      </c>
      <c r="CU2768" s="1" t="s">
        <v>268</v>
      </c>
      <c r="CW2768" s="1" t="s">
        <v>1064</v>
      </c>
      <c r="CX2768" s="1" t="s">
        <v>42</v>
      </c>
      <c r="CY2768" s="1" t="s">
        <v>268</v>
      </c>
      <c r="DA2768" s="1" t="s">
        <v>200</v>
      </c>
      <c r="DC2768" s="1" t="s">
        <v>517</v>
      </c>
      <c r="DE2768" s="1" t="s">
        <v>273</v>
      </c>
      <c r="DF2768" s="1" t="s">
        <v>219</v>
      </c>
      <c r="DH2768" s="1" t="s">
        <v>220</v>
      </c>
      <c r="DJ2768" s="1" t="s">
        <v>222</v>
      </c>
      <c r="DL2768" s="1" t="s">
        <v>224</v>
      </c>
      <c r="DM2768" s="1" t="s">
        <v>229</v>
      </c>
      <c r="DQ2768" s="1" t="s">
        <v>228</v>
      </c>
      <c r="DR2768" s="1" t="s">
        <v>229</v>
      </c>
      <c r="DV2768" s="1" t="s">
        <v>598</v>
      </c>
      <c r="DW2768" s="1" t="s">
        <v>588</v>
      </c>
      <c r="DX2768" s="1" t="s">
        <v>234</v>
      </c>
      <c r="EC2768" s="1" t="s">
        <v>685</v>
      </c>
      <c r="EF2768" s="1" t="s">
        <v>5154</v>
      </c>
      <c r="EG2768" s="1" t="s">
        <v>598</v>
      </c>
      <c r="EL2768" s="1" t="s">
        <v>269</v>
      </c>
      <c r="EM2768" s="1" t="s">
        <v>42</v>
      </c>
      <c r="EN2768" s="1" t="s">
        <v>210</v>
      </c>
      <c r="EQ2768" s="1" t="s">
        <v>238</v>
      </c>
      <c r="EU2768" s="1" t="s">
        <v>238</v>
      </c>
      <c r="EY2768" s="1" t="s">
        <v>238</v>
      </c>
      <c r="FC2768" s="1" t="s">
        <v>238</v>
      </c>
      <c r="FF2768" s="1" t="s">
        <v>239</v>
      </c>
      <c r="FG2768" s="1" t="s">
        <v>192</v>
      </c>
      <c r="FH2768" s="1" t="s">
        <v>192</v>
      </c>
      <c r="FJ2768" s="1" t="s">
        <v>1248</v>
      </c>
      <c r="FK2768" s="1" t="s">
        <v>229</v>
      </c>
      <c r="FL2768" s="1" t="s">
        <v>2382</v>
      </c>
      <c r="FM2768" s="1">
        <v>23842.0</v>
      </c>
      <c r="FN2768" s="1" t="s">
        <v>2383</v>
      </c>
      <c r="FO2768" s="1" t="s">
        <v>2384</v>
      </c>
      <c r="FP2768" s="1">
        <v>217273.0</v>
      </c>
      <c r="FQ2768" s="1" t="s">
        <v>2385</v>
      </c>
      <c r="FR2768" s="1">
        <v>235676.0</v>
      </c>
      <c r="FU2768" s="1" t="s">
        <v>24416</v>
      </c>
      <c r="FV2768" s="1" t="s">
        <v>200</v>
      </c>
      <c r="FW2768" s="1" t="s">
        <v>354</v>
      </c>
      <c r="FX2768" s="1" t="s">
        <v>655</v>
      </c>
      <c r="FZ2768" s="1" t="s">
        <v>229</v>
      </c>
      <c r="GA2768" s="1" t="s">
        <v>291</v>
      </c>
      <c r="GB2768" s="2">
        <v>42136.0</v>
      </c>
      <c r="GC2768" s="1" t="s">
        <v>13286</v>
      </c>
    </row>
    <row r="2769">
      <c r="A2769" s="1">
        <v>295000.0</v>
      </c>
      <c r="B2769" s="1" t="s">
        <v>185</v>
      </c>
      <c r="C2769" s="1" t="str">
        <f>"08842749"</f>
        <v>08842749</v>
      </c>
      <c r="D2769" s="1" t="s">
        <v>186</v>
      </c>
      <c r="F2769" s="1" t="str">
        <f>"8017"</f>
        <v>8017</v>
      </c>
      <c r="G2769" s="2">
        <v>42055.0</v>
      </c>
      <c r="H2769" s="1">
        <v>299900.0</v>
      </c>
      <c r="I2769" s="1">
        <v>216.0</v>
      </c>
      <c r="J2769" s="1">
        <v>299900.0</v>
      </c>
      <c r="K2769" s="2">
        <v>42079.0</v>
      </c>
      <c r="L2769" s="1">
        <v>25.0</v>
      </c>
      <c r="M2769" s="2">
        <v>42079.0</v>
      </c>
      <c r="N2769" s="1" t="s">
        <v>187</v>
      </c>
      <c r="O2769" s="2">
        <v>42116.0</v>
      </c>
      <c r="P2769" s="1">
        <v>129726.0</v>
      </c>
      <c r="Q2769" s="1">
        <v>18446.0</v>
      </c>
      <c r="S2769" s="1">
        <v>3224.0</v>
      </c>
      <c r="T2769" s="1" t="s">
        <v>24417</v>
      </c>
      <c r="U2769" s="1" t="s">
        <v>189</v>
      </c>
      <c r="V2769" s="1" t="s">
        <v>190</v>
      </c>
      <c r="W2769" s="1">
        <v>60634.0</v>
      </c>
      <c r="Y2769" s="1" t="s">
        <v>24418</v>
      </c>
      <c r="Z2769" s="1">
        <v>1948.0</v>
      </c>
      <c r="AA2769" s="1" t="s">
        <v>192</v>
      </c>
      <c r="AB2769" s="1" t="s">
        <v>193</v>
      </c>
      <c r="AC2769" s="1" t="s">
        <v>24419</v>
      </c>
      <c r="AD2769" s="1" t="s">
        <v>194</v>
      </c>
      <c r="AE2769" s="1" t="s">
        <v>195</v>
      </c>
      <c r="AF2769" s="1" t="s">
        <v>196</v>
      </c>
      <c r="AG2769" s="1" t="s">
        <v>15927</v>
      </c>
      <c r="AH2769" s="1" t="s">
        <v>9060</v>
      </c>
      <c r="AK2769" s="1">
        <v>8.0</v>
      </c>
      <c r="AL2769" s="1">
        <v>3.0</v>
      </c>
      <c r="AM2769" s="1">
        <v>2.0</v>
      </c>
      <c r="AN2769" s="1">
        <v>1.0</v>
      </c>
      <c r="AO2769" s="1" t="s">
        <v>198</v>
      </c>
      <c r="AP2769" s="1">
        <v>0.0</v>
      </c>
      <c r="AQ2769" s="1" t="s">
        <v>198</v>
      </c>
      <c r="AR2769" s="1" t="s">
        <v>200</v>
      </c>
      <c r="AS2769" s="1" t="s">
        <v>199</v>
      </c>
      <c r="AT2769" s="1">
        <v>2.5</v>
      </c>
      <c r="AV2769" s="1" t="s">
        <v>200</v>
      </c>
      <c r="AW2769" s="1">
        <v>3500.0</v>
      </c>
      <c r="AX2769" s="1">
        <v>2013.0</v>
      </c>
      <c r="AY2769" s="1" t="s">
        <v>229</v>
      </c>
      <c r="AZ2769" s="1" t="s">
        <v>200</v>
      </c>
      <c r="BA2769" s="1" t="str">
        <f>"12234250590000"</f>
        <v>12234250590000</v>
      </c>
      <c r="BC2769" s="1">
        <v>1433.0</v>
      </c>
      <c r="BD2769" s="1">
        <v>295000.0</v>
      </c>
      <c r="BE2769" s="2">
        <v>42055.0</v>
      </c>
      <c r="BF2769" s="2" t="s">
        <v>24420</v>
      </c>
      <c r="BH2769" s="1">
        <v>0.0</v>
      </c>
      <c r="BK2769" s="1" t="s">
        <v>204</v>
      </c>
      <c r="BL2769" s="1" t="str">
        <f>"3224"</f>
        <v>3224</v>
      </c>
      <c r="BM2769" s="1" t="str">
        <f t="shared" ref="BM2769:BM2772" si="1801">"0"</f>
        <v>0</v>
      </c>
      <c r="BN2769" s="1">
        <v>8200.0</v>
      </c>
      <c r="BO2769" s="1">
        <v>0.0</v>
      </c>
      <c r="BQ2769" s="1">
        <v>299.0</v>
      </c>
      <c r="BR2769" s="1">
        <v>299.0</v>
      </c>
      <c r="BS2769" s="1">
        <v>299.0</v>
      </c>
      <c r="BU2769" s="1" t="s">
        <v>390</v>
      </c>
      <c r="BV2769" s="1" t="s">
        <v>206</v>
      </c>
      <c r="BW2769" s="1" t="s">
        <v>207</v>
      </c>
      <c r="BX2769" s="1" t="s">
        <v>239</v>
      </c>
      <c r="BY2769" s="1" t="s">
        <v>497</v>
      </c>
      <c r="BZ2769" s="1" t="s">
        <v>209</v>
      </c>
      <c r="CA2769" s="1" t="s">
        <v>207</v>
      </c>
      <c r="CB2769" s="1" t="s">
        <v>239</v>
      </c>
      <c r="CC2769" s="1" t="s">
        <v>269</v>
      </c>
      <c r="CD2769" s="1" t="s">
        <v>206</v>
      </c>
      <c r="CE2769" s="1" t="s">
        <v>207</v>
      </c>
      <c r="CF2769" s="1" t="s">
        <v>239</v>
      </c>
      <c r="CG2769" s="1" t="s">
        <v>265</v>
      </c>
      <c r="CH2769" s="1" t="s">
        <v>209</v>
      </c>
      <c r="CI2769" s="1" t="s">
        <v>207</v>
      </c>
      <c r="CJ2769" s="1" t="s">
        <v>239</v>
      </c>
      <c r="CK2769" s="1" t="s">
        <v>1796</v>
      </c>
      <c r="CL2769" s="1" t="s">
        <v>209</v>
      </c>
      <c r="CM2769" s="1" t="s">
        <v>207</v>
      </c>
      <c r="CN2769" s="1" t="s">
        <v>239</v>
      </c>
      <c r="CO2769" s="1" t="s">
        <v>263</v>
      </c>
      <c r="CP2769" s="1" t="s">
        <v>42</v>
      </c>
      <c r="CQ2769" s="1" t="s">
        <v>210</v>
      </c>
      <c r="CR2769" s="1" t="s">
        <v>229</v>
      </c>
      <c r="CS2769" s="1" t="s">
        <v>516</v>
      </c>
      <c r="CT2769" s="1" t="s">
        <v>206</v>
      </c>
      <c r="CU2769" s="1" t="s">
        <v>207</v>
      </c>
      <c r="CV2769" s="1" t="s">
        <v>239</v>
      </c>
      <c r="CW2769" s="1" t="s">
        <v>544</v>
      </c>
      <c r="CX2769" s="1" t="s">
        <v>206</v>
      </c>
      <c r="CY2769" s="1" t="s">
        <v>207</v>
      </c>
      <c r="CZ2769" s="1" t="s">
        <v>239</v>
      </c>
      <c r="DA2769" s="1" t="s">
        <v>200</v>
      </c>
      <c r="DC2769" s="1" t="s">
        <v>702</v>
      </c>
      <c r="DE2769" s="1" t="s">
        <v>273</v>
      </c>
      <c r="DF2769" s="1" t="s">
        <v>219</v>
      </c>
      <c r="DH2769" s="1" t="s">
        <v>365</v>
      </c>
      <c r="DI2769" s="1" t="s">
        <v>366</v>
      </c>
      <c r="DJ2769" s="1" t="s">
        <v>24421</v>
      </c>
      <c r="DK2769" s="1" t="s">
        <v>223</v>
      </c>
      <c r="DL2769" s="1" t="s">
        <v>858</v>
      </c>
      <c r="DM2769" s="1" t="s">
        <v>1464</v>
      </c>
      <c r="DO2769" s="1" t="s">
        <v>549</v>
      </c>
      <c r="DP2769" s="1" t="s">
        <v>340</v>
      </c>
      <c r="DQ2769" s="1" t="s">
        <v>794</v>
      </c>
      <c r="DR2769" s="1" t="s">
        <v>229</v>
      </c>
      <c r="DV2769" s="1" t="s">
        <v>232</v>
      </c>
      <c r="DW2769" s="1" t="s">
        <v>279</v>
      </c>
      <c r="DX2769" s="1" t="s">
        <v>5015</v>
      </c>
      <c r="DY2769" s="1" t="s">
        <v>704</v>
      </c>
      <c r="DZ2769" s="1" t="s">
        <v>310</v>
      </c>
      <c r="EA2769" s="1" t="s">
        <v>3308</v>
      </c>
      <c r="EC2769" s="1" t="s">
        <v>237</v>
      </c>
      <c r="ED2769" s="1" t="s">
        <v>407</v>
      </c>
      <c r="EM2769" s="1" t="s">
        <v>238</v>
      </c>
      <c r="EQ2769" s="1" t="s">
        <v>238</v>
      </c>
      <c r="EU2769" s="1" t="s">
        <v>238</v>
      </c>
      <c r="EY2769" s="1" t="s">
        <v>238</v>
      </c>
      <c r="FC2769" s="1" t="s">
        <v>238</v>
      </c>
      <c r="FF2769" s="1" t="s">
        <v>239</v>
      </c>
      <c r="FG2769" s="1" t="s">
        <v>192</v>
      </c>
      <c r="FH2769" s="1" t="s">
        <v>192</v>
      </c>
      <c r="FJ2769" s="1" t="s">
        <v>22005</v>
      </c>
      <c r="FK2769" s="1" t="s">
        <v>348</v>
      </c>
      <c r="FL2769" s="1" t="s">
        <v>3597</v>
      </c>
      <c r="FM2769" s="1">
        <v>24451.0</v>
      </c>
      <c r="FN2769" s="1" t="s">
        <v>3598</v>
      </c>
      <c r="FO2769" s="1" t="s">
        <v>3599</v>
      </c>
      <c r="FP2769" s="1">
        <v>256870.0</v>
      </c>
      <c r="FQ2769" s="1" t="s">
        <v>3598</v>
      </c>
      <c r="FS2769" s="1" t="s">
        <v>3600</v>
      </c>
      <c r="FT2769" s="1" t="s">
        <v>24422</v>
      </c>
      <c r="FU2769" s="1" t="s">
        <v>24423</v>
      </c>
      <c r="FV2769" s="1" t="s">
        <v>200</v>
      </c>
      <c r="FW2769" s="1" t="s">
        <v>24424</v>
      </c>
      <c r="FX2769" s="1" t="s">
        <v>238</v>
      </c>
      <c r="FZ2769" s="1" t="s">
        <v>229</v>
      </c>
      <c r="GA2769" s="1" t="s">
        <v>247</v>
      </c>
      <c r="GB2769" s="2">
        <v>42118.0</v>
      </c>
      <c r="GC2769" s="1" t="s">
        <v>24425</v>
      </c>
    </row>
    <row r="2770">
      <c r="A2770" s="1">
        <v>385000.0</v>
      </c>
      <c r="B2770" s="1" t="s">
        <v>185</v>
      </c>
      <c r="C2770" s="1" t="str">
        <f>"08844427"</f>
        <v>08844427</v>
      </c>
      <c r="D2770" s="1" t="s">
        <v>186</v>
      </c>
      <c r="F2770" s="1" t="str">
        <f t="shared" ref="F2770:F2771" si="1802">"8011"</f>
        <v>8011</v>
      </c>
      <c r="G2770" s="2">
        <v>42058.0</v>
      </c>
      <c r="H2770" s="1">
        <v>399500.0</v>
      </c>
      <c r="I2770" s="1">
        <v>48.0</v>
      </c>
      <c r="J2770" s="1">
        <v>394500.0</v>
      </c>
      <c r="K2770" s="2">
        <v>42102.0</v>
      </c>
      <c r="L2770" s="1">
        <v>48.0</v>
      </c>
      <c r="M2770" s="2">
        <v>42102.0</v>
      </c>
      <c r="N2770" s="1" t="s">
        <v>187</v>
      </c>
      <c r="O2770" s="2">
        <v>42139.0</v>
      </c>
      <c r="P2770" s="1">
        <v>154639.0</v>
      </c>
      <c r="Q2770" s="1">
        <v>85774.0</v>
      </c>
      <c r="S2770" s="1">
        <v>4831.0</v>
      </c>
      <c r="T2770" s="1" t="s">
        <v>5114</v>
      </c>
      <c r="U2770" s="1" t="s">
        <v>189</v>
      </c>
      <c r="V2770" s="1" t="s">
        <v>190</v>
      </c>
      <c r="W2770" s="1">
        <v>60630.0</v>
      </c>
      <c r="Y2770" s="1" t="s">
        <v>24426</v>
      </c>
      <c r="Z2770" s="1">
        <v>1943.0</v>
      </c>
      <c r="AA2770" s="1" t="s">
        <v>192</v>
      </c>
      <c r="AB2770" s="1" t="s">
        <v>193</v>
      </c>
      <c r="AD2770" s="1" t="s">
        <v>194</v>
      </c>
      <c r="AE2770" s="1" t="s">
        <v>195</v>
      </c>
      <c r="AF2770" s="1" t="s">
        <v>196</v>
      </c>
      <c r="AH2770" s="1" t="s">
        <v>24427</v>
      </c>
      <c r="AK2770" s="1">
        <v>8.0</v>
      </c>
      <c r="AL2770" s="1">
        <v>3.0</v>
      </c>
      <c r="AM2770" s="1">
        <v>3.0</v>
      </c>
      <c r="AN2770" s="1">
        <v>0.0</v>
      </c>
      <c r="AO2770" s="1" t="s">
        <v>229</v>
      </c>
      <c r="AQ2770" s="1" t="s">
        <v>198</v>
      </c>
      <c r="AR2770" s="1" t="s">
        <v>192</v>
      </c>
      <c r="AS2770" s="1" t="s">
        <v>199</v>
      </c>
      <c r="AT2770" s="1">
        <v>1.0</v>
      </c>
      <c r="AV2770" s="1" t="s">
        <v>200</v>
      </c>
      <c r="AW2770" s="1">
        <v>1355.0</v>
      </c>
      <c r="AX2770" s="1">
        <v>2013.0</v>
      </c>
      <c r="AY2770" s="1" t="s">
        <v>1917</v>
      </c>
      <c r="AZ2770" s="1" t="s">
        <v>200</v>
      </c>
      <c r="BA2770" s="1" t="str">
        <f>"13083150670000"</f>
        <v>13083150670000</v>
      </c>
      <c r="BB2770" s="1" t="s">
        <v>200</v>
      </c>
      <c r="BC2770" s="1">
        <v>1870.0</v>
      </c>
      <c r="BD2770" s="1">
        <v>385000.0</v>
      </c>
      <c r="BE2770" s="2">
        <v>42055.0</v>
      </c>
      <c r="BF2770" s="2" t="s">
        <v>24428</v>
      </c>
      <c r="BH2770" s="1">
        <v>0.0</v>
      </c>
      <c r="BJ2770" s="1" t="s">
        <v>1222</v>
      </c>
      <c r="BK2770" s="1" t="s">
        <v>204</v>
      </c>
      <c r="BL2770" s="1" t="str">
        <f>"4800"</f>
        <v>4800</v>
      </c>
      <c r="BM2770" s="1" t="str">
        <f t="shared" si="1801"/>
        <v>0</v>
      </c>
      <c r="BN2770" s="1">
        <v>7100.0</v>
      </c>
      <c r="BO2770" s="1">
        <v>0.0</v>
      </c>
      <c r="BQ2770" s="1">
        <v>299.0</v>
      </c>
      <c r="BR2770" s="1">
        <v>299.0</v>
      </c>
      <c r="BS2770" s="1">
        <v>299.0</v>
      </c>
      <c r="BU2770" s="1" t="s">
        <v>1483</v>
      </c>
      <c r="BV2770" s="1" t="s">
        <v>206</v>
      </c>
      <c r="BW2770" s="1" t="s">
        <v>207</v>
      </c>
      <c r="BX2770" s="1" t="s">
        <v>229</v>
      </c>
      <c r="BY2770" s="1" t="s">
        <v>955</v>
      </c>
      <c r="BZ2770" s="1" t="s">
        <v>209</v>
      </c>
      <c r="CA2770" s="1" t="s">
        <v>210</v>
      </c>
      <c r="CB2770" s="1" t="s">
        <v>229</v>
      </c>
      <c r="CC2770" s="1" t="s">
        <v>212</v>
      </c>
      <c r="CD2770" s="1" t="s">
        <v>206</v>
      </c>
      <c r="CF2770" s="1" t="s">
        <v>229</v>
      </c>
      <c r="CG2770" s="1" t="s">
        <v>1875</v>
      </c>
      <c r="CH2770" s="1" t="s">
        <v>209</v>
      </c>
      <c r="CI2770" s="1" t="s">
        <v>210</v>
      </c>
      <c r="CJ2770" s="1" t="s">
        <v>229</v>
      </c>
      <c r="CK2770" s="1" t="s">
        <v>264</v>
      </c>
      <c r="CL2770" s="1" t="s">
        <v>206</v>
      </c>
      <c r="CM2770" s="1" t="s">
        <v>207</v>
      </c>
      <c r="CN2770" s="1" t="s">
        <v>229</v>
      </c>
      <c r="CO2770" s="1" t="s">
        <v>392</v>
      </c>
      <c r="CP2770" s="1" t="s">
        <v>42</v>
      </c>
      <c r="CQ2770" s="1" t="s">
        <v>210</v>
      </c>
      <c r="CR2770" s="1" t="s">
        <v>229</v>
      </c>
      <c r="CS2770" s="1" t="s">
        <v>264</v>
      </c>
      <c r="CT2770" s="1" t="s">
        <v>206</v>
      </c>
      <c r="CU2770" s="1" t="s">
        <v>207</v>
      </c>
      <c r="CV2770" s="1" t="s">
        <v>229</v>
      </c>
      <c r="CW2770" s="1" t="s">
        <v>454</v>
      </c>
      <c r="CX2770" s="1" t="s">
        <v>42</v>
      </c>
      <c r="CY2770" s="1" t="s">
        <v>301</v>
      </c>
      <c r="CZ2770" s="1" t="s">
        <v>229</v>
      </c>
      <c r="DA2770" s="1" t="s">
        <v>200</v>
      </c>
      <c r="DC2770" s="1" t="s">
        <v>1399</v>
      </c>
      <c r="DD2770" s="1" t="s">
        <v>957</v>
      </c>
      <c r="DE2770" s="1" t="s">
        <v>273</v>
      </c>
      <c r="DF2770" s="1" t="s">
        <v>219</v>
      </c>
      <c r="DG2770" s="1" t="s">
        <v>482</v>
      </c>
      <c r="DH2770" s="1" t="s">
        <v>307</v>
      </c>
      <c r="DI2770" s="1" t="s">
        <v>732</v>
      </c>
      <c r="DJ2770" s="1" t="s">
        <v>222</v>
      </c>
      <c r="DL2770" s="1" t="s">
        <v>224</v>
      </c>
      <c r="DM2770" s="1" t="s">
        <v>398</v>
      </c>
      <c r="DN2770" s="1" t="s">
        <v>666</v>
      </c>
      <c r="DO2770" s="1" t="s">
        <v>549</v>
      </c>
      <c r="DQ2770" s="1" t="s">
        <v>228</v>
      </c>
      <c r="DR2770" s="1" t="s">
        <v>229</v>
      </c>
      <c r="DS2770" s="1" t="s">
        <v>230</v>
      </c>
      <c r="DU2770" s="1" t="s">
        <v>3625</v>
      </c>
      <c r="DV2770" s="1" t="s">
        <v>232</v>
      </c>
      <c r="DW2770" s="1" t="s">
        <v>444</v>
      </c>
      <c r="DX2770" s="1" t="s">
        <v>234</v>
      </c>
      <c r="DY2770" s="1" t="s">
        <v>24429</v>
      </c>
      <c r="EA2770" s="1" t="s">
        <v>1075</v>
      </c>
      <c r="EC2770" s="1" t="s">
        <v>237</v>
      </c>
      <c r="ED2770" s="1" t="s">
        <v>407</v>
      </c>
      <c r="EM2770" s="1" t="s">
        <v>238</v>
      </c>
      <c r="EQ2770" s="1" t="s">
        <v>238</v>
      </c>
      <c r="EU2770" s="1" t="s">
        <v>238</v>
      </c>
      <c r="EY2770" s="1" t="s">
        <v>238</v>
      </c>
      <c r="FC2770" s="1" t="s">
        <v>238</v>
      </c>
      <c r="FF2770" s="1" t="s">
        <v>239</v>
      </c>
      <c r="FG2770" s="1" t="s">
        <v>192</v>
      </c>
      <c r="FH2770" s="1" t="s">
        <v>192</v>
      </c>
      <c r="FJ2770" s="1" t="s">
        <v>4181</v>
      </c>
      <c r="FK2770" s="1" t="s">
        <v>229</v>
      </c>
      <c r="FL2770" s="1" t="s">
        <v>8240</v>
      </c>
      <c r="FM2770" s="1">
        <v>8340.0</v>
      </c>
      <c r="FN2770" s="1" t="s">
        <v>8241</v>
      </c>
      <c r="FO2770" s="1" t="s">
        <v>24430</v>
      </c>
      <c r="FP2770" s="1">
        <v>80589.0</v>
      </c>
      <c r="FQ2770" s="1" t="s">
        <v>24431</v>
      </c>
      <c r="FR2770" s="1">
        <v>240887.0</v>
      </c>
      <c r="FU2770" s="1" t="s">
        <v>24432</v>
      </c>
      <c r="FV2770" s="1" t="s">
        <v>200</v>
      </c>
      <c r="FW2770" s="1" t="s">
        <v>290</v>
      </c>
      <c r="FX2770" s="1" t="s">
        <v>238</v>
      </c>
      <c r="FZ2770" s="1" t="s">
        <v>229</v>
      </c>
      <c r="GA2770" s="1" t="s">
        <v>291</v>
      </c>
      <c r="GB2770" s="2">
        <v>42142.0</v>
      </c>
      <c r="GC2770" s="1" t="s">
        <v>24433</v>
      </c>
    </row>
    <row r="2771">
      <c r="A2771" s="1">
        <v>479000.0</v>
      </c>
      <c r="B2771" s="1" t="s">
        <v>185</v>
      </c>
      <c r="C2771" s="1" t="str">
        <f>"08845337"</f>
        <v>08845337</v>
      </c>
      <c r="D2771" s="1" t="s">
        <v>186</v>
      </c>
      <c r="F2771" s="1" t="str">
        <f t="shared" si="1802"/>
        <v>8011</v>
      </c>
      <c r="G2771" s="2">
        <v>42059.0</v>
      </c>
      <c r="H2771" s="1">
        <v>479000.0</v>
      </c>
      <c r="I2771" s="1">
        <v>3.0</v>
      </c>
      <c r="J2771" s="1">
        <v>479000.0</v>
      </c>
      <c r="K2771" s="2">
        <v>42058.0</v>
      </c>
      <c r="L2771" s="1">
        <v>3.0</v>
      </c>
      <c r="M2771" s="2">
        <v>42058.0</v>
      </c>
      <c r="N2771" s="1" t="s">
        <v>187</v>
      </c>
      <c r="O2771" s="2">
        <v>42080.0</v>
      </c>
      <c r="P2771" s="1">
        <v>89597.0</v>
      </c>
      <c r="Q2771" s="1">
        <v>8058.0</v>
      </c>
      <c r="S2771" s="1">
        <v>5710.0</v>
      </c>
      <c r="T2771" s="1" t="s">
        <v>10041</v>
      </c>
      <c r="U2771" s="1" t="s">
        <v>189</v>
      </c>
      <c r="V2771" s="1" t="s">
        <v>190</v>
      </c>
      <c r="W2771" s="1">
        <v>60646.0</v>
      </c>
      <c r="Y2771" s="1" t="s">
        <v>6132</v>
      </c>
      <c r="Z2771" s="1">
        <v>2014.0</v>
      </c>
      <c r="AA2771" s="1" t="s">
        <v>200</v>
      </c>
      <c r="AB2771" s="1" t="s">
        <v>193</v>
      </c>
      <c r="AD2771" s="1" t="s">
        <v>194</v>
      </c>
      <c r="AE2771" s="1" t="s">
        <v>195</v>
      </c>
      <c r="AF2771" s="1" t="s">
        <v>196</v>
      </c>
      <c r="AG2771" s="1" t="s">
        <v>6133</v>
      </c>
      <c r="AH2771" s="1" t="s">
        <v>20605</v>
      </c>
      <c r="AI2771" s="1">
        <v>0.0899</v>
      </c>
      <c r="AK2771" s="1">
        <v>9.0</v>
      </c>
      <c r="AL2771" s="1">
        <v>4.0</v>
      </c>
      <c r="AM2771" s="1">
        <v>3.0</v>
      </c>
      <c r="AN2771" s="1">
        <v>1.0</v>
      </c>
      <c r="AO2771" s="1" t="s">
        <v>198</v>
      </c>
      <c r="AP2771" s="1">
        <v>1.0</v>
      </c>
      <c r="AQ2771" s="1" t="s">
        <v>1314</v>
      </c>
      <c r="AR2771" s="1" t="s">
        <v>200</v>
      </c>
      <c r="AS2771" s="1" t="s">
        <v>199</v>
      </c>
      <c r="AT2771" s="1">
        <v>2.0</v>
      </c>
      <c r="AV2771" s="1" t="s">
        <v>200</v>
      </c>
      <c r="AW2771" s="1" t="s">
        <v>575</v>
      </c>
      <c r="AX2771" s="1">
        <v>2013.0</v>
      </c>
      <c r="AY2771" s="1" t="s">
        <v>229</v>
      </c>
      <c r="AZ2771" s="1" t="s">
        <v>200</v>
      </c>
      <c r="BA2771" s="1" t="str">
        <f>"13043120590000"</f>
        <v>13043120590000</v>
      </c>
      <c r="BC2771" s="1">
        <v>2813.0</v>
      </c>
      <c r="BD2771" s="1">
        <v>479000.0</v>
      </c>
      <c r="BE2771" s="2">
        <v>42056.0</v>
      </c>
      <c r="BF2771" s="2" t="s">
        <v>24434</v>
      </c>
      <c r="BH2771" s="1">
        <v>125.0</v>
      </c>
      <c r="BK2771" s="1" t="s">
        <v>474</v>
      </c>
      <c r="BL2771" s="1" t="str">
        <f>"5642"</f>
        <v>5642</v>
      </c>
      <c r="BM2771" s="1" t="str">
        <f t="shared" si="1801"/>
        <v>0</v>
      </c>
      <c r="BN2771" s="1">
        <v>5300.0</v>
      </c>
      <c r="BO2771" s="1">
        <v>0.0</v>
      </c>
      <c r="BQ2771" s="1">
        <v>299.0</v>
      </c>
      <c r="BR2771" s="1">
        <v>299.0</v>
      </c>
      <c r="BS2771" s="1">
        <v>299.0</v>
      </c>
      <c r="BU2771" s="1" t="s">
        <v>361</v>
      </c>
      <c r="BV2771" s="1" t="s">
        <v>267</v>
      </c>
      <c r="BW2771" s="1" t="s">
        <v>207</v>
      </c>
      <c r="BY2771" s="1" t="s">
        <v>1426</v>
      </c>
      <c r="BZ2771" s="1" t="s">
        <v>391</v>
      </c>
      <c r="CA2771" s="1" t="s">
        <v>210</v>
      </c>
      <c r="CC2771" s="1" t="s">
        <v>516</v>
      </c>
      <c r="CD2771" s="1" t="s">
        <v>209</v>
      </c>
      <c r="CE2771" s="1" t="s">
        <v>207</v>
      </c>
      <c r="CG2771" s="1" t="s">
        <v>269</v>
      </c>
      <c r="CH2771" s="1" t="s">
        <v>391</v>
      </c>
      <c r="CI2771" s="1" t="s">
        <v>210</v>
      </c>
      <c r="CK2771" s="1" t="s">
        <v>495</v>
      </c>
      <c r="CL2771" s="1" t="s">
        <v>391</v>
      </c>
      <c r="CM2771" s="1" t="s">
        <v>210</v>
      </c>
      <c r="CO2771" s="1" t="s">
        <v>2459</v>
      </c>
      <c r="CP2771" s="1" t="s">
        <v>267</v>
      </c>
      <c r="CQ2771" s="1" t="s">
        <v>210</v>
      </c>
      <c r="CS2771" s="1" t="s">
        <v>640</v>
      </c>
      <c r="CT2771" s="1" t="s">
        <v>209</v>
      </c>
      <c r="CU2771" s="1" t="s">
        <v>207</v>
      </c>
      <c r="CW2771" s="1" t="s">
        <v>390</v>
      </c>
      <c r="CX2771" s="1" t="s">
        <v>209</v>
      </c>
      <c r="CY2771" s="1" t="s">
        <v>207</v>
      </c>
      <c r="DA2771" s="1" t="s">
        <v>192</v>
      </c>
      <c r="DB2771" s="2">
        <v>42094.0</v>
      </c>
      <c r="DC2771" s="1" t="s">
        <v>744</v>
      </c>
      <c r="DD2771" s="1" t="s">
        <v>306</v>
      </c>
      <c r="DE2771" s="1" t="s">
        <v>273</v>
      </c>
      <c r="DF2771" s="1" t="s">
        <v>219</v>
      </c>
      <c r="DG2771" s="1" t="s">
        <v>337</v>
      </c>
      <c r="DH2771" s="1" t="s">
        <v>307</v>
      </c>
      <c r="DI2771" s="1" t="s">
        <v>1003</v>
      </c>
      <c r="DJ2771" s="1" t="s">
        <v>1048</v>
      </c>
      <c r="DL2771" s="1" t="s">
        <v>224</v>
      </c>
      <c r="DM2771" s="1" t="s">
        <v>229</v>
      </c>
      <c r="DN2771" s="1" t="s">
        <v>548</v>
      </c>
      <c r="DP2771" s="1" t="s">
        <v>340</v>
      </c>
      <c r="DQ2771" s="1" t="s">
        <v>228</v>
      </c>
      <c r="DR2771" s="1" t="s">
        <v>6136</v>
      </c>
      <c r="DS2771" s="1" t="s">
        <v>230</v>
      </c>
      <c r="DU2771" s="1" t="s">
        <v>6137</v>
      </c>
      <c r="DV2771" s="1" t="s">
        <v>1164</v>
      </c>
      <c r="DW2771" s="1" t="s">
        <v>964</v>
      </c>
      <c r="DX2771" s="1" t="s">
        <v>234</v>
      </c>
      <c r="DZ2771" s="1" t="s">
        <v>310</v>
      </c>
      <c r="EA2771" s="1" t="s">
        <v>3112</v>
      </c>
      <c r="EB2771" s="1" t="s">
        <v>1639</v>
      </c>
      <c r="EC2771" s="1" t="s">
        <v>406</v>
      </c>
      <c r="EG2771" s="1" t="s">
        <v>1164</v>
      </c>
      <c r="EL2771" s="1" t="s">
        <v>1067</v>
      </c>
      <c r="EM2771" s="1" t="s">
        <v>267</v>
      </c>
      <c r="EN2771" s="1" t="s">
        <v>210</v>
      </c>
      <c r="EQ2771" s="1" t="s">
        <v>238</v>
      </c>
      <c r="EU2771" s="1" t="s">
        <v>238</v>
      </c>
      <c r="EY2771" s="1" t="s">
        <v>238</v>
      </c>
      <c r="FC2771" s="1" t="s">
        <v>238</v>
      </c>
      <c r="FF2771" s="1" t="s">
        <v>239</v>
      </c>
      <c r="FG2771" s="1" t="s">
        <v>192</v>
      </c>
      <c r="FH2771" s="1" t="s">
        <v>192</v>
      </c>
      <c r="FJ2771" s="1" t="s">
        <v>799</v>
      </c>
      <c r="FK2771" s="1" t="s">
        <v>229</v>
      </c>
      <c r="FL2771" s="1" t="s">
        <v>3156</v>
      </c>
      <c r="FM2771" s="1">
        <v>84729.0</v>
      </c>
      <c r="FN2771" s="1" t="s">
        <v>3157</v>
      </c>
      <c r="FO2771" s="1" t="s">
        <v>4104</v>
      </c>
      <c r="FP2771" s="1">
        <v>106635.0</v>
      </c>
      <c r="FQ2771" s="1" t="s">
        <v>4105</v>
      </c>
      <c r="FR2771" s="1">
        <v>115952.0</v>
      </c>
      <c r="FU2771" s="1" t="s">
        <v>24435</v>
      </c>
      <c r="FV2771" s="1" t="s">
        <v>200</v>
      </c>
      <c r="FW2771" s="1" t="s">
        <v>290</v>
      </c>
      <c r="FX2771" s="1" t="s">
        <v>238</v>
      </c>
      <c r="FZ2771" s="1" t="s">
        <v>229</v>
      </c>
      <c r="GA2771" s="1" t="s">
        <v>291</v>
      </c>
      <c r="GB2771" s="2">
        <v>42081.0</v>
      </c>
      <c r="GC2771" s="1" t="s">
        <v>24436</v>
      </c>
    </row>
    <row r="2772">
      <c r="A2772" s="1">
        <v>294000.0</v>
      </c>
      <c r="B2772" s="1" t="s">
        <v>185</v>
      </c>
      <c r="C2772" s="1" t="str">
        <f>"08832950"</f>
        <v>08832950</v>
      </c>
      <c r="D2772" s="1" t="s">
        <v>186</v>
      </c>
      <c r="F2772" s="1" t="str">
        <f>"123"</f>
        <v>123</v>
      </c>
      <c r="G2772" s="2">
        <v>42041.0</v>
      </c>
      <c r="H2772" s="1">
        <v>304900.0</v>
      </c>
      <c r="I2772" s="1">
        <v>141.0</v>
      </c>
      <c r="J2772" s="1">
        <v>299900.0</v>
      </c>
      <c r="K2772" s="2">
        <v>42074.0</v>
      </c>
      <c r="L2772" s="1">
        <v>34.0</v>
      </c>
      <c r="M2772" s="2">
        <v>42074.0</v>
      </c>
      <c r="N2772" s="1" t="s">
        <v>249</v>
      </c>
      <c r="O2772" s="2">
        <v>42128.0</v>
      </c>
      <c r="P2772" s="1">
        <v>210414.0</v>
      </c>
      <c r="Q2772" s="1">
        <v>23099.0</v>
      </c>
      <c r="S2772" s="1">
        <v>303.0</v>
      </c>
      <c r="T2772" s="1" t="s">
        <v>24437</v>
      </c>
      <c r="U2772" s="1" t="s">
        <v>569</v>
      </c>
      <c r="V2772" s="1" t="s">
        <v>465</v>
      </c>
      <c r="W2772" s="1">
        <v>60124.0</v>
      </c>
      <c r="Y2772" s="1" t="s">
        <v>24438</v>
      </c>
      <c r="Z2772" s="1">
        <v>2006.0</v>
      </c>
      <c r="AA2772" s="1" t="s">
        <v>200</v>
      </c>
      <c r="AB2772" s="1" t="s">
        <v>193</v>
      </c>
      <c r="AC2772" s="1" t="s">
        <v>13378</v>
      </c>
      <c r="AD2772" s="1" t="s">
        <v>469</v>
      </c>
      <c r="AE2772" s="1" t="s">
        <v>325</v>
      </c>
      <c r="AF2772" s="1" t="s">
        <v>469</v>
      </c>
      <c r="AG2772" s="1" t="s">
        <v>425</v>
      </c>
      <c r="AH2772" s="1" t="s">
        <v>24439</v>
      </c>
      <c r="AI2772" s="1">
        <v>0.2439</v>
      </c>
      <c r="AK2772" s="1">
        <v>11.0</v>
      </c>
      <c r="AL2772" s="1">
        <v>4.0</v>
      </c>
      <c r="AM2772" s="1">
        <v>2.0</v>
      </c>
      <c r="AN2772" s="1">
        <v>1.0</v>
      </c>
      <c r="AO2772" s="1" t="s">
        <v>198</v>
      </c>
      <c r="AP2772" s="1">
        <v>1.0</v>
      </c>
      <c r="AQ2772" s="1" t="s">
        <v>198</v>
      </c>
      <c r="AR2772" s="1" t="s">
        <v>200</v>
      </c>
      <c r="AS2772" s="1" t="s">
        <v>199</v>
      </c>
      <c r="AT2772" s="1">
        <v>2.5</v>
      </c>
      <c r="AV2772" s="1" t="s">
        <v>200</v>
      </c>
      <c r="AW2772" s="1">
        <v>9170.36</v>
      </c>
      <c r="AX2772" s="1">
        <v>2013.0</v>
      </c>
      <c r="AY2772" s="1" t="s">
        <v>387</v>
      </c>
      <c r="AZ2772" s="1" t="s">
        <v>200</v>
      </c>
      <c r="BA2772" s="1" t="str">
        <f>"0524426002"</f>
        <v>0524426002</v>
      </c>
      <c r="BB2772" s="1" t="s">
        <v>200</v>
      </c>
      <c r="BC2772" s="1">
        <v>2782.0</v>
      </c>
      <c r="BD2772" s="1">
        <v>294000.0</v>
      </c>
      <c r="BE2772" s="2">
        <v>42041.0</v>
      </c>
      <c r="BF2772" s="2" t="s">
        <v>24440</v>
      </c>
      <c r="BG2772" s="1" t="s">
        <v>3686</v>
      </c>
      <c r="BH2772" s="1">
        <v>35.0</v>
      </c>
      <c r="BI2772" s="1" t="s">
        <v>578</v>
      </c>
      <c r="BJ2772" s="1" t="s">
        <v>579</v>
      </c>
      <c r="BK2772" s="1" t="s">
        <v>474</v>
      </c>
      <c r="BL2772" s="1" t="str">
        <f>"11"</f>
        <v>11</v>
      </c>
      <c r="BM2772" s="1" t="str">
        <f t="shared" si="1801"/>
        <v>0</v>
      </c>
      <c r="BN2772" s="1">
        <v>38.0</v>
      </c>
      <c r="BO2772" s="1">
        <v>0.0</v>
      </c>
      <c r="BQ2772" s="1">
        <v>301.0</v>
      </c>
      <c r="BR2772" s="1">
        <v>301.0</v>
      </c>
      <c r="BS2772" s="1">
        <v>301.0</v>
      </c>
      <c r="BU2772" s="1" t="s">
        <v>1875</v>
      </c>
      <c r="BV2772" s="1" t="s">
        <v>206</v>
      </c>
      <c r="BW2772" s="1" t="s">
        <v>210</v>
      </c>
      <c r="BX2772" s="1" t="s">
        <v>239</v>
      </c>
      <c r="BY2772" s="1" t="s">
        <v>214</v>
      </c>
      <c r="BZ2772" s="1" t="s">
        <v>209</v>
      </c>
      <c r="CA2772" s="1" t="s">
        <v>210</v>
      </c>
      <c r="CB2772" s="1" t="s">
        <v>239</v>
      </c>
      <c r="CC2772" s="1" t="s">
        <v>542</v>
      </c>
      <c r="CD2772" s="1" t="s">
        <v>206</v>
      </c>
      <c r="CE2772" s="1" t="s">
        <v>210</v>
      </c>
      <c r="CF2772" s="1" t="s">
        <v>239</v>
      </c>
      <c r="CG2772" s="1" t="s">
        <v>392</v>
      </c>
      <c r="CH2772" s="1" t="s">
        <v>209</v>
      </c>
      <c r="CI2772" s="1" t="s">
        <v>210</v>
      </c>
      <c r="CJ2772" s="1" t="s">
        <v>239</v>
      </c>
      <c r="CK2772" s="1" t="s">
        <v>264</v>
      </c>
      <c r="CL2772" s="1" t="s">
        <v>209</v>
      </c>
      <c r="CM2772" s="1" t="s">
        <v>210</v>
      </c>
      <c r="CN2772" s="1" t="s">
        <v>239</v>
      </c>
      <c r="CO2772" s="1" t="s">
        <v>269</v>
      </c>
      <c r="CP2772" s="1" t="s">
        <v>209</v>
      </c>
      <c r="CQ2772" s="1" t="s">
        <v>210</v>
      </c>
      <c r="CR2772" s="1" t="s">
        <v>239</v>
      </c>
      <c r="CS2772" s="1" t="s">
        <v>729</v>
      </c>
      <c r="CT2772" s="1" t="s">
        <v>206</v>
      </c>
      <c r="CU2772" s="1" t="s">
        <v>268</v>
      </c>
      <c r="CV2772" s="1" t="s">
        <v>239</v>
      </c>
      <c r="CW2772" s="1" t="s">
        <v>214</v>
      </c>
      <c r="CX2772" s="1" t="s">
        <v>206</v>
      </c>
      <c r="CY2772" s="1" t="s">
        <v>210</v>
      </c>
      <c r="CZ2772" s="1" t="s">
        <v>239</v>
      </c>
      <c r="DA2772" s="1" t="s">
        <v>200</v>
      </c>
      <c r="DC2772" s="1" t="s">
        <v>481</v>
      </c>
      <c r="DD2772" s="1" t="s">
        <v>1838</v>
      </c>
      <c r="DE2772" s="1" t="s">
        <v>273</v>
      </c>
      <c r="DF2772" s="1" t="s">
        <v>219</v>
      </c>
      <c r="DG2772" s="1" t="s">
        <v>482</v>
      </c>
      <c r="DH2772" s="1" t="s">
        <v>220</v>
      </c>
      <c r="DI2772" s="1" t="s">
        <v>221</v>
      </c>
      <c r="DJ2772" s="1" t="s">
        <v>222</v>
      </c>
      <c r="DK2772" s="1" t="s">
        <v>223</v>
      </c>
      <c r="DL2772" s="1" t="s">
        <v>223</v>
      </c>
      <c r="DM2772" s="1" t="s">
        <v>338</v>
      </c>
      <c r="DN2772" s="1" t="s">
        <v>7746</v>
      </c>
      <c r="DO2772" s="1" t="s">
        <v>717</v>
      </c>
      <c r="DP2772" s="1" t="s">
        <v>276</v>
      </c>
      <c r="DQ2772" s="1" t="s">
        <v>228</v>
      </c>
      <c r="DR2772" s="1" t="s">
        <v>588</v>
      </c>
      <c r="DS2772" s="1" t="s">
        <v>368</v>
      </c>
      <c r="DU2772" s="1" t="s">
        <v>18166</v>
      </c>
      <c r="DV2772" s="1" t="s">
        <v>3690</v>
      </c>
      <c r="DW2772" s="1" t="s">
        <v>24441</v>
      </c>
      <c r="DX2772" s="1" t="s">
        <v>309</v>
      </c>
      <c r="DY2772" s="1" t="s">
        <v>24442</v>
      </c>
      <c r="DZ2772" s="1" t="s">
        <v>24443</v>
      </c>
      <c r="EA2772" s="1" t="s">
        <v>344</v>
      </c>
      <c r="EB2772" s="1" t="s">
        <v>492</v>
      </c>
      <c r="EC2772" s="1" t="s">
        <v>237</v>
      </c>
      <c r="ED2772" s="1" t="s">
        <v>407</v>
      </c>
      <c r="EE2772" s="1" t="s">
        <v>493</v>
      </c>
      <c r="EG2772" s="1" t="s">
        <v>556</v>
      </c>
      <c r="EH2772" s="1" t="s">
        <v>341</v>
      </c>
      <c r="EI2772" s="1" t="s">
        <v>494</v>
      </c>
      <c r="EJ2772" s="1" t="s">
        <v>408</v>
      </c>
      <c r="EL2772" s="1" t="s">
        <v>2224</v>
      </c>
      <c r="EM2772" s="1" t="s">
        <v>206</v>
      </c>
      <c r="EN2772" s="1" t="s">
        <v>268</v>
      </c>
      <c r="EO2772" s="1" t="s">
        <v>239</v>
      </c>
      <c r="EP2772" s="1" t="s">
        <v>433</v>
      </c>
      <c r="EQ2772" s="1" t="s">
        <v>209</v>
      </c>
      <c r="ER2772" s="1" t="s">
        <v>210</v>
      </c>
      <c r="ES2772" s="1" t="s">
        <v>239</v>
      </c>
      <c r="ET2772" s="1" t="s">
        <v>269</v>
      </c>
      <c r="EU2772" s="1" t="s">
        <v>206</v>
      </c>
      <c r="EV2772" s="1" t="s">
        <v>210</v>
      </c>
      <c r="EW2772" s="1" t="s">
        <v>239</v>
      </c>
      <c r="EX2772" s="1" t="s">
        <v>1137</v>
      </c>
      <c r="EY2772" s="1" t="s">
        <v>206</v>
      </c>
      <c r="EZ2772" s="1" t="s">
        <v>268</v>
      </c>
      <c r="FC2772" s="1" t="s">
        <v>238</v>
      </c>
      <c r="FF2772" s="1" t="s">
        <v>239</v>
      </c>
      <c r="FG2772" s="1" t="s">
        <v>192</v>
      </c>
      <c r="FH2772" s="1" t="s">
        <v>192</v>
      </c>
      <c r="FJ2772" s="1" t="s">
        <v>498</v>
      </c>
      <c r="FK2772" s="1" t="s">
        <v>229</v>
      </c>
      <c r="FL2772" s="1" t="s">
        <v>625</v>
      </c>
      <c r="FM2772" s="1">
        <v>37.0</v>
      </c>
      <c r="FN2772" s="1" t="s">
        <v>626</v>
      </c>
      <c r="FO2772" s="1" t="s">
        <v>627</v>
      </c>
      <c r="FP2772" s="1">
        <v>77100.0</v>
      </c>
      <c r="FQ2772" s="1" t="s">
        <v>628</v>
      </c>
      <c r="FR2772" s="1">
        <v>164.0</v>
      </c>
      <c r="FS2772" s="1" t="s">
        <v>629</v>
      </c>
      <c r="FU2772" s="1" t="s">
        <v>24444</v>
      </c>
      <c r="FV2772" s="1" t="s">
        <v>200</v>
      </c>
      <c r="FW2772" s="1" t="s">
        <v>290</v>
      </c>
      <c r="FZ2772" s="1" t="s">
        <v>632</v>
      </c>
      <c r="GA2772" s="1" t="s">
        <v>291</v>
      </c>
      <c r="GB2772" s="2">
        <v>42128.0</v>
      </c>
      <c r="GC2772" s="1" t="s">
        <v>24445</v>
      </c>
    </row>
    <row r="2773">
      <c r="A2773" s="1">
        <v>208500.0</v>
      </c>
      <c r="B2773" s="1" t="s">
        <v>185</v>
      </c>
      <c r="C2773" s="1" t="str">
        <f>"08832087"</f>
        <v>08832087</v>
      </c>
      <c r="D2773" s="1" t="s">
        <v>186</v>
      </c>
      <c r="F2773" s="1" t="str">
        <f>"543"</f>
        <v>543</v>
      </c>
      <c r="G2773" s="2">
        <v>42040.0</v>
      </c>
      <c r="H2773" s="1">
        <v>219900.0</v>
      </c>
      <c r="I2773" s="1">
        <v>47.0</v>
      </c>
      <c r="J2773" s="1">
        <v>209900.0</v>
      </c>
      <c r="K2773" s="2">
        <v>42086.0</v>
      </c>
      <c r="L2773" s="1">
        <v>47.0</v>
      </c>
      <c r="M2773" s="2">
        <v>42086.0</v>
      </c>
      <c r="N2773" s="1" t="s">
        <v>249</v>
      </c>
      <c r="O2773" s="2">
        <v>42111.0</v>
      </c>
      <c r="P2773" s="1">
        <v>83538.0</v>
      </c>
      <c r="Q2773" s="1">
        <v>8012.0</v>
      </c>
      <c r="S2773" s="1">
        <v>226.0</v>
      </c>
      <c r="T2773" s="1" t="s">
        <v>9314</v>
      </c>
      <c r="U2773" s="1" t="s">
        <v>982</v>
      </c>
      <c r="V2773" s="1" t="s">
        <v>1527</v>
      </c>
      <c r="W2773" s="1">
        <v>60543.0</v>
      </c>
      <c r="Y2773" s="1" t="s">
        <v>24446</v>
      </c>
      <c r="Z2773" s="1">
        <v>2001.0</v>
      </c>
      <c r="AA2773" s="1" t="s">
        <v>200</v>
      </c>
      <c r="AB2773" s="1" t="s">
        <v>467</v>
      </c>
      <c r="AC2773" s="1" t="s">
        <v>12380</v>
      </c>
      <c r="AD2773" s="1" t="s">
        <v>1529</v>
      </c>
      <c r="AE2773" s="1" t="s">
        <v>849</v>
      </c>
      <c r="AF2773" s="1" t="s">
        <v>1529</v>
      </c>
      <c r="AH2773" s="1" t="s">
        <v>24447</v>
      </c>
      <c r="AK2773" s="1">
        <v>8.0</v>
      </c>
      <c r="AL2773" s="1">
        <v>4.0</v>
      </c>
      <c r="AM2773" s="1">
        <v>2.0</v>
      </c>
      <c r="AN2773" s="1">
        <v>1.0</v>
      </c>
      <c r="AO2773" s="1" t="s">
        <v>198</v>
      </c>
      <c r="AQ2773" s="1" t="s">
        <v>198</v>
      </c>
      <c r="AR2773" s="1" t="s">
        <v>200</v>
      </c>
      <c r="AS2773" s="1" t="s">
        <v>199</v>
      </c>
      <c r="AT2773" s="1">
        <v>2.0</v>
      </c>
      <c r="AV2773" s="1" t="s">
        <v>200</v>
      </c>
      <c r="AW2773" s="1">
        <v>6645.0</v>
      </c>
      <c r="AX2773" s="1">
        <v>2012.0</v>
      </c>
      <c r="AY2773" s="1" t="s">
        <v>229</v>
      </c>
      <c r="AZ2773" s="1" t="s">
        <v>200</v>
      </c>
      <c r="BA2773" s="1" t="str">
        <f>"0319401011"</f>
        <v>0319401011</v>
      </c>
      <c r="BB2773" s="1" t="s">
        <v>200</v>
      </c>
      <c r="BC2773" s="1">
        <v>2178.0</v>
      </c>
      <c r="BD2773" s="1">
        <v>208500.0</v>
      </c>
      <c r="BE2773" s="2">
        <v>42040.0</v>
      </c>
      <c r="BF2773" s="2" t="s">
        <v>24448</v>
      </c>
      <c r="BG2773" s="1" t="s">
        <v>1532</v>
      </c>
      <c r="BH2773" s="1">
        <v>190.0</v>
      </c>
      <c r="BI2773" s="1" t="s">
        <v>1533</v>
      </c>
      <c r="BJ2773" s="1" t="s">
        <v>1349</v>
      </c>
      <c r="BK2773" s="1" t="s">
        <v>580</v>
      </c>
      <c r="BL2773" s="1" t="str">
        <f t="shared" ref="BL2773:BM2773" si="1803">""</f>
        <v/>
      </c>
      <c r="BM2773" s="1" t="str">
        <f t="shared" si="1803"/>
        <v/>
      </c>
      <c r="BQ2773" s="1">
        <v>308.0</v>
      </c>
      <c r="BR2773" s="1">
        <v>308.0</v>
      </c>
      <c r="BS2773" s="1">
        <v>308.0</v>
      </c>
      <c r="BU2773" s="1" t="s">
        <v>433</v>
      </c>
      <c r="BV2773" s="1" t="s">
        <v>206</v>
      </c>
      <c r="BW2773" s="1" t="s">
        <v>210</v>
      </c>
      <c r="BY2773" s="1" t="s">
        <v>361</v>
      </c>
      <c r="BZ2773" s="1" t="s">
        <v>209</v>
      </c>
      <c r="CA2773" s="1" t="s">
        <v>210</v>
      </c>
      <c r="CC2773" s="1" t="s">
        <v>332</v>
      </c>
      <c r="CD2773" s="1" t="s">
        <v>206</v>
      </c>
      <c r="CE2773" s="1" t="s">
        <v>210</v>
      </c>
      <c r="CG2773" s="1" t="s">
        <v>264</v>
      </c>
      <c r="CH2773" s="1" t="s">
        <v>209</v>
      </c>
      <c r="CI2773" s="1" t="s">
        <v>210</v>
      </c>
      <c r="CK2773" s="1" t="s">
        <v>495</v>
      </c>
      <c r="CL2773" s="1" t="s">
        <v>209</v>
      </c>
      <c r="CM2773" s="1" t="s">
        <v>210</v>
      </c>
      <c r="CO2773" s="1" t="s">
        <v>495</v>
      </c>
      <c r="CP2773" s="1" t="s">
        <v>209</v>
      </c>
      <c r="CQ2773" s="1" t="s">
        <v>210</v>
      </c>
      <c r="CS2773" s="1" t="s">
        <v>743</v>
      </c>
      <c r="CT2773" s="1" t="s">
        <v>206</v>
      </c>
      <c r="CU2773" s="1" t="s">
        <v>617</v>
      </c>
      <c r="CW2773" s="1" t="s">
        <v>924</v>
      </c>
      <c r="CX2773" s="1" t="s">
        <v>206</v>
      </c>
      <c r="CY2773" s="1" t="s">
        <v>210</v>
      </c>
      <c r="DA2773" s="1" t="s">
        <v>200</v>
      </c>
      <c r="DC2773" s="1" t="s">
        <v>335</v>
      </c>
      <c r="DE2773" s="1" t="s">
        <v>229</v>
      </c>
      <c r="DF2773" s="1" t="s">
        <v>219</v>
      </c>
      <c r="DH2773" s="1" t="s">
        <v>220</v>
      </c>
      <c r="DJ2773" s="1" t="s">
        <v>222</v>
      </c>
      <c r="DL2773" s="1" t="s">
        <v>223</v>
      </c>
      <c r="DM2773" s="1" t="s">
        <v>338</v>
      </c>
      <c r="DQ2773" s="1" t="s">
        <v>441</v>
      </c>
      <c r="DR2773" s="1" t="s">
        <v>229</v>
      </c>
      <c r="DS2773" s="1" t="s">
        <v>230</v>
      </c>
      <c r="DV2773" s="1" t="s">
        <v>232</v>
      </c>
      <c r="DW2773" s="1" t="s">
        <v>233</v>
      </c>
      <c r="DX2773" s="1" t="s">
        <v>234</v>
      </c>
      <c r="DY2773" s="1" t="s">
        <v>1006</v>
      </c>
      <c r="EA2773" s="1" t="s">
        <v>1027</v>
      </c>
      <c r="EC2773" s="1" t="s">
        <v>237</v>
      </c>
      <c r="EM2773" s="1" t="s">
        <v>238</v>
      </c>
      <c r="EQ2773" s="1" t="s">
        <v>238</v>
      </c>
      <c r="EU2773" s="1" t="s">
        <v>238</v>
      </c>
      <c r="EY2773" s="1" t="s">
        <v>238</v>
      </c>
      <c r="FC2773" s="1" t="s">
        <v>238</v>
      </c>
      <c r="FF2773" s="1" t="s">
        <v>239</v>
      </c>
      <c r="FG2773" s="1" t="s">
        <v>192</v>
      </c>
      <c r="FH2773" s="1" t="s">
        <v>192</v>
      </c>
      <c r="FJ2773" s="1" t="s">
        <v>1248</v>
      </c>
      <c r="FK2773" s="1" t="s">
        <v>229</v>
      </c>
      <c r="FL2773" s="1" t="s">
        <v>2382</v>
      </c>
      <c r="FM2773" s="1">
        <v>23842.0</v>
      </c>
      <c r="FN2773" s="1" t="s">
        <v>2383</v>
      </c>
      <c r="FO2773" s="1" t="s">
        <v>2384</v>
      </c>
      <c r="FP2773" s="1">
        <v>217273.0</v>
      </c>
      <c r="FQ2773" s="1" t="s">
        <v>2385</v>
      </c>
      <c r="FR2773" s="1">
        <v>235676.0</v>
      </c>
      <c r="FU2773" s="1" t="s">
        <v>24449</v>
      </c>
      <c r="FV2773" s="1" t="s">
        <v>200</v>
      </c>
      <c r="FW2773" s="1" t="s">
        <v>354</v>
      </c>
      <c r="FZ2773" s="1" t="s">
        <v>229</v>
      </c>
      <c r="GA2773" s="1" t="s">
        <v>291</v>
      </c>
      <c r="GB2773" s="2">
        <v>42111.0</v>
      </c>
      <c r="GC2773" s="1" t="s">
        <v>13286</v>
      </c>
    </row>
    <row r="2774">
      <c r="A2774" s="1">
        <v>500000.0</v>
      </c>
      <c r="B2774" s="1" t="s">
        <v>185</v>
      </c>
      <c r="C2774" s="1" t="str">
        <f>"08831601"</f>
        <v>08831601</v>
      </c>
      <c r="D2774" s="1" t="s">
        <v>186</v>
      </c>
      <c r="F2774" s="1" t="str">
        <f>"10"</f>
        <v>10</v>
      </c>
      <c r="G2774" s="2">
        <v>42040.0</v>
      </c>
      <c r="H2774" s="1">
        <v>529900.0</v>
      </c>
      <c r="I2774" s="1">
        <v>190.0</v>
      </c>
      <c r="J2774" s="1">
        <v>529900.0</v>
      </c>
      <c r="K2774" s="2">
        <v>42057.0</v>
      </c>
      <c r="L2774" s="1">
        <v>18.0</v>
      </c>
      <c r="M2774" s="2">
        <v>42057.0</v>
      </c>
      <c r="N2774" s="1" t="s">
        <v>187</v>
      </c>
      <c r="O2774" s="2">
        <v>42090.0</v>
      </c>
      <c r="P2774" s="1">
        <v>1756.0</v>
      </c>
      <c r="Q2774" s="1">
        <v>256.0</v>
      </c>
      <c r="S2774" s="1">
        <v>578.0</v>
      </c>
      <c r="T2774" s="1" t="s">
        <v>24450</v>
      </c>
      <c r="U2774" s="1" t="s">
        <v>569</v>
      </c>
      <c r="V2774" s="1" t="s">
        <v>11508</v>
      </c>
      <c r="W2774" s="1">
        <v>60010.0</v>
      </c>
      <c r="Y2774" s="1" t="s">
        <v>24451</v>
      </c>
      <c r="Z2774" s="1">
        <v>1971.0</v>
      </c>
      <c r="AA2774" s="1" t="s">
        <v>192</v>
      </c>
      <c r="AB2774" s="1" t="s">
        <v>193</v>
      </c>
      <c r="AD2774" s="1" t="s">
        <v>11511</v>
      </c>
      <c r="AE2774" s="1" t="s">
        <v>917</v>
      </c>
      <c r="AF2774" s="1" t="s">
        <v>918</v>
      </c>
      <c r="AG2774" s="1" t="s">
        <v>752</v>
      </c>
      <c r="AH2774" s="1" t="s">
        <v>24452</v>
      </c>
      <c r="AI2774" s="1">
        <v>4.95</v>
      </c>
      <c r="AK2774" s="1">
        <v>8.0</v>
      </c>
      <c r="AL2774" s="1">
        <v>4.0</v>
      </c>
      <c r="AM2774" s="1">
        <v>3.0</v>
      </c>
      <c r="AN2774" s="1">
        <v>0.0</v>
      </c>
      <c r="AO2774" s="1" t="s">
        <v>198</v>
      </c>
      <c r="AP2774" s="1">
        <v>2.0</v>
      </c>
      <c r="AQ2774" s="1" t="s">
        <v>951</v>
      </c>
      <c r="AR2774" s="1" t="s">
        <v>192</v>
      </c>
      <c r="AS2774" s="1" t="s">
        <v>199</v>
      </c>
      <c r="AT2774" s="1">
        <v>2.0</v>
      </c>
      <c r="AV2774" s="1" t="s">
        <v>200</v>
      </c>
      <c r="AW2774" s="1">
        <v>12273.0</v>
      </c>
      <c r="AX2774" s="1">
        <v>2013.0</v>
      </c>
      <c r="AY2774" s="1" t="s">
        <v>387</v>
      </c>
      <c r="AZ2774" s="1" t="s">
        <v>200</v>
      </c>
      <c r="BA2774" s="1" t="str">
        <f>"13133070010000"</f>
        <v>13133070010000</v>
      </c>
      <c r="BB2774" s="1" t="s">
        <v>200</v>
      </c>
      <c r="BC2774" s="1">
        <v>3915.0</v>
      </c>
      <c r="BD2774" s="1">
        <v>500000.0</v>
      </c>
      <c r="BE2774" s="2">
        <v>42040.0</v>
      </c>
      <c r="BF2774" s="2" t="s">
        <v>24453</v>
      </c>
      <c r="BG2774" s="1" t="s">
        <v>2011</v>
      </c>
      <c r="BH2774" s="1">
        <v>0.0</v>
      </c>
      <c r="BI2774" s="1" t="s">
        <v>2012</v>
      </c>
      <c r="BJ2774" s="1" t="s">
        <v>1714</v>
      </c>
      <c r="BK2774" s="1" t="s">
        <v>204</v>
      </c>
      <c r="BL2774" s="1" t="str">
        <f>"23"</f>
        <v>23</v>
      </c>
      <c r="BM2774" s="1" t="str">
        <f>"0"</f>
        <v>0</v>
      </c>
      <c r="BN2774" s="1">
        <v>26.0</v>
      </c>
      <c r="BO2774" s="1">
        <v>0.0</v>
      </c>
      <c r="BQ2774" s="1">
        <v>220.0</v>
      </c>
      <c r="BR2774" s="1">
        <v>220.0</v>
      </c>
      <c r="BS2774" s="1">
        <v>220.0</v>
      </c>
      <c r="BU2774" s="1" t="s">
        <v>3817</v>
      </c>
      <c r="BV2774" s="1" t="s">
        <v>206</v>
      </c>
      <c r="BW2774" s="1" t="s">
        <v>301</v>
      </c>
      <c r="BX2774" s="1" t="s">
        <v>431</v>
      </c>
      <c r="BY2774" s="1" t="s">
        <v>260</v>
      </c>
      <c r="BZ2774" s="1" t="s">
        <v>206</v>
      </c>
      <c r="CA2774" s="1" t="s">
        <v>207</v>
      </c>
      <c r="CB2774" s="1" t="s">
        <v>431</v>
      </c>
      <c r="CC2774" s="1" t="s">
        <v>393</v>
      </c>
      <c r="CD2774" s="1" t="s">
        <v>206</v>
      </c>
      <c r="CE2774" s="1" t="s">
        <v>207</v>
      </c>
      <c r="CF2774" s="1" t="s">
        <v>431</v>
      </c>
      <c r="CG2774" s="1" t="s">
        <v>332</v>
      </c>
      <c r="CH2774" s="1" t="s">
        <v>206</v>
      </c>
      <c r="CI2774" s="1" t="s">
        <v>207</v>
      </c>
      <c r="CJ2774" s="1" t="s">
        <v>431</v>
      </c>
      <c r="CK2774" s="1" t="s">
        <v>758</v>
      </c>
      <c r="CL2774" s="1" t="s">
        <v>206</v>
      </c>
      <c r="CM2774" s="1" t="s">
        <v>207</v>
      </c>
      <c r="CN2774" s="1" t="s">
        <v>431</v>
      </c>
      <c r="CO2774" s="1" t="s">
        <v>758</v>
      </c>
      <c r="CP2774" s="1" t="s">
        <v>267</v>
      </c>
      <c r="CQ2774" s="1" t="s">
        <v>210</v>
      </c>
      <c r="CR2774" s="1" t="s">
        <v>431</v>
      </c>
      <c r="CS2774" s="1" t="s">
        <v>1892</v>
      </c>
      <c r="CT2774" s="1" t="s">
        <v>206</v>
      </c>
      <c r="CU2774" s="1" t="s">
        <v>268</v>
      </c>
      <c r="CV2774" s="1" t="s">
        <v>1118</v>
      </c>
      <c r="CW2774" s="1" t="s">
        <v>3538</v>
      </c>
      <c r="CX2774" s="1" t="s">
        <v>267</v>
      </c>
      <c r="CY2774" s="1" t="s">
        <v>210</v>
      </c>
      <c r="CZ2774" s="1" t="s">
        <v>431</v>
      </c>
      <c r="DA2774" s="1" t="s">
        <v>200</v>
      </c>
      <c r="DC2774" s="1" t="s">
        <v>517</v>
      </c>
      <c r="DD2774" s="1" t="s">
        <v>336</v>
      </c>
      <c r="DE2774" s="1" t="s">
        <v>273</v>
      </c>
      <c r="DF2774" s="1" t="s">
        <v>219</v>
      </c>
      <c r="DH2774" s="1" t="s">
        <v>856</v>
      </c>
      <c r="DI2774" s="1" t="s">
        <v>1868</v>
      </c>
      <c r="DJ2774" s="1" t="s">
        <v>857</v>
      </c>
      <c r="DK2774" s="1" t="s">
        <v>223</v>
      </c>
      <c r="DL2774" s="1" t="s">
        <v>1161</v>
      </c>
      <c r="DM2774" s="1" t="s">
        <v>338</v>
      </c>
      <c r="DN2774" s="1" t="s">
        <v>399</v>
      </c>
      <c r="DO2774" s="1" t="s">
        <v>1556</v>
      </c>
      <c r="DP2774" s="1" t="s">
        <v>340</v>
      </c>
      <c r="DQ2774" s="1" t="s">
        <v>2549</v>
      </c>
      <c r="DR2774" s="1" t="s">
        <v>229</v>
      </c>
      <c r="DS2774" s="1" t="s">
        <v>230</v>
      </c>
      <c r="DU2774" s="1" t="s">
        <v>16889</v>
      </c>
      <c r="DV2774" s="1" t="s">
        <v>232</v>
      </c>
      <c r="DW2774" s="1" t="s">
        <v>764</v>
      </c>
      <c r="DX2774" s="1" t="s">
        <v>234</v>
      </c>
      <c r="DY2774" s="1" t="s">
        <v>24454</v>
      </c>
      <c r="DZ2774" s="1" t="s">
        <v>24455</v>
      </c>
      <c r="EA2774" s="1" t="s">
        <v>683</v>
      </c>
      <c r="EB2774" s="1" t="s">
        <v>937</v>
      </c>
      <c r="EC2774" s="1" t="s">
        <v>22277</v>
      </c>
      <c r="ED2774" s="1" t="s">
        <v>407</v>
      </c>
      <c r="EE2774" s="1" t="s">
        <v>187</v>
      </c>
      <c r="EM2774" s="1" t="s">
        <v>238</v>
      </c>
      <c r="EQ2774" s="1" t="s">
        <v>238</v>
      </c>
      <c r="EU2774" s="1" t="s">
        <v>238</v>
      </c>
      <c r="EY2774" s="1" t="s">
        <v>238</v>
      </c>
      <c r="FC2774" s="1" t="s">
        <v>238</v>
      </c>
      <c r="FF2774" s="1" t="s">
        <v>239</v>
      </c>
      <c r="FG2774" s="1" t="s">
        <v>192</v>
      </c>
      <c r="FH2774" s="1" t="s">
        <v>192</v>
      </c>
      <c r="FJ2774" s="1" t="s">
        <v>1123</v>
      </c>
      <c r="FK2774" s="1" t="s">
        <v>229</v>
      </c>
      <c r="FL2774" s="1" t="s">
        <v>1358</v>
      </c>
      <c r="FM2774" s="1">
        <v>3980.0</v>
      </c>
      <c r="FN2774" s="1" t="s">
        <v>24456</v>
      </c>
      <c r="FO2774" s="1" t="s">
        <v>24457</v>
      </c>
      <c r="FP2774" s="1">
        <v>62987.0</v>
      </c>
      <c r="FQ2774" s="1" t="s">
        <v>24458</v>
      </c>
      <c r="FU2774" s="1" t="s">
        <v>24459</v>
      </c>
      <c r="FV2774" s="1" t="s">
        <v>200</v>
      </c>
      <c r="FW2774" s="1" t="s">
        <v>290</v>
      </c>
      <c r="FX2774" s="1" t="s">
        <v>246</v>
      </c>
      <c r="FZ2774" s="1" t="s">
        <v>229</v>
      </c>
      <c r="GA2774" s="1" t="s">
        <v>291</v>
      </c>
      <c r="GB2774" s="2">
        <v>42095.0</v>
      </c>
      <c r="GC2774" s="1" t="s">
        <v>24460</v>
      </c>
    </row>
    <row r="2775">
      <c r="A2775" s="1">
        <v>135000.0</v>
      </c>
      <c r="B2775" s="1" t="s">
        <v>185</v>
      </c>
      <c r="C2775" s="1" t="str">
        <f>"08833055"</f>
        <v>08833055</v>
      </c>
      <c r="D2775" s="1" t="s">
        <v>186</v>
      </c>
      <c r="F2775" s="1" t="str">
        <f>"8053"</f>
        <v>8053</v>
      </c>
      <c r="G2775" s="2">
        <v>42041.0</v>
      </c>
      <c r="H2775" s="1">
        <v>139900.0</v>
      </c>
      <c r="I2775" s="1">
        <v>42.0</v>
      </c>
      <c r="J2775" s="1">
        <v>139900.0</v>
      </c>
      <c r="K2775" s="2">
        <v>42082.0</v>
      </c>
      <c r="L2775" s="1">
        <v>42.0</v>
      </c>
      <c r="M2775" s="2">
        <v>42082.0</v>
      </c>
      <c r="N2775" s="1" t="s">
        <v>356</v>
      </c>
      <c r="O2775" s="2">
        <v>42136.0</v>
      </c>
      <c r="P2775" s="1">
        <v>231295.0</v>
      </c>
      <c r="Q2775" s="1">
        <v>25066.0</v>
      </c>
      <c r="R2775" s="1">
        <v>3.0</v>
      </c>
      <c r="S2775" s="1">
        <v>334.0</v>
      </c>
      <c r="T2775" s="1" t="s">
        <v>24461</v>
      </c>
      <c r="U2775" s="1" t="s">
        <v>320</v>
      </c>
      <c r="V2775" s="1" t="s">
        <v>190</v>
      </c>
      <c r="W2775" s="1">
        <v>60628.0</v>
      </c>
      <c r="Y2775" s="1" t="s">
        <v>24462</v>
      </c>
      <c r="Z2775" s="1">
        <v>1955.0</v>
      </c>
      <c r="AA2775" s="1" t="s">
        <v>192</v>
      </c>
      <c r="AB2775" s="1" t="s">
        <v>193</v>
      </c>
      <c r="AD2775" s="1" t="s">
        <v>194</v>
      </c>
      <c r="AE2775" s="1" t="s">
        <v>195</v>
      </c>
      <c r="AF2775" s="1" t="s">
        <v>659</v>
      </c>
      <c r="AH2775" s="1" t="s">
        <v>24463</v>
      </c>
      <c r="AI2775" s="1">
        <v>0.0956</v>
      </c>
      <c r="AK2775" s="1">
        <v>7.0</v>
      </c>
      <c r="AL2775" s="1">
        <v>3.0</v>
      </c>
      <c r="AM2775" s="1">
        <v>2.0</v>
      </c>
      <c r="AN2775" s="1">
        <v>0.0</v>
      </c>
      <c r="AO2775" s="1" t="s">
        <v>229</v>
      </c>
      <c r="AQ2775" s="1" t="s">
        <v>198</v>
      </c>
      <c r="AR2775" s="1" t="s">
        <v>192</v>
      </c>
      <c r="AS2775" s="1" t="s">
        <v>199</v>
      </c>
      <c r="AT2775" s="1">
        <v>2.0</v>
      </c>
      <c r="AV2775" s="1" t="s">
        <v>200</v>
      </c>
      <c r="AW2775" s="1">
        <v>1324.33</v>
      </c>
      <c r="AX2775" s="1">
        <v>2013.0</v>
      </c>
      <c r="AZ2775" s="1" t="s">
        <v>200</v>
      </c>
      <c r="BA2775" s="1" t="str">
        <f>"25284340340000"</f>
        <v>25284340340000</v>
      </c>
      <c r="BC2775" s="1">
        <v>1136.0</v>
      </c>
      <c r="BD2775" s="1">
        <v>135000.0</v>
      </c>
      <c r="BE2775" s="2">
        <v>42041.0</v>
      </c>
      <c r="BF2775" s="2" t="s">
        <v>24464</v>
      </c>
      <c r="BH2775" s="1">
        <v>0.0</v>
      </c>
      <c r="BK2775" s="1" t="s">
        <v>204</v>
      </c>
      <c r="BL2775" s="1" t="str">
        <f t="shared" ref="BL2775:BM2775" si="1804">"0"</f>
        <v>0</v>
      </c>
      <c r="BM2775" s="1" t="str">
        <f t="shared" si="1804"/>
        <v>0</v>
      </c>
      <c r="BN2775" s="1">
        <v>33400.0</v>
      </c>
      <c r="BO2775" s="1">
        <v>12700.0</v>
      </c>
      <c r="BQ2775" s="1">
        <v>299.0</v>
      </c>
      <c r="BR2775" s="1">
        <v>299.0</v>
      </c>
      <c r="BS2775" s="1">
        <v>299.0</v>
      </c>
      <c r="BU2775" s="1" t="s">
        <v>2647</v>
      </c>
      <c r="BV2775" s="1" t="s">
        <v>206</v>
      </c>
      <c r="BW2775" s="1" t="s">
        <v>207</v>
      </c>
      <c r="BY2775" s="1" t="s">
        <v>392</v>
      </c>
      <c r="BZ2775" s="1" t="s">
        <v>206</v>
      </c>
      <c r="CA2775" s="1" t="s">
        <v>207</v>
      </c>
      <c r="CD2775" s="1" t="s">
        <v>204</v>
      </c>
      <c r="CG2775" s="1" t="s">
        <v>495</v>
      </c>
      <c r="CH2775" s="1" t="s">
        <v>206</v>
      </c>
      <c r="CI2775" s="1" t="s">
        <v>207</v>
      </c>
      <c r="CK2775" s="1" t="s">
        <v>266</v>
      </c>
      <c r="CL2775" s="1" t="s">
        <v>206</v>
      </c>
      <c r="CM2775" s="1" t="s">
        <v>207</v>
      </c>
      <c r="CO2775" s="1" t="s">
        <v>392</v>
      </c>
      <c r="CP2775" s="1" t="s">
        <v>42</v>
      </c>
      <c r="CQ2775" s="1" t="s">
        <v>268</v>
      </c>
      <c r="CS2775" s="1" t="s">
        <v>1352</v>
      </c>
      <c r="CT2775" s="1" t="s">
        <v>206</v>
      </c>
      <c r="CU2775" s="1" t="s">
        <v>268</v>
      </c>
      <c r="CW2775" s="1" t="s">
        <v>24465</v>
      </c>
      <c r="CX2775" s="1" t="s">
        <v>42</v>
      </c>
      <c r="CY2775" s="1" t="s">
        <v>268</v>
      </c>
      <c r="DA2775" s="1" t="s">
        <v>200</v>
      </c>
      <c r="DC2775" s="1" t="s">
        <v>271</v>
      </c>
      <c r="DE2775" s="1" t="s">
        <v>229</v>
      </c>
      <c r="DF2775" s="1" t="s">
        <v>219</v>
      </c>
      <c r="DH2775" s="1" t="s">
        <v>220</v>
      </c>
      <c r="DI2775" s="1" t="s">
        <v>1141</v>
      </c>
      <c r="DJ2775" s="1" t="s">
        <v>222</v>
      </c>
      <c r="DL2775" s="1" t="s">
        <v>224</v>
      </c>
      <c r="DM2775" s="1" t="s">
        <v>229</v>
      </c>
      <c r="DQ2775" s="1" t="s">
        <v>228</v>
      </c>
      <c r="DR2775" s="1" t="s">
        <v>229</v>
      </c>
      <c r="DV2775" s="1" t="s">
        <v>232</v>
      </c>
      <c r="DW2775" s="1" t="s">
        <v>279</v>
      </c>
      <c r="DX2775" s="1" t="s">
        <v>234</v>
      </c>
      <c r="EA2775" s="1" t="s">
        <v>644</v>
      </c>
      <c r="EC2775" s="1" t="s">
        <v>685</v>
      </c>
      <c r="EM2775" s="1" t="s">
        <v>238</v>
      </c>
      <c r="EQ2775" s="1" t="s">
        <v>238</v>
      </c>
      <c r="EU2775" s="1" t="s">
        <v>238</v>
      </c>
      <c r="EY2775" s="1" t="s">
        <v>238</v>
      </c>
      <c r="FC2775" s="1" t="s">
        <v>238</v>
      </c>
      <c r="FF2775" s="1" t="s">
        <v>239</v>
      </c>
      <c r="FG2775" s="1" t="s">
        <v>192</v>
      </c>
      <c r="FH2775" s="1" t="s">
        <v>192</v>
      </c>
      <c r="FJ2775" s="1" t="s">
        <v>648</v>
      </c>
      <c r="FK2775" s="1" t="s">
        <v>229</v>
      </c>
      <c r="FL2775" s="1" t="s">
        <v>649</v>
      </c>
      <c r="FM2775" s="1">
        <v>60296.0</v>
      </c>
      <c r="FN2775" s="1" t="s">
        <v>650</v>
      </c>
      <c r="FO2775" s="1" t="s">
        <v>651</v>
      </c>
      <c r="FP2775" s="1">
        <v>602837.0</v>
      </c>
      <c r="FQ2775" s="1" t="s">
        <v>652</v>
      </c>
      <c r="FR2775" s="1">
        <v>602442.0</v>
      </c>
      <c r="FU2775" s="1" t="s">
        <v>353</v>
      </c>
      <c r="FV2775" s="1" t="s">
        <v>200</v>
      </c>
      <c r="FW2775" s="1" t="s">
        <v>530</v>
      </c>
      <c r="FX2775" s="1" t="s">
        <v>246</v>
      </c>
      <c r="FZ2775" s="1" t="s">
        <v>229</v>
      </c>
      <c r="GA2775" s="1" t="s">
        <v>291</v>
      </c>
      <c r="GB2775" s="2">
        <v>42136.0</v>
      </c>
      <c r="GC2775" s="1" t="s">
        <v>1372</v>
      </c>
    </row>
    <row r="2776">
      <c r="A2776" s="1">
        <v>525000.0</v>
      </c>
      <c r="B2776" s="1" t="s">
        <v>185</v>
      </c>
      <c r="C2776" s="1" t="str">
        <f>"08831723"</f>
        <v>08831723</v>
      </c>
      <c r="D2776" s="1" t="s">
        <v>186</v>
      </c>
      <c r="F2776" s="1" t="str">
        <f>"8072"</f>
        <v>8072</v>
      </c>
      <c r="G2776" s="2">
        <v>42040.0</v>
      </c>
      <c r="H2776" s="1">
        <v>549900.0</v>
      </c>
      <c r="I2776" s="1">
        <v>268.0</v>
      </c>
      <c r="J2776" s="1">
        <v>549900.0</v>
      </c>
      <c r="K2776" s="2">
        <v>42122.0</v>
      </c>
      <c r="L2776" s="1">
        <v>83.0</v>
      </c>
      <c r="M2776" s="2">
        <v>42122.0</v>
      </c>
      <c r="N2776" s="1" t="s">
        <v>187</v>
      </c>
      <c r="O2776" s="2">
        <v>42145.0</v>
      </c>
      <c r="P2776" s="1">
        <v>601752.0</v>
      </c>
      <c r="Q2776" s="1">
        <v>60035.0</v>
      </c>
      <c r="S2776" s="1">
        <v>9920.0</v>
      </c>
      <c r="T2776" s="1" t="s">
        <v>5735</v>
      </c>
      <c r="U2776" s="1" t="s">
        <v>189</v>
      </c>
      <c r="V2776" s="1" t="s">
        <v>190</v>
      </c>
      <c r="W2776" s="1">
        <v>60643.0</v>
      </c>
      <c r="Y2776" s="1" t="s">
        <v>24466</v>
      </c>
      <c r="Z2776" s="1">
        <v>1923.0</v>
      </c>
      <c r="AA2776" s="1" t="s">
        <v>192</v>
      </c>
      <c r="AB2776" s="1" t="s">
        <v>193</v>
      </c>
      <c r="AD2776" s="1" t="s">
        <v>194</v>
      </c>
      <c r="AE2776" s="1" t="s">
        <v>195</v>
      </c>
      <c r="AF2776" s="1" t="s">
        <v>659</v>
      </c>
      <c r="AH2776" s="1" t="s">
        <v>24467</v>
      </c>
      <c r="AK2776" s="1">
        <v>11.0</v>
      </c>
      <c r="AL2776" s="1">
        <v>4.0</v>
      </c>
      <c r="AM2776" s="1">
        <v>3.0</v>
      </c>
      <c r="AN2776" s="1">
        <v>1.0</v>
      </c>
      <c r="AO2776" s="1" t="s">
        <v>198</v>
      </c>
      <c r="AP2776" s="1">
        <v>1.0</v>
      </c>
      <c r="AQ2776" s="1" t="s">
        <v>198</v>
      </c>
      <c r="AR2776" s="1" t="s">
        <v>192</v>
      </c>
      <c r="AS2776" s="1" t="s">
        <v>199</v>
      </c>
      <c r="AT2776" s="1">
        <v>2.0</v>
      </c>
      <c r="AV2776" s="1" t="s">
        <v>200</v>
      </c>
      <c r="AW2776" s="1">
        <v>8153.0</v>
      </c>
      <c r="AX2776" s="1">
        <v>2013.0</v>
      </c>
      <c r="AY2776" s="1" t="s">
        <v>387</v>
      </c>
      <c r="AZ2776" s="1" t="s">
        <v>200</v>
      </c>
      <c r="BA2776" s="1" t="str">
        <f>"25073070140000"</f>
        <v>25073070140000</v>
      </c>
      <c r="BB2776" s="1" t="s">
        <v>200</v>
      </c>
      <c r="BC2776" s="1">
        <v>2882.0</v>
      </c>
      <c r="BD2776" s="1">
        <v>525000.0</v>
      </c>
      <c r="BE2776" s="2">
        <v>42040.0</v>
      </c>
      <c r="BF2776" s="2" t="s">
        <v>24468</v>
      </c>
      <c r="BH2776" s="1">
        <v>0.0</v>
      </c>
      <c r="BK2776" s="1" t="s">
        <v>204</v>
      </c>
      <c r="BL2776" s="1" t="str">
        <f t="shared" ref="BL2776:BM2776" si="1805">"0"</f>
        <v>0</v>
      </c>
      <c r="BM2776" s="1" t="str">
        <f t="shared" si="1805"/>
        <v>0</v>
      </c>
      <c r="BN2776" s="1">
        <v>2000.0</v>
      </c>
      <c r="BO2776" s="1">
        <v>9920.0</v>
      </c>
      <c r="BQ2776" s="1">
        <v>299.0</v>
      </c>
      <c r="BR2776" s="1">
        <v>299.0</v>
      </c>
      <c r="BS2776" s="1">
        <v>299.0</v>
      </c>
      <c r="BU2776" s="1" t="s">
        <v>12543</v>
      </c>
      <c r="BV2776" s="1" t="s">
        <v>206</v>
      </c>
      <c r="BW2776" s="1" t="s">
        <v>207</v>
      </c>
      <c r="BY2776" s="1" t="s">
        <v>1517</v>
      </c>
      <c r="BZ2776" s="1" t="s">
        <v>209</v>
      </c>
      <c r="CA2776" s="1" t="s">
        <v>207</v>
      </c>
      <c r="CC2776" s="1" t="s">
        <v>1044</v>
      </c>
      <c r="CD2776" s="1" t="s">
        <v>206</v>
      </c>
      <c r="CE2776" s="1" t="s">
        <v>207</v>
      </c>
      <c r="CG2776" s="1" t="s">
        <v>1395</v>
      </c>
      <c r="CH2776" s="1" t="s">
        <v>209</v>
      </c>
      <c r="CI2776" s="1" t="s">
        <v>207</v>
      </c>
      <c r="CK2776" s="1" t="s">
        <v>215</v>
      </c>
      <c r="CL2776" s="1" t="s">
        <v>209</v>
      </c>
      <c r="CM2776" s="1" t="s">
        <v>207</v>
      </c>
      <c r="CO2776" s="1" t="s">
        <v>363</v>
      </c>
      <c r="CP2776" s="1" t="s">
        <v>209</v>
      </c>
      <c r="CQ2776" s="1" t="s">
        <v>207</v>
      </c>
      <c r="CS2776" s="1" t="s">
        <v>830</v>
      </c>
      <c r="CT2776" s="1" t="s">
        <v>206</v>
      </c>
      <c r="CU2776" s="1" t="s">
        <v>207</v>
      </c>
      <c r="CW2776" s="1" t="s">
        <v>1329</v>
      </c>
      <c r="CX2776" s="1" t="s">
        <v>206</v>
      </c>
      <c r="CY2776" s="1" t="s">
        <v>207</v>
      </c>
      <c r="DA2776" s="1" t="s">
        <v>200</v>
      </c>
      <c r="DC2776" s="1" t="s">
        <v>216</v>
      </c>
      <c r="DD2776" s="1" t="s">
        <v>306</v>
      </c>
      <c r="DE2776" s="1" t="s">
        <v>2146</v>
      </c>
      <c r="DF2776" s="1" t="s">
        <v>787</v>
      </c>
      <c r="DG2776" s="1" t="s">
        <v>2237</v>
      </c>
      <c r="DH2776" s="1" t="s">
        <v>365</v>
      </c>
      <c r="DI2776" s="1" t="s">
        <v>3940</v>
      </c>
      <c r="DJ2776" s="1" t="s">
        <v>222</v>
      </c>
      <c r="DL2776" s="1" t="s">
        <v>224</v>
      </c>
      <c r="DM2776" s="1" t="s">
        <v>229</v>
      </c>
      <c r="DP2776" s="1" t="s">
        <v>340</v>
      </c>
      <c r="DQ2776" s="1" t="s">
        <v>794</v>
      </c>
      <c r="DR2776" s="1" t="s">
        <v>229</v>
      </c>
      <c r="DS2776" s="1" t="s">
        <v>368</v>
      </c>
      <c r="DU2776" s="1" t="s">
        <v>2070</v>
      </c>
      <c r="DV2776" s="1" t="s">
        <v>24469</v>
      </c>
      <c r="DW2776" s="1" t="s">
        <v>279</v>
      </c>
      <c r="DX2776" s="1" t="s">
        <v>234</v>
      </c>
      <c r="DY2776" s="1" t="s">
        <v>987</v>
      </c>
      <c r="DZ2776" s="1" t="s">
        <v>282</v>
      </c>
      <c r="EA2776" s="1" t="s">
        <v>16003</v>
      </c>
      <c r="EC2776" s="1" t="s">
        <v>237</v>
      </c>
      <c r="EG2776" s="1" t="s">
        <v>450</v>
      </c>
      <c r="EH2776" s="1" t="s">
        <v>1824</v>
      </c>
      <c r="EI2776" s="1" t="s">
        <v>494</v>
      </c>
      <c r="EL2776" s="1" t="s">
        <v>24470</v>
      </c>
      <c r="EM2776" s="1" t="s">
        <v>42</v>
      </c>
      <c r="EN2776" s="1" t="s">
        <v>617</v>
      </c>
      <c r="EO2776" s="1" t="s">
        <v>229</v>
      </c>
      <c r="EP2776" s="1" t="s">
        <v>1352</v>
      </c>
      <c r="EQ2776" s="1" t="s">
        <v>42</v>
      </c>
      <c r="ER2776" s="1" t="s">
        <v>617</v>
      </c>
      <c r="ES2776" s="1" t="s">
        <v>229</v>
      </c>
      <c r="ET2776" s="1" t="s">
        <v>300</v>
      </c>
      <c r="EU2776" s="1" t="s">
        <v>206</v>
      </c>
      <c r="EY2776" s="1" t="s">
        <v>238</v>
      </c>
      <c r="FC2776" s="1" t="s">
        <v>238</v>
      </c>
      <c r="FF2776" s="1" t="s">
        <v>239</v>
      </c>
      <c r="FG2776" s="1" t="s">
        <v>192</v>
      </c>
      <c r="FH2776" s="1" t="s">
        <v>192</v>
      </c>
      <c r="FJ2776" s="1" t="s">
        <v>799</v>
      </c>
      <c r="FK2776" s="1" t="s">
        <v>229</v>
      </c>
      <c r="FL2776" s="1" t="s">
        <v>413</v>
      </c>
      <c r="FM2776" s="1">
        <v>13691.0</v>
      </c>
      <c r="FN2776" s="1" t="s">
        <v>414</v>
      </c>
      <c r="FO2776" s="1" t="s">
        <v>24471</v>
      </c>
      <c r="FP2776" s="1">
        <v>188498.0</v>
      </c>
      <c r="FQ2776" s="1" t="s">
        <v>24472</v>
      </c>
      <c r="FU2776" s="1" t="s">
        <v>24473</v>
      </c>
      <c r="FV2776" s="1" t="s">
        <v>200</v>
      </c>
      <c r="FW2776" s="1" t="s">
        <v>530</v>
      </c>
      <c r="FX2776" s="1" t="s">
        <v>655</v>
      </c>
      <c r="FZ2776" s="1" t="s">
        <v>229</v>
      </c>
      <c r="GA2776" s="1" t="s">
        <v>291</v>
      </c>
      <c r="GB2776" s="2">
        <v>42145.0</v>
      </c>
      <c r="GC2776" s="1" t="s">
        <v>24474</v>
      </c>
    </row>
    <row r="2777">
      <c r="A2777" s="1">
        <v>260000.0</v>
      </c>
      <c r="B2777" s="1" t="s">
        <v>185</v>
      </c>
      <c r="C2777" s="1" t="str">
        <f>"08846068"</f>
        <v>08846068</v>
      </c>
      <c r="D2777" s="1" t="s">
        <v>186</v>
      </c>
      <c r="F2777" s="1" t="str">
        <f>"510"</f>
        <v>510</v>
      </c>
      <c r="G2777" s="2">
        <v>42060.0</v>
      </c>
      <c r="H2777" s="1">
        <v>279900.0</v>
      </c>
      <c r="I2777" s="1">
        <v>37.0</v>
      </c>
      <c r="J2777" s="1">
        <v>259900.0</v>
      </c>
      <c r="K2777" s="2">
        <v>42096.0</v>
      </c>
      <c r="L2777" s="1">
        <v>37.0</v>
      </c>
      <c r="M2777" s="2">
        <v>42096.0</v>
      </c>
      <c r="N2777" s="1" t="s">
        <v>187</v>
      </c>
      <c r="O2777" s="2">
        <v>42142.0</v>
      </c>
      <c r="P2777" s="1">
        <v>1661.0</v>
      </c>
      <c r="Q2777" s="1">
        <v>30.0</v>
      </c>
      <c r="R2777" s="1">
        <v>5000.0</v>
      </c>
      <c r="S2777" s="1">
        <v>1204.0</v>
      </c>
      <c r="T2777" s="1" t="s">
        <v>24475</v>
      </c>
      <c r="U2777" s="1" t="s">
        <v>569</v>
      </c>
      <c r="V2777" s="1" t="s">
        <v>2700</v>
      </c>
      <c r="W2777" s="1">
        <v>60510.0</v>
      </c>
      <c r="Y2777" s="1" t="s">
        <v>24476</v>
      </c>
      <c r="Z2777" s="1">
        <v>1988.0</v>
      </c>
      <c r="AA2777" s="1" t="s">
        <v>200</v>
      </c>
      <c r="AB2777" s="1" t="s">
        <v>193</v>
      </c>
      <c r="AC2777" s="1" t="s">
        <v>11653</v>
      </c>
      <c r="AD2777" s="1" t="s">
        <v>2702</v>
      </c>
      <c r="AE2777" s="1" t="s">
        <v>325</v>
      </c>
      <c r="AF2777" s="1" t="s">
        <v>2702</v>
      </c>
      <c r="AG2777" s="1" t="s">
        <v>16472</v>
      </c>
      <c r="AH2777" s="1" t="s">
        <v>24477</v>
      </c>
      <c r="AI2777" s="1">
        <v>0.2252</v>
      </c>
      <c r="AK2777" s="1">
        <v>10.0</v>
      </c>
      <c r="AL2777" s="1">
        <v>4.0</v>
      </c>
      <c r="AM2777" s="1">
        <v>2.0</v>
      </c>
      <c r="AN2777" s="1">
        <v>1.0</v>
      </c>
      <c r="AO2777" s="1" t="s">
        <v>198</v>
      </c>
      <c r="AP2777" s="1">
        <v>1.0</v>
      </c>
      <c r="AQ2777" s="1" t="s">
        <v>1314</v>
      </c>
      <c r="AR2777" s="1" t="s">
        <v>200</v>
      </c>
      <c r="AS2777" s="1" t="s">
        <v>199</v>
      </c>
      <c r="AT2777" s="1">
        <v>2.0</v>
      </c>
      <c r="AV2777" s="1" t="s">
        <v>200</v>
      </c>
      <c r="AW2777" s="1">
        <v>6951.3</v>
      </c>
      <c r="AX2777" s="1">
        <v>2013.0</v>
      </c>
      <c r="AY2777" s="1" t="s">
        <v>387</v>
      </c>
      <c r="AZ2777" s="1" t="s">
        <v>200</v>
      </c>
      <c r="BA2777" s="1" t="str">
        <f>"1226429017"</f>
        <v>1226429017</v>
      </c>
      <c r="BC2777" s="1">
        <v>2165.0</v>
      </c>
      <c r="BD2777" s="1">
        <v>260000.0</v>
      </c>
      <c r="BE2777" s="2">
        <v>42060.0</v>
      </c>
      <c r="BF2777" s="2" t="s">
        <v>24478</v>
      </c>
      <c r="BG2777" s="1" t="s">
        <v>17313</v>
      </c>
      <c r="BH2777" s="1">
        <v>0.0</v>
      </c>
      <c r="BI2777" s="1" t="s">
        <v>3090</v>
      </c>
      <c r="BJ2777" s="1" t="s">
        <v>3091</v>
      </c>
      <c r="BK2777" s="1" t="s">
        <v>204</v>
      </c>
      <c r="BL2777" s="1" t="str">
        <f t="shared" ref="BL2777:BM2777" si="1806">""</f>
        <v/>
      </c>
      <c r="BM2777" s="1" t="str">
        <f t="shared" si="1806"/>
        <v/>
      </c>
      <c r="BQ2777" s="1">
        <v>101.0</v>
      </c>
      <c r="BR2777" s="1">
        <v>101.0</v>
      </c>
      <c r="BS2777" s="1">
        <v>101.0</v>
      </c>
      <c r="BU2777" s="1" t="s">
        <v>208</v>
      </c>
      <c r="BV2777" s="1" t="s">
        <v>206</v>
      </c>
      <c r="BW2777" s="1" t="s">
        <v>210</v>
      </c>
      <c r="BX2777" s="1" t="s">
        <v>431</v>
      </c>
      <c r="BY2777" s="1" t="s">
        <v>1117</v>
      </c>
      <c r="BZ2777" s="1" t="s">
        <v>209</v>
      </c>
      <c r="CA2777" s="1" t="s">
        <v>210</v>
      </c>
      <c r="CB2777" s="1" t="s">
        <v>431</v>
      </c>
      <c r="CC2777" s="1" t="s">
        <v>495</v>
      </c>
      <c r="CD2777" s="1" t="s">
        <v>206</v>
      </c>
      <c r="CE2777" s="1" t="s">
        <v>210</v>
      </c>
      <c r="CF2777" s="1" t="s">
        <v>431</v>
      </c>
      <c r="CG2777" s="1" t="s">
        <v>264</v>
      </c>
      <c r="CH2777" s="1" t="s">
        <v>209</v>
      </c>
      <c r="CI2777" s="1" t="s">
        <v>210</v>
      </c>
      <c r="CJ2777" s="1" t="s">
        <v>431</v>
      </c>
      <c r="CK2777" s="1" t="s">
        <v>497</v>
      </c>
      <c r="CL2777" s="1" t="s">
        <v>209</v>
      </c>
      <c r="CM2777" s="1" t="s">
        <v>210</v>
      </c>
      <c r="CN2777" s="1" t="s">
        <v>431</v>
      </c>
      <c r="CO2777" s="1" t="s">
        <v>262</v>
      </c>
      <c r="CP2777" s="1" t="s">
        <v>209</v>
      </c>
      <c r="CQ2777" s="1" t="s">
        <v>210</v>
      </c>
      <c r="CR2777" s="1" t="s">
        <v>431</v>
      </c>
      <c r="CS2777" s="1" t="s">
        <v>925</v>
      </c>
      <c r="CT2777" s="1" t="s">
        <v>206</v>
      </c>
      <c r="CU2777" s="1" t="s">
        <v>268</v>
      </c>
      <c r="CV2777" s="1" t="s">
        <v>431</v>
      </c>
      <c r="CW2777" s="1" t="s">
        <v>1117</v>
      </c>
      <c r="CX2777" s="1" t="s">
        <v>206</v>
      </c>
      <c r="CY2777" s="1" t="s">
        <v>210</v>
      </c>
      <c r="CZ2777" s="1" t="s">
        <v>431</v>
      </c>
      <c r="DA2777" s="1" t="s">
        <v>200</v>
      </c>
      <c r="DC2777" s="1" t="s">
        <v>305</v>
      </c>
      <c r="DD2777" s="1" t="s">
        <v>518</v>
      </c>
      <c r="DE2777" s="1" t="s">
        <v>273</v>
      </c>
      <c r="DF2777" s="1" t="s">
        <v>619</v>
      </c>
      <c r="DG2777" s="1" t="s">
        <v>337</v>
      </c>
      <c r="DH2777" s="1" t="s">
        <v>220</v>
      </c>
      <c r="DI2777" s="1" t="s">
        <v>221</v>
      </c>
      <c r="DJ2777" s="1" t="s">
        <v>588</v>
      </c>
      <c r="DL2777" s="1" t="s">
        <v>438</v>
      </c>
      <c r="DM2777" s="1" t="s">
        <v>1268</v>
      </c>
      <c r="DO2777" s="1" t="s">
        <v>12169</v>
      </c>
      <c r="DP2777" s="1" t="s">
        <v>340</v>
      </c>
      <c r="DQ2777" s="1" t="s">
        <v>228</v>
      </c>
      <c r="DR2777" s="1" t="s">
        <v>229</v>
      </c>
      <c r="DU2777" s="1" t="s">
        <v>24479</v>
      </c>
      <c r="DV2777" s="1" t="s">
        <v>24480</v>
      </c>
      <c r="DW2777" s="1" t="s">
        <v>233</v>
      </c>
      <c r="DX2777" s="1" t="s">
        <v>234</v>
      </c>
      <c r="DY2777" s="1" t="s">
        <v>1051</v>
      </c>
      <c r="DZ2777" s="1" t="s">
        <v>491</v>
      </c>
      <c r="EA2777" s="1" t="s">
        <v>344</v>
      </c>
      <c r="EB2777" s="1" t="s">
        <v>1639</v>
      </c>
      <c r="EC2777" s="1" t="s">
        <v>237</v>
      </c>
      <c r="ED2777" s="1" t="s">
        <v>407</v>
      </c>
      <c r="EG2777" s="1" t="s">
        <v>408</v>
      </c>
      <c r="EH2777" s="1" t="s">
        <v>598</v>
      </c>
      <c r="EI2777" s="1" t="s">
        <v>450</v>
      </c>
      <c r="EJ2777" s="1" t="s">
        <v>1103</v>
      </c>
      <c r="EK2777" s="1" t="s">
        <v>310</v>
      </c>
      <c r="EL2777" s="1" t="s">
        <v>1796</v>
      </c>
      <c r="EM2777" s="1" t="s">
        <v>206</v>
      </c>
      <c r="EN2777" s="1" t="s">
        <v>207</v>
      </c>
      <c r="EP2777" s="1" t="s">
        <v>265</v>
      </c>
      <c r="EQ2777" s="1" t="s">
        <v>42</v>
      </c>
      <c r="ER2777" s="1" t="s">
        <v>210</v>
      </c>
      <c r="ET2777" s="1" t="s">
        <v>1138</v>
      </c>
      <c r="EU2777" s="1" t="s">
        <v>42</v>
      </c>
      <c r="EV2777" s="1" t="s">
        <v>210</v>
      </c>
      <c r="EX2777" s="1" t="s">
        <v>647</v>
      </c>
      <c r="EY2777" s="1" t="s">
        <v>42</v>
      </c>
      <c r="EZ2777" s="1" t="s">
        <v>588</v>
      </c>
      <c r="FB2777" s="1" t="s">
        <v>7468</v>
      </c>
      <c r="FC2777" s="1" t="s">
        <v>206</v>
      </c>
      <c r="FD2777" s="1" t="s">
        <v>588</v>
      </c>
      <c r="FF2777" s="1" t="s">
        <v>239</v>
      </c>
      <c r="FG2777" s="1" t="s">
        <v>192</v>
      </c>
      <c r="FH2777" s="1" t="s">
        <v>192</v>
      </c>
      <c r="FJ2777" s="1" t="s">
        <v>15409</v>
      </c>
      <c r="FK2777" s="1" t="s">
        <v>557</v>
      </c>
      <c r="FL2777" s="1" t="s">
        <v>1358</v>
      </c>
      <c r="FM2777" s="1">
        <v>25088.0</v>
      </c>
      <c r="FN2777" s="1" t="s">
        <v>9413</v>
      </c>
      <c r="FO2777" s="1" t="s">
        <v>24481</v>
      </c>
      <c r="FP2777" s="1">
        <v>219533.0</v>
      </c>
      <c r="FQ2777" s="1" t="s">
        <v>24482</v>
      </c>
      <c r="FR2777" s="1">
        <v>243864.0</v>
      </c>
      <c r="FS2777" s="1" t="s">
        <v>24483</v>
      </c>
      <c r="FU2777" s="1" t="s">
        <v>3993</v>
      </c>
      <c r="FV2777" s="1" t="s">
        <v>200</v>
      </c>
      <c r="FW2777" s="1" t="s">
        <v>290</v>
      </c>
      <c r="FZ2777" s="1" t="s">
        <v>229</v>
      </c>
      <c r="GA2777" s="1" t="s">
        <v>291</v>
      </c>
      <c r="GB2777" s="2">
        <v>42142.0</v>
      </c>
      <c r="GC2777" s="1" t="s">
        <v>24484</v>
      </c>
    </row>
    <row r="2778">
      <c r="A2778" s="1">
        <v>38500.0</v>
      </c>
      <c r="B2778" s="1" t="s">
        <v>185</v>
      </c>
      <c r="C2778" s="1" t="str">
        <f>"08833478"</f>
        <v>08833478</v>
      </c>
      <c r="D2778" s="1" t="s">
        <v>186</v>
      </c>
      <c r="F2778" s="1" t="str">
        <f>"8061"</f>
        <v>8061</v>
      </c>
      <c r="G2778" s="2">
        <v>42042.0</v>
      </c>
      <c r="H2778" s="1">
        <v>42500.0</v>
      </c>
      <c r="I2778" s="1">
        <v>70.0</v>
      </c>
      <c r="J2778" s="1">
        <v>37500.0</v>
      </c>
      <c r="K2778" s="2">
        <v>42111.0</v>
      </c>
      <c r="L2778" s="1">
        <v>70.0</v>
      </c>
      <c r="M2778" s="2">
        <v>42111.0</v>
      </c>
      <c r="N2778" s="1" t="s">
        <v>249</v>
      </c>
      <c r="O2778" s="2">
        <v>42124.0</v>
      </c>
      <c r="P2778" s="1">
        <v>137498.0</v>
      </c>
      <c r="Q2778" s="1">
        <v>16734.0</v>
      </c>
      <c r="S2778" s="1">
        <v>5004.0</v>
      </c>
      <c r="T2778" s="1" t="s">
        <v>3225</v>
      </c>
      <c r="U2778" s="1" t="s">
        <v>189</v>
      </c>
      <c r="V2778" s="1" t="s">
        <v>190</v>
      </c>
      <c r="W2778" s="1">
        <v>60609.0</v>
      </c>
      <c r="Y2778" s="1" t="s">
        <v>24485</v>
      </c>
      <c r="Z2778" s="1">
        <v>1911.0</v>
      </c>
      <c r="AA2778" s="1" t="s">
        <v>192</v>
      </c>
      <c r="AB2778" s="1" t="s">
        <v>193</v>
      </c>
      <c r="AD2778" s="1" t="s">
        <v>194</v>
      </c>
      <c r="AE2778" s="1" t="s">
        <v>195</v>
      </c>
      <c r="AF2778" s="1" t="s">
        <v>659</v>
      </c>
      <c r="AH2778" s="1" t="s">
        <v>741</v>
      </c>
      <c r="AI2778" s="1">
        <v>0.0689</v>
      </c>
      <c r="AK2778" s="1">
        <v>6.0</v>
      </c>
      <c r="AL2778" s="1">
        <v>4.0</v>
      </c>
      <c r="AM2778" s="1">
        <v>2.0</v>
      </c>
      <c r="AN2778" s="1">
        <v>0.0</v>
      </c>
      <c r="AO2778" s="1" t="s">
        <v>229</v>
      </c>
      <c r="AQ2778" s="1" t="s">
        <v>198</v>
      </c>
      <c r="AR2778" s="1" t="s">
        <v>200</v>
      </c>
      <c r="AS2778" s="1" t="s">
        <v>199</v>
      </c>
      <c r="AT2778" s="1">
        <v>2.0</v>
      </c>
      <c r="AV2778" s="1" t="s">
        <v>200</v>
      </c>
      <c r="AW2778" s="1">
        <v>1751.0</v>
      </c>
      <c r="AX2778" s="1">
        <v>2013.0</v>
      </c>
      <c r="AY2778" s="1" t="s">
        <v>387</v>
      </c>
      <c r="AZ2778" s="1" t="s">
        <v>200</v>
      </c>
      <c r="BA2778" s="1" t="str">
        <f>"20072270230000"</f>
        <v>20072270230000</v>
      </c>
      <c r="BC2778" s="1">
        <v>1561.0</v>
      </c>
      <c r="BD2778" s="1">
        <v>38500.0</v>
      </c>
      <c r="BE2778" s="2">
        <v>42042.0</v>
      </c>
      <c r="BF2778" s="1" t="s">
        <v>24486</v>
      </c>
      <c r="BH2778" s="1">
        <v>0.0</v>
      </c>
      <c r="BK2778" s="1" t="s">
        <v>204</v>
      </c>
      <c r="BL2778" s="1" t="str">
        <f t="shared" ref="BL2778:BM2778" si="1807">"0"</f>
        <v>0</v>
      </c>
      <c r="BM2778" s="1" t="str">
        <f t="shared" si="1807"/>
        <v>0</v>
      </c>
      <c r="BN2778" s="1">
        <v>1700.0</v>
      </c>
      <c r="BO2778" s="1">
        <v>5004.0</v>
      </c>
      <c r="BQ2778" s="1">
        <v>299.0</v>
      </c>
      <c r="BR2778" s="1">
        <v>299.0</v>
      </c>
      <c r="BS2778" s="1">
        <v>299.0</v>
      </c>
      <c r="BU2778" s="1" t="s">
        <v>582</v>
      </c>
      <c r="BV2778" s="1" t="s">
        <v>206</v>
      </c>
      <c r="BY2778" s="1" t="s">
        <v>269</v>
      </c>
      <c r="BZ2778" s="1" t="s">
        <v>206</v>
      </c>
      <c r="CD2778" s="1" t="s">
        <v>204</v>
      </c>
      <c r="CG2778" s="1" t="s">
        <v>263</v>
      </c>
      <c r="CH2778" s="1" t="s">
        <v>206</v>
      </c>
      <c r="CK2778" s="1" t="s">
        <v>1746</v>
      </c>
      <c r="CL2778" s="1" t="s">
        <v>206</v>
      </c>
      <c r="CO2778" s="1" t="s">
        <v>4153</v>
      </c>
      <c r="CP2778" s="1" t="s">
        <v>209</v>
      </c>
      <c r="CS2778" s="1" t="s">
        <v>454</v>
      </c>
      <c r="CT2778" s="1" t="s">
        <v>206</v>
      </c>
      <c r="CX2778" s="1" t="s">
        <v>204</v>
      </c>
      <c r="DA2778" s="1" t="s">
        <v>200</v>
      </c>
      <c r="DC2778" s="1" t="s">
        <v>642</v>
      </c>
      <c r="DE2778" s="1" t="s">
        <v>229</v>
      </c>
      <c r="DF2778" s="1" t="s">
        <v>619</v>
      </c>
      <c r="DH2778" s="1" t="s">
        <v>365</v>
      </c>
      <c r="DJ2778" s="1" t="s">
        <v>222</v>
      </c>
      <c r="DL2778" s="1" t="s">
        <v>224</v>
      </c>
      <c r="DM2778" s="1" t="s">
        <v>229</v>
      </c>
      <c r="DQ2778" s="1" t="s">
        <v>228</v>
      </c>
      <c r="DR2778" s="1" t="s">
        <v>229</v>
      </c>
      <c r="DV2778" s="1" t="s">
        <v>232</v>
      </c>
      <c r="DW2778" s="1" t="s">
        <v>279</v>
      </c>
      <c r="DX2778" s="1" t="s">
        <v>234</v>
      </c>
      <c r="EC2778" s="1" t="s">
        <v>645</v>
      </c>
      <c r="EM2778" s="1" t="s">
        <v>238</v>
      </c>
      <c r="EQ2778" s="1" t="s">
        <v>238</v>
      </c>
      <c r="EU2778" s="1" t="s">
        <v>238</v>
      </c>
      <c r="EY2778" s="1" t="s">
        <v>238</v>
      </c>
      <c r="FC2778" s="1" t="s">
        <v>238</v>
      </c>
      <c r="FF2778" s="1" t="s">
        <v>239</v>
      </c>
      <c r="FG2778" s="1" t="s">
        <v>192</v>
      </c>
      <c r="FH2778" s="1" t="s">
        <v>192</v>
      </c>
      <c r="FJ2778" s="1" t="s">
        <v>16660</v>
      </c>
      <c r="FK2778" s="1" t="s">
        <v>229</v>
      </c>
      <c r="FL2778" s="1" t="s">
        <v>3794</v>
      </c>
      <c r="FM2778" s="1">
        <v>16734.0</v>
      </c>
      <c r="FN2778" s="1" t="s">
        <v>6021</v>
      </c>
      <c r="FO2778" s="1" t="s">
        <v>16661</v>
      </c>
      <c r="FP2778" s="1">
        <v>111741.0</v>
      </c>
      <c r="FQ2778" s="1" t="s">
        <v>16662</v>
      </c>
      <c r="FU2778" s="1" t="s">
        <v>16663</v>
      </c>
      <c r="FV2778" s="1" t="s">
        <v>200</v>
      </c>
      <c r="FW2778" s="1" t="s">
        <v>354</v>
      </c>
      <c r="FX2778" s="1" t="s">
        <v>655</v>
      </c>
      <c r="FZ2778" s="1" t="s">
        <v>229</v>
      </c>
      <c r="GA2778" s="1" t="s">
        <v>291</v>
      </c>
      <c r="GB2778" s="2">
        <v>42125.0</v>
      </c>
      <c r="GC2778" s="1" t="s">
        <v>22224</v>
      </c>
    </row>
    <row r="2779">
      <c r="A2779" s="1">
        <v>280000.0</v>
      </c>
      <c r="B2779" s="1" t="s">
        <v>185</v>
      </c>
      <c r="C2779" s="1" t="str">
        <f>"08834736"</f>
        <v>08834736</v>
      </c>
      <c r="D2779" s="1" t="s">
        <v>186</v>
      </c>
      <c r="F2779" s="1" t="str">
        <f>"538"</f>
        <v>538</v>
      </c>
      <c r="G2779" s="2">
        <v>42044.0</v>
      </c>
      <c r="H2779" s="1">
        <v>280000.0</v>
      </c>
      <c r="I2779" s="1">
        <v>593.0</v>
      </c>
      <c r="J2779" s="1">
        <v>280000.0</v>
      </c>
      <c r="K2779" s="2">
        <v>42070.0</v>
      </c>
      <c r="L2779" s="1">
        <v>27.0</v>
      </c>
      <c r="M2779" s="2">
        <v>42070.0</v>
      </c>
      <c r="N2779" s="1" t="s">
        <v>187</v>
      </c>
      <c r="O2779" s="2">
        <v>42101.0</v>
      </c>
      <c r="P2779" s="1">
        <v>310403.0</v>
      </c>
      <c r="Q2779" s="1">
        <v>306.0</v>
      </c>
      <c r="S2779" s="1">
        <v>982.0</v>
      </c>
      <c r="T2779" s="1" t="s">
        <v>24487</v>
      </c>
      <c r="U2779" s="1" t="s">
        <v>1174</v>
      </c>
      <c r="V2779" s="1" t="s">
        <v>1340</v>
      </c>
      <c r="W2779" s="1">
        <v>60538.0</v>
      </c>
      <c r="Y2779" s="1" t="s">
        <v>24488</v>
      </c>
      <c r="Z2779" s="1">
        <v>2008.0</v>
      </c>
      <c r="AA2779" s="1" t="s">
        <v>200</v>
      </c>
      <c r="AB2779" s="1" t="s">
        <v>193</v>
      </c>
      <c r="AC2779" s="1" t="s">
        <v>11590</v>
      </c>
      <c r="AD2779" s="1" t="s">
        <v>1343</v>
      </c>
      <c r="AE2779" s="1" t="s">
        <v>849</v>
      </c>
      <c r="AF2779" s="1" t="s">
        <v>1529</v>
      </c>
      <c r="AG2779" s="1" t="s">
        <v>14674</v>
      </c>
      <c r="AH2779" s="1" t="s">
        <v>11592</v>
      </c>
      <c r="AK2779" s="1">
        <v>9.0</v>
      </c>
      <c r="AL2779" s="1">
        <v>4.0</v>
      </c>
      <c r="AM2779" s="1">
        <v>2.0</v>
      </c>
      <c r="AN2779" s="1">
        <v>1.0</v>
      </c>
      <c r="AO2779" s="1" t="s">
        <v>198</v>
      </c>
      <c r="AP2779" s="1">
        <v>1.0</v>
      </c>
      <c r="AQ2779" s="1" t="s">
        <v>198</v>
      </c>
      <c r="AR2779" s="1" t="s">
        <v>200</v>
      </c>
      <c r="AS2779" s="1" t="s">
        <v>199</v>
      </c>
      <c r="AT2779" s="1">
        <v>3.0</v>
      </c>
      <c r="AV2779" s="1" t="s">
        <v>200</v>
      </c>
      <c r="AW2779" s="1" t="s">
        <v>575</v>
      </c>
      <c r="AX2779" s="1">
        <v>2013.0</v>
      </c>
      <c r="AY2779" s="1" t="s">
        <v>229</v>
      </c>
      <c r="AZ2779" s="1" t="s">
        <v>200</v>
      </c>
      <c r="BA2779" s="1" t="str">
        <f>"0302219015"</f>
        <v>0302219015</v>
      </c>
      <c r="BB2779" s="1" t="s">
        <v>200</v>
      </c>
      <c r="BC2779" s="1">
        <v>3130.0</v>
      </c>
      <c r="BD2779" s="1">
        <v>280000.0</v>
      </c>
      <c r="BE2779" s="2">
        <v>42044.0</v>
      </c>
      <c r="BF2779" s="2" t="s">
        <v>24489</v>
      </c>
      <c r="BG2779" s="1" t="s">
        <v>1347</v>
      </c>
      <c r="BH2779" s="1">
        <v>0.0</v>
      </c>
      <c r="BI2779" s="1" t="s">
        <v>3647</v>
      </c>
      <c r="BJ2779" s="1" t="s">
        <v>2546</v>
      </c>
      <c r="BK2779" s="1" t="s">
        <v>204</v>
      </c>
      <c r="BL2779" s="1" t="str">
        <f t="shared" ref="BL2779:BM2779" si="1808">""</f>
        <v/>
      </c>
      <c r="BM2779" s="1" t="str">
        <f t="shared" si="1808"/>
        <v/>
      </c>
      <c r="BQ2779" s="1">
        <v>308.0</v>
      </c>
      <c r="BR2779" s="1">
        <v>308.0</v>
      </c>
      <c r="BS2779" s="1">
        <v>308.0</v>
      </c>
      <c r="BU2779" s="1" t="s">
        <v>332</v>
      </c>
      <c r="BV2779" s="1" t="s">
        <v>206</v>
      </c>
      <c r="BW2779" s="1" t="s">
        <v>210</v>
      </c>
      <c r="BY2779" s="1" t="s">
        <v>1623</v>
      </c>
      <c r="BZ2779" s="1" t="s">
        <v>209</v>
      </c>
      <c r="CA2779" s="1" t="s">
        <v>210</v>
      </c>
      <c r="CC2779" s="1" t="s">
        <v>215</v>
      </c>
      <c r="CD2779" s="1" t="s">
        <v>206</v>
      </c>
      <c r="CE2779" s="1" t="s">
        <v>210</v>
      </c>
      <c r="CG2779" s="1" t="s">
        <v>758</v>
      </c>
      <c r="CH2779" s="1" t="s">
        <v>209</v>
      </c>
      <c r="CI2779" s="1" t="s">
        <v>210</v>
      </c>
      <c r="CK2779" s="1" t="s">
        <v>211</v>
      </c>
      <c r="CL2779" s="1" t="s">
        <v>209</v>
      </c>
      <c r="CM2779" s="1" t="s">
        <v>210</v>
      </c>
      <c r="CO2779" s="1" t="s">
        <v>212</v>
      </c>
      <c r="CP2779" s="1" t="s">
        <v>209</v>
      </c>
      <c r="CQ2779" s="1" t="s">
        <v>210</v>
      </c>
      <c r="CS2779" s="1" t="s">
        <v>782</v>
      </c>
      <c r="CT2779" s="1" t="s">
        <v>206</v>
      </c>
      <c r="CU2779" s="1" t="s">
        <v>207</v>
      </c>
      <c r="CW2779" s="1" t="s">
        <v>477</v>
      </c>
      <c r="CX2779" s="1" t="s">
        <v>206</v>
      </c>
      <c r="CY2779" s="1" t="s">
        <v>207</v>
      </c>
      <c r="DA2779" s="1" t="s">
        <v>200</v>
      </c>
      <c r="DC2779" s="1" t="s">
        <v>481</v>
      </c>
      <c r="DD2779" s="1" t="s">
        <v>1838</v>
      </c>
      <c r="DE2779" s="1" t="s">
        <v>273</v>
      </c>
      <c r="DF2779" s="1" t="s">
        <v>219</v>
      </c>
      <c r="DG2779" s="1" t="s">
        <v>337</v>
      </c>
      <c r="DH2779" s="1" t="s">
        <v>220</v>
      </c>
      <c r="DI2779" s="1" t="s">
        <v>589</v>
      </c>
      <c r="DJ2779" s="1" t="s">
        <v>222</v>
      </c>
      <c r="DL2779" s="1" t="s">
        <v>223</v>
      </c>
      <c r="DM2779" s="1" t="s">
        <v>338</v>
      </c>
      <c r="DN2779" s="1" t="s">
        <v>399</v>
      </c>
      <c r="DP2779" s="1" t="s">
        <v>340</v>
      </c>
      <c r="DQ2779" s="1" t="s">
        <v>228</v>
      </c>
      <c r="DR2779" s="1" t="s">
        <v>229</v>
      </c>
      <c r="DS2779" s="1" t="s">
        <v>591</v>
      </c>
      <c r="DU2779" s="1" t="s">
        <v>11594</v>
      </c>
      <c r="DV2779" s="1" t="s">
        <v>1028</v>
      </c>
      <c r="DW2779" s="1" t="s">
        <v>11356</v>
      </c>
      <c r="DX2779" s="1" t="s">
        <v>234</v>
      </c>
      <c r="DY2779" s="1" t="s">
        <v>1936</v>
      </c>
      <c r="DZ2779" s="1" t="s">
        <v>24490</v>
      </c>
      <c r="EA2779" s="1" t="s">
        <v>344</v>
      </c>
      <c r="EB2779" s="1" t="s">
        <v>1639</v>
      </c>
      <c r="EC2779" s="1" t="s">
        <v>237</v>
      </c>
      <c r="ED2779" s="1" t="s">
        <v>5333</v>
      </c>
      <c r="EG2779" s="1" t="s">
        <v>1028</v>
      </c>
      <c r="EL2779" s="1" t="s">
        <v>758</v>
      </c>
      <c r="EM2779" s="1" t="s">
        <v>206</v>
      </c>
      <c r="EN2779" s="1" t="s">
        <v>207</v>
      </c>
      <c r="EQ2779" s="1" t="s">
        <v>238</v>
      </c>
      <c r="EU2779" s="1" t="s">
        <v>238</v>
      </c>
      <c r="EY2779" s="1" t="s">
        <v>238</v>
      </c>
      <c r="FC2779" s="1" t="s">
        <v>238</v>
      </c>
      <c r="FF2779" s="1" t="s">
        <v>239</v>
      </c>
      <c r="FG2779" s="1" t="s">
        <v>192</v>
      </c>
      <c r="FH2779" s="1" t="s">
        <v>192</v>
      </c>
      <c r="FJ2779" s="1" t="s">
        <v>24491</v>
      </c>
      <c r="FK2779" s="1" t="s">
        <v>229</v>
      </c>
      <c r="FL2779" s="1" t="s">
        <v>456</v>
      </c>
      <c r="FM2779" s="1">
        <v>26032.0</v>
      </c>
      <c r="FN2779" s="1" t="s">
        <v>20425</v>
      </c>
      <c r="FO2779" s="1" t="s">
        <v>11597</v>
      </c>
      <c r="FP2779" s="1">
        <v>215491.0</v>
      </c>
      <c r="FQ2779" s="1" t="s">
        <v>11598</v>
      </c>
      <c r="FS2779" s="1" t="s">
        <v>11599</v>
      </c>
      <c r="FU2779" s="1" t="s">
        <v>24492</v>
      </c>
      <c r="FV2779" s="1" t="s">
        <v>200</v>
      </c>
      <c r="FW2779" s="1" t="s">
        <v>11602</v>
      </c>
      <c r="FZ2779" s="1" t="s">
        <v>632</v>
      </c>
      <c r="GA2779" s="1" t="s">
        <v>291</v>
      </c>
      <c r="GB2779" s="2">
        <v>42101.0</v>
      </c>
      <c r="GC2779" s="1" t="s">
        <v>24493</v>
      </c>
    </row>
    <row r="2780">
      <c r="A2780" s="1">
        <v>129900.0</v>
      </c>
      <c r="B2780" s="1" t="s">
        <v>185</v>
      </c>
      <c r="C2780" s="1" t="str">
        <f>"08834818"</f>
        <v>08834818</v>
      </c>
      <c r="D2780" s="1" t="s">
        <v>186</v>
      </c>
      <c r="F2780" s="1" t="str">
        <f>"8019"</f>
        <v>8019</v>
      </c>
      <c r="G2780" s="2">
        <v>42044.0</v>
      </c>
      <c r="H2780" s="1">
        <v>129900.0</v>
      </c>
      <c r="I2780" s="1">
        <v>9.0</v>
      </c>
      <c r="J2780" s="1">
        <v>129900.0</v>
      </c>
      <c r="K2780" s="2">
        <v>42052.0</v>
      </c>
      <c r="L2780" s="1">
        <v>9.0</v>
      </c>
      <c r="M2780" s="2">
        <v>42052.0</v>
      </c>
      <c r="N2780" s="1" t="s">
        <v>249</v>
      </c>
      <c r="O2780" s="2">
        <v>42094.0</v>
      </c>
      <c r="P2780" s="1">
        <v>239948.0</v>
      </c>
      <c r="Q2780" s="1">
        <v>25914.0</v>
      </c>
      <c r="S2780" s="1">
        <v>2453.0</v>
      </c>
      <c r="T2780" s="1" t="s">
        <v>9209</v>
      </c>
      <c r="U2780" s="1" t="s">
        <v>189</v>
      </c>
      <c r="V2780" s="1" t="s">
        <v>190</v>
      </c>
      <c r="W2780" s="1">
        <v>60639.0</v>
      </c>
      <c r="Y2780" s="1" t="s">
        <v>24494</v>
      </c>
      <c r="Z2780" s="1">
        <v>1917.0</v>
      </c>
      <c r="AA2780" s="1" t="s">
        <v>192</v>
      </c>
      <c r="AB2780" s="1" t="s">
        <v>193</v>
      </c>
      <c r="AD2780" s="1" t="s">
        <v>194</v>
      </c>
      <c r="AE2780" s="1" t="s">
        <v>195</v>
      </c>
      <c r="AF2780" s="1" t="s">
        <v>196</v>
      </c>
      <c r="AH2780" s="1" t="s">
        <v>741</v>
      </c>
      <c r="AI2780" s="1">
        <v>0.0868</v>
      </c>
      <c r="AK2780" s="1">
        <v>7.0</v>
      </c>
      <c r="AL2780" s="1">
        <v>4.0</v>
      </c>
      <c r="AM2780" s="1">
        <v>1.0</v>
      </c>
      <c r="AN2780" s="1">
        <v>0.0</v>
      </c>
      <c r="AO2780" s="1" t="s">
        <v>229</v>
      </c>
      <c r="AQ2780" s="1" t="s">
        <v>198</v>
      </c>
      <c r="AR2780" s="1" t="s">
        <v>192</v>
      </c>
      <c r="AS2780" s="1" t="s">
        <v>199</v>
      </c>
      <c r="AT2780" s="1">
        <v>2.0</v>
      </c>
      <c r="AV2780" s="1" t="s">
        <v>200</v>
      </c>
      <c r="AW2780" s="1">
        <v>2489.0</v>
      </c>
      <c r="AX2780" s="1">
        <v>2013.0</v>
      </c>
      <c r="AZ2780" s="1" t="s">
        <v>200</v>
      </c>
      <c r="BA2780" s="1" t="str">
        <f>"13283280030000"</f>
        <v>13283280030000</v>
      </c>
      <c r="BC2780" s="1">
        <v>0.0</v>
      </c>
      <c r="BD2780" s="1">
        <v>129900.0</v>
      </c>
      <c r="BE2780" s="2">
        <v>42044.0</v>
      </c>
      <c r="BF2780" s="2" t="s">
        <v>24495</v>
      </c>
      <c r="BH2780" s="1">
        <v>0.0</v>
      </c>
      <c r="BK2780" s="1" t="s">
        <v>204</v>
      </c>
      <c r="BL2780" s="1" t="str">
        <f>"2453"</f>
        <v>2453</v>
      </c>
      <c r="BM2780" s="1" t="str">
        <f t="shared" ref="BM2780:BM2781" si="1809">"0"</f>
        <v>0</v>
      </c>
      <c r="BN2780" s="1">
        <v>5400.0</v>
      </c>
      <c r="BO2780" s="1">
        <v>0.0</v>
      </c>
      <c r="BQ2780" s="1">
        <v>299.0</v>
      </c>
      <c r="BR2780" s="1">
        <v>299.0</v>
      </c>
      <c r="BS2780" s="1">
        <v>299.0</v>
      </c>
      <c r="BU2780" s="1" t="s">
        <v>212</v>
      </c>
      <c r="BV2780" s="1" t="s">
        <v>206</v>
      </c>
      <c r="BW2780" s="1" t="s">
        <v>207</v>
      </c>
      <c r="BY2780" s="1" t="s">
        <v>515</v>
      </c>
      <c r="BZ2780" s="1" t="s">
        <v>209</v>
      </c>
      <c r="CA2780" s="1" t="s">
        <v>617</v>
      </c>
      <c r="CC2780" s="1" t="s">
        <v>212</v>
      </c>
      <c r="CD2780" s="1" t="s">
        <v>206</v>
      </c>
      <c r="CE2780" s="1" t="s">
        <v>207</v>
      </c>
      <c r="CG2780" s="1" t="s">
        <v>269</v>
      </c>
      <c r="CH2780" s="1" t="s">
        <v>209</v>
      </c>
      <c r="CI2780" s="1" t="s">
        <v>617</v>
      </c>
      <c r="CK2780" s="1" t="s">
        <v>1745</v>
      </c>
      <c r="CL2780" s="1" t="s">
        <v>206</v>
      </c>
      <c r="CM2780" s="1" t="s">
        <v>207</v>
      </c>
      <c r="CO2780" s="1" t="s">
        <v>375</v>
      </c>
      <c r="CP2780" s="1" t="s">
        <v>206</v>
      </c>
      <c r="CQ2780" s="1" t="s">
        <v>207</v>
      </c>
      <c r="CS2780" s="1" t="s">
        <v>212</v>
      </c>
      <c r="CT2780" s="1" t="s">
        <v>206</v>
      </c>
      <c r="CU2780" s="1" t="s">
        <v>207</v>
      </c>
      <c r="CX2780" s="1" t="s">
        <v>204</v>
      </c>
      <c r="DA2780" s="1" t="s">
        <v>200</v>
      </c>
      <c r="DC2780" s="1" t="s">
        <v>216</v>
      </c>
      <c r="DE2780" s="1" t="s">
        <v>24496</v>
      </c>
      <c r="DF2780" s="1" t="s">
        <v>3540</v>
      </c>
      <c r="DH2780" s="1" t="s">
        <v>365</v>
      </c>
      <c r="DJ2780" s="1" t="s">
        <v>222</v>
      </c>
      <c r="DK2780" s="1" t="s">
        <v>790</v>
      </c>
      <c r="DL2780" s="1" t="s">
        <v>223</v>
      </c>
      <c r="DM2780" s="1" t="s">
        <v>229</v>
      </c>
      <c r="DP2780" s="1" t="s">
        <v>340</v>
      </c>
      <c r="DQ2780" s="1" t="s">
        <v>718</v>
      </c>
      <c r="DR2780" s="1" t="s">
        <v>229</v>
      </c>
      <c r="DS2780" s="1" t="s">
        <v>230</v>
      </c>
      <c r="DV2780" s="1" t="s">
        <v>232</v>
      </c>
      <c r="DW2780" s="1" t="s">
        <v>370</v>
      </c>
      <c r="DX2780" s="1" t="s">
        <v>234</v>
      </c>
      <c r="DZ2780" s="1" t="s">
        <v>310</v>
      </c>
      <c r="EA2780" s="1" t="s">
        <v>644</v>
      </c>
      <c r="EC2780" s="1" t="s">
        <v>645</v>
      </c>
      <c r="EM2780" s="1" t="s">
        <v>238</v>
      </c>
      <c r="EQ2780" s="1" t="s">
        <v>238</v>
      </c>
      <c r="EU2780" s="1" t="s">
        <v>238</v>
      </c>
      <c r="EY2780" s="1" t="s">
        <v>238</v>
      </c>
      <c r="FC2780" s="1" t="s">
        <v>238</v>
      </c>
      <c r="FF2780" s="1" t="s">
        <v>239</v>
      </c>
      <c r="FG2780" s="1" t="s">
        <v>192</v>
      </c>
      <c r="FH2780" s="1" t="s">
        <v>192</v>
      </c>
      <c r="FJ2780" s="1" t="s">
        <v>1248</v>
      </c>
      <c r="FK2780" s="1" t="s">
        <v>229</v>
      </c>
      <c r="FL2780" s="1" t="s">
        <v>734</v>
      </c>
      <c r="FM2780" s="1">
        <v>10646.0</v>
      </c>
      <c r="FN2780" s="1" t="s">
        <v>735</v>
      </c>
      <c r="FO2780" s="1" t="s">
        <v>5446</v>
      </c>
      <c r="FP2780" s="1">
        <v>166674.0</v>
      </c>
      <c r="FQ2780" s="1" t="s">
        <v>5447</v>
      </c>
      <c r="FR2780" s="1">
        <v>130124.0</v>
      </c>
      <c r="FU2780" s="1" t="s">
        <v>1438</v>
      </c>
      <c r="FV2780" s="1" t="s">
        <v>200</v>
      </c>
      <c r="FW2780" s="1" t="s">
        <v>1307</v>
      </c>
      <c r="FX2780" s="1" t="s">
        <v>238</v>
      </c>
      <c r="FZ2780" s="1" t="s">
        <v>229</v>
      </c>
      <c r="GA2780" s="1" t="s">
        <v>291</v>
      </c>
      <c r="GB2780" s="2">
        <v>42094.0</v>
      </c>
      <c r="GC2780" s="1" t="s">
        <v>24497</v>
      </c>
    </row>
    <row r="2781">
      <c r="A2781" s="1">
        <v>278016.0</v>
      </c>
      <c r="B2781" s="1" t="s">
        <v>185</v>
      </c>
      <c r="C2781" s="1" t="str">
        <f>"08832677"</f>
        <v>08832677</v>
      </c>
      <c r="D2781" s="1" t="s">
        <v>186</v>
      </c>
      <c r="F2781" s="1" t="str">
        <f>"123"</f>
        <v>123</v>
      </c>
      <c r="G2781" s="2">
        <v>42041.0</v>
      </c>
      <c r="H2781" s="1">
        <v>263995.0</v>
      </c>
      <c r="I2781" s="1">
        <v>6.0</v>
      </c>
      <c r="J2781" s="1">
        <v>263995.0</v>
      </c>
      <c r="K2781" s="2">
        <v>42046.0</v>
      </c>
      <c r="L2781" s="1">
        <v>6.0</v>
      </c>
      <c r="M2781" s="2">
        <v>42046.0</v>
      </c>
      <c r="N2781" s="1" t="s">
        <v>356</v>
      </c>
      <c r="O2781" s="2">
        <v>42097.0</v>
      </c>
      <c r="P2781" s="1">
        <v>81575.0</v>
      </c>
      <c r="Q2781" s="1">
        <v>8965.0</v>
      </c>
      <c r="S2781" s="1">
        <v>3652.0</v>
      </c>
      <c r="T2781" s="1" t="s">
        <v>568</v>
      </c>
      <c r="U2781" s="1" t="s">
        <v>569</v>
      </c>
      <c r="V2781" s="1" t="s">
        <v>465</v>
      </c>
      <c r="W2781" s="1">
        <v>60124.0</v>
      </c>
      <c r="Y2781" s="1" t="s">
        <v>11468</v>
      </c>
      <c r="Z2781" s="1">
        <v>2015.0</v>
      </c>
      <c r="AA2781" s="1" t="s">
        <v>200</v>
      </c>
      <c r="AB2781" s="1" t="s">
        <v>193</v>
      </c>
      <c r="AC2781" s="1" t="s">
        <v>571</v>
      </c>
      <c r="AD2781" s="1" t="s">
        <v>469</v>
      </c>
      <c r="AE2781" s="1" t="s">
        <v>325</v>
      </c>
      <c r="AF2781" s="1" t="s">
        <v>572</v>
      </c>
      <c r="AG2781" s="1" t="s">
        <v>24498</v>
      </c>
      <c r="AH2781" s="1" t="s">
        <v>4587</v>
      </c>
      <c r="AI2781" s="1">
        <v>0.23</v>
      </c>
      <c r="AK2781" s="1">
        <v>9.0</v>
      </c>
      <c r="AL2781" s="1">
        <v>4.0</v>
      </c>
      <c r="AM2781" s="1">
        <v>2.0</v>
      </c>
      <c r="AN2781" s="1">
        <v>1.0</v>
      </c>
      <c r="AO2781" s="1" t="s">
        <v>198</v>
      </c>
      <c r="AQ2781" s="1" t="s">
        <v>198</v>
      </c>
      <c r="AR2781" s="1" t="s">
        <v>200</v>
      </c>
      <c r="AS2781" s="1" t="s">
        <v>199</v>
      </c>
      <c r="AT2781" s="1">
        <v>2.0</v>
      </c>
      <c r="AV2781" s="1" t="s">
        <v>200</v>
      </c>
      <c r="AW2781" s="1" t="s">
        <v>575</v>
      </c>
      <c r="AX2781" s="1">
        <v>2013.0</v>
      </c>
      <c r="AZ2781" s="1" t="s">
        <v>200</v>
      </c>
      <c r="BA2781" s="1" t="str">
        <f>"0525300006"</f>
        <v>0525300006</v>
      </c>
      <c r="BC2781" s="1">
        <v>2423.0</v>
      </c>
      <c r="BD2781" s="1">
        <v>278016.0</v>
      </c>
      <c r="BE2781" s="2">
        <v>42041.0</v>
      </c>
      <c r="BF2781" s="2" t="s">
        <v>24499</v>
      </c>
      <c r="BG2781" s="1" t="s">
        <v>3686</v>
      </c>
      <c r="BH2781" s="1">
        <v>421.0</v>
      </c>
      <c r="BI2781" s="1" t="s">
        <v>1975</v>
      </c>
      <c r="BJ2781" s="1" t="s">
        <v>579</v>
      </c>
      <c r="BK2781" s="1" t="s">
        <v>580</v>
      </c>
      <c r="BL2781" s="1" t="str">
        <f>"9"</f>
        <v>9</v>
      </c>
      <c r="BM2781" s="1" t="str">
        <f t="shared" si="1809"/>
        <v>0</v>
      </c>
      <c r="BN2781" s="1">
        <v>37.0</v>
      </c>
      <c r="BO2781" s="1">
        <v>0.0</v>
      </c>
      <c r="BQ2781" s="1">
        <v>301.0</v>
      </c>
      <c r="BR2781" s="1">
        <v>301.0</v>
      </c>
      <c r="BS2781" s="1">
        <v>301.0</v>
      </c>
      <c r="BU2781" s="1" t="s">
        <v>758</v>
      </c>
      <c r="BV2781" s="1" t="s">
        <v>206</v>
      </c>
      <c r="BW2781" s="1" t="s">
        <v>210</v>
      </c>
      <c r="BX2781" s="1" t="s">
        <v>229</v>
      </c>
      <c r="BY2781" s="1" t="s">
        <v>432</v>
      </c>
      <c r="BZ2781" s="1" t="s">
        <v>209</v>
      </c>
      <c r="CA2781" s="1" t="s">
        <v>210</v>
      </c>
      <c r="CB2781" s="1" t="s">
        <v>229</v>
      </c>
      <c r="CC2781" s="1" t="s">
        <v>262</v>
      </c>
      <c r="CD2781" s="1" t="s">
        <v>206</v>
      </c>
      <c r="CE2781" s="1" t="s">
        <v>210</v>
      </c>
      <c r="CF2781" s="1" t="s">
        <v>229</v>
      </c>
      <c r="CG2781" s="1" t="s">
        <v>332</v>
      </c>
      <c r="CH2781" s="1" t="s">
        <v>209</v>
      </c>
      <c r="CI2781" s="1" t="s">
        <v>210</v>
      </c>
      <c r="CJ2781" s="1" t="s">
        <v>229</v>
      </c>
      <c r="CK2781" s="1" t="s">
        <v>212</v>
      </c>
      <c r="CL2781" s="1" t="s">
        <v>209</v>
      </c>
      <c r="CM2781" s="1" t="s">
        <v>210</v>
      </c>
      <c r="CN2781" s="1" t="s">
        <v>229</v>
      </c>
      <c r="CO2781" s="1" t="s">
        <v>264</v>
      </c>
      <c r="CP2781" s="1" t="s">
        <v>209</v>
      </c>
      <c r="CQ2781" s="1" t="s">
        <v>210</v>
      </c>
      <c r="CR2781" s="1" t="s">
        <v>229</v>
      </c>
      <c r="CS2781" s="1" t="s">
        <v>1117</v>
      </c>
      <c r="CT2781" s="1" t="s">
        <v>206</v>
      </c>
      <c r="CU2781" s="1" t="s">
        <v>207</v>
      </c>
      <c r="CV2781" s="1" t="s">
        <v>229</v>
      </c>
      <c r="CW2781" s="1" t="s">
        <v>616</v>
      </c>
      <c r="CX2781" s="1" t="s">
        <v>206</v>
      </c>
      <c r="CY2781" s="1" t="s">
        <v>210</v>
      </c>
      <c r="CZ2781" s="1" t="s">
        <v>229</v>
      </c>
      <c r="DA2781" s="1" t="s">
        <v>192</v>
      </c>
      <c r="DB2781" s="2">
        <v>42125.0</v>
      </c>
      <c r="DC2781" s="1" t="s">
        <v>744</v>
      </c>
      <c r="DD2781" s="1" t="s">
        <v>786</v>
      </c>
      <c r="DE2781" s="1" t="s">
        <v>273</v>
      </c>
      <c r="DF2781" s="1" t="s">
        <v>219</v>
      </c>
      <c r="DG2781" s="1" t="s">
        <v>587</v>
      </c>
      <c r="DH2781" s="1" t="s">
        <v>220</v>
      </c>
      <c r="DI2781" s="1" t="s">
        <v>1978</v>
      </c>
      <c r="DJ2781" s="1" t="s">
        <v>222</v>
      </c>
      <c r="DK2781" s="1" t="s">
        <v>223</v>
      </c>
      <c r="DL2781" s="1" t="s">
        <v>484</v>
      </c>
      <c r="DM2781" s="1" t="s">
        <v>338</v>
      </c>
      <c r="DN2781" s="1" t="s">
        <v>485</v>
      </c>
      <c r="DP2781" s="1" t="s">
        <v>340</v>
      </c>
      <c r="DQ2781" s="1" t="s">
        <v>228</v>
      </c>
      <c r="DR2781" s="1" t="s">
        <v>588</v>
      </c>
      <c r="DS2781" s="1" t="s">
        <v>591</v>
      </c>
      <c r="DT2781" s="1" t="s">
        <v>11473</v>
      </c>
      <c r="DU2781" s="1" t="s">
        <v>10083</v>
      </c>
      <c r="DV2781" s="1" t="s">
        <v>23955</v>
      </c>
      <c r="DW2781" s="1" t="s">
        <v>3465</v>
      </c>
      <c r="DX2781" s="1" t="s">
        <v>234</v>
      </c>
      <c r="DY2781" s="1" t="s">
        <v>1559</v>
      </c>
      <c r="DZ2781" s="1" t="s">
        <v>405</v>
      </c>
      <c r="EA2781" s="1" t="s">
        <v>447</v>
      </c>
      <c r="EC2781" s="1" t="s">
        <v>237</v>
      </c>
      <c r="ED2781" s="1" t="s">
        <v>407</v>
      </c>
      <c r="EG2781" s="1" t="s">
        <v>409</v>
      </c>
      <c r="EH2781" s="1" t="s">
        <v>449</v>
      </c>
      <c r="EL2781" s="1" t="s">
        <v>4153</v>
      </c>
      <c r="EM2781" s="1" t="s">
        <v>209</v>
      </c>
      <c r="EN2781" s="1" t="s">
        <v>210</v>
      </c>
      <c r="EO2781" s="1" t="s">
        <v>229</v>
      </c>
      <c r="EP2781" s="1" t="s">
        <v>640</v>
      </c>
      <c r="EQ2781" s="1" t="s">
        <v>206</v>
      </c>
      <c r="ER2781" s="1" t="s">
        <v>207</v>
      </c>
      <c r="ES2781" s="1" t="s">
        <v>229</v>
      </c>
      <c r="EU2781" s="1" t="s">
        <v>238</v>
      </c>
      <c r="EY2781" s="1" t="s">
        <v>238</v>
      </c>
      <c r="FC2781" s="1" t="s">
        <v>238</v>
      </c>
      <c r="FF2781" s="1" t="s">
        <v>239</v>
      </c>
      <c r="FG2781" s="1" t="s">
        <v>192</v>
      </c>
      <c r="FH2781" s="1" t="s">
        <v>192</v>
      </c>
      <c r="FJ2781" s="1" t="s">
        <v>600</v>
      </c>
      <c r="FK2781" s="1" t="s">
        <v>601</v>
      </c>
      <c r="FL2781" s="1" t="s">
        <v>602</v>
      </c>
      <c r="FM2781" s="1">
        <v>25645.0</v>
      </c>
      <c r="FN2781" s="1" t="s">
        <v>603</v>
      </c>
      <c r="FO2781" s="1" t="s">
        <v>604</v>
      </c>
      <c r="FP2781" s="1">
        <v>80455.0</v>
      </c>
      <c r="FT2781" s="1" t="s">
        <v>605</v>
      </c>
      <c r="FU2781" s="1" t="s">
        <v>11475</v>
      </c>
      <c r="FV2781" s="1" t="s">
        <v>200</v>
      </c>
      <c r="FW2781" s="1" t="s">
        <v>607</v>
      </c>
      <c r="FZ2781" s="1" t="s">
        <v>229</v>
      </c>
      <c r="GA2781" s="1" t="s">
        <v>291</v>
      </c>
      <c r="GB2781" s="2">
        <v>42125.0</v>
      </c>
      <c r="GC2781" s="1" t="s">
        <v>24500</v>
      </c>
    </row>
    <row r="2782">
      <c r="A2782" s="1">
        <v>278000.0</v>
      </c>
      <c r="B2782" s="1" t="s">
        <v>185</v>
      </c>
      <c r="C2782" s="1" t="str">
        <f>"08833789"</f>
        <v>08833789</v>
      </c>
      <c r="D2782" s="1" t="s">
        <v>186</v>
      </c>
      <c r="F2782" s="1" t="str">
        <f>"110"</f>
        <v>110</v>
      </c>
      <c r="G2782" s="2">
        <v>42043.0</v>
      </c>
      <c r="H2782" s="1">
        <v>290000.0</v>
      </c>
      <c r="I2782" s="1">
        <v>233.0</v>
      </c>
      <c r="J2782" s="1">
        <v>287175.0</v>
      </c>
      <c r="K2782" s="2">
        <v>42087.0</v>
      </c>
      <c r="L2782" s="1">
        <v>45.0</v>
      </c>
      <c r="M2782" s="2">
        <v>42087.0</v>
      </c>
      <c r="N2782" s="1" t="s">
        <v>187</v>
      </c>
      <c r="O2782" s="2">
        <v>42125.0</v>
      </c>
      <c r="P2782" s="1">
        <v>40410.0</v>
      </c>
      <c r="Q2782" s="1">
        <v>6026.0</v>
      </c>
      <c r="S2782" s="1">
        <v>4918.0</v>
      </c>
      <c r="T2782" s="1" t="s">
        <v>7546</v>
      </c>
      <c r="U2782" s="1" t="s">
        <v>1174</v>
      </c>
      <c r="V2782" s="1" t="s">
        <v>807</v>
      </c>
      <c r="W2782" s="1">
        <v>60110.0</v>
      </c>
      <c r="Y2782" s="1" t="s">
        <v>24501</v>
      </c>
      <c r="Z2782" s="1">
        <v>2002.0</v>
      </c>
      <c r="AA2782" s="1" t="s">
        <v>200</v>
      </c>
      <c r="AB2782" s="1" t="s">
        <v>193</v>
      </c>
      <c r="AC2782" s="1" t="s">
        <v>24502</v>
      </c>
      <c r="AD2782" s="1" t="s">
        <v>809</v>
      </c>
      <c r="AE2782" s="1" t="s">
        <v>325</v>
      </c>
      <c r="AF2782" s="1" t="s">
        <v>810</v>
      </c>
      <c r="AG2782" s="1" t="s">
        <v>24503</v>
      </c>
      <c r="AH2782" s="1" t="s">
        <v>24504</v>
      </c>
      <c r="AK2782" s="1">
        <v>10.0</v>
      </c>
      <c r="AL2782" s="1">
        <v>4.0</v>
      </c>
      <c r="AM2782" s="1">
        <v>2.0</v>
      </c>
      <c r="AN2782" s="1">
        <v>1.0</v>
      </c>
      <c r="AO2782" s="1" t="s">
        <v>198</v>
      </c>
      <c r="AP2782" s="1">
        <v>1.0</v>
      </c>
      <c r="AQ2782" s="1" t="s">
        <v>198</v>
      </c>
      <c r="AR2782" s="1" t="s">
        <v>200</v>
      </c>
      <c r="AS2782" s="1" t="s">
        <v>199</v>
      </c>
      <c r="AT2782" s="1">
        <v>3.0</v>
      </c>
      <c r="AV2782" s="1" t="s">
        <v>200</v>
      </c>
      <c r="AW2782" s="1">
        <v>9730.0</v>
      </c>
      <c r="AX2782" s="1">
        <v>2013.0</v>
      </c>
      <c r="AY2782" s="1" t="s">
        <v>387</v>
      </c>
      <c r="AZ2782" s="1" t="s">
        <v>200</v>
      </c>
      <c r="BA2782" s="1" t="str">
        <f>"0308253005"</f>
        <v>0308253005</v>
      </c>
      <c r="BB2782" s="1" t="s">
        <v>200</v>
      </c>
      <c r="BC2782" s="1">
        <v>3100.0</v>
      </c>
      <c r="BD2782" s="1">
        <v>278000.0</v>
      </c>
      <c r="BE2782" s="2">
        <v>42043.0</v>
      </c>
      <c r="BF2782" s="2" t="s">
        <v>24505</v>
      </c>
      <c r="BG2782" s="1" t="s">
        <v>5651</v>
      </c>
      <c r="BH2782" s="1">
        <v>176.0</v>
      </c>
      <c r="BI2782" s="1" t="s">
        <v>5651</v>
      </c>
      <c r="BJ2782" s="1" t="s">
        <v>1759</v>
      </c>
      <c r="BK2782" s="1" t="s">
        <v>580</v>
      </c>
      <c r="BL2782" s="1" t="str">
        <f t="shared" ref="BL2782:BM2782" si="1810">""</f>
        <v/>
      </c>
      <c r="BM2782" s="1" t="str">
        <f t="shared" si="1810"/>
        <v/>
      </c>
      <c r="BQ2782" s="1">
        <v>300.0</v>
      </c>
      <c r="BR2782" s="1">
        <v>300.0</v>
      </c>
      <c r="BS2782" s="1">
        <v>300.0</v>
      </c>
      <c r="BU2782" s="1" t="s">
        <v>743</v>
      </c>
      <c r="BV2782" s="1" t="s">
        <v>206</v>
      </c>
      <c r="BW2782" s="1" t="s">
        <v>207</v>
      </c>
      <c r="BX2782" s="1" t="s">
        <v>239</v>
      </c>
      <c r="BY2782" s="1" t="s">
        <v>4919</v>
      </c>
      <c r="BZ2782" s="1" t="s">
        <v>209</v>
      </c>
      <c r="CA2782" s="1" t="s">
        <v>210</v>
      </c>
      <c r="CB2782" s="1" t="s">
        <v>239</v>
      </c>
      <c r="CC2782" s="1" t="s">
        <v>331</v>
      </c>
      <c r="CD2782" s="1" t="s">
        <v>206</v>
      </c>
      <c r="CE2782" s="1" t="s">
        <v>207</v>
      </c>
      <c r="CF2782" s="1" t="s">
        <v>239</v>
      </c>
      <c r="CG2782" s="1" t="s">
        <v>830</v>
      </c>
      <c r="CH2782" s="1" t="s">
        <v>209</v>
      </c>
      <c r="CI2782" s="1" t="s">
        <v>210</v>
      </c>
      <c r="CJ2782" s="1" t="s">
        <v>239</v>
      </c>
      <c r="CK2782" s="1" t="s">
        <v>363</v>
      </c>
      <c r="CL2782" s="1" t="s">
        <v>209</v>
      </c>
      <c r="CM2782" s="1" t="s">
        <v>210</v>
      </c>
      <c r="CN2782" s="1" t="s">
        <v>239</v>
      </c>
      <c r="CO2782" s="1" t="s">
        <v>363</v>
      </c>
      <c r="CP2782" s="1" t="s">
        <v>209</v>
      </c>
      <c r="CQ2782" s="1" t="s">
        <v>210</v>
      </c>
      <c r="CR2782" s="1" t="s">
        <v>239</v>
      </c>
      <c r="CS2782" s="1" t="s">
        <v>452</v>
      </c>
      <c r="CT2782" s="1" t="s">
        <v>206</v>
      </c>
      <c r="CU2782" s="1" t="s">
        <v>268</v>
      </c>
      <c r="CV2782" s="1" t="s">
        <v>239</v>
      </c>
      <c r="CW2782" s="1" t="s">
        <v>1244</v>
      </c>
      <c r="CX2782" s="1" t="s">
        <v>206</v>
      </c>
      <c r="CY2782" s="1" t="s">
        <v>207</v>
      </c>
      <c r="CZ2782" s="1" t="s">
        <v>239</v>
      </c>
      <c r="DA2782" s="1" t="s">
        <v>200</v>
      </c>
      <c r="DC2782" s="1" t="s">
        <v>335</v>
      </c>
      <c r="DD2782" s="1" t="s">
        <v>396</v>
      </c>
      <c r="DE2782" s="1" t="s">
        <v>273</v>
      </c>
      <c r="DF2782" s="1" t="s">
        <v>619</v>
      </c>
      <c r="DG2782" s="1" t="s">
        <v>337</v>
      </c>
      <c r="DH2782" s="1" t="s">
        <v>220</v>
      </c>
      <c r="DI2782" s="1" t="s">
        <v>1223</v>
      </c>
      <c r="DJ2782" s="1" t="s">
        <v>222</v>
      </c>
      <c r="DL2782" s="1" t="s">
        <v>223</v>
      </c>
      <c r="DM2782" s="1" t="s">
        <v>338</v>
      </c>
      <c r="DN2782" s="1" t="s">
        <v>548</v>
      </c>
      <c r="DP2782" s="1" t="s">
        <v>340</v>
      </c>
      <c r="DQ2782" s="1" t="s">
        <v>228</v>
      </c>
      <c r="DR2782" s="1" t="s">
        <v>588</v>
      </c>
      <c r="DS2782" s="1" t="s">
        <v>230</v>
      </c>
      <c r="DV2782" s="1" t="s">
        <v>7010</v>
      </c>
      <c r="DW2782" s="1" t="s">
        <v>444</v>
      </c>
      <c r="DX2782" s="1" t="s">
        <v>234</v>
      </c>
      <c r="DY2782" s="1" t="s">
        <v>490</v>
      </c>
      <c r="DZ2782" s="1" t="s">
        <v>310</v>
      </c>
      <c r="EB2782" s="1" t="s">
        <v>1639</v>
      </c>
      <c r="EC2782" s="1" t="s">
        <v>237</v>
      </c>
      <c r="ED2782" s="1" t="s">
        <v>407</v>
      </c>
      <c r="EE2782" s="1" t="s">
        <v>493</v>
      </c>
      <c r="EG2782" s="1" t="s">
        <v>598</v>
      </c>
      <c r="EH2782" s="1" t="s">
        <v>449</v>
      </c>
      <c r="EL2782" s="1" t="s">
        <v>303</v>
      </c>
      <c r="EM2782" s="1" t="s">
        <v>206</v>
      </c>
      <c r="EN2782" s="1" t="s">
        <v>210</v>
      </c>
      <c r="EO2782" s="1" t="s">
        <v>239</v>
      </c>
      <c r="EP2782" s="1" t="s">
        <v>640</v>
      </c>
      <c r="EQ2782" s="1" t="s">
        <v>206</v>
      </c>
      <c r="EU2782" s="1" t="s">
        <v>238</v>
      </c>
      <c r="EY2782" s="1" t="s">
        <v>238</v>
      </c>
      <c r="FC2782" s="1" t="s">
        <v>238</v>
      </c>
      <c r="FF2782" s="1" t="s">
        <v>239</v>
      </c>
      <c r="FG2782" s="1" t="s">
        <v>192</v>
      </c>
      <c r="FH2782" s="1" t="s">
        <v>192</v>
      </c>
      <c r="FJ2782" s="1" t="s">
        <v>24506</v>
      </c>
      <c r="FK2782" s="1" t="s">
        <v>229</v>
      </c>
      <c r="FL2782" s="1" t="s">
        <v>974</v>
      </c>
      <c r="FM2782" s="1">
        <v>23871.0</v>
      </c>
      <c r="FN2782" s="1" t="s">
        <v>17009</v>
      </c>
      <c r="FO2782" s="1" t="s">
        <v>24507</v>
      </c>
      <c r="FP2782" s="1">
        <v>80664.0</v>
      </c>
      <c r="FQ2782" s="1" t="s">
        <v>24508</v>
      </c>
      <c r="FU2782" s="1" t="s">
        <v>24509</v>
      </c>
      <c r="FV2782" s="1" t="s">
        <v>200</v>
      </c>
      <c r="FW2782" s="1" t="s">
        <v>24510</v>
      </c>
      <c r="FZ2782" s="1" t="s">
        <v>632</v>
      </c>
      <c r="GA2782" s="1" t="s">
        <v>291</v>
      </c>
      <c r="GB2782" s="2">
        <v>42128.0</v>
      </c>
      <c r="GC2782" s="1" t="s">
        <v>24511</v>
      </c>
    </row>
    <row r="2783">
      <c r="A2783" s="1">
        <v>69900.0</v>
      </c>
      <c r="B2783" s="1" t="s">
        <v>185</v>
      </c>
      <c r="C2783" s="1" t="str">
        <f>"08836848"</f>
        <v>08836848</v>
      </c>
      <c r="D2783" s="1" t="s">
        <v>186</v>
      </c>
      <c r="F2783" s="1" t="str">
        <f>"8030"</f>
        <v>8030</v>
      </c>
      <c r="G2783" s="2">
        <v>42046.0</v>
      </c>
      <c r="H2783" s="1">
        <v>69900.0</v>
      </c>
      <c r="I2783" s="1">
        <v>38.0</v>
      </c>
      <c r="J2783" s="1">
        <v>69900.0</v>
      </c>
      <c r="K2783" s="2">
        <v>42083.0</v>
      </c>
      <c r="L2783" s="1">
        <v>38.0</v>
      </c>
      <c r="M2783" s="2">
        <v>42083.0</v>
      </c>
      <c r="N2783" s="1" t="s">
        <v>249</v>
      </c>
      <c r="O2783" s="2">
        <v>42111.0</v>
      </c>
      <c r="P2783" s="1">
        <v>228203.0</v>
      </c>
      <c r="Q2783" s="1">
        <v>25929.0</v>
      </c>
      <c r="S2783" s="1">
        <v>2500.0</v>
      </c>
      <c r="T2783" s="1" t="s">
        <v>5101</v>
      </c>
      <c r="U2783" s="1" t="s">
        <v>189</v>
      </c>
      <c r="V2783" s="1" t="s">
        <v>190</v>
      </c>
      <c r="W2783" s="1">
        <v>60623.0</v>
      </c>
      <c r="Y2783" s="1" t="s">
        <v>24512</v>
      </c>
      <c r="Z2783" s="1">
        <v>1885.0</v>
      </c>
      <c r="AA2783" s="1" t="s">
        <v>192</v>
      </c>
      <c r="AB2783" s="1" t="s">
        <v>193</v>
      </c>
      <c r="AD2783" s="1" t="s">
        <v>194</v>
      </c>
      <c r="AE2783" s="1" t="s">
        <v>195</v>
      </c>
      <c r="AF2783" s="1" t="s">
        <v>827</v>
      </c>
      <c r="AH2783" s="1">
        <v>6250.0</v>
      </c>
      <c r="AI2783" s="1">
        <v>0.1435</v>
      </c>
      <c r="AK2783" s="1">
        <v>8.0</v>
      </c>
      <c r="AL2783" s="1">
        <v>4.0</v>
      </c>
      <c r="AM2783" s="1">
        <v>2.0</v>
      </c>
      <c r="AN2783" s="1">
        <v>1.0</v>
      </c>
      <c r="AO2783" s="1" t="s">
        <v>229</v>
      </c>
      <c r="AQ2783" s="1" t="s">
        <v>198</v>
      </c>
      <c r="AR2783" s="1" t="s">
        <v>192</v>
      </c>
      <c r="AS2783" s="1" t="s">
        <v>229</v>
      </c>
      <c r="AV2783" s="1" t="s">
        <v>200</v>
      </c>
      <c r="AW2783" s="1">
        <v>2753.41</v>
      </c>
      <c r="AX2783" s="1">
        <v>2012.0</v>
      </c>
      <c r="AY2783" s="1" t="s">
        <v>229</v>
      </c>
      <c r="AZ2783" s="1" t="s">
        <v>545</v>
      </c>
      <c r="BA2783" s="1" t="str">
        <f>"16261230200000"</f>
        <v>16261230200000</v>
      </c>
      <c r="BC2783" s="1">
        <v>1322.0</v>
      </c>
      <c r="BD2783" s="1">
        <v>69900.0</v>
      </c>
      <c r="BE2783" s="2">
        <v>42046.0</v>
      </c>
      <c r="BF2783" s="2" t="s">
        <v>24513</v>
      </c>
      <c r="BH2783" s="1">
        <v>0.0</v>
      </c>
      <c r="BK2783" s="1" t="s">
        <v>204</v>
      </c>
      <c r="BL2783" s="1" t="str">
        <f t="shared" ref="BL2783:BM2783" si="1811">"0"</f>
        <v>0</v>
      </c>
      <c r="BM2783" s="1" t="str">
        <f t="shared" si="1811"/>
        <v>0</v>
      </c>
      <c r="BN2783" s="1">
        <v>3700.0</v>
      </c>
      <c r="BO2783" s="1">
        <v>2500.0</v>
      </c>
      <c r="BQ2783" s="1">
        <v>299.0</v>
      </c>
      <c r="BR2783" s="1">
        <v>299.0</v>
      </c>
      <c r="BS2783" s="1">
        <v>299.0</v>
      </c>
      <c r="BU2783" s="1" t="s">
        <v>544</v>
      </c>
      <c r="BV2783" s="1" t="s">
        <v>206</v>
      </c>
      <c r="BY2783" s="1" t="s">
        <v>8668</v>
      </c>
      <c r="BZ2783" s="1" t="s">
        <v>206</v>
      </c>
      <c r="CC2783" s="1" t="s">
        <v>1875</v>
      </c>
      <c r="CD2783" s="1" t="s">
        <v>206</v>
      </c>
      <c r="CG2783" s="1" t="s">
        <v>364</v>
      </c>
      <c r="CH2783" s="1" t="s">
        <v>206</v>
      </c>
      <c r="CK2783" s="1" t="s">
        <v>1069</v>
      </c>
      <c r="CL2783" s="1" t="s">
        <v>209</v>
      </c>
      <c r="CO2783" s="1" t="s">
        <v>496</v>
      </c>
      <c r="CP2783" s="1" t="s">
        <v>209</v>
      </c>
      <c r="CS2783" s="1" t="s">
        <v>1483</v>
      </c>
      <c r="CT2783" s="1" t="s">
        <v>206</v>
      </c>
      <c r="CW2783" s="1" t="s">
        <v>330</v>
      </c>
      <c r="CX2783" s="1" t="s">
        <v>206</v>
      </c>
      <c r="DA2783" s="1" t="s">
        <v>200</v>
      </c>
      <c r="DC2783" s="1" t="s">
        <v>642</v>
      </c>
      <c r="DE2783" s="1" t="s">
        <v>229</v>
      </c>
      <c r="DF2783" s="1" t="s">
        <v>619</v>
      </c>
      <c r="DH2783" s="1" t="s">
        <v>365</v>
      </c>
      <c r="DJ2783" s="1" t="s">
        <v>6699</v>
      </c>
      <c r="DL2783" s="1" t="s">
        <v>858</v>
      </c>
      <c r="DM2783" s="1" t="s">
        <v>229</v>
      </c>
      <c r="DQ2783" s="1" t="s">
        <v>441</v>
      </c>
      <c r="DR2783" s="1" t="s">
        <v>229</v>
      </c>
      <c r="DV2783" s="1" t="s">
        <v>232</v>
      </c>
      <c r="DW2783" s="1" t="s">
        <v>667</v>
      </c>
      <c r="DX2783" s="1" t="s">
        <v>234</v>
      </c>
      <c r="EC2783" s="1" t="s">
        <v>4340</v>
      </c>
      <c r="EM2783" s="1" t="s">
        <v>238</v>
      </c>
      <c r="EQ2783" s="1" t="s">
        <v>238</v>
      </c>
      <c r="EU2783" s="1" t="s">
        <v>238</v>
      </c>
      <c r="EY2783" s="1" t="s">
        <v>238</v>
      </c>
      <c r="FC2783" s="1" t="s">
        <v>238</v>
      </c>
      <c r="FF2783" s="1" t="s">
        <v>239</v>
      </c>
      <c r="FG2783" s="1" t="s">
        <v>192</v>
      </c>
      <c r="FH2783" s="1" t="s">
        <v>192</v>
      </c>
      <c r="FJ2783" s="1" t="s">
        <v>7454</v>
      </c>
      <c r="FK2783" s="1" t="s">
        <v>229</v>
      </c>
      <c r="FL2783" s="1" t="s">
        <v>24211</v>
      </c>
      <c r="FM2783" s="1">
        <v>18315.0</v>
      </c>
      <c r="FN2783" s="1" t="s">
        <v>24212</v>
      </c>
      <c r="FO2783" s="1" t="s">
        <v>24213</v>
      </c>
      <c r="FP2783" s="1">
        <v>149362.0</v>
      </c>
      <c r="FR2783" s="1">
        <v>170731.0</v>
      </c>
      <c r="FU2783" s="1" t="s">
        <v>3678</v>
      </c>
      <c r="FV2783" s="1" t="s">
        <v>200</v>
      </c>
      <c r="FW2783" s="1" t="s">
        <v>290</v>
      </c>
      <c r="FX2783" s="1" t="s">
        <v>655</v>
      </c>
      <c r="FZ2783" s="1" t="s">
        <v>229</v>
      </c>
      <c r="GA2783" s="1" t="s">
        <v>291</v>
      </c>
      <c r="GB2783" s="2">
        <v>42117.0</v>
      </c>
      <c r="GC2783" s="1" t="s">
        <v>24514</v>
      </c>
    </row>
    <row r="2784">
      <c r="A2784" s="1">
        <v>370000.0</v>
      </c>
      <c r="B2784" s="1" t="s">
        <v>185</v>
      </c>
      <c r="C2784" s="1" t="str">
        <f>"08843881"</f>
        <v>08843881</v>
      </c>
      <c r="D2784" s="1" t="s">
        <v>186</v>
      </c>
      <c r="F2784" s="1" t="str">
        <f>"134"</f>
        <v>134</v>
      </c>
      <c r="G2784" s="2">
        <v>42056.0</v>
      </c>
      <c r="H2784" s="1">
        <v>373900.0</v>
      </c>
      <c r="I2784" s="1">
        <v>190.0</v>
      </c>
      <c r="J2784" s="1">
        <v>373900.0</v>
      </c>
      <c r="K2784" s="2">
        <v>42061.0</v>
      </c>
      <c r="L2784" s="1">
        <v>6.0</v>
      </c>
      <c r="M2784" s="2">
        <v>42061.0</v>
      </c>
      <c r="N2784" s="1" t="s">
        <v>187</v>
      </c>
      <c r="O2784" s="2">
        <v>42132.0</v>
      </c>
      <c r="P2784" s="1">
        <v>242931.0</v>
      </c>
      <c r="Q2784" s="1">
        <v>23591.0</v>
      </c>
      <c r="S2784" s="1">
        <v>536.0</v>
      </c>
      <c r="T2784" s="1" t="s">
        <v>24515</v>
      </c>
      <c r="U2784" s="1" t="s">
        <v>1174</v>
      </c>
      <c r="V2784" s="1" t="s">
        <v>421</v>
      </c>
      <c r="W2784" s="1">
        <v>60134.0</v>
      </c>
      <c r="Y2784" s="1" t="s">
        <v>24516</v>
      </c>
      <c r="Z2784" s="1">
        <v>1988.0</v>
      </c>
      <c r="AA2784" s="1" t="s">
        <v>200</v>
      </c>
      <c r="AB2784" s="1" t="s">
        <v>193</v>
      </c>
      <c r="AC2784" s="1" t="s">
        <v>24517</v>
      </c>
      <c r="AD2784" s="1" t="s">
        <v>424</v>
      </c>
      <c r="AE2784" s="1" t="s">
        <v>325</v>
      </c>
      <c r="AF2784" s="1" t="s">
        <v>424</v>
      </c>
      <c r="AH2784" s="1" t="s">
        <v>24518</v>
      </c>
      <c r="AI2784" s="1">
        <v>0.2577</v>
      </c>
      <c r="AK2784" s="1">
        <v>12.0</v>
      </c>
      <c r="AL2784" s="1">
        <v>4.0</v>
      </c>
      <c r="AM2784" s="1">
        <v>2.0</v>
      </c>
      <c r="AN2784" s="1">
        <v>1.0</v>
      </c>
      <c r="AO2784" s="1" t="s">
        <v>198</v>
      </c>
      <c r="AP2784" s="1">
        <v>1.0</v>
      </c>
      <c r="AQ2784" s="1" t="s">
        <v>198</v>
      </c>
      <c r="AR2784" s="1" t="s">
        <v>200</v>
      </c>
      <c r="AS2784" s="1" t="s">
        <v>199</v>
      </c>
      <c r="AT2784" s="1">
        <v>2.0</v>
      </c>
      <c r="AV2784" s="1" t="s">
        <v>200</v>
      </c>
      <c r="AW2784" s="1">
        <v>8973.78</v>
      </c>
      <c r="AX2784" s="1">
        <v>2013.0</v>
      </c>
      <c r="AY2784" s="1" t="s">
        <v>1179</v>
      </c>
      <c r="AZ2784" s="1" t="s">
        <v>200</v>
      </c>
      <c r="BA2784" s="1" t="str">
        <f>"1204201050"</f>
        <v>1204201050</v>
      </c>
      <c r="BC2784" s="1">
        <v>2601.0</v>
      </c>
      <c r="BD2784" s="1">
        <v>370000.0</v>
      </c>
      <c r="BE2784" s="2">
        <v>42056.0</v>
      </c>
      <c r="BF2784" s="2" t="s">
        <v>24519</v>
      </c>
      <c r="BG2784" s="1" t="s">
        <v>428</v>
      </c>
      <c r="BH2784" s="1">
        <v>0.0</v>
      </c>
      <c r="BI2784" s="1" t="s">
        <v>429</v>
      </c>
      <c r="BJ2784" s="1" t="s">
        <v>430</v>
      </c>
      <c r="BK2784" s="1" t="s">
        <v>204</v>
      </c>
      <c r="BL2784" s="1" t="str">
        <f t="shared" ref="BL2784:BM2784" si="1812">""</f>
        <v/>
      </c>
      <c r="BM2784" s="1" t="str">
        <f t="shared" si="1812"/>
        <v/>
      </c>
      <c r="BQ2784" s="1">
        <v>304.0</v>
      </c>
      <c r="BR2784" s="1">
        <v>304.0</v>
      </c>
      <c r="BS2784" s="1">
        <v>304.0</v>
      </c>
      <c r="BU2784" s="1" t="s">
        <v>213</v>
      </c>
      <c r="BV2784" s="1" t="s">
        <v>206</v>
      </c>
      <c r="BW2784" s="1" t="s">
        <v>207</v>
      </c>
      <c r="BX2784" s="1" t="s">
        <v>1118</v>
      </c>
      <c r="BY2784" s="1" t="s">
        <v>1426</v>
      </c>
      <c r="BZ2784" s="1" t="s">
        <v>209</v>
      </c>
      <c r="CA2784" s="1" t="s">
        <v>207</v>
      </c>
      <c r="CB2784" s="1" t="s">
        <v>239</v>
      </c>
      <c r="CC2784" s="1" t="s">
        <v>215</v>
      </c>
      <c r="CD2784" s="1" t="s">
        <v>206</v>
      </c>
      <c r="CE2784" s="1" t="s">
        <v>207</v>
      </c>
      <c r="CF2784" s="1" t="s">
        <v>1118</v>
      </c>
      <c r="CG2784" s="1" t="s">
        <v>363</v>
      </c>
      <c r="CH2784" s="1" t="s">
        <v>209</v>
      </c>
      <c r="CI2784" s="1" t="s">
        <v>207</v>
      </c>
      <c r="CJ2784" s="1" t="s">
        <v>239</v>
      </c>
      <c r="CK2784" s="1" t="s">
        <v>212</v>
      </c>
      <c r="CL2784" s="1" t="s">
        <v>209</v>
      </c>
      <c r="CM2784" s="1" t="s">
        <v>207</v>
      </c>
      <c r="CN2784" s="1" t="s">
        <v>239</v>
      </c>
      <c r="CO2784" s="1" t="s">
        <v>699</v>
      </c>
      <c r="CP2784" s="1" t="s">
        <v>209</v>
      </c>
      <c r="CQ2784" s="1" t="s">
        <v>207</v>
      </c>
      <c r="CR2784" s="1" t="s">
        <v>239</v>
      </c>
      <c r="CS2784" s="1" t="s">
        <v>453</v>
      </c>
      <c r="CT2784" s="1" t="s">
        <v>206</v>
      </c>
      <c r="CU2784" s="1" t="s">
        <v>207</v>
      </c>
      <c r="CV2784" s="1" t="s">
        <v>239</v>
      </c>
      <c r="CW2784" s="1" t="s">
        <v>434</v>
      </c>
      <c r="CX2784" s="1" t="s">
        <v>206</v>
      </c>
      <c r="CY2784" s="1" t="s">
        <v>207</v>
      </c>
      <c r="CZ2784" s="1" t="s">
        <v>239</v>
      </c>
      <c r="DA2784" s="1" t="s">
        <v>200</v>
      </c>
      <c r="DC2784" s="1" t="s">
        <v>305</v>
      </c>
      <c r="DD2784" s="1" t="s">
        <v>926</v>
      </c>
      <c r="DE2784" s="1" t="s">
        <v>273</v>
      </c>
      <c r="DF2784" s="1" t="s">
        <v>219</v>
      </c>
      <c r="DG2784" s="1" t="s">
        <v>482</v>
      </c>
      <c r="DH2784" s="1" t="s">
        <v>220</v>
      </c>
      <c r="DI2784" s="1" t="s">
        <v>1868</v>
      </c>
      <c r="DJ2784" s="1" t="s">
        <v>222</v>
      </c>
      <c r="DK2784" s="1" t="s">
        <v>198</v>
      </c>
      <c r="DL2784" s="1" t="s">
        <v>224</v>
      </c>
      <c r="DM2784" s="1" t="s">
        <v>929</v>
      </c>
      <c r="DN2784" s="1" t="s">
        <v>20871</v>
      </c>
      <c r="DO2784" s="1" t="s">
        <v>13104</v>
      </c>
      <c r="DP2784" s="1" t="s">
        <v>340</v>
      </c>
      <c r="DQ2784" s="1" t="s">
        <v>441</v>
      </c>
      <c r="DR2784" s="1" t="s">
        <v>229</v>
      </c>
      <c r="DS2784" s="1" t="s">
        <v>230</v>
      </c>
      <c r="DU2784" s="1" t="s">
        <v>24520</v>
      </c>
      <c r="DV2784" s="1" t="s">
        <v>24521</v>
      </c>
      <c r="DW2784" s="1" t="s">
        <v>233</v>
      </c>
      <c r="DX2784" s="1" t="s">
        <v>234</v>
      </c>
      <c r="DY2784" s="1" t="s">
        <v>24522</v>
      </c>
      <c r="DZ2784" s="1" t="s">
        <v>766</v>
      </c>
      <c r="EA2784" s="1" t="s">
        <v>447</v>
      </c>
      <c r="EB2784" s="1" t="s">
        <v>937</v>
      </c>
      <c r="EC2784" s="1" t="s">
        <v>237</v>
      </c>
      <c r="ED2784" s="1" t="s">
        <v>407</v>
      </c>
      <c r="EE2784" s="1" t="s">
        <v>493</v>
      </c>
      <c r="EG2784" s="1" t="s">
        <v>494</v>
      </c>
      <c r="EH2784" s="1" t="s">
        <v>450</v>
      </c>
      <c r="EI2784" s="1" t="s">
        <v>451</v>
      </c>
      <c r="EJ2784" s="1" t="s">
        <v>1729</v>
      </c>
      <c r="EL2784" s="1" t="s">
        <v>699</v>
      </c>
      <c r="EM2784" s="1" t="s">
        <v>206</v>
      </c>
      <c r="EN2784" s="1" t="s">
        <v>268</v>
      </c>
      <c r="EO2784" s="1" t="s">
        <v>239</v>
      </c>
      <c r="EP2784" s="1" t="s">
        <v>6146</v>
      </c>
      <c r="EQ2784" s="1" t="s">
        <v>42</v>
      </c>
      <c r="ER2784" s="1" t="s">
        <v>210</v>
      </c>
      <c r="ET2784" s="1" t="s">
        <v>205</v>
      </c>
      <c r="EU2784" s="1" t="s">
        <v>42</v>
      </c>
      <c r="EV2784" s="1" t="s">
        <v>210</v>
      </c>
      <c r="EX2784" s="1" t="s">
        <v>361</v>
      </c>
      <c r="EY2784" s="1" t="s">
        <v>206</v>
      </c>
      <c r="EZ2784" s="1" t="s">
        <v>268</v>
      </c>
      <c r="FC2784" s="1" t="s">
        <v>238</v>
      </c>
      <c r="FF2784" s="1" t="s">
        <v>239</v>
      </c>
      <c r="FG2784" s="1" t="s">
        <v>200</v>
      </c>
      <c r="FH2784" s="1" t="s">
        <v>192</v>
      </c>
      <c r="FJ2784" s="1" t="s">
        <v>19149</v>
      </c>
      <c r="FK2784" s="1" t="s">
        <v>229</v>
      </c>
      <c r="FL2784" s="1" t="s">
        <v>499</v>
      </c>
      <c r="FM2784" s="1">
        <v>358.0</v>
      </c>
      <c r="FN2784" s="1" t="s">
        <v>500</v>
      </c>
      <c r="FO2784" s="1" t="s">
        <v>501</v>
      </c>
      <c r="FP2784" s="1">
        <v>347.0</v>
      </c>
      <c r="FQ2784" s="1" t="s">
        <v>500</v>
      </c>
      <c r="FS2784" s="1" t="s">
        <v>502</v>
      </c>
      <c r="FT2784" s="1" t="s">
        <v>11754</v>
      </c>
      <c r="FU2784" s="1" t="s">
        <v>24523</v>
      </c>
      <c r="FV2784" s="1" t="s">
        <v>200</v>
      </c>
      <c r="FW2784" s="1" t="s">
        <v>290</v>
      </c>
      <c r="FZ2784" s="1" t="s">
        <v>504</v>
      </c>
      <c r="GA2784" s="1" t="s">
        <v>291</v>
      </c>
      <c r="GB2784" s="2">
        <v>42132.0</v>
      </c>
      <c r="GC2784" s="1" t="s">
        <v>24524</v>
      </c>
    </row>
    <row r="2785">
      <c r="A2785" s="1">
        <v>460000.0</v>
      </c>
      <c r="B2785" s="1" t="s">
        <v>185</v>
      </c>
      <c r="C2785" s="1" t="str">
        <f>"08847759"</f>
        <v>08847759</v>
      </c>
      <c r="D2785" s="1" t="s">
        <v>186</v>
      </c>
      <c r="F2785" s="1" t="str">
        <f>"118"</f>
        <v>118</v>
      </c>
      <c r="G2785" s="2">
        <v>42062.0</v>
      </c>
      <c r="H2785" s="1">
        <v>500000.0</v>
      </c>
      <c r="I2785" s="1">
        <v>36.0</v>
      </c>
      <c r="J2785" s="1">
        <v>489000.0</v>
      </c>
      <c r="K2785" s="2">
        <v>42097.0</v>
      </c>
      <c r="L2785" s="1">
        <v>36.0</v>
      </c>
      <c r="M2785" s="2">
        <v>42097.0</v>
      </c>
      <c r="N2785" s="1" t="s">
        <v>187</v>
      </c>
      <c r="O2785" s="2">
        <v>42125.0</v>
      </c>
      <c r="P2785" s="1">
        <v>77389.0</v>
      </c>
      <c r="Q2785" s="1">
        <v>432.0</v>
      </c>
      <c r="S2785" s="1">
        <v>232.0</v>
      </c>
      <c r="T2785" s="1" t="s">
        <v>24525</v>
      </c>
      <c r="U2785" s="1" t="s">
        <v>1174</v>
      </c>
      <c r="V2785" s="1" t="s">
        <v>3438</v>
      </c>
      <c r="W2785" s="1">
        <v>60118.0</v>
      </c>
      <c r="Y2785" s="1" t="s">
        <v>24526</v>
      </c>
      <c r="Z2785" s="1">
        <v>1987.0</v>
      </c>
      <c r="AA2785" s="1" t="s">
        <v>200</v>
      </c>
      <c r="AB2785" s="1" t="s">
        <v>193</v>
      </c>
      <c r="AC2785" s="1" t="s">
        <v>20482</v>
      </c>
      <c r="AD2785" s="1" t="s">
        <v>3440</v>
      </c>
      <c r="AE2785" s="1" t="s">
        <v>325</v>
      </c>
      <c r="AF2785" s="1" t="s">
        <v>810</v>
      </c>
      <c r="AG2785" s="1" t="s">
        <v>24527</v>
      </c>
      <c r="AH2785" s="1" t="s">
        <v>24528</v>
      </c>
      <c r="AI2785" s="1">
        <v>0.6763</v>
      </c>
      <c r="AK2785" s="1">
        <v>14.0</v>
      </c>
      <c r="AL2785" s="1">
        <v>4.0</v>
      </c>
      <c r="AM2785" s="1">
        <v>2.0</v>
      </c>
      <c r="AN2785" s="1">
        <v>1.0</v>
      </c>
      <c r="AO2785" s="1" t="s">
        <v>198</v>
      </c>
      <c r="AP2785" s="1">
        <v>2.0</v>
      </c>
      <c r="AQ2785" s="1" t="s">
        <v>198</v>
      </c>
      <c r="AR2785" s="1" t="s">
        <v>200</v>
      </c>
      <c r="AS2785" s="1" t="s">
        <v>199</v>
      </c>
      <c r="AT2785" s="1">
        <v>3.0</v>
      </c>
      <c r="AV2785" s="1" t="s">
        <v>200</v>
      </c>
      <c r="AW2785" s="1">
        <v>10190.7</v>
      </c>
      <c r="AX2785" s="1">
        <v>2013.0</v>
      </c>
      <c r="AY2785" s="1" t="s">
        <v>387</v>
      </c>
      <c r="AZ2785" s="1" t="s">
        <v>200</v>
      </c>
      <c r="BA2785" s="1" t="str">
        <f>"0329404005"</f>
        <v>0329404005</v>
      </c>
      <c r="BC2785" s="1">
        <v>4256.0</v>
      </c>
      <c r="BD2785" s="1">
        <v>460000.0</v>
      </c>
      <c r="BE2785" s="2">
        <v>42062.0</v>
      </c>
      <c r="BF2785" s="2" t="s">
        <v>24529</v>
      </c>
      <c r="BG2785" s="1" t="s">
        <v>1092</v>
      </c>
      <c r="BH2785" s="1">
        <v>0.0</v>
      </c>
      <c r="BI2785" s="1" t="s">
        <v>1093</v>
      </c>
      <c r="BJ2785" s="1" t="s">
        <v>1094</v>
      </c>
      <c r="BK2785" s="1" t="s">
        <v>204</v>
      </c>
      <c r="BL2785" s="1" t="str">
        <f t="shared" ref="BL2785:BM2785" si="1813">""</f>
        <v/>
      </c>
      <c r="BM2785" s="1" t="str">
        <f t="shared" si="1813"/>
        <v/>
      </c>
      <c r="BQ2785" s="1">
        <v>300.0</v>
      </c>
      <c r="BR2785" s="1">
        <v>300.0</v>
      </c>
      <c r="BS2785" s="1">
        <v>300.0</v>
      </c>
      <c r="BU2785" s="1" t="s">
        <v>743</v>
      </c>
      <c r="BV2785" s="1" t="s">
        <v>206</v>
      </c>
      <c r="BW2785" s="1" t="s">
        <v>210</v>
      </c>
      <c r="BX2785" s="1" t="s">
        <v>1549</v>
      </c>
      <c r="BY2785" s="1" t="s">
        <v>3092</v>
      </c>
      <c r="BZ2785" s="1" t="s">
        <v>209</v>
      </c>
      <c r="CA2785" s="1" t="s">
        <v>210</v>
      </c>
      <c r="CC2785" s="1" t="s">
        <v>582</v>
      </c>
      <c r="CD2785" s="1" t="s">
        <v>206</v>
      </c>
      <c r="CE2785" s="1" t="s">
        <v>210</v>
      </c>
      <c r="CF2785" s="1" t="s">
        <v>1549</v>
      </c>
      <c r="CG2785" s="1" t="s">
        <v>434</v>
      </c>
      <c r="CH2785" s="1" t="s">
        <v>209</v>
      </c>
      <c r="CI2785" s="1" t="s">
        <v>210</v>
      </c>
      <c r="CJ2785" s="1" t="s">
        <v>431</v>
      </c>
      <c r="CK2785" s="1" t="s">
        <v>329</v>
      </c>
      <c r="CL2785" s="1" t="s">
        <v>209</v>
      </c>
      <c r="CM2785" s="1" t="s">
        <v>210</v>
      </c>
      <c r="CN2785" s="1" t="s">
        <v>431</v>
      </c>
      <c r="CO2785" s="1" t="s">
        <v>215</v>
      </c>
      <c r="CP2785" s="1" t="s">
        <v>209</v>
      </c>
      <c r="CQ2785" s="1" t="s">
        <v>210</v>
      </c>
      <c r="CR2785" s="1" t="s">
        <v>431</v>
      </c>
      <c r="CS2785" s="1" t="s">
        <v>783</v>
      </c>
      <c r="CT2785" s="1" t="s">
        <v>206</v>
      </c>
      <c r="CU2785" s="1" t="s">
        <v>268</v>
      </c>
      <c r="CW2785" s="1" t="s">
        <v>4877</v>
      </c>
      <c r="CX2785" s="1" t="s">
        <v>206</v>
      </c>
      <c r="CY2785" s="1" t="s">
        <v>207</v>
      </c>
      <c r="CZ2785" s="1" t="s">
        <v>431</v>
      </c>
      <c r="DA2785" s="1" t="s">
        <v>200</v>
      </c>
      <c r="DC2785" s="1" t="s">
        <v>305</v>
      </c>
      <c r="DD2785" s="1" t="s">
        <v>1838</v>
      </c>
      <c r="DE2785" s="1" t="s">
        <v>273</v>
      </c>
      <c r="DF2785" s="1" t="s">
        <v>219</v>
      </c>
      <c r="DG2785" s="1" t="s">
        <v>12001</v>
      </c>
      <c r="DH2785" s="1" t="s">
        <v>220</v>
      </c>
      <c r="DI2785" s="1" t="s">
        <v>1554</v>
      </c>
      <c r="DJ2785" s="1" t="s">
        <v>857</v>
      </c>
      <c r="DK2785" s="1" t="s">
        <v>198</v>
      </c>
      <c r="DL2785" s="1" t="s">
        <v>224</v>
      </c>
      <c r="DM2785" s="1" t="s">
        <v>338</v>
      </c>
      <c r="DN2785" s="1" t="s">
        <v>7878</v>
      </c>
      <c r="DP2785" s="1" t="s">
        <v>340</v>
      </c>
      <c r="DQ2785" s="1" t="s">
        <v>1557</v>
      </c>
      <c r="DR2785" s="1" t="s">
        <v>229</v>
      </c>
      <c r="DS2785" s="1" t="s">
        <v>591</v>
      </c>
      <c r="DU2785" s="1" t="s">
        <v>3487</v>
      </c>
      <c r="DV2785" s="1" t="s">
        <v>24530</v>
      </c>
      <c r="DW2785" s="1" t="s">
        <v>24531</v>
      </c>
      <c r="DX2785" s="1" t="s">
        <v>234</v>
      </c>
      <c r="DY2785" s="1" t="s">
        <v>24532</v>
      </c>
      <c r="DZ2785" s="1" t="s">
        <v>24533</v>
      </c>
      <c r="EA2785" s="1" t="s">
        <v>2535</v>
      </c>
      <c r="EB2785" s="1" t="s">
        <v>6551</v>
      </c>
      <c r="EC2785" s="1" t="s">
        <v>237</v>
      </c>
      <c r="ED2785" s="1" t="s">
        <v>407</v>
      </c>
      <c r="EE2785" s="1" t="s">
        <v>493</v>
      </c>
      <c r="EG2785" s="1" t="s">
        <v>598</v>
      </c>
      <c r="EH2785" s="1" t="s">
        <v>451</v>
      </c>
      <c r="EI2785" s="1" t="s">
        <v>1824</v>
      </c>
      <c r="EJ2785" s="1" t="s">
        <v>1432</v>
      </c>
      <c r="EK2785" s="1" t="s">
        <v>2023</v>
      </c>
      <c r="EL2785" s="1" t="s">
        <v>497</v>
      </c>
      <c r="EM2785" s="1" t="s">
        <v>206</v>
      </c>
      <c r="EN2785" s="1" t="s">
        <v>210</v>
      </c>
      <c r="EP2785" s="1" t="s">
        <v>454</v>
      </c>
      <c r="EQ2785" s="1" t="s">
        <v>267</v>
      </c>
      <c r="ER2785" s="1" t="s">
        <v>210</v>
      </c>
      <c r="ET2785" s="1" t="s">
        <v>454</v>
      </c>
      <c r="EU2785" s="1" t="s">
        <v>267</v>
      </c>
      <c r="EV2785" s="1" t="s">
        <v>210</v>
      </c>
      <c r="EX2785" s="1" t="s">
        <v>211</v>
      </c>
      <c r="EY2785" s="1" t="s">
        <v>267</v>
      </c>
      <c r="EZ2785" s="1" t="s">
        <v>210</v>
      </c>
      <c r="FB2785" s="1" t="s">
        <v>1426</v>
      </c>
      <c r="FC2785" s="1" t="s">
        <v>267</v>
      </c>
      <c r="FD2785" s="1" t="s">
        <v>588</v>
      </c>
      <c r="FF2785" s="1" t="s">
        <v>239</v>
      </c>
      <c r="FG2785" s="1" t="s">
        <v>192</v>
      </c>
      <c r="FH2785" s="1" t="s">
        <v>192</v>
      </c>
      <c r="FJ2785" s="1" t="s">
        <v>5605</v>
      </c>
      <c r="FK2785" s="1" t="s">
        <v>229</v>
      </c>
      <c r="FL2785" s="1" t="s">
        <v>3848</v>
      </c>
      <c r="FM2785" s="1">
        <v>432.0</v>
      </c>
      <c r="FN2785" s="1" t="s">
        <v>3849</v>
      </c>
      <c r="FO2785" s="1" t="s">
        <v>5697</v>
      </c>
      <c r="FP2785" s="1">
        <v>1488.0</v>
      </c>
      <c r="FQ2785" s="1" t="s">
        <v>5698</v>
      </c>
      <c r="FU2785" s="1" t="s">
        <v>4517</v>
      </c>
      <c r="FV2785" s="1" t="s">
        <v>200</v>
      </c>
      <c r="FW2785" s="1" t="s">
        <v>290</v>
      </c>
      <c r="FZ2785" s="1" t="s">
        <v>229</v>
      </c>
      <c r="GA2785" s="1" t="s">
        <v>291</v>
      </c>
      <c r="GB2785" s="2">
        <v>42125.0</v>
      </c>
      <c r="GC2785" s="1" t="s">
        <v>24534</v>
      </c>
    </row>
    <row r="2786">
      <c r="A2786" s="1">
        <v>326000.0</v>
      </c>
      <c r="B2786" s="1" t="s">
        <v>185</v>
      </c>
      <c r="C2786" s="1" t="str">
        <f>"08846923"</f>
        <v>08846923</v>
      </c>
      <c r="D2786" s="1" t="s">
        <v>186</v>
      </c>
      <c r="F2786" s="1" t="str">
        <f>"8010"</f>
        <v>8010</v>
      </c>
      <c r="G2786" s="2">
        <v>42061.0</v>
      </c>
      <c r="H2786" s="1">
        <v>332000.0</v>
      </c>
      <c r="I2786" s="1">
        <v>9.0</v>
      </c>
      <c r="J2786" s="1">
        <v>332000.0</v>
      </c>
      <c r="K2786" s="2">
        <v>42069.0</v>
      </c>
      <c r="L2786" s="1">
        <v>9.0</v>
      </c>
      <c r="M2786" s="2">
        <v>42069.0</v>
      </c>
      <c r="N2786" s="1" t="s">
        <v>187</v>
      </c>
      <c r="O2786" s="2">
        <v>42137.0</v>
      </c>
      <c r="P2786" s="1">
        <v>240509.0</v>
      </c>
      <c r="Q2786" s="1">
        <v>8084.0</v>
      </c>
      <c r="S2786" s="1">
        <v>5016.0</v>
      </c>
      <c r="T2786" s="1" t="s">
        <v>14608</v>
      </c>
      <c r="U2786" s="1" t="s">
        <v>189</v>
      </c>
      <c r="V2786" s="1" t="s">
        <v>190</v>
      </c>
      <c r="W2786" s="1">
        <v>60656.0</v>
      </c>
      <c r="Y2786" s="1" t="s">
        <v>24535</v>
      </c>
      <c r="Z2786" s="1">
        <v>1958.0</v>
      </c>
      <c r="AA2786" s="1" t="s">
        <v>192</v>
      </c>
      <c r="AB2786" s="1" t="s">
        <v>193</v>
      </c>
      <c r="AD2786" s="1" t="s">
        <v>194</v>
      </c>
      <c r="AE2786" s="1" t="s">
        <v>195</v>
      </c>
      <c r="AF2786" s="1" t="s">
        <v>196</v>
      </c>
      <c r="AH2786" s="1" t="s">
        <v>24536</v>
      </c>
      <c r="AK2786" s="1">
        <v>9.0</v>
      </c>
      <c r="AL2786" s="1">
        <v>3.0</v>
      </c>
      <c r="AM2786" s="1">
        <v>2.0</v>
      </c>
      <c r="AN2786" s="1">
        <v>0.0</v>
      </c>
      <c r="AO2786" s="1" t="s">
        <v>229</v>
      </c>
      <c r="AP2786" s="1">
        <v>1.0</v>
      </c>
      <c r="AQ2786" s="1" t="s">
        <v>198</v>
      </c>
      <c r="AR2786" s="1" t="s">
        <v>192</v>
      </c>
      <c r="AS2786" s="1" t="s">
        <v>199</v>
      </c>
      <c r="AT2786" s="1">
        <v>1.5</v>
      </c>
      <c r="AV2786" s="1" t="s">
        <v>200</v>
      </c>
      <c r="AW2786" s="1">
        <v>3921.86</v>
      </c>
      <c r="AX2786" s="1">
        <v>2013.0</v>
      </c>
      <c r="AY2786" s="1" t="s">
        <v>387</v>
      </c>
      <c r="AZ2786" s="1" t="s">
        <v>200</v>
      </c>
      <c r="BA2786" s="1" t="str">
        <f>"13073180280000"</f>
        <v>13073180280000</v>
      </c>
      <c r="BB2786" s="1" t="s">
        <v>200</v>
      </c>
      <c r="BC2786" s="1">
        <v>1184.0</v>
      </c>
      <c r="BD2786" s="1">
        <v>326000.0</v>
      </c>
      <c r="BE2786" s="2">
        <v>42061.0</v>
      </c>
      <c r="BF2786" s="2" t="s">
        <v>24537</v>
      </c>
      <c r="BG2786" s="1" t="s">
        <v>10629</v>
      </c>
      <c r="BH2786" s="1">
        <v>0.0</v>
      </c>
      <c r="BI2786" s="1" t="s">
        <v>10629</v>
      </c>
      <c r="BJ2786" s="1" t="s">
        <v>1222</v>
      </c>
      <c r="BK2786" s="1" t="s">
        <v>204</v>
      </c>
      <c r="BL2786" s="1" t="str">
        <f>"5016"</f>
        <v>5016</v>
      </c>
      <c r="BM2786" s="1" t="str">
        <f>"0"</f>
        <v>0</v>
      </c>
      <c r="BN2786" s="1">
        <v>6834.0</v>
      </c>
      <c r="BO2786" s="1">
        <v>0.0</v>
      </c>
      <c r="BQ2786" s="1">
        <v>299.0</v>
      </c>
      <c r="BR2786" s="1">
        <v>299.0</v>
      </c>
      <c r="BS2786" s="1">
        <v>299.0</v>
      </c>
      <c r="BU2786" s="1" t="s">
        <v>1117</v>
      </c>
      <c r="BV2786" s="1" t="s">
        <v>206</v>
      </c>
      <c r="BW2786" s="1" t="s">
        <v>207</v>
      </c>
      <c r="BY2786" s="1" t="s">
        <v>363</v>
      </c>
      <c r="BZ2786" s="1" t="s">
        <v>206</v>
      </c>
      <c r="CA2786" s="1" t="s">
        <v>207</v>
      </c>
      <c r="CD2786" s="1" t="s">
        <v>204</v>
      </c>
      <c r="CG2786" s="1" t="s">
        <v>699</v>
      </c>
      <c r="CH2786" s="1" t="s">
        <v>206</v>
      </c>
      <c r="CI2786" s="1" t="s">
        <v>207</v>
      </c>
      <c r="CK2786" s="1" t="s">
        <v>264</v>
      </c>
      <c r="CL2786" s="1" t="s">
        <v>206</v>
      </c>
      <c r="CM2786" s="1" t="s">
        <v>207</v>
      </c>
      <c r="CO2786" s="1" t="s">
        <v>264</v>
      </c>
      <c r="CP2786" s="1" t="s">
        <v>42</v>
      </c>
      <c r="CQ2786" s="1" t="s">
        <v>301</v>
      </c>
      <c r="CS2786" s="1" t="s">
        <v>3375</v>
      </c>
      <c r="CT2786" s="1" t="s">
        <v>206</v>
      </c>
      <c r="CU2786" s="1" t="s">
        <v>11077</v>
      </c>
      <c r="CW2786" s="1" t="s">
        <v>1426</v>
      </c>
      <c r="CX2786" s="1" t="s">
        <v>42</v>
      </c>
      <c r="CY2786" s="1" t="s">
        <v>301</v>
      </c>
      <c r="DA2786" s="1" t="s">
        <v>200</v>
      </c>
      <c r="DC2786" s="1" t="s">
        <v>271</v>
      </c>
      <c r="DD2786" s="1" t="s">
        <v>518</v>
      </c>
      <c r="DE2786" s="1" t="s">
        <v>273</v>
      </c>
      <c r="DF2786" s="1" t="s">
        <v>219</v>
      </c>
      <c r="DH2786" s="1" t="s">
        <v>365</v>
      </c>
      <c r="DJ2786" s="1" t="s">
        <v>222</v>
      </c>
      <c r="DK2786" s="1" t="s">
        <v>3740</v>
      </c>
      <c r="DL2786" s="1" t="s">
        <v>224</v>
      </c>
      <c r="DM2786" s="1" t="s">
        <v>229</v>
      </c>
      <c r="DP2786" s="1" t="s">
        <v>276</v>
      </c>
      <c r="DQ2786" s="1" t="s">
        <v>794</v>
      </c>
      <c r="DR2786" s="1" t="s">
        <v>229</v>
      </c>
      <c r="DS2786" s="1" t="s">
        <v>230</v>
      </c>
      <c r="DV2786" s="1" t="s">
        <v>2692</v>
      </c>
      <c r="DW2786" s="1" t="s">
        <v>279</v>
      </c>
      <c r="DX2786" s="1" t="s">
        <v>234</v>
      </c>
      <c r="DY2786" s="1" t="s">
        <v>553</v>
      </c>
      <c r="EA2786" s="1" t="s">
        <v>683</v>
      </c>
      <c r="EB2786" s="1" t="s">
        <v>684</v>
      </c>
      <c r="EC2786" s="1" t="s">
        <v>685</v>
      </c>
      <c r="ED2786" s="1" t="s">
        <v>407</v>
      </c>
      <c r="EG2786" s="1" t="s">
        <v>450</v>
      </c>
      <c r="EH2786" s="1" t="s">
        <v>598</v>
      </c>
      <c r="EL2786" s="1" t="s">
        <v>904</v>
      </c>
      <c r="EM2786" s="1" t="s">
        <v>42</v>
      </c>
      <c r="EN2786" s="1" t="s">
        <v>301</v>
      </c>
      <c r="EP2786" s="1" t="s">
        <v>495</v>
      </c>
      <c r="EQ2786" s="1" t="s">
        <v>42</v>
      </c>
      <c r="ER2786" s="1" t="s">
        <v>301</v>
      </c>
      <c r="EU2786" s="1" t="s">
        <v>238</v>
      </c>
      <c r="EY2786" s="1" t="s">
        <v>238</v>
      </c>
      <c r="FC2786" s="1" t="s">
        <v>238</v>
      </c>
      <c r="FF2786" s="1" t="s">
        <v>239</v>
      </c>
      <c r="FG2786" s="1" t="s">
        <v>192</v>
      </c>
      <c r="FH2786" s="1" t="s">
        <v>192</v>
      </c>
      <c r="FJ2786" s="1" t="s">
        <v>24538</v>
      </c>
      <c r="FK2786" s="1" t="s">
        <v>229</v>
      </c>
      <c r="FL2786" s="1" t="s">
        <v>456</v>
      </c>
      <c r="FM2786" s="1">
        <v>10013.0</v>
      </c>
      <c r="FN2786" s="1" t="s">
        <v>2428</v>
      </c>
      <c r="FO2786" s="1" t="s">
        <v>24539</v>
      </c>
      <c r="FP2786" s="1">
        <v>123301.0</v>
      </c>
      <c r="FQ2786" s="1" t="s">
        <v>24540</v>
      </c>
      <c r="FU2786" s="1" t="s">
        <v>24541</v>
      </c>
      <c r="FV2786" s="1" t="s">
        <v>200</v>
      </c>
      <c r="FW2786" s="1" t="s">
        <v>530</v>
      </c>
      <c r="FX2786" s="1" t="s">
        <v>238</v>
      </c>
      <c r="FZ2786" s="1" t="s">
        <v>229</v>
      </c>
      <c r="GA2786" s="1" t="s">
        <v>291</v>
      </c>
      <c r="GB2786" s="2">
        <v>42137.0</v>
      </c>
    </row>
    <row r="2787">
      <c r="A2787" s="1">
        <v>205000.0</v>
      </c>
      <c r="B2787" s="1" t="s">
        <v>185</v>
      </c>
      <c r="C2787" s="1" t="str">
        <f>"08838480"</f>
        <v>08838480</v>
      </c>
      <c r="D2787" s="1" t="s">
        <v>186</v>
      </c>
      <c r="F2787" s="1" t="str">
        <f>"8069"</f>
        <v>8069</v>
      </c>
      <c r="G2787" s="2">
        <v>42048.0</v>
      </c>
      <c r="H2787" s="1">
        <v>214900.0</v>
      </c>
      <c r="I2787" s="1">
        <v>22.0</v>
      </c>
      <c r="J2787" s="1">
        <v>214900.0</v>
      </c>
      <c r="K2787" s="2">
        <v>42069.0</v>
      </c>
      <c r="L2787" s="1">
        <v>22.0</v>
      </c>
      <c r="M2787" s="2">
        <v>42069.0</v>
      </c>
      <c r="N2787" s="1" t="s">
        <v>356</v>
      </c>
      <c r="O2787" s="2">
        <v>42118.0</v>
      </c>
      <c r="P2787" s="1">
        <v>602837.0</v>
      </c>
      <c r="Q2787" s="1">
        <v>60296.0</v>
      </c>
      <c r="R2787" s="1">
        <v>6000.0</v>
      </c>
      <c r="S2787" s="1">
        <v>7713.0</v>
      </c>
      <c r="T2787" s="1" t="s">
        <v>2966</v>
      </c>
      <c r="U2787" s="1" t="s">
        <v>189</v>
      </c>
      <c r="V2787" s="1" t="s">
        <v>190</v>
      </c>
      <c r="W2787" s="1">
        <v>60619.0</v>
      </c>
      <c r="Y2787" s="1" t="s">
        <v>24542</v>
      </c>
      <c r="Z2787" s="1">
        <v>1911.0</v>
      </c>
      <c r="AA2787" s="1" t="s">
        <v>192</v>
      </c>
      <c r="AB2787" s="1" t="s">
        <v>193</v>
      </c>
      <c r="AD2787" s="1" t="s">
        <v>194</v>
      </c>
      <c r="AE2787" s="1" t="s">
        <v>195</v>
      </c>
      <c r="AF2787" s="1" t="s">
        <v>637</v>
      </c>
      <c r="AH2787" s="1">
        <v>4800.0</v>
      </c>
      <c r="AI2787" s="1">
        <v>0.1102</v>
      </c>
      <c r="AK2787" s="1">
        <v>8.0</v>
      </c>
      <c r="AL2787" s="1">
        <v>4.0</v>
      </c>
      <c r="AM2787" s="1">
        <v>3.0</v>
      </c>
      <c r="AN2787" s="1">
        <v>0.0</v>
      </c>
      <c r="AO2787" s="1" t="s">
        <v>198</v>
      </c>
      <c r="AQ2787" s="1" t="s">
        <v>198</v>
      </c>
      <c r="AR2787" s="1" t="s">
        <v>192</v>
      </c>
      <c r="AS2787" s="1" t="s">
        <v>199</v>
      </c>
      <c r="AT2787" s="1">
        <v>2.0</v>
      </c>
      <c r="AV2787" s="1" t="s">
        <v>200</v>
      </c>
      <c r="AW2787" s="1">
        <v>1993.37</v>
      </c>
      <c r="AX2787" s="1">
        <v>2013.0</v>
      </c>
      <c r="AZ2787" s="1" t="s">
        <v>200</v>
      </c>
      <c r="BA2787" s="1" t="str">
        <f>"20273170050000"</f>
        <v>20273170050000</v>
      </c>
      <c r="BC2787" s="1">
        <v>1600.0</v>
      </c>
      <c r="BD2787" s="1">
        <v>205000.0</v>
      </c>
      <c r="BE2787" s="2">
        <v>42048.0</v>
      </c>
      <c r="BF2787" s="2" t="s">
        <v>24543</v>
      </c>
      <c r="BH2787" s="1">
        <v>0.0</v>
      </c>
      <c r="BK2787" s="1" t="s">
        <v>204</v>
      </c>
      <c r="BL2787" s="1" t="str">
        <f t="shared" ref="BL2787:BL2788" si="1814">"0"</f>
        <v>0</v>
      </c>
      <c r="BM2787" s="1" t="str">
        <f>"344"</f>
        <v>344</v>
      </c>
      <c r="BN2787" s="1">
        <v>0.0</v>
      </c>
      <c r="BO2787" s="1">
        <v>7713.0</v>
      </c>
      <c r="BQ2787" s="1">
        <v>299.0</v>
      </c>
      <c r="BR2787" s="1">
        <v>299.0</v>
      </c>
      <c r="BS2787" s="1">
        <v>299.0</v>
      </c>
      <c r="BU2787" s="1" t="s">
        <v>6797</v>
      </c>
      <c r="BV2787" s="1" t="s">
        <v>206</v>
      </c>
      <c r="BW2787" s="1" t="s">
        <v>207</v>
      </c>
      <c r="BY2787" s="1" t="s">
        <v>854</v>
      </c>
      <c r="BZ2787" s="1" t="s">
        <v>209</v>
      </c>
      <c r="CA2787" s="1" t="s">
        <v>210</v>
      </c>
      <c r="CC2787" s="1" t="s">
        <v>264</v>
      </c>
      <c r="CD2787" s="1" t="s">
        <v>206</v>
      </c>
      <c r="CE2787" s="1" t="s">
        <v>207</v>
      </c>
      <c r="CG2787" s="1" t="s">
        <v>1351</v>
      </c>
      <c r="CH2787" s="1" t="s">
        <v>209</v>
      </c>
      <c r="CI2787" s="1" t="s">
        <v>210</v>
      </c>
      <c r="CK2787" s="1" t="s">
        <v>497</v>
      </c>
      <c r="CL2787" s="1" t="s">
        <v>206</v>
      </c>
      <c r="CM2787" s="1" t="s">
        <v>207</v>
      </c>
      <c r="CO2787" s="1" t="s">
        <v>375</v>
      </c>
      <c r="CP2787" s="1" t="s">
        <v>206</v>
      </c>
      <c r="CQ2787" s="1" t="s">
        <v>268</v>
      </c>
      <c r="CS2787" s="1" t="s">
        <v>769</v>
      </c>
      <c r="CT2787" s="1" t="s">
        <v>206</v>
      </c>
      <c r="CU2787" s="1" t="s">
        <v>207</v>
      </c>
      <c r="CW2787" s="1" t="s">
        <v>1534</v>
      </c>
      <c r="CX2787" s="1" t="s">
        <v>42</v>
      </c>
      <c r="CY2787" s="1" t="s">
        <v>268</v>
      </c>
      <c r="DA2787" s="1" t="s">
        <v>200</v>
      </c>
      <c r="DC2787" s="1" t="s">
        <v>642</v>
      </c>
      <c r="DE2787" s="1" t="s">
        <v>273</v>
      </c>
      <c r="DF2787" s="1" t="s">
        <v>219</v>
      </c>
      <c r="DH2787" s="1" t="s">
        <v>365</v>
      </c>
      <c r="DI2787" s="1" t="s">
        <v>366</v>
      </c>
      <c r="DJ2787" s="1" t="s">
        <v>222</v>
      </c>
      <c r="DL2787" s="1" t="s">
        <v>224</v>
      </c>
      <c r="DM2787" s="1" t="s">
        <v>229</v>
      </c>
      <c r="DQ2787" s="1" t="s">
        <v>228</v>
      </c>
      <c r="DR2787" s="1" t="s">
        <v>229</v>
      </c>
      <c r="DS2787" s="1" t="s">
        <v>230</v>
      </c>
      <c r="DV2787" s="1" t="s">
        <v>232</v>
      </c>
      <c r="DW2787" s="1" t="s">
        <v>279</v>
      </c>
      <c r="DX2787" s="1" t="s">
        <v>234</v>
      </c>
      <c r="DY2787" s="1" t="s">
        <v>553</v>
      </c>
      <c r="EA2787" s="1" t="s">
        <v>644</v>
      </c>
      <c r="EC2787" s="1" t="s">
        <v>645</v>
      </c>
      <c r="EE2787" s="1" t="s">
        <v>493</v>
      </c>
      <c r="EM2787" s="1" t="s">
        <v>238</v>
      </c>
      <c r="EQ2787" s="1" t="s">
        <v>238</v>
      </c>
      <c r="EU2787" s="1" t="s">
        <v>238</v>
      </c>
      <c r="EY2787" s="1" t="s">
        <v>238</v>
      </c>
      <c r="FC2787" s="1" t="s">
        <v>238</v>
      </c>
      <c r="FF2787" s="1" t="s">
        <v>239</v>
      </c>
      <c r="FG2787" s="1" t="s">
        <v>192</v>
      </c>
      <c r="FH2787" s="1" t="s">
        <v>192</v>
      </c>
      <c r="FJ2787" s="1" t="s">
        <v>648</v>
      </c>
      <c r="FK2787" s="1" t="s">
        <v>229</v>
      </c>
      <c r="FL2787" s="1" t="s">
        <v>649</v>
      </c>
      <c r="FM2787" s="1">
        <v>60296.0</v>
      </c>
      <c r="FN2787" s="1" t="s">
        <v>650</v>
      </c>
      <c r="FO2787" s="1" t="s">
        <v>651</v>
      </c>
      <c r="FP2787" s="1">
        <v>602837.0</v>
      </c>
      <c r="FQ2787" s="1" t="s">
        <v>652</v>
      </c>
      <c r="FR2787" s="1">
        <v>602442.0</v>
      </c>
      <c r="FU2787" s="1" t="s">
        <v>653</v>
      </c>
      <c r="FV2787" s="1" t="s">
        <v>200</v>
      </c>
      <c r="FW2787" s="1" t="s">
        <v>654</v>
      </c>
      <c r="FX2787" s="1" t="s">
        <v>655</v>
      </c>
      <c r="FZ2787" s="1" t="s">
        <v>229</v>
      </c>
      <c r="GA2787" s="1" t="s">
        <v>291</v>
      </c>
      <c r="GB2787" s="2">
        <v>42121.0</v>
      </c>
      <c r="GC2787" s="1" t="s">
        <v>1372</v>
      </c>
    </row>
    <row r="2788">
      <c r="A2788" s="1">
        <v>36000.0</v>
      </c>
      <c r="B2788" s="1" t="s">
        <v>185</v>
      </c>
      <c r="C2788" s="1" t="str">
        <f>"08836745"</f>
        <v>08836745</v>
      </c>
      <c r="D2788" s="1" t="s">
        <v>186</v>
      </c>
      <c r="F2788" s="1" t="str">
        <f>"8044"</f>
        <v>8044</v>
      </c>
      <c r="G2788" s="2">
        <v>42046.0</v>
      </c>
      <c r="H2788" s="1">
        <v>39500.0</v>
      </c>
      <c r="I2788" s="1">
        <v>36.0</v>
      </c>
      <c r="J2788" s="1">
        <v>39500.0</v>
      </c>
      <c r="K2788" s="2">
        <v>42081.0</v>
      </c>
      <c r="L2788" s="1">
        <v>36.0</v>
      </c>
      <c r="M2788" s="2">
        <v>42081.0</v>
      </c>
      <c r="N2788" s="1" t="s">
        <v>249</v>
      </c>
      <c r="O2788" s="2">
        <v>42101.0</v>
      </c>
      <c r="P2788" s="1">
        <v>605322.0</v>
      </c>
      <c r="Q2788" s="1">
        <v>60321.0</v>
      </c>
      <c r="S2788" s="1">
        <v>8855.0</v>
      </c>
      <c r="T2788" s="1" t="s">
        <v>10763</v>
      </c>
      <c r="U2788" s="1" t="s">
        <v>189</v>
      </c>
      <c r="V2788" s="1" t="s">
        <v>190</v>
      </c>
      <c r="W2788" s="1">
        <v>60619.0</v>
      </c>
      <c r="Y2788" s="1" t="s">
        <v>24544</v>
      </c>
      <c r="Z2788" s="1">
        <v>1927.0</v>
      </c>
      <c r="AA2788" s="1" t="s">
        <v>192</v>
      </c>
      <c r="AB2788" s="1" t="s">
        <v>193</v>
      </c>
      <c r="AD2788" s="1" t="s">
        <v>194</v>
      </c>
      <c r="AE2788" s="1" t="s">
        <v>195</v>
      </c>
      <c r="AF2788" s="1" t="s">
        <v>637</v>
      </c>
      <c r="AH2788" s="1" t="s">
        <v>24545</v>
      </c>
      <c r="AI2788" s="1">
        <v>0.1123</v>
      </c>
      <c r="AK2788" s="1">
        <v>8.0</v>
      </c>
      <c r="AL2788" s="1">
        <v>4.0</v>
      </c>
      <c r="AM2788" s="1">
        <v>1.0</v>
      </c>
      <c r="AN2788" s="1">
        <v>1.0</v>
      </c>
      <c r="AO2788" s="1" t="s">
        <v>229</v>
      </c>
      <c r="AQ2788" s="1" t="s">
        <v>198</v>
      </c>
      <c r="AR2788" s="1" t="s">
        <v>200</v>
      </c>
      <c r="AS2788" s="1" t="s">
        <v>199</v>
      </c>
      <c r="AT2788" s="1">
        <v>2.0</v>
      </c>
      <c r="AV2788" s="1" t="s">
        <v>200</v>
      </c>
      <c r="AW2788" s="1">
        <v>2413.65</v>
      </c>
      <c r="AX2788" s="1">
        <v>2013.0</v>
      </c>
      <c r="AY2788" s="1" t="s">
        <v>229</v>
      </c>
      <c r="AZ2788" s="1" t="s">
        <v>545</v>
      </c>
      <c r="BA2788" s="1" t="str">
        <f>"25031080190000"</f>
        <v>25031080190000</v>
      </c>
      <c r="BB2788" s="1" t="s">
        <v>200</v>
      </c>
      <c r="BC2788" s="1">
        <v>2200.0</v>
      </c>
      <c r="BD2788" s="1">
        <v>36000.0</v>
      </c>
      <c r="BE2788" s="2">
        <v>42046.0</v>
      </c>
      <c r="BF2788" s="1" t="s">
        <v>24546</v>
      </c>
      <c r="BH2788" s="1">
        <v>0.0</v>
      </c>
      <c r="BK2788" s="1" t="s">
        <v>204</v>
      </c>
      <c r="BL2788" s="1" t="str">
        <f t="shared" si="1814"/>
        <v>0</v>
      </c>
      <c r="BM2788" s="1" t="str">
        <f>"900"</f>
        <v>900</v>
      </c>
      <c r="BN2788" s="1">
        <v>0.0</v>
      </c>
      <c r="BO2788" s="1">
        <v>8855.0</v>
      </c>
      <c r="BQ2788" s="1">
        <v>299.0</v>
      </c>
      <c r="BR2788" s="1">
        <v>299.0</v>
      </c>
      <c r="BS2788" s="1">
        <v>299.0</v>
      </c>
      <c r="BU2788" s="1" t="s">
        <v>1158</v>
      </c>
      <c r="BV2788" s="1" t="s">
        <v>206</v>
      </c>
      <c r="BW2788" s="1" t="s">
        <v>301</v>
      </c>
      <c r="BX2788" s="1" t="s">
        <v>229</v>
      </c>
      <c r="BY2788" s="1" t="s">
        <v>1426</v>
      </c>
      <c r="BZ2788" s="1" t="s">
        <v>206</v>
      </c>
      <c r="CA2788" s="1" t="s">
        <v>301</v>
      </c>
      <c r="CB2788" s="1" t="s">
        <v>229</v>
      </c>
      <c r="CC2788" s="1" t="s">
        <v>640</v>
      </c>
      <c r="CD2788" s="1" t="s">
        <v>206</v>
      </c>
      <c r="CE2788" s="1" t="s">
        <v>301</v>
      </c>
      <c r="CF2788" s="1" t="s">
        <v>229</v>
      </c>
      <c r="CG2788" s="1" t="s">
        <v>266</v>
      </c>
      <c r="CH2788" s="1" t="s">
        <v>209</v>
      </c>
      <c r="CI2788" s="1" t="s">
        <v>207</v>
      </c>
      <c r="CJ2788" s="1" t="s">
        <v>229</v>
      </c>
      <c r="CK2788" s="1" t="s">
        <v>516</v>
      </c>
      <c r="CL2788" s="1" t="s">
        <v>209</v>
      </c>
      <c r="CM2788" s="1" t="s">
        <v>207</v>
      </c>
      <c r="CN2788" s="1" t="s">
        <v>229</v>
      </c>
      <c r="CO2788" s="1" t="s">
        <v>1760</v>
      </c>
      <c r="CP2788" s="1" t="s">
        <v>209</v>
      </c>
      <c r="CQ2788" s="1" t="s">
        <v>207</v>
      </c>
      <c r="CR2788" s="1" t="s">
        <v>229</v>
      </c>
      <c r="CS2788" s="1" t="s">
        <v>2613</v>
      </c>
      <c r="CT2788" s="1" t="s">
        <v>206</v>
      </c>
      <c r="CU2788" s="1" t="s">
        <v>268</v>
      </c>
      <c r="CV2788" s="1" t="s">
        <v>229</v>
      </c>
      <c r="CX2788" s="1" t="s">
        <v>204</v>
      </c>
      <c r="DA2788" s="1" t="s">
        <v>200</v>
      </c>
      <c r="DC2788" s="1" t="s">
        <v>785</v>
      </c>
      <c r="DE2788" s="1" t="s">
        <v>229</v>
      </c>
      <c r="DF2788" s="1" t="s">
        <v>619</v>
      </c>
      <c r="DH2788" s="1" t="s">
        <v>220</v>
      </c>
      <c r="DJ2788" s="1" t="s">
        <v>222</v>
      </c>
      <c r="DL2788" s="1" t="s">
        <v>223</v>
      </c>
      <c r="DM2788" s="1" t="s">
        <v>1247</v>
      </c>
      <c r="DQ2788" s="1" t="s">
        <v>228</v>
      </c>
      <c r="DR2788" s="1" t="s">
        <v>229</v>
      </c>
      <c r="DV2788" s="1" t="s">
        <v>8416</v>
      </c>
      <c r="DW2788" s="1" t="s">
        <v>279</v>
      </c>
      <c r="DX2788" s="1" t="s">
        <v>234</v>
      </c>
      <c r="DY2788" s="1" t="s">
        <v>15809</v>
      </c>
      <c r="EA2788" s="1" t="s">
        <v>644</v>
      </c>
      <c r="EC2788" s="1" t="s">
        <v>237</v>
      </c>
      <c r="ED2788" s="1" t="s">
        <v>1761</v>
      </c>
      <c r="EE2788" s="1" t="s">
        <v>1960</v>
      </c>
      <c r="EG2788" s="1" t="s">
        <v>557</v>
      </c>
      <c r="EH2788" s="1" t="s">
        <v>374</v>
      </c>
      <c r="EL2788" s="1" t="s">
        <v>269</v>
      </c>
      <c r="EM2788" s="1" t="s">
        <v>206</v>
      </c>
      <c r="EN2788" s="1" t="s">
        <v>268</v>
      </c>
      <c r="EP2788" s="1" t="s">
        <v>1137</v>
      </c>
      <c r="EQ2788" s="1" t="s">
        <v>206</v>
      </c>
      <c r="ER2788" s="1" t="s">
        <v>268</v>
      </c>
      <c r="ES2788" s="1" t="s">
        <v>431</v>
      </c>
      <c r="EU2788" s="1" t="s">
        <v>238</v>
      </c>
      <c r="EY2788" s="1" t="s">
        <v>238</v>
      </c>
      <c r="FC2788" s="1" t="s">
        <v>238</v>
      </c>
      <c r="FF2788" s="1" t="s">
        <v>239</v>
      </c>
      <c r="FG2788" s="1" t="s">
        <v>192</v>
      </c>
      <c r="FH2788" s="1" t="s">
        <v>192</v>
      </c>
      <c r="FJ2788" s="1" t="s">
        <v>24547</v>
      </c>
      <c r="FK2788" s="1" t="s">
        <v>229</v>
      </c>
      <c r="FL2788" s="1" t="s">
        <v>1289</v>
      </c>
      <c r="FM2788" s="1">
        <v>85646.0</v>
      </c>
      <c r="FN2788" s="1" t="s">
        <v>12744</v>
      </c>
      <c r="FO2788" s="1" t="s">
        <v>24548</v>
      </c>
      <c r="FP2788" s="1">
        <v>111269.0</v>
      </c>
      <c r="FS2788" s="1" t="s">
        <v>24549</v>
      </c>
      <c r="FU2788" s="1" t="s">
        <v>24550</v>
      </c>
      <c r="FV2788" s="1" t="s">
        <v>200</v>
      </c>
      <c r="FW2788" s="1" t="s">
        <v>290</v>
      </c>
      <c r="FX2788" s="1" t="s">
        <v>655</v>
      </c>
      <c r="FZ2788" s="1" t="s">
        <v>229</v>
      </c>
      <c r="GA2788" s="1" t="s">
        <v>291</v>
      </c>
      <c r="GB2788" s="2">
        <v>42101.0</v>
      </c>
      <c r="GC2788" s="1" t="s">
        <v>24551</v>
      </c>
    </row>
    <row r="2789">
      <c r="A2789" s="1">
        <v>179900.0</v>
      </c>
      <c r="B2789" s="1" t="s">
        <v>185</v>
      </c>
      <c r="C2789" s="1" t="str">
        <f>"08837544"</f>
        <v>08837544</v>
      </c>
      <c r="D2789" s="1" t="s">
        <v>186</v>
      </c>
      <c r="F2789" s="1" t="str">
        <f>"110"</f>
        <v>110</v>
      </c>
      <c r="G2789" s="2">
        <v>42047.0</v>
      </c>
      <c r="H2789" s="1">
        <v>179900.0</v>
      </c>
      <c r="I2789" s="1">
        <v>2.0</v>
      </c>
      <c r="J2789" s="1">
        <v>179900.0</v>
      </c>
      <c r="K2789" s="2">
        <v>42046.0</v>
      </c>
      <c r="L2789" s="1">
        <v>2.0</v>
      </c>
      <c r="M2789" s="2">
        <v>42046.0</v>
      </c>
      <c r="N2789" s="1" t="s">
        <v>356</v>
      </c>
      <c r="O2789" s="2">
        <v>42150.0</v>
      </c>
      <c r="P2789" s="1">
        <v>87047.0</v>
      </c>
      <c r="Q2789" s="1">
        <v>8340.0</v>
      </c>
      <c r="S2789" s="1">
        <v>499.0</v>
      </c>
      <c r="T2789" s="1" t="s">
        <v>3813</v>
      </c>
      <c r="U2789" s="1" t="s">
        <v>189</v>
      </c>
      <c r="V2789" s="1" t="s">
        <v>807</v>
      </c>
      <c r="W2789" s="1">
        <v>60110.0</v>
      </c>
      <c r="Y2789" s="1" t="s">
        <v>24552</v>
      </c>
      <c r="Z2789" s="1">
        <v>1967.0</v>
      </c>
      <c r="AA2789" s="1" t="s">
        <v>192</v>
      </c>
      <c r="AB2789" s="1" t="s">
        <v>193</v>
      </c>
      <c r="AD2789" s="1" t="s">
        <v>809</v>
      </c>
      <c r="AE2789" s="1" t="s">
        <v>325</v>
      </c>
      <c r="AF2789" s="1" t="s">
        <v>810</v>
      </c>
      <c r="AH2789" s="1">
        <v>0.46</v>
      </c>
      <c r="AI2789" s="1">
        <v>0.475</v>
      </c>
      <c r="AK2789" s="1">
        <v>8.0</v>
      </c>
      <c r="AL2789" s="1">
        <v>4.0</v>
      </c>
      <c r="AM2789" s="1">
        <v>3.0</v>
      </c>
      <c r="AN2789" s="1">
        <v>0.0</v>
      </c>
      <c r="AO2789" s="1" t="s">
        <v>198</v>
      </c>
      <c r="AQ2789" s="1" t="s">
        <v>472</v>
      </c>
      <c r="AR2789" s="1" t="s">
        <v>192</v>
      </c>
      <c r="AS2789" s="1" t="s">
        <v>199</v>
      </c>
      <c r="AT2789" s="1">
        <v>2.5</v>
      </c>
      <c r="AV2789" s="1" t="s">
        <v>200</v>
      </c>
      <c r="AW2789" s="1">
        <v>5887.84</v>
      </c>
      <c r="AX2789" s="1">
        <v>2013.0</v>
      </c>
      <c r="AY2789" s="1" t="s">
        <v>229</v>
      </c>
      <c r="AZ2789" s="1" t="s">
        <v>200</v>
      </c>
      <c r="BA2789" s="1" t="str">
        <f>"0314326015"</f>
        <v>0314326015</v>
      </c>
      <c r="BC2789" s="1">
        <v>1992.0</v>
      </c>
      <c r="BD2789" s="1">
        <v>179900.0</v>
      </c>
      <c r="BE2789" s="2">
        <v>42045.0</v>
      </c>
      <c r="BF2789" s="1" t="s">
        <v>24553</v>
      </c>
      <c r="BH2789" s="1">
        <v>0.0</v>
      </c>
      <c r="BJ2789" s="1" t="s">
        <v>1094</v>
      </c>
      <c r="BK2789" s="1" t="s">
        <v>204</v>
      </c>
      <c r="BL2789" s="1" t="str">
        <f t="shared" ref="BL2789:BM2789" si="1815">""</f>
        <v/>
      </c>
      <c r="BM2789" s="1" t="str">
        <f t="shared" si="1815"/>
        <v/>
      </c>
      <c r="BQ2789" s="1">
        <v>300.0</v>
      </c>
      <c r="BR2789" s="1">
        <v>300.0</v>
      </c>
      <c r="BS2789" s="1">
        <v>300.0</v>
      </c>
      <c r="BU2789" s="1" t="s">
        <v>743</v>
      </c>
      <c r="BV2789" s="1" t="s">
        <v>206</v>
      </c>
      <c r="BW2789" s="1" t="s">
        <v>210</v>
      </c>
      <c r="BX2789" s="1" t="s">
        <v>431</v>
      </c>
      <c r="BY2789" s="1" t="s">
        <v>331</v>
      </c>
      <c r="BZ2789" s="1" t="s">
        <v>206</v>
      </c>
      <c r="CA2789" s="1" t="s">
        <v>207</v>
      </c>
      <c r="CB2789" s="1" t="s">
        <v>431</v>
      </c>
      <c r="CC2789" s="1" t="s">
        <v>212</v>
      </c>
      <c r="CD2789" s="1" t="s">
        <v>206</v>
      </c>
      <c r="CE2789" s="1" t="s">
        <v>210</v>
      </c>
      <c r="CF2789" s="1" t="s">
        <v>431</v>
      </c>
      <c r="CG2789" s="1" t="s">
        <v>331</v>
      </c>
      <c r="CH2789" s="1" t="s">
        <v>206</v>
      </c>
      <c r="CI2789" s="1" t="s">
        <v>207</v>
      </c>
      <c r="CJ2789" s="1" t="s">
        <v>431</v>
      </c>
      <c r="CK2789" s="1" t="s">
        <v>212</v>
      </c>
      <c r="CL2789" s="1" t="s">
        <v>206</v>
      </c>
      <c r="CM2789" s="1" t="s">
        <v>210</v>
      </c>
      <c r="CN2789" s="1" t="s">
        <v>431</v>
      </c>
      <c r="CO2789" s="1" t="s">
        <v>497</v>
      </c>
      <c r="CP2789" s="1" t="s">
        <v>267</v>
      </c>
      <c r="CQ2789" s="1" t="s">
        <v>210</v>
      </c>
      <c r="CR2789" s="1" t="s">
        <v>431</v>
      </c>
      <c r="CS2789" s="1" t="s">
        <v>331</v>
      </c>
      <c r="CT2789" s="1" t="s">
        <v>206</v>
      </c>
      <c r="CU2789" s="1" t="s">
        <v>617</v>
      </c>
      <c r="CV2789" s="1" t="s">
        <v>431</v>
      </c>
      <c r="CW2789" s="1" t="s">
        <v>205</v>
      </c>
      <c r="CX2789" s="1" t="s">
        <v>267</v>
      </c>
      <c r="CY2789" s="1" t="s">
        <v>210</v>
      </c>
      <c r="CZ2789" s="1" t="s">
        <v>431</v>
      </c>
      <c r="DA2789" s="1" t="s">
        <v>200</v>
      </c>
      <c r="DC2789" s="1" t="s">
        <v>517</v>
      </c>
      <c r="DD2789" s="1" t="s">
        <v>518</v>
      </c>
      <c r="DE2789" s="1" t="s">
        <v>273</v>
      </c>
      <c r="DF2789" s="1" t="s">
        <v>219</v>
      </c>
      <c r="DG2789" s="1" t="s">
        <v>4976</v>
      </c>
      <c r="DH2789" s="1" t="s">
        <v>220</v>
      </c>
      <c r="DI2789" s="1" t="s">
        <v>1223</v>
      </c>
      <c r="DJ2789" s="1" t="s">
        <v>222</v>
      </c>
      <c r="DL2789" s="1" t="s">
        <v>1161</v>
      </c>
      <c r="DM2789" s="1" t="s">
        <v>229</v>
      </c>
      <c r="DO2789" s="1" t="s">
        <v>590</v>
      </c>
      <c r="DP2789" s="1" t="s">
        <v>400</v>
      </c>
      <c r="DQ2789" s="1" t="s">
        <v>441</v>
      </c>
      <c r="DR2789" s="1" t="s">
        <v>229</v>
      </c>
      <c r="DS2789" s="1" t="s">
        <v>230</v>
      </c>
      <c r="DU2789" s="1" t="s">
        <v>3073</v>
      </c>
      <c r="DV2789" s="1" t="s">
        <v>232</v>
      </c>
      <c r="DW2789" s="1" t="s">
        <v>233</v>
      </c>
      <c r="DX2789" s="1" t="s">
        <v>234</v>
      </c>
      <c r="DY2789" s="1" t="s">
        <v>24554</v>
      </c>
      <c r="DZ2789" s="1" t="s">
        <v>1100</v>
      </c>
      <c r="EC2789" s="1" t="s">
        <v>311</v>
      </c>
      <c r="ED2789" s="1" t="s">
        <v>407</v>
      </c>
      <c r="EE2789" s="1" t="s">
        <v>522</v>
      </c>
      <c r="EM2789" s="1" t="s">
        <v>238</v>
      </c>
      <c r="EQ2789" s="1" t="s">
        <v>238</v>
      </c>
      <c r="EU2789" s="1" t="s">
        <v>238</v>
      </c>
      <c r="EY2789" s="1" t="s">
        <v>238</v>
      </c>
      <c r="FC2789" s="1" t="s">
        <v>238</v>
      </c>
      <c r="FF2789" s="1" t="s">
        <v>239</v>
      </c>
      <c r="FG2789" s="1" t="s">
        <v>192</v>
      </c>
      <c r="FH2789" s="1" t="s">
        <v>192</v>
      </c>
      <c r="FJ2789" s="1" t="s">
        <v>624</v>
      </c>
      <c r="FK2789" s="1" t="s">
        <v>229</v>
      </c>
      <c r="FL2789" s="1" t="s">
        <v>1451</v>
      </c>
      <c r="FM2789" s="1">
        <v>7450.0</v>
      </c>
      <c r="FN2789" s="1" t="s">
        <v>1452</v>
      </c>
      <c r="FO2789" s="1" t="s">
        <v>24555</v>
      </c>
      <c r="FP2789" s="1">
        <v>77413.0</v>
      </c>
      <c r="FQ2789" s="1" t="s">
        <v>24556</v>
      </c>
      <c r="FU2789" s="1" t="s">
        <v>22795</v>
      </c>
      <c r="FV2789" s="1" t="s">
        <v>200</v>
      </c>
      <c r="FW2789" s="1" t="s">
        <v>24557</v>
      </c>
      <c r="FZ2789" s="1" t="s">
        <v>229</v>
      </c>
      <c r="GA2789" s="1" t="s">
        <v>291</v>
      </c>
      <c r="GB2789" s="2">
        <v>42150.0</v>
      </c>
    </row>
    <row r="2790">
      <c r="A2790" s="1">
        <v>272000.0</v>
      </c>
      <c r="B2790" s="1" t="s">
        <v>185</v>
      </c>
      <c r="C2790" s="1" t="str">
        <f>"08837907"</f>
        <v>08837907</v>
      </c>
      <c r="D2790" s="1" t="s">
        <v>186</v>
      </c>
      <c r="F2790" s="1" t="str">
        <f>"118"</f>
        <v>118</v>
      </c>
      <c r="G2790" s="2">
        <v>42048.0</v>
      </c>
      <c r="H2790" s="1">
        <v>285000.0</v>
      </c>
      <c r="I2790" s="1">
        <v>148.0</v>
      </c>
      <c r="J2790" s="1">
        <v>275000.0</v>
      </c>
      <c r="K2790" s="2">
        <v>42095.0</v>
      </c>
      <c r="L2790" s="1">
        <v>48.0</v>
      </c>
      <c r="M2790" s="2">
        <v>42095.0</v>
      </c>
      <c r="N2790" s="1" t="s">
        <v>187</v>
      </c>
      <c r="O2790" s="2">
        <v>42150.0</v>
      </c>
      <c r="P2790" s="1">
        <v>1034.0</v>
      </c>
      <c r="Q2790" s="1">
        <v>30.0</v>
      </c>
      <c r="S2790" s="1">
        <v>642.0</v>
      </c>
      <c r="T2790" s="1" t="s">
        <v>6537</v>
      </c>
      <c r="U2790" s="1" t="s">
        <v>189</v>
      </c>
      <c r="V2790" s="1" t="s">
        <v>1086</v>
      </c>
      <c r="W2790" s="1">
        <v>60118.0</v>
      </c>
      <c r="Y2790" s="1" t="s">
        <v>24558</v>
      </c>
      <c r="Z2790" s="1">
        <v>2005.0</v>
      </c>
      <c r="AA2790" s="1" t="s">
        <v>200</v>
      </c>
      <c r="AB2790" s="1" t="s">
        <v>467</v>
      </c>
      <c r="AC2790" s="1" t="s">
        <v>22064</v>
      </c>
      <c r="AD2790" s="1" t="s">
        <v>3394</v>
      </c>
      <c r="AE2790" s="1" t="s">
        <v>325</v>
      </c>
      <c r="AF2790" s="1" t="s">
        <v>810</v>
      </c>
      <c r="AG2790" s="1" t="s">
        <v>23787</v>
      </c>
      <c r="AH2790" s="1" t="s">
        <v>471</v>
      </c>
      <c r="AI2790" s="1">
        <v>0.25</v>
      </c>
      <c r="AK2790" s="1">
        <v>10.0</v>
      </c>
      <c r="AL2790" s="1">
        <v>4.0</v>
      </c>
      <c r="AM2790" s="1">
        <v>3.0</v>
      </c>
      <c r="AN2790" s="1">
        <v>1.0</v>
      </c>
      <c r="AO2790" s="1" t="s">
        <v>198</v>
      </c>
      <c r="AP2790" s="1">
        <v>1.0</v>
      </c>
      <c r="AQ2790" s="1" t="s">
        <v>327</v>
      </c>
      <c r="AR2790" s="1" t="s">
        <v>192</v>
      </c>
      <c r="AS2790" s="1" t="s">
        <v>199</v>
      </c>
      <c r="AT2790" s="1">
        <v>2.0</v>
      </c>
      <c r="AV2790" s="1" t="s">
        <v>192</v>
      </c>
      <c r="AW2790" s="1">
        <v>8158.14</v>
      </c>
      <c r="AX2790" s="1">
        <v>2012.0</v>
      </c>
      <c r="AY2790" s="1" t="s">
        <v>387</v>
      </c>
      <c r="AZ2790" s="1" t="s">
        <v>200</v>
      </c>
      <c r="BA2790" s="1" t="str">
        <f>"0320378019"</f>
        <v>0320378019</v>
      </c>
      <c r="BC2790" s="1">
        <v>2250.0</v>
      </c>
      <c r="BD2790" s="1">
        <v>272000.0</v>
      </c>
      <c r="BE2790" s="2">
        <v>42048.0</v>
      </c>
      <c r="BF2790" s="2" t="s">
        <v>24559</v>
      </c>
      <c r="BG2790" s="1" t="s">
        <v>3486</v>
      </c>
      <c r="BH2790" s="1">
        <v>40.0</v>
      </c>
      <c r="BI2790" s="1" t="s">
        <v>1093</v>
      </c>
      <c r="BJ2790" s="1" t="s">
        <v>1094</v>
      </c>
      <c r="BK2790" s="1" t="s">
        <v>204</v>
      </c>
      <c r="BL2790" s="1" t="str">
        <f>"20"</f>
        <v>20</v>
      </c>
      <c r="BM2790" s="1" t="str">
        <f>""</f>
        <v/>
      </c>
      <c r="BN2790" s="1">
        <v>37.0</v>
      </c>
      <c r="BQ2790" s="1">
        <v>300.0</v>
      </c>
      <c r="BR2790" s="1">
        <v>300.0</v>
      </c>
      <c r="BS2790" s="1">
        <v>300.0</v>
      </c>
      <c r="BU2790" s="1" t="s">
        <v>478</v>
      </c>
      <c r="BV2790" s="1" t="s">
        <v>206</v>
      </c>
      <c r="BW2790" s="1" t="s">
        <v>210</v>
      </c>
      <c r="BX2790" s="1" t="s">
        <v>229</v>
      </c>
      <c r="BY2790" s="1" t="s">
        <v>496</v>
      </c>
      <c r="BZ2790" s="1" t="s">
        <v>209</v>
      </c>
      <c r="CA2790" s="1" t="s">
        <v>210</v>
      </c>
      <c r="CB2790" s="1" t="s">
        <v>229</v>
      </c>
      <c r="CC2790" s="1" t="s">
        <v>303</v>
      </c>
      <c r="CD2790" s="1" t="s">
        <v>206</v>
      </c>
      <c r="CE2790" s="1" t="s">
        <v>210</v>
      </c>
      <c r="CF2790" s="1" t="s">
        <v>229</v>
      </c>
      <c r="CG2790" s="1" t="s">
        <v>269</v>
      </c>
      <c r="CH2790" s="1" t="s">
        <v>209</v>
      </c>
      <c r="CI2790" s="1" t="s">
        <v>210</v>
      </c>
      <c r="CJ2790" s="1" t="s">
        <v>431</v>
      </c>
      <c r="CK2790" s="1" t="s">
        <v>663</v>
      </c>
      <c r="CL2790" s="1" t="s">
        <v>209</v>
      </c>
      <c r="CM2790" s="1" t="s">
        <v>210</v>
      </c>
      <c r="CN2790" s="1" t="s">
        <v>431</v>
      </c>
      <c r="CO2790" s="1" t="s">
        <v>663</v>
      </c>
      <c r="CP2790" s="1" t="s">
        <v>209</v>
      </c>
      <c r="CQ2790" s="1" t="s">
        <v>210</v>
      </c>
      <c r="CR2790" s="1" t="s">
        <v>431</v>
      </c>
      <c r="CS2790" s="1" t="s">
        <v>495</v>
      </c>
      <c r="CT2790" s="1" t="s">
        <v>206</v>
      </c>
      <c r="CU2790" s="1" t="s">
        <v>207</v>
      </c>
      <c r="CV2790" s="1" t="s">
        <v>431</v>
      </c>
      <c r="CW2790" s="1" t="s">
        <v>496</v>
      </c>
      <c r="CX2790" s="1" t="s">
        <v>206</v>
      </c>
      <c r="CY2790" s="1" t="s">
        <v>210</v>
      </c>
      <c r="CZ2790" s="1" t="s">
        <v>229</v>
      </c>
      <c r="DA2790" s="1" t="s">
        <v>200</v>
      </c>
      <c r="DC2790" s="1" t="s">
        <v>481</v>
      </c>
      <c r="DD2790" s="1" t="s">
        <v>336</v>
      </c>
      <c r="DE2790" s="1" t="s">
        <v>273</v>
      </c>
      <c r="DF2790" s="1" t="s">
        <v>219</v>
      </c>
      <c r="DG2790" s="1" t="s">
        <v>3020</v>
      </c>
      <c r="DH2790" s="1" t="s">
        <v>220</v>
      </c>
      <c r="DI2790" s="1" t="s">
        <v>221</v>
      </c>
      <c r="DJ2790" s="1" t="s">
        <v>222</v>
      </c>
      <c r="DL2790" s="1" t="s">
        <v>224</v>
      </c>
      <c r="DM2790" s="1" t="s">
        <v>1268</v>
      </c>
      <c r="DN2790" s="1" t="s">
        <v>339</v>
      </c>
      <c r="DO2790" s="1" t="s">
        <v>24560</v>
      </c>
      <c r="DP2790" s="1" t="s">
        <v>2380</v>
      </c>
      <c r="DQ2790" s="1" t="s">
        <v>441</v>
      </c>
      <c r="DR2790" s="1" t="s">
        <v>1487</v>
      </c>
      <c r="DU2790" s="1" t="s">
        <v>2959</v>
      </c>
      <c r="DV2790" s="1" t="s">
        <v>2692</v>
      </c>
      <c r="DW2790" s="1" t="s">
        <v>444</v>
      </c>
      <c r="DX2790" s="1" t="s">
        <v>234</v>
      </c>
      <c r="DY2790" s="1" t="s">
        <v>15143</v>
      </c>
      <c r="DZ2790" s="1" t="s">
        <v>1405</v>
      </c>
      <c r="EA2790" s="1" t="s">
        <v>1027</v>
      </c>
      <c r="EB2790" s="1" t="s">
        <v>2183</v>
      </c>
      <c r="EC2790" s="1" t="s">
        <v>237</v>
      </c>
      <c r="ED2790" s="1" t="s">
        <v>407</v>
      </c>
      <c r="EG2790" s="1" t="s">
        <v>598</v>
      </c>
      <c r="EH2790" s="1" t="s">
        <v>450</v>
      </c>
      <c r="EL2790" s="1" t="s">
        <v>1417</v>
      </c>
      <c r="EM2790" s="1" t="s">
        <v>1697</v>
      </c>
      <c r="EN2790" s="1" t="s">
        <v>210</v>
      </c>
      <c r="EO2790" s="1" t="s">
        <v>431</v>
      </c>
      <c r="EP2790" s="1" t="s">
        <v>24561</v>
      </c>
      <c r="EQ2790" s="1" t="s">
        <v>1697</v>
      </c>
      <c r="ER2790" s="1" t="s">
        <v>210</v>
      </c>
      <c r="ES2790" s="1" t="s">
        <v>431</v>
      </c>
      <c r="EU2790" s="1" t="s">
        <v>238</v>
      </c>
      <c r="EY2790" s="1" t="s">
        <v>238</v>
      </c>
      <c r="FC2790" s="1" t="s">
        <v>238</v>
      </c>
      <c r="FF2790" s="1" t="s">
        <v>239</v>
      </c>
      <c r="FG2790" s="1" t="s">
        <v>192</v>
      </c>
      <c r="FH2790" s="1" t="s">
        <v>192</v>
      </c>
      <c r="FJ2790" s="1" t="s">
        <v>24562</v>
      </c>
      <c r="FK2790" s="1" t="s">
        <v>229</v>
      </c>
      <c r="FL2790" s="1" t="s">
        <v>1358</v>
      </c>
      <c r="FM2790" s="1">
        <v>24988.0</v>
      </c>
      <c r="FN2790" s="1" t="s">
        <v>11515</v>
      </c>
      <c r="FO2790" s="1" t="s">
        <v>24563</v>
      </c>
      <c r="FP2790" s="1">
        <v>217288.0</v>
      </c>
      <c r="FQ2790" s="1" t="s">
        <v>24564</v>
      </c>
      <c r="FU2790" s="1" t="s">
        <v>12930</v>
      </c>
      <c r="FV2790" s="1" t="s">
        <v>200</v>
      </c>
      <c r="FW2790" s="1" t="s">
        <v>290</v>
      </c>
      <c r="FZ2790" s="1" t="s">
        <v>229</v>
      </c>
      <c r="GA2790" s="1" t="s">
        <v>291</v>
      </c>
      <c r="GB2790" s="2">
        <v>42150.0</v>
      </c>
      <c r="GC2790" s="1" t="s">
        <v>24565</v>
      </c>
    </row>
    <row r="2791">
      <c r="A2791" s="1">
        <v>90000.0</v>
      </c>
      <c r="B2791" s="1" t="s">
        <v>185</v>
      </c>
      <c r="C2791" s="1" t="str">
        <f>"08841474"</f>
        <v>08841474</v>
      </c>
      <c r="D2791" s="1" t="s">
        <v>186</v>
      </c>
      <c r="F2791" s="1" t="str">
        <f>"8066"</f>
        <v>8066</v>
      </c>
      <c r="G2791" s="2">
        <v>42053.0</v>
      </c>
      <c r="H2791" s="1">
        <v>100000.0</v>
      </c>
      <c r="I2791" s="1">
        <v>17.0</v>
      </c>
      <c r="J2791" s="1">
        <v>100000.0</v>
      </c>
      <c r="K2791" s="2">
        <v>42069.0</v>
      </c>
      <c r="L2791" s="1">
        <v>17.0</v>
      </c>
      <c r="M2791" s="2">
        <v>42069.0</v>
      </c>
      <c r="N2791" s="1" t="s">
        <v>249</v>
      </c>
      <c r="O2791" s="2">
        <v>42132.0</v>
      </c>
      <c r="P2791" s="1">
        <v>185673.0</v>
      </c>
      <c r="Q2791" s="1">
        <v>85088.0</v>
      </c>
      <c r="R2791" s="1">
        <v>2700.0</v>
      </c>
      <c r="S2791" s="1">
        <v>6449.0</v>
      </c>
      <c r="T2791" s="1" t="s">
        <v>9093</v>
      </c>
      <c r="U2791" s="1" t="s">
        <v>320</v>
      </c>
      <c r="V2791" s="1" t="s">
        <v>190</v>
      </c>
      <c r="W2791" s="1">
        <v>60629.0</v>
      </c>
      <c r="Y2791" s="1" t="s">
        <v>24566</v>
      </c>
      <c r="Z2791" s="1">
        <v>1949.0</v>
      </c>
      <c r="AA2791" s="1" t="s">
        <v>192</v>
      </c>
      <c r="AB2791" s="1" t="s">
        <v>193</v>
      </c>
      <c r="AD2791" s="1" t="s">
        <v>194</v>
      </c>
      <c r="AE2791" s="1" t="s">
        <v>195</v>
      </c>
      <c r="AF2791" s="1" t="s">
        <v>659</v>
      </c>
      <c r="AH2791" s="1" t="s">
        <v>1133</v>
      </c>
      <c r="AI2791" s="1">
        <v>0.0717</v>
      </c>
      <c r="AK2791" s="1">
        <v>8.0</v>
      </c>
      <c r="AL2791" s="1">
        <v>4.0</v>
      </c>
      <c r="AM2791" s="1">
        <v>3.0</v>
      </c>
      <c r="AN2791" s="1">
        <v>0.0</v>
      </c>
      <c r="AO2791" s="1" t="s">
        <v>198</v>
      </c>
      <c r="AQ2791" s="1" t="s">
        <v>198</v>
      </c>
      <c r="AR2791" s="1" t="s">
        <v>192</v>
      </c>
      <c r="AS2791" s="1" t="s">
        <v>199</v>
      </c>
      <c r="AT2791" s="1">
        <v>2.0</v>
      </c>
      <c r="AV2791" s="1" t="s">
        <v>200</v>
      </c>
      <c r="AW2791" s="1">
        <v>2228.0</v>
      </c>
      <c r="AX2791" s="1">
        <v>2013.0</v>
      </c>
      <c r="AZ2791" s="1" t="s">
        <v>200</v>
      </c>
      <c r="BA2791" s="1" t="str">
        <f>"19241090180000"</f>
        <v>19241090180000</v>
      </c>
      <c r="BB2791" s="1" t="s">
        <v>192</v>
      </c>
      <c r="BC2791" s="1">
        <v>1188.0</v>
      </c>
      <c r="BD2791" s="1">
        <v>90000.0</v>
      </c>
      <c r="BE2791" s="2">
        <v>42053.0</v>
      </c>
      <c r="BF2791" s="2" t="s">
        <v>24567</v>
      </c>
      <c r="BH2791" s="1">
        <v>0.0</v>
      </c>
      <c r="BK2791" s="1" t="s">
        <v>204</v>
      </c>
      <c r="BL2791" s="1" t="str">
        <f t="shared" ref="BL2791:BM2791" si="1816">"0"</f>
        <v>0</v>
      </c>
      <c r="BM2791" s="1" t="str">
        <f t="shared" si="1816"/>
        <v>0</v>
      </c>
      <c r="BN2791" s="1">
        <v>3132.0</v>
      </c>
      <c r="BO2791" s="1">
        <v>6449.0</v>
      </c>
      <c r="BQ2791" s="1">
        <v>299.0</v>
      </c>
      <c r="BR2791" s="1">
        <v>299.0</v>
      </c>
      <c r="BS2791" s="1">
        <v>299.0</v>
      </c>
      <c r="BU2791" s="1" t="s">
        <v>5655</v>
      </c>
      <c r="BV2791" s="1" t="s">
        <v>206</v>
      </c>
      <c r="BW2791" s="1" t="s">
        <v>210</v>
      </c>
      <c r="BY2791" s="1" t="s">
        <v>433</v>
      </c>
      <c r="BZ2791" s="1" t="s">
        <v>206</v>
      </c>
      <c r="CA2791" s="1" t="s">
        <v>210</v>
      </c>
      <c r="CC2791" s="1" t="s">
        <v>542</v>
      </c>
      <c r="CD2791" s="1" t="s">
        <v>206</v>
      </c>
      <c r="CE2791" s="1" t="s">
        <v>210</v>
      </c>
      <c r="CG2791" s="1" t="s">
        <v>433</v>
      </c>
      <c r="CH2791" s="1" t="s">
        <v>206</v>
      </c>
      <c r="CI2791" s="1" t="s">
        <v>210</v>
      </c>
      <c r="CK2791" s="1" t="s">
        <v>363</v>
      </c>
      <c r="CL2791" s="1" t="s">
        <v>206</v>
      </c>
      <c r="CM2791" s="1" t="s">
        <v>210</v>
      </c>
      <c r="CO2791" s="1" t="s">
        <v>269</v>
      </c>
      <c r="CP2791" s="1" t="s">
        <v>206</v>
      </c>
      <c r="CQ2791" s="1" t="s">
        <v>207</v>
      </c>
      <c r="CS2791" s="1" t="s">
        <v>647</v>
      </c>
      <c r="CT2791" s="1" t="s">
        <v>206</v>
      </c>
      <c r="CU2791" s="1" t="s">
        <v>268</v>
      </c>
      <c r="CW2791" s="1" t="s">
        <v>24568</v>
      </c>
      <c r="CX2791" s="1" t="s">
        <v>42</v>
      </c>
      <c r="CY2791" s="1" t="s">
        <v>617</v>
      </c>
      <c r="DA2791" s="1" t="s">
        <v>200</v>
      </c>
      <c r="DC2791" s="1" t="s">
        <v>702</v>
      </c>
      <c r="DD2791" s="1" t="s">
        <v>518</v>
      </c>
      <c r="DE2791" s="1" t="s">
        <v>273</v>
      </c>
      <c r="DF2791" s="1" t="s">
        <v>219</v>
      </c>
      <c r="DH2791" s="1" t="s">
        <v>307</v>
      </c>
      <c r="DJ2791" s="1" t="s">
        <v>222</v>
      </c>
      <c r="DL2791" s="1" t="s">
        <v>224</v>
      </c>
      <c r="DM2791" s="1" t="s">
        <v>229</v>
      </c>
      <c r="DO2791" s="1" t="s">
        <v>549</v>
      </c>
      <c r="DP2791" s="1" t="s">
        <v>276</v>
      </c>
      <c r="DQ2791" s="1" t="s">
        <v>794</v>
      </c>
      <c r="DR2791" s="1" t="s">
        <v>229</v>
      </c>
      <c r="DS2791" s="1" t="s">
        <v>230</v>
      </c>
      <c r="DV2791" s="1" t="s">
        <v>374</v>
      </c>
      <c r="DW2791" s="1" t="s">
        <v>279</v>
      </c>
      <c r="DX2791" s="1" t="s">
        <v>234</v>
      </c>
      <c r="DY2791" s="1" t="s">
        <v>2972</v>
      </c>
      <c r="DZ2791" s="1" t="s">
        <v>310</v>
      </c>
      <c r="EC2791" s="1" t="s">
        <v>311</v>
      </c>
      <c r="ED2791" s="1" t="s">
        <v>555</v>
      </c>
      <c r="EE2791" s="1" t="s">
        <v>187</v>
      </c>
      <c r="EG2791" s="1" t="s">
        <v>374</v>
      </c>
      <c r="EL2791" s="1" t="s">
        <v>1746</v>
      </c>
      <c r="EM2791" s="1" t="s">
        <v>206</v>
      </c>
      <c r="EN2791" s="1" t="s">
        <v>268</v>
      </c>
      <c r="EQ2791" s="1" t="s">
        <v>238</v>
      </c>
      <c r="EU2791" s="1" t="s">
        <v>238</v>
      </c>
      <c r="EY2791" s="1" t="s">
        <v>238</v>
      </c>
      <c r="FC2791" s="1" t="s">
        <v>238</v>
      </c>
      <c r="FF2791" s="1" t="s">
        <v>239</v>
      </c>
      <c r="FG2791" s="1" t="s">
        <v>192</v>
      </c>
      <c r="FH2791" s="1" t="s">
        <v>192</v>
      </c>
      <c r="FJ2791" s="1" t="s">
        <v>12792</v>
      </c>
      <c r="FK2791" s="1" t="s">
        <v>1586</v>
      </c>
      <c r="FL2791" s="1" t="s">
        <v>2037</v>
      </c>
      <c r="FM2791" s="1">
        <v>60321.0</v>
      </c>
      <c r="FN2791" s="1" t="s">
        <v>2038</v>
      </c>
      <c r="FO2791" s="1" t="s">
        <v>24569</v>
      </c>
      <c r="FP2791" s="1">
        <v>220121.0</v>
      </c>
      <c r="FQ2791" s="1" t="s">
        <v>2038</v>
      </c>
      <c r="FS2791" s="1" t="s">
        <v>24570</v>
      </c>
      <c r="FU2791" s="1" t="s">
        <v>24571</v>
      </c>
      <c r="FV2791" s="1" t="s">
        <v>200</v>
      </c>
      <c r="FW2791" s="1" t="s">
        <v>24572</v>
      </c>
      <c r="FX2791" s="1" t="s">
        <v>655</v>
      </c>
      <c r="FZ2791" s="1" t="s">
        <v>229</v>
      </c>
      <c r="GA2791" s="1" t="s">
        <v>291</v>
      </c>
      <c r="GB2791" s="2">
        <v>42132.0</v>
      </c>
      <c r="GC2791" s="1" t="s">
        <v>24573</v>
      </c>
    </row>
    <row r="2792">
      <c r="A2792" s="1">
        <v>276000.0</v>
      </c>
      <c r="B2792" s="1" t="s">
        <v>185</v>
      </c>
      <c r="C2792" s="1" t="str">
        <f>"08837954"</f>
        <v>08837954</v>
      </c>
      <c r="D2792" s="1" t="s">
        <v>186</v>
      </c>
      <c r="F2792" s="1" t="str">
        <f>"510"</f>
        <v>510</v>
      </c>
      <c r="G2792" s="2">
        <v>42048.0</v>
      </c>
      <c r="H2792" s="1">
        <v>279900.0</v>
      </c>
      <c r="I2792" s="1">
        <v>11.0</v>
      </c>
      <c r="J2792" s="1">
        <v>279900.0</v>
      </c>
      <c r="K2792" s="2">
        <v>42057.0</v>
      </c>
      <c r="L2792" s="1">
        <v>11.0</v>
      </c>
      <c r="M2792" s="2">
        <v>42057.0</v>
      </c>
      <c r="N2792" s="1" t="s">
        <v>187</v>
      </c>
      <c r="O2792" s="2">
        <v>42083.0</v>
      </c>
      <c r="P2792" s="1">
        <v>39635.0</v>
      </c>
      <c r="Q2792" s="1">
        <v>3310.0</v>
      </c>
      <c r="S2792" s="1">
        <v>320.0</v>
      </c>
      <c r="T2792" s="1" t="s">
        <v>24574</v>
      </c>
      <c r="U2792" s="1" t="s">
        <v>569</v>
      </c>
      <c r="V2792" s="1" t="s">
        <v>2700</v>
      </c>
      <c r="W2792" s="1">
        <v>60510.0</v>
      </c>
      <c r="Y2792" s="1" t="s">
        <v>24575</v>
      </c>
      <c r="Z2792" s="1">
        <v>1992.0</v>
      </c>
      <c r="AA2792" s="1" t="s">
        <v>200</v>
      </c>
      <c r="AB2792" s="1" t="s">
        <v>193</v>
      </c>
      <c r="AC2792" s="1" t="s">
        <v>10642</v>
      </c>
      <c r="AD2792" s="1" t="s">
        <v>2702</v>
      </c>
      <c r="AE2792" s="1" t="s">
        <v>325</v>
      </c>
      <c r="AF2792" s="1" t="s">
        <v>2702</v>
      </c>
      <c r="AH2792" s="1" t="s">
        <v>24576</v>
      </c>
      <c r="AK2792" s="1">
        <v>9.0</v>
      </c>
      <c r="AL2792" s="1">
        <v>4.0</v>
      </c>
      <c r="AM2792" s="1">
        <v>2.0</v>
      </c>
      <c r="AN2792" s="1">
        <v>1.0</v>
      </c>
      <c r="AO2792" s="1" t="s">
        <v>198</v>
      </c>
      <c r="AP2792" s="1">
        <v>1.0</v>
      </c>
      <c r="AQ2792" s="1" t="s">
        <v>198</v>
      </c>
      <c r="AR2792" s="1" t="s">
        <v>200</v>
      </c>
      <c r="AS2792" s="1" t="s">
        <v>199</v>
      </c>
      <c r="AT2792" s="1">
        <v>2.0</v>
      </c>
      <c r="AV2792" s="1" t="s">
        <v>200</v>
      </c>
      <c r="AW2792" s="1">
        <v>7697.62</v>
      </c>
      <c r="AX2792" s="1">
        <v>2013.0</v>
      </c>
      <c r="AY2792" s="1" t="s">
        <v>387</v>
      </c>
      <c r="AZ2792" s="1" t="s">
        <v>200</v>
      </c>
      <c r="BA2792" s="1" t="str">
        <f>"1216384014"</f>
        <v>1216384014</v>
      </c>
      <c r="BC2792" s="1">
        <v>2100.0</v>
      </c>
      <c r="BD2792" s="1">
        <v>276000.0</v>
      </c>
      <c r="BE2792" s="2">
        <v>42047.0</v>
      </c>
      <c r="BF2792" s="2" t="s">
        <v>24577</v>
      </c>
      <c r="BG2792" s="1" t="s">
        <v>13165</v>
      </c>
      <c r="BH2792" s="1">
        <v>0.0</v>
      </c>
      <c r="BI2792" s="1" t="s">
        <v>3090</v>
      </c>
      <c r="BJ2792" s="1" t="s">
        <v>3091</v>
      </c>
      <c r="BK2792" s="1" t="s">
        <v>204</v>
      </c>
      <c r="BL2792" s="1" t="str">
        <f t="shared" ref="BL2792:BM2792" si="1817">""</f>
        <v/>
      </c>
      <c r="BM2792" s="1" t="str">
        <f t="shared" si="1817"/>
        <v/>
      </c>
      <c r="BQ2792" s="1">
        <v>101.0</v>
      </c>
      <c r="BR2792" s="1">
        <v>101.0</v>
      </c>
      <c r="BS2792" s="1">
        <v>101.0</v>
      </c>
      <c r="BU2792" s="1" t="s">
        <v>1064</v>
      </c>
      <c r="BV2792" s="1" t="s">
        <v>206</v>
      </c>
      <c r="BW2792" s="1" t="s">
        <v>210</v>
      </c>
      <c r="BX2792" s="1" t="s">
        <v>239</v>
      </c>
      <c r="BY2792" s="1" t="s">
        <v>304</v>
      </c>
      <c r="BZ2792" s="1" t="s">
        <v>209</v>
      </c>
      <c r="CA2792" s="1" t="s">
        <v>210</v>
      </c>
      <c r="CB2792" s="1" t="s">
        <v>239</v>
      </c>
      <c r="CC2792" s="1" t="s">
        <v>1417</v>
      </c>
      <c r="CD2792" s="1" t="s">
        <v>206</v>
      </c>
      <c r="CE2792" s="1" t="s">
        <v>210</v>
      </c>
      <c r="CF2792" s="1" t="s">
        <v>239</v>
      </c>
      <c r="CG2792" s="1" t="s">
        <v>264</v>
      </c>
      <c r="CH2792" s="1" t="s">
        <v>209</v>
      </c>
      <c r="CI2792" s="1" t="s">
        <v>210</v>
      </c>
      <c r="CJ2792" s="1" t="s">
        <v>239</v>
      </c>
      <c r="CK2792" s="1" t="s">
        <v>663</v>
      </c>
      <c r="CL2792" s="1" t="s">
        <v>209</v>
      </c>
      <c r="CM2792" s="1" t="s">
        <v>210</v>
      </c>
      <c r="CN2792" s="1" t="s">
        <v>239</v>
      </c>
      <c r="CO2792" s="1" t="s">
        <v>269</v>
      </c>
      <c r="CP2792" s="1" t="s">
        <v>209</v>
      </c>
      <c r="CQ2792" s="1" t="s">
        <v>210</v>
      </c>
      <c r="CR2792" s="1" t="s">
        <v>239</v>
      </c>
      <c r="CS2792" s="1" t="s">
        <v>302</v>
      </c>
      <c r="CT2792" s="1" t="s">
        <v>206</v>
      </c>
      <c r="CU2792" s="1" t="s">
        <v>207</v>
      </c>
      <c r="CV2792" s="1" t="s">
        <v>239</v>
      </c>
      <c r="CW2792" s="1" t="s">
        <v>2647</v>
      </c>
      <c r="CX2792" s="1" t="s">
        <v>206</v>
      </c>
      <c r="CY2792" s="1" t="s">
        <v>210</v>
      </c>
      <c r="CZ2792" s="1" t="s">
        <v>239</v>
      </c>
      <c r="DA2792" s="1" t="s">
        <v>200</v>
      </c>
      <c r="DC2792" s="1" t="s">
        <v>435</v>
      </c>
      <c r="DD2792" s="1" t="s">
        <v>396</v>
      </c>
      <c r="DE2792" s="1" t="s">
        <v>273</v>
      </c>
      <c r="DF2792" s="1" t="s">
        <v>619</v>
      </c>
      <c r="DG2792" s="1" t="s">
        <v>482</v>
      </c>
      <c r="DH2792" s="1" t="s">
        <v>220</v>
      </c>
      <c r="DI2792" s="1" t="s">
        <v>221</v>
      </c>
      <c r="DJ2792" s="1" t="s">
        <v>222</v>
      </c>
      <c r="DK2792" s="1" t="s">
        <v>198</v>
      </c>
      <c r="DL2792" s="1" t="s">
        <v>224</v>
      </c>
      <c r="DM2792" s="1" t="s">
        <v>338</v>
      </c>
      <c r="DN2792" s="1" t="s">
        <v>485</v>
      </c>
      <c r="DO2792" s="1" t="s">
        <v>590</v>
      </c>
      <c r="DP2792" s="1" t="s">
        <v>340</v>
      </c>
      <c r="DQ2792" s="1" t="s">
        <v>441</v>
      </c>
      <c r="DR2792" s="1" t="s">
        <v>229</v>
      </c>
      <c r="DS2792" s="1" t="s">
        <v>230</v>
      </c>
      <c r="DU2792" s="1" t="s">
        <v>1049</v>
      </c>
      <c r="DV2792" s="1" t="s">
        <v>449</v>
      </c>
      <c r="DW2792" s="1" t="s">
        <v>233</v>
      </c>
      <c r="DX2792" s="1" t="s">
        <v>1287</v>
      </c>
      <c r="DY2792" s="1" t="s">
        <v>935</v>
      </c>
      <c r="DZ2792" s="1" t="s">
        <v>1661</v>
      </c>
      <c r="EA2792" s="1" t="s">
        <v>344</v>
      </c>
      <c r="EB2792" s="1" t="s">
        <v>492</v>
      </c>
      <c r="EC2792" s="1" t="s">
        <v>237</v>
      </c>
      <c r="ED2792" s="1" t="s">
        <v>407</v>
      </c>
      <c r="EG2792" s="1" t="s">
        <v>449</v>
      </c>
      <c r="EL2792" s="1" t="s">
        <v>663</v>
      </c>
      <c r="EM2792" s="1" t="s">
        <v>206</v>
      </c>
      <c r="EN2792" s="1" t="s">
        <v>207</v>
      </c>
      <c r="EO2792" s="1" t="s">
        <v>239</v>
      </c>
      <c r="EQ2792" s="1" t="s">
        <v>238</v>
      </c>
      <c r="EU2792" s="1" t="s">
        <v>238</v>
      </c>
      <c r="EY2792" s="1" t="s">
        <v>238</v>
      </c>
      <c r="FC2792" s="1" t="s">
        <v>238</v>
      </c>
      <c r="FF2792" s="1" t="s">
        <v>239</v>
      </c>
      <c r="FG2792" s="1" t="s">
        <v>200</v>
      </c>
      <c r="FH2792" s="1" t="s">
        <v>192</v>
      </c>
      <c r="FJ2792" s="1" t="s">
        <v>2133</v>
      </c>
      <c r="FK2792" s="1" t="s">
        <v>229</v>
      </c>
      <c r="FL2792" s="1" t="s">
        <v>3527</v>
      </c>
      <c r="FM2792" s="1">
        <v>464.0</v>
      </c>
      <c r="FN2792" s="1" t="s">
        <v>3528</v>
      </c>
      <c r="FO2792" s="1" t="s">
        <v>18929</v>
      </c>
      <c r="FP2792" s="1">
        <v>8800.0</v>
      </c>
      <c r="FQ2792" s="1" t="s">
        <v>18930</v>
      </c>
      <c r="FU2792" s="1" t="s">
        <v>24578</v>
      </c>
      <c r="FV2792" s="1" t="s">
        <v>200</v>
      </c>
      <c r="FW2792" s="1" t="s">
        <v>631</v>
      </c>
      <c r="FZ2792" s="1" t="s">
        <v>229</v>
      </c>
      <c r="GA2792" s="1" t="s">
        <v>291</v>
      </c>
      <c r="GB2792" s="2">
        <v>42085.0</v>
      </c>
      <c r="GC2792" s="1" t="s">
        <v>24579</v>
      </c>
    </row>
    <row r="2793">
      <c r="A2793" s="1">
        <v>54600.0</v>
      </c>
      <c r="B2793" s="1" t="s">
        <v>185</v>
      </c>
      <c r="C2793" s="1" t="str">
        <f>"08837677"</f>
        <v>08837677</v>
      </c>
      <c r="D2793" s="1" t="s">
        <v>186</v>
      </c>
      <c r="F2793" s="1" t="str">
        <f>"123"</f>
        <v>123</v>
      </c>
      <c r="G2793" s="2">
        <v>42047.0</v>
      </c>
      <c r="H2793" s="1">
        <v>53000.0</v>
      </c>
      <c r="I2793" s="1">
        <v>14.0</v>
      </c>
      <c r="J2793" s="1">
        <v>53000.0</v>
      </c>
      <c r="K2793" s="2">
        <v>42060.0</v>
      </c>
      <c r="L2793" s="1">
        <v>14.0</v>
      </c>
      <c r="M2793" s="2">
        <v>42060.0</v>
      </c>
      <c r="N2793" s="1" t="s">
        <v>249</v>
      </c>
      <c r="O2793" s="2">
        <v>42072.0</v>
      </c>
      <c r="P2793" s="1">
        <v>77410.0</v>
      </c>
      <c r="Q2793" s="1">
        <v>7450.0</v>
      </c>
      <c r="S2793" s="1">
        <v>38.0</v>
      </c>
      <c r="T2793" s="1" t="s">
        <v>5936</v>
      </c>
      <c r="U2793" s="1" t="s">
        <v>189</v>
      </c>
      <c r="V2793" s="1" t="s">
        <v>465</v>
      </c>
      <c r="W2793" s="1">
        <v>60123.0</v>
      </c>
      <c r="Y2793" s="1" t="s">
        <v>24580</v>
      </c>
      <c r="Z2793" s="1" t="s">
        <v>296</v>
      </c>
      <c r="AA2793" s="1" t="s">
        <v>192</v>
      </c>
      <c r="AB2793" s="1" t="s">
        <v>193</v>
      </c>
      <c r="AD2793" s="1" t="s">
        <v>469</v>
      </c>
      <c r="AE2793" s="1" t="s">
        <v>325</v>
      </c>
      <c r="AF2793" s="1" t="s">
        <v>469</v>
      </c>
      <c r="AH2793" s="1">
        <v>10361.0</v>
      </c>
      <c r="AI2793" s="1">
        <v>0.2379</v>
      </c>
      <c r="AK2793" s="1">
        <v>7.0</v>
      </c>
      <c r="AL2793" s="1">
        <v>4.0</v>
      </c>
      <c r="AM2793" s="1">
        <v>2.0</v>
      </c>
      <c r="AN2793" s="1">
        <v>0.0</v>
      </c>
      <c r="AO2793" s="1" t="s">
        <v>198</v>
      </c>
      <c r="AQ2793" s="1" t="s">
        <v>198</v>
      </c>
      <c r="AR2793" s="1" t="s">
        <v>200</v>
      </c>
      <c r="AS2793" s="1" t="s">
        <v>199</v>
      </c>
      <c r="AT2793" s="1">
        <v>2.0</v>
      </c>
      <c r="AV2793" s="1" t="s">
        <v>200</v>
      </c>
      <c r="AW2793" s="1">
        <v>3430.84</v>
      </c>
      <c r="AX2793" s="1">
        <v>2013.0</v>
      </c>
      <c r="AY2793" s="1" t="s">
        <v>387</v>
      </c>
      <c r="AZ2793" s="1" t="s">
        <v>545</v>
      </c>
      <c r="BA2793" s="1" t="str">
        <f>"0614328026"</f>
        <v>0614328026</v>
      </c>
      <c r="BC2793" s="1">
        <v>0.0</v>
      </c>
      <c r="BD2793" s="1">
        <v>54600.0</v>
      </c>
      <c r="BE2793" s="2">
        <v>42047.0</v>
      </c>
      <c r="BF2793" s="2" t="s">
        <v>24581</v>
      </c>
      <c r="BH2793" s="1">
        <v>0.0</v>
      </c>
      <c r="BK2793" s="1" t="s">
        <v>204</v>
      </c>
      <c r="BL2793" s="1" t="str">
        <f t="shared" ref="BL2793:BM2793" si="1818">""</f>
        <v/>
      </c>
      <c r="BM2793" s="1" t="str">
        <f t="shared" si="1818"/>
        <v/>
      </c>
      <c r="BQ2793" s="1">
        <v>46.0</v>
      </c>
      <c r="BR2793" s="1">
        <v>46.0</v>
      </c>
      <c r="BS2793" s="1">
        <v>46.0</v>
      </c>
      <c r="BU2793" s="1" t="s">
        <v>743</v>
      </c>
      <c r="BV2793" s="1" t="s">
        <v>206</v>
      </c>
      <c r="BW2793" s="1" t="s">
        <v>207</v>
      </c>
      <c r="BX2793" s="1" t="s">
        <v>229</v>
      </c>
      <c r="BY2793" s="1" t="s">
        <v>584</v>
      </c>
      <c r="BZ2793" s="1" t="s">
        <v>206</v>
      </c>
      <c r="CA2793" s="1" t="s">
        <v>588</v>
      </c>
      <c r="CB2793" s="1" t="s">
        <v>229</v>
      </c>
      <c r="CC2793" s="1" t="s">
        <v>743</v>
      </c>
      <c r="CD2793" s="1" t="s">
        <v>206</v>
      </c>
      <c r="CE2793" s="1" t="s">
        <v>588</v>
      </c>
      <c r="CF2793" s="1" t="s">
        <v>229</v>
      </c>
      <c r="CG2793" s="1" t="s">
        <v>392</v>
      </c>
      <c r="CH2793" s="1" t="s">
        <v>209</v>
      </c>
      <c r="CI2793" s="1" t="s">
        <v>207</v>
      </c>
      <c r="CJ2793" s="1" t="s">
        <v>229</v>
      </c>
      <c r="CK2793" s="1" t="s">
        <v>363</v>
      </c>
      <c r="CL2793" s="1" t="s">
        <v>209</v>
      </c>
      <c r="CM2793" s="1" t="s">
        <v>207</v>
      </c>
      <c r="CN2793" s="1" t="s">
        <v>229</v>
      </c>
      <c r="CO2793" s="1" t="s">
        <v>584</v>
      </c>
      <c r="CP2793" s="1" t="s">
        <v>209</v>
      </c>
      <c r="CQ2793" s="1" t="s">
        <v>207</v>
      </c>
      <c r="CR2793" s="1" t="s">
        <v>229</v>
      </c>
      <c r="CS2793" s="1" t="s">
        <v>1745</v>
      </c>
      <c r="CT2793" s="1" t="s">
        <v>206</v>
      </c>
      <c r="CU2793" s="1" t="s">
        <v>617</v>
      </c>
      <c r="CV2793" s="1" t="s">
        <v>229</v>
      </c>
      <c r="CX2793" s="1" t="s">
        <v>204</v>
      </c>
      <c r="DA2793" s="1" t="s">
        <v>200</v>
      </c>
      <c r="DC2793" s="1" t="s">
        <v>545</v>
      </c>
      <c r="DE2793" s="1" t="s">
        <v>273</v>
      </c>
      <c r="DF2793" s="1" t="s">
        <v>219</v>
      </c>
      <c r="DH2793" s="1" t="s">
        <v>220</v>
      </c>
      <c r="DJ2793" s="1" t="s">
        <v>222</v>
      </c>
      <c r="DL2793" s="1" t="s">
        <v>223</v>
      </c>
      <c r="DM2793" s="1" t="s">
        <v>229</v>
      </c>
      <c r="DQ2793" s="1" t="s">
        <v>228</v>
      </c>
      <c r="DR2793" s="1" t="s">
        <v>229</v>
      </c>
      <c r="DV2793" s="1" t="s">
        <v>232</v>
      </c>
      <c r="DW2793" s="1" t="s">
        <v>588</v>
      </c>
      <c r="DX2793" s="1" t="s">
        <v>234</v>
      </c>
      <c r="EC2793" s="1" t="s">
        <v>237</v>
      </c>
      <c r="EM2793" s="1" t="s">
        <v>238</v>
      </c>
      <c r="EQ2793" s="1" t="s">
        <v>238</v>
      </c>
      <c r="EU2793" s="1" t="s">
        <v>238</v>
      </c>
      <c r="EY2793" s="1" t="s">
        <v>238</v>
      </c>
      <c r="FC2793" s="1" t="s">
        <v>238</v>
      </c>
      <c r="FF2793" s="1" t="s">
        <v>239</v>
      </c>
      <c r="FG2793" s="1" t="s">
        <v>192</v>
      </c>
      <c r="FH2793" s="1" t="s">
        <v>192</v>
      </c>
      <c r="FJ2793" s="1" t="s">
        <v>347</v>
      </c>
      <c r="FK2793" s="1" t="s">
        <v>229</v>
      </c>
      <c r="FL2793" s="1" t="s">
        <v>4635</v>
      </c>
      <c r="FM2793" s="1">
        <v>1666.0</v>
      </c>
      <c r="FN2793" s="1" t="s">
        <v>4636</v>
      </c>
      <c r="FO2793" s="1" t="s">
        <v>4637</v>
      </c>
      <c r="FP2793" s="1">
        <v>26352.0</v>
      </c>
      <c r="FQ2793" s="1" t="s">
        <v>4638</v>
      </c>
      <c r="FU2793" s="1" t="s">
        <v>4639</v>
      </c>
      <c r="FV2793" s="1" t="s">
        <v>200</v>
      </c>
      <c r="FW2793" s="1" t="s">
        <v>354</v>
      </c>
      <c r="FZ2793" s="1" t="s">
        <v>229</v>
      </c>
      <c r="GA2793" s="1" t="s">
        <v>291</v>
      </c>
      <c r="GB2793" s="2">
        <v>42072.0</v>
      </c>
      <c r="GC2793" s="1" t="s">
        <v>4640</v>
      </c>
    </row>
    <row r="2794">
      <c r="A2794" s="1">
        <v>90000.0</v>
      </c>
      <c r="B2794" s="1" t="s">
        <v>185</v>
      </c>
      <c r="C2794" s="1" t="str">
        <f>"08837071"</f>
        <v>08837071</v>
      </c>
      <c r="D2794" s="1" t="s">
        <v>186</v>
      </c>
      <c r="F2794" s="1" t="str">
        <f>"8066"</f>
        <v>8066</v>
      </c>
      <c r="G2794" s="2">
        <v>42047.0</v>
      </c>
      <c r="H2794" s="1">
        <v>94900.0</v>
      </c>
      <c r="I2794" s="1">
        <v>29.0</v>
      </c>
      <c r="J2794" s="1">
        <v>94900.0</v>
      </c>
      <c r="K2794" s="2">
        <v>42075.0</v>
      </c>
      <c r="L2794" s="1">
        <v>29.0</v>
      </c>
      <c r="M2794" s="2">
        <v>42075.0</v>
      </c>
      <c r="N2794" s="1" t="s">
        <v>249</v>
      </c>
      <c r="O2794" s="2">
        <v>42094.0</v>
      </c>
      <c r="P2794" s="1">
        <v>606378.0</v>
      </c>
      <c r="Q2794" s="1">
        <v>60436.0</v>
      </c>
      <c r="S2794" s="1">
        <v>3535.0</v>
      </c>
      <c r="T2794" s="1" t="s">
        <v>24582</v>
      </c>
      <c r="U2794" s="1" t="s">
        <v>320</v>
      </c>
      <c r="V2794" s="1" t="s">
        <v>190</v>
      </c>
      <c r="W2794" s="1">
        <v>60629.0</v>
      </c>
      <c r="Y2794" s="1" t="s">
        <v>24583</v>
      </c>
      <c r="Z2794" s="1">
        <v>1954.0</v>
      </c>
      <c r="AA2794" s="1" t="s">
        <v>192</v>
      </c>
      <c r="AB2794" s="1" t="s">
        <v>193</v>
      </c>
      <c r="AD2794" s="1" t="s">
        <v>194</v>
      </c>
      <c r="AE2794" s="1" t="s">
        <v>195</v>
      </c>
      <c r="AF2794" s="1" t="s">
        <v>659</v>
      </c>
      <c r="AH2794" s="1">
        <v>3750.0</v>
      </c>
      <c r="AI2794" s="1">
        <v>0.0</v>
      </c>
      <c r="AK2794" s="1">
        <v>6.0</v>
      </c>
      <c r="AL2794" s="1">
        <v>4.0</v>
      </c>
      <c r="AM2794" s="1">
        <v>2.0</v>
      </c>
      <c r="AN2794" s="1">
        <v>0.0</v>
      </c>
      <c r="AO2794" s="1" t="s">
        <v>229</v>
      </c>
      <c r="AQ2794" s="1" t="s">
        <v>198</v>
      </c>
      <c r="AR2794" s="1" t="s">
        <v>200</v>
      </c>
      <c r="AS2794" s="1" t="s">
        <v>199</v>
      </c>
      <c r="AT2794" s="1">
        <v>2.0</v>
      </c>
      <c r="AV2794" s="1" t="s">
        <v>200</v>
      </c>
      <c r="AW2794" s="1">
        <v>1912.0</v>
      </c>
      <c r="AX2794" s="1">
        <v>2013.0</v>
      </c>
      <c r="AY2794" s="1" t="s">
        <v>387</v>
      </c>
      <c r="AZ2794" s="1" t="s">
        <v>200</v>
      </c>
      <c r="BA2794" s="1" t="str">
        <f>"19262160060000"</f>
        <v>19262160060000</v>
      </c>
      <c r="BB2794" s="1" t="s">
        <v>200</v>
      </c>
      <c r="BC2794" s="1">
        <v>1015.0</v>
      </c>
      <c r="BD2794" s="1">
        <v>90000.0</v>
      </c>
      <c r="BE2794" s="2">
        <v>42047.0</v>
      </c>
      <c r="BF2794" s="2" t="s">
        <v>24584</v>
      </c>
      <c r="BH2794" s="1">
        <v>0.0</v>
      </c>
      <c r="BK2794" s="1" t="s">
        <v>204</v>
      </c>
      <c r="BL2794" s="1" t="str">
        <f t="shared" ref="BL2794:BM2794" si="1819">"0"</f>
        <v>0</v>
      </c>
      <c r="BM2794" s="1" t="str">
        <f t="shared" si="1819"/>
        <v>0</v>
      </c>
      <c r="BN2794" s="1">
        <v>3535.0</v>
      </c>
      <c r="BO2794" s="1">
        <v>7300.0</v>
      </c>
      <c r="BQ2794" s="1">
        <v>299.0</v>
      </c>
      <c r="BR2794" s="1">
        <v>299.0</v>
      </c>
      <c r="BS2794" s="1">
        <v>299.0</v>
      </c>
      <c r="BU2794" s="1" t="s">
        <v>214</v>
      </c>
      <c r="BV2794" s="1" t="s">
        <v>206</v>
      </c>
      <c r="BW2794" s="1" t="s">
        <v>207</v>
      </c>
      <c r="BY2794" s="1" t="s">
        <v>361</v>
      </c>
      <c r="BZ2794" s="1" t="s">
        <v>209</v>
      </c>
      <c r="CA2794" s="1" t="s">
        <v>207</v>
      </c>
      <c r="CD2794" s="1" t="s">
        <v>204</v>
      </c>
      <c r="CG2794" s="1" t="s">
        <v>784</v>
      </c>
      <c r="CH2794" s="1" t="s">
        <v>209</v>
      </c>
      <c r="CI2794" s="1" t="s">
        <v>207</v>
      </c>
      <c r="CK2794" s="1" t="s">
        <v>331</v>
      </c>
      <c r="CL2794" s="1" t="s">
        <v>206</v>
      </c>
      <c r="CM2794" s="1" t="s">
        <v>207</v>
      </c>
      <c r="CO2794" s="1" t="s">
        <v>497</v>
      </c>
      <c r="CP2794" s="1" t="s">
        <v>206</v>
      </c>
      <c r="CQ2794" s="1" t="s">
        <v>207</v>
      </c>
      <c r="CS2794" s="1" t="s">
        <v>262</v>
      </c>
      <c r="CT2794" s="1" t="s">
        <v>206</v>
      </c>
      <c r="CX2794" s="1" t="s">
        <v>204</v>
      </c>
      <c r="DA2794" s="1" t="s">
        <v>200</v>
      </c>
      <c r="DC2794" s="1" t="s">
        <v>702</v>
      </c>
      <c r="DE2794" s="1" t="s">
        <v>273</v>
      </c>
      <c r="DF2794" s="1" t="s">
        <v>619</v>
      </c>
      <c r="DH2794" s="1" t="s">
        <v>220</v>
      </c>
      <c r="DJ2794" s="1" t="s">
        <v>222</v>
      </c>
      <c r="DL2794" s="1" t="s">
        <v>858</v>
      </c>
      <c r="DM2794" s="1" t="s">
        <v>229</v>
      </c>
      <c r="DQ2794" s="1" t="s">
        <v>718</v>
      </c>
      <c r="DR2794" s="1" t="s">
        <v>229</v>
      </c>
      <c r="DU2794" s="1" t="s">
        <v>24585</v>
      </c>
      <c r="DV2794" s="1" t="s">
        <v>232</v>
      </c>
      <c r="DW2794" s="1" t="s">
        <v>279</v>
      </c>
      <c r="DX2794" s="1" t="s">
        <v>234</v>
      </c>
      <c r="DZ2794" s="1" t="s">
        <v>766</v>
      </c>
      <c r="EA2794" s="1" t="s">
        <v>1075</v>
      </c>
      <c r="EC2794" s="1" t="s">
        <v>645</v>
      </c>
      <c r="EM2794" s="1" t="s">
        <v>238</v>
      </c>
      <c r="EQ2794" s="1" t="s">
        <v>238</v>
      </c>
      <c r="EU2794" s="1" t="s">
        <v>238</v>
      </c>
      <c r="EY2794" s="1" t="s">
        <v>238</v>
      </c>
      <c r="FC2794" s="1" t="s">
        <v>238</v>
      </c>
      <c r="FF2794" s="1" t="s">
        <v>239</v>
      </c>
      <c r="FG2794" s="1" t="s">
        <v>192</v>
      </c>
      <c r="FH2794" s="1" t="s">
        <v>192</v>
      </c>
      <c r="FJ2794" s="1" t="s">
        <v>347</v>
      </c>
      <c r="FK2794" s="1" t="s">
        <v>229</v>
      </c>
      <c r="FL2794" s="1" t="s">
        <v>16605</v>
      </c>
      <c r="FM2794" s="1">
        <v>16165.0</v>
      </c>
      <c r="FN2794" s="1" t="s">
        <v>16606</v>
      </c>
      <c r="FO2794" s="1" t="s">
        <v>16607</v>
      </c>
      <c r="FP2794" s="1">
        <v>171061.0</v>
      </c>
      <c r="FU2794" s="1" t="s">
        <v>16608</v>
      </c>
      <c r="FV2794" s="1" t="s">
        <v>200</v>
      </c>
      <c r="FW2794" s="1" t="s">
        <v>1307</v>
      </c>
      <c r="FX2794" s="1" t="s">
        <v>246</v>
      </c>
      <c r="FZ2794" s="1" t="s">
        <v>229</v>
      </c>
      <c r="GA2794" s="1" t="s">
        <v>291</v>
      </c>
      <c r="GB2794" s="2">
        <v>42094.0</v>
      </c>
      <c r="GC2794" s="1" t="s">
        <v>24586</v>
      </c>
    </row>
    <row r="2795">
      <c r="A2795" s="1">
        <v>480000.0</v>
      </c>
      <c r="B2795" s="1" t="s">
        <v>185</v>
      </c>
      <c r="C2795" s="1" t="str">
        <f>"08845327"</f>
        <v>08845327</v>
      </c>
      <c r="D2795" s="1" t="s">
        <v>186</v>
      </c>
      <c r="F2795" s="1" t="str">
        <f>"8011"</f>
        <v>8011</v>
      </c>
      <c r="G2795" s="2">
        <v>42059.0</v>
      </c>
      <c r="H2795" s="1">
        <v>479000.0</v>
      </c>
      <c r="I2795" s="1">
        <v>7.0</v>
      </c>
      <c r="J2795" s="1">
        <v>479000.0</v>
      </c>
      <c r="K2795" s="2">
        <v>42062.0</v>
      </c>
      <c r="L2795" s="1">
        <v>7.0</v>
      </c>
      <c r="M2795" s="2">
        <v>42062.0</v>
      </c>
      <c r="N2795" s="1" t="s">
        <v>187</v>
      </c>
      <c r="O2795" s="2">
        <v>42104.0</v>
      </c>
      <c r="P2795" s="1">
        <v>82281.0</v>
      </c>
      <c r="Q2795" s="1">
        <v>8758.0</v>
      </c>
      <c r="S2795" s="1">
        <v>5654.0</v>
      </c>
      <c r="T2795" s="1" t="s">
        <v>24587</v>
      </c>
      <c r="U2795" s="1" t="s">
        <v>189</v>
      </c>
      <c r="V2795" s="1" t="s">
        <v>190</v>
      </c>
      <c r="W2795" s="1">
        <v>60646.0</v>
      </c>
      <c r="Y2795" s="1" t="s">
        <v>6132</v>
      </c>
      <c r="Z2795" s="1">
        <v>2014.0</v>
      </c>
      <c r="AA2795" s="1" t="s">
        <v>200</v>
      </c>
      <c r="AB2795" s="1" t="s">
        <v>193</v>
      </c>
      <c r="AD2795" s="1" t="s">
        <v>194</v>
      </c>
      <c r="AE2795" s="1" t="s">
        <v>195</v>
      </c>
      <c r="AF2795" s="1" t="s">
        <v>196</v>
      </c>
      <c r="AG2795" s="1" t="s">
        <v>6133</v>
      </c>
      <c r="AH2795" s="1" t="s">
        <v>20605</v>
      </c>
      <c r="AI2795" s="1">
        <v>0.0899</v>
      </c>
      <c r="AK2795" s="1">
        <v>9.0</v>
      </c>
      <c r="AL2795" s="1">
        <v>4.0</v>
      </c>
      <c r="AM2795" s="1">
        <v>3.0</v>
      </c>
      <c r="AN2795" s="1">
        <v>1.0</v>
      </c>
      <c r="AO2795" s="1" t="s">
        <v>198</v>
      </c>
      <c r="AP2795" s="1">
        <v>1.0</v>
      </c>
      <c r="AQ2795" s="1" t="s">
        <v>5726</v>
      </c>
      <c r="AR2795" s="1" t="s">
        <v>200</v>
      </c>
      <c r="AS2795" s="1" t="s">
        <v>199</v>
      </c>
      <c r="AT2795" s="1">
        <v>2.0</v>
      </c>
      <c r="AV2795" s="1" t="s">
        <v>200</v>
      </c>
      <c r="AW2795" s="1">
        <v>801.0</v>
      </c>
      <c r="AX2795" s="1">
        <v>2013.0</v>
      </c>
      <c r="AY2795" s="1" t="s">
        <v>229</v>
      </c>
      <c r="AZ2795" s="1" t="s">
        <v>200</v>
      </c>
      <c r="BA2795" s="1" t="str">
        <f>"13043120670000"</f>
        <v>13043120670000</v>
      </c>
      <c r="BC2795" s="1">
        <v>2813.0</v>
      </c>
      <c r="BD2795" s="1">
        <v>480000.0</v>
      </c>
      <c r="BE2795" s="2">
        <v>42056.0</v>
      </c>
      <c r="BF2795" s="2" t="s">
        <v>24105</v>
      </c>
      <c r="BH2795" s="1">
        <v>125.0</v>
      </c>
      <c r="BK2795" s="1" t="s">
        <v>474</v>
      </c>
      <c r="BL2795" s="1" t="str">
        <f>"5642"</f>
        <v>5642</v>
      </c>
      <c r="BM2795" s="1" t="str">
        <f t="shared" ref="BM2795:BM2796" si="1820">"0"</f>
        <v>0</v>
      </c>
      <c r="BN2795" s="1">
        <v>5300.0</v>
      </c>
      <c r="BO2795" s="1">
        <v>0.0</v>
      </c>
      <c r="BQ2795" s="1">
        <v>299.0</v>
      </c>
      <c r="BR2795" s="1">
        <v>299.0</v>
      </c>
      <c r="BS2795" s="1">
        <v>299.0</v>
      </c>
      <c r="BU2795" s="1" t="s">
        <v>361</v>
      </c>
      <c r="BV2795" s="1" t="s">
        <v>267</v>
      </c>
      <c r="BW2795" s="1" t="s">
        <v>207</v>
      </c>
      <c r="BY2795" s="1" t="s">
        <v>1426</v>
      </c>
      <c r="BZ2795" s="1" t="s">
        <v>391</v>
      </c>
      <c r="CA2795" s="1" t="s">
        <v>210</v>
      </c>
      <c r="CC2795" s="1" t="s">
        <v>516</v>
      </c>
      <c r="CD2795" s="1" t="s">
        <v>209</v>
      </c>
      <c r="CE2795" s="1" t="s">
        <v>207</v>
      </c>
      <c r="CG2795" s="1" t="s">
        <v>269</v>
      </c>
      <c r="CH2795" s="1" t="s">
        <v>391</v>
      </c>
      <c r="CI2795" s="1" t="s">
        <v>210</v>
      </c>
      <c r="CK2795" s="1" t="s">
        <v>495</v>
      </c>
      <c r="CL2795" s="1" t="s">
        <v>391</v>
      </c>
      <c r="CM2795" s="1" t="s">
        <v>210</v>
      </c>
      <c r="CO2795" s="1" t="s">
        <v>2459</v>
      </c>
      <c r="CP2795" s="1" t="s">
        <v>267</v>
      </c>
      <c r="CQ2795" s="1" t="s">
        <v>210</v>
      </c>
      <c r="CS2795" s="1" t="s">
        <v>640</v>
      </c>
      <c r="CT2795" s="1" t="s">
        <v>209</v>
      </c>
      <c r="CU2795" s="1" t="s">
        <v>207</v>
      </c>
      <c r="CW2795" s="1" t="s">
        <v>390</v>
      </c>
      <c r="CX2795" s="1" t="s">
        <v>209</v>
      </c>
      <c r="CY2795" s="1" t="s">
        <v>207</v>
      </c>
      <c r="DA2795" s="1" t="s">
        <v>192</v>
      </c>
      <c r="DB2795" s="2">
        <v>42094.0</v>
      </c>
      <c r="DC2795" s="1" t="s">
        <v>744</v>
      </c>
      <c r="DD2795" s="1" t="s">
        <v>306</v>
      </c>
      <c r="DE2795" s="1" t="s">
        <v>273</v>
      </c>
      <c r="DF2795" s="1" t="s">
        <v>219</v>
      </c>
      <c r="DG2795" s="1" t="s">
        <v>337</v>
      </c>
      <c r="DH2795" s="1" t="s">
        <v>307</v>
      </c>
      <c r="DI2795" s="1" t="s">
        <v>1003</v>
      </c>
      <c r="DJ2795" s="1" t="s">
        <v>1048</v>
      </c>
      <c r="DL2795" s="1" t="s">
        <v>224</v>
      </c>
      <c r="DM2795" s="1" t="s">
        <v>229</v>
      </c>
      <c r="DN2795" s="1" t="s">
        <v>548</v>
      </c>
      <c r="DP2795" s="1" t="s">
        <v>340</v>
      </c>
      <c r="DQ2795" s="1" t="s">
        <v>228</v>
      </c>
      <c r="DR2795" s="1" t="s">
        <v>6136</v>
      </c>
      <c r="DS2795" s="1" t="s">
        <v>230</v>
      </c>
      <c r="DU2795" s="1" t="s">
        <v>6137</v>
      </c>
      <c r="DV2795" s="1" t="s">
        <v>1164</v>
      </c>
      <c r="DW2795" s="1" t="s">
        <v>964</v>
      </c>
      <c r="DX2795" s="1" t="s">
        <v>234</v>
      </c>
      <c r="DZ2795" s="1" t="s">
        <v>310</v>
      </c>
      <c r="EA2795" s="1" t="s">
        <v>3112</v>
      </c>
      <c r="EB2795" s="1" t="s">
        <v>1639</v>
      </c>
      <c r="EC2795" s="1" t="s">
        <v>406</v>
      </c>
      <c r="EG2795" s="1" t="s">
        <v>1164</v>
      </c>
      <c r="EL2795" s="1" t="s">
        <v>1067</v>
      </c>
      <c r="EM2795" s="1" t="s">
        <v>267</v>
      </c>
      <c r="EN2795" s="1" t="s">
        <v>210</v>
      </c>
      <c r="EQ2795" s="1" t="s">
        <v>238</v>
      </c>
      <c r="EU2795" s="1" t="s">
        <v>238</v>
      </c>
      <c r="EY2795" s="1" t="s">
        <v>238</v>
      </c>
      <c r="FC2795" s="1" t="s">
        <v>238</v>
      </c>
      <c r="FF2795" s="1" t="s">
        <v>239</v>
      </c>
      <c r="FG2795" s="1" t="s">
        <v>192</v>
      </c>
      <c r="FH2795" s="1" t="s">
        <v>192</v>
      </c>
      <c r="FJ2795" s="1" t="s">
        <v>24588</v>
      </c>
      <c r="FK2795" s="1" t="s">
        <v>229</v>
      </c>
      <c r="FL2795" s="1" t="s">
        <v>3156</v>
      </c>
      <c r="FM2795" s="1">
        <v>84729.0</v>
      </c>
      <c r="FN2795" s="1" t="s">
        <v>3157</v>
      </c>
      <c r="FO2795" s="1" t="s">
        <v>4104</v>
      </c>
      <c r="FP2795" s="1">
        <v>106635.0</v>
      </c>
      <c r="FQ2795" s="1" t="s">
        <v>4105</v>
      </c>
      <c r="FR2795" s="1">
        <v>115952.0</v>
      </c>
      <c r="FU2795" s="1" t="s">
        <v>24589</v>
      </c>
      <c r="FV2795" s="1" t="s">
        <v>200</v>
      </c>
      <c r="FW2795" s="1" t="s">
        <v>290</v>
      </c>
      <c r="FX2795" s="1" t="s">
        <v>238</v>
      </c>
      <c r="FZ2795" s="1" t="s">
        <v>229</v>
      </c>
      <c r="GA2795" s="1" t="s">
        <v>291</v>
      </c>
      <c r="GB2795" s="2">
        <v>42107.0</v>
      </c>
      <c r="GC2795" s="1" t="s">
        <v>24436</v>
      </c>
    </row>
    <row r="2796">
      <c r="A2796" s="1">
        <v>552222.0</v>
      </c>
      <c r="B2796" s="1" t="s">
        <v>185</v>
      </c>
      <c r="C2796" s="1" t="str">
        <f>"08841596"</f>
        <v>08841596</v>
      </c>
      <c r="D2796" s="1" t="s">
        <v>186</v>
      </c>
      <c r="F2796" s="1" t="str">
        <f>"8012"</f>
        <v>8012</v>
      </c>
      <c r="G2796" s="2">
        <v>42053.0</v>
      </c>
      <c r="H2796" s="1">
        <v>479900.0</v>
      </c>
      <c r="I2796" s="1">
        <v>14.0</v>
      </c>
      <c r="J2796" s="1">
        <v>479900.0</v>
      </c>
      <c r="K2796" s="2">
        <v>42066.0</v>
      </c>
      <c r="L2796" s="1">
        <v>14.0</v>
      </c>
      <c r="M2796" s="2">
        <v>42066.0</v>
      </c>
      <c r="N2796" s="1" t="s">
        <v>187</v>
      </c>
      <c r="O2796" s="2">
        <v>42124.0</v>
      </c>
      <c r="P2796" s="1">
        <v>854394.0</v>
      </c>
      <c r="Q2796" s="1">
        <v>10273.0</v>
      </c>
      <c r="R2796" s="1">
        <v>1552.0</v>
      </c>
      <c r="S2796" s="1">
        <v>6118.0</v>
      </c>
      <c r="T2796" s="1" t="s">
        <v>4202</v>
      </c>
      <c r="U2796" s="1" t="s">
        <v>189</v>
      </c>
      <c r="V2796" s="1" t="s">
        <v>190</v>
      </c>
      <c r="W2796" s="1">
        <v>60646.0</v>
      </c>
      <c r="Y2796" s="1" t="s">
        <v>24590</v>
      </c>
      <c r="Z2796" s="1">
        <v>1930.0</v>
      </c>
      <c r="AA2796" s="1" t="s">
        <v>192</v>
      </c>
      <c r="AB2796" s="1" t="s">
        <v>193</v>
      </c>
      <c r="AC2796" s="1" t="s">
        <v>24591</v>
      </c>
      <c r="AD2796" s="1" t="s">
        <v>194</v>
      </c>
      <c r="AE2796" s="1" t="s">
        <v>195</v>
      </c>
      <c r="AF2796" s="1" t="s">
        <v>196</v>
      </c>
      <c r="AH2796" s="1">
        <v>0.12</v>
      </c>
      <c r="AI2796" s="1">
        <v>0.12</v>
      </c>
      <c r="AK2796" s="1">
        <v>8.0</v>
      </c>
      <c r="AL2796" s="1">
        <v>4.0</v>
      </c>
      <c r="AM2796" s="1">
        <v>2.0</v>
      </c>
      <c r="AN2796" s="1">
        <v>1.0</v>
      </c>
      <c r="AO2796" s="1" t="s">
        <v>198</v>
      </c>
      <c r="AQ2796" s="1" t="s">
        <v>198</v>
      </c>
      <c r="AR2796" s="1" t="s">
        <v>192</v>
      </c>
      <c r="AS2796" s="1" t="s">
        <v>199</v>
      </c>
      <c r="AT2796" s="1">
        <v>2.0</v>
      </c>
      <c r="AV2796" s="1" t="s">
        <v>200</v>
      </c>
      <c r="AW2796" s="1">
        <v>8229.0</v>
      </c>
      <c r="AX2796" s="1">
        <v>2013.0</v>
      </c>
      <c r="AZ2796" s="1" t="s">
        <v>200</v>
      </c>
      <c r="BA2796" s="1" t="str">
        <f>"13031160210000"</f>
        <v>13031160210000</v>
      </c>
      <c r="BB2796" s="1" t="s">
        <v>200</v>
      </c>
      <c r="BC2796" s="1">
        <v>2002.0</v>
      </c>
      <c r="BD2796" s="1">
        <v>552222.0</v>
      </c>
      <c r="BE2796" s="2">
        <v>42053.0</v>
      </c>
      <c r="BF2796" s="2" t="s">
        <v>24592</v>
      </c>
      <c r="BH2796" s="1">
        <v>0.0</v>
      </c>
      <c r="BK2796" s="1" t="s">
        <v>204</v>
      </c>
      <c r="BL2796" s="1" t="str">
        <f>"6112"</f>
        <v>6112</v>
      </c>
      <c r="BM2796" s="1" t="str">
        <f t="shared" si="1820"/>
        <v>0</v>
      </c>
      <c r="BN2796" s="1">
        <v>4500.0</v>
      </c>
      <c r="BO2796" s="1">
        <v>0.0</v>
      </c>
      <c r="BQ2796" s="1">
        <v>299.0</v>
      </c>
      <c r="BR2796" s="1">
        <v>299.0</v>
      </c>
      <c r="BS2796" s="1">
        <v>299.0</v>
      </c>
      <c r="BU2796" s="1" t="s">
        <v>214</v>
      </c>
      <c r="BV2796" s="1" t="s">
        <v>206</v>
      </c>
      <c r="BY2796" s="1" t="s">
        <v>211</v>
      </c>
      <c r="BZ2796" s="1" t="s">
        <v>209</v>
      </c>
      <c r="CA2796" s="1" t="s">
        <v>207</v>
      </c>
      <c r="CC2796" s="1" t="s">
        <v>215</v>
      </c>
      <c r="CD2796" s="1" t="s">
        <v>206</v>
      </c>
      <c r="CG2796" s="1" t="s">
        <v>363</v>
      </c>
      <c r="CH2796" s="1" t="s">
        <v>209</v>
      </c>
      <c r="CK2796" s="1" t="s">
        <v>814</v>
      </c>
      <c r="CL2796" s="1" t="s">
        <v>209</v>
      </c>
      <c r="CO2796" s="1" t="s">
        <v>264</v>
      </c>
      <c r="CP2796" s="1" t="s">
        <v>209</v>
      </c>
      <c r="CS2796" s="1" t="s">
        <v>1483</v>
      </c>
      <c r="CT2796" s="1" t="s">
        <v>206</v>
      </c>
      <c r="CW2796" s="1" t="s">
        <v>329</v>
      </c>
      <c r="CX2796" s="1" t="s">
        <v>206</v>
      </c>
      <c r="DA2796" s="1" t="s">
        <v>200</v>
      </c>
      <c r="DC2796" s="1" t="s">
        <v>785</v>
      </c>
      <c r="DE2796" s="1" t="s">
        <v>273</v>
      </c>
      <c r="DF2796" s="1" t="s">
        <v>619</v>
      </c>
      <c r="DH2796" s="1" t="s">
        <v>365</v>
      </c>
      <c r="DJ2796" s="1" t="s">
        <v>222</v>
      </c>
      <c r="DL2796" s="1" t="s">
        <v>224</v>
      </c>
      <c r="DM2796" s="1" t="s">
        <v>229</v>
      </c>
      <c r="DQ2796" s="1" t="s">
        <v>228</v>
      </c>
      <c r="DR2796" s="1" t="s">
        <v>229</v>
      </c>
      <c r="DS2796" s="1" t="s">
        <v>591</v>
      </c>
      <c r="DV2796" s="1" t="s">
        <v>1102</v>
      </c>
      <c r="DW2796" s="1" t="s">
        <v>279</v>
      </c>
      <c r="DX2796" s="1" t="s">
        <v>234</v>
      </c>
      <c r="EA2796" s="1" t="s">
        <v>447</v>
      </c>
      <c r="EC2796" s="1" t="s">
        <v>237</v>
      </c>
      <c r="EH2796" s="1" t="s">
        <v>1102</v>
      </c>
      <c r="EM2796" s="1" t="s">
        <v>238</v>
      </c>
      <c r="EP2796" s="1" t="s">
        <v>1352</v>
      </c>
      <c r="EQ2796" s="1" t="s">
        <v>206</v>
      </c>
      <c r="EU2796" s="1" t="s">
        <v>238</v>
      </c>
      <c r="EY2796" s="1" t="s">
        <v>238</v>
      </c>
      <c r="FC2796" s="1" t="s">
        <v>238</v>
      </c>
      <c r="FF2796" s="1" t="s">
        <v>239</v>
      </c>
      <c r="FG2796" s="1" t="s">
        <v>192</v>
      </c>
      <c r="FH2796" s="1" t="s">
        <v>192</v>
      </c>
      <c r="FJ2796" s="1" t="s">
        <v>524</v>
      </c>
      <c r="FK2796" s="1" t="s">
        <v>229</v>
      </c>
      <c r="FL2796" s="1" t="s">
        <v>17790</v>
      </c>
      <c r="FM2796" s="1">
        <v>1693.0</v>
      </c>
      <c r="FN2796" s="1" t="s">
        <v>17791</v>
      </c>
      <c r="FO2796" s="1" t="s">
        <v>24593</v>
      </c>
      <c r="FP2796" s="1">
        <v>923047.0</v>
      </c>
      <c r="FQ2796" s="1" t="s">
        <v>24594</v>
      </c>
      <c r="FR2796" s="1">
        <v>239043.0</v>
      </c>
      <c r="FS2796" s="1" t="s">
        <v>24595</v>
      </c>
      <c r="FU2796" s="1" t="s">
        <v>17794</v>
      </c>
      <c r="FV2796" s="1" t="s">
        <v>200</v>
      </c>
      <c r="FW2796" s="1" t="s">
        <v>290</v>
      </c>
      <c r="FX2796" s="1" t="s">
        <v>238</v>
      </c>
      <c r="FZ2796" s="1" t="s">
        <v>229</v>
      </c>
      <c r="GA2796" s="1" t="s">
        <v>291</v>
      </c>
      <c r="GB2796" s="2">
        <v>42128.0</v>
      </c>
      <c r="GC2796" s="1" t="s">
        <v>3653</v>
      </c>
    </row>
    <row r="2797">
      <c r="A2797" s="1">
        <v>260000.0</v>
      </c>
      <c r="B2797" s="1" t="s">
        <v>185</v>
      </c>
      <c r="C2797" s="1" t="str">
        <f>"08838317"</f>
        <v>08838317</v>
      </c>
      <c r="D2797" s="1" t="s">
        <v>186</v>
      </c>
      <c r="F2797" s="1" t="str">
        <f>"543"</f>
        <v>543</v>
      </c>
      <c r="G2797" s="2">
        <v>42048.0</v>
      </c>
      <c r="H2797" s="1">
        <v>289900.0</v>
      </c>
      <c r="I2797" s="1">
        <v>35.0</v>
      </c>
      <c r="J2797" s="1">
        <v>289900.0</v>
      </c>
      <c r="K2797" s="2">
        <v>42082.0</v>
      </c>
      <c r="L2797" s="1">
        <v>35.0</v>
      </c>
      <c r="M2797" s="2">
        <v>42082.0</v>
      </c>
      <c r="N2797" s="1" t="s">
        <v>187</v>
      </c>
      <c r="O2797" s="2">
        <v>42114.0</v>
      </c>
      <c r="P2797" s="1">
        <v>231596.0</v>
      </c>
      <c r="Q2797" s="1">
        <v>23156.0</v>
      </c>
      <c r="S2797" s="1">
        <v>748.0</v>
      </c>
      <c r="T2797" s="1" t="s">
        <v>19551</v>
      </c>
      <c r="U2797" s="1" t="s">
        <v>569</v>
      </c>
      <c r="V2797" s="1" t="s">
        <v>1527</v>
      </c>
      <c r="W2797" s="1">
        <v>60543.0</v>
      </c>
      <c r="Y2797" s="1" t="s">
        <v>24596</v>
      </c>
      <c r="Z2797" s="1">
        <v>2006.0</v>
      </c>
      <c r="AA2797" s="1" t="s">
        <v>200</v>
      </c>
      <c r="AB2797" s="1" t="s">
        <v>467</v>
      </c>
      <c r="AC2797" s="1" t="s">
        <v>5769</v>
      </c>
      <c r="AD2797" s="1" t="s">
        <v>1529</v>
      </c>
      <c r="AE2797" s="1" t="s">
        <v>849</v>
      </c>
      <c r="AF2797" s="1" t="s">
        <v>1529</v>
      </c>
      <c r="AG2797" s="1" t="s">
        <v>23184</v>
      </c>
      <c r="AH2797" s="1" t="s">
        <v>4750</v>
      </c>
      <c r="AI2797" s="1">
        <v>0.1847</v>
      </c>
      <c r="AK2797" s="1">
        <v>11.0</v>
      </c>
      <c r="AL2797" s="1">
        <v>4.0</v>
      </c>
      <c r="AM2797" s="1">
        <v>2.0</v>
      </c>
      <c r="AN2797" s="1">
        <v>1.0</v>
      </c>
      <c r="AO2797" s="1" t="s">
        <v>198</v>
      </c>
      <c r="AP2797" s="1">
        <v>0.0</v>
      </c>
      <c r="AQ2797" s="1" t="s">
        <v>198</v>
      </c>
      <c r="AR2797" s="1" t="s">
        <v>200</v>
      </c>
      <c r="AS2797" s="1" t="s">
        <v>199</v>
      </c>
      <c r="AT2797" s="1">
        <v>3.0</v>
      </c>
      <c r="AV2797" s="1" t="s">
        <v>200</v>
      </c>
      <c r="AW2797" s="1">
        <v>8625.56</v>
      </c>
      <c r="AX2797" s="1">
        <v>2012.0</v>
      </c>
      <c r="AY2797" s="1" t="s">
        <v>387</v>
      </c>
      <c r="AZ2797" s="1" t="s">
        <v>200</v>
      </c>
      <c r="BA2797" s="1" t="str">
        <f>"0311306007"</f>
        <v>0311306007</v>
      </c>
      <c r="BC2797" s="1">
        <v>3152.0</v>
      </c>
      <c r="BD2797" s="1">
        <v>260000.0</v>
      </c>
      <c r="BE2797" s="2">
        <v>42048.0</v>
      </c>
      <c r="BF2797" s="2" t="s">
        <v>24597</v>
      </c>
      <c r="BG2797" s="1" t="s">
        <v>4271</v>
      </c>
      <c r="BH2797" s="1">
        <v>20.0</v>
      </c>
      <c r="BI2797" s="1" t="s">
        <v>3647</v>
      </c>
      <c r="BJ2797" s="1" t="s">
        <v>2546</v>
      </c>
      <c r="BK2797" s="1" t="s">
        <v>474</v>
      </c>
      <c r="BL2797" s="1" t="str">
        <f t="shared" ref="BL2797:BM2797" si="1821">"0"</f>
        <v>0</v>
      </c>
      <c r="BM2797" s="1" t="str">
        <f t="shared" si="1821"/>
        <v>0</v>
      </c>
      <c r="BN2797" s="1">
        <v>36.0</v>
      </c>
      <c r="BO2797" s="1">
        <v>12.0</v>
      </c>
      <c r="BQ2797" s="1">
        <v>308.0</v>
      </c>
      <c r="BR2797" s="1">
        <v>308.0</v>
      </c>
      <c r="BS2797" s="1">
        <v>308.0</v>
      </c>
      <c r="BU2797" s="1" t="s">
        <v>758</v>
      </c>
      <c r="BV2797" s="1" t="s">
        <v>206</v>
      </c>
      <c r="BX2797" s="1" t="s">
        <v>229</v>
      </c>
      <c r="BY2797" s="1" t="s">
        <v>362</v>
      </c>
      <c r="BZ2797" s="1" t="s">
        <v>209</v>
      </c>
      <c r="CB2797" s="1" t="s">
        <v>229</v>
      </c>
      <c r="CC2797" s="1" t="s">
        <v>331</v>
      </c>
      <c r="CD2797" s="1" t="s">
        <v>206</v>
      </c>
      <c r="CF2797" s="1" t="s">
        <v>229</v>
      </c>
      <c r="CG2797" s="1" t="s">
        <v>497</v>
      </c>
      <c r="CH2797" s="1" t="s">
        <v>209</v>
      </c>
      <c r="CI2797" s="1" t="s">
        <v>210</v>
      </c>
      <c r="CK2797" s="1" t="s">
        <v>332</v>
      </c>
      <c r="CL2797" s="1" t="s">
        <v>209</v>
      </c>
      <c r="CO2797" s="1" t="s">
        <v>264</v>
      </c>
      <c r="CP2797" s="1" t="s">
        <v>209</v>
      </c>
      <c r="CS2797" s="1" t="s">
        <v>972</v>
      </c>
      <c r="CT2797" s="1" t="s">
        <v>206</v>
      </c>
      <c r="CW2797" s="1" t="s">
        <v>782</v>
      </c>
      <c r="CX2797" s="1" t="s">
        <v>206</v>
      </c>
      <c r="DA2797" s="1" t="s">
        <v>200</v>
      </c>
      <c r="DC2797" s="1" t="s">
        <v>481</v>
      </c>
      <c r="DD2797" s="1" t="s">
        <v>217</v>
      </c>
      <c r="DE2797" s="1" t="s">
        <v>273</v>
      </c>
      <c r="DF2797" s="1" t="s">
        <v>219</v>
      </c>
      <c r="DG2797" s="1" t="s">
        <v>8201</v>
      </c>
      <c r="DH2797" s="1" t="s">
        <v>220</v>
      </c>
      <c r="DJ2797" s="1" t="s">
        <v>222</v>
      </c>
      <c r="DL2797" s="1" t="s">
        <v>223</v>
      </c>
      <c r="DM2797" s="1" t="s">
        <v>229</v>
      </c>
      <c r="DP2797" s="1" t="s">
        <v>340</v>
      </c>
      <c r="DQ2797" s="1" t="s">
        <v>228</v>
      </c>
      <c r="DR2797" s="1" t="s">
        <v>1980</v>
      </c>
      <c r="DU2797" s="1" t="s">
        <v>1355</v>
      </c>
      <c r="DV2797" s="1" t="s">
        <v>11645</v>
      </c>
      <c r="DW2797" s="1" t="s">
        <v>233</v>
      </c>
      <c r="DX2797" s="1" t="s">
        <v>234</v>
      </c>
      <c r="DY2797" s="1" t="s">
        <v>1189</v>
      </c>
      <c r="EC2797" s="1" t="s">
        <v>237</v>
      </c>
      <c r="ED2797" s="1" t="s">
        <v>10039</v>
      </c>
      <c r="EG2797" s="1" t="s">
        <v>494</v>
      </c>
      <c r="EH2797" s="1" t="s">
        <v>557</v>
      </c>
      <c r="EI2797" s="1" t="s">
        <v>449</v>
      </c>
      <c r="EL2797" s="1" t="s">
        <v>495</v>
      </c>
      <c r="EM2797" s="1" t="s">
        <v>206</v>
      </c>
      <c r="EP2797" s="1" t="s">
        <v>1825</v>
      </c>
      <c r="EQ2797" s="1" t="s">
        <v>209</v>
      </c>
      <c r="ET2797" s="1" t="s">
        <v>972</v>
      </c>
      <c r="EU2797" s="1" t="s">
        <v>206</v>
      </c>
      <c r="EY2797" s="1" t="s">
        <v>238</v>
      </c>
      <c r="FC2797" s="1" t="s">
        <v>238</v>
      </c>
      <c r="FF2797" s="1" t="s">
        <v>239</v>
      </c>
      <c r="FG2797" s="1" t="s">
        <v>192</v>
      </c>
      <c r="FH2797" s="1" t="s">
        <v>192</v>
      </c>
      <c r="FJ2797" s="1" t="s">
        <v>1248</v>
      </c>
      <c r="FK2797" s="1" t="s">
        <v>229</v>
      </c>
      <c r="FL2797" s="1" t="s">
        <v>1358</v>
      </c>
      <c r="FM2797" s="1">
        <v>23076.0</v>
      </c>
      <c r="FN2797" s="1" t="s">
        <v>1359</v>
      </c>
      <c r="FO2797" s="1" t="s">
        <v>24598</v>
      </c>
      <c r="FP2797" s="1">
        <v>213408.0</v>
      </c>
      <c r="FQ2797" s="1" t="s">
        <v>24599</v>
      </c>
      <c r="FU2797" s="1" t="s">
        <v>24600</v>
      </c>
      <c r="FV2797" s="1" t="s">
        <v>200</v>
      </c>
      <c r="FW2797" s="1" t="s">
        <v>354</v>
      </c>
      <c r="FZ2797" s="1" t="s">
        <v>229</v>
      </c>
      <c r="GA2797" s="1" t="s">
        <v>247</v>
      </c>
      <c r="GB2797" s="2">
        <v>42114.0</v>
      </c>
      <c r="GC2797" s="1" t="s">
        <v>24601</v>
      </c>
    </row>
    <row r="2798">
      <c r="A2798" s="1">
        <v>265000.0</v>
      </c>
      <c r="B2798" s="1" t="s">
        <v>185</v>
      </c>
      <c r="C2798" s="1" t="str">
        <f>"08849360"</f>
        <v>08849360</v>
      </c>
      <c r="D2798" s="1" t="s">
        <v>186</v>
      </c>
      <c r="F2798" s="1" t="str">
        <f>"123"</f>
        <v>123</v>
      </c>
      <c r="G2798" s="2">
        <v>42064.0</v>
      </c>
      <c r="H2798" s="1">
        <v>269900.0</v>
      </c>
      <c r="I2798" s="1">
        <v>3.0</v>
      </c>
      <c r="J2798" s="1">
        <v>269900.0</v>
      </c>
      <c r="K2798" s="2">
        <v>42066.0</v>
      </c>
      <c r="L2798" s="1">
        <v>3.0</v>
      </c>
      <c r="M2798" s="2">
        <v>42066.0</v>
      </c>
      <c r="N2798" s="1" t="s">
        <v>187</v>
      </c>
      <c r="O2798" s="2">
        <v>42104.0</v>
      </c>
      <c r="P2798" s="1">
        <v>81746.0</v>
      </c>
      <c r="Q2798" s="1">
        <v>8666.0</v>
      </c>
      <c r="S2798" s="1">
        <v>1055.0</v>
      </c>
      <c r="T2798" s="1" t="s">
        <v>6396</v>
      </c>
      <c r="V2798" s="1" t="s">
        <v>465</v>
      </c>
      <c r="W2798" s="1">
        <v>60120.0</v>
      </c>
      <c r="Y2798" s="1" t="s">
        <v>24602</v>
      </c>
      <c r="Z2798" s="1">
        <v>1991.0</v>
      </c>
      <c r="AA2798" s="1" t="s">
        <v>200</v>
      </c>
      <c r="AB2798" s="1" t="s">
        <v>467</v>
      </c>
      <c r="AC2798" s="1" t="s">
        <v>6396</v>
      </c>
      <c r="AD2798" s="1" t="s">
        <v>469</v>
      </c>
      <c r="AE2798" s="1" t="s">
        <v>195</v>
      </c>
      <c r="AF2798" s="1" t="s">
        <v>298</v>
      </c>
      <c r="AG2798" s="1" t="s">
        <v>7246</v>
      </c>
      <c r="AH2798" s="1">
        <v>10920.0</v>
      </c>
      <c r="AK2798" s="1">
        <v>9.0</v>
      </c>
      <c r="AL2798" s="1">
        <v>4.0</v>
      </c>
      <c r="AM2798" s="1">
        <v>2.0</v>
      </c>
      <c r="AN2798" s="1">
        <v>1.0</v>
      </c>
      <c r="AO2798" s="1" t="s">
        <v>198</v>
      </c>
      <c r="AP2798" s="1">
        <v>1.0</v>
      </c>
      <c r="AQ2798" s="1" t="s">
        <v>198</v>
      </c>
      <c r="AR2798" s="1" t="s">
        <v>200</v>
      </c>
      <c r="AS2798" s="1" t="s">
        <v>199</v>
      </c>
      <c r="AT2798" s="1">
        <v>2.0</v>
      </c>
      <c r="AV2798" s="1" t="s">
        <v>200</v>
      </c>
      <c r="AW2798" s="1">
        <v>7399.0</v>
      </c>
      <c r="AX2798" s="1">
        <v>2013.0</v>
      </c>
      <c r="AY2798" s="1" t="s">
        <v>387</v>
      </c>
      <c r="AZ2798" s="1" t="s">
        <v>200</v>
      </c>
      <c r="BA2798" s="1" t="str">
        <f>"06072040160000"</f>
        <v>06072040160000</v>
      </c>
      <c r="BB2798" s="1" t="s">
        <v>200</v>
      </c>
      <c r="BC2798" s="1">
        <v>2500.0</v>
      </c>
      <c r="BD2798" s="1">
        <v>265000.0</v>
      </c>
      <c r="BE2798" s="2">
        <v>42064.0</v>
      </c>
      <c r="BF2798" s="2" t="s">
        <v>24603</v>
      </c>
      <c r="BH2798" s="1">
        <v>183.0</v>
      </c>
      <c r="BK2798" s="1" t="s">
        <v>580</v>
      </c>
      <c r="BL2798" s="1" t="str">
        <f t="shared" ref="BL2798:BM2798" si="1822">""</f>
        <v/>
      </c>
      <c r="BM2798" s="1" t="str">
        <f t="shared" si="1822"/>
        <v/>
      </c>
      <c r="BQ2798" s="1">
        <v>46.0</v>
      </c>
      <c r="BR2798" s="1">
        <v>46.0</v>
      </c>
      <c r="BS2798" s="1">
        <v>46.0</v>
      </c>
      <c r="BU2798" s="1" t="s">
        <v>1395</v>
      </c>
      <c r="BV2798" s="1" t="s">
        <v>206</v>
      </c>
      <c r="BW2798" s="1" t="s">
        <v>210</v>
      </c>
      <c r="BX2798" s="1" t="s">
        <v>1549</v>
      </c>
      <c r="BY2798" s="1" t="s">
        <v>664</v>
      </c>
      <c r="BZ2798" s="1" t="s">
        <v>209</v>
      </c>
      <c r="CA2798" s="1" t="s">
        <v>210</v>
      </c>
      <c r="CB2798" s="1" t="s">
        <v>1549</v>
      </c>
      <c r="CC2798" s="1" t="s">
        <v>215</v>
      </c>
      <c r="CD2798" s="1" t="s">
        <v>206</v>
      </c>
      <c r="CE2798" s="1" t="s">
        <v>301</v>
      </c>
      <c r="CF2798" s="1" t="s">
        <v>1549</v>
      </c>
      <c r="CG2798" s="1" t="s">
        <v>332</v>
      </c>
      <c r="CH2798" s="1" t="s">
        <v>209</v>
      </c>
      <c r="CI2798" s="1" t="s">
        <v>210</v>
      </c>
      <c r="CJ2798" s="1" t="s">
        <v>1549</v>
      </c>
      <c r="CK2798" s="1" t="s">
        <v>264</v>
      </c>
      <c r="CL2798" s="1" t="s">
        <v>209</v>
      </c>
      <c r="CM2798" s="1" t="s">
        <v>210</v>
      </c>
      <c r="CN2798" s="1" t="s">
        <v>1549</v>
      </c>
      <c r="CO2798" s="1" t="s">
        <v>264</v>
      </c>
      <c r="CP2798" s="1" t="s">
        <v>209</v>
      </c>
      <c r="CQ2798" s="1" t="s">
        <v>210</v>
      </c>
      <c r="CR2798" s="1" t="s">
        <v>1549</v>
      </c>
      <c r="CS2798" s="1" t="s">
        <v>215</v>
      </c>
      <c r="CT2798" s="1" t="s">
        <v>206</v>
      </c>
      <c r="CU2798" s="1" t="s">
        <v>301</v>
      </c>
      <c r="CV2798" s="1" t="s">
        <v>1549</v>
      </c>
      <c r="CW2798" s="1" t="s">
        <v>1043</v>
      </c>
      <c r="CX2798" s="1" t="s">
        <v>206</v>
      </c>
      <c r="CY2798" s="1" t="s">
        <v>301</v>
      </c>
      <c r="CZ2798" s="1" t="s">
        <v>261</v>
      </c>
      <c r="DA2798" s="1" t="s">
        <v>200</v>
      </c>
      <c r="DC2798" s="1" t="s">
        <v>435</v>
      </c>
      <c r="DD2798" s="1" t="s">
        <v>518</v>
      </c>
      <c r="DE2798" s="1" t="s">
        <v>273</v>
      </c>
      <c r="DF2798" s="1" t="s">
        <v>219</v>
      </c>
      <c r="DG2798" s="1" t="s">
        <v>3020</v>
      </c>
      <c r="DH2798" s="1" t="s">
        <v>220</v>
      </c>
      <c r="DI2798" s="1" t="s">
        <v>1120</v>
      </c>
      <c r="DJ2798" s="1" t="s">
        <v>222</v>
      </c>
      <c r="DL2798" s="1" t="s">
        <v>223</v>
      </c>
      <c r="DM2798" s="1" t="s">
        <v>1247</v>
      </c>
      <c r="DN2798" s="1" t="s">
        <v>399</v>
      </c>
      <c r="DP2798" s="1" t="s">
        <v>340</v>
      </c>
      <c r="DQ2798" s="1" t="s">
        <v>228</v>
      </c>
      <c r="DR2798" s="1" t="s">
        <v>229</v>
      </c>
      <c r="DS2798" s="1" t="s">
        <v>401</v>
      </c>
      <c r="DV2798" s="1" t="s">
        <v>494</v>
      </c>
      <c r="DW2798" s="1" t="s">
        <v>233</v>
      </c>
      <c r="DX2798" s="1" t="s">
        <v>234</v>
      </c>
      <c r="DY2798" s="1" t="s">
        <v>521</v>
      </c>
      <c r="DZ2798" s="1" t="s">
        <v>24604</v>
      </c>
      <c r="EA2798" s="1" t="s">
        <v>447</v>
      </c>
      <c r="EB2798" s="1" t="s">
        <v>345</v>
      </c>
      <c r="EC2798" s="1" t="s">
        <v>237</v>
      </c>
      <c r="ED2798" s="1" t="s">
        <v>555</v>
      </c>
      <c r="EG2798" s="1" t="s">
        <v>494</v>
      </c>
      <c r="EL2798" s="1" t="s">
        <v>264</v>
      </c>
      <c r="EM2798" s="1" t="s">
        <v>206</v>
      </c>
      <c r="EN2798" s="1" t="s">
        <v>210</v>
      </c>
      <c r="EO2798" s="1" t="s">
        <v>1549</v>
      </c>
      <c r="EQ2798" s="1" t="s">
        <v>238</v>
      </c>
      <c r="EU2798" s="1" t="s">
        <v>238</v>
      </c>
      <c r="EY2798" s="1" t="s">
        <v>238</v>
      </c>
      <c r="FC2798" s="1" t="s">
        <v>238</v>
      </c>
      <c r="FF2798" s="1" t="s">
        <v>239</v>
      </c>
      <c r="FG2798" s="1" t="s">
        <v>192</v>
      </c>
      <c r="FH2798" s="1" t="s">
        <v>192</v>
      </c>
      <c r="FJ2798" s="1" t="s">
        <v>14016</v>
      </c>
      <c r="FK2798" s="1" t="s">
        <v>229</v>
      </c>
      <c r="FL2798" s="1" t="s">
        <v>24605</v>
      </c>
      <c r="FM2798" s="1">
        <v>14853.0</v>
      </c>
      <c r="FN2798" s="1" t="s">
        <v>24606</v>
      </c>
      <c r="FO2798" s="1" t="s">
        <v>24607</v>
      </c>
      <c r="FP2798" s="1">
        <v>132790.0</v>
      </c>
      <c r="FQ2798" s="1" t="s">
        <v>24608</v>
      </c>
      <c r="FU2798" s="1" t="s">
        <v>24609</v>
      </c>
      <c r="FV2798" s="1" t="s">
        <v>200</v>
      </c>
      <c r="FW2798" s="1" t="s">
        <v>290</v>
      </c>
      <c r="FZ2798" s="1" t="s">
        <v>229</v>
      </c>
      <c r="GA2798" s="1" t="s">
        <v>291</v>
      </c>
      <c r="GB2798" s="2">
        <v>42105.0</v>
      </c>
      <c r="GC2798" s="1" t="s">
        <v>24610</v>
      </c>
    </row>
    <row r="2799">
      <c r="A2799" s="1">
        <v>479000.0</v>
      </c>
      <c r="B2799" s="1" t="s">
        <v>185</v>
      </c>
      <c r="C2799" s="1" t="str">
        <f>"08845330"</f>
        <v>08845330</v>
      </c>
      <c r="D2799" s="1" t="s">
        <v>186</v>
      </c>
      <c r="F2799" s="1" t="str">
        <f>"8011"</f>
        <v>8011</v>
      </c>
      <c r="G2799" s="2">
        <v>42059.0</v>
      </c>
      <c r="H2799" s="1">
        <v>479000.0</v>
      </c>
      <c r="I2799" s="1">
        <v>4.0</v>
      </c>
      <c r="J2799" s="1">
        <v>479000.0</v>
      </c>
      <c r="K2799" s="2">
        <v>42059.0</v>
      </c>
      <c r="L2799" s="1">
        <v>4.0</v>
      </c>
      <c r="M2799" s="2">
        <v>42059.0</v>
      </c>
      <c r="N2799" s="1" t="s">
        <v>187</v>
      </c>
      <c r="O2799" s="2">
        <v>42060.0</v>
      </c>
      <c r="P2799" s="1">
        <v>144657.0</v>
      </c>
      <c r="Q2799" s="1">
        <v>18488.0</v>
      </c>
      <c r="S2799" s="1">
        <v>5659.0</v>
      </c>
      <c r="T2799" s="1" t="s">
        <v>24587</v>
      </c>
      <c r="U2799" s="1" t="s">
        <v>189</v>
      </c>
      <c r="V2799" s="1" t="s">
        <v>190</v>
      </c>
      <c r="W2799" s="1">
        <v>60646.0</v>
      </c>
      <c r="Y2799" s="1" t="s">
        <v>6132</v>
      </c>
      <c r="Z2799" s="1">
        <v>2014.0</v>
      </c>
      <c r="AA2799" s="1" t="s">
        <v>200</v>
      </c>
      <c r="AB2799" s="1" t="s">
        <v>193</v>
      </c>
      <c r="AD2799" s="1" t="s">
        <v>194</v>
      </c>
      <c r="AE2799" s="1" t="s">
        <v>195</v>
      </c>
      <c r="AF2799" s="1" t="s">
        <v>196</v>
      </c>
      <c r="AG2799" s="1" t="s">
        <v>6133</v>
      </c>
      <c r="AH2799" s="1" t="s">
        <v>20605</v>
      </c>
      <c r="AI2799" s="1">
        <v>0.0899</v>
      </c>
      <c r="AK2799" s="1">
        <v>9.0</v>
      </c>
      <c r="AL2799" s="1">
        <v>4.0</v>
      </c>
      <c r="AM2799" s="1">
        <v>3.0</v>
      </c>
      <c r="AN2799" s="1">
        <v>1.0</v>
      </c>
      <c r="AO2799" s="1" t="s">
        <v>198</v>
      </c>
      <c r="AP2799" s="1">
        <v>1.0</v>
      </c>
      <c r="AQ2799" s="1" t="s">
        <v>1314</v>
      </c>
      <c r="AR2799" s="1" t="s">
        <v>200</v>
      </c>
      <c r="AS2799" s="1" t="s">
        <v>199</v>
      </c>
      <c r="AT2799" s="1">
        <v>2.0</v>
      </c>
      <c r="AV2799" s="1" t="s">
        <v>200</v>
      </c>
      <c r="AW2799" s="1" t="s">
        <v>575</v>
      </c>
      <c r="AX2799" s="1">
        <v>2013.0</v>
      </c>
      <c r="AY2799" s="1" t="s">
        <v>229</v>
      </c>
      <c r="AZ2799" s="1" t="s">
        <v>200</v>
      </c>
      <c r="BA2799" s="1" t="str">
        <f>"13043120370000"</f>
        <v>13043120370000</v>
      </c>
      <c r="BC2799" s="1">
        <v>2813.0</v>
      </c>
      <c r="BD2799" s="1">
        <v>479000.0</v>
      </c>
      <c r="BE2799" s="2">
        <v>42056.0</v>
      </c>
      <c r="BF2799" s="2" t="s">
        <v>24434</v>
      </c>
      <c r="BH2799" s="1">
        <v>125.0</v>
      </c>
      <c r="BK2799" s="1" t="s">
        <v>474</v>
      </c>
      <c r="BL2799" s="1" t="str">
        <f>"5642"</f>
        <v>5642</v>
      </c>
      <c r="BM2799" s="1" t="str">
        <f>"0"</f>
        <v>0</v>
      </c>
      <c r="BN2799" s="1">
        <v>5300.0</v>
      </c>
      <c r="BO2799" s="1">
        <v>0.0</v>
      </c>
      <c r="BQ2799" s="1">
        <v>299.0</v>
      </c>
      <c r="BR2799" s="1">
        <v>299.0</v>
      </c>
      <c r="BS2799" s="1">
        <v>299.0</v>
      </c>
      <c r="BU2799" s="1" t="s">
        <v>361</v>
      </c>
      <c r="BV2799" s="1" t="s">
        <v>267</v>
      </c>
      <c r="BW2799" s="1" t="s">
        <v>207</v>
      </c>
      <c r="BY2799" s="1" t="s">
        <v>1426</v>
      </c>
      <c r="BZ2799" s="1" t="s">
        <v>391</v>
      </c>
      <c r="CA2799" s="1" t="s">
        <v>210</v>
      </c>
      <c r="CC2799" s="1" t="s">
        <v>516</v>
      </c>
      <c r="CD2799" s="1" t="s">
        <v>209</v>
      </c>
      <c r="CE2799" s="1" t="s">
        <v>207</v>
      </c>
      <c r="CG2799" s="1" t="s">
        <v>269</v>
      </c>
      <c r="CH2799" s="1" t="s">
        <v>391</v>
      </c>
      <c r="CI2799" s="1" t="s">
        <v>210</v>
      </c>
      <c r="CK2799" s="1" t="s">
        <v>495</v>
      </c>
      <c r="CL2799" s="1" t="s">
        <v>391</v>
      </c>
      <c r="CM2799" s="1" t="s">
        <v>210</v>
      </c>
      <c r="CO2799" s="1" t="s">
        <v>2459</v>
      </c>
      <c r="CP2799" s="1" t="s">
        <v>267</v>
      </c>
      <c r="CQ2799" s="1" t="s">
        <v>210</v>
      </c>
      <c r="CS2799" s="1" t="s">
        <v>640</v>
      </c>
      <c r="CT2799" s="1" t="s">
        <v>209</v>
      </c>
      <c r="CU2799" s="1" t="s">
        <v>207</v>
      </c>
      <c r="CW2799" s="1" t="s">
        <v>390</v>
      </c>
      <c r="CX2799" s="1" t="s">
        <v>209</v>
      </c>
      <c r="CY2799" s="1" t="s">
        <v>207</v>
      </c>
      <c r="DA2799" s="1" t="s">
        <v>192</v>
      </c>
      <c r="DB2799" s="2">
        <v>42094.0</v>
      </c>
      <c r="DC2799" s="1" t="s">
        <v>744</v>
      </c>
      <c r="DD2799" s="1" t="s">
        <v>306</v>
      </c>
      <c r="DE2799" s="1" t="s">
        <v>273</v>
      </c>
      <c r="DF2799" s="1" t="s">
        <v>219</v>
      </c>
      <c r="DG2799" s="1" t="s">
        <v>337</v>
      </c>
      <c r="DH2799" s="1" t="s">
        <v>307</v>
      </c>
      <c r="DI2799" s="1" t="s">
        <v>1003</v>
      </c>
      <c r="DJ2799" s="1" t="s">
        <v>1048</v>
      </c>
      <c r="DL2799" s="1" t="s">
        <v>224</v>
      </c>
      <c r="DM2799" s="1" t="s">
        <v>229</v>
      </c>
      <c r="DN2799" s="1" t="s">
        <v>548</v>
      </c>
      <c r="DP2799" s="1" t="s">
        <v>340</v>
      </c>
      <c r="DQ2799" s="1" t="s">
        <v>228</v>
      </c>
      <c r="DR2799" s="1" t="s">
        <v>6136</v>
      </c>
      <c r="DS2799" s="1" t="s">
        <v>230</v>
      </c>
      <c r="DU2799" s="1" t="s">
        <v>6137</v>
      </c>
      <c r="DV2799" s="1" t="s">
        <v>1164</v>
      </c>
      <c r="DW2799" s="1" t="s">
        <v>964</v>
      </c>
      <c r="DX2799" s="1" t="s">
        <v>234</v>
      </c>
      <c r="DZ2799" s="1" t="s">
        <v>310</v>
      </c>
      <c r="EA2799" s="1" t="s">
        <v>3112</v>
      </c>
      <c r="EB2799" s="1" t="s">
        <v>1639</v>
      </c>
      <c r="EC2799" s="1" t="s">
        <v>406</v>
      </c>
      <c r="EG2799" s="1" t="s">
        <v>1164</v>
      </c>
      <c r="EL2799" s="1" t="s">
        <v>1067</v>
      </c>
      <c r="EM2799" s="1" t="s">
        <v>267</v>
      </c>
      <c r="EN2799" s="1" t="s">
        <v>210</v>
      </c>
      <c r="EQ2799" s="1" t="s">
        <v>238</v>
      </c>
      <c r="EU2799" s="1" t="s">
        <v>238</v>
      </c>
      <c r="EY2799" s="1" t="s">
        <v>238</v>
      </c>
      <c r="FC2799" s="1" t="s">
        <v>238</v>
      </c>
      <c r="FF2799" s="1" t="s">
        <v>239</v>
      </c>
      <c r="FG2799" s="1" t="s">
        <v>192</v>
      </c>
      <c r="FH2799" s="1" t="s">
        <v>192</v>
      </c>
      <c r="FJ2799" s="1" t="s">
        <v>799</v>
      </c>
      <c r="FK2799" s="1" t="s">
        <v>229</v>
      </c>
      <c r="FL2799" s="1" t="s">
        <v>3156</v>
      </c>
      <c r="FM2799" s="1">
        <v>84729.0</v>
      </c>
      <c r="FN2799" s="1" t="s">
        <v>3157</v>
      </c>
      <c r="FO2799" s="1" t="s">
        <v>4104</v>
      </c>
      <c r="FP2799" s="1">
        <v>106635.0</v>
      </c>
      <c r="FQ2799" s="1" t="s">
        <v>4105</v>
      </c>
      <c r="FR2799" s="1">
        <v>115952.0</v>
      </c>
      <c r="FU2799" s="1" t="s">
        <v>24611</v>
      </c>
      <c r="FV2799" s="1" t="s">
        <v>200</v>
      </c>
      <c r="FW2799" s="1" t="s">
        <v>290</v>
      </c>
      <c r="FX2799" s="1" t="s">
        <v>238</v>
      </c>
      <c r="FZ2799" s="1" t="s">
        <v>229</v>
      </c>
      <c r="GA2799" s="1" t="s">
        <v>291</v>
      </c>
      <c r="GB2799" s="2">
        <v>42061.0</v>
      </c>
      <c r="GC2799" s="1" t="s">
        <v>24107</v>
      </c>
    </row>
    <row r="2800">
      <c r="A2800" s="1">
        <v>32000.0</v>
      </c>
      <c r="B2800" s="1" t="s">
        <v>185</v>
      </c>
      <c r="C2800" s="1" t="str">
        <f>"08843092"</f>
        <v>08843092</v>
      </c>
      <c r="D2800" s="1" t="s">
        <v>186</v>
      </c>
      <c r="F2800" s="1" t="str">
        <f>"8055"</f>
        <v>8055</v>
      </c>
      <c r="G2800" s="2">
        <v>42055.0</v>
      </c>
      <c r="H2800" s="1">
        <v>32000.0</v>
      </c>
      <c r="I2800" s="1">
        <v>33.0</v>
      </c>
      <c r="J2800" s="1">
        <v>32000.0</v>
      </c>
      <c r="K2800" s="2">
        <v>42086.0</v>
      </c>
      <c r="L2800" s="1">
        <v>33.0</v>
      </c>
      <c r="M2800" s="2">
        <v>42086.0</v>
      </c>
      <c r="N2800" s="1" t="s">
        <v>249</v>
      </c>
      <c r="O2800" s="2">
        <v>42102.0</v>
      </c>
      <c r="P2800" s="1">
        <v>235344.0</v>
      </c>
      <c r="Q2800" s="1">
        <v>25765.0</v>
      </c>
      <c r="S2800" s="1">
        <v>13529.0</v>
      </c>
      <c r="T2800" s="1" t="s">
        <v>23466</v>
      </c>
      <c r="U2800" s="1" t="s">
        <v>189</v>
      </c>
      <c r="V2800" s="1" t="s">
        <v>190</v>
      </c>
      <c r="W2800" s="1">
        <v>60633.0</v>
      </c>
      <c r="Y2800" s="1" t="s">
        <v>24612</v>
      </c>
      <c r="Z2800" s="1">
        <v>1893.0</v>
      </c>
      <c r="AA2800" s="1" t="s">
        <v>192</v>
      </c>
      <c r="AB2800" s="1" t="s">
        <v>193</v>
      </c>
      <c r="AD2800" s="1" t="s">
        <v>194</v>
      </c>
      <c r="AE2800" s="1" t="s">
        <v>195</v>
      </c>
      <c r="AF2800" s="1" t="s">
        <v>637</v>
      </c>
      <c r="AH2800" s="1" t="s">
        <v>1501</v>
      </c>
      <c r="AI2800" s="1">
        <v>0.0717</v>
      </c>
      <c r="AK2800" s="1">
        <v>7.0</v>
      </c>
      <c r="AL2800" s="1">
        <v>4.0</v>
      </c>
      <c r="AM2800" s="1">
        <v>1.0</v>
      </c>
      <c r="AN2800" s="1">
        <v>0.0</v>
      </c>
      <c r="AO2800" s="1" t="s">
        <v>229</v>
      </c>
      <c r="AQ2800" s="1" t="s">
        <v>198</v>
      </c>
      <c r="AR2800" s="1" t="s">
        <v>200</v>
      </c>
      <c r="AS2800" s="1" t="s">
        <v>229</v>
      </c>
      <c r="AV2800" s="1" t="s">
        <v>200</v>
      </c>
      <c r="AW2800" s="1">
        <v>1480.65</v>
      </c>
      <c r="AX2800" s="1">
        <v>2012.0</v>
      </c>
      <c r="AZ2800" s="1" t="s">
        <v>200</v>
      </c>
      <c r="BA2800" s="1" t="str">
        <f>"26314100120000"</f>
        <v>26314100120000</v>
      </c>
      <c r="BC2800" s="1">
        <v>920.0</v>
      </c>
      <c r="BD2800" s="1">
        <v>32000.0</v>
      </c>
      <c r="BE2800" s="2">
        <v>42054.0</v>
      </c>
      <c r="BF2800" s="1" t="s">
        <v>24613</v>
      </c>
      <c r="BH2800" s="1">
        <v>0.0</v>
      </c>
      <c r="BK2800" s="1" t="s">
        <v>204</v>
      </c>
      <c r="BL2800" s="1" t="str">
        <f>"0"</f>
        <v>0</v>
      </c>
      <c r="BM2800" s="1" t="str">
        <f>"3200"</f>
        <v>3200</v>
      </c>
      <c r="BN2800" s="1">
        <v>0.0</v>
      </c>
      <c r="BO2800" s="1">
        <v>13529.0</v>
      </c>
      <c r="BQ2800" s="1">
        <v>299.0</v>
      </c>
      <c r="BR2800" s="1">
        <v>299.0</v>
      </c>
      <c r="BS2800" s="1">
        <v>299.0</v>
      </c>
      <c r="BU2800" s="1" t="s">
        <v>433</v>
      </c>
      <c r="BV2800" s="1" t="s">
        <v>206</v>
      </c>
      <c r="BY2800" s="1" t="s">
        <v>264</v>
      </c>
      <c r="BZ2800" s="1" t="s">
        <v>206</v>
      </c>
      <c r="CC2800" s="1" t="s">
        <v>433</v>
      </c>
      <c r="CD2800" s="1" t="s">
        <v>206</v>
      </c>
      <c r="CG2800" s="1" t="s">
        <v>363</v>
      </c>
      <c r="CH2800" s="1" t="s">
        <v>206</v>
      </c>
      <c r="CK2800" s="1" t="s">
        <v>264</v>
      </c>
      <c r="CL2800" s="1" t="s">
        <v>209</v>
      </c>
      <c r="CO2800" s="1" t="s">
        <v>269</v>
      </c>
      <c r="CP2800" s="1" t="s">
        <v>209</v>
      </c>
      <c r="CS2800" s="1" t="s">
        <v>264</v>
      </c>
      <c r="CT2800" s="1" t="s">
        <v>206</v>
      </c>
      <c r="CX2800" s="1" t="s">
        <v>204</v>
      </c>
      <c r="DA2800" s="1" t="s">
        <v>200</v>
      </c>
      <c r="DC2800" s="1" t="s">
        <v>642</v>
      </c>
      <c r="DE2800" s="1" t="s">
        <v>229</v>
      </c>
      <c r="DF2800" s="1" t="s">
        <v>219</v>
      </c>
      <c r="DH2800" s="1" t="s">
        <v>220</v>
      </c>
      <c r="DJ2800" s="1" t="s">
        <v>222</v>
      </c>
      <c r="DL2800" s="1" t="s">
        <v>223</v>
      </c>
      <c r="DM2800" s="1" t="s">
        <v>229</v>
      </c>
      <c r="DQ2800" s="1" t="s">
        <v>228</v>
      </c>
      <c r="DR2800" s="1" t="s">
        <v>229</v>
      </c>
      <c r="DV2800" s="1" t="s">
        <v>232</v>
      </c>
      <c r="DW2800" s="1" t="s">
        <v>370</v>
      </c>
      <c r="DX2800" s="1" t="s">
        <v>234</v>
      </c>
      <c r="EC2800" s="1" t="s">
        <v>237</v>
      </c>
      <c r="EM2800" s="1" t="s">
        <v>238</v>
      </c>
      <c r="EQ2800" s="1" t="s">
        <v>238</v>
      </c>
      <c r="EU2800" s="1" t="s">
        <v>238</v>
      </c>
      <c r="EY2800" s="1" t="s">
        <v>238</v>
      </c>
      <c r="FC2800" s="1" t="s">
        <v>238</v>
      </c>
      <c r="FF2800" s="1" t="s">
        <v>239</v>
      </c>
      <c r="FG2800" s="1" t="s">
        <v>192</v>
      </c>
      <c r="FH2800" s="1" t="s">
        <v>192</v>
      </c>
      <c r="FJ2800" s="1" t="s">
        <v>9659</v>
      </c>
      <c r="FK2800" s="1" t="s">
        <v>1586</v>
      </c>
      <c r="FL2800" s="1" t="s">
        <v>2989</v>
      </c>
      <c r="FM2800" s="1">
        <v>21139.0</v>
      </c>
      <c r="FN2800" s="1" t="s">
        <v>8190</v>
      </c>
      <c r="FO2800" s="1" t="s">
        <v>24614</v>
      </c>
      <c r="FP2800" s="1">
        <v>242641.0</v>
      </c>
      <c r="FS2800" s="1" t="s">
        <v>8192</v>
      </c>
      <c r="FU2800" s="1" t="s">
        <v>885</v>
      </c>
      <c r="FV2800" s="1" t="s">
        <v>200</v>
      </c>
      <c r="FW2800" s="1" t="s">
        <v>1411</v>
      </c>
      <c r="FX2800" s="1" t="s">
        <v>655</v>
      </c>
      <c r="FZ2800" s="1" t="s">
        <v>229</v>
      </c>
      <c r="GA2800" s="1" t="s">
        <v>291</v>
      </c>
      <c r="GB2800" s="2">
        <v>42102.0</v>
      </c>
      <c r="GC2800" s="1" t="s">
        <v>24615</v>
      </c>
    </row>
    <row r="2801">
      <c r="A2801" s="1">
        <v>85000.0</v>
      </c>
      <c r="B2801" s="1" t="s">
        <v>185</v>
      </c>
      <c r="C2801" s="1" t="str">
        <f>"08843199"</f>
        <v>08843199</v>
      </c>
      <c r="D2801" s="1" t="s">
        <v>186</v>
      </c>
      <c r="F2801" s="1" t="str">
        <f>"8025"</f>
        <v>8025</v>
      </c>
      <c r="G2801" s="2">
        <v>42055.0</v>
      </c>
      <c r="H2801" s="1">
        <v>84000.0</v>
      </c>
      <c r="I2801" s="1">
        <v>18.0</v>
      </c>
      <c r="J2801" s="1">
        <v>84000.0</v>
      </c>
      <c r="K2801" s="2">
        <v>42072.0</v>
      </c>
      <c r="L2801" s="1">
        <v>18.0</v>
      </c>
      <c r="M2801" s="2">
        <v>42072.0</v>
      </c>
      <c r="N2801" s="1" t="s">
        <v>249</v>
      </c>
      <c r="O2801" s="2">
        <v>42123.0</v>
      </c>
      <c r="P2801" s="1">
        <v>239665.0</v>
      </c>
      <c r="Q2801" s="1">
        <v>25808.0</v>
      </c>
      <c r="S2801" s="1">
        <v>1352.0</v>
      </c>
      <c r="T2801" s="1" t="s">
        <v>2995</v>
      </c>
      <c r="U2801" s="1" t="s">
        <v>189</v>
      </c>
      <c r="V2801" s="1" t="s">
        <v>190</v>
      </c>
      <c r="W2801" s="1">
        <v>60651.0</v>
      </c>
      <c r="Y2801" s="1" t="s">
        <v>24616</v>
      </c>
      <c r="Z2801" s="1">
        <v>1920.0</v>
      </c>
      <c r="AA2801" s="1" t="s">
        <v>192</v>
      </c>
      <c r="AB2801" s="1" t="s">
        <v>193</v>
      </c>
      <c r="AD2801" s="1" t="s">
        <v>194</v>
      </c>
      <c r="AE2801" s="1" t="s">
        <v>195</v>
      </c>
      <c r="AF2801" s="1" t="s">
        <v>637</v>
      </c>
      <c r="AH2801" s="1" t="s">
        <v>10812</v>
      </c>
      <c r="AI2801" s="1">
        <v>0.0939</v>
      </c>
      <c r="AK2801" s="1">
        <v>7.0</v>
      </c>
      <c r="AL2801" s="1">
        <v>4.0</v>
      </c>
      <c r="AM2801" s="1">
        <v>2.0</v>
      </c>
      <c r="AN2801" s="1">
        <v>0.0</v>
      </c>
      <c r="AO2801" s="1" t="s">
        <v>229</v>
      </c>
      <c r="AQ2801" s="1" t="s">
        <v>198</v>
      </c>
      <c r="AR2801" s="1" t="s">
        <v>200</v>
      </c>
      <c r="AS2801" s="1" t="s">
        <v>199</v>
      </c>
      <c r="AT2801" s="1">
        <v>2.0</v>
      </c>
      <c r="AV2801" s="1" t="s">
        <v>200</v>
      </c>
      <c r="AW2801" s="1">
        <v>2598.89</v>
      </c>
      <c r="AX2801" s="1">
        <v>2012.0</v>
      </c>
      <c r="AZ2801" s="1" t="s">
        <v>545</v>
      </c>
      <c r="BA2801" s="1" t="str">
        <f>"16052160200000"</f>
        <v>16052160200000</v>
      </c>
      <c r="BC2801" s="1">
        <v>0.0</v>
      </c>
      <c r="BD2801" s="1">
        <v>85000.0</v>
      </c>
      <c r="BE2801" s="2">
        <v>42055.0</v>
      </c>
      <c r="BF2801" s="2" t="s">
        <v>24617</v>
      </c>
      <c r="BH2801" s="1">
        <v>0.0</v>
      </c>
      <c r="BK2801" s="1" t="s">
        <v>204</v>
      </c>
      <c r="BL2801" s="1" t="str">
        <f>"1352"</f>
        <v>1352</v>
      </c>
      <c r="BM2801" s="1" t="str">
        <f>"0"</f>
        <v>0</v>
      </c>
      <c r="BN2801" s="1">
        <v>5900.0</v>
      </c>
      <c r="BO2801" s="1">
        <v>0.0</v>
      </c>
      <c r="BQ2801" s="1">
        <v>299.0</v>
      </c>
      <c r="BR2801" s="1">
        <v>299.0</v>
      </c>
      <c r="BS2801" s="1">
        <v>299.0</v>
      </c>
      <c r="BU2801" s="1" t="s">
        <v>2481</v>
      </c>
      <c r="BV2801" s="1" t="s">
        <v>206</v>
      </c>
      <c r="BY2801" s="1" t="s">
        <v>303</v>
      </c>
      <c r="BZ2801" s="1" t="s">
        <v>206</v>
      </c>
      <c r="CC2801" s="1" t="s">
        <v>1064</v>
      </c>
      <c r="CD2801" s="1" t="s">
        <v>206</v>
      </c>
      <c r="CG2801" s="1" t="s">
        <v>303</v>
      </c>
      <c r="CH2801" s="1" t="s">
        <v>206</v>
      </c>
      <c r="CK2801" s="1" t="s">
        <v>1584</v>
      </c>
      <c r="CL2801" s="1" t="s">
        <v>209</v>
      </c>
      <c r="CO2801" s="1" t="s">
        <v>24618</v>
      </c>
      <c r="CP2801" s="1" t="s">
        <v>209</v>
      </c>
      <c r="CS2801" s="1" t="s">
        <v>363</v>
      </c>
      <c r="CT2801" s="1" t="s">
        <v>206</v>
      </c>
      <c r="CX2801" s="1" t="s">
        <v>204</v>
      </c>
      <c r="DA2801" s="1" t="s">
        <v>200</v>
      </c>
      <c r="DC2801" s="1" t="s">
        <v>216</v>
      </c>
      <c r="DD2801" s="1" t="s">
        <v>518</v>
      </c>
      <c r="DE2801" s="1" t="s">
        <v>229</v>
      </c>
      <c r="DF2801" s="1" t="s">
        <v>219</v>
      </c>
      <c r="DH2801" s="1" t="s">
        <v>220</v>
      </c>
      <c r="DJ2801" s="1" t="s">
        <v>222</v>
      </c>
      <c r="DL2801" s="1" t="s">
        <v>223</v>
      </c>
      <c r="DM2801" s="1" t="s">
        <v>229</v>
      </c>
      <c r="DP2801" s="1" t="s">
        <v>340</v>
      </c>
      <c r="DQ2801" s="1" t="s">
        <v>228</v>
      </c>
      <c r="DR2801" s="1" t="s">
        <v>229</v>
      </c>
      <c r="DV2801" s="1" t="s">
        <v>232</v>
      </c>
      <c r="DW2801" s="1" t="s">
        <v>279</v>
      </c>
      <c r="DX2801" s="1" t="s">
        <v>234</v>
      </c>
      <c r="EC2801" s="1" t="s">
        <v>645</v>
      </c>
      <c r="EM2801" s="1" t="s">
        <v>238</v>
      </c>
      <c r="EQ2801" s="1" t="s">
        <v>238</v>
      </c>
      <c r="EU2801" s="1" t="s">
        <v>238</v>
      </c>
      <c r="EY2801" s="1" t="s">
        <v>238</v>
      </c>
      <c r="FC2801" s="1" t="s">
        <v>238</v>
      </c>
      <c r="FF2801" s="1" t="s">
        <v>239</v>
      </c>
      <c r="FG2801" s="1" t="s">
        <v>192</v>
      </c>
      <c r="FH2801" s="1" t="s">
        <v>192</v>
      </c>
      <c r="FJ2801" s="1" t="s">
        <v>285</v>
      </c>
      <c r="FK2801" s="1" t="s">
        <v>229</v>
      </c>
      <c r="FL2801" s="1" t="s">
        <v>18779</v>
      </c>
      <c r="FM2801" s="1">
        <v>23426.0</v>
      </c>
      <c r="FN2801" s="1" t="s">
        <v>18780</v>
      </c>
      <c r="FO2801" s="1" t="s">
        <v>18781</v>
      </c>
      <c r="FP2801" s="1">
        <v>216793.0</v>
      </c>
      <c r="FQ2801" s="1" t="s">
        <v>18782</v>
      </c>
      <c r="FU2801" s="1" t="s">
        <v>24619</v>
      </c>
      <c r="FV2801" s="1" t="s">
        <v>200</v>
      </c>
      <c r="FW2801" s="1" t="s">
        <v>18783</v>
      </c>
      <c r="FX2801" s="1" t="s">
        <v>238</v>
      </c>
      <c r="FZ2801" s="1" t="s">
        <v>229</v>
      </c>
      <c r="GA2801" s="1" t="s">
        <v>291</v>
      </c>
      <c r="GB2801" s="2">
        <v>42129.0</v>
      </c>
      <c r="GC2801" s="1" t="s">
        <v>24620</v>
      </c>
    </row>
    <row r="2802">
      <c r="A2802" s="1">
        <v>344500.0</v>
      </c>
      <c r="B2802" s="1" t="s">
        <v>185</v>
      </c>
      <c r="C2802" s="1" t="str">
        <f>"08842326"</f>
        <v>08842326</v>
      </c>
      <c r="D2802" s="1" t="s">
        <v>186</v>
      </c>
      <c r="F2802" s="1" t="str">
        <f>"510"</f>
        <v>510</v>
      </c>
      <c r="G2802" s="2">
        <v>42054.0</v>
      </c>
      <c r="H2802" s="1">
        <v>350000.0</v>
      </c>
      <c r="I2802" s="1">
        <v>60.0</v>
      </c>
      <c r="J2802" s="1">
        <v>349900.0</v>
      </c>
      <c r="K2802" s="2">
        <v>42113.0</v>
      </c>
      <c r="L2802" s="1">
        <v>60.0</v>
      </c>
      <c r="M2802" s="2">
        <v>42113.0</v>
      </c>
      <c r="N2802" s="1" t="s">
        <v>187</v>
      </c>
      <c r="O2802" s="2">
        <v>42146.0</v>
      </c>
      <c r="P2802" s="1">
        <v>189454.0</v>
      </c>
      <c r="Q2802" s="1">
        <v>14470.0</v>
      </c>
      <c r="R2802" s="1">
        <v>5000.0</v>
      </c>
      <c r="S2802" s="1">
        <v>1310.0</v>
      </c>
      <c r="T2802" s="1" t="s">
        <v>24621</v>
      </c>
      <c r="U2802" s="1" t="s">
        <v>1174</v>
      </c>
      <c r="V2802" s="1" t="s">
        <v>2700</v>
      </c>
      <c r="W2802" s="1">
        <v>60510.0</v>
      </c>
      <c r="Y2802" s="1" t="s">
        <v>24622</v>
      </c>
      <c r="Z2802" s="1">
        <v>1994.0</v>
      </c>
      <c r="AA2802" s="1" t="s">
        <v>200</v>
      </c>
      <c r="AB2802" s="1" t="s">
        <v>193</v>
      </c>
      <c r="AC2802" s="1" t="s">
        <v>14278</v>
      </c>
      <c r="AD2802" s="1" t="s">
        <v>2702</v>
      </c>
      <c r="AE2802" s="1" t="s">
        <v>325</v>
      </c>
      <c r="AF2802" s="1" t="s">
        <v>2702</v>
      </c>
      <c r="AH2802" s="1" t="s">
        <v>24623</v>
      </c>
      <c r="AI2802" s="1">
        <v>0.4266</v>
      </c>
      <c r="AK2802" s="1">
        <v>9.0</v>
      </c>
      <c r="AL2802" s="1">
        <v>4.0</v>
      </c>
      <c r="AM2802" s="1">
        <v>2.0</v>
      </c>
      <c r="AN2802" s="1">
        <v>1.0</v>
      </c>
      <c r="AO2802" s="1" t="s">
        <v>198</v>
      </c>
      <c r="AP2802" s="1">
        <v>1.0</v>
      </c>
      <c r="AQ2802" s="1" t="s">
        <v>198</v>
      </c>
      <c r="AR2802" s="1" t="s">
        <v>200</v>
      </c>
      <c r="AS2802" s="1" t="s">
        <v>199</v>
      </c>
      <c r="AT2802" s="1">
        <v>2.0</v>
      </c>
      <c r="AV2802" s="1" t="s">
        <v>200</v>
      </c>
      <c r="AW2802" s="1">
        <v>9713.18</v>
      </c>
      <c r="AX2802" s="1">
        <v>2013.0</v>
      </c>
      <c r="AY2802" s="1" t="s">
        <v>387</v>
      </c>
      <c r="AZ2802" s="1" t="s">
        <v>200</v>
      </c>
      <c r="BA2802" s="1" t="str">
        <f>"1226252009"</f>
        <v>1226252009</v>
      </c>
      <c r="BB2802" s="1" t="s">
        <v>200</v>
      </c>
      <c r="BC2802" s="1">
        <v>2436.0</v>
      </c>
      <c r="BD2802" s="1">
        <v>344500.0</v>
      </c>
      <c r="BE2802" s="2">
        <v>42054.0</v>
      </c>
      <c r="BF2802" s="2" t="s">
        <v>24624</v>
      </c>
      <c r="BG2802" s="1" t="s">
        <v>17313</v>
      </c>
      <c r="BH2802" s="1">
        <v>0.0</v>
      </c>
      <c r="BI2802" s="1" t="s">
        <v>3090</v>
      </c>
      <c r="BJ2802" s="1" t="s">
        <v>3091</v>
      </c>
      <c r="BK2802" s="1" t="s">
        <v>204</v>
      </c>
      <c r="BL2802" s="1" t="str">
        <f t="shared" ref="BL2802:BM2802" si="1823">""</f>
        <v/>
      </c>
      <c r="BM2802" s="1" t="str">
        <f t="shared" si="1823"/>
        <v/>
      </c>
      <c r="BQ2802" s="1">
        <v>101.0</v>
      </c>
      <c r="BR2802" s="1">
        <v>101.0</v>
      </c>
      <c r="BS2802" s="1">
        <v>101.0</v>
      </c>
      <c r="BU2802" s="1" t="s">
        <v>454</v>
      </c>
      <c r="BV2802" s="1" t="s">
        <v>206</v>
      </c>
      <c r="BW2802" s="1" t="s">
        <v>210</v>
      </c>
      <c r="BY2802" s="1" t="s">
        <v>2800</v>
      </c>
      <c r="BZ2802" s="1" t="s">
        <v>209</v>
      </c>
      <c r="CA2802" s="1" t="s">
        <v>210</v>
      </c>
      <c r="CC2802" s="1" t="s">
        <v>363</v>
      </c>
      <c r="CD2802" s="1" t="s">
        <v>206</v>
      </c>
      <c r="CE2802" s="1" t="s">
        <v>210</v>
      </c>
      <c r="CG2802" s="1" t="s">
        <v>925</v>
      </c>
      <c r="CH2802" s="1" t="s">
        <v>209</v>
      </c>
      <c r="CI2802" s="1" t="s">
        <v>210</v>
      </c>
      <c r="CK2802" s="1" t="s">
        <v>699</v>
      </c>
      <c r="CL2802" s="1" t="s">
        <v>209</v>
      </c>
      <c r="CM2802" s="1" t="s">
        <v>210</v>
      </c>
      <c r="CO2802" s="1" t="s">
        <v>495</v>
      </c>
      <c r="CP2802" s="1" t="s">
        <v>209</v>
      </c>
      <c r="CQ2802" s="1" t="s">
        <v>210</v>
      </c>
      <c r="CS2802" s="1" t="s">
        <v>3475</v>
      </c>
      <c r="CT2802" s="1" t="s">
        <v>206</v>
      </c>
      <c r="CU2802" s="1" t="s">
        <v>207</v>
      </c>
      <c r="CW2802" s="1" t="s">
        <v>477</v>
      </c>
      <c r="CX2802" s="1" t="s">
        <v>206</v>
      </c>
      <c r="CY2802" s="1" t="s">
        <v>207</v>
      </c>
      <c r="DA2802" s="1" t="s">
        <v>200</v>
      </c>
      <c r="DC2802" s="1" t="s">
        <v>435</v>
      </c>
      <c r="DD2802" s="1" t="s">
        <v>5326</v>
      </c>
      <c r="DE2802" s="1" t="s">
        <v>273</v>
      </c>
      <c r="DF2802" s="1" t="s">
        <v>219</v>
      </c>
      <c r="DG2802" s="1" t="s">
        <v>1400</v>
      </c>
      <c r="DH2802" s="1" t="s">
        <v>220</v>
      </c>
      <c r="DJ2802" s="1" t="s">
        <v>222</v>
      </c>
      <c r="DL2802" s="1" t="s">
        <v>224</v>
      </c>
      <c r="DM2802" s="1" t="s">
        <v>338</v>
      </c>
      <c r="DN2802" s="1" t="s">
        <v>485</v>
      </c>
      <c r="DP2802" s="1" t="s">
        <v>340</v>
      </c>
      <c r="DQ2802" s="1" t="s">
        <v>441</v>
      </c>
      <c r="DR2802" s="1" t="s">
        <v>229</v>
      </c>
      <c r="DS2802" s="1" t="s">
        <v>230</v>
      </c>
      <c r="DU2802" s="1" t="s">
        <v>442</v>
      </c>
      <c r="DV2802" s="1" t="s">
        <v>494</v>
      </c>
      <c r="DW2802" s="1" t="s">
        <v>444</v>
      </c>
      <c r="DX2802" s="1" t="s">
        <v>234</v>
      </c>
      <c r="DY2802" s="1" t="s">
        <v>2771</v>
      </c>
      <c r="DZ2802" s="1" t="s">
        <v>282</v>
      </c>
      <c r="EA2802" s="1" t="s">
        <v>344</v>
      </c>
      <c r="EB2802" s="1" t="s">
        <v>684</v>
      </c>
      <c r="EC2802" s="1" t="s">
        <v>237</v>
      </c>
      <c r="ED2802" s="1" t="s">
        <v>555</v>
      </c>
      <c r="EE2802" s="1" t="s">
        <v>493</v>
      </c>
      <c r="EG2802" s="1" t="s">
        <v>494</v>
      </c>
      <c r="EL2802" s="1" t="s">
        <v>331</v>
      </c>
      <c r="EM2802" s="1" t="s">
        <v>206</v>
      </c>
      <c r="EN2802" s="1" t="s">
        <v>207</v>
      </c>
      <c r="EQ2802" s="1" t="s">
        <v>238</v>
      </c>
      <c r="EU2802" s="1" t="s">
        <v>238</v>
      </c>
      <c r="EY2802" s="1" t="s">
        <v>238</v>
      </c>
      <c r="FC2802" s="1" t="s">
        <v>238</v>
      </c>
      <c r="FF2802" s="1" t="s">
        <v>239</v>
      </c>
      <c r="FG2802" s="1" t="s">
        <v>192</v>
      </c>
      <c r="FH2802" s="1" t="s">
        <v>192</v>
      </c>
      <c r="FJ2802" s="1" t="s">
        <v>1538</v>
      </c>
      <c r="FK2802" s="1" t="s">
        <v>229</v>
      </c>
      <c r="FL2802" s="1" t="s">
        <v>4309</v>
      </c>
      <c r="FM2802" s="1">
        <v>973.0</v>
      </c>
      <c r="FN2802" s="1" t="s">
        <v>6749</v>
      </c>
      <c r="FO2802" s="1" t="s">
        <v>24625</v>
      </c>
      <c r="FP2802" s="1">
        <v>7361.0</v>
      </c>
      <c r="FQ2802" s="1" t="s">
        <v>24626</v>
      </c>
      <c r="FU2802" s="1" t="s">
        <v>24627</v>
      </c>
      <c r="FV2802" s="1" t="s">
        <v>200</v>
      </c>
      <c r="FW2802" s="1" t="s">
        <v>530</v>
      </c>
      <c r="FZ2802" s="1" t="s">
        <v>632</v>
      </c>
      <c r="GA2802" s="1" t="s">
        <v>291</v>
      </c>
      <c r="GB2802" s="2">
        <v>42146.0</v>
      </c>
      <c r="GC2802" s="1" t="s">
        <v>24628</v>
      </c>
    </row>
    <row r="2803">
      <c r="A2803" s="1">
        <v>1350000.0</v>
      </c>
      <c r="B2803" s="1" t="s">
        <v>185</v>
      </c>
      <c r="C2803" s="1" t="str">
        <f>"08846400"</f>
        <v>08846400</v>
      </c>
      <c r="D2803" s="1" t="s">
        <v>186</v>
      </c>
      <c r="F2803" s="1" t="str">
        <f>"10"</f>
        <v>10</v>
      </c>
      <c r="G2803" s="2">
        <v>42060.0</v>
      </c>
      <c r="H2803" s="1">
        <v>1350000.0</v>
      </c>
      <c r="I2803" s="1">
        <v>210.0</v>
      </c>
      <c r="J2803" s="1">
        <v>1350000.0</v>
      </c>
      <c r="K2803" s="2">
        <v>42060.0</v>
      </c>
      <c r="L2803" s="1">
        <v>1.0</v>
      </c>
      <c r="M2803" s="2">
        <v>42060.0</v>
      </c>
      <c r="N2803" s="1" t="s">
        <v>249</v>
      </c>
      <c r="O2803" s="2">
        <v>42060.0</v>
      </c>
      <c r="P2803" s="1">
        <v>61926.0</v>
      </c>
      <c r="Q2803" s="1">
        <v>6019.0</v>
      </c>
      <c r="S2803" s="1">
        <v>2.0</v>
      </c>
      <c r="T2803" s="1" t="s">
        <v>24629</v>
      </c>
      <c r="U2803" s="1" t="s">
        <v>420</v>
      </c>
      <c r="V2803" s="1" t="s">
        <v>5237</v>
      </c>
      <c r="W2803" s="1">
        <v>60010.0</v>
      </c>
      <c r="Y2803" s="1" t="s">
        <v>24630</v>
      </c>
      <c r="Z2803" s="1">
        <v>2001.0</v>
      </c>
      <c r="AA2803" s="1" t="s">
        <v>200</v>
      </c>
      <c r="AB2803" s="1" t="s">
        <v>193</v>
      </c>
      <c r="AD2803" s="1" t="s">
        <v>5239</v>
      </c>
      <c r="AE2803" s="1" t="s">
        <v>195</v>
      </c>
      <c r="AF2803" s="1" t="s">
        <v>1948</v>
      </c>
      <c r="AH2803" s="1" t="s">
        <v>24631</v>
      </c>
      <c r="AI2803" s="1">
        <v>2.415</v>
      </c>
      <c r="AK2803" s="1">
        <v>8.0</v>
      </c>
      <c r="AL2803" s="1">
        <v>4.0</v>
      </c>
      <c r="AM2803" s="1">
        <v>3.0</v>
      </c>
      <c r="AN2803" s="1">
        <v>2.0</v>
      </c>
      <c r="AO2803" s="1" t="s">
        <v>198</v>
      </c>
      <c r="AP2803" s="1">
        <v>4.0</v>
      </c>
      <c r="AQ2803" s="1" t="s">
        <v>198</v>
      </c>
      <c r="AR2803" s="1" t="s">
        <v>200</v>
      </c>
      <c r="AS2803" s="1" t="s">
        <v>199</v>
      </c>
      <c r="AT2803" s="1">
        <v>3.0</v>
      </c>
      <c r="AV2803" s="1" t="s">
        <v>192</v>
      </c>
      <c r="AW2803" s="1">
        <v>18427.7</v>
      </c>
      <c r="AX2803" s="1">
        <v>2012.0</v>
      </c>
      <c r="AY2803" s="1" t="s">
        <v>387</v>
      </c>
      <c r="AZ2803" s="1" t="s">
        <v>200</v>
      </c>
      <c r="BA2803" s="1" t="str">
        <f>"01261010190000"</f>
        <v>01261010190000</v>
      </c>
      <c r="BC2803" s="1">
        <v>5966.0</v>
      </c>
      <c r="BD2803" s="1">
        <v>1350000.0</v>
      </c>
      <c r="BE2803" s="2">
        <v>42060.0</v>
      </c>
      <c r="BF2803" s="2" t="s">
        <v>24632</v>
      </c>
      <c r="BG2803" s="1" t="s">
        <v>5242</v>
      </c>
      <c r="BH2803" s="1">
        <v>0.0</v>
      </c>
      <c r="BI2803" s="1" t="s">
        <v>5243</v>
      </c>
      <c r="BJ2803" s="1" t="s">
        <v>1714</v>
      </c>
      <c r="BK2803" s="1" t="s">
        <v>204</v>
      </c>
      <c r="BL2803" s="1" t="str">
        <f t="shared" ref="BL2803:BM2803" si="1824">""</f>
        <v/>
      </c>
      <c r="BM2803" s="1" t="str">
        <f t="shared" si="1824"/>
        <v/>
      </c>
      <c r="BQ2803" s="1">
        <v>220.0</v>
      </c>
      <c r="BR2803" s="1">
        <v>220.0</v>
      </c>
      <c r="BS2803" s="1">
        <v>220.0</v>
      </c>
      <c r="BU2803" s="1" t="s">
        <v>1286</v>
      </c>
      <c r="BV2803" s="1" t="s">
        <v>206</v>
      </c>
      <c r="BW2803" s="1" t="s">
        <v>207</v>
      </c>
      <c r="BX2803" s="1" t="s">
        <v>1549</v>
      </c>
      <c r="BY2803" s="1" t="s">
        <v>477</v>
      </c>
      <c r="BZ2803" s="1" t="s">
        <v>209</v>
      </c>
      <c r="CA2803" s="1" t="s">
        <v>207</v>
      </c>
      <c r="CB2803" s="1" t="s">
        <v>1549</v>
      </c>
      <c r="CC2803" s="1" t="s">
        <v>743</v>
      </c>
      <c r="CD2803" s="1" t="s">
        <v>206</v>
      </c>
      <c r="CE2803" s="1" t="s">
        <v>207</v>
      </c>
      <c r="CF2803" s="1" t="s">
        <v>1549</v>
      </c>
      <c r="CG2803" s="1" t="s">
        <v>743</v>
      </c>
      <c r="CH2803" s="1" t="s">
        <v>209</v>
      </c>
      <c r="CI2803" s="1" t="s">
        <v>207</v>
      </c>
      <c r="CJ2803" s="1" t="s">
        <v>1549</v>
      </c>
      <c r="CK2803" s="1" t="s">
        <v>1483</v>
      </c>
      <c r="CL2803" s="1" t="s">
        <v>209</v>
      </c>
      <c r="CM2803" s="1" t="s">
        <v>207</v>
      </c>
      <c r="CO2803" s="1" t="s">
        <v>393</v>
      </c>
      <c r="CP2803" s="1" t="s">
        <v>206</v>
      </c>
      <c r="CQ2803" s="1" t="s">
        <v>207</v>
      </c>
      <c r="CR2803" s="1" t="s">
        <v>1549</v>
      </c>
      <c r="CS2803" s="1" t="s">
        <v>924</v>
      </c>
      <c r="CT2803" s="1" t="s">
        <v>206</v>
      </c>
      <c r="CU2803" s="1" t="s">
        <v>207</v>
      </c>
      <c r="CV2803" s="1" t="s">
        <v>1549</v>
      </c>
      <c r="CW2803" s="1" t="s">
        <v>3538</v>
      </c>
      <c r="CX2803" s="1" t="s">
        <v>206</v>
      </c>
      <c r="CY2803" s="1" t="s">
        <v>207</v>
      </c>
      <c r="CZ2803" s="1" t="s">
        <v>1549</v>
      </c>
      <c r="DA2803" s="1" t="s">
        <v>200</v>
      </c>
      <c r="DC2803" s="1" t="s">
        <v>335</v>
      </c>
      <c r="DD2803" s="1" t="s">
        <v>1838</v>
      </c>
      <c r="DE2803" s="1" t="s">
        <v>273</v>
      </c>
      <c r="DF2803" s="1" t="s">
        <v>619</v>
      </c>
      <c r="DG2803" s="1" t="s">
        <v>6048</v>
      </c>
      <c r="DH2803" s="1" t="s">
        <v>856</v>
      </c>
      <c r="DI2803" s="1" t="s">
        <v>24633</v>
      </c>
      <c r="DJ2803" s="1" t="s">
        <v>222</v>
      </c>
      <c r="DL2803" s="1" t="s">
        <v>858</v>
      </c>
      <c r="DM2803" s="1" t="s">
        <v>338</v>
      </c>
      <c r="DN2803" s="1" t="s">
        <v>10880</v>
      </c>
      <c r="DO2803" s="1" t="s">
        <v>24634</v>
      </c>
      <c r="DP2803" s="1" t="s">
        <v>340</v>
      </c>
      <c r="DQ2803" s="1" t="s">
        <v>860</v>
      </c>
      <c r="DR2803" s="1" t="s">
        <v>229</v>
      </c>
      <c r="DS2803" s="1" t="s">
        <v>591</v>
      </c>
      <c r="DV2803" s="1" t="s">
        <v>232</v>
      </c>
      <c r="DW2803" s="1" t="s">
        <v>279</v>
      </c>
      <c r="DX2803" s="1" t="s">
        <v>234</v>
      </c>
      <c r="DY2803" s="1" t="s">
        <v>24635</v>
      </c>
      <c r="DZ2803" s="1" t="s">
        <v>24636</v>
      </c>
      <c r="EA2803" s="1" t="s">
        <v>588</v>
      </c>
      <c r="EB2803" s="1" t="s">
        <v>4251</v>
      </c>
      <c r="EC2803" s="1" t="s">
        <v>237</v>
      </c>
      <c r="ED2803" s="1" t="s">
        <v>10039</v>
      </c>
      <c r="EM2803" s="1" t="s">
        <v>238</v>
      </c>
      <c r="EQ2803" s="1" t="s">
        <v>238</v>
      </c>
      <c r="EU2803" s="1" t="s">
        <v>238</v>
      </c>
      <c r="EY2803" s="1" t="s">
        <v>238</v>
      </c>
      <c r="FC2803" s="1" t="s">
        <v>238</v>
      </c>
      <c r="FF2803" s="1" t="s">
        <v>239</v>
      </c>
      <c r="FG2803" s="1" t="s">
        <v>192</v>
      </c>
      <c r="FH2803" s="1" t="s">
        <v>192</v>
      </c>
      <c r="FJ2803" s="1" t="s">
        <v>1747</v>
      </c>
      <c r="FK2803" s="1" t="s">
        <v>348</v>
      </c>
      <c r="FL2803" s="1" t="s">
        <v>5245</v>
      </c>
      <c r="FM2803" s="1">
        <v>6019.0</v>
      </c>
      <c r="FN2803" s="1" t="s">
        <v>5246</v>
      </c>
      <c r="FO2803" s="1" t="s">
        <v>10054</v>
      </c>
      <c r="FP2803" s="1">
        <v>61926.0</v>
      </c>
      <c r="FQ2803" s="1" t="s">
        <v>10055</v>
      </c>
      <c r="FU2803" s="1" t="s">
        <v>14979</v>
      </c>
      <c r="FV2803" s="1" t="s">
        <v>200</v>
      </c>
      <c r="FW2803" s="1" t="s">
        <v>290</v>
      </c>
      <c r="FZ2803" s="1" t="s">
        <v>229</v>
      </c>
      <c r="GA2803" s="1" t="s">
        <v>291</v>
      </c>
      <c r="GB2803" s="2">
        <v>42060.0</v>
      </c>
    </row>
    <row r="2804">
      <c r="A2804" s="1">
        <v>430000.0</v>
      </c>
      <c r="B2804" s="1" t="s">
        <v>185</v>
      </c>
      <c r="C2804" s="1" t="str">
        <f>"08840347"</f>
        <v>08840347</v>
      </c>
      <c r="D2804" s="1" t="s">
        <v>186</v>
      </c>
      <c r="F2804" s="1" t="str">
        <f>"8011"</f>
        <v>8011</v>
      </c>
      <c r="G2804" s="2">
        <v>42052.0</v>
      </c>
      <c r="H2804" s="1">
        <v>449000.0</v>
      </c>
      <c r="I2804" s="1">
        <v>311.0</v>
      </c>
      <c r="J2804" s="1">
        <v>449000.0</v>
      </c>
      <c r="K2804" s="2">
        <v>42076.0</v>
      </c>
      <c r="L2804" s="1">
        <v>25.0</v>
      </c>
      <c r="M2804" s="2">
        <v>42076.0</v>
      </c>
      <c r="N2804" s="1" t="s">
        <v>249</v>
      </c>
      <c r="O2804" s="2">
        <v>42109.0</v>
      </c>
      <c r="P2804" s="1">
        <v>242982.0</v>
      </c>
      <c r="Q2804" s="1">
        <v>25494.0</v>
      </c>
      <c r="S2804" s="1">
        <v>5125.0</v>
      </c>
      <c r="T2804" s="1" t="s">
        <v>9430</v>
      </c>
      <c r="U2804" s="1" t="s">
        <v>189</v>
      </c>
      <c r="V2804" s="1" t="s">
        <v>190</v>
      </c>
      <c r="W2804" s="1">
        <v>60630.0</v>
      </c>
      <c r="Y2804" s="1" t="s">
        <v>24637</v>
      </c>
      <c r="Z2804" s="1">
        <v>1914.0</v>
      </c>
      <c r="AA2804" s="1" t="s">
        <v>192</v>
      </c>
      <c r="AB2804" s="1" t="s">
        <v>193</v>
      </c>
      <c r="AD2804" s="1" t="s">
        <v>194</v>
      </c>
      <c r="AE2804" s="1" t="s">
        <v>195</v>
      </c>
      <c r="AF2804" s="1" t="s">
        <v>196</v>
      </c>
      <c r="AG2804" s="1" t="s">
        <v>778</v>
      </c>
      <c r="AH2804" s="1" t="s">
        <v>24638</v>
      </c>
      <c r="AK2804" s="1">
        <v>10.0</v>
      </c>
      <c r="AL2804" s="1">
        <v>4.0</v>
      </c>
      <c r="AM2804" s="1">
        <v>3.0</v>
      </c>
      <c r="AN2804" s="1">
        <v>0.0</v>
      </c>
      <c r="AO2804" s="1" t="s">
        <v>229</v>
      </c>
      <c r="AP2804" s="1">
        <v>1.0</v>
      </c>
      <c r="AQ2804" s="1" t="s">
        <v>198</v>
      </c>
      <c r="AR2804" s="1" t="s">
        <v>192</v>
      </c>
      <c r="AS2804" s="1" t="s">
        <v>199</v>
      </c>
      <c r="AT2804" s="1">
        <v>2.0</v>
      </c>
      <c r="AV2804" s="1" t="s">
        <v>200</v>
      </c>
      <c r="AW2804" s="1">
        <v>4104.98</v>
      </c>
      <c r="AX2804" s="1">
        <v>2013.0</v>
      </c>
      <c r="AY2804" s="1" t="s">
        <v>387</v>
      </c>
      <c r="AZ2804" s="1" t="s">
        <v>200</v>
      </c>
      <c r="BA2804" s="1" t="str">
        <f>"13084040160000"</f>
        <v>13084040160000</v>
      </c>
      <c r="BB2804" s="1" t="s">
        <v>192</v>
      </c>
      <c r="BC2804" s="1">
        <v>3000.0</v>
      </c>
      <c r="BD2804" s="1">
        <v>430000.0</v>
      </c>
      <c r="BE2804" s="2">
        <v>42052.0</v>
      </c>
      <c r="BF2804" s="2" t="s">
        <v>24639</v>
      </c>
      <c r="BH2804" s="1">
        <v>0.0</v>
      </c>
      <c r="BK2804" s="1" t="s">
        <v>204</v>
      </c>
      <c r="BL2804" s="1" t="str">
        <f>"5125"</f>
        <v>5125</v>
      </c>
      <c r="BM2804" s="1" t="str">
        <f t="shared" ref="BM2804:BM2805" si="1825">"0"</f>
        <v>0</v>
      </c>
      <c r="BN2804" s="1">
        <v>5800.0</v>
      </c>
      <c r="BO2804" s="1">
        <v>0.0</v>
      </c>
      <c r="BQ2804" s="1">
        <v>299.0</v>
      </c>
      <c r="BR2804" s="1">
        <v>299.0</v>
      </c>
      <c r="BS2804" s="1">
        <v>299.0</v>
      </c>
      <c r="BU2804" s="1" t="s">
        <v>211</v>
      </c>
      <c r="BV2804" s="1" t="s">
        <v>206</v>
      </c>
      <c r="BW2804" s="1" t="s">
        <v>207</v>
      </c>
      <c r="BY2804" s="1" t="s">
        <v>3989</v>
      </c>
      <c r="BZ2804" s="1" t="s">
        <v>209</v>
      </c>
      <c r="CA2804" s="1" t="s">
        <v>210</v>
      </c>
      <c r="CC2804" s="1" t="s">
        <v>215</v>
      </c>
      <c r="CD2804" s="1" t="s">
        <v>206</v>
      </c>
      <c r="CE2804" s="1" t="s">
        <v>207</v>
      </c>
      <c r="CG2804" s="1" t="s">
        <v>1483</v>
      </c>
      <c r="CH2804" s="1" t="s">
        <v>209</v>
      </c>
      <c r="CI2804" s="1" t="s">
        <v>210</v>
      </c>
      <c r="CK2804" s="1" t="s">
        <v>663</v>
      </c>
      <c r="CL2804" s="1" t="s">
        <v>206</v>
      </c>
      <c r="CM2804" s="1" t="s">
        <v>207</v>
      </c>
      <c r="CO2804" s="1" t="s">
        <v>303</v>
      </c>
      <c r="CP2804" s="1" t="s">
        <v>206</v>
      </c>
      <c r="CS2804" s="1" t="s">
        <v>1875</v>
      </c>
      <c r="CT2804" s="1" t="s">
        <v>206</v>
      </c>
      <c r="CU2804" s="1" t="s">
        <v>268</v>
      </c>
      <c r="CW2804" s="1" t="s">
        <v>743</v>
      </c>
      <c r="CX2804" s="1" t="s">
        <v>206</v>
      </c>
      <c r="DA2804" s="1" t="s">
        <v>200</v>
      </c>
      <c r="DC2804" s="1" t="s">
        <v>642</v>
      </c>
      <c r="DD2804" s="1" t="s">
        <v>957</v>
      </c>
      <c r="DE2804" s="1" t="s">
        <v>3750</v>
      </c>
      <c r="DF2804" s="1" t="s">
        <v>1931</v>
      </c>
      <c r="DG2804" s="1" t="s">
        <v>3175</v>
      </c>
      <c r="DH2804" s="1" t="s">
        <v>307</v>
      </c>
      <c r="DI2804" s="1" t="s">
        <v>221</v>
      </c>
      <c r="DJ2804" s="1" t="s">
        <v>222</v>
      </c>
      <c r="DL2804" s="1" t="s">
        <v>224</v>
      </c>
      <c r="DM2804" s="1" t="s">
        <v>1143</v>
      </c>
      <c r="DP2804" s="1" t="s">
        <v>340</v>
      </c>
      <c r="DQ2804" s="1" t="s">
        <v>794</v>
      </c>
      <c r="DR2804" s="1" t="s">
        <v>229</v>
      </c>
      <c r="DS2804" s="1" t="s">
        <v>368</v>
      </c>
      <c r="DU2804" s="1" t="s">
        <v>1355</v>
      </c>
      <c r="DV2804" s="1" t="s">
        <v>24640</v>
      </c>
      <c r="DW2804" s="1" t="s">
        <v>279</v>
      </c>
      <c r="DX2804" s="1" t="s">
        <v>234</v>
      </c>
      <c r="DY2804" s="1" t="s">
        <v>24641</v>
      </c>
      <c r="DZ2804" s="1" t="s">
        <v>282</v>
      </c>
      <c r="EA2804" s="1" t="s">
        <v>644</v>
      </c>
      <c r="EB2804" s="1" t="s">
        <v>797</v>
      </c>
      <c r="EC2804" s="1" t="s">
        <v>237</v>
      </c>
      <c r="ED2804" s="1" t="s">
        <v>555</v>
      </c>
      <c r="EG2804" s="1" t="s">
        <v>1121</v>
      </c>
      <c r="EH2804" s="1" t="s">
        <v>450</v>
      </c>
      <c r="EL2804" s="1" t="s">
        <v>878</v>
      </c>
      <c r="EM2804" s="1" t="s">
        <v>209</v>
      </c>
      <c r="EP2804" s="1" t="s">
        <v>4063</v>
      </c>
      <c r="EQ2804" s="1" t="s">
        <v>42</v>
      </c>
      <c r="EU2804" s="1" t="s">
        <v>238</v>
      </c>
      <c r="EY2804" s="1" t="s">
        <v>238</v>
      </c>
      <c r="FC2804" s="1" t="s">
        <v>238</v>
      </c>
      <c r="FF2804" s="1" t="s">
        <v>239</v>
      </c>
      <c r="FG2804" s="1" t="s">
        <v>192</v>
      </c>
      <c r="FH2804" s="1" t="s">
        <v>192</v>
      </c>
      <c r="FJ2804" s="1" t="s">
        <v>561</v>
      </c>
      <c r="FK2804" s="1" t="s">
        <v>229</v>
      </c>
      <c r="FL2804" s="1" t="s">
        <v>1124</v>
      </c>
      <c r="FM2804" s="1">
        <v>10267.0</v>
      </c>
      <c r="FN2804" s="1" t="s">
        <v>3908</v>
      </c>
      <c r="FO2804" s="1" t="s">
        <v>21217</v>
      </c>
      <c r="FP2804" s="1">
        <v>105930.0</v>
      </c>
      <c r="FQ2804" s="1" t="s">
        <v>21218</v>
      </c>
      <c r="FU2804" s="1" t="s">
        <v>24642</v>
      </c>
      <c r="FV2804" s="1" t="s">
        <v>200</v>
      </c>
      <c r="FW2804" s="1" t="s">
        <v>530</v>
      </c>
      <c r="FX2804" s="1" t="s">
        <v>238</v>
      </c>
      <c r="FZ2804" s="1" t="s">
        <v>229</v>
      </c>
      <c r="GA2804" s="1" t="s">
        <v>291</v>
      </c>
      <c r="GB2804" s="2">
        <v>42109.0</v>
      </c>
      <c r="GC2804" s="1" t="s">
        <v>24643</v>
      </c>
    </row>
    <row r="2805">
      <c r="A2805" s="1">
        <v>695000.0</v>
      </c>
      <c r="B2805" s="1" t="s">
        <v>185</v>
      </c>
      <c r="C2805" s="1" t="str">
        <f>"08841658"</f>
        <v>08841658</v>
      </c>
      <c r="D2805" s="1" t="s">
        <v>186</v>
      </c>
      <c r="F2805" s="1" t="str">
        <f>"8024"</f>
        <v>8024</v>
      </c>
      <c r="G2805" s="2">
        <v>42053.0</v>
      </c>
      <c r="H2805" s="1">
        <v>750000.0</v>
      </c>
      <c r="I2805" s="1">
        <v>13.0</v>
      </c>
      <c r="J2805" s="1">
        <v>750000.0</v>
      </c>
      <c r="K2805" s="2">
        <v>42065.0</v>
      </c>
      <c r="L2805" s="1">
        <v>13.0</v>
      </c>
      <c r="M2805" s="2">
        <v>42065.0</v>
      </c>
      <c r="N2805" s="1" t="s">
        <v>187</v>
      </c>
      <c r="O2805" s="2">
        <v>42128.0</v>
      </c>
      <c r="P2805" s="1">
        <v>113690.0</v>
      </c>
      <c r="Q2805" s="1">
        <v>10900.0</v>
      </c>
      <c r="S2805" s="1">
        <v>2025.0</v>
      </c>
      <c r="T2805" s="1" t="s">
        <v>24644</v>
      </c>
      <c r="U2805" s="1" t="s">
        <v>320</v>
      </c>
      <c r="V2805" s="1" t="s">
        <v>190</v>
      </c>
      <c r="W2805" s="1">
        <v>60622.0</v>
      </c>
      <c r="Y2805" s="1" t="s">
        <v>24645</v>
      </c>
      <c r="Z2805" s="1" t="s">
        <v>296</v>
      </c>
      <c r="AA2805" s="1" t="s">
        <v>192</v>
      </c>
      <c r="AB2805" s="1" t="s">
        <v>193</v>
      </c>
      <c r="AD2805" s="1" t="s">
        <v>194</v>
      </c>
      <c r="AE2805" s="1" t="s">
        <v>195</v>
      </c>
      <c r="AF2805" s="1" t="s">
        <v>2645</v>
      </c>
      <c r="AH2805" s="1" t="s">
        <v>359</v>
      </c>
      <c r="AK2805" s="1">
        <v>8.0</v>
      </c>
      <c r="AL2805" s="1">
        <v>4.0</v>
      </c>
      <c r="AM2805" s="1">
        <v>3.0</v>
      </c>
      <c r="AN2805" s="1">
        <v>1.0</v>
      </c>
      <c r="AO2805" s="1" t="s">
        <v>198</v>
      </c>
      <c r="AQ2805" s="1" t="s">
        <v>472</v>
      </c>
      <c r="AR2805" s="1" t="s">
        <v>192</v>
      </c>
      <c r="AS2805" s="1" t="s">
        <v>199</v>
      </c>
      <c r="AT2805" s="1">
        <v>2.0</v>
      </c>
      <c r="AV2805" s="1" t="s">
        <v>200</v>
      </c>
      <c r="AW2805" s="1">
        <v>6892.0</v>
      </c>
      <c r="AX2805" s="1">
        <v>2013.0</v>
      </c>
      <c r="AZ2805" s="1" t="s">
        <v>200</v>
      </c>
      <c r="BA2805" s="1" t="str">
        <f>"17063270190000"</f>
        <v>17063270190000</v>
      </c>
      <c r="BC2805" s="1">
        <v>3000.0</v>
      </c>
      <c r="BD2805" s="1">
        <v>695000.0</v>
      </c>
      <c r="BE2805" s="2">
        <v>42053.0</v>
      </c>
      <c r="BF2805" s="2" t="s">
        <v>24646</v>
      </c>
      <c r="BH2805" s="1">
        <v>0.0</v>
      </c>
      <c r="BK2805" s="1" t="s">
        <v>204</v>
      </c>
      <c r="BL2805" s="1" t="str">
        <f>"900"</f>
        <v>900</v>
      </c>
      <c r="BM2805" s="1" t="str">
        <f t="shared" si="1825"/>
        <v>0</v>
      </c>
      <c r="BN2805" s="1">
        <v>2025.0</v>
      </c>
      <c r="BO2805" s="1">
        <v>0.0</v>
      </c>
      <c r="BQ2805" s="1">
        <v>299.0</v>
      </c>
      <c r="BR2805" s="1">
        <v>299.0</v>
      </c>
      <c r="BS2805" s="1">
        <v>299.0</v>
      </c>
      <c r="BU2805" s="1" t="s">
        <v>878</v>
      </c>
      <c r="BV2805" s="1" t="s">
        <v>206</v>
      </c>
      <c r="BW2805" s="1" t="s">
        <v>207</v>
      </c>
      <c r="BX2805" s="1" t="s">
        <v>239</v>
      </c>
      <c r="BY2805" s="1" t="s">
        <v>332</v>
      </c>
      <c r="BZ2805" s="1" t="s">
        <v>209</v>
      </c>
      <c r="CA2805" s="1" t="s">
        <v>207</v>
      </c>
      <c r="CB2805" s="1" t="s">
        <v>239</v>
      </c>
      <c r="CC2805" s="1" t="s">
        <v>454</v>
      </c>
      <c r="CD2805" s="1" t="s">
        <v>206</v>
      </c>
      <c r="CE2805" s="1" t="s">
        <v>207</v>
      </c>
      <c r="CF2805" s="1" t="s">
        <v>239</v>
      </c>
      <c r="CG2805" s="1" t="s">
        <v>265</v>
      </c>
      <c r="CH2805" s="1" t="s">
        <v>209</v>
      </c>
      <c r="CI2805" s="1" t="s">
        <v>207</v>
      </c>
      <c r="CJ2805" s="1" t="s">
        <v>239</v>
      </c>
      <c r="CK2805" s="1" t="s">
        <v>516</v>
      </c>
      <c r="CL2805" s="1" t="s">
        <v>209</v>
      </c>
      <c r="CM2805" s="1" t="s">
        <v>207</v>
      </c>
      <c r="CN2805" s="1" t="s">
        <v>239</v>
      </c>
      <c r="CO2805" s="1" t="s">
        <v>497</v>
      </c>
      <c r="CP2805" s="1" t="s">
        <v>267</v>
      </c>
      <c r="CS2805" s="1" t="s">
        <v>497</v>
      </c>
      <c r="CT2805" s="1" t="s">
        <v>206</v>
      </c>
      <c r="CU2805" s="1" t="s">
        <v>207</v>
      </c>
      <c r="CX2805" s="1" t="s">
        <v>204</v>
      </c>
      <c r="DA2805" s="1" t="s">
        <v>200</v>
      </c>
      <c r="DC2805" s="1" t="s">
        <v>545</v>
      </c>
      <c r="DE2805" s="1" t="s">
        <v>273</v>
      </c>
      <c r="DF2805" s="1" t="s">
        <v>219</v>
      </c>
      <c r="DH2805" s="1" t="s">
        <v>365</v>
      </c>
      <c r="DJ2805" s="1" t="s">
        <v>222</v>
      </c>
      <c r="DL2805" s="1" t="s">
        <v>1161</v>
      </c>
      <c r="DM2805" s="1" t="s">
        <v>229</v>
      </c>
      <c r="DQ2805" s="1" t="s">
        <v>718</v>
      </c>
      <c r="DR2805" s="1" t="s">
        <v>229</v>
      </c>
      <c r="DV2805" s="1" t="s">
        <v>598</v>
      </c>
      <c r="DW2805" s="1" t="s">
        <v>279</v>
      </c>
      <c r="DX2805" s="1" t="s">
        <v>234</v>
      </c>
      <c r="EC2805" s="1" t="s">
        <v>237</v>
      </c>
      <c r="EG2805" s="1" t="s">
        <v>598</v>
      </c>
      <c r="EL2805" s="1" t="s">
        <v>263</v>
      </c>
      <c r="EM2805" s="1" t="s">
        <v>206</v>
      </c>
      <c r="EQ2805" s="1" t="s">
        <v>238</v>
      </c>
      <c r="EU2805" s="1" t="s">
        <v>238</v>
      </c>
      <c r="EY2805" s="1" t="s">
        <v>238</v>
      </c>
      <c r="FC2805" s="1" t="s">
        <v>238</v>
      </c>
      <c r="FF2805" s="1" t="s">
        <v>239</v>
      </c>
      <c r="FG2805" s="1" t="s">
        <v>192</v>
      </c>
      <c r="FH2805" s="1" t="s">
        <v>192</v>
      </c>
      <c r="FJ2805" s="1" t="s">
        <v>561</v>
      </c>
      <c r="FK2805" s="1" t="s">
        <v>229</v>
      </c>
      <c r="FL2805" s="1" t="s">
        <v>562</v>
      </c>
      <c r="FM2805" s="1">
        <v>84025.0</v>
      </c>
      <c r="FN2805" s="1" t="s">
        <v>2509</v>
      </c>
      <c r="FO2805" s="1" t="s">
        <v>24647</v>
      </c>
      <c r="FP2805" s="1">
        <v>139590.0</v>
      </c>
      <c r="FQ2805" s="1" t="s">
        <v>24648</v>
      </c>
      <c r="FU2805" s="1" t="s">
        <v>24649</v>
      </c>
      <c r="FV2805" s="1" t="s">
        <v>200</v>
      </c>
      <c r="FW2805" s="1" t="s">
        <v>1293</v>
      </c>
      <c r="FX2805" s="1" t="s">
        <v>246</v>
      </c>
      <c r="FZ2805" s="1" t="s">
        <v>229</v>
      </c>
      <c r="GA2805" s="1" t="s">
        <v>291</v>
      </c>
      <c r="GB2805" s="2">
        <v>42128.0</v>
      </c>
    </row>
    <row r="2806">
      <c r="A2806" s="1">
        <v>196500.0</v>
      </c>
      <c r="B2806" s="1" t="s">
        <v>185</v>
      </c>
      <c r="C2806" s="1" t="str">
        <f>"08843297"</f>
        <v>08843297</v>
      </c>
      <c r="D2806" s="1" t="s">
        <v>186</v>
      </c>
      <c r="F2806" s="1" t="str">
        <f>"8070"</f>
        <v>8070</v>
      </c>
      <c r="G2806" s="2">
        <v>42055.0</v>
      </c>
      <c r="H2806" s="1">
        <v>199900.0</v>
      </c>
      <c r="I2806" s="1">
        <v>10.0</v>
      </c>
      <c r="J2806" s="1">
        <v>199900.0</v>
      </c>
      <c r="K2806" s="2">
        <v>42056.0</v>
      </c>
      <c r="L2806" s="1">
        <v>2.0</v>
      </c>
      <c r="M2806" s="2">
        <v>42056.0</v>
      </c>
      <c r="N2806" s="1" t="s">
        <v>249</v>
      </c>
      <c r="O2806" s="2">
        <v>42061.0</v>
      </c>
      <c r="P2806" s="1">
        <v>117039.0</v>
      </c>
      <c r="Q2806" s="1">
        <v>85885.0</v>
      </c>
      <c r="S2806" s="1">
        <v>3247.0</v>
      </c>
      <c r="T2806" s="1" t="s">
        <v>3304</v>
      </c>
      <c r="U2806" s="1" t="s">
        <v>320</v>
      </c>
      <c r="V2806" s="1" t="s">
        <v>190</v>
      </c>
      <c r="W2806" s="1">
        <v>60652.0</v>
      </c>
      <c r="X2806" s="1">
        <v>3304.0</v>
      </c>
      <c r="Y2806" s="1" t="s">
        <v>24650</v>
      </c>
      <c r="Z2806" s="1" t="s">
        <v>296</v>
      </c>
      <c r="AA2806" s="1" t="s">
        <v>192</v>
      </c>
      <c r="AB2806" s="1" t="s">
        <v>193</v>
      </c>
      <c r="AD2806" s="1" t="s">
        <v>194</v>
      </c>
      <c r="AE2806" s="1" t="s">
        <v>195</v>
      </c>
      <c r="AF2806" s="1" t="s">
        <v>659</v>
      </c>
      <c r="AH2806" s="1" t="s">
        <v>1501</v>
      </c>
      <c r="AK2806" s="1">
        <v>8.0</v>
      </c>
      <c r="AL2806" s="1">
        <v>3.0</v>
      </c>
      <c r="AM2806" s="1">
        <v>3.0</v>
      </c>
      <c r="AN2806" s="1">
        <v>0.0</v>
      </c>
      <c r="AO2806" s="1" t="s">
        <v>198</v>
      </c>
      <c r="AQ2806" s="1" t="s">
        <v>198</v>
      </c>
      <c r="AR2806" s="1" t="s">
        <v>192</v>
      </c>
      <c r="AS2806" s="1" t="s">
        <v>199</v>
      </c>
      <c r="AT2806" s="1">
        <v>2.0</v>
      </c>
      <c r="AV2806" s="1" t="s">
        <v>200</v>
      </c>
      <c r="AW2806" s="1">
        <v>1945.67</v>
      </c>
      <c r="AX2806" s="1">
        <v>2013.0</v>
      </c>
      <c r="AY2806" s="1" t="s">
        <v>229</v>
      </c>
      <c r="AZ2806" s="1" t="s">
        <v>200</v>
      </c>
      <c r="BA2806" s="1" t="str">
        <f>"19354110500000"</f>
        <v>19354110500000</v>
      </c>
      <c r="BB2806" s="1" t="s">
        <v>200</v>
      </c>
      <c r="BC2806" s="1">
        <v>1031.0</v>
      </c>
      <c r="BD2806" s="1">
        <v>196500.0</v>
      </c>
      <c r="BE2806" s="2">
        <v>42055.0</v>
      </c>
      <c r="BF2806" s="1" t="s">
        <v>22780</v>
      </c>
      <c r="BH2806" s="1">
        <v>0.0</v>
      </c>
      <c r="BK2806" s="1" t="s">
        <v>204</v>
      </c>
      <c r="BL2806" s="1" t="str">
        <f t="shared" ref="BL2806:BM2806" si="1826">"0"</f>
        <v>0</v>
      </c>
      <c r="BM2806" s="1" t="str">
        <f t="shared" si="1826"/>
        <v>0</v>
      </c>
      <c r="BN2806" s="1">
        <v>3247.0</v>
      </c>
      <c r="BO2806" s="1">
        <v>8400.0</v>
      </c>
      <c r="BQ2806" s="1">
        <v>299.0</v>
      </c>
      <c r="BR2806" s="1">
        <v>299.0</v>
      </c>
      <c r="BS2806" s="1">
        <v>299.0</v>
      </c>
      <c r="BU2806" s="1" t="s">
        <v>1426</v>
      </c>
      <c r="BV2806" s="1" t="s">
        <v>206</v>
      </c>
      <c r="BW2806" s="1" t="s">
        <v>207</v>
      </c>
      <c r="BY2806" s="1" t="s">
        <v>1138</v>
      </c>
      <c r="BZ2806" s="1" t="s">
        <v>209</v>
      </c>
      <c r="CA2806" s="1" t="s">
        <v>301</v>
      </c>
      <c r="CC2806" s="1" t="s">
        <v>215</v>
      </c>
      <c r="CD2806" s="1" t="s">
        <v>206</v>
      </c>
      <c r="CE2806" s="1" t="s">
        <v>207</v>
      </c>
      <c r="CG2806" s="1" t="s">
        <v>215</v>
      </c>
      <c r="CH2806" s="1" t="s">
        <v>206</v>
      </c>
      <c r="CI2806" s="1" t="s">
        <v>207</v>
      </c>
      <c r="CK2806" s="1" t="s">
        <v>215</v>
      </c>
      <c r="CL2806" s="1" t="s">
        <v>206</v>
      </c>
      <c r="CM2806" s="1" t="s">
        <v>207</v>
      </c>
      <c r="CO2806" s="1" t="s">
        <v>497</v>
      </c>
      <c r="CP2806" s="1" t="s">
        <v>42</v>
      </c>
      <c r="CQ2806" s="1" t="s">
        <v>268</v>
      </c>
      <c r="CS2806" s="1" t="s">
        <v>497</v>
      </c>
      <c r="CT2806" s="1" t="s">
        <v>206</v>
      </c>
      <c r="CU2806" s="1" t="s">
        <v>207</v>
      </c>
      <c r="CW2806" s="1" t="s">
        <v>24206</v>
      </c>
      <c r="CX2806" s="1" t="s">
        <v>42</v>
      </c>
      <c r="CY2806" s="1" t="s">
        <v>268</v>
      </c>
      <c r="DA2806" s="1" t="s">
        <v>200</v>
      </c>
      <c r="DC2806" s="1" t="s">
        <v>702</v>
      </c>
      <c r="DD2806" s="1" t="s">
        <v>518</v>
      </c>
      <c r="DE2806" s="1" t="s">
        <v>273</v>
      </c>
      <c r="DF2806" s="1" t="s">
        <v>219</v>
      </c>
      <c r="DG2806" s="1" t="s">
        <v>337</v>
      </c>
      <c r="DH2806" s="1" t="s">
        <v>365</v>
      </c>
      <c r="DI2806" s="1" t="s">
        <v>8963</v>
      </c>
      <c r="DJ2806" s="1" t="s">
        <v>222</v>
      </c>
      <c r="DL2806" s="1" t="s">
        <v>224</v>
      </c>
      <c r="DM2806" s="1" t="s">
        <v>229</v>
      </c>
      <c r="DP2806" s="1" t="s">
        <v>340</v>
      </c>
      <c r="DQ2806" s="1" t="s">
        <v>228</v>
      </c>
      <c r="DR2806" s="1" t="s">
        <v>229</v>
      </c>
      <c r="DS2806" s="1" t="s">
        <v>230</v>
      </c>
      <c r="DV2806" s="1" t="s">
        <v>232</v>
      </c>
      <c r="DW2806" s="1" t="s">
        <v>279</v>
      </c>
      <c r="DX2806" s="1" t="s">
        <v>234</v>
      </c>
      <c r="DY2806" s="1" t="s">
        <v>1122</v>
      </c>
      <c r="EA2806" s="1" t="s">
        <v>1075</v>
      </c>
      <c r="EC2806" s="1" t="s">
        <v>685</v>
      </c>
      <c r="ED2806" s="1" t="s">
        <v>555</v>
      </c>
      <c r="EE2806" s="1" t="s">
        <v>493</v>
      </c>
      <c r="EM2806" s="1" t="s">
        <v>238</v>
      </c>
      <c r="EQ2806" s="1" t="s">
        <v>238</v>
      </c>
      <c r="EU2806" s="1" t="s">
        <v>238</v>
      </c>
      <c r="EY2806" s="1" t="s">
        <v>238</v>
      </c>
      <c r="FC2806" s="1" t="s">
        <v>238</v>
      </c>
      <c r="FF2806" s="1" t="s">
        <v>239</v>
      </c>
      <c r="FG2806" s="1" t="s">
        <v>192</v>
      </c>
      <c r="FH2806" s="1" t="s">
        <v>192</v>
      </c>
      <c r="FJ2806" s="1" t="s">
        <v>4471</v>
      </c>
      <c r="FK2806" s="1" t="s">
        <v>229</v>
      </c>
      <c r="FL2806" s="1" t="s">
        <v>8326</v>
      </c>
      <c r="FM2806" s="1">
        <v>23391.0</v>
      </c>
      <c r="FN2806" s="1" t="s">
        <v>8327</v>
      </c>
      <c r="FO2806" s="1" t="s">
        <v>12825</v>
      </c>
      <c r="FP2806" s="1">
        <v>239395.0</v>
      </c>
      <c r="FS2806" s="1" t="s">
        <v>12826</v>
      </c>
      <c r="FU2806" s="1" t="s">
        <v>12827</v>
      </c>
      <c r="FV2806" s="1" t="s">
        <v>200</v>
      </c>
      <c r="FW2806" s="1" t="s">
        <v>290</v>
      </c>
      <c r="FX2806" s="1" t="s">
        <v>246</v>
      </c>
      <c r="FZ2806" s="1" t="s">
        <v>229</v>
      </c>
      <c r="GA2806" s="1" t="s">
        <v>291</v>
      </c>
      <c r="GB2806" s="2">
        <v>42062.0</v>
      </c>
    </row>
    <row r="2807">
      <c r="A2807" s="1">
        <v>550000.0</v>
      </c>
      <c r="B2807" s="1" t="s">
        <v>185</v>
      </c>
      <c r="C2807" s="1" t="str">
        <f>"08842776"</f>
        <v>08842776</v>
      </c>
      <c r="D2807" s="1" t="s">
        <v>186</v>
      </c>
      <c r="F2807" s="1" t="str">
        <f>"8015"</f>
        <v>8015</v>
      </c>
      <c r="G2807" s="2">
        <v>42055.0</v>
      </c>
      <c r="H2807" s="1">
        <v>549900.0</v>
      </c>
      <c r="I2807" s="1">
        <v>124.0</v>
      </c>
      <c r="J2807" s="1">
        <v>549900.0</v>
      </c>
      <c r="K2807" s="2">
        <v>42067.0</v>
      </c>
      <c r="L2807" s="1">
        <v>13.0</v>
      </c>
      <c r="M2807" s="2">
        <v>42067.0</v>
      </c>
      <c r="N2807" s="1" t="s">
        <v>187</v>
      </c>
      <c r="O2807" s="2">
        <v>42143.0</v>
      </c>
      <c r="P2807" s="1">
        <v>20691.0</v>
      </c>
      <c r="Q2807" s="1">
        <v>24695.0</v>
      </c>
      <c r="S2807" s="1">
        <v>4581.0</v>
      </c>
      <c r="T2807" s="1" t="s">
        <v>15726</v>
      </c>
      <c r="U2807" s="1" t="s">
        <v>189</v>
      </c>
      <c r="V2807" s="1" t="s">
        <v>190</v>
      </c>
      <c r="W2807" s="1">
        <v>60630.0</v>
      </c>
      <c r="Y2807" s="1" t="s">
        <v>24651</v>
      </c>
      <c r="Z2807" s="1">
        <v>2015.0</v>
      </c>
      <c r="AA2807" s="1" t="s">
        <v>200</v>
      </c>
      <c r="AB2807" s="1" t="s">
        <v>193</v>
      </c>
      <c r="AD2807" s="1" t="s">
        <v>194</v>
      </c>
      <c r="AE2807" s="1" t="s">
        <v>195</v>
      </c>
      <c r="AF2807" s="1" t="s">
        <v>196</v>
      </c>
      <c r="AH2807" s="1" t="s">
        <v>1393</v>
      </c>
      <c r="AK2807" s="1">
        <v>9.0</v>
      </c>
      <c r="AL2807" s="1">
        <v>3.0</v>
      </c>
      <c r="AM2807" s="1">
        <v>3.0</v>
      </c>
      <c r="AN2807" s="1">
        <v>1.0</v>
      </c>
      <c r="AO2807" s="1" t="s">
        <v>198</v>
      </c>
      <c r="AQ2807" s="1" t="s">
        <v>198</v>
      </c>
      <c r="AR2807" s="1" t="s">
        <v>192</v>
      </c>
      <c r="AS2807" s="1" t="s">
        <v>199</v>
      </c>
      <c r="AT2807" s="1">
        <v>2.0</v>
      </c>
      <c r="AV2807" s="1" t="s">
        <v>200</v>
      </c>
      <c r="AW2807" s="1" t="s">
        <v>575</v>
      </c>
      <c r="AX2807" s="1">
        <v>2013.0</v>
      </c>
      <c r="AZ2807" s="1" t="s">
        <v>200</v>
      </c>
      <c r="BA2807" s="1" t="str">
        <f>"13171120660000"</f>
        <v>13171120660000</v>
      </c>
      <c r="BB2807" s="1" t="s">
        <v>200</v>
      </c>
      <c r="BC2807" s="1">
        <v>3500.0</v>
      </c>
      <c r="BD2807" s="1">
        <v>550000.0</v>
      </c>
      <c r="BE2807" s="2">
        <v>42055.0</v>
      </c>
      <c r="BF2807" s="2" t="s">
        <v>24652</v>
      </c>
      <c r="BH2807" s="1">
        <v>0.0</v>
      </c>
      <c r="BK2807" s="1" t="s">
        <v>204</v>
      </c>
      <c r="BL2807" s="1" t="str">
        <f>"4581"</f>
        <v>4581</v>
      </c>
      <c r="BM2807" s="1" t="str">
        <f>"0"</f>
        <v>0</v>
      </c>
      <c r="BN2807" s="1">
        <v>6200.0</v>
      </c>
      <c r="BO2807" s="1">
        <v>0.0</v>
      </c>
      <c r="BQ2807" s="1">
        <v>299.0</v>
      </c>
      <c r="BR2807" s="1">
        <v>299.0</v>
      </c>
      <c r="BS2807" s="1">
        <v>299.0</v>
      </c>
      <c r="BU2807" s="1" t="s">
        <v>3202</v>
      </c>
      <c r="BV2807" s="1" t="s">
        <v>206</v>
      </c>
      <c r="BW2807" s="1" t="s">
        <v>207</v>
      </c>
      <c r="BY2807" s="1" t="s">
        <v>477</v>
      </c>
      <c r="BZ2807" s="1" t="s">
        <v>209</v>
      </c>
      <c r="CA2807" s="1" t="s">
        <v>207</v>
      </c>
      <c r="CC2807" s="1" t="s">
        <v>542</v>
      </c>
      <c r="CD2807" s="1" t="s">
        <v>206</v>
      </c>
      <c r="CE2807" s="1" t="s">
        <v>207</v>
      </c>
      <c r="CG2807" s="1" t="s">
        <v>432</v>
      </c>
      <c r="CH2807" s="1" t="s">
        <v>209</v>
      </c>
      <c r="CI2807" s="1" t="s">
        <v>207</v>
      </c>
      <c r="CK2807" s="1" t="s">
        <v>212</v>
      </c>
      <c r="CL2807" s="1" t="s">
        <v>209</v>
      </c>
      <c r="CM2807" s="1" t="s">
        <v>207</v>
      </c>
      <c r="CO2807" s="1" t="s">
        <v>332</v>
      </c>
      <c r="CP2807" s="1" t="s">
        <v>42</v>
      </c>
      <c r="CS2807" s="1" t="s">
        <v>639</v>
      </c>
      <c r="CT2807" s="1" t="s">
        <v>206</v>
      </c>
      <c r="CU2807" s="1" t="s">
        <v>207</v>
      </c>
      <c r="CW2807" s="1" t="s">
        <v>664</v>
      </c>
      <c r="CX2807" s="1" t="s">
        <v>206</v>
      </c>
      <c r="CY2807" s="1" t="s">
        <v>207</v>
      </c>
      <c r="DA2807" s="1" t="s">
        <v>192</v>
      </c>
      <c r="DB2807" s="2">
        <v>42064.0</v>
      </c>
      <c r="DC2807" s="1" t="s">
        <v>1353</v>
      </c>
      <c r="DD2807" s="1" t="s">
        <v>217</v>
      </c>
      <c r="DE2807" s="1" t="s">
        <v>1810</v>
      </c>
      <c r="DF2807" s="1" t="s">
        <v>619</v>
      </c>
      <c r="DG2807" s="1" t="s">
        <v>482</v>
      </c>
      <c r="DH2807" s="1" t="s">
        <v>365</v>
      </c>
      <c r="DI2807" s="1" t="s">
        <v>366</v>
      </c>
      <c r="DJ2807" s="1" t="s">
        <v>222</v>
      </c>
      <c r="DL2807" s="1" t="s">
        <v>224</v>
      </c>
      <c r="DM2807" s="1" t="s">
        <v>229</v>
      </c>
      <c r="DN2807" s="1" t="s">
        <v>339</v>
      </c>
      <c r="DO2807" s="1" t="s">
        <v>12267</v>
      </c>
      <c r="DP2807" s="1" t="s">
        <v>276</v>
      </c>
      <c r="DQ2807" s="1" t="s">
        <v>794</v>
      </c>
      <c r="DR2807" s="1" t="s">
        <v>229</v>
      </c>
      <c r="DV2807" s="1" t="s">
        <v>450</v>
      </c>
      <c r="DW2807" s="1" t="s">
        <v>6494</v>
      </c>
      <c r="DX2807" s="1" t="s">
        <v>234</v>
      </c>
      <c r="DY2807" s="1" t="s">
        <v>747</v>
      </c>
      <c r="EA2807" s="1" t="s">
        <v>1027</v>
      </c>
      <c r="EC2807" s="1" t="s">
        <v>237</v>
      </c>
      <c r="ED2807" s="1" t="s">
        <v>407</v>
      </c>
      <c r="EH2807" s="1" t="s">
        <v>450</v>
      </c>
      <c r="EM2807" s="1" t="s">
        <v>238</v>
      </c>
      <c r="EP2807" s="1" t="s">
        <v>6890</v>
      </c>
      <c r="EQ2807" s="1" t="s">
        <v>42</v>
      </c>
      <c r="ER2807" s="1" t="s">
        <v>210</v>
      </c>
      <c r="EU2807" s="1" t="s">
        <v>238</v>
      </c>
      <c r="EY2807" s="1" t="s">
        <v>238</v>
      </c>
      <c r="FC2807" s="1" t="s">
        <v>238</v>
      </c>
      <c r="FF2807" s="1" t="s">
        <v>239</v>
      </c>
      <c r="FG2807" s="1" t="s">
        <v>192</v>
      </c>
      <c r="FH2807" s="1" t="s">
        <v>192</v>
      </c>
      <c r="FJ2807" s="1" t="s">
        <v>973</v>
      </c>
      <c r="FK2807" s="1" t="s">
        <v>229</v>
      </c>
      <c r="FL2807" s="1" t="s">
        <v>1358</v>
      </c>
      <c r="FM2807" s="1">
        <v>10272.0</v>
      </c>
      <c r="FN2807" s="1" t="s">
        <v>3233</v>
      </c>
      <c r="FO2807" s="1" t="s">
        <v>24653</v>
      </c>
      <c r="FP2807" s="1">
        <v>105097.0</v>
      </c>
      <c r="FQ2807" s="1" t="s">
        <v>24654</v>
      </c>
      <c r="FS2807" s="1" t="s">
        <v>24655</v>
      </c>
      <c r="FU2807" s="1" t="s">
        <v>24656</v>
      </c>
      <c r="FV2807" s="1" t="s">
        <v>200</v>
      </c>
      <c r="FW2807" s="1" t="s">
        <v>290</v>
      </c>
      <c r="FX2807" s="1" t="s">
        <v>238</v>
      </c>
      <c r="FZ2807" s="1" t="s">
        <v>229</v>
      </c>
      <c r="GA2807" s="1" t="s">
        <v>291</v>
      </c>
      <c r="GB2807" s="2">
        <v>42143.0</v>
      </c>
      <c r="GC2807" s="1" t="s">
        <v>24657</v>
      </c>
    </row>
    <row r="2808">
      <c r="A2808" s="1">
        <v>240000.0</v>
      </c>
      <c r="B2808" s="1" t="s">
        <v>185</v>
      </c>
      <c r="C2808" s="1" t="str">
        <f>"08843613"</f>
        <v>08843613</v>
      </c>
      <c r="D2808" s="1" t="s">
        <v>186</v>
      </c>
      <c r="F2808" s="1" t="str">
        <f>"510"</f>
        <v>510</v>
      </c>
      <c r="G2808" s="2">
        <v>42056.0</v>
      </c>
      <c r="H2808" s="1">
        <v>245000.0</v>
      </c>
      <c r="I2808" s="1">
        <v>141.0</v>
      </c>
      <c r="J2808" s="1">
        <v>245000.0</v>
      </c>
      <c r="K2808" s="2">
        <v>42068.0</v>
      </c>
      <c r="L2808" s="1">
        <v>13.0</v>
      </c>
      <c r="M2808" s="2">
        <v>42068.0</v>
      </c>
      <c r="N2808" s="1" t="s">
        <v>187</v>
      </c>
      <c r="O2808" s="2">
        <v>42117.0</v>
      </c>
      <c r="P2808" s="1">
        <v>409226.0</v>
      </c>
      <c r="Q2808" s="1">
        <v>40131.0</v>
      </c>
      <c r="R2808" s="1">
        <v>7500.0</v>
      </c>
      <c r="S2808" s="1">
        <v>516.0</v>
      </c>
      <c r="T2808" s="1" t="s">
        <v>24658</v>
      </c>
      <c r="U2808" s="1" t="s">
        <v>189</v>
      </c>
      <c r="V2808" s="1" t="s">
        <v>2700</v>
      </c>
      <c r="W2808" s="1">
        <v>60510.0</v>
      </c>
      <c r="Y2808" s="1" t="s">
        <v>24659</v>
      </c>
      <c r="Z2808" s="1">
        <v>1968.0</v>
      </c>
      <c r="AA2808" s="1" t="s">
        <v>192</v>
      </c>
      <c r="AB2808" s="1" t="s">
        <v>193</v>
      </c>
      <c r="AC2808" s="1" t="s">
        <v>15428</v>
      </c>
      <c r="AD2808" s="1" t="s">
        <v>2702</v>
      </c>
      <c r="AE2808" s="1" t="s">
        <v>325</v>
      </c>
      <c r="AF2808" s="1" t="s">
        <v>2702</v>
      </c>
      <c r="AH2808" s="1" t="s">
        <v>24660</v>
      </c>
      <c r="AI2808" s="1">
        <v>0.3</v>
      </c>
      <c r="AK2808" s="1">
        <v>9.0</v>
      </c>
      <c r="AL2808" s="1">
        <v>4.0</v>
      </c>
      <c r="AM2808" s="1">
        <v>2.0</v>
      </c>
      <c r="AN2808" s="1">
        <v>1.0</v>
      </c>
      <c r="AO2808" s="1" t="s">
        <v>198</v>
      </c>
      <c r="AP2808" s="1">
        <v>2.0</v>
      </c>
      <c r="AQ2808" s="1" t="s">
        <v>198</v>
      </c>
      <c r="AR2808" s="1" t="s">
        <v>200</v>
      </c>
      <c r="AS2808" s="1" t="s">
        <v>199</v>
      </c>
      <c r="AT2808" s="1">
        <v>2.0</v>
      </c>
      <c r="AV2808" s="1" t="s">
        <v>200</v>
      </c>
      <c r="AW2808" s="5">
        <v>7711.26</v>
      </c>
      <c r="AX2808" s="1">
        <v>2013.0</v>
      </c>
      <c r="AY2808" s="1" t="s">
        <v>387</v>
      </c>
      <c r="AZ2808" s="1" t="s">
        <v>200</v>
      </c>
      <c r="BA2808" s="1" t="str">
        <f>"1216479008"</f>
        <v>1216479008</v>
      </c>
      <c r="BB2808" s="1" t="s">
        <v>200</v>
      </c>
      <c r="BC2808" s="1">
        <v>2377.0</v>
      </c>
      <c r="BD2808" s="1">
        <v>240000.0</v>
      </c>
      <c r="BE2808" s="2">
        <v>42056.0</v>
      </c>
      <c r="BF2808" s="2" t="s">
        <v>24661</v>
      </c>
      <c r="BH2808" s="1">
        <v>0.0</v>
      </c>
      <c r="BI2808" s="1" t="s">
        <v>3090</v>
      </c>
      <c r="BJ2808" s="1" t="s">
        <v>3091</v>
      </c>
      <c r="BK2808" s="1" t="s">
        <v>204</v>
      </c>
      <c r="BL2808" s="1" t="str">
        <f t="shared" ref="BL2808:BM2808" si="1827">""</f>
        <v/>
      </c>
      <c r="BM2808" s="1" t="str">
        <f t="shared" si="1827"/>
        <v/>
      </c>
      <c r="BQ2808" s="1">
        <v>101.0</v>
      </c>
      <c r="BR2808" s="1">
        <v>101.0</v>
      </c>
      <c r="BS2808" s="1">
        <v>101.0</v>
      </c>
      <c r="BU2808" s="1" t="s">
        <v>1001</v>
      </c>
      <c r="BV2808" s="1" t="s">
        <v>206</v>
      </c>
      <c r="BW2808" s="1" t="s">
        <v>210</v>
      </c>
      <c r="BX2808" s="1" t="s">
        <v>229</v>
      </c>
      <c r="BY2808" s="1" t="s">
        <v>1426</v>
      </c>
      <c r="BZ2808" s="1" t="s">
        <v>209</v>
      </c>
      <c r="CA2808" s="1" t="s">
        <v>210</v>
      </c>
      <c r="CB2808" s="1" t="s">
        <v>229</v>
      </c>
      <c r="CC2808" s="1" t="s">
        <v>215</v>
      </c>
      <c r="CD2808" s="1" t="s">
        <v>206</v>
      </c>
      <c r="CE2808" s="1" t="s">
        <v>210</v>
      </c>
      <c r="CF2808" s="1" t="s">
        <v>229</v>
      </c>
      <c r="CG2808" s="1" t="s">
        <v>264</v>
      </c>
      <c r="CH2808" s="1" t="s">
        <v>209</v>
      </c>
      <c r="CI2808" s="1" t="s">
        <v>210</v>
      </c>
      <c r="CJ2808" s="1" t="s">
        <v>229</v>
      </c>
      <c r="CK2808" s="1" t="s">
        <v>497</v>
      </c>
      <c r="CL2808" s="1" t="s">
        <v>209</v>
      </c>
      <c r="CM2808" s="1" t="s">
        <v>210</v>
      </c>
      <c r="CN2808" s="1" t="s">
        <v>229</v>
      </c>
      <c r="CO2808" s="1" t="s">
        <v>264</v>
      </c>
      <c r="CP2808" s="1" t="s">
        <v>209</v>
      </c>
      <c r="CQ2808" s="1" t="s">
        <v>210</v>
      </c>
      <c r="CR2808" s="1" t="s">
        <v>229</v>
      </c>
      <c r="CS2808" s="1" t="s">
        <v>454</v>
      </c>
      <c r="CT2808" s="1" t="s">
        <v>206</v>
      </c>
      <c r="CU2808" s="1" t="s">
        <v>207</v>
      </c>
      <c r="CV2808" s="1" t="s">
        <v>229</v>
      </c>
      <c r="CW2808" s="1" t="s">
        <v>1892</v>
      </c>
      <c r="CX2808" s="1" t="s">
        <v>206</v>
      </c>
      <c r="CY2808" s="1" t="s">
        <v>210</v>
      </c>
      <c r="CZ2808" s="1" t="s">
        <v>229</v>
      </c>
      <c r="DA2808" s="1" t="s">
        <v>200</v>
      </c>
      <c r="DC2808" s="1" t="s">
        <v>517</v>
      </c>
      <c r="DD2808" s="1" t="s">
        <v>306</v>
      </c>
      <c r="DE2808" s="1" t="s">
        <v>273</v>
      </c>
      <c r="DF2808" s="1" t="s">
        <v>219</v>
      </c>
      <c r="DG2808" s="1" t="s">
        <v>337</v>
      </c>
      <c r="DH2808" s="1" t="s">
        <v>220</v>
      </c>
      <c r="DI2808" s="1" t="s">
        <v>221</v>
      </c>
      <c r="DJ2808" s="1" t="s">
        <v>222</v>
      </c>
      <c r="DK2808" s="1" t="s">
        <v>1555</v>
      </c>
      <c r="DL2808" s="1" t="s">
        <v>223</v>
      </c>
      <c r="DM2808" s="1" t="s">
        <v>3697</v>
      </c>
      <c r="DO2808" s="1" t="s">
        <v>3845</v>
      </c>
      <c r="DP2808" s="1" t="s">
        <v>340</v>
      </c>
      <c r="DQ2808" s="1" t="s">
        <v>441</v>
      </c>
      <c r="DR2808" s="1" t="s">
        <v>229</v>
      </c>
      <c r="DS2808" s="1" t="s">
        <v>230</v>
      </c>
      <c r="DU2808" s="1" t="s">
        <v>4565</v>
      </c>
      <c r="DV2808" s="1" t="s">
        <v>556</v>
      </c>
      <c r="DW2808" s="1" t="s">
        <v>964</v>
      </c>
      <c r="DX2808" s="1" t="s">
        <v>234</v>
      </c>
      <c r="DY2808" s="1" t="s">
        <v>1559</v>
      </c>
      <c r="DZ2808" s="1" t="s">
        <v>2204</v>
      </c>
      <c r="EB2808" s="1" t="s">
        <v>10018</v>
      </c>
      <c r="EC2808" s="1" t="s">
        <v>237</v>
      </c>
      <c r="ED2808" s="1" t="s">
        <v>555</v>
      </c>
      <c r="EE2808" s="1" t="s">
        <v>493</v>
      </c>
      <c r="EG2808" s="1" t="s">
        <v>556</v>
      </c>
      <c r="EL2808" s="1" t="s">
        <v>1426</v>
      </c>
      <c r="EM2808" s="1" t="s">
        <v>206</v>
      </c>
      <c r="EN2808" s="1" t="s">
        <v>207</v>
      </c>
      <c r="EQ2808" s="1" t="s">
        <v>238</v>
      </c>
      <c r="EU2808" s="1" t="s">
        <v>238</v>
      </c>
      <c r="EY2808" s="1" t="s">
        <v>238</v>
      </c>
      <c r="FC2808" s="1" t="s">
        <v>238</v>
      </c>
      <c r="FF2808" s="1" t="s">
        <v>239</v>
      </c>
      <c r="FG2808" s="1" t="s">
        <v>192</v>
      </c>
      <c r="FH2808" s="1" t="s">
        <v>192</v>
      </c>
      <c r="FJ2808" s="1" t="s">
        <v>686</v>
      </c>
      <c r="FK2808" s="1" t="s">
        <v>229</v>
      </c>
      <c r="FL2808" s="1" t="s">
        <v>456</v>
      </c>
      <c r="FM2808" s="1">
        <v>49.0</v>
      </c>
      <c r="FN2808" s="1" t="s">
        <v>457</v>
      </c>
      <c r="FO2808" s="1" t="s">
        <v>24662</v>
      </c>
      <c r="FP2808" s="1">
        <v>1282.0</v>
      </c>
      <c r="FQ2808" s="1" t="s">
        <v>24663</v>
      </c>
      <c r="FU2808" s="1" t="s">
        <v>4517</v>
      </c>
      <c r="FV2808" s="1" t="s">
        <v>200</v>
      </c>
      <c r="FW2808" s="1" t="s">
        <v>290</v>
      </c>
      <c r="FX2808" s="1" t="s">
        <v>238</v>
      </c>
      <c r="FZ2808" s="1" t="s">
        <v>229</v>
      </c>
      <c r="GA2808" s="1" t="s">
        <v>291</v>
      </c>
      <c r="GB2808" s="2">
        <v>42117.0</v>
      </c>
      <c r="GC2808" s="1" t="s">
        <v>24664</v>
      </c>
    </row>
    <row r="2809">
      <c r="A2809" s="1">
        <v>54000.0</v>
      </c>
      <c r="B2809" s="1" t="s">
        <v>185</v>
      </c>
      <c r="C2809" s="1" t="str">
        <f>"08840104"</f>
        <v>08840104</v>
      </c>
      <c r="D2809" s="1" t="s">
        <v>186</v>
      </c>
      <c r="F2809" s="1" t="str">
        <f>"135"</f>
        <v>135</v>
      </c>
      <c r="G2809" s="2">
        <v>42051.0</v>
      </c>
      <c r="H2809" s="1">
        <v>59900.0</v>
      </c>
      <c r="I2809" s="1">
        <v>27.0</v>
      </c>
      <c r="J2809" s="1">
        <v>59900.0</v>
      </c>
      <c r="K2809" s="2">
        <v>42077.0</v>
      </c>
      <c r="L2809" s="1">
        <v>27.0</v>
      </c>
      <c r="M2809" s="2">
        <v>42077.0</v>
      </c>
      <c r="N2809" s="1" t="s">
        <v>249</v>
      </c>
      <c r="O2809" s="2">
        <v>42104.0</v>
      </c>
      <c r="P2809" s="1">
        <v>244228.0</v>
      </c>
      <c r="Q2809" s="1">
        <v>24811.0</v>
      </c>
      <c r="S2809" s="1">
        <v>302.0</v>
      </c>
      <c r="T2809" s="1" t="s">
        <v>10122</v>
      </c>
      <c r="U2809" s="1" t="s">
        <v>320</v>
      </c>
      <c r="V2809" s="1" t="s">
        <v>10122</v>
      </c>
      <c r="W2809" s="1">
        <v>60135.0</v>
      </c>
      <c r="Y2809" s="1" t="s">
        <v>24665</v>
      </c>
      <c r="Z2809" s="1">
        <v>1913.0</v>
      </c>
      <c r="AA2809" s="1" t="s">
        <v>192</v>
      </c>
      <c r="AB2809" s="1" t="s">
        <v>193</v>
      </c>
      <c r="AD2809" s="1" t="s">
        <v>10124</v>
      </c>
      <c r="AE2809" s="1" t="s">
        <v>613</v>
      </c>
      <c r="AF2809" s="1" t="s">
        <v>10124</v>
      </c>
      <c r="AH2809" s="1" t="s">
        <v>24666</v>
      </c>
      <c r="AK2809" s="1">
        <v>7.0</v>
      </c>
      <c r="AL2809" s="1">
        <v>4.0</v>
      </c>
      <c r="AM2809" s="1">
        <v>1.0</v>
      </c>
      <c r="AN2809" s="1">
        <v>1.0</v>
      </c>
      <c r="AO2809" s="1" t="s">
        <v>229</v>
      </c>
      <c r="AQ2809" s="1" t="s">
        <v>198</v>
      </c>
      <c r="AR2809" s="1" t="s">
        <v>200</v>
      </c>
      <c r="AS2809" s="1" t="s">
        <v>199</v>
      </c>
      <c r="AT2809" s="1">
        <v>1.0</v>
      </c>
      <c r="AV2809" s="1" t="s">
        <v>200</v>
      </c>
      <c r="AW2809" s="1">
        <v>4489.0</v>
      </c>
      <c r="AX2809" s="1">
        <v>2013.0</v>
      </c>
      <c r="AZ2809" s="1" t="s">
        <v>200</v>
      </c>
      <c r="BA2809" s="1" t="str">
        <f>"0330205001"</f>
        <v>0330205001</v>
      </c>
      <c r="BB2809" s="1" t="s">
        <v>200</v>
      </c>
      <c r="BC2809" s="1">
        <v>1500.0</v>
      </c>
      <c r="BD2809" s="1">
        <v>54000.0</v>
      </c>
      <c r="BE2809" s="2">
        <v>42051.0</v>
      </c>
      <c r="BF2809" s="2" t="s">
        <v>24667</v>
      </c>
      <c r="BH2809" s="1">
        <v>0.0</v>
      </c>
      <c r="BK2809" s="1" t="s">
        <v>204</v>
      </c>
      <c r="BL2809" s="1" t="str">
        <f t="shared" ref="BL2809:BM2809" si="1828">""</f>
        <v/>
      </c>
      <c r="BM2809" s="1" t="str">
        <f t="shared" si="1828"/>
        <v/>
      </c>
      <c r="BQ2809" s="1">
        <v>424.0</v>
      </c>
      <c r="BR2809" s="1">
        <v>424.0</v>
      </c>
      <c r="BS2809" s="1">
        <v>424.0</v>
      </c>
      <c r="BU2809" s="1" t="s">
        <v>393</v>
      </c>
      <c r="BV2809" s="1" t="s">
        <v>206</v>
      </c>
      <c r="BY2809" s="1" t="s">
        <v>699</v>
      </c>
      <c r="BZ2809" s="1" t="s">
        <v>209</v>
      </c>
      <c r="CC2809" s="1" t="s">
        <v>2459</v>
      </c>
      <c r="CD2809" s="1" t="s">
        <v>206</v>
      </c>
      <c r="CG2809" s="1" t="s">
        <v>303</v>
      </c>
      <c r="CH2809" s="1" t="s">
        <v>209</v>
      </c>
      <c r="CK2809" s="1" t="s">
        <v>1672</v>
      </c>
      <c r="CL2809" s="1" t="s">
        <v>209</v>
      </c>
      <c r="CO2809" s="1" t="s">
        <v>1352</v>
      </c>
      <c r="CP2809" s="1" t="s">
        <v>206</v>
      </c>
      <c r="CS2809" s="1" t="s">
        <v>1352</v>
      </c>
      <c r="CT2809" s="1" t="s">
        <v>206</v>
      </c>
      <c r="CX2809" s="1" t="s">
        <v>204</v>
      </c>
      <c r="DA2809" s="1" t="s">
        <v>200</v>
      </c>
      <c r="DC2809" s="1" t="s">
        <v>642</v>
      </c>
      <c r="DE2809" s="1" t="s">
        <v>229</v>
      </c>
      <c r="DF2809" s="1" t="s">
        <v>219</v>
      </c>
      <c r="DH2809" s="1" t="s">
        <v>220</v>
      </c>
      <c r="DJ2809" s="1" t="s">
        <v>222</v>
      </c>
      <c r="DL2809" s="1" t="s">
        <v>223</v>
      </c>
      <c r="DM2809" s="1" t="s">
        <v>229</v>
      </c>
      <c r="DO2809" s="1" t="s">
        <v>1004</v>
      </c>
      <c r="DQ2809" s="1" t="s">
        <v>228</v>
      </c>
      <c r="DR2809" s="1" t="s">
        <v>229</v>
      </c>
      <c r="DV2809" s="1" t="s">
        <v>232</v>
      </c>
      <c r="DW2809" s="1" t="s">
        <v>233</v>
      </c>
      <c r="DX2809" s="1" t="s">
        <v>234</v>
      </c>
      <c r="DZ2809" s="1" t="s">
        <v>236</v>
      </c>
      <c r="EC2809" s="1" t="s">
        <v>237</v>
      </c>
      <c r="EM2809" s="1" t="s">
        <v>238</v>
      </c>
      <c r="EQ2809" s="1" t="s">
        <v>238</v>
      </c>
      <c r="EU2809" s="1" t="s">
        <v>238</v>
      </c>
      <c r="EY2809" s="1" t="s">
        <v>238</v>
      </c>
      <c r="FC2809" s="1" t="s">
        <v>238</v>
      </c>
      <c r="FF2809" s="1" t="s">
        <v>239</v>
      </c>
      <c r="FG2809" s="1" t="s">
        <v>192</v>
      </c>
      <c r="FH2809" s="1" t="s">
        <v>192</v>
      </c>
      <c r="FJ2809" s="1" t="s">
        <v>770</v>
      </c>
      <c r="FK2809" s="1" t="s">
        <v>229</v>
      </c>
      <c r="FL2809" s="1" t="s">
        <v>5844</v>
      </c>
      <c r="FM2809" s="1">
        <v>93084.0</v>
      </c>
      <c r="FN2809" s="1" t="s">
        <v>5845</v>
      </c>
      <c r="FO2809" s="1" t="s">
        <v>6830</v>
      </c>
      <c r="FP2809" s="1">
        <v>930228.0</v>
      </c>
      <c r="FQ2809" s="1" t="s">
        <v>6831</v>
      </c>
      <c r="FU2809" s="1" t="s">
        <v>24668</v>
      </c>
      <c r="FV2809" s="1" t="s">
        <v>200</v>
      </c>
      <c r="FW2809" s="1" t="s">
        <v>3082</v>
      </c>
      <c r="FX2809" s="1" t="s">
        <v>655</v>
      </c>
      <c r="FZ2809" s="1" t="s">
        <v>229</v>
      </c>
      <c r="GA2809" s="1" t="s">
        <v>291</v>
      </c>
      <c r="GB2809" s="2">
        <v>42105.0</v>
      </c>
      <c r="GC2809" s="1" t="s">
        <v>9668</v>
      </c>
    </row>
    <row r="2810">
      <c r="A2810" s="1">
        <v>250000.0</v>
      </c>
      <c r="B2810" s="1" t="s">
        <v>185</v>
      </c>
      <c r="C2810" s="1" t="str">
        <f>"08843106"</f>
        <v>08843106</v>
      </c>
      <c r="D2810" s="1" t="s">
        <v>186</v>
      </c>
      <c r="F2810" s="1" t="str">
        <f>"8055"</f>
        <v>8055</v>
      </c>
      <c r="G2810" s="2">
        <v>42055.0</v>
      </c>
      <c r="H2810" s="1">
        <v>250000.0</v>
      </c>
      <c r="I2810" s="1">
        <v>22.0</v>
      </c>
      <c r="J2810" s="1">
        <v>250000.0</v>
      </c>
      <c r="K2810" s="2">
        <v>42076.0</v>
      </c>
      <c r="L2810" s="1">
        <v>22.0</v>
      </c>
      <c r="M2810" s="2">
        <v>42076.0</v>
      </c>
      <c r="N2810" s="1" t="s">
        <v>187</v>
      </c>
      <c r="O2810" s="2">
        <v>42124.0</v>
      </c>
      <c r="P2810" s="1">
        <v>243259.0</v>
      </c>
      <c r="Q2810" s="1">
        <v>24174.0</v>
      </c>
      <c r="S2810" s="1">
        <v>13454.0</v>
      </c>
      <c r="T2810" s="1" t="s">
        <v>6329</v>
      </c>
      <c r="V2810" s="1" t="s">
        <v>190</v>
      </c>
      <c r="W2810" s="1">
        <v>60633.0</v>
      </c>
      <c r="Y2810" s="1" t="s">
        <v>24669</v>
      </c>
      <c r="Z2810" s="1">
        <v>1907.0</v>
      </c>
      <c r="AA2810" s="1" t="s">
        <v>192</v>
      </c>
      <c r="AB2810" s="1" t="s">
        <v>193</v>
      </c>
      <c r="AD2810" s="1" t="s">
        <v>194</v>
      </c>
      <c r="AE2810" s="1" t="s">
        <v>195</v>
      </c>
      <c r="AF2810" s="1" t="s">
        <v>637</v>
      </c>
      <c r="AH2810" s="1" t="s">
        <v>24670</v>
      </c>
      <c r="AI2810" s="1">
        <v>0.0861</v>
      </c>
      <c r="AK2810" s="1">
        <v>7.0</v>
      </c>
      <c r="AL2810" s="1">
        <v>4.0</v>
      </c>
      <c r="AM2810" s="1">
        <v>2.0</v>
      </c>
      <c r="AN2810" s="1">
        <v>1.0</v>
      </c>
      <c r="AO2810" s="1" t="s">
        <v>198</v>
      </c>
      <c r="AQ2810" s="1" t="s">
        <v>198</v>
      </c>
      <c r="AR2810" s="1" t="s">
        <v>200</v>
      </c>
      <c r="AS2810" s="1" t="s">
        <v>199</v>
      </c>
      <c r="AT2810" s="1">
        <v>2.0</v>
      </c>
      <c r="AV2810" s="1" t="s">
        <v>200</v>
      </c>
      <c r="AW2810" s="1">
        <v>1370.39</v>
      </c>
      <c r="AX2810" s="1">
        <v>2012.0</v>
      </c>
      <c r="AY2810" s="1" t="s">
        <v>387</v>
      </c>
      <c r="AZ2810" s="1" t="s">
        <v>200</v>
      </c>
      <c r="BA2810" s="1" t="str">
        <f>"26323020390000"</f>
        <v>26323020390000</v>
      </c>
      <c r="BB2810" s="1" t="s">
        <v>192</v>
      </c>
      <c r="BC2810" s="1">
        <v>1900.0</v>
      </c>
      <c r="BD2810" s="1">
        <v>250000.0</v>
      </c>
      <c r="BE2810" s="2">
        <v>42055.0</v>
      </c>
      <c r="BF2810" s="2" t="s">
        <v>24671</v>
      </c>
      <c r="BH2810" s="1">
        <v>0.0</v>
      </c>
      <c r="BK2810" s="1" t="s">
        <v>204</v>
      </c>
      <c r="BL2810" s="1" t="str">
        <f>"0"</f>
        <v>0</v>
      </c>
      <c r="BM2810" s="1" t="str">
        <f>"3600"</f>
        <v>3600</v>
      </c>
      <c r="BN2810" s="1">
        <v>0.0</v>
      </c>
      <c r="BO2810" s="1">
        <v>13454.0</v>
      </c>
      <c r="BQ2810" s="1">
        <v>299.0</v>
      </c>
      <c r="BR2810" s="1">
        <v>299.0</v>
      </c>
      <c r="BS2810" s="1">
        <v>299.0</v>
      </c>
      <c r="BU2810" s="1" t="s">
        <v>2219</v>
      </c>
      <c r="BV2810" s="1" t="s">
        <v>206</v>
      </c>
      <c r="BW2810" s="1" t="s">
        <v>207</v>
      </c>
      <c r="BY2810" s="1" t="s">
        <v>584</v>
      </c>
      <c r="BZ2810" s="1" t="s">
        <v>209</v>
      </c>
      <c r="CA2810" s="1" t="s">
        <v>210</v>
      </c>
      <c r="CC2810" s="1" t="s">
        <v>1503</v>
      </c>
      <c r="CD2810" s="1" t="s">
        <v>206</v>
      </c>
      <c r="CE2810" s="1" t="s">
        <v>207</v>
      </c>
      <c r="CG2810" s="1" t="s">
        <v>1852</v>
      </c>
      <c r="CH2810" s="1" t="s">
        <v>206</v>
      </c>
      <c r="CK2810" s="1" t="s">
        <v>302</v>
      </c>
      <c r="CL2810" s="1" t="s">
        <v>209</v>
      </c>
      <c r="CM2810" s="1" t="s">
        <v>210</v>
      </c>
      <c r="CO2810" s="1" t="s">
        <v>663</v>
      </c>
      <c r="CP2810" s="1" t="s">
        <v>206</v>
      </c>
      <c r="CQ2810" s="1" t="s">
        <v>210</v>
      </c>
      <c r="CS2810" s="1" t="s">
        <v>1044</v>
      </c>
      <c r="CT2810" s="1" t="s">
        <v>206</v>
      </c>
      <c r="CU2810" s="1" t="s">
        <v>207</v>
      </c>
      <c r="CX2810" s="1" t="s">
        <v>204</v>
      </c>
      <c r="DA2810" s="1" t="s">
        <v>200</v>
      </c>
      <c r="DC2810" s="1" t="s">
        <v>642</v>
      </c>
      <c r="DD2810" s="1" t="s">
        <v>518</v>
      </c>
      <c r="DE2810" s="1" t="s">
        <v>273</v>
      </c>
      <c r="DF2810" s="1" t="s">
        <v>4878</v>
      </c>
      <c r="DH2810" s="1" t="s">
        <v>220</v>
      </c>
      <c r="DI2810" s="1" t="s">
        <v>703</v>
      </c>
      <c r="DJ2810" s="1" t="s">
        <v>222</v>
      </c>
      <c r="DL2810" s="1" t="s">
        <v>858</v>
      </c>
      <c r="DM2810" s="1" t="s">
        <v>229</v>
      </c>
      <c r="DQ2810" s="1" t="s">
        <v>794</v>
      </c>
      <c r="DR2810" s="1" t="s">
        <v>229</v>
      </c>
      <c r="DV2810" s="1" t="s">
        <v>232</v>
      </c>
      <c r="DW2810" s="1" t="s">
        <v>233</v>
      </c>
      <c r="DX2810" s="1" t="s">
        <v>1287</v>
      </c>
      <c r="DZ2810" s="1" t="s">
        <v>310</v>
      </c>
      <c r="EC2810" s="1" t="s">
        <v>237</v>
      </c>
      <c r="EM2810" s="1" t="s">
        <v>238</v>
      </c>
      <c r="EQ2810" s="1" t="s">
        <v>238</v>
      </c>
      <c r="EU2810" s="1" t="s">
        <v>238</v>
      </c>
      <c r="EY2810" s="1" t="s">
        <v>238</v>
      </c>
      <c r="FC2810" s="1" t="s">
        <v>238</v>
      </c>
      <c r="FF2810" s="1" t="s">
        <v>239</v>
      </c>
      <c r="FG2810" s="1" t="s">
        <v>192</v>
      </c>
      <c r="FH2810" s="1" t="s">
        <v>192</v>
      </c>
      <c r="FJ2810" s="1" t="s">
        <v>3514</v>
      </c>
      <c r="FK2810" s="1" t="s">
        <v>229</v>
      </c>
      <c r="FL2810" s="1" t="s">
        <v>6333</v>
      </c>
      <c r="FM2810" s="1">
        <v>12139.0</v>
      </c>
      <c r="FN2810" s="1" t="s">
        <v>6334</v>
      </c>
      <c r="FO2810" s="1" t="s">
        <v>6335</v>
      </c>
      <c r="FP2810" s="1">
        <v>124517.0</v>
      </c>
      <c r="FQ2810" s="1" t="s">
        <v>6334</v>
      </c>
      <c r="FU2810" s="1" t="s">
        <v>24672</v>
      </c>
      <c r="FV2810" s="1" t="s">
        <v>200</v>
      </c>
      <c r="FW2810" s="1" t="s">
        <v>530</v>
      </c>
      <c r="FX2810" s="1" t="s">
        <v>655</v>
      </c>
      <c r="FZ2810" s="1" t="s">
        <v>229</v>
      </c>
      <c r="GA2810" s="1" t="s">
        <v>247</v>
      </c>
      <c r="GB2810" s="2">
        <v>42125.0</v>
      </c>
    </row>
    <row r="2811">
      <c r="A2811" s="1">
        <v>310000.0</v>
      </c>
      <c r="B2811" s="1" t="s">
        <v>185</v>
      </c>
      <c r="C2811" s="1" t="str">
        <f>"08843646"</f>
        <v>08843646</v>
      </c>
      <c r="D2811" s="1" t="s">
        <v>186</v>
      </c>
      <c r="F2811" s="1" t="str">
        <f>"123"</f>
        <v>123</v>
      </c>
      <c r="G2811" s="2">
        <v>42056.0</v>
      </c>
      <c r="H2811" s="1">
        <v>309500.0</v>
      </c>
      <c r="I2811" s="1">
        <v>13.0</v>
      </c>
      <c r="J2811" s="1">
        <v>309500.0</v>
      </c>
      <c r="K2811" s="2">
        <v>42068.0</v>
      </c>
      <c r="L2811" s="1">
        <v>13.0</v>
      </c>
      <c r="M2811" s="2">
        <v>42068.0</v>
      </c>
      <c r="N2811" s="1" t="s">
        <v>187</v>
      </c>
      <c r="O2811" s="2">
        <v>42101.0</v>
      </c>
      <c r="P2811" s="1">
        <v>36146.0</v>
      </c>
      <c r="Q2811" s="1">
        <v>4777.0</v>
      </c>
      <c r="S2811" s="1">
        <v>343.0</v>
      </c>
      <c r="T2811" s="1" t="s">
        <v>24673</v>
      </c>
      <c r="U2811" s="1" t="s">
        <v>1174</v>
      </c>
      <c r="V2811" s="1" t="s">
        <v>465</v>
      </c>
      <c r="W2811" s="1">
        <v>60124.0</v>
      </c>
      <c r="Y2811" s="1" t="s">
        <v>24674</v>
      </c>
      <c r="Z2811" s="1">
        <v>2006.0</v>
      </c>
      <c r="AA2811" s="1" t="s">
        <v>200</v>
      </c>
      <c r="AB2811" s="1" t="s">
        <v>467</v>
      </c>
      <c r="AC2811" s="1" t="s">
        <v>13378</v>
      </c>
      <c r="AD2811" s="1" t="s">
        <v>469</v>
      </c>
      <c r="AE2811" s="1" t="s">
        <v>325</v>
      </c>
      <c r="AF2811" s="1" t="s">
        <v>572</v>
      </c>
      <c r="AH2811" s="1" t="s">
        <v>24675</v>
      </c>
      <c r="AI2811" s="1">
        <v>0.24</v>
      </c>
      <c r="AK2811" s="1">
        <v>11.0</v>
      </c>
      <c r="AL2811" s="1">
        <v>4.0</v>
      </c>
      <c r="AM2811" s="1">
        <v>2.0</v>
      </c>
      <c r="AN2811" s="1">
        <v>1.0</v>
      </c>
      <c r="AO2811" s="1" t="s">
        <v>198</v>
      </c>
      <c r="AP2811" s="1">
        <v>1.0</v>
      </c>
      <c r="AQ2811" s="1" t="s">
        <v>472</v>
      </c>
      <c r="AR2811" s="1" t="s">
        <v>200</v>
      </c>
      <c r="AS2811" s="1" t="s">
        <v>199</v>
      </c>
      <c r="AT2811" s="1">
        <v>3.0</v>
      </c>
      <c r="AV2811" s="1" t="s">
        <v>200</v>
      </c>
      <c r="AW2811" s="1">
        <v>10354.0</v>
      </c>
      <c r="AX2811" s="1">
        <v>2013.0</v>
      </c>
      <c r="AZ2811" s="1" t="s">
        <v>200</v>
      </c>
      <c r="BA2811" s="1" t="str">
        <f>"0524477003"</f>
        <v>0524477003</v>
      </c>
      <c r="BC2811" s="1">
        <v>3106.0</v>
      </c>
      <c r="BD2811" s="1">
        <v>310000.0</v>
      </c>
      <c r="BE2811" s="2">
        <v>42056.0</v>
      </c>
      <c r="BF2811" s="2" t="s">
        <v>24676</v>
      </c>
      <c r="BG2811" s="1" t="s">
        <v>3686</v>
      </c>
      <c r="BH2811" s="1">
        <v>35.0</v>
      </c>
      <c r="BI2811" s="1" t="s">
        <v>578</v>
      </c>
      <c r="BJ2811" s="1" t="s">
        <v>579</v>
      </c>
      <c r="BK2811" s="1" t="s">
        <v>474</v>
      </c>
      <c r="BL2811" s="1" t="str">
        <f>"11"</f>
        <v>11</v>
      </c>
      <c r="BM2811" s="1" t="str">
        <f>""</f>
        <v/>
      </c>
      <c r="BN2811" s="1">
        <v>38.0</v>
      </c>
      <c r="BQ2811" s="1">
        <v>301.0</v>
      </c>
      <c r="BR2811" s="1">
        <v>301.0</v>
      </c>
      <c r="BS2811" s="1">
        <v>301.0</v>
      </c>
      <c r="BU2811" s="1" t="s">
        <v>302</v>
      </c>
      <c r="BV2811" s="1" t="s">
        <v>206</v>
      </c>
      <c r="BW2811" s="1" t="s">
        <v>210</v>
      </c>
      <c r="BX2811" s="1" t="s">
        <v>239</v>
      </c>
      <c r="BY2811" s="1" t="s">
        <v>334</v>
      </c>
      <c r="BZ2811" s="1" t="s">
        <v>209</v>
      </c>
      <c r="CA2811" s="1" t="s">
        <v>210</v>
      </c>
      <c r="CB2811" s="1" t="s">
        <v>239</v>
      </c>
      <c r="CC2811" s="1" t="s">
        <v>302</v>
      </c>
      <c r="CD2811" s="1" t="s">
        <v>206</v>
      </c>
      <c r="CE2811" s="1" t="s">
        <v>210</v>
      </c>
      <c r="CF2811" s="1" t="s">
        <v>239</v>
      </c>
      <c r="CG2811" s="1" t="s">
        <v>699</v>
      </c>
      <c r="CH2811" s="1" t="s">
        <v>209</v>
      </c>
      <c r="CI2811" s="1" t="s">
        <v>210</v>
      </c>
      <c r="CJ2811" s="1" t="s">
        <v>239</v>
      </c>
      <c r="CK2811" s="1" t="s">
        <v>2459</v>
      </c>
      <c r="CL2811" s="1" t="s">
        <v>209</v>
      </c>
      <c r="CM2811" s="1" t="s">
        <v>210</v>
      </c>
      <c r="CN2811" s="1" t="s">
        <v>239</v>
      </c>
      <c r="CO2811" s="1" t="s">
        <v>264</v>
      </c>
      <c r="CP2811" s="1" t="s">
        <v>209</v>
      </c>
      <c r="CQ2811" s="1" t="s">
        <v>210</v>
      </c>
      <c r="CR2811" s="1" t="s">
        <v>239</v>
      </c>
      <c r="CS2811" s="1" t="s">
        <v>300</v>
      </c>
      <c r="CT2811" s="1" t="s">
        <v>206</v>
      </c>
      <c r="CU2811" s="1" t="s">
        <v>207</v>
      </c>
      <c r="CV2811" s="1" t="s">
        <v>239</v>
      </c>
      <c r="CW2811" s="1" t="s">
        <v>334</v>
      </c>
      <c r="CX2811" s="1" t="s">
        <v>206</v>
      </c>
      <c r="CY2811" s="1" t="s">
        <v>210</v>
      </c>
      <c r="CZ2811" s="1" t="s">
        <v>239</v>
      </c>
      <c r="DA2811" s="1" t="s">
        <v>200</v>
      </c>
      <c r="DC2811" s="1" t="s">
        <v>481</v>
      </c>
      <c r="DD2811" s="1" t="s">
        <v>272</v>
      </c>
      <c r="DE2811" s="1" t="s">
        <v>273</v>
      </c>
      <c r="DF2811" s="1" t="s">
        <v>219</v>
      </c>
      <c r="DG2811" s="1" t="s">
        <v>482</v>
      </c>
      <c r="DH2811" s="1" t="s">
        <v>220</v>
      </c>
      <c r="DI2811" s="1" t="s">
        <v>959</v>
      </c>
      <c r="DJ2811" s="1" t="s">
        <v>222</v>
      </c>
      <c r="DL2811" s="1" t="s">
        <v>223</v>
      </c>
      <c r="DM2811" s="1" t="s">
        <v>338</v>
      </c>
      <c r="DN2811" s="1" t="s">
        <v>485</v>
      </c>
      <c r="DO2811" s="1" t="s">
        <v>486</v>
      </c>
      <c r="DP2811" s="1" t="s">
        <v>276</v>
      </c>
      <c r="DQ2811" s="1" t="s">
        <v>228</v>
      </c>
      <c r="DR2811" s="1" t="s">
        <v>229</v>
      </c>
      <c r="DS2811" s="1" t="s">
        <v>230</v>
      </c>
      <c r="DU2811" s="1" t="s">
        <v>1355</v>
      </c>
      <c r="DV2811" s="1" t="s">
        <v>488</v>
      </c>
      <c r="DW2811" s="1" t="s">
        <v>588</v>
      </c>
      <c r="DX2811" s="1" t="s">
        <v>234</v>
      </c>
      <c r="DY2811" s="1" t="s">
        <v>490</v>
      </c>
      <c r="DZ2811" s="1" t="s">
        <v>8649</v>
      </c>
      <c r="EA2811" s="1" t="s">
        <v>344</v>
      </c>
      <c r="EC2811" s="1" t="s">
        <v>237</v>
      </c>
      <c r="ED2811" s="1" t="s">
        <v>407</v>
      </c>
      <c r="EE2811" s="1" t="s">
        <v>493</v>
      </c>
      <c r="EG2811" s="1" t="s">
        <v>449</v>
      </c>
      <c r="EH2811" s="1" t="s">
        <v>494</v>
      </c>
      <c r="EI2811" s="1" t="s">
        <v>341</v>
      </c>
      <c r="EL2811" s="1" t="s">
        <v>475</v>
      </c>
      <c r="EM2811" s="1" t="s">
        <v>206</v>
      </c>
      <c r="EN2811" s="1" t="s">
        <v>207</v>
      </c>
      <c r="EO2811" s="1" t="s">
        <v>239</v>
      </c>
      <c r="EP2811" s="1" t="s">
        <v>269</v>
      </c>
      <c r="EQ2811" s="1" t="s">
        <v>206</v>
      </c>
      <c r="ER2811" s="1" t="s">
        <v>210</v>
      </c>
      <c r="ES2811" s="1" t="s">
        <v>239</v>
      </c>
      <c r="ET2811" s="1" t="s">
        <v>300</v>
      </c>
      <c r="EU2811" s="1" t="s">
        <v>209</v>
      </c>
      <c r="EV2811" s="1" t="s">
        <v>210</v>
      </c>
      <c r="EY2811" s="1" t="s">
        <v>238</v>
      </c>
      <c r="FC2811" s="1" t="s">
        <v>238</v>
      </c>
      <c r="FF2811" s="1" t="s">
        <v>239</v>
      </c>
      <c r="FG2811" s="1" t="s">
        <v>192</v>
      </c>
      <c r="FH2811" s="1" t="s">
        <v>192</v>
      </c>
      <c r="FJ2811" s="1" t="s">
        <v>1450</v>
      </c>
      <c r="FK2811" s="1" t="s">
        <v>229</v>
      </c>
      <c r="FL2811" s="1" t="s">
        <v>2580</v>
      </c>
      <c r="FM2811" s="1">
        <v>23265.0</v>
      </c>
      <c r="FN2811" s="1" t="s">
        <v>2581</v>
      </c>
      <c r="FO2811" s="1" t="s">
        <v>9791</v>
      </c>
      <c r="FP2811" s="1">
        <v>232075.0</v>
      </c>
      <c r="FQ2811" s="1" t="s">
        <v>9792</v>
      </c>
      <c r="FR2811" s="1">
        <v>225730.0</v>
      </c>
      <c r="FS2811" s="1" t="s">
        <v>9793</v>
      </c>
      <c r="FU2811" s="1" t="s">
        <v>24677</v>
      </c>
      <c r="FV2811" s="1" t="s">
        <v>200</v>
      </c>
      <c r="FW2811" s="1" t="s">
        <v>2754</v>
      </c>
      <c r="FZ2811" s="1" t="s">
        <v>632</v>
      </c>
      <c r="GA2811" s="1" t="s">
        <v>291</v>
      </c>
      <c r="GB2811" s="2">
        <v>42101.0</v>
      </c>
      <c r="GC2811" s="1" t="s">
        <v>24678</v>
      </c>
    </row>
    <row r="2812">
      <c r="A2812" s="1">
        <v>363500.0</v>
      </c>
      <c r="B2812" s="1" t="s">
        <v>185</v>
      </c>
      <c r="C2812" s="1" t="str">
        <f>"08843468"</f>
        <v>08843468</v>
      </c>
      <c r="D2812" s="1" t="s">
        <v>186</v>
      </c>
      <c r="F2812" s="1" t="str">
        <f>"8016"</f>
        <v>8016</v>
      </c>
      <c r="G2812" s="2">
        <v>42055.0</v>
      </c>
      <c r="H2812" s="1">
        <v>374900.0</v>
      </c>
      <c r="I2812" s="1">
        <v>10.0</v>
      </c>
      <c r="J2812" s="1">
        <v>374900.0</v>
      </c>
      <c r="K2812" s="2">
        <v>42064.0</v>
      </c>
      <c r="L2812" s="1">
        <v>10.0</v>
      </c>
      <c r="M2812" s="2">
        <v>42064.0</v>
      </c>
      <c r="N2812" s="1" t="s">
        <v>187</v>
      </c>
      <c r="O2812" s="2">
        <v>42094.0</v>
      </c>
      <c r="P2812" s="1">
        <v>173202.0</v>
      </c>
      <c r="Q2812" s="1">
        <v>18328.0</v>
      </c>
      <c r="R2812" s="1">
        <v>7000.0</v>
      </c>
      <c r="S2812" s="1">
        <v>4159.0</v>
      </c>
      <c r="T2812" s="1" t="s">
        <v>5251</v>
      </c>
      <c r="U2812" s="1" t="s">
        <v>189</v>
      </c>
      <c r="V2812" s="1" t="s">
        <v>190</v>
      </c>
      <c r="W2812" s="1">
        <v>60641.0</v>
      </c>
      <c r="Y2812" s="1" t="s">
        <v>24679</v>
      </c>
      <c r="Z2812" s="1">
        <v>1906.0</v>
      </c>
      <c r="AA2812" s="1" t="s">
        <v>192</v>
      </c>
      <c r="AB2812" s="1" t="s">
        <v>193</v>
      </c>
      <c r="AD2812" s="1" t="s">
        <v>194</v>
      </c>
      <c r="AE2812" s="1" t="s">
        <v>195</v>
      </c>
      <c r="AF2812" s="1" t="s">
        <v>196</v>
      </c>
      <c r="AH2812" s="1" t="s">
        <v>741</v>
      </c>
      <c r="AK2812" s="1">
        <v>6.0</v>
      </c>
      <c r="AL2812" s="1">
        <v>4.0</v>
      </c>
      <c r="AM2812" s="1">
        <v>2.0</v>
      </c>
      <c r="AN2812" s="1">
        <v>0.0</v>
      </c>
      <c r="AO2812" s="1" t="s">
        <v>198</v>
      </c>
      <c r="AP2812" s="1">
        <v>0.0</v>
      </c>
      <c r="AQ2812" s="1" t="s">
        <v>1314</v>
      </c>
      <c r="AR2812" s="1" t="s">
        <v>200</v>
      </c>
      <c r="AS2812" s="1" t="s">
        <v>199</v>
      </c>
      <c r="AT2812" s="1">
        <v>1.0</v>
      </c>
      <c r="AV2812" s="1" t="s">
        <v>200</v>
      </c>
      <c r="AW2812" s="1">
        <v>2779.45</v>
      </c>
      <c r="AX2812" s="1">
        <v>2013.0</v>
      </c>
      <c r="AZ2812" s="1" t="s">
        <v>200</v>
      </c>
      <c r="BA2812" s="1" t="str">
        <f>"13153190010000"</f>
        <v>13153190010000</v>
      </c>
      <c r="BB2812" s="1" t="s">
        <v>200</v>
      </c>
      <c r="BC2812" s="1">
        <v>1102.0</v>
      </c>
      <c r="BD2812" s="1">
        <v>363500.0</v>
      </c>
      <c r="BE2812" s="2">
        <v>42055.0</v>
      </c>
      <c r="BF2812" s="2" t="s">
        <v>24680</v>
      </c>
      <c r="BG2812" s="1" t="s">
        <v>7569</v>
      </c>
      <c r="BH2812" s="1">
        <v>0.0</v>
      </c>
      <c r="BI2812" s="1" t="s">
        <v>17522</v>
      </c>
      <c r="BJ2812" s="1" t="s">
        <v>203</v>
      </c>
      <c r="BK2812" s="1" t="s">
        <v>204</v>
      </c>
      <c r="BL2812" s="1" t="str">
        <f>"4159"</f>
        <v>4159</v>
      </c>
      <c r="BM2812" s="1" t="str">
        <f>"0"</f>
        <v>0</v>
      </c>
      <c r="BN2812" s="1">
        <v>4500.0</v>
      </c>
      <c r="BO2812" s="1">
        <v>0.0</v>
      </c>
      <c r="BQ2812" s="1">
        <v>299.0</v>
      </c>
      <c r="BR2812" s="1">
        <v>299.0</v>
      </c>
      <c r="BS2812" s="1">
        <v>299.0</v>
      </c>
      <c r="BU2812" s="1" t="s">
        <v>433</v>
      </c>
      <c r="BV2812" s="1" t="s">
        <v>206</v>
      </c>
      <c r="BY2812" s="1" t="s">
        <v>213</v>
      </c>
      <c r="BZ2812" s="1" t="s">
        <v>206</v>
      </c>
      <c r="CD2812" s="1" t="s">
        <v>204</v>
      </c>
      <c r="CG2812" s="1" t="s">
        <v>495</v>
      </c>
      <c r="CH2812" s="1" t="s">
        <v>209</v>
      </c>
      <c r="CK2812" s="1" t="s">
        <v>212</v>
      </c>
      <c r="CL2812" s="1" t="s">
        <v>209</v>
      </c>
      <c r="CO2812" s="1" t="s">
        <v>212</v>
      </c>
      <c r="CP2812" s="1" t="s">
        <v>209</v>
      </c>
      <c r="CS2812" s="1" t="s">
        <v>758</v>
      </c>
      <c r="CT2812" s="1" t="s">
        <v>206</v>
      </c>
      <c r="CX2812" s="1" t="s">
        <v>204</v>
      </c>
      <c r="DA2812" s="1" t="s">
        <v>200</v>
      </c>
      <c r="DC2812" s="1" t="s">
        <v>642</v>
      </c>
      <c r="DE2812" s="1" t="s">
        <v>273</v>
      </c>
      <c r="DF2812" s="1" t="s">
        <v>619</v>
      </c>
      <c r="DG2812" s="1" t="s">
        <v>482</v>
      </c>
      <c r="DH2812" s="1" t="s">
        <v>307</v>
      </c>
      <c r="DI2812" s="1" t="s">
        <v>24681</v>
      </c>
      <c r="DJ2812" s="1" t="s">
        <v>222</v>
      </c>
      <c r="DL2812" s="1" t="s">
        <v>858</v>
      </c>
      <c r="DM2812" s="1" t="s">
        <v>229</v>
      </c>
      <c r="DO2812" s="1" t="s">
        <v>590</v>
      </c>
      <c r="DQ2812" s="1" t="s">
        <v>228</v>
      </c>
      <c r="DR2812" s="1" t="s">
        <v>229</v>
      </c>
      <c r="DV2812" s="1" t="s">
        <v>232</v>
      </c>
      <c r="DW2812" s="1" t="s">
        <v>667</v>
      </c>
      <c r="DX2812" s="1" t="s">
        <v>234</v>
      </c>
      <c r="DZ2812" s="1" t="s">
        <v>12307</v>
      </c>
      <c r="EA2812" s="1" t="s">
        <v>12644</v>
      </c>
      <c r="EC2812" s="1" t="s">
        <v>237</v>
      </c>
      <c r="EM2812" s="1" t="s">
        <v>238</v>
      </c>
      <c r="EQ2812" s="1" t="s">
        <v>238</v>
      </c>
      <c r="EU2812" s="1" t="s">
        <v>238</v>
      </c>
      <c r="EY2812" s="1" t="s">
        <v>238</v>
      </c>
      <c r="FC2812" s="1" t="s">
        <v>238</v>
      </c>
      <c r="FF2812" s="1" t="s">
        <v>239</v>
      </c>
      <c r="FG2812" s="1" t="s">
        <v>192</v>
      </c>
      <c r="FH2812" s="1" t="s">
        <v>192</v>
      </c>
      <c r="FJ2812" s="1" t="s">
        <v>1450</v>
      </c>
      <c r="FK2812" s="1" t="s">
        <v>229</v>
      </c>
      <c r="FL2812" s="1" t="s">
        <v>24682</v>
      </c>
      <c r="FM2812" s="1">
        <v>85075.0</v>
      </c>
      <c r="FN2812" s="1" t="s">
        <v>24683</v>
      </c>
      <c r="FO2812" s="1" t="s">
        <v>24684</v>
      </c>
      <c r="FP2812" s="1">
        <v>185984.0</v>
      </c>
      <c r="FQ2812" s="1" t="s">
        <v>24685</v>
      </c>
      <c r="FU2812" s="1" t="s">
        <v>15312</v>
      </c>
      <c r="FV2812" s="1" t="s">
        <v>192</v>
      </c>
      <c r="FW2812" s="1" t="s">
        <v>290</v>
      </c>
      <c r="FX2812" s="1" t="s">
        <v>238</v>
      </c>
      <c r="FZ2812" s="1" t="s">
        <v>229</v>
      </c>
      <c r="GA2812" s="1" t="s">
        <v>291</v>
      </c>
      <c r="GB2812" s="2">
        <v>42121.0</v>
      </c>
      <c r="GC2812" s="1" t="s">
        <v>24686</v>
      </c>
    </row>
    <row r="2813">
      <c r="A2813" s="1">
        <v>220500.0</v>
      </c>
      <c r="B2813" s="1" t="s">
        <v>185</v>
      </c>
      <c r="C2813" s="1" t="str">
        <f>"08857613"</f>
        <v>08857613</v>
      </c>
      <c r="D2813" s="1" t="s">
        <v>186</v>
      </c>
      <c r="F2813" s="1" t="str">
        <f>"110"</f>
        <v>110</v>
      </c>
      <c r="G2813" s="2">
        <v>42073.0</v>
      </c>
      <c r="H2813" s="1">
        <v>226000.0</v>
      </c>
      <c r="I2813" s="1">
        <v>7.0</v>
      </c>
      <c r="J2813" s="1">
        <v>226000.0</v>
      </c>
      <c r="K2813" s="2">
        <v>42079.0</v>
      </c>
      <c r="L2813" s="1">
        <v>7.0</v>
      </c>
      <c r="M2813" s="2">
        <v>42079.0</v>
      </c>
      <c r="N2813" s="1" t="s">
        <v>356</v>
      </c>
      <c r="O2813" s="2">
        <v>42135.0</v>
      </c>
      <c r="P2813" s="1">
        <v>237092.0</v>
      </c>
      <c r="Q2813" s="1">
        <v>22993.0</v>
      </c>
      <c r="S2813" s="1">
        <v>158.0</v>
      </c>
      <c r="T2813" s="1" t="s">
        <v>13178</v>
      </c>
      <c r="U2813" s="1" t="s">
        <v>569</v>
      </c>
      <c r="V2813" s="1" t="s">
        <v>807</v>
      </c>
      <c r="W2813" s="1">
        <v>60110.0</v>
      </c>
      <c r="Y2813" s="1" t="s">
        <v>24687</v>
      </c>
      <c r="Z2813" s="1">
        <v>1993.0</v>
      </c>
      <c r="AA2813" s="1" t="s">
        <v>200</v>
      </c>
      <c r="AB2813" s="1" t="s">
        <v>193</v>
      </c>
      <c r="AC2813" s="1" t="s">
        <v>13180</v>
      </c>
      <c r="AD2813" s="1" t="s">
        <v>809</v>
      </c>
      <c r="AE2813" s="1" t="s">
        <v>325</v>
      </c>
      <c r="AF2813" s="1" t="s">
        <v>810</v>
      </c>
      <c r="AG2813" s="1" t="s">
        <v>24688</v>
      </c>
      <c r="AH2813" s="1" t="s">
        <v>24689</v>
      </c>
      <c r="AK2813" s="1">
        <v>9.0</v>
      </c>
      <c r="AL2813" s="1">
        <v>4.0</v>
      </c>
      <c r="AM2813" s="1">
        <v>3.0</v>
      </c>
      <c r="AN2813" s="1">
        <v>0.0</v>
      </c>
      <c r="AO2813" s="1" t="s">
        <v>198</v>
      </c>
      <c r="AP2813" s="1">
        <v>1.0</v>
      </c>
      <c r="AQ2813" s="1" t="s">
        <v>472</v>
      </c>
      <c r="AR2813" s="1" t="s">
        <v>192</v>
      </c>
      <c r="AS2813" s="1" t="s">
        <v>199</v>
      </c>
      <c r="AT2813" s="1">
        <v>2.0</v>
      </c>
      <c r="AV2813" s="1" t="s">
        <v>200</v>
      </c>
      <c r="AW2813" s="1">
        <v>6865.78</v>
      </c>
      <c r="AX2813" s="1">
        <v>2014.0</v>
      </c>
      <c r="AY2813" s="1" t="s">
        <v>387</v>
      </c>
      <c r="AZ2813" s="1" t="s">
        <v>200</v>
      </c>
      <c r="BA2813" s="1" t="str">
        <f>"0316476013"</f>
        <v>0316476013</v>
      </c>
      <c r="BB2813" s="1" t="s">
        <v>200</v>
      </c>
      <c r="BC2813" s="1">
        <v>2310.0</v>
      </c>
      <c r="BD2813" s="1">
        <v>220500.0</v>
      </c>
      <c r="BE2813" s="2">
        <v>42073.0</v>
      </c>
      <c r="BF2813" s="2" t="s">
        <v>24690</v>
      </c>
      <c r="BG2813" s="1" t="s">
        <v>3486</v>
      </c>
      <c r="BH2813" s="1">
        <v>0.0</v>
      </c>
      <c r="BI2813" s="1" t="s">
        <v>1093</v>
      </c>
      <c r="BJ2813" s="1" t="s">
        <v>1759</v>
      </c>
      <c r="BK2813" s="1" t="s">
        <v>204</v>
      </c>
      <c r="BL2813" s="1" t="str">
        <f t="shared" ref="BL2813:BM2813" si="1829">""</f>
        <v/>
      </c>
      <c r="BM2813" s="1" t="str">
        <f t="shared" si="1829"/>
        <v/>
      </c>
      <c r="BQ2813" s="1">
        <v>300.0</v>
      </c>
      <c r="BR2813" s="1">
        <v>300.0</v>
      </c>
      <c r="BS2813" s="1">
        <v>300.0</v>
      </c>
      <c r="BU2813" s="1" t="s">
        <v>211</v>
      </c>
      <c r="BV2813" s="1" t="s">
        <v>206</v>
      </c>
      <c r="BW2813" s="1" t="s">
        <v>210</v>
      </c>
      <c r="BX2813" s="1" t="s">
        <v>431</v>
      </c>
      <c r="BY2813" s="1" t="s">
        <v>1068</v>
      </c>
      <c r="BZ2813" s="1" t="s">
        <v>206</v>
      </c>
      <c r="CA2813" s="1" t="s">
        <v>210</v>
      </c>
      <c r="CB2813" s="1" t="s">
        <v>431</v>
      </c>
      <c r="CC2813" s="1" t="s">
        <v>647</v>
      </c>
      <c r="CD2813" s="1" t="s">
        <v>206</v>
      </c>
      <c r="CE2813" s="1" t="s">
        <v>210</v>
      </c>
      <c r="CF2813" s="1" t="s">
        <v>431</v>
      </c>
      <c r="CG2813" s="1" t="s">
        <v>264</v>
      </c>
      <c r="CH2813" s="1" t="s">
        <v>206</v>
      </c>
      <c r="CI2813" s="1" t="s">
        <v>210</v>
      </c>
      <c r="CK2813" s="1" t="s">
        <v>264</v>
      </c>
      <c r="CL2813" s="1" t="s">
        <v>206</v>
      </c>
      <c r="CM2813" s="1" t="s">
        <v>210</v>
      </c>
      <c r="CO2813" s="1" t="s">
        <v>363</v>
      </c>
      <c r="CP2813" s="1" t="s">
        <v>267</v>
      </c>
      <c r="CQ2813" s="1" t="s">
        <v>210</v>
      </c>
      <c r="CS2813" s="1" t="s">
        <v>699</v>
      </c>
      <c r="CT2813" s="1" t="s">
        <v>206</v>
      </c>
      <c r="CU2813" s="1" t="s">
        <v>617</v>
      </c>
      <c r="CW2813" s="1" t="s">
        <v>6425</v>
      </c>
      <c r="CX2813" s="1" t="s">
        <v>267</v>
      </c>
      <c r="CY2813" s="1" t="s">
        <v>210</v>
      </c>
      <c r="DA2813" s="1" t="s">
        <v>200</v>
      </c>
      <c r="DC2813" s="1" t="s">
        <v>435</v>
      </c>
      <c r="DD2813" s="1" t="s">
        <v>518</v>
      </c>
      <c r="DE2813" s="1" t="s">
        <v>273</v>
      </c>
      <c r="DF2813" s="1" t="s">
        <v>619</v>
      </c>
      <c r="DH2813" s="1" t="s">
        <v>220</v>
      </c>
      <c r="DI2813" s="1" t="s">
        <v>789</v>
      </c>
      <c r="DJ2813" s="1" t="s">
        <v>222</v>
      </c>
      <c r="DK2813" s="1" t="s">
        <v>223</v>
      </c>
      <c r="DL2813" s="1" t="s">
        <v>224</v>
      </c>
      <c r="DM2813" s="1" t="s">
        <v>229</v>
      </c>
      <c r="DN2813" s="1" t="s">
        <v>399</v>
      </c>
      <c r="DO2813" s="1" t="s">
        <v>549</v>
      </c>
      <c r="DP2813" s="1" t="s">
        <v>276</v>
      </c>
      <c r="DQ2813" s="1" t="s">
        <v>228</v>
      </c>
      <c r="DR2813" s="1" t="s">
        <v>229</v>
      </c>
      <c r="DS2813" s="1" t="s">
        <v>230</v>
      </c>
      <c r="DU2813" s="1" t="s">
        <v>9153</v>
      </c>
      <c r="DV2813" s="1" t="s">
        <v>24691</v>
      </c>
      <c r="DW2813" s="1" t="s">
        <v>233</v>
      </c>
      <c r="DX2813" s="1" t="s">
        <v>234</v>
      </c>
      <c r="DY2813" s="1" t="s">
        <v>10241</v>
      </c>
      <c r="DZ2813" s="1" t="s">
        <v>310</v>
      </c>
      <c r="EA2813" s="1" t="s">
        <v>554</v>
      </c>
      <c r="EB2813" s="1" t="s">
        <v>345</v>
      </c>
      <c r="EC2813" s="1" t="s">
        <v>237</v>
      </c>
      <c r="ED2813" s="1" t="s">
        <v>407</v>
      </c>
      <c r="EG2813" s="1" t="s">
        <v>449</v>
      </c>
      <c r="EH2813" s="1" t="s">
        <v>1103</v>
      </c>
      <c r="EL2813" s="1" t="s">
        <v>721</v>
      </c>
      <c r="EM2813" s="1" t="s">
        <v>206</v>
      </c>
      <c r="EN2813" s="1" t="s">
        <v>617</v>
      </c>
      <c r="EO2813" s="1" t="s">
        <v>431</v>
      </c>
      <c r="EP2813" s="1" t="s">
        <v>433</v>
      </c>
      <c r="EQ2813" s="1" t="s">
        <v>267</v>
      </c>
      <c r="ER2813" s="1" t="s">
        <v>588</v>
      </c>
      <c r="EU2813" s="1" t="s">
        <v>238</v>
      </c>
      <c r="EY2813" s="1" t="s">
        <v>238</v>
      </c>
      <c r="FC2813" s="1" t="s">
        <v>238</v>
      </c>
      <c r="FF2813" s="1" t="s">
        <v>239</v>
      </c>
      <c r="FG2813" s="1" t="s">
        <v>192</v>
      </c>
      <c r="FH2813" s="1" t="s">
        <v>192</v>
      </c>
      <c r="FJ2813" s="1" t="s">
        <v>9306</v>
      </c>
      <c r="FK2813" s="1" t="s">
        <v>229</v>
      </c>
      <c r="FL2813" s="1" t="s">
        <v>456</v>
      </c>
      <c r="FM2813" s="1">
        <v>49.0</v>
      </c>
      <c r="FN2813" s="1" t="s">
        <v>457</v>
      </c>
      <c r="FO2813" s="1" t="s">
        <v>24692</v>
      </c>
      <c r="FP2813" s="1">
        <v>78186.0</v>
      </c>
      <c r="FQ2813" s="1" t="s">
        <v>24693</v>
      </c>
      <c r="FU2813" s="1" t="s">
        <v>24694</v>
      </c>
      <c r="FV2813" s="1" t="s">
        <v>200</v>
      </c>
      <c r="FW2813" s="1" t="s">
        <v>290</v>
      </c>
      <c r="FZ2813" s="1" t="s">
        <v>229</v>
      </c>
      <c r="GA2813" s="1" t="s">
        <v>291</v>
      </c>
      <c r="GB2813" s="2">
        <v>42135.0</v>
      </c>
      <c r="GC2813" s="1" t="s">
        <v>24695</v>
      </c>
    </row>
    <row r="2814">
      <c r="A2814" s="1">
        <v>40000.0</v>
      </c>
      <c r="B2814" s="1" t="s">
        <v>185</v>
      </c>
      <c r="C2814" s="1" t="str">
        <f>"08838901"</f>
        <v>08838901</v>
      </c>
      <c r="D2814" s="1" t="s">
        <v>186</v>
      </c>
      <c r="F2814" s="1" t="str">
        <f>"8071"</f>
        <v>8071</v>
      </c>
      <c r="G2814" s="2">
        <v>42049.0</v>
      </c>
      <c r="H2814" s="1">
        <v>40000.0</v>
      </c>
      <c r="I2814" s="1">
        <v>682.0</v>
      </c>
      <c r="J2814" s="1">
        <v>40000.0</v>
      </c>
      <c r="K2814" s="2">
        <v>42095.0</v>
      </c>
      <c r="L2814" s="1">
        <v>48.0</v>
      </c>
      <c r="M2814" s="2">
        <v>42095.0</v>
      </c>
      <c r="N2814" s="1" t="s">
        <v>249</v>
      </c>
      <c r="O2814" s="2">
        <v>42128.0</v>
      </c>
      <c r="P2814" s="1">
        <v>115775.0</v>
      </c>
      <c r="Q2814" s="1">
        <v>16379.0</v>
      </c>
      <c r="S2814" s="1">
        <v>8814.0</v>
      </c>
      <c r="T2814" s="1" t="s">
        <v>2559</v>
      </c>
      <c r="U2814" s="1" t="s">
        <v>320</v>
      </c>
      <c r="V2814" s="1" t="s">
        <v>190</v>
      </c>
      <c r="W2814" s="1">
        <v>60620.0</v>
      </c>
      <c r="Y2814" s="1" t="s">
        <v>24696</v>
      </c>
      <c r="Z2814" s="1" t="s">
        <v>296</v>
      </c>
      <c r="AA2814" s="1" t="s">
        <v>192</v>
      </c>
      <c r="AB2814" s="1" t="s">
        <v>193</v>
      </c>
      <c r="AD2814" s="1" t="s">
        <v>194</v>
      </c>
      <c r="AE2814" s="1" t="s">
        <v>195</v>
      </c>
      <c r="AF2814" s="1" t="s">
        <v>659</v>
      </c>
      <c r="AH2814" s="1" t="s">
        <v>741</v>
      </c>
      <c r="AI2814" s="1">
        <v>0.1008</v>
      </c>
      <c r="AK2814" s="1">
        <v>7.0</v>
      </c>
      <c r="AL2814" s="1">
        <v>3.0</v>
      </c>
      <c r="AM2814" s="1">
        <v>2.0</v>
      </c>
      <c r="AN2814" s="1">
        <v>0.0</v>
      </c>
      <c r="AO2814" s="1" t="s">
        <v>229</v>
      </c>
      <c r="AP2814" s="1">
        <v>1.0</v>
      </c>
      <c r="AQ2814" s="1" t="s">
        <v>327</v>
      </c>
      <c r="AR2814" s="1" t="s">
        <v>192</v>
      </c>
      <c r="AS2814" s="1" t="s">
        <v>229</v>
      </c>
      <c r="AV2814" s="1" t="s">
        <v>200</v>
      </c>
      <c r="AW2814" s="1">
        <v>2106.1</v>
      </c>
      <c r="AX2814" s="1">
        <v>2013.0</v>
      </c>
      <c r="AY2814" s="1" t="s">
        <v>229</v>
      </c>
      <c r="AZ2814" s="1" t="s">
        <v>200</v>
      </c>
      <c r="BA2814" s="1" t="str">
        <f>"25051100220000"</f>
        <v>25051100220000</v>
      </c>
      <c r="BB2814" s="1" t="s">
        <v>200</v>
      </c>
      <c r="BC2814" s="1">
        <v>1051.0</v>
      </c>
      <c r="BD2814" s="1">
        <v>40000.0</v>
      </c>
      <c r="BE2814" s="2">
        <v>42048.0</v>
      </c>
      <c r="BF2814" s="1" t="s">
        <v>24697</v>
      </c>
      <c r="BH2814" s="1">
        <v>0.0</v>
      </c>
      <c r="BK2814" s="1" t="s">
        <v>204</v>
      </c>
      <c r="BL2814" s="1" t="str">
        <f t="shared" ref="BL2814:BM2814" si="1830">"0"</f>
        <v>0</v>
      </c>
      <c r="BM2814" s="1" t="str">
        <f t="shared" si="1830"/>
        <v>0</v>
      </c>
      <c r="BN2814" s="1">
        <v>1400.0</v>
      </c>
      <c r="BO2814" s="1">
        <v>8814.0</v>
      </c>
      <c r="BQ2814" s="1">
        <v>299.0</v>
      </c>
      <c r="BR2814" s="1">
        <v>299.0</v>
      </c>
      <c r="BS2814" s="1">
        <v>299.0</v>
      </c>
      <c r="BU2814" s="1" t="s">
        <v>1064</v>
      </c>
      <c r="BV2814" s="1" t="s">
        <v>206</v>
      </c>
      <c r="BW2814" s="1" t="s">
        <v>207</v>
      </c>
      <c r="BY2814" s="1" t="s">
        <v>497</v>
      </c>
      <c r="BZ2814" s="1" t="s">
        <v>206</v>
      </c>
      <c r="CA2814" s="1" t="s">
        <v>207</v>
      </c>
      <c r="CC2814" s="1" t="s">
        <v>329</v>
      </c>
      <c r="CD2814" s="1" t="s">
        <v>206</v>
      </c>
      <c r="CE2814" s="1" t="s">
        <v>207</v>
      </c>
      <c r="CG2814" s="1" t="s">
        <v>303</v>
      </c>
      <c r="CH2814" s="1" t="s">
        <v>206</v>
      </c>
      <c r="CI2814" s="1" t="s">
        <v>207</v>
      </c>
      <c r="CK2814" s="1" t="s">
        <v>1760</v>
      </c>
      <c r="CL2814" s="1" t="s">
        <v>206</v>
      </c>
      <c r="CM2814" s="1" t="s">
        <v>207</v>
      </c>
      <c r="CO2814" s="1" t="s">
        <v>1417</v>
      </c>
      <c r="CP2814" s="1" t="s">
        <v>42</v>
      </c>
      <c r="CQ2814" s="1" t="s">
        <v>268</v>
      </c>
      <c r="CS2814" s="1" t="s">
        <v>392</v>
      </c>
      <c r="CT2814" s="1" t="s">
        <v>206</v>
      </c>
      <c r="CU2814" s="1" t="s">
        <v>268</v>
      </c>
      <c r="CX2814" s="1" t="s">
        <v>204</v>
      </c>
      <c r="DA2814" s="1" t="s">
        <v>200</v>
      </c>
      <c r="DC2814" s="1" t="s">
        <v>545</v>
      </c>
      <c r="DE2814" s="1" t="s">
        <v>229</v>
      </c>
      <c r="DF2814" s="1" t="s">
        <v>4086</v>
      </c>
      <c r="DG2814" s="1" t="s">
        <v>337</v>
      </c>
      <c r="DH2814" s="1" t="s">
        <v>307</v>
      </c>
      <c r="DJ2814" s="1" t="s">
        <v>222</v>
      </c>
      <c r="DK2814" s="1" t="s">
        <v>7069</v>
      </c>
      <c r="DL2814" s="1" t="s">
        <v>858</v>
      </c>
      <c r="DM2814" s="1" t="s">
        <v>1919</v>
      </c>
      <c r="DO2814" s="1" t="s">
        <v>549</v>
      </c>
      <c r="DP2814" s="1" t="s">
        <v>340</v>
      </c>
      <c r="DQ2814" s="1" t="s">
        <v>228</v>
      </c>
      <c r="DR2814" s="1" t="s">
        <v>229</v>
      </c>
      <c r="DS2814" s="1" t="s">
        <v>230</v>
      </c>
      <c r="DV2814" s="1" t="s">
        <v>232</v>
      </c>
      <c r="DW2814" s="1" t="s">
        <v>279</v>
      </c>
      <c r="DX2814" s="1" t="s">
        <v>234</v>
      </c>
      <c r="DY2814" s="1" t="s">
        <v>553</v>
      </c>
      <c r="EA2814" s="1" t="s">
        <v>644</v>
      </c>
      <c r="EB2814" s="1" t="s">
        <v>797</v>
      </c>
      <c r="EC2814" s="1" t="s">
        <v>645</v>
      </c>
      <c r="EM2814" s="1" t="s">
        <v>238</v>
      </c>
      <c r="EQ2814" s="1" t="s">
        <v>238</v>
      </c>
      <c r="EU2814" s="1" t="s">
        <v>238</v>
      </c>
      <c r="EY2814" s="1" t="s">
        <v>238</v>
      </c>
      <c r="FC2814" s="1" t="s">
        <v>238</v>
      </c>
      <c r="FF2814" s="1" t="s">
        <v>229</v>
      </c>
      <c r="FG2814" s="1" t="s">
        <v>200</v>
      </c>
      <c r="FH2814" s="1" t="s">
        <v>200</v>
      </c>
      <c r="FJ2814" s="1" t="s">
        <v>524</v>
      </c>
      <c r="FK2814" s="1" t="s">
        <v>1586</v>
      </c>
      <c r="FL2814" s="1" t="s">
        <v>24698</v>
      </c>
      <c r="FM2814" s="1">
        <v>16278.0</v>
      </c>
      <c r="FN2814" s="1" t="s">
        <v>24699</v>
      </c>
      <c r="FO2814" s="1" t="s">
        <v>24700</v>
      </c>
      <c r="FP2814" s="1">
        <v>143128.0</v>
      </c>
      <c r="FQ2814" s="1" t="s">
        <v>24701</v>
      </c>
      <c r="FU2814" s="1" t="s">
        <v>24702</v>
      </c>
      <c r="FV2814" s="1" t="s">
        <v>200</v>
      </c>
      <c r="FW2814" s="1" t="s">
        <v>461</v>
      </c>
      <c r="FX2814" s="1" t="s">
        <v>655</v>
      </c>
      <c r="FZ2814" s="1" t="s">
        <v>229</v>
      </c>
      <c r="GA2814" s="1" t="s">
        <v>291</v>
      </c>
      <c r="GB2814" s="2">
        <v>42129.0</v>
      </c>
      <c r="GC2814" s="1" t="s">
        <v>3170</v>
      </c>
    </row>
  </sheetData>
  <drawing r:id="rId1"/>
</worksheet>
</file>